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ivotTables/pivotTable1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Brazzaville\HRH 24\Analytics\"/>
    </mc:Choice>
  </mc:AlternateContent>
  <xr:revisionPtr revIDLastSave="0" documentId="13_ncr:1_{802F1732-1001-4275-83EE-E1160266A943}" xr6:coauthVersionLast="47" xr6:coauthVersionMax="47" xr10:uidLastSave="{00000000-0000-0000-0000-000000000000}"/>
  <bookViews>
    <workbookView xWindow="-110" yWindow="-110" windowWidth="19420" windowHeight="10300" firstSheet="33" activeTab="33" xr2:uid="{86671BAE-FC21-41A6-9D69-7AB28D23F666}"/>
  </bookViews>
  <sheets>
    <sheet name="densities" sheetId="1" r:id="rId1"/>
    <sheet name="anual growth" sheetId="2" r:id="rId2"/>
    <sheet name="Sheet4" sheetId="6" r:id="rId3"/>
    <sheet name="2018 rep summaries" sheetId="8" r:id="rId4"/>
    <sheet name="2018 report" sheetId="3" r:id="rId5"/>
    <sheet name="Sheet3" sheetId="5" r:id="rId6"/>
    <sheet name="Aggregate" sheetId="20" r:id="rId7"/>
    <sheet name="2012" sheetId="9" r:id="rId8"/>
    <sheet name="2013" sheetId="10" r:id="rId9"/>
    <sheet name="2014" sheetId="11" r:id="rId10"/>
    <sheet name="2015" sheetId="12" r:id="rId11"/>
    <sheet name="2016" sheetId="13" r:id="rId12"/>
    <sheet name="2017" sheetId="14" r:id="rId13"/>
    <sheet name="2018" sheetId="15" r:id="rId14"/>
    <sheet name="2019" sheetId="16" r:id="rId15"/>
    <sheet name="2020" sheetId="17" r:id="rId16"/>
    <sheet name="2021" sheetId="18" r:id="rId17"/>
    <sheet name="2022" sheetId="19" r:id="rId18"/>
    <sheet name="Sheet21" sheetId="23" r:id="rId19"/>
    <sheet name="2018 growth rates" sheetId="24" r:id="rId20"/>
    <sheet name="Country codes &amp; Data sources" sheetId="7" r:id="rId21"/>
    <sheet name="Cadres_Adj_Summary" sheetId="32" r:id="rId22"/>
    <sheet name="Sheet9" sheetId="36" state="hidden" r:id="rId23"/>
    <sheet name="Summary(Rev)" sheetId="35" r:id="rId24"/>
    <sheet name="Under reporting" sheetId="37" state="hidden" r:id="rId25"/>
    <sheet name="Sheet1" sheetId="38" r:id="rId26"/>
    <sheet name="Sheet2" sheetId="39" r:id="rId27"/>
    <sheet name="Sheet5" sheetId="40" r:id="rId28"/>
    <sheet name="Sheet7" sheetId="41" r:id="rId29"/>
    <sheet name="Sheet8" sheetId="42" r:id="rId30"/>
    <sheet name="Densitites country profiles" sheetId="43" r:id="rId31"/>
    <sheet name="Sheet11" sheetId="44" r:id="rId32"/>
    <sheet name="Sheet12" sheetId="45" r:id="rId33"/>
    <sheet name="Sheet10" sheetId="46" r:id="rId34"/>
    <sheet name="Master DataSheet (Rev)" sheetId="34" r:id="rId35"/>
    <sheet name="Master DataSheet" sheetId="21" state="hidden" r:id="rId36"/>
    <sheet name="Summaries" sheetId="31" state="hidden" r:id="rId37"/>
    <sheet name="Sheet6" sheetId="33" r:id="rId38"/>
    <sheet name="Adj factor" sheetId="30" r:id="rId39"/>
    <sheet name="Growthrates source" sheetId="25" state="hidden" r:id="rId40"/>
  </sheets>
  <definedNames>
    <definedName name="_xlnm._FilterDatabase" localSheetId="19" hidden="1">'2018 growth rates'!$A$1:$E$49</definedName>
    <definedName name="_xlnm._FilterDatabase" localSheetId="4" hidden="1">'2018 report'!$A$1:$AK$48</definedName>
    <definedName name="_xlnm._FilterDatabase" localSheetId="20" hidden="1">'Country codes &amp; Data sources'!$M$1:$M$48</definedName>
    <definedName name="_xlnm._FilterDatabase" localSheetId="35" hidden="1">'Master DataSheet'!$A$1:$AU$1787</definedName>
    <definedName name="_xlnm._FilterDatabase" localSheetId="34" hidden="1">'Master DataSheet (Rev)'!$A$1:$AV$1552</definedName>
  </definedNames>
  <calcPr calcId="191029"/>
  <pivotCaches>
    <pivotCache cacheId="7" r:id="rId41"/>
    <pivotCache cacheId="8" r:id="rId42"/>
    <pivotCache cacheId="9" r:id="rId43"/>
    <pivotCache cacheId="10" r:id="rId44"/>
    <pivotCache cacheId="13" r:id="rId45"/>
    <pivotCache cacheId="12" r:id="rId4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133" i="34" l="1"/>
  <c r="D38" i="40"/>
  <c r="C25" i="41"/>
  <c r="C5" i="41"/>
  <c r="C19" i="41"/>
  <c r="C15" i="41"/>
  <c r="C20" i="41"/>
  <c r="C12" i="41"/>
  <c r="C8" i="41"/>
  <c r="C18" i="41"/>
  <c r="C10" i="41"/>
  <c r="C11" i="41"/>
  <c r="C13" i="41"/>
  <c r="C6" i="41"/>
  <c r="C30" i="41"/>
  <c r="C27" i="41"/>
  <c r="C9" i="41"/>
  <c r="C21" i="41"/>
  <c r="C31" i="41"/>
  <c r="C4" i="41"/>
  <c r="C14" i="41"/>
  <c r="C26" i="41"/>
  <c r="C17" i="41"/>
  <c r="C28" i="41"/>
  <c r="C16" i="41"/>
  <c r="C22" i="41"/>
  <c r="C7" i="41"/>
  <c r="C29" i="41"/>
  <c r="C23" i="41"/>
  <c r="C24" i="41"/>
  <c r="E55" i="35"/>
  <c r="D4" i="41" l="1"/>
  <c r="D5" i="41" s="1"/>
  <c r="D6" i="41" s="1"/>
  <c r="D7" i="41" s="1"/>
  <c r="D8" i="41" s="1"/>
  <c r="D9" i="41" s="1"/>
  <c r="D10" i="41" s="1"/>
  <c r="D11" i="41" s="1"/>
  <c r="D12" i="41" s="1"/>
  <c r="D13" i="41" s="1"/>
  <c r="D14" i="41" s="1"/>
  <c r="D15" i="41" s="1"/>
  <c r="D16" i="41" s="1"/>
  <c r="D17" i="41" s="1"/>
  <c r="D18" i="41" s="1"/>
  <c r="D19" i="41" s="1"/>
  <c r="D20" i="41" s="1"/>
  <c r="D21" i="41" s="1"/>
  <c r="D22" i="41" s="1"/>
  <c r="D23" i="41" s="1"/>
  <c r="D24" i="41" s="1"/>
  <c r="D25" i="41" s="1"/>
  <c r="D26" i="41" s="1"/>
  <c r="D27" i="41" s="1"/>
  <c r="D28" i="41" s="1"/>
  <c r="D29" i="41" s="1"/>
  <c r="D30" i="41" s="1"/>
  <c r="D31" i="41" s="1"/>
  <c r="R897" i="34"/>
  <c r="C56" i="40"/>
  <c r="E57" i="35"/>
  <c r="AV278" i="34" l="1"/>
  <c r="AV402" i="34"/>
  <c r="AV406" i="34"/>
  <c r="AV444" i="34"/>
  <c r="AV449" i="34"/>
  <c r="AV452" i="34"/>
  <c r="AV497" i="34"/>
  <c r="AV498" i="34"/>
  <c r="AV630" i="34"/>
  <c r="AV646" i="34"/>
  <c r="AV748" i="34"/>
  <c r="AV821" i="34"/>
  <c r="AV837" i="34"/>
  <c r="AV863" i="34"/>
  <c r="AV867" i="34"/>
  <c r="AV870" i="34"/>
  <c r="AV877" i="34"/>
  <c r="AV878" i="34"/>
  <c r="AV893" i="34"/>
  <c r="G4" i="31"/>
  <c r="G6" i="33"/>
  <c r="AI1552" i="34"/>
  <c r="AJ1552" i="34" s="1"/>
  <c r="AS1552" i="34"/>
  <c r="AD1552" i="34"/>
  <c r="AC1552" i="34"/>
  <c r="AB1552" i="34"/>
  <c r="R1552" i="34"/>
  <c r="A1552" i="34"/>
  <c r="AI1551" i="34"/>
  <c r="AJ1551" i="34" s="1"/>
  <c r="AE1551" i="34"/>
  <c r="AF1551" i="34" s="1"/>
  <c r="AD1551" i="34"/>
  <c r="AC1551" i="34"/>
  <c r="AB1551" i="34"/>
  <c r="R1551" i="34"/>
  <c r="AG1551" i="34" s="1"/>
  <c r="A1551" i="34"/>
  <c r="AI1550" i="34"/>
  <c r="AJ1550" i="34" s="1"/>
  <c r="AE1550" i="34"/>
  <c r="AS1550" i="34" s="1"/>
  <c r="AD1550" i="34"/>
  <c r="AC1550" i="34"/>
  <c r="AB1550" i="34"/>
  <c r="R1550" i="34"/>
  <c r="AG1550" i="34" s="1"/>
  <c r="A1550" i="34"/>
  <c r="AI1549" i="34"/>
  <c r="AJ1549" i="34" s="1"/>
  <c r="AE1549" i="34"/>
  <c r="AS1549" i="34" s="1"/>
  <c r="AD1549" i="34"/>
  <c r="AC1549" i="34"/>
  <c r="AB1549" i="34"/>
  <c r="R1549" i="34"/>
  <c r="AG1549" i="34" s="1"/>
  <c r="A1549" i="34"/>
  <c r="AI1548" i="34"/>
  <c r="AJ1548" i="34" s="1"/>
  <c r="AE1548" i="34"/>
  <c r="AS1548" i="34" s="1"/>
  <c r="AD1548" i="34"/>
  <c r="AC1548" i="34"/>
  <c r="AB1548" i="34"/>
  <c r="R1548" i="34"/>
  <c r="AG1548" i="34" s="1"/>
  <c r="AH1548" i="34" s="1"/>
  <c r="A1548" i="34"/>
  <c r="AS1547" i="34"/>
  <c r="AD1547" i="34"/>
  <c r="AC1547" i="34"/>
  <c r="AB1547" i="34"/>
  <c r="R1547" i="34"/>
  <c r="AG1547" i="34" s="1"/>
  <c r="A1547" i="34"/>
  <c r="AI1546" i="34"/>
  <c r="AJ1546" i="34" s="1"/>
  <c r="AD1546" i="34"/>
  <c r="AC1546" i="34"/>
  <c r="AB1546" i="34"/>
  <c r="R1546" i="34"/>
  <c r="AG1546" i="34" s="1"/>
  <c r="A1546" i="34"/>
  <c r="AI1545" i="34"/>
  <c r="AJ1545" i="34" s="1"/>
  <c r="AS1545" i="34"/>
  <c r="AD1545" i="34"/>
  <c r="AC1545" i="34"/>
  <c r="AB1545" i="34"/>
  <c r="R1545" i="34"/>
  <c r="AG1545" i="34" s="1"/>
  <c r="A1545" i="34"/>
  <c r="AE1544" i="34"/>
  <c r="AD1544" i="34"/>
  <c r="AC1544" i="34"/>
  <c r="AB1544" i="34"/>
  <c r="R1544" i="34"/>
  <c r="AG1544" i="34" s="1"/>
  <c r="A1544" i="34"/>
  <c r="AI1543" i="34"/>
  <c r="AJ1543" i="34" s="1"/>
  <c r="AE1543" i="34"/>
  <c r="AF1543" i="34" s="1"/>
  <c r="AD1543" i="34"/>
  <c r="AC1543" i="34"/>
  <c r="AB1543" i="34"/>
  <c r="R1543" i="34"/>
  <c r="AG1543" i="34" s="1"/>
  <c r="A1543" i="34"/>
  <c r="AI1542" i="34"/>
  <c r="AJ1542" i="34" s="1"/>
  <c r="AE1542" i="34"/>
  <c r="AD1542" i="34"/>
  <c r="AC1542" i="34"/>
  <c r="AB1542" i="34"/>
  <c r="R1542" i="34"/>
  <c r="AG1542" i="34" s="1"/>
  <c r="A1542" i="34"/>
  <c r="AI1541" i="34"/>
  <c r="AJ1541" i="34" s="1"/>
  <c r="AE1541" i="34"/>
  <c r="AS1541" i="34" s="1"/>
  <c r="AD1541" i="34"/>
  <c r="AC1541" i="34"/>
  <c r="AB1541" i="34"/>
  <c r="R1541" i="34"/>
  <c r="AG1541" i="34" s="1"/>
  <c r="A1541" i="34"/>
  <c r="AI1540" i="34"/>
  <c r="AE1540" i="34"/>
  <c r="AF1540" i="34" s="1"/>
  <c r="AD1540" i="34"/>
  <c r="AC1540" i="34"/>
  <c r="AB1540" i="34"/>
  <c r="R1540" i="34"/>
  <c r="AG1540" i="34" s="1"/>
  <c r="A1540" i="34"/>
  <c r="AI1539" i="34"/>
  <c r="AJ1539" i="34" s="1"/>
  <c r="AE1539" i="34"/>
  <c r="AS1539" i="34" s="1"/>
  <c r="AD1539" i="34"/>
  <c r="AC1539" i="34"/>
  <c r="AB1539" i="34"/>
  <c r="R1539" i="34"/>
  <c r="AG1539" i="34" s="1"/>
  <c r="A1539" i="34"/>
  <c r="AI1538" i="34"/>
  <c r="AJ1538" i="34" s="1"/>
  <c r="AS1538" i="34"/>
  <c r="AD1538" i="34"/>
  <c r="AC1538" i="34"/>
  <c r="AB1538" i="34"/>
  <c r="R1538" i="34"/>
  <c r="A1538" i="34"/>
  <c r="AI1537" i="34"/>
  <c r="AJ1537" i="34" s="1"/>
  <c r="AE1537" i="34"/>
  <c r="AS1537" i="34" s="1"/>
  <c r="AD1537" i="34"/>
  <c r="AC1537" i="34"/>
  <c r="AB1537" i="34"/>
  <c r="R1537" i="34"/>
  <c r="AG1537" i="34" s="1"/>
  <c r="AH1537" i="34" s="1"/>
  <c r="A1537" i="34"/>
  <c r="AI1536" i="34"/>
  <c r="AD1536" i="34"/>
  <c r="AC1536" i="34"/>
  <c r="AB1536" i="34"/>
  <c r="R1536" i="34"/>
  <c r="AG1536" i="34" s="1"/>
  <c r="A1536" i="34"/>
  <c r="AI1535" i="34"/>
  <c r="AE1535" i="34"/>
  <c r="AF1535" i="34" s="1"/>
  <c r="AD1535" i="34"/>
  <c r="AC1535" i="34"/>
  <c r="AB1535" i="34"/>
  <c r="R1535" i="34"/>
  <c r="AG1535" i="34" s="1"/>
  <c r="A1535" i="34"/>
  <c r="AI1534" i="34"/>
  <c r="AJ1534" i="34" s="1"/>
  <c r="AE1534" i="34"/>
  <c r="AD1534" i="34"/>
  <c r="AC1534" i="34"/>
  <c r="AB1534" i="34"/>
  <c r="R1534" i="34"/>
  <c r="AG1534" i="34" s="1"/>
  <c r="A1534" i="34"/>
  <c r="AS1533" i="34"/>
  <c r="AD1533" i="34"/>
  <c r="AC1533" i="34"/>
  <c r="AB1533" i="34"/>
  <c r="R1533" i="34"/>
  <c r="A1533" i="34"/>
  <c r="AI1532" i="34"/>
  <c r="AJ1532" i="34" s="1"/>
  <c r="AE1532" i="34"/>
  <c r="AF1532" i="34" s="1"/>
  <c r="AD1532" i="34"/>
  <c r="AC1532" i="34"/>
  <c r="AB1532" i="34"/>
  <c r="R1532" i="34"/>
  <c r="AG1532" i="34" s="1"/>
  <c r="A1532" i="34"/>
  <c r="AI1531" i="34"/>
  <c r="AJ1531" i="34" s="1"/>
  <c r="AE1531" i="34"/>
  <c r="AF1531" i="34" s="1"/>
  <c r="AD1531" i="34"/>
  <c r="AC1531" i="34"/>
  <c r="AB1531" i="34"/>
  <c r="R1531" i="34"/>
  <c r="AG1531" i="34" s="1"/>
  <c r="A1531" i="34"/>
  <c r="AS1530" i="34"/>
  <c r="AD1530" i="34"/>
  <c r="AC1530" i="34"/>
  <c r="AB1530" i="34"/>
  <c r="R1530" i="34"/>
  <c r="A1530" i="34"/>
  <c r="AI1529" i="34"/>
  <c r="AJ1529" i="34" s="1"/>
  <c r="AS1529" i="34"/>
  <c r="AD1529" i="34"/>
  <c r="AC1529" i="34"/>
  <c r="AB1529" i="34"/>
  <c r="R1529" i="34"/>
  <c r="AG1529" i="34" s="1"/>
  <c r="A1529" i="34"/>
  <c r="AI1528" i="34"/>
  <c r="AF1528" i="34"/>
  <c r="AD1528" i="34"/>
  <c r="AC1528" i="34"/>
  <c r="AB1528" i="34"/>
  <c r="R1528" i="34"/>
  <c r="AG1528" i="34" s="1"/>
  <c r="A1528" i="34"/>
  <c r="AI1527" i="34"/>
  <c r="AJ1527" i="34" s="1"/>
  <c r="AF1527" i="34"/>
  <c r="AD1527" i="34"/>
  <c r="AC1527" i="34"/>
  <c r="AB1527" i="34"/>
  <c r="R1527" i="34"/>
  <c r="AG1527" i="34" s="1"/>
  <c r="A1527" i="34"/>
  <c r="AI1526" i="34"/>
  <c r="AJ1526" i="34" s="1"/>
  <c r="AS1526" i="34"/>
  <c r="AD1526" i="34"/>
  <c r="AC1526" i="34"/>
  <c r="AB1526" i="34"/>
  <c r="R1526" i="34"/>
  <c r="AG1526" i="34" s="1"/>
  <c r="A1526" i="34"/>
  <c r="AI1525" i="34"/>
  <c r="AJ1525" i="34" s="1"/>
  <c r="AS1525" i="34"/>
  <c r="AD1525" i="34"/>
  <c r="AC1525" i="34"/>
  <c r="AB1525" i="34"/>
  <c r="R1525" i="34"/>
  <c r="AG1525" i="34" s="1"/>
  <c r="A1525" i="34"/>
  <c r="AI1524" i="34"/>
  <c r="AD1524" i="34"/>
  <c r="AC1524" i="34"/>
  <c r="AB1524" i="34"/>
  <c r="R1524" i="34"/>
  <c r="AG1524" i="34" s="1"/>
  <c r="AT1524" i="34" s="1"/>
  <c r="A1524" i="34"/>
  <c r="AI1523" i="34"/>
  <c r="AJ1523" i="34" s="1"/>
  <c r="AE1523" i="34"/>
  <c r="AD1523" i="34"/>
  <c r="AC1523" i="34"/>
  <c r="AB1523" i="34"/>
  <c r="R1523" i="34"/>
  <c r="AG1523" i="34" s="1"/>
  <c r="A1523" i="34"/>
  <c r="AI1522" i="34"/>
  <c r="AJ1522" i="34" s="1"/>
  <c r="AE1522" i="34"/>
  <c r="AS1522" i="34" s="1"/>
  <c r="AD1522" i="34"/>
  <c r="AC1522" i="34"/>
  <c r="AB1522" i="34"/>
  <c r="R1522" i="34"/>
  <c r="AG1522" i="34" s="1"/>
  <c r="A1522" i="34"/>
  <c r="AE1521" i="34"/>
  <c r="AS1521" i="34" s="1"/>
  <c r="AD1521" i="34"/>
  <c r="AC1521" i="34"/>
  <c r="AB1521" i="34"/>
  <c r="R1521" i="34"/>
  <c r="AG1521" i="34" s="1"/>
  <c r="AI1521" i="34" s="1"/>
  <c r="AK1521" i="34" s="1"/>
  <c r="AL1521" i="34" s="1"/>
  <c r="A1521" i="34"/>
  <c r="AI1520" i="34"/>
  <c r="AJ1520" i="34" s="1"/>
  <c r="AE1520" i="34"/>
  <c r="AS1520" i="34" s="1"/>
  <c r="AD1520" i="34"/>
  <c r="AC1520" i="34"/>
  <c r="AB1520" i="34"/>
  <c r="R1520" i="34"/>
  <c r="AG1520" i="34" s="1"/>
  <c r="A1520" i="34"/>
  <c r="AF1519" i="34"/>
  <c r="AD1519" i="34"/>
  <c r="AC1519" i="34"/>
  <c r="AB1519" i="34"/>
  <c r="R1519" i="34"/>
  <c r="AI1519" i="34" s="1"/>
  <c r="AK1519" i="34" s="1"/>
  <c r="A1519" i="34"/>
  <c r="AS1518" i="34"/>
  <c r="AD1518" i="34"/>
  <c r="AC1518" i="34"/>
  <c r="AB1518" i="34"/>
  <c r="R1518" i="34"/>
  <c r="AI1518" i="34" s="1"/>
  <c r="AK1518" i="34" s="1"/>
  <c r="A1518" i="34"/>
  <c r="AS1517" i="34"/>
  <c r="AD1517" i="34"/>
  <c r="AC1517" i="34"/>
  <c r="AB1517" i="34"/>
  <c r="R1517" i="34"/>
  <c r="A1517" i="34"/>
  <c r="AF1516" i="34"/>
  <c r="AD1516" i="34"/>
  <c r="AC1516" i="34"/>
  <c r="AB1516" i="34"/>
  <c r="R1516" i="34"/>
  <c r="AG1516" i="34" s="1"/>
  <c r="A1516" i="34"/>
  <c r="AF1515" i="34"/>
  <c r="AD1515" i="34"/>
  <c r="AC1515" i="34"/>
  <c r="AB1515" i="34"/>
  <c r="R1515" i="34"/>
  <c r="AG1515" i="34" s="1"/>
  <c r="A1515" i="34"/>
  <c r="AI1514" i="34"/>
  <c r="AJ1514" i="34" s="1"/>
  <c r="AE1514" i="34"/>
  <c r="AS1514" i="34" s="1"/>
  <c r="AD1514" i="34"/>
  <c r="AC1514" i="34"/>
  <c r="AB1514" i="34"/>
  <c r="R1514" i="34"/>
  <c r="AG1514" i="34" s="1"/>
  <c r="A1514" i="34"/>
  <c r="AD1513" i="34"/>
  <c r="AC1513" i="34"/>
  <c r="AB1513" i="34"/>
  <c r="R1513" i="34"/>
  <c r="AG1513" i="34" s="1"/>
  <c r="AI1513" i="34" s="1"/>
  <c r="AK1513" i="34" s="1"/>
  <c r="AL1513" i="34" s="1"/>
  <c r="A1513" i="34"/>
  <c r="AF1512" i="34"/>
  <c r="AD1512" i="34"/>
  <c r="AC1512" i="34"/>
  <c r="AB1512" i="34"/>
  <c r="R1512" i="34"/>
  <c r="AG1512" i="34" s="1"/>
  <c r="A1512" i="34"/>
  <c r="AI1511" i="34"/>
  <c r="AJ1511" i="34" s="1"/>
  <c r="AS1511" i="34"/>
  <c r="AD1511" i="34"/>
  <c r="AC1511" i="34"/>
  <c r="AB1511" i="34"/>
  <c r="R1511" i="34"/>
  <c r="AG1511" i="34" s="1"/>
  <c r="AH1511" i="34" s="1"/>
  <c r="A1511" i="34"/>
  <c r="AD1510" i="34"/>
  <c r="AC1510" i="34"/>
  <c r="AB1510" i="34"/>
  <c r="R1510" i="34"/>
  <c r="AI1510" i="34" s="1"/>
  <c r="AK1510" i="34" s="1"/>
  <c r="A1510" i="34"/>
  <c r="AJ1509" i="34"/>
  <c r="AD1509" i="34"/>
  <c r="AC1509" i="34"/>
  <c r="AB1509" i="34"/>
  <c r="R1509" i="34"/>
  <c r="AG1509" i="34" s="1"/>
  <c r="A1509" i="34"/>
  <c r="AI1508" i="34"/>
  <c r="AE1508" i="34"/>
  <c r="AF1508" i="34" s="1"/>
  <c r="AD1508" i="34"/>
  <c r="AC1508" i="34"/>
  <c r="AB1508" i="34"/>
  <c r="R1508" i="34"/>
  <c r="AG1508" i="34" s="1"/>
  <c r="A1508" i="34"/>
  <c r="AI1507" i="34"/>
  <c r="AJ1507" i="34" s="1"/>
  <c r="AE1507" i="34"/>
  <c r="AF1507" i="34" s="1"/>
  <c r="AD1507" i="34"/>
  <c r="AC1507" i="34"/>
  <c r="AB1507" i="34"/>
  <c r="R1507" i="34"/>
  <c r="AG1507" i="34" s="1"/>
  <c r="A1507" i="34"/>
  <c r="AI1506" i="34"/>
  <c r="AE1506" i="34"/>
  <c r="AF1506" i="34" s="1"/>
  <c r="AD1506" i="34"/>
  <c r="AC1506" i="34"/>
  <c r="AB1506" i="34"/>
  <c r="R1506" i="34"/>
  <c r="AG1506" i="34" s="1"/>
  <c r="A1506" i="34"/>
  <c r="AI1505" i="34"/>
  <c r="AJ1505" i="34" s="1"/>
  <c r="AF1505" i="34"/>
  <c r="AD1505" i="34"/>
  <c r="AC1505" i="34"/>
  <c r="AB1505" i="34"/>
  <c r="R1505" i="34"/>
  <c r="AG1505" i="34" s="1"/>
  <c r="A1505" i="34"/>
  <c r="AE1504" i="34"/>
  <c r="AF1504" i="34" s="1"/>
  <c r="AD1504" i="34"/>
  <c r="AC1504" i="34"/>
  <c r="AB1504" i="34"/>
  <c r="R1504" i="34"/>
  <c r="AI1504" i="34" s="1"/>
  <c r="A1504" i="34"/>
  <c r="AI1503" i="34"/>
  <c r="AJ1503" i="34" s="1"/>
  <c r="AE1503" i="34"/>
  <c r="AF1503" i="34" s="1"/>
  <c r="AD1503" i="34"/>
  <c r="AC1503" i="34"/>
  <c r="AB1503" i="34"/>
  <c r="R1503" i="34"/>
  <c r="AG1503" i="34" s="1"/>
  <c r="A1503" i="34"/>
  <c r="AI1502" i="34"/>
  <c r="AE1502" i="34"/>
  <c r="AF1502" i="34" s="1"/>
  <c r="AD1502" i="34"/>
  <c r="AC1502" i="34"/>
  <c r="AB1502" i="34"/>
  <c r="R1502" i="34"/>
  <c r="AG1502" i="34" s="1"/>
  <c r="A1502" i="34"/>
  <c r="AE1501" i="34"/>
  <c r="AF1501" i="34" s="1"/>
  <c r="AD1501" i="34"/>
  <c r="AC1501" i="34"/>
  <c r="AB1501" i="34"/>
  <c r="R1501" i="34"/>
  <c r="AG1501" i="34" s="1"/>
  <c r="A1501" i="34"/>
  <c r="AI1500" i="34"/>
  <c r="AE1500" i="34"/>
  <c r="AF1500" i="34" s="1"/>
  <c r="AD1500" i="34"/>
  <c r="AC1500" i="34"/>
  <c r="AB1500" i="34"/>
  <c r="R1500" i="34"/>
  <c r="AG1500" i="34" s="1"/>
  <c r="A1500" i="34"/>
  <c r="AI1499" i="34"/>
  <c r="AJ1499" i="34" s="1"/>
  <c r="AF1499" i="34"/>
  <c r="AD1499" i="34"/>
  <c r="AC1499" i="34"/>
  <c r="AB1499" i="34"/>
  <c r="R1499" i="34"/>
  <c r="AG1499" i="34" s="1"/>
  <c r="A1499" i="34"/>
  <c r="AI1498" i="34"/>
  <c r="AF1498" i="34"/>
  <c r="AD1498" i="34"/>
  <c r="AC1498" i="34"/>
  <c r="AB1498" i="34"/>
  <c r="R1498" i="34"/>
  <c r="AG1498" i="34" s="1"/>
  <c r="A1498" i="34"/>
  <c r="AI1497" i="34"/>
  <c r="AJ1497" i="34" s="1"/>
  <c r="AE1497" i="34"/>
  <c r="AF1497" i="34" s="1"/>
  <c r="AD1497" i="34"/>
  <c r="AC1497" i="34"/>
  <c r="AB1497" i="34"/>
  <c r="R1497" i="34"/>
  <c r="AG1497" i="34" s="1"/>
  <c r="A1497" i="34"/>
  <c r="AF1496" i="34"/>
  <c r="AD1496" i="34"/>
  <c r="AC1496" i="34"/>
  <c r="AB1496" i="34"/>
  <c r="R1496" i="34"/>
  <c r="A1496" i="34"/>
  <c r="AI1495" i="34"/>
  <c r="AE1495" i="34"/>
  <c r="AD1495" i="34"/>
  <c r="AC1495" i="34"/>
  <c r="AB1495" i="34"/>
  <c r="R1495" i="34"/>
  <c r="A1495" i="34"/>
  <c r="AI1494" i="34"/>
  <c r="AJ1494" i="34" s="1"/>
  <c r="AE1494" i="34"/>
  <c r="AF1494" i="34" s="1"/>
  <c r="AD1494" i="34"/>
  <c r="AC1494" i="34"/>
  <c r="AB1494" i="34"/>
  <c r="R1494" i="34"/>
  <c r="AG1494" i="34" s="1"/>
  <c r="A1494" i="34"/>
  <c r="AI1493" i="34"/>
  <c r="AE1493" i="34"/>
  <c r="AF1493" i="34" s="1"/>
  <c r="AD1493" i="34"/>
  <c r="AC1493" i="34"/>
  <c r="AB1493" i="34"/>
  <c r="R1493" i="34"/>
  <c r="AG1493" i="34" s="1"/>
  <c r="A1493" i="34"/>
  <c r="AI1492" i="34"/>
  <c r="AJ1492" i="34" s="1"/>
  <c r="AE1492" i="34"/>
  <c r="AS1492" i="34" s="1"/>
  <c r="AD1492" i="34"/>
  <c r="AC1492" i="34"/>
  <c r="AB1492" i="34"/>
  <c r="R1492" i="34"/>
  <c r="AG1492" i="34" s="1"/>
  <c r="A1492" i="34"/>
  <c r="AF1491" i="34"/>
  <c r="AD1491" i="34"/>
  <c r="AC1491" i="34"/>
  <c r="AB1491" i="34"/>
  <c r="R1491" i="34"/>
  <c r="AI1491" i="34" s="1"/>
  <c r="A1491" i="34"/>
  <c r="AS1490" i="34"/>
  <c r="AD1490" i="34"/>
  <c r="AC1490" i="34"/>
  <c r="AB1490" i="34"/>
  <c r="R1490" i="34"/>
  <c r="A1490" i="34"/>
  <c r="AD1489" i="34"/>
  <c r="AC1489" i="34"/>
  <c r="AB1489" i="34"/>
  <c r="R1489" i="34"/>
  <c r="AI1489" i="34" s="1"/>
  <c r="A1489" i="34"/>
  <c r="AF1488" i="34"/>
  <c r="AD1488" i="34"/>
  <c r="AC1488" i="34"/>
  <c r="AB1488" i="34"/>
  <c r="R1488" i="34"/>
  <c r="AG1488" i="34" s="1"/>
  <c r="A1488" i="34"/>
  <c r="AF1487" i="34"/>
  <c r="AD1487" i="34"/>
  <c r="AC1487" i="34"/>
  <c r="AB1487" i="34"/>
  <c r="R1487" i="34"/>
  <c r="AG1487" i="34" s="1"/>
  <c r="AI1487" i="34" s="1"/>
  <c r="A1487" i="34"/>
  <c r="AE1486" i="34"/>
  <c r="AS1486" i="34" s="1"/>
  <c r="AD1486" i="34"/>
  <c r="AC1486" i="34"/>
  <c r="AB1486" i="34"/>
  <c r="R1486" i="34"/>
  <c r="AG1486" i="34" s="1"/>
  <c r="AT1486" i="34" s="1"/>
  <c r="A1486" i="34"/>
  <c r="AI1485" i="34"/>
  <c r="AJ1485" i="34" s="1"/>
  <c r="AE1485" i="34"/>
  <c r="AD1485" i="34"/>
  <c r="AC1485" i="34"/>
  <c r="AB1485" i="34"/>
  <c r="R1485" i="34"/>
  <c r="AG1485" i="34" s="1"/>
  <c r="A1485" i="34"/>
  <c r="AI1484" i="34"/>
  <c r="AD1484" i="34"/>
  <c r="AC1484" i="34"/>
  <c r="AB1484" i="34"/>
  <c r="R1484" i="34"/>
  <c r="AG1484" i="34" s="1"/>
  <c r="A1484" i="34"/>
  <c r="AI1483" i="34"/>
  <c r="AE1483" i="34"/>
  <c r="AD1483" i="34"/>
  <c r="AC1483" i="34"/>
  <c r="AB1483" i="34"/>
  <c r="R1483" i="34"/>
  <c r="AG1483" i="34" s="1"/>
  <c r="A1483" i="34"/>
  <c r="AI1482" i="34"/>
  <c r="AJ1482" i="34" s="1"/>
  <c r="AS1482" i="34"/>
  <c r="AD1482" i="34"/>
  <c r="AC1482" i="34"/>
  <c r="AB1482" i="34"/>
  <c r="R1482" i="34"/>
  <c r="AG1482" i="34" s="1"/>
  <c r="A1482" i="34"/>
  <c r="AI1481" i="34"/>
  <c r="AJ1481" i="34" s="1"/>
  <c r="AD1481" i="34"/>
  <c r="AC1481" i="34"/>
  <c r="AB1481" i="34"/>
  <c r="R1481" i="34"/>
  <c r="AG1481" i="34" s="1"/>
  <c r="A1481" i="34"/>
  <c r="AI1480" i="34"/>
  <c r="AE1480" i="34"/>
  <c r="AF1480" i="34" s="1"/>
  <c r="AD1480" i="34"/>
  <c r="AC1480" i="34"/>
  <c r="AB1480" i="34"/>
  <c r="R1480" i="34"/>
  <c r="AG1480" i="34" s="1"/>
  <c r="A1480" i="34"/>
  <c r="AI1479" i="34"/>
  <c r="AF1479" i="34"/>
  <c r="AD1479" i="34"/>
  <c r="AC1479" i="34"/>
  <c r="AB1479" i="34"/>
  <c r="R1479" i="34"/>
  <c r="AG1479" i="34" s="1"/>
  <c r="A1479" i="34"/>
  <c r="AI1478" i="34"/>
  <c r="AJ1478" i="34" s="1"/>
  <c r="AE1478" i="34"/>
  <c r="AS1478" i="34" s="1"/>
  <c r="AD1478" i="34"/>
  <c r="AC1478" i="34"/>
  <c r="AB1478" i="34"/>
  <c r="R1478" i="34"/>
  <c r="AG1478" i="34" s="1"/>
  <c r="A1478" i="34"/>
  <c r="AI1477" i="34"/>
  <c r="AJ1477" i="34" s="1"/>
  <c r="AE1477" i="34"/>
  <c r="AD1477" i="34"/>
  <c r="AC1477" i="34"/>
  <c r="AB1477" i="34"/>
  <c r="R1477" i="34"/>
  <c r="AG1477" i="34" s="1"/>
  <c r="A1477" i="34"/>
  <c r="AI1476" i="34"/>
  <c r="AE1476" i="34"/>
  <c r="AF1476" i="34" s="1"/>
  <c r="AD1476" i="34"/>
  <c r="AC1476" i="34"/>
  <c r="AB1476" i="34"/>
  <c r="R1476" i="34"/>
  <c r="AG1476" i="34" s="1"/>
  <c r="A1476" i="34"/>
  <c r="AI1475" i="34"/>
  <c r="AE1475" i="34"/>
  <c r="AD1475" i="34"/>
  <c r="AC1475" i="34"/>
  <c r="AB1475" i="34"/>
  <c r="R1475" i="34"/>
  <c r="AG1475" i="34" s="1"/>
  <c r="A1475" i="34"/>
  <c r="AI1474" i="34"/>
  <c r="AJ1474" i="34" s="1"/>
  <c r="AD1474" i="34"/>
  <c r="AC1474" i="34"/>
  <c r="AB1474" i="34"/>
  <c r="R1474" i="34"/>
  <c r="AG1474" i="34" s="1"/>
  <c r="A1474" i="34"/>
  <c r="AI1473" i="34"/>
  <c r="AJ1473" i="34" s="1"/>
  <c r="AD1473" i="34"/>
  <c r="AC1473" i="34"/>
  <c r="AB1473" i="34"/>
  <c r="R1473" i="34"/>
  <c r="AG1473" i="34" s="1"/>
  <c r="A1473" i="34"/>
  <c r="AI1472" i="34"/>
  <c r="AE1472" i="34"/>
  <c r="AF1472" i="34" s="1"/>
  <c r="AD1472" i="34"/>
  <c r="AC1472" i="34"/>
  <c r="AB1472" i="34"/>
  <c r="R1472" i="34"/>
  <c r="AG1472" i="34" s="1"/>
  <c r="A1472" i="34"/>
  <c r="AI1471" i="34"/>
  <c r="AJ1471" i="34" s="1"/>
  <c r="AE1471" i="34"/>
  <c r="AS1471" i="34" s="1"/>
  <c r="AD1471" i="34"/>
  <c r="AC1471" i="34"/>
  <c r="AB1471" i="34"/>
  <c r="R1471" i="34"/>
  <c r="AG1471" i="34" s="1"/>
  <c r="A1471" i="34"/>
  <c r="AI1470" i="34"/>
  <c r="AJ1470" i="34" s="1"/>
  <c r="AE1470" i="34"/>
  <c r="AD1470" i="34"/>
  <c r="AC1470" i="34"/>
  <c r="AB1470" i="34"/>
  <c r="R1470" i="34"/>
  <c r="AG1470" i="34" s="1"/>
  <c r="AT1470" i="34" s="1"/>
  <c r="A1470" i="34"/>
  <c r="AI1469" i="34"/>
  <c r="AJ1469" i="34" s="1"/>
  <c r="AE1469" i="34"/>
  <c r="AF1469" i="34" s="1"/>
  <c r="AD1469" i="34"/>
  <c r="AC1469" i="34"/>
  <c r="AB1469" i="34"/>
  <c r="R1469" i="34"/>
  <c r="AG1469" i="34" s="1"/>
  <c r="A1469" i="34"/>
  <c r="AF1468" i="34"/>
  <c r="AD1468" i="34"/>
  <c r="AC1468" i="34"/>
  <c r="AB1468" i="34"/>
  <c r="R1468" i="34"/>
  <c r="A1468" i="34"/>
  <c r="AI1467" i="34"/>
  <c r="AJ1467" i="34" s="1"/>
  <c r="AD1467" i="34"/>
  <c r="AC1467" i="34"/>
  <c r="AB1467" i="34"/>
  <c r="R1467" i="34"/>
  <c r="AG1467" i="34" s="1"/>
  <c r="A1467" i="34"/>
  <c r="AI1466" i="34"/>
  <c r="AD1466" i="34"/>
  <c r="AC1466" i="34"/>
  <c r="AB1466" i="34"/>
  <c r="R1466" i="34"/>
  <c r="AG1466" i="34" s="1"/>
  <c r="A1466" i="34"/>
  <c r="AI1465" i="34"/>
  <c r="AJ1465" i="34" s="1"/>
  <c r="AF1465" i="34"/>
  <c r="AD1465" i="34"/>
  <c r="AC1465" i="34"/>
  <c r="AB1465" i="34"/>
  <c r="R1465" i="34"/>
  <c r="AG1465" i="34" s="1"/>
  <c r="A1465" i="34"/>
  <c r="AI1464" i="34"/>
  <c r="AE1464" i="34"/>
  <c r="AF1464" i="34" s="1"/>
  <c r="AD1464" i="34"/>
  <c r="AC1464" i="34"/>
  <c r="AB1464" i="34"/>
  <c r="R1464" i="34"/>
  <c r="AG1464" i="34" s="1"/>
  <c r="A1464" i="34"/>
  <c r="AI1463" i="34"/>
  <c r="AJ1463" i="34" s="1"/>
  <c r="AS1463" i="34"/>
  <c r="AD1463" i="34"/>
  <c r="AC1463" i="34"/>
  <c r="AB1463" i="34"/>
  <c r="R1463" i="34"/>
  <c r="AG1463" i="34" s="1"/>
  <c r="A1463" i="34"/>
  <c r="AI1462" i="34"/>
  <c r="AJ1462" i="34" s="1"/>
  <c r="AD1462" i="34"/>
  <c r="AC1462" i="34"/>
  <c r="AB1462" i="34"/>
  <c r="R1462" i="34"/>
  <c r="AG1462" i="34" s="1"/>
  <c r="AH1462" i="34" s="1"/>
  <c r="A1462" i="34"/>
  <c r="AI1461" i="34"/>
  <c r="AJ1461" i="34" s="1"/>
  <c r="AE1461" i="34"/>
  <c r="AF1461" i="34" s="1"/>
  <c r="AD1461" i="34"/>
  <c r="AC1461" i="34"/>
  <c r="AB1461" i="34"/>
  <c r="R1461" i="34"/>
  <c r="AG1461" i="34" s="1"/>
  <c r="A1461" i="34"/>
  <c r="AI1460" i="34"/>
  <c r="AJ1460" i="34" s="1"/>
  <c r="AS1460" i="34"/>
  <c r="AD1460" i="34"/>
  <c r="AC1460" i="34"/>
  <c r="AB1460" i="34"/>
  <c r="R1460" i="34"/>
  <c r="AG1460" i="34" s="1"/>
  <c r="A1460" i="34"/>
  <c r="AI1459" i="34"/>
  <c r="AJ1459" i="34" s="1"/>
  <c r="AD1459" i="34"/>
  <c r="AC1459" i="34"/>
  <c r="AB1459" i="34"/>
  <c r="R1459" i="34"/>
  <c r="AG1459" i="34" s="1"/>
  <c r="A1459" i="34"/>
  <c r="AI1458" i="34"/>
  <c r="AE1458" i="34"/>
  <c r="AF1458" i="34" s="1"/>
  <c r="AD1458" i="34"/>
  <c r="AC1458" i="34"/>
  <c r="AB1458" i="34"/>
  <c r="R1458" i="34"/>
  <c r="AG1458" i="34" s="1"/>
  <c r="A1458" i="34"/>
  <c r="AI1457" i="34"/>
  <c r="AF1457" i="34"/>
  <c r="AD1457" i="34"/>
  <c r="AC1457" i="34"/>
  <c r="AB1457" i="34"/>
  <c r="R1457" i="34"/>
  <c r="AG1457" i="34" s="1"/>
  <c r="AT1457" i="34" s="1"/>
  <c r="A1457" i="34"/>
  <c r="AI1456" i="34"/>
  <c r="AJ1456" i="34" s="1"/>
  <c r="AD1456" i="34"/>
  <c r="AC1456" i="34"/>
  <c r="AB1456" i="34"/>
  <c r="R1456" i="34"/>
  <c r="AG1456" i="34" s="1"/>
  <c r="A1456" i="34"/>
  <c r="AI1455" i="34"/>
  <c r="AJ1455" i="34" s="1"/>
  <c r="AE1455" i="34"/>
  <c r="AF1455" i="34" s="1"/>
  <c r="AD1455" i="34"/>
  <c r="AC1455" i="34"/>
  <c r="AB1455" i="34"/>
  <c r="R1455" i="34"/>
  <c r="AG1455" i="34" s="1"/>
  <c r="A1455" i="34"/>
  <c r="AI1454" i="34"/>
  <c r="AS1454" i="34"/>
  <c r="AD1454" i="34"/>
  <c r="AC1454" i="34"/>
  <c r="AB1454" i="34"/>
  <c r="R1454" i="34"/>
  <c r="A1454" i="34"/>
  <c r="AI1453" i="34"/>
  <c r="AS1453" i="34"/>
  <c r="AD1453" i="34"/>
  <c r="AC1453" i="34"/>
  <c r="AB1453" i="34"/>
  <c r="R1453" i="34"/>
  <c r="AG1453" i="34" s="1"/>
  <c r="A1453" i="34"/>
  <c r="AI1452" i="34"/>
  <c r="AJ1452" i="34" s="1"/>
  <c r="AE1452" i="34"/>
  <c r="AD1452" i="34"/>
  <c r="AC1452" i="34"/>
  <c r="AB1452" i="34"/>
  <c r="R1452" i="34"/>
  <c r="AG1452" i="34" s="1"/>
  <c r="A1452" i="34"/>
  <c r="AS1451" i="34"/>
  <c r="AD1451" i="34"/>
  <c r="AC1451" i="34"/>
  <c r="AB1451" i="34"/>
  <c r="R1451" i="34"/>
  <c r="AG1451" i="34" s="1"/>
  <c r="A1451" i="34"/>
  <c r="AI1450" i="34"/>
  <c r="AE1450" i="34"/>
  <c r="AS1450" i="34" s="1"/>
  <c r="AD1450" i="34"/>
  <c r="AC1450" i="34"/>
  <c r="AB1450" i="34"/>
  <c r="R1450" i="34"/>
  <c r="AG1450" i="34" s="1"/>
  <c r="A1450" i="34"/>
  <c r="AS1449" i="34"/>
  <c r="AD1449" i="34"/>
  <c r="AC1449" i="34"/>
  <c r="AB1449" i="34"/>
  <c r="R1449" i="34"/>
  <c r="AI1449" i="34" s="1"/>
  <c r="AJ1449" i="34" s="1"/>
  <c r="A1449" i="34"/>
  <c r="AI1448" i="34"/>
  <c r="AJ1448" i="34" s="1"/>
  <c r="AD1448" i="34"/>
  <c r="AC1448" i="34"/>
  <c r="AB1448" i="34"/>
  <c r="R1448" i="34"/>
  <c r="AG1448" i="34" s="1"/>
  <c r="A1448" i="34"/>
  <c r="AI1447" i="34"/>
  <c r="AJ1447" i="34" s="1"/>
  <c r="AD1447" i="34"/>
  <c r="AC1447" i="34"/>
  <c r="AB1447" i="34"/>
  <c r="R1447" i="34"/>
  <c r="AG1447" i="34" s="1"/>
  <c r="A1447" i="34"/>
  <c r="AS1446" i="34"/>
  <c r="AD1446" i="34"/>
  <c r="AC1446" i="34"/>
  <c r="AB1446" i="34"/>
  <c r="R1446" i="34"/>
  <c r="AI1446" i="34" s="1"/>
  <c r="A1446" i="34"/>
  <c r="AI1445" i="34"/>
  <c r="AJ1445" i="34" s="1"/>
  <c r="AF1445" i="34"/>
  <c r="AD1445" i="34"/>
  <c r="AC1445" i="34"/>
  <c r="AB1445" i="34"/>
  <c r="R1445" i="34"/>
  <c r="AG1445" i="34" s="1"/>
  <c r="A1445" i="34"/>
  <c r="AI1444" i="34"/>
  <c r="AJ1444" i="34" s="1"/>
  <c r="AE1444" i="34"/>
  <c r="AD1444" i="34"/>
  <c r="AC1444" i="34"/>
  <c r="AB1444" i="34"/>
  <c r="R1444" i="34"/>
  <c r="AG1444" i="34" s="1"/>
  <c r="A1444" i="34"/>
  <c r="AI1443" i="34"/>
  <c r="AJ1443" i="34" s="1"/>
  <c r="AD1443" i="34"/>
  <c r="AC1443" i="34"/>
  <c r="AB1443" i="34"/>
  <c r="R1443" i="34"/>
  <c r="AG1443" i="34" s="1"/>
  <c r="A1443" i="34"/>
  <c r="AI1442" i="34"/>
  <c r="AD1442" i="34"/>
  <c r="AC1442" i="34"/>
  <c r="AB1442" i="34"/>
  <c r="R1442" i="34"/>
  <c r="AG1442" i="34" s="1"/>
  <c r="A1442" i="34"/>
  <c r="AE1441" i="34"/>
  <c r="AC1441" i="34"/>
  <c r="AB1441" i="34"/>
  <c r="Z1441" i="34"/>
  <c r="AI1441" i="34" s="1"/>
  <c r="AJ1441" i="34" s="1"/>
  <c r="R1441" i="34"/>
  <c r="AG1441" i="34" s="1"/>
  <c r="A1441" i="34"/>
  <c r="AI1440" i="34"/>
  <c r="AJ1440" i="34" s="1"/>
  <c r="AD1440" i="34"/>
  <c r="AC1440" i="34"/>
  <c r="AB1440" i="34"/>
  <c r="R1440" i="34"/>
  <c r="A1440" i="34"/>
  <c r="AI1439" i="34"/>
  <c r="AJ1439" i="34" s="1"/>
  <c r="AF1439" i="34"/>
  <c r="AD1439" i="34"/>
  <c r="AC1439" i="34"/>
  <c r="AB1439" i="34"/>
  <c r="R1439" i="34"/>
  <c r="AG1439" i="34" s="1"/>
  <c r="A1439" i="34"/>
  <c r="AI1438" i="34"/>
  <c r="AF1438" i="34"/>
  <c r="AD1438" i="34"/>
  <c r="AC1438" i="34"/>
  <c r="AB1438" i="34"/>
  <c r="R1438" i="34"/>
  <c r="AG1438" i="34" s="1"/>
  <c r="A1438" i="34"/>
  <c r="AI1437" i="34"/>
  <c r="AJ1437" i="34" s="1"/>
  <c r="AF1437" i="34"/>
  <c r="AD1437" i="34"/>
  <c r="AC1437" i="34"/>
  <c r="AB1437" i="34"/>
  <c r="R1437" i="34"/>
  <c r="AG1437" i="34" s="1"/>
  <c r="A1437" i="34"/>
  <c r="AI1436" i="34"/>
  <c r="AJ1436" i="34" s="1"/>
  <c r="AS1436" i="34"/>
  <c r="AD1436" i="34"/>
  <c r="AC1436" i="34"/>
  <c r="AB1436" i="34"/>
  <c r="R1436" i="34"/>
  <c r="AG1436" i="34" s="1"/>
  <c r="A1436" i="34"/>
  <c r="AF1435" i="34"/>
  <c r="AD1435" i="34"/>
  <c r="AC1435" i="34"/>
  <c r="AB1435" i="34"/>
  <c r="R1435" i="34"/>
  <c r="A1435" i="34"/>
  <c r="AD1434" i="34"/>
  <c r="AC1434" i="34"/>
  <c r="AB1434" i="34"/>
  <c r="R1434" i="34"/>
  <c r="AG1434" i="34" s="1"/>
  <c r="A1434" i="34"/>
  <c r="AF1433" i="34"/>
  <c r="AD1433" i="34"/>
  <c r="AC1433" i="34"/>
  <c r="AB1433" i="34"/>
  <c r="R1433" i="34"/>
  <c r="AG1433" i="34" s="1"/>
  <c r="A1433" i="34"/>
  <c r="AI1432" i="34"/>
  <c r="AJ1432" i="34" s="1"/>
  <c r="AE1432" i="34"/>
  <c r="AS1432" i="34" s="1"/>
  <c r="AD1432" i="34"/>
  <c r="AC1432" i="34"/>
  <c r="AB1432" i="34"/>
  <c r="R1432" i="34"/>
  <c r="AG1432" i="34" s="1"/>
  <c r="A1432" i="34"/>
  <c r="AI1431" i="34"/>
  <c r="AJ1431" i="34" s="1"/>
  <c r="AE1431" i="34"/>
  <c r="AF1431" i="34" s="1"/>
  <c r="AD1431" i="34"/>
  <c r="AC1431" i="34"/>
  <c r="AB1431" i="34"/>
  <c r="R1431" i="34"/>
  <c r="AG1431" i="34" s="1"/>
  <c r="AH1431" i="34" s="1"/>
  <c r="A1431" i="34"/>
  <c r="AI1430" i="34"/>
  <c r="AJ1430" i="34" s="1"/>
  <c r="AE1430" i="34"/>
  <c r="AF1430" i="34" s="1"/>
  <c r="AD1430" i="34"/>
  <c r="AC1430" i="34"/>
  <c r="AB1430" i="34"/>
  <c r="R1430" i="34"/>
  <c r="AG1430" i="34" s="1"/>
  <c r="A1430" i="34"/>
  <c r="AI1429" i="34"/>
  <c r="AJ1429" i="34" s="1"/>
  <c r="AF1429" i="34"/>
  <c r="AD1429" i="34"/>
  <c r="AC1429" i="34"/>
  <c r="AB1429" i="34"/>
  <c r="R1429" i="34"/>
  <c r="AG1429" i="34" s="1"/>
  <c r="A1429" i="34"/>
  <c r="AI1428" i="34"/>
  <c r="AJ1428" i="34" s="1"/>
  <c r="AS1428" i="34"/>
  <c r="AD1428" i="34"/>
  <c r="AC1428" i="34"/>
  <c r="AB1428" i="34"/>
  <c r="R1428" i="34"/>
  <c r="AG1428" i="34" s="1"/>
  <c r="A1428" i="34"/>
  <c r="AI1427" i="34"/>
  <c r="AJ1427" i="34" s="1"/>
  <c r="AF1427" i="34"/>
  <c r="AD1427" i="34"/>
  <c r="AC1427" i="34"/>
  <c r="AB1427" i="34"/>
  <c r="R1427" i="34"/>
  <c r="AG1427" i="34" s="1"/>
  <c r="A1427" i="34"/>
  <c r="AF1426" i="34"/>
  <c r="AD1426" i="34"/>
  <c r="AC1426" i="34"/>
  <c r="AB1426" i="34"/>
  <c r="R1426" i="34"/>
  <c r="A1426" i="34"/>
  <c r="AS1425" i="34"/>
  <c r="AD1425" i="34"/>
  <c r="AC1425" i="34"/>
  <c r="AB1425" i="34"/>
  <c r="R1425" i="34"/>
  <c r="A1425" i="34"/>
  <c r="AI1424" i="34"/>
  <c r="AS1424" i="34"/>
  <c r="AD1424" i="34"/>
  <c r="AC1424" i="34"/>
  <c r="AB1424" i="34"/>
  <c r="R1424" i="34"/>
  <c r="AG1424" i="34" s="1"/>
  <c r="A1424" i="34"/>
  <c r="AF1423" i="34"/>
  <c r="AD1423" i="34"/>
  <c r="AC1423" i="34"/>
  <c r="AB1423" i="34"/>
  <c r="R1423" i="34"/>
  <c r="AI1423" i="34" s="1"/>
  <c r="A1423" i="34"/>
  <c r="AI1422" i="34"/>
  <c r="AF1422" i="34"/>
  <c r="AD1422" i="34"/>
  <c r="AC1422" i="34"/>
  <c r="AB1422" i="34"/>
  <c r="R1422" i="34"/>
  <c r="AG1422" i="34" s="1"/>
  <c r="A1422" i="34"/>
  <c r="AS1421" i="34"/>
  <c r="AD1421" i="34"/>
  <c r="AC1421" i="34"/>
  <c r="AB1421" i="34"/>
  <c r="R1421" i="34"/>
  <c r="A1421" i="34"/>
  <c r="AE1420" i="34"/>
  <c r="AD1420" i="34"/>
  <c r="AC1420" i="34"/>
  <c r="AB1420" i="34"/>
  <c r="R1420" i="34"/>
  <c r="AG1420" i="34" s="1"/>
  <c r="A1420" i="34"/>
  <c r="AI1419" i="34"/>
  <c r="AE1419" i="34"/>
  <c r="AF1419" i="34" s="1"/>
  <c r="AD1419" i="34"/>
  <c r="AC1419" i="34"/>
  <c r="AB1419" i="34"/>
  <c r="R1419" i="34"/>
  <c r="AG1419" i="34" s="1"/>
  <c r="A1419" i="34"/>
  <c r="AF1418" i="34"/>
  <c r="AD1418" i="34"/>
  <c r="AC1418" i="34"/>
  <c r="AB1418" i="34"/>
  <c r="R1418" i="34"/>
  <c r="A1418" i="34"/>
  <c r="AD1417" i="34"/>
  <c r="AC1417" i="34"/>
  <c r="AB1417" i="34"/>
  <c r="R1417" i="34"/>
  <c r="AG1417" i="34" s="1"/>
  <c r="AI1417" i="34" s="1"/>
  <c r="A1417" i="34"/>
  <c r="AI1416" i="34"/>
  <c r="AE1416" i="34"/>
  <c r="AS1416" i="34" s="1"/>
  <c r="AD1416" i="34"/>
  <c r="AC1416" i="34"/>
  <c r="AB1416" i="34"/>
  <c r="R1416" i="34"/>
  <c r="AG1416" i="34" s="1"/>
  <c r="A1416" i="34"/>
  <c r="AD1415" i="34"/>
  <c r="AC1415" i="34"/>
  <c r="AB1415" i="34"/>
  <c r="R1415" i="34"/>
  <c r="AG1415" i="34" s="1"/>
  <c r="AI1415" i="34" s="1"/>
  <c r="A1415" i="34"/>
  <c r="AF1414" i="34"/>
  <c r="AD1414" i="34"/>
  <c r="AC1414" i="34"/>
  <c r="AB1414" i="34"/>
  <c r="R1414" i="34"/>
  <c r="AG1414" i="34" s="1"/>
  <c r="A1414" i="34"/>
  <c r="AI1413" i="34"/>
  <c r="AE1413" i="34"/>
  <c r="AD1413" i="34"/>
  <c r="AC1413" i="34"/>
  <c r="AB1413" i="34"/>
  <c r="R1413" i="34"/>
  <c r="AG1413" i="34" s="1"/>
  <c r="A1413" i="34"/>
  <c r="AS1412" i="34"/>
  <c r="AD1412" i="34"/>
  <c r="AC1412" i="34"/>
  <c r="AB1412" i="34"/>
  <c r="R1412" i="34"/>
  <c r="A1412" i="34"/>
  <c r="AI1411" i="34"/>
  <c r="AJ1411" i="34" s="1"/>
  <c r="AF1411" i="34"/>
  <c r="AD1411" i="34"/>
  <c r="AC1411" i="34"/>
  <c r="AB1411" i="34"/>
  <c r="R1411" i="34"/>
  <c r="AG1411" i="34" s="1"/>
  <c r="A1411" i="34"/>
  <c r="AI1410" i="34"/>
  <c r="AF1410" i="34"/>
  <c r="AD1410" i="34"/>
  <c r="AC1410" i="34"/>
  <c r="AB1410" i="34"/>
  <c r="R1410" i="34"/>
  <c r="AG1410" i="34" s="1"/>
  <c r="A1410" i="34"/>
  <c r="AI1409" i="34"/>
  <c r="AJ1409" i="34" s="1"/>
  <c r="AF1409" i="34"/>
  <c r="AD1409" i="34"/>
  <c r="AC1409" i="34"/>
  <c r="AB1409" i="34"/>
  <c r="R1409" i="34"/>
  <c r="AG1409" i="34" s="1"/>
  <c r="AT1409" i="34" s="1"/>
  <c r="A1409" i="34"/>
  <c r="AI1408" i="34"/>
  <c r="AS1408" i="34"/>
  <c r="AD1408" i="34"/>
  <c r="AC1408" i="34"/>
  <c r="AB1408" i="34"/>
  <c r="R1408" i="34"/>
  <c r="AG1408" i="34" s="1"/>
  <c r="A1408" i="34"/>
  <c r="AI1407" i="34"/>
  <c r="AJ1407" i="34" s="1"/>
  <c r="AS1407" i="34"/>
  <c r="AD1407" i="34"/>
  <c r="AC1407" i="34"/>
  <c r="AB1407" i="34"/>
  <c r="R1407" i="34"/>
  <c r="AG1407" i="34" s="1"/>
  <c r="AH1407" i="34" s="1"/>
  <c r="A1407" i="34"/>
  <c r="AI1406" i="34"/>
  <c r="AS1406" i="34"/>
  <c r="AD1406" i="34"/>
  <c r="AC1406" i="34"/>
  <c r="AB1406" i="34"/>
  <c r="R1406" i="34"/>
  <c r="AG1406" i="34" s="1"/>
  <c r="A1406" i="34"/>
  <c r="AI1405" i="34"/>
  <c r="AJ1405" i="34" s="1"/>
  <c r="AF1405" i="34"/>
  <c r="AD1405" i="34"/>
  <c r="AC1405" i="34"/>
  <c r="AB1405" i="34"/>
  <c r="R1405" i="34"/>
  <c r="AG1405" i="34" s="1"/>
  <c r="A1405" i="34"/>
  <c r="AI1404" i="34"/>
  <c r="AD1404" i="34"/>
  <c r="AC1404" i="34"/>
  <c r="AB1404" i="34"/>
  <c r="R1404" i="34"/>
  <c r="AG1404" i="34" s="1"/>
  <c r="AH1404" i="34" s="1"/>
  <c r="A1404" i="34"/>
  <c r="AI1403" i="34"/>
  <c r="AJ1403" i="34" s="1"/>
  <c r="AD1403" i="34"/>
  <c r="AC1403" i="34"/>
  <c r="AB1403" i="34"/>
  <c r="R1403" i="34"/>
  <c r="AG1403" i="34" s="1"/>
  <c r="A1403" i="34"/>
  <c r="AI1402" i="34"/>
  <c r="AS1402" i="34"/>
  <c r="AD1402" i="34"/>
  <c r="AC1402" i="34"/>
  <c r="AB1402" i="34"/>
  <c r="R1402" i="34"/>
  <c r="AG1402" i="34" s="1"/>
  <c r="A1402" i="34"/>
  <c r="AI1401" i="34"/>
  <c r="AS1401" i="34"/>
  <c r="AD1401" i="34"/>
  <c r="AC1401" i="34"/>
  <c r="AB1401" i="34"/>
  <c r="R1401" i="34"/>
  <c r="AG1401" i="34" s="1"/>
  <c r="AH1401" i="34" s="1"/>
  <c r="A1401" i="34"/>
  <c r="AI1400" i="34"/>
  <c r="AJ1400" i="34" s="1"/>
  <c r="AS1400" i="34"/>
  <c r="AD1400" i="34"/>
  <c r="AC1400" i="34"/>
  <c r="AB1400" i="34"/>
  <c r="R1400" i="34"/>
  <c r="AG1400" i="34" s="1"/>
  <c r="AT1400" i="34" s="1"/>
  <c r="A1400" i="34"/>
  <c r="AI1399" i="34"/>
  <c r="AS1399" i="34"/>
  <c r="AD1399" i="34"/>
  <c r="AC1399" i="34"/>
  <c r="AB1399" i="34"/>
  <c r="R1399" i="34"/>
  <c r="AG1399" i="34" s="1"/>
  <c r="A1399" i="34"/>
  <c r="AS1398" i="34"/>
  <c r="AD1398" i="34"/>
  <c r="AC1398" i="34"/>
  <c r="AB1398" i="34"/>
  <c r="R1398" i="34"/>
  <c r="A1398" i="34"/>
  <c r="AI1397" i="34"/>
  <c r="AD1397" i="34"/>
  <c r="AC1397" i="34"/>
  <c r="AB1397" i="34"/>
  <c r="R1397" i="34"/>
  <c r="AG1397" i="34" s="1"/>
  <c r="AT1397" i="34" s="1"/>
  <c r="A1397" i="34"/>
  <c r="AI1396" i="34"/>
  <c r="AJ1396" i="34" s="1"/>
  <c r="AS1396" i="34"/>
  <c r="AD1396" i="34"/>
  <c r="AC1396" i="34"/>
  <c r="AB1396" i="34"/>
  <c r="R1396" i="34"/>
  <c r="AG1396" i="34" s="1"/>
  <c r="AT1396" i="34" s="1"/>
  <c r="A1396" i="34"/>
  <c r="AS1395" i="34"/>
  <c r="AC1395" i="34"/>
  <c r="AB1395" i="34"/>
  <c r="Z1395" i="34"/>
  <c r="AI1395" i="34" s="1"/>
  <c r="AJ1395" i="34" s="1"/>
  <c r="R1395" i="34"/>
  <c r="AG1395" i="34" s="1"/>
  <c r="A1395" i="34"/>
  <c r="AI1394" i="34"/>
  <c r="AJ1394" i="34" s="1"/>
  <c r="AD1394" i="34"/>
  <c r="AC1394" i="34"/>
  <c r="AB1394" i="34"/>
  <c r="R1394" i="34"/>
  <c r="AG1394" i="34" s="1"/>
  <c r="A1394" i="34"/>
  <c r="AI1393" i="34"/>
  <c r="AJ1393" i="34" s="1"/>
  <c r="AE1393" i="34"/>
  <c r="AF1393" i="34" s="1"/>
  <c r="AD1393" i="34"/>
  <c r="AC1393" i="34"/>
  <c r="AB1393" i="34"/>
  <c r="R1393" i="34"/>
  <c r="AG1393" i="34" s="1"/>
  <c r="AH1393" i="34" s="1"/>
  <c r="A1393" i="34"/>
  <c r="AI1392" i="34"/>
  <c r="AJ1392" i="34" s="1"/>
  <c r="AE1392" i="34"/>
  <c r="AS1392" i="34" s="1"/>
  <c r="AD1392" i="34"/>
  <c r="AC1392" i="34"/>
  <c r="AB1392" i="34"/>
  <c r="R1392" i="34"/>
  <c r="AG1392" i="34" s="1"/>
  <c r="A1392" i="34"/>
  <c r="AI1391" i="34"/>
  <c r="AJ1391" i="34" s="1"/>
  <c r="AE1391" i="34"/>
  <c r="AS1391" i="34" s="1"/>
  <c r="AD1391" i="34"/>
  <c r="AC1391" i="34"/>
  <c r="AB1391" i="34"/>
  <c r="R1391" i="34"/>
  <c r="AG1391" i="34" s="1"/>
  <c r="A1391" i="34"/>
  <c r="AI1390" i="34"/>
  <c r="AE1390" i="34"/>
  <c r="AS1390" i="34" s="1"/>
  <c r="AD1390" i="34"/>
  <c r="AC1390" i="34"/>
  <c r="AB1390" i="34"/>
  <c r="R1390" i="34"/>
  <c r="AG1390" i="34" s="1"/>
  <c r="A1390" i="34"/>
  <c r="AI1389" i="34"/>
  <c r="AJ1389" i="34" s="1"/>
  <c r="AE1389" i="34"/>
  <c r="AD1389" i="34"/>
  <c r="AC1389" i="34"/>
  <c r="AB1389" i="34"/>
  <c r="R1389" i="34"/>
  <c r="AG1389" i="34" s="1"/>
  <c r="A1389" i="34"/>
  <c r="AE1388" i="34"/>
  <c r="AC1388" i="34"/>
  <c r="AB1388" i="34"/>
  <c r="Z1388" i="34"/>
  <c r="AI1388" i="34" s="1"/>
  <c r="R1388" i="34"/>
  <c r="AG1388" i="34" s="1"/>
  <c r="AT1388" i="34" s="1"/>
  <c r="A1388" i="34"/>
  <c r="AI1387" i="34"/>
  <c r="AD1387" i="34"/>
  <c r="AC1387" i="34"/>
  <c r="AB1387" i="34"/>
  <c r="R1387" i="34"/>
  <c r="AG1387" i="34" s="1"/>
  <c r="A1387" i="34"/>
  <c r="AI1386" i="34"/>
  <c r="AJ1386" i="34" s="1"/>
  <c r="AS1386" i="34"/>
  <c r="AD1386" i="34"/>
  <c r="AC1386" i="34"/>
  <c r="AB1386" i="34"/>
  <c r="R1386" i="34"/>
  <c r="AG1386" i="34" s="1"/>
  <c r="A1386" i="34"/>
  <c r="AC1385" i="34"/>
  <c r="AB1385" i="34"/>
  <c r="Z1385" i="34"/>
  <c r="AD1385" i="34" s="1"/>
  <c r="R1385" i="34"/>
  <c r="AG1385" i="34" s="1"/>
  <c r="A1385" i="34"/>
  <c r="AI1384" i="34"/>
  <c r="AJ1384" i="34" s="1"/>
  <c r="AS1384" i="34"/>
  <c r="AD1384" i="34"/>
  <c r="AC1384" i="34"/>
  <c r="AB1384" i="34"/>
  <c r="R1384" i="34"/>
  <c r="AG1384" i="34" s="1"/>
  <c r="A1384" i="34"/>
  <c r="AI1383" i="34"/>
  <c r="AD1383" i="34"/>
  <c r="AC1383" i="34"/>
  <c r="AB1383" i="34"/>
  <c r="R1383" i="34"/>
  <c r="AG1383" i="34" s="1"/>
  <c r="AT1383" i="34" s="1"/>
  <c r="A1383" i="34"/>
  <c r="AI1382" i="34"/>
  <c r="AJ1382" i="34" s="1"/>
  <c r="AE1382" i="34"/>
  <c r="AF1382" i="34" s="1"/>
  <c r="AD1382" i="34"/>
  <c r="AC1382" i="34"/>
  <c r="AB1382" i="34"/>
  <c r="R1382" i="34"/>
  <c r="AG1382" i="34" s="1"/>
  <c r="A1382" i="34"/>
  <c r="AI1381" i="34"/>
  <c r="AJ1381" i="34" s="1"/>
  <c r="AE1381" i="34"/>
  <c r="AS1381" i="34" s="1"/>
  <c r="AD1381" i="34"/>
  <c r="AC1381" i="34"/>
  <c r="AB1381" i="34"/>
  <c r="R1381" i="34"/>
  <c r="AG1381" i="34" s="1"/>
  <c r="A1381" i="34"/>
  <c r="AI1380" i="34"/>
  <c r="AJ1380" i="34" s="1"/>
  <c r="AE1380" i="34"/>
  <c r="AD1380" i="34"/>
  <c r="AC1380" i="34"/>
  <c r="AB1380" i="34"/>
  <c r="R1380" i="34"/>
  <c r="AG1380" i="34" s="1"/>
  <c r="A1380" i="34"/>
  <c r="AI1379" i="34"/>
  <c r="AJ1379" i="34" s="1"/>
  <c r="AS1379" i="34"/>
  <c r="AD1379" i="34"/>
  <c r="AC1379" i="34"/>
  <c r="AB1379" i="34"/>
  <c r="R1379" i="34"/>
  <c r="AG1379" i="34" s="1"/>
  <c r="A1379" i="34"/>
  <c r="AI1378" i="34"/>
  <c r="AE1378" i="34"/>
  <c r="AF1378" i="34" s="1"/>
  <c r="AD1378" i="34"/>
  <c r="AC1378" i="34"/>
  <c r="AB1378" i="34"/>
  <c r="R1378" i="34"/>
  <c r="AG1378" i="34" s="1"/>
  <c r="A1378" i="34"/>
  <c r="AI1377" i="34"/>
  <c r="AJ1377" i="34" s="1"/>
  <c r="AE1377" i="34"/>
  <c r="AF1377" i="34" s="1"/>
  <c r="AD1377" i="34"/>
  <c r="AC1377" i="34"/>
  <c r="AB1377" i="34"/>
  <c r="R1377" i="34"/>
  <c r="AG1377" i="34" s="1"/>
  <c r="A1377" i="34"/>
  <c r="AI1376" i="34"/>
  <c r="AJ1376" i="34" s="1"/>
  <c r="AE1376" i="34"/>
  <c r="AS1376" i="34" s="1"/>
  <c r="AD1376" i="34"/>
  <c r="AC1376" i="34"/>
  <c r="AB1376" i="34"/>
  <c r="R1376" i="34"/>
  <c r="AG1376" i="34" s="1"/>
  <c r="AT1376" i="34" s="1"/>
  <c r="A1376" i="34"/>
  <c r="AI1375" i="34"/>
  <c r="AE1375" i="34"/>
  <c r="AD1375" i="34"/>
  <c r="AC1375" i="34"/>
  <c r="AB1375" i="34"/>
  <c r="R1375" i="34"/>
  <c r="AG1375" i="34" s="1"/>
  <c r="AT1375" i="34" s="1"/>
  <c r="A1375" i="34"/>
  <c r="AI1374" i="34"/>
  <c r="AJ1374" i="34" s="1"/>
  <c r="AE1374" i="34"/>
  <c r="AD1374" i="34"/>
  <c r="AC1374" i="34"/>
  <c r="AB1374" i="34"/>
  <c r="R1374" i="34"/>
  <c r="AG1374" i="34" s="1"/>
  <c r="A1374" i="34"/>
  <c r="AI1373" i="34"/>
  <c r="AD1373" i="34"/>
  <c r="AC1373" i="34"/>
  <c r="AB1373" i="34"/>
  <c r="R1373" i="34"/>
  <c r="AG1373" i="34" s="1"/>
  <c r="A1373" i="34"/>
  <c r="AI1372" i="34"/>
  <c r="AJ1372" i="34" s="1"/>
  <c r="AS1372" i="34"/>
  <c r="AD1372" i="34"/>
  <c r="AC1372" i="34"/>
  <c r="AB1372" i="34"/>
  <c r="R1372" i="34"/>
  <c r="AG1372" i="34" s="1"/>
  <c r="AH1372" i="34" s="1"/>
  <c r="A1372" i="34"/>
  <c r="AI1371" i="34"/>
  <c r="AS1371" i="34"/>
  <c r="AD1371" i="34"/>
  <c r="AC1371" i="34"/>
  <c r="AB1371" i="34"/>
  <c r="R1371" i="34"/>
  <c r="AG1371" i="34" s="1"/>
  <c r="A1371" i="34"/>
  <c r="AF1370" i="34"/>
  <c r="AD1370" i="34"/>
  <c r="AC1370" i="34"/>
  <c r="AB1370" i="34"/>
  <c r="R1370" i="34"/>
  <c r="AG1370" i="34" s="1"/>
  <c r="AI1370" i="34" s="1"/>
  <c r="AK1370" i="34" s="1"/>
  <c r="AL1370" i="34" s="1"/>
  <c r="A1370" i="34"/>
  <c r="AS1369" i="34"/>
  <c r="AD1369" i="34"/>
  <c r="AC1369" i="34"/>
  <c r="AB1369" i="34"/>
  <c r="R1369" i="34"/>
  <c r="AI1369" i="34" s="1"/>
  <c r="AK1369" i="34" s="1"/>
  <c r="A1369" i="34"/>
  <c r="AI1368" i="34"/>
  <c r="AJ1368" i="34" s="1"/>
  <c r="AE1368" i="34"/>
  <c r="AS1368" i="34" s="1"/>
  <c r="AD1368" i="34"/>
  <c r="AC1368" i="34"/>
  <c r="AB1368" i="34"/>
  <c r="R1368" i="34"/>
  <c r="AG1368" i="34" s="1"/>
  <c r="A1368" i="34"/>
  <c r="AS1367" i="34"/>
  <c r="AD1367" i="34"/>
  <c r="AC1367" i="34"/>
  <c r="AB1367" i="34"/>
  <c r="R1367" i="34"/>
  <c r="AG1367" i="34" s="1"/>
  <c r="A1367" i="34"/>
  <c r="AE1366" i="34"/>
  <c r="AD1366" i="34"/>
  <c r="AC1366" i="34"/>
  <c r="AB1366" i="34"/>
  <c r="R1366" i="34"/>
  <c r="AG1366" i="34" s="1"/>
  <c r="AI1366" i="34" s="1"/>
  <c r="AK1366" i="34" s="1"/>
  <c r="AL1366" i="34" s="1"/>
  <c r="A1366" i="34"/>
  <c r="AS1365" i="34"/>
  <c r="AD1365" i="34"/>
  <c r="AC1365" i="34"/>
  <c r="AB1365" i="34"/>
  <c r="R1365" i="34"/>
  <c r="AG1365" i="34" s="1"/>
  <c r="AI1365" i="34" s="1"/>
  <c r="A1365" i="34"/>
  <c r="AE1364" i="34"/>
  <c r="AS1364" i="34" s="1"/>
  <c r="AD1364" i="34"/>
  <c r="AC1364" i="34"/>
  <c r="AB1364" i="34"/>
  <c r="R1364" i="34"/>
  <c r="AG1364" i="34" s="1"/>
  <c r="AI1364" i="34" s="1"/>
  <c r="AK1364" i="34" s="1"/>
  <c r="AL1364" i="34" s="1"/>
  <c r="A1364" i="34"/>
  <c r="AI1363" i="34"/>
  <c r="AJ1363" i="34" s="1"/>
  <c r="AE1363" i="34"/>
  <c r="AS1363" i="34" s="1"/>
  <c r="AD1363" i="34"/>
  <c r="AC1363" i="34"/>
  <c r="AB1363" i="34"/>
  <c r="R1363" i="34"/>
  <c r="AG1363" i="34" s="1"/>
  <c r="A1363" i="34"/>
  <c r="AF1362" i="34"/>
  <c r="AD1362" i="34"/>
  <c r="AC1362" i="34"/>
  <c r="AB1362" i="34"/>
  <c r="R1362" i="34"/>
  <c r="A1362" i="34"/>
  <c r="AF1361" i="34"/>
  <c r="AD1361" i="34"/>
  <c r="AC1361" i="34"/>
  <c r="AB1361" i="34"/>
  <c r="R1361" i="34"/>
  <c r="AG1361" i="34" s="1"/>
  <c r="AI1361" i="34" s="1"/>
  <c r="AK1361" i="34" s="1"/>
  <c r="AL1361" i="34" s="1"/>
  <c r="A1361" i="34"/>
  <c r="AE1360" i="34"/>
  <c r="AS1360" i="34" s="1"/>
  <c r="AC1360" i="34"/>
  <c r="AB1360" i="34"/>
  <c r="Z1360" i="34"/>
  <c r="AI1360" i="34" s="1"/>
  <c r="R1360" i="34"/>
  <c r="AG1360" i="34" s="1"/>
  <c r="AH1360" i="34" s="1"/>
  <c r="A1360" i="34"/>
  <c r="AE1359" i="34"/>
  <c r="AS1359" i="34" s="1"/>
  <c r="AD1359" i="34"/>
  <c r="AC1359" i="34"/>
  <c r="AB1359" i="34"/>
  <c r="R1359" i="34"/>
  <c r="AG1359" i="34" s="1"/>
  <c r="AI1359" i="34" s="1"/>
  <c r="A1359" i="34"/>
  <c r="AE1358" i="34"/>
  <c r="AD1358" i="34"/>
  <c r="AC1358" i="34"/>
  <c r="AB1358" i="34"/>
  <c r="R1358" i="34"/>
  <c r="AG1358" i="34" s="1"/>
  <c r="A1358" i="34"/>
  <c r="AE1357" i="34"/>
  <c r="AS1357" i="34" s="1"/>
  <c r="AC1357" i="34"/>
  <c r="AB1357" i="34"/>
  <c r="Z1357" i="34"/>
  <c r="AI1357" i="34" s="1"/>
  <c r="R1357" i="34"/>
  <c r="AG1357" i="34" s="1"/>
  <c r="A1357" i="34"/>
  <c r="AI1356" i="34"/>
  <c r="AF1356" i="34"/>
  <c r="AD1356" i="34"/>
  <c r="AC1356" i="34"/>
  <c r="AB1356" i="34"/>
  <c r="R1356" i="34"/>
  <c r="AG1356" i="34" s="1"/>
  <c r="A1356" i="34"/>
  <c r="AI1355" i="34"/>
  <c r="AJ1355" i="34" s="1"/>
  <c r="AS1355" i="34"/>
  <c r="AD1355" i="34"/>
  <c r="AC1355" i="34"/>
  <c r="AB1355" i="34"/>
  <c r="R1355" i="34"/>
  <c r="AG1355" i="34" s="1"/>
  <c r="A1355" i="34"/>
  <c r="AI1354" i="34"/>
  <c r="AS1354" i="34"/>
  <c r="AD1354" i="34"/>
  <c r="AC1354" i="34"/>
  <c r="AB1354" i="34"/>
  <c r="R1354" i="34"/>
  <c r="AG1354" i="34" s="1"/>
  <c r="AH1354" i="34" s="1"/>
  <c r="A1354" i="34"/>
  <c r="AI1353" i="34"/>
  <c r="AJ1353" i="34" s="1"/>
  <c r="AF1353" i="34"/>
  <c r="AD1353" i="34"/>
  <c r="AC1353" i="34"/>
  <c r="AB1353" i="34"/>
  <c r="R1353" i="34"/>
  <c r="AG1353" i="34" s="1"/>
  <c r="A1353" i="34"/>
  <c r="AI1352" i="34"/>
  <c r="AJ1352" i="34" s="1"/>
  <c r="AE1352" i="34"/>
  <c r="AF1352" i="34" s="1"/>
  <c r="AD1352" i="34"/>
  <c r="AC1352" i="34"/>
  <c r="AB1352" i="34"/>
  <c r="R1352" i="34"/>
  <c r="AG1352" i="34" s="1"/>
  <c r="A1352" i="34"/>
  <c r="AD1351" i="34"/>
  <c r="AC1351" i="34"/>
  <c r="AB1351" i="34"/>
  <c r="R1351" i="34"/>
  <c r="A1351" i="34"/>
  <c r="AI1350" i="34"/>
  <c r="AE1350" i="34"/>
  <c r="AF1350" i="34" s="1"/>
  <c r="AD1350" i="34"/>
  <c r="AC1350" i="34"/>
  <c r="AB1350" i="34"/>
  <c r="R1350" i="34"/>
  <c r="AG1350" i="34" s="1"/>
  <c r="A1350" i="34"/>
  <c r="AI1349" i="34"/>
  <c r="AE1349" i="34"/>
  <c r="AF1349" i="34" s="1"/>
  <c r="AD1349" i="34"/>
  <c r="AC1349" i="34"/>
  <c r="AB1349" i="34"/>
  <c r="R1349" i="34"/>
  <c r="AG1349" i="34" s="1"/>
  <c r="AH1349" i="34" s="1"/>
  <c r="A1349" i="34"/>
  <c r="AD1348" i="34"/>
  <c r="AC1348" i="34"/>
  <c r="AB1348" i="34"/>
  <c r="R1348" i="34"/>
  <c r="A1348" i="34"/>
  <c r="AI1347" i="34"/>
  <c r="AJ1347" i="34" s="1"/>
  <c r="AS1347" i="34"/>
  <c r="AD1347" i="34"/>
  <c r="AC1347" i="34"/>
  <c r="AB1347" i="34"/>
  <c r="R1347" i="34"/>
  <c r="AG1347" i="34" s="1"/>
  <c r="AT1347" i="34" s="1"/>
  <c r="A1347" i="34"/>
  <c r="AI1346" i="34"/>
  <c r="AJ1346" i="34" s="1"/>
  <c r="AE1346" i="34"/>
  <c r="AF1346" i="34" s="1"/>
  <c r="AD1346" i="34"/>
  <c r="AC1346" i="34"/>
  <c r="AB1346" i="34"/>
  <c r="R1346" i="34"/>
  <c r="AG1346" i="34" s="1"/>
  <c r="A1346" i="34"/>
  <c r="AI1345" i="34"/>
  <c r="AF1345" i="34"/>
  <c r="AD1345" i="34"/>
  <c r="AC1345" i="34"/>
  <c r="AB1345" i="34"/>
  <c r="R1345" i="34"/>
  <c r="AG1345" i="34" s="1"/>
  <c r="AH1345" i="34" s="1"/>
  <c r="A1345" i="34"/>
  <c r="AI1344" i="34"/>
  <c r="AF1344" i="34"/>
  <c r="AD1344" i="34"/>
  <c r="AC1344" i="34"/>
  <c r="AB1344" i="34"/>
  <c r="R1344" i="34"/>
  <c r="AG1344" i="34" s="1"/>
  <c r="A1344" i="34"/>
  <c r="AI1343" i="34"/>
  <c r="AE1343" i="34"/>
  <c r="AS1343" i="34" s="1"/>
  <c r="AD1343" i="34"/>
  <c r="AC1343" i="34"/>
  <c r="AB1343" i="34"/>
  <c r="R1343" i="34"/>
  <c r="AG1343" i="34" s="1"/>
  <c r="A1343" i="34"/>
  <c r="AD1342" i="34"/>
  <c r="AC1342" i="34"/>
  <c r="AB1342" i="34"/>
  <c r="R1342" i="34"/>
  <c r="AI1342" i="34" s="1"/>
  <c r="A1342" i="34"/>
  <c r="AS1341" i="34"/>
  <c r="AD1341" i="34"/>
  <c r="AC1341" i="34"/>
  <c r="AB1341" i="34"/>
  <c r="R1341" i="34"/>
  <c r="A1341" i="34"/>
  <c r="AI1340" i="34"/>
  <c r="AJ1340" i="34" s="1"/>
  <c r="AE1340" i="34"/>
  <c r="AD1340" i="34"/>
  <c r="AC1340" i="34"/>
  <c r="AB1340" i="34"/>
  <c r="R1340" i="34"/>
  <c r="AG1340" i="34" s="1"/>
  <c r="A1340" i="34"/>
  <c r="AI1339" i="34"/>
  <c r="AS1339" i="34"/>
  <c r="AD1339" i="34"/>
  <c r="AC1339" i="34"/>
  <c r="AB1339" i="34"/>
  <c r="R1339" i="34"/>
  <c r="A1339" i="34"/>
  <c r="AI1338" i="34"/>
  <c r="AJ1338" i="34" s="1"/>
  <c r="AE1338" i="34"/>
  <c r="AS1338" i="34" s="1"/>
  <c r="AD1338" i="34"/>
  <c r="AC1338" i="34"/>
  <c r="AB1338" i="34"/>
  <c r="R1338" i="34"/>
  <c r="AG1338" i="34" s="1"/>
  <c r="AT1338" i="34" s="1"/>
  <c r="A1338" i="34"/>
  <c r="AE1337" i="34"/>
  <c r="AS1337" i="34" s="1"/>
  <c r="AD1337" i="34"/>
  <c r="AC1337" i="34"/>
  <c r="AB1337" i="34"/>
  <c r="R1337" i="34"/>
  <c r="AG1337" i="34" s="1"/>
  <c r="A1337" i="34"/>
  <c r="AI1336" i="34"/>
  <c r="AJ1336" i="34" s="1"/>
  <c r="AE1336" i="34"/>
  <c r="AD1336" i="34"/>
  <c r="AC1336" i="34"/>
  <c r="AB1336" i="34"/>
  <c r="R1336" i="34"/>
  <c r="AG1336" i="34" s="1"/>
  <c r="A1336" i="34"/>
  <c r="AI1335" i="34"/>
  <c r="AJ1335" i="34" s="1"/>
  <c r="AE1335" i="34"/>
  <c r="AS1335" i="34" s="1"/>
  <c r="AD1335" i="34"/>
  <c r="AC1335" i="34"/>
  <c r="AB1335" i="34"/>
  <c r="R1335" i="34"/>
  <c r="AG1335" i="34" s="1"/>
  <c r="A1335" i="34"/>
  <c r="AD1334" i="34"/>
  <c r="AC1334" i="34"/>
  <c r="AB1334" i="34"/>
  <c r="R1334" i="34"/>
  <c r="AG1334" i="34" s="1"/>
  <c r="A1334" i="34"/>
  <c r="AI1333" i="34"/>
  <c r="AJ1333" i="34" s="1"/>
  <c r="AD1333" i="34"/>
  <c r="AC1333" i="34"/>
  <c r="AB1333" i="34"/>
  <c r="R1333" i="34"/>
  <c r="AG1333" i="34" s="1"/>
  <c r="AH1333" i="34" s="1"/>
  <c r="A1333" i="34"/>
  <c r="AI1332" i="34"/>
  <c r="AJ1332" i="34" s="1"/>
  <c r="AE1332" i="34"/>
  <c r="AS1332" i="34" s="1"/>
  <c r="AD1332" i="34"/>
  <c r="AC1332" i="34"/>
  <c r="AB1332" i="34"/>
  <c r="R1332" i="34"/>
  <c r="AG1332" i="34" s="1"/>
  <c r="A1332" i="34"/>
  <c r="AI1331" i="34"/>
  <c r="AD1331" i="34"/>
  <c r="AC1331" i="34"/>
  <c r="AB1331" i="34"/>
  <c r="R1331" i="34"/>
  <c r="AT1331" i="34" s="1"/>
  <c r="A1331" i="34"/>
  <c r="AI1330" i="34"/>
  <c r="AJ1330" i="34" s="1"/>
  <c r="AD1330" i="34"/>
  <c r="AC1330" i="34"/>
  <c r="AB1330" i="34"/>
  <c r="R1330" i="34"/>
  <c r="AG1330" i="34" s="1"/>
  <c r="A1330" i="34"/>
  <c r="AI1329" i="34"/>
  <c r="AE1329" i="34"/>
  <c r="AD1329" i="34"/>
  <c r="AC1329" i="34"/>
  <c r="AB1329" i="34"/>
  <c r="R1329" i="34"/>
  <c r="AG1329" i="34" s="1"/>
  <c r="A1329" i="34"/>
  <c r="AI1328" i="34"/>
  <c r="AD1328" i="34"/>
  <c r="AC1328" i="34"/>
  <c r="AB1328" i="34"/>
  <c r="R1328" i="34"/>
  <c r="A1328" i="34"/>
  <c r="AS1327" i="34"/>
  <c r="AC1327" i="34"/>
  <c r="AB1327" i="34"/>
  <c r="Z1327" i="34"/>
  <c r="AI1327" i="34" s="1"/>
  <c r="R1327" i="34"/>
  <c r="AG1327" i="34" s="1"/>
  <c r="AH1327" i="34" s="1"/>
  <c r="A1327" i="34"/>
  <c r="AE1326" i="34"/>
  <c r="AC1326" i="34"/>
  <c r="AB1326" i="34"/>
  <c r="Z1326" i="34"/>
  <c r="AD1326" i="34" s="1"/>
  <c r="R1326" i="34"/>
  <c r="AG1326" i="34" s="1"/>
  <c r="A1326" i="34"/>
  <c r="AI1325" i="34"/>
  <c r="AD1325" i="34"/>
  <c r="AC1325" i="34"/>
  <c r="AB1325" i="34"/>
  <c r="R1325" i="34"/>
  <c r="AG1325" i="34" s="1"/>
  <c r="AH1325" i="34" s="1"/>
  <c r="A1325" i="34"/>
  <c r="AI1324" i="34"/>
  <c r="AS1324" i="34"/>
  <c r="AD1324" i="34"/>
  <c r="AC1324" i="34"/>
  <c r="AB1324" i="34"/>
  <c r="R1324" i="34"/>
  <c r="AG1324" i="34" s="1"/>
  <c r="A1324" i="34"/>
  <c r="AD1323" i="34"/>
  <c r="AC1323" i="34"/>
  <c r="AB1323" i="34"/>
  <c r="R1323" i="34"/>
  <c r="AT1323" i="34" s="1"/>
  <c r="A1323" i="34"/>
  <c r="AI1322" i="34"/>
  <c r="AJ1322" i="34" s="1"/>
  <c r="AS1322" i="34"/>
  <c r="AD1322" i="34"/>
  <c r="AC1322" i="34"/>
  <c r="AB1322" i="34"/>
  <c r="R1322" i="34"/>
  <c r="AG1322" i="34" s="1"/>
  <c r="A1322" i="34"/>
  <c r="AI1321" i="34"/>
  <c r="AD1321" i="34"/>
  <c r="AC1321" i="34"/>
  <c r="AB1321" i="34"/>
  <c r="R1321" i="34"/>
  <c r="AG1321" i="34" s="1"/>
  <c r="AT1321" i="34" s="1"/>
  <c r="A1321" i="34"/>
  <c r="AI1320" i="34"/>
  <c r="AJ1320" i="34" s="1"/>
  <c r="AE1320" i="34"/>
  <c r="AS1320" i="34" s="1"/>
  <c r="AD1320" i="34"/>
  <c r="AC1320" i="34"/>
  <c r="AB1320" i="34"/>
  <c r="R1320" i="34"/>
  <c r="AG1320" i="34" s="1"/>
  <c r="AH1320" i="34" s="1"/>
  <c r="A1320" i="34"/>
  <c r="AI1319" i="34"/>
  <c r="AJ1319" i="34" s="1"/>
  <c r="AE1319" i="34"/>
  <c r="AD1319" i="34"/>
  <c r="AC1319" i="34"/>
  <c r="AB1319" i="34"/>
  <c r="R1319" i="34"/>
  <c r="AG1319" i="34" s="1"/>
  <c r="A1319" i="34"/>
  <c r="AE1318" i="34"/>
  <c r="AC1318" i="34"/>
  <c r="AB1318" i="34"/>
  <c r="Z1318" i="34"/>
  <c r="AI1318" i="34" s="1"/>
  <c r="R1318" i="34"/>
  <c r="AG1318" i="34" s="1"/>
  <c r="A1318" i="34"/>
  <c r="AI1317" i="34"/>
  <c r="AJ1317" i="34" s="1"/>
  <c r="AF1317" i="34"/>
  <c r="AD1317" i="34"/>
  <c r="AC1317" i="34"/>
  <c r="AB1317" i="34"/>
  <c r="R1317" i="34"/>
  <c r="AG1317" i="34" s="1"/>
  <c r="A1317" i="34"/>
  <c r="AI1316" i="34"/>
  <c r="AJ1316" i="34" s="1"/>
  <c r="AS1316" i="34"/>
  <c r="AD1316" i="34"/>
  <c r="AC1316" i="34"/>
  <c r="AB1316" i="34"/>
  <c r="R1316" i="34"/>
  <c r="AG1316" i="34" s="1"/>
  <c r="A1316" i="34"/>
  <c r="AS1315" i="34"/>
  <c r="AC1315" i="34"/>
  <c r="AB1315" i="34"/>
  <c r="Z1315" i="34"/>
  <c r="AD1315" i="34" s="1"/>
  <c r="R1315" i="34"/>
  <c r="AG1315" i="34" s="1"/>
  <c r="A1315" i="34"/>
  <c r="AI1314" i="34"/>
  <c r="AD1314" i="34"/>
  <c r="AC1314" i="34"/>
  <c r="AB1314" i="34"/>
  <c r="R1314" i="34"/>
  <c r="AT1314" i="34" s="1"/>
  <c r="A1314" i="34"/>
  <c r="AI1313" i="34"/>
  <c r="AS1313" i="34"/>
  <c r="AD1313" i="34"/>
  <c r="AC1313" i="34"/>
  <c r="AB1313" i="34"/>
  <c r="R1313" i="34"/>
  <c r="AG1313" i="34" s="1"/>
  <c r="A1313" i="34"/>
  <c r="AI1312" i="34"/>
  <c r="AJ1312" i="34" s="1"/>
  <c r="AD1312" i="34"/>
  <c r="AC1312" i="34"/>
  <c r="AB1312" i="34"/>
  <c r="R1312" i="34"/>
  <c r="AG1312" i="34" s="1"/>
  <c r="AT1312" i="34" s="1"/>
  <c r="A1312" i="34"/>
  <c r="AI1311" i="34"/>
  <c r="AJ1311" i="34" s="1"/>
  <c r="AS1311" i="34"/>
  <c r="AD1311" i="34"/>
  <c r="AC1311" i="34"/>
  <c r="AB1311" i="34"/>
  <c r="R1311" i="34"/>
  <c r="AG1311" i="34" s="1"/>
  <c r="A1311" i="34"/>
  <c r="AI1310" i="34"/>
  <c r="AE1310" i="34"/>
  <c r="AS1310" i="34" s="1"/>
  <c r="AD1310" i="34"/>
  <c r="AC1310" i="34"/>
  <c r="AB1310" i="34"/>
  <c r="R1310" i="34"/>
  <c r="AG1310" i="34" s="1"/>
  <c r="AT1310" i="34" s="1"/>
  <c r="A1310" i="34"/>
  <c r="AE1309" i="34"/>
  <c r="AS1309" i="34" s="1"/>
  <c r="AD1309" i="34"/>
  <c r="AC1309" i="34"/>
  <c r="AB1309" i="34"/>
  <c r="R1309" i="34"/>
  <c r="AI1309" i="34" s="1"/>
  <c r="A1309" i="34"/>
  <c r="AD1308" i="34"/>
  <c r="AC1308" i="34"/>
  <c r="AB1308" i="34"/>
  <c r="R1308" i="34"/>
  <c r="AI1308" i="34" s="1"/>
  <c r="A1308" i="34"/>
  <c r="AI1307" i="34"/>
  <c r="AJ1307" i="34" s="1"/>
  <c r="AE1307" i="34"/>
  <c r="AS1307" i="34" s="1"/>
  <c r="AD1307" i="34"/>
  <c r="AC1307" i="34"/>
  <c r="AB1307" i="34"/>
  <c r="R1307" i="34"/>
  <c r="A1307" i="34"/>
  <c r="AI1306" i="34"/>
  <c r="AS1306" i="34"/>
  <c r="AD1306" i="34"/>
  <c r="AC1306" i="34"/>
  <c r="AB1306" i="34"/>
  <c r="R1306" i="34"/>
  <c r="AG1306" i="34" s="1"/>
  <c r="A1306" i="34"/>
  <c r="AI1305" i="34"/>
  <c r="AS1305" i="34"/>
  <c r="AD1305" i="34"/>
  <c r="AC1305" i="34"/>
  <c r="AB1305" i="34"/>
  <c r="R1305" i="34"/>
  <c r="AG1305" i="34" s="1"/>
  <c r="AH1305" i="34" s="1"/>
  <c r="A1305" i="34"/>
  <c r="AI1304" i="34"/>
  <c r="AJ1304" i="34" s="1"/>
  <c r="AE1304" i="34"/>
  <c r="AD1304" i="34"/>
  <c r="AC1304" i="34"/>
  <c r="AB1304" i="34"/>
  <c r="R1304" i="34"/>
  <c r="AG1304" i="34" s="1"/>
  <c r="AT1304" i="34" s="1"/>
  <c r="A1304" i="34"/>
  <c r="AI1303" i="34"/>
  <c r="AJ1303" i="34" s="1"/>
  <c r="AE1303" i="34"/>
  <c r="AF1303" i="34" s="1"/>
  <c r="AD1303" i="34"/>
  <c r="AC1303" i="34"/>
  <c r="AB1303" i="34"/>
  <c r="R1303" i="34"/>
  <c r="AG1303" i="34" s="1"/>
  <c r="A1303" i="34"/>
  <c r="AI1302" i="34"/>
  <c r="AS1302" i="34"/>
  <c r="AD1302" i="34"/>
  <c r="AC1302" i="34"/>
  <c r="AB1302" i="34"/>
  <c r="R1302" i="34"/>
  <c r="AG1302" i="34" s="1"/>
  <c r="AT1302" i="34" s="1"/>
  <c r="A1302" i="34"/>
  <c r="AI1301" i="34"/>
  <c r="AJ1301" i="34" s="1"/>
  <c r="AE1301" i="34"/>
  <c r="AS1301" i="34" s="1"/>
  <c r="AD1301" i="34"/>
  <c r="AC1301" i="34"/>
  <c r="AB1301" i="34"/>
  <c r="R1301" i="34"/>
  <c r="AG1301" i="34" s="1"/>
  <c r="A1301" i="34"/>
  <c r="AI1300" i="34"/>
  <c r="AD1300" i="34"/>
  <c r="AC1300" i="34"/>
  <c r="AB1300" i="34"/>
  <c r="R1300" i="34"/>
  <c r="AT1300" i="34" s="1"/>
  <c r="A1300" i="34"/>
  <c r="AI1299" i="34"/>
  <c r="AJ1299" i="34" s="1"/>
  <c r="AD1299" i="34"/>
  <c r="AC1299" i="34"/>
  <c r="AB1299" i="34"/>
  <c r="R1299" i="34"/>
  <c r="AG1299" i="34" s="1"/>
  <c r="A1299" i="34"/>
  <c r="AI1298" i="34"/>
  <c r="AE1298" i="34"/>
  <c r="AS1298" i="34" s="1"/>
  <c r="AD1298" i="34"/>
  <c r="AC1298" i="34"/>
  <c r="AB1298" i="34"/>
  <c r="R1298" i="34"/>
  <c r="AG1298" i="34" s="1"/>
  <c r="AT1298" i="34" s="1"/>
  <c r="A1298" i="34"/>
  <c r="AI1297" i="34"/>
  <c r="AS1297" i="34"/>
  <c r="AD1297" i="34"/>
  <c r="AC1297" i="34"/>
  <c r="AB1297" i="34"/>
  <c r="R1297" i="34"/>
  <c r="AG1297" i="34" s="1"/>
  <c r="AH1297" i="34" s="1"/>
  <c r="A1297" i="34"/>
  <c r="AI1296" i="34"/>
  <c r="AJ1296" i="34" s="1"/>
  <c r="AE1296" i="34"/>
  <c r="AD1296" i="34"/>
  <c r="AC1296" i="34"/>
  <c r="AB1296" i="34"/>
  <c r="R1296" i="34"/>
  <c r="AG1296" i="34" s="1"/>
  <c r="AT1296" i="34" s="1"/>
  <c r="A1296" i="34"/>
  <c r="AD1295" i="34"/>
  <c r="AC1295" i="34"/>
  <c r="AB1295" i="34"/>
  <c r="R1295" i="34"/>
  <c r="A1295" i="34"/>
  <c r="AS1294" i="34"/>
  <c r="AD1294" i="34"/>
  <c r="AC1294" i="34"/>
  <c r="AB1294" i="34"/>
  <c r="R1294" i="34"/>
  <c r="AG1294" i="34" s="1"/>
  <c r="AH1294" i="34" s="1"/>
  <c r="A1294" i="34"/>
  <c r="AD1293" i="34"/>
  <c r="AC1293" i="34"/>
  <c r="AB1293" i="34"/>
  <c r="R1293" i="34"/>
  <c r="AG1293" i="34" s="1"/>
  <c r="AI1293" i="34" s="1"/>
  <c r="AK1293" i="34" s="1"/>
  <c r="AL1293" i="34" s="1"/>
  <c r="A1293" i="34"/>
  <c r="AI1292" i="34"/>
  <c r="AJ1292" i="34" s="1"/>
  <c r="AS1292" i="34"/>
  <c r="AD1292" i="34"/>
  <c r="AC1292" i="34"/>
  <c r="AB1292" i="34"/>
  <c r="R1292" i="34"/>
  <c r="A1292" i="34"/>
  <c r="AI1291" i="34"/>
  <c r="AD1291" i="34"/>
  <c r="AC1291" i="34"/>
  <c r="AB1291" i="34"/>
  <c r="R1291" i="34"/>
  <c r="AG1291" i="34" s="1"/>
  <c r="AT1291" i="34" s="1"/>
  <c r="A1291" i="34"/>
  <c r="AI1290" i="34"/>
  <c r="AE1290" i="34"/>
  <c r="AD1290" i="34"/>
  <c r="AC1290" i="34"/>
  <c r="AB1290" i="34"/>
  <c r="R1290" i="34"/>
  <c r="AG1290" i="34" s="1"/>
  <c r="AT1290" i="34" s="1"/>
  <c r="A1290" i="34"/>
  <c r="AI1289" i="34"/>
  <c r="AJ1289" i="34" s="1"/>
  <c r="AF1289" i="34"/>
  <c r="AD1289" i="34"/>
  <c r="AC1289" i="34"/>
  <c r="AB1289" i="34"/>
  <c r="R1289" i="34"/>
  <c r="AG1289" i="34" s="1"/>
  <c r="AT1289" i="34" s="1"/>
  <c r="A1289" i="34"/>
  <c r="AI1288" i="34"/>
  <c r="AJ1288" i="34" s="1"/>
  <c r="AS1288" i="34"/>
  <c r="AD1288" i="34"/>
  <c r="AC1288" i="34"/>
  <c r="AB1288" i="34"/>
  <c r="R1288" i="34"/>
  <c r="AG1288" i="34" s="1"/>
  <c r="A1288" i="34"/>
  <c r="AI1287" i="34"/>
  <c r="AJ1287" i="34" s="1"/>
  <c r="AE1287" i="34"/>
  <c r="AD1287" i="34"/>
  <c r="AC1287" i="34"/>
  <c r="AB1287" i="34"/>
  <c r="R1287" i="34"/>
  <c r="AG1287" i="34" s="1"/>
  <c r="A1287" i="34"/>
  <c r="AS1286" i="34"/>
  <c r="AD1286" i="34"/>
  <c r="AC1286" i="34"/>
  <c r="AB1286" i="34"/>
  <c r="R1286" i="34"/>
  <c r="AI1286" i="34" s="1"/>
  <c r="A1286" i="34"/>
  <c r="AS1285" i="34"/>
  <c r="AD1285" i="34"/>
  <c r="AC1285" i="34"/>
  <c r="AB1285" i="34"/>
  <c r="R1285" i="34"/>
  <c r="AI1285" i="34" s="1"/>
  <c r="AK1285" i="34" s="1"/>
  <c r="A1285" i="34"/>
  <c r="AI1284" i="34"/>
  <c r="AJ1284" i="34" s="1"/>
  <c r="AF1284" i="34"/>
  <c r="AD1284" i="34"/>
  <c r="AC1284" i="34"/>
  <c r="AB1284" i="34"/>
  <c r="R1284" i="34"/>
  <c r="AG1284" i="34" s="1"/>
  <c r="A1284" i="34"/>
  <c r="AS1283" i="34"/>
  <c r="AD1283" i="34"/>
  <c r="AC1283" i="34"/>
  <c r="AB1283" i="34"/>
  <c r="R1283" i="34"/>
  <c r="AG1283" i="34" s="1"/>
  <c r="A1283" i="34"/>
  <c r="AI1282" i="34"/>
  <c r="AD1282" i="34"/>
  <c r="AC1282" i="34"/>
  <c r="AB1282" i="34"/>
  <c r="R1282" i="34"/>
  <c r="AG1282" i="34" s="1"/>
  <c r="AH1282" i="34" s="1"/>
  <c r="A1282" i="34"/>
  <c r="AD1281" i="34"/>
  <c r="AC1281" i="34"/>
  <c r="AB1281" i="34"/>
  <c r="R1281" i="34"/>
  <c r="AG1281" i="34" s="1"/>
  <c r="A1281" i="34"/>
  <c r="AI1280" i="34"/>
  <c r="AJ1280" i="34" s="1"/>
  <c r="AE1280" i="34"/>
  <c r="AF1280" i="34" s="1"/>
  <c r="AD1280" i="34"/>
  <c r="AC1280" i="34"/>
  <c r="AB1280" i="34"/>
  <c r="R1280" i="34"/>
  <c r="AG1280" i="34" s="1"/>
  <c r="A1280" i="34"/>
  <c r="AI1279" i="34"/>
  <c r="AJ1279" i="34" s="1"/>
  <c r="AE1279" i="34"/>
  <c r="AF1279" i="34" s="1"/>
  <c r="AD1279" i="34"/>
  <c r="AC1279" i="34"/>
  <c r="AB1279" i="34"/>
  <c r="R1279" i="34"/>
  <c r="AG1279" i="34" s="1"/>
  <c r="AT1279" i="34" s="1"/>
  <c r="A1279" i="34"/>
  <c r="AS1278" i="34"/>
  <c r="AD1278" i="34"/>
  <c r="AC1278" i="34"/>
  <c r="AB1278" i="34"/>
  <c r="R1278" i="34"/>
  <c r="AG1278" i="34" s="1"/>
  <c r="A1278" i="34"/>
  <c r="AI1277" i="34"/>
  <c r="AS1277" i="34"/>
  <c r="AD1277" i="34"/>
  <c r="AC1277" i="34"/>
  <c r="AB1277" i="34"/>
  <c r="R1277" i="34"/>
  <c r="AG1277" i="34" s="1"/>
  <c r="AT1277" i="34" s="1"/>
  <c r="A1277" i="34"/>
  <c r="AI1276" i="34"/>
  <c r="AE1276" i="34"/>
  <c r="AS1276" i="34" s="1"/>
  <c r="AD1276" i="34"/>
  <c r="AC1276" i="34"/>
  <c r="AB1276" i="34"/>
  <c r="R1276" i="34"/>
  <c r="AG1276" i="34" s="1"/>
  <c r="A1276" i="34"/>
  <c r="AI1275" i="34"/>
  <c r="AF1275" i="34"/>
  <c r="AD1275" i="34"/>
  <c r="AC1275" i="34"/>
  <c r="AB1275" i="34"/>
  <c r="R1275" i="34"/>
  <c r="AG1275" i="34" s="1"/>
  <c r="A1275" i="34"/>
  <c r="AI1274" i="34"/>
  <c r="AD1274" i="34"/>
  <c r="AC1274" i="34"/>
  <c r="AB1274" i="34"/>
  <c r="R1274" i="34"/>
  <c r="AG1274" i="34" s="1"/>
  <c r="AH1274" i="34" s="1"/>
  <c r="A1274" i="34"/>
  <c r="AI1273" i="34"/>
  <c r="AE1273" i="34"/>
  <c r="AF1273" i="34" s="1"/>
  <c r="AD1273" i="34"/>
  <c r="AC1273" i="34"/>
  <c r="AB1273" i="34"/>
  <c r="R1273" i="34"/>
  <c r="AG1273" i="34" s="1"/>
  <c r="A1273" i="34"/>
  <c r="AI1272" i="34"/>
  <c r="AS1272" i="34"/>
  <c r="AD1272" i="34"/>
  <c r="AC1272" i="34"/>
  <c r="AB1272" i="34"/>
  <c r="R1272" i="34"/>
  <c r="AG1272" i="34" s="1"/>
  <c r="A1272" i="34"/>
  <c r="AI1271" i="34"/>
  <c r="AJ1271" i="34" s="1"/>
  <c r="AE1271" i="34"/>
  <c r="AS1271" i="34" s="1"/>
  <c r="AD1271" i="34"/>
  <c r="AC1271" i="34"/>
  <c r="AB1271" i="34"/>
  <c r="R1271" i="34"/>
  <c r="AG1271" i="34" s="1"/>
  <c r="A1271" i="34"/>
  <c r="AI1270" i="34"/>
  <c r="AE1270" i="34"/>
  <c r="AS1270" i="34" s="1"/>
  <c r="AD1270" i="34"/>
  <c r="AC1270" i="34"/>
  <c r="AB1270" i="34"/>
  <c r="R1270" i="34"/>
  <c r="AG1270" i="34" s="1"/>
  <c r="A1270" i="34"/>
  <c r="AI1269" i="34"/>
  <c r="AJ1269" i="34" s="1"/>
  <c r="AE1269" i="34"/>
  <c r="AF1269" i="34" s="1"/>
  <c r="AD1269" i="34"/>
  <c r="AC1269" i="34"/>
  <c r="AB1269" i="34"/>
  <c r="R1269" i="34"/>
  <c r="AG1269" i="34" s="1"/>
  <c r="A1269" i="34"/>
  <c r="AI1268" i="34"/>
  <c r="AE1268" i="34"/>
  <c r="AS1268" i="34" s="1"/>
  <c r="AD1268" i="34"/>
  <c r="AC1268" i="34"/>
  <c r="AB1268" i="34"/>
  <c r="R1268" i="34"/>
  <c r="AG1268" i="34" s="1"/>
  <c r="A1268" i="34"/>
  <c r="AI1267" i="34"/>
  <c r="AE1267" i="34"/>
  <c r="AF1267" i="34" s="1"/>
  <c r="AD1267" i="34"/>
  <c r="AC1267" i="34"/>
  <c r="AB1267" i="34"/>
  <c r="R1267" i="34"/>
  <c r="AG1267" i="34" s="1"/>
  <c r="A1267" i="34"/>
  <c r="AI1266" i="34"/>
  <c r="AE1266" i="34"/>
  <c r="AS1266" i="34" s="1"/>
  <c r="AD1266" i="34"/>
  <c r="AC1266" i="34"/>
  <c r="AB1266" i="34"/>
  <c r="R1266" i="34"/>
  <c r="AG1266" i="34" s="1"/>
  <c r="A1266" i="34"/>
  <c r="AE1265" i="34"/>
  <c r="AF1265" i="34" s="1"/>
  <c r="AC1265" i="34"/>
  <c r="AB1265" i="34"/>
  <c r="Z1265" i="34"/>
  <c r="AI1265" i="34" s="1"/>
  <c r="R1265" i="34"/>
  <c r="AG1265" i="34" s="1"/>
  <c r="AH1265" i="34" s="1"/>
  <c r="A1265" i="34"/>
  <c r="AI1264" i="34"/>
  <c r="AD1264" i="34"/>
  <c r="AC1264" i="34"/>
  <c r="AB1264" i="34"/>
  <c r="R1264" i="34"/>
  <c r="AG1264" i="34" s="1"/>
  <c r="A1264" i="34"/>
  <c r="AI1263" i="34"/>
  <c r="AD1263" i="34"/>
  <c r="AC1263" i="34"/>
  <c r="AB1263" i="34"/>
  <c r="R1263" i="34"/>
  <c r="AG1263" i="34" s="1"/>
  <c r="AH1263" i="34" s="1"/>
  <c r="A1263" i="34"/>
  <c r="AE1262" i="34"/>
  <c r="AS1262" i="34" s="1"/>
  <c r="AC1262" i="34"/>
  <c r="AB1262" i="34"/>
  <c r="Z1262" i="34"/>
  <c r="AD1262" i="34" s="1"/>
  <c r="R1262" i="34"/>
  <c r="AG1262" i="34" s="1"/>
  <c r="AH1262" i="34" s="1"/>
  <c r="A1262" i="34"/>
  <c r="AI1261" i="34"/>
  <c r="AJ1261" i="34" s="1"/>
  <c r="AD1261" i="34"/>
  <c r="AC1261" i="34"/>
  <c r="AB1261" i="34"/>
  <c r="R1261" i="34"/>
  <c r="AG1261" i="34" s="1"/>
  <c r="A1261" i="34"/>
  <c r="AI1260" i="34"/>
  <c r="AJ1260" i="34" s="1"/>
  <c r="AS1260" i="34"/>
  <c r="AD1260" i="34"/>
  <c r="AC1260" i="34"/>
  <c r="AB1260" i="34"/>
  <c r="R1260" i="34"/>
  <c r="AG1260" i="34" s="1"/>
  <c r="A1260" i="34"/>
  <c r="AI1259" i="34"/>
  <c r="AJ1259" i="34" s="1"/>
  <c r="AE1259" i="34"/>
  <c r="AS1259" i="34" s="1"/>
  <c r="AD1259" i="34"/>
  <c r="AC1259" i="34"/>
  <c r="AB1259" i="34"/>
  <c r="R1259" i="34"/>
  <c r="AG1259" i="34" s="1"/>
  <c r="AT1259" i="34" s="1"/>
  <c r="A1259" i="34"/>
  <c r="AD1258" i="34"/>
  <c r="AC1258" i="34"/>
  <c r="AB1258" i="34"/>
  <c r="R1258" i="34"/>
  <c r="A1258" i="34"/>
  <c r="AD1257" i="34"/>
  <c r="AC1257" i="34"/>
  <c r="AB1257" i="34"/>
  <c r="R1257" i="34"/>
  <c r="AG1257" i="34" s="1"/>
  <c r="A1257" i="34"/>
  <c r="AS1256" i="34"/>
  <c r="AD1256" i="34"/>
  <c r="AC1256" i="34"/>
  <c r="AB1256" i="34"/>
  <c r="R1256" i="34"/>
  <c r="AG1256" i="34" s="1"/>
  <c r="A1256" i="34"/>
  <c r="AD1255" i="34"/>
  <c r="AC1255" i="34"/>
  <c r="AB1255" i="34"/>
  <c r="R1255" i="34"/>
  <c r="AG1255" i="34" s="1"/>
  <c r="A1255" i="34"/>
  <c r="AI1254" i="34"/>
  <c r="AJ1254" i="34" s="1"/>
  <c r="AD1254" i="34"/>
  <c r="AC1254" i="34"/>
  <c r="AB1254" i="34"/>
  <c r="R1254" i="34"/>
  <c r="AG1254" i="34" s="1"/>
  <c r="A1254" i="34"/>
  <c r="AE1253" i="34"/>
  <c r="AF1253" i="34" s="1"/>
  <c r="AD1253" i="34"/>
  <c r="AC1253" i="34"/>
  <c r="AB1253" i="34"/>
  <c r="R1253" i="34"/>
  <c r="AG1253" i="34" s="1"/>
  <c r="A1253" i="34"/>
  <c r="AI1252" i="34"/>
  <c r="AJ1252" i="34" s="1"/>
  <c r="AE1252" i="34"/>
  <c r="AD1252" i="34"/>
  <c r="AC1252" i="34"/>
  <c r="AB1252" i="34"/>
  <c r="R1252" i="34"/>
  <c r="AG1252" i="34" s="1"/>
  <c r="A1252" i="34"/>
  <c r="AI1251" i="34"/>
  <c r="AJ1251" i="34" s="1"/>
  <c r="AE1251" i="34"/>
  <c r="AF1251" i="34" s="1"/>
  <c r="AD1251" i="34"/>
  <c r="AC1251" i="34"/>
  <c r="AB1251" i="34"/>
  <c r="R1251" i="34"/>
  <c r="AG1251" i="34" s="1"/>
  <c r="A1251" i="34"/>
  <c r="AI1250" i="34"/>
  <c r="AD1250" i="34"/>
  <c r="AC1250" i="34"/>
  <c r="AB1250" i="34"/>
  <c r="R1250" i="34"/>
  <c r="AG1250" i="34" s="1"/>
  <c r="AH1250" i="34" s="1"/>
  <c r="A1250" i="34"/>
  <c r="AF1249" i="34"/>
  <c r="AD1249" i="34"/>
  <c r="AC1249" i="34"/>
  <c r="AB1249" i="34"/>
  <c r="R1249" i="34"/>
  <c r="AG1249" i="34" s="1"/>
  <c r="AH1249" i="34" s="1"/>
  <c r="A1249" i="34"/>
  <c r="AI1248" i="34"/>
  <c r="AJ1248" i="34" s="1"/>
  <c r="AE1248" i="34"/>
  <c r="AD1248" i="34"/>
  <c r="AC1248" i="34"/>
  <c r="AB1248" i="34"/>
  <c r="R1248" i="34"/>
  <c r="AG1248" i="34" s="1"/>
  <c r="A1248" i="34"/>
  <c r="AI1247" i="34"/>
  <c r="AJ1247" i="34" s="1"/>
  <c r="AF1247" i="34"/>
  <c r="AD1247" i="34"/>
  <c r="AC1247" i="34"/>
  <c r="AB1247" i="34"/>
  <c r="R1247" i="34"/>
  <c r="AG1247" i="34" s="1"/>
  <c r="AT1247" i="34" s="1"/>
  <c r="A1247" i="34"/>
  <c r="AI1246" i="34"/>
  <c r="AJ1246" i="34" s="1"/>
  <c r="AD1246" i="34"/>
  <c r="AC1246" i="34"/>
  <c r="AB1246" i="34"/>
  <c r="R1246" i="34"/>
  <c r="AG1246" i="34" s="1"/>
  <c r="AT1246" i="34" s="1"/>
  <c r="A1246" i="34"/>
  <c r="AI1245" i="34"/>
  <c r="AJ1245" i="34" s="1"/>
  <c r="AE1245" i="34"/>
  <c r="AS1245" i="34" s="1"/>
  <c r="AD1245" i="34"/>
  <c r="AC1245" i="34"/>
  <c r="AB1245" i="34"/>
  <c r="R1245" i="34"/>
  <c r="AG1245" i="34" s="1"/>
  <c r="A1245" i="34"/>
  <c r="AS1244" i="34"/>
  <c r="AD1244" i="34"/>
  <c r="AC1244" i="34"/>
  <c r="AB1244" i="34"/>
  <c r="R1244" i="34"/>
  <c r="A1244" i="34"/>
  <c r="AI1243" i="34"/>
  <c r="AS1243" i="34"/>
  <c r="AD1243" i="34"/>
  <c r="AC1243" i="34"/>
  <c r="AB1243" i="34"/>
  <c r="R1243" i="34"/>
  <c r="AG1243" i="34" s="1"/>
  <c r="A1243" i="34"/>
  <c r="AI1242" i="34"/>
  <c r="AJ1242" i="34" s="1"/>
  <c r="AE1242" i="34"/>
  <c r="AS1242" i="34" s="1"/>
  <c r="AD1242" i="34"/>
  <c r="AC1242" i="34"/>
  <c r="AB1242" i="34"/>
  <c r="R1242" i="34"/>
  <c r="AG1242" i="34" s="1"/>
  <c r="AT1242" i="34" s="1"/>
  <c r="A1242" i="34"/>
  <c r="AD1241" i="34"/>
  <c r="AC1241" i="34"/>
  <c r="AB1241" i="34"/>
  <c r="R1241" i="34"/>
  <c r="AG1241" i="34" s="1"/>
  <c r="A1241" i="34"/>
  <c r="AI1240" i="34"/>
  <c r="AJ1240" i="34" s="1"/>
  <c r="AE1240" i="34"/>
  <c r="AD1240" i="34"/>
  <c r="AC1240" i="34"/>
  <c r="AB1240" i="34"/>
  <c r="R1240" i="34"/>
  <c r="AG1240" i="34" s="1"/>
  <c r="A1240" i="34"/>
  <c r="AD1239" i="34"/>
  <c r="AC1239" i="34"/>
  <c r="AB1239" i="34"/>
  <c r="R1239" i="34"/>
  <c r="AH1239" i="34" s="1"/>
  <c r="A1239" i="34"/>
  <c r="AE1238" i="34"/>
  <c r="AD1238" i="34"/>
  <c r="AC1238" i="34"/>
  <c r="AB1238" i="34"/>
  <c r="R1238" i="34"/>
  <c r="AG1238" i="34" s="1"/>
  <c r="AH1238" i="34" s="1"/>
  <c r="A1238" i="34"/>
  <c r="AE1237" i="34"/>
  <c r="AD1237" i="34"/>
  <c r="AC1237" i="34"/>
  <c r="AB1237" i="34"/>
  <c r="R1237" i="34"/>
  <c r="AG1237" i="34" s="1"/>
  <c r="A1237" i="34"/>
  <c r="AS1236" i="34"/>
  <c r="AD1236" i="34"/>
  <c r="AC1236" i="34"/>
  <c r="AB1236" i="34"/>
  <c r="R1236" i="34"/>
  <c r="A1236" i="34"/>
  <c r="AD1235" i="34"/>
  <c r="AC1235" i="34"/>
  <c r="AB1235" i="34"/>
  <c r="R1235" i="34"/>
  <c r="AG1235" i="34" s="1"/>
  <c r="A1235" i="34"/>
  <c r="AE1234" i="34"/>
  <c r="AD1234" i="34"/>
  <c r="AC1234" i="34"/>
  <c r="AB1234" i="34"/>
  <c r="R1234" i="34"/>
  <c r="AG1234" i="34" s="1"/>
  <c r="AI1234" i="34" s="1"/>
  <c r="AK1234" i="34" s="1"/>
  <c r="AL1234" i="34" s="1"/>
  <c r="A1234" i="34"/>
  <c r="AE1233" i="34"/>
  <c r="AD1233" i="34"/>
  <c r="AC1233" i="34"/>
  <c r="AB1233" i="34"/>
  <c r="R1233" i="34"/>
  <c r="AG1233" i="34" s="1"/>
  <c r="A1233" i="34"/>
  <c r="AE1232" i="34"/>
  <c r="AS1232" i="34" s="1"/>
  <c r="AD1232" i="34"/>
  <c r="AC1232" i="34"/>
  <c r="AB1232" i="34"/>
  <c r="R1232" i="34"/>
  <c r="AG1232" i="34" s="1"/>
  <c r="A1232" i="34"/>
  <c r="AE1231" i="34"/>
  <c r="AF1231" i="34" s="1"/>
  <c r="AD1231" i="34"/>
  <c r="AC1231" i="34"/>
  <c r="AB1231" i="34"/>
  <c r="R1231" i="34"/>
  <c r="AG1231" i="34" s="1"/>
  <c r="A1231" i="34"/>
  <c r="AS1230" i="34"/>
  <c r="AD1230" i="34"/>
  <c r="AC1230" i="34"/>
  <c r="AB1230" i="34"/>
  <c r="R1230" i="34"/>
  <c r="AI1230" i="34" s="1"/>
  <c r="AK1230" i="34" s="1"/>
  <c r="A1230" i="34"/>
  <c r="AI1229" i="34"/>
  <c r="AJ1229" i="34" s="1"/>
  <c r="AF1229" i="34"/>
  <c r="AD1229" i="34"/>
  <c r="AC1229" i="34"/>
  <c r="AB1229" i="34"/>
  <c r="R1229" i="34"/>
  <c r="AG1229" i="34" s="1"/>
  <c r="A1229" i="34"/>
  <c r="AI1228" i="34"/>
  <c r="AJ1228" i="34" s="1"/>
  <c r="AS1228" i="34"/>
  <c r="AD1228" i="34"/>
  <c r="AC1228" i="34"/>
  <c r="AB1228" i="34"/>
  <c r="R1228" i="34"/>
  <c r="AG1228" i="34" s="1"/>
  <c r="AT1228" i="34" s="1"/>
  <c r="A1228" i="34"/>
  <c r="AI1227" i="34"/>
  <c r="AJ1227" i="34" s="1"/>
  <c r="AS1227" i="34"/>
  <c r="AD1227" i="34"/>
  <c r="AC1227" i="34"/>
  <c r="AB1227" i="34"/>
  <c r="R1227" i="34"/>
  <c r="AG1227" i="34" s="1"/>
  <c r="A1227" i="34"/>
  <c r="AI1226" i="34"/>
  <c r="AJ1226" i="34" s="1"/>
  <c r="AS1226" i="34"/>
  <c r="AD1226" i="34"/>
  <c r="AC1226" i="34"/>
  <c r="AB1226" i="34"/>
  <c r="R1226" i="34"/>
  <c r="AG1226" i="34" s="1"/>
  <c r="AT1226" i="34" s="1"/>
  <c r="A1226" i="34"/>
  <c r="AD1225" i="34"/>
  <c r="AC1225" i="34"/>
  <c r="AB1225" i="34"/>
  <c r="R1225" i="34"/>
  <c r="AH1225" i="34" s="1"/>
  <c r="A1225" i="34"/>
  <c r="AS1224" i="34"/>
  <c r="AD1224" i="34"/>
  <c r="AC1224" i="34"/>
  <c r="AB1224" i="34"/>
  <c r="R1224" i="34"/>
  <c r="AG1224" i="34" s="1"/>
  <c r="AI1224" i="34" s="1"/>
  <c r="AK1224" i="34" s="1"/>
  <c r="AL1224" i="34" s="1"/>
  <c r="A1224" i="34"/>
  <c r="AI1223" i="34"/>
  <c r="AF1223" i="34"/>
  <c r="AD1223" i="34"/>
  <c r="AC1223" i="34"/>
  <c r="AB1223" i="34"/>
  <c r="R1223" i="34"/>
  <c r="AG1223" i="34" s="1"/>
  <c r="A1223" i="34"/>
  <c r="AS1222" i="34"/>
  <c r="AD1222" i="34"/>
  <c r="AC1222" i="34"/>
  <c r="AB1222" i="34"/>
  <c r="R1222" i="34"/>
  <c r="AG1222" i="34" s="1"/>
  <c r="A1222" i="34"/>
  <c r="AS1221" i="34"/>
  <c r="AD1221" i="34"/>
  <c r="AC1221" i="34"/>
  <c r="AB1221" i="34"/>
  <c r="R1221" i="34"/>
  <c r="AG1221" i="34" s="1"/>
  <c r="A1221" i="34"/>
  <c r="AI1220" i="34"/>
  <c r="AJ1220" i="34" s="1"/>
  <c r="AS1220" i="34"/>
  <c r="AD1220" i="34"/>
  <c r="AC1220" i="34"/>
  <c r="AB1220" i="34"/>
  <c r="R1220" i="34"/>
  <c r="AG1220" i="34" s="1"/>
  <c r="AT1220" i="34" s="1"/>
  <c r="A1220" i="34"/>
  <c r="AI1219" i="34"/>
  <c r="AJ1219" i="34" s="1"/>
  <c r="AD1219" i="34"/>
  <c r="AC1219" i="34"/>
  <c r="AB1219" i="34"/>
  <c r="R1219" i="34"/>
  <c r="AG1219" i="34" s="1"/>
  <c r="A1219" i="34"/>
  <c r="AI1218" i="34"/>
  <c r="AJ1218" i="34" s="1"/>
  <c r="AD1218" i="34"/>
  <c r="AC1218" i="34"/>
  <c r="AB1218" i="34"/>
  <c r="R1218" i="34"/>
  <c r="AG1218" i="34" s="1"/>
  <c r="A1218" i="34"/>
  <c r="AI1217" i="34"/>
  <c r="AD1217" i="34"/>
  <c r="AC1217" i="34"/>
  <c r="AB1217" i="34"/>
  <c r="R1217" i="34"/>
  <c r="AG1217" i="34" s="1"/>
  <c r="A1217" i="34"/>
  <c r="AF1216" i="34"/>
  <c r="AD1216" i="34"/>
  <c r="AC1216" i="34"/>
  <c r="AB1216" i="34"/>
  <c r="R1216" i="34"/>
  <c r="A1216" i="34"/>
  <c r="AF1215" i="34"/>
  <c r="AD1215" i="34"/>
  <c r="AC1215" i="34"/>
  <c r="AB1215" i="34"/>
  <c r="R1215" i="34"/>
  <c r="AG1215" i="34" s="1"/>
  <c r="A1215" i="34"/>
  <c r="AI1214" i="34"/>
  <c r="AJ1214" i="34" s="1"/>
  <c r="AF1214" i="34"/>
  <c r="AD1214" i="34"/>
  <c r="AC1214" i="34"/>
  <c r="AB1214" i="34"/>
  <c r="R1214" i="34"/>
  <c r="AG1214" i="34" s="1"/>
  <c r="A1214" i="34"/>
  <c r="AI1213" i="34"/>
  <c r="AJ1213" i="34" s="1"/>
  <c r="AF1213" i="34"/>
  <c r="AD1213" i="34"/>
  <c r="AC1213" i="34"/>
  <c r="AB1213" i="34"/>
  <c r="R1213" i="34"/>
  <c r="AG1213" i="34" s="1"/>
  <c r="A1213" i="34"/>
  <c r="AI1212" i="34"/>
  <c r="AF1212" i="34"/>
  <c r="AD1212" i="34"/>
  <c r="AC1212" i="34"/>
  <c r="AB1212" i="34"/>
  <c r="R1212" i="34"/>
  <c r="AG1212" i="34" s="1"/>
  <c r="A1212" i="34"/>
  <c r="AF1211" i="34"/>
  <c r="AD1211" i="34"/>
  <c r="AC1211" i="34"/>
  <c r="AB1211" i="34"/>
  <c r="R1211" i="34"/>
  <c r="A1211" i="34"/>
  <c r="AI1210" i="34"/>
  <c r="AJ1210" i="34" s="1"/>
  <c r="AE1210" i="34"/>
  <c r="AF1210" i="34" s="1"/>
  <c r="AD1210" i="34"/>
  <c r="AC1210" i="34"/>
  <c r="AB1210" i="34"/>
  <c r="R1210" i="34"/>
  <c r="AG1210" i="34" s="1"/>
  <c r="A1210" i="34"/>
  <c r="AI1209" i="34"/>
  <c r="AJ1209" i="34" s="1"/>
  <c r="AE1209" i="34"/>
  <c r="AF1209" i="34" s="1"/>
  <c r="AD1209" i="34"/>
  <c r="AC1209" i="34"/>
  <c r="AB1209" i="34"/>
  <c r="R1209" i="34"/>
  <c r="AG1209" i="34" s="1"/>
  <c r="A1209" i="34"/>
  <c r="AI1208" i="34"/>
  <c r="AJ1208" i="34" s="1"/>
  <c r="AF1208" i="34"/>
  <c r="AD1208" i="34"/>
  <c r="AC1208" i="34"/>
  <c r="AB1208" i="34"/>
  <c r="R1208" i="34"/>
  <c r="AG1208" i="34" s="1"/>
  <c r="A1208" i="34"/>
  <c r="AI1207" i="34"/>
  <c r="AJ1207" i="34" s="1"/>
  <c r="AF1207" i="34"/>
  <c r="AD1207" i="34"/>
  <c r="AC1207" i="34"/>
  <c r="AB1207" i="34"/>
  <c r="R1207" i="34"/>
  <c r="AG1207" i="34" s="1"/>
  <c r="A1207" i="34"/>
  <c r="AI1206" i="34"/>
  <c r="AJ1206" i="34" s="1"/>
  <c r="AF1206" i="34"/>
  <c r="AD1206" i="34"/>
  <c r="AC1206" i="34"/>
  <c r="AB1206" i="34"/>
  <c r="R1206" i="34"/>
  <c r="AG1206" i="34" s="1"/>
  <c r="A1206" i="34"/>
  <c r="AI1205" i="34"/>
  <c r="AJ1205" i="34" s="1"/>
  <c r="AD1205" i="34"/>
  <c r="AC1205" i="34"/>
  <c r="AB1205" i="34"/>
  <c r="R1205" i="34"/>
  <c r="AG1205" i="34" s="1"/>
  <c r="A1205" i="34"/>
  <c r="AI1204" i="34"/>
  <c r="AJ1204" i="34" s="1"/>
  <c r="AD1204" i="34"/>
  <c r="AC1204" i="34"/>
  <c r="AB1204" i="34"/>
  <c r="R1204" i="34"/>
  <c r="AG1204" i="34" s="1"/>
  <c r="AT1204" i="34" s="1"/>
  <c r="A1204" i="34"/>
  <c r="AI1203" i="34"/>
  <c r="AJ1203" i="34" s="1"/>
  <c r="AE1203" i="34"/>
  <c r="AF1203" i="34" s="1"/>
  <c r="AD1203" i="34"/>
  <c r="AC1203" i="34"/>
  <c r="AB1203" i="34"/>
  <c r="R1203" i="34"/>
  <c r="AG1203" i="34" s="1"/>
  <c r="A1203" i="34"/>
  <c r="AD1202" i="34"/>
  <c r="AC1202" i="34"/>
  <c r="AB1202" i="34"/>
  <c r="R1202" i="34"/>
  <c r="A1202" i="34"/>
  <c r="AI1201" i="34"/>
  <c r="AS1201" i="34"/>
  <c r="AD1201" i="34"/>
  <c r="AC1201" i="34"/>
  <c r="AB1201" i="34"/>
  <c r="R1201" i="34"/>
  <c r="AG1201" i="34" s="1"/>
  <c r="AT1201" i="34" s="1"/>
  <c r="A1201" i="34"/>
  <c r="AI1200" i="34"/>
  <c r="AE1200" i="34"/>
  <c r="AD1200" i="34"/>
  <c r="AC1200" i="34"/>
  <c r="AB1200" i="34"/>
  <c r="R1200" i="34"/>
  <c r="AG1200" i="34" s="1"/>
  <c r="AH1200" i="34" s="1"/>
  <c r="A1200" i="34"/>
  <c r="AI1199" i="34"/>
  <c r="AS1199" i="34"/>
  <c r="AD1199" i="34"/>
  <c r="AC1199" i="34"/>
  <c r="AB1199" i="34"/>
  <c r="R1199" i="34"/>
  <c r="AG1199" i="34" s="1"/>
  <c r="A1199" i="34"/>
  <c r="AI1198" i="34"/>
  <c r="AE1198" i="34"/>
  <c r="AD1198" i="34"/>
  <c r="AC1198" i="34"/>
  <c r="AB1198" i="34"/>
  <c r="R1198" i="34"/>
  <c r="AG1198" i="34" s="1"/>
  <c r="A1198" i="34"/>
  <c r="AF1197" i="34"/>
  <c r="AD1197" i="34"/>
  <c r="AC1197" i="34"/>
  <c r="AB1197" i="34"/>
  <c r="R1197" i="34"/>
  <c r="A1197" i="34"/>
  <c r="AI1196" i="34"/>
  <c r="AD1196" i="34"/>
  <c r="AC1196" i="34"/>
  <c r="AB1196" i="34"/>
  <c r="R1196" i="34"/>
  <c r="A1196" i="34"/>
  <c r="AI1195" i="34"/>
  <c r="AF1195" i="34"/>
  <c r="AD1195" i="34"/>
  <c r="AC1195" i="34"/>
  <c r="AB1195" i="34"/>
  <c r="R1195" i="34"/>
  <c r="A1195" i="34"/>
  <c r="AE1194" i="34"/>
  <c r="AS1194" i="34" s="1"/>
  <c r="AD1194" i="34"/>
  <c r="AC1194" i="34"/>
  <c r="AB1194" i="34"/>
  <c r="R1194" i="34"/>
  <c r="AG1194" i="34" s="1"/>
  <c r="AI1194" i="34" s="1"/>
  <c r="A1194" i="34"/>
  <c r="AI1193" i="34"/>
  <c r="AJ1193" i="34" s="1"/>
  <c r="AE1193" i="34"/>
  <c r="AS1193" i="34" s="1"/>
  <c r="AD1193" i="34"/>
  <c r="AC1193" i="34"/>
  <c r="AB1193" i="34"/>
  <c r="R1193" i="34"/>
  <c r="AG1193" i="34" s="1"/>
  <c r="AT1193" i="34" s="1"/>
  <c r="A1193" i="34"/>
  <c r="AI1192" i="34"/>
  <c r="AE1192" i="34"/>
  <c r="AD1192" i="34"/>
  <c r="AC1192" i="34"/>
  <c r="AB1192" i="34"/>
  <c r="R1192" i="34"/>
  <c r="AG1192" i="34" s="1"/>
  <c r="A1192" i="34"/>
  <c r="AI1191" i="34"/>
  <c r="AJ1191" i="34" s="1"/>
  <c r="AS1191" i="34"/>
  <c r="AD1191" i="34"/>
  <c r="AC1191" i="34"/>
  <c r="AB1191" i="34"/>
  <c r="R1191" i="34"/>
  <c r="AG1191" i="34" s="1"/>
  <c r="A1191" i="34"/>
  <c r="AI1190" i="34"/>
  <c r="AS1190" i="34"/>
  <c r="AD1190" i="34"/>
  <c r="AC1190" i="34"/>
  <c r="AB1190" i="34"/>
  <c r="R1190" i="34"/>
  <c r="AG1190" i="34" s="1"/>
  <c r="A1190" i="34"/>
  <c r="AI1189" i="34"/>
  <c r="AE1189" i="34"/>
  <c r="AS1189" i="34" s="1"/>
  <c r="AD1189" i="34"/>
  <c r="AC1189" i="34"/>
  <c r="AB1189" i="34"/>
  <c r="R1189" i="34"/>
  <c r="AG1189" i="34" s="1"/>
  <c r="A1189" i="34"/>
  <c r="AS1188" i="34"/>
  <c r="AD1188" i="34"/>
  <c r="AC1188" i="34"/>
  <c r="AB1188" i="34"/>
  <c r="R1188" i="34"/>
  <c r="A1188" i="34"/>
  <c r="AS1187" i="34"/>
  <c r="AD1187" i="34"/>
  <c r="AC1187" i="34"/>
  <c r="AB1187" i="34"/>
  <c r="R1187" i="34"/>
  <c r="AI1187" i="34" s="1"/>
  <c r="A1187" i="34"/>
  <c r="AS1186" i="34"/>
  <c r="AD1186" i="34"/>
  <c r="AC1186" i="34"/>
  <c r="AB1186" i="34"/>
  <c r="R1186" i="34"/>
  <c r="A1186" i="34"/>
  <c r="AI1185" i="34"/>
  <c r="AJ1185" i="34" s="1"/>
  <c r="AD1185" i="34"/>
  <c r="AC1185" i="34"/>
  <c r="AB1185" i="34"/>
  <c r="R1185" i="34"/>
  <c r="A1185" i="34"/>
  <c r="AI1184" i="34"/>
  <c r="AJ1184" i="34" s="1"/>
  <c r="AS1184" i="34"/>
  <c r="AD1184" i="34"/>
  <c r="AC1184" i="34"/>
  <c r="AB1184" i="34"/>
  <c r="R1184" i="34"/>
  <c r="AG1184" i="34" s="1"/>
  <c r="A1184" i="34"/>
  <c r="AS1183" i="34"/>
  <c r="AD1183" i="34"/>
  <c r="AC1183" i="34"/>
  <c r="AB1183" i="34"/>
  <c r="R1183" i="34"/>
  <c r="AI1183" i="34" s="1"/>
  <c r="A1183" i="34"/>
  <c r="AI1182" i="34"/>
  <c r="AS1182" i="34"/>
  <c r="AD1182" i="34"/>
  <c r="AC1182" i="34"/>
  <c r="AB1182" i="34"/>
  <c r="R1182" i="34"/>
  <c r="AG1182" i="34" s="1"/>
  <c r="AH1182" i="34" s="1"/>
  <c r="A1182" i="34"/>
  <c r="AI1181" i="34"/>
  <c r="AJ1181" i="34" s="1"/>
  <c r="AD1181" i="34"/>
  <c r="AC1181" i="34"/>
  <c r="AB1181" i="34"/>
  <c r="R1181" i="34"/>
  <c r="AG1181" i="34" s="1"/>
  <c r="A1181" i="34"/>
  <c r="AS1180" i="34"/>
  <c r="AD1180" i="34"/>
  <c r="AC1180" i="34"/>
  <c r="AB1180" i="34"/>
  <c r="R1180" i="34"/>
  <c r="AG1180" i="34" s="1"/>
  <c r="A1180" i="34"/>
  <c r="AI1179" i="34"/>
  <c r="AD1179" i="34"/>
  <c r="AC1179" i="34"/>
  <c r="AB1179" i="34"/>
  <c r="R1179" i="34"/>
  <c r="AG1179" i="34" s="1"/>
  <c r="AT1179" i="34" s="1"/>
  <c r="A1179" i="34"/>
  <c r="AI1178" i="34"/>
  <c r="AF1178" i="34"/>
  <c r="AD1178" i="34"/>
  <c r="AC1178" i="34"/>
  <c r="AB1178" i="34"/>
  <c r="R1178" i="34"/>
  <c r="AG1178" i="34" s="1"/>
  <c r="AH1178" i="34" s="1"/>
  <c r="A1178" i="34"/>
  <c r="AI1177" i="34"/>
  <c r="AD1177" i="34"/>
  <c r="AC1177" i="34"/>
  <c r="AB1177" i="34"/>
  <c r="R1177" i="34"/>
  <c r="A1177" i="34"/>
  <c r="AI1176" i="34"/>
  <c r="AS1176" i="34"/>
  <c r="AD1176" i="34"/>
  <c r="AC1176" i="34"/>
  <c r="AB1176" i="34"/>
  <c r="R1176" i="34"/>
  <c r="AG1176" i="34" s="1"/>
  <c r="A1176" i="34"/>
  <c r="AI1175" i="34"/>
  <c r="AJ1175" i="34" s="1"/>
  <c r="AS1175" i="34"/>
  <c r="AD1175" i="34"/>
  <c r="AC1175" i="34"/>
  <c r="AB1175" i="34"/>
  <c r="R1175" i="34"/>
  <c r="AG1175" i="34" s="1"/>
  <c r="AT1175" i="34" s="1"/>
  <c r="A1175" i="34"/>
  <c r="AI1174" i="34"/>
  <c r="AF1174" i="34"/>
  <c r="AD1174" i="34"/>
  <c r="AC1174" i="34"/>
  <c r="AB1174" i="34"/>
  <c r="R1174" i="34"/>
  <c r="AG1174" i="34" s="1"/>
  <c r="A1174" i="34"/>
  <c r="AI1173" i="34"/>
  <c r="AJ1173" i="34" s="1"/>
  <c r="AD1173" i="34"/>
  <c r="AC1173" i="34"/>
  <c r="AB1173" i="34"/>
  <c r="R1173" i="34"/>
  <c r="AG1173" i="34" s="1"/>
  <c r="A1173" i="34"/>
  <c r="AI1172" i="34"/>
  <c r="AJ1172" i="34" s="1"/>
  <c r="AS1172" i="34"/>
  <c r="AD1172" i="34"/>
  <c r="AC1172" i="34"/>
  <c r="AB1172" i="34"/>
  <c r="R1172" i="34"/>
  <c r="AG1172" i="34" s="1"/>
  <c r="A1172" i="34"/>
  <c r="AI1171" i="34"/>
  <c r="AS1171" i="34"/>
  <c r="AD1171" i="34"/>
  <c r="AC1171" i="34"/>
  <c r="AB1171" i="34"/>
  <c r="R1171" i="34"/>
  <c r="AG1171" i="34" s="1"/>
  <c r="AT1171" i="34" s="1"/>
  <c r="A1171" i="34"/>
  <c r="AI1170" i="34"/>
  <c r="AF1170" i="34"/>
  <c r="AD1170" i="34"/>
  <c r="AC1170" i="34"/>
  <c r="AB1170" i="34"/>
  <c r="R1170" i="34"/>
  <c r="AG1170" i="34" s="1"/>
  <c r="AT1170" i="34" s="1"/>
  <c r="A1170" i="34"/>
  <c r="AI1169" i="34"/>
  <c r="AE1169" i="34"/>
  <c r="AD1169" i="34"/>
  <c r="AC1169" i="34"/>
  <c r="AB1169" i="34"/>
  <c r="R1169" i="34"/>
  <c r="AG1169" i="34" s="1"/>
  <c r="A1169" i="34"/>
  <c r="AI1168" i="34"/>
  <c r="AJ1168" i="34" s="1"/>
  <c r="AE1168" i="34"/>
  <c r="AS1168" i="34" s="1"/>
  <c r="AD1168" i="34"/>
  <c r="AC1168" i="34"/>
  <c r="AB1168" i="34"/>
  <c r="R1168" i="34"/>
  <c r="AG1168" i="34" s="1"/>
  <c r="A1168" i="34"/>
  <c r="AI1167" i="34"/>
  <c r="AJ1167" i="34" s="1"/>
  <c r="AE1167" i="34"/>
  <c r="AD1167" i="34"/>
  <c r="AC1167" i="34"/>
  <c r="AB1167" i="34"/>
  <c r="R1167" i="34"/>
  <c r="AG1167" i="34" s="1"/>
  <c r="AT1167" i="34" s="1"/>
  <c r="A1167" i="34"/>
  <c r="AI1166" i="34"/>
  <c r="AE1166" i="34"/>
  <c r="AF1166" i="34" s="1"/>
  <c r="AD1166" i="34"/>
  <c r="AC1166" i="34"/>
  <c r="AB1166" i="34"/>
  <c r="R1166" i="34"/>
  <c r="AG1166" i="34" s="1"/>
  <c r="AH1166" i="34" s="1"/>
  <c r="A1166" i="34"/>
  <c r="AI1165" i="34"/>
  <c r="AJ1165" i="34" s="1"/>
  <c r="AE1165" i="34"/>
  <c r="AD1165" i="34"/>
  <c r="AC1165" i="34"/>
  <c r="AB1165" i="34"/>
  <c r="R1165" i="34"/>
  <c r="AG1165" i="34" s="1"/>
  <c r="A1165" i="34"/>
  <c r="AI1164" i="34"/>
  <c r="AJ1164" i="34" s="1"/>
  <c r="AE1164" i="34"/>
  <c r="AS1164" i="34" s="1"/>
  <c r="AD1164" i="34"/>
  <c r="AC1164" i="34"/>
  <c r="AB1164" i="34"/>
  <c r="R1164" i="34"/>
  <c r="AG1164" i="34" s="1"/>
  <c r="A1164" i="34"/>
  <c r="AI1163" i="34"/>
  <c r="AJ1163" i="34" s="1"/>
  <c r="AS1163" i="34"/>
  <c r="AD1163" i="34"/>
  <c r="AC1163" i="34"/>
  <c r="AB1163" i="34"/>
  <c r="R1163" i="34"/>
  <c r="AG1163" i="34" s="1"/>
  <c r="AT1163" i="34" s="1"/>
  <c r="A1163" i="34"/>
  <c r="AI1162" i="34"/>
  <c r="AS1162" i="34"/>
  <c r="AD1162" i="34"/>
  <c r="AC1162" i="34"/>
  <c r="AB1162" i="34"/>
  <c r="R1162" i="34"/>
  <c r="AG1162" i="34" s="1"/>
  <c r="A1162" i="34"/>
  <c r="AI1161" i="34"/>
  <c r="AJ1161" i="34" s="1"/>
  <c r="AE1161" i="34"/>
  <c r="AS1161" i="34" s="1"/>
  <c r="AD1161" i="34"/>
  <c r="AC1161" i="34"/>
  <c r="AB1161" i="34"/>
  <c r="R1161" i="34"/>
  <c r="AG1161" i="34" s="1"/>
  <c r="A1161" i="34"/>
  <c r="AS1160" i="34"/>
  <c r="AD1160" i="34"/>
  <c r="AC1160" i="34"/>
  <c r="AB1160" i="34"/>
  <c r="R1160" i="34"/>
  <c r="AH1160" i="34" s="1"/>
  <c r="A1160" i="34"/>
  <c r="AI1159" i="34"/>
  <c r="AJ1159" i="34" s="1"/>
  <c r="AS1159" i="34"/>
  <c r="AD1159" i="34"/>
  <c r="AC1159" i="34"/>
  <c r="AB1159" i="34"/>
  <c r="R1159" i="34"/>
  <c r="AG1159" i="34" s="1"/>
  <c r="AT1159" i="34" s="1"/>
  <c r="A1159" i="34"/>
  <c r="AI1158" i="34"/>
  <c r="AE1158" i="34"/>
  <c r="AD1158" i="34"/>
  <c r="AC1158" i="34"/>
  <c r="AB1158" i="34"/>
  <c r="R1158" i="34"/>
  <c r="AG1158" i="34" s="1"/>
  <c r="AT1158" i="34" s="1"/>
  <c r="A1158" i="34"/>
  <c r="AI1157" i="34"/>
  <c r="AJ1157" i="34" s="1"/>
  <c r="AE1157" i="34"/>
  <c r="AS1157" i="34" s="1"/>
  <c r="AD1157" i="34"/>
  <c r="AC1157" i="34"/>
  <c r="AB1157" i="34"/>
  <c r="R1157" i="34"/>
  <c r="AG1157" i="34" s="1"/>
  <c r="A1157" i="34"/>
  <c r="AI1156" i="34"/>
  <c r="AJ1156" i="34" s="1"/>
  <c r="AE1156" i="34"/>
  <c r="AS1156" i="34" s="1"/>
  <c r="AD1156" i="34"/>
  <c r="AC1156" i="34"/>
  <c r="AB1156" i="34"/>
  <c r="R1156" i="34"/>
  <c r="AG1156" i="34" s="1"/>
  <c r="A1156" i="34"/>
  <c r="AI1155" i="34"/>
  <c r="AJ1155" i="34" s="1"/>
  <c r="AE1155" i="34"/>
  <c r="AS1155" i="34" s="1"/>
  <c r="AD1155" i="34"/>
  <c r="AC1155" i="34"/>
  <c r="AB1155" i="34"/>
  <c r="R1155" i="34"/>
  <c r="AG1155" i="34" s="1"/>
  <c r="AT1155" i="34" s="1"/>
  <c r="A1155" i="34"/>
  <c r="AI1154" i="34"/>
  <c r="AE1154" i="34"/>
  <c r="AF1154" i="34" s="1"/>
  <c r="AD1154" i="34"/>
  <c r="AC1154" i="34"/>
  <c r="AB1154" i="34"/>
  <c r="R1154" i="34"/>
  <c r="AG1154" i="34" s="1"/>
  <c r="AH1154" i="34" s="1"/>
  <c r="A1154" i="34"/>
  <c r="AI1153" i="34"/>
  <c r="AE1153" i="34"/>
  <c r="AS1153" i="34" s="1"/>
  <c r="AD1153" i="34"/>
  <c r="AC1153" i="34"/>
  <c r="AB1153" i="34"/>
  <c r="R1153" i="34"/>
  <c r="AG1153" i="34" s="1"/>
  <c r="A1153" i="34"/>
  <c r="AI1152" i="34"/>
  <c r="AS1152" i="34"/>
  <c r="AD1152" i="34"/>
  <c r="AC1152" i="34"/>
  <c r="AB1152" i="34"/>
  <c r="R1152" i="34"/>
  <c r="AG1152" i="34" s="1"/>
  <c r="AT1152" i="34" s="1"/>
  <c r="A1152" i="34"/>
  <c r="AI1151" i="34"/>
  <c r="AJ1151" i="34" s="1"/>
  <c r="AS1151" i="34"/>
  <c r="AD1151" i="34"/>
  <c r="AC1151" i="34"/>
  <c r="AB1151" i="34"/>
  <c r="R1151" i="34"/>
  <c r="AG1151" i="34" s="1"/>
  <c r="AT1151" i="34" s="1"/>
  <c r="A1151" i="34"/>
  <c r="AI1150" i="34"/>
  <c r="AJ1150" i="34" s="1"/>
  <c r="AE1150" i="34"/>
  <c r="AD1150" i="34"/>
  <c r="AC1150" i="34"/>
  <c r="AB1150" i="34"/>
  <c r="R1150" i="34"/>
  <c r="AG1150" i="34" s="1"/>
  <c r="A1150" i="34"/>
  <c r="AI1149" i="34"/>
  <c r="AJ1149" i="34" s="1"/>
  <c r="AD1149" i="34"/>
  <c r="AC1149" i="34"/>
  <c r="AB1149" i="34"/>
  <c r="R1149" i="34"/>
  <c r="AG1149" i="34" s="1"/>
  <c r="A1149" i="34"/>
  <c r="AI1148" i="34"/>
  <c r="AD1148" i="34"/>
  <c r="AC1148" i="34"/>
  <c r="AB1148" i="34"/>
  <c r="R1148" i="34"/>
  <c r="AG1148" i="34" s="1"/>
  <c r="AT1148" i="34" s="1"/>
  <c r="A1148" i="34"/>
  <c r="AI1147" i="34"/>
  <c r="AE1147" i="34"/>
  <c r="AD1147" i="34"/>
  <c r="AC1147" i="34"/>
  <c r="AB1147" i="34"/>
  <c r="R1147" i="34"/>
  <c r="AG1147" i="34" s="1"/>
  <c r="A1147" i="34"/>
  <c r="AD1146" i="34"/>
  <c r="AC1146" i="34"/>
  <c r="AB1146" i="34"/>
  <c r="R1146" i="34"/>
  <c r="A1146" i="34"/>
  <c r="AI1145" i="34"/>
  <c r="AS1145" i="34"/>
  <c r="AD1145" i="34"/>
  <c r="AC1145" i="34"/>
  <c r="AB1145" i="34"/>
  <c r="R1145" i="34"/>
  <c r="A1145" i="34"/>
  <c r="AI1144" i="34"/>
  <c r="AS1144" i="34"/>
  <c r="AD1144" i="34"/>
  <c r="AC1144" i="34"/>
  <c r="AB1144" i="34"/>
  <c r="R1144" i="34"/>
  <c r="AG1144" i="34" s="1"/>
  <c r="AH1144" i="34" s="1"/>
  <c r="A1144" i="34"/>
  <c r="AS1143" i="34"/>
  <c r="AD1143" i="34"/>
  <c r="AC1143" i="34"/>
  <c r="AB1143" i="34"/>
  <c r="R1143" i="34"/>
  <c r="A1143" i="34"/>
  <c r="AE1142" i="34"/>
  <c r="AD1142" i="34"/>
  <c r="AC1142" i="34"/>
  <c r="AB1142" i="34"/>
  <c r="R1142" i="34"/>
  <c r="AG1142" i="34" s="1"/>
  <c r="A1142" i="34"/>
  <c r="AD1141" i="34"/>
  <c r="AC1141" i="34"/>
  <c r="AB1141" i="34"/>
  <c r="R1141" i="34"/>
  <c r="AI1141" i="34" s="1"/>
  <c r="A1141" i="34"/>
  <c r="AI1140" i="34"/>
  <c r="AJ1140" i="34" s="1"/>
  <c r="AE1140" i="34"/>
  <c r="AS1140" i="34" s="1"/>
  <c r="AD1140" i="34"/>
  <c r="AC1140" i="34"/>
  <c r="AB1140" i="34"/>
  <c r="R1140" i="34"/>
  <c r="AG1140" i="34" s="1"/>
  <c r="A1140" i="34"/>
  <c r="AI1139" i="34"/>
  <c r="AE1139" i="34"/>
  <c r="AS1139" i="34" s="1"/>
  <c r="AD1139" i="34"/>
  <c r="AC1139" i="34"/>
  <c r="AB1139" i="34"/>
  <c r="R1139" i="34"/>
  <c r="AG1139" i="34" s="1"/>
  <c r="A1139" i="34"/>
  <c r="AI1138" i="34"/>
  <c r="AJ1138" i="34" s="1"/>
  <c r="AE1138" i="34"/>
  <c r="AF1138" i="34" s="1"/>
  <c r="AD1138" i="34"/>
  <c r="AC1138" i="34"/>
  <c r="AB1138" i="34"/>
  <c r="R1138" i="34"/>
  <c r="AG1138" i="34" s="1"/>
  <c r="AT1138" i="34" s="1"/>
  <c r="A1138" i="34"/>
  <c r="AI1137" i="34"/>
  <c r="AE1137" i="34"/>
  <c r="AS1137" i="34" s="1"/>
  <c r="AD1137" i="34"/>
  <c r="AC1137" i="34"/>
  <c r="AB1137" i="34"/>
  <c r="R1137" i="34"/>
  <c r="AG1137" i="34" s="1"/>
  <c r="A1137" i="34"/>
  <c r="AI1136" i="34"/>
  <c r="AE1136" i="34"/>
  <c r="AS1136" i="34" s="1"/>
  <c r="AD1136" i="34"/>
  <c r="AC1136" i="34"/>
  <c r="AB1136" i="34"/>
  <c r="R1136" i="34"/>
  <c r="AG1136" i="34" s="1"/>
  <c r="A1136" i="34"/>
  <c r="AI1135" i="34"/>
  <c r="AD1135" i="34"/>
  <c r="AC1135" i="34"/>
  <c r="AB1135" i="34"/>
  <c r="R1135" i="34"/>
  <c r="AG1135" i="34" s="1"/>
  <c r="A1135" i="34"/>
  <c r="AF1134" i="34"/>
  <c r="AD1134" i="34"/>
  <c r="AC1134" i="34"/>
  <c r="AB1134" i="34"/>
  <c r="R1134" i="34"/>
  <c r="AG1134" i="34" s="1"/>
  <c r="AI1134" i="34" s="1"/>
  <c r="A1134" i="34"/>
  <c r="AI1133" i="34"/>
  <c r="AJ1133" i="34" s="1"/>
  <c r="AE1133" i="34"/>
  <c r="AD1133" i="34"/>
  <c r="AC1133" i="34"/>
  <c r="AB1133" i="34"/>
  <c r="R1133" i="34"/>
  <c r="AG1133" i="34" s="1"/>
  <c r="A1133" i="34"/>
  <c r="AI1132" i="34"/>
  <c r="AJ1132" i="34" s="1"/>
  <c r="AS1132" i="34"/>
  <c r="AD1132" i="34"/>
  <c r="AC1132" i="34"/>
  <c r="AB1132" i="34"/>
  <c r="R1132" i="34"/>
  <c r="A1132" i="34"/>
  <c r="AI1131" i="34"/>
  <c r="AJ1131" i="34" s="1"/>
  <c r="AS1131" i="34"/>
  <c r="AD1131" i="34"/>
  <c r="AC1131" i="34"/>
  <c r="AB1131" i="34"/>
  <c r="R1131" i="34"/>
  <c r="AG1131" i="34" s="1"/>
  <c r="A1131" i="34"/>
  <c r="AI1130" i="34"/>
  <c r="AJ1130" i="34" s="1"/>
  <c r="AF1130" i="34"/>
  <c r="AD1130" i="34"/>
  <c r="AC1130" i="34"/>
  <c r="AB1130" i="34"/>
  <c r="R1130" i="34"/>
  <c r="AG1130" i="34" s="1"/>
  <c r="A1130" i="34"/>
  <c r="AI1129" i="34"/>
  <c r="AJ1129" i="34" s="1"/>
  <c r="AD1129" i="34"/>
  <c r="AC1129" i="34"/>
  <c r="AB1129" i="34"/>
  <c r="R1129" i="34"/>
  <c r="AG1129" i="34" s="1"/>
  <c r="AT1129" i="34" s="1"/>
  <c r="A1129" i="34"/>
  <c r="AI1128" i="34"/>
  <c r="AJ1128" i="34" s="1"/>
  <c r="AS1128" i="34"/>
  <c r="AD1128" i="34"/>
  <c r="AC1128" i="34"/>
  <c r="AB1128" i="34"/>
  <c r="R1128" i="34"/>
  <c r="AG1128" i="34" s="1"/>
  <c r="AH1128" i="34" s="1"/>
  <c r="A1128" i="34"/>
  <c r="AS1127" i="34"/>
  <c r="AD1127" i="34"/>
  <c r="AC1127" i="34"/>
  <c r="AB1127" i="34"/>
  <c r="R1127" i="34"/>
  <c r="A1127" i="34"/>
  <c r="AI1126" i="34"/>
  <c r="AE1126" i="34"/>
  <c r="AF1126" i="34" s="1"/>
  <c r="AD1126" i="34"/>
  <c r="AC1126" i="34"/>
  <c r="AB1126" i="34"/>
  <c r="R1126" i="34"/>
  <c r="AG1126" i="34" s="1"/>
  <c r="A1126" i="34"/>
  <c r="AI1125" i="34"/>
  <c r="AJ1125" i="34" s="1"/>
  <c r="AE1125" i="34"/>
  <c r="AS1125" i="34" s="1"/>
  <c r="AD1125" i="34"/>
  <c r="AC1125" i="34"/>
  <c r="AB1125" i="34"/>
  <c r="R1125" i="34"/>
  <c r="AG1125" i="34" s="1"/>
  <c r="AT1125" i="34" s="1"/>
  <c r="A1125" i="34"/>
  <c r="AI1124" i="34"/>
  <c r="AJ1124" i="34" s="1"/>
  <c r="AE1124" i="34"/>
  <c r="AD1124" i="34"/>
  <c r="AC1124" i="34"/>
  <c r="AB1124" i="34"/>
  <c r="R1124" i="34"/>
  <c r="AG1124" i="34" s="1"/>
  <c r="A1124" i="34"/>
  <c r="AI1123" i="34"/>
  <c r="AJ1123" i="34" s="1"/>
  <c r="AE1123" i="34"/>
  <c r="AS1123" i="34" s="1"/>
  <c r="AD1123" i="34"/>
  <c r="AC1123" i="34"/>
  <c r="AB1123" i="34"/>
  <c r="R1123" i="34"/>
  <c r="AG1123" i="34" s="1"/>
  <c r="A1123" i="34"/>
  <c r="AI1122" i="34"/>
  <c r="AJ1122" i="34" s="1"/>
  <c r="AE1122" i="34"/>
  <c r="AS1122" i="34" s="1"/>
  <c r="AD1122" i="34"/>
  <c r="AC1122" i="34"/>
  <c r="AB1122" i="34"/>
  <c r="R1122" i="34"/>
  <c r="AG1122" i="34" s="1"/>
  <c r="AH1122" i="34" s="1"/>
  <c r="A1122" i="34"/>
  <c r="AI1121" i="34"/>
  <c r="AJ1121" i="34" s="1"/>
  <c r="AS1121" i="34"/>
  <c r="AD1121" i="34"/>
  <c r="AC1121" i="34"/>
  <c r="AB1121" i="34"/>
  <c r="R1121" i="34"/>
  <c r="AG1121" i="34" s="1"/>
  <c r="A1121" i="34"/>
  <c r="AI1120" i="34"/>
  <c r="AD1120" i="34"/>
  <c r="AC1120" i="34"/>
  <c r="AB1120" i="34"/>
  <c r="R1120" i="34"/>
  <c r="AG1120" i="34" s="1"/>
  <c r="AH1120" i="34" s="1"/>
  <c r="A1120" i="34"/>
  <c r="AI1119" i="34"/>
  <c r="AE1119" i="34"/>
  <c r="AD1119" i="34"/>
  <c r="AC1119" i="34"/>
  <c r="AB1119" i="34"/>
  <c r="R1119" i="34"/>
  <c r="AG1119" i="34" s="1"/>
  <c r="AT1119" i="34" s="1"/>
  <c r="A1119" i="34"/>
  <c r="AI1118" i="34"/>
  <c r="AD1118" i="34"/>
  <c r="AC1118" i="34"/>
  <c r="AB1118" i="34"/>
  <c r="R1118" i="34"/>
  <c r="AG1118" i="34" s="1"/>
  <c r="A1118" i="34"/>
  <c r="AI1117" i="34"/>
  <c r="AD1117" i="34"/>
  <c r="AC1117" i="34"/>
  <c r="AB1117" i="34"/>
  <c r="R1117" i="34"/>
  <c r="AG1117" i="34" s="1"/>
  <c r="AT1117" i="34" s="1"/>
  <c r="A1117" i="34"/>
  <c r="AI1116" i="34"/>
  <c r="AS1116" i="34"/>
  <c r="AD1116" i="34"/>
  <c r="AC1116" i="34"/>
  <c r="AB1116" i="34"/>
  <c r="R1116" i="34"/>
  <c r="AG1116" i="34" s="1"/>
  <c r="A1116" i="34"/>
  <c r="AI1115" i="34"/>
  <c r="AJ1115" i="34" s="1"/>
  <c r="AD1115" i="34"/>
  <c r="AC1115" i="34"/>
  <c r="AB1115" i="34"/>
  <c r="R1115" i="34"/>
  <c r="AG1115" i="34" s="1"/>
  <c r="AH1115" i="34" s="1"/>
  <c r="A1115" i="34"/>
  <c r="AI1114" i="34"/>
  <c r="AJ1114" i="34" s="1"/>
  <c r="AD1114" i="34"/>
  <c r="AC1114" i="34"/>
  <c r="AB1114" i="34"/>
  <c r="R1114" i="34"/>
  <c r="AG1114" i="34" s="1"/>
  <c r="AH1114" i="34" s="1"/>
  <c r="A1114" i="34"/>
  <c r="AI1113" i="34"/>
  <c r="AJ1113" i="34" s="1"/>
  <c r="AS1113" i="34"/>
  <c r="AD1113" i="34"/>
  <c r="AC1113" i="34"/>
  <c r="AB1113" i="34"/>
  <c r="R1113" i="34"/>
  <c r="AG1113" i="34" s="1"/>
  <c r="A1113" i="34"/>
  <c r="AI1112" i="34"/>
  <c r="AJ1112" i="34" s="1"/>
  <c r="AE1112" i="34"/>
  <c r="AF1112" i="34" s="1"/>
  <c r="AD1112" i="34"/>
  <c r="AC1112" i="34"/>
  <c r="AB1112" i="34"/>
  <c r="R1112" i="34"/>
  <c r="AG1112" i="34" s="1"/>
  <c r="A1112" i="34"/>
  <c r="AI1111" i="34"/>
  <c r="AJ1111" i="34" s="1"/>
  <c r="AE1111" i="34"/>
  <c r="AD1111" i="34"/>
  <c r="AC1111" i="34"/>
  <c r="AB1111" i="34"/>
  <c r="R1111" i="34"/>
  <c r="AG1111" i="34" s="1"/>
  <c r="A1111" i="34"/>
  <c r="AI1110" i="34"/>
  <c r="AJ1110" i="34" s="1"/>
  <c r="AD1110" i="34"/>
  <c r="AC1110" i="34"/>
  <c r="AB1110" i="34"/>
  <c r="R1110" i="34"/>
  <c r="AG1110" i="34" s="1"/>
  <c r="AT1110" i="34" s="1"/>
  <c r="A1110" i="34"/>
  <c r="AI1109" i="34"/>
  <c r="AJ1109" i="34" s="1"/>
  <c r="AS1109" i="34"/>
  <c r="AD1109" i="34"/>
  <c r="AC1109" i="34"/>
  <c r="AB1109" i="34"/>
  <c r="R1109" i="34"/>
  <c r="AG1109" i="34" s="1"/>
  <c r="AH1109" i="34" s="1"/>
  <c r="A1109" i="34"/>
  <c r="AI1108" i="34"/>
  <c r="AJ1108" i="34" s="1"/>
  <c r="AF1108" i="34"/>
  <c r="AD1108" i="34"/>
  <c r="AC1108" i="34"/>
  <c r="AB1108" i="34"/>
  <c r="R1108" i="34"/>
  <c r="AG1108" i="34" s="1"/>
  <c r="AH1108" i="34" s="1"/>
  <c r="A1108" i="34"/>
  <c r="AI1107" i="34"/>
  <c r="AD1107" i="34"/>
  <c r="AC1107" i="34"/>
  <c r="AB1107" i="34"/>
  <c r="R1107" i="34"/>
  <c r="AG1107" i="34" s="1"/>
  <c r="A1107" i="34"/>
  <c r="AI1106" i="34"/>
  <c r="AJ1106" i="34" s="1"/>
  <c r="AF1106" i="34"/>
  <c r="AD1106" i="34"/>
  <c r="AC1106" i="34"/>
  <c r="AB1106" i="34"/>
  <c r="R1106" i="34"/>
  <c r="AG1106" i="34" s="1"/>
  <c r="A1106" i="34"/>
  <c r="AI1105" i="34"/>
  <c r="AJ1105" i="34" s="1"/>
  <c r="AD1105" i="34"/>
  <c r="AC1105" i="34"/>
  <c r="AB1105" i="34"/>
  <c r="R1105" i="34"/>
  <c r="AG1105" i="34" s="1"/>
  <c r="AH1105" i="34" s="1"/>
  <c r="A1105" i="34"/>
  <c r="AF1104" i="34"/>
  <c r="AD1104" i="34"/>
  <c r="AC1104" i="34"/>
  <c r="AB1104" i="34"/>
  <c r="R1104" i="34"/>
  <c r="A1104" i="34"/>
  <c r="AI1103" i="34"/>
  <c r="AS1103" i="34"/>
  <c r="AD1103" i="34"/>
  <c r="AC1103" i="34"/>
  <c r="AB1103" i="34"/>
  <c r="R1103" i="34"/>
  <c r="AG1103" i="34" s="1"/>
  <c r="AH1103" i="34" s="1"/>
  <c r="A1103" i="34"/>
  <c r="AI1102" i="34"/>
  <c r="AF1102" i="34"/>
  <c r="AD1102" i="34"/>
  <c r="AC1102" i="34"/>
  <c r="AB1102" i="34"/>
  <c r="R1102" i="34"/>
  <c r="AG1102" i="34" s="1"/>
  <c r="A1102" i="34"/>
  <c r="AI1101" i="34"/>
  <c r="AD1101" i="34"/>
  <c r="AC1101" i="34"/>
  <c r="AB1101" i="34"/>
  <c r="R1101" i="34"/>
  <c r="AG1101" i="34" s="1"/>
  <c r="AH1101" i="34" s="1"/>
  <c r="A1101" i="34"/>
  <c r="AI1100" i="34"/>
  <c r="AD1100" i="34"/>
  <c r="AC1100" i="34"/>
  <c r="AB1100" i="34"/>
  <c r="R1100" i="34"/>
  <c r="AG1100" i="34" s="1"/>
  <c r="A1100" i="34"/>
  <c r="AD1099" i="34"/>
  <c r="AC1099" i="34"/>
  <c r="AB1099" i="34"/>
  <c r="R1099" i="34"/>
  <c r="AG1099" i="34" s="1"/>
  <c r="A1099" i="34"/>
  <c r="AI1098" i="34"/>
  <c r="AJ1098" i="34" s="1"/>
  <c r="AE1098" i="34"/>
  <c r="AD1098" i="34"/>
  <c r="AC1098" i="34"/>
  <c r="AB1098" i="34"/>
  <c r="R1098" i="34"/>
  <c r="AG1098" i="34" s="1"/>
  <c r="AT1098" i="34" s="1"/>
  <c r="A1098" i="34"/>
  <c r="AI1097" i="34"/>
  <c r="AE1097" i="34"/>
  <c r="AF1097" i="34" s="1"/>
  <c r="AD1097" i="34"/>
  <c r="AC1097" i="34"/>
  <c r="AB1097" i="34"/>
  <c r="R1097" i="34"/>
  <c r="AG1097" i="34" s="1"/>
  <c r="AT1097" i="34" s="1"/>
  <c r="A1097" i="34"/>
  <c r="AS1096" i="34"/>
  <c r="AD1096" i="34"/>
  <c r="AC1096" i="34"/>
  <c r="AB1096" i="34"/>
  <c r="R1096" i="34"/>
  <c r="AI1096" i="34" s="1"/>
  <c r="AJ1096" i="34" s="1"/>
  <c r="A1096" i="34"/>
  <c r="AI1095" i="34"/>
  <c r="AJ1095" i="34" s="1"/>
  <c r="AS1095" i="34"/>
  <c r="AD1095" i="34"/>
  <c r="AC1095" i="34"/>
  <c r="AB1095" i="34"/>
  <c r="R1095" i="34"/>
  <c r="AG1095" i="34" s="1"/>
  <c r="A1095" i="34"/>
  <c r="AF1094" i="34"/>
  <c r="AC1094" i="34"/>
  <c r="AB1094" i="34"/>
  <c r="Z1094" i="34"/>
  <c r="AD1094" i="34" s="1"/>
  <c r="R1094" i="34"/>
  <c r="AG1094" i="34" s="1"/>
  <c r="A1094" i="34"/>
  <c r="AI1093" i="34"/>
  <c r="AD1093" i="34"/>
  <c r="AC1093" i="34"/>
  <c r="AB1093" i="34"/>
  <c r="R1093" i="34"/>
  <c r="AG1093" i="34" s="1"/>
  <c r="AH1093" i="34" s="1"/>
  <c r="A1093" i="34"/>
  <c r="AI1092" i="34"/>
  <c r="AJ1092" i="34" s="1"/>
  <c r="AS1092" i="34"/>
  <c r="AD1092" i="34"/>
  <c r="AC1092" i="34"/>
  <c r="AB1092" i="34"/>
  <c r="R1092" i="34"/>
  <c r="AG1092" i="34" s="1"/>
  <c r="A1092" i="34"/>
  <c r="AC1091" i="34"/>
  <c r="AB1091" i="34"/>
  <c r="Z1091" i="34"/>
  <c r="AI1091" i="34" s="1"/>
  <c r="R1091" i="34"/>
  <c r="AG1091" i="34" s="1"/>
  <c r="A1091" i="34"/>
  <c r="AI1090" i="34"/>
  <c r="AJ1090" i="34" s="1"/>
  <c r="AD1090" i="34"/>
  <c r="AC1090" i="34"/>
  <c r="AB1090" i="34"/>
  <c r="R1090" i="34"/>
  <c r="A1090" i="34"/>
  <c r="AI1089" i="34"/>
  <c r="AD1089" i="34"/>
  <c r="AC1089" i="34"/>
  <c r="AB1089" i="34"/>
  <c r="R1089" i="34"/>
  <c r="AG1089" i="34" s="1"/>
  <c r="AH1089" i="34" s="1"/>
  <c r="A1089" i="34"/>
  <c r="AI1088" i="34"/>
  <c r="AS1088" i="34"/>
  <c r="AD1088" i="34"/>
  <c r="AC1088" i="34"/>
  <c r="AB1088" i="34"/>
  <c r="R1088" i="34"/>
  <c r="AG1088" i="34" s="1"/>
  <c r="A1088" i="34"/>
  <c r="AI1087" i="34"/>
  <c r="AD1087" i="34"/>
  <c r="AC1087" i="34"/>
  <c r="AB1087" i="34"/>
  <c r="R1087" i="34"/>
  <c r="AG1087" i="34" s="1"/>
  <c r="A1087" i="34"/>
  <c r="AI1086" i="34"/>
  <c r="AJ1086" i="34" s="1"/>
  <c r="AS1086" i="34"/>
  <c r="AD1086" i="34"/>
  <c r="AC1086" i="34"/>
  <c r="AB1086" i="34"/>
  <c r="R1086" i="34"/>
  <c r="AG1086" i="34" s="1"/>
  <c r="A1086" i="34"/>
  <c r="AS1085" i="34"/>
  <c r="AD1085" i="34"/>
  <c r="AC1085" i="34"/>
  <c r="AB1085" i="34"/>
  <c r="R1085" i="34"/>
  <c r="AI1085" i="34" s="1"/>
  <c r="A1085" i="34"/>
  <c r="AI1084" i="34"/>
  <c r="AJ1084" i="34" s="1"/>
  <c r="AF1084" i="34"/>
  <c r="AD1084" i="34"/>
  <c r="AC1084" i="34"/>
  <c r="AB1084" i="34"/>
  <c r="R1084" i="34"/>
  <c r="AG1084" i="34" s="1"/>
  <c r="A1084" i="34"/>
  <c r="AI1083" i="34"/>
  <c r="AD1083" i="34"/>
  <c r="AC1083" i="34"/>
  <c r="AB1083" i="34"/>
  <c r="R1083" i="34"/>
  <c r="AG1083" i="34" s="1"/>
  <c r="A1083" i="34"/>
  <c r="AI1082" i="34"/>
  <c r="AJ1082" i="34" s="1"/>
  <c r="AE1082" i="34"/>
  <c r="AS1082" i="34" s="1"/>
  <c r="AD1082" i="34"/>
  <c r="AC1082" i="34"/>
  <c r="AB1082" i="34"/>
  <c r="R1082" i="34"/>
  <c r="AG1082" i="34" s="1"/>
  <c r="A1082" i="34"/>
  <c r="AI1081" i="34"/>
  <c r="AE1081" i="34"/>
  <c r="AS1081" i="34" s="1"/>
  <c r="AD1081" i="34"/>
  <c r="AC1081" i="34"/>
  <c r="AB1081" i="34"/>
  <c r="R1081" i="34"/>
  <c r="AG1081" i="34" s="1"/>
  <c r="A1081" i="34"/>
  <c r="AI1080" i="34"/>
  <c r="AE1080" i="34"/>
  <c r="AD1080" i="34"/>
  <c r="AC1080" i="34"/>
  <c r="AB1080" i="34"/>
  <c r="R1080" i="34"/>
  <c r="AG1080" i="34" s="1"/>
  <c r="AT1080" i="34" s="1"/>
  <c r="A1080" i="34"/>
  <c r="AI1079" i="34"/>
  <c r="AD1079" i="34"/>
  <c r="AC1079" i="34"/>
  <c r="AB1079" i="34"/>
  <c r="R1079" i="34"/>
  <c r="AG1079" i="34" s="1"/>
  <c r="A1079" i="34"/>
  <c r="AI1078" i="34"/>
  <c r="AJ1078" i="34" s="1"/>
  <c r="AD1078" i="34"/>
  <c r="AC1078" i="34"/>
  <c r="AB1078" i="34"/>
  <c r="R1078" i="34"/>
  <c r="AG1078" i="34" s="1"/>
  <c r="A1078" i="34"/>
  <c r="AI1077" i="34"/>
  <c r="AE1077" i="34"/>
  <c r="AS1077" i="34" s="1"/>
  <c r="AD1077" i="34"/>
  <c r="AC1077" i="34"/>
  <c r="AB1077" i="34"/>
  <c r="R1077" i="34"/>
  <c r="AG1077" i="34" s="1"/>
  <c r="A1077" i="34"/>
  <c r="AS1076" i="34"/>
  <c r="AD1076" i="34"/>
  <c r="AC1076" i="34"/>
  <c r="AB1076" i="34"/>
  <c r="R1076" i="34"/>
  <c r="AG1076" i="34" s="1"/>
  <c r="AI1076" i="34" s="1"/>
  <c r="AK1076" i="34" s="1"/>
  <c r="AL1076" i="34" s="1"/>
  <c r="A1076" i="34"/>
  <c r="AD1075" i="34"/>
  <c r="AC1075" i="34"/>
  <c r="AB1075" i="34"/>
  <c r="R1075" i="34"/>
  <c r="AG1075" i="34" s="1"/>
  <c r="A1075" i="34"/>
  <c r="AI1074" i="34"/>
  <c r="AS1074" i="34"/>
  <c r="AD1074" i="34"/>
  <c r="AC1074" i="34"/>
  <c r="AB1074" i="34"/>
  <c r="R1074" i="34"/>
  <c r="AG1074" i="34" s="1"/>
  <c r="A1074" i="34"/>
  <c r="AS1073" i="34"/>
  <c r="AD1073" i="34"/>
  <c r="AC1073" i="34"/>
  <c r="AB1073" i="34"/>
  <c r="R1073" i="34"/>
  <c r="AG1073" i="34" s="1"/>
  <c r="A1073" i="34"/>
  <c r="AI1072" i="34"/>
  <c r="AS1072" i="34"/>
  <c r="AD1072" i="34"/>
  <c r="AC1072" i="34"/>
  <c r="AB1072" i="34"/>
  <c r="R1072" i="34"/>
  <c r="AG1072" i="34" s="1"/>
  <c r="AN1072" i="34" s="1"/>
  <c r="A1072" i="34"/>
  <c r="AE1071" i="34"/>
  <c r="AD1071" i="34"/>
  <c r="AC1071" i="34"/>
  <c r="AB1071" i="34"/>
  <c r="R1071" i="34"/>
  <c r="AG1071" i="34" s="1"/>
  <c r="A1071" i="34"/>
  <c r="AI1070" i="34"/>
  <c r="AE1070" i="34"/>
  <c r="AF1070" i="34" s="1"/>
  <c r="AD1070" i="34"/>
  <c r="AC1070" i="34"/>
  <c r="AB1070" i="34"/>
  <c r="R1070" i="34"/>
  <c r="AG1070" i="34" s="1"/>
  <c r="A1070" i="34"/>
  <c r="AI1069" i="34"/>
  <c r="AE1069" i="34"/>
  <c r="AS1069" i="34" s="1"/>
  <c r="AD1069" i="34"/>
  <c r="AC1069" i="34"/>
  <c r="AB1069" i="34"/>
  <c r="R1069" i="34"/>
  <c r="AG1069" i="34" s="1"/>
  <c r="A1069" i="34"/>
  <c r="AD1068" i="34"/>
  <c r="AC1068" i="34"/>
  <c r="AB1068" i="34"/>
  <c r="R1068" i="34"/>
  <c r="AG1068" i="34" s="1"/>
  <c r="AI1068" i="34" s="1"/>
  <c r="A1068" i="34"/>
  <c r="AI1067" i="34"/>
  <c r="AD1067" i="34"/>
  <c r="AC1067" i="34"/>
  <c r="AB1067" i="34"/>
  <c r="R1067" i="34"/>
  <c r="AG1067" i="34" s="1"/>
  <c r="A1067" i="34"/>
  <c r="AI1066" i="34"/>
  <c r="AD1066" i="34"/>
  <c r="AC1066" i="34"/>
  <c r="AB1066" i="34"/>
  <c r="R1066" i="34"/>
  <c r="AG1066" i="34" s="1"/>
  <c r="A1066" i="34"/>
  <c r="AI1065" i="34"/>
  <c r="AS1065" i="34"/>
  <c r="AD1065" i="34"/>
  <c r="AC1065" i="34"/>
  <c r="AB1065" i="34"/>
  <c r="R1065" i="34"/>
  <c r="AG1065" i="34" s="1"/>
  <c r="A1065" i="34"/>
  <c r="AI1064" i="34"/>
  <c r="AD1064" i="34"/>
  <c r="AC1064" i="34"/>
  <c r="AB1064" i="34"/>
  <c r="R1064" i="34"/>
  <c r="AG1064" i="34" s="1"/>
  <c r="AT1064" i="34" s="1"/>
  <c r="A1064" i="34"/>
  <c r="AI1063" i="34"/>
  <c r="AD1063" i="34"/>
  <c r="AC1063" i="34"/>
  <c r="AB1063" i="34"/>
  <c r="R1063" i="34"/>
  <c r="AG1063" i="34" s="1"/>
  <c r="A1063" i="34"/>
  <c r="AF1062" i="34"/>
  <c r="AD1062" i="34"/>
  <c r="AC1062" i="34"/>
  <c r="AB1062" i="34"/>
  <c r="R1062" i="34"/>
  <c r="A1062" i="34"/>
  <c r="AI1061" i="34"/>
  <c r="AS1061" i="34"/>
  <c r="AD1061" i="34"/>
  <c r="AC1061" i="34"/>
  <c r="AB1061" i="34"/>
  <c r="R1061" i="34"/>
  <c r="AG1061" i="34" s="1"/>
  <c r="AT1061" i="34" s="1"/>
  <c r="A1061" i="34"/>
  <c r="AI1060" i="34"/>
  <c r="AJ1060" i="34" s="1"/>
  <c r="AF1060" i="34"/>
  <c r="AD1060" i="34"/>
  <c r="AC1060" i="34"/>
  <c r="AB1060" i="34"/>
  <c r="R1060" i="34"/>
  <c r="AG1060" i="34" s="1"/>
  <c r="AT1060" i="34" s="1"/>
  <c r="A1060" i="34"/>
  <c r="AI1059" i="34"/>
  <c r="AD1059" i="34"/>
  <c r="AC1059" i="34"/>
  <c r="AB1059" i="34"/>
  <c r="R1059" i="34"/>
  <c r="AG1059" i="34" s="1"/>
  <c r="AH1059" i="34" s="1"/>
  <c r="A1059" i="34"/>
  <c r="AI1058" i="34"/>
  <c r="AJ1058" i="34" s="1"/>
  <c r="AF1058" i="34"/>
  <c r="AD1058" i="34"/>
  <c r="AC1058" i="34"/>
  <c r="AB1058" i="34"/>
  <c r="R1058" i="34"/>
  <c r="AG1058" i="34" s="1"/>
  <c r="A1058" i="34"/>
  <c r="AS1057" i="34"/>
  <c r="AD1057" i="34"/>
  <c r="AC1057" i="34"/>
  <c r="AB1057" i="34"/>
  <c r="R1057" i="34"/>
  <c r="AG1057" i="34" s="1"/>
  <c r="A1057" i="34"/>
  <c r="AS1056" i="34"/>
  <c r="AD1056" i="34"/>
  <c r="AC1056" i="34"/>
  <c r="AB1056" i="34"/>
  <c r="R1056" i="34"/>
  <c r="AG1056" i="34" s="1"/>
  <c r="AI1056" i="34" s="1"/>
  <c r="A1056" i="34"/>
  <c r="AD1055" i="34"/>
  <c r="AC1055" i="34"/>
  <c r="AB1055" i="34"/>
  <c r="R1055" i="34"/>
  <c r="AG1055" i="34" s="1"/>
  <c r="AT1055" i="34" s="1"/>
  <c r="A1055" i="34"/>
  <c r="AI1054" i="34"/>
  <c r="AJ1054" i="34" s="1"/>
  <c r="AD1054" i="34"/>
  <c r="AC1054" i="34"/>
  <c r="AB1054" i="34"/>
  <c r="R1054" i="34"/>
  <c r="AG1054" i="34" s="1"/>
  <c r="A1054" i="34"/>
  <c r="AI1053" i="34"/>
  <c r="AS1053" i="34"/>
  <c r="AD1053" i="34"/>
  <c r="AC1053" i="34"/>
  <c r="AB1053" i="34"/>
  <c r="R1053" i="34"/>
  <c r="AG1053" i="34" s="1"/>
  <c r="AT1053" i="34" s="1"/>
  <c r="A1053" i="34"/>
  <c r="AI1052" i="34"/>
  <c r="AJ1052" i="34" s="1"/>
  <c r="AE1052" i="34"/>
  <c r="AF1052" i="34" s="1"/>
  <c r="AD1052" i="34"/>
  <c r="AC1052" i="34"/>
  <c r="AB1052" i="34"/>
  <c r="R1052" i="34"/>
  <c r="AG1052" i="34" s="1"/>
  <c r="A1052" i="34"/>
  <c r="AI1051" i="34"/>
  <c r="AD1051" i="34"/>
  <c r="AC1051" i="34"/>
  <c r="AB1051" i="34"/>
  <c r="R1051" i="34"/>
  <c r="AG1051" i="34" s="1"/>
  <c r="AT1051" i="34" s="1"/>
  <c r="A1051" i="34"/>
  <c r="AI1050" i="34"/>
  <c r="AJ1050" i="34" s="1"/>
  <c r="AS1050" i="34"/>
  <c r="AD1050" i="34"/>
  <c r="AC1050" i="34"/>
  <c r="AB1050" i="34"/>
  <c r="R1050" i="34"/>
  <c r="AG1050" i="34" s="1"/>
  <c r="A1050" i="34"/>
  <c r="AI1049" i="34"/>
  <c r="AE1049" i="34"/>
  <c r="AD1049" i="34"/>
  <c r="AC1049" i="34"/>
  <c r="AB1049" i="34"/>
  <c r="R1049" i="34"/>
  <c r="AG1049" i="34" s="1"/>
  <c r="A1049" i="34"/>
  <c r="AS1048" i="34"/>
  <c r="AD1048" i="34"/>
  <c r="AC1048" i="34"/>
  <c r="AB1048" i="34"/>
  <c r="R1048" i="34"/>
  <c r="A1048" i="34"/>
  <c r="AD1047" i="34"/>
  <c r="AC1047" i="34"/>
  <c r="AB1047" i="34"/>
  <c r="R1047" i="34"/>
  <c r="A1047" i="34"/>
  <c r="AI1046" i="34"/>
  <c r="AJ1046" i="34" s="1"/>
  <c r="AE1046" i="34"/>
  <c r="AD1046" i="34"/>
  <c r="AC1046" i="34"/>
  <c r="AB1046" i="34"/>
  <c r="R1046" i="34"/>
  <c r="AG1046" i="34" s="1"/>
  <c r="A1046" i="34"/>
  <c r="AI1045" i="34"/>
  <c r="AD1045" i="34"/>
  <c r="AC1045" i="34"/>
  <c r="AB1045" i="34"/>
  <c r="R1045" i="34"/>
  <c r="AG1045" i="34" s="1"/>
  <c r="A1045" i="34"/>
  <c r="AI1044" i="34"/>
  <c r="AJ1044" i="34" s="1"/>
  <c r="AE1044" i="34"/>
  <c r="AD1044" i="34"/>
  <c r="AC1044" i="34"/>
  <c r="AB1044" i="34"/>
  <c r="R1044" i="34"/>
  <c r="AG1044" i="34" s="1"/>
  <c r="A1044" i="34"/>
  <c r="AE1043" i="34"/>
  <c r="AD1043" i="34"/>
  <c r="AC1043" i="34"/>
  <c r="AB1043" i="34"/>
  <c r="R1043" i="34"/>
  <c r="AI1043" i="34" s="1"/>
  <c r="A1043" i="34"/>
  <c r="AI1042" i="34"/>
  <c r="AJ1042" i="34" s="1"/>
  <c r="AE1042" i="34"/>
  <c r="AF1042" i="34" s="1"/>
  <c r="AD1042" i="34"/>
  <c r="AC1042" i="34"/>
  <c r="AB1042" i="34"/>
  <c r="R1042" i="34"/>
  <c r="AG1042" i="34" s="1"/>
  <c r="A1042" i="34"/>
  <c r="AI1041" i="34"/>
  <c r="AE1041" i="34"/>
  <c r="AD1041" i="34"/>
  <c r="AC1041" i="34"/>
  <c r="AB1041" i="34"/>
  <c r="R1041" i="34"/>
  <c r="AG1041" i="34" s="1"/>
  <c r="A1041" i="34"/>
  <c r="AS1040" i="34"/>
  <c r="AD1040" i="34"/>
  <c r="AC1040" i="34"/>
  <c r="AB1040" i="34"/>
  <c r="R1040" i="34"/>
  <c r="AG1040" i="34" s="1"/>
  <c r="A1040" i="34"/>
  <c r="AI1039" i="34"/>
  <c r="AS1039" i="34"/>
  <c r="AD1039" i="34"/>
  <c r="AC1039" i="34"/>
  <c r="AB1039" i="34"/>
  <c r="R1039" i="34"/>
  <c r="AG1039" i="34" s="1"/>
  <c r="A1039" i="34"/>
  <c r="AI1038" i="34"/>
  <c r="AJ1038" i="34" s="1"/>
  <c r="AF1038" i="34"/>
  <c r="AD1038" i="34"/>
  <c r="AC1038" i="34"/>
  <c r="AB1038" i="34"/>
  <c r="R1038" i="34"/>
  <c r="AG1038" i="34" s="1"/>
  <c r="A1038" i="34"/>
  <c r="AI1037" i="34"/>
  <c r="AD1037" i="34"/>
  <c r="AC1037" i="34"/>
  <c r="AB1037" i="34"/>
  <c r="R1037" i="34"/>
  <c r="AG1037" i="34" s="1"/>
  <c r="AH1037" i="34" s="1"/>
  <c r="A1037" i="34"/>
  <c r="AI1036" i="34"/>
  <c r="AF1036" i="34"/>
  <c r="AD1036" i="34"/>
  <c r="AC1036" i="34"/>
  <c r="AB1036" i="34"/>
  <c r="R1036" i="34"/>
  <c r="AG1036" i="34" s="1"/>
  <c r="A1036" i="34"/>
  <c r="AI1035" i="34"/>
  <c r="AJ1035" i="34" s="1"/>
  <c r="AE1035" i="34"/>
  <c r="AF1035" i="34" s="1"/>
  <c r="AD1035" i="34"/>
  <c r="AC1035" i="34"/>
  <c r="AB1035" i="34"/>
  <c r="R1035" i="34"/>
  <c r="AG1035" i="34" s="1"/>
  <c r="A1035" i="34"/>
  <c r="AD1034" i="34"/>
  <c r="AC1034" i="34"/>
  <c r="AB1034" i="34"/>
  <c r="R1034" i="34"/>
  <c r="A1034" i="34"/>
  <c r="AS1033" i="34"/>
  <c r="AD1033" i="34"/>
  <c r="AC1033" i="34"/>
  <c r="AB1033" i="34"/>
  <c r="R1033" i="34"/>
  <c r="AI1033" i="34" s="1"/>
  <c r="A1033" i="34"/>
  <c r="AI1032" i="34"/>
  <c r="AJ1032" i="34" s="1"/>
  <c r="AD1032" i="34"/>
  <c r="AC1032" i="34"/>
  <c r="AB1032" i="34"/>
  <c r="R1032" i="34"/>
  <c r="AG1032" i="34" s="1"/>
  <c r="A1032" i="34"/>
  <c r="AI1031" i="34"/>
  <c r="AF1031" i="34"/>
  <c r="AD1031" i="34"/>
  <c r="AC1031" i="34"/>
  <c r="AB1031" i="34"/>
  <c r="R1031" i="34"/>
  <c r="AG1031" i="34" s="1"/>
  <c r="A1031" i="34"/>
  <c r="AI1030" i="34"/>
  <c r="AJ1030" i="34" s="1"/>
  <c r="AD1030" i="34"/>
  <c r="AC1030" i="34"/>
  <c r="AB1030" i="34"/>
  <c r="R1030" i="34"/>
  <c r="AG1030" i="34" s="1"/>
  <c r="AH1030" i="34" s="1"/>
  <c r="A1030" i="34"/>
  <c r="AE1029" i="34"/>
  <c r="AD1029" i="34"/>
  <c r="AC1029" i="34"/>
  <c r="AB1029" i="34"/>
  <c r="R1029" i="34"/>
  <c r="AG1029" i="34" s="1"/>
  <c r="AT1029" i="34" s="1"/>
  <c r="A1029" i="34"/>
  <c r="AI1028" i="34"/>
  <c r="AJ1028" i="34" s="1"/>
  <c r="AE1028" i="34"/>
  <c r="AS1028" i="34" s="1"/>
  <c r="AD1028" i="34"/>
  <c r="AC1028" i="34"/>
  <c r="AB1028" i="34"/>
  <c r="R1028" i="34"/>
  <c r="AG1028" i="34" s="1"/>
  <c r="A1028" i="34"/>
  <c r="AI1027" i="34"/>
  <c r="AE1027" i="34"/>
  <c r="AF1027" i="34" s="1"/>
  <c r="AD1027" i="34"/>
  <c r="AC1027" i="34"/>
  <c r="AB1027" i="34"/>
  <c r="R1027" i="34"/>
  <c r="AG1027" i="34" s="1"/>
  <c r="A1027" i="34"/>
  <c r="AE1026" i="34"/>
  <c r="AD1026" i="34"/>
  <c r="AC1026" i="34"/>
  <c r="AB1026" i="34"/>
  <c r="R1026" i="34"/>
  <c r="AG1026" i="34" s="1"/>
  <c r="A1026" i="34"/>
  <c r="AI1025" i="34"/>
  <c r="AE1025" i="34"/>
  <c r="AS1025" i="34" s="1"/>
  <c r="AD1025" i="34"/>
  <c r="AC1025" i="34"/>
  <c r="AB1025" i="34"/>
  <c r="R1025" i="34"/>
  <c r="AG1025" i="34" s="1"/>
  <c r="AH1025" i="34" s="1"/>
  <c r="A1025" i="34"/>
  <c r="AI1024" i="34"/>
  <c r="AJ1024" i="34" s="1"/>
  <c r="AE1024" i="34"/>
  <c r="AD1024" i="34"/>
  <c r="AC1024" i="34"/>
  <c r="AB1024" i="34"/>
  <c r="R1024" i="34"/>
  <c r="AG1024" i="34" s="1"/>
  <c r="A1024" i="34"/>
  <c r="AI1023" i="34"/>
  <c r="AJ1023" i="34" s="1"/>
  <c r="AS1023" i="34"/>
  <c r="AD1023" i="34"/>
  <c r="AC1023" i="34"/>
  <c r="AB1023" i="34"/>
  <c r="R1023" i="34"/>
  <c r="AG1023" i="34" s="1"/>
  <c r="A1023" i="34"/>
  <c r="AI1022" i="34"/>
  <c r="AJ1022" i="34" s="1"/>
  <c r="AD1022" i="34"/>
  <c r="AC1022" i="34"/>
  <c r="AB1022" i="34"/>
  <c r="R1022" i="34"/>
  <c r="AG1022" i="34" s="1"/>
  <c r="A1022" i="34"/>
  <c r="AI1021" i="34"/>
  <c r="AD1021" i="34"/>
  <c r="AC1021" i="34"/>
  <c r="AB1021" i="34"/>
  <c r="R1021" i="34"/>
  <c r="AG1021" i="34" s="1"/>
  <c r="AH1021" i="34" s="1"/>
  <c r="A1021" i="34"/>
  <c r="AD1020" i="34"/>
  <c r="AC1020" i="34"/>
  <c r="AB1020" i="34"/>
  <c r="R1020" i="34"/>
  <c r="A1020" i="34"/>
  <c r="AD1019" i="34"/>
  <c r="AC1019" i="34"/>
  <c r="AB1019" i="34"/>
  <c r="R1019" i="34"/>
  <c r="A1019" i="34"/>
  <c r="AI1018" i="34"/>
  <c r="AJ1018" i="34" s="1"/>
  <c r="AS1018" i="34"/>
  <c r="AD1018" i="34"/>
  <c r="AC1018" i="34"/>
  <c r="AB1018" i="34"/>
  <c r="R1018" i="34"/>
  <c r="AG1018" i="34" s="1"/>
  <c r="AH1018" i="34" s="1"/>
  <c r="A1018" i="34"/>
  <c r="AI1017" i="34"/>
  <c r="AJ1017" i="34" s="1"/>
  <c r="AD1017" i="34"/>
  <c r="AC1017" i="34"/>
  <c r="AB1017" i="34"/>
  <c r="R1017" i="34"/>
  <c r="AG1017" i="34" s="1"/>
  <c r="AT1017" i="34" s="1"/>
  <c r="A1017" i="34"/>
  <c r="AI1016" i="34"/>
  <c r="AJ1016" i="34" s="1"/>
  <c r="AE1016" i="34"/>
  <c r="AS1016" i="34" s="1"/>
  <c r="AD1016" i="34"/>
  <c r="AC1016" i="34"/>
  <c r="AB1016" i="34"/>
  <c r="R1016" i="34"/>
  <c r="AG1016" i="34" s="1"/>
  <c r="A1016" i="34"/>
  <c r="AE1015" i="34"/>
  <c r="AF1015" i="34" s="1"/>
  <c r="AD1015" i="34"/>
  <c r="AC1015" i="34"/>
  <c r="AB1015" i="34"/>
  <c r="R1015" i="34"/>
  <c r="AG1015" i="34" s="1"/>
  <c r="AI1015" i="34" s="1"/>
  <c r="A1015" i="34"/>
  <c r="AI1014" i="34"/>
  <c r="AJ1014" i="34" s="1"/>
  <c r="AF1014" i="34"/>
  <c r="AD1014" i="34"/>
  <c r="AC1014" i="34"/>
  <c r="AB1014" i="34"/>
  <c r="R1014" i="34"/>
  <c r="AG1014" i="34" s="1"/>
  <c r="A1014" i="34"/>
  <c r="AI1013" i="34"/>
  <c r="AJ1013" i="34" s="1"/>
  <c r="AE1013" i="34"/>
  <c r="AS1013" i="34" s="1"/>
  <c r="AD1013" i="34"/>
  <c r="AC1013" i="34"/>
  <c r="AB1013" i="34"/>
  <c r="R1013" i="34"/>
  <c r="AG1013" i="34" s="1"/>
  <c r="AH1013" i="34" s="1"/>
  <c r="A1013" i="34"/>
  <c r="AE1012" i="34"/>
  <c r="AS1012" i="34" s="1"/>
  <c r="AD1012" i="34"/>
  <c r="AC1012" i="34"/>
  <c r="AB1012" i="34"/>
  <c r="R1012" i="34"/>
  <c r="AG1012" i="34" s="1"/>
  <c r="AI1012" i="34" s="1"/>
  <c r="AK1012" i="34" s="1"/>
  <c r="AL1012" i="34" s="1"/>
  <c r="A1012" i="34"/>
  <c r="AI1011" i="34"/>
  <c r="AJ1011" i="34" s="1"/>
  <c r="AE1011" i="34"/>
  <c r="AF1011" i="34" s="1"/>
  <c r="AD1011" i="34"/>
  <c r="AC1011" i="34"/>
  <c r="AB1011" i="34"/>
  <c r="R1011" i="34"/>
  <c r="AG1011" i="34" s="1"/>
  <c r="A1011" i="34"/>
  <c r="AI1010" i="34"/>
  <c r="AJ1010" i="34" s="1"/>
  <c r="AE1010" i="34"/>
  <c r="AS1010" i="34" s="1"/>
  <c r="AD1010" i="34"/>
  <c r="AC1010" i="34"/>
  <c r="AB1010" i="34"/>
  <c r="R1010" i="34"/>
  <c r="AG1010" i="34" s="1"/>
  <c r="A1010" i="34"/>
  <c r="AS1009" i="34"/>
  <c r="AD1009" i="34"/>
  <c r="AC1009" i="34"/>
  <c r="AB1009" i="34"/>
  <c r="R1009" i="34"/>
  <c r="AG1009" i="34" s="1"/>
  <c r="AI1009" i="34" s="1"/>
  <c r="A1009" i="34"/>
  <c r="AI1008" i="34"/>
  <c r="AJ1008" i="34" s="1"/>
  <c r="AD1008" i="34"/>
  <c r="AC1008" i="34"/>
  <c r="AB1008" i="34"/>
  <c r="R1008" i="34"/>
  <c r="AG1008" i="34" s="1"/>
  <c r="AH1008" i="34" s="1"/>
  <c r="A1008" i="34"/>
  <c r="AI1007" i="34"/>
  <c r="AE1007" i="34"/>
  <c r="AF1007" i="34" s="1"/>
  <c r="AD1007" i="34"/>
  <c r="AC1007" i="34"/>
  <c r="AB1007" i="34"/>
  <c r="R1007" i="34"/>
  <c r="AG1007" i="34" s="1"/>
  <c r="A1007" i="34"/>
  <c r="AI1006" i="34"/>
  <c r="AJ1006" i="34" s="1"/>
  <c r="AS1006" i="34"/>
  <c r="AD1006" i="34"/>
  <c r="AC1006" i="34"/>
  <c r="AB1006" i="34"/>
  <c r="R1006" i="34"/>
  <c r="AH1006" i="34" s="1"/>
  <c r="A1006" i="34"/>
  <c r="AI1005" i="34"/>
  <c r="AJ1005" i="34" s="1"/>
  <c r="AD1005" i="34"/>
  <c r="AC1005" i="34"/>
  <c r="AB1005" i="34"/>
  <c r="R1005" i="34"/>
  <c r="AT1005" i="34" s="1"/>
  <c r="A1005" i="34"/>
  <c r="AS1004" i="34"/>
  <c r="AI1004" i="34"/>
  <c r="AJ1004" i="34" s="1"/>
  <c r="AD1004" i="34"/>
  <c r="AC1004" i="34"/>
  <c r="AB1004" i="34"/>
  <c r="R1004" i="34"/>
  <c r="AG1004" i="34" s="1"/>
  <c r="A1004" i="34"/>
  <c r="AS1003" i="34"/>
  <c r="AI1003" i="34"/>
  <c r="AJ1003" i="34" s="1"/>
  <c r="AD1003" i="34"/>
  <c r="AC1003" i="34"/>
  <c r="AB1003" i="34"/>
  <c r="R1003" i="34"/>
  <c r="A1003" i="34"/>
  <c r="AS1002" i="34"/>
  <c r="AI1002" i="34"/>
  <c r="AJ1002" i="34" s="1"/>
  <c r="AD1002" i="34"/>
  <c r="AC1002" i="34"/>
  <c r="AB1002" i="34"/>
  <c r="R1002" i="34"/>
  <c r="AG1002" i="34" s="1"/>
  <c r="A1002" i="34"/>
  <c r="AI1001" i="34"/>
  <c r="AJ1001" i="34" s="1"/>
  <c r="AD1001" i="34"/>
  <c r="AC1001" i="34"/>
  <c r="AB1001" i="34"/>
  <c r="R1001" i="34"/>
  <c r="AH1001" i="34" s="1"/>
  <c r="A1001" i="34"/>
  <c r="AI1000" i="34"/>
  <c r="AE1000" i="34"/>
  <c r="AF1000" i="34" s="1"/>
  <c r="AD1000" i="34"/>
  <c r="AC1000" i="34"/>
  <c r="AB1000" i="34"/>
  <c r="R1000" i="34"/>
  <c r="AG1000" i="34" s="1"/>
  <c r="A1000" i="34"/>
  <c r="AI999" i="34"/>
  <c r="AJ999" i="34" s="1"/>
  <c r="AE999" i="34"/>
  <c r="AS999" i="34" s="1"/>
  <c r="AD999" i="34"/>
  <c r="AC999" i="34"/>
  <c r="AB999" i="34"/>
  <c r="R999" i="34"/>
  <c r="AG999" i="34" s="1"/>
  <c r="AH999" i="34" s="1"/>
  <c r="A999" i="34"/>
  <c r="AI998" i="34"/>
  <c r="AJ998" i="34" s="1"/>
  <c r="AS998" i="34"/>
  <c r="AD998" i="34"/>
  <c r="AC998" i="34"/>
  <c r="AB998" i="34"/>
  <c r="R998" i="34"/>
  <c r="AT998" i="34" s="1"/>
  <c r="A998" i="34"/>
  <c r="AI997" i="34"/>
  <c r="AJ997" i="34" s="1"/>
  <c r="AF997" i="34"/>
  <c r="AD997" i="34"/>
  <c r="AC997" i="34"/>
  <c r="AB997" i="34"/>
  <c r="R997" i="34"/>
  <c r="AG997" i="34" s="1"/>
  <c r="A997" i="34"/>
  <c r="AI996" i="34"/>
  <c r="AE996" i="34"/>
  <c r="AS996" i="34" s="1"/>
  <c r="AD996" i="34"/>
  <c r="AC996" i="34"/>
  <c r="AB996" i="34"/>
  <c r="R996" i="34"/>
  <c r="AG996" i="34" s="1"/>
  <c r="AT996" i="34" s="1"/>
  <c r="A996" i="34"/>
  <c r="AI995" i="34"/>
  <c r="AD995" i="34"/>
  <c r="AC995" i="34"/>
  <c r="AB995" i="34"/>
  <c r="R995" i="34"/>
  <c r="AG995" i="34" s="1"/>
  <c r="AT995" i="34" s="1"/>
  <c r="A995" i="34"/>
  <c r="AI994" i="34"/>
  <c r="AS994" i="34"/>
  <c r="AD994" i="34"/>
  <c r="AC994" i="34"/>
  <c r="AB994" i="34"/>
  <c r="R994" i="34"/>
  <c r="AG994" i="34" s="1"/>
  <c r="AH994" i="34" s="1"/>
  <c r="A994" i="34"/>
  <c r="AI993" i="34"/>
  <c r="AE993" i="34"/>
  <c r="AS993" i="34" s="1"/>
  <c r="AD993" i="34"/>
  <c r="AC993" i="34"/>
  <c r="AB993" i="34"/>
  <c r="R993" i="34"/>
  <c r="AG993" i="34" s="1"/>
  <c r="A993" i="34"/>
  <c r="AD992" i="34"/>
  <c r="AC992" i="34"/>
  <c r="AB992" i="34"/>
  <c r="R992" i="34"/>
  <c r="AT992" i="34" s="1"/>
  <c r="A992" i="34"/>
  <c r="AI991" i="34"/>
  <c r="AJ991" i="34" s="1"/>
  <c r="AE991" i="34"/>
  <c r="AF991" i="34" s="1"/>
  <c r="AD991" i="34"/>
  <c r="AC991" i="34"/>
  <c r="AB991" i="34"/>
  <c r="R991" i="34"/>
  <c r="A991" i="34"/>
  <c r="AI990" i="34"/>
  <c r="AE990" i="34"/>
  <c r="AS990" i="34" s="1"/>
  <c r="AD990" i="34"/>
  <c r="AC990" i="34"/>
  <c r="AB990" i="34"/>
  <c r="R990" i="34"/>
  <c r="AG990" i="34" s="1"/>
  <c r="AT990" i="34" s="1"/>
  <c r="A990" i="34"/>
  <c r="AI989" i="34"/>
  <c r="AJ989" i="34" s="1"/>
  <c r="AE989" i="34"/>
  <c r="AS989" i="34" s="1"/>
  <c r="AD989" i="34"/>
  <c r="AC989" i="34"/>
  <c r="AB989" i="34"/>
  <c r="R989" i="34"/>
  <c r="AG989" i="34" s="1"/>
  <c r="A989" i="34"/>
  <c r="AI988" i="34"/>
  <c r="AJ988" i="34" s="1"/>
  <c r="AE988" i="34"/>
  <c r="AF988" i="34" s="1"/>
  <c r="AD988" i="34"/>
  <c r="AC988" i="34"/>
  <c r="AB988" i="34"/>
  <c r="R988" i="34"/>
  <c r="AG988" i="34" s="1"/>
  <c r="A988" i="34"/>
  <c r="AI987" i="34"/>
  <c r="AE987" i="34"/>
  <c r="AD987" i="34"/>
  <c r="AC987" i="34"/>
  <c r="AB987" i="34"/>
  <c r="R987" i="34"/>
  <c r="AG987" i="34" s="1"/>
  <c r="A987" i="34"/>
  <c r="AI986" i="34"/>
  <c r="AJ986" i="34" s="1"/>
  <c r="AE986" i="34"/>
  <c r="AD986" i="34"/>
  <c r="AC986" i="34"/>
  <c r="AB986" i="34"/>
  <c r="R986" i="34"/>
  <c r="AG986" i="34" s="1"/>
  <c r="AH986" i="34" s="1"/>
  <c r="A986" i="34"/>
  <c r="AI985" i="34"/>
  <c r="AJ985" i="34" s="1"/>
  <c r="AE985" i="34"/>
  <c r="AS985" i="34" s="1"/>
  <c r="AD985" i="34"/>
  <c r="AC985" i="34"/>
  <c r="AB985" i="34"/>
  <c r="R985" i="34"/>
  <c r="AG985" i="34" s="1"/>
  <c r="AH985" i="34" s="1"/>
  <c r="A985" i="34"/>
  <c r="AE984" i="34"/>
  <c r="AF984" i="34" s="1"/>
  <c r="AD984" i="34"/>
  <c r="AC984" i="34"/>
  <c r="AB984" i="34"/>
  <c r="R984" i="34"/>
  <c r="AG984" i="34" s="1"/>
  <c r="A984" i="34"/>
  <c r="AI983" i="34"/>
  <c r="AE983" i="34"/>
  <c r="AS983" i="34" s="1"/>
  <c r="AD983" i="34"/>
  <c r="AC983" i="34"/>
  <c r="AB983" i="34"/>
  <c r="R983" i="34"/>
  <c r="AG983" i="34" s="1"/>
  <c r="A983" i="34"/>
  <c r="AI982" i="34"/>
  <c r="AJ982" i="34" s="1"/>
  <c r="AE982" i="34"/>
  <c r="AF982" i="34" s="1"/>
  <c r="AD982" i="34"/>
  <c r="AC982" i="34"/>
  <c r="AB982" i="34"/>
  <c r="R982" i="34"/>
  <c r="AG982" i="34" s="1"/>
  <c r="A982" i="34"/>
  <c r="AI981" i="34"/>
  <c r="AS981" i="34"/>
  <c r="AD981" i="34"/>
  <c r="AC981" i="34"/>
  <c r="AB981" i="34"/>
  <c r="R981" i="34"/>
  <c r="AG981" i="34" s="1"/>
  <c r="AH981" i="34" s="1"/>
  <c r="A981" i="34"/>
  <c r="AI980" i="34"/>
  <c r="AJ980" i="34" s="1"/>
  <c r="AD980" i="34"/>
  <c r="AC980" i="34"/>
  <c r="AB980" i="34"/>
  <c r="R980" i="34"/>
  <c r="AG980" i="34" s="1"/>
  <c r="A980" i="34"/>
  <c r="AI979" i="34"/>
  <c r="AJ979" i="34" s="1"/>
  <c r="AE979" i="34"/>
  <c r="AS979" i="34" s="1"/>
  <c r="AD979" i="34"/>
  <c r="AC979" i="34"/>
  <c r="AB979" i="34"/>
  <c r="R979" i="34"/>
  <c r="AG979" i="34" s="1"/>
  <c r="A979" i="34"/>
  <c r="AF978" i="34"/>
  <c r="AD978" i="34"/>
  <c r="AC978" i="34"/>
  <c r="AB978" i="34"/>
  <c r="R978" i="34"/>
  <c r="A978" i="34"/>
  <c r="AD977" i="34"/>
  <c r="AC977" i="34"/>
  <c r="AB977" i="34"/>
  <c r="R977" i="34"/>
  <c r="AG977" i="34" s="1"/>
  <c r="A977" i="34"/>
  <c r="AI976" i="34"/>
  <c r="AJ976" i="34" s="1"/>
  <c r="AS976" i="34"/>
  <c r="AD976" i="34"/>
  <c r="AC976" i="34"/>
  <c r="AB976" i="34"/>
  <c r="R976" i="34"/>
  <c r="AG976" i="34" s="1"/>
  <c r="AH976" i="34" s="1"/>
  <c r="A976" i="34"/>
  <c r="AS975" i="34"/>
  <c r="AD975" i="34"/>
  <c r="AC975" i="34"/>
  <c r="AB975" i="34"/>
  <c r="R975" i="34"/>
  <c r="AT975" i="34" s="1"/>
  <c r="A975" i="34"/>
  <c r="AI974" i="34"/>
  <c r="AJ974" i="34" s="1"/>
  <c r="AE974" i="34"/>
  <c r="AS974" i="34" s="1"/>
  <c r="AD974" i="34"/>
  <c r="AC974" i="34"/>
  <c r="AB974" i="34"/>
  <c r="R974" i="34"/>
  <c r="AG974" i="34" s="1"/>
  <c r="AH974" i="34" s="1"/>
  <c r="A974" i="34"/>
  <c r="AI973" i="34"/>
  <c r="AE973" i="34"/>
  <c r="AD973" i="34"/>
  <c r="AC973" i="34"/>
  <c r="AB973" i="34"/>
  <c r="R973" i="34"/>
  <c r="AG973" i="34" s="1"/>
  <c r="A973" i="34"/>
  <c r="AI972" i="34"/>
  <c r="AJ972" i="34" s="1"/>
  <c r="AE972" i="34"/>
  <c r="AF972" i="34" s="1"/>
  <c r="AD972" i="34"/>
  <c r="AC972" i="34"/>
  <c r="AB972" i="34"/>
  <c r="R972" i="34"/>
  <c r="AG972" i="34" s="1"/>
  <c r="AT972" i="34" s="1"/>
  <c r="A972" i="34"/>
  <c r="AI971" i="34"/>
  <c r="AJ971" i="34" s="1"/>
  <c r="AE971" i="34"/>
  <c r="AS971" i="34" s="1"/>
  <c r="AD971" i="34"/>
  <c r="AC971" i="34"/>
  <c r="AB971" i="34"/>
  <c r="R971" i="34"/>
  <c r="AG971" i="34" s="1"/>
  <c r="A971" i="34"/>
  <c r="AI970" i="34"/>
  <c r="AJ970" i="34" s="1"/>
  <c r="AD970" i="34"/>
  <c r="AC970" i="34"/>
  <c r="AB970" i="34"/>
  <c r="R970" i="34"/>
  <c r="AG970" i="34" s="1"/>
  <c r="A970" i="34"/>
  <c r="AI969" i="34"/>
  <c r="AJ969" i="34" s="1"/>
  <c r="AS969" i="34"/>
  <c r="AD969" i="34"/>
  <c r="AC969" i="34"/>
  <c r="AB969" i="34"/>
  <c r="R969" i="34"/>
  <c r="AG969" i="34" s="1"/>
  <c r="A969" i="34"/>
  <c r="AI968" i="34"/>
  <c r="AJ968" i="34" s="1"/>
  <c r="AE968" i="34"/>
  <c r="AS968" i="34" s="1"/>
  <c r="AD968" i="34"/>
  <c r="AC968" i="34"/>
  <c r="AB968" i="34"/>
  <c r="R968" i="34"/>
  <c r="AG968" i="34" s="1"/>
  <c r="A968" i="34"/>
  <c r="AI967" i="34"/>
  <c r="AE967" i="34"/>
  <c r="AD967" i="34"/>
  <c r="AC967" i="34"/>
  <c r="AB967" i="34"/>
  <c r="R967" i="34"/>
  <c r="AG967" i="34" s="1"/>
  <c r="A967" i="34"/>
  <c r="AI966" i="34"/>
  <c r="AJ966" i="34" s="1"/>
  <c r="AF966" i="34"/>
  <c r="AD966" i="34"/>
  <c r="AC966" i="34"/>
  <c r="AB966" i="34"/>
  <c r="R966" i="34"/>
  <c r="AG966" i="34" s="1"/>
  <c r="A966" i="34"/>
  <c r="AI965" i="34"/>
  <c r="AE965" i="34"/>
  <c r="AD965" i="34"/>
  <c r="AC965" i="34"/>
  <c r="AB965" i="34"/>
  <c r="R965" i="34"/>
  <c r="AG965" i="34" s="1"/>
  <c r="A965" i="34"/>
  <c r="AI964" i="34"/>
  <c r="AJ964" i="34" s="1"/>
  <c r="AS964" i="34"/>
  <c r="AD964" i="34"/>
  <c r="AC964" i="34"/>
  <c r="AB964" i="34"/>
  <c r="R964" i="34"/>
  <c r="AG964" i="34" s="1"/>
  <c r="A964" i="34"/>
  <c r="AI963" i="34"/>
  <c r="AJ963" i="34" s="1"/>
  <c r="AD963" i="34"/>
  <c r="AC963" i="34"/>
  <c r="AB963" i="34"/>
  <c r="R963" i="34"/>
  <c r="AG963" i="34" s="1"/>
  <c r="A963" i="34"/>
  <c r="AI962" i="34"/>
  <c r="AJ962" i="34" s="1"/>
  <c r="AE962" i="34"/>
  <c r="AD962" i="34"/>
  <c r="AC962" i="34"/>
  <c r="AB962" i="34"/>
  <c r="R962" i="34"/>
  <c r="AG962" i="34" s="1"/>
  <c r="A962" i="34"/>
  <c r="AI961" i="34"/>
  <c r="AD961" i="34"/>
  <c r="AC961" i="34"/>
  <c r="AB961" i="34"/>
  <c r="R961" i="34"/>
  <c r="AG961" i="34" s="1"/>
  <c r="A961" i="34"/>
  <c r="AI960" i="34"/>
  <c r="AJ960" i="34" s="1"/>
  <c r="AS960" i="34"/>
  <c r="AD960" i="34"/>
  <c r="AC960" i="34"/>
  <c r="AB960" i="34"/>
  <c r="R960" i="34"/>
  <c r="AG960" i="34" s="1"/>
  <c r="A960" i="34"/>
  <c r="AD959" i="34"/>
  <c r="AC959" i="34"/>
  <c r="AB959" i="34"/>
  <c r="R959" i="34"/>
  <c r="A959" i="34"/>
  <c r="AE958" i="34"/>
  <c r="AD958" i="34"/>
  <c r="AC958" i="34"/>
  <c r="AB958" i="34"/>
  <c r="R958" i="34"/>
  <c r="A958" i="34"/>
  <c r="AE957" i="34"/>
  <c r="AF957" i="34" s="1"/>
  <c r="AD957" i="34"/>
  <c r="AC957" i="34"/>
  <c r="AB957" i="34"/>
  <c r="R957" i="34"/>
  <c r="AI957" i="34" s="1"/>
  <c r="A957" i="34"/>
  <c r="AS956" i="34"/>
  <c r="AD956" i="34"/>
  <c r="AC956" i="34"/>
  <c r="AB956" i="34"/>
  <c r="R956" i="34"/>
  <c r="A956" i="34"/>
  <c r="AI955" i="34"/>
  <c r="AJ955" i="34" s="1"/>
  <c r="AD955" i="34"/>
  <c r="AC955" i="34"/>
  <c r="AB955" i="34"/>
  <c r="R955" i="34"/>
  <c r="AG955" i="34" s="1"/>
  <c r="A955" i="34"/>
  <c r="AI954" i="34"/>
  <c r="AJ954" i="34" s="1"/>
  <c r="AE954" i="34"/>
  <c r="AF954" i="34" s="1"/>
  <c r="AD954" i="34"/>
  <c r="AC954" i="34"/>
  <c r="AB954" i="34"/>
  <c r="R954" i="34"/>
  <c r="AG954" i="34" s="1"/>
  <c r="A954" i="34"/>
  <c r="AI953" i="34"/>
  <c r="AF953" i="34"/>
  <c r="AD953" i="34"/>
  <c r="AC953" i="34"/>
  <c r="AB953" i="34"/>
  <c r="R953" i="34"/>
  <c r="AG953" i="34" s="1"/>
  <c r="A953" i="34"/>
  <c r="AI952" i="34"/>
  <c r="AJ952" i="34" s="1"/>
  <c r="AD952" i="34"/>
  <c r="AC952" i="34"/>
  <c r="AB952" i="34"/>
  <c r="R952" i="34"/>
  <c r="AG952" i="34" s="1"/>
  <c r="A952" i="34"/>
  <c r="AI951" i="34"/>
  <c r="AJ951" i="34" s="1"/>
  <c r="AE951" i="34"/>
  <c r="AD951" i="34"/>
  <c r="AC951" i="34"/>
  <c r="AB951" i="34"/>
  <c r="R951" i="34"/>
  <c r="AG951" i="34" s="1"/>
  <c r="A951" i="34"/>
  <c r="AI950" i="34"/>
  <c r="AJ950" i="34" s="1"/>
  <c r="AF950" i="34"/>
  <c r="AD950" i="34"/>
  <c r="AC950" i="34"/>
  <c r="AB950" i="34"/>
  <c r="R950" i="34"/>
  <c r="AG950" i="34" s="1"/>
  <c r="A950" i="34"/>
  <c r="AI949" i="34"/>
  <c r="AF949" i="34"/>
  <c r="AD949" i="34"/>
  <c r="AC949" i="34"/>
  <c r="AB949" i="34"/>
  <c r="R949" i="34"/>
  <c r="AG949" i="34" s="1"/>
  <c r="A949" i="34"/>
  <c r="AI948" i="34"/>
  <c r="AE948" i="34"/>
  <c r="AS948" i="34" s="1"/>
  <c r="AD948" i="34"/>
  <c r="AC948" i="34"/>
  <c r="AB948" i="34"/>
  <c r="R948" i="34"/>
  <c r="AG948" i="34" s="1"/>
  <c r="A948" i="34"/>
  <c r="AI947" i="34"/>
  <c r="AE947" i="34"/>
  <c r="AD947" i="34"/>
  <c r="AC947" i="34"/>
  <c r="AB947" i="34"/>
  <c r="R947" i="34"/>
  <c r="AG947" i="34" s="1"/>
  <c r="AH947" i="34" s="1"/>
  <c r="A947" i="34"/>
  <c r="AI946" i="34"/>
  <c r="AJ946" i="34" s="1"/>
  <c r="AE946" i="34"/>
  <c r="AF946" i="34" s="1"/>
  <c r="AD946" i="34"/>
  <c r="AC946" i="34"/>
  <c r="AB946" i="34"/>
  <c r="R946" i="34"/>
  <c r="AG946" i="34" s="1"/>
  <c r="A946" i="34"/>
  <c r="AI945" i="34"/>
  <c r="AF945" i="34"/>
  <c r="AD945" i="34"/>
  <c r="AC945" i="34"/>
  <c r="AB945" i="34"/>
  <c r="R945" i="34"/>
  <c r="AG945" i="34" s="1"/>
  <c r="A945" i="34"/>
  <c r="AI944" i="34"/>
  <c r="AJ944" i="34" s="1"/>
  <c r="AS944" i="34"/>
  <c r="AD944" i="34"/>
  <c r="AC944" i="34"/>
  <c r="AB944" i="34"/>
  <c r="R944" i="34"/>
  <c r="AG944" i="34" s="1"/>
  <c r="A944" i="34"/>
  <c r="AI943" i="34"/>
  <c r="AJ943" i="34" s="1"/>
  <c r="AE943" i="34"/>
  <c r="AD943" i="34"/>
  <c r="AC943" i="34"/>
  <c r="AB943" i="34"/>
  <c r="R943" i="34"/>
  <c r="AG943" i="34" s="1"/>
  <c r="A943" i="34"/>
  <c r="AI942" i="34"/>
  <c r="AJ942" i="34" s="1"/>
  <c r="AE942" i="34"/>
  <c r="AF942" i="34" s="1"/>
  <c r="AD942" i="34"/>
  <c r="AC942" i="34"/>
  <c r="AB942" i="34"/>
  <c r="R942" i="34"/>
  <c r="AG942" i="34" s="1"/>
  <c r="A942" i="34"/>
  <c r="AI941" i="34"/>
  <c r="AE941" i="34"/>
  <c r="AD941" i="34"/>
  <c r="AC941" i="34"/>
  <c r="AB941" i="34"/>
  <c r="R941" i="34"/>
  <c r="AG941" i="34" s="1"/>
  <c r="A941" i="34"/>
  <c r="AI940" i="34"/>
  <c r="AE940" i="34"/>
  <c r="AS940" i="34" s="1"/>
  <c r="AD940" i="34"/>
  <c r="AC940" i="34"/>
  <c r="AB940" i="34"/>
  <c r="R940" i="34"/>
  <c r="AG940" i="34" s="1"/>
  <c r="A940" i="34"/>
  <c r="AI939" i="34"/>
  <c r="AJ939" i="34" s="1"/>
  <c r="AD939" i="34"/>
  <c r="AC939" i="34"/>
  <c r="AB939" i="34"/>
  <c r="R939" i="34"/>
  <c r="AG939" i="34" s="1"/>
  <c r="AT939" i="34" s="1"/>
  <c r="A939" i="34"/>
  <c r="AI938" i="34"/>
  <c r="AJ938" i="34" s="1"/>
  <c r="AD938" i="34"/>
  <c r="AC938" i="34"/>
  <c r="AB938" i="34"/>
  <c r="R938" i="34"/>
  <c r="AG938" i="34" s="1"/>
  <c r="A938" i="34"/>
  <c r="AI937" i="34"/>
  <c r="AE937" i="34"/>
  <c r="AF937" i="34" s="1"/>
  <c r="AD937" i="34"/>
  <c r="AC937" i="34"/>
  <c r="AB937" i="34"/>
  <c r="R937" i="34"/>
  <c r="AG937" i="34" s="1"/>
  <c r="A937" i="34"/>
  <c r="AS936" i="34"/>
  <c r="AD936" i="34"/>
  <c r="AC936" i="34"/>
  <c r="AB936" i="34"/>
  <c r="R936" i="34"/>
  <c r="A936" i="34"/>
  <c r="AI935" i="34"/>
  <c r="AJ935" i="34" s="1"/>
  <c r="AD935" i="34"/>
  <c r="AC935" i="34"/>
  <c r="AB935" i="34"/>
  <c r="R935" i="34"/>
  <c r="AG935" i="34" s="1"/>
  <c r="A935" i="34"/>
  <c r="AI934" i="34"/>
  <c r="AJ934" i="34" s="1"/>
  <c r="AF934" i="34"/>
  <c r="AD934" i="34"/>
  <c r="AC934" i="34"/>
  <c r="AB934" i="34"/>
  <c r="R934" i="34"/>
  <c r="AG934" i="34" s="1"/>
  <c r="A934" i="34"/>
  <c r="AI933" i="34"/>
  <c r="AE933" i="34"/>
  <c r="AF933" i="34" s="1"/>
  <c r="AD933" i="34"/>
  <c r="AC933" i="34"/>
  <c r="AB933" i="34"/>
  <c r="R933" i="34"/>
  <c r="AG933" i="34" s="1"/>
  <c r="A933" i="34"/>
  <c r="AI932" i="34"/>
  <c r="AJ932" i="34" s="1"/>
  <c r="AE932" i="34"/>
  <c r="AS932" i="34" s="1"/>
  <c r="AD932" i="34"/>
  <c r="AC932" i="34"/>
  <c r="AB932" i="34"/>
  <c r="R932" i="34"/>
  <c r="AG932" i="34" s="1"/>
  <c r="A932" i="34"/>
  <c r="AD931" i="34"/>
  <c r="AC931" i="34"/>
  <c r="AB931" i="34"/>
  <c r="R931" i="34"/>
  <c r="AG931" i="34" s="1"/>
  <c r="A931" i="34"/>
  <c r="AI930" i="34"/>
  <c r="AE930" i="34"/>
  <c r="AF930" i="34" s="1"/>
  <c r="AD930" i="34"/>
  <c r="AC930" i="34"/>
  <c r="AB930" i="34"/>
  <c r="R930" i="34"/>
  <c r="AG930" i="34" s="1"/>
  <c r="A930" i="34"/>
  <c r="AI929" i="34"/>
  <c r="AE929" i="34"/>
  <c r="AF929" i="34" s="1"/>
  <c r="AD929" i="34"/>
  <c r="AC929" i="34"/>
  <c r="AB929" i="34"/>
  <c r="R929" i="34"/>
  <c r="AG929" i="34" s="1"/>
  <c r="A929" i="34"/>
  <c r="AS928" i="34"/>
  <c r="AD928" i="34"/>
  <c r="AC928" i="34"/>
  <c r="AB928" i="34"/>
  <c r="R928" i="34"/>
  <c r="AG928" i="34" s="1"/>
  <c r="A928" i="34"/>
  <c r="AI927" i="34"/>
  <c r="AJ927" i="34" s="1"/>
  <c r="AD927" i="34"/>
  <c r="AC927" i="34"/>
  <c r="AB927" i="34"/>
  <c r="R927" i="34"/>
  <c r="AG927" i="34" s="1"/>
  <c r="A927" i="34"/>
  <c r="AI926" i="34"/>
  <c r="AJ926" i="34" s="1"/>
  <c r="AE926" i="34"/>
  <c r="AF926" i="34" s="1"/>
  <c r="AD926" i="34"/>
  <c r="AC926" i="34"/>
  <c r="AB926" i="34"/>
  <c r="R926" i="34"/>
  <c r="AG926" i="34" s="1"/>
  <c r="A926" i="34"/>
  <c r="AI925" i="34"/>
  <c r="AF925" i="34"/>
  <c r="AD925" i="34"/>
  <c r="AC925" i="34"/>
  <c r="AB925" i="34"/>
  <c r="R925" i="34"/>
  <c r="AG925" i="34" s="1"/>
  <c r="A925" i="34"/>
  <c r="AI924" i="34"/>
  <c r="AJ924" i="34" s="1"/>
  <c r="AD924" i="34"/>
  <c r="AC924" i="34"/>
  <c r="AB924" i="34"/>
  <c r="R924" i="34"/>
  <c r="AG924" i="34" s="1"/>
  <c r="A924" i="34"/>
  <c r="AI923" i="34"/>
  <c r="AJ923" i="34" s="1"/>
  <c r="AD923" i="34"/>
  <c r="AC923" i="34"/>
  <c r="AB923" i="34"/>
  <c r="R923" i="34"/>
  <c r="AG923" i="34" s="1"/>
  <c r="A923" i="34"/>
  <c r="AI922" i="34"/>
  <c r="AJ922" i="34" s="1"/>
  <c r="AF922" i="34"/>
  <c r="AD922" i="34"/>
  <c r="AC922" i="34"/>
  <c r="AB922" i="34"/>
  <c r="R922" i="34"/>
  <c r="AG922" i="34" s="1"/>
  <c r="A922" i="34"/>
  <c r="AF921" i="34"/>
  <c r="AD921" i="34"/>
  <c r="AC921" i="34"/>
  <c r="AB921" i="34"/>
  <c r="R921" i="34"/>
  <c r="AI921" i="34" s="1"/>
  <c r="A921" i="34"/>
  <c r="AE920" i="34"/>
  <c r="AS920" i="34" s="1"/>
  <c r="AD920" i="34"/>
  <c r="AC920" i="34"/>
  <c r="AB920" i="34"/>
  <c r="R920" i="34"/>
  <c r="AG920" i="34" s="1"/>
  <c r="A920" i="34"/>
  <c r="AI919" i="34"/>
  <c r="AJ919" i="34" s="1"/>
  <c r="AD919" i="34"/>
  <c r="AC919" i="34"/>
  <c r="AB919" i="34"/>
  <c r="R919" i="34"/>
  <c r="AH919" i="34" s="1"/>
  <c r="A919" i="34"/>
  <c r="AI918" i="34"/>
  <c r="AE918" i="34"/>
  <c r="AF918" i="34" s="1"/>
  <c r="AD918" i="34"/>
  <c r="AC918" i="34"/>
  <c r="AB918" i="34"/>
  <c r="R918" i="34"/>
  <c r="AG918" i="34" s="1"/>
  <c r="A918" i="34"/>
  <c r="AF917" i="34"/>
  <c r="AD917" i="34"/>
  <c r="AC917" i="34"/>
  <c r="AB917" i="34"/>
  <c r="R917" i="34"/>
  <c r="AG917" i="34" s="1"/>
  <c r="AI917" i="34" s="1"/>
  <c r="A917" i="34"/>
  <c r="AI916" i="34"/>
  <c r="AJ916" i="34" s="1"/>
  <c r="AE916" i="34"/>
  <c r="AS916" i="34" s="1"/>
  <c r="AD916" i="34"/>
  <c r="AC916" i="34"/>
  <c r="AB916" i="34"/>
  <c r="R916" i="34"/>
  <c r="AG916" i="34" s="1"/>
  <c r="A916" i="34"/>
  <c r="AI915" i="34"/>
  <c r="AJ915" i="34" s="1"/>
  <c r="AE915" i="34"/>
  <c r="AD915" i="34"/>
  <c r="AC915" i="34"/>
  <c r="AB915" i="34"/>
  <c r="R915" i="34"/>
  <c r="AG915" i="34" s="1"/>
  <c r="A915" i="34"/>
  <c r="AE914" i="34"/>
  <c r="AD914" i="34"/>
  <c r="AC914" i="34"/>
  <c r="AB914" i="34"/>
  <c r="R914" i="34"/>
  <c r="AG914" i="34" s="1"/>
  <c r="A914" i="34"/>
  <c r="AT913" i="34"/>
  <c r="AI913" i="34"/>
  <c r="AE913" i="34"/>
  <c r="AF913" i="34" s="1"/>
  <c r="AD913" i="34"/>
  <c r="AC913" i="34"/>
  <c r="AB913" i="34"/>
  <c r="R913" i="34"/>
  <c r="A913" i="34"/>
  <c r="AI912" i="34"/>
  <c r="AE912" i="34"/>
  <c r="AD912" i="34"/>
  <c r="AC912" i="34"/>
  <c r="AB912" i="34"/>
  <c r="R912" i="34"/>
  <c r="AG912" i="34" s="1"/>
  <c r="A912" i="34"/>
  <c r="AI911" i="34"/>
  <c r="AE911" i="34"/>
  <c r="AS911" i="34" s="1"/>
  <c r="AD911" i="34"/>
  <c r="AC911" i="34"/>
  <c r="AB911" i="34"/>
  <c r="R911" i="34"/>
  <c r="AG911" i="34" s="1"/>
  <c r="A911" i="34"/>
  <c r="AI910" i="34"/>
  <c r="AJ910" i="34" s="1"/>
  <c r="AE910" i="34"/>
  <c r="AD910" i="34"/>
  <c r="AC910" i="34"/>
  <c r="AB910" i="34"/>
  <c r="R910" i="34"/>
  <c r="AG910" i="34" s="1"/>
  <c r="AH910" i="34" s="1"/>
  <c r="A910" i="34"/>
  <c r="AI909" i="34"/>
  <c r="AJ909" i="34" s="1"/>
  <c r="AE909" i="34"/>
  <c r="AF909" i="34" s="1"/>
  <c r="AD909" i="34"/>
  <c r="AC909" i="34"/>
  <c r="AB909" i="34"/>
  <c r="R909" i="34"/>
  <c r="AG909" i="34" s="1"/>
  <c r="A909" i="34"/>
  <c r="AI908" i="34"/>
  <c r="AD908" i="34"/>
  <c r="AC908" i="34"/>
  <c r="AB908" i="34"/>
  <c r="R908" i="34"/>
  <c r="A908" i="34"/>
  <c r="AS907" i="34"/>
  <c r="AD907" i="34"/>
  <c r="AC907" i="34"/>
  <c r="AB907" i="34"/>
  <c r="R907" i="34"/>
  <c r="AG907" i="34" s="1"/>
  <c r="A907" i="34"/>
  <c r="AI906" i="34"/>
  <c r="AD906" i="34"/>
  <c r="AC906" i="34"/>
  <c r="AB906" i="34"/>
  <c r="R906" i="34"/>
  <c r="AG906" i="34" s="1"/>
  <c r="A906" i="34"/>
  <c r="AI905" i="34"/>
  <c r="AD905" i="34"/>
  <c r="AC905" i="34"/>
  <c r="AB905" i="34"/>
  <c r="R905" i="34"/>
  <c r="AG905" i="34" s="1"/>
  <c r="A905" i="34"/>
  <c r="AI904" i="34"/>
  <c r="AD904" i="34"/>
  <c r="AC904" i="34"/>
  <c r="AB904" i="34"/>
  <c r="R904" i="34"/>
  <c r="AG904" i="34" s="1"/>
  <c r="A904" i="34"/>
  <c r="AI903" i="34"/>
  <c r="AJ903" i="34" s="1"/>
  <c r="AD903" i="34"/>
  <c r="AC903" i="34"/>
  <c r="AB903" i="34"/>
  <c r="R903" i="34"/>
  <c r="AG903" i="34" s="1"/>
  <c r="A903" i="34"/>
  <c r="AI902" i="34"/>
  <c r="AJ902" i="34" s="1"/>
  <c r="AE902" i="34"/>
  <c r="AD902" i="34"/>
  <c r="AC902" i="34"/>
  <c r="AB902" i="34"/>
  <c r="R902" i="34"/>
  <c r="AG902" i="34" s="1"/>
  <c r="A902" i="34"/>
  <c r="AI901" i="34"/>
  <c r="AE901" i="34"/>
  <c r="AD901" i="34"/>
  <c r="AC901" i="34"/>
  <c r="AB901" i="34"/>
  <c r="R901" i="34"/>
  <c r="AG901" i="34" s="1"/>
  <c r="A901" i="34"/>
  <c r="AI900" i="34"/>
  <c r="AD900" i="34"/>
  <c r="AC900" i="34"/>
  <c r="AB900" i="34"/>
  <c r="R900" i="34"/>
  <c r="AG900" i="34" s="1"/>
  <c r="A900" i="34"/>
  <c r="AI899" i="34"/>
  <c r="AJ899" i="34" s="1"/>
  <c r="AD899" i="34"/>
  <c r="AC899" i="34"/>
  <c r="AB899" i="34"/>
  <c r="R899" i="34"/>
  <c r="AG899" i="34" s="1"/>
  <c r="A899" i="34"/>
  <c r="AI898" i="34"/>
  <c r="AD898" i="34"/>
  <c r="AC898" i="34"/>
  <c r="AB898" i="34"/>
  <c r="R898" i="34"/>
  <c r="AG898" i="34" s="1"/>
  <c r="AH898" i="34" s="1"/>
  <c r="A898" i="34"/>
  <c r="AI897" i="34"/>
  <c r="AJ897" i="34" s="1"/>
  <c r="AF897" i="34"/>
  <c r="AD897" i="34"/>
  <c r="AC897" i="34"/>
  <c r="AB897" i="34"/>
  <c r="AG897" i="34"/>
  <c r="A897" i="34"/>
  <c r="AI896" i="34"/>
  <c r="AD896" i="34"/>
  <c r="AC896" i="34"/>
  <c r="AB896" i="34"/>
  <c r="R896" i="34"/>
  <c r="AG896" i="34" s="1"/>
  <c r="A896" i="34"/>
  <c r="AI895" i="34"/>
  <c r="AJ895" i="34" s="1"/>
  <c r="AD895" i="34"/>
  <c r="AC895" i="34"/>
  <c r="AB895" i="34"/>
  <c r="R895" i="34"/>
  <c r="AG895" i="34" s="1"/>
  <c r="A895" i="34"/>
  <c r="AP894" i="34"/>
  <c r="AR894" i="34" s="1"/>
  <c r="AO894" i="34"/>
  <c r="AQ894" i="34" s="1"/>
  <c r="AD894" i="34"/>
  <c r="AC894" i="34"/>
  <c r="AB894" i="34"/>
  <c r="R894" i="34"/>
  <c r="AG894" i="34" s="1"/>
  <c r="AH894" i="34" s="1"/>
  <c r="A894" i="34"/>
  <c r="AP893" i="34"/>
  <c r="AR893" i="34" s="1"/>
  <c r="AO893" i="34"/>
  <c r="AQ893" i="34" s="1"/>
  <c r="AI893" i="34"/>
  <c r="AD893" i="34"/>
  <c r="AC893" i="34"/>
  <c r="AB893" i="34"/>
  <c r="R893" i="34"/>
  <c r="A893" i="34"/>
  <c r="AP892" i="34"/>
  <c r="AR892" i="34" s="1"/>
  <c r="AO892" i="34"/>
  <c r="AQ892" i="34" s="1"/>
  <c r="AI892" i="34"/>
  <c r="AJ892" i="34" s="1"/>
  <c r="AS892" i="34"/>
  <c r="AD892" i="34"/>
  <c r="AC892" i="34"/>
  <c r="AB892" i="34"/>
  <c r="R892" i="34"/>
  <c r="AG892" i="34" s="1"/>
  <c r="AT892" i="34" s="1"/>
  <c r="A892" i="34"/>
  <c r="AP891" i="34"/>
  <c r="AR891" i="34" s="1"/>
  <c r="AO891" i="34"/>
  <c r="AQ891" i="34" s="1"/>
  <c r="AI891" i="34"/>
  <c r="AJ891" i="34" s="1"/>
  <c r="AE891" i="34"/>
  <c r="AD891" i="34"/>
  <c r="AC891" i="34"/>
  <c r="AB891" i="34"/>
  <c r="R891" i="34"/>
  <c r="AG891" i="34" s="1"/>
  <c r="AT891" i="34" s="1"/>
  <c r="A891" i="34"/>
  <c r="AP890" i="34"/>
  <c r="AR890" i="34" s="1"/>
  <c r="AO890" i="34"/>
  <c r="AQ890" i="34" s="1"/>
  <c r="AE890" i="34"/>
  <c r="AD890" i="34"/>
  <c r="AC890" i="34"/>
  <c r="AB890" i="34"/>
  <c r="R890" i="34"/>
  <c r="AG890" i="34" s="1"/>
  <c r="AT890" i="34" s="1"/>
  <c r="A890" i="34"/>
  <c r="AP889" i="34"/>
  <c r="AR889" i="34" s="1"/>
  <c r="AO889" i="34"/>
  <c r="AQ889" i="34" s="1"/>
  <c r="AI889" i="34"/>
  <c r="AE889" i="34"/>
  <c r="AD889" i="34"/>
  <c r="AC889" i="34"/>
  <c r="AB889" i="34"/>
  <c r="R889" i="34"/>
  <c r="AG889" i="34" s="1"/>
  <c r="AH889" i="34" s="1"/>
  <c r="A889" i="34"/>
  <c r="AP888" i="34"/>
  <c r="AR888" i="34" s="1"/>
  <c r="AO888" i="34"/>
  <c r="AQ888" i="34" s="1"/>
  <c r="AF888" i="34"/>
  <c r="AD888" i="34"/>
  <c r="AC888" i="34"/>
  <c r="AB888" i="34"/>
  <c r="R888" i="34"/>
  <c r="AG888" i="34" s="1"/>
  <c r="AT888" i="34" s="1"/>
  <c r="A888" i="34"/>
  <c r="AP887" i="34"/>
  <c r="AR887" i="34" s="1"/>
  <c r="AO887" i="34"/>
  <c r="AQ887" i="34" s="1"/>
  <c r="AD887" i="34"/>
  <c r="AC887" i="34"/>
  <c r="AB887" i="34"/>
  <c r="R887" i="34"/>
  <c r="AG887" i="34" s="1"/>
  <c r="A887" i="34"/>
  <c r="AP886" i="34"/>
  <c r="AR886" i="34" s="1"/>
  <c r="AO886" i="34"/>
  <c r="AQ886" i="34" s="1"/>
  <c r="AS886" i="34"/>
  <c r="AD886" i="34"/>
  <c r="AC886" i="34"/>
  <c r="AB886" i="34"/>
  <c r="R886" i="34"/>
  <c r="AG886" i="34" s="1"/>
  <c r="AT886" i="34" s="1"/>
  <c r="A886" i="34"/>
  <c r="AP885" i="34"/>
  <c r="AR885" i="34" s="1"/>
  <c r="AO885" i="34"/>
  <c r="AQ885" i="34" s="1"/>
  <c r="AD885" i="34"/>
  <c r="AC885" i="34"/>
  <c r="AB885" i="34"/>
  <c r="R885" i="34"/>
  <c r="AG885" i="34" s="1"/>
  <c r="A885" i="34"/>
  <c r="AP884" i="34"/>
  <c r="AR884" i="34" s="1"/>
  <c r="AO884" i="34"/>
  <c r="AQ884" i="34" s="1"/>
  <c r="AI884" i="34"/>
  <c r="AJ884" i="34" s="1"/>
  <c r="AE884" i="34"/>
  <c r="AS884" i="34" s="1"/>
  <c r="AD884" i="34"/>
  <c r="AC884" i="34"/>
  <c r="AB884" i="34"/>
  <c r="R884" i="34"/>
  <c r="AG884" i="34" s="1"/>
  <c r="AT884" i="34" s="1"/>
  <c r="A884" i="34"/>
  <c r="AP883" i="34"/>
  <c r="AR883" i="34" s="1"/>
  <c r="AO883" i="34"/>
  <c r="AQ883" i="34" s="1"/>
  <c r="AD883" i="34"/>
  <c r="AC883" i="34"/>
  <c r="AB883" i="34"/>
  <c r="R883" i="34"/>
  <c r="AG883" i="34" s="1"/>
  <c r="AI883" i="34" s="1"/>
  <c r="AK883" i="34" s="1"/>
  <c r="AL883" i="34" s="1"/>
  <c r="A883" i="34"/>
  <c r="AP882" i="34"/>
  <c r="AR882" i="34" s="1"/>
  <c r="AO882" i="34"/>
  <c r="AQ882" i="34" s="1"/>
  <c r="AI882" i="34"/>
  <c r="AE882" i="34"/>
  <c r="AS882" i="34" s="1"/>
  <c r="AD882" i="34"/>
  <c r="AC882" i="34"/>
  <c r="AB882" i="34"/>
  <c r="R882" i="34"/>
  <c r="AG882" i="34" s="1"/>
  <c r="AT882" i="34" s="1"/>
  <c r="A882" i="34"/>
  <c r="AP881" i="34"/>
  <c r="AR881" i="34" s="1"/>
  <c r="AO881" i="34"/>
  <c r="AQ881" i="34" s="1"/>
  <c r="AI881" i="34"/>
  <c r="AE881" i="34"/>
  <c r="AS881" i="34" s="1"/>
  <c r="AD881" i="34"/>
  <c r="AC881" i="34"/>
  <c r="AB881" i="34"/>
  <c r="R881" i="34"/>
  <c r="AG881" i="34" s="1"/>
  <c r="A881" i="34"/>
  <c r="AP880" i="34"/>
  <c r="AR880" i="34" s="1"/>
  <c r="AO880" i="34"/>
  <c r="AQ880" i="34" s="1"/>
  <c r="AE880" i="34"/>
  <c r="AD880" i="34"/>
  <c r="AC880" i="34"/>
  <c r="AB880" i="34"/>
  <c r="R880" i="34"/>
  <c r="AG880" i="34" s="1"/>
  <c r="A880" i="34"/>
  <c r="AP879" i="34"/>
  <c r="AR879" i="34" s="1"/>
  <c r="AO879" i="34"/>
  <c r="AQ879" i="34" s="1"/>
  <c r="AD879" i="34"/>
  <c r="AC879" i="34"/>
  <c r="AB879" i="34"/>
  <c r="R879" i="34"/>
  <c r="AG879" i="34" s="1"/>
  <c r="A879" i="34"/>
  <c r="AP878" i="34"/>
  <c r="AR878" i="34" s="1"/>
  <c r="AO878" i="34"/>
  <c r="AQ878" i="34" s="1"/>
  <c r="AI878" i="34"/>
  <c r="AE878" i="34"/>
  <c r="AS878" i="34" s="1"/>
  <c r="AD878" i="34"/>
  <c r="AC878" i="34"/>
  <c r="AB878" i="34"/>
  <c r="R878" i="34"/>
  <c r="AG878" i="34" s="1"/>
  <c r="A878" i="34"/>
  <c r="AP877" i="34"/>
  <c r="AR877" i="34" s="1"/>
  <c r="AO877" i="34"/>
  <c r="AQ877" i="34" s="1"/>
  <c r="AI877" i="34"/>
  <c r="AJ877" i="34" s="1"/>
  <c r="AE877" i="34"/>
  <c r="AS877" i="34" s="1"/>
  <c r="AD877" i="34"/>
  <c r="AC877" i="34"/>
  <c r="AB877" i="34"/>
  <c r="R877" i="34"/>
  <c r="AT877" i="34" s="1"/>
  <c r="A877" i="34"/>
  <c r="AP876" i="34"/>
  <c r="AR876" i="34" s="1"/>
  <c r="AO876" i="34"/>
  <c r="AQ876" i="34" s="1"/>
  <c r="AI876" i="34"/>
  <c r="AE876" i="34"/>
  <c r="AD876" i="34"/>
  <c r="AC876" i="34"/>
  <c r="AB876" i="34"/>
  <c r="R876" i="34"/>
  <c r="AG876" i="34" s="1"/>
  <c r="AT876" i="34" s="1"/>
  <c r="A876" i="34"/>
  <c r="AP875" i="34"/>
  <c r="AR875" i="34" s="1"/>
  <c r="AO875" i="34"/>
  <c r="AQ875" i="34" s="1"/>
  <c r="AS875" i="34"/>
  <c r="AD875" i="34"/>
  <c r="AC875" i="34"/>
  <c r="AB875" i="34"/>
  <c r="R875" i="34"/>
  <c r="AI875" i="34" s="1"/>
  <c r="AK875" i="34" s="1"/>
  <c r="A875" i="34"/>
  <c r="AP874" i="34"/>
  <c r="AR874" i="34" s="1"/>
  <c r="AO874" i="34"/>
  <c r="AQ874" i="34" s="1"/>
  <c r="AI874" i="34"/>
  <c r="AJ874" i="34" s="1"/>
  <c r="AS874" i="34"/>
  <c r="AD874" i="34"/>
  <c r="AC874" i="34"/>
  <c r="AB874" i="34"/>
  <c r="R874" i="34"/>
  <c r="A874" i="34"/>
  <c r="AP873" i="34"/>
  <c r="AR873" i="34" s="1"/>
  <c r="AO873" i="34"/>
  <c r="AQ873" i="34" s="1"/>
  <c r="AF873" i="34"/>
  <c r="AD873" i="34"/>
  <c r="AC873" i="34"/>
  <c r="AB873" i="34"/>
  <c r="R873" i="34"/>
  <c r="AH873" i="34" s="1"/>
  <c r="A873" i="34"/>
  <c r="AP872" i="34"/>
  <c r="AR872" i="34" s="1"/>
  <c r="AO872" i="34"/>
  <c r="AQ872" i="34" s="1"/>
  <c r="AM872" i="34"/>
  <c r="AV872" i="34" s="1"/>
  <c r="AI872" i="34"/>
  <c r="AJ872" i="34" s="1"/>
  <c r="AE872" i="34"/>
  <c r="AS872" i="34" s="1"/>
  <c r="AD872" i="34"/>
  <c r="AC872" i="34"/>
  <c r="AB872" i="34"/>
  <c r="R872" i="34"/>
  <c r="AG872" i="34" s="1"/>
  <c r="A872" i="34"/>
  <c r="AP871" i="34"/>
  <c r="AR871" i="34" s="1"/>
  <c r="AO871" i="34"/>
  <c r="AQ871" i="34" s="1"/>
  <c r="AI871" i="34"/>
  <c r="AJ871" i="34" s="1"/>
  <c r="AE871" i="34"/>
  <c r="AS871" i="34" s="1"/>
  <c r="AD871" i="34"/>
  <c r="AC871" i="34"/>
  <c r="AB871" i="34"/>
  <c r="R871" i="34"/>
  <c r="AG871" i="34" s="1"/>
  <c r="A871" i="34"/>
  <c r="AP870" i="34"/>
  <c r="AR870" i="34" s="1"/>
  <c r="AO870" i="34"/>
  <c r="AQ870" i="34" s="1"/>
  <c r="AI870" i="34"/>
  <c r="AE870" i="34"/>
  <c r="AF870" i="34" s="1"/>
  <c r="AD870" i="34"/>
  <c r="AC870" i="34"/>
  <c r="AB870" i="34"/>
  <c r="R870" i="34"/>
  <c r="AG870" i="34" s="1"/>
  <c r="A870" i="34"/>
  <c r="AP869" i="34"/>
  <c r="AR869" i="34" s="1"/>
  <c r="AO869" i="34"/>
  <c r="AQ869" i="34" s="1"/>
  <c r="AF869" i="34"/>
  <c r="AD869" i="34"/>
  <c r="AC869" i="34"/>
  <c r="AB869" i="34"/>
  <c r="R869" i="34"/>
  <c r="A869" i="34"/>
  <c r="AP868" i="34"/>
  <c r="AR868" i="34" s="1"/>
  <c r="AO868" i="34"/>
  <c r="AQ868" i="34" s="1"/>
  <c r="AD868" i="34"/>
  <c r="AC868" i="34"/>
  <c r="AB868" i="34"/>
  <c r="R868" i="34"/>
  <c r="AG868" i="34" s="1"/>
  <c r="AT868" i="34" s="1"/>
  <c r="A868" i="34"/>
  <c r="AP867" i="34"/>
  <c r="AR867" i="34" s="1"/>
  <c r="AO867" i="34"/>
  <c r="AQ867" i="34" s="1"/>
  <c r="AI867" i="34"/>
  <c r="AJ867" i="34" s="1"/>
  <c r="AE867" i="34"/>
  <c r="AS867" i="34" s="1"/>
  <c r="AD867" i="34"/>
  <c r="AC867" i="34"/>
  <c r="AB867" i="34"/>
  <c r="R867" i="34"/>
  <c r="AG867" i="34" s="1"/>
  <c r="A867" i="34"/>
  <c r="AP866" i="34"/>
  <c r="AR866" i="34" s="1"/>
  <c r="AO866" i="34"/>
  <c r="AQ866" i="34" s="1"/>
  <c r="AF866" i="34"/>
  <c r="AD866" i="34"/>
  <c r="AC866" i="34"/>
  <c r="AB866" i="34"/>
  <c r="R866" i="34"/>
  <c r="AG866" i="34" s="1"/>
  <c r="AH866" i="34" s="1"/>
  <c r="A866" i="34"/>
  <c r="AP865" i="34"/>
  <c r="AR865" i="34" s="1"/>
  <c r="AO865" i="34"/>
  <c r="AQ865" i="34" s="1"/>
  <c r="AI865" i="34"/>
  <c r="AJ865" i="34" s="1"/>
  <c r="AE865" i="34"/>
  <c r="AD865" i="34"/>
  <c r="AC865" i="34"/>
  <c r="AB865" i="34"/>
  <c r="R865" i="34"/>
  <c r="AG865" i="34" s="1"/>
  <c r="A865" i="34"/>
  <c r="AP864" i="34"/>
  <c r="AR864" i="34" s="1"/>
  <c r="AO864" i="34"/>
  <c r="AQ864" i="34" s="1"/>
  <c r="AI864" i="34"/>
  <c r="AJ864" i="34" s="1"/>
  <c r="AS864" i="34"/>
  <c r="AD864" i="34"/>
  <c r="AC864" i="34"/>
  <c r="AB864" i="34"/>
  <c r="R864" i="34"/>
  <c r="AG864" i="34" s="1"/>
  <c r="A864" i="34"/>
  <c r="AP863" i="34"/>
  <c r="AR863" i="34" s="1"/>
  <c r="AO863" i="34"/>
  <c r="AQ863" i="34" s="1"/>
  <c r="AI863" i="34"/>
  <c r="AE863" i="34"/>
  <c r="AF863" i="34" s="1"/>
  <c r="AD863" i="34"/>
  <c r="AC863" i="34"/>
  <c r="AB863" i="34"/>
  <c r="R863" i="34"/>
  <c r="AG863" i="34" s="1"/>
  <c r="A863" i="34"/>
  <c r="AP862" i="34"/>
  <c r="AR862" i="34" s="1"/>
  <c r="AO862" i="34"/>
  <c r="AQ862" i="34" s="1"/>
  <c r="AI862" i="34"/>
  <c r="AE862" i="34"/>
  <c r="AF862" i="34" s="1"/>
  <c r="AD862" i="34"/>
  <c r="AC862" i="34"/>
  <c r="AB862" i="34"/>
  <c r="R862" i="34"/>
  <c r="A862" i="34"/>
  <c r="AP861" i="34"/>
  <c r="AR861" i="34" s="1"/>
  <c r="AO861" i="34"/>
  <c r="AQ861" i="34" s="1"/>
  <c r="AD861" i="34"/>
  <c r="AC861" i="34"/>
  <c r="AB861" i="34"/>
  <c r="R861" i="34"/>
  <c r="AT861" i="34" s="1"/>
  <c r="A861" i="34"/>
  <c r="AP860" i="34"/>
  <c r="AR860" i="34" s="1"/>
  <c r="AO860" i="34"/>
  <c r="AQ860" i="34" s="1"/>
  <c r="AF860" i="34"/>
  <c r="AD860" i="34"/>
  <c r="AC860" i="34"/>
  <c r="AB860" i="34"/>
  <c r="R860" i="34"/>
  <c r="AG860" i="34" s="1"/>
  <c r="AI860" i="34" s="1"/>
  <c r="AK860" i="34" s="1"/>
  <c r="AL860" i="34" s="1"/>
  <c r="A860" i="34"/>
  <c r="AP859" i="34"/>
  <c r="AR859" i="34" s="1"/>
  <c r="AO859" i="34"/>
  <c r="AQ859" i="34" s="1"/>
  <c r="AF859" i="34"/>
  <c r="AC859" i="34"/>
  <c r="AB859" i="34"/>
  <c r="Z859" i="34"/>
  <c r="AD859" i="34" s="1"/>
  <c r="R859" i="34"/>
  <c r="AG859" i="34" s="1"/>
  <c r="A859" i="34"/>
  <c r="AP858" i="34"/>
  <c r="AR858" i="34" s="1"/>
  <c r="AO858" i="34"/>
  <c r="AQ858" i="34" s="1"/>
  <c r="AM858" i="34"/>
  <c r="AV858" i="34" s="1"/>
  <c r="AF858" i="34"/>
  <c r="AC858" i="34"/>
  <c r="AB858" i="34"/>
  <c r="Z858" i="34"/>
  <c r="AI858" i="34" s="1"/>
  <c r="R858" i="34"/>
  <c r="AG858" i="34" s="1"/>
  <c r="AT858" i="34" s="1"/>
  <c r="A858" i="34"/>
  <c r="AP857" i="34"/>
  <c r="AR857" i="34" s="1"/>
  <c r="AO857" i="34"/>
  <c r="AQ857" i="34" s="1"/>
  <c r="AI857" i="34"/>
  <c r="AF857" i="34"/>
  <c r="AD857" i="34"/>
  <c r="AC857" i="34"/>
  <c r="AB857" i="34"/>
  <c r="R857" i="34"/>
  <c r="AG857" i="34" s="1"/>
  <c r="A857" i="34"/>
  <c r="AP856" i="34"/>
  <c r="AR856" i="34" s="1"/>
  <c r="AO856" i="34"/>
  <c r="AQ856" i="34" s="1"/>
  <c r="AI856" i="34"/>
  <c r="AJ856" i="34" s="1"/>
  <c r="AS856" i="34"/>
  <c r="AD856" i="34"/>
  <c r="AC856" i="34"/>
  <c r="AB856" i="34"/>
  <c r="R856" i="34"/>
  <c r="AG856" i="34" s="1"/>
  <c r="A856" i="34"/>
  <c r="AP855" i="34"/>
  <c r="AR855" i="34" s="1"/>
  <c r="AO855" i="34"/>
  <c r="AQ855" i="34" s="1"/>
  <c r="AI855" i="34"/>
  <c r="AE855" i="34"/>
  <c r="AS855" i="34" s="1"/>
  <c r="AD855" i="34"/>
  <c r="AC855" i="34"/>
  <c r="AB855" i="34"/>
  <c r="R855" i="34"/>
  <c r="AG855" i="34" s="1"/>
  <c r="A855" i="34"/>
  <c r="AP854" i="34"/>
  <c r="AR854" i="34" s="1"/>
  <c r="AO854" i="34"/>
  <c r="AQ854" i="34" s="1"/>
  <c r="AI854" i="34"/>
  <c r="AJ854" i="34" s="1"/>
  <c r="AS854" i="34"/>
  <c r="AD854" i="34"/>
  <c r="AC854" i="34"/>
  <c r="AB854" i="34"/>
  <c r="R854" i="34"/>
  <c r="AG854" i="34" s="1"/>
  <c r="A854" i="34"/>
  <c r="AP853" i="34"/>
  <c r="AR853" i="34" s="1"/>
  <c r="AO853" i="34"/>
  <c r="AQ853" i="34" s="1"/>
  <c r="AI853" i="34"/>
  <c r="AJ853" i="34" s="1"/>
  <c r="AE853" i="34"/>
  <c r="AS853" i="34" s="1"/>
  <c r="AD853" i="34"/>
  <c r="AC853" i="34"/>
  <c r="AB853" i="34"/>
  <c r="R853" i="34"/>
  <c r="AG853" i="34" s="1"/>
  <c r="A853" i="34"/>
  <c r="AP852" i="34"/>
  <c r="AR852" i="34" s="1"/>
  <c r="AO852" i="34"/>
  <c r="AQ852" i="34" s="1"/>
  <c r="AI852" i="34"/>
  <c r="AJ852" i="34" s="1"/>
  <c r="AE852" i="34"/>
  <c r="AS852" i="34" s="1"/>
  <c r="AD852" i="34"/>
  <c r="AC852" i="34"/>
  <c r="AB852" i="34"/>
  <c r="R852" i="34"/>
  <c r="AG852" i="34" s="1"/>
  <c r="A852" i="34"/>
  <c r="AP851" i="34"/>
  <c r="AR851" i="34" s="1"/>
  <c r="AO851" i="34"/>
  <c r="AQ851" i="34" s="1"/>
  <c r="AI851" i="34"/>
  <c r="AE851" i="34"/>
  <c r="AD851" i="34"/>
  <c r="AC851" i="34"/>
  <c r="AB851" i="34"/>
  <c r="R851" i="34"/>
  <c r="AG851" i="34" s="1"/>
  <c r="A851" i="34"/>
  <c r="AP850" i="34"/>
  <c r="AR850" i="34" s="1"/>
  <c r="AO850" i="34"/>
  <c r="AQ850" i="34" s="1"/>
  <c r="AD850" i="34"/>
  <c r="AC850" i="34"/>
  <c r="AB850" i="34"/>
  <c r="R850" i="34"/>
  <c r="AG850" i="34" s="1"/>
  <c r="A850" i="34"/>
  <c r="AP849" i="34"/>
  <c r="AR849" i="34" s="1"/>
  <c r="AO849" i="34"/>
  <c r="AQ849" i="34" s="1"/>
  <c r="AI849" i="34"/>
  <c r="AJ849" i="34" s="1"/>
  <c r="AS849" i="34"/>
  <c r="AD849" i="34"/>
  <c r="AC849" i="34"/>
  <c r="AB849" i="34"/>
  <c r="R849" i="34"/>
  <c r="A849" i="34"/>
  <c r="AP848" i="34"/>
  <c r="AR848" i="34" s="1"/>
  <c r="AO848" i="34"/>
  <c r="AQ848" i="34" s="1"/>
  <c r="AI848" i="34"/>
  <c r="AJ848" i="34" s="1"/>
  <c r="AE848" i="34"/>
  <c r="AS848" i="34" s="1"/>
  <c r="AD848" i="34"/>
  <c r="AC848" i="34"/>
  <c r="AB848" i="34"/>
  <c r="R848" i="34"/>
  <c r="AG848" i="34" s="1"/>
  <c r="A848" i="34"/>
  <c r="AP847" i="34"/>
  <c r="AR847" i="34" s="1"/>
  <c r="AO847" i="34"/>
  <c r="AQ847" i="34" s="1"/>
  <c r="AS847" i="34"/>
  <c r="AD847" i="34"/>
  <c r="AC847" i="34"/>
  <c r="AB847" i="34"/>
  <c r="R847" i="34"/>
  <c r="A847" i="34"/>
  <c r="AP846" i="34"/>
  <c r="AR846" i="34" s="1"/>
  <c r="AO846" i="34"/>
  <c r="AQ846" i="34" s="1"/>
  <c r="AI846" i="34"/>
  <c r="AJ846" i="34" s="1"/>
  <c r="AE846" i="34"/>
  <c r="AS846" i="34" s="1"/>
  <c r="AD846" i="34"/>
  <c r="AC846" i="34"/>
  <c r="AB846" i="34"/>
  <c r="R846" i="34"/>
  <c r="AG846" i="34" s="1"/>
  <c r="A846" i="34"/>
  <c r="AP845" i="34"/>
  <c r="AR845" i="34" s="1"/>
  <c r="AO845" i="34"/>
  <c r="AQ845" i="34" s="1"/>
  <c r="AS845" i="34"/>
  <c r="AD845" i="34"/>
  <c r="AC845" i="34"/>
  <c r="AB845" i="34"/>
  <c r="R845" i="34"/>
  <c r="AG845" i="34" s="1"/>
  <c r="A845" i="34"/>
  <c r="AP844" i="34"/>
  <c r="AR844" i="34" s="1"/>
  <c r="AO844" i="34"/>
  <c r="AQ844" i="34" s="1"/>
  <c r="AI844" i="34"/>
  <c r="AE844" i="34"/>
  <c r="AS844" i="34" s="1"/>
  <c r="AD844" i="34"/>
  <c r="AC844" i="34"/>
  <c r="AB844" i="34"/>
  <c r="R844" i="34"/>
  <c r="AG844" i="34" s="1"/>
  <c r="A844" i="34"/>
  <c r="AP843" i="34"/>
  <c r="AR843" i="34" s="1"/>
  <c r="AO843" i="34"/>
  <c r="AQ843" i="34" s="1"/>
  <c r="AI843" i="34"/>
  <c r="AS843" i="34"/>
  <c r="AD843" i="34"/>
  <c r="AC843" i="34"/>
  <c r="AB843" i="34"/>
  <c r="R843" i="34"/>
  <c r="AG843" i="34" s="1"/>
  <c r="AT843" i="34" s="1"/>
  <c r="A843" i="34"/>
  <c r="AP842" i="34"/>
  <c r="AR842" i="34" s="1"/>
  <c r="AO842" i="34"/>
  <c r="AQ842" i="34" s="1"/>
  <c r="AI842" i="34"/>
  <c r="AJ842" i="34" s="1"/>
  <c r="AS842" i="34"/>
  <c r="AD842" i="34"/>
  <c r="AC842" i="34"/>
  <c r="AB842" i="34"/>
  <c r="R842" i="34"/>
  <c r="A842" i="34"/>
  <c r="AP841" i="34"/>
  <c r="AR841" i="34" s="1"/>
  <c r="AO841" i="34"/>
  <c r="AQ841" i="34" s="1"/>
  <c r="AI841" i="34"/>
  <c r="AJ841" i="34" s="1"/>
  <c r="AS841" i="34"/>
  <c r="AD841" i="34"/>
  <c r="AC841" i="34"/>
  <c r="AB841" i="34"/>
  <c r="R841" i="34"/>
  <c r="A841" i="34"/>
  <c r="AP840" i="34"/>
  <c r="AR840" i="34" s="1"/>
  <c r="AO840" i="34"/>
  <c r="AQ840" i="34" s="1"/>
  <c r="AS840" i="34"/>
  <c r="AD840" i="34"/>
  <c r="AC840" i="34"/>
  <c r="AB840" i="34"/>
  <c r="R840" i="34"/>
  <c r="AG840" i="34" s="1"/>
  <c r="A840" i="34"/>
  <c r="AP839" i="34"/>
  <c r="AR839" i="34" s="1"/>
  <c r="AO839" i="34"/>
  <c r="AQ839" i="34" s="1"/>
  <c r="AF839" i="34"/>
  <c r="AD839" i="34"/>
  <c r="AC839" i="34"/>
  <c r="AB839" i="34"/>
  <c r="R839" i="34"/>
  <c r="A839" i="34"/>
  <c r="AP838" i="34"/>
  <c r="AR838" i="34" s="1"/>
  <c r="AO838" i="34"/>
  <c r="AQ838" i="34" s="1"/>
  <c r="AI838" i="34"/>
  <c r="AS838" i="34"/>
  <c r="AD838" i="34"/>
  <c r="AC838" i="34"/>
  <c r="AB838" i="34"/>
  <c r="R838" i="34"/>
  <c r="AG838" i="34" s="1"/>
  <c r="A838" i="34"/>
  <c r="AP837" i="34"/>
  <c r="AR837" i="34" s="1"/>
  <c r="AO837" i="34"/>
  <c r="AQ837" i="34" s="1"/>
  <c r="AE837" i="34"/>
  <c r="AF837" i="34" s="1"/>
  <c r="AD837" i="34"/>
  <c r="AC837" i="34"/>
  <c r="AB837" i="34"/>
  <c r="R837" i="34"/>
  <c r="AI837" i="34" s="1"/>
  <c r="A837" i="34"/>
  <c r="AP836" i="34"/>
  <c r="AR836" i="34" s="1"/>
  <c r="AO836" i="34"/>
  <c r="AQ836" i="34" s="1"/>
  <c r="AI836" i="34"/>
  <c r="AJ836" i="34" s="1"/>
  <c r="AF836" i="34"/>
  <c r="AD836" i="34"/>
  <c r="AC836" i="34"/>
  <c r="AB836" i="34"/>
  <c r="R836" i="34"/>
  <c r="A836" i="34"/>
  <c r="AP835" i="34"/>
  <c r="AR835" i="34" s="1"/>
  <c r="AO835" i="34"/>
  <c r="AQ835" i="34" s="1"/>
  <c r="AE835" i="34"/>
  <c r="AD835" i="34"/>
  <c r="AC835" i="34"/>
  <c r="AB835" i="34"/>
  <c r="R835" i="34"/>
  <c r="A835" i="34"/>
  <c r="AP834" i="34"/>
  <c r="AR834" i="34" s="1"/>
  <c r="AO834" i="34"/>
  <c r="AQ834" i="34" s="1"/>
  <c r="AI834" i="34"/>
  <c r="AJ834" i="34" s="1"/>
  <c r="AE834" i="34"/>
  <c r="AD834" i="34"/>
  <c r="AC834" i="34"/>
  <c r="AB834" i="34"/>
  <c r="R834" i="34"/>
  <c r="AG834" i="34" s="1"/>
  <c r="AH834" i="34" s="1"/>
  <c r="A834" i="34"/>
  <c r="AP833" i="34"/>
  <c r="AR833" i="34" s="1"/>
  <c r="AO833" i="34"/>
  <c r="AQ833" i="34" s="1"/>
  <c r="AF833" i="34"/>
  <c r="AD833" i="34"/>
  <c r="AC833" i="34"/>
  <c r="AB833" i="34"/>
  <c r="R833" i="34"/>
  <c r="AI833" i="34" s="1"/>
  <c r="A833" i="34"/>
  <c r="AP832" i="34"/>
  <c r="AR832" i="34" s="1"/>
  <c r="AO832" i="34"/>
  <c r="AQ832" i="34" s="1"/>
  <c r="AI832" i="34"/>
  <c r="AJ832" i="34" s="1"/>
  <c r="AE832" i="34"/>
  <c r="AD832" i="34"/>
  <c r="AC832" i="34"/>
  <c r="AB832" i="34"/>
  <c r="R832" i="34"/>
  <c r="AG832" i="34" s="1"/>
  <c r="A832" i="34"/>
  <c r="AP831" i="34"/>
  <c r="AR831" i="34" s="1"/>
  <c r="AO831" i="34"/>
  <c r="AQ831" i="34" s="1"/>
  <c r="AD831" i="34"/>
  <c r="AC831" i="34"/>
  <c r="AB831" i="34"/>
  <c r="R831" i="34"/>
  <c r="A831" i="34"/>
  <c r="AP830" i="34"/>
  <c r="AR830" i="34" s="1"/>
  <c r="AO830" i="34"/>
  <c r="AQ830" i="34" s="1"/>
  <c r="AF830" i="34"/>
  <c r="AD830" i="34"/>
  <c r="AC830" i="34"/>
  <c r="AB830" i="34"/>
  <c r="R830" i="34"/>
  <c r="AI830" i="34" s="1"/>
  <c r="AJ830" i="34" s="1"/>
  <c r="A830" i="34"/>
  <c r="AP829" i="34"/>
  <c r="AR829" i="34" s="1"/>
  <c r="AO829" i="34"/>
  <c r="AQ829" i="34" s="1"/>
  <c r="AM829" i="34"/>
  <c r="AV829" i="34" s="1"/>
  <c r="AC829" i="34"/>
  <c r="AB829" i="34"/>
  <c r="Z829" i="34"/>
  <c r="AD829" i="34" s="1"/>
  <c r="R829" i="34"/>
  <c r="AG829" i="34" s="1"/>
  <c r="AH829" i="34" s="1"/>
  <c r="A829" i="34"/>
  <c r="AP828" i="34"/>
  <c r="AR828" i="34" s="1"/>
  <c r="AO828" i="34"/>
  <c r="AQ828" i="34" s="1"/>
  <c r="AF828" i="34"/>
  <c r="AD828" i="34"/>
  <c r="AC828" i="34"/>
  <c r="AB828" i="34"/>
  <c r="R828" i="34"/>
  <c r="A828" i="34"/>
  <c r="AP827" i="34"/>
  <c r="AR827" i="34" s="1"/>
  <c r="AO827" i="34"/>
  <c r="AQ827" i="34" s="1"/>
  <c r="AI827" i="34"/>
  <c r="AJ827" i="34" s="1"/>
  <c r="AE827" i="34"/>
  <c r="AS827" i="34" s="1"/>
  <c r="AD827" i="34"/>
  <c r="AC827" i="34"/>
  <c r="AB827" i="34"/>
  <c r="R827" i="34"/>
  <c r="AG827" i="34" s="1"/>
  <c r="A827" i="34"/>
  <c r="AP826" i="34"/>
  <c r="AR826" i="34" s="1"/>
  <c r="AO826" i="34"/>
  <c r="AQ826" i="34" s="1"/>
  <c r="AI826" i="34"/>
  <c r="AJ826" i="34" s="1"/>
  <c r="AF826" i="34"/>
  <c r="AD826" i="34"/>
  <c r="AC826" i="34"/>
  <c r="AB826" i="34"/>
  <c r="R826" i="34"/>
  <c r="AG826" i="34" s="1"/>
  <c r="A826" i="34"/>
  <c r="AP825" i="34"/>
  <c r="AR825" i="34" s="1"/>
  <c r="AO825" i="34"/>
  <c r="AQ825" i="34" s="1"/>
  <c r="AI825" i="34"/>
  <c r="AS825" i="34"/>
  <c r="AD825" i="34"/>
  <c r="AC825" i="34"/>
  <c r="AB825" i="34"/>
  <c r="R825" i="34"/>
  <c r="AG825" i="34" s="1"/>
  <c r="A825" i="34"/>
  <c r="AP824" i="34"/>
  <c r="AR824" i="34" s="1"/>
  <c r="AO824" i="34"/>
  <c r="AQ824" i="34" s="1"/>
  <c r="AM824" i="34"/>
  <c r="AV824" i="34" s="1"/>
  <c r="AE824" i="34"/>
  <c r="AC824" i="34"/>
  <c r="AB824" i="34"/>
  <c r="Z824" i="34"/>
  <c r="AI824" i="34" s="1"/>
  <c r="R824" i="34"/>
  <c r="AG824" i="34" s="1"/>
  <c r="AH824" i="34" s="1"/>
  <c r="A824" i="34"/>
  <c r="AP823" i="34"/>
  <c r="AR823" i="34" s="1"/>
  <c r="AO823" i="34"/>
  <c r="AQ823" i="34" s="1"/>
  <c r="AD823" i="34"/>
  <c r="AC823" i="34"/>
  <c r="AB823" i="34"/>
  <c r="R823" i="34"/>
  <c r="A823" i="34"/>
  <c r="AP822" i="34"/>
  <c r="AR822" i="34" s="1"/>
  <c r="AO822" i="34"/>
  <c r="AQ822" i="34" s="1"/>
  <c r="AD822" i="34"/>
  <c r="AC822" i="34"/>
  <c r="AB822" i="34"/>
  <c r="R822" i="34"/>
  <c r="AG822" i="34" s="1"/>
  <c r="AI822" i="34" s="1"/>
  <c r="A822" i="34"/>
  <c r="AP821" i="34"/>
  <c r="AR821" i="34" s="1"/>
  <c r="AO821" i="34"/>
  <c r="AQ821" i="34" s="1"/>
  <c r="AI821" i="34"/>
  <c r="AJ821" i="34" s="1"/>
  <c r="AF821" i="34"/>
  <c r="AD821" i="34"/>
  <c r="AC821" i="34"/>
  <c r="AB821" i="34"/>
  <c r="R821" i="34"/>
  <c r="AG821" i="34" s="1"/>
  <c r="A821" i="34"/>
  <c r="AP820" i="34"/>
  <c r="AR820" i="34" s="1"/>
  <c r="AO820" i="34"/>
  <c r="AQ820" i="34" s="1"/>
  <c r="AM820" i="34"/>
  <c r="AV820" i="34" s="1"/>
  <c r="AS820" i="34"/>
  <c r="AC820" i="34"/>
  <c r="AB820" i="34"/>
  <c r="Z820" i="34"/>
  <c r="AI820" i="34" s="1"/>
  <c r="R820" i="34"/>
  <c r="AG820" i="34" s="1"/>
  <c r="A820" i="34"/>
  <c r="AP819" i="34"/>
  <c r="AR819" i="34" s="1"/>
  <c r="AO819" i="34"/>
  <c r="AQ819" i="34" s="1"/>
  <c r="AI819" i="34"/>
  <c r="AE819" i="34"/>
  <c r="AD819" i="34"/>
  <c r="AC819" i="34"/>
  <c r="AB819" i="34"/>
  <c r="R819" i="34"/>
  <c r="AG819" i="34" s="1"/>
  <c r="A819" i="34"/>
  <c r="AP818" i="34"/>
  <c r="AR818" i="34" s="1"/>
  <c r="AO818" i="34"/>
  <c r="AQ818" i="34" s="1"/>
  <c r="AI818" i="34"/>
  <c r="AD818" i="34"/>
  <c r="AC818" i="34"/>
  <c r="AB818" i="34"/>
  <c r="R818" i="34"/>
  <c r="AG818" i="34" s="1"/>
  <c r="A818" i="34"/>
  <c r="AP817" i="34"/>
  <c r="AR817" i="34" s="1"/>
  <c r="AO817" i="34"/>
  <c r="AQ817" i="34" s="1"/>
  <c r="AI817" i="34"/>
  <c r="AJ817" i="34" s="1"/>
  <c r="AF817" i="34"/>
  <c r="AD817" i="34"/>
  <c r="AC817" i="34"/>
  <c r="AB817" i="34"/>
  <c r="R817" i="34"/>
  <c r="AG817" i="34" s="1"/>
  <c r="A817" i="34"/>
  <c r="AP816" i="34"/>
  <c r="AR816" i="34" s="1"/>
  <c r="AO816" i="34"/>
  <c r="AQ816" i="34" s="1"/>
  <c r="AD816" i="34"/>
  <c r="AC816" i="34"/>
  <c r="AB816" i="34"/>
  <c r="R816" i="34"/>
  <c r="AI816" i="34" s="1"/>
  <c r="A816" i="34"/>
  <c r="AP815" i="34"/>
  <c r="AR815" i="34" s="1"/>
  <c r="AO815" i="34"/>
  <c r="AQ815" i="34" s="1"/>
  <c r="AI815" i="34"/>
  <c r="AJ815" i="34" s="1"/>
  <c r="AE815" i="34"/>
  <c r="AF815" i="34" s="1"/>
  <c r="AD815" i="34"/>
  <c r="AC815" i="34"/>
  <c r="AB815" i="34"/>
  <c r="R815" i="34"/>
  <c r="AG815" i="34" s="1"/>
  <c r="A815" i="34"/>
  <c r="AP814" i="34"/>
  <c r="AR814" i="34" s="1"/>
  <c r="AO814" i="34"/>
  <c r="AQ814" i="34" s="1"/>
  <c r="AI814" i="34"/>
  <c r="AE814" i="34"/>
  <c r="AD814" i="34"/>
  <c r="AC814" i="34"/>
  <c r="AB814" i="34"/>
  <c r="R814" i="34"/>
  <c r="AG814" i="34" s="1"/>
  <c r="A814" i="34"/>
  <c r="AP813" i="34"/>
  <c r="AR813" i="34" s="1"/>
  <c r="AO813" i="34"/>
  <c r="AQ813" i="34" s="1"/>
  <c r="AI813" i="34"/>
  <c r="AE813" i="34"/>
  <c r="AF813" i="34" s="1"/>
  <c r="AD813" i="34"/>
  <c r="AC813" i="34"/>
  <c r="AB813" i="34"/>
  <c r="R813" i="34"/>
  <c r="AG813" i="34" s="1"/>
  <c r="A813" i="34"/>
  <c r="AP812" i="34"/>
  <c r="AR812" i="34" s="1"/>
  <c r="AO812" i="34"/>
  <c r="AQ812" i="34" s="1"/>
  <c r="AI812" i="34"/>
  <c r="AD812" i="34"/>
  <c r="AC812" i="34"/>
  <c r="AB812" i="34"/>
  <c r="R812" i="34"/>
  <c r="AG812" i="34" s="1"/>
  <c r="A812" i="34"/>
  <c r="AP811" i="34"/>
  <c r="AR811" i="34" s="1"/>
  <c r="AO811" i="34"/>
  <c r="AQ811" i="34" s="1"/>
  <c r="AF811" i="34"/>
  <c r="AD811" i="34"/>
  <c r="AC811" i="34"/>
  <c r="AB811" i="34"/>
  <c r="R811" i="34"/>
  <c r="A811" i="34"/>
  <c r="AP810" i="34"/>
  <c r="AR810" i="34" s="1"/>
  <c r="AO810" i="34"/>
  <c r="AQ810" i="34" s="1"/>
  <c r="AI810" i="34"/>
  <c r="AE810" i="34"/>
  <c r="AD810" i="34"/>
  <c r="AC810" i="34"/>
  <c r="AB810" i="34"/>
  <c r="R810" i="34"/>
  <c r="AG810" i="34" s="1"/>
  <c r="A810" i="34"/>
  <c r="AP809" i="34"/>
  <c r="AR809" i="34" s="1"/>
  <c r="AO809" i="34"/>
  <c r="AQ809" i="34" s="1"/>
  <c r="AI809" i="34"/>
  <c r="AE809" i="34"/>
  <c r="AF809" i="34" s="1"/>
  <c r="AD809" i="34"/>
  <c r="AC809" i="34"/>
  <c r="AB809" i="34"/>
  <c r="R809" i="34"/>
  <c r="AG809" i="34" s="1"/>
  <c r="A809" i="34"/>
  <c r="AP808" i="34"/>
  <c r="AR808" i="34" s="1"/>
  <c r="AO808" i="34"/>
  <c r="AQ808" i="34" s="1"/>
  <c r="AI808" i="34"/>
  <c r="AE808" i="34"/>
  <c r="AD808" i="34"/>
  <c r="AC808" i="34"/>
  <c r="AB808" i="34"/>
  <c r="R808" i="34"/>
  <c r="AG808" i="34" s="1"/>
  <c r="A808" i="34"/>
  <c r="AP807" i="34"/>
  <c r="AR807" i="34" s="1"/>
  <c r="AO807" i="34"/>
  <c r="AQ807" i="34" s="1"/>
  <c r="AI807" i="34"/>
  <c r="AJ807" i="34" s="1"/>
  <c r="AD807" i="34"/>
  <c r="AC807" i="34"/>
  <c r="AB807" i="34"/>
  <c r="R807" i="34"/>
  <c r="AG807" i="34" s="1"/>
  <c r="A807" i="34"/>
  <c r="AP806" i="34"/>
  <c r="AR806" i="34" s="1"/>
  <c r="AO806" i="34"/>
  <c r="AQ806" i="34" s="1"/>
  <c r="AI806" i="34"/>
  <c r="AE806" i="34"/>
  <c r="AD806" i="34"/>
  <c r="AC806" i="34"/>
  <c r="AB806" i="34"/>
  <c r="R806" i="34"/>
  <c r="AG806" i="34" s="1"/>
  <c r="A806" i="34"/>
  <c r="AP805" i="34"/>
  <c r="AR805" i="34" s="1"/>
  <c r="AO805" i="34"/>
  <c r="AQ805" i="34" s="1"/>
  <c r="AI805" i="34"/>
  <c r="AJ805" i="34" s="1"/>
  <c r="AE805" i="34"/>
  <c r="AF805" i="34" s="1"/>
  <c r="AD805" i="34"/>
  <c r="AC805" i="34"/>
  <c r="AB805" i="34"/>
  <c r="R805" i="34"/>
  <c r="AG805" i="34" s="1"/>
  <c r="A805" i="34"/>
  <c r="AP804" i="34"/>
  <c r="AR804" i="34" s="1"/>
  <c r="AO804" i="34"/>
  <c r="AQ804" i="34" s="1"/>
  <c r="AD804" i="34"/>
  <c r="AC804" i="34"/>
  <c r="AB804" i="34"/>
  <c r="R804" i="34"/>
  <c r="AG804" i="34" s="1"/>
  <c r="AI804" i="34" s="1"/>
  <c r="A804" i="34"/>
  <c r="AP803" i="34"/>
  <c r="AR803" i="34" s="1"/>
  <c r="AO803" i="34"/>
  <c r="AQ803" i="34" s="1"/>
  <c r="AF803" i="34"/>
  <c r="AD803" i="34"/>
  <c r="AC803" i="34"/>
  <c r="AB803" i="34"/>
  <c r="R803" i="34"/>
  <c r="AG803" i="34" s="1"/>
  <c r="A803" i="34"/>
  <c r="AP802" i="34"/>
  <c r="AR802" i="34" s="1"/>
  <c r="AO802" i="34"/>
  <c r="AQ802" i="34" s="1"/>
  <c r="AI802" i="34"/>
  <c r="AE802" i="34"/>
  <c r="AD802" i="34"/>
  <c r="AC802" i="34"/>
  <c r="AB802" i="34"/>
  <c r="R802" i="34"/>
  <c r="AG802" i="34" s="1"/>
  <c r="A802" i="34"/>
  <c r="AP801" i="34"/>
  <c r="AR801" i="34" s="1"/>
  <c r="AO801" i="34"/>
  <c r="AQ801" i="34" s="1"/>
  <c r="AI801" i="34"/>
  <c r="AJ801" i="34" s="1"/>
  <c r="AF801" i="34"/>
  <c r="AD801" i="34"/>
  <c r="AC801" i="34"/>
  <c r="AB801" i="34"/>
  <c r="R801" i="34"/>
  <c r="AG801" i="34" s="1"/>
  <c r="A801" i="34"/>
  <c r="AP800" i="34"/>
  <c r="AR800" i="34" s="1"/>
  <c r="AO800" i="34"/>
  <c r="AQ800" i="34" s="1"/>
  <c r="AI800" i="34"/>
  <c r="AD800" i="34"/>
  <c r="AC800" i="34"/>
  <c r="AB800" i="34"/>
  <c r="R800" i="34"/>
  <c r="A800" i="34"/>
  <c r="AP799" i="34"/>
  <c r="AR799" i="34" s="1"/>
  <c r="AO799" i="34"/>
  <c r="AQ799" i="34" s="1"/>
  <c r="AD799" i="34"/>
  <c r="AC799" i="34"/>
  <c r="AB799" i="34"/>
  <c r="R799" i="34"/>
  <c r="AG799" i="34" s="1"/>
  <c r="AH799" i="34" s="1"/>
  <c r="A799" i="34"/>
  <c r="AP798" i="34"/>
  <c r="AR798" i="34" s="1"/>
  <c r="AO798" i="34"/>
  <c r="AQ798" i="34" s="1"/>
  <c r="AI798" i="34"/>
  <c r="AF798" i="34"/>
  <c r="AD798" i="34"/>
  <c r="AC798" i="34"/>
  <c r="AB798" i="34"/>
  <c r="R798" i="34"/>
  <c r="AG798" i="34" s="1"/>
  <c r="A798" i="34"/>
  <c r="AP797" i="34"/>
  <c r="AR797" i="34" s="1"/>
  <c r="AO797" i="34"/>
  <c r="AQ797" i="34" s="1"/>
  <c r="AI797" i="34"/>
  <c r="AD797" i="34"/>
  <c r="AC797" i="34"/>
  <c r="AB797" i="34"/>
  <c r="R797" i="34"/>
  <c r="AG797" i="34" s="1"/>
  <c r="AT797" i="34" s="1"/>
  <c r="A797" i="34"/>
  <c r="AP796" i="34"/>
  <c r="AR796" i="34" s="1"/>
  <c r="AO796" i="34"/>
  <c r="AQ796" i="34" s="1"/>
  <c r="AI796" i="34"/>
  <c r="AJ796" i="34" s="1"/>
  <c r="AE796" i="34"/>
  <c r="AF796" i="34" s="1"/>
  <c r="AD796" i="34"/>
  <c r="AC796" i="34"/>
  <c r="AB796" i="34"/>
  <c r="R796" i="34"/>
  <c r="AG796" i="34" s="1"/>
  <c r="A796" i="34"/>
  <c r="AP795" i="34"/>
  <c r="AR795" i="34" s="1"/>
  <c r="AO795" i="34"/>
  <c r="AQ795" i="34" s="1"/>
  <c r="AI795" i="34"/>
  <c r="AD795" i="34"/>
  <c r="AC795" i="34"/>
  <c r="AB795" i="34"/>
  <c r="R795" i="34"/>
  <c r="AG795" i="34" s="1"/>
  <c r="AH795" i="34" s="1"/>
  <c r="A795" i="34"/>
  <c r="AP794" i="34"/>
  <c r="AR794" i="34" s="1"/>
  <c r="AO794" i="34"/>
  <c r="AQ794" i="34" s="1"/>
  <c r="AI794" i="34"/>
  <c r="AJ794" i="34" s="1"/>
  <c r="AD794" i="34"/>
  <c r="AC794" i="34"/>
  <c r="AB794" i="34"/>
  <c r="R794" i="34"/>
  <c r="AG794" i="34" s="1"/>
  <c r="A794" i="34"/>
  <c r="AP793" i="34"/>
  <c r="AR793" i="34" s="1"/>
  <c r="AO793" i="34"/>
  <c r="AQ793" i="34" s="1"/>
  <c r="AI793" i="34"/>
  <c r="AD793" i="34"/>
  <c r="AC793" i="34"/>
  <c r="AB793" i="34"/>
  <c r="R793" i="34"/>
  <c r="AG793" i="34" s="1"/>
  <c r="A793" i="34"/>
  <c r="AP792" i="34"/>
  <c r="AR792" i="34" s="1"/>
  <c r="AO792" i="34"/>
  <c r="AQ792" i="34" s="1"/>
  <c r="AI792" i="34"/>
  <c r="AJ792" i="34" s="1"/>
  <c r="AS792" i="34"/>
  <c r="AD792" i="34"/>
  <c r="AC792" i="34"/>
  <c r="AB792" i="34"/>
  <c r="R792" i="34"/>
  <c r="AG792" i="34" s="1"/>
  <c r="A792" i="34"/>
  <c r="AP791" i="34"/>
  <c r="AR791" i="34" s="1"/>
  <c r="AO791" i="34"/>
  <c r="AQ791" i="34" s="1"/>
  <c r="AI791" i="34"/>
  <c r="AD791" i="34"/>
  <c r="AC791" i="34"/>
  <c r="AB791" i="34"/>
  <c r="R791" i="34"/>
  <c r="AG791" i="34" s="1"/>
  <c r="AH791" i="34" s="1"/>
  <c r="A791" i="34"/>
  <c r="AP790" i="34"/>
  <c r="AR790" i="34" s="1"/>
  <c r="AO790" i="34"/>
  <c r="AQ790" i="34" s="1"/>
  <c r="AD790" i="34"/>
  <c r="AC790" i="34"/>
  <c r="AB790" i="34"/>
  <c r="R790" i="34"/>
  <c r="A790" i="34"/>
  <c r="AP789" i="34"/>
  <c r="AR789" i="34" s="1"/>
  <c r="AO789" i="34"/>
  <c r="AQ789" i="34" s="1"/>
  <c r="AI789" i="34"/>
  <c r="AJ789" i="34" s="1"/>
  <c r="AF789" i="34"/>
  <c r="AD789" i="34"/>
  <c r="AC789" i="34"/>
  <c r="AB789" i="34"/>
  <c r="R789" i="34"/>
  <c r="AG789" i="34" s="1"/>
  <c r="A789" i="34"/>
  <c r="AP788" i="34"/>
  <c r="AR788" i="34" s="1"/>
  <c r="AO788" i="34"/>
  <c r="AQ788" i="34" s="1"/>
  <c r="AI788" i="34"/>
  <c r="AS788" i="34"/>
  <c r="AD788" i="34"/>
  <c r="AC788" i="34"/>
  <c r="AB788" i="34"/>
  <c r="R788" i="34"/>
  <c r="AG788" i="34" s="1"/>
  <c r="A788" i="34"/>
  <c r="AP787" i="34"/>
  <c r="AR787" i="34" s="1"/>
  <c r="AO787" i="34"/>
  <c r="AQ787" i="34" s="1"/>
  <c r="AI787" i="34"/>
  <c r="AJ787" i="34" s="1"/>
  <c r="AE787" i="34"/>
  <c r="AF787" i="34" s="1"/>
  <c r="AD787" i="34"/>
  <c r="AC787" i="34"/>
  <c r="AB787" i="34"/>
  <c r="R787" i="34"/>
  <c r="AG787" i="34" s="1"/>
  <c r="A787" i="34"/>
  <c r="AP786" i="34"/>
  <c r="AR786" i="34" s="1"/>
  <c r="AO786" i="34"/>
  <c r="AQ786" i="34" s="1"/>
  <c r="AI786" i="34"/>
  <c r="AJ786" i="34" s="1"/>
  <c r="AF786" i="34"/>
  <c r="AD786" i="34"/>
  <c r="AC786" i="34"/>
  <c r="AB786" i="34"/>
  <c r="R786" i="34"/>
  <c r="AG786" i="34" s="1"/>
  <c r="A786" i="34"/>
  <c r="AP785" i="34"/>
  <c r="AR785" i="34" s="1"/>
  <c r="AO785" i="34"/>
  <c r="AQ785" i="34" s="1"/>
  <c r="AI785" i="34"/>
  <c r="AJ785" i="34" s="1"/>
  <c r="AD785" i="34"/>
  <c r="AC785" i="34"/>
  <c r="AB785" i="34"/>
  <c r="R785" i="34"/>
  <c r="AG785" i="34" s="1"/>
  <c r="A785" i="34"/>
  <c r="AP784" i="34"/>
  <c r="AR784" i="34" s="1"/>
  <c r="AO784" i="34"/>
  <c r="AQ784" i="34" s="1"/>
  <c r="AI784" i="34"/>
  <c r="AJ784" i="34" s="1"/>
  <c r="AS784" i="34"/>
  <c r="AD784" i="34"/>
  <c r="AC784" i="34"/>
  <c r="AB784" i="34"/>
  <c r="R784" i="34"/>
  <c r="AG784" i="34" s="1"/>
  <c r="A784" i="34"/>
  <c r="AP783" i="34"/>
  <c r="AR783" i="34" s="1"/>
  <c r="AO783" i="34"/>
  <c r="AQ783" i="34" s="1"/>
  <c r="AF783" i="34"/>
  <c r="AD783" i="34"/>
  <c r="AC783" i="34"/>
  <c r="AB783" i="34"/>
  <c r="R783" i="34"/>
  <c r="AG783" i="34" s="1"/>
  <c r="AH783" i="34" s="1"/>
  <c r="A783" i="34"/>
  <c r="AP782" i="34"/>
  <c r="AR782" i="34" s="1"/>
  <c r="AO782" i="34"/>
  <c r="AQ782" i="34" s="1"/>
  <c r="AS782" i="34"/>
  <c r="AD782" i="34"/>
  <c r="AC782" i="34"/>
  <c r="AB782" i="34"/>
  <c r="R782" i="34"/>
  <c r="AG782" i="34" s="1"/>
  <c r="A782" i="34"/>
  <c r="AP781" i="34"/>
  <c r="AR781" i="34" s="1"/>
  <c r="AO781" i="34"/>
  <c r="AQ781" i="34" s="1"/>
  <c r="AI781" i="34"/>
  <c r="AJ781" i="34" s="1"/>
  <c r="AD781" i="34"/>
  <c r="AC781" i="34"/>
  <c r="AB781" i="34"/>
  <c r="R781" i="34"/>
  <c r="AG781" i="34" s="1"/>
  <c r="A781" i="34"/>
  <c r="AP780" i="34"/>
  <c r="AR780" i="34" s="1"/>
  <c r="AO780" i="34"/>
  <c r="AQ780" i="34" s="1"/>
  <c r="AI780" i="34"/>
  <c r="AJ780" i="34" s="1"/>
  <c r="AF780" i="34"/>
  <c r="AD780" i="34"/>
  <c r="AC780" i="34"/>
  <c r="AB780" i="34"/>
  <c r="R780" i="34"/>
  <c r="A780" i="34"/>
  <c r="AP779" i="34"/>
  <c r="AR779" i="34" s="1"/>
  <c r="AO779" i="34"/>
  <c r="AQ779" i="34" s="1"/>
  <c r="AS779" i="34"/>
  <c r="AD779" i="34"/>
  <c r="AC779" i="34"/>
  <c r="AB779" i="34"/>
  <c r="R779" i="34"/>
  <c r="A779" i="34"/>
  <c r="AP778" i="34"/>
  <c r="AR778" i="34" s="1"/>
  <c r="AO778" i="34"/>
  <c r="AQ778" i="34" s="1"/>
  <c r="AI778" i="34"/>
  <c r="AF778" i="34"/>
  <c r="AD778" i="34"/>
  <c r="AC778" i="34"/>
  <c r="AB778" i="34"/>
  <c r="R778" i="34"/>
  <c r="AG778" i="34" s="1"/>
  <c r="A778" i="34"/>
  <c r="AP777" i="34"/>
  <c r="AR777" i="34" s="1"/>
  <c r="AO777" i="34"/>
  <c r="AQ777" i="34" s="1"/>
  <c r="AI777" i="34"/>
  <c r="AD777" i="34"/>
  <c r="AC777" i="34"/>
  <c r="AB777" i="34"/>
  <c r="R777" i="34"/>
  <c r="AG777" i="34" s="1"/>
  <c r="A777" i="34"/>
  <c r="AP776" i="34"/>
  <c r="AR776" i="34" s="1"/>
  <c r="AO776" i="34"/>
  <c r="AQ776" i="34" s="1"/>
  <c r="AF776" i="34"/>
  <c r="AD776" i="34"/>
  <c r="AC776" i="34"/>
  <c r="AB776" i="34"/>
  <c r="R776" i="34"/>
  <c r="AI776" i="34" s="1"/>
  <c r="AK776" i="34" s="1"/>
  <c r="A776" i="34"/>
  <c r="AP775" i="34"/>
  <c r="AR775" i="34" s="1"/>
  <c r="AO775" i="34"/>
  <c r="AQ775" i="34" s="1"/>
  <c r="AI775" i="34"/>
  <c r="AD775" i="34"/>
  <c r="AC775" i="34"/>
  <c r="AB775" i="34"/>
  <c r="R775" i="34"/>
  <c r="AG775" i="34" s="1"/>
  <c r="A775" i="34"/>
  <c r="AP774" i="34"/>
  <c r="AR774" i="34" s="1"/>
  <c r="AO774" i="34"/>
  <c r="AQ774" i="34" s="1"/>
  <c r="AI774" i="34"/>
  <c r="AD774" i="34"/>
  <c r="AC774" i="34"/>
  <c r="AB774" i="34"/>
  <c r="R774" i="34"/>
  <c r="AG774" i="34" s="1"/>
  <c r="AH774" i="34" s="1"/>
  <c r="A774" i="34"/>
  <c r="AP773" i="34"/>
  <c r="AR773" i="34" s="1"/>
  <c r="AO773" i="34"/>
  <c r="AQ773" i="34" s="1"/>
  <c r="AI773" i="34"/>
  <c r="AF773" i="34"/>
  <c r="AD773" i="34"/>
  <c r="AC773" i="34"/>
  <c r="AB773" i="34"/>
  <c r="R773" i="34"/>
  <c r="AG773" i="34" s="1"/>
  <c r="A773" i="34"/>
  <c r="AP772" i="34"/>
  <c r="AR772" i="34" s="1"/>
  <c r="AO772" i="34"/>
  <c r="AQ772" i="34" s="1"/>
  <c r="AI772" i="34"/>
  <c r="AJ772" i="34" s="1"/>
  <c r="AD772" i="34"/>
  <c r="AC772" i="34"/>
  <c r="AB772" i="34"/>
  <c r="R772" i="34"/>
  <c r="AG772" i="34" s="1"/>
  <c r="AH772" i="34" s="1"/>
  <c r="A772" i="34"/>
  <c r="AP771" i="34"/>
  <c r="AR771" i="34" s="1"/>
  <c r="AO771" i="34"/>
  <c r="AQ771" i="34" s="1"/>
  <c r="AS771" i="34"/>
  <c r="AD771" i="34"/>
  <c r="AC771" i="34"/>
  <c r="AB771" i="34"/>
  <c r="R771" i="34"/>
  <c r="AG771" i="34" s="1"/>
  <c r="A771" i="34"/>
  <c r="AP770" i="34"/>
  <c r="AR770" i="34" s="1"/>
  <c r="AO770" i="34"/>
  <c r="AQ770" i="34" s="1"/>
  <c r="AI770" i="34"/>
  <c r="AF770" i="34"/>
  <c r="AD770" i="34"/>
  <c r="AC770" i="34"/>
  <c r="AB770" i="34"/>
  <c r="R770" i="34"/>
  <c r="AG770" i="34" s="1"/>
  <c r="A770" i="34"/>
  <c r="AP769" i="34"/>
  <c r="AR769" i="34" s="1"/>
  <c r="AO769" i="34"/>
  <c r="AQ769" i="34" s="1"/>
  <c r="AI769" i="34"/>
  <c r="AJ769" i="34" s="1"/>
  <c r="AF769" i="34"/>
  <c r="AD769" i="34"/>
  <c r="AC769" i="34"/>
  <c r="AB769" i="34"/>
  <c r="R769" i="34"/>
  <c r="AG769" i="34" s="1"/>
  <c r="A769" i="34"/>
  <c r="AP768" i="34"/>
  <c r="AR768" i="34" s="1"/>
  <c r="AO768" i="34"/>
  <c r="AQ768" i="34" s="1"/>
  <c r="AI768" i="34"/>
  <c r="AJ768" i="34" s="1"/>
  <c r="AD768" i="34"/>
  <c r="AC768" i="34"/>
  <c r="AB768" i="34"/>
  <c r="R768" i="34"/>
  <c r="AG768" i="34" s="1"/>
  <c r="A768" i="34"/>
  <c r="AP767" i="34"/>
  <c r="AR767" i="34" s="1"/>
  <c r="AO767" i="34"/>
  <c r="AQ767" i="34" s="1"/>
  <c r="AI767" i="34"/>
  <c r="AS767" i="34"/>
  <c r="AD767" i="34"/>
  <c r="AC767" i="34"/>
  <c r="AB767" i="34"/>
  <c r="R767" i="34"/>
  <c r="A767" i="34"/>
  <c r="AP766" i="34"/>
  <c r="AR766" i="34" s="1"/>
  <c r="AO766" i="34"/>
  <c r="AQ766" i="34" s="1"/>
  <c r="AI766" i="34"/>
  <c r="AJ766" i="34" s="1"/>
  <c r="AF766" i="34"/>
  <c r="AD766" i="34"/>
  <c r="AC766" i="34"/>
  <c r="AB766" i="34"/>
  <c r="R766" i="34"/>
  <c r="AG766" i="34" s="1"/>
  <c r="AT766" i="34" s="1"/>
  <c r="A766" i="34"/>
  <c r="AP765" i="34"/>
  <c r="AR765" i="34" s="1"/>
  <c r="AO765" i="34"/>
  <c r="AQ765" i="34" s="1"/>
  <c r="AI765" i="34"/>
  <c r="AF765" i="34"/>
  <c r="AD765" i="34"/>
  <c r="AC765" i="34"/>
  <c r="AB765" i="34"/>
  <c r="R765" i="34"/>
  <c r="AG765" i="34" s="1"/>
  <c r="A765" i="34"/>
  <c r="AP764" i="34"/>
  <c r="AR764" i="34" s="1"/>
  <c r="AO764" i="34"/>
  <c r="AQ764" i="34" s="1"/>
  <c r="AE764" i="34"/>
  <c r="AD764" i="34"/>
  <c r="AC764" i="34"/>
  <c r="AB764" i="34"/>
  <c r="R764" i="34"/>
  <c r="AG764" i="34" s="1"/>
  <c r="AH764" i="34" s="1"/>
  <c r="A764" i="34"/>
  <c r="AP763" i="34"/>
  <c r="AR763" i="34" s="1"/>
  <c r="AO763" i="34"/>
  <c r="AQ763" i="34" s="1"/>
  <c r="AE763" i="34"/>
  <c r="AD763" i="34"/>
  <c r="AC763" i="34"/>
  <c r="AB763" i="34"/>
  <c r="R763" i="34"/>
  <c r="AG763" i="34" s="1"/>
  <c r="A763" i="34"/>
  <c r="AP762" i="34"/>
  <c r="AR762" i="34" s="1"/>
  <c r="AO762" i="34"/>
  <c r="AQ762" i="34" s="1"/>
  <c r="AI762" i="34"/>
  <c r="AD762" i="34"/>
  <c r="AC762" i="34"/>
  <c r="AB762" i="34"/>
  <c r="R762" i="34"/>
  <c r="AG762" i="34" s="1"/>
  <c r="AH762" i="34" s="1"/>
  <c r="A762" i="34"/>
  <c r="AP761" i="34"/>
  <c r="AR761" i="34" s="1"/>
  <c r="AO761" i="34"/>
  <c r="AQ761" i="34" s="1"/>
  <c r="AI761" i="34"/>
  <c r="AJ761" i="34" s="1"/>
  <c r="AF761" i="34"/>
  <c r="AD761" i="34"/>
  <c r="AC761" i="34"/>
  <c r="AB761" i="34"/>
  <c r="R761" i="34"/>
  <c r="A761" i="34"/>
  <c r="AP760" i="34"/>
  <c r="AR760" i="34" s="1"/>
  <c r="AO760" i="34"/>
  <c r="AQ760" i="34" s="1"/>
  <c r="AI760" i="34"/>
  <c r="AS760" i="34"/>
  <c r="AD760" i="34"/>
  <c r="AC760" i="34"/>
  <c r="AB760" i="34"/>
  <c r="R760" i="34"/>
  <c r="A760" i="34"/>
  <c r="AP759" i="34"/>
  <c r="AR759" i="34" s="1"/>
  <c r="AO759" i="34"/>
  <c r="AQ759" i="34" s="1"/>
  <c r="AI759" i="34"/>
  <c r="AJ759" i="34" s="1"/>
  <c r="AD759" i="34"/>
  <c r="AC759" i="34"/>
  <c r="AB759" i="34"/>
  <c r="R759" i="34"/>
  <c r="A759" i="34"/>
  <c r="AP758" i="34"/>
  <c r="AR758" i="34" s="1"/>
  <c r="AO758" i="34"/>
  <c r="AQ758" i="34" s="1"/>
  <c r="AI758" i="34"/>
  <c r="AF758" i="34"/>
  <c r="AD758" i="34"/>
  <c r="AC758" i="34"/>
  <c r="AB758" i="34"/>
  <c r="R758" i="34"/>
  <c r="AG758" i="34" s="1"/>
  <c r="A758" i="34"/>
  <c r="AP757" i="34"/>
  <c r="AR757" i="34" s="1"/>
  <c r="AO757" i="34"/>
  <c r="AQ757" i="34" s="1"/>
  <c r="AS757" i="34"/>
  <c r="AD757" i="34"/>
  <c r="AC757" i="34"/>
  <c r="AB757" i="34"/>
  <c r="R757" i="34"/>
  <c r="AH757" i="34" s="1"/>
  <c r="A757" i="34"/>
  <c r="AP756" i="34"/>
  <c r="AR756" i="34" s="1"/>
  <c r="AO756" i="34"/>
  <c r="AQ756" i="34" s="1"/>
  <c r="AS756" i="34"/>
  <c r="AD756" i="34"/>
  <c r="AC756" i="34"/>
  <c r="AB756" i="34"/>
  <c r="R756" i="34"/>
  <c r="AG756" i="34" s="1"/>
  <c r="AT756" i="34" s="1"/>
  <c r="A756" i="34"/>
  <c r="AP755" i="34"/>
  <c r="AR755" i="34" s="1"/>
  <c r="AO755" i="34"/>
  <c r="AQ755" i="34" s="1"/>
  <c r="AD755" i="34"/>
  <c r="AC755" i="34"/>
  <c r="AB755" i="34"/>
  <c r="R755" i="34"/>
  <c r="A755" i="34"/>
  <c r="AP754" i="34"/>
  <c r="AR754" i="34" s="1"/>
  <c r="AO754" i="34"/>
  <c r="AQ754" i="34" s="1"/>
  <c r="AF754" i="34"/>
  <c r="AD754" i="34"/>
  <c r="AC754" i="34"/>
  <c r="AB754" i="34"/>
  <c r="R754" i="34"/>
  <c r="AT754" i="34" s="1"/>
  <c r="A754" i="34"/>
  <c r="AP753" i="34"/>
  <c r="AR753" i="34" s="1"/>
  <c r="AO753" i="34"/>
  <c r="AQ753" i="34" s="1"/>
  <c r="AI753" i="34"/>
  <c r="AJ753" i="34" s="1"/>
  <c r="AS753" i="34"/>
  <c r="AD753" i="34"/>
  <c r="AC753" i="34"/>
  <c r="AB753" i="34"/>
  <c r="R753" i="34"/>
  <c r="AG753" i="34" s="1"/>
  <c r="AH753" i="34" s="1"/>
  <c r="A753" i="34"/>
  <c r="AP752" i="34"/>
  <c r="AR752" i="34" s="1"/>
  <c r="AO752" i="34"/>
  <c r="AQ752" i="34" s="1"/>
  <c r="AS752" i="34"/>
  <c r="AD752" i="34"/>
  <c r="AC752" i="34"/>
  <c r="AB752" i="34"/>
  <c r="R752" i="34"/>
  <c r="AT752" i="34" s="1"/>
  <c r="A752" i="34"/>
  <c r="AP751" i="34"/>
  <c r="AR751" i="34" s="1"/>
  <c r="AO751" i="34"/>
  <c r="AQ751" i="34" s="1"/>
  <c r="AD751" i="34"/>
  <c r="AC751" i="34"/>
  <c r="AB751" i="34"/>
  <c r="R751" i="34"/>
  <c r="AG751" i="34" s="1"/>
  <c r="A751" i="34"/>
  <c r="AP750" i="34"/>
  <c r="AR750" i="34" s="1"/>
  <c r="AO750" i="34"/>
  <c r="AQ750" i="34" s="1"/>
  <c r="AF750" i="34"/>
  <c r="AD750" i="34"/>
  <c r="AC750" i="34"/>
  <c r="AB750" i="34"/>
  <c r="R750" i="34"/>
  <c r="AI750" i="34" s="1"/>
  <c r="AK750" i="34" s="1"/>
  <c r="A750" i="34"/>
  <c r="AP749" i="34"/>
  <c r="AR749" i="34" s="1"/>
  <c r="AO749" i="34"/>
  <c r="AQ749" i="34" s="1"/>
  <c r="AF749" i="34"/>
  <c r="AD749" i="34"/>
  <c r="AC749" i="34"/>
  <c r="AB749" i="34"/>
  <c r="R749" i="34"/>
  <c r="AG749" i="34" s="1"/>
  <c r="A749" i="34"/>
  <c r="AP748" i="34"/>
  <c r="AR748" i="34" s="1"/>
  <c r="AO748" i="34"/>
  <c r="AQ748" i="34" s="1"/>
  <c r="AI748" i="34"/>
  <c r="AJ748" i="34" s="1"/>
  <c r="AD748" i="34"/>
  <c r="AC748" i="34"/>
  <c r="AB748" i="34"/>
  <c r="R748" i="34"/>
  <c r="AG748" i="34" s="1"/>
  <c r="A748" i="34"/>
  <c r="AP747" i="34"/>
  <c r="AR747" i="34" s="1"/>
  <c r="AO747" i="34"/>
  <c r="AQ747" i="34" s="1"/>
  <c r="AS747" i="34"/>
  <c r="AD747" i="34"/>
  <c r="AC747" i="34"/>
  <c r="AB747" i="34"/>
  <c r="R747" i="34"/>
  <c r="AI747" i="34" s="1"/>
  <c r="A747" i="34"/>
  <c r="AP746" i="34"/>
  <c r="AR746" i="34" s="1"/>
  <c r="AO746" i="34"/>
  <c r="AQ746" i="34" s="1"/>
  <c r="AF746" i="34"/>
  <c r="AD746" i="34"/>
  <c r="AC746" i="34"/>
  <c r="AB746" i="34"/>
  <c r="R746" i="34"/>
  <c r="AG746" i="34" s="1"/>
  <c r="AT746" i="34" s="1"/>
  <c r="A746" i="34"/>
  <c r="AP745" i="34"/>
  <c r="AR745" i="34" s="1"/>
  <c r="AO745" i="34"/>
  <c r="AQ745" i="34" s="1"/>
  <c r="AS745" i="34"/>
  <c r="AD745" i="34"/>
  <c r="AC745" i="34"/>
  <c r="AB745" i="34"/>
  <c r="R745" i="34"/>
  <c r="AG745" i="34" s="1"/>
  <c r="A745" i="34"/>
  <c r="AP744" i="34"/>
  <c r="AR744" i="34" s="1"/>
  <c r="AO744" i="34"/>
  <c r="AQ744" i="34" s="1"/>
  <c r="AD744" i="34"/>
  <c r="AC744" i="34"/>
  <c r="AB744" i="34"/>
  <c r="R744" i="34"/>
  <c r="AG744" i="34" s="1"/>
  <c r="A744" i="34"/>
  <c r="AP743" i="34"/>
  <c r="AR743" i="34" s="1"/>
  <c r="AO743" i="34"/>
  <c r="AQ743" i="34" s="1"/>
  <c r="AF743" i="34"/>
  <c r="AD743" i="34"/>
  <c r="AC743" i="34"/>
  <c r="AB743" i="34"/>
  <c r="R743" i="34"/>
  <c r="AI743" i="34" s="1"/>
  <c r="AK743" i="34" s="1"/>
  <c r="A743" i="34"/>
  <c r="AP742" i="34"/>
  <c r="AR742" i="34" s="1"/>
  <c r="AO742" i="34"/>
  <c r="AQ742" i="34" s="1"/>
  <c r="AS742" i="34"/>
  <c r="AD742" i="34"/>
  <c r="AC742" i="34"/>
  <c r="AB742" i="34"/>
  <c r="R742" i="34"/>
  <c r="AG742" i="34" s="1"/>
  <c r="A742" i="34"/>
  <c r="AP741" i="34"/>
  <c r="AR741" i="34" s="1"/>
  <c r="AO741" i="34"/>
  <c r="AQ741" i="34" s="1"/>
  <c r="AI741" i="34"/>
  <c r="AF741" i="34"/>
  <c r="AD741" i="34"/>
  <c r="AC741" i="34"/>
  <c r="AB741" i="34"/>
  <c r="R741" i="34"/>
  <c r="A741" i="34"/>
  <c r="AP740" i="34"/>
  <c r="AR740" i="34" s="1"/>
  <c r="AO740" i="34"/>
  <c r="AQ740" i="34" s="1"/>
  <c r="AI740" i="34"/>
  <c r="AD740" i="34"/>
  <c r="AC740" i="34"/>
  <c r="AB740" i="34"/>
  <c r="R740" i="34"/>
  <c r="A740" i="34"/>
  <c r="AP739" i="34"/>
  <c r="AR739" i="34" s="1"/>
  <c r="AO739" i="34"/>
  <c r="AQ739" i="34" s="1"/>
  <c r="AI739" i="34"/>
  <c r="AD739" i="34"/>
  <c r="AC739" i="34"/>
  <c r="AB739" i="34"/>
  <c r="R739" i="34"/>
  <c r="AG739" i="34" s="1"/>
  <c r="A739" i="34"/>
  <c r="AP738" i="34"/>
  <c r="AR738" i="34" s="1"/>
  <c r="AO738" i="34"/>
  <c r="AQ738" i="34" s="1"/>
  <c r="AS738" i="34"/>
  <c r="AD738" i="34"/>
  <c r="AC738" i="34"/>
  <c r="AB738" i="34"/>
  <c r="R738" i="34"/>
  <c r="AG738" i="34" s="1"/>
  <c r="A738" i="34"/>
  <c r="AP737" i="34"/>
  <c r="AR737" i="34" s="1"/>
  <c r="AO737" i="34"/>
  <c r="AQ737" i="34" s="1"/>
  <c r="AI737" i="34"/>
  <c r="AJ737" i="34" s="1"/>
  <c r="AF737" i="34"/>
  <c r="AD737" i="34"/>
  <c r="AC737" i="34"/>
  <c r="AB737" i="34"/>
  <c r="R737" i="34"/>
  <c r="AG737" i="34" s="1"/>
  <c r="AT737" i="34" s="1"/>
  <c r="A737" i="34"/>
  <c r="AP736" i="34"/>
  <c r="AR736" i="34" s="1"/>
  <c r="AO736" i="34"/>
  <c r="AQ736" i="34" s="1"/>
  <c r="AI736" i="34"/>
  <c r="AF736" i="34"/>
  <c r="AD736" i="34"/>
  <c r="AC736" i="34"/>
  <c r="AB736" i="34"/>
  <c r="R736" i="34"/>
  <c r="AG736" i="34" s="1"/>
  <c r="A736" i="34"/>
  <c r="AP735" i="34"/>
  <c r="AR735" i="34" s="1"/>
  <c r="AO735" i="34"/>
  <c r="AQ735" i="34" s="1"/>
  <c r="AI735" i="34"/>
  <c r="AD735" i="34"/>
  <c r="AC735" i="34"/>
  <c r="AB735" i="34"/>
  <c r="R735" i="34"/>
  <c r="AG735" i="34" s="1"/>
  <c r="A735" i="34"/>
  <c r="AP734" i="34"/>
  <c r="AR734" i="34" s="1"/>
  <c r="AO734" i="34"/>
  <c r="AQ734" i="34" s="1"/>
  <c r="AI734" i="34"/>
  <c r="AJ734" i="34" s="1"/>
  <c r="AD734" i="34"/>
  <c r="AC734" i="34"/>
  <c r="AB734" i="34"/>
  <c r="R734" i="34"/>
  <c r="AG734" i="34" s="1"/>
  <c r="A734" i="34"/>
  <c r="AP733" i="34"/>
  <c r="AR733" i="34" s="1"/>
  <c r="AO733" i="34"/>
  <c r="AQ733" i="34" s="1"/>
  <c r="AF733" i="34"/>
  <c r="AD733" i="34"/>
  <c r="AC733" i="34"/>
  <c r="AB733" i="34"/>
  <c r="R733" i="34"/>
  <c r="AG733" i="34" s="1"/>
  <c r="AI733" i="34" s="1"/>
  <c r="A733" i="34"/>
  <c r="AP732" i="34"/>
  <c r="AR732" i="34" s="1"/>
  <c r="AO732" i="34"/>
  <c r="AQ732" i="34" s="1"/>
  <c r="AI732" i="34"/>
  <c r="AS732" i="34"/>
  <c r="AD732" i="34"/>
  <c r="AC732" i="34"/>
  <c r="AB732" i="34"/>
  <c r="R732" i="34"/>
  <c r="AG732" i="34" s="1"/>
  <c r="A732" i="34"/>
  <c r="AP731" i="34"/>
  <c r="AR731" i="34" s="1"/>
  <c r="AO731" i="34"/>
  <c r="AQ731" i="34" s="1"/>
  <c r="AI731" i="34"/>
  <c r="AD731" i="34"/>
  <c r="AC731" i="34"/>
  <c r="AB731" i="34"/>
  <c r="R731" i="34"/>
  <c r="AG731" i="34" s="1"/>
  <c r="AH731" i="34" s="1"/>
  <c r="A731" i="34"/>
  <c r="AP730" i="34"/>
  <c r="AR730" i="34" s="1"/>
  <c r="AO730" i="34"/>
  <c r="AQ730" i="34" s="1"/>
  <c r="AI730" i="34"/>
  <c r="AJ730" i="34" s="1"/>
  <c r="AD730" i="34"/>
  <c r="AC730" i="34"/>
  <c r="AB730" i="34"/>
  <c r="R730" i="34"/>
  <c r="AG730" i="34" s="1"/>
  <c r="A730" i="34"/>
  <c r="AP729" i="34"/>
  <c r="AR729" i="34" s="1"/>
  <c r="AO729" i="34"/>
  <c r="AQ729" i="34" s="1"/>
  <c r="AI729" i="34"/>
  <c r="AD729" i="34"/>
  <c r="AC729" i="34"/>
  <c r="AB729" i="34"/>
  <c r="R729" i="34"/>
  <c r="AG729" i="34" s="1"/>
  <c r="AT729" i="34" s="1"/>
  <c r="A729" i="34"/>
  <c r="AP728" i="34"/>
  <c r="AR728" i="34" s="1"/>
  <c r="AO728" i="34"/>
  <c r="AQ728" i="34" s="1"/>
  <c r="AS728" i="34"/>
  <c r="AD728" i="34"/>
  <c r="AC728" i="34"/>
  <c r="AB728" i="34"/>
  <c r="R728" i="34"/>
  <c r="AG728" i="34" s="1"/>
  <c r="A728" i="34"/>
  <c r="AP727" i="34"/>
  <c r="AR727" i="34" s="1"/>
  <c r="AO727" i="34"/>
  <c r="AQ727" i="34" s="1"/>
  <c r="AD727" i="34"/>
  <c r="AC727" i="34"/>
  <c r="AB727" i="34"/>
  <c r="R727" i="34"/>
  <c r="AG727" i="34" s="1"/>
  <c r="A727" i="34"/>
  <c r="AP726" i="34"/>
  <c r="AR726" i="34" s="1"/>
  <c r="AO726" i="34"/>
  <c r="AQ726" i="34" s="1"/>
  <c r="AI726" i="34"/>
  <c r="AJ726" i="34" s="1"/>
  <c r="AE726" i="34"/>
  <c r="AF726" i="34" s="1"/>
  <c r="AD726" i="34"/>
  <c r="AC726" i="34"/>
  <c r="AB726" i="34"/>
  <c r="R726" i="34"/>
  <c r="AG726" i="34" s="1"/>
  <c r="A726" i="34"/>
  <c r="AP725" i="34"/>
  <c r="AR725" i="34" s="1"/>
  <c r="AO725" i="34"/>
  <c r="AQ725" i="34" s="1"/>
  <c r="AI725" i="34"/>
  <c r="AJ725" i="34" s="1"/>
  <c r="AE725" i="34"/>
  <c r="AS725" i="34" s="1"/>
  <c r="AD725" i="34"/>
  <c r="AC725" i="34"/>
  <c r="AB725" i="34"/>
  <c r="R725" i="34"/>
  <c r="AG725" i="34" s="1"/>
  <c r="AT725" i="34" s="1"/>
  <c r="A725" i="34"/>
  <c r="AP724" i="34"/>
  <c r="AR724" i="34" s="1"/>
  <c r="AO724" i="34"/>
  <c r="AQ724" i="34" s="1"/>
  <c r="AI724" i="34"/>
  <c r="AF724" i="34"/>
  <c r="AD724" i="34"/>
  <c r="AC724" i="34"/>
  <c r="AB724" i="34"/>
  <c r="R724" i="34"/>
  <c r="AG724" i="34" s="1"/>
  <c r="AH724" i="34" s="1"/>
  <c r="A724" i="34"/>
  <c r="AP723" i="34"/>
  <c r="AR723" i="34" s="1"/>
  <c r="AO723" i="34"/>
  <c r="AQ723" i="34" s="1"/>
  <c r="AD723" i="34"/>
  <c r="AC723" i="34"/>
  <c r="AB723" i="34"/>
  <c r="R723" i="34"/>
  <c r="A723" i="34"/>
  <c r="AP722" i="34"/>
  <c r="AR722" i="34" s="1"/>
  <c r="AO722" i="34"/>
  <c r="AQ722" i="34" s="1"/>
  <c r="AD722" i="34"/>
  <c r="AC722" i="34"/>
  <c r="AB722" i="34"/>
  <c r="R722" i="34"/>
  <c r="AI722" i="34" s="1"/>
  <c r="A722" i="34"/>
  <c r="AP721" i="34"/>
  <c r="AR721" i="34" s="1"/>
  <c r="AO721" i="34"/>
  <c r="AQ721" i="34" s="1"/>
  <c r="AF721" i="34"/>
  <c r="AD721" i="34"/>
  <c r="AC721" i="34"/>
  <c r="AB721" i="34"/>
  <c r="R721" i="34"/>
  <c r="A721" i="34"/>
  <c r="AP720" i="34"/>
  <c r="AR720" i="34" s="1"/>
  <c r="AO720" i="34"/>
  <c r="AQ720" i="34" s="1"/>
  <c r="AS720" i="34"/>
  <c r="AD720" i="34"/>
  <c r="AC720" i="34"/>
  <c r="AB720" i="34"/>
  <c r="R720" i="34"/>
  <c r="A720" i="34"/>
  <c r="AP719" i="34"/>
  <c r="AR719" i="34" s="1"/>
  <c r="AO719" i="34"/>
  <c r="AQ719" i="34" s="1"/>
  <c r="AS719" i="34"/>
  <c r="AD719" i="34"/>
  <c r="AC719" i="34"/>
  <c r="AB719" i="34"/>
  <c r="R719" i="34"/>
  <c r="AI719" i="34" s="1"/>
  <c r="AK719" i="34" s="1"/>
  <c r="A719" i="34"/>
  <c r="AP718" i="34"/>
  <c r="AR718" i="34" s="1"/>
  <c r="AO718" i="34"/>
  <c r="AQ718" i="34" s="1"/>
  <c r="AD718" i="34"/>
  <c r="AC718" i="34"/>
  <c r="AB718" i="34"/>
  <c r="R718" i="34"/>
  <c r="A718" i="34"/>
  <c r="AP717" i="34"/>
  <c r="AR717" i="34" s="1"/>
  <c r="AO717" i="34"/>
  <c r="AQ717" i="34" s="1"/>
  <c r="AS717" i="34"/>
  <c r="AD717" i="34"/>
  <c r="AC717" i="34"/>
  <c r="AB717" i="34"/>
  <c r="R717" i="34"/>
  <c r="AG717" i="34" s="1"/>
  <c r="A717" i="34"/>
  <c r="AP716" i="34"/>
  <c r="AR716" i="34" s="1"/>
  <c r="AO716" i="34"/>
  <c r="AQ716" i="34" s="1"/>
  <c r="AD716" i="34"/>
  <c r="AC716" i="34"/>
  <c r="AB716" i="34"/>
  <c r="R716" i="34"/>
  <c r="A716" i="34"/>
  <c r="AP715" i="34"/>
  <c r="AR715" i="34" s="1"/>
  <c r="AO715" i="34"/>
  <c r="AQ715" i="34" s="1"/>
  <c r="AF715" i="34"/>
  <c r="AD715" i="34"/>
  <c r="AC715" i="34"/>
  <c r="AB715" i="34"/>
  <c r="R715" i="34"/>
  <c r="A715" i="34"/>
  <c r="AP714" i="34"/>
  <c r="AR714" i="34" s="1"/>
  <c r="AO714" i="34"/>
  <c r="AQ714" i="34" s="1"/>
  <c r="AD714" i="34"/>
  <c r="AC714" i="34"/>
  <c r="AB714" i="34"/>
  <c r="R714" i="34"/>
  <c r="AT714" i="34" s="1"/>
  <c r="A714" i="34"/>
  <c r="AP713" i="34"/>
  <c r="AR713" i="34" s="1"/>
  <c r="AO713" i="34"/>
  <c r="AQ713" i="34" s="1"/>
  <c r="AS713" i="34"/>
  <c r="AD713" i="34"/>
  <c r="AC713" i="34"/>
  <c r="AB713" i="34"/>
  <c r="R713" i="34"/>
  <c r="AI713" i="34" s="1"/>
  <c r="A713" i="34"/>
  <c r="AP712" i="34"/>
  <c r="AR712" i="34" s="1"/>
  <c r="AO712" i="34"/>
  <c r="AQ712" i="34" s="1"/>
  <c r="AF712" i="34"/>
  <c r="AD712" i="34"/>
  <c r="AC712" i="34"/>
  <c r="AB712" i="34"/>
  <c r="R712" i="34"/>
  <c r="A712" i="34"/>
  <c r="AP711" i="34"/>
  <c r="AR711" i="34" s="1"/>
  <c r="AO711" i="34"/>
  <c r="AQ711" i="34" s="1"/>
  <c r="AF711" i="34"/>
  <c r="AD711" i="34"/>
  <c r="AC711" i="34"/>
  <c r="AB711" i="34"/>
  <c r="R711" i="34"/>
  <c r="AG711" i="34" s="1"/>
  <c r="A711" i="34"/>
  <c r="AP710" i="34"/>
  <c r="AR710" i="34" s="1"/>
  <c r="AO710" i="34"/>
  <c r="AQ710" i="34" s="1"/>
  <c r="AD710" i="34"/>
  <c r="AC710" i="34"/>
  <c r="AB710" i="34"/>
  <c r="R710" i="34"/>
  <c r="AT710" i="34" s="1"/>
  <c r="A710" i="34"/>
  <c r="AP709" i="34"/>
  <c r="AR709" i="34" s="1"/>
  <c r="AO709" i="34"/>
  <c r="AQ709" i="34" s="1"/>
  <c r="AF709" i="34"/>
  <c r="AD709" i="34"/>
  <c r="AC709" i="34"/>
  <c r="AB709" i="34"/>
  <c r="R709" i="34"/>
  <c r="AG709" i="34" s="1"/>
  <c r="AI709" i="34" s="1"/>
  <c r="AK709" i="34" s="1"/>
  <c r="AL709" i="34" s="1"/>
  <c r="A709" i="34"/>
  <c r="AP708" i="34"/>
  <c r="AR708" i="34" s="1"/>
  <c r="AO708" i="34"/>
  <c r="AQ708" i="34" s="1"/>
  <c r="AS708" i="34"/>
  <c r="AD708" i="34"/>
  <c r="AC708" i="34"/>
  <c r="AB708" i="34"/>
  <c r="R708" i="34"/>
  <c r="AH708" i="34" s="1"/>
  <c r="A708" i="34"/>
  <c r="AP707" i="34"/>
  <c r="AR707" i="34" s="1"/>
  <c r="AO707" i="34"/>
  <c r="AQ707" i="34" s="1"/>
  <c r="AI707" i="34"/>
  <c r="AJ707" i="34" s="1"/>
  <c r="AE707" i="34"/>
  <c r="AS707" i="34" s="1"/>
  <c r="AD707" i="34"/>
  <c r="AC707" i="34"/>
  <c r="AB707" i="34"/>
  <c r="R707" i="34"/>
  <c r="AG707" i="34" s="1"/>
  <c r="A707" i="34"/>
  <c r="AP706" i="34"/>
  <c r="AR706" i="34" s="1"/>
  <c r="AO706" i="34"/>
  <c r="AQ706" i="34" s="1"/>
  <c r="AI706" i="34"/>
  <c r="AJ706" i="34" s="1"/>
  <c r="AE706" i="34"/>
  <c r="AS706" i="34" s="1"/>
  <c r="AD706" i="34"/>
  <c r="AC706" i="34"/>
  <c r="AB706" i="34"/>
  <c r="R706" i="34"/>
  <c r="AG706" i="34" s="1"/>
  <c r="AH706" i="34" s="1"/>
  <c r="A706" i="34"/>
  <c r="AP705" i="34"/>
  <c r="AR705" i="34" s="1"/>
  <c r="AO705" i="34"/>
  <c r="AQ705" i="34" s="1"/>
  <c r="AD705" i="34"/>
  <c r="AC705" i="34"/>
  <c r="AB705" i="34"/>
  <c r="R705" i="34"/>
  <c r="AH705" i="34" s="1"/>
  <c r="A705" i="34"/>
  <c r="AP704" i="34"/>
  <c r="AR704" i="34" s="1"/>
  <c r="AO704" i="34"/>
  <c r="AQ704" i="34" s="1"/>
  <c r="AS704" i="34"/>
  <c r="AD704" i="34"/>
  <c r="AC704" i="34"/>
  <c r="AB704" i="34"/>
  <c r="R704" i="34"/>
  <c r="AT704" i="34" s="1"/>
  <c r="A704" i="34"/>
  <c r="AP703" i="34"/>
  <c r="AR703" i="34" s="1"/>
  <c r="AO703" i="34"/>
  <c r="AQ703" i="34" s="1"/>
  <c r="AS703" i="34"/>
  <c r="AD703" i="34"/>
  <c r="AC703" i="34"/>
  <c r="AB703" i="34"/>
  <c r="R703" i="34"/>
  <c r="A703" i="34"/>
  <c r="AP702" i="34"/>
  <c r="AR702" i="34" s="1"/>
  <c r="AO702" i="34"/>
  <c r="AQ702" i="34" s="1"/>
  <c r="AD702" i="34"/>
  <c r="AC702" i="34"/>
  <c r="AB702" i="34"/>
  <c r="R702" i="34"/>
  <c r="A702" i="34"/>
  <c r="AP701" i="34"/>
  <c r="AR701" i="34" s="1"/>
  <c r="AO701" i="34"/>
  <c r="AQ701" i="34" s="1"/>
  <c r="AI701" i="34"/>
  <c r="AJ701" i="34" s="1"/>
  <c r="AD701" i="34"/>
  <c r="AC701" i="34"/>
  <c r="AB701" i="34"/>
  <c r="R701" i="34"/>
  <c r="AG701" i="34" s="1"/>
  <c r="AT701" i="34" s="1"/>
  <c r="A701" i="34"/>
  <c r="AP700" i="34"/>
  <c r="AR700" i="34" s="1"/>
  <c r="AO700" i="34"/>
  <c r="AQ700" i="34" s="1"/>
  <c r="AI700" i="34"/>
  <c r="AJ700" i="34" s="1"/>
  <c r="AD700" i="34"/>
  <c r="AC700" i="34"/>
  <c r="AB700" i="34"/>
  <c r="R700" i="34"/>
  <c r="AG700" i="34" s="1"/>
  <c r="AH700" i="34" s="1"/>
  <c r="A700" i="34"/>
  <c r="AP699" i="34"/>
  <c r="AR699" i="34" s="1"/>
  <c r="AO699" i="34"/>
  <c r="AQ699" i="34" s="1"/>
  <c r="AD699" i="34"/>
  <c r="AC699" i="34"/>
  <c r="AB699" i="34"/>
  <c r="R699" i="34"/>
  <c r="AG699" i="34" s="1"/>
  <c r="AT699" i="34" s="1"/>
  <c r="A699" i="34"/>
  <c r="AP698" i="34"/>
  <c r="AR698" i="34" s="1"/>
  <c r="AO698" i="34"/>
  <c r="AQ698" i="34" s="1"/>
  <c r="AD698" i="34"/>
  <c r="AC698" i="34"/>
  <c r="AB698" i="34"/>
  <c r="R698" i="34"/>
  <c r="A698" i="34"/>
  <c r="AP697" i="34"/>
  <c r="AR697" i="34" s="1"/>
  <c r="AO697" i="34"/>
  <c r="AQ697" i="34" s="1"/>
  <c r="AD697" i="34"/>
  <c r="AC697" i="34"/>
  <c r="AB697" i="34"/>
  <c r="R697" i="34"/>
  <c r="AH697" i="34" s="1"/>
  <c r="A697" i="34"/>
  <c r="AP696" i="34"/>
  <c r="AR696" i="34" s="1"/>
  <c r="AO696" i="34"/>
  <c r="AQ696" i="34" s="1"/>
  <c r="AI696" i="34"/>
  <c r="AJ696" i="34" s="1"/>
  <c r="AD696" i="34"/>
  <c r="AC696" i="34"/>
  <c r="AB696" i="34"/>
  <c r="R696" i="34"/>
  <c r="AG696" i="34" s="1"/>
  <c r="A696" i="34"/>
  <c r="AP695" i="34"/>
  <c r="AR695" i="34" s="1"/>
  <c r="AO695" i="34"/>
  <c r="AQ695" i="34" s="1"/>
  <c r="AI695" i="34"/>
  <c r="AJ695" i="34" s="1"/>
  <c r="AS695" i="34"/>
  <c r="AD695" i="34"/>
  <c r="AC695" i="34"/>
  <c r="AB695" i="34"/>
  <c r="R695" i="34"/>
  <c r="AG695" i="34" s="1"/>
  <c r="AH695" i="34" s="1"/>
  <c r="A695" i="34"/>
  <c r="AP694" i="34"/>
  <c r="AR694" i="34" s="1"/>
  <c r="AO694" i="34"/>
  <c r="AQ694" i="34" s="1"/>
  <c r="AI694" i="34"/>
  <c r="AJ694" i="34" s="1"/>
  <c r="AS694" i="34"/>
  <c r="AD694" i="34"/>
  <c r="AC694" i="34"/>
  <c r="AB694" i="34"/>
  <c r="R694" i="34"/>
  <c r="AG694" i="34" s="1"/>
  <c r="A694" i="34"/>
  <c r="AP693" i="34"/>
  <c r="AR693" i="34" s="1"/>
  <c r="AO693" i="34"/>
  <c r="AQ693" i="34" s="1"/>
  <c r="AS693" i="34"/>
  <c r="AD693" i="34"/>
  <c r="AC693" i="34"/>
  <c r="AB693" i="34"/>
  <c r="R693" i="34"/>
  <c r="AG693" i="34" s="1"/>
  <c r="AH693" i="34" s="1"/>
  <c r="A693" i="34"/>
  <c r="AP692" i="34"/>
  <c r="AR692" i="34" s="1"/>
  <c r="AO692" i="34"/>
  <c r="AQ692" i="34" s="1"/>
  <c r="AI692" i="34"/>
  <c r="AJ692" i="34" s="1"/>
  <c r="AS692" i="34"/>
  <c r="AD692" i="34"/>
  <c r="AC692" i="34"/>
  <c r="AB692" i="34"/>
  <c r="R692" i="34"/>
  <c r="AG692" i="34" s="1"/>
  <c r="AH692" i="34" s="1"/>
  <c r="A692" i="34"/>
  <c r="AP691" i="34"/>
  <c r="AR691" i="34" s="1"/>
  <c r="AO691" i="34"/>
  <c r="AQ691" i="34" s="1"/>
  <c r="AS691" i="34"/>
  <c r="AD691" i="34"/>
  <c r="AC691" i="34"/>
  <c r="AB691" i="34"/>
  <c r="R691" i="34"/>
  <c r="AG691" i="34" s="1"/>
  <c r="AT691" i="34" s="1"/>
  <c r="A691" i="34"/>
  <c r="AP690" i="34"/>
  <c r="AR690" i="34" s="1"/>
  <c r="AO690" i="34"/>
  <c r="AQ690" i="34" s="1"/>
  <c r="AD690" i="34"/>
  <c r="AC690" i="34"/>
  <c r="AB690" i="34"/>
  <c r="R690" i="34"/>
  <c r="AG690" i="34" s="1"/>
  <c r="A690" i="34"/>
  <c r="AP689" i="34"/>
  <c r="AR689" i="34" s="1"/>
  <c r="AO689" i="34"/>
  <c r="AQ689" i="34" s="1"/>
  <c r="AI689" i="34"/>
  <c r="AS689" i="34"/>
  <c r="AD689" i="34"/>
  <c r="AC689" i="34"/>
  <c r="AB689" i="34"/>
  <c r="R689" i="34"/>
  <c r="AG689" i="34" s="1"/>
  <c r="AT689" i="34" s="1"/>
  <c r="A689" i="34"/>
  <c r="AP688" i="34"/>
  <c r="AR688" i="34" s="1"/>
  <c r="AO688" i="34"/>
  <c r="AQ688" i="34" s="1"/>
  <c r="AF688" i="34"/>
  <c r="AD688" i="34"/>
  <c r="AC688" i="34"/>
  <c r="AB688" i="34"/>
  <c r="R688" i="34"/>
  <c r="AG688" i="34" s="1"/>
  <c r="AH688" i="34" s="1"/>
  <c r="A688" i="34"/>
  <c r="AP687" i="34"/>
  <c r="AR687" i="34" s="1"/>
  <c r="AO687" i="34"/>
  <c r="AQ687" i="34" s="1"/>
  <c r="AD687" i="34"/>
  <c r="AC687" i="34"/>
  <c r="AB687" i="34"/>
  <c r="R687" i="34"/>
  <c r="AG687" i="34" s="1"/>
  <c r="A687" i="34"/>
  <c r="AP686" i="34"/>
  <c r="AR686" i="34" s="1"/>
  <c r="AO686" i="34"/>
  <c r="AQ686" i="34" s="1"/>
  <c r="AI686" i="34"/>
  <c r="AJ686" i="34" s="1"/>
  <c r="AF686" i="34"/>
  <c r="AD686" i="34"/>
  <c r="AC686" i="34"/>
  <c r="AB686" i="34"/>
  <c r="R686" i="34"/>
  <c r="AG686" i="34" s="1"/>
  <c r="A686" i="34"/>
  <c r="AP685" i="34"/>
  <c r="AR685" i="34" s="1"/>
  <c r="AO685" i="34"/>
  <c r="AQ685" i="34" s="1"/>
  <c r="AE685" i="34"/>
  <c r="AD685" i="34"/>
  <c r="AC685" i="34"/>
  <c r="AB685" i="34"/>
  <c r="R685" i="34"/>
  <c r="A685" i="34"/>
  <c r="AP684" i="34"/>
  <c r="AR684" i="34" s="1"/>
  <c r="AO684" i="34"/>
  <c r="AQ684" i="34" s="1"/>
  <c r="AD684" i="34"/>
  <c r="AC684" i="34"/>
  <c r="AB684" i="34"/>
  <c r="R684" i="34"/>
  <c r="A684" i="34"/>
  <c r="AP683" i="34"/>
  <c r="AR683" i="34" s="1"/>
  <c r="AO683" i="34"/>
  <c r="AQ683" i="34" s="1"/>
  <c r="AE683" i="34"/>
  <c r="AD683" i="34"/>
  <c r="AC683" i="34"/>
  <c r="AB683" i="34"/>
  <c r="R683" i="34"/>
  <c r="AH683" i="34" s="1"/>
  <c r="A683" i="34"/>
  <c r="AP682" i="34"/>
  <c r="AR682" i="34" s="1"/>
  <c r="AO682" i="34"/>
  <c r="AQ682" i="34" s="1"/>
  <c r="AI682" i="34"/>
  <c r="AD682" i="34"/>
  <c r="AC682" i="34"/>
  <c r="AB682" i="34"/>
  <c r="R682" i="34"/>
  <c r="AG682" i="34" s="1"/>
  <c r="A682" i="34"/>
  <c r="AP681" i="34"/>
  <c r="AR681" i="34" s="1"/>
  <c r="AO681" i="34"/>
  <c r="AQ681" i="34" s="1"/>
  <c r="AI681" i="34"/>
  <c r="AJ681" i="34" s="1"/>
  <c r="AS681" i="34"/>
  <c r="AD681" i="34"/>
  <c r="AC681" i="34"/>
  <c r="AB681" i="34"/>
  <c r="R681" i="34"/>
  <c r="AG681" i="34" s="1"/>
  <c r="A681" i="34"/>
  <c r="AP680" i="34"/>
  <c r="AR680" i="34" s="1"/>
  <c r="AO680" i="34"/>
  <c r="AQ680" i="34" s="1"/>
  <c r="AI680" i="34"/>
  <c r="AD680" i="34"/>
  <c r="AC680" i="34"/>
  <c r="AB680" i="34"/>
  <c r="R680" i="34"/>
  <c r="AG680" i="34" s="1"/>
  <c r="AH680" i="34" s="1"/>
  <c r="A680" i="34"/>
  <c r="AP679" i="34"/>
  <c r="AR679" i="34" s="1"/>
  <c r="AO679" i="34"/>
  <c r="AQ679" i="34" s="1"/>
  <c r="AF679" i="34"/>
  <c r="AD679" i="34"/>
  <c r="AC679" i="34"/>
  <c r="AB679" i="34"/>
  <c r="R679" i="34"/>
  <c r="AT679" i="34" s="1"/>
  <c r="A679" i="34"/>
  <c r="AP678" i="34"/>
  <c r="AR678" i="34" s="1"/>
  <c r="AO678" i="34"/>
  <c r="AQ678" i="34" s="1"/>
  <c r="AD678" i="34"/>
  <c r="AC678" i="34"/>
  <c r="AB678" i="34"/>
  <c r="R678" i="34"/>
  <c r="AH678" i="34" s="1"/>
  <c r="A678" i="34"/>
  <c r="AP677" i="34"/>
  <c r="AR677" i="34" s="1"/>
  <c r="AO677" i="34"/>
  <c r="AQ677" i="34" s="1"/>
  <c r="AI677" i="34"/>
  <c r="AJ677" i="34" s="1"/>
  <c r="AS677" i="34"/>
  <c r="AD677" i="34"/>
  <c r="AC677" i="34"/>
  <c r="AB677" i="34"/>
  <c r="R677" i="34"/>
  <c r="AG677" i="34" s="1"/>
  <c r="A677" i="34"/>
  <c r="AP676" i="34"/>
  <c r="AR676" i="34" s="1"/>
  <c r="AO676" i="34"/>
  <c r="AQ676" i="34" s="1"/>
  <c r="AI676" i="34"/>
  <c r="AJ676" i="34" s="1"/>
  <c r="AS676" i="34"/>
  <c r="AD676" i="34"/>
  <c r="AC676" i="34"/>
  <c r="AB676" i="34"/>
  <c r="R676" i="34"/>
  <c r="AG676" i="34" s="1"/>
  <c r="A676" i="34"/>
  <c r="AP675" i="34"/>
  <c r="AR675" i="34" s="1"/>
  <c r="AO675" i="34"/>
  <c r="AQ675" i="34" s="1"/>
  <c r="AI675" i="34"/>
  <c r="AF675" i="34"/>
  <c r="AD675" i="34"/>
  <c r="AC675" i="34"/>
  <c r="AB675" i="34"/>
  <c r="R675" i="34"/>
  <c r="AG675" i="34" s="1"/>
  <c r="AH675" i="34" s="1"/>
  <c r="A675" i="34"/>
  <c r="AP674" i="34"/>
  <c r="AR674" i="34" s="1"/>
  <c r="AO674" i="34"/>
  <c r="AQ674" i="34" s="1"/>
  <c r="AS674" i="34"/>
  <c r="AD674" i="34"/>
  <c r="AC674" i="34"/>
  <c r="AB674" i="34"/>
  <c r="R674" i="34"/>
  <c r="AH674" i="34" s="1"/>
  <c r="A674" i="34"/>
  <c r="AP673" i="34"/>
  <c r="AR673" i="34" s="1"/>
  <c r="AO673" i="34"/>
  <c r="AQ673" i="34" s="1"/>
  <c r="AI673" i="34"/>
  <c r="AJ673" i="34" s="1"/>
  <c r="AS673" i="34"/>
  <c r="AD673" i="34"/>
  <c r="AC673" i="34"/>
  <c r="AB673" i="34"/>
  <c r="R673" i="34"/>
  <c r="AG673" i="34" s="1"/>
  <c r="AT673" i="34" s="1"/>
  <c r="A673" i="34"/>
  <c r="AP672" i="34"/>
  <c r="AR672" i="34" s="1"/>
  <c r="AO672" i="34"/>
  <c r="AQ672" i="34" s="1"/>
  <c r="AI672" i="34"/>
  <c r="AD672" i="34"/>
  <c r="AC672" i="34"/>
  <c r="AB672" i="34"/>
  <c r="R672" i="34"/>
  <c r="AG672" i="34" s="1"/>
  <c r="A672" i="34"/>
  <c r="AP671" i="34"/>
  <c r="AR671" i="34" s="1"/>
  <c r="AO671" i="34"/>
  <c r="AQ671" i="34" s="1"/>
  <c r="AI671" i="34"/>
  <c r="AJ671" i="34" s="1"/>
  <c r="AF671" i="34"/>
  <c r="AD671" i="34"/>
  <c r="AC671" i="34"/>
  <c r="AB671" i="34"/>
  <c r="R671" i="34"/>
  <c r="AG671" i="34" s="1"/>
  <c r="A671" i="34"/>
  <c r="AP670" i="34"/>
  <c r="AR670" i="34" s="1"/>
  <c r="AO670" i="34"/>
  <c r="AQ670" i="34" s="1"/>
  <c r="AI670" i="34"/>
  <c r="AJ670" i="34" s="1"/>
  <c r="AS670" i="34"/>
  <c r="AD670" i="34"/>
  <c r="AC670" i="34"/>
  <c r="AB670" i="34"/>
  <c r="R670" i="34"/>
  <c r="AT670" i="34" s="1"/>
  <c r="A670" i="34"/>
  <c r="AP669" i="34"/>
  <c r="AR669" i="34" s="1"/>
  <c r="AO669" i="34"/>
  <c r="AQ669" i="34" s="1"/>
  <c r="AI669" i="34"/>
  <c r="AJ669" i="34" s="1"/>
  <c r="AF669" i="34"/>
  <c r="AD669" i="34"/>
  <c r="AC669" i="34"/>
  <c r="AB669" i="34"/>
  <c r="R669" i="34"/>
  <c r="AG669" i="34" s="1"/>
  <c r="A669" i="34"/>
  <c r="AP668" i="34"/>
  <c r="AR668" i="34" s="1"/>
  <c r="AO668" i="34"/>
  <c r="AQ668" i="34" s="1"/>
  <c r="AI668" i="34"/>
  <c r="AJ668" i="34" s="1"/>
  <c r="AD668" i="34"/>
  <c r="AC668" i="34"/>
  <c r="AB668" i="34"/>
  <c r="R668" i="34"/>
  <c r="AG668" i="34" s="1"/>
  <c r="AH668" i="34" s="1"/>
  <c r="A668" i="34"/>
  <c r="AP667" i="34"/>
  <c r="AR667" i="34" s="1"/>
  <c r="AO667" i="34"/>
  <c r="AQ667" i="34" s="1"/>
  <c r="AI667" i="34"/>
  <c r="AD667" i="34"/>
  <c r="AC667" i="34"/>
  <c r="AB667" i="34"/>
  <c r="R667" i="34"/>
  <c r="AG667" i="34" s="1"/>
  <c r="AT667" i="34" s="1"/>
  <c r="A667" i="34"/>
  <c r="AP666" i="34"/>
  <c r="AR666" i="34" s="1"/>
  <c r="AO666" i="34"/>
  <c r="AQ666" i="34" s="1"/>
  <c r="AE666" i="34"/>
  <c r="AF666" i="34" s="1"/>
  <c r="AD666" i="34"/>
  <c r="AC666" i="34"/>
  <c r="AB666" i="34"/>
  <c r="R666" i="34"/>
  <c r="AH666" i="34" s="1"/>
  <c r="A666" i="34"/>
  <c r="AP665" i="34"/>
  <c r="AR665" i="34" s="1"/>
  <c r="AO665" i="34"/>
  <c r="AQ665" i="34" s="1"/>
  <c r="AI665" i="34"/>
  <c r="AJ665" i="34" s="1"/>
  <c r="AD665" i="34"/>
  <c r="AC665" i="34"/>
  <c r="AB665" i="34"/>
  <c r="R665" i="34"/>
  <c r="AG665" i="34" s="1"/>
  <c r="AH665" i="34" s="1"/>
  <c r="A665" i="34"/>
  <c r="AP664" i="34"/>
  <c r="AR664" i="34" s="1"/>
  <c r="AO664" i="34"/>
  <c r="AQ664" i="34" s="1"/>
  <c r="AI664" i="34"/>
  <c r="AJ664" i="34" s="1"/>
  <c r="AS664" i="34"/>
  <c r="AD664" i="34"/>
  <c r="AC664" i="34"/>
  <c r="AB664" i="34"/>
  <c r="R664" i="34"/>
  <c r="AG664" i="34" s="1"/>
  <c r="A664" i="34"/>
  <c r="AP663" i="34"/>
  <c r="AR663" i="34" s="1"/>
  <c r="AO663" i="34"/>
  <c r="AQ663" i="34" s="1"/>
  <c r="AI663" i="34"/>
  <c r="AJ663" i="34" s="1"/>
  <c r="AE663" i="34"/>
  <c r="AS663" i="34" s="1"/>
  <c r="AD663" i="34"/>
  <c r="AC663" i="34"/>
  <c r="AB663" i="34"/>
  <c r="R663" i="34"/>
  <c r="A663" i="34"/>
  <c r="AP662" i="34"/>
  <c r="AR662" i="34" s="1"/>
  <c r="AO662" i="34"/>
  <c r="AQ662" i="34" s="1"/>
  <c r="AI662" i="34"/>
  <c r="AJ662" i="34" s="1"/>
  <c r="AE662" i="34"/>
  <c r="AF662" i="34" s="1"/>
  <c r="AD662" i="34"/>
  <c r="AC662" i="34"/>
  <c r="AB662" i="34"/>
  <c r="R662" i="34"/>
  <c r="AG662" i="34" s="1"/>
  <c r="A662" i="34"/>
  <c r="AP661" i="34"/>
  <c r="AR661" i="34" s="1"/>
  <c r="AO661" i="34"/>
  <c r="AQ661" i="34" s="1"/>
  <c r="AI661" i="34"/>
  <c r="AJ661" i="34" s="1"/>
  <c r="AE661" i="34"/>
  <c r="AS661" i="34" s="1"/>
  <c r="AD661" i="34"/>
  <c r="AC661" i="34"/>
  <c r="AB661" i="34"/>
  <c r="R661" i="34"/>
  <c r="AG661" i="34" s="1"/>
  <c r="A661" i="34"/>
  <c r="AP660" i="34"/>
  <c r="AR660" i="34" s="1"/>
  <c r="AO660" i="34"/>
  <c r="AQ660" i="34" s="1"/>
  <c r="AI660" i="34"/>
  <c r="AJ660" i="34" s="1"/>
  <c r="AF660" i="34"/>
  <c r="AD660" i="34"/>
  <c r="AC660" i="34"/>
  <c r="AB660" i="34"/>
  <c r="R660" i="34"/>
  <c r="AG660" i="34" s="1"/>
  <c r="A660" i="34"/>
  <c r="AP659" i="34"/>
  <c r="AR659" i="34" s="1"/>
  <c r="AO659" i="34"/>
  <c r="AQ659" i="34" s="1"/>
  <c r="AI659" i="34"/>
  <c r="AJ659" i="34" s="1"/>
  <c r="AS659" i="34"/>
  <c r="AD659" i="34"/>
  <c r="AC659" i="34"/>
  <c r="AB659" i="34"/>
  <c r="R659" i="34"/>
  <c r="AG659" i="34" s="1"/>
  <c r="AT659" i="34" s="1"/>
  <c r="A659" i="34"/>
  <c r="AP658" i="34"/>
  <c r="AR658" i="34" s="1"/>
  <c r="AO658" i="34"/>
  <c r="AQ658" i="34" s="1"/>
  <c r="AI658" i="34"/>
  <c r="AJ658" i="34" s="1"/>
  <c r="AF658" i="34"/>
  <c r="AD658" i="34"/>
  <c r="AC658" i="34"/>
  <c r="AB658" i="34"/>
  <c r="R658" i="34"/>
  <c r="AG658" i="34" s="1"/>
  <c r="A658" i="34"/>
  <c r="AP657" i="34"/>
  <c r="AR657" i="34" s="1"/>
  <c r="AO657" i="34"/>
  <c r="AQ657" i="34" s="1"/>
  <c r="AI657" i="34"/>
  <c r="AJ657" i="34" s="1"/>
  <c r="AD657" i="34"/>
  <c r="AC657" i="34"/>
  <c r="AB657" i="34"/>
  <c r="R657" i="34"/>
  <c r="AG657" i="34" s="1"/>
  <c r="AH657" i="34" s="1"/>
  <c r="A657" i="34"/>
  <c r="AP656" i="34"/>
  <c r="AR656" i="34" s="1"/>
  <c r="AO656" i="34"/>
  <c r="AQ656" i="34" s="1"/>
  <c r="AI656" i="34"/>
  <c r="AJ656" i="34" s="1"/>
  <c r="AE656" i="34"/>
  <c r="AS656" i="34" s="1"/>
  <c r="AD656" i="34"/>
  <c r="AC656" i="34"/>
  <c r="AB656" i="34"/>
  <c r="R656" i="34"/>
  <c r="AG656" i="34" s="1"/>
  <c r="A656" i="34"/>
  <c r="AP655" i="34"/>
  <c r="AR655" i="34" s="1"/>
  <c r="AO655" i="34"/>
  <c r="AQ655" i="34" s="1"/>
  <c r="AI655" i="34"/>
  <c r="AJ655" i="34" s="1"/>
  <c r="AS655" i="34"/>
  <c r="AD655" i="34"/>
  <c r="AC655" i="34"/>
  <c r="AB655" i="34"/>
  <c r="R655" i="34"/>
  <c r="AG655" i="34" s="1"/>
  <c r="AT655" i="34" s="1"/>
  <c r="A655" i="34"/>
  <c r="AP654" i="34"/>
  <c r="AR654" i="34" s="1"/>
  <c r="AO654" i="34"/>
  <c r="AQ654" i="34" s="1"/>
  <c r="AI654" i="34"/>
  <c r="AJ654" i="34" s="1"/>
  <c r="AS654" i="34"/>
  <c r="AD654" i="34"/>
  <c r="AC654" i="34"/>
  <c r="AB654" i="34"/>
  <c r="R654" i="34"/>
  <c r="AG654" i="34" s="1"/>
  <c r="AH654" i="34" s="1"/>
  <c r="A654" i="34"/>
  <c r="AP653" i="34"/>
  <c r="AR653" i="34" s="1"/>
  <c r="AO653" i="34"/>
  <c r="AQ653" i="34" s="1"/>
  <c r="AI653" i="34"/>
  <c r="AJ653" i="34" s="1"/>
  <c r="AD653" i="34"/>
  <c r="AC653" i="34"/>
  <c r="AB653" i="34"/>
  <c r="R653" i="34"/>
  <c r="AG653" i="34" s="1"/>
  <c r="AH653" i="34" s="1"/>
  <c r="A653" i="34"/>
  <c r="AP652" i="34"/>
  <c r="AR652" i="34" s="1"/>
  <c r="AO652" i="34"/>
  <c r="AQ652" i="34" s="1"/>
  <c r="AI652" i="34"/>
  <c r="AF652" i="34"/>
  <c r="AD652" i="34"/>
  <c r="AC652" i="34"/>
  <c r="AB652" i="34"/>
  <c r="R652" i="34"/>
  <c r="AG652" i="34" s="1"/>
  <c r="A652" i="34"/>
  <c r="AP651" i="34"/>
  <c r="AR651" i="34" s="1"/>
  <c r="AO651" i="34"/>
  <c r="AQ651" i="34" s="1"/>
  <c r="AI651" i="34"/>
  <c r="AS651" i="34"/>
  <c r="AD651" i="34"/>
  <c r="AC651" i="34"/>
  <c r="AB651" i="34"/>
  <c r="R651" i="34"/>
  <c r="AG651" i="34" s="1"/>
  <c r="AT651" i="34" s="1"/>
  <c r="A651" i="34"/>
  <c r="AP650" i="34"/>
  <c r="AR650" i="34" s="1"/>
  <c r="AO650" i="34"/>
  <c r="AQ650" i="34" s="1"/>
  <c r="AI650" i="34"/>
  <c r="AJ650" i="34" s="1"/>
  <c r="AE650" i="34"/>
  <c r="AF650" i="34" s="1"/>
  <c r="AD650" i="34"/>
  <c r="AC650" i="34"/>
  <c r="AB650" i="34"/>
  <c r="R650" i="34"/>
  <c r="AG650" i="34" s="1"/>
  <c r="AH650" i="34" s="1"/>
  <c r="A650" i="34"/>
  <c r="AP649" i="34"/>
  <c r="AR649" i="34" s="1"/>
  <c r="AO649" i="34"/>
  <c r="AQ649" i="34" s="1"/>
  <c r="AS649" i="34"/>
  <c r="AD649" i="34"/>
  <c r="AC649" i="34"/>
  <c r="AB649" i="34"/>
  <c r="R649" i="34"/>
  <c r="AG649" i="34" s="1"/>
  <c r="AT649" i="34" s="1"/>
  <c r="A649" i="34"/>
  <c r="AP648" i="34"/>
  <c r="AR648" i="34" s="1"/>
  <c r="AO648" i="34"/>
  <c r="AQ648" i="34" s="1"/>
  <c r="AI648" i="34"/>
  <c r="AJ648" i="34" s="1"/>
  <c r="AE648" i="34"/>
  <c r="AS648" i="34" s="1"/>
  <c r="AD648" i="34"/>
  <c r="AC648" i="34"/>
  <c r="AB648" i="34"/>
  <c r="R648" i="34"/>
  <c r="AG648" i="34" s="1"/>
  <c r="AT648" i="34" s="1"/>
  <c r="A648" i="34"/>
  <c r="AP647" i="34"/>
  <c r="AR647" i="34" s="1"/>
  <c r="AO647" i="34"/>
  <c r="AQ647" i="34" s="1"/>
  <c r="AS647" i="34"/>
  <c r="AD647" i="34"/>
  <c r="AC647" i="34"/>
  <c r="AB647" i="34"/>
  <c r="R647" i="34"/>
  <c r="AI647" i="34" s="1"/>
  <c r="A647" i="34"/>
  <c r="AP646" i="34"/>
  <c r="AR646" i="34" s="1"/>
  <c r="AO646" i="34"/>
  <c r="AQ646" i="34" s="1"/>
  <c r="AD646" i="34"/>
  <c r="AC646" i="34"/>
  <c r="AB646" i="34"/>
  <c r="R646" i="34"/>
  <c r="AH646" i="34" s="1"/>
  <c r="A646" i="34"/>
  <c r="AP645" i="34"/>
  <c r="AR645" i="34" s="1"/>
  <c r="AO645" i="34"/>
  <c r="AQ645" i="34" s="1"/>
  <c r="AE645" i="34"/>
  <c r="AF645" i="34" s="1"/>
  <c r="AD645" i="34"/>
  <c r="AC645" i="34"/>
  <c r="AB645" i="34"/>
  <c r="R645" i="34"/>
  <c r="A645" i="34"/>
  <c r="AP644" i="34"/>
  <c r="AR644" i="34" s="1"/>
  <c r="AO644" i="34"/>
  <c r="AQ644" i="34" s="1"/>
  <c r="AE644" i="34"/>
  <c r="AD644" i="34"/>
  <c r="AC644" i="34"/>
  <c r="AB644" i="34"/>
  <c r="R644" i="34"/>
  <c r="AG644" i="34" s="1"/>
  <c r="A644" i="34"/>
  <c r="AP643" i="34"/>
  <c r="AR643" i="34" s="1"/>
  <c r="AO643" i="34"/>
  <c r="AQ643" i="34" s="1"/>
  <c r="AF643" i="34"/>
  <c r="AD643" i="34"/>
  <c r="AC643" i="34"/>
  <c r="AB643" i="34"/>
  <c r="R643" i="34"/>
  <c r="A643" i="34"/>
  <c r="AP642" i="34"/>
  <c r="AR642" i="34" s="1"/>
  <c r="AO642" i="34"/>
  <c r="AQ642" i="34" s="1"/>
  <c r="AE642" i="34"/>
  <c r="AF642" i="34" s="1"/>
  <c r="AD642" i="34"/>
  <c r="AC642" i="34"/>
  <c r="AB642" i="34"/>
  <c r="R642" i="34"/>
  <c r="AG642" i="34" s="1"/>
  <c r="A642" i="34"/>
  <c r="AP641" i="34"/>
  <c r="AR641" i="34" s="1"/>
  <c r="AO641" i="34"/>
  <c r="AQ641" i="34" s="1"/>
  <c r="AF641" i="34"/>
  <c r="AD641" i="34"/>
  <c r="AC641" i="34"/>
  <c r="AB641" i="34"/>
  <c r="R641" i="34"/>
  <c r="A641" i="34"/>
  <c r="AP640" i="34"/>
  <c r="AR640" i="34" s="1"/>
  <c r="AO640" i="34"/>
  <c r="AQ640" i="34" s="1"/>
  <c r="AF640" i="34"/>
  <c r="AD640" i="34"/>
  <c r="AC640" i="34"/>
  <c r="AB640" i="34"/>
  <c r="R640" i="34"/>
  <c r="A640" i="34"/>
  <c r="AP639" i="34"/>
  <c r="AR639" i="34" s="1"/>
  <c r="AO639" i="34"/>
  <c r="AQ639" i="34" s="1"/>
  <c r="AM639" i="34"/>
  <c r="AV639" i="34" s="1"/>
  <c r="AF639" i="34"/>
  <c r="AD639" i="34"/>
  <c r="AC639" i="34"/>
  <c r="AB639" i="34"/>
  <c r="R639" i="34"/>
  <c r="AG639" i="34" s="1"/>
  <c r="A639" i="34"/>
  <c r="AP638" i="34"/>
  <c r="AR638" i="34" s="1"/>
  <c r="AO638" i="34"/>
  <c r="AQ638" i="34" s="1"/>
  <c r="AF638" i="34"/>
  <c r="AD638" i="34"/>
  <c r="AC638" i="34"/>
  <c r="AB638" i="34"/>
  <c r="R638" i="34"/>
  <c r="AI638" i="34" s="1"/>
  <c r="AJ638" i="34" s="1"/>
  <c r="A638" i="34"/>
  <c r="AP637" i="34"/>
  <c r="AR637" i="34" s="1"/>
  <c r="AO637" i="34"/>
  <c r="AQ637" i="34" s="1"/>
  <c r="AE637" i="34"/>
  <c r="AF637" i="34" s="1"/>
  <c r="AD637" i="34"/>
  <c r="AC637" i="34"/>
  <c r="AB637" i="34"/>
  <c r="R637" i="34"/>
  <c r="AG637" i="34" s="1"/>
  <c r="AI637" i="34" s="1"/>
  <c r="A637" i="34"/>
  <c r="AP636" i="34"/>
  <c r="AR636" i="34" s="1"/>
  <c r="AO636" i="34"/>
  <c r="AQ636" i="34" s="1"/>
  <c r="AF636" i="34"/>
  <c r="AD636" i="34"/>
  <c r="AC636" i="34"/>
  <c r="AB636" i="34"/>
  <c r="R636" i="34"/>
  <c r="A636" i="34"/>
  <c r="AP635" i="34"/>
  <c r="AR635" i="34" s="1"/>
  <c r="AO635" i="34"/>
  <c r="AQ635" i="34" s="1"/>
  <c r="AD635" i="34"/>
  <c r="AC635" i="34"/>
  <c r="AB635" i="34"/>
  <c r="R635" i="34"/>
  <c r="AG635" i="34" s="1"/>
  <c r="A635" i="34"/>
  <c r="AP634" i="34"/>
  <c r="AR634" i="34" s="1"/>
  <c r="AO634" i="34"/>
  <c r="AQ634" i="34" s="1"/>
  <c r="AE634" i="34"/>
  <c r="AF634" i="34" s="1"/>
  <c r="AD634" i="34"/>
  <c r="AC634" i="34"/>
  <c r="AB634" i="34"/>
  <c r="R634" i="34"/>
  <c r="A634" i="34"/>
  <c r="AP633" i="34"/>
  <c r="AR633" i="34" s="1"/>
  <c r="AO633" i="34"/>
  <c r="AQ633" i="34" s="1"/>
  <c r="AF633" i="34"/>
  <c r="AD633" i="34"/>
  <c r="AC633" i="34"/>
  <c r="AB633" i="34"/>
  <c r="R633" i="34"/>
  <c r="A633" i="34"/>
  <c r="AP632" i="34"/>
  <c r="AR632" i="34" s="1"/>
  <c r="AO632" i="34"/>
  <c r="AQ632" i="34" s="1"/>
  <c r="AF632" i="34"/>
  <c r="AD632" i="34"/>
  <c r="AC632" i="34"/>
  <c r="AB632" i="34"/>
  <c r="R632" i="34"/>
  <c r="A632" i="34"/>
  <c r="AP631" i="34"/>
  <c r="AR631" i="34" s="1"/>
  <c r="AO631" i="34"/>
  <c r="AQ631" i="34" s="1"/>
  <c r="AI631" i="34"/>
  <c r="AJ631" i="34" s="1"/>
  <c r="AF631" i="34"/>
  <c r="AD631" i="34"/>
  <c r="AC631" i="34"/>
  <c r="AB631" i="34"/>
  <c r="R631" i="34"/>
  <c r="A631" i="34"/>
  <c r="AP630" i="34"/>
  <c r="AR630" i="34" s="1"/>
  <c r="AO630" i="34"/>
  <c r="AQ630" i="34" s="1"/>
  <c r="AI630" i="34"/>
  <c r="AS630" i="34"/>
  <c r="AD630" i="34"/>
  <c r="AC630" i="34"/>
  <c r="AB630" i="34"/>
  <c r="R630" i="34"/>
  <c r="A630" i="34"/>
  <c r="AP629" i="34"/>
  <c r="AR629" i="34" s="1"/>
  <c r="AO629" i="34"/>
  <c r="AQ629" i="34" s="1"/>
  <c r="AI629" i="34"/>
  <c r="AJ629" i="34" s="1"/>
  <c r="AS629" i="34"/>
  <c r="AD629" i="34"/>
  <c r="AC629" i="34"/>
  <c r="AB629" i="34"/>
  <c r="R629" i="34"/>
  <c r="AG629" i="34" s="1"/>
  <c r="AH629" i="34" s="1"/>
  <c r="A629" i="34"/>
  <c r="AP628" i="34"/>
  <c r="AR628" i="34" s="1"/>
  <c r="AO628" i="34"/>
  <c r="AQ628" i="34" s="1"/>
  <c r="AI628" i="34"/>
  <c r="AE628" i="34"/>
  <c r="AF628" i="34" s="1"/>
  <c r="AD628" i="34"/>
  <c r="AC628" i="34"/>
  <c r="AB628" i="34"/>
  <c r="R628" i="34"/>
  <c r="AG628" i="34" s="1"/>
  <c r="A628" i="34"/>
  <c r="AP627" i="34"/>
  <c r="AR627" i="34" s="1"/>
  <c r="AO627" i="34"/>
  <c r="AQ627" i="34" s="1"/>
  <c r="AI627" i="34"/>
  <c r="AF627" i="34"/>
  <c r="AD627" i="34"/>
  <c r="AC627" i="34"/>
  <c r="AB627" i="34"/>
  <c r="R627" i="34"/>
  <c r="AG627" i="34" s="1"/>
  <c r="A627" i="34"/>
  <c r="AP626" i="34"/>
  <c r="AR626" i="34" s="1"/>
  <c r="AO626" i="34"/>
  <c r="AQ626" i="34" s="1"/>
  <c r="AE626" i="34"/>
  <c r="AF626" i="34" s="1"/>
  <c r="AD626" i="34"/>
  <c r="AC626" i="34"/>
  <c r="AB626" i="34"/>
  <c r="R626" i="34"/>
  <c r="AT626" i="34" s="1"/>
  <c r="A626" i="34"/>
  <c r="AP625" i="34"/>
  <c r="AR625" i="34" s="1"/>
  <c r="AO625" i="34"/>
  <c r="AQ625" i="34" s="1"/>
  <c r="AI625" i="34"/>
  <c r="AJ625" i="34" s="1"/>
  <c r="AF625" i="34"/>
  <c r="AD625" i="34"/>
  <c r="AC625" i="34"/>
  <c r="AB625" i="34"/>
  <c r="R625" i="34"/>
  <c r="AG625" i="34" s="1"/>
  <c r="A625" i="34"/>
  <c r="AP624" i="34"/>
  <c r="AR624" i="34" s="1"/>
  <c r="AO624" i="34"/>
  <c r="AQ624" i="34" s="1"/>
  <c r="AF624" i="34"/>
  <c r="AD624" i="34"/>
  <c r="AC624" i="34"/>
  <c r="AB624" i="34"/>
  <c r="R624" i="34"/>
  <c r="AG624" i="34" s="1"/>
  <c r="A624" i="34"/>
  <c r="AP623" i="34"/>
  <c r="AR623" i="34" s="1"/>
  <c r="AO623" i="34"/>
  <c r="AQ623" i="34" s="1"/>
  <c r="AI623" i="34"/>
  <c r="AJ623" i="34" s="1"/>
  <c r="AF623" i="34"/>
  <c r="AD623" i="34"/>
  <c r="AC623" i="34"/>
  <c r="AB623" i="34"/>
  <c r="R623" i="34"/>
  <c r="AG623" i="34" s="1"/>
  <c r="A623" i="34"/>
  <c r="AP622" i="34"/>
  <c r="AR622" i="34" s="1"/>
  <c r="AO622" i="34"/>
  <c r="AQ622" i="34" s="1"/>
  <c r="AF622" i="34"/>
  <c r="AD622" i="34"/>
  <c r="AC622" i="34"/>
  <c r="AB622" i="34"/>
  <c r="R622" i="34"/>
  <c r="AG622" i="34" s="1"/>
  <c r="A622" i="34"/>
  <c r="AP621" i="34"/>
  <c r="AR621" i="34" s="1"/>
  <c r="AO621" i="34"/>
  <c r="AQ621" i="34" s="1"/>
  <c r="AF621" i="34"/>
  <c r="AD621" i="34"/>
  <c r="AC621" i="34"/>
  <c r="AB621" i="34"/>
  <c r="R621" i="34"/>
  <c r="A621" i="34"/>
  <c r="AP620" i="34"/>
  <c r="AR620" i="34" s="1"/>
  <c r="AO620" i="34"/>
  <c r="AQ620" i="34" s="1"/>
  <c r="AI620" i="34"/>
  <c r="AJ620" i="34" s="1"/>
  <c r="AF620" i="34"/>
  <c r="AD620" i="34"/>
  <c r="AC620" i="34"/>
  <c r="AB620" i="34"/>
  <c r="R620" i="34"/>
  <c r="AG620" i="34" s="1"/>
  <c r="A620" i="34"/>
  <c r="AP619" i="34"/>
  <c r="AR619" i="34" s="1"/>
  <c r="AO619" i="34"/>
  <c r="AQ619" i="34" s="1"/>
  <c r="AI619" i="34"/>
  <c r="AF619" i="34"/>
  <c r="AD619" i="34"/>
  <c r="AC619" i="34"/>
  <c r="AB619" i="34"/>
  <c r="R619" i="34"/>
  <c r="AG619" i="34" s="1"/>
  <c r="A619" i="34"/>
  <c r="AP618" i="34"/>
  <c r="AR618" i="34" s="1"/>
  <c r="AO618" i="34"/>
  <c r="AQ618" i="34" s="1"/>
  <c r="AI618" i="34"/>
  <c r="AJ618" i="34" s="1"/>
  <c r="AF618" i="34"/>
  <c r="AD618" i="34"/>
  <c r="AC618" i="34"/>
  <c r="AB618" i="34"/>
  <c r="R618" i="34"/>
  <c r="AG618" i="34" s="1"/>
  <c r="AT618" i="34" s="1"/>
  <c r="A618" i="34"/>
  <c r="AP617" i="34"/>
  <c r="AR617" i="34" s="1"/>
  <c r="AO617" i="34"/>
  <c r="AQ617" i="34" s="1"/>
  <c r="AF617" i="34"/>
  <c r="AD617" i="34"/>
  <c r="AC617" i="34"/>
  <c r="AB617" i="34"/>
  <c r="R617" i="34"/>
  <c r="AI617" i="34" s="1"/>
  <c r="AJ617" i="34" s="1"/>
  <c r="A617" i="34"/>
  <c r="AP616" i="34"/>
  <c r="AR616" i="34" s="1"/>
  <c r="AO616" i="34"/>
  <c r="AQ616" i="34" s="1"/>
  <c r="AI616" i="34"/>
  <c r="AJ616" i="34" s="1"/>
  <c r="AF616" i="34"/>
  <c r="AD616" i="34"/>
  <c r="AC616" i="34"/>
  <c r="AB616" i="34"/>
  <c r="R616" i="34"/>
  <c r="AG616" i="34" s="1"/>
  <c r="A616" i="34"/>
  <c r="AP615" i="34"/>
  <c r="AR615" i="34" s="1"/>
  <c r="AO615" i="34"/>
  <c r="AQ615" i="34" s="1"/>
  <c r="AI615" i="34"/>
  <c r="AJ615" i="34" s="1"/>
  <c r="AF615" i="34"/>
  <c r="AD615" i="34"/>
  <c r="AC615" i="34"/>
  <c r="AB615" i="34"/>
  <c r="R615" i="34"/>
  <c r="AG615" i="34" s="1"/>
  <c r="A615" i="34"/>
  <c r="AP614" i="34"/>
  <c r="AR614" i="34" s="1"/>
  <c r="AO614" i="34"/>
  <c r="AQ614" i="34" s="1"/>
  <c r="AF614" i="34"/>
  <c r="AD614" i="34"/>
  <c r="AC614" i="34"/>
  <c r="AB614" i="34"/>
  <c r="R614" i="34"/>
  <c r="A614" i="34"/>
  <c r="AP613" i="34"/>
  <c r="AR613" i="34" s="1"/>
  <c r="AO613" i="34"/>
  <c r="AQ613" i="34" s="1"/>
  <c r="AS613" i="34"/>
  <c r="AD613" i="34"/>
  <c r="AC613" i="34"/>
  <c r="AB613" i="34"/>
  <c r="R613" i="34"/>
  <c r="AI613" i="34" s="1"/>
  <c r="AK613" i="34" s="1"/>
  <c r="A613" i="34"/>
  <c r="AP612" i="34"/>
  <c r="AR612" i="34" s="1"/>
  <c r="AO612" i="34"/>
  <c r="AQ612" i="34" s="1"/>
  <c r="AF612" i="34"/>
  <c r="AD612" i="34"/>
  <c r="AC612" i="34"/>
  <c r="AB612" i="34"/>
  <c r="R612" i="34"/>
  <c r="AG612" i="34" s="1"/>
  <c r="A612" i="34"/>
  <c r="AP611" i="34"/>
  <c r="AR611" i="34" s="1"/>
  <c r="AO611" i="34"/>
  <c r="AQ611" i="34" s="1"/>
  <c r="AI611" i="34"/>
  <c r="AF611" i="34"/>
  <c r="AD611" i="34"/>
  <c r="AC611" i="34"/>
  <c r="AB611" i="34"/>
  <c r="R611" i="34"/>
  <c r="AG611" i="34" s="1"/>
  <c r="A611" i="34"/>
  <c r="AP610" i="34"/>
  <c r="AR610" i="34" s="1"/>
  <c r="AO610" i="34"/>
  <c r="AQ610" i="34" s="1"/>
  <c r="AI610" i="34"/>
  <c r="AJ610" i="34" s="1"/>
  <c r="AF610" i="34"/>
  <c r="AD610" i="34"/>
  <c r="AC610" i="34"/>
  <c r="AB610" i="34"/>
  <c r="R610" i="34"/>
  <c r="AG610" i="34" s="1"/>
  <c r="A610" i="34"/>
  <c r="AP609" i="34"/>
  <c r="AR609" i="34" s="1"/>
  <c r="AO609" i="34"/>
  <c r="AQ609" i="34" s="1"/>
  <c r="AF609" i="34"/>
  <c r="AD609" i="34"/>
  <c r="AC609" i="34"/>
  <c r="AB609" i="34"/>
  <c r="R609" i="34"/>
  <c r="A609" i="34"/>
  <c r="AP608" i="34"/>
  <c r="AR608" i="34" s="1"/>
  <c r="AO608" i="34"/>
  <c r="AQ608" i="34" s="1"/>
  <c r="AS608" i="34"/>
  <c r="AD608" i="34"/>
  <c r="AC608" i="34"/>
  <c r="AB608" i="34"/>
  <c r="R608" i="34"/>
  <c r="AH608" i="34" s="1"/>
  <c r="A608" i="34"/>
  <c r="AP607" i="34"/>
  <c r="AR607" i="34" s="1"/>
  <c r="AO607" i="34"/>
  <c r="AQ607" i="34" s="1"/>
  <c r="AS607" i="34"/>
  <c r="AD607" i="34"/>
  <c r="AC607" i="34"/>
  <c r="AB607" i="34"/>
  <c r="R607" i="34"/>
  <c r="AI607" i="34" s="1"/>
  <c r="A607" i="34"/>
  <c r="AP606" i="34"/>
  <c r="AR606" i="34" s="1"/>
  <c r="AO606" i="34"/>
  <c r="AQ606" i="34" s="1"/>
  <c r="AS606" i="34"/>
  <c r="AD606" i="34"/>
  <c r="AC606" i="34"/>
  <c r="AB606" i="34"/>
  <c r="R606" i="34"/>
  <c r="A606" i="34"/>
  <c r="AP605" i="34"/>
  <c r="AR605" i="34" s="1"/>
  <c r="AO605" i="34"/>
  <c r="AQ605" i="34" s="1"/>
  <c r="AI605" i="34"/>
  <c r="AS605" i="34"/>
  <c r="AD605" i="34"/>
  <c r="AC605" i="34"/>
  <c r="AB605" i="34"/>
  <c r="R605" i="34"/>
  <c r="AG605" i="34" s="1"/>
  <c r="AT605" i="34" s="1"/>
  <c r="A605" i="34"/>
  <c r="AP604" i="34"/>
  <c r="AR604" i="34" s="1"/>
  <c r="AO604" i="34"/>
  <c r="AQ604" i="34" s="1"/>
  <c r="AI604" i="34"/>
  <c r="AJ604" i="34" s="1"/>
  <c r="AS604" i="34"/>
  <c r="AD604" i="34"/>
  <c r="AC604" i="34"/>
  <c r="AB604" i="34"/>
  <c r="R604" i="34"/>
  <c r="AG604" i="34" s="1"/>
  <c r="AH604" i="34" s="1"/>
  <c r="A604" i="34"/>
  <c r="AP603" i="34"/>
  <c r="AR603" i="34" s="1"/>
  <c r="AO603" i="34"/>
  <c r="AQ603" i="34" s="1"/>
  <c r="AS603" i="34"/>
  <c r="AD603" i="34"/>
  <c r="AC603" i="34"/>
  <c r="AB603" i="34"/>
  <c r="R603" i="34"/>
  <c r="AG603" i="34" s="1"/>
  <c r="A603" i="34"/>
  <c r="AP602" i="34"/>
  <c r="AR602" i="34" s="1"/>
  <c r="AO602" i="34"/>
  <c r="AQ602" i="34" s="1"/>
  <c r="AS602" i="34"/>
  <c r="AD602" i="34"/>
  <c r="AC602" i="34"/>
  <c r="AB602" i="34"/>
  <c r="R602" i="34"/>
  <c r="AG602" i="34" s="1"/>
  <c r="A602" i="34"/>
  <c r="AP601" i="34"/>
  <c r="AR601" i="34" s="1"/>
  <c r="AO601" i="34"/>
  <c r="AQ601" i="34" s="1"/>
  <c r="AS601" i="34"/>
  <c r="AD601" i="34"/>
  <c r="AC601" i="34"/>
  <c r="AB601" i="34"/>
  <c r="R601" i="34"/>
  <c r="A601" i="34"/>
  <c r="AP600" i="34"/>
  <c r="AR600" i="34" s="1"/>
  <c r="AO600" i="34"/>
  <c r="AQ600" i="34" s="1"/>
  <c r="AS600" i="34"/>
  <c r="AD600" i="34"/>
  <c r="AC600" i="34"/>
  <c r="AB600" i="34"/>
  <c r="R600" i="34"/>
  <c r="AG600" i="34" s="1"/>
  <c r="A600" i="34"/>
  <c r="AP599" i="34"/>
  <c r="AR599" i="34" s="1"/>
  <c r="AO599" i="34"/>
  <c r="AQ599" i="34" s="1"/>
  <c r="AF599" i="34"/>
  <c r="AD599" i="34"/>
  <c r="AC599" i="34"/>
  <c r="AB599" i="34"/>
  <c r="R599" i="34"/>
  <c r="AG599" i="34" s="1"/>
  <c r="A599" i="34"/>
  <c r="AP598" i="34"/>
  <c r="AR598" i="34" s="1"/>
  <c r="AO598" i="34"/>
  <c r="AQ598" i="34" s="1"/>
  <c r="AS598" i="34"/>
  <c r="AD598" i="34"/>
  <c r="AC598" i="34"/>
  <c r="AB598" i="34"/>
  <c r="R598" i="34"/>
  <c r="AG598" i="34" s="1"/>
  <c r="A598" i="34"/>
  <c r="AP597" i="34"/>
  <c r="AR597" i="34" s="1"/>
  <c r="AO597" i="34"/>
  <c r="AQ597" i="34" s="1"/>
  <c r="AF597" i="34"/>
  <c r="AD597" i="34"/>
  <c r="AC597" i="34"/>
  <c r="AB597" i="34"/>
  <c r="R597" i="34"/>
  <c r="AG597" i="34" s="1"/>
  <c r="AI597" i="34" s="1"/>
  <c r="A597" i="34"/>
  <c r="AP596" i="34"/>
  <c r="AR596" i="34" s="1"/>
  <c r="AO596" i="34"/>
  <c r="AQ596" i="34" s="1"/>
  <c r="AI596" i="34"/>
  <c r="AS596" i="34"/>
  <c r="AD596" i="34"/>
  <c r="AC596" i="34"/>
  <c r="AB596" i="34"/>
  <c r="R596" i="34"/>
  <c r="AG596" i="34" s="1"/>
  <c r="A596" i="34"/>
  <c r="AP595" i="34"/>
  <c r="AR595" i="34" s="1"/>
  <c r="AO595" i="34"/>
  <c r="AQ595" i="34" s="1"/>
  <c r="AS595" i="34"/>
  <c r="AD595" i="34"/>
  <c r="AC595" i="34"/>
  <c r="AB595" i="34"/>
  <c r="R595" i="34"/>
  <c r="AG595" i="34" s="1"/>
  <c r="AI595" i="34" s="1"/>
  <c r="A595" i="34"/>
  <c r="AP594" i="34"/>
  <c r="AR594" i="34" s="1"/>
  <c r="AO594" i="34"/>
  <c r="AQ594" i="34" s="1"/>
  <c r="AS594" i="34"/>
  <c r="AD594" i="34"/>
  <c r="AC594" i="34"/>
  <c r="AB594" i="34"/>
  <c r="R594" i="34"/>
  <c r="AG594" i="34" s="1"/>
  <c r="A594" i="34"/>
  <c r="AP593" i="34"/>
  <c r="AR593" i="34" s="1"/>
  <c r="AO593" i="34"/>
  <c r="AQ593" i="34" s="1"/>
  <c r="AS593" i="34"/>
  <c r="AD593" i="34"/>
  <c r="AC593" i="34"/>
  <c r="AB593" i="34"/>
  <c r="R593" i="34"/>
  <c r="AG593" i="34" s="1"/>
  <c r="A593" i="34"/>
  <c r="AP592" i="34"/>
  <c r="AR592" i="34" s="1"/>
  <c r="AO592" i="34"/>
  <c r="AQ592" i="34" s="1"/>
  <c r="AS592" i="34"/>
  <c r="AD592" i="34"/>
  <c r="AC592" i="34"/>
  <c r="AB592" i="34"/>
  <c r="R592" i="34"/>
  <c r="AG592" i="34" s="1"/>
  <c r="A592" i="34"/>
  <c r="AP591" i="34"/>
  <c r="AR591" i="34" s="1"/>
  <c r="AO591" i="34"/>
  <c r="AQ591" i="34" s="1"/>
  <c r="AI591" i="34"/>
  <c r="AJ591" i="34" s="1"/>
  <c r="AE591" i="34"/>
  <c r="AD591" i="34"/>
  <c r="AC591" i="34"/>
  <c r="AB591" i="34"/>
  <c r="R591" i="34"/>
  <c r="AG591" i="34" s="1"/>
  <c r="A591" i="34"/>
  <c r="AP590" i="34"/>
  <c r="AR590" i="34" s="1"/>
  <c r="AO590" i="34"/>
  <c r="AQ590" i="34" s="1"/>
  <c r="AS590" i="34"/>
  <c r="AD590" i="34"/>
  <c r="AC590" i="34"/>
  <c r="AB590" i="34"/>
  <c r="R590" i="34"/>
  <c r="AG590" i="34" s="1"/>
  <c r="A590" i="34"/>
  <c r="AP589" i="34"/>
  <c r="AR589" i="34" s="1"/>
  <c r="AO589" i="34"/>
  <c r="AQ589" i="34" s="1"/>
  <c r="AM589" i="34"/>
  <c r="AV589" i="34" s="1"/>
  <c r="AS589" i="34"/>
  <c r="AC589" i="34"/>
  <c r="AB589" i="34"/>
  <c r="Z589" i="34"/>
  <c r="AI589" i="34" s="1"/>
  <c r="R589" i="34"/>
  <c r="A589" i="34"/>
  <c r="AP588" i="34"/>
  <c r="AR588" i="34" s="1"/>
  <c r="AO588" i="34"/>
  <c r="AQ588" i="34" s="1"/>
  <c r="AM588" i="34"/>
  <c r="AV588" i="34" s="1"/>
  <c r="AF588" i="34"/>
  <c r="AD588" i="34"/>
  <c r="AC588" i="34"/>
  <c r="AB588" i="34"/>
  <c r="R588" i="34"/>
  <c r="AG588" i="34" s="1"/>
  <c r="A588" i="34"/>
  <c r="AP587" i="34"/>
  <c r="AR587" i="34" s="1"/>
  <c r="AO587" i="34"/>
  <c r="AQ587" i="34" s="1"/>
  <c r="AI587" i="34"/>
  <c r="AJ587" i="34" s="1"/>
  <c r="AF587" i="34"/>
  <c r="AD587" i="34"/>
  <c r="AC587" i="34"/>
  <c r="AB587" i="34"/>
  <c r="R587" i="34"/>
  <c r="AG587" i="34" s="1"/>
  <c r="AT587" i="34" s="1"/>
  <c r="A587" i="34"/>
  <c r="AP586" i="34"/>
  <c r="AR586" i="34" s="1"/>
  <c r="AO586" i="34"/>
  <c r="AQ586" i="34" s="1"/>
  <c r="AI586" i="34"/>
  <c r="AS586" i="34"/>
  <c r="AD586" i="34"/>
  <c r="AC586" i="34"/>
  <c r="AB586" i="34"/>
  <c r="R586" i="34"/>
  <c r="AG586" i="34" s="1"/>
  <c r="A586" i="34"/>
  <c r="AP585" i="34"/>
  <c r="AR585" i="34" s="1"/>
  <c r="AO585" i="34"/>
  <c r="AQ585" i="34" s="1"/>
  <c r="AI585" i="34"/>
  <c r="AJ585" i="34" s="1"/>
  <c r="AF585" i="34"/>
  <c r="AD585" i="34"/>
  <c r="AC585" i="34"/>
  <c r="AB585" i="34"/>
  <c r="R585" i="34"/>
  <c r="AG585" i="34" s="1"/>
  <c r="AH585" i="34" s="1"/>
  <c r="A585" i="34"/>
  <c r="AP584" i="34"/>
  <c r="AR584" i="34" s="1"/>
  <c r="AO584" i="34"/>
  <c r="AQ584" i="34" s="1"/>
  <c r="AF584" i="34"/>
  <c r="AD584" i="34"/>
  <c r="AC584" i="34"/>
  <c r="AB584" i="34"/>
  <c r="R584" i="34"/>
  <c r="A584" i="34"/>
  <c r="AP583" i="34"/>
  <c r="AR583" i="34" s="1"/>
  <c r="AO583" i="34"/>
  <c r="AQ583" i="34" s="1"/>
  <c r="AD583" i="34"/>
  <c r="AC583" i="34"/>
  <c r="AB583" i="34"/>
  <c r="R583" i="34"/>
  <c r="AG583" i="34" s="1"/>
  <c r="AT583" i="34" s="1"/>
  <c r="A583" i="34"/>
  <c r="AP582" i="34"/>
  <c r="AR582" i="34" s="1"/>
  <c r="AO582" i="34"/>
  <c r="AQ582" i="34" s="1"/>
  <c r="AI582" i="34"/>
  <c r="AS582" i="34"/>
  <c r="AD582" i="34"/>
  <c r="AC582" i="34"/>
  <c r="AB582" i="34"/>
  <c r="R582" i="34"/>
  <c r="AG582" i="34" s="1"/>
  <c r="A582" i="34"/>
  <c r="AP581" i="34"/>
  <c r="AR581" i="34" s="1"/>
  <c r="AO581" i="34"/>
  <c r="AQ581" i="34" s="1"/>
  <c r="AS581" i="34"/>
  <c r="AD581" i="34"/>
  <c r="AC581" i="34"/>
  <c r="AB581" i="34"/>
  <c r="R581" i="34"/>
  <c r="AG581" i="34" s="1"/>
  <c r="AI581" i="34" s="1"/>
  <c r="A581" i="34"/>
  <c r="AP580" i="34"/>
  <c r="AR580" i="34" s="1"/>
  <c r="AO580" i="34"/>
  <c r="AQ580" i="34" s="1"/>
  <c r="AI580" i="34"/>
  <c r="AF580" i="34"/>
  <c r="AD580" i="34"/>
  <c r="AC580" i="34"/>
  <c r="AB580" i="34"/>
  <c r="R580" i="34"/>
  <c r="AG580" i="34" s="1"/>
  <c r="A580" i="34"/>
  <c r="AP579" i="34"/>
  <c r="AR579" i="34" s="1"/>
  <c r="AO579" i="34"/>
  <c r="AQ579" i="34" s="1"/>
  <c r="AI579" i="34"/>
  <c r="AJ579" i="34" s="1"/>
  <c r="AF579" i="34"/>
  <c r="AD579" i="34"/>
  <c r="AC579" i="34"/>
  <c r="AB579" i="34"/>
  <c r="R579" i="34"/>
  <c r="AG579" i="34" s="1"/>
  <c r="A579" i="34"/>
  <c r="AP578" i="34"/>
  <c r="AR578" i="34" s="1"/>
  <c r="AO578" i="34"/>
  <c r="AQ578" i="34" s="1"/>
  <c r="AS578" i="34"/>
  <c r="AC578" i="34"/>
  <c r="AB578" i="34"/>
  <c r="Z578" i="34"/>
  <c r="AD578" i="34" s="1"/>
  <c r="R578" i="34"/>
  <c r="AG578" i="34" s="1"/>
  <c r="A578" i="34"/>
  <c r="AP577" i="34"/>
  <c r="AR577" i="34" s="1"/>
  <c r="AO577" i="34"/>
  <c r="AQ577" i="34" s="1"/>
  <c r="AI577" i="34"/>
  <c r="AD577" i="34"/>
  <c r="AC577" i="34"/>
  <c r="AB577" i="34"/>
  <c r="R577" i="34"/>
  <c r="AG577" i="34" s="1"/>
  <c r="AT577" i="34" s="1"/>
  <c r="A577" i="34"/>
  <c r="AP576" i="34"/>
  <c r="AR576" i="34" s="1"/>
  <c r="AO576" i="34"/>
  <c r="AQ576" i="34" s="1"/>
  <c r="AI576" i="34"/>
  <c r="AJ576" i="34" s="1"/>
  <c r="AD576" i="34"/>
  <c r="AC576" i="34"/>
  <c r="AB576" i="34"/>
  <c r="R576" i="34"/>
  <c r="AG576" i="34" s="1"/>
  <c r="AT576" i="34" s="1"/>
  <c r="A576" i="34"/>
  <c r="AP575" i="34"/>
  <c r="AR575" i="34" s="1"/>
  <c r="AO575" i="34"/>
  <c r="AQ575" i="34" s="1"/>
  <c r="AI575" i="34"/>
  <c r="AJ575" i="34" s="1"/>
  <c r="AS575" i="34"/>
  <c r="AD575" i="34"/>
  <c r="AC575" i="34"/>
  <c r="AB575" i="34"/>
  <c r="R575" i="34"/>
  <c r="A575" i="34"/>
  <c r="AP574" i="34"/>
  <c r="AR574" i="34" s="1"/>
  <c r="AO574" i="34"/>
  <c r="AQ574" i="34" s="1"/>
  <c r="AM574" i="34"/>
  <c r="AV574" i="34" s="1"/>
  <c r="AI574" i="34"/>
  <c r="AD574" i="34"/>
  <c r="AC574" i="34"/>
  <c r="AB574" i="34"/>
  <c r="R574" i="34"/>
  <c r="AG574" i="34" s="1"/>
  <c r="A574" i="34"/>
  <c r="AP573" i="34"/>
  <c r="AR573" i="34" s="1"/>
  <c r="AO573" i="34"/>
  <c r="AQ573" i="34" s="1"/>
  <c r="AS573" i="34"/>
  <c r="AC573" i="34"/>
  <c r="AB573" i="34"/>
  <c r="Z573" i="34"/>
  <c r="AI573" i="34" s="1"/>
  <c r="R573" i="34"/>
  <c r="AG573" i="34" s="1"/>
  <c r="A573" i="34"/>
  <c r="AP572" i="34"/>
  <c r="AR572" i="34" s="1"/>
  <c r="AO572" i="34"/>
  <c r="AQ572" i="34" s="1"/>
  <c r="AS572" i="34"/>
  <c r="AD572" i="34"/>
  <c r="AC572" i="34"/>
  <c r="AB572" i="34"/>
  <c r="R572" i="34"/>
  <c r="AG572" i="34" s="1"/>
  <c r="AI572" i="34" s="1"/>
  <c r="A572" i="34"/>
  <c r="AP571" i="34"/>
  <c r="AR571" i="34" s="1"/>
  <c r="AO571" i="34"/>
  <c r="AQ571" i="34" s="1"/>
  <c r="AI571" i="34"/>
  <c r="AF571" i="34"/>
  <c r="AD571" i="34"/>
  <c r="AC571" i="34"/>
  <c r="AB571" i="34"/>
  <c r="R571" i="34"/>
  <c r="A571" i="34"/>
  <c r="AP570" i="34"/>
  <c r="AR570" i="34" s="1"/>
  <c r="AO570" i="34"/>
  <c r="AQ570" i="34" s="1"/>
  <c r="AF570" i="34"/>
  <c r="AD570" i="34"/>
  <c r="AC570" i="34"/>
  <c r="AB570" i="34"/>
  <c r="R570" i="34"/>
  <c r="AI570" i="34" s="1"/>
  <c r="A570" i="34"/>
  <c r="AP569" i="34"/>
  <c r="AR569" i="34" s="1"/>
  <c r="AO569" i="34"/>
  <c r="AQ569" i="34" s="1"/>
  <c r="AI569" i="34"/>
  <c r="AF569" i="34"/>
  <c r="AD569" i="34"/>
  <c r="AC569" i="34"/>
  <c r="AB569" i="34"/>
  <c r="R569" i="34"/>
  <c r="AH569" i="34" s="1"/>
  <c r="A569" i="34"/>
  <c r="AP568" i="34"/>
  <c r="AR568" i="34" s="1"/>
  <c r="AO568" i="34"/>
  <c r="AQ568" i="34" s="1"/>
  <c r="AI568" i="34"/>
  <c r="AJ568" i="34" s="1"/>
  <c r="AF568" i="34"/>
  <c r="AD568" i="34"/>
  <c r="AC568" i="34"/>
  <c r="AB568" i="34"/>
  <c r="R568" i="34"/>
  <c r="AG568" i="34" s="1"/>
  <c r="AT568" i="34" s="1"/>
  <c r="A568" i="34"/>
  <c r="AP567" i="34"/>
  <c r="AR567" i="34" s="1"/>
  <c r="AO567" i="34"/>
  <c r="AQ567" i="34" s="1"/>
  <c r="AI567" i="34"/>
  <c r="AF567" i="34"/>
  <c r="AD567" i="34"/>
  <c r="AC567" i="34"/>
  <c r="AB567" i="34"/>
  <c r="R567" i="34"/>
  <c r="AG567" i="34" s="1"/>
  <c r="A567" i="34"/>
  <c r="AP566" i="34"/>
  <c r="AR566" i="34" s="1"/>
  <c r="AO566" i="34"/>
  <c r="AQ566" i="34" s="1"/>
  <c r="AI566" i="34"/>
  <c r="AJ566" i="34" s="1"/>
  <c r="AD566" i="34"/>
  <c r="AC566" i="34"/>
  <c r="AB566" i="34"/>
  <c r="R566" i="34"/>
  <c r="AG566" i="34" s="1"/>
  <c r="AH566" i="34" s="1"/>
  <c r="A566" i="34"/>
  <c r="AP565" i="34"/>
  <c r="AR565" i="34" s="1"/>
  <c r="AO565" i="34"/>
  <c r="AQ565" i="34" s="1"/>
  <c r="AI565" i="34"/>
  <c r="AF565" i="34"/>
  <c r="AD565" i="34"/>
  <c r="AC565" i="34"/>
  <c r="AB565" i="34"/>
  <c r="R565" i="34"/>
  <c r="AH565" i="34" s="1"/>
  <c r="A565" i="34"/>
  <c r="AP564" i="34"/>
  <c r="AR564" i="34" s="1"/>
  <c r="AO564" i="34"/>
  <c r="AQ564" i="34" s="1"/>
  <c r="AF564" i="34"/>
  <c r="AD564" i="34"/>
  <c r="AC564" i="34"/>
  <c r="AB564" i="34"/>
  <c r="R564" i="34"/>
  <c r="AT564" i="34" s="1"/>
  <c r="A564" i="34"/>
  <c r="AP563" i="34"/>
  <c r="AR563" i="34" s="1"/>
  <c r="AO563" i="34"/>
  <c r="AQ563" i="34" s="1"/>
  <c r="AI563" i="34"/>
  <c r="AD563" i="34"/>
  <c r="AC563" i="34"/>
  <c r="AB563" i="34"/>
  <c r="R563" i="34"/>
  <c r="AG563" i="34" s="1"/>
  <c r="A563" i="34"/>
  <c r="AP562" i="34"/>
  <c r="AR562" i="34" s="1"/>
  <c r="AO562" i="34"/>
  <c r="AQ562" i="34" s="1"/>
  <c r="AS562" i="34"/>
  <c r="AD562" i="34"/>
  <c r="AC562" i="34"/>
  <c r="AB562" i="34"/>
  <c r="R562" i="34"/>
  <c r="AG562" i="34" s="1"/>
  <c r="AI562" i="34" s="1"/>
  <c r="A562" i="34"/>
  <c r="AP561" i="34"/>
  <c r="AR561" i="34" s="1"/>
  <c r="AO561" i="34"/>
  <c r="AQ561" i="34" s="1"/>
  <c r="AI561" i="34"/>
  <c r="AF561" i="34"/>
  <c r="AD561" i="34"/>
  <c r="AC561" i="34"/>
  <c r="AB561" i="34"/>
  <c r="R561" i="34"/>
  <c r="AG561" i="34" s="1"/>
  <c r="A561" i="34"/>
  <c r="AP560" i="34"/>
  <c r="AR560" i="34" s="1"/>
  <c r="AO560" i="34"/>
  <c r="AQ560" i="34" s="1"/>
  <c r="AI560" i="34"/>
  <c r="AJ560" i="34" s="1"/>
  <c r="AF560" i="34"/>
  <c r="AD560" i="34"/>
  <c r="AC560" i="34"/>
  <c r="AB560" i="34"/>
  <c r="R560" i="34"/>
  <c r="AG560" i="34" s="1"/>
  <c r="AT560" i="34" s="1"/>
  <c r="A560" i="34"/>
  <c r="AP559" i="34"/>
  <c r="AR559" i="34" s="1"/>
  <c r="AO559" i="34"/>
  <c r="AQ559" i="34" s="1"/>
  <c r="AI559" i="34"/>
  <c r="AF559" i="34"/>
  <c r="AD559" i="34"/>
  <c r="AC559" i="34"/>
  <c r="AB559" i="34"/>
  <c r="R559" i="34"/>
  <c r="AG559" i="34" s="1"/>
  <c r="A559" i="34"/>
  <c r="AP558" i="34"/>
  <c r="AR558" i="34" s="1"/>
  <c r="AO558" i="34"/>
  <c r="AQ558" i="34" s="1"/>
  <c r="AI558" i="34"/>
  <c r="AJ558" i="34" s="1"/>
  <c r="AF558" i="34"/>
  <c r="AD558" i="34"/>
  <c r="AC558" i="34"/>
  <c r="AB558" i="34"/>
  <c r="R558" i="34"/>
  <c r="AH558" i="34" s="1"/>
  <c r="A558" i="34"/>
  <c r="AP557" i="34"/>
  <c r="AR557" i="34" s="1"/>
  <c r="AO557" i="34"/>
  <c r="AQ557" i="34" s="1"/>
  <c r="AI557" i="34"/>
  <c r="AF557" i="34"/>
  <c r="AD557" i="34"/>
  <c r="AC557" i="34"/>
  <c r="AB557" i="34"/>
  <c r="R557" i="34"/>
  <c r="AG557" i="34" s="1"/>
  <c r="A557" i="34"/>
  <c r="AP556" i="34"/>
  <c r="AR556" i="34" s="1"/>
  <c r="AO556" i="34"/>
  <c r="AQ556" i="34" s="1"/>
  <c r="AF556" i="34"/>
  <c r="AD556" i="34"/>
  <c r="AC556" i="34"/>
  <c r="AB556" i="34"/>
  <c r="R556" i="34"/>
  <c r="AG556" i="34" s="1"/>
  <c r="AT556" i="34" s="1"/>
  <c r="A556" i="34"/>
  <c r="AP555" i="34"/>
  <c r="AR555" i="34" s="1"/>
  <c r="AO555" i="34"/>
  <c r="AQ555" i="34" s="1"/>
  <c r="AF555" i="34"/>
  <c r="AD555" i="34"/>
  <c r="AC555" i="34"/>
  <c r="AB555" i="34"/>
  <c r="R555" i="34"/>
  <c r="AG555" i="34" s="1"/>
  <c r="A555" i="34"/>
  <c r="AP554" i="34"/>
  <c r="AR554" i="34" s="1"/>
  <c r="AO554" i="34"/>
  <c r="AQ554" i="34" s="1"/>
  <c r="AI554" i="34"/>
  <c r="AJ554" i="34" s="1"/>
  <c r="AS554" i="34"/>
  <c r="AD554" i="34"/>
  <c r="AC554" i="34"/>
  <c r="AB554" i="34"/>
  <c r="R554" i="34"/>
  <c r="AG554" i="34" s="1"/>
  <c r="AH554" i="34" s="1"/>
  <c r="A554" i="34"/>
  <c r="AP553" i="34"/>
  <c r="AR553" i="34" s="1"/>
  <c r="AO553" i="34"/>
  <c r="AQ553" i="34" s="1"/>
  <c r="AI553" i="34"/>
  <c r="AF553" i="34"/>
  <c r="AD553" i="34"/>
  <c r="AC553" i="34"/>
  <c r="AB553" i="34"/>
  <c r="R553" i="34"/>
  <c r="AG553" i="34" s="1"/>
  <c r="AH553" i="34" s="1"/>
  <c r="A553" i="34"/>
  <c r="AP552" i="34"/>
  <c r="AR552" i="34" s="1"/>
  <c r="AO552" i="34"/>
  <c r="AQ552" i="34" s="1"/>
  <c r="AF552" i="34"/>
  <c r="AD552" i="34"/>
  <c r="AC552" i="34"/>
  <c r="AB552" i="34"/>
  <c r="R552" i="34"/>
  <c r="AG552" i="34" s="1"/>
  <c r="AI552" i="34" s="1"/>
  <c r="A552" i="34"/>
  <c r="AP551" i="34"/>
  <c r="AR551" i="34" s="1"/>
  <c r="AO551" i="34"/>
  <c r="AQ551" i="34" s="1"/>
  <c r="AI551" i="34"/>
  <c r="AJ551" i="34" s="1"/>
  <c r="AF551" i="34"/>
  <c r="AD551" i="34"/>
  <c r="AC551" i="34"/>
  <c r="AB551" i="34"/>
  <c r="R551" i="34"/>
  <c r="A551" i="34"/>
  <c r="AP550" i="34"/>
  <c r="AR550" i="34" s="1"/>
  <c r="AO550" i="34"/>
  <c r="AQ550" i="34" s="1"/>
  <c r="AD550" i="34"/>
  <c r="AC550" i="34"/>
  <c r="AB550" i="34"/>
  <c r="R550" i="34"/>
  <c r="AH550" i="34" s="1"/>
  <c r="A550" i="34"/>
  <c r="AP549" i="34"/>
  <c r="AR549" i="34" s="1"/>
  <c r="AO549" i="34"/>
  <c r="AQ549" i="34" s="1"/>
  <c r="AF549" i="34"/>
  <c r="AD549" i="34"/>
  <c r="AC549" i="34"/>
  <c r="AB549" i="34"/>
  <c r="R549" i="34"/>
  <c r="AG549" i="34" s="1"/>
  <c r="AT549" i="34" s="1"/>
  <c r="A549" i="34"/>
  <c r="AP548" i="34"/>
  <c r="AR548" i="34" s="1"/>
  <c r="AO548" i="34"/>
  <c r="AQ548" i="34" s="1"/>
  <c r="AD548" i="34"/>
  <c r="AC548" i="34"/>
  <c r="AB548" i="34"/>
  <c r="R548" i="34"/>
  <c r="AG548" i="34" s="1"/>
  <c r="AI548" i="34" s="1"/>
  <c r="A548" i="34"/>
  <c r="AP547" i="34"/>
  <c r="AR547" i="34" s="1"/>
  <c r="AO547" i="34"/>
  <c r="AQ547" i="34" s="1"/>
  <c r="AI547" i="34"/>
  <c r="AJ547" i="34" s="1"/>
  <c r="AS547" i="34"/>
  <c r="AD547" i="34"/>
  <c r="AC547" i="34"/>
  <c r="AB547" i="34"/>
  <c r="R547" i="34"/>
  <c r="AG547" i="34" s="1"/>
  <c r="A547" i="34"/>
  <c r="AP546" i="34"/>
  <c r="AR546" i="34" s="1"/>
  <c r="AO546" i="34"/>
  <c r="AQ546" i="34" s="1"/>
  <c r="AD546" i="34"/>
  <c r="AC546" i="34"/>
  <c r="AB546" i="34"/>
  <c r="R546" i="34"/>
  <c r="A546" i="34"/>
  <c r="AP545" i="34"/>
  <c r="AR545" i="34" s="1"/>
  <c r="AO545" i="34"/>
  <c r="AQ545" i="34" s="1"/>
  <c r="AF545" i="34"/>
  <c r="AD545" i="34"/>
  <c r="AC545" i="34"/>
  <c r="AB545" i="34"/>
  <c r="R545" i="34"/>
  <c r="AG545" i="34" s="1"/>
  <c r="AT545" i="34" s="1"/>
  <c r="A545" i="34"/>
  <c r="AP544" i="34"/>
  <c r="AR544" i="34" s="1"/>
  <c r="AO544" i="34"/>
  <c r="AQ544" i="34" s="1"/>
  <c r="AI544" i="34"/>
  <c r="AF544" i="34"/>
  <c r="AD544" i="34"/>
  <c r="AC544" i="34"/>
  <c r="AB544" i="34"/>
  <c r="R544" i="34"/>
  <c r="AT544" i="34" s="1"/>
  <c r="A544" i="34"/>
  <c r="AP543" i="34"/>
  <c r="AR543" i="34" s="1"/>
  <c r="AO543" i="34"/>
  <c r="AQ543" i="34" s="1"/>
  <c r="AI543" i="34"/>
  <c r="AJ543" i="34" s="1"/>
  <c r="AD543" i="34"/>
  <c r="AC543" i="34"/>
  <c r="AB543" i="34"/>
  <c r="R543" i="34"/>
  <c r="AG543" i="34" s="1"/>
  <c r="A543" i="34"/>
  <c r="AP542" i="34"/>
  <c r="AR542" i="34" s="1"/>
  <c r="AO542" i="34"/>
  <c r="AQ542" i="34" s="1"/>
  <c r="AD542" i="34"/>
  <c r="AC542" i="34"/>
  <c r="AB542" i="34"/>
  <c r="R542" i="34"/>
  <c r="AG542" i="34" s="1"/>
  <c r="A542" i="34"/>
  <c r="AP541" i="34"/>
  <c r="AR541" i="34" s="1"/>
  <c r="AO541" i="34"/>
  <c r="AQ541" i="34" s="1"/>
  <c r="AF541" i="34"/>
  <c r="AD541" i="34"/>
  <c r="AC541" i="34"/>
  <c r="AB541" i="34"/>
  <c r="R541" i="34"/>
  <c r="AG541" i="34" s="1"/>
  <c r="AT541" i="34" s="1"/>
  <c r="A541" i="34"/>
  <c r="AP540" i="34"/>
  <c r="AR540" i="34" s="1"/>
  <c r="AO540" i="34"/>
  <c r="AQ540" i="34" s="1"/>
  <c r="AI540" i="34"/>
  <c r="AF540" i="34"/>
  <c r="AD540" i="34"/>
  <c r="AC540" i="34"/>
  <c r="AB540" i="34"/>
  <c r="R540" i="34"/>
  <c r="AG540" i="34" s="1"/>
  <c r="AT540" i="34" s="1"/>
  <c r="A540" i="34"/>
  <c r="AP539" i="34"/>
  <c r="AR539" i="34" s="1"/>
  <c r="AO539" i="34"/>
  <c r="AQ539" i="34" s="1"/>
  <c r="AI539" i="34"/>
  <c r="AF539" i="34"/>
  <c r="AD539" i="34"/>
  <c r="AC539" i="34"/>
  <c r="AB539" i="34"/>
  <c r="R539" i="34"/>
  <c r="AG539" i="34" s="1"/>
  <c r="A539" i="34"/>
  <c r="AP538" i="34"/>
  <c r="AR538" i="34" s="1"/>
  <c r="AO538" i="34"/>
  <c r="AQ538" i="34" s="1"/>
  <c r="AD538" i="34"/>
  <c r="AC538" i="34"/>
  <c r="AB538" i="34"/>
  <c r="R538" i="34"/>
  <c r="AG538" i="34" s="1"/>
  <c r="A538" i="34"/>
  <c r="AP537" i="34"/>
  <c r="AR537" i="34" s="1"/>
  <c r="AO537" i="34"/>
  <c r="AQ537" i="34" s="1"/>
  <c r="AF537" i="34"/>
  <c r="AD537" i="34"/>
  <c r="AC537" i="34"/>
  <c r="AB537" i="34"/>
  <c r="R537" i="34"/>
  <c r="AG537" i="34" s="1"/>
  <c r="AT537" i="34" s="1"/>
  <c r="A537" i="34"/>
  <c r="AP536" i="34"/>
  <c r="AR536" i="34" s="1"/>
  <c r="AO536" i="34"/>
  <c r="AQ536" i="34" s="1"/>
  <c r="AI536" i="34"/>
  <c r="AF536" i="34"/>
  <c r="AD536" i="34"/>
  <c r="AC536" i="34"/>
  <c r="AB536" i="34"/>
  <c r="R536" i="34"/>
  <c r="AG536" i="34" s="1"/>
  <c r="AT536" i="34" s="1"/>
  <c r="A536" i="34"/>
  <c r="AP535" i="34"/>
  <c r="AR535" i="34" s="1"/>
  <c r="AO535" i="34"/>
  <c r="AQ535" i="34" s="1"/>
  <c r="AI535" i="34"/>
  <c r="AD535" i="34"/>
  <c r="AC535" i="34"/>
  <c r="AB535" i="34"/>
  <c r="R535" i="34"/>
  <c r="AG535" i="34" s="1"/>
  <c r="A535" i="34"/>
  <c r="AP534" i="34"/>
  <c r="AR534" i="34" s="1"/>
  <c r="AO534" i="34"/>
  <c r="AQ534" i="34" s="1"/>
  <c r="AI534" i="34"/>
  <c r="AD534" i="34"/>
  <c r="AC534" i="34"/>
  <c r="AB534" i="34"/>
  <c r="R534" i="34"/>
  <c r="AG534" i="34" s="1"/>
  <c r="AH534" i="34" s="1"/>
  <c r="A534" i="34"/>
  <c r="AP533" i="34"/>
  <c r="AR533" i="34" s="1"/>
  <c r="AO533" i="34"/>
  <c r="AQ533" i="34" s="1"/>
  <c r="AF533" i="34"/>
  <c r="AD533" i="34"/>
  <c r="AC533" i="34"/>
  <c r="AB533" i="34"/>
  <c r="R533" i="34"/>
  <c r="AG533" i="34" s="1"/>
  <c r="AT533" i="34" s="1"/>
  <c r="A533" i="34"/>
  <c r="AP532" i="34"/>
  <c r="AR532" i="34" s="1"/>
  <c r="AO532" i="34"/>
  <c r="AQ532" i="34" s="1"/>
  <c r="AF532" i="34"/>
  <c r="AD532" i="34"/>
  <c r="AC532" i="34"/>
  <c r="AB532" i="34"/>
  <c r="R532" i="34"/>
  <c r="AI532" i="34" s="1"/>
  <c r="A532" i="34"/>
  <c r="AP531" i="34"/>
  <c r="AR531" i="34" s="1"/>
  <c r="AO531" i="34"/>
  <c r="AQ531" i="34" s="1"/>
  <c r="AD531" i="34"/>
  <c r="AC531" i="34"/>
  <c r="AB531" i="34"/>
  <c r="R531" i="34"/>
  <c r="AT531" i="34" s="1"/>
  <c r="A531" i="34"/>
  <c r="AP530" i="34"/>
  <c r="AR530" i="34" s="1"/>
  <c r="AO530" i="34"/>
  <c r="AQ530" i="34" s="1"/>
  <c r="AF530" i="34"/>
  <c r="AD530" i="34"/>
  <c r="AC530" i="34"/>
  <c r="AB530" i="34"/>
  <c r="R530" i="34"/>
  <c r="AG530" i="34" s="1"/>
  <c r="AT530" i="34" s="1"/>
  <c r="A530" i="34"/>
  <c r="AP529" i="34"/>
  <c r="AR529" i="34" s="1"/>
  <c r="AO529" i="34"/>
  <c r="AQ529" i="34" s="1"/>
  <c r="AF529" i="34"/>
  <c r="AD529" i="34"/>
  <c r="AC529" i="34"/>
  <c r="AB529" i="34"/>
  <c r="R529" i="34"/>
  <c r="AG529" i="34" s="1"/>
  <c r="AT529" i="34" s="1"/>
  <c r="A529" i="34"/>
  <c r="AP528" i="34"/>
  <c r="AR528" i="34" s="1"/>
  <c r="AO528" i="34"/>
  <c r="AQ528" i="34" s="1"/>
  <c r="AF528" i="34"/>
  <c r="AD528" i="34"/>
  <c r="AC528" i="34"/>
  <c r="AB528" i="34"/>
  <c r="R528" i="34"/>
  <c r="AG528" i="34" s="1"/>
  <c r="A528" i="34"/>
  <c r="AP527" i="34"/>
  <c r="AR527" i="34" s="1"/>
  <c r="AO527" i="34"/>
  <c r="AQ527" i="34" s="1"/>
  <c r="AD527" i="34"/>
  <c r="AC527" i="34"/>
  <c r="AB527" i="34"/>
  <c r="R527" i="34"/>
  <c r="AG527" i="34" s="1"/>
  <c r="AH527" i="34" s="1"/>
  <c r="A527" i="34"/>
  <c r="AP526" i="34"/>
  <c r="AR526" i="34" s="1"/>
  <c r="AO526" i="34"/>
  <c r="AQ526" i="34" s="1"/>
  <c r="AF526" i="34"/>
  <c r="AD526" i="34"/>
  <c r="AC526" i="34"/>
  <c r="AB526" i="34"/>
  <c r="R526" i="34"/>
  <c r="AG526" i="34" s="1"/>
  <c r="A526" i="34"/>
  <c r="AP525" i="34"/>
  <c r="AR525" i="34" s="1"/>
  <c r="AO525" i="34"/>
  <c r="AQ525" i="34" s="1"/>
  <c r="AF525" i="34"/>
  <c r="AD525" i="34"/>
  <c r="AC525" i="34"/>
  <c r="AB525" i="34"/>
  <c r="R525" i="34"/>
  <c r="AI525" i="34" s="1"/>
  <c r="AJ525" i="34" s="1"/>
  <c r="A525" i="34"/>
  <c r="AP524" i="34"/>
  <c r="AR524" i="34" s="1"/>
  <c r="AO524" i="34"/>
  <c r="AQ524" i="34" s="1"/>
  <c r="AF524" i="34"/>
  <c r="AD524" i="34"/>
  <c r="AC524" i="34"/>
  <c r="AB524" i="34"/>
  <c r="R524" i="34"/>
  <c r="AG524" i="34" s="1"/>
  <c r="AI524" i="34" s="1"/>
  <c r="A524" i="34"/>
  <c r="AP523" i="34"/>
  <c r="AR523" i="34" s="1"/>
  <c r="AO523" i="34"/>
  <c r="AQ523" i="34" s="1"/>
  <c r="AD523" i="34"/>
  <c r="AC523" i="34"/>
  <c r="AB523" i="34"/>
  <c r="R523" i="34"/>
  <c r="AH523" i="34" s="1"/>
  <c r="A523" i="34"/>
  <c r="AP522" i="34"/>
  <c r="AR522" i="34" s="1"/>
  <c r="AO522" i="34"/>
  <c r="AQ522" i="34" s="1"/>
  <c r="AF522" i="34"/>
  <c r="AD522" i="34"/>
  <c r="AC522" i="34"/>
  <c r="AB522" i="34"/>
  <c r="R522" i="34"/>
  <c r="A522" i="34"/>
  <c r="AP521" i="34"/>
  <c r="AR521" i="34" s="1"/>
  <c r="AO521" i="34"/>
  <c r="AQ521" i="34" s="1"/>
  <c r="AF521" i="34"/>
  <c r="AD521" i="34"/>
  <c r="AC521" i="34"/>
  <c r="AB521" i="34"/>
  <c r="R521" i="34"/>
  <c r="AG521" i="34" s="1"/>
  <c r="AT521" i="34" s="1"/>
  <c r="A521" i="34"/>
  <c r="AP520" i="34"/>
  <c r="AR520" i="34" s="1"/>
  <c r="AO520" i="34"/>
  <c r="AQ520" i="34" s="1"/>
  <c r="AF520" i="34"/>
  <c r="AD520" i="34"/>
  <c r="AC520" i="34"/>
  <c r="AB520" i="34"/>
  <c r="R520" i="34"/>
  <c r="AG520" i="34" s="1"/>
  <c r="A520" i="34"/>
  <c r="AP519" i="34"/>
  <c r="AR519" i="34" s="1"/>
  <c r="AO519" i="34"/>
  <c r="AQ519" i="34" s="1"/>
  <c r="AS519" i="34"/>
  <c r="AD519" i="34"/>
  <c r="AC519" i="34"/>
  <c r="AB519" i="34"/>
  <c r="R519" i="34"/>
  <c r="AG519" i="34" s="1"/>
  <c r="AH519" i="34" s="1"/>
  <c r="A519" i="34"/>
  <c r="AP518" i="34"/>
  <c r="AR518" i="34" s="1"/>
  <c r="AO518" i="34"/>
  <c r="AQ518" i="34" s="1"/>
  <c r="AF518" i="34"/>
  <c r="AD518" i="34"/>
  <c r="AC518" i="34"/>
  <c r="AB518" i="34"/>
  <c r="R518" i="34"/>
  <c r="AG518" i="34" s="1"/>
  <c r="A518" i="34"/>
  <c r="AP517" i="34"/>
  <c r="AR517" i="34" s="1"/>
  <c r="AO517" i="34"/>
  <c r="AQ517" i="34" s="1"/>
  <c r="AE517" i="34"/>
  <c r="AF517" i="34" s="1"/>
  <c r="AD517" i="34"/>
  <c r="AC517" i="34"/>
  <c r="AB517" i="34"/>
  <c r="R517" i="34"/>
  <c r="AG517" i="34" s="1"/>
  <c r="AT517" i="34" s="1"/>
  <c r="A517" i="34"/>
  <c r="AP516" i="34"/>
  <c r="AR516" i="34" s="1"/>
  <c r="AO516" i="34"/>
  <c r="AQ516" i="34" s="1"/>
  <c r="AE516" i="34"/>
  <c r="AD516" i="34"/>
  <c r="AC516" i="34"/>
  <c r="AB516" i="34"/>
  <c r="R516" i="34"/>
  <c r="AG516" i="34" s="1"/>
  <c r="A516" i="34"/>
  <c r="AP515" i="34"/>
  <c r="AR515" i="34" s="1"/>
  <c r="AO515" i="34"/>
  <c r="AQ515" i="34" s="1"/>
  <c r="AF515" i="34"/>
  <c r="AD515" i="34"/>
  <c r="AC515" i="34"/>
  <c r="AB515" i="34"/>
  <c r="R515" i="34"/>
  <c r="AG515" i="34" s="1"/>
  <c r="AH515" i="34" s="1"/>
  <c r="A515" i="34"/>
  <c r="AP514" i="34"/>
  <c r="AR514" i="34" s="1"/>
  <c r="AO514" i="34"/>
  <c r="AQ514" i="34" s="1"/>
  <c r="AI514" i="34"/>
  <c r="AJ514" i="34" s="1"/>
  <c r="AF514" i="34"/>
  <c r="AD514" i="34"/>
  <c r="AC514" i="34"/>
  <c r="AB514" i="34"/>
  <c r="R514" i="34"/>
  <c r="AT514" i="34" s="1"/>
  <c r="A514" i="34"/>
  <c r="AP513" i="34"/>
  <c r="AR513" i="34" s="1"/>
  <c r="AO513" i="34"/>
  <c r="AQ513" i="34" s="1"/>
  <c r="AI513" i="34"/>
  <c r="AF513" i="34"/>
  <c r="AD513" i="34"/>
  <c r="AC513" i="34"/>
  <c r="AB513" i="34"/>
  <c r="R513" i="34"/>
  <c r="AG513" i="34" s="1"/>
  <c r="AT513" i="34" s="1"/>
  <c r="A513" i="34"/>
  <c r="AP512" i="34"/>
  <c r="AR512" i="34" s="1"/>
  <c r="AO512" i="34"/>
  <c r="AQ512" i="34" s="1"/>
  <c r="AI512" i="34"/>
  <c r="AJ512" i="34" s="1"/>
  <c r="AS512" i="34"/>
  <c r="AD512" i="34"/>
  <c r="AC512" i="34"/>
  <c r="AB512" i="34"/>
  <c r="R512" i="34"/>
  <c r="AG512" i="34" s="1"/>
  <c r="A512" i="34"/>
  <c r="AP511" i="34"/>
  <c r="AR511" i="34" s="1"/>
  <c r="AO511" i="34"/>
  <c r="AQ511" i="34" s="1"/>
  <c r="AM511" i="34"/>
  <c r="AV511" i="34" s="1"/>
  <c r="AE511" i="34"/>
  <c r="AC511" i="34"/>
  <c r="AB511" i="34"/>
  <c r="Z511" i="34"/>
  <c r="AI511" i="34" s="1"/>
  <c r="R511" i="34"/>
  <c r="AG511" i="34" s="1"/>
  <c r="A511" i="34"/>
  <c r="AP510" i="34"/>
  <c r="AR510" i="34" s="1"/>
  <c r="AO510" i="34"/>
  <c r="AQ510" i="34" s="1"/>
  <c r="AI510" i="34"/>
  <c r="AJ510" i="34" s="1"/>
  <c r="AF510" i="34"/>
  <c r="AD510" i="34"/>
  <c r="AC510" i="34"/>
  <c r="AB510" i="34"/>
  <c r="R510" i="34"/>
  <c r="AG510" i="34" s="1"/>
  <c r="A510" i="34"/>
  <c r="AP509" i="34"/>
  <c r="AR509" i="34" s="1"/>
  <c r="AO509" i="34"/>
  <c r="AQ509" i="34" s="1"/>
  <c r="AI509" i="34"/>
  <c r="AE509" i="34"/>
  <c r="AF509" i="34" s="1"/>
  <c r="AD509" i="34"/>
  <c r="AC509" i="34"/>
  <c r="AB509" i="34"/>
  <c r="R509" i="34"/>
  <c r="AG509" i="34" s="1"/>
  <c r="A509" i="34"/>
  <c r="AP508" i="34"/>
  <c r="AR508" i="34" s="1"/>
  <c r="AO508" i="34"/>
  <c r="AQ508" i="34" s="1"/>
  <c r="AI508" i="34"/>
  <c r="AF508" i="34"/>
  <c r="AD508" i="34"/>
  <c r="AC508" i="34"/>
  <c r="AB508" i="34"/>
  <c r="R508" i="34"/>
  <c r="AG508" i="34" s="1"/>
  <c r="AT508" i="34" s="1"/>
  <c r="A508" i="34"/>
  <c r="AP507" i="34"/>
  <c r="AR507" i="34" s="1"/>
  <c r="AO507" i="34"/>
  <c r="AQ507" i="34" s="1"/>
  <c r="AI507" i="34"/>
  <c r="AS507" i="34"/>
  <c r="AD507" i="34"/>
  <c r="AC507" i="34"/>
  <c r="AB507" i="34"/>
  <c r="R507" i="34"/>
  <c r="AG507" i="34" s="1"/>
  <c r="AT507" i="34" s="1"/>
  <c r="A507" i="34"/>
  <c r="AP506" i="34"/>
  <c r="AR506" i="34" s="1"/>
  <c r="AO506" i="34"/>
  <c r="AQ506" i="34" s="1"/>
  <c r="AI506" i="34"/>
  <c r="AJ506" i="34" s="1"/>
  <c r="AE506" i="34"/>
  <c r="AF506" i="34" s="1"/>
  <c r="AD506" i="34"/>
  <c r="AC506" i="34"/>
  <c r="AB506" i="34"/>
  <c r="R506" i="34"/>
  <c r="AG506" i="34" s="1"/>
  <c r="A506" i="34"/>
  <c r="AP505" i="34"/>
  <c r="AR505" i="34" s="1"/>
  <c r="AO505" i="34"/>
  <c r="AQ505" i="34" s="1"/>
  <c r="AI505" i="34"/>
  <c r="AF505" i="34"/>
  <c r="AD505" i="34"/>
  <c r="AC505" i="34"/>
  <c r="AB505" i="34"/>
  <c r="R505" i="34"/>
  <c r="AG505" i="34" s="1"/>
  <c r="A505" i="34"/>
  <c r="AP504" i="34"/>
  <c r="AR504" i="34" s="1"/>
  <c r="AO504" i="34"/>
  <c r="AQ504" i="34" s="1"/>
  <c r="AI504" i="34"/>
  <c r="AJ504" i="34" s="1"/>
  <c r="AE504" i="34"/>
  <c r="AF504" i="34" s="1"/>
  <c r="AD504" i="34"/>
  <c r="AC504" i="34"/>
  <c r="AB504" i="34"/>
  <c r="R504" i="34"/>
  <c r="AG504" i="34" s="1"/>
  <c r="AT504" i="34" s="1"/>
  <c r="A504" i="34"/>
  <c r="AP503" i="34"/>
  <c r="AR503" i="34" s="1"/>
  <c r="AO503" i="34"/>
  <c r="AQ503" i="34" s="1"/>
  <c r="AS503" i="34"/>
  <c r="AD503" i="34"/>
  <c r="AC503" i="34"/>
  <c r="AB503" i="34"/>
  <c r="R503" i="34"/>
  <c r="A503" i="34"/>
  <c r="AP502" i="34"/>
  <c r="AR502" i="34" s="1"/>
  <c r="AO502" i="34"/>
  <c r="AQ502" i="34" s="1"/>
  <c r="AI502" i="34"/>
  <c r="AJ502" i="34" s="1"/>
  <c r="AE502" i="34"/>
  <c r="AS502" i="34" s="1"/>
  <c r="AD502" i="34"/>
  <c r="AC502" i="34"/>
  <c r="AB502" i="34"/>
  <c r="R502" i="34"/>
  <c r="AG502" i="34" s="1"/>
  <c r="A502" i="34"/>
  <c r="AP501" i="34"/>
  <c r="AR501" i="34" s="1"/>
  <c r="AO501" i="34"/>
  <c r="AQ501" i="34" s="1"/>
  <c r="AI501" i="34"/>
  <c r="AJ501" i="34" s="1"/>
  <c r="AE501" i="34"/>
  <c r="AS501" i="34" s="1"/>
  <c r="AD501" i="34"/>
  <c r="AC501" i="34"/>
  <c r="AB501" i="34"/>
  <c r="R501" i="34"/>
  <c r="AG501" i="34" s="1"/>
  <c r="A501" i="34"/>
  <c r="AP500" i="34"/>
  <c r="AR500" i="34" s="1"/>
  <c r="AO500" i="34"/>
  <c r="AQ500" i="34" s="1"/>
  <c r="AI500" i="34"/>
  <c r="AJ500" i="34" s="1"/>
  <c r="AF500" i="34"/>
  <c r="AD500" i="34"/>
  <c r="AC500" i="34"/>
  <c r="AB500" i="34"/>
  <c r="R500" i="34"/>
  <c r="AG500" i="34" s="1"/>
  <c r="A500" i="34"/>
  <c r="AP499" i="34"/>
  <c r="AR499" i="34" s="1"/>
  <c r="AO499" i="34"/>
  <c r="AQ499" i="34" s="1"/>
  <c r="AS499" i="34"/>
  <c r="AD499" i="34"/>
  <c r="AC499" i="34"/>
  <c r="AB499" i="34"/>
  <c r="R499" i="34"/>
  <c r="A499" i="34"/>
  <c r="AP498" i="34"/>
  <c r="AR498" i="34" s="1"/>
  <c r="AO498" i="34"/>
  <c r="AQ498" i="34" s="1"/>
  <c r="AI498" i="34"/>
  <c r="AE498" i="34"/>
  <c r="AF498" i="34" s="1"/>
  <c r="AD498" i="34"/>
  <c r="AC498" i="34"/>
  <c r="AB498" i="34"/>
  <c r="R498" i="34"/>
  <c r="A498" i="34"/>
  <c r="AP497" i="34"/>
  <c r="AR497" i="34" s="1"/>
  <c r="AO497" i="34"/>
  <c r="AQ497" i="34" s="1"/>
  <c r="AI497" i="34"/>
  <c r="AJ497" i="34" s="1"/>
  <c r="AF497" i="34"/>
  <c r="AD497" i="34"/>
  <c r="AC497" i="34"/>
  <c r="AB497" i="34"/>
  <c r="R497" i="34"/>
  <c r="A497" i="34"/>
  <c r="AP496" i="34"/>
  <c r="AR496" i="34" s="1"/>
  <c r="AO496" i="34"/>
  <c r="AQ496" i="34" s="1"/>
  <c r="AI496" i="34"/>
  <c r="AJ496" i="34" s="1"/>
  <c r="AE496" i="34"/>
  <c r="AF496" i="34" s="1"/>
  <c r="AD496" i="34"/>
  <c r="AC496" i="34"/>
  <c r="AB496" i="34"/>
  <c r="R496" i="34"/>
  <c r="AG496" i="34" s="1"/>
  <c r="A496" i="34"/>
  <c r="AP495" i="34"/>
  <c r="AR495" i="34" s="1"/>
  <c r="AO495" i="34"/>
  <c r="AQ495" i="34" s="1"/>
  <c r="AF495" i="34"/>
  <c r="AD495" i="34"/>
  <c r="AC495" i="34"/>
  <c r="AB495" i="34"/>
  <c r="R495" i="34"/>
  <c r="AG495" i="34" s="1"/>
  <c r="AT495" i="34" s="1"/>
  <c r="A495" i="34"/>
  <c r="AP494" i="34"/>
  <c r="AR494" i="34" s="1"/>
  <c r="AO494" i="34"/>
  <c r="AQ494" i="34" s="1"/>
  <c r="AS494" i="34"/>
  <c r="AD494" i="34"/>
  <c r="AC494" i="34"/>
  <c r="AB494" i="34"/>
  <c r="R494" i="34"/>
  <c r="A494" i="34"/>
  <c r="AP493" i="34"/>
  <c r="AR493" i="34" s="1"/>
  <c r="AO493" i="34"/>
  <c r="AQ493" i="34" s="1"/>
  <c r="AF493" i="34"/>
  <c r="AD493" i="34"/>
  <c r="AC493" i="34"/>
  <c r="AB493" i="34"/>
  <c r="R493" i="34"/>
  <c r="AI493" i="34" s="1"/>
  <c r="A493" i="34"/>
  <c r="AP492" i="34"/>
  <c r="AR492" i="34" s="1"/>
  <c r="AO492" i="34"/>
  <c r="AQ492" i="34" s="1"/>
  <c r="AF492" i="34"/>
  <c r="AD492" i="34"/>
  <c r="AC492" i="34"/>
  <c r="AB492" i="34"/>
  <c r="R492" i="34"/>
  <c r="A492" i="34"/>
  <c r="AP491" i="34"/>
  <c r="AR491" i="34" s="1"/>
  <c r="AO491" i="34"/>
  <c r="AQ491" i="34" s="1"/>
  <c r="AF491" i="34"/>
  <c r="AD491" i="34"/>
  <c r="AC491" i="34"/>
  <c r="AB491" i="34"/>
  <c r="R491" i="34"/>
  <c r="AT491" i="34" s="1"/>
  <c r="A491" i="34"/>
  <c r="AP490" i="34"/>
  <c r="AR490" i="34" s="1"/>
  <c r="AO490" i="34"/>
  <c r="AQ490" i="34" s="1"/>
  <c r="AS490" i="34"/>
  <c r="AD490" i="34"/>
  <c r="AC490" i="34"/>
  <c r="AB490" i="34"/>
  <c r="R490" i="34"/>
  <c r="A490" i="34"/>
  <c r="AP489" i="34"/>
  <c r="AR489" i="34" s="1"/>
  <c r="AO489" i="34"/>
  <c r="AQ489" i="34" s="1"/>
  <c r="AF489" i="34"/>
  <c r="AD489" i="34"/>
  <c r="AC489" i="34"/>
  <c r="AB489" i="34"/>
  <c r="R489" i="34"/>
  <c r="AI489" i="34" s="1"/>
  <c r="A489" i="34"/>
  <c r="AP488" i="34"/>
  <c r="AR488" i="34" s="1"/>
  <c r="AO488" i="34"/>
  <c r="AQ488" i="34" s="1"/>
  <c r="AF488" i="34"/>
  <c r="AD488" i="34"/>
  <c r="AC488" i="34"/>
  <c r="AB488" i="34"/>
  <c r="R488" i="34"/>
  <c r="AG488" i="34" s="1"/>
  <c r="A488" i="34"/>
  <c r="AP487" i="34"/>
  <c r="AR487" i="34" s="1"/>
  <c r="AO487" i="34"/>
  <c r="AQ487" i="34" s="1"/>
  <c r="AF487" i="34"/>
  <c r="AD487" i="34"/>
  <c r="AC487" i="34"/>
  <c r="AB487" i="34"/>
  <c r="R487" i="34"/>
  <c r="AT487" i="34" s="1"/>
  <c r="A487" i="34"/>
  <c r="AP486" i="34"/>
  <c r="AR486" i="34" s="1"/>
  <c r="AO486" i="34"/>
  <c r="AQ486" i="34" s="1"/>
  <c r="AS486" i="34"/>
  <c r="AD486" i="34"/>
  <c r="AC486" i="34"/>
  <c r="AB486" i="34"/>
  <c r="R486" i="34"/>
  <c r="A486" i="34"/>
  <c r="AP485" i="34"/>
  <c r="AR485" i="34" s="1"/>
  <c r="AO485" i="34"/>
  <c r="AQ485" i="34" s="1"/>
  <c r="AF485" i="34"/>
  <c r="AD485" i="34"/>
  <c r="AC485" i="34"/>
  <c r="AB485" i="34"/>
  <c r="R485" i="34"/>
  <c r="AI485" i="34" s="1"/>
  <c r="A485" i="34"/>
  <c r="AP484" i="34"/>
  <c r="AR484" i="34" s="1"/>
  <c r="AO484" i="34"/>
  <c r="AQ484" i="34" s="1"/>
  <c r="AI484" i="34"/>
  <c r="AF484" i="34"/>
  <c r="AD484" i="34"/>
  <c r="AC484" i="34"/>
  <c r="AB484" i="34"/>
  <c r="R484" i="34"/>
  <c r="AG484" i="34" s="1"/>
  <c r="A484" i="34"/>
  <c r="AP483" i="34"/>
  <c r="AR483" i="34" s="1"/>
  <c r="AO483" i="34"/>
  <c r="AQ483" i="34" s="1"/>
  <c r="AS483" i="34"/>
  <c r="AD483" i="34"/>
  <c r="AC483" i="34"/>
  <c r="AB483" i="34"/>
  <c r="R483" i="34"/>
  <c r="AG483" i="34" s="1"/>
  <c r="AT483" i="34" s="1"/>
  <c r="A483" i="34"/>
  <c r="AP482" i="34"/>
  <c r="AR482" i="34" s="1"/>
  <c r="AO482" i="34"/>
  <c r="AQ482" i="34" s="1"/>
  <c r="AS482" i="34"/>
  <c r="AD482" i="34"/>
  <c r="AC482" i="34"/>
  <c r="AB482" i="34"/>
  <c r="R482" i="34"/>
  <c r="AG482" i="34" s="1"/>
  <c r="A482" i="34"/>
  <c r="AP481" i="34"/>
  <c r="AR481" i="34" s="1"/>
  <c r="AO481" i="34"/>
  <c r="AQ481" i="34" s="1"/>
  <c r="AD481" i="34"/>
  <c r="AC481" i="34"/>
  <c r="AB481" i="34"/>
  <c r="R481" i="34"/>
  <c r="AG481" i="34" s="1"/>
  <c r="AI481" i="34" s="1"/>
  <c r="A481" i="34"/>
  <c r="AP480" i="34"/>
  <c r="AR480" i="34" s="1"/>
  <c r="AO480" i="34"/>
  <c r="AQ480" i="34" s="1"/>
  <c r="AF480" i="34"/>
  <c r="AD480" i="34"/>
  <c r="AC480" i="34"/>
  <c r="AB480" i="34"/>
  <c r="R480" i="34"/>
  <c r="AG480" i="34" s="1"/>
  <c r="A480" i="34"/>
  <c r="AP479" i="34"/>
  <c r="AR479" i="34" s="1"/>
  <c r="AO479" i="34"/>
  <c r="AQ479" i="34" s="1"/>
  <c r="AI479" i="34"/>
  <c r="AJ479" i="34" s="1"/>
  <c r="AS479" i="34"/>
  <c r="AD479" i="34"/>
  <c r="AC479" i="34"/>
  <c r="AB479" i="34"/>
  <c r="R479" i="34"/>
  <c r="AG479" i="34" s="1"/>
  <c r="AT479" i="34" s="1"/>
  <c r="A479" i="34"/>
  <c r="AP478" i="34"/>
  <c r="AR478" i="34" s="1"/>
  <c r="AO478" i="34"/>
  <c r="AQ478" i="34" s="1"/>
  <c r="AI478" i="34"/>
  <c r="AS478" i="34"/>
  <c r="AD478" i="34"/>
  <c r="AC478" i="34"/>
  <c r="AB478" i="34"/>
  <c r="R478" i="34"/>
  <c r="AG478" i="34" s="1"/>
  <c r="A478" i="34"/>
  <c r="AP477" i="34"/>
  <c r="AR477" i="34" s="1"/>
  <c r="AO477" i="34"/>
  <c r="AQ477" i="34" s="1"/>
  <c r="AI477" i="34"/>
  <c r="AD477" i="34"/>
  <c r="AC477" i="34"/>
  <c r="AB477" i="34"/>
  <c r="R477" i="34"/>
  <c r="AG477" i="34" s="1"/>
  <c r="AH477" i="34" s="1"/>
  <c r="A477" i="34"/>
  <c r="AP476" i="34"/>
  <c r="AR476" i="34" s="1"/>
  <c r="AO476" i="34"/>
  <c r="AQ476" i="34" s="1"/>
  <c r="AS476" i="34"/>
  <c r="AD476" i="34"/>
  <c r="AC476" i="34"/>
  <c r="AB476" i="34"/>
  <c r="R476" i="34"/>
  <c r="AG476" i="34" s="1"/>
  <c r="AT476" i="34" s="1"/>
  <c r="A476" i="34"/>
  <c r="AP475" i="34"/>
  <c r="AR475" i="34" s="1"/>
  <c r="AO475" i="34"/>
  <c r="AQ475" i="34" s="1"/>
  <c r="AS475" i="34"/>
  <c r="AD475" i="34"/>
  <c r="AC475" i="34"/>
  <c r="AB475" i="34"/>
  <c r="R475" i="34"/>
  <c r="A475" i="34"/>
  <c r="AP474" i="34"/>
  <c r="AR474" i="34" s="1"/>
  <c r="AO474" i="34"/>
  <c r="AQ474" i="34" s="1"/>
  <c r="AD474" i="34"/>
  <c r="AC474" i="34"/>
  <c r="AB474" i="34"/>
  <c r="R474" i="34"/>
  <c r="AI474" i="34" s="1"/>
  <c r="A474" i="34"/>
  <c r="AP473" i="34"/>
  <c r="AR473" i="34" s="1"/>
  <c r="AO473" i="34"/>
  <c r="AQ473" i="34" s="1"/>
  <c r="AF473" i="34"/>
  <c r="AD473" i="34"/>
  <c r="AC473" i="34"/>
  <c r="AB473" i="34"/>
  <c r="R473" i="34"/>
  <c r="AG473" i="34" s="1"/>
  <c r="A473" i="34"/>
  <c r="AP472" i="34"/>
  <c r="AR472" i="34" s="1"/>
  <c r="AO472" i="34"/>
  <c r="AQ472" i="34" s="1"/>
  <c r="AF472" i="34"/>
  <c r="AD472" i="34"/>
  <c r="AC472" i="34"/>
  <c r="AB472" i="34"/>
  <c r="R472" i="34"/>
  <c r="AT472" i="34" s="1"/>
  <c r="A472" i="34"/>
  <c r="AP471" i="34"/>
  <c r="AR471" i="34" s="1"/>
  <c r="AO471" i="34"/>
  <c r="AQ471" i="34" s="1"/>
  <c r="AS471" i="34"/>
  <c r="AD471" i="34"/>
  <c r="AC471" i="34"/>
  <c r="AB471" i="34"/>
  <c r="R471" i="34"/>
  <c r="AG471" i="34" s="1"/>
  <c r="A471" i="34"/>
  <c r="AP470" i="34"/>
  <c r="AR470" i="34" s="1"/>
  <c r="AO470" i="34"/>
  <c r="AQ470" i="34" s="1"/>
  <c r="AF470" i="34"/>
  <c r="AD470" i="34"/>
  <c r="AC470" i="34"/>
  <c r="AB470" i="34"/>
  <c r="R470" i="34"/>
  <c r="AI470" i="34" s="1"/>
  <c r="A470" i="34"/>
  <c r="AP469" i="34"/>
  <c r="AR469" i="34" s="1"/>
  <c r="AO469" i="34"/>
  <c r="AQ469" i="34" s="1"/>
  <c r="AS469" i="34"/>
  <c r="AD469" i="34"/>
  <c r="AC469" i="34"/>
  <c r="AB469" i="34"/>
  <c r="R469" i="34"/>
  <c r="AG469" i="34" s="1"/>
  <c r="A469" i="34"/>
  <c r="AP468" i="34"/>
  <c r="AR468" i="34" s="1"/>
  <c r="AO468" i="34"/>
  <c r="AQ468" i="34" s="1"/>
  <c r="AF468" i="34"/>
  <c r="AD468" i="34"/>
  <c r="AC468" i="34"/>
  <c r="AB468" i="34"/>
  <c r="R468" i="34"/>
  <c r="AG468" i="34" s="1"/>
  <c r="AT468" i="34" s="1"/>
  <c r="A468" i="34"/>
  <c r="AP467" i="34"/>
  <c r="AR467" i="34" s="1"/>
  <c r="AO467" i="34"/>
  <c r="AQ467" i="34" s="1"/>
  <c r="AS467" i="34"/>
  <c r="AD467" i="34"/>
  <c r="AC467" i="34"/>
  <c r="AB467" i="34"/>
  <c r="R467" i="34"/>
  <c r="AG467" i="34" s="1"/>
  <c r="A467" i="34"/>
  <c r="AP466" i="34"/>
  <c r="AR466" i="34" s="1"/>
  <c r="AO466" i="34"/>
  <c r="AQ466" i="34" s="1"/>
  <c r="AF466" i="34"/>
  <c r="AD466" i="34"/>
  <c r="AC466" i="34"/>
  <c r="AB466" i="34"/>
  <c r="R466" i="34"/>
  <c r="AG466" i="34" s="1"/>
  <c r="AI466" i="34" s="1"/>
  <c r="A466" i="34"/>
  <c r="AP465" i="34"/>
  <c r="AR465" i="34" s="1"/>
  <c r="AO465" i="34"/>
  <c r="AQ465" i="34" s="1"/>
  <c r="AS465" i="34"/>
  <c r="AD465" i="34"/>
  <c r="AC465" i="34"/>
  <c r="AB465" i="34"/>
  <c r="R465" i="34"/>
  <c r="A465" i="34"/>
  <c r="AP464" i="34"/>
  <c r="AR464" i="34" s="1"/>
  <c r="AO464" i="34"/>
  <c r="AQ464" i="34" s="1"/>
  <c r="AF464" i="34"/>
  <c r="AD464" i="34"/>
  <c r="AC464" i="34"/>
  <c r="AB464" i="34"/>
  <c r="R464" i="34"/>
  <c r="AG464" i="34" s="1"/>
  <c r="A464" i="34"/>
  <c r="AP463" i="34"/>
  <c r="AR463" i="34" s="1"/>
  <c r="AO463" i="34"/>
  <c r="AQ463" i="34" s="1"/>
  <c r="AI463" i="34"/>
  <c r="AS463" i="34"/>
  <c r="AD463" i="34"/>
  <c r="AC463" i="34"/>
  <c r="AB463" i="34"/>
  <c r="R463" i="34"/>
  <c r="AG463" i="34" s="1"/>
  <c r="A463" i="34"/>
  <c r="AP462" i="34"/>
  <c r="AR462" i="34" s="1"/>
  <c r="AO462" i="34"/>
  <c r="AQ462" i="34" s="1"/>
  <c r="AF462" i="34"/>
  <c r="AD462" i="34"/>
  <c r="AC462" i="34"/>
  <c r="AB462" i="34"/>
  <c r="R462" i="34"/>
  <c r="AG462" i="34" s="1"/>
  <c r="A462" i="34"/>
  <c r="AP461" i="34"/>
  <c r="AR461" i="34" s="1"/>
  <c r="AO461" i="34"/>
  <c r="AQ461" i="34" s="1"/>
  <c r="AS461" i="34"/>
  <c r="AD461" i="34"/>
  <c r="AC461" i="34"/>
  <c r="AB461" i="34"/>
  <c r="R461" i="34"/>
  <c r="AG461" i="34" s="1"/>
  <c r="A461" i="34"/>
  <c r="AP460" i="34"/>
  <c r="AR460" i="34" s="1"/>
  <c r="AO460" i="34"/>
  <c r="AQ460" i="34" s="1"/>
  <c r="AI460" i="34"/>
  <c r="AJ460" i="34" s="1"/>
  <c r="AE460" i="34"/>
  <c r="AD460" i="34"/>
  <c r="AC460" i="34"/>
  <c r="AB460" i="34"/>
  <c r="R460" i="34"/>
  <c r="AG460" i="34" s="1"/>
  <c r="A460" i="34"/>
  <c r="AP459" i="34"/>
  <c r="AR459" i="34" s="1"/>
  <c r="AO459" i="34"/>
  <c r="AQ459" i="34" s="1"/>
  <c r="AS459" i="34"/>
  <c r="AD459" i="34"/>
  <c r="AC459" i="34"/>
  <c r="AB459" i="34"/>
  <c r="R459" i="34"/>
  <c r="AG459" i="34" s="1"/>
  <c r="A459" i="34"/>
  <c r="AP458" i="34"/>
  <c r="AR458" i="34" s="1"/>
  <c r="AO458" i="34"/>
  <c r="AQ458" i="34" s="1"/>
  <c r="AI458" i="34"/>
  <c r="AJ458" i="34" s="1"/>
  <c r="AF458" i="34"/>
  <c r="AD458" i="34"/>
  <c r="AC458" i="34"/>
  <c r="AB458" i="34"/>
  <c r="R458" i="34"/>
  <c r="AG458" i="34" s="1"/>
  <c r="AT458" i="34" s="1"/>
  <c r="A458" i="34"/>
  <c r="AP457" i="34"/>
  <c r="AR457" i="34" s="1"/>
  <c r="AO457" i="34"/>
  <c r="AQ457" i="34" s="1"/>
  <c r="AS457" i="34"/>
  <c r="AD457" i="34"/>
  <c r="AC457" i="34"/>
  <c r="AB457" i="34"/>
  <c r="R457" i="34"/>
  <c r="AG457" i="34" s="1"/>
  <c r="A457" i="34"/>
  <c r="AP456" i="34"/>
  <c r="AR456" i="34" s="1"/>
  <c r="AO456" i="34"/>
  <c r="AQ456" i="34" s="1"/>
  <c r="AS456" i="34"/>
  <c r="AD456" i="34"/>
  <c r="AC456" i="34"/>
  <c r="AB456" i="34"/>
  <c r="R456" i="34"/>
  <c r="A456" i="34"/>
  <c r="AP455" i="34"/>
  <c r="AR455" i="34" s="1"/>
  <c r="AO455" i="34"/>
  <c r="AQ455" i="34" s="1"/>
  <c r="AF455" i="34"/>
  <c r="AD455" i="34"/>
  <c r="AC455" i="34"/>
  <c r="AB455" i="34"/>
  <c r="R455" i="34"/>
  <c r="AI455" i="34" s="1"/>
  <c r="A455" i="34"/>
  <c r="AP454" i="34"/>
  <c r="AR454" i="34" s="1"/>
  <c r="AO454" i="34"/>
  <c r="AQ454" i="34" s="1"/>
  <c r="AI454" i="34"/>
  <c r="AS454" i="34"/>
  <c r="AD454" i="34"/>
  <c r="AC454" i="34"/>
  <c r="AB454" i="34"/>
  <c r="R454" i="34"/>
  <c r="AG454" i="34" s="1"/>
  <c r="A454" i="34"/>
  <c r="AP453" i="34"/>
  <c r="AR453" i="34" s="1"/>
  <c r="AO453" i="34"/>
  <c r="AQ453" i="34" s="1"/>
  <c r="AI453" i="34"/>
  <c r="AJ453" i="34" s="1"/>
  <c r="AD453" i="34"/>
  <c r="AC453" i="34"/>
  <c r="AB453" i="34"/>
  <c r="R453" i="34"/>
  <c r="AG453" i="34" s="1"/>
  <c r="A453" i="34"/>
  <c r="AP452" i="34"/>
  <c r="AR452" i="34" s="1"/>
  <c r="AO452" i="34"/>
  <c r="AQ452" i="34" s="1"/>
  <c r="AI452" i="34"/>
  <c r="AF452" i="34"/>
  <c r="AD452" i="34"/>
  <c r="AC452" i="34"/>
  <c r="AB452" i="34"/>
  <c r="R452" i="34"/>
  <c r="AG452" i="34" s="1"/>
  <c r="A452" i="34"/>
  <c r="AP451" i="34"/>
  <c r="AR451" i="34" s="1"/>
  <c r="AO451" i="34"/>
  <c r="AQ451" i="34" s="1"/>
  <c r="AS451" i="34"/>
  <c r="AD451" i="34"/>
  <c r="AC451" i="34"/>
  <c r="AB451" i="34"/>
  <c r="R451" i="34"/>
  <c r="AG451" i="34" s="1"/>
  <c r="AI451" i="34" s="1"/>
  <c r="A451" i="34"/>
  <c r="AP450" i="34"/>
  <c r="AR450" i="34" s="1"/>
  <c r="AO450" i="34"/>
  <c r="AQ450" i="34" s="1"/>
  <c r="AI450" i="34"/>
  <c r="AJ450" i="34" s="1"/>
  <c r="AF450" i="34"/>
  <c r="AD450" i="34"/>
  <c r="AC450" i="34"/>
  <c r="AB450" i="34"/>
  <c r="R450" i="34"/>
  <c r="AG450" i="34" s="1"/>
  <c r="AH450" i="34" s="1"/>
  <c r="A450" i="34"/>
  <c r="AP449" i="34"/>
  <c r="AR449" i="34" s="1"/>
  <c r="AO449" i="34"/>
  <c r="AQ449" i="34" s="1"/>
  <c r="AI449" i="34"/>
  <c r="AJ449" i="34" s="1"/>
  <c r="AF449" i="34"/>
  <c r="AD449" i="34"/>
  <c r="AC449" i="34"/>
  <c r="AB449" i="34"/>
  <c r="R449" i="34"/>
  <c r="AG449" i="34" s="1"/>
  <c r="A449" i="34"/>
  <c r="AP448" i="34"/>
  <c r="AR448" i="34" s="1"/>
  <c r="AO448" i="34"/>
  <c r="AQ448" i="34" s="1"/>
  <c r="AF448" i="34"/>
  <c r="AD448" i="34"/>
  <c r="AC448" i="34"/>
  <c r="AB448" i="34"/>
  <c r="R448" i="34"/>
  <c r="AG448" i="34" s="1"/>
  <c r="AI448" i="34" s="1"/>
  <c r="A448" i="34"/>
  <c r="AP447" i="34"/>
  <c r="AR447" i="34" s="1"/>
  <c r="AO447" i="34"/>
  <c r="AQ447" i="34" s="1"/>
  <c r="AI447" i="34"/>
  <c r="AS447" i="34"/>
  <c r="AD447" i="34"/>
  <c r="AC447" i="34"/>
  <c r="AB447" i="34"/>
  <c r="R447" i="34"/>
  <c r="AG447" i="34" s="1"/>
  <c r="A447" i="34"/>
  <c r="AP446" i="34"/>
  <c r="AR446" i="34" s="1"/>
  <c r="AO446" i="34"/>
  <c r="AQ446" i="34" s="1"/>
  <c r="AI446" i="34"/>
  <c r="AJ446" i="34" s="1"/>
  <c r="AF446" i="34"/>
  <c r="AD446" i="34"/>
  <c r="AC446" i="34"/>
  <c r="AB446" i="34"/>
  <c r="R446" i="34"/>
  <c r="AG446" i="34" s="1"/>
  <c r="A446" i="34"/>
  <c r="AP445" i="34"/>
  <c r="AR445" i="34" s="1"/>
  <c r="AO445" i="34"/>
  <c r="AQ445" i="34" s="1"/>
  <c r="AS445" i="34"/>
  <c r="AD445" i="34"/>
  <c r="AC445" i="34"/>
  <c r="AB445" i="34"/>
  <c r="R445" i="34"/>
  <c r="AG445" i="34" s="1"/>
  <c r="A445" i="34"/>
  <c r="AP444" i="34"/>
  <c r="AR444" i="34" s="1"/>
  <c r="AO444" i="34"/>
  <c r="AQ444" i="34" s="1"/>
  <c r="AI444" i="34"/>
  <c r="AJ444" i="34" s="1"/>
  <c r="AF444" i="34"/>
  <c r="AD444" i="34"/>
  <c r="AC444" i="34"/>
  <c r="AB444" i="34"/>
  <c r="R444" i="34"/>
  <c r="AG444" i="34" s="1"/>
  <c r="AH444" i="34" s="1"/>
  <c r="A444" i="34"/>
  <c r="AP443" i="34"/>
  <c r="AR443" i="34" s="1"/>
  <c r="AO443" i="34"/>
  <c r="AQ443" i="34" s="1"/>
  <c r="AI443" i="34"/>
  <c r="AJ443" i="34" s="1"/>
  <c r="AF443" i="34"/>
  <c r="AD443" i="34"/>
  <c r="AC443" i="34"/>
  <c r="AB443" i="34"/>
  <c r="R443" i="34"/>
  <c r="AG443" i="34" s="1"/>
  <c r="AH443" i="34" s="1"/>
  <c r="A443" i="34"/>
  <c r="AP442" i="34"/>
  <c r="AR442" i="34" s="1"/>
  <c r="AO442" i="34"/>
  <c r="AQ442" i="34" s="1"/>
  <c r="AD442" i="34"/>
  <c r="AC442" i="34"/>
  <c r="AB442" i="34"/>
  <c r="R442" i="34"/>
  <c r="AG442" i="34" s="1"/>
  <c r="A442" i="34"/>
  <c r="AP441" i="34"/>
  <c r="AR441" i="34" s="1"/>
  <c r="AO441" i="34"/>
  <c r="AQ441" i="34" s="1"/>
  <c r="AI441" i="34"/>
  <c r="AE441" i="34"/>
  <c r="AF441" i="34" s="1"/>
  <c r="AD441" i="34"/>
  <c r="AC441" i="34"/>
  <c r="AB441" i="34"/>
  <c r="R441" i="34"/>
  <c r="AG441" i="34" s="1"/>
  <c r="A441" i="34"/>
  <c r="AP440" i="34"/>
  <c r="AR440" i="34" s="1"/>
  <c r="AO440" i="34"/>
  <c r="AQ440" i="34" s="1"/>
  <c r="AI440" i="34"/>
  <c r="AJ440" i="34" s="1"/>
  <c r="AE440" i="34"/>
  <c r="AS440" i="34" s="1"/>
  <c r="AD440" i="34"/>
  <c r="AC440" i="34"/>
  <c r="AB440" i="34"/>
  <c r="R440" i="34"/>
  <c r="AG440" i="34" s="1"/>
  <c r="AH440" i="34" s="1"/>
  <c r="A440" i="34"/>
  <c r="AP439" i="34"/>
  <c r="AR439" i="34" s="1"/>
  <c r="AO439" i="34"/>
  <c r="AQ439" i="34" s="1"/>
  <c r="AI439" i="34"/>
  <c r="AJ439" i="34" s="1"/>
  <c r="AF439" i="34"/>
  <c r="AD439" i="34"/>
  <c r="AC439" i="34"/>
  <c r="AB439" i="34"/>
  <c r="R439" i="34"/>
  <c r="AG439" i="34" s="1"/>
  <c r="AH439" i="34" s="1"/>
  <c r="A439" i="34"/>
  <c r="AP438" i="34"/>
  <c r="AR438" i="34" s="1"/>
  <c r="AO438" i="34"/>
  <c r="AQ438" i="34" s="1"/>
  <c r="AF438" i="34"/>
  <c r="AD438" i="34"/>
  <c r="AC438" i="34"/>
  <c r="AB438" i="34"/>
  <c r="R438" i="34"/>
  <c r="A438" i="34"/>
  <c r="AP437" i="34"/>
  <c r="AR437" i="34" s="1"/>
  <c r="AO437" i="34"/>
  <c r="AQ437" i="34" s="1"/>
  <c r="AS437" i="34"/>
  <c r="AD437" i="34"/>
  <c r="AC437" i="34"/>
  <c r="AB437" i="34"/>
  <c r="R437" i="34"/>
  <c r="AI437" i="34" s="1"/>
  <c r="A437" i="34"/>
  <c r="AP436" i="34"/>
  <c r="AR436" i="34" s="1"/>
  <c r="AO436" i="34"/>
  <c r="AQ436" i="34" s="1"/>
  <c r="AF436" i="34"/>
  <c r="AD436" i="34"/>
  <c r="AC436" i="34"/>
  <c r="AB436" i="34"/>
  <c r="R436" i="34"/>
  <c r="AH436" i="34" s="1"/>
  <c r="A436" i="34"/>
  <c r="AP435" i="34"/>
  <c r="AR435" i="34" s="1"/>
  <c r="AO435" i="34"/>
  <c r="AQ435" i="34" s="1"/>
  <c r="AF435" i="34"/>
  <c r="AD435" i="34"/>
  <c r="AC435" i="34"/>
  <c r="AB435" i="34"/>
  <c r="R435" i="34"/>
  <c r="AG435" i="34" s="1"/>
  <c r="A435" i="34"/>
  <c r="AP434" i="34"/>
  <c r="AR434" i="34" s="1"/>
  <c r="AO434" i="34"/>
  <c r="AQ434" i="34" s="1"/>
  <c r="AF434" i="34"/>
  <c r="AD434" i="34"/>
  <c r="AC434" i="34"/>
  <c r="AB434" i="34"/>
  <c r="R434" i="34"/>
  <c r="A434" i="34"/>
  <c r="AP433" i="34"/>
  <c r="AR433" i="34" s="1"/>
  <c r="AO433" i="34"/>
  <c r="AQ433" i="34" s="1"/>
  <c r="AS433" i="34"/>
  <c r="AD433" i="34"/>
  <c r="AC433" i="34"/>
  <c r="AB433" i="34"/>
  <c r="R433" i="34"/>
  <c r="AI433" i="34" s="1"/>
  <c r="A433" i="34"/>
  <c r="AP432" i="34"/>
  <c r="AR432" i="34" s="1"/>
  <c r="AO432" i="34"/>
  <c r="AQ432" i="34" s="1"/>
  <c r="AF432" i="34"/>
  <c r="AD432" i="34"/>
  <c r="AC432" i="34"/>
  <c r="AB432" i="34"/>
  <c r="R432" i="34"/>
  <c r="AG432" i="34" s="1"/>
  <c r="AH432" i="34" s="1"/>
  <c r="A432" i="34"/>
  <c r="AP431" i="34"/>
  <c r="AR431" i="34" s="1"/>
  <c r="AO431" i="34"/>
  <c r="AQ431" i="34" s="1"/>
  <c r="AF431" i="34"/>
  <c r="AD431" i="34"/>
  <c r="AC431" i="34"/>
  <c r="AB431" i="34"/>
  <c r="R431" i="34"/>
  <c r="AG431" i="34" s="1"/>
  <c r="A431" i="34"/>
  <c r="AP430" i="34"/>
  <c r="AR430" i="34" s="1"/>
  <c r="AO430" i="34"/>
  <c r="AQ430" i="34" s="1"/>
  <c r="AF430" i="34"/>
  <c r="AD430" i="34"/>
  <c r="AC430" i="34"/>
  <c r="AB430" i="34"/>
  <c r="R430" i="34"/>
  <c r="AG430" i="34" s="1"/>
  <c r="A430" i="34"/>
  <c r="AP429" i="34"/>
  <c r="AR429" i="34" s="1"/>
  <c r="AO429" i="34"/>
  <c r="AQ429" i="34" s="1"/>
  <c r="AS429" i="34"/>
  <c r="AD429" i="34"/>
  <c r="AC429" i="34"/>
  <c r="AB429" i="34"/>
  <c r="R429" i="34"/>
  <c r="AG429" i="34" s="1"/>
  <c r="AI429" i="34" s="1"/>
  <c r="A429" i="34"/>
  <c r="AP428" i="34"/>
  <c r="AR428" i="34" s="1"/>
  <c r="AO428" i="34"/>
  <c r="AQ428" i="34" s="1"/>
  <c r="AF428" i="34"/>
  <c r="AD428" i="34"/>
  <c r="AC428" i="34"/>
  <c r="AB428" i="34"/>
  <c r="R428" i="34"/>
  <c r="AG428" i="34" s="1"/>
  <c r="AH428" i="34" s="1"/>
  <c r="A428" i="34"/>
  <c r="AP427" i="34"/>
  <c r="AR427" i="34" s="1"/>
  <c r="AO427" i="34"/>
  <c r="AQ427" i="34" s="1"/>
  <c r="AF427" i="34"/>
  <c r="AD427" i="34"/>
  <c r="AC427" i="34"/>
  <c r="AB427" i="34"/>
  <c r="R427" i="34"/>
  <c r="AG427" i="34" s="1"/>
  <c r="A427" i="34"/>
  <c r="AP426" i="34"/>
  <c r="AR426" i="34" s="1"/>
  <c r="AO426" i="34"/>
  <c r="AQ426" i="34" s="1"/>
  <c r="AD426" i="34"/>
  <c r="AC426" i="34"/>
  <c r="AB426" i="34"/>
  <c r="R426" i="34"/>
  <c r="AG426" i="34" s="1"/>
  <c r="A426" i="34"/>
  <c r="AP425" i="34"/>
  <c r="AR425" i="34" s="1"/>
  <c r="AO425" i="34"/>
  <c r="AQ425" i="34" s="1"/>
  <c r="AS425" i="34"/>
  <c r="AD425" i="34"/>
  <c r="AC425" i="34"/>
  <c r="AB425" i="34"/>
  <c r="R425" i="34"/>
  <c r="AI425" i="34" s="1"/>
  <c r="A425" i="34"/>
  <c r="AP424" i="34"/>
  <c r="AR424" i="34" s="1"/>
  <c r="AO424" i="34"/>
  <c r="AQ424" i="34" s="1"/>
  <c r="AF424" i="34"/>
  <c r="AD424" i="34"/>
  <c r="AC424" i="34"/>
  <c r="AB424" i="34"/>
  <c r="R424" i="34"/>
  <c r="AG424" i="34" s="1"/>
  <c r="AH424" i="34" s="1"/>
  <c r="A424" i="34"/>
  <c r="AP423" i="34"/>
  <c r="AR423" i="34" s="1"/>
  <c r="AO423" i="34"/>
  <c r="AQ423" i="34" s="1"/>
  <c r="AF423" i="34"/>
  <c r="AD423" i="34"/>
  <c r="AC423" i="34"/>
  <c r="AB423" i="34"/>
  <c r="R423" i="34"/>
  <c r="AG423" i="34" s="1"/>
  <c r="A423" i="34"/>
  <c r="AP422" i="34"/>
  <c r="AR422" i="34" s="1"/>
  <c r="AO422" i="34"/>
  <c r="AQ422" i="34" s="1"/>
  <c r="AE422" i="34"/>
  <c r="AS422" i="34" s="1"/>
  <c r="AD422" i="34"/>
  <c r="AC422" i="34"/>
  <c r="AB422" i="34"/>
  <c r="R422" i="34"/>
  <c r="AG422" i="34" s="1"/>
  <c r="A422" i="34"/>
  <c r="AP421" i="34"/>
  <c r="AR421" i="34" s="1"/>
  <c r="AO421" i="34"/>
  <c r="AQ421" i="34" s="1"/>
  <c r="AS421" i="34"/>
  <c r="AD421" i="34"/>
  <c r="AC421" i="34"/>
  <c r="AB421" i="34"/>
  <c r="R421" i="34"/>
  <c r="AI421" i="34" s="1"/>
  <c r="A421" i="34"/>
  <c r="AP420" i="34"/>
  <c r="AR420" i="34" s="1"/>
  <c r="AO420" i="34"/>
  <c r="AQ420" i="34" s="1"/>
  <c r="AI420" i="34"/>
  <c r="AJ420" i="34" s="1"/>
  <c r="AF420" i="34"/>
  <c r="AD420" i="34"/>
  <c r="AC420" i="34"/>
  <c r="AB420" i="34"/>
  <c r="R420" i="34"/>
  <c r="AG420" i="34" s="1"/>
  <c r="A420" i="34"/>
  <c r="AP419" i="34"/>
  <c r="AR419" i="34" s="1"/>
  <c r="AO419" i="34"/>
  <c r="AQ419" i="34" s="1"/>
  <c r="AF419" i="34"/>
  <c r="AD419" i="34"/>
  <c r="AC419" i="34"/>
  <c r="AB419" i="34"/>
  <c r="R419" i="34"/>
  <c r="A419" i="34"/>
  <c r="AP418" i="34"/>
  <c r="AR418" i="34" s="1"/>
  <c r="AO418" i="34"/>
  <c r="AQ418" i="34" s="1"/>
  <c r="AD418" i="34"/>
  <c r="AC418" i="34"/>
  <c r="AB418" i="34"/>
  <c r="R418" i="34"/>
  <c r="AI418" i="34" s="1"/>
  <c r="A418" i="34"/>
  <c r="AP417" i="34"/>
  <c r="AR417" i="34" s="1"/>
  <c r="AO417" i="34"/>
  <c r="AQ417" i="34" s="1"/>
  <c r="AI417" i="34"/>
  <c r="AJ417" i="34" s="1"/>
  <c r="AF417" i="34"/>
  <c r="AD417" i="34"/>
  <c r="AC417" i="34"/>
  <c r="AB417" i="34"/>
  <c r="R417" i="34"/>
  <c r="A417" i="34"/>
  <c r="AP416" i="34"/>
  <c r="AR416" i="34" s="1"/>
  <c r="AO416" i="34"/>
  <c r="AQ416" i="34" s="1"/>
  <c r="AI416" i="34"/>
  <c r="AJ416" i="34" s="1"/>
  <c r="AS416" i="34"/>
  <c r="AD416" i="34"/>
  <c r="AC416" i="34"/>
  <c r="AB416" i="34"/>
  <c r="R416" i="34"/>
  <c r="A416" i="34"/>
  <c r="AP415" i="34"/>
  <c r="AR415" i="34" s="1"/>
  <c r="AO415" i="34"/>
  <c r="AQ415" i="34" s="1"/>
  <c r="AI415" i="34"/>
  <c r="AE415" i="34"/>
  <c r="AS415" i="34" s="1"/>
  <c r="AD415" i="34"/>
  <c r="AC415" i="34"/>
  <c r="AB415" i="34"/>
  <c r="R415" i="34"/>
  <c r="AG415" i="34" s="1"/>
  <c r="A415" i="34"/>
  <c r="AP414" i="34"/>
  <c r="AR414" i="34" s="1"/>
  <c r="AO414" i="34"/>
  <c r="AQ414" i="34" s="1"/>
  <c r="AI414" i="34"/>
  <c r="AD414" i="34"/>
  <c r="AC414" i="34"/>
  <c r="AB414" i="34"/>
  <c r="R414" i="34"/>
  <c r="A414" i="34"/>
  <c r="AP413" i="34"/>
  <c r="AR413" i="34" s="1"/>
  <c r="AO413" i="34"/>
  <c r="AQ413" i="34" s="1"/>
  <c r="AI413" i="34"/>
  <c r="AJ413" i="34" s="1"/>
  <c r="AF413" i="34"/>
  <c r="AD413" i="34"/>
  <c r="AC413" i="34"/>
  <c r="AB413" i="34"/>
  <c r="R413" i="34"/>
  <c r="A413" i="34"/>
  <c r="AP412" i="34"/>
  <c r="AR412" i="34" s="1"/>
  <c r="AO412" i="34"/>
  <c r="AQ412" i="34" s="1"/>
  <c r="AI412" i="34"/>
  <c r="AJ412" i="34" s="1"/>
  <c r="AS412" i="34"/>
  <c r="AD412" i="34"/>
  <c r="AC412" i="34"/>
  <c r="AB412" i="34"/>
  <c r="R412" i="34"/>
  <c r="AG412" i="34" s="1"/>
  <c r="A412" i="34"/>
  <c r="AP411" i="34"/>
  <c r="AR411" i="34" s="1"/>
  <c r="AO411" i="34"/>
  <c r="AQ411" i="34" s="1"/>
  <c r="AF411" i="34"/>
  <c r="AD411" i="34"/>
  <c r="AC411" i="34"/>
  <c r="AB411" i="34"/>
  <c r="R411" i="34"/>
  <c r="A411" i="34"/>
  <c r="AP410" i="34"/>
  <c r="AR410" i="34" s="1"/>
  <c r="AO410" i="34"/>
  <c r="AQ410" i="34" s="1"/>
  <c r="AS410" i="34"/>
  <c r="AD410" i="34"/>
  <c r="AC410" i="34"/>
  <c r="AB410" i="34"/>
  <c r="R410" i="34"/>
  <c r="AG410" i="34" s="1"/>
  <c r="A410" i="34"/>
  <c r="AP409" i="34"/>
  <c r="AR409" i="34" s="1"/>
  <c r="AO409" i="34"/>
  <c r="AQ409" i="34" s="1"/>
  <c r="AI409" i="34"/>
  <c r="AJ409" i="34" s="1"/>
  <c r="AD409" i="34"/>
  <c r="AC409" i="34"/>
  <c r="AB409" i="34"/>
  <c r="R409" i="34"/>
  <c r="AG409" i="34" s="1"/>
  <c r="A409" i="34"/>
  <c r="AP408" i="34"/>
  <c r="AR408" i="34" s="1"/>
  <c r="AO408" i="34"/>
  <c r="AQ408" i="34" s="1"/>
  <c r="AS408" i="34"/>
  <c r="AD408" i="34"/>
  <c r="AC408" i="34"/>
  <c r="AB408" i="34"/>
  <c r="R408" i="34"/>
  <c r="A408" i="34"/>
  <c r="AP407" i="34"/>
  <c r="AR407" i="34" s="1"/>
  <c r="AO407" i="34"/>
  <c r="AQ407" i="34" s="1"/>
  <c r="AI407" i="34"/>
  <c r="AJ407" i="34" s="1"/>
  <c r="AF407" i="34"/>
  <c r="AD407" i="34"/>
  <c r="AC407" i="34"/>
  <c r="AB407" i="34"/>
  <c r="R407" i="34"/>
  <c r="A407" i="34"/>
  <c r="AP406" i="34"/>
  <c r="AR406" i="34" s="1"/>
  <c r="AO406" i="34"/>
  <c r="AQ406" i="34" s="1"/>
  <c r="AI406" i="34"/>
  <c r="AJ406" i="34" s="1"/>
  <c r="AF406" i="34"/>
  <c r="AD406" i="34"/>
  <c r="AC406" i="34"/>
  <c r="AB406" i="34"/>
  <c r="R406" i="34"/>
  <c r="AG406" i="34" s="1"/>
  <c r="A406" i="34"/>
  <c r="AP405" i="34"/>
  <c r="AR405" i="34" s="1"/>
  <c r="AO405" i="34"/>
  <c r="AQ405" i="34" s="1"/>
  <c r="AS405" i="34"/>
  <c r="AD405" i="34"/>
  <c r="AC405" i="34"/>
  <c r="AB405" i="34"/>
  <c r="R405" i="34"/>
  <c r="A405" i="34"/>
  <c r="AP404" i="34"/>
  <c r="AR404" i="34" s="1"/>
  <c r="AO404" i="34"/>
  <c r="AQ404" i="34" s="1"/>
  <c r="AS404" i="34"/>
  <c r="AD404" i="34"/>
  <c r="AC404" i="34"/>
  <c r="AB404" i="34"/>
  <c r="R404" i="34"/>
  <c r="AI404" i="34" s="1"/>
  <c r="A404" i="34"/>
  <c r="AP403" i="34"/>
  <c r="AR403" i="34" s="1"/>
  <c r="AO403" i="34"/>
  <c r="AQ403" i="34" s="1"/>
  <c r="AI403" i="34"/>
  <c r="AJ403" i="34" s="1"/>
  <c r="AE403" i="34"/>
  <c r="AS403" i="34" s="1"/>
  <c r="AD403" i="34"/>
  <c r="AC403" i="34"/>
  <c r="AB403" i="34"/>
  <c r="R403" i="34"/>
  <c r="AG403" i="34" s="1"/>
  <c r="A403" i="34"/>
  <c r="AP402" i="34"/>
  <c r="AR402" i="34" s="1"/>
  <c r="AO402" i="34"/>
  <c r="AQ402" i="34" s="1"/>
  <c r="AI402" i="34"/>
  <c r="AJ402" i="34" s="1"/>
  <c r="AE402" i="34"/>
  <c r="AD402" i="34"/>
  <c r="AC402" i="34"/>
  <c r="AB402" i="34"/>
  <c r="R402" i="34"/>
  <c r="AG402" i="34" s="1"/>
  <c r="A402" i="34"/>
  <c r="AP401" i="34"/>
  <c r="AR401" i="34" s="1"/>
  <c r="AO401" i="34"/>
  <c r="AQ401" i="34" s="1"/>
  <c r="AI401" i="34"/>
  <c r="AJ401" i="34" s="1"/>
  <c r="AD401" i="34"/>
  <c r="AC401" i="34"/>
  <c r="AB401" i="34"/>
  <c r="R401" i="34"/>
  <c r="AG401" i="34" s="1"/>
  <c r="A401" i="34"/>
  <c r="AP400" i="34"/>
  <c r="AR400" i="34" s="1"/>
  <c r="AO400" i="34"/>
  <c r="AQ400" i="34" s="1"/>
  <c r="AS400" i="34"/>
  <c r="AD400" i="34"/>
  <c r="AC400" i="34"/>
  <c r="AB400" i="34"/>
  <c r="R400" i="34"/>
  <c r="A400" i="34"/>
  <c r="AP399" i="34"/>
  <c r="AR399" i="34" s="1"/>
  <c r="AO399" i="34"/>
  <c r="AQ399" i="34" s="1"/>
  <c r="AD399" i="34"/>
  <c r="AC399" i="34"/>
  <c r="AB399" i="34"/>
  <c r="R399" i="34"/>
  <c r="AI399" i="34" s="1"/>
  <c r="A399" i="34"/>
  <c r="AP398" i="34"/>
  <c r="AR398" i="34" s="1"/>
  <c r="AO398" i="34"/>
  <c r="AQ398" i="34" s="1"/>
  <c r="AD398" i="34"/>
  <c r="AC398" i="34"/>
  <c r="AB398" i="34"/>
  <c r="R398" i="34"/>
  <c r="AH398" i="34" s="1"/>
  <c r="A398" i="34"/>
  <c r="AP397" i="34"/>
  <c r="AR397" i="34" s="1"/>
  <c r="AO397" i="34"/>
  <c r="AQ397" i="34" s="1"/>
  <c r="AS397" i="34"/>
  <c r="AD397" i="34"/>
  <c r="AC397" i="34"/>
  <c r="AB397" i="34"/>
  <c r="R397" i="34"/>
  <c r="AI397" i="34" s="1"/>
  <c r="AJ397" i="34" s="1"/>
  <c r="A397" i="34"/>
  <c r="AP396" i="34"/>
  <c r="AR396" i="34" s="1"/>
  <c r="AO396" i="34"/>
  <c r="AQ396" i="34" s="1"/>
  <c r="AI396" i="34"/>
  <c r="AJ396" i="34" s="1"/>
  <c r="AS396" i="34"/>
  <c r="AD396" i="34"/>
  <c r="AC396" i="34"/>
  <c r="AB396" i="34"/>
  <c r="R396" i="34"/>
  <c r="A396" i="34"/>
  <c r="AP395" i="34"/>
  <c r="AR395" i="34" s="1"/>
  <c r="AO395" i="34"/>
  <c r="AQ395" i="34" s="1"/>
  <c r="AI395" i="34"/>
  <c r="AJ395" i="34" s="1"/>
  <c r="AD395" i="34"/>
  <c r="AC395" i="34"/>
  <c r="AB395" i="34"/>
  <c r="R395" i="34"/>
  <c r="AG395" i="34" s="1"/>
  <c r="A395" i="34"/>
  <c r="AP394" i="34"/>
  <c r="AR394" i="34" s="1"/>
  <c r="AO394" i="34"/>
  <c r="AQ394" i="34" s="1"/>
  <c r="AF394" i="34"/>
  <c r="AD394" i="34"/>
  <c r="AC394" i="34"/>
  <c r="AB394" i="34"/>
  <c r="R394" i="34"/>
  <c r="AH394" i="34" s="1"/>
  <c r="A394" i="34"/>
  <c r="AP393" i="34"/>
  <c r="AR393" i="34" s="1"/>
  <c r="AO393" i="34"/>
  <c r="AQ393" i="34" s="1"/>
  <c r="AS393" i="34"/>
  <c r="AD393" i="34"/>
  <c r="AC393" i="34"/>
  <c r="AB393" i="34"/>
  <c r="R393" i="34"/>
  <c r="AT393" i="34" s="1"/>
  <c r="A393" i="34"/>
  <c r="AP392" i="34"/>
  <c r="AR392" i="34" s="1"/>
  <c r="AO392" i="34"/>
  <c r="AQ392" i="34" s="1"/>
  <c r="AD392" i="34"/>
  <c r="AC392" i="34"/>
  <c r="AB392" i="34"/>
  <c r="R392" i="34"/>
  <c r="AT392" i="34" s="1"/>
  <c r="A392" i="34"/>
  <c r="AP391" i="34"/>
  <c r="AR391" i="34" s="1"/>
  <c r="AO391" i="34"/>
  <c r="AQ391" i="34" s="1"/>
  <c r="AS391" i="34"/>
  <c r="AD391" i="34"/>
  <c r="AC391" i="34"/>
  <c r="AB391" i="34"/>
  <c r="R391" i="34"/>
  <c r="A391" i="34"/>
  <c r="AP390" i="34"/>
  <c r="AR390" i="34" s="1"/>
  <c r="AO390" i="34"/>
  <c r="AQ390" i="34" s="1"/>
  <c r="AS390" i="34"/>
  <c r="AD390" i="34"/>
  <c r="AC390" i="34"/>
  <c r="AB390" i="34"/>
  <c r="R390" i="34"/>
  <c r="AI390" i="34" s="1"/>
  <c r="AK390" i="34" s="1"/>
  <c r="A390" i="34"/>
  <c r="AP389" i="34"/>
  <c r="AR389" i="34" s="1"/>
  <c r="AO389" i="34"/>
  <c r="AQ389" i="34" s="1"/>
  <c r="AI389" i="34"/>
  <c r="AF389" i="34"/>
  <c r="AD389" i="34"/>
  <c r="AC389" i="34"/>
  <c r="AB389" i="34"/>
  <c r="R389" i="34"/>
  <c r="AT389" i="34" s="1"/>
  <c r="A389" i="34"/>
  <c r="AP388" i="34"/>
  <c r="AR388" i="34" s="1"/>
  <c r="AO388" i="34"/>
  <c r="AQ388" i="34" s="1"/>
  <c r="AS388" i="34"/>
  <c r="AD388" i="34"/>
  <c r="AC388" i="34"/>
  <c r="AB388" i="34"/>
  <c r="R388" i="34"/>
  <c r="AG388" i="34" s="1"/>
  <c r="A388" i="34"/>
  <c r="AP387" i="34"/>
  <c r="AR387" i="34" s="1"/>
  <c r="AO387" i="34"/>
  <c r="AQ387" i="34" s="1"/>
  <c r="AD387" i="34"/>
  <c r="AC387" i="34"/>
  <c r="AB387" i="34"/>
  <c r="R387" i="34"/>
  <c r="AG387" i="34" s="1"/>
  <c r="AI387" i="34" s="1"/>
  <c r="AK387" i="34" s="1"/>
  <c r="AL387" i="34" s="1"/>
  <c r="A387" i="34"/>
  <c r="AP386" i="34"/>
  <c r="AR386" i="34" s="1"/>
  <c r="AO386" i="34"/>
  <c r="AQ386" i="34" s="1"/>
  <c r="AS386" i="34"/>
  <c r="AD386" i="34"/>
  <c r="AC386" i="34"/>
  <c r="AB386" i="34"/>
  <c r="R386" i="34"/>
  <c r="AI386" i="34" s="1"/>
  <c r="AK386" i="34" s="1"/>
  <c r="A386" i="34"/>
  <c r="AP385" i="34"/>
  <c r="AR385" i="34" s="1"/>
  <c r="AO385" i="34"/>
  <c r="AQ385" i="34" s="1"/>
  <c r="AS385" i="34"/>
  <c r="AD385" i="34"/>
  <c r="AC385" i="34"/>
  <c r="AB385" i="34"/>
  <c r="R385" i="34"/>
  <c r="AG385" i="34" s="1"/>
  <c r="AT385" i="34" s="1"/>
  <c r="A385" i="34"/>
  <c r="AP384" i="34"/>
  <c r="AR384" i="34" s="1"/>
  <c r="AO384" i="34"/>
  <c r="AQ384" i="34" s="1"/>
  <c r="AI384" i="34"/>
  <c r="AE384" i="34"/>
  <c r="AS384" i="34" s="1"/>
  <c r="AD384" i="34"/>
  <c r="AC384" i="34"/>
  <c r="AB384" i="34"/>
  <c r="R384" i="34"/>
  <c r="A384" i="34"/>
  <c r="AP383" i="34"/>
  <c r="AR383" i="34" s="1"/>
  <c r="AO383" i="34"/>
  <c r="AQ383" i="34" s="1"/>
  <c r="AI383" i="34"/>
  <c r="AJ383" i="34" s="1"/>
  <c r="AE383" i="34"/>
  <c r="AS383" i="34" s="1"/>
  <c r="AD383" i="34"/>
  <c r="AC383" i="34"/>
  <c r="AB383" i="34"/>
  <c r="R383" i="34"/>
  <c r="AG383" i="34" s="1"/>
  <c r="A383" i="34"/>
  <c r="AP382" i="34"/>
  <c r="AR382" i="34" s="1"/>
  <c r="AO382" i="34"/>
  <c r="AQ382" i="34" s="1"/>
  <c r="AI382" i="34"/>
  <c r="AJ382" i="34" s="1"/>
  <c r="AS382" i="34"/>
  <c r="AD382" i="34"/>
  <c r="AC382" i="34"/>
  <c r="AB382" i="34"/>
  <c r="R382" i="34"/>
  <c r="AT382" i="34" s="1"/>
  <c r="A382" i="34"/>
  <c r="AP381" i="34"/>
  <c r="AR381" i="34" s="1"/>
  <c r="AO381" i="34"/>
  <c r="AQ381" i="34" s="1"/>
  <c r="AS381" i="34"/>
  <c r="AD381" i="34"/>
  <c r="AC381" i="34"/>
  <c r="AB381" i="34"/>
  <c r="R381" i="34"/>
  <c r="AG381" i="34" s="1"/>
  <c r="AT381" i="34" s="1"/>
  <c r="A381" i="34"/>
  <c r="AP380" i="34"/>
  <c r="AR380" i="34" s="1"/>
  <c r="AO380" i="34"/>
  <c r="AQ380" i="34" s="1"/>
  <c r="AS380" i="34"/>
  <c r="AD380" i="34"/>
  <c r="AC380" i="34"/>
  <c r="AB380" i="34"/>
  <c r="R380" i="34"/>
  <c r="AI380" i="34" s="1"/>
  <c r="AK380" i="34" s="1"/>
  <c r="A380" i="34"/>
  <c r="AP379" i="34"/>
  <c r="AR379" i="34" s="1"/>
  <c r="AO379" i="34"/>
  <c r="AQ379" i="34" s="1"/>
  <c r="AI379" i="34"/>
  <c r="AJ379" i="34" s="1"/>
  <c r="AS379" i="34"/>
  <c r="AD379" i="34"/>
  <c r="AC379" i="34"/>
  <c r="AB379" i="34"/>
  <c r="R379" i="34"/>
  <c r="AG379" i="34" s="1"/>
  <c r="AT379" i="34" s="1"/>
  <c r="A379" i="34"/>
  <c r="AP378" i="34"/>
  <c r="AR378" i="34" s="1"/>
  <c r="AO378" i="34"/>
  <c r="AQ378" i="34" s="1"/>
  <c r="AI378" i="34"/>
  <c r="AJ378" i="34" s="1"/>
  <c r="AF378" i="34"/>
  <c r="AD378" i="34"/>
  <c r="AC378" i="34"/>
  <c r="AB378" i="34"/>
  <c r="R378" i="34"/>
  <c r="AG378" i="34" s="1"/>
  <c r="AH378" i="34" s="1"/>
  <c r="A378" i="34"/>
  <c r="AP377" i="34"/>
  <c r="AR377" i="34" s="1"/>
  <c r="AO377" i="34"/>
  <c r="AQ377" i="34" s="1"/>
  <c r="AI377" i="34"/>
  <c r="AS377" i="34"/>
  <c r="AD377" i="34"/>
  <c r="AC377" i="34"/>
  <c r="AB377" i="34"/>
  <c r="R377" i="34"/>
  <c r="AG377" i="34" s="1"/>
  <c r="A377" i="34"/>
  <c r="AP376" i="34"/>
  <c r="AR376" i="34" s="1"/>
  <c r="AO376" i="34"/>
  <c r="AQ376" i="34" s="1"/>
  <c r="AI376" i="34"/>
  <c r="AJ376" i="34" s="1"/>
  <c r="AD376" i="34"/>
  <c r="AC376" i="34"/>
  <c r="AB376" i="34"/>
  <c r="R376" i="34"/>
  <c r="AG376" i="34" s="1"/>
  <c r="A376" i="34"/>
  <c r="AP375" i="34"/>
  <c r="AR375" i="34" s="1"/>
  <c r="AO375" i="34"/>
  <c r="AQ375" i="34" s="1"/>
  <c r="AI375" i="34"/>
  <c r="AJ375" i="34" s="1"/>
  <c r="AS375" i="34"/>
  <c r="AD375" i="34"/>
  <c r="AC375" i="34"/>
  <c r="AB375" i="34"/>
  <c r="R375" i="34"/>
  <c r="AG375" i="34" s="1"/>
  <c r="AT375" i="34" s="1"/>
  <c r="A375" i="34"/>
  <c r="AP374" i="34"/>
  <c r="AR374" i="34" s="1"/>
  <c r="AO374" i="34"/>
  <c r="AQ374" i="34" s="1"/>
  <c r="AI374" i="34"/>
  <c r="AJ374" i="34" s="1"/>
  <c r="AF374" i="34"/>
  <c r="AD374" i="34"/>
  <c r="AC374" i="34"/>
  <c r="AB374" i="34"/>
  <c r="R374" i="34"/>
  <c r="AG374" i="34" s="1"/>
  <c r="AT374" i="34" s="1"/>
  <c r="A374" i="34"/>
  <c r="AP373" i="34"/>
  <c r="AR373" i="34" s="1"/>
  <c r="AO373" i="34"/>
  <c r="AQ373" i="34" s="1"/>
  <c r="AI373" i="34"/>
  <c r="AJ373" i="34" s="1"/>
  <c r="AS373" i="34"/>
  <c r="AD373" i="34"/>
  <c r="AC373" i="34"/>
  <c r="AB373" i="34"/>
  <c r="R373" i="34"/>
  <c r="AG373" i="34" s="1"/>
  <c r="AT373" i="34" s="1"/>
  <c r="A373" i="34"/>
  <c r="AP372" i="34"/>
  <c r="AR372" i="34" s="1"/>
  <c r="AO372" i="34"/>
  <c r="AQ372" i="34" s="1"/>
  <c r="AS372" i="34"/>
  <c r="AD372" i="34"/>
  <c r="AC372" i="34"/>
  <c r="AB372" i="34"/>
  <c r="R372" i="34"/>
  <c r="AG372" i="34" s="1"/>
  <c r="AI372" i="34" s="1"/>
  <c r="AK372" i="34" s="1"/>
  <c r="AL372" i="34" s="1"/>
  <c r="A372" i="34"/>
  <c r="AP371" i="34"/>
  <c r="AR371" i="34" s="1"/>
  <c r="AO371" i="34"/>
  <c r="AQ371" i="34" s="1"/>
  <c r="AI371" i="34"/>
  <c r="AJ371" i="34" s="1"/>
  <c r="AF371" i="34"/>
  <c r="AD371" i="34"/>
  <c r="AC371" i="34"/>
  <c r="AB371" i="34"/>
  <c r="R371" i="34"/>
  <c r="AG371" i="34" s="1"/>
  <c r="AT371" i="34" s="1"/>
  <c r="A371" i="34"/>
  <c r="AP370" i="34"/>
  <c r="AR370" i="34" s="1"/>
  <c r="AO370" i="34"/>
  <c r="AQ370" i="34" s="1"/>
  <c r="AS370" i="34"/>
  <c r="AD370" i="34"/>
  <c r="AC370" i="34"/>
  <c r="AB370" i="34"/>
  <c r="R370" i="34"/>
  <c r="AH370" i="34" s="1"/>
  <c r="A370" i="34"/>
  <c r="AP369" i="34"/>
  <c r="AR369" i="34" s="1"/>
  <c r="AO369" i="34"/>
  <c r="AQ369" i="34" s="1"/>
  <c r="AI369" i="34"/>
  <c r="AJ369" i="34" s="1"/>
  <c r="AS369" i="34"/>
  <c r="AD369" i="34"/>
  <c r="AC369" i="34"/>
  <c r="AB369" i="34"/>
  <c r="R369" i="34"/>
  <c r="AG369" i="34" s="1"/>
  <c r="AT369" i="34" s="1"/>
  <c r="A369" i="34"/>
  <c r="AP368" i="34"/>
  <c r="AR368" i="34" s="1"/>
  <c r="AO368" i="34"/>
  <c r="AQ368" i="34" s="1"/>
  <c r="AI368" i="34"/>
  <c r="AJ368" i="34" s="1"/>
  <c r="AS368" i="34"/>
  <c r="AD368" i="34"/>
  <c r="AC368" i="34"/>
  <c r="AB368" i="34"/>
  <c r="R368" i="34"/>
  <c r="AG368" i="34" s="1"/>
  <c r="A368" i="34"/>
  <c r="AP367" i="34"/>
  <c r="AR367" i="34" s="1"/>
  <c r="AO367" i="34"/>
  <c r="AQ367" i="34" s="1"/>
  <c r="AF367" i="34"/>
  <c r="AD367" i="34"/>
  <c r="AC367" i="34"/>
  <c r="AB367" i="34"/>
  <c r="R367" i="34"/>
  <c r="AG367" i="34" s="1"/>
  <c r="AI367" i="34" s="1"/>
  <c r="AK367" i="34" s="1"/>
  <c r="AL367" i="34" s="1"/>
  <c r="A367" i="34"/>
  <c r="AP366" i="34"/>
  <c r="AR366" i="34" s="1"/>
  <c r="AO366" i="34"/>
  <c r="AQ366" i="34" s="1"/>
  <c r="AF366" i="34"/>
  <c r="AD366" i="34"/>
  <c r="AC366" i="34"/>
  <c r="AB366" i="34"/>
  <c r="R366" i="34"/>
  <c r="AT366" i="34" s="1"/>
  <c r="A366" i="34"/>
  <c r="AP365" i="34"/>
  <c r="AR365" i="34" s="1"/>
  <c r="AO365" i="34"/>
  <c r="AQ365" i="34" s="1"/>
  <c r="AS365" i="34"/>
  <c r="AD365" i="34"/>
  <c r="AC365" i="34"/>
  <c r="AB365" i="34"/>
  <c r="R365" i="34"/>
  <c r="AG365" i="34" s="1"/>
  <c r="A365" i="34"/>
  <c r="AP364" i="34"/>
  <c r="AR364" i="34" s="1"/>
  <c r="AO364" i="34"/>
  <c r="AQ364" i="34" s="1"/>
  <c r="AE364" i="34"/>
  <c r="AF364" i="34" s="1"/>
  <c r="AD364" i="34"/>
  <c r="AC364" i="34"/>
  <c r="AB364" i="34"/>
  <c r="R364" i="34"/>
  <c r="AI364" i="34" s="1"/>
  <c r="AK364" i="34" s="1"/>
  <c r="A364" i="34"/>
  <c r="AP363" i="34"/>
  <c r="AR363" i="34" s="1"/>
  <c r="AO363" i="34"/>
  <c r="AQ363" i="34" s="1"/>
  <c r="AI363" i="34"/>
  <c r="AJ363" i="34" s="1"/>
  <c r="AS363" i="34"/>
  <c r="AD363" i="34"/>
  <c r="AC363" i="34"/>
  <c r="AB363" i="34"/>
  <c r="R363" i="34"/>
  <c r="AG363" i="34" s="1"/>
  <c r="A363" i="34"/>
  <c r="AP362" i="34"/>
  <c r="AR362" i="34" s="1"/>
  <c r="AO362" i="34"/>
  <c r="AQ362" i="34" s="1"/>
  <c r="AE362" i="34"/>
  <c r="AF362" i="34" s="1"/>
  <c r="AD362" i="34"/>
  <c r="AC362" i="34"/>
  <c r="AB362" i="34"/>
  <c r="R362" i="34"/>
  <c r="A362" i="34"/>
  <c r="AP361" i="34"/>
  <c r="AR361" i="34" s="1"/>
  <c r="AO361" i="34"/>
  <c r="AQ361" i="34" s="1"/>
  <c r="AF361" i="34"/>
  <c r="AD361" i="34"/>
  <c r="AC361" i="34"/>
  <c r="AB361" i="34"/>
  <c r="R361" i="34"/>
  <c r="AT361" i="34" s="1"/>
  <c r="A361" i="34"/>
  <c r="AP360" i="34"/>
  <c r="AR360" i="34" s="1"/>
  <c r="AO360" i="34"/>
  <c r="AQ360" i="34" s="1"/>
  <c r="AE360" i="34"/>
  <c r="AS360" i="34" s="1"/>
  <c r="AD360" i="34"/>
  <c r="AC360" i="34"/>
  <c r="AB360" i="34"/>
  <c r="R360" i="34"/>
  <c r="A360" i="34"/>
  <c r="AP359" i="34"/>
  <c r="AR359" i="34" s="1"/>
  <c r="AO359" i="34"/>
  <c r="AQ359" i="34" s="1"/>
  <c r="AI359" i="34"/>
  <c r="AJ359" i="34" s="1"/>
  <c r="AE359" i="34"/>
  <c r="AF359" i="34" s="1"/>
  <c r="AD359" i="34"/>
  <c r="AC359" i="34"/>
  <c r="AB359" i="34"/>
  <c r="R359" i="34"/>
  <c r="AG359" i="34" s="1"/>
  <c r="A359" i="34"/>
  <c r="AP358" i="34"/>
  <c r="AR358" i="34" s="1"/>
  <c r="AO358" i="34"/>
  <c r="AQ358" i="34" s="1"/>
  <c r="AF358" i="34"/>
  <c r="AD358" i="34"/>
  <c r="AC358" i="34"/>
  <c r="AB358" i="34"/>
  <c r="R358" i="34"/>
  <c r="AG358" i="34" s="1"/>
  <c r="A358" i="34"/>
  <c r="AP357" i="34"/>
  <c r="AR357" i="34" s="1"/>
  <c r="AO357" i="34"/>
  <c r="AQ357" i="34" s="1"/>
  <c r="AE357" i="34"/>
  <c r="AF357" i="34" s="1"/>
  <c r="AD357" i="34"/>
  <c r="AC357" i="34"/>
  <c r="AB357" i="34"/>
  <c r="R357" i="34"/>
  <c r="AG357" i="34" s="1"/>
  <c r="AT357" i="34" s="1"/>
  <c r="A357" i="34"/>
  <c r="AP356" i="34"/>
  <c r="AR356" i="34" s="1"/>
  <c r="AO356" i="34"/>
  <c r="AQ356" i="34" s="1"/>
  <c r="AI356" i="34"/>
  <c r="AJ356" i="34" s="1"/>
  <c r="AS356" i="34"/>
  <c r="AD356" i="34"/>
  <c r="AC356" i="34"/>
  <c r="AB356" i="34"/>
  <c r="R356" i="34"/>
  <c r="A356" i="34"/>
  <c r="AP355" i="34"/>
  <c r="AR355" i="34" s="1"/>
  <c r="AO355" i="34"/>
  <c r="AQ355" i="34" s="1"/>
  <c r="AD355" i="34"/>
  <c r="AC355" i="34"/>
  <c r="AB355" i="34"/>
  <c r="R355" i="34"/>
  <c r="A355" i="34"/>
  <c r="AP354" i="34"/>
  <c r="AR354" i="34" s="1"/>
  <c r="AO354" i="34"/>
  <c r="AQ354" i="34" s="1"/>
  <c r="AI354" i="34"/>
  <c r="AE354" i="34"/>
  <c r="AF354" i="34" s="1"/>
  <c r="AD354" i="34"/>
  <c r="AC354" i="34"/>
  <c r="AB354" i="34"/>
  <c r="R354" i="34"/>
  <c r="AG354" i="34" s="1"/>
  <c r="A354" i="34"/>
  <c r="AP353" i="34"/>
  <c r="AR353" i="34" s="1"/>
  <c r="AO353" i="34"/>
  <c r="AQ353" i="34" s="1"/>
  <c r="AF353" i="34"/>
  <c r="AD353" i="34"/>
  <c r="AC353" i="34"/>
  <c r="AB353" i="34"/>
  <c r="R353" i="34"/>
  <c r="AT353" i="34" s="1"/>
  <c r="A353" i="34"/>
  <c r="AP352" i="34"/>
  <c r="AR352" i="34" s="1"/>
  <c r="AO352" i="34"/>
  <c r="AQ352" i="34" s="1"/>
  <c r="AI352" i="34"/>
  <c r="AJ352" i="34" s="1"/>
  <c r="AE352" i="34"/>
  <c r="AS352" i="34" s="1"/>
  <c r="AD352" i="34"/>
  <c r="AC352" i="34"/>
  <c r="AB352" i="34"/>
  <c r="R352" i="34"/>
  <c r="AG352" i="34" s="1"/>
  <c r="A352" i="34"/>
  <c r="AP351" i="34"/>
  <c r="AR351" i="34" s="1"/>
  <c r="AO351" i="34"/>
  <c r="AQ351" i="34" s="1"/>
  <c r="AF351" i="34"/>
  <c r="AD351" i="34"/>
  <c r="AC351" i="34"/>
  <c r="AB351" i="34"/>
  <c r="R351" i="34"/>
  <c r="A351" i="34"/>
  <c r="AP350" i="34"/>
  <c r="AR350" i="34" s="1"/>
  <c r="AO350" i="34"/>
  <c r="AQ350" i="34" s="1"/>
  <c r="AI350" i="34"/>
  <c r="AE350" i="34"/>
  <c r="AF350" i="34" s="1"/>
  <c r="AD350" i="34"/>
  <c r="AC350" i="34"/>
  <c r="AB350" i="34"/>
  <c r="R350" i="34"/>
  <c r="AG350" i="34" s="1"/>
  <c r="A350" i="34"/>
  <c r="AP349" i="34"/>
  <c r="AR349" i="34" s="1"/>
  <c r="AO349" i="34"/>
  <c r="AQ349" i="34" s="1"/>
  <c r="AI349" i="34"/>
  <c r="AJ349" i="34" s="1"/>
  <c r="AE349" i="34"/>
  <c r="AF349" i="34" s="1"/>
  <c r="AD349" i="34"/>
  <c r="AC349" i="34"/>
  <c r="AB349" i="34"/>
  <c r="R349" i="34"/>
  <c r="AG349" i="34" s="1"/>
  <c r="A349" i="34"/>
  <c r="AP348" i="34"/>
  <c r="AR348" i="34" s="1"/>
  <c r="AO348" i="34"/>
  <c r="AQ348" i="34" s="1"/>
  <c r="AI348" i="34"/>
  <c r="AJ348" i="34" s="1"/>
  <c r="AD348" i="34"/>
  <c r="AC348" i="34"/>
  <c r="AB348" i="34"/>
  <c r="R348" i="34"/>
  <c r="AG348" i="34" s="1"/>
  <c r="A348" i="34"/>
  <c r="AP347" i="34"/>
  <c r="AR347" i="34" s="1"/>
  <c r="AO347" i="34"/>
  <c r="AQ347" i="34" s="1"/>
  <c r="AS347" i="34"/>
  <c r="AD347" i="34"/>
  <c r="AC347" i="34"/>
  <c r="AB347" i="34"/>
  <c r="R347" i="34"/>
  <c r="A347" i="34"/>
  <c r="AP346" i="34"/>
  <c r="AR346" i="34" s="1"/>
  <c r="AO346" i="34"/>
  <c r="AQ346" i="34" s="1"/>
  <c r="AI346" i="34"/>
  <c r="AF346" i="34"/>
  <c r="AD346" i="34"/>
  <c r="AC346" i="34"/>
  <c r="AB346" i="34"/>
  <c r="R346" i="34"/>
  <c r="AG346" i="34" s="1"/>
  <c r="A346" i="34"/>
  <c r="AP345" i="34"/>
  <c r="AR345" i="34" s="1"/>
  <c r="AO345" i="34"/>
  <c r="AQ345" i="34" s="1"/>
  <c r="AI345" i="34"/>
  <c r="AJ345" i="34" s="1"/>
  <c r="AF345" i="34"/>
  <c r="AD345" i="34"/>
  <c r="AC345" i="34"/>
  <c r="AB345" i="34"/>
  <c r="R345" i="34"/>
  <c r="A345" i="34"/>
  <c r="AP344" i="34"/>
  <c r="AR344" i="34" s="1"/>
  <c r="AO344" i="34"/>
  <c r="AQ344" i="34" s="1"/>
  <c r="AD344" i="34"/>
  <c r="AC344" i="34"/>
  <c r="AB344" i="34"/>
  <c r="R344" i="34"/>
  <c r="AG344" i="34" s="1"/>
  <c r="A344" i="34"/>
  <c r="AP343" i="34"/>
  <c r="AR343" i="34" s="1"/>
  <c r="AO343" i="34"/>
  <c r="AQ343" i="34" s="1"/>
  <c r="AF343" i="34"/>
  <c r="AD343" i="34"/>
  <c r="AC343" i="34"/>
  <c r="AB343" i="34"/>
  <c r="R343" i="34"/>
  <c r="AI343" i="34" s="1"/>
  <c r="A343" i="34"/>
  <c r="AP342" i="34"/>
  <c r="AR342" i="34" s="1"/>
  <c r="AO342" i="34"/>
  <c r="AQ342" i="34" s="1"/>
  <c r="AF342" i="34"/>
  <c r="AD342" i="34"/>
  <c r="AC342" i="34"/>
  <c r="AB342" i="34"/>
  <c r="R342" i="34"/>
  <c r="A342" i="34"/>
  <c r="AP341" i="34"/>
  <c r="AR341" i="34" s="1"/>
  <c r="AO341" i="34"/>
  <c r="AQ341" i="34" s="1"/>
  <c r="AD341" i="34"/>
  <c r="AC341" i="34"/>
  <c r="AB341" i="34"/>
  <c r="R341" i="34"/>
  <c r="A341" i="34"/>
  <c r="AP340" i="34"/>
  <c r="AR340" i="34" s="1"/>
  <c r="AO340" i="34"/>
  <c r="AQ340" i="34" s="1"/>
  <c r="AD340" i="34"/>
  <c r="AC340" i="34"/>
  <c r="AB340" i="34"/>
  <c r="R340" i="34"/>
  <c r="A340" i="34"/>
  <c r="AP339" i="34"/>
  <c r="AR339" i="34" s="1"/>
  <c r="AO339" i="34"/>
  <c r="AQ339" i="34" s="1"/>
  <c r="AF339" i="34"/>
  <c r="AD339" i="34"/>
  <c r="AC339" i="34"/>
  <c r="AB339" i="34"/>
  <c r="R339" i="34"/>
  <c r="AG339" i="34" s="1"/>
  <c r="AI339" i="34" s="1"/>
  <c r="A339" i="34"/>
  <c r="AP338" i="34"/>
  <c r="AR338" i="34" s="1"/>
  <c r="AO338" i="34"/>
  <c r="AQ338" i="34" s="1"/>
  <c r="AF338" i="34"/>
  <c r="AD338" i="34"/>
  <c r="AC338" i="34"/>
  <c r="AB338" i="34"/>
  <c r="R338" i="34"/>
  <c r="AG338" i="34" s="1"/>
  <c r="A338" i="34"/>
  <c r="AP337" i="34"/>
  <c r="AR337" i="34" s="1"/>
  <c r="AO337" i="34"/>
  <c r="AQ337" i="34" s="1"/>
  <c r="AD337" i="34"/>
  <c r="AC337" i="34"/>
  <c r="AB337" i="34"/>
  <c r="R337" i="34"/>
  <c r="A337" i="34"/>
  <c r="AP336" i="34"/>
  <c r="AR336" i="34" s="1"/>
  <c r="AO336" i="34"/>
  <c r="AQ336" i="34" s="1"/>
  <c r="AS336" i="34"/>
  <c r="AD336" i="34"/>
  <c r="AC336" i="34"/>
  <c r="AB336" i="34"/>
  <c r="R336" i="34"/>
  <c r="AG336" i="34" s="1"/>
  <c r="A336" i="34"/>
  <c r="AP335" i="34"/>
  <c r="AR335" i="34" s="1"/>
  <c r="AO335" i="34"/>
  <c r="AQ335" i="34" s="1"/>
  <c r="AF335" i="34"/>
  <c r="AD335" i="34"/>
  <c r="AC335" i="34"/>
  <c r="AB335" i="34"/>
  <c r="R335" i="34"/>
  <c r="AI335" i="34" s="1"/>
  <c r="A335" i="34"/>
  <c r="AP334" i="34"/>
  <c r="AR334" i="34" s="1"/>
  <c r="AO334" i="34"/>
  <c r="AQ334" i="34" s="1"/>
  <c r="AS334" i="34"/>
  <c r="AD334" i="34"/>
  <c r="AC334" i="34"/>
  <c r="AB334" i="34"/>
  <c r="R334" i="34"/>
  <c r="AG334" i="34" s="1"/>
  <c r="A334" i="34"/>
  <c r="AP333" i="34"/>
  <c r="AR333" i="34" s="1"/>
  <c r="AO333" i="34"/>
  <c r="AQ333" i="34" s="1"/>
  <c r="AD333" i="34"/>
  <c r="AC333" i="34"/>
  <c r="AB333" i="34"/>
  <c r="R333" i="34"/>
  <c r="A333" i="34"/>
  <c r="AP332" i="34"/>
  <c r="AR332" i="34" s="1"/>
  <c r="AO332" i="34"/>
  <c r="AQ332" i="34" s="1"/>
  <c r="AF332" i="34"/>
  <c r="AD332" i="34"/>
  <c r="AC332" i="34"/>
  <c r="AB332" i="34"/>
  <c r="R332" i="34"/>
  <c r="A332" i="34"/>
  <c r="AP331" i="34"/>
  <c r="AR331" i="34" s="1"/>
  <c r="AO331" i="34"/>
  <c r="AQ331" i="34" s="1"/>
  <c r="AF331" i="34"/>
  <c r="AD331" i="34"/>
  <c r="AC331" i="34"/>
  <c r="AB331" i="34"/>
  <c r="R331" i="34"/>
  <c r="AG331" i="34" s="1"/>
  <c r="AI331" i="34" s="1"/>
  <c r="A331" i="34"/>
  <c r="AP330" i="34"/>
  <c r="AR330" i="34" s="1"/>
  <c r="AO330" i="34"/>
  <c r="AQ330" i="34" s="1"/>
  <c r="AS330" i="34"/>
  <c r="AD330" i="34"/>
  <c r="AC330" i="34"/>
  <c r="AB330" i="34"/>
  <c r="R330" i="34"/>
  <c r="A330" i="34"/>
  <c r="AP329" i="34"/>
  <c r="AR329" i="34" s="1"/>
  <c r="AO329" i="34"/>
  <c r="AQ329" i="34" s="1"/>
  <c r="AD329" i="34"/>
  <c r="AC329" i="34"/>
  <c r="AB329" i="34"/>
  <c r="R329" i="34"/>
  <c r="AG329" i="34" s="1"/>
  <c r="A329" i="34"/>
  <c r="AP328" i="34"/>
  <c r="AR328" i="34" s="1"/>
  <c r="AO328" i="34"/>
  <c r="AQ328" i="34" s="1"/>
  <c r="AS328" i="34"/>
  <c r="AD328" i="34"/>
  <c r="AC328" i="34"/>
  <c r="AB328" i="34"/>
  <c r="R328" i="34"/>
  <c r="AG328" i="34" s="1"/>
  <c r="A328" i="34"/>
  <c r="AP327" i="34"/>
  <c r="AR327" i="34" s="1"/>
  <c r="AO327" i="34"/>
  <c r="AQ327" i="34" s="1"/>
  <c r="AI327" i="34"/>
  <c r="AF327" i="34"/>
  <c r="AD327" i="34"/>
  <c r="AC327" i="34"/>
  <c r="AB327" i="34"/>
  <c r="R327" i="34"/>
  <c r="AG327" i="34" s="1"/>
  <c r="A327" i="34"/>
  <c r="AP326" i="34"/>
  <c r="AR326" i="34" s="1"/>
  <c r="AO326" i="34"/>
  <c r="AQ326" i="34" s="1"/>
  <c r="AS326" i="34"/>
  <c r="AD326" i="34"/>
  <c r="AC326" i="34"/>
  <c r="AB326" i="34"/>
  <c r="R326" i="34"/>
  <c r="A326" i="34"/>
  <c r="AP325" i="34"/>
  <c r="AR325" i="34" s="1"/>
  <c r="AO325" i="34"/>
  <c r="AQ325" i="34" s="1"/>
  <c r="AE325" i="34"/>
  <c r="AD325" i="34"/>
  <c r="AC325" i="34"/>
  <c r="AB325" i="34"/>
  <c r="R325" i="34"/>
  <c r="AG325" i="34" s="1"/>
  <c r="A325" i="34"/>
  <c r="AP324" i="34"/>
  <c r="AR324" i="34" s="1"/>
  <c r="AO324" i="34"/>
  <c r="AQ324" i="34" s="1"/>
  <c r="AI324" i="34"/>
  <c r="AE324" i="34"/>
  <c r="AF324" i="34" s="1"/>
  <c r="AD324" i="34"/>
  <c r="AC324" i="34"/>
  <c r="AB324" i="34"/>
  <c r="R324" i="34"/>
  <c r="AG324" i="34" s="1"/>
  <c r="A324" i="34"/>
  <c r="AP323" i="34"/>
  <c r="AR323" i="34" s="1"/>
  <c r="AO323" i="34"/>
  <c r="AQ323" i="34" s="1"/>
  <c r="AI323" i="34"/>
  <c r="AJ323" i="34" s="1"/>
  <c r="AS323" i="34"/>
  <c r="AD323" i="34"/>
  <c r="AC323" i="34"/>
  <c r="AB323" i="34"/>
  <c r="R323" i="34"/>
  <c r="A323" i="34"/>
  <c r="AP322" i="34"/>
  <c r="AR322" i="34" s="1"/>
  <c r="AO322" i="34"/>
  <c r="AQ322" i="34" s="1"/>
  <c r="AE322" i="34"/>
  <c r="AD322" i="34"/>
  <c r="AC322" i="34"/>
  <c r="AB322" i="34"/>
  <c r="R322" i="34"/>
  <c r="AH322" i="34" s="1"/>
  <c r="A322" i="34"/>
  <c r="AP321" i="34"/>
  <c r="AR321" i="34" s="1"/>
  <c r="AO321" i="34"/>
  <c r="AQ321" i="34" s="1"/>
  <c r="AI321" i="34"/>
  <c r="AJ321" i="34" s="1"/>
  <c r="AF321" i="34"/>
  <c r="AD321" i="34"/>
  <c r="AC321" i="34"/>
  <c r="AB321" i="34"/>
  <c r="R321" i="34"/>
  <c r="AG321" i="34" s="1"/>
  <c r="A321" i="34"/>
  <c r="AP320" i="34"/>
  <c r="AR320" i="34" s="1"/>
  <c r="AO320" i="34"/>
  <c r="AQ320" i="34" s="1"/>
  <c r="AI320" i="34"/>
  <c r="AF320" i="34"/>
  <c r="AD320" i="34"/>
  <c r="AC320" i="34"/>
  <c r="AB320" i="34"/>
  <c r="R320" i="34"/>
  <c r="AG320" i="34" s="1"/>
  <c r="AH320" i="34" s="1"/>
  <c r="A320" i="34"/>
  <c r="AP319" i="34"/>
  <c r="AR319" i="34" s="1"/>
  <c r="AO319" i="34"/>
  <c r="AQ319" i="34" s="1"/>
  <c r="AI319" i="34"/>
  <c r="AJ319" i="34" s="1"/>
  <c r="AE319" i="34"/>
  <c r="AS319" i="34" s="1"/>
  <c r="AD319" i="34"/>
  <c r="AC319" i="34"/>
  <c r="AB319" i="34"/>
  <c r="R319" i="34"/>
  <c r="AG319" i="34" s="1"/>
  <c r="A319" i="34"/>
  <c r="AP318" i="34"/>
  <c r="AR318" i="34" s="1"/>
  <c r="AO318" i="34"/>
  <c r="AQ318" i="34" s="1"/>
  <c r="AD318" i="34"/>
  <c r="AC318" i="34"/>
  <c r="AB318" i="34"/>
  <c r="R318" i="34"/>
  <c r="AG318" i="34" s="1"/>
  <c r="AI318" i="34" s="1"/>
  <c r="A318" i="34"/>
  <c r="AP317" i="34"/>
  <c r="AR317" i="34" s="1"/>
  <c r="AO317" i="34"/>
  <c r="AQ317" i="34" s="1"/>
  <c r="AS317" i="34"/>
  <c r="AD317" i="34"/>
  <c r="AC317" i="34"/>
  <c r="AB317" i="34"/>
  <c r="R317" i="34"/>
  <c r="AG317" i="34" s="1"/>
  <c r="A317" i="34"/>
  <c r="AP316" i="34"/>
  <c r="AR316" i="34" s="1"/>
  <c r="AO316" i="34"/>
  <c r="AQ316" i="34" s="1"/>
  <c r="AI316" i="34"/>
  <c r="AF316" i="34"/>
  <c r="AD316" i="34"/>
  <c r="AC316" i="34"/>
  <c r="AB316" i="34"/>
  <c r="R316" i="34"/>
  <c r="AG316" i="34" s="1"/>
  <c r="AT316" i="34" s="1"/>
  <c r="A316" i="34"/>
  <c r="AP315" i="34"/>
  <c r="AR315" i="34" s="1"/>
  <c r="AO315" i="34"/>
  <c r="AQ315" i="34" s="1"/>
  <c r="AI315" i="34"/>
  <c r="AJ315" i="34" s="1"/>
  <c r="AS315" i="34"/>
  <c r="AD315" i="34"/>
  <c r="AC315" i="34"/>
  <c r="AB315" i="34"/>
  <c r="R315" i="34"/>
  <c r="AG315" i="34" s="1"/>
  <c r="A315" i="34"/>
  <c r="AP314" i="34"/>
  <c r="AR314" i="34" s="1"/>
  <c r="AO314" i="34"/>
  <c r="AQ314" i="34" s="1"/>
  <c r="AI314" i="34"/>
  <c r="AJ314" i="34" s="1"/>
  <c r="AD314" i="34"/>
  <c r="AC314" i="34"/>
  <c r="AB314" i="34"/>
  <c r="R314" i="34"/>
  <c r="AG314" i="34" s="1"/>
  <c r="A314" i="34"/>
  <c r="AP313" i="34"/>
  <c r="AR313" i="34" s="1"/>
  <c r="AO313" i="34"/>
  <c r="AQ313" i="34" s="1"/>
  <c r="AI313" i="34"/>
  <c r="AJ313" i="34" s="1"/>
  <c r="AF313" i="34"/>
  <c r="AD313" i="34"/>
  <c r="AC313" i="34"/>
  <c r="AB313" i="34"/>
  <c r="R313" i="34"/>
  <c r="AG313" i="34" s="1"/>
  <c r="A313" i="34"/>
  <c r="AP312" i="34"/>
  <c r="AR312" i="34" s="1"/>
  <c r="AO312" i="34"/>
  <c r="AQ312" i="34" s="1"/>
  <c r="AI312" i="34"/>
  <c r="AF312" i="34"/>
  <c r="AD312" i="34"/>
  <c r="AC312" i="34"/>
  <c r="AB312" i="34"/>
  <c r="R312" i="34"/>
  <c r="AG312" i="34" s="1"/>
  <c r="AT312" i="34" s="1"/>
  <c r="A312" i="34"/>
  <c r="AP311" i="34"/>
  <c r="AR311" i="34" s="1"/>
  <c r="AO311" i="34"/>
  <c r="AQ311" i="34" s="1"/>
  <c r="AI311" i="34"/>
  <c r="AJ311" i="34" s="1"/>
  <c r="AS311" i="34"/>
  <c r="AD311" i="34"/>
  <c r="AC311" i="34"/>
  <c r="AB311" i="34"/>
  <c r="R311" i="34"/>
  <c r="AG311" i="34" s="1"/>
  <c r="A311" i="34"/>
  <c r="AP310" i="34"/>
  <c r="AR310" i="34" s="1"/>
  <c r="AO310" i="34"/>
  <c r="AQ310" i="34" s="1"/>
  <c r="AD310" i="34"/>
  <c r="AC310" i="34"/>
  <c r="AB310" i="34"/>
  <c r="R310" i="34"/>
  <c r="AG310" i="34" s="1"/>
  <c r="AI310" i="34" s="1"/>
  <c r="A310" i="34"/>
  <c r="AP309" i="34"/>
  <c r="AR309" i="34" s="1"/>
  <c r="AO309" i="34"/>
  <c r="AQ309" i="34" s="1"/>
  <c r="AI309" i="34"/>
  <c r="AJ309" i="34" s="1"/>
  <c r="AF309" i="34"/>
  <c r="AD309" i="34"/>
  <c r="AC309" i="34"/>
  <c r="AB309" i="34"/>
  <c r="R309" i="34"/>
  <c r="AG309" i="34" s="1"/>
  <c r="A309" i="34"/>
  <c r="AP308" i="34"/>
  <c r="AR308" i="34" s="1"/>
  <c r="AO308" i="34"/>
  <c r="AQ308" i="34" s="1"/>
  <c r="AI308" i="34"/>
  <c r="AE308" i="34"/>
  <c r="AF308" i="34" s="1"/>
  <c r="AD308" i="34"/>
  <c r="AC308" i="34"/>
  <c r="AB308" i="34"/>
  <c r="R308" i="34"/>
  <c r="AG308" i="34" s="1"/>
  <c r="AT308" i="34" s="1"/>
  <c r="A308" i="34"/>
  <c r="AP307" i="34"/>
  <c r="AR307" i="34" s="1"/>
  <c r="AO307" i="34"/>
  <c r="AQ307" i="34" s="1"/>
  <c r="AI307" i="34"/>
  <c r="AJ307" i="34" s="1"/>
  <c r="AE307" i="34"/>
  <c r="AS307" i="34" s="1"/>
  <c r="AD307" i="34"/>
  <c r="AC307" i="34"/>
  <c r="AB307" i="34"/>
  <c r="R307" i="34"/>
  <c r="A307" i="34"/>
  <c r="AP306" i="34"/>
  <c r="AR306" i="34" s="1"/>
  <c r="AO306" i="34"/>
  <c r="AQ306" i="34" s="1"/>
  <c r="AE306" i="34"/>
  <c r="AD306" i="34"/>
  <c r="AC306" i="34"/>
  <c r="AB306" i="34"/>
  <c r="R306" i="34"/>
  <c r="AG306" i="34" s="1"/>
  <c r="AI306" i="34" s="1"/>
  <c r="A306" i="34"/>
  <c r="AP305" i="34"/>
  <c r="AR305" i="34" s="1"/>
  <c r="AO305" i="34"/>
  <c r="AQ305" i="34" s="1"/>
  <c r="AI305" i="34"/>
  <c r="AF305" i="34"/>
  <c r="AD305" i="34"/>
  <c r="AC305" i="34"/>
  <c r="AB305" i="34"/>
  <c r="R305" i="34"/>
  <c r="AG305" i="34" s="1"/>
  <c r="A305" i="34"/>
  <c r="AP304" i="34"/>
  <c r="AR304" i="34" s="1"/>
  <c r="AO304" i="34"/>
  <c r="AQ304" i="34" s="1"/>
  <c r="AI304" i="34"/>
  <c r="AS304" i="34"/>
  <c r="AD304" i="34"/>
  <c r="AC304" i="34"/>
  <c r="AB304" i="34"/>
  <c r="R304" i="34"/>
  <c r="AG304" i="34" s="1"/>
  <c r="A304" i="34"/>
  <c r="AP303" i="34"/>
  <c r="AR303" i="34" s="1"/>
  <c r="AO303" i="34"/>
  <c r="AQ303" i="34" s="1"/>
  <c r="AI303" i="34"/>
  <c r="AJ303" i="34" s="1"/>
  <c r="AF303" i="34"/>
  <c r="AD303" i="34"/>
  <c r="AC303" i="34"/>
  <c r="AB303" i="34"/>
  <c r="R303" i="34"/>
  <c r="AG303" i="34" s="1"/>
  <c r="AT303" i="34" s="1"/>
  <c r="A303" i="34"/>
  <c r="AP302" i="34"/>
  <c r="AR302" i="34" s="1"/>
  <c r="AO302" i="34"/>
  <c r="AQ302" i="34" s="1"/>
  <c r="AI302" i="34"/>
  <c r="AJ302" i="34" s="1"/>
  <c r="AS302" i="34"/>
  <c r="AD302" i="34"/>
  <c r="AC302" i="34"/>
  <c r="AB302" i="34"/>
  <c r="R302" i="34"/>
  <c r="AG302" i="34" s="1"/>
  <c r="A302" i="34"/>
  <c r="AP301" i="34"/>
  <c r="AR301" i="34" s="1"/>
  <c r="AO301" i="34"/>
  <c r="AQ301" i="34" s="1"/>
  <c r="AI301" i="34"/>
  <c r="AS301" i="34"/>
  <c r="AD301" i="34"/>
  <c r="AC301" i="34"/>
  <c r="AB301" i="34"/>
  <c r="R301" i="34"/>
  <c r="AG301" i="34" s="1"/>
  <c r="A301" i="34"/>
  <c r="AP300" i="34"/>
  <c r="AR300" i="34" s="1"/>
  <c r="AO300" i="34"/>
  <c r="AQ300" i="34" s="1"/>
  <c r="AI300" i="34"/>
  <c r="AJ300" i="34" s="1"/>
  <c r="AS300" i="34"/>
  <c r="AD300" i="34"/>
  <c r="AC300" i="34"/>
  <c r="AB300" i="34"/>
  <c r="R300" i="34"/>
  <c r="AG300" i="34" s="1"/>
  <c r="A300" i="34"/>
  <c r="AP299" i="34"/>
  <c r="AR299" i="34" s="1"/>
  <c r="AO299" i="34"/>
  <c r="AQ299" i="34" s="1"/>
  <c r="AI299" i="34"/>
  <c r="AJ299" i="34" s="1"/>
  <c r="AF299" i="34"/>
  <c r="AD299" i="34"/>
  <c r="AC299" i="34"/>
  <c r="AB299" i="34"/>
  <c r="R299" i="34"/>
  <c r="AG299" i="34" s="1"/>
  <c r="AT299" i="34" s="1"/>
  <c r="A299" i="34"/>
  <c r="AP298" i="34"/>
  <c r="AR298" i="34" s="1"/>
  <c r="AO298" i="34"/>
  <c r="AQ298" i="34" s="1"/>
  <c r="AI298" i="34"/>
  <c r="AJ298" i="34" s="1"/>
  <c r="AF298" i="34"/>
  <c r="AD298" i="34"/>
  <c r="AC298" i="34"/>
  <c r="AB298" i="34"/>
  <c r="R298" i="34"/>
  <c r="AG298" i="34" s="1"/>
  <c r="AH298" i="34" s="1"/>
  <c r="A298" i="34"/>
  <c r="AP297" i="34"/>
  <c r="AR297" i="34" s="1"/>
  <c r="AO297" i="34"/>
  <c r="AQ297" i="34" s="1"/>
  <c r="AI297" i="34"/>
  <c r="AJ297" i="34" s="1"/>
  <c r="AS297" i="34"/>
  <c r="AD297" i="34"/>
  <c r="AC297" i="34"/>
  <c r="AB297" i="34"/>
  <c r="R297" i="34"/>
  <c r="AG297" i="34" s="1"/>
  <c r="A297" i="34"/>
  <c r="AP296" i="34"/>
  <c r="AR296" i="34" s="1"/>
  <c r="AO296" i="34"/>
  <c r="AQ296" i="34" s="1"/>
  <c r="AI296" i="34"/>
  <c r="AD296" i="34"/>
  <c r="AC296" i="34"/>
  <c r="AB296" i="34"/>
  <c r="R296" i="34"/>
  <c r="AG296" i="34" s="1"/>
  <c r="A296" i="34"/>
  <c r="AP295" i="34"/>
  <c r="AR295" i="34" s="1"/>
  <c r="AO295" i="34"/>
  <c r="AQ295" i="34" s="1"/>
  <c r="AI295" i="34"/>
  <c r="AJ295" i="34" s="1"/>
  <c r="AF295" i="34"/>
  <c r="AD295" i="34"/>
  <c r="AC295" i="34"/>
  <c r="AB295" i="34"/>
  <c r="R295" i="34"/>
  <c r="AG295" i="34" s="1"/>
  <c r="AH295" i="34" s="1"/>
  <c r="A295" i="34"/>
  <c r="AP294" i="34"/>
  <c r="AR294" i="34" s="1"/>
  <c r="AO294" i="34"/>
  <c r="AQ294" i="34" s="1"/>
  <c r="AI294" i="34"/>
  <c r="AF294" i="34"/>
  <c r="AD294" i="34"/>
  <c r="AC294" i="34"/>
  <c r="AB294" i="34"/>
  <c r="R294" i="34"/>
  <c r="AG294" i="34" s="1"/>
  <c r="AT294" i="34" s="1"/>
  <c r="A294" i="34"/>
  <c r="AP293" i="34"/>
  <c r="AR293" i="34" s="1"/>
  <c r="AO293" i="34"/>
  <c r="AQ293" i="34" s="1"/>
  <c r="AI293" i="34"/>
  <c r="AJ293" i="34" s="1"/>
  <c r="AS293" i="34"/>
  <c r="AD293" i="34"/>
  <c r="AC293" i="34"/>
  <c r="AB293" i="34"/>
  <c r="R293" i="34"/>
  <c r="AG293" i="34" s="1"/>
  <c r="A293" i="34"/>
  <c r="AP292" i="34"/>
  <c r="AR292" i="34" s="1"/>
  <c r="AO292" i="34"/>
  <c r="AQ292" i="34" s="1"/>
  <c r="AI292" i="34"/>
  <c r="AJ292" i="34" s="1"/>
  <c r="AF292" i="34"/>
  <c r="AD292" i="34"/>
  <c r="AC292" i="34"/>
  <c r="AB292" i="34"/>
  <c r="R292" i="34"/>
  <c r="AG292" i="34" s="1"/>
  <c r="AT292" i="34" s="1"/>
  <c r="A292" i="34"/>
  <c r="AP291" i="34"/>
  <c r="AR291" i="34" s="1"/>
  <c r="AO291" i="34"/>
  <c r="AQ291" i="34" s="1"/>
  <c r="AI291" i="34"/>
  <c r="AJ291" i="34" s="1"/>
  <c r="AF291" i="34"/>
  <c r="AD291" i="34"/>
  <c r="AC291" i="34"/>
  <c r="AB291" i="34"/>
  <c r="R291" i="34"/>
  <c r="AG291" i="34" s="1"/>
  <c r="AT291" i="34" s="1"/>
  <c r="A291" i="34"/>
  <c r="AP290" i="34"/>
  <c r="AR290" i="34" s="1"/>
  <c r="AO290" i="34"/>
  <c r="AQ290" i="34" s="1"/>
  <c r="AI290" i="34"/>
  <c r="AS290" i="34"/>
  <c r="AD290" i="34"/>
  <c r="AC290" i="34"/>
  <c r="AB290" i="34"/>
  <c r="R290" i="34"/>
  <c r="AG290" i="34" s="1"/>
  <c r="A290" i="34"/>
  <c r="AP289" i="34"/>
  <c r="AR289" i="34" s="1"/>
  <c r="AO289" i="34"/>
  <c r="AQ289" i="34" s="1"/>
  <c r="AE289" i="34"/>
  <c r="AS289" i="34" s="1"/>
  <c r="AD289" i="34"/>
  <c r="AC289" i="34"/>
  <c r="AB289" i="34"/>
  <c r="R289" i="34"/>
  <c r="AG289" i="34" s="1"/>
  <c r="AI289" i="34" s="1"/>
  <c r="A289" i="34"/>
  <c r="AP288" i="34"/>
  <c r="AR288" i="34" s="1"/>
  <c r="AO288" i="34"/>
  <c r="AQ288" i="34" s="1"/>
  <c r="AE288" i="34"/>
  <c r="AF288" i="34" s="1"/>
  <c r="AD288" i="34"/>
  <c r="AC288" i="34"/>
  <c r="AB288" i="34"/>
  <c r="R288" i="34"/>
  <c r="AG288" i="34" s="1"/>
  <c r="A288" i="34"/>
  <c r="AP287" i="34"/>
  <c r="AR287" i="34" s="1"/>
  <c r="AO287" i="34"/>
  <c r="AQ287" i="34" s="1"/>
  <c r="AI287" i="34"/>
  <c r="AS287" i="34"/>
  <c r="AD287" i="34"/>
  <c r="AC287" i="34"/>
  <c r="AB287" i="34"/>
  <c r="R287" i="34"/>
  <c r="AG287" i="34" s="1"/>
  <c r="A287" i="34"/>
  <c r="AP286" i="34"/>
  <c r="AR286" i="34" s="1"/>
  <c r="AO286" i="34"/>
  <c r="AQ286" i="34" s="1"/>
  <c r="AF286" i="34"/>
  <c r="AD286" i="34"/>
  <c r="AC286" i="34"/>
  <c r="AB286" i="34"/>
  <c r="R286" i="34"/>
  <c r="A286" i="34"/>
  <c r="AP285" i="34"/>
  <c r="AR285" i="34" s="1"/>
  <c r="AO285" i="34"/>
  <c r="AQ285" i="34" s="1"/>
  <c r="AI285" i="34"/>
  <c r="AS285" i="34"/>
  <c r="AD285" i="34"/>
  <c r="AC285" i="34"/>
  <c r="AB285" i="34"/>
  <c r="R285" i="34"/>
  <c r="A285" i="34"/>
  <c r="AP284" i="34"/>
  <c r="AR284" i="34" s="1"/>
  <c r="AO284" i="34"/>
  <c r="AQ284" i="34" s="1"/>
  <c r="AS284" i="34"/>
  <c r="AD284" i="34"/>
  <c r="AC284" i="34"/>
  <c r="AB284" i="34"/>
  <c r="R284" i="34"/>
  <c r="A284" i="34"/>
  <c r="AP283" i="34"/>
  <c r="AR283" i="34" s="1"/>
  <c r="AO283" i="34"/>
  <c r="AQ283" i="34" s="1"/>
  <c r="AM283" i="34"/>
  <c r="AV283" i="34" s="1"/>
  <c r="AS283" i="34"/>
  <c r="AC283" i="34"/>
  <c r="AB283" i="34"/>
  <c r="Z283" i="34"/>
  <c r="AI283" i="34" s="1"/>
  <c r="R283" i="34"/>
  <c r="AG283" i="34" s="1"/>
  <c r="AH283" i="34" s="1"/>
  <c r="A283" i="34"/>
  <c r="AP282" i="34"/>
  <c r="AR282" i="34" s="1"/>
  <c r="AO282" i="34"/>
  <c r="AQ282" i="34" s="1"/>
  <c r="AI282" i="34"/>
  <c r="AJ282" i="34" s="1"/>
  <c r="AF282" i="34"/>
  <c r="AD282" i="34"/>
  <c r="AC282" i="34"/>
  <c r="AB282" i="34"/>
  <c r="R282" i="34"/>
  <c r="AG282" i="34" s="1"/>
  <c r="A282" i="34"/>
  <c r="AP281" i="34"/>
  <c r="AR281" i="34" s="1"/>
  <c r="AO281" i="34"/>
  <c r="AQ281" i="34" s="1"/>
  <c r="AI281" i="34"/>
  <c r="AJ281" i="34" s="1"/>
  <c r="AS281" i="34"/>
  <c r="AD281" i="34"/>
  <c r="AC281" i="34"/>
  <c r="AB281" i="34"/>
  <c r="R281" i="34"/>
  <c r="AG281" i="34" s="1"/>
  <c r="AH281" i="34" s="1"/>
  <c r="A281" i="34"/>
  <c r="AP280" i="34"/>
  <c r="AR280" i="34" s="1"/>
  <c r="AO280" i="34"/>
  <c r="AQ280" i="34" s="1"/>
  <c r="AF280" i="34"/>
  <c r="AD280" i="34"/>
  <c r="AC280" i="34"/>
  <c r="AB280" i="34"/>
  <c r="R280" i="34"/>
  <c r="AG280" i="34" s="1"/>
  <c r="A280" i="34"/>
  <c r="AP279" i="34"/>
  <c r="AR279" i="34" s="1"/>
  <c r="AO279" i="34"/>
  <c r="AQ279" i="34" s="1"/>
  <c r="AF279" i="34"/>
  <c r="AD279" i="34"/>
  <c r="AC279" i="34"/>
  <c r="AB279" i="34"/>
  <c r="R279" i="34"/>
  <c r="AG279" i="34" s="1"/>
  <c r="A279" i="34"/>
  <c r="AP278" i="34"/>
  <c r="AR278" i="34" s="1"/>
  <c r="AO278" i="34"/>
  <c r="AQ278" i="34" s="1"/>
  <c r="AI278" i="34"/>
  <c r="AJ278" i="34" s="1"/>
  <c r="AF278" i="34"/>
  <c r="AD278" i="34"/>
  <c r="AC278" i="34"/>
  <c r="AB278" i="34"/>
  <c r="R278" i="34"/>
  <c r="AG278" i="34" s="1"/>
  <c r="A278" i="34"/>
  <c r="AP277" i="34"/>
  <c r="AR277" i="34" s="1"/>
  <c r="AO277" i="34"/>
  <c r="AQ277" i="34" s="1"/>
  <c r="AS277" i="34"/>
  <c r="AD277" i="34"/>
  <c r="AC277" i="34"/>
  <c r="AB277" i="34"/>
  <c r="R277" i="34"/>
  <c r="AG277" i="34" s="1"/>
  <c r="A277" i="34"/>
  <c r="AP276" i="34"/>
  <c r="AR276" i="34" s="1"/>
  <c r="AO276" i="34"/>
  <c r="AQ276" i="34" s="1"/>
  <c r="AF276" i="34"/>
  <c r="AC276" i="34"/>
  <c r="AB276" i="34"/>
  <c r="Z276" i="34"/>
  <c r="AI276" i="34" s="1"/>
  <c r="R276" i="34"/>
  <c r="AG276" i="34" s="1"/>
  <c r="A276" i="34"/>
  <c r="AP275" i="34"/>
  <c r="AR275" i="34" s="1"/>
  <c r="AO275" i="34"/>
  <c r="AQ275" i="34" s="1"/>
  <c r="AF275" i="34"/>
  <c r="AD275" i="34"/>
  <c r="AC275" i="34"/>
  <c r="AB275" i="34"/>
  <c r="R275" i="34"/>
  <c r="AG275" i="34" s="1"/>
  <c r="A275" i="34"/>
  <c r="AP274" i="34"/>
  <c r="AR274" i="34" s="1"/>
  <c r="AO274" i="34"/>
  <c r="AQ274" i="34" s="1"/>
  <c r="AI274" i="34"/>
  <c r="AJ274" i="34" s="1"/>
  <c r="AS274" i="34"/>
  <c r="AD274" i="34"/>
  <c r="AC274" i="34"/>
  <c r="AB274" i="34"/>
  <c r="R274" i="34"/>
  <c r="AG274" i="34" s="1"/>
  <c r="A274" i="34"/>
  <c r="AP273" i="34"/>
  <c r="AR273" i="34" s="1"/>
  <c r="AO273" i="34"/>
  <c r="AQ273" i="34" s="1"/>
  <c r="AI273" i="34"/>
  <c r="AJ273" i="34" s="1"/>
  <c r="AS273" i="34"/>
  <c r="AD273" i="34"/>
  <c r="AC273" i="34"/>
  <c r="AB273" i="34"/>
  <c r="R273" i="34"/>
  <c r="AG273" i="34" s="1"/>
  <c r="AH273" i="34" s="1"/>
  <c r="A273" i="34"/>
  <c r="AP272" i="34"/>
  <c r="AR272" i="34" s="1"/>
  <c r="AO272" i="34"/>
  <c r="AQ272" i="34" s="1"/>
  <c r="AF272" i="34"/>
  <c r="AD272" i="34"/>
  <c r="AC272" i="34"/>
  <c r="AB272" i="34"/>
  <c r="R272" i="34"/>
  <c r="AG272" i="34" s="1"/>
  <c r="A272" i="34"/>
  <c r="AP271" i="34"/>
  <c r="AR271" i="34" s="1"/>
  <c r="AO271" i="34"/>
  <c r="AQ271" i="34" s="1"/>
  <c r="AF271" i="34"/>
  <c r="AD271" i="34"/>
  <c r="AC271" i="34"/>
  <c r="AB271" i="34"/>
  <c r="R271" i="34"/>
  <c r="A271" i="34"/>
  <c r="AP270" i="34"/>
  <c r="AR270" i="34" s="1"/>
  <c r="AO270" i="34"/>
  <c r="AQ270" i="34" s="1"/>
  <c r="AI270" i="34"/>
  <c r="AJ270" i="34" s="1"/>
  <c r="AE270" i="34"/>
  <c r="AF270" i="34" s="1"/>
  <c r="AD270" i="34"/>
  <c r="AC270" i="34"/>
  <c r="AB270" i="34"/>
  <c r="R270" i="34"/>
  <c r="AG270" i="34" s="1"/>
  <c r="A270" i="34"/>
  <c r="AP269" i="34"/>
  <c r="AR269" i="34" s="1"/>
  <c r="AO269" i="34"/>
  <c r="AQ269" i="34" s="1"/>
  <c r="AE269" i="34"/>
  <c r="AS269" i="34" s="1"/>
  <c r="AD269" i="34"/>
  <c r="AC269" i="34"/>
  <c r="AB269" i="34"/>
  <c r="R269" i="34"/>
  <c r="AG269" i="34" s="1"/>
  <c r="A269" i="34"/>
  <c r="AP268" i="34"/>
  <c r="AR268" i="34" s="1"/>
  <c r="AO268" i="34"/>
  <c r="AQ268" i="34" s="1"/>
  <c r="AI268" i="34"/>
  <c r="AF268" i="34"/>
  <c r="AD268" i="34"/>
  <c r="AC268" i="34"/>
  <c r="AB268" i="34"/>
  <c r="R268" i="34"/>
  <c r="AG268" i="34" s="1"/>
  <c r="AH268" i="34" s="1"/>
  <c r="A268" i="34"/>
  <c r="AP267" i="34"/>
  <c r="AR267" i="34" s="1"/>
  <c r="AO267" i="34"/>
  <c r="AQ267" i="34" s="1"/>
  <c r="AS267" i="34"/>
  <c r="AD267" i="34"/>
  <c r="AC267" i="34"/>
  <c r="AB267" i="34"/>
  <c r="R267" i="34"/>
  <c r="AH267" i="34" s="1"/>
  <c r="A267" i="34"/>
  <c r="AP266" i="34"/>
  <c r="AR266" i="34" s="1"/>
  <c r="AO266" i="34"/>
  <c r="AQ266" i="34" s="1"/>
  <c r="AF266" i="34"/>
  <c r="AD266" i="34"/>
  <c r="AC266" i="34"/>
  <c r="AB266" i="34"/>
  <c r="R266" i="34"/>
  <c r="A266" i="34"/>
  <c r="AP265" i="34"/>
  <c r="AR265" i="34" s="1"/>
  <c r="AO265" i="34"/>
  <c r="AQ265" i="34" s="1"/>
  <c r="AI265" i="34"/>
  <c r="AS265" i="34"/>
  <c r="AD265" i="34"/>
  <c r="AC265" i="34"/>
  <c r="AB265" i="34"/>
  <c r="R265" i="34"/>
  <c r="A265" i="34"/>
  <c r="AP264" i="34"/>
  <c r="AR264" i="34" s="1"/>
  <c r="AO264" i="34"/>
  <c r="AQ264" i="34" s="1"/>
  <c r="AI264" i="34"/>
  <c r="AJ264" i="34" s="1"/>
  <c r="AS264" i="34"/>
  <c r="AD264" i="34"/>
  <c r="AC264" i="34"/>
  <c r="AB264" i="34"/>
  <c r="R264" i="34"/>
  <c r="AG264" i="34" s="1"/>
  <c r="A264" i="34"/>
  <c r="AP263" i="34"/>
  <c r="AR263" i="34" s="1"/>
  <c r="AO263" i="34"/>
  <c r="AQ263" i="34" s="1"/>
  <c r="AF263" i="34"/>
  <c r="AD263" i="34"/>
  <c r="AC263" i="34"/>
  <c r="AB263" i="34"/>
  <c r="R263" i="34"/>
  <c r="AH263" i="34" s="1"/>
  <c r="A263" i="34"/>
  <c r="AP262" i="34"/>
  <c r="AR262" i="34" s="1"/>
  <c r="AO262" i="34"/>
  <c r="AQ262" i="34" s="1"/>
  <c r="AI262" i="34"/>
  <c r="AJ262" i="34" s="1"/>
  <c r="AF262" i="34"/>
  <c r="AD262" i="34"/>
  <c r="AC262" i="34"/>
  <c r="AB262" i="34"/>
  <c r="R262" i="34"/>
  <c r="AG262" i="34" s="1"/>
  <c r="A262" i="34"/>
  <c r="AP261" i="34"/>
  <c r="AR261" i="34" s="1"/>
  <c r="AO261" i="34"/>
  <c r="AQ261" i="34" s="1"/>
  <c r="AF261" i="34"/>
  <c r="AD261" i="34"/>
  <c r="AC261" i="34"/>
  <c r="AB261" i="34"/>
  <c r="R261" i="34"/>
  <c r="AI261" i="34" s="1"/>
  <c r="A261" i="34"/>
  <c r="AP260" i="34"/>
  <c r="AR260" i="34" s="1"/>
  <c r="AO260" i="34"/>
  <c r="AQ260" i="34" s="1"/>
  <c r="AF260" i="34"/>
  <c r="AD260" i="34"/>
  <c r="AC260" i="34"/>
  <c r="AB260" i="34"/>
  <c r="R260" i="34"/>
  <c r="AG260" i="34" s="1"/>
  <c r="A260" i="34"/>
  <c r="AP259" i="34"/>
  <c r="AR259" i="34" s="1"/>
  <c r="AO259" i="34"/>
  <c r="AQ259" i="34" s="1"/>
  <c r="AI259" i="34"/>
  <c r="AJ259" i="34" s="1"/>
  <c r="AD259" i="34"/>
  <c r="AC259" i="34"/>
  <c r="AB259" i="34"/>
  <c r="R259" i="34"/>
  <c r="AG259" i="34" s="1"/>
  <c r="AH259" i="34" s="1"/>
  <c r="A259" i="34"/>
  <c r="AP258" i="34"/>
  <c r="AR258" i="34" s="1"/>
  <c r="AO258" i="34"/>
  <c r="AQ258" i="34" s="1"/>
  <c r="AF258" i="34"/>
  <c r="AD258" i="34"/>
  <c r="AC258" i="34"/>
  <c r="AB258" i="34"/>
  <c r="R258" i="34"/>
  <c r="A258" i="34"/>
  <c r="AP257" i="34"/>
  <c r="AR257" i="34" s="1"/>
  <c r="AO257" i="34"/>
  <c r="AQ257" i="34" s="1"/>
  <c r="AI257" i="34"/>
  <c r="AS257" i="34"/>
  <c r="AD257" i="34"/>
  <c r="AC257" i="34"/>
  <c r="AB257" i="34"/>
  <c r="R257" i="34"/>
  <c r="AG257" i="34" s="1"/>
  <c r="A257" i="34"/>
  <c r="AP256" i="34"/>
  <c r="AR256" i="34" s="1"/>
  <c r="AO256" i="34"/>
  <c r="AQ256" i="34" s="1"/>
  <c r="AF256" i="34"/>
  <c r="AD256" i="34"/>
  <c r="AC256" i="34"/>
  <c r="AB256" i="34"/>
  <c r="R256" i="34"/>
  <c r="A256" i="34"/>
  <c r="AP255" i="34"/>
  <c r="AR255" i="34" s="1"/>
  <c r="AO255" i="34"/>
  <c r="AQ255" i="34" s="1"/>
  <c r="AI255" i="34"/>
  <c r="AJ255" i="34" s="1"/>
  <c r="AS255" i="34"/>
  <c r="AD255" i="34"/>
  <c r="AC255" i="34"/>
  <c r="AB255" i="34"/>
  <c r="R255" i="34"/>
  <c r="AG255" i="34" s="1"/>
  <c r="AH255" i="34" s="1"/>
  <c r="A255" i="34"/>
  <c r="AP254" i="34"/>
  <c r="AR254" i="34" s="1"/>
  <c r="AO254" i="34"/>
  <c r="AQ254" i="34" s="1"/>
  <c r="AF254" i="34"/>
  <c r="AD254" i="34"/>
  <c r="AC254" i="34"/>
  <c r="AB254" i="34"/>
  <c r="R254" i="34"/>
  <c r="A254" i="34"/>
  <c r="AP253" i="34"/>
  <c r="AR253" i="34" s="1"/>
  <c r="AO253" i="34"/>
  <c r="AQ253" i="34" s="1"/>
  <c r="AI253" i="34"/>
  <c r="AJ253" i="34" s="1"/>
  <c r="AS253" i="34"/>
  <c r="AD253" i="34"/>
  <c r="AC253" i="34"/>
  <c r="AB253" i="34"/>
  <c r="R253" i="34"/>
  <c r="A253" i="34"/>
  <c r="AP252" i="34"/>
  <c r="AR252" i="34" s="1"/>
  <c r="AO252" i="34"/>
  <c r="AQ252" i="34" s="1"/>
  <c r="AF252" i="34"/>
  <c r="AD252" i="34"/>
  <c r="AC252" i="34"/>
  <c r="AB252" i="34"/>
  <c r="R252" i="34"/>
  <c r="A252" i="34"/>
  <c r="AP251" i="34"/>
  <c r="AR251" i="34" s="1"/>
  <c r="AO251" i="34"/>
  <c r="AQ251" i="34" s="1"/>
  <c r="AF251" i="34"/>
  <c r="AD251" i="34"/>
  <c r="AC251" i="34"/>
  <c r="AB251" i="34"/>
  <c r="R251" i="34"/>
  <c r="AG251" i="34" s="1"/>
  <c r="AH251" i="34" s="1"/>
  <c r="A251" i="34"/>
  <c r="AP250" i="34"/>
  <c r="AR250" i="34" s="1"/>
  <c r="AO250" i="34"/>
  <c r="AQ250" i="34" s="1"/>
  <c r="AF250" i="34"/>
  <c r="AD250" i="34"/>
  <c r="AC250" i="34"/>
  <c r="AB250" i="34"/>
  <c r="R250" i="34"/>
  <c r="AI250" i="34" s="1"/>
  <c r="A250" i="34"/>
  <c r="AP249" i="34"/>
  <c r="AR249" i="34" s="1"/>
  <c r="AO249" i="34"/>
  <c r="AQ249" i="34" s="1"/>
  <c r="AI249" i="34"/>
  <c r="AJ249" i="34" s="1"/>
  <c r="AF249" i="34"/>
  <c r="AD249" i="34"/>
  <c r="AC249" i="34"/>
  <c r="AB249" i="34"/>
  <c r="R249" i="34"/>
  <c r="AG249" i="34" s="1"/>
  <c r="A249" i="34"/>
  <c r="AP248" i="34"/>
  <c r="AR248" i="34" s="1"/>
  <c r="AO248" i="34"/>
  <c r="AQ248" i="34" s="1"/>
  <c r="AF248" i="34"/>
  <c r="AD248" i="34"/>
  <c r="AC248" i="34"/>
  <c r="AB248" i="34"/>
  <c r="R248" i="34"/>
  <c r="AG248" i="34" s="1"/>
  <c r="A248" i="34"/>
  <c r="AP247" i="34"/>
  <c r="AR247" i="34" s="1"/>
  <c r="AO247" i="34"/>
  <c r="AQ247" i="34" s="1"/>
  <c r="AF247" i="34"/>
  <c r="AD247" i="34"/>
  <c r="AC247" i="34"/>
  <c r="AB247" i="34"/>
  <c r="R247" i="34"/>
  <c r="AI247" i="34" s="1"/>
  <c r="A247" i="34"/>
  <c r="AP246" i="34"/>
  <c r="AR246" i="34" s="1"/>
  <c r="AO246" i="34"/>
  <c r="AQ246" i="34" s="1"/>
  <c r="AF246" i="34"/>
  <c r="AD246" i="34"/>
  <c r="AC246" i="34"/>
  <c r="AB246" i="34"/>
  <c r="R246" i="34"/>
  <c r="A246" i="34"/>
  <c r="AP245" i="34"/>
  <c r="AR245" i="34" s="1"/>
  <c r="AO245" i="34"/>
  <c r="AQ245" i="34" s="1"/>
  <c r="AF245" i="34"/>
  <c r="AD245" i="34"/>
  <c r="AC245" i="34"/>
  <c r="AB245" i="34"/>
  <c r="R245" i="34"/>
  <c r="AG245" i="34" s="1"/>
  <c r="A245" i="34"/>
  <c r="AP244" i="34"/>
  <c r="AR244" i="34" s="1"/>
  <c r="AO244" i="34"/>
  <c r="AQ244" i="34" s="1"/>
  <c r="AI244" i="34"/>
  <c r="AS244" i="34"/>
  <c r="AD244" i="34"/>
  <c r="AC244" i="34"/>
  <c r="AB244" i="34"/>
  <c r="R244" i="34"/>
  <c r="AG244" i="34" s="1"/>
  <c r="A244" i="34"/>
  <c r="AP243" i="34"/>
  <c r="AR243" i="34" s="1"/>
  <c r="AO243" i="34"/>
  <c r="AQ243" i="34" s="1"/>
  <c r="AF243" i="34"/>
  <c r="AD243" i="34"/>
  <c r="AC243" i="34"/>
  <c r="AB243" i="34"/>
  <c r="R243" i="34"/>
  <c r="AG243" i="34" s="1"/>
  <c r="AI243" i="34" s="1"/>
  <c r="A243" i="34"/>
  <c r="AP242" i="34"/>
  <c r="AR242" i="34" s="1"/>
  <c r="AO242" i="34"/>
  <c r="AQ242" i="34" s="1"/>
  <c r="AF242" i="34"/>
  <c r="AD242" i="34"/>
  <c r="AC242" i="34"/>
  <c r="AB242" i="34"/>
  <c r="R242" i="34"/>
  <c r="AG242" i="34" s="1"/>
  <c r="A242" i="34"/>
  <c r="AP241" i="34"/>
  <c r="AR241" i="34" s="1"/>
  <c r="AO241" i="34"/>
  <c r="AQ241" i="34" s="1"/>
  <c r="AS241" i="34"/>
  <c r="AD241" i="34"/>
  <c r="AC241" i="34"/>
  <c r="AB241" i="34"/>
  <c r="R241" i="34"/>
  <c r="AG241" i="34" s="1"/>
  <c r="A241" i="34"/>
  <c r="AP240" i="34"/>
  <c r="AR240" i="34" s="1"/>
  <c r="AO240" i="34"/>
  <c r="AQ240" i="34" s="1"/>
  <c r="AS240" i="34"/>
  <c r="AD240" i="34"/>
  <c r="AC240" i="34"/>
  <c r="AB240" i="34"/>
  <c r="R240" i="34"/>
  <c r="AG240" i="34" s="1"/>
  <c r="AH240" i="34" s="1"/>
  <c r="A240" i="34"/>
  <c r="AP239" i="34"/>
  <c r="AR239" i="34" s="1"/>
  <c r="AO239" i="34"/>
  <c r="AQ239" i="34" s="1"/>
  <c r="AF239" i="34"/>
  <c r="AD239" i="34"/>
  <c r="AC239" i="34"/>
  <c r="AB239" i="34"/>
  <c r="R239" i="34"/>
  <c r="AG239" i="34" s="1"/>
  <c r="AI239" i="34" s="1"/>
  <c r="A239" i="34"/>
  <c r="AP238" i="34"/>
  <c r="AR238" i="34" s="1"/>
  <c r="AO238" i="34"/>
  <c r="AQ238" i="34" s="1"/>
  <c r="AS238" i="34"/>
  <c r="AD238" i="34"/>
  <c r="AC238" i="34"/>
  <c r="AB238" i="34"/>
  <c r="R238" i="34"/>
  <c r="AG238" i="34" s="1"/>
  <c r="AI238" i="34" s="1"/>
  <c r="A238" i="34"/>
  <c r="AP237" i="34"/>
  <c r="AR237" i="34" s="1"/>
  <c r="AO237" i="34"/>
  <c r="AQ237" i="34" s="1"/>
  <c r="AF237" i="34"/>
  <c r="AD237" i="34"/>
  <c r="AC237" i="34"/>
  <c r="AB237" i="34"/>
  <c r="R237" i="34"/>
  <c r="AG237" i="34" s="1"/>
  <c r="A237" i="34"/>
  <c r="AP236" i="34"/>
  <c r="AR236" i="34" s="1"/>
  <c r="AO236" i="34"/>
  <c r="AQ236" i="34" s="1"/>
  <c r="AS236" i="34"/>
  <c r="AD236" i="34"/>
  <c r="AC236" i="34"/>
  <c r="AB236" i="34"/>
  <c r="R236" i="34"/>
  <c r="AG236" i="34" s="1"/>
  <c r="A236" i="34"/>
  <c r="AP235" i="34"/>
  <c r="AR235" i="34" s="1"/>
  <c r="AO235" i="34"/>
  <c r="AQ235" i="34" s="1"/>
  <c r="AF235" i="34"/>
  <c r="AD235" i="34"/>
  <c r="AC235" i="34"/>
  <c r="AB235" i="34"/>
  <c r="R235" i="34"/>
  <c r="AG235" i="34" s="1"/>
  <c r="A235" i="34"/>
  <c r="AP234" i="34"/>
  <c r="AR234" i="34" s="1"/>
  <c r="AO234" i="34"/>
  <c r="AQ234" i="34" s="1"/>
  <c r="AF234" i="34"/>
  <c r="AD234" i="34"/>
  <c r="AC234" i="34"/>
  <c r="AB234" i="34"/>
  <c r="R234" i="34"/>
  <c r="AG234" i="34" s="1"/>
  <c r="AI234" i="34" s="1"/>
  <c r="A234" i="34"/>
  <c r="AP233" i="34"/>
  <c r="AR233" i="34" s="1"/>
  <c r="AO233" i="34"/>
  <c r="AQ233" i="34" s="1"/>
  <c r="AS233" i="34"/>
  <c r="AD233" i="34"/>
  <c r="AC233" i="34"/>
  <c r="AB233" i="34"/>
  <c r="R233" i="34"/>
  <c r="AG233" i="34" s="1"/>
  <c r="A233" i="34"/>
  <c r="AP232" i="34"/>
  <c r="AR232" i="34" s="1"/>
  <c r="AO232" i="34"/>
  <c r="AQ232" i="34" s="1"/>
  <c r="AI232" i="34"/>
  <c r="AE232" i="34"/>
  <c r="AS232" i="34" s="1"/>
  <c r="AD232" i="34"/>
  <c r="AC232" i="34"/>
  <c r="AB232" i="34"/>
  <c r="R232" i="34"/>
  <c r="AG232" i="34" s="1"/>
  <c r="AH232" i="34" s="1"/>
  <c r="A232" i="34"/>
  <c r="AP231" i="34"/>
  <c r="AR231" i="34" s="1"/>
  <c r="AO231" i="34"/>
  <c r="AQ231" i="34" s="1"/>
  <c r="AI231" i="34"/>
  <c r="AE231" i="34"/>
  <c r="AF231" i="34" s="1"/>
  <c r="AD231" i="34"/>
  <c r="AC231" i="34"/>
  <c r="AB231" i="34"/>
  <c r="R231" i="34"/>
  <c r="AG231" i="34" s="1"/>
  <c r="A231" i="34"/>
  <c r="AP230" i="34"/>
  <c r="AR230" i="34" s="1"/>
  <c r="AO230" i="34"/>
  <c r="AQ230" i="34" s="1"/>
  <c r="AS230" i="34"/>
  <c r="AD230" i="34"/>
  <c r="AC230" i="34"/>
  <c r="AB230" i="34"/>
  <c r="R230" i="34"/>
  <c r="AI230" i="34" s="1"/>
  <c r="A230" i="34"/>
  <c r="AP229" i="34"/>
  <c r="AR229" i="34" s="1"/>
  <c r="AO229" i="34"/>
  <c r="AQ229" i="34" s="1"/>
  <c r="AS229" i="34"/>
  <c r="AD229" i="34"/>
  <c r="AC229" i="34"/>
  <c r="AB229" i="34"/>
  <c r="R229" i="34"/>
  <c r="AG229" i="34" s="1"/>
  <c r="A229" i="34"/>
  <c r="AP228" i="34"/>
  <c r="AR228" i="34" s="1"/>
  <c r="AO228" i="34"/>
  <c r="AQ228" i="34" s="1"/>
  <c r="AF228" i="34"/>
  <c r="AD228" i="34"/>
  <c r="AC228" i="34"/>
  <c r="AB228" i="34"/>
  <c r="R228" i="34"/>
  <c r="A228" i="34"/>
  <c r="AP227" i="34"/>
  <c r="AR227" i="34" s="1"/>
  <c r="AO227" i="34"/>
  <c r="AQ227" i="34" s="1"/>
  <c r="AS227" i="34"/>
  <c r="AD227" i="34"/>
  <c r="AC227" i="34"/>
  <c r="AB227" i="34"/>
  <c r="R227" i="34"/>
  <c r="A227" i="34"/>
  <c r="AP226" i="34"/>
  <c r="AR226" i="34" s="1"/>
  <c r="AO226" i="34"/>
  <c r="AQ226" i="34" s="1"/>
  <c r="AI226" i="34"/>
  <c r="AJ226" i="34" s="1"/>
  <c r="AF226" i="34"/>
  <c r="AD226" i="34"/>
  <c r="AC226" i="34"/>
  <c r="AB226" i="34"/>
  <c r="R226" i="34"/>
  <c r="AG226" i="34" s="1"/>
  <c r="A226" i="34"/>
  <c r="AP225" i="34"/>
  <c r="AR225" i="34" s="1"/>
  <c r="AO225" i="34"/>
  <c r="AQ225" i="34" s="1"/>
  <c r="AS225" i="34"/>
  <c r="AD225" i="34"/>
  <c r="AC225" i="34"/>
  <c r="AB225" i="34"/>
  <c r="R225" i="34"/>
  <c r="A225" i="34"/>
  <c r="AP224" i="34"/>
  <c r="AR224" i="34" s="1"/>
  <c r="AO224" i="34"/>
  <c r="AQ224" i="34" s="1"/>
  <c r="AF224" i="34"/>
  <c r="AD224" i="34"/>
  <c r="AC224" i="34"/>
  <c r="AB224" i="34"/>
  <c r="R224" i="34"/>
  <c r="AG224" i="34" s="1"/>
  <c r="AI224" i="34" s="1"/>
  <c r="A224" i="34"/>
  <c r="AP223" i="34"/>
  <c r="AR223" i="34" s="1"/>
  <c r="AO223" i="34"/>
  <c r="AQ223" i="34" s="1"/>
  <c r="AS223" i="34"/>
  <c r="AD223" i="34"/>
  <c r="AC223" i="34"/>
  <c r="AB223" i="34"/>
  <c r="R223" i="34"/>
  <c r="AG223" i="34" s="1"/>
  <c r="A223" i="34"/>
  <c r="AP222" i="34"/>
  <c r="AR222" i="34" s="1"/>
  <c r="AO222" i="34"/>
  <c r="AQ222" i="34" s="1"/>
  <c r="AF222" i="34"/>
  <c r="AD222" i="34"/>
  <c r="AC222" i="34"/>
  <c r="AB222" i="34"/>
  <c r="R222" i="34"/>
  <c r="AG222" i="34" s="1"/>
  <c r="A222" i="34"/>
  <c r="AP221" i="34"/>
  <c r="AR221" i="34" s="1"/>
  <c r="AO221" i="34"/>
  <c r="AQ221" i="34" s="1"/>
  <c r="AI221" i="34"/>
  <c r="AJ221" i="34" s="1"/>
  <c r="AS221" i="34"/>
  <c r="AD221" i="34"/>
  <c r="AC221" i="34"/>
  <c r="AB221" i="34"/>
  <c r="R221" i="34"/>
  <c r="AG221" i="34" s="1"/>
  <c r="A221" i="34"/>
  <c r="AP220" i="34"/>
  <c r="AR220" i="34" s="1"/>
  <c r="AO220" i="34"/>
  <c r="AQ220" i="34" s="1"/>
  <c r="AF220" i="34"/>
  <c r="AD220" i="34"/>
  <c r="AC220" i="34"/>
  <c r="AB220" i="34"/>
  <c r="R220" i="34"/>
  <c r="AG220" i="34" s="1"/>
  <c r="A220" i="34"/>
  <c r="AP219" i="34"/>
  <c r="AR219" i="34" s="1"/>
  <c r="AO219" i="34"/>
  <c r="AQ219" i="34" s="1"/>
  <c r="AF219" i="34"/>
  <c r="AD219" i="34"/>
  <c r="AC219" i="34"/>
  <c r="AB219" i="34"/>
  <c r="R219" i="34"/>
  <c r="AG219" i="34" s="1"/>
  <c r="A219" i="34"/>
  <c r="AP218" i="34"/>
  <c r="AR218" i="34" s="1"/>
  <c r="AO218" i="34"/>
  <c r="AQ218" i="34" s="1"/>
  <c r="AF218" i="34"/>
  <c r="AD218" i="34"/>
  <c r="AC218" i="34"/>
  <c r="AB218" i="34"/>
  <c r="R218" i="34"/>
  <c r="AG218" i="34" s="1"/>
  <c r="A218" i="34"/>
  <c r="AP217" i="34"/>
  <c r="AR217" i="34" s="1"/>
  <c r="AO217" i="34"/>
  <c r="AQ217" i="34" s="1"/>
  <c r="AS217" i="34"/>
  <c r="AD217" i="34"/>
  <c r="AC217" i="34"/>
  <c r="AB217" i="34"/>
  <c r="R217" i="34"/>
  <c r="AG217" i="34" s="1"/>
  <c r="A217" i="34"/>
  <c r="AP216" i="34"/>
  <c r="AR216" i="34" s="1"/>
  <c r="AO216" i="34"/>
  <c r="AQ216" i="34" s="1"/>
  <c r="AI216" i="34"/>
  <c r="AF216" i="34"/>
  <c r="AD216" i="34"/>
  <c r="AC216" i="34"/>
  <c r="AB216" i="34"/>
  <c r="R216" i="34"/>
  <c r="AG216" i="34" s="1"/>
  <c r="A216" i="34"/>
  <c r="AP215" i="34"/>
  <c r="AR215" i="34" s="1"/>
  <c r="AO215" i="34"/>
  <c r="AQ215" i="34" s="1"/>
  <c r="AF215" i="34"/>
  <c r="AD215" i="34"/>
  <c r="AC215" i="34"/>
  <c r="AB215" i="34"/>
  <c r="R215" i="34"/>
  <c r="AG215" i="34" s="1"/>
  <c r="A215" i="34"/>
  <c r="AP214" i="34"/>
  <c r="AR214" i="34" s="1"/>
  <c r="AO214" i="34"/>
  <c r="AQ214" i="34" s="1"/>
  <c r="AF214" i="34"/>
  <c r="AD214" i="34"/>
  <c r="AC214" i="34"/>
  <c r="AB214" i="34"/>
  <c r="R214" i="34"/>
  <c r="AG214" i="34" s="1"/>
  <c r="A214" i="34"/>
  <c r="AP213" i="34"/>
  <c r="AR213" i="34" s="1"/>
  <c r="AO213" i="34"/>
  <c r="AQ213" i="34" s="1"/>
  <c r="AI213" i="34"/>
  <c r="AJ213" i="34" s="1"/>
  <c r="AE213" i="34"/>
  <c r="AS213" i="34" s="1"/>
  <c r="AD213" i="34"/>
  <c r="AC213" i="34"/>
  <c r="AB213" i="34"/>
  <c r="R213" i="34"/>
  <c r="AG213" i="34" s="1"/>
  <c r="AH213" i="34" s="1"/>
  <c r="A213" i="34"/>
  <c r="AP212" i="34"/>
  <c r="AR212" i="34" s="1"/>
  <c r="AO212" i="34"/>
  <c r="AQ212" i="34" s="1"/>
  <c r="AI212" i="34"/>
  <c r="AE212" i="34"/>
  <c r="AF212" i="34" s="1"/>
  <c r="AD212" i="34"/>
  <c r="AC212" i="34"/>
  <c r="AB212" i="34"/>
  <c r="R212" i="34"/>
  <c r="AG212" i="34" s="1"/>
  <c r="AT212" i="34" s="1"/>
  <c r="A212" i="34"/>
  <c r="AP211" i="34"/>
  <c r="AR211" i="34" s="1"/>
  <c r="AO211" i="34"/>
  <c r="AQ211" i="34" s="1"/>
  <c r="AI211" i="34"/>
  <c r="AS211" i="34"/>
  <c r="AD211" i="34"/>
  <c r="AC211" i="34"/>
  <c r="AB211" i="34"/>
  <c r="R211" i="34"/>
  <c r="AG211" i="34" s="1"/>
  <c r="A211" i="34"/>
  <c r="AP210" i="34"/>
  <c r="AR210" i="34" s="1"/>
  <c r="AO210" i="34"/>
  <c r="AQ210" i="34" s="1"/>
  <c r="AS210" i="34"/>
  <c r="AD210" i="34"/>
  <c r="AC210" i="34"/>
  <c r="AB210" i="34"/>
  <c r="R210" i="34"/>
  <c r="A210" i="34"/>
  <c r="AP209" i="34"/>
  <c r="AR209" i="34" s="1"/>
  <c r="AO209" i="34"/>
  <c r="AQ209" i="34" s="1"/>
  <c r="AS209" i="34"/>
  <c r="AD209" i="34"/>
  <c r="AC209" i="34"/>
  <c r="AB209" i="34"/>
  <c r="R209" i="34"/>
  <c r="A209" i="34"/>
  <c r="AP208" i="34"/>
  <c r="AR208" i="34" s="1"/>
  <c r="AO208" i="34"/>
  <c r="AQ208" i="34" s="1"/>
  <c r="AF208" i="34"/>
  <c r="AD208" i="34"/>
  <c r="AC208" i="34"/>
  <c r="AB208" i="34"/>
  <c r="R208" i="34"/>
  <c r="A208" i="34"/>
  <c r="AP207" i="34"/>
  <c r="AR207" i="34" s="1"/>
  <c r="AO207" i="34"/>
  <c r="AQ207" i="34" s="1"/>
  <c r="AF207" i="34"/>
  <c r="AD207" i="34"/>
  <c r="AC207" i="34"/>
  <c r="AB207" i="34"/>
  <c r="R207" i="34"/>
  <c r="A207" i="34"/>
  <c r="AP206" i="34"/>
  <c r="AR206" i="34" s="1"/>
  <c r="AO206" i="34"/>
  <c r="AQ206" i="34" s="1"/>
  <c r="AS206" i="34"/>
  <c r="AD206" i="34"/>
  <c r="AC206" i="34"/>
  <c r="AB206" i="34"/>
  <c r="R206" i="34"/>
  <c r="A206" i="34"/>
  <c r="AP205" i="34"/>
  <c r="AR205" i="34" s="1"/>
  <c r="AO205" i="34"/>
  <c r="AQ205" i="34" s="1"/>
  <c r="AI205" i="34"/>
  <c r="AJ205" i="34" s="1"/>
  <c r="AE205" i="34"/>
  <c r="AS205" i="34" s="1"/>
  <c r="AD205" i="34"/>
  <c r="AC205" i="34"/>
  <c r="AB205" i="34"/>
  <c r="R205" i="34"/>
  <c r="AG205" i="34" s="1"/>
  <c r="AT205" i="34" s="1"/>
  <c r="A205" i="34"/>
  <c r="AP204" i="34"/>
  <c r="AR204" i="34" s="1"/>
  <c r="AO204" i="34"/>
  <c r="AQ204" i="34" s="1"/>
  <c r="AS204" i="34"/>
  <c r="AD204" i="34"/>
  <c r="AC204" i="34"/>
  <c r="AB204" i="34"/>
  <c r="R204" i="34"/>
  <c r="AG204" i="34" s="1"/>
  <c r="AI204" i="34" s="1"/>
  <c r="AK204" i="34" s="1"/>
  <c r="AL204" i="34" s="1"/>
  <c r="A204" i="34"/>
  <c r="AP203" i="34"/>
  <c r="AR203" i="34" s="1"/>
  <c r="AO203" i="34"/>
  <c r="AQ203" i="34" s="1"/>
  <c r="AF203" i="34"/>
  <c r="AD203" i="34"/>
  <c r="AC203" i="34"/>
  <c r="AB203" i="34"/>
  <c r="R203" i="34"/>
  <c r="AG203" i="34" s="1"/>
  <c r="AI203" i="34" s="1"/>
  <c r="A203" i="34"/>
  <c r="AP202" i="34"/>
  <c r="AR202" i="34" s="1"/>
  <c r="AO202" i="34"/>
  <c r="AQ202" i="34" s="1"/>
  <c r="AS202" i="34"/>
  <c r="AD202" i="34"/>
  <c r="AC202" i="34"/>
  <c r="AB202" i="34"/>
  <c r="R202" i="34"/>
  <c r="A202" i="34"/>
  <c r="AP201" i="34"/>
  <c r="AR201" i="34" s="1"/>
  <c r="AO201" i="34"/>
  <c r="AQ201" i="34" s="1"/>
  <c r="AS201" i="34"/>
  <c r="AD201" i="34"/>
  <c r="AC201" i="34"/>
  <c r="AB201" i="34"/>
  <c r="R201" i="34"/>
  <c r="AI201" i="34" s="1"/>
  <c r="AK201" i="34" s="1"/>
  <c r="A201" i="34"/>
  <c r="AP200" i="34"/>
  <c r="AR200" i="34" s="1"/>
  <c r="AO200" i="34"/>
  <c r="AQ200" i="34" s="1"/>
  <c r="AI200" i="34"/>
  <c r="AJ200" i="34" s="1"/>
  <c r="AS200" i="34"/>
  <c r="AD200" i="34"/>
  <c r="AC200" i="34"/>
  <c r="AB200" i="34"/>
  <c r="R200" i="34"/>
  <c r="AG200" i="34" s="1"/>
  <c r="AH200" i="34" s="1"/>
  <c r="A200" i="34"/>
  <c r="AP199" i="34"/>
  <c r="AR199" i="34" s="1"/>
  <c r="AO199" i="34"/>
  <c r="AQ199" i="34" s="1"/>
  <c r="AS199" i="34"/>
  <c r="AD199" i="34"/>
  <c r="AC199" i="34"/>
  <c r="AB199" i="34"/>
  <c r="R199" i="34"/>
  <c r="AI199" i="34" s="1"/>
  <c r="AK199" i="34" s="1"/>
  <c r="A199" i="34"/>
  <c r="AP198" i="34"/>
  <c r="AR198" i="34" s="1"/>
  <c r="AO198" i="34"/>
  <c r="AQ198" i="34" s="1"/>
  <c r="AS198" i="34"/>
  <c r="AD198" i="34"/>
  <c r="AC198" i="34"/>
  <c r="AB198" i="34"/>
  <c r="R198" i="34"/>
  <c r="AG198" i="34" s="1"/>
  <c r="AI198" i="34" s="1"/>
  <c r="AK198" i="34" s="1"/>
  <c r="AL198" i="34" s="1"/>
  <c r="A198" i="34"/>
  <c r="AP197" i="34"/>
  <c r="AR197" i="34" s="1"/>
  <c r="AO197" i="34"/>
  <c r="AQ197" i="34" s="1"/>
  <c r="AS197" i="34"/>
  <c r="AD197" i="34"/>
  <c r="AC197" i="34"/>
  <c r="AB197" i="34"/>
  <c r="R197" i="34"/>
  <c r="A197" i="34"/>
  <c r="AP196" i="34"/>
  <c r="AR196" i="34" s="1"/>
  <c r="AO196" i="34"/>
  <c r="AQ196" i="34" s="1"/>
  <c r="AS196" i="34"/>
  <c r="AD196" i="34"/>
  <c r="AC196" i="34"/>
  <c r="AB196" i="34"/>
  <c r="R196" i="34"/>
  <c r="AI196" i="34" s="1"/>
  <c r="AK196" i="34" s="1"/>
  <c r="A196" i="34"/>
  <c r="AP195" i="34"/>
  <c r="AR195" i="34" s="1"/>
  <c r="AO195" i="34"/>
  <c r="AQ195" i="34" s="1"/>
  <c r="AS195" i="34"/>
  <c r="AD195" i="34"/>
  <c r="AC195" i="34"/>
  <c r="AB195" i="34"/>
  <c r="R195" i="34"/>
  <c r="AI195" i="34" s="1"/>
  <c r="AK195" i="34" s="1"/>
  <c r="A195" i="34"/>
  <c r="AP194" i="34"/>
  <c r="AR194" i="34" s="1"/>
  <c r="AO194" i="34"/>
  <c r="AQ194" i="34" s="1"/>
  <c r="AE194" i="34"/>
  <c r="AS194" i="34" s="1"/>
  <c r="AD194" i="34"/>
  <c r="AC194" i="34"/>
  <c r="AB194" i="34"/>
  <c r="R194" i="34"/>
  <c r="AG194" i="34" s="1"/>
  <c r="AI194" i="34" s="1"/>
  <c r="AK194" i="34" s="1"/>
  <c r="AL194" i="34" s="1"/>
  <c r="A194" i="34"/>
  <c r="AP193" i="34"/>
  <c r="AR193" i="34" s="1"/>
  <c r="AO193" i="34"/>
  <c r="AQ193" i="34" s="1"/>
  <c r="AS193" i="34"/>
  <c r="AD193" i="34"/>
  <c r="AC193" i="34"/>
  <c r="AB193" i="34"/>
  <c r="R193" i="34"/>
  <c r="AI193" i="34" s="1"/>
  <c r="AK193" i="34" s="1"/>
  <c r="A193" i="34"/>
  <c r="AP192" i="34"/>
  <c r="AR192" i="34" s="1"/>
  <c r="AO192" i="34"/>
  <c r="AQ192" i="34" s="1"/>
  <c r="AF192" i="34"/>
  <c r="AD192" i="34"/>
  <c r="AC192" i="34"/>
  <c r="AB192" i="34"/>
  <c r="R192" i="34"/>
  <c r="A192" i="34"/>
  <c r="AP191" i="34"/>
  <c r="AR191" i="34" s="1"/>
  <c r="AO191" i="34"/>
  <c r="AQ191" i="34" s="1"/>
  <c r="AD191" i="34"/>
  <c r="AC191" i="34"/>
  <c r="AB191" i="34"/>
  <c r="R191" i="34"/>
  <c r="AI191" i="34" s="1"/>
  <c r="A191" i="34"/>
  <c r="AP190" i="34"/>
  <c r="AR190" i="34" s="1"/>
  <c r="AO190" i="34"/>
  <c r="AQ190" i="34" s="1"/>
  <c r="AS190" i="34"/>
  <c r="AD190" i="34"/>
  <c r="AC190" i="34"/>
  <c r="AB190" i="34"/>
  <c r="R190" i="34"/>
  <c r="A190" i="34"/>
  <c r="AP189" i="34"/>
  <c r="AR189" i="34" s="1"/>
  <c r="AO189" i="34"/>
  <c r="AQ189" i="34" s="1"/>
  <c r="AS189" i="34"/>
  <c r="AD189" i="34"/>
  <c r="AC189" i="34"/>
  <c r="AB189" i="34"/>
  <c r="R189" i="34"/>
  <c r="AI189" i="34" s="1"/>
  <c r="AJ189" i="34" s="1"/>
  <c r="A189" i="34"/>
  <c r="AP188" i="34"/>
  <c r="AR188" i="34" s="1"/>
  <c r="AO188" i="34"/>
  <c r="AQ188" i="34" s="1"/>
  <c r="AF188" i="34"/>
  <c r="AD188" i="34"/>
  <c r="AC188" i="34"/>
  <c r="AB188" i="34"/>
  <c r="R188" i="34"/>
  <c r="AT188" i="34" s="1"/>
  <c r="A188" i="34"/>
  <c r="AP187" i="34"/>
  <c r="AR187" i="34" s="1"/>
  <c r="AO187" i="34"/>
  <c r="AQ187" i="34" s="1"/>
  <c r="AS187" i="34"/>
  <c r="AD187" i="34"/>
  <c r="AC187" i="34"/>
  <c r="AB187" i="34"/>
  <c r="R187" i="34"/>
  <c r="AI187" i="34" s="1"/>
  <c r="AK187" i="34" s="1"/>
  <c r="A187" i="34"/>
  <c r="AP186" i="34"/>
  <c r="AR186" i="34" s="1"/>
  <c r="AO186" i="34"/>
  <c r="AQ186" i="34" s="1"/>
  <c r="AI186" i="34"/>
  <c r="AS186" i="34"/>
  <c r="AD186" i="34"/>
  <c r="AC186" i="34"/>
  <c r="AB186" i="34"/>
  <c r="R186" i="34"/>
  <c r="AG186" i="34" s="1"/>
  <c r="A186" i="34"/>
  <c r="AP185" i="34"/>
  <c r="AR185" i="34" s="1"/>
  <c r="AO185" i="34"/>
  <c r="AQ185" i="34" s="1"/>
  <c r="AS185" i="34"/>
  <c r="AD185" i="34"/>
  <c r="AC185" i="34"/>
  <c r="AB185" i="34"/>
  <c r="R185" i="34"/>
  <c r="AG185" i="34" s="1"/>
  <c r="A185" i="34"/>
  <c r="AP184" i="34"/>
  <c r="AR184" i="34" s="1"/>
  <c r="AO184" i="34"/>
  <c r="AQ184" i="34" s="1"/>
  <c r="AS184" i="34"/>
  <c r="AD184" i="34"/>
  <c r="AC184" i="34"/>
  <c r="AB184" i="34"/>
  <c r="R184" i="34"/>
  <c r="AG184" i="34" s="1"/>
  <c r="AT184" i="34" s="1"/>
  <c r="A184" i="34"/>
  <c r="AP183" i="34"/>
  <c r="AR183" i="34" s="1"/>
  <c r="AO183" i="34"/>
  <c r="AQ183" i="34" s="1"/>
  <c r="AS183" i="34"/>
  <c r="AD183" i="34"/>
  <c r="AC183" i="34"/>
  <c r="AB183" i="34"/>
  <c r="R183" i="34"/>
  <c r="AI183" i="34" s="1"/>
  <c r="AK183" i="34" s="1"/>
  <c r="A183" i="34"/>
  <c r="AP182" i="34"/>
  <c r="AR182" i="34" s="1"/>
  <c r="AO182" i="34"/>
  <c r="AQ182" i="34" s="1"/>
  <c r="AS182" i="34"/>
  <c r="AD182" i="34"/>
  <c r="AC182" i="34"/>
  <c r="AB182" i="34"/>
  <c r="R182" i="34"/>
  <c r="A182" i="34"/>
  <c r="AP181" i="34"/>
  <c r="AR181" i="34" s="1"/>
  <c r="AO181" i="34"/>
  <c r="AQ181" i="34" s="1"/>
  <c r="AS181" i="34"/>
  <c r="AD181" i="34"/>
  <c r="AC181" i="34"/>
  <c r="AB181" i="34"/>
  <c r="R181" i="34"/>
  <c r="AG181" i="34" s="1"/>
  <c r="AI181" i="34" s="1"/>
  <c r="AK181" i="34" s="1"/>
  <c r="AL181" i="34" s="1"/>
  <c r="A181" i="34"/>
  <c r="AP180" i="34"/>
  <c r="AR180" i="34" s="1"/>
  <c r="AO180" i="34"/>
  <c r="AQ180" i="34" s="1"/>
  <c r="AS180" i="34"/>
  <c r="AD180" i="34"/>
  <c r="AC180" i="34"/>
  <c r="AB180" i="34"/>
  <c r="R180" i="34"/>
  <c r="AH180" i="34" s="1"/>
  <c r="A180" i="34"/>
  <c r="AP179" i="34"/>
  <c r="AR179" i="34" s="1"/>
  <c r="AO179" i="34"/>
  <c r="AQ179" i="34" s="1"/>
  <c r="AD179" i="34"/>
  <c r="AC179" i="34"/>
  <c r="AB179" i="34"/>
  <c r="R179" i="34"/>
  <c r="AG179" i="34" s="1"/>
  <c r="AI179" i="34" s="1"/>
  <c r="AK179" i="34" s="1"/>
  <c r="AL179" i="34" s="1"/>
  <c r="A179" i="34"/>
  <c r="AP178" i="34"/>
  <c r="AR178" i="34" s="1"/>
  <c r="AO178" i="34"/>
  <c r="AQ178" i="34" s="1"/>
  <c r="AS178" i="34"/>
  <c r="AD178" i="34"/>
  <c r="AC178" i="34"/>
  <c r="AB178" i="34"/>
  <c r="R178" i="34"/>
  <c r="A178" i="34"/>
  <c r="AP177" i="34"/>
  <c r="AR177" i="34" s="1"/>
  <c r="AO177" i="34"/>
  <c r="AQ177" i="34" s="1"/>
  <c r="AD177" i="34"/>
  <c r="AC177" i="34"/>
  <c r="AB177" i="34"/>
  <c r="R177" i="34"/>
  <c r="AG177" i="34" s="1"/>
  <c r="AI177" i="34" s="1"/>
  <c r="AK177" i="34" s="1"/>
  <c r="AL177" i="34" s="1"/>
  <c r="A177" i="34"/>
  <c r="AP176" i="34"/>
  <c r="AR176" i="34" s="1"/>
  <c r="AO176" i="34"/>
  <c r="AQ176" i="34" s="1"/>
  <c r="AS176" i="34"/>
  <c r="AD176" i="34"/>
  <c r="AC176" i="34"/>
  <c r="AB176" i="34"/>
  <c r="R176" i="34"/>
  <c r="AG176" i="34" s="1"/>
  <c r="AT176" i="34" s="1"/>
  <c r="A176" i="34"/>
  <c r="AP175" i="34"/>
  <c r="AR175" i="34" s="1"/>
  <c r="AO175" i="34"/>
  <c r="AQ175" i="34" s="1"/>
  <c r="AE175" i="34"/>
  <c r="AS175" i="34" s="1"/>
  <c r="AD175" i="34"/>
  <c r="AC175" i="34"/>
  <c r="AB175" i="34"/>
  <c r="R175" i="34"/>
  <c r="AG175" i="34" s="1"/>
  <c r="AT175" i="34" s="1"/>
  <c r="A175" i="34"/>
  <c r="AP174" i="34"/>
  <c r="AR174" i="34" s="1"/>
  <c r="AO174" i="34"/>
  <c r="AQ174" i="34" s="1"/>
  <c r="AI174" i="34"/>
  <c r="AJ174" i="34" s="1"/>
  <c r="AE174" i="34"/>
  <c r="AS174" i="34" s="1"/>
  <c r="AD174" i="34"/>
  <c r="AC174" i="34"/>
  <c r="AB174" i="34"/>
  <c r="R174" i="34"/>
  <c r="A174" i="34"/>
  <c r="AP173" i="34"/>
  <c r="AR173" i="34" s="1"/>
  <c r="AO173" i="34"/>
  <c r="AQ173" i="34" s="1"/>
  <c r="AF173" i="34"/>
  <c r="AD173" i="34"/>
  <c r="AC173" i="34"/>
  <c r="AB173" i="34"/>
  <c r="R173" i="34"/>
  <c r="A173" i="34"/>
  <c r="AP172" i="34"/>
  <c r="AR172" i="34" s="1"/>
  <c r="AO172" i="34"/>
  <c r="AQ172" i="34" s="1"/>
  <c r="AF172" i="34"/>
  <c r="AD172" i="34"/>
  <c r="AC172" i="34"/>
  <c r="AB172" i="34"/>
  <c r="R172" i="34"/>
  <c r="AI172" i="34" s="1"/>
  <c r="AK172" i="34" s="1"/>
  <c r="A172" i="34"/>
  <c r="AP171" i="34"/>
  <c r="AR171" i="34" s="1"/>
  <c r="AO171" i="34"/>
  <c r="AQ171" i="34" s="1"/>
  <c r="AS171" i="34"/>
  <c r="AD171" i="34"/>
  <c r="AC171" i="34"/>
  <c r="AB171" i="34"/>
  <c r="R171" i="34"/>
  <c r="AI171" i="34" s="1"/>
  <c r="A171" i="34"/>
  <c r="AP170" i="34"/>
  <c r="AR170" i="34" s="1"/>
  <c r="AO170" i="34"/>
  <c r="AQ170" i="34" s="1"/>
  <c r="AD170" i="34"/>
  <c r="AC170" i="34"/>
  <c r="AB170" i="34"/>
  <c r="R170" i="34"/>
  <c r="A170" i="34"/>
  <c r="AP169" i="34"/>
  <c r="AR169" i="34" s="1"/>
  <c r="AO169" i="34"/>
  <c r="AQ169" i="34" s="1"/>
  <c r="AI169" i="34"/>
  <c r="AJ169" i="34" s="1"/>
  <c r="AD169" i="34"/>
  <c r="AC169" i="34"/>
  <c r="AB169" i="34"/>
  <c r="R169" i="34"/>
  <c r="AG169" i="34" s="1"/>
  <c r="A169" i="34"/>
  <c r="AP168" i="34"/>
  <c r="AR168" i="34" s="1"/>
  <c r="AO168" i="34"/>
  <c r="AQ168" i="34" s="1"/>
  <c r="AS168" i="34"/>
  <c r="AD168" i="34"/>
  <c r="AC168" i="34"/>
  <c r="AB168" i="34"/>
  <c r="R168" i="34"/>
  <c r="A168" i="34"/>
  <c r="AP167" i="34"/>
  <c r="AR167" i="34" s="1"/>
  <c r="AO167" i="34"/>
  <c r="AQ167" i="34" s="1"/>
  <c r="AD167" i="34"/>
  <c r="AC167" i="34"/>
  <c r="AB167" i="34"/>
  <c r="R167" i="34"/>
  <c r="AG167" i="34" s="1"/>
  <c r="AI167" i="34" s="1"/>
  <c r="AK167" i="34" s="1"/>
  <c r="AL167" i="34" s="1"/>
  <c r="A167" i="34"/>
  <c r="AP166" i="34"/>
  <c r="AR166" i="34" s="1"/>
  <c r="AO166" i="34"/>
  <c r="AQ166" i="34" s="1"/>
  <c r="AS166" i="34"/>
  <c r="AD166" i="34"/>
  <c r="AC166" i="34"/>
  <c r="AB166" i="34"/>
  <c r="R166" i="34"/>
  <c r="AG166" i="34" s="1"/>
  <c r="AI166" i="34" s="1"/>
  <c r="AK166" i="34" s="1"/>
  <c r="AL166" i="34" s="1"/>
  <c r="A166" i="34"/>
  <c r="AP165" i="34"/>
  <c r="AR165" i="34" s="1"/>
  <c r="AO165" i="34"/>
  <c r="AQ165" i="34" s="1"/>
  <c r="AI165" i="34"/>
  <c r="AJ165" i="34" s="1"/>
  <c r="AS165" i="34"/>
  <c r="AD165" i="34"/>
  <c r="AC165" i="34"/>
  <c r="AB165" i="34"/>
  <c r="R165" i="34"/>
  <c r="AG165" i="34" s="1"/>
  <c r="AT165" i="34" s="1"/>
  <c r="A165" i="34"/>
  <c r="AP164" i="34"/>
  <c r="AR164" i="34" s="1"/>
  <c r="AO164" i="34"/>
  <c r="AQ164" i="34" s="1"/>
  <c r="AS164" i="34"/>
  <c r="AD164" i="34"/>
  <c r="AC164" i="34"/>
  <c r="AB164" i="34"/>
  <c r="R164" i="34"/>
  <c r="AT164" i="34" s="1"/>
  <c r="A164" i="34"/>
  <c r="AP163" i="34"/>
  <c r="AR163" i="34" s="1"/>
  <c r="AO163" i="34"/>
  <c r="AQ163" i="34" s="1"/>
  <c r="AS163" i="34"/>
  <c r="AD163" i="34"/>
  <c r="AC163" i="34"/>
  <c r="AB163" i="34"/>
  <c r="R163" i="34"/>
  <c r="A163" i="34"/>
  <c r="AP162" i="34"/>
  <c r="AR162" i="34" s="1"/>
  <c r="AO162" i="34"/>
  <c r="AQ162" i="34" s="1"/>
  <c r="AI162" i="34"/>
  <c r="AJ162" i="34" s="1"/>
  <c r="AE162" i="34"/>
  <c r="AF162" i="34" s="1"/>
  <c r="AD162" i="34"/>
  <c r="AC162" i="34"/>
  <c r="AB162" i="34"/>
  <c r="R162" i="34"/>
  <c r="AG162" i="34" s="1"/>
  <c r="AT162" i="34" s="1"/>
  <c r="A162" i="34"/>
  <c r="AP161" i="34"/>
  <c r="AR161" i="34" s="1"/>
  <c r="AO161" i="34"/>
  <c r="AQ161" i="34" s="1"/>
  <c r="AF161" i="34"/>
  <c r="AD161" i="34"/>
  <c r="AC161" i="34"/>
  <c r="AB161" i="34"/>
  <c r="R161" i="34"/>
  <c r="AI161" i="34" s="1"/>
  <c r="AK161" i="34" s="1"/>
  <c r="A161" i="34"/>
  <c r="AP160" i="34"/>
  <c r="AR160" i="34" s="1"/>
  <c r="AO160" i="34"/>
  <c r="AQ160" i="34" s="1"/>
  <c r="AE160" i="34"/>
  <c r="AS160" i="34" s="1"/>
  <c r="AD160" i="34"/>
  <c r="AC160" i="34"/>
  <c r="AB160" i="34"/>
  <c r="R160" i="34"/>
  <c r="AG160" i="34" s="1"/>
  <c r="A160" i="34"/>
  <c r="AP159" i="34"/>
  <c r="AR159" i="34" s="1"/>
  <c r="AO159" i="34"/>
  <c r="AQ159" i="34" s="1"/>
  <c r="AD159" i="34"/>
  <c r="AC159" i="34"/>
  <c r="AB159" i="34"/>
  <c r="R159" i="34"/>
  <c r="AI159" i="34" s="1"/>
  <c r="AK159" i="34" s="1"/>
  <c r="A159" i="34"/>
  <c r="AP158" i="34"/>
  <c r="AR158" i="34" s="1"/>
  <c r="AO158" i="34"/>
  <c r="AQ158" i="34" s="1"/>
  <c r="AI158" i="34"/>
  <c r="AJ158" i="34" s="1"/>
  <c r="AF158" i="34"/>
  <c r="AD158" i="34"/>
  <c r="AC158" i="34"/>
  <c r="AB158" i="34"/>
  <c r="R158" i="34"/>
  <c r="AG158" i="34" s="1"/>
  <c r="A158" i="34"/>
  <c r="AP157" i="34"/>
  <c r="AR157" i="34" s="1"/>
  <c r="AO157" i="34"/>
  <c r="AQ157" i="34" s="1"/>
  <c r="AS157" i="34"/>
  <c r="AD157" i="34"/>
  <c r="AC157" i="34"/>
  <c r="AB157" i="34"/>
  <c r="R157" i="34"/>
  <c r="AH157" i="34" s="1"/>
  <c r="A157" i="34"/>
  <c r="AP156" i="34"/>
  <c r="AR156" i="34" s="1"/>
  <c r="AO156" i="34"/>
  <c r="AQ156" i="34" s="1"/>
  <c r="AI156" i="34"/>
  <c r="AJ156" i="34" s="1"/>
  <c r="AE156" i="34"/>
  <c r="AS156" i="34" s="1"/>
  <c r="AD156" i="34"/>
  <c r="AC156" i="34"/>
  <c r="AB156" i="34"/>
  <c r="R156" i="34"/>
  <c r="AG156" i="34" s="1"/>
  <c r="A156" i="34"/>
  <c r="AP155" i="34"/>
  <c r="AR155" i="34" s="1"/>
  <c r="AO155" i="34"/>
  <c r="AQ155" i="34" s="1"/>
  <c r="AI155" i="34"/>
  <c r="AE155" i="34"/>
  <c r="AS155" i="34" s="1"/>
  <c r="AD155" i="34"/>
  <c r="AC155" i="34"/>
  <c r="AB155" i="34"/>
  <c r="R155" i="34"/>
  <c r="AG155" i="34" s="1"/>
  <c r="A155" i="34"/>
  <c r="AP154" i="34"/>
  <c r="AR154" i="34" s="1"/>
  <c r="AO154" i="34"/>
  <c r="AQ154" i="34" s="1"/>
  <c r="AD154" i="34"/>
  <c r="AC154" i="34"/>
  <c r="AB154" i="34"/>
  <c r="R154" i="34"/>
  <c r="A154" i="34"/>
  <c r="AP153" i="34"/>
  <c r="AR153" i="34" s="1"/>
  <c r="AO153" i="34"/>
  <c r="AQ153" i="34" s="1"/>
  <c r="AI153" i="34"/>
  <c r="AJ153" i="34" s="1"/>
  <c r="AD153" i="34"/>
  <c r="AC153" i="34"/>
  <c r="AB153" i="34"/>
  <c r="R153" i="34"/>
  <c r="AT153" i="34" s="1"/>
  <c r="A153" i="34"/>
  <c r="AP152" i="34"/>
  <c r="AR152" i="34" s="1"/>
  <c r="AO152" i="34"/>
  <c r="AQ152" i="34" s="1"/>
  <c r="AI152" i="34"/>
  <c r="AJ152" i="34" s="1"/>
  <c r="AS152" i="34"/>
  <c r="AD152" i="34"/>
  <c r="AC152" i="34"/>
  <c r="AB152" i="34"/>
  <c r="R152" i="34"/>
  <c r="A152" i="34"/>
  <c r="AP151" i="34"/>
  <c r="AR151" i="34" s="1"/>
  <c r="AO151" i="34"/>
  <c r="AQ151" i="34" s="1"/>
  <c r="AI151" i="34"/>
  <c r="AJ151" i="34" s="1"/>
  <c r="AS151" i="34"/>
  <c r="AD151" i="34"/>
  <c r="AC151" i="34"/>
  <c r="AB151" i="34"/>
  <c r="R151" i="34"/>
  <c r="A151" i="34"/>
  <c r="AP150" i="34"/>
  <c r="AR150" i="34" s="1"/>
  <c r="AO150" i="34"/>
  <c r="AQ150" i="34" s="1"/>
  <c r="AI150" i="34"/>
  <c r="AJ150" i="34" s="1"/>
  <c r="AS150" i="34"/>
  <c r="AD150" i="34"/>
  <c r="AC150" i="34"/>
  <c r="AB150" i="34"/>
  <c r="R150" i="34"/>
  <c r="AH150" i="34" s="1"/>
  <c r="A150" i="34"/>
  <c r="AP149" i="34"/>
  <c r="AR149" i="34" s="1"/>
  <c r="AO149" i="34"/>
  <c r="AQ149" i="34" s="1"/>
  <c r="AI149" i="34"/>
  <c r="AJ149" i="34" s="1"/>
  <c r="AS149" i="34"/>
  <c r="AD149" i="34"/>
  <c r="AC149" i="34"/>
  <c r="AB149" i="34"/>
  <c r="R149" i="34"/>
  <c r="A149" i="34"/>
  <c r="AP148" i="34"/>
  <c r="AR148" i="34" s="1"/>
  <c r="AO148" i="34"/>
  <c r="AQ148" i="34" s="1"/>
  <c r="AI148" i="34"/>
  <c r="AJ148" i="34" s="1"/>
  <c r="AS148" i="34"/>
  <c r="AD148" i="34"/>
  <c r="AC148" i="34"/>
  <c r="AB148" i="34"/>
  <c r="R148" i="34"/>
  <c r="AG148" i="34" s="1"/>
  <c r="AT148" i="34" s="1"/>
  <c r="A148" i="34"/>
  <c r="AP147" i="34"/>
  <c r="AR147" i="34" s="1"/>
  <c r="AO147" i="34"/>
  <c r="AQ147" i="34" s="1"/>
  <c r="AI147" i="34"/>
  <c r="AJ147" i="34" s="1"/>
  <c r="AS147" i="34"/>
  <c r="AD147" i="34"/>
  <c r="AC147" i="34"/>
  <c r="AB147" i="34"/>
  <c r="R147" i="34"/>
  <c r="AT147" i="34" s="1"/>
  <c r="A147" i="34"/>
  <c r="AP146" i="34"/>
  <c r="AR146" i="34" s="1"/>
  <c r="AO146" i="34"/>
  <c r="AQ146" i="34" s="1"/>
  <c r="AI146" i="34"/>
  <c r="AJ146" i="34" s="1"/>
  <c r="AF146" i="34"/>
  <c r="AD146" i="34"/>
  <c r="AC146" i="34"/>
  <c r="AB146" i="34"/>
  <c r="R146" i="34"/>
  <c r="AT146" i="34" s="1"/>
  <c r="A146" i="34"/>
  <c r="AP145" i="34"/>
  <c r="AR145" i="34" s="1"/>
  <c r="AO145" i="34"/>
  <c r="AQ145" i="34" s="1"/>
  <c r="AI145" i="34"/>
  <c r="AS145" i="34"/>
  <c r="AD145" i="34"/>
  <c r="AC145" i="34"/>
  <c r="AB145" i="34"/>
  <c r="R145" i="34"/>
  <c r="A145" i="34"/>
  <c r="AP144" i="34"/>
  <c r="AR144" i="34" s="1"/>
  <c r="AO144" i="34"/>
  <c r="AQ144" i="34" s="1"/>
  <c r="AI144" i="34"/>
  <c r="AJ144" i="34" s="1"/>
  <c r="AS144" i="34"/>
  <c r="AD144" i="34"/>
  <c r="AC144" i="34"/>
  <c r="AB144" i="34"/>
  <c r="R144" i="34"/>
  <c r="AT144" i="34" s="1"/>
  <c r="A144" i="34"/>
  <c r="AP143" i="34"/>
  <c r="AR143" i="34" s="1"/>
  <c r="AO143" i="34"/>
  <c r="AQ143" i="34" s="1"/>
  <c r="AI143" i="34"/>
  <c r="AJ143" i="34" s="1"/>
  <c r="AF143" i="34"/>
  <c r="AD143" i="34"/>
  <c r="AC143" i="34"/>
  <c r="AB143" i="34"/>
  <c r="R143" i="34"/>
  <c r="AG143" i="34" s="1"/>
  <c r="AH143" i="34" s="1"/>
  <c r="A143" i="34"/>
  <c r="AP142" i="34"/>
  <c r="AR142" i="34" s="1"/>
  <c r="AO142" i="34"/>
  <c r="AQ142" i="34" s="1"/>
  <c r="AI142" i="34"/>
  <c r="AJ142" i="34" s="1"/>
  <c r="AF142" i="34"/>
  <c r="AD142" i="34"/>
  <c r="AC142" i="34"/>
  <c r="AB142" i="34"/>
  <c r="R142" i="34"/>
  <c r="A142" i="34"/>
  <c r="AP141" i="34"/>
  <c r="AR141" i="34" s="1"/>
  <c r="AO141" i="34"/>
  <c r="AQ141" i="34" s="1"/>
  <c r="AI141" i="34"/>
  <c r="AJ141" i="34" s="1"/>
  <c r="AS141" i="34"/>
  <c r="AD141" i="34"/>
  <c r="AC141" i="34"/>
  <c r="AB141" i="34"/>
  <c r="R141" i="34"/>
  <c r="AG141" i="34" s="1"/>
  <c r="A141" i="34"/>
  <c r="AP140" i="34"/>
  <c r="AR140" i="34" s="1"/>
  <c r="AO140" i="34"/>
  <c r="AQ140" i="34" s="1"/>
  <c r="AI140" i="34"/>
  <c r="AJ140" i="34" s="1"/>
  <c r="AS140" i="34"/>
  <c r="AD140" i="34"/>
  <c r="AC140" i="34"/>
  <c r="AB140" i="34"/>
  <c r="R140" i="34"/>
  <c r="A140" i="34"/>
  <c r="AP139" i="34"/>
  <c r="AR139" i="34" s="1"/>
  <c r="AO139" i="34"/>
  <c r="AQ139" i="34" s="1"/>
  <c r="AI139" i="34"/>
  <c r="AS139" i="34"/>
  <c r="AD139" i="34"/>
  <c r="AC139" i="34"/>
  <c r="AB139" i="34"/>
  <c r="R139" i="34"/>
  <c r="AG139" i="34" s="1"/>
  <c r="AT139" i="34" s="1"/>
  <c r="A139" i="34"/>
  <c r="AP138" i="34"/>
  <c r="AR138" i="34" s="1"/>
  <c r="AO138" i="34"/>
  <c r="AQ138" i="34" s="1"/>
  <c r="AI138" i="34"/>
  <c r="AJ138" i="34" s="1"/>
  <c r="AF138" i="34"/>
  <c r="AD138" i="34"/>
  <c r="AC138" i="34"/>
  <c r="AB138" i="34"/>
  <c r="R138" i="34"/>
  <c r="AG138" i="34" s="1"/>
  <c r="A138" i="34"/>
  <c r="AP137" i="34"/>
  <c r="AR137" i="34" s="1"/>
  <c r="AO137" i="34"/>
  <c r="AQ137" i="34" s="1"/>
  <c r="AI137" i="34"/>
  <c r="AJ137" i="34" s="1"/>
  <c r="AS137" i="34"/>
  <c r="AD137" i="34"/>
  <c r="AC137" i="34"/>
  <c r="AB137" i="34"/>
  <c r="R137" i="34"/>
  <c r="AG137" i="34" s="1"/>
  <c r="AH137" i="34" s="1"/>
  <c r="A137" i="34"/>
  <c r="AP136" i="34"/>
  <c r="AR136" i="34" s="1"/>
  <c r="AO136" i="34"/>
  <c r="AQ136" i="34" s="1"/>
  <c r="AF136" i="34"/>
  <c r="AD136" i="34"/>
  <c r="AC136" i="34"/>
  <c r="AB136" i="34"/>
  <c r="R136" i="34"/>
  <c r="AG136" i="34" s="1"/>
  <c r="A136" i="34"/>
  <c r="AP135" i="34"/>
  <c r="AR135" i="34" s="1"/>
  <c r="AO135" i="34"/>
  <c r="AQ135" i="34" s="1"/>
  <c r="AI135" i="34"/>
  <c r="AS135" i="34"/>
  <c r="AD135" i="34"/>
  <c r="AC135" i="34"/>
  <c r="AB135" i="34"/>
  <c r="R135" i="34"/>
  <c r="AH135" i="34" s="1"/>
  <c r="A135" i="34"/>
  <c r="AP134" i="34"/>
  <c r="AR134" i="34" s="1"/>
  <c r="AO134" i="34"/>
  <c r="AQ134" i="34" s="1"/>
  <c r="AF134" i="34"/>
  <c r="AD134" i="34"/>
  <c r="AC134" i="34"/>
  <c r="AB134" i="34"/>
  <c r="R134" i="34"/>
  <c r="AG134" i="34" s="1"/>
  <c r="A134" i="34"/>
  <c r="AP133" i="34"/>
  <c r="AR133" i="34" s="1"/>
  <c r="AO133" i="34"/>
  <c r="AQ133" i="34" s="1"/>
  <c r="AF133" i="34"/>
  <c r="AD133" i="34"/>
  <c r="AC133" i="34"/>
  <c r="AB133" i="34"/>
  <c r="R133" i="34"/>
  <c r="AH133" i="34" s="1"/>
  <c r="A133" i="34"/>
  <c r="AP132" i="34"/>
  <c r="AR132" i="34" s="1"/>
  <c r="AO132" i="34"/>
  <c r="AQ132" i="34" s="1"/>
  <c r="AF132" i="34"/>
  <c r="AD132" i="34"/>
  <c r="AC132" i="34"/>
  <c r="AB132" i="34"/>
  <c r="R132" i="34"/>
  <c r="A132" i="34"/>
  <c r="AP131" i="34"/>
  <c r="AR131" i="34" s="1"/>
  <c r="AO131" i="34"/>
  <c r="AQ131" i="34" s="1"/>
  <c r="AI131" i="34"/>
  <c r="AJ131" i="34" s="1"/>
  <c r="AE131" i="34"/>
  <c r="AS131" i="34" s="1"/>
  <c r="AD131" i="34"/>
  <c r="AC131" i="34"/>
  <c r="AB131" i="34"/>
  <c r="R131" i="34"/>
  <c r="AG131" i="34" s="1"/>
  <c r="A131" i="34"/>
  <c r="AP130" i="34"/>
  <c r="AR130" i="34" s="1"/>
  <c r="AO130" i="34"/>
  <c r="AQ130" i="34" s="1"/>
  <c r="AI130" i="34"/>
  <c r="AJ130" i="34" s="1"/>
  <c r="AF130" i="34"/>
  <c r="AD130" i="34"/>
  <c r="AC130" i="34"/>
  <c r="AB130" i="34"/>
  <c r="R130" i="34"/>
  <c r="AG130" i="34" s="1"/>
  <c r="A130" i="34"/>
  <c r="AP129" i="34"/>
  <c r="AR129" i="34" s="1"/>
  <c r="AO129" i="34"/>
  <c r="AQ129" i="34" s="1"/>
  <c r="AE129" i="34"/>
  <c r="AS129" i="34" s="1"/>
  <c r="AD129" i="34"/>
  <c r="AC129" i="34"/>
  <c r="AB129" i="34"/>
  <c r="R129" i="34"/>
  <c r="AH129" i="34" s="1"/>
  <c r="A129" i="34"/>
  <c r="AP128" i="34"/>
  <c r="AR128" i="34" s="1"/>
  <c r="AO128" i="34"/>
  <c r="AQ128" i="34" s="1"/>
  <c r="AI128" i="34"/>
  <c r="AF128" i="34"/>
  <c r="AD128" i="34"/>
  <c r="AC128" i="34"/>
  <c r="AB128" i="34"/>
  <c r="R128" i="34"/>
  <c r="AG128" i="34" s="1"/>
  <c r="A128" i="34"/>
  <c r="AP127" i="34"/>
  <c r="AR127" i="34" s="1"/>
  <c r="AO127" i="34"/>
  <c r="AQ127" i="34" s="1"/>
  <c r="AF127" i="34"/>
  <c r="AD127" i="34"/>
  <c r="AC127" i="34"/>
  <c r="AB127" i="34"/>
  <c r="R127" i="34"/>
  <c r="AG127" i="34" s="1"/>
  <c r="AI127" i="34" s="1"/>
  <c r="A127" i="34"/>
  <c r="AP126" i="34"/>
  <c r="AR126" i="34" s="1"/>
  <c r="AO126" i="34"/>
  <c r="AQ126" i="34" s="1"/>
  <c r="AE126" i="34"/>
  <c r="AF126" i="34" s="1"/>
  <c r="AD126" i="34"/>
  <c r="AC126" i="34"/>
  <c r="AB126" i="34"/>
  <c r="R126" i="34"/>
  <c r="AG126" i="34" s="1"/>
  <c r="A126" i="34"/>
  <c r="AP125" i="34"/>
  <c r="AR125" i="34" s="1"/>
  <c r="AO125" i="34"/>
  <c r="AQ125" i="34" s="1"/>
  <c r="AF125" i="34"/>
  <c r="AD125" i="34"/>
  <c r="AC125" i="34"/>
  <c r="AB125" i="34"/>
  <c r="R125" i="34"/>
  <c r="AG125" i="34" s="1"/>
  <c r="AH125" i="34" s="1"/>
  <c r="A125" i="34"/>
  <c r="AP124" i="34"/>
  <c r="AR124" i="34" s="1"/>
  <c r="AO124" i="34"/>
  <c r="AQ124" i="34" s="1"/>
  <c r="AE124" i="34"/>
  <c r="AF124" i="34" s="1"/>
  <c r="AD124" i="34"/>
  <c r="AC124" i="34"/>
  <c r="AB124" i="34"/>
  <c r="R124" i="34"/>
  <c r="AG124" i="34" s="1"/>
  <c r="A124" i="34"/>
  <c r="AP123" i="34"/>
  <c r="AR123" i="34" s="1"/>
  <c r="AO123" i="34"/>
  <c r="AQ123" i="34" s="1"/>
  <c r="AF123" i="34"/>
  <c r="AD123" i="34"/>
  <c r="AC123" i="34"/>
  <c r="AB123" i="34"/>
  <c r="R123" i="34"/>
  <c r="AG123" i="34" s="1"/>
  <c r="AI123" i="34" s="1"/>
  <c r="A123" i="34"/>
  <c r="AP122" i="34"/>
  <c r="AR122" i="34" s="1"/>
  <c r="AO122" i="34"/>
  <c r="AQ122" i="34" s="1"/>
  <c r="AE122" i="34"/>
  <c r="AF122" i="34" s="1"/>
  <c r="AD122" i="34"/>
  <c r="AC122" i="34"/>
  <c r="AB122" i="34"/>
  <c r="R122" i="34"/>
  <c r="AG122" i="34" s="1"/>
  <c r="A122" i="34"/>
  <c r="AP121" i="34"/>
  <c r="AR121" i="34" s="1"/>
  <c r="AO121" i="34"/>
  <c r="AQ121" i="34" s="1"/>
  <c r="AI121" i="34"/>
  <c r="AE121" i="34"/>
  <c r="AF121" i="34" s="1"/>
  <c r="AD121" i="34"/>
  <c r="AC121" i="34"/>
  <c r="AB121" i="34"/>
  <c r="R121" i="34"/>
  <c r="AG121" i="34" s="1"/>
  <c r="AH121" i="34" s="1"/>
  <c r="A121" i="34"/>
  <c r="AP120" i="34"/>
  <c r="AR120" i="34" s="1"/>
  <c r="AO120" i="34"/>
  <c r="AQ120" i="34" s="1"/>
  <c r="AF120" i="34"/>
  <c r="AD120" i="34"/>
  <c r="AC120" i="34"/>
  <c r="AB120" i="34"/>
  <c r="R120" i="34"/>
  <c r="AG120" i="34" s="1"/>
  <c r="A120" i="34"/>
  <c r="AP119" i="34"/>
  <c r="AR119" i="34" s="1"/>
  <c r="AO119" i="34"/>
  <c r="AQ119" i="34" s="1"/>
  <c r="AI119" i="34"/>
  <c r="AJ119" i="34" s="1"/>
  <c r="AF119" i="34"/>
  <c r="AD119" i="34"/>
  <c r="AC119" i="34"/>
  <c r="AB119" i="34"/>
  <c r="R119" i="34"/>
  <c r="AG119" i="34" s="1"/>
  <c r="AH119" i="34" s="1"/>
  <c r="A119" i="34"/>
  <c r="AP118" i="34"/>
  <c r="AR118" i="34" s="1"/>
  <c r="AO118" i="34"/>
  <c r="AQ118" i="34" s="1"/>
  <c r="AI118" i="34"/>
  <c r="AJ118" i="34" s="1"/>
  <c r="AF118" i="34"/>
  <c r="AD118" i="34"/>
  <c r="AC118" i="34"/>
  <c r="AB118" i="34"/>
  <c r="R118" i="34"/>
  <c r="AG118" i="34" s="1"/>
  <c r="A118" i="34"/>
  <c r="AP117" i="34"/>
  <c r="AR117" i="34" s="1"/>
  <c r="AO117" i="34"/>
  <c r="AQ117" i="34" s="1"/>
  <c r="AI117" i="34"/>
  <c r="AJ117" i="34" s="1"/>
  <c r="AS117" i="34"/>
  <c r="AD117" i="34"/>
  <c r="AC117" i="34"/>
  <c r="AB117" i="34"/>
  <c r="R117" i="34"/>
  <c r="AG117" i="34" s="1"/>
  <c r="AH117" i="34" s="1"/>
  <c r="A117" i="34"/>
  <c r="AP116" i="34"/>
  <c r="AR116" i="34" s="1"/>
  <c r="AO116" i="34"/>
  <c r="AQ116" i="34" s="1"/>
  <c r="AF116" i="34"/>
  <c r="AD116" i="34"/>
  <c r="AC116" i="34"/>
  <c r="AB116" i="34"/>
  <c r="R116" i="34"/>
  <c r="AG116" i="34" s="1"/>
  <c r="A116" i="34"/>
  <c r="AP115" i="34"/>
  <c r="AR115" i="34" s="1"/>
  <c r="AO115" i="34"/>
  <c r="AQ115" i="34" s="1"/>
  <c r="AF115" i="34"/>
  <c r="AD115" i="34"/>
  <c r="AC115" i="34"/>
  <c r="AB115" i="34"/>
  <c r="R115" i="34"/>
  <c r="A115" i="34"/>
  <c r="AP114" i="34"/>
  <c r="AR114" i="34" s="1"/>
  <c r="AO114" i="34"/>
  <c r="AQ114" i="34" s="1"/>
  <c r="AF114" i="34"/>
  <c r="AD114" i="34"/>
  <c r="AC114" i="34"/>
  <c r="AB114" i="34"/>
  <c r="R114" i="34"/>
  <c r="AH114" i="34" s="1"/>
  <c r="A114" i="34"/>
  <c r="AP113" i="34"/>
  <c r="AR113" i="34" s="1"/>
  <c r="AO113" i="34"/>
  <c r="AQ113" i="34" s="1"/>
  <c r="AE113" i="34"/>
  <c r="AF113" i="34" s="1"/>
  <c r="AD113" i="34"/>
  <c r="AC113" i="34"/>
  <c r="AB113" i="34"/>
  <c r="R113" i="34"/>
  <c r="A113" i="34"/>
  <c r="AP112" i="34"/>
  <c r="AR112" i="34" s="1"/>
  <c r="AO112" i="34"/>
  <c r="AQ112" i="34" s="1"/>
  <c r="AI112" i="34"/>
  <c r="AS112" i="34"/>
  <c r="AD112" i="34"/>
  <c r="AC112" i="34"/>
  <c r="AB112" i="34"/>
  <c r="R112" i="34"/>
  <c r="AH112" i="34" s="1"/>
  <c r="A112" i="34"/>
  <c r="AP111" i="34"/>
  <c r="AR111" i="34" s="1"/>
  <c r="AO111" i="34"/>
  <c r="AQ111" i="34" s="1"/>
  <c r="AF111" i="34"/>
  <c r="AD111" i="34"/>
  <c r="AC111" i="34"/>
  <c r="AB111" i="34"/>
  <c r="R111" i="34"/>
  <c r="AG111" i="34" s="1"/>
  <c r="A111" i="34"/>
  <c r="AP110" i="34"/>
  <c r="AR110" i="34" s="1"/>
  <c r="AO110" i="34"/>
  <c r="AQ110" i="34" s="1"/>
  <c r="AI110" i="34"/>
  <c r="AJ110" i="34" s="1"/>
  <c r="AS110" i="34"/>
  <c r="AD110" i="34"/>
  <c r="AC110" i="34"/>
  <c r="AB110" i="34"/>
  <c r="R110" i="34"/>
  <c r="AG110" i="34" s="1"/>
  <c r="AH110" i="34" s="1"/>
  <c r="A110" i="34"/>
  <c r="AP109" i="34"/>
  <c r="AR109" i="34" s="1"/>
  <c r="AO109" i="34"/>
  <c r="AQ109" i="34" s="1"/>
  <c r="AF109" i="34"/>
  <c r="AD109" i="34"/>
  <c r="AC109" i="34"/>
  <c r="AB109" i="34"/>
  <c r="R109" i="34"/>
  <c r="AG109" i="34" s="1"/>
  <c r="A109" i="34"/>
  <c r="AP108" i="34"/>
  <c r="AR108" i="34" s="1"/>
  <c r="AO108" i="34"/>
  <c r="AQ108" i="34" s="1"/>
  <c r="AS108" i="34"/>
  <c r="AD108" i="34"/>
  <c r="AC108" i="34"/>
  <c r="AB108" i="34"/>
  <c r="R108" i="34"/>
  <c r="AG108" i="34" s="1"/>
  <c r="A108" i="34"/>
  <c r="AP107" i="34"/>
  <c r="AR107" i="34" s="1"/>
  <c r="AO107" i="34"/>
  <c r="AQ107" i="34" s="1"/>
  <c r="AF107" i="34"/>
  <c r="AD107" i="34"/>
  <c r="AC107" i="34"/>
  <c r="AB107" i="34"/>
  <c r="R107" i="34"/>
  <c r="A107" i="34"/>
  <c r="AP106" i="34"/>
  <c r="AR106" i="34" s="1"/>
  <c r="AO106" i="34"/>
  <c r="AQ106" i="34" s="1"/>
  <c r="AF106" i="34"/>
  <c r="AD106" i="34"/>
  <c r="AC106" i="34"/>
  <c r="AB106" i="34"/>
  <c r="R106" i="34"/>
  <c r="AG106" i="34" s="1"/>
  <c r="AH106" i="34" s="1"/>
  <c r="A106" i="34"/>
  <c r="AP105" i="34"/>
  <c r="AR105" i="34" s="1"/>
  <c r="AO105" i="34"/>
  <c r="AQ105" i="34" s="1"/>
  <c r="AF105" i="34"/>
  <c r="AD105" i="34"/>
  <c r="AC105" i="34"/>
  <c r="AB105" i="34"/>
  <c r="R105" i="34"/>
  <c r="AG105" i="34" s="1"/>
  <c r="A105" i="34"/>
  <c r="AP104" i="34"/>
  <c r="AR104" i="34" s="1"/>
  <c r="AO104" i="34"/>
  <c r="AQ104" i="34" s="1"/>
  <c r="AF104" i="34"/>
  <c r="AD104" i="34"/>
  <c r="AC104" i="34"/>
  <c r="AB104" i="34"/>
  <c r="R104" i="34"/>
  <c r="AG104" i="34" s="1"/>
  <c r="AI104" i="34" s="1"/>
  <c r="A104" i="34"/>
  <c r="AP103" i="34"/>
  <c r="AR103" i="34" s="1"/>
  <c r="AO103" i="34"/>
  <c r="AQ103" i="34" s="1"/>
  <c r="AF103" i="34"/>
  <c r="AD103" i="34"/>
  <c r="AC103" i="34"/>
  <c r="AB103" i="34"/>
  <c r="R103" i="34"/>
  <c r="AG103" i="34" s="1"/>
  <c r="A103" i="34"/>
  <c r="AP102" i="34"/>
  <c r="AR102" i="34" s="1"/>
  <c r="AO102" i="34"/>
  <c r="AQ102" i="34" s="1"/>
  <c r="AS102" i="34"/>
  <c r="AD102" i="34"/>
  <c r="AC102" i="34"/>
  <c r="AB102" i="34"/>
  <c r="R102" i="34"/>
  <c r="AG102" i="34" s="1"/>
  <c r="AH102" i="34" s="1"/>
  <c r="A102" i="34"/>
  <c r="AP101" i="34"/>
  <c r="AR101" i="34" s="1"/>
  <c r="AO101" i="34"/>
  <c r="AQ101" i="34" s="1"/>
  <c r="AF101" i="34"/>
  <c r="AD101" i="34"/>
  <c r="AC101" i="34"/>
  <c r="AB101" i="34"/>
  <c r="R101" i="34"/>
  <c r="AG101" i="34" s="1"/>
  <c r="A101" i="34"/>
  <c r="AP100" i="34"/>
  <c r="AR100" i="34" s="1"/>
  <c r="AO100" i="34"/>
  <c r="AQ100" i="34" s="1"/>
  <c r="AI100" i="34"/>
  <c r="AJ100" i="34" s="1"/>
  <c r="AS100" i="34"/>
  <c r="AD100" i="34"/>
  <c r="AC100" i="34"/>
  <c r="AB100" i="34"/>
  <c r="R100" i="34"/>
  <c r="AG100" i="34" s="1"/>
  <c r="A100" i="34"/>
  <c r="AP99" i="34"/>
  <c r="AR99" i="34" s="1"/>
  <c r="AO99" i="34"/>
  <c r="AQ99" i="34" s="1"/>
  <c r="AI99" i="34"/>
  <c r="AJ99" i="34" s="1"/>
  <c r="AE99" i="34"/>
  <c r="AF99" i="34" s="1"/>
  <c r="AD99" i="34"/>
  <c r="AC99" i="34"/>
  <c r="AB99" i="34"/>
  <c r="R99" i="34"/>
  <c r="AG99" i="34" s="1"/>
  <c r="A99" i="34"/>
  <c r="AP98" i="34"/>
  <c r="AR98" i="34" s="1"/>
  <c r="AO98" i="34"/>
  <c r="AQ98" i="34" s="1"/>
  <c r="AI98" i="34"/>
  <c r="AJ98" i="34" s="1"/>
  <c r="AE98" i="34"/>
  <c r="AF98" i="34" s="1"/>
  <c r="AD98" i="34"/>
  <c r="AC98" i="34"/>
  <c r="AB98" i="34"/>
  <c r="R98" i="34"/>
  <c r="AG98" i="34" s="1"/>
  <c r="AH98" i="34" s="1"/>
  <c r="A98" i="34"/>
  <c r="AP97" i="34"/>
  <c r="AR97" i="34" s="1"/>
  <c r="AO97" i="34"/>
  <c r="AQ97" i="34" s="1"/>
  <c r="AI97" i="34"/>
  <c r="AF97" i="34"/>
  <c r="AD97" i="34"/>
  <c r="AC97" i="34"/>
  <c r="AB97" i="34"/>
  <c r="R97" i="34"/>
  <c r="AG97" i="34" s="1"/>
  <c r="A97" i="34"/>
  <c r="AP96" i="34"/>
  <c r="AR96" i="34" s="1"/>
  <c r="AO96" i="34"/>
  <c r="AQ96" i="34" s="1"/>
  <c r="AF96" i="34"/>
  <c r="AD96" i="34"/>
  <c r="AC96" i="34"/>
  <c r="AB96" i="34"/>
  <c r="R96" i="34"/>
  <c r="A96" i="34"/>
  <c r="AP95" i="34"/>
  <c r="AR95" i="34" s="1"/>
  <c r="AO95" i="34"/>
  <c r="AQ95" i="34" s="1"/>
  <c r="AI95" i="34"/>
  <c r="AJ95" i="34" s="1"/>
  <c r="AF95" i="34"/>
  <c r="AD95" i="34"/>
  <c r="AC95" i="34"/>
  <c r="AB95" i="34"/>
  <c r="R95" i="34"/>
  <c r="AG95" i="34" s="1"/>
  <c r="AH95" i="34" s="1"/>
  <c r="A95" i="34"/>
  <c r="AP94" i="34"/>
  <c r="AR94" i="34" s="1"/>
  <c r="AO94" i="34"/>
  <c r="AQ94" i="34" s="1"/>
  <c r="AF94" i="34"/>
  <c r="AD94" i="34"/>
  <c r="AC94" i="34"/>
  <c r="AB94" i="34"/>
  <c r="R94" i="34"/>
  <c r="A94" i="34"/>
  <c r="AP93" i="34"/>
  <c r="AR93" i="34" s="1"/>
  <c r="AO93" i="34"/>
  <c r="AQ93" i="34" s="1"/>
  <c r="AI93" i="34"/>
  <c r="AJ93" i="34" s="1"/>
  <c r="AS93" i="34"/>
  <c r="AD93" i="34"/>
  <c r="AC93" i="34"/>
  <c r="AB93" i="34"/>
  <c r="R93" i="34"/>
  <c r="AG93" i="34" s="1"/>
  <c r="A93" i="34"/>
  <c r="AP92" i="34"/>
  <c r="AR92" i="34" s="1"/>
  <c r="AO92" i="34"/>
  <c r="AQ92" i="34" s="1"/>
  <c r="AI92" i="34"/>
  <c r="AJ92" i="34" s="1"/>
  <c r="AF92" i="34"/>
  <c r="AD92" i="34"/>
  <c r="AC92" i="34"/>
  <c r="AB92" i="34"/>
  <c r="R92" i="34"/>
  <c r="AG92" i="34" s="1"/>
  <c r="A92" i="34"/>
  <c r="AP91" i="34"/>
  <c r="AR91" i="34" s="1"/>
  <c r="AO91" i="34"/>
  <c r="AQ91" i="34" s="1"/>
  <c r="AI91" i="34"/>
  <c r="AJ91" i="34" s="1"/>
  <c r="AF91" i="34"/>
  <c r="AD91" i="34"/>
  <c r="AC91" i="34"/>
  <c r="AB91" i="34"/>
  <c r="R91" i="34"/>
  <c r="AG91" i="34" s="1"/>
  <c r="AH91" i="34" s="1"/>
  <c r="A91" i="34"/>
  <c r="AP90" i="34"/>
  <c r="AR90" i="34" s="1"/>
  <c r="AO90" i="34"/>
  <c r="AQ90" i="34" s="1"/>
  <c r="AI90" i="34"/>
  <c r="AF90" i="34"/>
  <c r="AD90" i="34"/>
  <c r="AC90" i="34"/>
  <c r="AB90" i="34"/>
  <c r="R90" i="34"/>
  <c r="AG90" i="34" s="1"/>
  <c r="A90" i="34"/>
  <c r="AP89" i="34"/>
  <c r="AR89" i="34" s="1"/>
  <c r="AO89" i="34"/>
  <c r="AQ89" i="34" s="1"/>
  <c r="AI89" i="34"/>
  <c r="AJ89" i="34" s="1"/>
  <c r="AS89" i="34"/>
  <c r="AD89" i="34"/>
  <c r="AC89" i="34"/>
  <c r="AB89" i="34"/>
  <c r="R89" i="34"/>
  <c r="AG89" i="34" s="1"/>
  <c r="AH89" i="34" s="1"/>
  <c r="A89" i="34"/>
  <c r="AP88" i="34"/>
  <c r="AR88" i="34" s="1"/>
  <c r="AO88" i="34"/>
  <c r="AQ88" i="34" s="1"/>
  <c r="AI88" i="34"/>
  <c r="AJ88" i="34" s="1"/>
  <c r="AF88" i="34"/>
  <c r="AD88" i="34"/>
  <c r="AC88" i="34"/>
  <c r="AB88" i="34"/>
  <c r="R88" i="34"/>
  <c r="AG88" i="34" s="1"/>
  <c r="A88" i="34"/>
  <c r="AP87" i="34"/>
  <c r="AR87" i="34" s="1"/>
  <c r="AO87" i="34"/>
  <c r="AQ87" i="34" s="1"/>
  <c r="AI87" i="34"/>
  <c r="AJ87" i="34" s="1"/>
  <c r="AF87" i="34"/>
  <c r="AD87" i="34"/>
  <c r="AC87" i="34"/>
  <c r="AB87" i="34"/>
  <c r="R87" i="34"/>
  <c r="AG87" i="34" s="1"/>
  <c r="AH87" i="34" s="1"/>
  <c r="A87" i="34"/>
  <c r="AP86" i="34"/>
  <c r="AR86" i="34" s="1"/>
  <c r="AO86" i="34"/>
  <c r="AQ86" i="34" s="1"/>
  <c r="AI86" i="34"/>
  <c r="AF86" i="34"/>
  <c r="AD86" i="34"/>
  <c r="AC86" i="34"/>
  <c r="AB86" i="34"/>
  <c r="R86" i="34"/>
  <c r="AG86" i="34" s="1"/>
  <c r="A86" i="34"/>
  <c r="AP85" i="34"/>
  <c r="AR85" i="34" s="1"/>
  <c r="AO85" i="34"/>
  <c r="AQ85" i="34" s="1"/>
  <c r="AI85" i="34"/>
  <c r="AJ85" i="34" s="1"/>
  <c r="AS85" i="34"/>
  <c r="AD85" i="34"/>
  <c r="AC85" i="34"/>
  <c r="AB85" i="34"/>
  <c r="R85" i="34"/>
  <c r="AG85" i="34" s="1"/>
  <c r="A85" i="34"/>
  <c r="AP84" i="34"/>
  <c r="AR84" i="34" s="1"/>
  <c r="AO84" i="34"/>
  <c r="AQ84" i="34" s="1"/>
  <c r="AI84" i="34"/>
  <c r="AJ84" i="34" s="1"/>
  <c r="AF84" i="34"/>
  <c r="AD84" i="34"/>
  <c r="AC84" i="34"/>
  <c r="AB84" i="34"/>
  <c r="R84" i="34"/>
  <c r="AG84" i="34" s="1"/>
  <c r="A84" i="34"/>
  <c r="AP83" i="34"/>
  <c r="AR83" i="34" s="1"/>
  <c r="AO83" i="34"/>
  <c r="AQ83" i="34" s="1"/>
  <c r="AI83" i="34"/>
  <c r="AJ83" i="34" s="1"/>
  <c r="AF83" i="34"/>
  <c r="AD83" i="34"/>
  <c r="AC83" i="34"/>
  <c r="AB83" i="34"/>
  <c r="R83" i="34"/>
  <c r="AG83" i="34" s="1"/>
  <c r="AH83" i="34" s="1"/>
  <c r="A83" i="34"/>
  <c r="AP82" i="34"/>
  <c r="AR82" i="34" s="1"/>
  <c r="AO82" i="34"/>
  <c r="AQ82" i="34" s="1"/>
  <c r="AI82" i="34"/>
  <c r="AF82" i="34"/>
  <c r="AD82" i="34"/>
  <c r="AC82" i="34"/>
  <c r="AB82" i="34"/>
  <c r="R82" i="34"/>
  <c r="AG82" i="34" s="1"/>
  <c r="A82" i="34"/>
  <c r="AP81" i="34"/>
  <c r="AR81" i="34" s="1"/>
  <c r="AO81" i="34"/>
  <c r="AQ81" i="34" s="1"/>
  <c r="AI81" i="34"/>
  <c r="AS81" i="34"/>
  <c r="AD81" i="34"/>
  <c r="AC81" i="34"/>
  <c r="AB81" i="34"/>
  <c r="R81" i="34"/>
  <c r="AG81" i="34" s="1"/>
  <c r="AH81" i="34" s="1"/>
  <c r="A81" i="34"/>
  <c r="AP80" i="34"/>
  <c r="AR80" i="34" s="1"/>
  <c r="AO80" i="34"/>
  <c r="AQ80" i="34" s="1"/>
  <c r="AE80" i="34"/>
  <c r="AF80" i="34" s="1"/>
  <c r="AD80" i="34"/>
  <c r="AC80" i="34"/>
  <c r="AB80" i="34"/>
  <c r="R80" i="34"/>
  <c r="AG80" i="34" s="1"/>
  <c r="A80" i="34"/>
  <c r="AP79" i="34"/>
  <c r="AR79" i="34" s="1"/>
  <c r="AO79" i="34"/>
  <c r="AQ79" i="34" s="1"/>
  <c r="AE79" i="34"/>
  <c r="AF79" i="34" s="1"/>
  <c r="AD79" i="34"/>
  <c r="AC79" i="34"/>
  <c r="AB79" i="34"/>
  <c r="R79" i="34"/>
  <c r="AH79" i="34" s="1"/>
  <c r="A79" i="34"/>
  <c r="AP78" i="34"/>
  <c r="AR78" i="34" s="1"/>
  <c r="AO78" i="34"/>
  <c r="AQ78" i="34" s="1"/>
  <c r="AE78" i="34"/>
  <c r="AF78" i="34" s="1"/>
  <c r="AD78" i="34"/>
  <c r="AC78" i="34"/>
  <c r="AB78" i="34"/>
  <c r="R78" i="34"/>
  <c r="A78" i="34"/>
  <c r="AP77" i="34"/>
  <c r="AR77" i="34" s="1"/>
  <c r="AO77" i="34"/>
  <c r="AQ77" i="34" s="1"/>
  <c r="AI77" i="34"/>
  <c r="AJ77" i="34" s="1"/>
  <c r="AF77" i="34"/>
  <c r="AD77" i="34"/>
  <c r="AC77" i="34"/>
  <c r="AB77" i="34"/>
  <c r="R77" i="34"/>
  <c r="AG77" i="34" s="1"/>
  <c r="AH77" i="34" s="1"/>
  <c r="A77" i="34"/>
  <c r="AP76" i="34"/>
  <c r="AR76" i="34" s="1"/>
  <c r="AO76" i="34"/>
  <c r="AQ76" i="34" s="1"/>
  <c r="AS76" i="34"/>
  <c r="AD76" i="34"/>
  <c r="AC76" i="34"/>
  <c r="AB76" i="34"/>
  <c r="R76" i="34"/>
  <c r="AH76" i="34" s="1"/>
  <c r="A76" i="34"/>
  <c r="AP75" i="34"/>
  <c r="AR75" i="34" s="1"/>
  <c r="AO75" i="34"/>
  <c r="AQ75" i="34" s="1"/>
  <c r="AI75" i="34"/>
  <c r="AF75" i="34"/>
  <c r="AD75" i="34"/>
  <c r="AC75" i="34"/>
  <c r="AB75" i="34"/>
  <c r="R75" i="34"/>
  <c r="AG75" i="34" s="1"/>
  <c r="AT75" i="34" s="1"/>
  <c r="A75" i="34"/>
  <c r="AP74" i="34"/>
  <c r="AR74" i="34" s="1"/>
  <c r="AO74" i="34"/>
  <c r="AQ74" i="34" s="1"/>
  <c r="AI74" i="34"/>
  <c r="AS74" i="34"/>
  <c r="AD74" i="34"/>
  <c r="AC74" i="34"/>
  <c r="AB74" i="34"/>
  <c r="R74" i="34"/>
  <c r="AG74" i="34" s="1"/>
  <c r="AH74" i="34" s="1"/>
  <c r="A74" i="34"/>
  <c r="AP73" i="34"/>
  <c r="AR73" i="34" s="1"/>
  <c r="AO73" i="34"/>
  <c r="AQ73" i="34" s="1"/>
  <c r="AI73" i="34"/>
  <c r="AJ73" i="34" s="1"/>
  <c r="AF73" i="34"/>
  <c r="AD73" i="34"/>
  <c r="AC73" i="34"/>
  <c r="AB73" i="34"/>
  <c r="R73" i="34"/>
  <c r="AH73" i="34" s="1"/>
  <c r="A73" i="34"/>
  <c r="AP72" i="34"/>
  <c r="AR72" i="34" s="1"/>
  <c r="AO72" i="34"/>
  <c r="AQ72" i="34" s="1"/>
  <c r="AE72" i="34"/>
  <c r="AS72" i="34" s="1"/>
  <c r="AD72" i="34"/>
  <c r="AC72" i="34"/>
  <c r="AB72" i="34"/>
  <c r="R72" i="34"/>
  <c r="AG72" i="34" s="1"/>
  <c r="AH72" i="34" s="1"/>
  <c r="A72" i="34"/>
  <c r="AP71" i="34"/>
  <c r="AR71" i="34" s="1"/>
  <c r="AO71" i="34"/>
  <c r="AQ71" i="34" s="1"/>
  <c r="AI71" i="34"/>
  <c r="AF71" i="34"/>
  <c r="AD71" i="34"/>
  <c r="AC71" i="34"/>
  <c r="AB71" i="34"/>
  <c r="R71" i="34"/>
  <c r="AG71" i="34" s="1"/>
  <c r="AT71" i="34" s="1"/>
  <c r="A71" i="34"/>
  <c r="AP70" i="34"/>
  <c r="AR70" i="34" s="1"/>
  <c r="AO70" i="34"/>
  <c r="AQ70" i="34" s="1"/>
  <c r="AI70" i="34"/>
  <c r="AS70" i="34"/>
  <c r="AD70" i="34"/>
  <c r="AC70" i="34"/>
  <c r="AB70" i="34"/>
  <c r="R70" i="34"/>
  <c r="AG70" i="34" s="1"/>
  <c r="AH70" i="34" s="1"/>
  <c r="A70" i="34"/>
  <c r="AP69" i="34"/>
  <c r="AR69" i="34" s="1"/>
  <c r="AO69" i="34"/>
  <c r="AQ69" i="34" s="1"/>
  <c r="AI69" i="34"/>
  <c r="AJ69" i="34" s="1"/>
  <c r="AF69" i="34"/>
  <c r="AD69" i="34"/>
  <c r="AC69" i="34"/>
  <c r="AB69" i="34"/>
  <c r="R69" i="34"/>
  <c r="AG69" i="34" s="1"/>
  <c r="AH69" i="34" s="1"/>
  <c r="A69" i="34"/>
  <c r="AP68" i="34"/>
  <c r="AR68" i="34" s="1"/>
  <c r="AO68" i="34"/>
  <c r="AQ68" i="34" s="1"/>
  <c r="AI68" i="34"/>
  <c r="AJ68" i="34" s="1"/>
  <c r="AS68" i="34"/>
  <c r="AD68" i="34"/>
  <c r="AC68" i="34"/>
  <c r="AB68" i="34"/>
  <c r="R68" i="34"/>
  <c r="AG68" i="34" s="1"/>
  <c r="AH68" i="34" s="1"/>
  <c r="A68" i="34"/>
  <c r="AP67" i="34"/>
  <c r="AR67" i="34" s="1"/>
  <c r="AO67" i="34"/>
  <c r="AQ67" i="34" s="1"/>
  <c r="AI67" i="34"/>
  <c r="AE67" i="34"/>
  <c r="AF67" i="34" s="1"/>
  <c r="AD67" i="34"/>
  <c r="AC67" i="34"/>
  <c r="AB67" i="34"/>
  <c r="R67" i="34"/>
  <c r="AG67" i="34" s="1"/>
  <c r="AT67" i="34" s="1"/>
  <c r="A67" i="34"/>
  <c r="AP66" i="34"/>
  <c r="AR66" i="34" s="1"/>
  <c r="AO66" i="34"/>
  <c r="AQ66" i="34" s="1"/>
  <c r="AI66" i="34"/>
  <c r="AJ66" i="34" s="1"/>
  <c r="AF66" i="34"/>
  <c r="AD66" i="34"/>
  <c r="AC66" i="34"/>
  <c r="AB66" i="34"/>
  <c r="R66" i="34"/>
  <c r="AH66" i="34" s="1"/>
  <c r="A66" i="34"/>
  <c r="AP65" i="34"/>
  <c r="AR65" i="34" s="1"/>
  <c r="AO65" i="34"/>
  <c r="AQ65" i="34" s="1"/>
  <c r="AI65" i="34"/>
  <c r="AJ65" i="34" s="1"/>
  <c r="AF65" i="34"/>
  <c r="AD65" i="34"/>
  <c r="AC65" i="34"/>
  <c r="AB65" i="34"/>
  <c r="R65" i="34"/>
  <c r="AG65" i="34" s="1"/>
  <c r="AH65" i="34" s="1"/>
  <c r="A65" i="34"/>
  <c r="AP64" i="34"/>
  <c r="AR64" i="34" s="1"/>
  <c r="AO64" i="34"/>
  <c r="AQ64" i="34" s="1"/>
  <c r="AI64" i="34"/>
  <c r="AJ64" i="34" s="1"/>
  <c r="AS64" i="34"/>
  <c r="AD64" i="34"/>
  <c r="AC64" i="34"/>
  <c r="AB64" i="34"/>
  <c r="R64" i="34"/>
  <c r="AG64" i="34" s="1"/>
  <c r="AH64" i="34" s="1"/>
  <c r="A64" i="34"/>
  <c r="AP63" i="34"/>
  <c r="AR63" i="34" s="1"/>
  <c r="AO63" i="34"/>
  <c r="AQ63" i="34" s="1"/>
  <c r="AF63" i="34"/>
  <c r="AD63" i="34"/>
  <c r="AC63" i="34"/>
  <c r="AB63" i="34"/>
  <c r="R63" i="34"/>
  <c r="AG63" i="34" s="1"/>
  <c r="AI63" i="34" s="1"/>
  <c r="A63" i="34"/>
  <c r="AP62" i="34"/>
  <c r="AR62" i="34" s="1"/>
  <c r="AO62" i="34"/>
  <c r="AQ62" i="34" s="1"/>
  <c r="AI62" i="34"/>
  <c r="AJ62" i="34" s="1"/>
  <c r="AS62" i="34"/>
  <c r="AD62" i="34"/>
  <c r="AC62" i="34"/>
  <c r="AB62" i="34"/>
  <c r="R62" i="34"/>
  <c r="AG62" i="34" s="1"/>
  <c r="AH62" i="34" s="1"/>
  <c r="A62" i="34"/>
  <c r="AP61" i="34"/>
  <c r="AR61" i="34" s="1"/>
  <c r="AO61" i="34"/>
  <c r="AQ61" i="34" s="1"/>
  <c r="AI61" i="34"/>
  <c r="AJ61" i="34" s="1"/>
  <c r="AE61" i="34"/>
  <c r="AF61" i="34" s="1"/>
  <c r="AD61" i="34"/>
  <c r="AC61" i="34"/>
  <c r="AB61" i="34"/>
  <c r="R61" i="34"/>
  <c r="AG61" i="34" s="1"/>
  <c r="AH61" i="34" s="1"/>
  <c r="A61" i="34"/>
  <c r="AP60" i="34"/>
  <c r="AR60" i="34" s="1"/>
  <c r="AO60" i="34"/>
  <c r="AQ60" i="34" s="1"/>
  <c r="AI60" i="34"/>
  <c r="AJ60" i="34" s="1"/>
  <c r="AE60" i="34"/>
  <c r="AS60" i="34" s="1"/>
  <c r="AD60" i="34"/>
  <c r="AC60" i="34"/>
  <c r="AB60" i="34"/>
  <c r="R60" i="34"/>
  <c r="AG60" i="34" s="1"/>
  <c r="A60" i="34"/>
  <c r="AP59" i="34"/>
  <c r="AR59" i="34" s="1"/>
  <c r="AO59" i="34"/>
  <c r="AQ59" i="34" s="1"/>
  <c r="AI59" i="34"/>
  <c r="AE59" i="34"/>
  <c r="AD59" i="34"/>
  <c r="AC59" i="34"/>
  <c r="AB59" i="34"/>
  <c r="R59" i="34"/>
  <c r="AG59" i="34" s="1"/>
  <c r="AT59" i="34" s="1"/>
  <c r="A59" i="34"/>
  <c r="AP58" i="34"/>
  <c r="AR58" i="34" s="1"/>
  <c r="AO58" i="34"/>
  <c r="AQ58" i="34" s="1"/>
  <c r="AE58" i="34"/>
  <c r="AF58" i="34" s="1"/>
  <c r="AD58" i="34"/>
  <c r="AC58" i="34"/>
  <c r="AB58" i="34"/>
  <c r="R58" i="34"/>
  <c r="AI58" i="34" s="1"/>
  <c r="A58" i="34"/>
  <c r="AP57" i="34"/>
  <c r="AR57" i="34" s="1"/>
  <c r="AO57" i="34"/>
  <c r="AQ57" i="34" s="1"/>
  <c r="AS57" i="34"/>
  <c r="AD57" i="34"/>
  <c r="AC57" i="34"/>
  <c r="AB57" i="34"/>
  <c r="R57" i="34"/>
  <c r="A57" i="34"/>
  <c r="AP56" i="34"/>
  <c r="AR56" i="34" s="1"/>
  <c r="AO56" i="34"/>
  <c r="AQ56" i="34" s="1"/>
  <c r="AD56" i="34"/>
  <c r="AC56" i="34"/>
  <c r="AB56" i="34"/>
  <c r="R56" i="34"/>
  <c r="AG56" i="34" s="1"/>
  <c r="AI56" i="34" s="1"/>
  <c r="A56" i="34"/>
  <c r="AP55" i="34"/>
  <c r="AR55" i="34" s="1"/>
  <c r="AO55" i="34"/>
  <c r="AQ55" i="34" s="1"/>
  <c r="AI55" i="34"/>
  <c r="AS55" i="34"/>
  <c r="AD55" i="34"/>
  <c r="AC55" i="34"/>
  <c r="AB55" i="34"/>
  <c r="R55" i="34"/>
  <c r="AG55" i="34" s="1"/>
  <c r="A55" i="34"/>
  <c r="AP54" i="34"/>
  <c r="AR54" i="34" s="1"/>
  <c r="AO54" i="34"/>
  <c r="AQ54" i="34" s="1"/>
  <c r="AI54" i="34"/>
  <c r="AF54" i="34"/>
  <c r="AD54" i="34"/>
  <c r="AC54" i="34"/>
  <c r="AB54" i="34"/>
  <c r="R54" i="34"/>
  <c r="AG54" i="34" s="1"/>
  <c r="AH54" i="34" s="1"/>
  <c r="A54" i="34"/>
  <c r="AP53" i="34"/>
  <c r="AR53" i="34" s="1"/>
  <c r="AO53" i="34"/>
  <c r="AQ53" i="34" s="1"/>
  <c r="AI53" i="34"/>
  <c r="AJ53" i="34" s="1"/>
  <c r="AE53" i="34"/>
  <c r="AS53" i="34" s="1"/>
  <c r="AD53" i="34"/>
  <c r="AC53" i="34"/>
  <c r="AB53" i="34"/>
  <c r="R53" i="34"/>
  <c r="AG53" i="34" s="1"/>
  <c r="A53" i="34"/>
  <c r="AP52" i="34"/>
  <c r="AR52" i="34" s="1"/>
  <c r="AO52" i="34"/>
  <c r="AQ52" i="34" s="1"/>
  <c r="AD52" i="34"/>
  <c r="AC52" i="34"/>
  <c r="AB52" i="34"/>
  <c r="R52" i="34"/>
  <c r="AG52" i="34" s="1"/>
  <c r="AI52" i="34" s="1"/>
  <c r="A52" i="34"/>
  <c r="AP51" i="34"/>
  <c r="AR51" i="34" s="1"/>
  <c r="AO51" i="34"/>
  <c r="AQ51" i="34" s="1"/>
  <c r="AF51" i="34"/>
  <c r="AD51" i="34"/>
  <c r="AC51" i="34"/>
  <c r="AB51" i="34"/>
  <c r="R51" i="34"/>
  <c r="AG51" i="34" s="1"/>
  <c r="A51" i="34"/>
  <c r="AP50" i="34"/>
  <c r="AR50" i="34" s="1"/>
  <c r="AO50" i="34"/>
  <c r="AQ50" i="34" s="1"/>
  <c r="AF50" i="34"/>
  <c r="AD50" i="34"/>
  <c r="AC50" i="34"/>
  <c r="AB50" i="34"/>
  <c r="R50" i="34"/>
  <c r="AI50" i="34" s="1"/>
  <c r="A50" i="34"/>
  <c r="AP49" i="34"/>
  <c r="AR49" i="34" s="1"/>
  <c r="AO49" i="34"/>
  <c r="AQ49" i="34" s="1"/>
  <c r="AF49" i="34"/>
  <c r="AD49" i="34"/>
  <c r="AC49" i="34"/>
  <c r="AB49" i="34"/>
  <c r="R49" i="34"/>
  <c r="A49" i="34"/>
  <c r="AP48" i="34"/>
  <c r="AR48" i="34" s="1"/>
  <c r="AO48" i="34"/>
  <c r="AQ48" i="34" s="1"/>
  <c r="AI48" i="34"/>
  <c r="AE48" i="34"/>
  <c r="AD48" i="34"/>
  <c r="AC48" i="34"/>
  <c r="AB48" i="34"/>
  <c r="R48" i="34"/>
  <c r="AG48" i="34" s="1"/>
  <c r="AH48" i="34" s="1"/>
  <c r="A48" i="34"/>
  <c r="AP47" i="34"/>
  <c r="AR47" i="34" s="1"/>
  <c r="AO47" i="34"/>
  <c r="AQ47" i="34" s="1"/>
  <c r="AF47" i="34"/>
  <c r="AD47" i="34"/>
  <c r="AC47" i="34"/>
  <c r="AB47" i="34"/>
  <c r="R47" i="34"/>
  <c r="A47" i="34"/>
  <c r="AP46" i="34"/>
  <c r="AR46" i="34" s="1"/>
  <c r="AO46" i="34"/>
  <c r="AQ46" i="34" s="1"/>
  <c r="AF46" i="34"/>
  <c r="AD46" i="34"/>
  <c r="AC46" i="34"/>
  <c r="AB46" i="34"/>
  <c r="R46" i="34"/>
  <c r="AG46" i="34" s="1"/>
  <c r="AT46" i="34" s="1"/>
  <c r="A46" i="34"/>
  <c r="AP45" i="34"/>
  <c r="AR45" i="34" s="1"/>
  <c r="AO45" i="34"/>
  <c r="AQ45" i="34" s="1"/>
  <c r="AF45" i="34"/>
  <c r="AD45" i="34"/>
  <c r="AC45" i="34"/>
  <c r="AB45" i="34"/>
  <c r="R45" i="34"/>
  <c r="AG45" i="34" s="1"/>
  <c r="A45" i="34"/>
  <c r="AP44" i="34"/>
  <c r="AR44" i="34" s="1"/>
  <c r="AO44" i="34"/>
  <c r="AQ44" i="34" s="1"/>
  <c r="AD44" i="34"/>
  <c r="AC44" i="34"/>
  <c r="AB44" i="34"/>
  <c r="R44" i="34"/>
  <c r="AI44" i="34" s="1"/>
  <c r="A44" i="34"/>
  <c r="AP43" i="34"/>
  <c r="AR43" i="34" s="1"/>
  <c r="AO43" i="34"/>
  <c r="AQ43" i="34" s="1"/>
  <c r="AI43" i="34"/>
  <c r="AJ43" i="34" s="1"/>
  <c r="AF43" i="34"/>
  <c r="AD43" i="34"/>
  <c r="AC43" i="34"/>
  <c r="AB43" i="34"/>
  <c r="R43" i="34"/>
  <c r="AG43" i="34" s="1"/>
  <c r="AH43" i="34" s="1"/>
  <c r="A43" i="34"/>
  <c r="AP42" i="34"/>
  <c r="AR42" i="34" s="1"/>
  <c r="AO42" i="34"/>
  <c r="AQ42" i="34" s="1"/>
  <c r="AI42" i="34"/>
  <c r="AE42" i="34"/>
  <c r="AF42" i="34" s="1"/>
  <c r="AD42" i="34"/>
  <c r="AC42" i="34"/>
  <c r="AB42" i="34"/>
  <c r="R42" i="34"/>
  <c r="AG42" i="34" s="1"/>
  <c r="AH42" i="34" s="1"/>
  <c r="A42" i="34"/>
  <c r="AP41" i="34"/>
  <c r="AR41" i="34" s="1"/>
  <c r="AO41" i="34"/>
  <c r="AQ41" i="34" s="1"/>
  <c r="AI41" i="34"/>
  <c r="AJ41" i="34" s="1"/>
  <c r="AS41" i="34"/>
  <c r="AD41" i="34"/>
  <c r="AC41" i="34"/>
  <c r="AB41" i="34"/>
  <c r="R41" i="34"/>
  <c r="AG41" i="34" s="1"/>
  <c r="AH41" i="34" s="1"/>
  <c r="A41" i="34"/>
  <c r="AP40" i="34"/>
  <c r="AR40" i="34" s="1"/>
  <c r="AO40" i="34"/>
  <c r="AQ40" i="34" s="1"/>
  <c r="AI40" i="34"/>
  <c r="AS40" i="34"/>
  <c r="AD40" i="34"/>
  <c r="AC40" i="34"/>
  <c r="AB40" i="34"/>
  <c r="R40" i="34"/>
  <c r="AT40" i="34" s="1"/>
  <c r="A40" i="34"/>
  <c r="AP39" i="34"/>
  <c r="AR39" i="34" s="1"/>
  <c r="AO39" i="34"/>
  <c r="AQ39" i="34" s="1"/>
  <c r="AD39" i="34"/>
  <c r="AC39" i="34"/>
  <c r="AB39" i="34"/>
  <c r="R39" i="34"/>
  <c r="AG39" i="34" s="1"/>
  <c r="AI39" i="34" s="1"/>
  <c r="AK39" i="34" s="1"/>
  <c r="AL39" i="34" s="1"/>
  <c r="A39" i="34"/>
  <c r="AP38" i="34"/>
  <c r="AR38" i="34" s="1"/>
  <c r="AO38" i="34"/>
  <c r="AQ38" i="34" s="1"/>
  <c r="AI38" i="34"/>
  <c r="AJ38" i="34" s="1"/>
  <c r="AS38" i="34"/>
  <c r="AD38" i="34"/>
  <c r="AC38" i="34"/>
  <c r="AB38" i="34"/>
  <c r="R38" i="34"/>
  <c r="AT38" i="34" s="1"/>
  <c r="A38" i="34"/>
  <c r="AP37" i="34"/>
  <c r="AR37" i="34" s="1"/>
  <c r="AO37" i="34"/>
  <c r="AQ37" i="34" s="1"/>
  <c r="AS37" i="34"/>
  <c r="AD37" i="34"/>
  <c r="AC37" i="34"/>
  <c r="AB37" i="34"/>
  <c r="R37" i="34"/>
  <c r="AT37" i="34" s="1"/>
  <c r="A37" i="34"/>
  <c r="AP36" i="34"/>
  <c r="AR36" i="34" s="1"/>
  <c r="AO36" i="34"/>
  <c r="AQ36" i="34" s="1"/>
  <c r="AF36" i="34"/>
  <c r="AD36" i="34"/>
  <c r="AC36" i="34"/>
  <c r="AB36" i="34"/>
  <c r="R36" i="34"/>
  <c r="AG36" i="34" s="1"/>
  <c r="A36" i="34"/>
  <c r="AP35" i="34"/>
  <c r="AR35" i="34" s="1"/>
  <c r="AO35" i="34"/>
  <c r="AQ35" i="34" s="1"/>
  <c r="AD35" i="34"/>
  <c r="AC35" i="34"/>
  <c r="AB35" i="34"/>
  <c r="R35" i="34"/>
  <c r="AT35" i="34" s="1"/>
  <c r="A35" i="34"/>
  <c r="AP34" i="34"/>
  <c r="AR34" i="34" s="1"/>
  <c r="AO34" i="34"/>
  <c r="AQ34" i="34" s="1"/>
  <c r="AI34" i="34"/>
  <c r="AJ34" i="34" s="1"/>
  <c r="AS34" i="34"/>
  <c r="AD34" i="34"/>
  <c r="AC34" i="34"/>
  <c r="AB34" i="34"/>
  <c r="R34" i="34"/>
  <c r="AG34" i="34" s="1"/>
  <c r="A34" i="34"/>
  <c r="AP33" i="34"/>
  <c r="AR33" i="34" s="1"/>
  <c r="AO33" i="34"/>
  <c r="AQ33" i="34" s="1"/>
  <c r="AS33" i="34"/>
  <c r="AD33" i="34"/>
  <c r="AC33" i="34"/>
  <c r="AB33" i="34"/>
  <c r="R33" i="34"/>
  <c r="AG33" i="34" s="1"/>
  <c r="AI33" i="34" s="1"/>
  <c r="A33" i="34"/>
  <c r="AP32" i="34"/>
  <c r="AR32" i="34" s="1"/>
  <c r="AO32" i="34"/>
  <c r="AQ32" i="34" s="1"/>
  <c r="AI32" i="34"/>
  <c r="AJ32" i="34" s="1"/>
  <c r="AS32" i="34"/>
  <c r="AD32" i="34"/>
  <c r="AC32" i="34"/>
  <c r="AB32" i="34"/>
  <c r="R32" i="34"/>
  <c r="AG32" i="34" s="1"/>
  <c r="AH32" i="34" s="1"/>
  <c r="A32" i="34"/>
  <c r="AP31" i="34"/>
  <c r="AR31" i="34" s="1"/>
  <c r="AO31" i="34"/>
  <c r="AQ31" i="34" s="1"/>
  <c r="AD31" i="34"/>
  <c r="AC31" i="34"/>
  <c r="AB31" i="34"/>
  <c r="R31" i="34"/>
  <c r="AH31" i="34" s="1"/>
  <c r="A31" i="34"/>
  <c r="AP30" i="34"/>
  <c r="AR30" i="34" s="1"/>
  <c r="AO30" i="34"/>
  <c r="AQ30" i="34" s="1"/>
  <c r="AS30" i="34"/>
  <c r="AD30" i="34"/>
  <c r="AC30" i="34"/>
  <c r="AB30" i="34"/>
  <c r="R30" i="34"/>
  <c r="AG30" i="34" s="1"/>
  <c r="A30" i="34"/>
  <c r="AP29" i="34"/>
  <c r="AR29" i="34" s="1"/>
  <c r="AO29" i="34"/>
  <c r="AQ29" i="34" s="1"/>
  <c r="AI29" i="34"/>
  <c r="AS29" i="34"/>
  <c r="AD29" i="34"/>
  <c r="AC29" i="34"/>
  <c r="AB29" i="34"/>
  <c r="R29" i="34"/>
  <c r="AG29" i="34" s="1"/>
  <c r="AT29" i="34" s="1"/>
  <c r="A29" i="34"/>
  <c r="AP28" i="34"/>
  <c r="AR28" i="34" s="1"/>
  <c r="AO28" i="34"/>
  <c r="AQ28" i="34" s="1"/>
  <c r="AF28" i="34"/>
  <c r="AD28" i="34"/>
  <c r="AC28" i="34"/>
  <c r="AB28" i="34"/>
  <c r="R28" i="34"/>
  <c r="A28" i="34"/>
  <c r="AP27" i="34"/>
  <c r="AR27" i="34" s="1"/>
  <c r="AO27" i="34"/>
  <c r="AQ27" i="34" s="1"/>
  <c r="AD27" i="34"/>
  <c r="AC27" i="34"/>
  <c r="AB27" i="34"/>
  <c r="R27" i="34"/>
  <c r="AG27" i="34" s="1"/>
  <c r="AH27" i="34" s="1"/>
  <c r="A27" i="34"/>
  <c r="AP26" i="34"/>
  <c r="AR26" i="34" s="1"/>
  <c r="AO26" i="34"/>
  <c r="AQ26" i="34" s="1"/>
  <c r="AF26" i="34"/>
  <c r="AD26" i="34"/>
  <c r="AC26" i="34"/>
  <c r="AB26" i="34"/>
  <c r="R26" i="34"/>
  <c r="AH26" i="34" s="1"/>
  <c r="A26" i="34"/>
  <c r="AP25" i="34"/>
  <c r="AR25" i="34" s="1"/>
  <c r="AO25" i="34"/>
  <c r="AQ25" i="34" s="1"/>
  <c r="AS25" i="34"/>
  <c r="AD25" i="34"/>
  <c r="AC25" i="34"/>
  <c r="AB25" i="34"/>
  <c r="R25" i="34"/>
  <c r="AG25" i="34" s="1"/>
  <c r="AI25" i="34" s="1"/>
  <c r="A25" i="34"/>
  <c r="AP24" i="34"/>
  <c r="AR24" i="34" s="1"/>
  <c r="AO24" i="34"/>
  <c r="AQ24" i="34" s="1"/>
  <c r="AF24" i="34"/>
  <c r="AD24" i="34"/>
  <c r="AC24" i="34"/>
  <c r="AB24" i="34"/>
  <c r="R24" i="34"/>
  <c r="AG24" i="34" s="1"/>
  <c r="AT24" i="34" s="1"/>
  <c r="A24" i="34"/>
  <c r="AP23" i="34"/>
  <c r="AR23" i="34" s="1"/>
  <c r="AO23" i="34"/>
  <c r="AQ23" i="34" s="1"/>
  <c r="AI23" i="34"/>
  <c r="AD23" i="34"/>
  <c r="AC23" i="34"/>
  <c r="AB23" i="34"/>
  <c r="R23" i="34"/>
  <c r="AG23" i="34" s="1"/>
  <c r="AH23" i="34" s="1"/>
  <c r="A23" i="34"/>
  <c r="AP22" i="34"/>
  <c r="AR22" i="34" s="1"/>
  <c r="AO22" i="34"/>
  <c r="AQ22" i="34" s="1"/>
  <c r="AE22" i="34"/>
  <c r="AF22" i="34" s="1"/>
  <c r="AD22" i="34"/>
  <c r="AC22" i="34"/>
  <c r="AB22" i="34"/>
  <c r="R22" i="34"/>
  <c r="AG22" i="34" s="1"/>
  <c r="A22" i="34"/>
  <c r="AP21" i="34"/>
  <c r="AR21" i="34" s="1"/>
  <c r="AO21" i="34"/>
  <c r="AQ21" i="34" s="1"/>
  <c r="AI21" i="34"/>
  <c r="AS21" i="34"/>
  <c r="AD21" i="34"/>
  <c r="AC21" i="34"/>
  <c r="AB21" i="34"/>
  <c r="R21" i="34"/>
  <c r="AG21" i="34" s="1"/>
  <c r="AH21" i="34" s="1"/>
  <c r="A21" i="34"/>
  <c r="AP20" i="34"/>
  <c r="AR20" i="34" s="1"/>
  <c r="AO20" i="34"/>
  <c r="AQ20" i="34" s="1"/>
  <c r="AS20" i="34"/>
  <c r="AD20" i="34"/>
  <c r="AC20" i="34"/>
  <c r="AB20" i="34"/>
  <c r="R20" i="34"/>
  <c r="AG20" i="34" s="1"/>
  <c r="AH20" i="34" s="1"/>
  <c r="A20" i="34"/>
  <c r="AP19" i="34"/>
  <c r="AR19" i="34" s="1"/>
  <c r="AO19" i="34"/>
  <c r="AQ19" i="34" s="1"/>
  <c r="AI19" i="34"/>
  <c r="AF19" i="34"/>
  <c r="AD19" i="34"/>
  <c r="AC19" i="34"/>
  <c r="AB19" i="34"/>
  <c r="R19" i="34"/>
  <c r="A19" i="34"/>
  <c r="AP18" i="34"/>
  <c r="AR18" i="34" s="1"/>
  <c r="AO18" i="34"/>
  <c r="AQ18" i="34" s="1"/>
  <c r="AI18" i="34"/>
  <c r="AS18" i="34"/>
  <c r="AD18" i="34"/>
  <c r="AC18" i="34"/>
  <c r="AB18" i="34"/>
  <c r="R18" i="34"/>
  <c r="AT18" i="34" s="1"/>
  <c r="A18" i="34"/>
  <c r="AP17" i="34"/>
  <c r="AR17" i="34" s="1"/>
  <c r="AO17" i="34"/>
  <c r="AQ17" i="34" s="1"/>
  <c r="AI17" i="34"/>
  <c r="AJ17" i="34" s="1"/>
  <c r="AF17" i="34"/>
  <c r="AD17" i="34"/>
  <c r="AC17" i="34"/>
  <c r="AB17" i="34"/>
  <c r="R17" i="34"/>
  <c r="AG17" i="34" s="1"/>
  <c r="A17" i="34"/>
  <c r="AP16" i="34"/>
  <c r="AR16" i="34" s="1"/>
  <c r="AO16" i="34"/>
  <c r="AQ16" i="34" s="1"/>
  <c r="AS16" i="34"/>
  <c r="AD16" i="34"/>
  <c r="AC16" i="34"/>
  <c r="AB16" i="34"/>
  <c r="R16" i="34"/>
  <c r="AG16" i="34" s="1"/>
  <c r="AT16" i="34" s="1"/>
  <c r="A16" i="34"/>
  <c r="AP15" i="34"/>
  <c r="AR15" i="34" s="1"/>
  <c r="AO15" i="34"/>
  <c r="AQ15" i="34" s="1"/>
  <c r="AI15" i="34"/>
  <c r="AJ15" i="34" s="1"/>
  <c r="AF15" i="34"/>
  <c r="AD15" i="34"/>
  <c r="AC15" i="34"/>
  <c r="AB15" i="34"/>
  <c r="R15" i="34"/>
  <c r="AG15" i="34" s="1"/>
  <c r="AT15" i="34" s="1"/>
  <c r="A15" i="34"/>
  <c r="AP14" i="34"/>
  <c r="AR14" i="34" s="1"/>
  <c r="AO14" i="34"/>
  <c r="AQ14" i="34" s="1"/>
  <c r="AI14" i="34"/>
  <c r="AJ14" i="34" s="1"/>
  <c r="AF14" i="34"/>
  <c r="AD14" i="34"/>
  <c r="AC14" i="34"/>
  <c r="AB14" i="34"/>
  <c r="R14" i="34"/>
  <c r="AT14" i="34" s="1"/>
  <c r="A14" i="34"/>
  <c r="AP13" i="34"/>
  <c r="AR13" i="34" s="1"/>
  <c r="AO13" i="34"/>
  <c r="AQ13" i="34" s="1"/>
  <c r="AS13" i="34"/>
  <c r="AD13" i="34"/>
  <c r="AC13" i="34"/>
  <c r="AB13" i="34"/>
  <c r="R13" i="34"/>
  <c r="AG13" i="34" s="1"/>
  <c r="AH13" i="34" s="1"/>
  <c r="A13" i="34"/>
  <c r="AP12" i="34"/>
  <c r="AR12" i="34" s="1"/>
  <c r="AO12" i="34"/>
  <c r="AQ12" i="34" s="1"/>
  <c r="AI12" i="34"/>
  <c r="AS12" i="34"/>
  <c r="AD12" i="34"/>
  <c r="AC12" i="34"/>
  <c r="AB12" i="34"/>
  <c r="R12" i="34"/>
  <c r="AG12" i="34" s="1"/>
  <c r="A12" i="34"/>
  <c r="AP11" i="34"/>
  <c r="AR11" i="34" s="1"/>
  <c r="AO11" i="34"/>
  <c r="AQ11" i="34" s="1"/>
  <c r="AI11" i="34"/>
  <c r="AJ11" i="34" s="1"/>
  <c r="AS11" i="34"/>
  <c r="AD11" i="34"/>
  <c r="AC11" i="34"/>
  <c r="AB11" i="34"/>
  <c r="R11" i="34"/>
  <c r="AG11" i="34" s="1"/>
  <c r="AH11" i="34" s="1"/>
  <c r="A11" i="34"/>
  <c r="AP10" i="34"/>
  <c r="AR10" i="34" s="1"/>
  <c r="AO10" i="34"/>
  <c r="AQ10" i="34" s="1"/>
  <c r="AI10" i="34"/>
  <c r="AF10" i="34"/>
  <c r="AD10" i="34"/>
  <c r="AC10" i="34"/>
  <c r="AB10" i="34"/>
  <c r="R10" i="34"/>
  <c r="AG10" i="34" s="1"/>
  <c r="AH10" i="34" s="1"/>
  <c r="A10" i="34"/>
  <c r="AP9" i="34"/>
  <c r="AR9" i="34" s="1"/>
  <c r="AO9" i="34"/>
  <c r="AQ9" i="34" s="1"/>
  <c r="AF9" i="34"/>
  <c r="AD9" i="34"/>
  <c r="AC9" i="34"/>
  <c r="AB9" i="34"/>
  <c r="R9" i="34"/>
  <c r="AG9" i="34" s="1"/>
  <c r="AI9" i="34" s="1"/>
  <c r="A9" i="34"/>
  <c r="AP8" i="34"/>
  <c r="AR8" i="34" s="1"/>
  <c r="AO8" i="34"/>
  <c r="AQ8" i="34" s="1"/>
  <c r="AI8" i="34"/>
  <c r="AS8" i="34"/>
  <c r="AD8" i="34"/>
  <c r="AC8" i="34"/>
  <c r="AB8" i="34"/>
  <c r="R8" i="34"/>
  <c r="AG8" i="34" s="1"/>
  <c r="A8" i="34"/>
  <c r="AP7" i="34"/>
  <c r="AR7" i="34" s="1"/>
  <c r="AO7" i="34"/>
  <c r="AQ7" i="34" s="1"/>
  <c r="AS7" i="34"/>
  <c r="AD7" i="34"/>
  <c r="AC7" i="34"/>
  <c r="AB7" i="34"/>
  <c r="R7" i="34"/>
  <c r="AG7" i="34" s="1"/>
  <c r="AI7" i="34" s="1"/>
  <c r="AK7" i="34" s="1"/>
  <c r="AL7" i="34" s="1"/>
  <c r="A7" i="34"/>
  <c r="AP6" i="34"/>
  <c r="AR6" i="34" s="1"/>
  <c r="AO6" i="34"/>
  <c r="AQ6" i="34" s="1"/>
  <c r="AI6" i="34"/>
  <c r="AJ6" i="34" s="1"/>
  <c r="AF6" i="34"/>
  <c r="AD6" i="34"/>
  <c r="AC6" i="34"/>
  <c r="AB6" i="34"/>
  <c r="R6" i="34"/>
  <c r="AG6" i="34" s="1"/>
  <c r="AT6" i="34" s="1"/>
  <c r="A6" i="34"/>
  <c r="AP5" i="34"/>
  <c r="AR5" i="34" s="1"/>
  <c r="AO5" i="34"/>
  <c r="AQ5" i="34" s="1"/>
  <c r="AF5" i="34"/>
  <c r="AD5" i="34"/>
  <c r="AC5" i="34"/>
  <c r="AB5" i="34"/>
  <c r="R5" i="34"/>
  <c r="A5" i="34"/>
  <c r="AP4" i="34"/>
  <c r="AR4" i="34" s="1"/>
  <c r="AO4" i="34"/>
  <c r="AQ4" i="34" s="1"/>
  <c r="AI4" i="34"/>
  <c r="AJ4" i="34" s="1"/>
  <c r="AE4" i="34"/>
  <c r="AS4" i="34" s="1"/>
  <c r="AD4" i="34"/>
  <c r="AC4" i="34"/>
  <c r="AB4" i="34"/>
  <c r="R4" i="34"/>
  <c r="AG4" i="34" s="1"/>
  <c r="A4" i="34"/>
  <c r="AP3" i="34"/>
  <c r="AR3" i="34" s="1"/>
  <c r="AO3" i="34"/>
  <c r="AQ3" i="34" s="1"/>
  <c r="AI3" i="34"/>
  <c r="AJ3" i="34" s="1"/>
  <c r="AE3" i="34"/>
  <c r="AS3" i="34" s="1"/>
  <c r="AD3" i="34"/>
  <c r="AC3" i="34"/>
  <c r="AB3" i="34"/>
  <c r="R3" i="34"/>
  <c r="AG3" i="34" s="1"/>
  <c r="AT3" i="34" s="1"/>
  <c r="A3" i="34"/>
  <c r="AP2" i="34"/>
  <c r="AR2" i="34" s="1"/>
  <c r="AO2" i="34"/>
  <c r="AQ2" i="34" s="1"/>
  <c r="AI2" i="34"/>
  <c r="AD2" i="34"/>
  <c r="AC2" i="34"/>
  <c r="AB2" i="34"/>
  <c r="R2" i="34"/>
  <c r="AG2" i="34" s="1"/>
  <c r="AT2" i="34" s="1"/>
  <c r="A2" i="34"/>
  <c r="AI1777" i="21"/>
  <c r="AI1778" i="21"/>
  <c r="AI1780" i="21"/>
  <c r="AI1781" i="21"/>
  <c r="AI1783" i="21"/>
  <c r="AI1784" i="21"/>
  <c r="AI1785" i="21"/>
  <c r="AI1786" i="21"/>
  <c r="AI1787" i="21"/>
  <c r="Z1088" i="21"/>
  <c r="Z1089" i="21"/>
  <c r="AI1773" i="21"/>
  <c r="AI1772" i="21"/>
  <c r="AI1771" i="21"/>
  <c r="AI1770" i="21"/>
  <c r="AI1769" i="21"/>
  <c r="AI1767" i="21"/>
  <c r="AI1766" i="21"/>
  <c r="AI1764" i="21"/>
  <c r="AI1763" i="21"/>
  <c r="AI1762" i="21"/>
  <c r="AI1761" i="21"/>
  <c r="AI1760" i="21"/>
  <c r="AI1749" i="21"/>
  <c r="Z1049" i="21"/>
  <c r="Z1040" i="21"/>
  <c r="Z1044" i="21"/>
  <c r="Z728" i="21"/>
  <c r="Z733" i="21"/>
  <c r="Z744" i="21"/>
  <c r="Z646" i="21"/>
  <c r="AI1689" i="21"/>
  <c r="AI1688" i="21"/>
  <c r="AI1687" i="21"/>
  <c r="AI1685" i="21"/>
  <c r="AI1683" i="21"/>
  <c r="AI1682" i="21"/>
  <c r="AI1680" i="21"/>
  <c r="AI1679" i="21"/>
  <c r="AI1678" i="21"/>
  <c r="AI1677" i="21"/>
  <c r="AI1676" i="21"/>
  <c r="A1685" i="21"/>
  <c r="R1685" i="21"/>
  <c r="AG1685" i="21" s="1"/>
  <c r="AB1685" i="21"/>
  <c r="AC1685" i="21"/>
  <c r="AD1685" i="21"/>
  <c r="AE1685" i="21"/>
  <c r="AF1685" i="21" s="1"/>
  <c r="Z1676" i="21"/>
  <c r="AI1631" i="21"/>
  <c r="AI1630" i="21"/>
  <c r="AI1629" i="21"/>
  <c r="AI1628" i="21"/>
  <c r="AI1627" i="21"/>
  <c r="AI1626" i="21"/>
  <c r="AI1625" i="21"/>
  <c r="AI1624" i="21"/>
  <c r="AI1623" i="21"/>
  <c r="AI1622" i="21"/>
  <c r="AI1621" i="21"/>
  <c r="AI1620" i="21"/>
  <c r="Z1630" i="21"/>
  <c r="Z1623" i="21"/>
  <c r="Z1620" i="21"/>
  <c r="AI1603" i="21"/>
  <c r="AI1598" i="21"/>
  <c r="AI1595" i="21"/>
  <c r="AI1592" i="21"/>
  <c r="Z1595" i="21"/>
  <c r="Z1592" i="21"/>
  <c r="AE1567" i="21"/>
  <c r="AE1568" i="21"/>
  <c r="AE1569" i="21"/>
  <c r="AE1570" i="21"/>
  <c r="AE1571" i="21"/>
  <c r="AE1572" i="21"/>
  <c r="AI1563" i="21"/>
  <c r="AI1562" i="21"/>
  <c r="AI1561" i="21"/>
  <c r="AI1560" i="21"/>
  <c r="AI1559" i="21"/>
  <c r="AI1557" i="21"/>
  <c r="AI1556" i="21"/>
  <c r="AI1555" i="21"/>
  <c r="AI1554" i="21"/>
  <c r="AI1553" i="21"/>
  <c r="AI1552" i="21"/>
  <c r="AI1551" i="21"/>
  <c r="AI1550" i="21"/>
  <c r="Z1562" i="21"/>
  <c r="Z1561" i="21"/>
  <c r="Z1553" i="21"/>
  <c r="Z1550" i="21"/>
  <c r="AI1502" i="21"/>
  <c r="AI1501" i="21"/>
  <c r="AI1500" i="21"/>
  <c r="AI1499" i="21"/>
  <c r="AI1498" i="21"/>
  <c r="AI1497" i="21"/>
  <c r="AI1496" i="21"/>
  <c r="AI1495" i="21"/>
  <c r="AI1494" i="21"/>
  <c r="AI649" i="21"/>
  <c r="AI648" i="21"/>
  <c r="Z1500" i="21"/>
  <c r="Z1497" i="21"/>
  <c r="AE636" i="21"/>
  <c r="AE637" i="21"/>
  <c r="AE638" i="21"/>
  <c r="AE555" i="21"/>
  <c r="AE556" i="21"/>
  <c r="G555" i="21"/>
  <c r="AI1463" i="21"/>
  <c r="AI1462" i="21"/>
  <c r="AI1453" i="21"/>
  <c r="AI1452" i="21"/>
  <c r="AI1436" i="21"/>
  <c r="AI1435" i="21"/>
  <c r="AI1434" i="21"/>
  <c r="AI1433" i="21"/>
  <c r="AI1431" i="21"/>
  <c r="AI1430" i="21"/>
  <c r="AI1428" i="21"/>
  <c r="AI1427" i="21"/>
  <c r="AI1426" i="21"/>
  <c r="AI1425" i="21"/>
  <c r="AI1424" i="21"/>
  <c r="AI527" i="21"/>
  <c r="AE524" i="21"/>
  <c r="AE525" i="21"/>
  <c r="AE526" i="21"/>
  <c r="AE527" i="21"/>
  <c r="AI524" i="21"/>
  <c r="AI525" i="21"/>
  <c r="AI526" i="21"/>
  <c r="AI517" i="21"/>
  <c r="Z358" i="21"/>
  <c r="Z351" i="21"/>
  <c r="AG1495" i="34" l="1"/>
  <c r="AH1495" i="34" s="1"/>
  <c r="AD1357" i="34"/>
  <c r="AD573" i="34"/>
  <c r="AK2" i="34"/>
  <c r="AL2" i="34" s="1"/>
  <c r="AU750" i="34"/>
  <c r="AU776" i="34"/>
  <c r="AU1361" i="34"/>
  <c r="AU1370" i="34"/>
  <c r="AU367" i="34"/>
  <c r="AU179" i="34"/>
  <c r="AU709" i="34"/>
  <c r="AU719" i="34"/>
  <c r="AU1285" i="34"/>
  <c r="AU177" i="34"/>
  <c r="AU183" i="34"/>
  <c r="AU195" i="34"/>
  <c r="AU199" i="34"/>
  <c r="AU380" i="34"/>
  <c r="AU1012" i="34"/>
  <c r="AU1369" i="34"/>
  <c r="AU193" i="34"/>
  <c r="AU196" i="34"/>
  <c r="AU201" i="34"/>
  <c r="AU204" i="34"/>
  <c r="AU372" i="34"/>
  <c r="AU883" i="34"/>
  <c r="AU1364" i="34"/>
  <c r="AU172" i="34"/>
  <c r="AU181" i="34"/>
  <c r="AU187" i="34"/>
  <c r="AU198" i="34"/>
  <c r="AU613" i="34"/>
  <c r="AU860" i="34"/>
  <c r="AU1510" i="34"/>
  <c r="AU161" i="34"/>
  <c r="AU386" i="34"/>
  <c r="AU387" i="34"/>
  <c r="AU364" i="34"/>
  <c r="AU39" i="34"/>
  <c r="AU159" i="34"/>
  <c r="AU7" i="34"/>
  <c r="AU390" i="34"/>
  <c r="AU875" i="34"/>
  <c r="AU1076" i="34"/>
  <c r="AU1518" i="34"/>
  <c r="AU166" i="34"/>
  <c r="AU167" i="34"/>
  <c r="AU743" i="34"/>
  <c r="AU1224" i="34"/>
  <c r="AU1230" i="34"/>
  <c r="AU1293" i="34"/>
  <c r="AU1366" i="34"/>
  <c r="AU1513" i="34"/>
  <c r="AM1521" i="34"/>
  <c r="AV1521" i="34" s="1"/>
  <c r="AU1521" i="34"/>
  <c r="AM194" i="34"/>
  <c r="AV194" i="34" s="1"/>
  <c r="AU194" i="34"/>
  <c r="AM1519" i="34"/>
  <c r="AV1519" i="34" s="1"/>
  <c r="AU1519" i="34"/>
  <c r="AF2" i="34"/>
  <c r="AS2" i="34"/>
  <c r="AM1234" i="34"/>
  <c r="AV1234" i="34" s="1"/>
  <c r="AU1234" i="34"/>
  <c r="AD511" i="34"/>
  <c r="AI859" i="34"/>
  <c r="AJ859" i="34" s="1"/>
  <c r="AD1327" i="34"/>
  <c r="AN875" i="34"/>
  <c r="AM204" i="34"/>
  <c r="AV204" i="34" s="1"/>
  <c r="AN372" i="34"/>
  <c r="AM1513" i="34"/>
  <c r="AV1513" i="34" s="1"/>
  <c r="AM187" i="34"/>
  <c r="AV187" i="34" s="1"/>
  <c r="AN883" i="34"/>
  <c r="AM198" i="34"/>
  <c r="AV198" i="34" s="1"/>
  <c r="AF1550" i="34"/>
  <c r="AF1354" i="34"/>
  <c r="AD1318" i="34"/>
  <c r="AD276" i="34"/>
  <c r="AD824" i="34"/>
  <c r="AD1395" i="34"/>
  <c r="AD858" i="34"/>
  <c r="AI1315" i="34"/>
  <c r="AJ1315" i="34" s="1"/>
  <c r="AD589" i="34"/>
  <c r="AD820" i="34"/>
  <c r="AI1385" i="34"/>
  <c r="AJ1385" i="34" s="1"/>
  <c r="AS497" i="34"/>
  <c r="AK630" i="34"/>
  <c r="AL630" i="34" s="1"/>
  <c r="AF379" i="34"/>
  <c r="AH886" i="34"/>
  <c r="AH998" i="34"/>
  <c r="AF1436" i="34"/>
  <c r="AS618" i="34"/>
  <c r="AI1326" i="34"/>
  <c r="AJ1326" i="34" s="1"/>
  <c r="AD1091" i="34"/>
  <c r="AD1388" i="34"/>
  <c r="AF999" i="34"/>
  <c r="AH1259" i="34"/>
  <c r="AK1266" i="34"/>
  <c r="AL1266" i="34" s="1"/>
  <c r="AS1480" i="34"/>
  <c r="AF165" i="34"/>
  <c r="AK696" i="34"/>
  <c r="AL696" i="34" s="1"/>
  <c r="AM696" i="34" s="1"/>
  <c r="AV696" i="34" s="1"/>
  <c r="AS1170" i="34"/>
  <c r="AS815" i="34"/>
  <c r="AS261" i="34"/>
  <c r="AS423" i="34"/>
  <c r="AS1104" i="34"/>
  <c r="AF1121" i="34"/>
  <c r="AF1122" i="34"/>
  <c r="AS1138" i="34"/>
  <c r="AS786" i="34"/>
  <c r="AT1103" i="34"/>
  <c r="AT1101" i="34"/>
  <c r="AF238" i="34"/>
  <c r="AK296" i="34"/>
  <c r="AL296" i="34" s="1"/>
  <c r="AN296" i="34" s="1"/>
  <c r="AK574" i="34"/>
  <c r="AL574" i="34" s="1"/>
  <c r="AK734" i="34"/>
  <c r="AL734" i="34" s="1"/>
  <c r="AS934" i="34"/>
  <c r="AF1222" i="34"/>
  <c r="AS1249" i="34"/>
  <c r="AS1515" i="34"/>
  <c r="AK446" i="34"/>
  <c r="AL446" i="34" s="1"/>
  <c r="AF575" i="34"/>
  <c r="AS726" i="34"/>
  <c r="AF198" i="34"/>
  <c r="AS686" i="34"/>
  <c r="AS1174" i="34"/>
  <c r="AK1380" i="34"/>
  <c r="AL1380" i="34" s="1"/>
  <c r="AN1380" i="34" s="1"/>
  <c r="AS1438" i="34"/>
  <c r="AK376" i="34"/>
  <c r="AL376" i="34" s="1"/>
  <c r="AK671" i="34"/>
  <c r="AL671" i="34" s="1"/>
  <c r="AK794" i="34"/>
  <c r="AL794" i="34" s="1"/>
  <c r="AT799" i="34"/>
  <c r="AS953" i="34"/>
  <c r="AK968" i="34"/>
  <c r="AL968" i="34" s="1"/>
  <c r="AF1074" i="34"/>
  <c r="AK1411" i="34"/>
  <c r="AL1411" i="34" s="1"/>
  <c r="AF1230" i="34"/>
  <c r="AK1340" i="34"/>
  <c r="AL1340" i="34" s="1"/>
  <c r="AS1344" i="34"/>
  <c r="AF405" i="34"/>
  <c r="AS571" i="34"/>
  <c r="AF581" i="34"/>
  <c r="AF598" i="34"/>
  <c r="AI646" i="34"/>
  <c r="AJ646" i="34" s="1"/>
  <c r="AF706" i="34"/>
  <c r="AF886" i="34"/>
  <c r="AS949" i="34"/>
  <c r="AH1005" i="34"/>
  <c r="AF1072" i="34"/>
  <c r="AK1102" i="34"/>
  <c r="AL1102" i="34" s="1"/>
  <c r="AS1231" i="34"/>
  <c r="AF1311" i="34"/>
  <c r="AH1312" i="34"/>
  <c r="AF1359" i="34"/>
  <c r="AF1386" i="34"/>
  <c r="AS1038" i="34"/>
  <c r="AS1052" i="34"/>
  <c r="AF1364" i="34"/>
  <c r="AS1455" i="34"/>
  <c r="AF1471" i="34"/>
  <c r="AF196" i="34"/>
  <c r="AS251" i="34"/>
  <c r="AF269" i="34"/>
  <c r="AK477" i="34"/>
  <c r="AL477" i="34" s="1"/>
  <c r="AS520" i="34"/>
  <c r="AF601" i="34"/>
  <c r="AK672" i="34"/>
  <c r="AL672" i="34" s="1"/>
  <c r="AF960" i="34"/>
  <c r="AF976" i="34"/>
  <c r="AF1157" i="34"/>
  <c r="AF1182" i="34"/>
  <c r="AF1327" i="34"/>
  <c r="AS1493" i="34"/>
  <c r="AS1494" i="34"/>
  <c r="AS123" i="34"/>
  <c r="AJ70" i="34"/>
  <c r="AF651" i="34"/>
  <c r="AS671" i="34"/>
  <c r="AF881" i="34"/>
  <c r="AS1070" i="34"/>
  <c r="AF1446" i="34"/>
  <c r="AF185" i="34"/>
  <c r="AS245" i="34"/>
  <c r="AF290" i="34"/>
  <c r="AF393" i="34"/>
  <c r="AF425" i="34"/>
  <c r="AK575" i="34"/>
  <c r="AL575" i="34" s="1"/>
  <c r="AF792" i="34"/>
  <c r="AS921" i="34"/>
  <c r="AK970" i="34"/>
  <c r="AL970" i="34" s="1"/>
  <c r="AT1120" i="34"/>
  <c r="AS1253" i="34"/>
  <c r="AK1287" i="34"/>
  <c r="AL1287" i="34" s="1"/>
  <c r="AK1324" i="34"/>
  <c r="AL1324" i="34" s="1"/>
  <c r="AM1324" i="34" s="1"/>
  <c r="AV1324" i="34" s="1"/>
  <c r="AF1372" i="34"/>
  <c r="AS446" i="34"/>
  <c r="AS1130" i="34"/>
  <c r="AK1178" i="34"/>
  <c r="AL1178" i="34" s="1"/>
  <c r="AF1199" i="34"/>
  <c r="AK1210" i="34"/>
  <c r="AL1210" i="34" s="1"/>
  <c r="AF1242" i="34"/>
  <c r="AK1251" i="34"/>
  <c r="AL1251" i="34" s="1"/>
  <c r="AK1300" i="34"/>
  <c r="AL1300" i="34" s="1"/>
  <c r="AS1361" i="34"/>
  <c r="AK1363" i="34"/>
  <c r="AL1363" i="34" s="1"/>
  <c r="AK1419" i="34"/>
  <c r="AL1419" i="34" s="1"/>
  <c r="AS1435" i="34"/>
  <c r="AS17" i="34"/>
  <c r="AF187" i="34"/>
  <c r="AF200" i="34"/>
  <c r="AF285" i="34"/>
  <c r="AS294" i="34"/>
  <c r="AS610" i="34"/>
  <c r="AF613" i="34"/>
  <c r="AK876" i="34"/>
  <c r="AL876" i="34" s="1"/>
  <c r="AM876" i="34" s="1"/>
  <c r="AV876" i="34" s="1"/>
  <c r="AH883" i="34"/>
  <c r="AJ883" i="34" s="1"/>
  <c r="AT1250" i="34"/>
  <c r="AS1284" i="34"/>
  <c r="AH1290" i="34"/>
  <c r="AF1391" i="34"/>
  <c r="AF1392" i="34"/>
  <c r="AI1241" i="34"/>
  <c r="AK1241" i="34" s="1"/>
  <c r="AL1241" i="34" s="1"/>
  <c r="AT1241" i="34"/>
  <c r="AH859" i="34"/>
  <c r="AT859" i="34"/>
  <c r="AH1172" i="34"/>
  <c r="AK1172" i="34"/>
  <c r="AL1172" i="34" s="1"/>
  <c r="AF311" i="34"/>
  <c r="AF326" i="34"/>
  <c r="AF572" i="34"/>
  <c r="AF767" i="34"/>
  <c r="AK944" i="34"/>
  <c r="AL944" i="34" s="1"/>
  <c r="AS945" i="34"/>
  <c r="AS946" i="34"/>
  <c r="AT947" i="34"/>
  <c r="AS950" i="34"/>
  <c r="AS982" i="34"/>
  <c r="AS1015" i="34"/>
  <c r="AS1031" i="34"/>
  <c r="AK1090" i="34"/>
  <c r="AL1090" i="34" s="1"/>
  <c r="AH1296" i="34"/>
  <c r="AF1297" i="34"/>
  <c r="AH1321" i="34"/>
  <c r="AK1463" i="34"/>
  <c r="AL1463" i="34" s="1"/>
  <c r="AK1481" i="34"/>
  <c r="AL1481" i="34" s="1"/>
  <c r="AN1481" i="34" s="1"/>
  <c r="AF1511" i="34"/>
  <c r="AF1520" i="34"/>
  <c r="AK1541" i="34"/>
  <c r="AL1541" i="34" s="1"/>
  <c r="AS1014" i="34"/>
  <c r="AF1151" i="34"/>
  <c r="AS1154" i="34"/>
  <c r="AS1195" i="34"/>
  <c r="AH1246" i="34"/>
  <c r="AK1270" i="34"/>
  <c r="AL1270" i="34" s="1"/>
  <c r="AS1280" i="34"/>
  <c r="AT1320" i="34"/>
  <c r="AJ1519" i="34"/>
  <c r="AF334" i="34"/>
  <c r="AS435" i="34"/>
  <c r="AS556" i="34"/>
  <c r="AF692" i="34"/>
  <c r="AT695" i="34"/>
  <c r="AJ774" i="34"/>
  <c r="AK853" i="34"/>
  <c r="AL853" i="34" s="1"/>
  <c r="AS888" i="34"/>
  <c r="AK895" i="34"/>
  <c r="AL895" i="34" s="1"/>
  <c r="AN895" i="34" s="1"/>
  <c r="AK901" i="34"/>
  <c r="AL901" i="34" s="1"/>
  <c r="AK915" i="34"/>
  <c r="AL915" i="34" s="1"/>
  <c r="AS957" i="34"/>
  <c r="AS1094" i="34"/>
  <c r="AS1106" i="34"/>
  <c r="AS1134" i="34"/>
  <c r="AT1154" i="34"/>
  <c r="AK1227" i="34"/>
  <c r="AL1227" i="34" s="1"/>
  <c r="AM1227" i="34" s="1"/>
  <c r="AV1227" i="34" s="1"/>
  <c r="AH1277" i="34"/>
  <c r="AF1305" i="34"/>
  <c r="AF1307" i="34"/>
  <c r="AH1308" i="34"/>
  <c r="AF1365" i="34"/>
  <c r="AK1416" i="34"/>
  <c r="AL1416" i="34" s="1"/>
  <c r="AJ1518" i="34"/>
  <c r="AF1521" i="34"/>
  <c r="AS24" i="34"/>
  <c r="AF62" i="34"/>
  <c r="AF108" i="34"/>
  <c r="AF151" i="34"/>
  <c r="AS172" i="34"/>
  <c r="AF175" i="34"/>
  <c r="AF189" i="34"/>
  <c r="AF277" i="34"/>
  <c r="AF404" i="34"/>
  <c r="AS407" i="34"/>
  <c r="AF547" i="34"/>
  <c r="AF603" i="34"/>
  <c r="AH725" i="34"/>
  <c r="AS736" i="34"/>
  <c r="AK819" i="34"/>
  <c r="AL819" i="34" s="1"/>
  <c r="AS925" i="34"/>
  <c r="AS978" i="34"/>
  <c r="AT994" i="34"/>
  <c r="AH1117" i="34"/>
  <c r="AF1224" i="34"/>
  <c r="AF1236" i="34"/>
  <c r="AF1537" i="34"/>
  <c r="AF139" i="34"/>
  <c r="AH44" i="34"/>
  <c r="AS104" i="34"/>
  <c r="AS367" i="34"/>
  <c r="AS448" i="34"/>
  <c r="AS545" i="34"/>
  <c r="AK654" i="34"/>
  <c r="AL654" i="34" s="1"/>
  <c r="AS666" i="34"/>
  <c r="AK851" i="34"/>
  <c r="AL851" i="34" s="1"/>
  <c r="AM851" i="34" s="1"/>
  <c r="AV851" i="34" s="1"/>
  <c r="AS862" i="34"/>
  <c r="AS869" i="34"/>
  <c r="AT910" i="34"/>
  <c r="AT919" i="34"/>
  <c r="AS922" i="34"/>
  <c r="AS1011" i="34"/>
  <c r="AS1035" i="34"/>
  <c r="AF1050" i="34"/>
  <c r="AS1084" i="34"/>
  <c r="AH1129" i="34"/>
  <c r="AH1400" i="34"/>
  <c r="AI35" i="34"/>
  <c r="AK35" i="34" s="1"/>
  <c r="AH147" i="34"/>
  <c r="AH371" i="34"/>
  <c r="AS626" i="34"/>
  <c r="AS660" i="34"/>
  <c r="AS721" i="34"/>
  <c r="AH1242" i="34"/>
  <c r="AS1516" i="34"/>
  <c r="AF184" i="34"/>
  <c r="AS444" i="34"/>
  <c r="AS449" i="34"/>
  <c r="AS506" i="34"/>
  <c r="AS533" i="34"/>
  <c r="AS675" i="34"/>
  <c r="AF704" i="34"/>
  <c r="AF907" i="34"/>
  <c r="AF1048" i="34"/>
  <c r="AF1161" i="34"/>
  <c r="AF1163" i="34"/>
  <c r="AF1183" i="34"/>
  <c r="AF1220" i="34"/>
  <c r="AF1324" i="34"/>
  <c r="AT1327" i="34"/>
  <c r="AK1427" i="34"/>
  <c r="AL1427" i="34" s="1"/>
  <c r="AF1460" i="34"/>
  <c r="AI593" i="34"/>
  <c r="AK593" i="34" s="1"/>
  <c r="AL593" i="34" s="1"/>
  <c r="AH593" i="34"/>
  <c r="AT730" i="34"/>
  <c r="AK730" i="34"/>
  <c r="AL730" i="34" s="1"/>
  <c r="AF1046" i="34"/>
  <c r="AS1046" i="34"/>
  <c r="AJ1212" i="34"/>
  <c r="AK1212" i="34"/>
  <c r="AL1212" i="34" s="1"/>
  <c r="AS1442" i="34"/>
  <c r="AF1442" i="34"/>
  <c r="AS1524" i="34"/>
  <c r="AF1524" i="34"/>
  <c r="AK18" i="34"/>
  <c r="AL18" i="34" s="1"/>
  <c r="AH35" i="34"/>
  <c r="AT39" i="34"/>
  <c r="AS119" i="34"/>
  <c r="AK139" i="34"/>
  <c r="AL139" i="34" s="1"/>
  <c r="AF150" i="34"/>
  <c r="AF194" i="34"/>
  <c r="AS234" i="34"/>
  <c r="AS268" i="34"/>
  <c r="AH316" i="34"/>
  <c r="AF370" i="34"/>
  <c r="AF386" i="34"/>
  <c r="AF440" i="34"/>
  <c r="AJ630" i="34"/>
  <c r="AF664" i="34"/>
  <c r="AF958" i="34"/>
  <c r="AS958" i="34"/>
  <c r="AS1078" i="34"/>
  <c r="AF1078" i="34"/>
  <c r="AF1150" i="34"/>
  <c r="AS1150" i="34"/>
  <c r="AK1184" i="34"/>
  <c r="AL1184" i="34" s="1"/>
  <c r="AN1184" i="34" s="1"/>
  <c r="AH1184" i="34"/>
  <c r="AK1458" i="34"/>
  <c r="AL1458" i="34" s="1"/>
  <c r="AJ1458" i="34"/>
  <c r="AF596" i="34"/>
  <c r="AT762" i="34"/>
  <c r="AF772" i="34"/>
  <c r="AS772" i="34"/>
  <c r="AT1111" i="34"/>
  <c r="AH1111" i="34"/>
  <c r="AK1263" i="34"/>
  <c r="AL1263" i="34" s="1"/>
  <c r="AJ1263" i="34"/>
  <c r="AS1295" i="34"/>
  <c r="AF1295" i="34"/>
  <c r="AS1331" i="34"/>
  <c r="AF1331" i="34"/>
  <c r="AS1441" i="34"/>
  <c r="AF1441" i="34"/>
  <c r="AF233" i="34"/>
  <c r="AF317" i="34"/>
  <c r="AF323" i="34"/>
  <c r="AF388" i="34"/>
  <c r="AF457" i="34"/>
  <c r="AF476" i="34"/>
  <c r="AS621" i="34"/>
  <c r="AS986" i="34"/>
  <c r="AF986" i="34"/>
  <c r="AS1440" i="34"/>
  <c r="AF1440" i="34"/>
  <c r="AI46" i="34"/>
  <c r="AF64" i="34"/>
  <c r="AF168" i="34"/>
  <c r="AF183" i="34"/>
  <c r="AJ187" i="34"/>
  <c r="AF201" i="34"/>
  <c r="AK265" i="34"/>
  <c r="AL265" i="34" s="1"/>
  <c r="AS374" i="34"/>
  <c r="AS468" i="34"/>
  <c r="AS524" i="34"/>
  <c r="AF605" i="34"/>
  <c r="AF667" i="34"/>
  <c r="AS667" i="34"/>
  <c r="AF677" i="34"/>
  <c r="AS687" i="34"/>
  <c r="AF687" i="34"/>
  <c r="AS698" i="34"/>
  <c r="AF698" i="34"/>
  <c r="AS770" i="34"/>
  <c r="AS1068" i="34"/>
  <c r="AF1068" i="34"/>
  <c r="AT1136" i="34"/>
  <c r="AH1136" i="34"/>
  <c r="AS1240" i="34"/>
  <c r="AF1240" i="34"/>
  <c r="AS1329" i="34"/>
  <c r="AF1329" i="34"/>
  <c r="AI31" i="34"/>
  <c r="AK31" i="34" s="1"/>
  <c r="AM31" i="34" s="1"/>
  <c r="AV31" i="34" s="1"/>
  <c r="AF38" i="34"/>
  <c r="AS133" i="34"/>
  <c r="AF145" i="34"/>
  <c r="AJ232" i="34"/>
  <c r="AH318" i="34"/>
  <c r="AJ318" i="34" s="1"/>
  <c r="AT370" i="34"/>
  <c r="AF381" i="34"/>
  <c r="AF384" i="34"/>
  <c r="AS491" i="34"/>
  <c r="AF562" i="34"/>
  <c r="AF573" i="34"/>
  <c r="AT604" i="34"/>
  <c r="AF673" i="34"/>
  <c r="AF694" i="34"/>
  <c r="AS715" i="34"/>
  <c r="AT1039" i="34"/>
  <c r="AH1039" i="34"/>
  <c r="AT1135" i="34"/>
  <c r="AH1135" i="34"/>
  <c r="AS1326" i="34"/>
  <c r="AF1326" i="34"/>
  <c r="AS161" i="34"/>
  <c r="AK249" i="34"/>
  <c r="AL249" i="34" s="1"/>
  <c r="AF373" i="34"/>
  <c r="AS413" i="34"/>
  <c r="AS555" i="34"/>
  <c r="AS624" i="34"/>
  <c r="AT646" i="34"/>
  <c r="AK667" i="34"/>
  <c r="AL667" i="34" s="1"/>
  <c r="AF690" i="34"/>
  <c r="AS690" i="34"/>
  <c r="AS705" i="34"/>
  <c r="AF705" i="34"/>
  <c r="AK774" i="34"/>
  <c r="AL774" i="34" s="1"/>
  <c r="AN774" i="34" s="1"/>
  <c r="AS1024" i="34"/>
  <c r="AF1024" i="34"/>
  <c r="AK1025" i="34"/>
  <c r="AL1025" i="34" s="1"/>
  <c r="AJ1025" i="34"/>
  <c r="AS1066" i="34"/>
  <c r="AF1066" i="34"/>
  <c r="AF1146" i="34"/>
  <c r="AS1146" i="34"/>
  <c r="AT1176" i="34"/>
  <c r="AH1176" i="34"/>
  <c r="AS1219" i="34"/>
  <c r="AF1219" i="34"/>
  <c r="AJ1274" i="34"/>
  <c r="AK1274" i="34"/>
  <c r="AL1274" i="34" s="1"/>
  <c r="AS173" i="34"/>
  <c r="AS188" i="34"/>
  <c r="AS366" i="34"/>
  <c r="AF416" i="34"/>
  <c r="AS434" i="34"/>
  <c r="AF437" i="34"/>
  <c r="AF465" i="34"/>
  <c r="AS495" i="34"/>
  <c r="AS496" i="34"/>
  <c r="AF501" i="34"/>
  <c r="AF594" i="34"/>
  <c r="AF691" i="34"/>
  <c r="AH722" i="34"/>
  <c r="AS741" i="34"/>
  <c r="AF823" i="34"/>
  <c r="AS823" i="34"/>
  <c r="AS1218" i="34"/>
  <c r="AF1218" i="34"/>
  <c r="AS1443" i="34"/>
  <c r="AF1443" i="34"/>
  <c r="AS1459" i="34"/>
  <c r="AF1459" i="34"/>
  <c r="AS811" i="34"/>
  <c r="AK817" i="34"/>
  <c r="AL817" i="34" s="1"/>
  <c r="AM817" i="34" s="1"/>
  <c r="AV817" i="34" s="1"/>
  <c r="AS1108" i="34"/>
  <c r="AK1117" i="34"/>
  <c r="AL1117" i="34" s="1"/>
  <c r="AH1148" i="34"/>
  <c r="AK1156" i="34"/>
  <c r="AL1156" i="34" s="1"/>
  <c r="AS1229" i="34"/>
  <c r="AK1272" i="34"/>
  <c r="AL1272" i="34" s="1"/>
  <c r="AS1273" i="34"/>
  <c r="AT1364" i="34"/>
  <c r="AK1404" i="34"/>
  <c r="AL1404" i="34" s="1"/>
  <c r="AK1453" i="34"/>
  <c r="AL1453" i="34" s="1"/>
  <c r="AS1457" i="34"/>
  <c r="AK1477" i="34"/>
  <c r="AL1477" i="34" s="1"/>
  <c r="AS1527" i="34"/>
  <c r="AF1539" i="34"/>
  <c r="AK1145" i="34"/>
  <c r="AL1145" i="34" s="1"/>
  <c r="AK1148" i="34"/>
  <c r="AL1148" i="34" s="1"/>
  <c r="AM1148" i="34" s="1"/>
  <c r="AV1148" i="34" s="1"/>
  <c r="AK1219" i="34"/>
  <c r="AL1219" i="34" s="1"/>
  <c r="AK1331" i="34"/>
  <c r="AL1331" i="34" s="1"/>
  <c r="AK1395" i="34"/>
  <c r="AL1395" i="34" s="1"/>
  <c r="AH1470" i="34"/>
  <c r="AK792" i="34"/>
  <c r="AL792" i="34" s="1"/>
  <c r="AK997" i="34"/>
  <c r="AL997" i="34" s="1"/>
  <c r="AS1000" i="34"/>
  <c r="AS1007" i="34"/>
  <c r="AH1043" i="34"/>
  <c r="AH1152" i="34"/>
  <c r="AK1153" i="34"/>
  <c r="AL1153" i="34" s="1"/>
  <c r="AK673" i="34"/>
  <c r="AL673" i="34" s="1"/>
  <c r="AK777" i="34"/>
  <c r="AL777" i="34" s="1"/>
  <c r="AH882" i="34"/>
  <c r="AT986" i="34"/>
  <c r="AS991" i="34"/>
  <c r="AF1018" i="34"/>
  <c r="AF1056" i="34"/>
  <c r="AK1079" i="34"/>
  <c r="AL1079" i="34" s="1"/>
  <c r="AM1079" i="34" s="1"/>
  <c r="AV1079" i="34" s="1"/>
  <c r="AK1093" i="34"/>
  <c r="AL1093" i="34" s="1"/>
  <c r="AF1096" i="34"/>
  <c r="AH1170" i="34"/>
  <c r="AF1193" i="34"/>
  <c r="AF1201" i="34"/>
  <c r="AH1220" i="34"/>
  <c r="AF1221" i="34"/>
  <c r="AF1243" i="34"/>
  <c r="AF1244" i="34"/>
  <c r="AF1268" i="34"/>
  <c r="AF1338" i="34"/>
  <c r="AF1355" i="34"/>
  <c r="AK1485" i="34"/>
  <c r="AL1485" i="34" s="1"/>
  <c r="AM1485" i="34" s="1"/>
  <c r="AV1485" i="34" s="1"/>
  <c r="AS776" i="34"/>
  <c r="AF784" i="34"/>
  <c r="AF820" i="34"/>
  <c r="AK843" i="34"/>
  <c r="AL843" i="34" s="1"/>
  <c r="AF878" i="34"/>
  <c r="AK910" i="34"/>
  <c r="AF911" i="34"/>
  <c r="AS929" i="34"/>
  <c r="AK932" i="34"/>
  <c r="AL932" i="34" s="1"/>
  <c r="AF979" i="34"/>
  <c r="AK983" i="34"/>
  <c r="AL983" i="34" s="1"/>
  <c r="AM983" i="34" s="1"/>
  <c r="AV983" i="34" s="1"/>
  <c r="AF1040" i="34"/>
  <c r="AK1063" i="34"/>
  <c r="AF1086" i="34"/>
  <c r="AF1088" i="34"/>
  <c r="AK1089" i="34"/>
  <c r="AL1089" i="34" s="1"/>
  <c r="AT1093" i="34"/>
  <c r="AK1096" i="34"/>
  <c r="AF1132" i="34"/>
  <c r="AF1136" i="34"/>
  <c r="AS1178" i="34"/>
  <c r="AF1189" i="34"/>
  <c r="AF1191" i="34"/>
  <c r="AK1200" i="34"/>
  <c r="AL1200" i="34" s="1"/>
  <c r="AN1200" i="34" s="1"/>
  <c r="AS1303" i="34"/>
  <c r="AT1308" i="34"/>
  <c r="AK1350" i="34"/>
  <c r="AL1350" i="34" s="1"/>
  <c r="AM1350" i="34" s="1"/>
  <c r="AV1350" i="34" s="1"/>
  <c r="AF1449" i="34"/>
  <c r="AS1279" i="34"/>
  <c r="AS1356" i="34"/>
  <c r="AS1382" i="34"/>
  <c r="AF845" i="34"/>
  <c r="AK905" i="34"/>
  <c r="AL905" i="34" s="1"/>
  <c r="AF968" i="34"/>
  <c r="AF1033" i="34"/>
  <c r="AF1113" i="34"/>
  <c r="AF1116" i="34"/>
  <c r="AF1123" i="34"/>
  <c r="AF1125" i="34"/>
  <c r="AF1159" i="34"/>
  <c r="AF1226" i="34"/>
  <c r="AF1232" i="34"/>
  <c r="AF1256" i="34"/>
  <c r="AF1316" i="34"/>
  <c r="AS1377" i="34"/>
  <c r="AK1396" i="34"/>
  <c r="AL1396" i="34" s="1"/>
  <c r="AF1530" i="34"/>
  <c r="AS1531" i="34"/>
  <c r="AI202" i="34"/>
  <c r="AK202" i="34" s="1"/>
  <c r="AH202" i="34"/>
  <c r="AT155" i="34"/>
  <c r="AH155" i="34"/>
  <c r="AI163" i="34"/>
  <c r="AK163" i="34" s="1"/>
  <c r="AH163" i="34"/>
  <c r="AI228" i="34"/>
  <c r="AK228" i="34" s="1"/>
  <c r="AH228" i="34"/>
  <c r="AT228" i="34"/>
  <c r="AH131" i="34"/>
  <c r="AT131" i="34"/>
  <c r="AH236" i="34"/>
  <c r="AT236" i="34"/>
  <c r="AH210" i="34"/>
  <c r="AT210" i="34"/>
  <c r="AH186" i="34"/>
  <c r="AT186" i="34"/>
  <c r="AH231" i="34"/>
  <c r="AJ231" i="34" s="1"/>
  <c r="AT231" i="34"/>
  <c r="AF3" i="34"/>
  <c r="AT23" i="34"/>
  <c r="AS45" i="34"/>
  <c r="AK74" i="34"/>
  <c r="AL74" i="34" s="1"/>
  <c r="AK112" i="34"/>
  <c r="AL112" i="34" s="1"/>
  <c r="AS114" i="34"/>
  <c r="AF131" i="34"/>
  <c r="AF135" i="34"/>
  <c r="AF141" i="34"/>
  <c r="AF180" i="34"/>
  <c r="AH183" i="34"/>
  <c r="AH189" i="34"/>
  <c r="AF195" i="34"/>
  <c r="AF199" i="34"/>
  <c r="AH212" i="34"/>
  <c r="AS222" i="34"/>
  <c r="AH224" i="34"/>
  <c r="AJ224" i="34" s="1"/>
  <c r="AF232" i="34"/>
  <c r="AS237" i="34"/>
  <c r="AF241" i="34"/>
  <c r="AS355" i="34"/>
  <c r="AF355" i="34"/>
  <c r="AF460" i="34"/>
  <c r="AS460" i="34"/>
  <c r="AF474" i="34"/>
  <c r="AS474" i="34"/>
  <c r="AF535" i="34"/>
  <c r="AS535" i="34"/>
  <c r="AS577" i="34"/>
  <c r="AF577" i="34"/>
  <c r="AS15" i="34"/>
  <c r="AK66" i="34"/>
  <c r="AL66" i="34" s="1"/>
  <c r="AJ112" i="34"/>
  <c r="AF176" i="34"/>
  <c r="AF202" i="34"/>
  <c r="AF204" i="34"/>
  <c r="AF210" i="34"/>
  <c r="AK212" i="34"/>
  <c r="AL212" i="34" s="1"/>
  <c r="AF230" i="34"/>
  <c r="AF236" i="34"/>
  <c r="AH247" i="34"/>
  <c r="AS340" i="34"/>
  <c r="AF340" i="34"/>
  <c r="AF477" i="34"/>
  <c r="AS477" i="34"/>
  <c r="AS47" i="34"/>
  <c r="AK81" i="34"/>
  <c r="AL81" i="34" s="1"/>
  <c r="AN81" i="34" s="1"/>
  <c r="AJ121" i="34"/>
  <c r="AK135" i="34"/>
  <c r="AL135" i="34" s="1"/>
  <c r="AH176" i="34"/>
  <c r="AS203" i="34"/>
  <c r="AS252" i="34"/>
  <c r="AS387" i="34"/>
  <c r="AF387" i="34"/>
  <c r="AH420" i="34"/>
  <c r="AT420" i="34"/>
  <c r="AS426" i="34"/>
  <c r="AF426" i="34"/>
  <c r="AF453" i="34"/>
  <c r="AS453" i="34"/>
  <c r="AI599" i="34"/>
  <c r="AK599" i="34" s="1"/>
  <c r="AL599" i="34" s="1"/>
  <c r="AH599" i="34"/>
  <c r="AI600" i="34"/>
  <c r="AK600" i="34" s="1"/>
  <c r="AL600" i="34" s="1"/>
  <c r="AT600" i="34"/>
  <c r="AH600" i="34"/>
  <c r="AH630" i="34"/>
  <c r="AT630" i="34"/>
  <c r="AF53" i="34"/>
  <c r="AK70" i="34"/>
  <c r="AL70" i="34" s="1"/>
  <c r="AF110" i="34"/>
  <c r="AJ135" i="34"/>
  <c r="AS146" i="34"/>
  <c r="AF164" i="34"/>
  <c r="AF174" i="34"/>
  <c r="AF181" i="34"/>
  <c r="AF205" i="34"/>
  <c r="AF213" i="34"/>
  <c r="AT224" i="34"/>
  <c r="AH239" i="34"/>
  <c r="AJ239" i="34" s="1"/>
  <c r="AH243" i="34"/>
  <c r="AJ243" i="34" s="1"/>
  <c r="AS249" i="34"/>
  <c r="AT406" i="34"/>
  <c r="AH406" i="34"/>
  <c r="AS516" i="34"/>
  <c r="AF516" i="34"/>
  <c r="AT565" i="34"/>
  <c r="AS296" i="34"/>
  <c r="AF296" i="34"/>
  <c r="AF442" i="34"/>
  <c r="AS442" i="34"/>
  <c r="AS43" i="34"/>
  <c r="AH276" i="34"/>
  <c r="AT276" i="34"/>
  <c r="AS398" i="34"/>
  <c r="AF398" i="34"/>
  <c r="AF511" i="34"/>
  <c r="AS511" i="34"/>
  <c r="AF548" i="34"/>
  <c r="AS548" i="34"/>
  <c r="AK19" i="34"/>
  <c r="AL19" i="34" s="1"/>
  <c r="AT10" i="34"/>
  <c r="AT21" i="34"/>
  <c r="AT31" i="34"/>
  <c r="AF60" i="34"/>
  <c r="AK62" i="34"/>
  <c r="AL62" i="34" s="1"/>
  <c r="AS66" i="34"/>
  <c r="AF102" i="34"/>
  <c r="AF117" i="34"/>
  <c r="AK119" i="34"/>
  <c r="AL119" i="34" s="1"/>
  <c r="AH146" i="34"/>
  <c r="AF148" i="34"/>
  <c r="AF157" i="34"/>
  <c r="AF160" i="34"/>
  <c r="AF178" i="34"/>
  <c r="AH205" i="34"/>
  <c r="AF240" i="34"/>
  <c r="AT250" i="34"/>
  <c r="AK257" i="34"/>
  <c r="AL257" i="34" s="1"/>
  <c r="AS259" i="34"/>
  <c r="AF259" i="34"/>
  <c r="AS376" i="34"/>
  <c r="AF376" i="34"/>
  <c r="AT579" i="34"/>
  <c r="AK579" i="34"/>
  <c r="AL579" i="34" s="1"/>
  <c r="AS14" i="34"/>
  <c r="AT44" i="34"/>
  <c r="AI157" i="34"/>
  <c r="AJ157" i="34" s="1"/>
  <c r="AH203" i="34"/>
  <c r="AJ203" i="34" s="1"/>
  <c r="AT239" i="34"/>
  <c r="AS392" i="34"/>
  <c r="AF392" i="34"/>
  <c r="AF481" i="34"/>
  <c r="AS481" i="34"/>
  <c r="AT525" i="34"/>
  <c r="AH525" i="34"/>
  <c r="AF543" i="34"/>
  <c r="AS543" i="34"/>
  <c r="AK591" i="34"/>
  <c r="AL591" i="34" s="1"/>
  <c r="AH591" i="34"/>
  <c r="AT591" i="34"/>
  <c r="AT650" i="34"/>
  <c r="AH661" i="34"/>
  <c r="AT661" i="34"/>
  <c r="AT682" i="34"/>
  <c r="AH682" i="34"/>
  <c r="AF768" i="34"/>
  <c r="AS768" i="34"/>
  <c r="AS876" i="34"/>
  <c r="AF876" i="34"/>
  <c r="AH1116" i="34"/>
  <c r="AT1116" i="34"/>
  <c r="AT1168" i="34"/>
  <c r="AH1168" i="34"/>
  <c r="AF1225" i="34"/>
  <c r="AS1225" i="34"/>
  <c r="AS1255" i="34"/>
  <c r="AF1255" i="34"/>
  <c r="AS1314" i="34"/>
  <c r="AF1314" i="34"/>
  <c r="AF1374" i="34"/>
  <c r="AS1374" i="34"/>
  <c r="AH1382" i="34"/>
  <c r="AT1382" i="34"/>
  <c r="AS1523" i="34"/>
  <c r="AF1523" i="34"/>
  <c r="AT268" i="34"/>
  <c r="AT318" i="34"/>
  <c r="AK409" i="34"/>
  <c r="AL409" i="34" s="1"/>
  <c r="AS485" i="34"/>
  <c r="AS540" i="34"/>
  <c r="AS551" i="34"/>
  <c r="AF590" i="34"/>
  <c r="AF592" i="34"/>
  <c r="AH595" i="34"/>
  <c r="AJ595" i="34" s="1"/>
  <c r="AF606" i="34"/>
  <c r="AS609" i="34"/>
  <c r="AF629" i="34"/>
  <c r="AH647" i="34"/>
  <c r="AH648" i="34"/>
  <c r="AI755" i="34"/>
  <c r="AT755" i="34"/>
  <c r="AS824" i="34"/>
  <c r="AF824" i="34"/>
  <c r="AF834" i="34"/>
  <c r="AS834" i="34"/>
  <c r="AF900" i="34"/>
  <c r="AS900" i="34"/>
  <c r="AI978" i="34"/>
  <c r="AK978" i="34" s="1"/>
  <c r="AT978" i="34"/>
  <c r="AS1005" i="34"/>
  <c r="AF1005" i="34"/>
  <c r="AT295" i="34"/>
  <c r="AH577" i="34"/>
  <c r="AK648" i="34"/>
  <c r="AL648" i="34" s="1"/>
  <c r="AS653" i="34"/>
  <c r="AF653" i="34"/>
  <c r="AS699" i="34"/>
  <c r="AF699" i="34"/>
  <c r="AI751" i="34"/>
  <c r="AK751" i="34" s="1"/>
  <c r="AL751" i="34" s="1"/>
  <c r="AM751" i="34" s="1"/>
  <c r="AV751" i="34" s="1"/>
  <c r="AT751" i="34"/>
  <c r="AK1032" i="34"/>
  <c r="AL1032" i="34" s="1"/>
  <c r="AH1032" i="34"/>
  <c r="AT1032" i="34"/>
  <c r="AF301" i="34"/>
  <c r="AF400" i="34"/>
  <c r="AS419" i="34"/>
  <c r="AF422" i="34"/>
  <c r="AS430" i="34"/>
  <c r="AF454" i="34"/>
  <c r="AS487" i="34"/>
  <c r="AF499" i="34"/>
  <c r="AS558" i="34"/>
  <c r="AK565" i="34"/>
  <c r="AL565" i="34" s="1"/>
  <c r="AS585" i="34"/>
  <c r="AK587" i="34"/>
  <c r="AL587" i="34" s="1"/>
  <c r="AS641" i="34"/>
  <c r="AK653" i="34"/>
  <c r="AL653" i="34" s="1"/>
  <c r="AS851" i="34"/>
  <c r="AF851" i="34"/>
  <c r="AT967" i="34"/>
  <c r="AH967" i="34"/>
  <c r="AT977" i="34"/>
  <c r="AI977" i="34"/>
  <c r="AK977" i="34" s="1"/>
  <c r="AL977" i="34" s="1"/>
  <c r="AN977" i="34" s="1"/>
  <c r="AH977" i="34"/>
  <c r="AT647" i="34"/>
  <c r="AS652" i="34"/>
  <c r="AS672" i="34"/>
  <c r="AF672" i="34"/>
  <c r="AF908" i="34"/>
  <c r="AS908" i="34"/>
  <c r="AK268" i="34"/>
  <c r="AL268" i="34" s="1"/>
  <c r="AF302" i="34"/>
  <c r="AF328" i="34"/>
  <c r="AF336" i="34"/>
  <c r="AI370" i="34"/>
  <c r="AJ370" i="34" s="1"/>
  <c r="AF375" i="34"/>
  <c r="AF403" i="34"/>
  <c r="AK407" i="34"/>
  <c r="AL407" i="34" s="1"/>
  <c r="AM407" i="34" s="1"/>
  <c r="AV407" i="34" s="1"/>
  <c r="AF447" i="34"/>
  <c r="AS462" i="34"/>
  <c r="AF479" i="34"/>
  <c r="AK534" i="34"/>
  <c r="AL534" i="34" s="1"/>
  <c r="AK569" i="34"/>
  <c r="AL569" i="34" s="1"/>
  <c r="AH597" i="34"/>
  <c r="AJ597" i="34" s="1"/>
  <c r="AS623" i="34"/>
  <c r="AI679" i="34"/>
  <c r="AK679" i="34" s="1"/>
  <c r="AN679" i="34" s="1"/>
  <c r="AH679" i="34"/>
  <c r="AS702" i="34"/>
  <c r="AF702" i="34"/>
  <c r="AF759" i="34"/>
  <c r="AS759" i="34"/>
  <c r="AH820" i="34"/>
  <c r="AT820" i="34"/>
  <c r="AK849" i="34"/>
  <c r="AL849" i="34" s="1"/>
  <c r="AH849" i="34"/>
  <c r="AK871" i="34"/>
  <c r="AL871" i="34" s="1"/>
  <c r="AH871" i="34"/>
  <c r="AT871" i="34"/>
  <c r="AF905" i="34"/>
  <c r="AS905" i="34"/>
  <c r="AS1030" i="34"/>
  <c r="AF1030" i="34"/>
  <c r="AH1045" i="34"/>
  <c r="AT1045" i="34"/>
  <c r="AK658" i="34"/>
  <c r="AL658" i="34" s="1"/>
  <c r="AH658" i="34"/>
  <c r="AT726" i="34"/>
  <c r="AH726" i="34"/>
  <c r="AS740" i="34"/>
  <c r="AF740" i="34"/>
  <c r="AT795" i="34"/>
  <c r="AF904" i="34"/>
  <c r="AS904" i="34"/>
  <c r="AK412" i="34"/>
  <c r="AL412" i="34" s="1"/>
  <c r="AS452" i="34"/>
  <c r="AS470" i="34"/>
  <c r="AS518" i="34"/>
  <c r="AH529" i="34"/>
  <c r="AK553" i="34"/>
  <c r="AL553" i="34" s="1"/>
  <c r="AF589" i="34"/>
  <c r="AT607" i="34"/>
  <c r="AT653" i="34"/>
  <c r="AS668" i="34"/>
  <c r="AF668" i="34"/>
  <c r="AF794" i="34"/>
  <c r="AS794" i="34"/>
  <c r="AF819" i="34"/>
  <c r="AS819" i="34"/>
  <c r="AH853" i="34"/>
  <c r="AH875" i="34"/>
  <c r="AS903" i="34"/>
  <c r="AF903" i="34"/>
  <c r="AJ948" i="34"/>
  <c r="AK948" i="34"/>
  <c r="AL948" i="34" s="1"/>
  <c r="AT1028" i="34"/>
  <c r="AH1028" i="34"/>
  <c r="AS783" i="34"/>
  <c r="AS926" i="34"/>
  <c r="AS954" i="34"/>
  <c r="AK988" i="34"/>
  <c r="AL988" i="34" s="1"/>
  <c r="AT1001" i="34"/>
  <c r="AT1021" i="34"/>
  <c r="AS1027" i="34"/>
  <c r="AS1058" i="34"/>
  <c r="AK1116" i="34"/>
  <c r="AL1116" i="34" s="1"/>
  <c r="AJ1116" i="34"/>
  <c r="AH1150" i="34"/>
  <c r="AT1150" i="34"/>
  <c r="AS1235" i="34"/>
  <c r="AF1235" i="34"/>
  <c r="AI1257" i="34"/>
  <c r="AK1257" i="34" s="1"/>
  <c r="AL1257" i="34" s="1"/>
  <c r="AT1257" i="34"/>
  <c r="AS1373" i="34"/>
  <c r="AF1373" i="34"/>
  <c r="AH667" i="34"/>
  <c r="AF695" i="34"/>
  <c r="AF719" i="34"/>
  <c r="AK725" i="34"/>
  <c r="AL725" i="34" s="1"/>
  <c r="AF747" i="34"/>
  <c r="AH843" i="34"/>
  <c r="AK998" i="34"/>
  <c r="AL998" i="34" s="1"/>
  <c r="AS1060" i="34"/>
  <c r="AT1113" i="34"/>
  <c r="AH1113" i="34"/>
  <c r="AH1223" i="34"/>
  <c r="AT1223" i="34"/>
  <c r="AI1237" i="34"/>
  <c r="AK1237" i="34" s="1"/>
  <c r="AL1237" i="34" s="1"/>
  <c r="AT1237" i="34"/>
  <c r="AS1239" i="34"/>
  <c r="AF1239" i="34"/>
  <c r="AS1248" i="34"/>
  <c r="AF1248" i="34"/>
  <c r="AS1261" i="34"/>
  <c r="AF1261" i="34"/>
  <c r="AK1313" i="34"/>
  <c r="AL1313" i="34" s="1"/>
  <c r="AJ1313" i="34"/>
  <c r="AT1353" i="34"/>
  <c r="AH1353" i="34"/>
  <c r="AS1388" i="34"/>
  <c r="AF1388" i="34"/>
  <c r="AH1466" i="34"/>
  <c r="AT1466" i="34"/>
  <c r="AF656" i="34"/>
  <c r="AF670" i="34"/>
  <c r="AK675" i="34"/>
  <c r="AL675" i="34" s="1"/>
  <c r="AF681" i="34"/>
  <c r="AF713" i="34"/>
  <c r="AT722" i="34"/>
  <c r="AF728" i="34"/>
  <c r="AF760" i="34"/>
  <c r="AK762" i="34"/>
  <c r="AL762" i="34" s="1"/>
  <c r="AF779" i="34"/>
  <c r="AK784" i="34"/>
  <c r="AL784" i="34" s="1"/>
  <c r="AS796" i="34"/>
  <c r="AS809" i="34"/>
  <c r="AF827" i="34"/>
  <c r="AK834" i="34"/>
  <c r="AL834" i="34" s="1"/>
  <c r="AF838" i="34"/>
  <c r="AJ851" i="34"/>
  <c r="AF854" i="34"/>
  <c r="AS858" i="34"/>
  <c r="AF867" i="34"/>
  <c r="AF877" i="34"/>
  <c r="AT898" i="34"/>
  <c r="AJ901" i="34"/>
  <c r="AK924" i="34"/>
  <c r="AL924" i="34" s="1"/>
  <c r="AN924" i="34" s="1"/>
  <c r="AK952" i="34"/>
  <c r="AL952" i="34" s="1"/>
  <c r="AM952" i="34" s="1"/>
  <c r="AV952" i="34" s="1"/>
  <c r="AF964" i="34"/>
  <c r="AF974" i="34"/>
  <c r="AF990" i="34"/>
  <c r="AF1006" i="34"/>
  <c r="AT1041" i="34"/>
  <c r="AH1041" i="34"/>
  <c r="AF1092" i="34"/>
  <c r="AS1234" i="34"/>
  <c r="AF1234" i="34"/>
  <c r="AS1258" i="34"/>
  <c r="AF1258" i="34"/>
  <c r="AS1417" i="34"/>
  <c r="AF1417" i="34"/>
  <c r="AS1534" i="34"/>
  <c r="AF1534" i="34"/>
  <c r="AK652" i="34"/>
  <c r="AL652" i="34" s="1"/>
  <c r="AK656" i="34"/>
  <c r="AL656" i="34" s="1"/>
  <c r="AF663" i="34"/>
  <c r="AJ667" i="34"/>
  <c r="AT680" i="34"/>
  <c r="AF693" i="34"/>
  <c r="AF703" i="34"/>
  <c r="AF707" i="34"/>
  <c r="AF732" i="34"/>
  <c r="AK760" i="34"/>
  <c r="AL760" i="34" s="1"/>
  <c r="AJ762" i="34"/>
  <c r="AT774" i="34"/>
  <c r="AS805" i="34"/>
  <c r="AF825" i="34"/>
  <c r="AS826" i="34"/>
  <c r="AJ843" i="34"/>
  <c r="AF846" i="34"/>
  <c r="AK864" i="34"/>
  <c r="AL864" i="34" s="1"/>
  <c r="AF871" i="34"/>
  <c r="AF892" i="34"/>
  <c r="AK916" i="34"/>
  <c r="AL916" i="34" s="1"/>
  <c r="AF932" i="34"/>
  <c r="AF936" i="34"/>
  <c r="AF940" i="34"/>
  <c r="AF944" i="34"/>
  <c r="AS966" i="34"/>
  <c r="AT988" i="34"/>
  <c r="AH990" i="34"/>
  <c r="AT1107" i="34"/>
  <c r="AH1107" i="34"/>
  <c r="AS1167" i="34"/>
  <c r="AF1167" i="34"/>
  <c r="AT1219" i="34"/>
  <c r="AH1219" i="34"/>
  <c r="AS1238" i="34"/>
  <c r="AF1238" i="34"/>
  <c r="AS1293" i="34"/>
  <c r="AF1293" i="34"/>
  <c r="AK1445" i="34"/>
  <c r="AL1445" i="34" s="1"/>
  <c r="AN1445" i="34" s="1"/>
  <c r="AH1445" i="34"/>
  <c r="AT1445" i="34"/>
  <c r="AF659" i="34"/>
  <c r="AK676" i="34"/>
  <c r="AL676" i="34" s="1"/>
  <c r="AK789" i="34"/>
  <c r="AL789" i="34" s="1"/>
  <c r="AK798" i="34"/>
  <c r="AL798" i="34" s="1"/>
  <c r="AK825" i="34"/>
  <c r="AL825" i="34" s="1"/>
  <c r="AH864" i="34"/>
  <c r="AF884" i="34"/>
  <c r="AS933" i="34"/>
  <c r="AF969" i="34"/>
  <c r="AK1013" i="34"/>
  <c r="AL1013" i="34" s="1"/>
  <c r="AK1051" i="34"/>
  <c r="AL1051" i="34" s="1"/>
  <c r="AT1052" i="34"/>
  <c r="AK1052" i="34"/>
  <c r="AL1052" i="34" s="1"/>
  <c r="AF1082" i="34"/>
  <c r="AS1142" i="34"/>
  <c r="AF1142" i="34"/>
  <c r="AS1233" i="34"/>
  <c r="AF1233" i="34"/>
  <c r="AJ1291" i="34"/>
  <c r="AK1291" i="34"/>
  <c r="AL1291" i="34" s="1"/>
  <c r="AT1313" i="34"/>
  <c r="AH1313" i="34"/>
  <c r="AK1439" i="34"/>
  <c r="AL1439" i="34" s="1"/>
  <c r="AH1439" i="34"/>
  <c r="AK844" i="34"/>
  <c r="AL844" i="34" s="1"/>
  <c r="AS873" i="34"/>
  <c r="AT1030" i="34"/>
  <c r="AH1091" i="34"/>
  <c r="AT1091" i="34"/>
  <c r="AS1318" i="34"/>
  <c r="AF1318" i="34"/>
  <c r="AS1447" i="34"/>
  <c r="AF1447" i="34"/>
  <c r="AH733" i="34"/>
  <c r="AJ733" i="34" s="1"/>
  <c r="AS766" i="34"/>
  <c r="AS803" i="34"/>
  <c r="AJ844" i="34"/>
  <c r="AF847" i="34"/>
  <c r="AK919" i="34"/>
  <c r="AL919" i="34" s="1"/>
  <c r="AN919" i="34" s="1"/>
  <c r="AF920" i="34"/>
  <c r="AF928" i="34"/>
  <c r="AF948" i="34"/>
  <c r="AK976" i="34"/>
  <c r="AL976" i="34" s="1"/>
  <c r="AM976" i="34" s="1"/>
  <c r="AV976" i="34" s="1"/>
  <c r="AK981" i="34"/>
  <c r="AL981" i="34" s="1"/>
  <c r="AF983" i="34"/>
  <c r="AH995" i="34"/>
  <c r="AF998" i="34"/>
  <c r="AF1009" i="34"/>
  <c r="AK1064" i="34"/>
  <c r="AF1076" i="34"/>
  <c r="AT1140" i="34"/>
  <c r="AK1140" i="34"/>
  <c r="AL1140" i="34" s="1"/>
  <c r="AH1140" i="34"/>
  <c r="AS1394" i="34"/>
  <c r="AF1394" i="34"/>
  <c r="AS1475" i="34"/>
  <c r="AF1475" i="34"/>
  <c r="AS1542" i="34"/>
  <c r="AF1542" i="34"/>
  <c r="AK1050" i="34"/>
  <c r="AL1050" i="34" s="1"/>
  <c r="AS1112" i="34"/>
  <c r="AH1125" i="34"/>
  <c r="AT1128" i="34"/>
  <c r="AT1144" i="34"/>
  <c r="AK1164" i="34"/>
  <c r="AL1164" i="34" s="1"/>
  <c r="AS1166" i="34"/>
  <c r="AT1172" i="34"/>
  <c r="AK1206" i="34"/>
  <c r="AL1206" i="34" s="1"/>
  <c r="AH1226" i="34"/>
  <c r="AS1265" i="34"/>
  <c r="AS1267" i="34"/>
  <c r="AS1275" i="34"/>
  <c r="AK1277" i="34"/>
  <c r="AL1277" i="34" s="1"/>
  <c r="AI1294" i="34"/>
  <c r="AK1294" i="34" s="1"/>
  <c r="AL1294" i="34" s="1"/>
  <c r="AS1350" i="34"/>
  <c r="AS1352" i="34"/>
  <c r="AH1396" i="34"/>
  <c r="AK1457" i="34"/>
  <c r="AL1457" i="34" s="1"/>
  <c r="AN1457" i="34" s="1"/>
  <c r="AK1465" i="34"/>
  <c r="AL1465" i="34" s="1"/>
  <c r="AH1510" i="34"/>
  <c r="AK1511" i="34"/>
  <c r="AL1511" i="34" s="1"/>
  <c r="AS1519" i="34"/>
  <c r="AT1166" i="34"/>
  <c r="AK1167" i="34"/>
  <c r="AL1167" i="34" s="1"/>
  <c r="AF1175" i="34"/>
  <c r="AS1223" i="34"/>
  <c r="AT1234" i="34"/>
  <c r="AK1250" i="34"/>
  <c r="AL1250" i="34" s="1"/>
  <c r="AK1297" i="34"/>
  <c r="AL1297" i="34" s="1"/>
  <c r="AF1298" i="34"/>
  <c r="AH1300" i="34"/>
  <c r="AH1302" i="34"/>
  <c r="AH1304" i="34"/>
  <c r="AF1376" i="34"/>
  <c r="AK1438" i="34"/>
  <c r="AL1438" i="34" s="1"/>
  <c r="AN1438" i="34" s="1"/>
  <c r="AS1445" i="34"/>
  <c r="AK1514" i="34"/>
  <c r="AL1514" i="34" s="1"/>
  <c r="AK1529" i="34"/>
  <c r="AL1529" i="34" s="1"/>
  <c r="AK1375" i="34"/>
  <c r="AL1375" i="34" s="1"/>
  <c r="AK1383" i="34"/>
  <c r="AL1383" i="34" s="1"/>
  <c r="AK1305" i="34"/>
  <c r="AL1305" i="34" s="1"/>
  <c r="AN1305" i="34" s="1"/>
  <c r="AF1309" i="34"/>
  <c r="AF1322" i="34"/>
  <c r="AF1337" i="34"/>
  <c r="AK1346" i="34"/>
  <c r="AL1346" i="34" s="1"/>
  <c r="AF1360" i="34"/>
  <c r="AH1366" i="34"/>
  <c r="AJ1366" i="34" s="1"/>
  <c r="AF1367" i="34"/>
  <c r="AF1428" i="34"/>
  <c r="AF1450" i="34"/>
  <c r="AF1451" i="34"/>
  <c r="AF1453" i="34"/>
  <c r="AF1171" i="34"/>
  <c r="AT1178" i="34"/>
  <c r="AF1186" i="34"/>
  <c r="AK1195" i="34"/>
  <c r="AL1195" i="34" s="1"/>
  <c r="AM1195" i="34" s="1"/>
  <c r="AV1195" i="34" s="1"/>
  <c r="AF1288" i="34"/>
  <c r="AT1305" i="34"/>
  <c r="AF1313" i="34"/>
  <c r="AJ1331" i="34"/>
  <c r="AF1357" i="34"/>
  <c r="AT1366" i="34"/>
  <c r="AF1379" i="34"/>
  <c r="AF1412" i="34"/>
  <c r="AS1429" i="34"/>
  <c r="AH1449" i="34"/>
  <c r="AF1454" i="34"/>
  <c r="AF1463" i="34"/>
  <c r="AK1474" i="34"/>
  <c r="AL1474" i="34" s="1"/>
  <c r="AK1478" i="34"/>
  <c r="AL1478" i="34" s="1"/>
  <c r="AF1144" i="34"/>
  <c r="AT1184" i="34"/>
  <c r="AF1187" i="34"/>
  <c r="AK1189" i="34"/>
  <c r="AL1189" i="34" s="1"/>
  <c r="AK1327" i="34"/>
  <c r="AL1327" i="34" s="1"/>
  <c r="AF1341" i="34"/>
  <c r="AS1378" i="34"/>
  <c r="AH1380" i="34"/>
  <c r="AF1381" i="34"/>
  <c r="AS1409" i="34"/>
  <c r="AS1430" i="34"/>
  <c r="AF1432" i="34"/>
  <c r="AS1433" i="34"/>
  <c r="AJ1453" i="34"/>
  <c r="AF1518" i="34"/>
  <c r="AF1109" i="34"/>
  <c r="AF1140" i="34"/>
  <c r="AF1155" i="34"/>
  <c r="AF1245" i="34"/>
  <c r="AF1271" i="34"/>
  <c r="AF1277" i="34"/>
  <c r="AF1285" i="34"/>
  <c r="AS1289" i="34"/>
  <c r="AH1291" i="34"/>
  <c r="AK1333" i="34"/>
  <c r="AL1333" i="34" s="1"/>
  <c r="AS1405" i="34"/>
  <c r="AS1431" i="34"/>
  <c r="AK1462" i="34"/>
  <c r="AL1462" i="34" s="1"/>
  <c r="AS1464" i="34"/>
  <c r="AF1514" i="34"/>
  <c r="AF1517" i="34"/>
  <c r="AH1518" i="34"/>
  <c r="AS1551" i="34"/>
  <c r="AH4" i="34"/>
  <c r="AT4" i="34"/>
  <c r="AK55" i="34"/>
  <c r="AL55" i="34" s="1"/>
  <c r="AT19" i="34"/>
  <c r="AH19" i="34"/>
  <c r="AH93" i="34"/>
  <c r="AT93" i="34"/>
  <c r="AK93" i="34"/>
  <c r="AL93" i="34" s="1"/>
  <c r="AT34" i="34"/>
  <c r="AK34" i="34"/>
  <c r="AL34" i="34" s="1"/>
  <c r="AH55" i="34"/>
  <c r="AT55" i="34"/>
  <c r="AH85" i="34"/>
  <c r="AK85" i="34"/>
  <c r="AL85" i="34" s="1"/>
  <c r="AT85" i="34"/>
  <c r="AI47" i="34"/>
  <c r="AT47" i="34"/>
  <c r="AI154" i="34"/>
  <c r="AH154" i="34"/>
  <c r="AT154" i="34"/>
  <c r="AI108" i="34"/>
  <c r="AK108" i="34" s="1"/>
  <c r="AL108" i="34" s="1"/>
  <c r="AT108" i="34"/>
  <c r="AI51" i="34"/>
  <c r="AK51" i="34" s="1"/>
  <c r="AL51" i="34" s="1"/>
  <c r="AT51" i="34"/>
  <c r="AH100" i="34"/>
  <c r="AK100" i="34"/>
  <c r="AL100" i="34" s="1"/>
  <c r="AT100" i="34"/>
  <c r="AS5" i="34"/>
  <c r="AF11" i="34"/>
  <c r="AF13" i="34"/>
  <c r="AS22" i="34"/>
  <c r="AK23" i="34"/>
  <c r="AL23" i="34" s="1"/>
  <c r="AS26" i="34"/>
  <c r="AI27" i="34"/>
  <c r="AK27" i="34" s="1"/>
  <c r="AL27" i="34" s="1"/>
  <c r="AS28" i="34"/>
  <c r="AF32" i="34"/>
  <c r="AK43" i="34"/>
  <c r="AL43" i="34" s="1"/>
  <c r="AT50" i="34"/>
  <c r="AT54" i="34"/>
  <c r="AF68" i="34"/>
  <c r="AF70" i="34"/>
  <c r="AT70" i="34"/>
  <c r="AF74" i="34"/>
  <c r="AK75" i="34"/>
  <c r="AL75" i="34" s="1"/>
  <c r="AS79" i="34"/>
  <c r="AF81" i="34"/>
  <c r="AK89" i="34"/>
  <c r="AL89" i="34" s="1"/>
  <c r="AF112" i="34"/>
  <c r="AS121" i="34"/>
  <c r="AT127" i="34"/>
  <c r="AF129" i="34"/>
  <c r="AK131" i="34"/>
  <c r="AL131" i="34" s="1"/>
  <c r="AT135" i="34"/>
  <c r="AF137" i="34"/>
  <c r="AF144" i="34"/>
  <c r="AF147" i="34"/>
  <c r="AF149" i="34"/>
  <c r="AK155" i="34"/>
  <c r="AL155" i="34" s="1"/>
  <c r="AJ155" i="34"/>
  <c r="AT169" i="34"/>
  <c r="AH169" i="34"/>
  <c r="AF170" i="34"/>
  <c r="AS170" i="34"/>
  <c r="AH174" i="34"/>
  <c r="AT174" i="34"/>
  <c r="AH177" i="34"/>
  <c r="AJ177" i="34" s="1"/>
  <c r="AK211" i="34"/>
  <c r="AL211" i="34" s="1"/>
  <c r="AI227" i="34"/>
  <c r="AT227" i="34"/>
  <c r="AH227" i="34"/>
  <c r="AI254" i="34"/>
  <c r="AK254" i="34" s="1"/>
  <c r="AH254" i="34"/>
  <c r="AT254" i="34"/>
  <c r="AH265" i="34"/>
  <c r="AT265" i="34"/>
  <c r="AI286" i="34"/>
  <c r="AH286" i="34"/>
  <c r="AH287" i="34"/>
  <c r="AT287" i="34"/>
  <c r="AT74" i="34"/>
  <c r="AT81" i="34"/>
  <c r="AS83" i="34"/>
  <c r="AS98" i="34"/>
  <c r="AT112" i="34"/>
  <c r="AT143" i="34"/>
  <c r="AT151" i="34"/>
  <c r="AH151" i="34"/>
  <c r="AS153" i="34"/>
  <c r="AF153" i="34"/>
  <c r="AT158" i="34"/>
  <c r="AH158" i="34"/>
  <c r="AS162" i="34"/>
  <c r="AF191" i="34"/>
  <c r="AS191" i="34"/>
  <c r="AH244" i="34"/>
  <c r="AJ244" i="34" s="1"/>
  <c r="AT244" i="34"/>
  <c r="AI266" i="34"/>
  <c r="AK266" i="34" s="1"/>
  <c r="AH266" i="34"/>
  <c r="AT266" i="34"/>
  <c r="AI275" i="34"/>
  <c r="AH275" i="34"/>
  <c r="AT275" i="34"/>
  <c r="AI279" i="34"/>
  <c r="AK279" i="34" s="1"/>
  <c r="AL279" i="34" s="1"/>
  <c r="AT279" i="34"/>
  <c r="AH279" i="34"/>
  <c r="AI280" i="34"/>
  <c r="AK280" i="34" s="1"/>
  <c r="AL280" i="34" s="1"/>
  <c r="AH280" i="34"/>
  <c r="AT280" i="34"/>
  <c r="AK383" i="34"/>
  <c r="AL383" i="34" s="1"/>
  <c r="AM383" i="34" s="1"/>
  <c r="AV383" i="34" s="1"/>
  <c r="AH383" i="34"/>
  <c r="AJ19" i="34"/>
  <c r="AF30" i="34"/>
  <c r="AF34" i="34"/>
  <c r="AF37" i="34"/>
  <c r="AJ55" i="34"/>
  <c r="AF57" i="34"/>
  <c r="AH63" i="34"/>
  <c r="AJ63" i="34" s="1"/>
  <c r="AF72" i="34"/>
  <c r="AF76" i="34"/>
  <c r="AF85" i="34"/>
  <c r="AF100" i="34"/>
  <c r="AT119" i="34"/>
  <c r="AJ139" i="34"/>
  <c r="AS142" i="34"/>
  <c r="AH144" i="34"/>
  <c r="AK147" i="34"/>
  <c r="AL147" i="34" s="1"/>
  <c r="AH152" i="34"/>
  <c r="AT152" i="34"/>
  <c r="AF154" i="34"/>
  <c r="AS154" i="34"/>
  <c r="AF156" i="34"/>
  <c r="AI197" i="34"/>
  <c r="AK197" i="34" s="1"/>
  <c r="AH197" i="34"/>
  <c r="AT197" i="34"/>
  <c r="AH270" i="34"/>
  <c r="AT270" i="34"/>
  <c r="AT305" i="34"/>
  <c r="AH305" i="34"/>
  <c r="AK6" i="34"/>
  <c r="AL6" i="34" s="1"/>
  <c r="AK10" i="34"/>
  <c r="AL10" i="34" s="1"/>
  <c r="AN10" i="34" s="1"/>
  <c r="AT33" i="34"/>
  <c r="AS36" i="34"/>
  <c r="AI37" i="34"/>
  <c r="AK37" i="34" s="1"/>
  <c r="AH39" i="34"/>
  <c r="AJ39" i="34" s="1"/>
  <c r="AF41" i="34"/>
  <c r="AH50" i="34"/>
  <c r="AT56" i="34"/>
  <c r="AT62" i="34"/>
  <c r="AJ74" i="34"/>
  <c r="AJ81" i="34"/>
  <c r="AS87" i="34"/>
  <c r="AS106" i="34"/>
  <c r="AS125" i="34"/>
  <c r="AT149" i="34"/>
  <c r="AH149" i="34"/>
  <c r="AT159" i="34"/>
  <c r="AF166" i="34"/>
  <c r="AS167" i="34"/>
  <c r="AF167" i="34"/>
  <c r="AT211" i="34"/>
  <c r="AH211" i="34"/>
  <c r="AH229" i="34"/>
  <c r="AT229" i="34"/>
  <c r="AH2" i="34"/>
  <c r="AS9" i="34"/>
  <c r="AJ10" i="34"/>
  <c r="AH18" i="34"/>
  <c r="AT27" i="34"/>
  <c r="AH46" i="34"/>
  <c r="AS49" i="34"/>
  <c r="AS51" i="34"/>
  <c r="AF89" i="34"/>
  <c r="AK143" i="34"/>
  <c r="AL143" i="34" s="1"/>
  <c r="AK146" i="34"/>
  <c r="AL146" i="34" s="1"/>
  <c r="AN146" i="34" s="1"/>
  <c r="AK151" i="34"/>
  <c r="AL151" i="34" s="1"/>
  <c r="AK158" i="34"/>
  <c r="AL158" i="34" s="1"/>
  <c r="AT163" i="34"/>
  <c r="AS169" i="34"/>
  <c r="AF169" i="34"/>
  <c r="AI170" i="34"/>
  <c r="AH170" i="34"/>
  <c r="AK171" i="34"/>
  <c r="AJ171" i="34"/>
  <c r="AI175" i="34"/>
  <c r="AK175" i="34" s="1"/>
  <c r="AL175" i="34" s="1"/>
  <c r="AH175" i="34"/>
  <c r="AT177" i="34"/>
  <c r="AI178" i="34"/>
  <c r="AH178" i="34"/>
  <c r="AT178" i="34"/>
  <c r="AS179" i="34"/>
  <c r="AF179" i="34"/>
  <c r="AI185" i="34"/>
  <c r="AH185" i="34"/>
  <c r="AT185" i="34"/>
  <c r="AI190" i="34"/>
  <c r="AH190" i="34"/>
  <c r="AT190" i="34"/>
  <c r="AI223" i="34"/>
  <c r="AK223" i="34" s="1"/>
  <c r="AL223" i="34" s="1"/>
  <c r="AT223" i="34"/>
  <c r="AH223" i="34"/>
  <c r="AH257" i="34"/>
  <c r="AT257" i="34"/>
  <c r="AT89" i="34"/>
  <c r="AS91" i="34"/>
  <c r="AS159" i="34"/>
  <c r="AF159" i="34"/>
  <c r="AK191" i="34"/>
  <c r="AJ191" i="34"/>
  <c r="AH206" i="34"/>
  <c r="AT206" i="34"/>
  <c r="AI215" i="34"/>
  <c r="AK215" i="34" s="1"/>
  <c r="AL215" i="34" s="1"/>
  <c r="AT215" i="34"/>
  <c r="AH215" i="34"/>
  <c r="AH216" i="34"/>
  <c r="AJ216" i="34" s="1"/>
  <c r="AT216" i="34"/>
  <c r="AI246" i="34"/>
  <c r="AJ246" i="34" s="1"/>
  <c r="AH246" i="34"/>
  <c r="AT246" i="34"/>
  <c r="AI258" i="34"/>
  <c r="AK258" i="34" s="1"/>
  <c r="AT258" i="34"/>
  <c r="AH258" i="34"/>
  <c r="AT262" i="34"/>
  <c r="AH262" i="34"/>
  <c r="AI271" i="34"/>
  <c r="AK271" i="34" s="1"/>
  <c r="AH271" i="34"/>
  <c r="AT271" i="34"/>
  <c r="AI272" i="34"/>
  <c r="AT272" i="34"/>
  <c r="AH272" i="34"/>
  <c r="AT13" i="34"/>
  <c r="AJ2" i="34"/>
  <c r="AS19" i="34"/>
  <c r="AH33" i="34"/>
  <c r="AJ33" i="34" s="1"/>
  <c r="AT43" i="34"/>
  <c r="AH59" i="34"/>
  <c r="AT63" i="34"/>
  <c r="AF93" i="34"/>
  <c r="AS95" i="34"/>
  <c r="AT104" i="34"/>
  <c r="AT123" i="34"/>
  <c r="AH159" i="34"/>
  <c r="AH161" i="34"/>
  <c r="AT161" i="34"/>
  <c r="AK169" i="34"/>
  <c r="AL169" i="34" s="1"/>
  <c r="AI173" i="34"/>
  <c r="AH173" i="34"/>
  <c r="AT173" i="34"/>
  <c r="AI192" i="34"/>
  <c r="AT192" i="34"/>
  <c r="AH192" i="34"/>
  <c r="AI208" i="34"/>
  <c r="AK208" i="34" s="1"/>
  <c r="AT208" i="34"/>
  <c r="AH208" i="34"/>
  <c r="AI209" i="34"/>
  <c r="AH209" i="34"/>
  <c r="AT209" i="34"/>
  <c r="AH217" i="34"/>
  <c r="AT217" i="34"/>
  <c r="AI235" i="34"/>
  <c r="AK235" i="34" s="1"/>
  <c r="AL235" i="34" s="1"/>
  <c r="AT235" i="34"/>
  <c r="AH235" i="34"/>
  <c r="AT278" i="34"/>
  <c r="AH278" i="34"/>
  <c r="AI284" i="34"/>
  <c r="AK284" i="34" s="1"/>
  <c r="AT284" i="34"/>
  <c r="AI391" i="34"/>
  <c r="AT391" i="34"/>
  <c r="AH391" i="34"/>
  <c r="AH6" i="34"/>
  <c r="AF21" i="34"/>
  <c r="AF29" i="34"/>
  <c r="AF55" i="34"/>
  <c r="AH56" i="34"/>
  <c r="AJ56" i="34" s="1"/>
  <c r="AK59" i="34"/>
  <c r="AL59" i="34" s="1"/>
  <c r="AT66" i="34"/>
  <c r="AH71" i="34"/>
  <c r="AJ71" i="34" s="1"/>
  <c r="AS127" i="34"/>
  <c r="AT142" i="34"/>
  <c r="AH142" i="34"/>
  <c r="AF152" i="34"/>
  <c r="AJ159" i="34"/>
  <c r="AF177" i="34"/>
  <c r="AS177" i="34"/>
  <c r="AI182" i="34"/>
  <c r="AH182" i="34"/>
  <c r="AT182" i="34"/>
  <c r="AK186" i="34"/>
  <c r="AL186" i="34" s="1"/>
  <c r="AJ186" i="34"/>
  <c r="AI219" i="34"/>
  <c r="AK219" i="34" s="1"/>
  <c r="AL219" i="34" s="1"/>
  <c r="AT219" i="34"/>
  <c r="AH219" i="34"/>
  <c r="AI220" i="34"/>
  <c r="AH220" i="34"/>
  <c r="AT220" i="34"/>
  <c r="AH221" i="34"/>
  <c r="AT221" i="34"/>
  <c r="AH225" i="34"/>
  <c r="AT225" i="34"/>
  <c r="AI242" i="34"/>
  <c r="AK242" i="34" s="1"/>
  <c r="AL242" i="34" s="1"/>
  <c r="AH242" i="34"/>
  <c r="AT242" i="34"/>
  <c r="AH248" i="34"/>
  <c r="AT248" i="34"/>
  <c r="AH253" i="34"/>
  <c r="AT253" i="34"/>
  <c r="AK253" i="34"/>
  <c r="AL253" i="34" s="1"/>
  <c r="AI176" i="34"/>
  <c r="AK176" i="34" s="1"/>
  <c r="AL176" i="34" s="1"/>
  <c r="AH181" i="34"/>
  <c r="AJ181" i="34" s="1"/>
  <c r="AJ196" i="34"/>
  <c r="AF206" i="34"/>
  <c r="AS207" i="34"/>
  <c r="AF211" i="34"/>
  <c r="AK213" i="34"/>
  <c r="AL213" i="34" s="1"/>
  <c r="AS214" i="34"/>
  <c r="AF217" i="34"/>
  <c r="AS218" i="34"/>
  <c r="AF223" i="34"/>
  <c r="AF225" i="34"/>
  <c r="AF227" i="34"/>
  <c r="AF229" i="34"/>
  <c r="AK232" i="34"/>
  <c r="AL232" i="34" s="1"/>
  <c r="AH234" i="34"/>
  <c r="AJ234" i="34" s="1"/>
  <c r="AS256" i="34"/>
  <c r="AT261" i="34"/>
  <c r="AF264" i="34"/>
  <c r="AJ265" i="34"/>
  <c r="AS271" i="34"/>
  <c r="AF274" i="34"/>
  <c r="AH312" i="34"/>
  <c r="AF347" i="34"/>
  <c r="AF369" i="34"/>
  <c r="AK371" i="34"/>
  <c r="AL371" i="34" s="1"/>
  <c r="AH373" i="34"/>
  <c r="AF377" i="34"/>
  <c r="AF385" i="34"/>
  <c r="AH389" i="34"/>
  <c r="AF397" i="34"/>
  <c r="AI457" i="34"/>
  <c r="AK457" i="34" s="1"/>
  <c r="AL457" i="34" s="1"/>
  <c r="AT457" i="34"/>
  <c r="AK501" i="34"/>
  <c r="AL501" i="34" s="1"/>
  <c r="AH501" i="34"/>
  <c r="AT501" i="34"/>
  <c r="AH506" i="34"/>
  <c r="AK506" i="34"/>
  <c r="AL506" i="34" s="1"/>
  <c r="AK152" i="34"/>
  <c r="AL152" i="34" s="1"/>
  <c r="AT189" i="34"/>
  <c r="AK221" i="34"/>
  <c r="AL221" i="34" s="1"/>
  <c r="AS226" i="34"/>
  <c r="AS242" i="34"/>
  <c r="AS246" i="34"/>
  <c r="AS248" i="34"/>
  <c r="AK255" i="34"/>
  <c r="AL255" i="34" s="1"/>
  <c r="AK262" i="34"/>
  <c r="AL262" i="34" s="1"/>
  <c r="AS263" i="34"/>
  <c r="AS275" i="34"/>
  <c r="AK281" i="34"/>
  <c r="AL281" i="34" s="1"/>
  <c r="AS282" i="34"/>
  <c r="AH308" i="34"/>
  <c r="AS332" i="34"/>
  <c r="AS351" i="34"/>
  <c r="AT376" i="34"/>
  <c r="AK389" i="34"/>
  <c r="AL389" i="34" s="1"/>
  <c r="AK395" i="34"/>
  <c r="AL395" i="34" s="1"/>
  <c r="AH397" i="34"/>
  <c r="AH542" i="34"/>
  <c r="AT542" i="34"/>
  <c r="AK174" i="34"/>
  <c r="AL174" i="34" s="1"/>
  <c r="AM174" i="34" s="1"/>
  <c r="AV174" i="34" s="1"/>
  <c r="AT198" i="34"/>
  <c r="AK200" i="34"/>
  <c r="AL200" i="34" s="1"/>
  <c r="AT201" i="34"/>
  <c r="AT204" i="34"/>
  <c r="AT240" i="34"/>
  <c r="AS288" i="34"/>
  <c r="AK291" i="34"/>
  <c r="AL291" i="34" s="1"/>
  <c r="AS321" i="34"/>
  <c r="AS378" i="34"/>
  <c r="AS394" i="34"/>
  <c r="AK399" i="34"/>
  <c r="AJ399" i="34"/>
  <c r="AS402" i="34"/>
  <c r="AF402" i="34"/>
  <c r="AK413" i="34"/>
  <c r="AL413" i="34" s="1"/>
  <c r="AN413" i="34" s="1"/>
  <c r="AT413" i="34"/>
  <c r="AS414" i="34"/>
  <c r="AF414" i="34"/>
  <c r="AH502" i="34"/>
  <c r="AK502" i="34"/>
  <c r="AL502" i="34" s="1"/>
  <c r="AT193" i="34"/>
  <c r="AT194" i="34"/>
  <c r="AT230" i="34"/>
  <c r="AT238" i="34"/>
  <c r="AT249" i="34"/>
  <c r="AH250" i="34"/>
  <c r="AJ257" i="34"/>
  <c r="AS260" i="34"/>
  <c r="AF273" i="34"/>
  <c r="AK278" i="34"/>
  <c r="AL278" i="34" s="1"/>
  <c r="AS309" i="34"/>
  <c r="AS313" i="34"/>
  <c r="AH372" i="34"/>
  <c r="AJ372" i="34" s="1"/>
  <c r="AH376" i="34"/>
  <c r="AT386" i="34"/>
  <c r="AH407" i="34"/>
  <c r="AT409" i="34"/>
  <c r="AS418" i="34"/>
  <c r="AF418" i="34"/>
  <c r="AI462" i="34"/>
  <c r="AK462" i="34" s="1"/>
  <c r="AL462" i="34" s="1"/>
  <c r="AH462" i="34"/>
  <c r="AH538" i="34"/>
  <c r="AT538" i="34"/>
  <c r="AJ183" i="34"/>
  <c r="AK189" i="34"/>
  <c r="AH194" i="34"/>
  <c r="AJ194" i="34" s="1"/>
  <c r="AF197" i="34"/>
  <c r="AH198" i="34"/>
  <c r="AJ198" i="34" s="1"/>
  <c r="AH204" i="34"/>
  <c r="AJ204" i="34" s="1"/>
  <c r="AK205" i="34"/>
  <c r="AL205" i="34" s="1"/>
  <c r="AS208" i="34"/>
  <c r="AF209" i="34"/>
  <c r="AJ211" i="34"/>
  <c r="AJ212" i="34"/>
  <c r="AS215" i="34"/>
  <c r="AS219" i="34"/>
  <c r="AK231" i="34"/>
  <c r="AL231" i="34" s="1"/>
  <c r="AN231" i="34" s="1"/>
  <c r="AT232" i="34"/>
  <c r="AT234" i="34"/>
  <c r="AF244" i="34"/>
  <c r="AH249" i="34"/>
  <c r="AF253" i="34"/>
  <c r="AK259" i="34"/>
  <c r="AL259" i="34" s="1"/>
  <c r="AH261" i="34"/>
  <c r="AF265" i="34"/>
  <c r="AS279" i="34"/>
  <c r="AS286" i="34"/>
  <c r="AK287" i="34"/>
  <c r="AL287" i="34" s="1"/>
  <c r="AT289" i="34"/>
  <c r="AK290" i="34"/>
  <c r="AL290" i="34" s="1"/>
  <c r="AM290" i="34" s="1"/>
  <c r="AV290" i="34" s="1"/>
  <c r="AF297" i="34"/>
  <c r="AH299" i="34"/>
  <c r="AF307" i="34"/>
  <c r="AF315" i="34"/>
  <c r="AF319" i="34"/>
  <c r="AK354" i="34"/>
  <c r="AL354" i="34" s="1"/>
  <c r="AF365" i="34"/>
  <c r="AK378" i="34"/>
  <c r="AL378" i="34" s="1"/>
  <c r="AM378" i="34" s="1"/>
  <c r="AV378" i="34" s="1"/>
  <c r="AH386" i="34"/>
  <c r="AF396" i="34"/>
  <c r="AS411" i="34"/>
  <c r="AT181" i="34"/>
  <c r="AT196" i="34"/>
  <c r="AN204" i="34"/>
  <c r="AT213" i="34"/>
  <c r="AT243" i="34"/>
  <c r="AT247" i="34"/>
  <c r="AK273" i="34"/>
  <c r="AL273" i="34" s="1"/>
  <c r="AN273" i="34" s="1"/>
  <c r="AS276" i="34"/>
  <c r="AT296" i="34"/>
  <c r="AS298" i="34"/>
  <c r="AK303" i="34"/>
  <c r="AL303" i="34" s="1"/>
  <c r="AK314" i="34"/>
  <c r="AL314" i="34" s="1"/>
  <c r="AS359" i="34"/>
  <c r="AK368" i="34"/>
  <c r="AL368" i="34" s="1"/>
  <c r="AK375" i="34"/>
  <c r="AL375" i="34" s="1"/>
  <c r="AN375" i="34" s="1"/>
  <c r="AK382" i="34"/>
  <c r="AL382" i="34" s="1"/>
  <c r="AJ386" i="34"/>
  <c r="AT397" i="34"/>
  <c r="AI411" i="34"/>
  <c r="AK411" i="34" s="1"/>
  <c r="AH411" i="34"/>
  <c r="AH561" i="34"/>
  <c r="AT561" i="34"/>
  <c r="AS192" i="34"/>
  <c r="AT200" i="34"/>
  <c r="AK216" i="34"/>
  <c r="AL216" i="34" s="1"/>
  <c r="AK244" i="34"/>
  <c r="AL244" i="34" s="1"/>
  <c r="AS291" i="34"/>
  <c r="AS389" i="34"/>
  <c r="AK417" i="34"/>
  <c r="AL417" i="34" s="1"/>
  <c r="AN417" i="34" s="1"/>
  <c r="AH417" i="34"/>
  <c r="AT417" i="34"/>
  <c r="AI464" i="34"/>
  <c r="AK464" i="34" s="1"/>
  <c r="AL464" i="34" s="1"/>
  <c r="AT464" i="34"/>
  <c r="AH546" i="34"/>
  <c r="AT546" i="34"/>
  <c r="AH193" i="34"/>
  <c r="AN194" i="34"/>
  <c r="AH196" i="34"/>
  <c r="AH201" i="34"/>
  <c r="AT202" i="34"/>
  <c r="AF221" i="34"/>
  <c r="AH230" i="34"/>
  <c r="AH238" i="34"/>
  <c r="AJ238" i="34" s="1"/>
  <c r="AF255" i="34"/>
  <c r="AF257" i="34"/>
  <c r="AF267" i="34"/>
  <c r="AK270" i="34"/>
  <c r="AL270" i="34" s="1"/>
  <c r="AF281" i="34"/>
  <c r="AH291" i="34"/>
  <c r="AH292" i="34"/>
  <c r="AK294" i="34"/>
  <c r="AL294" i="34" s="1"/>
  <c r="AH296" i="34"/>
  <c r="AJ296" i="34" s="1"/>
  <c r="AF304" i="34"/>
  <c r="AF330" i="34"/>
  <c r="AT372" i="34"/>
  <c r="AJ380" i="34"/>
  <c r="AF383" i="34"/>
  <c r="AH399" i="34"/>
  <c r="AF409" i="34"/>
  <c r="AS409" i="34"/>
  <c r="AK453" i="34"/>
  <c r="AL453" i="34" s="1"/>
  <c r="AM453" i="34" s="1"/>
  <c r="AV453" i="34" s="1"/>
  <c r="AT453" i="34"/>
  <c r="AK460" i="34"/>
  <c r="AL460" i="34" s="1"/>
  <c r="AT460" i="34"/>
  <c r="AH557" i="34"/>
  <c r="AT557" i="34"/>
  <c r="AF410" i="34"/>
  <c r="AS427" i="34"/>
  <c r="AF429" i="34"/>
  <c r="AH455" i="34"/>
  <c r="AS458" i="34"/>
  <c r="AF469" i="34"/>
  <c r="AJ477" i="34"/>
  <c r="AF483" i="34"/>
  <c r="AF512" i="34"/>
  <c r="AS514" i="34"/>
  <c r="AI517" i="34"/>
  <c r="AK517" i="34" s="1"/>
  <c r="AL517" i="34" s="1"/>
  <c r="AK525" i="34"/>
  <c r="AS528" i="34"/>
  <c r="AS549" i="34"/>
  <c r="AS552" i="34"/>
  <c r="AF554" i="34"/>
  <c r="AS559" i="34"/>
  <c r="AK560" i="34"/>
  <c r="AL560" i="34" s="1"/>
  <c r="AM560" i="34" s="1"/>
  <c r="AV560" i="34" s="1"/>
  <c r="AT575" i="34"/>
  <c r="AH576" i="34"/>
  <c r="AI603" i="34"/>
  <c r="AK603" i="34" s="1"/>
  <c r="AL603" i="34" s="1"/>
  <c r="AH603" i="34"/>
  <c r="AT603" i="34"/>
  <c r="AT616" i="34"/>
  <c r="AH616" i="34"/>
  <c r="AK686" i="34"/>
  <c r="AL686" i="34" s="1"/>
  <c r="AT686" i="34"/>
  <c r="AH686" i="34"/>
  <c r="AI690" i="34"/>
  <c r="AK690" i="34" s="1"/>
  <c r="AL690" i="34" s="1"/>
  <c r="AM690" i="34" s="1"/>
  <c r="AV690" i="34" s="1"/>
  <c r="AT690" i="34"/>
  <c r="AH690" i="34"/>
  <c r="AI720" i="34"/>
  <c r="AT720" i="34"/>
  <c r="AH720" i="34"/>
  <c r="AK498" i="34"/>
  <c r="AL498" i="34" s="1"/>
  <c r="AK507" i="34"/>
  <c r="AL507" i="34" s="1"/>
  <c r="AK513" i="34"/>
  <c r="AL513" i="34" s="1"/>
  <c r="AH533" i="34"/>
  <c r="AS536" i="34"/>
  <c r="AH540" i="34"/>
  <c r="AS541" i="34"/>
  <c r="AT553" i="34"/>
  <c r="AK557" i="34"/>
  <c r="AL557" i="34" s="1"/>
  <c r="AN557" i="34" s="1"/>
  <c r="AF583" i="34"/>
  <c r="AS583" i="34"/>
  <c r="AI590" i="34"/>
  <c r="AK590" i="34" s="1"/>
  <c r="AL590" i="34" s="1"/>
  <c r="AT590" i="34"/>
  <c r="AH590" i="34"/>
  <c r="AI592" i="34"/>
  <c r="AK592" i="34" s="1"/>
  <c r="AL592" i="34" s="1"/>
  <c r="AH592" i="34"/>
  <c r="AT592" i="34"/>
  <c r="AK415" i="34"/>
  <c r="AL415" i="34" s="1"/>
  <c r="AS431" i="34"/>
  <c r="AF433" i="34"/>
  <c r="AH448" i="34"/>
  <c r="AJ448" i="34" s="1"/>
  <c r="AH458" i="34"/>
  <c r="AS489" i="34"/>
  <c r="AS493" i="34"/>
  <c r="AS532" i="34"/>
  <c r="AT534" i="34"/>
  <c r="AS539" i="34"/>
  <c r="AS544" i="34"/>
  <c r="AT550" i="34"/>
  <c r="AH596" i="34"/>
  <c r="AT596" i="34"/>
  <c r="AK615" i="34"/>
  <c r="AL615" i="34" s="1"/>
  <c r="AK694" i="34"/>
  <c r="AL694" i="34" s="1"/>
  <c r="AM694" i="34" s="1"/>
  <c r="AV694" i="34" s="1"/>
  <c r="AT694" i="34"/>
  <c r="AH694" i="34"/>
  <c r="AK403" i="34"/>
  <c r="AL403" i="34" s="1"/>
  <c r="AF421" i="34"/>
  <c r="AS438" i="34"/>
  <c r="AS455" i="34"/>
  <c r="AS466" i="34"/>
  <c r="AK478" i="34"/>
  <c r="AL478" i="34" s="1"/>
  <c r="AS510" i="34"/>
  <c r="AS564" i="34"/>
  <c r="AS570" i="34"/>
  <c r="AH575" i="34"/>
  <c r="AS587" i="34"/>
  <c r="AS441" i="34"/>
  <c r="AS464" i="34"/>
  <c r="AS472" i="34"/>
  <c r="AK508" i="34"/>
  <c r="AL508" i="34" s="1"/>
  <c r="AN508" i="34" s="1"/>
  <c r="AS513" i="34"/>
  <c r="AH521" i="34"/>
  <c r="AS537" i="34"/>
  <c r="AS560" i="34"/>
  <c r="AK561" i="34"/>
  <c r="AL561" i="34" s="1"/>
  <c r="AF566" i="34"/>
  <c r="AS566" i="34"/>
  <c r="AK568" i="34"/>
  <c r="AL568" i="34" s="1"/>
  <c r="AM568" i="34" s="1"/>
  <c r="AV568" i="34" s="1"/>
  <c r="AH664" i="34"/>
  <c r="AT664" i="34"/>
  <c r="AF451" i="34"/>
  <c r="AK454" i="34"/>
  <c r="AL454" i="34" s="1"/>
  <c r="AK458" i="34"/>
  <c r="AL458" i="34" s="1"/>
  <c r="AS500" i="34"/>
  <c r="AF563" i="34"/>
  <c r="AS563" i="34"/>
  <c r="AS574" i="34"/>
  <c r="AF574" i="34"/>
  <c r="AK660" i="34"/>
  <c r="AL660" i="34" s="1"/>
  <c r="AT660" i="34"/>
  <c r="AH660" i="34"/>
  <c r="AK669" i="34"/>
  <c r="AL669" i="34" s="1"/>
  <c r="AH669" i="34"/>
  <c r="AT669" i="34"/>
  <c r="AT711" i="34"/>
  <c r="AH711" i="34"/>
  <c r="AH759" i="34"/>
  <c r="AT759" i="34"/>
  <c r="AS517" i="34"/>
  <c r="AS576" i="34"/>
  <c r="AF576" i="34"/>
  <c r="AK577" i="34"/>
  <c r="AL577" i="34" s="1"/>
  <c r="AJ577" i="34"/>
  <c r="AI601" i="34"/>
  <c r="AK601" i="34" s="1"/>
  <c r="AH601" i="34"/>
  <c r="AT424" i="34"/>
  <c r="AT446" i="34"/>
  <c r="AF461" i="34"/>
  <c r="AH466" i="34"/>
  <c r="AJ466" i="34" s="1"/>
  <c r="AH513" i="34"/>
  <c r="AJ513" i="34" s="1"/>
  <c r="AJ574" i="34"/>
  <c r="AS591" i="34"/>
  <c r="AF591" i="34"/>
  <c r="AT622" i="34"/>
  <c r="AH622" i="34"/>
  <c r="AI622" i="34"/>
  <c r="AK622" i="34" s="1"/>
  <c r="AL622" i="34" s="1"/>
  <c r="AT652" i="34"/>
  <c r="AH652" i="34"/>
  <c r="AH656" i="34"/>
  <c r="AT656" i="34"/>
  <c r="AK681" i="34"/>
  <c r="AL681" i="34" s="1"/>
  <c r="AN681" i="34" s="1"/>
  <c r="AH681" i="34"/>
  <c r="AT681" i="34"/>
  <c r="AF593" i="34"/>
  <c r="AF595" i="34"/>
  <c r="AK596" i="34"/>
  <c r="AL596" i="34" s="1"/>
  <c r="AS597" i="34"/>
  <c r="AS599" i="34"/>
  <c r="AF600" i="34"/>
  <c r="AF602" i="34"/>
  <c r="AI608" i="34"/>
  <c r="AJ608" i="34" s="1"/>
  <c r="AK619" i="34"/>
  <c r="AL619" i="34" s="1"/>
  <c r="AS625" i="34"/>
  <c r="AF630" i="34"/>
  <c r="AK662" i="34"/>
  <c r="AL662" i="34" s="1"/>
  <c r="AT662" i="34"/>
  <c r="AT663" i="34"/>
  <c r="AH663" i="34"/>
  <c r="AS665" i="34"/>
  <c r="AF665" i="34"/>
  <c r="AI698" i="34"/>
  <c r="AK698" i="34" s="1"/>
  <c r="AH698" i="34"/>
  <c r="AT698" i="34"/>
  <c r="AJ724" i="34"/>
  <c r="AK724" i="34"/>
  <c r="AL724" i="34" s="1"/>
  <c r="AN724" i="34" s="1"/>
  <c r="AJ741" i="34"/>
  <c r="AK741" i="34"/>
  <c r="AL741" i="34" s="1"/>
  <c r="AS763" i="34"/>
  <c r="AF763" i="34"/>
  <c r="AT783" i="34"/>
  <c r="AK576" i="34"/>
  <c r="AL576" i="34" s="1"/>
  <c r="AJ596" i="34"/>
  <c r="AT599" i="34"/>
  <c r="AF604" i="34"/>
  <c r="AH605" i="34"/>
  <c r="AF607" i="34"/>
  <c r="AT629" i="34"/>
  <c r="AK650" i="34"/>
  <c r="AL650" i="34" s="1"/>
  <c r="AS657" i="34"/>
  <c r="AF657" i="34"/>
  <c r="AH662" i="34"/>
  <c r="AH671" i="34"/>
  <c r="AT671" i="34"/>
  <c r="AF674" i="34"/>
  <c r="AK677" i="34"/>
  <c r="AL677" i="34" s="1"/>
  <c r="AH677" i="34"/>
  <c r="AS678" i="34"/>
  <c r="AF678" i="34"/>
  <c r="AS697" i="34"/>
  <c r="AF697" i="34"/>
  <c r="AS700" i="34"/>
  <c r="AF700" i="34"/>
  <c r="AS722" i="34"/>
  <c r="AF722" i="34"/>
  <c r="AS734" i="34"/>
  <c r="AF734" i="34"/>
  <c r="AS743" i="34"/>
  <c r="AF753" i="34"/>
  <c r="AF764" i="34"/>
  <c r="AS764" i="34"/>
  <c r="AK605" i="34"/>
  <c r="AL605" i="34" s="1"/>
  <c r="AK611" i="34"/>
  <c r="AL611" i="34" s="1"/>
  <c r="AK627" i="34"/>
  <c r="AL627" i="34" s="1"/>
  <c r="AN627" i="34" s="1"/>
  <c r="AS684" i="34"/>
  <c r="AF684" i="34"/>
  <c r="AI702" i="34"/>
  <c r="AH702" i="34"/>
  <c r="AS710" i="34"/>
  <c r="AF710" i="34"/>
  <c r="AK713" i="34"/>
  <c r="AJ713" i="34"/>
  <c r="AS714" i="34"/>
  <c r="AF714" i="34"/>
  <c r="AF762" i="34"/>
  <c r="AS762" i="34"/>
  <c r="AF774" i="34"/>
  <c r="AS774" i="34"/>
  <c r="AF785" i="34"/>
  <c r="AS785" i="34"/>
  <c r="AF896" i="34"/>
  <c r="AS896" i="34"/>
  <c r="AK1126" i="34"/>
  <c r="AL1126" i="34" s="1"/>
  <c r="AJ1126" i="34"/>
  <c r="AT1131" i="34"/>
  <c r="AH1131" i="34"/>
  <c r="AS579" i="34"/>
  <c r="AJ605" i="34"/>
  <c r="AH607" i="34"/>
  <c r="AJ611" i="34"/>
  <c r="AS622" i="34"/>
  <c r="AK623" i="34"/>
  <c r="AL623" i="34" s="1"/>
  <c r="AJ627" i="34"/>
  <c r="AS643" i="34"/>
  <c r="AF647" i="34"/>
  <c r="AF648" i="34"/>
  <c r="AF649" i="34"/>
  <c r="AJ652" i="34"/>
  <c r="AF661" i="34"/>
  <c r="AH672" i="34"/>
  <c r="AT672" i="34"/>
  <c r="AT677" i="34"/>
  <c r="AI683" i="34"/>
  <c r="AT683" i="34"/>
  <c r="AF689" i="34"/>
  <c r="AT696" i="34"/>
  <c r="AI718" i="34"/>
  <c r="AK718" i="34" s="1"/>
  <c r="AT718" i="34"/>
  <c r="AH719" i="34"/>
  <c r="AT721" i="34"/>
  <c r="AH721" i="34"/>
  <c r="AJ722" i="34"/>
  <c r="AK722" i="34"/>
  <c r="AS729" i="34"/>
  <c r="AF729" i="34"/>
  <c r="AT733" i="34"/>
  <c r="AH741" i="34"/>
  <c r="AT741" i="34"/>
  <c r="AF757" i="34"/>
  <c r="AK759" i="34"/>
  <c r="AL759" i="34" s="1"/>
  <c r="AM759" i="34" s="1"/>
  <c r="AV759" i="34" s="1"/>
  <c r="AS568" i="34"/>
  <c r="AK604" i="34"/>
  <c r="AL604" i="34" s="1"/>
  <c r="AK629" i="34"/>
  <c r="AL629" i="34" s="1"/>
  <c r="AS650" i="34"/>
  <c r="AK664" i="34"/>
  <c r="AL664" i="34" s="1"/>
  <c r="AS669" i="34"/>
  <c r="AT675" i="34"/>
  <c r="AS685" i="34"/>
  <c r="AF685" i="34"/>
  <c r="AI688" i="34"/>
  <c r="AK688" i="34" s="1"/>
  <c r="AL688" i="34" s="1"/>
  <c r="AT688" i="34"/>
  <c r="AS688" i="34"/>
  <c r="AS696" i="34"/>
  <c r="AF696" i="34"/>
  <c r="AI704" i="34"/>
  <c r="AJ704" i="34" s="1"/>
  <c r="AH704" i="34"/>
  <c r="AT709" i="34"/>
  <c r="AT713" i="34"/>
  <c r="AK726" i="34"/>
  <c r="AL726" i="34" s="1"/>
  <c r="AS737" i="34"/>
  <c r="AK747" i="34"/>
  <c r="AN747" i="34" s="1"/>
  <c r="AJ747" i="34"/>
  <c r="AS749" i="34"/>
  <c r="AF751" i="34"/>
  <c r="AS751" i="34"/>
  <c r="AF755" i="34"/>
  <c r="AS755" i="34"/>
  <c r="AS761" i="34"/>
  <c r="AT793" i="34"/>
  <c r="AH793" i="34"/>
  <c r="AS617" i="34"/>
  <c r="AF635" i="34"/>
  <c r="AS635" i="34"/>
  <c r="AK651" i="34"/>
  <c r="AL651" i="34" s="1"/>
  <c r="AJ651" i="34"/>
  <c r="AS658" i="34"/>
  <c r="AH673" i="34"/>
  <c r="AS680" i="34"/>
  <c r="AF680" i="34"/>
  <c r="AS682" i="34"/>
  <c r="AF682" i="34"/>
  <c r="AI685" i="34"/>
  <c r="AK685" i="34" s="1"/>
  <c r="AT685" i="34"/>
  <c r="AK700" i="34"/>
  <c r="AL700" i="34" s="1"/>
  <c r="AT700" i="34"/>
  <c r="AS701" i="34"/>
  <c r="AF701" i="34"/>
  <c r="AS724" i="34"/>
  <c r="AS730" i="34"/>
  <c r="AF730" i="34"/>
  <c r="AT735" i="34"/>
  <c r="AH735" i="34"/>
  <c r="AJ743" i="34"/>
  <c r="AH766" i="34"/>
  <c r="AK766" i="34"/>
  <c r="AL766" i="34" s="1"/>
  <c r="AH770" i="34"/>
  <c r="AJ770" i="34" s="1"/>
  <c r="AT770" i="34"/>
  <c r="AF771" i="34"/>
  <c r="AK559" i="34"/>
  <c r="AL559" i="34" s="1"/>
  <c r="AN559" i="34" s="1"/>
  <c r="AS567" i="34"/>
  <c r="AT595" i="34"/>
  <c r="AF608" i="34"/>
  <c r="AS616" i="34"/>
  <c r="AS631" i="34"/>
  <c r="AS639" i="34"/>
  <c r="AS645" i="34"/>
  <c r="AF654" i="34"/>
  <c r="AF655" i="34"/>
  <c r="AT658" i="34"/>
  <c r="AH659" i="34"/>
  <c r="AS662" i="34"/>
  <c r="AK663" i="34"/>
  <c r="AL663" i="34" s="1"/>
  <c r="AI666" i="34"/>
  <c r="AK666" i="34" s="1"/>
  <c r="AT666" i="34"/>
  <c r="AJ675" i="34"/>
  <c r="AH676" i="34"/>
  <c r="AT676" i="34"/>
  <c r="AK680" i="34"/>
  <c r="AL680" i="34" s="1"/>
  <c r="AJ680" i="34"/>
  <c r="AH685" i="34"/>
  <c r="AK692" i="34"/>
  <c r="AL692" i="34" s="1"/>
  <c r="AT692" i="34"/>
  <c r="AH696" i="34"/>
  <c r="AI705" i="34"/>
  <c r="AT705" i="34"/>
  <c r="AF708" i="34"/>
  <c r="AF717" i="34"/>
  <c r="AK740" i="34"/>
  <c r="AL740" i="34" s="1"/>
  <c r="AJ740" i="34"/>
  <c r="AT750" i="34"/>
  <c r="AH750" i="34"/>
  <c r="AT654" i="34"/>
  <c r="AK659" i="34"/>
  <c r="AL659" i="34" s="1"/>
  <c r="AK682" i="34"/>
  <c r="AL682" i="34" s="1"/>
  <c r="AJ682" i="34"/>
  <c r="AS683" i="34"/>
  <c r="AF683" i="34"/>
  <c r="AT702" i="34"/>
  <c r="AT707" i="34"/>
  <c r="AH707" i="34"/>
  <c r="AJ736" i="34"/>
  <c r="AK736" i="34"/>
  <c r="AL736" i="34" s="1"/>
  <c r="AN736" i="34" s="1"/>
  <c r="AF744" i="34"/>
  <c r="AS744" i="34"/>
  <c r="AS775" i="34"/>
  <c r="AF775" i="34"/>
  <c r="AS850" i="34"/>
  <c r="AF850" i="34"/>
  <c r="AS865" i="34"/>
  <c r="AF865" i="34"/>
  <c r="AH879" i="34"/>
  <c r="AI879" i="34"/>
  <c r="AK879" i="34" s="1"/>
  <c r="AL879" i="34" s="1"/>
  <c r="AT879" i="34"/>
  <c r="AS889" i="34"/>
  <c r="AF889" i="34"/>
  <c r="AS924" i="34"/>
  <c r="AF924" i="34"/>
  <c r="AK1004" i="34"/>
  <c r="AL1004" i="34" s="1"/>
  <c r="AM1004" i="34" s="1"/>
  <c r="AV1004" i="34" s="1"/>
  <c r="AT1004" i="34"/>
  <c r="AH1004" i="34"/>
  <c r="AS1257" i="34"/>
  <c r="AF1257" i="34"/>
  <c r="AK1264" i="34"/>
  <c r="AL1264" i="34" s="1"/>
  <c r="AJ1264" i="34"/>
  <c r="AJ1267" i="34"/>
  <c r="AK1267" i="34"/>
  <c r="AL1267" i="34" s="1"/>
  <c r="AK1275" i="34"/>
  <c r="AL1275" i="34" s="1"/>
  <c r="AJ1275" i="34"/>
  <c r="AH1292" i="34"/>
  <c r="AT1292" i="34"/>
  <c r="AK796" i="34"/>
  <c r="AL796" i="34" s="1"/>
  <c r="AJ798" i="34"/>
  <c r="AF807" i="34"/>
  <c r="AS807" i="34"/>
  <c r="AI828" i="34"/>
  <c r="AK828" i="34" s="1"/>
  <c r="AH828" i="34"/>
  <c r="AT828" i="34"/>
  <c r="AI839" i="34"/>
  <c r="AK839" i="34" s="1"/>
  <c r="AH839" i="34"/>
  <c r="AT839" i="34"/>
  <c r="AK841" i="34"/>
  <c r="AL841" i="34" s="1"/>
  <c r="AH841" i="34"/>
  <c r="AT841" i="34"/>
  <c r="AH855" i="34"/>
  <c r="AT855" i="34"/>
  <c r="AT923" i="34"/>
  <c r="AH923" i="34"/>
  <c r="AT935" i="34"/>
  <c r="AK935" i="34"/>
  <c r="AL935" i="34" s="1"/>
  <c r="AH935" i="34"/>
  <c r="AS987" i="34"/>
  <c r="AF987" i="34"/>
  <c r="AS1250" i="34"/>
  <c r="AF1250" i="34"/>
  <c r="AK826" i="34"/>
  <c r="AL826" i="34" s="1"/>
  <c r="AH826" i="34"/>
  <c r="AT826" i="34"/>
  <c r="AI847" i="34"/>
  <c r="AK847" i="34" s="1"/>
  <c r="AT847" i="34"/>
  <c r="AH847" i="34"/>
  <c r="AS895" i="34"/>
  <c r="AF895" i="34"/>
  <c r="AT1072" i="34"/>
  <c r="AK1072" i="34"/>
  <c r="AH1124" i="34"/>
  <c r="AT1124" i="34"/>
  <c r="AS679" i="34"/>
  <c r="AK689" i="34"/>
  <c r="AL689" i="34" s="1"/>
  <c r="AK695" i="34"/>
  <c r="AL695" i="34" s="1"/>
  <c r="AN695" i="34" s="1"/>
  <c r="AS709" i="34"/>
  <c r="AS711" i="34"/>
  <c r="AT724" i="34"/>
  <c r="AK778" i="34"/>
  <c r="AL778" i="34" s="1"/>
  <c r="AN778" i="34" s="1"/>
  <c r="AT791" i="34"/>
  <c r="AH797" i="34"/>
  <c r="AK801" i="34"/>
  <c r="AL801" i="34" s="1"/>
  <c r="AI845" i="34"/>
  <c r="AK845" i="34" s="1"/>
  <c r="AL845" i="34" s="1"/>
  <c r="AT845" i="34"/>
  <c r="AH845" i="34"/>
  <c r="AJ906" i="34"/>
  <c r="AK906" i="34"/>
  <c r="AL906" i="34" s="1"/>
  <c r="AM906" i="34" s="1"/>
  <c r="AV906" i="34" s="1"/>
  <c r="AT927" i="34"/>
  <c r="AK927" i="34"/>
  <c r="AL927" i="34" s="1"/>
  <c r="AH927" i="34"/>
  <c r="AT955" i="34"/>
  <c r="AK955" i="34"/>
  <c r="AL955" i="34" s="1"/>
  <c r="AH955" i="34"/>
  <c r="AT851" i="34"/>
  <c r="AH851" i="34"/>
  <c r="AK943" i="34"/>
  <c r="AL943" i="34" s="1"/>
  <c r="AT943" i="34"/>
  <c r="AH943" i="34"/>
  <c r="AT951" i="34"/>
  <c r="AH951" i="34"/>
  <c r="AK951" i="34"/>
  <c r="AL951" i="34" s="1"/>
  <c r="AS970" i="34"/>
  <c r="AF970" i="34"/>
  <c r="AF790" i="34"/>
  <c r="AS790" i="34"/>
  <c r="AJ809" i="34"/>
  <c r="AK809" i="34"/>
  <c r="AL809" i="34" s="1"/>
  <c r="AK855" i="34"/>
  <c r="AL855" i="34" s="1"/>
  <c r="AJ855" i="34"/>
  <c r="AS880" i="34"/>
  <c r="AF880" i="34"/>
  <c r="AH902" i="34"/>
  <c r="AT902" i="34"/>
  <c r="AK902" i="34"/>
  <c r="AL902" i="34" s="1"/>
  <c r="AJ940" i="34"/>
  <c r="AK940" i="34"/>
  <c r="AL940" i="34" s="1"/>
  <c r="AI1104" i="34"/>
  <c r="AK1104" i="34" s="1"/>
  <c r="AT1104" i="34"/>
  <c r="AH1104" i="34"/>
  <c r="AK661" i="34"/>
  <c r="AL661" i="34" s="1"/>
  <c r="AJ672" i="34"/>
  <c r="AF676" i="34"/>
  <c r="AF720" i="34"/>
  <c r="AF752" i="34"/>
  <c r="AF756" i="34"/>
  <c r="AK770" i="34"/>
  <c r="AL770" i="34" s="1"/>
  <c r="AJ813" i="34"/>
  <c r="AK813" i="34"/>
  <c r="AL813" i="34" s="1"/>
  <c r="AN813" i="34" s="1"/>
  <c r="AF832" i="34"/>
  <c r="AS832" i="34"/>
  <c r="AH877" i="34"/>
  <c r="AK877" i="34"/>
  <c r="AL877" i="34" s="1"/>
  <c r="AS801" i="34"/>
  <c r="AS830" i="34"/>
  <c r="AS836" i="34"/>
  <c r="AK838" i="34"/>
  <c r="AL838" i="34" s="1"/>
  <c r="AN838" i="34" s="1"/>
  <c r="AT853" i="34"/>
  <c r="AS866" i="34"/>
  <c r="AK878" i="34"/>
  <c r="AL878" i="34" s="1"/>
  <c r="AK882" i="34"/>
  <c r="AL882" i="34" s="1"/>
  <c r="AJ882" i="34"/>
  <c r="AS885" i="34"/>
  <c r="AF885" i="34"/>
  <c r="AF890" i="34"/>
  <c r="AS890" i="34"/>
  <c r="AF901" i="34"/>
  <c r="AS901" i="34"/>
  <c r="AJ911" i="34"/>
  <c r="AK911" i="34"/>
  <c r="AL911" i="34" s="1"/>
  <c r="AS942" i="34"/>
  <c r="AS952" i="34"/>
  <c r="AF952" i="34"/>
  <c r="AH982" i="34"/>
  <c r="AT982" i="34"/>
  <c r="AK1080" i="34"/>
  <c r="AL1080" i="34" s="1"/>
  <c r="AJ1080" i="34"/>
  <c r="AT1084" i="34"/>
  <c r="AK1084" i="34"/>
  <c r="AL1084" i="34" s="1"/>
  <c r="AT1088" i="34"/>
  <c r="AH1088" i="34"/>
  <c r="AS1119" i="34"/>
  <c r="AF1119" i="34"/>
  <c r="AH1130" i="34"/>
  <c r="AT1130" i="34"/>
  <c r="AS1158" i="34"/>
  <c r="AF1158" i="34"/>
  <c r="AK786" i="34"/>
  <c r="AL786" i="34" s="1"/>
  <c r="AS817" i="34"/>
  <c r="AS828" i="34"/>
  <c r="AJ838" i="34"/>
  <c r="AS839" i="34"/>
  <c r="AF840" i="34"/>
  <c r="AF843" i="34"/>
  <c r="AF844" i="34"/>
  <c r="AF849" i="34"/>
  <c r="AT849" i="34"/>
  <c r="AF853" i="34"/>
  <c r="AS857" i="34"/>
  <c r="AS860" i="34"/>
  <c r="AF864" i="34"/>
  <c r="AT864" i="34"/>
  <c r="AF875" i="34"/>
  <c r="AH890" i="34"/>
  <c r="AS897" i="34"/>
  <c r="AS899" i="34"/>
  <c r="AF899" i="34"/>
  <c r="AK923" i="34"/>
  <c r="AL923" i="34" s="1"/>
  <c r="AF962" i="34"/>
  <c r="AS962" i="34"/>
  <c r="AS973" i="34"/>
  <c r="AF973" i="34"/>
  <c r="AK1016" i="34"/>
  <c r="AL1016" i="34" s="1"/>
  <c r="AT1016" i="34"/>
  <c r="AH1016" i="34"/>
  <c r="AS1044" i="34"/>
  <c r="AF1044" i="34"/>
  <c r="AS1117" i="34"/>
  <c r="AF1117" i="34"/>
  <c r="AS1118" i="34"/>
  <c r="AF1118" i="34"/>
  <c r="AS1135" i="34"/>
  <c r="AF1135" i="34"/>
  <c r="AI1143" i="34"/>
  <c r="AK1143" i="34" s="1"/>
  <c r="AT1143" i="34"/>
  <c r="AH1143" i="34"/>
  <c r="AH1271" i="34"/>
  <c r="AT1271" i="34"/>
  <c r="AI1516" i="34"/>
  <c r="AT1516" i="34"/>
  <c r="AH1516" i="34"/>
  <c r="AI1517" i="34"/>
  <c r="AH1517" i="34"/>
  <c r="AT1517" i="34"/>
  <c r="AS821" i="34"/>
  <c r="AH858" i="34"/>
  <c r="AH891" i="34"/>
  <c r="AS893" i="34"/>
  <c r="AF893" i="34"/>
  <c r="AJ898" i="34"/>
  <c r="AK898" i="34"/>
  <c r="AL898" i="34" s="1"/>
  <c r="AN898" i="34" s="1"/>
  <c r="AF938" i="34"/>
  <c r="AS938" i="34"/>
  <c r="AF961" i="34"/>
  <c r="AS961" i="34"/>
  <c r="AF965" i="34"/>
  <c r="AS965" i="34"/>
  <c r="AI992" i="34"/>
  <c r="AK992" i="34" s="1"/>
  <c r="AH992" i="34"/>
  <c r="AT1008" i="34"/>
  <c r="AK1008" i="34"/>
  <c r="AL1008" i="34" s="1"/>
  <c r="AI1020" i="34"/>
  <c r="AH1020" i="34"/>
  <c r="AS1101" i="34"/>
  <c r="AF1101" i="34"/>
  <c r="AK1108" i="34"/>
  <c r="AL1108" i="34" s="1"/>
  <c r="AS1110" i="34"/>
  <c r="AF1110" i="34"/>
  <c r="AK1118" i="34"/>
  <c r="AL1118" i="34" s="1"/>
  <c r="AJ1118" i="34"/>
  <c r="AI1142" i="34"/>
  <c r="AK1142" i="34" s="1"/>
  <c r="AL1142" i="34" s="1"/>
  <c r="AT1142" i="34"/>
  <c r="AT1162" i="34"/>
  <c r="AH1162" i="34"/>
  <c r="AI1233" i="34"/>
  <c r="AK1233" i="34" s="1"/>
  <c r="AL1233" i="34" s="1"/>
  <c r="AH1233" i="34"/>
  <c r="AT1233" i="34"/>
  <c r="AK930" i="34"/>
  <c r="AL930" i="34" s="1"/>
  <c r="AJ930" i="34"/>
  <c r="AI959" i="34"/>
  <c r="AK959" i="34" s="1"/>
  <c r="AT959" i="34"/>
  <c r="AS1019" i="34"/>
  <c r="AF1019" i="34"/>
  <c r="AJ1021" i="34"/>
  <c r="AK1021" i="34"/>
  <c r="AL1021" i="34" s="1"/>
  <c r="AT1022" i="34"/>
  <c r="AH1022" i="34"/>
  <c r="AK1036" i="34"/>
  <c r="AL1036" i="34" s="1"/>
  <c r="AM1036" i="34" s="1"/>
  <c r="AV1036" i="34" s="1"/>
  <c r="AJ1036" i="34"/>
  <c r="AS1090" i="34"/>
  <c r="AF1090" i="34"/>
  <c r="AT1100" i="34"/>
  <c r="AH1100" i="34"/>
  <c r="AT1123" i="34"/>
  <c r="AH1123" i="34"/>
  <c r="AH1132" i="34"/>
  <c r="AT1132" i="34"/>
  <c r="AK1132" i="34"/>
  <c r="AL1132" i="34" s="1"/>
  <c r="AN1132" i="34" s="1"/>
  <c r="AK1135" i="34"/>
  <c r="AL1135" i="34" s="1"/>
  <c r="AJ1135" i="34"/>
  <c r="AS798" i="34"/>
  <c r="AS813" i="34"/>
  <c r="AJ825" i="34"/>
  <c r="AF841" i="34"/>
  <c r="AF842" i="34"/>
  <c r="AF848" i="34"/>
  <c r="AF852" i="34"/>
  <c r="AF855" i="34"/>
  <c r="AF856" i="34"/>
  <c r="AS859" i="34"/>
  <c r="AF872" i="34"/>
  <c r="AF874" i="34"/>
  <c r="AH876" i="34"/>
  <c r="AH885" i="34"/>
  <c r="AI885" i="34"/>
  <c r="AK885" i="34" s="1"/>
  <c r="AL885" i="34" s="1"/>
  <c r="AT885" i="34"/>
  <c r="AS937" i="34"/>
  <c r="AK939" i="34"/>
  <c r="AL939" i="34" s="1"/>
  <c r="AH939" i="34"/>
  <c r="AF956" i="34"/>
  <c r="AH959" i="34"/>
  <c r="AK963" i="34"/>
  <c r="AL963" i="34" s="1"/>
  <c r="AK1005" i="34"/>
  <c r="AL1005" i="34" s="1"/>
  <c r="AS1026" i="34"/>
  <c r="AF1026" i="34"/>
  <c r="AS1054" i="34"/>
  <c r="AF1054" i="34"/>
  <c r="AS1099" i="34"/>
  <c r="AF1099" i="34"/>
  <c r="AS1105" i="34"/>
  <c r="AF1105" i="34"/>
  <c r="AT1108" i="34"/>
  <c r="AI1186" i="34"/>
  <c r="AK1186" i="34" s="1"/>
  <c r="AH1186" i="34"/>
  <c r="AT1186" i="34"/>
  <c r="AK821" i="34"/>
  <c r="AL821" i="34" s="1"/>
  <c r="AK848" i="34"/>
  <c r="AL848" i="34" s="1"/>
  <c r="AN848" i="34" s="1"/>
  <c r="AK856" i="34"/>
  <c r="AL856" i="34" s="1"/>
  <c r="AN856" i="34" s="1"/>
  <c r="AK857" i="34"/>
  <c r="AL857" i="34" s="1"/>
  <c r="AT883" i="34"/>
  <c r="AF894" i="34"/>
  <c r="AS894" i="34"/>
  <c r="AF914" i="34"/>
  <c r="AS914" i="34"/>
  <c r="AT915" i="34"/>
  <c r="AH915" i="34"/>
  <c r="AI931" i="34"/>
  <c r="AK931" i="34" s="1"/>
  <c r="AL931" i="34" s="1"/>
  <c r="AT931" i="34"/>
  <c r="AH931" i="34"/>
  <c r="AF941" i="34"/>
  <c r="AS941" i="34"/>
  <c r="AJ947" i="34"/>
  <c r="AK947" i="34"/>
  <c r="AL947" i="34" s="1"/>
  <c r="AH973" i="34"/>
  <c r="AT973" i="34"/>
  <c r="AT976" i="34"/>
  <c r="AF980" i="34"/>
  <c r="AS980" i="34"/>
  <c r="AS995" i="34"/>
  <c r="AF995" i="34"/>
  <c r="AK1017" i="34"/>
  <c r="AL1017" i="34" s="1"/>
  <c r="AH1017" i="34"/>
  <c r="AS1029" i="34"/>
  <c r="AF1029" i="34"/>
  <c r="AT1139" i="34"/>
  <c r="AH1139" i="34"/>
  <c r="AI1146" i="34"/>
  <c r="AK1146" i="34" s="1"/>
  <c r="AT1146" i="34"/>
  <c r="AH1146" i="34"/>
  <c r="AI1160" i="34"/>
  <c r="AK1160" i="34" s="1"/>
  <c r="AT1160" i="34"/>
  <c r="AH881" i="34"/>
  <c r="AT881" i="34"/>
  <c r="AF882" i="34"/>
  <c r="AJ905" i="34"/>
  <c r="AT906" i="34"/>
  <c r="AH906" i="34"/>
  <c r="AF912" i="34"/>
  <c r="AS912" i="34"/>
  <c r="AF916" i="34"/>
  <c r="AS917" i="34"/>
  <c r="AK918" i="34"/>
  <c r="AL918" i="34" s="1"/>
  <c r="AN918" i="34" s="1"/>
  <c r="AJ918" i="34"/>
  <c r="AH963" i="34"/>
  <c r="AT963" i="34"/>
  <c r="AI984" i="34"/>
  <c r="AK984" i="34" s="1"/>
  <c r="AL984" i="34" s="1"/>
  <c r="AH984" i="34"/>
  <c r="AJ993" i="34"/>
  <c r="AK993" i="34"/>
  <c r="AL993" i="34" s="1"/>
  <c r="AN993" i="34" s="1"/>
  <c r="AH1024" i="34"/>
  <c r="AK1024" i="34"/>
  <c r="AL1024" i="34" s="1"/>
  <c r="AT1024" i="34"/>
  <c r="AJ1088" i="34"/>
  <c r="AK1088" i="34"/>
  <c r="AL1088" i="34" s="1"/>
  <c r="AK1092" i="34"/>
  <c r="AL1092" i="34" s="1"/>
  <c r="AH1092" i="34"/>
  <c r="AH1112" i="34"/>
  <c r="AT1112" i="34"/>
  <c r="AK1144" i="34"/>
  <c r="AL1144" i="34" s="1"/>
  <c r="AJ1144" i="34"/>
  <c r="AK1147" i="34"/>
  <c r="AL1147" i="34" s="1"/>
  <c r="AJ1147" i="34"/>
  <c r="AI1188" i="34"/>
  <c r="AK1188" i="34" s="1"/>
  <c r="AT1188" i="34"/>
  <c r="AH1188" i="34"/>
  <c r="AK891" i="34"/>
  <c r="AL891" i="34" s="1"/>
  <c r="AK903" i="34"/>
  <c r="AL903" i="34" s="1"/>
  <c r="AK966" i="34"/>
  <c r="AL966" i="34" s="1"/>
  <c r="AN966" i="34" s="1"/>
  <c r="AK969" i="34"/>
  <c r="AL969" i="34" s="1"/>
  <c r="AT969" i="34"/>
  <c r="AK980" i="34"/>
  <c r="AL980" i="34" s="1"/>
  <c r="AK1014" i="34"/>
  <c r="AL1014" i="34" s="1"/>
  <c r="AK1018" i="34"/>
  <c r="AL1018" i="34" s="1"/>
  <c r="AM1018" i="34" s="1"/>
  <c r="AV1018" i="34" s="1"/>
  <c r="AS1022" i="34"/>
  <c r="AF1022" i="34"/>
  <c r="AI1057" i="34"/>
  <c r="AK1057" i="34" s="1"/>
  <c r="AL1057" i="34" s="1"/>
  <c r="AH1057" i="34"/>
  <c r="AS1062" i="34"/>
  <c r="AS1089" i="34"/>
  <c r="AF1089" i="34"/>
  <c r="AS1093" i="34"/>
  <c r="AF1093" i="34"/>
  <c r="AF1114" i="34"/>
  <c r="AS1114" i="34"/>
  <c r="AK1134" i="34"/>
  <c r="AL1134" i="34" s="1"/>
  <c r="AT1134" i="34"/>
  <c r="AT1147" i="34"/>
  <c r="AH1147" i="34"/>
  <c r="AS1148" i="34"/>
  <c r="AF1148" i="34"/>
  <c r="AT1174" i="34"/>
  <c r="AH1174" i="34"/>
  <c r="AT1227" i="34"/>
  <c r="AH1227" i="34"/>
  <c r="AK1229" i="34"/>
  <c r="AL1229" i="34" s="1"/>
  <c r="AT1229" i="34"/>
  <c r="AH1229" i="34"/>
  <c r="AK1247" i="34"/>
  <c r="AL1247" i="34" s="1"/>
  <c r="AM1247" i="34" s="1"/>
  <c r="AV1247" i="34" s="1"/>
  <c r="AS1254" i="34"/>
  <c r="AF1254" i="34"/>
  <c r="AH1273" i="34"/>
  <c r="AT1273" i="34"/>
  <c r="AT1284" i="34"/>
  <c r="AH1284" i="34"/>
  <c r="AK987" i="34"/>
  <c r="AL987" i="34" s="1"/>
  <c r="AM987" i="34" s="1"/>
  <c r="AV987" i="34" s="1"/>
  <c r="AS1115" i="34"/>
  <c r="AF1115" i="34"/>
  <c r="AS1120" i="34"/>
  <c r="AF1120" i="34"/>
  <c r="AI1127" i="34"/>
  <c r="AK1127" i="34" s="1"/>
  <c r="AT1127" i="34"/>
  <c r="AH1127" i="34"/>
  <c r="AS1149" i="34"/>
  <c r="AF1149" i="34"/>
  <c r="AK1152" i="34"/>
  <c r="AL1152" i="34" s="1"/>
  <c r="AJ1152" i="34"/>
  <c r="AK1269" i="34"/>
  <c r="AL1269" i="34" s="1"/>
  <c r="AT1269" i="34"/>
  <c r="AH1269" i="34"/>
  <c r="AK899" i="34"/>
  <c r="AL899" i="34" s="1"/>
  <c r="AK962" i="34"/>
  <c r="AL962" i="34" s="1"/>
  <c r="AN962" i="34" s="1"/>
  <c r="AJ981" i="34"/>
  <c r="AH988" i="34"/>
  <c r="AK991" i="34"/>
  <c r="AL991" i="34" s="1"/>
  <c r="AH996" i="34"/>
  <c r="AK1006" i="34"/>
  <c r="AL1006" i="34" s="1"/>
  <c r="AF1010" i="34"/>
  <c r="AS1017" i="34"/>
  <c r="AF1017" i="34"/>
  <c r="AK1022" i="34"/>
  <c r="AL1022" i="34" s="1"/>
  <c r="AK1030" i="34"/>
  <c r="AL1030" i="34" s="1"/>
  <c r="AS1042" i="34"/>
  <c r="AT1043" i="34"/>
  <c r="AT1089" i="34"/>
  <c r="AH1097" i="34"/>
  <c r="AT1105" i="34"/>
  <c r="AS1107" i="34"/>
  <c r="AF1107" i="34"/>
  <c r="AK1110" i="34"/>
  <c r="AL1110" i="34" s="1"/>
  <c r="AH1110" i="34"/>
  <c r="AH1118" i="34"/>
  <c r="AT1118" i="34"/>
  <c r="AH1119" i="34"/>
  <c r="AS1124" i="34"/>
  <c r="AF1124" i="34"/>
  <c r="AS1126" i="34"/>
  <c r="AF1128" i="34"/>
  <c r="AK1136" i="34"/>
  <c r="AL1136" i="34" s="1"/>
  <c r="AN1136" i="34" s="1"/>
  <c r="AJ1136" i="34"/>
  <c r="AK1137" i="34"/>
  <c r="AL1137" i="34" s="1"/>
  <c r="AJ1148" i="34"/>
  <c r="AJ1153" i="34"/>
  <c r="AH1156" i="34"/>
  <c r="AT1156" i="34"/>
  <c r="AH1158" i="34"/>
  <c r="AS1165" i="34"/>
  <c r="AF1165" i="34"/>
  <c r="AK1169" i="34"/>
  <c r="AL1169" i="34" s="1"/>
  <c r="AJ1169" i="34"/>
  <c r="AK1176" i="34"/>
  <c r="AL1176" i="34" s="1"/>
  <c r="AN1176" i="34" s="1"/>
  <c r="AJ1176" i="34"/>
  <c r="AS1179" i="34"/>
  <c r="AF1179" i="34"/>
  <c r="AT1251" i="34"/>
  <c r="AH1251" i="34"/>
  <c r="AK1261" i="34"/>
  <c r="AL1261" i="34" s="1"/>
  <c r="AT1261" i="34"/>
  <c r="AH1261" i="34"/>
  <c r="AS1358" i="34"/>
  <c r="AF1358" i="34"/>
  <c r="AS909" i="34"/>
  <c r="AS918" i="34"/>
  <c r="AS930" i="34"/>
  <c r="AS972" i="34"/>
  <c r="AT1096" i="34"/>
  <c r="AK1097" i="34"/>
  <c r="AL1097" i="34" s="1"/>
  <c r="AK1101" i="34"/>
  <c r="AL1101" i="34" s="1"/>
  <c r="AK1114" i="34"/>
  <c r="AL1114" i="34" s="1"/>
  <c r="AT1114" i="34"/>
  <c r="AK1119" i="34"/>
  <c r="AL1119" i="34" s="1"/>
  <c r="AJ1119" i="34"/>
  <c r="AK1120" i="34"/>
  <c r="AL1120" i="34" s="1"/>
  <c r="AH1126" i="34"/>
  <c r="AT1126" i="34"/>
  <c r="AK1168" i="34"/>
  <c r="AL1168" i="34" s="1"/>
  <c r="AK1223" i="34"/>
  <c r="AL1223" i="34" s="1"/>
  <c r="AJ1223" i="34"/>
  <c r="AK934" i="34"/>
  <c r="AL934" i="34" s="1"/>
  <c r="AT981" i="34"/>
  <c r="AK985" i="34"/>
  <c r="AL985" i="34" s="1"/>
  <c r="AK1001" i="34"/>
  <c r="AL1001" i="34" s="1"/>
  <c r="AI1029" i="34"/>
  <c r="AK1029" i="34" s="1"/>
  <c r="AL1029" i="34" s="1"/>
  <c r="AH1029" i="34"/>
  <c r="AS1064" i="34"/>
  <c r="AF1064" i="34"/>
  <c r="AK1107" i="34"/>
  <c r="AL1107" i="34" s="1"/>
  <c r="AJ1107" i="34"/>
  <c r="AK1112" i="34"/>
  <c r="AL1112" i="34" s="1"/>
  <c r="AJ1120" i="34"/>
  <c r="AK1124" i="34"/>
  <c r="AL1124" i="34" s="1"/>
  <c r="AN1124" i="34" s="1"/>
  <c r="AS1129" i="34"/>
  <c r="AF1129" i="34"/>
  <c r="AH1138" i="34"/>
  <c r="AS1141" i="34"/>
  <c r="AF1141" i="34"/>
  <c r="AT1182" i="34"/>
  <c r="AK1204" i="34"/>
  <c r="AL1204" i="34" s="1"/>
  <c r="AN1204" i="34" s="1"/>
  <c r="AH1204" i="34"/>
  <c r="AH1247" i="34"/>
  <c r="AF1263" i="34"/>
  <c r="AS1263" i="34"/>
  <c r="AT985" i="34"/>
  <c r="AS997" i="34"/>
  <c r="AT1006" i="34"/>
  <c r="AS1034" i="34"/>
  <c r="AF1034" i="34"/>
  <c r="AK1060" i="34"/>
  <c r="AL1060" i="34" s="1"/>
  <c r="AF1080" i="34"/>
  <c r="AS1080" i="34"/>
  <c r="AK1128" i="34"/>
  <c r="AL1128" i="34" s="1"/>
  <c r="AS1133" i="34"/>
  <c r="AF1133" i="34"/>
  <c r="AK1159" i="34"/>
  <c r="AL1159" i="34" s="1"/>
  <c r="AH1164" i="34"/>
  <c r="AT1164" i="34"/>
  <c r="AK1171" i="34"/>
  <c r="AL1171" i="34" s="1"/>
  <c r="AJ1171" i="34"/>
  <c r="AS1173" i="34"/>
  <c r="AF1173" i="34"/>
  <c r="AK1193" i="34"/>
  <c r="AL1193" i="34" s="1"/>
  <c r="AF1196" i="34"/>
  <c r="AS1196" i="34"/>
  <c r="AI1235" i="34"/>
  <c r="AK1235" i="34" s="1"/>
  <c r="AL1235" i="34" s="1"/>
  <c r="AT1235" i="34"/>
  <c r="AH1235" i="34"/>
  <c r="AS1241" i="34"/>
  <c r="AF1241" i="34"/>
  <c r="AK1245" i="34"/>
  <c r="AL1245" i="34" s="1"/>
  <c r="AT1245" i="34"/>
  <c r="AH1245" i="34"/>
  <c r="AT1306" i="34"/>
  <c r="AH1306" i="34"/>
  <c r="AI1180" i="34"/>
  <c r="AK1180" i="34" s="1"/>
  <c r="AL1180" i="34" s="1"/>
  <c r="AH1180" i="34"/>
  <c r="AH1243" i="34"/>
  <c r="AJ1243" i="34" s="1"/>
  <c r="AT1243" i="34"/>
  <c r="AH1267" i="34"/>
  <c r="AT1267" i="34"/>
  <c r="AK1273" i="34"/>
  <c r="AL1273" i="34" s="1"/>
  <c r="AJ1273" i="34"/>
  <c r="AS1274" i="34"/>
  <c r="AF1274" i="34"/>
  <c r="AS1290" i="34"/>
  <c r="AF1290" i="34"/>
  <c r="AF1291" i="34"/>
  <c r="AS1291" i="34"/>
  <c r="AT1301" i="34"/>
  <c r="AK1301" i="34"/>
  <c r="AL1301" i="34" s="1"/>
  <c r="AT1319" i="34"/>
  <c r="AH1319" i="34"/>
  <c r="AS1336" i="34"/>
  <c r="AF1336" i="34"/>
  <c r="AK1028" i="34"/>
  <c r="AL1028" i="34" s="1"/>
  <c r="AK1123" i="34"/>
  <c r="AL1123" i="34" s="1"/>
  <c r="AK1131" i="34"/>
  <c r="AL1131" i="34" s="1"/>
  <c r="AK1151" i="34"/>
  <c r="AL1151" i="34" s="1"/>
  <c r="AK1154" i="34"/>
  <c r="AL1154" i="34" s="1"/>
  <c r="AM1154" i="34" s="1"/>
  <c r="AV1154" i="34" s="1"/>
  <c r="AK1161" i="34"/>
  <c r="AL1161" i="34" s="1"/>
  <c r="AF1162" i="34"/>
  <c r="AK1175" i="34"/>
  <c r="AL1175" i="34" s="1"/>
  <c r="AK1179" i="34"/>
  <c r="AL1179" i="34" s="1"/>
  <c r="AJ1179" i="34"/>
  <c r="AT1180" i="34"/>
  <c r="AK1182" i="34"/>
  <c r="AL1182" i="34" s="1"/>
  <c r="AF1200" i="34"/>
  <c r="AS1200" i="34"/>
  <c r="AS1203" i="34"/>
  <c r="AS1237" i="34"/>
  <c r="AF1237" i="34"/>
  <c r="AK1243" i="34"/>
  <c r="AL1243" i="34" s="1"/>
  <c r="AN1243" i="34" s="1"/>
  <c r="AS1246" i="34"/>
  <c r="AF1246" i="34"/>
  <c r="AI1249" i="34"/>
  <c r="AT1249" i="34"/>
  <c r="AS1252" i="34"/>
  <c r="AF1252" i="34"/>
  <c r="AK1271" i="34"/>
  <c r="AL1271" i="34" s="1"/>
  <c r="AS1321" i="34"/>
  <c r="AF1321" i="34"/>
  <c r="AF1366" i="34"/>
  <c r="AS1366" i="34"/>
  <c r="AK1540" i="34"/>
  <c r="AL1540" i="34" s="1"/>
  <c r="AJ1540" i="34"/>
  <c r="AI1362" i="34"/>
  <c r="AK1362" i="34" s="1"/>
  <c r="AT1362" i="34"/>
  <c r="AH1362" i="34"/>
  <c r="AS1413" i="34"/>
  <c r="AF1413" i="34"/>
  <c r="AI1435" i="34"/>
  <c r="AJ1435" i="34" s="1"/>
  <c r="AT1435" i="34"/>
  <c r="AH1435" i="34"/>
  <c r="AH1459" i="34"/>
  <c r="AK1459" i="34"/>
  <c r="AL1459" i="34" s="1"/>
  <c r="AH1520" i="34"/>
  <c r="AT1520" i="34"/>
  <c r="AK1041" i="34"/>
  <c r="AL1041" i="34" s="1"/>
  <c r="AK1139" i="34"/>
  <c r="AL1139" i="34" s="1"/>
  <c r="AK1155" i="34"/>
  <c r="AL1155" i="34" s="1"/>
  <c r="AK1158" i="34"/>
  <c r="AL1158" i="34" s="1"/>
  <c r="AK1162" i="34"/>
  <c r="AL1162" i="34" s="1"/>
  <c r="AS1177" i="34"/>
  <c r="AF1177" i="34"/>
  <c r="AS1185" i="34"/>
  <c r="AF1185" i="34"/>
  <c r="AI1231" i="34"/>
  <c r="AK1231" i="34" s="1"/>
  <c r="AL1231" i="34" s="1"/>
  <c r="AH1231" i="34"/>
  <c r="AT1231" i="34"/>
  <c r="AI1253" i="34"/>
  <c r="AK1253" i="34" s="1"/>
  <c r="AL1253" i="34" s="1"/>
  <c r="AH1253" i="34"/>
  <c r="AT1253" i="34"/>
  <c r="AI1255" i="34"/>
  <c r="AK1255" i="34" s="1"/>
  <c r="AL1255" i="34" s="1"/>
  <c r="AT1255" i="34"/>
  <c r="AH1255" i="34"/>
  <c r="AT1275" i="34"/>
  <c r="AH1275" i="34"/>
  <c r="AI1281" i="34"/>
  <c r="AH1281" i="34"/>
  <c r="AS1299" i="34"/>
  <c r="AF1299" i="34"/>
  <c r="AT1324" i="34"/>
  <c r="AH1324" i="34"/>
  <c r="AT1328" i="34"/>
  <c r="AH1328" i="34"/>
  <c r="AK1067" i="34"/>
  <c r="AL1067" i="34" s="1"/>
  <c r="AK1083" i="34"/>
  <c r="AL1083" i="34" s="1"/>
  <c r="AN1083" i="34" s="1"/>
  <c r="AK1130" i="34"/>
  <c r="AL1130" i="34" s="1"/>
  <c r="AF1137" i="34"/>
  <c r="AJ1139" i="34"/>
  <c r="AF1143" i="34"/>
  <c r="AF1145" i="34"/>
  <c r="AK1150" i="34"/>
  <c r="AL1150" i="34" s="1"/>
  <c r="AF1153" i="34"/>
  <c r="AS1169" i="34"/>
  <c r="AF1169" i="34"/>
  <c r="AK1173" i="34"/>
  <c r="AL1173" i="34" s="1"/>
  <c r="AK1177" i="34"/>
  <c r="AL1177" i="34" s="1"/>
  <c r="AJ1177" i="34"/>
  <c r="AI1221" i="34"/>
  <c r="AK1221" i="34" s="1"/>
  <c r="AL1221" i="34" s="1"/>
  <c r="AH1221" i="34"/>
  <c r="AT1221" i="34"/>
  <c r="AM1230" i="34"/>
  <c r="AV1230" i="34" s="1"/>
  <c r="AN1230" i="34"/>
  <c r="AI1238" i="34"/>
  <c r="AK1238" i="34" s="1"/>
  <c r="AL1238" i="34" s="1"/>
  <c r="AN1238" i="34" s="1"/>
  <c r="AT1238" i="34"/>
  <c r="AI1239" i="34"/>
  <c r="AK1239" i="34" s="1"/>
  <c r="AT1239" i="34"/>
  <c r="AK1259" i="34"/>
  <c r="AL1259" i="34" s="1"/>
  <c r="AS1264" i="34"/>
  <c r="AF1264" i="34"/>
  <c r="AT1278" i="34"/>
  <c r="AH1278" i="34"/>
  <c r="AH1301" i="34"/>
  <c r="AK1339" i="34"/>
  <c r="AL1339" i="34" s="1"/>
  <c r="AJ1339" i="34"/>
  <c r="AS1404" i="34"/>
  <c r="AF1404" i="34"/>
  <c r="AJ1466" i="34"/>
  <c r="AK1466" i="34"/>
  <c r="AL1466" i="34" s="1"/>
  <c r="AF1484" i="34"/>
  <c r="AS1484" i="34"/>
  <c r="AI1512" i="34"/>
  <c r="AK1512" i="34" s="1"/>
  <c r="AL1512" i="34" s="1"/>
  <c r="AH1512" i="34"/>
  <c r="AT1512" i="34"/>
  <c r="AK1163" i="34"/>
  <c r="AL1163" i="34" s="1"/>
  <c r="AK1170" i="34"/>
  <c r="AL1170" i="34" s="1"/>
  <c r="AS1181" i="34"/>
  <c r="AF1181" i="34"/>
  <c r="AF1204" i="34"/>
  <c r="AS1204" i="34"/>
  <c r="AI1225" i="34"/>
  <c r="AT1225" i="34"/>
  <c r="AT1263" i="34"/>
  <c r="AS1287" i="34"/>
  <c r="AF1287" i="34"/>
  <c r="AH1340" i="34"/>
  <c r="AT1340" i="34"/>
  <c r="AH1379" i="34"/>
  <c r="AT1379" i="34"/>
  <c r="AK1379" i="34"/>
  <c r="AL1379" i="34" s="1"/>
  <c r="AT1294" i="34"/>
  <c r="AT1297" i="34"/>
  <c r="AH1298" i="34"/>
  <c r="AJ1298" i="34" s="1"/>
  <c r="AK1311" i="34"/>
  <c r="AL1311" i="34" s="1"/>
  <c r="AK1320" i="34"/>
  <c r="AL1320" i="34" s="1"/>
  <c r="AK1329" i="34"/>
  <c r="AL1329" i="34" s="1"/>
  <c r="AJ1329" i="34"/>
  <c r="AH1331" i="34"/>
  <c r="AF1434" i="34"/>
  <c r="AS1434" i="34"/>
  <c r="AS1467" i="34"/>
  <c r="AF1467" i="34"/>
  <c r="AI1515" i="34"/>
  <c r="AH1515" i="34"/>
  <c r="AT1515" i="34"/>
  <c r="AT1532" i="34"/>
  <c r="AH1532" i="34"/>
  <c r="AK1535" i="34"/>
  <c r="AL1535" i="34" s="1"/>
  <c r="AJ1535" i="34"/>
  <c r="AK1545" i="34"/>
  <c r="AL1545" i="34" s="1"/>
  <c r="AN1545" i="34" s="1"/>
  <c r="AH1545" i="34"/>
  <c r="AT1545" i="34"/>
  <c r="AK1528" i="34"/>
  <c r="AL1528" i="34" s="1"/>
  <c r="AJ1528" i="34"/>
  <c r="AK1537" i="34"/>
  <c r="AL1537" i="34" s="1"/>
  <c r="AT1537" i="34"/>
  <c r="AH1330" i="34"/>
  <c r="AT1330" i="34"/>
  <c r="AH1336" i="34"/>
  <c r="AT1336" i="34"/>
  <c r="AI1351" i="34"/>
  <c r="AJ1351" i="34" s="1"/>
  <c r="AH1351" i="34"/>
  <c r="AK1371" i="34"/>
  <c r="AL1371" i="34" s="1"/>
  <c r="AJ1371" i="34"/>
  <c r="AF1389" i="34"/>
  <c r="AS1389" i="34"/>
  <c r="AF1483" i="34"/>
  <c r="AS1483" i="34"/>
  <c r="AT1536" i="34"/>
  <c r="AH1536" i="34"/>
  <c r="AH1540" i="34"/>
  <c r="AT1540" i="34"/>
  <c r="AI1544" i="34"/>
  <c r="AT1544" i="34"/>
  <c r="AH1544" i="34"/>
  <c r="AK1166" i="34"/>
  <c r="AL1166" i="34" s="1"/>
  <c r="AK1174" i="34"/>
  <c r="AL1174" i="34" s="1"/>
  <c r="AN1174" i="34" s="1"/>
  <c r="AH1201" i="34"/>
  <c r="AK1220" i="34"/>
  <c r="AL1220" i="34" s="1"/>
  <c r="AK1240" i="34"/>
  <c r="AL1240" i="34" s="1"/>
  <c r="AS1251" i="34"/>
  <c r="AF1266" i="34"/>
  <c r="AS1269" i="34"/>
  <c r="AF1270" i="34"/>
  <c r="AF1272" i="34"/>
  <c r="AJ1277" i="34"/>
  <c r="AJ1285" i="34"/>
  <c r="AF1286" i="34"/>
  <c r="AH1293" i="34"/>
  <c r="AJ1293" i="34" s="1"/>
  <c r="AF1302" i="34"/>
  <c r="AK1318" i="34"/>
  <c r="AL1318" i="34" s="1"/>
  <c r="AK1319" i="34"/>
  <c r="AL1319" i="34" s="1"/>
  <c r="AS1334" i="34"/>
  <c r="AF1334" i="34"/>
  <c r="AT1346" i="34"/>
  <c r="AH1346" i="34"/>
  <c r="AS1348" i="34"/>
  <c r="AF1348" i="34"/>
  <c r="AT1349" i="34"/>
  <c r="AT1358" i="34"/>
  <c r="AI1358" i="34"/>
  <c r="AK1358" i="34" s="1"/>
  <c r="AL1358" i="34" s="1"/>
  <c r="AH1358" i="34"/>
  <c r="AS1383" i="34"/>
  <c r="AF1383" i="34"/>
  <c r="AK1390" i="34"/>
  <c r="AL1390" i="34" s="1"/>
  <c r="AJ1390" i="34"/>
  <c r="AK1399" i="34"/>
  <c r="AL1399" i="34" s="1"/>
  <c r="AJ1399" i="34"/>
  <c r="AT1453" i="34"/>
  <c r="AH1453" i="34"/>
  <c r="AS1546" i="34"/>
  <c r="AF1546" i="34"/>
  <c r="AK1549" i="34"/>
  <c r="AL1549" i="34" s="1"/>
  <c r="AT1549" i="34"/>
  <c r="AH1549" i="34"/>
  <c r="AS1247" i="34"/>
  <c r="AS1325" i="34"/>
  <c r="AF1325" i="34"/>
  <c r="AS1342" i="34"/>
  <c r="AF1342" i="34"/>
  <c r="AT1343" i="34"/>
  <c r="AH1343" i="34"/>
  <c r="AI1367" i="34"/>
  <c r="AH1367" i="34"/>
  <c r="AS1397" i="34"/>
  <c r="AF1397" i="34"/>
  <c r="AK1431" i="34"/>
  <c r="AL1431" i="34" s="1"/>
  <c r="AN1431" i="34" s="1"/>
  <c r="AT1431" i="34"/>
  <c r="AS1510" i="34"/>
  <c r="AF1510" i="34"/>
  <c r="AS1513" i="34"/>
  <c r="AF1513" i="34"/>
  <c r="AH1528" i="34"/>
  <c r="AT1528" i="34"/>
  <c r="AI1533" i="34"/>
  <c r="AK1533" i="34" s="1"/>
  <c r="AT1533" i="34"/>
  <c r="AH1533" i="34"/>
  <c r="AT1548" i="34"/>
  <c r="AK1208" i="34"/>
  <c r="AL1208" i="34" s="1"/>
  <c r="AF1227" i="34"/>
  <c r="AF1228" i="34"/>
  <c r="AH1237" i="34"/>
  <c r="AH1241" i="34"/>
  <c r="AK1246" i="34"/>
  <c r="AL1246" i="34" s="1"/>
  <c r="AK1248" i="34"/>
  <c r="AL1248" i="34" s="1"/>
  <c r="AN1248" i="34" s="1"/>
  <c r="AJ1250" i="34"/>
  <c r="AH1257" i="34"/>
  <c r="AF1259" i="34"/>
  <c r="AF1260" i="34"/>
  <c r="AK1265" i="34"/>
  <c r="AL1265" i="34" s="1"/>
  <c r="AJ1266" i="34"/>
  <c r="AK1268" i="34"/>
  <c r="AL1268" i="34" s="1"/>
  <c r="AN1268" i="34" s="1"/>
  <c r="AJ1270" i="34"/>
  <c r="AJ1272" i="34"/>
  <c r="AT1274" i="34"/>
  <c r="AK1282" i="34"/>
  <c r="AL1282" i="34" s="1"/>
  <c r="AF1283" i="34"/>
  <c r="AF1294" i="34"/>
  <c r="AJ1297" i="34"/>
  <c r="AJ1300" i="34"/>
  <c r="AF1301" i="34"/>
  <c r="AJ1305" i="34"/>
  <c r="AK1308" i="34"/>
  <c r="AJ1308" i="34"/>
  <c r="AH1309" i="34"/>
  <c r="AF1310" i="34"/>
  <c r="AF1320" i="34"/>
  <c r="AI1323" i="34"/>
  <c r="AH1323" i="34"/>
  <c r="AJ1324" i="34"/>
  <c r="AS1328" i="34"/>
  <c r="AF1328" i="34"/>
  <c r="AT1333" i="34"/>
  <c r="AK1336" i="34"/>
  <c r="AL1336" i="34" s="1"/>
  <c r="AS1340" i="34"/>
  <c r="AF1340" i="34"/>
  <c r="AK1343" i="34"/>
  <c r="AL1343" i="34" s="1"/>
  <c r="AN1343" i="34" s="1"/>
  <c r="AJ1343" i="34"/>
  <c r="AK1354" i="34"/>
  <c r="AL1354" i="34" s="1"/>
  <c r="AJ1354" i="34"/>
  <c r="AH1371" i="34"/>
  <c r="AT1371" i="34"/>
  <c r="AH1374" i="34"/>
  <c r="AT1374" i="34"/>
  <c r="AT1378" i="34"/>
  <c r="AH1378" i="34"/>
  <c r="AT1403" i="34"/>
  <c r="AK1403" i="34"/>
  <c r="AL1403" i="34" s="1"/>
  <c r="AK1525" i="34"/>
  <c r="AL1525" i="34" s="1"/>
  <c r="AH1525" i="34"/>
  <c r="AT1525" i="34"/>
  <c r="AH1228" i="34"/>
  <c r="AJ1268" i="34"/>
  <c r="AJ1282" i="34"/>
  <c r="AT1293" i="34"/>
  <c r="AF1306" i="34"/>
  <c r="AT1309" i="34"/>
  <c r="AH1310" i="34"/>
  <c r="AT1325" i="34"/>
  <c r="AT1339" i="34"/>
  <c r="AH1339" i="34"/>
  <c r="AH1363" i="34"/>
  <c r="AT1363" i="34"/>
  <c r="AT1367" i="34"/>
  <c r="AS1380" i="34"/>
  <c r="AF1380" i="34"/>
  <c r="AT1389" i="34"/>
  <c r="AH1389" i="34"/>
  <c r="AH1390" i="34"/>
  <c r="AT1390" i="34"/>
  <c r="AH1399" i="34"/>
  <c r="AT1399" i="34"/>
  <c r="AK1476" i="34"/>
  <c r="AL1476" i="34" s="1"/>
  <c r="AF1495" i="34"/>
  <c r="AS1495" i="34"/>
  <c r="AS1536" i="34"/>
  <c r="AF1536" i="34"/>
  <c r="AS1544" i="34"/>
  <c r="AF1544" i="34"/>
  <c r="AK1338" i="34"/>
  <c r="AL1338" i="34" s="1"/>
  <c r="AK1384" i="34"/>
  <c r="AL1384" i="34" s="1"/>
  <c r="AT1384" i="34"/>
  <c r="AK1456" i="34"/>
  <c r="AL1456" i="34" s="1"/>
  <c r="AS1476" i="34"/>
  <c r="AS1479" i="34"/>
  <c r="AK1480" i="34"/>
  <c r="AL1480" i="34" s="1"/>
  <c r="AS1487" i="34"/>
  <c r="AS1488" i="34"/>
  <c r="AS1512" i="34"/>
  <c r="AK1378" i="34"/>
  <c r="AL1378" i="34" s="1"/>
  <c r="AK1386" i="34"/>
  <c r="AL1386" i="34" s="1"/>
  <c r="AN1386" i="34" s="1"/>
  <c r="AK1484" i="34"/>
  <c r="AL1484" i="34" s="1"/>
  <c r="AN1484" i="34" s="1"/>
  <c r="AH1524" i="34"/>
  <c r="AF1526" i="34"/>
  <c r="AS1528" i="34"/>
  <c r="AF1529" i="34"/>
  <c r="AK1532" i="34"/>
  <c r="AL1532" i="34" s="1"/>
  <c r="AS1535" i="34"/>
  <c r="AF1538" i="34"/>
  <c r="AS1540" i="34"/>
  <c r="AF1541" i="34"/>
  <c r="AS1543" i="34"/>
  <c r="AF1547" i="34"/>
  <c r="AF1548" i="34"/>
  <c r="AK1356" i="34"/>
  <c r="AL1356" i="34" s="1"/>
  <c r="AF1368" i="34"/>
  <c r="AF1369" i="34"/>
  <c r="AH1375" i="34"/>
  <c r="AJ1378" i="34"/>
  <c r="AH1383" i="34"/>
  <c r="AK1389" i="34"/>
  <c r="AL1389" i="34" s="1"/>
  <c r="AH1397" i="34"/>
  <c r="AF1401" i="34"/>
  <c r="AJ1404" i="34"/>
  <c r="AS1411" i="34"/>
  <c r="AS1414" i="34"/>
  <c r="AH1415" i="34"/>
  <c r="AJ1415" i="34" s="1"/>
  <c r="AF1421" i="34"/>
  <c r="AF1424" i="34"/>
  <c r="AF1425" i="34"/>
  <c r="AS1426" i="34"/>
  <c r="AH1427" i="34"/>
  <c r="AS1437" i="34"/>
  <c r="AJ1438" i="34"/>
  <c r="AK1467" i="34"/>
  <c r="AL1467" i="34" s="1"/>
  <c r="AS1468" i="34"/>
  <c r="AJ1510" i="34"/>
  <c r="AH1513" i="34"/>
  <c r="AJ1513" i="34" s="1"/>
  <c r="AT1518" i="34"/>
  <c r="AK1524" i="34"/>
  <c r="AL1524" i="34" s="1"/>
  <c r="AK1397" i="34"/>
  <c r="AL1397" i="34" s="1"/>
  <c r="AM1397" i="34" s="1"/>
  <c r="AV1397" i="34" s="1"/>
  <c r="AT1415" i="34"/>
  <c r="AS1422" i="34"/>
  <c r="AS1423" i="34"/>
  <c r="AH1521" i="34"/>
  <c r="AJ1521" i="34" s="1"/>
  <c r="AJ1524" i="34"/>
  <c r="AH1529" i="34"/>
  <c r="AS1532" i="34"/>
  <c r="AF1533" i="34"/>
  <c r="AK1536" i="34"/>
  <c r="AL1536" i="34" s="1"/>
  <c r="AN1536" i="34" s="1"/>
  <c r="AH1541" i="34"/>
  <c r="AK1312" i="34"/>
  <c r="AL1312" i="34" s="1"/>
  <c r="AS1346" i="34"/>
  <c r="AK1357" i="34"/>
  <c r="AL1357" i="34" s="1"/>
  <c r="AH1370" i="34"/>
  <c r="AJ1370" i="34" s="1"/>
  <c r="AF1371" i="34"/>
  <c r="AK1372" i="34"/>
  <c r="AL1372" i="34" s="1"/>
  <c r="AM1372" i="34" s="1"/>
  <c r="AV1372" i="34" s="1"/>
  <c r="AT1372" i="34"/>
  <c r="AJ1375" i="34"/>
  <c r="AJ1383" i="34"/>
  <c r="AF1390" i="34"/>
  <c r="AJ1397" i="34"/>
  <c r="AF1398" i="34"/>
  <c r="AF1399" i="34"/>
  <c r="AK1401" i="34"/>
  <c r="AL1401" i="34" s="1"/>
  <c r="AM1401" i="34" s="1"/>
  <c r="AV1401" i="34" s="1"/>
  <c r="AF1402" i="34"/>
  <c r="AS1418" i="34"/>
  <c r="AK1449" i="34"/>
  <c r="AJ1457" i="34"/>
  <c r="AS1461" i="34"/>
  <c r="AT1513" i="34"/>
  <c r="AT1519" i="34"/>
  <c r="AF1522" i="34"/>
  <c r="AF1525" i="34"/>
  <c r="AJ1536" i="34"/>
  <c r="AF1545" i="34"/>
  <c r="AK1548" i="34"/>
  <c r="AL1548" i="34" s="1"/>
  <c r="AK1349" i="34"/>
  <c r="AL1349" i="34" s="1"/>
  <c r="AK1368" i="34"/>
  <c r="AL1368" i="34" s="1"/>
  <c r="AS1370" i="34"/>
  <c r="AK1382" i="34"/>
  <c r="AL1382" i="34" s="1"/>
  <c r="AM1382" i="34" s="1"/>
  <c r="AV1382" i="34" s="1"/>
  <c r="AF1384" i="34"/>
  <c r="AT1404" i="34"/>
  <c r="AT1419" i="34"/>
  <c r="AS1427" i="34"/>
  <c r="AS1439" i="34"/>
  <c r="AK1470" i="34"/>
  <c r="AL1470" i="34" s="1"/>
  <c r="AS1491" i="34"/>
  <c r="AT1521" i="34"/>
  <c r="AK1552" i="34"/>
  <c r="AL1552" i="34" s="1"/>
  <c r="AK1330" i="34"/>
  <c r="AL1330" i="34" s="1"/>
  <c r="AM1330" i="34" s="1"/>
  <c r="AV1330" i="34" s="1"/>
  <c r="AJ1349" i="34"/>
  <c r="AK1353" i="34"/>
  <c r="AL1353" i="34" s="1"/>
  <c r="AK1374" i="34"/>
  <c r="AL1374" i="34" s="1"/>
  <c r="AH1384" i="34"/>
  <c r="AK1393" i="34"/>
  <c r="AL1393" i="34" s="1"/>
  <c r="AK1408" i="34"/>
  <c r="AL1408" i="34" s="1"/>
  <c r="AT1427" i="34"/>
  <c r="AT1439" i="34"/>
  <c r="AK1441" i="34"/>
  <c r="AL1441" i="34" s="1"/>
  <c r="AT1449" i="34"/>
  <c r="AK1452" i="34"/>
  <c r="AL1452" i="34" s="1"/>
  <c r="AT1462" i="34"/>
  <c r="AS1472" i="34"/>
  <c r="AK1493" i="34"/>
  <c r="AL1493" i="34" s="1"/>
  <c r="AN1493" i="34" s="1"/>
  <c r="AK1520" i="34"/>
  <c r="AL1520" i="34" s="1"/>
  <c r="AN1520" i="34" s="1"/>
  <c r="AT1529" i="34"/>
  <c r="AT1541" i="34"/>
  <c r="AF1549" i="34"/>
  <c r="AT8" i="34"/>
  <c r="AH8" i="34"/>
  <c r="AK9" i="34"/>
  <c r="AL9" i="34" s="1"/>
  <c r="AT12" i="34"/>
  <c r="AH12" i="34"/>
  <c r="AJ58" i="34"/>
  <c r="AK58" i="34"/>
  <c r="AN35" i="34"/>
  <c r="AM35" i="34"/>
  <c r="AV35" i="34" s="1"/>
  <c r="AT5" i="34"/>
  <c r="AI5" i="34"/>
  <c r="AH5" i="34"/>
  <c r="AT17" i="34"/>
  <c r="AK17" i="34"/>
  <c r="AL17" i="34" s="1"/>
  <c r="AH17" i="34"/>
  <c r="AN7" i="34"/>
  <c r="AM7" i="34"/>
  <c r="AV7" i="34" s="1"/>
  <c r="AK25" i="34"/>
  <c r="AL25" i="34" s="1"/>
  <c r="AN39" i="34"/>
  <c r="AM39" i="34"/>
  <c r="AV39" i="34" s="1"/>
  <c r="AT9" i="34"/>
  <c r="AI13" i="34"/>
  <c r="AH15" i="34"/>
  <c r="AI20" i="34"/>
  <c r="AH25" i="34"/>
  <c r="AJ25" i="34" s="1"/>
  <c r="AT25" i="34"/>
  <c r="AK32" i="34"/>
  <c r="AL32" i="34" s="1"/>
  <c r="AK33" i="34"/>
  <c r="AL33" i="34" s="1"/>
  <c r="AK38" i="34"/>
  <c r="AL38" i="34" s="1"/>
  <c r="AT42" i="34"/>
  <c r="AF48" i="34"/>
  <c r="AS48" i="34"/>
  <c r="AT48" i="34"/>
  <c r="AT58" i="34"/>
  <c r="AT61" i="34"/>
  <c r="AT77" i="34"/>
  <c r="AT94" i="34"/>
  <c r="AI94" i="34"/>
  <c r="AH94" i="34"/>
  <c r="AK104" i="34"/>
  <c r="AL104" i="34" s="1"/>
  <c r="AK123" i="34"/>
  <c r="AL123" i="34" s="1"/>
  <c r="AH130" i="34"/>
  <c r="AT130" i="34"/>
  <c r="AT145" i="34"/>
  <c r="AH145" i="34"/>
  <c r="AM172" i="34"/>
  <c r="AV172" i="34" s="1"/>
  <c r="AN172" i="34"/>
  <c r="AN193" i="34"/>
  <c r="AM193" i="34"/>
  <c r="AV193" i="34" s="1"/>
  <c r="AM196" i="34"/>
  <c r="AV196" i="34" s="1"/>
  <c r="AN196" i="34"/>
  <c r="AN201" i="34"/>
  <c r="AM201" i="34"/>
  <c r="AV201" i="34" s="1"/>
  <c r="AK4" i="34"/>
  <c r="AL4" i="34" s="1"/>
  <c r="AK11" i="34"/>
  <c r="AL11" i="34" s="1"/>
  <c r="AT11" i="34"/>
  <c r="AF12" i="34"/>
  <c r="AT20" i="34"/>
  <c r="AT26" i="34"/>
  <c r="AI26" i="34"/>
  <c r="AH34" i="34"/>
  <c r="AF40" i="34"/>
  <c r="AH49" i="34"/>
  <c r="AT49" i="34"/>
  <c r="AI49" i="34"/>
  <c r="AT52" i="34"/>
  <c r="AJ54" i="34"/>
  <c r="AK54" i="34"/>
  <c r="AL54" i="34" s="1"/>
  <c r="AK56" i="34"/>
  <c r="AL56" i="34" s="1"/>
  <c r="AT65" i="34"/>
  <c r="AH67" i="34"/>
  <c r="AI80" i="34"/>
  <c r="AH80" i="34"/>
  <c r="AT80" i="34"/>
  <c r="AK86" i="34"/>
  <c r="AL86" i="34" s="1"/>
  <c r="AI103" i="34"/>
  <c r="AH103" i="34"/>
  <c r="AT103" i="34"/>
  <c r="AI111" i="34"/>
  <c r="AH111" i="34"/>
  <c r="AT111" i="34"/>
  <c r="AH118" i="34"/>
  <c r="AT118" i="34"/>
  <c r="AI122" i="34"/>
  <c r="AH122" i="34"/>
  <c r="AT122" i="34"/>
  <c r="AT141" i="34"/>
  <c r="AH141" i="34"/>
  <c r="AM177" i="34"/>
  <c r="AV177" i="34" s="1"/>
  <c r="AN177" i="34"/>
  <c r="AM181" i="34"/>
  <c r="AV181" i="34" s="1"/>
  <c r="AN181" i="34"/>
  <c r="AH14" i="34"/>
  <c r="AI28" i="34"/>
  <c r="AH28" i="34"/>
  <c r="AF31" i="34"/>
  <c r="AS31" i="34"/>
  <c r="AI36" i="34"/>
  <c r="AH36" i="34"/>
  <c r="AH40" i="34"/>
  <c r="AK48" i="34"/>
  <c r="AL48" i="34" s="1"/>
  <c r="AF52" i="34"/>
  <c r="AS52" i="34"/>
  <c r="AH53" i="34"/>
  <c r="AT53" i="34"/>
  <c r="AK53" i="34"/>
  <c r="AL53" i="34" s="1"/>
  <c r="AH58" i="34"/>
  <c r="AK67" i="34"/>
  <c r="AL67" i="34" s="1"/>
  <c r="AT82" i="34"/>
  <c r="AH82" i="34"/>
  <c r="AH84" i="34"/>
  <c r="AT84" i="34"/>
  <c r="AT97" i="34"/>
  <c r="AH97" i="34"/>
  <c r="AH99" i="34"/>
  <c r="AT99" i="34"/>
  <c r="AT109" i="34"/>
  <c r="AI109" i="34"/>
  <c r="AH109" i="34"/>
  <c r="AT113" i="34"/>
  <c r="AI113" i="34"/>
  <c r="AH113" i="34"/>
  <c r="AT116" i="34"/>
  <c r="AI116" i="34"/>
  <c r="AH116" i="34"/>
  <c r="AT128" i="34"/>
  <c r="AH128" i="34"/>
  <c r="AJ128" i="34" s="1"/>
  <c r="AT132" i="34"/>
  <c r="AI132" i="34"/>
  <c r="AH132" i="34"/>
  <c r="AM179" i="34"/>
  <c r="AV179" i="34" s="1"/>
  <c r="AN179" i="34"/>
  <c r="AS6" i="34"/>
  <c r="AK8" i="34"/>
  <c r="AL8" i="34" s="1"/>
  <c r="AH3" i="34"/>
  <c r="AF7" i="34"/>
  <c r="AJ8" i="34"/>
  <c r="AS10" i="34"/>
  <c r="AK15" i="34"/>
  <c r="AL15" i="34" s="1"/>
  <c r="AF16" i="34"/>
  <c r="AF18" i="34"/>
  <c r="AT28" i="34"/>
  <c r="AH29" i="34"/>
  <c r="AT36" i="34"/>
  <c r="AH37" i="34"/>
  <c r="AF39" i="34"/>
  <c r="AS39" i="34"/>
  <c r="AK40" i="34"/>
  <c r="AL40" i="34" s="1"/>
  <c r="AT41" i="34"/>
  <c r="AK41" i="34"/>
  <c r="AL41" i="34" s="1"/>
  <c r="AJ42" i="34"/>
  <c r="AK42" i="34"/>
  <c r="AL42" i="34" s="1"/>
  <c r="AK44" i="34"/>
  <c r="AJ44" i="34"/>
  <c r="AH52" i="34"/>
  <c r="AJ52" i="34" s="1"/>
  <c r="AF59" i="34"/>
  <c r="AS59" i="34"/>
  <c r="AK63" i="34"/>
  <c r="AL63" i="34" s="1"/>
  <c r="AT73" i="34"/>
  <c r="AH75" i="34"/>
  <c r="AK90" i="34"/>
  <c r="AL90" i="34" s="1"/>
  <c r="AT120" i="34"/>
  <c r="AI120" i="34"/>
  <c r="AH120" i="34"/>
  <c r="AK127" i="34"/>
  <c r="AL127" i="34" s="1"/>
  <c r="AN159" i="34"/>
  <c r="AM159" i="34"/>
  <c r="AV159" i="34" s="1"/>
  <c r="AT160" i="34"/>
  <c r="AI160" i="34"/>
  <c r="AH160" i="34"/>
  <c r="AN167" i="34"/>
  <c r="AM167" i="34"/>
  <c r="AV167" i="34" s="1"/>
  <c r="AK12" i="34"/>
  <c r="AL12" i="34" s="1"/>
  <c r="AF23" i="34"/>
  <c r="AS23" i="34"/>
  <c r="AK29" i="34"/>
  <c r="AL29" i="34" s="1"/>
  <c r="AJ29" i="34"/>
  <c r="AT30" i="34"/>
  <c r="AI30" i="34"/>
  <c r="AH60" i="34"/>
  <c r="AT60" i="34"/>
  <c r="AK60" i="34"/>
  <c r="AL60" i="34" s="1"/>
  <c r="AT78" i="34"/>
  <c r="AI78" i="34"/>
  <c r="AH78" i="34"/>
  <c r="AT86" i="34"/>
  <c r="AH86" i="34"/>
  <c r="AH88" i="34"/>
  <c r="AT88" i="34"/>
  <c r="AT101" i="34"/>
  <c r="AI101" i="34"/>
  <c r="AH101" i="34"/>
  <c r="AI107" i="34"/>
  <c r="AH107" i="34"/>
  <c r="AT107" i="34"/>
  <c r="AI126" i="34"/>
  <c r="AH126" i="34"/>
  <c r="AT126" i="34"/>
  <c r="AT156" i="34"/>
  <c r="AH156" i="34"/>
  <c r="AM161" i="34"/>
  <c r="AV161" i="34" s="1"/>
  <c r="AN161" i="34"/>
  <c r="AN166" i="34"/>
  <c r="AM166" i="34"/>
  <c r="AV166" i="34" s="1"/>
  <c r="AM183" i="34"/>
  <c r="AV183" i="34" s="1"/>
  <c r="AN183" i="34"/>
  <c r="AH7" i="34"/>
  <c r="AJ7" i="34" s="1"/>
  <c r="AH9" i="34"/>
  <c r="AJ9" i="34" s="1"/>
  <c r="AJ12" i="34"/>
  <c r="AK14" i="34"/>
  <c r="AL14" i="34" s="1"/>
  <c r="AH16" i="34"/>
  <c r="AF20" i="34"/>
  <c r="AH30" i="34"/>
  <c r="AH38" i="34"/>
  <c r="AF56" i="34"/>
  <c r="AS56" i="34"/>
  <c r="AH57" i="34"/>
  <c r="AT57" i="34"/>
  <c r="AI57" i="34"/>
  <c r="AH138" i="34"/>
  <c r="AT138" i="34"/>
  <c r="AK3" i="34"/>
  <c r="AL3" i="34" s="1"/>
  <c r="AF4" i="34"/>
  <c r="AI16" i="34"/>
  <c r="AJ18" i="34"/>
  <c r="AK21" i="34"/>
  <c r="AL21" i="34" s="1"/>
  <c r="AJ21" i="34"/>
  <c r="AT22" i="34"/>
  <c r="AI22" i="34"/>
  <c r="AF33" i="34"/>
  <c r="AK52" i="34"/>
  <c r="AL52" i="34" s="1"/>
  <c r="AT90" i="34"/>
  <c r="AH90" i="34"/>
  <c r="AH92" i="34"/>
  <c r="AT92" i="34"/>
  <c r="AT136" i="34"/>
  <c r="AI136" i="34"/>
  <c r="AH136" i="34"/>
  <c r="AT140" i="34"/>
  <c r="AH140" i="34"/>
  <c r="AM199" i="34"/>
  <c r="AV199" i="34" s="1"/>
  <c r="AN199" i="34"/>
  <c r="AT7" i="34"/>
  <c r="AF8" i="34"/>
  <c r="AH22" i="34"/>
  <c r="AJ23" i="34"/>
  <c r="AI24" i="34"/>
  <c r="AH24" i="34"/>
  <c r="AF25" i="34"/>
  <c r="AF27" i="34"/>
  <c r="AS27" i="34"/>
  <c r="AT32" i="34"/>
  <c r="AF35" i="34"/>
  <c r="AS35" i="34"/>
  <c r="AF44" i="34"/>
  <c r="AS44" i="34"/>
  <c r="AH45" i="34"/>
  <c r="AT45" i="34"/>
  <c r="AI45" i="34"/>
  <c r="AJ50" i="34"/>
  <c r="AK50" i="34"/>
  <c r="AT69" i="34"/>
  <c r="AK71" i="34"/>
  <c r="AL71" i="34" s="1"/>
  <c r="AN74" i="34"/>
  <c r="AK82" i="34"/>
  <c r="AL82" i="34" s="1"/>
  <c r="AI96" i="34"/>
  <c r="AH96" i="34"/>
  <c r="AT96" i="34"/>
  <c r="AK97" i="34"/>
  <c r="AL97" i="34" s="1"/>
  <c r="AT105" i="34"/>
  <c r="AI105" i="34"/>
  <c r="AH105" i="34"/>
  <c r="AI115" i="34"/>
  <c r="AH115" i="34"/>
  <c r="AT115" i="34"/>
  <c r="AT124" i="34"/>
  <c r="AI124" i="34"/>
  <c r="AH124" i="34"/>
  <c r="AK128" i="34"/>
  <c r="AL128" i="34" s="1"/>
  <c r="AI134" i="34"/>
  <c r="AH134" i="34"/>
  <c r="AT134" i="34"/>
  <c r="AT168" i="34"/>
  <c r="AI168" i="34"/>
  <c r="AH168" i="34"/>
  <c r="AM195" i="34"/>
  <c r="AV195" i="34" s="1"/>
  <c r="AN195" i="34"/>
  <c r="AS42" i="34"/>
  <c r="AS46" i="34"/>
  <c r="AS50" i="34"/>
  <c r="AS54" i="34"/>
  <c r="AS58" i="34"/>
  <c r="AK61" i="34"/>
  <c r="AL61" i="34" s="1"/>
  <c r="AS61" i="34"/>
  <c r="AK65" i="34"/>
  <c r="AL65" i="34" s="1"/>
  <c r="AS65" i="34"/>
  <c r="AK69" i="34"/>
  <c r="AL69" i="34" s="1"/>
  <c r="AS69" i="34"/>
  <c r="AI72" i="34"/>
  <c r="AK73" i="34"/>
  <c r="AL73" i="34" s="1"/>
  <c r="AS73" i="34"/>
  <c r="AI76" i="34"/>
  <c r="AK77" i="34"/>
  <c r="AL77" i="34" s="1"/>
  <c r="AS77" i="34"/>
  <c r="AI79" i="34"/>
  <c r="AS80" i="34"/>
  <c r="AK84" i="34"/>
  <c r="AL84" i="34" s="1"/>
  <c r="AS84" i="34"/>
  <c r="AK88" i="34"/>
  <c r="AL88" i="34" s="1"/>
  <c r="AS88" i="34"/>
  <c r="AK92" i="34"/>
  <c r="AL92" i="34" s="1"/>
  <c r="AS92" i="34"/>
  <c r="AS96" i="34"/>
  <c r="AK99" i="34"/>
  <c r="AL99" i="34" s="1"/>
  <c r="AS99" i="34"/>
  <c r="AI102" i="34"/>
  <c r="AS103" i="34"/>
  <c r="AI106" i="34"/>
  <c r="AS107" i="34"/>
  <c r="AS111" i="34"/>
  <c r="AI114" i="34"/>
  <c r="AS115" i="34"/>
  <c r="AK118" i="34"/>
  <c r="AL118" i="34" s="1"/>
  <c r="AS118" i="34"/>
  <c r="AS122" i="34"/>
  <c r="AI125" i="34"/>
  <c r="AS126" i="34"/>
  <c r="AI129" i="34"/>
  <c r="AK130" i="34"/>
  <c r="AL130" i="34" s="1"/>
  <c r="AS130" i="34"/>
  <c r="AI133" i="34"/>
  <c r="AS134" i="34"/>
  <c r="AK138" i="34"/>
  <c r="AL138" i="34" s="1"/>
  <c r="AS138" i="34"/>
  <c r="AK142" i="34"/>
  <c r="AL142" i="34" s="1"/>
  <c r="AT157" i="34"/>
  <c r="AJ172" i="34"/>
  <c r="AH179" i="34"/>
  <c r="AJ179" i="34" s="1"/>
  <c r="AI180" i="34"/>
  <c r="AF186" i="34"/>
  <c r="AN187" i="34"/>
  <c r="AF193" i="34"/>
  <c r="AJ199" i="34"/>
  <c r="AT199" i="34"/>
  <c r="AT203" i="34"/>
  <c r="AK230" i="34"/>
  <c r="AJ230" i="34"/>
  <c r="AI233" i="34"/>
  <c r="AH233" i="34"/>
  <c r="AT233" i="34"/>
  <c r="AK238" i="34"/>
  <c r="AL238" i="34" s="1"/>
  <c r="AK285" i="34"/>
  <c r="AL285" i="34" s="1"/>
  <c r="AT290" i="34"/>
  <c r="AH290" i="34"/>
  <c r="AT301" i="34"/>
  <c r="AH301" i="34"/>
  <c r="AT166" i="34"/>
  <c r="AT180" i="34"/>
  <c r="AI207" i="34"/>
  <c r="AH207" i="34"/>
  <c r="AI214" i="34"/>
  <c r="AH214" i="34"/>
  <c r="AT214" i="34"/>
  <c r="AI218" i="34"/>
  <c r="AH218" i="34"/>
  <c r="AT218" i="34"/>
  <c r="AH226" i="34"/>
  <c r="AT226" i="34"/>
  <c r="AK234" i="34"/>
  <c r="AL234" i="34" s="1"/>
  <c r="AI256" i="34"/>
  <c r="AH256" i="34"/>
  <c r="AT256" i="34"/>
  <c r="AH282" i="34"/>
  <c r="AT282" i="34"/>
  <c r="AT297" i="34"/>
  <c r="AH297" i="34"/>
  <c r="AK64" i="34"/>
  <c r="AL64" i="34" s="1"/>
  <c r="AK68" i="34"/>
  <c r="AL68" i="34" s="1"/>
  <c r="AK83" i="34"/>
  <c r="AL83" i="34" s="1"/>
  <c r="AK87" i="34"/>
  <c r="AL87" i="34" s="1"/>
  <c r="AK91" i="34"/>
  <c r="AL91" i="34" s="1"/>
  <c r="AK95" i="34"/>
  <c r="AL95" i="34" s="1"/>
  <c r="AK98" i="34"/>
  <c r="AL98" i="34" s="1"/>
  <c r="AK110" i="34"/>
  <c r="AL110" i="34" s="1"/>
  <c r="AK117" i="34"/>
  <c r="AL117" i="34" s="1"/>
  <c r="AK121" i="34"/>
  <c r="AL121" i="34" s="1"/>
  <c r="AK137" i="34"/>
  <c r="AL137" i="34" s="1"/>
  <c r="AK140" i="34"/>
  <c r="AL140" i="34" s="1"/>
  <c r="AK145" i="34"/>
  <c r="AL145" i="34" s="1"/>
  <c r="AK150" i="34"/>
  <c r="AL150" i="34" s="1"/>
  <c r="AT150" i="34"/>
  <c r="AF182" i="34"/>
  <c r="AN197" i="34"/>
  <c r="AN198" i="34"/>
  <c r="AI222" i="34"/>
  <c r="AH222" i="34"/>
  <c r="AT222" i="34"/>
  <c r="AK272" i="34"/>
  <c r="AL272" i="34" s="1"/>
  <c r="AT277" i="34"/>
  <c r="AI277" i="34"/>
  <c r="AH277" i="34"/>
  <c r="AT285" i="34"/>
  <c r="AH285" i="34"/>
  <c r="AK286" i="34"/>
  <c r="AJ286" i="34"/>
  <c r="AK339" i="34"/>
  <c r="AL339" i="34" s="1"/>
  <c r="AJ40" i="34"/>
  <c r="AH47" i="34"/>
  <c r="AJ48" i="34"/>
  <c r="AH51" i="34"/>
  <c r="AJ59" i="34"/>
  <c r="AT64" i="34"/>
  <c r="AJ67" i="34"/>
  <c r="AT68" i="34"/>
  <c r="AT72" i="34"/>
  <c r="AJ75" i="34"/>
  <c r="AT76" i="34"/>
  <c r="AT79" i="34"/>
  <c r="AJ82" i="34"/>
  <c r="AT83" i="34"/>
  <c r="AJ86" i="34"/>
  <c r="AT87" i="34"/>
  <c r="AJ90" i="34"/>
  <c r="AT91" i="34"/>
  <c r="AT95" i="34"/>
  <c r="AJ97" i="34"/>
  <c r="AT98" i="34"/>
  <c r="AT102" i="34"/>
  <c r="AH104" i="34"/>
  <c r="AJ104" i="34" s="1"/>
  <c r="AT106" i="34"/>
  <c r="AH108" i="34"/>
  <c r="AT110" i="34"/>
  <c r="AT114" i="34"/>
  <c r="AT117" i="34"/>
  <c r="AT121" i="34"/>
  <c r="AH123" i="34"/>
  <c r="AJ123" i="34" s="1"/>
  <c r="AT125" i="34"/>
  <c r="AH127" i="34"/>
  <c r="AJ127" i="34" s="1"/>
  <c r="AT129" i="34"/>
  <c r="AT133" i="34"/>
  <c r="AT137" i="34"/>
  <c r="AH139" i="34"/>
  <c r="AS143" i="34"/>
  <c r="AJ145" i="34"/>
  <c r="AH148" i="34"/>
  <c r="AH153" i="34"/>
  <c r="AS158" i="34"/>
  <c r="AJ161" i="34"/>
  <c r="AH164" i="34"/>
  <c r="AH167" i="34"/>
  <c r="AJ167" i="34" s="1"/>
  <c r="AT167" i="34"/>
  <c r="AT170" i="34"/>
  <c r="AF171" i="34"/>
  <c r="AH191" i="34"/>
  <c r="AT191" i="34"/>
  <c r="AJ193" i="34"/>
  <c r="AK203" i="34"/>
  <c r="AL203" i="34" s="1"/>
  <c r="AK227" i="34"/>
  <c r="AJ227" i="34"/>
  <c r="AK243" i="34"/>
  <c r="AL243" i="34" s="1"/>
  <c r="AK247" i="34"/>
  <c r="AJ247" i="34"/>
  <c r="AK289" i="34"/>
  <c r="AL289" i="34" s="1"/>
  <c r="AS63" i="34"/>
  <c r="AS67" i="34"/>
  <c r="AS71" i="34"/>
  <c r="AS75" i="34"/>
  <c r="AS78" i="34"/>
  <c r="AS82" i="34"/>
  <c r="AS86" i="34"/>
  <c r="AS90" i="34"/>
  <c r="AS94" i="34"/>
  <c r="AS97" i="34"/>
  <c r="AS101" i="34"/>
  <c r="AS105" i="34"/>
  <c r="AS109" i="34"/>
  <c r="AS113" i="34"/>
  <c r="AS116" i="34"/>
  <c r="AS120" i="34"/>
  <c r="AS124" i="34"/>
  <c r="AS128" i="34"/>
  <c r="AS132" i="34"/>
  <c r="AS136" i="34"/>
  <c r="AK148" i="34"/>
  <c r="AL148" i="34" s="1"/>
  <c r="AK153" i="34"/>
  <c r="AL153" i="34" s="1"/>
  <c r="AH162" i="34"/>
  <c r="AI164" i="34"/>
  <c r="AH165" i="34"/>
  <c r="AT187" i="34"/>
  <c r="AH188" i="34"/>
  <c r="AH195" i="34"/>
  <c r="AJ201" i="34"/>
  <c r="AK239" i="34"/>
  <c r="AL239" i="34" s="1"/>
  <c r="AK250" i="34"/>
  <c r="AJ250" i="34"/>
  <c r="AI260" i="34"/>
  <c r="AH260" i="34"/>
  <c r="AT260" i="34"/>
  <c r="AI288" i="34"/>
  <c r="AT288" i="34"/>
  <c r="AH288" i="34"/>
  <c r="AN291" i="34"/>
  <c r="AK141" i="34"/>
  <c r="AL141" i="34" s="1"/>
  <c r="AK156" i="34"/>
  <c r="AL156" i="34" s="1"/>
  <c r="AH171" i="34"/>
  <c r="AT171" i="34"/>
  <c r="AT183" i="34"/>
  <c r="AH184" i="34"/>
  <c r="AH187" i="34"/>
  <c r="AI188" i="34"/>
  <c r="AJ195" i="34"/>
  <c r="AT195" i="34"/>
  <c r="AT207" i="34"/>
  <c r="AK261" i="34"/>
  <c r="AJ261" i="34"/>
  <c r="AH264" i="34"/>
  <c r="AT264" i="34"/>
  <c r="AH274" i="34"/>
  <c r="AT274" i="34"/>
  <c r="AI184" i="34"/>
  <c r="AI241" i="34"/>
  <c r="AH241" i="34"/>
  <c r="AT241" i="34"/>
  <c r="AI245" i="34"/>
  <c r="AH245" i="34"/>
  <c r="AT245" i="34"/>
  <c r="AI252" i="34"/>
  <c r="AH252" i="34"/>
  <c r="AT252" i="34"/>
  <c r="AT269" i="34"/>
  <c r="AI269" i="34"/>
  <c r="AH269" i="34"/>
  <c r="AK283" i="34"/>
  <c r="AL283" i="34" s="1"/>
  <c r="AJ283" i="34"/>
  <c r="AF140" i="34"/>
  <c r="AK144" i="34"/>
  <c r="AL144" i="34" s="1"/>
  <c r="AK149" i="34"/>
  <c r="AL149" i="34" s="1"/>
  <c r="AF155" i="34"/>
  <c r="AK162" i="34"/>
  <c r="AL162" i="34" s="1"/>
  <c r="AF163" i="34"/>
  <c r="AK165" i="34"/>
  <c r="AL165" i="34" s="1"/>
  <c r="AH166" i="34"/>
  <c r="AJ166" i="34" s="1"/>
  <c r="AH172" i="34"/>
  <c r="AT172" i="34"/>
  <c r="AT179" i="34"/>
  <c r="AF190" i="34"/>
  <c r="AH199" i="34"/>
  <c r="AK224" i="34"/>
  <c r="AL224" i="34" s="1"/>
  <c r="AI237" i="34"/>
  <c r="AH237" i="34"/>
  <c r="AT237" i="34"/>
  <c r="AK275" i="34"/>
  <c r="AL275" i="34" s="1"/>
  <c r="AK276" i="34"/>
  <c r="AL276" i="34" s="1"/>
  <c r="AJ276" i="34"/>
  <c r="AH293" i="34"/>
  <c r="AT293" i="34"/>
  <c r="AI206" i="34"/>
  <c r="AI210" i="34"/>
  <c r="AI217" i="34"/>
  <c r="AI225" i="34"/>
  <c r="AK226" i="34"/>
  <c r="AL226" i="34" s="1"/>
  <c r="AI229" i="34"/>
  <c r="AI236" i="34"/>
  <c r="AI240" i="34"/>
  <c r="AI248" i="34"/>
  <c r="AI251" i="34"/>
  <c r="AI263" i="34"/>
  <c r="AK264" i="34"/>
  <c r="AL264" i="34" s="1"/>
  <c r="AI267" i="34"/>
  <c r="AS270" i="34"/>
  <c r="AK274" i="34"/>
  <c r="AL274" i="34" s="1"/>
  <c r="AS278" i="34"/>
  <c r="AK282" i="34"/>
  <c r="AL282" i="34" s="1"/>
  <c r="AD283" i="34"/>
  <c r="AT283" i="34"/>
  <c r="AF284" i="34"/>
  <c r="AF287" i="34"/>
  <c r="AK295" i="34"/>
  <c r="AL295" i="34" s="1"/>
  <c r="AS295" i="34"/>
  <c r="AK298" i="34"/>
  <c r="AL298" i="34" s="1"/>
  <c r="AT298" i="34"/>
  <c r="AT306" i="34"/>
  <c r="AK312" i="34"/>
  <c r="AL312" i="34" s="1"/>
  <c r="AJ312" i="34"/>
  <c r="AK318" i="34"/>
  <c r="AL318" i="34" s="1"/>
  <c r="AK320" i="34"/>
  <c r="AL320" i="34" s="1"/>
  <c r="AJ320" i="34"/>
  <c r="AH324" i="34"/>
  <c r="AT324" i="34"/>
  <c r="AT337" i="34"/>
  <c r="AI337" i="34"/>
  <c r="AH337" i="34"/>
  <c r="AT338" i="34"/>
  <c r="AI338" i="34"/>
  <c r="AH338" i="34"/>
  <c r="AS341" i="34"/>
  <c r="AF341" i="34"/>
  <c r="AH346" i="34"/>
  <c r="AT346" i="34"/>
  <c r="AT349" i="34"/>
  <c r="AK349" i="34"/>
  <c r="AL349" i="34" s="1"/>
  <c r="AH349" i="34"/>
  <c r="AN380" i="34"/>
  <c r="AM380" i="34"/>
  <c r="AV380" i="34" s="1"/>
  <c r="AN386" i="34"/>
  <c r="AM386" i="34"/>
  <c r="AV386" i="34" s="1"/>
  <c r="AS299" i="34"/>
  <c r="AS306" i="34"/>
  <c r="AF306" i="34"/>
  <c r="AT307" i="34"/>
  <c r="AK307" i="34"/>
  <c r="AL307" i="34" s="1"/>
  <c r="AH307" i="34"/>
  <c r="AT310" i="34"/>
  <c r="AI317" i="34"/>
  <c r="AH317" i="34"/>
  <c r="AT317" i="34"/>
  <c r="AT323" i="34"/>
  <c r="AK323" i="34"/>
  <c r="AL323" i="34" s="1"/>
  <c r="AH323" i="34"/>
  <c r="AT325" i="34"/>
  <c r="AI325" i="34"/>
  <c r="AH325" i="34"/>
  <c r="AI328" i="34"/>
  <c r="AH328" i="34"/>
  <c r="AT328" i="34"/>
  <c r="AK331" i="34"/>
  <c r="AL331" i="34" s="1"/>
  <c r="AH335" i="34"/>
  <c r="AT335" i="34"/>
  <c r="AH343" i="34"/>
  <c r="AT343" i="34"/>
  <c r="AT344" i="34"/>
  <c r="AI344" i="34"/>
  <c r="AH344" i="34"/>
  <c r="AT345" i="34"/>
  <c r="AK345" i="34"/>
  <c r="AL345" i="34" s="1"/>
  <c r="AH345" i="34"/>
  <c r="AI351" i="34"/>
  <c r="AH351" i="34"/>
  <c r="AT351" i="34"/>
  <c r="AH354" i="34"/>
  <c r="AT354" i="34"/>
  <c r="AT360" i="34"/>
  <c r="AI360" i="34"/>
  <c r="AH360" i="34"/>
  <c r="AT365" i="34"/>
  <c r="AI365" i="34"/>
  <c r="AH365" i="34"/>
  <c r="AF283" i="34"/>
  <c r="AH284" i="34"/>
  <c r="AJ285" i="34"/>
  <c r="AT286" i="34"/>
  <c r="AF289" i="34"/>
  <c r="AJ290" i="34"/>
  <c r="AH294" i="34"/>
  <c r="AK299" i="34"/>
  <c r="AL299" i="34" s="1"/>
  <c r="AF300" i="34"/>
  <c r="AH306" i="34"/>
  <c r="AJ306" i="34" s="1"/>
  <c r="AS310" i="34"/>
  <c r="AF310" i="34"/>
  <c r="AT311" i="34"/>
  <c r="AK311" i="34"/>
  <c r="AL311" i="34" s="1"/>
  <c r="AH311" i="34"/>
  <c r="AK316" i="34"/>
  <c r="AL316" i="34" s="1"/>
  <c r="AJ316" i="34"/>
  <c r="AT326" i="34"/>
  <c r="AI326" i="34"/>
  <c r="AH326" i="34"/>
  <c r="AS329" i="34"/>
  <c r="AF329" i="34"/>
  <c r="AI347" i="34"/>
  <c r="AH347" i="34"/>
  <c r="AT347" i="34"/>
  <c r="AT384" i="34"/>
  <c r="AH384" i="34"/>
  <c r="AT388" i="34"/>
  <c r="AI388" i="34"/>
  <c r="AH388" i="34"/>
  <c r="AH396" i="34"/>
  <c r="AT396" i="34"/>
  <c r="AT251" i="34"/>
  <c r="AT255" i="34"/>
  <c r="AT259" i="34"/>
  <c r="AT263" i="34"/>
  <c r="AT267" i="34"/>
  <c r="AT273" i="34"/>
  <c r="AT281" i="34"/>
  <c r="AS292" i="34"/>
  <c r="AT300" i="34"/>
  <c r="AK300" i="34"/>
  <c r="AL300" i="34" s="1"/>
  <c r="AH310" i="34"/>
  <c r="AJ310" i="34" s="1"/>
  <c r="AS314" i="34"/>
  <c r="AF314" i="34"/>
  <c r="AT314" i="34"/>
  <c r="AS322" i="34"/>
  <c r="AF322" i="34"/>
  <c r="AT333" i="34"/>
  <c r="AI333" i="34"/>
  <c r="AH333" i="34"/>
  <c r="AI336" i="34"/>
  <c r="AH336" i="34"/>
  <c r="AT336" i="34"/>
  <c r="AS348" i="34"/>
  <c r="AF348" i="34"/>
  <c r="AI355" i="34"/>
  <c r="AH355" i="34"/>
  <c r="AT355" i="34"/>
  <c r="AH358" i="34"/>
  <c r="AT358" i="34"/>
  <c r="AI358" i="34"/>
  <c r="AN390" i="34"/>
  <c r="AM390" i="34"/>
  <c r="AV390" i="34" s="1"/>
  <c r="AS212" i="34"/>
  <c r="AS216" i="34"/>
  <c r="AS220" i="34"/>
  <c r="AS224" i="34"/>
  <c r="AS228" i="34"/>
  <c r="AS231" i="34"/>
  <c r="AS235" i="34"/>
  <c r="AS239" i="34"/>
  <c r="AS243" i="34"/>
  <c r="AS247" i="34"/>
  <c r="AS250" i="34"/>
  <c r="AS254" i="34"/>
  <c r="AS258" i="34"/>
  <c r="AS262" i="34"/>
  <c r="AS266" i="34"/>
  <c r="AJ268" i="34"/>
  <c r="AS272" i="34"/>
  <c r="AS280" i="34"/>
  <c r="AJ287" i="34"/>
  <c r="AH289" i="34"/>
  <c r="AJ289" i="34" s="1"/>
  <c r="AK292" i="34"/>
  <c r="AL292" i="34" s="1"/>
  <c r="AF293" i="34"/>
  <c r="AJ294" i="34"/>
  <c r="AH300" i="34"/>
  <c r="AH303" i="34"/>
  <c r="AS303" i="34"/>
  <c r="AH314" i="34"/>
  <c r="AT315" i="34"/>
  <c r="AK315" i="34"/>
  <c r="AL315" i="34" s="1"/>
  <c r="AH315" i="34"/>
  <c r="AS318" i="34"/>
  <c r="AF318" i="34"/>
  <c r="AT319" i="34"/>
  <c r="AK319" i="34"/>
  <c r="AL319" i="34" s="1"/>
  <c r="AH319" i="34"/>
  <c r="AK327" i="34"/>
  <c r="AL327" i="34" s="1"/>
  <c r="AH331" i="34"/>
  <c r="AJ331" i="34" s="1"/>
  <c r="AT331" i="34"/>
  <c r="AT334" i="34"/>
  <c r="AI334" i="34"/>
  <c r="AH334" i="34"/>
  <c r="AS337" i="34"/>
  <c r="AF337" i="34"/>
  <c r="AT341" i="34"/>
  <c r="AI341" i="34"/>
  <c r="AH341" i="34"/>
  <c r="AT342" i="34"/>
  <c r="AI342" i="34"/>
  <c r="AH342" i="34"/>
  <c r="AK350" i="34"/>
  <c r="AL350" i="34" s="1"/>
  <c r="AJ350" i="34"/>
  <c r="AH359" i="34"/>
  <c r="AT359" i="34"/>
  <c r="AK359" i="34"/>
  <c r="AL359" i="34" s="1"/>
  <c r="AH362" i="34"/>
  <c r="AT362" i="34"/>
  <c r="AI362" i="34"/>
  <c r="AK306" i="34"/>
  <c r="AL306" i="34" s="1"/>
  <c r="AT320" i="34"/>
  <c r="AK324" i="34"/>
  <c r="AL324" i="34" s="1"/>
  <c r="AJ324" i="34"/>
  <c r="AS325" i="34"/>
  <c r="AF325" i="34"/>
  <c r="AH339" i="34"/>
  <c r="AJ339" i="34" s="1"/>
  <c r="AT339" i="34"/>
  <c r="AS344" i="34"/>
  <c r="AF344" i="34"/>
  <c r="AK346" i="34"/>
  <c r="AL346" i="34" s="1"/>
  <c r="AJ346" i="34"/>
  <c r="AT352" i="34"/>
  <c r="AK352" i="34"/>
  <c r="AL352" i="34" s="1"/>
  <c r="AH352" i="34"/>
  <c r="AN364" i="34"/>
  <c r="AM364" i="34"/>
  <c r="AV364" i="34" s="1"/>
  <c r="AT377" i="34"/>
  <c r="AH377" i="34"/>
  <c r="AM387" i="34"/>
  <c r="AV387" i="34" s="1"/>
  <c r="AN387" i="34"/>
  <c r="AK301" i="34"/>
  <c r="AL301" i="34" s="1"/>
  <c r="AT304" i="34"/>
  <c r="AK304" i="34"/>
  <c r="AL304" i="34" s="1"/>
  <c r="AH304" i="34"/>
  <c r="AJ304" i="34" s="1"/>
  <c r="AH309" i="34"/>
  <c r="AT309" i="34"/>
  <c r="AK309" i="34"/>
  <c r="AL309" i="34" s="1"/>
  <c r="AK310" i="34"/>
  <c r="AL310" i="34" s="1"/>
  <c r="AT329" i="34"/>
  <c r="AI329" i="34"/>
  <c r="AH329" i="34"/>
  <c r="AI332" i="34"/>
  <c r="AH332" i="34"/>
  <c r="AT332" i="34"/>
  <c r="AK335" i="34"/>
  <c r="AJ335" i="34"/>
  <c r="AK343" i="34"/>
  <c r="AJ343" i="34"/>
  <c r="AT363" i="34"/>
  <c r="AK363" i="34"/>
  <c r="AL363" i="34" s="1"/>
  <c r="AH363" i="34"/>
  <c r="AK404" i="34"/>
  <c r="AJ404" i="34"/>
  <c r="AK293" i="34"/>
  <c r="AL293" i="34" s="1"/>
  <c r="AK297" i="34"/>
  <c r="AL297" i="34" s="1"/>
  <c r="AJ301" i="34"/>
  <c r="AH302" i="34"/>
  <c r="AT302" i="34"/>
  <c r="AK302" i="34"/>
  <c r="AL302" i="34" s="1"/>
  <c r="AK305" i="34"/>
  <c r="AL305" i="34" s="1"/>
  <c r="AJ305" i="34"/>
  <c r="AK308" i="34"/>
  <c r="AL308" i="34" s="1"/>
  <c r="AJ308" i="34"/>
  <c r="AH313" i="34"/>
  <c r="AT313" i="34"/>
  <c r="AK313" i="34"/>
  <c r="AL313" i="34" s="1"/>
  <c r="AH321" i="34"/>
  <c r="AT321" i="34"/>
  <c r="AK321" i="34"/>
  <c r="AL321" i="34" s="1"/>
  <c r="AT322" i="34"/>
  <c r="AI322" i="34"/>
  <c r="AH327" i="34"/>
  <c r="AJ327" i="34" s="1"/>
  <c r="AT327" i="34"/>
  <c r="AT330" i="34"/>
  <c r="AI330" i="34"/>
  <c r="AH330" i="34"/>
  <c r="AS333" i="34"/>
  <c r="AF333" i="34"/>
  <c r="AI340" i="34"/>
  <c r="AH340" i="34"/>
  <c r="AT340" i="34"/>
  <c r="AT348" i="34"/>
  <c r="AK348" i="34"/>
  <c r="AL348" i="34" s="1"/>
  <c r="AH348" i="34"/>
  <c r="AH350" i="34"/>
  <c r="AT350" i="34"/>
  <c r="AT356" i="34"/>
  <c r="AK356" i="34"/>
  <c r="AL356" i="34" s="1"/>
  <c r="AH356" i="34"/>
  <c r="AN367" i="34"/>
  <c r="AM367" i="34"/>
  <c r="AV367" i="34" s="1"/>
  <c r="AM368" i="34"/>
  <c r="AV368" i="34" s="1"/>
  <c r="AF399" i="34"/>
  <c r="AS399" i="34"/>
  <c r="AS401" i="34"/>
  <c r="AF401" i="34"/>
  <c r="AT402" i="34"/>
  <c r="AK402" i="34"/>
  <c r="AL402" i="34" s="1"/>
  <c r="AH402" i="34"/>
  <c r="AT405" i="34"/>
  <c r="AI405" i="34"/>
  <c r="AH405" i="34"/>
  <c r="AT408" i="34"/>
  <c r="AI408" i="34"/>
  <c r="AH408" i="34"/>
  <c r="AI410" i="34"/>
  <c r="AH410" i="34"/>
  <c r="AT410" i="34"/>
  <c r="AJ433" i="34"/>
  <c r="AK433" i="34"/>
  <c r="AT435" i="34"/>
  <c r="AI435" i="34"/>
  <c r="AH435" i="34"/>
  <c r="AT452" i="34"/>
  <c r="AH452" i="34"/>
  <c r="AI469" i="34"/>
  <c r="AH469" i="34"/>
  <c r="AT469" i="34"/>
  <c r="AT486" i="34"/>
  <c r="AI486" i="34"/>
  <c r="AH486" i="34"/>
  <c r="AK510" i="34"/>
  <c r="AL510" i="34" s="1"/>
  <c r="AH510" i="34"/>
  <c r="AT510" i="34"/>
  <c r="AT512" i="34"/>
  <c r="AK512" i="34"/>
  <c r="AL512" i="34" s="1"/>
  <c r="AH512" i="34"/>
  <c r="AK524" i="34"/>
  <c r="AL524" i="34" s="1"/>
  <c r="AF352" i="34"/>
  <c r="AH353" i="34"/>
  <c r="AJ354" i="34"/>
  <c r="AF356" i="34"/>
  <c r="AH357" i="34"/>
  <c r="AF360" i="34"/>
  <c r="AH361" i="34"/>
  <c r="AF363" i="34"/>
  <c r="AH364" i="34"/>
  <c r="AH366" i="34"/>
  <c r="AH368" i="34"/>
  <c r="AM372" i="34"/>
  <c r="AV372" i="34" s="1"/>
  <c r="AK373" i="34"/>
  <c r="AL373" i="34" s="1"/>
  <c r="AH374" i="34"/>
  <c r="AT378" i="34"/>
  <c r="AH379" i="34"/>
  <c r="AH381" i="34"/>
  <c r="AF382" i="34"/>
  <c r="AT383" i="34"/>
  <c r="AJ389" i="34"/>
  <c r="AF390" i="34"/>
  <c r="AH392" i="34"/>
  <c r="AK397" i="34"/>
  <c r="AT399" i="34"/>
  <c r="AK401" i="34"/>
  <c r="AL401" i="34" s="1"/>
  <c r="AJ421" i="34"/>
  <c r="AK421" i="34"/>
  <c r="AT423" i="34"/>
  <c r="AI423" i="34"/>
  <c r="AH423" i="34"/>
  <c r="AT426" i="34"/>
  <c r="AI426" i="34"/>
  <c r="AH426" i="34"/>
  <c r="AK449" i="34"/>
  <c r="AL449" i="34" s="1"/>
  <c r="AK463" i="34"/>
  <c r="AL463" i="34" s="1"/>
  <c r="AK474" i="34"/>
  <c r="AJ474" i="34"/>
  <c r="AK481" i="34"/>
  <c r="AL481" i="34" s="1"/>
  <c r="AK484" i="34"/>
  <c r="AL484" i="34" s="1"/>
  <c r="AT490" i="34"/>
  <c r="AI490" i="34"/>
  <c r="AH490" i="34"/>
  <c r="AT494" i="34"/>
  <c r="AI494" i="34"/>
  <c r="AH494" i="34"/>
  <c r="AH498" i="34"/>
  <c r="AT498" i="34"/>
  <c r="AT520" i="34"/>
  <c r="AI520" i="34"/>
  <c r="AH520" i="34"/>
  <c r="AS305" i="34"/>
  <c r="AS308" i="34"/>
  <c r="AS312" i="34"/>
  <c r="AS316" i="34"/>
  <c r="AS320" i="34"/>
  <c r="AS324" i="34"/>
  <c r="AS327" i="34"/>
  <c r="AS331" i="34"/>
  <c r="AS335" i="34"/>
  <c r="AS339" i="34"/>
  <c r="AS343" i="34"/>
  <c r="AS346" i="34"/>
  <c r="AS350" i="34"/>
  <c r="AI353" i="34"/>
  <c r="AS354" i="34"/>
  <c r="AI357" i="34"/>
  <c r="AS358" i="34"/>
  <c r="AI361" i="34"/>
  <c r="AS362" i="34"/>
  <c r="AJ364" i="34"/>
  <c r="AS364" i="34"/>
  <c r="AI366" i="34"/>
  <c r="AT368" i="34"/>
  <c r="AI381" i="34"/>
  <c r="AH382" i="34"/>
  <c r="AH390" i="34"/>
  <c r="AI392" i="34"/>
  <c r="AH393" i="34"/>
  <c r="AT398" i="34"/>
  <c r="AI398" i="34"/>
  <c r="AI400" i="34"/>
  <c r="AH400" i="34"/>
  <c r="AT400" i="34"/>
  <c r="AT415" i="34"/>
  <c r="AH415" i="34"/>
  <c r="AT419" i="34"/>
  <c r="AI419" i="34"/>
  <c r="AH419" i="34"/>
  <c r="AJ437" i="34"/>
  <c r="AK437" i="34"/>
  <c r="AT456" i="34"/>
  <c r="AI456" i="34"/>
  <c r="AH456" i="34"/>
  <c r="AT467" i="34"/>
  <c r="AI467" i="34"/>
  <c r="AH467" i="34"/>
  <c r="AH505" i="34"/>
  <c r="AT505" i="34"/>
  <c r="AT511" i="34"/>
  <c r="AH511" i="34"/>
  <c r="AK548" i="34"/>
  <c r="AL548" i="34" s="1"/>
  <c r="AT364" i="34"/>
  <c r="AS371" i="34"/>
  <c r="AJ390" i="34"/>
  <c r="AI393" i="34"/>
  <c r="AF395" i="34"/>
  <c r="AS395" i="34"/>
  <c r="AT430" i="34"/>
  <c r="AI430" i="34"/>
  <c r="AH430" i="34"/>
  <c r="AT442" i="34"/>
  <c r="AI442" i="34"/>
  <c r="AH442" i="34"/>
  <c r="AK451" i="34"/>
  <c r="AL451" i="34" s="1"/>
  <c r="AK466" i="34"/>
  <c r="AL466" i="34" s="1"/>
  <c r="AI473" i="34"/>
  <c r="AH473" i="34"/>
  <c r="AT473" i="34"/>
  <c r="AT478" i="34"/>
  <c r="AH478" i="34"/>
  <c r="AI480" i="34"/>
  <c r="AH480" i="34"/>
  <c r="AT480" i="34"/>
  <c r="AK485" i="34"/>
  <c r="AJ485" i="34"/>
  <c r="AT497" i="34"/>
  <c r="AK497" i="34"/>
  <c r="AL497" i="34" s="1"/>
  <c r="AH497" i="34"/>
  <c r="AK509" i="34"/>
  <c r="AL509" i="34" s="1"/>
  <c r="AK511" i="34"/>
  <c r="AL511" i="34" s="1"/>
  <c r="AJ511" i="34"/>
  <c r="AS338" i="34"/>
  <c r="AS342" i="34"/>
  <c r="AS345" i="34"/>
  <c r="AS349" i="34"/>
  <c r="AS353" i="34"/>
  <c r="AS357" i="34"/>
  <c r="AS361" i="34"/>
  <c r="AH367" i="34"/>
  <c r="AJ367" i="34" s="1"/>
  <c r="AH369" i="34"/>
  <c r="AF372" i="34"/>
  <c r="AK374" i="34"/>
  <c r="AL374" i="34" s="1"/>
  <c r="AH375" i="34"/>
  <c r="AK379" i="34"/>
  <c r="AL379" i="34" s="1"/>
  <c r="AK384" i="34"/>
  <c r="AL384" i="34" s="1"/>
  <c r="AH385" i="34"/>
  <c r="AH387" i="34"/>
  <c r="AJ387" i="34" s="1"/>
  <c r="AT387" i="34"/>
  <c r="AT401" i="34"/>
  <c r="AH401" i="34"/>
  <c r="AT404" i="34"/>
  <c r="AH404" i="34"/>
  <c r="AT416" i="34"/>
  <c r="AK416" i="34"/>
  <c r="AL416" i="34" s="1"/>
  <c r="AH416" i="34"/>
  <c r="AJ425" i="34"/>
  <c r="AK425" i="34"/>
  <c r="AT427" i="34"/>
  <c r="AI427" i="34"/>
  <c r="AH427" i="34"/>
  <c r="AK447" i="34"/>
  <c r="AL447" i="34" s="1"/>
  <c r="AT449" i="34"/>
  <c r="AH449" i="34"/>
  <c r="AH454" i="34"/>
  <c r="AT454" i="34"/>
  <c r="AK455" i="34"/>
  <c r="AJ455" i="34"/>
  <c r="AT463" i="34"/>
  <c r="AH463" i="34"/>
  <c r="AJ463" i="34" s="1"/>
  <c r="AI465" i="34"/>
  <c r="AH465" i="34"/>
  <c r="AT465" i="34"/>
  <c r="AH484" i="34"/>
  <c r="AT484" i="34"/>
  <c r="AK489" i="34"/>
  <c r="AJ489" i="34"/>
  <c r="AK493" i="34"/>
  <c r="AJ493" i="34"/>
  <c r="AK496" i="34"/>
  <c r="AL496" i="34" s="1"/>
  <c r="AT499" i="34"/>
  <c r="AI499" i="34"/>
  <c r="AH499" i="34"/>
  <c r="AT516" i="34"/>
  <c r="AI516" i="34"/>
  <c r="AH516" i="34"/>
  <c r="AK369" i="34"/>
  <c r="AL369" i="34" s="1"/>
  <c r="AF380" i="34"/>
  <c r="AJ384" i="34"/>
  <c r="AI385" i="34"/>
  <c r="AT390" i="34"/>
  <c r="AF391" i="34"/>
  <c r="AT394" i="34"/>
  <c r="AI394" i="34"/>
  <c r="AH395" i="34"/>
  <c r="AT395" i="34"/>
  <c r="AH403" i="34"/>
  <c r="AT403" i="34"/>
  <c r="AT412" i="34"/>
  <c r="AH412" i="34"/>
  <c r="AK414" i="34"/>
  <c r="AL414" i="34" s="1"/>
  <c r="AJ418" i="34"/>
  <c r="AK418" i="34"/>
  <c r="AT434" i="34"/>
  <c r="AI434" i="34"/>
  <c r="AH434" i="34"/>
  <c r="AK441" i="34"/>
  <c r="AL441" i="34" s="1"/>
  <c r="AT471" i="34"/>
  <c r="AI471" i="34"/>
  <c r="AH471" i="34"/>
  <c r="AH528" i="34"/>
  <c r="AT528" i="34"/>
  <c r="AI528" i="34"/>
  <c r="AK552" i="34"/>
  <c r="AL552" i="34" s="1"/>
  <c r="AK377" i="34"/>
  <c r="AL377" i="34" s="1"/>
  <c r="AT422" i="34"/>
  <c r="AI422" i="34"/>
  <c r="AH422" i="34"/>
  <c r="AK429" i="34"/>
  <c r="AL429" i="34" s="1"/>
  <c r="AT431" i="34"/>
  <c r="AI431" i="34"/>
  <c r="AH431" i="34"/>
  <c r="AT445" i="34"/>
  <c r="AI445" i="34"/>
  <c r="AH445" i="34"/>
  <c r="AH447" i="34"/>
  <c r="AT447" i="34"/>
  <c r="AK448" i="34"/>
  <c r="AL448" i="34" s="1"/>
  <c r="AK452" i="34"/>
  <c r="AL452" i="34" s="1"/>
  <c r="AT482" i="34"/>
  <c r="AI482" i="34"/>
  <c r="AH482" i="34"/>
  <c r="AI488" i="34"/>
  <c r="AH488" i="34"/>
  <c r="AT488" i="34"/>
  <c r="AI492" i="34"/>
  <c r="AH492" i="34"/>
  <c r="AT492" i="34"/>
  <c r="AT496" i="34"/>
  <c r="AH496" i="34"/>
  <c r="AT503" i="34"/>
  <c r="AI503" i="34"/>
  <c r="AH503" i="34"/>
  <c r="AH509" i="34"/>
  <c r="AT509" i="34"/>
  <c r="AT367" i="34"/>
  <c r="AF368" i="34"/>
  <c r="AJ377" i="34"/>
  <c r="AH380" i="34"/>
  <c r="AT380" i="34"/>
  <c r="AK396" i="34"/>
  <c r="AL396" i="34" s="1"/>
  <c r="AH414" i="34"/>
  <c r="AT414" i="34"/>
  <c r="AT438" i="34"/>
  <c r="AI438" i="34"/>
  <c r="AH438" i="34"/>
  <c r="AT441" i="34"/>
  <c r="AH441" i="34"/>
  <c r="AT459" i="34"/>
  <c r="AI459" i="34"/>
  <c r="AH459" i="34"/>
  <c r="AI461" i="34"/>
  <c r="AH461" i="34"/>
  <c r="AT461" i="34"/>
  <c r="AK470" i="34"/>
  <c r="AJ470" i="34"/>
  <c r="AT475" i="34"/>
  <c r="AI475" i="34"/>
  <c r="AH475" i="34"/>
  <c r="AT500" i="34"/>
  <c r="AK500" i="34"/>
  <c r="AL500" i="34" s="1"/>
  <c r="AH500" i="34"/>
  <c r="AK505" i="34"/>
  <c r="AL505" i="34" s="1"/>
  <c r="AT407" i="34"/>
  <c r="AF408" i="34"/>
  <c r="AH409" i="34"/>
  <c r="AT411" i="34"/>
  <c r="AF412" i="34"/>
  <c r="AH413" i="34"/>
  <c r="AJ414" i="34"/>
  <c r="AI424" i="34"/>
  <c r="AI428" i="34"/>
  <c r="AI432" i="34"/>
  <c r="AI436" i="34"/>
  <c r="AK440" i="34"/>
  <c r="AL440" i="34" s="1"/>
  <c r="AK444" i="34"/>
  <c r="AL444" i="34" s="1"/>
  <c r="AT444" i="34"/>
  <c r="AF445" i="34"/>
  <c r="AH446" i="34"/>
  <c r="AJ447" i="34"/>
  <c r="AT448" i="34"/>
  <c r="AH453" i="34"/>
  <c r="AJ454" i="34"/>
  <c r="AT455" i="34"/>
  <c r="AF456" i="34"/>
  <c r="AH457" i="34"/>
  <c r="AF459" i="34"/>
  <c r="AH460" i="34"/>
  <c r="AT462" i="34"/>
  <c r="AF463" i="34"/>
  <c r="AH464" i="34"/>
  <c r="AT466" i="34"/>
  <c r="AF467" i="34"/>
  <c r="AH468" i="34"/>
  <c r="AT470" i="34"/>
  <c r="AF471" i="34"/>
  <c r="AH472" i="34"/>
  <c r="AT474" i="34"/>
  <c r="AF475" i="34"/>
  <c r="AH476" i="34"/>
  <c r="AT477" i="34"/>
  <c r="AF478" i="34"/>
  <c r="AH479" i="34"/>
  <c r="AT481" i="34"/>
  <c r="AF482" i="34"/>
  <c r="AH483" i="34"/>
  <c r="AJ484" i="34"/>
  <c r="AT485" i="34"/>
  <c r="AF486" i="34"/>
  <c r="AH487" i="34"/>
  <c r="AT489" i="34"/>
  <c r="AF490" i="34"/>
  <c r="AH491" i="34"/>
  <c r="AT493" i="34"/>
  <c r="AF494" i="34"/>
  <c r="AH495" i="34"/>
  <c r="AJ498" i="34"/>
  <c r="AS498" i="34"/>
  <c r="AT502" i="34"/>
  <c r="AF503" i="34"/>
  <c r="AH504" i="34"/>
  <c r="AJ505" i="34"/>
  <c r="AT506" i="34"/>
  <c r="AF507" i="34"/>
  <c r="AH508" i="34"/>
  <c r="AJ509" i="34"/>
  <c r="AH514" i="34"/>
  <c r="AI515" i="34"/>
  <c r="AS515" i="34"/>
  <c r="AI519" i="34"/>
  <c r="AI521" i="34"/>
  <c r="AS521" i="34"/>
  <c r="AT522" i="34"/>
  <c r="AI522" i="34"/>
  <c r="AH522" i="34"/>
  <c r="AI523" i="34"/>
  <c r="AS529" i="34"/>
  <c r="AF534" i="34"/>
  <c r="AS534" i="34"/>
  <c r="AH535" i="34"/>
  <c r="AJ535" i="34" s="1"/>
  <c r="AT535" i="34"/>
  <c r="AK540" i="34"/>
  <c r="AL540" i="34" s="1"/>
  <c r="AJ540" i="34"/>
  <c r="AF550" i="34"/>
  <c r="AS550" i="34"/>
  <c r="AT559" i="34"/>
  <c r="AH559" i="34"/>
  <c r="AK571" i="34"/>
  <c r="AL571" i="34" s="1"/>
  <c r="AK572" i="34"/>
  <c r="AL572" i="34" s="1"/>
  <c r="AT574" i="34"/>
  <c r="AH574" i="34"/>
  <c r="AK586" i="34"/>
  <c r="AL586" i="34" s="1"/>
  <c r="AK595" i="34"/>
  <c r="AL595" i="34" s="1"/>
  <c r="AK610" i="34"/>
  <c r="AL610" i="34" s="1"/>
  <c r="AT610" i="34"/>
  <c r="AH610" i="34"/>
  <c r="AT634" i="34"/>
  <c r="AH634" i="34"/>
  <c r="AI634" i="34"/>
  <c r="AS406" i="34"/>
  <c r="AT418" i="34"/>
  <c r="AT421" i="34"/>
  <c r="AT425" i="34"/>
  <c r="AT429" i="34"/>
  <c r="AT433" i="34"/>
  <c r="AT437" i="34"/>
  <c r="AT440" i="34"/>
  <c r="AT451" i="34"/>
  <c r="AI468" i="34"/>
  <c r="AI472" i="34"/>
  <c r="AS473" i="34"/>
  <c r="AI476" i="34"/>
  <c r="AS480" i="34"/>
  <c r="AI483" i="34"/>
  <c r="AS484" i="34"/>
  <c r="AI487" i="34"/>
  <c r="AS488" i="34"/>
  <c r="AI491" i="34"/>
  <c r="AS492" i="34"/>
  <c r="AI495" i="34"/>
  <c r="AS505" i="34"/>
  <c r="AS509" i="34"/>
  <c r="AT515" i="34"/>
  <c r="AF546" i="34"/>
  <c r="AS546" i="34"/>
  <c r="AK567" i="34"/>
  <c r="AL567" i="34" s="1"/>
  <c r="AK580" i="34"/>
  <c r="AL580" i="34" s="1"/>
  <c r="AT582" i="34"/>
  <c r="AH582" i="34"/>
  <c r="AT598" i="34"/>
  <c r="AI598" i="34"/>
  <c r="AH598" i="34"/>
  <c r="AK607" i="34"/>
  <c r="AJ607" i="34"/>
  <c r="AH624" i="34"/>
  <c r="AT624" i="34"/>
  <c r="AI624" i="34"/>
  <c r="AK406" i="34"/>
  <c r="AL406" i="34" s="1"/>
  <c r="AS417" i="34"/>
  <c r="AK420" i="34"/>
  <c r="AL420" i="34" s="1"/>
  <c r="AS420" i="34"/>
  <c r="AS424" i="34"/>
  <c r="AS428" i="34"/>
  <c r="AS432" i="34"/>
  <c r="AS436" i="34"/>
  <c r="AK439" i="34"/>
  <c r="AL439" i="34" s="1"/>
  <c r="AS439" i="34"/>
  <c r="AK443" i="34"/>
  <c r="AL443" i="34" s="1"/>
  <c r="AS443" i="34"/>
  <c r="AK450" i="34"/>
  <c r="AL450" i="34" s="1"/>
  <c r="AS450" i="34"/>
  <c r="AH507" i="34"/>
  <c r="AJ508" i="34"/>
  <c r="AF527" i="34"/>
  <c r="AS527" i="34"/>
  <c r="AT527" i="34"/>
  <c r="AI529" i="34"/>
  <c r="AI533" i="34"/>
  <c r="AH544" i="34"/>
  <c r="AK562" i="34"/>
  <c r="AL562" i="34" s="1"/>
  <c r="AT602" i="34"/>
  <c r="AI602" i="34"/>
  <c r="AH602" i="34"/>
  <c r="AT428" i="34"/>
  <c r="AT432" i="34"/>
  <c r="AT436" i="34"/>
  <c r="AT439" i="34"/>
  <c r="AT443" i="34"/>
  <c r="AT450" i="34"/>
  <c r="AK479" i="34"/>
  <c r="AL479" i="34" s="1"/>
  <c r="AK504" i="34"/>
  <c r="AL504" i="34" s="1"/>
  <c r="AS504" i="34"/>
  <c r="AS508" i="34"/>
  <c r="AK514" i="34"/>
  <c r="AL514" i="34" s="1"/>
  <c r="AS526" i="34"/>
  <c r="AH539" i="34"/>
  <c r="AJ539" i="34" s="1"/>
  <c r="AT539" i="34"/>
  <c r="AK544" i="34"/>
  <c r="AL544" i="34" s="1"/>
  <c r="AJ544" i="34"/>
  <c r="AN569" i="34"/>
  <c r="AM569" i="34"/>
  <c r="AV569" i="34" s="1"/>
  <c r="AT571" i="34"/>
  <c r="AH571" i="34"/>
  <c r="AT586" i="34"/>
  <c r="AH586" i="34"/>
  <c r="AH588" i="34"/>
  <c r="AT588" i="34"/>
  <c r="AI588" i="34"/>
  <c r="AK597" i="34"/>
  <c r="AL597" i="34" s="1"/>
  <c r="AH641" i="34"/>
  <c r="AT641" i="34"/>
  <c r="AI641" i="34"/>
  <c r="AH470" i="34"/>
  <c r="AH474" i="34"/>
  <c r="AJ478" i="34"/>
  <c r="AH481" i="34"/>
  <c r="AJ481" i="34" s="1"/>
  <c r="AH485" i="34"/>
  <c r="AH489" i="34"/>
  <c r="AH493" i="34"/>
  <c r="AJ507" i="34"/>
  <c r="AH517" i="34"/>
  <c r="AS525" i="34"/>
  <c r="AT526" i="34"/>
  <c r="AI526" i="34"/>
  <c r="AH526" i="34"/>
  <c r="AI527" i="34"/>
  <c r="AH532" i="34"/>
  <c r="AT532" i="34"/>
  <c r="AH536" i="34"/>
  <c r="AJ536" i="34" s="1"/>
  <c r="AF538" i="34"/>
  <c r="AS538" i="34"/>
  <c r="AT552" i="34"/>
  <c r="AH552" i="34"/>
  <c r="AJ552" i="34" s="1"/>
  <c r="AT555" i="34"/>
  <c r="AI555" i="34"/>
  <c r="AH555" i="34"/>
  <c r="AK563" i="34"/>
  <c r="AL563" i="34" s="1"/>
  <c r="AT567" i="34"/>
  <c r="AH567" i="34"/>
  <c r="AH580" i="34"/>
  <c r="AT580" i="34"/>
  <c r="AK581" i="34"/>
  <c r="AL581" i="34" s="1"/>
  <c r="AT609" i="34"/>
  <c r="AI609" i="34"/>
  <c r="AH609" i="34"/>
  <c r="AH620" i="34"/>
  <c r="AT620" i="34"/>
  <c r="AT631" i="34"/>
  <c r="AH631" i="34"/>
  <c r="AK631" i="34"/>
  <c r="AL631" i="34" s="1"/>
  <c r="AN698" i="34"/>
  <c r="AM698" i="34"/>
  <c r="AV698" i="34" s="1"/>
  <c r="AJ415" i="34"/>
  <c r="AH418" i="34"/>
  <c r="AH421" i="34"/>
  <c r="AH425" i="34"/>
  <c r="AH429" i="34"/>
  <c r="AJ429" i="34" s="1"/>
  <c r="AH433" i="34"/>
  <c r="AH437" i="34"/>
  <c r="AJ441" i="34"/>
  <c r="AH451" i="34"/>
  <c r="AJ451" i="34" s="1"/>
  <c r="AJ452" i="34"/>
  <c r="AI518" i="34"/>
  <c r="AH518" i="34"/>
  <c r="AF531" i="34"/>
  <c r="AS531" i="34"/>
  <c r="AJ532" i="34"/>
  <c r="AK532" i="34"/>
  <c r="AK536" i="34"/>
  <c r="AL536" i="34" s="1"/>
  <c r="AT548" i="34"/>
  <c r="AH548" i="34"/>
  <c r="AJ548" i="34" s="1"/>
  <c r="AH573" i="34"/>
  <c r="AT573" i="34"/>
  <c r="AT578" i="34"/>
  <c r="AH578" i="34"/>
  <c r="AH589" i="34"/>
  <c r="AT589" i="34"/>
  <c r="AT614" i="34"/>
  <c r="AI614" i="34"/>
  <c r="AH614" i="34"/>
  <c r="AT621" i="34"/>
  <c r="AH621" i="34"/>
  <c r="AI621" i="34"/>
  <c r="AT642" i="34"/>
  <c r="AH642" i="34"/>
  <c r="AI642" i="34"/>
  <c r="AT643" i="34"/>
  <c r="AH643" i="34"/>
  <c r="AI643" i="34"/>
  <c r="AT518" i="34"/>
  <c r="AF519" i="34"/>
  <c r="AF523" i="34"/>
  <c r="AS523" i="34"/>
  <c r="AT523" i="34"/>
  <c r="AS530" i="34"/>
  <c r="AH531" i="34"/>
  <c r="AI531" i="34"/>
  <c r="AH543" i="34"/>
  <c r="AT543" i="34"/>
  <c r="AH551" i="34"/>
  <c r="AT551" i="34"/>
  <c r="AJ570" i="34"/>
  <c r="AK570" i="34"/>
  <c r="AK573" i="34"/>
  <c r="AL573" i="34" s="1"/>
  <c r="AJ573" i="34"/>
  <c r="AN579" i="34"/>
  <c r="AM579" i="34"/>
  <c r="AV579" i="34" s="1"/>
  <c r="AK582" i="34"/>
  <c r="AL582" i="34" s="1"/>
  <c r="AH584" i="34"/>
  <c r="AT584" i="34"/>
  <c r="AI584" i="34"/>
  <c r="AK589" i="34"/>
  <c r="AL589" i="34" s="1"/>
  <c r="AJ589" i="34"/>
  <c r="AT594" i="34"/>
  <c r="AI594" i="34"/>
  <c r="AH594" i="34"/>
  <c r="AM613" i="34"/>
  <c r="AV613" i="34" s="1"/>
  <c r="AN613" i="34"/>
  <c r="AM676" i="34"/>
  <c r="AV676" i="34" s="1"/>
  <c r="AN676" i="34"/>
  <c r="AN690" i="34"/>
  <c r="AN709" i="34"/>
  <c r="AM709" i="34"/>
  <c r="AV709" i="34" s="1"/>
  <c r="AT519" i="34"/>
  <c r="AS522" i="34"/>
  <c r="AH524" i="34"/>
  <c r="AJ524" i="34" s="1"/>
  <c r="AT524" i="34"/>
  <c r="AF542" i="34"/>
  <c r="AS542" i="34"/>
  <c r="AH547" i="34"/>
  <c r="AT547" i="34"/>
  <c r="AT563" i="34"/>
  <c r="AH563" i="34"/>
  <c r="AT606" i="34"/>
  <c r="AI606" i="34"/>
  <c r="AH606" i="34"/>
  <c r="AT612" i="34"/>
  <c r="AI612" i="34"/>
  <c r="AH612" i="34"/>
  <c r="AH628" i="34"/>
  <c r="AJ628" i="34" s="1"/>
  <c r="AT628" i="34"/>
  <c r="AH632" i="34"/>
  <c r="AT632" i="34"/>
  <c r="AI632" i="34"/>
  <c r="AH633" i="34"/>
  <c r="AT633" i="34"/>
  <c r="AI633" i="34"/>
  <c r="AH644" i="34"/>
  <c r="AT644" i="34"/>
  <c r="AI644" i="34"/>
  <c r="AH645" i="34"/>
  <c r="AT645" i="34"/>
  <c r="AI645" i="34"/>
  <c r="AK535" i="34"/>
  <c r="AL535" i="34" s="1"/>
  <c r="AI538" i="34"/>
  <c r="AK539" i="34"/>
  <c r="AL539" i="34" s="1"/>
  <c r="AI542" i="34"/>
  <c r="AK543" i="34"/>
  <c r="AL543" i="34" s="1"/>
  <c r="AI546" i="34"/>
  <c r="AK547" i="34"/>
  <c r="AL547" i="34" s="1"/>
  <c r="AI550" i="34"/>
  <c r="AK551" i="34"/>
  <c r="AL551" i="34" s="1"/>
  <c r="AK554" i="34"/>
  <c r="AL554" i="34" s="1"/>
  <c r="AK558" i="34"/>
  <c r="AL558" i="34" s="1"/>
  <c r="AK566" i="34"/>
  <c r="AL566" i="34" s="1"/>
  <c r="AK585" i="34"/>
  <c r="AL585" i="34" s="1"/>
  <c r="AT593" i="34"/>
  <c r="AT597" i="34"/>
  <c r="AT601" i="34"/>
  <c r="AS611" i="34"/>
  <c r="AH615" i="34"/>
  <c r="AT615" i="34"/>
  <c r="AI626" i="34"/>
  <c r="AK706" i="34"/>
  <c r="AL706" i="34" s="1"/>
  <c r="AT706" i="34"/>
  <c r="AI712" i="34"/>
  <c r="AT712" i="34"/>
  <c r="AF723" i="34"/>
  <c r="AS723" i="34"/>
  <c r="AH740" i="34"/>
  <c r="AT740" i="34"/>
  <c r="AM747" i="34"/>
  <c r="AV747" i="34" s="1"/>
  <c r="AH748" i="34"/>
  <c r="AK748" i="34"/>
  <c r="AL748" i="34" s="1"/>
  <c r="AT748" i="34"/>
  <c r="AH530" i="34"/>
  <c r="AJ534" i="34"/>
  <c r="AH537" i="34"/>
  <c r="AH541" i="34"/>
  <c r="AH545" i="34"/>
  <c r="AH549" i="34"/>
  <c r="AJ553" i="34"/>
  <c r="AT554" i="34"/>
  <c r="AH556" i="34"/>
  <c r="AJ557" i="34"/>
  <c r="AT558" i="34"/>
  <c r="AH560" i="34"/>
  <c r="AJ561" i="34"/>
  <c r="AT562" i="34"/>
  <c r="AH564" i="34"/>
  <c r="AJ565" i="34"/>
  <c r="AT566" i="34"/>
  <c r="AH568" i="34"/>
  <c r="AJ569" i="34"/>
  <c r="AT570" i="34"/>
  <c r="AT572" i="34"/>
  <c r="AF578" i="34"/>
  <c r="AH579" i="34"/>
  <c r="AJ580" i="34"/>
  <c r="AT581" i="34"/>
  <c r="AF582" i="34"/>
  <c r="AH583" i="34"/>
  <c r="AT585" i="34"/>
  <c r="AF586" i="34"/>
  <c r="AH587" i="34"/>
  <c r="AT608" i="34"/>
  <c r="AS612" i="34"/>
  <c r="AK618" i="34"/>
  <c r="AL618" i="34" s="1"/>
  <c r="AK620" i="34"/>
  <c r="AL620" i="34" s="1"/>
  <c r="AK628" i="34"/>
  <c r="AL628" i="34" s="1"/>
  <c r="AF644" i="34"/>
  <c r="AS644" i="34"/>
  <c r="AI649" i="34"/>
  <c r="AH649" i="34"/>
  <c r="AH655" i="34"/>
  <c r="AK668" i="34"/>
  <c r="AL668" i="34" s="1"/>
  <c r="AT668" i="34"/>
  <c r="AI697" i="34"/>
  <c r="AT697" i="34"/>
  <c r="AI708" i="34"/>
  <c r="AT708" i="34"/>
  <c r="AN719" i="34"/>
  <c r="AM719" i="34"/>
  <c r="AV719" i="34" s="1"/>
  <c r="AI723" i="34"/>
  <c r="AT723" i="34"/>
  <c r="AH723" i="34"/>
  <c r="AT742" i="34"/>
  <c r="AI742" i="34"/>
  <c r="AH742" i="34"/>
  <c r="AT768" i="34"/>
  <c r="AK768" i="34"/>
  <c r="AL768" i="34" s="1"/>
  <c r="AH768" i="34"/>
  <c r="AI530" i="34"/>
  <c r="AI537" i="34"/>
  <c r="AI541" i="34"/>
  <c r="AI545" i="34"/>
  <c r="AI549" i="34"/>
  <c r="AS553" i="34"/>
  <c r="AI556" i="34"/>
  <c r="AS557" i="34"/>
  <c r="AS561" i="34"/>
  <c r="AI564" i="34"/>
  <c r="AS565" i="34"/>
  <c r="AS569" i="34"/>
  <c r="AS580" i="34"/>
  <c r="AI583" i="34"/>
  <c r="AS584" i="34"/>
  <c r="AS588" i="34"/>
  <c r="AS615" i="34"/>
  <c r="AH623" i="34"/>
  <c r="AT623" i="34"/>
  <c r="AS642" i="34"/>
  <c r="AK655" i="34"/>
  <c r="AL655" i="34" s="1"/>
  <c r="AK657" i="34"/>
  <c r="AL657" i="34" s="1"/>
  <c r="AT657" i="34"/>
  <c r="AH670" i="34"/>
  <c r="AH701" i="34"/>
  <c r="AI703" i="34"/>
  <c r="AH703" i="34"/>
  <c r="AS718" i="34"/>
  <c r="AF718" i="34"/>
  <c r="AT727" i="34"/>
  <c r="AI727" i="34"/>
  <c r="AH727" i="34"/>
  <c r="AK731" i="34"/>
  <c r="AL731" i="34" s="1"/>
  <c r="AJ731" i="34"/>
  <c r="AK733" i="34"/>
  <c r="AL733" i="34" s="1"/>
  <c r="AT569" i="34"/>
  <c r="AT613" i="34"/>
  <c r="AH613" i="34"/>
  <c r="AS640" i="34"/>
  <c r="AK670" i="34"/>
  <c r="AL670" i="34" s="1"/>
  <c r="AI684" i="34"/>
  <c r="AH684" i="34"/>
  <c r="AI687" i="34"/>
  <c r="AH687" i="34"/>
  <c r="AI693" i="34"/>
  <c r="AT693" i="34"/>
  <c r="AK701" i="34"/>
  <c r="AL701" i="34" s="1"/>
  <c r="AT716" i="34"/>
  <c r="AI716" i="34"/>
  <c r="AH716" i="34"/>
  <c r="AT758" i="34"/>
  <c r="AH758" i="34"/>
  <c r="AT775" i="34"/>
  <c r="AH775" i="34"/>
  <c r="AI578" i="34"/>
  <c r="AS638" i="34"/>
  <c r="AT639" i="34"/>
  <c r="AH639" i="34"/>
  <c r="AH640" i="34"/>
  <c r="AT640" i="34"/>
  <c r="AS646" i="34"/>
  <c r="AF646" i="34"/>
  <c r="AN743" i="34"/>
  <c r="AM743" i="34"/>
  <c r="AV743" i="34" s="1"/>
  <c r="AI744" i="34"/>
  <c r="AH744" i="34"/>
  <c r="AT744" i="34"/>
  <c r="AJ559" i="34"/>
  <c r="AH562" i="34"/>
  <c r="AJ562" i="34" s="1"/>
  <c r="AJ563" i="34"/>
  <c r="AJ567" i="34"/>
  <c r="AH570" i="34"/>
  <c r="AJ571" i="34"/>
  <c r="AH572" i="34"/>
  <c r="AJ572" i="34" s="1"/>
  <c r="AM575" i="34"/>
  <c r="AV575" i="34" s="1"/>
  <c r="AH581" i="34"/>
  <c r="AJ581" i="34" s="1"/>
  <c r="AJ582" i="34"/>
  <c r="AJ586" i="34"/>
  <c r="AJ613" i="34"/>
  <c r="AK616" i="34"/>
  <c r="AL616" i="34" s="1"/>
  <c r="AT617" i="34"/>
  <c r="AH617" i="34"/>
  <c r="AT625" i="34"/>
  <c r="AH625" i="34"/>
  <c r="AS636" i="34"/>
  <c r="AH637" i="34"/>
  <c r="AJ637" i="34" s="1"/>
  <c r="AT637" i="34"/>
  <c r="AS637" i="34"/>
  <c r="AT638" i="34"/>
  <c r="AH638" i="34"/>
  <c r="AI639" i="34"/>
  <c r="AI640" i="34"/>
  <c r="AK647" i="34"/>
  <c r="AJ647" i="34"/>
  <c r="AH689" i="34"/>
  <c r="AJ689" i="34" s="1"/>
  <c r="AI691" i="34"/>
  <c r="AH691" i="34"/>
  <c r="AI710" i="34"/>
  <c r="AH710" i="34"/>
  <c r="AH712" i="34"/>
  <c r="AI715" i="34"/>
  <c r="AH715" i="34"/>
  <c r="AT715" i="34"/>
  <c r="AH728" i="34"/>
  <c r="AI728" i="34"/>
  <c r="AT728" i="34"/>
  <c r="AK732" i="34"/>
  <c r="AL732" i="34" s="1"/>
  <c r="AJ732" i="34"/>
  <c r="AH611" i="34"/>
  <c r="AT611" i="34"/>
  <c r="AS614" i="34"/>
  <c r="AH619" i="34"/>
  <c r="AJ619" i="34" s="1"/>
  <c r="AT619" i="34"/>
  <c r="AH627" i="34"/>
  <c r="AT627" i="34"/>
  <c r="AS634" i="34"/>
  <c r="AT635" i="34"/>
  <c r="AH635" i="34"/>
  <c r="AH636" i="34"/>
  <c r="AT636" i="34"/>
  <c r="AK665" i="34"/>
  <c r="AL665" i="34" s="1"/>
  <c r="AT665" i="34"/>
  <c r="AI674" i="34"/>
  <c r="AT674" i="34"/>
  <c r="AI699" i="34"/>
  <c r="AH699" i="34"/>
  <c r="AT703" i="34"/>
  <c r="AK704" i="34"/>
  <c r="AH717" i="34"/>
  <c r="AT717" i="34"/>
  <c r="AH739" i="34"/>
  <c r="AT739" i="34"/>
  <c r="AK617" i="34"/>
  <c r="AH618" i="34"/>
  <c r="AS619" i="34"/>
  <c r="AS620" i="34"/>
  <c r="AK625" i="34"/>
  <c r="AL625" i="34" s="1"/>
  <c r="AH626" i="34"/>
  <c r="AS627" i="34"/>
  <c r="AS628" i="34"/>
  <c r="AS632" i="34"/>
  <c r="AS633" i="34"/>
  <c r="AI635" i="34"/>
  <c r="AI636" i="34"/>
  <c r="AK637" i="34"/>
  <c r="AL637" i="34" s="1"/>
  <c r="AK638" i="34"/>
  <c r="AH651" i="34"/>
  <c r="AN675" i="34"/>
  <c r="AM675" i="34"/>
  <c r="AV675" i="34" s="1"/>
  <c r="AI678" i="34"/>
  <c r="AT678" i="34"/>
  <c r="AT684" i="34"/>
  <c r="AT687" i="34"/>
  <c r="AS716" i="34"/>
  <c r="AF716" i="34"/>
  <c r="AI717" i="34"/>
  <c r="AI711" i="34"/>
  <c r="AS712" i="34"/>
  <c r="AH714" i="34"/>
  <c r="AJ719" i="34"/>
  <c r="AI721" i="34"/>
  <c r="AH729" i="34"/>
  <c r="AJ729" i="34" s="1"/>
  <c r="AT734" i="34"/>
  <c r="AH734" i="34"/>
  <c r="AF735" i="34"/>
  <c r="AS735" i="34"/>
  <c r="AH743" i="34"/>
  <c r="AT743" i="34"/>
  <c r="AH747" i="34"/>
  <c r="AT747" i="34"/>
  <c r="AI752" i="34"/>
  <c r="AH752" i="34"/>
  <c r="AT757" i="34"/>
  <c r="AI757" i="34"/>
  <c r="AT764" i="34"/>
  <c r="AI764" i="34"/>
  <c r="AK767" i="34"/>
  <c r="AL767" i="34" s="1"/>
  <c r="AT779" i="34"/>
  <c r="AH779" i="34"/>
  <c r="AT780" i="34"/>
  <c r="AH780" i="34"/>
  <c r="AH788" i="34"/>
  <c r="AT788" i="34"/>
  <c r="AN798" i="34"/>
  <c r="AM798" i="34"/>
  <c r="AV798" i="34" s="1"/>
  <c r="AS800" i="34"/>
  <c r="AF800" i="34"/>
  <c r="AH806" i="34"/>
  <c r="AT806" i="34"/>
  <c r="AK814" i="34"/>
  <c r="AL814" i="34" s="1"/>
  <c r="AJ814" i="34"/>
  <c r="AK824" i="34"/>
  <c r="AL824" i="34" s="1"/>
  <c r="AJ824" i="34"/>
  <c r="AT831" i="34"/>
  <c r="AI831" i="34"/>
  <c r="AH831" i="34"/>
  <c r="AK837" i="34"/>
  <c r="AJ837" i="34"/>
  <c r="AI714" i="34"/>
  <c r="AH718" i="34"/>
  <c r="AT719" i="34"/>
  <c r="AF727" i="34"/>
  <c r="AS727" i="34"/>
  <c r="AT761" i="34"/>
  <c r="AK761" i="34"/>
  <c r="AL761" i="34" s="1"/>
  <c r="AT771" i="34"/>
  <c r="AI771" i="34"/>
  <c r="AH771" i="34"/>
  <c r="AK773" i="34"/>
  <c r="AL773" i="34" s="1"/>
  <c r="AI779" i="34"/>
  <c r="AK781" i="34"/>
  <c r="AL781" i="34" s="1"/>
  <c r="AT781" i="34"/>
  <c r="AH781" i="34"/>
  <c r="AT786" i="34"/>
  <c r="AH786" i="34"/>
  <c r="AT805" i="34"/>
  <c r="AH805" i="34"/>
  <c r="AK805" i="34"/>
  <c r="AL805" i="34" s="1"/>
  <c r="AT823" i="34"/>
  <c r="AI823" i="34"/>
  <c r="AH823" i="34"/>
  <c r="AT964" i="34"/>
  <c r="AH964" i="34"/>
  <c r="AK964" i="34"/>
  <c r="AL964" i="34" s="1"/>
  <c r="AK707" i="34"/>
  <c r="AL707" i="34" s="1"/>
  <c r="AK729" i="34"/>
  <c r="AL729" i="34" s="1"/>
  <c r="AH736" i="34"/>
  <c r="AT736" i="34"/>
  <c r="AH737" i="34"/>
  <c r="AH746" i="34"/>
  <c r="AN750" i="34"/>
  <c r="AM750" i="34"/>
  <c r="AV750" i="34" s="1"/>
  <c r="AI756" i="34"/>
  <c r="AH756" i="34"/>
  <c r="AH761" i="34"/>
  <c r="AT767" i="34"/>
  <c r="AH767" i="34"/>
  <c r="AN776" i="34"/>
  <c r="AM776" i="34"/>
  <c r="AV776" i="34" s="1"/>
  <c r="AH777" i="34"/>
  <c r="AJ777" i="34" s="1"/>
  <c r="AT777" i="34"/>
  <c r="AT787" i="34"/>
  <c r="AH787" i="34"/>
  <c r="AT854" i="34"/>
  <c r="AH854" i="34"/>
  <c r="AH709" i="34"/>
  <c r="AJ709" i="34" s="1"/>
  <c r="AH713" i="34"/>
  <c r="AK735" i="34"/>
  <c r="AL735" i="34" s="1"/>
  <c r="AJ735" i="34"/>
  <c r="AF738" i="34"/>
  <c r="AF739" i="34"/>
  <c r="AS739" i="34"/>
  <c r="AF745" i="34"/>
  <c r="AI746" i="34"/>
  <c r="AS748" i="34"/>
  <c r="AF748" i="34"/>
  <c r="AJ750" i="34"/>
  <c r="AH754" i="34"/>
  <c r="AK765" i="34"/>
  <c r="AL765" i="34" s="1"/>
  <c r="AK769" i="34"/>
  <c r="AL769" i="34" s="1"/>
  <c r="AJ776" i="34"/>
  <c r="AI783" i="34"/>
  <c r="AT789" i="34"/>
  <c r="AH789" i="34"/>
  <c r="AK804" i="34"/>
  <c r="AL804" i="34" s="1"/>
  <c r="AK822" i="34"/>
  <c r="AL822" i="34" s="1"/>
  <c r="AH867" i="34"/>
  <c r="AT867" i="34"/>
  <c r="AK867" i="34"/>
  <c r="AL867" i="34" s="1"/>
  <c r="AK893" i="34"/>
  <c r="AL893" i="34" s="1"/>
  <c r="AJ893" i="34"/>
  <c r="AT929" i="34"/>
  <c r="AH929" i="34"/>
  <c r="AF725" i="34"/>
  <c r="AH730" i="34"/>
  <c r="AF731" i="34"/>
  <c r="AS731" i="34"/>
  <c r="AK737" i="34"/>
  <c r="AL737" i="34" s="1"/>
  <c r="AT738" i="34"/>
  <c r="AI738" i="34"/>
  <c r="AH738" i="34"/>
  <c r="AT745" i="34"/>
  <c r="AI745" i="34"/>
  <c r="AH745" i="34"/>
  <c r="AI754" i="34"/>
  <c r="AT760" i="34"/>
  <c r="AH760" i="34"/>
  <c r="AT763" i="34"/>
  <c r="AI763" i="34"/>
  <c r="AH763" i="34"/>
  <c r="AH773" i="34"/>
  <c r="AJ773" i="34" s="1"/>
  <c r="AT773" i="34"/>
  <c r="AT846" i="34"/>
  <c r="AH846" i="34"/>
  <c r="AT731" i="34"/>
  <c r="AT749" i="34"/>
  <c r="AI749" i="34"/>
  <c r="AK758" i="34"/>
  <c r="AL758" i="34" s="1"/>
  <c r="AT772" i="34"/>
  <c r="AK772" i="34"/>
  <c r="AL772" i="34" s="1"/>
  <c r="AK775" i="34"/>
  <c r="AL775" i="34" s="1"/>
  <c r="AH776" i="34"/>
  <c r="AT776" i="34"/>
  <c r="AT778" i="34"/>
  <c r="AH778" i="34"/>
  <c r="AJ778" i="34" s="1"/>
  <c r="AF781" i="34"/>
  <c r="AS781" i="34"/>
  <c r="AK788" i="34"/>
  <c r="AL788" i="34" s="1"/>
  <c r="AI803" i="34"/>
  <c r="AH803" i="34"/>
  <c r="AT803" i="34"/>
  <c r="AS816" i="34"/>
  <c r="AF816" i="34"/>
  <c r="AK833" i="34"/>
  <c r="AJ833" i="34"/>
  <c r="AT842" i="34"/>
  <c r="AH842" i="34"/>
  <c r="AH732" i="34"/>
  <c r="AT732" i="34"/>
  <c r="AS733" i="34"/>
  <c r="AK739" i="34"/>
  <c r="AL739" i="34" s="1"/>
  <c r="AJ739" i="34"/>
  <c r="AF742" i="34"/>
  <c r="AH749" i="34"/>
  <c r="AT753" i="34"/>
  <c r="AK753" i="34"/>
  <c r="AL753" i="34" s="1"/>
  <c r="AJ758" i="34"/>
  <c r="AH765" i="34"/>
  <c r="AJ765" i="34" s="1"/>
  <c r="AT765" i="34"/>
  <c r="AH769" i="34"/>
  <c r="AT769" i="34"/>
  <c r="AS777" i="34"/>
  <c r="AF777" i="34"/>
  <c r="AT785" i="34"/>
  <c r="AH785" i="34"/>
  <c r="AN794" i="34"/>
  <c r="AM794" i="34"/>
  <c r="AV794" i="34" s="1"/>
  <c r="AT832" i="34"/>
  <c r="AK832" i="34"/>
  <c r="AL832" i="34" s="1"/>
  <c r="AH832" i="34"/>
  <c r="AH784" i="34"/>
  <c r="AT784" i="34"/>
  <c r="AS787" i="34"/>
  <c r="AK793" i="34"/>
  <c r="AL793" i="34" s="1"/>
  <c r="AJ793" i="34"/>
  <c r="AK797" i="34"/>
  <c r="AL797" i="34" s="1"/>
  <c r="AJ797" i="34"/>
  <c r="AK800" i="34"/>
  <c r="AL800" i="34" s="1"/>
  <c r="AJ800" i="34"/>
  <c r="AH807" i="34"/>
  <c r="AT807" i="34"/>
  <c r="AT808" i="34"/>
  <c r="AH808" i="34"/>
  <c r="AK816" i="34"/>
  <c r="AJ816" i="34"/>
  <c r="AF818" i="34"/>
  <c r="AS818" i="34"/>
  <c r="AH821" i="34"/>
  <c r="AT821" i="34"/>
  <c r="AT838" i="34"/>
  <c r="AH838" i="34"/>
  <c r="AS861" i="34"/>
  <c r="AF861" i="34"/>
  <c r="AK863" i="34"/>
  <c r="AL863" i="34" s="1"/>
  <c r="AJ863" i="34"/>
  <c r="AK870" i="34"/>
  <c r="AL870" i="34" s="1"/>
  <c r="AJ870" i="34"/>
  <c r="AH874" i="34"/>
  <c r="AT874" i="34"/>
  <c r="AK874" i="34"/>
  <c r="AL874" i="34" s="1"/>
  <c r="AT878" i="34"/>
  <c r="AH878" i="34"/>
  <c r="AK892" i="34"/>
  <c r="AL892" i="34" s="1"/>
  <c r="AH892" i="34"/>
  <c r="AM916" i="34"/>
  <c r="AV916" i="34" s="1"/>
  <c r="AN916" i="34"/>
  <c r="AK917" i="34"/>
  <c r="AL917" i="34" s="1"/>
  <c r="AS963" i="34"/>
  <c r="AF963" i="34"/>
  <c r="AH989" i="34"/>
  <c r="AT989" i="34"/>
  <c r="AK989" i="34"/>
  <c r="AL989" i="34" s="1"/>
  <c r="AS750" i="34"/>
  <c r="AS754" i="34"/>
  <c r="AS758" i="34"/>
  <c r="AS765" i="34"/>
  <c r="AS769" i="34"/>
  <c r="AS773" i="34"/>
  <c r="AF788" i="34"/>
  <c r="AF791" i="34"/>
  <c r="AS791" i="34"/>
  <c r="AH792" i="34"/>
  <c r="AT792" i="34"/>
  <c r="AF795" i="34"/>
  <c r="AS795" i="34"/>
  <c r="AH796" i="34"/>
  <c r="AT796" i="34"/>
  <c r="AF799" i="34"/>
  <c r="AS799" i="34"/>
  <c r="AF802" i="34"/>
  <c r="AS802" i="34"/>
  <c r="AT809" i="34"/>
  <c r="AH809" i="34"/>
  <c r="AH810" i="34"/>
  <c r="AT810" i="34"/>
  <c r="AT812" i="34"/>
  <c r="AH812" i="34"/>
  <c r="AK818" i="34"/>
  <c r="AL818" i="34" s="1"/>
  <c r="AJ818" i="34"/>
  <c r="AT819" i="34"/>
  <c r="AH819" i="34"/>
  <c r="AJ819" i="34" s="1"/>
  <c r="AK827" i="34"/>
  <c r="AL827" i="34" s="1"/>
  <c r="AK830" i="34"/>
  <c r="AS835" i="34"/>
  <c r="AF835" i="34"/>
  <c r="AK852" i="34"/>
  <c r="AL852" i="34" s="1"/>
  <c r="AS868" i="34"/>
  <c r="AF868" i="34"/>
  <c r="AF879" i="34"/>
  <c r="AS879" i="34"/>
  <c r="AT896" i="34"/>
  <c r="AH896" i="34"/>
  <c r="AT960" i="34"/>
  <c r="AH960" i="34"/>
  <c r="AK960" i="34"/>
  <c r="AL960" i="34" s="1"/>
  <c r="AS746" i="34"/>
  <c r="AS780" i="34"/>
  <c r="AF782" i="34"/>
  <c r="AK787" i="34"/>
  <c r="AL787" i="34" s="1"/>
  <c r="AK791" i="34"/>
  <c r="AL791" i="34" s="1"/>
  <c r="AJ791" i="34"/>
  <c r="AK795" i="34"/>
  <c r="AL795" i="34" s="1"/>
  <c r="AJ795" i="34"/>
  <c r="AI799" i="34"/>
  <c r="AK802" i="34"/>
  <c r="AL802" i="34" s="1"/>
  <c r="AJ802" i="34"/>
  <c r="AS804" i="34"/>
  <c r="AF804" i="34"/>
  <c r="AK807" i="34"/>
  <c r="AL807" i="34" s="1"/>
  <c r="AI811" i="34"/>
  <c r="AH811" i="34"/>
  <c r="AT811" i="34"/>
  <c r="AT813" i="34"/>
  <c r="AH813" i="34"/>
  <c r="AH814" i="34"/>
  <c r="AT814" i="34"/>
  <c r="AK820" i="34"/>
  <c r="AL820" i="34" s="1"/>
  <c r="AJ820" i="34"/>
  <c r="AS822" i="34"/>
  <c r="AF822" i="34"/>
  <c r="AH848" i="34"/>
  <c r="AT848" i="34"/>
  <c r="AK913" i="34"/>
  <c r="AL913" i="34" s="1"/>
  <c r="AJ913" i="34"/>
  <c r="AS977" i="34"/>
  <c r="AF977" i="34"/>
  <c r="AT782" i="34"/>
  <c r="AH782" i="34"/>
  <c r="AT800" i="34"/>
  <c r="AH800" i="34"/>
  <c r="AF806" i="34"/>
  <c r="AS806" i="34"/>
  <c r="AH815" i="34"/>
  <c r="AT815" i="34"/>
  <c r="AT816" i="34"/>
  <c r="AH816" i="34"/>
  <c r="AT824" i="34"/>
  <c r="AT827" i="34"/>
  <c r="AH827" i="34"/>
  <c r="AF829" i="34"/>
  <c r="AS829" i="34"/>
  <c r="AS831" i="34"/>
  <c r="AF831" i="34"/>
  <c r="AI840" i="34"/>
  <c r="AH840" i="34"/>
  <c r="AT840" i="34"/>
  <c r="AH852" i="34"/>
  <c r="AT852" i="34"/>
  <c r="AH863" i="34"/>
  <c r="AT863" i="34"/>
  <c r="AT866" i="34"/>
  <c r="AI866" i="34"/>
  <c r="AH870" i="34"/>
  <c r="AT870" i="34"/>
  <c r="AH751" i="34"/>
  <c r="AH755" i="34"/>
  <c r="AJ760" i="34"/>
  <c r="AJ767" i="34"/>
  <c r="AJ775" i="34"/>
  <c r="AK780" i="34"/>
  <c r="AL780" i="34" s="1"/>
  <c r="AI782" i="34"/>
  <c r="AJ788" i="34"/>
  <c r="AT794" i="34"/>
  <c r="AH794" i="34"/>
  <c r="AT798" i="34"/>
  <c r="AH798" i="34"/>
  <c r="AT801" i="34"/>
  <c r="AH801" i="34"/>
  <c r="AK806" i="34"/>
  <c r="AL806" i="34" s="1"/>
  <c r="AJ806" i="34"/>
  <c r="AS808" i="34"/>
  <c r="AF808" i="34"/>
  <c r="AT817" i="34"/>
  <c r="AH817" i="34"/>
  <c r="AH818" i="34"/>
  <c r="AT818" i="34"/>
  <c r="AH837" i="34"/>
  <c r="AT837" i="34"/>
  <c r="AT862" i="34"/>
  <c r="AH862" i="34"/>
  <c r="AK865" i="34"/>
  <c r="AL865" i="34" s="1"/>
  <c r="AK872" i="34"/>
  <c r="AL872" i="34" s="1"/>
  <c r="AT873" i="34"/>
  <c r="AI873" i="34"/>
  <c r="AS778" i="34"/>
  <c r="AK785" i="34"/>
  <c r="AL785" i="34" s="1"/>
  <c r="AS789" i="34"/>
  <c r="AT790" i="34"/>
  <c r="AI790" i="34"/>
  <c r="AH790" i="34"/>
  <c r="AH802" i="34"/>
  <c r="AT802" i="34"/>
  <c r="AK808" i="34"/>
  <c r="AL808" i="34" s="1"/>
  <c r="AJ808" i="34"/>
  <c r="AF810" i="34"/>
  <c r="AS810" i="34"/>
  <c r="AS812" i="34"/>
  <c r="AF812" i="34"/>
  <c r="AK815" i="34"/>
  <c r="AL815" i="34" s="1"/>
  <c r="AH825" i="34"/>
  <c r="AT825" i="34"/>
  <c r="AI829" i="34"/>
  <c r="AT835" i="34"/>
  <c r="AI835" i="34"/>
  <c r="AH835" i="34"/>
  <c r="AT836" i="34"/>
  <c r="AK836" i="34"/>
  <c r="AL836" i="34" s="1"/>
  <c r="AH836" i="34"/>
  <c r="AK842" i="34"/>
  <c r="AL842" i="34" s="1"/>
  <c r="AH844" i="34"/>
  <c r="AT844" i="34"/>
  <c r="AK846" i="34"/>
  <c r="AL846" i="34" s="1"/>
  <c r="AK854" i="34"/>
  <c r="AL854" i="34" s="1"/>
  <c r="AH856" i="34"/>
  <c r="AT856" i="34"/>
  <c r="AT857" i="34"/>
  <c r="AH857" i="34"/>
  <c r="AK858" i="34"/>
  <c r="AL858" i="34" s="1"/>
  <c r="AJ858" i="34"/>
  <c r="AK862" i="34"/>
  <c r="AL862" i="34" s="1"/>
  <c r="AT869" i="34"/>
  <c r="AI869" i="34"/>
  <c r="AH869" i="34"/>
  <c r="AM875" i="34"/>
  <c r="AV875" i="34" s="1"/>
  <c r="AS793" i="34"/>
  <c r="AF793" i="34"/>
  <c r="AS797" i="34"/>
  <c r="AF797" i="34"/>
  <c r="AT804" i="34"/>
  <c r="AH804" i="34"/>
  <c r="AJ804" i="34" s="1"/>
  <c r="AK810" i="34"/>
  <c r="AL810" i="34" s="1"/>
  <c r="AJ810" i="34"/>
  <c r="AK812" i="34"/>
  <c r="AL812" i="34" s="1"/>
  <c r="AJ812" i="34"/>
  <c r="AF814" i="34"/>
  <c r="AS814" i="34"/>
  <c r="AT822" i="34"/>
  <c r="AH822" i="34"/>
  <c r="AJ822" i="34" s="1"/>
  <c r="AH833" i="34"/>
  <c r="AT833" i="34"/>
  <c r="AT850" i="34"/>
  <c r="AI850" i="34"/>
  <c r="AH850" i="34"/>
  <c r="AN860" i="34"/>
  <c r="AM860" i="34"/>
  <c r="AV860" i="34" s="1"/>
  <c r="AT865" i="34"/>
  <c r="AH865" i="34"/>
  <c r="AT872" i="34"/>
  <c r="AH872" i="34"/>
  <c r="AT897" i="34"/>
  <c r="AH897" i="34"/>
  <c r="AS931" i="34"/>
  <c r="AF931" i="34"/>
  <c r="AS967" i="34"/>
  <c r="AF967" i="34"/>
  <c r="AT830" i="34"/>
  <c r="AT834" i="34"/>
  <c r="AS837" i="34"/>
  <c r="AT860" i="34"/>
  <c r="AS863" i="34"/>
  <c r="AS870" i="34"/>
  <c r="AF883" i="34"/>
  <c r="AS883" i="34"/>
  <c r="AK897" i="34"/>
  <c r="AL897" i="34" s="1"/>
  <c r="AK900" i="34"/>
  <c r="AL900" i="34" s="1"/>
  <c r="AJ900" i="34"/>
  <c r="AT912" i="34"/>
  <c r="AH912" i="34"/>
  <c r="AT961" i="34"/>
  <c r="AH961" i="34"/>
  <c r="AT965" i="34"/>
  <c r="AH965" i="34"/>
  <c r="AS833" i="34"/>
  <c r="AI887" i="34"/>
  <c r="AT887" i="34"/>
  <c r="AT893" i="34"/>
  <c r="AH893" i="34"/>
  <c r="AS898" i="34"/>
  <c r="AF898" i="34"/>
  <c r="AT899" i="34"/>
  <c r="AH899" i="34"/>
  <c r="AI914" i="34"/>
  <c r="AT914" i="34"/>
  <c r="AH914" i="34"/>
  <c r="AS915" i="34"/>
  <c r="AF915" i="34"/>
  <c r="AT916" i="34"/>
  <c r="AH916" i="34"/>
  <c r="AK921" i="34"/>
  <c r="AJ921" i="34"/>
  <c r="AK957" i="34"/>
  <c r="AJ957" i="34"/>
  <c r="AS959" i="34"/>
  <c r="AF959" i="34"/>
  <c r="AT974" i="34"/>
  <c r="AK974" i="34"/>
  <c r="AL974" i="34" s="1"/>
  <c r="AT829" i="34"/>
  <c r="AJ857" i="34"/>
  <c r="AH861" i="34"/>
  <c r="AJ862" i="34"/>
  <c r="AH868" i="34"/>
  <c r="AJ878" i="34"/>
  <c r="AI880" i="34"/>
  <c r="AH880" i="34"/>
  <c r="AT880" i="34"/>
  <c r="AK884" i="34"/>
  <c r="AL884" i="34" s="1"/>
  <c r="AH884" i="34"/>
  <c r="AT889" i="34"/>
  <c r="AT894" i="34"/>
  <c r="AT901" i="34"/>
  <c r="AH901" i="34"/>
  <c r="AK904" i="34"/>
  <c r="AL904" i="34" s="1"/>
  <c r="AJ904" i="34"/>
  <c r="AL910" i="34"/>
  <c r="AT918" i="34"/>
  <c r="AH918" i="34"/>
  <c r="AK937" i="34"/>
  <c r="AL937" i="34" s="1"/>
  <c r="AJ937" i="34"/>
  <c r="AK941" i="34"/>
  <c r="AL941" i="34" s="1"/>
  <c r="AJ941" i="34"/>
  <c r="AK945" i="34"/>
  <c r="AL945" i="34" s="1"/>
  <c r="AJ945" i="34"/>
  <c r="AK949" i="34"/>
  <c r="AL949" i="34" s="1"/>
  <c r="AJ949" i="34"/>
  <c r="AK953" i="34"/>
  <c r="AL953" i="34" s="1"/>
  <c r="AJ953" i="34"/>
  <c r="AI958" i="34"/>
  <c r="AT958" i="34"/>
  <c r="AH958" i="34"/>
  <c r="AI975" i="34"/>
  <c r="AH975" i="34"/>
  <c r="AI861" i="34"/>
  <c r="AI868" i="34"/>
  <c r="AK881" i="34"/>
  <c r="AL881" i="34" s="1"/>
  <c r="AJ881" i="34"/>
  <c r="AT900" i="34"/>
  <c r="AH900" i="34"/>
  <c r="AS902" i="34"/>
  <c r="AF902" i="34"/>
  <c r="AT903" i="34"/>
  <c r="AH903" i="34"/>
  <c r="AK908" i="34"/>
  <c r="AL908" i="34" s="1"/>
  <c r="AJ908" i="34"/>
  <c r="AT917" i="34"/>
  <c r="AH917" i="34"/>
  <c r="AJ917" i="34" s="1"/>
  <c r="AS919" i="34"/>
  <c r="AF919" i="34"/>
  <c r="AI920" i="34"/>
  <c r="AT920" i="34"/>
  <c r="AH920" i="34"/>
  <c r="AT922" i="34"/>
  <c r="AH922" i="34"/>
  <c r="AK925" i="34"/>
  <c r="AL925" i="34" s="1"/>
  <c r="AJ925" i="34"/>
  <c r="AK933" i="34"/>
  <c r="AL933" i="34" s="1"/>
  <c r="AJ933" i="34"/>
  <c r="AT938" i="34"/>
  <c r="AH938" i="34"/>
  <c r="AM940" i="34"/>
  <c r="AV940" i="34" s="1"/>
  <c r="AT942" i="34"/>
  <c r="AH942" i="34"/>
  <c r="AT946" i="34"/>
  <c r="AH946" i="34"/>
  <c r="AT950" i="34"/>
  <c r="AH950" i="34"/>
  <c r="AT954" i="34"/>
  <c r="AH954" i="34"/>
  <c r="AK1015" i="34"/>
  <c r="AL1015" i="34" s="1"/>
  <c r="AN1076" i="34"/>
  <c r="AM1076" i="34"/>
  <c r="AV1076" i="34" s="1"/>
  <c r="AK1077" i="34"/>
  <c r="AL1077" i="34" s="1"/>
  <c r="AJ1077" i="34"/>
  <c r="AH830" i="34"/>
  <c r="AH860" i="34"/>
  <c r="AJ860" i="34" s="1"/>
  <c r="AJ875" i="34"/>
  <c r="AJ876" i="34"/>
  <c r="AM883" i="34"/>
  <c r="AV883" i="34" s="1"/>
  <c r="AK889" i="34"/>
  <c r="AL889" i="34" s="1"/>
  <c r="AJ889" i="34"/>
  <c r="AI894" i="34"/>
  <c r="AT895" i="34"/>
  <c r="AH895" i="34"/>
  <c r="AT905" i="34"/>
  <c r="AH905" i="34"/>
  <c r="AT921" i="34"/>
  <c r="AH921" i="34"/>
  <c r="AK922" i="34"/>
  <c r="AL922" i="34" s="1"/>
  <c r="AS923" i="34"/>
  <c r="AF923" i="34"/>
  <c r="AT924" i="34"/>
  <c r="AH924" i="34"/>
  <c r="AK929" i="34"/>
  <c r="AL929" i="34" s="1"/>
  <c r="AJ929" i="34"/>
  <c r="AT934" i="34"/>
  <c r="AH934" i="34"/>
  <c r="AK938" i="34"/>
  <c r="AL938" i="34" s="1"/>
  <c r="AS939" i="34"/>
  <c r="AF939" i="34"/>
  <c r="AT940" i="34"/>
  <c r="AH940" i="34"/>
  <c r="AK942" i="34"/>
  <c r="AL942" i="34" s="1"/>
  <c r="AS943" i="34"/>
  <c r="AF943" i="34"/>
  <c r="AT944" i="34"/>
  <c r="AH944" i="34"/>
  <c r="AK946" i="34"/>
  <c r="AL946" i="34" s="1"/>
  <c r="AS947" i="34"/>
  <c r="AF947" i="34"/>
  <c r="AT948" i="34"/>
  <c r="AH948" i="34"/>
  <c r="AK950" i="34"/>
  <c r="AL950" i="34" s="1"/>
  <c r="AS951" i="34"/>
  <c r="AF951" i="34"/>
  <c r="AT952" i="34"/>
  <c r="AH952" i="34"/>
  <c r="AK954" i="34"/>
  <c r="AL954" i="34" s="1"/>
  <c r="AS955" i="34"/>
  <c r="AF955" i="34"/>
  <c r="AI956" i="34"/>
  <c r="AT956" i="34"/>
  <c r="AH956" i="34"/>
  <c r="AT957" i="34"/>
  <c r="AH957" i="34"/>
  <c r="AH970" i="34"/>
  <c r="AT970" i="34"/>
  <c r="AT875" i="34"/>
  <c r="AF887" i="34"/>
  <c r="AS887" i="34"/>
  <c r="AI888" i="34"/>
  <c r="AH888" i="34"/>
  <c r="AK896" i="34"/>
  <c r="AL896" i="34" s="1"/>
  <c r="AJ896" i="34"/>
  <c r="AT904" i="34"/>
  <c r="AH904" i="34"/>
  <c r="AN905" i="34"/>
  <c r="AM905" i="34"/>
  <c r="AV905" i="34" s="1"/>
  <c r="AS906" i="34"/>
  <c r="AF906" i="34"/>
  <c r="AI907" i="34"/>
  <c r="AT907" i="34"/>
  <c r="AH907" i="34"/>
  <c r="AT909" i="34"/>
  <c r="AH909" i="34"/>
  <c r="AK912" i="34"/>
  <c r="AL912" i="34" s="1"/>
  <c r="AJ912" i="34"/>
  <c r="AT926" i="34"/>
  <c r="AH926" i="34"/>
  <c r="AT932" i="34"/>
  <c r="AH932" i="34"/>
  <c r="AS935" i="34"/>
  <c r="AF935" i="34"/>
  <c r="AI936" i="34"/>
  <c r="AT936" i="34"/>
  <c r="AH936" i="34"/>
  <c r="AT937" i="34"/>
  <c r="AH937" i="34"/>
  <c r="AT941" i="34"/>
  <c r="AH941" i="34"/>
  <c r="AT945" i="34"/>
  <c r="AH945" i="34"/>
  <c r="AT949" i="34"/>
  <c r="AH949" i="34"/>
  <c r="AT953" i="34"/>
  <c r="AH953" i="34"/>
  <c r="AK961" i="34"/>
  <c r="AL961" i="34" s="1"/>
  <c r="AJ961" i="34"/>
  <c r="AK965" i="34"/>
  <c r="AL965" i="34" s="1"/>
  <c r="AJ965" i="34"/>
  <c r="AT979" i="34"/>
  <c r="AH979" i="34"/>
  <c r="AH1011" i="34"/>
  <c r="AT1011" i="34"/>
  <c r="AN882" i="34"/>
  <c r="AH887" i="34"/>
  <c r="AF891" i="34"/>
  <c r="AS891" i="34"/>
  <c r="AT908" i="34"/>
  <c r="AH908" i="34"/>
  <c r="AK909" i="34"/>
  <c r="AL909" i="34" s="1"/>
  <c r="AS910" i="34"/>
  <c r="AF910" i="34"/>
  <c r="AT911" i="34"/>
  <c r="AH911" i="34"/>
  <c r="AN911" i="34"/>
  <c r="AT925" i="34"/>
  <c r="AH925" i="34"/>
  <c r="AK926" i="34"/>
  <c r="AL926" i="34" s="1"/>
  <c r="AS927" i="34"/>
  <c r="AF927" i="34"/>
  <c r="AI928" i="34"/>
  <c r="AT928" i="34"/>
  <c r="AH928" i="34"/>
  <c r="AT930" i="34"/>
  <c r="AH930" i="34"/>
  <c r="AT933" i="34"/>
  <c r="AH933" i="34"/>
  <c r="AT962" i="34"/>
  <c r="AH962" i="34"/>
  <c r="AT966" i="34"/>
  <c r="AH966" i="34"/>
  <c r="AH971" i="34"/>
  <c r="AT971" i="34"/>
  <c r="AK973" i="34"/>
  <c r="AL973" i="34" s="1"/>
  <c r="AJ973" i="34"/>
  <c r="AH1031" i="34"/>
  <c r="AT1031" i="34"/>
  <c r="AI886" i="34"/>
  <c r="AI890" i="34"/>
  <c r="AH978" i="34"/>
  <c r="AT991" i="34"/>
  <c r="AH991" i="34"/>
  <c r="AT993" i="34"/>
  <c r="AH993" i="34"/>
  <c r="AK995" i="34"/>
  <c r="AL995" i="34" s="1"/>
  <c r="AJ995" i="34"/>
  <c r="AT997" i="34"/>
  <c r="AS1001" i="34"/>
  <c r="AF1001" i="34"/>
  <c r="AK1002" i="34"/>
  <c r="AL1002" i="34" s="1"/>
  <c r="AT1002" i="34"/>
  <c r="AH1002" i="34"/>
  <c r="AN1012" i="34"/>
  <c r="AM1012" i="34"/>
  <c r="AV1012" i="34" s="1"/>
  <c r="AT1018" i="34"/>
  <c r="AS1021" i="34"/>
  <c r="AF1021" i="34"/>
  <c r="AK1038" i="34"/>
  <c r="AL1038" i="34" s="1"/>
  <c r="AH1038" i="34"/>
  <c r="AT1038" i="34"/>
  <c r="AK972" i="34"/>
  <c r="AL972" i="34" s="1"/>
  <c r="AK979" i="34"/>
  <c r="AL979" i="34" s="1"/>
  <c r="AT983" i="34"/>
  <c r="AH983" i="34"/>
  <c r="AT987" i="34"/>
  <c r="AH987" i="34"/>
  <c r="AT999" i="34"/>
  <c r="AN1013" i="34"/>
  <c r="AM1013" i="34"/>
  <c r="AV1013" i="34" s="1"/>
  <c r="AN1285" i="34"/>
  <c r="AM1285" i="34"/>
  <c r="AV1285" i="34" s="1"/>
  <c r="AK1299" i="34"/>
  <c r="AL1299" i="34" s="1"/>
  <c r="AT1299" i="34"/>
  <c r="AH1299" i="34"/>
  <c r="AI1019" i="34"/>
  <c r="AH1019" i="34"/>
  <c r="AT1019" i="34"/>
  <c r="AT1044" i="34"/>
  <c r="AH1044" i="34"/>
  <c r="AK1044" i="34"/>
  <c r="AL1044" i="34" s="1"/>
  <c r="AH1047" i="34"/>
  <c r="AT1047" i="34"/>
  <c r="AI1047" i="34"/>
  <c r="AH1049" i="34"/>
  <c r="AT1049" i="34"/>
  <c r="AK1056" i="34"/>
  <c r="AL1056" i="34" s="1"/>
  <c r="AT1073" i="34"/>
  <c r="AH1073" i="34"/>
  <c r="AI1073" i="34"/>
  <c r="AH1087" i="34"/>
  <c r="AT1087" i="34"/>
  <c r="AM1151" i="34"/>
  <c r="AV1151" i="34" s="1"/>
  <c r="AF1202" i="34"/>
  <c r="AS1202" i="34"/>
  <c r="AK967" i="34"/>
  <c r="AL967" i="34" s="1"/>
  <c r="AH968" i="34"/>
  <c r="AT968" i="34"/>
  <c r="AH969" i="34"/>
  <c r="AF971" i="34"/>
  <c r="AF981" i="34"/>
  <c r="AJ983" i="34"/>
  <c r="AS984" i="34"/>
  <c r="AF985" i="34"/>
  <c r="AJ987" i="34"/>
  <c r="AK990" i="34"/>
  <c r="AL990" i="34" s="1"/>
  <c r="AJ990" i="34"/>
  <c r="AS992" i="34"/>
  <c r="AF992" i="34"/>
  <c r="AK996" i="34"/>
  <c r="AL996" i="34" s="1"/>
  <c r="AJ996" i="34"/>
  <c r="AM997" i="34"/>
  <c r="AV997" i="34" s="1"/>
  <c r="AN997" i="34"/>
  <c r="AH1000" i="34"/>
  <c r="AT1000" i="34"/>
  <c r="AS1008" i="34"/>
  <c r="AF1008" i="34"/>
  <c r="AT1014" i="34"/>
  <c r="AH1014" i="34"/>
  <c r="AK1027" i="34"/>
  <c r="AL1027" i="34" s="1"/>
  <c r="AJ1027" i="34"/>
  <c r="AK1039" i="34"/>
  <c r="AL1039" i="34" s="1"/>
  <c r="AJ1039" i="34"/>
  <c r="AS1041" i="34"/>
  <c r="AF1041" i="34"/>
  <c r="AK1043" i="34"/>
  <c r="AJ1043" i="34"/>
  <c r="AJ967" i="34"/>
  <c r="AT980" i="34"/>
  <c r="AK982" i="34"/>
  <c r="AL982" i="34" s="1"/>
  <c r="AT984" i="34"/>
  <c r="AK986" i="34"/>
  <c r="AL986" i="34" s="1"/>
  <c r="AS988" i="34"/>
  <c r="AF989" i="34"/>
  <c r="AH997" i="34"/>
  <c r="AN1021" i="34"/>
  <c r="AT1026" i="34"/>
  <c r="AI1026" i="34"/>
  <c r="AH1026" i="34"/>
  <c r="AS1032" i="34"/>
  <c r="AF1032" i="34"/>
  <c r="AJ1033" i="34"/>
  <c r="AK1033" i="34"/>
  <c r="AI1034" i="34"/>
  <c r="AH1034" i="34"/>
  <c r="AT1034" i="34"/>
  <c r="AS913" i="34"/>
  <c r="AK994" i="34"/>
  <c r="AL994" i="34" s="1"/>
  <c r="AK1003" i="34"/>
  <c r="AL1003" i="34" s="1"/>
  <c r="AT1003" i="34"/>
  <c r="AH1003" i="34"/>
  <c r="AK1009" i="34"/>
  <c r="AL1009" i="34" s="1"/>
  <c r="AH1010" i="34"/>
  <c r="AT1010" i="34"/>
  <c r="AK1010" i="34"/>
  <c r="AL1010" i="34" s="1"/>
  <c r="AH1015" i="34"/>
  <c r="AJ1015" i="34" s="1"/>
  <c r="AT1015" i="34"/>
  <c r="AH1027" i="34"/>
  <c r="AT1027" i="34"/>
  <c r="AH1035" i="34"/>
  <c r="AT1035" i="34"/>
  <c r="AM1041" i="34"/>
  <c r="AV1041" i="34" s="1"/>
  <c r="AI1055" i="34"/>
  <c r="AH1055" i="34"/>
  <c r="AK1068" i="34"/>
  <c r="AL1068" i="34" s="1"/>
  <c r="AK971" i="34"/>
  <c r="AL971" i="34" s="1"/>
  <c r="AH972" i="34"/>
  <c r="AF975" i="34"/>
  <c r="AH980" i="34"/>
  <c r="AJ994" i="34"/>
  <c r="AK999" i="34"/>
  <c r="AL999" i="34" s="1"/>
  <c r="AH1007" i="34"/>
  <c r="AT1007" i="34"/>
  <c r="AS1020" i="34"/>
  <c r="AF1020" i="34"/>
  <c r="AH1023" i="34"/>
  <c r="AT1023" i="34"/>
  <c r="AT1065" i="34"/>
  <c r="AH1065" i="34"/>
  <c r="AJ1065" i="34" s="1"/>
  <c r="AK1011" i="34"/>
  <c r="AL1011" i="34" s="1"/>
  <c r="AH1012" i="34"/>
  <c r="AJ1012" i="34" s="1"/>
  <c r="AF1016" i="34"/>
  <c r="AF1028" i="34"/>
  <c r="AK1035" i="34"/>
  <c r="AL1035" i="34" s="1"/>
  <c r="AF1039" i="34"/>
  <c r="AK1049" i="34"/>
  <c r="AL1049" i="34" s="1"/>
  <c r="AJ1049" i="34"/>
  <c r="AH1051" i="34"/>
  <c r="AH1053" i="34"/>
  <c r="AT1057" i="34"/>
  <c r="AT1059" i="34"/>
  <c r="AI1062" i="34"/>
  <c r="AT1062" i="34"/>
  <c r="AH1062" i="34"/>
  <c r="AK1066" i="34"/>
  <c r="AT1066" i="34"/>
  <c r="AH1066" i="34"/>
  <c r="AJ1066" i="34" s="1"/>
  <c r="AS1067" i="34"/>
  <c r="AF1067" i="34"/>
  <c r="AI1071" i="34"/>
  <c r="AT1071" i="34"/>
  <c r="AH1071" i="34"/>
  <c r="AK1074" i="34"/>
  <c r="AT1074" i="34"/>
  <c r="AH1074" i="34"/>
  <c r="AJ1074" i="34" s="1"/>
  <c r="AS1075" i="34"/>
  <c r="AF1075" i="34"/>
  <c r="AT1079" i="34"/>
  <c r="AH1079" i="34"/>
  <c r="AK1081" i="34"/>
  <c r="AL1081" i="34" s="1"/>
  <c r="AJ1081" i="34"/>
  <c r="AT1085" i="34"/>
  <c r="AH1085" i="34"/>
  <c r="AF1098" i="34"/>
  <c r="AS1098" i="34"/>
  <c r="AT1215" i="34"/>
  <c r="AH1215" i="34"/>
  <c r="AI1215" i="34"/>
  <c r="AS1456" i="34"/>
  <c r="AF1456" i="34"/>
  <c r="AT1037" i="34"/>
  <c r="AT1042" i="34"/>
  <c r="AH1042" i="34"/>
  <c r="AK1053" i="34"/>
  <c r="AL1053" i="34" s="1"/>
  <c r="AJ1053" i="34"/>
  <c r="AK1058" i="34"/>
  <c r="AL1058" i="34" s="1"/>
  <c r="AT1058" i="34"/>
  <c r="AH1058" i="34"/>
  <c r="AS1063" i="34"/>
  <c r="AF1063" i="34"/>
  <c r="AK1082" i="34"/>
  <c r="AL1082" i="34" s="1"/>
  <c r="AT1082" i="34"/>
  <c r="AH1082" i="34"/>
  <c r="AS1083" i="34"/>
  <c r="AF1083" i="34"/>
  <c r="AT1214" i="34"/>
  <c r="AH1214" i="34"/>
  <c r="AK1214" i="34"/>
  <c r="AL1214" i="34" s="1"/>
  <c r="AS1037" i="34"/>
  <c r="AF1037" i="34"/>
  <c r="AT1046" i="34"/>
  <c r="AH1046" i="34"/>
  <c r="AS1059" i="34"/>
  <c r="AF1059" i="34"/>
  <c r="AK1069" i="34"/>
  <c r="AL1069" i="34" s="1"/>
  <c r="AK1078" i="34"/>
  <c r="AL1078" i="34" s="1"/>
  <c r="AT1078" i="34"/>
  <c r="AH1078" i="34"/>
  <c r="AT1081" i="34"/>
  <c r="AH1081" i="34"/>
  <c r="AH1102" i="34"/>
  <c r="AT1102" i="34"/>
  <c r="AK1106" i="34"/>
  <c r="AL1106" i="34" s="1"/>
  <c r="AT1106" i="34"/>
  <c r="AH1106" i="34"/>
  <c r="AH1121" i="34"/>
  <c r="AT1121" i="34"/>
  <c r="AT1254" i="34"/>
  <c r="AH1254" i="34"/>
  <c r="AT1009" i="34"/>
  <c r="AT1020" i="34"/>
  <c r="AF1023" i="34"/>
  <c r="AT1033" i="34"/>
  <c r="AK1042" i="34"/>
  <c r="AL1042" i="34" s="1"/>
  <c r="AS1043" i="34"/>
  <c r="AF1043" i="34"/>
  <c r="AI1048" i="34"/>
  <c r="AT1048" i="34"/>
  <c r="AH1048" i="34"/>
  <c r="AT1050" i="34"/>
  <c r="AH1050" i="34"/>
  <c r="AK1054" i="34"/>
  <c r="AL1054" i="34" s="1"/>
  <c r="AT1054" i="34"/>
  <c r="AH1054" i="34"/>
  <c r="AH1061" i="34"/>
  <c r="AJ1061" i="34" s="1"/>
  <c r="AT1067" i="34"/>
  <c r="AH1067" i="34"/>
  <c r="AJ1067" i="34" s="1"/>
  <c r="AK1070" i="34"/>
  <c r="AL1070" i="34" s="1"/>
  <c r="AT1070" i="34"/>
  <c r="AH1070" i="34"/>
  <c r="AJ1070" i="34" s="1"/>
  <c r="AS1071" i="34"/>
  <c r="AF1071" i="34"/>
  <c r="AI1075" i="34"/>
  <c r="AT1075" i="34"/>
  <c r="AH1075" i="34"/>
  <c r="AS1079" i="34"/>
  <c r="AF1079" i="34"/>
  <c r="AH1094" i="34"/>
  <c r="AT1094" i="34"/>
  <c r="AK1098" i="34"/>
  <c r="AL1098" i="34" s="1"/>
  <c r="AH1098" i="34"/>
  <c r="AT1099" i="34"/>
  <c r="AH1099" i="34"/>
  <c r="AI1099" i="34"/>
  <c r="AT1149" i="34"/>
  <c r="AH1149" i="34"/>
  <c r="AT1157" i="34"/>
  <c r="AH1157" i="34"/>
  <c r="AK1000" i="34"/>
  <c r="AL1000" i="34" s="1"/>
  <c r="AK1007" i="34"/>
  <c r="AL1007" i="34" s="1"/>
  <c r="AH1009" i="34"/>
  <c r="AJ1009" i="34" s="1"/>
  <c r="AK1031" i="34"/>
  <c r="AL1031" i="34" s="1"/>
  <c r="AH1033" i="34"/>
  <c r="AS1036" i="34"/>
  <c r="AK1037" i="34"/>
  <c r="AL1037" i="34" s="1"/>
  <c r="AJ1041" i="34"/>
  <c r="AS1045" i="34"/>
  <c r="AF1045" i="34"/>
  <c r="AK1059" i="34"/>
  <c r="AL1059" i="34" s="1"/>
  <c r="AK1061" i="34"/>
  <c r="AL1061" i="34" s="1"/>
  <c r="AT1063" i="34"/>
  <c r="AH1063" i="34"/>
  <c r="AJ1063" i="34" s="1"/>
  <c r="AT1077" i="34"/>
  <c r="AH1077" i="34"/>
  <c r="AT1083" i="34"/>
  <c r="AH1083" i="34"/>
  <c r="AK1085" i="34"/>
  <c r="AJ1085" i="34"/>
  <c r="AT1181" i="34"/>
  <c r="AH1181" i="34"/>
  <c r="AF994" i="34"/>
  <c r="AJ1000" i="34"/>
  <c r="AJ1007" i="34"/>
  <c r="AF1012" i="34"/>
  <c r="AF1013" i="34"/>
  <c r="AT1013" i="34"/>
  <c r="AF1025" i="34"/>
  <c r="AT1025" i="34"/>
  <c r="AJ1031" i="34"/>
  <c r="AJ1037" i="34"/>
  <c r="AK1046" i="34"/>
  <c r="AL1046" i="34" s="1"/>
  <c r="AS1047" i="34"/>
  <c r="AF1047" i="34"/>
  <c r="AS1049" i="34"/>
  <c r="AF1049" i="34"/>
  <c r="AS1055" i="34"/>
  <c r="AF1055" i="34"/>
  <c r="AT1069" i="34"/>
  <c r="AH1069" i="34"/>
  <c r="AJ1069" i="34" s="1"/>
  <c r="AK1086" i="34"/>
  <c r="AL1086" i="34" s="1"/>
  <c r="AT1086" i="34"/>
  <c r="AH1086" i="34"/>
  <c r="AS1087" i="34"/>
  <c r="AF1087" i="34"/>
  <c r="AS1111" i="34"/>
  <c r="AF1111" i="34"/>
  <c r="AM1112" i="34"/>
  <c r="AV1112" i="34" s="1"/>
  <c r="AN1112" i="34"/>
  <c r="AK1141" i="34"/>
  <c r="AJ1141" i="34"/>
  <c r="AT1012" i="34"/>
  <c r="AK1023" i="34"/>
  <c r="AL1023" i="34" s="1"/>
  <c r="AT1036" i="34"/>
  <c r="AH1036" i="34"/>
  <c r="AI1040" i="34"/>
  <c r="AT1040" i="34"/>
  <c r="AH1040" i="34"/>
  <c r="AK1045" i="34"/>
  <c r="AL1045" i="34" s="1"/>
  <c r="AJ1045" i="34"/>
  <c r="AS1051" i="34"/>
  <c r="AF1051" i="34"/>
  <c r="AK1065" i="34"/>
  <c r="AM1072" i="34"/>
  <c r="AV1072" i="34" s="1"/>
  <c r="AK1087" i="34"/>
  <c r="AL1087" i="34" s="1"/>
  <c r="AH1095" i="34"/>
  <c r="AT1095" i="34"/>
  <c r="AS1147" i="34"/>
  <c r="AF1147" i="34"/>
  <c r="AN1193" i="34"/>
  <c r="AM1193" i="34"/>
  <c r="AV1193" i="34" s="1"/>
  <c r="AK1194" i="34"/>
  <c r="AL1194" i="34" s="1"/>
  <c r="AS1091" i="34"/>
  <c r="AF1091" i="34"/>
  <c r="AT1092" i="34"/>
  <c r="AI1094" i="34"/>
  <c r="AK1094" i="34" s="1"/>
  <c r="AL1094" i="34" s="1"/>
  <c r="AS1097" i="34"/>
  <c r="AK1100" i="34"/>
  <c r="AL1100" i="34" s="1"/>
  <c r="AK1113" i="34"/>
  <c r="AL1113" i="34" s="1"/>
  <c r="AK1125" i="34"/>
  <c r="AL1125" i="34" s="1"/>
  <c r="AK1129" i="34"/>
  <c r="AL1129" i="34" s="1"/>
  <c r="AK1133" i="34"/>
  <c r="AK1138" i="34"/>
  <c r="AL1138" i="34" s="1"/>
  <c r="AT1153" i="34"/>
  <c r="AH1153" i="34"/>
  <c r="AT1173" i="34"/>
  <c r="AH1173" i="34"/>
  <c r="AK1185" i="34"/>
  <c r="AL1185" i="34" s="1"/>
  <c r="AK1190" i="34"/>
  <c r="AL1190" i="34" s="1"/>
  <c r="AJ1190" i="34"/>
  <c r="AT1195" i="34"/>
  <c r="AH1195" i="34"/>
  <c r="AT1212" i="34"/>
  <c r="AH1212" i="34"/>
  <c r="AT1213" i="34"/>
  <c r="AH1213" i="34"/>
  <c r="AK1213" i="34"/>
  <c r="AL1213" i="34" s="1"/>
  <c r="AT1090" i="34"/>
  <c r="AT1109" i="34"/>
  <c r="AT1161" i="34"/>
  <c r="AH1161" i="34"/>
  <c r="AH1189" i="34"/>
  <c r="AT1189" i="34"/>
  <c r="AK1191" i="34"/>
  <c r="AL1191" i="34" s="1"/>
  <c r="AT1191" i="34"/>
  <c r="AH1191" i="34"/>
  <c r="AT1203" i="34"/>
  <c r="AH1203" i="34"/>
  <c r="AS1205" i="34"/>
  <c r="AF1205" i="34"/>
  <c r="AI1222" i="34"/>
  <c r="AH1222" i="34"/>
  <c r="AT1222" i="34"/>
  <c r="AM1224" i="34"/>
  <c r="AV1224" i="34" s="1"/>
  <c r="AN1224" i="34"/>
  <c r="AT1252" i="34"/>
  <c r="AH1252" i="34"/>
  <c r="AK1342" i="34"/>
  <c r="AJ1342" i="34"/>
  <c r="AH1090" i="34"/>
  <c r="AJ1093" i="34"/>
  <c r="AS1102" i="34"/>
  <c r="AF1103" i="34"/>
  <c r="AK1105" i="34"/>
  <c r="AL1105" i="34" s="1"/>
  <c r="AK1111" i="34"/>
  <c r="AL1111" i="34" s="1"/>
  <c r="AT1115" i="34"/>
  <c r="AT1122" i="34"/>
  <c r="AF1127" i="34"/>
  <c r="AF1131" i="34"/>
  <c r="AT1133" i="34"/>
  <c r="AH1133" i="34"/>
  <c r="AT1141" i="34"/>
  <c r="AH1141" i="34"/>
  <c r="AK1183" i="34"/>
  <c r="AJ1183" i="34"/>
  <c r="AT1185" i="34"/>
  <c r="AH1185" i="34"/>
  <c r="AS1192" i="34"/>
  <c r="AF1192" i="34"/>
  <c r="AT1194" i="34"/>
  <c r="AH1194" i="34"/>
  <c r="AJ1194" i="34" s="1"/>
  <c r="AT1210" i="34"/>
  <c r="AH1210" i="34"/>
  <c r="AT1211" i="34"/>
  <c r="AH1211" i="34"/>
  <c r="AI1211" i="34"/>
  <c r="AN1245" i="34"/>
  <c r="AM1245" i="34"/>
  <c r="AV1245" i="34" s="1"/>
  <c r="AK1091" i="34"/>
  <c r="AL1091" i="34" s="1"/>
  <c r="AF1139" i="34"/>
  <c r="AJ1145" i="34"/>
  <c r="AT1169" i="34"/>
  <c r="AH1169" i="34"/>
  <c r="AM1177" i="34"/>
  <c r="AV1177" i="34" s="1"/>
  <c r="AN1179" i="34"/>
  <c r="AT1190" i="34"/>
  <c r="AH1190" i="34"/>
  <c r="AK1192" i="34"/>
  <c r="AL1192" i="34" s="1"/>
  <c r="AK1196" i="34"/>
  <c r="AL1196" i="34" s="1"/>
  <c r="AJ1196" i="34"/>
  <c r="AT1199" i="34"/>
  <c r="AK1199" i="34"/>
  <c r="AL1199" i="34" s="1"/>
  <c r="AH1199" i="34"/>
  <c r="AT1202" i="34"/>
  <c r="AH1202" i="34"/>
  <c r="AI1202" i="34"/>
  <c r="AT1208" i="34"/>
  <c r="AH1208" i="34"/>
  <c r="AT1209" i="34"/>
  <c r="AH1209" i="34"/>
  <c r="AK1209" i="34"/>
  <c r="AL1209" i="34" s="1"/>
  <c r="AH1218" i="34"/>
  <c r="AT1218" i="34"/>
  <c r="AI1232" i="34"/>
  <c r="AT1232" i="34"/>
  <c r="AH1232" i="34"/>
  <c r="AJ1051" i="34"/>
  <c r="AH1052" i="34"/>
  <c r="AF1053" i="34"/>
  <c r="AH1056" i="34"/>
  <c r="AJ1056" i="34" s="1"/>
  <c r="AT1056" i="34"/>
  <c r="AF1057" i="34"/>
  <c r="AJ1059" i="34"/>
  <c r="AH1060" i="34"/>
  <c r="AF1061" i="34"/>
  <c r="AH1064" i="34"/>
  <c r="AJ1064" i="34" s="1"/>
  <c r="AF1065" i="34"/>
  <c r="AH1068" i="34"/>
  <c r="AJ1068" i="34" s="1"/>
  <c r="AT1068" i="34"/>
  <c r="AF1069" i="34"/>
  <c r="AH1072" i="34"/>
  <c r="AJ1072" i="34" s="1"/>
  <c r="AF1073" i="34"/>
  <c r="AH1076" i="34"/>
  <c r="AJ1076" i="34" s="1"/>
  <c r="AT1076" i="34"/>
  <c r="AF1077" i="34"/>
  <c r="AJ1079" i="34"/>
  <c r="AH1080" i="34"/>
  <c r="AF1081" i="34"/>
  <c r="AJ1083" i="34"/>
  <c r="AH1084" i="34"/>
  <c r="AF1085" i="34"/>
  <c r="AJ1087" i="34"/>
  <c r="AJ1089" i="34"/>
  <c r="AF1095" i="34"/>
  <c r="AK1103" i="34"/>
  <c r="AL1103" i="34" s="1"/>
  <c r="AJ1117" i="34"/>
  <c r="AN1120" i="34"/>
  <c r="AH1134" i="34"/>
  <c r="AJ1137" i="34"/>
  <c r="AH1142" i="34"/>
  <c r="AT1145" i="34"/>
  <c r="AH1145" i="34"/>
  <c r="AK1165" i="34"/>
  <c r="AL1165" i="34" s="1"/>
  <c r="AK1187" i="34"/>
  <c r="AJ1187" i="34"/>
  <c r="AT1206" i="34"/>
  <c r="AH1206" i="34"/>
  <c r="AT1207" i="34"/>
  <c r="AH1207" i="34"/>
  <c r="AK1207" i="34"/>
  <c r="AL1207" i="34" s="1"/>
  <c r="AH1217" i="34"/>
  <c r="AT1217" i="34"/>
  <c r="AT1260" i="34"/>
  <c r="AH1260" i="34"/>
  <c r="AH1096" i="34"/>
  <c r="AS1100" i="34"/>
  <c r="AF1100" i="34"/>
  <c r="AJ1103" i="34"/>
  <c r="AK1109" i="34"/>
  <c r="AL1109" i="34" s="1"/>
  <c r="AK1115" i="34"/>
  <c r="AL1115" i="34" s="1"/>
  <c r="AK1122" i="34"/>
  <c r="AL1122" i="34" s="1"/>
  <c r="AT1137" i="34"/>
  <c r="AH1137" i="34"/>
  <c r="AK1149" i="34"/>
  <c r="AL1149" i="34" s="1"/>
  <c r="AK1157" i="34"/>
  <c r="AL1157" i="34" s="1"/>
  <c r="AN1172" i="34"/>
  <c r="AM1172" i="34"/>
  <c r="AV1172" i="34" s="1"/>
  <c r="AT1177" i="34"/>
  <c r="AH1177" i="34"/>
  <c r="AK1181" i="34"/>
  <c r="AL1181" i="34" s="1"/>
  <c r="AT1198" i="34"/>
  <c r="AH1198" i="34"/>
  <c r="AT1205" i="34"/>
  <c r="AH1205" i="34"/>
  <c r="AK1205" i="34"/>
  <c r="AL1205" i="34" s="1"/>
  <c r="AT1216" i="34"/>
  <c r="AH1216" i="34"/>
  <c r="AI1216" i="34"/>
  <c r="AI1258" i="34"/>
  <c r="AT1258" i="34"/>
  <c r="AH1258" i="34"/>
  <c r="AI1283" i="34"/>
  <c r="AH1283" i="34"/>
  <c r="AT1283" i="34"/>
  <c r="AK1095" i="34"/>
  <c r="AL1095" i="34" s="1"/>
  <c r="AK1121" i="34"/>
  <c r="AL1121" i="34" s="1"/>
  <c r="AT1165" i="34"/>
  <c r="AH1165" i="34"/>
  <c r="AT1192" i="34"/>
  <c r="AH1192" i="34"/>
  <c r="AT1197" i="34"/>
  <c r="AH1197" i="34"/>
  <c r="AI1197" i="34"/>
  <c r="AK1203" i="34"/>
  <c r="AL1203" i="34" s="1"/>
  <c r="AN1212" i="34"/>
  <c r="AM1212" i="34"/>
  <c r="AV1212" i="34" s="1"/>
  <c r="AS1198" i="34"/>
  <c r="AF1198" i="34"/>
  <c r="AS1217" i="34"/>
  <c r="AF1217" i="34"/>
  <c r="AT1230" i="34"/>
  <c r="AI1244" i="34"/>
  <c r="AT1244" i="34"/>
  <c r="AH1244" i="34"/>
  <c r="AH1276" i="34"/>
  <c r="AT1276" i="34"/>
  <c r="AH1280" i="34"/>
  <c r="AT1280" i="34"/>
  <c r="AK1286" i="34"/>
  <c r="AJ1286" i="34"/>
  <c r="AH1287" i="34"/>
  <c r="AT1287" i="34"/>
  <c r="AT1307" i="34"/>
  <c r="AH1307" i="34"/>
  <c r="AH1394" i="34"/>
  <c r="AT1394" i="34"/>
  <c r="AH1151" i="34"/>
  <c r="AF1152" i="34"/>
  <c r="AJ1154" i="34"/>
  <c r="AH1155" i="34"/>
  <c r="AF1156" i="34"/>
  <c r="AJ1158" i="34"/>
  <c r="AH1159" i="34"/>
  <c r="AF1160" i="34"/>
  <c r="AJ1162" i="34"/>
  <c r="AH1163" i="34"/>
  <c r="AF1164" i="34"/>
  <c r="AJ1166" i="34"/>
  <c r="AH1167" i="34"/>
  <c r="AF1168" i="34"/>
  <c r="AJ1170" i="34"/>
  <c r="AH1171" i="34"/>
  <c r="AF1172" i="34"/>
  <c r="AJ1174" i="34"/>
  <c r="AH1175" i="34"/>
  <c r="AF1176" i="34"/>
  <c r="AJ1178" i="34"/>
  <c r="AH1179" i="34"/>
  <c r="AF1180" i="34"/>
  <c r="AJ1182" i="34"/>
  <c r="AH1183" i="34"/>
  <c r="AT1183" i="34"/>
  <c r="AF1184" i="34"/>
  <c r="AH1187" i="34"/>
  <c r="AT1187" i="34"/>
  <c r="AF1188" i="34"/>
  <c r="AJ1195" i="34"/>
  <c r="AS1197" i="34"/>
  <c r="AS1206" i="34"/>
  <c r="AS1208" i="34"/>
  <c r="AS1210" i="34"/>
  <c r="AS1212" i="34"/>
  <c r="AS1214" i="34"/>
  <c r="AS1216" i="34"/>
  <c r="AH1224" i="34"/>
  <c r="AJ1224" i="34" s="1"/>
  <c r="AK1228" i="34"/>
  <c r="AL1228" i="34" s="1"/>
  <c r="AT1266" i="34"/>
  <c r="AH1266" i="34"/>
  <c r="AM1293" i="34"/>
  <c r="AV1293" i="34" s="1"/>
  <c r="AN1293" i="34"/>
  <c r="AK1325" i="34"/>
  <c r="AL1325" i="34" s="1"/>
  <c r="AJ1325" i="34"/>
  <c r="AT1335" i="34"/>
  <c r="AH1335" i="34"/>
  <c r="AT1387" i="34"/>
  <c r="AH1387" i="34"/>
  <c r="AK1388" i="34"/>
  <c r="AL1388" i="34" s="1"/>
  <c r="AJ1388" i="34"/>
  <c r="AK1217" i="34"/>
  <c r="AL1217" i="34" s="1"/>
  <c r="AT1268" i="34"/>
  <c r="AH1268" i="34"/>
  <c r="AT1270" i="34"/>
  <c r="AH1270" i="34"/>
  <c r="AT1272" i="34"/>
  <c r="AH1272" i="34"/>
  <c r="AN1272" i="34"/>
  <c r="AK1279" i="34"/>
  <c r="AL1279" i="34" s="1"/>
  <c r="AH1279" i="34"/>
  <c r="AS1282" i="34"/>
  <c r="AF1282" i="34"/>
  <c r="AH1288" i="34"/>
  <c r="AT1288" i="34"/>
  <c r="AI1334" i="34"/>
  <c r="AT1334" i="34"/>
  <c r="AH1334" i="34"/>
  <c r="AT1355" i="34"/>
  <c r="AH1355" i="34"/>
  <c r="AK1355" i="34"/>
  <c r="AL1355" i="34" s="1"/>
  <c r="AK1198" i="34"/>
  <c r="AL1198" i="34" s="1"/>
  <c r="AT1200" i="34"/>
  <c r="AI1256" i="34"/>
  <c r="AT1256" i="34"/>
  <c r="AH1256" i="34"/>
  <c r="AK1302" i="34"/>
  <c r="AL1302" i="34" s="1"/>
  <c r="AJ1302" i="34"/>
  <c r="AF1190" i="34"/>
  <c r="AJ1192" i="34"/>
  <c r="AH1193" i="34"/>
  <c r="AF1194" i="34"/>
  <c r="AK1226" i="34"/>
  <c r="AL1226" i="34" s="1"/>
  <c r="AH1230" i="34"/>
  <c r="AH1234" i="34"/>
  <c r="AJ1234" i="34" s="1"/>
  <c r="AK1242" i="34"/>
  <c r="AL1242" i="34" s="1"/>
  <c r="AT1248" i="34"/>
  <c r="AH1248" i="34"/>
  <c r="AT1322" i="34"/>
  <c r="AH1322" i="34"/>
  <c r="AK1201" i="34"/>
  <c r="AL1201" i="34" s="1"/>
  <c r="AS1207" i="34"/>
  <c r="AS1209" i="34"/>
  <c r="AS1211" i="34"/>
  <c r="AS1213" i="34"/>
  <c r="AS1215" i="34"/>
  <c r="AT1224" i="34"/>
  <c r="AJ1230" i="34"/>
  <c r="AT1240" i="34"/>
  <c r="AH1240" i="34"/>
  <c r="AK1252" i="34"/>
  <c r="AL1252" i="34" s="1"/>
  <c r="AK1254" i="34"/>
  <c r="AL1254" i="34" s="1"/>
  <c r="AK1260" i="34"/>
  <c r="AL1260" i="34" s="1"/>
  <c r="AI1262" i="34"/>
  <c r="AK1262" i="34" s="1"/>
  <c r="AL1262" i="34" s="1"/>
  <c r="AT1264" i="34"/>
  <c r="AH1264" i="34"/>
  <c r="AK1276" i="34"/>
  <c r="AL1276" i="34" s="1"/>
  <c r="AJ1276" i="34"/>
  <c r="AK1290" i="34"/>
  <c r="AL1290" i="34" s="1"/>
  <c r="AJ1290" i="34"/>
  <c r="AK1309" i="34"/>
  <c r="AJ1309" i="34"/>
  <c r="AT1348" i="34"/>
  <c r="AH1348" i="34"/>
  <c r="AI1348" i="34"/>
  <c r="AT1196" i="34"/>
  <c r="AH1196" i="34"/>
  <c r="AK1218" i="34"/>
  <c r="AL1218" i="34" s="1"/>
  <c r="AN1234" i="34"/>
  <c r="AI1236" i="34"/>
  <c r="AT1236" i="34"/>
  <c r="AH1236" i="34"/>
  <c r="AS1281" i="34"/>
  <c r="AF1281" i="34"/>
  <c r="AT1315" i="34"/>
  <c r="AH1315" i="34"/>
  <c r="AT1316" i="34"/>
  <c r="AH1316" i="34"/>
  <c r="AK1316" i="34"/>
  <c r="AL1316" i="34" s="1"/>
  <c r="AD1265" i="34"/>
  <c r="AI1278" i="34"/>
  <c r="AT1282" i="34"/>
  <c r="AK1296" i="34"/>
  <c r="AL1296" i="34" s="1"/>
  <c r="AK1304" i="34"/>
  <c r="AL1304" i="34" s="1"/>
  <c r="AK1307" i="34"/>
  <c r="AL1307" i="34" s="1"/>
  <c r="AH1314" i="34"/>
  <c r="AK1322" i="34"/>
  <c r="AL1322" i="34" s="1"/>
  <c r="AJ1360" i="34"/>
  <c r="AK1360" i="34"/>
  <c r="AL1360" i="34" s="1"/>
  <c r="AF1415" i="34"/>
  <c r="AS1415" i="34"/>
  <c r="AT1281" i="34"/>
  <c r="AK1289" i="34"/>
  <c r="AL1289" i="34" s="1"/>
  <c r="AK1292" i="34"/>
  <c r="AL1292" i="34" s="1"/>
  <c r="AT1311" i="34"/>
  <c r="AH1311" i="34"/>
  <c r="AK1314" i="34"/>
  <c r="AL1314" i="34" s="1"/>
  <c r="AJ1314" i="34"/>
  <c r="AS1317" i="34"/>
  <c r="AJ1327" i="34"/>
  <c r="AT1329" i="34"/>
  <c r="AH1329" i="34"/>
  <c r="AI1341" i="34"/>
  <c r="AT1341" i="34"/>
  <c r="AH1341" i="34"/>
  <c r="AH1350" i="34"/>
  <c r="AT1350" i="34"/>
  <c r="AH1357" i="34"/>
  <c r="AT1357" i="34"/>
  <c r="AK1365" i="34"/>
  <c r="AL1365" i="34" s="1"/>
  <c r="AS1375" i="34"/>
  <c r="AF1375" i="34"/>
  <c r="AK1280" i="34"/>
  <c r="AL1280" i="34" s="1"/>
  <c r="AT1286" i="34"/>
  <c r="AS1300" i="34"/>
  <c r="AF1300" i="34"/>
  <c r="AS1308" i="34"/>
  <c r="AF1308" i="34"/>
  <c r="AS1323" i="34"/>
  <c r="AF1323" i="34"/>
  <c r="AM1343" i="34"/>
  <c r="AV1343" i="34" s="1"/>
  <c r="AT1377" i="34"/>
  <c r="AH1377" i="34"/>
  <c r="AT1265" i="34"/>
  <c r="AT1285" i="34"/>
  <c r="AH1286" i="34"/>
  <c r="AK1298" i="34"/>
  <c r="AL1298" i="34" s="1"/>
  <c r="AT1303" i="34"/>
  <c r="AH1303" i="34"/>
  <c r="AK1306" i="34"/>
  <c r="AL1306" i="34" s="1"/>
  <c r="AJ1306" i="34"/>
  <c r="AT1318" i="34"/>
  <c r="AH1318" i="34"/>
  <c r="AK1321" i="34"/>
  <c r="AL1321" i="34" s="1"/>
  <c r="AJ1321" i="34"/>
  <c r="AS1330" i="34"/>
  <c r="AF1330" i="34"/>
  <c r="AK1347" i="34"/>
  <c r="AL1347" i="34" s="1"/>
  <c r="AH1347" i="34"/>
  <c r="AM1364" i="34"/>
  <c r="AV1364" i="34" s="1"/>
  <c r="AN1364" i="34"/>
  <c r="AM1369" i="34"/>
  <c r="AV1369" i="34" s="1"/>
  <c r="AN1369" i="34"/>
  <c r="AN1382" i="34"/>
  <c r="AF1387" i="34"/>
  <c r="AS1387" i="34"/>
  <c r="AS1403" i="34"/>
  <c r="AF1403" i="34"/>
  <c r="AF1262" i="34"/>
  <c r="AF1276" i="34"/>
  <c r="AK1284" i="34"/>
  <c r="AL1284" i="34" s="1"/>
  <c r="AH1285" i="34"/>
  <c r="AI1295" i="34"/>
  <c r="AT1295" i="34"/>
  <c r="AH1295" i="34"/>
  <c r="AK1303" i="34"/>
  <c r="AL1303" i="34" s="1"/>
  <c r="AS1312" i="34"/>
  <c r="AF1312" i="34"/>
  <c r="AF1315" i="34"/>
  <c r="AJ1318" i="34"/>
  <c r="AK1326" i="34"/>
  <c r="AL1326" i="34" s="1"/>
  <c r="AK1335" i="34"/>
  <c r="AL1335" i="34" s="1"/>
  <c r="AH1368" i="34"/>
  <c r="AT1368" i="34"/>
  <c r="AN1370" i="34"/>
  <c r="AM1370" i="34"/>
  <c r="AV1370" i="34" s="1"/>
  <c r="AT1262" i="34"/>
  <c r="AK1310" i="34"/>
  <c r="AL1310" i="34" s="1"/>
  <c r="AJ1310" i="34"/>
  <c r="AT1317" i="34"/>
  <c r="AH1317" i="34"/>
  <c r="AS1319" i="34"/>
  <c r="AF1319" i="34"/>
  <c r="AT1326" i="34"/>
  <c r="AH1326" i="34"/>
  <c r="AK1328" i="34"/>
  <c r="AL1328" i="34" s="1"/>
  <c r="AJ1328" i="34"/>
  <c r="AT1332" i="34"/>
  <c r="AH1332" i="34"/>
  <c r="AI1337" i="34"/>
  <c r="AT1337" i="34"/>
  <c r="AH1337" i="34"/>
  <c r="AK1344" i="34"/>
  <c r="AL1344" i="34" s="1"/>
  <c r="AJ1344" i="34"/>
  <c r="AK1373" i="34"/>
  <c r="AL1373" i="34" s="1"/>
  <c r="AJ1373" i="34"/>
  <c r="AT1386" i="34"/>
  <c r="AH1386" i="34"/>
  <c r="AF1278" i="34"/>
  <c r="AK1288" i="34"/>
  <c r="AL1288" i="34" s="1"/>
  <c r="AH1289" i="34"/>
  <c r="AF1292" i="34"/>
  <c r="AS1296" i="34"/>
  <c r="AF1296" i="34"/>
  <c r="AS1304" i="34"/>
  <c r="AF1304" i="34"/>
  <c r="AK1317" i="34"/>
  <c r="AL1317" i="34" s="1"/>
  <c r="AK1332" i="34"/>
  <c r="AL1332" i="34" s="1"/>
  <c r="AS1333" i="34"/>
  <c r="AF1333" i="34"/>
  <c r="AK1345" i="34"/>
  <c r="AL1345" i="34" s="1"/>
  <c r="AJ1345" i="34"/>
  <c r="AS1351" i="34"/>
  <c r="AF1351" i="34"/>
  <c r="AN1356" i="34"/>
  <c r="AM1361" i="34"/>
  <c r="AV1361" i="34" s="1"/>
  <c r="AN1361" i="34"/>
  <c r="AH1398" i="34"/>
  <c r="AT1398" i="34"/>
  <c r="AI1398" i="34"/>
  <c r="AS1353" i="34"/>
  <c r="AD1360" i="34"/>
  <c r="AT1360" i="34"/>
  <c r="AJ1362" i="34"/>
  <c r="AH1376" i="34"/>
  <c r="AT1380" i="34"/>
  <c r="AK1381" i="34"/>
  <c r="AL1381" i="34" s="1"/>
  <c r="AT1392" i="34"/>
  <c r="AH1392" i="34"/>
  <c r="AK1392" i="34"/>
  <c r="AL1392" i="34" s="1"/>
  <c r="AT1401" i="34"/>
  <c r="AK1405" i="34"/>
  <c r="AL1405" i="34" s="1"/>
  <c r="AT1454" i="34"/>
  <c r="AH1454" i="34"/>
  <c r="AT1351" i="34"/>
  <c r="AT1356" i="34"/>
  <c r="AH1356" i="34"/>
  <c r="AJ1356" i="34" s="1"/>
  <c r="AT1361" i="34"/>
  <c r="AH1361" i="34"/>
  <c r="AJ1361" i="34" s="1"/>
  <c r="AT1365" i="34"/>
  <c r="AH1365" i="34"/>
  <c r="AJ1365" i="34" s="1"/>
  <c r="AT1373" i="34"/>
  <c r="AH1373" i="34"/>
  <c r="AS1385" i="34"/>
  <c r="AF1385" i="34"/>
  <c r="AK1387" i="34"/>
  <c r="AL1387" i="34" s="1"/>
  <c r="AJ1387" i="34"/>
  <c r="AT1410" i="34"/>
  <c r="AH1410" i="34"/>
  <c r="AT1352" i="34"/>
  <c r="AH1352" i="34"/>
  <c r="AT1354" i="34"/>
  <c r="AK1376" i="34"/>
  <c r="AL1376" i="34" s="1"/>
  <c r="AT1381" i="34"/>
  <c r="AH1381" i="34"/>
  <c r="AH1395" i="34"/>
  <c r="AT1395" i="34"/>
  <c r="AH1402" i="34"/>
  <c r="AT1402" i="34"/>
  <c r="AH1405" i="34"/>
  <c r="AT1405" i="34"/>
  <c r="AS1420" i="34"/>
  <c r="AF1420" i="34"/>
  <c r="AK1446" i="34"/>
  <c r="AJ1446" i="34"/>
  <c r="AH1338" i="34"/>
  <c r="AF1339" i="34"/>
  <c r="AH1342" i="34"/>
  <c r="AT1342" i="34"/>
  <c r="AF1343" i="34"/>
  <c r="AM1346" i="34"/>
  <c r="AV1346" i="34" s="1"/>
  <c r="AJ1350" i="34"/>
  <c r="AS1362" i="34"/>
  <c r="AF1363" i="34"/>
  <c r="AH1364" i="34"/>
  <c r="AJ1364" i="34" s="1"/>
  <c r="AJ1369" i="34"/>
  <c r="AT1370" i="34"/>
  <c r="AK1385" i="34"/>
  <c r="AL1385" i="34" s="1"/>
  <c r="AK1417" i="34"/>
  <c r="AL1417" i="34" s="1"/>
  <c r="AK1432" i="34"/>
  <c r="AL1432" i="34" s="1"/>
  <c r="AT1432" i="34"/>
  <c r="AH1432" i="34"/>
  <c r="AS1345" i="34"/>
  <c r="AT1359" i="34"/>
  <c r="AH1359" i="34"/>
  <c r="AJ1359" i="34" s="1"/>
  <c r="AT1369" i="34"/>
  <c r="AH1369" i="34"/>
  <c r="AT1345" i="34"/>
  <c r="AK1352" i="34"/>
  <c r="AL1352" i="34" s="1"/>
  <c r="AK1377" i="34"/>
  <c r="AL1377" i="34" s="1"/>
  <c r="AT1385" i="34"/>
  <c r="AH1385" i="34"/>
  <c r="AK1394" i="34"/>
  <c r="AL1394" i="34" s="1"/>
  <c r="AH1406" i="34"/>
  <c r="AT1406" i="34"/>
  <c r="AT1468" i="34"/>
  <c r="AH1468" i="34"/>
  <c r="AI1468" i="34"/>
  <c r="AT1344" i="34"/>
  <c r="AH1344" i="34"/>
  <c r="AF1347" i="34"/>
  <c r="AS1349" i="34"/>
  <c r="AK1359" i="34"/>
  <c r="AL1359" i="34" s="1"/>
  <c r="AN1366" i="34"/>
  <c r="AM1366" i="34"/>
  <c r="AV1366" i="34" s="1"/>
  <c r="AK1391" i="34"/>
  <c r="AL1391" i="34" s="1"/>
  <c r="AT1391" i="34"/>
  <c r="AH1391" i="34"/>
  <c r="AK1410" i="34"/>
  <c r="AL1410" i="34" s="1"/>
  <c r="AJ1410" i="34"/>
  <c r="AT1418" i="34"/>
  <c r="AH1418" i="34"/>
  <c r="AI1418" i="34"/>
  <c r="AS1393" i="34"/>
  <c r="AK1407" i="34"/>
  <c r="AL1407" i="34" s="1"/>
  <c r="AT1411" i="34"/>
  <c r="AK1415" i="34"/>
  <c r="AL1415" i="34" s="1"/>
  <c r="AS1419" i="34"/>
  <c r="AT1423" i="34"/>
  <c r="AK1430" i="34"/>
  <c r="AL1430" i="34" s="1"/>
  <c r="AI1433" i="34"/>
  <c r="AT1433" i="34"/>
  <c r="AH1433" i="34"/>
  <c r="AI1434" i="34"/>
  <c r="AT1434" i="34"/>
  <c r="AH1434" i="34"/>
  <c r="AK1440" i="34"/>
  <c r="AL1440" i="34" s="1"/>
  <c r="AT1440" i="34"/>
  <c r="AH1440" i="34"/>
  <c r="AK1442" i="34"/>
  <c r="AL1442" i="34" s="1"/>
  <c r="AJ1442" i="34"/>
  <c r="AT1452" i="34"/>
  <c r="AH1452" i="34"/>
  <c r="AH1458" i="34"/>
  <c r="AT1458" i="34"/>
  <c r="AF1473" i="34"/>
  <c r="AS1473" i="34"/>
  <c r="AM1478" i="34"/>
  <c r="AV1478" i="34" s="1"/>
  <c r="AT1483" i="34"/>
  <c r="AH1483" i="34"/>
  <c r="AT1498" i="34"/>
  <c r="AH1498" i="34"/>
  <c r="AT1393" i="34"/>
  <c r="AT1417" i="34"/>
  <c r="AH1417" i="34"/>
  <c r="AJ1417" i="34" s="1"/>
  <c r="AK1428" i="34"/>
  <c r="AL1428" i="34" s="1"/>
  <c r="AT1428" i="34"/>
  <c r="AH1428" i="34"/>
  <c r="AT1441" i="34"/>
  <c r="AH1441" i="34"/>
  <c r="AK1443" i="34"/>
  <c r="AL1443" i="34" s="1"/>
  <c r="AT1443" i="34"/>
  <c r="AH1443" i="34"/>
  <c r="AT1448" i="34"/>
  <c r="AH1448" i="34"/>
  <c r="AT1463" i="34"/>
  <c r="AH1463" i="34"/>
  <c r="AK1472" i="34"/>
  <c r="AL1472" i="34" s="1"/>
  <c r="AJ1472" i="34"/>
  <c r="AT1482" i="34"/>
  <c r="AH1482" i="34"/>
  <c r="AK1482" i="34"/>
  <c r="AL1482" i="34" s="1"/>
  <c r="AT1497" i="34"/>
  <c r="AH1497" i="34"/>
  <c r="AJ1504" i="34"/>
  <c r="AK1504" i="34"/>
  <c r="AK1400" i="34"/>
  <c r="AL1400" i="34" s="1"/>
  <c r="AJ1401" i="34"/>
  <c r="AK1402" i="34"/>
  <c r="AL1402" i="34" s="1"/>
  <c r="AH1403" i="34"/>
  <c r="AF1406" i="34"/>
  <c r="AH1409" i="34"/>
  <c r="AS1410" i="34"/>
  <c r="AI1412" i="34"/>
  <c r="AT1412" i="34"/>
  <c r="AH1412" i="34"/>
  <c r="AK1424" i="34"/>
  <c r="AL1424" i="34" s="1"/>
  <c r="AT1424" i="34"/>
  <c r="AH1424" i="34"/>
  <c r="AJ1424" i="34" s="1"/>
  <c r="AK1429" i="34"/>
  <c r="AL1429" i="34" s="1"/>
  <c r="AT1429" i="34"/>
  <c r="AH1429" i="34"/>
  <c r="AK1436" i="34"/>
  <c r="AL1436" i="34" s="1"/>
  <c r="AT1436" i="34"/>
  <c r="AH1436" i="34"/>
  <c r="AT1442" i="34"/>
  <c r="AH1442" i="34"/>
  <c r="AS1444" i="34"/>
  <c r="AF1444" i="34"/>
  <c r="AM1518" i="34"/>
  <c r="AV1518" i="34" s="1"/>
  <c r="AN1518" i="34"/>
  <c r="AH1388" i="34"/>
  <c r="AF1395" i="34"/>
  <c r="AF1396" i="34"/>
  <c r="AJ1402" i="34"/>
  <c r="AF1407" i="34"/>
  <c r="AF1408" i="34"/>
  <c r="AH1411" i="34"/>
  <c r="AK1413" i="34"/>
  <c r="AL1413" i="34" s="1"/>
  <c r="AF1416" i="34"/>
  <c r="AI1420" i="34"/>
  <c r="AT1420" i="34"/>
  <c r="AH1420" i="34"/>
  <c r="AK1422" i="34"/>
  <c r="AL1422" i="34" s="1"/>
  <c r="AT1430" i="34"/>
  <c r="AH1430" i="34"/>
  <c r="AK1437" i="34"/>
  <c r="AL1437" i="34" s="1"/>
  <c r="AT1437" i="34"/>
  <c r="AH1437" i="34"/>
  <c r="AK1444" i="34"/>
  <c r="AL1444" i="34" s="1"/>
  <c r="AT1456" i="34"/>
  <c r="AH1456" i="34"/>
  <c r="AT1464" i="34"/>
  <c r="AH1464" i="34"/>
  <c r="AH1492" i="34"/>
  <c r="AT1492" i="34"/>
  <c r="AJ1506" i="34"/>
  <c r="AK1506" i="34"/>
  <c r="AL1506" i="34" s="1"/>
  <c r="AM1510" i="34"/>
  <c r="AV1510" i="34" s="1"/>
  <c r="AN1510" i="34"/>
  <c r="AT1407" i="34"/>
  <c r="AK1409" i="34"/>
  <c r="AL1409" i="34" s="1"/>
  <c r="AT1413" i="34"/>
  <c r="AH1413" i="34"/>
  <c r="AJ1413" i="34" s="1"/>
  <c r="AI1421" i="34"/>
  <c r="AT1421" i="34"/>
  <c r="AH1421" i="34"/>
  <c r="AI1425" i="34"/>
  <c r="AT1425" i="34"/>
  <c r="AH1425" i="34"/>
  <c r="AT1438" i="34"/>
  <c r="AH1438" i="34"/>
  <c r="AK1447" i="34"/>
  <c r="AL1447" i="34" s="1"/>
  <c r="AT1447" i="34"/>
  <c r="AH1447" i="34"/>
  <c r="AK1450" i="34"/>
  <c r="AL1450" i="34" s="1"/>
  <c r="AJ1450" i="34"/>
  <c r="AS1452" i="34"/>
  <c r="AF1452" i="34"/>
  <c r="AT1475" i="34"/>
  <c r="AH1475" i="34"/>
  <c r="AM1477" i="34"/>
  <c r="AV1477" i="34" s="1"/>
  <c r="AK1406" i="34"/>
  <c r="AL1406" i="34" s="1"/>
  <c r="AJ1408" i="34"/>
  <c r="AT1414" i="34"/>
  <c r="AH1414" i="34"/>
  <c r="AK1423" i="34"/>
  <c r="AJ1423" i="34"/>
  <c r="AI1426" i="34"/>
  <c r="AT1426" i="34"/>
  <c r="AH1426" i="34"/>
  <c r="AT1446" i="34"/>
  <c r="AH1446" i="34"/>
  <c r="AS1448" i="34"/>
  <c r="AF1448" i="34"/>
  <c r="AI1451" i="34"/>
  <c r="AT1451" i="34"/>
  <c r="AH1451" i="34"/>
  <c r="AK1454" i="34"/>
  <c r="AL1454" i="34" s="1"/>
  <c r="AJ1454" i="34"/>
  <c r="AI1488" i="34"/>
  <c r="AT1488" i="34"/>
  <c r="AH1488" i="34"/>
  <c r="AK1489" i="34"/>
  <c r="AJ1489" i="34"/>
  <c r="AF1400" i="34"/>
  <c r="AJ1406" i="34"/>
  <c r="AT1408" i="34"/>
  <c r="AH1408" i="34"/>
  <c r="AI1414" i="34"/>
  <c r="AT1416" i="34"/>
  <c r="AH1416" i="34"/>
  <c r="AJ1416" i="34" s="1"/>
  <c r="AH1419" i="34"/>
  <c r="AJ1419" i="34" s="1"/>
  <c r="AT1422" i="34"/>
  <c r="AH1422" i="34"/>
  <c r="AJ1422" i="34" s="1"/>
  <c r="AH1423" i="34"/>
  <c r="AT1444" i="34"/>
  <c r="AH1444" i="34"/>
  <c r="AK1448" i="34"/>
  <c r="AL1448" i="34" s="1"/>
  <c r="AT1450" i="34"/>
  <c r="AH1450" i="34"/>
  <c r="AK1455" i="34"/>
  <c r="AL1455" i="34" s="1"/>
  <c r="AT1455" i="34"/>
  <c r="AH1455" i="34"/>
  <c r="AT1461" i="34"/>
  <c r="AH1461" i="34"/>
  <c r="AK1461" i="34"/>
  <c r="AL1461" i="34" s="1"/>
  <c r="AD1441" i="34"/>
  <c r="AS1466" i="34"/>
  <c r="AF1466" i="34"/>
  <c r="AT1467" i="34"/>
  <c r="AH1467" i="34"/>
  <c r="AS1469" i="34"/>
  <c r="AK1473" i="34"/>
  <c r="AL1473" i="34" s="1"/>
  <c r="AT1473" i="34"/>
  <c r="AH1473" i="34"/>
  <c r="AT1496" i="34"/>
  <c r="AH1496" i="34"/>
  <c r="AI1496" i="34"/>
  <c r="AK1509" i="34"/>
  <c r="AL1509" i="34" s="1"/>
  <c r="AH1509" i="34"/>
  <c r="AT1509" i="34"/>
  <c r="AN1519" i="34"/>
  <c r="AS1458" i="34"/>
  <c r="AK1479" i="34"/>
  <c r="AL1479" i="34" s="1"/>
  <c r="AJ1479" i="34"/>
  <c r="AT1487" i="34"/>
  <c r="AH1487" i="34"/>
  <c r="AJ1487" i="34" s="1"/>
  <c r="AT1491" i="34"/>
  <c r="AH1491" i="34"/>
  <c r="AJ1502" i="34"/>
  <c r="AK1502" i="34"/>
  <c r="AL1502" i="34" s="1"/>
  <c r="AT1507" i="34"/>
  <c r="AH1507" i="34"/>
  <c r="AT1508" i="34"/>
  <c r="AH1508" i="34"/>
  <c r="AK1546" i="34"/>
  <c r="AL1546" i="34" s="1"/>
  <c r="AT1546" i="34"/>
  <c r="AH1546" i="34"/>
  <c r="AT1459" i="34"/>
  <c r="AK1464" i="34"/>
  <c r="AL1464" i="34" s="1"/>
  <c r="AJ1464" i="34"/>
  <c r="AS1465" i="34"/>
  <c r="AS1474" i="34"/>
  <c r="AF1474" i="34"/>
  <c r="AT1480" i="34"/>
  <c r="AH1480" i="34"/>
  <c r="AS1481" i="34"/>
  <c r="AF1481" i="34"/>
  <c r="AI1486" i="34"/>
  <c r="AH1486" i="34"/>
  <c r="AI1490" i="34"/>
  <c r="AT1490" i="34"/>
  <c r="AH1490" i="34"/>
  <c r="AT1494" i="34"/>
  <c r="AH1494" i="34"/>
  <c r="AT1505" i="34"/>
  <c r="AH1505" i="34"/>
  <c r="AT1506" i="34"/>
  <c r="AH1506" i="34"/>
  <c r="AT1460" i="34"/>
  <c r="AH1460" i="34"/>
  <c r="AK1494" i="34"/>
  <c r="AL1494" i="34" s="1"/>
  <c r="AJ1500" i="34"/>
  <c r="AK1500" i="34"/>
  <c r="AL1500" i="34" s="1"/>
  <c r="AT1503" i="34"/>
  <c r="AH1503" i="34"/>
  <c r="AT1504" i="34"/>
  <c r="AH1504" i="34"/>
  <c r="AH1457" i="34"/>
  <c r="AK1469" i="34"/>
  <c r="AL1469" i="34" s="1"/>
  <c r="AT1469" i="34"/>
  <c r="AH1469" i="34"/>
  <c r="AK1471" i="34"/>
  <c r="AL1471" i="34" s="1"/>
  <c r="AT1478" i="34"/>
  <c r="AH1478" i="34"/>
  <c r="AT1479" i="34"/>
  <c r="AH1479" i="34"/>
  <c r="AK1483" i="34"/>
  <c r="AL1483" i="34" s="1"/>
  <c r="AJ1483" i="34"/>
  <c r="AJ1498" i="34"/>
  <c r="AK1498" i="34"/>
  <c r="AL1498" i="34" s="1"/>
  <c r="AT1502" i="34"/>
  <c r="AH1502" i="34"/>
  <c r="AK1460" i="34"/>
  <c r="AL1460" i="34" s="1"/>
  <c r="AT1465" i="34"/>
  <c r="AH1465" i="34"/>
  <c r="AT1471" i="34"/>
  <c r="AH1471" i="34"/>
  <c r="AK1475" i="34"/>
  <c r="AL1475" i="34" s="1"/>
  <c r="AJ1475" i="34"/>
  <c r="AT1484" i="34"/>
  <c r="AH1484" i="34"/>
  <c r="AS1485" i="34"/>
  <c r="AF1485" i="34"/>
  <c r="AK1495" i="34"/>
  <c r="AL1495" i="34" s="1"/>
  <c r="AU1495" i="34" s="1"/>
  <c r="AJ1495" i="34"/>
  <c r="AT1501" i="34"/>
  <c r="AH1501" i="34"/>
  <c r="AI1501" i="34"/>
  <c r="AK1522" i="34"/>
  <c r="AL1522" i="34" s="1"/>
  <c r="AH1522" i="34"/>
  <c r="AT1522" i="34"/>
  <c r="AS1462" i="34"/>
  <c r="AF1462" i="34"/>
  <c r="AS1470" i="34"/>
  <c r="AF1470" i="34"/>
  <c r="AT1472" i="34"/>
  <c r="AH1472" i="34"/>
  <c r="AT1474" i="34"/>
  <c r="AH1474" i="34"/>
  <c r="AT1476" i="34"/>
  <c r="AH1476" i="34"/>
  <c r="AS1477" i="34"/>
  <c r="AF1477" i="34"/>
  <c r="AK1487" i="34"/>
  <c r="AL1487" i="34" s="1"/>
  <c r="AS1489" i="34"/>
  <c r="AF1489" i="34"/>
  <c r="AK1491" i="34"/>
  <c r="AJ1491" i="34"/>
  <c r="AT1499" i="34"/>
  <c r="AH1499" i="34"/>
  <c r="AT1500" i="34"/>
  <c r="AH1500" i="34"/>
  <c r="AJ1508" i="34"/>
  <c r="AK1508" i="34"/>
  <c r="AL1508" i="34" s="1"/>
  <c r="AT1493" i="34"/>
  <c r="AH1493" i="34"/>
  <c r="AT1511" i="34"/>
  <c r="AT1514" i="34"/>
  <c r="AT1535" i="34"/>
  <c r="AH1535" i="34"/>
  <c r="AT1552" i="34"/>
  <c r="AH1552" i="34"/>
  <c r="AS1509" i="34"/>
  <c r="AF1509" i="34"/>
  <c r="AI1547" i="34"/>
  <c r="AT1547" i="34"/>
  <c r="AH1547" i="34"/>
  <c r="AJ1476" i="34"/>
  <c r="AH1477" i="34"/>
  <c r="AT1477" i="34"/>
  <c r="AF1478" i="34"/>
  <c r="AJ1480" i="34"/>
  <c r="AH1481" i="34"/>
  <c r="AT1481" i="34"/>
  <c r="AF1482" i="34"/>
  <c r="AJ1484" i="34"/>
  <c r="AH1485" i="34"/>
  <c r="AT1485" i="34"/>
  <c r="AF1486" i="34"/>
  <c r="AH1489" i="34"/>
  <c r="AT1489" i="34"/>
  <c r="AF1490" i="34"/>
  <c r="AK1492" i="34"/>
  <c r="AL1492" i="34" s="1"/>
  <c r="AJ1493" i="34"/>
  <c r="AS1496" i="34"/>
  <c r="AS1498" i="34"/>
  <c r="AS1500" i="34"/>
  <c r="AS1502" i="34"/>
  <c r="AS1504" i="34"/>
  <c r="AS1506" i="34"/>
  <c r="AS1508" i="34"/>
  <c r="AT1510" i="34"/>
  <c r="AN1513" i="34"/>
  <c r="AK1523" i="34"/>
  <c r="AL1523" i="34" s="1"/>
  <c r="AK1531" i="34"/>
  <c r="AL1531" i="34" s="1"/>
  <c r="AK1542" i="34"/>
  <c r="AL1542" i="34" s="1"/>
  <c r="AT1542" i="34"/>
  <c r="AH1542" i="34"/>
  <c r="AK1543" i="34"/>
  <c r="AL1543" i="34" s="1"/>
  <c r="AH1514" i="34"/>
  <c r="AK1526" i="34"/>
  <c r="AL1526" i="34" s="1"/>
  <c r="AT1526" i="34"/>
  <c r="AH1526" i="34"/>
  <c r="AI1530" i="34"/>
  <c r="AT1530" i="34"/>
  <c r="AH1530" i="34"/>
  <c r="AK1550" i="34"/>
  <c r="AL1550" i="34" s="1"/>
  <c r="AT1550" i="34"/>
  <c r="AH1550" i="34"/>
  <c r="AK1551" i="34"/>
  <c r="AL1551" i="34" s="1"/>
  <c r="AT1495" i="34"/>
  <c r="AK1497" i="34"/>
  <c r="AL1497" i="34" s="1"/>
  <c r="AK1499" i="34"/>
  <c r="AL1499" i="34" s="1"/>
  <c r="AK1503" i="34"/>
  <c r="AL1503" i="34" s="1"/>
  <c r="AK1505" i="34"/>
  <c r="AL1505" i="34" s="1"/>
  <c r="AK1507" i="34"/>
  <c r="AL1507" i="34" s="1"/>
  <c r="AH1519" i="34"/>
  <c r="AN1521" i="34"/>
  <c r="AT1523" i="34"/>
  <c r="AH1523" i="34"/>
  <c r="AK1527" i="34"/>
  <c r="AL1527" i="34" s="1"/>
  <c r="AT1531" i="34"/>
  <c r="AH1531" i="34"/>
  <c r="AK1538" i="34"/>
  <c r="AL1538" i="34" s="1"/>
  <c r="AT1538" i="34"/>
  <c r="AH1538" i="34"/>
  <c r="AK1539" i="34"/>
  <c r="AL1539" i="34" s="1"/>
  <c r="AT1543" i="34"/>
  <c r="AH1543" i="34"/>
  <c r="AT1551" i="34"/>
  <c r="AH1551" i="34"/>
  <c r="AF1492" i="34"/>
  <c r="AS1497" i="34"/>
  <c r="AS1499" i="34"/>
  <c r="AS1501" i="34"/>
  <c r="AS1503" i="34"/>
  <c r="AS1505" i="34"/>
  <c r="AS1507" i="34"/>
  <c r="AT1527" i="34"/>
  <c r="AH1527" i="34"/>
  <c r="AK1534" i="34"/>
  <c r="AL1534" i="34" s="1"/>
  <c r="AT1534" i="34"/>
  <c r="AH1534" i="34"/>
  <c r="AT1539" i="34"/>
  <c r="AH1539" i="34"/>
  <c r="AF1552" i="34"/>
  <c r="AS1685" i="21"/>
  <c r="AK1685" i="21"/>
  <c r="AL1685" i="21" s="1"/>
  <c r="AN1685" i="21" s="1"/>
  <c r="AT1685" i="21"/>
  <c r="AH1685" i="21"/>
  <c r="AJ1685" i="21" s="1"/>
  <c r="AN694" i="34" l="1"/>
  <c r="AM557" i="34"/>
  <c r="AV557" i="34" s="1"/>
  <c r="AN453" i="34"/>
  <c r="AJ258" i="34"/>
  <c r="AJ698" i="34"/>
  <c r="AM417" i="34"/>
  <c r="AV417" i="34" s="1"/>
  <c r="AN290" i="34"/>
  <c r="AJ35" i="34"/>
  <c r="AN696" i="34"/>
  <c r="AM778" i="34"/>
  <c r="AV778" i="34" s="1"/>
  <c r="AN817" i="34"/>
  <c r="AM1083" i="34"/>
  <c r="AV1083" i="34" s="1"/>
  <c r="AN1148" i="34"/>
  <c r="AM1200" i="34"/>
  <c r="AV1200" i="34" s="1"/>
  <c r="AM1184" i="34"/>
  <c r="AV1184" i="34" s="1"/>
  <c r="AJ1143" i="34"/>
  <c r="AM1132" i="34"/>
  <c r="AV1132" i="34" s="1"/>
  <c r="AJ457" i="34"/>
  <c r="AJ163" i="34"/>
  <c r="AM1481" i="34"/>
  <c r="AV1481" i="34" s="1"/>
  <c r="AM10" i="34"/>
  <c r="AV10" i="34" s="1"/>
  <c r="AM559" i="34"/>
  <c r="AV559" i="34" s="1"/>
  <c r="AM848" i="34"/>
  <c r="AV848" i="34" s="1"/>
  <c r="AN1247" i="34"/>
  <c r="AN876" i="34"/>
  <c r="AJ31" i="34"/>
  <c r="AJ959" i="34"/>
  <c r="AN987" i="34"/>
  <c r="AM679" i="34"/>
  <c r="AV679" i="34" s="1"/>
  <c r="AN407" i="34"/>
  <c r="AN1018" i="34"/>
  <c r="AM962" i="34"/>
  <c r="AV962" i="34" s="1"/>
  <c r="AM774" i="34"/>
  <c r="AV774" i="34" s="1"/>
  <c r="AM1536" i="34"/>
  <c r="AV1536" i="34" s="1"/>
  <c r="AN1036" i="34"/>
  <c r="AM993" i="34"/>
  <c r="AV993" i="34" s="1"/>
  <c r="AM1484" i="34"/>
  <c r="AV1484" i="34" s="1"/>
  <c r="AM375" i="34"/>
  <c r="AV375" i="34" s="1"/>
  <c r="AM627" i="34"/>
  <c r="AV627" i="34" s="1"/>
  <c r="AM1493" i="34"/>
  <c r="AV1493" i="34" s="1"/>
  <c r="AM1445" i="34"/>
  <c r="AV1445" i="34" s="1"/>
  <c r="AM1431" i="34"/>
  <c r="AV1431" i="34" s="1"/>
  <c r="AN1195" i="34"/>
  <c r="AN1004" i="34"/>
  <c r="AM813" i="34"/>
  <c r="AV813" i="34" s="1"/>
  <c r="AN1372" i="34"/>
  <c r="AM1386" i="34"/>
  <c r="AV1386" i="34" s="1"/>
  <c r="AM1124" i="34"/>
  <c r="AV1124" i="34" s="1"/>
  <c r="AN1401" i="34"/>
  <c r="AN1397" i="34"/>
  <c r="AM1176" i="34"/>
  <c r="AV1176" i="34" s="1"/>
  <c r="AJ1533" i="34"/>
  <c r="AM81" i="34"/>
  <c r="AV81" i="34" s="1"/>
  <c r="AN1227" i="34"/>
  <c r="AN1350" i="34"/>
  <c r="AK859" i="34"/>
  <c r="AL859" i="34" s="1"/>
  <c r="AN859" i="34" s="1"/>
  <c r="AJ679" i="34"/>
  <c r="AN1324" i="34"/>
  <c r="AM1457" i="34"/>
  <c r="AV1457" i="34" s="1"/>
  <c r="AN983" i="34"/>
  <c r="AM273" i="34"/>
  <c r="AV273" i="34" s="1"/>
  <c r="AM919" i="34"/>
  <c r="AV919" i="34" s="1"/>
  <c r="AK1435" i="34"/>
  <c r="AU1435" i="34" s="1"/>
  <c r="AK246" i="34"/>
  <c r="AM246" i="34" s="1"/>
  <c r="AV246" i="34" s="1"/>
  <c r="AK1315" i="34"/>
  <c r="AL1315" i="34" s="1"/>
  <c r="AU1315" i="34" s="1"/>
  <c r="AN1374" i="34"/>
  <c r="AM777" i="34"/>
  <c r="AV777" i="34" s="1"/>
  <c r="AM1349" i="34"/>
  <c r="AV1349" i="34" s="1"/>
  <c r="AM1063" i="34"/>
  <c r="AV1063" i="34" s="1"/>
  <c r="AN1349" i="34"/>
  <c r="AM1463" i="34"/>
  <c r="AV1463" i="34" s="1"/>
  <c r="AN1463" i="34"/>
  <c r="AN1063" i="34"/>
  <c r="AM75" i="34"/>
  <c r="AV75" i="34" s="1"/>
  <c r="AJ688" i="34"/>
  <c r="AN651" i="34"/>
  <c r="AN389" i="34"/>
  <c r="AN667" i="34"/>
  <c r="AM389" i="34"/>
  <c r="AV389" i="34" s="1"/>
  <c r="AM244" i="34"/>
  <c r="AV244" i="34" s="1"/>
  <c r="AM135" i="34"/>
  <c r="AV135" i="34" s="1"/>
  <c r="AN6" i="34"/>
  <c r="AN1327" i="34"/>
  <c r="AM1266" i="34"/>
  <c r="AV1266" i="34" s="1"/>
  <c r="AN948" i="34"/>
  <c r="AM604" i="34"/>
  <c r="AV604" i="34" s="1"/>
  <c r="AN244" i="34"/>
  <c r="AM1327" i="34"/>
  <c r="AV1327" i="34" s="1"/>
  <c r="AN1250" i="34"/>
  <c r="AN1266" i="34"/>
  <c r="AJ685" i="34"/>
  <c r="AN604" i="34"/>
  <c r="AM477" i="34"/>
  <c r="AV477" i="34" s="1"/>
  <c r="AM59" i="34"/>
  <c r="AV59" i="34" s="1"/>
  <c r="AN777" i="34"/>
  <c r="AN477" i="34"/>
  <c r="AM454" i="34"/>
  <c r="AV454" i="34" s="1"/>
  <c r="AN59" i="34"/>
  <c r="AN213" i="34"/>
  <c r="AN661" i="34"/>
  <c r="AM661" i="34"/>
  <c r="AV661" i="34" s="1"/>
  <c r="AM232" i="34"/>
  <c r="AV232" i="34" s="1"/>
  <c r="AM915" i="34"/>
  <c r="AV915" i="34" s="1"/>
  <c r="AM213" i="34"/>
  <c r="AV213" i="34" s="1"/>
  <c r="AM6" i="34"/>
  <c r="AV6" i="34" s="1"/>
  <c r="AN232" i="34"/>
  <c r="AM205" i="34"/>
  <c r="AV205" i="34" s="1"/>
  <c r="AN75" i="34"/>
  <c r="AN205" i="34"/>
  <c r="AM152" i="34"/>
  <c r="AV152" i="34" s="1"/>
  <c r="AM262" i="34"/>
  <c r="AV262" i="34" s="1"/>
  <c r="AN152" i="34"/>
  <c r="AN62" i="34"/>
  <c r="AN262" i="34"/>
  <c r="AJ219" i="34"/>
  <c r="AJ462" i="34"/>
  <c r="AJ275" i="34"/>
  <c r="AU1507" i="34"/>
  <c r="AU1489" i="34"/>
  <c r="AU1505" i="34"/>
  <c r="AU1550" i="34"/>
  <c r="AU1526" i="34"/>
  <c r="AU1531" i="34"/>
  <c r="AU1475" i="34"/>
  <c r="AU1498" i="34"/>
  <c r="AU1471" i="34"/>
  <c r="AU1546" i="34"/>
  <c r="AU1461" i="34"/>
  <c r="AU1448" i="34"/>
  <c r="AU1506" i="34"/>
  <c r="AU1444" i="34"/>
  <c r="AU1430" i="34"/>
  <c r="AU1391" i="34"/>
  <c r="AU1377" i="34"/>
  <c r="AU1392" i="34"/>
  <c r="AU1317" i="34"/>
  <c r="AU1288" i="34"/>
  <c r="AU1335" i="34"/>
  <c r="AU1365" i="34"/>
  <c r="AU1254" i="34"/>
  <c r="AU1388" i="34"/>
  <c r="AU1121" i="34"/>
  <c r="AU1149" i="34"/>
  <c r="AU1209" i="34"/>
  <c r="AU1342" i="34"/>
  <c r="AU1007" i="34"/>
  <c r="AU1074" i="34"/>
  <c r="AU1066" i="34"/>
  <c r="AU1068" i="34"/>
  <c r="AU972" i="34"/>
  <c r="AU909" i="34"/>
  <c r="AU961" i="34"/>
  <c r="AU942" i="34"/>
  <c r="AU959" i="34"/>
  <c r="AU910" i="34"/>
  <c r="AU957" i="34"/>
  <c r="AU872" i="34"/>
  <c r="AU780" i="34"/>
  <c r="AU802" i="34"/>
  <c r="AU917" i="34"/>
  <c r="AU804" i="34"/>
  <c r="AU707" i="34"/>
  <c r="AU773" i="34"/>
  <c r="AU767" i="34"/>
  <c r="AU682" i="34"/>
  <c r="AU768" i="34"/>
  <c r="AU551" i="34"/>
  <c r="AU535" i="34"/>
  <c r="AU589" i="34"/>
  <c r="AU573" i="34"/>
  <c r="AU532" i="34"/>
  <c r="AU563" i="34"/>
  <c r="AU580" i="34"/>
  <c r="AU572" i="34"/>
  <c r="AU396" i="34"/>
  <c r="AU462" i="34"/>
  <c r="AU377" i="34"/>
  <c r="AU441" i="34"/>
  <c r="AU455" i="34"/>
  <c r="AU379" i="34"/>
  <c r="AU437" i="34"/>
  <c r="AU463" i="34"/>
  <c r="AU421" i="34"/>
  <c r="AU297" i="34"/>
  <c r="AU300" i="34"/>
  <c r="AU331" i="34"/>
  <c r="AU323" i="34"/>
  <c r="AU320" i="34"/>
  <c r="AU144" i="34"/>
  <c r="AU148" i="34"/>
  <c r="AU215" i="34"/>
  <c r="AU150" i="34"/>
  <c r="AU95" i="34"/>
  <c r="AU234" i="34"/>
  <c r="AU73" i="34"/>
  <c r="AU97" i="34"/>
  <c r="AU50" i="34"/>
  <c r="AU52" i="34"/>
  <c r="AU63" i="34"/>
  <c r="AU41" i="34"/>
  <c r="AU8" i="34"/>
  <c r="AU11" i="34"/>
  <c r="AU25" i="34"/>
  <c r="AU1330" i="34"/>
  <c r="AU1467" i="34"/>
  <c r="AU1545" i="34"/>
  <c r="AU1329" i="34"/>
  <c r="AU1512" i="34"/>
  <c r="AU1339" i="34"/>
  <c r="AU1239" i="34"/>
  <c r="AU1231" i="34"/>
  <c r="AU1139" i="34"/>
  <c r="AU1154" i="34"/>
  <c r="AU1180" i="34"/>
  <c r="AU1269" i="34"/>
  <c r="AU1134" i="34"/>
  <c r="AU969" i="34"/>
  <c r="AU1147" i="34"/>
  <c r="AU1017" i="34"/>
  <c r="AU786" i="34"/>
  <c r="AU906" i="34"/>
  <c r="AU778" i="34"/>
  <c r="AU847" i="34"/>
  <c r="AU1267" i="34"/>
  <c r="AU1004" i="34"/>
  <c r="AU736" i="34"/>
  <c r="AU766" i="34"/>
  <c r="AU722" i="34"/>
  <c r="AU724" i="34"/>
  <c r="AU681" i="34"/>
  <c r="AU660" i="34"/>
  <c r="AU216" i="34"/>
  <c r="AU205" i="34"/>
  <c r="AU200" i="34"/>
  <c r="AU262" i="34"/>
  <c r="AU152" i="34"/>
  <c r="AU232" i="34"/>
  <c r="AU213" i="34"/>
  <c r="AU6" i="34"/>
  <c r="AU211" i="34"/>
  <c r="AU131" i="34"/>
  <c r="AU75" i="34"/>
  <c r="AU1327" i="34"/>
  <c r="AU1250" i="34"/>
  <c r="AU1063" i="34"/>
  <c r="AU844" i="34"/>
  <c r="AU864" i="34"/>
  <c r="AU760" i="34"/>
  <c r="AU656" i="34"/>
  <c r="AU871" i="34"/>
  <c r="AU409" i="34"/>
  <c r="AU62" i="34"/>
  <c r="AU135" i="34"/>
  <c r="AU1266" i="34"/>
  <c r="AU777" i="34"/>
  <c r="AU792" i="34"/>
  <c r="AU1025" i="34"/>
  <c r="AU667" i="34"/>
  <c r="AU1427" i="34"/>
  <c r="AU477" i="34"/>
  <c r="AU734" i="34"/>
  <c r="AU1523" i="34"/>
  <c r="AU1500" i="34"/>
  <c r="AU1473" i="34"/>
  <c r="AU1447" i="34"/>
  <c r="AU1439" i="34"/>
  <c r="AU1482" i="34"/>
  <c r="AU1440" i="34"/>
  <c r="AU1352" i="34"/>
  <c r="AU1326" i="34"/>
  <c r="AU1347" i="34"/>
  <c r="AU1306" i="34"/>
  <c r="AU1292" i="34"/>
  <c r="AU1322" i="34"/>
  <c r="AU1290" i="34"/>
  <c r="AU1252" i="34"/>
  <c r="AU1198" i="34"/>
  <c r="AU1095" i="34"/>
  <c r="AU1199" i="34"/>
  <c r="AU1111" i="34"/>
  <c r="AU1094" i="34"/>
  <c r="AU1023" i="34"/>
  <c r="AU1000" i="34"/>
  <c r="AU1070" i="34"/>
  <c r="AU1078" i="34"/>
  <c r="AU1214" i="34"/>
  <c r="AU1053" i="34"/>
  <c r="AU1081" i="34"/>
  <c r="AU1049" i="34"/>
  <c r="AU1027" i="34"/>
  <c r="AU967" i="34"/>
  <c r="AU954" i="34"/>
  <c r="AU929" i="34"/>
  <c r="AU889" i="34"/>
  <c r="AU1077" i="34"/>
  <c r="AU908" i="34"/>
  <c r="AU881" i="34"/>
  <c r="AU945" i="34"/>
  <c r="AU884" i="34"/>
  <c r="AU854" i="34"/>
  <c r="AU865" i="34"/>
  <c r="AU989" i="34"/>
  <c r="AU753" i="34"/>
  <c r="AU735" i="34"/>
  <c r="AU964" i="34"/>
  <c r="AU824" i="34"/>
  <c r="AU688" i="34"/>
  <c r="AU617" i="34"/>
  <c r="AU704" i="34"/>
  <c r="AU665" i="34"/>
  <c r="AU670" i="34"/>
  <c r="AU731" i="34"/>
  <c r="AU748" i="34"/>
  <c r="AU570" i="34"/>
  <c r="AU504" i="34"/>
  <c r="AU443" i="34"/>
  <c r="AU420" i="34"/>
  <c r="AU567" i="34"/>
  <c r="AU571" i="34"/>
  <c r="AU500" i="34"/>
  <c r="AU452" i="34"/>
  <c r="AU552" i="34"/>
  <c r="AU497" i="34"/>
  <c r="AU449" i="34"/>
  <c r="AU510" i="34"/>
  <c r="AU308" i="34"/>
  <c r="AU293" i="34"/>
  <c r="AU343" i="34"/>
  <c r="AU301" i="34"/>
  <c r="AU352" i="34"/>
  <c r="AU349" i="34"/>
  <c r="AU274" i="34"/>
  <c r="AU261" i="34"/>
  <c r="AU247" i="34"/>
  <c r="AU339" i="34"/>
  <c r="AU272" i="34"/>
  <c r="AU145" i="34"/>
  <c r="AU91" i="34"/>
  <c r="AU285" i="34"/>
  <c r="AU230" i="34"/>
  <c r="AU118" i="34"/>
  <c r="AU84" i="34"/>
  <c r="AU3" i="34"/>
  <c r="AU48" i="34"/>
  <c r="AU4" i="34"/>
  <c r="AU1520" i="34"/>
  <c r="AU1552" i="34"/>
  <c r="AU1536" i="34"/>
  <c r="AU1484" i="34"/>
  <c r="AU1343" i="34"/>
  <c r="AU1248" i="34"/>
  <c r="AU1549" i="34"/>
  <c r="AU1390" i="34"/>
  <c r="AU1320" i="34"/>
  <c r="AU1177" i="34"/>
  <c r="AU1041" i="34"/>
  <c r="AU1151" i="34"/>
  <c r="AU1301" i="34"/>
  <c r="AU1171" i="34"/>
  <c r="AU1223" i="34"/>
  <c r="AU1114" i="34"/>
  <c r="AU1136" i="34"/>
  <c r="AU991" i="34"/>
  <c r="AU1057" i="34"/>
  <c r="AU966" i="34"/>
  <c r="AU947" i="34"/>
  <c r="AU857" i="34"/>
  <c r="AU1005" i="34"/>
  <c r="AU885" i="34"/>
  <c r="AU1135" i="34"/>
  <c r="AU1233" i="34"/>
  <c r="AU1118" i="34"/>
  <c r="AU1008" i="34"/>
  <c r="AU1084" i="34"/>
  <c r="AU1072" i="34"/>
  <c r="AU935" i="34"/>
  <c r="AU841" i="34"/>
  <c r="AU680" i="34"/>
  <c r="AU759" i="34"/>
  <c r="AU601" i="34"/>
  <c r="AU403" i="34"/>
  <c r="AU590" i="34"/>
  <c r="AU464" i="34"/>
  <c r="AU382" i="34"/>
  <c r="AU231" i="34"/>
  <c r="AU255" i="34"/>
  <c r="AU506" i="34"/>
  <c r="AU284" i="34"/>
  <c r="AU280" i="34"/>
  <c r="AU55" i="34"/>
  <c r="AU1462" i="34"/>
  <c r="AU1189" i="34"/>
  <c r="AU1438" i="34"/>
  <c r="AU1465" i="34"/>
  <c r="AU652" i="34"/>
  <c r="AU952" i="34"/>
  <c r="AU762" i="34"/>
  <c r="AU1313" i="34"/>
  <c r="AU1237" i="34"/>
  <c r="AU553" i="34"/>
  <c r="AU268" i="34"/>
  <c r="AU977" i="34"/>
  <c r="AU587" i="34"/>
  <c r="AU751" i="34"/>
  <c r="AU66" i="34"/>
  <c r="AU843" i="34"/>
  <c r="AU1093" i="34"/>
  <c r="AU673" i="34"/>
  <c r="AU1477" i="34"/>
  <c r="AU1156" i="34"/>
  <c r="AU901" i="34"/>
  <c r="AU1172" i="34"/>
  <c r="AU1300" i="34"/>
  <c r="AU575" i="34"/>
  <c r="AU794" i="34"/>
  <c r="AU574" i="34"/>
  <c r="AU1491" i="34"/>
  <c r="AU1527" i="34"/>
  <c r="AU1509" i="34"/>
  <c r="AU1424" i="34"/>
  <c r="AU1402" i="34"/>
  <c r="AU1432" i="34"/>
  <c r="AU1328" i="34"/>
  <c r="AU1310" i="34"/>
  <c r="AU1358" i="34"/>
  <c r="AU1289" i="34"/>
  <c r="AU1355" i="34"/>
  <c r="AU1181" i="34"/>
  <c r="AU1105" i="34"/>
  <c r="AU1191" i="34"/>
  <c r="AU1138" i="34"/>
  <c r="AU1106" i="34"/>
  <c r="AU1069" i="34"/>
  <c r="AU1082" i="34"/>
  <c r="AU999" i="34"/>
  <c r="AU1003" i="34"/>
  <c r="AU1033" i="34"/>
  <c r="AU1044" i="34"/>
  <c r="AU1299" i="34"/>
  <c r="AU995" i="34"/>
  <c r="AU896" i="34"/>
  <c r="AU921" i="34"/>
  <c r="AU900" i="34"/>
  <c r="AU862" i="34"/>
  <c r="AU846" i="34"/>
  <c r="AU830" i="34"/>
  <c r="AU659" i="34"/>
  <c r="AU701" i="34"/>
  <c r="AU547" i="34"/>
  <c r="AU631" i="34"/>
  <c r="AU603" i="34"/>
  <c r="AU544" i="34"/>
  <c r="AU479" i="34"/>
  <c r="AU607" i="34"/>
  <c r="AU610" i="34"/>
  <c r="AU444" i="34"/>
  <c r="AU374" i="34"/>
  <c r="AU401" i="34"/>
  <c r="AU321" i="34"/>
  <c r="AU310" i="34"/>
  <c r="AU359" i="34"/>
  <c r="AU318" i="34"/>
  <c r="AU295" i="34"/>
  <c r="AU165" i="34"/>
  <c r="AU243" i="34"/>
  <c r="AU140" i="34"/>
  <c r="AU87" i="34"/>
  <c r="AU99" i="34"/>
  <c r="AU29" i="34"/>
  <c r="AU40" i="34"/>
  <c r="AU67" i="34"/>
  <c r="AU56" i="34"/>
  <c r="AU38" i="34"/>
  <c r="AU1493" i="34"/>
  <c r="AU1408" i="34"/>
  <c r="AU1382" i="34"/>
  <c r="AU1401" i="34"/>
  <c r="AU1372" i="34"/>
  <c r="AU1397" i="34"/>
  <c r="AU1386" i="34"/>
  <c r="AU1463" i="34"/>
  <c r="AU1268" i="34"/>
  <c r="AU1246" i="34"/>
  <c r="AU1240" i="34"/>
  <c r="AU1535" i="34"/>
  <c r="AU1311" i="34"/>
  <c r="AU1238" i="34"/>
  <c r="AU1173" i="34"/>
  <c r="AU1255" i="34"/>
  <c r="AU1273" i="34"/>
  <c r="AU1235" i="34"/>
  <c r="AU1060" i="34"/>
  <c r="AU1168" i="34"/>
  <c r="AU1101" i="34"/>
  <c r="AU1110" i="34"/>
  <c r="AU1030" i="34"/>
  <c r="AU1152" i="34"/>
  <c r="AU903" i="34"/>
  <c r="AU1144" i="34"/>
  <c r="AU1024" i="34"/>
  <c r="AU1146" i="34"/>
  <c r="AU856" i="34"/>
  <c r="AU963" i="34"/>
  <c r="AU1132" i="34"/>
  <c r="AU911" i="34"/>
  <c r="AU1104" i="34"/>
  <c r="AU951" i="34"/>
  <c r="AU627" i="34"/>
  <c r="AU576" i="34"/>
  <c r="AU662" i="34"/>
  <c r="AU690" i="34"/>
  <c r="AU460" i="34"/>
  <c r="AU375" i="34"/>
  <c r="AU273" i="34"/>
  <c r="AU174" i="34"/>
  <c r="AU186" i="34"/>
  <c r="AU271" i="34"/>
  <c r="AU175" i="34"/>
  <c r="AU158" i="34"/>
  <c r="AU266" i="34"/>
  <c r="AU155" i="34"/>
  <c r="AU27" i="34"/>
  <c r="AU100" i="34"/>
  <c r="AU34" i="34"/>
  <c r="AU1457" i="34"/>
  <c r="AU919" i="34"/>
  <c r="AU924" i="34"/>
  <c r="AU849" i="34"/>
  <c r="AU679" i="34"/>
  <c r="AU407" i="34"/>
  <c r="AU600" i="34"/>
  <c r="AU81" i="34"/>
  <c r="AU1350" i="34"/>
  <c r="AU983" i="34"/>
  <c r="AU1079" i="34"/>
  <c r="AU1153" i="34"/>
  <c r="AU1395" i="34"/>
  <c r="AU265" i="34"/>
  <c r="AU18" i="34"/>
  <c r="AU1227" i="34"/>
  <c r="AU895" i="34"/>
  <c r="AU1251" i="34"/>
  <c r="AU1324" i="34"/>
  <c r="AU1340" i="34"/>
  <c r="AU671" i="34"/>
  <c r="AU296" i="34"/>
  <c r="AU1499" i="34"/>
  <c r="AU1497" i="34"/>
  <c r="AU1483" i="34"/>
  <c r="AU1469" i="34"/>
  <c r="AU1437" i="34"/>
  <c r="AU1415" i="34"/>
  <c r="AU1410" i="34"/>
  <c r="AU1359" i="34"/>
  <c r="AU1417" i="34"/>
  <c r="AU1381" i="34"/>
  <c r="AU1344" i="34"/>
  <c r="AU1284" i="34"/>
  <c r="AU1307" i="34"/>
  <c r="AU1316" i="34"/>
  <c r="AU1276" i="34"/>
  <c r="AU1242" i="34"/>
  <c r="AU1257" i="34"/>
  <c r="AU1205" i="34"/>
  <c r="AU1122" i="34"/>
  <c r="AU1213" i="34"/>
  <c r="AU1190" i="34"/>
  <c r="AU1045" i="34"/>
  <c r="AU1037" i="34"/>
  <c r="AU1035" i="34"/>
  <c r="AU994" i="34"/>
  <c r="AU1043" i="34"/>
  <c r="AU996" i="34"/>
  <c r="AU1038" i="34"/>
  <c r="AU946" i="34"/>
  <c r="AU933" i="34"/>
  <c r="AU941" i="34"/>
  <c r="AU904" i="34"/>
  <c r="AU974" i="34"/>
  <c r="AU897" i="34"/>
  <c r="AU795" i="34"/>
  <c r="AU827" i="34"/>
  <c r="AU870" i="34"/>
  <c r="AU800" i="34"/>
  <c r="AU775" i="34"/>
  <c r="AU737" i="34"/>
  <c r="AU893" i="34"/>
  <c r="AU814" i="34"/>
  <c r="AU581" i="34"/>
  <c r="AU439" i="34"/>
  <c r="AU406" i="34"/>
  <c r="AU440" i="34"/>
  <c r="AU448" i="34"/>
  <c r="AU496" i="34"/>
  <c r="AU425" i="34"/>
  <c r="AU548" i="34"/>
  <c r="AU457" i="34"/>
  <c r="AU524" i="34"/>
  <c r="AU402" i="34"/>
  <c r="AU305" i="34"/>
  <c r="AU404" i="34"/>
  <c r="AU335" i="34"/>
  <c r="AU309" i="34"/>
  <c r="AU315" i="34"/>
  <c r="AU292" i="34"/>
  <c r="AU316" i="34"/>
  <c r="AU299" i="34"/>
  <c r="AU226" i="34"/>
  <c r="AU276" i="34"/>
  <c r="AU224" i="34"/>
  <c r="AU156" i="34"/>
  <c r="AU286" i="34"/>
  <c r="AU137" i="34"/>
  <c r="AU83" i="34"/>
  <c r="AU258" i="34"/>
  <c r="AU130" i="34"/>
  <c r="AU69" i="34"/>
  <c r="AU90" i="34"/>
  <c r="AU15" i="34"/>
  <c r="AU86" i="34"/>
  <c r="AU54" i="34"/>
  <c r="AU33" i="34"/>
  <c r="AU9" i="34"/>
  <c r="AU1393" i="34"/>
  <c r="AU1378" i="34"/>
  <c r="AU1456" i="34"/>
  <c r="AU1431" i="34"/>
  <c r="AU1220" i="34"/>
  <c r="AU1371" i="34"/>
  <c r="AU1537" i="34"/>
  <c r="AU1466" i="34"/>
  <c r="AU1130" i="34"/>
  <c r="AU1243" i="34"/>
  <c r="AU1123" i="34"/>
  <c r="AU1124" i="34"/>
  <c r="AU1097" i="34"/>
  <c r="AU1022" i="34"/>
  <c r="AU1247" i="34"/>
  <c r="AU891" i="34"/>
  <c r="AU918" i="34"/>
  <c r="AU848" i="34"/>
  <c r="AU898" i="34"/>
  <c r="AU882" i="34"/>
  <c r="AU877" i="34"/>
  <c r="AU940" i="34"/>
  <c r="AU855" i="34"/>
  <c r="AU955" i="34"/>
  <c r="AU915" i="34"/>
  <c r="AU826" i="34"/>
  <c r="AU796" i="34"/>
  <c r="AU1264" i="34"/>
  <c r="AU700" i="34"/>
  <c r="AU713" i="34"/>
  <c r="AU611" i="34"/>
  <c r="AU650" i="34"/>
  <c r="AU596" i="34"/>
  <c r="AU577" i="34"/>
  <c r="AU568" i="34"/>
  <c r="AU508" i="34"/>
  <c r="AU415" i="34"/>
  <c r="AU507" i="34"/>
  <c r="AU525" i="34"/>
  <c r="AU368" i="34"/>
  <c r="AU259" i="34"/>
  <c r="AU413" i="34"/>
  <c r="AU291" i="34"/>
  <c r="AU191" i="34"/>
  <c r="AU37" i="34"/>
  <c r="AU1195" i="34"/>
  <c r="AU1305" i="34"/>
  <c r="AU1445" i="34"/>
  <c r="AU834" i="34"/>
  <c r="AU565" i="34"/>
  <c r="AU257" i="34"/>
  <c r="AU212" i="34"/>
  <c r="AU202" i="34"/>
  <c r="AU905" i="34"/>
  <c r="AU1096" i="34"/>
  <c r="AU1331" i="34"/>
  <c r="AU1453" i="34"/>
  <c r="AU1117" i="34"/>
  <c r="AU774" i="34"/>
  <c r="AU1263" i="34"/>
  <c r="AU1458" i="34"/>
  <c r="AU730" i="34"/>
  <c r="AU851" i="34"/>
  <c r="AU819" i="34"/>
  <c r="AU1287" i="34"/>
  <c r="AU376" i="34"/>
  <c r="AU446" i="34"/>
  <c r="AU1543" i="34"/>
  <c r="AU1508" i="34"/>
  <c r="AU1494" i="34"/>
  <c r="AU1423" i="34"/>
  <c r="AU1413" i="34"/>
  <c r="AU1539" i="34"/>
  <c r="AU1492" i="34"/>
  <c r="AU1487" i="34"/>
  <c r="AU1464" i="34"/>
  <c r="AU1479" i="34"/>
  <c r="AU1409" i="34"/>
  <c r="AU1436" i="34"/>
  <c r="AU1400" i="34"/>
  <c r="AU1446" i="34"/>
  <c r="AU1345" i="34"/>
  <c r="AU1298" i="34"/>
  <c r="AU1280" i="34"/>
  <c r="AU1304" i="34"/>
  <c r="AU1302" i="34"/>
  <c r="AU1228" i="34"/>
  <c r="AU1115" i="34"/>
  <c r="AU1187" i="34"/>
  <c r="AU1196" i="34"/>
  <c r="AU1185" i="34"/>
  <c r="AU1129" i="34"/>
  <c r="AU1087" i="34"/>
  <c r="AU1141" i="34"/>
  <c r="AU1010" i="34"/>
  <c r="AU1056" i="34"/>
  <c r="AU1015" i="34"/>
  <c r="AU858" i="34"/>
  <c r="AU785" i="34"/>
  <c r="AU820" i="34"/>
  <c r="AU807" i="34"/>
  <c r="AU960" i="34"/>
  <c r="AU892" i="34"/>
  <c r="AU845" i="34"/>
  <c r="AU832" i="34"/>
  <c r="AU788" i="34"/>
  <c r="AU772" i="34"/>
  <c r="AU867" i="34"/>
  <c r="AU761" i="34"/>
  <c r="AU837" i="34"/>
  <c r="AU685" i="34"/>
  <c r="AU638" i="34"/>
  <c r="AU616" i="34"/>
  <c r="AU706" i="34"/>
  <c r="AU585" i="34"/>
  <c r="AU543" i="34"/>
  <c r="AU582" i="34"/>
  <c r="AU595" i="34"/>
  <c r="AU429" i="34"/>
  <c r="AU418" i="34"/>
  <c r="AU369" i="34"/>
  <c r="AU485" i="34"/>
  <c r="AU484" i="34"/>
  <c r="AU397" i="34"/>
  <c r="AU348" i="34"/>
  <c r="AU302" i="34"/>
  <c r="AU346" i="34"/>
  <c r="AU324" i="34"/>
  <c r="AU327" i="34"/>
  <c r="AU312" i="34"/>
  <c r="AU264" i="34"/>
  <c r="AU275" i="34"/>
  <c r="AU162" i="34"/>
  <c r="AU141" i="34"/>
  <c r="AU227" i="34"/>
  <c r="AU121" i="34"/>
  <c r="AU68" i="34"/>
  <c r="AU238" i="34"/>
  <c r="AU82" i="34"/>
  <c r="AU60" i="34"/>
  <c r="AU53" i="34"/>
  <c r="AU32" i="34"/>
  <c r="AU17" i="34"/>
  <c r="AU1470" i="34"/>
  <c r="AU1356" i="34"/>
  <c r="AU1532" i="34"/>
  <c r="AU1336" i="34"/>
  <c r="AU1265" i="34"/>
  <c r="AU1083" i="34"/>
  <c r="AU1459" i="34"/>
  <c r="AU1271" i="34"/>
  <c r="AU1179" i="34"/>
  <c r="AU1028" i="34"/>
  <c r="AU1159" i="34"/>
  <c r="AU1204" i="34"/>
  <c r="AU1001" i="34"/>
  <c r="AU962" i="34"/>
  <c r="AU987" i="34"/>
  <c r="AU1018" i="34"/>
  <c r="AU993" i="34"/>
  <c r="AU821" i="34"/>
  <c r="AU1036" i="34"/>
  <c r="AU1108" i="34"/>
  <c r="AU992" i="34"/>
  <c r="AU923" i="34"/>
  <c r="AU1080" i="34"/>
  <c r="AU878" i="34"/>
  <c r="AU809" i="34"/>
  <c r="AU695" i="34"/>
  <c r="AU839" i="34"/>
  <c r="AU559" i="34"/>
  <c r="AU747" i="34"/>
  <c r="AU664" i="34"/>
  <c r="AU605" i="34"/>
  <c r="AU677" i="34"/>
  <c r="AU698" i="34"/>
  <c r="AU478" i="34"/>
  <c r="AU694" i="34"/>
  <c r="AU557" i="34"/>
  <c r="AU498" i="34"/>
  <c r="AU517" i="34"/>
  <c r="AU453" i="34"/>
  <c r="AU417" i="34"/>
  <c r="AU378" i="34"/>
  <c r="AU290" i="34"/>
  <c r="AU278" i="34"/>
  <c r="AU223" i="34"/>
  <c r="AU171" i="34"/>
  <c r="AU146" i="34"/>
  <c r="AU279" i="34"/>
  <c r="AU254" i="34"/>
  <c r="AU23" i="34"/>
  <c r="AU93" i="34"/>
  <c r="AU1383" i="34"/>
  <c r="AU1167" i="34"/>
  <c r="AU1206" i="34"/>
  <c r="AU1050" i="34"/>
  <c r="AU1140" i="34"/>
  <c r="AU978" i="34"/>
  <c r="AU119" i="34"/>
  <c r="AU599" i="34"/>
  <c r="AU112" i="34"/>
  <c r="AU932" i="34"/>
  <c r="AU1404" i="34"/>
  <c r="AU1416" i="34"/>
  <c r="AU853" i="34"/>
  <c r="AU1090" i="34"/>
  <c r="AU944" i="34"/>
  <c r="AU1210" i="34"/>
  <c r="AU1503" i="34"/>
  <c r="AU1542" i="34"/>
  <c r="AU1522" i="34"/>
  <c r="AU1460" i="34"/>
  <c r="AU1502" i="34"/>
  <c r="AU1455" i="34"/>
  <c r="AU1504" i="34"/>
  <c r="AU1472" i="34"/>
  <c r="AU1407" i="34"/>
  <c r="AU1394" i="34"/>
  <c r="AU1373" i="34"/>
  <c r="AU1321" i="34"/>
  <c r="AU1314" i="34"/>
  <c r="AU1296" i="34"/>
  <c r="AU1201" i="34"/>
  <c r="AU1279" i="34"/>
  <c r="AU1286" i="34"/>
  <c r="AU1109" i="34"/>
  <c r="AU1170" i="34"/>
  <c r="AU1192" i="34"/>
  <c r="AU1142" i="34"/>
  <c r="AU1182" i="34"/>
  <c r="AU1125" i="34"/>
  <c r="AU1194" i="34"/>
  <c r="AU1086" i="34"/>
  <c r="AU1143" i="34"/>
  <c r="AU1098" i="34"/>
  <c r="AU986" i="34"/>
  <c r="AU1002" i="34"/>
  <c r="AU912" i="34"/>
  <c r="AU938" i="34"/>
  <c r="AU925" i="34"/>
  <c r="AU953" i="34"/>
  <c r="AU937" i="34"/>
  <c r="AU812" i="34"/>
  <c r="AU842" i="34"/>
  <c r="AU808" i="34"/>
  <c r="AU791" i="34"/>
  <c r="AU863" i="34"/>
  <c r="AU816" i="34"/>
  <c r="AU797" i="34"/>
  <c r="AU769" i="34"/>
  <c r="AU637" i="34"/>
  <c r="AU625" i="34"/>
  <c r="AU628" i="34"/>
  <c r="AU566" i="34"/>
  <c r="AU562" i="34"/>
  <c r="AU513" i="34"/>
  <c r="AU586" i="34"/>
  <c r="AU493" i="34"/>
  <c r="AU466" i="34"/>
  <c r="AU481" i="34"/>
  <c r="AU512" i="34"/>
  <c r="AU433" i="34"/>
  <c r="AU313" i="34"/>
  <c r="AU311" i="34"/>
  <c r="AU283" i="34"/>
  <c r="AU250" i="34"/>
  <c r="AU289" i="34"/>
  <c r="AU203" i="34"/>
  <c r="AU117" i="34"/>
  <c r="AU64" i="34"/>
  <c r="AU142" i="34"/>
  <c r="AU92" i="34"/>
  <c r="AU77" i="34"/>
  <c r="AU65" i="34"/>
  <c r="AU21" i="34"/>
  <c r="AU12" i="34"/>
  <c r="AU44" i="34"/>
  <c r="AU1452" i="34"/>
  <c r="AU1374" i="34"/>
  <c r="AU1349" i="34"/>
  <c r="AU1357" i="34"/>
  <c r="AU1384" i="34"/>
  <c r="AU1476" i="34"/>
  <c r="AU1525" i="34"/>
  <c r="AU1174" i="34"/>
  <c r="AU1528" i="34"/>
  <c r="AU1163" i="34"/>
  <c r="AU1067" i="34"/>
  <c r="AU1253" i="34"/>
  <c r="AU1162" i="34"/>
  <c r="AU1362" i="34"/>
  <c r="AU1175" i="34"/>
  <c r="AU1245" i="34"/>
  <c r="AU1193" i="34"/>
  <c r="AU1112" i="34"/>
  <c r="AU985" i="34"/>
  <c r="AU1120" i="34"/>
  <c r="AU1176" i="34"/>
  <c r="AU899" i="34"/>
  <c r="AU1014" i="34"/>
  <c r="AU619" i="34"/>
  <c r="AU622" i="34"/>
  <c r="AU669" i="34"/>
  <c r="AU615" i="34"/>
  <c r="AU686" i="34"/>
  <c r="AU560" i="34"/>
  <c r="AU314" i="34"/>
  <c r="AU189" i="34"/>
  <c r="AU281" i="34"/>
  <c r="AU501" i="34"/>
  <c r="AU371" i="34"/>
  <c r="AU169" i="34"/>
  <c r="AU143" i="34"/>
  <c r="AU147" i="34"/>
  <c r="AU89" i="34"/>
  <c r="AU1478" i="34"/>
  <c r="AU1375" i="34"/>
  <c r="AU981" i="34"/>
  <c r="AU1291" i="34"/>
  <c r="AU798" i="34"/>
  <c r="AU916" i="34"/>
  <c r="AU569" i="34"/>
  <c r="AU579" i="34"/>
  <c r="AU19" i="34"/>
  <c r="AU74" i="34"/>
  <c r="AU228" i="34"/>
  <c r="AU1200" i="34"/>
  <c r="AU1089" i="34"/>
  <c r="AU1485" i="34"/>
  <c r="AU1148" i="34"/>
  <c r="AU817" i="34"/>
  <c r="AU1274" i="34"/>
  <c r="AU31" i="34"/>
  <c r="AU1184" i="34"/>
  <c r="AU654" i="34"/>
  <c r="AU876" i="34"/>
  <c r="AU672" i="34"/>
  <c r="AU1380" i="34"/>
  <c r="AU630" i="34"/>
  <c r="AU1551" i="34"/>
  <c r="AU1524" i="34"/>
  <c r="AU1454" i="34"/>
  <c r="AU1450" i="34"/>
  <c r="AU1422" i="34"/>
  <c r="AU1443" i="34"/>
  <c r="AU1428" i="34"/>
  <c r="AU1442" i="34"/>
  <c r="AU1385" i="34"/>
  <c r="AU1387" i="34"/>
  <c r="AU1405" i="34"/>
  <c r="AU1303" i="34"/>
  <c r="AU1360" i="34"/>
  <c r="AU1218" i="34"/>
  <c r="AU1262" i="34"/>
  <c r="AU1226" i="34"/>
  <c r="AU1217" i="34"/>
  <c r="AU1325" i="34"/>
  <c r="AU1203" i="34"/>
  <c r="AU1207" i="34"/>
  <c r="AU1165" i="34"/>
  <c r="AU1103" i="34"/>
  <c r="AU1183" i="34"/>
  <c r="AU1113" i="34"/>
  <c r="AU1061" i="34"/>
  <c r="AU1031" i="34"/>
  <c r="AU965" i="34"/>
  <c r="AU950" i="34"/>
  <c r="AU913" i="34"/>
  <c r="AU787" i="34"/>
  <c r="AU739" i="34"/>
  <c r="AU833" i="34"/>
  <c r="AU765" i="34"/>
  <c r="AU781" i="34"/>
  <c r="AU657" i="34"/>
  <c r="AU620" i="34"/>
  <c r="AU558" i="34"/>
  <c r="AU539" i="34"/>
  <c r="AU597" i="34"/>
  <c r="AU514" i="34"/>
  <c r="AU414" i="34"/>
  <c r="AU416" i="34"/>
  <c r="AU511" i="34"/>
  <c r="AU451" i="34"/>
  <c r="AU373" i="34"/>
  <c r="AU363" i="34"/>
  <c r="AU306" i="34"/>
  <c r="AU350" i="34"/>
  <c r="AU319" i="34"/>
  <c r="AU149" i="34"/>
  <c r="AU110" i="34"/>
  <c r="AU128" i="34"/>
  <c r="AU71" i="34"/>
  <c r="AU14" i="34"/>
  <c r="AU42" i="34"/>
  <c r="AU123" i="34"/>
  <c r="AU1353" i="34"/>
  <c r="AU1548" i="34"/>
  <c r="AU1389" i="34"/>
  <c r="AU1338" i="34"/>
  <c r="AU1403" i="34"/>
  <c r="AU1282" i="34"/>
  <c r="AU1319" i="34"/>
  <c r="AU1379" i="34"/>
  <c r="AU1259" i="34"/>
  <c r="AU1150" i="34"/>
  <c r="AU1158" i="34"/>
  <c r="AU1229" i="34"/>
  <c r="AU1188" i="34"/>
  <c r="AU939" i="34"/>
  <c r="AU930" i="34"/>
  <c r="AU927" i="34"/>
  <c r="AU879" i="34"/>
  <c r="AU740" i="34"/>
  <c r="AU692" i="34"/>
  <c r="AU666" i="34"/>
  <c r="AU726" i="34"/>
  <c r="AU629" i="34"/>
  <c r="AU718" i="34"/>
  <c r="AU1126" i="34"/>
  <c r="AU458" i="34"/>
  <c r="AU561" i="34"/>
  <c r="AU592" i="34"/>
  <c r="AU294" i="34"/>
  <c r="AU411" i="34"/>
  <c r="AU303" i="34"/>
  <c r="AU287" i="34"/>
  <c r="AU502" i="34"/>
  <c r="AU395" i="34"/>
  <c r="AU221" i="34"/>
  <c r="AU176" i="34"/>
  <c r="AU242" i="34"/>
  <c r="AU235" i="34"/>
  <c r="AU208" i="34"/>
  <c r="AU383" i="34"/>
  <c r="AU85" i="34"/>
  <c r="AU1474" i="34"/>
  <c r="AU1529" i="34"/>
  <c r="AU1294" i="34"/>
  <c r="AU976" i="34"/>
  <c r="AU1051" i="34"/>
  <c r="AU789" i="34"/>
  <c r="AU412" i="34"/>
  <c r="AU534" i="34"/>
  <c r="AU648" i="34"/>
  <c r="AU591" i="34"/>
  <c r="AU1396" i="34"/>
  <c r="AU1145" i="34"/>
  <c r="AU249" i="34"/>
  <c r="AU139" i="34"/>
  <c r="AU593" i="34"/>
  <c r="AU1270" i="34"/>
  <c r="AU1241" i="34"/>
  <c r="AU1419" i="34"/>
  <c r="AU1178" i="34"/>
  <c r="AU970" i="34"/>
  <c r="AU1102" i="34"/>
  <c r="AU968" i="34"/>
  <c r="AU1534" i="34"/>
  <c r="AU1538" i="34"/>
  <c r="AU1533" i="34"/>
  <c r="AU1406" i="34"/>
  <c r="AU1429" i="34"/>
  <c r="AU1376" i="34"/>
  <c r="AU1332" i="34"/>
  <c r="AU1309" i="34"/>
  <c r="AU1260" i="34"/>
  <c r="AU1157" i="34"/>
  <c r="AU1091" i="34"/>
  <c r="AU1100" i="34"/>
  <c r="AU1065" i="34"/>
  <c r="AU1046" i="34"/>
  <c r="AU1085" i="34"/>
  <c r="AU1059" i="34"/>
  <c r="AU1054" i="34"/>
  <c r="AU1042" i="34"/>
  <c r="AU1058" i="34"/>
  <c r="AU1011" i="34"/>
  <c r="AU971" i="34"/>
  <c r="AU1009" i="34"/>
  <c r="AU982" i="34"/>
  <c r="AU1039" i="34"/>
  <c r="AU990" i="34"/>
  <c r="AU1029" i="34"/>
  <c r="AU979" i="34"/>
  <c r="AU973" i="34"/>
  <c r="AU926" i="34"/>
  <c r="AU922" i="34"/>
  <c r="AU949" i="34"/>
  <c r="AU810" i="34"/>
  <c r="AU836" i="34"/>
  <c r="AU815" i="34"/>
  <c r="AU806" i="34"/>
  <c r="AU852" i="34"/>
  <c r="AU818" i="34"/>
  <c r="AU874" i="34"/>
  <c r="AU793" i="34"/>
  <c r="AU758" i="34"/>
  <c r="AU822" i="34"/>
  <c r="AU729" i="34"/>
  <c r="AU805" i="34"/>
  <c r="AU732" i="34"/>
  <c r="AU647" i="34"/>
  <c r="AU733" i="34"/>
  <c r="AU655" i="34"/>
  <c r="AU668" i="34"/>
  <c r="AU618" i="34"/>
  <c r="AU554" i="34"/>
  <c r="AU536" i="34"/>
  <c r="AU450" i="34"/>
  <c r="AU540" i="34"/>
  <c r="AU505" i="34"/>
  <c r="AU470" i="34"/>
  <c r="AU489" i="34"/>
  <c r="AU447" i="34"/>
  <c r="AU384" i="34"/>
  <c r="AU509" i="34"/>
  <c r="AU474" i="34"/>
  <c r="AU356" i="34"/>
  <c r="AU304" i="34"/>
  <c r="AU345" i="34"/>
  <c r="AU307" i="34"/>
  <c r="AU298" i="34"/>
  <c r="AU282" i="34"/>
  <c r="AU246" i="34"/>
  <c r="AU239" i="34"/>
  <c r="AU153" i="34"/>
  <c r="AU219" i="34"/>
  <c r="AU98" i="34"/>
  <c r="AU138" i="34"/>
  <c r="AU88" i="34"/>
  <c r="AU61" i="34"/>
  <c r="AU127" i="34"/>
  <c r="AU104" i="34"/>
  <c r="AU58" i="34"/>
  <c r="AU1441" i="34"/>
  <c r="AU1449" i="34"/>
  <c r="AU1312" i="34"/>
  <c r="AU1480" i="34"/>
  <c r="AU1354" i="34"/>
  <c r="AU1308" i="34"/>
  <c r="AU1208" i="34"/>
  <c r="AU1399" i="34"/>
  <c r="AU1318" i="34"/>
  <c r="AU1221" i="34"/>
  <c r="AU1155" i="34"/>
  <c r="AU1540" i="34"/>
  <c r="AU1161" i="34"/>
  <c r="AU1128" i="34"/>
  <c r="AU1107" i="34"/>
  <c r="AU934" i="34"/>
  <c r="AU1119" i="34"/>
  <c r="AU1261" i="34"/>
  <c r="AU1169" i="34"/>
  <c r="AU1137" i="34"/>
  <c r="AU1006" i="34"/>
  <c r="AU1127" i="34"/>
  <c r="AU1088" i="34"/>
  <c r="AU984" i="34"/>
  <c r="AU1160" i="34"/>
  <c r="AU931" i="34"/>
  <c r="AU1186" i="34"/>
  <c r="AU1021" i="34"/>
  <c r="AU1016" i="34"/>
  <c r="AU838" i="34"/>
  <c r="AU813" i="34"/>
  <c r="AU661" i="34"/>
  <c r="AU943" i="34"/>
  <c r="AU828" i="34"/>
  <c r="AU1275" i="34"/>
  <c r="AU725" i="34"/>
  <c r="AU663" i="34"/>
  <c r="AU651" i="34"/>
  <c r="AU604" i="34"/>
  <c r="AU948" i="34"/>
  <c r="AU454" i="34"/>
  <c r="AU244" i="34"/>
  <c r="AU399" i="34"/>
  <c r="AU389" i="34"/>
  <c r="AU253" i="34"/>
  <c r="AU59" i="34"/>
  <c r="AU10" i="34"/>
  <c r="AU197" i="34"/>
  <c r="AU43" i="34"/>
  <c r="AU108" i="34"/>
  <c r="AU1481" i="34"/>
  <c r="AU1346" i="34"/>
  <c r="AU1514" i="34"/>
  <c r="AU1297" i="34"/>
  <c r="AU1511" i="34"/>
  <c r="AU1277" i="34"/>
  <c r="AU1164" i="34"/>
  <c r="AU1064" i="34"/>
  <c r="AU1013" i="34"/>
  <c r="AU676" i="34"/>
  <c r="AU784" i="34"/>
  <c r="AU675" i="34"/>
  <c r="AU998" i="34"/>
  <c r="AU1116" i="34"/>
  <c r="AU658" i="34"/>
  <c r="AU653" i="34"/>
  <c r="AU1032" i="34"/>
  <c r="AU163" i="34"/>
  <c r="AU997" i="34"/>
  <c r="AU1272" i="34"/>
  <c r="AU1212" i="34"/>
  <c r="AU35" i="34"/>
  <c r="AU1363" i="34"/>
  <c r="AU696" i="34"/>
  <c r="AN759" i="34"/>
  <c r="AM231" i="34"/>
  <c r="AV231" i="34" s="1"/>
  <c r="AM1248" i="34"/>
  <c r="AV1248" i="34" s="1"/>
  <c r="AN680" i="34"/>
  <c r="AM680" i="34"/>
  <c r="AV680" i="34" s="1"/>
  <c r="AN55" i="34"/>
  <c r="AN403" i="34"/>
  <c r="AJ1294" i="34"/>
  <c r="AN383" i="34"/>
  <c r="AM249" i="34"/>
  <c r="AV249" i="34" s="1"/>
  <c r="AM1241" i="34"/>
  <c r="AV1241" i="34" s="1"/>
  <c r="AN1102" i="34"/>
  <c r="AN249" i="34"/>
  <c r="AM139" i="34"/>
  <c r="AV139" i="34" s="1"/>
  <c r="AN1131" i="34"/>
  <c r="AU1131" i="34"/>
  <c r="AN770" i="34"/>
  <c r="AU770" i="34"/>
  <c r="AN741" i="34"/>
  <c r="AU741" i="34"/>
  <c r="AJ1241" i="34"/>
  <c r="AN1241" i="34"/>
  <c r="AN1155" i="34"/>
  <c r="AM1102" i="34"/>
  <c r="AV1102" i="34" s="1"/>
  <c r="AN970" i="34"/>
  <c r="AN412" i="34"/>
  <c r="AN139" i="34"/>
  <c r="AM270" i="34"/>
  <c r="AV270" i="34" s="1"/>
  <c r="AU270" i="34"/>
  <c r="AM1178" i="34"/>
  <c r="AV1178" i="34" s="1"/>
  <c r="AM970" i="34"/>
  <c r="AV970" i="34" s="1"/>
  <c r="AM789" i="34"/>
  <c r="AV789" i="34" s="1"/>
  <c r="AM648" i="34"/>
  <c r="AV648" i="34" s="1"/>
  <c r="AJ593" i="34"/>
  <c r="AM412" i="34"/>
  <c r="AV412" i="34" s="1"/>
  <c r="AM1368" i="34"/>
  <c r="AV1368" i="34" s="1"/>
  <c r="AU1368" i="34"/>
  <c r="AM151" i="34"/>
  <c r="AV151" i="34" s="1"/>
  <c r="AU151" i="34"/>
  <c r="AN354" i="34"/>
  <c r="AU354" i="34"/>
  <c r="AN1178" i="34"/>
  <c r="AN789" i="34"/>
  <c r="AN648" i="34"/>
  <c r="AM1333" i="34"/>
  <c r="AV1333" i="34" s="1"/>
  <c r="AU1333" i="34"/>
  <c r="AN1052" i="34"/>
  <c r="AU1052" i="34"/>
  <c r="AN825" i="34"/>
  <c r="AU825" i="34"/>
  <c r="AM988" i="34"/>
  <c r="AV988" i="34" s="1"/>
  <c r="AU988" i="34"/>
  <c r="AN2" i="34"/>
  <c r="AU2" i="34"/>
  <c r="AN70" i="34"/>
  <c r="AU70" i="34"/>
  <c r="AN1219" i="34"/>
  <c r="AU1219" i="34"/>
  <c r="AN1541" i="34"/>
  <c r="AU1541" i="34"/>
  <c r="AM1411" i="34"/>
  <c r="AV1411" i="34" s="1"/>
  <c r="AU1411" i="34"/>
  <c r="AN1474" i="34"/>
  <c r="AN1529" i="34"/>
  <c r="AN1166" i="34"/>
  <c r="AU1166" i="34"/>
  <c r="AN980" i="34"/>
  <c r="AU980" i="34"/>
  <c r="AM1092" i="34"/>
  <c r="AV1092" i="34" s="1"/>
  <c r="AU1092" i="34"/>
  <c r="AN976" i="34"/>
  <c r="AN902" i="34"/>
  <c r="AU902" i="34"/>
  <c r="AN801" i="34"/>
  <c r="AU801" i="34"/>
  <c r="AN689" i="34"/>
  <c r="AU689" i="34"/>
  <c r="AN623" i="34"/>
  <c r="AU623" i="34"/>
  <c r="AJ272" i="34"/>
  <c r="AJ215" i="34"/>
  <c r="AM51" i="34"/>
  <c r="AV51" i="34" s="1"/>
  <c r="AU51" i="34"/>
  <c r="AM1541" i="34"/>
  <c r="AV1541" i="34" s="1"/>
  <c r="AN1092" i="34"/>
  <c r="AM1166" i="34"/>
  <c r="AV1166" i="34" s="1"/>
  <c r="AM801" i="34"/>
  <c r="AV801" i="34" s="1"/>
  <c r="AJ1029" i="34"/>
  <c r="AM902" i="34"/>
  <c r="AV902" i="34" s="1"/>
  <c r="AM689" i="34"/>
  <c r="AV689" i="34" s="1"/>
  <c r="AJ1188" i="34"/>
  <c r="AM980" i="34"/>
  <c r="AV980" i="34" s="1"/>
  <c r="AN1210" i="34"/>
  <c r="AM1210" i="34"/>
  <c r="AV1210" i="34" s="1"/>
  <c r="AN1478" i="34"/>
  <c r="AM1173" i="34"/>
  <c r="AV1173" i="34" s="1"/>
  <c r="AM1219" i="34"/>
  <c r="AV1219" i="34" s="1"/>
  <c r="AM944" i="34"/>
  <c r="AV944" i="34" s="1"/>
  <c r="AJ176" i="34"/>
  <c r="AN176" i="34"/>
  <c r="AN944" i="34"/>
  <c r="AM221" i="34"/>
  <c r="AV221" i="34" s="1"/>
  <c r="AM176" i="34"/>
  <c r="AV176" i="34" s="1"/>
  <c r="AN1090" i="34"/>
  <c r="AN1173" i="34"/>
  <c r="AJ1255" i="34"/>
  <c r="AN221" i="34"/>
  <c r="AM1090" i="34"/>
  <c r="AV1090" i="34" s="1"/>
  <c r="AM1470" i="34"/>
  <c r="AV1470" i="34" s="1"/>
  <c r="AM561" i="34"/>
  <c r="AV561" i="34" s="1"/>
  <c r="AN287" i="34"/>
  <c r="AM1404" i="34"/>
  <c r="AV1404" i="34" s="1"/>
  <c r="AM1532" i="34"/>
  <c r="AV1532" i="34" s="1"/>
  <c r="AN1470" i="34"/>
  <c r="AN561" i="34"/>
  <c r="AM287" i="34"/>
  <c r="AV287" i="34" s="1"/>
  <c r="AJ235" i="34"/>
  <c r="AN1404" i="34"/>
  <c r="AM1535" i="34"/>
  <c r="AV1535" i="34" s="1"/>
  <c r="AN1532" i="34"/>
  <c r="AN1311" i="34"/>
  <c r="AJ411" i="34"/>
  <c r="AK646" i="34"/>
  <c r="AN1535" i="34"/>
  <c r="AM1356" i="34"/>
  <c r="AV1356" i="34" s="1"/>
  <c r="AM1311" i="34"/>
  <c r="AV1311" i="34" s="1"/>
  <c r="AJ592" i="34"/>
  <c r="AJ599" i="34"/>
  <c r="AN872" i="34"/>
  <c r="AN893" i="34"/>
  <c r="AN406" i="34"/>
  <c r="AN283" i="34"/>
  <c r="AN1378" i="34"/>
  <c r="AM1220" i="34"/>
  <c r="AV1220" i="34" s="1"/>
  <c r="AN1177" i="34"/>
  <c r="AN1041" i="34"/>
  <c r="AN1151" i="34"/>
  <c r="AM1171" i="34"/>
  <c r="AV1171" i="34" s="1"/>
  <c r="AM1136" i="34"/>
  <c r="AV1136" i="34" s="1"/>
  <c r="AM991" i="34"/>
  <c r="AV991" i="34" s="1"/>
  <c r="AM966" i="34"/>
  <c r="AV966" i="34" s="1"/>
  <c r="AN786" i="34"/>
  <c r="AN879" i="34"/>
  <c r="AM740" i="34"/>
  <c r="AV740" i="34" s="1"/>
  <c r="AM623" i="34"/>
  <c r="AV623" i="34" s="1"/>
  <c r="AN619" i="34"/>
  <c r="AN686" i="34"/>
  <c r="AN560" i="34"/>
  <c r="AN314" i="34"/>
  <c r="AM189" i="34"/>
  <c r="AV189" i="34" s="1"/>
  <c r="AN281" i="34"/>
  <c r="AN501" i="34"/>
  <c r="AN371" i="34"/>
  <c r="AN169" i="34"/>
  <c r="AN23" i="34"/>
  <c r="AN93" i="34"/>
  <c r="AN1333" i="34"/>
  <c r="AM1305" i="34"/>
  <c r="AV1305" i="34" s="1"/>
  <c r="AN834" i="34"/>
  <c r="AN565" i="34"/>
  <c r="AM257" i="34"/>
  <c r="AV257" i="34" s="1"/>
  <c r="AM202" i="34"/>
  <c r="AV202" i="34" s="1"/>
  <c r="AM1096" i="34"/>
  <c r="AV1096" i="34" s="1"/>
  <c r="AN1331" i="34"/>
  <c r="AN1453" i="34"/>
  <c r="AM1117" i="34"/>
  <c r="AV1117" i="34" s="1"/>
  <c r="AN1263" i="34"/>
  <c r="AN1458" i="34"/>
  <c r="AN851" i="34"/>
  <c r="AN819" i="34"/>
  <c r="AN376" i="34"/>
  <c r="AN446" i="34"/>
  <c r="AN867" i="34"/>
  <c r="AN837" i="34"/>
  <c r="AN444" i="34"/>
  <c r="AN402" i="34"/>
  <c r="AN1368" i="34"/>
  <c r="AN1265" i="34"/>
  <c r="AM1238" i="34"/>
  <c r="AV1238" i="34" s="1"/>
  <c r="AM1131" i="34"/>
  <c r="AV1131" i="34" s="1"/>
  <c r="AN1273" i="34"/>
  <c r="AN1168" i="34"/>
  <c r="AN1101" i="34"/>
  <c r="AN1030" i="34"/>
  <c r="AM903" i="34"/>
  <c r="AV903" i="34" s="1"/>
  <c r="AM1144" i="34"/>
  <c r="AV1144" i="34" s="1"/>
  <c r="AN1024" i="34"/>
  <c r="AN857" i="34"/>
  <c r="AM1005" i="34"/>
  <c r="AV1005" i="34" s="1"/>
  <c r="AN1135" i="34"/>
  <c r="AM1118" i="34"/>
  <c r="AV1118" i="34" s="1"/>
  <c r="AN1084" i="34"/>
  <c r="AM770" i="34"/>
  <c r="AV770" i="34" s="1"/>
  <c r="AM1275" i="34"/>
  <c r="AV1275" i="34" s="1"/>
  <c r="AN725" i="34"/>
  <c r="AM629" i="34"/>
  <c r="AV629" i="34" s="1"/>
  <c r="AM1126" i="34"/>
  <c r="AV1126" i="34" s="1"/>
  <c r="AM741" i="34"/>
  <c r="AV741" i="34" s="1"/>
  <c r="AN458" i="34"/>
  <c r="AM294" i="34"/>
  <c r="AV294" i="34" s="1"/>
  <c r="AN303" i="34"/>
  <c r="AM354" i="34"/>
  <c r="AV354" i="34" s="1"/>
  <c r="AN502" i="34"/>
  <c r="AN395" i="34"/>
  <c r="AN147" i="34"/>
  <c r="AN89" i="34"/>
  <c r="AN51" i="34"/>
  <c r="AM1167" i="34"/>
  <c r="AV1167" i="34" s="1"/>
  <c r="AN1206" i="34"/>
  <c r="AM1050" i="34"/>
  <c r="AV1050" i="34" s="1"/>
  <c r="AN1140" i="34"/>
  <c r="AM1052" i="34"/>
  <c r="AV1052" i="34" s="1"/>
  <c r="AM825" i="34"/>
  <c r="AV825" i="34" s="1"/>
  <c r="AN988" i="34"/>
  <c r="AN119" i="34"/>
  <c r="AM70" i="34"/>
  <c r="AV70" i="34" s="1"/>
  <c r="AN112" i="34"/>
  <c r="AN932" i="34"/>
  <c r="AM1416" i="34"/>
  <c r="AV1416" i="34" s="1"/>
  <c r="AN853" i="34"/>
  <c r="AN1411" i="34"/>
  <c r="AN511" i="34"/>
  <c r="AM1374" i="34"/>
  <c r="AV1374" i="34" s="1"/>
  <c r="AN1357" i="34"/>
  <c r="AM1384" i="34"/>
  <c r="AV1384" i="34" s="1"/>
  <c r="AM1476" i="34"/>
  <c r="AV1476" i="34" s="1"/>
  <c r="AJ1358" i="34"/>
  <c r="AM1174" i="34"/>
  <c r="AV1174" i="34" s="1"/>
  <c r="AN1371" i="34"/>
  <c r="AN1537" i="34"/>
  <c r="AN1466" i="34"/>
  <c r="AM1130" i="34"/>
  <c r="AV1130" i="34" s="1"/>
  <c r="AM1243" i="34"/>
  <c r="AV1243" i="34" s="1"/>
  <c r="AN891" i="34"/>
  <c r="AM918" i="34"/>
  <c r="AV918" i="34" s="1"/>
  <c r="AM856" i="34"/>
  <c r="AV856" i="34" s="1"/>
  <c r="AN963" i="34"/>
  <c r="AM911" i="34"/>
  <c r="AV911" i="34" s="1"/>
  <c r="AN906" i="34"/>
  <c r="AM736" i="34"/>
  <c r="AV736" i="34" s="1"/>
  <c r="AM651" i="34"/>
  <c r="AV651" i="34" s="1"/>
  <c r="AM948" i="34"/>
  <c r="AV948" i="34" s="1"/>
  <c r="AN454" i="34"/>
  <c r="AN399" i="34"/>
  <c r="AN253" i="34"/>
  <c r="AN85" i="34"/>
  <c r="AM1474" i="34"/>
  <c r="AV1474" i="34" s="1"/>
  <c r="AN981" i="34"/>
  <c r="AM19" i="34"/>
  <c r="AV19" i="34" s="1"/>
  <c r="AM74" i="34"/>
  <c r="AV74" i="34" s="1"/>
  <c r="AN1485" i="34"/>
  <c r="AN31" i="34"/>
  <c r="AM654" i="34"/>
  <c r="AV654" i="34" s="1"/>
  <c r="AM672" i="34"/>
  <c r="AV672" i="34" s="1"/>
  <c r="AM1380" i="34"/>
  <c r="AV1380" i="34" s="1"/>
  <c r="AN630" i="34"/>
  <c r="AN858" i="34"/>
  <c r="AN452" i="34"/>
  <c r="AN1353" i="34"/>
  <c r="AN1548" i="34"/>
  <c r="AN1389" i="34"/>
  <c r="AN1338" i="34"/>
  <c r="AM1282" i="34"/>
  <c r="AV1282" i="34" s="1"/>
  <c r="AM1179" i="34"/>
  <c r="AV1179" i="34" s="1"/>
  <c r="AM1159" i="34"/>
  <c r="AV1159" i="34" s="1"/>
  <c r="AM1204" i="34"/>
  <c r="AV1204" i="34" s="1"/>
  <c r="AM882" i="34"/>
  <c r="AV882" i="34" s="1"/>
  <c r="AN877" i="34"/>
  <c r="AN935" i="34"/>
  <c r="AN841" i="34"/>
  <c r="AN766" i="34"/>
  <c r="AM724" i="34"/>
  <c r="AV724" i="34" s="1"/>
  <c r="AM681" i="34"/>
  <c r="AV681" i="34" s="1"/>
  <c r="AN216" i="34"/>
  <c r="AM197" i="34"/>
  <c r="AV197" i="34" s="1"/>
  <c r="AM1529" i="34"/>
  <c r="AV1529" i="34" s="1"/>
  <c r="AN534" i="34"/>
  <c r="AN591" i="34"/>
  <c r="AN1396" i="34"/>
  <c r="AM1145" i="34"/>
  <c r="AV1145" i="34" s="1"/>
  <c r="AN1270" i="34"/>
  <c r="AN820" i="34"/>
  <c r="AN1441" i="34"/>
  <c r="AN1449" i="34"/>
  <c r="AN1480" i="34"/>
  <c r="AN1308" i="34"/>
  <c r="AN1208" i="34"/>
  <c r="AN1399" i="34"/>
  <c r="AM1318" i="34"/>
  <c r="AV1318" i="34" s="1"/>
  <c r="AN1528" i="34"/>
  <c r="AN1253" i="34"/>
  <c r="AM1175" i="34"/>
  <c r="AV1175" i="34" s="1"/>
  <c r="AN985" i="34"/>
  <c r="AM1120" i="34"/>
  <c r="AV1120" i="34" s="1"/>
  <c r="AM899" i="34"/>
  <c r="AV899" i="34" s="1"/>
  <c r="AM1014" i="34"/>
  <c r="AV1014" i="34" s="1"/>
  <c r="AN821" i="34"/>
  <c r="AM1108" i="34"/>
  <c r="AV1108" i="34" s="1"/>
  <c r="AN992" i="34"/>
  <c r="AN1080" i="34"/>
  <c r="AN878" i="34"/>
  <c r="AM403" i="34"/>
  <c r="AV403" i="34" s="1"/>
  <c r="AM382" i="34"/>
  <c r="AV382" i="34" s="1"/>
  <c r="AN255" i="34"/>
  <c r="AN506" i="34"/>
  <c r="AN131" i="34"/>
  <c r="AN1346" i="34"/>
  <c r="AM1511" i="34"/>
  <c r="AV1511" i="34" s="1"/>
  <c r="AN1164" i="34"/>
  <c r="AN1064" i="34"/>
  <c r="AN784" i="34"/>
  <c r="AM998" i="34"/>
  <c r="AV998" i="34" s="1"/>
  <c r="AM1116" i="34"/>
  <c r="AV1116" i="34" s="1"/>
  <c r="AM653" i="34"/>
  <c r="AV653" i="34" s="1"/>
  <c r="AN1032" i="34"/>
  <c r="AM1272" i="34"/>
  <c r="AV1272" i="34" s="1"/>
  <c r="AM1363" i="34"/>
  <c r="AV1363" i="34" s="1"/>
  <c r="AN870" i="34"/>
  <c r="AN497" i="34"/>
  <c r="AN1330" i="34"/>
  <c r="AM1467" i="34"/>
  <c r="AV1467" i="34" s="1"/>
  <c r="AN1150" i="34"/>
  <c r="AN1158" i="34"/>
  <c r="AN940" i="34"/>
  <c r="AN915" i="34"/>
  <c r="AN826" i="34"/>
  <c r="AM796" i="34"/>
  <c r="AV796" i="34" s="1"/>
  <c r="AM1264" i="34"/>
  <c r="AV1264" i="34" s="1"/>
  <c r="AN576" i="34"/>
  <c r="AM662" i="34"/>
  <c r="AV662" i="34" s="1"/>
  <c r="AN460" i="34"/>
  <c r="AN270" i="34"/>
  <c r="AN174" i="34"/>
  <c r="AM55" i="34"/>
  <c r="AV55" i="34" s="1"/>
  <c r="AN1462" i="34"/>
  <c r="AN1189" i="34"/>
  <c r="AM1250" i="34"/>
  <c r="AV1250" i="34" s="1"/>
  <c r="AN864" i="34"/>
  <c r="AN760" i="34"/>
  <c r="AN656" i="34"/>
  <c r="AN409" i="34"/>
  <c r="AM62" i="34"/>
  <c r="AV62" i="34" s="1"/>
  <c r="AN135" i="34"/>
  <c r="AM792" i="34"/>
  <c r="AV792" i="34" s="1"/>
  <c r="AN1025" i="34"/>
  <c r="AM667" i="34"/>
  <c r="AV667" i="34" s="1"/>
  <c r="AN1427" i="34"/>
  <c r="AN824" i="34"/>
  <c r="AN748" i="34"/>
  <c r="AM1520" i="34"/>
  <c r="AV1520" i="34" s="1"/>
  <c r="AN1552" i="34"/>
  <c r="AM1390" i="34"/>
  <c r="AV1390" i="34" s="1"/>
  <c r="AM1155" i="34"/>
  <c r="AV1155" i="34" s="1"/>
  <c r="AN1540" i="34"/>
  <c r="AN1161" i="34"/>
  <c r="AM1128" i="34"/>
  <c r="AV1128" i="34" s="1"/>
  <c r="AN934" i="34"/>
  <c r="AN1119" i="34"/>
  <c r="AN1261" i="34"/>
  <c r="AM1169" i="34"/>
  <c r="AV1169" i="34" s="1"/>
  <c r="AM1137" i="34"/>
  <c r="AV1137" i="34" s="1"/>
  <c r="AN1006" i="34"/>
  <c r="AM1088" i="34"/>
  <c r="AV1088" i="34" s="1"/>
  <c r="AN930" i="34"/>
  <c r="AN809" i="34"/>
  <c r="AJ845" i="34"/>
  <c r="AM695" i="34"/>
  <c r="AV695" i="34" s="1"/>
  <c r="AN713" i="34"/>
  <c r="AN611" i="34"/>
  <c r="AN650" i="34"/>
  <c r="AN596" i="34"/>
  <c r="AN577" i="34"/>
  <c r="AN568" i="34"/>
  <c r="AM508" i="34"/>
  <c r="AV508" i="34" s="1"/>
  <c r="AM415" i="34"/>
  <c r="AV415" i="34" s="1"/>
  <c r="AM507" i="34"/>
  <c r="AV507" i="34" s="1"/>
  <c r="AN525" i="34"/>
  <c r="AN368" i="34"/>
  <c r="AN259" i="34"/>
  <c r="AM413" i="34"/>
  <c r="AV413" i="34" s="1"/>
  <c r="AM291" i="34"/>
  <c r="AV291" i="34" s="1"/>
  <c r="AM191" i="34"/>
  <c r="AV191" i="34" s="1"/>
  <c r="AN151" i="34"/>
  <c r="AN155" i="34"/>
  <c r="AN27" i="34"/>
  <c r="AN100" i="34"/>
  <c r="AM34" i="34"/>
  <c r="AV34" i="34" s="1"/>
  <c r="AM1438" i="34"/>
  <c r="AV1438" i="34" s="1"/>
  <c r="AM1465" i="34"/>
  <c r="AV1465" i="34" s="1"/>
  <c r="AN652" i="34"/>
  <c r="AN952" i="34"/>
  <c r="AN762" i="34"/>
  <c r="AM1313" i="34"/>
  <c r="AV1313" i="34" s="1"/>
  <c r="AN1237" i="34"/>
  <c r="AN553" i="34"/>
  <c r="AM268" i="34"/>
  <c r="AV268" i="34" s="1"/>
  <c r="AM977" i="34"/>
  <c r="AV977" i="34" s="1"/>
  <c r="AN587" i="34"/>
  <c r="AN751" i="34"/>
  <c r="AM66" i="34"/>
  <c r="AV66" i="34" s="1"/>
  <c r="AN1477" i="34"/>
  <c r="AN1156" i="34"/>
  <c r="AN1300" i="34"/>
  <c r="AN575" i="34"/>
  <c r="AN574" i="34"/>
  <c r="AN863" i="34"/>
  <c r="AN589" i="34"/>
  <c r="AN449" i="34"/>
  <c r="AM1268" i="34"/>
  <c r="AV1268" i="34" s="1"/>
  <c r="AM1246" i="34"/>
  <c r="AV1246" i="34" s="1"/>
  <c r="AM1240" i="34"/>
  <c r="AV1240" i="34" s="1"/>
  <c r="AM1545" i="34"/>
  <c r="AV1545" i="34" s="1"/>
  <c r="AN1329" i="34"/>
  <c r="AM1512" i="34"/>
  <c r="AV1512" i="34" s="1"/>
  <c r="AN1339" i="34"/>
  <c r="AN1154" i="34"/>
  <c r="AN1269" i="34"/>
  <c r="AN969" i="34"/>
  <c r="AM1017" i="34"/>
  <c r="AV1017" i="34" s="1"/>
  <c r="AM1021" i="34"/>
  <c r="AV1021" i="34" s="1"/>
  <c r="AM838" i="34"/>
  <c r="AV838" i="34" s="1"/>
  <c r="AN664" i="34"/>
  <c r="AN605" i="34"/>
  <c r="AM677" i="34"/>
  <c r="AV677" i="34" s="1"/>
  <c r="AM478" i="34"/>
  <c r="AV478" i="34" s="1"/>
  <c r="AN498" i="34"/>
  <c r="AN517" i="34"/>
  <c r="AN378" i="34"/>
  <c r="AN278" i="34"/>
  <c r="AM146" i="34"/>
  <c r="AV146" i="34" s="1"/>
  <c r="AM924" i="34"/>
  <c r="AV924" i="34" s="1"/>
  <c r="AN849" i="34"/>
  <c r="AN1079" i="34"/>
  <c r="AM1153" i="34"/>
  <c r="AV1153" i="34" s="1"/>
  <c r="AN1395" i="34"/>
  <c r="AN265" i="34"/>
  <c r="AN18" i="34"/>
  <c r="AM895" i="34"/>
  <c r="AV895" i="34" s="1"/>
  <c r="AN671" i="34"/>
  <c r="AM296" i="34"/>
  <c r="AV296" i="34" s="1"/>
  <c r="AM1261" i="34"/>
  <c r="AV1261" i="34" s="1"/>
  <c r="AK157" i="34"/>
  <c r="AM100" i="34"/>
  <c r="AV100" i="34" s="1"/>
  <c r="AN34" i="34"/>
  <c r="AJ839" i="34"/>
  <c r="AJ1237" i="34"/>
  <c r="AN1128" i="34"/>
  <c r="AN1169" i="34"/>
  <c r="AM934" i="34"/>
  <c r="AV934" i="34" s="1"/>
  <c r="AM652" i="34"/>
  <c r="AV652" i="34" s="1"/>
  <c r="AM650" i="34"/>
  <c r="AV650" i="34" s="1"/>
  <c r="AN191" i="34"/>
  <c r="AM1006" i="34"/>
  <c r="AV1006" i="34" s="1"/>
  <c r="AM596" i="34"/>
  <c r="AV596" i="34" s="1"/>
  <c r="AJ266" i="34"/>
  <c r="AM1300" i="34"/>
  <c r="AV1300" i="34" s="1"/>
  <c r="AN1246" i="34"/>
  <c r="AM930" i="34"/>
  <c r="AV930" i="34" s="1"/>
  <c r="AJ751" i="34"/>
  <c r="AM587" i="34"/>
  <c r="AV587" i="34" s="1"/>
  <c r="AM611" i="34"/>
  <c r="AV611" i="34" s="1"/>
  <c r="AM525" i="34"/>
  <c r="AV525" i="34" s="1"/>
  <c r="AN507" i="34"/>
  <c r="AM259" i="34"/>
  <c r="AV259" i="34" s="1"/>
  <c r="AM169" i="34"/>
  <c r="AV169" i="34" s="1"/>
  <c r="AJ1257" i="34"/>
  <c r="AN1465" i="34"/>
  <c r="AM1378" i="34"/>
  <c r="AV1378" i="34" s="1"/>
  <c r="AM1119" i="34"/>
  <c r="AV1119" i="34" s="1"/>
  <c r="AM786" i="34"/>
  <c r="AV786" i="34" s="1"/>
  <c r="AM762" i="34"/>
  <c r="AV762" i="34" s="1"/>
  <c r="AM713" i="34"/>
  <c r="AV713" i="34" s="1"/>
  <c r="AM577" i="34"/>
  <c r="AV577" i="34" s="1"/>
  <c r="AM553" i="34"/>
  <c r="AV553" i="34" s="1"/>
  <c r="AN415" i="34"/>
  <c r="AM27" i="34"/>
  <c r="AV27" i="34" s="1"/>
  <c r="AN1390" i="34"/>
  <c r="AN1137" i="34"/>
  <c r="AM879" i="34"/>
  <c r="AV879" i="34" s="1"/>
  <c r="AN257" i="34"/>
  <c r="AN730" i="34"/>
  <c r="AM730" i="34"/>
  <c r="AV730" i="34" s="1"/>
  <c r="AN1287" i="34"/>
  <c r="AM1287" i="34"/>
  <c r="AV1287" i="34" s="1"/>
  <c r="AM1537" i="34"/>
  <c r="AV1537" i="34" s="1"/>
  <c r="AM1371" i="34"/>
  <c r="AV1371" i="34" s="1"/>
  <c r="AN1144" i="34"/>
  <c r="AM1030" i="34"/>
  <c r="AV1030" i="34" s="1"/>
  <c r="AM565" i="34"/>
  <c r="AV565" i="34" s="1"/>
  <c r="AM1466" i="34"/>
  <c r="AV1466" i="34" s="1"/>
  <c r="AM1308" i="34"/>
  <c r="AV1308" i="34" s="1"/>
  <c r="AN903" i="34"/>
  <c r="AM725" i="34"/>
  <c r="AV725" i="34" s="1"/>
  <c r="AJ202" i="34"/>
  <c r="AM1263" i="34"/>
  <c r="AV1263" i="34" s="1"/>
  <c r="AM1135" i="34"/>
  <c r="AV1135" i="34" s="1"/>
  <c r="AM1208" i="34"/>
  <c r="AV1208" i="34" s="1"/>
  <c r="AN1130" i="34"/>
  <c r="AM1024" i="34"/>
  <c r="AV1024" i="34" s="1"/>
  <c r="AM834" i="34"/>
  <c r="AV834" i="34" s="1"/>
  <c r="AM446" i="34"/>
  <c r="AV446" i="34" s="1"/>
  <c r="AN202" i="34"/>
  <c r="AN1467" i="34"/>
  <c r="AJ1233" i="34"/>
  <c r="AM281" i="34"/>
  <c r="AV281" i="34" s="1"/>
  <c r="AJ1146" i="34"/>
  <c r="AN1118" i="34"/>
  <c r="AM686" i="34"/>
  <c r="AV686" i="34" s="1"/>
  <c r="AM376" i="34"/>
  <c r="AV376" i="34" s="1"/>
  <c r="AM163" i="34"/>
  <c r="AV163" i="34" s="1"/>
  <c r="AN163" i="34"/>
  <c r="AN843" i="34"/>
  <c r="AM843" i="34"/>
  <c r="AV843" i="34" s="1"/>
  <c r="AN673" i="34"/>
  <c r="AM673" i="34"/>
  <c r="AV673" i="34" s="1"/>
  <c r="AN1093" i="34"/>
  <c r="AM1093" i="34"/>
  <c r="AV1093" i="34" s="1"/>
  <c r="AN660" i="34"/>
  <c r="AM660" i="34"/>
  <c r="AV660" i="34" s="1"/>
  <c r="AM968" i="34"/>
  <c r="AV968" i="34" s="1"/>
  <c r="AN968" i="34"/>
  <c r="AM314" i="34"/>
  <c r="AV314" i="34" s="1"/>
  <c r="AJ879" i="34"/>
  <c r="AJ284" i="34"/>
  <c r="AN1416" i="34"/>
  <c r="AJ197" i="34"/>
  <c r="AJ1235" i="34"/>
  <c r="AJ1221" i="34"/>
  <c r="AJ279" i="34"/>
  <c r="AJ690" i="34"/>
  <c r="AM734" i="34"/>
  <c r="AV734" i="34" s="1"/>
  <c r="AN734" i="34"/>
  <c r="AN871" i="34"/>
  <c r="AM871" i="34"/>
  <c r="AV871" i="34" s="1"/>
  <c r="AN1017" i="34"/>
  <c r="AJ931" i="34"/>
  <c r="AM969" i="34"/>
  <c r="AV969" i="34" s="1"/>
  <c r="AM784" i="34"/>
  <c r="AV784" i="34" s="1"/>
  <c r="AN1275" i="34"/>
  <c r="AJ1134" i="34"/>
  <c r="AJ1186" i="34"/>
  <c r="AM819" i="34"/>
  <c r="AV819" i="34" s="1"/>
  <c r="AM671" i="34"/>
  <c r="AV671" i="34" s="1"/>
  <c r="AJ228" i="34"/>
  <c r="AM1269" i="34"/>
  <c r="AV1269" i="34" s="1"/>
  <c r="AM1270" i="34"/>
  <c r="AV1270" i="34" s="1"/>
  <c r="AM1164" i="34"/>
  <c r="AV1164" i="34" s="1"/>
  <c r="AM1064" i="34"/>
  <c r="AV1064" i="34" s="1"/>
  <c r="AM1189" i="34"/>
  <c r="AV1189" i="34" s="1"/>
  <c r="AM1025" i="34"/>
  <c r="AV1025" i="34" s="1"/>
  <c r="AM1389" i="34"/>
  <c r="AV1389" i="34" s="1"/>
  <c r="AN1145" i="34"/>
  <c r="AJ1180" i="34"/>
  <c r="AN654" i="34"/>
  <c r="AM1462" i="34"/>
  <c r="AV1462" i="34" s="1"/>
  <c r="AM1338" i="34"/>
  <c r="AV1338" i="34" s="1"/>
  <c r="AN1220" i="34"/>
  <c r="AN672" i="34"/>
  <c r="AM502" i="34"/>
  <c r="AV502" i="34" s="1"/>
  <c r="AN1511" i="34"/>
  <c r="AM1251" i="34"/>
  <c r="AV1251" i="34" s="1"/>
  <c r="AN1251" i="34"/>
  <c r="AJ603" i="34"/>
  <c r="AM1514" i="34"/>
  <c r="AV1514" i="34" s="1"/>
  <c r="AN1514" i="34"/>
  <c r="AN844" i="34"/>
  <c r="AM844" i="34"/>
  <c r="AV844" i="34" s="1"/>
  <c r="AN901" i="34"/>
  <c r="AM901" i="34"/>
  <c r="AV901" i="34" s="1"/>
  <c r="AM1150" i="34"/>
  <c r="AV1150" i="34" s="1"/>
  <c r="AM985" i="34"/>
  <c r="AV985" i="34" s="1"/>
  <c r="AM809" i="34"/>
  <c r="AV809" i="34" s="1"/>
  <c r="AN1363" i="34"/>
  <c r="AJ220" i="34"/>
  <c r="AN899" i="34"/>
  <c r="AJ828" i="34"/>
  <c r="AJ718" i="34"/>
  <c r="AM255" i="34"/>
  <c r="AV255" i="34" s="1"/>
  <c r="AM963" i="34"/>
  <c r="AV963" i="34" s="1"/>
  <c r="AN629" i="34"/>
  <c r="AN294" i="34"/>
  <c r="AN268" i="34"/>
  <c r="AM119" i="34"/>
  <c r="AV119" i="34" s="1"/>
  <c r="AM501" i="34"/>
  <c r="AV501" i="34" s="1"/>
  <c r="AJ242" i="34"/>
  <c r="AK608" i="34"/>
  <c r="AM517" i="34"/>
  <c r="AV517" i="34" s="1"/>
  <c r="AM891" i="34"/>
  <c r="AV891" i="34" s="1"/>
  <c r="AJ517" i="34"/>
  <c r="AJ108" i="34"/>
  <c r="AM2" i="34"/>
  <c r="AV2" i="34" s="1"/>
  <c r="AN1274" i="34"/>
  <c r="AM1274" i="34"/>
  <c r="AV1274" i="34" s="1"/>
  <c r="AN1051" i="34"/>
  <c r="AM1051" i="34"/>
  <c r="AV1051" i="34" s="1"/>
  <c r="AM1089" i="34"/>
  <c r="AV1089" i="34" s="1"/>
  <c r="AN1089" i="34"/>
  <c r="AN1152" i="34"/>
  <c r="AM1152" i="34"/>
  <c r="AV1152" i="34" s="1"/>
  <c r="AM1237" i="34"/>
  <c r="AV1237" i="34" s="1"/>
  <c r="AJ1160" i="34"/>
  <c r="AM1458" i="34"/>
  <c r="AV1458" i="34" s="1"/>
  <c r="AM932" i="34"/>
  <c r="AV932" i="34" s="1"/>
  <c r="AN1476" i="34"/>
  <c r="AM1353" i="34"/>
  <c r="AV1353" i="34" s="1"/>
  <c r="AM1168" i="34"/>
  <c r="AV1168" i="34" s="1"/>
  <c r="AN991" i="34"/>
  <c r="AM841" i="34"/>
  <c r="AV841" i="34" s="1"/>
  <c r="AM760" i="34"/>
  <c r="AV760" i="34" s="1"/>
  <c r="AM155" i="34"/>
  <c r="AV155" i="34" s="1"/>
  <c r="AM591" i="34"/>
  <c r="AV591" i="34" s="1"/>
  <c r="AJ590" i="34"/>
  <c r="AJ254" i="34"/>
  <c r="AM89" i="34"/>
  <c r="AV89" i="34" s="1"/>
  <c r="AM23" i="34"/>
  <c r="AV23" i="34" s="1"/>
  <c r="AM1453" i="34"/>
  <c r="AV1453" i="34" s="1"/>
  <c r="AM1396" i="34"/>
  <c r="AV1396" i="34" s="1"/>
  <c r="AJ1127" i="34"/>
  <c r="AM1158" i="34"/>
  <c r="AV1158" i="34" s="1"/>
  <c r="AN1088" i="34"/>
  <c r="AJ984" i="34"/>
  <c r="AM981" i="34"/>
  <c r="AV981" i="34" s="1"/>
  <c r="AN677" i="34"/>
  <c r="AM147" i="34"/>
  <c r="AV147" i="34" s="1"/>
  <c r="AM1548" i="34"/>
  <c r="AV1548" i="34" s="1"/>
  <c r="AM1273" i="34"/>
  <c r="AV1273" i="34" s="1"/>
  <c r="AN1175" i="34"/>
  <c r="AM864" i="34"/>
  <c r="AV864" i="34" s="1"/>
  <c r="AM853" i="34"/>
  <c r="AV853" i="34" s="1"/>
  <c r="AM656" i="34"/>
  <c r="AV656" i="34" s="1"/>
  <c r="AJ601" i="34"/>
  <c r="AN19" i="34"/>
  <c r="AN1313" i="34"/>
  <c r="AM1427" i="34"/>
  <c r="AV1427" i="34" s="1"/>
  <c r="AM1331" i="34"/>
  <c r="AV1331" i="34" s="1"/>
  <c r="AM1101" i="34"/>
  <c r="AV1101" i="34" s="1"/>
  <c r="AN1117" i="34"/>
  <c r="AN792" i="34"/>
  <c r="AK220" i="34"/>
  <c r="AL220" i="34" s="1"/>
  <c r="AN189" i="34"/>
  <c r="AJ600" i="34"/>
  <c r="AM1032" i="34"/>
  <c r="AV1032" i="34" s="1"/>
  <c r="AM399" i="34"/>
  <c r="AV399" i="34" s="1"/>
  <c r="AJ51" i="34"/>
  <c r="AJ37" i="34"/>
  <c r="AJ280" i="34"/>
  <c r="AJ977" i="34"/>
  <c r="AJ46" i="34"/>
  <c r="AM1540" i="34"/>
  <c r="AV1540" i="34" s="1"/>
  <c r="AN1264" i="34"/>
  <c r="AN1167" i="34"/>
  <c r="AN1096" i="34"/>
  <c r="AM992" i="34"/>
  <c r="AV992" i="34" s="1"/>
  <c r="AM849" i="34"/>
  <c r="AV849" i="34" s="1"/>
  <c r="AM460" i="34"/>
  <c r="AV460" i="34" s="1"/>
  <c r="AN478" i="34"/>
  <c r="AM85" i="34"/>
  <c r="AV85" i="34" s="1"/>
  <c r="AJ1512" i="34"/>
  <c r="AJ1239" i="34"/>
  <c r="AM1329" i="34"/>
  <c r="AV1329" i="34" s="1"/>
  <c r="AM534" i="34"/>
  <c r="AV534" i="34" s="1"/>
  <c r="AJ208" i="34"/>
  <c r="AM253" i="34"/>
  <c r="AV253" i="34" s="1"/>
  <c r="AK46" i="34"/>
  <c r="AL46" i="34" s="1"/>
  <c r="AN1512" i="34"/>
  <c r="AN1153" i="34"/>
  <c r="AN1116" i="34"/>
  <c r="AM664" i="34"/>
  <c r="AV664" i="34" s="1"/>
  <c r="AN662" i="34"/>
  <c r="AM93" i="34"/>
  <c r="AV93" i="34" s="1"/>
  <c r="AK370" i="34"/>
  <c r="AM1480" i="34"/>
  <c r="AV1480" i="34" s="1"/>
  <c r="AM1395" i="34"/>
  <c r="AV1395" i="34" s="1"/>
  <c r="AJ1231" i="34"/>
  <c r="AN1240" i="34"/>
  <c r="AM1084" i="34"/>
  <c r="AV1084" i="34" s="1"/>
  <c r="AM265" i="34"/>
  <c r="AV265" i="34" s="1"/>
  <c r="AJ223" i="34"/>
  <c r="AM18" i="34"/>
  <c r="AV18" i="34" s="1"/>
  <c r="AM1339" i="34"/>
  <c r="AV1339" i="34" s="1"/>
  <c r="AN1159" i="34"/>
  <c r="AJ1104" i="34"/>
  <c r="AJ1057" i="34"/>
  <c r="AM1161" i="34"/>
  <c r="AV1161" i="34" s="1"/>
  <c r="AM898" i="34"/>
  <c r="AV898" i="34" s="1"/>
  <c r="AJ978" i="34"/>
  <c r="AJ847" i="34"/>
  <c r="AN740" i="34"/>
  <c r="AN382" i="34"/>
  <c r="AM303" i="34"/>
  <c r="AV303" i="34" s="1"/>
  <c r="AN66" i="34"/>
  <c r="AM1552" i="34"/>
  <c r="AV1552" i="34" s="1"/>
  <c r="AN1282" i="34"/>
  <c r="AN1108" i="34"/>
  <c r="AN796" i="34"/>
  <c r="AN653" i="34"/>
  <c r="AM131" i="34"/>
  <c r="AV131" i="34" s="1"/>
  <c r="AM1140" i="34"/>
  <c r="AV1140" i="34" s="1"/>
  <c r="AJ992" i="34"/>
  <c r="AM1291" i="34"/>
  <c r="AV1291" i="34" s="1"/>
  <c r="AN1291" i="34"/>
  <c r="AM200" i="34"/>
  <c r="AV200" i="34" s="1"/>
  <c r="AN200" i="34"/>
  <c r="AN855" i="34"/>
  <c r="AM855" i="34"/>
  <c r="AV855" i="34" s="1"/>
  <c r="AN1277" i="34"/>
  <c r="AM1277" i="34"/>
  <c r="AV1277" i="34" s="1"/>
  <c r="AM1114" i="34"/>
  <c r="AV1114" i="34" s="1"/>
  <c r="AN1114" i="34"/>
  <c r="AM658" i="34"/>
  <c r="AV658" i="34" s="1"/>
  <c r="AN658" i="34"/>
  <c r="AM1449" i="34"/>
  <c r="AV1449" i="34" s="1"/>
  <c r="AN1384" i="34"/>
  <c r="AK1351" i="34"/>
  <c r="AN1318" i="34"/>
  <c r="AM1206" i="34"/>
  <c r="AV1206" i="34" s="1"/>
  <c r="AN1126" i="34"/>
  <c r="AM605" i="34"/>
  <c r="AV605" i="34" s="1"/>
  <c r="AM576" i="34"/>
  <c r="AV576" i="34" s="1"/>
  <c r="AM506" i="34"/>
  <c r="AV506" i="34" s="1"/>
  <c r="AM458" i="34"/>
  <c r="AV458" i="34" s="1"/>
  <c r="AM395" i="34"/>
  <c r="AV395" i="34" s="1"/>
  <c r="AM216" i="34"/>
  <c r="AV216" i="34" s="1"/>
  <c r="AM1441" i="34"/>
  <c r="AV1441" i="34" s="1"/>
  <c r="AM1265" i="34"/>
  <c r="AV1265" i="34" s="1"/>
  <c r="AN1171" i="34"/>
  <c r="AM1080" i="34"/>
  <c r="AV1080" i="34" s="1"/>
  <c r="AJ666" i="34"/>
  <c r="AM409" i="34"/>
  <c r="AV409" i="34" s="1"/>
  <c r="AM1297" i="34"/>
  <c r="AV1297" i="34" s="1"/>
  <c r="AN1297" i="34"/>
  <c r="AM1156" i="34"/>
  <c r="AV1156" i="34" s="1"/>
  <c r="AN1050" i="34"/>
  <c r="AN1014" i="34"/>
  <c r="AM371" i="34"/>
  <c r="AV371" i="34" s="1"/>
  <c r="AJ271" i="34"/>
  <c r="AJ622" i="34"/>
  <c r="AK755" i="34"/>
  <c r="AJ755" i="34"/>
  <c r="AN1005" i="34"/>
  <c r="AM857" i="34"/>
  <c r="AV857" i="34" s="1"/>
  <c r="AM619" i="34"/>
  <c r="AV619" i="34" s="1"/>
  <c r="AM112" i="34"/>
  <c r="AV112" i="34" s="1"/>
  <c r="AJ27" i="34"/>
  <c r="AM1528" i="34"/>
  <c r="AV1528" i="34" s="1"/>
  <c r="AM1399" i="34"/>
  <c r="AV1399" i="34" s="1"/>
  <c r="AM1357" i="34"/>
  <c r="AV1357" i="34" s="1"/>
  <c r="AM1253" i="34"/>
  <c r="AV1253" i="34" s="1"/>
  <c r="AJ885" i="34"/>
  <c r="AM766" i="34"/>
  <c r="AV766" i="34" s="1"/>
  <c r="AJ464" i="34"/>
  <c r="AJ1142" i="34"/>
  <c r="AN998" i="34"/>
  <c r="AM826" i="34"/>
  <c r="AV826" i="34" s="1"/>
  <c r="AJ1253" i="34"/>
  <c r="AM935" i="34"/>
  <c r="AV935" i="34" s="1"/>
  <c r="AM1229" i="34"/>
  <c r="AV1229" i="34" s="1"/>
  <c r="AN1229" i="34"/>
  <c r="AM1163" i="34"/>
  <c r="AV1163" i="34" s="1"/>
  <c r="AN1163" i="34"/>
  <c r="AN1067" i="34"/>
  <c r="AM1067" i="34"/>
  <c r="AV1067" i="34" s="1"/>
  <c r="AK1281" i="34"/>
  <c r="AL1281" i="34" s="1"/>
  <c r="AJ1281" i="34"/>
  <c r="AM1271" i="34"/>
  <c r="AV1271" i="34" s="1"/>
  <c r="AN1271" i="34"/>
  <c r="AM1301" i="34"/>
  <c r="AV1301" i="34" s="1"/>
  <c r="AN1301" i="34"/>
  <c r="AM669" i="34"/>
  <c r="AV669" i="34" s="1"/>
  <c r="AN669" i="34"/>
  <c r="AK391" i="34"/>
  <c r="AJ391" i="34"/>
  <c r="AM158" i="34"/>
  <c r="AV158" i="34" s="1"/>
  <c r="AN158" i="34"/>
  <c r="AM1525" i="34"/>
  <c r="AV1525" i="34" s="1"/>
  <c r="AN1525" i="34"/>
  <c r="AM1259" i="34"/>
  <c r="AV1259" i="34" s="1"/>
  <c r="AN1259" i="34"/>
  <c r="AN1362" i="34"/>
  <c r="AM1362" i="34"/>
  <c r="AV1362" i="34" s="1"/>
  <c r="AM1223" i="34"/>
  <c r="AV1223" i="34" s="1"/>
  <c r="AN1223" i="34"/>
  <c r="AN947" i="34"/>
  <c r="AM947" i="34"/>
  <c r="AV947" i="34" s="1"/>
  <c r="AM692" i="34"/>
  <c r="AV692" i="34" s="1"/>
  <c r="AN692" i="34"/>
  <c r="AM700" i="34"/>
  <c r="AV700" i="34" s="1"/>
  <c r="AN700" i="34"/>
  <c r="AN615" i="34"/>
  <c r="AM615" i="34"/>
  <c r="AV615" i="34" s="1"/>
  <c r="AK182" i="34"/>
  <c r="AJ182" i="34"/>
  <c r="AN1403" i="34"/>
  <c r="AM1403" i="34"/>
  <c r="AV1403" i="34" s="1"/>
  <c r="AK1544" i="34"/>
  <c r="AL1544" i="34" s="1"/>
  <c r="AJ1544" i="34"/>
  <c r="AK1515" i="34"/>
  <c r="AL1515" i="34" s="1"/>
  <c r="AJ1515" i="34"/>
  <c r="AK1225" i="34"/>
  <c r="AJ1225" i="34"/>
  <c r="AM1060" i="34"/>
  <c r="AV1060" i="34" s="1"/>
  <c r="AN1060" i="34"/>
  <c r="AN927" i="34"/>
  <c r="AM927" i="34"/>
  <c r="AV927" i="34" s="1"/>
  <c r="AM171" i="34"/>
  <c r="AV171" i="34" s="1"/>
  <c r="AN171" i="34"/>
  <c r="AN1408" i="34"/>
  <c r="AM1408" i="34"/>
  <c r="AV1408" i="34" s="1"/>
  <c r="AN1354" i="34"/>
  <c r="AM1354" i="34"/>
  <c r="AV1354" i="34" s="1"/>
  <c r="AK1367" i="34"/>
  <c r="AL1367" i="34" s="1"/>
  <c r="AJ1367" i="34"/>
  <c r="AM1139" i="34"/>
  <c r="AV1139" i="34" s="1"/>
  <c r="AN1139" i="34"/>
  <c r="AM1097" i="34"/>
  <c r="AV1097" i="34" s="1"/>
  <c r="AN1097" i="34"/>
  <c r="AN1127" i="34"/>
  <c r="AM1127" i="34"/>
  <c r="AV1127" i="34" s="1"/>
  <c r="AN984" i="34"/>
  <c r="AM984" i="34"/>
  <c r="AV984" i="34" s="1"/>
  <c r="AJ1020" i="34"/>
  <c r="AK1020" i="34"/>
  <c r="AN943" i="34"/>
  <c r="AM943" i="34"/>
  <c r="AV943" i="34" s="1"/>
  <c r="AM663" i="34"/>
  <c r="AV663" i="34" s="1"/>
  <c r="AN663" i="34"/>
  <c r="AK702" i="34"/>
  <c r="AJ702" i="34"/>
  <c r="AN1393" i="34"/>
  <c r="AM1393" i="34"/>
  <c r="AV1393" i="34" s="1"/>
  <c r="AK1249" i="34"/>
  <c r="AL1249" i="34" s="1"/>
  <c r="AJ1249" i="34"/>
  <c r="AN1001" i="34"/>
  <c r="AM1001" i="34"/>
  <c r="AV1001" i="34" s="1"/>
  <c r="AM1110" i="34"/>
  <c r="AV1110" i="34" s="1"/>
  <c r="AN1110" i="34"/>
  <c r="AM1147" i="34"/>
  <c r="AV1147" i="34" s="1"/>
  <c r="AN1147" i="34"/>
  <c r="AN1008" i="34"/>
  <c r="AM1008" i="34"/>
  <c r="AV1008" i="34" s="1"/>
  <c r="AK1517" i="34"/>
  <c r="AJ1517" i="34"/>
  <c r="AN923" i="34"/>
  <c r="AM923" i="34"/>
  <c r="AV923" i="34" s="1"/>
  <c r="AM1267" i="34"/>
  <c r="AV1267" i="34" s="1"/>
  <c r="AN1267" i="34"/>
  <c r="AK192" i="34"/>
  <c r="AJ192" i="34"/>
  <c r="AK190" i="34"/>
  <c r="AJ190" i="34"/>
  <c r="AK178" i="34"/>
  <c r="AJ178" i="34"/>
  <c r="AK170" i="34"/>
  <c r="AJ170" i="34"/>
  <c r="AJ47" i="34"/>
  <c r="AK47" i="34"/>
  <c r="AM1022" i="34"/>
  <c r="AV1022" i="34" s="1"/>
  <c r="AN1022" i="34"/>
  <c r="AN722" i="34"/>
  <c r="AM722" i="34"/>
  <c r="AV722" i="34" s="1"/>
  <c r="AK720" i="34"/>
  <c r="AJ720" i="34"/>
  <c r="AN143" i="34"/>
  <c r="AM143" i="34"/>
  <c r="AV143" i="34" s="1"/>
  <c r="AM43" i="34"/>
  <c r="AV43" i="34" s="1"/>
  <c r="AN43" i="34"/>
  <c r="AN1452" i="34"/>
  <c r="AM1452" i="34"/>
  <c r="AV1452" i="34" s="1"/>
  <c r="AN1456" i="34"/>
  <c r="AM1456" i="34"/>
  <c r="AV1456" i="34" s="1"/>
  <c r="AK1323" i="34"/>
  <c r="AJ1323" i="34"/>
  <c r="AN939" i="34"/>
  <c r="AM939" i="34"/>
  <c r="AV939" i="34" s="1"/>
  <c r="AN951" i="34"/>
  <c r="AM951" i="34"/>
  <c r="AV951" i="34" s="1"/>
  <c r="AK705" i="34"/>
  <c r="AJ705" i="34"/>
  <c r="AN186" i="34"/>
  <c r="AM186" i="34"/>
  <c r="AV186" i="34" s="1"/>
  <c r="AK209" i="34"/>
  <c r="AJ209" i="34"/>
  <c r="AJ175" i="34"/>
  <c r="AM211" i="34"/>
  <c r="AV211" i="34" s="1"/>
  <c r="AN211" i="34"/>
  <c r="AN1319" i="34"/>
  <c r="AM1319" i="34"/>
  <c r="AV1319" i="34" s="1"/>
  <c r="AN1459" i="34"/>
  <c r="AM1459" i="34"/>
  <c r="AV1459" i="34" s="1"/>
  <c r="AN1123" i="34"/>
  <c r="AM1123" i="34"/>
  <c r="AV1123" i="34" s="1"/>
  <c r="AJ1238" i="34"/>
  <c r="AK1516" i="34"/>
  <c r="AL1516" i="34" s="1"/>
  <c r="AJ1516" i="34"/>
  <c r="AM1104" i="34"/>
  <c r="AV1104" i="34" s="1"/>
  <c r="AN1104" i="34"/>
  <c r="AN955" i="34"/>
  <c r="AM955" i="34"/>
  <c r="AV955" i="34" s="1"/>
  <c r="AK683" i="34"/>
  <c r="AJ683" i="34"/>
  <c r="AK173" i="34"/>
  <c r="AJ173" i="34"/>
  <c r="AK185" i="34"/>
  <c r="AL185" i="34" s="1"/>
  <c r="AJ185" i="34"/>
  <c r="AM175" i="34"/>
  <c r="AV175" i="34" s="1"/>
  <c r="AN175" i="34"/>
  <c r="AJ154" i="34"/>
  <c r="AK154" i="34"/>
  <c r="AN1527" i="34"/>
  <c r="AM1527" i="34"/>
  <c r="AV1527" i="34" s="1"/>
  <c r="AN1503" i="34"/>
  <c r="AM1503" i="34"/>
  <c r="AV1503" i="34" s="1"/>
  <c r="AN1533" i="34"/>
  <c r="AM1533" i="34"/>
  <c r="AV1533" i="34" s="1"/>
  <c r="AJ1486" i="34"/>
  <c r="AK1486" i="34"/>
  <c r="AL1486" i="34" s="1"/>
  <c r="AJ1496" i="34"/>
  <c r="AK1496" i="34"/>
  <c r="AK1488" i="34"/>
  <c r="AL1488" i="34" s="1"/>
  <c r="AJ1488" i="34"/>
  <c r="AN1447" i="34"/>
  <c r="AM1447" i="34"/>
  <c r="AV1447" i="34" s="1"/>
  <c r="AJ1421" i="34"/>
  <c r="AK1421" i="34"/>
  <c r="AN1506" i="34"/>
  <c r="AM1506" i="34"/>
  <c r="AV1506" i="34" s="1"/>
  <c r="AN1422" i="34"/>
  <c r="AM1422" i="34"/>
  <c r="AV1422" i="34" s="1"/>
  <c r="AM1436" i="34"/>
  <c r="AV1436" i="34" s="1"/>
  <c r="AN1436" i="34"/>
  <c r="AN1424" i="34"/>
  <c r="AM1424" i="34"/>
  <c r="AV1424" i="34" s="1"/>
  <c r="AM1428" i="34"/>
  <c r="AV1428" i="34" s="1"/>
  <c r="AN1428" i="34"/>
  <c r="AM1440" i="34"/>
  <c r="AV1440" i="34" s="1"/>
  <c r="AN1440" i="34"/>
  <c r="AN1410" i="34"/>
  <c r="AM1410" i="34"/>
  <c r="AV1410" i="34" s="1"/>
  <c r="AM1359" i="34"/>
  <c r="AV1359" i="34" s="1"/>
  <c r="AN1359" i="34"/>
  <c r="AN1387" i="34"/>
  <c r="AM1387" i="34"/>
  <c r="AV1387" i="34" s="1"/>
  <c r="AM1405" i="34"/>
  <c r="AV1405" i="34" s="1"/>
  <c r="AN1405" i="34"/>
  <c r="AN1345" i="34"/>
  <c r="AM1345" i="34"/>
  <c r="AV1345" i="34" s="1"/>
  <c r="AN1284" i="34"/>
  <c r="AM1284" i="34"/>
  <c r="AV1284" i="34" s="1"/>
  <c r="AN1336" i="34"/>
  <c r="AM1336" i="34"/>
  <c r="AV1336" i="34" s="1"/>
  <c r="AN1280" i="34"/>
  <c r="AM1280" i="34"/>
  <c r="AV1280" i="34" s="1"/>
  <c r="AN1292" i="34"/>
  <c r="AM1292" i="34"/>
  <c r="AV1292" i="34" s="1"/>
  <c r="AK1236" i="34"/>
  <c r="AJ1236" i="34"/>
  <c r="AN1262" i="34"/>
  <c r="AM1262" i="34"/>
  <c r="AV1262" i="34" s="1"/>
  <c r="AM1201" i="34"/>
  <c r="AV1201" i="34" s="1"/>
  <c r="AN1201" i="34"/>
  <c r="AM1388" i="34"/>
  <c r="AV1388" i="34" s="1"/>
  <c r="AN1388" i="34"/>
  <c r="AK1283" i="34"/>
  <c r="AL1283" i="34" s="1"/>
  <c r="AJ1283" i="34"/>
  <c r="AN1181" i="34"/>
  <c r="AM1181" i="34"/>
  <c r="AV1181" i="34" s="1"/>
  <c r="AM1109" i="34"/>
  <c r="AV1109" i="34" s="1"/>
  <c r="AN1109" i="34"/>
  <c r="AN1170" i="34"/>
  <c r="AM1170" i="34"/>
  <c r="AV1170" i="34" s="1"/>
  <c r="AN1091" i="34"/>
  <c r="AM1091" i="34"/>
  <c r="AV1091" i="34" s="1"/>
  <c r="AN1233" i="34"/>
  <c r="AM1233" i="34"/>
  <c r="AV1233" i="34" s="1"/>
  <c r="AN1191" i="34"/>
  <c r="AM1191" i="34"/>
  <c r="AV1191" i="34" s="1"/>
  <c r="AN1138" i="34"/>
  <c r="AM1138" i="34"/>
  <c r="AV1138" i="34" s="1"/>
  <c r="AK1099" i="34"/>
  <c r="AL1099" i="34" s="1"/>
  <c r="AJ1099" i="34"/>
  <c r="AM1054" i="34"/>
  <c r="AV1054" i="34" s="1"/>
  <c r="AN1054" i="34"/>
  <c r="AM1042" i="34"/>
  <c r="AV1042" i="34" s="1"/>
  <c r="AN1042" i="34"/>
  <c r="AN1069" i="34"/>
  <c r="AM1069" i="34"/>
  <c r="AV1069" i="34" s="1"/>
  <c r="AN1082" i="34"/>
  <c r="AM1082" i="34"/>
  <c r="AV1082" i="34" s="1"/>
  <c r="AN1053" i="34"/>
  <c r="AM1053" i="34"/>
  <c r="AV1053" i="34" s="1"/>
  <c r="AJ1215" i="34"/>
  <c r="AK1215" i="34"/>
  <c r="AL1215" i="34" s="1"/>
  <c r="AN1035" i="34"/>
  <c r="AM1035" i="34"/>
  <c r="AV1035" i="34" s="1"/>
  <c r="AN1068" i="34"/>
  <c r="AM1068" i="34"/>
  <c r="AV1068" i="34" s="1"/>
  <c r="AM1010" i="34"/>
  <c r="AV1010" i="34" s="1"/>
  <c r="AN1010" i="34"/>
  <c r="AN994" i="34"/>
  <c r="AM994" i="34"/>
  <c r="AV994" i="34" s="1"/>
  <c r="AK1034" i="34"/>
  <c r="AJ1034" i="34"/>
  <c r="AK1019" i="34"/>
  <c r="AJ1019" i="34"/>
  <c r="AN912" i="34"/>
  <c r="AM912" i="34"/>
  <c r="AV912" i="34" s="1"/>
  <c r="AN946" i="34"/>
  <c r="AM946" i="34"/>
  <c r="AV946" i="34" s="1"/>
  <c r="AN1077" i="34"/>
  <c r="AM1077" i="34"/>
  <c r="AV1077" i="34" s="1"/>
  <c r="AN785" i="34"/>
  <c r="AM785" i="34"/>
  <c r="AV785" i="34" s="1"/>
  <c r="AN847" i="34"/>
  <c r="AM847" i="34"/>
  <c r="AV847" i="34" s="1"/>
  <c r="AN787" i="34"/>
  <c r="AM787" i="34"/>
  <c r="AV787" i="34" s="1"/>
  <c r="AN800" i="34"/>
  <c r="AM800" i="34"/>
  <c r="AV800" i="34" s="1"/>
  <c r="AN822" i="34"/>
  <c r="AM822" i="34"/>
  <c r="AV822" i="34" s="1"/>
  <c r="AM707" i="34"/>
  <c r="AV707" i="34" s="1"/>
  <c r="AN707" i="34"/>
  <c r="AK831" i="34"/>
  <c r="AJ831" i="34"/>
  <c r="AJ635" i="34"/>
  <c r="AK635" i="34"/>
  <c r="AL635" i="34" s="1"/>
  <c r="AK674" i="34"/>
  <c r="AJ674" i="34"/>
  <c r="AK728" i="34"/>
  <c r="AL728" i="34" s="1"/>
  <c r="AJ728" i="34"/>
  <c r="AK710" i="34"/>
  <c r="AJ710" i="34"/>
  <c r="AJ640" i="34"/>
  <c r="AK640" i="34"/>
  <c r="AK687" i="34"/>
  <c r="AL687" i="34" s="1"/>
  <c r="AJ687" i="34"/>
  <c r="AK742" i="34"/>
  <c r="AL742" i="34" s="1"/>
  <c r="AJ742" i="34"/>
  <c r="AM706" i="34"/>
  <c r="AV706" i="34" s="1"/>
  <c r="AN706" i="34"/>
  <c r="AK546" i="34"/>
  <c r="AJ546" i="34"/>
  <c r="AJ645" i="34"/>
  <c r="AK645" i="34"/>
  <c r="AK584" i="34"/>
  <c r="AJ584" i="34"/>
  <c r="AN599" i="34"/>
  <c r="AM599" i="34"/>
  <c r="AV599" i="34" s="1"/>
  <c r="AJ529" i="34"/>
  <c r="AK529" i="34"/>
  <c r="AL529" i="34" s="1"/>
  <c r="AK598" i="34"/>
  <c r="AL598" i="34" s="1"/>
  <c r="AJ598" i="34"/>
  <c r="AK487" i="34"/>
  <c r="AJ487" i="34"/>
  <c r="AK472" i="34"/>
  <c r="AJ472" i="34"/>
  <c r="AK519" i="34"/>
  <c r="AL519" i="34" s="1"/>
  <c r="AJ519" i="34"/>
  <c r="AK436" i="34"/>
  <c r="AJ436" i="34"/>
  <c r="AN500" i="34"/>
  <c r="AM500" i="34"/>
  <c r="AV500" i="34" s="1"/>
  <c r="AM396" i="34"/>
  <c r="AV396" i="34" s="1"/>
  <c r="AN396" i="34"/>
  <c r="AJ528" i="34"/>
  <c r="AK528" i="34"/>
  <c r="AL528" i="34" s="1"/>
  <c r="AN493" i="34"/>
  <c r="AM493" i="34"/>
  <c r="AV493" i="34" s="1"/>
  <c r="AN455" i="34"/>
  <c r="AM455" i="34"/>
  <c r="AV455" i="34" s="1"/>
  <c r="AK353" i="34"/>
  <c r="AJ353" i="34"/>
  <c r="AM463" i="34"/>
  <c r="AV463" i="34" s="1"/>
  <c r="AN463" i="34"/>
  <c r="AN401" i="34"/>
  <c r="AM401" i="34"/>
  <c r="AV401" i="34" s="1"/>
  <c r="AN348" i="34"/>
  <c r="AM348" i="34"/>
  <c r="AV348" i="34" s="1"/>
  <c r="AK330" i="34"/>
  <c r="AJ330" i="34"/>
  <c r="AM321" i="34"/>
  <c r="AV321" i="34" s="1"/>
  <c r="AN321" i="34"/>
  <c r="AN304" i="34"/>
  <c r="AM304" i="34"/>
  <c r="AV304" i="34" s="1"/>
  <c r="AK341" i="34"/>
  <c r="AJ341" i="34"/>
  <c r="AJ347" i="34"/>
  <c r="AK347" i="34"/>
  <c r="AK344" i="34"/>
  <c r="AL344" i="34" s="1"/>
  <c r="AJ344" i="34"/>
  <c r="AK225" i="34"/>
  <c r="AJ225" i="34"/>
  <c r="AM149" i="34"/>
  <c r="AV149" i="34" s="1"/>
  <c r="AN149" i="34"/>
  <c r="AN235" i="34"/>
  <c r="AM235" i="34"/>
  <c r="AV235" i="34" s="1"/>
  <c r="AM141" i="34"/>
  <c r="AV141" i="34" s="1"/>
  <c r="AN141" i="34"/>
  <c r="AM153" i="34"/>
  <c r="AV153" i="34" s="1"/>
  <c r="AN153" i="34"/>
  <c r="AN227" i="34"/>
  <c r="AM227" i="34"/>
  <c r="AV227" i="34" s="1"/>
  <c r="AM203" i="34"/>
  <c r="AV203" i="34" s="1"/>
  <c r="AN203" i="34"/>
  <c r="AN117" i="34"/>
  <c r="AM117" i="34"/>
  <c r="AV117" i="34" s="1"/>
  <c r="AN83" i="34"/>
  <c r="AM83" i="34"/>
  <c r="AV83" i="34" s="1"/>
  <c r="AN285" i="34"/>
  <c r="AM285" i="34"/>
  <c r="AV285" i="34" s="1"/>
  <c r="AM142" i="34"/>
  <c r="AV142" i="34" s="1"/>
  <c r="AN142" i="34"/>
  <c r="AK102" i="34"/>
  <c r="AL102" i="34" s="1"/>
  <c r="AJ102" i="34"/>
  <c r="AN69" i="34"/>
  <c r="AM69" i="34"/>
  <c r="AV69" i="34" s="1"/>
  <c r="AJ115" i="34"/>
  <c r="AK115" i="34"/>
  <c r="AK136" i="34"/>
  <c r="AL136" i="34" s="1"/>
  <c r="AJ136" i="34"/>
  <c r="AM17" i="34"/>
  <c r="AV17" i="34" s="1"/>
  <c r="AN17" i="34"/>
  <c r="AM9" i="34"/>
  <c r="AV9" i="34" s="1"/>
  <c r="AN9" i="34"/>
  <c r="AN1499" i="34"/>
  <c r="AM1499" i="34"/>
  <c r="AV1499" i="34" s="1"/>
  <c r="AN1531" i="34"/>
  <c r="AM1531" i="34"/>
  <c r="AV1531" i="34" s="1"/>
  <c r="AK1547" i="34"/>
  <c r="AL1547" i="34" s="1"/>
  <c r="AJ1547" i="34"/>
  <c r="AN1495" i="34"/>
  <c r="AM1495" i="34"/>
  <c r="AV1495" i="34" s="1"/>
  <c r="AN1498" i="34"/>
  <c r="AM1498" i="34"/>
  <c r="AV1498" i="34" s="1"/>
  <c r="AM1471" i="34"/>
  <c r="AV1471" i="34" s="1"/>
  <c r="AN1471" i="34"/>
  <c r="AN1464" i="34"/>
  <c r="AM1464" i="34"/>
  <c r="AV1464" i="34" s="1"/>
  <c r="AN1479" i="34"/>
  <c r="AM1479" i="34"/>
  <c r="AV1479" i="34" s="1"/>
  <c r="AK1451" i="34"/>
  <c r="AL1451" i="34" s="1"/>
  <c r="AJ1451" i="34"/>
  <c r="AN1406" i="34"/>
  <c r="AM1406" i="34"/>
  <c r="AV1406" i="34" s="1"/>
  <c r="AN1402" i="34"/>
  <c r="AM1402" i="34"/>
  <c r="AV1402" i="34" s="1"/>
  <c r="AN1385" i="34"/>
  <c r="AM1385" i="34"/>
  <c r="AV1385" i="34" s="1"/>
  <c r="AN1446" i="34"/>
  <c r="AM1446" i="34"/>
  <c r="AV1446" i="34" s="1"/>
  <c r="AN1340" i="34"/>
  <c r="AM1340" i="34"/>
  <c r="AV1340" i="34" s="1"/>
  <c r="AN1344" i="34"/>
  <c r="AM1344" i="34"/>
  <c r="AV1344" i="34" s="1"/>
  <c r="AN1289" i="34"/>
  <c r="AM1289" i="34"/>
  <c r="AV1289" i="34" s="1"/>
  <c r="AM1307" i="34"/>
  <c r="AV1307" i="34" s="1"/>
  <c r="AN1307" i="34"/>
  <c r="AN1316" i="34"/>
  <c r="AM1316" i="34"/>
  <c r="AV1316" i="34" s="1"/>
  <c r="AK1348" i="34"/>
  <c r="AJ1348" i="34"/>
  <c r="AN1290" i="34"/>
  <c r="AM1290" i="34"/>
  <c r="AV1290" i="34" s="1"/>
  <c r="AM1260" i="34"/>
  <c r="AV1260" i="34" s="1"/>
  <c r="AN1260" i="34"/>
  <c r="AM1242" i="34"/>
  <c r="AV1242" i="34" s="1"/>
  <c r="AN1242" i="34"/>
  <c r="AK1256" i="34"/>
  <c r="AL1256" i="34" s="1"/>
  <c r="AJ1256" i="34"/>
  <c r="AN1257" i="34"/>
  <c r="AM1257" i="34"/>
  <c r="AV1257" i="34" s="1"/>
  <c r="AK1244" i="34"/>
  <c r="AJ1244" i="34"/>
  <c r="AN1205" i="34"/>
  <c r="AM1205" i="34"/>
  <c r="AV1205" i="34" s="1"/>
  <c r="AN1146" i="34"/>
  <c r="AM1146" i="34"/>
  <c r="AV1146" i="34" s="1"/>
  <c r="AJ1211" i="34"/>
  <c r="AK1211" i="34"/>
  <c r="AN1180" i="34"/>
  <c r="AM1180" i="34"/>
  <c r="AV1180" i="34" s="1"/>
  <c r="AM1133" i="34"/>
  <c r="AV1133" i="34" s="1"/>
  <c r="AN1133" i="34"/>
  <c r="AN1037" i="34"/>
  <c r="AM1037" i="34"/>
  <c r="AV1037" i="34" s="1"/>
  <c r="AM999" i="34"/>
  <c r="AV999" i="34" s="1"/>
  <c r="AN999" i="34"/>
  <c r="AN1033" i="34"/>
  <c r="AM1033" i="34"/>
  <c r="AV1033" i="34" s="1"/>
  <c r="AN1027" i="34"/>
  <c r="AM1027" i="34"/>
  <c r="AV1027" i="34" s="1"/>
  <c r="AM1056" i="34"/>
  <c r="AV1056" i="34" s="1"/>
  <c r="AN1056" i="34"/>
  <c r="AN961" i="34"/>
  <c r="AM961" i="34"/>
  <c r="AV961" i="34" s="1"/>
  <c r="AJ920" i="34"/>
  <c r="AK920" i="34"/>
  <c r="AL920" i="34" s="1"/>
  <c r="AN908" i="34"/>
  <c r="AM908" i="34"/>
  <c r="AV908" i="34" s="1"/>
  <c r="AK958" i="34"/>
  <c r="AJ958" i="34"/>
  <c r="AN941" i="34"/>
  <c r="AM941" i="34"/>
  <c r="AV941" i="34" s="1"/>
  <c r="AM884" i="34"/>
  <c r="AV884" i="34" s="1"/>
  <c r="AN884" i="34"/>
  <c r="AN862" i="34"/>
  <c r="AM862" i="34"/>
  <c r="AV862" i="34" s="1"/>
  <c r="AM854" i="34"/>
  <c r="AV854" i="34" s="1"/>
  <c r="AN854" i="34"/>
  <c r="AN833" i="34"/>
  <c r="AM833" i="34"/>
  <c r="AV833" i="34" s="1"/>
  <c r="AK754" i="34"/>
  <c r="AJ754" i="34"/>
  <c r="AN726" i="34"/>
  <c r="AM726" i="34"/>
  <c r="AV726" i="34" s="1"/>
  <c r="AN769" i="34"/>
  <c r="AM769" i="34"/>
  <c r="AV769" i="34" s="1"/>
  <c r="AK746" i="34"/>
  <c r="AL746" i="34" s="1"/>
  <c r="AJ746" i="34"/>
  <c r="AN964" i="34"/>
  <c r="AM964" i="34"/>
  <c r="AV964" i="34" s="1"/>
  <c r="AJ823" i="34"/>
  <c r="AK823" i="34"/>
  <c r="AK714" i="34"/>
  <c r="AJ714" i="34"/>
  <c r="AK757" i="34"/>
  <c r="AJ757" i="34"/>
  <c r="AK699" i="34"/>
  <c r="AL699" i="34" s="1"/>
  <c r="AJ699" i="34"/>
  <c r="AJ639" i="34"/>
  <c r="AK639" i="34"/>
  <c r="AL639" i="34" s="1"/>
  <c r="AN733" i="34"/>
  <c r="AM733" i="34"/>
  <c r="AV733" i="34" s="1"/>
  <c r="AK583" i="34"/>
  <c r="AL583" i="34" s="1"/>
  <c r="AJ583" i="34"/>
  <c r="AK556" i="34"/>
  <c r="AL556" i="34" s="1"/>
  <c r="AJ556" i="34"/>
  <c r="AK530" i="34"/>
  <c r="AL530" i="34" s="1"/>
  <c r="AJ530" i="34"/>
  <c r="AN566" i="34"/>
  <c r="AM566" i="34"/>
  <c r="AV566" i="34" s="1"/>
  <c r="AM543" i="34"/>
  <c r="AV543" i="34" s="1"/>
  <c r="AN543" i="34"/>
  <c r="AJ632" i="34"/>
  <c r="AK632" i="34"/>
  <c r="AJ612" i="34"/>
  <c r="AK612" i="34"/>
  <c r="AL612" i="34" s="1"/>
  <c r="AK531" i="34"/>
  <c r="AJ531" i="34"/>
  <c r="AJ614" i="34"/>
  <c r="AK614" i="34"/>
  <c r="AN601" i="34"/>
  <c r="AM601" i="34"/>
  <c r="AV601" i="34" s="1"/>
  <c r="AN514" i="34"/>
  <c r="AM514" i="34"/>
  <c r="AV514" i="34" s="1"/>
  <c r="AN450" i="34"/>
  <c r="AM450" i="34"/>
  <c r="AV450" i="34" s="1"/>
  <c r="AJ624" i="34"/>
  <c r="AK624" i="34"/>
  <c r="AL624" i="34" s="1"/>
  <c r="AK468" i="34"/>
  <c r="AL468" i="34" s="1"/>
  <c r="AJ468" i="34"/>
  <c r="AN595" i="34"/>
  <c r="AM595" i="34"/>
  <c r="AV595" i="34" s="1"/>
  <c r="AN572" i="34"/>
  <c r="AM572" i="34"/>
  <c r="AV572" i="34" s="1"/>
  <c r="AK432" i="34"/>
  <c r="AL432" i="34" s="1"/>
  <c r="AJ432" i="34"/>
  <c r="AK475" i="34"/>
  <c r="AJ475" i="34"/>
  <c r="AN462" i="34"/>
  <c r="AM462" i="34"/>
  <c r="AV462" i="34" s="1"/>
  <c r="AK445" i="34"/>
  <c r="AL445" i="34" s="1"/>
  <c r="AJ445" i="34"/>
  <c r="AK422" i="34"/>
  <c r="AL422" i="34" s="1"/>
  <c r="AJ422" i="34"/>
  <c r="AK394" i="34"/>
  <c r="AJ394" i="34"/>
  <c r="AM369" i="34"/>
  <c r="AV369" i="34" s="1"/>
  <c r="AN369" i="34"/>
  <c r="AK427" i="34"/>
  <c r="AL427" i="34" s="1"/>
  <c r="AJ427" i="34"/>
  <c r="AN379" i="34"/>
  <c r="AM379" i="34"/>
  <c r="AV379" i="34" s="1"/>
  <c r="AK442" i="34"/>
  <c r="AL442" i="34" s="1"/>
  <c r="AJ442" i="34"/>
  <c r="AN457" i="34"/>
  <c r="AM457" i="34"/>
  <c r="AV457" i="34" s="1"/>
  <c r="AK392" i="34"/>
  <c r="AJ392" i="34"/>
  <c r="AN484" i="34"/>
  <c r="AM484" i="34"/>
  <c r="AV484" i="34" s="1"/>
  <c r="AK423" i="34"/>
  <c r="AL423" i="34" s="1"/>
  <c r="AJ423" i="34"/>
  <c r="AK435" i="34"/>
  <c r="AL435" i="34" s="1"/>
  <c r="AJ435" i="34"/>
  <c r="AK410" i="34"/>
  <c r="AL410" i="34" s="1"/>
  <c r="AJ410" i="34"/>
  <c r="AN305" i="34"/>
  <c r="AM305" i="34"/>
  <c r="AV305" i="34" s="1"/>
  <c r="AN404" i="34"/>
  <c r="AM404" i="34"/>
  <c r="AV404" i="34" s="1"/>
  <c r="AJ332" i="34"/>
  <c r="AK332" i="34"/>
  <c r="AN306" i="34"/>
  <c r="AM306" i="34"/>
  <c r="AV306" i="34" s="1"/>
  <c r="AM300" i="34"/>
  <c r="AV300" i="34" s="1"/>
  <c r="AN300" i="34"/>
  <c r="AK388" i="34"/>
  <c r="AL388" i="34" s="1"/>
  <c r="AJ388" i="34"/>
  <c r="AM311" i="34"/>
  <c r="AV311" i="34" s="1"/>
  <c r="AN311" i="34"/>
  <c r="AK325" i="34"/>
  <c r="AL325" i="34" s="1"/>
  <c r="AJ325" i="34"/>
  <c r="AM298" i="34"/>
  <c r="AV298" i="34" s="1"/>
  <c r="AN298" i="34"/>
  <c r="AK248" i="34"/>
  <c r="AL248" i="34" s="1"/>
  <c r="AJ248" i="34"/>
  <c r="AK217" i="34"/>
  <c r="AL217" i="34" s="1"/>
  <c r="AJ217" i="34"/>
  <c r="AN224" i="34"/>
  <c r="AM224" i="34"/>
  <c r="AV224" i="34" s="1"/>
  <c r="AN271" i="34"/>
  <c r="AM271" i="34"/>
  <c r="AV271" i="34" s="1"/>
  <c r="AK188" i="34"/>
  <c r="AJ188" i="34"/>
  <c r="AN250" i="34"/>
  <c r="AM250" i="34"/>
  <c r="AV250" i="34" s="1"/>
  <c r="AM148" i="34"/>
  <c r="AV148" i="34" s="1"/>
  <c r="AN148" i="34"/>
  <c r="AN339" i="34"/>
  <c r="AM339" i="34"/>
  <c r="AV339" i="34" s="1"/>
  <c r="AN279" i="34"/>
  <c r="AM279" i="34"/>
  <c r="AV279" i="34" s="1"/>
  <c r="AN215" i="34"/>
  <c r="AM215" i="34"/>
  <c r="AV215" i="34" s="1"/>
  <c r="AN68" i="34"/>
  <c r="AM68" i="34"/>
  <c r="AV68" i="34" s="1"/>
  <c r="AJ256" i="34"/>
  <c r="AK256" i="34"/>
  <c r="AJ214" i="34"/>
  <c r="AK214" i="34"/>
  <c r="AL214" i="34" s="1"/>
  <c r="AJ233" i="34"/>
  <c r="AK233" i="34"/>
  <c r="AL233" i="34" s="1"/>
  <c r="AK180" i="34"/>
  <c r="AJ180" i="34"/>
  <c r="AN130" i="34"/>
  <c r="AM130" i="34"/>
  <c r="AV130" i="34" s="1"/>
  <c r="AN88" i="34"/>
  <c r="AM88" i="34"/>
  <c r="AV88" i="34" s="1"/>
  <c r="AK168" i="34"/>
  <c r="AJ168" i="34"/>
  <c r="AJ134" i="34"/>
  <c r="AK134" i="34"/>
  <c r="AL134" i="34" s="1"/>
  <c r="AK24" i="34"/>
  <c r="AL24" i="34" s="1"/>
  <c r="AJ24" i="34"/>
  <c r="AK22" i="34"/>
  <c r="AL22" i="34" s="1"/>
  <c r="AJ22" i="34"/>
  <c r="AM14" i="34"/>
  <c r="AV14" i="34" s="1"/>
  <c r="AN14" i="34"/>
  <c r="AM60" i="34"/>
  <c r="AV60" i="34" s="1"/>
  <c r="AN60" i="34"/>
  <c r="AN29" i="34"/>
  <c r="AM29" i="34"/>
  <c r="AV29" i="34" s="1"/>
  <c r="AN90" i="34"/>
  <c r="AM90" i="34"/>
  <c r="AV90" i="34" s="1"/>
  <c r="AN40" i="34"/>
  <c r="AM40" i="34"/>
  <c r="AV40" i="34" s="1"/>
  <c r="AN8" i="34"/>
  <c r="AM8" i="34"/>
  <c r="AV8" i="34" s="1"/>
  <c r="AK116" i="34"/>
  <c r="AL116" i="34" s="1"/>
  <c r="AJ116" i="34"/>
  <c r="AN104" i="34"/>
  <c r="AM104" i="34"/>
  <c r="AV104" i="34" s="1"/>
  <c r="AN1539" i="34"/>
  <c r="AM1539" i="34"/>
  <c r="AV1539" i="34" s="1"/>
  <c r="AN1497" i="34"/>
  <c r="AM1497" i="34"/>
  <c r="AV1497" i="34" s="1"/>
  <c r="AM1523" i="34"/>
  <c r="AV1523" i="34" s="1"/>
  <c r="AN1523" i="34"/>
  <c r="AM1522" i="34"/>
  <c r="AV1522" i="34" s="1"/>
  <c r="AN1522" i="34"/>
  <c r="AN1502" i="34"/>
  <c r="AM1502" i="34"/>
  <c r="AV1502" i="34" s="1"/>
  <c r="AN1455" i="34"/>
  <c r="AM1455" i="34"/>
  <c r="AV1455" i="34" s="1"/>
  <c r="AK1426" i="34"/>
  <c r="AJ1426" i="34"/>
  <c r="AN1444" i="34"/>
  <c r="AM1444" i="34"/>
  <c r="AV1444" i="34" s="1"/>
  <c r="AN1482" i="34"/>
  <c r="AM1482" i="34"/>
  <c r="AV1482" i="34" s="1"/>
  <c r="AN1394" i="34"/>
  <c r="AM1394" i="34"/>
  <c r="AV1394" i="34" s="1"/>
  <c r="AN1352" i="34"/>
  <c r="AM1352" i="34"/>
  <c r="AV1352" i="34" s="1"/>
  <c r="AN1392" i="34"/>
  <c r="AM1392" i="34"/>
  <c r="AV1392" i="34" s="1"/>
  <c r="AM1328" i="34"/>
  <c r="AV1328" i="34" s="1"/>
  <c r="AN1328" i="34"/>
  <c r="AM1310" i="34"/>
  <c r="AV1310" i="34" s="1"/>
  <c r="AN1310" i="34"/>
  <c r="AM1321" i="34"/>
  <c r="AV1321" i="34" s="1"/>
  <c r="AN1321" i="34"/>
  <c r="AM1298" i="34"/>
  <c r="AV1298" i="34" s="1"/>
  <c r="AN1298" i="34"/>
  <c r="AN1304" i="34"/>
  <c r="AM1304" i="34"/>
  <c r="AV1304" i="34" s="1"/>
  <c r="AM1218" i="34"/>
  <c r="AV1218" i="34" s="1"/>
  <c r="AN1218" i="34"/>
  <c r="AN1254" i="34"/>
  <c r="AM1254" i="34"/>
  <c r="AV1254" i="34" s="1"/>
  <c r="AM1228" i="34"/>
  <c r="AV1228" i="34" s="1"/>
  <c r="AN1228" i="34"/>
  <c r="AM1235" i="34"/>
  <c r="AV1235" i="34" s="1"/>
  <c r="AN1235" i="34"/>
  <c r="AN1165" i="34"/>
  <c r="AM1165" i="34"/>
  <c r="AV1165" i="34" s="1"/>
  <c r="AN1209" i="34"/>
  <c r="AM1209" i="34"/>
  <c r="AV1209" i="34" s="1"/>
  <c r="AM1129" i="34"/>
  <c r="AV1129" i="34" s="1"/>
  <c r="AN1129" i="34"/>
  <c r="AN1087" i="34"/>
  <c r="AM1087" i="34"/>
  <c r="AV1087" i="34" s="1"/>
  <c r="AN1023" i="34"/>
  <c r="AM1023" i="34"/>
  <c r="AV1023" i="34" s="1"/>
  <c r="AN1085" i="34"/>
  <c r="AM1085" i="34"/>
  <c r="AV1085" i="34" s="1"/>
  <c r="AN1070" i="34"/>
  <c r="AM1070" i="34"/>
  <c r="AV1070" i="34" s="1"/>
  <c r="AN1081" i="34"/>
  <c r="AM1081" i="34"/>
  <c r="AV1081" i="34" s="1"/>
  <c r="AN1043" i="34"/>
  <c r="AM1043" i="34"/>
  <c r="AV1043" i="34" s="1"/>
  <c r="AM1016" i="34"/>
  <c r="AV1016" i="34" s="1"/>
  <c r="AN1016" i="34"/>
  <c r="AM990" i="34"/>
  <c r="AV990" i="34" s="1"/>
  <c r="AN990" i="34"/>
  <c r="AM979" i="34"/>
  <c r="AV979" i="34" s="1"/>
  <c r="AN979" i="34"/>
  <c r="AM1002" i="34"/>
  <c r="AV1002" i="34" s="1"/>
  <c r="AN1002" i="34"/>
  <c r="AJ928" i="34"/>
  <c r="AK928" i="34"/>
  <c r="AL928" i="34" s="1"/>
  <c r="AN938" i="34"/>
  <c r="AM938" i="34"/>
  <c r="AV938" i="34" s="1"/>
  <c r="AN933" i="34"/>
  <c r="AM933" i="34"/>
  <c r="AV933" i="34" s="1"/>
  <c r="AN904" i="34"/>
  <c r="AM904" i="34"/>
  <c r="AV904" i="34" s="1"/>
  <c r="AN900" i="34"/>
  <c r="AM900" i="34"/>
  <c r="AV900" i="34" s="1"/>
  <c r="AM846" i="34"/>
  <c r="AV846" i="34" s="1"/>
  <c r="AN846" i="34"/>
  <c r="AK835" i="34"/>
  <c r="AJ835" i="34"/>
  <c r="AK873" i="34"/>
  <c r="AJ873" i="34"/>
  <c r="AJ811" i="34"/>
  <c r="AK811" i="34"/>
  <c r="AN960" i="34"/>
  <c r="AM960" i="34"/>
  <c r="AV960" i="34" s="1"/>
  <c r="AN818" i="34"/>
  <c r="AM818" i="34"/>
  <c r="AV818" i="34" s="1"/>
  <c r="AN816" i="34"/>
  <c r="AM816" i="34"/>
  <c r="AV816" i="34" s="1"/>
  <c r="AN797" i="34"/>
  <c r="AM797" i="34"/>
  <c r="AV797" i="34" s="1"/>
  <c r="AN832" i="34"/>
  <c r="AM832" i="34"/>
  <c r="AV832" i="34" s="1"/>
  <c r="AN758" i="34"/>
  <c r="AM758" i="34"/>
  <c r="AV758" i="34" s="1"/>
  <c r="AN804" i="34"/>
  <c r="AM804" i="34"/>
  <c r="AV804" i="34" s="1"/>
  <c r="AN765" i="34"/>
  <c r="AM765" i="34"/>
  <c r="AV765" i="34" s="1"/>
  <c r="AN735" i="34"/>
  <c r="AM735" i="34"/>
  <c r="AV735" i="34" s="1"/>
  <c r="AN761" i="34"/>
  <c r="AM761" i="34"/>
  <c r="AV761" i="34" s="1"/>
  <c r="AN767" i="34"/>
  <c r="AM767" i="34"/>
  <c r="AV767" i="34" s="1"/>
  <c r="AK711" i="34"/>
  <c r="AL711" i="34" s="1"/>
  <c r="AJ711" i="34"/>
  <c r="AM685" i="34"/>
  <c r="AV685" i="34" s="1"/>
  <c r="AN685" i="34"/>
  <c r="AN617" i="34"/>
  <c r="AM617" i="34"/>
  <c r="AV617" i="34" s="1"/>
  <c r="AM718" i="34"/>
  <c r="AV718" i="34" s="1"/>
  <c r="AN718" i="34"/>
  <c r="AM659" i="34"/>
  <c r="AV659" i="34" s="1"/>
  <c r="AN659" i="34"/>
  <c r="AN628" i="34"/>
  <c r="AM628" i="34"/>
  <c r="AV628" i="34" s="1"/>
  <c r="AN558" i="34"/>
  <c r="AM558" i="34"/>
  <c r="AV558" i="34" s="1"/>
  <c r="AK542" i="34"/>
  <c r="AL542" i="34" s="1"/>
  <c r="AJ542" i="34"/>
  <c r="AK594" i="34"/>
  <c r="AL594" i="34" s="1"/>
  <c r="AJ594" i="34"/>
  <c r="AN570" i="34"/>
  <c r="AM570" i="34"/>
  <c r="AV570" i="34" s="1"/>
  <c r="AJ642" i="34"/>
  <c r="AK642" i="34"/>
  <c r="AL642" i="34" s="1"/>
  <c r="AM532" i="34"/>
  <c r="AV532" i="34" s="1"/>
  <c r="AN532" i="34"/>
  <c r="AN631" i="34"/>
  <c r="AM631" i="34"/>
  <c r="AV631" i="34" s="1"/>
  <c r="AN597" i="34"/>
  <c r="AM597" i="34"/>
  <c r="AV597" i="34" s="1"/>
  <c r="AK483" i="34"/>
  <c r="AL483" i="34" s="1"/>
  <c r="AJ483" i="34"/>
  <c r="AN540" i="34"/>
  <c r="AM540" i="34"/>
  <c r="AV540" i="34" s="1"/>
  <c r="AK523" i="34"/>
  <c r="AJ523" i="34"/>
  <c r="AK428" i="34"/>
  <c r="AL428" i="34" s="1"/>
  <c r="AJ428" i="34"/>
  <c r="AK438" i="34"/>
  <c r="AJ438" i="34"/>
  <c r="AK488" i="34"/>
  <c r="AL488" i="34" s="1"/>
  <c r="AJ488" i="34"/>
  <c r="AN464" i="34"/>
  <c r="AM464" i="34"/>
  <c r="AV464" i="34" s="1"/>
  <c r="AK499" i="34"/>
  <c r="AJ499" i="34"/>
  <c r="AN489" i="34"/>
  <c r="AM489" i="34"/>
  <c r="AV489" i="34" s="1"/>
  <c r="AN548" i="34"/>
  <c r="AM548" i="34"/>
  <c r="AV548" i="34" s="1"/>
  <c r="AN437" i="34"/>
  <c r="AM437" i="34"/>
  <c r="AV437" i="34" s="1"/>
  <c r="AJ520" i="34"/>
  <c r="AK520" i="34"/>
  <c r="AL520" i="34" s="1"/>
  <c r="AJ405" i="34"/>
  <c r="AK405" i="34"/>
  <c r="AM302" i="34"/>
  <c r="AV302" i="34" s="1"/>
  <c r="AN302" i="34"/>
  <c r="AN301" i="34"/>
  <c r="AM301" i="34"/>
  <c r="AV301" i="34" s="1"/>
  <c r="AN346" i="34"/>
  <c r="AM346" i="34"/>
  <c r="AV346" i="34" s="1"/>
  <c r="AN327" i="34"/>
  <c r="AM327" i="34"/>
  <c r="AV327" i="34" s="1"/>
  <c r="AJ355" i="34"/>
  <c r="AK355" i="34"/>
  <c r="AK338" i="34"/>
  <c r="AL338" i="34" s="1"/>
  <c r="AJ338" i="34"/>
  <c r="AN320" i="34"/>
  <c r="AM320" i="34"/>
  <c r="AV320" i="34" s="1"/>
  <c r="AK267" i="34"/>
  <c r="AJ267" i="34"/>
  <c r="AK240" i="34"/>
  <c r="AL240" i="34" s="1"/>
  <c r="AJ240" i="34"/>
  <c r="AJ237" i="34"/>
  <c r="AK237" i="34"/>
  <c r="AL237" i="34" s="1"/>
  <c r="AN144" i="34"/>
  <c r="AM144" i="34"/>
  <c r="AV144" i="34" s="1"/>
  <c r="AM208" i="34"/>
  <c r="AV208" i="34" s="1"/>
  <c r="AN208" i="34"/>
  <c r="AN289" i="34"/>
  <c r="AM289" i="34"/>
  <c r="AV289" i="34" s="1"/>
  <c r="AN247" i="34"/>
  <c r="AM247" i="34"/>
  <c r="AV247" i="34" s="1"/>
  <c r="AN223" i="34"/>
  <c r="AM223" i="34"/>
  <c r="AV223" i="34" s="1"/>
  <c r="AM150" i="34"/>
  <c r="AV150" i="34" s="1"/>
  <c r="AN150" i="34"/>
  <c r="AN110" i="34"/>
  <c r="AM110" i="34"/>
  <c r="AV110" i="34" s="1"/>
  <c r="AM64" i="34"/>
  <c r="AV64" i="34" s="1"/>
  <c r="AN64" i="34"/>
  <c r="AN138" i="34"/>
  <c r="AM138" i="34"/>
  <c r="AV138" i="34" s="1"/>
  <c r="AK129" i="34"/>
  <c r="AJ129" i="34"/>
  <c r="AN99" i="34"/>
  <c r="AM99" i="34"/>
  <c r="AV99" i="34" s="1"/>
  <c r="AN77" i="34"/>
  <c r="AM77" i="34"/>
  <c r="AV77" i="34" s="1"/>
  <c r="AN65" i="34"/>
  <c r="AM65" i="34"/>
  <c r="AV65" i="34" s="1"/>
  <c r="AN128" i="34"/>
  <c r="AM128" i="34"/>
  <c r="AV128" i="34" s="1"/>
  <c r="AK105" i="34"/>
  <c r="AL105" i="34" s="1"/>
  <c r="AJ105" i="34"/>
  <c r="AN82" i="34"/>
  <c r="AM82" i="34"/>
  <c r="AV82" i="34" s="1"/>
  <c r="AN50" i="34"/>
  <c r="AM50" i="34"/>
  <c r="AV50" i="34" s="1"/>
  <c r="AN3" i="34"/>
  <c r="AM3" i="34"/>
  <c r="AV3" i="34" s="1"/>
  <c r="AK160" i="34"/>
  <c r="AL160" i="34" s="1"/>
  <c r="AJ160" i="34"/>
  <c r="AJ111" i="34"/>
  <c r="AK111" i="34"/>
  <c r="AL111" i="34" s="1"/>
  <c r="AN86" i="34"/>
  <c r="AM86" i="34"/>
  <c r="AV86" i="34" s="1"/>
  <c r="AN1507" i="34"/>
  <c r="AM1507" i="34"/>
  <c r="AV1507" i="34" s="1"/>
  <c r="AM1534" i="34"/>
  <c r="AV1534" i="34" s="1"/>
  <c r="AN1534" i="34"/>
  <c r="AN1549" i="34"/>
  <c r="AM1549" i="34"/>
  <c r="AV1549" i="34" s="1"/>
  <c r="AN1543" i="34"/>
  <c r="AM1543" i="34"/>
  <c r="AV1543" i="34" s="1"/>
  <c r="AN1491" i="34"/>
  <c r="AM1491" i="34"/>
  <c r="AV1491" i="34" s="1"/>
  <c r="AN1500" i="34"/>
  <c r="AM1500" i="34"/>
  <c r="AV1500" i="34" s="1"/>
  <c r="AN1524" i="34"/>
  <c r="AM1524" i="34"/>
  <c r="AV1524" i="34" s="1"/>
  <c r="AK1420" i="34"/>
  <c r="AL1420" i="34" s="1"/>
  <c r="AJ1420" i="34"/>
  <c r="AN1429" i="34"/>
  <c r="AM1429" i="34"/>
  <c r="AV1429" i="34" s="1"/>
  <c r="AN1400" i="34"/>
  <c r="AM1400" i="34"/>
  <c r="AV1400" i="34" s="1"/>
  <c r="AK1434" i="34"/>
  <c r="AL1434" i="34" s="1"/>
  <c r="AJ1434" i="34"/>
  <c r="AM1432" i="34"/>
  <c r="AV1432" i="34" s="1"/>
  <c r="AN1432" i="34"/>
  <c r="AM1373" i="34"/>
  <c r="AV1373" i="34" s="1"/>
  <c r="AN1373" i="34"/>
  <c r="AM1303" i="34"/>
  <c r="AV1303" i="34" s="1"/>
  <c r="AN1303" i="34"/>
  <c r="AN1296" i="34"/>
  <c r="AM1296" i="34"/>
  <c r="AV1296" i="34" s="1"/>
  <c r="AN1255" i="34"/>
  <c r="AM1255" i="34"/>
  <c r="AV1255" i="34" s="1"/>
  <c r="AM1252" i="34"/>
  <c r="AV1252" i="34" s="1"/>
  <c r="AN1252" i="34"/>
  <c r="AN1312" i="34"/>
  <c r="AM1312" i="34"/>
  <c r="AV1312" i="34" s="1"/>
  <c r="AJ1334" i="34"/>
  <c r="AK1334" i="34"/>
  <c r="AL1334" i="34" s="1"/>
  <c r="AM1279" i="34"/>
  <c r="AV1279" i="34" s="1"/>
  <c r="AN1279" i="34"/>
  <c r="AN1203" i="34"/>
  <c r="AM1203" i="34"/>
  <c r="AV1203" i="34" s="1"/>
  <c r="AK1258" i="34"/>
  <c r="AJ1258" i="34"/>
  <c r="AN1199" i="34"/>
  <c r="AM1199" i="34"/>
  <c r="AV1199" i="34" s="1"/>
  <c r="AN1142" i="34"/>
  <c r="AM1142" i="34"/>
  <c r="AV1142" i="34" s="1"/>
  <c r="AN1213" i="34"/>
  <c r="AM1213" i="34"/>
  <c r="AV1213" i="34" s="1"/>
  <c r="AN1190" i="34"/>
  <c r="AM1190" i="34"/>
  <c r="AV1190" i="34" s="1"/>
  <c r="AM1125" i="34"/>
  <c r="AV1125" i="34" s="1"/>
  <c r="AN1125" i="34"/>
  <c r="AN1074" i="34"/>
  <c r="AM1074" i="34"/>
  <c r="AV1074" i="34" s="1"/>
  <c r="AN1066" i="34"/>
  <c r="AM1066" i="34"/>
  <c r="AV1066" i="34" s="1"/>
  <c r="AN1057" i="34"/>
  <c r="AM1057" i="34"/>
  <c r="AV1057" i="34" s="1"/>
  <c r="AN1009" i="34"/>
  <c r="AM1009" i="34"/>
  <c r="AV1009" i="34" s="1"/>
  <c r="AN972" i="34"/>
  <c r="AM972" i="34"/>
  <c r="AV972" i="34" s="1"/>
  <c r="AM978" i="34"/>
  <c r="AV978" i="34" s="1"/>
  <c r="AN978" i="34"/>
  <c r="AJ956" i="34"/>
  <c r="AK956" i="34"/>
  <c r="AN950" i="34"/>
  <c r="AM950" i="34"/>
  <c r="AV950" i="34" s="1"/>
  <c r="AM885" i="34"/>
  <c r="AV885" i="34" s="1"/>
  <c r="AN885" i="34"/>
  <c r="AN953" i="34"/>
  <c r="AM953" i="34"/>
  <c r="AV953" i="34" s="1"/>
  <c r="AN937" i="34"/>
  <c r="AM937" i="34"/>
  <c r="AV937" i="34" s="1"/>
  <c r="AN897" i="34"/>
  <c r="AM897" i="34"/>
  <c r="AV897" i="34" s="1"/>
  <c r="AN812" i="34"/>
  <c r="AM812" i="34"/>
  <c r="AV812" i="34" s="1"/>
  <c r="AN806" i="34"/>
  <c r="AM806" i="34"/>
  <c r="AV806" i="34" s="1"/>
  <c r="AN807" i="34"/>
  <c r="AM807" i="34"/>
  <c r="AV807" i="34" s="1"/>
  <c r="AK799" i="34"/>
  <c r="AL799" i="34" s="1"/>
  <c r="AJ799" i="34"/>
  <c r="AN852" i="34"/>
  <c r="AM852" i="34"/>
  <c r="AV852" i="34" s="1"/>
  <c r="AN830" i="34"/>
  <c r="AM830" i="34"/>
  <c r="AV830" i="34" s="1"/>
  <c r="AN892" i="34"/>
  <c r="AM892" i="34"/>
  <c r="AV892" i="34" s="1"/>
  <c r="AK749" i="34"/>
  <c r="AL749" i="34" s="1"/>
  <c r="AJ749" i="34"/>
  <c r="AK763" i="34"/>
  <c r="AL763" i="34" s="1"/>
  <c r="AJ763" i="34"/>
  <c r="AK745" i="34"/>
  <c r="AL745" i="34" s="1"/>
  <c r="AJ745" i="34"/>
  <c r="AK738" i="34"/>
  <c r="AL738" i="34" s="1"/>
  <c r="AJ738" i="34"/>
  <c r="AK779" i="34"/>
  <c r="AJ779" i="34"/>
  <c r="AK764" i="34"/>
  <c r="AL764" i="34" s="1"/>
  <c r="AJ764" i="34"/>
  <c r="AK717" i="34"/>
  <c r="AL717" i="34" s="1"/>
  <c r="AJ717" i="34"/>
  <c r="AN622" i="34"/>
  <c r="AM622" i="34"/>
  <c r="AV622" i="34" s="1"/>
  <c r="AK684" i="34"/>
  <c r="AJ684" i="34"/>
  <c r="AK708" i="34"/>
  <c r="AJ708" i="34"/>
  <c r="AN620" i="34"/>
  <c r="AM620" i="34"/>
  <c r="AV620" i="34" s="1"/>
  <c r="AN554" i="34"/>
  <c r="AM554" i="34"/>
  <c r="AV554" i="34" s="1"/>
  <c r="AM539" i="34"/>
  <c r="AV539" i="34" s="1"/>
  <c r="AN539" i="34"/>
  <c r="AK644" i="34"/>
  <c r="AL644" i="34" s="1"/>
  <c r="AJ644" i="34"/>
  <c r="AN590" i="34"/>
  <c r="AM590" i="34"/>
  <c r="AV590" i="34" s="1"/>
  <c r="AN582" i="34"/>
  <c r="AM582" i="34"/>
  <c r="AV582" i="34" s="1"/>
  <c r="AN592" i="34"/>
  <c r="AM592" i="34"/>
  <c r="AV592" i="34" s="1"/>
  <c r="AK527" i="34"/>
  <c r="AL527" i="34" s="1"/>
  <c r="AJ527" i="34"/>
  <c r="AK588" i="34"/>
  <c r="AL588" i="34" s="1"/>
  <c r="AJ588" i="34"/>
  <c r="AN562" i="34"/>
  <c r="AM562" i="34"/>
  <c r="AV562" i="34" s="1"/>
  <c r="AN443" i="34"/>
  <c r="AM443" i="34"/>
  <c r="AV443" i="34" s="1"/>
  <c r="AN593" i="34"/>
  <c r="AM593" i="34"/>
  <c r="AV593" i="34" s="1"/>
  <c r="AJ515" i="34"/>
  <c r="AK515" i="34"/>
  <c r="AL515" i="34" s="1"/>
  <c r="AK424" i="34"/>
  <c r="AL424" i="34" s="1"/>
  <c r="AJ424" i="34"/>
  <c r="AK459" i="34"/>
  <c r="AL459" i="34" s="1"/>
  <c r="AJ459" i="34"/>
  <c r="AN448" i="34"/>
  <c r="AM448" i="34"/>
  <c r="AV448" i="34" s="1"/>
  <c r="AN441" i="34"/>
  <c r="AM441" i="34"/>
  <c r="AV441" i="34" s="1"/>
  <c r="AK465" i="34"/>
  <c r="AJ465" i="34"/>
  <c r="AN425" i="34"/>
  <c r="AM425" i="34"/>
  <c r="AV425" i="34" s="1"/>
  <c r="AM374" i="34"/>
  <c r="AV374" i="34" s="1"/>
  <c r="AN374" i="34"/>
  <c r="AN509" i="34"/>
  <c r="AM509" i="34"/>
  <c r="AV509" i="34" s="1"/>
  <c r="AN485" i="34"/>
  <c r="AM485" i="34"/>
  <c r="AV485" i="34" s="1"/>
  <c r="AK473" i="34"/>
  <c r="AL473" i="34" s="1"/>
  <c r="AJ473" i="34"/>
  <c r="AK456" i="34"/>
  <c r="AJ456" i="34"/>
  <c r="AN481" i="34"/>
  <c r="AM481" i="34"/>
  <c r="AV481" i="34" s="1"/>
  <c r="AN421" i="34"/>
  <c r="AM421" i="34"/>
  <c r="AV421" i="34" s="1"/>
  <c r="AN510" i="34"/>
  <c r="AM510" i="34"/>
  <c r="AV510" i="34" s="1"/>
  <c r="AK469" i="34"/>
  <c r="AL469" i="34" s="1"/>
  <c r="AJ469" i="34"/>
  <c r="AN433" i="34"/>
  <c r="AM433" i="34"/>
  <c r="AV433" i="34" s="1"/>
  <c r="AN356" i="34"/>
  <c r="AM356" i="34"/>
  <c r="AV356" i="34" s="1"/>
  <c r="AM313" i="34"/>
  <c r="AV313" i="34" s="1"/>
  <c r="AN313" i="34"/>
  <c r="AK329" i="34"/>
  <c r="AL329" i="34" s="1"/>
  <c r="AJ329" i="34"/>
  <c r="AN350" i="34"/>
  <c r="AM350" i="34"/>
  <c r="AV350" i="34" s="1"/>
  <c r="AJ336" i="34"/>
  <c r="AK336" i="34"/>
  <c r="AL336" i="34" s="1"/>
  <c r="AJ351" i="34"/>
  <c r="AK351" i="34"/>
  <c r="AJ317" i="34"/>
  <c r="AK317" i="34"/>
  <c r="AL317" i="34" s="1"/>
  <c r="AN349" i="34"/>
  <c r="AM349" i="34"/>
  <c r="AV349" i="34" s="1"/>
  <c r="AN264" i="34"/>
  <c r="AM264" i="34"/>
  <c r="AV264" i="34" s="1"/>
  <c r="AK236" i="34"/>
  <c r="AL236" i="34" s="1"/>
  <c r="AJ236" i="34"/>
  <c r="AK269" i="34"/>
  <c r="AL269" i="34" s="1"/>
  <c r="AJ269" i="34"/>
  <c r="AK277" i="34"/>
  <c r="AL277" i="34" s="1"/>
  <c r="AJ277" i="34"/>
  <c r="AM145" i="34"/>
  <c r="AV145" i="34" s="1"/>
  <c r="AN145" i="34"/>
  <c r="AN98" i="34"/>
  <c r="AM98" i="34"/>
  <c r="AV98" i="34" s="1"/>
  <c r="AJ207" i="34"/>
  <c r="AK207" i="34"/>
  <c r="AN230" i="34"/>
  <c r="AM230" i="34"/>
  <c r="AV230" i="34" s="1"/>
  <c r="AK114" i="34"/>
  <c r="AJ114" i="34"/>
  <c r="AN84" i="34"/>
  <c r="AM84" i="34"/>
  <c r="AV84" i="34" s="1"/>
  <c r="AK76" i="34"/>
  <c r="AJ76" i="34"/>
  <c r="AK28" i="34"/>
  <c r="AJ28" i="34"/>
  <c r="AJ122" i="34"/>
  <c r="AK122" i="34"/>
  <c r="AL122" i="34" s="1"/>
  <c r="AN56" i="34"/>
  <c r="AM56" i="34"/>
  <c r="AV56" i="34" s="1"/>
  <c r="AN123" i="34"/>
  <c r="AM123" i="34"/>
  <c r="AV123" i="34" s="1"/>
  <c r="AN58" i="34"/>
  <c r="AM58" i="34"/>
  <c r="AV58" i="34" s="1"/>
  <c r="AM1542" i="34"/>
  <c r="AV1542" i="34" s="1"/>
  <c r="AN1542" i="34"/>
  <c r="AN1551" i="34"/>
  <c r="AM1551" i="34"/>
  <c r="AV1551" i="34" s="1"/>
  <c r="AK1530" i="34"/>
  <c r="AJ1530" i="34"/>
  <c r="AN1508" i="34"/>
  <c r="AM1508" i="34"/>
  <c r="AV1508" i="34" s="1"/>
  <c r="AN1460" i="34"/>
  <c r="AM1460" i="34"/>
  <c r="AV1460" i="34" s="1"/>
  <c r="AN1483" i="34"/>
  <c r="AM1483" i="34"/>
  <c r="AV1483" i="34" s="1"/>
  <c r="AN1469" i="34"/>
  <c r="AM1469" i="34"/>
  <c r="AV1469" i="34" s="1"/>
  <c r="AN1423" i="34"/>
  <c r="AM1423" i="34"/>
  <c r="AV1423" i="34" s="1"/>
  <c r="AN1409" i="34"/>
  <c r="AM1409" i="34"/>
  <c r="AV1409" i="34" s="1"/>
  <c r="AJ1412" i="34"/>
  <c r="AK1412" i="34"/>
  <c r="AN1415" i="34"/>
  <c r="AM1415" i="34"/>
  <c r="AV1415" i="34" s="1"/>
  <c r="AK1418" i="34"/>
  <c r="AJ1418" i="34"/>
  <c r="AN1417" i="34"/>
  <c r="AM1417" i="34"/>
  <c r="AV1417" i="34" s="1"/>
  <c r="AN1332" i="34"/>
  <c r="AM1332" i="34"/>
  <c r="AV1332" i="34" s="1"/>
  <c r="AK1337" i="34"/>
  <c r="AL1337" i="34" s="1"/>
  <c r="AJ1337" i="34"/>
  <c r="AN1335" i="34"/>
  <c r="AM1335" i="34"/>
  <c r="AV1335" i="34" s="1"/>
  <c r="AN1358" i="34"/>
  <c r="AM1358" i="34"/>
  <c r="AV1358" i="34" s="1"/>
  <c r="AM1314" i="34"/>
  <c r="AV1314" i="34" s="1"/>
  <c r="AN1314" i="34"/>
  <c r="AN1276" i="34"/>
  <c r="AM1276" i="34"/>
  <c r="AV1276" i="34" s="1"/>
  <c r="AM1226" i="34"/>
  <c r="AV1226" i="34" s="1"/>
  <c r="AN1226" i="34"/>
  <c r="AM1302" i="34"/>
  <c r="AV1302" i="34" s="1"/>
  <c r="AN1302" i="34"/>
  <c r="AJ1197" i="34"/>
  <c r="AK1197" i="34"/>
  <c r="AM1121" i="34"/>
  <c r="AV1121" i="34" s="1"/>
  <c r="AN1121" i="34"/>
  <c r="AM1221" i="34"/>
  <c r="AV1221" i="34" s="1"/>
  <c r="AN1221" i="34"/>
  <c r="AN1160" i="34"/>
  <c r="AM1160" i="34"/>
  <c r="AV1160" i="34" s="1"/>
  <c r="AN1162" i="34"/>
  <c r="AM1162" i="34"/>
  <c r="AV1162" i="34" s="1"/>
  <c r="AN1186" i="34"/>
  <c r="AM1186" i="34"/>
  <c r="AV1186" i="34" s="1"/>
  <c r="AN1185" i="34"/>
  <c r="AM1185" i="34"/>
  <c r="AV1185" i="34" s="1"/>
  <c r="AM1113" i="34"/>
  <c r="AV1113" i="34" s="1"/>
  <c r="AN1113" i="34"/>
  <c r="AN1045" i="34"/>
  <c r="AM1045" i="34"/>
  <c r="AV1045" i="34" s="1"/>
  <c r="AN1086" i="34"/>
  <c r="AM1086" i="34"/>
  <c r="AV1086" i="34" s="1"/>
  <c r="AN1061" i="34"/>
  <c r="AM1061" i="34"/>
  <c r="AV1061" i="34" s="1"/>
  <c r="AN1031" i="34"/>
  <c r="AM1031" i="34"/>
  <c r="AV1031" i="34" s="1"/>
  <c r="AN1098" i="34"/>
  <c r="AM1098" i="34"/>
  <c r="AV1098" i="34" s="1"/>
  <c r="AN1011" i="34"/>
  <c r="AM1011" i="34"/>
  <c r="AV1011" i="34" s="1"/>
  <c r="AM986" i="34"/>
  <c r="AV986" i="34" s="1"/>
  <c r="AN986" i="34"/>
  <c r="AK1047" i="34"/>
  <c r="AJ1047" i="34"/>
  <c r="AN922" i="34"/>
  <c r="AM922" i="34"/>
  <c r="AV922" i="34" s="1"/>
  <c r="AK894" i="34"/>
  <c r="AL894" i="34" s="1"/>
  <c r="AJ894" i="34"/>
  <c r="AN1015" i="34"/>
  <c r="AM1015" i="34"/>
  <c r="AV1015" i="34" s="1"/>
  <c r="AN925" i="34"/>
  <c r="AM925" i="34"/>
  <c r="AV925" i="34" s="1"/>
  <c r="AK975" i="34"/>
  <c r="AJ975" i="34"/>
  <c r="AK880" i="34"/>
  <c r="AL880" i="34" s="1"/>
  <c r="AJ880" i="34"/>
  <c r="AN957" i="34"/>
  <c r="AM957" i="34"/>
  <c r="AV957" i="34" s="1"/>
  <c r="AK850" i="34"/>
  <c r="AL850" i="34" s="1"/>
  <c r="AJ850" i="34"/>
  <c r="AK829" i="34"/>
  <c r="AL829" i="34" s="1"/>
  <c r="AJ829" i="34"/>
  <c r="AN808" i="34"/>
  <c r="AM808" i="34"/>
  <c r="AV808" i="34" s="1"/>
  <c r="AM827" i="34"/>
  <c r="AV827" i="34" s="1"/>
  <c r="AN827" i="34"/>
  <c r="AN793" i="34"/>
  <c r="AM793" i="34"/>
  <c r="AV793" i="34" s="1"/>
  <c r="AN781" i="34"/>
  <c r="AM781" i="34"/>
  <c r="AV781" i="34" s="1"/>
  <c r="AN773" i="34"/>
  <c r="AM773" i="34"/>
  <c r="AV773" i="34" s="1"/>
  <c r="AK752" i="34"/>
  <c r="AJ752" i="34"/>
  <c r="AJ744" i="34"/>
  <c r="AK744" i="34"/>
  <c r="AL744" i="34" s="1"/>
  <c r="AN701" i="34"/>
  <c r="AM701" i="34"/>
  <c r="AV701" i="34" s="1"/>
  <c r="AM670" i="34"/>
  <c r="AV670" i="34" s="1"/>
  <c r="AN670" i="34"/>
  <c r="AN731" i="34"/>
  <c r="AM731" i="34"/>
  <c r="AV731" i="34" s="1"/>
  <c r="AM657" i="34"/>
  <c r="AV657" i="34" s="1"/>
  <c r="AN657" i="34"/>
  <c r="AJ549" i="34"/>
  <c r="AK549" i="34"/>
  <c r="AL549" i="34" s="1"/>
  <c r="AN618" i="34"/>
  <c r="AM618" i="34"/>
  <c r="AV618" i="34" s="1"/>
  <c r="AJ626" i="34"/>
  <c r="AK626" i="34"/>
  <c r="AK538" i="34"/>
  <c r="AL538" i="34" s="1"/>
  <c r="AJ538" i="34"/>
  <c r="AK606" i="34"/>
  <c r="AJ606" i="34"/>
  <c r="AN536" i="34"/>
  <c r="AM536" i="34"/>
  <c r="AV536" i="34" s="1"/>
  <c r="AJ609" i="34"/>
  <c r="AK609" i="34"/>
  <c r="AN563" i="34"/>
  <c r="AM563" i="34"/>
  <c r="AV563" i="34" s="1"/>
  <c r="AN504" i="34"/>
  <c r="AM504" i="34"/>
  <c r="AV504" i="34" s="1"/>
  <c r="AN420" i="34"/>
  <c r="AM420" i="34"/>
  <c r="AV420" i="34" s="1"/>
  <c r="AN607" i="34"/>
  <c r="AM607" i="34"/>
  <c r="AV607" i="34" s="1"/>
  <c r="AK495" i="34"/>
  <c r="AL495" i="34" s="1"/>
  <c r="AJ495" i="34"/>
  <c r="AN586" i="34"/>
  <c r="AM586" i="34"/>
  <c r="AV586" i="34" s="1"/>
  <c r="AN571" i="34"/>
  <c r="AM571" i="34"/>
  <c r="AV571" i="34" s="1"/>
  <c r="AK522" i="34"/>
  <c r="AJ522" i="34"/>
  <c r="AN470" i="34"/>
  <c r="AM470" i="34"/>
  <c r="AV470" i="34" s="1"/>
  <c r="AK482" i="34"/>
  <c r="AL482" i="34" s="1"/>
  <c r="AJ482" i="34"/>
  <c r="AK431" i="34"/>
  <c r="AL431" i="34" s="1"/>
  <c r="AJ431" i="34"/>
  <c r="AJ516" i="34"/>
  <c r="AK516" i="34"/>
  <c r="AL516" i="34" s="1"/>
  <c r="AN496" i="34"/>
  <c r="AM496" i="34"/>
  <c r="AV496" i="34" s="1"/>
  <c r="AK467" i="34"/>
  <c r="AL467" i="34" s="1"/>
  <c r="AJ467" i="34"/>
  <c r="AK361" i="34"/>
  <c r="AJ361" i="34"/>
  <c r="AK494" i="34"/>
  <c r="AJ494" i="34"/>
  <c r="AM524" i="34"/>
  <c r="AV524" i="34" s="1"/>
  <c r="AN524" i="34"/>
  <c r="AJ340" i="34"/>
  <c r="AK340" i="34"/>
  <c r="AN343" i="34"/>
  <c r="AM343" i="34"/>
  <c r="AV343" i="34" s="1"/>
  <c r="AK362" i="34"/>
  <c r="AJ362" i="34"/>
  <c r="AM315" i="34"/>
  <c r="AV315" i="34" s="1"/>
  <c r="AN315" i="34"/>
  <c r="AN331" i="34"/>
  <c r="AM331" i="34"/>
  <c r="AV331" i="34" s="1"/>
  <c r="AN318" i="34"/>
  <c r="AM318" i="34"/>
  <c r="AV318" i="34" s="1"/>
  <c r="AN295" i="34"/>
  <c r="AM295" i="34"/>
  <c r="AV295" i="34" s="1"/>
  <c r="AN282" i="34"/>
  <c r="AM282" i="34"/>
  <c r="AV282" i="34" s="1"/>
  <c r="AK263" i="34"/>
  <c r="AJ263" i="34"/>
  <c r="AK210" i="34"/>
  <c r="AJ210" i="34"/>
  <c r="AM165" i="34"/>
  <c r="AV165" i="34" s="1"/>
  <c r="AN165" i="34"/>
  <c r="AN254" i="34"/>
  <c r="AM254" i="34"/>
  <c r="AV254" i="34" s="1"/>
  <c r="AJ245" i="34"/>
  <c r="AK245" i="34"/>
  <c r="AL245" i="34" s="1"/>
  <c r="AK184" i="34"/>
  <c r="AL184" i="34" s="1"/>
  <c r="AJ184" i="34"/>
  <c r="AN243" i="34"/>
  <c r="AM243" i="34"/>
  <c r="AV243" i="34" s="1"/>
  <c r="AN140" i="34"/>
  <c r="AM140" i="34"/>
  <c r="AV140" i="34" s="1"/>
  <c r="AK125" i="34"/>
  <c r="AL125" i="34" s="1"/>
  <c r="AJ125" i="34"/>
  <c r="AN61" i="34"/>
  <c r="AM61" i="34"/>
  <c r="AV61" i="34" s="1"/>
  <c r="AK124" i="34"/>
  <c r="AL124" i="34" s="1"/>
  <c r="AJ124" i="34"/>
  <c r="AN97" i="34"/>
  <c r="AM97" i="34"/>
  <c r="AV97" i="34" s="1"/>
  <c r="AN71" i="34"/>
  <c r="AM71" i="34"/>
  <c r="AV71" i="34" s="1"/>
  <c r="AK45" i="34"/>
  <c r="AL45" i="34" s="1"/>
  <c r="AJ45" i="34"/>
  <c r="AN21" i="34"/>
  <c r="AM21" i="34"/>
  <c r="AV21" i="34" s="1"/>
  <c r="AJ107" i="34"/>
  <c r="AK107" i="34"/>
  <c r="AM12" i="34"/>
  <c r="AV12" i="34" s="1"/>
  <c r="AN12" i="34"/>
  <c r="AN44" i="34"/>
  <c r="AM44" i="34"/>
  <c r="AV44" i="34" s="1"/>
  <c r="AN15" i="34"/>
  <c r="AM15" i="34"/>
  <c r="AV15" i="34" s="1"/>
  <c r="AK132" i="34"/>
  <c r="AJ132" i="34"/>
  <c r="AK113" i="34"/>
  <c r="AJ113" i="34"/>
  <c r="AN67" i="34"/>
  <c r="AM67" i="34"/>
  <c r="AV67" i="34" s="1"/>
  <c r="AN48" i="34"/>
  <c r="AM48" i="34"/>
  <c r="AV48" i="34" s="1"/>
  <c r="AN54" i="34"/>
  <c r="AM54" i="34"/>
  <c r="AV54" i="34" s="1"/>
  <c r="AM38" i="34"/>
  <c r="AV38" i="34" s="1"/>
  <c r="AN38" i="34"/>
  <c r="AM1538" i="34"/>
  <c r="AV1538" i="34" s="1"/>
  <c r="AN1538" i="34"/>
  <c r="AJ1501" i="34"/>
  <c r="AK1501" i="34"/>
  <c r="AL1501" i="34" s="1"/>
  <c r="AN1494" i="34"/>
  <c r="AM1494" i="34"/>
  <c r="AV1494" i="34" s="1"/>
  <c r="AJ1490" i="34"/>
  <c r="AK1490" i="34"/>
  <c r="AM1546" i="34"/>
  <c r="AV1546" i="34" s="1"/>
  <c r="AN1546" i="34"/>
  <c r="AN1461" i="34"/>
  <c r="AM1461" i="34"/>
  <c r="AV1461" i="34" s="1"/>
  <c r="AN1448" i="34"/>
  <c r="AM1448" i="34"/>
  <c r="AV1448" i="34" s="1"/>
  <c r="AN1489" i="34"/>
  <c r="AM1489" i="34"/>
  <c r="AV1489" i="34" s="1"/>
  <c r="AN1419" i="34"/>
  <c r="AM1419" i="34"/>
  <c r="AV1419" i="34" s="1"/>
  <c r="AN1450" i="34"/>
  <c r="AM1450" i="34"/>
  <c r="AV1450" i="34" s="1"/>
  <c r="AK1425" i="34"/>
  <c r="AJ1425" i="34"/>
  <c r="AN1437" i="34"/>
  <c r="AM1437" i="34"/>
  <c r="AV1437" i="34" s="1"/>
  <c r="AN1413" i="34"/>
  <c r="AM1413" i="34"/>
  <c r="AV1413" i="34" s="1"/>
  <c r="AN1439" i="34"/>
  <c r="AM1439" i="34"/>
  <c r="AV1439" i="34" s="1"/>
  <c r="AN1442" i="34"/>
  <c r="AM1442" i="34"/>
  <c r="AV1442" i="34" s="1"/>
  <c r="AM1391" i="34"/>
  <c r="AV1391" i="34" s="1"/>
  <c r="AN1391" i="34"/>
  <c r="AK1468" i="34"/>
  <c r="AJ1468" i="34"/>
  <c r="AM1383" i="34"/>
  <c r="AV1383" i="34" s="1"/>
  <c r="AN1383" i="34"/>
  <c r="AM1381" i="34"/>
  <c r="AV1381" i="34" s="1"/>
  <c r="AN1381" i="34"/>
  <c r="AK1398" i="34"/>
  <c r="AJ1398" i="34"/>
  <c r="AN1317" i="34"/>
  <c r="AM1317" i="34"/>
  <c r="AV1317" i="34" s="1"/>
  <c r="AK1278" i="34"/>
  <c r="AL1278" i="34" s="1"/>
  <c r="AJ1278" i="34"/>
  <c r="AM1239" i="34"/>
  <c r="AV1239" i="34" s="1"/>
  <c r="AN1239" i="34"/>
  <c r="AM1198" i="34"/>
  <c r="AV1198" i="34" s="1"/>
  <c r="AN1198" i="34"/>
  <c r="AM1231" i="34"/>
  <c r="AV1231" i="34" s="1"/>
  <c r="AN1231" i="34"/>
  <c r="AN1095" i="34"/>
  <c r="AM1095" i="34"/>
  <c r="AV1095" i="34" s="1"/>
  <c r="AN1188" i="34"/>
  <c r="AM1188" i="34"/>
  <c r="AV1188" i="34" s="1"/>
  <c r="AN1111" i="34"/>
  <c r="AM1111" i="34"/>
  <c r="AV1111" i="34" s="1"/>
  <c r="AK1222" i="34"/>
  <c r="AL1222" i="34" s="1"/>
  <c r="AJ1222" i="34"/>
  <c r="AN1182" i="34"/>
  <c r="AM1182" i="34"/>
  <c r="AV1182" i="34" s="1"/>
  <c r="AN1100" i="34"/>
  <c r="AM1100" i="34"/>
  <c r="AV1100" i="34" s="1"/>
  <c r="AN1107" i="34"/>
  <c r="AM1107" i="34"/>
  <c r="AV1107" i="34" s="1"/>
  <c r="AN1059" i="34"/>
  <c r="AM1059" i="34"/>
  <c r="AV1059" i="34" s="1"/>
  <c r="AK1075" i="34"/>
  <c r="AL1075" i="34" s="1"/>
  <c r="AJ1075" i="34"/>
  <c r="AK1048" i="34"/>
  <c r="AJ1048" i="34"/>
  <c r="AK1055" i="34"/>
  <c r="AL1055" i="34" s="1"/>
  <c r="AJ1055" i="34"/>
  <c r="AK1073" i="34"/>
  <c r="AL1073" i="34" s="1"/>
  <c r="AJ1073" i="34"/>
  <c r="AM1299" i="34"/>
  <c r="AV1299" i="34" s="1"/>
  <c r="AN1299" i="34"/>
  <c r="AN973" i="34"/>
  <c r="AM973" i="34"/>
  <c r="AV973" i="34" s="1"/>
  <c r="AN926" i="34"/>
  <c r="AM926" i="34"/>
  <c r="AV926" i="34" s="1"/>
  <c r="AJ907" i="34"/>
  <c r="AK907" i="34"/>
  <c r="AL907" i="34" s="1"/>
  <c r="AN896" i="34"/>
  <c r="AM896" i="34"/>
  <c r="AV896" i="34" s="1"/>
  <c r="AN942" i="34"/>
  <c r="AM942" i="34"/>
  <c r="AV942" i="34" s="1"/>
  <c r="AM881" i="34"/>
  <c r="AV881" i="34" s="1"/>
  <c r="AN881" i="34"/>
  <c r="AN949" i="34"/>
  <c r="AM949" i="34"/>
  <c r="AV949" i="34" s="1"/>
  <c r="AK914" i="34"/>
  <c r="AL914" i="34" s="1"/>
  <c r="AJ914" i="34"/>
  <c r="AK887" i="34"/>
  <c r="AL887" i="34" s="1"/>
  <c r="AJ887" i="34"/>
  <c r="AN810" i="34"/>
  <c r="AM810" i="34"/>
  <c r="AV810" i="34" s="1"/>
  <c r="AM842" i="34"/>
  <c r="AV842" i="34" s="1"/>
  <c r="AN842" i="34"/>
  <c r="AJ790" i="34"/>
  <c r="AK790" i="34"/>
  <c r="AM865" i="34"/>
  <c r="AV865" i="34" s="1"/>
  <c r="AN865" i="34"/>
  <c r="AN839" i="34"/>
  <c r="AM839" i="34"/>
  <c r="AV839" i="34" s="1"/>
  <c r="AK840" i="34"/>
  <c r="AL840" i="34" s="1"/>
  <c r="AJ840" i="34"/>
  <c r="AN795" i="34"/>
  <c r="AM795" i="34"/>
  <c r="AV795" i="34" s="1"/>
  <c r="AM989" i="34"/>
  <c r="AV989" i="34" s="1"/>
  <c r="AN989" i="34"/>
  <c r="AN917" i="34"/>
  <c r="AM917" i="34"/>
  <c r="AV917" i="34" s="1"/>
  <c r="AN737" i="34"/>
  <c r="AM737" i="34"/>
  <c r="AV737" i="34" s="1"/>
  <c r="AJ783" i="34"/>
  <c r="AK783" i="34"/>
  <c r="AL783" i="34" s="1"/>
  <c r="AN805" i="34"/>
  <c r="AM805" i="34"/>
  <c r="AV805" i="34" s="1"/>
  <c r="AN814" i="34"/>
  <c r="AM814" i="34"/>
  <c r="AV814" i="34" s="1"/>
  <c r="AN638" i="34"/>
  <c r="AM638" i="34"/>
  <c r="AV638" i="34" s="1"/>
  <c r="AM666" i="34"/>
  <c r="AV666" i="34" s="1"/>
  <c r="AN666" i="34"/>
  <c r="AK715" i="34"/>
  <c r="AJ715" i="34"/>
  <c r="AK691" i="34"/>
  <c r="AL691" i="34" s="1"/>
  <c r="AJ691" i="34"/>
  <c r="AK578" i="34"/>
  <c r="AL578" i="34" s="1"/>
  <c r="AJ578" i="34"/>
  <c r="AK716" i="34"/>
  <c r="AJ716" i="34"/>
  <c r="AK703" i="34"/>
  <c r="AJ703" i="34"/>
  <c r="AM655" i="34"/>
  <c r="AV655" i="34" s="1"/>
  <c r="AN655" i="34"/>
  <c r="AJ545" i="34"/>
  <c r="AK545" i="34"/>
  <c r="AL545" i="34" s="1"/>
  <c r="AN768" i="34"/>
  <c r="AM768" i="34"/>
  <c r="AV768" i="34" s="1"/>
  <c r="AK697" i="34"/>
  <c r="AJ697" i="34"/>
  <c r="AK649" i="34"/>
  <c r="AL649" i="34" s="1"/>
  <c r="AJ649" i="34"/>
  <c r="AN551" i="34"/>
  <c r="AM551" i="34"/>
  <c r="AV551" i="34" s="1"/>
  <c r="AM535" i="34"/>
  <c r="AV535" i="34" s="1"/>
  <c r="AN535" i="34"/>
  <c r="AJ621" i="34"/>
  <c r="AK621" i="34"/>
  <c r="AK526" i="34"/>
  <c r="AL526" i="34" s="1"/>
  <c r="AJ526" i="34"/>
  <c r="AJ641" i="34"/>
  <c r="AK641" i="34"/>
  <c r="AN544" i="34"/>
  <c r="AM544" i="34"/>
  <c r="AV544" i="34" s="1"/>
  <c r="AN479" i="34"/>
  <c r="AM479" i="34"/>
  <c r="AV479" i="34" s="1"/>
  <c r="AK602" i="34"/>
  <c r="AL602" i="34" s="1"/>
  <c r="AJ602" i="34"/>
  <c r="AN439" i="34"/>
  <c r="AM439" i="34"/>
  <c r="AV439" i="34" s="1"/>
  <c r="AJ634" i="34"/>
  <c r="AK634" i="34"/>
  <c r="AN610" i="34"/>
  <c r="AM610" i="34"/>
  <c r="AV610" i="34" s="1"/>
  <c r="AM377" i="34"/>
  <c r="AV377" i="34" s="1"/>
  <c r="AN377" i="34"/>
  <c r="AN418" i="34"/>
  <c r="AM418" i="34"/>
  <c r="AV418" i="34" s="1"/>
  <c r="AN466" i="34"/>
  <c r="AM466" i="34"/>
  <c r="AV466" i="34" s="1"/>
  <c r="AJ393" i="34"/>
  <c r="AK393" i="34"/>
  <c r="AK419" i="34"/>
  <c r="AJ419" i="34"/>
  <c r="AK400" i="34"/>
  <c r="AJ400" i="34"/>
  <c r="AK381" i="34"/>
  <c r="AL381" i="34" s="1"/>
  <c r="AJ381" i="34"/>
  <c r="AM373" i="34"/>
  <c r="AV373" i="34" s="1"/>
  <c r="AN373" i="34"/>
  <c r="AK486" i="34"/>
  <c r="AJ486" i="34"/>
  <c r="AK408" i="34"/>
  <c r="AJ408" i="34"/>
  <c r="AN363" i="34"/>
  <c r="AM363" i="34"/>
  <c r="AV363" i="34" s="1"/>
  <c r="AK342" i="34"/>
  <c r="AJ342" i="34"/>
  <c r="AK334" i="34"/>
  <c r="AL334" i="34" s="1"/>
  <c r="AJ334" i="34"/>
  <c r="AK358" i="34"/>
  <c r="AL358" i="34" s="1"/>
  <c r="AJ358" i="34"/>
  <c r="AK333" i="34"/>
  <c r="AJ333" i="34"/>
  <c r="AK360" i="34"/>
  <c r="AJ360" i="34"/>
  <c r="AN345" i="34"/>
  <c r="AM345" i="34"/>
  <c r="AV345" i="34" s="1"/>
  <c r="AK337" i="34"/>
  <c r="AJ337" i="34"/>
  <c r="AK251" i="34"/>
  <c r="AL251" i="34" s="1"/>
  <c r="AJ251" i="34"/>
  <c r="AK206" i="34"/>
  <c r="AJ206" i="34"/>
  <c r="AM276" i="34"/>
  <c r="AV276" i="34" s="1"/>
  <c r="AN276" i="34"/>
  <c r="AN239" i="34"/>
  <c r="AM239" i="34"/>
  <c r="AV239" i="34" s="1"/>
  <c r="AK164" i="34"/>
  <c r="AJ164" i="34"/>
  <c r="AN286" i="34"/>
  <c r="AM286" i="34"/>
  <c r="AV286" i="34" s="1"/>
  <c r="AJ222" i="34"/>
  <c r="AK222" i="34"/>
  <c r="AL222" i="34" s="1"/>
  <c r="AN137" i="34"/>
  <c r="AM137" i="34"/>
  <c r="AV137" i="34" s="1"/>
  <c r="AN95" i="34"/>
  <c r="AM95" i="34"/>
  <c r="AV95" i="34" s="1"/>
  <c r="AK79" i="34"/>
  <c r="AJ79" i="34"/>
  <c r="AN73" i="34"/>
  <c r="AM73" i="34"/>
  <c r="AV73" i="34" s="1"/>
  <c r="AK78" i="34"/>
  <c r="AJ78" i="34"/>
  <c r="AN37" i="34"/>
  <c r="AM37" i="34"/>
  <c r="AV37" i="34" s="1"/>
  <c r="AN127" i="34"/>
  <c r="AM127" i="34"/>
  <c r="AV127" i="34" s="1"/>
  <c r="AN42" i="34"/>
  <c r="AM42" i="34"/>
  <c r="AV42" i="34" s="1"/>
  <c r="AJ103" i="34"/>
  <c r="AK103" i="34"/>
  <c r="AL103" i="34" s="1"/>
  <c r="AJ80" i="34"/>
  <c r="AK80" i="34"/>
  <c r="AL80" i="34" s="1"/>
  <c r="AN11" i="34"/>
  <c r="AM11" i="34"/>
  <c r="AV11" i="34" s="1"/>
  <c r="AK20" i="34"/>
  <c r="AL20" i="34" s="1"/>
  <c r="AJ20" i="34"/>
  <c r="AN25" i="34"/>
  <c r="AM25" i="34"/>
  <c r="AV25" i="34" s="1"/>
  <c r="AN1473" i="34"/>
  <c r="AM1473" i="34"/>
  <c r="AV1473" i="34" s="1"/>
  <c r="AK1414" i="34"/>
  <c r="AL1414" i="34" s="1"/>
  <c r="AJ1414" i="34"/>
  <c r="AN1454" i="34"/>
  <c r="AM1454" i="34"/>
  <c r="AV1454" i="34" s="1"/>
  <c r="AN1504" i="34"/>
  <c r="AM1504" i="34"/>
  <c r="AV1504" i="34" s="1"/>
  <c r="AN1472" i="34"/>
  <c r="AM1472" i="34"/>
  <c r="AV1472" i="34" s="1"/>
  <c r="AK1433" i="34"/>
  <c r="AL1433" i="34" s="1"/>
  <c r="AJ1433" i="34"/>
  <c r="AN1407" i="34"/>
  <c r="AM1407" i="34"/>
  <c r="AV1407" i="34" s="1"/>
  <c r="AM1377" i="34"/>
  <c r="AV1377" i="34" s="1"/>
  <c r="AN1377" i="34"/>
  <c r="AM1379" i="34"/>
  <c r="AV1379" i="34" s="1"/>
  <c r="AN1379" i="34"/>
  <c r="AN1315" i="34"/>
  <c r="AM1315" i="34"/>
  <c r="AV1315" i="34" s="1"/>
  <c r="AN1288" i="34"/>
  <c r="AM1288" i="34"/>
  <c r="AV1288" i="34" s="1"/>
  <c r="AN1326" i="34"/>
  <c r="AM1326" i="34"/>
  <c r="AV1326" i="34" s="1"/>
  <c r="AK1295" i="34"/>
  <c r="AJ1295" i="34"/>
  <c r="AN1347" i="34"/>
  <c r="AM1347" i="34"/>
  <c r="AV1347" i="34" s="1"/>
  <c r="AM1306" i="34"/>
  <c r="AV1306" i="34" s="1"/>
  <c r="AN1306" i="34"/>
  <c r="AM1365" i="34"/>
  <c r="AV1365" i="34" s="1"/>
  <c r="AN1365" i="34"/>
  <c r="AK1341" i="34"/>
  <c r="AJ1341" i="34"/>
  <c r="AM1322" i="34"/>
  <c r="AV1322" i="34" s="1"/>
  <c r="AN1322" i="34"/>
  <c r="AM1294" i="34"/>
  <c r="AV1294" i="34" s="1"/>
  <c r="AN1294" i="34"/>
  <c r="AN1355" i="34"/>
  <c r="AM1355" i="34"/>
  <c r="AV1355" i="34" s="1"/>
  <c r="AM1217" i="34"/>
  <c r="AV1217" i="34" s="1"/>
  <c r="AN1217" i="34"/>
  <c r="AM1325" i="34"/>
  <c r="AV1325" i="34" s="1"/>
  <c r="AN1325" i="34"/>
  <c r="AN1286" i="34"/>
  <c r="AM1286" i="34"/>
  <c r="AV1286" i="34" s="1"/>
  <c r="AJ1216" i="34"/>
  <c r="AK1216" i="34"/>
  <c r="AN1157" i="34"/>
  <c r="AM1157" i="34"/>
  <c r="AV1157" i="34" s="1"/>
  <c r="AM1122" i="34"/>
  <c r="AV1122" i="34" s="1"/>
  <c r="AN1122" i="34"/>
  <c r="AN1103" i="34"/>
  <c r="AM1103" i="34"/>
  <c r="AV1103" i="34" s="1"/>
  <c r="AN1196" i="34"/>
  <c r="AM1196" i="34"/>
  <c r="AV1196" i="34" s="1"/>
  <c r="AN1342" i="34"/>
  <c r="AM1342" i="34"/>
  <c r="AV1342" i="34" s="1"/>
  <c r="AN1194" i="34"/>
  <c r="AM1194" i="34"/>
  <c r="AV1194" i="34" s="1"/>
  <c r="AN1065" i="34"/>
  <c r="AM1065" i="34"/>
  <c r="AV1065" i="34" s="1"/>
  <c r="AM1046" i="34"/>
  <c r="AV1046" i="34" s="1"/>
  <c r="AN1046" i="34"/>
  <c r="AN1143" i="34"/>
  <c r="AM1143" i="34"/>
  <c r="AV1143" i="34" s="1"/>
  <c r="AN1007" i="34"/>
  <c r="AM1007" i="34"/>
  <c r="AV1007" i="34" s="1"/>
  <c r="AN1078" i="34"/>
  <c r="AM1078" i="34"/>
  <c r="AV1078" i="34" s="1"/>
  <c r="AM1058" i="34"/>
  <c r="AV1058" i="34" s="1"/>
  <c r="AN1058" i="34"/>
  <c r="AK1071" i="34"/>
  <c r="AL1071" i="34" s="1"/>
  <c r="AJ1071" i="34"/>
  <c r="AK1062" i="34"/>
  <c r="AJ1062" i="34"/>
  <c r="AN1049" i="34"/>
  <c r="AM1049" i="34"/>
  <c r="AV1049" i="34" s="1"/>
  <c r="AK1026" i="34"/>
  <c r="AL1026" i="34" s="1"/>
  <c r="AJ1026" i="34"/>
  <c r="AM982" i="34"/>
  <c r="AV982" i="34" s="1"/>
  <c r="AN982" i="34"/>
  <c r="AN1039" i="34"/>
  <c r="AM1039" i="34"/>
  <c r="AV1039" i="34" s="1"/>
  <c r="AN996" i="34"/>
  <c r="AM996" i="34"/>
  <c r="AV996" i="34" s="1"/>
  <c r="AM967" i="34"/>
  <c r="AV967" i="34" s="1"/>
  <c r="AN967" i="34"/>
  <c r="AM1029" i="34"/>
  <c r="AV1029" i="34" s="1"/>
  <c r="AN1029" i="34"/>
  <c r="AM1038" i="34"/>
  <c r="AV1038" i="34" s="1"/>
  <c r="AN1038" i="34"/>
  <c r="AJ890" i="34"/>
  <c r="AK890" i="34"/>
  <c r="AL890" i="34" s="1"/>
  <c r="AN909" i="34"/>
  <c r="AM909" i="34"/>
  <c r="AV909" i="34" s="1"/>
  <c r="AJ936" i="34"/>
  <c r="AK936" i="34"/>
  <c r="AN954" i="34"/>
  <c r="AM954" i="34"/>
  <c r="AV954" i="34" s="1"/>
  <c r="AN929" i="34"/>
  <c r="AM929" i="34"/>
  <c r="AV929" i="34" s="1"/>
  <c r="AM889" i="34"/>
  <c r="AV889" i="34" s="1"/>
  <c r="AN889" i="34"/>
  <c r="AK868" i="34"/>
  <c r="AL868" i="34" s="1"/>
  <c r="AJ868" i="34"/>
  <c r="AN959" i="34"/>
  <c r="AM959" i="34"/>
  <c r="AV959" i="34" s="1"/>
  <c r="AN921" i="34"/>
  <c r="AM921" i="34"/>
  <c r="AV921" i="34" s="1"/>
  <c r="AN931" i="34"/>
  <c r="AM931" i="34"/>
  <c r="AV931" i="34" s="1"/>
  <c r="AN815" i="34"/>
  <c r="AM815" i="34"/>
  <c r="AV815" i="34" s="1"/>
  <c r="AK782" i="34"/>
  <c r="AL782" i="34" s="1"/>
  <c r="AJ782" i="34"/>
  <c r="AN913" i="34"/>
  <c r="AM913" i="34"/>
  <c r="AV913" i="34" s="1"/>
  <c r="AN874" i="34"/>
  <c r="AM874" i="34"/>
  <c r="AV874" i="34" s="1"/>
  <c r="AN845" i="34"/>
  <c r="AM845" i="34"/>
  <c r="AV845" i="34" s="1"/>
  <c r="AJ803" i="34"/>
  <c r="AK803" i="34"/>
  <c r="AL803" i="34" s="1"/>
  <c r="AM775" i="34"/>
  <c r="AV775" i="34" s="1"/>
  <c r="AN775" i="34"/>
  <c r="AN828" i="34"/>
  <c r="AM828" i="34"/>
  <c r="AV828" i="34" s="1"/>
  <c r="AK756" i="34"/>
  <c r="AL756" i="34" s="1"/>
  <c r="AJ756" i="34"/>
  <c r="AN729" i="34"/>
  <c r="AM729" i="34"/>
  <c r="AV729" i="34" s="1"/>
  <c r="AK771" i="34"/>
  <c r="AL771" i="34" s="1"/>
  <c r="AJ771" i="34"/>
  <c r="AK721" i="34"/>
  <c r="AJ721" i="34"/>
  <c r="AK678" i="34"/>
  <c r="AJ678" i="34"/>
  <c r="AN637" i="34"/>
  <c r="AM637" i="34"/>
  <c r="AV637" i="34" s="1"/>
  <c r="AN625" i="34"/>
  <c r="AM625" i="34"/>
  <c r="AV625" i="34" s="1"/>
  <c r="AM704" i="34"/>
  <c r="AV704" i="34" s="1"/>
  <c r="AN704" i="34"/>
  <c r="AM732" i="34"/>
  <c r="AV732" i="34" s="1"/>
  <c r="AN732" i="34"/>
  <c r="AN616" i="34"/>
  <c r="AM616" i="34"/>
  <c r="AV616" i="34" s="1"/>
  <c r="AK693" i="34"/>
  <c r="AL693" i="34" s="1"/>
  <c r="AJ693" i="34"/>
  <c r="AK727" i="34"/>
  <c r="AL727" i="34" s="1"/>
  <c r="AJ727" i="34"/>
  <c r="AK564" i="34"/>
  <c r="AJ564" i="34"/>
  <c r="AK541" i="34"/>
  <c r="AL541" i="34" s="1"/>
  <c r="AJ541" i="34"/>
  <c r="AK712" i="34"/>
  <c r="AJ712" i="34"/>
  <c r="AN585" i="34"/>
  <c r="AM585" i="34"/>
  <c r="AV585" i="34" s="1"/>
  <c r="AK550" i="34"/>
  <c r="AJ550" i="34"/>
  <c r="AJ633" i="34"/>
  <c r="AK633" i="34"/>
  <c r="AN581" i="34"/>
  <c r="AM581" i="34"/>
  <c r="AV581" i="34" s="1"/>
  <c r="AK555" i="34"/>
  <c r="AL555" i="34" s="1"/>
  <c r="AJ555" i="34"/>
  <c r="AN580" i="34"/>
  <c r="AM580" i="34"/>
  <c r="AV580" i="34" s="1"/>
  <c r="AK491" i="34"/>
  <c r="AJ491" i="34"/>
  <c r="AK476" i="34"/>
  <c r="AL476" i="34" s="1"/>
  <c r="AJ476" i="34"/>
  <c r="AN440" i="34"/>
  <c r="AM440" i="34"/>
  <c r="AV440" i="34" s="1"/>
  <c r="AN505" i="34"/>
  <c r="AM505" i="34"/>
  <c r="AV505" i="34" s="1"/>
  <c r="AN429" i="34"/>
  <c r="AM429" i="34"/>
  <c r="AV429" i="34" s="1"/>
  <c r="AK434" i="34"/>
  <c r="AJ434" i="34"/>
  <c r="AK385" i="34"/>
  <c r="AL385" i="34" s="1"/>
  <c r="AJ385" i="34"/>
  <c r="AN416" i="34"/>
  <c r="AM416" i="34"/>
  <c r="AV416" i="34" s="1"/>
  <c r="AK480" i="34"/>
  <c r="AL480" i="34" s="1"/>
  <c r="AJ480" i="34"/>
  <c r="AN451" i="34"/>
  <c r="AM451" i="34"/>
  <c r="AV451" i="34" s="1"/>
  <c r="AK398" i="34"/>
  <c r="AJ398" i="34"/>
  <c r="AK357" i="34"/>
  <c r="AL357" i="34" s="1"/>
  <c r="AJ357" i="34"/>
  <c r="AK426" i="34"/>
  <c r="AL426" i="34" s="1"/>
  <c r="AJ426" i="34"/>
  <c r="AK322" i="34"/>
  <c r="AJ322" i="34"/>
  <c r="AN297" i="34"/>
  <c r="AM297" i="34"/>
  <c r="AV297" i="34" s="1"/>
  <c r="AN335" i="34"/>
  <c r="AM335" i="34"/>
  <c r="AV335" i="34" s="1"/>
  <c r="AN310" i="34"/>
  <c r="AM310" i="34"/>
  <c r="AV310" i="34" s="1"/>
  <c r="AN324" i="34"/>
  <c r="AM324" i="34"/>
  <c r="AV324" i="34" s="1"/>
  <c r="AN292" i="34"/>
  <c r="AM292" i="34"/>
  <c r="AV292" i="34" s="1"/>
  <c r="AM307" i="34"/>
  <c r="AV307" i="34" s="1"/>
  <c r="AN307" i="34"/>
  <c r="AN312" i="34"/>
  <c r="AM312" i="34"/>
  <c r="AV312" i="34" s="1"/>
  <c r="AN274" i="34"/>
  <c r="AM274" i="34"/>
  <c r="AV274" i="34" s="1"/>
  <c r="AK229" i="34"/>
  <c r="AL229" i="34" s="1"/>
  <c r="AJ229" i="34"/>
  <c r="AN162" i="34"/>
  <c r="AM162" i="34"/>
  <c r="AV162" i="34" s="1"/>
  <c r="AN266" i="34"/>
  <c r="AM266" i="34"/>
  <c r="AV266" i="34" s="1"/>
  <c r="AM284" i="34"/>
  <c r="AV284" i="34" s="1"/>
  <c r="AN284" i="34"/>
  <c r="AN261" i="34"/>
  <c r="AM261" i="34"/>
  <c r="AV261" i="34" s="1"/>
  <c r="AN212" i="34"/>
  <c r="AM212" i="34"/>
  <c r="AV212" i="34" s="1"/>
  <c r="AN272" i="34"/>
  <c r="AM272" i="34"/>
  <c r="AV272" i="34" s="1"/>
  <c r="AN91" i="34"/>
  <c r="AM91" i="34"/>
  <c r="AV91" i="34" s="1"/>
  <c r="AN258" i="34"/>
  <c r="AM258" i="34"/>
  <c r="AV258" i="34" s="1"/>
  <c r="AJ218" i="34"/>
  <c r="AK218" i="34"/>
  <c r="AL218" i="34" s="1"/>
  <c r="AN238" i="34"/>
  <c r="AM238" i="34"/>
  <c r="AV238" i="34" s="1"/>
  <c r="AK106" i="34"/>
  <c r="AL106" i="34" s="1"/>
  <c r="AJ106" i="34"/>
  <c r="AK72" i="34"/>
  <c r="AL72" i="34" s="1"/>
  <c r="AJ72" i="34"/>
  <c r="AK101" i="34"/>
  <c r="AL101" i="34" s="1"/>
  <c r="AJ101" i="34"/>
  <c r="AK30" i="34"/>
  <c r="AL30" i="34" s="1"/>
  <c r="AJ30" i="34"/>
  <c r="AN108" i="34"/>
  <c r="AM108" i="34"/>
  <c r="AV108" i="34" s="1"/>
  <c r="AN4" i="34"/>
  <c r="AM4" i="34"/>
  <c r="AV4" i="34" s="1"/>
  <c r="AN33" i="34"/>
  <c r="AM33" i="34"/>
  <c r="AV33" i="34" s="1"/>
  <c r="AN1505" i="34"/>
  <c r="AM1505" i="34"/>
  <c r="AV1505" i="34" s="1"/>
  <c r="AM1550" i="34"/>
  <c r="AV1550" i="34" s="1"/>
  <c r="AN1550" i="34"/>
  <c r="AM1526" i="34"/>
  <c r="AV1526" i="34" s="1"/>
  <c r="AN1526" i="34"/>
  <c r="AN1492" i="34"/>
  <c r="AM1492" i="34"/>
  <c r="AV1492" i="34" s="1"/>
  <c r="AN1487" i="34"/>
  <c r="AM1487" i="34"/>
  <c r="AV1487" i="34" s="1"/>
  <c r="AN1475" i="34"/>
  <c r="AM1475" i="34"/>
  <c r="AV1475" i="34" s="1"/>
  <c r="AM1509" i="34"/>
  <c r="AV1509" i="34" s="1"/>
  <c r="AN1509" i="34"/>
  <c r="AN1435" i="34"/>
  <c r="AM1435" i="34"/>
  <c r="AV1435" i="34" s="1"/>
  <c r="AN1443" i="34"/>
  <c r="AM1443" i="34"/>
  <c r="AV1443" i="34" s="1"/>
  <c r="AN1430" i="34"/>
  <c r="AM1430" i="34"/>
  <c r="AV1430" i="34" s="1"/>
  <c r="AM1375" i="34"/>
  <c r="AV1375" i="34" s="1"/>
  <c r="AN1375" i="34"/>
  <c r="AM1376" i="34"/>
  <c r="AV1376" i="34" s="1"/>
  <c r="AN1376" i="34"/>
  <c r="AM1360" i="34"/>
  <c r="AV1360" i="34" s="1"/>
  <c r="AN1360" i="34"/>
  <c r="AM1320" i="34"/>
  <c r="AV1320" i="34" s="1"/>
  <c r="AN1320" i="34"/>
  <c r="AM1309" i="34"/>
  <c r="AV1309" i="34" s="1"/>
  <c r="AN1309" i="34"/>
  <c r="AM1149" i="34"/>
  <c r="AV1149" i="34" s="1"/>
  <c r="AN1149" i="34"/>
  <c r="AN1115" i="34"/>
  <c r="AM1115" i="34"/>
  <c r="AV1115" i="34" s="1"/>
  <c r="AN1207" i="34"/>
  <c r="AM1207" i="34"/>
  <c r="AV1207" i="34" s="1"/>
  <c r="AM1187" i="34"/>
  <c r="AV1187" i="34" s="1"/>
  <c r="AN1187" i="34"/>
  <c r="AK1232" i="34"/>
  <c r="AL1232" i="34" s="1"/>
  <c r="AJ1232" i="34"/>
  <c r="AJ1202" i="34"/>
  <c r="AK1202" i="34"/>
  <c r="AN1192" i="34"/>
  <c r="AM1192" i="34"/>
  <c r="AV1192" i="34" s="1"/>
  <c r="AN1134" i="34"/>
  <c r="AM1134" i="34"/>
  <c r="AV1134" i="34" s="1"/>
  <c r="AM1183" i="34"/>
  <c r="AV1183" i="34" s="1"/>
  <c r="AN1183" i="34"/>
  <c r="AM1105" i="34"/>
  <c r="AV1105" i="34" s="1"/>
  <c r="AN1105" i="34"/>
  <c r="AM1094" i="34"/>
  <c r="AV1094" i="34" s="1"/>
  <c r="AN1094" i="34"/>
  <c r="AK1040" i="34"/>
  <c r="AL1040" i="34" s="1"/>
  <c r="AJ1040" i="34"/>
  <c r="AM1141" i="34"/>
  <c r="AV1141" i="34" s="1"/>
  <c r="AN1141" i="34"/>
  <c r="AN1000" i="34"/>
  <c r="AM1000" i="34"/>
  <c r="AV1000" i="34" s="1"/>
  <c r="AM1106" i="34"/>
  <c r="AV1106" i="34" s="1"/>
  <c r="AN1106" i="34"/>
  <c r="AN1214" i="34"/>
  <c r="AM1214" i="34"/>
  <c r="AV1214" i="34" s="1"/>
  <c r="AN971" i="34"/>
  <c r="AM971" i="34"/>
  <c r="AV971" i="34" s="1"/>
  <c r="AN1003" i="34"/>
  <c r="AM1003" i="34"/>
  <c r="AV1003" i="34" s="1"/>
  <c r="AM1028" i="34"/>
  <c r="AV1028" i="34" s="1"/>
  <c r="AN1028" i="34"/>
  <c r="AM1044" i="34"/>
  <c r="AV1044" i="34" s="1"/>
  <c r="AN1044" i="34"/>
  <c r="AN995" i="34"/>
  <c r="AM995" i="34"/>
  <c r="AV995" i="34" s="1"/>
  <c r="AJ886" i="34"/>
  <c r="AK886" i="34"/>
  <c r="AL886" i="34" s="1"/>
  <c r="AN965" i="34"/>
  <c r="AM965" i="34"/>
  <c r="AV965" i="34" s="1"/>
  <c r="AK888" i="34"/>
  <c r="AL888" i="34" s="1"/>
  <c r="AJ888" i="34"/>
  <c r="AK861" i="34"/>
  <c r="AJ861" i="34"/>
  <c r="AN945" i="34"/>
  <c r="AM945" i="34"/>
  <c r="AV945" i="34" s="1"/>
  <c r="AN910" i="34"/>
  <c r="AM910" i="34"/>
  <c r="AV910" i="34" s="1"/>
  <c r="AM974" i="34"/>
  <c r="AV974" i="34" s="1"/>
  <c r="AN974" i="34"/>
  <c r="AK869" i="34"/>
  <c r="AJ869" i="34"/>
  <c r="AN836" i="34"/>
  <c r="AM836" i="34"/>
  <c r="AV836" i="34" s="1"/>
  <c r="AN780" i="34"/>
  <c r="AM780" i="34"/>
  <c r="AV780" i="34" s="1"/>
  <c r="AK866" i="34"/>
  <c r="AL866" i="34" s="1"/>
  <c r="AJ866" i="34"/>
  <c r="AN802" i="34"/>
  <c r="AM802" i="34"/>
  <c r="AV802" i="34" s="1"/>
  <c r="AN791" i="34"/>
  <c r="AM791" i="34"/>
  <c r="AV791" i="34" s="1"/>
  <c r="AM753" i="34"/>
  <c r="AV753" i="34" s="1"/>
  <c r="AN753" i="34"/>
  <c r="AN739" i="34"/>
  <c r="AM739" i="34"/>
  <c r="AV739" i="34" s="1"/>
  <c r="AM788" i="34"/>
  <c r="AV788" i="34" s="1"/>
  <c r="AN788" i="34"/>
  <c r="AN772" i="34"/>
  <c r="AM772" i="34"/>
  <c r="AV772" i="34" s="1"/>
  <c r="AM688" i="34"/>
  <c r="AV688" i="34" s="1"/>
  <c r="AN688" i="34"/>
  <c r="AJ636" i="34"/>
  <c r="AK636" i="34"/>
  <c r="AM665" i="34"/>
  <c r="AV665" i="34" s="1"/>
  <c r="AN665" i="34"/>
  <c r="AM647" i="34"/>
  <c r="AV647" i="34" s="1"/>
  <c r="AN647" i="34"/>
  <c r="AN682" i="34"/>
  <c r="AM682" i="34"/>
  <c r="AV682" i="34" s="1"/>
  <c r="AK537" i="34"/>
  <c r="AL537" i="34" s="1"/>
  <c r="AJ537" i="34"/>
  <c r="AK723" i="34"/>
  <c r="AJ723" i="34"/>
  <c r="AM668" i="34"/>
  <c r="AV668" i="34" s="1"/>
  <c r="AN668" i="34"/>
  <c r="AN547" i="34"/>
  <c r="AM547" i="34"/>
  <c r="AV547" i="34" s="1"/>
  <c r="AN573" i="34"/>
  <c r="AM573" i="34"/>
  <c r="AV573" i="34" s="1"/>
  <c r="AJ643" i="34"/>
  <c r="AK643" i="34"/>
  <c r="AK518" i="34"/>
  <c r="AL518" i="34" s="1"/>
  <c r="AJ518" i="34"/>
  <c r="AN603" i="34"/>
  <c r="AM603" i="34"/>
  <c r="AV603" i="34" s="1"/>
  <c r="AJ533" i="34"/>
  <c r="AK533" i="34"/>
  <c r="AL533" i="34" s="1"/>
  <c r="AN567" i="34"/>
  <c r="AM567" i="34"/>
  <c r="AV567" i="34" s="1"/>
  <c r="AN513" i="34"/>
  <c r="AM513" i="34"/>
  <c r="AV513" i="34" s="1"/>
  <c r="AN600" i="34"/>
  <c r="AM600" i="34"/>
  <c r="AV600" i="34" s="1"/>
  <c r="AK521" i="34"/>
  <c r="AL521" i="34" s="1"/>
  <c r="AJ521" i="34"/>
  <c r="AK461" i="34"/>
  <c r="AL461" i="34" s="1"/>
  <c r="AJ461" i="34"/>
  <c r="AN411" i="34"/>
  <c r="AM411" i="34"/>
  <c r="AV411" i="34" s="1"/>
  <c r="AK503" i="34"/>
  <c r="AJ503" i="34"/>
  <c r="AK492" i="34"/>
  <c r="AJ492" i="34"/>
  <c r="AN552" i="34"/>
  <c r="AM552" i="34"/>
  <c r="AV552" i="34" s="1"/>
  <c r="AK471" i="34"/>
  <c r="AL471" i="34" s="1"/>
  <c r="AJ471" i="34"/>
  <c r="AN414" i="34"/>
  <c r="AM414" i="34"/>
  <c r="AV414" i="34" s="1"/>
  <c r="AN447" i="34"/>
  <c r="AM447" i="34"/>
  <c r="AV447" i="34" s="1"/>
  <c r="AM384" i="34"/>
  <c r="AV384" i="34" s="1"/>
  <c r="AN384" i="34"/>
  <c r="AK430" i="34"/>
  <c r="AL430" i="34" s="1"/>
  <c r="AJ430" i="34"/>
  <c r="AK366" i="34"/>
  <c r="AJ366" i="34"/>
  <c r="AK490" i="34"/>
  <c r="AJ490" i="34"/>
  <c r="AN474" i="34"/>
  <c r="AM474" i="34"/>
  <c r="AV474" i="34" s="1"/>
  <c r="AM397" i="34"/>
  <c r="AV397" i="34" s="1"/>
  <c r="AN397" i="34"/>
  <c r="AN512" i="34"/>
  <c r="AM512" i="34"/>
  <c r="AV512" i="34" s="1"/>
  <c r="AN308" i="34"/>
  <c r="AM308" i="34"/>
  <c r="AV308" i="34" s="1"/>
  <c r="AN293" i="34"/>
  <c r="AM293" i="34"/>
  <c r="AV293" i="34" s="1"/>
  <c r="AM309" i="34"/>
  <c r="AV309" i="34" s="1"/>
  <c r="AN309" i="34"/>
  <c r="AN352" i="34"/>
  <c r="AM352" i="34"/>
  <c r="AV352" i="34" s="1"/>
  <c r="AN359" i="34"/>
  <c r="AM359" i="34"/>
  <c r="AV359" i="34" s="1"/>
  <c r="AN319" i="34"/>
  <c r="AM319" i="34"/>
  <c r="AV319" i="34" s="1"/>
  <c r="AK326" i="34"/>
  <c r="AJ326" i="34"/>
  <c r="AN316" i="34"/>
  <c r="AM316" i="34"/>
  <c r="AV316" i="34" s="1"/>
  <c r="AN299" i="34"/>
  <c r="AM299" i="34"/>
  <c r="AV299" i="34" s="1"/>
  <c r="AK365" i="34"/>
  <c r="AL365" i="34" s="1"/>
  <c r="AJ365" i="34"/>
  <c r="AJ328" i="34"/>
  <c r="AK328" i="34"/>
  <c r="AL328" i="34" s="1"/>
  <c r="AN323" i="34"/>
  <c r="AM323" i="34"/>
  <c r="AV323" i="34" s="1"/>
  <c r="AN226" i="34"/>
  <c r="AM226" i="34"/>
  <c r="AV226" i="34" s="1"/>
  <c r="AN275" i="34"/>
  <c r="AM275" i="34"/>
  <c r="AV275" i="34" s="1"/>
  <c r="AN242" i="34"/>
  <c r="AM242" i="34"/>
  <c r="AV242" i="34" s="1"/>
  <c r="AN228" i="34"/>
  <c r="AM228" i="34"/>
  <c r="AV228" i="34" s="1"/>
  <c r="AN280" i="34"/>
  <c r="AM280" i="34"/>
  <c r="AV280" i="34" s="1"/>
  <c r="AJ252" i="34"/>
  <c r="AK252" i="34"/>
  <c r="AJ241" i="34"/>
  <c r="AK241" i="34"/>
  <c r="AL241" i="34" s="1"/>
  <c r="AM156" i="34"/>
  <c r="AV156" i="34" s="1"/>
  <c r="AN156" i="34"/>
  <c r="AK288" i="34"/>
  <c r="AL288" i="34" s="1"/>
  <c r="AJ288" i="34"/>
  <c r="AJ260" i="34"/>
  <c r="AK260" i="34"/>
  <c r="AL260" i="34" s="1"/>
  <c r="AN219" i="34"/>
  <c r="AM219" i="34"/>
  <c r="AV219" i="34" s="1"/>
  <c r="AN121" i="34"/>
  <c r="AM121" i="34"/>
  <c r="AV121" i="34" s="1"/>
  <c r="AN87" i="34"/>
  <c r="AM87" i="34"/>
  <c r="AV87" i="34" s="1"/>
  <c r="AN234" i="34"/>
  <c r="AM234" i="34"/>
  <c r="AV234" i="34" s="1"/>
  <c r="AK133" i="34"/>
  <c r="AJ133" i="34"/>
  <c r="AN118" i="34"/>
  <c r="AM118" i="34"/>
  <c r="AV118" i="34" s="1"/>
  <c r="AN92" i="34"/>
  <c r="AM92" i="34"/>
  <c r="AV92" i="34" s="1"/>
  <c r="AJ96" i="34"/>
  <c r="AK96" i="34"/>
  <c r="AN52" i="34"/>
  <c r="AM52" i="34"/>
  <c r="AV52" i="34" s="1"/>
  <c r="AK16" i="34"/>
  <c r="AL16" i="34" s="1"/>
  <c r="AJ16" i="34"/>
  <c r="AK57" i="34"/>
  <c r="AJ57" i="34"/>
  <c r="AJ126" i="34"/>
  <c r="AK126" i="34"/>
  <c r="AL126" i="34" s="1"/>
  <c r="AK120" i="34"/>
  <c r="AL120" i="34" s="1"/>
  <c r="AJ120" i="34"/>
  <c r="AN63" i="34"/>
  <c r="AM63" i="34"/>
  <c r="AV63" i="34" s="1"/>
  <c r="AM41" i="34"/>
  <c r="AV41" i="34" s="1"/>
  <c r="AN41" i="34"/>
  <c r="AK109" i="34"/>
  <c r="AL109" i="34" s="1"/>
  <c r="AJ109" i="34"/>
  <c r="AM53" i="34"/>
  <c r="AV53" i="34" s="1"/>
  <c r="AN53" i="34"/>
  <c r="AK36" i="34"/>
  <c r="AL36" i="34" s="1"/>
  <c r="AJ36" i="34"/>
  <c r="AK49" i="34"/>
  <c r="AJ49" i="34"/>
  <c r="AK26" i="34"/>
  <c r="AJ26" i="34"/>
  <c r="AK94" i="34"/>
  <c r="AJ94" i="34"/>
  <c r="AM32" i="34"/>
  <c r="AV32" i="34" s="1"/>
  <c r="AN32" i="34"/>
  <c r="AK13" i="34"/>
  <c r="AL13" i="34" s="1"/>
  <c r="AJ13" i="34"/>
  <c r="AK5" i="34"/>
  <c r="AJ5" i="34"/>
  <c r="AU859" i="34" l="1"/>
  <c r="AM859" i="34"/>
  <c r="AV859" i="34" s="1"/>
  <c r="AN246" i="34"/>
  <c r="AN157" i="34"/>
  <c r="AM157" i="34"/>
  <c r="AV157" i="34" s="1"/>
  <c r="AM608" i="34"/>
  <c r="AV608" i="34" s="1"/>
  <c r="AN608" i="34"/>
  <c r="AU94" i="34"/>
  <c r="AU133" i="34"/>
  <c r="AU126" i="34"/>
  <c r="AU886" i="34"/>
  <c r="AU633" i="34"/>
  <c r="AU5" i="34"/>
  <c r="AU26" i="34"/>
  <c r="AU109" i="34"/>
  <c r="AU326" i="34"/>
  <c r="AU430" i="34"/>
  <c r="AU471" i="34"/>
  <c r="AU518" i="34"/>
  <c r="AU30" i="34"/>
  <c r="AU426" i="34"/>
  <c r="AU480" i="34"/>
  <c r="AU491" i="34"/>
  <c r="AU541" i="34"/>
  <c r="AU782" i="34"/>
  <c r="AU1062" i="34"/>
  <c r="AU1433" i="34"/>
  <c r="AU1414" i="34"/>
  <c r="AU79" i="34"/>
  <c r="AU334" i="34"/>
  <c r="AU486" i="34"/>
  <c r="AU419" i="34"/>
  <c r="AU602" i="34"/>
  <c r="AU526" i="34"/>
  <c r="AU649" i="34"/>
  <c r="AU691" i="34"/>
  <c r="AU1055" i="34"/>
  <c r="AU1398" i="34"/>
  <c r="AU113" i="34"/>
  <c r="AU125" i="34"/>
  <c r="AU263" i="34"/>
  <c r="AU467" i="34"/>
  <c r="AU482" i="34"/>
  <c r="AU606" i="34"/>
  <c r="AU829" i="34"/>
  <c r="AU975" i="34"/>
  <c r="AU236" i="34"/>
  <c r="AU473" i="34"/>
  <c r="AU459" i="34"/>
  <c r="AU684" i="34"/>
  <c r="AU779" i="34"/>
  <c r="AU749" i="34"/>
  <c r="AU799" i="34"/>
  <c r="AU1434" i="34"/>
  <c r="AU338" i="34"/>
  <c r="AU523" i="34"/>
  <c r="AU594" i="34"/>
  <c r="AU711" i="34"/>
  <c r="AU1426" i="34"/>
  <c r="AU116" i="34"/>
  <c r="AU24" i="34"/>
  <c r="AU422" i="34"/>
  <c r="AU432" i="34"/>
  <c r="AU556" i="34"/>
  <c r="AU699" i="34"/>
  <c r="AU754" i="34"/>
  <c r="AU1244" i="34"/>
  <c r="AU1451" i="34"/>
  <c r="AU341" i="34"/>
  <c r="AU487" i="34"/>
  <c r="AU584" i="34"/>
  <c r="AU742" i="34"/>
  <c r="AU728" i="34"/>
  <c r="AU1488" i="34"/>
  <c r="AU185" i="34"/>
  <c r="AU1323" i="34"/>
  <c r="AU192" i="34"/>
  <c r="AU1249" i="34"/>
  <c r="AU1225" i="34"/>
  <c r="AU182" i="34"/>
  <c r="AU370" i="34"/>
  <c r="AU220" i="34"/>
  <c r="AU218" i="34"/>
  <c r="AU936" i="34"/>
  <c r="AU80" i="34"/>
  <c r="AU393" i="34"/>
  <c r="AU621" i="34"/>
  <c r="AU107" i="34"/>
  <c r="AU744" i="34"/>
  <c r="AU122" i="34"/>
  <c r="AU336" i="34"/>
  <c r="AU956" i="34"/>
  <c r="AU355" i="34"/>
  <c r="AU134" i="34"/>
  <c r="AU1211" i="34"/>
  <c r="AU645" i="34"/>
  <c r="AU1496" i="34"/>
  <c r="AU1020" i="34"/>
  <c r="AU260" i="34"/>
  <c r="AU49" i="34"/>
  <c r="AU101" i="34"/>
  <c r="AU550" i="34"/>
  <c r="AU756" i="34"/>
  <c r="AU868" i="34"/>
  <c r="AU1071" i="34"/>
  <c r="AU1341" i="34"/>
  <c r="AU164" i="34"/>
  <c r="AU206" i="34"/>
  <c r="AU360" i="34"/>
  <c r="AU342" i="34"/>
  <c r="AU697" i="34"/>
  <c r="AU703" i="34"/>
  <c r="AU715" i="34"/>
  <c r="AU887" i="34"/>
  <c r="AU1048" i="34"/>
  <c r="AU1425" i="34"/>
  <c r="AU132" i="34"/>
  <c r="AU495" i="34"/>
  <c r="AU538" i="34"/>
  <c r="AU850" i="34"/>
  <c r="AU1047" i="34"/>
  <c r="AU114" i="34"/>
  <c r="AU465" i="34"/>
  <c r="AU424" i="34"/>
  <c r="AU738" i="34"/>
  <c r="AU1258" i="34"/>
  <c r="AU160" i="34"/>
  <c r="AU105" i="34"/>
  <c r="AU240" i="34"/>
  <c r="AU488" i="34"/>
  <c r="AU542" i="34"/>
  <c r="AU873" i="34"/>
  <c r="AU180" i="34"/>
  <c r="AU325" i="34"/>
  <c r="AU410" i="34"/>
  <c r="AU392" i="34"/>
  <c r="AU427" i="34"/>
  <c r="AU445" i="34"/>
  <c r="AU531" i="34"/>
  <c r="AU583" i="34"/>
  <c r="AU757" i="34"/>
  <c r="AU746" i="34"/>
  <c r="AU225" i="34"/>
  <c r="AU436" i="34"/>
  <c r="AU598" i="34"/>
  <c r="AU687" i="34"/>
  <c r="AU674" i="34"/>
  <c r="AU173" i="34"/>
  <c r="AU1516" i="34"/>
  <c r="AU705" i="34"/>
  <c r="AU720" i="34"/>
  <c r="AU170" i="34"/>
  <c r="AU1515" i="34"/>
  <c r="AU252" i="34"/>
  <c r="AU869" i="34"/>
  <c r="AU1232" i="34"/>
  <c r="AU357" i="34"/>
  <c r="AU564" i="34"/>
  <c r="AU678" i="34"/>
  <c r="AU1295" i="34"/>
  <c r="AU533" i="34"/>
  <c r="AU636" i="34"/>
  <c r="AU1216" i="34"/>
  <c r="AU103" i="34"/>
  <c r="AU634" i="34"/>
  <c r="AU783" i="34"/>
  <c r="AU790" i="34"/>
  <c r="AU1501" i="34"/>
  <c r="AU516" i="34"/>
  <c r="AU609" i="34"/>
  <c r="AU626" i="34"/>
  <c r="AU515" i="34"/>
  <c r="AU405" i="34"/>
  <c r="AU642" i="34"/>
  <c r="AU233" i="34"/>
  <c r="AU332" i="34"/>
  <c r="AU612" i="34"/>
  <c r="AU528" i="34"/>
  <c r="AU529" i="34"/>
  <c r="AU640" i="34"/>
  <c r="AU635" i="34"/>
  <c r="AU1421" i="34"/>
  <c r="AU1486" i="34"/>
  <c r="AU154" i="34"/>
  <c r="AU643" i="34"/>
  <c r="AU13" i="34"/>
  <c r="AU57" i="34"/>
  <c r="AU365" i="34"/>
  <c r="AU461" i="34"/>
  <c r="AU723" i="34"/>
  <c r="AU861" i="34"/>
  <c r="AU36" i="34"/>
  <c r="AU16" i="34"/>
  <c r="AU288" i="34"/>
  <c r="AU490" i="34"/>
  <c r="AU492" i="34"/>
  <c r="AU521" i="34"/>
  <c r="AU537" i="34"/>
  <c r="AU866" i="34"/>
  <c r="AU888" i="34"/>
  <c r="AU1040" i="34"/>
  <c r="AU72" i="34"/>
  <c r="AU229" i="34"/>
  <c r="AU398" i="34"/>
  <c r="AU385" i="34"/>
  <c r="AU555" i="34"/>
  <c r="AU727" i="34"/>
  <c r="AU721" i="34"/>
  <c r="AU1026" i="34"/>
  <c r="AU78" i="34"/>
  <c r="AU251" i="34"/>
  <c r="AU333" i="34"/>
  <c r="AU381" i="34"/>
  <c r="AU716" i="34"/>
  <c r="AU914" i="34"/>
  <c r="AU1075" i="34"/>
  <c r="AU1278" i="34"/>
  <c r="AU124" i="34"/>
  <c r="AU362" i="34"/>
  <c r="AU494" i="34"/>
  <c r="AU522" i="34"/>
  <c r="AU752" i="34"/>
  <c r="AU1418" i="34"/>
  <c r="AU28" i="34"/>
  <c r="AU277" i="34"/>
  <c r="AU588" i="34"/>
  <c r="AU717" i="34"/>
  <c r="AU745" i="34"/>
  <c r="AU129" i="34"/>
  <c r="AU267" i="34"/>
  <c r="AU438" i="34"/>
  <c r="AU483" i="34"/>
  <c r="AU835" i="34"/>
  <c r="AU168" i="34"/>
  <c r="AU217" i="34"/>
  <c r="AU435" i="34"/>
  <c r="AU714" i="34"/>
  <c r="AU958" i="34"/>
  <c r="AU1256" i="34"/>
  <c r="AU1348" i="34"/>
  <c r="AU1547" i="34"/>
  <c r="AU102" i="34"/>
  <c r="AU344" i="34"/>
  <c r="AU519" i="34"/>
  <c r="AU546" i="34"/>
  <c r="AU1019" i="34"/>
  <c r="AU1099" i="34"/>
  <c r="AU1283" i="34"/>
  <c r="AU1236" i="34"/>
  <c r="AU683" i="34"/>
  <c r="AU178" i="34"/>
  <c r="AU702" i="34"/>
  <c r="AU1367" i="34"/>
  <c r="AU1544" i="34"/>
  <c r="AU391" i="34"/>
  <c r="AU1281" i="34"/>
  <c r="AU890" i="34"/>
  <c r="AU222" i="34"/>
  <c r="AU641" i="34"/>
  <c r="AU545" i="34"/>
  <c r="AU907" i="34"/>
  <c r="AU207" i="34"/>
  <c r="AU317" i="34"/>
  <c r="AU520" i="34"/>
  <c r="AU214" i="34"/>
  <c r="AU632" i="34"/>
  <c r="AU639" i="34"/>
  <c r="AU823" i="34"/>
  <c r="AU347" i="34"/>
  <c r="AU755" i="34"/>
  <c r="AU1351" i="34"/>
  <c r="AU608" i="34"/>
  <c r="AU157" i="34"/>
  <c r="AU120" i="34"/>
  <c r="AU366" i="34"/>
  <c r="AU322" i="34"/>
  <c r="AU434" i="34"/>
  <c r="AU476" i="34"/>
  <c r="AU712" i="34"/>
  <c r="AU693" i="34"/>
  <c r="AU771" i="34"/>
  <c r="AU20" i="34"/>
  <c r="AU337" i="34"/>
  <c r="AU358" i="34"/>
  <c r="AU408" i="34"/>
  <c r="AU400" i="34"/>
  <c r="AU578" i="34"/>
  <c r="AU840" i="34"/>
  <c r="AU1073" i="34"/>
  <c r="AU1222" i="34"/>
  <c r="AU1468" i="34"/>
  <c r="AU45" i="34"/>
  <c r="AU184" i="34"/>
  <c r="AU210" i="34"/>
  <c r="AU361" i="34"/>
  <c r="AU431" i="34"/>
  <c r="AU880" i="34"/>
  <c r="AU894" i="34"/>
  <c r="AU1337" i="34"/>
  <c r="AU1530" i="34"/>
  <c r="AU76" i="34"/>
  <c r="AU269" i="34"/>
  <c r="AU329" i="34"/>
  <c r="AU469" i="34"/>
  <c r="AU456" i="34"/>
  <c r="AU527" i="34"/>
  <c r="AU644" i="34"/>
  <c r="AU708" i="34"/>
  <c r="AU764" i="34"/>
  <c r="AU763" i="34"/>
  <c r="AU1420" i="34"/>
  <c r="AU499" i="34"/>
  <c r="AU428" i="34"/>
  <c r="AU22" i="34"/>
  <c r="AU188" i="34"/>
  <c r="AU248" i="34"/>
  <c r="AU388" i="34"/>
  <c r="AU423" i="34"/>
  <c r="AU442" i="34"/>
  <c r="AU394" i="34"/>
  <c r="AU475" i="34"/>
  <c r="AU468" i="34"/>
  <c r="AU530" i="34"/>
  <c r="AU136" i="34"/>
  <c r="AU330" i="34"/>
  <c r="AU353" i="34"/>
  <c r="AU472" i="34"/>
  <c r="AU710" i="34"/>
  <c r="AU831" i="34"/>
  <c r="AU1034" i="34"/>
  <c r="AU209" i="34"/>
  <c r="AU190" i="34"/>
  <c r="AU1517" i="34"/>
  <c r="AU503" i="34"/>
  <c r="AU106" i="34"/>
  <c r="AU96" i="34"/>
  <c r="AU241" i="34"/>
  <c r="AU328" i="34"/>
  <c r="AU1202" i="34"/>
  <c r="AU1490" i="34"/>
  <c r="AU245" i="34"/>
  <c r="AU340" i="34"/>
  <c r="AU549" i="34"/>
  <c r="AU1197" i="34"/>
  <c r="AU1412" i="34"/>
  <c r="AU351" i="34"/>
  <c r="AU1334" i="34"/>
  <c r="AU111" i="34"/>
  <c r="AU237" i="34"/>
  <c r="AU811" i="34"/>
  <c r="AU928" i="34"/>
  <c r="AU256" i="34"/>
  <c r="AU624" i="34"/>
  <c r="AU614" i="34"/>
  <c r="AU920" i="34"/>
  <c r="AU115" i="34"/>
  <c r="AU1215" i="34"/>
  <c r="AU47" i="34"/>
  <c r="AM220" i="34"/>
  <c r="AV220" i="34" s="1"/>
  <c r="AN220" i="34"/>
  <c r="AN646" i="34"/>
  <c r="AU646" i="34"/>
  <c r="AM803" i="34"/>
  <c r="AV803" i="34" s="1"/>
  <c r="AU803" i="34"/>
  <c r="AM46" i="34"/>
  <c r="AV46" i="34" s="1"/>
  <c r="AU46" i="34"/>
  <c r="AN588" i="34"/>
  <c r="AN639" i="34"/>
  <c r="AM1351" i="34"/>
  <c r="AV1351" i="34" s="1"/>
  <c r="AN829" i="34"/>
  <c r="AN46" i="34"/>
  <c r="AN1351" i="34"/>
  <c r="AN370" i="34"/>
  <c r="AM370" i="34"/>
  <c r="AV370" i="34" s="1"/>
  <c r="AN755" i="34"/>
  <c r="AM755" i="34"/>
  <c r="AV755" i="34" s="1"/>
  <c r="AM683" i="34"/>
  <c r="AV683" i="34" s="1"/>
  <c r="AN683" i="34"/>
  <c r="AN1323" i="34"/>
  <c r="AM1323" i="34"/>
  <c r="AV1323" i="34" s="1"/>
  <c r="AN190" i="34"/>
  <c r="AM190" i="34"/>
  <c r="AV190" i="34" s="1"/>
  <c r="AM1517" i="34"/>
  <c r="AV1517" i="34" s="1"/>
  <c r="AN1517" i="34"/>
  <c r="AM1281" i="34"/>
  <c r="AV1281" i="34" s="1"/>
  <c r="AN1281" i="34"/>
  <c r="AM47" i="34"/>
  <c r="AV47" i="34" s="1"/>
  <c r="AN47" i="34"/>
  <c r="AN209" i="34"/>
  <c r="AM209" i="34"/>
  <c r="AV209" i="34" s="1"/>
  <c r="AN720" i="34"/>
  <c r="AM720" i="34"/>
  <c r="AV720" i="34" s="1"/>
  <c r="AM192" i="34"/>
  <c r="AV192" i="34" s="1"/>
  <c r="AN192" i="34"/>
  <c r="AN1249" i="34"/>
  <c r="AM1249" i="34"/>
  <c r="AV1249" i="34" s="1"/>
  <c r="AM1225" i="34"/>
  <c r="AV1225" i="34" s="1"/>
  <c r="AN1225" i="34"/>
  <c r="AM182" i="34"/>
  <c r="AV182" i="34" s="1"/>
  <c r="AN182" i="34"/>
  <c r="AM1020" i="34"/>
  <c r="AV1020" i="34" s="1"/>
  <c r="AN1020" i="34"/>
  <c r="AN185" i="34"/>
  <c r="AM185" i="34"/>
  <c r="AV185" i="34" s="1"/>
  <c r="AN170" i="34"/>
  <c r="AM170" i="34"/>
  <c r="AV170" i="34" s="1"/>
  <c r="AM1515" i="34"/>
  <c r="AV1515" i="34" s="1"/>
  <c r="AN1515" i="34"/>
  <c r="AN154" i="34"/>
  <c r="AM154" i="34"/>
  <c r="AV154" i="34" s="1"/>
  <c r="AM173" i="34"/>
  <c r="AV173" i="34" s="1"/>
  <c r="AN173" i="34"/>
  <c r="AM1516" i="34"/>
  <c r="AV1516" i="34" s="1"/>
  <c r="AN1516" i="34"/>
  <c r="AN705" i="34"/>
  <c r="AM705" i="34"/>
  <c r="AV705" i="34" s="1"/>
  <c r="AN178" i="34"/>
  <c r="AM178" i="34"/>
  <c r="AV178" i="34" s="1"/>
  <c r="AN702" i="34"/>
  <c r="AM702" i="34"/>
  <c r="AV702" i="34" s="1"/>
  <c r="AM1367" i="34"/>
  <c r="AV1367" i="34" s="1"/>
  <c r="AN1367" i="34"/>
  <c r="AN1544" i="34"/>
  <c r="AM1544" i="34"/>
  <c r="AV1544" i="34" s="1"/>
  <c r="AN391" i="34"/>
  <c r="AM391" i="34"/>
  <c r="AV391" i="34" s="1"/>
  <c r="AN94" i="34"/>
  <c r="AM94" i="34"/>
  <c r="AV94" i="34" s="1"/>
  <c r="AN96" i="34"/>
  <c r="AM96" i="34"/>
  <c r="AV96" i="34" s="1"/>
  <c r="AN252" i="34"/>
  <c r="AM252" i="34"/>
  <c r="AV252" i="34" s="1"/>
  <c r="AM886" i="34"/>
  <c r="AV886" i="34" s="1"/>
  <c r="AN886" i="34"/>
  <c r="AN1202" i="34"/>
  <c r="AM1202" i="34"/>
  <c r="AV1202" i="34" s="1"/>
  <c r="AN218" i="34"/>
  <c r="AM218" i="34"/>
  <c r="AV218" i="34" s="1"/>
  <c r="AN936" i="34"/>
  <c r="AM936" i="34"/>
  <c r="AV936" i="34" s="1"/>
  <c r="AN1490" i="34"/>
  <c r="AM1490" i="34"/>
  <c r="AV1490" i="34" s="1"/>
  <c r="AN107" i="34"/>
  <c r="AM107" i="34"/>
  <c r="AV107" i="34" s="1"/>
  <c r="AN516" i="34"/>
  <c r="AM516" i="34"/>
  <c r="AV516" i="34" s="1"/>
  <c r="AN626" i="34"/>
  <c r="AM626" i="34"/>
  <c r="AV626" i="34" s="1"/>
  <c r="AN744" i="34"/>
  <c r="AM744" i="34"/>
  <c r="AV744" i="34" s="1"/>
  <c r="AM207" i="34"/>
  <c r="AV207" i="34" s="1"/>
  <c r="AN207" i="34"/>
  <c r="AN237" i="34"/>
  <c r="AM237" i="34"/>
  <c r="AV237" i="34" s="1"/>
  <c r="AM520" i="34"/>
  <c r="AV520" i="34" s="1"/>
  <c r="AN520" i="34"/>
  <c r="AN811" i="34"/>
  <c r="AM811" i="34"/>
  <c r="AV811" i="34" s="1"/>
  <c r="AN233" i="34"/>
  <c r="AM233" i="34"/>
  <c r="AV233" i="34" s="1"/>
  <c r="AN624" i="34"/>
  <c r="AM624" i="34"/>
  <c r="AV624" i="34" s="1"/>
  <c r="AN632" i="34"/>
  <c r="AM632" i="34"/>
  <c r="AV632" i="34" s="1"/>
  <c r="AN529" i="34"/>
  <c r="AM529" i="34"/>
  <c r="AV529" i="34" s="1"/>
  <c r="AN640" i="34"/>
  <c r="AM640" i="34"/>
  <c r="AV640" i="34" s="1"/>
  <c r="AN635" i="34"/>
  <c r="AM635" i="34"/>
  <c r="AV635" i="34" s="1"/>
  <c r="AN1421" i="34"/>
  <c r="AM1421" i="34"/>
  <c r="AV1421" i="34" s="1"/>
  <c r="AN1486" i="34"/>
  <c r="AM1486" i="34"/>
  <c r="AV1486" i="34" s="1"/>
  <c r="AN241" i="34"/>
  <c r="AM241" i="34"/>
  <c r="AV241" i="34" s="1"/>
  <c r="AM490" i="34"/>
  <c r="AV490" i="34" s="1"/>
  <c r="AN490" i="34"/>
  <c r="AN461" i="34"/>
  <c r="AM461" i="34"/>
  <c r="AV461" i="34" s="1"/>
  <c r="AN126" i="34"/>
  <c r="AM126" i="34"/>
  <c r="AV126" i="34" s="1"/>
  <c r="AM5" i="34"/>
  <c r="AV5" i="34" s="1"/>
  <c r="AN5" i="34"/>
  <c r="AM26" i="34"/>
  <c r="AV26" i="34" s="1"/>
  <c r="AN26" i="34"/>
  <c r="AN109" i="34"/>
  <c r="AM109" i="34"/>
  <c r="AV109" i="34" s="1"/>
  <c r="AN133" i="34"/>
  <c r="AM133" i="34"/>
  <c r="AV133" i="34" s="1"/>
  <c r="AN288" i="34"/>
  <c r="AM288" i="34"/>
  <c r="AV288" i="34" s="1"/>
  <c r="AM366" i="34"/>
  <c r="AV366" i="34" s="1"/>
  <c r="AN366" i="34"/>
  <c r="AN492" i="34"/>
  <c r="AM492" i="34"/>
  <c r="AV492" i="34" s="1"/>
  <c r="AN866" i="34"/>
  <c r="AM866" i="34"/>
  <c r="AV866" i="34" s="1"/>
  <c r="AM30" i="34"/>
  <c r="AV30" i="34" s="1"/>
  <c r="AN30" i="34"/>
  <c r="AN357" i="34"/>
  <c r="AM357" i="34"/>
  <c r="AV357" i="34" s="1"/>
  <c r="AN434" i="34"/>
  <c r="AM434" i="34"/>
  <c r="AV434" i="34" s="1"/>
  <c r="AN476" i="34"/>
  <c r="AM476" i="34"/>
  <c r="AV476" i="34" s="1"/>
  <c r="AN550" i="34"/>
  <c r="AM550" i="34"/>
  <c r="AV550" i="34" s="1"/>
  <c r="AN541" i="34"/>
  <c r="AM541" i="34"/>
  <c r="AV541" i="34" s="1"/>
  <c r="AN771" i="34"/>
  <c r="AM771" i="34"/>
  <c r="AV771" i="34" s="1"/>
  <c r="AN868" i="34"/>
  <c r="AM868" i="34"/>
  <c r="AV868" i="34" s="1"/>
  <c r="AM1062" i="34"/>
  <c r="AV1062" i="34" s="1"/>
  <c r="AN1062" i="34"/>
  <c r="AN1433" i="34"/>
  <c r="AM1433" i="34"/>
  <c r="AV1433" i="34" s="1"/>
  <c r="AN1414" i="34"/>
  <c r="AM1414" i="34"/>
  <c r="AV1414" i="34" s="1"/>
  <c r="AM400" i="34"/>
  <c r="AV400" i="34" s="1"/>
  <c r="AN400" i="34"/>
  <c r="AM716" i="34"/>
  <c r="AV716" i="34" s="1"/>
  <c r="AN716" i="34"/>
  <c r="AN715" i="34"/>
  <c r="AM715" i="34"/>
  <c r="AV715" i="34" s="1"/>
  <c r="AN887" i="34"/>
  <c r="AM887" i="34"/>
  <c r="AV887" i="34" s="1"/>
  <c r="AM1048" i="34"/>
  <c r="AV1048" i="34" s="1"/>
  <c r="AN1048" i="34"/>
  <c r="AN1398" i="34"/>
  <c r="AM1398" i="34"/>
  <c r="AV1398" i="34" s="1"/>
  <c r="AN132" i="34"/>
  <c r="AM132" i="34"/>
  <c r="AV132" i="34" s="1"/>
  <c r="AN125" i="34"/>
  <c r="AM125" i="34"/>
  <c r="AV125" i="34" s="1"/>
  <c r="AN263" i="34"/>
  <c r="AM263" i="34"/>
  <c r="AV263" i="34" s="1"/>
  <c r="AN362" i="34"/>
  <c r="AM362" i="34"/>
  <c r="AV362" i="34" s="1"/>
  <c r="AN361" i="34"/>
  <c r="AM361" i="34"/>
  <c r="AV361" i="34" s="1"/>
  <c r="AN495" i="34"/>
  <c r="AM495" i="34"/>
  <c r="AV495" i="34" s="1"/>
  <c r="AM850" i="34"/>
  <c r="AV850" i="34" s="1"/>
  <c r="AN850" i="34"/>
  <c r="AN1047" i="34"/>
  <c r="AM1047" i="34"/>
  <c r="AV1047" i="34" s="1"/>
  <c r="AN465" i="34"/>
  <c r="AM465" i="34"/>
  <c r="AV465" i="34" s="1"/>
  <c r="AM459" i="34"/>
  <c r="AV459" i="34" s="1"/>
  <c r="AN459" i="34"/>
  <c r="AM684" i="34"/>
  <c r="AV684" i="34" s="1"/>
  <c r="AN684" i="34"/>
  <c r="AM717" i="34"/>
  <c r="AV717" i="34" s="1"/>
  <c r="AN717" i="34"/>
  <c r="AN738" i="34"/>
  <c r="AM738" i="34"/>
  <c r="AV738" i="34" s="1"/>
  <c r="AN799" i="34"/>
  <c r="AM799" i="34"/>
  <c r="AV799" i="34" s="1"/>
  <c r="AM160" i="34"/>
  <c r="AV160" i="34" s="1"/>
  <c r="AN160" i="34"/>
  <c r="AN105" i="34"/>
  <c r="AM105" i="34"/>
  <c r="AV105" i="34" s="1"/>
  <c r="AN499" i="34"/>
  <c r="AM499" i="34"/>
  <c r="AV499" i="34" s="1"/>
  <c r="AN483" i="34"/>
  <c r="AM483" i="34"/>
  <c r="AV483" i="34" s="1"/>
  <c r="AM22" i="34"/>
  <c r="AV22" i="34" s="1"/>
  <c r="AN22" i="34"/>
  <c r="AM388" i="34"/>
  <c r="AV388" i="34" s="1"/>
  <c r="AN388" i="34"/>
  <c r="AN427" i="34"/>
  <c r="AM427" i="34"/>
  <c r="AV427" i="34" s="1"/>
  <c r="AM445" i="34"/>
  <c r="AV445" i="34" s="1"/>
  <c r="AN445" i="34"/>
  <c r="AN432" i="34"/>
  <c r="AM432" i="34"/>
  <c r="AV432" i="34" s="1"/>
  <c r="AM699" i="34"/>
  <c r="AV699" i="34" s="1"/>
  <c r="AN699" i="34"/>
  <c r="AN754" i="34"/>
  <c r="AM754" i="34"/>
  <c r="AV754" i="34" s="1"/>
  <c r="AN958" i="34"/>
  <c r="AM958" i="34"/>
  <c r="AV958" i="34" s="1"/>
  <c r="AM1256" i="34"/>
  <c r="AV1256" i="34" s="1"/>
  <c r="AN1256" i="34"/>
  <c r="AN1348" i="34"/>
  <c r="AM1348" i="34"/>
  <c r="AV1348" i="34" s="1"/>
  <c r="AN1547" i="34"/>
  <c r="AM1547" i="34"/>
  <c r="AV1547" i="34" s="1"/>
  <c r="AN225" i="34"/>
  <c r="AM225" i="34"/>
  <c r="AV225" i="34" s="1"/>
  <c r="AN330" i="34"/>
  <c r="AM330" i="34"/>
  <c r="AV330" i="34" s="1"/>
  <c r="AN353" i="34"/>
  <c r="AM353" i="34"/>
  <c r="AV353" i="34" s="1"/>
  <c r="AN472" i="34"/>
  <c r="AM472" i="34"/>
  <c r="AV472" i="34" s="1"/>
  <c r="AN546" i="34"/>
  <c r="AM546" i="34"/>
  <c r="AV546" i="34" s="1"/>
  <c r="AN1019" i="34"/>
  <c r="AM1019" i="34"/>
  <c r="AV1019" i="34" s="1"/>
  <c r="AN1099" i="34"/>
  <c r="AM1099" i="34"/>
  <c r="AV1099" i="34" s="1"/>
  <c r="AM1283" i="34"/>
  <c r="AV1283" i="34" s="1"/>
  <c r="AN1283" i="34"/>
  <c r="AM1236" i="34"/>
  <c r="AV1236" i="34" s="1"/>
  <c r="AN1236" i="34"/>
  <c r="AN533" i="34"/>
  <c r="AM533" i="34"/>
  <c r="AV533" i="34" s="1"/>
  <c r="AN222" i="34"/>
  <c r="AM222" i="34"/>
  <c r="AV222" i="34" s="1"/>
  <c r="AN641" i="34"/>
  <c r="AM641" i="34"/>
  <c r="AV641" i="34" s="1"/>
  <c r="AN545" i="34"/>
  <c r="AM545" i="34"/>
  <c r="AV545" i="34" s="1"/>
  <c r="AN783" i="34"/>
  <c r="AM783" i="34"/>
  <c r="AV783" i="34" s="1"/>
  <c r="AN790" i="34"/>
  <c r="AM790" i="34"/>
  <c r="AV790" i="34" s="1"/>
  <c r="AN122" i="34"/>
  <c r="AM122" i="34"/>
  <c r="AV122" i="34" s="1"/>
  <c r="AN336" i="34"/>
  <c r="AM336" i="34"/>
  <c r="AV336" i="34" s="1"/>
  <c r="AM928" i="34"/>
  <c r="AV928" i="34" s="1"/>
  <c r="AN928" i="34"/>
  <c r="AN214" i="34"/>
  <c r="AM214" i="34"/>
  <c r="AV214" i="34" s="1"/>
  <c r="AN614" i="34"/>
  <c r="AM614" i="34"/>
  <c r="AV614" i="34" s="1"/>
  <c r="AM528" i="34"/>
  <c r="AV528" i="34" s="1"/>
  <c r="AN528" i="34"/>
  <c r="AN120" i="34"/>
  <c r="AM120" i="34"/>
  <c r="AV120" i="34" s="1"/>
  <c r="AN328" i="34"/>
  <c r="AM328" i="34"/>
  <c r="AV328" i="34" s="1"/>
  <c r="AN643" i="34"/>
  <c r="AM643" i="34"/>
  <c r="AV643" i="34" s="1"/>
  <c r="AM13" i="34"/>
  <c r="AV13" i="34" s="1"/>
  <c r="AN13" i="34"/>
  <c r="AM57" i="34"/>
  <c r="AV57" i="34" s="1"/>
  <c r="AN57" i="34"/>
  <c r="AN326" i="34"/>
  <c r="AM326" i="34"/>
  <c r="AV326" i="34" s="1"/>
  <c r="AN430" i="34"/>
  <c r="AM430" i="34"/>
  <c r="AV430" i="34" s="1"/>
  <c r="AM471" i="34"/>
  <c r="AV471" i="34" s="1"/>
  <c r="AN471" i="34"/>
  <c r="AM503" i="34"/>
  <c r="AV503" i="34" s="1"/>
  <c r="AN503" i="34"/>
  <c r="AN521" i="34"/>
  <c r="AM521" i="34"/>
  <c r="AV521" i="34" s="1"/>
  <c r="AM723" i="34"/>
  <c r="AV723" i="34" s="1"/>
  <c r="AN723" i="34"/>
  <c r="AN869" i="34"/>
  <c r="AM869" i="34"/>
  <c r="AV869" i="34" s="1"/>
  <c r="AN861" i="34"/>
  <c r="AM861" i="34"/>
  <c r="AV861" i="34" s="1"/>
  <c r="AM1232" i="34"/>
  <c r="AV1232" i="34" s="1"/>
  <c r="AN1232" i="34"/>
  <c r="AN101" i="34"/>
  <c r="AM101" i="34"/>
  <c r="AV101" i="34" s="1"/>
  <c r="AN72" i="34"/>
  <c r="AM72" i="34"/>
  <c r="AV72" i="34" s="1"/>
  <c r="AN322" i="34"/>
  <c r="AM322" i="34"/>
  <c r="AV322" i="34" s="1"/>
  <c r="AN398" i="34"/>
  <c r="AM398" i="34"/>
  <c r="AV398" i="34" s="1"/>
  <c r="AN491" i="34"/>
  <c r="AM491" i="34"/>
  <c r="AV491" i="34" s="1"/>
  <c r="AN555" i="34"/>
  <c r="AM555" i="34"/>
  <c r="AV555" i="34" s="1"/>
  <c r="AN564" i="34"/>
  <c r="AM564" i="34"/>
  <c r="AV564" i="34" s="1"/>
  <c r="AN1071" i="34"/>
  <c r="AM1071" i="34"/>
  <c r="AV1071" i="34" s="1"/>
  <c r="AM1341" i="34"/>
  <c r="AV1341" i="34" s="1"/>
  <c r="AN1341" i="34"/>
  <c r="AM1295" i="34"/>
  <c r="AV1295" i="34" s="1"/>
  <c r="AN1295" i="34"/>
  <c r="AN79" i="34"/>
  <c r="AM79" i="34"/>
  <c r="AV79" i="34" s="1"/>
  <c r="AN251" i="34"/>
  <c r="AM251" i="34"/>
  <c r="AV251" i="34" s="1"/>
  <c r="AN360" i="34"/>
  <c r="AM360" i="34"/>
  <c r="AV360" i="34" s="1"/>
  <c r="AN334" i="34"/>
  <c r="AM334" i="34"/>
  <c r="AV334" i="34" s="1"/>
  <c r="AM408" i="34"/>
  <c r="AV408" i="34" s="1"/>
  <c r="AN408" i="34"/>
  <c r="AN419" i="34"/>
  <c r="AM419" i="34"/>
  <c r="AV419" i="34" s="1"/>
  <c r="AN578" i="34"/>
  <c r="AM578" i="34"/>
  <c r="AV578" i="34" s="1"/>
  <c r="AN914" i="34"/>
  <c r="AM914" i="34"/>
  <c r="AV914" i="34" s="1"/>
  <c r="AN1075" i="34"/>
  <c r="AM1075" i="34"/>
  <c r="AV1075" i="34" s="1"/>
  <c r="AN1425" i="34"/>
  <c r="AM1425" i="34"/>
  <c r="AV1425" i="34" s="1"/>
  <c r="AN124" i="34"/>
  <c r="AM124" i="34"/>
  <c r="AV124" i="34" s="1"/>
  <c r="AM467" i="34"/>
  <c r="AV467" i="34" s="1"/>
  <c r="AN467" i="34"/>
  <c r="AN522" i="34"/>
  <c r="AM522" i="34"/>
  <c r="AV522" i="34" s="1"/>
  <c r="AM606" i="34"/>
  <c r="AV606" i="34" s="1"/>
  <c r="AN606" i="34"/>
  <c r="AN1418" i="34"/>
  <c r="AM1418" i="34"/>
  <c r="AV1418" i="34" s="1"/>
  <c r="AN114" i="34"/>
  <c r="AM114" i="34"/>
  <c r="AV114" i="34" s="1"/>
  <c r="AN269" i="34"/>
  <c r="AM269" i="34"/>
  <c r="AV269" i="34" s="1"/>
  <c r="AN329" i="34"/>
  <c r="AM329" i="34"/>
  <c r="AV329" i="34" s="1"/>
  <c r="AN469" i="34"/>
  <c r="AM469" i="34"/>
  <c r="AV469" i="34" s="1"/>
  <c r="AN424" i="34"/>
  <c r="AM424" i="34"/>
  <c r="AV424" i="34" s="1"/>
  <c r="AN527" i="34"/>
  <c r="AM527" i="34"/>
  <c r="AV527" i="34" s="1"/>
  <c r="AN644" i="34"/>
  <c r="AM644" i="34"/>
  <c r="AV644" i="34" s="1"/>
  <c r="AN708" i="34"/>
  <c r="AM708" i="34"/>
  <c r="AV708" i="34" s="1"/>
  <c r="AN764" i="34"/>
  <c r="AM764" i="34"/>
  <c r="AV764" i="34" s="1"/>
  <c r="AN745" i="34"/>
  <c r="AM745" i="34"/>
  <c r="AV745" i="34" s="1"/>
  <c r="AN1420" i="34"/>
  <c r="AM1420" i="34"/>
  <c r="AV1420" i="34" s="1"/>
  <c r="AN129" i="34"/>
  <c r="AM129" i="34"/>
  <c r="AV129" i="34" s="1"/>
  <c r="AN338" i="34"/>
  <c r="AM338" i="34"/>
  <c r="AV338" i="34" s="1"/>
  <c r="AN428" i="34"/>
  <c r="AM428" i="34"/>
  <c r="AV428" i="34" s="1"/>
  <c r="AM594" i="34"/>
  <c r="AV594" i="34" s="1"/>
  <c r="AN594" i="34"/>
  <c r="AN873" i="34"/>
  <c r="AM873" i="34"/>
  <c r="AV873" i="34" s="1"/>
  <c r="AN1426" i="34"/>
  <c r="AM1426" i="34"/>
  <c r="AV1426" i="34" s="1"/>
  <c r="AN116" i="34"/>
  <c r="AM116" i="34"/>
  <c r="AV116" i="34" s="1"/>
  <c r="AM24" i="34"/>
  <c r="AV24" i="34" s="1"/>
  <c r="AN24" i="34"/>
  <c r="AN217" i="34"/>
  <c r="AM217" i="34"/>
  <c r="AV217" i="34" s="1"/>
  <c r="AN325" i="34"/>
  <c r="AM325" i="34"/>
  <c r="AV325" i="34" s="1"/>
  <c r="AN423" i="34"/>
  <c r="AM423" i="34"/>
  <c r="AV423" i="34" s="1"/>
  <c r="AN442" i="34"/>
  <c r="AM442" i="34"/>
  <c r="AV442" i="34" s="1"/>
  <c r="AN530" i="34"/>
  <c r="AM530" i="34"/>
  <c r="AV530" i="34" s="1"/>
  <c r="AM757" i="34"/>
  <c r="AV757" i="34" s="1"/>
  <c r="AN757" i="34"/>
  <c r="AN746" i="34"/>
  <c r="AM746" i="34"/>
  <c r="AV746" i="34" s="1"/>
  <c r="AN136" i="34"/>
  <c r="AM136" i="34"/>
  <c r="AV136" i="34" s="1"/>
  <c r="AN102" i="34"/>
  <c r="AM102" i="34"/>
  <c r="AV102" i="34" s="1"/>
  <c r="AN341" i="34"/>
  <c r="AM341" i="34"/>
  <c r="AV341" i="34" s="1"/>
  <c r="AN436" i="34"/>
  <c r="AM436" i="34"/>
  <c r="AV436" i="34" s="1"/>
  <c r="AN487" i="34"/>
  <c r="AM487" i="34"/>
  <c r="AV487" i="34" s="1"/>
  <c r="AM687" i="34"/>
  <c r="AV687" i="34" s="1"/>
  <c r="AN687" i="34"/>
  <c r="AM710" i="34"/>
  <c r="AV710" i="34" s="1"/>
  <c r="AN710" i="34"/>
  <c r="AN831" i="34"/>
  <c r="AM831" i="34"/>
  <c r="AV831" i="34" s="1"/>
  <c r="AM1034" i="34"/>
  <c r="AV1034" i="34" s="1"/>
  <c r="AN1034" i="34"/>
  <c r="AN260" i="34"/>
  <c r="AM260" i="34"/>
  <c r="AV260" i="34" s="1"/>
  <c r="AM49" i="34"/>
  <c r="AV49" i="34" s="1"/>
  <c r="AN49" i="34"/>
  <c r="AN636" i="34"/>
  <c r="AM636" i="34"/>
  <c r="AV636" i="34" s="1"/>
  <c r="AN803" i="34"/>
  <c r="AN1216" i="34"/>
  <c r="AM1216" i="34"/>
  <c r="AV1216" i="34" s="1"/>
  <c r="AN80" i="34"/>
  <c r="AM80" i="34"/>
  <c r="AV80" i="34" s="1"/>
  <c r="AM393" i="34"/>
  <c r="AV393" i="34" s="1"/>
  <c r="AN393" i="34"/>
  <c r="AM907" i="34"/>
  <c r="AV907" i="34" s="1"/>
  <c r="AN907" i="34"/>
  <c r="AN1501" i="34"/>
  <c r="AM1501" i="34"/>
  <c r="AV1501" i="34" s="1"/>
  <c r="AM609" i="34"/>
  <c r="AV609" i="34" s="1"/>
  <c r="AN609" i="34"/>
  <c r="AN549" i="34"/>
  <c r="AM549" i="34"/>
  <c r="AV549" i="34" s="1"/>
  <c r="AM317" i="34"/>
  <c r="AV317" i="34" s="1"/>
  <c r="AN317" i="34"/>
  <c r="AN515" i="34"/>
  <c r="AM515" i="34"/>
  <c r="AV515" i="34" s="1"/>
  <c r="AN1334" i="34"/>
  <c r="AM1334" i="34"/>
  <c r="AV1334" i="34" s="1"/>
  <c r="AN405" i="34"/>
  <c r="AM405" i="34"/>
  <c r="AV405" i="34" s="1"/>
  <c r="AN134" i="34"/>
  <c r="AM134" i="34"/>
  <c r="AV134" i="34" s="1"/>
  <c r="AN256" i="34"/>
  <c r="AM256" i="34"/>
  <c r="AV256" i="34" s="1"/>
  <c r="AM920" i="34"/>
  <c r="AV920" i="34" s="1"/>
  <c r="AN920" i="34"/>
  <c r="AN115" i="34"/>
  <c r="AM115" i="34"/>
  <c r="AV115" i="34" s="1"/>
  <c r="AN1215" i="34"/>
  <c r="AM1215" i="34"/>
  <c r="AV1215" i="34" s="1"/>
  <c r="AM36" i="34"/>
  <c r="AV36" i="34" s="1"/>
  <c r="AN36" i="34"/>
  <c r="AN365" i="34"/>
  <c r="AM365" i="34"/>
  <c r="AV365" i="34" s="1"/>
  <c r="AN537" i="34"/>
  <c r="AM537" i="34"/>
  <c r="AV537" i="34" s="1"/>
  <c r="AN888" i="34"/>
  <c r="AM888" i="34"/>
  <c r="AV888" i="34" s="1"/>
  <c r="AM1040" i="34"/>
  <c r="AV1040" i="34" s="1"/>
  <c r="AN1040" i="34"/>
  <c r="AN106" i="34"/>
  <c r="AM106" i="34"/>
  <c r="AV106" i="34" s="1"/>
  <c r="AN229" i="34"/>
  <c r="AM229" i="34"/>
  <c r="AV229" i="34" s="1"/>
  <c r="AN712" i="34"/>
  <c r="AM712" i="34"/>
  <c r="AV712" i="34" s="1"/>
  <c r="AN727" i="34"/>
  <c r="AM727" i="34"/>
  <c r="AV727" i="34" s="1"/>
  <c r="AM678" i="34"/>
  <c r="AV678" i="34" s="1"/>
  <c r="AN678" i="34"/>
  <c r="AN756" i="34"/>
  <c r="AM756" i="34"/>
  <c r="AV756" i="34" s="1"/>
  <c r="AN782" i="34"/>
  <c r="AM782" i="34"/>
  <c r="AV782" i="34" s="1"/>
  <c r="AM1026" i="34"/>
  <c r="AV1026" i="34" s="1"/>
  <c r="AN1026" i="34"/>
  <c r="AN337" i="34"/>
  <c r="AM337" i="34"/>
  <c r="AV337" i="34" s="1"/>
  <c r="AN333" i="34"/>
  <c r="AM333" i="34"/>
  <c r="AV333" i="34" s="1"/>
  <c r="AN342" i="34"/>
  <c r="AM342" i="34"/>
  <c r="AV342" i="34" s="1"/>
  <c r="AM602" i="34"/>
  <c r="AV602" i="34" s="1"/>
  <c r="AN602" i="34"/>
  <c r="AN526" i="34"/>
  <c r="AM526" i="34"/>
  <c r="AV526" i="34" s="1"/>
  <c r="AM649" i="34"/>
  <c r="AV649" i="34" s="1"/>
  <c r="AN649" i="34"/>
  <c r="AN840" i="34"/>
  <c r="AM840" i="34"/>
  <c r="AV840" i="34" s="1"/>
  <c r="AN1073" i="34"/>
  <c r="AM1073" i="34"/>
  <c r="AV1073" i="34" s="1"/>
  <c r="AM1222" i="34"/>
  <c r="AV1222" i="34" s="1"/>
  <c r="AN1222" i="34"/>
  <c r="AN1278" i="34"/>
  <c r="AM1278" i="34"/>
  <c r="AV1278" i="34" s="1"/>
  <c r="AM45" i="34"/>
  <c r="AV45" i="34" s="1"/>
  <c r="AN45" i="34"/>
  <c r="AM184" i="34"/>
  <c r="AV184" i="34" s="1"/>
  <c r="AN184" i="34"/>
  <c r="AN210" i="34"/>
  <c r="AM210" i="34"/>
  <c r="AV210" i="34" s="1"/>
  <c r="AN431" i="34"/>
  <c r="AM431" i="34"/>
  <c r="AV431" i="34" s="1"/>
  <c r="AN538" i="34"/>
  <c r="AM538" i="34"/>
  <c r="AV538" i="34" s="1"/>
  <c r="AN752" i="34"/>
  <c r="AM752" i="34"/>
  <c r="AV752" i="34" s="1"/>
  <c r="AM880" i="34"/>
  <c r="AV880" i="34" s="1"/>
  <c r="AN880" i="34"/>
  <c r="AN894" i="34"/>
  <c r="AM894" i="34"/>
  <c r="AV894" i="34" s="1"/>
  <c r="AM1337" i="34"/>
  <c r="AV1337" i="34" s="1"/>
  <c r="AN1337" i="34"/>
  <c r="AM1530" i="34"/>
  <c r="AV1530" i="34" s="1"/>
  <c r="AN1530" i="34"/>
  <c r="AM28" i="34"/>
  <c r="AV28" i="34" s="1"/>
  <c r="AN28" i="34"/>
  <c r="AM456" i="34"/>
  <c r="AV456" i="34" s="1"/>
  <c r="AN456" i="34"/>
  <c r="AN779" i="34"/>
  <c r="AM779" i="34"/>
  <c r="AV779" i="34" s="1"/>
  <c r="AN763" i="34"/>
  <c r="AM763" i="34"/>
  <c r="AV763" i="34" s="1"/>
  <c r="AN1434" i="34"/>
  <c r="AM1434" i="34"/>
  <c r="AV1434" i="34" s="1"/>
  <c r="AN240" i="34"/>
  <c r="AM240" i="34"/>
  <c r="AV240" i="34" s="1"/>
  <c r="AN488" i="34"/>
  <c r="AM488" i="34"/>
  <c r="AV488" i="34" s="1"/>
  <c r="AN523" i="34"/>
  <c r="AM523" i="34"/>
  <c r="AV523" i="34" s="1"/>
  <c r="AN542" i="34"/>
  <c r="AM542" i="34"/>
  <c r="AV542" i="34" s="1"/>
  <c r="AN835" i="34"/>
  <c r="AM835" i="34"/>
  <c r="AV835" i="34" s="1"/>
  <c r="AM188" i="34"/>
  <c r="AV188" i="34" s="1"/>
  <c r="AN188" i="34"/>
  <c r="AN248" i="34"/>
  <c r="AM248" i="34"/>
  <c r="AV248" i="34" s="1"/>
  <c r="AN410" i="34"/>
  <c r="AM410" i="34"/>
  <c r="AV410" i="34" s="1"/>
  <c r="AN394" i="34"/>
  <c r="AM394" i="34"/>
  <c r="AV394" i="34" s="1"/>
  <c r="AN531" i="34"/>
  <c r="AM531" i="34"/>
  <c r="AV531" i="34" s="1"/>
  <c r="AN556" i="34"/>
  <c r="AM556" i="34"/>
  <c r="AV556" i="34" s="1"/>
  <c r="AN714" i="34"/>
  <c r="AM714" i="34"/>
  <c r="AV714" i="34" s="1"/>
  <c r="AM1244" i="34"/>
  <c r="AV1244" i="34" s="1"/>
  <c r="AN1244" i="34"/>
  <c r="AN1451" i="34"/>
  <c r="AM1451" i="34"/>
  <c r="AV1451" i="34" s="1"/>
  <c r="AN344" i="34"/>
  <c r="AM344" i="34"/>
  <c r="AV344" i="34" s="1"/>
  <c r="AN519" i="34"/>
  <c r="AM519" i="34"/>
  <c r="AV519" i="34" s="1"/>
  <c r="AN584" i="34"/>
  <c r="AM584" i="34"/>
  <c r="AV584" i="34" s="1"/>
  <c r="AM728" i="34"/>
  <c r="AV728" i="34" s="1"/>
  <c r="AN728" i="34"/>
  <c r="AN1488" i="34"/>
  <c r="AM1488" i="34"/>
  <c r="AV1488" i="34" s="1"/>
  <c r="AN633" i="34"/>
  <c r="AM633" i="34"/>
  <c r="AV633" i="34" s="1"/>
  <c r="AM890" i="34"/>
  <c r="AV890" i="34" s="1"/>
  <c r="AN890" i="34"/>
  <c r="AN103" i="34"/>
  <c r="AM103" i="34"/>
  <c r="AV103" i="34" s="1"/>
  <c r="AN634" i="34"/>
  <c r="AM634" i="34"/>
  <c r="AV634" i="34" s="1"/>
  <c r="AN621" i="34"/>
  <c r="AM621" i="34"/>
  <c r="AV621" i="34" s="1"/>
  <c r="AN245" i="34"/>
  <c r="AM245" i="34"/>
  <c r="AV245" i="34" s="1"/>
  <c r="AN340" i="34"/>
  <c r="AM340" i="34"/>
  <c r="AV340" i="34" s="1"/>
  <c r="AN1197" i="34"/>
  <c r="AM1197" i="34"/>
  <c r="AV1197" i="34" s="1"/>
  <c r="AN1412" i="34"/>
  <c r="AM1412" i="34"/>
  <c r="AV1412" i="34" s="1"/>
  <c r="AN351" i="34"/>
  <c r="AM351" i="34"/>
  <c r="AV351" i="34" s="1"/>
  <c r="AN956" i="34"/>
  <c r="AM956" i="34"/>
  <c r="AV956" i="34" s="1"/>
  <c r="AN111" i="34"/>
  <c r="AM111" i="34"/>
  <c r="AV111" i="34" s="1"/>
  <c r="AN355" i="34"/>
  <c r="AM355" i="34"/>
  <c r="AV355" i="34" s="1"/>
  <c r="AN642" i="34"/>
  <c r="AM642" i="34"/>
  <c r="AV642" i="34" s="1"/>
  <c r="AN332" i="34"/>
  <c r="AM332" i="34"/>
  <c r="AV332" i="34" s="1"/>
  <c r="AN612" i="34"/>
  <c r="AM612" i="34"/>
  <c r="AV612" i="34" s="1"/>
  <c r="AN823" i="34"/>
  <c r="AM823" i="34"/>
  <c r="AV823" i="34" s="1"/>
  <c r="AN1211" i="34"/>
  <c r="AM1211" i="34"/>
  <c r="AV1211" i="34" s="1"/>
  <c r="AN347" i="34"/>
  <c r="AM347" i="34"/>
  <c r="AV347" i="34" s="1"/>
  <c r="AN645" i="34"/>
  <c r="AM645" i="34"/>
  <c r="AV645" i="34" s="1"/>
  <c r="AN1496" i="34"/>
  <c r="AM1496" i="34"/>
  <c r="AV1496" i="34" s="1"/>
  <c r="AN16" i="34"/>
  <c r="AM16" i="34"/>
  <c r="AV16" i="34" s="1"/>
  <c r="AN518" i="34"/>
  <c r="AM518" i="34"/>
  <c r="AV518" i="34" s="1"/>
  <c r="AN426" i="34"/>
  <c r="AM426" i="34"/>
  <c r="AV426" i="34" s="1"/>
  <c r="AN480" i="34"/>
  <c r="AM480" i="34"/>
  <c r="AV480" i="34" s="1"/>
  <c r="AM385" i="34"/>
  <c r="AV385" i="34" s="1"/>
  <c r="AN385" i="34"/>
  <c r="AN693" i="34"/>
  <c r="AM693" i="34"/>
  <c r="AV693" i="34" s="1"/>
  <c r="AM721" i="34"/>
  <c r="AV721" i="34" s="1"/>
  <c r="AN721" i="34"/>
  <c r="AN20" i="34"/>
  <c r="AM20" i="34"/>
  <c r="AV20" i="34" s="1"/>
  <c r="AN78" i="34"/>
  <c r="AM78" i="34"/>
  <c r="AV78" i="34" s="1"/>
  <c r="AM164" i="34"/>
  <c r="AV164" i="34" s="1"/>
  <c r="AN164" i="34"/>
  <c r="AM206" i="34"/>
  <c r="AV206" i="34" s="1"/>
  <c r="AN206" i="34"/>
  <c r="AN358" i="34"/>
  <c r="AM358" i="34"/>
  <c r="AV358" i="34" s="1"/>
  <c r="AM486" i="34"/>
  <c r="AV486" i="34" s="1"/>
  <c r="AN486" i="34"/>
  <c r="AM381" i="34"/>
  <c r="AV381" i="34" s="1"/>
  <c r="AN381" i="34"/>
  <c r="AN697" i="34"/>
  <c r="AM697" i="34"/>
  <c r="AV697" i="34" s="1"/>
  <c r="AM703" i="34"/>
  <c r="AV703" i="34" s="1"/>
  <c r="AN703" i="34"/>
  <c r="AM691" i="34"/>
  <c r="AV691" i="34" s="1"/>
  <c r="AN691" i="34"/>
  <c r="AN1055" i="34"/>
  <c r="AM1055" i="34"/>
  <c r="AV1055" i="34" s="1"/>
  <c r="AN1468" i="34"/>
  <c r="AM1468" i="34"/>
  <c r="AV1468" i="34" s="1"/>
  <c r="AN113" i="34"/>
  <c r="AM113" i="34"/>
  <c r="AV113" i="34" s="1"/>
  <c r="AM494" i="34"/>
  <c r="AV494" i="34" s="1"/>
  <c r="AN494" i="34"/>
  <c r="AM482" i="34"/>
  <c r="AV482" i="34" s="1"/>
  <c r="AN482" i="34"/>
  <c r="AN975" i="34"/>
  <c r="AM975" i="34"/>
  <c r="AV975" i="34" s="1"/>
  <c r="AN76" i="34"/>
  <c r="AM76" i="34"/>
  <c r="AV76" i="34" s="1"/>
  <c r="AN277" i="34"/>
  <c r="AM277" i="34"/>
  <c r="AV277" i="34" s="1"/>
  <c r="AN236" i="34"/>
  <c r="AM236" i="34"/>
  <c r="AV236" i="34" s="1"/>
  <c r="AN473" i="34"/>
  <c r="AM473" i="34"/>
  <c r="AV473" i="34" s="1"/>
  <c r="AM749" i="34"/>
  <c r="AV749" i="34" s="1"/>
  <c r="AN749" i="34"/>
  <c r="AN1258" i="34"/>
  <c r="AM1258" i="34"/>
  <c r="AV1258" i="34" s="1"/>
  <c r="AN267" i="34"/>
  <c r="AM267" i="34"/>
  <c r="AV267" i="34" s="1"/>
  <c r="AN438" i="34"/>
  <c r="AM438" i="34"/>
  <c r="AV438" i="34" s="1"/>
  <c r="AM711" i="34"/>
  <c r="AV711" i="34" s="1"/>
  <c r="AN711" i="34"/>
  <c r="AM168" i="34"/>
  <c r="AV168" i="34" s="1"/>
  <c r="AN168" i="34"/>
  <c r="AM180" i="34"/>
  <c r="AV180" i="34" s="1"/>
  <c r="AN180" i="34"/>
  <c r="AN435" i="34"/>
  <c r="AM435" i="34"/>
  <c r="AV435" i="34" s="1"/>
  <c r="AM392" i="34"/>
  <c r="AV392" i="34" s="1"/>
  <c r="AN392" i="34"/>
  <c r="AN422" i="34"/>
  <c r="AM422" i="34"/>
  <c r="AV422" i="34" s="1"/>
  <c r="AM475" i="34"/>
  <c r="AV475" i="34" s="1"/>
  <c r="AN475" i="34"/>
  <c r="AN468" i="34"/>
  <c r="AM468" i="34"/>
  <c r="AV468" i="34" s="1"/>
  <c r="AN583" i="34"/>
  <c r="AM583" i="34"/>
  <c r="AV583" i="34" s="1"/>
  <c r="AM598" i="34"/>
  <c r="AV598" i="34" s="1"/>
  <c r="AN598" i="34"/>
  <c r="AN742" i="34"/>
  <c r="AM742" i="34"/>
  <c r="AV742" i="34" s="1"/>
  <c r="AM674" i="34"/>
  <c r="AV674" i="34" s="1"/>
  <c r="AN674" i="34"/>
  <c r="AI1333" i="21" l="1"/>
  <c r="AI1332" i="21"/>
  <c r="AI1330" i="21"/>
  <c r="AI1329" i="21"/>
  <c r="AI1328" i="21"/>
  <c r="AI1327" i="21"/>
  <c r="AI1326" i="21"/>
  <c r="Z1329" i="21"/>
  <c r="Z1326" i="21"/>
  <c r="AE1231" i="21"/>
  <c r="AE1232" i="21"/>
  <c r="AB1231" i="21"/>
  <c r="AB1232" i="21"/>
  <c r="AE1230" i="21"/>
  <c r="AE1233" i="21"/>
  <c r="AE1228" i="21"/>
  <c r="AE193" i="21"/>
  <c r="AI1335" i="21"/>
  <c r="AI1336" i="21"/>
  <c r="AI1337" i="21"/>
  <c r="AT1148" i="21" l="1"/>
  <c r="AS1228" i="21"/>
  <c r="AS1231" i="21"/>
  <c r="AS1237" i="21"/>
  <c r="AS1238" i="21"/>
  <c r="AS1239" i="21"/>
  <c r="AS1567" i="21"/>
  <c r="AS1570" i="21"/>
  <c r="AE1130" i="21"/>
  <c r="AS1130" i="21" s="1"/>
  <c r="AI1130" i="21"/>
  <c r="AJ1130" i="21" s="1"/>
  <c r="AE1131" i="21"/>
  <c r="AI1131" i="21"/>
  <c r="AJ1131" i="21" s="1"/>
  <c r="AE1132" i="21"/>
  <c r="AS1132" i="21" s="1"/>
  <c r="AI1132" i="21"/>
  <c r="AJ1132" i="21" s="1"/>
  <c r="AE1133" i="21"/>
  <c r="AS1133" i="21" s="1"/>
  <c r="AI1133" i="21"/>
  <c r="AE1134" i="21"/>
  <c r="AS1134" i="21" s="1"/>
  <c r="AI1134" i="21"/>
  <c r="AJ1134" i="21" s="1"/>
  <c r="AE1135" i="21"/>
  <c r="AI1135" i="21"/>
  <c r="AJ1135" i="21" s="1"/>
  <c r="AE1136" i="21"/>
  <c r="AS1136" i="21" s="1"/>
  <c r="AI1136" i="21"/>
  <c r="AJ1136" i="21" s="1"/>
  <c r="AE1137" i="21"/>
  <c r="AS1137" i="21" s="1"/>
  <c r="AI1137" i="21"/>
  <c r="AE1138" i="21"/>
  <c r="AI1138" i="21"/>
  <c r="AJ1138" i="21" s="1"/>
  <c r="AE1139" i="21"/>
  <c r="AI1139" i="21"/>
  <c r="AJ1139" i="21" s="1"/>
  <c r="AE1140" i="21"/>
  <c r="AS1140" i="21" s="1"/>
  <c r="AI1140" i="21"/>
  <c r="AJ1140" i="21" s="1"/>
  <c r="AE1141" i="21"/>
  <c r="AS1141" i="21" s="1"/>
  <c r="AI1141" i="21"/>
  <c r="AE1142" i="21"/>
  <c r="AS1142" i="21" s="1"/>
  <c r="AE1143" i="21"/>
  <c r="AI1143" i="21"/>
  <c r="AJ1143" i="21" s="1"/>
  <c r="AE1144" i="21"/>
  <c r="AS1144" i="21" s="1"/>
  <c r="AI1144" i="21"/>
  <c r="AJ1144" i="21" s="1"/>
  <c r="AE1145" i="21"/>
  <c r="AS1145" i="21" s="1"/>
  <c r="AI1145" i="21"/>
  <c r="AE1146" i="21"/>
  <c r="AI1146" i="21"/>
  <c r="AJ1146" i="21" s="1"/>
  <c r="AE1147" i="21"/>
  <c r="AI1147" i="21"/>
  <c r="AE1148" i="21"/>
  <c r="AS1148" i="21" s="1"/>
  <c r="AI1148" i="21"/>
  <c r="AJ1148" i="21" s="1"/>
  <c r="AE1149" i="21"/>
  <c r="AS1149" i="21" s="1"/>
  <c r="AE1150" i="21"/>
  <c r="AI1150" i="21"/>
  <c r="AJ1150" i="21" s="1"/>
  <c r="AE1151" i="21"/>
  <c r="AI1151" i="21"/>
  <c r="AE1152" i="21"/>
  <c r="AS1152" i="21" s="1"/>
  <c r="AE1153" i="21"/>
  <c r="AI1153" i="21"/>
  <c r="AE1154" i="21"/>
  <c r="AS1154" i="21" s="1"/>
  <c r="AI1154" i="21"/>
  <c r="AJ1154" i="21" s="1"/>
  <c r="AE1155" i="21"/>
  <c r="AE1156" i="21"/>
  <c r="AE1157" i="21"/>
  <c r="AS1157" i="21" s="1"/>
  <c r="AI1157" i="21"/>
  <c r="AE1158" i="21"/>
  <c r="AI1158" i="21"/>
  <c r="AJ1158" i="21" s="1"/>
  <c r="AE1159" i="21"/>
  <c r="AI1159" i="21"/>
  <c r="AE1160" i="21"/>
  <c r="AS1160" i="21" s="1"/>
  <c r="AI1160" i="21"/>
  <c r="AE1161" i="21"/>
  <c r="AS1161" i="21" s="1"/>
  <c r="AI1161" i="21"/>
  <c r="AE1162" i="21"/>
  <c r="AF1162" i="21" s="1"/>
  <c r="AI1162" i="21"/>
  <c r="AJ1162" i="21" s="1"/>
  <c r="AE1163" i="21"/>
  <c r="AE1164" i="21"/>
  <c r="AI1164" i="21"/>
  <c r="AJ1164" i="21" s="1"/>
  <c r="AE1165" i="21"/>
  <c r="AS1165" i="21" s="1"/>
  <c r="AI1165" i="21"/>
  <c r="AE1166" i="21"/>
  <c r="AE1167" i="21"/>
  <c r="AI1167" i="21"/>
  <c r="AJ1167" i="21" s="1"/>
  <c r="AE1168" i="21"/>
  <c r="AS1168" i="21" s="1"/>
  <c r="AI1168" i="21"/>
  <c r="AE1169" i="21"/>
  <c r="AI1169" i="21"/>
  <c r="AE1170" i="21"/>
  <c r="AF1170" i="21" s="1"/>
  <c r="AI1170" i="21"/>
  <c r="AJ1170" i="21" s="1"/>
  <c r="AE1171" i="21"/>
  <c r="AE1172" i="21"/>
  <c r="AS1172" i="21" s="1"/>
  <c r="AI1172" i="21"/>
  <c r="AJ1172" i="21" s="1"/>
  <c r="AE1173" i="21"/>
  <c r="AS1173" i="21" s="1"/>
  <c r="AI1173" i="21"/>
  <c r="AE1174" i="21"/>
  <c r="AI1174" i="21"/>
  <c r="AJ1174" i="21" s="1"/>
  <c r="AE1175" i="21"/>
  <c r="AI1175" i="21"/>
  <c r="AE1176" i="21"/>
  <c r="AS1176" i="21" s="1"/>
  <c r="AI1176" i="21"/>
  <c r="AE1177" i="21"/>
  <c r="AI1177" i="21"/>
  <c r="AE1178" i="21"/>
  <c r="AI1178" i="21"/>
  <c r="AJ1178" i="21" s="1"/>
  <c r="AE1179" i="21"/>
  <c r="AI1179" i="21"/>
  <c r="AJ1179" i="21" s="1"/>
  <c r="AE1180" i="21"/>
  <c r="AS1180" i="21" s="1"/>
  <c r="AI1180" i="21"/>
  <c r="AJ1180" i="21" s="1"/>
  <c r="AE1181" i="21"/>
  <c r="AS1181" i="21" s="1"/>
  <c r="AI1181" i="21"/>
  <c r="AE1182" i="21"/>
  <c r="AS1182" i="21" s="1"/>
  <c r="AI1182" i="21"/>
  <c r="AJ1182" i="21" s="1"/>
  <c r="AE1183" i="21"/>
  <c r="AI1183" i="21"/>
  <c r="AJ1183" i="21" s="1"/>
  <c r="AE1184" i="21"/>
  <c r="AS1184" i="21" s="1"/>
  <c r="AI1184" i="21"/>
  <c r="AJ1184" i="21" s="1"/>
  <c r="AE1185" i="21"/>
  <c r="AS1185" i="21" s="1"/>
  <c r="AI1185" i="21"/>
  <c r="AE1186" i="21"/>
  <c r="AS1186" i="21" s="1"/>
  <c r="AI1186" i="21"/>
  <c r="AJ1186" i="21" s="1"/>
  <c r="AE1187" i="21"/>
  <c r="AI1187" i="21"/>
  <c r="AJ1187" i="21" s="1"/>
  <c r="AE1188" i="21"/>
  <c r="AS1188" i="21" s="1"/>
  <c r="AI1188" i="21"/>
  <c r="AE1189" i="21"/>
  <c r="AS1189" i="21" s="1"/>
  <c r="AI1189" i="21"/>
  <c r="AJ1189" i="21" s="1"/>
  <c r="AE1190" i="21"/>
  <c r="AI1190" i="21"/>
  <c r="AJ1190" i="21" s="1"/>
  <c r="AE1191" i="21"/>
  <c r="AE1192" i="21"/>
  <c r="AS1192" i="21" s="1"/>
  <c r="AE1193" i="21"/>
  <c r="AE1194" i="21"/>
  <c r="AF1194" i="21" s="1"/>
  <c r="AE1195" i="21"/>
  <c r="AI1195" i="21"/>
  <c r="AJ1195" i="21" s="1"/>
  <c r="AE1196" i="21"/>
  <c r="AS1196" i="21" s="1"/>
  <c r="AI1196" i="21"/>
  <c r="AE1197" i="21"/>
  <c r="AS1197" i="21" s="1"/>
  <c r="AI1197" i="21"/>
  <c r="AE1198" i="21"/>
  <c r="AI1198" i="21"/>
  <c r="AE1199" i="21"/>
  <c r="AI1199" i="21"/>
  <c r="AJ1199" i="21" s="1"/>
  <c r="AE1200" i="21"/>
  <c r="AI1200" i="21"/>
  <c r="AE1201" i="21"/>
  <c r="AI1201" i="21"/>
  <c r="AJ1201" i="21" s="1"/>
  <c r="AE1202" i="21"/>
  <c r="AF1202" i="21" s="1"/>
  <c r="AI1202" i="21"/>
  <c r="AE1203" i="21"/>
  <c r="AI1203" i="21"/>
  <c r="AJ1203" i="21" s="1"/>
  <c r="AE1204" i="21"/>
  <c r="AI1204" i="21"/>
  <c r="AJ1204" i="21" s="1"/>
  <c r="AE1205" i="21"/>
  <c r="AS1205" i="21" s="1"/>
  <c r="AI1205" i="21"/>
  <c r="AJ1205" i="21" s="1"/>
  <c r="AE1206" i="21"/>
  <c r="AS1206" i="21" s="1"/>
  <c r="AI1206" i="21"/>
  <c r="AE1207" i="21"/>
  <c r="AI1207" i="21"/>
  <c r="AJ1207" i="21" s="1"/>
  <c r="AE1208" i="21"/>
  <c r="AI1208" i="21"/>
  <c r="AJ1208" i="21" s="1"/>
  <c r="AE1209" i="21"/>
  <c r="AS1209" i="21" s="1"/>
  <c r="AI1209" i="21"/>
  <c r="AJ1209" i="21" s="1"/>
  <c r="AE1210" i="21"/>
  <c r="AE1211" i="21"/>
  <c r="AS1211" i="21" s="1"/>
  <c r="AI1211" i="21"/>
  <c r="AJ1211" i="21" s="1"/>
  <c r="AE1212" i="21"/>
  <c r="AE1213" i="21"/>
  <c r="AS1213" i="21" s="1"/>
  <c r="AE1214" i="21"/>
  <c r="AS1214" i="21" s="1"/>
  <c r="AI1214" i="21"/>
  <c r="AE1215" i="21"/>
  <c r="AI1215" i="21"/>
  <c r="AJ1215" i="21" s="1"/>
  <c r="AE1216" i="21"/>
  <c r="AI1216" i="21"/>
  <c r="AJ1216" i="21" s="1"/>
  <c r="AE1217" i="21"/>
  <c r="AS1217" i="21" s="1"/>
  <c r="AI1217" i="21"/>
  <c r="AJ1217" i="21" s="1"/>
  <c r="AE1218" i="21"/>
  <c r="AS1218" i="21" s="1"/>
  <c r="AI1218" i="21"/>
  <c r="AE1219" i="21"/>
  <c r="AE1220" i="21"/>
  <c r="AI1220" i="21"/>
  <c r="AE1221" i="21"/>
  <c r="AS1221" i="21" s="1"/>
  <c r="AI1221" i="21"/>
  <c r="AJ1221" i="21" s="1"/>
  <c r="AE1222" i="21"/>
  <c r="AS1222" i="21" s="1"/>
  <c r="AI1222" i="21"/>
  <c r="AE1223" i="21"/>
  <c r="AS1223" i="21" s="1"/>
  <c r="AI1223" i="21"/>
  <c r="AJ1223" i="21" s="1"/>
  <c r="AE1224" i="21"/>
  <c r="AI1224" i="21"/>
  <c r="AE1225" i="21"/>
  <c r="AI1225" i="21"/>
  <c r="AJ1225" i="21" s="1"/>
  <c r="AE1226" i="21"/>
  <c r="AI1226" i="21"/>
  <c r="AE1227" i="21"/>
  <c r="AI1228" i="21"/>
  <c r="AE1229" i="21"/>
  <c r="AI1229" i="21"/>
  <c r="AJ1229" i="21" s="1"/>
  <c r="AI1230" i="21"/>
  <c r="AI1231" i="21"/>
  <c r="AJ1231" i="21" s="1"/>
  <c r="AI1232" i="21"/>
  <c r="AS1233" i="21"/>
  <c r="AI1233" i="21"/>
  <c r="AJ1233" i="21" s="1"/>
  <c r="AE1234" i="21"/>
  <c r="AI1234" i="21"/>
  <c r="AJ1234" i="21" s="1"/>
  <c r="AE1235" i="21"/>
  <c r="AI1235" i="21"/>
  <c r="AJ1235" i="21" s="1"/>
  <c r="AE1236" i="21"/>
  <c r="AF1236" i="21" s="1"/>
  <c r="AI1236" i="21"/>
  <c r="AI1237" i="21"/>
  <c r="AJ1237" i="21" s="1"/>
  <c r="AI1238" i="21"/>
  <c r="AJ1238" i="21" s="1"/>
  <c r="AI1239" i="21"/>
  <c r="AE1240" i="21"/>
  <c r="AS1240" i="21" s="1"/>
  <c r="AI1240" i="21"/>
  <c r="AJ1240" i="21" s="1"/>
  <c r="AE1241" i="21"/>
  <c r="AI1241" i="21"/>
  <c r="AJ1241" i="21" s="1"/>
  <c r="AE1242" i="21"/>
  <c r="AI1242" i="21"/>
  <c r="AE1243" i="21"/>
  <c r="AI1243" i="21"/>
  <c r="AE1244" i="21"/>
  <c r="AE1245" i="21"/>
  <c r="AI1245" i="21"/>
  <c r="AE1246" i="21"/>
  <c r="AS1246" i="21" s="1"/>
  <c r="AI1246" i="21"/>
  <c r="AJ1246" i="21" s="1"/>
  <c r="AE1247" i="21"/>
  <c r="AE1248" i="21"/>
  <c r="AI1248" i="21"/>
  <c r="AE1249" i="21"/>
  <c r="AI1249" i="21"/>
  <c r="AJ1249" i="21" s="1"/>
  <c r="AE1250" i="21"/>
  <c r="AE1251" i="21"/>
  <c r="AI1251" i="21"/>
  <c r="AE1252" i="21"/>
  <c r="AS1252" i="21" s="1"/>
  <c r="AI1252" i="21"/>
  <c r="AJ1252" i="21" s="1"/>
  <c r="AE1253" i="21"/>
  <c r="AI1253" i="21"/>
  <c r="AE1254" i="21"/>
  <c r="AE1255" i="21"/>
  <c r="AS1255" i="21" s="1"/>
  <c r="AE1256" i="21"/>
  <c r="AI1256" i="21"/>
  <c r="AJ1256" i="21" s="1"/>
  <c r="AE1257" i="21"/>
  <c r="AI1257" i="21"/>
  <c r="AJ1257" i="21" s="1"/>
  <c r="AE1258" i="21"/>
  <c r="AS1258" i="21" s="1"/>
  <c r="AI1258" i="21"/>
  <c r="AJ1258" i="21" s="1"/>
  <c r="AE1259" i="21"/>
  <c r="AI1259" i="21"/>
  <c r="AE1260" i="21"/>
  <c r="AS1260" i="21" s="1"/>
  <c r="AI1260" i="21"/>
  <c r="AE1261" i="21"/>
  <c r="AE1262" i="21"/>
  <c r="AS1262" i="21" s="1"/>
  <c r="AI1262" i="21"/>
  <c r="AJ1262" i="21" s="1"/>
  <c r="AE1263" i="21"/>
  <c r="AS1263" i="21" s="1"/>
  <c r="AI1263" i="21"/>
  <c r="AE1264" i="21"/>
  <c r="AS1264" i="21" s="1"/>
  <c r="AE1265" i="21"/>
  <c r="AI1265" i="21"/>
  <c r="AJ1265" i="21" s="1"/>
  <c r="AE1266" i="21"/>
  <c r="AS1266" i="21" s="1"/>
  <c r="AI1266" i="21"/>
  <c r="AE1267" i="21"/>
  <c r="AI1267" i="21"/>
  <c r="AE1268" i="21"/>
  <c r="AE1269" i="21"/>
  <c r="AE1270" i="21"/>
  <c r="AS1270" i="21" s="1"/>
  <c r="AI1270" i="21"/>
  <c r="AJ1270" i="21" s="1"/>
  <c r="AE1271" i="21"/>
  <c r="AI1271" i="21"/>
  <c r="AE1272" i="21"/>
  <c r="AI1272" i="21"/>
  <c r="AJ1272" i="21" s="1"/>
  <c r="AE1273" i="21"/>
  <c r="AI1273" i="21"/>
  <c r="AE1274" i="21"/>
  <c r="AI1274" i="21"/>
  <c r="AE1275" i="21"/>
  <c r="AS1275" i="21" s="1"/>
  <c r="AE1276" i="21"/>
  <c r="AS1276" i="21" s="1"/>
  <c r="AI1276" i="21"/>
  <c r="AE1277" i="21"/>
  <c r="AI1277" i="21"/>
  <c r="AJ1277" i="21" s="1"/>
  <c r="AE1278" i="21"/>
  <c r="AS1278" i="21" s="1"/>
  <c r="AE1279" i="21"/>
  <c r="AS1279" i="21" s="1"/>
  <c r="AI1279" i="21"/>
  <c r="AE1280" i="21"/>
  <c r="AI1280" i="21"/>
  <c r="AJ1280" i="21" s="1"/>
  <c r="AE1281" i="21"/>
  <c r="AI1281" i="21"/>
  <c r="AJ1281" i="21" s="1"/>
  <c r="AE1282" i="21"/>
  <c r="AS1282" i="21" s="1"/>
  <c r="AE1283" i="21"/>
  <c r="AS1283" i="21" s="1"/>
  <c r="AE1284" i="21"/>
  <c r="AI1284" i="21"/>
  <c r="AE1285" i="21"/>
  <c r="AI1285" i="21"/>
  <c r="AJ1285" i="21" s="1"/>
  <c r="AE1286" i="21"/>
  <c r="AS1286" i="21" s="1"/>
  <c r="AI1286" i="21"/>
  <c r="AJ1286" i="21" s="1"/>
  <c r="AE1287" i="21"/>
  <c r="AS1287" i="21" s="1"/>
  <c r="AI1287" i="21"/>
  <c r="AE1288" i="21"/>
  <c r="AI1288" i="21"/>
  <c r="AJ1288" i="21" s="1"/>
  <c r="AE1289" i="21"/>
  <c r="AI1289" i="21"/>
  <c r="AJ1289" i="21" s="1"/>
  <c r="AE1290" i="21"/>
  <c r="AS1290" i="21" s="1"/>
  <c r="AE1291" i="21"/>
  <c r="AS1291" i="21" s="1"/>
  <c r="AE1292" i="21"/>
  <c r="AS1292" i="21" s="1"/>
  <c r="AE1293" i="21"/>
  <c r="AI1293" i="21"/>
  <c r="AE1294" i="21"/>
  <c r="AS1294" i="21" s="1"/>
  <c r="AI1294" i="21"/>
  <c r="AJ1294" i="21" s="1"/>
  <c r="AE1295" i="21"/>
  <c r="AS1295" i="21" s="1"/>
  <c r="AI1295" i="21"/>
  <c r="AE1296" i="21"/>
  <c r="AI1296" i="21"/>
  <c r="AE1297" i="21"/>
  <c r="AE1298" i="21"/>
  <c r="AS1298" i="21" s="1"/>
  <c r="AI1298" i="21"/>
  <c r="AE1299" i="21"/>
  <c r="AS1299" i="21" s="1"/>
  <c r="AI1299" i="21"/>
  <c r="AE1300" i="21"/>
  <c r="AI1300" i="21"/>
  <c r="AE1301" i="21"/>
  <c r="AI1301" i="21"/>
  <c r="AE1302" i="21"/>
  <c r="AI1302" i="21"/>
  <c r="AE1303" i="21"/>
  <c r="AS1303" i="21" s="1"/>
  <c r="AE1304" i="21"/>
  <c r="AS1304" i="21" s="1"/>
  <c r="AI1304" i="21"/>
  <c r="AE1305" i="21"/>
  <c r="AI1305" i="21"/>
  <c r="AE1306" i="21"/>
  <c r="AS1306" i="21" s="1"/>
  <c r="AE1307" i="21"/>
  <c r="AS1307" i="21" s="1"/>
  <c r="AI1307" i="21"/>
  <c r="AE1308" i="21"/>
  <c r="AE1309" i="21"/>
  <c r="AI1309" i="21"/>
  <c r="AE1310" i="21"/>
  <c r="AE1311" i="21"/>
  <c r="AS1311" i="21" s="1"/>
  <c r="AE1312" i="21"/>
  <c r="AS1312" i="21" s="1"/>
  <c r="AI1312" i="21"/>
  <c r="AE1313" i="21"/>
  <c r="AI1313" i="21"/>
  <c r="AJ1313" i="21" s="1"/>
  <c r="AE1314" i="21"/>
  <c r="AS1314" i="21" s="1"/>
  <c r="AI1314" i="21"/>
  <c r="AE1315" i="21"/>
  <c r="AS1315" i="21" s="1"/>
  <c r="AI1315" i="21"/>
  <c r="AJ1315" i="21" s="1"/>
  <c r="AE1316" i="21"/>
  <c r="AS1316" i="21" s="1"/>
  <c r="AI1316" i="21"/>
  <c r="AJ1316" i="21" s="1"/>
  <c r="AE1317" i="21"/>
  <c r="AI1317" i="21"/>
  <c r="AJ1317" i="21" s="1"/>
  <c r="AE1318" i="21"/>
  <c r="AI1318" i="21"/>
  <c r="AJ1318" i="21" s="1"/>
  <c r="AE1319" i="21"/>
  <c r="AI1319" i="21"/>
  <c r="AE1320" i="21"/>
  <c r="AS1320" i="21" s="1"/>
  <c r="AE1321" i="21"/>
  <c r="AI1321" i="21"/>
  <c r="AJ1321" i="21" s="1"/>
  <c r="AE1322" i="21"/>
  <c r="AS1322" i="21" s="1"/>
  <c r="AI1322" i="21"/>
  <c r="AJ1322" i="21" s="1"/>
  <c r="AE1323" i="21"/>
  <c r="AS1323" i="21" s="1"/>
  <c r="AI1323" i="21"/>
  <c r="AJ1323" i="21" s="1"/>
  <c r="AE1324" i="21"/>
  <c r="AS1324" i="21" s="1"/>
  <c r="AI1324" i="21"/>
  <c r="AJ1324" i="21" s="1"/>
  <c r="AE1325" i="21"/>
  <c r="AI1325" i="21"/>
  <c r="AE1326" i="21"/>
  <c r="AE1327" i="21"/>
  <c r="AS1327" i="21" s="1"/>
  <c r="AE1328" i="21"/>
  <c r="AE1329" i="21"/>
  <c r="AE1330" i="21"/>
  <c r="AJ1330" i="21"/>
  <c r="AE1331" i="21"/>
  <c r="AE1332" i="21"/>
  <c r="AS1332" i="21" s="1"/>
  <c r="AE1333" i="21"/>
  <c r="AJ1333" i="21"/>
  <c r="AE1334" i="21"/>
  <c r="AE1335" i="21"/>
  <c r="AS1335" i="21" s="1"/>
  <c r="AE1336" i="21"/>
  <c r="AE1337" i="21"/>
  <c r="AE1338" i="21"/>
  <c r="AS1338" i="21" s="1"/>
  <c r="AI1338" i="21"/>
  <c r="AE1339" i="21"/>
  <c r="AE1340" i="21"/>
  <c r="AF1340" i="21" s="1"/>
  <c r="AI1340" i="21"/>
  <c r="AE1341" i="21"/>
  <c r="AI1341" i="21"/>
  <c r="AJ1341" i="21" s="1"/>
  <c r="AE1342" i="21"/>
  <c r="AI1342" i="21"/>
  <c r="AJ1342" i="21" s="1"/>
  <c r="AE1343" i="21"/>
  <c r="AS1343" i="21" s="1"/>
  <c r="AI1343" i="21"/>
  <c r="AJ1343" i="21" s="1"/>
  <c r="AE1344" i="21"/>
  <c r="AI1344" i="21"/>
  <c r="AJ1344" i="21" s="1"/>
  <c r="AE1345" i="21"/>
  <c r="AI1345" i="21"/>
  <c r="AE1346" i="21"/>
  <c r="AS1346" i="21" s="1"/>
  <c r="AI1346" i="21"/>
  <c r="AJ1346" i="21" s="1"/>
  <c r="AE1347" i="21"/>
  <c r="AI1347" i="21"/>
  <c r="AE1348" i="21"/>
  <c r="AI1348" i="21"/>
  <c r="AE1349" i="21"/>
  <c r="AI1349" i="21"/>
  <c r="AJ1349" i="21" s="1"/>
  <c r="AE1350" i="21"/>
  <c r="AI1350" i="21"/>
  <c r="AE1351" i="21"/>
  <c r="AI1351" i="21"/>
  <c r="AJ1351" i="21" s="1"/>
  <c r="AE1352" i="21"/>
  <c r="AS1352" i="21" s="1"/>
  <c r="AI1352" i="21"/>
  <c r="AE1353" i="21"/>
  <c r="AS1353" i="21" s="1"/>
  <c r="AI1353" i="21"/>
  <c r="AE1354" i="21"/>
  <c r="AI1354" i="21"/>
  <c r="AJ1354" i="21" s="1"/>
  <c r="AE1355" i="21"/>
  <c r="AI1355" i="21"/>
  <c r="AJ1355" i="21" s="1"/>
  <c r="AE1356" i="21"/>
  <c r="AI1356" i="21"/>
  <c r="AJ1356" i="21" s="1"/>
  <c r="AE1357" i="21"/>
  <c r="AI1357" i="21"/>
  <c r="AJ1357" i="21" s="1"/>
  <c r="AE1358" i="21"/>
  <c r="AI1358" i="21"/>
  <c r="AJ1358" i="21" s="1"/>
  <c r="AE1359" i="21"/>
  <c r="AI1359" i="21"/>
  <c r="AJ1359" i="21" s="1"/>
  <c r="AE1360" i="21"/>
  <c r="AI1360" i="21"/>
  <c r="AJ1360" i="21" s="1"/>
  <c r="AE1361" i="21"/>
  <c r="AI1361" i="21"/>
  <c r="AJ1361" i="21" s="1"/>
  <c r="AE1362" i="21"/>
  <c r="AE1363" i="21"/>
  <c r="AI1363" i="21"/>
  <c r="AE1364" i="21"/>
  <c r="AI1364" i="21"/>
  <c r="AE1365" i="21"/>
  <c r="AE1366" i="21"/>
  <c r="AI1366" i="21"/>
  <c r="AJ1366" i="21" s="1"/>
  <c r="AE1367" i="21"/>
  <c r="AI1367" i="21"/>
  <c r="AE1368" i="21"/>
  <c r="AS1368" i="21" s="1"/>
  <c r="AI1368" i="21"/>
  <c r="AE1369" i="21"/>
  <c r="AS1369" i="21" s="1"/>
  <c r="AE1370" i="21"/>
  <c r="AI1370" i="21"/>
  <c r="AJ1370" i="21" s="1"/>
  <c r="AE1371" i="21"/>
  <c r="AI1371" i="21"/>
  <c r="AJ1371" i="21" s="1"/>
  <c r="AE1372" i="21"/>
  <c r="AI1372" i="21"/>
  <c r="AE1373" i="21"/>
  <c r="AS1373" i="21" s="1"/>
  <c r="AI1373" i="21"/>
  <c r="AE1374" i="21"/>
  <c r="AI1374" i="21"/>
  <c r="AE1375" i="21"/>
  <c r="AI1375" i="21"/>
  <c r="AJ1375" i="21" s="1"/>
  <c r="AE1376" i="21"/>
  <c r="AF1376" i="21" s="1"/>
  <c r="AE1377" i="21"/>
  <c r="AE1378" i="21"/>
  <c r="AE1379" i="21"/>
  <c r="AI1379" i="21"/>
  <c r="AJ1379" i="21" s="1"/>
  <c r="AE1380" i="21"/>
  <c r="AI1380" i="21"/>
  <c r="AJ1380" i="21" s="1"/>
  <c r="AE1381" i="21"/>
  <c r="AS1381" i="21" s="1"/>
  <c r="AE1382" i="21"/>
  <c r="AI1382" i="21"/>
  <c r="AE1383" i="21"/>
  <c r="AI1383" i="21"/>
  <c r="AJ1383" i="21" s="1"/>
  <c r="AE1384" i="21"/>
  <c r="AI1384" i="21"/>
  <c r="AE1385" i="21"/>
  <c r="AS1385" i="21" s="1"/>
  <c r="AI1385" i="21"/>
  <c r="AE1386" i="21"/>
  <c r="AI1386" i="21"/>
  <c r="AJ1386" i="21" s="1"/>
  <c r="AE1387" i="21"/>
  <c r="AI1387" i="21"/>
  <c r="AJ1387" i="21" s="1"/>
  <c r="AE1388" i="21"/>
  <c r="AS1388" i="21" s="1"/>
  <c r="AI1388" i="21"/>
  <c r="AJ1388" i="21" s="1"/>
  <c r="AE1389" i="21"/>
  <c r="AS1389" i="21" s="1"/>
  <c r="AI1389" i="21"/>
  <c r="AJ1389" i="21" s="1"/>
  <c r="AE1390" i="21"/>
  <c r="AI1390" i="21"/>
  <c r="AE1391" i="21"/>
  <c r="AI1391" i="21"/>
  <c r="AE1392" i="21"/>
  <c r="AI1392" i="21"/>
  <c r="AJ1392" i="21" s="1"/>
  <c r="AE1393" i="21"/>
  <c r="AI1393" i="21"/>
  <c r="AE1394" i="21"/>
  <c r="AI1394" i="21"/>
  <c r="AE1395" i="21"/>
  <c r="AE1396" i="21"/>
  <c r="AI1396" i="21"/>
  <c r="AJ1396" i="21" s="1"/>
  <c r="AE1397" i="21"/>
  <c r="AI1397" i="21"/>
  <c r="AJ1397" i="21" s="1"/>
  <c r="AE1398" i="21"/>
  <c r="AI1398" i="21"/>
  <c r="AJ1398" i="21" s="1"/>
  <c r="AE1399" i="21"/>
  <c r="AI1399" i="21"/>
  <c r="AE1400" i="21"/>
  <c r="AI1400" i="21"/>
  <c r="AE1401" i="21"/>
  <c r="AS1401" i="21" s="1"/>
  <c r="AI1401" i="21"/>
  <c r="AJ1401" i="21" s="1"/>
  <c r="AE1402" i="21"/>
  <c r="AI1402" i="21"/>
  <c r="AJ1402" i="21" s="1"/>
  <c r="AE1403" i="21"/>
  <c r="AI1403" i="21"/>
  <c r="AJ1403" i="21" s="1"/>
  <c r="AE1404" i="21"/>
  <c r="AI1404" i="21"/>
  <c r="AJ1404" i="21" s="1"/>
  <c r="AE1405" i="21"/>
  <c r="AI1405" i="21"/>
  <c r="AJ1405" i="21" s="1"/>
  <c r="AE1406" i="21"/>
  <c r="AI1406" i="21"/>
  <c r="AJ1406" i="21" s="1"/>
  <c r="AE1407" i="21"/>
  <c r="AI1407" i="21"/>
  <c r="AJ1407" i="21" s="1"/>
  <c r="AE1408" i="21"/>
  <c r="AI1408" i="21"/>
  <c r="AE1409" i="21"/>
  <c r="AS1409" i="21" s="1"/>
  <c r="AI1409" i="21"/>
  <c r="AE1410" i="21"/>
  <c r="AI1410" i="21"/>
  <c r="AJ1410" i="21" s="1"/>
  <c r="AE1411" i="21"/>
  <c r="AF1411" i="21" s="1"/>
  <c r="AI1411" i="21"/>
  <c r="AJ1411" i="21" s="1"/>
  <c r="AE1412" i="21"/>
  <c r="AS1412" i="21" s="1"/>
  <c r="AI1412" i="21"/>
  <c r="AJ1412" i="21" s="1"/>
  <c r="AE1413" i="21"/>
  <c r="AI1413" i="21"/>
  <c r="AJ1413" i="21" s="1"/>
  <c r="AE1414" i="21"/>
  <c r="AI1414" i="21"/>
  <c r="AJ1414" i="21" s="1"/>
  <c r="AE1415" i="21"/>
  <c r="AE1416" i="21"/>
  <c r="AI1416" i="21"/>
  <c r="AJ1416" i="21" s="1"/>
  <c r="AE1417" i="21"/>
  <c r="AI1417" i="21"/>
  <c r="AJ1417" i="21" s="1"/>
  <c r="AE1418" i="21"/>
  <c r="AE1419" i="21"/>
  <c r="AS1419" i="21" s="1"/>
  <c r="AI1419" i="21"/>
  <c r="AJ1419" i="21" s="1"/>
  <c r="AE1420" i="21"/>
  <c r="AI1420" i="21"/>
  <c r="AJ1420" i="21" s="1"/>
  <c r="AE1421" i="21"/>
  <c r="AS1421" i="21" s="1"/>
  <c r="AE1422" i="21"/>
  <c r="AE1423" i="21"/>
  <c r="AE1424" i="21"/>
  <c r="AS1424" i="21" s="1"/>
  <c r="AE1425" i="21"/>
  <c r="AS1425" i="21" s="1"/>
  <c r="AJ1425" i="21"/>
  <c r="AE1426" i="21"/>
  <c r="AJ1426" i="21"/>
  <c r="AE1427" i="21"/>
  <c r="AE1428" i="21"/>
  <c r="AE1429" i="21"/>
  <c r="AS1429" i="21" s="1"/>
  <c r="AE1430" i="21"/>
  <c r="AJ1430" i="21"/>
  <c r="AE1431" i="21"/>
  <c r="AJ1431" i="21"/>
  <c r="AE1432" i="21"/>
  <c r="AE1433" i="21"/>
  <c r="AS1433" i="21" s="1"/>
  <c r="AE1434" i="21"/>
  <c r="AE1435" i="21"/>
  <c r="AE1436" i="21"/>
  <c r="AE1437" i="21"/>
  <c r="AE1438" i="21"/>
  <c r="AI1438" i="21"/>
  <c r="AE1439" i="21"/>
  <c r="AI1439" i="21"/>
  <c r="AJ1439" i="21" s="1"/>
  <c r="AE1440" i="21"/>
  <c r="AI1440" i="21"/>
  <c r="AE1441" i="21"/>
  <c r="AS1441" i="21" s="1"/>
  <c r="AI1441" i="21"/>
  <c r="AJ1441" i="21" s="1"/>
  <c r="AE1442" i="21"/>
  <c r="AI1442" i="21"/>
  <c r="AE1443" i="21"/>
  <c r="AI1443" i="21"/>
  <c r="AJ1443" i="21" s="1"/>
  <c r="AE1444" i="21"/>
  <c r="AI1444" i="21"/>
  <c r="AE1445" i="21"/>
  <c r="AS1445" i="21" s="1"/>
  <c r="AI1445" i="21"/>
  <c r="AJ1445" i="21" s="1"/>
  <c r="AE1446" i="21"/>
  <c r="AE1447" i="21"/>
  <c r="AS1447" i="21" s="1"/>
  <c r="AI1447" i="21"/>
  <c r="AJ1447" i="21" s="1"/>
  <c r="AE1448" i="21"/>
  <c r="AI1448" i="21"/>
  <c r="AJ1448" i="21" s="1"/>
  <c r="AE1449" i="21"/>
  <c r="AI1449" i="21"/>
  <c r="AJ1449" i="21" s="1"/>
  <c r="AE1450" i="21"/>
  <c r="AE1451" i="21"/>
  <c r="AE1452" i="21"/>
  <c r="AE1453" i="21"/>
  <c r="AJ1453" i="21"/>
  <c r="AE1454" i="21"/>
  <c r="AI1454" i="21"/>
  <c r="AE1455" i="21"/>
  <c r="AS1455" i="21" s="1"/>
  <c r="AE1456" i="21"/>
  <c r="AS1456" i="21" s="1"/>
  <c r="AE1457" i="21"/>
  <c r="AE1458" i="21"/>
  <c r="AE1459" i="21"/>
  <c r="AS1459" i="21" s="1"/>
  <c r="AE1460" i="21"/>
  <c r="AS1460" i="21" s="1"/>
  <c r="AE1461" i="21"/>
  <c r="AF1461" i="21" s="1"/>
  <c r="AI1461" i="21"/>
  <c r="AJ1461" i="21" s="1"/>
  <c r="AE1462" i="21"/>
  <c r="AE1463" i="21"/>
  <c r="AS1463" i="21" s="1"/>
  <c r="AE1464" i="21"/>
  <c r="AS1464" i="21" s="1"/>
  <c r="AI1464" i="21"/>
  <c r="AE1465" i="21"/>
  <c r="AE1466" i="21"/>
  <c r="AE1467" i="21"/>
  <c r="AE1468" i="21"/>
  <c r="AS1468" i="21" s="1"/>
  <c r="AE1469" i="21"/>
  <c r="AS1469" i="21" s="1"/>
  <c r="AE1470" i="21"/>
  <c r="AE1471" i="21"/>
  <c r="AS1471" i="21" s="1"/>
  <c r="AE1472" i="21"/>
  <c r="AE1473" i="21"/>
  <c r="AS1473" i="21" s="1"/>
  <c r="AE1474" i="21"/>
  <c r="AE1475" i="21"/>
  <c r="AI1475" i="21"/>
  <c r="AE1476" i="21"/>
  <c r="AS1476" i="21" s="1"/>
  <c r="AE1477" i="21"/>
  <c r="AI1477" i="21"/>
  <c r="AJ1477" i="21" s="1"/>
  <c r="AE1478" i="21"/>
  <c r="AI1478" i="21"/>
  <c r="AE1479" i="21"/>
  <c r="AS1479" i="21" s="1"/>
  <c r="AE1480" i="21"/>
  <c r="AI1480" i="21"/>
  <c r="AE1481" i="21"/>
  <c r="AI1481" i="21"/>
  <c r="AJ1481" i="21" s="1"/>
  <c r="AE1482" i="21"/>
  <c r="AI1482" i="21"/>
  <c r="AJ1482" i="21" s="1"/>
  <c r="AE1483" i="21"/>
  <c r="AS1483" i="21" s="1"/>
  <c r="AI1483" i="21"/>
  <c r="AJ1483" i="21" s="1"/>
  <c r="AE1484" i="21"/>
  <c r="AE1485" i="21"/>
  <c r="AS1485" i="21" s="1"/>
  <c r="AI1485" i="21"/>
  <c r="AJ1485" i="21" s="1"/>
  <c r="AE1486" i="21"/>
  <c r="AI1486" i="21"/>
  <c r="AE1487" i="21"/>
  <c r="AI1487" i="21"/>
  <c r="AJ1487" i="21" s="1"/>
  <c r="AE1488" i="21"/>
  <c r="AE1489" i="21"/>
  <c r="AI1489" i="21"/>
  <c r="AJ1489" i="21" s="1"/>
  <c r="AE1490" i="21"/>
  <c r="AE1491" i="21"/>
  <c r="AS1491" i="21" s="1"/>
  <c r="AE1492" i="21"/>
  <c r="AS1492" i="21" s="1"/>
  <c r="AE1493" i="21"/>
  <c r="AE1494" i="21"/>
  <c r="AE1495" i="21"/>
  <c r="AE1496" i="21"/>
  <c r="AJ1496" i="21"/>
  <c r="AE1497" i="21"/>
  <c r="AE1498" i="21"/>
  <c r="AE1499" i="21"/>
  <c r="AE1500" i="21"/>
  <c r="AE1501" i="21"/>
  <c r="AE1502" i="21"/>
  <c r="AJ1502" i="21"/>
  <c r="AE1503" i="21"/>
  <c r="AI1503" i="21"/>
  <c r="AE1504" i="21"/>
  <c r="AI1504" i="21"/>
  <c r="AJ1504" i="21" s="1"/>
  <c r="AE1505" i="21"/>
  <c r="AI1505" i="21"/>
  <c r="AJ1505" i="21" s="1"/>
  <c r="AE1506" i="21"/>
  <c r="AS1506" i="21" s="1"/>
  <c r="AI1506" i="21"/>
  <c r="AE1507" i="21"/>
  <c r="AI1507" i="21"/>
  <c r="AE1508" i="21"/>
  <c r="AI1508" i="21"/>
  <c r="AJ1508" i="21" s="1"/>
  <c r="AE1509" i="21"/>
  <c r="AI1509" i="21"/>
  <c r="AE1510" i="21"/>
  <c r="AS1510" i="21" s="1"/>
  <c r="AI1510" i="21"/>
  <c r="AJ1510" i="21" s="1"/>
  <c r="AE1511" i="21"/>
  <c r="AI1511" i="21"/>
  <c r="AE1512" i="21"/>
  <c r="AI1512" i="21"/>
  <c r="AJ1512" i="21" s="1"/>
  <c r="AE1513" i="21"/>
  <c r="AE1514" i="21"/>
  <c r="AS1514" i="21" s="1"/>
  <c r="AI1514" i="21"/>
  <c r="AE1515" i="21"/>
  <c r="AF1515" i="21" s="1"/>
  <c r="AI1515" i="21"/>
  <c r="AE1516" i="21"/>
  <c r="AE1517" i="21"/>
  <c r="AI1517" i="21"/>
  <c r="AJ1517" i="21" s="1"/>
  <c r="AE1518" i="21"/>
  <c r="AS1518" i="21" s="1"/>
  <c r="AE1519" i="21"/>
  <c r="AI1519" i="21"/>
  <c r="AE1520" i="21"/>
  <c r="AS1520" i="21" s="1"/>
  <c r="AE1521" i="21"/>
  <c r="AE1522" i="21"/>
  <c r="AS1522" i="21" s="1"/>
  <c r="AI1522" i="21"/>
  <c r="AE1523" i="21"/>
  <c r="AI1523" i="21"/>
  <c r="AE1524" i="21"/>
  <c r="AI1524" i="21"/>
  <c r="AJ1524" i="21" s="1"/>
  <c r="AE1525" i="21"/>
  <c r="AI1525" i="21"/>
  <c r="AJ1525" i="21" s="1"/>
  <c r="AE1526" i="21"/>
  <c r="AS1526" i="21" s="1"/>
  <c r="AI1526" i="21"/>
  <c r="AE1527" i="21"/>
  <c r="AI1527" i="21"/>
  <c r="AE1528" i="21"/>
  <c r="AE1529" i="21"/>
  <c r="AE1530" i="21"/>
  <c r="AE1531" i="21"/>
  <c r="AI1531" i="21"/>
  <c r="AJ1531" i="21" s="1"/>
  <c r="AE1532" i="21"/>
  <c r="AI1532" i="21"/>
  <c r="AE1533" i="21"/>
  <c r="AI1533" i="21"/>
  <c r="AE1534" i="21"/>
  <c r="AI1534" i="21"/>
  <c r="AJ1534" i="21" s="1"/>
  <c r="AE1535" i="21"/>
  <c r="AI1535" i="21"/>
  <c r="AJ1535" i="21" s="1"/>
  <c r="AE1536" i="21"/>
  <c r="AI1536" i="21"/>
  <c r="AJ1536" i="21" s="1"/>
  <c r="AE1537" i="21"/>
  <c r="AI1537" i="21"/>
  <c r="AE1538" i="21"/>
  <c r="AI1538" i="21"/>
  <c r="AJ1538" i="21" s="1"/>
  <c r="AE1539" i="21"/>
  <c r="AI1539" i="21"/>
  <c r="AJ1539" i="21" s="1"/>
  <c r="AE1540" i="21"/>
  <c r="AS1540" i="21" s="1"/>
  <c r="AI1540" i="21"/>
  <c r="AJ1540" i="21" s="1"/>
  <c r="AE1541" i="21"/>
  <c r="AS1541" i="21" s="1"/>
  <c r="AI1541" i="21"/>
  <c r="AE1542" i="21"/>
  <c r="AI1542" i="21"/>
  <c r="AE1543" i="21"/>
  <c r="AE1544" i="21"/>
  <c r="AS1544" i="21" s="1"/>
  <c r="AE1545" i="21"/>
  <c r="AI1545" i="21"/>
  <c r="AE1546" i="21"/>
  <c r="AS1546" i="21" s="1"/>
  <c r="AI1546" i="21"/>
  <c r="AE1547" i="21"/>
  <c r="AI1547" i="21"/>
  <c r="AJ1547" i="21" s="1"/>
  <c r="AE1548" i="21"/>
  <c r="AI1548" i="21"/>
  <c r="AJ1548" i="21" s="1"/>
  <c r="AE1549" i="21"/>
  <c r="AI1549" i="21"/>
  <c r="AJ1549" i="21" s="1"/>
  <c r="AE1550" i="21"/>
  <c r="AE1551" i="21"/>
  <c r="AJ1551" i="21"/>
  <c r="AE1552" i="21"/>
  <c r="AS1552" i="21" s="1"/>
  <c r="AJ1552" i="21"/>
  <c r="AE1553" i="21"/>
  <c r="AE1554" i="21"/>
  <c r="AJ1554" i="21"/>
  <c r="AE1555" i="21"/>
  <c r="AE1556" i="21"/>
  <c r="AE1557" i="21"/>
  <c r="AS1557" i="21" s="1"/>
  <c r="AE1558" i="21"/>
  <c r="AE1559" i="21"/>
  <c r="AJ1559" i="21"/>
  <c r="AE1560" i="21"/>
  <c r="AJ1560" i="21"/>
  <c r="AE1561" i="21"/>
  <c r="AE1562" i="21"/>
  <c r="AS1562" i="21" s="1"/>
  <c r="AE1563" i="21"/>
  <c r="AE1564" i="21"/>
  <c r="AI1564" i="21"/>
  <c r="AJ1564" i="21" s="1"/>
  <c r="AE1565" i="21"/>
  <c r="AI1565" i="21"/>
  <c r="AE1566" i="21"/>
  <c r="AI1566" i="21"/>
  <c r="AI1567" i="21"/>
  <c r="AI1568" i="21"/>
  <c r="AI1570" i="21"/>
  <c r="AJ1570" i="21" s="1"/>
  <c r="AI1571" i="21"/>
  <c r="AJ1571" i="21" s="1"/>
  <c r="AS1572" i="21"/>
  <c r="AE1573" i="21"/>
  <c r="AS1573" i="21" s="1"/>
  <c r="AI1573" i="21"/>
  <c r="AE1574" i="21"/>
  <c r="AI1574" i="21"/>
  <c r="AJ1574" i="21" s="1"/>
  <c r="AE1575" i="21"/>
  <c r="AI1575" i="21"/>
  <c r="AJ1575" i="21" s="1"/>
  <c r="AE1576" i="21"/>
  <c r="AE1577" i="21"/>
  <c r="AE1578" i="21"/>
  <c r="AI1578" i="21"/>
  <c r="AJ1578" i="21" s="1"/>
  <c r="AE1579" i="21"/>
  <c r="AI1579" i="21"/>
  <c r="AE1580" i="21"/>
  <c r="AI1580" i="21"/>
  <c r="AJ1580" i="21" s="1"/>
  <c r="AE1581" i="21"/>
  <c r="AI1581" i="21"/>
  <c r="AJ1581" i="21" s="1"/>
  <c r="AE1582" i="21"/>
  <c r="AI1582" i="21"/>
  <c r="AE1583" i="21"/>
  <c r="AE1584" i="21"/>
  <c r="AI1584" i="21"/>
  <c r="AE1585" i="21"/>
  <c r="AI1585" i="21"/>
  <c r="AJ1585" i="21" s="1"/>
  <c r="AE1586" i="21"/>
  <c r="AE1587" i="21"/>
  <c r="AI1587" i="21"/>
  <c r="AJ1587" i="21" s="1"/>
  <c r="AE1588" i="21"/>
  <c r="AS1588" i="21" s="1"/>
  <c r="AI1588" i="21"/>
  <c r="AJ1588" i="21" s="1"/>
  <c r="AE1589" i="21"/>
  <c r="AS1589" i="21" s="1"/>
  <c r="AI1589" i="21"/>
  <c r="AJ1589" i="21" s="1"/>
  <c r="AE1590" i="21"/>
  <c r="AI1590" i="21"/>
  <c r="AJ1590" i="21" s="1"/>
  <c r="AE1591" i="21"/>
  <c r="AI1591" i="21"/>
  <c r="AE1592" i="21"/>
  <c r="AE1593" i="21"/>
  <c r="AE1594" i="21"/>
  <c r="AE1595" i="21"/>
  <c r="AE1596" i="21"/>
  <c r="AE1597" i="21"/>
  <c r="AE1598" i="21"/>
  <c r="AE1599" i="21"/>
  <c r="AE1600" i="21"/>
  <c r="AE1601" i="21"/>
  <c r="AE1602" i="21"/>
  <c r="AE1603" i="21"/>
  <c r="AE1604" i="21"/>
  <c r="AE1605" i="21"/>
  <c r="AE1606" i="21"/>
  <c r="AI1606" i="21"/>
  <c r="AJ1606" i="21" s="1"/>
  <c r="AE1607" i="21"/>
  <c r="AI1607" i="21"/>
  <c r="AJ1607" i="21" s="1"/>
  <c r="AE1608" i="21"/>
  <c r="AI1608" i="21"/>
  <c r="AJ1608" i="21" s="1"/>
  <c r="AE1609" i="21"/>
  <c r="AI1609" i="21"/>
  <c r="AJ1609" i="21" s="1"/>
  <c r="AE1610" i="21"/>
  <c r="AI1610" i="21"/>
  <c r="AE1611" i="21"/>
  <c r="AI1611" i="21"/>
  <c r="AE1612" i="21"/>
  <c r="AI1612" i="21"/>
  <c r="AE1613" i="21"/>
  <c r="AI1613" i="21"/>
  <c r="AJ1613" i="21" s="1"/>
  <c r="AE1614" i="21"/>
  <c r="AI1614" i="21"/>
  <c r="AJ1614" i="21" s="1"/>
  <c r="AE1615" i="21"/>
  <c r="AI1615" i="21"/>
  <c r="AJ1615" i="21" s="1"/>
  <c r="AE1616" i="21"/>
  <c r="AI1616" i="21"/>
  <c r="AE1617" i="21"/>
  <c r="AI1617" i="21"/>
  <c r="AE1618" i="21"/>
  <c r="AF1618" i="21" s="1"/>
  <c r="AI1618" i="21"/>
  <c r="AJ1618" i="21" s="1"/>
  <c r="AE1619" i="21"/>
  <c r="AI1619" i="21"/>
  <c r="AE1620" i="21"/>
  <c r="AE1621" i="21"/>
  <c r="AJ1621" i="21"/>
  <c r="AE1622" i="21"/>
  <c r="AJ1622" i="21"/>
  <c r="AE1623" i="21"/>
  <c r="AE1624" i="21"/>
  <c r="AJ1624" i="21"/>
  <c r="AE1625" i="21"/>
  <c r="AE1626" i="21"/>
  <c r="AE1627" i="21"/>
  <c r="AJ1627" i="21"/>
  <c r="AE1628" i="21"/>
  <c r="AJ1628" i="21"/>
  <c r="AE1629" i="21"/>
  <c r="AJ1629" i="21"/>
  <c r="AE1630" i="21"/>
  <c r="AE1631" i="21"/>
  <c r="AJ1631" i="21"/>
  <c r="AE1632" i="21"/>
  <c r="AI1632" i="21"/>
  <c r="AE1633" i="21"/>
  <c r="AE1634" i="21"/>
  <c r="AI1634" i="21"/>
  <c r="AJ1634" i="21" s="1"/>
  <c r="AE1635" i="21"/>
  <c r="AI1635" i="21"/>
  <c r="AJ1635" i="21" s="1"/>
  <c r="AE1636" i="21"/>
  <c r="AS1636" i="21" s="1"/>
  <c r="AI1636" i="21"/>
  <c r="AJ1636" i="21" s="1"/>
  <c r="AE1637" i="21"/>
  <c r="AI1637" i="21"/>
  <c r="AJ1637" i="21" s="1"/>
  <c r="AE1638" i="21"/>
  <c r="AI1638" i="21"/>
  <c r="AJ1638" i="21" s="1"/>
  <c r="AE1639" i="21"/>
  <c r="AI1639" i="21"/>
  <c r="AJ1639" i="21" s="1"/>
  <c r="AE1640" i="21"/>
  <c r="AI1640" i="21"/>
  <c r="AJ1640" i="21" s="1"/>
  <c r="AE1641" i="21"/>
  <c r="AF1641" i="21" s="1"/>
  <c r="AI1641" i="21"/>
  <c r="AE1642" i="21"/>
  <c r="AI1642" i="21"/>
  <c r="AE1643" i="21"/>
  <c r="AI1643" i="21"/>
  <c r="AJ1643" i="21" s="1"/>
  <c r="AE1644" i="21"/>
  <c r="AS1644" i="21" s="1"/>
  <c r="AI1644" i="21"/>
  <c r="AJ1644" i="21" s="1"/>
  <c r="AE1645" i="21"/>
  <c r="AI1645" i="21"/>
  <c r="AJ1645" i="21" s="1"/>
  <c r="AE1646" i="21"/>
  <c r="AI1646" i="21"/>
  <c r="AJ1646" i="21" s="1"/>
  <c r="AE1647" i="21"/>
  <c r="AE1648" i="21"/>
  <c r="AI1648" i="21"/>
  <c r="AE1649" i="21"/>
  <c r="AS1649" i="21" s="1"/>
  <c r="AE1650" i="21"/>
  <c r="AE1651" i="21"/>
  <c r="AI1651" i="21"/>
  <c r="AE1652" i="21"/>
  <c r="AE1653" i="21"/>
  <c r="AS1653" i="21" s="1"/>
  <c r="AE1654" i="21"/>
  <c r="AI1654" i="21"/>
  <c r="AE1655" i="21"/>
  <c r="AE1656" i="21"/>
  <c r="AE1657" i="21"/>
  <c r="AI1657" i="21"/>
  <c r="AE1658" i="21"/>
  <c r="AE1659" i="21"/>
  <c r="AI1659" i="21"/>
  <c r="AE1660" i="21"/>
  <c r="AE1661" i="21"/>
  <c r="AE1662" i="21"/>
  <c r="AI1662" i="21"/>
  <c r="AE1663" i="21"/>
  <c r="AI1663" i="21"/>
  <c r="AJ1663" i="21" s="1"/>
  <c r="AE1664" i="21"/>
  <c r="AI1664" i="21"/>
  <c r="AJ1664" i="21" s="1"/>
  <c r="AE1665" i="21"/>
  <c r="AI1665" i="21"/>
  <c r="AJ1665" i="21" s="1"/>
  <c r="AE1666" i="21"/>
  <c r="AI1666" i="21"/>
  <c r="AE1667" i="21"/>
  <c r="AI1667" i="21"/>
  <c r="AJ1667" i="21" s="1"/>
  <c r="AE1668" i="21"/>
  <c r="AE1669" i="21"/>
  <c r="AE1670" i="21"/>
  <c r="AE1671" i="21"/>
  <c r="AI1671" i="21"/>
  <c r="AJ1671" i="21" s="1"/>
  <c r="AE1672" i="21"/>
  <c r="AI1672" i="21"/>
  <c r="AJ1672" i="21" s="1"/>
  <c r="AE1673" i="21"/>
  <c r="AS1673" i="21" s="1"/>
  <c r="AI1673" i="21"/>
  <c r="AE1674" i="21"/>
  <c r="AI1674" i="21"/>
  <c r="AE1675" i="21"/>
  <c r="AI1675" i="21"/>
  <c r="AJ1675" i="21" s="1"/>
  <c r="AE1676" i="21"/>
  <c r="AE1677" i="21"/>
  <c r="AE1678" i="21"/>
  <c r="AJ1678" i="21"/>
  <c r="AE1679" i="21"/>
  <c r="AE1680" i="21"/>
  <c r="AS1680" i="21" s="1"/>
  <c r="AJ1680" i="21"/>
  <c r="AE1681" i="21"/>
  <c r="AS1681" i="21" s="1"/>
  <c r="AE1682" i="21"/>
  <c r="AJ1682" i="21"/>
  <c r="AE1683" i="21"/>
  <c r="AJ1683" i="21"/>
  <c r="AE1684" i="21"/>
  <c r="AE1686" i="21"/>
  <c r="AE1687" i="21"/>
  <c r="AE1688" i="21"/>
  <c r="AE1689" i="21"/>
  <c r="AE1690" i="21"/>
  <c r="AI1690" i="21"/>
  <c r="AE1691" i="21"/>
  <c r="AI1691" i="21"/>
  <c r="AJ1691" i="21" s="1"/>
  <c r="AE1692" i="21"/>
  <c r="AI1692" i="21"/>
  <c r="AJ1692" i="21" s="1"/>
  <c r="AE1693" i="21"/>
  <c r="AI1693" i="21"/>
  <c r="AJ1693" i="21" s="1"/>
  <c r="AE1694" i="21"/>
  <c r="AI1694" i="21"/>
  <c r="AE1695" i="21"/>
  <c r="AI1695" i="21"/>
  <c r="AE1696" i="21"/>
  <c r="AS1696" i="21" s="1"/>
  <c r="AI1696" i="21"/>
  <c r="AE1697" i="21"/>
  <c r="AS1697" i="21" s="1"/>
  <c r="AI1697" i="21"/>
  <c r="AE1698" i="21"/>
  <c r="AI1698" i="21"/>
  <c r="AJ1698" i="21" s="1"/>
  <c r="AE1699" i="21"/>
  <c r="AI1699" i="21"/>
  <c r="AE1700" i="21"/>
  <c r="AI1700" i="21"/>
  <c r="AJ1700" i="21" s="1"/>
  <c r="AE1701" i="21"/>
  <c r="AI1701" i="21"/>
  <c r="AE1702" i="21"/>
  <c r="AI1702" i="21"/>
  <c r="AE1703" i="21"/>
  <c r="AE1704" i="21"/>
  <c r="AI1704" i="21"/>
  <c r="AJ1704" i="21" s="1"/>
  <c r="AE1705" i="21"/>
  <c r="AF1705" i="21" s="1"/>
  <c r="AI1705" i="21"/>
  <c r="AJ1705" i="21" s="1"/>
  <c r="AE1706" i="21"/>
  <c r="AI1706" i="21"/>
  <c r="AJ1706" i="21" s="1"/>
  <c r="AE1707" i="21"/>
  <c r="AF1707" i="21" s="1"/>
  <c r="AI1707" i="21"/>
  <c r="AJ1707" i="21" s="1"/>
  <c r="AE1708" i="21"/>
  <c r="AI1708" i="21"/>
  <c r="AE1709" i="21"/>
  <c r="AI1709" i="21"/>
  <c r="AE1710" i="21"/>
  <c r="AI1710" i="21"/>
  <c r="AJ1710" i="21" s="1"/>
  <c r="AE1711" i="21"/>
  <c r="AI1711" i="21"/>
  <c r="AJ1711" i="21" s="1"/>
  <c r="AE1712" i="21"/>
  <c r="AS1712" i="21" s="1"/>
  <c r="AI1712" i="21"/>
  <c r="AE1713" i="21"/>
  <c r="AI1713" i="21"/>
  <c r="AJ1713" i="21" s="1"/>
  <c r="AE1714" i="21"/>
  <c r="AI1714" i="21"/>
  <c r="AE1715" i="21"/>
  <c r="AI1715" i="21"/>
  <c r="AJ1715" i="21" s="1"/>
  <c r="AE1716" i="21"/>
  <c r="AI1716" i="21"/>
  <c r="AJ1716" i="21" s="1"/>
  <c r="AE1717" i="21"/>
  <c r="AI1717" i="21"/>
  <c r="AE1718" i="21"/>
  <c r="AI1718" i="21"/>
  <c r="AJ1718" i="21" s="1"/>
  <c r="AE1719" i="21"/>
  <c r="AI1719" i="21"/>
  <c r="AJ1719" i="21" s="1"/>
  <c r="AE1720" i="21"/>
  <c r="AI1720" i="21"/>
  <c r="AE1721" i="21"/>
  <c r="AE1722" i="21"/>
  <c r="AE1723" i="21"/>
  <c r="AE1724" i="21"/>
  <c r="AE1725" i="21"/>
  <c r="AE1726" i="21"/>
  <c r="AE1727" i="21"/>
  <c r="AI1727" i="21"/>
  <c r="AJ1727" i="21" s="1"/>
  <c r="AE1728" i="21"/>
  <c r="AI1728" i="21"/>
  <c r="AE1729" i="21"/>
  <c r="AS1729" i="21" s="1"/>
  <c r="AI1729" i="21"/>
  <c r="AJ1729" i="21" s="1"/>
  <c r="AE1730" i="21"/>
  <c r="AI1730" i="21"/>
  <c r="AJ1730" i="21" s="1"/>
  <c r="AE1731" i="21"/>
  <c r="AE1732" i="21"/>
  <c r="AI1732" i="21"/>
  <c r="AJ1732" i="21" s="1"/>
  <c r="AE1733" i="21"/>
  <c r="AI1733" i="21"/>
  <c r="AJ1733" i="21" s="1"/>
  <c r="AE1734" i="21"/>
  <c r="AS1734" i="21" s="1"/>
  <c r="AI1734" i="21"/>
  <c r="AE1735" i="21"/>
  <c r="AS1735" i="21" s="1"/>
  <c r="AI1735" i="21"/>
  <c r="AE1736" i="21"/>
  <c r="AS1736" i="21" s="1"/>
  <c r="AE1737" i="21"/>
  <c r="AF1737" i="21" s="1"/>
  <c r="AI1737" i="21"/>
  <c r="AE1738" i="21"/>
  <c r="AS1738" i="21" s="1"/>
  <c r="AI1738" i="21"/>
  <c r="AE1739" i="21"/>
  <c r="AE1740" i="21"/>
  <c r="AS1740" i="21" s="1"/>
  <c r="AI1740" i="21"/>
  <c r="AE1741" i="21"/>
  <c r="AI1741" i="21"/>
  <c r="AE1742" i="21"/>
  <c r="AI1742" i="21"/>
  <c r="AJ1742" i="21" s="1"/>
  <c r="AE1743" i="21"/>
  <c r="AI1743" i="21"/>
  <c r="AE1744" i="21"/>
  <c r="AE1745" i="21"/>
  <c r="AE1746" i="21"/>
  <c r="AI1746" i="21"/>
  <c r="AJ1746" i="21" s="1"/>
  <c r="AE1747" i="21"/>
  <c r="AS1747" i="21" s="1"/>
  <c r="AE1748" i="21"/>
  <c r="AS1748" i="21" s="1"/>
  <c r="AE1749" i="21"/>
  <c r="AE1750" i="21"/>
  <c r="AE1751" i="21"/>
  <c r="AS1751" i="21" s="1"/>
  <c r="AE1752" i="21"/>
  <c r="AE1753" i="21"/>
  <c r="AE1754" i="21"/>
  <c r="AS1754" i="21" s="1"/>
  <c r="AE1755" i="21"/>
  <c r="AS1755" i="21" s="1"/>
  <c r="AI1755" i="21"/>
  <c r="AE1756" i="21"/>
  <c r="AE1757" i="21"/>
  <c r="AI1757" i="21"/>
  <c r="AJ1757" i="21" s="1"/>
  <c r="AE1758" i="21"/>
  <c r="AS1758" i="21" s="1"/>
  <c r="AI1758" i="21"/>
  <c r="AJ1758" i="21" s="1"/>
  <c r="AE1759" i="21"/>
  <c r="AS1759" i="21" s="1"/>
  <c r="AI1759" i="21"/>
  <c r="AE1760" i="21"/>
  <c r="AS1760" i="21" s="1"/>
  <c r="AE1761" i="21"/>
  <c r="AJ1761" i="21"/>
  <c r="AE1762" i="21"/>
  <c r="AJ1762" i="21"/>
  <c r="AE1763" i="21"/>
  <c r="AE1764" i="21"/>
  <c r="AJ1764" i="21"/>
  <c r="AE1765" i="21"/>
  <c r="AS1765" i="21" s="1"/>
  <c r="AE1766" i="21"/>
  <c r="AJ1766" i="21"/>
  <c r="AE1767" i="21"/>
  <c r="AS1767" i="21" s="1"/>
  <c r="AJ1767" i="21"/>
  <c r="AE1768" i="21"/>
  <c r="AS1768" i="21" s="1"/>
  <c r="AE1769" i="21"/>
  <c r="AS1769" i="21" s="1"/>
  <c r="AE1770" i="21"/>
  <c r="AJ1770" i="21"/>
  <c r="AE1771" i="21"/>
  <c r="AS1771" i="21" s="1"/>
  <c r="AE1772" i="21"/>
  <c r="AS1772" i="21" s="1"/>
  <c r="AJ1772" i="21"/>
  <c r="AE1773" i="21"/>
  <c r="AJ1773" i="21"/>
  <c r="AE1774" i="21"/>
  <c r="AI1774" i="21"/>
  <c r="AJ1774" i="21" s="1"/>
  <c r="AE1775" i="21"/>
  <c r="AS1775" i="21" s="1"/>
  <c r="AI1775" i="21"/>
  <c r="AE1776" i="21"/>
  <c r="AI1776" i="21"/>
  <c r="AJ1776" i="21" s="1"/>
  <c r="AE1777" i="21"/>
  <c r="AS1777" i="21" s="1"/>
  <c r="AE1778" i="21"/>
  <c r="AJ1778" i="21"/>
  <c r="AE1779" i="21"/>
  <c r="AS1779" i="21" s="1"/>
  <c r="AE1780" i="21"/>
  <c r="AS1780" i="21" s="1"/>
  <c r="AE1781" i="21"/>
  <c r="AJ1781" i="21"/>
  <c r="AE1782" i="21"/>
  <c r="AE1783" i="21"/>
  <c r="AE1784" i="21"/>
  <c r="AS1784" i="21" s="1"/>
  <c r="AJ1784" i="21"/>
  <c r="AE1785" i="21"/>
  <c r="AS1785" i="21" s="1"/>
  <c r="AJ1785" i="21"/>
  <c r="AE1786" i="21"/>
  <c r="AJ1786" i="21"/>
  <c r="AE1787" i="21"/>
  <c r="AS1787" i="21" s="1"/>
  <c r="AJ1787" i="21"/>
  <c r="AB1130" i="21"/>
  <c r="AC1130" i="21"/>
  <c r="AD1130" i="21"/>
  <c r="AB1131" i="21"/>
  <c r="AC1131" i="21"/>
  <c r="AD1131" i="21"/>
  <c r="AB1132" i="21"/>
  <c r="AC1132" i="21"/>
  <c r="AD1132" i="21"/>
  <c r="AB1133" i="21"/>
  <c r="AC1133" i="21"/>
  <c r="AD1133" i="21"/>
  <c r="AB1134" i="21"/>
  <c r="AC1134" i="21"/>
  <c r="AD1134" i="21"/>
  <c r="AB1135" i="21"/>
  <c r="AC1135" i="21"/>
  <c r="AD1135" i="21"/>
  <c r="AB1136" i="21"/>
  <c r="AC1136" i="21"/>
  <c r="AD1136" i="21"/>
  <c r="AB1137" i="21"/>
  <c r="AC1137" i="21"/>
  <c r="AD1137" i="21"/>
  <c r="AB1138" i="21"/>
  <c r="AC1138" i="21"/>
  <c r="AD1138" i="21"/>
  <c r="AB1139" i="21"/>
  <c r="AC1139" i="21"/>
  <c r="AD1139" i="21"/>
  <c r="AB1140" i="21"/>
  <c r="AC1140" i="21"/>
  <c r="AD1140" i="21"/>
  <c r="AB1141" i="21"/>
  <c r="AC1141" i="21"/>
  <c r="AD1141" i="21"/>
  <c r="AB1142" i="21"/>
  <c r="AC1142" i="21"/>
  <c r="AD1142" i="21"/>
  <c r="AB1143" i="21"/>
  <c r="AC1143" i="21"/>
  <c r="AD1143" i="21"/>
  <c r="AB1144" i="21"/>
  <c r="AC1144" i="21"/>
  <c r="AD1144" i="21"/>
  <c r="AB1145" i="21"/>
  <c r="AC1145" i="21"/>
  <c r="AD1145" i="21"/>
  <c r="AB1146" i="21"/>
  <c r="AC1146" i="21"/>
  <c r="AD1146" i="21"/>
  <c r="AB1147" i="21"/>
  <c r="AC1147" i="21"/>
  <c r="AD1147" i="21"/>
  <c r="AB1148" i="21"/>
  <c r="AC1148" i="21"/>
  <c r="AD1148" i="21"/>
  <c r="AB1149" i="21"/>
  <c r="AC1149" i="21"/>
  <c r="AD1149" i="21"/>
  <c r="AB1150" i="21"/>
  <c r="AC1150" i="21"/>
  <c r="AD1150" i="21"/>
  <c r="AB1151" i="21"/>
  <c r="AC1151" i="21"/>
  <c r="AD1151" i="21"/>
  <c r="AB1152" i="21"/>
  <c r="AC1152" i="21"/>
  <c r="AD1152" i="21"/>
  <c r="AB1153" i="21"/>
  <c r="AC1153" i="21"/>
  <c r="AD1153" i="21"/>
  <c r="AB1154" i="21"/>
  <c r="AC1154" i="21"/>
  <c r="AD1154" i="21"/>
  <c r="AB1155" i="21"/>
  <c r="AC1155" i="21"/>
  <c r="AD1155" i="21"/>
  <c r="AB1156" i="21"/>
  <c r="AC1156" i="21"/>
  <c r="AD1156" i="21"/>
  <c r="AB1157" i="21"/>
  <c r="AC1157" i="21"/>
  <c r="AD1157" i="21"/>
  <c r="AB1158" i="21"/>
  <c r="AC1158" i="21"/>
  <c r="AD1158" i="21"/>
  <c r="AB1159" i="21"/>
  <c r="AC1159" i="21"/>
  <c r="AD1159" i="21"/>
  <c r="AB1160" i="21"/>
  <c r="AC1160" i="21"/>
  <c r="AD1160" i="21"/>
  <c r="AB1161" i="21"/>
  <c r="AC1161" i="21"/>
  <c r="AD1161" i="21"/>
  <c r="AB1162" i="21"/>
  <c r="AC1162" i="21"/>
  <c r="AD1162" i="21"/>
  <c r="AB1163" i="21"/>
  <c r="AC1163" i="21"/>
  <c r="AD1163" i="21"/>
  <c r="AB1164" i="21"/>
  <c r="AC1164" i="21"/>
  <c r="AD1164" i="21"/>
  <c r="AB1165" i="21"/>
  <c r="AC1165" i="21"/>
  <c r="AD1165" i="21"/>
  <c r="AB1166" i="21"/>
  <c r="AC1166" i="21"/>
  <c r="AD1166" i="21"/>
  <c r="AB1167" i="21"/>
  <c r="AC1167" i="21"/>
  <c r="AD1167" i="21"/>
  <c r="AB1168" i="21"/>
  <c r="AC1168" i="21"/>
  <c r="AD1168" i="21"/>
  <c r="AB1169" i="21"/>
  <c r="AC1169" i="21"/>
  <c r="AD1169" i="21"/>
  <c r="AB1170" i="21"/>
  <c r="AC1170" i="21"/>
  <c r="AD1170" i="21"/>
  <c r="AB1171" i="21"/>
  <c r="AC1171" i="21"/>
  <c r="AD1171" i="21"/>
  <c r="AB1172" i="21"/>
  <c r="AC1172" i="21"/>
  <c r="AD1172" i="21"/>
  <c r="AB1173" i="21"/>
  <c r="AC1173" i="21"/>
  <c r="AD1173" i="21"/>
  <c r="AB1174" i="21"/>
  <c r="AC1174" i="21"/>
  <c r="AD1174" i="21"/>
  <c r="AB1175" i="21"/>
  <c r="AC1175" i="21"/>
  <c r="AD1175" i="21"/>
  <c r="AB1176" i="21"/>
  <c r="AC1176" i="21"/>
  <c r="AD1176" i="21"/>
  <c r="AB1177" i="21"/>
  <c r="AC1177" i="21"/>
  <c r="AD1177" i="21"/>
  <c r="AB1178" i="21"/>
  <c r="AC1178" i="21"/>
  <c r="AD1178" i="21"/>
  <c r="AB1179" i="21"/>
  <c r="AC1179" i="21"/>
  <c r="AD1179" i="21"/>
  <c r="AB1180" i="21"/>
  <c r="AC1180" i="21"/>
  <c r="AD1180" i="21"/>
  <c r="AB1181" i="21"/>
  <c r="AC1181" i="21"/>
  <c r="AD1181" i="21"/>
  <c r="AB1182" i="21"/>
  <c r="AC1182" i="21"/>
  <c r="AD1182" i="21"/>
  <c r="AB1183" i="21"/>
  <c r="AC1183" i="21"/>
  <c r="AD1183" i="21"/>
  <c r="AB1184" i="21"/>
  <c r="AC1184" i="21"/>
  <c r="AD1184" i="21"/>
  <c r="AB1185" i="21"/>
  <c r="AC1185" i="21"/>
  <c r="AD1185" i="21"/>
  <c r="AB1186" i="21"/>
  <c r="AC1186" i="21"/>
  <c r="AD1186" i="21"/>
  <c r="AB1187" i="21"/>
  <c r="AC1187" i="21"/>
  <c r="AD1187" i="21"/>
  <c r="AB1188" i="21"/>
  <c r="AC1188" i="21"/>
  <c r="AD1188" i="21"/>
  <c r="AB1189" i="21"/>
  <c r="AC1189" i="21"/>
  <c r="AD1189" i="21"/>
  <c r="AB1190" i="21"/>
  <c r="AC1190" i="21"/>
  <c r="AD1190" i="21"/>
  <c r="AB1191" i="21"/>
  <c r="AC1191" i="21"/>
  <c r="AD1191" i="21"/>
  <c r="AB1192" i="21"/>
  <c r="AC1192" i="21"/>
  <c r="AD1192" i="21"/>
  <c r="AB1193" i="21"/>
  <c r="AC1193" i="21"/>
  <c r="AD1193" i="21"/>
  <c r="AB1194" i="21"/>
  <c r="AC1194" i="21"/>
  <c r="AD1194" i="21"/>
  <c r="AB1195" i="21"/>
  <c r="AC1195" i="21"/>
  <c r="AD1195" i="21"/>
  <c r="AB1196" i="21"/>
  <c r="AC1196" i="21"/>
  <c r="AD1196" i="21"/>
  <c r="AB1197" i="21"/>
  <c r="AC1197" i="21"/>
  <c r="AD1197" i="21"/>
  <c r="AB1198" i="21"/>
  <c r="AC1198" i="21"/>
  <c r="AD1198" i="21"/>
  <c r="AB1199" i="21"/>
  <c r="AC1199" i="21"/>
  <c r="AD1199" i="21"/>
  <c r="AB1200" i="21"/>
  <c r="AC1200" i="21"/>
  <c r="AD1200" i="21"/>
  <c r="AB1201" i="21"/>
  <c r="AC1201" i="21"/>
  <c r="AD1201" i="21"/>
  <c r="AB1202" i="21"/>
  <c r="AC1202" i="21"/>
  <c r="AD1202" i="21"/>
  <c r="AB1203" i="21"/>
  <c r="AC1203" i="21"/>
  <c r="AD1203" i="21"/>
  <c r="AB1204" i="21"/>
  <c r="AC1204" i="21"/>
  <c r="AD1204" i="21"/>
  <c r="AB1205" i="21"/>
  <c r="AC1205" i="21"/>
  <c r="AD1205" i="21"/>
  <c r="AB1206" i="21"/>
  <c r="AC1206" i="21"/>
  <c r="AD1206" i="21"/>
  <c r="AB1207" i="21"/>
  <c r="AC1207" i="21"/>
  <c r="AD1207" i="21"/>
  <c r="AB1208" i="21"/>
  <c r="AC1208" i="21"/>
  <c r="AD1208" i="21"/>
  <c r="AB1209" i="21"/>
  <c r="AC1209" i="21"/>
  <c r="AD1209" i="21"/>
  <c r="AB1210" i="21"/>
  <c r="AC1210" i="21"/>
  <c r="AD1210" i="21"/>
  <c r="AB1211" i="21"/>
  <c r="AC1211" i="21"/>
  <c r="AD1211" i="21"/>
  <c r="AB1212" i="21"/>
  <c r="AC1212" i="21"/>
  <c r="AD1212" i="21"/>
  <c r="AB1213" i="21"/>
  <c r="AC1213" i="21"/>
  <c r="AD1213" i="21"/>
  <c r="AB1214" i="21"/>
  <c r="AC1214" i="21"/>
  <c r="AD1214" i="21"/>
  <c r="AB1215" i="21"/>
  <c r="AC1215" i="21"/>
  <c r="AD1215" i="21"/>
  <c r="AB1216" i="21"/>
  <c r="AC1216" i="21"/>
  <c r="AD1216" i="21"/>
  <c r="AB1217" i="21"/>
  <c r="AC1217" i="21"/>
  <c r="AD1217" i="21"/>
  <c r="AB1218" i="21"/>
  <c r="AC1218" i="21"/>
  <c r="AD1218" i="21"/>
  <c r="AB1219" i="21"/>
  <c r="AC1219" i="21"/>
  <c r="AD1219" i="21"/>
  <c r="AB1220" i="21"/>
  <c r="AC1220" i="21"/>
  <c r="AD1220" i="21"/>
  <c r="AB1221" i="21"/>
  <c r="AC1221" i="21"/>
  <c r="AD1221" i="21"/>
  <c r="AB1222" i="21"/>
  <c r="AC1222" i="21"/>
  <c r="AD1222" i="21"/>
  <c r="AB1223" i="21"/>
  <c r="AC1223" i="21"/>
  <c r="AD1223" i="21"/>
  <c r="AB1224" i="21"/>
  <c r="AC1224" i="21"/>
  <c r="AD1224" i="21"/>
  <c r="AB1225" i="21"/>
  <c r="AC1225" i="21"/>
  <c r="AD1225" i="21"/>
  <c r="AB1226" i="21"/>
  <c r="AC1226" i="21"/>
  <c r="AD1226" i="21"/>
  <c r="AB1227" i="21"/>
  <c r="AC1227" i="21"/>
  <c r="AD1227" i="21"/>
  <c r="AB1228" i="21"/>
  <c r="AC1228" i="21"/>
  <c r="AD1228" i="21"/>
  <c r="AB1229" i="21"/>
  <c r="AC1229" i="21"/>
  <c r="AD1229" i="21"/>
  <c r="AB1230" i="21"/>
  <c r="AC1230" i="21"/>
  <c r="AD1230" i="21"/>
  <c r="AC1231" i="21"/>
  <c r="AD1231" i="21"/>
  <c r="AC1232" i="21"/>
  <c r="AD1232" i="21"/>
  <c r="AB1233" i="21"/>
  <c r="AC1233" i="21"/>
  <c r="AD1233" i="21"/>
  <c r="AB1234" i="21"/>
  <c r="AC1234" i="21"/>
  <c r="AD1234" i="21"/>
  <c r="AB1235" i="21"/>
  <c r="AC1235" i="21"/>
  <c r="AD1235" i="21"/>
  <c r="AB1236" i="21"/>
  <c r="AC1236" i="21"/>
  <c r="AD1236" i="21"/>
  <c r="AB1237" i="21"/>
  <c r="AC1237" i="21"/>
  <c r="AD1237" i="21"/>
  <c r="AB1238" i="21"/>
  <c r="AC1238" i="21"/>
  <c r="AD1238" i="21"/>
  <c r="AB1239" i="21"/>
  <c r="AC1239" i="21"/>
  <c r="AD1239" i="21"/>
  <c r="AB1240" i="21"/>
  <c r="AC1240" i="21"/>
  <c r="AD1240" i="21"/>
  <c r="AB1241" i="21"/>
  <c r="AC1241" i="21"/>
  <c r="AD1241" i="21"/>
  <c r="AB1242" i="21"/>
  <c r="AC1242" i="21"/>
  <c r="AD1242" i="21"/>
  <c r="AB1243" i="21"/>
  <c r="AC1243" i="21"/>
  <c r="AD1243" i="21"/>
  <c r="AB1244" i="21"/>
  <c r="AC1244" i="21"/>
  <c r="AD1244" i="21"/>
  <c r="AB1245" i="21"/>
  <c r="AC1245" i="21"/>
  <c r="AD1245" i="21"/>
  <c r="AB1246" i="21"/>
  <c r="AC1246" i="21"/>
  <c r="AD1246" i="21"/>
  <c r="AB1247" i="21"/>
  <c r="AC1247" i="21"/>
  <c r="AD1247" i="21"/>
  <c r="AB1248" i="21"/>
  <c r="AC1248" i="21"/>
  <c r="AD1248" i="21"/>
  <c r="AB1249" i="21"/>
  <c r="AC1249" i="21"/>
  <c r="AD1249" i="21"/>
  <c r="AB1250" i="21"/>
  <c r="AC1250" i="21"/>
  <c r="AD1250" i="21"/>
  <c r="AB1251" i="21"/>
  <c r="AC1251" i="21"/>
  <c r="AD1251" i="21"/>
  <c r="AB1252" i="21"/>
  <c r="AC1252" i="21"/>
  <c r="AD1252" i="21"/>
  <c r="AB1253" i="21"/>
  <c r="AC1253" i="21"/>
  <c r="AD1253" i="21"/>
  <c r="AB1254" i="21"/>
  <c r="AC1254" i="21"/>
  <c r="AD1254" i="21"/>
  <c r="AB1255" i="21"/>
  <c r="AC1255" i="21"/>
  <c r="AD1255" i="21"/>
  <c r="AB1256" i="21"/>
  <c r="AC1256" i="21"/>
  <c r="AD1256" i="21"/>
  <c r="AB1257" i="21"/>
  <c r="AC1257" i="21"/>
  <c r="AD1257" i="21"/>
  <c r="AB1258" i="21"/>
  <c r="AC1258" i="21"/>
  <c r="AD1258" i="21"/>
  <c r="AB1259" i="21"/>
  <c r="AC1259" i="21"/>
  <c r="AD1259" i="21"/>
  <c r="AB1260" i="21"/>
  <c r="AC1260" i="21"/>
  <c r="AD1260" i="21"/>
  <c r="AB1261" i="21"/>
  <c r="AC1261" i="21"/>
  <c r="AD1261" i="21"/>
  <c r="AB1262" i="21"/>
  <c r="AC1262" i="21"/>
  <c r="AD1262" i="21"/>
  <c r="AB1263" i="21"/>
  <c r="AC1263" i="21"/>
  <c r="AD1263" i="21"/>
  <c r="AB1264" i="21"/>
  <c r="AC1264" i="21"/>
  <c r="AD1264" i="21"/>
  <c r="AB1265" i="21"/>
  <c r="AC1265" i="21"/>
  <c r="AD1265" i="21"/>
  <c r="AB1266" i="21"/>
  <c r="AC1266" i="21"/>
  <c r="AD1266" i="21"/>
  <c r="AB1267" i="21"/>
  <c r="AC1267" i="21"/>
  <c r="AD1267" i="21"/>
  <c r="AB1268" i="21"/>
  <c r="AC1268" i="21"/>
  <c r="AD1268" i="21"/>
  <c r="AB1269" i="21"/>
  <c r="AC1269" i="21"/>
  <c r="AD1269" i="21"/>
  <c r="AB1270" i="21"/>
  <c r="AC1270" i="21"/>
  <c r="AD1270" i="21"/>
  <c r="AB1271" i="21"/>
  <c r="AC1271" i="21"/>
  <c r="AD1271" i="21"/>
  <c r="AB1272" i="21"/>
  <c r="AC1272" i="21"/>
  <c r="AD1272" i="21"/>
  <c r="AB1273" i="21"/>
  <c r="AC1273" i="21"/>
  <c r="AD1273" i="21"/>
  <c r="AB1274" i="21"/>
  <c r="AC1274" i="21"/>
  <c r="AD1274" i="21"/>
  <c r="AB1275" i="21"/>
  <c r="AC1275" i="21"/>
  <c r="AD1275" i="21"/>
  <c r="AB1276" i="21"/>
  <c r="AC1276" i="21"/>
  <c r="AD1276" i="21"/>
  <c r="AB1277" i="21"/>
  <c r="AC1277" i="21"/>
  <c r="AD1277" i="21"/>
  <c r="AB1278" i="21"/>
  <c r="AC1278" i="21"/>
  <c r="AD1278" i="21"/>
  <c r="AB1279" i="21"/>
  <c r="AC1279" i="21"/>
  <c r="AD1279" i="21"/>
  <c r="AB1280" i="21"/>
  <c r="AC1280" i="21"/>
  <c r="AD1280" i="21"/>
  <c r="AB1281" i="21"/>
  <c r="AC1281" i="21"/>
  <c r="AD1281" i="21"/>
  <c r="AB1282" i="21"/>
  <c r="AC1282" i="21"/>
  <c r="AD1282" i="21"/>
  <c r="AB1283" i="21"/>
  <c r="AC1283" i="21"/>
  <c r="AD1283" i="21"/>
  <c r="AB1284" i="21"/>
  <c r="AC1284" i="21"/>
  <c r="AD1284" i="21"/>
  <c r="AB1285" i="21"/>
  <c r="AC1285" i="21"/>
  <c r="AD1285" i="21"/>
  <c r="AB1286" i="21"/>
  <c r="AC1286" i="21"/>
  <c r="AD1286" i="21"/>
  <c r="AB1287" i="21"/>
  <c r="AC1287" i="21"/>
  <c r="AD1287" i="21"/>
  <c r="AB1288" i="21"/>
  <c r="AC1288" i="21"/>
  <c r="AD1288" i="21"/>
  <c r="AB1289" i="21"/>
  <c r="AC1289" i="21"/>
  <c r="AD1289" i="21"/>
  <c r="AB1290" i="21"/>
  <c r="AC1290" i="21"/>
  <c r="AD1290" i="21"/>
  <c r="AB1291" i="21"/>
  <c r="AC1291" i="21"/>
  <c r="AD1291" i="21"/>
  <c r="AB1292" i="21"/>
  <c r="AC1292" i="21"/>
  <c r="AD1292" i="21"/>
  <c r="AB1293" i="21"/>
  <c r="AC1293" i="21"/>
  <c r="AD1293" i="21"/>
  <c r="AB1294" i="21"/>
  <c r="AC1294" i="21"/>
  <c r="AD1294" i="21"/>
  <c r="AB1295" i="21"/>
  <c r="AC1295" i="21"/>
  <c r="AD1295" i="21"/>
  <c r="AB1296" i="21"/>
  <c r="AC1296" i="21"/>
  <c r="AD1296" i="21"/>
  <c r="AB1297" i="21"/>
  <c r="AC1297" i="21"/>
  <c r="AD1297" i="21"/>
  <c r="AB1298" i="21"/>
  <c r="AC1298" i="21"/>
  <c r="AD1298" i="21"/>
  <c r="AB1299" i="21"/>
  <c r="AC1299" i="21"/>
  <c r="AD1299" i="21"/>
  <c r="AB1300" i="21"/>
  <c r="AC1300" i="21"/>
  <c r="AD1300" i="21"/>
  <c r="AB1301" i="21"/>
  <c r="AC1301" i="21"/>
  <c r="AD1301" i="21"/>
  <c r="AB1302" i="21"/>
  <c r="AC1302" i="21"/>
  <c r="AD1302" i="21"/>
  <c r="AB1303" i="21"/>
  <c r="AC1303" i="21"/>
  <c r="AD1303" i="21"/>
  <c r="AB1304" i="21"/>
  <c r="AC1304" i="21"/>
  <c r="AD1304" i="21"/>
  <c r="AB1305" i="21"/>
  <c r="AC1305" i="21"/>
  <c r="AD1305" i="21"/>
  <c r="AB1306" i="21"/>
  <c r="AC1306" i="21"/>
  <c r="AD1306" i="21"/>
  <c r="AB1307" i="21"/>
  <c r="AC1307" i="21"/>
  <c r="AD1307" i="21"/>
  <c r="AB1308" i="21"/>
  <c r="AC1308" i="21"/>
  <c r="AD1308" i="21"/>
  <c r="AB1309" i="21"/>
  <c r="AC1309" i="21"/>
  <c r="AD1309" i="21"/>
  <c r="AB1310" i="21"/>
  <c r="AC1310" i="21"/>
  <c r="AD1310" i="21"/>
  <c r="AB1311" i="21"/>
  <c r="AC1311" i="21"/>
  <c r="AD1311" i="21"/>
  <c r="AB1312" i="21"/>
  <c r="AC1312" i="21"/>
  <c r="AD1312" i="21"/>
  <c r="AB1313" i="21"/>
  <c r="AC1313" i="21"/>
  <c r="AD1313" i="21"/>
  <c r="AB1314" i="21"/>
  <c r="AC1314" i="21"/>
  <c r="AD1314" i="21"/>
  <c r="AB1315" i="21"/>
  <c r="AC1315" i="21"/>
  <c r="AD1315" i="21"/>
  <c r="AB1316" i="21"/>
  <c r="AC1316" i="21"/>
  <c r="AD1316" i="21"/>
  <c r="AB1317" i="21"/>
  <c r="AC1317" i="21"/>
  <c r="AD1317" i="21"/>
  <c r="AB1318" i="21"/>
  <c r="AC1318" i="21"/>
  <c r="AD1318" i="21"/>
  <c r="AB1319" i="21"/>
  <c r="AC1319" i="21"/>
  <c r="AD1319" i="21"/>
  <c r="AB1320" i="21"/>
  <c r="AC1320" i="21"/>
  <c r="AD1320" i="21"/>
  <c r="AB1321" i="21"/>
  <c r="AC1321" i="21"/>
  <c r="AD1321" i="21"/>
  <c r="AB1322" i="21"/>
  <c r="AC1322" i="21"/>
  <c r="AD1322" i="21"/>
  <c r="AB1323" i="21"/>
  <c r="AC1323" i="21"/>
  <c r="AD1323" i="21"/>
  <c r="AB1324" i="21"/>
  <c r="AC1324" i="21"/>
  <c r="AD1324" i="21"/>
  <c r="AB1325" i="21"/>
  <c r="AC1325" i="21"/>
  <c r="AD1325" i="21"/>
  <c r="AB1326" i="21"/>
  <c r="AC1326" i="21"/>
  <c r="AD1326" i="21"/>
  <c r="AB1327" i="21"/>
  <c r="AC1327" i="21"/>
  <c r="AD1327" i="21"/>
  <c r="AB1328" i="21"/>
  <c r="AC1328" i="21"/>
  <c r="AD1328" i="21"/>
  <c r="AB1329" i="21"/>
  <c r="AC1329" i="21"/>
  <c r="AD1329" i="21"/>
  <c r="AB1330" i="21"/>
  <c r="AC1330" i="21"/>
  <c r="AD1330" i="21"/>
  <c r="AB1331" i="21"/>
  <c r="AC1331" i="21"/>
  <c r="AD1331" i="21"/>
  <c r="AB1332" i="21"/>
  <c r="AC1332" i="21"/>
  <c r="AD1332" i="21"/>
  <c r="AB1333" i="21"/>
  <c r="AC1333" i="21"/>
  <c r="AD1333" i="21"/>
  <c r="AB1334" i="21"/>
  <c r="AC1334" i="21"/>
  <c r="AD1334" i="21"/>
  <c r="AB1335" i="21"/>
  <c r="AC1335" i="21"/>
  <c r="AD1335" i="21"/>
  <c r="AB1336" i="21"/>
  <c r="AC1336" i="21"/>
  <c r="AD1336" i="21"/>
  <c r="AB1337" i="21"/>
  <c r="AC1337" i="21"/>
  <c r="AD1337" i="21"/>
  <c r="AB1338" i="21"/>
  <c r="AC1338" i="21"/>
  <c r="AD1338" i="21"/>
  <c r="AB1339" i="21"/>
  <c r="AC1339" i="21"/>
  <c r="AD1339" i="21"/>
  <c r="AB1340" i="21"/>
  <c r="AC1340" i="21"/>
  <c r="AD1340" i="21"/>
  <c r="AB1341" i="21"/>
  <c r="AC1341" i="21"/>
  <c r="AD1341" i="21"/>
  <c r="AB1342" i="21"/>
  <c r="AC1342" i="21"/>
  <c r="AD1342" i="21"/>
  <c r="AB1343" i="21"/>
  <c r="AC1343" i="21"/>
  <c r="AD1343" i="21"/>
  <c r="AB1344" i="21"/>
  <c r="AC1344" i="21"/>
  <c r="AD1344" i="21"/>
  <c r="AB1345" i="21"/>
  <c r="AC1345" i="21"/>
  <c r="AD1345" i="21"/>
  <c r="AB1346" i="21"/>
  <c r="AC1346" i="21"/>
  <c r="AD1346" i="21"/>
  <c r="AB1347" i="21"/>
  <c r="AC1347" i="21"/>
  <c r="AD1347" i="21"/>
  <c r="AB1348" i="21"/>
  <c r="AC1348" i="21"/>
  <c r="AD1348" i="21"/>
  <c r="AB1349" i="21"/>
  <c r="AC1349" i="21"/>
  <c r="AD1349" i="21"/>
  <c r="AB1350" i="21"/>
  <c r="AC1350" i="21"/>
  <c r="AD1350" i="21"/>
  <c r="AB1351" i="21"/>
  <c r="AC1351" i="21"/>
  <c r="AD1351" i="21"/>
  <c r="AB1352" i="21"/>
  <c r="AC1352" i="21"/>
  <c r="AD1352" i="21"/>
  <c r="AB1353" i="21"/>
  <c r="AC1353" i="21"/>
  <c r="AD1353" i="21"/>
  <c r="AB1354" i="21"/>
  <c r="AC1354" i="21"/>
  <c r="AD1354" i="21"/>
  <c r="AB1355" i="21"/>
  <c r="AC1355" i="21"/>
  <c r="AD1355" i="21"/>
  <c r="AB1356" i="21"/>
  <c r="AC1356" i="21"/>
  <c r="AD1356" i="21"/>
  <c r="AB1357" i="21"/>
  <c r="AC1357" i="21"/>
  <c r="AD1357" i="21"/>
  <c r="AB1358" i="21"/>
  <c r="AC1358" i="21"/>
  <c r="AD1358" i="21"/>
  <c r="AB1359" i="21"/>
  <c r="AC1359" i="21"/>
  <c r="AD1359" i="21"/>
  <c r="AB1360" i="21"/>
  <c r="AC1360" i="21"/>
  <c r="AD1360" i="21"/>
  <c r="AB1361" i="21"/>
  <c r="AC1361" i="21"/>
  <c r="AD1361" i="21"/>
  <c r="AB1362" i="21"/>
  <c r="AC1362" i="21"/>
  <c r="AD1362" i="21"/>
  <c r="AB1363" i="21"/>
  <c r="AC1363" i="21"/>
  <c r="AD1363" i="21"/>
  <c r="AB1364" i="21"/>
  <c r="AC1364" i="21"/>
  <c r="AD1364" i="21"/>
  <c r="AB1365" i="21"/>
  <c r="AC1365" i="21"/>
  <c r="AD1365" i="21"/>
  <c r="AB1366" i="21"/>
  <c r="AC1366" i="21"/>
  <c r="AD1366" i="21"/>
  <c r="AB1367" i="21"/>
  <c r="AC1367" i="21"/>
  <c r="AD1367" i="21"/>
  <c r="AB1368" i="21"/>
  <c r="AC1368" i="21"/>
  <c r="AD1368" i="21"/>
  <c r="AB1369" i="21"/>
  <c r="AC1369" i="21"/>
  <c r="AD1369" i="21"/>
  <c r="AB1370" i="21"/>
  <c r="AC1370" i="21"/>
  <c r="AD1370" i="21"/>
  <c r="AB1371" i="21"/>
  <c r="AC1371" i="21"/>
  <c r="AD1371" i="21"/>
  <c r="AB1372" i="21"/>
  <c r="AC1372" i="21"/>
  <c r="AD1372" i="21"/>
  <c r="AB1373" i="21"/>
  <c r="AC1373" i="21"/>
  <c r="AD1373" i="21"/>
  <c r="AB1374" i="21"/>
  <c r="AC1374" i="21"/>
  <c r="AD1374" i="21"/>
  <c r="AB1375" i="21"/>
  <c r="AC1375" i="21"/>
  <c r="AD1375" i="21"/>
  <c r="AB1376" i="21"/>
  <c r="AC1376" i="21"/>
  <c r="AD1376" i="21"/>
  <c r="AB1377" i="21"/>
  <c r="AC1377" i="21"/>
  <c r="AD1377" i="21"/>
  <c r="AB1378" i="21"/>
  <c r="AC1378" i="21"/>
  <c r="AD1378" i="21"/>
  <c r="AB1379" i="21"/>
  <c r="AC1379" i="21"/>
  <c r="AD1379" i="21"/>
  <c r="AB1380" i="21"/>
  <c r="AC1380" i="21"/>
  <c r="AD1380" i="21"/>
  <c r="AB1381" i="21"/>
  <c r="AC1381" i="21"/>
  <c r="AD1381" i="21"/>
  <c r="AB1382" i="21"/>
  <c r="AC1382" i="21"/>
  <c r="AD1382" i="21"/>
  <c r="AB1383" i="21"/>
  <c r="AC1383" i="21"/>
  <c r="AD1383" i="21"/>
  <c r="AB1384" i="21"/>
  <c r="AC1384" i="21"/>
  <c r="AD1384" i="21"/>
  <c r="AB1385" i="21"/>
  <c r="AC1385" i="21"/>
  <c r="AD1385" i="21"/>
  <c r="AB1386" i="21"/>
  <c r="AC1386" i="21"/>
  <c r="AD1386" i="21"/>
  <c r="AB1387" i="21"/>
  <c r="AC1387" i="21"/>
  <c r="AD1387" i="21"/>
  <c r="AB1388" i="21"/>
  <c r="AC1388" i="21"/>
  <c r="AD1388" i="21"/>
  <c r="AB1389" i="21"/>
  <c r="AC1389" i="21"/>
  <c r="AD1389" i="21"/>
  <c r="AB1390" i="21"/>
  <c r="AC1390" i="21"/>
  <c r="AD1390" i="21"/>
  <c r="AB1391" i="21"/>
  <c r="AC1391" i="21"/>
  <c r="AD1391" i="21"/>
  <c r="AB1392" i="21"/>
  <c r="AC1392" i="21"/>
  <c r="AD1392" i="21"/>
  <c r="AB1393" i="21"/>
  <c r="AC1393" i="21"/>
  <c r="AD1393" i="21"/>
  <c r="AB1394" i="21"/>
  <c r="AC1394" i="21"/>
  <c r="AD1394" i="21"/>
  <c r="AB1395" i="21"/>
  <c r="AC1395" i="21"/>
  <c r="AD1395" i="21"/>
  <c r="AB1396" i="21"/>
  <c r="AC1396" i="21"/>
  <c r="AD1396" i="21"/>
  <c r="AB1397" i="21"/>
  <c r="AC1397" i="21"/>
  <c r="AD1397" i="21"/>
  <c r="AB1398" i="21"/>
  <c r="AC1398" i="21"/>
  <c r="AD1398" i="21"/>
  <c r="AB1399" i="21"/>
  <c r="AC1399" i="21"/>
  <c r="AD1399" i="21"/>
  <c r="AB1400" i="21"/>
  <c r="AC1400" i="21"/>
  <c r="AD1400" i="21"/>
  <c r="AB1401" i="21"/>
  <c r="AC1401" i="21"/>
  <c r="AD1401" i="21"/>
  <c r="AB1402" i="21"/>
  <c r="AC1402" i="21"/>
  <c r="AD1402" i="21"/>
  <c r="AB1403" i="21"/>
  <c r="AC1403" i="21"/>
  <c r="AD1403" i="21"/>
  <c r="AB1404" i="21"/>
  <c r="AC1404" i="21"/>
  <c r="AD1404" i="21"/>
  <c r="AB1405" i="21"/>
  <c r="AC1405" i="21"/>
  <c r="AD1405" i="21"/>
  <c r="AB1406" i="21"/>
  <c r="AC1406" i="21"/>
  <c r="AD1406" i="21"/>
  <c r="AB1407" i="21"/>
  <c r="AC1407" i="21"/>
  <c r="AD1407" i="21"/>
  <c r="AB1408" i="21"/>
  <c r="AC1408" i="21"/>
  <c r="AD1408" i="21"/>
  <c r="AB1409" i="21"/>
  <c r="AC1409" i="21"/>
  <c r="AD1409" i="21"/>
  <c r="AB1410" i="21"/>
  <c r="AC1410" i="21"/>
  <c r="AD1410" i="21"/>
  <c r="AB1411" i="21"/>
  <c r="AC1411" i="21"/>
  <c r="AD1411" i="21"/>
  <c r="AB1412" i="21"/>
  <c r="AC1412" i="21"/>
  <c r="AD1412" i="21"/>
  <c r="AB1413" i="21"/>
  <c r="AC1413" i="21"/>
  <c r="AD1413" i="21"/>
  <c r="AB1414" i="21"/>
  <c r="AC1414" i="21"/>
  <c r="AD1414" i="21"/>
  <c r="AB1415" i="21"/>
  <c r="AC1415" i="21"/>
  <c r="AD1415" i="21"/>
  <c r="AB1416" i="21"/>
  <c r="AC1416" i="21"/>
  <c r="AD1416" i="21"/>
  <c r="AB1417" i="21"/>
  <c r="AC1417" i="21"/>
  <c r="AD1417" i="21"/>
  <c r="AB1418" i="21"/>
  <c r="AC1418" i="21"/>
  <c r="AD1418" i="21"/>
  <c r="AB1419" i="21"/>
  <c r="AC1419" i="21"/>
  <c r="AD1419" i="21"/>
  <c r="AB1420" i="21"/>
  <c r="AC1420" i="21"/>
  <c r="AD1420" i="21"/>
  <c r="AB1421" i="21"/>
  <c r="AC1421" i="21"/>
  <c r="AD1421" i="21"/>
  <c r="AB1422" i="21"/>
  <c r="AC1422" i="21"/>
  <c r="AD1422" i="21"/>
  <c r="AB1423" i="21"/>
  <c r="AC1423" i="21"/>
  <c r="AD1423" i="21"/>
  <c r="AB1424" i="21"/>
  <c r="AC1424" i="21"/>
  <c r="AD1424" i="21"/>
  <c r="AB1425" i="21"/>
  <c r="AC1425" i="21"/>
  <c r="AD1425" i="21"/>
  <c r="AB1426" i="21"/>
  <c r="AC1426" i="21"/>
  <c r="AD1426" i="21"/>
  <c r="AB1427" i="21"/>
  <c r="AC1427" i="21"/>
  <c r="AD1427" i="21"/>
  <c r="AB1428" i="21"/>
  <c r="AC1428" i="21"/>
  <c r="AD1428" i="21"/>
  <c r="AB1429" i="21"/>
  <c r="AC1429" i="21"/>
  <c r="AD1429" i="21"/>
  <c r="AB1430" i="21"/>
  <c r="AC1430" i="21"/>
  <c r="AD1430" i="21"/>
  <c r="AB1431" i="21"/>
  <c r="AC1431" i="21"/>
  <c r="AD1431" i="21"/>
  <c r="AB1432" i="21"/>
  <c r="AC1432" i="21"/>
  <c r="AD1432" i="21"/>
  <c r="AB1433" i="21"/>
  <c r="AC1433" i="21"/>
  <c r="AD1433" i="21"/>
  <c r="AB1434" i="21"/>
  <c r="AC1434" i="21"/>
  <c r="AD1434" i="21"/>
  <c r="AB1435" i="21"/>
  <c r="AC1435" i="21"/>
  <c r="AD1435" i="21"/>
  <c r="AB1436" i="21"/>
  <c r="AC1436" i="21"/>
  <c r="AD1436" i="21"/>
  <c r="AB1437" i="21"/>
  <c r="AC1437" i="21"/>
  <c r="AD1437" i="21"/>
  <c r="AB1438" i="21"/>
  <c r="AC1438" i="21"/>
  <c r="AD1438" i="21"/>
  <c r="AB1439" i="21"/>
  <c r="AC1439" i="21"/>
  <c r="AD1439" i="21"/>
  <c r="AB1440" i="21"/>
  <c r="AC1440" i="21"/>
  <c r="AD1440" i="21"/>
  <c r="AB1441" i="21"/>
  <c r="AC1441" i="21"/>
  <c r="AD1441" i="21"/>
  <c r="AB1442" i="21"/>
  <c r="AC1442" i="21"/>
  <c r="AD1442" i="21"/>
  <c r="AB1443" i="21"/>
  <c r="AC1443" i="21"/>
  <c r="AD1443" i="21"/>
  <c r="AB1444" i="21"/>
  <c r="AC1444" i="21"/>
  <c r="AD1444" i="21"/>
  <c r="AB1445" i="21"/>
  <c r="AC1445" i="21"/>
  <c r="AD1445" i="21"/>
  <c r="AB1446" i="21"/>
  <c r="AC1446" i="21"/>
  <c r="AD1446" i="21"/>
  <c r="AB1447" i="21"/>
  <c r="AC1447" i="21"/>
  <c r="AD1447" i="21"/>
  <c r="AB1448" i="21"/>
  <c r="AC1448" i="21"/>
  <c r="AD1448" i="21"/>
  <c r="AB1449" i="21"/>
  <c r="AC1449" i="21"/>
  <c r="AD1449" i="21"/>
  <c r="AB1450" i="21"/>
  <c r="AC1450" i="21"/>
  <c r="AD1450" i="21"/>
  <c r="AB1451" i="21"/>
  <c r="AC1451" i="21"/>
  <c r="AD1451" i="21"/>
  <c r="AB1452" i="21"/>
  <c r="AC1452" i="21"/>
  <c r="AD1452" i="21"/>
  <c r="AB1453" i="21"/>
  <c r="AC1453" i="21"/>
  <c r="AD1453" i="21"/>
  <c r="AB1454" i="21"/>
  <c r="AC1454" i="21"/>
  <c r="AD1454" i="21"/>
  <c r="AB1455" i="21"/>
  <c r="AC1455" i="21"/>
  <c r="AD1455" i="21"/>
  <c r="AB1456" i="21"/>
  <c r="AC1456" i="21"/>
  <c r="AD1456" i="21"/>
  <c r="AB1457" i="21"/>
  <c r="AC1457" i="21"/>
  <c r="AD1457" i="21"/>
  <c r="AB1458" i="21"/>
  <c r="AC1458" i="21"/>
  <c r="AD1458" i="21"/>
  <c r="AB1459" i="21"/>
  <c r="AC1459" i="21"/>
  <c r="AD1459" i="21"/>
  <c r="AB1460" i="21"/>
  <c r="AC1460" i="21"/>
  <c r="AD1460" i="21"/>
  <c r="AB1461" i="21"/>
  <c r="AC1461" i="21"/>
  <c r="AD1461" i="21"/>
  <c r="AB1462" i="21"/>
  <c r="AC1462" i="21"/>
  <c r="AD1462" i="21"/>
  <c r="AB1463" i="21"/>
  <c r="AC1463" i="21"/>
  <c r="AD1463" i="21"/>
  <c r="AB1464" i="21"/>
  <c r="AC1464" i="21"/>
  <c r="AD1464" i="21"/>
  <c r="AB1465" i="21"/>
  <c r="AC1465" i="21"/>
  <c r="AD1465" i="21"/>
  <c r="AB1466" i="21"/>
  <c r="AC1466" i="21"/>
  <c r="AD1466" i="21"/>
  <c r="AB1467" i="21"/>
  <c r="AC1467" i="21"/>
  <c r="AD1467" i="21"/>
  <c r="AB1468" i="21"/>
  <c r="AC1468" i="21"/>
  <c r="AD1468" i="21"/>
  <c r="AB1469" i="21"/>
  <c r="AC1469" i="21"/>
  <c r="AD1469" i="21"/>
  <c r="AB1470" i="21"/>
  <c r="AC1470" i="21"/>
  <c r="AD1470" i="21"/>
  <c r="AB1471" i="21"/>
  <c r="AC1471" i="21"/>
  <c r="AD1471" i="21"/>
  <c r="AB1472" i="21"/>
  <c r="AC1472" i="21"/>
  <c r="AD1472" i="21"/>
  <c r="AB1473" i="21"/>
  <c r="AC1473" i="21"/>
  <c r="AD1473" i="21"/>
  <c r="AB1474" i="21"/>
  <c r="AC1474" i="21"/>
  <c r="AD1474" i="21"/>
  <c r="AB1475" i="21"/>
  <c r="AC1475" i="21"/>
  <c r="AD1475" i="21"/>
  <c r="AB1476" i="21"/>
  <c r="AC1476" i="21"/>
  <c r="AD1476" i="21"/>
  <c r="AB1477" i="21"/>
  <c r="AC1477" i="21"/>
  <c r="AD1477" i="21"/>
  <c r="AB1478" i="21"/>
  <c r="AC1478" i="21"/>
  <c r="AD1478" i="21"/>
  <c r="AB1479" i="21"/>
  <c r="AC1479" i="21"/>
  <c r="AD1479" i="21"/>
  <c r="AB1480" i="21"/>
  <c r="AC1480" i="21"/>
  <c r="AD1480" i="21"/>
  <c r="AB1481" i="21"/>
  <c r="AC1481" i="21"/>
  <c r="AD1481" i="21"/>
  <c r="AB1482" i="21"/>
  <c r="AC1482" i="21"/>
  <c r="AD1482" i="21"/>
  <c r="AB1483" i="21"/>
  <c r="AC1483" i="21"/>
  <c r="AD1483" i="21"/>
  <c r="AB1484" i="21"/>
  <c r="AC1484" i="21"/>
  <c r="AD1484" i="21"/>
  <c r="AB1485" i="21"/>
  <c r="AC1485" i="21"/>
  <c r="AD1485" i="21"/>
  <c r="AB1486" i="21"/>
  <c r="AC1486" i="21"/>
  <c r="AD1486" i="21"/>
  <c r="AB1487" i="21"/>
  <c r="AC1487" i="21"/>
  <c r="AD1487" i="21"/>
  <c r="AB1488" i="21"/>
  <c r="AC1488" i="21"/>
  <c r="AD1488" i="21"/>
  <c r="AB1489" i="21"/>
  <c r="AC1489" i="21"/>
  <c r="AD1489" i="21"/>
  <c r="AB1490" i="21"/>
  <c r="AC1490" i="21"/>
  <c r="AD1490" i="21"/>
  <c r="AB1491" i="21"/>
  <c r="AC1491" i="21"/>
  <c r="AD1491" i="21"/>
  <c r="AB1492" i="21"/>
  <c r="AC1492" i="21"/>
  <c r="AD1492" i="21"/>
  <c r="AB1493" i="21"/>
  <c r="AC1493" i="21"/>
  <c r="AD1493" i="21"/>
  <c r="AB1494" i="21"/>
  <c r="AC1494" i="21"/>
  <c r="AD1494" i="21"/>
  <c r="AB1495" i="21"/>
  <c r="AC1495" i="21"/>
  <c r="AD1495" i="21"/>
  <c r="AB1496" i="21"/>
  <c r="AC1496" i="21"/>
  <c r="AD1496" i="21"/>
  <c r="AB1497" i="21"/>
  <c r="AC1497" i="21"/>
  <c r="AD1497" i="21"/>
  <c r="AB1498" i="21"/>
  <c r="AC1498" i="21"/>
  <c r="AD1498" i="21"/>
  <c r="AB1499" i="21"/>
  <c r="AC1499" i="21"/>
  <c r="AD1499" i="21"/>
  <c r="AB1500" i="21"/>
  <c r="AC1500" i="21"/>
  <c r="AD1500" i="21"/>
  <c r="AB1501" i="21"/>
  <c r="AC1501" i="21"/>
  <c r="AD1501" i="21"/>
  <c r="AB1502" i="21"/>
  <c r="AC1502" i="21"/>
  <c r="AD1502" i="21"/>
  <c r="AB1503" i="21"/>
  <c r="AC1503" i="21"/>
  <c r="AD1503" i="21"/>
  <c r="AB1504" i="21"/>
  <c r="AC1504" i="21"/>
  <c r="AD1504" i="21"/>
  <c r="AB1505" i="21"/>
  <c r="AC1505" i="21"/>
  <c r="AD1505" i="21"/>
  <c r="AB1506" i="21"/>
  <c r="AC1506" i="21"/>
  <c r="AD1506" i="21"/>
  <c r="AB1507" i="21"/>
  <c r="AC1507" i="21"/>
  <c r="AD1507" i="21"/>
  <c r="AB1508" i="21"/>
  <c r="AC1508" i="21"/>
  <c r="AD1508" i="21"/>
  <c r="AB1509" i="21"/>
  <c r="AC1509" i="21"/>
  <c r="AD1509" i="21"/>
  <c r="AB1510" i="21"/>
  <c r="AC1510" i="21"/>
  <c r="AD1510" i="21"/>
  <c r="AB1511" i="21"/>
  <c r="AC1511" i="21"/>
  <c r="AD1511" i="21"/>
  <c r="AB1512" i="21"/>
  <c r="AC1512" i="21"/>
  <c r="AD1512" i="21"/>
  <c r="AB1513" i="21"/>
  <c r="AC1513" i="21"/>
  <c r="AD1513" i="21"/>
  <c r="AB1514" i="21"/>
  <c r="AC1514" i="21"/>
  <c r="AD1514" i="21"/>
  <c r="AB1515" i="21"/>
  <c r="AC1515" i="21"/>
  <c r="AD1515" i="21"/>
  <c r="AB1516" i="21"/>
  <c r="AC1516" i="21"/>
  <c r="AD1516" i="21"/>
  <c r="AB1517" i="21"/>
  <c r="AC1517" i="21"/>
  <c r="AD1517" i="21"/>
  <c r="AB1518" i="21"/>
  <c r="AC1518" i="21"/>
  <c r="AD1518" i="21"/>
  <c r="AB1519" i="21"/>
  <c r="AC1519" i="21"/>
  <c r="AD1519" i="21"/>
  <c r="AB1520" i="21"/>
  <c r="AC1520" i="21"/>
  <c r="AD1520" i="21"/>
  <c r="AB1521" i="21"/>
  <c r="AC1521" i="21"/>
  <c r="AD1521" i="21"/>
  <c r="AB1522" i="21"/>
  <c r="AC1522" i="21"/>
  <c r="AD1522" i="21"/>
  <c r="AB1523" i="21"/>
  <c r="AC1523" i="21"/>
  <c r="AD1523" i="21"/>
  <c r="AB1524" i="21"/>
  <c r="AC1524" i="21"/>
  <c r="AD1524" i="21"/>
  <c r="AB1525" i="21"/>
  <c r="AC1525" i="21"/>
  <c r="AD1525" i="21"/>
  <c r="AB1526" i="21"/>
  <c r="AC1526" i="21"/>
  <c r="AD1526" i="21"/>
  <c r="AB1527" i="21"/>
  <c r="AC1527" i="21"/>
  <c r="AD1527" i="21"/>
  <c r="AB1528" i="21"/>
  <c r="AC1528" i="21"/>
  <c r="AD1528" i="21"/>
  <c r="AB1529" i="21"/>
  <c r="AC1529" i="21"/>
  <c r="AD1529" i="21"/>
  <c r="AB1530" i="21"/>
  <c r="AC1530" i="21"/>
  <c r="AD1530" i="21"/>
  <c r="AB1531" i="21"/>
  <c r="AC1531" i="21"/>
  <c r="AD1531" i="21"/>
  <c r="AB1532" i="21"/>
  <c r="AC1532" i="21"/>
  <c r="AD1532" i="21"/>
  <c r="AB1533" i="21"/>
  <c r="AC1533" i="21"/>
  <c r="AD1533" i="21"/>
  <c r="AB1534" i="21"/>
  <c r="AC1534" i="21"/>
  <c r="AD1534" i="21"/>
  <c r="AB1535" i="21"/>
  <c r="AC1535" i="21"/>
  <c r="AD1535" i="21"/>
  <c r="AB1536" i="21"/>
  <c r="AC1536" i="21"/>
  <c r="AD1536" i="21"/>
  <c r="AB1537" i="21"/>
  <c r="AC1537" i="21"/>
  <c r="AD1537" i="21"/>
  <c r="AB1538" i="21"/>
  <c r="AC1538" i="21"/>
  <c r="AD1538" i="21"/>
  <c r="AB1539" i="21"/>
  <c r="AC1539" i="21"/>
  <c r="AD1539" i="21"/>
  <c r="AB1540" i="21"/>
  <c r="AC1540" i="21"/>
  <c r="AD1540" i="21"/>
  <c r="AB1541" i="21"/>
  <c r="AC1541" i="21"/>
  <c r="AD1541" i="21"/>
  <c r="AB1542" i="21"/>
  <c r="AC1542" i="21"/>
  <c r="AD1542" i="21"/>
  <c r="AB1543" i="21"/>
  <c r="AC1543" i="21"/>
  <c r="AD1543" i="21"/>
  <c r="AB1544" i="21"/>
  <c r="AC1544" i="21"/>
  <c r="AD1544" i="21"/>
  <c r="AB1545" i="21"/>
  <c r="AC1545" i="21"/>
  <c r="AD1545" i="21"/>
  <c r="AB1546" i="21"/>
  <c r="AC1546" i="21"/>
  <c r="AD1546" i="21"/>
  <c r="AB1547" i="21"/>
  <c r="AC1547" i="21"/>
  <c r="AD1547" i="21"/>
  <c r="AB1548" i="21"/>
  <c r="AC1548" i="21"/>
  <c r="AD1548" i="21"/>
  <c r="AB1549" i="21"/>
  <c r="AC1549" i="21"/>
  <c r="AD1549" i="21"/>
  <c r="AB1550" i="21"/>
  <c r="AC1550" i="21"/>
  <c r="AD1550" i="21"/>
  <c r="AB1551" i="21"/>
  <c r="AC1551" i="21"/>
  <c r="AD1551" i="21"/>
  <c r="AB1552" i="21"/>
  <c r="AC1552" i="21"/>
  <c r="AD1552" i="21"/>
  <c r="AB1553" i="21"/>
  <c r="AC1553" i="21"/>
  <c r="AD1553" i="21"/>
  <c r="AB1554" i="21"/>
  <c r="AC1554" i="21"/>
  <c r="AD1554" i="21"/>
  <c r="AB1555" i="21"/>
  <c r="AC1555" i="21"/>
  <c r="AD1555" i="21"/>
  <c r="AB1556" i="21"/>
  <c r="AC1556" i="21"/>
  <c r="AD1556" i="21"/>
  <c r="AB1557" i="21"/>
  <c r="AC1557" i="21"/>
  <c r="AD1557" i="21"/>
  <c r="AB1558" i="21"/>
  <c r="AC1558" i="21"/>
  <c r="AD1558" i="21"/>
  <c r="AB1559" i="21"/>
  <c r="AC1559" i="21"/>
  <c r="AD1559" i="21"/>
  <c r="AB1560" i="21"/>
  <c r="AC1560" i="21"/>
  <c r="AD1560" i="21"/>
  <c r="AB1561" i="21"/>
  <c r="AC1561" i="21"/>
  <c r="AD1561" i="21"/>
  <c r="AB1562" i="21"/>
  <c r="AC1562" i="21"/>
  <c r="AD1562" i="21"/>
  <c r="AB1563" i="21"/>
  <c r="AC1563" i="21"/>
  <c r="AD1563" i="21"/>
  <c r="AB1564" i="21"/>
  <c r="AC1564" i="21"/>
  <c r="AD1564" i="21"/>
  <c r="AB1565" i="21"/>
  <c r="AC1565" i="21"/>
  <c r="AD1565" i="21"/>
  <c r="AB1566" i="21"/>
  <c r="AC1566" i="21"/>
  <c r="AD1566" i="21"/>
  <c r="AB1567" i="21"/>
  <c r="AC1567" i="21"/>
  <c r="AD1567" i="21"/>
  <c r="AB1568" i="21"/>
  <c r="AC1568" i="21"/>
  <c r="AD1568" i="21"/>
  <c r="AB1569" i="21"/>
  <c r="AC1569" i="21"/>
  <c r="AD1569" i="21"/>
  <c r="AB1570" i="21"/>
  <c r="AC1570" i="21"/>
  <c r="AD1570" i="21"/>
  <c r="AB1571" i="21"/>
  <c r="AC1571" i="21"/>
  <c r="AD1571" i="21"/>
  <c r="AB1572" i="21"/>
  <c r="AC1572" i="21"/>
  <c r="AD1572" i="21"/>
  <c r="AB1573" i="21"/>
  <c r="AC1573" i="21"/>
  <c r="AD1573" i="21"/>
  <c r="AB1574" i="21"/>
  <c r="AC1574" i="21"/>
  <c r="AD1574" i="21"/>
  <c r="AB1575" i="21"/>
  <c r="AC1575" i="21"/>
  <c r="AD1575" i="21"/>
  <c r="AB1576" i="21"/>
  <c r="AC1576" i="21"/>
  <c r="AD1576" i="21"/>
  <c r="AB1577" i="21"/>
  <c r="AC1577" i="21"/>
  <c r="AD1577" i="21"/>
  <c r="AB1578" i="21"/>
  <c r="AC1578" i="21"/>
  <c r="AD1578" i="21"/>
  <c r="AB1579" i="21"/>
  <c r="AC1579" i="21"/>
  <c r="AD1579" i="21"/>
  <c r="AB1580" i="21"/>
  <c r="AC1580" i="21"/>
  <c r="AD1580" i="21"/>
  <c r="AB1581" i="21"/>
  <c r="AC1581" i="21"/>
  <c r="AD1581" i="21"/>
  <c r="AB1582" i="21"/>
  <c r="AC1582" i="21"/>
  <c r="AD1582" i="21"/>
  <c r="AB1583" i="21"/>
  <c r="AC1583" i="21"/>
  <c r="AD1583" i="21"/>
  <c r="AB1584" i="21"/>
  <c r="AC1584" i="21"/>
  <c r="AD1584" i="21"/>
  <c r="AB1585" i="21"/>
  <c r="AC1585" i="21"/>
  <c r="AD1585" i="21"/>
  <c r="AB1586" i="21"/>
  <c r="AC1586" i="21"/>
  <c r="AD1586" i="21"/>
  <c r="AB1587" i="21"/>
  <c r="AC1587" i="21"/>
  <c r="AD1587" i="21"/>
  <c r="AB1588" i="21"/>
  <c r="AC1588" i="21"/>
  <c r="AD1588" i="21"/>
  <c r="AB1589" i="21"/>
  <c r="AC1589" i="21"/>
  <c r="AD1589" i="21"/>
  <c r="AB1590" i="21"/>
  <c r="AC1590" i="21"/>
  <c r="AD1590" i="21"/>
  <c r="AB1591" i="21"/>
  <c r="AC1591" i="21"/>
  <c r="AD1591" i="21"/>
  <c r="AB1592" i="21"/>
  <c r="AC1592" i="21"/>
  <c r="AD1592" i="21"/>
  <c r="AB1593" i="21"/>
  <c r="AC1593" i="21"/>
  <c r="AD1593" i="21"/>
  <c r="AB1594" i="21"/>
  <c r="AC1594" i="21"/>
  <c r="AD1594" i="21"/>
  <c r="AB1595" i="21"/>
  <c r="AC1595" i="21"/>
  <c r="AD1595" i="21"/>
  <c r="AB1596" i="21"/>
  <c r="AC1596" i="21"/>
  <c r="AD1596" i="21"/>
  <c r="AB1597" i="21"/>
  <c r="AC1597" i="21"/>
  <c r="AD1597" i="21"/>
  <c r="AB1598" i="21"/>
  <c r="AC1598" i="21"/>
  <c r="AD1598" i="21"/>
  <c r="AB1599" i="21"/>
  <c r="AC1599" i="21"/>
  <c r="AD1599" i="21"/>
  <c r="AB1600" i="21"/>
  <c r="AC1600" i="21"/>
  <c r="AD1600" i="21"/>
  <c r="AB1601" i="21"/>
  <c r="AC1601" i="21"/>
  <c r="AD1601" i="21"/>
  <c r="AB1602" i="21"/>
  <c r="AC1602" i="21"/>
  <c r="AD1602" i="21"/>
  <c r="AB1603" i="21"/>
  <c r="AC1603" i="21"/>
  <c r="AD1603" i="21"/>
  <c r="AB1604" i="21"/>
  <c r="AC1604" i="21"/>
  <c r="AD1604" i="21"/>
  <c r="AB1605" i="21"/>
  <c r="AC1605" i="21"/>
  <c r="AD1605" i="21"/>
  <c r="AB1606" i="21"/>
  <c r="AC1606" i="21"/>
  <c r="AD1606" i="21"/>
  <c r="AB1607" i="21"/>
  <c r="AC1607" i="21"/>
  <c r="AD1607" i="21"/>
  <c r="AB1608" i="21"/>
  <c r="AC1608" i="21"/>
  <c r="AD1608" i="21"/>
  <c r="AB1609" i="21"/>
  <c r="AC1609" i="21"/>
  <c r="AD1609" i="21"/>
  <c r="AB1610" i="21"/>
  <c r="AC1610" i="21"/>
  <c r="AD1610" i="21"/>
  <c r="AB1611" i="21"/>
  <c r="AC1611" i="21"/>
  <c r="AD1611" i="21"/>
  <c r="AB1612" i="21"/>
  <c r="AC1612" i="21"/>
  <c r="AD1612" i="21"/>
  <c r="AB1613" i="21"/>
  <c r="AC1613" i="21"/>
  <c r="AD1613" i="21"/>
  <c r="AB1614" i="21"/>
  <c r="AC1614" i="21"/>
  <c r="AD1614" i="21"/>
  <c r="AB1615" i="21"/>
  <c r="AC1615" i="21"/>
  <c r="AD1615" i="21"/>
  <c r="AB1616" i="21"/>
  <c r="AC1616" i="21"/>
  <c r="AD1616" i="21"/>
  <c r="AB1617" i="21"/>
  <c r="AC1617" i="21"/>
  <c r="AD1617" i="21"/>
  <c r="AB1618" i="21"/>
  <c r="AC1618" i="21"/>
  <c r="AD1618" i="21"/>
  <c r="AB1619" i="21"/>
  <c r="AC1619" i="21"/>
  <c r="AD1619" i="21"/>
  <c r="AB1620" i="21"/>
  <c r="AC1620" i="21"/>
  <c r="AD1620" i="21"/>
  <c r="AB1621" i="21"/>
  <c r="AC1621" i="21"/>
  <c r="AD1621" i="21"/>
  <c r="AB1622" i="21"/>
  <c r="AC1622" i="21"/>
  <c r="AD1622" i="21"/>
  <c r="AB1623" i="21"/>
  <c r="AC1623" i="21"/>
  <c r="AD1623" i="21"/>
  <c r="AB1624" i="21"/>
  <c r="AC1624" i="21"/>
  <c r="AD1624" i="21"/>
  <c r="AB1625" i="21"/>
  <c r="AC1625" i="21"/>
  <c r="AD1625" i="21"/>
  <c r="AB1626" i="21"/>
  <c r="AC1626" i="21"/>
  <c r="AD1626" i="21"/>
  <c r="AB1627" i="21"/>
  <c r="AC1627" i="21"/>
  <c r="AD1627" i="21"/>
  <c r="AB1628" i="21"/>
  <c r="AC1628" i="21"/>
  <c r="AD1628" i="21"/>
  <c r="AB1629" i="21"/>
  <c r="AC1629" i="21"/>
  <c r="AD1629" i="21"/>
  <c r="AB1630" i="21"/>
  <c r="AC1630" i="21"/>
  <c r="AD1630" i="21"/>
  <c r="AB1631" i="21"/>
  <c r="AC1631" i="21"/>
  <c r="AD1631" i="21"/>
  <c r="AB1632" i="21"/>
  <c r="AC1632" i="21"/>
  <c r="AD1632" i="21"/>
  <c r="AB1633" i="21"/>
  <c r="AC1633" i="21"/>
  <c r="AD1633" i="21"/>
  <c r="AB1634" i="21"/>
  <c r="AC1634" i="21"/>
  <c r="AD1634" i="21"/>
  <c r="AB1635" i="21"/>
  <c r="AC1635" i="21"/>
  <c r="AD1635" i="21"/>
  <c r="AB1636" i="21"/>
  <c r="AC1636" i="21"/>
  <c r="AD1636" i="21"/>
  <c r="AB1637" i="21"/>
  <c r="AC1637" i="21"/>
  <c r="AD1637" i="21"/>
  <c r="AB1638" i="21"/>
  <c r="AC1638" i="21"/>
  <c r="AD1638" i="21"/>
  <c r="AB1639" i="21"/>
  <c r="AC1639" i="21"/>
  <c r="AD1639" i="21"/>
  <c r="AB1640" i="21"/>
  <c r="AC1640" i="21"/>
  <c r="AD1640" i="21"/>
  <c r="AB1641" i="21"/>
  <c r="AC1641" i="21"/>
  <c r="AD1641" i="21"/>
  <c r="AB1642" i="21"/>
  <c r="AC1642" i="21"/>
  <c r="AD1642" i="21"/>
  <c r="AB1643" i="21"/>
  <c r="AC1643" i="21"/>
  <c r="AD1643" i="21"/>
  <c r="AB1644" i="21"/>
  <c r="AC1644" i="21"/>
  <c r="AD1644" i="21"/>
  <c r="AB1645" i="21"/>
  <c r="AC1645" i="21"/>
  <c r="AD1645" i="21"/>
  <c r="AB1646" i="21"/>
  <c r="AC1646" i="21"/>
  <c r="AD1646" i="21"/>
  <c r="AB1647" i="21"/>
  <c r="AC1647" i="21"/>
  <c r="AD1647" i="21"/>
  <c r="AB1648" i="21"/>
  <c r="AC1648" i="21"/>
  <c r="AD1648" i="21"/>
  <c r="AB1649" i="21"/>
  <c r="AC1649" i="21"/>
  <c r="AD1649" i="21"/>
  <c r="AB1650" i="21"/>
  <c r="AC1650" i="21"/>
  <c r="AD1650" i="21"/>
  <c r="AB1651" i="21"/>
  <c r="AC1651" i="21"/>
  <c r="AD1651" i="21"/>
  <c r="AB1652" i="21"/>
  <c r="AC1652" i="21"/>
  <c r="AD1652" i="21"/>
  <c r="AB1653" i="21"/>
  <c r="AC1653" i="21"/>
  <c r="AD1653" i="21"/>
  <c r="AB1654" i="21"/>
  <c r="AC1654" i="21"/>
  <c r="AD1654" i="21"/>
  <c r="AB1655" i="21"/>
  <c r="AC1655" i="21"/>
  <c r="AD1655" i="21"/>
  <c r="AB1656" i="21"/>
  <c r="AC1656" i="21"/>
  <c r="AD1656" i="21"/>
  <c r="AB1657" i="21"/>
  <c r="AC1657" i="21"/>
  <c r="AD1657" i="21"/>
  <c r="AB1658" i="21"/>
  <c r="AC1658" i="21"/>
  <c r="AD1658" i="21"/>
  <c r="AB1659" i="21"/>
  <c r="AC1659" i="21"/>
  <c r="AD1659" i="21"/>
  <c r="AB1660" i="21"/>
  <c r="AC1660" i="21"/>
  <c r="AD1660" i="21"/>
  <c r="AB1661" i="21"/>
  <c r="AC1661" i="21"/>
  <c r="AD1661" i="21"/>
  <c r="AB1662" i="21"/>
  <c r="AC1662" i="21"/>
  <c r="AD1662" i="21"/>
  <c r="AB1663" i="21"/>
  <c r="AC1663" i="21"/>
  <c r="AD1663" i="21"/>
  <c r="AB1664" i="21"/>
  <c r="AC1664" i="21"/>
  <c r="AD1664" i="21"/>
  <c r="AB1665" i="21"/>
  <c r="AC1665" i="21"/>
  <c r="AD1665" i="21"/>
  <c r="AB1666" i="21"/>
  <c r="AC1666" i="21"/>
  <c r="AD1666" i="21"/>
  <c r="AB1667" i="21"/>
  <c r="AC1667" i="21"/>
  <c r="AD1667" i="21"/>
  <c r="AB1668" i="21"/>
  <c r="AC1668" i="21"/>
  <c r="AD1668" i="21"/>
  <c r="AB1669" i="21"/>
  <c r="AC1669" i="21"/>
  <c r="AD1669" i="21"/>
  <c r="AB1670" i="21"/>
  <c r="AC1670" i="21"/>
  <c r="AD1670" i="21"/>
  <c r="AB1671" i="21"/>
  <c r="AC1671" i="21"/>
  <c r="AD1671" i="21"/>
  <c r="AB1672" i="21"/>
  <c r="AC1672" i="21"/>
  <c r="AD1672" i="21"/>
  <c r="AB1673" i="21"/>
  <c r="AC1673" i="21"/>
  <c r="AD1673" i="21"/>
  <c r="AB1674" i="21"/>
  <c r="AC1674" i="21"/>
  <c r="AD1674" i="21"/>
  <c r="AB1675" i="21"/>
  <c r="AC1675" i="21"/>
  <c r="AD1675" i="21"/>
  <c r="AB1676" i="21"/>
  <c r="AC1676" i="21"/>
  <c r="AD1676" i="21"/>
  <c r="AB1677" i="21"/>
  <c r="AC1677" i="21"/>
  <c r="AD1677" i="21"/>
  <c r="AB1678" i="21"/>
  <c r="AC1678" i="21"/>
  <c r="AD1678" i="21"/>
  <c r="AB1679" i="21"/>
  <c r="AC1679" i="21"/>
  <c r="AD1679" i="21"/>
  <c r="AB1680" i="21"/>
  <c r="AC1680" i="21"/>
  <c r="AD1680" i="21"/>
  <c r="AB1681" i="21"/>
  <c r="AC1681" i="21"/>
  <c r="AD1681" i="21"/>
  <c r="AB1682" i="21"/>
  <c r="AC1682" i="21"/>
  <c r="AD1682" i="21"/>
  <c r="AB1683" i="21"/>
  <c r="AC1683" i="21"/>
  <c r="AD1683" i="21"/>
  <c r="AB1684" i="21"/>
  <c r="AC1684" i="21"/>
  <c r="AD1684" i="21"/>
  <c r="AB1686" i="21"/>
  <c r="AC1686" i="21"/>
  <c r="AD1686" i="21"/>
  <c r="AB1687" i="21"/>
  <c r="AC1687" i="21"/>
  <c r="AD1687" i="21"/>
  <c r="AB1688" i="21"/>
  <c r="AC1688" i="21"/>
  <c r="AD1688" i="21"/>
  <c r="AB1689" i="21"/>
  <c r="AC1689" i="21"/>
  <c r="AD1689" i="21"/>
  <c r="AB1690" i="21"/>
  <c r="AC1690" i="21"/>
  <c r="AD1690" i="21"/>
  <c r="AB1691" i="21"/>
  <c r="AC1691" i="21"/>
  <c r="AD1691" i="21"/>
  <c r="AB1692" i="21"/>
  <c r="AC1692" i="21"/>
  <c r="AD1692" i="21"/>
  <c r="AB1693" i="21"/>
  <c r="AC1693" i="21"/>
  <c r="AD1693" i="21"/>
  <c r="AB1694" i="21"/>
  <c r="AC1694" i="21"/>
  <c r="AD1694" i="21"/>
  <c r="AB1695" i="21"/>
  <c r="AC1695" i="21"/>
  <c r="AD1695" i="21"/>
  <c r="AB1696" i="21"/>
  <c r="AC1696" i="21"/>
  <c r="AD1696" i="21"/>
  <c r="AB1697" i="21"/>
  <c r="AC1697" i="21"/>
  <c r="AD1697" i="21"/>
  <c r="AB1698" i="21"/>
  <c r="AC1698" i="21"/>
  <c r="AD1698" i="21"/>
  <c r="AB1699" i="21"/>
  <c r="AC1699" i="21"/>
  <c r="AD1699" i="21"/>
  <c r="AB1700" i="21"/>
  <c r="AC1700" i="21"/>
  <c r="AD1700" i="21"/>
  <c r="AB1701" i="21"/>
  <c r="AC1701" i="21"/>
  <c r="AD1701" i="21"/>
  <c r="AB1702" i="21"/>
  <c r="AC1702" i="21"/>
  <c r="AD1702" i="21"/>
  <c r="AB1703" i="21"/>
  <c r="AC1703" i="21"/>
  <c r="AD1703" i="21"/>
  <c r="AB1704" i="21"/>
  <c r="AC1704" i="21"/>
  <c r="AD1704" i="21"/>
  <c r="AB1705" i="21"/>
  <c r="AC1705" i="21"/>
  <c r="AD1705" i="21"/>
  <c r="AB1706" i="21"/>
  <c r="AC1706" i="21"/>
  <c r="AD1706" i="21"/>
  <c r="AB1707" i="21"/>
  <c r="AC1707" i="21"/>
  <c r="AD1707" i="21"/>
  <c r="AB1708" i="21"/>
  <c r="AC1708" i="21"/>
  <c r="AD1708" i="21"/>
  <c r="AB1709" i="21"/>
  <c r="AC1709" i="21"/>
  <c r="AD1709" i="21"/>
  <c r="AB1710" i="21"/>
  <c r="AC1710" i="21"/>
  <c r="AD1710" i="21"/>
  <c r="AB1711" i="21"/>
  <c r="AC1711" i="21"/>
  <c r="AD1711" i="21"/>
  <c r="AB1712" i="21"/>
  <c r="AC1712" i="21"/>
  <c r="AD1712" i="21"/>
  <c r="AB1713" i="21"/>
  <c r="AC1713" i="21"/>
  <c r="AD1713" i="21"/>
  <c r="AB1714" i="21"/>
  <c r="AC1714" i="21"/>
  <c r="AD1714" i="21"/>
  <c r="AB1715" i="21"/>
  <c r="AC1715" i="21"/>
  <c r="AD1715" i="21"/>
  <c r="AB1716" i="21"/>
  <c r="AC1716" i="21"/>
  <c r="AD1716" i="21"/>
  <c r="AB1717" i="21"/>
  <c r="AC1717" i="21"/>
  <c r="AD1717" i="21"/>
  <c r="AB1718" i="21"/>
  <c r="AC1718" i="21"/>
  <c r="AD1718" i="21"/>
  <c r="AB1719" i="21"/>
  <c r="AC1719" i="21"/>
  <c r="AD1719" i="21"/>
  <c r="AB1720" i="21"/>
  <c r="AC1720" i="21"/>
  <c r="AD1720" i="21"/>
  <c r="AB1721" i="21"/>
  <c r="AC1721" i="21"/>
  <c r="AD1721" i="21"/>
  <c r="AB1722" i="21"/>
  <c r="AC1722" i="21"/>
  <c r="AD1722" i="21"/>
  <c r="AB1723" i="21"/>
  <c r="AC1723" i="21"/>
  <c r="AD1723" i="21"/>
  <c r="AB1724" i="21"/>
  <c r="AC1724" i="21"/>
  <c r="AD1724" i="21"/>
  <c r="AB1725" i="21"/>
  <c r="AC1725" i="21"/>
  <c r="AD1725" i="21"/>
  <c r="AB1726" i="21"/>
  <c r="AC1726" i="21"/>
  <c r="AD1726" i="21"/>
  <c r="AB1727" i="21"/>
  <c r="AC1727" i="21"/>
  <c r="AD1727" i="21"/>
  <c r="AB1728" i="21"/>
  <c r="AC1728" i="21"/>
  <c r="AD1728" i="21"/>
  <c r="AB1729" i="21"/>
  <c r="AC1729" i="21"/>
  <c r="AD1729" i="21"/>
  <c r="AB1730" i="21"/>
  <c r="AC1730" i="21"/>
  <c r="AD1730" i="21"/>
  <c r="AB1731" i="21"/>
  <c r="AC1731" i="21"/>
  <c r="AD1731" i="21"/>
  <c r="AB1732" i="21"/>
  <c r="AC1732" i="21"/>
  <c r="AD1732" i="21"/>
  <c r="AB1733" i="21"/>
  <c r="AC1733" i="21"/>
  <c r="AD1733" i="21"/>
  <c r="AB1734" i="21"/>
  <c r="AC1734" i="21"/>
  <c r="AD1734" i="21"/>
  <c r="AB1735" i="21"/>
  <c r="AC1735" i="21"/>
  <c r="AD1735" i="21"/>
  <c r="AB1736" i="21"/>
  <c r="AC1736" i="21"/>
  <c r="AD1736" i="21"/>
  <c r="AB1737" i="21"/>
  <c r="AC1737" i="21"/>
  <c r="AD1737" i="21"/>
  <c r="AB1738" i="21"/>
  <c r="AC1738" i="21"/>
  <c r="AD1738" i="21"/>
  <c r="AB1739" i="21"/>
  <c r="AC1739" i="21"/>
  <c r="AD1739" i="21"/>
  <c r="AB1740" i="21"/>
  <c r="AC1740" i="21"/>
  <c r="AD1740" i="21"/>
  <c r="AB1741" i="21"/>
  <c r="AC1741" i="21"/>
  <c r="AD1741" i="21"/>
  <c r="AB1742" i="21"/>
  <c r="AC1742" i="21"/>
  <c r="AD1742" i="21"/>
  <c r="AB1743" i="21"/>
  <c r="AC1743" i="21"/>
  <c r="AD1743" i="21"/>
  <c r="AB1744" i="21"/>
  <c r="AC1744" i="21"/>
  <c r="AD1744" i="21"/>
  <c r="AB1745" i="21"/>
  <c r="AC1745" i="21"/>
  <c r="AD1745" i="21"/>
  <c r="AB1746" i="21"/>
  <c r="AC1746" i="21"/>
  <c r="AD1746" i="21"/>
  <c r="AB1747" i="21"/>
  <c r="AC1747" i="21"/>
  <c r="AD1747" i="21"/>
  <c r="AB1748" i="21"/>
  <c r="AC1748" i="21"/>
  <c r="AD1748" i="21"/>
  <c r="AB1749" i="21"/>
  <c r="AC1749" i="21"/>
  <c r="AD1749" i="21"/>
  <c r="AB1750" i="21"/>
  <c r="AC1750" i="21"/>
  <c r="AD1750" i="21"/>
  <c r="AB1751" i="21"/>
  <c r="AC1751" i="21"/>
  <c r="AD1751" i="21"/>
  <c r="AB1752" i="21"/>
  <c r="AC1752" i="21"/>
  <c r="AD1752" i="21"/>
  <c r="AB1753" i="21"/>
  <c r="AC1753" i="21"/>
  <c r="AD1753" i="21"/>
  <c r="AB1754" i="21"/>
  <c r="AC1754" i="21"/>
  <c r="AD1754" i="21"/>
  <c r="AB1755" i="21"/>
  <c r="AC1755" i="21"/>
  <c r="AD1755" i="21"/>
  <c r="AB1756" i="21"/>
  <c r="AC1756" i="21"/>
  <c r="AD1756" i="21"/>
  <c r="AB1757" i="21"/>
  <c r="AC1757" i="21"/>
  <c r="AD1757" i="21"/>
  <c r="AB1758" i="21"/>
  <c r="AC1758" i="21"/>
  <c r="AD1758" i="21"/>
  <c r="AB1759" i="21"/>
  <c r="AC1759" i="21"/>
  <c r="AD1759" i="21"/>
  <c r="AB1760" i="21"/>
  <c r="AC1760" i="21"/>
  <c r="AD1760" i="21"/>
  <c r="AB1761" i="21"/>
  <c r="AC1761" i="21"/>
  <c r="AD1761" i="21"/>
  <c r="AB1762" i="21"/>
  <c r="AC1762" i="21"/>
  <c r="AD1762" i="21"/>
  <c r="AB1763" i="21"/>
  <c r="AC1763" i="21"/>
  <c r="AD1763" i="21"/>
  <c r="AB1764" i="21"/>
  <c r="AC1764" i="21"/>
  <c r="AD1764" i="21"/>
  <c r="AB1765" i="21"/>
  <c r="AC1765" i="21"/>
  <c r="AD1765" i="21"/>
  <c r="AB1766" i="21"/>
  <c r="AC1766" i="21"/>
  <c r="AD1766" i="21"/>
  <c r="AB1767" i="21"/>
  <c r="AC1767" i="21"/>
  <c r="AD1767" i="21"/>
  <c r="AB1768" i="21"/>
  <c r="AC1768" i="21"/>
  <c r="AD1768" i="21"/>
  <c r="AB1769" i="21"/>
  <c r="AC1769" i="21"/>
  <c r="AD1769" i="21"/>
  <c r="AB1770" i="21"/>
  <c r="AC1770" i="21"/>
  <c r="AD1770" i="21"/>
  <c r="AB1771" i="21"/>
  <c r="AC1771" i="21"/>
  <c r="AD1771" i="21"/>
  <c r="AB1772" i="21"/>
  <c r="AC1772" i="21"/>
  <c r="AD1772" i="21"/>
  <c r="AB1773" i="21"/>
  <c r="AC1773" i="21"/>
  <c r="AD1773" i="21"/>
  <c r="AB1774" i="21"/>
  <c r="AC1774" i="21"/>
  <c r="AD1774" i="21"/>
  <c r="AB1775" i="21"/>
  <c r="AC1775" i="21"/>
  <c r="AD1775" i="21"/>
  <c r="AB1776" i="21"/>
  <c r="AC1776" i="21"/>
  <c r="AD1776" i="21"/>
  <c r="AB1777" i="21"/>
  <c r="AC1777" i="21"/>
  <c r="AD1777" i="21"/>
  <c r="AB1778" i="21"/>
  <c r="AC1778" i="21"/>
  <c r="AD1778" i="21"/>
  <c r="AB1779" i="21"/>
  <c r="AC1779" i="21"/>
  <c r="AD1779" i="21"/>
  <c r="AB1780" i="21"/>
  <c r="AC1780" i="21"/>
  <c r="AD1780" i="21"/>
  <c r="AB1781" i="21"/>
  <c r="AC1781" i="21"/>
  <c r="AD1781" i="21"/>
  <c r="AB1782" i="21"/>
  <c r="AC1782" i="21"/>
  <c r="AD1782" i="21"/>
  <c r="AB1783" i="21"/>
  <c r="AC1783" i="21"/>
  <c r="AD1783" i="21"/>
  <c r="AB1784" i="21"/>
  <c r="AC1784" i="21"/>
  <c r="AD1784" i="21"/>
  <c r="AB1785" i="21"/>
  <c r="AC1785" i="21"/>
  <c r="AD1785" i="21"/>
  <c r="AB1786" i="21"/>
  <c r="AC1786" i="21"/>
  <c r="AD1786" i="21"/>
  <c r="AB1787" i="21"/>
  <c r="AC1787" i="21"/>
  <c r="AD1787" i="21"/>
  <c r="R1784" i="21"/>
  <c r="AG1784" i="21" s="1"/>
  <c r="R1130" i="21"/>
  <c r="AG1130" i="21" s="1"/>
  <c r="R1131" i="21"/>
  <c r="AG1131" i="21" s="1"/>
  <c r="AT1131" i="21" s="1"/>
  <c r="R1132" i="21"/>
  <c r="AG1132" i="21" s="1"/>
  <c r="R1133" i="21"/>
  <c r="AG1133" i="21" s="1"/>
  <c r="R1134" i="21"/>
  <c r="AG1134" i="21" s="1"/>
  <c r="R1135" i="21"/>
  <c r="AG1135" i="21" s="1"/>
  <c r="R1136" i="21"/>
  <c r="AG1136" i="21" s="1"/>
  <c r="R1137" i="21"/>
  <c r="AG1137" i="21" s="1"/>
  <c r="R1138" i="21"/>
  <c r="AG1138" i="21" s="1"/>
  <c r="AT1138" i="21" s="1"/>
  <c r="R1139" i="21"/>
  <c r="AG1139" i="21" s="1"/>
  <c r="R1140" i="21"/>
  <c r="AG1140" i="21" s="1"/>
  <c r="R1141" i="21"/>
  <c r="AG1141" i="21" s="1"/>
  <c r="R1142" i="21"/>
  <c r="AG1142" i="21" s="1"/>
  <c r="AT1142" i="21" s="1"/>
  <c r="R1143" i="21"/>
  <c r="AG1143" i="21" s="1"/>
  <c r="R1144" i="21"/>
  <c r="AG1144" i="21" s="1"/>
  <c r="R1145" i="21"/>
  <c r="AG1145" i="21" s="1"/>
  <c r="R1146" i="21"/>
  <c r="AG1146" i="21" s="1"/>
  <c r="AT1146" i="21" s="1"/>
  <c r="R1147" i="21"/>
  <c r="AG1147" i="21" s="1"/>
  <c r="R1148" i="21"/>
  <c r="R1149" i="21"/>
  <c r="AG1149" i="21" s="1"/>
  <c r="R1150" i="21"/>
  <c r="AG1150" i="21" s="1"/>
  <c r="AT1150" i="21" s="1"/>
  <c r="R1151" i="21"/>
  <c r="AG1151" i="21" s="1"/>
  <c r="R1152" i="21"/>
  <c r="AG1152" i="21" s="1"/>
  <c r="R1153" i="21"/>
  <c r="AG1153" i="21" s="1"/>
  <c r="R1154" i="21"/>
  <c r="AG1154" i="21" s="1"/>
  <c r="AT1154" i="21" s="1"/>
  <c r="R1155" i="21"/>
  <c r="AG1155" i="21" s="1"/>
  <c r="R1156" i="21"/>
  <c r="AG1156" i="21" s="1"/>
  <c r="R1157" i="21"/>
  <c r="AG1157" i="21" s="1"/>
  <c r="R1158" i="21"/>
  <c r="AG1158" i="21" s="1"/>
  <c r="AT1158" i="21" s="1"/>
  <c r="R1159" i="21"/>
  <c r="AG1159" i="21" s="1"/>
  <c r="R1160" i="21"/>
  <c r="AG1160" i="21" s="1"/>
  <c r="R1161" i="21"/>
  <c r="AG1161" i="21" s="1"/>
  <c r="R1162" i="21"/>
  <c r="AG1162" i="21" s="1"/>
  <c r="AT1162" i="21" s="1"/>
  <c r="R1163" i="21"/>
  <c r="AG1163" i="21" s="1"/>
  <c r="R1164" i="21"/>
  <c r="AG1164" i="21" s="1"/>
  <c r="R1165" i="21"/>
  <c r="AG1165" i="21" s="1"/>
  <c r="R1166" i="21"/>
  <c r="AG1166" i="21" s="1"/>
  <c r="AT1166" i="21" s="1"/>
  <c r="R1167" i="21"/>
  <c r="AG1167" i="21" s="1"/>
  <c r="R1168" i="21"/>
  <c r="AG1168" i="21" s="1"/>
  <c r="R1169" i="21"/>
  <c r="AG1169" i="21" s="1"/>
  <c r="R1170" i="21"/>
  <c r="AG1170" i="21" s="1"/>
  <c r="AT1170" i="21" s="1"/>
  <c r="R1171" i="21"/>
  <c r="AG1171" i="21" s="1"/>
  <c r="R1172" i="21"/>
  <c r="AG1172" i="21" s="1"/>
  <c r="R1173" i="21"/>
  <c r="AG1173" i="21" s="1"/>
  <c r="R1174" i="21"/>
  <c r="AG1174" i="21" s="1"/>
  <c r="AT1174" i="21" s="1"/>
  <c r="R1175" i="21"/>
  <c r="AG1175" i="21" s="1"/>
  <c r="R1176" i="21"/>
  <c r="AG1176" i="21" s="1"/>
  <c r="R1177" i="21"/>
  <c r="AG1177" i="21" s="1"/>
  <c r="R1178" i="21"/>
  <c r="AG1178" i="21" s="1"/>
  <c r="R1179" i="21"/>
  <c r="AG1179" i="21" s="1"/>
  <c r="R1180" i="21"/>
  <c r="AG1180" i="21" s="1"/>
  <c r="R1181" i="21"/>
  <c r="AG1181" i="21" s="1"/>
  <c r="R1182" i="21"/>
  <c r="AG1182" i="21" s="1"/>
  <c r="AT1182" i="21" s="1"/>
  <c r="R1183" i="21"/>
  <c r="AG1183" i="21" s="1"/>
  <c r="R1184" i="21"/>
  <c r="AG1184" i="21" s="1"/>
  <c r="R1185" i="21"/>
  <c r="AG1185" i="21" s="1"/>
  <c r="R1186" i="21"/>
  <c r="AG1186" i="21" s="1"/>
  <c r="R1187" i="21"/>
  <c r="AG1187" i="21" s="1"/>
  <c r="R1188" i="21"/>
  <c r="AG1188" i="21" s="1"/>
  <c r="R1189" i="21"/>
  <c r="AG1189" i="21" s="1"/>
  <c r="R1190" i="21"/>
  <c r="AG1190" i="21" s="1"/>
  <c r="R1191" i="21"/>
  <c r="AG1191" i="21" s="1"/>
  <c r="AT1191" i="21" s="1"/>
  <c r="R1192" i="21"/>
  <c r="AG1192" i="21" s="1"/>
  <c r="R1193" i="21"/>
  <c r="AG1193" i="21" s="1"/>
  <c r="R1194" i="21"/>
  <c r="AG1194" i="21" s="1"/>
  <c r="R1195" i="21"/>
  <c r="AG1195" i="21" s="1"/>
  <c r="R1196" i="21"/>
  <c r="AG1196" i="21" s="1"/>
  <c r="R1197" i="21"/>
  <c r="AG1197" i="21" s="1"/>
  <c r="R1198" i="21"/>
  <c r="AG1198" i="21" s="1"/>
  <c r="R1199" i="21"/>
  <c r="AG1199" i="21" s="1"/>
  <c r="AT1199" i="21" s="1"/>
  <c r="R1200" i="21"/>
  <c r="AG1200" i="21" s="1"/>
  <c r="R1201" i="21"/>
  <c r="AG1201" i="21" s="1"/>
  <c r="R1202" i="21"/>
  <c r="AG1202" i="21" s="1"/>
  <c r="R1203" i="21"/>
  <c r="AG1203" i="21" s="1"/>
  <c r="R1204" i="21"/>
  <c r="AG1204" i="21" s="1"/>
  <c r="R1205" i="21"/>
  <c r="AG1205" i="21" s="1"/>
  <c r="R1206" i="21"/>
  <c r="AG1206" i="21" s="1"/>
  <c r="R1207" i="21"/>
  <c r="AG1207" i="21" s="1"/>
  <c r="R1208" i="21"/>
  <c r="AG1208" i="21" s="1"/>
  <c r="R1209" i="21"/>
  <c r="AG1209" i="21" s="1"/>
  <c r="R1210" i="21"/>
  <c r="AG1210" i="21" s="1"/>
  <c r="R1211" i="21"/>
  <c r="AG1211" i="21" s="1"/>
  <c r="R1212" i="21"/>
  <c r="AG1212" i="21" s="1"/>
  <c r="R1213" i="21"/>
  <c r="AG1213" i="21" s="1"/>
  <c r="R1214" i="21"/>
  <c r="AG1214" i="21" s="1"/>
  <c r="AT1214" i="21" s="1"/>
  <c r="R1215" i="21"/>
  <c r="AG1215" i="21" s="1"/>
  <c r="AT1215" i="21" s="1"/>
  <c r="R1216" i="21"/>
  <c r="AG1216" i="21" s="1"/>
  <c r="R1217" i="21"/>
  <c r="AG1217" i="21" s="1"/>
  <c r="R1218" i="21"/>
  <c r="AG1218" i="21" s="1"/>
  <c r="R1219" i="21"/>
  <c r="AG1219" i="21" s="1"/>
  <c r="AT1219" i="21" s="1"/>
  <c r="R1220" i="21"/>
  <c r="AG1220" i="21" s="1"/>
  <c r="AT1220" i="21" s="1"/>
  <c r="R1221" i="21"/>
  <c r="AG1221" i="21" s="1"/>
  <c r="R1222" i="21"/>
  <c r="AG1222" i="21" s="1"/>
  <c r="R1223" i="21"/>
  <c r="AG1223" i="21" s="1"/>
  <c r="R1224" i="21"/>
  <c r="AG1224" i="21" s="1"/>
  <c r="AT1224" i="21" s="1"/>
  <c r="R1225" i="21"/>
  <c r="AG1225" i="21" s="1"/>
  <c r="AT1225" i="21" s="1"/>
  <c r="R1226" i="21"/>
  <c r="AG1226" i="21" s="1"/>
  <c r="R1227" i="21"/>
  <c r="AG1227" i="21" s="1"/>
  <c r="AT1227" i="21" s="1"/>
  <c r="R1228" i="21"/>
  <c r="AG1228" i="21" s="1"/>
  <c r="R1229" i="21"/>
  <c r="AG1229" i="21" s="1"/>
  <c r="R1230" i="21"/>
  <c r="AG1230" i="21" s="1"/>
  <c r="R1231" i="21"/>
  <c r="AG1231" i="21" s="1"/>
  <c r="AT1231" i="21" s="1"/>
  <c r="R1232" i="21"/>
  <c r="AG1232" i="21" s="1"/>
  <c r="R1233" i="21"/>
  <c r="AG1233" i="21" s="1"/>
  <c r="R1234" i="21"/>
  <c r="AG1234" i="21" s="1"/>
  <c r="R1235" i="21"/>
  <c r="AG1235" i="21" s="1"/>
  <c r="R1236" i="21"/>
  <c r="AG1236" i="21" s="1"/>
  <c r="R1237" i="21"/>
  <c r="AG1237" i="21" s="1"/>
  <c r="R1238" i="21"/>
  <c r="AG1238" i="21" s="1"/>
  <c r="AH1238" i="21" s="1"/>
  <c r="R1239" i="21"/>
  <c r="AG1239" i="21" s="1"/>
  <c r="R1240" i="21"/>
  <c r="AG1240" i="21" s="1"/>
  <c r="R1241" i="21"/>
  <c r="AG1241" i="21" s="1"/>
  <c r="R1242" i="21"/>
  <c r="AG1242" i="21" s="1"/>
  <c r="R1243" i="21"/>
  <c r="AG1243" i="21" s="1"/>
  <c r="R1244" i="21"/>
  <c r="AG1244" i="21" s="1"/>
  <c r="AT1244" i="21" s="1"/>
  <c r="R1245" i="21"/>
  <c r="AG1245" i="21" s="1"/>
  <c r="R1246" i="21"/>
  <c r="AG1246" i="21" s="1"/>
  <c r="R1247" i="21"/>
  <c r="AG1247" i="21" s="1"/>
  <c r="R1248" i="21"/>
  <c r="AG1248" i="21" s="1"/>
  <c r="R1249" i="21"/>
  <c r="AG1249" i="21" s="1"/>
  <c r="AT1249" i="21" s="1"/>
  <c r="R1250" i="21"/>
  <c r="AG1250" i="21" s="1"/>
  <c r="R1251" i="21"/>
  <c r="AG1251" i="21" s="1"/>
  <c r="R1252" i="21"/>
  <c r="AG1252" i="21" s="1"/>
  <c r="R1253" i="21"/>
  <c r="AG1253" i="21" s="1"/>
  <c r="R1254" i="21"/>
  <c r="AG1254" i="21" s="1"/>
  <c r="R1255" i="21"/>
  <c r="AG1255" i="21" s="1"/>
  <c r="R1256" i="21"/>
  <c r="AG1256" i="21" s="1"/>
  <c r="R1257" i="21"/>
  <c r="AG1257" i="21" s="1"/>
  <c r="R1258" i="21"/>
  <c r="AG1258" i="21" s="1"/>
  <c r="R1259" i="21"/>
  <c r="AG1259" i="21" s="1"/>
  <c r="R1260" i="21"/>
  <c r="AG1260" i="21" s="1"/>
  <c r="R1261" i="21"/>
  <c r="AG1261" i="21" s="1"/>
  <c r="R1262" i="21"/>
  <c r="AG1262" i="21" s="1"/>
  <c r="R1263" i="21"/>
  <c r="AG1263" i="21" s="1"/>
  <c r="R1264" i="21"/>
  <c r="AG1264" i="21" s="1"/>
  <c r="AT1264" i="21" s="1"/>
  <c r="R1265" i="21"/>
  <c r="AG1265" i="21" s="1"/>
  <c r="R1266" i="21"/>
  <c r="AG1266" i="21" s="1"/>
  <c r="R1267" i="21"/>
  <c r="AG1267" i="21" s="1"/>
  <c r="R1268" i="21"/>
  <c r="AG1268" i="21" s="1"/>
  <c r="AT1268" i="21" s="1"/>
  <c r="R1269" i="21"/>
  <c r="AG1269" i="21" s="1"/>
  <c r="R1270" i="21"/>
  <c r="AG1270" i="21" s="1"/>
  <c r="R1271" i="21"/>
  <c r="AG1271" i="21" s="1"/>
  <c r="R1272" i="21"/>
  <c r="AG1272" i="21" s="1"/>
  <c r="R1273" i="21"/>
  <c r="AG1273" i="21" s="1"/>
  <c r="R1274" i="21"/>
  <c r="AG1274" i="21" s="1"/>
  <c r="R1275" i="21"/>
  <c r="AG1275" i="21" s="1"/>
  <c r="R1276" i="21"/>
  <c r="AG1276" i="21" s="1"/>
  <c r="R1277" i="21"/>
  <c r="AG1277" i="21" s="1"/>
  <c r="R1278" i="21"/>
  <c r="AG1278" i="21" s="1"/>
  <c r="R1279" i="21"/>
  <c r="AG1279" i="21" s="1"/>
  <c r="R1280" i="21"/>
  <c r="AG1280" i="21" s="1"/>
  <c r="R1281" i="21"/>
  <c r="AG1281" i="21" s="1"/>
  <c r="R1282" i="21"/>
  <c r="AG1282" i="21" s="1"/>
  <c r="AI1282" i="21" s="1"/>
  <c r="AJ1282" i="21" s="1"/>
  <c r="R1283" i="21"/>
  <c r="AG1283" i="21" s="1"/>
  <c r="AT1283" i="21" s="1"/>
  <c r="R1284" i="21"/>
  <c r="AG1284" i="21" s="1"/>
  <c r="R1285" i="21"/>
  <c r="AG1285" i="21" s="1"/>
  <c r="AT1285" i="21" s="1"/>
  <c r="R1286" i="21"/>
  <c r="AG1286" i="21" s="1"/>
  <c r="R1287" i="21"/>
  <c r="AG1287" i="21" s="1"/>
  <c r="R1288" i="21"/>
  <c r="AG1288" i="21" s="1"/>
  <c r="R1289" i="21"/>
  <c r="AG1289" i="21" s="1"/>
  <c r="AT1289" i="21" s="1"/>
  <c r="R1290" i="21"/>
  <c r="AG1290" i="21" s="1"/>
  <c r="R1291" i="21"/>
  <c r="AG1291" i="21" s="1"/>
  <c r="R1292" i="21"/>
  <c r="AG1292" i="21" s="1"/>
  <c r="R1293" i="21"/>
  <c r="AG1293" i="21" s="1"/>
  <c r="R1294" i="21"/>
  <c r="AG1294" i="21" s="1"/>
  <c r="R1295" i="21"/>
  <c r="AG1295" i="21" s="1"/>
  <c r="R1296" i="21"/>
  <c r="AG1296" i="21" s="1"/>
  <c r="R1297" i="21"/>
  <c r="AG1297" i="21" s="1"/>
  <c r="R1298" i="21"/>
  <c r="AG1298" i="21" s="1"/>
  <c r="R1299" i="21"/>
  <c r="AG1299" i="21" s="1"/>
  <c r="R1300" i="21"/>
  <c r="AG1300" i="21" s="1"/>
  <c r="R1301" i="21"/>
  <c r="AG1301" i="21" s="1"/>
  <c r="R1302" i="21"/>
  <c r="AG1302" i="21" s="1"/>
  <c r="R1303" i="21"/>
  <c r="AG1303" i="21" s="1"/>
  <c r="R1304" i="21"/>
  <c r="AG1304" i="21" s="1"/>
  <c r="R1305" i="21"/>
  <c r="AG1305" i="21" s="1"/>
  <c r="R1306" i="21"/>
  <c r="AG1306" i="21" s="1"/>
  <c r="R1307" i="21"/>
  <c r="AG1307" i="21" s="1"/>
  <c r="R1308" i="21"/>
  <c r="AG1308" i="21" s="1"/>
  <c r="R1309" i="21"/>
  <c r="AG1309" i="21" s="1"/>
  <c r="R1310" i="21"/>
  <c r="AG1310" i="21" s="1"/>
  <c r="AI1310" i="21" s="1"/>
  <c r="R1311" i="21"/>
  <c r="AG1311" i="21" s="1"/>
  <c r="R1312" i="21"/>
  <c r="AG1312" i="21" s="1"/>
  <c r="R1313" i="21"/>
  <c r="AG1313" i="21" s="1"/>
  <c r="R1314" i="21"/>
  <c r="AG1314" i="21" s="1"/>
  <c r="R1315" i="21"/>
  <c r="AG1315" i="21" s="1"/>
  <c r="R1316" i="21"/>
  <c r="AG1316" i="21" s="1"/>
  <c r="R1317" i="21"/>
  <c r="AG1317" i="21" s="1"/>
  <c r="R1318" i="21"/>
  <c r="AG1318" i="21" s="1"/>
  <c r="R1319" i="21"/>
  <c r="AG1319" i="21" s="1"/>
  <c r="R1320" i="21"/>
  <c r="AG1320" i="21" s="1"/>
  <c r="R1321" i="21"/>
  <c r="AG1321" i="21" s="1"/>
  <c r="AT1321" i="21" s="1"/>
  <c r="R1322" i="21"/>
  <c r="AG1322" i="21" s="1"/>
  <c r="R1323" i="21"/>
  <c r="AG1323" i="21" s="1"/>
  <c r="R1324" i="21"/>
  <c r="AG1324" i="21" s="1"/>
  <c r="R1325" i="21"/>
  <c r="AG1325" i="21" s="1"/>
  <c r="R1326" i="21"/>
  <c r="AG1326" i="21" s="1"/>
  <c r="R1327" i="21"/>
  <c r="AG1327" i="21" s="1"/>
  <c r="R1328" i="21"/>
  <c r="AG1328" i="21" s="1"/>
  <c r="R1329" i="21"/>
  <c r="AG1329" i="21" s="1"/>
  <c r="R1330" i="21"/>
  <c r="AG1330" i="21" s="1"/>
  <c r="R1331" i="21"/>
  <c r="AG1331" i="21" s="1"/>
  <c r="AI1331" i="21" s="1"/>
  <c r="R1332" i="21"/>
  <c r="AG1332" i="21" s="1"/>
  <c r="R1333" i="21"/>
  <c r="AG1333" i="21" s="1"/>
  <c r="R1334" i="21"/>
  <c r="AG1334" i="21" s="1"/>
  <c r="R1335" i="21"/>
  <c r="AG1335" i="21" s="1"/>
  <c r="R1336" i="21"/>
  <c r="AG1336" i="21" s="1"/>
  <c r="R1337" i="21"/>
  <c r="AG1337" i="21" s="1"/>
  <c r="R1338" i="21"/>
  <c r="AG1338" i="21" s="1"/>
  <c r="R1339" i="21"/>
  <c r="AG1339" i="21" s="1"/>
  <c r="R1340" i="21"/>
  <c r="AG1340" i="21" s="1"/>
  <c r="R1341" i="21"/>
  <c r="AG1341" i="21" s="1"/>
  <c r="AT1341" i="21" s="1"/>
  <c r="R1342" i="21"/>
  <c r="AG1342" i="21" s="1"/>
  <c r="R1343" i="21"/>
  <c r="AG1343" i="21" s="1"/>
  <c r="R1344" i="21"/>
  <c r="AG1344" i="21" s="1"/>
  <c r="R1345" i="21"/>
  <c r="AG1345" i="21" s="1"/>
  <c r="R1346" i="21"/>
  <c r="AG1346" i="21" s="1"/>
  <c r="AT1346" i="21" s="1"/>
  <c r="R1347" i="21"/>
  <c r="AG1347" i="21" s="1"/>
  <c r="R1348" i="21"/>
  <c r="AG1348" i="21" s="1"/>
  <c r="R1349" i="21"/>
  <c r="AG1349" i="21" s="1"/>
  <c r="R1350" i="21"/>
  <c r="AG1350" i="21" s="1"/>
  <c r="R1351" i="21"/>
  <c r="AG1351" i="21" s="1"/>
  <c r="R1352" i="21"/>
  <c r="AG1352" i="21" s="1"/>
  <c r="R1353" i="21"/>
  <c r="AG1353" i="21" s="1"/>
  <c r="R1354" i="21"/>
  <c r="AG1354" i="21" s="1"/>
  <c r="R1355" i="21"/>
  <c r="AG1355" i="21" s="1"/>
  <c r="R1356" i="21"/>
  <c r="AG1356" i="21" s="1"/>
  <c r="AT1356" i="21" s="1"/>
  <c r="R1357" i="21"/>
  <c r="AG1357" i="21" s="1"/>
  <c r="R1358" i="21"/>
  <c r="AG1358" i="21" s="1"/>
  <c r="R1359" i="21"/>
  <c r="AG1359" i="21" s="1"/>
  <c r="AT1359" i="21" s="1"/>
  <c r="R1360" i="21"/>
  <c r="AG1360" i="21" s="1"/>
  <c r="AT1360" i="21" s="1"/>
  <c r="R1361" i="21"/>
  <c r="AG1361" i="21" s="1"/>
  <c r="R1362" i="21"/>
  <c r="AG1362" i="21" s="1"/>
  <c r="R1363" i="21"/>
  <c r="AG1363" i="21" s="1"/>
  <c r="R1364" i="21"/>
  <c r="AG1364" i="21" s="1"/>
  <c r="R1365" i="21"/>
  <c r="AG1365" i="21" s="1"/>
  <c r="AT1365" i="21" s="1"/>
  <c r="R1366" i="21"/>
  <c r="AG1366" i="21" s="1"/>
  <c r="R1367" i="21"/>
  <c r="AG1367" i="21" s="1"/>
  <c r="R1368" i="21"/>
  <c r="AG1368" i="21" s="1"/>
  <c r="R1369" i="21"/>
  <c r="AG1369" i="21" s="1"/>
  <c r="AT1369" i="21" s="1"/>
  <c r="R1370" i="21"/>
  <c r="AG1370" i="21" s="1"/>
  <c r="R1371" i="21"/>
  <c r="AG1371" i="21" s="1"/>
  <c r="R1372" i="21"/>
  <c r="AG1372" i="21" s="1"/>
  <c r="R1373" i="21"/>
  <c r="AG1373" i="21" s="1"/>
  <c r="R1374" i="21"/>
  <c r="AG1374" i="21" s="1"/>
  <c r="R1375" i="21"/>
  <c r="AG1375" i="21" s="1"/>
  <c r="R1376" i="21"/>
  <c r="AG1376" i="21" s="1"/>
  <c r="AI1376" i="21" s="1"/>
  <c r="R1377" i="21"/>
  <c r="AG1377" i="21" s="1"/>
  <c r="R1378" i="21"/>
  <c r="AG1378" i="21" s="1"/>
  <c r="R1379" i="21"/>
  <c r="AG1379" i="21" s="1"/>
  <c r="R1380" i="21"/>
  <c r="AG1380" i="21" s="1"/>
  <c r="R1381" i="21"/>
  <c r="AG1381" i="21" s="1"/>
  <c r="R1382" i="21"/>
  <c r="AG1382" i="21" s="1"/>
  <c r="R1383" i="21"/>
  <c r="AG1383" i="21" s="1"/>
  <c r="R1384" i="21"/>
  <c r="AG1384" i="21" s="1"/>
  <c r="R1385" i="21"/>
  <c r="AG1385" i="21" s="1"/>
  <c r="R1386" i="21"/>
  <c r="AG1386" i="21" s="1"/>
  <c r="R1387" i="21"/>
  <c r="AG1387" i="21" s="1"/>
  <c r="R1388" i="21"/>
  <c r="AG1388" i="21" s="1"/>
  <c r="AT1388" i="21" s="1"/>
  <c r="R1389" i="21"/>
  <c r="AG1389" i="21" s="1"/>
  <c r="R1390" i="21"/>
  <c r="AG1390" i="21" s="1"/>
  <c r="R1391" i="21"/>
  <c r="AG1391" i="21" s="1"/>
  <c r="R1392" i="21"/>
  <c r="AG1392" i="21" s="1"/>
  <c r="R1393" i="21"/>
  <c r="AG1393" i="21" s="1"/>
  <c r="R1394" i="21"/>
  <c r="AG1394" i="21" s="1"/>
  <c r="R1395" i="21"/>
  <c r="AG1395" i="21" s="1"/>
  <c r="R1396" i="21"/>
  <c r="AG1396" i="21" s="1"/>
  <c r="AT1396" i="21" s="1"/>
  <c r="R1397" i="21"/>
  <c r="AG1397" i="21" s="1"/>
  <c r="R1398" i="21"/>
  <c r="AG1398" i="21" s="1"/>
  <c r="R1399" i="21"/>
  <c r="AG1399" i="21" s="1"/>
  <c r="R1400" i="21"/>
  <c r="AG1400" i="21" s="1"/>
  <c r="R1401" i="21"/>
  <c r="AG1401" i="21" s="1"/>
  <c r="R1402" i="21"/>
  <c r="AG1402" i="21" s="1"/>
  <c r="R1403" i="21"/>
  <c r="AG1403" i="21" s="1"/>
  <c r="AT1403" i="21" s="1"/>
  <c r="R1404" i="21"/>
  <c r="AG1404" i="21" s="1"/>
  <c r="AT1404" i="21" s="1"/>
  <c r="R1405" i="21"/>
  <c r="AG1405" i="21" s="1"/>
  <c r="R1406" i="21"/>
  <c r="AG1406" i="21" s="1"/>
  <c r="R1407" i="21"/>
  <c r="AG1407" i="21" s="1"/>
  <c r="R1408" i="21"/>
  <c r="AG1408" i="21" s="1"/>
  <c r="R1409" i="21"/>
  <c r="AG1409" i="21" s="1"/>
  <c r="R1410" i="21"/>
  <c r="AG1410" i="21" s="1"/>
  <c r="R1411" i="21"/>
  <c r="AG1411" i="21" s="1"/>
  <c r="AT1411" i="21" s="1"/>
  <c r="R1412" i="21"/>
  <c r="AG1412" i="21" s="1"/>
  <c r="AT1412" i="21" s="1"/>
  <c r="R1413" i="21"/>
  <c r="AG1413" i="21" s="1"/>
  <c r="R1414" i="21"/>
  <c r="AG1414" i="21" s="1"/>
  <c r="R1415" i="21"/>
  <c r="AG1415" i="21" s="1"/>
  <c r="R1416" i="21"/>
  <c r="AG1416" i="21" s="1"/>
  <c r="R1417" i="21"/>
  <c r="AG1417" i="21" s="1"/>
  <c r="R1418" i="21"/>
  <c r="AG1418" i="21" s="1"/>
  <c r="R1419" i="21"/>
  <c r="AG1419" i="21" s="1"/>
  <c r="R1420" i="21"/>
  <c r="AG1420" i="21" s="1"/>
  <c r="AT1420" i="21" s="1"/>
  <c r="R1421" i="21"/>
  <c r="AG1421" i="21" s="1"/>
  <c r="R1422" i="21"/>
  <c r="AG1422" i="21" s="1"/>
  <c r="R1423" i="21"/>
  <c r="AG1423" i="21" s="1"/>
  <c r="R1424" i="21"/>
  <c r="AG1424" i="21" s="1"/>
  <c r="R1425" i="21"/>
  <c r="AG1425" i="21" s="1"/>
  <c r="R1426" i="21"/>
  <c r="AG1426" i="21" s="1"/>
  <c r="R1427" i="21"/>
  <c r="AG1427" i="21" s="1"/>
  <c r="AK1427" i="21" s="1"/>
  <c r="AL1427" i="21" s="1"/>
  <c r="AM1427" i="21" s="1"/>
  <c r="AU1427" i="21" s="1"/>
  <c r="R1428" i="21"/>
  <c r="AG1428" i="21" s="1"/>
  <c r="R1429" i="21"/>
  <c r="AG1429" i="21" s="1"/>
  <c r="AI1429" i="21" s="1"/>
  <c r="R1430" i="21"/>
  <c r="AG1430" i="21" s="1"/>
  <c r="R1431" i="21"/>
  <c r="AG1431" i="21" s="1"/>
  <c r="R1432" i="21"/>
  <c r="AG1432" i="21" s="1"/>
  <c r="AI1432" i="21" s="1"/>
  <c r="R1433" i="21"/>
  <c r="AG1433" i="21" s="1"/>
  <c r="R1434" i="21"/>
  <c r="AG1434" i="21" s="1"/>
  <c r="R1435" i="21"/>
  <c r="AG1435" i="21" s="1"/>
  <c r="R1436" i="21"/>
  <c r="AG1436" i="21" s="1"/>
  <c r="AH1436" i="21" s="1"/>
  <c r="R1437" i="21"/>
  <c r="AG1437" i="21" s="1"/>
  <c r="R1438" i="21"/>
  <c r="AG1438" i="21" s="1"/>
  <c r="R1439" i="21"/>
  <c r="AG1439" i="21" s="1"/>
  <c r="AT1439" i="21" s="1"/>
  <c r="R1440" i="21"/>
  <c r="AG1440" i="21" s="1"/>
  <c r="R1441" i="21"/>
  <c r="AG1441" i="21" s="1"/>
  <c r="R1442" i="21"/>
  <c r="AG1442" i="21" s="1"/>
  <c r="R1443" i="21"/>
  <c r="AG1443" i="21" s="1"/>
  <c r="AT1443" i="21" s="1"/>
  <c r="R1444" i="21"/>
  <c r="AG1444" i="21" s="1"/>
  <c r="AT1444" i="21" s="1"/>
  <c r="R1445" i="21"/>
  <c r="AG1445" i="21" s="1"/>
  <c r="R1446" i="21"/>
  <c r="AG1446" i="21" s="1"/>
  <c r="R1447" i="21"/>
  <c r="AG1447" i="21" s="1"/>
  <c r="R1448" i="21"/>
  <c r="AG1448" i="21" s="1"/>
  <c r="R1449" i="21"/>
  <c r="AG1449" i="21" s="1"/>
  <c r="R1450" i="21"/>
  <c r="AG1450" i="21" s="1"/>
  <c r="R1451" i="21"/>
  <c r="AG1451" i="21" s="1"/>
  <c r="R1452" i="21"/>
  <c r="AG1452" i="21" s="1"/>
  <c r="R1453" i="21"/>
  <c r="AG1453" i="21" s="1"/>
  <c r="R1454" i="21"/>
  <c r="AG1454" i="21" s="1"/>
  <c r="R1455" i="21"/>
  <c r="AG1455" i="21" s="1"/>
  <c r="AH1455" i="21" s="1"/>
  <c r="R1456" i="21"/>
  <c r="AG1456" i="21" s="1"/>
  <c r="R1457" i="21"/>
  <c r="AG1457" i="21" s="1"/>
  <c r="R1458" i="21"/>
  <c r="AG1458" i="21" s="1"/>
  <c r="R1459" i="21"/>
  <c r="AG1459" i="21" s="1"/>
  <c r="R1460" i="21"/>
  <c r="AG1460" i="21" s="1"/>
  <c r="R1461" i="21"/>
  <c r="AG1461" i="21" s="1"/>
  <c r="R1462" i="21"/>
  <c r="AG1462" i="21" s="1"/>
  <c r="R1463" i="21"/>
  <c r="AG1463" i="21" s="1"/>
  <c r="AK1463" i="21" s="1"/>
  <c r="R1464" i="21"/>
  <c r="AG1464" i="21" s="1"/>
  <c r="R1465" i="21"/>
  <c r="AG1465" i="21" s="1"/>
  <c r="AT1465" i="21" s="1"/>
  <c r="R1466" i="21"/>
  <c r="AG1466" i="21" s="1"/>
  <c r="R1467" i="21"/>
  <c r="AG1467" i="21" s="1"/>
  <c r="AI1467" i="21" s="1"/>
  <c r="AK1467" i="21" s="1"/>
  <c r="AL1467" i="21" s="1"/>
  <c r="R1468" i="21"/>
  <c r="AG1468" i="21" s="1"/>
  <c r="R1469" i="21"/>
  <c r="AG1469" i="21" s="1"/>
  <c r="AT1469" i="21" s="1"/>
  <c r="R1470" i="21"/>
  <c r="AG1470" i="21" s="1"/>
  <c r="R1471" i="21"/>
  <c r="AG1471" i="21" s="1"/>
  <c r="R1472" i="21"/>
  <c r="AG1472" i="21" s="1"/>
  <c r="R1473" i="21"/>
  <c r="AG1473" i="21" s="1"/>
  <c r="AT1473" i="21" s="1"/>
  <c r="R1474" i="21"/>
  <c r="AG1474" i="21" s="1"/>
  <c r="R1475" i="21"/>
  <c r="AG1475" i="21" s="1"/>
  <c r="R1476" i="21"/>
  <c r="AG1476" i="21" s="1"/>
  <c r="R1477" i="21"/>
  <c r="AG1477" i="21" s="1"/>
  <c r="R1478" i="21"/>
  <c r="AG1478" i="21" s="1"/>
  <c r="R1479" i="21"/>
  <c r="AG1479" i="21" s="1"/>
  <c r="AT1479" i="21" s="1"/>
  <c r="R1480" i="21"/>
  <c r="AG1480" i="21" s="1"/>
  <c r="AT1480" i="21" s="1"/>
  <c r="R1481" i="21"/>
  <c r="AG1481" i="21" s="1"/>
  <c r="R1482" i="21"/>
  <c r="AG1482" i="21" s="1"/>
  <c r="R1483" i="21"/>
  <c r="AG1483" i="21" s="1"/>
  <c r="R1484" i="21"/>
  <c r="AG1484" i="21" s="1"/>
  <c r="R1485" i="21"/>
  <c r="AG1485" i="21" s="1"/>
  <c r="R1486" i="21"/>
  <c r="AG1486" i="21" s="1"/>
  <c r="AT1486" i="21" s="1"/>
  <c r="R1487" i="21"/>
  <c r="AG1487" i="21" s="1"/>
  <c r="AT1487" i="21" s="1"/>
  <c r="R1488" i="21"/>
  <c r="AG1488" i="21" s="1"/>
  <c r="R1489" i="21"/>
  <c r="AG1489" i="21" s="1"/>
  <c r="R1490" i="21"/>
  <c r="AG1490" i="21" s="1"/>
  <c r="R1491" i="21"/>
  <c r="AG1491" i="21" s="1"/>
  <c r="R1492" i="21"/>
  <c r="AG1492" i="21" s="1"/>
  <c r="AT1492" i="21" s="1"/>
  <c r="R1493" i="21"/>
  <c r="AG1493" i="21" s="1"/>
  <c r="R1494" i="21"/>
  <c r="AG1494" i="21" s="1"/>
  <c r="R1495" i="21"/>
  <c r="AG1495" i="21" s="1"/>
  <c r="R1496" i="21"/>
  <c r="AG1496" i="21" s="1"/>
  <c r="AT1496" i="21" s="1"/>
  <c r="R1497" i="21"/>
  <c r="AG1497" i="21" s="1"/>
  <c r="R1498" i="21"/>
  <c r="AG1498" i="21" s="1"/>
  <c r="R1499" i="21"/>
  <c r="AG1499" i="21" s="1"/>
  <c r="AT1499" i="21" s="1"/>
  <c r="R1500" i="21"/>
  <c r="AG1500" i="21" s="1"/>
  <c r="R1501" i="21"/>
  <c r="AG1501" i="21" s="1"/>
  <c r="AT1501" i="21" s="1"/>
  <c r="R1502" i="21"/>
  <c r="AG1502" i="21" s="1"/>
  <c r="R1503" i="21"/>
  <c r="AG1503" i="21" s="1"/>
  <c r="AT1503" i="21" s="1"/>
  <c r="R1504" i="21"/>
  <c r="AG1504" i="21" s="1"/>
  <c r="AT1504" i="21" s="1"/>
  <c r="R1505" i="21"/>
  <c r="AG1505" i="21" s="1"/>
  <c r="R1506" i="21"/>
  <c r="AG1506" i="21" s="1"/>
  <c r="R1507" i="21"/>
  <c r="AG1507" i="21" s="1"/>
  <c r="R1508" i="21"/>
  <c r="AG1508" i="21" s="1"/>
  <c r="R1509" i="21"/>
  <c r="AG1509" i="21" s="1"/>
  <c r="R1510" i="21"/>
  <c r="AG1510" i="21" s="1"/>
  <c r="R1511" i="21"/>
  <c r="AG1511" i="21" s="1"/>
  <c r="R1512" i="21"/>
  <c r="AG1512" i="21" s="1"/>
  <c r="AT1512" i="21" s="1"/>
  <c r="R1513" i="21"/>
  <c r="AG1513" i="21" s="1"/>
  <c r="R1514" i="21"/>
  <c r="AG1514" i="21" s="1"/>
  <c r="R1515" i="21"/>
  <c r="AG1515" i="21" s="1"/>
  <c r="R1516" i="21"/>
  <c r="AG1516" i="21" s="1"/>
  <c r="AT1516" i="21" s="1"/>
  <c r="R1517" i="21"/>
  <c r="AG1517" i="21" s="1"/>
  <c r="R1518" i="21"/>
  <c r="AG1518" i="21" s="1"/>
  <c r="R1519" i="21"/>
  <c r="AG1519" i="21" s="1"/>
  <c r="R1520" i="21"/>
  <c r="AG1520" i="21" s="1"/>
  <c r="AT1520" i="21" s="1"/>
  <c r="R1521" i="21"/>
  <c r="AG1521" i="21" s="1"/>
  <c r="R1522" i="21"/>
  <c r="AG1522" i="21" s="1"/>
  <c r="R1523" i="21"/>
  <c r="AG1523" i="21" s="1"/>
  <c r="R1524" i="21"/>
  <c r="AG1524" i="21" s="1"/>
  <c r="R1525" i="21"/>
  <c r="AG1525" i="21" s="1"/>
  <c r="R1526" i="21"/>
  <c r="AG1526" i="21" s="1"/>
  <c r="R1527" i="21"/>
  <c r="AG1527" i="21" s="1"/>
  <c r="R1528" i="21"/>
  <c r="AG1528" i="21" s="1"/>
  <c r="AT1528" i="21" s="1"/>
  <c r="R1529" i="21"/>
  <c r="AG1529" i="21" s="1"/>
  <c r="R1530" i="21"/>
  <c r="AG1530" i="21" s="1"/>
  <c r="R1531" i="21"/>
  <c r="AG1531" i="21" s="1"/>
  <c r="R1532" i="21"/>
  <c r="AG1532" i="21" s="1"/>
  <c r="R1533" i="21"/>
  <c r="AG1533" i="21" s="1"/>
  <c r="R1534" i="21"/>
  <c r="AG1534" i="21" s="1"/>
  <c r="R1535" i="21"/>
  <c r="AG1535" i="21" s="1"/>
  <c r="R1536" i="21"/>
  <c r="AG1536" i="21" s="1"/>
  <c r="R1537" i="21"/>
  <c r="AG1537" i="21" s="1"/>
  <c r="R1538" i="21"/>
  <c r="AG1538" i="21" s="1"/>
  <c r="AT1538" i="21" s="1"/>
  <c r="R1539" i="21"/>
  <c r="AG1539" i="21" s="1"/>
  <c r="R1540" i="21"/>
  <c r="AG1540" i="21" s="1"/>
  <c r="R1541" i="21"/>
  <c r="AG1541" i="21" s="1"/>
  <c r="R1542" i="21"/>
  <c r="AG1542" i="21" s="1"/>
  <c r="R1543" i="21"/>
  <c r="AG1543" i="21" s="1"/>
  <c r="R1544" i="21"/>
  <c r="AG1544" i="21" s="1"/>
  <c r="R1545" i="21"/>
  <c r="AG1545" i="21" s="1"/>
  <c r="R1546" i="21"/>
  <c r="AG1546" i="21" s="1"/>
  <c r="R1547" i="21"/>
  <c r="AG1547" i="21" s="1"/>
  <c r="R1548" i="21"/>
  <c r="AG1548" i="21" s="1"/>
  <c r="R1549" i="21"/>
  <c r="AG1549" i="21" s="1"/>
  <c r="R1550" i="21"/>
  <c r="AG1550" i="21" s="1"/>
  <c r="R1551" i="21"/>
  <c r="AG1551" i="21" s="1"/>
  <c r="R1552" i="21"/>
  <c r="AG1552" i="21" s="1"/>
  <c r="AT1552" i="21" s="1"/>
  <c r="R1553" i="21"/>
  <c r="AG1553" i="21" s="1"/>
  <c r="R1554" i="21"/>
  <c r="AG1554" i="21" s="1"/>
  <c r="R1555" i="21"/>
  <c r="AG1555" i="21" s="1"/>
  <c r="AT1555" i="21" s="1"/>
  <c r="R1556" i="21"/>
  <c r="AG1556" i="21" s="1"/>
  <c r="R1557" i="21"/>
  <c r="AG1557" i="21" s="1"/>
  <c r="R1558" i="21"/>
  <c r="AG1558" i="21" s="1"/>
  <c r="R1559" i="21"/>
  <c r="AG1559" i="21" s="1"/>
  <c r="R1560" i="21"/>
  <c r="AG1560" i="21" s="1"/>
  <c r="R1561" i="21"/>
  <c r="AG1561" i="21" s="1"/>
  <c r="R1562" i="21"/>
  <c r="AG1562" i="21" s="1"/>
  <c r="AK1562" i="21" s="1"/>
  <c r="R1563" i="21"/>
  <c r="AG1563" i="21" s="1"/>
  <c r="R1564" i="21"/>
  <c r="AG1564" i="21" s="1"/>
  <c r="R1565" i="21"/>
  <c r="AG1565" i="21" s="1"/>
  <c r="R1566" i="21"/>
  <c r="AG1566" i="21" s="1"/>
  <c r="R1567" i="21"/>
  <c r="AG1567" i="21" s="1"/>
  <c r="R1568" i="21"/>
  <c r="AG1568" i="21" s="1"/>
  <c r="R1569" i="21"/>
  <c r="AG1569" i="21" s="1"/>
  <c r="R1570" i="21"/>
  <c r="AG1570" i="21" s="1"/>
  <c r="R1571" i="21"/>
  <c r="AG1571" i="21" s="1"/>
  <c r="R1572" i="21"/>
  <c r="AG1572" i="21" s="1"/>
  <c r="R1573" i="21"/>
  <c r="AG1573" i="21" s="1"/>
  <c r="R1574" i="21"/>
  <c r="AG1574" i="21" s="1"/>
  <c r="R1575" i="21"/>
  <c r="AG1575" i="21" s="1"/>
  <c r="AH1575" i="21" s="1"/>
  <c r="R1576" i="21"/>
  <c r="AG1576" i="21" s="1"/>
  <c r="R1577" i="21"/>
  <c r="AG1577" i="21" s="1"/>
  <c r="R1578" i="21"/>
  <c r="AG1578" i="21" s="1"/>
  <c r="R1579" i="21"/>
  <c r="AG1579" i="21" s="1"/>
  <c r="R1580" i="21"/>
  <c r="AG1580" i="21" s="1"/>
  <c r="AT1580" i="21" s="1"/>
  <c r="R1581" i="21"/>
  <c r="AG1581" i="21" s="1"/>
  <c r="R1582" i="21"/>
  <c r="AG1582" i="21" s="1"/>
  <c r="R1583" i="21"/>
  <c r="AG1583" i="21" s="1"/>
  <c r="R1584" i="21"/>
  <c r="AG1584" i="21" s="1"/>
  <c r="R1585" i="21"/>
  <c r="AG1585" i="21" s="1"/>
  <c r="R1586" i="21"/>
  <c r="AG1586" i="21" s="1"/>
  <c r="R1587" i="21"/>
  <c r="AG1587" i="21" s="1"/>
  <c r="R1588" i="21"/>
  <c r="AG1588" i="21" s="1"/>
  <c r="R1589" i="21"/>
  <c r="AG1589" i="21" s="1"/>
  <c r="R1590" i="21"/>
  <c r="AG1590" i="21" s="1"/>
  <c r="R1591" i="21"/>
  <c r="AG1591" i="21" s="1"/>
  <c r="R1592" i="21"/>
  <c r="AG1592" i="21" s="1"/>
  <c r="R1593" i="21"/>
  <c r="AG1593" i="21" s="1"/>
  <c r="AI1593" i="21" s="1"/>
  <c r="R1594" i="21"/>
  <c r="AG1594" i="21" s="1"/>
  <c r="AI1594" i="21" s="1"/>
  <c r="R1595" i="21"/>
  <c r="AG1595" i="21" s="1"/>
  <c r="R1596" i="21"/>
  <c r="AG1596" i="21" s="1"/>
  <c r="R1597" i="21"/>
  <c r="AG1597" i="21" s="1"/>
  <c r="R1598" i="21"/>
  <c r="AG1598" i="21" s="1"/>
  <c r="R1599" i="21"/>
  <c r="AG1599" i="21" s="1"/>
  <c r="R1600" i="21"/>
  <c r="AG1600" i="21" s="1"/>
  <c r="AI1600" i="21" s="1"/>
  <c r="R1601" i="21"/>
  <c r="AG1601" i="21" s="1"/>
  <c r="AI1601" i="21" s="1"/>
  <c r="R1602" i="21"/>
  <c r="AG1602" i="21" s="1"/>
  <c r="AI1602" i="21" s="1"/>
  <c r="R1603" i="21"/>
  <c r="AG1603" i="21" s="1"/>
  <c r="AK1603" i="21" s="1"/>
  <c r="AL1603" i="21" s="1"/>
  <c r="R1604" i="21"/>
  <c r="AG1604" i="21" s="1"/>
  <c r="AI1604" i="21" s="1"/>
  <c r="R1605" i="21"/>
  <c r="AG1605" i="21" s="1"/>
  <c r="AI1605" i="21" s="1"/>
  <c r="R1606" i="21"/>
  <c r="AG1606" i="21" s="1"/>
  <c r="R1607" i="21"/>
  <c r="AG1607" i="21" s="1"/>
  <c r="AT1607" i="21" s="1"/>
  <c r="R1608" i="21"/>
  <c r="AG1608" i="21" s="1"/>
  <c r="R1609" i="21"/>
  <c r="AG1609" i="21" s="1"/>
  <c r="R1610" i="21"/>
  <c r="AG1610" i="21" s="1"/>
  <c r="R1611" i="21"/>
  <c r="AG1611" i="21" s="1"/>
  <c r="R1612" i="21"/>
  <c r="AG1612" i="21" s="1"/>
  <c r="R1613" i="21"/>
  <c r="AG1613" i="21" s="1"/>
  <c r="R1614" i="21"/>
  <c r="AG1614" i="21" s="1"/>
  <c r="R1615" i="21"/>
  <c r="AG1615" i="21" s="1"/>
  <c r="R1616" i="21"/>
  <c r="AG1616" i="21" s="1"/>
  <c r="R1617" i="21"/>
  <c r="AG1617" i="21" s="1"/>
  <c r="R1618" i="21"/>
  <c r="AG1618" i="21" s="1"/>
  <c r="R1619" i="21"/>
  <c r="AG1619" i="21" s="1"/>
  <c r="R1620" i="21"/>
  <c r="AG1620" i="21" s="1"/>
  <c r="R1621" i="21"/>
  <c r="AG1621" i="21" s="1"/>
  <c r="R1622" i="21"/>
  <c r="AG1622" i="21" s="1"/>
  <c r="R1623" i="21"/>
  <c r="AG1623" i="21" s="1"/>
  <c r="R1624" i="21"/>
  <c r="AG1624" i="21" s="1"/>
  <c r="R1625" i="21"/>
  <c r="AG1625" i="21" s="1"/>
  <c r="R1626" i="21"/>
  <c r="AG1626" i="21" s="1"/>
  <c r="R1627" i="21"/>
  <c r="AG1627" i="21" s="1"/>
  <c r="R1628" i="21"/>
  <c r="AG1628" i="21" s="1"/>
  <c r="R1629" i="21"/>
  <c r="AG1629" i="21" s="1"/>
  <c r="AT1629" i="21" s="1"/>
  <c r="R1630" i="21"/>
  <c r="AG1630" i="21" s="1"/>
  <c r="R1631" i="21"/>
  <c r="AG1631" i="21" s="1"/>
  <c r="R1632" i="21"/>
  <c r="AG1632" i="21" s="1"/>
  <c r="R1633" i="21"/>
  <c r="AG1633" i="21" s="1"/>
  <c r="R1634" i="21"/>
  <c r="AG1634" i="21" s="1"/>
  <c r="R1635" i="21"/>
  <c r="AG1635" i="21" s="1"/>
  <c r="R1636" i="21"/>
  <c r="AG1636" i="21" s="1"/>
  <c r="R1637" i="21"/>
  <c r="AG1637" i="21" s="1"/>
  <c r="R1638" i="21"/>
  <c r="AG1638" i="21" s="1"/>
  <c r="AT1638" i="21" s="1"/>
  <c r="R1639" i="21"/>
  <c r="AG1639" i="21" s="1"/>
  <c r="R1640" i="21"/>
  <c r="AG1640" i="21" s="1"/>
  <c r="R1641" i="21"/>
  <c r="AG1641" i="21" s="1"/>
  <c r="R1642" i="21"/>
  <c r="AG1642" i="21" s="1"/>
  <c r="R1643" i="21"/>
  <c r="AG1643" i="21" s="1"/>
  <c r="AH1643" i="21" s="1"/>
  <c r="R1644" i="21"/>
  <c r="AG1644" i="21" s="1"/>
  <c r="R1645" i="21"/>
  <c r="AG1645" i="21" s="1"/>
  <c r="R1646" i="21"/>
  <c r="AG1646" i="21" s="1"/>
  <c r="R1647" i="21"/>
  <c r="AG1647" i="21" s="1"/>
  <c r="AH1647" i="21" s="1"/>
  <c r="R1648" i="21"/>
  <c r="AG1648" i="21" s="1"/>
  <c r="R1649" i="21"/>
  <c r="AG1649" i="21" s="1"/>
  <c r="AH1649" i="21" s="1"/>
  <c r="R1650" i="21"/>
  <c r="AG1650" i="21" s="1"/>
  <c r="R1651" i="21"/>
  <c r="AG1651" i="21" s="1"/>
  <c r="R1652" i="21"/>
  <c r="AG1652" i="21" s="1"/>
  <c r="AT1652" i="21" s="1"/>
  <c r="R1653" i="21"/>
  <c r="AG1653" i="21" s="1"/>
  <c r="R1654" i="21"/>
  <c r="AG1654" i="21" s="1"/>
  <c r="AT1654" i="21" s="1"/>
  <c r="R1655" i="21"/>
  <c r="AG1655" i="21" s="1"/>
  <c r="AT1655" i="21" s="1"/>
  <c r="R1656" i="21"/>
  <c r="AG1656" i="21" s="1"/>
  <c r="R1657" i="21"/>
  <c r="AG1657" i="21" s="1"/>
  <c r="R1658" i="21"/>
  <c r="AG1658" i="21" s="1"/>
  <c r="AI1658" i="21" s="1"/>
  <c r="R1659" i="21"/>
  <c r="AG1659" i="21" s="1"/>
  <c r="R1660" i="21"/>
  <c r="AG1660" i="21" s="1"/>
  <c r="R1661" i="21"/>
  <c r="AG1661" i="21" s="1"/>
  <c r="AI1661" i="21" s="1"/>
  <c r="R1662" i="21"/>
  <c r="AG1662" i="21" s="1"/>
  <c r="AH1662" i="21" s="1"/>
  <c r="R1663" i="21"/>
  <c r="AG1663" i="21" s="1"/>
  <c r="R1664" i="21"/>
  <c r="AG1664" i="21" s="1"/>
  <c r="AT1664" i="21" s="1"/>
  <c r="R1665" i="21"/>
  <c r="AG1665" i="21" s="1"/>
  <c r="R1666" i="21"/>
  <c r="AG1666" i="21" s="1"/>
  <c r="R1667" i="21"/>
  <c r="AG1667" i="21" s="1"/>
  <c r="R1668" i="21"/>
  <c r="AG1668" i="21" s="1"/>
  <c r="R1669" i="21"/>
  <c r="AG1669" i="21" s="1"/>
  <c r="R1670" i="21"/>
  <c r="AG1670" i="21" s="1"/>
  <c r="R1671" i="21"/>
  <c r="AG1671" i="21" s="1"/>
  <c r="R1672" i="21"/>
  <c r="AG1672" i="21" s="1"/>
  <c r="R1673" i="21"/>
  <c r="AG1673" i="21" s="1"/>
  <c r="R1674" i="21"/>
  <c r="AG1674" i="21" s="1"/>
  <c r="R1675" i="21"/>
  <c r="AG1675" i="21" s="1"/>
  <c r="R1676" i="21"/>
  <c r="AG1676" i="21" s="1"/>
  <c r="AH1676" i="21" s="1"/>
  <c r="AJ1676" i="21" s="1"/>
  <c r="R1677" i="21"/>
  <c r="AG1677" i="21" s="1"/>
  <c r="R1678" i="21"/>
  <c r="AG1678" i="21" s="1"/>
  <c r="R1679" i="21"/>
  <c r="AG1679" i="21" s="1"/>
  <c r="R1680" i="21"/>
  <c r="AG1680" i="21" s="1"/>
  <c r="R1681" i="21"/>
  <c r="AG1681" i="21" s="1"/>
  <c r="AI1681" i="21" s="1"/>
  <c r="R1682" i="21"/>
  <c r="AG1682" i="21" s="1"/>
  <c r="R1683" i="21"/>
  <c r="AG1683" i="21" s="1"/>
  <c r="R1684" i="21"/>
  <c r="AG1684" i="21" s="1"/>
  <c r="AI1684" i="21" s="1"/>
  <c r="R1686" i="21"/>
  <c r="AG1686" i="21" s="1"/>
  <c r="R1687" i="21"/>
  <c r="AG1687" i="21" s="1"/>
  <c r="R1688" i="21"/>
  <c r="AG1688" i="21" s="1"/>
  <c r="R1689" i="21"/>
  <c r="AG1689" i="21" s="1"/>
  <c r="R1690" i="21"/>
  <c r="AG1690" i="21" s="1"/>
  <c r="R1691" i="21"/>
  <c r="AG1691" i="21" s="1"/>
  <c r="R1692" i="21"/>
  <c r="AG1692" i="21" s="1"/>
  <c r="R1693" i="21"/>
  <c r="AG1693" i="21" s="1"/>
  <c r="AT1693" i="21" s="1"/>
  <c r="R1694" i="21"/>
  <c r="AG1694" i="21" s="1"/>
  <c r="R1695" i="21"/>
  <c r="AG1695" i="21" s="1"/>
  <c r="R1696" i="21"/>
  <c r="AG1696" i="21" s="1"/>
  <c r="R1697" i="21"/>
  <c r="AG1697" i="21" s="1"/>
  <c r="R1698" i="21"/>
  <c r="AG1698" i="21" s="1"/>
  <c r="R1699" i="21"/>
  <c r="AG1699" i="21" s="1"/>
  <c r="R1700" i="21"/>
  <c r="AG1700" i="21" s="1"/>
  <c r="R1701" i="21"/>
  <c r="AG1701" i="21" s="1"/>
  <c r="R1702" i="21"/>
  <c r="AG1702" i="21" s="1"/>
  <c r="R1703" i="21"/>
  <c r="AG1703" i="21" s="1"/>
  <c r="R1704" i="21"/>
  <c r="AG1704" i="21" s="1"/>
  <c r="R1705" i="21"/>
  <c r="AG1705" i="21" s="1"/>
  <c r="R1706" i="21"/>
  <c r="AG1706" i="21" s="1"/>
  <c r="R1707" i="21"/>
  <c r="AG1707" i="21" s="1"/>
  <c r="R1708" i="21"/>
  <c r="AG1708" i="21" s="1"/>
  <c r="R1709" i="21"/>
  <c r="AG1709" i="21" s="1"/>
  <c r="R1710" i="21"/>
  <c r="AG1710" i="21" s="1"/>
  <c r="R1711" i="21"/>
  <c r="AG1711" i="21" s="1"/>
  <c r="R1712" i="21"/>
  <c r="AG1712" i="21" s="1"/>
  <c r="R1713" i="21"/>
  <c r="AG1713" i="21" s="1"/>
  <c r="R1714" i="21"/>
  <c r="AG1714" i="21" s="1"/>
  <c r="R1715" i="21"/>
  <c r="AG1715" i="21" s="1"/>
  <c r="R1716" i="21"/>
  <c r="AG1716" i="21" s="1"/>
  <c r="R1717" i="21"/>
  <c r="AG1717" i="21" s="1"/>
  <c r="R1718" i="21"/>
  <c r="AG1718" i="21" s="1"/>
  <c r="R1719" i="21"/>
  <c r="AG1719" i="21" s="1"/>
  <c r="R1720" i="21"/>
  <c r="AG1720" i="21" s="1"/>
  <c r="R1721" i="21"/>
  <c r="AG1721" i="21" s="1"/>
  <c r="AT1721" i="21" s="1"/>
  <c r="R1722" i="21"/>
  <c r="AG1722" i="21" s="1"/>
  <c r="R1723" i="21"/>
  <c r="AG1723" i="21" s="1"/>
  <c r="R1724" i="21"/>
  <c r="AG1724" i="21" s="1"/>
  <c r="R1725" i="21"/>
  <c r="AG1725" i="21" s="1"/>
  <c r="AT1725" i="21" s="1"/>
  <c r="R1726" i="21"/>
  <c r="AG1726" i="21" s="1"/>
  <c r="R1727" i="21"/>
  <c r="AG1727" i="21" s="1"/>
  <c r="R1728" i="21"/>
  <c r="AG1728" i="21" s="1"/>
  <c r="R1729" i="21"/>
  <c r="AG1729" i="21" s="1"/>
  <c r="R1730" i="21"/>
  <c r="AG1730" i="21" s="1"/>
  <c r="R1731" i="21"/>
  <c r="AG1731" i="21" s="1"/>
  <c r="AH1731" i="21" s="1"/>
  <c r="R1732" i="21"/>
  <c r="AG1732" i="21" s="1"/>
  <c r="AT1732" i="21" s="1"/>
  <c r="R1733" i="21"/>
  <c r="AG1733" i="21" s="1"/>
  <c r="AT1733" i="21" s="1"/>
  <c r="R1734" i="21"/>
  <c r="AG1734" i="21" s="1"/>
  <c r="R1735" i="21"/>
  <c r="AG1735" i="21" s="1"/>
  <c r="AT1735" i="21" s="1"/>
  <c r="R1736" i="21"/>
  <c r="AG1736" i="21" s="1"/>
  <c r="AT1736" i="21" s="1"/>
  <c r="R1737" i="21"/>
  <c r="AG1737" i="21" s="1"/>
  <c r="R1738" i="21"/>
  <c r="AG1738" i="21" s="1"/>
  <c r="R1739" i="21"/>
  <c r="AG1739" i="21" s="1"/>
  <c r="AT1739" i="21" s="1"/>
  <c r="R1740" i="21"/>
  <c r="AG1740" i="21" s="1"/>
  <c r="R1741" i="21"/>
  <c r="AG1741" i="21" s="1"/>
  <c r="R1742" i="21"/>
  <c r="AG1742" i="21" s="1"/>
  <c r="R1743" i="21"/>
  <c r="AG1743" i="21" s="1"/>
  <c r="R1744" i="21"/>
  <c r="AG1744" i="21" s="1"/>
  <c r="R1745" i="21"/>
  <c r="AG1745" i="21" s="1"/>
  <c r="AH1745" i="21" s="1"/>
  <c r="R1746" i="21"/>
  <c r="AG1746" i="21" s="1"/>
  <c r="R1747" i="21"/>
  <c r="AG1747" i="21" s="1"/>
  <c r="AH1747" i="21" s="1"/>
  <c r="R1748" i="21"/>
  <c r="AG1748" i="21" s="1"/>
  <c r="AT1748" i="21" s="1"/>
  <c r="R1749" i="21"/>
  <c r="AG1749" i="21" s="1"/>
  <c r="R1750" i="21"/>
  <c r="AG1750" i="21" s="1"/>
  <c r="AI1750" i="21" s="1"/>
  <c r="R1751" i="21"/>
  <c r="AG1751" i="21" s="1"/>
  <c r="R1752" i="21"/>
  <c r="AG1752" i="21" s="1"/>
  <c r="AT1752" i="21" s="1"/>
  <c r="R1753" i="21"/>
  <c r="AG1753" i="21" s="1"/>
  <c r="AT1753" i="21" s="1"/>
  <c r="R1754" i="21"/>
  <c r="AG1754" i="21" s="1"/>
  <c r="AH1754" i="21" s="1"/>
  <c r="R1755" i="21"/>
  <c r="AG1755" i="21" s="1"/>
  <c r="AT1755" i="21" s="1"/>
  <c r="R1756" i="21"/>
  <c r="AG1756" i="21" s="1"/>
  <c r="AT1756" i="21" s="1"/>
  <c r="R1757" i="21"/>
  <c r="AG1757" i="21" s="1"/>
  <c r="AT1757" i="21" s="1"/>
  <c r="R1758" i="21"/>
  <c r="AG1758" i="21" s="1"/>
  <c r="AT1758" i="21" s="1"/>
  <c r="R1759" i="21"/>
  <c r="AG1759" i="21" s="1"/>
  <c r="R1760" i="21"/>
  <c r="AG1760" i="21" s="1"/>
  <c r="R1761" i="21"/>
  <c r="AG1761" i="21" s="1"/>
  <c r="R1762" i="21"/>
  <c r="AG1762" i="21" s="1"/>
  <c r="AT1762" i="21" s="1"/>
  <c r="R1763" i="21"/>
  <c r="AG1763" i="21" s="1"/>
  <c r="AT1763" i="21" s="1"/>
  <c r="R1764" i="21"/>
  <c r="AG1764" i="21" s="1"/>
  <c r="R1765" i="21"/>
  <c r="AG1765" i="21" s="1"/>
  <c r="AI1765" i="21" s="1"/>
  <c r="R1766" i="21"/>
  <c r="AG1766" i="21" s="1"/>
  <c r="AT1766" i="21" s="1"/>
  <c r="R1767" i="21"/>
  <c r="AG1767" i="21" s="1"/>
  <c r="AT1767" i="21" s="1"/>
  <c r="R1768" i="21"/>
  <c r="AG1768" i="21" s="1"/>
  <c r="AI1768" i="21" s="1"/>
  <c r="R1769" i="21"/>
  <c r="AG1769" i="21" s="1"/>
  <c r="R1770" i="21"/>
  <c r="AG1770" i="21" s="1"/>
  <c r="AT1770" i="21" s="1"/>
  <c r="R1771" i="21"/>
  <c r="AG1771" i="21" s="1"/>
  <c r="AH1771" i="21" s="1"/>
  <c r="AJ1771" i="21" s="1"/>
  <c r="R1772" i="21"/>
  <c r="AG1772" i="21" s="1"/>
  <c r="AT1772" i="21" s="1"/>
  <c r="R1773" i="21"/>
  <c r="AG1773" i="21" s="1"/>
  <c r="R1774" i="21"/>
  <c r="AG1774" i="21" s="1"/>
  <c r="R1775" i="21"/>
  <c r="AG1775" i="21" s="1"/>
  <c r="R1776" i="21"/>
  <c r="AG1776" i="21" s="1"/>
  <c r="AT1776" i="21" s="1"/>
  <c r="R1777" i="21"/>
  <c r="AG1777" i="21" s="1"/>
  <c r="R1778" i="21"/>
  <c r="AG1778" i="21" s="1"/>
  <c r="AT1778" i="21" s="1"/>
  <c r="R1779" i="21"/>
  <c r="AG1779" i="21" s="1"/>
  <c r="R1780" i="21"/>
  <c r="AG1780" i="21" s="1"/>
  <c r="R1781" i="21"/>
  <c r="AG1781" i="21" s="1"/>
  <c r="R1782" i="21"/>
  <c r="AG1782" i="21" s="1"/>
  <c r="R1783" i="21"/>
  <c r="AG1783" i="21" s="1"/>
  <c r="R1785" i="21"/>
  <c r="AG1785" i="21" s="1"/>
  <c r="R1786" i="21"/>
  <c r="AG1786" i="21" s="1"/>
  <c r="R1787" i="21"/>
  <c r="AG1787" i="21" s="1"/>
  <c r="AT1787" i="21" s="1"/>
  <c r="R1129" i="21"/>
  <c r="A1130" i="21"/>
  <c r="A1131" i="21"/>
  <c r="A1132" i="21"/>
  <c r="A1133" i="21"/>
  <c r="A1134" i="21"/>
  <c r="A1135" i="21"/>
  <c r="A1136" i="21"/>
  <c r="A1137" i="21"/>
  <c r="A1138" i="21"/>
  <c r="A1139" i="21"/>
  <c r="A1140" i="21"/>
  <c r="A1141" i="21"/>
  <c r="A1142" i="21"/>
  <c r="A1143" i="21"/>
  <c r="A1144" i="21"/>
  <c r="A1145" i="21"/>
  <c r="A1146" i="21"/>
  <c r="A1147" i="21"/>
  <c r="A1148" i="21"/>
  <c r="A1149" i="21"/>
  <c r="A1150" i="21"/>
  <c r="A1151" i="21"/>
  <c r="A1152" i="21"/>
  <c r="A1153" i="21"/>
  <c r="A1154" i="21"/>
  <c r="A1155" i="21"/>
  <c r="A1156" i="21"/>
  <c r="A1157" i="21"/>
  <c r="A1158" i="21"/>
  <c r="A1159" i="21"/>
  <c r="A1160" i="21"/>
  <c r="A1161" i="21"/>
  <c r="A1162" i="21"/>
  <c r="A1163" i="21"/>
  <c r="A1164" i="21"/>
  <c r="A1165" i="21"/>
  <c r="A1166" i="21"/>
  <c r="A1167" i="21"/>
  <c r="A1168" i="21"/>
  <c r="A1169" i="21"/>
  <c r="A1170" i="21"/>
  <c r="A1171" i="21"/>
  <c r="A1172" i="21"/>
  <c r="A1173" i="21"/>
  <c r="A1174" i="21"/>
  <c r="A1175" i="21"/>
  <c r="A1176" i="21"/>
  <c r="A1177" i="21"/>
  <c r="A1178" i="21"/>
  <c r="A1179" i="21"/>
  <c r="A1180" i="21"/>
  <c r="A1181" i="21"/>
  <c r="A1182" i="21"/>
  <c r="A1183" i="21"/>
  <c r="A1184" i="21"/>
  <c r="A1185" i="21"/>
  <c r="A1186" i="21"/>
  <c r="A1187" i="21"/>
  <c r="A1188" i="21"/>
  <c r="A1189" i="21"/>
  <c r="A1190" i="21"/>
  <c r="A1191" i="21"/>
  <c r="A1192" i="21"/>
  <c r="A1193" i="21"/>
  <c r="A1194" i="21"/>
  <c r="A1195" i="21"/>
  <c r="A1196" i="21"/>
  <c r="A1197" i="21"/>
  <c r="A1198" i="21"/>
  <c r="A1199" i="21"/>
  <c r="A1200" i="21"/>
  <c r="A1201" i="21"/>
  <c r="A1202" i="21"/>
  <c r="A1203" i="21"/>
  <c r="A1204" i="21"/>
  <c r="A1205" i="21"/>
  <c r="A1206" i="21"/>
  <c r="A1207" i="21"/>
  <c r="A1208" i="21"/>
  <c r="A1209" i="21"/>
  <c r="A1210" i="21"/>
  <c r="A1211" i="21"/>
  <c r="A1212" i="21"/>
  <c r="A1213" i="21"/>
  <c r="A1214" i="21"/>
  <c r="A1215" i="21"/>
  <c r="A1216" i="21"/>
  <c r="A1217" i="21"/>
  <c r="A1218" i="21"/>
  <c r="A1219" i="21"/>
  <c r="A1220" i="21"/>
  <c r="A1221" i="21"/>
  <c r="A1222" i="21"/>
  <c r="A1223" i="21"/>
  <c r="A1224" i="21"/>
  <c r="A1225" i="21"/>
  <c r="A1226" i="21"/>
  <c r="A1227" i="21"/>
  <c r="A1228" i="21"/>
  <c r="A1229" i="21"/>
  <c r="A1230" i="21"/>
  <c r="A1231" i="21"/>
  <c r="A1232" i="21"/>
  <c r="A1233" i="21"/>
  <c r="A1234" i="21"/>
  <c r="A1235" i="21"/>
  <c r="A1236" i="21"/>
  <c r="A1237" i="21"/>
  <c r="A1238" i="21"/>
  <c r="A1239" i="21"/>
  <c r="A1240" i="21"/>
  <c r="A1241" i="21"/>
  <c r="A1242" i="21"/>
  <c r="A1243" i="21"/>
  <c r="A1244" i="21"/>
  <c r="A1245" i="21"/>
  <c r="A1246" i="21"/>
  <c r="A1247" i="21"/>
  <c r="A1248" i="21"/>
  <c r="A1249" i="21"/>
  <c r="A1250" i="21"/>
  <c r="A1251" i="21"/>
  <c r="A1252" i="21"/>
  <c r="A1253" i="21"/>
  <c r="A1254" i="21"/>
  <c r="A1255" i="21"/>
  <c r="A1256" i="21"/>
  <c r="A1257" i="21"/>
  <c r="A1258" i="21"/>
  <c r="A1259" i="21"/>
  <c r="A1260" i="21"/>
  <c r="A1261" i="21"/>
  <c r="A1262" i="21"/>
  <c r="A1263" i="21"/>
  <c r="A1264" i="21"/>
  <c r="A1265" i="21"/>
  <c r="A1266" i="21"/>
  <c r="A1267" i="21"/>
  <c r="A1268" i="21"/>
  <c r="A1269" i="21"/>
  <c r="A1270" i="21"/>
  <c r="A1271" i="21"/>
  <c r="A1272" i="21"/>
  <c r="A1273" i="21"/>
  <c r="A1274" i="21"/>
  <c r="A1275" i="21"/>
  <c r="A1276" i="21"/>
  <c r="A1277" i="21"/>
  <c r="A1278" i="21"/>
  <c r="A1279" i="21"/>
  <c r="A1280" i="21"/>
  <c r="A1281" i="21"/>
  <c r="A1282" i="21"/>
  <c r="A1283" i="21"/>
  <c r="A1284" i="21"/>
  <c r="A1285" i="21"/>
  <c r="A1286" i="21"/>
  <c r="A1287" i="21"/>
  <c r="A1288" i="21"/>
  <c r="A1289" i="21"/>
  <c r="A1290" i="21"/>
  <c r="A1291" i="21"/>
  <c r="A1292" i="21"/>
  <c r="A1293" i="21"/>
  <c r="A1294" i="21"/>
  <c r="A1295" i="21"/>
  <c r="A1296" i="21"/>
  <c r="A1297" i="21"/>
  <c r="A1298" i="21"/>
  <c r="A1299" i="21"/>
  <c r="A1300" i="21"/>
  <c r="A1301" i="21"/>
  <c r="A1302" i="21"/>
  <c r="A1303" i="21"/>
  <c r="A1304" i="21"/>
  <c r="A1305" i="21"/>
  <c r="A1306" i="21"/>
  <c r="A1307" i="21"/>
  <c r="A1308" i="21"/>
  <c r="A1309" i="21"/>
  <c r="A1310" i="21"/>
  <c r="A1311" i="21"/>
  <c r="A1312" i="21"/>
  <c r="A1313" i="21"/>
  <c r="A1314" i="21"/>
  <c r="A1315" i="21"/>
  <c r="A1316" i="21"/>
  <c r="A1317" i="21"/>
  <c r="A1318" i="21"/>
  <c r="A1319" i="21"/>
  <c r="A1320" i="21"/>
  <c r="A1321" i="21"/>
  <c r="A1322" i="21"/>
  <c r="A1323" i="21"/>
  <c r="A1324" i="21"/>
  <c r="A1325" i="21"/>
  <c r="A1326" i="21"/>
  <c r="A1327" i="21"/>
  <c r="A1328" i="21"/>
  <c r="A1329" i="21"/>
  <c r="A1330" i="21"/>
  <c r="A1331" i="21"/>
  <c r="A1332" i="21"/>
  <c r="A1333" i="21"/>
  <c r="A1334" i="21"/>
  <c r="A1335" i="21"/>
  <c r="A1336" i="21"/>
  <c r="A1337" i="21"/>
  <c r="A1338" i="21"/>
  <c r="A1339" i="21"/>
  <c r="A1340" i="21"/>
  <c r="A1341" i="21"/>
  <c r="A1342" i="21"/>
  <c r="A1343" i="21"/>
  <c r="A1344" i="21"/>
  <c r="A1345" i="21"/>
  <c r="A1346" i="21"/>
  <c r="A1347" i="21"/>
  <c r="A1348" i="21"/>
  <c r="A1349" i="21"/>
  <c r="A1350" i="21"/>
  <c r="A1351" i="21"/>
  <c r="A1352" i="21"/>
  <c r="A1353" i="21"/>
  <c r="A1354" i="21"/>
  <c r="A1355" i="21"/>
  <c r="A1356" i="21"/>
  <c r="A1357" i="21"/>
  <c r="A1358" i="21"/>
  <c r="A1359" i="21"/>
  <c r="A1360" i="21"/>
  <c r="A1361" i="21"/>
  <c r="A1362" i="21"/>
  <c r="A1363" i="21"/>
  <c r="A1364" i="21"/>
  <c r="A1365" i="21"/>
  <c r="A1366" i="21"/>
  <c r="A1367" i="21"/>
  <c r="A1368" i="21"/>
  <c r="A1369" i="21"/>
  <c r="A1370" i="21"/>
  <c r="A1371" i="21"/>
  <c r="A1372" i="21"/>
  <c r="A1373" i="21"/>
  <c r="A1374" i="21"/>
  <c r="A1375" i="21"/>
  <c r="A1376" i="21"/>
  <c r="A1377" i="21"/>
  <c r="A1378" i="21"/>
  <c r="A1379" i="21"/>
  <c r="A1380" i="21"/>
  <c r="A1381" i="21"/>
  <c r="A1382" i="21"/>
  <c r="A1383" i="21"/>
  <c r="A1384" i="21"/>
  <c r="A1385" i="21"/>
  <c r="A1386" i="21"/>
  <c r="A1387" i="21"/>
  <c r="A1388" i="21"/>
  <c r="A1389" i="21"/>
  <c r="A1390" i="21"/>
  <c r="A1391" i="21"/>
  <c r="A1392" i="21"/>
  <c r="A1393" i="21"/>
  <c r="A1394" i="21"/>
  <c r="A1395" i="21"/>
  <c r="A1396" i="21"/>
  <c r="A1397" i="21"/>
  <c r="A1398" i="21"/>
  <c r="A1399" i="21"/>
  <c r="A1400" i="21"/>
  <c r="A1401" i="21"/>
  <c r="A1402" i="21"/>
  <c r="A1403" i="21"/>
  <c r="A1404" i="21"/>
  <c r="A1405" i="21"/>
  <c r="A1406" i="21"/>
  <c r="A1407" i="21"/>
  <c r="A1408" i="21"/>
  <c r="A1409" i="21"/>
  <c r="A1410" i="21"/>
  <c r="A1411" i="21"/>
  <c r="A1412" i="21"/>
  <c r="A1413" i="21"/>
  <c r="A1414" i="21"/>
  <c r="A1415" i="21"/>
  <c r="A1416" i="21"/>
  <c r="A1417" i="21"/>
  <c r="A1418" i="21"/>
  <c r="A1419" i="21"/>
  <c r="A1420" i="21"/>
  <c r="A1421" i="21"/>
  <c r="A1422" i="21"/>
  <c r="A1423" i="21"/>
  <c r="A1424" i="21"/>
  <c r="A1425" i="21"/>
  <c r="A1426" i="21"/>
  <c r="A1427" i="21"/>
  <c r="A1428" i="21"/>
  <c r="A1429" i="21"/>
  <c r="A1430" i="21"/>
  <c r="A1431" i="21"/>
  <c r="A1432" i="21"/>
  <c r="A1433" i="21"/>
  <c r="A1434" i="21"/>
  <c r="A1435" i="21"/>
  <c r="A1436" i="21"/>
  <c r="A1437" i="21"/>
  <c r="A1438" i="21"/>
  <c r="A1439" i="21"/>
  <c r="A1440" i="21"/>
  <c r="A1441" i="21"/>
  <c r="A1442" i="21"/>
  <c r="A1443" i="21"/>
  <c r="A1444" i="21"/>
  <c r="A1445" i="21"/>
  <c r="A1446" i="21"/>
  <c r="A1447" i="21"/>
  <c r="A1448" i="21"/>
  <c r="A1449" i="21"/>
  <c r="A1450" i="21"/>
  <c r="A1451" i="21"/>
  <c r="A1452" i="21"/>
  <c r="A1453" i="21"/>
  <c r="A1454" i="21"/>
  <c r="A1455" i="21"/>
  <c r="A1456" i="21"/>
  <c r="A1457" i="21"/>
  <c r="A1458" i="21"/>
  <c r="A1459" i="21"/>
  <c r="A1460" i="21"/>
  <c r="A1461" i="21"/>
  <c r="A1462" i="21"/>
  <c r="A1463" i="21"/>
  <c r="A1464" i="21"/>
  <c r="A1465" i="21"/>
  <c r="A1466" i="21"/>
  <c r="A1467" i="21"/>
  <c r="A1468" i="21"/>
  <c r="A1469" i="21"/>
  <c r="A1470" i="21"/>
  <c r="A1471" i="21"/>
  <c r="A1472" i="21"/>
  <c r="A1473" i="21"/>
  <c r="A1474" i="21"/>
  <c r="A1475" i="21"/>
  <c r="A1476" i="21"/>
  <c r="A1477" i="21"/>
  <c r="A1478" i="21"/>
  <c r="A1479" i="21"/>
  <c r="A1480" i="21"/>
  <c r="A1481" i="21"/>
  <c r="A1482" i="21"/>
  <c r="A1483" i="21"/>
  <c r="A1484" i="21"/>
  <c r="A1485" i="21"/>
  <c r="A1486" i="21"/>
  <c r="A1487" i="21"/>
  <c r="A1488" i="21"/>
  <c r="A1489" i="21"/>
  <c r="A1490" i="21"/>
  <c r="A1491" i="21"/>
  <c r="A1492" i="21"/>
  <c r="A1493" i="21"/>
  <c r="A1494" i="21"/>
  <c r="A1495" i="21"/>
  <c r="A1496" i="21"/>
  <c r="A1497" i="21"/>
  <c r="A1498" i="21"/>
  <c r="A1499" i="21"/>
  <c r="A1500" i="21"/>
  <c r="A1501" i="21"/>
  <c r="A1502" i="21"/>
  <c r="A1503" i="21"/>
  <c r="A1504" i="21"/>
  <c r="A1505" i="21"/>
  <c r="A1506" i="21"/>
  <c r="A1507" i="21"/>
  <c r="A1508" i="21"/>
  <c r="A1509" i="21"/>
  <c r="A1510" i="21"/>
  <c r="A1511" i="21"/>
  <c r="A1512" i="21"/>
  <c r="A1513" i="21"/>
  <c r="A1514" i="21"/>
  <c r="A1515" i="21"/>
  <c r="A1516" i="21"/>
  <c r="A1517" i="21"/>
  <c r="A1518" i="21"/>
  <c r="A1519" i="21"/>
  <c r="A1520" i="21"/>
  <c r="A1521" i="21"/>
  <c r="A1522" i="21"/>
  <c r="A1523" i="21"/>
  <c r="A1524" i="21"/>
  <c r="A1525" i="21"/>
  <c r="A1526" i="21"/>
  <c r="A1527" i="21"/>
  <c r="A1528" i="21"/>
  <c r="A1529" i="21"/>
  <c r="A1530" i="21"/>
  <c r="A1531" i="21"/>
  <c r="A1532" i="21"/>
  <c r="A1533" i="21"/>
  <c r="A1534" i="21"/>
  <c r="A1535" i="21"/>
  <c r="A1536" i="21"/>
  <c r="A1537" i="21"/>
  <c r="A1538" i="21"/>
  <c r="A1539" i="21"/>
  <c r="A1540" i="21"/>
  <c r="A1541" i="21"/>
  <c r="A1542" i="21"/>
  <c r="A1543" i="21"/>
  <c r="A1544" i="21"/>
  <c r="A1545" i="21"/>
  <c r="A1546" i="21"/>
  <c r="A1547" i="21"/>
  <c r="A1548" i="21"/>
  <c r="A1549" i="21"/>
  <c r="A1550" i="21"/>
  <c r="A1551" i="21"/>
  <c r="A1552" i="21"/>
  <c r="A1553" i="21"/>
  <c r="A1554" i="21"/>
  <c r="A1555" i="21"/>
  <c r="A1556" i="21"/>
  <c r="A1557" i="21"/>
  <c r="A1558" i="21"/>
  <c r="A1559" i="21"/>
  <c r="A1560" i="21"/>
  <c r="A1561" i="21"/>
  <c r="A1562" i="21"/>
  <c r="A1563" i="21"/>
  <c r="A1564" i="21"/>
  <c r="A1565" i="21"/>
  <c r="A1566" i="21"/>
  <c r="A1567" i="21"/>
  <c r="A1568" i="21"/>
  <c r="A1569" i="21"/>
  <c r="A1570" i="21"/>
  <c r="A1571" i="21"/>
  <c r="A1572" i="21"/>
  <c r="A1573" i="21"/>
  <c r="A1574" i="21"/>
  <c r="A1575" i="21"/>
  <c r="A1576" i="21"/>
  <c r="A1577" i="21"/>
  <c r="A1578" i="21"/>
  <c r="A1579" i="21"/>
  <c r="A1580" i="21"/>
  <c r="A1581" i="21"/>
  <c r="A1582" i="21"/>
  <c r="A1583" i="21"/>
  <c r="A1584" i="21"/>
  <c r="A1585" i="21"/>
  <c r="A1586" i="21"/>
  <c r="A1587" i="21"/>
  <c r="A1588" i="21"/>
  <c r="A1589" i="21"/>
  <c r="A1590" i="21"/>
  <c r="A1591" i="21"/>
  <c r="A1592" i="21"/>
  <c r="A1593" i="21"/>
  <c r="A1594" i="21"/>
  <c r="A1595" i="21"/>
  <c r="A1596" i="21"/>
  <c r="A1597" i="21"/>
  <c r="A1598" i="21"/>
  <c r="A1599" i="21"/>
  <c r="A1600" i="21"/>
  <c r="A1601" i="21"/>
  <c r="A1602" i="21"/>
  <c r="A1603" i="21"/>
  <c r="A1604" i="21"/>
  <c r="A1605" i="21"/>
  <c r="A1606" i="21"/>
  <c r="A1607" i="21"/>
  <c r="A1608" i="21"/>
  <c r="A1609" i="21"/>
  <c r="A1610" i="21"/>
  <c r="A1611" i="21"/>
  <c r="A1612" i="21"/>
  <c r="A1613" i="21"/>
  <c r="A1614" i="21"/>
  <c r="A1615" i="21"/>
  <c r="A1616" i="21"/>
  <c r="A1617" i="21"/>
  <c r="A1618" i="21"/>
  <c r="A1619" i="21"/>
  <c r="A1620" i="21"/>
  <c r="A1621" i="21"/>
  <c r="A1622" i="21"/>
  <c r="A1623" i="21"/>
  <c r="A1624" i="21"/>
  <c r="A1625" i="21"/>
  <c r="A1626" i="21"/>
  <c r="A1627" i="21"/>
  <c r="A1628" i="21"/>
  <c r="A1629" i="21"/>
  <c r="A1630" i="21"/>
  <c r="A1631" i="21"/>
  <c r="A1632" i="21"/>
  <c r="A1633" i="21"/>
  <c r="A1634" i="21"/>
  <c r="A1635" i="21"/>
  <c r="A1636" i="21"/>
  <c r="A1637" i="21"/>
  <c r="A1638" i="21"/>
  <c r="A1639" i="21"/>
  <c r="A1640" i="21"/>
  <c r="A1641" i="21"/>
  <c r="A1642" i="21"/>
  <c r="A1643" i="21"/>
  <c r="A1644" i="21"/>
  <c r="A1645" i="21"/>
  <c r="A1646" i="21"/>
  <c r="A1647" i="21"/>
  <c r="A1648" i="21"/>
  <c r="A1649" i="21"/>
  <c r="A1650" i="21"/>
  <c r="A1651" i="21"/>
  <c r="A1652" i="21"/>
  <c r="A1653" i="21"/>
  <c r="A1654" i="21"/>
  <c r="A1655" i="21"/>
  <c r="A1656" i="21"/>
  <c r="A1657" i="21"/>
  <c r="A1658" i="21"/>
  <c r="A1659" i="21"/>
  <c r="A1660" i="21"/>
  <c r="A1661" i="21"/>
  <c r="A1662" i="21"/>
  <c r="A1663" i="21"/>
  <c r="A1664" i="21"/>
  <c r="A1665" i="21"/>
  <c r="A1666" i="21"/>
  <c r="A1667" i="21"/>
  <c r="A1668" i="21"/>
  <c r="A1669" i="21"/>
  <c r="A1670" i="21"/>
  <c r="A1671" i="21"/>
  <c r="A1672" i="21"/>
  <c r="A1673" i="21"/>
  <c r="A1674" i="21"/>
  <c r="A1675" i="21"/>
  <c r="A1676" i="21"/>
  <c r="A1677" i="21"/>
  <c r="A1678" i="21"/>
  <c r="A1679" i="21"/>
  <c r="A1680" i="21"/>
  <c r="A1681" i="21"/>
  <c r="A1682" i="21"/>
  <c r="A1683" i="21"/>
  <c r="A1684" i="21"/>
  <c r="A1686" i="21"/>
  <c r="A1687" i="21"/>
  <c r="A1688" i="21"/>
  <c r="A1689" i="21"/>
  <c r="A1690" i="21"/>
  <c r="A1691" i="21"/>
  <c r="A1692" i="21"/>
  <c r="A1693" i="21"/>
  <c r="A1694" i="21"/>
  <c r="A1695" i="21"/>
  <c r="A1696" i="21"/>
  <c r="A1697" i="21"/>
  <c r="A1698" i="21"/>
  <c r="A1699" i="21"/>
  <c r="A1700" i="21"/>
  <c r="A1701" i="21"/>
  <c r="A1702" i="21"/>
  <c r="A1703" i="21"/>
  <c r="A1704" i="21"/>
  <c r="A1705" i="21"/>
  <c r="A1706" i="21"/>
  <c r="A1707" i="21"/>
  <c r="A1708" i="21"/>
  <c r="A1709" i="21"/>
  <c r="A1710" i="21"/>
  <c r="A1711" i="21"/>
  <c r="A1712" i="21"/>
  <c r="A1713" i="21"/>
  <c r="A1714" i="21"/>
  <c r="A1715" i="21"/>
  <c r="A1716" i="21"/>
  <c r="A1717" i="21"/>
  <c r="A1718" i="21"/>
  <c r="A1719" i="21"/>
  <c r="A1720" i="21"/>
  <c r="A1721" i="21"/>
  <c r="A1722" i="21"/>
  <c r="A1723" i="21"/>
  <c r="A1724" i="21"/>
  <c r="A1725" i="21"/>
  <c r="A1726" i="21"/>
  <c r="A1727" i="21"/>
  <c r="A1728" i="21"/>
  <c r="A1729" i="21"/>
  <c r="A1730" i="21"/>
  <c r="A1731" i="21"/>
  <c r="A1732" i="21"/>
  <c r="A1733" i="21"/>
  <c r="A1734" i="21"/>
  <c r="A1735" i="21"/>
  <c r="A1736" i="21"/>
  <c r="A1737" i="21"/>
  <c r="A1738" i="21"/>
  <c r="A1739" i="21"/>
  <c r="A1740" i="21"/>
  <c r="A1741" i="21"/>
  <c r="A1742" i="21"/>
  <c r="A1743" i="21"/>
  <c r="A1744" i="21"/>
  <c r="A1745" i="21"/>
  <c r="A1746" i="21"/>
  <c r="A1747" i="21"/>
  <c r="A1748" i="21"/>
  <c r="A1749" i="21"/>
  <c r="A1750" i="21"/>
  <c r="A1751" i="21"/>
  <c r="A1752" i="21"/>
  <c r="A1753" i="21"/>
  <c r="A1754" i="21"/>
  <c r="A1755" i="21"/>
  <c r="A1756" i="21"/>
  <c r="A1757" i="21"/>
  <c r="A1758" i="21"/>
  <c r="A1759" i="21"/>
  <c r="A1760" i="21"/>
  <c r="A1761" i="21"/>
  <c r="A1762" i="21"/>
  <c r="A1763" i="21"/>
  <c r="A1764" i="21"/>
  <c r="A1765" i="21"/>
  <c r="A1766" i="21"/>
  <c r="A1767" i="21"/>
  <c r="A1768" i="21"/>
  <c r="A1769" i="21"/>
  <c r="A1770" i="21"/>
  <c r="A1771" i="21"/>
  <c r="A1772" i="21"/>
  <c r="A1773" i="21"/>
  <c r="A1774" i="21"/>
  <c r="A1775" i="21"/>
  <c r="A1776" i="21"/>
  <c r="A1777" i="21"/>
  <c r="A1778" i="21"/>
  <c r="A1779" i="21"/>
  <c r="A1780" i="21"/>
  <c r="A1781" i="21"/>
  <c r="A1782" i="21"/>
  <c r="A1783" i="21"/>
  <c r="A1784" i="21"/>
  <c r="A1785" i="21"/>
  <c r="A1786" i="21"/>
  <c r="A1787" i="21"/>
  <c r="AH1779" i="21" l="1"/>
  <c r="AI1779" i="21"/>
  <c r="AH1782" i="21"/>
  <c r="AI1782" i="21"/>
  <c r="AT1686" i="21"/>
  <c r="AI1686" i="21"/>
  <c r="AI1599" i="21"/>
  <c r="AK1599" i="21" s="1"/>
  <c r="AL1599" i="21" s="1"/>
  <c r="AT1597" i="21"/>
  <c r="AI1597" i="21"/>
  <c r="AT1596" i="21"/>
  <c r="AI1596" i="21"/>
  <c r="AT1558" i="21"/>
  <c r="AI1558" i="21"/>
  <c r="AT1437" i="21"/>
  <c r="AI1437" i="21"/>
  <c r="AT1334" i="21"/>
  <c r="AI1334" i="21"/>
  <c r="AK1301" i="21"/>
  <c r="AL1301" i="21" s="1"/>
  <c r="AM1301" i="21" s="1"/>
  <c r="AU1301" i="21" s="1"/>
  <c r="AF1136" i="21"/>
  <c r="AF1144" i="21"/>
  <c r="AK1322" i="21"/>
  <c r="AL1322" i="21" s="1"/>
  <c r="AN1322" i="21" s="1"/>
  <c r="AF1636" i="21"/>
  <c r="AF1172" i="21"/>
  <c r="AF1168" i="21"/>
  <c r="AF1306" i="21"/>
  <c r="AF1141" i="21"/>
  <c r="AF1526" i="21"/>
  <c r="AF1510" i="21"/>
  <c r="AF1278" i="21"/>
  <c r="AF1322" i="21"/>
  <c r="AF1264" i="21"/>
  <c r="AF1412" i="21"/>
  <c r="AF1463" i="21"/>
  <c r="AF1320" i="21"/>
  <c r="AF1299" i="21"/>
  <c r="AF1205" i="21"/>
  <c r="AF1217" i="21"/>
  <c r="AF1429" i="21"/>
  <c r="AF1767" i="21"/>
  <c r="AF1735" i="21"/>
  <c r="AF1188" i="21"/>
  <c r="AK1371" i="21"/>
  <c r="AL1371" i="21" s="1"/>
  <c r="AM1371" i="21" s="1"/>
  <c r="AU1371" i="21" s="1"/>
  <c r="AK1618" i="21"/>
  <c r="AL1618" i="21" s="1"/>
  <c r="AF1769" i="21"/>
  <c r="AF1765" i="21"/>
  <c r="AF1562" i="21"/>
  <c r="AF1468" i="21"/>
  <c r="AK1425" i="21"/>
  <c r="AL1425" i="21" s="1"/>
  <c r="AM1425" i="21" s="1"/>
  <c r="AU1425" i="21" s="1"/>
  <c r="AF1784" i="21"/>
  <c r="AF1779" i="21"/>
  <c r="AF1775" i="21"/>
  <c r="AF1573" i="21"/>
  <c r="AF1544" i="21"/>
  <c r="AF1459" i="21"/>
  <c r="AF1294" i="21"/>
  <c r="AF1266" i="21"/>
  <c r="AF1263" i="21"/>
  <c r="AF1214" i="21"/>
  <c r="AF1209" i="21"/>
  <c r="AK1535" i="21"/>
  <c r="AL1535" i="21" s="1"/>
  <c r="AN1535" i="21" s="1"/>
  <c r="AF1760" i="21"/>
  <c r="AF1712" i="21"/>
  <c r="AF1696" i="21"/>
  <c r="AF1456" i="21"/>
  <c r="AF1447" i="21"/>
  <c r="AF1381" i="21"/>
  <c r="AF1276" i="21"/>
  <c r="AF1223" i="21"/>
  <c r="AH1439" i="21"/>
  <c r="AF1747" i="21"/>
  <c r="AF1734" i="21"/>
  <c r="AF1460" i="21"/>
  <c r="AF1455" i="21"/>
  <c r="AF1290" i="21"/>
  <c r="AF1287" i="21"/>
  <c r="AF1275" i="21"/>
  <c r="AF1240" i="21"/>
  <c r="AF1218" i="21"/>
  <c r="AL1562" i="21"/>
  <c r="AN1562" i="21" s="1"/>
  <c r="AF1751" i="21"/>
  <c r="AF1541" i="21"/>
  <c r="AF1479" i="21"/>
  <c r="AF1464" i="21"/>
  <c r="AF1401" i="21"/>
  <c r="AF1389" i="21"/>
  <c r="AF1352" i="21"/>
  <c r="AF1312" i="21"/>
  <c r="AF1303" i="21"/>
  <c r="AK1392" i="21"/>
  <c r="AL1392" i="21" s="1"/>
  <c r="AM1392" i="21" s="1"/>
  <c r="AU1392" i="21" s="1"/>
  <c r="AK1431" i="21"/>
  <c r="AL1431" i="21" s="1"/>
  <c r="AM1431" i="21" s="1"/>
  <c r="AU1431" i="21" s="1"/>
  <c r="AF1589" i="21"/>
  <c r="AF1557" i="21"/>
  <c r="AF1473" i="21"/>
  <c r="AF1388" i="21"/>
  <c r="AF1343" i="21"/>
  <c r="AF1283" i="21"/>
  <c r="AF1213" i="21"/>
  <c r="AK1710" i="21"/>
  <c r="AL1710" i="21" s="1"/>
  <c r="AN1710" i="21" s="1"/>
  <c r="AK1318" i="21"/>
  <c r="AL1318" i="21" s="1"/>
  <c r="AM1318" i="21" s="1"/>
  <c r="AU1318" i="21" s="1"/>
  <c r="AF1759" i="21"/>
  <c r="AF1697" i="21"/>
  <c r="AF1644" i="21"/>
  <c r="AF1145" i="21"/>
  <c r="AK1542" i="21"/>
  <c r="AL1542" i="21" s="1"/>
  <c r="AN1542" i="21" s="1"/>
  <c r="AF1471" i="21"/>
  <c r="AF1327" i="21"/>
  <c r="AF1316" i="21"/>
  <c r="AF1304" i="21"/>
  <c r="AF1252" i="21"/>
  <c r="AF1197" i="21"/>
  <c r="AF1180" i="21"/>
  <c r="AF1157" i="21"/>
  <c r="AK1657" i="21"/>
  <c r="AL1657" i="21" s="1"/>
  <c r="AN1657" i="21" s="1"/>
  <c r="AT1786" i="21"/>
  <c r="AH1786" i="21"/>
  <c r="AF1787" i="21"/>
  <c r="AF1777" i="21"/>
  <c r="AF1754" i="21"/>
  <c r="AF1673" i="21"/>
  <c r="AF1546" i="21"/>
  <c r="AK1505" i="21"/>
  <c r="AL1505" i="21" s="1"/>
  <c r="AN1505" i="21" s="1"/>
  <c r="AF1492" i="21"/>
  <c r="AF1469" i="21"/>
  <c r="AF1409" i="21"/>
  <c r="AL1463" i="21"/>
  <c r="AM1463" i="21" s="1"/>
  <c r="AU1463" i="21" s="1"/>
  <c r="AF1785" i="21"/>
  <c r="AF1772" i="21"/>
  <c r="AH1766" i="21"/>
  <c r="AF1748" i="21"/>
  <c r="AF1740" i="21"/>
  <c r="AK1734" i="21"/>
  <c r="AL1734" i="21" s="1"/>
  <c r="AN1734" i="21" s="1"/>
  <c r="AF1680" i="21"/>
  <c r="AK1635" i="21"/>
  <c r="AL1635" i="21" s="1"/>
  <c r="AM1635" i="21" s="1"/>
  <c r="AU1635" i="21" s="1"/>
  <c r="AF1572" i="21"/>
  <c r="AF1520" i="21"/>
  <c r="AH1444" i="21"/>
  <c r="AF1441" i="21"/>
  <c r="AF1419" i="21"/>
  <c r="AF1338" i="21"/>
  <c r="AF1314" i="21"/>
  <c r="AF1311" i="21"/>
  <c r="AK1284" i="21"/>
  <c r="AL1284" i="21" s="1"/>
  <c r="AM1284" i="21" s="1"/>
  <c r="AU1284" i="21" s="1"/>
  <c r="AF1246" i="21"/>
  <c r="AK1183" i="21"/>
  <c r="AL1183" i="21" s="1"/>
  <c r="AN1183" i="21" s="1"/>
  <c r="AK1390" i="21"/>
  <c r="AL1390" i="21" s="1"/>
  <c r="AN1390" i="21" s="1"/>
  <c r="AK1786" i="21"/>
  <c r="AL1786" i="21" s="1"/>
  <c r="AM1786" i="21" s="1"/>
  <c r="AU1786" i="21" s="1"/>
  <c r="AH1776" i="21"/>
  <c r="AI1739" i="21"/>
  <c r="AK1739" i="21" s="1"/>
  <c r="AL1739" i="21" s="1"/>
  <c r="AS1707" i="21"/>
  <c r="AS1236" i="21"/>
  <c r="AH1767" i="21"/>
  <c r="AF1736" i="21"/>
  <c r="AF1425" i="21"/>
  <c r="AH1404" i="21"/>
  <c r="AF1368" i="21"/>
  <c r="AF1353" i="21"/>
  <c r="AF1332" i="21"/>
  <c r="AK1324" i="21"/>
  <c r="AL1324" i="21" s="1"/>
  <c r="AN1324" i="21" s="1"/>
  <c r="AF1292" i="21"/>
  <c r="AF1286" i="21"/>
  <c r="AF1233" i="21"/>
  <c r="AH1224" i="21"/>
  <c r="AF1221" i="21"/>
  <c r="AH1214" i="21"/>
  <c r="AF1185" i="21"/>
  <c r="AF1173" i="21"/>
  <c r="AF1142" i="21"/>
  <c r="AF1132" i="21"/>
  <c r="AT1662" i="21"/>
  <c r="AK1539" i="21"/>
  <c r="AL1539" i="21" s="1"/>
  <c r="AN1539" i="21" s="1"/>
  <c r="AK1778" i="21"/>
  <c r="AL1778" i="21" s="1"/>
  <c r="AM1778" i="21" s="1"/>
  <c r="AU1778" i="21" s="1"/>
  <c r="AK1770" i="21"/>
  <c r="AL1770" i="21" s="1"/>
  <c r="AM1770" i="21" s="1"/>
  <c r="AU1770" i="21" s="1"/>
  <c r="AK1674" i="21"/>
  <c r="AL1674" i="21" s="1"/>
  <c r="AM1674" i="21" s="1"/>
  <c r="AU1674" i="21" s="1"/>
  <c r="AF1540" i="21"/>
  <c r="AF1522" i="21"/>
  <c r="AF1518" i="21"/>
  <c r="AH1499" i="21"/>
  <c r="AK1489" i="21"/>
  <c r="AL1489" i="21" s="1"/>
  <c r="AN1489" i="21" s="1"/>
  <c r="AI1479" i="21"/>
  <c r="AJ1479" i="21" s="1"/>
  <c r="AH1420" i="21"/>
  <c r="AS1641" i="21"/>
  <c r="AF1780" i="21"/>
  <c r="AF1758" i="21"/>
  <c r="AF1755" i="21"/>
  <c r="AF1738" i="21"/>
  <c r="AF1729" i="21"/>
  <c r="AF1681" i="21"/>
  <c r="AF1506" i="21"/>
  <c r="AH1479" i="21"/>
  <c r="AF1445" i="21"/>
  <c r="AK1439" i="21"/>
  <c r="AL1439" i="21" s="1"/>
  <c r="AN1439" i="21" s="1"/>
  <c r="AF1424" i="21"/>
  <c r="AH1412" i="21"/>
  <c r="AH1396" i="21"/>
  <c r="AF1346" i="21"/>
  <c r="AF1324" i="21"/>
  <c r="AF1315" i="21"/>
  <c r="AF1298" i="21"/>
  <c r="AF1291" i="21"/>
  <c r="AF1282" i="21"/>
  <c r="AF1279" i="21"/>
  <c r="AF1262" i="21"/>
  <c r="AF1258" i="21"/>
  <c r="AF1255" i="21"/>
  <c r="AF1182" i="21"/>
  <c r="AF1165" i="21"/>
  <c r="AF1161" i="21"/>
  <c r="AT1391" i="21"/>
  <c r="AH1391" i="21"/>
  <c r="AT1375" i="21"/>
  <c r="AH1375" i="21"/>
  <c r="AT1335" i="21"/>
  <c r="AH1335" i="21"/>
  <c r="AK1750" i="21"/>
  <c r="AL1750" i="21" s="1"/>
  <c r="AH1750" i="21"/>
  <c r="AT1750" i="21"/>
  <c r="AH1726" i="21"/>
  <c r="AI1726" i="21"/>
  <c r="AT1726" i="21"/>
  <c r="AH1718" i="21"/>
  <c r="AT1718" i="21"/>
  <c r="AH1702" i="21"/>
  <c r="AT1702" i="21"/>
  <c r="AH1670" i="21"/>
  <c r="AT1670" i="21"/>
  <c r="AH1646" i="21"/>
  <c r="AT1646" i="21"/>
  <c r="AK1646" i="21"/>
  <c r="AL1646" i="21" s="1"/>
  <c r="AH1630" i="21"/>
  <c r="AJ1630" i="21" s="1"/>
  <c r="AT1630" i="21"/>
  <c r="AH1590" i="21"/>
  <c r="AT1590" i="21"/>
  <c r="AH1534" i="21"/>
  <c r="AT1534" i="21"/>
  <c r="AH1526" i="21"/>
  <c r="AT1526" i="21"/>
  <c r="AT1478" i="21"/>
  <c r="AH1478" i="21"/>
  <c r="AJ1478" i="21" s="1"/>
  <c r="AT1470" i="21"/>
  <c r="AI1470" i="21"/>
  <c r="AH1470" i="21"/>
  <c r="AH1422" i="21"/>
  <c r="AT1422" i="21"/>
  <c r="AH1414" i="21"/>
  <c r="AT1414" i="21"/>
  <c r="AT1374" i="21"/>
  <c r="AH1374" i="21"/>
  <c r="AH1366" i="21"/>
  <c r="AT1366" i="21"/>
  <c r="AH1206" i="21"/>
  <c r="AT1206" i="21"/>
  <c r="AH1781" i="21"/>
  <c r="AT1781" i="21"/>
  <c r="AH1773" i="21"/>
  <c r="AT1773" i="21"/>
  <c r="AT1749" i="21"/>
  <c r="AH1749" i="21"/>
  <c r="AJ1749" i="21" s="1"/>
  <c r="AT1741" i="21"/>
  <c r="AH1741" i="21"/>
  <c r="AJ1661" i="21"/>
  <c r="AK1661" i="21"/>
  <c r="AL1661" i="21" s="1"/>
  <c r="AI1653" i="21"/>
  <c r="AJ1653" i="21" s="1"/>
  <c r="AT1653" i="21"/>
  <c r="AH1653" i="21"/>
  <c r="AH1637" i="21"/>
  <c r="AT1637" i="21"/>
  <c r="AK1637" i="21"/>
  <c r="AL1637" i="21" s="1"/>
  <c r="AN1637" i="21" s="1"/>
  <c r="AH1621" i="21"/>
  <c r="AT1621" i="21"/>
  <c r="AK1621" i="21"/>
  <c r="AL1621" i="21" s="1"/>
  <c r="AN1621" i="21" s="1"/>
  <c r="AH1613" i="21"/>
  <c r="AT1613" i="21"/>
  <c r="AK1613" i="21"/>
  <c r="AL1613" i="21" s="1"/>
  <c r="AM1613" i="21" s="1"/>
  <c r="AU1613" i="21" s="1"/>
  <c r="AH1565" i="21"/>
  <c r="AT1565" i="21"/>
  <c r="AT1557" i="21"/>
  <c r="AH1557" i="21"/>
  <c r="AT1541" i="21"/>
  <c r="AH1541" i="21"/>
  <c r="AT1525" i="21"/>
  <c r="AH1525" i="21"/>
  <c r="AK1525" i="21"/>
  <c r="AL1525" i="21" s="1"/>
  <c r="AN1525" i="21" s="1"/>
  <c r="AT1517" i="21"/>
  <c r="AH1517" i="21"/>
  <c r="AH1453" i="21"/>
  <c r="AT1453" i="21"/>
  <c r="AK1453" i="21"/>
  <c r="AL1453" i="21" s="1"/>
  <c r="AN1453" i="21" s="1"/>
  <c r="AH1429" i="21"/>
  <c r="AT1429" i="21"/>
  <c r="AT1325" i="21"/>
  <c r="AH1325" i="21"/>
  <c r="AK1317" i="21"/>
  <c r="AL1317" i="21" s="1"/>
  <c r="AN1317" i="21" s="1"/>
  <c r="AT1317" i="21"/>
  <c r="AI1269" i="21"/>
  <c r="AJ1269" i="21" s="1"/>
  <c r="AT1269" i="21"/>
  <c r="AH1269" i="21"/>
  <c r="AT1253" i="21"/>
  <c r="AH1253" i="21"/>
  <c r="AH1744" i="21"/>
  <c r="AJ1744" i="21" s="1"/>
  <c r="AT1744" i="21"/>
  <c r="AH1688" i="21"/>
  <c r="AJ1688" i="21" s="1"/>
  <c r="AT1688" i="21"/>
  <c r="AK1688" i="21"/>
  <c r="AL1688" i="21" s="1"/>
  <c r="AM1688" i="21" s="1"/>
  <c r="AU1688" i="21" s="1"/>
  <c r="AK1680" i="21"/>
  <c r="AL1680" i="21" s="1"/>
  <c r="AM1680" i="21" s="1"/>
  <c r="AU1680" i="21" s="1"/>
  <c r="AT1680" i="21"/>
  <c r="AH1680" i="21"/>
  <c r="AH1600" i="21"/>
  <c r="AT1600" i="21"/>
  <c r="AH1568" i="21"/>
  <c r="AT1568" i="21"/>
  <c r="AI1544" i="21"/>
  <c r="AT1544" i="21"/>
  <c r="AH1544" i="21"/>
  <c r="AH1536" i="21"/>
  <c r="AT1536" i="21"/>
  <c r="AH1488" i="21"/>
  <c r="AT1488" i="21"/>
  <c r="AI1488" i="21"/>
  <c r="AK1488" i="21" s="1"/>
  <c r="AL1488" i="21" s="1"/>
  <c r="AT1440" i="21"/>
  <c r="AH1440" i="21"/>
  <c r="AH1304" i="21"/>
  <c r="AJ1304" i="21" s="1"/>
  <c r="AT1304" i="21"/>
  <c r="AH1288" i="21"/>
  <c r="AT1288" i="21"/>
  <c r="AH1240" i="21"/>
  <c r="AT1240" i="21"/>
  <c r="AT1176" i="21"/>
  <c r="AH1176" i="21"/>
  <c r="AT1687" i="21"/>
  <c r="AH1687" i="21"/>
  <c r="AK1639" i="21"/>
  <c r="AL1639" i="21" s="1"/>
  <c r="AM1639" i="21" s="1"/>
  <c r="AU1639" i="21" s="1"/>
  <c r="AT1639" i="21"/>
  <c r="AH1639" i="21"/>
  <c r="AH1591" i="21"/>
  <c r="AJ1591" i="21" s="1"/>
  <c r="AT1591" i="21"/>
  <c r="AH1656" i="21"/>
  <c r="AT1656" i="21"/>
  <c r="AI1656" i="21"/>
  <c r="AT1783" i="21"/>
  <c r="AH1783" i="21"/>
  <c r="AH1711" i="21"/>
  <c r="AT1711" i="21"/>
  <c r="AH1663" i="21"/>
  <c r="AT1663" i="21"/>
  <c r="AH1631" i="21"/>
  <c r="AT1631" i="21"/>
  <c r="AK1631" i="21"/>
  <c r="AL1631" i="21" s="1"/>
  <c r="AN1631" i="21" s="1"/>
  <c r="AH1559" i="21"/>
  <c r="AT1559" i="21"/>
  <c r="AH1312" i="21"/>
  <c r="AT1312" i="21"/>
  <c r="AM1467" i="21"/>
  <c r="AU1467" i="21" s="1"/>
  <c r="AN1467" i="21"/>
  <c r="AK1746" i="21"/>
  <c r="AL1746" i="21" s="1"/>
  <c r="AN1746" i="21" s="1"/>
  <c r="AT1746" i="21"/>
  <c r="AH1746" i="21"/>
  <c r="AT1738" i="21"/>
  <c r="AH1738" i="21"/>
  <c r="AH1730" i="21"/>
  <c r="AT1730" i="21"/>
  <c r="AK1730" i="21"/>
  <c r="AL1730" i="21" s="1"/>
  <c r="AN1730" i="21" s="1"/>
  <c r="AH1722" i="21"/>
  <c r="AT1722" i="21"/>
  <c r="AI1722" i="21"/>
  <c r="AH1690" i="21"/>
  <c r="AT1690" i="21"/>
  <c r="AH1650" i="21"/>
  <c r="AT1650" i="21"/>
  <c r="AI1650" i="21"/>
  <c r="AH1602" i="21"/>
  <c r="AT1602" i="21"/>
  <c r="AH1546" i="21"/>
  <c r="AT1546" i="21"/>
  <c r="AH1530" i="21"/>
  <c r="AT1530" i="21"/>
  <c r="AH1514" i="21"/>
  <c r="AT1514" i="21"/>
  <c r="AT1474" i="21"/>
  <c r="AH1474" i="21"/>
  <c r="AI1474" i="21"/>
  <c r="AT1466" i="21"/>
  <c r="AH1466" i="21"/>
  <c r="AI1466" i="21"/>
  <c r="AT1458" i="21"/>
  <c r="AI1458" i="21"/>
  <c r="AK1458" i="21" s="1"/>
  <c r="AL1458" i="21" s="1"/>
  <c r="AN1458" i="21" s="1"/>
  <c r="AH1458" i="21"/>
  <c r="AH1434" i="21"/>
  <c r="AT1434" i="21"/>
  <c r="AH1370" i="21"/>
  <c r="AT1370" i="21"/>
  <c r="AH1354" i="21"/>
  <c r="AT1354" i="21"/>
  <c r="AK1354" i="21"/>
  <c r="AL1354" i="21" s="1"/>
  <c r="AN1354" i="21" s="1"/>
  <c r="AT1314" i="21"/>
  <c r="AH1314" i="21"/>
  <c r="AT1306" i="21"/>
  <c r="AI1306" i="21"/>
  <c r="AK1306" i="21" s="1"/>
  <c r="AL1306" i="21" s="1"/>
  <c r="AM1306" i="21" s="1"/>
  <c r="AU1306" i="21" s="1"/>
  <c r="AH1306" i="21"/>
  <c r="AT1298" i="21"/>
  <c r="AK1298" i="21"/>
  <c r="AL1298" i="21" s="1"/>
  <c r="AN1298" i="21" s="1"/>
  <c r="AH1298" i="21"/>
  <c r="AJ1298" i="21" s="1"/>
  <c r="AT1258" i="21"/>
  <c r="AH1258" i="21"/>
  <c r="AH1186" i="21"/>
  <c r="AT1186" i="21"/>
  <c r="AH1381" i="21"/>
  <c r="AT1381" i="21"/>
  <c r="AH1349" i="21"/>
  <c r="AT1349" i="21"/>
  <c r="AH1213" i="21"/>
  <c r="AT1213" i="21"/>
  <c r="AH1173" i="21"/>
  <c r="AT1173" i="21"/>
  <c r="AT1133" i="21"/>
  <c r="AH1133" i="21"/>
  <c r="AT1759" i="21"/>
  <c r="AH1759" i="21"/>
  <c r="AJ1720" i="21"/>
  <c r="AK1720" i="21"/>
  <c r="AL1720" i="21" s="1"/>
  <c r="AM1720" i="21" s="1"/>
  <c r="AU1720" i="21" s="1"/>
  <c r="AH1704" i="21"/>
  <c r="AT1704" i="21"/>
  <c r="AF1668" i="21"/>
  <c r="AS1668" i="21"/>
  <c r="AF1633" i="21"/>
  <c r="AS1633" i="21"/>
  <c r="AH1571" i="21"/>
  <c r="AT1571" i="21"/>
  <c r="AF1543" i="21"/>
  <c r="AS1543" i="21"/>
  <c r="AH1491" i="21"/>
  <c r="AT1491" i="21"/>
  <c r="AS1472" i="21"/>
  <c r="AF1472" i="21"/>
  <c r="AT1459" i="21"/>
  <c r="AI1459" i="21"/>
  <c r="AK1459" i="21" s="1"/>
  <c r="AL1459" i="21" s="1"/>
  <c r="AH1433" i="21"/>
  <c r="AT1433" i="21"/>
  <c r="AJ1376" i="21"/>
  <c r="AK1376" i="21"/>
  <c r="AL1376" i="21" s="1"/>
  <c r="AM1376" i="21" s="1"/>
  <c r="AU1376" i="21" s="1"/>
  <c r="AJ1367" i="21"/>
  <c r="AK1367" i="21"/>
  <c r="AL1367" i="21" s="1"/>
  <c r="AM1367" i="21" s="1"/>
  <c r="AU1367" i="21" s="1"/>
  <c r="AH1350" i="21"/>
  <c r="AT1350" i="21"/>
  <c r="AF1344" i="21"/>
  <c r="AS1344" i="21"/>
  <c r="AK1333" i="21"/>
  <c r="AL1333" i="21" s="1"/>
  <c r="AF1330" i="21"/>
  <c r="AS1330" i="21"/>
  <c r="AS1319" i="21"/>
  <c r="AF1319" i="21"/>
  <c r="AT1307" i="21"/>
  <c r="AH1307" i="21"/>
  <c r="AJ1307" i="21" s="1"/>
  <c r="AK1285" i="21"/>
  <c r="AL1285" i="21" s="1"/>
  <c r="AS1248" i="21"/>
  <c r="AF1248" i="21"/>
  <c r="AF1190" i="21"/>
  <c r="AS1190" i="21"/>
  <c r="AT1780" i="21"/>
  <c r="AH1780" i="21"/>
  <c r="AJ1780" i="21" s="1"/>
  <c r="AH1740" i="21"/>
  <c r="AT1740" i="21"/>
  <c r="AH1724" i="21"/>
  <c r="AT1724" i="21"/>
  <c r="AT1700" i="21"/>
  <c r="AH1700" i="21"/>
  <c r="AT1676" i="21"/>
  <c r="AK1676" i="21"/>
  <c r="AL1676" i="21" s="1"/>
  <c r="AM1676" i="21" s="1"/>
  <c r="AU1676" i="21" s="1"/>
  <c r="AH1636" i="21"/>
  <c r="AT1636" i="21"/>
  <c r="AH1620" i="21"/>
  <c r="AJ1620" i="21" s="1"/>
  <c r="AT1620" i="21"/>
  <c r="AH1572" i="21"/>
  <c r="AT1572" i="21"/>
  <c r="AI1572" i="21"/>
  <c r="AK1572" i="21" s="1"/>
  <c r="AL1572" i="21" s="1"/>
  <c r="AN1572" i="21" s="1"/>
  <c r="AH1556" i="21"/>
  <c r="AJ1556" i="21" s="1"/>
  <c r="AT1556" i="21"/>
  <c r="AK1556" i="21"/>
  <c r="AL1556" i="21" s="1"/>
  <c r="AM1556" i="21" s="1"/>
  <c r="AU1556" i="21" s="1"/>
  <c r="AH1540" i="21"/>
  <c r="AT1540" i="21"/>
  <c r="AH1508" i="21"/>
  <c r="AT1508" i="21"/>
  <c r="AH1476" i="21"/>
  <c r="AT1476" i="21"/>
  <c r="AH1348" i="21"/>
  <c r="AT1348" i="21"/>
  <c r="AH1308" i="21"/>
  <c r="AT1308" i="21"/>
  <c r="AH1300" i="21"/>
  <c r="AJ1300" i="21" s="1"/>
  <c r="AT1300" i="21"/>
  <c r="AH1778" i="21"/>
  <c r="AS1776" i="21"/>
  <c r="AF1776" i="21"/>
  <c r="AF1774" i="21"/>
  <c r="AS1774" i="21"/>
  <c r="AH1770" i="21"/>
  <c r="AK1763" i="21"/>
  <c r="AL1763" i="21" s="1"/>
  <c r="AM1763" i="21" s="1"/>
  <c r="AU1763" i="21" s="1"/>
  <c r="AI1751" i="21"/>
  <c r="AK1751" i="21" s="1"/>
  <c r="AL1751" i="21" s="1"/>
  <c r="AT1751" i="21"/>
  <c r="AH1751" i="21"/>
  <c r="AS1742" i="21"/>
  <c r="AF1742" i="21"/>
  <c r="AH1739" i="21"/>
  <c r="AJ1734" i="21"/>
  <c r="AF1728" i="21"/>
  <c r="AS1728" i="21"/>
  <c r="AF1720" i="21"/>
  <c r="AS1720" i="21"/>
  <c r="AJ1714" i="21"/>
  <c r="AK1714" i="21"/>
  <c r="AL1714" i="21" s="1"/>
  <c r="AN1714" i="21" s="1"/>
  <c r="AF1710" i="21"/>
  <c r="AS1710" i="21"/>
  <c r="AH1691" i="21"/>
  <c r="AT1691" i="21"/>
  <c r="AK1691" i="21"/>
  <c r="AL1691" i="21" s="1"/>
  <c r="AN1691" i="21" s="1"/>
  <c r="AK1682" i="21"/>
  <c r="AL1682" i="21" s="1"/>
  <c r="AM1682" i="21" s="1"/>
  <c r="AU1682" i="21" s="1"/>
  <c r="AF1677" i="21"/>
  <c r="AS1677" i="21"/>
  <c r="AH1671" i="21"/>
  <c r="AT1671" i="21"/>
  <c r="AF1658" i="21"/>
  <c r="AS1658" i="21"/>
  <c r="AK1626" i="21"/>
  <c r="AL1626" i="21" s="1"/>
  <c r="AN1626" i="21" s="1"/>
  <c r="AJ1619" i="21"/>
  <c r="AK1619" i="21"/>
  <c r="AL1619" i="21" s="1"/>
  <c r="AN1619" i="21" s="1"/>
  <c r="AF1607" i="21"/>
  <c r="AS1607" i="21"/>
  <c r="AH1577" i="21"/>
  <c r="AT1577" i="21"/>
  <c r="AI1577" i="21"/>
  <c r="AJ1577" i="21" s="1"/>
  <c r="AJ1573" i="21"/>
  <c r="AK1573" i="21"/>
  <c r="AL1573" i="21" s="1"/>
  <c r="AF1571" i="21"/>
  <c r="AS1571" i="21"/>
  <c r="AF1566" i="21"/>
  <c r="AS1566" i="21"/>
  <c r="AF1563" i="21"/>
  <c r="AS1563" i="21"/>
  <c r="AS1554" i="21"/>
  <c r="AF1554" i="21"/>
  <c r="AH1548" i="21"/>
  <c r="AT1548" i="21"/>
  <c r="AJ1542" i="21"/>
  <c r="AH1529" i="21"/>
  <c r="AT1529" i="21"/>
  <c r="AF1523" i="21"/>
  <c r="AS1523" i="21"/>
  <c r="AF1499" i="21"/>
  <c r="AS1499" i="21"/>
  <c r="AF1482" i="21"/>
  <c r="AS1482" i="21"/>
  <c r="AT1452" i="21"/>
  <c r="AH1452" i="21"/>
  <c r="AH1427" i="21"/>
  <c r="AJ1427" i="21" s="1"/>
  <c r="AT1427" i="21"/>
  <c r="AS1417" i="21"/>
  <c r="AF1417" i="21"/>
  <c r="AS1397" i="21"/>
  <c r="AF1397" i="21"/>
  <c r="AK1383" i="21"/>
  <c r="AL1383" i="21" s="1"/>
  <c r="AN1383" i="21" s="1"/>
  <c r="AH1363" i="21"/>
  <c r="AT1363" i="21"/>
  <c r="AH1346" i="21"/>
  <c r="AH1329" i="21"/>
  <c r="AT1329" i="21"/>
  <c r="AH1323" i="21"/>
  <c r="AT1323" i="21"/>
  <c r="AK1323" i="21"/>
  <c r="AL1323" i="21" s="1"/>
  <c r="AN1323" i="21" s="1"/>
  <c r="AF1295" i="21"/>
  <c r="AH1292" i="21"/>
  <c r="AT1292" i="21"/>
  <c r="AI1292" i="21"/>
  <c r="AK1282" i="21"/>
  <c r="AL1282" i="21" s="1"/>
  <c r="AN1282" i="21" s="1"/>
  <c r="AF1280" i="21"/>
  <c r="AS1280" i="21"/>
  <c r="AF1260" i="21"/>
  <c r="AH1211" i="21"/>
  <c r="AT1211" i="21"/>
  <c r="AH1701" i="21"/>
  <c r="AT1701" i="21"/>
  <c r="AH1645" i="21"/>
  <c r="AT1645" i="21"/>
  <c r="AT1509" i="21"/>
  <c r="AH1509" i="21"/>
  <c r="AH1421" i="21"/>
  <c r="AT1421" i="21"/>
  <c r="AH1389" i="21"/>
  <c r="AT1389" i="21"/>
  <c r="AH1357" i="21"/>
  <c r="AT1357" i="21"/>
  <c r="AK1309" i="21"/>
  <c r="AL1309" i="21" s="1"/>
  <c r="AM1309" i="21" s="1"/>
  <c r="AU1309" i="21" s="1"/>
  <c r="AT1309" i="21"/>
  <c r="AH1309" i="21"/>
  <c r="AJ1309" i="21" s="1"/>
  <c r="AI1261" i="21"/>
  <c r="AK1261" i="21" s="1"/>
  <c r="AL1261" i="21" s="1"/>
  <c r="AT1261" i="21"/>
  <c r="AH1261" i="21"/>
  <c r="AT1221" i="21"/>
  <c r="AH1221" i="21"/>
  <c r="AH1181" i="21"/>
  <c r="AT1181" i="21"/>
  <c r="AH1141" i="21"/>
  <c r="AT1141" i="21"/>
  <c r="AF1725" i="21"/>
  <c r="AS1725" i="21"/>
  <c r="AT1779" i="21"/>
  <c r="AT1775" i="21"/>
  <c r="AH1775" i="21"/>
  <c r="AF1766" i="21"/>
  <c r="AS1766" i="21"/>
  <c r="AS1763" i="21"/>
  <c r="AF1763" i="21"/>
  <c r="AS1761" i="21"/>
  <c r="AF1761" i="21"/>
  <c r="AS1756" i="21"/>
  <c r="AF1756" i="21"/>
  <c r="AK1738" i="21"/>
  <c r="AL1738" i="21" s="1"/>
  <c r="AM1738" i="21" s="1"/>
  <c r="AU1738" i="21" s="1"/>
  <c r="AJ1738" i="21"/>
  <c r="AF1723" i="21"/>
  <c r="AS1723" i="21"/>
  <c r="AF1709" i="21"/>
  <c r="AS1709" i="21"/>
  <c r="AF1706" i="21"/>
  <c r="AS1706" i="21"/>
  <c r="AF1703" i="21"/>
  <c r="AS1703" i="21"/>
  <c r="AJ1699" i="21"/>
  <c r="AK1699" i="21"/>
  <c r="AL1699" i="21" s="1"/>
  <c r="AM1699" i="21" s="1"/>
  <c r="AU1699" i="21" s="1"/>
  <c r="AF1682" i="21"/>
  <c r="AS1682" i="21"/>
  <c r="AT1667" i="21"/>
  <c r="AH1667" i="21"/>
  <c r="AI1660" i="21"/>
  <c r="AJ1660" i="21" s="1"/>
  <c r="AT1660" i="21"/>
  <c r="AF1655" i="21"/>
  <c r="AS1655" i="21"/>
  <c r="AS1652" i="21"/>
  <c r="AF1652" i="21"/>
  <c r="AT1649" i="21"/>
  <c r="AI1649" i="21"/>
  <c r="AK1649" i="21" s="1"/>
  <c r="AL1649" i="21" s="1"/>
  <c r="AM1649" i="21" s="1"/>
  <c r="AU1649" i="21" s="1"/>
  <c r="AH1615" i="21"/>
  <c r="AT1615" i="21"/>
  <c r="AK1615" i="21"/>
  <c r="AL1615" i="21" s="1"/>
  <c r="AN1615" i="21" s="1"/>
  <c r="AF1598" i="21"/>
  <c r="AS1598" i="21"/>
  <c r="AF1593" i="21"/>
  <c r="AS1593" i="21"/>
  <c r="AH1584" i="21"/>
  <c r="AT1584" i="21"/>
  <c r="AF1580" i="21"/>
  <c r="AS1580" i="21"/>
  <c r="AF1569" i="21"/>
  <c r="AS1569" i="21"/>
  <c r="AF1556" i="21"/>
  <c r="AS1556" i="21"/>
  <c r="AF1545" i="21"/>
  <c r="AS1545" i="21"/>
  <c r="AS1532" i="21"/>
  <c r="AF1532" i="21"/>
  <c r="AJ1501" i="21"/>
  <c r="AK1501" i="21"/>
  <c r="AL1501" i="21" s="1"/>
  <c r="AI1423" i="21"/>
  <c r="AJ1423" i="21" s="1"/>
  <c r="AT1423" i="21"/>
  <c r="AT1383" i="21"/>
  <c r="AH1383" i="21"/>
  <c r="AK1375" i="21"/>
  <c r="AL1375" i="21" s="1"/>
  <c r="AN1375" i="21" s="1"/>
  <c r="AK1358" i="21"/>
  <c r="AL1358" i="21" s="1"/>
  <c r="AF1349" i="21"/>
  <c r="AS1349" i="21"/>
  <c r="AH1285" i="21"/>
  <c r="AS1250" i="21"/>
  <c r="AF1250" i="21"/>
  <c r="AS1242" i="21"/>
  <c r="AF1242" i="21"/>
  <c r="AH1777" i="21"/>
  <c r="AJ1777" i="21" s="1"/>
  <c r="AT1777" i="21"/>
  <c r="AH1769" i="21"/>
  <c r="AJ1769" i="21" s="1"/>
  <c r="AT1769" i="21"/>
  <c r="AK1769" i="21"/>
  <c r="AL1769" i="21" s="1"/>
  <c r="AN1769" i="21" s="1"/>
  <c r="AH1729" i="21"/>
  <c r="AT1729" i="21"/>
  <c r="AH1705" i="21"/>
  <c r="AT1705" i="21"/>
  <c r="AH1689" i="21"/>
  <c r="AJ1689" i="21" s="1"/>
  <c r="AT1689" i="21"/>
  <c r="AK1689" i="21"/>
  <c r="AL1689" i="21" s="1"/>
  <c r="AM1689" i="21" s="1"/>
  <c r="AU1689" i="21" s="1"/>
  <c r="AH1681" i="21"/>
  <c r="AT1681" i="21"/>
  <c r="AJ1681" i="21"/>
  <c r="AH1673" i="21"/>
  <c r="AT1673" i="21"/>
  <c r="AH1665" i="21"/>
  <c r="AT1665" i="21"/>
  <c r="AH1641" i="21"/>
  <c r="AT1641" i="21"/>
  <c r="AH1633" i="21"/>
  <c r="AT1633" i="21"/>
  <c r="AH1625" i="21"/>
  <c r="AT1625" i="21"/>
  <c r="AH1617" i="21"/>
  <c r="AT1617" i="21"/>
  <c r="AH1609" i="21"/>
  <c r="AT1609" i="21"/>
  <c r="AH1601" i="21"/>
  <c r="AT1601" i="21"/>
  <c r="AH1569" i="21"/>
  <c r="AT1569" i="21"/>
  <c r="AH1545" i="21"/>
  <c r="AT1545" i="21"/>
  <c r="AH1537" i="21"/>
  <c r="AT1537" i="21"/>
  <c r="AT1505" i="21"/>
  <c r="AH1505" i="21"/>
  <c r="AT1497" i="21"/>
  <c r="AK1497" i="21"/>
  <c r="AL1497" i="21" s="1"/>
  <c r="AN1497" i="21" s="1"/>
  <c r="AH1497" i="21"/>
  <c r="AT1489" i="21"/>
  <c r="AH1489" i="21"/>
  <c r="AH1481" i="21"/>
  <c r="AT1481" i="21"/>
  <c r="AH1441" i="21"/>
  <c r="AT1441" i="21"/>
  <c r="AI1297" i="21"/>
  <c r="AT1297" i="21"/>
  <c r="AH1297" i="21"/>
  <c r="AT1241" i="21"/>
  <c r="AH1241" i="21"/>
  <c r="AH1233" i="21"/>
  <c r="AT1233" i="21"/>
  <c r="AF1786" i="21"/>
  <c r="AS1786" i="21"/>
  <c r="AK1777" i="21"/>
  <c r="AL1777" i="21" s="1"/>
  <c r="AN1777" i="21" s="1"/>
  <c r="AK1762" i="21"/>
  <c r="AL1762" i="21" s="1"/>
  <c r="AM1762" i="21" s="1"/>
  <c r="AU1762" i="21" s="1"/>
  <c r="AH1758" i="21"/>
  <c r="AI1753" i="21"/>
  <c r="AJ1753" i="21" s="1"/>
  <c r="AF1741" i="21"/>
  <c r="AS1741" i="21"/>
  <c r="AS1732" i="21"/>
  <c r="AF1732" i="21"/>
  <c r="AK1729" i="21"/>
  <c r="AL1729" i="21" s="1"/>
  <c r="AF1719" i="21"/>
  <c r="AS1719" i="21"/>
  <c r="AH1716" i="21"/>
  <c r="AT1716" i="21"/>
  <c r="AT1699" i="21"/>
  <c r="AH1699" i="21"/>
  <c r="AF1693" i="21"/>
  <c r="AS1693" i="21"/>
  <c r="AJ1690" i="21"/>
  <c r="AK1690" i="21"/>
  <c r="AL1690" i="21" s="1"/>
  <c r="AN1690" i="21" s="1"/>
  <c r="AT1684" i="21"/>
  <c r="AH1684" i="21"/>
  <c r="AF1670" i="21"/>
  <c r="AS1670" i="21"/>
  <c r="AF1640" i="21"/>
  <c r="AS1640" i="21"/>
  <c r="AH1635" i="21"/>
  <c r="AT1635" i="21"/>
  <c r="AH1628" i="21"/>
  <c r="AT1628" i="21"/>
  <c r="AH1612" i="21"/>
  <c r="AT1612" i="21"/>
  <c r="AF1605" i="21"/>
  <c r="AS1605" i="21"/>
  <c r="AF1597" i="21"/>
  <c r="AS1597" i="21"/>
  <c r="AK1579" i="21"/>
  <c r="AL1579" i="21" s="1"/>
  <c r="AN1579" i="21" s="1"/>
  <c r="AJ1579" i="21"/>
  <c r="AK1555" i="21"/>
  <c r="AL1555" i="21" s="1"/>
  <c r="AN1555" i="21" s="1"/>
  <c r="AJ1555" i="21"/>
  <c r="AF1550" i="21"/>
  <c r="AS1550" i="21"/>
  <c r="AT1547" i="21"/>
  <c r="AH1547" i="21"/>
  <c r="AJ1541" i="21"/>
  <c r="AK1541" i="21"/>
  <c r="AL1541" i="21" s="1"/>
  <c r="AH1501" i="21"/>
  <c r="AF1497" i="21"/>
  <c r="AS1497" i="21"/>
  <c r="AI1476" i="21"/>
  <c r="AF1450" i="21"/>
  <c r="AS1450" i="21"/>
  <c r="AH1419" i="21"/>
  <c r="AT1419" i="21"/>
  <c r="AS1415" i="21"/>
  <c r="AF1415" i="21"/>
  <c r="AJ1409" i="21"/>
  <c r="AK1409" i="21"/>
  <c r="AL1409" i="21" s="1"/>
  <c r="AM1409" i="21" s="1"/>
  <c r="AU1409" i="21" s="1"/>
  <c r="AJ1399" i="21"/>
  <c r="AK1399" i="21"/>
  <c r="AL1399" i="21" s="1"/>
  <c r="AN1399" i="21" s="1"/>
  <c r="AH1372" i="21"/>
  <c r="AT1372" i="21"/>
  <c r="AF1358" i="21"/>
  <c r="AS1358" i="21"/>
  <c r="AI1339" i="21"/>
  <c r="AK1339" i="21" s="1"/>
  <c r="AL1339" i="21" s="1"/>
  <c r="AT1339" i="21"/>
  <c r="AH1339" i="21"/>
  <c r="AF1300" i="21"/>
  <c r="AS1300" i="21"/>
  <c r="AH1709" i="21"/>
  <c r="AT1709" i="21"/>
  <c r="AH1677" i="21"/>
  <c r="AJ1677" i="21" s="1"/>
  <c r="AT1677" i="21"/>
  <c r="AH1589" i="21"/>
  <c r="AT1589" i="21"/>
  <c r="AT1549" i="21"/>
  <c r="AH1549" i="21"/>
  <c r="AH1485" i="21"/>
  <c r="AT1485" i="21"/>
  <c r="AH1445" i="21"/>
  <c r="AT1445" i="21"/>
  <c r="AH1413" i="21"/>
  <c r="AT1413" i="21"/>
  <c r="AH1373" i="21"/>
  <c r="AT1373" i="21"/>
  <c r="AT1333" i="21"/>
  <c r="AH1333" i="21"/>
  <c r="AH1293" i="21"/>
  <c r="AT1293" i="21"/>
  <c r="AT1245" i="21"/>
  <c r="AH1245" i="21"/>
  <c r="AT1205" i="21"/>
  <c r="AH1205" i="21"/>
  <c r="AT1149" i="21"/>
  <c r="AH1149" i="21"/>
  <c r="AI1149" i="21"/>
  <c r="AT1774" i="21"/>
  <c r="AH1774" i="21"/>
  <c r="AJ1658" i="21"/>
  <c r="AK1658" i="21"/>
  <c r="AL1658" i="21" s="1"/>
  <c r="AM1658" i="21" s="1"/>
  <c r="AU1658" i="21" s="1"/>
  <c r="AF1642" i="21"/>
  <c r="AS1642" i="21"/>
  <c r="AH1430" i="21"/>
  <c r="AT1430" i="21"/>
  <c r="AT1523" i="21"/>
  <c r="AH1523" i="21"/>
  <c r="AT1784" i="21"/>
  <c r="AH1784" i="21"/>
  <c r="AT1745" i="21"/>
  <c r="AI1745" i="21"/>
  <c r="AJ1745" i="21" s="1"/>
  <c r="AF1714" i="21"/>
  <c r="AS1714" i="21"/>
  <c r="AH1703" i="21"/>
  <c r="AT1703" i="21"/>
  <c r="AF1688" i="21"/>
  <c r="AS1688" i="21"/>
  <c r="AH1682" i="21"/>
  <c r="AT1682" i="21"/>
  <c r="AH1679" i="21"/>
  <c r="AJ1679" i="21" s="1"/>
  <c r="AT1679" i="21"/>
  <c r="AF1664" i="21"/>
  <c r="AS1664" i="21"/>
  <c r="AH1587" i="21"/>
  <c r="AT1587" i="21"/>
  <c r="AK1587" i="21"/>
  <c r="AL1587" i="21" s="1"/>
  <c r="AM1587" i="21" s="1"/>
  <c r="AU1587" i="21" s="1"/>
  <c r="AH1410" i="21"/>
  <c r="AT1410" i="21"/>
  <c r="AF1363" i="21"/>
  <c r="AS1363" i="21"/>
  <c r="AJ1340" i="21"/>
  <c r="AK1340" i="21"/>
  <c r="AL1340" i="21" s="1"/>
  <c r="AH1332" i="21"/>
  <c r="AT1332" i="21"/>
  <c r="AJ1273" i="21"/>
  <c r="AK1273" i="21"/>
  <c r="AL1273" i="21" s="1"/>
  <c r="AN1273" i="21" s="1"/>
  <c r="AH1714" i="21"/>
  <c r="AT1714" i="21"/>
  <c r="AH1698" i="21"/>
  <c r="AT1698" i="21"/>
  <c r="AH1658" i="21"/>
  <c r="AT1658" i="21"/>
  <c r="AH1642" i="21"/>
  <c r="AT1642" i="21"/>
  <c r="AH1626" i="21"/>
  <c r="AT1626" i="21"/>
  <c r="AH1610" i="21"/>
  <c r="AT1610" i="21"/>
  <c r="AH1586" i="21"/>
  <c r="AT1586" i="21"/>
  <c r="AH1562" i="21"/>
  <c r="AJ1562" i="21" s="1"/>
  <c r="AT1562" i="21"/>
  <c r="AH1498" i="21"/>
  <c r="AT1498" i="21"/>
  <c r="AT1490" i="21"/>
  <c r="AH1490" i="21"/>
  <c r="AI1490" i="21"/>
  <c r="AK1490" i="21" s="1"/>
  <c r="AL1490" i="21" s="1"/>
  <c r="AH1450" i="21"/>
  <c r="AT1450" i="21"/>
  <c r="AH1418" i="21"/>
  <c r="AT1418" i="21"/>
  <c r="AH1402" i="21"/>
  <c r="AT1402" i="21"/>
  <c r="AH1386" i="21"/>
  <c r="AT1386" i="21"/>
  <c r="AH1338" i="21"/>
  <c r="AT1338" i="21"/>
  <c r="AT1322" i="21"/>
  <c r="AH1322" i="21"/>
  <c r="AT1290" i="21"/>
  <c r="AI1290" i="21"/>
  <c r="AT1274" i="21"/>
  <c r="AH1274" i="21"/>
  <c r="AT1242" i="21"/>
  <c r="AH1242" i="21"/>
  <c r="AT1226" i="21"/>
  <c r="AH1226" i="21"/>
  <c r="AT1218" i="21"/>
  <c r="AH1218" i="21"/>
  <c r="AH1202" i="21"/>
  <c r="AT1202" i="21"/>
  <c r="AH1130" i="21"/>
  <c r="AT1130" i="21"/>
  <c r="AH1785" i="21"/>
  <c r="AT1785" i="21"/>
  <c r="AJ1768" i="21"/>
  <c r="AT1768" i="21"/>
  <c r="AK1760" i="21"/>
  <c r="AL1760" i="21" s="1"/>
  <c r="AM1760" i="21" s="1"/>
  <c r="AU1760" i="21" s="1"/>
  <c r="AT1760" i="21"/>
  <c r="AH1760" i="21"/>
  <c r="AJ1760" i="21" s="1"/>
  <c r="AH1728" i="21"/>
  <c r="AT1728" i="21"/>
  <c r="AH1720" i="21"/>
  <c r="AT1720" i="21"/>
  <c r="AH1696" i="21"/>
  <c r="AT1696" i="21"/>
  <c r="AK1672" i="21"/>
  <c r="AL1672" i="21" s="1"/>
  <c r="AN1672" i="21" s="1"/>
  <c r="AT1672" i="21"/>
  <c r="AH1648" i="21"/>
  <c r="AJ1648" i="21" s="1"/>
  <c r="AT1648" i="21"/>
  <c r="AH1640" i="21"/>
  <c r="AT1640" i="21"/>
  <c r="AH1632" i="21"/>
  <c r="AT1632" i="21"/>
  <c r="AH1624" i="21"/>
  <c r="AT1624" i="21"/>
  <c r="AH1616" i="21"/>
  <c r="AT1616" i="21"/>
  <c r="AH1608" i="21"/>
  <c r="AT1608" i="21"/>
  <c r="AH1592" i="21"/>
  <c r="AT1592" i="21"/>
  <c r="AK1592" i="21"/>
  <c r="AL1592" i="21" s="1"/>
  <c r="AM1592" i="21" s="1"/>
  <c r="AU1592" i="21" s="1"/>
  <c r="AI1576" i="21"/>
  <c r="AK1576" i="21" s="1"/>
  <c r="AL1576" i="21" s="1"/>
  <c r="AT1576" i="21"/>
  <c r="AH1576" i="21"/>
  <c r="AT1560" i="21"/>
  <c r="AH1560" i="21"/>
  <c r="AH1472" i="21"/>
  <c r="AT1472" i="21"/>
  <c r="AH1464" i="21"/>
  <c r="AT1464" i="21"/>
  <c r="AI1456" i="21"/>
  <c r="AK1456" i="21" s="1"/>
  <c r="AL1456" i="21" s="1"/>
  <c r="AT1456" i="21"/>
  <c r="AH1448" i="21"/>
  <c r="AT1448" i="21"/>
  <c r="AT1432" i="21"/>
  <c r="AH1432" i="21"/>
  <c r="AT1424" i="21"/>
  <c r="AH1424" i="21"/>
  <c r="AT1416" i="21"/>
  <c r="AH1416" i="21"/>
  <c r="AT1408" i="21"/>
  <c r="AH1408" i="21"/>
  <c r="AT1400" i="21"/>
  <c r="AH1400" i="21"/>
  <c r="AT1392" i="21"/>
  <c r="AH1392" i="21"/>
  <c r="AT1384" i="21"/>
  <c r="AH1384" i="21"/>
  <c r="AT1376" i="21"/>
  <c r="AH1376" i="21"/>
  <c r="AH1368" i="21"/>
  <c r="AT1368" i="21"/>
  <c r="AH1352" i="21"/>
  <c r="AT1352" i="21"/>
  <c r="AH1344" i="21"/>
  <c r="AT1344" i="21"/>
  <c r="AH1328" i="21"/>
  <c r="AT1328" i="21"/>
  <c r="AH1320" i="21"/>
  <c r="AT1320" i="21"/>
  <c r="AI1320" i="21"/>
  <c r="AK1320" i="21" s="1"/>
  <c r="AL1320" i="21" s="1"/>
  <c r="AH1296" i="21"/>
  <c r="AJ1296" i="21" s="1"/>
  <c r="AT1296" i="21"/>
  <c r="AH1280" i="21"/>
  <c r="AT1280" i="21"/>
  <c r="AH1272" i="21"/>
  <c r="AT1272" i="21"/>
  <c r="AH1256" i="21"/>
  <c r="AT1256" i="21"/>
  <c r="AH1248" i="21"/>
  <c r="AT1248" i="21"/>
  <c r="AT1232" i="21"/>
  <c r="AH1232" i="21"/>
  <c r="AT1216" i="21"/>
  <c r="AH1216" i="21"/>
  <c r="AT1208" i="21"/>
  <c r="AH1208" i="21"/>
  <c r="AT1200" i="21"/>
  <c r="AH1200" i="21"/>
  <c r="AH1192" i="21"/>
  <c r="AT1192" i="21"/>
  <c r="AT1184" i="21"/>
  <c r="AH1184" i="21"/>
  <c r="AT1168" i="21"/>
  <c r="AH1168" i="21"/>
  <c r="AT1160" i="21"/>
  <c r="AH1160" i="21"/>
  <c r="AT1152" i="21"/>
  <c r="AI1152" i="21"/>
  <c r="AK1152" i="21" s="1"/>
  <c r="AL1152" i="21" s="1"/>
  <c r="AH1152" i="21"/>
  <c r="AT1144" i="21"/>
  <c r="AH1144" i="21"/>
  <c r="AT1136" i="21"/>
  <c r="AH1136" i="21"/>
  <c r="AH1787" i="21"/>
  <c r="AK1783" i="21"/>
  <c r="AL1783" i="21" s="1"/>
  <c r="AM1783" i="21" s="1"/>
  <c r="AU1783" i="21" s="1"/>
  <c r="AJ1783" i="21"/>
  <c r="AS1781" i="21"/>
  <c r="AF1781" i="21"/>
  <c r="AS1773" i="21"/>
  <c r="AF1773" i="21"/>
  <c r="AF1771" i="21"/>
  <c r="AH1755" i="21"/>
  <c r="AH1753" i="21"/>
  <c r="AS1750" i="21"/>
  <c r="AF1750" i="21"/>
  <c r="AJ1740" i="21"/>
  <c r="AK1740" i="21"/>
  <c r="AL1740" i="21" s="1"/>
  <c r="AN1740" i="21" s="1"/>
  <c r="AK1733" i="21"/>
  <c r="AL1733" i="21" s="1"/>
  <c r="AM1733" i="21" s="1"/>
  <c r="AU1733" i="21" s="1"/>
  <c r="AH1713" i="21"/>
  <c r="AT1713" i="21"/>
  <c r="AH1708" i="21"/>
  <c r="AT1708" i="21"/>
  <c r="AF1699" i="21"/>
  <c r="AS1699" i="21"/>
  <c r="AF1684" i="21"/>
  <c r="AS1684" i="21"/>
  <c r="AF1669" i="21"/>
  <c r="AS1669" i="21"/>
  <c r="AT1657" i="21"/>
  <c r="AH1657" i="21"/>
  <c r="AJ1657" i="21" s="1"/>
  <c r="AH1651" i="21"/>
  <c r="AJ1651" i="21" s="1"/>
  <c r="AT1651" i="21"/>
  <c r="AF1646" i="21"/>
  <c r="AS1646" i="21"/>
  <c r="AF1635" i="21"/>
  <c r="AS1635" i="21"/>
  <c r="AF1628" i="21"/>
  <c r="AS1628" i="21"/>
  <c r="AK1614" i="21"/>
  <c r="AL1614" i="21" s="1"/>
  <c r="AN1614" i="21" s="1"/>
  <c r="AH1604" i="21"/>
  <c r="AT1604" i="21"/>
  <c r="AJ1604" i="21"/>
  <c r="AI1586" i="21"/>
  <c r="AH1579" i="21"/>
  <c r="AT1579" i="21"/>
  <c r="AH1561" i="21"/>
  <c r="AJ1561" i="21" s="1"/>
  <c r="AT1561" i="21"/>
  <c r="AF1559" i="21"/>
  <c r="AS1559" i="21"/>
  <c r="AH1555" i="21"/>
  <c r="AK1549" i="21"/>
  <c r="AL1549" i="21" s="1"/>
  <c r="AN1549" i="21" s="1"/>
  <c r="AF1527" i="21"/>
  <c r="AS1527" i="21"/>
  <c r="AT1521" i="21"/>
  <c r="AH1521" i="21"/>
  <c r="AI1521" i="21"/>
  <c r="AH1486" i="21"/>
  <c r="AF1476" i="21"/>
  <c r="AH1457" i="21"/>
  <c r="AT1457" i="21"/>
  <c r="AF1399" i="21"/>
  <c r="AS1399" i="21"/>
  <c r="AH1385" i="21"/>
  <c r="AT1385" i="21"/>
  <c r="AF1372" i="21"/>
  <c r="AS1372" i="21"/>
  <c r="AF1339" i="21"/>
  <c r="AS1339" i="21"/>
  <c r="AH1275" i="21"/>
  <c r="AT1275" i="21"/>
  <c r="AI1275" i="21"/>
  <c r="AK1275" i="21" s="1"/>
  <c r="AL1275" i="21" s="1"/>
  <c r="AF1232" i="21"/>
  <c r="AS1232" i="21"/>
  <c r="AH1717" i="21"/>
  <c r="AT1717" i="21"/>
  <c r="AH1669" i="21"/>
  <c r="AT1669" i="21"/>
  <c r="AI1669" i="21"/>
  <c r="AH1629" i="21"/>
  <c r="AK1629" i="21"/>
  <c r="AL1629" i="21" s="1"/>
  <c r="AM1629" i="21" s="1"/>
  <c r="AU1629" i="21" s="1"/>
  <c r="AH1581" i="21"/>
  <c r="AT1581" i="21"/>
  <c r="AT1493" i="21"/>
  <c r="AH1493" i="21"/>
  <c r="AI1493" i="21"/>
  <c r="AH1461" i="21"/>
  <c r="AT1461" i="21"/>
  <c r="AH1405" i="21"/>
  <c r="AT1405" i="21"/>
  <c r="AT1301" i="21"/>
  <c r="AH1301" i="21"/>
  <c r="AJ1301" i="21" s="1"/>
  <c r="AK1229" i="21"/>
  <c r="AL1229" i="21" s="1"/>
  <c r="AN1229" i="21" s="1"/>
  <c r="AT1229" i="21"/>
  <c r="AH1229" i="21"/>
  <c r="AT1189" i="21"/>
  <c r="AH1189" i="21"/>
  <c r="AH1157" i="21"/>
  <c r="AT1157" i="21"/>
  <c r="AS1764" i="21"/>
  <c r="AF1764" i="21"/>
  <c r="AH1757" i="21"/>
  <c r="AS1752" i="21"/>
  <c r="AF1752" i="21"/>
  <c r="AS1746" i="21"/>
  <c r="AF1746" i="21"/>
  <c r="AT1737" i="21"/>
  <c r="AH1737" i="21"/>
  <c r="AF1718" i="21"/>
  <c r="AS1718" i="21"/>
  <c r="AH1712" i="21"/>
  <c r="AT1712" i="21"/>
  <c r="AH1707" i="21"/>
  <c r="AT1707" i="21"/>
  <c r="AJ1697" i="21"/>
  <c r="AK1697" i="21"/>
  <c r="AL1697" i="21" s="1"/>
  <c r="AN1697" i="21" s="1"/>
  <c r="AF1689" i="21"/>
  <c r="AS1689" i="21"/>
  <c r="AM1685" i="21"/>
  <c r="AU1685" i="21" s="1"/>
  <c r="AI1747" i="21"/>
  <c r="AJ1747" i="21" s="1"/>
  <c r="AT1747" i="21"/>
  <c r="AI1731" i="21"/>
  <c r="AJ1731" i="21" s="1"/>
  <c r="AT1731" i="21"/>
  <c r="AT1715" i="21"/>
  <c r="AH1715" i="21"/>
  <c r="AH1683" i="21"/>
  <c r="AT1683" i="21"/>
  <c r="AH1659" i="21"/>
  <c r="AJ1659" i="21" s="1"/>
  <c r="AT1659" i="21"/>
  <c r="AH1595" i="21"/>
  <c r="AJ1595" i="21" s="1"/>
  <c r="AT1595" i="21"/>
  <c r="AK1531" i="21"/>
  <c r="AL1531" i="21" s="1"/>
  <c r="AT1531" i="21"/>
  <c r="AH1531" i="21"/>
  <c r="AT1507" i="21"/>
  <c r="AH1507" i="21"/>
  <c r="AT1483" i="21"/>
  <c r="AK1483" i="21"/>
  <c r="AL1483" i="21" s="1"/>
  <c r="AH1467" i="21"/>
  <c r="AJ1467" i="21" s="1"/>
  <c r="AT1467" i="21"/>
  <c r="AH1451" i="21"/>
  <c r="AT1451" i="21"/>
  <c r="AI1451" i="21"/>
  <c r="AJ1451" i="21" s="1"/>
  <c r="AH1435" i="21"/>
  <c r="AT1435" i="21"/>
  <c r="AK1435" i="21"/>
  <c r="AL1435" i="21" s="1"/>
  <c r="AN1435" i="21" s="1"/>
  <c r="AH1387" i="21"/>
  <c r="AT1387" i="21"/>
  <c r="AT1355" i="21"/>
  <c r="AH1355" i="21"/>
  <c r="AH1315" i="21"/>
  <c r="AT1315" i="21"/>
  <c r="AH1761" i="21"/>
  <c r="AT1761" i="21"/>
  <c r="AK1741" i="21"/>
  <c r="AL1741" i="21" s="1"/>
  <c r="AN1741" i="21" s="1"/>
  <c r="AJ1741" i="21"/>
  <c r="AS1739" i="21"/>
  <c r="AF1739" i="21"/>
  <c r="AF1629" i="21"/>
  <c r="AS1629" i="21"/>
  <c r="AF1626" i="21"/>
  <c r="AS1626" i="21"/>
  <c r="AF1619" i="21"/>
  <c r="AS1619" i="21"/>
  <c r="AF1610" i="21"/>
  <c r="AS1610" i="21"/>
  <c r="AH1593" i="21"/>
  <c r="AT1593" i="21"/>
  <c r="AF1577" i="21"/>
  <c r="AS1577" i="21"/>
  <c r="AJ1565" i="21"/>
  <c r="AK1565" i="21"/>
  <c r="AL1565" i="21" s="1"/>
  <c r="AN1565" i="21" s="1"/>
  <c r="AS1560" i="21"/>
  <c r="AF1560" i="21"/>
  <c r="AH1553" i="21"/>
  <c r="AJ1553" i="21" s="1"/>
  <c r="AT1553" i="21"/>
  <c r="AF1548" i="21"/>
  <c r="AS1548" i="21"/>
  <c r="AF1538" i="21"/>
  <c r="AS1538" i="21"/>
  <c r="AF1529" i="21"/>
  <c r="AS1529" i="21"/>
  <c r="AJ1522" i="21"/>
  <c r="AK1522" i="21"/>
  <c r="AL1522" i="21" s="1"/>
  <c r="AM1522" i="21" s="1"/>
  <c r="AU1522" i="21" s="1"/>
  <c r="AT1515" i="21"/>
  <c r="AH1515" i="21"/>
  <c r="AS1502" i="21"/>
  <c r="AF1502" i="21"/>
  <c r="AS1494" i="21"/>
  <c r="AF1494" i="21"/>
  <c r="AS1490" i="21"/>
  <c r="AF1490" i="21"/>
  <c r="AT1436" i="21"/>
  <c r="AK1436" i="21"/>
  <c r="AL1436" i="21" s="1"/>
  <c r="AM1436" i="21" s="1"/>
  <c r="AU1436" i="21" s="1"/>
  <c r="AF1407" i="21"/>
  <c r="AS1407" i="21"/>
  <c r="AF1404" i="21"/>
  <c r="AS1404" i="21"/>
  <c r="AF1355" i="21"/>
  <c r="AS1355" i="21"/>
  <c r="AH1336" i="21"/>
  <c r="AT1336" i="21"/>
  <c r="AJ1147" i="21"/>
  <c r="AK1147" i="21"/>
  <c r="AL1147" i="21" s="1"/>
  <c r="AM1147" i="21" s="1"/>
  <c r="AU1147" i="21" s="1"/>
  <c r="AI1754" i="21"/>
  <c r="AJ1754" i="21" s="1"/>
  <c r="AT1754" i="21"/>
  <c r="AH1706" i="21"/>
  <c r="AT1706" i="21"/>
  <c r="AH1674" i="21"/>
  <c r="AT1674" i="21"/>
  <c r="AH1666" i="21"/>
  <c r="AT1666" i="21"/>
  <c r="AH1634" i="21"/>
  <c r="AT1634" i="21"/>
  <c r="AH1618" i="21"/>
  <c r="AT1618" i="21"/>
  <c r="AH1570" i="21"/>
  <c r="AT1570" i="21"/>
  <c r="AK1570" i="21"/>
  <c r="AL1570" i="21" s="1"/>
  <c r="AN1570" i="21" s="1"/>
  <c r="AH1522" i="21"/>
  <c r="AT1522" i="21"/>
  <c r="AH1506" i="21"/>
  <c r="AT1506" i="21"/>
  <c r="AT1482" i="21"/>
  <c r="AK1482" i="21"/>
  <c r="AL1482" i="21" s="1"/>
  <c r="AM1482" i="21" s="1"/>
  <c r="AU1482" i="21" s="1"/>
  <c r="AH1482" i="21"/>
  <c r="AH1442" i="21"/>
  <c r="AT1442" i="21"/>
  <c r="AH1426" i="21"/>
  <c r="AT1426" i="21"/>
  <c r="AH1394" i="21"/>
  <c r="AT1394" i="21"/>
  <c r="AH1378" i="21"/>
  <c r="AT1378" i="21"/>
  <c r="AH1362" i="21"/>
  <c r="AT1362" i="21"/>
  <c r="AI1362" i="21"/>
  <c r="AJ1362" i="21" s="1"/>
  <c r="AK1330" i="21"/>
  <c r="AL1330" i="21" s="1"/>
  <c r="AM1330" i="21" s="1"/>
  <c r="AU1330" i="21" s="1"/>
  <c r="AT1330" i="21"/>
  <c r="AT1282" i="21"/>
  <c r="AH1282" i="21"/>
  <c r="AT1266" i="21"/>
  <c r="AH1266" i="21"/>
  <c r="AT1250" i="21"/>
  <c r="AI1250" i="21"/>
  <c r="AK1250" i="21" s="1"/>
  <c r="AL1250" i="21" s="1"/>
  <c r="AN1250" i="21" s="1"/>
  <c r="AH1250" i="21"/>
  <c r="AT1234" i="21"/>
  <c r="AH1234" i="21"/>
  <c r="AH1210" i="21"/>
  <c r="AT1210" i="21"/>
  <c r="AH1194" i="21"/>
  <c r="AT1194" i="21"/>
  <c r="AI1194" i="21"/>
  <c r="AJ1194" i="21" s="1"/>
  <c r="AH1178" i="21"/>
  <c r="AT1178" i="21"/>
  <c r="AK1178" i="21"/>
  <c r="AL1178" i="21" s="1"/>
  <c r="AN1178" i="21" s="1"/>
  <c r="AH1743" i="21"/>
  <c r="AT1743" i="21"/>
  <c r="AH1727" i="21"/>
  <c r="AT1727" i="21"/>
  <c r="AH1719" i="21"/>
  <c r="AT1719" i="21"/>
  <c r="AH1695" i="21"/>
  <c r="AT1695" i="21"/>
  <c r="AI1647" i="21"/>
  <c r="AT1647" i="21"/>
  <c r="AH1599" i="21"/>
  <c r="AJ1599" i="21" s="1"/>
  <c r="AT1599" i="21"/>
  <c r="AH1583" i="21"/>
  <c r="AT1583" i="21"/>
  <c r="AI1583" i="21"/>
  <c r="AJ1583" i="21" s="1"/>
  <c r="AK1575" i="21"/>
  <c r="AL1575" i="21" s="1"/>
  <c r="AN1575" i="21" s="1"/>
  <c r="AT1575" i="21"/>
  <c r="AH1567" i="21"/>
  <c r="AT1567" i="21"/>
  <c r="AH1551" i="21"/>
  <c r="AT1551" i="21"/>
  <c r="AK1551" i="21"/>
  <c r="AL1551" i="21" s="1"/>
  <c r="AN1551" i="21" s="1"/>
  <c r="AH1543" i="21"/>
  <c r="AT1543" i="21"/>
  <c r="AI1543" i="21"/>
  <c r="AJ1543" i="21" s="1"/>
  <c r="AT1535" i="21"/>
  <c r="AH1535" i="21"/>
  <c r="AT1527" i="21"/>
  <c r="AH1527" i="21"/>
  <c r="AH1519" i="21"/>
  <c r="AT1519" i="21"/>
  <c r="AT1511" i="21"/>
  <c r="AH1511" i="21"/>
  <c r="AT1495" i="21"/>
  <c r="AH1495" i="21"/>
  <c r="AH1471" i="21"/>
  <c r="AT1471" i="21"/>
  <c r="AI1471" i="21"/>
  <c r="AH1463" i="21"/>
  <c r="AJ1463" i="21" s="1"/>
  <c r="AT1463" i="21"/>
  <c r="AT1455" i="21"/>
  <c r="AI1455" i="21"/>
  <c r="AT1447" i="21"/>
  <c r="AH1447" i="21"/>
  <c r="AH1431" i="21"/>
  <c r="AT1431" i="21"/>
  <c r="AI1415" i="21"/>
  <c r="AK1415" i="21" s="1"/>
  <c r="AL1415" i="21" s="1"/>
  <c r="AT1415" i="21"/>
  <c r="AH1407" i="21"/>
  <c r="AT1407" i="21"/>
  <c r="AK1407" i="21"/>
  <c r="AL1407" i="21" s="1"/>
  <c r="AN1407" i="21" s="1"/>
  <c r="AH1399" i="21"/>
  <c r="AT1399" i="21"/>
  <c r="AH1367" i="21"/>
  <c r="AT1367" i="21"/>
  <c r="AH1351" i="21"/>
  <c r="AT1351" i="21"/>
  <c r="AT1343" i="21"/>
  <c r="AH1343" i="21"/>
  <c r="AH1327" i="21"/>
  <c r="AT1327" i="21"/>
  <c r="AT1319" i="21"/>
  <c r="AH1319" i="21"/>
  <c r="AI1311" i="21"/>
  <c r="AK1311" i="21" s="1"/>
  <c r="AL1311" i="21" s="1"/>
  <c r="AT1311" i="21"/>
  <c r="AH1311" i="21"/>
  <c r="AI1303" i="21"/>
  <c r="AH1303" i="21"/>
  <c r="AT1303" i="21"/>
  <c r="AH1295" i="21"/>
  <c r="AT1295" i="21"/>
  <c r="AT1287" i="21"/>
  <c r="AH1287" i="21"/>
  <c r="AT1279" i="21"/>
  <c r="AH1279" i="21"/>
  <c r="AH1271" i="21"/>
  <c r="AT1271" i="21"/>
  <c r="AH1263" i="21"/>
  <c r="AT1263" i="21"/>
  <c r="AI1255" i="21"/>
  <c r="AJ1255" i="21" s="1"/>
  <c r="AT1255" i="21"/>
  <c r="AH1255" i="21"/>
  <c r="AT1247" i="21"/>
  <c r="AI1247" i="21"/>
  <c r="AH1247" i="21"/>
  <c r="AT1239" i="21"/>
  <c r="AH1239" i="21"/>
  <c r="AH1223" i="21"/>
  <c r="AT1223" i="21"/>
  <c r="AH1207" i="21"/>
  <c r="AT1207" i="21"/>
  <c r="AT1183" i="21"/>
  <c r="AH1183" i="21"/>
  <c r="AT1175" i="21"/>
  <c r="AH1175" i="21"/>
  <c r="AT1167" i="21"/>
  <c r="AK1167" i="21"/>
  <c r="AL1167" i="21" s="1"/>
  <c r="AN1167" i="21" s="1"/>
  <c r="AH1167" i="21"/>
  <c r="AT1159" i="21"/>
  <c r="AH1159" i="21"/>
  <c r="AT1151" i="21"/>
  <c r="AH1151" i="21"/>
  <c r="AT1143" i="21"/>
  <c r="AH1143" i="21"/>
  <c r="AT1135" i="21"/>
  <c r="AH1135" i="21"/>
  <c r="AK1774" i="21"/>
  <c r="AL1774" i="21" s="1"/>
  <c r="AM1774" i="21" s="1"/>
  <c r="AU1774" i="21" s="1"/>
  <c r="AH1768" i="21"/>
  <c r="AH1762" i="21"/>
  <c r="AH1735" i="21"/>
  <c r="AK1715" i="21"/>
  <c r="AL1715" i="21" s="1"/>
  <c r="AN1715" i="21" s="1"/>
  <c r="AS1713" i="21"/>
  <c r="AF1713" i="21"/>
  <c r="AF1708" i="21"/>
  <c r="AS1708" i="21"/>
  <c r="AK1704" i="21"/>
  <c r="AL1704" i="21" s="1"/>
  <c r="AN1704" i="21" s="1"/>
  <c r="AH1692" i="21"/>
  <c r="AT1692" i="21"/>
  <c r="AK1678" i="21"/>
  <c r="AL1678" i="21" s="1"/>
  <c r="AM1678" i="21" s="1"/>
  <c r="AU1678" i="21" s="1"/>
  <c r="AF1675" i="21"/>
  <c r="AS1675" i="21"/>
  <c r="AH1672" i="21"/>
  <c r="AF1666" i="21"/>
  <c r="AS1666" i="21"/>
  <c r="AJ1662" i="21"/>
  <c r="AK1662" i="21"/>
  <c r="AL1662" i="21" s="1"/>
  <c r="AM1662" i="21" s="1"/>
  <c r="AU1662" i="21" s="1"/>
  <c r="AF1659" i="21"/>
  <c r="AS1659" i="21"/>
  <c r="AF1651" i="21"/>
  <c r="AS1651" i="21"/>
  <c r="AF1648" i="21"/>
  <c r="AS1648" i="21"/>
  <c r="AF1637" i="21"/>
  <c r="AS1637" i="21"/>
  <c r="AF1624" i="21"/>
  <c r="AS1624" i="21"/>
  <c r="AJ1617" i="21"/>
  <c r="AK1617" i="21"/>
  <c r="AL1617" i="21" s="1"/>
  <c r="AN1617" i="21" s="1"/>
  <c r="AF1608" i="21"/>
  <c r="AS1608" i="21"/>
  <c r="AF1604" i="21"/>
  <c r="AS1604" i="21"/>
  <c r="AF1575" i="21"/>
  <c r="AS1575" i="21"/>
  <c r="AK1571" i="21"/>
  <c r="AL1571" i="21" s="1"/>
  <c r="AN1571" i="21" s="1"/>
  <c r="AF1568" i="21"/>
  <c r="AS1568" i="21"/>
  <c r="AH1552" i="21"/>
  <c r="AF1534" i="21"/>
  <c r="AS1534" i="21"/>
  <c r="AF1496" i="21"/>
  <c r="AS1496" i="21"/>
  <c r="AF1486" i="21"/>
  <c r="AS1486" i="21"/>
  <c r="AH1483" i="21"/>
  <c r="AH1480" i="21"/>
  <c r="AF1470" i="21"/>
  <c r="AS1470" i="21"/>
  <c r="AF1457" i="21"/>
  <c r="AS1457" i="21"/>
  <c r="AH1449" i="21"/>
  <c r="AT1449" i="21"/>
  <c r="AK1449" i="21"/>
  <c r="AL1449" i="21" s="1"/>
  <c r="AM1449" i="21" s="1"/>
  <c r="AU1449" i="21" s="1"/>
  <c r="AH1443" i="21"/>
  <c r="AT1428" i="21"/>
  <c r="AH1428" i="21"/>
  <c r="AH1377" i="21"/>
  <c r="AT1377" i="21"/>
  <c r="AI1377" i="21"/>
  <c r="AF1357" i="21"/>
  <c r="AS1357" i="21"/>
  <c r="AH1290" i="21"/>
  <c r="AH1765" i="21"/>
  <c r="AT1765" i="21"/>
  <c r="AH1661" i="21"/>
  <c r="AT1661" i="21"/>
  <c r="AH1605" i="21"/>
  <c r="AT1605" i="21"/>
  <c r="AH1573" i="21"/>
  <c r="AT1573" i="21"/>
  <c r="AH1533" i="21"/>
  <c r="AJ1533" i="21" s="1"/>
  <c r="AT1533" i="21"/>
  <c r="AH1477" i="21"/>
  <c r="AT1477" i="21"/>
  <c r="AH1397" i="21"/>
  <c r="AT1397" i="21"/>
  <c r="AT1277" i="21"/>
  <c r="AH1277" i="21"/>
  <c r="AH1237" i="21"/>
  <c r="AT1237" i="21"/>
  <c r="AK1237" i="21"/>
  <c r="AL1237" i="21" s="1"/>
  <c r="AN1237" i="21" s="1"/>
  <c r="AT1197" i="21"/>
  <c r="AH1197" i="21"/>
  <c r="AT1165" i="21"/>
  <c r="AH1165" i="21"/>
  <c r="AF1715" i="21"/>
  <c r="AS1715" i="21"/>
  <c r="AH1710" i="21"/>
  <c r="AT1710" i="21"/>
  <c r="AF1701" i="21"/>
  <c r="AS1701" i="21"/>
  <c r="AF1695" i="21"/>
  <c r="AS1695" i="21"/>
  <c r="AK1623" i="21"/>
  <c r="AL1623" i="21" s="1"/>
  <c r="AN1623" i="21" s="1"/>
  <c r="AT1623" i="21"/>
  <c r="AH1594" i="21"/>
  <c r="AT1594" i="21"/>
  <c r="AK1594" i="21"/>
  <c r="AL1594" i="21" s="1"/>
  <c r="AH1585" i="21"/>
  <c r="AT1585" i="21"/>
  <c r="AK1585" i="21"/>
  <c r="AL1585" i="21" s="1"/>
  <c r="AM1585" i="21" s="1"/>
  <c r="AU1585" i="21" s="1"/>
  <c r="AF1578" i="21"/>
  <c r="AS1578" i="21"/>
  <c r="AH1554" i="21"/>
  <c r="AT1554" i="21"/>
  <c r="AK1554" i="21"/>
  <c r="AL1554" i="21" s="1"/>
  <c r="AM1554" i="21" s="1"/>
  <c r="AU1554" i="21" s="1"/>
  <c r="AS1488" i="21"/>
  <c r="AF1488" i="21"/>
  <c r="AK1477" i="21"/>
  <c r="AL1477" i="21" s="1"/>
  <c r="AF1462" i="21"/>
  <c r="AS1462" i="21"/>
  <c r="AT1771" i="21"/>
  <c r="AK1771" i="21"/>
  <c r="AL1771" i="21" s="1"/>
  <c r="AN1771" i="21" s="1"/>
  <c r="AH1723" i="21"/>
  <c r="AT1723" i="21"/>
  <c r="AH1675" i="21"/>
  <c r="AT1675" i="21"/>
  <c r="AH1619" i="21"/>
  <c r="AT1619" i="21"/>
  <c r="AH1563" i="21"/>
  <c r="AJ1563" i="21" s="1"/>
  <c r="AT1563" i="21"/>
  <c r="AT1539" i="21"/>
  <c r="AH1539" i="21"/>
  <c r="AH1475" i="21"/>
  <c r="AT1475" i="21"/>
  <c r="AH1331" i="21"/>
  <c r="AT1331" i="21"/>
  <c r="AT1259" i="21"/>
  <c r="AH1259" i="21"/>
  <c r="AK1775" i="21"/>
  <c r="AL1775" i="21" s="1"/>
  <c r="AM1775" i="21" s="1"/>
  <c r="AU1775" i="21" s="1"/>
  <c r="AJ1775" i="21"/>
  <c r="AF1770" i="21"/>
  <c r="AS1770" i="21"/>
  <c r="AH1763" i="21"/>
  <c r="AJ1763" i="21" s="1"/>
  <c r="AI1723" i="21"/>
  <c r="AK1723" i="21" s="1"/>
  <c r="AL1723" i="21" s="1"/>
  <c r="AF1717" i="21"/>
  <c r="AS1717" i="21"/>
  <c r="AJ1709" i="21"/>
  <c r="AK1709" i="21"/>
  <c r="AL1709" i="21" s="1"/>
  <c r="AF1700" i="21"/>
  <c r="AS1700" i="21"/>
  <c r="AH1532" i="21"/>
  <c r="AT1532" i="21"/>
  <c r="AK1461" i="21"/>
  <c r="AL1461" i="21" s="1"/>
  <c r="AS1380" i="21"/>
  <c r="AF1380" i="21"/>
  <c r="AH1578" i="21"/>
  <c r="AT1578" i="21"/>
  <c r="AJ1782" i="21"/>
  <c r="AT1782" i="21"/>
  <c r="AH1742" i="21"/>
  <c r="AT1742" i="21"/>
  <c r="AT1734" i="21"/>
  <c r="AH1734" i="21"/>
  <c r="AH1694" i="21"/>
  <c r="AT1694" i="21"/>
  <c r="AH1678" i="21"/>
  <c r="AT1678" i="21"/>
  <c r="AH1622" i="21"/>
  <c r="AT1622" i="21"/>
  <c r="AH1614" i="21"/>
  <c r="AT1614" i="21"/>
  <c r="AH1606" i="21"/>
  <c r="AT1606" i="21"/>
  <c r="AH1598" i="21"/>
  <c r="AJ1598" i="21" s="1"/>
  <c r="AT1598" i="21"/>
  <c r="AH1582" i="21"/>
  <c r="AT1582" i="21"/>
  <c r="AH1574" i="21"/>
  <c r="AT1574" i="21"/>
  <c r="AH1566" i="21"/>
  <c r="AT1566" i="21"/>
  <c r="AH1550" i="21"/>
  <c r="AJ1550" i="21" s="1"/>
  <c r="AT1550" i="21"/>
  <c r="AH1542" i="21"/>
  <c r="AT1542" i="21"/>
  <c r="AH1518" i="21"/>
  <c r="AT1518" i="21"/>
  <c r="AH1510" i="21"/>
  <c r="AT1510" i="21"/>
  <c r="AH1502" i="21"/>
  <c r="AT1502" i="21"/>
  <c r="AH1494" i="21"/>
  <c r="AJ1494" i="21" s="1"/>
  <c r="AT1494" i="21"/>
  <c r="AT1462" i="21"/>
  <c r="AH1462" i="21"/>
  <c r="AJ1462" i="21" s="1"/>
  <c r="AK1462" i="21"/>
  <c r="AL1462" i="21" s="1"/>
  <c r="AN1462" i="21" s="1"/>
  <c r="AH1454" i="21"/>
  <c r="AT1454" i="21"/>
  <c r="AH1446" i="21"/>
  <c r="AT1446" i="21"/>
  <c r="AI1446" i="21"/>
  <c r="AK1446" i="21" s="1"/>
  <c r="AL1446" i="21" s="1"/>
  <c r="AT1438" i="21"/>
  <c r="AH1438" i="21"/>
  <c r="AH1406" i="21"/>
  <c r="AT1406" i="21"/>
  <c r="AH1398" i="21"/>
  <c r="AT1398" i="21"/>
  <c r="AH1390" i="21"/>
  <c r="AT1390" i="21"/>
  <c r="AH1382" i="21"/>
  <c r="AT1382" i="21"/>
  <c r="AH1358" i="21"/>
  <c r="AT1358" i="21"/>
  <c r="AH1342" i="21"/>
  <c r="AT1342" i="21"/>
  <c r="AH1326" i="21"/>
  <c r="AT1326" i="21"/>
  <c r="AT1318" i="21"/>
  <c r="AH1318" i="21"/>
  <c r="AT1310" i="21"/>
  <c r="AH1310" i="21"/>
  <c r="AJ1310" i="21" s="1"/>
  <c r="AT1302" i="21"/>
  <c r="AK1302" i="21"/>
  <c r="AL1302" i="21" s="1"/>
  <c r="AM1302" i="21" s="1"/>
  <c r="AU1302" i="21" s="1"/>
  <c r="AH1302" i="21"/>
  <c r="AJ1302" i="21" s="1"/>
  <c r="AT1294" i="21"/>
  <c r="AH1294" i="21"/>
  <c r="AT1286" i="21"/>
  <c r="AH1286" i="21"/>
  <c r="AK1286" i="21"/>
  <c r="AL1286" i="21" s="1"/>
  <c r="AT1278" i="21"/>
  <c r="AI1278" i="21"/>
  <c r="AH1278" i="21"/>
  <c r="AT1270" i="21"/>
  <c r="AH1270" i="21"/>
  <c r="AT1262" i="21"/>
  <c r="AH1262" i="21"/>
  <c r="AK1262" i="21"/>
  <c r="AL1262" i="21" s="1"/>
  <c r="AM1262" i="21" s="1"/>
  <c r="AU1262" i="21" s="1"/>
  <c r="AT1254" i="21"/>
  <c r="AH1254" i="21"/>
  <c r="AI1254" i="21"/>
  <c r="AT1246" i="21"/>
  <c r="AH1246" i="21"/>
  <c r="AT1238" i="21"/>
  <c r="AK1238" i="21"/>
  <c r="AL1238" i="21" s="1"/>
  <c r="AN1238" i="21" s="1"/>
  <c r="AH1230" i="21"/>
  <c r="AT1230" i="21"/>
  <c r="AT1222" i="21"/>
  <c r="AH1222" i="21"/>
  <c r="AH1198" i="21"/>
  <c r="AT1198" i="21"/>
  <c r="AH1190" i="21"/>
  <c r="AT1190" i="21"/>
  <c r="AH1134" i="21"/>
  <c r="AT1134" i="21"/>
  <c r="AS1783" i="21"/>
  <c r="AF1783" i="21"/>
  <c r="AH1772" i="21"/>
  <c r="AF1768" i="21"/>
  <c r="AK1766" i="21"/>
  <c r="AL1766" i="21" s="1"/>
  <c r="AM1766" i="21" s="1"/>
  <c r="AU1766" i="21" s="1"/>
  <c r="AT1764" i="21"/>
  <c r="AH1764" i="21"/>
  <c r="AF1743" i="21"/>
  <c r="AS1743" i="21"/>
  <c r="AJ1737" i="21"/>
  <c r="AK1737" i="21"/>
  <c r="AL1737" i="21" s="1"/>
  <c r="AM1737" i="21" s="1"/>
  <c r="AU1737" i="21" s="1"/>
  <c r="AH1733" i="21"/>
  <c r="AF1721" i="21"/>
  <c r="AS1721" i="21"/>
  <c r="AF1698" i="21"/>
  <c r="AS1698" i="21"/>
  <c r="AF1692" i="21"/>
  <c r="AS1692" i="21"/>
  <c r="AF1683" i="21"/>
  <c r="AS1683" i="21"/>
  <c r="AJ1674" i="21"/>
  <c r="AS1672" i="21"/>
  <c r="AF1672" i="21"/>
  <c r="AF1662" i="21"/>
  <c r="AS1662" i="21"/>
  <c r="AF1634" i="21"/>
  <c r="AS1634" i="21"/>
  <c r="AH1623" i="21"/>
  <c r="AJ1623" i="21" s="1"/>
  <c r="AF1621" i="21"/>
  <c r="AS1621" i="21"/>
  <c r="AF1617" i="21"/>
  <c r="AS1617" i="21"/>
  <c r="AH1588" i="21"/>
  <c r="AT1588" i="21"/>
  <c r="AF1582" i="21"/>
  <c r="AS1582" i="21"/>
  <c r="AK1560" i="21"/>
  <c r="AL1560" i="21" s="1"/>
  <c r="AN1560" i="21" s="1"/>
  <c r="AJ1557" i="21"/>
  <c r="AK1557" i="21"/>
  <c r="AL1557" i="21" s="1"/>
  <c r="AF1552" i="21"/>
  <c r="AS1549" i="21"/>
  <c r="AF1549" i="21"/>
  <c r="AS1536" i="21"/>
  <c r="AF1536" i="21"/>
  <c r="AF1513" i="21"/>
  <c r="AS1513" i="21"/>
  <c r="AH1503" i="21"/>
  <c r="AI1491" i="21"/>
  <c r="AK1491" i="21" s="1"/>
  <c r="AL1491" i="21" s="1"/>
  <c r="AI1472" i="21"/>
  <c r="AK1472" i="21" s="1"/>
  <c r="AL1472" i="21" s="1"/>
  <c r="AH1459" i="21"/>
  <c r="AF1443" i="21"/>
  <c r="AS1443" i="21"/>
  <c r="AK1433" i="21"/>
  <c r="AL1433" i="21" s="1"/>
  <c r="AM1433" i="21" s="1"/>
  <c r="AU1433" i="21" s="1"/>
  <c r="AF1414" i="21"/>
  <c r="AS1414" i="21"/>
  <c r="AS1405" i="21"/>
  <c r="AF1405" i="21"/>
  <c r="AS1377" i="21"/>
  <c r="AF1377" i="21"/>
  <c r="AF1360" i="21"/>
  <c r="AS1360" i="21"/>
  <c r="AJ1293" i="21"/>
  <c r="AK1293" i="21"/>
  <c r="AL1293" i="21" s="1"/>
  <c r="AN1293" i="21" s="1"/>
  <c r="AF1281" i="21"/>
  <c r="AS1281" i="21"/>
  <c r="AK1277" i="21"/>
  <c r="AL1277" i="21" s="1"/>
  <c r="AM1277" i="21" s="1"/>
  <c r="AU1277" i="21" s="1"/>
  <c r="AF1261" i="21"/>
  <c r="AS1261" i="21"/>
  <c r="AH1203" i="21"/>
  <c r="AT1203" i="21"/>
  <c r="AF1730" i="21"/>
  <c r="AS1730" i="21"/>
  <c r="AF1726" i="21"/>
  <c r="AS1726" i="21"/>
  <c r="AK1718" i="21"/>
  <c r="AL1718" i="21" s="1"/>
  <c r="AF1716" i="21"/>
  <c r="AS1716" i="21"/>
  <c r="AF1704" i="21"/>
  <c r="AS1704" i="21"/>
  <c r="AH1697" i="21"/>
  <c r="AT1697" i="21"/>
  <c r="AF1686" i="21"/>
  <c r="AS1686" i="21"/>
  <c r="AF1671" i="21"/>
  <c r="AS1671" i="21"/>
  <c r="AI1668" i="21"/>
  <c r="AK1668" i="21" s="1"/>
  <c r="AL1668" i="21" s="1"/>
  <c r="AT1668" i="21"/>
  <c r="AF1654" i="21"/>
  <c r="AS1654" i="21"/>
  <c r="AK1651" i="21"/>
  <c r="AL1651" i="21" s="1"/>
  <c r="AN1651" i="21" s="1"/>
  <c r="AH1644" i="21"/>
  <c r="AT1644" i="21"/>
  <c r="AF1631" i="21"/>
  <c r="AS1631" i="21"/>
  <c r="AF1615" i="21"/>
  <c r="AS1615" i="21"/>
  <c r="AF1613" i="21"/>
  <c r="AS1613" i="21"/>
  <c r="AF1600" i="21"/>
  <c r="AS1600" i="21"/>
  <c r="AF1594" i="21"/>
  <c r="AS1594" i="21"/>
  <c r="AF1591" i="21"/>
  <c r="AS1591" i="21"/>
  <c r="AF1587" i="21"/>
  <c r="AS1587" i="21"/>
  <c r="AF1585" i="21"/>
  <c r="AS1585" i="21"/>
  <c r="AF1561" i="21"/>
  <c r="AS1561" i="21"/>
  <c r="AF1547" i="21"/>
  <c r="AS1547" i="21"/>
  <c r="AF1530" i="21"/>
  <c r="AS1530" i="21"/>
  <c r="AF1525" i="21"/>
  <c r="AS1525" i="21"/>
  <c r="AF1521" i="21"/>
  <c r="AS1521" i="21"/>
  <c r="AF1504" i="21"/>
  <c r="AS1504" i="21"/>
  <c r="AF1480" i="21"/>
  <c r="AS1480" i="21"/>
  <c r="AF1478" i="21"/>
  <c r="AS1478" i="21"/>
  <c r="AF1458" i="21"/>
  <c r="AS1458" i="21"/>
  <c r="AF1453" i="21"/>
  <c r="AS1453" i="21"/>
  <c r="AS1437" i="21"/>
  <c r="AF1437" i="21"/>
  <c r="AF1430" i="21"/>
  <c r="AS1430" i="21"/>
  <c r="AF1428" i="21"/>
  <c r="AS1428" i="21"/>
  <c r="AF1420" i="21"/>
  <c r="AS1420" i="21"/>
  <c r="AF1410" i="21"/>
  <c r="AS1410" i="21"/>
  <c r="AS1393" i="21"/>
  <c r="AF1393" i="21"/>
  <c r="AH1388" i="21"/>
  <c r="AF1336" i="21"/>
  <c r="AS1336" i="21"/>
  <c r="AF1333" i="21"/>
  <c r="AS1333" i="21"/>
  <c r="AJ1319" i="21"/>
  <c r="AK1319" i="21"/>
  <c r="AL1319" i="21" s="1"/>
  <c r="AK1304" i="21"/>
  <c r="AL1304" i="21" s="1"/>
  <c r="AM1304" i="21" s="1"/>
  <c r="AU1304" i="21" s="1"/>
  <c r="AK1249" i="21"/>
  <c r="AL1249" i="21" s="1"/>
  <c r="AN1249" i="21" s="1"/>
  <c r="AS1247" i="21"/>
  <c r="AF1247" i="21"/>
  <c r="AS1243" i="21"/>
  <c r="AF1243" i="21"/>
  <c r="AH1131" i="21"/>
  <c r="AH1524" i="21"/>
  <c r="AT1524" i="21"/>
  <c r="AH1500" i="21"/>
  <c r="AT1500" i="21"/>
  <c r="AH1468" i="21"/>
  <c r="AT1468" i="21"/>
  <c r="AI1460" i="21"/>
  <c r="AJ1460" i="21" s="1"/>
  <c r="AT1460" i="21"/>
  <c r="AT1380" i="21"/>
  <c r="AH1380" i="21"/>
  <c r="AH1364" i="21"/>
  <c r="AT1364" i="21"/>
  <c r="AH1340" i="21"/>
  <c r="AT1340" i="21"/>
  <c r="AH1324" i="21"/>
  <c r="AT1324" i="21"/>
  <c r="AH1316" i="21"/>
  <c r="AT1316" i="21"/>
  <c r="AH1284" i="21"/>
  <c r="AT1284" i="21"/>
  <c r="AH1276" i="21"/>
  <c r="AT1276" i="21"/>
  <c r="AH1260" i="21"/>
  <c r="AT1260" i="21"/>
  <c r="AH1252" i="21"/>
  <c r="AT1252" i="21"/>
  <c r="AT1236" i="21"/>
  <c r="AH1236" i="21"/>
  <c r="AT1228" i="21"/>
  <c r="AH1228" i="21"/>
  <c r="AT1212" i="21"/>
  <c r="AI1212" i="21"/>
  <c r="AK1212" i="21" s="1"/>
  <c r="AL1212" i="21" s="1"/>
  <c r="AH1212" i="21"/>
  <c r="AT1204" i="21"/>
  <c r="AH1204" i="21"/>
  <c r="AT1196" i="21"/>
  <c r="AH1196" i="21"/>
  <c r="AH1188" i="21"/>
  <c r="AT1188" i="21"/>
  <c r="AH1180" i="21"/>
  <c r="AT1180" i="21"/>
  <c r="AT1172" i="21"/>
  <c r="AH1172" i="21"/>
  <c r="AT1164" i="21"/>
  <c r="AH1164" i="21"/>
  <c r="AT1156" i="21"/>
  <c r="AH1156" i="21"/>
  <c r="AI1156" i="21"/>
  <c r="AT1140" i="21"/>
  <c r="AH1140" i="21"/>
  <c r="AT1132" i="21"/>
  <c r="AH1132" i="21"/>
  <c r="AK1785" i="21"/>
  <c r="AL1785" i="21" s="1"/>
  <c r="AN1785" i="21" s="1"/>
  <c r="AF1778" i="21"/>
  <c r="AS1778" i="21"/>
  <c r="AF1749" i="21"/>
  <c r="AS1749" i="21"/>
  <c r="AF1745" i="21"/>
  <c r="AS1745" i="21"/>
  <c r="AF1722" i="21"/>
  <c r="AS1722" i="21"/>
  <c r="AK1713" i="21"/>
  <c r="AL1713" i="21" s="1"/>
  <c r="AK1707" i="21"/>
  <c r="AL1707" i="21" s="1"/>
  <c r="AN1707" i="21" s="1"/>
  <c r="AF1690" i="21"/>
  <c r="AS1690" i="21"/>
  <c r="AF1663" i="21"/>
  <c r="AS1663" i="21"/>
  <c r="AF1656" i="21"/>
  <c r="AS1656" i="21"/>
  <c r="AF1653" i="21"/>
  <c r="AF1649" i="21"/>
  <c r="AF1639" i="21"/>
  <c r="AS1639" i="21"/>
  <c r="AF1630" i="21"/>
  <c r="AS1630" i="21"/>
  <c r="AF1623" i="21"/>
  <c r="AS1623" i="21"/>
  <c r="AF1612" i="21"/>
  <c r="AS1612" i="21"/>
  <c r="AF1602" i="21"/>
  <c r="AS1602" i="21"/>
  <c r="AF1596" i="21"/>
  <c r="AS1596" i="21"/>
  <c r="AF1590" i="21"/>
  <c r="AS1590" i="21"/>
  <c r="AF1588" i="21"/>
  <c r="AF1584" i="21"/>
  <c r="AS1584" i="21"/>
  <c r="AF1579" i="21"/>
  <c r="AS1579" i="21"/>
  <c r="AF1565" i="21"/>
  <c r="AS1565" i="21"/>
  <c r="AF1553" i="21"/>
  <c r="AS1553" i="21"/>
  <c r="AF1524" i="21"/>
  <c r="AS1524" i="21"/>
  <c r="AF1517" i="21"/>
  <c r="AS1517" i="21"/>
  <c r="AF1514" i="21"/>
  <c r="AF1512" i="21"/>
  <c r="AS1512" i="21"/>
  <c r="AJ1509" i="21"/>
  <c r="AK1509" i="21"/>
  <c r="AL1509" i="21" s="1"/>
  <c r="AN1509" i="21" s="1"/>
  <c r="AF1491" i="21"/>
  <c r="AF1485" i="21"/>
  <c r="AF1449" i="21"/>
  <c r="AS1449" i="21"/>
  <c r="AK1438" i="21"/>
  <c r="AL1438" i="21" s="1"/>
  <c r="AN1438" i="21" s="1"/>
  <c r="AJ1438" i="21"/>
  <c r="AF1436" i="21"/>
  <c r="AS1436" i="21"/>
  <c r="AF1433" i="21"/>
  <c r="AF1395" i="21"/>
  <c r="AS1395" i="21"/>
  <c r="AF1385" i="21"/>
  <c r="AF1374" i="21"/>
  <c r="AS1374" i="21"/>
  <c r="AF1366" i="21"/>
  <c r="AS1366" i="21"/>
  <c r="AH1356" i="21"/>
  <c r="AF1334" i="21"/>
  <c r="AS1334" i="21"/>
  <c r="AK1289" i="21"/>
  <c r="AL1289" i="21" s="1"/>
  <c r="AM1289" i="21" s="1"/>
  <c r="AU1289" i="21" s="1"/>
  <c r="AF1269" i="21"/>
  <c r="AS1269" i="21"/>
  <c r="AK1265" i="21"/>
  <c r="AL1265" i="21" s="1"/>
  <c r="AN1265" i="21" s="1"/>
  <c r="AH1249" i="21"/>
  <c r="AS1705" i="21"/>
  <c r="AS1618" i="21"/>
  <c r="AS1461" i="21"/>
  <c r="AI1395" i="21"/>
  <c r="AJ1395" i="21" s="1"/>
  <c r="AT1395" i="21"/>
  <c r="AH1379" i="21"/>
  <c r="AT1379" i="21"/>
  <c r="AT1371" i="21"/>
  <c r="AH1371" i="21"/>
  <c r="AH1347" i="21"/>
  <c r="AT1347" i="21"/>
  <c r="AH1299" i="21"/>
  <c r="AJ1299" i="21" s="1"/>
  <c r="AT1299" i="21"/>
  <c r="AT1291" i="21"/>
  <c r="AI1291" i="21"/>
  <c r="AK1291" i="21" s="1"/>
  <c r="AL1291" i="21" s="1"/>
  <c r="AH1291" i="21"/>
  <c r="AH1267" i="21"/>
  <c r="AT1267" i="21"/>
  <c r="AH1251" i="21"/>
  <c r="AT1251" i="21"/>
  <c r="AT1243" i="21"/>
  <c r="AH1243" i="21"/>
  <c r="AH1235" i="21"/>
  <c r="AT1235" i="21"/>
  <c r="AT1195" i="21"/>
  <c r="AH1195" i="21"/>
  <c r="AT1187" i="21"/>
  <c r="AH1187" i="21"/>
  <c r="AT1179" i="21"/>
  <c r="AH1179" i="21"/>
  <c r="AT1171" i="21"/>
  <c r="AH1171" i="21"/>
  <c r="AI1171" i="21"/>
  <c r="AT1163" i="21"/>
  <c r="AH1163" i="21"/>
  <c r="AI1163" i="21"/>
  <c r="AK1163" i="21" s="1"/>
  <c r="AL1163" i="21" s="1"/>
  <c r="AT1155" i="21"/>
  <c r="AH1155" i="21"/>
  <c r="AI1155" i="21"/>
  <c r="AK1155" i="21" s="1"/>
  <c r="AL1155" i="21" s="1"/>
  <c r="AN1155" i="21" s="1"/>
  <c r="AT1147" i="21"/>
  <c r="AH1147" i="21"/>
  <c r="AT1139" i="21"/>
  <c r="AK1139" i="21"/>
  <c r="AL1139" i="21" s="1"/>
  <c r="AM1139" i="21" s="1"/>
  <c r="AU1139" i="21" s="1"/>
  <c r="AF1782" i="21"/>
  <c r="AS1782" i="21"/>
  <c r="AK1773" i="21"/>
  <c r="AL1773" i="21" s="1"/>
  <c r="AM1773" i="21" s="1"/>
  <c r="AU1773" i="21" s="1"/>
  <c r="AK1767" i="21"/>
  <c r="AL1767" i="21" s="1"/>
  <c r="AN1767" i="21" s="1"/>
  <c r="AF1762" i="21"/>
  <c r="AS1762" i="21"/>
  <c r="AF1757" i="21"/>
  <c r="AS1757" i="21"/>
  <c r="AF1753" i="21"/>
  <c r="AS1753" i="21"/>
  <c r="AF1733" i="21"/>
  <c r="AS1733" i="21"/>
  <c r="AF1731" i="21"/>
  <c r="AS1731" i="21"/>
  <c r="AF1727" i="21"/>
  <c r="AS1727" i="21"/>
  <c r="AF1724" i="21"/>
  <c r="AS1724" i="21"/>
  <c r="AK1702" i="21"/>
  <c r="AL1702" i="21" s="1"/>
  <c r="AF1694" i="21"/>
  <c r="AS1694" i="21"/>
  <c r="AF1678" i="21"/>
  <c r="AS1678" i="21"/>
  <c r="AF1676" i="21"/>
  <c r="AS1676" i="21"/>
  <c r="AF1674" i="21"/>
  <c r="AS1674" i="21"/>
  <c r="AF1665" i="21"/>
  <c r="AS1665" i="21"/>
  <c r="AF1661" i="21"/>
  <c r="AS1661" i="21"/>
  <c r="AF1647" i="21"/>
  <c r="AS1647" i="21"/>
  <c r="AK1634" i="21"/>
  <c r="AL1634" i="21" s="1"/>
  <c r="AF1632" i="21"/>
  <c r="AS1632" i="21"/>
  <c r="AK1627" i="21"/>
  <c r="AL1627" i="21" s="1"/>
  <c r="AN1627" i="21" s="1"/>
  <c r="AF1625" i="21"/>
  <c r="AS1625" i="21"/>
  <c r="AF1616" i="21"/>
  <c r="AS1616" i="21"/>
  <c r="AF1614" i="21"/>
  <c r="AS1614" i="21"/>
  <c r="AF1609" i="21"/>
  <c r="AS1609" i="21"/>
  <c r="AF1599" i="21"/>
  <c r="AS1599" i="21"/>
  <c r="AK1589" i="21"/>
  <c r="AL1589" i="21" s="1"/>
  <c r="AN1589" i="21" s="1"/>
  <c r="AF1586" i="21"/>
  <c r="AS1586" i="21"/>
  <c r="AF1581" i="21"/>
  <c r="AS1581" i="21"/>
  <c r="AF1574" i="21"/>
  <c r="AS1574" i="21"/>
  <c r="AF1558" i="21"/>
  <c r="AS1558" i="21"/>
  <c r="AF1555" i="21"/>
  <c r="AS1555" i="21"/>
  <c r="AF1542" i="21"/>
  <c r="AS1542" i="21"/>
  <c r="AK1540" i="21"/>
  <c r="AL1540" i="21" s="1"/>
  <c r="AM1540" i="21" s="1"/>
  <c r="AU1540" i="21" s="1"/>
  <c r="AF1507" i="21"/>
  <c r="AS1507" i="21"/>
  <c r="AF1503" i="21"/>
  <c r="AS1503" i="21"/>
  <c r="AF1501" i="21"/>
  <c r="AS1501" i="21"/>
  <c r="AS1498" i="21"/>
  <c r="AF1498" i="21"/>
  <c r="AF1483" i="21"/>
  <c r="AS1467" i="21"/>
  <c r="AF1467" i="21"/>
  <c r="AS1465" i="21"/>
  <c r="AF1465" i="21"/>
  <c r="AF1454" i="21"/>
  <c r="AS1454" i="21"/>
  <c r="AS1444" i="21"/>
  <c r="AF1444" i="21"/>
  <c r="AF1421" i="21"/>
  <c r="AF1403" i="21"/>
  <c r="AS1403" i="21"/>
  <c r="AF1362" i="21"/>
  <c r="AS1362" i="21"/>
  <c r="AF1356" i="21"/>
  <c r="AS1356" i="21"/>
  <c r="AJ1353" i="21"/>
  <c r="AK1353" i="21"/>
  <c r="AL1353" i="21" s="1"/>
  <c r="AF1297" i="21"/>
  <c r="AS1297" i="21"/>
  <c r="AK1294" i="21"/>
  <c r="AL1294" i="21" s="1"/>
  <c r="AJ1284" i="21"/>
  <c r="AF1277" i="21"/>
  <c r="AS1277" i="21"/>
  <c r="AS1268" i="21"/>
  <c r="AF1268" i="21"/>
  <c r="AF1265" i="21"/>
  <c r="AS1265" i="21"/>
  <c r="AF1257" i="21"/>
  <c r="AS1257" i="21"/>
  <c r="AJ1245" i="21"/>
  <c r="AK1245" i="21"/>
  <c r="AL1245" i="21" s="1"/>
  <c r="AN1245" i="21" s="1"/>
  <c r="AH1220" i="21"/>
  <c r="AS1201" i="21"/>
  <c r="AF1201" i="21"/>
  <c r="AS1164" i="21"/>
  <c r="AF1164" i="21"/>
  <c r="AJ1160" i="21"/>
  <c r="AK1160" i="21"/>
  <c r="AL1160" i="21" s="1"/>
  <c r="AN1160" i="21" s="1"/>
  <c r="AH1139" i="21"/>
  <c r="AF1592" i="21"/>
  <c r="AS1592" i="21"/>
  <c r="AK1547" i="21"/>
  <c r="AL1547" i="21" s="1"/>
  <c r="AM1547" i="21" s="1"/>
  <c r="AU1547" i="21" s="1"/>
  <c r="AF1537" i="21"/>
  <c r="AS1537" i="21"/>
  <c r="AF1533" i="21"/>
  <c r="AS1533" i="21"/>
  <c r="AF1519" i="21"/>
  <c r="AS1519" i="21"/>
  <c r="AF1516" i="21"/>
  <c r="AS1516" i="21"/>
  <c r="AF1509" i="21"/>
  <c r="AS1509" i="21"/>
  <c r="AF1505" i="21"/>
  <c r="AS1505" i="21"/>
  <c r="AF1500" i="21"/>
  <c r="AS1500" i="21"/>
  <c r="AS1487" i="21"/>
  <c r="AF1487" i="21"/>
  <c r="AI1484" i="21"/>
  <c r="AK1484" i="21" s="1"/>
  <c r="AL1484" i="21" s="1"/>
  <c r="AM1484" i="21" s="1"/>
  <c r="AU1484" i="21" s="1"/>
  <c r="AT1484" i="21"/>
  <c r="AF1481" i="21"/>
  <c r="AS1481" i="21"/>
  <c r="AS1475" i="21"/>
  <c r="AF1475" i="21"/>
  <c r="AF1451" i="21"/>
  <c r="AS1451" i="21"/>
  <c r="AF1446" i="21"/>
  <c r="AS1446" i="21"/>
  <c r="AF1431" i="21"/>
  <c r="AS1431" i="21"/>
  <c r="AJ1428" i="21"/>
  <c r="AK1428" i="21"/>
  <c r="AL1428" i="21" s="1"/>
  <c r="AS1416" i="21"/>
  <c r="AF1416" i="21"/>
  <c r="AS1413" i="21"/>
  <c r="AF1413" i="21"/>
  <c r="AF1406" i="21"/>
  <c r="AS1406" i="21"/>
  <c r="AK1394" i="21"/>
  <c r="AL1394" i="21" s="1"/>
  <c r="AM1394" i="21" s="1"/>
  <c r="AU1394" i="21" s="1"/>
  <c r="AJ1391" i="21"/>
  <c r="AK1391" i="21"/>
  <c r="AL1391" i="21" s="1"/>
  <c r="AN1391" i="21" s="1"/>
  <c r="AJ1384" i="21"/>
  <c r="AK1384" i="21"/>
  <c r="AL1384" i="21" s="1"/>
  <c r="AM1384" i="21" s="1"/>
  <c r="AU1384" i="21" s="1"/>
  <c r="AF1382" i="21"/>
  <c r="AS1382" i="21"/>
  <c r="AF1379" i="21"/>
  <c r="AS1379" i="21"/>
  <c r="AS1371" i="21"/>
  <c r="AF1371" i="21"/>
  <c r="AH1353" i="21"/>
  <c r="AT1353" i="21"/>
  <c r="AF1351" i="21"/>
  <c r="AS1351" i="21"/>
  <c r="AF1341" i="21"/>
  <c r="AS1341" i="21"/>
  <c r="AJ1325" i="21"/>
  <c r="AK1325" i="21"/>
  <c r="AL1325" i="21" s="1"/>
  <c r="AN1325" i="21" s="1"/>
  <c r="AF1308" i="21"/>
  <c r="AS1308" i="21"/>
  <c r="AK1276" i="21"/>
  <c r="AL1276" i="21" s="1"/>
  <c r="AN1276" i="21" s="1"/>
  <c r="AJ1276" i="21"/>
  <c r="AS1274" i="21"/>
  <c r="AF1274" i="21"/>
  <c r="AS1271" i="21"/>
  <c r="AF1271" i="21"/>
  <c r="AS1254" i="21"/>
  <c r="AF1254" i="21"/>
  <c r="AK1235" i="21"/>
  <c r="AL1235" i="21" s="1"/>
  <c r="AM1235" i="21" s="1"/>
  <c r="AU1235" i="21" s="1"/>
  <c r="AJ1200" i="21"/>
  <c r="AK1200" i="21"/>
  <c r="AL1200" i="21" s="1"/>
  <c r="AN1200" i="21" s="1"/>
  <c r="AS1737" i="21"/>
  <c r="AK1648" i="21"/>
  <c r="AL1648" i="21" s="1"/>
  <c r="AN1648" i="21" s="1"/>
  <c r="AF1645" i="21"/>
  <c r="AS1645" i="21"/>
  <c r="AK1643" i="21"/>
  <c r="AL1643" i="21" s="1"/>
  <c r="AN1643" i="21" s="1"/>
  <c r="AT1643" i="21"/>
  <c r="AH1627" i="21"/>
  <c r="AT1627" i="21"/>
  <c r="AF1620" i="21"/>
  <c r="AS1620" i="21"/>
  <c r="AH1611" i="21"/>
  <c r="AT1611" i="21"/>
  <c r="AF1606" i="21"/>
  <c r="AS1606" i="21"/>
  <c r="AH1603" i="21"/>
  <c r="AJ1603" i="21" s="1"/>
  <c r="AT1603" i="21"/>
  <c r="AF1601" i="21"/>
  <c r="AS1601" i="21"/>
  <c r="AF1595" i="21"/>
  <c r="AS1595" i="21"/>
  <c r="AK1578" i="21"/>
  <c r="AL1578" i="21" s="1"/>
  <c r="AN1578" i="21" s="1"/>
  <c r="AF1576" i="21"/>
  <c r="AS1576" i="21"/>
  <c r="AH1564" i="21"/>
  <c r="AT1564" i="21"/>
  <c r="AT1513" i="21"/>
  <c r="AI1513" i="21"/>
  <c r="AK1513" i="21" s="1"/>
  <c r="AL1513" i="21" s="1"/>
  <c r="AM1513" i="21" s="1"/>
  <c r="AU1513" i="21" s="1"/>
  <c r="AH1425" i="21"/>
  <c r="AT1425" i="21"/>
  <c r="AH1417" i="21"/>
  <c r="AT1417" i="21"/>
  <c r="AH1409" i="21"/>
  <c r="AT1409" i="21"/>
  <c r="AH1401" i="21"/>
  <c r="AT1401" i="21"/>
  <c r="AH1393" i="21"/>
  <c r="AT1393" i="21"/>
  <c r="AH1361" i="21"/>
  <c r="AT1361" i="21"/>
  <c r="AH1345" i="21"/>
  <c r="AT1345" i="21"/>
  <c r="AH1337" i="21"/>
  <c r="AT1337" i="21"/>
  <c r="AK1337" i="21"/>
  <c r="AL1337" i="21" s="1"/>
  <c r="AN1337" i="21" s="1"/>
  <c r="AK1313" i="21"/>
  <c r="AL1313" i="21" s="1"/>
  <c r="AT1313" i="21"/>
  <c r="AH1305" i="21"/>
  <c r="AJ1305" i="21" s="1"/>
  <c r="AT1305" i="21"/>
  <c r="AT1281" i="21"/>
  <c r="AH1281" i="21"/>
  <c r="AT1273" i="21"/>
  <c r="AH1273" i="21"/>
  <c r="AT1265" i="21"/>
  <c r="AH1265" i="21"/>
  <c r="AT1257" i="21"/>
  <c r="AH1257" i="21"/>
  <c r="AT1217" i="21"/>
  <c r="AH1217" i="21"/>
  <c r="AH1209" i="21"/>
  <c r="AT1209" i="21"/>
  <c r="AT1201" i="21"/>
  <c r="AH1201" i="21"/>
  <c r="AK1201" i="21"/>
  <c r="AL1201" i="21" s="1"/>
  <c r="AN1201" i="21" s="1"/>
  <c r="AT1193" i="21"/>
  <c r="AI1193" i="21"/>
  <c r="AH1193" i="21"/>
  <c r="AT1185" i="21"/>
  <c r="AH1185" i="21"/>
  <c r="AT1177" i="21"/>
  <c r="AH1177" i="21"/>
  <c r="AH1169" i="21"/>
  <c r="AT1169" i="21"/>
  <c r="AH1161" i="21"/>
  <c r="AT1161" i="21"/>
  <c r="AH1153" i="21"/>
  <c r="AT1153" i="21"/>
  <c r="AH1145" i="21"/>
  <c r="AT1145" i="21"/>
  <c r="AH1137" i="21"/>
  <c r="AT1137" i="21"/>
  <c r="AK1787" i="21"/>
  <c r="AL1787" i="21" s="1"/>
  <c r="AN1787" i="21" s="1"/>
  <c r="AK1781" i="21"/>
  <c r="AL1781" i="21" s="1"/>
  <c r="AN1781" i="21" s="1"/>
  <c r="AK1761" i="21"/>
  <c r="AL1761" i="21" s="1"/>
  <c r="AN1761" i="21" s="1"/>
  <c r="AF1744" i="21"/>
  <c r="AS1744" i="21"/>
  <c r="AF1711" i="21"/>
  <c r="AS1711" i="21"/>
  <c r="AF1702" i="21"/>
  <c r="AS1702" i="21"/>
  <c r="AF1691" i="21"/>
  <c r="AS1691" i="21"/>
  <c r="AF1687" i="21"/>
  <c r="AS1687" i="21"/>
  <c r="AF1679" i="21"/>
  <c r="AS1679" i="21"/>
  <c r="AF1667" i="21"/>
  <c r="AS1667" i="21"/>
  <c r="AF1660" i="21"/>
  <c r="AS1660" i="21"/>
  <c r="AF1657" i="21"/>
  <c r="AS1657" i="21"/>
  <c r="AF1650" i="21"/>
  <c r="AS1650" i="21"/>
  <c r="AF1643" i="21"/>
  <c r="AS1643" i="21"/>
  <c r="AF1638" i="21"/>
  <c r="AS1638" i="21"/>
  <c r="AF1627" i="21"/>
  <c r="AS1627" i="21"/>
  <c r="AF1622" i="21"/>
  <c r="AS1622" i="21"/>
  <c r="AF1611" i="21"/>
  <c r="AS1611" i="21"/>
  <c r="AF1603" i="21"/>
  <c r="AS1603" i="21"/>
  <c r="AF1583" i="21"/>
  <c r="AS1583" i="21"/>
  <c r="AF1564" i="21"/>
  <c r="AS1564" i="21"/>
  <c r="AK1552" i="21"/>
  <c r="AL1552" i="21" s="1"/>
  <c r="AF1551" i="21"/>
  <c r="AS1551" i="21"/>
  <c r="AF1539" i="21"/>
  <c r="AS1539" i="21"/>
  <c r="AH1513" i="21"/>
  <c r="AF1511" i="21"/>
  <c r="AS1511" i="21"/>
  <c r="AF1495" i="21"/>
  <c r="AS1495" i="21"/>
  <c r="AF1493" i="21"/>
  <c r="AS1493" i="21"/>
  <c r="AF1484" i="21"/>
  <c r="AS1484" i="21"/>
  <c r="AK1478" i="21"/>
  <c r="AL1478" i="21" s="1"/>
  <c r="AN1478" i="21" s="1"/>
  <c r="AS1477" i="21"/>
  <c r="AF1477" i="21"/>
  <c r="AI1468" i="21"/>
  <c r="AK1468" i="21" s="1"/>
  <c r="AL1468" i="21" s="1"/>
  <c r="AF1448" i="21"/>
  <c r="AS1448" i="21"/>
  <c r="AK1443" i="21"/>
  <c r="AL1443" i="21" s="1"/>
  <c r="AM1443" i="21" s="1"/>
  <c r="AU1443" i="21" s="1"/>
  <c r="AF1438" i="21"/>
  <c r="AS1438" i="21"/>
  <c r="AF1426" i="21"/>
  <c r="AS1426" i="21"/>
  <c r="AF1394" i="21"/>
  <c r="AS1394" i="21"/>
  <c r="AF1337" i="21"/>
  <c r="AS1337" i="21"/>
  <c r="AH1289" i="21"/>
  <c r="AS1284" i="21"/>
  <c r="AF1284" i="21"/>
  <c r="AK1281" i="21"/>
  <c r="AL1281" i="21" s="1"/>
  <c r="AN1281" i="21" s="1"/>
  <c r="AS1267" i="21"/>
  <c r="AF1267" i="21"/>
  <c r="AJ1253" i="21"/>
  <c r="AK1253" i="21"/>
  <c r="AL1253" i="21" s="1"/>
  <c r="AS1251" i="21"/>
  <c r="AF1251" i="21"/>
  <c r="AS1244" i="21"/>
  <c r="AF1244" i="21"/>
  <c r="AS1229" i="21"/>
  <c r="AF1229" i="21"/>
  <c r="AS1219" i="21"/>
  <c r="AF1219" i="21"/>
  <c r="AF1398" i="21"/>
  <c r="AS1398" i="21"/>
  <c r="AF1396" i="21"/>
  <c r="AS1396" i="21"/>
  <c r="AF1390" i="21"/>
  <c r="AS1390" i="21"/>
  <c r="AF1386" i="21"/>
  <c r="AS1386" i="21"/>
  <c r="AK1382" i="21"/>
  <c r="AL1382" i="21" s="1"/>
  <c r="AM1382" i="21" s="1"/>
  <c r="AU1382" i="21" s="1"/>
  <c r="AF1378" i="21"/>
  <c r="AS1378" i="21"/>
  <c r="AF1367" i="21"/>
  <c r="AS1367" i="21"/>
  <c r="AF1364" i="21"/>
  <c r="AS1364" i="21"/>
  <c r="AF1359" i="21"/>
  <c r="AS1359" i="21"/>
  <c r="AF1347" i="21"/>
  <c r="AS1347" i="21"/>
  <c r="AF1345" i="21"/>
  <c r="AS1345" i="21"/>
  <c r="AK1314" i="21"/>
  <c r="AL1314" i="21" s="1"/>
  <c r="AF1302" i="21"/>
  <c r="AS1302" i="21"/>
  <c r="AF1293" i="21"/>
  <c r="AS1293" i="21"/>
  <c r="AF1289" i="21"/>
  <c r="AS1289" i="21"/>
  <c r="AF1285" i="21"/>
  <c r="AS1285" i="21"/>
  <c r="AK1260" i="21"/>
  <c r="AL1260" i="21" s="1"/>
  <c r="AM1260" i="21" s="1"/>
  <c r="AU1260" i="21" s="1"/>
  <c r="AJ1260" i="21"/>
  <c r="AF1245" i="21"/>
  <c r="AS1245" i="21"/>
  <c r="AK1242" i="21"/>
  <c r="AL1242" i="21" s="1"/>
  <c r="AM1242" i="21" s="1"/>
  <c r="AU1242" i="21" s="1"/>
  <c r="AK1236" i="21"/>
  <c r="AL1236" i="21" s="1"/>
  <c r="AN1236" i="21" s="1"/>
  <c r="AS1234" i="21"/>
  <c r="AF1234" i="21"/>
  <c r="AK1232" i="21"/>
  <c r="AL1232" i="21" s="1"/>
  <c r="AS1198" i="21"/>
  <c r="AF1198" i="21"/>
  <c r="AF1171" i="21"/>
  <c r="AS1171" i="21"/>
  <c r="AJ1151" i="21"/>
  <c r="AK1151" i="21"/>
  <c r="AL1151" i="21" s="1"/>
  <c r="AN1151" i="21" s="1"/>
  <c r="AF1135" i="21"/>
  <c r="AS1135" i="21"/>
  <c r="AF1384" i="21"/>
  <c r="AS1384" i="21"/>
  <c r="AF1361" i="21"/>
  <c r="AS1361" i="21"/>
  <c r="AF1328" i="21"/>
  <c r="AS1328" i="21"/>
  <c r="AF1313" i="21"/>
  <c r="AS1313" i="21"/>
  <c r="AF1309" i="21"/>
  <c r="AS1309" i="21"/>
  <c r="AF1305" i="21"/>
  <c r="AS1305" i="21"/>
  <c r="AF1273" i="21"/>
  <c r="AS1273" i="21"/>
  <c r="AK1248" i="21"/>
  <c r="AL1248" i="21" s="1"/>
  <c r="AM1248" i="21" s="1"/>
  <c r="AU1248" i="21" s="1"/>
  <c r="AJ1248" i="21"/>
  <c r="AF1226" i="21"/>
  <c r="AS1226" i="21"/>
  <c r="AF1212" i="21"/>
  <c r="AS1212" i="21"/>
  <c r="AF1207" i="21"/>
  <c r="AS1207" i="21"/>
  <c r="AF1204" i="21"/>
  <c r="AS1204" i="21"/>
  <c r="AJ1197" i="21"/>
  <c r="AK1197" i="21"/>
  <c r="AL1197" i="21" s="1"/>
  <c r="AN1197" i="21" s="1"/>
  <c r="AF1187" i="21"/>
  <c r="AS1187" i="21"/>
  <c r="AF1143" i="21"/>
  <c r="AS1143" i="21"/>
  <c r="AS1376" i="21"/>
  <c r="AS1515" i="21"/>
  <c r="AF1317" i="21"/>
  <c r="AS1317" i="21"/>
  <c r="AF1288" i="21"/>
  <c r="AS1288" i="21"/>
  <c r="AK1270" i="21"/>
  <c r="AL1270" i="21" s="1"/>
  <c r="AM1270" i="21" s="1"/>
  <c r="AU1270" i="21" s="1"/>
  <c r="AK1256" i="21"/>
  <c r="AL1256" i="21" s="1"/>
  <c r="AM1256" i="21" s="1"/>
  <c r="AU1256" i="21" s="1"/>
  <c r="AF1253" i="21"/>
  <c r="AS1253" i="21"/>
  <c r="AS1225" i="21"/>
  <c r="AF1225" i="21"/>
  <c r="AF1200" i="21"/>
  <c r="AS1200" i="21"/>
  <c r="AJ1196" i="21"/>
  <c r="AK1196" i="21"/>
  <c r="AL1196" i="21" s="1"/>
  <c r="AN1196" i="21" s="1"/>
  <c r="AJ1175" i="21"/>
  <c r="AK1175" i="21"/>
  <c r="AL1175" i="21" s="1"/>
  <c r="AS1169" i="21"/>
  <c r="AF1169" i="21"/>
  <c r="AF1131" i="21"/>
  <c r="AS1131" i="21"/>
  <c r="AF1528" i="21"/>
  <c r="AS1528" i="21"/>
  <c r="AF1508" i="21"/>
  <c r="AS1508" i="21"/>
  <c r="AF1466" i="21"/>
  <c r="AS1466" i="21"/>
  <c r="AK1442" i="21"/>
  <c r="AL1442" i="21" s="1"/>
  <c r="AN1442" i="21" s="1"/>
  <c r="AF1439" i="21"/>
  <c r="AS1439" i="21"/>
  <c r="AF1435" i="21"/>
  <c r="AS1435" i="21"/>
  <c r="AF1423" i="21"/>
  <c r="AS1423" i="21"/>
  <c r="AF1418" i="21"/>
  <c r="AS1418" i="21"/>
  <c r="AF1408" i="21"/>
  <c r="AS1408" i="21"/>
  <c r="AF1402" i="21"/>
  <c r="AS1402" i="21"/>
  <c r="AF1391" i="21"/>
  <c r="AS1391" i="21"/>
  <c r="AF1387" i="21"/>
  <c r="AS1387" i="21"/>
  <c r="AK1373" i="21"/>
  <c r="AL1373" i="21" s="1"/>
  <c r="AF1370" i="21"/>
  <c r="AS1370" i="21"/>
  <c r="AF1365" i="21"/>
  <c r="AS1365" i="21"/>
  <c r="AF1348" i="21"/>
  <c r="AS1348" i="21"/>
  <c r="AF1329" i="21"/>
  <c r="AS1329" i="21"/>
  <c r="AF1325" i="21"/>
  <c r="AS1325" i="21"/>
  <c r="AF1321" i="21"/>
  <c r="AS1321" i="21"/>
  <c r="AF1310" i="21"/>
  <c r="AS1310" i="21"/>
  <c r="AF1272" i="21"/>
  <c r="AS1272" i="21"/>
  <c r="AF1256" i="21"/>
  <c r="AS1256" i="21"/>
  <c r="AK1241" i="21"/>
  <c r="AL1241" i="21" s="1"/>
  <c r="AN1241" i="21" s="1"/>
  <c r="AF1235" i="21"/>
  <c r="AS1235" i="21"/>
  <c r="AF1216" i="21"/>
  <c r="AS1216" i="21"/>
  <c r="AK1168" i="21"/>
  <c r="AL1168" i="21" s="1"/>
  <c r="AM1168" i="21" s="1"/>
  <c r="AU1168" i="21" s="1"/>
  <c r="AJ1168" i="21"/>
  <c r="AJ1159" i="21"/>
  <c r="AK1159" i="21"/>
  <c r="AL1159" i="21" s="1"/>
  <c r="AM1159" i="21" s="1"/>
  <c r="AU1159" i="21" s="1"/>
  <c r="AS1153" i="21"/>
  <c r="AF1153" i="21"/>
  <c r="AF1193" i="21"/>
  <c r="AS1193" i="21"/>
  <c r="AS1156" i="21"/>
  <c r="AF1156" i="21"/>
  <c r="AF1138" i="21"/>
  <c r="AS1138" i="21"/>
  <c r="AS1162" i="21"/>
  <c r="AF1535" i="21"/>
  <c r="AS1535" i="21"/>
  <c r="AF1531" i="21"/>
  <c r="AS1531" i="21"/>
  <c r="AF1489" i="21"/>
  <c r="AS1489" i="21"/>
  <c r="AF1474" i="21"/>
  <c r="AS1474" i="21"/>
  <c r="AF1452" i="21"/>
  <c r="AS1452" i="21"/>
  <c r="AF1442" i="21"/>
  <c r="AS1442" i="21"/>
  <c r="AF1440" i="21"/>
  <c r="AS1440" i="21"/>
  <c r="AF1434" i="21"/>
  <c r="AS1434" i="21"/>
  <c r="AF1432" i="21"/>
  <c r="AS1432" i="21"/>
  <c r="AF1427" i="21"/>
  <c r="AS1427" i="21"/>
  <c r="AF1422" i="21"/>
  <c r="AS1422" i="21"/>
  <c r="AK1401" i="21"/>
  <c r="AL1401" i="21" s="1"/>
  <c r="AF1400" i="21"/>
  <c r="AS1400" i="21"/>
  <c r="AF1392" i="21"/>
  <c r="AS1392" i="21"/>
  <c r="AF1383" i="21"/>
  <c r="AS1383" i="21"/>
  <c r="AF1375" i="21"/>
  <c r="AS1375" i="21"/>
  <c r="AF1373" i="21"/>
  <c r="AF1369" i="21"/>
  <c r="AK1357" i="21"/>
  <c r="AL1357" i="21" s="1"/>
  <c r="AN1357" i="21" s="1"/>
  <c r="AK1355" i="21"/>
  <c r="AL1355" i="21" s="1"/>
  <c r="AN1355" i="21" s="1"/>
  <c r="AF1354" i="21"/>
  <c r="AS1354" i="21"/>
  <c r="AF1350" i="21"/>
  <c r="AS1350" i="21"/>
  <c r="AK1343" i="21"/>
  <c r="AL1343" i="21" s="1"/>
  <c r="AF1342" i="21"/>
  <c r="AS1342" i="21"/>
  <c r="AF1335" i="21"/>
  <c r="AF1331" i="21"/>
  <c r="AS1331" i="21"/>
  <c r="AK1328" i="21"/>
  <c r="AL1328" i="21" s="1"/>
  <c r="AM1328" i="21" s="1"/>
  <c r="AU1328" i="21" s="1"/>
  <c r="AF1326" i="21"/>
  <c r="AS1326" i="21"/>
  <c r="AF1323" i="21"/>
  <c r="AF1318" i="21"/>
  <c r="AS1318" i="21"/>
  <c r="AJ1314" i="21"/>
  <c r="AF1307" i="21"/>
  <c r="AF1301" i="21"/>
  <c r="AS1301" i="21"/>
  <c r="AF1296" i="21"/>
  <c r="AS1296" i="21"/>
  <c r="AF1270" i="21"/>
  <c r="AS1259" i="21"/>
  <c r="AF1259" i="21"/>
  <c r="AK1257" i="21"/>
  <c r="AL1257" i="21" s="1"/>
  <c r="AN1257" i="21" s="1"/>
  <c r="AK1252" i="21"/>
  <c r="AL1252" i="21" s="1"/>
  <c r="AF1249" i="21"/>
  <c r="AS1249" i="21"/>
  <c r="AK1246" i="21"/>
  <c r="AL1246" i="21" s="1"/>
  <c r="AM1246" i="21" s="1"/>
  <c r="AU1246" i="21" s="1"/>
  <c r="AJ1242" i="21"/>
  <c r="AJ1236" i="21"/>
  <c r="AJ1232" i="21"/>
  <c r="AF1222" i="21"/>
  <c r="AS1411" i="21"/>
  <c r="AS1340" i="21"/>
  <c r="AF1227" i="21"/>
  <c r="AS1227" i="21"/>
  <c r="AF1220" i="21"/>
  <c r="AS1220" i="21"/>
  <c r="AF1210" i="21"/>
  <c r="AS1210" i="21"/>
  <c r="AK1208" i="21"/>
  <c r="AL1208" i="21" s="1"/>
  <c r="AF1203" i="21"/>
  <c r="AS1203" i="21"/>
  <c r="AF1195" i="21"/>
  <c r="AS1195" i="21"/>
  <c r="AF1146" i="21"/>
  <c r="AS1146" i="21"/>
  <c r="AS1170" i="21"/>
  <c r="AF1241" i="21"/>
  <c r="AS1241" i="21"/>
  <c r="AK1209" i="21"/>
  <c r="AL1209" i="21" s="1"/>
  <c r="AM1209" i="21" s="1"/>
  <c r="AU1209" i="21" s="1"/>
  <c r="AF1206" i="21"/>
  <c r="AF1196" i="21"/>
  <c r="AF1186" i="21"/>
  <c r="AK1184" i="21"/>
  <c r="AL1184" i="21" s="1"/>
  <c r="AM1184" i="21" s="1"/>
  <c r="AU1184" i="21" s="1"/>
  <c r="AK1179" i="21"/>
  <c r="AL1179" i="21" s="1"/>
  <c r="AN1179" i="21" s="1"/>
  <c r="AF1178" i="21"/>
  <c r="AS1178" i="21"/>
  <c r="AF1176" i="21"/>
  <c r="AF1175" i="21"/>
  <c r="AS1175" i="21"/>
  <c r="AF1160" i="21"/>
  <c r="AF1159" i="21"/>
  <c r="AS1159" i="21"/>
  <c r="AF1154" i="21"/>
  <c r="AF1151" i="21"/>
  <c r="AS1151" i="21"/>
  <c r="AF1149" i="21"/>
  <c r="AF1137" i="21"/>
  <c r="AF1133" i="21"/>
  <c r="AS1202" i="21"/>
  <c r="AF1208" i="21"/>
  <c r="AS1208" i="21"/>
  <c r="AF1199" i="21"/>
  <c r="AS1199" i="21"/>
  <c r="AF1192" i="21"/>
  <c r="AF1183" i="21"/>
  <c r="AS1183" i="21"/>
  <c r="AF1181" i="21"/>
  <c r="AK1172" i="21"/>
  <c r="AL1172" i="21" s="1"/>
  <c r="AM1172" i="21" s="1"/>
  <c r="AU1172" i="21" s="1"/>
  <c r="AF1167" i="21"/>
  <c r="AS1167" i="21"/>
  <c r="AF1152" i="21"/>
  <c r="AF1139" i="21"/>
  <c r="AS1139" i="21"/>
  <c r="AK1130" i="21"/>
  <c r="AL1130" i="21" s="1"/>
  <c r="AM1130" i="21" s="1"/>
  <c r="AU1130" i="21" s="1"/>
  <c r="AS1194" i="21"/>
  <c r="AK1187" i="21"/>
  <c r="AL1187" i="21" s="1"/>
  <c r="AN1187" i="21" s="1"/>
  <c r="AF1147" i="21"/>
  <c r="AS1147" i="21"/>
  <c r="AK1143" i="21"/>
  <c r="AL1143" i="21" s="1"/>
  <c r="AN1143" i="21" s="1"/>
  <c r="AF1140" i="21"/>
  <c r="AK1136" i="21"/>
  <c r="AL1136" i="21" s="1"/>
  <c r="AM1136" i="21" s="1"/>
  <c r="AU1136" i="21" s="1"/>
  <c r="AK1135" i="21"/>
  <c r="AL1135" i="21" s="1"/>
  <c r="AN1135" i="21" s="1"/>
  <c r="AK1132" i="21"/>
  <c r="AL1132" i="21" s="1"/>
  <c r="AM1132" i="21" s="1"/>
  <c r="AU1132" i="21" s="1"/>
  <c r="AK1131" i="21"/>
  <c r="AL1131" i="21" s="1"/>
  <c r="AN1131" i="21" s="1"/>
  <c r="AK1240" i="21"/>
  <c r="AL1240" i="21" s="1"/>
  <c r="AM1240" i="21" s="1"/>
  <c r="AU1240" i="21" s="1"/>
  <c r="AK1233" i="21"/>
  <c r="AL1233" i="21" s="1"/>
  <c r="AN1233" i="21" s="1"/>
  <c r="AF1230" i="21"/>
  <c r="AS1230" i="21"/>
  <c r="AF1224" i="21"/>
  <c r="AS1224" i="21"/>
  <c r="AF1215" i="21"/>
  <c r="AS1215" i="21"/>
  <c r="AF1211" i="21"/>
  <c r="AK1195" i="21"/>
  <c r="AL1195" i="21" s="1"/>
  <c r="AN1195" i="21" s="1"/>
  <c r="AF1189" i="21"/>
  <c r="AF1184" i="21"/>
  <c r="AF1179" i="21"/>
  <c r="AS1179" i="21"/>
  <c r="AF1166" i="21"/>
  <c r="AS1166" i="21"/>
  <c r="AF1163" i="21"/>
  <c r="AS1163" i="21"/>
  <c r="AF1148" i="21"/>
  <c r="AK1144" i="21"/>
  <c r="AL1144" i="21" s="1"/>
  <c r="AM1144" i="21" s="1"/>
  <c r="AU1144" i="21" s="1"/>
  <c r="AF1134" i="21"/>
  <c r="AF1130" i="21"/>
  <c r="AF1191" i="21"/>
  <c r="AS1191" i="21"/>
  <c r="AF1177" i="21"/>
  <c r="AS1177" i="21"/>
  <c r="AF1174" i="21"/>
  <c r="AS1174" i="21"/>
  <c r="AF1158" i="21"/>
  <c r="AS1158" i="21"/>
  <c r="AF1155" i="21"/>
  <c r="AS1155" i="21"/>
  <c r="AF1150" i="21"/>
  <c r="AS1150" i="21"/>
  <c r="AN1733" i="21"/>
  <c r="AJ1708" i="21"/>
  <c r="AK1708" i="21"/>
  <c r="AL1708" i="21" s="1"/>
  <c r="AH1756" i="21"/>
  <c r="AI1756" i="21"/>
  <c r="AH1752" i="21"/>
  <c r="AI1752" i="21"/>
  <c r="AH1748" i="21"/>
  <c r="AI1748" i="21"/>
  <c r="AJ1735" i="21"/>
  <c r="AK1735" i="21"/>
  <c r="AL1735" i="21" s="1"/>
  <c r="AK1719" i="21"/>
  <c r="AL1719" i="21" s="1"/>
  <c r="AK1706" i="21"/>
  <c r="AL1706" i="21" s="1"/>
  <c r="AJ1673" i="21"/>
  <c r="AK1673" i="21"/>
  <c r="AL1673" i="21" s="1"/>
  <c r="AJ1612" i="21"/>
  <c r="AK1612" i="21"/>
  <c r="AL1612" i="21" s="1"/>
  <c r="AH1607" i="21"/>
  <c r="AK1607" i="21"/>
  <c r="AL1607" i="21" s="1"/>
  <c r="AH1721" i="21"/>
  <c r="AI1721" i="21"/>
  <c r="AJ1717" i="21"/>
  <c r="AK1717" i="21"/>
  <c r="AL1717" i="21" s="1"/>
  <c r="AJ1695" i="21"/>
  <c r="AK1695" i="21"/>
  <c r="AL1695" i="21" s="1"/>
  <c r="AH1736" i="21"/>
  <c r="AI1736" i="21"/>
  <c r="AH1732" i="21"/>
  <c r="AK1732" i="21"/>
  <c r="AL1732" i="21" s="1"/>
  <c r="AK1727" i="21"/>
  <c r="AL1727" i="21" s="1"/>
  <c r="AI1724" i="21"/>
  <c r="AJ1712" i="21"/>
  <c r="AK1712" i="21"/>
  <c r="AL1712" i="21" s="1"/>
  <c r="AJ1702" i="21"/>
  <c r="AH1686" i="21"/>
  <c r="AH1664" i="21"/>
  <c r="AK1664" i="21"/>
  <c r="AL1664" i="21" s="1"/>
  <c r="AH1693" i="21"/>
  <c r="AK1693" i="21"/>
  <c r="AL1693" i="21" s="1"/>
  <c r="AJ1666" i="21"/>
  <c r="AK1666" i="21"/>
  <c r="AL1666" i="21" s="1"/>
  <c r="AH1652" i="21"/>
  <c r="AI1652" i="21"/>
  <c r="AK1784" i="21"/>
  <c r="AL1784" i="21" s="1"/>
  <c r="AK1780" i="21"/>
  <c r="AL1780" i="21" s="1"/>
  <c r="AK1776" i="21"/>
  <c r="AL1776" i="21" s="1"/>
  <c r="AK1772" i="21"/>
  <c r="AL1772" i="21" s="1"/>
  <c r="AK1764" i="21"/>
  <c r="AL1764" i="21" s="1"/>
  <c r="AK1758" i="21"/>
  <c r="AL1758" i="21" s="1"/>
  <c r="AK1698" i="21"/>
  <c r="AL1698" i="21" s="1"/>
  <c r="AJ1701" i="21"/>
  <c r="AK1701" i="21"/>
  <c r="AL1701" i="21" s="1"/>
  <c r="AK1757" i="21"/>
  <c r="AL1757" i="21" s="1"/>
  <c r="AK1749" i="21"/>
  <c r="AL1749" i="21" s="1"/>
  <c r="AK1742" i="21"/>
  <c r="AL1742" i="21" s="1"/>
  <c r="AK1705" i="21"/>
  <c r="AL1705" i="21" s="1"/>
  <c r="AJ1696" i="21"/>
  <c r="AK1696" i="21"/>
  <c r="AL1696" i="21" s="1"/>
  <c r="AJ1694" i="21"/>
  <c r="AK1694" i="21"/>
  <c r="AL1694" i="21" s="1"/>
  <c r="AK1687" i="21"/>
  <c r="AL1687" i="21" s="1"/>
  <c r="AJ1687" i="21"/>
  <c r="AJ1743" i="21"/>
  <c r="AK1743" i="21"/>
  <c r="AL1743" i="21" s="1"/>
  <c r="AJ1759" i="21"/>
  <c r="AK1759" i="21"/>
  <c r="AL1759" i="21" s="1"/>
  <c r="AJ1755" i="21"/>
  <c r="AK1755" i="21"/>
  <c r="AL1755" i="21" s="1"/>
  <c r="AK1744" i="21"/>
  <c r="AL1744" i="21" s="1"/>
  <c r="AJ1728" i="21"/>
  <c r="AK1728" i="21"/>
  <c r="AL1728" i="21" s="1"/>
  <c r="AH1725" i="21"/>
  <c r="AI1725" i="21"/>
  <c r="AK1711" i="21"/>
  <c r="AL1711" i="21" s="1"/>
  <c r="AI1703" i="21"/>
  <c r="AK1692" i="21"/>
  <c r="AL1692" i="21" s="1"/>
  <c r="AK1667" i="21"/>
  <c r="AL1667" i="21" s="1"/>
  <c r="AH1660" i="21"/>
  <c r="AH1655" i="21"/>
  <c r="AI1655" i="21"/>
  <c r="AJ1616" i="21"/>
  <c r="AK1616" i="21"/>
  <c r="AL1616" i="21" s="1"/>
  <c r="AH1596" i="21"/>
  <c r="AH1580" i="21"/>
  <c r="AK1580" i="21"/>
  <c r="AL1580" i="21" s="1"/>
  <c r="AK1561" i="21"/>
  <c r="AL1561" i="21" s="1"/>
  <c r="AK1683" i="21"/>
  <c r="AL1683" i="21" s="1"/>
  <c r="AK1675" i="21"/>
  <c r="AL1675" i="21" s="1"/>
  <c r="AJ1641" i="21"/>
  <c r="AK1641" i="21"/>
  <c r="AL1641" i="21" s="1"/>
  <c r="AJ1625" i="21"/>
  <c r="AK1625" i="21"/>
  <c r="AL1625" i="21" s="1"/>
  <c r="AK1598" i="21"/>
  <c r="AL1598" i="21" s="1"/>
  <c r="AJ1582" i="21"/>
  <c r="AK1582" i="21"/>
  <c r="AL1582" i="21" s="1"/>
  <c r="AJ1567" i="21"/>
  <c r="AK1567" i="21"/>
  <c r="AL1567" i="21" s="1"/>
  <c r="AK1677" i="21"/>
  <c r="AL1677" i="21" s="1"/>
  <c r="AH1668" i="21"/>
  <c r="AJ1611" i="21"/>
  <c r="AK1611" i="21"/>
  <c r="AL1611" i="21" s="1"/>
  <c r="AJ1632" i="21"/>
  <c r="AK1632" i="21"/>
  <c r="AL1632" i="21" s="1"/>
  <c r="AJ1584" i="21"/>
  <c r="AK1584" i="21"/>
  <c r="AL1584" i="21" s="1"/>
  <c r="AK1716" i="21"/>
  <c r="AL1716" i="21" s="1"/>
  <c r="AK1700" i="21"/>
  <c r="AL1700" i="21" s="1"/>
  <c r="AI1670" i="21"/>
  <c r="AK1663" i="21"/>
  <c r="AL1663" i="21" s="1"/>
  <c r="AK1644" i="21"/>
  <c r="AL1644" i="21" s="1"/>
  <c r="AK1630" i="21"/>
  <c r="AL1630" i="21" s="1"/>
  <c r="AN1603" i="21"/>
  <c r="AM1603" i="21"/>
  <c r="AU1603" i="21" s="1"/>
  <c r="AJ1566" i="21"/>
  <c r="AK1566" i="21"/>
  <c r="AL1566" i="21" s="1"/>
  <c r="AK1679" i="21"/>
  <c r="AL1679" i="21" s="1"/>
  <c r="AK1671" i="21"/>
  <c r="AL1671" i="21" s="1"/>
  <c r="AK1665" i="21"/>
  <c r="AL1665" i="21" s="1"/>
  <c r="AK1659" i="21"/>
  <c r="AL1659" i="21" s="1"/>
  <c r="AH1654" i="21"/>
  <c r="AJ1654" i="21" s="1"/>
  <c r="AK1654" i="21"/>
  <c r="AL1654" i="21" s="1"/>
  <c r="AK1628" i="21"/>
  <c r="AL1628" i="21" s="1"/>
  <c r="AJ1626" i="21"/>
  <c r="AJ1610" i="21"/>
  <c r="AK1610" i="21"/>
  <c r="AL1610" i="21" s="1"/>
  <c r="AJ1642" i="21"/>
  <c r="AK1642" i="21"/>
  <c r="AL1642" i="21" s="1"/>
  <c r="AH1638" i="21"/>
  <c r="AK1638" i="21"/>
  <c r="AL1638" i="21" s="1"/>
  <c r="AH1597" i="21"/>
  <c r="AJ1568" i="21"/>
  <c r="AK1568" i="21"/>
  <c r="AL1568" i="21" s="1"/>
  <c r="AK1645" i="21"/>
  <c r="AL1645" i="21" s="1"/>
  <c r="AK1636" i="21"/>
  <c r="AL1636" i="21" s="1"/>
  <c r="AI1633" i="21"/>
  <c r="AK1620" i="21"/>
  <c r="AL1620" i="21" s="1"/>
  <c r="AK1604" i="21"/>
  <c r="AL1604" i="21" s="1"/>
  <c r="AK1588" i="21"/>
  <c r="AL1588" i="21" s="1"/>
  <c r="AI1569" i="21"/>
  <c r="AK1563" i="21"/>
  <c r="AL1563" i="21" s="1"/>
  <c r="AK1536" i="21"/>
  <c r="AL1536" i="21" s="1"/>
  <c r="AJ1506" i="21"/>
  <c r="AK1506" i="21"/>
  <c r="AL1506" i="21" s="1"/>
  <c r="AH1496" i="21"/>
  <c r="AK1496" i="21"/>
  <c r="AL1496" i="21" s="1"/>
  <c r="AK1622" i="21"/>
  <c r="AL1622" i="21" s="1"/>
  <c r="AK1606" i="21"/>
  <c r="AL1606" i="21" s="1"/>
  <c r="AK1591" i="21"/>
  <c r="AL1591" i="21" s="1"/>
  <c r="AK1590" i="21"/>
  <c r="AL1590" i="21" s="1"/>
  <c r="AK1574" i="21"/>
  <c r="AL1574" i="21" s="1"/>
  <c r="AK1640" i="21"/>
  <c r="AL1640" i="21" s="1"/>
  <c r="AK1624" i="21"/>
  <c r="AL1624" i="21" s="1"/>
  <c r="AK1608" i="21"/>
  <c r="AL1608" i="21" s="1"/>
  <c r="AK1564" i="21"/>
  <c r="AL1564" i="21" s="1"/>
  <c r="AH1558" i="21"/>
  <c r="AH1538" i="21"/>
  <c r="AK1538" i="21"/>
  <c r="AL1538" i="21" s="1"/>
  <c r="AJ1532" i="21"/>
  <c r="AK1532" i="21"/>
  <c r="AL1532" i="21" s="1"/>
  <c r="AJ1526" i="21"/>
  <c r="AK1526" i="21"/>
  <c r="AL1526" i="21" s="1"/>
  <c r="AH1487" i="21"/>
  <c r="AK1487" i="21"/>
  <c r="AL1487" i="21" s="1"/>
  <c r="AK1609" i="21"/>
  <c r="AL1609" i="21" s="1"/>
  <c r="AK1595" i="21"/>
  <c r="AL1595" i="21" s="1"/>
  <c r="AK1559" i="21"/>
  <c r="AL1559" i="21" s="1"/>
  <c r="AK1548" i="21"/>
  <c r="AL1548" i="21" s="1"/>
  <c r="AJ1545" i="21"/>
  <c r="AK1545" i="21"/>
  <c r="AL1545" i="21" s="1"/>
  <c r="AK1534" i="21"/>
  <c r="AL1534" i="21" s="1"/>
  <c r="AJ1514" i="21"/>
  <c r="AK1514" i="21"/>
  <c r="AL1514" i="21" s="1"/>
  <c r="AH1504" i="21"/>
  <c r="AK1504" i="21"/>
  <c r="AL1504" i="21" s="1"/>
  <c r="AK1475" i="21"/>
  <c r="AL1475" i="21" s="1"/>
  <c r="AJ1475" i="21"/>
  <c r="AK1581" i="21"/>
  <c r="AL1581" i="21" s="1"/>
  <c r="AJ1537" i="21"/>
  <c r="AK1537" i="21"/>
  <c r="AL1537" i="21" s="1"/>
  <c r="AJ1498" i="21"/>
  <c r="AK1498" i="21"/>
  <c r="AL1498" i="21" s="1"/>
  <c r="AJ1440" i="21"/>
  <c r="AK1440" i="21"/>
  <c r="AL1440" i="21" s="1"/>
  <c r="AK1553" i="21"/>
  <c r="AL1553" i="21" s="1"/>
  <c r="AJ1546" i="21"/>
  <c r="AK1546" i="21"/>
  <c r="AL1546" i="21" s="1"/>
  <c r="AK1533" i="21"/>
  <c r="AL1533" i="21" s="1"/>
  <c r="AH1512" i="21"/>
  <c r="AK1512" i="21"/>
  <c r="AL1512" i="21" s="1"/>
  <c r="AH1520" i="21"/>
  <c r="AI1520" i="21"/>
  <c r="AJ1515" i="21"/>
  <c r="AK1515" i="21"/>
  <c r="AL1515" i="21" s="1"/>
  <c r="AK1508" i="21"/>
  <c r="AL1508" i="21" s="1"/>
  <c r="AJ1507" i="21"/>
  <c r="AK1507" i="21"/>
  <c r="AL1507" i="21" s="1"/>
  <c r="AK1500" i="21"/>
  <c r="AL1500" i="21" s="1"/>
  <c r="AJ1499" i="21"/>
  <c r="AK1499" i="21"/>
  <c r="AL1499" i="21" s="1"/>
  <c r="AI1529" i="21"/>
  <c r="AH1528" i="21"/>
  <c r="AI1528" i="21"/>
  <c r="AK1510" i="21"/>
  <c r="AL1510" i="21" s="1"/>
  <c r="AK1502" i="21"/>
  <c r="AL1502" i="21" s="1"/>
  <c r="AK1494" i="21"/>
  <c r="AL1494" i="21" s="1"/>
  <c r="AK1485" i="21"/>
  <c r="AL1485" i="21" s="1"/>
  <c r="AJ1454" i="21"/>
  <c r="AK1454" i="21"/>
  <c r="AL1454" i="21" s="1"/>
  <c r="AK1452" i="21"/>
  <c r="AL1452" i="21" s="1"/>
  <c r="AI1530" i="21"/>
  <c r="AK1524" i="21"/>
  <c r="AL1524" i="21" s="1"/>
  <c r="AJ1523" i="21"/>
  <c r="AK1523" i="21"/>
  <c r="AL1523" i="21" s="1"/>
  <c r="AK1517" i="21"/>
  <c r="AL1517" i="21" s="1"/>
  <c r="AH1492" i="21"/>
  <c r="AI1492" i="21"/>
  <c r="AH1484" i="21"/>
  <c r="AK1441" i="21"/>
  <c r="AL1441" i="21" s="1"/>
  <c r="AH1516" i="21"/>
  <c r="AI1516" i="21"/>
  <c r="AI1518" i="21"/>
  <c r="AJ1511" i="21"/>
  <c r="AK1511" i="21"/>
  <c r="AL1511" i="21" s="1"/>
  <c r="AJ1503" i="21"/>
  <c r="AK1503" i="21"/>
  <c r="AL1503" i="21" s="1"/>
  <c r="AJ1495" i="21"/>
  <c r="AK1495" i="21"/>
  <c r="AL1495" i="21" s="1"/>
  <c r="AJ1486" i="21"/>
  <c r="AK1486" i="21"/>
  <c r="AL1486" i="21" s="1"/>
  <c r="AJ1464" i="21"/>
  <c r="AK1464" i="21"/>
  <c r="AL1464" i="21" s="1"/>
  <c r="AJ1444" i="21"/>
  <c r="AK1444" i="21"/>
  <c r="AL1444" i="21" s="1"/>
  <c r="AJ1519" i="21"/>
  <c r="AK1519" i="21"/>
  <c r="AL1519" i="21" s="1"/>
  <c r="AJ1480" i="21"/>
  <c r="AK1480" i="21"/>
  <c r="AL1480" i="21" s="1"/>
  <c r="AK1550" i="21"/>
  <c r="AL1550" i="21" s="1"/>
  <c r="AJ1527" i="21"/>
  <c r="AK1527" i="21"/>
  <c r="AL1527" i="21" s="1"/>
  <c r="AK1481" i="21"/>
  <c r="AL1481" i="21" s="1"/>
  <c r="AH1456" i="21"/>
  <c r="AK1445" i="21"/>
  <c r="AL1445" i="21" s="1"/>
  <c r="AH1437" i="21"/>
  <c r="AJ1442" i="21"/>
  <c r="AK1434" i="21"/>
  <c r="AL1434" i="21" s="1"/>
  <c r="AN1427" i="21"/>
  <c r="AH1403" i="21"/>
  <c r="AK1403" i="21"/>
  <c r="AL1403" i="21" s="1"/>
  <c r="AJ1393" i="21"/>
  <c r="AK1393" i="21"/>
  <c r="AL1393" i="21" s="1"/>
  <c r="AJ1372" i="21"/>
  <c r="AK1372" i="21"/>
  <c r="AL1372" i="21" s="1"/>
  <c r="AJ1408" i="21"/>
  <c r="AK1408" i="21"/>
  <c r="AL1408" i="21" s="1"/>
  <c r="AH1460" i="21"/>
  <c r="AH1473" i="21"/>
  <c r="AI1473" i="21"/>
  <c r="AH1469" i="21"/>
  <c r="AI1469" i="21"/>
  <c r="AH1465" i="21"/>
  <c r="AI1465" i="21"/>
  <c r="AJ1432" i="21"/>
  <c r="AK1432" i="21"/>
  <c r="AL1432" i="21" s="1"/>
  <c r="AH1360" i="21"/>
  <c r="AK1360" i="21"/>
  <c r="AL1360" i="21" s="1"/>
  <c r="AH1411" i="21"/>
  <c r="AK1411" i="21"/>
  <c r="AL1411" i="21" s="1"/>
  <c r="AJ1400" i="21"/>
  <c r="AK1400" i="21"/>
  <c r="AL1400" i="21" s="1"/>
  <c r="AJ1385" i="21"/>
  <c r="AK1385" i="21"/>
  <c r="AL1385" i="21" s="1"/>
  <c r="AH1369" i="21"/>
  <c r="AI1369" i="21"/>
  <c r="AJ1350" i="21"/>
  <c r="AK1350" i="21"/>
  <c r="AL1350" i="21" s="1"/>
  <c r="AI1457" i="21"/>
  <c r="AI1450" i="21"/>
  <c r="AK1448" i="21"/>
  <c r="AL1448" i="21" s="1"/>
  <c r="AK1447" i="21"/>
  <c r="AL1447" i="21" s="1"/>
  <c r="AK1430" i="21"/>
  <c r="AL1430" i="21" s="1"/>
  <c r="AK1424" i="21"/>
  <c r="AL1424" i="21" s="1"/>
  <c r="AK1420" i="21"/>
  <c r="AL1420" i="21" s="1"/>
  <c r="AK1419" i="21"/>
  <c r="AL1419" i="21" s="1"/>
  <c r="AK1417" i="21"/>
  <c r="AL1417" i="21" s="1"/>
  <c r="AK1413" i="21"/>
  <c r="AL1413" i="21" s="1"/>
  <c r="AJ1394" i="21"/>
  <c r="AK1387" i="21"/>
  <c r="AL1387" i="21" s="1"/>
  <c r="AK1379" i="21"/>
  <c r="AL1379" i="21" s="1"/>
  <c r="AJ1373" i="21"/>
  <c r="AH1365" i="21"/>
  <c r="AI1365" i="21"/>
  <c r="AH1321" i="21"/>
  <c r="AK1321" i="21"/>
  <c r="AL1321" i="21" s="1"/>
  <c r="AK1426" i="21"/>
  <c r="AL1426" i="21" s="1"/>
  <c r="AI1422" i="21"/>
  <c r="AI1421" i="21"/>
  <c r="AK1416" i="21"/>
  <c r="AL1416" i="21" s="1"/>
  <c r="AK1412" i="21"/>
  <c r="AL1412" i="21" s="1"/>
  <c r="AK1388" i="21"/>
  <c r="AL1388" i="21" s="1"/>
  <c r="AK1386" i="21"/>
  <c r="AL1386" i="21" s="1"/>
  <c r="AK1380" i="21"/>
  <c r="AL1380" i="21" s="1"/>
  <c r="AI1378" i="21"/>
  <c r="AK1370" i="21"/>
  <c r="AL1370" i="21" s="1"/>
  <c r="AJ1347" i="21"/>
  <c r="AK1347" i="21"/>
  <c r="AL1347" i="21" s="1"/>
  <c r="AJ1345" i="21"/>
  <c r="AK1345" i="21"/>
  <c r="AL1345" i="21" s="1"/>
  <c r="AK1338" i="21"/>
  <c r="AL1338" i="21" s="1"/>
  <c r="AJ1338" i="21"/>
  <c r="AK1336" i="21"/>
  <c r="AL1336" i="21" s="1"/>
  <c r="AK1326" i="21"/>
  <c r="AL1326" i="21" s="1"/>
  <c r="AH1423" i="21"/>
  <c r="AI1418" i="21"/>
  <c r="AK1414" i="21"/>
  <c r="AL1414" i="21" s="1"/>
  <c r="AK1410" i="21"/>
  <c r="AL1410" i="21" s="1"/>
  <c r="AK1404" i="21"/>
  <c r="AL1404" i="21" s="1"/>
  <c r="AK1402" i="21"/>
  <c r="AL1402" i="21" s="1"/>
  <c r="AK1396" i="21"/>
  <c r="AL1396" i="21" s="1"/>
  <c r="AK1389" i="21"/>
  <c r="AL1389" i="21" s="1"/>
  <c r="AJ1364" i="21"/>
  <c r="AK1364" i="21"/>
  <c r="AL1364" i="21" s="1"/>
  <c r="AK1351" i="21"/>
  <c r="AL1351" i="21" s="1"/>
  <c r="AK1349" i="21"/>
  <c r="AL1349" i="21" s="1"/>
  <c r="AH1334" i="21"/>
  <c r="AH1415" i="21"/>
  <c r="AK1405" i="21"/>
  <c r="AL1405" i="21" s="1"/>
  <c r="AK1397" i="21"/>
  <c r="AL1397" i="21" s="1"/>
  <c r="AH1395" i="21"/>
  <c r="AI1381" i="21"/>
  <c r="AJ1374" i="21"/>
  <c r="AK1374" i="21"/>
  <c r="AL1374" i="21" s="1"/>
  <c r="AJ1368" i="21"/>
  <c r="AK1368" i="21"/>
  <c r="AL1368" i="21" s="1"/>
  <c r="AK1366" i="21"/>
  <c r="AL1366" i="21" s="1"/>
  <c r="AH1359" i="21"/>
  <c r="AK1359" i="21"/>
  <c r="AL1359" i="21" s="1"/>
  <c r="AJ1390" i="21"/>
  <c r="AJ1382" i="21"/>
  <c r="AJ1363" i="21"/>
  <c r="AK1363" i="21"/>
  <c r="AL1363" i="21" s="1"/>
  <c r="AK1341" i="21"/>
  <c r="AL1341" i="21" s="1"/>
  <c r="AH1341" i="21"/>
  <c r="AJ1327" i="21"/>
  <c r="AK1327" i="21"/>
  <c r="AL1327" i="21" s="1"/>
  <c r="AK1406" i="21"/>
  <c r="AL1406" i="21" s="1"/>
  <c r="AK1398" i="21"/>
  <c r="AL1398" i="21" s="1"/>
  <c r="AJ1352" i="21"/>
  <c r="AK1352" i="21"/>
  <c r="AL1352" i="21" s="1"/>
  <c r="AJ1348" i="21"/>
  <c r="AK1348" i="21"/>
  <c r="AL1348" i="21" s="1"/>
  <c r="AJ1295" i="21"/>
  <c r="AK1295" i="21"/>
  <c r="AL1295" i="21" s="1"/>
  <c r="AK1356" i="21"/>
  <c r="AL1356" i="21" s="1"/>
  <c r="AJ1328" i="21"/>
  <c r="AH1317" i="21"/>
  <c r="AH1313" i="21"/>
  <c r="AI1308" i="21"/>
  <c r="AK1329" i="21"/>
  <c r="AL1329" i="21" s="1"/>
  <c r="AK1346" i="21"/>
  <c r="AL1346" i="21" s="1"/>
  <c r="AJ1267" i="21"/>
  <c r="AK1267" i="21"/>
  <c r="AL1267" i="21" s="1"/>
  <c r="AK1361" i="21"/>
  <c r="AL1361" i="21" s="1"/>
  <c r="AK1344" i="21"/>
  <c r="AL1344" i="21" s="1"/>
  <c r="AK1342" i="21"/>
  <c r="AL1342" i="21" s="1"/>
  <c r="AK1307" i="21"/>
  <c r="AL1307" i="21" s="1"/>
  <c r="AK1299" i="21"/>
  <c r="AL1299" i="21" s="1"/>
  <c r="AK1335" i="21"/>
  <c r="AL1335" i="21" s="1"/>
  <c r="AK1332" i="21"/>
  <c r="AL1332" i="21" s="1"/>
  <c r="AH1330" i="21"/>
  <c r="AK1312" i="21"/>
  <c r="AL1312" i="21" s="1"/>
  <c r="AJ1312" i="21"/>
  <c r="AH1283" i="21"/>
  <c r="AI1283" i="21"/>
  <c r="AK1225" i="21"/>
  <c r="AL1225" i="21" s="1"/>
  <c r="AH1225" i="21"/>
  <c r="AK1310" i="21"/>
  <c r="AL1310" i="21" s="1"/>
  <c r="AK1305" i="21"/>
  <c r="AL1305" i="21" s="1"/>
  <c r="AJ1274" i="21"/>
  <c r="AK1274" i="21"/>
  <c r="AL1274" i="21" s="1"/>
  <c r="AJ1266" i="21"/>
  <c r="AK1266" i="21"/>
  <c r="AL1266" i="21" s="1"/>
  <c r="AJ1320" i="21"/>
  <c r="AK1315" i="21"/>
  <c r="AL1315" i="21" s="1"/>
  <c r="AK1288" i="21"/>
  <c r="AL1288" i="21" s="1"/>
  <c r="AH1264" i="21"/>
  <c r="AI1264" i="21"/>
  <c r="AK1258" i="21"/>
  <c r="AL1258" i="21" s="1"/>
  <c r="AJ1251" i="21"/>
  <c r="AK1251" i="21"/>
  <c r="AL1251" i="21" s="1"/>
  <c r="AJ1228" i="21"/>
  <c r="AK1228" i="21"/>
  <c r="AL1228" i="21" s="1"/>
  <c r="AH1191" i="21"/>
  <c r="AI1191" i="21"/>
  <c r="AK1316" i="21"/>
  <c r="AL1316" i="21" s="1"/>
  <c r="AJ1271" i="21"/>
  <c r="AK1271" i="21"/>
  <c r="AL1271" i="21" s="1"/>
  <c r="AH1268" i="21"/>
  <c r="AI1268" i="21"/>
  <c r="AJ1243" i="21"/>
  <c r="AK1243" i="21"/>
  <c r="AL1243" i="21" s="1"/>
  <c r="AJ1224" i="21"/>
  <c r="AK1224" i="21"/>
  <c r="AL1224" i="21" s="1"/>
  <c r="AJ1206" i="21"/>
  <c r="AK1206" i="21"/>
  <c r="AL1206" i="21" s="1"/>
  <c r="AJ1259" i="21"/>
  <c r="AK1259" i="21"/>
  <c r="AL1259" i="21" s="1"/>
  <c r="AJ1279" i="21"/>
  <c r="AK1279" i="21"/>
  <c r="AL1279" i="21" s="1"/>
  <c r="AK1272" i="21"/>
  <c r="AL1272" i="21" s="1"/>
  <c r="AJ1188" i="21"/>
  <c r="AK1188" i="21"/>
  <c r="AL1188" i="21" s="1"/>
  <c r="AJ1263" i="21"/>
  <c r="AK1263" i="21"/>
  <c r="AL1263" i="21" s="1"/>
  <c r="AH1231" i="21"/>
  <c r="AK1231" i="21"/>
  <c r="AL1231" i="21" s="1"/>
  <c r="AJ1220" i="21"/>
  <c r="AK1220" i="21"/>
  <c r="AL1220" i="21" s="1"/>
  <c r="AH1215" i="21"/>
  <c r="AK1215" i="21"/>
  <c r="AL1215" i="21" s="1"/>
  <c r="AH1199" i="21"/>
  <c r="AK1199" i="21"/>
  <c r="AL1199" i="21" s="1"/>
  <c r="AK1300" i="21"/>
  <c r="AL1300" i="21" s="1"/>
  <c r="AK1296" i="21"/>
  <c r="AL1296" i="21" s="1"/>
  <c r="AJ1287" i="21"/>
  <c r="AK1287" i="21"/>
  <c r="AL1287" i="21" s="1"/>
  <c r="AK1280" i="21"/>
  <c r="AL1280" i="21" s="1"/>
  <c r="AH1244" i="21"/>
  <c r="AI1244" i="21"/>
  <c r="AJ1239" i="21"/>
  <c r="AK1239" i="21"/>
  <c r="AL1239" i="21" s="1"/>
  <c r="AH1227" i="21"/>
  <c r="AI1227" i="21"/>
  <c r="AK1234" i="21"/>
  <c r="AL1234" i="21" s="1"/>
  <c r="AK1207" i="21"/>
  <c r="AL1207" i="21" s="1"/>
  <c r="AK1186" i="21"/>
  <c r="AL1186" i="21" s="1"/>
  <c r="AH1170" i="21"/>
  <c r="AK1170" i="21"/>
  <c r="AL1170" i="21" s="1"/>
  <c r="AJ1202" i="21"/>
  <c r="AK1202" i="21"/>
  <c r="AL1202" i="21" s="1"/>
  <c r="AH1182" i="21"/>
  <c r="AK1182" i="21"/>
  <c r="AL1182" i="21" s="1"/>
  <c r="AK1221" i="21"/>
  <c r="AL1221" i="21" s="1"/>
  <c r="AK1217" i="21"/>
  <c r="AL1217" i="21" s="1"/>
  <c r="AK1204" i="21"/>
  <c r="AL1204" i="21" s="1"/>
  <c r="AK1203" i="21"/>
  <c r="AL1203" i="21" s="1"/>
  <c r="AK1180" i="21"/>
  <c r="AL1180" i="21" s="1"/>
  <c r="AJ1176" i="21"/>
  <c r="AK1176" i="21"/>
  <c r="AL1176" i="21" s="1"/>
  <c r="AJ1153" i="21"/>
  <c r="AK1153" i="21"/>
  <c r="AL1153" i="21" s="1"/>
  <c r="AJ1230" i="21"/>
  <c r="AK1230" i="21"/>
  <c r="AL1230" i="21" s="1"/>
  <c r="AJ1226" i="21"/>
  <c r="AK1226" i="21"/>
  <c r="AL1226" i="21" s="1"/>
  <c r="AK1223" i="21"/>
  <c r="AL1223" i="21" s="1"/>
  <c r="AK1216" i="21"/>
  <c r="AL1216" i="21" s="1"/>
  <c r="AI1213" i="21"/>
  <c r="AK1211" i="21"/>
  <c r="AL1211" i="21" s="1"/>
  <c r="AI1210" i="21"/>
  <c r="AK1205" i="21"/>
  <c r="AL1205" i="21" s="1"/>
  <c r="AJ1198" i="21"/>
  <c r="AK1198" i="21"/>
  <c r="AL1198" i="21" s="1"/>
  <c r="AJ1222" i="21"/>
  <c r="AK1222" i="21"/>
  <c r="AL1222" i="21" s="1"/>
  <c r="AJ1218" i="21"/>
  <c r="AK1218" i="21"/>
  <c r="AL1218" i="21" s="1"/>
  <c r="AJ1214" i="21"/>
  <c r="AK1214" i="21"/>
  <c r="AL1214" i="21" s="1"/>
  <c r="AJ1181" i="21"/>
  <c r="AK1181" i="21"/>
  <c r="AL1181" i="21" s="1"/>
  <c r="AJ1177" i="21"/>
  <c r="AK1177" i="21"/>
  <c r="AL1177" i="21" s="1"/>
  <c r="AH1219" i="21"/>
  <c r="AI1219" i="21"/>
  <c r="AI1192" i="21"/>
  <c r="AK1190" i="21"/>
  <c r="AL1190" i="21" s="1"/>
  <c r="AH1174" i="21"/>
  <c r="AK1174" i="21"/>
  <c r="AL1174" i="21" s="1"/>
  <c r="AK1164" i="21"/>
  <c r="AL1164" i="21" s="1"/>
  <c r="AJ1157" i="21"/>
  <c r="AK1157" i="21"/>
  <c r="AL1157" i="21" s="1"/>
  <c r="AH1146" i="21"/>
  <c r="AK1146" i="21"/>
  <c r="AL1146" i="21" s="1"/>
  <c r="AK1134" i="21"/>
  <c r="AL1134" i="21" s="1"/>
  <c r="AK1189" i="21"/>
  <c r="AL1189" i="21" s="1"/>
  <c r="AJ1161" i="21"/>
  <c r="AK1161" i="21"/>
  <c r="AL1161" i="21" s="1"/>
  <c r="AH1150" i="21"/>
  <c r="AK1150" i="21"/>
  <c r="AL1150" i="21" s="1"/>
  <c r="AK1140" i="21"/>
  <c r="AL1140" i="21" s="1"/>
  <c r="AJ1137" i="21"/>
  <c r="AK1137" i="21"/>
  <c r="AL1137" i="21" s="1"/>
  <c r="AJ1165" i="21"/>
  <c r="AK1165" i="21"/>
  <c r="AL1165" i="21" s="1"/>
  <c r="AH1154" i="21"/>
  <c r="AK1154" i="21"/>
  <c r="AL1154" i="21" s="1"/>
  <c r="AH1158" i="21"/>
  <c r="AK1158" i="21"/>
  <c r="AL1158" i="21" s="1"/>
  <c r="AJ1141" i="21"/>
  <c r="AK1141" i="21"/>
  <c r="AL1141" i="21" s="1"/>
  <c r="AJ1185" i="21"/>
  <c r="AK1185" i="21"/>
  <c r="AL1185" i="21" s="1"/>
  <c r="AJ1169" i="21"/>
  <c r="AK1169" i="21"/>
  <c r="AL1169" i="21" s="1"/>
  <c r="AH1162" i="21"/>
  <c r="AK1162" i="21"/>
  <c r="AL1162" i="21" s="1"/>
  <c r="AK1148" i="21"/>
  <c r="AL1148" i="21" s="1"/>
  <c r="AJ1173" i="21"/>
  <c r="AK1173" i="21"/>
  <c r="AL1173" i="21" s="1"/>
  <c r="AH1166" i="21"/>
  <c r="AI1166" i="21"/>
  <c r="AJ1145" i="21"/>
  <c r="AK1145" i="21"/>
  <c r="AL1145" i="21" s="1"/>
  <c r="AH1138" i="21"/>
  <c r="AK1138" i="21"/>
  <c r="AL1138" i="21" s="1"/>
  <c r="AJ1133" i="21"/>
  <c r="AK1133" i="21"/>
  <c r="AL1133" i="21" s="1"/>
  <c r="AH1142" i="21"/>
  <c r="AI1142" i="21"/>
  <c r="D67" i="31"/>
  <c r="G5" i="31"/>
  <c r="G6" i="31"/>
  <c r="G7" i="31"/>
  <c r="G8" i="31"/>
  <c r="G9" i="31"/>
  <c r="G10" i="31"/>
  <c r="G11" i="31"/>
  <c r="G12" i="31"/>
  <c r="G13" i="31"/>
  <c r="G14" i="31"/>
  <c r="G15" i="31"/>
  <c r="G16" i="31"/>
  <c r="G17" i="31"/>
  <c r="G18" i="31"/>
  <c r="G19" i="31"/>
  <c r="G20" i="31"/>
  <c r="G21" i="31"/>
  <c r="G22" i="31"/>
  <c r="G23" i="31"/>
  <c r="G24" i="31"/>
  <c r="G25" i="31"/>
  <c r="G26" i="31"/>
  <c r="G27" i="31"/>
  <c r="G28" i="31"/>
  <c r="G29" i="31"/>
  <c r="G30" i="31"/>
  <c r="G31" i="31"/>
  <c r="G32" i="31"/>
  <c r="G33" i="31"/>
  <c r="G34" i="31"/>
  <c r="G35" i="31"/>
  <c r="G36" i="31"/>
  <c r="G37" i="31"/>
  <c r="G38" i="31"/>
  <c r="G39" i="31"/>
  <c r="G40" i="31"/>
  <c r="G41" i="31"/>
  <c r="G42" i="31"/>
  <c r="G43" i="31"/>
  <c r="G44" i="31"/>
  <c r="G45" i="31"/>
  <c r="G46" i="31"/>
  <c r="G47" i="31"/>
  <c r="G48" i="31"/>
  <c r="G49" i="31"/>
  <c r="G50" i="31"/>
  <c r="G51" i="31"/>
  <c r="G5" i="33"/>
  <c r="H5" i="33"/>
  <c r="H6" i="33"/>
  <c r="G7" i="33"/>
  <c r="H7" i="33"/>
  <c r="G8" i="33"/>
  <c r="H8" i="33"/>
  <c r="G9" i="33"/>
  <c r="H9" i="33"/>
  <c r="G10" i="33"/>
  <c r="H10" i="33"/>
  <c r="C55" i="32"/>
  <c r="C54" i="32"/>
  <c r="C54" i="31"/>
  <c r="C55" i="31" s="1"/>
  <c r="AM1740" i="21" l="1"/>
  <c r="AU1740" i="21" s="1"/>
  <c r="AN1658" i="21"/>
  <c r="AM1672" i="21"/>
  <c r="AU1672" i="21" s="1"/>
  <c r="AN1629" i="21"/>
  <c r="AN1592" i="21"/>
  <c r="AN1599" i="21"/>
  <c r="AM1599" i="21"/>
  <c r="AU1599" i="21" s="1"/>
  <c r="AN1678" i="21"/>
  <c r="AK1747" i="21"/>
  <c r="AL1747" i="21" s="1"/>
  <c r="AN1747" i="21" s="1"/>
  <c r="AM1323" i="21"/>
  <c r="AU1323" i="21" s="1"/>
  <c r="AM1383" i="21"/>
  <c r="AU1383" i="21" s="1"/>
  <c r="AN1431" i="21"/>
  <c r="AJ1576" i="21"/>
  <c r="AM1298" i="21"/>
  <c r="AU1298" i="21" s="1"/>
  <c r="AN1587" i="21"/>
  <c r="AN1649" i="21"/>
  <c r="AM1579" i="21"/>
  <c r="AU1579" i="21" s="1"/>
  <c r="AJ1649" i="21"/>
  <c r="AM1715" i="21"/>
  <c r="AU1715" i="21" s="1"/>
  <c r="AM1237" i="21"/>
  <c r="AU1237" i="21" s="1"/>
  <c r="AN1277" i="21"/>
  <c r="AJ1415" i="21"/>
  <c r="AM1525" i="21"/>
  <c r="AU1525" i="21" s="1"/>
  <c r="AM1657" i="21"/>
  <c r="AU1657" i="21" s="1"/>
  <c r="AN1367" i="21"/>
  <c r="AJ1446" i="21"/>
  <c r="AM1771" i="21"/>
  <c r="AU1771" i="21" s="1"/>
  <c r="AM1458" i="21"/>
  <c r="AU1458" i="21" s="1"/>
  <c r="AM1390" i="21"/>
  <c r="AU1390" i="21" s="1"/>
  <c r="AM1505" i="21"/>
  <c r="AU1505" i="21" s="1"/>
  <c r="AM1439" i="21"/>
  <c r="AU1439" i="21" s="1"/>
  <c r="AM1245" i="21"/>
  <c r="AU1245" i="21" s="1"/>
  <c r="AK1460" i="21"/>
  <c r="AL1460" i="21" s="1"/>
  <c r="AN1460" i="21" s="1"/>
  <c r="AN1394" i="21"/>
  <c r="AN1540" i="21"/>
  <c r="AM1710" i="21"/>
  <c r="AU1710" i="21" s="1"/>
  <c r="AM1551" i="21"/>
  <c r="AU1551" i="21" s="1"/>
  <c r="AN1330" i="21"/>
  <c r="AM1265" i="21"/>
  <c r="AU1265" i="21" s="1"/>
  <c r="AN1720" i="21"/>
  <c r="AM1542" i="21"/>
  <c r="AU1542" i="21" s="1"/>
  <c r="AM1707" i="21"/>
  <c r="AU1707" i="21" s="1"/>
  <c r="AM1200" i="21"/>
  <c r="AU1200" i="21" s="1"/>
  <c r="AM1155" i="21"/>
  <c r="AU1155" i="21" s="1"/>
  <c r="AN1662" i="21"/>
  <c r="AM1767" i="21"/>
  <c r="AU1767" i="21" s="1"/>
  <c r="AK1782" i="21"/>
  <c r="AL1782" i="21" s="1"/>
  <c r="AM1782" i="21" s="1"/>
  <c r="AU1782" i="21" s="1"/>
  <c r="AM1281" i="21"/>
  <c r="AU1281" i="21" s="1"/>
  <c r="AM1160" i="21"/>
  <c r="AU1160" i="21" s="1"/>
  <c r="AN1392" i="21"/>
  <c r="AN1425" i="21"/>
  <c r="AN1246" i="21"/>
  <c r="AM1497" i="21"/>
  <c r="AU1497" i="21" s="1"/>
  <c r="AN1144" i="21"/>
  <c r="AK1255" i="21"/>
  <c r="AL1255" i="21" s="1"/>
  <c r="AM1255" i="21" s="1"/>
  <c r="AU1255" i="21" s="1"/>
  <c r="AM1375" i="21"/>
  <c r="AU1375" i="21" s="1"/>
  <c r="AN1639" i="21"/>
  <c r="AJ1456" i="21"/>
  <c r="AK1577" i="21"/>
  <c r="AL1577" i="21" s="1"/>
  <c r="AM1577" i="21" s="1"/>
  <c r="AU1577" i="21" s="1"/>
  <c r="AM1555" i="21"/>
  <c r="AU1555" i="21" s="1"/>
  <c r="AN1554" i="21"/>
  <c r="AK1745" i="21"/>
  <c r="AL1745" i="21" s="1"/>
  <c r="AN1745" i="21" s="1"/>
  <c r="AK1269" i="21"/>
  <c r="AL1269" i="21" s="1"/>
  <c r="AN1269" i="21" s="1"/>
  <c r="AM1651" i="21"/>
  <c r="AU1651" i="21" s="1"/>
  <c r="AN1737" i="21"/>
  <c r="AM1391" i="21"/>
  <c r="AU1391" i="21" s="1"/>
  <c r="AN1482" i="21"/>
  <c r="AM1746" i="21"/>
  <c r="AU1746" i="21" s="1"/>
  <c r="AK1653" i="21"/>
  <c r="AL1653" i="21" s="1"/>
  <c r="AM1653" i="21" s="1"/>
  <c r="AU1653" i="21" s="1"/>
  <c r="AM1621" i="21"/>
  <c r="AU1621" i="21" s="1"/>
  <c r="AN1301" i="21"/>
  <c r="AM1535" i="21"/>
  <c r="AU1535" i="21" s="1"/>
  <c r="AM1197" i="21"/>
  <c r="AU1197" i="21" s="1"/>
  <c r="AM1489" i="21"/>
  <c r="AU1489" i="21" s="1"/>
  <c r="AM1478" i="21"/>
  <c r="AU1478" i="21" s="1"/>
  <c r="AM1734" i="21"/>
  <c r="AU1734" i="21" s="1"/>
  <c r="AM1324" i="21"/>
  <c r="AU1324" i="21" s="1"/>
  <c r="AM1201" i="21"/>
  <c r="AU1201" i="21" s="1"/>
  <c r="AM1250" i="21"/>
  <c r="AU1250" i="21" s="1"/>
  <c r="AM1293" i="21"/>
  <c r="AU1293" i="21" s="1"/>
  <c r="AN1618" i="21"/>
  <c r="AM1618" i="21"/>
  <c r="AU1618" i="21" s="1"/>
  <c r="AM1325" i="21"/>
  <c r="AU1325" i="21" s="1"/>
  <c r="AJ1291" i="21"/>
  <c r="AN1209" i="21"/>
  <c r="AJ1472" i="21"/>
  <c r="AJ1149" i="21"/>
  <c r="AM1438" i="21"/>
  <c r="AU1438" i="21" s="1"/>
  <c r="AJ1311" i="21"/>
  <c r="AJ1275" i="21"/>
  <c r="AJ1261" i="21"/>
  <c r="AJ1292" i="21"/>
  <c r="AJ1751" i="21"/>
  <c r="AK1479" i="21"/>
  <c r="AL1479" i="21" s="1"/>
  <c r="AM1479" i="21" s="1"/>
  <c r="AU1479" i="21" s="1"/>
  <c r="AM1276" i="21"/>
  <c r="AU1276" i="21" s="1"/>
  <c r="AM1238" i="21"/>
  <c r="AU1238" i="21" s="1"/>
  <c r="AN1136" i="21"/>
  <c r="AM1357" i="21"/>
  <c r="AU1357" i="21" s="1"/>
  <c r="AN1371" i="21"/>
  <c r="AN1382" i="21"/>
  <c r="AN1147" i="21"/>
  <c r="AJ1572" i="21"/>
  <c r="AJ1750" i="21"/>
  <c r="AN1235" i="21"/>
  <c r="AM1549" i="21"/>
  <c r="AU1549" i="21" s="1"/>
  <c r="AM1572" i="21"/>
  <c r="AU1572" i="21" s="1"/>
  <c r="AM1178" i="21"/>
  <c r="AU1178" i="21" s="1"/>
  <c r="AM1442" i="21"/>
  <c r="AU1442" i="21" s="1"/>
  <c r="AN1522" i="21"/>
  <c r="AM1575" i="21"/>
  <c r="AU1575" i="21" s="1"/>
  <c r="AM1435" i="21"/>
  <c r="AU1435" i="21" s="1"/>
  <c r="AN1786" i="21"/>
  <c r="AM1539" i="21"/>
  <c r="AU1539" i="21" s="1"/>
  <c r="AM1143" i="21"/>
  <c r="AU1143" i="21" s="1"/>
  <c r="AN1139" i="21"/>
  <c r="AK1731" i="21"/>
  <c r="AL1731" i="21" s="1"/>
  <c r="AM1731" i="21" s="1"/>
  <c r="AU1731" i="21" s="1"/>
  <c r="AJ1476" i="21"/>
  <c r="AM1627" i="21"/>
  <c r="AU1627" i="21" s="1"/>
  <c r="AN1513" i="21"/>
  <c r="AK1681" i="21"/>
  <c r="AL1681" i="21" s="1"/>
  <c r="AM1681" i="21" s="1"/>
  <c r="AU1681" i="21" s="1"/>
  <c r="AN1738" i="21"/>
  <c r="AJ1377" i="21"/>
  <c r="AM1135" i="21"/>
  <c r="AU1135" i="21" s="1"/>
  <c r="AN1260" i="21"/>
  <c r="AN1699" i="21"/>
  <c r="AN1680" i="21"/>
  <c r="AN1674" i="21"/>
  <c r="AN1130" i="21"/>
  <c r="AN1302" i="21"/>
  <c r="AN1318" i="21"/>
  <c r="AM1509" i="21"/>
  <c r="AU1509" i="21" s="1"/>
  <c r="AK1583" i="21"/>
  <c r="AL1583" i="21" s="1"/>
  <c r="AN1583" i="21" s="1"/>
  <c r="AN1613" i="21"/>
  <c r="AM1787" i="21"/>
  <c r="AU1787" i="21" s="1"/>
  <c r="AN1547" i="21"/>
  <c r="AM1355" i="21"/>
  <c r="AU1355" i="21" s="1"/>
  <c r="AN1242" i="21"/>
  <c r="AN1248" i="21"/>
  <c r="AJ1458" i="21"/>
  <c r="AK1660" i="21"/>
  <c r="AL1660" i="21" s="1"/>
  <c r="AN1660" i="21" s="1"/>
  <c r="AN1585" i="21"/>
  <c r="AN1763" i="21"/>
  <c r="AN1284" i="21"/>
  <c r="AJ1155" i="21"/>
  <c r="AJ1490" i="21"/>
  <c r="AK1292" i="21"/>
  <c r="AL1292" i="21" s="1"/>
  <c r="AM1292" i="21" s="1"/>
  <c r="AU1292" i="21" s="1"/>
  <c r="AN1436" i="21"/>
  <c r="AM1562" i="21"/>
  <c r="AU1562" i="21" s="1"/>
  <c r="AJ1739" i="21"/>
  <c r="AM1626" i="21"/>
  <c r="AU1626" i="21" s="1"/>
  <c r="AN1635" i="21"/>
  <c r="AM1691" i="21"/>
  <c r="AU1691" i="21" s="1"/>
  <c r="AM1697" i="21"/>
  <c r="AU1697" i="21" s="1"/>
  <c r="AN1304" i="21"/>
  <c r="AM1257" i="21"/>
  <c r="AU1257" i="21" s="1"/>
  <c r="AN1256" i="21"/>
  <c r="AJ1459" i="21"/>
  <c r="AM1453" i="21"/>
  <c r="AU1453" i="21" s="1"/>
  <c r="AN1775" i="21"/>
  <c r="AN1783" i="21"/>
  <c r="AJ1488" i="21"/>
  <c r="AM1236" i="21"/>
  <c r="AU1236" i="21" s="1"/>
  <c r="AJ1339" i="21"/>
  <c r="AM1167" i="21"/>
  <c r="AU1167" i="21" s="1"/>
  <c r="AK1149" i="21"/>
  <c r="AL1149" i="21" s="1"/>
  <c r="AN1149" i="21" s="1"/>
  <c r="AN1132" i="21"/>
  <c r="AN1168" i="21"/>
  <c r="AM1179" i="21"/>
  <c r="AU1179" i="21" s="1"/>
  <c r="AN1463" i="21"/>
  <c r="AM1589" i="21"/>
  <c r="AU1589" i="21" s="1"/>
  <c r="AM1617" i="21"/>
  <c r="AU1617" i="21" s="1"/>
  <c r="AN1770" i="21"/>
  <c r="AN1184" i="21"/>
  <c r="AM1571" i="21"/>
  <c r="AU1571" i="21" s="1"/>
  <c r="AM1615" i="21"/>
  <c r="AU1615" i="21" s="1"/>
  <c r="AN1778" i="21"/>
  <c r="AM1741" i="21"/>
  <c r="AU1741" i="21" s="1"/>
  <c r="AM1777" i="21"/>
  <c r="AU1777" i="21" s="1"/>
  <c r="AN1676" i="21"/>
  <c r="AM1196" i="21"/>
  <c r="AU1196" i="21" s="1"/>
  <c r="AM1151" i="21"/>
  <c r="AU1151" i="21" s="1"/>
  <c r="AM1273" i="21"/>
  <c r="AU1273" i="21" s="1"/>
  <c r="AN1270" i="21"/>
  <c r="AK1377" i="21"/>
  <c r="AL1377" i="21" s="1"/>
  <c r="AM1377" i="21" s="1"/>
  <c r="AU1377" i="21" s="1"/>
  <c r="AM1648" i="21"/>
  <c r="AU1648" i="21" s="1"/>
  <c r="AN1682" i="21"/>
  <c r="AN1688" i="21"/>
  <c r="AM1781" i="21"/>
  <c r="AU1781" i="21" s="1"/>
  <c r="AK1543" i="21"/>
  <c r="AL1543" i="21" s="1"/>
  <c r="AN1543" i="21" s="1"/>
  <c r="AM1570" i="21"/>
  <c r="AU1570" i="21" s="1"/>
  <c r="AK1768" i="21"/>
  <c r="AL1768" i="21" s="1"/>
  <c r="AM1768" i="21" s="1"/>
  <c r="AU1768" i="21" s="1"/>
  <c r="AM1183" i="21"/>
  <c r="AU1183" i="21" s="1"/>
  <c r="AN1289" i="21"/>
  <c r="AM1322" i="21"/>
  <c r="AU1322" i="21" s="1"/>
  <c r="AJ1723" i="21"/>
  <c r="AM1249" i="21"/>
  <c r="AU1249" i="21" s="1"/>
  <c r="AJ1513" i="21"/>
  <c r="AK1476" i="21"/>
  <c r="AL1476" i="21" s="1"/>
  <c r="AM1476" i="21" s="1"/>
  <c r="AU1476" i="21" s="1"/>
  <c r="AJ1468" i="21"/>
  <c r="AJ1669" i="21"/>
  <c r="AJ1600" i="21"/>
  <c r="AM1282" i="21"/>
  <c r="AU1282" i="21" s="1"/>
  <c r="AN1484" i="21"/>
  <c r="AM1637" i="21"/>
  <c r="AU1637" i="21" s="1"/>
  <c r="AJ1247" i="21"/>
  <c r="AJ1491" i="21"/>
  <c r="AN1253" i="21"/>
  <c r="AM1253" i="21"/>
  <c r="AU1253" i="21" s="1"/>
  <c r="AK1362" i="21"/>
  <c r="AL1362" i="21" s="1"/>
  <c r="AN1362" i="21" s="1"/>
  <c r="AM1252" i="21"/>
  <c r="AU1252" i="21" s="1"/>
  <c r="AN1252" i="21"/>
  <c r="AN1232" i="21"/>
  <c r="AM1232" i="21"/>
  <c r="AU1232" i="21" s="1"/>
  <c r="AN1634" i="21"/>
  <c r="AM1634" i="21"/>
  <c r="AU1634" i="21" s="1"/>
  <c r="AM1399" i="21"/>
  <c r="AU1399" i="21" s="1"/>
  <c r="AK1247" i="21"/>
  <c r="AL1247" i="21" s="1"/>
  <c r="AN1247" i="21" s="1"/>
  <c r="AN1433" i="21"/>
  <c r="AM1623" i="21"/>
  <c r="AU1623" i="21" s="1"/>
  <c r="AN1762" i="21"/>
  <c r="AM1704" i="21"/>
  <c r="AU1704" i="21" s="1"/>
  <c r="AM1690" i="21"/>
  <c r="AU1690" i="21" s="1"/>
  <c r="AN1773" i="21"/>
  <c r="AM1761" i="21"/>
  <c r="AU1761" i="21" s="1"/>
  <c r="AJ1163" i="21"/>
  <c r="AM1709" i="21"/>
  <c r="AU1709" i="21" s="1"/>
  <c r="AN1709" i="21"/>
  <c r="AK1455" i="21"/>
  <c r="AL1455" i="21" s="1"/>
  <c r="AJ1455" i="21"/>
  <c r="AN1531" i="21"/>
  <c r="AM1531" i="21"/>
  <c r="AU1531" i="21" s="1"/>
  <c r="AN1729" i="21"/>
  <c r="AM1729" i="21"/>
  <c r="AU1729" i="21" s="1"/>
  <c r="AN1573" i="21"/>
  <c r="AM1573" i="21"/>
  <c r="AU1573" i="21" s="1"/>
  <c r="AJ1726" i="21"/>
  <c r="AK1726" i="21"/>
  <c r="AL1726" i="21" s="1"/>
  <c r="AM1401" i="21"/>
  <c r="AU1401" i="21" s="1"/>
  <c r="AN1401" i="21"/>
  <c r="AN1313" i="21"/>
  <c r="AM1313" i="21"/>
  <c r="AU1313" i="21" s="1"/>
  <c r="AM1340" i="21"/>
  <c r="AU1340" i="21" s="1"/>
  <c r="AN1340" i="21"/>
  <c r="AN1333" i="21"/>
  <c r="AM1333" i="21"/>
  <c r="AU1333" i="21" s="1"/>
  <c r="AM1229" i="21"/>
  <c r="AU1229" i="21" s="1"/>
  <c r="AN1262" i="21"/>
  <c r="AN1309" i="21"/>
  <c r="AM1233" i="21"/>
  <c r="AU1233" i="21" s="1"/>
  <c r="AN1376" i="21"/>
  <c r="AK1395" i="21"/>
  <c r="AL1395" i="21" s="1"/>
  <c r="AM1395" i="21" s="1"/>
  <c r="AU1395" i="21" s="1"/>
  <c r="AJ1484" i="21"/>
  <c r="AN1766" i="21"/>
  <c r="AM1565" i="21"/>
  <c r="AU1565" i="21" s="1"/>
  <c r="AN1373" i="21"/>
  <c r="AM1373" i="21"/>
  <c r="AU1373" i="21" s="1"/>
  <c r="AN1552" i="21"/>
  <c r="AM1552" i="21"/>
  <c r="AU1552" i="21" s="1"/>
  <c r="AJ1193" i="21"/>
  <c r="AK1193" i="21"/>
  <c r="AL1193" i="21" s="1"/>
  <c r="AN1353" i="21"/>
  <c r="AM1353" i="21"/>
  <c r="AU1353" i="21" s="1"/>
  <c r="AM1319" i="21"/>
  <c r="AU1319" i="21" s="1"/>
  <c r="AN1319" i="21"/>
  <c r="AN1718" i="21"/>
  <c r="AM1718" i="21"/>
  <c r="AU1718" i="21" s="1"/>
  <c r="AM1461" i="21"/>
  <c r="AU1461" i="21" s="1"/>
  <c r="AN1461" i="21"/>
  <c r="AK1647" i="21"/>
  <c r="AL1647" i="21" s="1"/>
  <c r="AJ1647" i="21"/>
  <c r="AK1297" i="21"/>
  <c r="AL1297" i="21" s="1"/>
  <c r="AJ1297" i="21"/>
  <c r="AN1358" i="21"/>
  <c r="AM1358" i="21"/>
  <c r="AU1358" i="21" s="1"/>
  <c r="AM1459" i="21"/>
  <c r="AU1459" i="21" s="1"/>
  <c r="AN1459" i="21"/>
  <c r="AN1175" i="21"/>
  <c r="AM1175" i="21"/>
  <c r="AU1175" i="21" s="1"/>
  <c r="AN1557" i="21"/>
  <c r="AM1557" i="21"/>
  <c r="AU1557" i="21" s="1"/>
  <c r="AM1286" i="21"/>
  <c r="AU1286" i="21" s="1"/>
  <c r="AN1286" i="21"/>
  <c r="AN1661" i="21"/>
  <c r="AM1661" i="21"/>
  <c r="AU1661" i="21" s="1"/>
  <c r="AM1785" i="21"/>
  <c r="AU1785" i="21" s="1"/>
  <c r="AK1779" i="21"/>
  <c r="AL1779" i="21" s="1"/>
  <c r="AJ1779" i="21"/>
  <c r="AM1646" i="21"/>
  <c r="AU1646" i="21" s="1"/>
  <c r="AN1646" i="21"/>
  <c r="AK1194" i="21"/>
  <c r="AL1194" i="21" s="1"/>
  <c r="AM1194" i="21" s="1"/>
  <c r="AU1194" i="21" s="1"/>
  <c r="AM1643" i="21"/>
  <c r="AU1643" i="21" s="1"/>
  <c r="AJ1303" i="21"/>
  <c r="AK1303" i="21"/>
  <c r="AL1303" i="21" s="1"/>
  <c r="AN1501" i="21"/>
  <c r="AM1501" i="21"/>
  <c r="AU1501" i="21" s="1"/>
  <c r="AN1285" i="21"/>
  <c r="AM1285" i="21"/>
  <c r="AU1285" i="21" s="1"/>
  <c r="AJ1466" i="21"/>
  <c r="AK1466" i="21"/>
  <c r="AL1466" i="21" s="1"/>
  <c r="AJ1656" i="21"/>
  <c r="AK1656" i="21"/>
  <c r="AL1656" i="21" s="1"/>
  <c r="AN1240" i="21"/>
  <c r="AJ1306" i="21"/>
  <c r="AN1172" i="21"/>
  <c r="AN1159" i="21"/>
  <c r="AJ1152" i="21"/>
  <c r="AM1195" i="21"/>
  <c r="AU1195" i="21" s="1"/>
  <c r="AM1317" i="21"/>
  <c r="AU1317" i="21" s="1"/>
  <c r="AK1423" i="21"/>
  <c r="AL1423" i="21" s="1"/>
  <c r="AM1423" i="21" s="1"/>
  <c r="AU1423" i="21" s="1"/>
  <c r="AM1407" i="21"/>
  <c r="AU1407" i="21" s="1"/>
  <c r="AN1409" i="21"/>
  <c r="AN1449" i="21"/>
  <c r="AN1443" i="21"/>
  <c r="AK1669" i="21"/>
  <c r="AL1669" i="21" s="1"/>
  <c r="AM1669" i="21" s="1"/>
  <c r="AU1669" i="21" s="1"/>
  <c r="AM1714" i="21"/>
  <c r="AU1714" i="21" s="1"/>
  <c r="AM1769" i="21"/>
  <c r="AU1769" i="21" s="1"/>
  <c r="AK1754" i="21"/>
  <c r="AL1754" i="21" s="1"/>
  <c r="AM1754" i="21" s="1"/>
  <c r="AU1754" i="21" s="1"/>
  <c r="AM1428" i="21"/>
  <c r="AU1428" i="21" s="1"/>
  <c r="AN1428" i="21"/>
  <c r="AJ1171" i="21"/>
  <c r="AK1171" i="21"/>
  <c r="AL1171" i="21" s="1"/>
  <c r="AJ1156" i="21"/>
  <c r="AK1156" i="21"/>
  <c r="AL1156" i="21" s="1"/>
  <c r="AJ1212" i="21"/>
  <c r="AK1254" i="21"/>
  <c r="AL1254" i="21" s="1"/>
  <c r="AJ1254" i="21"/>
  <c r="AJ1594" i="21"/>
  <c r="AM1483" i="21"/>
  <c r="AU1483" i="21" s="1"/>
  <c r="AN1483" i="21"/>
  <c r="AJ1586" i="21"/>
  <c r="AK1586" i="21"/>
  <c r="AL1586" i="21" s="1"/>
  <c r="AJ1474" i="21"/>
  <c r="AK1474" i="21"/>
  <c r="AL1474" i="21" s="1"/>
  <c r="AK1544" i="21"/>
  <c r="AL1544" i="21" s="1"/>
  <c r="AJ1544" i="21"/>
  <c r="AK1470" i="21"/>
  <c r="AL1470" i="21" s="1"/>
  <c r="AJ1470" i="21"/>
  <c r="AN1702" i="21"/>
  <c r="AM1702" i="21"/>
  <c r="AU1702" i="21" s="1"/>
  <c r="AN1760" i="21"/>
  <c r="AN1314" i="21"/>
  <c r="AM1314" i="21"/>
  <c r="AU1314" i="21" s="1"/>
  <c r="AM1187" i="21"/>
  <c r="AU1187" i="21" s="1"/>
  <c r="AM1241" i="21"/>
  <c r="AU1241" i="21" s="1"/>
  <c r="AN1306" i="21"/>
  <c r="AM1337" i="21"/>
  <c r="AU1337" i="21" s="1"/>
  <c r="AM1354" i="21"/>
  <c r="AU1354" i="21" s="1"/>
  <c r="AN1328" i="21"/>
  <c r="AK1451" i="21"/>
  <c r="AL1451" i="21" s="1"/>
  <c r="AN1451" i="21" s="1"/>
  <c r="AM1560" i="21"/>
  <c r="AU1560" i="21" s="1"/>
  <c r="AM1462" i="21"/>
  <c r="AU1462" i="21" s="1"/>
  <c r="AJ1668" i="21"/>
  <c r="AK1600" i="21"/>
  <c r="AL1600" i="21" s="1"/>
  <c r="AN1600" i="21" s="1"/>
  <c r="AM1619" i="21"/>
  <c r="AU1619" i="21" s="1"/>
  <c r="AM1578" i="21"/>
  <c r="AU1578" i="21" s="1"/>
  <c r="AN1774" i="21"/>
  <c r="AN1689" i="21"/>
  <c r="AM1631" i="21"/>
  <c r="AU1631" i="21" s="1"/>
  <c r="AM1614" i="21"/>
  <c r="AU1614" i="21" s="1"/>
  <c r="AK1278" i="21"/>
  <c r="AL1278" i="21" s="1"/>
  <c r="AJ1278" i="21"/>
  <c r="AM1320" i="21"/>
  <c r="AU1320" i="21" s="1"/>
  <c r="AN1320" i="21"/>
  <c r="AN1541" i="21"/>
  <c r="AM1541" i="21"/>
  <c r="AU1541" i="21" s="1"/>
  <c r="AJ1602" i="21"/>
  <c r="AK1602" i="21"/>
  <c r="AL1602" i="21" s="1"/>
  <c r="AJ1722" i="21"/>
  <c r="AK1722" i="21"/>
  <c r="AL1722" i="21" s="1"/>
  <c r="AJ1521" i="21"/>
  <c r="AK1521" i="21"/>
  <c r="AL1521" i="21" s="1"/>
  <c r="AJ1684" i="21"/>
  <c r="AK1684" i="21"/>
  <c r="AL1684" i="21" s="1"/>
  <c r="AK1753" i="21"/>
  <c r="AL1753" i="21" s="1"/>
  <c r="AM1753" i="21" s="1"/>
  <c r="AU1753" i="21" s="1"/>
  <c r="AN1208" i="21"/>
  <c r="AM1208" i="21"/>
  <c r="AU1208" i="21" s="1"/>
  <c r="AN1294" i="21"/>
  <c r="AM1294" i="21"/>
  <c r="AU1294" i="21" s="1"/>
  <c r="AM1668" i="21"/>
  <c r="AU1668" i="21" s="1"/>
  <c r="AN1668" i="21"/>
  <c r="AJ1493" i="21"/>
  <c r="AK1493" i="21"/>
  <c r="AL1493" i="21" s="1"/>
  <c r="AJ1290" i="21"/>
  <c r="AK1290" i="21"/>
  <c r="AL1290" i="21" s="1"/>
  <c r="AJ1650" i="21"/>
  <c r="AK1650" i="21"/>
  <c r="AL1650" i="21" s="1"/>
  <c r="AN1163" i="21"/>
  <c r="AM1163" i="21"/>
  <c r="AU1163" i="21" s="1"/>
  <c r="AM1477" i="21"/>
  <c r="AU1477" i="21" s="1"/>
  <c r="AN1477" i="21"/>
  <c r="AM1131" i="21"/>
  <c r="AU1131" i="21" s="1"/>
  <c r="AN1384" i="21"/>
  <c r="AN1556" i="21"/>
  <c r="AM1730" i="21"/>
  <c r="AU1730" i="21" s="1"/>
  <c r="AN1343" i="21"/>
  <c r="AM1343" i="21"/>
  <c r="AU1343" i="21" s="1"/>
  <c r="AM1291" i="21"/>
  <c r="AU1291" i="21" s="1"/>
  <c r="AN1291" i="21"/>
  <c r="AN1713" i="21"/>
  <c r="AM1713" i="21"/>
  <c r="AU1713" i="21" s="1"/>
  <c r="AK1471" i="21"/>
  <c r="AL1471" i="21" s="1"/>
  <c r="AJ1471" i="21"/>
  <c r="AJ1250" i="21"/>
  <c r="AM1239" i="21"/>
  <c r="AU1239" i="21" s="1"/>
  <c r="AN1239" i="21"/>
  <c r="AM1267" i="21"/>
  <c r="AU1267" i="21" s="1"/>
  <c r="AN1267" i="21"/>
  <c r="AN1402" i="21"/>
  <c r="AM1402" i="21"/>
  <c r="AU1402" i="21" s="1"/>
  <c r="AM1420" i="21"/>
  <c r="AU1420" i="21" s="1"/>
  <c r="AN1420" i="21"/>
  <c r="AJ1530" i="21"/>
  <c r="AK1530" i="21"/>
  <c r="AL1530" i="21" s="1"/>
  <c r="AM1169" i="21"/>
  <c r="AU1169" i="21" s="1"/>
  <c r="AN1169" i="21"/>
  <c r="AN1181" i="21"/>
  <c r="AM1181" i="21"/>
  <c r="AU1181" i="21" s="1"/>
  <c r="AJ1213" i="21"/>
  <c r="AK1213" i="21"/>
  <c r="AL1213" i="21" s="1"/>
  <c r="AM1217" i="21"/>
  <c r="AU1217" i="21" s="1"/>
  <c r="AN1217" i="21"/>
  <c r="AM1202" i="21"/>
  <c r="AU1202" i="21" s="1"/>
  <c r="AN1202" i="21"/>
  <c r="AM1186" i="21"/>
  <c r="AU1186" i="21" s="1"/>
  <c r="AN1186" i="21"/>
  <c r="AN1300" i="21"/>
  <c r="AM1300" i="21"/>
  <c r="AU1300" i="21" s="1"/>
  <c r="AM1272" i="21"/>
  <c r="AU1272" i="21" s="1"/>
  <c r="AN1272" i="21"/>
  <c r="AM1251" i="21"/>
  <c r="AU1251" i="21" s="1"/>
  <c r="AN1251" i="21"/>
  <c r="AM1315" i="21"/>
  <c r="AU1315" i="21" s="1"/>
  <c r="AN1315" i="21"/>
  <c r="AM1361" i="21"/>
  <c r="AU1361" i="21" s="1"/>
  <c r="AN1361" i="21"/>
  <c r="AM1348" i="21"/>
  <c r="AU1348" i="21" s="1"/>
  <c r="AN1348" i="21"/>
  <c r="AN1366" i="21"/>
  <c r="AM1366" i="21"/>
  <c r="AU1366" i="21" s="1"/>
  <c r="AM1404" i="21"/>
  <c r="AU1404" i="21" s="1"/>
  <c r="AN1404" i="21"/>
  <c r="AN1347" i="21"/>
  <c r="AM1347" i="21"/>
  <c r="AU1347" i="21" s="1"/>
  <c r="AN1412" i="21"/>
  <c r="AM1412" i="21"/>
  <c r="AU1412" i="21" s="1"/>
  <c r="AN1321" i="21"/>
  <c r="AM1321" i="21"/>
  <c r="AU1321" i="21" s="1"/>
  <c r="AN1350" i="21"/>
  <c r="AM1350" i="21"/>
  <c r="AU1350" i="21" s="1"/>
  <c r="AM1411" i="21"/>
  <c r="AU1411" i="21" s="1"/>
  <c r="AN1411" i="21"/>
  <c r="AM1372" i="21"/>
  <c r="AU1372" i="21" s="1"/>
  <c r="AN1372" i="21"/>
  <c r="AN1519" i="21"/>
  <c r="AM1519" i="21"/>
  <c r="AU1519" i="21" s="1"/>
  <c r="AM1464" i="21"/>
  <c r="AU1464" i="21" s="1"/>
  <c r="AN1464" i="21"/>
  <c r="AN1503" i="21"/>
  <c r="AM1503" i="21"/>
  <c r="AU1503" i="21" s="1"/>
  <c r="AM1512" i="21"/>
  <c r="AU1512" i="21" s="1"/>
  <c r="AN1512" i="21"/>
  <c r="AM1553" i="21"/>
  <c r="AU1553" i="21" s="1"/>
  <c r="AN1553" i="21"/>
  <c r="AM1504" i="21"/>
  <c r="AU1504" i="21" s="1"/>
  <c r="AN1504" i="21"/>
  <c r="AM1532" i="21"/>
  <c r="AU1532" i="21" s="1"/>
  <c r="AN1532" i="21"/>
  <c r="AJ1605" i="21"/>
  <c r="AK1605" i="21"/>
  <c r="AL1605" i="21" s="1"/>
  <c r="AM1490" i="21"/>
  <c r="AU1490" i="21" s="1"/>
  <c r="AN1490" i="21"/>
  <c r="AJ1601" i="21"/>
  <c r="AK1601" i="21"/>
  <c r="AL1601" i="21" s="1"/>
  <c r="AM1654" i="21"/>
  <c r="AU1654" i="21" s="1"/>
  <c r="AN1654" i="21"/>
  <c r="AN1566" i="21"/>
  <c r="AM1566" i="21"/>
  <c r="AU1566" i="21" s="1"/>
  <c r="AN1663" i="21"/>
  <c r="AM1663" i="21"/>
  <c r="AU1663" i="21" s="1"/>
  <c r="AM1584" i="21"/>
  <c r="AU1584" i="21" s="1"/>
  <c r="AN1584" i="21"/>
  <c r="AM1632" i="21"/>
  <c r="AU1632" i="21" s="1"/>
  <c r="AN1632" i="21"/>
  <c r="AN1611" i="21"/>
  <c r="AM1611" i="21"/>
  <c r="AU1611" i="21" s="1"/>
  <c r="AM1625" i="21"/>
  <c r="AU1625" i="21" s="1"/>
  <c r="AN1625" i="21"/>
  <c r="AN1675" i="21"/>
  <c r="AM1675" i="21"/>
  <c r="AU1675" i="21" s="1"/>
  <c r="AM1561" i="21"/>
  <c r="AU1561" i="21" s="1"/>
  <c r="AN1561" i="21"/>
  <c r="AM1692" i="21"/>
  <c r="AU1692" i="21" s="1"/>
  <c r="AN1692" i="21"/>
  <c r="AM1759" i="21"/>
  <c r="AU1759" i="21" s="1"/>
  <c r="AN1759" i="21"/>
  <c r="AN1687" i="21"/>
  <c r="AM1687" i="21"/>
  <c r="AU1687" i="21" s="1"/>
  <c r="AN1749" i="21"/>
  <c r="AM1749" i="21"/>
  <c r="AU1749" i="21" s="1"/>
  <c r="AN1698" i="21"/>
  <c r="AM1698" i="21"/>
  <c r="AU1698" i="21" s="1"/>
  <c r="AM1693" i="21"/>
  <c r="AU1693" i="21" s="1"/>
  <c r="AN1693" i="21"/>
  <c r="AM1664" i="21"/>
  <c r="AU1664" i="21" s="1"/>
  <c r="AN1664" i="21"/>
  <c r="AM1732" i="21"/>
  <c r="AU1732" i="21" s="1"/>
  <c r="AN1732" i="21"/>
  <c r="AN1695" i="21"/>
  <c r="AM1695" i="21"/>
  <c r="AU1695" i="21" s="1"/>
  <c r="AJ1721" i="21"/>
  <c r="AK1721" i="21"/>
  <c r="AL1721" i="21" s="1"/>
  <c r="AN1719" i="21"/>
  <c r="AM1719" i="21"/>
  <c r="AU1719" i="21" s="1"/>
  <c r="AM1153" i="21"/>
  <c r="AU1153" i="21" s="1"/>
  <c r="AN1153" i="21"/>
  <c r="AM1231" i="21"/>
  <c r="AU1231" i="21" s="1"/>
  <c r="AN1231" i="21"/>
  <c r="AN1288" i="21"/>
  <c r="AM1288" i="21"/>
  <c r="AU1288" i="21" s="1"/>
  <c r="AM1326" i="21"/>
  <c r="AU1326" i="21" s="1"/>
  <c r="AN1326" i="21"/>
  <c r="AN1588" i="21"/>
  <c r="AM1588" i="21"/>
  <c r="AU1588" i="21" s="1"/>
  <c r="AM1784" i="21"/>
  <c r="AU1784" i="21" s="1"/>
  <c r="AN1784" i="21"/>
  <c r="AK1752" i="21"/>
  <c r="AL1752" i="21" s="1"/>
  <c r="AJ1752" i="21"/>
  <c r="AM1174" i="21"/>
  <c r="AU1174" i="21" s="1"/>
  <c r="AN1174" i="21"/>
  <c r="AK1166" i="21"/>
  <c r="AL1166" i="21" s="1"/>
  <c r="AJ1166" i="21"/>
  <c r="AN1207" i="21"/>
  <c r="AM1207" i="21"/>
  <c r="AU1207" i="21" s="1"/>
  <c r="AJ1244" i="21"/>
  <c r="AK1244" i="21"/>
  <c r="AL1244" i="21" s="1"/>
  <c r="AN1199" i="21"/>
  <c r="AM1199" i="21"/>
  <c r="AU1199" i="21" s="1"/>
  <c r="AM1263" i="21"/>
  <c r="AU1263" i="21" s="1"/>
  <c r="AN1263" i="21"/>
  <c r="AM1279" i="21"/>
  <c r="AU1279" i="21" s="1"/>
  <c r="AN1279" i="21"/>
  <c r="AN1224" i="21"/>
  <c r="AM1224" i="21"/>
  <c r="AU1224" i="21" s="1"/>
  <c r="AM1271" i="21"/>
  <c r="AU1271" i="21" s="1"/>
  <c r="AN1271" i="21"/>
  <c r="AM1312" i="21"/>
  <c r="AU1312" i="21" s="1"/>
  <c r="AN1312" i="21"/>
  <c r="AM1275" i="21"/>
  <c r="AU1275" i="21" s="1"/>
  <c r="AN1275" i="21"/>
  <c r="AN1368" i="21"/>
  <c r="AM1368" i="21"/>
  <c r="AU1368" i="21" s="1"/>
  <c r="AM1364" i="21"/>
  <c r="AU1364" i="21" s="1"/>
  <c r="AN1364" i="21"/>
  <c r="AN1410" i="21"/>
  <c r="AM1410" i="21"/>
  <c r="AU1410" i="21" s="1"/>
  <c r="AM1415" i="21"/>
  <c r="AU1415" i="21" s="1"/>
  <c r="AN1415" i="21"/>
  <c r="AN1379" i="21"/>
  <c r="AM1379" i="21"/>
  <c r="AU1379" i="21" s="1"/>
  <c r="AM1424" i="21"/>
  <c r="AU1424" i="21" s="1"/>
  <c r="AN1424" i="21"/>
  <c r="AM1550" i="21"/>
  <c r="AU1550" i="21" s="1"/>
  <c r="AN1550" i="21"/>
  <c r="AJ1516" i="21"/>
  <c r="AK1516" i="21"/>
  <c r="AL1516" i="21" s="1"/>
  <c r="AJ1492" i="21"/>
  <c r="AK1492" i="21"/>
  <c r="AL1492" i="21" s="1"/>
  <c r="AJ1529" i="21"/>
  <c r="AK1529" i="21"/>
  <c r="AL1529" i="21" s="1"/>
  <c r="AN1508" i="21"/>
  <c r="AM1508" i="21"/>
  <c r="AU1508" i="21" s="1"/>
  <c r="AN1537" i="21"/>
  <c r="AM1537" i="21"/>
  <c r="AU1537" i="21" s="1"/>
  <c r="AM1545" i="21"/>
  <c r="AU1545" i="21" s="1"/>
  <c r="AN1545" i="21"/>
  <c r="AN1594" i="21"/>
  <c r="AM1594" i="21"/>
  <c r="AU1594" i="21" s="1"/>
  <c r="AM1608" i="21"/>
  <c r="AU1608" i="21" s="1"/>
  <c r="AN1608" i="21"/>
  <c r="AN1574" i="21"/>
  <c r="AM1574" i="21"/>
  <c r="AU1574" i="21" s="1"/>
  <c r="AM1536" i="21"/>
  <c r="AU1536" i="21" s="1"/>
  <c r="AN1536" i="21"/>
  <c r="AN1604" i="21"/>
  <c r="AM1604" i="21"/>
  <c r="AU1604" i="21" s="1"/>
  <c r="AM1576" i="21"/>
  <c r="AU1576" i="21" s="1"/>
  <c r="AN1576" i="21"/>
  <c r="AJ1670" i="21"/>
  <c r="AK1670" i="21"/>
  <c r="AL1670" i="21" s="1"/>
  <c r="AN1567" i="21"/>
  <c r="AM1567" i="21"/>
  <c r="AU1567" i="21" s="1"/>
  <c r="AN1694" i="21"/>
  <c r="AM1694" i="21"/>
  <c r="AU1694" i="21" s="1"/>
  <c r="AN1701" i="21"/>
  <c r="AM1701" i="21"/>
  <c r="AU1701" i="21" s="1"/>
  <c r="AM1758" i="21"/>
  <c r="AU1758" i="21" s="1"/>
  <c r="AN1758" i="21"/>
  <c r="AM1735" i="21"/>
  <c r="AU1735" i="21" s="1"/>
  <c r="AN1735" i="21"/>
  <c r="AK1756" i="21"/>
  <c r="AL1756" i="21" s="1"/>
  <c r="AJ1756" i="21"/>
  <c r="AM1750" i="21"/>
  <c r="AU1750" i="21" s="1"/>
  <c r="AN1750" i="21"/>
  <c r="AM1211" i="21"/>
  <c r="AU1211" i="21" s="1"/>
  <c r="AN1211" i="21"/>
  <c r="AM1344" i="21"/>
  <c r="AU1344" i="21" s="1"/>
  <c r="AN1344" i="21"/>
  <c r="AN1507" i="21"/>
  <c r="AM1507" i="21"/>
  <c r="AU1507" i="21" s="1"/>
  <c r="AJ1725" i="21"/>
  <c r="AK1725" i="21"/>
  <c r="AL1725" i="21" s="1"/>
  <c r="AM1133" i="21"/>
  <c r="AU1133" i="21" s="1"/>
  <c r="AN1133" i="21"/>
  <c r="AM1221" i="21"/>
  <c r="AU1221" i="21" s="1"/>
  <c r="AN1221" i="21"/>
  <c r="AM1185" i="21"/>
  <c r="AU1185" i="21" s="1"/>
  <c r="AN1185" i="21"/>
  <c r="AM1190" i="21"/>
  <c r="AU1190" i="21" s="1"/>
  <c r="AN1190" i="21"/>
  <c r="AM1198" i="21"/>
  <c r="AU1198" i="21" s="1"/>
  <c r="AN1198" i="21"/>
  <c r="AM1234" i="21"/>
  <c r="AU1234" i="21" s="1"/>
  <c r="AN1234" i="21"/>
  <c r="AN1305" i="21"/>
  <c r="AM1305" i="21"/>
  <c r="AU1305" i="21" s="1"/>
  <c r="AN1329" i="21"/>
  <c r="AM1329" i="21"/>
  <c r="AU1329" i="21" s="1"/>
  <c r="AN1352" i="21"/>
  <c r="AM1352" i="21"/>
  <c r="AU1352" i="21" s="1"/>
  <c r="AN1414" i="21"/>
  <c r="AM1414" i="21"/>
  <c r="AU1414" i="21" s="1"/>
  <c r="AN1370" i="21"/>
  <c r="AM1370" i="21"/>
  <c r="AU1370" i="21" s="1"/>
  <c r="AN1416" i="21"/>
  <c r="AM1416" i="21"/>
  <c r="AU1416" i="21" s="1"/>
  <c r="AN1387" i="21"/>
  <c r="AM1387" i="21"/>
  <c r="AU1387" i="21" s="1"/>
  <c r="AK1429" i="21"/>
  <c r="AL1429" i="21" s="1"/>
  <c r="AJ1429" i="21"/>
  <c r="AK1369" i="21"/>
  <c r="AL1369" i="21" s="1"/>
  <c r="AJ1369" i="21"/>
  <c r="AM1360" i="21"/>
  <c r="AU1360" i="21" s="1"/>
  <c r="AN1360" i="21"/>
  <c r="AJ1465" i="21"/>
  <c r="AK1465" i="21"/>
  <c r="AL1465" i="21" s="1"/>
  <c r="AN1434" i="21"/>
  <c r="AM1434" i="21"/>
  <c r="AU1434" i="21" s="1"/>
  <c r="AM1481" i="21"/>
  <c r="AU1481" i="21" s="1"/>
  <c r="AN1481" i="21"/>
  <c r="AM1444" i="21"/>
  <c r="AU1444" i="21" s="1"/>
  <c r="AN1444" i="21"/>
  <c r="AN1511" i="21"/>
  <c r="AM1511" i="21"/>
  <c r="AU1511" i="21" s="1"/>
  <c r="AN1515" i="21"/>
  <c r="AM1515" i="21"/>
  <c r="AU1515" i="21" s="1"/>
  <c r="AM1514" i="21"/>
  <c r="AU1514" i="21" s="1"/>
  <c r="AN1514" i="21"/>
  <c r="AN1595" i="21"/>
  <c r="AM1595" i="21"/>
  <c r="AU1595" i="21" s="1"/>
  <c r="AN1538" i="21"/>
  <c r="AM1538" i="21"/>
  <c r="AU1538" i="21" s="1"/>
  <c r="AM1624" i="21"/>
  <c r="AU1624" i="21" s="1"/>
  <c r="AN1624" i="21"/>
  <c r="AN1590" i="21"/>
  <c r="AM1590" i="21"/>
  <c r="AU1590" i="21" s="1"/>
  <c r="AM1496" i="21"/>
  <c r="AU1496" i="21" s="1"/>
  <c r="AN1496" i="21"/>
  <c r="AN1620" i="21"/>
  <c r="AM1620" i="21"/>
  <c r="AU1620" i="21" s="1"/>
  <c r="AN1638" i="21"/>
  <c r="AM1638" i="21"/>
  <c r="AU1638" i="21" s="1"/>
  <c r="AN1610" i="21"/>
  <c r="AM1610" i="21"/>
  <c r="AU1610" i="21" s="1"/>
  <c r="AM1659" i="21"/>
  <c r="AU1659" i="21" s="1"/>
  <c r="AN1659" i="21"/>
  <c r="AN1700" i="21"/>
  <c r="AM1700" i="21"/>
  <c r="AU1700" i="21" s="1"/>
  <c r="AM1641" i="21"/>
  <c r="AU1641" i="21" s="1"/>
  <c r="AN1641" i="21"/>
  <c r="AM1580" i="21"/>
  <c r="AU1580" i="21" s="1"/>
  <c r="AN1580" i="21"/>
  <c r="AN1728" i="21"/>
  <c r="AM1728" i="21"/>
  <c r="AU1728" i="21" s="1"/>
  <c r="AN1757" i="21"/>
  <c r="AM1757" i="21"/>
  <c r="AU1757" i="21" s="1"/>
  <c r="AM1764" i="21"/>
  <c r="AU1764" i="21" s="1"/>
  <c r="AN1764" i="21"/>
  <c r="AJ1652" i="21"/>
  <c r="AK1652" i="21"/>
  <c r="AL1652" i="21" s="1"/>
  <c r="AJ1736" i="21"/>
  <c r="AK1736" i="21"/>
  <c r="AL1736" i="21" s="1"/>
  <c r="AN1607" i="21"/>
  <c r="AM1607" i="21"/>
  <c r="AU1607" i="21" s="1"/>
  <c r="AM1673" i="21"/>
  <c r="AU1673" i="21" s="1"/>
  <c r="AN1673" i="21"/>
  <c r="AJ1283" i="21"/>
  <c r="AK1283" i="21"/>
  <c r="AL1283" i="21" s="1"/>
  <c r="AN1527" i="21"/>
  <c r="AM1527" i="21"/>
  <c r="AU1527" i="21" s="1"/>
  <c r="AN1216" i="21"/>
  <c r="AM1216" i="21"/>
  <c r="AU1216" i="21" s="1"/>
  <c r="AM1134" i="21"/>
  <c r="AU1134" i="21" s="1"/>
  <c r="AN1134" i="21"/>
  <c r="AK1219" i="21"/>
  <c r="AL1219" i="21" s="1"/>
  <c r="AJ1219" i="21"/>
  <c r="AM1223" i="21"/>
  <c r="AU1223" i="21" s="1"/>
  <c r="AN1223" i="21"/>
  <c r="AM1258" i="21"/>
  <c r="AU1258" i="21" s="1"/>
  <c r="AN1258" i="21"/>
  <c r="AM1173" i="21"/>
  <c r="AU1173" i="21" s="1"/>
  <c r="AN1173" i="21"/>
  <c r="AM1146" i="21"/>
  <c r="AU1146" i="21" s="1"/>
  <c r="AN1146" i="21"/>
  <c r="AJ1192" i="21"/>
  <c r="AK1192" i="21"/>
  <c r="AL1192" i="21" s="1"/>
  <c r="AM1226" i="21"/>
  <c r="AU1226" i="21" s="1"/>
  <c r="AN1226" i="21"/>
  <c r="AM1180" i="21"/>
  <c r="AU1180" i="21" s="1"/>
  <c r="AN1180" i="21"/>
  <c r="AK1227" i="21"/>
  <c r="AL1227" i="21" s="1"/>
  <c r="AJ1227" i="21"/>
  <c r="AN1280" i="21"/>
  <c r="AM1280" i="21"/>
  <c r="AU1280" i="21" s="1"/>
  <c r="AM1215" i="21"/>
  <c r="AU1215" i="21" s="1"/>
  <c r="AN1215" i="21"/>
  <c r="AM1188" i="21"/>
  <c r="AU1188" i="21" s="1"/>
  <c r="AN1188" i="21"/>
  <c r="AM1259" i="21"/>
  <c r="AU1259" i="21" s="1"/>
  <c r="AN1259" i="21"/>
  <c r="AN1316" i="21"/>
  <c r="AM1316" i="21"/>
  <c r="AU1316" i="21" s="1"/>
  <c r="AM1310" i="21"/>
  <c r="AU1310" i="21" s="1"/>
  <c r="AN1310" i="21"/>
  <c r="AJ1331" i="21"/>
  <c r="AK1331" i="21"/>
  <c r="AL1331" i="21" s="1"/>
  <c r="AM1299" i="21"/>
  <c r="AU1299" i="21" s="1"/>
  <c r="AN1299" i="21"/>
  <c r="AM1311" i="21"/>
  <c r="AU1311" i="21" s="1"/>
  <c r="AN1311" i="21"/>
  <c r="AN1356" i="21"/>
  <c r="AM1356" i="21"/>
  <c r="AU1356" i="21" s="1"/>
  <c r="AN1341" i="21"/>
  <c r="AM1341" i="21"/>
  <c r="AU1341" i="21" s="1"/>
  <c r="AN1374" i="21"/>
  <c r="AM1374" i="21"/>
  <c r="AU1374" i="21" s="1"/>
  <c r="AK1418" i="21"/>
  <c r="AL1418" i="21" s="1"/>
  <c r="AJ1418" i="21"/>
  <c r="AM1336" i="21"/>
  <c r="AU1336" i="21" s="1"/>
  <c r="AN1336" i="21"/>
  <c r="AK1378" i="21"/>
  <c r="AL1378" i="21" s="1"/>
  <c r="AJ1378" i="21"/>
  <c r="AJ1421" i="21"/>
  <c r="AK1421" i="21"/>
  <c r="AL1421" i="21" s="1"/>
  <c r="AN1430" i="21"/>
  <c r="AM1430" i="21"/>
  <c r="AU1430" i="21" s="1"/>
  <c r="AK1437" i="21"/>
  <c r="AL1437" i="21" s="1"/>
  <c r="AJ1437" i="21"/>
  <c r="AN1486" i="21"/>
  <c r="AM1486" i="21"/>
  <c r="AU1486" i="21" s="1"/>
  <c r="AM1441" i="21"/>
  <c r="AU1441" i="21" s="1"/>
  <c r="AN1441" i="21"/>
  <c r="AN1517" i="21"/>
  <c r="AM1517" i="21"/>
  <c r="AU1517" i="21" s="1"/>
  <c r="AM1485" i="21"/>
  <c r="AU1485" i="21" s="1"/>
  <c r="AN1485" i="21"/>
  <c r="AM1440" i="21"/>
  <c r="AU1440" i="21" s="1"/>
  <c r="AN1440" i="21"/>
  <c r="AJ1593" i="21"/>
  <c r="AK1593" i="21"/>
  <c r="AL1593" i="21" s="1"/>
  <c r="AM1548" i="21"/>
  <c r="AU1548" i="21" s="1"/>
  <c r="AN1548" i="21"/>
  <c r="AM1609" i="21"/>
  <c r="AU1609" i="21" s="1"/>
  <c r="AN1609" i="21"/>
  <c r="AM1640" i="21"/>
  <c r="AU1640" i="21" s="1"/>
  <c r="AN1640" i="21"/>
  <c r="AN1591" i="21"/>
  <c r="AM1591" i="21"/>
  <c r="AU1591" i="21" s="1"/>
  <c r="AJ1633" i="21"/>
  <c r="AK1633" i="21"/>
  <c r="AL1633" i="21" s="1"/>
  <c r="AM1665" i="21"/>
  <c r="AU1665" i="21" s="1"/>
  <c r="AN1665" i="21"/>
  <c r="AN1716" i="21"/>
  <c r="AM1716" i="21"/>
  <c r="AU1716" i="21" s="1"/>
  <c r="AN1582" i="21"/>
  <c r="AM1582" i="21"/>
  <c r="AU1582" i="21" s="1"/>
  <c r="AN1683" i="21"/>
  <c r="AM1683" i="21"/>
  <c r="AU1683" i="21" s="1"/>
  <c r="AK1703" i="21"/>
  <c r="AL1703" i="21" s="1"/>
  <c r="AJ1703" i="21"/>
  <c r="AM1696" i="21"/>
  <c r="AU1696" i="21" s="1"/>
  <c r="AN1696" i="21"/>
  <c r="AJ1765" i="21"/>
  <c r="AK1765" i="21"/>
  <c r="AL1765" i="21" s="1"/>
  <c r="AN1712" i="21"/>
  <c r="AM1712" i="21"/>
  <c r="AU1712" i="21" s="1"/>
  <c r="AM1739" i="21"/>
  <c r="AU1739" i="21" s="1"/>
  <c r="AN1739" i="21"/>
  <c r="AM1161" i="21"/>
  <c r="AU1161" i="21" s="1"/>
  <c r="AN1161" i="21"/>
  <c r="AN1296" i="21"/>
  <c r="AM1296" i="21"/>
  <c r="AU1296" i="21" s="1"/>
  <c r="AM1206" i="21"/>
  <c r="AU1206" i="21" s="1"/>
  <c r="AN1206" i="21"/>
  <c r="AN1351" i="21"/>
  <c r="AM1351" i="21"/>
  <c r="AU1351" i="21" s="1"/>
  <c r="AM1445" i="21"/>
  <c r="AU1445" i="21" s="1"/>
  <c r="AN1445" i="21"/>
  <c r="AM1564" i="21"/>
  <c r="AU1564" i="21" s="1"/>
  <c r="AN1564" i="21"/>
  <c r="AM1189" i="21"/>
  <c r="AU1189" i="21" s="1"/>
  <c r="AN1189" i="21"/>
  <c r="AM1176" i="21"/>
  <c r="AU1176" i="21" s="1"/>
  <c r="AN1176" i="21"/>
  <c r="AM1137" i="21"/>
  <c r="AU1137" i="21" s="1"/>
  <c r="AN1137" i="21"/>
  <c r="AM1214" i="21"/>
  <c r="AU1214" i="21" s="1"/>
  <c r="AN1214" i="21"/>
  <c r="AM1266" i="21"/>
  <c r="AU1266" i="21" s="1"/>
  <c r="AN1266" i="21"/>
  <c r="AM1138" i="21"/>
  <c r="AU1138" i="21" s="1"/>
  <c r="AN1138" i="21"/>
  <c r="AM1141" i="21"/>
  <c r="AU1141" i="21" s="1"/>
  <c r="AN1141" i="21"/>
  <c r="AM1154" i="21"/>
  <c r="AU1154" i="21" s="1"/>
  <c r="AN1154" i="21"/>
  <c r="AM1140" i="21"/>
  <c r="AU1140" i="21" s="1"/>
  <c r="AN1140" i="21"/>
  <c r="AM1218" i="21"/>
  <c r="AU1218" i="21" s="1"/>
  <c r="AN1218" i="21"/>
  <c r="AM1182" i="21"/>
  <c r="AU1182" i="21" s="1"/>
  <c r="AN1182" i="21"/>
  <c r="AN1170" i="21"/>
  <c r="AM1170" i="21"/>
  <c r="AU1170" i="21" s="1"/>
  <c r="AM1287" i="21"/>
  <c r="AU1287" i="21" s="1"/>
  <c r="AN1287" i="21"/>
  <c r="AM1243" i="21"/>
  <c r="AU1243" i="21" s="1"/>
  <c r="AN1243" i="21"/>
  <c r="AJ1191" i="21"/>
  <c r="AK1191" i="21"/>
  <c r="AL1191" i="21" s="1"/>
  <c r="AK1264" i="21"/>
  <c r="AL1264" i="21" s="1"/>
  <c r="AJ1264" i="21"/>
  <c r="AM1274" i="21"/>
  <c r="AU1274" i="21" s="1"/>
  <c r="AN1274" i="21"/>
  <c r="AM1332" i="21"/>
  <c r="AU1332" i="21" s="1"/>
  <c r="AN1332" i="21"/>
  <c r="AM1307" i="21"/>
  <c r="AU1307" i="21" s="1"/>
  <c r="AN1307" i="21"/>
  <c r="AM1295" i="21"/>
  <c r="AU1295" i="21" s="1"/>
  <c r="AN1295" i="21"/>
  <c r="AN1398" i="21"/>
  <c r="AM1398" i="21"/>
  <c r="AU1398" i="21" s="1"/>
  <c r="AJ1334" i="21"/>
  <c r="AK1334" i="21"/>
  <c r="AL1334" i="21" s="1"/>
  <c r="AM1380" i="21"/>
  <c r="AU1380" i="21" s="1"/>
  <c r="AN1380" i="21"/>
  <c r="AK1422" i="21"/>
  <c r="AL1422" i="21" s="1"/>
  <c r="AJ1422" i="21"/>
  <c r="AM1413" i="21"/>
  <c r="AU1413" i="21" s="1"/>
  <c r="AN1413" i="21"/>
  <c r="AM1447" i="21"/>
  <c r="AU1447" i="21" s="1"/>
  <c r="AN1447" i="21"/>
  <c r="AM1385" i="21"/>
  <c r="AU1385" i="21" s="1"/>
  <c r="AN1385" i="21"/>
  <c r="AJ1469" i="21"/>
  <c r="AK1469" i="21"/>
  <c r="AL1469" i="21" s="1"/>
  <c r="AN1408" i="21"/>
  <c r="AM1408" i="21"/>
  <c r="AU1408" i="21" s="1"/>
  <c r="AM1393" i="21"/>
  <c r="AU1393" i="21" s="1"/>
  <c r="AN1393" i="21"/>
  <c r="AN1446" i="21"/>
  <c r="AM1446" i="21"/>
  <c r="AU1446" i="21" s="1"/>
  <c r="AJ1518" i="21"/>
  <c r="AK1518" i="21"/>
  <c r="AL1518" i="21" s="1"/>
  <c r="AM1472" i="21"/>
  <c r="AU1472" i="21" s="1"/>
  <c r="AN1472" i="21"/>
  <c r="AN1523" i="21"/>
  <c r="AM1523" i="21"/>
  <c r="AU1523" i="21" s="1"/>
  <c r="AN1452" i="21"/>
  <c r="AM1452" i="21"/>
  <c r="AU1452" i="21" s="1"/>
  <c r="AM1494" i="21"/>
  <c r="AU1494" i="21" s="1"/>
  <c r="AN1494" i="21"/>
  <c r="AN1499" i="21"/>
  <c r="AM1499" i="21"/>
  <c r="AU1499" i="21" s="1"/>
  <c r="AK1520" i="21"/>
  <c r="AL1520" i="21" s="1"/>
  <c r="AJ1520" i="21"/>
  <c r="AN1533" i="21"/>
  <c r="AM1533" i="21"/>
  <c r="AU1533" i="21" s="1"/>
  <c r="AM1581" i="21"/>
  <c r="AU1581" i="21" s="1"/>
  <c r="AN1581" i="21"/>
  <c r="AM1487" i="21"/>
  <c r="AU1487" i="21" s="1"/>
  <c r="AN1487" i="21"/>
  <c r="AK1558" i="21"/>
  <c r="AL1558" i="21" s="1"/>
  <c r="AJ1558" i="21"/>
  <c r="AN1606" i="21"/>
  <c r="AM1606" i="21"/>
  <c r="AU1606" i="21" s="1"/>
  <c r="AM1506" i="21"/>
  <c r="AU1506" i="21" s="1"/>
  <c r="AN1506" i="21"/>
  <c r="AN1636" i="21"/>
  <c r="AM1636" i="21"/>
  <c r="AU1636" i="21" s="1"/>
  <c r="AM1642" i="21"/>
  <c r="AU1642" i="21" s="1"/>
  <c r="AN1642" i="21"/>
  <c r="AN1671" i="21"/>
  <c r="AM1671" i="21"/>
  <c r="AU1671" i="21" s="1"/>
  <c r="AJ1596" i="21"/>
  <c r="AK1596" i="21"/>
  <c r="AL1596" i="21" s="1"/>
  <c r="AJ1655" i="21"/>
  <c r="AK1655" i="21"/>
  <c r="AL1655" i="21" s="1"/>
  <c r="AN1711" i="21"/>
  <c r="AM1711" i="21"/>
  <c r="AU1711" i="21" s="1"/>
  <c r="AM1743" i="21"/>
  <c r="AU1743" i="21" s="1"/>
  <c r="AN1743" i="21"/>
  <c r="AM1772" i="21"/>
  <c r="AU1772" i="21" s="1"/>
  <c r="AN1772" i="21"/>
  <c r="AM1666" i="21"/>
  <c r="AU1666" i="21" s="1"/>
  <c r="AN1666" i="21"/>
  <c r="AJ1686" i="21"/>
  <c r="AK1686" i="21"/>
  <c r="AL1686" i="21" s="1"/>
  <c r="AM1612" i="21"/>
  <c r="AU1612" i="21" s="1"/>
  <c r="AN1612" i="21"/>
  <c r="AM1164" i="21"/>
  <c r="AU1164" i="21" s="1"/>
  <c r="AN1164" i="21"/>
  <c r="AN1212" i="21"/>
  <c r="AM1212" i="21"/>
  <c r="AU1212" i="21" s="1"/>
  <c r="AM1468" i="21"/>
  <c r="AU1468" i="21" s="1"/>
  <c r="AN1468" i="21"/>
  <c r="AM1568" i="21"/>
  <c r="AU1568" i="21" s="1"/>
  <c r="AN1568" i="21"/>
  <c r="AN1667" i="21"/>
  <c r="AM1667" i="21"/>
  <c r="AU1667" i="21" s="1"/>
  <c r="AN1706" i="21"/>
  <c r="AM1706" i="21"/>
  <c r="AU1706" i="21" s="1"/>
  <c r="AK1142" i="21"/>
  <c r="AL1142" i="21" s="1"/>
  <c r="AJ1142" i="21"/>
  <c r="AM1148" i="21"/>
  <c r="AU1148" i="21" s="1"/>
  <c r="AN1148" i="21"/>
  <c r="AM1150" i="21"/>
  <c r="AU1150" i="21" s="1"/>
  <c r="AN1150" i="21"/>
  <c r="AM1157" i="21"/>
  <c r="AU1157" i="21" s="1"/>
  <c r="AN1157" i="21"/>
  <c r="AM1205" i="21"/>
  <c r="AU1205" i="21" s="1"/>
  <c r="AN1205" i="21"/>
  <c r="AM1230" i="21"/>
  <c r="AU1230" i="21" s="1"/>
  <c r="AN1230" i="21"/>
  <c r="AN1203" i="21"/>
  <c r="AM1203" i="21"/>
  <c r="AU1203" i="21" s="1"/>
  <c r="AN1220" i="21"/>
  <c r="AM1220" i="21"/>
  <c r="AU1220" i="21" s="1"/>
  <c r="AN1335" i="21"/>
  <c r="AM1335" i="21"/>
  <c r="AU1335" i="21" s="1"/>
  <c r="AN1261" i="21"/>
  <c r="AM1261" i="21"/>
  <c r="AU1261" i="21" s="1"/>
  <c r="AN1346" i="21"/>
  <c r="AM1346" i="21"/>
  <c r="AU1346" i="21" s="1"/>
  <c r="AN1406" i="21"/>
  <c r="AM1406" i="21"/>
  <c r="AU1406" i="21" s="1"/>
  <c r="AM1397" i="21"/>
  <c r="AU1397" i="21" s="1"/>
  <c r="AN1397" i="21"/>
  <c r="AM1389" i="21"/>
  <c r="AU1389" i="21" s="1"/>
  <c r="AN1389" i="21"/>
  <c r="AN1338" i="21"/>
  <c r="AM1338" i="21"/>
  <c r="AU1338" i="21" s="1"/>
  <c r="AN1386" i="21"/>
  <c r="AM1386" i="21"/>
  <c r="AU1386" i="21" s="1"/>
  <c r="AN1426" i="21"/>
  <c r="AM1426" i="21"/>
  <c r="AU1426" i="21" s="1"/>
  <c r="AM1417" i="21"/>
  <c r="AU1417" i="21" s="1"/>
  <c r="AN1417" i="21"/>
  <c r="AM1448" i="21"/>
  <c r="AU1448" i="21" s="1"/>
  <c r="AN1448" i="21"/>
  <c r="AN1432" i="21"/>
  <c r="AM1432" i="21"/>
  <c r="AU1432" i="21" s="1"/>
  <c r="AM1502" i="21"/>
  <c r="AU1502" i="21" s="1"/>
  <c r="AN1502" i="21"/>
  <c r="AM1498" i="21"/>
  <c r="AU1498" i="21" s="1"/>
  <c r="AN1498" i="21"/>
  <c r="AM1475" i="21"/>
  <c r="AU1475" i="21" s="1"/>
  <c r="AN1475" i="21"/>
  <c r="AN1622" i="21"/>
  <c r="AM1622" i="21"/>
  <c r="AU1622" i="21" s="1"/>
  <c r="AN1563" i="21"/>
  <c r="AM1563" i="21"/>
  <c r="AU1563" i="21" s="1"/>
  <c r="AM1645" i="21"/>
  <c r="AU1645" i="21" s="1"/>
  <c r="AN1645" i="21"/>
  <c r="AJ1597" i="21"/>
  <c r="AK1597" i="21"/>
  <c r="AL1597" i="21" s="1"/>
  <c r="AN1679" i="21"/>
  <c r="AM1679" i="21"/>
  <c r="AU1679" i="21" s="1"/>
  <c r="AN1630" i="21"/>
  <c r="AM1630" i="21"/>
  <c r="AU1630" i="21" s="1"/>
  <c r="AN1598" i="21"/>
  <c r="AM1598" i="21"/>
  <c r="AU1598" i="21" s="1"/>
  <c r="AM1744" i="21"/>
  <c r="AU1744" i="21" s="1"/>
  <c r="AN1744" i="21"/>
  <c r="AM1705" i="21"/>
  <c r="AU1705" i="21" s="1"/>
  <c r="AN1705" i="21"/>
  <c r="AM1776" i="21"/>
  <c r="AU1776" i="21" s="1"/>
  <c r="AN1776" i="21"/>
  <c r="AJ1724" i="21"/>
  <c r="AK1724" i="21"/>
  <c r="AL1724" i="21" s="1"/>
  <c r="AK1748" i="21"/>
  <c r="AL1748" i="21" s="1"/>
  <c r="AJ1748" i="21"/>
  <c r="AM1708" i="21"/>
  <c r="AU1708" i="21" s="1"/>
  <c r="AN1708" i="21"/>
  <c r="AM1751" i="21"/>
  <c r="AU1751" i="21" s="1"/>
  <c r="AN1751" i="21"/>
  <c r="AK1268" i="21"/>
  <c r="AL1268" i="21" s="1"/>
  <c r="AJ1268" i="21"/>
  <c r="AJ1381" i="21"/>
  <c r="AK1381" i="21"/>
  <c r="AL1381" i="21" s="1"/>
  <c r="AJ1457" i="21"/>
  <c r="AK1457" i="21"/>
  <c r="AL1457" i="21" s="1"/>
  <c r="AJ1528" i="21"/>
  <c r="AK1528" i="21"/>
  <c r="AL1528" i="21" s="1"/>
  <c r="AN1491" i="21"/>
  <c r="AM1491" i="21"/>
  <c r="AU1491" i="21" s="1"/>
  <c r="AM1145" i="21"/>
  <c r="AU1145" i="21" s="1"/>
  <c r="AN1145" i="21"/>
  <c r="AM1162" i="21"/>
  <c r="AU1162" i="21" s="1"/>
  <c r="AN1162" i="21"/>
  <c r="AN1158" i="21"/>
  <c r="AM1158" i="21"/>
  <c r="AU1158" i="21" s="1"/>
  <c r="AM1165" i="21"/>
  <c r="AU1165" i="21" s="1"/>
  <c r="AN1165" i="21"/>
  <c r="AM1152" i="21"/>
  <c r="AU1152" i="21" s="1"/>
  <c r="AN1152" i="21"/>
  <c r="AM1177" i="21"/>
  <c r="AU1177" i="21" s="1"/>
  <c r="AN1177" i="21"/>
  <c r="AM1222" i="21"/>
  <c r="AU1222" i="21" s="1"/>
  <c r="AN1222" i="21"/>
  <c r="AJ1210" i="21"/>
  <c r="AK1210" i="21"/>
  <c r="AL1210" i="21" s="1"/>
  <c r="AN1204" i="21"/>
  <c r="AM1204" i="21"/>
  <c r="AU1204" i="21" s="1"/>
  <c r="AN1228" i="21"/>
  <c r="AM1228" i="21"/>
  <c r="AU1228" i="21" s="1"/>
  <c r="AM1225" i="21"/>
  <c r="AU1225" i="21" s="1"/>
  <c r="AN1225" i="21"/>
  <c r="AM1342" i="21"/>
  <c r="AU1342" i="21" s="1"/>
  <c r="AN1342" i="21"/>
  <c r="AK1308" i="21"/>
  <c r="AL1308" i="21" s="1"/>
  <c r="AJ1308" i="21"/>
  <c r="AM1339" i="21"/>
  <c r="AU1339" i="21" s="1"/>
  <c r="AN1339" i="21"/>
  <c r="AN1327" i="21"/>
  <c r="AM1327" i="21"/>
  <c r="AU1327" i="21" s="1"/>
  <c r="AN1363" i="21"/>
  <c r="AM1363" i="21"/>
  <c r="AU1363" i="21" s="1"/>
  <c r="AN1359" i="21"/>
  <c r="AM1359" i="21"/>
  <c r="AU1359" i="21" s="1"/>
  <c r="AM1405" i="21"/>
  <c r="AU1405" i="21" s="1"/>
  <c r="AN1405" i="21"/>
  <c r="AM1349" i="21"/>
  <c r="AU1349" i="21" s="1"/>
  <c r="AN1349" i="21"/>
  <c r="AM1396" i="21"/>
  <c r="AU1396" i="21" s="1"/>
  <c r="AN1396" i="21"/>
  <c r="AN1345" i="21"/>
  <c r="AM1345" i="21"/>
  <c r="AU1345" i="21" s="1"/>
  <c r="AM1388" i="21"/>
  <c r="AU1388" i="21" s="1"/>
  <c r="AN1388" i="21"/>
  <c r="AJ1365" i="21"/>
  <c r="AK1365" i="21"/>
  <c r="AL1365" i="21" s="1"/>
  <c r="AN1419" i="21"/>
  <c r="AM1419" i="21"/>
  <c r="AU1419" i="21" s="1"/>
  <c r="AJ1450" i="21"/>
  <c r="AK1450" i="21"/>
  <c r="AL1450" i="21" s="1"/>
  <c r="AN1400" i="21"/>
  <c r="AM1400" i="21"/>
  <c r="AU1400" i="21" s="1"/>
  <c r="AJ1473" i="21"/>
  <c r="AK1473" i="21"/>
  <c r="AL1473" i="21" s="1"/>
  <c r="AN1403" i="21"/>
  <c r="AM1403" i="21"/>
  <c r="AU1403" i="21" s="1"/>
  <c r="AM1456" i="21"/>
  <c r="AU1456" i="21" s="1"/>
  <c r="AN1456" i="21"/>
  <c r="AM1480" i="21"/>
  <c r="AU1480" i="21" s="1"/>
  <c r="AN1480" i="21"/>
  <c r="AN1495" i="21"/>
  <c r="AM1495" i="21"/>
  <c r="AU1495" i="21" s="1"/>
  <c r="AM1524" i="21"/>
  <c r="AU1524" i="21" s="1"/>
  <c r="AN1524" i="21"/>
  <c r="AN1454" i="21"/>
  <c r="AM1454" i="21"/>
  <c r="AU1454" i="21" s="1"/>
  <c r="AM1510" i="21"/>
  <c r="AU1510" i="21" s="1"/>
  <c r="AN1510" i="21"/>
  <c r="AN1500" i="21"/>
  <c r="AM1500" i="21"/>
  <c r="AU1500" i="21" s="1"/>
  <c r="AN1546" i="21"/>
  <c r="AM1546" i="21"/>
  <c r="AU1546" i="21" s="1"/>
  <c r="AM1488" i="21"/>
  <c r="AU1488" i="21" s="1"/>
  <c r="AN1488" i="21"/>
  <c r="AM1534" i="21"/>
  <c r="AU1534" i="21" s="1"/>
  <c r="AN1534" i="21"/>
  <c r="AN1559" i="21"/>
  <c r="AM1559" i="21"/>
  <c r="AU1559" i="21" s="1"/>
  <c r="AM1526" i="21"/>
  <c r="AU1526" i="21" s="1"/>
  <c r="AN1526" i="21"/>
  <c r="AJ1569" i="21"/>
  <c r="AK1569" i="21"/>
  <c r="AL1569" i="21" s="1"/>
  <c r="AM1628" i="21"/>
  <c r="AU1628" i="21" s="1"/>
  <c r="AN1628" i="21"/>
  <c r="AN1644" i="21"/>
  <c r="AM1644" i="21"/>
  <c r="AU1644" i="21" s="1"/>
  <c r="AM1677" i="21"/>
  <c r="AU1677" i="21" s="1"/>
  <c r="AN1677" i="21"/>
  <c r="AN1616" i="21"/>
  <c r="AM1616" i="21"/>
  <c r="AU1616" i="21" s="1"/>
  <c r="AN1723" i="21"/>
  <c r="AM1723" i="21"/>
  <c r="AU1723" i="21" s="1"/>
  <c r="AM1755" i="21"/>
  <c r="AU1755" i="21" s="1"/>
  <c r="AN1755" i="21"/>
  <c r="AM1742" i="21"/>
  <c r="AU1742" i="21" s="1"/>
  <c r="AN1742" i="21"/>
  <c r="AM1780" i="21"/>
  <c r="AU1780" i="21" s="1"/>
  <c r="AN1780" i="21"/>
  <c r="AN1727" i="21"/>
  <c r="AM1727" i="21"/>
  <c r="AU1727" i="21" s="1"/>
  <c r="AN1717" i="21"/>
  <c r="AM1717" i="21"/>
  <c r="AU1717" i="21" s="1"/>
  <c r="AC2" i="21"/>
  <c r="C59" i="31"/>
  <c r="D59" i="31"/>
  <c r="F59" i="31"/>
  <c r="AM1102" i="21"/>
  <c r="AM1088" i="21"/>
  <c r="AM1049" i="21"/>
  <c r="AM1040" i="21"/>
  <c r="AM1044" i="21"/>
  <c r="AM843" i="21"/>
  <c r="AM809" i="21"/>
  <c r="AM743" i="21"/>
  <c r="AM729" i="21"/>
  <c r="AM744" i="21"/>
  <c r="AM646" i="21"/>
  <c r="AM358" i="21"/>
  <c r="D58" i="31"/>
  <c r="F58" i="31"/>
  <c r="C58" i="31"/>
  <c r="AM1747" i="21" l="1"/>
  <c r="AU1747" i="21" s="1"/>
  <c r="AM1460" i="21"/>
  <c r="AU1460" i="21" s="1"/>
  <c r="AM1362" i="21"/>
  <c r="AU1362" i="21" s="1"/>
  <c r="AN1292" i="21"/>
  <c r="AM1247" i="21"/>
  <c r="AU1247" i="21" s="1"/>
  <c r="AN1782" i="21"/>
  <c r="AN1255" i="21"/>
  <c r="AM1269" i="21"/>
  <c r="AU1269" i="21" s="1"/>
  <c r="AN1669" i="21"/>
  <c r="AN1395" i="21"/>
  <c r="AN1194" i="21"/>
  <c r="AN1681" i="21"/>
  <c r="AM1600" i="21"/>
  <c r="AU1600" i="21" s="1"/>
  <c r="AN1768" i="21"/>
  <c r="AN1577" i="21"/>
  <c r="AM1745" i="21"/>
  <c r="AU1745" i="21" s="1"/>
  <c r="AN1479" i="21"/>
  <c r="AN1653" i="21"/>
  <c r="AN1731" i="21"/>
  <c r="AN1753" i="21"/>
  <c r="AN1476" i="21"/>
  <c r="AN1377" i="21"/>
  <c r="AM1583" i="21"/>
  <c r="AU1583" i="21" s="1"/>
  <c r="AM1660" i="21"/>
  <c r="AU1660" i="21" s="1"/>
  <c r="AM1149" i="21"/>
  <c r="AU1149" i="21" s="1"/>
  <c r="AM1543" i="21"/>
  <c r="AU1543" i="21" s="1"/>
  <c r="AN1474" i="21"/>
  <c r="AM1474" i="21"/>
  <c r="AU1474" i="21" s="1"/>
  <c r="AM1254" i="21"/>
  <c r="AU1254" i="21" s="1"/>
  <c r="AN1254" i="21"/>
  <c r="AM1656" i="21"/>
  <c r="AU1656" i="21" s="1"/>
  <c r="AN1656" i="21"/>
  <c r="AM1303" i="21"/>
  <c r="AU1303" i="21" s="1"/>
  <c r="AN1303" i="21"/>
  <c r="AN1647" i="21"/>
  <c r="AM1647" i="21"/>
  <c r="AU1647" i="21" s="1"/>
  <c r="AM1193" i="21"/>
  <c r="AU1193" i="21" s="1"/>
  <c r="AN1193" i="21"/>
  <c r="AN1726" i="21"/>
  <c r="AM1726" i="21"/>
  <c r="AU1726" i="21" s="1"/>
  <c r="AM1521" i="21"/>
  <c r="AU1521" i="21" s="1"/>
  <c r="AN1521" i="21"/>
  <c r="AM1156" i="21"/>
  <c r="AU1156" i="21" s="1"/>
  <c r="AN1156" i="21"/>
  <c r="AN1423" i="21"/>
  <c r="AM1650" i="21"/>
  <c r="AU1650" i="21" s="1"/>
  <c r="AN1650" i="21"/>
  <c r="AN1466" i="21"/>
  <c r="AM1466" i="21"/>
  <c r="AU1466" i="21" s="1"/>
  <c r="AM1451" i="21"/>
  <c r="AU1451" i="21" s="1"/>
  <c r="AM1471" i="21"/>
  <c r="AU1471" i="21" s="1"/>
  <c r="AN1471" i="21"/>
  <c r="AN1722" i="21"/>
  <c r="AM1722" i="21"/>
  <c r="AU1722" i="21" s="1"/>
  <c r="AN1171" i="21"/>
  <c r="AM1171" i="21"/>
  <c r="AU1171" i="21" s="1"/>
  <c r="AN1684" i="21"/>
  <c r="AM1684" i="21"/>
  <c r="AU1684" i="21" s="1"/>
  <c r="AM1586" i="21"/>
  <c r="AU1586" i="21" s="1"/>
  <c r="AN1586" i="21"/>
  <c r="AM1455" i="21"/>
  <c r="AU1455" i="21" s="1"/>
  <c r="AN1455" i="21"/>
  <c r="AM1290" i="21"/>
  <c r="AU1290" i="21" s="1"/>
  <c r="AN1290" i="21"/>
  <c r="AM1278" i="21"/>
  <c r="AU1278" i="21" s="1"/>
  <c r="AN1278" i="21"/>
  <c r="AN1470" i="21"/>
  <c r="AM1470" i="21"/>
  <c r="AU1470" i="21" s="1"/>
  <c r="AN1754" i="21"/>
  <c r="AN1602" i="21"/>
  <c r="AM1602" i="21"/>
  <c r="AU1602" i="21" s="1"/>
  <c r="AN1297" i="21"/>
  <c r="AM1297" i="21"/>
  <c r="AU1297" i="21" s="1"/>
  <c r="AN1493" i="21"/>
  <c r="AM1493" i="21"/>
  <c r="AU1493" i="21" s="1"/>
  <c r="AN1544" i="21"/>
  <c r="AM1544" i="21"/>
  <c r="AU1544" i="21" s="1"/>
  <c r="AM1779" i="21"/>
  <c r="AU1779" i="21" s="1"/>
  <c r="AN1779" i="21"/>
  <c r="AN1703" i="21"/>
  <c r="AM1703" i="21"/>
  <c r="AU1703" i="21" s="1"/>
  <c r="AM1227" i="21"/>
  <c r="AU1227" i="21" s="1"/>
  <c r="AN1227" i="21"/>
  <c r="AM1219" i="21"/>
  <c r="AU1219" i="21" s="1"/>
  <c r="AN1219" i="21"/>
  <c r="AM1429" i="21"/>
  <c r="AU1429" i="21" s="1"/>
  <c r="AN1429" i="21"/>
  <c r="AM1756" i="21"/>
  <c r="AU1756" i="21" s="1"/>
  <c r="AN1756" i="21"/>
  <c r="AM1752" i="21"/>
  <c r="AU1752" i="21" s="1"/>
  <c r="AN1752" i="21"/>
  <c r="AM1473" i="21"/>
  <c r="AU1473" i="21" s="1"/>
  <c r="AN1473" i="21"/>
  <c r="AN1191" i="21"/>
  <c r="AM1191" i="21"/>
  <c r="AU1191" i="21" s="1"/>
  <c r="AM1736" i="21"/>
  <c r="AU1736" i="21" s="1"/>
  <c r="AN1736" i="21"/>
  <c r="AM1596" i="21"/>
  <c r="AU1596" i="21" s="1"/>
  <c r="AN1596" i="21"/>
  <c r="AM1518" i="21"/>
  <c r="AU1518" i="21" s="1"/>
  <c r="AN1518" i="21"/>
  <c r="AM1469" i="21"/>
  <c r="AU1469" i="21" s="1"/>
  <c r="AN1469" i="21"/>
  <c r="AM1331" i="21"/>
  <c r="AU1331" i="21" s="1"/>
  <c r="AN1331" i="21"/>
  <c r="AM1283" i="21"/>
  <c r="AU1283" i="21" s="1"/>
  <c r="AN1283" i="21"/>
  <c r="AM1652" i="21"/>
  <c r="AU1652" i="21" s="1"/>
  <c r="AN1652" i="21"/>
  <c r="AM1465" i="21"/>
  <c r="AU1465" i="21" s="1"/>
  <c r="AN1465" i="21"/>
  <c r="AN1529" i="21"/>
  <c r="AM1529" i="21"/>
  <c r="AU1529" i="21" s="1"/>
  <c r="AM1721" i="21"/>
  <c r="AU1721" i="21" s="1"/>
  <c r="AN1721" i="21"/>
  <c r="AM1528" i="21"/>
  <c r="AU1528" i="21" s="1"/>
  <c r="AN1528" i="21"/>
  <c r="AN1268" i="21"/>
  <c r="AM1268" i="21"/>
  <c r="AU1268" i="21" s="1"/>
  <c r="AM1142" i="21"/>
  <c r="AU1142" i="21" s="1"/>
  <c r="AN1142" i="21"/>
  <c r="AN1378" i="21"/>
  <c r="AM1378" i="21"/>
  <c r="AU1378" i="21" s="1"/>
  <c r="AM1166" i="21"/>
  <c r="AU1166" i="21" s="1"/>
  <c r="AN1166" i="21"/>
  <c r="AM1210" i="21"/>
  <c r="AU1210" i="21" s="1"/>
  <c r="AN1210" i="21"/>
  <c r="AM1334" i="21"/>
  <c r="AU1334" i="21" s="1"/>
  <c r="AN1334" i="21"/>
  <c r="AM1421" i="21"/>
  <c r="AU1421" i="21" s="1"/>
  <c r="AN1421" i="21"/>
  <c r="AN1601" i="21"/>
  <c r="AM1601" i="21"/>
  <c r="AU1601" i="21" s="1"/>
  <c r="AM1569" i="21"/>
  <c r="AU1569" i="21" s="1"/>
  <c r="AN1569" i="21"/>
  <c r="AN1450" i="21"/>
  <c r="AM1450" i="21"/>
  <c r="AU1450" i="21" s="1"/>
  <c r="AM1686" i="21"/>
  <c r="AU1686" i="21" s="1"/>
  <c r="AN1686" i="21"/>
  <c r="AN1765" i="21"/>
  <c r="AM1765" i="21"/>
  <c r="AU1765" i="21" s="1"/>
  <c r="AM1633" i="21"/>
  <c r="AU1633" i="21" s="1"/>
  <c r="AN1633" i="21"/>
  <c r="AM1725" i="21"/>
  <c r="AU1725" i="21" s="1"/>
  <c r="AN1725" i="21"/>
  <c r="AN1492" i="21"/>
  <c r="AM1492" i="21"/>
  <c r="AU1492" i="21" s="1"/>
  <c r="AN1605" i="21"/>
  <c r="AM1605" i="21"/>
  <c r="AU1605" i="21" s="1"/>
  <c r="AM1365" i="21"/>
  <c r="AU1365" i="21" s="1"/>
  <c r="AN1365" i="21"/>
  <c r="AM1381" i="21"/>
  <c r="AU1381" i="21" s="1"/>
  <c r="AN1381" i="21"/>
  <c r="AM1748" i="21"/>
  <c r="AU1748" i="21" s="1"/>
  <c r="AN1748" i="21"/>
  <c r="AN1422" i="21"/>
  <c r="AM1422" i="21"/>
  <c r="AU1422" i="21" s="1"/>
  <c r="AM1264" i="21"/>
  <c r="AU1264" i="21" s="1"/>
  <c r="AN1264" i="21"/>
  <c r="AM1437" i="21"/>
  <c r="AU1437" i="21" s="1"/>
  <c r="AN1437" i="21"/>
  <c r="AN1655" i="21"/>
  <c r="AM1655" i="21"/>
  <c r="AU1655" i="21" s="1"/>
  <c r="AM1457" i="21"/>
  <c r="AU1457" i="21" s="1"/>
  <c r="AN1457" i="21"/>
  <c r="AM1597" i="21"/>
  <c r="AU1597" i="21" s="1"/>
  <c r="AN1597" i="21"/>
  <c r="AM1593" i="21"/>
  <c r="AU1593" i="21" s="1"/>
  <c r="AN1593" i="21"/>
  <c r="AN1192" i="21"/>
  <c r="AM1192" i="21"/>
  <c r="AU1192" i="21" s="1"/>
  <c r="AM1670" i="21"/>
  <c r="AU1670" i="21" s="1"/>
  <c r="AN1670" i="21"/>
  <c r="AM1516" i="21"/>
  <c r="AU1516" i="21" s="1"/>
  <c r="AN1516" i="21"/>
  <c r="AM1244" i="21"/>
  <c r="AU1244" i="21" s="1"/>
  <c r="AN1244" i="21"/>
  <c r="AM1213" i="21"/>
  <c r="AU1213" i="21" s="1"/>
  <c r="AN1213" i="21"/>
  <c r="AN1530" i="21"/>
  <c r="AM1530" i="21"/>
  <c r="AU1530" i="21" s="1"/>
  <c r="AM1724" i="21"/>
  <c r="AU1724" i="21" s="1"/>
  <c r="AN1724" i="21"/>
  <c r="AM1308" i="21"/>
  <c r="AU1308" i="21" s="1"/>
  <c r="AN1308" i="21"/>
  <c r="AM1558" i="21"/>
  <c r="AU1558" i="21" s="1"/>
  <c r="AN1558" i="21"/>
  <c r="AM1520" i="21"/>
  <c r="AU1520" i="21" s="1"/>
  <c r="AN1520" i="21"/>
  <c r="AN1418" i="21"/>
  <c r="AM1418" i="21"/>
  <c r="AU1418" i="21" s="1"/>
  <c r="AM1369" i="21"/>
  <c r="AU1369" i="21" s="1"/>
  <c r="AN1369" i="21"/>
  <c r="C62" i="31"/>
  <c r="F60" i="31"/>
  <c r="D60" i="31"/>
  <c r="C60" i="31"/>
  <c r="AI3" i="21"/>
  <c r="AJ3" i="21" s="1"/>
  <c r="AI4" i="21"/>
  <c r="AJ4" i="21" s="1"/>
  <c r="AI5" i="21"/>
  <c r="AJ5" i="21" s="1"/>
  <c r="AI6" i="21"/>
  <c r="AJ6" i="21" s="1"/>
  <c r="AI7" i="21"/>
  <c r="AJ7" i="21" s="1"/>
  <c r="AI8" i="21"/>
  <c r="AJ8" i="21" s="1"/>
  <c r="AI9" i="21"/>
  <c r="AJ9" i="21" s="1"/>
  <c r="AI11" i="21"/>
  <c r="AJ11" i="21" s="1"/>
  <c r="AI13" i="21"/>
  <c r="AJ13" i="21" s="1"/>
  <c r="AI15" i="21"/>
  <c r="AJ15" i="21" s="1"/>
  <c r="AI16" i="21"/>
  <c r="AJ16" i="21" s="1"/>
  <c r="AI17" i="21"/>
  <c r="AJ17" i="21" s="1"/>
  <c r="AI19" i="21"/>
  <c r="AJ19" i="21" s="1"/>
  <c r="AI20" i="21"/>
  <c r="AJ20" i="21" s="1"/>
  <c r="AI22" i="21"/>
  <c r="AJ22" i="21" s="1"/>
  <c r="AI23" i="21"/>
  <c r="AJ23" i="21" s="1"/>
  <c r="AI24" i="21"/>
  <c r="AJ24" i="21" s="1"/>
  <c r="AI26" i="21"/>
  <c r="AJ26" i="21" s="1"/>
  <c r="AI27" i="21"/>
  <c r="AJ27" i="21" s="1"/>
  <c r="AI28" i="21"/>
  <c r="AJ28" i="21" s="1"/>
  <c r="AI29" i="21"/>
  <c r="AJ29" i="21" s="1"/>
  <c r="AI30" i="21"/>
  <c r="AI31" i="21"/>
  <c r="AJ31" i="21" s="1"/>
  <c r="AI33" i="21"/>
  <c r="AI39" i="21"/>
  <c r="AJ39" i="21" s="1"/>
  <c r="AI42" i="21"/>
  <c r="AJ42" i="21" s="1"/>
  <c r="AI44" i="21"/>
  <c r="AJ44" i="21" s="1"/>
  <c r="AI48" i="21"/>
  <c r="AJ48" i="21" s="1"/>
  <c r="AI50" i="21"/>
  <c r="AJ50" i="21" s="1"/>
  <c r="AI51" i="21"/>
  <c r="AJ51" i="21" s="1"/>
  <c r="AI52" i="21"/>
  <c r="AJ52" i="21" s="1"/>
  <c r="AI53" i="21"/>
  <c r="AJ53" i="21" s="1"/>
  <c r="AI54" i="21"/>
  <c r="AJ54" i="21" s="1"/>
  <c r="AI55" i="21"/>
  <c r="AJ55" i="21" s="1"/>
  <c r="AI56" i="21"/>
  <c r="AJ56" i="21" s="1"/>
  <c r="AI57" i="21"/>
  <c r="AJ57" i="21" s="1"/>
  <c r="AI58" i="21"/>
  <c r="AJ58" i="21" s="1"/>
  <c r="AI63" i="21"/>
  <c r="AJ63" i="21" s="1"/>
  <c r="AI68" i="21"/>
  <c r="AJ68" i="21" s="1"/>
  <c r="AI69" i="21"/>
  <c r="AJ69" i="21" s="1"/>
  <c r="AI70" i="21"/>
  <c r="AJ70" i="21" s="1"/>
  <c r="AI74" i="21"/>
  <c r="AJ74" i="21" s="1"/>
  <c r="AI75" i="21"/>
  <c r="AJ75" i="21" s="1"/>
  <c r="AI76" i="21"/>
  <c r="AJ76" i="21" s="1"/>
  <c r="AI77" i="21"/>
  <c r="AJ77" i="21" s="1"/>
  <c r="AI78" i="21"/>
  <c r="AJ78" i="21" s="1"/>
  <c r="AI79" i="21"/>
  <c r="AJ79" i="21" s="1"/>
  <c r="AI80" i="21"/>
  <c r="AJ80" i="21" s="1"/>
  <c r="AI81" i="21"/>
  <c r="AJ81" i="21" s="1"/>
  <c r="AI82" i="21"/>
  <c r="AJ82" i="21" s="1"/>
  <c r="AI84" i="21"/>
  <c r="AJ84" i="21" s="1"/>
  <c r="AI85" i="21"/>
  <c r="AJ85" i="21" s="1"/>
  <c r="AI86" i="21"/>
  <c r="AJ86" i="21" s="1"/>
  <c r="AI87" i="21"/>
  <c r="AJ87" i="21" s="1"/>
  <c r="AI88" i="21"/>
  <c r="AJ88" i="21" s="1"/>
  <c r="AI89" i="21"/>
  <c r="AJ89" i="21" s="1"/>
  <c r="AI90" i="21"/>
  <c r="AI91" i="21"/>
  <c r="AI93" i="21"/>
  <c r="AJ93" i="21" s="1"/>
  <c r="AI94" i="21"/>
  <c r="AJ94" i="21" s="1"/>
  <c r="AI95" i="21"/>
  <c r="AJ95" i="21" s="1"/>
  <c r="AI97" i="21"/>
  <c r="AJ97" i="21" s="1"/>
  <c r="AI98" i="21"/>
  <c r="AJ98" i="21" s="1"/>
  <c r="AI99" i="21"/>
  <c r="AJ99" i="21" s="1"/>
  <c r="AI101" i="21"/>
  <c r="AJ101" i="21" s="1"/>
  <c r="AI102" i="21"/>
  <c r="AJ102" i="21" s="1"/>
  <c r="AI106" i="21"/>
  <c r="AJ106" i="21" s="1"/>
  <c r="AI107" i="21"/>
  <c r="AJ107" i="21" s="1"/>
  <c r="AI108" i="21"/>
  <c r="AJ108" i="21" s="1"/>
  <c r="AI109" i="21"/>
  <c r="AJ109" i="21" s="1"/>
  <c r="AI110" i="21"/>
  <c r="AJ110" i="21" s="1"/>
  <c r="AI111" i="21"/>
  <c r="AJ111" i="21" s="1"/>
  <c r="AI112" i="21"/>
  <c r="AJ112" i="21" s="1"/>
  <c r="AI113" i="21"/>
  <c r="AJ113" i="21" s="1"/>
  <c r="AI114" i="21"/>
  <c r="AJ114" i="21" s="1"/>
  <c r="AI115" i="21"/>
  <c r="AJ115" i="21" s="1"/>
  <c r="AI116" i="21"/>
  <c r="AJ116" i="21" s="1"/>
  <c r="AI117" i="21"/>
  <c r="AJ117" i="21" s="1"/>
  <c r="AI118" i="21"/>
  <c r="AJ118" i="21" s="1"/>
  <c r="AI120" i="21"/>
  <c r="AJ120" i="21" s="1"/>
  <c r="AI122" i="21"/>
  <c r="AJ122" i="21" s="1"/>
  <c r="AI123" i="21"/>
  <c r="AJ123" i="21" s="1"/>
  <c r="AI124" i="21"/>
  <c r="AJ124" i="21" s="1"/>
  <c r="AI125" i="21"/>
  <c r="AJ125" i="21" s="1"/>
  <c r="AI126" i="21"/>
  <c r="AJ126" i="21" s="1"/>
  <c r="AI127" i="21"/>
  <c r="AJ127" i="21" s="1"/>
  <c r="AI128" i="21"/>
  <c r="AJ128" i="21" s="1"/>
  <c r="AI129" i="21"/>
  <c r="AJ129" i="21" s="1"/>
  <c r="AI130" i="21"/>
  <c r="AJ130" i="21" s="1"/>
  <c r="AI140" i="21"/>
  <c r="AJ140" i="21" s="1"/>
  <c r="AI142" i="21"/>
  <c r="AJ142" i="21" s="1"/>
  <c r="AI146" i="21"/>
  <c r="AJ146" i="21" s="1"/>
  <c r="AI147" i="21"/>
  <c r="AJ147" i="21" s="1"/>
  <c r="AI148" i="21"/>
  <c r="AJ148" i="21" s="1"/>
  <c r="AI149" i="21"/>
  <c r="AJ149" i="21" s="1"/>
  <c r="AI150" i="21"/>
  <c r="AJ150" i="21" s="1"/>
  <c r="AI152" i="21"/>
  <c r="AJ152" i="21" s="1"/>
  <c r="AI153" i="21"/>
  <c r="AJ153" i="21" s="1"/>
  <c r="AI154" i="21"/>
  <c r="AJ154" i="21" s="1"/>
  <c r="AI156" i="21"/>
  <c r="AI163" i="21"/>
  <c r="AI165" i="21"/>
  <c r="AJ165" i="21" s="1"/>
  <c r="AI166" i="21"/>
  <c r="AJ166" i="21" s="1"/>
  <c r="AI170" i="21"/>
  <c r="AJ170" i="21" s="1"/>
  <c r="AI171" i="21"/>
  <c r="AJ171" i="21" s="1"/>
  <c r="AI172" i="21"/>
  <c r="AJ172" i="21" s="1"/>
  <c r="AI173" i="21"/>
  <c r="AJ173" i="21" s="1"/>
  <c r="AI174" i="21"/>
  <c r="AJ174" i="21" s="1"/>
  <c r="AI175" i="21"/>
  <c r="AJ175" i="21" s="1"/>
  <c r="AI177" i="21"/>
  <c r="AJ177" i="21" s="1"/>
  <c r="AI178" i="21"/>
  <c r="AJ178" i="21" s="1"/>
  <c r="AI179" i="21"/>
  <c r="AJ179" i="21" s="1"/>
  <c r="AI180" i="21"/>
  <c r="AJ180" i="21" s="1"/>
  <c r="AI181" i="21"/>
  <c r="AJ181" i="21" s="1"/>
  <c r="AI182" i="21"/>
  <c r="AJ182" i="21" s="1"/>
  <c r="AI183" i="21"/>
  <c r="AJ183" i="21" s="1"/>
  <c r="AI184" i="21"/>
  <c r="AJ184" i="21" s="1"/>
  <c r="AI185" i="21"/>
  <c r="AJ185" i="21" s="1"/>
  <c r="AI186" i="21"/>
  <c r="AJ186" i="21" s="1"/>
  <c r="AI187" i="21"/>
  <c r="AJ187" i="21" s="1"/>
  <c r="AI188" i="21"/>
  <c r="AJ188" i="21" s="1"/>
  <c r="AI189" i="21"/>
  <c r="AJ189" i="21" s="1"/>
  <c r="AI190" i="21"/>
  <c r="AJ190" i="21" s="1"/>
  <c r="AI191" i="21"/>
  <c r="AJ191" i="21" s="1"/>
  <c r="AI192" i="21"/>
  <c r="AJ192" i="21" s="1"/>
  <c r="AI193" i="21"/>
  <c r="AJ193" i="21" s="1"/>
  <c r="AI194" i="21"/>
  <c r="AJ194" i="21" s="1"/>
  <c r="AI195" i="21"/>
  <c r="AJ195" i="21" s="1"/>
  <c r="AI196" i="21"/>
  <c r="AJ196" i="21" s="1"/>
  <c r="AI197" i="21"/>
  <c r="AJ197" i="21" s="1"/>
  <c r="AI198" i="21"/>
  <c r="AJ198" i="21" s="1"/>
  <c r="AI200" i="21"/>
  <c r="AJ200" i="21" s="1"/>
  <c r="AI201" i="21"/>
  <c r="AJ201" i="21" s="1"/>
  <c r="AI203" i="21"/>
  <c r="AJ203" i="21" s="1"/>
  <c r="AI207" i="21"/>
  <c r="AJ207" i="21" s="1"/>
  <c r="AI210" i="21"/>
  <c r="AJ210" i="21" s="1"/>
  <c r="AI214" i="21"/>
  <c r="AJ214" i="21" s="1"/>
  <c r="AI218" i="21"/>
  <c r="AJ218" i="21" s="1"/>
  <c r="AI219" i="21"/>
  <c r="AJ219" i="21" s="1"/>
  <c r="AI220" i="21"/>
  <c r="AJ220" i="21" s="1"/>
  <c r="AI221" i="21"/>
  <c r="AJ221" i="21" s="1"/>
  <c r="AI224" i="21"/>
  <c r="AJ224" i="21" s="1"/>
  <c r="AI236" i="21"/>
  <c r="AJ236" i="21" s="1"/>
  <c r="AI242" i="21"/>
  <c r="AJ242" i="21" s="1"/>
  <c r="AI243" i="21"/>
  <c r="AJ243" i="21" s="1"/>
  <c r="AI244" i="21"/>
  <c r="AJ244" i="21" s="1"/>
  <c r="AI245" i="21"/>
  <c r="AJ245" i="21" s="1"/>
  <c r="AI246" i="21"/>
  <c r="AJ246" i="21" s="1"/>
  <c r="AI255" i="21"/>
  <c r="AJ255" i="21" s="1"/>
  <c r="AI260" i="21"/>
  <c r="AJ260" i="21" s="1"/>
  <c r="AI266" i="21"/>
  <c r="AJ266" i="21" s="1"/>
  <c r="AI267" i="21"/>
  <c r="AJ267" i="21" s="1"/>
  <c r="AI269" i="21"/>
  <c r="AJ269" i="21" s="1"/>
  <c r="AI270" i="21"/>
  <c r="AJ270" i="21" s="1"/>
  <c r="AI271" i="21"/>
  <c r="AJ271" i="21" s="1"/>
  <c r="AI272" i="21"/>
  <c r="AJ272" i="21" s="1"/>
  <c r="AI273" i="21"/>
  <c r="AJ273" i="21" s="1"/>
  <c r="AI276" i="21"/>
  <c r="AI281" i="21"/>
  <c r="AJ281" i="21" s="1"/>
  <c r="AI286" i="21"/>
  <c r="AJ286" i="21" s="1"/>
  <c r="AI290" i="21"/>
  <c r="AI291" i="21"/>
  <c r="AI292" i="21"/>
  <c r="AI293" i="21"/>
  <c r="AJ293" i="21" s="1"/>
  <c r="AI294" i="21"/>
  <c r="AJ294" i="21" s="1"/>
  <c r="AI296" i="21"/>
  <c r="AI297" i="21"/>
  <c r="AI309" i="21"/>
  <c r="AI314" i="21"/>
  <c r="AJ314" i="21" s="1"/>
  <c r="AI315" i="21"/>
  <c r="AJ315" i="21" s="1"/>
  <c r="AI316" i="21"/>
  <c r="AJ316" i="21" s="1"/>
  <c r="AI318" i="21"/>
  <c r="AJ318" i="21" s="1"/>
  <c r="AI319" i="21"/>
  <c r="AJ319" i="21" s="1"/>
  <c r="AI323" i="21"/>
  <c r="AJ323" i="21" s="1"/>
  <c r="AI325" i="21"/>
  <c r="AJ325" i="21" s="1"/>
  <c r="AI327" i="21"/>
  <c r="AJ327" i="21" s="1"/>
  <c r="AI329" i="21"/>
  <c r="AJ329" i="21" s="1"/>
  <c r="AI332" i="21"/>
  <c r="AJ332" i="21" s="1"/>
  <c r="AI334" i="21"/>
  <c r="AJ334" i="21" s="1"/>
  <c r="AI335" i="21"/>
  <c r="AJ335" i="21" s="1"/>
  <c r="AI338" i="21"/>
  <c r="AJ338" i="21" s="1"/>
  <c r="AI339" i="21"/>
  <c r="AJ339" i="21" s="1"/>
  <c r="AI340" i="21"/>
  <c r="AJ340" i="21" s="1"/>
  <c r="AI341" i="21"/>
  <c r="AJ341" i="21" s="1"/>
  <c r="AI342" i="21"/>
  <c r="AJ342" i="21" s="1"/>
  <c r="AI343" i="21"/>
  <c r="AJ343" i="21" s="1"/>
  <c r="AI345" i="21"/>
  <c r="AJ345" i="21" s="1"/>
  <c r="AI348" i="21"/>
  <c r="AJ348" i="21" s="1"/>
  <c r="AI349" i="21"/>
  <c r="AJ349" i="21" s="1"/>
  <c r="AI351" i="21"/>
  <c r="AJ351" i="21" s="1"/>
  <c r="AI353" i="21"/>
  <c r="AJ353" i="21" s="1"/>
  <c r="AI356" i="21"/>
  <c r="AJ356" i="21" s="1"/>
  <c r="AI357" i="21"/>
  <c r="AJ357" i="21" s="1"/>
  <c r="AI358" i="21"/>
  <c r="AJ358" i="21" s="1"/>
  <c r="AI360" i="21"/>
  <c r="AJ360" i="21" s="1"/>
  <c r="AI362" i="21"/>
  <c r="AJ362" i="21" s="1"/>
  <c r="AI363" i="21"/>
  <c r="AJ363" i="21" s="1"/>
  <c r="AI364" i="21"/>
  <c r="AJ364" i="21" s="1"/>
  <c r="AI367" i="21"/>
  <c r="AJ367" i="21" s="1"/>
  <c r="AI370" i="21"/>
  <c r="AJ370" i="21" s="1"/>
  <c r="AI371" i="21"/>
  <c r="AJ371" i="21" s="1"/>
  <c r="AI372" i="21"/>
  <c r="AJ372" i="21" s="1"/>
  <c r="AI373" i="21"/>
  <c r="AJ373" i="21" s="1"/>
  <c r="AI374" i="21"/>
  <c r="AJ374" i="21" s="1"/>
  <c r="AI375" i="21"/>
  <c r="AJ375" i="21" s="1"/>
  <c r="AI376" i="21"/>
  <c r="AI377" i="21"/>
  <c r="AJ377" i="21" s="1"/>
  <c r="AI378" i="21"/>
  <c r="AJ378" i="21" s="1"/>
  <c r="AI379" i="21"/>
  <c r="AJ379" i="21" s="1"/>
  <c r="AI380" i="21"/>
  <c r="AJ380" i="21" s="1"/>
  <c r="AI381" i="21"/>
  <c r="AJ381" i="21" s="1"/>
  <c r="AI382" i="21"/>
  <c r="AJ382" i="21" s="1"/>
  <c r="AI383" i="21"/>
  <c r="AJ383" i="21" s="1"/>
  <c r="AI384" i="21"/>
  <c r="AI385" i="21"/>
  <c r="AJ385" i="21" s="1"/>
  <c r="AI386" i="21"/>
  <c r="AJ386" i="21" s="1"/>
  <c r="AI387" i="21"/>
  <c r="AJ387" i="21" s="1"/>
  <c r="AI388" i="21"/>
  <c r="AJ388" i="21" s="1"/>
  <c r="AI389" i="21"/>
  <c r="AJ389" i="21" s="1"/>
  <c r="AI390" i="21"/>
  <c r="AJ390" i="21" s="1"/>
  <c r="AI392" i="21"/>
  <c r="AJ392" i="21" s="1"/>
  <c r="AI394" i="21"/>
  <c r="AJ394" i="21" s="1"/>
  <c r="AI397" i="21"/>
  <c r="AJ397" i="21" s="1"/>
  <c r="AI398" i="21"/>
  <c r="AJ398" i="21" s="1"/>
  <c r="AI399" i="21"/>
  <c r="AJ399" i="21" s="1"/>
  <c r="AI400" i="21"/>
  <c r="AJ400" i="21" s="1"/>
  <c r="AI401" i="21"/>
  <c r="AJ401" i="21" s="1"/>
  <c r="AI404" i="21"/>
  <c r="AJ404" i="21" s="1"/>
  <c r="AI406" i="21"/>
  <c r="AJ406" i="21" s="1"/>
  <c r="AI408" i="21"/>
  <c r="AJ408" i="21" s="1"/>
  <c r="AI409" i="21"/>
  <c r="AJ409" i="21" s="1"/>
  <c r="AI410" i="21"/>
  <c r="AJ410" i="21" s="1"/>
  <c r="AI411" i="21"/>
  <c r="AJ411" i="21" s="1"/>
  <c r="AI412" i="21"/>
  <c r="AJ412" i="21" s="1"/>
  <c r="AI413" i="21"/>
  <c r="AJ413" i="21" s="1"/>
  <c r="AI417" i="21"/>
  <c r="AI434" i="21"/>
  <c r="AJ434" i="21" s="1"/>
  <c r="AI435" i="21"/>
  <c r="AJ435" i="21" s="1"/>
  <c r="AI436" i="21"/>
  <c r="AJ436" i="21" s="1"/>
  <c r="AI437" i="21"/>
  <c r="AJ437" i="21" s="1"/>
  <c r="AI438" i="21"/>
  <c r="AJ438" i="21" s="1"/>
  <c r="AI440" i="21"/>
  <c r="AJ440" i="21" s="1"/>
  <c r="AI441" i="21"/>
  <c r="AJ441" i="21" s="1"/>
  <c r="AI443" i="21"/>
  <c r="AJ443" i="21" s="1"/>
  <c r="AI444" i="21"/>
  <c r="AJ444" i="21" s="1"/>
  <c r="AI445" i="21"/>
  <c r="AJ445" i="21" s="1"/>
  <c r="AI447" i="21"/>
  <c r="AJ447" i="21" s="1"/>
  <c r="AI449" i="21"/>
  <c r="AJ449" i="21" s="1"/>
  <c r="AI451" i="21"/>
  <c r="AJ451" i="21" s="1"/>
  <c r="AI454" i="21"/>
  <c r="AJ454" i="21" s="1"/>
  <c r="AI458" i="21"/>
  <c r="AJ458" i="21" s="1"/>
  <c r="AI459" i="21"/>
  <c r="AJ459" i="21" s="1"/>
  <c r="AI460" i="21"/>
  <c r="AJ460" i="21" s="1"/>
  <c r="AI462" i="21"/>
  <c r="AJ462" i="21" s="1"/>
  <c r="AI463" i="21"/>
  <c r="AJ463" i="21" s="1"/>
  <c r="AI468" i="21"/>
  <c r="AJ468" i="21" s="1"/>
  <c r="AI469" i="21"/>
  <c r="AJ469" i="21" s="1"/>
  <c r="AI471" i="21"/>
  <c r="AJ471" i="21" s="1"/>
  <c r="AI473" i="21"/>
  <c r="AJ473" i="21" s="1"/>
  <c r="AI474" i="21"/>
  <c r="AJ474" i="21" s="1"/>
  <c r="AI475" i="21"/>
  <c r="AJ475" i="21" s="1"/>
  <c r="AI476" i="21"/>
  <c r="AJ476" i="21" s="1"/>
  <c r="AI477" i="21"/>
  <c r="AJ477" i="21" s="1"/>
  <c r="AI478" i="21"/>
  <c r="AJ478" i="21" s="1"/>
  <c r="AI479" i="21"/>
  <c r="AJ479" i="21" s="1"/>
  <c r="AI482" i="21"/>
  <c r="AJ482" i="21" s="1"/>
  <c r="AI483" i="21"/>
  <c r="AJ483" i="21" s="1"/>
  <c r="AI484" i="21"/>
  <c r="AJ484" i="21" s="1"/>
  <c r="AI485" i="21"/>
  <c r="AJ485" i="21" s="1"/>
  <c r="AI486" i="21"/>
  <c r="AJ486" i="21" s="1"/>
  <c r="AI487" i="21"/>
  <c r="AJ487" i="21" s="1"/>
  <c r="AI488" i="21"/>
  <c r="AJ488" i="21" s="1"/>
  <c r="AI489" i="21"/>
  <c r="AJ489" i="21" s="1"/>
  <c r="AI494" i="21"/>
  <c r="AJ494" i="21" s="1"/>
  <c r="AI500" i="21"/>
  <c r="AJ500" i="21" s="1"/>
  <c r="AI501" i="21"/>
  <c r="AJ501" i="21" s="1"/>
  <c r="AI506" i="21"/>
  <c r="AJ506" i="21" s="1"/>
  <c r="AI507" i="21"/>
  <c r="AJ507" i="21" s="1"/>
  <c r="AI508" i="21"/>
  <c r="AJ508" i="21" s="1"/>
  <c r="AI509" i="21"/>
  <c r="AI510" i="21"/>
  <c r="AI511" i="21"/>
  <c r="AJ511" i="21" s="1"/>
  <c r="AI512" i="21"/>
  <c r="AI513" i="21"/>
  <c r="AI516" i="21"/>
  <c r="AJ516" i="21" s="1"/>
  <c r="AI519" i="21"/>
  <c r="AJ519" i="21" s="1"/>
  <c r="AI522" i="21"/>
  <c r="AJ522" i="21" s="1"/>
  <c r="AI523" i="21"/>
  <c r="AJ523" i="21" s="1"/>
  <c r="AJ525" i="21"/>
  <c r="AJ526" i="21"/>
  <c r="AJ527" i="21"/>
  <c r="AI530" i="21"/>
  <c r="AJ530" i="21" s="1"/>
  <c r="AI531" i="21"/>
  <c r="AJ531" i="21" s="1"/>
  <c r="AI532" i="21"/>
  <c r="AJ532" i="21" s="1"/>
  <c r="AI533" i="21"/>
  <c r="AJ533" i="21" s="1"/>
  <c r="AI534" i="21"/>
  <c r="AJ534" i="21" s="1"/>
  <c r="AI535" i="21"/>
  <c r="AJ535" i="21" s="1"/>
  <c r="AI554" i="21"/>
  <c r="AJ554" i="21" s="1"/>
  <c r="AI557" i="21"/>
  <c r="AJ557" i="21" s="1"/>
  <c r="AI558" i="21"/>
  <c r="AJ558" i="21" s="1"/>
  <c r="AI559" i="21"/>
  <c r="AJ559" i="21" s="1"/>
  <c r="AI560" i="21"/>
  <c r="AJ560" i="21" s="1"/>
  <c r="AI563" i="21"/>
  <c r="AJ563" i="21" s="1"/>
  <c r="AI564" i="21"/>
  <c r="AJ564" i="21" s="1"/>
  <c r="AI566" i="21"/>
  <c r="AJ566" i="21" s="1"/>
  <c r="AI567" i="21"/>
  <c r="AJ567" i="21" s="1"/>
  <c r="AI569" i="21"/>
  <c r="AJ569" i="21" s="1"/>
  <c r="AI570" i="21"/>
  <c r="AJ570" i="21" s="1"/>
  <c r="AI572" i="21"/>
  <c r="AJ572" i="21" s="1"/>
  <c r="AI573" i="21"/>
  <c r="AJ573" i="21" s="1"/>
  <c r="AI574" i="21"/>
  <c r="AJ574" i="21" s="1"/>
  <c r="AI581" i="21"/>
  <c r="AJ581" i="21" s="1"/>
  <c r="AI582" i="21"/>
  <c r="AJ582" i="21" s="1"/>
  <c r="AI583" i="21"/>
  <c r="AJ583" i="21" s="1"/>
  <c r="AI585" i="21"/>
  <c r="AJ585" i="21" s="1"/>
  <c r="AI588" i="21"/>
  <c r="AI602" i="21"/>
  <c r="AJ602" i="21" s="1"/>
  <c r="AI603" i="21"/>
  <c r="AJ603" i="21" s="1"/>
  <c r="AI604" i="21"/>
  <c r="AJ604" i="21" s="1"/>
  <c r="AI605" i="21"/>
  <c r="AJ605" i="21" s="1"/>
  <c r="AI606" i="21"/>
  <c r="AJ606" i="21" s="1"/>
  <c r="AI607" i="21"/>
  <c r="AJ607" i="21" s="1"/>
  <c r="AI608" i="21"/>
  <c r="AJ608" i="21" s="1"/>
  <c r="AI609" i="21"/>
  <c r="AJ609" i="21" s="1"/>
  <c r="AI614" i="21"/>
  <c r="AJ614" i="21" s="1"/>
  <c r="AI626" i="21"/>
  <c r="AJ626" i="21" s="1"/>
  <c r="AI627" i="21"/>
  <c r="AJ627" i="21" s="1"/>
  <c r="AI628" i="21"/>
  <c r="AJ628" i="21" s="1"/>
  <c r="AI631" i="21"/>
  <c r="AJ631" i="21" s="1"/>
  <c r="AI635" i="21"/>
  <c r="AJ635" i="21" s="1"/>
  <c r="AI636" i="21"/>
  <c r="AJ636" i="21" s="1"/>
  <c r="AI637" i="21"/>
  <c r="AJ637" i="21" s="1"/>
  <c r="AI639" i="21"/>
  <c r="AJ639" i="21" s="1"/>
  <c r="AI640" i="21"/>
  <c r="AJ640" i="21" s="1"/>
  <c r="AI641" i="21"/>
  <c r="AJ641" i="21" s="1"/>
  <c r="AI642" i="21"/>
  <c r="AJ642" i="21" s="1"/>
  <c r="AI643" i="21"/>
  <c r="AJ643" i="21" s="1"/>
  <c r="AI644" i="21"/>
  <c r="AJ644" i="21" s="1"/>
  <c r="AI645" i="21"/>
  <c r="AJ645" i="21" s="1"/>
  <c r="AI646" i="21"/>
  <c r="AJ646" i="21" s="1"/>
  <c r="AI647" i="21"/>
  <c r="AJ647" i="21" s="1"/>
  <c r="AJ649" i="21"/>
  <c r="AI650" i="21"/>
  <c r="AJ650" i="21" s="1"/>
  <c r="AI651" i="21"/>
  <c r="AJ651" i="21" s="1"/>
  <c r="AI652" i="21"/>
  <c r="AJ652" i="21" s="1"/>
  <c r="AI674" i="21"/>
  <c r="AJ674" i="21" s="1"/>
  <c r="AI675" i="21"/>
  <c r="AJ675" i="21" s="1"/>
  <c r="AI677" i="21"/>
  <c r="AJ677" i="21" s="1"/>
  <c r="AI679" i="21"/>
  <c r="AJ679" i="21" s="1"/>
  <c r="AI680" i="21"/>
  <c r="AI681" i="21"/>
  <c r="AI684" i="21"/>
  <c r="AI685" i="21"/>
  <c r="AJ685" i="21" s="1"/>
  <c r="AI688" i="21"/>
  <c r="AJ688" i="21" s="1"/>
  <c r="AI689" i="21"/>
  <c r="AJ689" i="21" s="1"/>
  <c r="AI692" i="21"/>
  <c r="AJ692" i="21" s="1"/>
  <c r="AI696" i="21"/>
  <c r="AJ696" i="21" s="1"/>
  <c r="AI698" i="21"/>
  <c r="AJ698" i="21" s="1"/>
  <c r="AI699" i="21"/>
  <c r="AJ699" i="21" s="1"/>
  <c r="AI700" i="21"/>
  <c r="AJ700" i="21" s="1"/>
  <c r="AI701" i="21"/>
  <c r="AJ701" i="21" s="1"/>
  <c r="AI702" i="21"/>
  <c r="AJ702" i="21" s="1"/>
  <c r="AI703" i="21"/>
  <c r="AJ703" i="21" s="1"/>
  <c r="AI704" i="21"/>
  <c r="AJ704" i="21" s="1"/>
  <c r="AI707" i="21"/>
  <c r="AJ707" i="21" s="1"/>
  <c r="AI708" i="21"/>
  <c r="AJ708" i="21" s="1"/>
  <c r="AI709" i="21"/>
  <c r="AJ709" i="21" s="1"/>
  <c r="AI710" i="21"/>
  <c r="AJ710" i="21" s="1"/>
  <c r="AI711" i="21"/>
  <c r="AJ711" i="21" s="1"/>
  <c r="AI713" i="21"/>
  <c r="AJ713" i="21" s="1"/>
  <c r="AI715" i="21"/>
  <c r="AJ715" i="21" s="1"/>
  <c r="AI716" i="21"/>
  <c r="AJ716" i="21" s="1"/>
  <c r="AI717" i="21"/>
  <c r="AJ717" i="21" s="1"/>
  <c r="AI718" i="21"/>
  <c r="AJ718" i="21" s="1"/>
  <c r="AI719" i="21"/>
  <c r="AJ719" i="21" s="1"/>
  <c r="AI721" i="21"/>
  <c r="AJ721" i="21" s="1"/>
  <c r="AI722" i="21"/>
  <c r="AJ722" i="21" s="1"/>
  <c r="AI723" i="21"/>
  <c r="AJ723" i="21" s="1"/>
  <c r="AI724" i="21"/>
  <c r="AJ724" i="21" s="1"/>
  <c r="AI725" i="21"/>
  <c r="AJ725" i="21" s="1"/>
  <c r="AI726" i="21"/>
  <c r="AJ726" i="21" s="1"/>
  <c r="AI729" i="21"/>
  <c r="AJ729" i="21" s="1"/>
  <c r="AI730" i="21"/>
  <c r="AJ730" i="21" s="1"/>
  <c r="AI731" i="21"/>
  <c r="AJ731" i="21" s="1"/>
  <c r="AI732" i="21"/>
  <c r="AI733" i="21"/>
  <c r="AJ733" i="21" s="1"/>
  <c r="AI734" i="21"/>
  <c r="AJ734" i="21" s="1"/>
  <c r="AI735" i="21"/>
  <c r="AJ735" i="21" s="1"/>
  <c r="AI737" i="21"/>
  <c r="AJ737" i="21" s="1"/>
  <c r="AI740" i="21"/>
  <c r="AJ740" i="21" s="1"/>
  <c r="AI741" i="21"/>
  <c r="AJ741" i="21" s="1"/>
  <c r="AI742" i="21"/>
  <c r="AJ742" i="21" s="1"/>
  <c r="AI746" i="21"/>
  <c r="AJ746" i="21" s="1"/>
  <c r="AI747" i="21"/>
  <c r="AJ747" i="21" s="1"/>
  <c r="AI748" i="21"/>
  <c r="AJ748" i="21" s="1"/>
  <c r="AI750" i="21"/>
  <c r="AJ750" i="21" s="1"/>
  <c r="AI751" i="21"/>
  <c r="AJ751" i="21" s="1"/>
  <c r="AI756" i="21"/>
  <c r="AJ756" i="21" s="1"/>
  <c r="AI764" i="21"/>
  <c r="AJ764" i="21" s="1"/>
  <c r="AI765" i="21"/>
  <c r="AJ765" i="21" s="1"/>
  <c r="AI770" i="21"/>
  <c r="AJ770" i="21" s="1"/>
  <c r="AI771" i="21"/>
  <c r="AJ771" i="21" s="1"/>
  <c r="AI772" i="21"/>
  <c r="AJ772" i="21" s="1"/>
  <c r="AI773" i="21"/>
  <c r="AJ773" i="21" s="1"/>
  <c r="AI774" i="21"/>
  <c r="AJ774" i="21" s="1"/>
  <c r="AI775" i="21"/>
  <c r="AJ775" i="21" s="1"/>
  <c r="AI776" i="21"/>
  <c r="AJ776" i="21" s="1"/>
  <c r="AI780" i="21"/>
  <c r="AJ780" i="21" s="1"/>
  <c r="AI781" i="21"/>
  <c r="AJ781" i="21" s="1"/>
  <c r="AI783" i="21"/>
  <c r="AJ783" i="21" s="1"/>
  <c r="AI784" i="21"/>
  <c r="AI785" i="21"/>
  <c r="AJ785" i="21" s="1"/>
  <c r="AI788" i="21"/>
  <c r="AJ788" i="21" s="1"/>
  <c r="AI790" i="21"/>
  <c r="AJ790" i="21" s="1"/>
  <c r="AI792" i="21"/>
  <c r="AJ792" i="21" s="1"/>
  <c r="AI793" i="21"/>
  <c r="AI794" i="21"/>
  <c r="AI795" i="21"/>
  <c r="AI796" i="21"/>
  <c r="AI797" i="21"/>
  <c r="AJ797" i="21" s="1"/>
  <c r="AI798" i="21"/>
  <c r="AJ798" i="21" s="1"/>
  <c r="AI799" i="21"/>
  <c r="AJ799" i="21" s="1"/>
  <c r="AI800" i="21"/>
  <c r="AJ800" i="21" s="1"/>
  <c r="AI801" i="21"/>
  <c r="AJ801" i="21" s="1"/>
  <c r="AI818" i="21"/>
  <c r="AJ818" i="21" s="1"/>
  <c r="AI819" i="21"/>
  <c r="AJ819" i="21" s="1"/>
  <c r="AI820" i="21"/>
  <c r="AJ820" i="21" s="1"/>
  <c r="AI821" i="21"/>
  <c r="AJ821" i="21" s="1"/>
  <c r="AI822" i="21"/>
  <c r="AJ822" i="21" s="1"/>
  <c r="AI823" i="21"/>
  <c r="AJ823" i="21" s="1"/>
  <c r="AI825" i="21"/>
  <c r="AJ825" i="21" s="1"/>
  <c r="AI826" i="21"/>
  <c r="AJ826" i="21" s="1"/>
  <c r="AI827" i="21"/>
  <c r="AJ827" i="21" s="1"/>
  <c r="AI828" i="21"/>
  <c r="AJ828" i="21" s="1"/>
  <c r="AI829" i="21"/>
  <c r="AJ829" i="21" s="1"/>
  <c r="AI830" i="21"/>
  <c r="AJ830" i="21" s="1"/>
  <c r="AI831" i="21"/>
  <c r="AJ831" i="21" s="1"/>
  <c r="AI832" i="21"/>
  <c r="AJ832" i="21" s="1"/>
  <c r="AI833" i="21"/>
  <c r="AJ833" i="21" s="1"/>
  <c r="AI834" i="21"/>
  <c r="AJ834" i="21" s="1"/>
  <c r="AI835" i="21"/>
  <c r="AJ835" i="21" s="1"/>
  <c r="AI836" i="21"/>
  <c r="AJ836" i="21" s="1"/>
  <c r="AI837" i="21"/>
  <c r="AJ837" i="21" s="1"/>
  <c r="AI838" i="21"/>
  <c r="AJ838" i="21" s="1"/>
  <c r="AI839" i="21"/>
  <c r="AJ839" i="21" s="1"/>
  <c r="AI840" i="21"/>
  <c r="AJ840" i="21" s="1"/>
  <c r="AI842" i="21"/>
  <c r="AJ842" i="21" s="1"/>
  <c r="AI843" i="21"/>
  <c r="AJ843" i="21" s="1"/>
  <c r="AI844" i="21"/>
  <c r="AJ844" i="21" s="1"/>
  <c r="AI845" i="21"/>
  <c r="AJ845" i="21" s="1"/>
  <c r="AI846" i="21"/>
  <c r="AJ846" i="21" s="1"/>
  <c r="AI847" i="21"/>
  <c r="AJ847" i="21" s="1"/>
  <c r="AI848" i="21"/>
  <c r="AJ848" i="21" s="1"/>
  <c r="AI849" i="21"/>
  <c r="AJ849" i="21" s="1"/>
  <c r="AI850" i="21"/>
  <c r="AJ850" i="21" s="1"/>
  <c r="AI851" i="21"/>
  <c r="AJ851" i="21" s="1"/>
  <c r="AI852" i="21"/>
  <c r="AJ852" i="21" s="1"/>
  <c r="AI853" i="21"/>
  <c r="AJ853" i="21" s="1"/>
  <c r="AI855" i="21"/>
  <c r="AJ855" i="21" s="1"/>
  <c r="AI856" i="21"/>
  <c r="AJ856" i="21" s="1"/>
  <c r="AI857" i="21"/>
  <c r="AJ857" i="21" s="1"/>
  <c r="AI860" i="21"/>
  <c r="AJ860" i="21" s="1"/>
  <c r="AI861" i="21"/>
  <c r="AJ861" i="21" s="1"/>
  <c r="AI862" i="21"/>
  <c r="AJ862" i="21" s="1"/>
  <c r="AI866" i="21"/>
  <c r="AJ866" i="21" s="1"/>
  <c r="AI867" i="21"/>
  <c r="AJ867" i="21" s="1"/>
  <c r="AI868" i="21"/>
  <c r="AJ868" i="21" s="1"/>
  <c r="AI870" i="21"/>
  <c r="AJ870" i="21" s="1"/>
  <c r="AI871" i="21"/>
  <c r="AJ871" i="21" s="1"/>
  <c r="AI874" i="21"/>
  <c r="AI877" i="21"/>
  <c r="AJ877" i="21" s="1"/>
  <c r="AI879" i="21"/>
  <c r="AJ879" i="21" s="1"/>
  <c r="AI880" i="21"/>
  <c r="AJ880" i="21" s="1"/>
  <c r="AI881" i="21"/>
  <c r="AJ881" i="21" s="1"/>
  <c r="AI885" i="21"/>
  <c r="AJ885" i="21" s="1"/>
  <c r="AI886" i="21"/>
  <c r="AJ886" i="21" s="1"/>
  <c r="AI890" i="21"/>
  <c r="AI891" i="21"/>
  <c r="AI892" i="21"/>
  <c r="AI893" i="21"/>
  <c r="AJ893" i="21" s="1"/>
  <c r="AI894" i="21"/>
  <c r="AJ894" i="21" s="1"/>
  <c r="AI896" i="21"/>
  <c r="AJ896" i="21" s="1"/>
  <c r="AI897" i="21"/>
  <c r="AJ897" i="21" s="1"/>
  <c r="AI914" i="21"/>
  <c r="AJ914" i="21" s="1"/>
  <c r="AI915" i="21"/>
  <c r="AJ915" i="21" s="1"/>
  <c r="AI917" i="21"/>
  <c r="AJ917" i="21" s="1"/>
  <c r="AI918" i="21"/>
  <c r="AJ918" i="21" s="1"/>
  <c r="AI919" i="21"/>
  <c r="AJ919" i="21" s="1"/>
  <c r="AI920" i="21"/>
  <c r="AJ920" i="21" s="1"/>
  <c r="AI921" i="21"/>
  <c r="AJ921" i="21" s="1"/>
  <c r="AI924" i="21"/>
  <c r="AI926" i="21"/>
  <c r="AJ926" i="21" s="1"/>
  <c r="AI927" i="21"/>
  <c r="AJ927" i="21" s="1"/>
  <c r="AI929" i="21"/>
  <c r="AJ929" i="21" s="1"/>
  <c r="AI930" i="21"/>
  <c r="AJ930" i="21" s="1"/>
  <c r="AI931" i="21"/>
  <c r="AJ931" i="21" s="1"/>
  <c r="AI934" i="21"/>
  <c r="AJ934" i="21" s="1"/>
  <c r="AI935" i="21"/>
  <c r="AJ935" i="21" s="1"/>
  <c r="AI936" i="21"/>
  <c r="AJ936" i="21" s="1"/>
  <c r="AI938" i="21"/>
  <c r="AJ938" i="21" s="1"/>
  <c r="AI939" i="21"/>
  <c r="AJ939" i="21" s="1"/>
  <c r="AI940" i="21"/>
  <c r="AJ940" i="21" s="1"/>
  <c r="AI948" i="21"/>
  <c r="AJ948" i="21" s="1"/>
  <c r="AI953" i="21"/>
  <c r="AJ953" i="21" s="1"/>
  <c r="AI958" i="21"/>
  <c r="AJ958" i="21" s="1"/>
  <c r="AI959" i="21"/>
  <c r="AJ959" i="21" s="1"/>
  <c r="AI960" i="21"/>
  <c r="AJ960" i="21" s="1"/>
  <c r="AI961" i="21"/>
  <c r="AJ961" i="21" s="1"/>
  <c r="AI962" i="21"/>
  <c r="AJ962" i="21" s="1"/>
  <c r="AI963" i="21"/>
  <c r="AJ963" i="21" s="1"/>
  <c r="AI964" i="21"/>
  <c r="AJ964" i="21" s="1"/>
  <c r="AI965" i="21"/>
  <c r="AJ965" i="21" s="1"/>
  <c r="AI966" i="21"/>
  <c r="AJ966" i="21" s="1"/>
  <c r="AI967" i="21"/>
  <c r="AJ967" i="21" s="1"/>
  <c r="AI970" i="21"/>
  <c r="AI971" i="21"/>
  <c r="AJ971" i="21" s="1"/>
  <c r="AI972" i="21"/>
  <c r="AJ972" i="21" s="1"/>
  <c r="AI973" i="21"/>
  <c r="AJ973" i="21" s="1"/>
  <c r="AI974" i="21"/>
  <c r="AJ974" i="21" s="1"/>
  <c r="AI975" i="21"/>
  <c r="AI977" i="21"/>
  <c r="AJ977" i="21" s="1"/>
  <c r="AI978" i="21"/>
  <c r="AI979" i="21"/>
  <c r="AI980" i="21"/>
  <c r="AJ980" i="21" s="1"/>
  <c r="AI982" i="21"/>
  <c r="AI983" i="21"/>
  <c r="AI985" i="21"/>
  <c r="AJ985" i="21" s="1"/>
  <c r="AI986" i="21"/>
  <c r="AJ986" i="21" s="1"/>
  <c r="AI987" i="21"/>
  <c r="AJ987" i="21" s="1"/>
  <c r="AI988" i="21"/>
  <c r="AJ988" i="21" s="1"/>
  <c r="AI989" i="21"/>
  <c r="AJ989" i="21" s="1"/>
  <c r="AI990" i="21"/>
  <c r="AJ990" i="21" s="1"/>
  <c r="AI991" i="21"/>
  <c r="AJ991" i="21" s="1"/>
  <c r="AI994" i="21"/>
  <c r="AJ994" i="21" s="1"/>
  <c r="AI995" i="21"/>
  <c r="AJ995" i="21" s="1"/>
  <c r="AI996" i="21"/>
  <c r="AJ996" i="21" s="1"/>
  <c r="AI997" i="21"/>
  <c r="AJ997" i="21" s="1"/>
  <c r="AI998" i="21"/>
  <c r="AJ998" i="21" s="1"/>
  <c r="AI999" i="21"/>
  <c r="AJ999" i="21" s="1"/>
  <c r="AI1001" i="21"/>
  <c r="AJ1001" i="21" s="1"/>
  <c r="AI1002" i="21"/>
  <c r="AJ1002" i="21" s="1"/>
  <c r="AI1003" i="21"/>
  <c r="AJ1003" i="21" s="1"/>
  <c r="AI1004" i="21"/>
  <c r="AJ1004" i="21" s="1"/>
  <c r="AI1005" i="21"/>
  <c r="AJ1005" i="21" s="1"/>
  <c r="AI1006" i="21"/>
  <c r="AJ1006" i="21" s="1"/>
  <c r="AI1007" i="21"/>
  <c r="AJ1007" i="21" s="1"/>
  <c r="AI1008" i="21"/>
  <c r="AJ1008" i="21" s="1"/>
  <c r="AI1010" i="21"/>
  <c r="AJ1010" i="21" s="1"/>
  <c r="AI1013" i="21"/>
  <c r="AJ1013" i="21" s="1"/>
  <c r="AI1014" i="21"/>
  <c r="AJ1014" i="21" s="1"/>
  <c r="AI1015" i="21"/>
  <c r="AJ1015" i="21" s="1"/>
  <c r="AI1016" i="21"/>
  <c r="AJ1016" i="21" s="1"/>
  <c r="AI1017" i="21"/>
  <c r="AJ1017" i="21" s="1"/>
  <c r="AI1020" i="21"/>
  <c r="AJ1020" i="21" s="1"/>
  <c r="AI1021" i="21"/>
  <c r="AJ1021" i="21" s="1"/>
  <c r="AI1022" i="21"/>
  <c r="AJ1022" i="21" s="1"/>
  <c r="AI1023" i="21"/>
  <c r="AJ1023" i="21" s="1"/>
  <c r="AI1024" i="21"/>
  <c r="AJ1024" i="21" s="1"/>
  <c r="AI1025" i="21"/>
  <c r="AJ1025" i="21" s="1"/>
  <c r="AI1027" i="21"/>
  <c r="AJ1027" i="21" s="1"/>
  <c r="AI1028" i="21"/>
  <c r="AJ1028" i="21" s="1"/>
  <c r="AI1029" i="21"/>
  <c r="AJ1029" i="21" s="1"/>
  <c r="AI1030" i="21"/>
  <c r="AJ1030" i="21" s="1"/>
  <c r="AI1032" i="21"/>
  <c r="AJ1032" i="21" s="1"/>
  <c r="AI1033" i="21"/>
  <c r="AJ1033" i="21" s="1"/>
  <c r="AI1034" i="21"/>
  <c r="AJ1034" i="21" s="1"/>
  <c r="AI1035" i="21"/>
  <c r="AJ1035" i="21" s="1"/>
  <c r="AI1036" i="21"/>
  <c r="AJ1036" i="21" s="1"/>
  <c r="AI1037" i="21"/>
  <c r="AJ1037" i="21" s="1"/>
  <c r="AI1038" i="21"/>
  <c r="AJ1038" i="21" s="1"/>
  <c r="AI1039" i="21"/>
  <c r="AI1044" i="21"/>
  <c r="AI1045" i="21"/>
  <c r="AJ1045" i="21" s="1"/>
  <c r="AI1046" i="21"/>
  <c r="AJ1046" i="21" s="1"/>
  <c r="AI1047" i="21"/>
  <c r="AJ1047" i="21" s="1"/>
  <c r="AI1052" i="21"/>
  <c r="AJ1052" i="21" s="1"/>
  <c r="AI1054" i="21"/>
  <c r="AJ1054" i="21" s="1"/>
  <c r="AI1058" i="21"/>
  <c r="AJ1058" i="21" s="1"/>
  <c r="AI1059" i="21"/>
  <c r="AJ1059" i="21" s="1"/>
  <c r="AI1061" i="21"/>
  <c r="AJ1061" i="21" s="1"/>
  <c r="AI1062" i="21"/>
  <c r="AJ1062" i="21" s="1"/>
  <c r="AI1063" i="21"/>
  <c r="AJ1063" i="21" s="1"/>
  <c r="AI1066" i="21"/>
  <c r="AJ1066" i="21" s="1"/>
  <c r="AI1067" i="21"/>
  <c r="AJ1067" i="21" s="1"/>
  <c r="AI1068" i="21"/>
  <c r="AJ1068" i="21" s="1"/>
  <c r="AI1069" i="21"/>
  <c r="AJ1069" i="21" s="1"/>
  <c r="AI1071" i="21"/>
  <c r="AJ1071" i="21" s="1"/>
  <c r="AI1073" i="21"/>
  <c r="AJ1073" i="21" s="1"/>
  <c r="AI1074" i="21"/>
  <c r="AJ1074" i="21" s="1"/>
  <c r="AI1076" i="21"/>
  <c r="AJ1076" i="21" s="1"/>
  <c r="AI1077" i="21"/>
  <c r="AJ1077" i="21" s="1"/>
  <c r="AI1078" i="21"/>
  <c r="AJ1078" i="21" s="1"/>
  <c r="AI1079" i="21"/>
  <c r="AJ1079" i="21" s="1"/>
  <c r="AI1080" i="21"/>
  <c r="AJ1080" i="21" s="1"/>
  <c r="AI1081" i="21"/>
  <c r="AJ1081" i="21" s="1"/>
  <c r="AI1082" i="21"/>
  <c r="AJ1082" i="21" s="1"/>
  <c r="AI1083" i="21"/>
  <c r="AJ1083" i="21" s="1"/>
  <c r="AI1084" i="21"/>
  <c r="AJ1084" i="21" s="1"/>
  <c r="AI1086" i="21"/>
  <c r="AJ1086" i="21" s="1"/>
  <c r="AI1087" i="21"/>
  <c r="AJ1087" i="21" s="1"/>
  <c r="AI1089" i="21"/>
  <c r="AJ1089" i="21" s="1"/>
  <c r="AI1092" i="21"/>
  <c r="AJ1092" i="21" s="1"/>
  <c r="AI1093" i="21"/>
  <c r="AJ1093" i="21" s="1"/>
  <c r="AI1094" i="21"/>
  <c r="AJ1094" i="21" s="1"/>
  <c r="AI1095" i="21"/>
  <c r="AJ1095" i="21" s="1"/>
  <c r="AI1097" i="21"/>
  <c r="AJ1097" i="21" s="1"/>
  <c r="AI1100" i="21"/>
  <c r="AJ1100" i="21" s="1"/>
  <c r="AI1101" i="21"/>
  <c r="AJ1101" i="21" s="1"/>
  <c r="AI1102" i="21"/>
  <c r="AJ1102" i="21" s="1"/>
  <c r="AI1104" i="21"/>
  <c r="AJ1104" i="21" s="1"/>
  <c r="AI1106" i="21"/>
  <c r="AJ1106" i="21" s="1"/>
  <c r="AI1107" i="21"/>
  <c r="AJ1107" i="21" s="1"/>
  <c r="AI1108" i="21"/>
  <c r="AJ1108" i="21" s="1"/>
  <c r="AI1109" i="21"/>
  <c r="AJ1109" i="21" s="1"/>
  <c r="AI1110" i="21"/>
  <c r="AJ1110" i="21" s="1"/>
  <c r="AI1111" i="21"/>
  <c r="AJ1111" i="21" s="1"/>
  <c r="AI1113" i="21"/>
  <c r="AJ1113" i="21" s="1"/>
  <c r="AI1116" i="21"/>
  <c r="AI1117" i="21"/>
  <c r="AJ1117" i="21" s="1"/>
  <c r="AI1124" i="21"/>
  <c r="AJ1124" i="21" s="1"/>
  <c r="AI1126" i="21"/>
  <c r="AJ1126" i="21" s="1"/>
  <c r="AI1127" i="21"/>
  <c r="AJ1127" i="21" s="1"/>
  <c r="AI2" i="21"/>
  <c r="AJ2" i="21" s="1"/>
  <c r="A3" i="21"/>
  <c r="A4" i="21"/>
  <c r="A5"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A47" i="21"/>
  <c r="A48" i="21"/>
  <c r="A49" i="21"/>
  <c r="A50" i="21"/>
  <c r="A51" i="21"/>
  <c r="A52" i="21"/>
  <c r="A53" i="21"/>
  <c r="A54" i="21"/>
  <c r="A55" i="21"/>
  <c r="A56" i="21"/>
  <c r="A57" i="21"/>
  <c r="A58" i="21"/>
  <c r="A59" i="21"/>
  <c r="A60" i="21"/>
  <c r="A61" i="21"/>
  <c r="A62" i="21"/>
  <c r="A63" i="21"/>
  <c r="A64" i="21"/>
  <c r="A65" i="21"/>
  <c r="A66" i="21"/>
  <c r="A67" i="21"/>
  <c r="A68" i="21"/>
  <c r="A69" i="21"/>
  <c r="A70" i="21"/>
  <c r="A71" i="21"/>
  <c r="A72" i="21"/>
  <c r="A73" i="21"/>
  <c r="A74" i="21"/>
  <c r="A75" i="21"/>
  <c r="A76" i="21"/>
  <c r="A77" i="21"/>
  <c r="A78" i="21"/>
  <c r="A79" i="21"/>
  <c r="A80" i="21"/>
  <c r="A81" i="21"/>
  <c r="A82" i="21"/>
  <c r="A83" i="21"/>
  <c r="A84" i="21"/>
  <c r="A85" i="21"/>
  <c r="A86" i="21"/>
  <c r="A87" i="21"/>
  <c r="A88" i="21"/>
  <c r="A89" i="21"/>
  <c r="A90" i="21"/>
  <c r="A91" i="21"/>
  <c r="A92" i="21"/>
  <c r="A93" i="21"/>
  <c r="A94" i="21"/>
  <c r="A95" i="21"/>
  <c r="A96" i="21"/>
  <c r="A97" i="21"/>
  <c r="A98" i="21"/>
  <c r="A99" i="21"/>
  <c r="A100" i="21"/>
  <c r="A101" i="21"/>
  <c r="A102" i="21"/>
  <c r="A103" i="21"/>
  <c r="A104" i="21"/>
  <c r="A105" i="21"/>
  <c r="A106" i="21"/>
  <c r="A107" i="21"/>
  <c r="A108" i="21"/>
  <c r="A109" i="21"/>
  <c r="A110" i="21"/>
  <c r="A111" i="21"/>
  <c r="A112" i="21"/>
  <c r="A113" i="21"/>
  <c r="A114" i="21"/>
  <c r="A115" i="21"/>
  <c r="A116" i="21"/>
  <c r="A117" i="21"/>
  <c r="A118" i="21"/>
  <c r="A119" i="21"/>
  <c r="A120" i="21"/>
  <c r="A121" i="21"/>
  <c r="A122" i="21"/>
  <c r="A123" i="21"/>
  <c r="A124" i="21"/>
  <c r="A125" i="21"/>
  <c r="A126" i="21"/>
  <c r="A127" i="21"/>
  <c r="A128" i="21"/>
  <c r="A129" i="21"/>
  <c r="A130" i="21"/>
  <c r="A131" i="21"/>
  <c r="A132" i="21"/>
  <c r="A133" i="21"/>
  <c r="A134" i="21"/>
  <c r="A135" i="21"/>
  <c r="A136" i="21"/>
  <c r="A137" i="21"/>
  <c r="A138" i="21"/>
  <c r="A139" i="21"/>
  <c r="A140" i="21"/>
  <c r="A141" i="21"/>
  <c r="A142" i="21"/>
  <c r="A143" i="21"/>
  <c r="A144" i="21"/>
  <c r="A145" i="21"/>
  <c r="A146" i="21"/>
  <c r="A147" i="21"/>
  <c r="A148" i="21"/>
  <c r="A149" i="21"/>
  <c r="A150" i="21"/>
  <c r="A151" i="21"/>
  <c r="A152" i="21"/>
  <c r="A153" i="21"/>
  <c r="A154" i="21"/>
  <c r="A155" i="21"/>
  <c r="A156" i="21"/>
  <c r="A157" i="21"/>
  <c r="A158" i="21"/>
  <c r="A159" i="21"/>
  <c r="A160" i="21"/>
  <c r="A161" i="21"/>
  <c r="A162" i="21"/>
  <c r="A163" i="21"/>
  <c r="A164" i="21"/>
  <c r="A165" i="21"/>
  <c r="A166" i="21"/>
  <c r="A167" i="21"/>
  <c r="A168" i="21"/>
  <c r="A169" i="21"/>
  <c r="A170" i="21"/>
  <c r="A171" i="21"/>
  <c r="A172" i="21"/>
  <c r="A173" i="21"/>
  <c r="A174" i="21"/>
  <c r="A175" i="21"/>
  <c r="A176"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19" i="21"/>
  <c r="A220" i="21"/>
  <c r="A221" i="21"/>
  <c r="A222" i="21"/>
  <c r="A223" i="21"/>
  <c r="A224" i="21"/>
  <c r="A225" i="21"/>
  <c r="A226" i="21"/>
  <c r="A227" i="21"/>
  <c r="A228" i="21"/>
  <c r="A229" i="21"/>
  <c r="A230" i="21"/>
  <c r="A231" i="21"/>
  <c r="A232" i="21"/>
  <c r="A233" i="21"/>
  <c r="A234" i="21"/>
  <c r="A235" i="21"/>
  <c r="A236" i="21"/>
  <c r="A237" i="21"/>
  <c r="A238" i="21"/>
  <c r="A239" i="21"/>
  <c r="A240" i="21"/>
  <c r="A241" i="21"/>
  <c r="A242" i="21"/>
  <c r="A243" i="21"/>
  <c r="A244" i="21"/>
  <c r="A245" i="21"/>
  <c r="A246" i="21"/>
  <c r="A247" i="21"/>
  <c r="A248" i="21"/>
  <c r="A249" i="21"/>
  <c r="A250" i="21"/>
  <c r="A251" i="21"/>
  <c r="A252" i="21"/>
  <c r="A253" i="21"/>
  <c r="A254" i="21"/>
  <c r="A255" i="21"/>
  <c r="A256" i="21"/>
  <c r="A257" i="21"/>
  <c r="A258" i="21"/>
  <c r="A259" i="21"/>
  <c r="A260" i="21"/>
  <c r="A261" i="21"/>
  <c r="A262" i="21"/>
  <c r="A263" i="21"/>
  <c r="A264" i="21"/>
  <c r="A265" i="21"/>
  <c r="A266" i="21"/>
  <c r="A267" i="21"/>
  <c r="A268" i="21"/>
  <c r="A269" i="21"/>
  <c r="A270" i="21"/>
  <c r="A271" i="21"/>
  <c r="A272" i="21"/>
  <c r="A273" i="21"/>
  <c r="A274" i="21"/>
  <c r="A275" i="21"/>
  <c r="A276" i="21"/>
  <c r="A277" i="21"/>
  <c r="A278" i="21"/>
  <c r="A279" i="21"/>
  <c r="A280" i="21"/>
  <c r="A281" i="21"/>
  <c r="A282" i="21"/>
  <c r="A283" i="21"/>
  <c r="A284" i="21"/>
  <c r="A285" i="21"/>
  <c r="A286" i="21"/>
  <c r="A287" i="21"/>
  <c r="A288" i="21"/>
  <c r="A289" i="21"/>
  <c r="A290" i="21"/>
  <c r="A291" i="21"/>
  <c r="A292" i="21"/>
  <c r="A293" i="21"/>
  <c r="A294" i="21"/>
  <c r="A295" i="21"/>
  <c r="A296" i="21"/>
  <c r="A297" i="21"/>
  <c r="A298" i="21"/>
  <c r="A299" i="21"/>
  <c r="A300" i="21"/>
  <c r="A301" i="21"/>
  <c r="A302" i="21"/>
  <c r="A303" i="21"/>
  <c r="A304" i="21"/>
  <c r="A305" i="21"/>
  <c r="A306" i="21"/>
  <c r="A307" i="21"/>
  <c r="A308" i="21"/>
  <c r="A309" i="21"/>
  <c r="A310" i="21"/>
  <c r="A311" i="21"/>
  <c r="A312" i="21"/>
  <c r="A313" i="21"/>
  <c r="A314" i="21"/>
  <c r="A315" i="21"/>
  <c r="A316" i="21"/>
  <c r="A317" i="21"/>
  <c r="A318" i="21"/>
  <c r="A319" i="21"/>
  <c r="A320" i="21"/>
  <c r="A321" i="21"/>
  <c r="A322" i="21"/>
  <c r="A323" i="21"/>
  <c r="A324" i="21"/>
  <c r="A325" i="21"/>
  <c r="A326" i="21"/>
  <c r="A327" i="21"/>
  <c r="A328" i="21"/>
  <c r="A329" i="21"/>
  <c r="A330" i="21"/>
  <c r="A331" i="21"/>
  <c r="A332" i="21"/>
  <c r="A333" i="21"/>
  <c r="A334" i="21"/>
  <c r="A335" i="21"/>
  <c r="A336" i="21"/>
  <c r="A337" i="21"/>
  <c r="A338" i="21"/>
  <c r="A339" i="21"/>
  <c r="A340" i="21"/>
  <c r="A341" i="21"/>
  <c r="A342" i="21"/>
  <c r="A343" i="21"/>
  <c r="A344" i="21"/>
  <c r="A345" i="21"/>
  <c r="A346" i="21"/>
  <c r="A347" i="21"/>
  <c r="A348" i="21"/>
  <c r="A349" i="21"/>
  <c r="A350" i="21"/>
  <c r="A351" i="21"/>
  <c r="A352" i="21"/>
  <c r="A353" i="21"/>
  <c r="A354" i="21"/>
  <c r="A355" i="21"/>
  <c r="A356" i="21"/>
  <c r="A357" i="21"/>
  <c r="A358" i="21"/>
  <c r="A359" i="21"/>
  <c r="A360" i="21"/>
  <c r="A361" i="21"/>
  <c r="A362" i="21"/>
  <c r="A363" i="21"/>
  <c r="A364" i="21"/>
  <c r="A365" i="21"/>
  <c r="A366" i="21"/>
  <c r="A367" i="21"/>
  <c r="A368" i="21"/>
  <c r="A369" i="21"/>
  <c r="A370" i="21"/>
  <c r="A371" i="21"/>
  <c r="A372" i="21"/>
  <c r="A373" i="21"/>
  <c r="A374" i="21"/>
  <c r="A375" i="21"/>
  <c r="A376" i="21"/>
  <c r="A377" i="21"/>
  <c r="A378" i="21"/>
  <c r="A379" i="21"/>
  <c r="A380" i="21"/>
  <c r="A381" i="21"/>
  <c r="A382" i="21"/>
  <c r="A383" i="21"/>
  <c r="A384" i="21"/>
  <c r="A385" i="21"/>
  <c r="A386" i="21"/>
  <c r="A387" i="21"/>
  <c r="A388" i="21"/>
  <c r="A389" i="21"/>
  <c r="A390" i="21"/>
  <c r="A391" i="21"/>
  <c r="A392" i="21"/>
  <c r="A393" i="21"/>
  <c r="A394" i="21"/>
  <c r="A395" i="21"/>
  <c r="A396" i="21"/>
  <c r="A397" i="21"/>
  <c r="A398" i="21"/>
  <c r="A399" i="21"/>
  <c r="A400" i="21"/>
  <c r="A401" i="21"/>
  <c r="A402" i="21"/>
  <c r="A403" i="21"/>
  <c r="A404" i="21"/>
  <c r="A405" i="21"/>
  <c r="A406" i="21"/>
  <c r="A407" i="21"/>
  <c r="A408" i="21"/>
  <c r="A409" i="21"/>
  <c r="A410" i="21"/>
  <c r="A411" i="21"/>
  <c r="A412" i="21"/>
  <c r="A413" i="21"/>
  <c r="A414" i="21"/>
  <c r="A415" i="21"/>
  <c r="A416" i="21"/>
  <c r="A417" i="21"/>
  <c r="A418" i="21"/>
  <c r="A419" i="21"/>
  <c r="A420" i="21"/>
  <c r="A421" i="21"/>
  <c r="A422" i="21"/>
  <c r="A423" i="21"/>
  <c r="A424" i="21"/>
  <c r="A425" i="21"/>
  <c r="A426" i="21"/>
  <c r="A427" i="21"/>
  <c r="A428" i="21"/>
  <c r="A429" i="21"/>
  <c r="A430" i="21"/>
  <c r="A431" i="21"/>
  <c r="A432" i="21"/>
  <c r="A433" i="21"/>
  <c r="A434" i="21"/>
  <c r="A435" i="21"/>
  <c r="A436" i="21"/>
  <c r="A437" i="21"/>
  <c r="A438" i="21"/>
  <c r="A439" i="21"/>
  <c r="A440" i="21"/>
  <c r="A441" i="21"/>
  <c r="A442" i="21"/>
  <c r="A443" i="21"/>
  <c r="A444" i="21"/>
  <c r="A445" i="21"/>
  <c r="A446" i="21"/>
  <c r="A447" i="21"/>
  <c r="A448" i="21"/>
  <c r="A449" i="21"/>
  <c r="A450" i="21"/>
  <c r="A451" i="21"/>
  <c r="A452" i="21"/>
  <c r="A453" i="21"/>
  <c r="A454" i="21"/>
  <c r="A455" i="21"/>
  <c r="A456" i="21"/>
  <c r="A457" i="21"/>
  <c r="A458" i="21"/>
  <c r="A459" i="21"/>
  <c r="A460" i="21"/>
  <c r="A461" i="21"/>
  <c r="A462" i="21"/>
  <c r="A463" i="21"/>
  <c r="A464" i="21"/>
  <c r="A465" i="21"/>
  <c r="A466" i="21"/>
  <c r="A467" i="21"/>
  <c r="A468" i="21"/>
  <c r="A469" i="21"/>
  <c r="A470" i="21"/>
  <c r="A471" i="21"/>
  <c r="A472" i="21"/>
  <c r="A473" i="21"/>
  <c r="A474" i="21"/>
  <c r="A475" i="21"/>
  <c r="A476" i="21"/>
  <c r="A477" i="21"/>
  <c r="A478" i="21"/>
  <c r="A479" i="21"/>
  <c r="A480" i="21"/>
  <c r="A481" i="21"/>
  <c r="A482" i="21"/>
  <c r="A483" i="21"/>
  <c r="A484" i="21"/>
  <c r="A485" i="21"/>
  <c r="A486" i="21"/>
  <c r="A487" i="21"/>
  <c r="A488" i="21"/>
  <c r="A489" i="21"/>
  <c r="A490" i="21"/>
  <c r="A491" i="21"/>
  <c r="A492" i="21"/>
  <c r="A493" i="21"/>
  <c r="A494" i="21"/>
  <c r="A495" i="21"/>
  <c r="A496" i="21"/>
  <c r="A497" i="21"/>
  <c r="A498" i="21"/>
  <c r="A499" i="21"/>
  <c r="A500" i="21"/>
  <c r="A501" i="21"/>
  <c r="A502" i="21"/>
  <c r="A503" i="21"/>
  <c r="A504" i="21"/>
  <c r="A505" i="21"/>
  <c r="A506" i="21"/>
  <c r="A507" i="21"/>
  <c r="A508" i="21"/>
  <c r="A509" i="21"/>
  <c r="A510" i="21"/>
  <c r="A511" i="21"/>
  <c r="A512" i="21"/>
  <c r="A513" i="21"/>
  <c r="A514" i="21"/>
  <c r="A515" i="21"/>
  <c r="A516" i="21"/>
  <c r="A517" i="21"/>
  <c r="A518" i="21"/>
  <c r="A519" i="21"/>
  <c r="A520" i="21"/>
  <c r="A521" i="21"/>
  <c r="A522" i="21"/>
  <c r="A523" i="21"/>
  <c r="A524" i="21"/>
  <c r="A525" i="21"/>
  <c r="A526" i="21"/>
  <c r="A527" i="21"/>
  <c r="A528" i="21"/>
  <c r="A529" i="21"/>
  <c r="A530" i="21"/>
  <c r="A531" i="21"/>
  <c r="A532" i="21"/>
  <c r="A533" i="21"/>
  <c r="A534" i="21"/>
  <c r="A535" i="21"/>
  <c r="A536" i="21"/>
  <c r="A537" i="21"/>
  <c r="A538" i="21"/>
  <c r="A539" i="21"/>
  <c r="A540" i="21"/>
  <c r="A541" i="21"/>
  <c r="A542" i="21"/>
  <c r="A543" i="21"/>
  <c r="A544" i="21"/>
  <c r="A545" i="21"/>
  <c r="A546" i="21"/>
  <c r="A547" i="21"/>
  <c r="A548" i="21"/>
  <c r="A549" i="21"/>
  <c r="A550" i="21"/>
  <c r="A551" i="21"/>
  <c r="A552" i="21"/>
  <c r="A553" i="21"/>
  <c r="A554" i="21"/>
  <c r="A555" i="21"/>
  <c r="A556" i="21"/>
  <c r="A557" i="21"/>
  <c r="A558" i="21"/>
  <c r="A559" i="21"/>
  <c r="A560" i="21"/>
  <c r="A561" i="21"/>
  <c r="A562" i="21"/>
  <c r="A563" i="21"/>
  <c r="A564" i="21"/>
  <c r="A565" i="21"/>
  <c r="A566" i="21"/>
  <c r="A567" i="21"/>
  <c r="A568" i="21"/>
  <c r="A569" i="21"/>
  <c r="A570" i="21"/>
  <c r="A571" i="21"/>
  <c r="A572" i="21"/>
  <c r="A573" i="21"/>
  <c r="A574" i="21"/>
  <c r="A575" i="21"/>
  <c r="A576" i="21"/>
  <c r="A577" i="21"/>
  <c r="A578" i="21"/>
  <c r="A579" i="21"/>
  <c r="A580" i="21"/>
  <c r="A581" i="21"/>
  <c r="A582" i="21"/>
  <c r="A583" i="21"/>
  <c r="A584" i="21"/>
  <c r="A585" i="21"/>
  <c r="A586" i="21"/>
  <c r="A587" i="21"/>
  <c r="A588" i="21"/>
  <c r="A589" i="21"/>
  <c r="A590" i="21"/>
  <c r="A591" i="21"/>
  <c r="A592" i="21"/>
  <c r="A593" i="21"/>
  <c r="A594" i="21"/>
  <c r="A595" i="21"/>
  <c r="A596" i="21"/>
  <c r="A597" i="21"/>
  <c r="A598" i="21"/>
  <c r="A599" i="21"/>
  <c r="A600" i="21"/>
  <c r="A601" i="21"/>
  <c r="A602" i="21"/>
  <c r="A603" i="21"/>
  <c r="A604" i="21"/>
  <c r="A605" i="21"/>
  <c r="A606" i="21"/>
  <c r="A607" i="21"/>
  <c r="A608" i="21"/>
  <c r="A609" i="21"/>
  <c r="A610" i="21"/>
  <c r="A611" i="21"/>
  <c r="A612" i="21"/>
  <c r="A613" i="21"/>
  <c r="A614" i="21"/>
  <c r="A615" i="21"/>
  <c r="A616" i="21"/>
  <c r="A617" i="21"/>
  <c r="A618" i="21"/>
  <c r="A619" i="21"/>
  <c r="A620" i="21"/>
  <c r="A621" i="21"/>
  <c r="A622" i="21"/>
  <c r="A623" i="21"/>
  <c r="A624" i="21"/>
  <c r="A625" i="21"/>
  <c r="A626" i="21"/>
  <c r="A627" i="21"/>
  <c r="A628" i="21"/>
  <c r="A629" i="21"/>
  <c r="A630" i="21"/>
  <c r="A631" i="21"/>
  <c r="A632" i="21"/>
  <c r="A633" i="21"/>
  <c r="A634" i="21"/>
  <c r="A635" i="21"/>
  <c r="A636" i="21"/>
  <c r="A637" i="21"/>
  <c r="A638" i="21"/>
  <c r="A639" i="21"/>
  <c r="A640" i="21"/>
  <c r="A641" i="21"/>
  <c r="A642" i="21"/>
  <c r="A643" i="21"/>
  <c r="A644" i="21"/>
  <c r="A645" i="21"/>
  <c r="A646" i="21"/>
  <c r="A647" i="21"/>
  <c r="A648" i="21"/>
  <c r="A649" i="21"/>
  <c r="A650" i="21"/>
  <c r="A651" i="21"/>
  <c r="A652" i="21"/>
  <c r="A653" i="21"/>
  <c r="A654" i="21"/>
  <c r="A655" i="21"/>
  <c r="A656" i="21"/>
  <c r="A657" i="21"/>
  <c r="A658" i="21"/>
  <c r="A659" i="21"/>
  <c r="A660" i="21"/>
  <c r="A661" i="21"/>
  <c r="A662" i="21"/>
  <c r="A663" i="21"/>
  <c r="A664" i="21"/>
  <c r="A665" i="21"/>
  <c r="A666" i="21"/>
  <c r="A667" i="21"/>
  <c r="A668" i="21"/>
  <c r="A669" i="21"/>
  <c r="A670" i="21"/>
  <c r="A671" i="21"/>
  <c r="A672" i="21"/>
  <c r="A673" i="21"/>
  <c r="A674" i="21"/>
  <c r="A675" i="21"/>
  <c r="A676" i="21"/>
  <c r="A677" i="21"/>
  <c r="A678" i="21"/>
  <c r="A679" i="21"/>
  <c r="A680" i="21"/>
  <c r="A681" i="21"/>
  <c r="A682" i="21"/>
  <c r="A683" i="21"/>
  <c r="A684" i="21"/>
  <c r="A685" i="21"/>
  <c r="A686" i="21"/>
  <c r="A687" i="21"/>
  <c r="A688" i="21"/>
  <c r="A689" i="21"/>
  <c r="A690" i="21"/>
  <c r="A691" i="21"/>
  <c r="A692" i="21"/>
  <c r="A693" i="21"/>
  <c r="A694" i="21"/>
  <c r="A695" i="21"/>
  <c r="A696" i="21"/>
  <c r="A697" i="21"/>
  <c r="A698" i="21"/>
  <c r="A699" i="21"/>
  <c r="A700" i="21"/>
  <c r="A701" i="21"/>
  <c r="A702" i="21"/>
  <c r="A703" i="21"/>
  <c r="A704" i="21"/>
  <c r="A705" i="21"/>
  <c r="A706" i="21"/>
  <c r="A707" i="21"/>
  <c r="A708" i="21"/>
  <c r="A709" i="21"/>
  <c r="A710" i="21"/>
  <c r="A711" i="21"/>
  <c r="A712" i="21"/>
  <c r="A713" i="21"/>
  <c r="A714" i="21"/>
  <c r="A715" i="21"/>
  <c r="A716" i="21"/>
  <c r="A717" i="21"/>
  <c r="A718" i="21"/>
  <c r="A719" i="21"/>
  <c r="A720" i="21"/>
  <c r="A721" i="21"/>
  <c r="A722" i="21"/>
  <c r="A723" i="21"/>
  <c r="A724" i="21"/>
  <c r="A725" i="21"/>
  <c r="A726" i="21"/>
  <c r="A727" i="21"/>
  <c r="A728" i="21"/>
  <c r="A729" i="21"/>
  <c r="A730" i="21"/>
  <c r="A731" i="21"/>
  <c r="A732" i="21"/>
  <c r="A733" i="21"/>
  <c r="A734" i="21"/>
  <c r="A735" i="21"/>
  <c r="A736" i="21"/>
  <c r="A737" i="21"/>
  <c r="A738" i="21"/>
  <c r="A739" i="21"/>
  <c r="A740" i="21"/>
  <c r="A741" i="21"/>
  <c r="A742" i="21"/>
  <c r="A743" i="21"/>
  <c r="A744" i="21"/>
  <c r="A745" i="21"/>
  <c r="A746" i="21"/>
  <c r="A747" i="21"/>
  <c r="A748" i="21"/>
  <c r="A749" i="21"/>
  <c r="A750" i="21"/>
  <c r="A751" i="21"/>
  <c r="A752" i="21"/>
  <c r="A753" i="21"/>
  <c r="A754" i="21"/>
  <c r="A755" i="21"/>
  <c r="A756" i="21"/>
  <c r="A757" i="21"/>
  <c r="A758" i="21"/>
  <c r="A759" i="21"/>
  <c r="A760" i="21"/>
  <c r="A761" i="21"/>
  <c r="A762" i="21"/>
  <c r="A763" i="21"/>
  <c r="A764" i="21"/>
  <c r="A765" i="21"/>
  <c r="A766" i="21"/>
  <c r="A767" i="21"/>
  <c r="A768" i="21"/>
  <c r="A769" i="21"/>
  <c r="A770" i="21"/>
  <c r="A771" i="21"/>
  <c r="A772" i="21"/>
  <c r="A773" i="21"/>
  <c r="A774" i="21"/>
  <c r="A775" i="21"/>
  <c r="A776" i="21"/>
  <c r="A777" i="21"/>
  <c r="A778" i="21"/>
  <c r="A779" i="21"/>
  <c r="A780" i="21"/>
  <c r="A781" i="21"/>
  <c r="A782" i="21"/>
  <c r="A783" i="21"/>
  <c r="A784" i="21"/>
  <c r="A785" i="21"/>
  <c r="A786" i="21"/>
  <c r="A787" i="21"/>
  <c r="A788" i="21"/>
  <c r="A789" i="21"/>
  <c r="A790" i="21"/>
  <c r="A791" i="21"/>
  <c r="A792" i="21"/>
  <c r="A793" i="21"/>
  <c r="A794" i="21"/>
  <c r="A795" i="21"/>
  <c r="A796" i="21"/>
  <c r="A797" i="21"/>
  <c r="A798" i="21"/>
  <c r="A799" i="21"/>
  <c r="A800" i="21"/>
  <c r="A801" i="21"/>
  <c r="A802" i="21"/>
  <c r="A803" i="21"/>
  <c r="A804" i="21"/>
  <c r="A805" i="21"/>
  <c r="A806" i="21"/>
  <c r="A807" i="21"/>
  <c r="A808" i="21"/>
  <c r="A809" i="21"/>
  <c r="A810" i="21"/>
  <c r="A811" i="21"/>
  <c r="A812" i="21"/>
  <c r="A813" i="21"/>
  <c r="A814" i="21"/>
  <c r="A815" i="21"/>
  <c r="A816" i="21"/>
  <c r="A817" i="21"/>
  <c r="A818" i="21"/>
  <c r="A819" i="21"/>
  <c r="A820" i="21"/>
  <c r="A821" i="21"/>
  <c r="A822" i="21"/>
  <c r="A823" i="21"/>
  <c r="A824" i="21"/>
  <c r="A825" i="21"/>
  <c r="A826" i="21"/>
  <c r="A827" i="21"/>
  <c r="A828" i="21"/>
  <c r="A829" i="21"/>
  <c r="A830" i="21"/>
  <c r="A831" i="21"/>
  <c r="A832" i="21"/>
  <c r="A833" i="21"/>
  <c r="A834" i="21"/>
  <c r="A835" i="21"/>
  <c r="A836" i="21"/>
  <c r="A837" i="21"/>
  <c r="A838" i="21"/>
  <c r="A839" i="21"/>
  <c r="A840" i="21"/>
  <c r="A841" i="21"/>
  <c r="A842" i="21"/>
  <c r="A843" i="21"/>
  <c r="A844" i="21"/>
  <c r="A845" i="21"/>
  <c r="A846" i="21"/>
  <c r="A847" i="21"/>
  <c r="A848" i="21"/>
  <c r="A849" i="21"/>
  <c r="A850" i="21"/>
  <c r="A851" i="21"/>
  <c r="A852" i="21"/>
  <c r="A853" i="21"/>
  <c r="A854" i="21"/>
  <c r="A855" i="21"/>
  <c r="A856" i="21"/>
  <c r="A857" i="21"/>
  <c r="A858" i="21"/>
  <c r="A859" i="21"/>
  <c r="A860" i="21"/>
  <c r="A861" i="21"/>
  <c r="A862" i="21"/>
  <c r="A863" i="21"/>
  <c r="A864" i="21"/>
  <c r="A865" i="21"/>
  <c r="A866" i="21"/>
  <c r="A867" i="21"/>
  <c r="A868" i="21"/>
  <c r="A869" i="21"/>
  <c r="A870" i="21"/>
  <c r="A871" i="21"/>
  <c r="A872" i="21"/>
  <c r="A873" i="21"/>
  <c r="A874" i="21"/>
  <c r="A875" i="21"/>
  <c r="A876" i="21"/>
  <c r="A877" i="21"/>
  <c r="A878" i="21"/>
  <c r="A879" i="21"/>
  <c r="A880" i="21"/>
  <c r="A881" i="21"/>
  <c r="A882" i="21"/>
  <c r="A883" i="21"/>
  <c r="A884" i="21"/>
  <c r="A885" i="21"/>
  <c r="A886" i="21"/>
  <c r="A887" i="21"/>
  <c r="A888" i="21"/>
  <c r="A889" i="21"/>
  <c r="A890" i="21"/>
  <c r="A891" i="21"/>
  <c r="A892" i="21"/>
  <c r="A893" i="21"/>
  <c r="A894" i="21"/>
  <c r="A895" i="21"/>
  <c r="A896" i="21"/>
  <c r="A897" i="21"/>
  <c r="A898" i="21"/>
  <c r="A899" i="21"/>
  <c r="A900" i="21"/>
  <c r="A901" i="21"/>
  <c r="A902" i="21"/>
  <c r="A903" i="21"/>
  <c r="A904" i="21"/>
  <c r="A905" i="21"/>
  <c r="A906" i="21"/>
  <c r="A907" i="21"/>
  <c r="A908" i="21"/>
  <c r="A909" i="21"/>
  <c r="A910" i="21"/>
  <c r="A911" i="21"/>
  <c r="A912" i="21"/>
  <c r="A913" i="21"/>
  <c r="A914" i="21"/>
  <c r="A915" i="21"/>
  <c r="A916" i="21"/>
  <c r="A917" i="21"/>
  <c r="A918" i="21"/>
  <c r="A919" i="21"/>
  <c r="A920" i="21"/>
  <c r="A921" i="21"/>
  <c r="A922" i="21"/>
  <c r="A923" i="21"/>
  <c r="A924" i="21"/>
  <c r="A925" i="21"/>
  <c r="A926" i="21"/>
  <c r="A927" i="21"/>
  <c r="A928" i="21"/>
  <c r="A929" i="21"/>
  <c r="A930" i="21"/>
  <c r="A931" i="21"/>
  <c r="A932" i="21"/>
  <c r="A933" i="21"/>
  <c r="A934" i="21"/>
  <c r="A935" i="21"/>
  <c r="A936" i="21"/>
  <c r="A937" i="21"/>
  <c r="A938" i="21"/>
  <c r="A939" i="21"/>
  <c r="A940" i="21"/>
  <c r="A941" i="21"/>
  <c r="A942" i="21"/>
  <c r="A943" i="21"/>
  <c r="A944" i="21"/>
  <c r="A945" i="21"/>
  <c r="A946" i="21"/>
  <c r="A947" i="21"/>
  <c r="A948" i="21"/>
  <c r="A949" i="21"/>
  <c r="A950" i="21"/>
  <c r="A951" i="21"/>
  <c r="A952" i="21"/>
  <c r="A953" i="21"/>
  <c r="A954" i="21"/>
  <c r="A955" i="21"/>
  <c r="A956" i="21"/>
  <c r="A957" i="21"/>
  <c r="A958" i="21"/>
  <c r="A959" i="21"/>
  <c r="A960" i="21"/>
  <c r="A961" i="21"/>
  <c r="A962" i="21"/>
  <c r="A963" i="21"/>
  <c r="A964" i="21"/>
  <c r="A965" i="21"/>
  <c r="A966" i="21"/>
  <c r="A967" i="21"/>
  <c r="A968" i="21"/>
  <c r="A969" i="21"/>
  <c r="A970" i="21"/>
  <c r="A971" i="21"/>
  <c r="A972" i="21"/>
  <c r="A973" i="21"/>
  <c r="A974" i="21"/>
  <c r="A975" i="21"/>
  <c r="A976" i="21"/>
  <c r="A977" i="21"/>
  <c r="A978" i="21"/>
  <c r="A979" i="21"/>
  <c r="A980" i="21"/>
  <c r="A981" i="21"/>
  <c r="A982" i="21"/>
  <c r="A983" i="21"/>
  <c r="A984" i="21"/>
  <c r="A985" i="21"/>
  <c r="A986" i="21"/>
  <c r="A987" i="21"/>
  <c r="A988" i="21"/>
  <c r="A989" i="21"/>
  <c r="A990" i="21"/>
  <c r="A991" i="21"/>
  <c r="A992" i="21"/>
  <c r="A993" i="21"/>
  <c r="A994" i="21"/>
  <c r="A995" i="21"/>
  <c r="A996" i="21"/>
  <c r="A997" i="21"/>
  <c r="A998" i="21"/>
  <c r="A999" i="21"/>
  <c r="A1000" i="21"/>
  <c r="A1001" i="21"/>
  <c r="A1002" i="21"/>
  <c r="A1003" i="21"/>
  <c r="A1004" i="21"/>
  <c r="A1005" i="21"/>
  <c r="A1006" i="21"/>
  <c r="A1007" i="21"/>
  <c r="A1008" i="21"/>
  <c r="A1009" i="21"/>
  <c r="A1010" i="21"/>
  <c r="A1011" i="21"/>
  <c r="A1012" i="21"/>
  <c r="A1013" i="21"/>
  <c r="A1014" i="21"/>
  <c r="A1015" i="21"/>
  <c r="A1016" i="21"/>
  <c r="A1017" i="21"/>
  <c r="A1018" i="21"/>
  <c r="A1019" i="21"/>
  <c r="A1020" i="21"/>
  <c r="A1021" i="21"/>
  <c r="A1022" i="21"/>
  <c r="A1023" i="21"/>
  <c r="A1024" i="21"/>
  <c r="A1025" i="21"/>
  <c r="A1026" i="21"/>
  <c r="A1027" i="21"/>
  <c r="A1028" i="21"/>
  <c r="A1029" i="21"/>
  <c r="A1030" i="21"/>
  <c r="A1031" i="21"/>
  <c r="A1032" i="21"/>
  <c r="A1033" i="21"/>
  <c r="A1034" i="21"/>
  <c r="A1035" i="21"/>
  <c r="A1036" i="21"/>
  <c r="A1037" i="21"/>
  <c r="A1038" i="21"/>
  <c r="A1039" i="21"/>
  <c r="A1040" i="21"/>
  <c r="A1041" i="21"/>
  <c r="A1042" i="21"/>
  <c r="A1043" i="21"/>
  <c r="A1044" i="21"/>
  <c r="A1045" i="21"/>
  <c r="A1046" i="21"/>
  <c r="A1047" i="21"/>
  <c r="A1048" i="21"/>
  <c r="A1049" i="21"/>
  <c r="A1050" i="21"/>
  <c r="A1051" i="21"/>
  <c r="A1052" i="21"/>
  <c r="A1053" i="21"/>
  <c r="A1054" i="21"/>
  <c r="A1055" i="21"/>
  <c r="A1056" i="21"/>
  <c r="A1057" i="21"/>
  <c r="A1058" i="21"/>
  <c r="A1059" i="21"/>
  <c r="A1060" i="21"/>
  <c r="A1061" i="21"/>
  <c r="A1062" i="21"/>
  <c r="A1063" i="21"/>
  <c r="A1064" i="21"/>
  <c r="A1065" i="21"/>
  <c r="A1066" i="21"/>
  <c r="A1067" i="21"/>
  <c r="A1068" i="21"/>
  <c r="A1069" i="21"/>
  <c r="A1070" i="21"/>
  <c r="A1071" i="21"/>
  <c r="A1072" i="21"/>
  <c r="A1073" i="21"/>
  <c r="A1074" i="21"/>
  <c r="A1075" i="21"/>
  <c r="A1076" i="21"/>
  <c r="A1077" i="21"/>
  <c r="A1078" i="21"/>
  <c r="A1079" i="21"/>
  <c r="A1080" i="21"/>
  <c r="A1081" i="21"/>
  <c r="A1082" i="21"/>
  <c r="A1083" i="21"/>
  <c r="A1084" i="21"/>
  <c r="A1085" i="21"/>
  <c r="A1086" i="21"/>
  <c r="A1087" i="21"/>
  <c r="A1088" i="21"/>
  <c r="A1089" i="21"/>
  <c r="A1090" i="21"/>
  <c r="A1091" i="21"/>
  <c r="A1092" i="21"/>
  <c r="A1093" i="21"/>
  <c r="A1094" i="21"/>
  <c r="A1095" i="21"/>
  <c r="A1096" i="21"/>
  <c r="A1097" i="21"/>
  <c r="A1098" i="21"/>
  <c r="A1099" i="21"/>
  <c r="A1100" i="21"/>
  <c r="A1101" i="21"/>
  <c r="A1102" i="21"/>
  <c r="A1103" i="21"/>
  <c r="A1104" i="21"/>
  <c r="A1105" i="21"/>
  <c r="A1106" i="21"/>
  <c r="A1107" i="21"/>
  <c r="A1108" i="21"/>
  <c r="A1109" i="21"/>
  <c r="A1110" i="21"/>
  <c r="A1111" i="21"/>
  <c r="A1112" i="21"/>
  <c r="A1113" i="21"/>
  <c r="A1114" i="21"/>
  <c r="A1115" i="21"/>
  <c r="A1116" i="21"/>
  <c r="A1117" i="21"/>
  <c r="A1118" i="21"/>
  <c r="A1119" i="21"/>
  <c r="A1120" i="21"/>
  <c r="A1121" i="21"/>
  <c r="A1122" i="21"/>
  <c r="A1123" i="21"/>
  <c r="A1124" i="21"/>
  <c r="A1125" i="21"/>
  <c r="A1126" i="21"/>
  <c r="A1127" i="21"/>
  <c r="A1128" i="21"/>
  <c r="A1129" i="21"/>
  <c r="A2" i="21"/>
  <c r="AO15" i="21" l="1"/>
  <c r="AE2" i="21"/>
  <c r="AS2" i="21" s="1"/>
  <c r="R3" i="21"/>
  <c r="AG3" i="21" s="1"/>
  <c r="R4" i="21"/>
  <c r="R5" i="21"/>
  <c r="AG5" i="21" s="1"/>
  <c r="R6" i="21"/>
  <c r="AG6" i="21" s="1"/>
  <c r="R7" i="21"/>
  <c r="AG7" i="21" s="1"/>
  <c r="R8" i="21"/>
  <c r="AG8" i="21" s="1"/>
  <c r="R9" i="21"/>
  <c r="AG9" i="21" s="1"/>
  <c r="R10" i="21"/>
  <c r="AG10" i="21" s="1"/>
  <c r="R11" i="21"/>
  <c r="AG11" i="21" s="1"/>
  <c r="R12" i="21"/>
  <c r="AG12" i="21" s="1"/>
  <c r="R13" i="21"/>
  <c r="AG13" i="21" s="1"/>
  <c r="R14" i="21"/>
  <c r="AG14" i="21" s="1"/>
  <c r="R15" i="21"/>
  <c r="AG15" i="21" s="1"/>
  <c r="R16" i="21"/>
  <c r="AG16" i="21" s="1"/>
  <c r="R17" i="21"/>
  <c r="AG17" i="21" s="1"/>
  <c r="R18" i="21"/>
  <c r="AG18" i="21" s="1"/>
  <c r="R19" i="21"/>
  <c r="AG19" i="21" s="1"/>
  <c r="R20" i="21"/>
  <c r="AG20" i="21" s="1"/>
  <c r="R21" i="21"/>
  <c r="AG21" i="21" s="1"/>
  <c r="R22" i="21"/>
  <c r="AG22" i="21" s="1"/>
  <c r="R23" i="21"/>
  <c r="AG23" i="21" s="1"/>
  <c r="R24" i="21"/>
  <c r="AG24" i="21" s="1"/>
  <c r="R25" i="21"/>
  <c r="AG25" i="21" s="1"/>
  <c r="R26" i="21"/>
  <c r="AG26" i="21" s="1"/>
  <c r="R27" i="21"/>
  <c r="AG27" i="21" s="1"/>
  <c r="R28" i="21"/>
  <c r="AG28" i="21" s="1"/>
  <c r="R29" i="21"/>
  <c r="AG29" i="21" s="1"/>
  <c r="R30" i="21"/>
  <c r="AG30" i="21" s="1"/>
  <c r="AT30" i="21" s="1"/>
  <c r="R31" i="21"/>
  <c r="AG31" i="21" s="1"/>
  <c r="R32" i="21"/>
  <c r="AG32" i="21" s="1"/>
  <c r="R33" i="21"/>
  <c r="AG33" i="21" s="1"/>
  <c r="AT33" i="21" s="1"/>
  <c r="R34" i="21"/>
  <c r="AG34" i="21" s="1"/>
  <c r="R35" i="21"/>
  <c r="AG35" i="21" s="1"/>
  <c r="R36" i="21"/>
  <c r="AG36" i="21" s="1"/>
  <c r="R37" i="21"/>
  <c r="AG37" i="21" s="1"/>
  <c r="R38" i="21"/>
  <c r="AG38" i="21" s="1"/>
  <c r="R39" i="21"/>
  <c r="AG39" i="21" s="1"/>
  <c r="R40" i="21"/>
  <c r="AG40" i="21" s="1"/>
  <c r="R41" i="21"/>
  <c r="AG41" i="21" s="1"/>
  <c r="R42" i="21"/>
  <c r="AG42" i="21" s="1"/>
  <c r="R43" i="21"/>
  <c r="AG43" i="21" s="1"/>
  <c r="R44" i="21"/>
  <c r="AG44" i="21" s="1"/>
  <c r="R45" i="21"/>
  <c r="AG45" i="21" s="1"/>
  <c r="R46" i="21"/>
  <c r="AG46" i="21" s="1"/>
  <c r="R47" i="21"/>
  <c r="AG47" i="21" s="1"/>
  <c r="R48" i="21"/>
  <c r="AG48" i="21" s="1"/>
  <c r="R49" i="21"/>
  <c r="AG49" i="21" s="1"/>
  <c r="R50" i="21"/>
  <c r="AG50" i="21" s="1"/>
  <c r="R51" i="21"/>
  <c r="AG51" i="21" s="1"/>
  <c r="R52" i="21"/>
  <c r="AG52" i="21" s="1"/>
  <c r="R53" i="21"/>
  <c r="AG53" i="21" s="1"/>
  <c r="R54" i="21"/>
  <c r="AG54" i="21" s="1"/>
  <c r="R55" i="21"/>
  <c r="AG55" i="21" s="1"/>
  <c r="R56" i="21"/>
  <c r="AG56" i="21" s="1"/>
  <c r="R57" i="21"/>
  <c r="AG57" i="21" s="1"/>
  <c r="R58" i="21"/>
  <c r="AG58" i="21" s="1"/>
  <c r="R59" i="21"/>
  <c r="AG59" i="21" s="1"/>
  <c r="R60" i="21"/>
  <c r="AG60" i="21" s="1"/>
  <c r="R61" i="21"/>
  <c r="AG61" i="21" s="1"/>
  <c r="R62" i="21"/>
  <c r="AG62" i="21" s="1"/>
  <c r="R63" i="21"/>
  <c r="AG63" i="21" s="1"/>
  <c r="R64" i="21"/>
  <c r="AG64" i="21" s="1"/>
  <c r="R65" i="21"/>
  <c r="AG65" i="21" s="1"/>
  <c r="R66" i="21"/>
  <c r="AG66" i="21" s="1"/>
  <c r="R67" i="21"/>
  <c r="AG67" i="21" s="1"/>
  <c r="R68" i="21"/>
  <c r="AG68" i="21" s="1"/>
  <c r="R69" i="21"/>
  <c r="AG69" i="21" s="1"/>
  <c r="R70" i="21"/>
  <c r="AG70" i="21" s="1"/>
  <c r="R71" i="21"/>
  <c r="AG71" i="21" s="1"/>
  <c r="R72" i="21"/>
  <c r="AG72" i="21" s="1"/>
  <c r="R73" i="21"/>
  <c r="AG73" i="21" s="1"/>
  <c r="R74" i="21"/>
  <c r="AG74" i="21" s="1"/>
  <c r="R75" i="21"/>
  <c r="AG75" i="21" s="1"/>
  <c r="R76" i="21"/>
  <c r="AG76" i="21" s="1"/>
  <c r="R77" i="21"/>
  <c r="AG77" i="21" s="1"/>
  <c r="R78" i="21"/>
  <c r="AG78" i="21" s="1"/>
  <c r="R79" i="21"/>
  <c r="AG79" i="21" s="1"/>
  <c r="R80" i="21"/>
  <c r="AG80" i="21" s="1"/>
  <c r="R81" i="21"/>
  <c r="AG81" i="21" s="1"/>
  <c r="R82" i="21"/>
  <c r="AG82" i="21" s="1"/>
  <c r="R83" i="21"/>
  <c r="AG83" i="21" s="1"/>
  <c r="R84" i="21"/>
  <c r="AG84" i="21" s="1"/>
  <c r="R85" i="21"/>
  <c r="AG85" i="21" s="1"/>
  <c r="R86" i="21"/>
  <c r="AG86" i="21" s="1"/>
  <c r="R87" i="21"/>
  <c r="AG87" i="21" s="1"/>
  <c r="R88" i="21"/>
  <c r="AG88" i="21" s="1"/>
  <c r="R89" i="21"/>
  <c r="AG89" i="21" s="1"/>
  <c r="R90" i="21"/>
  <c r="AG90" i="21" s="1"/>
  <c r="AT90" i="21" s="1"/>
  <c r="R91" i="21"/>
  <c r="AG91" i="21" s="1"/>
  <c r="AT91" i="21" s="1"/>
  <c r="R92" i="21"/>
  <c r="AG92" i="21" s="1"/>
  <c r="R93" i="21"/>
  <c r="AG93" i="21" s="1"/>
  <c r="R94" i="21"/>
  <c r="AG94" i="21" s="1"/>
  <c r="R95" i="21"/>
  <c r="AG95" i="21" s="1"/>
  <c r="R96" i="21"/>
  <c r="AG96" i="21" s="1"/>
  <c r="R97" i="21"/>
  <c r="AG97" i="21" s="1"/>
  <c r="R98" i="21"/>
  <c r="AG98" i="21" s="1"/>
  <c r="R99" i="21"/>
  <c r="AG99" i="21" s="1"/>
  <c r="R100" i="21"/>
  <c r="AG100" i="21" s="1"/>
  <c r="R101" i="21"/>
  <c r="AG101" i="21" s="1"/>
  <c r="R102" i="21"/>
  <c r="AG102" i="21" s="1"/>
  <c r="R103" i="21"/>
  <c r="AG103" i="21" s="1"/>
  <c r="R104" i="21"/>
  <c r="AG104" i="21" s="1"/>
  <c r="R105" i="21"/>
  <c r="AG105" i="21" s="1"/>
  <c r="R106" i="21"/>
  <c r="AG106" i="21" s="1"/>
  <c r="R107" i="21"/>
  <c r="AG107" i="21" s="1"/>
  <c r="R108" i="21"/>
  <c r="AG108" i="21" s="1"/>
  <c r="R109" i="21"/>
  <c r="AG109" i="21" s="1"/>
  <c r="R110" i="21"/>
  <c r="AG110" i="21" s="1"/>
  <c r="R111" i="21"/>
  <c r="AG111" i="21" s="1"/>
  <c r="R112" i="21"/>
  <c r="AG112" i="21" s="1"/>
  <c r="R113" i="21"/>
  <c r="AG113" i="21" s="1"/>
  <c r="R114" i="21"/>
  <c r="AG114" i="21" s="1"/>
  <c r="R115" i="21"/>
  <c r="AG115" i="21" s="1"/>
  <c r="R116" i="21"/>
  <c r="AG116" i="21" s="1"/>
  <c r="R117" i="21"/>
  <c r="AG117" i="21" s="1"/>
  <c r="R118" i="21"/>
  <c r="AG118" i="21" s="1"/>
  <c r="R119" i="21"/>
  <c r="AG119" i="21" s="1"/>
  <c r="R120" i="21"/>
  <c r="AG120" i="21" s="1"/>
  <c r="R121" i="21"/>
  <c r="AG121" i="21" s="1"/>
  <c r="R122" i="21"/>
  <c r="AG122" i="21" s="1"/>
  <c r="R123" i="21"/>
  <c r="AG123" i="21" s="1"/>
  <c r="R124" i="21"/>
  <c r="AG124" i="21" s="1"/>
  <c r="R125" i="21"/>
  <c r="AG125" i="21" s="1"/>
  <c r="R126" i="21"/>
  <c r="AG126" i="21" s="1"/>
  <c r="R127" i="21"/>
  <c r="AG127" i="21" s="1"/>
  <c r="R128" i="21"/>
  <c r="AG128" i="21" s="1"/>
  <c r="R129" i="21"/>
  <c r="AG129" i="21" s="1"/>
  <c r="R130" i="21"/>
  <c r="AG130" i="21" s="1"/>
  <c r="R131" i="21"/>
  <c r="AG131" i="21" s="1"/>
  <c r="R132" i="21"/>
  <c r="AG132" i="21" s="1"/>
  <c r="R133" i="21"/>
  <c r="AG133" i="21" s="1"/>
  <c r="R134" i="21"/>
  <c r="AG134" i="21" s="1"/>
  <c r="R135" i="21"/>
  <c r="AG135" i="21" s="1"/>
  <c r="R136" i="21"/>
  <c r="AG136" i="21" s="1"/>
  <c r="R137" i="21"/>
  <c r="AG137" i="21" s="1"/>
  <c r="R138" i="21"/>
  <c r="AG138" i="21" s="1"/>
  <c r="R139" i="21"/>
  <c r="AG139" i="21" s="1"/>
  <c r="R140" i="21"/>
  <c r="AG140" i="21" s="1"/>
  <c r="R141" i="21"/>
  <c r="AG141" i="21" s="1"/>
  <c r="R142" i="21"/>
  <c r="AG142" i="21" s="1"/>
  <c r="R143" i="21"/>
  <c r="AG143" i="21" s="1"/>
  <c r="R144" i="21"/>
  <c r="AG144" i="21" s="1"/>
  <c r="R145" i="21"/>
  <c r="AG145" i="21" s="1"/>
  <c r="R146" i="21"/>
  <c r="AG146" i="21" s="1"/>
  <c r="R147" i="21"/>
  <c r="AG147" i="21" s="1"/>
  <c r="R148" i="21"/>
  <c r="AG148" i="21" s="1"/>
  <c r="R149" i="21"/>
  <c r="AG149" i="21" s="1"/>
  <c r="R150" i="21"/>
  <c r="AG150" i="21" s="1"/>
  <c r="R151" i="21"/>
  <c r="AG151" i="21" s="1"/>
  <c r="R152" i="21"/>
  <c r="AG152" i="21" s="1"/>
  <c r="R153" i="21"/>
  <c r="AG153" i="21" s="1"/>
  <c r="R154" i="21"/>
  <c r="AG154" i="21" s="1"/>
  <c r="R155" i="21"/>
  <c r="AG155" i="21" s="1"/>
  <c r="R156" i="21"/>
  <c r="AG156" i="21" s="1"/>
  <c r="AT156" i="21" s="1"/>
  <c r="R157" i="21"/>
  <c r="AG157" i="21" s="1"/>
  <c r="R158" i="21"/>
  <c r="AG158" i="21" s="1"/>
  <c r="R159" i="21"/>
  <c r="AG159" i="21" s="1"/>
  <c r="R160" i="21"/>
  <c r="AG160" i="21" s="1"/>
  <c r="R161" i="21"/>
  <c r="AG161" i="21" s="1"/>
  <c r="R162" i="21"/>
  <c r="AG162" i="21" s="1"/>
  <c r="R163" i="21"/>
  <c r="AG163" i="21" s="1"/>
  <c r="AT163" i="21" s="1"/>
  <c r="R164" i="21"/>
  <c r="AG164" i="21" s="1"/>
  <c r="R165" i="21"/>
  <c r="AG165" i="21" s="1"/>
  <c r="R166" i="21"/>
  <c r="AG166" i="21" s="1"/>
  <c r="R167" i="21"/>
  <c r="AG167" i="21" s="1"/>
  <c r="R168" i="21"/>
  <c r="AG168" i="21" s="1"/>
  <c r="R169" i="21"/>
  <c r="AG169" i="21" s="1"/>
  <c r="R170" i="21"/>
  <c r="AG170" i="21" s="1"/>
  <c r="R171" i="21"/>
  <c r="AG171" i="21" s="1"/>
  <c r="R172" i="21"/>
  <c r="AG172" i="21" s="1"/>
  <c r="R173" i="21"/>
  <c r="AG173" i="21" s="1"/>
  <c r="R174" i="21"/>
  <c r="AG174" i="21" s="1"/>
  <c r="R175" i="21"/>
  <c r="AG175" i="21" s="1"/>
  <c r="R176" i="21"/>
  <c r="AG176" i="21" s="1"/>
  <c r="R177" i="21"/>
  <c r="AG177" i="21" s="1"/>
  <c r="R178" i="21"/>
  <c r="AG178" i="21" s="1"/>
  <c r="R179" i="21"/>
  <c r="AG179" i="21" s="1"/>
  <c r="R180" i="21"/>
  <c r="AG180" i="21" s="1"/>
  <c r="R181" i="21"/>
  <c r="AG181" i="21" s="1"/>
  <c r="R182" i="21"/>
  <c r="AG182" i="21" s="1"/>
  <c r="R183" i="21"/>
  <c r="AG183" i="21" s="1"/>
  <c r="R184" i="21"/>
  <c r="AG184" i="21" s="1"/>
  <c r="R185" i="21"/>
  <c r="AG185" i="21" s="1"/>
  <c r="R186" i="21"/>
  <c r="AG186" i="21" s="1"/>
  <c r="R187" i="21"/>
  <c r="AG187" i="21" s="1"/>
  <c r="R188" i="21"/>
  <c r="AG188" i="21" s="1"/>
  <c r="R189" i="21"/>
  <c r="AG189" i="21" s="1"/>
  <c r="R190" i="21"/>
  <c r="AG190" i="21" s="1"/>
  <c r="R191" i="21"/>
  <c r="AG191" i="21" s="1"/>
  <c r="R192" i="21"/>
  <c r="AG192" i="21" s="1"/>
  <c r="R193" i="21"/>
  <c r="AG193" i="21" s="1"/>
  <c r="R194" i="21"/>
  <c r="AG194" i="21" s="1"/>
  <c r="R195" i="21"/>
  <c r="AG195" i="21" s="1"/>
  <c r="R196" i="21"/>
  <c r="AG196" i="21" s="1"/>
  <c r="R197" i="21"/>
  <c r="AG197" i="21" s="1"/>
  <c r="R198" i="21"/>
  <c r="AG198" i="21" s="1"/>
  <c r="R199" i="21"/>
  <c r="AG199" i="21" s="1"/>
  <c r="R200" i="21"/>
  <c r="AG200" i="21" s="1"/>
  <c r="R201" i="21"/>
  <c r="AG201" i="21" s="1"/>
  <c r="R202" i="21"/>
  <c r="AG202" i="21" s="1"/>
  <c r="R203" i="21"/>
  <c r="AG203" i="21" s="1"/>
  <c r="R204" i="21"/>
  <c r="AG204" i="21" s="1"/>
  <c r="R205" i="21"/>
  <c r="AG205" i="21" s="1"/>
  <c r="R206" i="21"/>
  <c r="AG206" i="21" s="1"/>
  <c r="R207" i="21"/>
  <c r="AG207" i="21" s="1"/>
  <c r="R208" i="21"/>
  <c r="AG208" i="21" s="1"/>
  <c r="R209" i="21"/>
  <c r="AG209" i="21" s="1"/>
  <c r="R210" i="21"/>
  <c r="AG210" i="21" s="1"/>
  <c r="R211" i="21"/>
  <c r="AG211" i="21" s="1"/>
  <c r="R212" i="21"/>
  <c r="AG212" i="21" s="1"/>
  <c r="R213" i="21"/>
  <c r="AG213" i="21" s="1"/>
  <c r="R214" i="21"/>
  <c r="AG214" i="21" s="1"/>
  <c r="R215" i="21"/>
  <c r="AG215" i="21" s="1"/>
  <c r="R216" i="21"/>
  <c r="AG216" i="21" s="1"/>
  <c r="R217" i="21"/>
  <c r="AG217" i="21" s="1"/>
  <c r="R218" i="21"/>
  <c r="AG218" i="21" s="1"/>
  <c r="R219" i="21"/>
  <c r="AG219" i="21" s="1"/>
  <c r="R220" i="21"/>
  <c r="AG220" i="21" s="1"/>
  <c r="R221" i="21"/>
  <c r="AG221" i="21" s="1"/>
  <c r="R222" i="21"/>
  <c r="AG222" i="21" s="1"/>
  <c r="R223" i="21"/>
  <c r="AG223" i="21" s="1"/>
  <c r="R224" i="21"/>
  <c r="AG224" i="21" s="1"/>
  <c r="R225" i="21"/>
  <c r="AG225" i="21" s="1"/>
  <c r="R226" i="21"/>
  <c r="AG226" i="21" s="1"/>
  <c r="R227" i="21"/>
  <c r="AG227" i="21" s="1"/>
  <c r="R228" i="21"/>
  <c r="AG228" i="21" s="1"/>
  <c r="R229" i="21"/>
  <c r="AG229" i="21" s="1"/>
  <c r="R230" i="21"/>
  <c r="AG230" i="21" s="1"/>
  <c r="R231" i="21"/>
  <c r="AG231" i="21" s="1"/>
  <c r="R232" i="21"/>
  <c r="AG232" i="21" s="1"/>
  <c r="R233" i="21"/>
  <c r="AG233" i="21" s="1"/>
  <c r="R234" i="21"/>
  <c r="AG234" i="21" s="1"/>
  <c r="R235" i="21"/>
  <c r="AG235" i="21" s="1"/>
  <c r="R236" i="21"/>
  <c r="AG236" i="21" s="1"/>
  <c r="R237" i="21"/>
  <c r="AG237" i="21" s="1"/>
  <c r="R238" i="21"/>
  <c r="AG238" i="21" s="1"/>
  <c r="R239" i="21"/>
  <c r="AG239" i="21" s="1"/>
  <c r="R240" i="21"/>
  <c r="AG240" i="21" s="1"/>
  <c r="R241" i="21"/>
  <c r="AG241" i="21" s="1"/>
  <c r="R242" i="21"/>
  <c r="AG242" i="21" s="1"/>
  <c r="R243" i="21"/>
  <c r="AG243" i="21" s="1"/>
  <c r="R244" i="21"/>
  <c r="AG244" i="21" s="1"/>
  <c r="R245" i="21"/>
  <c r="AG245" i="21" s="1"/>
  <c r="R246" i="21"/>
  <c r="AG246" i="21" s="1"/>
  <c r="R247" i="21"/>
  <c r="AG247" i="21" s="1"/>
  <c r="R248" i="21"/>
  <c r="AG248" i="21" s="1"/>
  <c r="R249" i="21"/>
  <c r="AG249" i="21" s="1"/>
  <c r="R250" i="21"/>
  <c r="AG250" i="21" s="1"/>
  <c r="R251" i="21"/>
  <c r="AG251" i="21" s="1"/>
  <c r="R252" i="21"/>
  <c r="AG252" i="21" s="1"/>
  <c r="R253" i="21"/>
  <c r="AG253" i="21" s="1"/>
  <c r="R254" i="21"/>
  <c r="AG254" i="21" s="1"/>
  <c r="R255" i="21"/>
  <c r="AG255" i="21" s="1"/>
  <c r="R256" i="21"/>
  <c r="AG256" i="21" s="1"/>
  <c r="R257" i="21"/>
  <c r="AG257" i="21" s="1"/>
  <c r="R258" i="21"/>
  <c r="AG258" i="21" s="1"/>
  <c r="R259" i="21"/>
  <c r="AG259" i="21" s="1"/>
  <c r="R260" i="21"/>
  <c r="AG260" i="21" s="1"/>
  <c r="R261" i="21"/>
  <c r="AG261" i="21" s="1"/>
  <c r="R262" i="21"/>
  <c r="AG262" i="21" s="1"/>
  <c r="R263" i="21"/>
  <c r="AG263" i="21" s="1"/>
  <c r="R264" i="21"/>
  <c r="AG264" i="21" s="1"/>
  <c r="R265" i="21"/>
  <c r="AG265" i="21" s="1"/>
  <c r="R266" i="21"/>
  <c r="AG266" i="21" s="1"/>
  <c r="R267" i="21"/>
  <c r="AG267" i="21" s="1"/>
  <c r="R268" i="21"/>
  <c r="AG268" i="21" s="1"/>
  <c r="R269" i="21"/>
  <c r="AG269" i="21" s="1"/>
  <c r="R270" i="21"/>
  <c r="AG270" i="21" s="1"/>
  <c r="R271" i="21"/>
  <c r="AG271" i="21" s="1"/>
  <c r="R272" i="21"/>
  <c r="AG272" i="21" s="1"/>
  <c r="R273" i="21"/>
  <c r="AG273" i="21" s="1"/>
  <c r="R274" i="21"/>
  <c r="AG274" i="21" s="1"/>
  <c r="R275" i="21"/>
  <c r="AG275" i="21" s="1"/>
  <c r="R276" i="21"/>
  <c r="AG276" i="21" s="1"/>
  <c r="AT276" i="21" s="1"/>
  <c r="R277" i="21"/>
  <c r="AG277" i="21" s="1"/>
  <c r="R278" i="21"/>
  <c r="AG278" i="21" s="1"/>
  <c r="R279" i="21"/>
  <c r="AG279" i="21" s="1"/>
  <c r="R280" i="21"/>
  <c r="AG280" i="21" s="1"/>
  <c r="R281" i="21"/>
  <c r="AG281" i="21" s="1"/>
  <c r="R282" i="21"/>
  <c r="AG282" i="21" s="1"/>
  <c r="R283" i="21"/>
  <c r="AG283" i="21" s="1"/>
  <c r="R284" i="21"/>
  <c r="AG284" i="21" s="1"/>
  <c r="R285" i="21"/>
  <c r="AG285" i="21" s="1"/>
  <c r="R286" i="21"/>
  <c r="AG286" i="21" s="1"/>
  <c r="R287" i="21"/>
  <c r="AG287" i="21" s="1"/>
  <c r="R288" i="21"/>
  <c r="AG288" i="21" s="1"/>
  <c r="R289" i="21"/>
  <c r="AG289" i="21" s="1"/>
  <c r="R290" i="21"/>
  <c r="AG290" i="21" s="1"/>
  <c r="AT290" i="21" s="1"/>
  <c r="R291" i="21"/>
  <c r="AG291" i="21" s="1"/>
  <c r="AT291" i="21" s="1"/>
  <c r="R292" i="21"/>
  <c r="AG292" i="21" s="1"/>
  <c r="AT292" i="21" s="1"/>
  <c r="R293" i="21"/>
  <c r="AG293" i="21" s="1"/>
  <c r="R294" i="21"/>
  <c r="AG294" i="21" s="1"/>
  <c r="R295" i="21"/>
  <c r="AG295" i="21" s="1"/>
  <c r="R296" i="21"/>
  <c r="AG296" i="21" s="1"/>
  <c r="AT296" i="21" s="1"/>
  <c r="R297" i="21"/>
  <c r="AG297" i="21" s="1"/>
  <c r="AT297" i="21" s="1"/>
  <c r="R298" i="21"/>
  <c r="AG298" i="21" s="1"/>
  <c r="R299" i="21"/>
  <c r="AG299" i="21" s="1"/>
  <c r="R300" i="21"/>
  <c r="AG300" i="21" s="1"/>
  <c r="R301" i="21"/>
  <c r="AG301" i="21" s="1"/>
  <c r="R302" i="21"/>
  <c r="AG302" i="21" s="1"/>
  <c r="R303" i="21"/>
  <c r="AG303" i="21" s="1"/>
  <c r="R304" i="21"/>
  <c r="AG304" i="21" s="1"/>
  <c r="R305" i="21"/>
  <c r="AG305" i="21" s="1"/>
  <c r="R306" i="21"/>
  <c r="AG306" i="21" s="1"/>
  <c r="R307" i="21"/>
  <c r="AG307" i="21" s="1"/>
  <c r="R308" i="21"/>
  <c r="AG308" i="21" s="1"/>
  <c r="R309" i="21"/>
  <c r="AG309" i="21" s="1"/>
  <c r="AT309" i="21" s="1"/>
  <c r="R310" i="21"/>
  <c r="AG310" i="21" s="1"/>
  <c r="R311" i="21"/>
  <c r="AG311" i="21" s="1"/>
  <c r="R312" i="21"/>
  <c r="AG312" i="21" s="1"/>
  <c r="R313" i="21"/>
  <c r="AG313" i="21" s="1"/>
  <c r="R314" i="21"/>
  <c r="AG314" i="21" s="1"/>
  <c r="R315" i="21"/>
  <c r="AG315" i="21" s="1"/>
  <c r="R316" i="21"/>
  <c r="AG316" i="21" s="1"/>
  <c r="R317" i="21"/>
  <c r="AG317" i="21" s="1"/>
  <c r="R318" i="21"/>
  <c r="AG318" i="21" s="1"/>
  <c r="R319" i="21"/>
  <c r="AG319" i="21" s="1"/>
  <c r="R320" i="21"/>
  <c r="AG320" i="21" s="1"/>
  <c r="R321" i="21"/>
  <c r="AG321" i="21" s="1"/>
  <c r="R322" i="21"/>
  <c r="AG322" i="21" s="1"/>
  <c r="R323" i="21"/>
  <c r="AG323" i="21" s="1"/>
  <c r="R324" i="21"/>
  <c r="AG324" i="21" s="1"/>
  <c r="R325" i="21"/>
  <c r="AG325" i="21" s="1"/>
  <c r="R326" i="21"/>
  <c r="AG326" i="21" s="1"/>
  <c r="R327" i="21"/>
  <c r="AG327" i="21" s="1"/>
  <c r="R328" i="21"/>
  <c r="AG328" i="21" s="1"/>
  <c r="R329" i="21"/>
  <c r="AG329" i="21" s="1"/>
  <c r="R330" i="21"/>
  <c r="AG330" i="21" s="1"/>
  <c r="R331" i="21"/>
  <c r="AG331" i="21" s="1"/>
  <c r="R332" i="21"/>
  <c r="AG332" i="21" s="1"/>
  <c r="R333" i="21"/>
  <c r="AG333" i="21" s="1"/>
  <c r="R334" i="21"/>
  <c r="AG334" i="21" s="1"/>
  <c r="R335" i="21"/>
  <c r="AG335" i="21" s="1"/>
  <c r="R336" i="21"/>
  <c r="AG336" i="21" s="1"/>
  <c r="R337" i="21"/>
  <c r="AG337" i="21" s="1"/>
  <c r="R338" i="21"/>
  <c r="AG338" i="21" s="1"/>
  <c r="R339" i="21"/>
  <c r="AG339" i="21" s="1"/>
  <c r="R340" i="21"/>
  <c r="AG340" i="21" s="1"/>
  <c r="R341" i="21"/>
  <c r="AG341" i="21" s="1"/>
  <c r="R342" i="21"/>
  <c r="AG342" i="21" s="1"/>
  <c r="R343" i="21"/>
  <c r="AG343" i="21" s="1"/>
  <c r="R344" i="21"/>
  <c r="AG344" i="21" s="1"/>
  <c r="R345" i="21"/>
  <c r="AG345" i="21" s="1"/>
  <c r="R346" i="21"/>
  <c r="AG346" i="21" s="1"/>
  <c r="R347" i="21"/>
  <c r="AG347" i="21" s="1"/>
  <c r="R348" i="21"/>
  <c r="AG348" i="21" s="1"/>
  <c r="R349" i="21"/>
  <c r="AG349" i="21" s="1"/>
  <c r="R350" i="21"/>
  <c r="AG350" i="21" s="1"/>
  <c r="R351" i="21"/>
  <c r="AG351" i="21" s="1"/>
  <c r="R352" i="21"/>
  <c r="AG352" i="21" s="1"/>
  <c r="R353" i="21"/>
  <c r="AG353" i="21" s="1"/>
  <c r="R354" i="21"/>
  <c r="AG354" i="21" s="1"/>
  <c r="R355" i="21"/>
  <c r="AG355" i="21" s="1"/>
  <c r="R356" i="21"/>
  <c r="AG356" i="21" s="1"/>
  <c r="R357" i="21"/>
  <c r="AG357" i="21" s="1"/>
  <c r="R358" i="21"/>
  <c r="AG358" i="21" s="1"/>
  <c r="R359" i="21"/>
  <c r="AG359" i="21" s="1"/>
  <c r="R360" i="21"/>
  <c r="AG360" i="21" s="1"/>
  <c r="R361" i="21"/>
  <c r="AG361" i="21" s="1"/>
  <c r="R362" i="21"/>
  <c r="AG362" i="21" s="1"/>
  <c r="R363" i="21"/>
  <c r="AG363" i="21" s="1"/>
  <c r="R364" i="21"/>
  <c r="AG364" i="21" s="1"/>
  <c r="R365" i="21"/>
  <c r="AG365" i="21" s="1"/>
  <c r="R366" i="21"/>
  <c r="AG366" i="21" s="1"/>
  <c r="R367" i="21"/>
  <c r="AG367" i="21" s="1"/>
  <c r="R368" i="21"/>
  <c r="AG368" i="21" s="1"/>
  <c r="R369" i="21"/>
  <c r="AG369" i="21" s="1"/>
  <c r="R370" i="21"/>
  <c r="AG370" i="21" s="1"/>
  <c r="R371" i="21"/>
  <c r="AG371" i="21" s="1"/>
  <c r="R372" i="21"/>
  <c r="AG372" i="21" s="1"/>
  <c r="R373" i="21"/>
  <c r="AG373" i="21" s="1"/>
  <c r="R374" i="21"/>
  <c r="AG374" i="21" s="1"/>
  <c r="R375" i="21"/>
  <c r="AG375" i="21" s="1"/>
  <c r="R376" i="21"/>
  <c r="AG376" i="21" s="1"/>
  <c r="AT376" i="21" s="1"/>
  <c r="R377" i="21"/>
  <c r="AG377" i="21" s="1"/>
  <c r="R378" i="21"/>
  <c r="AG378" i="21" s="1"/>
  <c r="R379" i="21"/>
  <c r="AG379" i="21" s="1"/>
  <c r="R380" i="21"/>
  <c r="AG380" i="21" s="1"/>
  <c r="R381" i="21"/>
  <c r="AG381" i="21" s="1"/>
  <c r="R382" i="21"/>
  <c r="AG382" i="21" s="1"/>
  <c r="R383" i="21"/>
  <c r="AG383" i="21" s="1"/>
  <c r="R384" i="21"/>
  <c r="AG384" i="21" s="1"/>
  <c r="AT384" i="21" s="1"/>
  <c r="R385" i="21"/>
  <c r="AG385" i="21" s="1"/>
  <c r="R386" i="21"/>
  <c r="AG386" i="21" s="1"/>
  <c r="R387" i="21"/>
  <c r="AG387" i="21" s="1"/>
  <c r="R388" i="21"/>
  <c r="AG388" i="21" s="1"/>
  <c r="R389" i="21"/>
  <c r="AG389" i="21" s="1"/>
  <c r="R390" i="21"/>
  <c r="AG390" i="21" s="1"/>
  <c r="R391" i="21"/>
  <c r="AG391" i="21" s="1"/>
  <c r="R392" i="21"/>
  <c r="AG392" i="21" s="1"/>
  <c r="R393" i="21"/>
  <c r="AG393" i="21" s="1"/>
  <c r="R394" i="21"/>
  <c r="AG394" i="21" s="1"/>
  <c r="R395" i="21"/>
  <c r="AG395" i="21" s="1"/>
  <c r="R396" i="21"/>
  <c r="AG396" i="21" s="1"/>
  <c r="R397" i="21"/>
  <c r="AG397" i="21" s="1"/>
  <c r="R398" i="21"/>
  <c r="AG398" i="21" s="1"/>
  <c r="R399" i="21"/>
  <c r="AG399" i="21" s="1"/>
  <c r="R400" i="21"/>
  <c r="AG400" i="21" s="1"/>
  <c r="R401" i="21"/>
  <c r="AG401" i="21" s="1"/>
  <c r="R402" i="21"/>
  <c r="AG402" i="21" s="1"/>
  <c r="R403" i="21"/>
  <c r="AG403" i="21" s="1"/>
  <c r="R404" i="21"/>
  <c r="AG404" i="21" s="1"/>
  <c r="R405" i="21"/>
  <c r="AG405" i="21" s="1"/>
  <c r="R406" i="21"/>
  <c r="AG406" i="21" s="1"/>
  <c r="R407" i="21"/>
  <c r="AG407" i="21" s="1"/>
  <c r="R408" i="21"/>
  <c r="AG408" i="21" s="1"/>
  <c r="R409" i="21"/>
  <c r="AG409" i="21" s="1"/>
  <c r="R410" i="21"/>
  <c r="AG410" i="21" s="1"/>
  <c r="R411" i="21"/>
  <c r="AG411" i="21" s="1"/>
  <c r="R412" i="21"/>
  <c r="AG412" i="21" s="1"/>
  <c r="R413" i="21"/>
  <c r="AG413" i="21" s="1"/>
  <c r="R414" i="21"/>
  <c r="AG414" i="21" s="1"/>
  <c r="R415" i="21"/>
  <c r="AG415" i="21" s="1"/>
  <c r="R416" i="21"/>
  <c r="AG416" i="21" s="1"/>
  <c r="R417" i="21"/>
  <c r="AG417" i="21" s="1"/>
  <c r="AT417" i="21" s="1"/>
  <c r="R418" i="21"/>
  <c r="AG418" i="21" s="1"/>
  <c r="R419" i="21"/>
  <c r="AG419" i="21" s="1"/>
  <c r="R420" i="21"/>
  <c r="AG420" i="21" s="1"/>
  <c r="R421" i="21"/>
  <c r="AG421" i="21" s="1"/>
  <c r="R422" i="21"/>
  <c r="AG422" i="21" s="1"/>
  <c r="R423" i="21"/>
  <c r="AG423" i="21" s="1"/>
  <c r="R424" i="21"/>
  <c r="AG424" i="21" s="1"/>
  <c r="R425" i="21"/>
  <c r="AG425" i="21" s="1"/>
  <c r="R426" i="21"/>
  <c r="AG426" i="21" s="1"/>
  <c r="R427" i="21"/>
  <c r="AG427" i="21" s="1"/>
  <c r="R428" i="21"/>
  <c r="AG428" i="21" s="1"/>
  <c r="R429" i="21"/>
  <c r="AG429" i="21" s="1"/>
  <c r="R430" i="21"/>
  <c r="AG430" i="21" s="1"/>
  <c r="R431" i="21"/>
  <c r="AG431" i="21" s="1"/>
  <c r="R432" i="21"/>
  <c r="AG432" i="21" s="1"/>
  <c r="R433" i="21"/>
  <c r="AG433" i="21" s="1"/>
  <c r="R434" i="21"/>
  <c r="AG434" i="21" s="1"/>
  <c r="R435" i="21"/>
  <c r="AG435" i="21" s="1"/>
  <c r="R436" i="21"/>
  <c r="AG436" i="21" s="1"/>
  <c r="R437" i="21"/>
  <c r="AG437" i="21" s="1"/>
  <c r="R438" i="21"/>
  <c r="AG438" i="21" s="1"/>
  <c r="R439" i="21"/>
  <c r="AG439" i="21" s="1"/>
  <c r="R440" i="21"/>
  <c r="AG440" i="21" s="1"/>
  <c r="R441" i="21"/>
  <c r="AG441" i="21" s="1"/>
  <c r="R442" i="21"/>
  <c r="AG442" i="21" s="1"/>
  <c r="R443" i="21"/>
  <c r="AG443" i="21" s="1"/>
  <c r="R444" i="21"/>
  <c r="AG444" i="21" s="1"/>
  <c r="R445" i="21"/>
  <c r="AG445" i="21" s="1"/>
  <c r="R446" i="21"/>
  <c r="AG446" i="21" s="1"/>
  <c r="R447" i="21"/>
  <c r="AG447" i="21" s="1"/>
  <c r="R448" i="21"/>
  <c r="AG448" i="21" s="1"/>
  <c r="R449" i="21"/>
  <c r="AG449" i="21" s="1"/>
  <c r="R450" i="21"/>
  <c r="AG450" i="21" s="1"/>
  <c r="R451" i="21"/>
  <c r="AG451" i="21" s="1"/>
  <c r="R452" i="21"/>
  <c r="AG452" i="21" s="1"/>
  <c r="R453" i="21"/>
  <c r="AG453" i="21" s="1"/>
  <c r="R454" i="21"/>
  <c r="AG454" i="21" s="1"/>
  <c r="R455" i="21"/>
  <c r="AG455" i="21" s="1"/>
  <c r="R456" i="21"/>
  <c r="AG456" i="21" s="1"/>
  <c r="R457" i="21"/>
  <c r="AG457" i="21" s="1"/>
  <c r="R458" i="21"/>
  <c r="AG458" i="21" s="1"/>
  <c r="R459" i="21"/>
  <c r="AG459" i="21" s="1"/>
  <c r="R460" i="21"/>
  <c r="AG460" i="21" s="1"/>
  <c r="R461" i="21"/>
  <c r="AG461" i="21" s="1"/>
  <c r="R462" i="21"/>
  <c r="AG462" i="21" s="1"/>
  <c r="R463" i="21"/>
  <c r="AG463" i="21" s="1"/>
  <c r="R464" i="21"/>
  <c r="AG464" i="21" s="1"/>
  <c r="R465" i="21"/>
  <c r="AG465" i="21" s="1"/>
  <c r="R466" i="21"/>
  <c r="AG466" i="21" s="1"/>
  <c r="R467" i="21"/>
  <c r="AG467" i="21" s="1"/>
  <c r="R468" i="21"/>
  <c r="AG468" i="21" s="1"/>
  <c r="R469" i="21"/>
  <c r="AG469" i="21" s="1"/>
  <c r="R470" i="21"/>
  <c r="AG470" i="21" s="1"/>
  <c r="R471" i="21"/>
  <c r="AG471" i="21" s="1"/>
  <c r="R472" i="21"/>
  <c r="AG472" i="21" s="1"/>
  <c r="R473" i="21"/>
  <c r="AG473" i="21" s="1"/>
  <c r="R474" i="21"/>
  <c r="AG474" i="21" s="1"/>
  <c r="R475" i="21"/>
  <c r="AG475" i="21" s="1"/>
  <c r="R476" i="21"/>
  <c r="AG476" i="21" s="1"/>
  <c r="R477" i="21"/>
  <c r="AG477" i="21" s="1"/>
  <c r="R478" i="21"/>
  <c r="AG478" i="21" s="1"/>
  <c r="R479" i="21"/>
  <c r="AG479" i="21" s="1"/>
  <c r="R480" i="21"/>
  <c r="AG480" i="21" s="1"/>
  <c r="R481" i="21"/>
  <c r="AG481" i="21" s="1"/>
  <c r="R482" i="21"/>
  <c r="AG482" i="21" s="1"/>
  <c r="R483" i="21"/>
  <c r="AG483" i="21" s="1"/>
  <c r="R484" i="21"/>
  <c r="AG484" i="21" s="1"/>
  <c r="R485" i="21"/>
  <c r="AG485" i="21" s="1"/>
  <c r="R486" i="21"/>
  <c r="AG486" i="21" s="1"/>
  <c r="R487" i="21"/>
  <c r="AG487" i="21" s="1"/>
  <c r="R488" i="21"/>
  <c r="AG488" i="21" s="1"/>
  <c r="R489" i="21"/>
  <c r="AG489" i="21" s="1"/>
  <c r="R490" i="21"/>
  <c r="AG490" i="21" s="1"/>
  <c r="R491" i="21"/>
  <c r="AG491" i="21" s="1"/>
  <c r="R492" i="21"/>
  <c r="AG492" i="21" s="1"/>
  <c r="R493" i="21"/>
  <c r="AG493" i="21" s="1"/>
  <c r="R494" i="21"/>
  <c r="AG494" i="21" s="1"/>
  <c r="R495" i="21"/>
  <c r="AG495" i="21" s="1"/>
  <c r="R496" i="21"/>
  <c r="AG496" i="21" s="1"/>
  <c r="R497" i="21"/>
  <c r="AG497" i="21" s="1"/>
  <c r="R498" i="21"/>
  <c r="AG498" i="21" s="1"/>
  <c r="R499" i="21"/>
  <c r="AG499" i="21" s="1"/>
  <c r="R500" i="21"/>
  <c r="AG500" i="21" s="1"/>
  <c r="R501" i="21"/>
  <c r="AG501" i="21" s="1"/>
  <c r="R502" i="21"/>
  <c r="AG502" i="21" s="1"/>
  <c r="R503" i="21"/>
  <c r="AG503" i="21" s="1"/>
  <c r="R504" i="21"/>
  <c r="AG504" i="21" s="1"/>
  <c r="R505" i="21"/>
  <c r="AG505" i="21" s="1"/>
  <c r="R506" i="21"/>
  <c r="AG506" i="21" s="1"/>
  <c r="R507" i="21"/>
  <c r="AG507" i="21" s="1"/>
  <c r="R508" i="21"/>
  <c r="AG508" i="21" s="1"/>
  <c r="R509" i="21"/>
  <c r="AT509" i="21" s="1"/>
  <c r="R510" i="21"/>
  <c r="AG510" i="21" s="1"/>
  <c r="AT510" i="21" s="1"/>
  <c r="R511" i="21"/>
  <c r="AG511" i="21" s="1"/>
  <c r="R512" i="21"/>
  <c r="AG512" i="21" s="1"/>
  <c r="AT512" i="21" s="1"/>
  <c r="R513" i="21"/>
  <c r="AG513" i="21" s="1"/>
  <c r="AT513" i="21" s="1"/>
  <c r="R514" i="21"/>
  <c r="AG514" i="21" s="1"/>
  <c r="R515" i="21"/>
  <c r="AG515" i="21" s="1"/>
  <c r="R516" i="21"/>
  <c r="AG516" i="21" s="1"/>
  <c r="R517" i="21"/>
  <c r="AG517" i="21" s="1"/>
  <c r="R518" i="21"/>
  <c r="AG518" i="21" s="1"/>
  <c r="R519" i="21"/>
  <c r="AG519" i="21" s="1"/>
  <c r="R520" i="21"/>
  <c r="AG520" i="21" s="1"/>
  <c r="R521" i="21"/>
  <c r="AG521" i="21" s="1"/>
  <c r="R522" i="21"/>
  <c r="AG522" i="21" s="1"/>
  <c r="R523" i="21"/>
  <c r="AG523" i="21" s="1"/>
  <c r="R524" i="21"/>
  <c r="AG524" i="21" s="1"/>
  <c r="R525" i="21"/>
  <c r="AG525" i="21" s="1"/>
  <c r="R526" i="21"/>
  <c r="AG526" i="21" s="1"/>
  <c r="R527" i="21"/>
  <c r="AG527" i="21" s="1"/>
  <c r="R528" i="21"/>
  <c r="AG528" i="21" s="1"/>
  <c r="R529" i="21"/>
  <c r="AG529" i="21" s="1"/>
  <c r="AI529" i="21" s="1"/>
  <c r="R530" i="21"/>
  <c r="AG530" i="21" s="1"/>
  <c r="R531" i="21"/>
  <c r="AG531" i="21" s="1"/>
  <c r="R532" i="21"/>
  <c r="AG532" i="21" s="1"/>
  <c r="R533" i="21"/>
  <c r="AG533" i="21" s="1"/>
  <c r="R534" i="21"/>
  <c r="AG534" i="21" s="1"/>
  <c r="R535" i="21"/>
  <c r="AG535" i="21" s="1"/>
  <c r="R536" i="21"/>
  <c r="AG536" i="21" s="1"/>
  <c r="R537" i="21"/>
  <c r="AG537" i="21" s="1"/>
  <c r="R538" i="21"/>
  <c r="AG538" i="21" s="1"/>
  <c r="R539" i="21"/>
  <c r="AG539" i="21" s="1"/>
  <c r="R540" i="21"/>
  <c r="AG540" i="21" s="1"/>
  <c r="R541" i="21"/>
  <c r="AG541" i="21" s="1"/>
  <c r="R542" i="21"/>
  <c r="AG542" i="21" s="1"/>
  <c r="R543" i="21"/>
  <c r="AG543" i="21" s="1"/>
  <c r="R544" i="21"/>
  <c r="AG544" i="21" s="1"/>
  <c r="R545" i="21"/>
  <c r="AG545" i="21" s="1"/>
  <c r="R546" i="21"/>
  <c r="AG546" i="21" s="1"/>
  <c r="R547" i="21"/>
  <c r="AG547" i="21" s="1"/>
  <c r="R548" i="21"/>
  <c r="AG548" i="21" s="1"/>
  <c r="R549" i="21"/>
  <c r="AG549" i="21" s="1"/>
  <c r="R550" i="21"/>
  <c r="AG550" i="21" s="1"/>
  <c r="R551" i="21"/>
  <c r="AG551" i="21" s="1"/>
  <c r="R552" i="21"/>
  <c r="AG552" i="21" s="1"/>
  <c r="R553" i="21"/>
  <c r="AG553" i="21" s="1"/>
  <c r="R554" i="21"/>
  <c r="AG554" i="21" s="1"/>
  <c r="R555" i="21"/>
  <c r="AG555" i="21" s="1"/>
  <c r="R556" i="21"/>
  <c r="AG556" i="21" s="1"/>
  <c r="R557" i="21"/>
  <c r="AG557" i="21" s="1"/>
  <c r="R558" i="21"/>
  <c r="AG558" i="21" s="1"/>
  <c r="R559" i="21"/>
  <c r="AG559" i="21" s="1"/>
  <c r="R560" i="21"/>
  <c r="AG560" i="21" s="1"/>
  <c r="R561" i="21"/>
  <c r="AG561" i="21" s="1"/>
  <c r="R562" i="21"/>
  <c r="AG562" i="21" s="1"/>
  <c r="R563" i="21"/>
  <c r="AG563" i="21" s="1"/>
  <c r="R564" i="21"/>
  <c r="AG564" i="21" s="1"/>
  <c r="R565" i="21"/>
  <c r="AG565" i="21" s="1"/>
  <c r="R566" i="21"/>
  <c r="AG566" i="21" s="1"/>
  <c r="R567" i="21"/>
  <c r="AG567" i="21" s="1"/>
  <c r="R568" i="21"/>
  <c r="AG568" i="21" s="1"/>
  <c r="R569" i="21"/>
  <c r="AG569" i="21" s="1"/>
  <c r="R570" i="21"/>
  <c r="AG570" i="21" s="1"/>
  <c r="R571" i="21"/>
  <c r="AG571" i="21" s="1"/>
  <c r="R572" i="21"/>
  <c r="AG572" i="21" s="1"/>
  <c r="R573" i="21"/>
  <c r="AG573" i="21" s="1"/>
  <c r="R574" i="21"/>
  <c r="AG574" i="21" s="1"/>
  <c r="R575" i="21"/>
  <c r="AG575" i="21" s="1"/>
  <c r="R576" i="21"/>
  <c r="AG576" i="21" s="1"/>
  <c r="R577" i="21"/>
  <c r="AG577" i="21" s="1"/>
  <c r="R578" i="21"/>
  <c r="AG578" i="21" s="1"/>
  <c r="R579" i="21"/>
  <c r="AG579" i="21" s="1"/>
  <c r="R580" i="21"/>
  <c r="AG580" i="21" s="1"/>
  <c r="R581" i="21"/>
  <c r="AG581" i="21" s="1"/>
  <c r="R582" i="21"/>
  <c r="AG582" i="21" s="1"/>
  <c r="R583" i="21"/>
  <c r="AG583" i="21" s="1"/>
  <c r="R584" i="21"/>
  <c r="AG584" i="21" s="1"/>
  <c r="R585" i="21"/>
  <c r="AG585" i="21" s="1"/>
  <c r="R586" i="21"/>
  <c r="AG586" i="21" s="1"/>
  <c r="R587" i="21"/>
  <c r="AG587" i="21" s="1"/>
  <c r="R588" i="21"/>
  <c r="AG588" i="21" s="1"/>
  <c r="AT588" i="21" s="1"/>
  <c r="R589" i="21"/>
  <c r="AG589" i="21" s="1"/>
  <c r="R590" i="21"/>
  <c r="AG590" i="21" s="1"/>
  <c r="R591" i="21"/>
  <c r="AG591" i="21" s="1"/>
  <c r="R592" i="21"/>
  <c r="AG592" i="21" s="1"/>
  <c r="R593" i="21"/>
  <c r="AG593" i="21" s="1"/>
  <c r="R594" i="21"/>
  <c r="AG594" i="21" s="1"/>
  <c r="R595" i="21"/>
  <c r="AG595" i="21" s="1"/>
  <c r="R596" i="21"/>
  <c r="AG596" i="21" s="1"/>
  <c r="R597" i="21"/>
  <c r="AG597" i="21" s="1"/>
  <c r="R598" i="21"/>
  <c r="AG598" i="21" s="1"/>
  <c r="R599" i="21"/>
  <c r="AG599" i="21" s="1"/>
  <c r="R600" i="21"/>
  <c r="AG600" i="21" s="1"/>
  <c r="R601" i="21"/>
  <c r="AG601" i="21" s="1"/>
  <c r="R602" i="21"/>
  <c r="AG602" i="21" s="1"/>
  <c r="R603" i="21"/>
  <c r="AG603" i="21" s="1"/>
  <c r="R604" i="21"/>
  <c r="AG604" i="21" s="1"/>
  <c r="R605" i="21"/>
  <c r="AG605" i="21" s="1"/>
  <c r="R606" i="21"/>
  <c r="AG606" i="21" s="1"/>
  <c r="R607" i="21"/>
  <c r="AG607" i="21" s="1"/>
  <c r="R608" i="21"/>
  <c r="AG608" i="21" s="1"/>
  <c r="R609" i="21"/>
  <c r="AG609" i="21" s="1"/>
  <c r="R610" i="21"/>
  <c r="AG610" i="21" s="1"/>
  <c r="R611" i="21"/>
  <c r="AG611" i="21" s="1"/>
  <c r="R612" i="21"/>
  <c r="AG612" i="21" s="1"/>
  <c r="R613" i="21"/>
  <c r="AG613" i="21" s="1"/>
  <c r="R614" i="21"/>
  <c r="AG614" i="21" s="1"/>
  <c r="R615" i="21"/>
  <c r="AG615" i="21" s="1"/>
  <c r="R616" i="21"/>
  <c r="AG616" i="21" s="1"/>
  <c r="R617" i="21"/>
  <c r="AG617" i="21" s="1"/>
  <c r="R618" i="21"/>
  <c r="AG618" i="21" s="1"/>
  <c r="R619" i="21"/>
  <c r="AG619" i="21" s="1"/>
  <c r="R620" i="21"/>
  <c r="AG620" i="21" s="1"/>
  <c r="R621" i="21"/>
  <c r="AG621" i="21" s="1"/>
  <c r="R622" i="21"/>
  <c r="AG622" i="21" s="1"/>
  <c r="R623" i="21"/>
  <c r="AG623" i="21" s="1"/>
  <c r="R624" i="21"/>
  <c r="AG624" i="21" s="1"/>
  <c r="R625" i="21"/>
  <c r="AG625" i="21" s="1"/>
  <c r="R626" i="21"/>
  <c r="AG626" i="21" s="1"/>
  <c r="R627" i="21"/>
  <c r="AG627" i="21" s="1"/>
  <c r="R628" i="21"/>
  <c r="AG628" i="21" s="1"/>
  <c r="R629" i="21"/>
  <c r="AG629" i="21" s="1"/>
  <c r="R630" i="21"/>
  <c r="AG630" i="21" s="1"/>
  <c r="R631" i="21"/>
  <c r="AG631" i="21" s="1"/>
  <c r="R632" i="21"/>
  <c r="AG632" i="21" s="1"/>
  <c r="R633" i="21"/>
  <c r="AG633" i="21" s="1"/>
  <c r="R634" i="21"/>
  <c r="AG634" i="21" s="1"/>
  <c r="R635" i="21"/>
  <c r="AG635" i="21" s="1"/>
  <c r="R636" i="21"/>
  <c r="AG636" i="21" s="1"/>
  <c r="R637" i="21"/>
  <c r="AG637" i="21" s="1"/>
  <c r="R638" i="21"/>
  <c r="AG638" i="21" s="1"/>
  <c r="R639" i="21"/>
  <c r="AG639" i="21" s="1"/>
  <c r="R640" i="21"/>
  <c r="AG640" i="21" s="1"/>
  <c r="R641" i="21"/>
  <c r="AG641" i="21" s="1"/>
  <c r="R642" i="21"/>
  <c r="AG642" i="21" s="1"/>
  <c r="R643" i="21"/>
  <c r="AG643" i="21" s="1"/>
  <c r="R644" i="21"/>
  <c r="AG644" i="21" s="1"/>
  <c r="R645" i="21"/>
  <c r="AG645" i="21" s="1"/>
  <c r="R646" i="21"/>
  <c r="AG646" i="21" s="1"/>
  <c r="R647" i="21"/>
  <c r="AG647" i="21" s="1"/>
  <c r="R648" i="21"/>
  <c r="AG648" i="21" s="1"/>
  <c r="AT648" i="21" s="1"/>
  <c r="R649" i="21"/>
  <c r="AG649" i="21" s="1"/>
  <c r="R650" i="21"/>
  <c r="AG650" i="21" s="1"/>
  <c r="R651" i="21"/>
  <c r="AG651" i="21" s="1"/>
  <c r="R652" i="21"/>
  <c r="AG652" i="21" s="1"/>
  <c r="R653" i="21"/>
  <c r="AG653" i="21" s="1"/>
  <c r="R654" i="21"/>
  <c r="AG654" i="21" s="1"/>
  <c r="R655" i="21"/>
  <c r="AG655" i="21" s="1"/>
  <c r="R656" i="21"/>
  <c r="AG656" i="21" s="1"/>
  <c r="R657" i="21"/>
  <c r="AG657" i="21" s="1"/>
  <c r="R658" i="21"/>
  <c r="AG658" i="21" s="1"/>
  <c r="R659" i="21"/>
  <c r="AG659" i="21" s="1"/>
  <c r="R660" i="21"/>
  <c r="AG660" i="21" s="1"/>
  <c r="R661" i="21"/>
  <c r="AG661" i="21" s="1"/>
  <c r="R662" i="21"/>
  <c r="AG662" i="21" s="1"/>
  <c r="R663" i="21"/>
  <c r="AG663" i="21" s="1"/>
  <c r="R664" i="21"/>
  <c r="AG664" i="21" s="1"/>
  <c r="R665" i="21"/>
  <c r="AG665" i="21" s="1"/>
  <c r="R666" i="21"/>
  <c r="AG666" i="21" s="1"/>
  <c r="R667" i="21"/>
  <c r="AG667" i="21" s="1"/>
  <c r="R668" i="21"/>
  <c r="AG668" i="21" s="1"/>
  <c r="R669" i="21"/>
  <c r="AG669" i="21" s="1"/>
  <c r="R670" i="21"/>
  <c r="AG670" i="21" s="1"/>
  <c r="R671" i="21"/>
  <c r="AG671" i="21" s="1"/>
  <c r="R672" i="21"/>
  <c r="AG672" i="21" s="1"/>
  <c r="R673" i="21"/>
  <c r="AG673" i="21" s="1"/>
  <c r="R674" i="21"/>
  <c r="AG674" i="21" s="1"/>
  <c r="R675" i="21"/>
  <c r="AG675" i="21" s="1"/>
  <c r="R676" i="21"/>
  <c r="AG676" i="21" s="1"/>
  <c r="R677" i="21"/>
  <c r="AG677" i="21" s="1"/>
  <c r="R678" i="21"/>
  <c r="AG678" i="21" s="1"/>
  <c r="R679" i="21"/>
  <c r="AG679" i="21" s="1"/>
  <c r="R680" i="21"/>
  <c r="AG680" i="21" s="1"/>
  <c r="AT680" i="21" s="1"/>
  <c r="R681" i="21"/>
  <c r="AG681" i="21" s="1"/>
  <c r="AT681" i="21" s="1"/>
  <c r="R682" i="21"/>
  <c r="AG682" i="21" s="1"/>
  <c r="R683" i="21"/>
  <c r="AG683" i="21" s="1"/>
  <c r="R684" i="21"/>
  <c r="AG684" i="21" s="1"/>
  <c r="AT684" i="21" s="1"/>
  <c r="R685" i="21"/>
  <c r="AG685" i="21" s="1"/>
  <c r="R686" i="21"/>
  <c r="AG686" i="21" s="1"/>
  <c r="R687" i="21"/>
  <c r="AG687" i="21" s="1"/>
  <c r="R688" i="21"/>
  <c r="AG688" i="21" s="1"/>
  <c r="R689" i="21"/>
  <c r="AG689" i="21" s="1"/>
  <c r="R690" i="21"/>
  <c r="AG690" i="21" s="1"/>
  <c r="R691" i="21"/>
  <c r="AG691" i="21" s="1"/>
  <c r="R692" i="21"/>
  <c r="AG692" i="21" s="1"/>
  <c r="R693" i="21"/>
  <c r="AG693" i="21" s="1"/>
  <c r="R694" i="21"/>
  <c r="AG694" i="21" s="1"/>
  <c r="R695" i="21"/>
  <c r="AG695" i="21" s="1"/>
  <c r="R696" i="21"/>
  <c r="AG696" i="21" s="1"/>
  <c r="R697" i="21"/>
  <c r="AG697" i="21" s="1"/>
  <c r="R698" i="21"/>
  <c r="AG698" i="21" s="1"/>
  <c r="R699" i="21"/>
  <c r="AG699" i="21" s="1"/>
  <c r="R700" i="21"/>
  <c r="AG700" i="21" s="1"/>
  <c r="R701" i="21"/>
  <c r="AG701" i="21" s="1"/>
  <c r="R702" i="21"/>
  <c r="AG702" i="21" s="1"/>
  <c r="R703" i="21"/>
  <c r="AG703" i="21" s="1"/>
  <c r="R704" i="21"/>
  <c r="AG704" i="21" s="1"/>
  <c r="R705" i="21"/>
  <c r="AG705" i="21" s="1"/>
  <c r="R706" i="21"/>
  <c r="AG706" i="21" s="1"/>
  <c r="R707" i="21"/>
  <c r="AG707" i="21" s="1"/>
  <c r="R708" i="21"/>
  <c r="AG708" i="21" s="1"/>
  <c r="R709" i="21"/>
  <c r="AG709" i="21" s="1"/>
  <c r="R710" i="21"/>
  <c r="AG710" i="21" s="1"/>
  <c r="R711" i="21"/>
  <c r="AG711" i="21" s="1"/>
  <c r="R712" i="21"/>
  <c r="AG712" i="21" s="1"/>
  <c r="R713" i="21"/>
  <c r="AG713" i="21" s="1"/>
  <c r="R714" i="21"/>
  <c r="AG714" i="21" s="1"/>
  <c r="R715" i="21"/>
  <c r="AG715" i="21" s="1"/>
  <c r="R716" i="21"/>
  <c r="AG716" i="21" s="1"/>
  <c r="R717" i="21"/>
  <c r="AG717" i="21" s="1"/>
  <c r="R718" i="21"/>
  <c r="AG718" i="21" s="1"/>
  <c r="R719" i="21"/>
  <c r="AG719" i="21" s="1"/>
  <c r="R720" i="21"/>
  <c r="AG720" i="21" s="1"/>
  <c r="R721" i="21"/>
  <c r="AG721" i="21" s="1"/>
  <c r="R722" i="21"/>
  <c r="AG722" i="21" s="1"/>
  <c r="R723" i="21"/>
  <c r="AG723" i="21" s="1"/>
  <c r="R724" i="21"/>
  <c r="AG724" i="21" s="1"/>
  <c r="R725" i="21"/>
  <c r="AG725" i="21" s="1"/>
  <c r="R726" i="21"/>
  <c r="AG726" i="21" s="1"/>
  <c r="R727" i="21"/>
  <c r="AG727" i="21" s="1"/>
  <c r="R728" i="21"/>
  <c r="AG728" i="21" s="1"/>
  <c r="R729" i="21"/>
  <c r="AG729" i="21" s="1"/>
  <c r="R730" i="21"/>
  <c r="AG730" i="21" s="1"/>
  <c r="R731" i="21"/>
  <c r="AG731" i="21" s="1"/>
  <c r="R732" i="21"/>
  <c r="AG732" i="21" s="1"/>
  <c r="AT732" i="21" s="1"/>
  <c r="R733" i="21"/>
  <c r="AG733" i="21" s="1"/>
  <c r="R734" i="21"/>
  <c r="AG734" i="21" s="1"/>
  <c r="R735" i="21"/>
  <c r="AG735" i="21" s="1"/>
  <c r="R736" i="21"/>
  <c r="AG736" i="21" s="1"/>
  <c r="R737" i="21"/>
  <c r="AG737" i="21" s="1"/>
  <c r="R738" i="21"/>
  <c r="AG738" i="21" s="1"/>
  <c r="R739" i="21"/>
  <c r="AG739" i="21" s="1"/>
  <c r="R740" i="21"/>
  <c r="AG740" i="21" s="1"/>
  <c r="R741" i="21"/>
  <c r="AG741" i="21" s="1"/>
  <c r="R742" i="21"/>
  <c r="AG742" i="21" s="1"/>
  <c r="R743" i="21"/>
  <c r="AG743" i="21" s="1"/>
  <c r="R744" i="21"/>
  <c r="AG744" i="21" s="1"/>
  <c r="AI744" i="21" s="1"/>
  <c r="R745" i="21"/>
  <c r="AG745" i="21" s="1"/>
  <c r="AI745" i="21" s="1"/>
  <c r="R746" i="21"/>
  <c r="AG746" i="21" s="1"/>
  <c r="R747" i="21"/>
  <c r="AG747" i="21" s="1"/>
  <c r="R748" i="21"/>
  <c r="AG748" i="21" s="1"/>
  <c r="R749" i="21"/>
  <c r="AG749" i="21" s="1"/>
  <c r="R750" i="21"/>
  <c r="AG750" i="21" s="1"/>
  <c r="R751" i="21"/>
  <c r="AG751" i="21" s="1"/>
  <c r="R752" i="21"/>
  <c r="AG752" i="21" s="1"/>
  <c r="R753" i="21"/>
  <c r="AG753" i="21" s="1"/>
  <c r="R754" i="21"/>
  <c r="AG754" i="21" s="1"/>
  <c r="R755" i="21"/>
  <c r="AG755" i="21" s="1"/>
  <c r="R756" i="21"/>
  <c r="AG756" i="21" s="1"/>
  <c r="R757" i="21"/>
  <c r="AG757" i="21" s="1"/>
  <c r="R758" i="21"/>
  <c r="AG758" i="21" s="1"/>
  <c r="R759" i="21"/>
  <c r="AG759" i="21" s="1"/>
  <c r="R760" i="21"/>
  <c r="AG760" i="21" s="1"/>
  <c r="R761" i="21"/>
  <c r="AG761" i="21" s="1"/>
  <c r="R762" i="21"/>
  <c r="AG762" i="21" s="1"/>
  <c r="R763" i="21"/>
  <c r="AG763" i="21" s="1"/>
  <c r="R764" i="21"/>
  <c r="AG764" i="21" s="1"/>
  <c r="R765" i="21"/>
  <c r="AG765" i="21" s="1"/>
  <c r="R766" i="21"/>
  <c r="AG766" i="21" s="1"/>
  <c r="R767" i="21"/>
  <c r="AG767" i="21" s="1"/>
  <c r="R768" i="21"/>
  <c r="AG768" i="21" s="1"/>
  <c r="R769" i="21"/>
  <c r="AG769" i="21" s="1"/>
  <c r="R770" i="21"/>
  <c r="AG770" i="21" s="1"/>
  <c r="R771" i="21"/>
  <c r="AG771" i="21" s="1"/>
  <c r="R772" i="21"/>
  <c r="AG772" i="21" s="1"/>
  <c r="R773" i="21"/>
  <c r="AG773" i="21" s="1"/>
  <c r="R774" i="21"/>
  <c r="AG774" i="21" s="1"/>
  <c r="R775" i="21"/>
  <c r="AG775" i="21" s="1"/>
  <c r="R776" i="21"/>
  <c r="AG776" i="21" s="1"/>
  <c r="R777" i="21"/>
  <c r="AG777" i="21" s="1"/>
  <c r="R778" i="21"/>
  <c r="AG778" i="21" s="1"/>
  <c r="R779" i="21"/>
  <c r="AG779" i="21" s="1"/>
  <c r="R780" i="21"/>
  <c r="AG780" i="21" s="1"/>
  <c r="R781" i="21"/>
  <c r="AG781" i="21" s="1"/>
  <c r="R782" i="21"/>
  <c r="AG782" i="21" s="1"/>
  <c r="R783" i="21"/>
  <c r="AG783" i="21" s="1"/>
  <c r="R784" i="21"/>
  <c r="AG784" i="21" s="1"/>
  <c r="AT784" i="21" s="1"/>
  <c r="R785" i="21"/>
  <c r="AG785" i="21" s="1"/>
  <c r="R786" i="21"/>
  <c r="AG786" i="21" s="1"/>
  <c r="R787" i="21"/>
  <c r="AG787" i="21" s="1"/>
  <c r="R788" i="21"/>
  <c r="AG788" i="21" s="1"/>
  <c r="R789" i="21"/>
  <c r="AG789" i="21" s="1"/>
  <c r="R790" i="21"/>
  <c r="AG790" i="21" s="1"/>
  <c r="R791" i="21"/>
  <c r="AG791" i="21" s="1"/>
  <c r="R792" i="21"/>
  <c r="AG792" i="21" s="1"/>
  <c r="R793" i="21"/>
  <c r="AG793" i="21" s="1"/>
  <c r="AT793" i="21" s="1"/>
  <c r="R794" i="21"/>
  <c r="AG794" i="21" s="1"/>
  <c r="AT794" i="21" s="1"/>
  <c r="R795" i="21"/>
  <c r="AG795" i="21" s="1"/>
  <c r="AT795" i="21" s="1"/>
  <c r="R796" i="21"/>
  <c r="AG796" i="21" s="1"/>
  <c r="AT796" i="21" s="1"/>
  <c r="R797" i="21"/>
  <c r="AG797" i="21" s="1"/>
  <c r="R798" i="21"/>
  <c r="AG798" i="21" s="1"/>
  <c r="R799" i="21"/>
  <c r="AG799" i="21" s="1"/>
  <c r="R800" i="21"/>
  <c r="AG800" i="21" s="1"/>
  <c r="R801" i="21"/>
  <c r="AG801" i="21" s="1"/>
  <c r="R802" i="21"/>
  <c r="AG802" i="21" s="1"/>
  <c r="R803" i="21"/>
  <c r="AG803" i="21" s="1"/>
  <c r="R804" i="21"/>
  <c r="AG804" i="21" s="1"/>
  <c r="R805" i="21"/>
  <c r="AG805" i="21" s="1"/>
  <c r="R806" i="21"/>
  <c r="AG806" i="21" s="1"/>
  <c r="R807" i="21"/>
  <c r="AG807" i="21" s="1"/>
  <c r="R808" i="21"/>
  <c r="AG808" i="21" s="1"/>
  <c r="R809" i="21"/>
  <c r="AG809" i="21" s="1"/>
  <c r="R810" i="21"/>
  <c r="AG810" i="21" s="1"/>
  <c r="R811" i="21"/>
  <c r="AG811" i="21" s="1"/>
  <c r="R812" i="21"/>
  <c r="AG812" i="21" s="1"/>
  <c r="R813" i="21"/>
  <c r="AG813" i="21" s="1"/>
  <c r="R814" i="21"/>
  <c r="AG814" i="21" s="1"/>
  <c r="R815" i="21"/>
  <c r="AG815" i="21" s="1"/>
  <c r="R816" i="21"/>
  <c r="AG816" i="21" s="1"/>
  <c r="R817" i="21"/>
  <c r="AG817" i="21" s="1"/>
  <c r="R818" i="21"/>
  <c r="AG818" i="21" s="1"/>
  <c r="R819" i="21"/>
  <c r="AG819" i="21" s="1"/>
  <c r="R820" i="21"/>
  <c r="AG820" i="21" s="1"/>
  <c r="R821" i="21"/>
  <c r="AG821" i="21" s="1"/>
  <c r="R822" i="21"/>
  <c r="AG822" i="21" s="1"/>
  <c r="R823" i="21"/>
  <c r="AG823" i="21" s="1"/>
  <c r="R824" i="21"/>
  <c r="AG824" i="21" s="1"/>
  <c r="R825" i="21"/>
  <c r="AG825" i="21" s="1"/>
  <c r="R826" i="21"/>
  <c r="AG826" i="21" s="1"/>
  <c r="R827" i="21"/>
  <c r="AG827" i="21" s="1"/>
  <c r="R828" i="21"/>
  <c r="AG828" i="21" s="1"/>
  <c r="R829" i="21"/>
  <c r="AG829" i="21" s="1"/>
  <c r="R830" i="21"/>
  <c r="AG830" i="21" s="1"/>
  <c r="R831" i="21"/>
  <c r="AG831" i="21" s="1"/>
  <c r="R832" i="21"/>
  <c r="AG832" i="21" s="1"/>
  <c r="R833" i="21"/>
  <c r="AG833" i="21" s="1"/>
  <c r="R834" i="21"/>
  <c r="AG834" i="21" s="1"/>
  <c r="R835" i="21"/>
  <c r="AG835" i="21" s="1"/>
  <c r="R836" i="21"/>
  <c r="AG836" i="21" s="1"/>
  <c r="R837" i="21"/>
  <c r="AG837" i="21" s="1"/>
  <c r="R838" i="21"/>
  <c r="AG838" i="21" s="1"/>
  <c r="R839" i="21"/>
  <c r="AG839" i="21" s="1"/>
  <c r="R840" i="21"/>
  <c r="AG840" i="21" s="1"/>
  <c r="R841" i="21"/>
  <c r="AG841" i="21" s="1"/>
  <c r="R842" i="21"/>
  <c r="AG842" i="21" s="1"/>
  <c r="R843" i="21"/>
  <c r="AG843" i="21" s="1"/>
  <c r="R844" i="21"/>
  <c r="AG844" i="21" s="1"/>
  <c r="R845" i="21"/>
  <c r="AG845" i="21" s="1"/>
  <c r="R846" i="21"/>
  <c r="AG846" i="21" s="1"/>
  <c r="R847" i="21"/>
  <c r="AG847" i="21" s="1"/>
  <c r="R848" i="21"/>
  <c r="AG848" i="21" s="1"/>
  <c r="R849" i="21"/>
  <c r="AG849" i="21" s="1"/>
  <c r="R850" i="21"/>
  <c r="AG850" i="21" s="1"/>
  <c r="R851" i="21"/>
  <c r="AG851" i="21" s="1"/>
  <c r="R852" i="21"/>
  <c r="AG852" i="21" s="1"/>
  <c r="R853" i="21"/>
  <c r="AG853" i="21" s="1"/>
  <c r="R854" i="21"/>
  <c r="AG854" i="21" s="1"/>
  <c r="R855" i="21"/>
  <c r="AG855" i="21" s="1"/>
  <c r="R856" i="21"/>
  <c r="AG856" i="21" s="1"/>
  <c r="R857" i="21"/>
  <c r="AG857" i="21" s="1"/>
  <c r="R858" i="21"/>
  <c r="AG858" i="21" s="1"/>
  <c r="R859" i="21"/>
  <c r="AG859" i="21" s="1"/>
  <c r="R860" i="21"/>
  <c r="AG860" i="21" s="1"/>
  <c r="R861" i="21"/>
  <c r="AG861" i="21" s="1"/>
  <c r="R862" i="21"/>
  <c r="AG862" i="21" s="1"/>
  <c r="R863" i="21"/>
  <c r="AG863" i="21" s="1"/>
  <c r="R864" i="21"/>
  <c r="AG864" i="21" s="1"/>
  <c r="R865" i="21"/>
  <c r="AG865" i="21" s="1"/>
  <c r="AI865" i="21" s="1"/>
  <c r="R866" i="21"/>
  <c r="AG866" i="21" s="1"/>
  <c r="R867" i="21"/>
  <c r="AG867" i="21" s="1"/>
  <c r="R868" i="21"/>
  <c r="AG868" i="21" s="1"/>
  <c r="R869" i="21"/>
  <c r="AG869" i="21" s="1"/>
  <c r="R870" i="21"/>
  <c r="AG870" i="21" s="1"/>
  <c r="R871" i="21"/>
  <c r="AG871" i="21" s="1"/>
  <c r="R872" i="21"/>
  <c r="AG872" i="21" s="1"/>
  <c r="R873" i="21"/>
  <c r="AG873" i="21" s="1"/>
  <c r="R874" i="21"/>
  <c r="AG874" i="21" s="1"/>
  <c r="AT874" i="21" s="1"/>
  <c r="R875" i="21"/>
  <c r="AG875" i="21" s="1"/>
  <c r="R876" i="21"/>
  <c r="AG876" i="21" s="1"/>
  <c r="R877" i="21"/>
  <c r="AG877" i="21" s="1"/>
  <c r="R878" i="21"/>
  <c r="AG878" i="21" s="1"/>
  <c r="R879" i="21"/>
  <c r="AG879" i="21" s="1"/>
  <c r="R880" i="21"/>
  <c r="AG880" i="21" s="1"/>
  <c r="R881" i="21"/>
  <c r="AG881" i="21" s="1"/>
  <c r="R882" i="21"/>
  <c r="AG882" i="21" s="1"/>
  <c r="R883" i="21"/>
  <c r="AG883" i="21" s="1"/>
  <c r="R884" i="21"/>
  <c r="AG884" i="21" s="1"/>
  <c r="R885" i="21"/>
  <c r="AG885" i="21" s="1"/>
  <c r="R886" i="21"/>
  <c r="AG886" i="21" s="1"/>
  <c r="R887" i="21"/>
  <c r="AG887" i="21" s="1"/>
  <c r="R888" i="21"/>
  <c r="AG888" i="21" s="1"/>
  <c r="R889" i="21"/>
  <c r="AG889" i="21" s="1"/>
  <c r="R890" i="21"/>
  <c r="AG890" i="21" s="1"/>
  <c r="AT890" i="21" s="1"/>
  <c r="R891" i="21"/>
  <c r="AG891" i="21" s="1"/>
  <c r="AT891" i="21" s="1"/>
  <c r="R892" i="21"/>
  <c r="AG892" i="21" s="1"/>
  <c r="AT892" i="21" s="1"/>
  <c r="R893" i="21"/>
  <c r="AG893" i="21" s="1"/>
  <c r="R894" i="21"/>
  <c r="AG894" i="21" s="1"/>
  <c r="R895" i="21"/>
  <c r="AG895" i="21" s="1"/>
  <c r="R896" i="21"/>
  <c r="AG896" i="21" s="1"/>
  <c r="R897" i="21"/>
  <c r="AG897" i="21" s="1"/>
  <c r="R898" i="21"/>
  <c r="AG898" i="21" s="1"/>
  <c r="R899" i="21"/>
  <c r="AG899" i="21" s="1"/>
  <c r="R900" i="21"/>
  <c r="AG900" i="21" s="1"/>
  <c r="R901" i="21"/>
  <c r="AG901" i="21" s="1"/>
  <c r="R902" i="21"/>
  <c r="AG902" i="21" s="1"/>
  <c r="R903" i="21"/>
  <c r="AG903" i="21" s="1"/>
  <c r="R904" i="21"/>
  <c r="AG904" i="21" s="1"/>
  <c r="R905" i="21"/>
  <c r="AG905" i="21" s="1"/>
  <c r="R906" i="21"/>
  <c r="AG906" i="21" s="1"/>
  <c r="R907" i="21"/>
  <c r="AG907" i="21" s="1"/>
  <c r="R908" i="21"/>
  <c r="AG908" i="21" s="1"/>
  <c r="R909" i="21"/>
  <c r="AG909" i="21" s="1"/>
  <c r="R910" i="21"/>
  <c r="AG910" i="21" s="1"/>
  <c r="R911" i="21"/>
  <c r="AG911" i="21" s="1"/>
  <c r="R912" i="21"/>
  <c r="AG912" i="21" s="1"/>
  <c r="R913" i="21"/>
  <c r="AG913" i="21" s="1"/>
  <c r="R914" i="21"/>
  <c r="AG914" i="21" s="1"/>
  <c r="R915" i="21"/>
  <c r="AG915" i="21" s="1"/>
  <c r="R916" i="21"/>
  <c r="AG916" i="21" s="1"/>
  <c r="R917" i="21"/>
  <c r="AG917" i="21" s="1"/>
  <c r="R918" i="21"/>
  <c r="AG918" i="21" s="1"/>
  <c r="R919" i="21"/>
  <c r="AG919" i="21" s="1"/>
  <c r="R920" i="21"/>
  <c r="AG920" i="21" s="1"/>
  <c r="R921" i="21"/>
  <c r="AG921" i="21" s="1"/>
  <c r="R922" i="21"/>
  <c r="AG922" i="21" s="1"/>
  <c r="R923" i="21"/>
  <c r="AG923" i="21" s="1"/>
  <c r="R924" i="21"/>
  <c r="AG924" i="21" s="1"/>
  <c r="AT924" i="21" s="1"/>
  <c r="R925" i="21"/>
  <c r="AG925" i="21" s="1"/>
  <c r="R926" i="21"/>
  <c r="AG926" i="21" s="1"/>
  <c r="R927" i="21"/>
  <c r="AG927" i="21" s="1"/>
  <c r="R928" i="21"/>
  <c r="AG928" i="21" s="1"/>
  <c r="R929" i="21"/>
  <c r="AG929" i="21" s="1"/>
  <c r="R930" i="21"/>
  <c r="AG930" i="21" s="1"/>
  <c r="R931" i="21"/>
  <c r="AG931" i="21" s="1"/>
  <c r="R932" i="21"/>
  <c r="AG932" i="21" s="1"/>
  <c r="R933" i="21"/>
  <c r="AG933" i="21" s="1"/>
  <c r="R934" i="21"/>
  <c r="AG934" i="21" s="1"/>
  <c r="R935" i="21"/>
  <c r="AG935" i="21" s="1"/>
  <c r="R936" i="21"/>
  <c r="AG936" i="21" s="1"/>
  <c r="R937" i="21"/>
  <c r="AG937" i="21" s="1"/>
  <c r="R938" i="21"/>
  <c r="AG938" i="21" s="1"/>
  <c r="R939" i="21"/>
  <c r="AG939" i="21" s="1"/>
  <c r="R940" i="21"/>
  <c r="AG940" i="21" s="1"/>
  <c r="R941" i="21"/>
  <c r="AG941" i="21" s="1"/>
  <c r="R942" i="21"/>
  <c r="AG942" i="21" s="1"/>
  <c r="R943" i="21"/>
  <c r="AG943" i="21" s="1"/>
  <c r="R944" i="21"/>
  <c r="AG944" i="21" s="1"/>
  <c r="R945" i="21"/>
  <c r="AG945" i="21" s="1"/>
  <c r="R946" i="21"/>
  <c r="AG946" i="21" s="1"/>
  <c r="R947" i="21"/>
  <c r="AG947" i="21" s="1"/>
  <c r="R948" i="21"/>
  <c r="AG948" i="21" s="1"/>
  <c r="R949" i="21"/>
  <c r="AG949" i="21" s="1"/>
  <c r="R950" i="21"/>
  <c r="AG950" i="21" s="1"/>
  <c r="R951" i="21"/>
  <c r="AG951" i="21" s="1"/>
  <c r="R952" i="21"/>
  <c r="AG952" i="21" s="1"/>
  <c r="R953" i="21"/>
  <c r="AG953" i="21" s="1"/>
  <c r="R954" i="21"/>
  <c r="AG954" i="21" s="1"/>
  <c r="R955" i="21"/>
  <c r="AG955" i="21" s="1"/>
  <c r="R956" i="21"/>
  <c r="AG956" i="21" s="1"/>
  <c r="R957" i="21"/>
  <c r="AG957" i="21" s="1"/>
  <c r="R958" i="21"/>
  <c r="AG958" i="21" s="1"/>
  <c r="R959" i="21"/>
  <c r="AG959" i="21" s="1"/>
  <c r="R960" i="21"/>
  <c r="AG960" i="21" s="1"/>
  <c r="R961" i="21"/>
  <c r="AG961" i="21" s="1"/>
  <c r="R962" i="21"/>
  <c r="AG962" i="21" s="1"/>
  <c r="R963" i="21"/>
  <c r="AG963" i="21" s="1"/>
  <c r="R964" i="21"/>
  <c r="AG964" i="21" s="1"/>
  <c r="R965" i="21"/>
  <c r="AG965" i="21" s="1"/>
  <c r="R966" i="21"/>
  <c r="AG966" i="21" s="1"/>
  <c r="R967" i="21"/>
  <c r="AG967" i="21" s="1"/>
  <c r="R968" i="21"/>
  <c r="AG968" i="21" s="1"/>
  <c r="R969" i="21"/>
  <c r="AG969" i="21" s="1"/>
  <c r="R970" i="21"/>
  <c r="AG970" i="21" s="1"/>
  <c r="AT970" i="21" s="1"/>
  <c r="R971" i="21"/>
  <c r="AG971" i="21" s="1"/>
  <c r="R972" i="21"/>
  <c r="AG972" i="21" s="1"/>
  <c r="R973" i="21"/>
  <c r="AG973" i="21" s="1"/>
  <c r="R974" i="21"/>
  <c r="AG974" i="21" s="1"/>
  <c r="R975" i="21"/>
  <c r="AG975" i="21" s="1"/>
  <c r="AT975" i="21" s="1"/>
  <c r="R976" i="21"/>
  <c r="AG976" i="21" s="1"/>
  <c r="R977" i="21"/>
  <c r="AG977" i="21" s="1"/>
  <c r="R978" i="21"/>
  <c r="AG978" i="21" s="1"/>
  <c r="AT978" i="21" s="1"/>
  <c r="R979" i="21"/>
  <c r="AG979" i="21" s="1"/>
  <c r="AT979" i="21" s="1"/>
  <c r="R980" i="21"/>
  <c r="AG980" i="21" s="1"/>
  <c r="R981" i="21"/>
  <c r="AG981" i="21" s="1"/>
  <c r="R982" i="21"/>
  <c r="AG982" i="21" s="1"/>
  <c r="AT982" i="21" s="1"/>
  <c r="R983" i="21"/>
  <c r="AG983" i="21" s="1"/>
  <c r="AT983" i="21" s="1"/>
  <c r="R984" i="21"/>
  <c r="AG984" i="21" s="1"/>
  <c r="R985" i="21"/>
  <c r="AG985" i="21" s="1"/>
  <c r="R986" i="21"/>
  <c r="AG986" i="21" s="1"/>
  <c r="R987" i="21"/>
  <c r="AG987" i="21" s="1"/>
  <c r="R988" i="21"/>
  <c r="AG988" i="21" s="1"/>
  <c r="R989" i="21"/>
  <c r="AG989" i="21" s="1"/>
  <c r="R990" i="21"/>
  <c r="AG990" i="21" s="1"/>
  <c r="R991" i="21"/>
  <c r="AG991" i="21" s="1"/>
  <c r="R992" i="21"/>
  <c r="AG992" i="21" s="1"/>
  <c r="R993" i="21"/>
  <c r="AG993" i="21" s="1"/>
  <c r="R994" i="21"/>
  <c r="AG994" i="21" s="1"/>
  <c r="R995" i="21"/>
  <c r="AG995" i="21" s="1"/>
  <c r="R996" i="21"/>
  <c r="AG996" i="21" s="1"/>
  <c r="R997" i="21"/>
  <c r="AG997" i="21" s="1"/>
  <c r="R998" i="21"/>
  <c r="AG998" i="21" s="1"/>
  <c r="R999" i="21"/>
  <c r="AG999" i="21" s="1"/>
  <c r="R1000" i="21"/>
  <c r="AG1000" i="21" s="1"/>
  <c r="R1001" i="21"/>
  <c r="AG1001" i="21" s="1"/>
  <c r="R1002" i="21"/>
  <c r="AG1002" i="21" s="1"/>
  <c r="R1003" i="21"/>
  <c r="AG1003" i="21" s="1"/>
  <c r="R1004" i="21"/>
  <c r="AG1004" i="21" s="1"/>
  <c r="R1005" i="21"/>
  <c r="AG1005" i="21" s="1"/>
  <c r="R1006" i="21"/>
  <c r="AG1006" i="21" s="1"/>
  <c r="R1007" i="21"/>
  <c r="AG1007" i="21" s="1"/>
  <c r="R1008" i="21"/>
  <c r="AG1008" i="21" s="1"/>
  <c r="R1009" i="21"/>
  <c r="AG1009" i="21" s="1"/>
  <c r="R1010" i="21"/>
  <c r="AG1010" i="21" s="1"/>
  <c r="R1011" i="21"/>
  <c r="AG1011" i="21" s="1"/>
  <c r="R1012" i="21"/>
  <c r="AG1012" i="21" s="1"/>
  <c r="R1013" i="21"/>
  <c r="AG1013" i="21" s="1"/>
  <c r="R1014" i="21"/>
  <c r="AG1014" i="21" s="1"/>
  <c r="R1015" i="21"/>
  <c r="AG1015" i="21" s="1"/>
  <c r="R1016" i="21"/>
  <c r="AG1016" i="21" s="1"/>
  <c r="R1017" i="21"/>
  <c r="AG1017" i="21" s="1"/>
  <c r="R1018" i="21"/>
  <c r="AG1018" i="21" s="1"/>
  <c r="R1019" i="21"/>
  <c r="AG1019" i="21" s="1"/>
  <c r="R1020" i="21"/>
  <c r="AG1020" i="21" s="1"/>
  <c r="R1021" i="21"/>
  <c r="AG1021" i="21" s="1"/>
  <c r="R1022" i="21"/>
  <c r="AG1022" i="21" s="1"/>
  <c r="R1023" i="21"/>
  <c r="AG1023" i="21" s="1"/>
  <c r="R1024" i="21"/>
  <c r="AG1024" i="21" s="1"/>
  <c r="R1025" i="21"/>
  <c r="AG1025" i="21" s="1"/>
  <c r="R1026" i="21"/>
  <c r="AG1026" i="21" s="1"/>
  <c r="R1027" i="21"/>
  <c r="AG1027" i="21" s="1"/>
  <c r="R1028" i="21"/>
  <c r="AG1028" i="21" s="1"/>
  <c r="R1029" i="21"/>
  <c r="AG1029" i="21" s="1"/>
  <c r="R1030" i="21"/>
  <c r="AG1030" i="21" s="1"/>
  <c r="R1031" i="21"/>
  <c r="AG1031" i="21" s="1"/>
  <c r="R1032" i="21"/>
  <c r="AG1032" i="21" s="1"/>
  <c r="R1033" i="21"/>
  <c r="AG1033" i="21" s="1"/>
  <c r="R1034" i="21"/>
  <c r="AG1034" i="21" s="1"/>
  <c r="R1035" i="21"/>
  <c r="AG1035" i="21" s="1"/>
  <c r="R1036" i="21"/>
  <c r="AG1036" i="21" s="1"/>
  <c r="R1037" i="21"/>
  <c r="AG1037" i="21" s="1"/>
  <c r="R1038" i="21"/>
  <c r="AG1038" i="21" s="1"/>
  <c r="R1039" i="21"/>
  <c r="AG1039" i="21" s="1"/>
  <c r="AT1039" i="21" s="1"/>
  <c r="R1040" i="21"/>
  <c r="AG1040" i="21" s="1"/>
  <c r="R1041" i="21"/>
  <c r="AG1041" i="21" s="1"/>
  <c r="R1042" i="21"/>
  <c r="AG1042" i="21" s="1"/>
  <c r="R1043" i="21"/>
  <c r="AG1043" i="21" s="1"/>
  <c r="R1044" i="21"/>
  <c r="AG1044" i="21" s="1"/>
  <c r="AT1044" i="21" s="1"/>
  <c r="R1045" i="21"/>
  <c r="AG1045" i="21" s="1"/>
  <c r="R1046" i="21"/>
  <c r="AG1046" i="21" s="1"/>
  <c r="R1047" i="21"/>
  <c r="AG1047" i="21" s="1"/>
  <c r="R1048" i="21"/>
  <c r="AG1048" i="21" s="1"/>
  <c r="R1049" i="21"/>
  <c r="AG1049" i="21" s="1"/>
  <c r="R1050" i="21"/>
  <c r="AG1050" i="21" s="1"/>
  <c r="R1051" i="21"/>
  <c r="AG1051" i="21" s="1"/>
  <c r="R1052" i="21"/>
  <c r="AG1052" i="21" s="1"/>
  <c r="R1053" i="21"/>
  <c r="AG1053" i="21" s="1"/>
  <c r="R1054" i="21"/>
  <c r="AG1054" i="21" s="1"/>
  <c r="R1055" i="21"/>
  <c r="AG1055" i="21" s="1"/>
  <c r="R1056" i="21"/>
  <c r="AG1056" i="21" s="1"/>
  <c r="R1057" i="21"/>
  <c r="AG1057" i="21" s="1"/>
  <c r="R1058" i="21"/>
  <c r="AG1058" i="21" s="1"/>
  <c r="R1059" i="21"/>
  <c r="AG1059" i="21" s="1"/>
  <c r="R1060" i="21"/>
  <c r="AG1060" i="21" s="1"/>
  <c r="R1061" i="21"/>
  <c r="AG1061" i="21" s="1"/>
  <c r="R1062" i="21"/>
  <c r="AG1062" i="21" s="1"/>
  <c r="R1063" i="21"/>
  <c r="AG1063" i="21" s="1"/>
  <c r="R1064" i="21"/>
  <c r="AG1064" i="21" s="1"/>
  <c r="R1065" i="21"/>
  <c r="AG1065" i="21" s="1"/>
  <c r="R1066" i="21"/>
  <c r="AG1066" i="21" s="1"/>
  <c r="R1067" i="21"/>
  <c r="AG1067" i="21" s="1"/>
  <c r="R1068" i="21"/>
  <c r="AG1068" i="21" s="1"/>
  <c r="R1069" i="21"/>
  <c r="AG1069" i="21" s="1"/>
  <c r="R1070" i="21"/>
  <c r="AG1070" i="21" s="1"/>
  <c r="R1071" i="21"/>
  <c r="AG1071" i="21" s="1"/>
  <c r="R1072" i="21"/>
  <c r="AG1072" i="21" s="1"/>
  <c r="R1073" i="21"/>
  <c r="AG1073" i="21" s="1"/>
  <c r="R1074" i="21"/>
  <c r="AG1074" i="21" s="1"/>
  <c r="R1075" i="21"/>
  <c r="AG1075" i="21" s="1"/>
  <c r="R1076" i="21"/>
  <c r="AG1076" i="21" s="1"/>
  <c r="R1077" i="21"/>
  <c r="AG1077" i="21" s="1"/>
  <c r="R1078" i="21"/>
  <c r="AG1078" i="21" s="1"/>
  <c r="R1079" i="21"/>
  <c r="AG1079" i="21" s="1"/>
  <c r="R1080" i="21"/>
  <c r="AG1080" i="21" s="1"/>
  <c r="R1081" i="21"/>
  <c r="AG1081" i="21" s="1"/>
  <c r="R1082" i="21"/>
  <c r="AG1082" i="21" s="1"/>
  <c r="R1083" i="21"/>
  <c r="AG1083" i="21" s="1"/>
  <c r="R1084" i="21"/>
  <c r="AG1084" i="21" s="1"/>
  <c r="R1085" i="21"/>
  <c r="AG1085" i="21" s="1"/>
  <c r="R1086" i="21"/>
  <c r="AG1086" i="21" s="1"/>
  <c r="R1087" i="21"/>
  <c r="AG1087" i="21" s="1"/>
  <c r="R1088" i="21"/>
  <c r="AG1088" i="21" s="1"/>
  <c r="R1089" i="21"/>
  <c r="AG1089" i="21" s="1"/>
  <c r="R1090" i="21"/>
  <c r="AG1090" i="21" s="1"/>
  <c r="R1091" i="21"/>
  <c r="AG1091" i="21" s="1"/>
  <c r="R1092" i="21"/>
  <c r="AG1092" i="21" s="1"/>
  <c r="R1093" i="21"/>
  <c r="AG1093" i="21" s="1"/>
  <c r="R1094" i="21"/>
  <c r="AG1094" i="21" s="1"/>
  <c r="R1095" i="21"/>
  <c r="AG1095" i="21" s="1"/>
  <c r="R1096" i="21"/>
  <c r="AG1096" i="21" s="1"/>
  <c r="R1097" i="21"/>
  <c r="AG1097" i="21" s="1"/>
  <c r="R1098" i="21"/>
  <c r="AG1098" i="21" s="1"/>
  <c r="R1099" i="21"/>
  <c r="AG1099" i="21" s="1"/>
  <c r="R1100" i="21"/>
  <c r="AG1100" i="21" s="1"/>
  <c r="R1101" i="21"/>
  <c r="AG1101" i="21" s="1"/>
  <c r="R1102" i="21"/>
  <c r="AG1102" i="21" s="1"/>
  <c r="R1103" i="21"/>
  <c r="AG1103" i="21" s="1"/>
  <c r="R1104" i="21"/>
  <c r="AG1104" i="21" s="1"/>
  <c r="R1105" i="21"/>
  <c r="AG1105" i="21" s="1"/>
  <c r="AI1105" i="21" s="1"/>
  <c r="R1106" i="21"/>
  <c r="AG1106" i="21" s="1"/>
  <c r="R1107" i="21"/>
  <c r="AG1107" i="21" s="1"/>
  <c r="R1108" i="21"/>
  <c r="AG1108" i="21" s="1"/>
  <c r="R1109" i="21"/>
  <c r="AG1109" i="21" s="1"/>
  <c r="R1110" i="21"/>
  <c r="AG1110" i="21" s="1"/>
  <c r="R1111" i="21"/>
  <c r="AG1111" i="21" s="1"/>
  <c r="R1112" i="21"/>
  <c r="AG1112" i="21" s="1"/>
  <c r="R1113" i="21"/>
  <c r="AG1113" i="21" s="1"/>
  <c r="R1114" i="21"/>
  <c r="AG1114" i="21" s="1"/>
  <c r="R1115" i="21"/>
  <c r="AG1115" i="21" s="1"/>
  <c r="R1116" i="21"/>
  <c r="AG1116" i="21" s="1"/>
  <c r="AT1116" i="21" s="1"/>
  <c r="R1117" i="21"/>
  <c r="AG1117" i="21" s="1"/>
  <c r="R1118" i="21"/>
  <c r="AG1118" i="21" s="1"/>
  <c r="R1119" i="21"/>
  <c r="AG1119" i="21" s="1"/>
  <c r="R1120" i="21"/>
  <c r="AG1120" i="21" s="1"/>
  <c r="R1121" i="21"/>
  <c r="AG1121" i="21" s="1"/>
  <c r="R1122" i="21"/>
  <c r="AG1122" i="21" s="1"/>
  <c r="R1123" i="21"/>
  <c r="AG1123" i="21" s="1"/>
  <c r="R1124" i="21"/>
  <c r="AG1124" i="21" s="1"/>
  <c r="R1125" i="21"/>
  <c r="AG1125" i="21" s="1"/>
  <c r="R1126" i="21"/>
  <c r="AG1126" i="21" s="1"/>
  <c r="R1127" i="21"/>
  <c r="AG1127" i="21" s="1"/>
  <c r="R1128" i="21"/>
  <c r="AG1128" i="21" s="1"/>
  <c r="AG1129" i="21"/>
  <c r="R2" i="21"/>
  <c r="AG2" i="21" s="1"/>
  <c r="AE3" i="21"/>
  <c r="AE4" i="21"/>
  <c r="AE5" i="21"/>
  <c r="AE6" i="21"/>
  <c r="AE7" i="21"/>
  <c r="AE8" i="21"/>
  <c r="AE9" i="21"/>
  <c r="AE10" i="21"/>
  <c r="AE11" i="21"/>
  <c r="AE12" i="21"/>
  <c r="AE13" i="21"/>
  <c r="AE14" i="21"/>
  <c r="AE15" i="21"/>
  <c r="AE16" i="21"/>
  <c r="AE17" i="21"/>
  <c r="AE18" i="21"/>
  <c r="AE19" i="21"/>
  <c r="AE20" i="21"/>
  <c r="AE21" i="21"/>
  <c r="AE22" i="21"/>
  <c r="AE23" i="21"/>
  <c r="AE24" i="21"/>
  <c r="AE25" i="21"/>
  <c r="AE26" i="21"/>
  <c r="AE27" i="21"/>
  <c r="AE28" i="21"/>
  <c r="AE29" i="21"/>
  <c r="AE30" i="21"/>
  <c r="AE31" i="21"/>
  <c r="AE32" i="21"/>
  <c r="AE33" i="21"/>
  <c r="AE34" i="21"/>
  <c r="AE35" i="21"/>
  <c r="AE36" i="21"/>
  <c r="AE37" i="21"/>
  <c r="AE38" i="21"/>
  <c r="AE39" i="21"/>
  <c r="AE40" i="21"/>
  <c r="AE41" i="21"/>
  <c r="AE42" i="21"/>
  <c r="AE43" i="21"/>
  <c r="AE44" i="21"/>
  <c r="AE45" i="21"/>
  <c r="AE46" i="21"/>
  <c r="AE47" i="21"/>
  <c r="AE48" i="21"/>
  <c r="AE49" i="21"/>
  <c r="AE50" i="21"/>
  <c r="AE51" i="21"/>
  <c r="AE52" i="21"/>
  <c r="AE53" i="21"/>
  <c r="AE54" i="21"/>
  <c r="AE55" i="21"/>
  <c r="AE56" i="21"/>
  <c r="AE57" i="21"/>
  <c r="AE58" i="21"/>
  <c r="AE59" i="21"/>
  <c r="AE60" i="21"/>
  <c r="AE61" i="21"/>
  <c r="AE62" i="21"/>
  <c r="AE63" i="21"/>
  <c r="AE64" i="21"/>
  <c r="AE65" i="21"/>
  <c r="AE66" i="21"/>
  <c r="AE67" i="21"/>
  <c r="AE68" i="21"/>
  <c r="AE69" i="21"/>
  <c r="AE70" i="21"/>
  <c r="AE71" i="21"/>
  <c r="AE72" i="21"/>
  <c r="AE73" i="21"/>
  <c r="AE74" i="21"/>
  <c r="AE75" i="21"/>
  <c r="AE76" i="21"/>
  <c r="AE77" i="21"/>
  <c r="AE78" i="21"/>
  <c r="AE79" i="21"/>
  <c r="AE80" i="21"/>
  <c r="AE81" i="21"/>
  <c r="AE82" i="21"/>
  <c r="AE83" i="21"/>
  <c r="AE84" i="21"/>
  <c r="AE85" i="21"/>
  <c r="AE86" i="21"/>
  <c r="AE87" i="21"/>
  <c r="AE88" i="21"/>
  <c r="AE89" i="21"/>
  <c r="AE90" i="21"/>
  <c r="AE91" i="21"/>
  <c r="AE92" i="21"/>
  <c r="AE93" i="21"/>
  <c r="AE94" i="21"/>
  <c r="AE95" i="21"/>
  <c r="AE96" i="21"/>
  <c r="AE97" i="21"/>
  <c r="AE98" i="21"/>
  <c r="AE99" i="21"/>
  <c r="AE100" i="21"/>
  <c r="AE101" i="21"/>
  <c r="AE102" i="21"/>
  <c r="AE103" i="21"/>
  <c r="AE104" i="21"/>
  <c r="AE105" i="21"/>
  <c r="AE106" i="21"/>
  <c r="AE107" i="21"/>
  <c r="AE108" i="21"/>
  <c r="AE109" i="21"/>
  <c r="AE110" i="21"/>
  <c r="AE111" i="21"/>
  <c r="AE112" i="21"/>
  <c r="AE113" i="21"/>
  <c r="AE114" i="21"/>
  <c r="AE115" i="21"/>
  <c r="AE116" i="21"/>
  <c r="AE117" i="21"/>
  <c r="AE118" i="21"/>
  <c r="AE119" i="21"/>
  <c r="AE120" i="21"/>
  <c r="AE121" i="21"/>
  <c r="AE122" i="21"/>
  <c r="AE123" i="21"/>
  <c r="AE124" i="21"/>
  <c r="AE125" i="21"/>
  <c r="AE126" i="21"/>
  <c r="AE127" i="21"/>
  <c r="AE128" i="21"/>
  <c r="AE129" i="21"/>
  <c r="AE130" i="21"/>
  <c r="AE131" i="21"/>
  <c r="AE132" i="21"/>
  <c r="AE133" i="21"/>
  <c r="AE134" i="21"/>
  <c r="AE135" i="21"/>
  <c r="AE136" i="21"/>
  <c r="AE137" i="21"/>
  <c r="AE138" i="21"/>
  <c r="AE139" i="21"/>
  <c r="AE140" i="21"/>
  <c r="AE141" i="21"/>
  <c r="AE142" i="21"/>
  <c r="AE143" i="21"/>
  <c r="AE144" i="21"/>
  <c r="AE145" i="21"/>
  <c r="AE146" i="21"/>
  <c r="AE147" i="21"/>
  <c r="AE148" i="21"/>
  <c r="AE149" i="21"/>
  <c r="AE150" i="21"/>
  <c r="AE151" i="21"/>
  <c r="AE152" i="21"/>
  <c r="AE153" i="21"/>
  <c r="AE154" i="21"/>
  <c r="AE155" i="21"/>
  <c r="AE156" i="21"/>
  <c r="AE157" i="21"/>
  <c r="AE158" i="21"/>
  <c r="AE159" i="21"/>
  <c r="AE160" i="21"/>
  <c r="AE161" i="21"/>
  <c r="AE162" i="21"/>
  <c r="AE163" i="21"/>
  <c r="AE164" i="21"/>
  <c r="AE165" i="21"/>
  <c r="AE166" i="21"/>
  <c r="AE167" i="21"/>
  <c r="AE168" i="21"/>
  <c r="AE169" i="21"/>
  <c r="AE172" i="21"/>
  <c r="AE174" i="21"/>
  <c r="AE175" i="21"/>
  <c r="AE176" i="21"/>
  <c r="AE177" i="21"/>
  <c r="AE178" i="21"/>
  <c r="AE179" i="21"/>
  <c r="AE180" i="21"/>
  <c r="AE181" i="21"/>
  <c r="AE182" i="21"/>
  <c r="AE183" i="21"/>
  <c r="AE184" i="21"/>
  <c r="AE185" i="21"/>
  <c r="AE186" i="21"/>
  <c r="AE187" i="21"/>
  <c r="AE188" i="21"/>
  <c r="AE189" i="21"/>
  <c r="AE190" i="21"/>
  <c r="AE191" i="21"/>
  <c r="AE192" i="21"/>
  <c r="AE194" i="21"/>
  <c r="AE195" i="21"/>
  <c r="AE196" i="21"/>
  <c r="AE197" i="21"/>
  <c r="AE198" i="21"/>
  <c r="AE199" i="21"/>
  <c r="AE200" i="21"/>
  <c r="AE201" i="21"/>
  <c r="AE202" i="21"/>
  <c r="AE203" i="21"/>
  <c r="AE204" i="21"/>
  <c r="AE205" i="21"/>
  <c r="AE206" i="21"/>
  <c r="AE207" i="21"/>
  <c r="AE208" i="21"/>
  <c r="AE209" i="21"/>
  <c r="AE210" i="21"/>
  <c r="AE211" i="21"/>
  <c r="AE212" i="21"/>
  <c r="AE213" i="21"/>
  <c r="AE214" i="21"/>
  <c r="AE215" i="21"/>
  <c r="AE216" i="21"/>
  <c r="AE217" i="21"/>
  <c r="AE218" i="21"/>
  <c r="AE219" i="21"/>
  <c r="AE220" i="21"/>
  <c r="AE221" i="21"/>
  <c r="AE222" i="21"/>
  <c r="AE223" i="21"/>
  <c r="AE224" i="21"/>
  <c r="AE225" i="21"/>
  <c r="AE226" i="21"/>
  <c r="AE227" i="21"/>
  <c r="AE228" i="21"/>
  <c r="AE229" i="21"/>
  <c r="AE230" i="21"/>
  <c r="AE231" i="21"/>
  <c r="AE232" i="21"/>
  <c r="AE233" i="21"/>
  <c r="AE234" i="21"/>
  <c r="AE235" i="21"/>
  <c r="AE236" i="21"/>
  <c r="AE237" i="21"/>
  <c r="AE238" i="21"/>
  <c r="AE239" i="21"/>
  <c r="AE240" i="21"/>
  <c r="AE241" i="21"/>
  <c r="AE242" i="21"/>
  <c r="AE243" i="21"/>
  <c r="AE244" i="21"/>
  <c r="AE245" i="21"/>
  <c r="AE246" i="21"/>
  <c r="AE247" i="21"/>
  <c r="AE248" i="21"/>
  <c r="AE249" i="21"/>
  <c r="AE250" i="21"/>
  <c r="AE251" i="21"/>
  <c r="AE252" i="21"/>
  <c r="AE253" i="21"/>
  <c r="AE254" i="21"/>
  <c r="AE255" i="21"/>
  <c r="AE256" i="21"/>
  <c r="AE257" i="21"/>
  <c r="AE258" i="21"/>
  <c r="AE259" i="21"/>
  <c r="AE260" i="21"/>
  <c r="AE261" i="21"/>
  <c r="AE262" i="21"/>
  <c r="AE263" i="21"/>
  <c r="AE264" i="21"/>
  <c r="AE265" i="21"/>
  <c r="AE266" i="21"/>
  <c r="AE267" i="21"/>
  <c r="AE268" i="21"/>
  <c r="AE269" i="21"/>
  <c r="AE270" i="21"/>
  <c r="AE271" i="21"/>
  <c r="AE272" i="21"/>
  <c r="AE273" i="21"/>
  <c r="AE274" i="21"/>
  <c r="AE275" i="21"/>
  <c r="AE276" i="21"/>
  <c r="AE277" i="21"/>
  <c r="AE278" i="21"/>
  <c r="AE279" i="21"/>
  <c r="AE280" i="21"/>
  <c r="AE281" i="21"/>
  <c r="AE282" i="21"/>
  <c r="AE283" i="21"/>
  <c r="AE284" i="21"/>
  <c r="AE285" i="21"/>
  <c r="AE286" i="21"/>
  <c r="AE287" i="21"/>
  <c r="AE288" i="21"/>
  <c r="AE289" i="21"/>
  <c r="AE290" i="21"/>
  <c r="AE291" i="21"/>
  <c r="AE292" i="21"/>
  <c r="AE293" i="21"/>
  <c r="AE294" i="21"/>
  <c r="AE295" i="21"/>
  <c r="AE296" i="21"/>
  <c r="AE297" i="21"/>
  <c r="AE298" i="21"/>
  <c r="AE299" i="21"/>
  <c r="AE300" i="21"/>
  <c r="AE301" i="21"/>
  <c r="AE302" i="21"/>
  <c r="AE303" i="21"/>
  <c r="AE304" i="21"/>
  <c r="AE305" i="21"/>
  <c r="AE306" i="21"/>
  <c r="AE307" i="21"/>
  <c r="AE308" i="21"/>
  <c r="AE309" i="21"/>
  <c r="AE310" i="21"/>
  <c r="AE311" i="21"/>
  <c r="AE312" i="21"/>
  <c r="AE313" i="21"/>
  <c r="AE314" i="21"/>
  <c r="AE315" i="21"/>
  <c r="AE316" i="21"/>
  <c r="AE317" i="21"/>
  <c r="AE318" i="21"/>
  <c r="AE319" i="21"/>
  <c r="AE320" i="21"/>
  <c r="AE321" i="21"/>
  <c r="AE322" i="21"/>
  <c r="AE323" i="21"/>
  <c r="AE324" i="21"/>
  <c r="AE325" i="21"/>
  <c r="AE326" i="21"/>
  <c r="AE327" i="21"/>
  <c r="AE328" i="21"/>
  <c r="AE329" i="21"/>
  <c r="AE330" i="21"/>
  <c r="AE331" i="21"/>
  <c r="AE332" i="21"/>
  <c r="AE333" i="21"/>
  <c r="AE334" i="21"/>
  <c r="AE335" i="21"/>
  <c r="AE336" i="21"/>
  <c r="AE337" i="21"/>
  <c r="AE338" i="21"/>
  <c r="AE339" i="21"/>
  <c r="AE340" i="21"/>
  <c r="AE341" i="21"/>
  <c r="AE342" i="21"/>
  <c r="AE343" i="21"/>
  <c r="AE344" i="21"/>
  <c r="AE345" i="21"/>
  <c r="AE346" i="21"/>
  <c r="AE347" i="21"/>
  <c r="AE348" i="21"/>
  <c r="AE349" i="21"/>
  <c r="AE350" i="21"/>
  <c r="AE351" i="21"/>
  <c r="AE352" i="21"/>
  <c r="AE353" i="21"/>
  <c r="AE354" i="21"/>
  <c r="AE355" i="21"/>
  <c r="AE356" i="21"/>
  <c r="AE357" i="21"/>
  <c r="AE358" i="21"/>
  <c r="AE359" i="21"/>
  <c r="AE360" i="21"/>
  <c r="AE361" i="21"/>
  <c r="AE362" i="21"/>
  <c r="AE363" i="21"/>
  <c r="AE364" i="21"/>
  <c r="AE365" i="21"/>
  <c r="AE366" i="21"/>
  <c r="AE367" i="21"/>
  <c r="AE368" i="21"/>
  <c r="AE369" i="21"/>
  <c r="AE370" i="21"/>
  <c r="AE371" i="21"/>
  <c r="AE372" i="21"/>
  <c r="AE373" i="21"/>
  <c r="AE374" i="21"/>
  <c r="AE375" i="21"/>
  <c r="AE376" i="21"/>
  <c r="AE377" i="21"/>
  <c r="AE378" i="21"/>
  <c r="AE379" i="21"/>
  <c r="AE380" i="21"/>
  <c r="AE381" i="21"/>
  <c r="AE382" i="21"/>
  <c r="AE383" i="21"/>
  <c r="AE384" i="21"/>
  <c r="AE385" i="21"/>
  <c r="AE386" i="21"/>
  <c r="AE387" i="21"/>
  <c r="AE388" i="21"/>
  <c r="AE389" i="21"/>
  <c r="AE390" i="21"/>
  <c r="AE391" i="21"/>
  <c r="AE392" i="21"/>
  <c r="AE393" i="21"/>
  <c r="AE394" i="21"/>
  <c r="AE395" i="21"/>
  <c r="AE396" i="21"/>
  <c r="AE397" i="21"/>
  <c r="AE398" i="21"/>
  <c r="AE399" i="21"/>
  <c r="AE400" i="21"/>
  <c r="AE401" i="21"/>
  <c r="AE402" i="21"/>
  <c r="AE403" i="21"/>
  <c r="AE404" i="21"/>
  <c r="AE405" i="21"/>
  <c r="AE406" i="21"/>
  <c r="AE407" i="21"/>
  <c r="AE408" i="21"/>
  <c r="AE409" i="21"/>
  <c r="AE410" i="21"/>
  <c r="AE411" i="21"/>
  <c r="AE412" i="21"/>
  <c r="AE413" i="21"/>
  <c r="AE414" i="21"/>
  <c r="AE415" i="21"/>
  <c r="AE416" i="21"/>
  <c r="AE417" i="21"/>
  <c r="AE418" i="21"/>
  <c r="AE419" i="21"/>
  <c r="AE420" i="21"/>
  <c r="AE421" i="21"/>
  <c r="AE422" i="21"/>
  <c r="AE423" i="21"/>
  <c r="AE424" i="21"/>
  <c r="AE425" i="21"/>
  <c r="AE426" i="21"/>
  <c r="AE427" i="21"/>
  <c r="AE428" i="21"/>
  <c r="AE429" i="21"/>
  <c r="AE430" i="21"/>
  <c r="AE431" i="21"/>
  <c r="AE432" i="21"/>
  <c r="AE433" i="21"/>
  <c r="AE434" i="21"/>
  <c r="AE435" i="21"/>
  <c r="AE436" i="21"/>
  <c r="AE437" i="21"/>
  <c r="AE438" i="21"/>
  <c r="AE439" i="21"/>
  <c r="AE440" i="21"/>
  <c r="AE441" i="21"/>
  <c r="AE442" i="21"/>
  <c r="AE443" i="21"/>
  <c r="AE444" i="21"/>
  <c r="AE445" i="21"/>
  <c r="AE446" i="21"/>
  <c r="AE447" i="21"/>
  <c r="AE448" i="21"/>
  <c r="AE449" i="21"/>
  <c r="AE450" i="21"/>
  <c r="AE451" i="21"/>
  <c r="AE452" i="21"/>
  <c r="AE453" i="21"/>
  <c r="AE454" i="21"/>
  <c r="AE455" i="21"/>
  <c r="AE456" i="21"/>
  <c r="AE457" i="21"/>
  <c r="AE458" i="21"/>
  <c r="AE459" i="21"/>
  <c r="AE460" i="21"/>
  <c r="AE461" i="21"/>
  <c r="AE462" i="21"/>
  <c r="AE463" i="21"/>
  <c r="AE464" i="21"/>
  <c r="AE465" i="21"/>
  <c r="AE466" i="21"/>
  <c r="AE467" i="21"/>
  <c r="AE468" i="21"/>
  <c r="AE469" i="21"/>
  <c r="AE470" i="21"/>
  <c r="AE471" i="21"/>
  <c r="AE472" i="21"/>
  <c r="AE473" i="21"/>
  <c r="AE474" i="21"/>
  <c r="AE475" i="21"/>
  <c r="AE476" i="21"/>
  <c r="AE477" i="21"/>
  <c r="AE478" i="21"/>
  <c r="AE479" i="21"/>
  <c r="AE480" i="21"/>
  <c r="AE481" i="21"/>
  <c r="AE482" i="21"/>
  <c r="AE483" i="21"/>
  <c r="AE484" i="21"/>
  <c r="AE485" i="21"/>
  <c r="AE486" i="21"/>
  <c r="AE487" i="21"/>
  <c r="AE488" i="21"/>
  <c r="AE489" i="21"/>
  <c r="AE490" i="21"/>
  <c r="AE491" i="21"/>
  <c r="AE492" i="21"/>
  <c r="AE493" i="21"/>
  <c r="AE494" i="21"/>
  <c r="AE495" i="21"/>
  <c r="AE496" i="21"/>
  <c r="AE497" i="21"/>
  <c r="AE498" i="21"/>
  <c r="AE499" i="21"/>
  <c r="AE500" i="21"/>
  <c r="AE501" i="21"/>
  <c r="AE502" i="21"/>
  <c r="AE503" i="21"/>
  <c r="AE504" i="21"/>
  <c r="AE505" i="21"/>
  <c r="AE506" i="21"/>
  <c r="AE507" i="21"/>
  <c r="AE508" i="21"/>
  <c r="AE511" i="21"/>
  <c r="AE512" i="21"/>
  <c r="AE513" i="21"/>
  <c r="AE514" i="21"/>
  <c r="AE515" i="21"/>
  <c r="AE516" i="21"/>
  <c r="AE517" i="21"/>
  <c r="AE518" i="21"/>
  <c r="AE519" i="21"/>
  <c r="AE520" i="21"/>
  <c r="AE521" i="21"/>
  <c r="AE522" i="21"/>
  <c r="AE523" i="21"/>
  <c r="AE528" i="21"/>
  <c r="AE529" i="21"/>
  <c r="AE530" i="21"/>
  <c r="AE531" i="21"/>
  <c r="AE532" i="21"/>
  <c r="AE533" i="21"/>
  <c r="AE534" i="21"/>
  <c r="AE535" i="21"/>
  <c r="AE536" i="21"/>
  <c r="AE537" i="21"/>
  <c r="AE538" i="21"/>
  <c r="AE539" i="21"/>
  <c r="AE540" i="21"/>
  <c r="AE541" i="21"/>
  <c r="AE542" i="21"/>
  <c r="AE543" i="21"/>
  <c r="AE544" i="21"/>
  <c r="AE545" i="21"/>
  <c r="AE546" i="21"/>
  <c r="AE547" i="21"/>
  <c r="AE548" i="21"/>
  <c r="AE549" i="21"/>
  <c r="AE550" i="21"/>
  <c r="AE551" i="21"/>
  <c r="AE552" i="21"/>
  <c r="AE553" i="21"/>
  <c r="AE554" i="21"/>
  <c r="AE557" i="21"/>
  <c r="AE558" i="21"/>
  <c r="AE559" i="21"/>
  <c r="AE560" i="21"/>
  <c r="AE561" i="21"/>
  <c r="AE562" i="21"/>
  <c r="AE563" i="21"/>
  <c r="AE564" i="21"/>
  <c r="AE565" i="21"/>
  <c r="AE566" i="21"/>
  <c r="AE567" i="21"/>
  <c r="AE568" i="21"/>
  <c r="AE569" i="21"/>
  <c r="AE570" i="21"/>
  <c r="AE571" i="21"/>
  <c r="AE572" i="21"/>
  <c r="AE573" i="21"/>
  <c r="AE574" i="21"/>
  <c r="AE575" i="21"/>
  <c r="AE576" i="21"/>
  <c r="AE577" i="21"/>
  <c r="AE578" i="21"/>
  <c r="AE579" i="21"/>
  <c r="AE580" i="21"/>
  <c r="AE581" i="21"/>
  <c r="AE582" i="21"/>
  <c r="AE583" i="21"/>
  <c r="AE584" i="21"/>
  <c r="AE585" i="21"/>
  <c r="AE586" i="21"/>
  <c r="AE587" i="21"/>
  <c r="AE588" i="21"/>
  <c r="AE589" i="21"/>
  <c r="AE590" i="21"/>
  <c r="AE591" i="21"/>
  <c r="AE592" i="21"/>
  <c r="AE593" i="21"/>
  <c r="AE594" i="21"/>
  <c r="AE595" i="21"/>
  <c r="AE596" i="21"/>
  <c r="AE597" i="21"/>
  <c r="AE598" i="21"/>
  <c r="AE599" i="21"/>
  <c r="AE600" i="21"/>
  <c r="AE601" i="21"/>
  <c r="AE602" i="21"/>
  <c r="AE603" i="21"/>
  <c r="AE604" i="21"/>
  <c r="AE605" i="21"/>
  <c r="AE606" i="21"/>
  <c r="AE607" i="21"/>
  <c r="AE608" i="21"/>
  <c r="AE609" i="21"/>
  <c r="AE610" i="21"/>
  <c r="AE611" i="21"/>
  <c r="AE612" i="21"/>
  <c r="AE613" i="21"/>
  <c r="AE614" i="21"/>
  <c r="AE615" i="21"/>
  <c r="AE616" i="21"/>
  <c r="AE617" i="21"/>
  <c r="AE618" i="21"/>
  <c r="AE619" i="21"/>
  <c r="AE620" i="21"/>
  <c r="AE621" i="21"/>
  <c r="AE622" i="21"/>
  <c r="AE623" i="21"/>
  <c r="AE624" i="21"/>
  <c r="AE625" i="21"/>
  <c r="AE626" i="21"/>
  <c r="AE627" i="21"/>
  <c r="AE628" i="21"/>
  <c r="AE629" i="21"/>
  <c r="AE630" i="21"/>
  <c r="AE631" i="21"/>
  <c r="AE632" i="21"/>
  <c r="AE633" i="21"/>
  <c r="AE634" i="21"/>
  <c r="AE635" i="21"/>
  <c r="AE639" i="21"/>
  <c r="AE640" i="21"/>
  <c r="AE641" i="21"/>
  <c r="AE642" i="21"/>
  <c r="AE643" i="21"/>
  <c r="AE644" i="21"/>
  <c r="AE645" i="21"/>
  <c r="AE646" i="21"/>
  <c r="AE647" i="21"/>
  <c r="AE648" i="21"/>
  <c r="AE649" i="21"/>
  <c r="AE650" i="21"/>
  <c r="AE651" i="21"/>
  <c r="AE652" i="21"/>
  <c r="AE653" i="21"/>
  <c r="AE654" i="21"/>
  <c r="AE655" i="21"/>
  <c r="AE656" i="21"/>
  <c r="AE657" i="21"/>
  <c r="AE658" i="21"/>
  <c r="AE659" i="21"/>
  <c r="AE660" i="21"/>
  <c r="AE661" i="21"/>
  <c r="AE662" i="21"/>
  <c r="AE663" i="21"/>
  <c r="AE664" i="21"/>
  <c r="AE665" i="21"/>
  <c r="AE666" i="21"/>
  <c r="AE667" i="21"/>
  <c r="AE668" i="21"/>
  <c r="AE669" i="21"/>
  <c r="AE670" i="21"/>
  <c r="AE671" i="21"/>
  <c r="AE672" i="21"/>
  <c r="AE673" i="21"/>
  <c r="AE674" i="21"/>
  <c r="AE675" i="21"/>
  <c r="AE676" i="21"/>
  <c r="AE677" i="21"/>
  <c r="AE678" i="21"/>
  <c r="AE679" i="21"/>
  <c r="AE680" i="21"/>
  <c r="AE681" i="21"/>
  <c r="AE682" i="21"/>
  <c r="AE683" i="21"/>
  <c r="AE684" i="21"/>
  <c r="AE685" i="21"/>
  <c r="AE686" i="21"/>
  <c r="AE687" i="21"/>
  <c r="AE688" i="21"/>
  <c r="AE689" i="21"/>
  <c r="AE690" i="21"/>
  <c r="AE691" i="21"/>
  <c r="AE692" i="21"/>
  <c r="AE693" i="21"/>
  <c r="AE694" i="21"/>
  <c r="AE695" i="21"/>
  <c r="AE696" i="21"/>
  <c r="AE697" i="21"/>
  <c r="AE698" i="21"/>
  <c r="AE699" i="21"/>
  <c r="AE700" i="21"/>
  <c r="AE701" i="21"/>
  <c r="AE702" i="21"/>
  <c r="AE703" i="21"/>
  <c r="AE704" i="21"/>
  <c r="AE705" i="21"/>
  <c r="AE706" i="21"/>
  <c r="AE707" i="21"/>
  <c r="AE708" i="21"/>
  <c r="AE709" i="21"/>
  <c r="AE710" i="21"/>
  <c r="AE711" i="21"/>
  <c r="AE712" i="21"/>
  <c r="AE713" i="21"/>
  <c r="AE714" i="21"/>
  <c r="AE715" i="21"/>
  <c r="AE716" i="21"/>
  <c r="AE717" i="21"/>
  <c r="AE718" i="21"/>
  <c r="AE719" i="21"/>
  <c r="AE720" i="21"/>
  <c r="AE721" i="21"/>
  <c r="AE722" i="21"/>
  <c r="AE723" i="21"/>
  <c r="AE724" i="21"/>
  <c r="AE725" i="21"/>
  <c r="AE726" i="21"/>
  <c r="AE727" i="21"/>
  <c r="AE728" i="21"/>
  <c r="AE729" i="21"/>
  <c r="AE730" i="21"/>
  <c r="AE731" i="21"/>
  <c r="AE732" i="21"/>
  <c r="AE733" i="21"/>
  <c r="AE734" i="21"/>
  <c r="AE735" i="21"/>
  <c r="AE736" i="21"/>
  <c r="AE737" i="21"/>
  <c r="AE738" i="21"/>
  <c r="AE739" i="21"/>
  <c r="AE740" i="21"/>
  <c r="AE741" i="21"/>
  <c r="AE742" i="21"/>
  <c r="AE743" i="21"/>
  <c r="AE744" i="21"/>
  <c r="AE745" i="21"/>
  <c r="AE746" i="21"/>
  <c r="AE747" i="21"/>
  <c r="AE748" i="21"/>
  <c r="AE749" i="21"/>
  <c r="AE750" i="21"/>
  <c r="AE751" i="21"/>
  <c r="AE752" i="21"/>
  <c r="AE753" i="21"/>
  <c r="AE754" i="21"/>
  <c r="AE755" i="21"/>
  <c r="AE756" i="21"/>
  <c r="AE757" i="21"/>
  <c r="AE758" i="21"/>
  <c r="AE759" i="21"/>
  <c r="AE760" i="21"/>
  <c r="AE761" i="21"/>
  <c r="AE762" i="21"/>
  <c r="AE763" i="21"/>
  <c r="AE764" i="21"/>
  <c r="AE765" i="21"/>
  <c r="AE766" i="21"/>
  <c r="AE767" i="21"/>
  <c r="AE768" i="21"/>
  <c r="AE769" i="21"/>
  <c r="AE770" i="21"/>
  <c r="AE771" i="21"/>
  <c r="AE772" i="21"/>
  <c r="AE773" i="21"/>
  <c r="AE774" i="21"/>
  <c r="AE775" i="21"/>
  <c r="AE776" i="21"/>
  <c r="AE777" i="21"/>
  <c r="AE778" i="21"/>
  <c r="AE779" i="21"/>
  <c r="AE780" i="21"/>
  <c r="AE781" i="21"/>
  <c r="AE782" i="21"/>
  <c r="AE783" i="21"/>
  <c r="AE784" i="21"/>
  <c r="AE785" i="21"/>
  <c r="AE786" i="21"/>
  <c r="AE787" i="21"/>
  <c r="AE788" i="21"/>
  <c r="AE789" i="21"/>
  <c r="AE790" i="21"/>
  <c r="AE791" i="21"/>
  <c r="AE792" i="21"/>
  <c r="AE793" i="21"/>
  <c r="AE794" i="21"/>
  <c r="AE795" i="21"/>
  <c r="AE796" i="21"/>
  <c r="AE797" i="21"/>
  <c r="AE798" i="21"/>
  <c r="AE799" i="21"/>
  <c r="AE800" i="21"/>
  <c r="AE801" i="21"/>
  <c r="AE802" i="21"/>
  <c r="AE803" i="21"/>
  <c r="AE804" i="21"/>
  <c r="AE805" i="21"/>
  <c r="AE806" i="21"/>
  <c r="AE807" i="21"/>
  <c r="AE808" i="21"/>
  <c r="AE809" i="21"/>
  <c r="AE810" i="21"/>
  <c r="AE811" i="21"/>
  <c r="AE812" i="21"/>
  <c r="AE813" i="21"/>
  <c r="AE814" i="21"/>
  <c r="AE815" i="21"/>
  <c r="AE816" i="21"/>
  <c r="AE817" i="21"/>
  <c r="AE818" i="21"/>
  <c r="AE819" i="21"/>
  <c r="AE820" i="21"/>
  <c r="AE821" i="21"/>
  <c r="AE822" i="21"/>
  <c r="AE823" i="21"/>
  <c r="AE824" i="21"/>
  <c r="AE825" i="21"/>
  <c r="AE826" i="21"/>
  <c r="AE827" i="21"/>
  <c r="AE828" i="21"/>
  <c r="AE829" i="21"/>
  <c r="AE830" i="21"/>
  <c r="AE831" i="21"/>
  <c r="AE832" i="21"/>
  <c r="AE833" i="21"/>
  <c r="AE834" i="21"/>
  <c r="AE835" i="21"/>
  <c r="AE836" i="21"/>
  <c r="AE837" i="21"/>
  <c r="AE838" i="21"/>
  <c r="AE839" i="21"/>
  <c r="AE840" i="21"/>
  <c r="AE841" i="21"/>
  <c r="AE842" i="21"/>
  <c r="AE843" i="21"/>
  <c r="AE844" i="21"/>
  <c r="AE845" i="21"/>
  <c r="AE846" i="21"/>
  <c r="AE847" i="21"/>
  <c r="AE848" i="21"/>
  <c r="AE849" i="21"/>
  <c r="AE850" i="21"/>
  <c r="AE851" i="21"/>
  <c r="AE852" i="21"/>
  <c r="AE853" i="21"/>
  <c r="AE854" i="21"/>
  <c r="AE855" i="21"/>
  <c r="AE856" i="21"/>
  <c r="AE857" i="21"/>
  <c r="AE858" i="21"/>
  <c r="AE859" i="21"/>
  <c r="AE860" i="21"/>
  <c r="AE861" i="21"/>
  <c r="AE862" i="21"/>
  <c r="AE863" i="21"/>
  <c r="AE864" i="21"/>
  <c r="AE865" i="21"/>
  <c r="AE866" i="21"/>
  <c r="AE867" i="21"/>
  <c r="AE868" i="21"/>
  <c r="AE869" i="21"/>
  <c r="AE870" i="21"/>
  <c r="AE871" i="21"/>
  <c r="AE872" i="21"/>
  <c r="AE873" i="21"/>
  <c r="AE874" i="21"/>
  <c r="AE875" i="21"/>
  <c r="AE876" i="21"/>
  <c r="AE877" i="21"/>
  <c r="AE878" i="21"/>
  <c r="AE879" i="21"/>
  <c r="AE880" i="21"/>
  <c r="AE881" i="21"/>
  <c r="AE882" i="21"/>
  <c r="AE883" i="21"/>
  <c r="AE884" i="21"/>
  <c r="AE885" i="21"/>
  <c r="AE886" i="21"/>
  <c r="AE887" i="21"/>
  <c r="AE888" i="21"/>
  <c r="AE889" i="21"/>
  <c r="AE890" i="21"/>
  <c r="AE891" i="21"/>
  <c r="AE892" i="21"/>
  <c r="AE893" i="21"/>
  <c r="AE894" i="21"/>
  <c r="AE895" i="21"/>
  <c r="AE896" i="21"/>
  <c r="AE897" i="21"/>
  <c r="AE898" i="21"/>
  <c r="AE899" i="21"/>
  <c r="AE900" i="21"/>
  <c r="AE901" i="21"/>
  <c r="AE902" i="21"/>
  <c r="AE903" i="21"/>
  <c r="AE904" i="21"/>
  <c r="AE905" i="21"/>
  <c r="AE906" i="21"/>
  <c r="AE907" i="21"/>
  <c r="AE908" i="21"/>
  <c r="AE909" i="21"/>
  <c r="AE910" i="21"/>
  <c r="AE911" i="21"/>
  <c r="AE912" i="21"/>
  <c r="AE913" i="21"/>
  <c r="AE914" i="21"/>
  <c r="AE915" i="21"/>
  <c r="AE916" i="21"/>
  <c r="AE917" i="21"/>
  <c r="AE918" i="21"/>
  <c r="AE919" i="21"/>
  <c r="AE920" i="21"/>
  <c r="AE921" i="21"/>
  <c r="AE922" i="21"/>
  <c r="AE923" i="21"/>
  <c r="AE924" i="21"/>
  <c r="AE925" i="21"/>
  <c r="AE926" i="21"/>
  <c r="AE927" i="21"/>
  <c r="AE928" i="21"/>
  <c r="AE929" i="21"/>
  <c r="AE930" i="21"/>
  <c r="AE931" i="21"/>
  <c r="AE932" i="21"/>
  <c r="AE933" i="21"/>
  <c r="AE934" i="21"/>
  <c r="AE935" i="21"/>
  <c r="AE936" i="21"/>
  <c r="AE937" i="21"/>
  <c r="AE938" i="21"/>
  <c r="AE939" i="21"/>
  <c r="AE940" i="21"/>
  <c r="AE941" i="21"/>
  <c r="AE942" i="21"/>
  <c r="AE943" i="21"/>
  <c r="AE944" i="21"/>
  <c r="AE945" i="21"/>
  <c r="AE946" i="21"/>
  <c r="AE947" i="21"/>
  <c r="AE948" i="21"/>
  <c r="AE949" i="21"/>
  <c r="AE950" i="21"/>
  <c r="AE951" i="21"/>
  <c r="AE952" i="21"/>
  <c r="AE953" i="21"/>
  <c r="AE954" i="21"/>
  <c r="AE955" i="21"/>
  <c r="AE956" i="21"/>
  <c r="AE957" i="21"/>
  <c r="AE958" i="21"/>
  <c r="AE959" i="21"/>
  <c r="AE960" i="21"/>
  <c r="AE961" i="21"/>
  <c r="AE962" i="21"/>
  <c r="AE963" i="21"/>
  <c r="AE964" i="21"/>
  <c r="AE965" i="21"/>
  <c r="AE966" i="21"/>
  <c r="AE967" i="21"/>
  <c r="AE968" i="21"/>
  <c r="AE969" i="21"/>
  <c r="AE970" i="21"/>
  <c r="AE971" i="21"/>
  <c r="AE972" i="21"/>
  <c r="AE973" i="21"/>
  <c r="AE974" i="21"/>
  <c r="AE975" i="21"/>
  <c r="AE976" i="21"/>
  <c r="AE977" i="21"/>
  <c r="AE978" i="21"/>
  <c r="AE979" i="21"/>
  <c r="AE980" i="21"/>
  <c r="AE981" i="21"/>
  <c r="AE982" i="21"/>
  <c r="AE983" i="21"/>
  <c r="AE984" i="21"/>
  <c r="AE985" i="21"/>
  <c r="AE986" i="21"/>
  <c r="AE987" i="21"/>
  <c r="AE988" i="21"/>
  <c r="AE989" i="21"/>
  <c r="AE990" i="21"/>
  <c r="AE991" i="21"/>
  <c r="AE992" i="21"/>
  <c r="AE993" i="21"/>
  <c r="AE994" i="21"/>
  <c r="AE995" i="21"/>
  <c r="AE996" i="21"/>
  <c r="AE997" i="21"/>
  <c r="AE998" i="21"/>
  <c r="AE999" i="21"/>
  <c r="AE1000" i="21"/>
  <c r="AE1001" i="21"/>
  <c r="AE1002" i="21"/>
  <c r="AE1003" i="21"/>
  <c r="AE1004" i="21"/>
  <c r="AE1005" i="21"/>
  <c r="AE1006" i="21"/>
  <c r="AE1007" i="21"/>
  <c r="AE1008" i="21"/>
  <c r="AE1009" i="21"/>
  <c r="AE1010" i="21"/>
  <c r="AE1011" i="21"/>
  <c r="AE1012" i="21"/>
  <c r="AE1013" i="21"/>
  <c r="AE1014" i="21"/>
  <c r="AE1015" i="21"/>
  <c r="AE1016" i="21"/>
  <c r="AE1017" i="21"/>
  <c r="AE1018" i="21"/>
  <c r="AE1019" i="21"/>
  <c r="AE1020" i="21"/>
  <c r="AE1021" i="21"/>
  <c r="AE1022" i="21"/>
  <c r="AE1023" i="21"/>
  <c r="AE1024" i="21"/>
  <c r="AE1025" i="21"/>
  <c r="AE1026" i="21"/>
  <c r="AE1027" i="21"/>
  <c r="AE1028" i="21"/>
  <c r="AE1029" i="21"/>
  <c r="AE1030" i="21"/>
  <c r="AE1031" i="21"/>
  <c r="AE1032" i="21"/>
  <c r="AE1033" i="21"/>
  <c r="AE1034" i="21"/>
  <c r="AE1035" i="21"/>
  <c r="AE1036" i="21"/>
  <c r="AE1037" i="21"/>
  <c r="AE1038" i="21"/>
  <c r="AE1039" i="21"/>
  <c r="AE1040" i="21"/>
  <c r="AE1041" i="21"/>
  <c r="AE1042" i="21"/>
  <c r="AE1043" i="21"/>
  <c r="AE1044" i="21"/>
  <c r="AE1045" i="21"/>
  <c r="AE1046" i="21"/>
  <c r="AE1047" i="21"/>
  <c r="AE1048" i="21"/>
  <c r="AE1049" i="21"/>
  <c r="AE1050" i="21"/>
  <c r="AE1051" i="21"/>
  <c r="AE1052" i="21"/>
  <c r="AE1053" i="21"/>
  <c r="AE1054" i="21"/>
  <c r="AE1055" i="21"/>
  <c r="AE1056" i="21"/>
  <c r="AE1057" i="21"/>
  <c r="AE1058" i="21"/>
  <c r="AE1059" i="21"/>
  <c r="AE1060" i="21"/>
  <c r="AE1061" i="21"/>
  <c r="AE1062" i="21"/>
  <c r="AE1063" i="21"/>
  <c r="AE1064" i="21"/>
  <c r="AE1065" i="21"/>
  <c r="AE1066" i="21"/>
  <c r="AE1067" i="21"/>
  <c r="AE1068" i="21"/>
  <c r="AE1069" i="21"/>
  <c r="AE1070" i="21"/>
  <c r="AE1071" i="21"/>
  <c r="AE1072" i="21"/>
  <c r="AE1073" i="21"/>
  <c r="AE1074" i="21"/>
  <c r="AE1075" i="21"/>
  <c r="AE1076" i="21"/>
  <c r="AE1077" i="21"/>
  <c r="AE1078" i="21"/>
  <c r="AE1079" i="21"/>
  <c r="AE1080" i="21"/>
  <c r="AE1081" i="21"/>
  <c r="AE1082" i="21"/>
  <c r="AE1083" i="21"/>
  <c r="AE1084" i="21"/>
  <c r="AE1085" i="21"/>
  <c r="AE1086" i="21"/>
  <c r="AE1087" i="21"/>
  <c r="AE1088" i="21"/>
  <c r="AE1089" i="21"/>
  <c r="AE1090" i="21"/>
  <c r="AE1091" i="21"/>
  <c r="AE1092" i="21"/>
  <c r="AE1093" i="21"/>
  <c r="AE1094" i="21"/>
  <c r="AE1095" i="21"/>
  <c r="AE1096" i="21"/>
  <c r="AE1097" i="21"/>
  <c r="AE1098" i="21"/>
  <c r="AE1099" i="21"/>
  <c r="AE1100" i="21"/>
  <c r="AE1101" i="21"/>
  <c r="AE1102" i="21"/>
  <c r="AE1103" i="21"/>
  <c r="AE1104" i="21"/>
  <c r="AE1105" i="21"/>
  <c r="AE1106" i="21"/>
  <c r="AE1107" i="21"/>
  <c r="AE1108" i="21"/>
  <c r="AE1109" i="21"/>
  <c r="AE1110" i="21"/>
  <c r="AE1111" i="21"/>
  <c r="AE1112" i="21"/>
  <c r="AE1113" i="21"/>
  <c r="AE1114" i="21"/>
  <c r="AE1115" i="21"/>
  <c r="AE1116" i="21"/>
  <c r="AE1117" i="21"/>
  <c r="AE1118" i="21"/>
  <c r="AE1119" i="21"/>
  <c r="AE1120" i="21"/>
  <c r="AE1121" i="21"/>
  <c r="AE1122" i="21"/>
  <c r="AE1123" i="21"/>
  <c r="AE1124" i="21"/>
  <c r="AE1125" i="21"/>
  <c r="AE1126" i="21"/>
  <c r="AE1127" i="21"/>
  <c r="AE1128" i="21"/>
  <c r="AE1129" i="21"/>
  <c r="AP3" i="21"/>
  <c r="AP4" i="21"/>
  <c r="AP5" i="21"/>
  <c r="AP6" i="21"/>
  <c r="AP7" i="21"/>
  <c r="AP8" i="21"/>
  <c r="AP9" i="21"/>
  <c r="AP10" i="21"/>
  <c r="AP11" i="21"/>
  <c r="AP12" i="21"/>
  <c r="AP13" i="21"/>
  <c r="AP14" i="21"/>
  <c r="AP15" i="21"/>
  <c r="AP16" i="21"/>
  <c r="AP17" i="21"/>
  <c r="AP18" i="21"/>
  <c r="AP19" i="21"/>
  <c r="AP20" i="21"/>
  <c r="AP21" i="21"/>
  <c r="AP22" i="21"/>
  <c r="AP23" i="21"/>
  <c r="AP24" i="21"/>
  <c r="AP25" i="21"/>
  <c r="AP26" i="21"/>
  <c r="AP27" i="21"/>
  <c r="AP28" i="21"/>
  <c r="AP29" i="21"/>
  <c r="AP30" i="21"/>
  <c r="AP31" i="21"/>
  <c r="AP32" i="21"/>
  <c r="AP33" i="21"/>
  <c r="AP34" i="21"/>
  <c r="AP35" i="21"/>
  <c r="AP36" i="21"/>
  <c r="AP37" i="21"/>
  <c r="AP38" i="21"/>
  <c r="AP39" i="21"/>
  <c r="AP40" i="21"/>
  <c r="AP41" i="21"/>
  <c r="AP42" i="21"/>
  <c r="AP43" i="21"/>
  <c r="AP44" i="21"/>
  <c r="AP45" i="21"/>
  <c r="AP46" i="21"/>
  <c r="AP47" i="21"/>
  <c r="AP48" i="21"/>
  <c r="AP49" i="21"/>
  <c r="AP50" i="21"/>
  <c r="AP51" i="21"/>
  <c r="AP52" i="21"/>
  <c r="AP53" i="21"/>
  <c r="AP54" i="21"/>
  <c r="AP55" i="21"/>
  <c r="AP56" i="21"/>
  <c r="AP57" i="21"/>
  <c r="AP58" i="21"/>
  <c r="AP59" i="21"/>
  <c r="AP60" i="21"/>
  <c r="AP61" i="21"/>
  <c r="AP62" i="21"/>
  <c r="AP63" i="21"/>
  <c r="AP64" i="21"/>
  <c r="AP65" i="21"/>
  <c r="AP66" i="21"/>
  <c r="AP67" i="21"/>
  <c r="AP68" i="21"/>
  <c r="AP69" i="21"/>
  <c r="AP70" i="21"/>
  <c r="AP71" i="21"/>
  <c r="AP72" i="21"/>
  <c r="AP73" i="21"/>
  <c r="AP74" i="21"/>
  <c r="AP75" i="21"/>
  <c r="AP76" i="21"/>
  <c r="AP77" i="21"/>
  <c r="AP78" i="21"/>
  <c r="AP79" i="21"/>
  <c r="AP80" i="21"/>
  <c r="AP81" i="21"/>
  <c r="AP82" i="21"/>
  <c r="AP83" i="21"/>
  <c r="AP84" i="21"/>
  <c r="AP85" i="21"/>
  <c r="AP86" i="21"/>
  <c r="AP87" i="21"/>
  <c r="AP88" i="21"/>
  <c r="AP89" i="21"/>
  <c r="AP90" i="21"/>
  <c r="AP91" i="21"/>
  <c r="AP92" i="21"/>
  <c r="AP93" i="21"/>
  <c r="AP94" i="21"/>
  <c r="AP95" i="21"/>
  <c r="AP96" i="21"/>
  <c r="AP97" i="21"/>
  <c r="AP98" i="21"/>
  <c r="AP99" i="21"/>
  <c r="AP100" i="21"/>
  <c r="AP101" i="21"/>
  <c r="AP102" i="21"/>
  <c r="AP103" i="21"/>
  <c r="AP104" i="21"/>
  <c r="AP105" i="21"/>
  <c r="AP106" i="21"/>
  <c r="AP107" i="21"/>
  <c r="AP108" i="21"/>
  <c r="AP109" i="21"/>
  <c r="AP110" i="21"/>
  <c r="AP111" i="21"/>
  <c r="AP112" i="21"/>
  <c r="AP113" i="21"/>
  <c r="AP114" i="21"/>
  <c r="AP115" i="21"/>
  <c r="AP116" i="21"/>
  <c r="AP117" i="21"/>
  <c r="AP118" i="21"/>
  <c r="AP119" i="21"/>
  <c r="AP120" i="21"/>
  <c r="AP121" i="21"/>
  <c r="AP122" i="21"/>
  <c r="AP123" i="21"/>
  <c r="AP124" i="21"/>
  <c r="AP125" i="21"/>
  <c r="AP126" i="21"/>
  <c r="AP127" i="21"/>
  <c r="AP128" i="21"/>
  <c r="AP129" i="21"/>
  <c r="AP130" i="21"/>
  <c r="AP131" i="21"/>
  <c r="AP132" i="21"/>
  <c r="AP133" i="21"/>
  <c r="AP134" i="21"/>
  <c r="AP135" i="21"/>
  <c r="AP136" i="21"/>
  <c r="AP137" i="21"/>
  <c r="AP138" i="21"/>
  <c r="AP139" i="21"/>
  <c r="AP140" i="21"/>
  <c r="AP141" i="21"/>
  <c r="AP142" i="21"/>
  <c r="AP143" i="21"/>
  <c r="AP144" i="21"/>
  <c r="AP145" i="21"/>
  <c r="AP146" i="21"/>
  <c r="AP147" i="21"/>
  <c r="AP148" i="21"/>
  <c r="AP149" i="21"/>
  <c r="AP150" i="21"/>
  <c r="AP151" i="21"/>
  <c r="AP152" i="21"/>
  <c r="AP153" i="21"/>
  <c r="AP154" i="21"/>
  <c r="AP155" i="21"/>
  <c r="AP156" i="21"/>
  <c r="AP157" i="21"/>
  <c r="AP158" i="21"/>
  <c r="AP159" i="21"/>
  <c r="AP160" i="21"/>
  <c r="AP161" i="21"/>
  <c r="AP162" i="21"/>
  <c r="AP163" i="21"/>
  <c r="AP164" i="21"/>
  <c r="AP165" i="21"/>
  <c r="AP166" i="21"/>
  <c r="AP167" i="21"/>
  <c r="AP168" i="21"/>
  <c r="AP169" i="21"/>
  <c r="AP170" i="21"/>
  <c r="AP171" i="21"/>
  <c r="AP172" i="21"/>
  <c r="AP173" i="21"/>
  <c r="AP174" i="21"/>
  <c r="AP175" i="21"/>
  <c r="AP176" i="21"/>
  <c r="AP177" i="21"/>
  <c r="AP178" i="21"/>
  <c r="AP179" i="21"/>
  <c r="AP180" i="21"/>
  <c r="AP181" i="21"/>
  <c r="AP182" i="21"/>
  <c r="AP183" i="21"/>
  <c r="AP184" i="21"/>
  <c r="AP185" i="21"/>
  <c r="AP186" i="21"/>
  <c r="AP187" i="21"/>
  <c r="AP188" i="21"/>
  <c r="AP189" i="21"/>
  <c r="AP190" i="21"/>
  <c r="AP191" i="21"/>
  <c r="AP192" i="21"/>
  <c r="AP193" i="21"/>
  <c r="AP194" i="21"/>
  <c r="AP195" i="21"/>
  <c r="AP196" i="21"/>
  <c r="AP197" i="21"/>
  <c r="AP198" i="21"/>
  <c r="AP199" i="21"/>
  <c r="AP200" i="21"/>
  <c r="AP201" i="21"/>
  <c r="AP202" i="21"/>
  <c r="AP203" i="21"/>
  <c r="AP204" i="21"/>
  <c r="AP205" i="21"/>
  <c r="AP206" i="21"/>
  <c r="AP207" i="21"/>
  <c r="AP208" i="21"/>
  <c r="AP209" i="21"/>
  <c r="AP210" i="21"/>
  <c r="AP211" i="21"/>
  <c r="AP212" i="21"/>
  <c r="AP213" i="21"/>
  <c r="AP214" i="21"/>
  <c r="AP215" i="21"/>
  <c r="AP216" i="21"/>
  <c r="AP217" i="21"/>
  <c r="AP218" i="21"/>
  <c r="AP219" i="21"/>
  <c r="AP220" i="21"/>
  <c r="AP221" i="21"/>
  <c r="AP222" i="21"/>
  <c r="AP223" i="21"/>
  <c r="AP224" i="21"/>
  <c r="AP225" i="21"/>
  <c r="AP226" i="21"/>
  <c r="AP227" i="21"/>
  <c r="AP228" i="21"/>
  <c r="AP229" i="21"/>
  <c r="AP230" i="21"/>
  <c r="AP231" i="21"/>
  <c r="AP232" i="21"/>
  <c r="AP233" i="21"/>
  <c r="AP234" i="21"/>
  <c r="AP235" i="21"/>
  <c r="AP236" i="21"/>
  <c r="AP237" i="21"/>
  <c r="AP238" i="21"/>
  <c r="AP239" i="21"/>
  <c r="AP240" i="21"/>
  <c r="AP241" i="21"/>
  <c r="AP242" i="21"/>
  <c r="AP243" i="21"/>
  <c r="AP244" i="21"/>
  <c r="AP245" i="21"/>
  <c r="AP246" i="21"/>
  <c r="AP247" i="21"/>
  <c r="AP248" i="21"/>
  <c r="AP249" i="21"/>
  <c r="AP250" i="21"/>
  <c r="AP251" i="21"/>
  <c r="AP252" i="21"/>
  <c r="AP253" i="21"/>
  <c r="AP254" i="21"/>
  <c r="AP255" i="21"/>
  <c r="AP256" i="21"/>
  <c r="AP257" i="21"/>
  <c r="AP258" i="21"/>
  <c r="AP259" i="21"/>
  <c r="AP260" i="21"/>
  <c r="AP261" i="21"/>
  <c r="AP262" i="21"/>
  <c r="AP263" i="21"/>
  <c r="AP264" i="21"/>
  <c r="AP265" i="21"/>
  <c r="AP266" i="21"/>
  <c r="AP267" i="21"/>
  <c r="AP268" i="21"/>
  <c r="AP269" i="21"/>
  <c r="AP270" i="21"/>
  <c r="AP271" i="21"/>
  <c r="AP272" i="21"/>
  <c r="AP273" i="21"/>
  <c r="AP274" i="21"/>
  <c r="AP275" i="21"/>
  <c r="AP276" i="21"/>
  <c r="AP277" i="21"/>
  <c r="AP278" i="21"/>
  <c r="AP279" i="21"/>
  <c r="AP280" i="21"/>
  <c r="AP281" i="21"/>
  <c r="AP282" i="21"/>
  <c r="AP283" i="21"/>
  <c r="AP284" i="21"/>
  <c r="AP285" i="21"/>
  <c r="AP286" i="21"/>
  <c r="AP287" i="21"/>
  <c r="AP288" i="21"/>
  <c r="AP289" i="21"/>
  <c r="AP290" i="21"/>
  <c r="AP291" i="21"/>
  <c r="AP292" i="21"/>
  <c r="AP293" i="21"/>
  <c r="AP294" i="21"/>
  <c r="AP295" i="21"/>
  <c r="AP296" i="21"/>
  <c r="AP297" i="21"/>
  <c r="AP298" i="21"/>
  <c r="AP299" i="21"/>
  <c r="AP300" i="21"/>
  <c r="AP301" i="21"/>
  <c r="AP302" i="21"/>
  <c r="AP303" i="21"/>
  <c r="AP304" i="21"/>
  <c r="AP305" i="21"/>
  <c r="AP306" i="21"/>
  <c r="AP307" i="21"/>
  <c r="AP308" i="21"/>
  <c r="AP309" i="21"/>
  <c r="AP310" i="21"/>
  <c r="AP311" i="21"/>
  <c r="AP312" i="21"/>
  <c r="AP313" i="21"/>
  <c r="AP314" i="21"/>
  <c r="AP315" i="21"/>
  <c r="AP316" i="21"/>
  <c r="AP317" i="21"/>
  <c r="AP318" i="21"/>
  <c r="AP319" i="21"/>
  <c r="AP320" i="21"/>
  <c r="AP321" i="21"/>
  <c r="AP322" i="21"/>
  <c r="AP323" i="21"/>
  <c r="AP324" i="21"/>
  <c r="AP325" i="21"/>
  <c r="AP326" i="21"/>
  <c r="AP327" i="21"/>
  <c r="AP328" i="21"/>
  <c r="AP329" i="21"/>
  <c r="AP330" i="21"/>
  <c r="AP331" i="21"/>
  <c r="AP332" i="21"/>
  <c r="AP333" i="21"/>
  <c r="AP334" i="21"/>
  <c r="AP335" i="21"/>
  <c r="AP336" i="21"/>
  <c r="AP337" i="21"/>
  <c r="AP338" i="21"/>
  <c r="AP339" i="21"/>
  <c r="AP340" i="21"/>
  <c r="AP341" i="21"/>
  <c r="AP342" i="21"/>
  <c r="AP343" i="21"/>
  <c r="AP344" i="21"/>
  <c r="AP345" i="21"/>
  <c r="AP346" i="21"/>
  <c r="AP347" i="21"/>
  <c r="AP348" i="21"/>
  <c r="AP349" i="21"/>
  <c r="AP350" i="21"/>
  <c r="AP351" i="21"/>
  <c r="AP352" i="21"/>
  <c r="AP353" i="21"/>
  <c r="AP354" i="21"/>
  <c r="AP355" i="21"/>
  <c r="AP356" i="21"/>
  <c r="AP357" i="21"/>
  <c r="AP358" i="21"/>
  <c r="AP359" i="21"/>
  <c r="AP360" i="21"/>
  <c r="AP361" i="21"/>
  <c r="AP362" i="21"/>
  <c r="AP363" i="21"/>
  <c r="AP364" i="21"/>
  <c r="AP365" i="21"/>
  <c r="AP366" i="21"/>
  <c r="AP367" i="21"/>
  <c r="AP368" i="21"/>
  <c r="AP369" i="21"/>
  <c r="AP370" i="21"/>
  <c r="AP371" i="21"/>
  <c r="AP372" i="21"/>
  <c r="AP373" i="21"/>
  <c r="AP374" i="21"/>
  <c r="AP375" i="21"/>
  <c r="AP376" i="21"/>
  <c r="AP377" i="21"/>
  <c r="AP378" i="21"/>
  <c r="AP379" i="21"/>
  <c r="AP380" i="21"/>
  <c r="AP381" i="21"/>
  <c r="AP382" i="21"/>
  <c r="AP383" i="21"/>
  <c r="AP384" i="21"/>
  <c r="AP385" i="21"/>
  <c r="AP386" i="21"/>
  <c r="AP387" i="21"/>
  <c r="AP388" i="21"/>
  <c r="AP389" i="21"/>
  <c r="AP390" i="21"/>
  <c r="AP391" i="21"/>
  <c r="AP392" i="21"/>
  <c r="AP393" i="21"/>
  <c r="AP394" i="21"/>
  <c r="AP395" i="21"/>
  <c r="AP396" i="21"/>
  <c r="AP397" i="21"/>
  <c r="AP398" i="21"/>
  <c r="AP399" i="21"/>
  <c r="AP400" i="21"/>
  <c r="AP401" i="21"/>
  <c r="AP402" i="21"/>
  <c r="AP403" i="21"/>
  <c r="AP404" i="21"/>
  <c r="AP405" i="21"/>
  <c r="AP406" i="21"/>
  <c r="AP407" i="21"/>
  <c r="AP408" i="21"/>
  <c r="AP409" i="21"/>
  <c r="AP410" i="21"/>
  <c r="AP411" i="21"/>
  <c r="AP412" i="21"/>
  <c r="AP413" i="21"/>
  <c r="AP414" i="21"/>
  <c r="AP415" i="21"/>
  <c r="AP416" i="21"/>
  <c r="AP417" i="21"/>
  <c r="AP418" i="21"/>
  <c r="AP419" i="21"/>
  <c r="AP420" i="21"/>
  <c r="AP421" i="21"/>
  <c r="AP422" i="21"/>
  <c r="AP423" i="21"/>
  <c r="AP424" i="21"/>
  <c r="AP425" i="21"/>
  <c r="AP426" i="21"/>
  <c r="AP427" i="21"/>
  <c r="AP428" i="21"/>
  <c r="AP429" i="21"/>
  <c r="AP430" i="21"/>
  <c r="AP431" i="21"/>
  <c r="AP432" i="21"/>
  <c r="AP433" i="21"/>
  <c r="AP434" i="21"/>
  <c r="AP435" i="21"/>
  <c r="AP436" i="21"/>
  <c r="AP437" i="21"/>
  <c r="AP438" i="21"/>
  <c r="AP439" i="21"/>
  <c r="AP440" i="21"/>
  <c r="AP441" i="21"/>
  <c r="AP442" i="21"/>
  <c r="AP443" i="21"/>
  <c r="AP444" i="21"/>
  <c r="AP445" i="21"/>
  <c r="AP446" i="21"/>
  <c r="AP447" i="21"/>
  <c r="AP448" i="21"/>
  <c r="AP449" i="21"/>
  <c r="AP450" i="21"/>
  <c r="AP451" i="21"/>
  <c r="AP452" i="21"/>
  <c r="AP453" i="21"/>
  <c r="AP454" i="21"/>
  <c r="AP455" i="21"/>
  <c r="AP456" i="21"/>
  <c r="AP457" i="21"/>
  <c r="AP458" i="21"/>
  <c r="AP459" i="21"/>
  <c r="AP460" i="21"/>
  <c r="AP461" i="21"/>
  <c r="AP462" i="21"/>
  <c r="AP463" i="21"/>
  <c r="AP464" i="21"/>
  <c r="AP465" i="21"/>
  <c r="AP466" i="21"/>
  <c r="AP467" i="21"/>
  <c r="AP468" i="21"/>
  <c r="AP469" i="21"/>
  <c r="AP470" i="21"/>
  <c r="AP471" i="21"/>
  <c r="AP472" i="21"/>
  <c r="AP473" i="21"/>
  <c r="AP474" i="21"/>
  <c r="AP475" i="21"/>
  <c r="AP476" i="21"/>
  <c r="AP477" i="21"/>
  <c r="AP478" i="21"/>
  <c r="AP479" i="21"/>
  <c r="AP480" i="21"/>
  <c r="AP481" i="21"/>
  <c r="AP482" i="21"/>
  <c r="AP483" i="21"/>
  <c r="AP484" i="21"/>
  <c r="AP485" i="21"/>
  <c r="AP486" i="21"/>
  <c r="AP487" i="21"/>
  <c r="AP488" i="21"/>
  <c r="AP489" i="21"/>
  <c r="AP490" i="21"/>
  <c r="AP491" i="21"/>
  <c r="AP492" i="21"/>
  <c r="AP493" i="21"/>
  <c r="AP494" i="21"/>
  <c r="AP495" i="21"/>
  <c r="AP496" i="21"/>
  <c r="AP497" i="21"/>
  <c r="AP498" i="21"/>
  <c r="AP499" i="21"/>
  <c r="AP500" i="21"/>
  <c r="AP501" i="21"/>
  <c r="AP502" i="21"/>
  <c r="AP503" i="21"/>
  <c r="AP504" i="21"/>
  <c r="AP505" i="21"/>
  <c r="AP506" i="21"/>
  <c r="AP507" i="21"/>
  <c r="AP508" i="21"/>
  <c r="AP509" i="21"/>
  <c r="AP510" i="21"/>
  <c r="AP511" i="21"/>
  <c r="AP512" i="21"/>
  <c r="AP513" i="21"/>
  <c r="AP514" i="21"/>
  <c r="AP515" i="21"/>
  <c r="AP516" i="21"/>
  <c r="AP517" i="21"/>
  <c r="AP518" i="21"/>
  <c r="AP519" i="21"/>
  <c r="AP520" i="21"/>
  <c r="AP521" i="21"/>
  <c r="AP522" i="21"/>
  <c r="AP523" i="21"/>
  <c r="AP524" i="21"/>
  <c r="AP525" i="21"/>
  <c r="AP526" i="21"/>
  <c r="AP527" i="21"/>
  <c r="AP528" i="21"/>
  <c r="AP529" i="21"/>
  <c r="AP530" i="21"/>
  <c r="AP531" i="21"/>
  <c r="AP532" i="21"/>
  <c r="AP533" i="21"/>
  <c r="AP534" i="21"/>
  <c r="AP535" i="21"/>
  <c r="AP536" i="21"/>
  <c r="AP537" i="21"/>
  <c r="AP538" i="21"/>
  <c r="AP539" i="21"/>
  <c r="AP540" i="21"/>
  <c r="AP541" i="21"/>
  <c r="AP542" i="21"/>
  <c r="AP543" i="21"/>
  <c r="AP544" i="21"/>
  <c r="AP545" i="21"/>
  <c r="AP546" i="21"/>
  <c r="AP547" i="21"/>
  <c r="AP548" i="21"/>
  <c r="AP549" i="21"/>
  <c r="AP550" i="21"/>
  <c r="AP551" i="21"/>
  <c r="AP552" i="21"/>
  <c r="AP553" i="21"/>
  <c r="AP554" i="21"/>
  <c r="AP555" i="21"/>
  <c r="AP556" i="21"/>
  <c r="AP557" i="21"/>
  <c r="AP558" i="21"/>
  <c r="AP559" i="21"/>
  <c r="AP560" i="21"/>
  <c r="AP561" i="21"/>
  <c r="AP562" i="21"/>
  <c r="AP563" i="21"/>
  <c r="AP564" i="21"/>
  <c r="AP565" i="21"/>
  <c r="AP566" i="21"/>
  <c r="AP567" i="21"/>
  <c r="AP568" i="21"/>
  <c r="AP569" i="21"/>
  <c r="AP570" i="21"/>
  <c r="AP571" i="21"/>
  <c r="AP572" i="21"/>
  <c r="AP573" i="21"/>
  <c r="AP574" i="21"/>
  <c r="AP575" i="21"/>
  <c r="AP576" i="21"/>
  <c r="AP577" i="21"/>
  <c r="AP578" i="21"/>
  <c r="AP579" i="21"/>
  <c r="AP580" i="21"/>
  <c r="AP581" i="21"/>
  <c r="AP582" i="21"/>
  <c r="AP583" i="21"/>
  <c r="AP584" i="21"/>
  <c r="AP585" i="21"/>
  <c r="AP586" i="21"/>
  <c r="AP587" i="21"/>
  <c r="AP588" i="21"/>
  <c r="AP589" i="21"/>
  <c r="AP590" i="21"/>
  <c r="AP591" i="21"/>
  <c r="AP592" i="21"/>
  <c r="AP593" i="21"/>
  <c r="AP594" i="21"/>
  <c r="AP595" i="21"/>
  <c r="AP596" i="21"/>
  <c r="AP597" i="21"/>
  <c r="AP598" i="21"/>
  <c r="AP599" i="21"/>
  <c r="AP600" i="21"/>
  <c r="AP601" i="21"/>
  <c r="AP602" i="21"/>
  <c r="AP603" i="21"/>
  <c r="AP604" i="21"/>
  <c r="AP605" i="21"/>
  <c r="AP606" i="21"/>
  <c r="AP607" i="21"/>
  <c r="AP608" i="21"/>
  <c r="AP609" i="21"/>
  <c r="AP610" i="21"/>
  <c r="AP611" i="21"/>
  <c r="AP612" i="21"/>
  <c r="AP613" i="21"/>
  <c r="AP614" i="21"/>
  <c r="AP615" i="21"/>
  <c r="AP616" i="21"/>
  <c r="AP617" i="21"/>
  <c r="AP618" i="21"/>
  <c r="AP619" i="21"/>
  <c r="AP620" i="21"/>
  <c r="AP621" i="21"/>
  <c r="AP622" i="21"/>
  <c r="AP623" i="21"/>
  <c r="AP624" i="21"/>
  <c r="AP625" i="21"/>
  <c r="AP626" i="21"/>
  <c r="AP627" i="21"/>
  <c r="AP628" i="21"/>
  <c r="AP629" i="21"/>
  <c r="AP630" i="21"/>
  <c r="AP631" i="21"/>
  <c r="AP632" i="21"/>
  <c r="AP633" i="21"/>
  <c r="AP634" i="21"/>
  <c r="AP635" i="21"/>
  <c r="AP636" i="21"/>
  <c r="AP637" i="21"/>
  <c r="AP638" i="21"/>
  <c r="AP639" i="21"/>
  <c r="AP640" i="21"/>
  <c r="AP641" i="21"/>
  <c r="AP642" i="21"/>
  <c r="AP643" i="21"/>
  <c r="AP644" i="21"/>
  <c r="AP645" i="21"/>
  <c r="AP646" i="21"/>
  <c r="AP647" i="21"/>
  <c r="AP648" i="21"/>
  <c r="AP649" i="21"/>
  <c r="AP650" i="21"/>
  <c r="AP651" i="21"/>
  <c r="AP652" i="21"/>
  <c r="AP653" i="21"/>
  <c r="AP654" i="21"/>
  <c r="AP655" i="21"/>
  <c r="AP656" i="21"/>
  <c r="AP657" i="21"/>
  <c r="AP658" i="21"/>
  <c r="AP659" i="21"/>
  <c r="AP660" i="21"/>
  <c r="AP661" i="21"/>
  <c r="AP662" i="21"/>
  <c r="AP663" i="21"/>
  <c r="AP664" i="21"/>
  <c r="AP665" i="21"/>
  <c r="AP666" i="21"/>
  <c r="AP667" i="21"/>
  <c r="AP668" i="21"/>
  <c r="AP669" i="21"/>
  <c r="AP670" i="21"/>
  <c r="AP671" i="21"/>
  <c r="AP672" i="21"/>
  <c r="AP673" i="21"/>
  <c r="AP674" i="21"/>
  <c r="AP675" i="21"/>
  <c r="AP676" i="21"/>
  <c r="AP677" i="21"/>
  <c r="AP678" i="21"/>
  <c r="AP679" i="21"/>
  <c r="AP680" i="21"/>
  <c r="AP681" i="21"/>
  <c r="AP682" i="21"/>
  <c r="AP683" i="21"/>
  <c r="AP684" i="21"/>
  <c r="AP685" i="21"/>
  <c r="AP686" i="21"/>
  <c r="AP687" i="21"/>
  <c r="AP688" i="21"/>
  <c r="AP689" i="21"/>
  <c r="AP690" i="21"/>
  <c r="AP691" i="21"/>
  <c r="AP692" i="21"/>
  <c r="AP693" i="21"/>
  <c r="AP694" i="21"/>
  <c r="AP695" i="21"/>
  <c r="AP696" i="21"/>
  <c r="AP697" i="21"/>
  <c r="AP698" i="21"/>
  <c r="AP699" i="21"/>
  <c r="AP700" i="21"/>
  <c r="AP701" i="21"/>
  <c r="AP702" i="21"/>
  <c r="AP703" i="21"/>
  <c r="AP704" i="21"/>
  <c r="AP705" i="21"/>
  <c r="AP706" i="21"/>
  <c r="AP707" i="21"/>
  <c r="AP708" i="21"/>
  <c r="AP709" i="21"/>
  <c r="AP710" i="21"/>
  <c r="AP711" i="21"/>
  <c r="AP712" i="21"/>
  <c r="AP713" i="21"/>
  <c r="AP714" i="21"/>
  <c r="AP715" i="21"/>
  <c r="AP716" i="21"/>
  <c r="AP717" i="21"/>
  <c r="AP718" i="21"/>
  <c r="AP719" i="21"/>
  <c r="AP720" i="21"/>
  <c r="AP721" i="21"/>
  <c r="AP722" i="21"/>
  <c r="AP723" i="21"/>
  <c r="AP724" i="21"/>
  <c r="AP725" i="21"/>
  <c r="AP726" i="21"/>
  <c r="AP727" i="21"/>
  <c r="AP728" i="21"/>
  <c r="AP729" i="21"/>
  <c r="AP730" i="21"/>
  <c r="AP731" i="21"/>
  <c r="AP732" i="21"/>
  <c r="AP733" i="21"/>
  <c r="AP734" i="21"/>
  <c r="AP735" i="21"/>
  <c r="AP736" i="21"/>
  <c r="AP737" i="21"/>
  <c r="AP738" i="21"/>
  <c r="AP739" i="21"/>
  <c r="AP740" i="21"/>
  <c r="AP741" i="21"/>
  <c r="AP742" i="21"/>
  <c r="AP743" i="21"/>
  <c r="AP744" i="21"/>
  <c r="AP745" i="21"/>
  <c r="AP746" i="21"/>
  <c r="AP747" i="21"/>
  <c r="AP748" i="21"/>
  <c r="AP749" i="21"/>
  <c r="AP750" i="21"/>
  <c r="AP751" i="21"/>
  <c r="AP752" i="21"/>
  <c r="AP753" i="21"/>
  <c r="AP754" i="21"/>
  <c r="AP755" i="21"/>
  <c r="AP756" i="21"/>
  <c r="AP757" i="21"/>
  <c r="AP758" i="21"/>
  <c r="AP759" i="21"/>
  <c r="AP760" i="21"/>
  <c r="AP761" i="21"/>
  <c r="AP762" i="21"/>
  <c r="AP763" i="21"/>
  <c r="AP764" i="21"/>
  <c r="AP765" i="21"/>
  <c r="AP766" i="21"/>
  <c r="AP767" i="21"/>
  <c r="AP768" i="21"/>
  <c r="AP769" i="21"/>
  <c r="AP770" i="21"/>
  <c r="AP771" i="21"/>
  <c r="AP772" i="21"/>
  <c r="AP773" i="21"/>
  <c r="AP774" i="21"/>
  <c r="AP775" i="21"/>
  <c r="AP776" i="21"/>
  <c r="AP777" i="21"/>
  <c r="AP778" i="21"/>
  <c r="AP779" i="21"/>
  <c r="AP780" i="21"/>
  <c r="AP781" i="21"/>
  <c r="AP782" i="21"/>
  <c r="AP783" i="21"/>
  <c r="AP784" i="21"/>
  <c r="AP785" i="21"/>
  <c r="AP786" i="21"/>
  <c r="AP787" i="21"/>
  <c r="AP788" i="21"/>
  <c r="AP789" i="21"/>
  <c r="AP790" i="21"/>
  <c r="AP791" i="21"/>
  <c r="AP792" i="21"/>
  <c r="AP793" i="21"/>
  <c r="AP794" i="21"/>
  <c r="AP795" i="21"/>
  <c r="AP796" i="21"/>
  <c r="AP797" i="21"/>
  <c r="AP798" i="21"/>
  <c r="AP799" i="21"/>
  <c r="AP800" i="21"/>
  <c r="AP801" i="21"/>
  <c r="AP802" i="21"/>
  <c r="AP803" i="21"/>
  <c r="AP804" i="21"/>
  <c r="AP805" i="21"/>
  <c r="AP806" i="21"/>
  <c r="AP807" i="21"/>
  <c r="AP808" i="21"/>
  <c r="AP809" i="21"/>
  <c r="AP810" i="21"/>
  <c r="AP811" i="21"/>
  <c r="AP812" i="21"/>
  <c r="AP813" i="21"/>
  <c r="AP814" i="21"/>
  <c r="AP815" i="21"/>
  <c r="AP816" i="21"/>
  <c r="AP817" i="21"/>
  <c r="AP818" i="21"/>
  <c r="AP819" i="21"/>
  <c r="AP820" i="21"/>
  <c r="AP821" i="21"/>
  <c r="AP822" i="21"/>
  <c r="AP823" i="21"/>
  <c r="AP824" i="21"/>
  <c r="AP825" i="21"/>
  <c r="AP826" i="21"/>
  <c r="AP827" i="21"/>
  <c r="AP828" i="21"/>
  <c r="AP829" i="21"/>
  <c r="AP830" i="21"/>
  <c r="AP831" i="21"/>
  <c r="AP832" i="21"/>
  <c r="AP833" i="21"/>
  <c r="AP834" i="21"/>
  <c r="AP835" i="21"/>
  <c r="AP836" i="21"/>
  <c r="AP837" i="21"/>
  <c r="AP838" i="21"/>
  <c r="AP839" i="21"/>
  <c r="AP840" i="21"/>
  <c r="AP841" i="21"/>
  <c r="AP842" i="21"/>
  <c r="AP843" i="21"/>
  <c r="AP844" i="21"/>
  <c r="AP845" i="21"/>
  <c r="AP846" i="21"/>
  <c r="AP847" i="21"/>
  <c r="AP848" i="21"/>
  <c r="AP849" i="21"/>
  <c r="AP850" i="21"/>
  <c r="AP851" i="21"/>
  <c r="AP852" i="21"/>
  <c r="AP853" i="21"/>
  <c r="AP854" i="21"/>
  <c r="AP855" i="21"/>
  <c r="AP856" i="21"/>
  <c r="AP857" i="21"/>
  <c r="AP858" i="21"/>
  <c r="AP859" i="21"/>
  <c r="AP860" i="21"/>
  <c r="AP861" i="21"/>
  <c r="AP862" i="21"/>
  <c r="AP863" i="21"/>
  <c r="AP864" i="21"/>
  <c r="AP865" i="21"/>
  <c r="AP866" i="21"/>
  <c r="AP867" i="21"/>
  <c r="AP868" i="21"/>
  <c r="AP869" i="21"/>
  <c r="AP870" i="21"/>
  <c r="AP871" i="21"/>
  <c r="AP872" i="21"/>
  <c r="AP873" i="21"/>
  <c r="AP874" i="21"/>
  <c r="AP875" i="21"/>
  <c r="AP876" i="21"/>
  <c r="AP877" i="21"/>
  <c r="AP878" i="21"/>
  <c r="AP879" i="21"/>
  <c r="AP880" i="21"/>
  <c r="AP881" i="21"/>
  <c r="AP882" i="21"/>
  <c r="AP883" i="21"/>
  <c r="AP884" i="21"/>
  <c r="AP885" i="21"/>
  <c r="AP886" i="21"/>
  <c r="AP887" i="21"/>
  <c r="AP888" i="21"/>
  <c r="AP889" i="21"/>
  <c r="AP890" i="21"/>
  <c r="AP891" i="21"/>
  <c r="AP892" i="21"/>
  <c r="AP893" i="21"/>
  <c r="AP894" i="21"/>
  <c r="AP895" i="21"/>
  <c r="AP896" i="21"/>
  <c r="AP897" i="21"/>
  <c r="AP898" i="21"/>
  <c r="AP899" i="21"/>
  <c r="AP900" i="21"/>
  <c r="AP901" i="21"/>
  <c r="AP902" i="21"/>
  <c r="AP903" i="21"/>
  <c r="AP904" i="21"/>
  <c r="AP905" i="21"/>
  <c r="AP906" i="21"/>
  <c r="AP907" i="21"/>
  <c r="AP908" i="21"/>
  <c r="AP909" i="21"/>
  <c r="AP910" i="21"/>
  <c r="AP911" i="21"/>
  <c r="AP912" i="21"/>
  <c r="AP913" i="21"/>
  <c r="AP914" i="21"/>
  <c r="AP915" i="21"/>
  <c r="AP916" i="21"/>
  <c r="AP917" i="21"/>
  <c r="AP918" i="21"/>
  <c r="AP919" i="21"/>
  <c r="AP920" i="21"/>
  <c r="AP921" i="21"/>
  <c r="AP922" i="21"/>
  <c r="AP923" i="21"/>
  <c r="AP924" i="21"/>
  <c r="AP925" i="21"/>
  <c r="AP926" i="21"/>
  <c r="AP927" i="21"/>
  <c r="AP928" i="21"/>
  <c r="AP929" i="21"/>
  <c r="AP930" i="21"/>
  <c r="AP931" i="21"/>
  <c r="AP932" i="21"/>
  <c r="AP933" i="21"/>
  <c r="AP934" i="21"/>
  <c r="AP935" i="21"/>
  <c r="AP936" i="21"/>
  <c r="AP937" i="21"/>
  <c r="AP938" i="21"/>
  <c r="AP939" i="21"/>
  <c r="AP940" i="21"/>
  <c r="AP941" i="21"/>
  <c r="AP942" i="21"/>
  <c r="AP943" i="21"/>
  <c r="AP944" i="21"/>
  <c r="AP945" i="21"/>
  <c r="AP946" i="21"/>
  <c r="AP947" i="21"/>
  <c r="AP948" i="21"/>
  <c r="AP949" i="21"/>
  <c r="AP950" i="21"/>
  <c r="AP951" i="21"/>
  <c r="AP952" i="21"/>
  <c r="AP953" i="21"/>
  <c r="AP954" i="21"/>
  <c r="AP955" i="21"/>
  <c r="AP956" i="21"/>
  <c r="AP957" i="21"/>
  <c r="AP958" i="21"/>
  <c r="AP959" i="21"/>
  <c r="AP960" i="21"/>
  <c r="AP961" i="21"/>
  <c r="AP962" i="21"/>
  <c r="AP963" i="21"/>
  <c r="AP964" i="21"/>
  <c r="AP965" i="21"/>
  <c r="AP966" i="21"/>
  <c r="AP967" i="21"/>
  <c r="AP968" i="21"/>
  <c r="AP969" i="21"/>
  <c r="AP970" i="21"/>
  <c r="AP971" i="21"/>
  <c r="AP972" i="21"/>
  <c r="AP973" i="21"/>
  <c r="AP974" i="21"/>
  <c r="AP975" i="21"/>
  <c r="AP976" i="21"/>
  <c r="AP977" i="21"/>
  <c r="AP978" i="21"/>
  <c r="AP979" i="21"/>
  <c r="AP980" i="21"/>
  <c r="AP981" i="21"/>
  <c r="AP982" i="21"/>
  <c r="AP983" i="21"/>
  <c r="AP984" i="21"/>
  <c r="AP985" i="21"/>
  <c r="AP986" i="21"/>
  <c r="AP987" i="21"/>
  <c r="AP988" i="21"/>
  <c r="AP989" i="21"/>
  <c r="AP990" i="21"/>
  <c r="AP991" i="21"/>
  <c r="AP992" i="21"/>
  <c r="AP993" i="21"/>
  <c r="AP994" i="21"/>
  <c r="AP995" i="21"/>
  <c r="AP996" i="21"/>
  <c r="AP997" i="21"/>
  <c r="AP998" i="21"/>
  <c r="AP999" i="21"/>
  <c r="AP1000" i="21"/>
  <c r="AP1001" i="21"/>
  <c r="AP1002" i="21"/>
  <c r="AP1003" i="21"/>
  <c r="AP1004" i="21"/>
  <c r="AP1005" i="21"/>
  <c r="AP1006" i="21"/>
  <c r="AP1007" i="21"/>
  <c r="AP1008" i="21"/>
  <c r="AP1009" i="21"/>
  <c r="AP1010" i="21"/>
  <c r="AP1011" i="21"/>
  <c r="AP1012" i="21"/>
  <c r="AP1013" i="21"/>
  <c r="AP1014" i="21"/>
  <c r="AP1015" i="21"/>
  <c r="AP1016" i="21"/>
  <c r="AP1017" i="21"/>
  <c r="AP1018" i="21"/>
  <c r="AP1019" i="21"/>
  <c r="AP1020" i="21"/>
  <c r="AP1021" i="21"/>
  <c r="AP1022" i="21"/>
  <c r="AP1023" i="21"/>
  <c r="AP1024" i="21"/>
  <c r="AP1025" i="21"/>
  <c r="AP1026" i="21"/>
  <c r="AP1027" i="21"/>
  <c r="AP1028" i="21"/>
  <c r="AP1029" i="21"/>
  <c r="AP1030" i="21"/>
  <c r="AP1031" i="21"/>
  <c r="AP1032" i="21"/>
  <c r="AP1033" i="21"/>
  <c r="AP1034" i="21"/>
  <c r="AP1035" i="21"/>
  <c r="AP1036" i="21"/>
  <c r="AP1037" i="21"/>
  <c r="AP1038" i="21"/>
  <c r="AP1039" i="21"/>
  <c r="AP1040" i="21"/>
  <c r="AP1041" i="21"/>
  <c r="AP1042" i="21"/>
  <c r="AP1043" i="21"/>
  <c r="AP1044" i="21"/>
  <c r="AP1045" i="21"/>
  <c r="AP1046" i="21"/>
  <c r="AP1047" i="21"/>
  <c r="AP1048" i="21"/>
  <c r="AP1049" i="21"/>
  <c r="AP1050" i="21"/>
  <c r="AP1051" i="21"/>
  <c r="AP1052" i="21"/>
  <c r="AP1053" i="21"/>
  <c r="AP1054" i="21"/>
  <c r="AP1055" i="21"/>
  <c r="AP1056" i="21"/>
  <c r="AP1057" i="21"/>
  <c r="AP1058" i="21"/>
  <c r="AP1059" i="21"/>
  <c r="AP1060" i="21"/>
  <c r="AP1061" i="21"/>
  <c r="AP1062" i="21"/>
  <c r="AP1063" i="21"/>
  <c r="AP1064" i="21"/>
  <c r="AP1065" i="21"/>
  <c r="AP1066" i="21"/>
  <c r="AP1067" i="21"/>
  <c r="AP1068" i="21"/>
  <c r="AP1069" i="21"/>
  <c r="AP1070" i="21"/>
  <c r="AP1071" i="21"/>
  <c r="AP1072" i="21"/>
  <c r="AP1073" i="21"/>
  <c r="AP1074" i="21"/>
  <c r="AP1075" i="21"/>
  <c r="AP1076" i="21"/>
  <c r="AP1077" i="21"/>
  <c r="AP1078" i="21"/>
  <c r="AP1079" i="21"/>
  <c r="AP1080" i="21"/>
  <c r="AP1081" i="21"/>
  <c r="AP1082" i="21"/>
  <c r="AP1083" i="21"/>
  <c r="AP1084" i="21"/>
  <c r="AP1085" i="21"/>
  <c r="AP1086" i="21"/>
  <c r="AP1087" i="21"/>
  <c r="AP1088" i="21"/>
  <c r="AP1089" i="21"/>
  <c r="AP1090" i="21"/>
  <c r="AP1091" i="21"/>
  <c r="AP1092" i="21"/>
  <c r="AP1093" i="21"/>
  <c r="AP1094" i="21"/>
  <c r="AP1095" i="21"/>
  <c r="AP1096" i="21"/>
  <c r="AP1097" i="21"/>
  <c r="AP1098" i="21"/>
  <c r="AP1099" i="21"/>
  <c r="AP1100" i="21"/>
  <c r="AP1101" i="21"/>
  <c r="AP1102" i="21"/>
  <c r="AP1103" i="21"/>
  <c r="AP1104" i="21"/>
  <c r="AP1105" i="21"/>
  <c r="AP1106" i="21"/>
  <c r="AP1107" i="21"/>
  <c r="AP1108" i="21"/>
  <c r="AP1109" i="21"/>
  <c r="AP1110" i="21"/>
  <c r="AP1111" i="21"/>
  <c r="AP1112" i="21"/>
  <c r="AP1113" i="21"/>
  <c r="AP1114" i="21"/>
  <c r="AP1115" i="21"/>
  <c r="AP1116" i="21"/>
  <c r="AP1117" i="21"/>
  <c r="AP1118" i="21"/>
  <c r="AP1119" i="21"/>
  <c r="AP1120" i="21"/>
  <c r="AP1121" i="21"/>
  <c r="AP1122" i="21"/>
  <c r="AP1123" i="21"/>
  <c r="AP1124" i="21"/>
  <c r="AP1125" i="21"/>
  <c r="AP1126" i="21"/>
  <c r="AP1127" i="21"/>
  <c r="AP1128" i="21"/>
  <c r="AP1129" i="21"/>
  <c r="AP2" i="21"/>
  <c r="AO3" i="21"/>
  <c r="AQ3" i="21" s="1"/>
  <c r="AO4" i="21"/>
  <c r="AQ4" i="21" s="1"/>
  <c r="AO5" i="21"/>
  <c r="AQ5" i="21" s="1"/>
  <c r="AO6" i="21"/>
  <c r="AQ6" i="21" s="1"/>
  <c r="AO7" i="21"/>
  <c r="AQ7" i="21" s="1"/>
  <c r="AO8" i="21"/>
  <c r="AQ8" i="21" s="1"/>
  <c r="AO9" i="21"/>
  <c r="AQ9" i="21" s="1"/>
  <c r="AO10" i="21"/>
  <c r="AQ10" i="21" s="1"/>
  <c r="AO11" i="21"/>
  <c r="AQ11" i="21" s="1"/>
  <c r="AO12" i="21"/>
  <c r="AQ12" i="21" s="1"/>
  <c r="AO13" i="21"/>
  <c r="AQ13" i="21" s="1"/>
  <c r="AO14" i="21"/>
  <c r="AQ14" i="21" s="1"/>
  <c r="AQ15" i="21"/>
  <c r="AO16" i="21"/>
  <c r="AQ16" i="21" s="1"/>
  <c r="AO17" i="21"/>
  <c r="AQ17" i="21" s="1"/>
  <c r="AO18" i="21"/>
  <c r="AQ18" i="21" s="1"/>
  <c r="AO19" i="21"/>
  <c r="AQ19" i="21" s="1"/>
  <c r="AO20" i="21"/>
  <c r="AQ20" i="21" s="1"/>
  <c r="AO21" i="21"/>
  <c r="AQ21" i="21" s="1"/>
  <c r="AO22" i="21"/>
  <c r="AQ22" i="21" s="1"/>
  <c r="AO23" i="21"/>
  <c r="AQ23" i="21" s="1"/>
  <c r="AO24" i="21"/>
  <c r="AQ24" i="21" s="1"/>
  <c r="AO25" i="21"/>
  <c r="AQ25" i="21" s="1"/>
  <c r="AO26" i="21"/>
  <c r="AQ26" i="21" s="1"/>
  <c r="AO27" i="21"/>
  <c r="AQ27" i="21" s="1"/>
  <c r="AO28" i="21"/>
  <c r="AQ28" i="21" s="1"/>
  <c r="AO29" i="21"/>
  <c r="AQ29" i="21" s="1"/>
  <c r="AO30" i="21"/>
  <c r="AQ30" i="21" s="1"/>
  <c r="AO31" i="21"/>
  <c r="AQ31" i="21" s="1"/>
  <c r="AO32" i="21"/>
  <c r="AQ32" i="21" s="1"/>
  <c r="AO33" i="21"/>
  <c r="AQ33" i="21" s="1"/>
  <c r="AO34" i="21"/>
  <c r="AQ34" i="21" s="1"/>
  <c r="AO35" i="21"/>
  <c r="AQ35" i="21" s="1"/>
  <c r="AO36" i="21"/>
  <c r="AQ36" i="21" s="1"/>
  <c r="AO37" i="21"/>
  <c r="AQ37" i="21" s="1"/>
  <c r="AO38" i="21"/>
  <c r="AQ38" i="21" s="1"/>
  <c r="AO39" i="21"/>
  <c r="AQ39" i="21" s="1"/>
  <c r="AO40" i="21"/>
  <c r="AQ40" i="21" s="1"/>
  <c r="AO41" i="21"/>
  <c r="AQ41" i="21" s="1"/>
  <c r="AO42" i="21"/>
  <c r="AQ42" i="21" s="1"/>
  <c r="AO43" i="21"/>
  <c r="AQ43" i="21" s="1"/>
  <c r="AO44" i="21"/>
  <c r="AQ44" i="21" s="1"/>
  <c r="AO45" i="21"/>
  <c r="AQ45" i="21" s="1"/>
  <c r="AO46" i="21"/>
  <c r="AQ46" i="21" s="1"/>
  <c r="AO47" i="21"/>
  <c r="AQ47" i="21" s="1"/>
  <c r="AO48" i="21"/>
  <c r="AQ48" i="21" s="1"/>
  <c r="AO49" i="21"/>
  <c r="AQ49" i="21" s="1"/>
  <c r="AO50" i="21"/>
  <c r="AQ50" i="21" s="1"/>
  <c r="AO51" i="21"/>
  <c r="AQ51" i="21" s="1"/>
  <c r="AO52" i="21"/>
  <c r="AQ52" i="21" s="1"/>
  <c r="AO53" i="21"/>
  <c r="AQ53" i="21" s="1"/>
  <c r="AO54" i="21"/>
  <c r="AQ54" i="21" s="1"/>
  <c r="AO55" i="21"/>
  <c r="AQ55" i="21" s="1"/>
  <c r="AO56" i="21"/>
  <c r="AQ56" i="21" s="1"/>
  <c r="AO57" i="21"/>
  <c r="AQ57" i="21" s="1"/>
  <c r="AO58" i="21"/>
  <c r="AQ58" i="21" s="1"/>
  <c r="AO59" i="21"/>
  <c r="AQ59" i="21" s="1"/>
  <c r="AO60" i="21"/>
  <c r="AQ60" i="21" s="1"/>
  <c r="AO61" i="21"/>
  <c r="AQ61" i="21" s="1"/>
  <c r="AO62" i="21"/>
  <c r="AQ62" i="21" s="1"/>
  <c r="AO63" i="21"/>
  <c r="AQ63" i="21" s="1"/>
  <c r="AO64" i="21"/>
  <c r="AQ64" i="21" s="1"/>
  <c r="AO65" i="21"/>
  <c r="AQ65" i="21" s="1"/>
  <c r="AO66" i="21"/>
  <c r="AQ66" i="21" s="1"/>
  <c r="AO67" i="21"/>
  <c r="AQ67" i="21" s="1"/>
  <c r="AO68" i="21"/>
  <c r="AQ68" i="21" s="1"/>
  <c r="AO69" i="21"/>
  <c r="AQ69" i="21" s="1"/>
  <c r="AO70" i="21"/>
  <c r="AQ70" i="21" s="1"/>
  <c r="AO71" i="21"/>
  <c r="AQ71" i="21" s="1"/>
  <c r="AO72" i="21"/>
  <c r="AQ72" i="21" s="1"/>
  <c r="AO73" i="21"/>
  <c r="AQ73" i="21" s="1"/>
  <c r="AO74" i="21"/>
  <c r="AQ74" i="21" s="1"/>
  <c r="AO75" i="21"/>
  <c r="AQ75" i="21" s="1"/>
  <c r="AO76" i="21"/>
  <c r="AQ76" i="21" s="1"/>
  <c r="AO77" i="21"/>
  <c r="AQ77" i="21" s="1"/>
  <c r="AO78" i="21"/>
  <c r="AQ78" i="21" s="1"/>
  <c r="AO79" i="21"/>
  <c r="AQ79" i="21" s="1"/>
  <c r="AO80" i="21"/>
  <c r="AQ80" i="21" s="1"/>
  <c r="AO81" i="21"/>
  <c r="AQ81" i="21" s="1"/>
  <c r="AO82" i="21"/>
  <c r="AQ82" i="21" s="1"/>
  <c r="AO83" i="21"/>
  <c r="AQ83" i="21" s="1"/>
  <c r="AO84" i="21"/>
  <c r="AQ84" i="21" s="1"/>
  <c r="AO85" i="21"/>
  <c r="AQ85" i="21" s="1"/>
  <c r="AO86" i="21"/>
  <c r="AQ86" i="21" s="1"/>
  <c r="AO87" i="21"/>
  <c r="AQ87" i="21" s="1"/>
  <c r="AO88" i="21"/>
  <c r="AQ88" i="21" s="1"/>
  <c r="AO89" i="21"/>
  <c r="AQ89" i="21" s="1"/>
  <c r="AO90" i="21"/>
  <c r="AQ90" i="21" s="1"/>
  <c r="AO91" i="21"/>
  <c r="AQ91" i="21" s="1"/>
  <c r="AO92" i="21"/>
  <c r="AQ92" i="21" s="1"/>
  <c r="AO93" i="21"/>
  <c r="AQ93" i="21" s="1"/>
  <c r="AO94" i="21"/>
  <c r="AQ94" i="21" s="1"/>
  <c r="AO95" i="21"/>
  <c r="AQ95" i="21" s="1"/>
  <c r="AO96" i="21"/>
  <c r="AQ96" i="21" s="1"/>
  <c r="AO97" i="21"/>
  <c r="AQ97" i="21" s="1"/>
  <c r="AO98" i="21"/>
  <c r="AQ98" i="21" s="1"/>
  <c r="AO99" i="21"/>
  <c r="AQ99" i="21" s="1"/>
  <c r="AO100" i="21"/>
  <c r="AQ100" i="21" s="1"/>
  <c r="AO101" i="21"/>
  <c r="AQ101" i="21" s="1"/>
  <c r="AO102" i="21"/>
  <c r="AQ102" i="21" s="1"/>
  <c r="AO103" i="21"/>
  <c r="AQ103" i="21" s="1"/>
  <c r="AO104" i="21"/>
  <c r="AQ104" i="21" s="1"/>
  <c r="AO105" i="21"/>
  <c r="AQ105" i="21" s="1"/>
  <c r="AO106" i="21"/>
  <c r="AQ106" i="21" s="1"/>
  <c r="AO107" i="21"/>
  <c r="AQ107" i="21" s="1"/>
  <c r="AO108" i="21"/>
  <c r="AQ108" i="21" s="1"/>
  <c r="AO109" i="21"/>
  <c r="AQ109" i="21" s="1"/>
  <c r="AO110" i="21"/>
  <c r="AQ110" i="21" s="1"/>
  <c r="AO111" i="21"/>
  <c r="AQ111" i="21" s="1"/>
  <c r="AO112" i="21"/>
  <c r="AQ112" i="21" s="1"/>
  <c r="AO113" i="21"/>
  <c r="AQ113" i="21" s="1"/>
  <c r="AO114" i="21"/>
  <c r="AQ114" i="21" s="1"/>
  <c r="AO115" i="21"/>
  <c r="AQ115" i="21" s="1"/>
  <c r="AO116" i="21"/>
  <c r="AQ116" i="21" s="1"/>
  <c r="AO117" i="21"/>
  <c r="AQ117" i="21" s="1"/>
  <c r="AO118" i="21"/>
  <c r="AQ118" i="21" s="1"/>
  <c r="AO119" i="21"/>
  <c r="AQ119" i="21" s="1"/>
  <c r="AO120" i="21"/>
  <c r="AQ120" i="21" s="1"/>
  <c r="AO121" i="21"/>
  <c r="AQ121" i="21" s="1"/>
  <c r="AO122" i="21"/>
  <c r="AQ122" i="21" s="1"/>
  <c r="AO123" i="21"/>
  <c r="AQ123" i="21" s="1"/>
  <c r="AO124" i="21"/>
  <c r="AQ124" i="21" s="1"/>
  <c r="AO125" i="21"/>
  <c r="AQ125" i="21" s="1"/>
  <c r="AO126" i="21"/>
  <c r="AQ126" i="21" s="1"/>
  <c r="AO127" i="21"/>
  <c r="AQ127" i="21" s="1"/>
  <c r="AO128" i="21"/>
  <c r="AQ128" i="21" s="1"/>
  <c r="AO129" i="21"/>
  <c r="AQ129" i="21" s="1"/>
  <c r="AO130" i="21"/>
  <c r="AQ130" i="21" s="1"/>
  <c r="AO131" i="21"/>
  <c r="AQ131" i="21" s="1"/>
  <c r="AO132" i="21"/>
  <c r="AQ132" i="21" s="1"/>
  <c r="AO133" i="21"/>
  <c r="AQ133" i="21" s="1"/>
  <c r="AO134" i="21"/>
  <c r="AQ134" i="21" s="1"/>
  <c r="AO135" i="21"/>
  <c r="AQ135" i="21" s="1"/>
  <c r="AO136" i="21"/>
  <c r="AQ136" i="21" s="1"/>
  <c r="AO137" i="21"/>
  <c r="AQ137" i="21" s="1"/>
  <c r="AO138" i="21"/>
  <c r="AQ138" i="21" s="1"/>
  <c r="AO139" i="21"/>
  <c r="AQ139" i="21" s="1"/>
  <c r="AO140" i="21"/>
  <c r="AQ140" i="21" s="1"/>
  <c r="AO141" i="21"/>
  <c r="AQ141" i="21" s="1"/>
  <c r="AO142" i="21"/>
  <c r="AQ142" i="21" s="1"/>
  <c r="AO143" i="21"/>
  <c r="AQ143" i="21" s="1"/>
  <c r="AO144" i="21"/>
  <c r="AQ144" i="21" s="1"/>
  <c r="AO145" i="21"/>
  <c r="AQ145" i="21" s="1"/>
  <c r="AO146" i="21"/>
  <c r="AQ146" i="21" s="1"/>
  <c r="AO147" i="21"/>
  <c r="AQ147" i="21" s="1"/>
  <c r="AO148" i="21"/>
  <c r="AQ148" i="21" s="1"/>
  <c r="AO149" i="21"/>
  <c r="AQ149" i="21" s="1"/>
  <c r="AO150" i="21"/>
  <c r="AQ150" i="21" s="1"/>
  <c r="AO151" i="21"/>
  <c r="AQ151" i="21" s="1"/>
  <c r="AO152" i="21"/>
  <c r="AQ152" i="21" s="1"/>
  <c r="AO153" i="21"/>
  <c r="AQ153" i="21" s="1"/>
  <c r="AO154" i="21"/>
  <c r="AQ154" i="21" s="1"/>
  <c r="AO155" i="21"/>
  <c r="AQ155" i="21" s="1"/>
  <c r="AO156" i="21"/>
  <c r="AQ156" i="21" s="1"/>
  <c r="AO157" i="21"/>
  <c r="AQ157" i="21" s="1"/>
  <c r="AO158" i="21"/>
  <c r="AQ158" i="21" s="1"/>
  <c r="AO159" i="21"/>
  <c r="AQ159" i="21" s="1"/>
  <c r="AO160" i="21"/>
  <c r="AQ160" i="21" s="1"/>
  <c r="AO161" i="21"/>
  <c r="AQ161" i="21" s="1"/>
  <c r="AO162" i="21"/>
  <c r="AQ162" i="21" s="1"/>
  <c r="AO163" i="21"/>
  <c r="AQ163" i="21" s="1"/>
  <c r="AO164" i="21"/>
  <c r="AQ164" i="21" s="1"/>
  <c r="AO165" i="21"/>
  <c r="AQ165" i="21" s="1"/>
  <c r="AO166" i="21"/>
  <c r="AQ166" i="21" s="1"/>
  <c r="AO167" i="21"/>
  <c r="AQ167" i="21" s="1"/>
  <c r="AO168" i="21"/>
  <c r="AQ168" i="21" s="1"/>
  <c r="AO169" i="21"/>
  <c r="AQ169" i="21" s="1"/>
  <c r="AO170" i="21"/>
  <c r="AQ170" i="21" s="1"/>
  <c r="AO171" i="21"/>
  <c r="AQ171" i="21" s="1"/>
  <c r="AO172" i="21"/>
  <c r="AQ172" i="21" s="1"/>
  <c r="AO173" i="21"/>
  <c r="AQ173" i="21" s="1"/>
  <c r="AO174" i="21"/>
  <c r="AQ174" i="21" s="1"/>
  <c r="AO175" i="21"/>
  <c r="AQ175" i="21" s="1"/>
  <c r="AO176" i="21"/>
  <c r="AQ176" i="21" s="1"/>
  <c r="AO177" i="21"/>
  <c r="AQ177" i="21" s="1"/>
  <c r="AO178" i="21"/>
  <c r="AQ178" i="21" s="1"/>
  <c r="AO179" i="21"/>
  <c r="AQ179" i="21" s="1"/>
  <c r="AO180" i="21"/>
  <c r="AQ180" i="21" s="1"/>
  <c r="AO181" i="21"/>
  <c r="AQ181" i="21" s="1"/>
  <c r="AO182" i="21"/>
  <c r="AQ182" i="21" s="1"/>
  <c r="AO183" i="21"/>
  <c r="AQ183" i="21" s="1"/>
  <c r="AO184" i="21"/>
  <c r="AQ184" i="21" s="1"/>
  <c r="AO185" i="21"/>
  <c r="AQ185" i="21" s="1"/>
  <c r="AO186" i="21"/>
  <c r="AQ186" i="21" s="1"/>
  <c r="AO187" i="21"/>
  <c r="AQ187" i="21" s="1"/>
  <c r="AO188" i="21"/>
  <c r="AQ188" i="21" s="1"/>
  <c r="AO189" i="21"/>
  <c r="AQ189" i="21" s="1"/>
  <c r="AO190" i="21"/>
  <c r="AQ190" i="21" s="1"/>
  <c r="AO191" i="21"/>
  <c r="AQ191" i="21" s="1"/>
  <c r="AO192" i="21"/>
  <c r="AQ192" i="21" s="1"/>
  <c r="AO193" i="21"/>
  <c r="AQ193" i="21" s="1"/>
  <c r="AO194" i="21"/>
  <c r="AQ194" i="21" s="1"/>
  <c r="AO195" i="21"/>
  <c r="AQ195" i="21" s="1"/>
  <c r="AO196" i="21"/>
  <c r="AQ196" i="21" s="1"/>
  <c r="AO197" i="21"/>
  <c r="AQ197" i="21" s="1"/>
  <c r="AO198" i="21"/>
  <c r="AQ198" i="21" s="1"/>
  <c r="AO199" i="21"/>
  <c r="AQ199" i="21" s="1"/>
  <c r="AO200" i="21"/>
  <c r="AQ200" i="21" s="1"/>
  <c r="AO201" i="21"/>
  <c r="AQ201" i="21" s="1"/>
  <c r="AO202" i="21"/>
  <c r="AQ202" i="21" s="1"/>
  <c r="AO203" i="21"/>
  <c r="AQ203" i="21" s="1"/>
  <c r="AO204" i="21"/>
  <c r="AQ204" i="21" s="1"/>
  <c r="AO205" i="21"/>
  <c r="AQ205" i="21" s="1"/>
  <c r="AO206" i="21"/>
  <c r="AQ206" i="21" s="1"/>
  <c r="AO207" i="21"/>
  <c r="AQ207" i="21" s="1"/>
  <c r="AO208" i="21"/>
  <c r="AQ208" i="21" s="1"/>
  <c r="AO209" i="21"/>
  <c r="AQ209" i="21" s="1"/>
  <c r="AO210" i="21"/>
  <c r="AQ210" i="21" s="1"/>
  <c r="AO211" i="21"/>
  <c r="AQ211" i="21" s="1"/>
  <c r="AO212" i="21"/>
  <c r="AQ212" i="21" s="1"/>
  <c r="AO213" i="21"/>
  <c r="AQ213" i="21" s="1"/>
  <c r="AO214" i="21"/>
  <c r="AQ214" i="21" s="1"/>
  <c r="AO215" i="21"/>
  <c r="AQ215" i="21" s="1"/>
  <c r="AO216" i="21"/>
  <c r="AQ216" i="21" s="1"/>
  <c r="AO217" i="21"/>
  <c r="AQ217" i="21" s="1"/>
  <c r="AO218" i="21"/>
  <c r="AQ218" i="21" s="1"/>
  <c r="AO219" i="21"/>
  <c r="AQ219" i="21" s="1"/>
  <c r="AO220" i="21"/>
  <c r="AQ220" i="21" s="1"/>
  <c r="AO221" i="21"/>
  <c r="AQ221" i="21" s="1"/>
  <c r="AO222" i="21"/>
  <c r="AQ222" i="21" s="1"/>
  <c r="AO223" i="21"/>
  <c r="AQ223" i="21" s="1"/>
  <c r="AO224" i="21"/>
  <c r="AQ224" i="21" s="1"/>
  <c r="AO225" i="21"/>
  <c r="AQ225" i="21" s="1"/>
  <c r="AO226" i="21"/>
  <c r="AQ226" i="21" s="1"/>
  <c r="AO227" i="21"/>
  <c r="AQ227" i="21" s="1"/>
  <c r="AO228" i="21"/>
  <c r="AQ228" i="21" s="1"/>
  <c r="AO229" i="21"/>
  <c r="AQ229" i="21" s="1"/>
  <c r="AO230" i="21"/>
  <c r="AQ230" i="21" s="1"/>
  <c r="AO231" i="21"/>
  <c r="AQ231" i="21" s="1"/>
  <c r="AO232" i="21"/>
  <c r="AQ232" i="21" s="1"/>
  <c r="AO233" i="21"/>
  <c r="AQ233" i="21" s="1"/>
  <c r="AO234" i="21"/>
  <c r="AQ234" i="21" s="1"/>
  <c r="AO235" i="21"/>
  <c r="AQ235" i="21" s="1"/>
  <c r="AO236" i="21"/>
  <c r="AQ236" i="21" s="1"/>
  <c r="AO237" i="21"/>
  <c r="AQ237" i="21" s="1"/>
  <c r="AO238" i="21"/>
  <c r="AQ238" i="21" s="1"/>
  <c r="AO239" i="21"/>
  <c r="AQ239" i="21" s="1"/>
  <c r="AO240" i="21"/>
  <c r="AQ240" i="21" s="1"/>
  <c r="AO241" i="21"/>
  <c r="AQ241" i="21" s="1"/>
  <c r="AO242" i="21"/>
  <c r="AQ242" i="21" s="1"/>
  <c r="AO243" i="21"/>
  <c r="AQ243" i="21" s="1"/>
  <c r="AO244" i="21"/>
  <c r="AQ244" i="21" s="1"/>
  <c r="AO245" i="21"/>
  <c r="AQ245" i="21" s="1"/>
  <c r="AO246" i="21"/>
  <c r="AQ246" i="21" s="1"/>
  <c r="AO247" i="21"/>
  <c r="AQ247" i="21" s="1"/>
  <c r="AO248" i="21"/>
  <c r="AQ248" i="21" s="1"/>
  <c r="AO249" i="21"/>
  <c r="AQ249" i="21" s="1"/>
  <c r="AO250" i="21"/>
  <c r="AQ250" i="21" s="1"/>
  <c r="AO251" i="21"/>
  <c r="AQ251" i="21" s="1"/>
  <c r="AO252" i="21"/>
  <c r="AQ252" i="21" s="1"/>
  <c r="AO253" i="21"/>
  <c r="AQ253" i="21" s="1"/>
  <c r="AO254" i="21"/>
  <c r="AQ254" i="21" s="1"/>
  <c r="AO255" i="21"/>
  <c r="AQ255" i="21" s="1"/>
  <c r="AO256" i="21"/>
  <c r="AQ256" i="21" s="1"/>
  <c r="AO257" i="21"/>
  <c r="AQ257" i="21" s="1"/>
  <c r="AO258" i="21"/>
  <c r="AQ258" i="21" s="1"/>
  <c r="AO259" i="21"/>
  <c r="AQ259" i="21" s="1"/>
  <c r="AO260" i="21"/>
  <c r="AQ260" i="21" s="1"/>
  <c r="AO261" i="21"/>
  <c r="AQ261" i="21" s="1"/>
  <c r="AO262" i="21"/>
  <c r="AQ262" i="21" s="1"/>
  <c r="AO263" i="21"/>
  <c r="AQ263" i="21" s="1"/>
  <c r="AO264" i="21"/>
  <c r="AQ264" i="21" s="1"/>
  <c r="AO265" i="21"/>
  <c r="AQ265" i="21" s="1"/>
  <c r="AO266" i="21"/>
  <c r="AQ266" i="21" s="1"/>
  <c r="AO267" i="21"/>
  <c r="AQ267" i="21" s="1"/>
  <c r="AO268" i="21"/>
  <c r="AQ268" i="21" s="1"/>
  <c r="AO269" i="21"/>
  <c r="AQ269" i="21" s="1"/>
  <c r="AO270" i="21"/>
  <c r="AQ270" i="21" s="1"/>
  <c r="AO271" i="21"/>
  <c r="AQ271" i="21" s="1"/>
  <c r="AO272" i="21"/>
  <c r="AQ272" i="21" s="1"/>
  <c r="AO273" i="21"/>
  <c r="AQ273" i="21" s="1"/>
  <c r="AO274" i="21"/>
  <c r="AQ274" i="21" s="1"/>
  <c r="AO275" i="21"/>
  <c r="AQ275" i="21" s="1"/>
  <c r="AO276" i="21"/>
  <c r="AQ276" i="21" s="1"/>
  <c r="AO277" i="21"/>
  <c r="AQ277" i="21" s="1"/>
  <c r="AO278" i="21"/>
  <c r="AQ278" i="21" s="1"/>
  <c r="AO279" i="21"/>
  <c r="AQ279" i="21" s="1"/>
  <c r="AO280" i="21"/>
  <c r="AQ280" i="21" s="1"/>
  <c r="AO281" i="21"/>
  <c r="AQ281" i="21" s="1"/>
  <c r="AO282" i="21"/>
  <c r="AQ282" i="21" s="1"/>
  <c r="AO283" i="21"/>
  <c r="AQ283" i="21" s="1"/>
  <c r="AO284" i="21"/>
  <c r="AQ284" i="21" s="1"/>
  <c r="AO285" i="21"/>
  <c r="AQ285" i="21" s="1"/>
  <c r="AO286" i="21"/>
  <c r="AQ286" i="21" s="1"/>
  <c r="AO287" i="21"/>
  <c r="AQ287" i="21" s="1"/>
  <c r="AO288" i="21"/>
  <c r="AQ288" i="21" s="1"/>
  <c r="AO289" i="21"/>
  <c r="AQ289" i="21" s="1"/>
  <c r="AO290" i="21"/>
  <c r="AQ290" i="21" s="1"/>
  <c r="AO291" i="21"/>
  <c r="AQ291" i="21" s="1"/>
  <c r="AO292" i="21"/>
  <c r="AQ292" i="21" s="1"/>
  <c r="AO293" i="21"/>
  <c r="AQ293" i="21" s="1"/>
  <c r="AO294" i="21"/>
  <c r="AQ294" i="21" s="1"/>
  <c r="AO295" i="21"/>
  <c r="AQ295" i="21" s="1"/>
  <c r="AO296" i="21"/>
  <c r="AQ296" i="21" s="1"/>
  <c r="AO297" i="21"/>
  <c r="AQ297" i="21" s="1"/>
  <c r="AO298" i="21"/>
  <c r="AQ298" i="21" s="1"/>
  <c r="AO299" i="21"/>
  <c r="AQ299" i="21" s="1"/>
  <c r="AO300" i="21"/>
  <c r="AQ300" i="21" s="1"/>
  <c r="AO301" i="21"/>
  <c r="AQ301" i="21" s="1"/>
  <c r="AO302" i="21"/>
  <c r="AQ302" i="21" s="1"/>
  <c r="AO303" i="21"/>
  <c r="AQ303" i="21" s="1"/>
  <c r="AO304" i="21"/>
  <c r="AQ304" i="21" s="1"/>
  <c r="AO305" i="21"/>
  <c r="AQ305" i="21" s="1"/>
  <c r="AO306" i="21"/>
  <c r="AQ306" i="21" s="1"/>
  <c r="AO307" i="21"/>
  <c r="AQ307" i="21" s="1"/>
  <c r="AO308" i="21"/>
  <c r="AQ308" i="21" s="1"/>
  <c r="AO309" i="21"/>
  <c r="AQ309" i="21" s="1"/>
  <c r="AO310" i="21"/>
  <c r="AQ310" i="21" s="1"/>
  <c r="AO311" i="21"/>
  <c r="AQ311" i="21" s="1"/>
  <c r="AO312" i="21"/>
  <c r="AQ312" i="21" s="1"/>
  <c r="AO313" i="21"/>
  <c r="AQ313" i="21" s="1"/>
  <c r="AO314" i="21"/>
  <c r="AQ314" i="21" s="1"/>
  <c r="AO315" i="21"/>
  <c r="AQ315" i="21" s="1"/>
  <c r="AO316" i="21"/>
  <c r="AQ316" i="21" s="1"/>
  <c r="AO317" i="21"/>
  <c r="AQ317" i="21" s="1"/>
  <c r="AO318" i="21"/>
  <c r="AQ318" i="21" s="1"/>
  <c r="AO319" i="21"/>
  <c r="AQ319" i="21" s="1"/>
  <c r="AO320" i="21"/>
  <c r="AQ320" i="21" s="1"/>
  <c r="AO321" i="21"/>
  <c r="AQ321" i="21" s="1"/>
  <c r="AO322" i="21"/>
  <c r="AQ322" i="21" s="1"/>
  <c r="AO323" i="21"/>
  <c r="AQ323" i="21" s="1"/>
  <c r="AO324" i="21"/>
  <c r="AQ324" i="21" s="1"/>
  <c r="AO325" i="21"/>
  <c r="AQ325" i="21" s="1"/>
  <c r="AO326" i="21"/>
  <c r="AQ326" i="21" s="1"/>
  <c r="AO327" i="21"/>
  <c r="AQ327" i="21" s="1"/>
  <c r="AO328" i="21"/>
  <c r="AQ328" i="21" s="1"/>
  <c r="AO329" i="21"/>
  <c r="AQ329" i="21" s="1"/>
  <c r="AO330" i="21"/>
  <c r="AQ330" i="21" s="1"/>
  <c r="AO331" i="21"/>
  <c r="AQ331" i="21" s="1"/>
  <c r="AO332" i="21"/>
  <c r="AQ332" i="21" s="1"/>
  <c r="AO333" i="21"/>
  <c r="AQ333" i="21" s="1"/>
  <c r="AO334" i="21"/>
  <c r="AQ334" i="21" s="1"/>
  <c r="AO335" i="21"/>
  <c r="AQ335" i="21" s="1"/>
  <c r="AO336" i="21"/>
  <c r="AQ336" i="21" s="1"/>
  <c r="AO337" i="21"/>
  <c r="AQ337" i="21" s="1"/>
  <c r="AO338" i="21"/>
  <c r="AQ338" i="21" s="1"/>
  <c r="AO339" i="21"/>
  <c r="AQ339" i="21" s="1"/>
  <c r="AO340" i="21"/>
  <c r="AQ340" i="21" s="1"/>
  <c r="AO341" i="21"/>
  <c r="AQ341" i="21" s="1"/>
  <c r="AO342" i="21"/>
  <c r="AQ342" i="21" s="1"/>
  <c r="AO343" i="21"/>
  <c r="AQ343" i="21" s="1"/>
  <c r="AO344" i="21"/>
  <c r="AQ344" i="21" s="1"/>
  <c r="AO345" i="21"/>
  <c r="AQ345" i="21" s="1"/>
  <c r="AO346" i="21"/>
  <c r="AQ346" i="21" s="1"/>
  <c r="AO347" i="21"/>
  <c r="AQ347" i="21" s="1"/>
  <c r="AO348" i="21"/>
  <c r="AQ348" i="21" s="1"/>
  <c r="AO349" i="21"/>
  <c r="AQ349" i="21" s="1"/>
  <c r="AO350" i="21"/>
  <c r="AQ350" i="21" s="1"/>
  <c r="AO351" i="21"/>
  <c r="AQ351" i="21" s="1"/>
  <c r="AO352" i="21"/>
  <c r="AQ352" i="21" s="1"/>
  <c r="AO353" i="21"/>
  <c r="AQ353" i="21" s="1"/>
  <c r="AO354" i="21"/>
  <c r="AQ354" i="21" s="1"/>
  <c r="AO355" i="21"/>
  <c r="AQ355" i="21" s="1"/>
  <c r="AO356" i="21"/>
  <c r="AQ356" i="21" s="1"/>
  <c r="AO357" i="21"/>
  <c r="AQ357" i="21" s="1"/>
  <c r="AO358" i="21"/>
  <c r="AQ358" i="21" s="1"/>
  <c r="AO359" i="21"/>
  <c r="AQ359" i="21" s="1"/>
  <c r="AO360" i="21"/>
  <c r="AQ360" i="21" s="1"/>
  <c r="AO361" i="21"/>
  <c r="AQ361" i="21" s="1"/>
  <c r="AO362" i="21"/>
  <c r="AQ362" i="21" s="1"/>
  <c r="AO363" i="21"/>
  <c r="AQ363" i="21" s="1"/>
  <c r="AO364" i="21"/>
  <c r="AQ364" i="21" s="1"/>
  <c r="AO365" i="21"/>
  <c r="AQ365" i="21" s="1"/>
  <c r="AO366" i="21"/>
  <c r="AQ366" i="21" s="1"/>
  <c r="AO367" i="21"/>
  <c r="AQ367" i="21" s="1"/>
  <c r="AO368" i="21"/>
  <c r="AQ368" i="21" s="1"/>
  <c r="AO369" i="21"/>
  <c r="AQ369" i="21" s="1"/>
  <c r="AO370" i="21"/>
  <c r="AQ370" i="21" s="1"/>
  <c r="AO371" i="21"/>
  <c r="AQ371" i="21" s="1"/>
  <c r="AO372" i="21"/>
  <c r="AQ372" i="21" s="1"/>
  <c r="AO373" i="21"/>
  <c r="AQ373" i="21" s="1"/>
  <c r="AO374" i="21"/>
  <c r="AQ374" i="21" s="1"/>
  <c r="AO375" i="21"/>
  <c r="AQ375" i="21" s="1"/>
  <c r="AO376" i="21"/>
  <c r="AQ376" i="21" s="1"/>
  <c r="AO377" i="21"/>
  <c r="AQ377" i="21" s="1"/>
  <c r="AO378" i="21"/>
  <c r="AQ378" i="21" s="1"/>
  <c r="AO379" i="21"/>
  <c r="AQ379" i="21" s="1"/>
  <c r="AO380" i="21"/>
  <c r="AQ380" i="21" s="1"/>
  <c r="AO381" i="21"/>
  <c r="AQ381" i="21" s="1"/>
  <c r="AO382" i="21"/>
  <c r="AQ382" i="21" s="1"/>
  <c r="AO383" i="21"/>
  <c r="AQ383" i="21" s="1"/>
  <c r="AO384" i="21"/>
  <c r="AQ384" i="21" s="1"/>
  <c r="AO385" i="21"/>
  <c r="AQ385" i="21" s="1"/>
  <c r="AO386" i="21"/>
  <c r="AQ386" i="21" s="1"/>
  <c r="AO387" i="21"/>
  <c r="AQ387" i="21" s="1"/>
  <c r="AO388" i="21"/>
  <c r="AQ388" i="21" s="1"/>
  <c r="AO389" i="21"/>
  <c r="AQ389" i="21" s="1"/>
  <c r="AO390" i="21"/>
  <c r="AQ390" i="21" s="1"/>
  <c r="AO391" i="21"/>
  <c r="AQ391" i="21" s="1"/>
  <c r="AO392" i="21"/>
  <c r="AQ392" i="21" s="1"/>
  <c r="AO393" i="21"/>
  <c r="AQ393" i="21" s="1"/>
  <c r="AO394" i="21"/>
  <c r="AQ394" i="21" s="1"/>
  <c r="AO395" i="21"/>
  <c r="AQ395" i="21" s="1"/>
  <c r="AO396" i="21"/>
  <c r="AQ396" i="21" s="1"/>
  <c r="AO397" i="21"/>
  <c r="AQ397" i="21" s="1"/>
  <c r="AO398" i="21"/>
  <c r="AQ398" i="21" s="1"/>
  <c r="AO399" i="21"/>
  <c r="AQ399" i="21" s="1"/>
  <c r="AO400" i="21"/>
  <c r="AQ400" i="21" s="1"/>
  <c r="AO401" i="21"/>
  <c r="AQ401" i="21" s="1"/>
  <c r="AO402" i="21"/>
  <c r="AQ402" i="21" s="1"/>
  <c r="AO403" i="21"/>
  <c r="AQ403" i="21" s="1"/>
  <c r="AO404" i="21"/>
  <c r="AQ404" i="21" s="1"/>
  <c r="AO405" i="21"/>
  <c r="AQ405" i="21" s="1"/>
  <c r="AO406" i="21"/>
  <c r="AQ406" i="21" s="1"/>
  <c r="AO407" i="21"/>
  <c r="AQ407" i="21" s="1"/>
  <c r="AO408" i="21"/>
  <c r="AQ408" i="21" s="1"/>
  <c r="AO409" i="21"/>
  <c r="AQ409" i="21" s="1"/>
  <c r="AO410" i="21"/>
  <c r="AQ410" i="21" s="1"/>
  <c r="AO411" i="21"/>
  <c r="AQ411" i="21" s="1"/>
  <c r="AO412" i="21"/>
  <c r="AQ412" i="21" s="1"/>
  <c r="AO413" i="21"/>
  <c r="AQ413" i="21" s="1"/>
  <c r="AO414" i="21"/>
  <c r="AQ414" i="21" s="1"/>
  <c r="AO415" i="21"/>
  <c r="AQ415" i="21" s="1"/>
  <c r="AO416" i="21"/>
  <c r="AQ416" i="21" s="1"/>
  <c r="AO417" i="21"/>
  <c r="AQ417" i="21" s="1"/>
  <c r="AO418" i="21"/>
  <c r="AQ418" i="21" s="1"/>
  <c r="AO419" i="21"/>
  <c r="AQ419" i="21" s="1"/>
  <c r="AO420" i="21"/>
  <c r="AQ420" i="21" s="1"/>
  <c r="AO421" i="21"/>
  <c r="AQ421" i="21" s="1"/>
  <c r="AO422" i="21"/>
  <c r="AQ422" i="21" s="1"/>
  <c r="AO423" i="21"/>
  <c r="AQ423" i="21" s="1"/>
  <c r="AO424" i="21"/>
  <c r="AQ424" i="21" s="1"/>
  <c r="AO425" i="21"/>
  <c r="AQ425" i="21" s="1"/>
  <c r="AO426" i="21"/>
  <c r="AQ426" i="21" s="1"/>
  <c r="AO427" i="21"/>
  <c r="AQ427" i="21" s="1"/>
  <c r="AO428" i="21"/>
  <c r="AQ428" i="21" s="1"/>
  <c r="AO429" i="21"/>
  <c r="AQ429" i="21" s="1"/>
  <c r="AO430" i="21"/>
  <c r="AQ430" i="21" s="1"/>
  <c r="AO431" i="21"/>
  <c r="AQ431" i="21" s="1"/>
  <c r="AO432" i="21"/>
  <c r="AQ432" i="21" s="1"/>
  <c r="AO433" i="21"/>
  <c r="AQ433" i="21" s="1"/>
  <c r="AO434" i="21"/>
  <c r="AQ434" i="21" s="1"/>
  <c r="AO435" i="21"/>
  <c r="AQ435" i="21" s="1"/>
  <c r="AO436" i="21"/>
  <c r="AQ436" i="21" s="1"/>
  <c r="AO437" i="21"/>
  <c r="AQ437" i="21" s="1"/>
  <c r="AO438" i="21"/>
  <c r="AQ438" i="21" s="1"/>
  <c r="AO439" i="21"/>
  <c r="AQ439" i="21" s="1"/>
  <c r="AO440" i="21"/>
  <c r="AQ440" i="21" s="1"/>
  <c r="AO441" i="21"/>
  <c r="AQ441" i="21" s="1"/>
  <c r="AO442" i="21"/>
  <c r="AQ442" i="21" s="1"/>
  <c r="AO443" i="21"/>
  <c r="AQ443" i="21" s="1"/>
  <c r="AO444" i="21"/>
  <c r="AQ444" i="21" s="1"/>
  <c r="AO445" i="21"/>
  <c r="AQ445" i="21" s="1"/>
  <c r="AO446" i="21"/>
  <c r="AQ446" i="21" s="1"/>
  <c r="AO447" i="21"/>
  <c r="AQ447" i="21" s="1"/>
  <c r="AO448" i="21"/>
  <c r="AQ448" i="21" s="1"/>
  <c r="AO449" i="21"/>
  <c r="AQ449" i="21" s="1"/>
  <c r="AO450" i="21"/>
  <c r="AQ450" i="21" s="1"/>
  <c r="AO451" i="21"/>
  <c r="AQ451" i="21" s="1"/>
  <c r="AO452" i="21"/>
  <c r="AQ452" i="21" s="1"/>
  <c r="AO453" i="21"/>
  <c r="AQ453" i="21" s="1"/>
  <c r="AO454" i="21"/>
  <c r="AQ454" i="21" s="1"/>
  <c r="AO455" i="21"/>
  <c r="AQ455" i="21" s="1"/>
  <c r="AO456" i="21"/>
  <c r="AQ456" i="21" s="1"/>
  <c r="AO457" i="21"/>
  <c r="AQ457" i="21" s="1"/>
  <c r="AO458" i="21"/>
  <c r="AQ458" i="21" s="1"/>
  <c r="AO459" i="21"/>
  <c r="AQ459" i="21" s="1"/>
  <c r="AO460" i="21"/>
  <c r="AQ460" i="21" s="1"/>
  <c r="AO461" i="21"/>
  <c r="AQ461" i="21" s="1"/>
  <c r="AO462" i="21"/>
  <c r="AQ462" i="21" s="1"/>
  <c r="AO463" i="21"/>
  <c r="AQ463" i="21" s="1"/>
  <c r="AO464" i="21"/>
  <c r="AQ464" i="21" s="1"/>
  <c r="AO465" i="21"/>
  <c r="AQ465" i="21" s="1"/>
  <c r="AO466" i="21"/>
  <c r="AQ466" i="21" s="1"/>
  <c r="AO467" i="21"/>
  <c r="AQ467" i="21" s="1"/>
  <c r="AO468" i="21"/>
  <c r="AQ468" i="21" s="1"/>
  <c r="AO469" i="21"/>
  <c r="AQ469" i="21" s="1"/>
  <c r="AO470" i="21"/>
  <c r="AQ470" i="21" s="1"/>
  <c r="AO471" i="21"/>
  <c r="AQ471" i="21" s="1"/>
  <c r="AO472" i="21"/>
  <c r="AQ472" i="21" s="1"/>
  <c r="AO473" i="21"/>
  <c r="AQ473" i="21" s="1"/>
  <c r="AO474" i="21"/>
  <c r="AQ474" i="21" s="1"/>
  <c r="AO475" i="21"/>
  <c r="AQ475" i="21" s="1"/>
  <c r="AO476" i="21"/>
  <c r="AQ476" i="21" s="1"/>
  <c r="AO477" i="21"/>
  <c r="AQ477" i="21" s="1"/>
  <c r="AO478" i="21"/>
  <c r="AQ478" i="21" s="1"/>
  <c r="AO479" i="21"/>
  <c r="AQ479" i="21" s="1"/>
  <c r="AO480" i="21"/>
  <c r="AQ480" i="21" s="1"/>
  <c r="AO481" i="21"/>
  <c r="AQ481" i="21" s="1"/>
  <c r="AO482" i="21"/>
  <c r="AQ482" i="21" s="1"/>
  <c r="AO483" i="21"/>
  <c r="AQ483" i="21" s="1"/>
  <c r="AO484" i="21"/>
  <c r="AQ484" i="21" s="1"/>
  <c r="AO485" i="21"/>
  <c r="AQ485" i="21" s="1"/>
  <c r="AO486" i="21"/>
  <c r="AQ486" i="21" s="1"/>
  <c r="AO487" i="21"/>
  <c r="AQ487" i="21" s="1"/>
  <c r="AO488" i="21"/>
  <c r="AQ488" i="21" s="1"/>
  <c r="AO489" i="21"/>
  <c r="AQ489" i="21" s="1"/>
  <c r="AO490" i="21"/>
  <c r="AQ490" i="21" s="1"/>
  <c r="AO491" i="21"/>
  <c r="AQ491" i="21" s="1"/>
  <c r="AO492" i="21"/>
  <c r="AQ492" i="21" s="1"/>
  <c r="AO493" i="21"/>
  <c r="AQ493" i="21" s="1"/>
  <c r="AO494" i="21"/>
  <c r="AQ494" i="21" s="1"/>
  <c r="AO495" i="21"/>
  <c r="AQ495" i="21" s="1"/>
  <c r="AO496" i="21"/>
  <c r="AQ496" i="21" s="1"/>
  <c r="AO497" i="21"/>
  <c r="AQ497" i="21" s="1"/>
  <c r="AO498" i="21"/>
  <c r="AQ498" i="21" s="1"/>
  <c r="AO499" i="21"/>
  <c r="AQ499" i="21" s="1"/>
  <c r="AO500" i="21"/>
  <c r="AQ500" i="21" s="1"/>
  <c r="AO501" i="21"/>
  <c r="AQ501" i="21" s="1"/>
  <c r="AO502" i="21"/>
  <c r="AQ502" i="21" s="1"/>
  <c r="AO503" i="21"/>
  <c r="AQ503" i="21" s="1"/>
  <c r="AO504" i="21"/>
  <c r="AQ504" i="21" s="1"/>
  <c r="AO505" i="21"/>
  <c r="AQ505" i="21" s="1"/>
  <c r="AO506" i="21"/>
  <c r="AQ506" i="21" s="1"/>
  <c r="AO507" i="21"/>
  <c r="AQ507" i="21" s="1"/>
  <c r="AO508" i="21"/>
  <c r="AQ508" i="21" s="1"/>
  <c r="AO509" i="21"/>
  <c r="AQ509" i="21" s="1"/>
  <c r="AO510" i="21"/>
  <c r="AQ510" i="21" s="1"/>
  <c r="AO511" i="21"/>
  <c r="AQ511" i="21" s="1"/>
  <c r="AO512" i="21"/>
  <c r="AQ512" i="21" s="1"/>
  <c r="AO513" i="21"/>
  <c r="AQ513" i="21" s="1"/>
  <c r="AO514" i="21"/>
  <c r="AQ514" i="21" s="1"/>
  <c r="AO515" i="21"/>
  <c r="AQ515" i="21" s="1"/>
  <c r="AO516" i="21"/>
  <c r="AQ516" i="21" s="1"/>
  <c r="AO517" i="21"/>
  <c r="AQ517" i="21" s="1"/>
  <c r="AO518" i="21"/>
  <c r="AQ518" i="21" s="1"/>
  <c r="AO519" i="21"/>
  <c r="AQ519" i="21" s="1"/>
  <c r="AO520" i="21"/>
  <c r="AQ520" i="21" s="1"/>
  <c r="AO521" i="21"/>
  <c r="AQ521" i="21" s="1"/>
  <c r="AO522" i="21"/>
  <c r="AQ522" i="21" s="1"/>
  <c r="AO523" i="21"/>
  <c r="AQ523" i="21" s="1"/>
  <c r="AO524" i="21"/>
  <c r="AQ524" i="21" s="1"/>
  <c r="AO525" i="21"/>
  <c r="AQ525" i="21" s="1"/>
  <c r="AO526" i="21"/>
  <c r="AQ526" i="21" s="1"/>
  <c r="AO527" i="21"/>
  <c r="AQ527" i="21" s="1"/>
  <c r="AO528" i="21"/>
  <c r="AQ528" i="21" s="1"/>
  <c r="AO529" i="21"/>
  <c r="AQ529" i="21" s="1"/>
  <c r="AO530" i="21"/>
  <c r="AQ530" i="21" s="1"/>
  <c r="AO531" i="21"/>
  <c r="AQ531" i="21" s="1"/>
  <c r="AO532" i="21"/>
  <c r="AQ532" i="21" s="1"/>
  <c r="AO533" i="21"/>
  <c r="AQ533" i="21" s="1"/>
  <c r="AO534" i="21"/>
  <c r="AQ534" i="21" s="1"/>
  <c r="AO535" i="21"/>
  <c r="AQ535" i="21" s="1"/>
  <c r="AO536" i="21"/>
  <c r="AQ536" i="21" s="1"/>
  <c r="AO537" i="21"/>
  <c r="AQ537" i="21" s="1"/>
  <c r="AO538" i="21"/>
  <c r="AQ538" i="21" s="1"/>
  <c r="AO539" i="21"/>
  <c r="AQ539" i="21" s="1"/>
  <c r="AO540" i="21"/>
  <c r="AQ540" i="21" s="1"/>
  <c r="AO541" i="21"/>
  <c r="AQ541" i="21" s="1"/>
  <c r="AO542" i="21"/>
  <c r="AQ542" i="21" s="1"/>
  <c r="AO543" i="21"/>
  <c r="AQ543" i="21" s="1"/>
  <c r="AO544" i="21"/>
  <c r="AQ544" i="21" s="1"/>
  <c r="AO545" i="21"/>
  <c r="AQ545" i="21" s="1"/>
  <c r="AO546" i="21"/>
  <c r="AQ546" i="21" s="1"/>
  <c r="AO547" i="21"/>
  <c r="AQ547" i="21" s="1"/>
  <c r="AO548" i="21"/>
  <c r="AQ548" i="21" s="1"/>
  <c r="AO549" i="21"/>
  <c r="AQ549" i="21" s="1"/>
  <c r="AO550" i="21"/>
  <c r="AQ550" i="21" s="1"/>
  <c r="AO551" i="21"/>
  <c r="AQ551" i="21" s="1"/>
  <c r="AO552" i="21"/>
  <c r="AQ552" i="21" s="1"/>
  <c r="AO553" i="21"/>
  <c r="AQ553" i="21" s="1"/>
  <c r="AO554" i="21"/>
  <c r="AQ554" i="21" s="1"/>
  <c r="AO555" i="21"/>
  <c r="AQ555" i="21" s="1"/>
  <c r="AO556" i="21"/>
  <c r="AQ556" i="21" s="1"/>
  <c r="AO557" i="21"/>
  <c r="AQ557" i="21" s="1"/>
  <c r="AO558" i="21"/>
  <c r="AQ558" i="21" s="1"/>
  <c r="AO559" i="21"/>
  <c r="AQ559" i="21" s="1"/>
  <c r="AO560" i="21"/>
  <c r="AQ560" i="21" s="1"/>
  <c r="AO561" i="21"/>
  <c r="AQ561" i="21" s="1"/>
  <c r="AO562" i="21"/>
  <c r="AQ562" i="21" s="1"/>
  <c r="AO563" i="21"/>
  <c r="AQ563" i="21" s="1"/>
  <c r="AO564" i="21"/>
  <c r="AQ564" i="21" s="1"/>
  <c r="AO565" i="21"/>
  <c r="AQ565" i="21" s="1"/>
  <c r="AO566" i="21"/>
  <c r="AQ566" i="21" s="1"/>
  <c r="AO567" i="21"/>
  <c r="AQ567" i="21" s="1"/>
  <c r="AO568" i="21"/>
  <c r="AQ568" i="21" s="1"/>
  <c r="AO569" i="21"/>
  <c r="AQ569" i="21" s="1"/>
  <c r="AO570" i="21"/>
  <c r="AQ570" i="21" s="1"/>
  <c r="AO571" i="21"/>
  <c r="AQ571" i="21" s="1"/>
  <c r="AO572" i="21"/>
  <c r="AQ572" i="21" s="1"/>
  <c r="AO573" i="21"/>
  <c r="AQ573" i="21" s="1"/>
  <c r="AO574" i="21"/>
  <c r="AQ574" i="21" s="1"/>
  <c r="AO575" i="21"/>
  <c r="AQ575" i="21" s="1"/>
  <c r="AO576" i="21"/>
  <c r="AQ576" i="21" s="1"/>
  <c r="AO577" i="21"/>
  <c r="AQ577" i="21" s="1"/>
  <c r="AO578" i="21"/>
  <c r="AQ578" i="21" s="1"/>
  <c r="AO579" i="21"/>
  <c r="AQ579" i="21" s="1"/>
  <c r="AO580" i="21"/>
  <c r="AQ580" i="21" s="1"/>
  <c r="AO581" i="21"/>
  <c r="AQ581" i="21" s="1"/>
  <c r="AO582" i="21"/>
  <c r="AQ582" i="21" s="1"/>
  <c r="AO583" i="21"/>
  <c r="AQ583" i="21" s="1"/>
  <c r="AO584" i="21"/>
  <c r="AQ584" i="21" s="1"/>
  <c r="AO585" i="21"/>
  <c r="AQ585" i="21" s="1"/>
  <c r="AO586" i="21"/>
  <c r="AQ586" i="21" s="1"/>
  <c r="AO587" i="21"/>
  <c r="AQ587" i="21" s="1"/>
  <c r="AO588" i="21"/>
  <c r="AQ588" i="21" s="1"/>
  <c r="AO589" i="21"/>
  <c r="AQ589" i="21" s="1"/>
  <c r="AO590" i="21"/>
  <c r="AQ590" i="21" s="1"/>
  <c r="AO591" i="21"/>
  <c r="AQ591" i="21" s="1"/>
  <c r="AO592" i="21"/>
  <c r="AQ592" i="21" s="1"/>
  <c r="AO593" i="21"/>
  <c r="AQ593" i="21" s="1"/>
  <c r="AO594" i="21"/>
  <c r="AQ594" i="21" s="1"/>
  <c r="AO595" i="21"/>
  <c r="AQ595" i="21" s="1"/>
  <c r="AO596" i="21"/>
  <c r="AQ596" i="21" s="1"/>
  <c r="AO597" i="21"/>
  <c r="AQ597" i="21" s="1"/>
  <c r="AO598" i="21"/>
  <c r="AQ598" i="21" s="1"/>
  <c r="AO599" i="21"/>
  <c r="AQ599" i="21" s="1"/>
  <c r="AO600" i="21"/>
  <c r="AQ600" i="21" s="1"/>
  <c r="AO601" i="21"/>
  <c r="AQ601" i="21" s="1"/>
  <c r="AO602" i="21"/>
  <c r="AQ602" i="21" s="1"/>
  <c r="AO603" i="21"/>
  <c r="AQ603" i="21" s="1"/>
  <c r="AO604" i="21"/>
  <c r="AQ604" i="21" s="1"/>
  <c r="AO605" i="21"/>
  <c r="AQ605" i="21" s="1"/>
  <c r="AO606" i="21"/>
  <c r="AQ606" i="21" s="1"/>
  <c r="AO607" i="21"/>
  <c r="AQ607" i="21" s="1"/>
  <c r="AO608" i="21"/>
  <c r="AQ608" i="21" s="1"/>
  <c r="AO609" i="21"/>
  <c r="AQ609" i="21" s="1"/>
  <c r="AO610" i="21"/>
  <c r="AQ610" i="21" s="1"/>
  <c r="AO611" i="21"/>
  <c r="AQ611" i="21" s="1"/>
  <c r="AO612" i="21"/>
  <c r="AQ612" i="21" s="1"/>
  <c r="AO613" i="21"/>
  <c r="AQ613" i="21" s="1"/>
  <c r="AO614" i="21"/>
  <c r="AQ614" i="21" s="1"/>
  <c r="AO615" i="21"/>
  <c r="AQ615" i="21" s="1"/>
  <c r="AO616" i="21"/>
  <c r="AQ616" i="21" s="1"/>
  <c r="AO617" i="21"/>
  <c r="AQ617" i="21" s="1"/>
  <c r="AO618" i="21"/>
  <c r="AQ618" i="21" s="1"/>
  <c r="AO619" i="21"/>
  <c r="AQ619" i="21" s="1"/>
  <c r="AO620" i="21"/>
  <c r="AQ620" i="21" s="1"/>
  <c r="AO621" i="21"/>
  <c r="AQ621" i="21" s="1"/>
  <c r="AO622" i="21"/>
  <c r="AQ622" i="21" s="1"/>
  <c r="AO623" i="21"/>
  <c r="AQ623" i="21" s="1"/>
  <c r="AO624" i="21"/>
  <c r="AQ624" i="21" s="1"/>
  <c r="AO625" i="21"/>
  <c r="AQ625" i="21" s="1"/>
  <c r="AO626" i="21"/>
  <c r="AQ626" i="21" s="1"/>
  <c r="AO627" i="21"/>
  <c r="AQ627" i="21" s="1"/>
  <c r="AO628" i="21"/>
  <c r="AQ628" i="21" s="1"/>
  <c r="AO629" i="21"/>
  <c r="AQ629" i="21" s="1"/>
  <c r="AO630" i="21"/>
  <c r="AQ630" i="21" s="1"/>
  <c r="AO631" i="21"/>
  <c r="AQ631" i="21" s="1"/>
  <c r="AO632" i="21"/>
  <c r="AQ632" i="21" s="1"/>
  <c r="AO633" i="21"/>
  <c r="AQ633" i="21" s="1"/>
  <c r="AO634" i="21"/>
  <c r="AQ634" i="21" s="1"/>
  <c r="AO635" i="21"/>
  <c r="AQ635" i="21" s="1"/>
  <c r="AO636" i="21"/>
  <c r="AQ636" i="21" s="1"/>
  <c r="AO637" i="21"/>
  <c r="AQ637" i="21" s="1"/>
  <c r="AO638" i="21"/>
  <c r="AQ638" i="21" s="1"/>
  <c r="AO639" i="21"/>
  <c r="AQ639" i="21" s="1"/>
  <c r="AO640" i="21"/>
  <c r="AQ640" i="21" s="1"/>
  <c r="AO641" i="21"/>
  <c r="AQ641" i="21" s="1"/>
  <c r="AO642" i="21"/>
  <c r="AQ642" i="21" s="1"/>
  <c r="AO643" i="21"/>
  <c r="AQ643" i="21" s="1"/>
  <c r="AO644" i="21"/>
  <c r="AQ644" i="21" s="1"/>
  <c r="AO645" i="21"/>
  <c r="AQ645" i="21" s="1"/>
  <c r="AO646" i="21"/>
  <c r="AQ646" i="21" s="1"/>
  <c r="AO647" i="21"/>
  <c r="AQ647" i="21" s="1"/>
  <c r="AO648" i="21"/>
  <c r="AQ648" i="21" s="1"/>
  <c r="AO649" i="21"/>
  <c r="AQ649" i="21" s="1"/>
  <c r="AO650" i="21"/>
  <c r="AQ650" i="21" s="1"/>
  <c r="AO651" i="21"/>
  <c r="AQ651" i="21" s="1"/>
  <c r="AO652" i="21"/>
  <c r="AQ652" i="21" s="1"/>
  <c r="AO653" i="21"/>
  <c r="AQ653" i="21" s="1"/>
  <c r="AO654" i="21"/>
  <c r="AQ654" i="21" s="1"/>
  <c r="AO655" i="21"/>
  <c r="AQ655" i="21" s="1"/>
  <c r="AO656" i="21"/>
  <c r="AQ656" i="21" s="1"/>
  <c r="AO657" i="21"/>
  <c r="AQ657" i="21" s="1"/>
  <c r="AO658" i="21"/>
  <c r="AQ658" i="21" s="1"/>
  <c r="AO659" i="21"/>
  <c r="AQ659" i="21" s="1"/>
  <c r="AO660" i="21"/>
  <c r="AQ660" i="21" s="1"/>
  <c r="AO661" i="21"/>
  <c r="AQ661" i="21" s="1"/>
  <c r="AO662" i="21"/>
  <c r="AQ662" i="21" s="1"/>
  <c r="AO663" i="21"/>
  <c r="AQ663" i="21" s="1"/>
  <c r="AO664" i="21"/>
  <c r="AQ664" i="21" s="1"/>
  <c r="AO665" i="21"/>
  <c r="AQ665" i="21" s="1"/>
  <c r="AO666" i="21"/>
  <c r="AQ666" i="21" s="1"/>
  <c r="AO667" i="21"/>
  <c r="AQ667" i="21" s="1"/>
  <c r="AO668" i="21"/>
  <c r="AQ668" i="21" s="1"/>
  <c r="AO669" i="21"/>
  <c r="AQ669" i="21" s="1"/>
  <c r="AO670" i="21"/>
  <c r="AQ670" i="21" s="1"/>
  <c r="AO671" i="21"/>
  <c r="AQ671" i="21" s="1"/>
  <c r="AO672" i="21"/>
  <c r="AQ672" i="21" s="1"/>
  <c r="AO673" i="21"/>
  <c r="AQ673" i="21" s="1"/>
  <c r="AO674" i="21"/>
  <c r="AQ674" i="21" s="1"/>
  <c r="AO675" i="21"/>
  <c r="AQ675" i="21" s="1"/>
  <c r="AO676" i="21"/>
  <c r="AQ676" i="21" s="1"/>
  <c r="AO677" i="21"/>
  <c r="AQ677" i="21" s="1"/>
  <c r="AO678" i="21"/>
  <c r="AQ678" i="21" s="1"/>
  <c r="AO679" i="21"/>
  <c r="AQ679" i="21" s="1"/>
  <c r="AO680" i="21"/>
  <c r="AQ680" i="21" s="1"/>
  <c r="AO681" i="21"/>
  <c r="AQ681" i="21" s="1"/>
  <c r="AO682" i="21"/>
  <c r="AQ682" i="21" s="1"/>
  <c r="AO683" i="21"/>
  <c r="AQ683" i="21" s="1"/>
  <c r="AO684" i="21"/>
  <c r="AQ684" i="21" s="1"/>
  <c r="AO685" i="21"/>
  <c r="AQ685" i="21" s="1"/>
  <c r="AO686" i="21"/>
  <c r="AQ686" i="21" s="1"/>
  <c r="AO687" i="21"/>
  <c r="AQ687" i="21" s="1"/>
  <c r="AO688" i="21"/>
  <c r="AQ688" i="21" s="1"/>
  <c r="AO689" i="21"/>
  <c r="AQ689" i="21" s="1"/>
  <c r="AO690" i="21"/>
  <c r="AQ690" i="21" s="1"/>
  <c r="AO691" i="21"/>
  <c r="AQ691" i="21" s="1"/>
  <c r="AO692" i="21"/>
  <c r="AQ692" i="21" s="1"/>
  <c r="AO693" i="21"/>
  <c r="AQ693" i="21" s="1"/>
  <c r="AO694" i="21"/>
  <c r="AQ694" i="21" s="1"/>
  <c r="AO695" i="21"/>
  <c r="AQ695" i="21" s="1"/>
  <c r="AO696" i="21"/>
  <c r="AQ696" i="21" s="1"/>
  <c r="AO697" i="21"/>
  <c r="AQ697" i="21" s="1"/>
  <c r="AO698" i="21"/>
  <c r="AQ698" i="21" s="1"/>
  <c r="AO699" i="21"/>
  <c r="AQ699" i="21" s="1"/>
  <c r="AO700" i="21"/>
  <c r="AQ700" i="21" s="1"/>
  <c r="AO701" i="21"/>
  <c r="AQ701" i="21" s="1"/>
  <c r="AO702" i="21"/>
  <c r="AQ702" i="21" s="1"/>
  <c r="AO703" i="21"/>
  <c r="AQ703" i="21" s="1"/>
  <c r="AO704" i="21"/>
  <c r="AQ704" i="21" s="1"/>
  <c r="AO705" i="21"/>
  <c r="AQ705" i="21" s="1"/>
  <c r="AO706" i="21"/>
  <c r="AQ706" i="21" s="1"/>
  <c r="AO707" i="21"/>
  <c r="AQ707" i="21" s="1"/>
  <c r="AO708" i="21"/>
  <c r="AQ708" i="21" s="1"/>
  <c r="AO709" i="21"/>
  <c r="AQ709" i="21" s="1"/>
  <c r="AO710" i="21"/>
  <c r="AQ710" i="21" s="1"/>
  <c r="AO711" i="21"/>
  <c r="AQ711" i="21" s="1"/>
  <c r="AO712" i="21"/>
  <c r="AQ712" i="21" s="1"/>
  <c r="AO713" i="21"/>
  <c r="AQ713" i="21" s="1"/>
  <c r="AO714" i="21"/>
  <c r="AQ714" i="21" s="1"/>
  <c r="AO715" i="21"/>
  <c r="AQ715" i="21" s="1"/>
  <c r="AO716" i="21"/>
  <c r="AQ716" i="21" s="1"/>
  <c r="AO717" i="21"/>
  <c r="AQ717" i="21" s="1"/>
  <c r="AO718" i="21"/>
  <c r="AQ718" i="21" s="1"/>
  <c r="AO719" i="21"/>
  <c r="AQ719" i="21" s="1"/>
  <c r="AO720" i="21"/>
  <c r="AQ720" i="21" s="1"/>
  <c r="AO721" i="21"/>
  <c r="AQ721" i="21" s="1"/>
  <c r="AO722" i="21"/>
  <c r="AQ722" i="21" s="1"/>
  <c r="AO723" i="21"/>
  <c r="AQ723" i="21" s="1"/>
  <c r="AO724" i="21"/>
  <c r="AQ724" i="21" s="1"/>
  <c r="AO725" i="21"/>
  <c r="AQ725" i="21" s="1"/>
  <c r="AO726" i="21"/>
  <c r="AQ726" i="21" s="1"/>
  <c r="AO727" i="21"/>
  <c r="AQ727" i="21" s="1"/>
  <c r="AO728" i="21"/>
  <c r="AQ728" i="21" s="1"/>
  <c r="AO729" i="21"/>
  <c r="AQ729" i="21" s="1"/>
  <c r="AO730" i="21"/>
  <c r="AQ730" i="21" s="1"/>
  <c r="AO731" i="21"/>
  <c r="AQ731" i="21" s="1"/>
  <c r="AO732" i="21"/>
  <c r="AQ732" i="21" s="1"/>
  <c r="AO733" i="21"/>
  <c r="AQ733" i="21" s="1"/>
  <c r="AO734" i="21"/>
  <c r="AQ734" i="21" s="1"/>
  <c r="AO735" i="21"/>
  <c r="AQ735" i="21" s="1"/>
  <c r="AO736" i="21"/>
  <c r="AQ736" i="21" s="1"/>
  <c r="AO737" i="21"/>
  <c r="AQ737" i="21" s="1"/>
  <c r="AO738" i="21"/>
  <c r="AQ738" i="21" s="1"/>
  <c r="AO739" i="21"/>
  <c r="AQ739" i="21" s="1"/>
  <c r="AO740" i="21"/>
  <c r="AQ740" i="21" s="1"/>
  <c r="AO741" i="21"/>
  <c r="AQ741" i="21" s="1"/>
  <c r="AO742" i="21"/>
  <c r="AQ742" i="21" s="1"/>
  <c r="AO743" i="21"/>
  <c r="AQ743" i="21" s="1"/>
  <c r="AO744" i="21"/>
  <c r="AQ744" i="21" s="1"/>
  <c r="AO745" i="21"/>
  <c r="AQ745" i="21" s="1"/>
  <c r="AO746" i="21"/>
  <c r="AQ746" i="21" s="1"/>
  <c r="AO747" i="21"/>
  <c r="AQ747" i="21" s="1"/>
  <c r="AO748" i="21"/>
  <c r="AQ748" i="21" s="1"/>
  <c r="AO749" i="21"/>
  <c r="AQ749" i="21" s="1"/>
  <c r="AO750" i="21"/>
  <c r="AQ750" i="21" s="1"/>
  <c r="AO751" i="21"/>
  <c r="AQ751" i="21" s="1"/>
  <c r="AO752" i="21"/>
  <c r="AQ752" i="21" s="1"/>
  <c r="AO753" i="21"/>
  <c r="AQ753" i="21" s="1"/>
  <c r="AO754" i="21"/>
  <c r="AQ754" i="21" s="1"/>
  <c r="AO755" i="21"/>
  <c r="AQ755" i="21" s="1"/>
  <c r="AO756" i="21"/>
  <c r="AQ756" i="21" s="1"/>
  <c r="AO757" i="21"/>
  <c r="AQ757" i="21" s="1"/>
  <c r="AO758" i="21"/>
  <c r="AQ758" i="21" s="1"/>
  <c r="AO759" i="21"/>
  <c r="AQ759" i="21" s="1"/>
  <c r="AO760" i="21"/>
  <c r="AQ760" i="21" s="1"/>
  <c r="AO761" i="21"/>
  <c r="AQ761" i="21" s="1"/>
  <c r="AO762" i="21"/>
  <c r="AQ762" i="21" s="1"/>
  <c r="AO763" i="21"/>
  <c r="AQ763" i="21" s="1"/>
  <c r="AO764" i="21"/>
  <c r="AQ764" i="21" s="1"/>
  <c r="AO765" i="21"/>
  <c r="AQ765" i="21" s="1"/>
  <c r="AO766" i="21"/>
  <c r="AQ766" i="21" s="1"/>
  <c r="AO767" i="21"/>
  <c r="AQ767" i="21" s="1"/>
  <c r="AO768" i="21"/>
  <c r="AQ768" i="21" s="1"/>
  <c r="AO769" i="21"/>
  <c r="AQ769" i="21" s="1"/>
  <c r="AO770" i="21"/>
  <c r="AQ770" i="21" s="1"/>
  <c r="AO771" i="21"/>
  <c r="AQ771" i="21" s="1"/>
  <c r="AO772" i="21"/>
  <c r="AQ772" i="21" s="1"/>
  <c r="AO773" i="21"/>
  <c r="AQ773" i="21" s="1"/>
  <c r="AO774" i="21"/>
  <c r="AQ774" i="21" s="1"/>
  <c r="AO775" i="21"/>
  <c r="AQ775" i="21" s="1"/>
  <c r="AO776" i="21"/>
  <c r="AQ776" i="21" s="1"/>
  <c r="AO777" i="21"/>
  <c r="AQ777" i="21" s="1"/>
  <c r="AO778" i="21"/>
  <c r="AQ778" i="21" s="1"/>
  <c r="AO779" i="21"/>
  <c r="AQ779" i="21" s="1"/>
  <c r="AO780" i="21"/>
  <c r="AQ780" i="21" s="1"/>
  <c r="AO781" i="21"/>
  <c r="AQ781" i="21" s="1"/>
  <c r="AO782" i="21"/>
  <c r="AQ782" i="21" s="1"/>
  <c r="AO783" i="21"/>
  <c r="AQ783" i="21" s="1"/>
  <c r="AO784" i="21"/>
  <c r="AQ784" i="21" s="1"/>
  <c r="AO785" i="21"/>
  <c r="AQ785" i="21" s="1"/>
  <c r="AO786" i="21"/>
  <c r="AQ786" i="21" s="1"/>
  <c r="AO787" i="21"/>
  <c r="AQ787" i="21" s="1"/>
  <c r="AO788" i="21"/>
  <c r="AQ788" i="21" s="1"/>
  <c r="AO789" i="21"/>
  <c r="AQ789" i="21" s="1"/>
  <c r="AO790" i="21"/>
  <c r="AQ790" i="21" s="1"/>
  <c r="AO791" i="21"/>
  <c r="AQ791" i="21" s="1"/>
  <c r="AO792" i="21"/>
  <c r="AQ792" i="21" s="1"/>
  <c r="AO793" i="21"/>
  <c r="AQ793" i="21" s="1"/>
  <c r="AO794" i="21"/>
  <c r="AQ794" i="21" s="1"/>
  <c r="AO795" i="21"/>
  <c r="AQ795" i="21" s="1"/>
  <c r="AO796" i="21"/>
  <c r="AQ796" i="21" s="1"/>
  <c r="AO797" i="21"/>
  <c r="AQ797" i="21" s="1"/>
  <c r="AO798" i="21"/>
  <c r="AQ798" i="21" s="1"/>
  <c r="AO799" i="21"/>
  <c r="AQ799" i="21" s="1"/>
  <c r="AO800" i="21"/>
  <c r="AQ800" i="21" s="1"/>
  <c r="AO801" i="21"/>
  <c r="AQ801" i="21" s="1"/>
  <c r="AO802" i="21"/>
  <c r="AQ802" i="21" s="1"/>
  <c r="AO803" i="21"/>
  <c r="AQ803" i="21" s="1"/>
  <c r="AO804" i="21"/>
  <c r="AQ804" i="21" s="1"/>
  <c r="AO805" i="21"/>
  <c r="AQ805" i="21" s="1"/>
  <c r="AO806" i="21"/>
  <c r="AQ806" i="21" s="1"/>
  <c r="AO807" i="21"/>
  <c r="AQ807" i="21" s="1"/>
  <c r="AO808" i="21"/>
  <c r="AQ808" i="21" s="1"/>
  <c r="AO809" i="21"/>
  <c r="AQ809" i="21" s="1"/>
  <c r="AO810" i="21"/>
  <c r="AQ810" i="21" s="1"/>
  <c r="AO811" i="21"/>
  <c r="AQ811" i="21" s="1"/>
  <c r="AO812" i="21"/>
  <c r="AQ812" i="21" s="1"/>
  <c r="AO813" i="21"/>
  <c r="AQ813" i="21" s="1"/>
  <c r="AO814" i="21"/>
  <c r="AQ814" i="21" s="1"/>
  <c r="AO815" i="21"/>
  <c r="AQ815" i="21" s="1"/>
  <c r="AO816" i="21"/>
  <c r="AQ816" i="21" s="1"/>
  <c r="AO817" i="21"/>
  <c r="AQ817" i="21" s="1"/>
  <c r="AO818" i="21"/>
  <c r="AQ818" i="21" s="1"/>
  <c r="AO819" i="21"/>
  <c r="AQ819" i="21" s="1"/>
  <c r="AO820" i="21"/>
  <c r="AQ820" i="21" s="1"/>
  <c r="AO821" i="21"/>
  <c r="AQ821" i="21" s="1"/>
  <c r="AO822" i="21"/>
  <c r="AQ822" i="21" s="1"/>
  <c r="AO823" i="21"/>
  <c r="AQ823" i="21" s="1"/>
  <c r="AO824" i="21"/>
  <c r="AQ824" i="21" s="1"/>
  <c r="AO825" i="21"/>
  <c r="AQ825" i="21" s="1"/>
  <c r="AO826" i="21"/>
  <c r="AQ826" i="21" s="1"/>
  <c r="AO827" i="21"/>
  <c r="AQ827" i="21" s="1"/>
  <c r="AO828" i="21"/>
  <c r="AQ828" i="21" s="1"/>
  <c r="AO829" i="21"/>
  <c r="AQ829" i="21" s="1"/>
  <c r="AO830" i="21"/>
  <c r="AQ830" i="21" s="1"/>
  <c r="AO831" i="21"/>
  <c r="AQ831" i="21" s="1"/>
  <c r="AO832" i="21"/>
  <c r="AQ832" i="21" s="1"/>
  <c r="AO833" i="21"/>
  <c r="AQ833" i="21" s="1"/>
  <c r="AO834" i="21"/>
  <c r="AQ834" i="21" s="1"/>
  <c r="AO835" i="21"/>
  <c r="AQ835" i="21" s="1"/>
  <c r="AO836" i="21"/>
  <c r="AQ836" i="21" s="1"/>
  <c r="AO837" i="21"/>
  <c r="AQ837" i="21" s="1"/>
  <c r="AO838" i="21"/>
  <c r="AQ838" i="21" s="1"/>
  <c r="AO839" i="21"/>
  <c r="AQ839" i="21" s="1"/>
  <c r="AO840" i="21"/>
  <c r="AQ840" i="21" s="1"/>
  <c r="AO841" i="21"/>
  <c r="AQ841" i="21" s="1"/>
  <c r="AO842" i="21"/>
  <c r="AQ842" i="21" s="1"/>
  <c r="AO843" i="21"/>
  <c r="AQ843" i="21" s="1"/>
  <c r="AO844" i="21"/>
  <c r="AQ844" i="21" s="1"/>
  <c r="AO845" i="21"/>
  <c r="AQ845" i="21" s="1"/>
  <c r="AO846" i="21"/>
  <c r="AQ846" i="21" s="1"/>
  <c r="AO847" i="21"/>
  <c r="AQ847" i="21" s="1"/>
  <c r="AO848" i="21"/>
  <c r="AQ848" i="21" s="1"/>
  <c r="AO849" i="21"/>
  <c r="AQ849" i="21" s="1"/>
  <c r="AO850" i="21"/>
  <c r="AQ850" i="21" s="1"/>
  <c r="AO851" i="21"/>
  <c r="AQ851" i="21" s="1"/>
  <c r="AO852" i="21"/>
  <c r="AQ852" i="21" s="1"/>
  <c r="AO853" i="21"/>
  <c r="AQ853" i="21" s="1"/>
  <c r="AO854" i="21"/>
  <c r="AQ854" i="21" s="1"/>
  <c r="AO855" i="21"/>
  <c r="AQ855" i="21" s="1"/>
  <c r="AO856" i="21"/>
  <c r="AQ856" i="21" s="1"/>
  <c r="AO857" i="21"/>
  <c r="AQ857" i="21" s="1"/>
  <c r="AO858" i="21"/>
  <c r="AQ858" i="21" s="1"/>
  <c r="AO859" i="21"/>
  <c r="AQ859" i="21" s="1"/>
  <c r="AO860" i="21"/>
  <c r="AQ860" i="21" s="1"/>
  <c r="AO861" i="21"/>
  <c r="AQ861" i="21" s="1"/>
  <c r="AO862" i="21"/>
  <c r="AQ862" i="21" s="1"/>
  <c r="AO863" i="21"/>
  <c r="AQ863" i="21" s="1"/>
  <c r="AO864" i="21"/>
  <c r="AQ864" i="21" s="1"/>
  <c r="AO865" i="21"/>
  <c r="AQ865" i="21" s="1"/>
  <c r="AO866" i="21"/>
  <c r="AQ866" i="21" s="1"/>
  <c r="AO867" i="21"/>
  <c r="AQ867" i="21" s="1"/>
  <c r="AO868" i="21"/>
  <c r="AQ868" i="21" s="1"/>
  <c r="AO869" i="21"/>
  <c r="AQ869" i="21" s="1"/>
  <c r="AO870" i="21"/>
  <c r="AQ870" i="21" s="1"/>
  <c r="AO871" i="21"/>
  <c r="AQ871" i="21" s="1"/>
  <c r="AO872" i="21"/>
  <c r="AQ872" i="21" s="1"/>
  <c r="AO873" i="21"/>
  <c r="AQ873" i="21" s="1"/>
  <c r="AO874" i="21"/>
  <c r="AQ874" i="21" s="1"/>
  <c r="AO875" i="21"/>
  <c r="AQ875" i="21" s="1"/>
  <c r="AO876" i="21"/>
  <c r="AQ876" i="21" s="1"/>
  <c r="AO877" i="21"/>
  <c r="AQ877" i="21" s="1"/>
  <c r="AO878" i="21"/>
  <c r="AQ878" i="21" s="1"/>
  <c r="AO879" i="21"/>
  <c r="AQ879" i="21" s="1"/>
  <c r="AO880" i="21"/>
  <c r="AQ880" i="21" s="1"/>
  <c r="AO881" i="21"/>
  <c r="AQ881" i="21" s="1"/>
  <c r="AO882" i="21"/>
  <c r="AQ882" i="21" s="1"/>
  <c r="AO883" i="21"/>
  <c r="AQ883" i="21" s="1"/>
  <c r="AO884" i="21"/>
  <c r="AQ884" i="21" s="1"/>
  <c r="AO885" i="21"/>
  <c r="AQ885" i="21" s="1"/>
  <c r="AO886" i="21"/>
  <c r="AQ886" i="21" s="1"/>
  <c r="AO887" i="21"/>
  <c r="AQ887" i="21" s="1"/>
  <c r="AO888" i="21"/>
  <c r="AQ888" i="21" s="1"/>
  <c r="AO889" i="21"/>
  <c r="AQ889" i="21" s="1"/>
  <c r="AO890" i="21"/>
  <c r="AQ890" i="21" s="1"/>
  <c r="AO891" i="21"/>
  <c r="AQ891" i="21" s="1"/>
  <c r="AO892" i="21"/>
  <c r="AQ892" i="21" s="1"/>
  <c r="AO893" i="21"/>
  <c r="AQ893" i="21" s="1"/>
  <c r="AO894" i="21"/>
  <c r="AQ894" i="21" s="1"/>
  <c r="AO895" i="21"/>
  <c r="AQ895" i="21" s="1"/>
  <c r="AO896" i="21"/>
  <c r="AQ896" i="21" s="1"/>
  <c r="AO897" i="21"/>
  <c r="AQ897" i="21" s="1"/>
  <c r="AO898" i="21"/>
  <c r="AQ898" i="21" s="1"/>
  <c r="AO899" i="21"/>
  <c r="AQ899" i="21" s="1"/>
  <c r="AO900" i="21"/>
  <c r="AQ900" i="21" s="1"/>
  <c r="AO901" i="21"/>
  <c r="AQ901" i="21" s="1"/>
  <c r="AO902" i="21"/>
  <c r="AQ902" i="21" s="1"/>
  <c r="AO903" i="21"/>
  <c r="AQ903" i="21" s="1"/>
  <c r="AO904" i="21"/>
  <c r="AQ904" i="21" s="1"/>
  <c r="AO905" i="21"/>
  <c r="AQ905" i="21" s="1"/>
  <c r="AO906" i="21"/>
  <c r="AQ906" i="21" s="1"/>
  <c r="AO907" i="21"/>
  <c r="AQ907" i="21" s="1"/>
  <c r="AO908" i="21"/>
  <c r="AQ908" i="21" s="1"/>
  <c r="AO909" i="21"/>
  <c r="AQ909" i="21" s="1"/>
  <c r="AO910" i="21"/>
  <c r="AQ910" i="21" s="1"/>
  <c r="AO911" i="21"/>
  <c r="AQ911" i="21" s="1"/>
  <c r="AO912" i="21"/>
  <c r="AQ912" i="21" s="1"/>
  <c r="AO913" i="21"/>
  <c r="AQ913" i="21" s="1"/>
  <c r="AO914" i="21"/>
  <c r="AQ914" i="21" s="1"/>
  <c r="AO915" i="21"/>
  <c r="AQ915" i="21" s="1"/>
  <c r="AO916" i="21"/>
  <c r="AQ916" i="21" s="1"/>
  <c r="AO917" i="21"/>
  <c r="AQ917" i="21" s="1"/>
  <c r="AO918" i="21"/>
  <c r="AQ918" i="21" s="1"/>
  <c r="AO919" i="21"/>
  <c r="AQ919" i="21" s="1"/>
  <c r="AO920" i="21"/>
  <c r="AQ920" i="21" s="1"/>
  <c r="AO921" i="21"/>
  <c r="AQ921" i="21" s="1"/>
  <c r="AO922" i="21"/>
  <c r="AQ922" i="21" s="1"/>
  <c r="AO923" i="21"/>
  <c r="AQ923" i="21" s="1"/>
  <c r="AO924" i="21"/>
  <c r="AQ924" i="21" s="1"/>
  <c r="AO925" i="21"/>
  <c r="AQ925" i="21" s="1"/>
  <c r="AO926" i="21"/>
  <c r="AQ926" i="21" s="1"/>
  <c r="AO927" i="21"/>
  <c r="AQ927" i="21" s="1"/>
  <c r="AO928" i="21"/>
  <c r="AQ928" i="21" s="1"/>
  <c r="AO929" i="21"/>
  <c r="AQ929" i="21" s="1"/>
  <c r="AO930" i="21"/>
  <c r="AQ930" i="21" s="1"/>
  <c r="AO931" i="21"/>
  <c r="AQ931" i="21" s="1"/>
  <c r="AO932" i="21"/>
  <c r="AQ932" i="21" s="1"/>
  <c r="AO933" i="21"/>
  <c r="AQ933" i="21" s="1"/>
  <c r="AO934" i="21"/>
  <c r="AQ934" i="21" s="1"/>
  <c r="AO935" i="21"/>
  <c r="AQ935" i="21" s="1"/>
  <c r="AO936" i="21"/>
  <c r="AQ936" i="21" s="1"/>
  <c r="AO937" i="21"/>
  <c r="AQ937" i="21" s="1"/>
  <c r="AO938" i="21"/>
  <c r="AQ938" i="21" s="1"/>
  <c r="AO939" i="21"/>
  <c r="AQ939" i="21" s="1"/>
  <c r="AO940" i="21"/>
  <c r="AQ940" i="21" s="1"/>
  <c r="AO941" i="21"/>
  <c r="AQ941" i="21" s="1"/>
  <c r="AO942" i="21"/>
  <c r="AQ942" i="21" s="1"/>
  <c r="AO943" i="21"/>
  <c r="AQ943" i="21" s="1"/>
  <c r="AO944" i="21"/>
  <c r="AQ944" i="21" s="1"/>
  <c r="AO945" i="21"/>
  <c r="AQ945" i="21" s="1"/>
  <c r="AO946" i="21"/>
  <c r="AQ946" i="21" s="1"/>
  <c r="AO947" i="21"/>
  <c r="AQ947" i="21" s="1"/>
  <c r="AO948" i="21"/>
  <c r="AQ948" i="21" s="1"/>
  <c r="AO949" i="21"/>
  <c r="AQ949" i="21" s="1"/>
  <c r="AO950" i="21"/>
  <c r="AQ950" i="21" s="1"/>
  <c r="AO951" i="21"/>
  <c r="AQ951" i="21" s="1"/>
  <c r="AO952" i="21"/>
  <c r="AQ952" i="21" s="1"/>
  <c r="AO953" i="21"/>
  <c r="AQ953" i="21" s="1"/>
  <c r="AO954" i="21"/>
  <c r="AQ954" i="21" s="1"/>
  <c r="AO955" i="21"/>
  <c r="AQ955" i="21" s="1"/>
  <c r="AO956" i="21"/>
  <c r="AQ956" i="21" s="1"/>
  <c r="AO957" i="21"/>
  <c r="AQ957" i="21" s="1"/>
  <c r="AO958" i="21"/>
  <c r="AQ958" i="21" s="1"/>
  <c r="AO959" i="21"/>
  <c r="AQ959" i="21" s="1"/>
  <c r="AO960" i="21"/>
  <c r="AQ960" i="21" s="1"/>
  <c r="AO961" i="21"/>
  <c r="AQ961" i="21" s="1"/>
  <c r="AO962" i="21"/>
  <c r="AQ962" i="21" s="1"/>
  <c r="AO963" i="21"/>
  <c r="AQ963" i="21" s="1"/>
  <c r="AO964" i="21"/>
  <c r="AQ964" i="21" s="1"/>
  <c r="AO965" i="21"/>
  <c r="AQ965" i="21" s="1"/>
  <c r="AO966" i="21"/>
  <c r="AQ966" i="21" s="1"/>
  <c r="AO967" i="21"/>
  <c r="AQ967" i="21" s="1"/>
  <c r="AO968" i="21"/>
  <c r="AQ968" i="21" s="1"/>
  <c r="AO969" i="21"/>
  <c r="AQ969" i="21" s="1"/>
  <c r="AO970" i="21"/>
  <c r="AQ970" i="21" s="1"/>
  <c r="AO971" i="21"/>
  <c r="AQ971" i="21" s="1"/>
  <c r="AO972" i="21"/>
  <c r="AQ972" i="21" s="1"/>
  <c r="AO973" i="21"/>
  <c r="AQ973" i="21" s="1"/>
  <c r="AO974" i="21"/>
  <c r="AQ974" i="21" s="1"/>
  <c r="AO975" i="21"/>
  <c r="AQ975" i="21" s="1"/>
  <c r="AO976" i="21"/>
  <c r="AQ976" i="21" s="1"/>
  <c r="AO977" i="21"/>
  <c r="AQ977" i="21" s="1"/>
  <c r="AO978" i="21"/>
  <c r="AQ978" i="21" s="1"/>
  <c r="AO979" i="21"/>
  <c r="AQ979" i="21" s="1"/>
  <c r="AO980" i="21"/>
  <c r="AQ980" i="21" s="1"/>
  <c r="AO981" i="21"/>
  <c r="AQ981" i="21" s="1"/>
  <c r="AO982" i="21"/>
  <c r="AQ982" i="21" s="1"/>
  <c r="AO983" i="21"/>
  <c r="AQ983" i="21" s="1"/>
  <c r="AO984" i="21"/>
  <c r="AQ984" i="21" s="1"/>
  <c r="AO985" i="21"/>
  <c r="AQ985" i="21" s="1"/>
  <c r="AO986" i="21"/>
  <c r="AQ986" i="21" s="1"/>
  <c r="AO987" i="21"/>
  <c r="AQ987" i="21" s="1"/>
  <c r="AO988" i="21"/>
  <c r="AQ988" i="21" s="1"/>
  <c r="AO989" i="21"/>
  <c r="AQ989" i="21" s="1"/>
  <c r="AO990" i="21"/>
  <c r="AQ990" i="21" s="1"/>
  <c r="AO991" i="21"/>
  <c r="AQ991" i="21" s="1"/>
  <c r="AO992" i="21"/>
  <c r="AQ992" i="21" s="1"/>
  <c r="AO993" i="21"/>
  <c r="AQ993" i="21" s="1"/>
  <c r="AO994" i="21"/>
  <c r="AQ994" i="21" s="1"/>
  <c r="AO995" i="21"/>
  <c r="AQ995" i="21" s="1"/>
  <c r="AO996" i="21"/>
  <c r="AQ996" i="21" s="1"/>
  <c r="AO997" i="21"/>
  <c r="AQ997" i="21" s="1"/>
  <c r="AO998" i="21"/>
  <c r="AQ998" i="21" s="1"/>
  <c r="AO999" i="21"/>
  <c r="AQ999" i="21" s="1"/>
  <c r="AO1000" i="21"/>
  <c r="AQ1000" i="21" s="1"/>
  <c r="AO1001" i="21"/>
  <c r="AQ1001" i="21" s="1"/>
  <c r="AO1002" i="21"/>
  <c r="AQ1002" i="21" s="1"/>
  <c r="AO1003" i="21"/>
  <c r="AQ1003" i="21" s="1"/>
  <c r="AO1004" i="21"/>
  <c r="AQ1004" i="21" s="1"/>
  <c r="AO1005" i="21"/>
  <c r="AQ1005" i="21" s="1"/>
  <c r="AO1006" i="21"/>
  <c r="AQ1006" i="21" s="1"/>
  <c r="AO1007" i="21"/>
  <c r="AQ1007" i="21" s="1"/>
  <c r="AO1008" i="21"/>
  <c r="AQ1008" i="21" s="1"/>
  <c r="AO1009" i="21"/>
  <c r="AQ1009" i="21" s="1"/>
  <c r="AO1010" i="21"/>
  <c r="AQ1010" i="21" s="1"/>
  <c r="AO1011" i="21"/>
  <c r="AQ1011" i="21" s="1"/>
  <c r="AO1012" i="21"/>
  <c r="AQ1012" i="21" s="1"/>
  <c r="AO1013" i="21"/>
  <c r="AQ1013" i="21" s="1"/>
  <c r="AO1014" i="21"/>
  <c r="AQ1014" i="21" s="1"/>
  <c r="AO1015" i="21"/>
  <c r="AQ1015" i="21" s="1"/>
  <c r="AO1016" i="21"/>
  <c r="AQ1016" i="21" s="1"/>
  <c r="AO1017" i="21"/>
  <c r="AQ1017" i="21" s="1"/>
  <c r="AO1018" i="21"/>
  <c r="AQ1018" i="21" s="1"/>
  <c r="AO1019" i="21"/>
  <c r="AQ1019" i="21" s="1"/>
  <c r="AO1020" i="21"/>
  <c r="AQ1020" i="21" s="1"/>
  <c r="AO1021" i="21"/>
  <c r="AQ1021" i="21" s="1"/>
  <c r="AO1022" i="21"/>
  <c r="AQ1022" i="21" s="1"/>
  <c r="AO1023" i="21"/>
  <c r="AQ1023" i="21" s="1"/>
  <c r="AO1024" i="21"/>
  <c r="AQ1024" i="21" s="1"/>
  <c r="AO1025" i="21"/>
  <c r="AQ1025" i="21" s="1"/>
  <c r="AO1026" i="21"/>
  <c r="AQ1026" i="21" s="1"/>
  <c r="AO1027" i="21"/>
  <c r="AQ1027" i="21" s="1"/>
  <c r="AO1028" i="21"/>
  <c r="AQ1028" i="21" s="1"/>
  <c r="AO1029" i="21"/>
  <c r="AQ1029" i="21" s="1"/>
  <c r="AO1030" i="21"/>
  <c r="AQ1030" i="21" s="1"/>
  <c r="AO1031" i="21"/>
  <c r="AQ1031" i="21" s="1"/>
  <c r="AO1032" i="21"/>
  <c r="AQ1032" i="21" s="1"/>
  <c r="AO1033" i="21"/>
  <c r="AQ1033" i="21" s="1"/>
  <c r="AO1034" i="21"/>
  <c r="AQ1034" i="21" s="1"/>
  <c r="AO1035" i="21"/>
  <c r="AQ1035" i="21" s="1"/>
  <c r="AO1036" i="21"/>
  <c r="AQ1036" i="21" s="1"/>
  <c r="AO1037" i="21"/>
  <c r="AQ1037" i="21" s="1"/>
  <c r="AO1038" i="21"/>
  <c r="AQ1038" i="21" s="1"/>
  <c r="AO1039" i="21"/>
  <c r="AQ1039" i="21" s="1"/>
  <c r="AO1040" i="21"/>
  <c r="AQ1040" i="21" s="1"/>
  <c r="AO1041" i="21"/>
  <c r="AQ1041" i="21" s="1"/>
  <c r="AO1042" i="21"/>
  <c r="AQ1042" i="21" s="1"/>
  <c r="AO1043" i="21"/>
  <c r="AQ1043" i="21" s="1"/>
  <c r="AO1044" i="21"/>
  <c r="AQ1044" i="21" s="1"/>
  <c r="AO1045" i="21"/>
  <c r="AQ1045" i="21" s="1"/>
  <c r="AO1046" i="21"/>
  <c r="AQ1046" i="21" s="1"/>
  <c r="AO1047" i="21"/>
  <c r="AQ1047" i="21" s="1"/>
  <c r="AO1048" i="21"/>
  <c r="AQ1048" i="21" s="1"/>
  <c r="AO1049" i="21"/>
  <c r="AQ1049" i="21" s="1"/>
  <c r="AO1050" i="21"/>
  <c r="AQ1050" i="21" s="1"/>
  <c r="AO1051" i="21"/>
  <c r="AQ1051" i="21" s="1"/>
  <c r="AO1052" i="21"/>
  <c r="AQ1052" i="21" s="1"/>
  <c r="AO1053" i="21"/>
  <c r="AQ1053" i="21" s="1"/>
  <c r="AO1054" i="21"/>
  <c r="AQ1054" i="21" s="1"/>
  <c r="AO1055" i="21"/>
  <c r="AQ1055" i="21" s="1"/>
  <c r="AO1056" i="21"/>
  <c r="AQ1056" i="21" s="1"/>
  <c r="AO1057" i="21"/>
  <c r="AQ1057" i="21" s="1"/>
  <c r="AO1058" i="21"/>
  <c r="AQ1058" i="21" s="1"/>
  <c r="AO1059" i="21"/>
  <c r="AQ1059" i="21" s="1"/>
  <c r="AO1060" i="21"/>
  <c r="AQ1060" i="21" s="1"/>
  <c r="AO1061" i="21"/>
  <c r="AQ1061" i="21" s="1"/>
  <c r="AO1062" i="21"/>
  <c r="AQ1062" i="21" s="1"/>
  <c r="AO1063" i="21"/>
  <c r="AQ1063" i="21" s="1"/>
  <c r="AO1064" i="21"/>
  <c r="AQ1064" i="21" s="1"/>
  <c r="AO1065" i="21"/>
  <c r="AQ1065" i="21" s="1"/>
  <c r="AO1066" i="21"/>
  <c r="AQ1066" i="21" s="1"/>
  <c r="AO1067" i="21"/>
  <c r="AQ1067" i="21" s="1"/>
  <c r="AO1068" i="21"/>
  <c r="AQ1068" i="21" s="1"/>
  <c r="AO1069" i="21"/>
  <c r="AQ1069" i="21" s="1"/>
  <c r="AO1070" i="21"/>
  <c r="AQ1070" i="21" s="1"/>
  <c r="AO1071" i="21"/>
  <c r="AQ1071" i="21" s="1"/>
  <c r="AO1072" i="21"/>
  <c r="AQ1072" i="21" s="1"/>
  <c r="AO1073" i="21"/>
  <c r="AQ1073" i="21" s="1"/>
  <c r="AO1074" i="21"/>
  <c r="AQ1074" i="21" s="1"/>
  <c r="AO1075" i="21"/>
  <c r="AQ1075" i="21" s="1"/>
  <c r="AO1076" i="21"/>
  <c r="AQ1076" i="21" s="1"/>
  <c r="AO1077" i="21"/>
  <c r="AQ1077" i="21" s="1"/>
  <c r="AO1078" i="21"/>
  <c r="AQ1078" i="21" s="1"/>
  <c r="AO1079" i="21"/>
  <c r="AQ1079" i="21" s="1"/>
  <c r="AO1080" i="21"/>
  <c r="AQ1080" i="21" s="1"/>
  <c r="AO1081" i="21"/>
  <c r="AQ1081" i="21" s="1"/>
  <c r="AO1082" i="21"/>
  <c r="AQ1082" i="21" s="1"/>
  <c r="AO1083" i="21"/>
  <c r="AQ1083" i="21" s="1"/>
  <c r="AO1084" i="21"/>
  <c r="AQ1084" i="21" s="1"/>
  <c r="AO1085" i="21"/>
  <c r="AQ1085" i="21" s="1"/>
  <c r="AO1086" i="21"/>
  <c r="AQ1086" i="21" s="1"/>
  <c r="AO1087" i="21"/>
  <c r="AQ1087" i="21" s="1"/>
  <c r="AO1088" i="21"/>
  <c r="AQ1088" i="21" s="1"/>
  <c r="AO1089" i="21"/>
  <c r="AQ1089" i="21" s="1"/>
  <c r="AO1090" i="21"/>
  <c r="AQ1090" i="21" s="1"/>
  <c r="AO1091" i="21"/>
  <c r="AQ1091" i="21" s="1"/>
  <c r="AO1092" i="21"/>
  <c r="AQ1092" i="21" s="1"/>
  <c r="AO1093" i="21"/>
  <c r="AQ1093" i="21" s="1"/>
  <c r="AO1094" i="21"/>
  <c r="AQ1094" i="21" s="1"/>
  <c r="AO1095" i="21"/>
  <c r="AQ1095" i="21" s="1"/>
  <c r="AO1096" i="21"/>
  <c r="AQ1096" i="21" s="1"/>
  <c r="AO1097" i="21"/>
  <c r="AQ1097" i="21" s="1"/>
  <c r="AO1098" i="21"/>
  <c r="AQ1098" i="21" s="1"/>
  <c r="AO1099" i="21"/>
  <c r="AQ1099" i="21" s="1"/>
  <c r="AO1100" i="21"/>
  <c r="AQ1100" i="21" s="1"/>
  <c r="AO1101" i="21"/>
  <c r="AQ1101" i="21" s="1"/>
  <c r="AO1102" i="21"/>
  <c r="AQ1102" i="21" s="1"/>
  <c r="AO1103" i="21"/>
  <c r="AQ1103" i="21" s="1"/>
  <c r="AO1104" i="21"/>
  <c r="AQ1104" i="21" s="1"/>
  <c r="AO1105" i="21"/>
  <c r="AQ1105" i="21" s="1"/>
  <c r="AO1106" i="21"/>
  <c r="AQ1106" i="21" s="1"/>
  <c r="AO1107" i="21"/>
  <c r="AQ1107" i="21" s="1"/>
  <c r="AO1108" i="21"/>
  <c r="AQ1108" i="21" s="1"/>
  <c r="AO1109" i="21"/>
  <c r="AQ1109" i="21" s="1"/>
  <c r="AO1110" i="21"/>
  <c r="AQ1110" i="21" s="1"/>
  <c r="AO1111" i="21"/>
  <c r="AQ1111" i="21" s="1"/>
  <c r="AO1112" i="21"/>
  <c r="AQ1112" i="21" s="1"/>
  <c r="AO1113" i="21"/>
  <c r="AQ1113" i="21" s="1"/>
  <c r="AO1114" i="21"/>
  <c r="AQ1114" i="21" s="1"/>
  <c r="AO1115" i="21"/>
  <c r="AQ1115" i="21" s="1"/>
  <c r="AO1116" i="21"/>
  <c r="AQ1116" i="21" s="1"/>
  <c r="AO1117" i="21"/>
  <c r="AQ1117" i="21" s="1"/>
  <c r="AO1118" i="21"/>
  <c r="AQ1118" i="21" s="1"/>
  <c r="AO1119" i="21"/>
  <c r="AQ1119" i="21" s="1"/>
  <c r="AO1120" i="21"/>
  <c r="AQ1120" i="21" s="1"/>
  <c r="AO1121" i="21"/>
  <c r="AQ1121" i="21" s="1"/>
  <c r="AO1122" i="21"/>
  <c r="AQ1122" i="21" s="1"/>
  <c r="AO1123" i="21"/>
  <c r="AQ1123" i="21" s="1"/>
  <c r="AO1124" i="21"/>
  <c r="AQ1124" i="21" s="1"/>
  <c r="AO1125" i="21"/>
  <c r="AQ1125" i="21" s="1"/>
  <c r="AO1126" i="21"/>
  <c r="AQ1126" i="21" s="1"/>
  <c r="AO1127" i="21"/>
  <c r="AQ1127" i="21" s="1"/>
  <c r="AO1128" i="21"/>
  <c r="AQ1128" i="21" s="1"/>
  <c r="AO1129" i="21"/>
  <c r="AQ1129" i="21" s="1"/>
  <c r="AO2" i="21"/>
  <c r="AQ2" i="21" s="1"/>
  <c r="H23" i="24"/>
  <c r="I23" i="24"/>
  <c r="K45" i="24"/>
  <c r="H45" i="24"/>
  <c r="J45" i="24" s="1"/>
  <c r="T45" i="24"/>
  <c r="R45" i="24"/>
  <c r="Q45" i="24"/>
  <c r="H4" i="24"/>
  <c r="P4" i="24" s="1"/>
  <c r="H9" i="24"/>
  <c r="S9" i="24" s="1"/>
  <c r="H16" i="24"/>
  <c r="P16" i="24" s="1"/>
  <c r="H18" i="24"/>
  <c r="S18" i="24" s="1"/>
  <c r="P23" i="24"/>
  <c r="H28" i="24"/>
  <c r="P28" i="24" s="1"/>
  <c r="H32" i="24"/>
  <c r="P32" i="24" s="1"/>
  <c r="H33" i="24"/>
  <c r="P33" i="24" s="1"/>
  <c r="H42" i="24"/>
  <c r="P42" i="24" s="1"/>
  <c r="AF2" i="21" l="1"/>
  <c r="AF1128" i="21"/>
  <c r="AS1128" i="21"/>
  <c r="AF1120" i="21"/>
  <c r="AS1120" i="21"/>
  <c r="AF1112" i="21"/>
  <c r="AS1112" i="21"/>
  <c r="AF1104" i="21"/>
  <c r="AS1104" i="21"/>
  <c r="AF1096" i="21"/>
  <c r="AS1096" i="21"/>
  <c r="AF1088" i="21"/>
  <c r="AS1088" i="21"/>
  <c r="AF1080" i="21"/>
  <c r="AS1080" i="21"/>
  <c r="AF1072" i="21"/>
  <c r="AS1072" i="21"/>
  <c r="AF1064" i="21"/>
  <c r="AS1064" i="21"/>
  <c r="AF1056" i="21"/>
  <c r="AS1056" i="21"/>
  <c r="AF1048" i="21"/>
  <c r="AS1048" i="21"/>
  <c r="AF1040" i="21"/>
  <c r="AS1040" i="21"/>
  <c r="AF1032" i="21"/>
  <c r="AS1032" i="21"/>
  <c r="AF1024" i="21"/>
  <c r="AS1024" i="21"/>
  <c r="AF1016" i="21"/>
  <c r="AS1016" i="21"/>
  <c r="AF1008" i="21"/>
  <c r="AS1008" i="21"/>
  <c r="AF1000" i="21"/>
  <c r="AS1000" i="21"/>
  <c r="AF992" i="21"/>
  <c r="AS992" i="21"/>
  <c r="AF984" i="21"/>
  <c r="AS984" i="21"/>
  <c r="AF976" i="21"/>
  <c r="AS976" i="21"/>
  <c r="AF968" i="21"/>
  <c r="AS968" i="21"/>
  <c r="AF960" i="21"/>
  <c r="AS960" i="21"/>
  <c r="AF952" i="21"/>
  <c r="AS952" i="21"/>
  <c r="AF944" i="21"/>
  <c r="AS944" i="21"/>
  <c r="AF1127" i="21"/>
  <c r="AS1127" i="21"/>
  <c r="AF1119" i="21"/>
  <c r="AS1119" i="21"/>
  <c r="AF1111" i="21"/>
  <c r="AS1111" i="21"/>
  <c r="AF1103" i="21"/>
  <c r="AS1103" i="21"/>
  <c r="AF1095" i="21"/>
  <c r="AS1095" i="21"/>
  <c r="AF1087" i="21"/>
  <c r="AS1087" i="21"/>
  <c r="AF1079" i="21"/>
  <c r="AS1079" i="21"/>
  <c r="AF1071" i="21"/>
  <c r="AS1071" i="21"/>
  <c r="AF1063" i="21"/>
  <c r="AS1063" i="21"/>
  <c r="AF1055" i="21"/>
  <c r="AS1055" i="21"/>
  <c r="AF1047" i="21"/>
  <c r="AS1047" i="21"/>
  <c r="AF1039" i="21"/>
  <c r="AS1039" i="21"/>
  <c r="AF1031" i="21"/>
  <c r="AS1031" i="21"/>
  <c r="AF1023" i="21"/>
  <c r="AS1023" i="21"/>
  <c r="AF1015" i="21"/>
  <c r="AS1015" i="21"/>
  <c r="AF1007" i="21"/>
  <c r="AS1007" i="21"/>
  <c r="AF999" i="21"/>
  <c r="AS999" i="21"/>
  <c r="AF991" i="21"/>
  <c r="AS991" i="21"/>
  <c r="AF983" i="21"/>
  <c r="AS983" i="21"/>
  <c r="AF975" i="21"/>
  <c r="AS975" i="21"/>
  <c r="AF967" i="21"/>
  <c r="AS967" i="21"/>
  <c r="AF959" i="21"/>
  <c r="AS959" i="21"/>
  <c r="AF951" i="21"/>
  <c r="AS951" i="21"/>
  <c r="AF943" i="21"/>
  <c r="AS943" i="21"/>
  <c r="AF935" i="21"/>
  <c r="AS935" i="21"/>
  <c r="AF927" i="21"/>
  <c r="AS927" i="21"/>
  <c r="AF919" i="21"/>
  <c r="AS919" i="21"/>
  <c r="AF911" i="21"/>
  <c r="AS911" i="21"/>
  <c r="AF903" i="21"/>
  <c r="AS903" i="21"/>
  <c r="AF895" i="21"/>
  <c r="AS895" i="21"/>
  <c r="AF887" i="21"/>
  <c r="AS887" i="21"/>
  <c r="AF879" i="21"/>
  <c r="AS879" i="21"/>
  <c r="AF871" i="21"/>
  <c r="AS871" i="21"/>
  <c r="AF863" i="21"/>
  <c r="AS863" i="21"/>
  <c r="AF855" i="21"/>
  <c r="AS855" i="21"/>
  <c r="AF847" i="21"/>
  <c r="AS847" i="21"/>
  <c r="AF839" i="21"/>
  <c r="AS839" i="21"/>
  <c r="AF831" i="21"/>
  <c r="AS831" i="21"/>
  <c r="AF823" i="21"/>
  <c r="AS823" i="21"/>
  <c r="AF815" i="21"/>
  <c r="AS815" i="21"/>
  <c r="AF807" i="21"/>
  <c r="AS807" i="21"/>
  <c r="AF799" i="21"/>
  <c r="AS799" i="21"/>
  <c r="AF791" i="21"/>
  <c r="AS791" i="21"/>
  <c r="AF783" i="21"/>
  <c r="AS783" i="21"/>
  <c r="AF775" i="21"/>
  <c r="AS775" i="21"/>
  <c r="AF767" i="21"/>
  <c r="AS767" i="21"/>
  <c r="AF759" i="21"/>
  <c r="AS759" i="21"/>
  <c r="AF751" i="21"/>
  <c r="AS751" i="21"/>
  <c r="AF743" i="21"/>
  <c r="AS743" i="21"/>
  <c r="AF735" i="21"/>
  <c r="AS735" i="21"/>
  <c r="AF727" i="21"/>
  <c r="AS727" i="21"/>
  <c r="AF719" i="21"/>
  <c r="AS719" i="21"/>
  <c r="AF711" i="21"/>
  <c r="AS711" i="21"/>
  <c r="AF703" i="21"/>
  <c r="AS703" i="21"/>
  <c r="AF695" i="21"/>
  <c r="AS695" i="21"/>
  <c r="AF687" i="21"/>
  <c r="AS687" i="21"/>
  <c r="AF679" i="21"/>
  <c r="AS679" i="21"/>
  <c r="AF671" i="21"/>
  <c r="AS671" i="21"/>
  <c r="AF663" i="21"/>
  <c r="AS663" i="21"/>
  <c r="AF655" i="21"/>
  <c r="AS655" i="21"/>
  <c r="AF647" i="21"/>
  <c r="AS647" i="21"/>
  <c r="AF639" i="21"/>
  <c r="AS639" i="21"/>
  <c r="AF631" i="21"/>
  <c r="AS631" i="21"/>
  <c r="AF623" i="21"/>
  <c r="AS623" i="21"/>
  <c r="AF615" i="21"/>
  <c r="AS615" i="21"/>
  <c r="AF607" i="21"/>
  <c r="AS607" i="21"/>
  <c r="AF599" i="21"/>
  <c r="AS599" i="21"/>
  <c r="AF591" i="21"/>
  <c r="AS591" i="21"/>
  <c r="AF583" i="21"/>
  <c r="AS583" i="21"/>
  <c r="AF575" i="21"/>
  <c r="AS575" i="21"/>
  <c r="AF567" i="21"/>
  <c r="AS567" i="21"/>
  <c r="AF559" i="21"/>
  <c r="AS559" i="21"/>
  <c r="AF551" i="21"/>
  <c r="AS551" i="21"/>
  <c r="AF543" i="21"/>
  <c r="AS543" i="21"/>
  <c r="AF535" i="21"/>
  <c r="AS535" i="21"/>
  <c r="AF527" i="21"/>
  <c r="AS527" i="21"/>
  <c r="AF519" i="21"/>
  <c r="AS519" i="21"/>
  <c r="AF1126" i="21"/>
  <c r="AS1126" i="21"/>
  <c r="AF1118" i="21"/>
  <c r="AS1118" i="21"/>
  <c r="AF1110" i="21"/>
  <c r="AS1110" i="21"/>
  <c r="AF1102" i="21"/>
  <c r="AS1102" i="21"/>
  <c r="AF1094" i="21"/>
  <c r="AS1094" i="21"/>
  <c r="AF1086" i="21"/>
  <c r="AS1086" i="21"/>
  <c r="AF1078" i="21"/>
  <c r="AS1078" i="21"/>
  <c r="AF1070" i="21"/>
  <c r="AS1070" i="21"/>
  <c r="AF1062" i="21"/>
  <c r="AS1062" i="21"/>
  <c r="AF1054" i="21"/>
  <c r="AS1054" i="21"/>
  <c r="AF1046" i="21"/>
  <c r="AS1046" i="21"/>
  <c r="AF1038" i="21"/>
  <c r="AS1038" i="21"/>
  <c r="AF1030" i="21"/>
  <c r="AS1030" i="21"/>
  <c r="AF1022" i="21"/>
  <c r="AS1022" i="21"/>
  <c r="AF1014" i="21"/>
  <c r="AS1014" i="21"/>
  <c r="AF1006" i="21"/>
  <c r="AS1006" i="21"/>
  <c r="AF998" i="21"/>
  <c r="AS998" i="21"/>
  <c r="AF990" i="21"/>
  <c r="AS990" i="21"/>
  <c r="AF982" i="21"/>
  <c r="AS982" i="21"/>
  <c r="AF974" i="21"/>
  <c r="AS974" i="21"/>
  <c r="AF966" i="21"/>
  <c r="AS966" i="21"/>
  <c r="AF958" i="21"/>
  <c r="AS958" i="21"/>
  <c r="AF950" i="21"/>
  <c r="AS950" i="21"/>
  <c r="AF942" i="21"/>
  <c r="AS942" i="21"/>
  <c r="AF934" i="21"/>
  <c r="AS934" i="21"/>
  <c r="AF926" i="21"/>
  <c r="AS926" i="21"/>
  <c r="AF918" i="21"/>
  <c r="AS918" i="21"/>
  <c r="AF910" i="21"/>
  <c r="AS910" i="21"/>
  <c r="AF902" i="21"/>
  <c r="AS902" i="21"/>
  <c r="AF894" i="21"/>
  <c r="AS894" i="21"/>
  <c r="AF886" i="21"/>
  <c r="AS886" i="21"/>
  <c r="AF878" i="21"/>
  <c r="AS878" i="21"/>
  <c r="AF870" i="21"/>
  <c r="AS870" i="21"/>
  <c r="AF862" i="21"/>
  <c r="AS862" i="21"/>
  <c r="AF854" i="21"/>
  <c r="AS854" i="21"/>
  <c r="AF846" i="21"/>
  <c r="AS846" i="21"/>
  <c r="AF838" i="21"/>
  <c r="AS838" i="21"/>
  <c r="AF830" i="21"/>
  <c r="AS830" i="21"/>
  <c r="AF822" i="21"/>
  <c r="AS822" i="21"/>
  <c r="AF814" i="21"/>
  <c r="AS814" i="21"/>
  <c r="AF806" i="21"/>
  <c r="AS806" i="21"/>
  <c r="AF798" i="21"/>
  <c r="AS798" i="21"/>
  <c r="AF790" i="21"/>
  <c r="AS790" i="21"/>
  <c r="AF782" i="21"/>
  <c r="AS782" i="21"/>
  <c r="AF774" i="21"/>
  <c r="AS774" i="21"/>
  <c r="AF766" i="21"/>
  <c r="AS766" i="21"/>
  <c r="AF758" i="21"/>
  <c r="AS758" i="21"/>
  <c r="AF750" i="21"/>
  <c r="AS750" i="21"/>
  <c r="AF742" i="21"/>
  <c r="AS742" i="21"/>
  <c r="AF734" i="21"/>
  <c r="AS734" i="21"/>
  <c r="AF726" i="21"/>
  <c r="AS726" i="21"/>
  <c r="AF718" i="21"/>
  <c r="AS718" i="21"/>
  <c r="AF710" i="21"/>
  <c r="AS710" i="21"/>
  <c r="AF702" i="21"/>
  <c r="AS702" i="21"/>
  <c r="AF694" i="21"/>
  <c r="AS694" i="21"/>
  <c r="AF686" i="21"/>
  <c r="AS686" i="21"/>
  <c r="AF678" i="21"/>
  <c r="AS678" i="21"/>
  <c r="AF670" i="21"/>
  <c r="AS670" i="21"/>
  <c r="AF662" i="21"/>
  <c r="AS662" i="21"/>
  <c r="AF1125" i="21"/>
  <c r="AS1125" i="21"/>
  <c r="AF1117" i="21"/>
  <c r="AS1117" i="21"/>
  <c r="AF1109" i="21"/>
  <c r="AS1109" i="21"/>
  <c r="AF1101" i="21"/>
  <c r="AS1101" i="21"/>
  <c r="AF1093" i="21"/>
  <c r="AS1093" i="21"/>
  <c r="AF1085" i="21"/>
  <c r="AS1085" i="21"/>
  <c r="AF1077" i="21"/>
  <c r="AS1077" i="21"/>
  <c r="AF1069" i="21"/>
  <c r="AS1069" i="21"/>
  <c r="AF1061" i="21"/>
  <c r="AS1061" i="21"/>
  <c r="AF1053" i="21"/>
  <c r="AS1053" i="21"/>
  <c r="AF1045" i="21"/>
  <c r="AS1045" i="21"/>
  <c r="AF1037" i="21"/>
  <c r="AS1037" i="21"/>
  <c r="AF1029" i="21"/>
  <c r="AS1029" i="21"/>
  <c r="AF1021" i="21"/>
  <c r="AS1021" i="21"/>
  <c r="AF1013" i="21"/>
  <c r="AS1013" i="21"/>
  <c r="AF1005" i="21"/>
  <c r="AS1005" i="21"/>
  <c r="AF997" i="21"/>
  <c r="AS997" i="21"/>
  <c r="AF989" i="21"/>
  <c r="AS989" i="21"/>
  <c r="AF981" i="21"/>
  <c r="AS981" i="21"/>
  <c r="AF973" i="21"/>
  <c r="AS973" i="21"/>
  <c r="AF965" i="21"/>
  <c r="AS965" i="21"/>
  <c r="AF957" i="21"/>
  <c r="AS957" i="21"/>
  <c r="AF949" i="21"/>
  <c r="AS949" i="21"/>
  <c r="AF941" i="21"/>
  <c r="AS941" i="21"/>
  <c r="AF933" i="21"/>
  <c r="AS933" i="21"/>
  <c r="AF925" i="21"/>
  <c r="AS925" i="21"/>
  <c r="AF917" i="21"/>
  <c r="AS917" i="21"/>
  <c r="AF909" i="21"/>
  <c r="AS909" i="21"/>
  <c r="AF901" i="21"/>
  <c r="AS901" i="21"/>
  <c r="AF893" i="21"/>
  <c r="AS893" i="21"/>
  <c r="AF885" i="21"/>
  <c r="AS885" i="21"/>
  <c r="AF877" i="21"/>
  <c r="AS877" i="21"/>
  <c r="AF869" i="21"/>
  <c r="AS869" i="21"/>
  <c r="AF861" i="21"/>
  <c r="AS861" i="21"/>
  <c r="AF853" i="21"/>
  <c r="AS853" i="21"/>
  <c r="AF845" i="21"/>
  <c r="AS845" i="21"/>
  <c r="AF837" i="21"/>
  <c r="AS837" i="21"/>
  <c r="AF829" i="21"/>
  <c r="AS829" i="21"/>
  <c r="AF821" i="21"/>
  <c r="AS821" i="21"/>
  <c r="AF813" i="21"/>
  <c r="AS813" i="21"/>
  <c r="AF805" i="21"/>
  <c r="AS805" i="21"/>
  <c r="AF797" i="21"/>
  <c r="AS797" i="21"/>
  <c r="AF789" i="21"/>
  <c r="AS789" i="21"/>
  <c r="AF781" i="21"/>
  <c r="AS781" i="21"/>
  <c r="AF773" i="21"/>
  <c r="AS773" i="21"/>
  <c r="AF765" i="21"/>
  <c r="AS765" i="21"/>
  <c r="AF757" i="21"/>
  <c r="AS757" i="21"/>
  <c r="AF749" i="21"/>
  <c r="AS749" i="21"/>
  <c r="AF741" i="21"/>
  <c r="AS741" i="21"/>
  <c r="AF733" i="21"/>
  <c r="AS733" i="21"/>
  <c r="AF725" i="21"/>
  <c r="AS725" i="21"/>
  <c r="AF717" i="21"/>
  <c r="AS717" i="21"/>
  <c r="AF709" i="21"/>
  <c r="AS709" i="21"/>
  <c r="AF701" i="21"/>
  <c r="AS701" i="21"/>
  <c r="AF693" i="21"/>
  <c r="AS693" i="21"/>
  <c r="AF685" i="21"/>
  <c r="AS685" i="21"/>
  <c r="AF677" i="21"/>
  <c r="AS677" i="21"/>
  <c r="AF669" i="21"/>
  <c r="AS669" i="21"/>
  <c r="AF661" i="21"/>
  <c r="AS661" i="21"/>
  <c r="AF653" i="21"/>
  <c r="AS653" i="21"/>
  <c r="AF645" i="21"/>
  <c r="AS645" i="21"/>
  <c r="AS637" i="21"/>
  <c r="AF629" i="21"/>
  <c r="AS629" i="21"/>
  <c r="AF621" i="21"/>
  <c r="AS621" i="21"/>
  <c r="AF613" i="21"/>
  <c r="AS613" i="21"/>
  <c r="AF605" i="21"/>
  <c r="AS605" i="21"/>
  <c r="AF597" i="21"/>
  <c r="AS597" i="21"/>
  <c r="AF589" i="21"/>
  <c r="AS589" i="21"/>
  <c r="AF581" i="21"/>
  <c r="AS581" i="21"/>
  <c r="AF573" i="21"/>
  <c r="AS573" i="21"/>
  <c r="AF565" i="21"/>
  <c r="AS565" i="21"/>
  <c r="AF557" i="21"/>
  <c r="AS557" i="21"/>
  <c r="AF1124" i="21"/>
  <c r="AS1124" i="21"/>
  <c r="AF1116" i="21"/>
  <c r="AS1116" i="21"/>
  <c r="AF1108" i="21"/>
  <c r="AS1108" i="21"/>
  <c r="AF1100" i="21"/>
  <c r="AS1100" i="21"/>
  <c r="AF1092" i="21"/>
  <c r="AS1092" i="21"/>
  <c r="AF1084" i="21"/>
  <c r="AS1084" i="21"/>
  <c r="AF1076" i="21"/>
  <c r="AS1076" i="21"/>
  <c r="AF1068" i="21"/>
  <c r="AS1068" i="21"/>
  <c r="AF1060" i="21"/>
  <c r="AS1060" i="21"/>
  <c r="AF1052" i="21"/>
  <c r="AS1052" i="21"/>
  <c r="AF1044" i="21"/>
  <c r="AS1044" i="21"/>
  <c r="AF1036" i="21"/>
  <c r="AS1036" i="21"/>
  <c r="AF1028" i="21"/>
  <c r="AS1028" i="21"/>
  <c r="AF1020" i="21"/>
  <c r="AS1020" i="21"/>
  <c r="AF1012" i="21"/>
  <c r="AS1012" i="21"/>
  <c r="AF1004" i="21"/>
  <c r="AS1004" i="21"/>
  <c r="AF996" i="21"/>
  <c r="AS996" i="21"/>
  <c r="AF988" i="21"/>
  <c r="AS988" i="21"/>
  <c r="AF980" i="21"/>
  <c r="AS980" i="21"/>
  <c r="AF972" i="21"/>
  <c r="AS972" i="21"/>
  <c r="AF964" i="21"/>
  <c r="AS964" i="21"/>
  <c r="AF956" i="21"/>
  <c r="AS956" i="21"/>
  <c r="AF948" i="21"/>
  <c r="AS948" i="21"/>
  <c r="AF1123" i="21"/>
  <c r="AS1123" i="21"/>
  <c r="AF1115" i="21"/>
  <c r="AS1115" i="21"/>
  <c r="AF1107" i="21"/>
  <c r="AS1107" i="21"/>
  <c r="AF1099" i="21"/>
  <c r="AS1099" i="21"/>
  <c r="AF1091" i="21"/>
  <c r="AS1091" i="21"/>
  <c r="AF1083" i="21"/>
  <c r="AS1083" i="21"/>
  <c r="AF1075" i="21"/>
  <c r="AS1075" i="21"/>
  <c r="AF1067" i="21"/>
  <c r="AS1067" i="21"/>
  <c r="AF1059" i="21"/>
  <c r="AS1059" i="21"/>
  <c r="AF1051" i="21"/>
  <c r="AS1051" i="21"/>
  <c r="AF1043" i="21"/>
  <c r="AS1043" i="21"/>
  <c r="AF1035" i="21"/>
  <c r="AS1035" i="21"/>
  <c r="AF1027" i="21"/>
  <c r="AS1027" i="21"/>
  <c r="AF1019" i="21"/>
  <c r="AS1019" i="21"/>
  <c r="AF1011" i="21"/>
  <c r="AS1011" i="21"/>
  <c r="AF1003" i="21"/>
  <c r="AS1003" i="21"/>
  <c r="AF995" i="21"/>
  <c r="AS995" i="21"/>
  <c r="AF987" i="21"/>
  <c r="AS987" i="21"/>
  <c r="AF979" i="21"/>
  <c r="AS979" i="21"/>
  <c r="AF971" i="21"/>
  <c r="AS971" i="21"/>
  <c r="AF963" i="21"/>
  <c r="AS963" i="21"/>
  <c r="AF955" i="21"/>
  <c r="AS955" i="21"/>
  <c r="AF947" i="21"/>
  <c r="AS947" i="21"/>
  <c r="AF939" i="21"/>
  <c r="AS939" i="21"/>
  <c r="AF931" i="21"/>
  <c r="AS931" i="21"/>
  <c r="AF923" i="21"/>
  <c r="AS923" i="21"/>
  <c r="AF915" i="21"/>
  <c r="AS915" i="21"/>
  <c r="AF907" i="21"/>
  <c r="AS907" i="21"/>
  <c r="AF899" i="21"/>
  <c r="AS899" i="21"/>
  <c r="AF891" i="21"/>
  <c r="AS891" i="21"/>
  <c r="AF883" i="21"/>
  <c r="AS883" i="21"/>
  <c r="AF875" i="21"/>
  <c r="AS875" i="21"/>
  <c r="AF867" i="21"/>
  <c r="AS867" i="21"/>
  <c r="AF859" i="21"/>
  <c r="AS859" i="21"/>
  <c r="AF851" i="21"/>
  <c r="AS851" i="21"/>
  <c r="AF843" i="21"/>
  <c r="AS843" i="21"/>
  <c r="AF835" i="21"/>
  <c r="AS835" i="21"/>
  <c r="AF827" i="21"/>
  <c r="AS827" i="21"/>
  <c r="AF819" i="21"/>
  <c r="AS819" i="21"/>
  <c r="AF811" i="21"/>
  <c r="AS811" i="21"/>
  <c r="AF803" i="21"/>
  <c r="AS803" i="21"/>
  <c r="AF795" i="21"/>
  <c r="AS795" i="21"/>
  <c r="AF787" i="21"/>
  <c r="AS787" i="21"/>
  <c r="AF779" i="21"/>
  <c r="AS779" i="21"/>
  <c r="AF771" i="21"/>
  <c r="AS771" i="21"/>
  <c r="AF763" i="21"/>
  <c r="AS763" i="21"/>
  <c r="AF755" i="21"/>
  <c r="AS755" i="21"/>
  <c r="AF747" i="21"/>
  <c r="AS747" i="21"/>
  <c r="AF739" i="21"/>
  <c r="AS739" i="21"/>
  <c r="AF731" i="21"/>
  <c r="AS731" i="21"/>
  <c r="AF723" i="21"/>
  <c r="AS723" i="21"/>
  <c r="AF715" i="21"/>
  <c r="AS715" i="21"/>
  <c r="AF707" i="21"/>
  <c r="AS707" i="21"/>
  <c r="AF699" i="21"/>
  <c r="AS699" i="21"/>
  <c r="AF691" i="21"/>
  <c r="AS691" i="21"/>
  <c r="AF683" i="21"/>
  <c r="AS683" i="21"/>
  <c r="AF675" i="21"/>
  <c r="AS675" i="21"/>
  <c r="AF667" i="21"/>
  <c r="AS667" i="21"/>
  <c r="AF659" i="21"/>
  <c r="AS659" i="21"/>
  <c r="AF651" i="21"/>
  <c r="AS651" i="21"/>
  <c r="AF643" i="21"/>
  <c r="AS643" i="21"/>
  <c r="AF635" i="21"/>
  <c r="AS635" i="21"/>
  <c r="AF627" i="21"/>
  <c r="AS627" i="21"/>
  <c r="AF619" i="21"/>
  <c r="AS619" i="21"/>
  <c r="AF611" i="21"/>
  <c r="AS611" i="21"/>
  <c r="AF603" i="21"/>
  <c r="AS603" i="21"/>
  <c r="AF595" i="21"/>
  <c r="AS595" i="21"/>
  <c r="AF587" i="21"/>
  <c r="AS587" i="21"/>
  <c r="AF579" i="21"/>
  <c r="AS579" i="21"/>
  <c r="AF571" i="21"/>
  <c r="AS571" i="21"/>
  <c r="AF563" i="21"/>
  <c r="AS563" i="21"/>
  <c r="AS555" i="21"/>
  <c r="AF1122" i="21"/>
  <c r="AS1122" i="21"/>
  <c r="AF1114" i="21"/>
  <c r="AS1114" i="21"/>
  <c r="AF1106" i="21"/>
  <c r="AS1106" i="21"/>
  <c r="AF1098" i="21"/>
  <c r="AS1098" i="21"/>
  <c r="AF1090" i="21"/>
  <c r="AS1090" i="21"/>
  <c r="AF1082" i="21"/>
  <c r="AS1082" i="21"/>
  <c r="AF1074" i="21"/>
  <c r="AS1074" i="21"/>
  <c r="AF1066" i="21"/>
  <c r="AS1066" i="21"/>
  <c r="AF1058" i="21"/>
  <c r="AS1058" i="21"/>
  <c r="AF1050" i="21"/>
  <c r="AS1050" i="21"/>
  <c r="AF1042" i="21"/>
  <c r="AS1042" i="21"/>
  <c r="AF1034" i="21"/>
  <c r="AS1034" i="21"/>
  <c r="AF1026" i="21"/>
  <c r="AS1026" i="21"/>
  <c r="AF1018" i="21"/>
  <c r="AS1018" i="21"/>
  <c r="AF1010" i="21"/>
  <c r="AS1010" i="21"/>
  <c r="AF1002" i="21"/>
  <c r="AS1002" i="21"/>
  <c r="AF994" i="21"/>
  <c r="AS994" i="21"/>
  <c r="AF986" i="21"/>
  <c r="AS986" i="21"/>
  <c r="AF978" i="21"/>
  <c r="AS978" i="21"/>
  <c r="AF970" i="21"/>
  <c r="AS970" i="21"/>
  <c r="AF962" i="21"/>
  <c r="AS962" i="21"/>
  <c r="AF954" i="21"/>
  <c r="AS954" i="21"/>
  <c r="AF946" i="21"/>
  <c r="AS946" i="21"/>
  <c r="AF938" i="21"/>
  <c r="AS938" i="21"/>
  <c r="AF930" i="21"/>
  <c r="AS930" i="21"/>
  <c r="AF922" i="21"/>
  <c r="AS922" i="21"/>
  <c r="AF914" i="21"/>
  <c r="AS914" i="21"/>
  <c r="AF906" i="21"/>
  <c r="AS906" i="21"/>
  <c r="AF898" i="21"/>
  <c r="AS898" i="21"/>
  <c r="AF890" i="21"/>
  <c r="AS890" i="21"/>
  <c r="AF882" i="21"/>
  <c r="AS882" i="21"/>
  <c r="AF874" i="21"/>
  <c r="AS874" i="21"/>
  <c r="AF866" i="21"/>
  <c r="AS866" i="21"/>
  <c r="AF858" i="21"/>
  <c r="AS858" i="21"/>
  <c r="AF850" i="21"/>
  <c r="AS850" i="21"/>
  <c r="AF842" i="21"/>
  <c r="AS842" i="21"/>
  <c r="AF834" i="21"/>
  <c r="AS834" i="21"/>
  <c r="AF826" i="21"/>
  <c r="AS826" i="21"/>
  <c r="AF818" i="21"/>
  <c r="AS818" i="21"/>
  <c r="AF810" i="21"/>
  <c r="AS810" i="21"/>
  <c r="AF802" i="21"/>
  <c r="AS802" i="21"/>
  <c r="AF794" i="21"/>
  <c r="AS794" i="21"/>
  <c r="AF786" i="21"/>
  <c r="AS786" i="21"/>
  <c r="AF778" i="21"/>
  <c r="AS778" i="21"/>
  <c r="AF770" i="21"/>
  <c r="AS770" i="21"/>
  <c r="AF762" i="21"/>
  <c r="AS762" i="21"/>
  <c r="AF754" i="21"/>
  <c r="AS754" i="21"/>
  <c r="AF746" i="21"/>
  <c r="AS746" i="21"/>
  <c r="AF738" i="21"/>
  <c r="AS738" i="21"/>
  <c r="AF730" i="21"/>
  <c r="AS730" i="21"/>
  <c r="AF722" i="21"/>
  <c r="AS722" i="21"/>
  <c r="AF714" i="21"/>
  <c r="AS714" i="21"/>
  <c r="AF706" i="21"/>
  <c r="AS706" i="21"/>
  <c r="AF698" i="21"/>
  <c r="AS698" i="21"/>
  <c r="AF690" i="21"/>
  <c r="AS690" i="21"/>
  <c r="AF682" i="21"/>
  <c r="AS682" i="21"/>
  <c r="AF674" i="21"/>
  <c r="AS674" i="21"/>
  <c r="AF666" i="21"/>
  <c r="AS666" i="21"/>
  <c r="AF658" i="21"/>
  <c r="AS658" i="21"/>
  <c r="AF1129" i="21"/>
  <c r="AS1129" i="21"/>
  <c r="AF1121" i="21"/>
  <c r="AS1121" i="21"/>
  <c r="AF1113" i="21"/>
  <c r="AS1113" i="21"/>
  <c r="AF1105" i="21"/>
  <c r="AS1105" i="21"/>
  <c r="AF1097" i="21"/>
  <c r="AS1097" i="21"/>
  <c r="AF1089" i="21"/>
  <c r="AS1089" i="21"/>
  <c r="AF1081" i="21"/>
  <c r="AS1081" i="21"/>
  <c r="AF1073" i="21"/>
  <c r="AS1073" i="21"/>
  <c r="AF1065" i="21"/>
  <c r="AS1065" i="21"/>
  <c r="AF1057" i="21"/>
  <c r="AS1057" i="21"/>
  <c r="AF1049" i="21"/>
  <c r="AS1049" i="21"/>
  <c r="AF1041" i="21"/>
  <c r="AS1041" i="21"/>
  <c r="AF1033" i="21"/>
  <c r="AS1033" i="21"/>
  <c r="AF1025" i="21"/>
  <c r="AS1025" i="21"/>
  <c r="AF1017" i="21"/>
  <c r="AS1017" i="21"/>
  <c r="AF1009" i="21"/>
  <c r="AS1009" i="21"/>
  <c r="AF1001" i="21"/>
  <c r="AS1001" i="21"/>
  <c r="AF993" i="21"/>
  <c r="AS993" i="21"/>
  <c r="AF985" i="21"/>
  <c r="AS985" i="21"/>
  <c r="AF977" i="21"/>
  <c r="AS977" i="21"/>
  <c r="AF969" i="21"/>
  <c r="AS969" i="21"/>
  <c r="AF961" i="21"/>
  <c r="AS961" i="21"/>
  <c r="AF953" i="21"/>
  <c r="AS953" i="21"/>
  <c r="AF945" i="21"/>
  <c r="AS945" i="21"/>
  <c r="AF937" i="21"/>
  <c r="AS937" i="21"/>
  <c r="AF929" i="21"/>
  <c r="AS929" i="21"/>
  <c r="AF921" i="21"/>
  <c r="AS921" i="21"/>
  <c r="AF913" i="21"/>
  <c r="AS913" i="21"/>
  <c r="AF905" i="21"/>
  <c r="AS905" i="21"/>
  <c r="AF897" i="21"/>
  <c r="AS897" i="21"/>
  <c r="AF889" i="21"/>
  <c r="AS889" i="21"/>
  <c r="AF881" i="21"/>
  <c r="AS881" i="21"/>
  <c r="AF873" i="21"/>
  <c r="AS873" i="21"/>
  <c r="AF865" i="21"/>
  <c r="AS865" i="21"/>
  <c r="AF857" i="21"/>
  <c r="AS857" i="21"/>
  <c r="AF849" i="21"/>
  <c r="AS849" i="21"/>
  <c r="AF841" i="21"/>
  <c r="AS841" i="21"/>
  <c r="AF833" i="21"/>
  <c r="AS833" i="21"/>
  <c r="AF825" i="21"/>
  <c r="AS825" i="21"/>
  <c r="AF817" i="21"/>
  <c r="AS817" i="21"/>
  <c r="AF809" i="21"/>
  <c r="AS809" i="21"/>
  <c r="AF801" i="21"/>
  <c r="AS801" i="21"/>
  <c r="AF793" i="21"/>
  <c r="AS793" i="21"/>
  <c r="AF785" i="21"/>
  <c r="AS785" i="21"/>
  <c r="AF777" i="21"/>
  <c r="AS777" i="21"/>
  <c r="AF769" i="21"/>
  <c r="AS769" i="21"/>
  <c r="AF761" i="21"/>
  <c r="AS761" i="21"/>
  <c r="AF753" i="21"/>
  <c r="AS753" i="21"/>
  <c r="AF745" i="21"/>
  <c r="AS745" i="21"/>
  <c r="AF737" i="21"/>
  <c r="AS737" i="21"/>
  <c r="AF729" i="21"/>
  <c r="AS729" i="21"/>
  <c r="AF721" i="21"/>
  <c r="AS721" i="21"/>
  <c r="AF713" i="21"/>
  <c r="AS713" i="21"/>
  <c r="AF705" i="21"/>
  <c r="AS705" i="21"/>
  <c r="AF697" i="21"/>
  <c r="AS697" i="21"/>
  <c r="AF689" i="21"/>
  <c r="AS689" i="21"/>
  <c r="AF681" i="21"/>
  <c r="AS681" i="21"/>
  <c r="AF673" i="21"/>
  <c r="AS673" i="21"/>
  <c r="AF665" i="21"/>
  <c r="AS665" i="21"/>
  <c r="AF657" i="21"/>
  <c r="AS657" i="21"/>
  <c r="AF649" i="21"/>
  <c r="AS649" i="21"/>
  <c r="AF641" i="21"/>
  <c r="AS641" i="21"/>
  <c r="AF633" i="21"/>
  <c r="AS633" i="21"/>
  <c r="AF625" i="21"/>
  <c r="AS625" i="21"/>
  <c r="AF617" i="21"/>
  <c r="AS617" i="21"/>
  <c r="AF609" i="21"/>
  <c r="AS609" i="21"/>
  <c r="AF601" i="21"/>
  <c r="AS601" i="21"/>
  <c r="AF593" i="21"/>
  <c r="AS593" i="21"/>
  <c r="AF585" i="21"/>
  <c r="AS585" i="21"/>
  <c r="AF936" i="21"/>
  <c r="AS936" i="21"/>
  <c r="AF928" i="21"/>
  <c r="AS928" i="21"/>
  <c r="AF920" i="21"/>
  <c r="AS920" i="21"/>
  <c r="AF912" i="21"/>
  <c r="AS912" i="21"/>
  <c r="AF904" i="21"/>
  <c r="AS904" i="21"/>
  <c r="AF896" i="21"/>
  <c r="AS896" i="21"/>
  <c r="AF888" i="21"/>
  <c r="AS888" i="21"/>
  <c r="AF880" i="21"/>
  <c r="AS880" i="21"/>
  <c r="AF872" i="21"/>
  <c r="AS872" i="21"/>
  <c r="AF864" i="21"/>
  <c r="AS864" i="21"/>
  <c r="AF856" i="21"/>
  <c r="AS856" i="21"/>
  <c r="AF848" i="21"/>
  <c r="AS848" i="21"/>
  <c r="AF840" i="21"/>
  <c r="AS840" i="21"/>
  <c r="AF832" i="21"/>
  <c r="AS832" i="21"/>
  <c r="AF824" i="21"/>
  <c r="AS824" i="21"/>
  <c r="AF816" i="21"/>
  <c r="AS816" i="21"/>
  <c r="AF808" i="21"/>
  <c r="AS808" i="21"/>
  <c r="AF800" i="21"/>
  <c r="AS800" i="21"/>
  <c r="AF792" i="21"/>
  <c r="AS792" i="21"/>
  <c r="AF784" i="21"/>
  <c r="AS784" i="21"/>
  <c r="AF776" i="21"/>
  <c r="AS776" i="21"/>
  <c r="AF768" i="21"/>
  <c r="AS768" i="21"/>
  <c r="AF760" i="21"/>
  <c r="AS760" i="21"/>
  <c r="AF752" i="21"/>
  <c r="AS752" i="21"/>
  <c r="AF744" i="21"/>
  <c r="AS744" i="21"/>
  <c r="AF736" i="21"/>
  <c r="AS736" i="21"/>
  <c r="AF728" i="21"/>
  <c r="AS728" i="21"/>
  <c r="AF720" i="21"/>
  <c r="AS720" i="21"/>
  <c r="AF712" i="21"/>
  <c r="AS712" i="21"/>
  <c r="AF704" i="21"/>
  <c r="AS704" i="21"/>
  <c r="AF696" i="21"/>
  <c r="AS696" i="21"/>
  <c r="AF688" i="21"/>
  <c r="AS688" i="21"/>
  <c r="AF680" i="21"/>
  <c r="AS680" i="21"/>
  <c r="AF672" i="21"/>
  <c r="AS672" i="21"/>
  <c r="AF664" i="21"/>
  <c r="AS664" i="21"/>
  <c r="AF656" i="21"/>
  <c r="AS656" i="21"/>
  <c r="AF648" i="21"/>
  <c r="AS648" i="21"/>
  <c r="AF640" i="21"/>
  <c r="AS640" i="21"/>
  <c r="AF632" i="21"/>
  <c r="AS632" i="21"/>
  <c r="AF624" i="21"/>
  <c r="AS624" i="21"/>
  <c r="AF616" i="21"/>
  <c r="AS616" i="21"/>
  <c r="AF608" i="21"/>
  <c r="AS608" i="21"/>
  <c r="AF600" i="21"/>
  <c r="AS600" i="21"/>
  <c r="AF592" i="21"/>
  <c r="AS592" i="21"/>
  <c r="AF584" i="21"/>
  <c r="AS584" i="21"/>
  <c r="AF576" i="21"/>
  <c r="AS576" i="21"/>
  <c r="AF568" i="21"/>
  <c r="AS568" i="21"/>
  <c r="AF560" i="21"/>
  <c r="AS560" i="21"/>
  <c r="AF552" i="21"/>
  <c r="AS552" i="21"/>
  <c r="AF544" i="21"/>
  <c r="AS544" i="21"/>
  <c r="AF536" i="21"/>
  <c r="AS536" i="21"/>
  <c r="AF528" i="21"/>
  <c r="AS528" i="21"/>
  <c r="AF520" i="21"/>
  <c r="AS520" i="21"/>
  <c r="AF512" i="21"/>
  <c r="AS512" i="21"/>
  <c r="AF504" i="21"/>
  <c r="AS504" i="21"/>
  <c r="AF496" i="21"/>
  <c r="AS496" i="21"/>
  <c r="AF488" i="21"/>
  <c r="AS488" i="21"/>
  <c r="AF480" i="21"/>
  <c r="AS480" i="21"/>
  <c r="AF472" i="21"/>
  <c r="AS472" i="21"/>
  <c r="AF464" i="21"/>
  <c r="AS464" i="21"/>
  <c r="AF456" i="21"/>
  <c r="AS456" i="21"/>
  <c r="AF448" i="21"/>
  <c r="AS448" i="21"/>
  <c r="AF440" i="21"/>
  <c r="AS440" i="21"/>
  <c r="AF432" i="21"/>
  <c r="AS432" i="21"/>
  <c r="AF424" i="21"/>
  <c r="AS424" i="21"/>
  <c r="AF416" i="21"/>
  <c r="AS416" i="21"/>
  <c r="AF408" i="21"/>
  <c r="AS408" i="21"/>
  <c r="AF400" i="21"/>
  <c r="AS400" i="21"/>
  <c r="AF392" i="21"/>
  <c r="AS392" i="21"/>
  <c r="AF384" i="21"/>
  <c r="AS384" i="21"/>
  <c r="AF376" i="21"/>
  <c r="AS376" i="21"/>
  <c r="AF368" i="21"/>
  <c r="AS368" i="21"/>
  <c r="AF360" i="21"/>
  <c r="AS360" i="21"/>
  <c r="AF352" i="21"/>
  <c r="AS352" i="21"/>
  <c r="AF344" i="21"/>
  <c r="AS344" i="21"/>
  <c r="AF336" i="21"/>
  <c r="AS336" i="21"/>
  <c r="AF328" i="21"/>
  <c r="AS328" i="21"/>
  <c r="AF320" i="21"/>
  <c r="AS320" i="21"/>
  <c r="AF312" i="21"/>
  <c r="AS312" i="21"/>
  <c r="AF304" i="21"/>
  <c r="AS304" i="21"/>
  <c r="AF296" i="21"/>
  <c r="AS296" i="21"/>
  <c r="AF288" i="21"/>
  <c r="AS288" i="21"/>
  <c r="AF280" i="21"/>
  <c r="AS280" i="21"/>
  <c r="AF272" i="21"/>
  <c r="AS272" i="21"/>
  <c r="AF264" i="21"/>
  <c r="AS264" i="21"/>
  <c r="AF256" i="21"/>
  <c r="AS256" i="21"/>
  <c r="AF248" i="21"/>
  <c r="AS248" i="21"/>
  <c r="AF240" i="21"/>
  <c r="AS240" i="21"/>
  <c r="AF232" i="21"/>
  <c r="AS232" i="21"/>
  <c r="AF224" i="21"/>
  <c r="AS224" i="21"/>
  <c r="AF216" i="21"/>
  <c r="AS216" i="21"/>
  <c r="AF208" i="21"/>
  <c r="AS208" i="21"/>
  <c r="AF200" i="21"/>
  <c r="AS200" i="21"/>
  <c r="AF192" i="21"/>
  <c r="AS192" i="21"/>
  <c r="AF184" i="21"/>
  <c r="AS184" i="21"/>
  <c r="AF176" i="21"/>
  <c r="AS176" i="21"/>
  <c r="AF168" i="21"/>
  <c r="AS168" i="21"/>
  <c r="AF160" i="21"/>
  <c r="AS160" i="21"/>
  <c r="AF152" i="21"/>
  <c r="AS152" i="21"/>
  <c r="AF144" i="21"/>
  <c r="AS144" i="21"/>
  <c r="AF136" i="21"/>
  <c r="AS136" i="21"/>
  <c r="AF128" i="21"/>
  <c r="AS128" i="21"/>
  <c r="AF120" i="21"/>
  <c r="AS120" i="21"/>
  <c r="AF112" i="21"/>
  <c r="AS112" i="21"/>
  <c r="AF104" i="21"/>
  <c r="AS104" i="21"/>
  <c r="AF96" i="21"/>
  <c r="AS96" i="21"/>
  <c r="AF88" i="21"/>
  <c r="AS88" i="21"/>
  <c r="AF80" i="21"/>
  <c r="AS80" i="21"/>
  <c r="AF72" i="21"/>
  <c r="AS72" i="21"/>
  <c r="AF64" i="21"/>
  <c r="AS64" i="21"/>
  <c r="AF56" i="21"/>
  <c r="AS56" i="21"/>
  <c r="AF48" i="21"/>
  <c r="AS48" i="21"/>
  <c r="AF40" i="21"/>
  <c r="AS40" i="21"/>
  <c r="AF32" i="21"/>
  <c r="AS32" i="21"/>
  <c r="AF24" i="21"/>
  <c r="AS24" i="21"/>
  <c r="AF16" i="21"/>
  <c r="AS16" i="21"/>
  <c r="AF8" i="21"/>
  <c r="AS8" i="21"/>
  <c r="AT1128" i="21"/>
  <c r="AI1128" i="21"/>
  <c r="AJ1128" i="21" s="1"/>
  <c r="AT1120" i="21"/>
  <c r="AI1120" i="21"/>
  <c r="AK1120" i="21" s="1"/>
  <c r="AL1120" i="21" s="1"/>
  <c r="AN1120" i="21" s="1"/>
  <c r="AT1112" i="21"/>
  <c r="AI1112" i="21"/>
  <c r="AH1104" i="21"/>
  <c r="AT1104" i="21"/>
  <c r="AT1096" i="21"/>
  <c r="AI1096" i="21"/>
  <c r="AK1096" i="21" s="1"/>
  <c r="AL1096" i="21" s="1"/>
  <c r="AN1096" i="21" s="1"/>
  <c r="AT1088" i="21"/>
  <c r="AI1088" i="21"/>
  <c r="AK1088" i="21" s="1"/>
  <c r="AL1088" i="21" s="1"/>
  <c r="AN1088" i="21" s="1"/>
  <c r="AH1080" i="21"/>
  <c r="AT1080" i="21"/>
  <c r="AT1072" i="21"/>
  <c r="AI1072" i="21"/>
  <c r="AJ1072" i="21" s="1"/>
  <c r="AT1064" i="21"/>
  <c r="AI1064" i="21"/>
  <c r="AJ1064" i="21" s="1"/>
  <c r="AT1056" i="21"/>
  <c r="AI1056" i="21"/>
  <c r="AK1056" i="21" s="1"/>
  <c r="AL1056" i="21" s="1"/>
  <c r="AN1056" i="21" s="1"/>
  <c r="AT1048" i="21"/>
  <c r="AI1048" i="21"/>
  <c r="AT1040" i="21"/>
  <c r="AI1040" i="21"/>
  <c r="AK1040" i="21" s="1"/>
  <c r="AL1040" i="21" s="1"/>
  <c r="AN1040" i="21" s="1"/>
  <c r="AH1032" i="21"/>
  <c r="AT1032" i="21"/>
  <c r="AH1024" i="21"/>
  <c r="AT1024" i="21"/>
  <c r="AH1016" i="21"/>
  <c r="AT1016" i="21"/>
  <c r="AH1008" i="21"/>
  <c r="AT1008" i="21"/>
  <c r="AT1000" i="21"/>
  <c r="AI1000" i="21"/>
  <c r="AJ1000" i="21" s="1"/>
  <c r="AT992" i="21"/>
  <c r="AI992" i="21"/>
  <c r="AK992" i="21" s="1"/>
  <c r="AL992" i="21" s="1"/>
  <c r="AN992" i="21" s="1"/>
  <c r="AT984" i="21"/>
  <c r="AI984" i="21"/>
  <c r="AT976" i="21"/>
  <c r="AI976" i="21"/>
  <c r="AK976" i="21" s="1"/>
  <c r="AL976" i="21" s="1"/>
  <c r="AN976" i="21" s="1"/>
  <c r="AT968" i="21"/>
  <c r="AI968" i="21"/>
  <c r="AK968" i="21" s="1"/>
  <c r="AL968" i="21" s="1"/>
  <c r="AN968" i="21" s="1"/>
  <c r="AH960" i="21"/>
  <c r="AT960" i="21"/>
  <c r="AT952" i="21"/>
  <c r="AI952" i="21"/>
  <c r="AT944" i="21"/>
  <c r="AI944" i="21"/>
  <c r="AK944" i="21" s="1"/>
  <c r="AL944" i="21" s="1"/>
  <c r="AN944" i="21" s="1"/>
  <c r="AH936" i="21"/>
  <c r="AT936" i="21"/>
  <c r="AT928" i="21"/>
  <c r="AI928" i="21"/>
  <c r="AK928" i="21" s="1"/>
  <c r="AL928" i="21" s="1"/>
  <c r="AN928" i="21" s="1"/>
  <c r="AH920" i="21"/>
  <c r="AT920" i="21"/>
  <c r="AT912" i="21"/>
  <c r="AI912" i="21"/>
  <c r="AJ912" i="21" s="1"/>
  <c r="AT904" i="21"/>
  <c r="AI904" i="21"/>
  <c r="AJ904" i="21" s="1"/>
  <c r="AH896" i="21"/>
  <c r="AT896" i="21"/>
  <c r="AT888" i="21"/>
  <c r="AI888" i="21"/>
  <c r="AH880" i="21"/>
  <c r="AT880" i="21"/>
  <c r="AT872" i="21"/>
  <c r="AI872" i="21"/>
  <c r="AK872" i="21" s="1"/>
  <c r="AL872" i="21" s="1"/>
  <c r="AN872" i="21" s="1"/>
  <c r="AT864" i="21"/>
  <c r="AI864" i="21"/>
  <c r="AJ864" i="21" s="1"/>
  <c r="AH856" i="21"/>
  <c r="AT856" i="21"/>
  <c r="AH848" i="21"/>
  <c r="AT848" i="21"/>
  <c r="AH840" i="21"/>
  <c r="AT840" i="21"/>
  <c r="AH832" i="21"/>
  <c r="AT832" i="21"/>
  <c r="AT824" i="21"/>
  <c r="AI824" i="21"/>
  <c r="AT816" i="21"/>
  <c r="AI816" i="21"/>
  <c r="AK816" i="21" s="1"/>
  <c r="AL816" i="21" s="1"/>
  <c r="AN816" i="21" s="1"/>
  <c r="AT808" i="21"/>
  <c r="AI808" i="21"/>
  <c r="AJ808" i="21" s="1"/>
  <c r="AH800" i="21"/>
  <c r="AT800" i="21"/>
  <c r="AH792" i="21"/>
  <c r="AT792" i="21"/>
  <c r="AH776" i="21"/>
  <c r="AT776" i="21"/>
  <c r="AT768" i="21"/>
  <c r="AI768" i="21"/>
  <c r="AJ768" i="21" s="1"/>
  <c r="AT760" i="21"/>
  <c r="AI760" i="21"/>
  <c r="AK760" i="21" s="1"/>
  <c r="AL760" i="21" s="1"/>
  <c r="AN760" i="21" s="1"/>
  <c r="AT752" i="21"/>
  <c r="AI752" i="21"/>
  <c r="AT744" i="21"/>
  <c r="AJ744" i="21"/>
  <c r="AT736" i="21"/>
  <c r="AI736" i="21"/>
  <c r="AK736" i="21" s="1"/>
  <c r="AL736" i="21" s="1"/>
  <c r="AN736" i="21" s="1"/>
  <c r="AT728" i="21"/>
  <c r="AI728" i="21"/>
  <c r="AK728" i="21" s="1"/>
  <c r="AL728" i="21" s="1"/>
  <c r="AN728" i="21" s="1"/>
  <c r="AT720" i="21"/>
  <c r="AI720" i="21"/>
  <c r="AT712" i="21"/>
  <c r="AI712" i="21"/>
  <c r="AK712" i="21" s="1"/>
  <c r="AL712" i="21" s="1"/>
  <c r="AN712" i="21" s="1"/>
  <c r="AH704" i="21"/>
  <c r="AT704" i="21"/>
  <c r="AH696" i="21"/>
  <c r="AT696" i="21"/>
  <c r="AH688" i="21"/>
  <c r="AT688" i="21"/>
  <c r="AT672" i="21"/>
  <c r="AI672" i="21"/>
  <c r="AJ672" i="21" s="1"/>
  <c r="AT664" i="21"/>
  <c r="AI664" i="21"/>
  <c r="AK664" i="21" s="1"/>
  <c r="AL664" i="21" s="1"/>
  <c r="AN664" i="21" s="1"/>
  <c r="AT656" i="21"/>
  <c r="AI656" i="21"/>
  <c r="AK656" i="21" s="1"/>
  <c r="AL656" i="21" s="1"/>
  <c r="AN656" i="21" s="1"/>
  <c r="AH640" i="21"/>
  <c r="AT640" i="21"/>
  <c r="AT632" i="21"/>
  <c r="AI632" i="21"/>
  <c r="AJ632" i="21" s="1"/>
  <c r="AI624" i="21"/>
  <c r="AJ624" i="21" s="1"/>
  <c r="AT624" i="21"/>
  <c r="AT616" i="21"/>
  <c r="AI616" i="21"/>
  <c r="AJ616" i="21" s="1"/>
  <c r="AH608" i="21"/>
  <c r="AT608" i="21"/>
  <c r="AT600" i="21"/>
  <c r="AI600" i="21"/>
  <c r="AJ600" i="21" s="1"/>
  <c r="AT592" i="21"/>
  <c r="AI592" i="21"/>
  <c r="AK592" i="21" s="1"/>
  <c r="AL592" i="21" s="1"/>
  <c r="AN592" i="21" s="1"/>
  <c r="AT584" i="21"/>
  <c r="AI584" i="21"/>
  <c r="AK584" i="21" s="1"/>
  <c r="AL584" i="21" s="1"/>
  <c r="AN584" i="21" s="1"/>
  <c r="AT576" i="21"/>
  <c r="AI576" i="21"/>
  <c r="AT568" i="21"/>
  <c r="AI568" i="21"/>
  <c r="AK568" i="21" s="1"/>
  <c r="AL568" i="21" s="1"/>
  <c r="AN568" i="21" s="1"/>
  <c r="AH560" i="21"/>
  <c r="AT560" i="21"/>
  <c r="AT552" i="21"/>
  <c r="AI552" i="21"/>
  <c r="AJ552" i="21" s="1"/>
  <c r="AT544" i="21"/>
  <c r="AI544" i="21"/>
  <c r="AT536" i="21"/>
  <c r="AI536" i="21"/>
  <c r="AK536" i="21" s="1"/>
  <c r="AL536" i="21" s="1"/>
  <c r="AN536" i="21" s="1"/>
  <c r="AT528" i="21"/>
  <c r="AI528" i="21"/>
  <c r="AJ528" i="21" s="1"/>
  <c r="AT520" i="21"/>
  <c r="AI520" i="21"/>
  <c r="AK520" i="21" s="1"/>
  <c r="AL520" i="21" s="1"/>
  <c r="AN520" i="21" s="1"/>
  <c r="AT504" i="21"/>
  <c r="AI504" i="21"/>
  <c r="AT496" i="21"/>
  <c r="AI496" i="21"/>
  <c r="AJ496" i="21" s="1"/>
  <c r="AH488" i="21"/>
  <c r="AT488" i="21"/>
  <c r="AT480" i="21"/>
  <c r="AI480" i="21"/>
  <c r="AJ480" i="21" s="1"/>
  <c r="AT472" i="21"/>
  <c r="AI472" i="21"/>
  <c r="AT464" i="21"/>
  <c r="AI464" i="21"/>
  <c r="AJ464" i="21" s="1"/>
  <c r="AT456" i="21"/>
  <c r="AI456" i="21"/>
  <c r="AJ456" i="21" s="1"/>
  <c r="AT448" i="21"/>
  <c r="AI448" i="21"/>
  <c r="AJ448" i="21" s="1"/>
  <c r="AH440" i="21"/>
  <c r="AT440" i="21"/>
  <c r="AT432" i="21"/>
  <c r="AI432" i="21"/>
  <c r="AK432" i="21" s="1"/>
  <c r="AL432" i="21" s="1"/>
  <c r="AN432" i="21" s="1"/>
  <c r="AT424" i="21"/>
  <c r="AI424" i="21"/>
  <c r="AK424" i="21" s="1"/>
  <c r="AL424" i="21" s="1"/>
  <c r="AN424" i="21" s="1"/>
  <c r="AT416" i="21"/>
  <c r="AI416" i="21"/>
  <c r="AJ416" i="21" s="1"/>
  <c r="AH408" i="21"/>
  <c r="AT408" i="21"/>
  <c r="AH400" i="21"/>
  <c r="AT400" i="21"/>
  <c r="AH392" i="21"/>
  <c r="AT392" i="21"/>
  <c r="AT368" i="21"/>
  <c r="AI368" i="21"/>
  <c r="AK368" i="21" s="1"/>
  <c r="AL368" i="21" s="1"/>
  <c r="AN368" i="21" s="1"/>
  <c r="AH360" i="21"/>
  <c r="AT360" i="21"/>
  <c r="AT352" i="21"/>
  <c r="AI352" i="21"/>
  <c r="AK352" i="21" s="1"/>
  <c r="AL352" i="21" s="1"/>
  <c r="AN352" i="21" s="1"/>
  <c r="AT344" i="21"/>
  <c r="AI344" i="21"/>
  <c r="AK344" i="21" s="1"/>
  <c r="AL344" i="21" s="1"/>
  <c r="AN344" i="21" s="1"/>
  <c r="AT336" i="21"/>
  <c r="AI336" i="21"/>
  <c r="AJ336" i="21" s="1"/>
  <c r="AT328" i="21"/>
  <c r="AI328" i="21"/>
  <c r="AT320" i="21"/>
  <c r="AI320" i="21"/>
  <c r="AJ320" i="21" s="1"/>
  <c r="AT312" i="21"/>
  <c r="AI312" i="21"/>
  <c r="AJ312" i="21" s="1"/>
  <c r="AT304" i="21"/>
  <c r="AI304" i="21"/>
  <c r="AK304" i="21" s="1"/>
  <c r="AL304" i="21" s="1"/>
  <c r="AN304" i="21" s="1"/>
  <c r="AT288" i="21"/>
  <c r="AI288" i="21"/>
  <c r="AT280" i="21"/>
  <c r="AI280" i="21"/>
  <c r="AK280" i="21" s="1"/>
  <c r="AL280" i="21" s="1"/>
  <c r="AN280" i="21" s="1"/>
  <c r="AH272" i="21"/>
  <c r="AT272" i="21"/>
  <c r="AT264" i="21"/>
  <c r="AI264" i="21"/>
  <c r="AJ264" i="21" s="1"/>
  <c r="AT256" i="21"/>
  <c r="AI256" i="21"/>
  <c r="AT248" i="21"/>
  <c r="AI248" i="21"/>
  <c r="AJ248" i="21" s="1"/>
  <c r="AT240" i="21"/>
  <c r="AI240" i="21"/>
  <c r="AK240" i="21" s="1"/>
  <c r="AL240" i="21" s="1"/>
  <c r="AN240" i="21" s="1"/>
  <c r="AT232" i="21"/>
  <c r="AI232" i="21"/>
  <c r="AJ232" i="21" s="1"/>
  <c r="AH224" i="21"/>
  <c r="AT224" i="21"/>
  <c r="AT216" i="21"/>
  <c r="AI216" i="21"/>
  <c r="AK216" i="21" s="1"/>
  <c r="AL216" i="21" s="1"/>
  <c r="AN216" i="21" s="1"/>
  <c r="AT208" i="21"/>
  <c r="AI208" i="21"/>
  <c r="AJ208" i="21" s="1"/>
  <c r="AH200" i="21"/>
  <c r="AT200" i="21"/>
  <c r="AH192" i="21"/>
  <c r="AT192" i="21"/>
  <c r="AH184" i="21"/>
  <c r="AT184" i="21"/>
  <c r="AT176" i="21"/>
  <c r="AI176" i="21"/>
  <c r="AK176" i="21" s="1"/>
  <c r="AL176" i="21" s="1"/>
  <c r="AN176" i="21" s="1"/>
  <c r="AT168" i="21"/>
  <c r="AI168" i="21"/>
  <c r="AJ168" i="21" s="1"/>
  <c r="AT160" i="21"/>
  <c r="AI160" i="21"/>
  <c r="AH152" i="21"/>
  <c r="AT152" i="21"/>
  <c r="AT144" i="21"/>
  <c r="AI144" i="21"/>
  <c r="AJ144" i="21" s="1"/>
  <c r="AT136" i="21"/>
  <c r="AI136" i="21"/>
  <c r="AK136" i="21" s="1"/>
  <c r="AL136" i="21" s="1"/>
  <c r="AN136" i="21" s="1"/>
  <c r="AH128" i="21"/>
  <c r="AT128" i="21"/>
  <c r="AH120" i="21"/>
  <c r="AT120" i="21"/>
  <c r="AH112" i="21"/>
  <c r="AT112" i="21"/>
  <c r="AT104" i="21"/>
  <c r="AI104" i="21"/>
  <c r="AJ104" i="21" s="1"/>
  <c r="AT96" i="21"/>
  <c r="AI96" i="21"/>
  <c r="AH88" i="21"/>
  <c r="AT88" i="21"/>
  <c r="AH80" i="21"/>
  <c r="AT80" i="21"/>
  <c r="AT72" i="21"/>
  <c r="AI72" i="21"/>
  <c r="AJ72" i="21" s="1"/>
  <c r="AT64" i="21"/>
  <c r="AI64" i="21"/>
  <c r="AH56" i="21"/>
  <c r="AT56" i="21"/>
  <c r="AH48" i="21"/>
  <c r="AT48" i="21"/>
  <c r="AT40" i="21"/>
  <c r="AI40" i="21"/>
  <c r="AK40" i="21" s="1"/>
  <c r="AL40" i="21" s="1"/>
  <c r="AN40" i="21" s="1"/>
  <c r="AT32" i="21"/>
  <c r="AI32" i="21"/>
  <c r="AH24" i="21"/>
  <c r="AT24" i="21"/>
  <c r="AH16" i="21"/>
  <c r="AT16" i="21"/>
  <c r="AH8" i="21"/>
  <c r="AT8" i="21"/>
  <c r="AF511" i="21"/>
  <c r="AS511" i="21"/>
  <c r="AF503" i="21"/>
  <c r="AS503" i="21"/>
  <c r="AF495" i="21"/>
  <c r="AS495" i="21"/>
  <c r="AF487" i="21"/>
  <c r="AS487" i="21"/>
  <c r="AF479" i="21"/>
  <c r="AS479" i="21"/>
  <c r="AF471" i="21"/>
  <c r="AS471" i="21"/>
  <c r="AF463" i="21"/>
  <c r="AS463" i="21"/>
  <c r="AF455" i="21"/>
  <c r="AS455" i="21"/>
  <c r="AF447" i="21"/>
  <c r="AS447" i="21"/>
  <c r="AF439" i="21"/>
  <c r="AS439" i="21"/>
  <c r="AF431" i="21"/>
  <c r="AS431" i="21"/>
  <c r="AF423" i="21"/>
  <c r="AS423" i="21"/>
  <c r="AF415" i="21"/>
  <c r="AS415" i="21"/>
  <c r="AF407" i="21"/>
  <c r="AS407" i="21"/>
  <c r="AF399" i="21"/>
  <c r="AS399" i="21"/>
  <c r="AF391" i="21"/>
  <c r="AS391" i="21"/>
  <c r="AF383" i="21"/>
  <c r="AS383" i="21"/>
  <c r="AF375" i="21"/>
  <c r="AS375" i="21"/>
  <c r="AF367" i="21"/>
  <c r="AS367" i="21"/>
  <c r="AF359" i="21"/>
  <c r="AS359" i="21"/>
  <c r="AF351" i="21"/>
  <c r="AS351" i="21"/>
  <c r="AF343" i="21"/>
  <c r="AS343" i="21"/>
  <c r="AF335" i="21"/>
  <c r="AS335" i="21"/>
  <c r="AF327" i="21"/>
  <c r="AS327" i="21"/>
  <c r="AF319" i="21"/>
  <c r="AS319" i="21"/>
  <c r="AF311" i="21"/>
  <c r="AS311" i="21"/>
  <c r="AF303" i="21"/>
  <c r="AS303" i="21"/>
  <c r="AF295" i="21"/>
  <c r="AS295" i="21"/>
  <c r="AF287" i="21"/>
  <c r="AS287" i="21"/>
  <c r="AF279" i="21"/>
  <c r="AS279" i="21"/>
  <c r="AF271" i="21"/>
  <c r="AS271" i="21"/>
  <c r="AF263" i="21"/>
  <c r="AS263" i="21"/>
  <c r="AF255" i="21"/>
  <c r="AS255" i="21"/>
  <c r="AF247" i="21"/>
  <c r="AS247" i="21"/>
  <c r="AF239" i="21"/>
  <c r="AS239" i="21"/>
  <c r="AF231" i="21"/>
  <c r="AS231" i="21"/>
  <c r="AF223" i="21"/>
  <c r="AS223" i="21"/>
  <c r="AF215" i="21"/>
  <c r="AS215" i="21"/>
  <c r="AF207" i="21"/>
  <c r="AS207" i="21"/>
  <c r="AF199" i="21"/>
  <c r="AS199" i="21"/>
  <c r="AF191" i="21"/>
  <c r="AS191" i="21"/>
  <c r="AF183" i="21"/>
  <c r="AS183" i="21"/>
  <c r="AF175" i="21"/>
  <c r="AS175" i="21"/>
  <c r="AF167" i="21"/>
  <c r="AS167" i="21"/>
  <c r="AF159" i="21"/>
  <c r="AS159" i="21"/>
  <c r="AF151" i="21"/>
  <c r="AS151" i="21"/>
  <c r="AF143" i="21"/>
  <c r="AS143" i="21"/>
  <c r="AF135" i="21"/>
  <c r="AS135" i="21"/>
  <c r="AF127" i="21"/>
  <c r="AS127" i="21"/>
  <c r="AF119" i="21"/>
  <c r="AS119" i="21"/>
  <c r="AF111" i="21"/>
  <c r="AS111" i="21"/>
  <c r="AF103" i="21"/>
  <c r="AS103" i="21"/>
  <c r="AF95" i="21"/>
  <c r="AS95" i="21"/>
  <c r="AF87" i="21"/>
  <c r="AS87" i="21"/>
  <c r="AF79" i="21"/>
  <c r="AS79" i="21"/>
  <c r="AF71" i="21"/>
  <c r="AS71" i="21"/>
  <c r="AF63" i="21"/>
  <c r="AS63" i="21"/>
  <c r="AF55" i="21"/>
  <c r="AS55" i="21"/>
  <c r="AF47" i="21"/>
  <c r="AS47" i="21"/>
  <c r="AF39" i="21"/>
  <c r="AS39" i="21"/>
  <c r="AF31" i="21"/>
  <c r="AS31" i="21"/>
  <c r="AF23" i="21"/>
  <c r="AS23" i="21"/>
  <c r="AF15" i="21"/>
  <c r="AS15" i="21"/>
  <c r="AF7" i="21"/>
  <c r="AS7" i="21"/>
  <c r="AH1127" i="21"/>
  <c r="AT1127" i="21"/>
  <c r="AT1119" i="21"/>
  <c r="AI1119" i="21"/>
  <c r="AK1119" i="21" s="1"/>
  <c r="AL1119" i="21" s="1"/>
  <c r="AN1119" i="21" s="1"/>
  <c r="AH1111" i="21"/>
  <c r="AT1111" i="21"/>
  <c r="AT1103" i="21"/>
  <c r="AI1103" i="21"/>
  <c r="AJ1103" i="21" s="1"/>
  <c r="AH1095" i="21"/>
  <c r="AT1095" i="21"/>
  <c r="AH1087" i="21"/>
  <c r="AT1087" i="21"/>
  <c r="AH1079" i="21"/>
  <c r="AT1079" i="21"/>
  <c r="AH1071" i="21"/>
  <c r="AT1071" i="21"/>
  <c r="AH1063" i="21"/>
  <c r="AT1063" i="21"/>
  <c r="AT1055" i="21"/>
  <c r="AI1055" i="21"/>
  <c r="AK1055" i="21" s="1"/>
  <c r="AL1055" i="21" s="1"/>
  <c r="AN1055" i="21" s="1"/>
  <c r="AH1047" i="21"/>
  <c r="AT1047" i="21"/>
  <c r="AT1031" i="21"/>
  <c r="AI1031" i="21"/>
  <c r="AH1023" i="21"/>
  <c r="AT1023" i="21"/>
  <c r="AH1015" i="21"/>
  <c r="AT1015" i="21"/>
  <c r="AH1007" i="21"/>
  <c r="AT1007" i="21"/>
  <c r="AH999" i="21"/>
  <c r="AT999" i="21"/>
  <c r="AH991" i="21"/>
  <c r="AT991" i="21"/>
  <c r="AH967" i="21"/>
  <c r="AT967" i="21"/>
  <c r="AH959" i="21"/>
  <c r="AT959" i="21"/>
  <c r="AI951" i="21"/>
  <c r="AT951" i="21"/>
  <c r="AI943" i="21"/>
  <c r="AT943" i="21"/>
  <c r="AH935" i="21"/>
  <c r="AT935" i="21"/>
  <c r="AH927" i="21"/>
  <c r="AT927" i="21"/>
  <c r="AH919" i="21"/>
  <c r="AT919" i="21"/>
  <c r="AI911" i="21"/>
  <c r="AT911" i="21"/>
  <c r="AT903" i="21"/>
  <c r="AI903" i="21"/>
  <c r="AJ903" i="21" s="1"/>
  <c r="AI895" i="21"/>
  <c r="AJ895" i="21" s="1"/>
  <c r="AT895" i="21"/>
  <c r="AI887" i="21"/>
  <c r="AT887" i="21"/>
  <c r="AH879" i="21"/>
  <c r="AT879" i="21"/>
  <c r="AH871" i="21"/>
  <c r="AT871" i="21"/>
  <c r="AI863" i="21"/>
  <c r="AK863" i="21" s="1"/>
  <c r="AL863" i="21" s="1"/>
  <c r="AN863" i="21" s="1"/>
  <c r="AT863" i="21"/>
  <c r="AH855" i="21"/>
  <c r="AT855" i="21"/>
  <c r="AH847" i="21"/>
  <c r="AT847" i="21"/>
  <c r="AH839" i="21"/>
  <c r="AT839" i="21"/>
  <c r="AH831" i="21"/>
  <c r="AT831" i="21"/>
  <c r="AH823" i="21"/>
  <c r="AT823" i="21"/>
  <c r="AT815" i="21"/>
  <c r="AI815" i="21"/>
  <c r="AJ815" i="21" s="1"/>
  <c r="AT807" i="21"/>
  <c r="AI807" i="21"/>
  <c r="AK807" i="21" s="1"/>
  <c r="AL807" i="21" s="1"/>
  <c r="AN807" i="21" s="1"/>
  <c r="AH799" i="21"/>
  <c r="AT799" i="21"/>
  <c r="AT791" i="21"/>
  <c r="AI791" i="21"/>
  <c r="AH783" i="21"/>
  <c r="AT783" i="21"/>
  <c r="AH775" i="21"/>
  <c r="AT775" i="21"/>
  <c r="AT767" i="21"/>
  <c r="AI767" i="21"/>
  <c r="AK767" i="21" s="1"/>
  <c r="AL767" i="21" s="1"/>
  <c r="AN767" i="21" s="1"/>
  <c r="AT759" i="21"/>
  <c r="AI759" i="21"/>
  <c r="AH751" i="21"/>
  <c r="AT751" i="21"/>
  <c r="AT743" i="21"/>
  <c r="AI743" i="21"/>
  <c r="AK743" i="21" s="1"/>
  <c r="AL743" i="21" s="1"/>
  <c r="AN743" i="21" s="1"/>
  <c r="AH735" i="21"/>
  <c r="AT735" i="21"/>
  <c r="AT727" i="21"/>
  <c r="AI727" i="21"/>
  <c r="AH719" i="21"/>
  <c r="AT719" i="21"/>
  <c r="AH711" i="21"/>
  <c r="AT711" i="21"/>
  <c r="AH703" i="21"/>
  <c r="AT703" i="21"/>
  <c r="AT695" i="21"/>
  <c r="AI695" i="21"/>
  <c r="AJ695" i="21" s="1"/>
  <c r="AT687" i="21"/>
  <c r="AI687" i="21"/>
  <c r="AK687" i="21" s="1"/>
  <c r="AL687" i="21" s="1"/>
  <c r="AN687" i="21" s="1"/>
  <c r="AH679" i="21"/>
  <c r="AT679" i="21"/>
  <c r="AT671" i="21"/>
  <c r="AI671" i="21"/>
  <c r="AJ671" i="21" s="1"/>
  <c r="AT663" i="21"/>
  <c r="AI663" i="21"/>
  <c r="AT655" i="21"/>
  <c r="AI655" i="21"/>
  <c r="AK655" i="21" s="1"/>
  <c r="AL655" i="21" s="1"/>
  <c r="AN655" i="21" s="1"/>
  <c r="AH647" i="21"/>
  <c r="AT647" i="21"/>
  <c r="AH639" i="21"/>
  <c r="AT639" i="21"/>
  <c r="AH631" i="21"/>
  <c r="AT631" i="21"/>
  <c r="AT623" i="21"/>
  <c r="AI623" i="21"/>
  <c r="AJ623" i="21" s="1"/>
  <c r="AT615" i="21"/>
  <c r="AI615" i="21"/>
  <c r="AJ615" i="21" s="1"/>
  <c r="AH607" i="21"/>
  <c r="AT607" i="21"/>
  <c r="AT599" i="21"/>
  <c r="AI599" i="21"/>
  <c r="AT591" i="21"/>
  <c r="AI591" i="21"/>
  <c r="AK591" i="21" s="1"/>
  <c r="AL591" i="21" s="1"/>
  <c r="AN591" i="21" s="1"/>
  <c r="AH583" i="21"/>
  <c r="AT583" i="21"/>
  <c r="AT575" i="21"/>
  <c r="AI575" i="21"/>
  <c r="AJ575" i="21" s="1"/>
  <c r="AH567" i="21"/>
  <c r="AT567" i="21"/>
  <c r="AH559" i="21"/>
  <c r="AT559" i="21"/>
  <c r="AT551" i="21"/>
  <c r="AI551" i="21"/>
  <c r="AK551" i="21" s="1"/>
  <c r="AL551" i="21" s="1"/>
  <c r="AN551" i="21" s="1"/>
  <c r="AT543" i="21"/>
  <c r="AI543" i="21"/>
  <c r="AK543" i="21" s="1"/>
  <c r="AL543" i="21" s="1"/>
  <c r="AN543" i="21" s="1"/>
  <c r="AH535" i="21"/>
  <c r="AT535" i="21"/>
  <c r="AH527" i="21"/>
  <c r="AT527" i="21"/>
  <c r="AH519" i="21"/>
  <c r="AT519" i="21"/>
  <c r="AH511" i="21"/>
  <c r="AT511" i="21"/>
  <c r="AT503" i="21"/>
  <c r="AI503" i="21"/>
  <c r="AT495" i="21"/>
  <c r="AI495" i="21"/>
  <c r="AJ495" i="21" s="1"/>
  <c r="AH487" i="21"/>
  <c r="AT487" i="21"/>
  <c r="AH479" i="21"/>
  <c r="AT479" i="21"/>
  <c r="AH471" i="21"/>
  <c r="AT471" i="21"/>
  <c r="AH463" i="21"/>
  <c r="AT463" i="21"/>
  <c r="AI455" i="21"/>
  <c r="AJ455" i="21" s="1"/>
  <c r="AT455" i="21"/>
  <c r="AH447" i="21"/>
  <c r="AT447" i="21"/>
  <c r="AT439" i="21"/>
  <c r="AI439" i="21"/>
  <c r="AT431" i="21"/>
  <c r="AI431" i="21"/>
  <c r="AJ431" i="21" s="1"/>
  <c r="AT423" i="21"/>
  <c r="AI423" i="21"/>
  <c r="AK423" i="21" s="1"/>
  <c r="AL423" i="21" s="1"/>
  <c r="AN423" i="21" s="1"/>
  <c r="AT415" i="21"/>
  <c r="AI415" i="21"/>
  <c r="AK415" i="21" s="1"/>
  <c r="AL415" i="21" s="1"/>
  <c r="AN415" i="21" s="1"/>
  <c r="AT407" i="21"/>
  <c r="AI407" i="21"/>
  <c r="AJ407" i="21" s="1"/>
  <c r="AH399" i="21"/>
  <c r="AT399" i="21"/>
  <c r="AT391" i="21"/>
  <c r="AI391" i="21"/>
  <c r="AK391" i="21" s="1"/>
  <c r="AL391" i="21" s="1"/>
  <c r="AN391" i="21" s="1"/>
  <c r="AH383" i="21"/>
  <c r="AT383" i="21"/>
  <c r="AH375" i="21"/>
  <c r="AT375" i="21"/>
  <c r="AH367" i="21"/>
  <c r="AT367" i="21"/>
  <c r="AT359" i="21"/>
  <c r="AI359" i="21"/>
  <c r="AK359" i="21" s="1"/>
  <c r="AL359" i="21" s="1"/>
  <c r="AN359" i="21" s="1"/>
  <c r="AH351" i="21"/>
  <c r="AT351" i="21"/>
  <c r="AH343" i="21"/>
  <c r="AT343" i="21"/>
  <c r="AH335" i="21"/>
  <c r="AT335" i="21"/>
  <c r="AH327" i="21"/>
  <c r="AT327" i="21"/>
  <c r="AH319" i="21"/>
  <c r="AT319" i="21"/>
  <c r="AT311" i="21"/>
  <c r="AI311" i="21"/>
  <c r="AJ311" i="21" s="1"/>
  <c r="AT303" i="21"/>
  <c r="AI303" i="21"/>
  <c r="AK303" i="21" s="1"/>
  <c r="AL303" i="21" s="1"/>
  <c r="AN303" i="21" s="1"/>
  <c r="AT295" i="21"/>
  <c r="AI295" i="21"/>
  <c r="AJ295" i="21" s="1"/>
  <c r="AT287" i="21"/>
  <c r="AI287" i="21"/>
  <c r="AJ287" i="21" s="1"/>
  <c r="AT279" i="21"/>
  <c r="AI279" i="21"/>
  <c r="AH271" i="21"/>
  <c r="AT271" i="21"/>
  <c r="AT263" i="21"/>
  <c r="AI263" i="21"/>
  <c r="AJ263" i="21" s="1"/>
  <c r="AH255" i="21"/>
  <c r="AT255" i="21"/>
  <c r="AT247" i="21"/>
  <c r="AI247" i="21"/>
  <c r="AT239" i="21"/>
  <c r="AI239" i="21"/>
  <c r="AJ239" i="21" s="1"/>
  <c r="AT231" i="21"/>
  <c r="AI231" i="21"/>
  <c r="AK231" i="21" s="1"/>
  <c r="AL231" i="21" s="1"/>
  <c r="AN231" i="21" s="1"/>
  <c r="AT223" i="21"/>
  <c r="AI223" i="21"/>
  <c r="AJ223" i="21" s="1"/>
  <c r="AT215" i="21"/>
  <c r="AI215" i="21"/>
  <c r="AJ215" i="21" s="1"/>
  <c r="AH207" i="21"/>
  <c r="AT207" i="21"/>
  <c r="AT199" i="21"/>
  <c r="AI199" i="21"/>
  <c r="AK199" i="21" s="1"/>
  <c r="AL199" i="21" s="1"/>
  <c r="AN199" i="21" s="1"/>
  <c r="AH191" i="21"/>
  <c r="AT191" i="21"/>
  <c r="AH183" i="21"/>
  <c r="AT183" i="21"/>
  <c r="AH175" i="21"/>
  <c r="AT175" i="21"/>
  <c r="AT167" i="21"/>
  <c r="AI167" i="21"/>
  <c r="AK167" i="21" s="1"/>
  <c r="AL167" i="21" s="1"/>
  <c r="AN167" i="21" s="1"/>
  <c r="AT159" i="21"/>
  <c r="AI159" i="21"/>
  <c r="AK159" i="21" s="1"/>
  <c r="AL159" i="21" s="1"/>
  <c r="AN159" i="21" s="1"/>
  <c r="AT151" i="21"/>
  <c r="AI151" i="21"/>
  <c r="AT143" i="21"/>
  <c r="AI143" i="21"/>
  <c r="AJ143" i="21" s="1"/>
  <c r="AT135" i="21"/>
  <c r="AI135" i="21"/>
  <c r="AK135" i="21" s="1"/>
  <c r="AL135" i="21" s="1"/>
  <c r="AN135" i="21" s="1"/>
  <c r="AH127" i="21"/>
  <c r="AT127" i="21"/>
  <c r="AT119" i="21"/>
  <c r="AI119" i="21"/>
  <c r="AH111" i="21"/>
  <c r="AT111" i="21"/>
  <c r="AT103" i="21"/>
  <c r="AI103" i="21"/>
  <c r="AK103" i="21" s="1"/>
  <c r="AL103" i="21" s="1"/>
  <c r="AN103" i="21" s="1"/>
  <c r="AH95" i="21"/>
  <c r="AT95" i="21"/>
  <c r="AH87" i="21"/>
  <c r="AT87" i="21"/>
  <c r="AH79" i="21"/>
  <c r="AT79" i="21"/>
  <c r="AT71" i="21"/>
  <c r="AI71" i="21"/>
  <c r="AK71" i="21" s="1"/>
  <c r="AL71" i="21" s="1"/>
  <c r="AN71" i="21" s="1"/>
  <c r="AH63" i="21"/>
  <c r="AT63" i="21"/>
  <c r="AH55" i="21"/>
  <c r="AT55" i="21"/>
  <c r="AT47" i="21"/>
  <c r="AI47" i="21"/>
  <c r="AJ47" i="21" s="1"/>
  <c r="AH39" i="21"/>
  <c r="AT39" i="21"/>
  <c r="AH31" i="21"/>
  <c r="AT31" i="21"/>
  <c r="AH23" i="21"/>
  <c r="AT23" i="21"/>
  <c r="AH15" i="21"/>
  <c r="AT15" i="21"/>
  <c r="AH7" i="21"/>
  <c r="AT7" i="21"/>
  <c r="AF654" i="21"/>
  <c r="AS654" i="21"/>
  <c r="AF646" i="21"/>
  <c r="AS646" i="21"/>
  <c r="AF638" i="21"/>
  <c r="AS638" i="21"/>
  <c r="AF630" i="21"/>
  <c r="AS630" i="21"/>
  <c r="AF622" i="21"/>
  <c r="AS622" i="21"/>
  <c r="AF614" i="21"/>
  <c r="AS614" i="21"/>
  <c r="AF606" i="21"/>
  <c r="AS606" i="21"/>
  <c r="AF598" i="21"/>
  <c r="AS598" i="21"/>
  <c r="AF590" i="21"/>
  <c r="AS590" i="21"/>
  <c r="AF582" i="21"/>
  <c r="AS582" i="21"/>
  <c r="AF574" i="21"/>
  <c r="AS574" i="21"/>
  <c r="AF566" i="21"/>
  <c r="AS566" i="21"/>
  <c r="AF558" i="21"/>
  <c r="AS558" i="21"/>
  <c r="AF550" i="21"/>
  <c r="AS550" i="21"/>
  <c r="AF542" i="21"/>
  <c r="AS542" i="21"/>
  <c r="AF534" i="21"/>
  <c r="AS534" i="21"/>
  <c r="AF526" i="21"/>
  <c r="AS526" i="21"/>
  <c r="AF518" i="21"/>
  <c r="AS518" i="21"/>
  <c r="AS510" i="21"/>
  <c r="AF502" i="21"/>
  <c r="AS502" i="21"/>
  <c r="AF494" i="21"/>
  <c r="AS494" i="21"/>
  <c r="AF486" i="21"/>
  <c r="AS486" i="21"/>
  <c r="AF478" i="21"/>
  <c r="AS478" i="21"/>
  <c r="AF470" i="21"/>
  <c r="AS470" i="21"/>
  <c r="AF462" i="21"/>
  <c r="AS462" i="21"/>
  <c r="AF454" i="21"/>
  <c r="AS454" i="21"/>
  <c r="AF446" i="21"/>
  <c r="AS446" i="21"/>
  <c r="AF438" i="21"/>
  <c r="AS438" i="21"/>
  <c r="AF430" i="21"/>
  <c r="AS430" i="21"/>
  <c r="AF422" i="21"/>
  <c r="AS422" i="21"/>
  <c r="AF414" i="21"/>
  <c r="AS414" i="21"/>
  <c r="AF406" i="21"/>
  <c r="AS406" i="21"/>
  <c r="AF398" i="21"/>
  <c r="AS398" i="21"/>
  <c r="AF390" i="21"/>
  <c r="AS390" i="21"/>
  <c r="AF382" i="21"/>
  <c r="AS382" i="21"/>
  <c r="AF374" i="21"/>
  <c r="AS374" i="21"/>
  <c r="AF366" i="21"/>
  <c r="AS366" i="21"/>
  <c r="AF358" i="21"/>
  <c r="AS358" i="21"/>
  <c r="AF350" i="21"/>
  <c r="AS350" i="21"/>
  <c r="AF342" i="21"/>
  <c r="AS342" i="21"/>
  <c r="AF334" i="21"/>
  <c r="AS334" i="21"/>
  <c r="AF326" i="21"/>
  <c r="AS326" i="21"/>
  <c r="AF318" i="21"/>
  <c r="AS318" i="21"/>
  <c r="AF310" i="21"/>
  <c r="AS310" i="21"/>
  <c r="AF302" i="21"/>
  <c r="AS302" i="21"/>
  <c r="AF294" i="21"/>
  <c r="AS294" i="21"/>
  <c r="AF286" i="21"/>
  <c r="AS286" i="21"/>
  <c r="AF278" i="21"/>
  <c r="AS278" i="21"/>
  <c r="AF270" i="21"/>
  <c r="AS270" i="21"/>
  <c r="AF262" i="21"/>
  <c r="AS262" i="21"/>
  <c r="AF254" i="21"/>
  <c r="AS254" i="21"/>
  <c r="AF246" i="21"/>
  <c r="AS246" i="21"/>
  <c r="AF238" i="21"/>
  <c r="AS238" i="21"/>
  <c r="AF230" i="21"/>
  <c r="AS230" i="21"/>
  <c r="AF222" i="21"/>
  <c r="AS222" i="21"/>
  <c r="AF214" i="21"/>
  <c r="AS214" i="21"/>
  <c r="AF206" i="21"/>
  <c r="AS206" i="21"/>
  <c r="AF198" i="21"/>
  <c r="AS198" i="21"/>
  <c r="AF190" i="21"/>
  <c r="AS190" i="21"/>
  <c r="AF182" i="21"/>
  <c r="AS182" i="21"/>
  <c r="AF174" i="21"/>
  <c r="AS174" i="21"/>
  <c r="AF166" i="21"/>
  <c r="AS166" i="21"/>
  <c r="AF158" i="21"/>
  <c r="AS158" i="21"/>
  <c r="AF150" i="21"/>
  <c r="AS150" i="21"/>
  <c r="AF142" i="21"/>
  <c r="AS142" i="21"/>
  <c r="AF134" i="21"/>
  <c r="AS134" i="21"/>
  <c r="AF126" i="21"/>
  <c r="AS126" i="21"/>
  <c r="AF118" i="21"/>
  <c r="AS118" i="21"/>
  <c r="AF110" i="21"/>
  <c r="AS110" i="21"/>
  <c r="AF102" i="21"/>
  <c r="AS102" i="21"/>
  <c r="AF94" i="21"/>
  <c r="AS94" i="21"/>
  <c r="AF86" i="21"/>
  <c r="AS86" i="21"/>
  <c r="AF78" i="21"/>
  <c r="AS78" i="21"/>
  <c r="AF70" i="21"/>
  <c r="AS70" i="21"/>
  <c r="AF62" i="21"/>
  <c r="AS62" i="21"/>
  <c r="AF54" i="21"/>
  <c r="AS54" i="21"/>
  <c r="AF46" i="21"/>
  <c r="AS46" i="21"/>
  <c r="AF38" i="21"/>
  <c r="AS38" i="21"/>
  <c r="AF30" i="21"/>
  <c r="AS30" i="21"/>
  <c r="AF22" i="21"/>
  <c r="AS22" i="21"/>
  <c r="AF14" i="21"/>
  <c r="AS14" i="21"/>
  <c r="AF6" i="21"/>
  <c r="AS6" i="21"/>
  <c r="AH1126" i="21"/>
  <c r="AT1126" i="21"/>
  <c r="AT1118" i="21"/>
  <c r="AI1118" i="21"/>
  <c r="AK1118" i="21" s="1"/>
  <c r="AL1118" i="21" s="1"/>
  <c r="AN1118" i="21" s="1"/>
  <c r="AH1110" i="21"/>
  <c r="AT1110" i="21"/>
  <c r="AH1102" i="21"/>
  <c r="AT1102" i="21"/>
  <c r="AH1094" i="21"/>
  <c r="AT1094" i="21"/>
  <c r="AH1086" i="21"/>
  <c r="AT1086" i="21"/>
  <c r="AH1078" i="21"/>
  <c r="AT1078" i="21"/>
  <c r="AT1070" i="21"/>
  <c r="AI1070" i="21"/>
  <c r="AH1062" i="21"/>
  <c r="AT1062" i="21"/>
  <c r="AH1054" i="21"/>
  <c r="AT1054" i="21"/>
  <c r="AH1046" i="21"/>
  <c r="AT1046" i="21"/>
  <c r="AH1038" i="21"/>
  <c r="AT1038" i="21"/>
  <c r="AH1030" i="21"/>
  <c r="AT1030" i="21"/>
  <c r="AH1022" i="21"/>
  <c r="AT1022" i="21"/>
  <c r="AH1014" i="21"/>
  <c r="AT1014" i="21"/>
  <c r="AH1006" i="21"/>
  <c r="AT1006" i="21"/>
  <c r="AH998" i="21"/>
  <c r="AT998" i="21"/>
  <c r="AH990" i="21"/>
  <c r="AT990" i="21"/>
  <c r="AH974" i="21"/>
  <c r="AT974" i="21"/>
  <c r="AH966" i="21"/>
  <c r="AT966" i="21"/>
  <c r="AH958" i="21"/>
  <c r="AT958" i="21"/>
  <c r="AT950" i="21"/>
  <c r="AI950" i="21"/>
  <c r="AJ950" i="21" s="1"/>
  <c r="AT942" i="21"/>
  <c r="AI942" i="21"/>
  <c r="AK942" i="21" s="1"/>
  <c r="AL942" i="21" s="1"/>
  <c r="AN942" i="21" s="1"/>
  <c r="AH934" i="21"/>
  <c r="AT934" i="21"/>
  <c r="AH926" i="21"/>
  <c r="AT926" i="21"/>
  <c r="AH918" i="21"/>
  <c r="AT918" i="21"/>
  <c r="AT910" i="21"/>
  <c r="AI910" i="21"/>
  <c r="AJ910" i="21" s="1"/>
  <c r="AT902" i="21"/>
  <c r="AI902" i="21"/>
  <c r="AH894" i="21"/>
  <c r="AT894" i="21"/>
  <c r="AH886" i="21"/>
  <c r="AT886" i="21"/>
  <c r="AT878" i="21"/>
  <c r="AI878" i="21"/>
  <c r="AK878" i="21" s="1"/>
  <c r="AL878" i="21" s="1"/>
  <c r="AN878" i="21" s="1"/>
  <c r="AH870" i="21"/>
  <c r="AT870" i="21"/>
  <c r="AH862" i="21"/>
  <c r="AT862" i="21"/>
  <c r="AT854" i="21"/>
  <c r="AI854" i="21"/>
  <c r="AJ854" i="21" s="1"/>
  <c r="AH846" i="21"/>
  <c r="AT846" i="21"/>
  <c r="AH838" i="21"/>
  <c r="AT838" i="21"/>
  <c r="AH830" i="21"/>
  <c r="AT830" i="21"/>
  <c r="AH822" i="21"/>
  <c r="AT822" i="21"/>
  <c r="AT814" i="21"/>
  <c r="AI814" i="21"/>
  <c r="AK814" i="21" s="1"/>
  <c r="AL814" i="21" s="1"/>
  <c r="AN814" i="21" s="1"/>
  <c r="AT806" i="21"/>
  <c r="AI806" i="21"/>
  <c r="AJ806" i="21" s="1"/>
  <c r="AH798" i="21"/>
  <c r="AT798" i="21"/>
  <c r="AH790" i="21"/>
  <c r="AT790" i="21"/>
  <c r="AT782" i="21"/>
  <c r="AI782" i="21"/>
  <c r="AJ782" i="21" s="1"/>
  <c r="AH774" i="21"/>
  <c r="AT774" i="21"/>
  <c r="AT766" i="21"/>
  <c r="AI766" i="21"/>
  <c r="AJ766" i="21" s="1"/>
  <c r="AI758" i="21"/>
  <c r="AT758" i="21"/>
  <c r="AH750" i="21"/>
  <c r="AT750" i="21"/>
  <c r="AH742" i="21"/>
  <c r="AT742" i="21"/>
  <c r="AH734" i="21"/>
  <c r="AT734" i="21"/>
  <c r="AH726" i="21"/>
  <c r="AT726" i="21"/>
  <c r="AH718" i="21"/>
  <c r="AT718" i="21"/>
  <c r="AH710" i="21"/>
  <c r="AT710" i="21"/>
  <c r="AH702" i="21"/>
  <c r="AT702" i="21"/>
  <c r="AT694" i="21"/>
  <c r="AI694" i="21"/>
  <c r="AK694" i="21" s="1"/>
  <c r="AL694" i="21" s="1"/>
  <c r="AN694" i="21" s="1"/>
  <c r="AT686" i="21"/>
  <c r="AI686" i="21"/>
  <c r="AK686" i="21" s="1"/>
  <c r="AL686" i="21" s="1"/>
  <c r="AN686" i="21" s="1"/>
  <c r="AT678" i="21"/>
  <c r="AI678" i="21"/>
  <c r="AT670" i="21"/>
  <c r="AI670" i="21"/>
  <c r="AT662" i="21"/>
  <c r="AI662" i="21"/>
  <c r="AK662" i="21" s="1"/>
  <c r="AL662" i="21" s="1"/>
  <c r="AN662" i="21" s="1"/>
  <c r="AT654" i="21"/>
  <c r="AI654" i="21"/>
  <c r="AK654" i="21" s="1"/>
  <c r="AL654" i="21" s="1"/>
  <c r="AN654" i="21" s="1"/>
  <c r="AH646" i="21"/>
  <c r="AT646" i="21"/>
  <c r="AT638" i="21"/>
  <c r="AI638" i="21"/>
  <c r="AJ638" i="21" s="1"/>
  <c r="AT630" i="21"/>
  <c r="AI630" i="21"/>
  <c r="AK630" i="21" s="1"/>
  <c r="AL630" i="21" s="1"/>
  <c r="AN630" i="21" s="1"/>
  <c r="AT622" i="21"/>
  <c r="AI622" i="21"/>
  <c r="AJ622" i="21" s="1"/>
  <c r="AH614" i="21"/>
  <c r="AT614" i="21"/>
  <c r="AH606" i="21"/>
  <c r="AT606" i="21"/>
  <c r="AT598" i="21"/>
  <c r="AI598" i="21"/>
  <c r="AK598" i="21" s="1"/>
  <c r="AL598" i="21" s="1"/>
  <c r="AN598" i="21" s="1"/>
  <c r="AT590" i="21"/>
  <c r="AI590" i="21"/>
  <c r="AJ590" i="21" s="1"/>
  <c r="AH582" i="21"/>
  <c r="AT582" i="21"/>
  <c r="AH574" i="21"/>
  <c r="AT574" i="21"/>
  <c r="AH566" i="21"/>
  <c r="AT566" i="21"/>
  <c r="AH558" i="21"/>
  <c r="AT558" i="21"/>
  <c r="AT550" i="21"/>
  <c r="AI550" i="21"/>
  <c r="AT542" i="21"/>
  <c r="AI542" i="21"/>
  <c r="AH534" i="21"/>
  <c r="AT534" i="21"/>
  <c r="AH526" i="21"/>
  <c r="AT526" i="21"/>
  <c r="AT518" i="21"/>
  <c r="AI518" i="21"/>
  <c r="AJ518" i="21" s="1"/>
  <c r="AT502" i="21"/>
  <c r="AI502" i="21"/>
  <c r="AH494" i="21"/>
  <c r="AT494" i="21"/>
  <c r="AH486" i="21"/>
  <c r="AT486" i="21"/>
  <c r="AH478" i="21"/>
  <c r="AT478" i="21"/>
  <c r="AT470" i="21"/>
  <c r="AI470" i="21"/>
  <c r="AH462" i="21"/>
  <c r="AT462" i="21"/>
  <c r="AH454" i="21"/>
  <c r="AT454" i="21"/>
  <c r="AT446" i="21"/>
  <c r="AI446" i="21"/>
  <c r="AH438" i="21"/>
  <c r="AT438" i="21"/>
  <c r="AT430" i="21"/>
  <c r="AI430" i="21"/>
  <c r="AJ430" i="21" s="1"/>
  <c r="AT422" i="21"/>
  <c r="AI422" i="21"/>
  <c r="AJ422" i="21" s="1"/>
  <c r="AT414" i="21"/>
  <c r="AI414" i="21"/>
  <c r="AH406" i="21"/>
  <c r="AT406" i="21"/>
  <c r="AH398" i="21"/>
  <c r="AT398" i="21"/>
  <c r="AH390" i="21"/>
  <c r="AT390" i="21"/>
  <c r="AH382" i="21"/>
  <c r="AT382" i="21"/>
  <c r="AH374" i="21"/>
  <c r="AT374" i="21"/>
  <c r="AT366" i="21"/>
  <c r="AI366" i="21"/>
  <c r="AH358" i="21"/>
  <c r="AT358" i="21"/>
  <c r="AT350" i="21"/>
  <c r="AI350" i="21"/>
  <c r="AH342" i="21"/>
  <c r="AT342" i="21"/>
  <c r="AH334" i="21"/>
  <c r="AT334" i="21"/>
  <c r="AT326" i="21"/>
  <c r="AI326" i="21"/>
  <c r="AJ326" i="21" s="1"/>
  <c r="AH318" i="21"/>
  <c r="AT318" i="21"/>
  <c r="AT310" i="21"/>
  <c r="AI310" i="21"/>
  <c r="AT302" i="21"/>
  <c r="AI302" i="21"/>
  <c r="AK302" i="21" s="1"/>
  <c r="AL302" i="21" s="1"/>
  <c r="AN302" i="21" s="1"/>
  <c r="AH294" i="21"/>
  <c r="AT294" i="21"/>
  <c r="AH286" i="21"/>
  <c r="AT286" i="21"/>
  <c r="AT278" i="21"/>
  <c r="AI278" i="21"/>
  <c r="AH270" i="21"/>
  <c r="AT270" i="21"/>
  <c r="AT262" i="21"/>
  <c r="AI262" i="21"/>
  <c r="AJ262" i="21" s="1"/>
  <c r="AT254" i="21"/>
  <c r="AI254" i="21"/>
  <c r="AH246" i="21"/>
  <c r="AT246" i="21"/>
  <c r="AT238" i="21"/>
  <c r="AI238" i="21"/>
  <c r="AJ238" i="21" s="1"/>
  <c r="AT230" i="21"/>
  <c r="AI230" i="21"/>
  <c r="AJ230" i="21" s="1"/>
  <c r="AT222" i="21"/>
  <c r="AI222" i="21"/>
  <c r="AH214" i="21"/>
  <c r="AT214" i="21"/>
  <c r="AT206" i="21"/>
  <c r="AI206" i="21"/>
  <c r="AJ206" i="21" s="1"/>
  <c r="AH198" i="21"/>
  <c r="AT198" i="21"/>
  <c r="AH190" i="21"/>
  <c r="AT190" i="21"/>
  <c r="AH182" i="21"/>
  <c r="AT182" i="21"/>
  <c r="AH174" i="21"/>
  <c r="AT174" i="21"/>
  <c r="AH166" i="21"/>
  <c r="AT166" i="21"/>
  <c r="AT158" i="21"/>
  <c r="AI158" i="21"/>
  <c r="AH150" i="21"/>
  <c r="AT150" i="21"/>
  <c r="AH142" i="21"/>
  <c r="AT142" i="21"/>
  <c r="AT134" i="21"/>
  <c r="AI134" i="21"/>
  <c r="AK134" i="21" s="1"/>
  <c r="AL134" i="21" s="1"/>
  <c r="AN134" i="21" s="1"/>
  <c r="AH126" i="21"/>
  <c r="AT126" i="21"/>
  <c r="AH118" i="21"/>
  <c r="AT118" i="21"/>
  <c r="AH110" i="21"/>
  <c r="AT110" i="21"/>
  <c r="AH102" i="21"/>
  <c r="AT102" i="21"/>
  <c r="AH94" i="21"/>
  <c r="AT94" i="21"/>
  <c r="AH86" i="21"/>
  <c r="AT86" i="21"/>
  <c r="AH78" i="21"/>
  <c r="AT78" i="21"/>
  <c r="AH70" i="21"/>
  <c r="AT70" i="21"/>
  <c r="AT62" i="21"/>
  <c r="AI62" i="21"/>
  <c r="AH54" i="21"/>
  <c r="AT54" i="21"/>
  <c r="AT46" i="21"/>
  <c r="AI46" i="21"/>
  <c r="AK46" i="21" s="1"/>
  <c r="AL46" i="21" s="1"/>
  <c r="AN46" i="21" s="1"/>
  <c r="AT38" i="21"/>
  <c r="AI38" i="21"/>
  <c r="AJ38" i="21" s="1"/>
  <c r="AH22" i="21"/>
  <c r="AT22" i="21"/>
  <c r="AT14" i="21"/>
  <c r="AI14" i="21"/>
  <c r="AK14" i="21" s="1"/>
  <c r="AL14" i="21" s="1"/>
  <c r="AH6" i="21"/>
  <c r="AT6" i="21"/>
  <c r="AF549" i="21"/>
  <c r="AS549" i="21"/>
  <c r="AF541" i="21"/>
  <c r="AS541" i="21"/>
  <c r="AF533" i="21"/>
  <c r="AS533" i="21"/>
  <c r="AS525" i="21"/>
  <c r="AF517" i="21"/>
  <c r="AS517" i="21"/>
  <c r="AS509" i="21"/>
  <c r="AF501" i="21"/>
  <c r="AS501" i="21"/>
  <c r="AF493" i="21"/>
  <c r="AS493" i="21"/>
  <c r="AF485" i="21"/>
  <c r="AS485" i="21"/>
  <c r="AF477" i="21"/>
  <c r="AS477" i="21"/>
  <c r="AF469" i="21"/>
  <c r="AS469" i="21"/>
  <c r="AF461" i="21"/>
  <c r="AS461" i="21"/>
  <c r="AF453" i="21"/>
  <c r="AS453" i="21"/>
  <c r="AF445" i="21"/>
  <c r="AS445" i="21"/>
  <c r="AF437" i="21"/>
  <c r="AS437" i="21"/>
  <c r="AF429" i="21"/>
  <c r="AS429" i="21"/>
  <c r="AF421" i="21"/>
  <c r="AS421" i="21"/>
  <c r="AF413" i="21"/>
  <c r="AS413" i="21"/>
  <c r="AF405" i="21"/>
  <c r="AS405" i="21"/>
  <c r="AF397" i="21"/>
  <c r="AS397" i="21"/>
  <c r="AF389" i="21"/>
  <c r="AS389" i="21"/>
  <c r="AF381" i="21"/>
  <c r="AS381" i="21"/>
  <c r="AF373" i="21"/>
  <c r="AS373" i="21"/>
  <c r="AF365" i="21"/>
  <c r="AS365" i="21"/>
  <c r="AF357" i="21"/>
  <c r="AS357" i="21"/>
  <c r="AF349" i="21"/>
  <c r="AS349" i="21"/>
  <c r="AF341" i="21"/>
  <c r="AS341" i="21"/>
  <c r="AF333" i="21"/>
  <c r="AS333" i="21"/>
  <c r="AF325" i="21"/>
  <c r="AS325" i="21"/>
  <c r="AF317" i="21"/>
  <c r="AS317" i="21"/>
  <c r="AF309" i="21"/>
  <c r="AS309" i="21"/>
  <c r="AF301" i="21"/>
  <c r="AS301" i="21"/>
  <c r="AF293" i="21"/>
  <c r="AS293" i="21"/>
  <c r="AF285" i="21"/>
  <c r="AS285" i="21"/>
  <c r="AF277" i="21"/>
  <c r="AS277" i="21"/>
  <c r="AF269" i="21"/>
  <c r="AS269" i="21"/>
  <c r="AF261" i="21"/>
  <c r="AS261" i="21"/>
  <c r="AF253" i="21"/>
  <c r="AS253" i="21"/>
  <c r="AF245" i="21"/>
  <c r="AS245" i="21"/>
  <c r="AF237" i="21"/>
  <c r="AS237" i="21"/>
  <c r="AF229" i="21"/>
  <c r="AS229" i="21"/>
  <c r="AF221" i="21"/>
  <c r="AS221" i="21"/>
  <c r="AF213" i="21"/>
  <c r="AS213" i="21"/>
  <c r="AF205" i="21"/>
  <c r="AS205" i="21"/>
  <c r="AF197" i="21"/>
  <c r="AS197" i="21"/>
  <c r="AF189" i="21"/>
  <c r="AS189" i="21"/>
  <c r="AF181" i="21"/>
  <c r="AS181" i="21"/>
  <c r="AS173" i="21"/>
  <c r="AF165" i="21"/>
  <c r="AS165" i="21"/>
  <c r="AF157" i="21"/>
  <c r="AS157" i="21"/>
  <c r="AF149" i="21"/>
  <c r="AS149" i="21"/>
  <c r="AF141" i="21"/>
  <c r="AS141" i="21"/>
  <c r="AF133" i="21"/>
  <c r="AS133" i="21"/>
  <c r="AF125" i="21"/>
  <c r="AS125" i="21"/>
  <c r="AF117" i="21"/>
  <c r="AS117" i="21"/>
  <c r="AF109" i="21"/>
  <c r="AS109" i="21"/>
  <c r="AF101" i="21"/>
  <c r="AS101" i="21"/>
  <c r="AF93" i="21"/>
  <c r="AS93" i="21"/>
  <c r="AF85" i="21"/>
  <c r="AS85" i="21"/>
  <c r="AF77" i="21"/>
  <c r="AS77" i="21"/>
  <c r="AF69" i="21"/>
  <c r="AS69" i="21"/>
  <c r="AF61" i="21"/>
  <c r="AS61" i="21"/>
  <c r="AF53" i="21"/>
  <c r="AS53" i="21"/>
  <c r="AF45" i="21"/>
  <c r="AS45" i="21"/>
  <c r="AF37" i="21"/>
  <c r="AS37" i="21"/>
  <c r="AF29" i="21"/>
  <c r="AS29" i="21"/>
  <c r="AF21" i="21"/>
  <c r="AS21" i="21"/>
  <c r="AF13" i="21"/>
  <c r="AS13" i="21"/>
  <c r="AF5" i="21"/>
  <c r="AS5" i="21"/>
  <c r="AT1125" i="21"/>
  <c r="AI1125" i="21"/>
  <c r="AK1125" i="21" s="1"/>
  <c r="AL1125" i="21" s="1"/>
  <c r="AN1125" i="21" s="1"/>
  <c r="AH1117" i="21"/>
  <c r="AT1117" i="21"/>
  <c r="AH1109" i="21"/>
  <c r="AT1109" i="21"/>
  <c r="AH1101" i="21"/>
  <c r="AT1101" i="21"/>
  <c r="AH1093" i="21"/>
  <c r="AT1093" i="21"/>
  <c r="AT1085" i="21"/>
  <c r="AI1085" i="21"/>
  <c r="AH1077" i="21"/>
  <c r="AT1077" i="21"/>
  <c r="AH1069" i="21"/>
  <c r="AT1069" i="21"/>
  <c r="AH1061" i="21"/>
  <c r="AT1061" i="21"/>
  <c r="AT1053" i="21"/>
  <c r="AI1053" i="21"/>
  <c r="AJ1053" i="21" s="1"/>
  <c r="AH1045" i="21"/>
  <c r="AT1045" i="21"/>
  <c r="AH1037" i="21"/>
  <c r="AT1037" i="21"/>
  <c r="AH1029" i="21"/>
  <c r="AT1029" i="21"/>
  <c r="AH1021" i="21"/>
  <c r="AT1021" i="21"/>
  <c r="AH1013" i="21"/>
  <c r="AT1013" i="21"/>
  <c r="AH1005" i="21"/>
  <c r="AT1005" i="21"/>
  <c r="AH997" i="21"/>
  <c r="AT997" i="21"/>
  <c r="AH989" i="21"/>
  <c r="AT989" i="21"/>
  <c r="AT981" i="21"/>
  <c r="AI981" i="21"/>
  <c r="AJ981" i="21" s="1"/>
  <c r="AH973" i="21"/>
  <c r="AT973" i="21"/>
  <c r="AH965" i="21"/>
  <c r="AT965" i="21"/>
  <c r="AT957" i="21"/>
  <c r="AI957" i="21"/>
  <c r="AJ957" i="21" s="1"/>
  <c r="AT949" i="21"/>
  <c r="AI949" i="21"/>
  <c r="AT941" i="21"/>
  <c r="AI941" i="21"/>
  <c r="AK941" i="21" s="1"/>
  <c r="AL941" i="21" s="1"/>
  <c r="AN941" i="21" s="1"/>
  <c r="AT933" i="21"/>
  <c r="AI933" i="21"/>
  <c r="AK933" i="21" s="1"/>
  <c r="AL933" i="21" s="1"/>
  <c r="AN933" i="21" s="1"/>
  <c r="AT925" i="21"/>
  <c r="AI925" i="21"/>
  <c r="AK925" i="21" s="1"/>
  <c r="AL925" i="21" s="1"/>
  <c r="AN925" i="21" s="1"/>
  <c r="AH917" i="21"/>
  <c r="AT917" i="21"/>
  <c r="AT909" i="21"/>
  <c r="AI909" i="21"/>
  <c r="AK909" i="21" s="1"/>
  <c r="AL909" i="21" s="1"/>
  <c r="AN909" i="21" s="1"/>
  <c r="AT901" i="21"/>
  <c r="AI901" i="21"/>
  <c r="AK901" i="21" s="1"/>
  <c r="AL901" i="21" s="1"/>
  <c r="AN901" i="21" s="1"/>
  <c r="AH893" i="21"/>
  <c r="AT893" i="21"/>
  <c r="AH885" i="21"/>
  <c r="AT885" i="21"/>
  <c r="AH877" i="21"/>
  <c r="AT877" i="21"/>
  <c r="AT869" i="21"/>
  <c r="AI869" i="21"/>
  <c r="AK869" i="21" s="1"/>
  <c r="AL869" i="21" s="1"/>
  <c r="AN869" i="21" s="1"/>
  <c r="AH861" i="21"/>
  <c r="AT861" i="21"/>
  <c r="AH853" i="21"/>
  <c r="AT853" i="21"/>
  <c r="AH845" i="21"/>
  <c r="AT845" i="21"/>
  <c r="AH837" i="21"/>
  <c r="AT837" i="21"/>
  <c r="AH829" i="21"/>
  <c r="AT829" i="21"/>
  <c r="AH821" i="21"/>
  <c r="AT821" i="21"/>
  <c r="AT813" i="21"/>
  <c r="AI813" i="21"/>
  <c r="AJ813" i="21" s="1"/>
  <c r="AT805" i="21"/>
  <c r="AI805" i="21"/>
  <c r="AK805" i="21" s="1"/>
  <c r="AL805" i="21" s="1"/>
  <c r="AN805" i="21" s="1"/>
  <c r="AH797" i="21"/>
  <c r="AT797" i="21"/>
  <c r="AT789" i="21"/>
  <c r="AI789" i="21"/>
  <c r="AH781" i="21"/>
  <c r="AT781" i="21"/>
  <c r="AH773" i="21"/>
  <c r="AT773" i="21"/>
  <c r="AH765" i="21"/>
  <c r="AT765" i="21"/>
  <c r="AT757" i="21"/>
  <c r="AI757" i="21"/>
  <c r="AK757" i="21" s="1"/>
  <c r="AL757" i="21" s="1"/>
  <c r="AN757" i="21" s="1"/>
  <c r="AT749" i="21"/>
  <c r="AI749" i="21"/>
  <c r="AK749" i="21" s="1"/>
  <c r="AL749" i="21" s="1"/>
  <c r="AN749" i="21" s="1"/>
  <c r="AH741" i="21"/>
  <c r="AT741" i="21"/>
  <c r="AH733" i="21"/>
  <c r="AT733" i="21"/>
  <c r="AH725" i="21"/>
  <c r="AT725" i="21"/>
  <c r="AH717" i="21"/>
  <c r="AT717" i="21"/>
  <c r="AH709" i="21"/>
  <c r="AT709" i="21"/>
  <c r="AH701" i="21"/>
  <c r="AT701" i="21"/>
  <c r="AT693" i="21"/>
  <c r="AI693" i="21"/>
  <c r="AH685" i="21"/>
  <c r="AT685" i="21"/>
  <c r="AH677" i="21"/>
  <c r="AT677" i="21"/>
  <c r="AT669" i="21"/>
  <c r="AI669" i="21"/>
  <c r="AK669" i="21" s="1"/>
  <c r="AL669" i="21" s="1"/>
  <c r="AN669" i="21" s="1"/>
  <c r="AT661" i="21"/>
  <c r="AI661" i="21"/>
  <c r="AT653" i="21"/>
  <c r="AI653" i="21"/>
  <c r="AK653" i="21" s="1"/>
  <c r="AL653" i="21" s="1"/>
  <c r="AN653" i="21" s="1"/>
  <c r="AH645" i="21"/>
  <c r="AT645" i="21"/>
  <c r="AH637" i="21"/>
  <c r="AT637" i="21"/>
  <c r="AT629" i="21"/>
  <c r="AI629" i="21"/>
  <c r="AK629" i="21" s="1"/>
  <c r="AL629" i="21" s="1"/>
  <c r="AN629" i="21" s="1"/>
  <c r="AT621" i="21"/>
  <c r="AI621" i="21"/>
  <c r="AJ621" i="21" s="1"/>
  <c r="AT613" i="21"/>
  <c r="AI613" i="21"/>
  <c r="AH605" i="21"/>
  <c r="AT605" i="21"/>
  <c r="AT597" i="21"/>
  <c r="AI597" i="21"/>
  <c r="AJ597" i="21" s="1"/>
  <c r="AT589" i="21"/>
  <c r="AI589" i="21"/>
  <c r="AK589" i="21" s="1"/>
  <c r="AL589" i="21" s="1"/>
  <c r="AN589" i="21" s="1"/>
  <c r="AH581" i="21"/>
  <c r="AT581" i="21"/>
  <c r="AH573" i="21"/>
  <c r="AT573" i="21"/>
  <c r="AT565" i="21"/>
  <c r="AI565" i="21"/>
  <c r="AK565" i="21" s="1"/>
  <c r="AL565" i="21" s="1"/>
  <c r="AN565" i="21" s="1"/>
  <c r="AH557" i="21"/>
  <c r="AT557" i="21"/>
  <c r="AT549" i="21"/>
  <c r="AI549" i="21"/>
  <c r="AJ549" i="21" s="1"/>
  <c r="AT541" i="21"/>
  <c r="AI541" i="21"/>
  <c r="AK541" i="21" s="1"/>
  <c r="AL541" i="21" s="1"/>
  <c r="AN541" i="21" s="1"/>
  <c r="AH533" i="21"/>
  <c r="AT533" i="21"/>
  <c r="AH525" i="21"/>
  <c r="AT525" i="21"/>
  <c r="AH517" i="21"/>
  <c r="AJ517" i="21" s="1"/>
  <c r="AT517" i="21"/>
  <c r="AH501" i="21"/>
  <c r="AT501" i="21"/>
  <c r="AT493" i="21"/>
  <c r="AI493" i="21"/>
  <c r="AK493" i="21" s="1"/>
  <c r="AL493" i="21" s="1"/>
  <c r="AN493" i="21" s="1"/>
  <c r="AH485" i="21"/>
  <c r="AT485" i="21"/>
  <c r="AH477" i="21"/>
  <c r="AT477" i="21"/>
  <c r="AH469" i="21"/>
  <c r="AT469" i="21"/>
  <c r="AT461" i="21"/>
  <c r="AI461" i="21"/>
  <c r="AK461" i="21" s="1"/>
  <c r="AL461" i="21" s="1"/>
  <c r="AN461" i="21" s="1"/>
  <c r="AT453" i="21"/>
  <c r="AI453" i="21"/>
  <c r="AK453" i="21" s="1"/>
  <c r="AL453" i="21" s="1"/>
  <c r="AN453" i="21" s="1"/>
  <c r="AH445" i="21"/>
  <c r="AT445" i="21"/>
  <c r="AH437" i="21"/>
  <c r="AT437" i="21"/>
  <c r="AT429" i="21"/>
  <c r="AI429" i="21"/>
  <c r="AK429" i="21" s="1"/>
  <c r="AL429" i="21" s="1"/>
  <c r="AN429" i="21" s="1"/>
  <c r="AT421" i="21"/>
  <c r="AI421" i="21"/>
  <c r="AK421" i="21" s="1"/>
  <c r="AL421" i="21" s="1"/>
  <c r="AN421" i="21" s="1"/>
  <c r="AH413" i="21"/>
  <c r="AT413" i="21"/>
  <c r="AT405" i="21"/>
  <c r="AI405" i="21"/>
  <c r="AK405" i="21" s="1"/>
  <c r="AL405" i="21" s="1"/>
  <c r="AN405" i="21" s="1"/>
  <c r="AH397" i="21"/>
  <c r="AT397" i="21"/>
  <c r="AH389" i="21"/>
  <c r="AT389" i="21"/>
  <c r="AH381" i="21"/>
  <c r="AT381" i="21"/>
  <c r="AH373" i="21"/>
  <c r="AT373" i="21"/>
  <c r="AT365" i="21"/>
  <c r="AI365" i="21"/>
  <c r="AK365" i="21" s="1"/>
  <c r="AL365" i="21" s="1"/>
  <c r="AN365" i="21" s="1"/>
  <c r="AH357" i="21"/>
  <c r="AT357" i="21"/>
  <c r="AH349" i="21"/>
  <c r="AT349" i="21"/>
  <c r="AH341" i="21"/>
  <c r="AT341" i="21"/>
  <c r="AT333" i="21"/>
  <c r="AI333" i="21"/>
  <c r="AJ333" i="21" s="1"/>
  <c r="AH325" i="21"/>
  <c r="AT325" i="21"/>
  <c r="AT317" i="21"/>
  <c r="AI317" i="21"/>
  <c r="AK317" i="21" s="1"/>
  <c r="AL317" i="21" s="1"/>
  <c r="AN317" i="21" s="1"/>
  <c r="AT301" i="21"/>
  <c r="AI301" i="21"/>
  <c r="AK301" i="21" s="1"/>
  <c r="AL301" i="21" s="1"/>
  <c r="AN301" i="21" s="1"/>
  <c r="AH293" i="21"/>
  <c r="AT293" i="21"/>
  <c r="AT285" i="21"/>
  <c r="AI285" i="21"/>
  <c r="AK285" i="21" s="1"/>
  <c r="AL285" i="21" s="1"/>
  <c r="AN285" i="21" s="1"/>
  <c r="AT277" i="21"/>
  <c r="AI277" i="21"/>
  <c r="AK277" i="21" s="1"/>
  <c r="AL277" i="21" s="1"/>
  <c r="AN277" i="21" s="1"/>
  <c r="AH269" i="21"/>
  <c r="AT269" i="21"/>
  <c r="AT261" i="21"/>
  <c r="AI261" i="21"/>
  <c r="AJ261" i="21" s="1"/>
  <c r="AT253" i="21"/>
  <c r="AI253" i="21"/>
  <c r="AK253" i="21" s="1"/>
  <c r="AL253" i="21" s="1"/>
  <c r="AN253" i="21" s="1"/>
  <c r="AH245" i="21"/>
  <c r="AT245" i="21"/>
  <c r="AT237" i="21"/>
  <c r="AI237" i="21"/>
  <c r="AJ237" i="21" s="1"/>
  <c r="AT229" i="21"/>
  <c r="AI229" i="21"/>
  <c r="AK229" i="21" s="1"/>
  <c r="AL229" i="21" s="1"/>
  <c r="AN229" i="21" s="1"/>
  <c r="AH221" i="21"/>
  <c r="AT221" i="21"/>
  <c r="AT213" i="21"/>
  <c r="AI213" i="21"/>
  <c r="AJ213" i="21" s="1"/>
  <c r="AT205" i="21"/>
  <c r="AI205" i="21"/>
  <c r="AK205" i="21" s="1"/>
  <c r="AL205" i="21" s="1"/>
  <c r="AN205" i="21" s="1"/>
  <c r="AH197" i="21"/>
  <c r="AT197" i="21"/>
  <c r="AH189" i="21"/>
  <c r="AT189" i="21"/>
  <c r="AH181" i="21"/>
  <c r="AT181" i="21"/>
  <c r="AH173" i="21"/>
  <c r="AT173" i="21"/>
  <c r="AH165" i="21"/>
  <c r="AT165" i="21"/>
  <c r="AT157" i="21"/>
  <c r="AI157" i="21"/>
  <c r="AK157" i="21" s="1"/>
  <c r="AL157" i="21" s="1"/>
  <c r="AN157" i="21" s="1"/>
  <c r="AH149" i="21"/>
  <c r="AT149" i="21"/>
  <c r="AT141" i="21"/>
  <c r="AI141" i="21"/>
  <c r="AK141" i="21" s="1"/>
  <c r="AL141" i="21" s="1"/>
  <c r="AN141" i="21" s="1"/>
  <c r="AT133" i="21"/>
  <c r="AI133" i="21"/>
  <c r="AK133" i="21" s="1"/>
  <c r="AL133" i="21" s="1"/>
  <c r="AN133" i="21" s="1"/>
  <c r="AH125" i="21"/>
  <c r="AT125" i="21"/>
  <c r="AH117" i="21"/>
  <c r="AT117" i="21"/>
  <c r="AH109" i="21"/>
  <c r="AT109" i="21"/>
  <c r="AH101" i="21"/>
  <c r="AT101" i="21"/>
  <c r="AH93" i="21"/>
  <c r="AT93" i="21"/>
  <c r="AH85" i="21"/>
  <c r="AT85" i="21"/>
  <c r="AH77" i="21"/>
  <c r="AT77" i="21"/>
  <c r="AH69" i="21"/>
  <c r="AT69" i="21"/>
  <c r="AT61" i="21"/>
  <c r="AI61" i="21"/>
  <c r="AK61" i="21" s="1"/>
  <c r="AL61" i="21" s="1"/>
  <c r="AN61" i="21" s="1"/>
  <c r="AH53" i="21"/>
  <c r="AT53" i="21"/>
  <c r="AT45" i="21"/>
  <c r="AI45" i="21"/>
  <c r="AJ45" i="21" s="1"/>
  <c r="AT37" i="21"/>
  <c r="AI37" i="21"/>
  <c r="AK37" i="21" s="1"/>
  <c r="AL37" i="21" s="1"/>
  <c r="AN37" i="21" s="1"/>
  <c r="AH29" i="21"/>
  <c r="AT29" i="21"/>
  <c r="AT21" i="21"/>
  <c r="AI21" i="21"/>
  <c r="AK21" i="21" s="1"/>
  <c r="AL21" i="21" s="1"/>
  <c r="AH13" i="21"/>
  <c r="AT13" i="21"/>
  <c r="AH5" i="21"/>
  <c r="AT5" i="21"/>
  <c r="AF940" i="21"/>
  <c r="AS940" i="21"/>
  <c r="AF932" i="21"/>
  <c r="AS932" i="21"/>
  <c r="AF924" i="21"/>
  <c r="AS924" i="21"/>
  <c r="AF916" i="21"/>
  <c r="AS916" i="21"/>
  <c r="AF908" i="21"/>
  <c r="AS908" i="21"/>
  <c r="AF900" i="21"/>
  <c r="AS900" i="21"/>
  <c r="AF892" i="21"/>
  <c r="AS892" i="21"/>
  <c r="AF884" i="21"/>
  <c r="AS884" i="21"/>
  <c r="AF876" i="21"/>
  <c r="AS876" i="21"/>
  <c r="AF868" i="21"/>
  <c r="AS868" i="21"/>
  <c r="AF860" i="21"/>
  <c r="AS860" i="21"/>
  <c r="AF852" i="21"/>
  <c r="AS852" i="21"/>
  <c r="AF844" i="21"/>
  <c r="AS844" i="21"/>
  <c r="AF836" i="21"/>
  <c r="AS836" i="21"/>
  <c r="AF828" i="21"/>
  <c r="AS828" i="21"/>
  <c r="AF820" i="21"/>
  <c r="AS820" i="21"/>
  <c r="AF812" i="21"/>
  <c r="AS812" i="21"/>
  <c r="AF804" i="21"/>
  <c r="AS804" i="21"/>
  <c r="AF796" i="21"/>
  <c r="AS796" i="21"/>
  <c r="AF788" i="21"/>
  <c r="AS788" i="21"/>
  <c r="AF780" i="21"/>
  <c r="AS780" i="21"/>
  <c r="AF772" i="21"/>
  <c r="AS772" i="21"/>
  <c r="AF764" i="21"/>
  <c r="AS764" i="21"/>
  <c r="AF756" i="21"/>
  <c r="AS756" i="21"/>
  <c r="AF748" i="21"/>
  <c r="AS748" i="21"/>
  <c r="AF740" i="21"/>
  <c r="AS740" i="21"/>
  <c r="AF732" i="21"/>
  <c r="AS732" i="21"/>
  <c r="AF724" i="21"/>
  <c r="AS724" i="21"/>
  <c r="AF716" i="21"/>
  <c r="AS716" i="21"/>
  <c r="AF708" i="21"/>
  <c r="AS708" i="21"/>
  <c r="AF700" i="21"/>
  <c r="AS700" i="21"/>
  <c r="AF692" i="21"/>
  <c r="AS692" i="21"/>
  <c r="AF684" i="21"/>
  <c r="AS684" i="21"/>
  <c r="AF676" i="21"/>
  <c r="AS676" i="21"/>
  <c r="AF668" i="21"/>
  <c r="AS668" i="21"/>
  <c r="AF660" i="21"/>
  <c r="AS660" i="21"/>
  <c r="AF652" i="21"/>
  <c r="AS652" i="21"/>
  <c r="AF644" i="21"/>
  <c r="AS644" i="21"/>
  <c r="AF636" i="21"/>
  <c r="AS636" i="21"/>
  <c r="AF628" i="21"/>
  <c r="AS628" i="21"/>
  <c r="AF620" i="21"/>
  <c r="AS620" i="21"/>
  <c r="AF612" i="21"/>
  <c r="AS612" i="21"/>
  <c r="AF604" i="21"/>
  <c r="AS604" i="21"/>
  <c r="AF596" i="21"/>
  <c r="AS596" i="21"/>
  <c r="AF588" i="21"/>
  <c r="AS588" i="21"/>
  <c r="AF580" i="21"/>
  <c r="AS580" i="21"/>
  <c r="AF572" i="21"/>
  <c r="AS572" i="21"/>
  <c r="AF564" i="21"/>
  <c r="AS564" i="21"/>
  <c r="AF556" i="21"/>
  <c r="AS556" i="21"/>
  <c r="AF548" i="21"/>
  <c r="AS548" i="21"/>
  <c r="AF540" i="21"/>
  <c r="AS540" i="21"/>
  <c r="AF532" i="21"/>
  <c r="AS532" i="21"/>
  <c r="AF524" i="21"/>
  <c r="AS524" i="21"/>
  <c r="AF516" i="21"/>
  <c r="AS516" i="21"/>
  <c r="AF508" i="21"/>
  <c r="AS508" i="21"/>
  <c r="AF500" i="21"/>
  <c r="AS500" i="21"/>
  <c r="AF492" i="21"/>
  <c r="AS492" i="21"/>
  <c r="AF484" i="21"/>
  <c r="AS484" i="21"/>
  <c r="AF476" i="21"/>
  <c r="AS476" i="21"/>
  <c r="AF468" i="21"/>
  <c r="AS468" i="21"/>
  <c r="AF460" i="21"/>
  <c r="AS460" i="21"/>
  <c r="AF452" i="21"/>
  <c r="AS452" i="21"/>
  <c r="AF444" i="21"/>
  <c r="AS444" i="21"/>
  <c r="AF436" i="21"/>
  <c r="AS436" i="21"/>
  <c r="AF428" i="21"/>
  <c r="AS428" i="21"/>
  <c r="AF420" i="21"/>
  <c r="AS420" i="21"/>
  <c r="AF412" i="21"/>
  <c r="AS412" i="21"/>
  <c r="AF404" i="21"/>
  <c r="AS404" i="21"/>
  <c r="AF396" i="21"/>
  <c r="AS396" i="21"/>
  <c r="AF388" i="21"/>
  <c r="AS388" i="21"/>
  <c r="AF380" i="21"/>
  <c r="AS380" i="21"/>
  <c r="AF372" i="21"/>
  <c r="AS372" i="21"/>
  <c r="AF364" i="21"/>
  <c r="AS364" i="21"/>
  <c r="AF356" i="21"/>
  <c r="AS356" i="21"/>
  <c r="AF348" i="21"/>
  <c r="AS348" i="21"/>
  <c r="AF340" i="21"/>
  <c r="AS340" i="21"/>
  <c r="AF332" i="21"/>
  <c r="AS332" i="21"/>
  <c r="AF324" i="21"/>
  <c r="AS324" i="21"/>
  <c r="AF316" i="21"/>
  <c r="AS316" i="21"/>
  <c r="AF308" i="21"/>
  <c r="AS308" i="21"/>
  <c r="AF300" i="21"/>
  <c r="AS300" i="21"/>
  <c r="AF292" i="21"/>
  <c r="AS292" i="21"/>
  <c r="AF284" i="21"/>
  <c r="AS284" i="21"/>
  <c r="AF276" i="21"/>
  <c r="AS276" i="21"/>
  <c r="AF268" i="21"/>
  <c r="AS268" i="21"/>
  <c r="AF260" i="21"/>
  <c r="AS260" i="21"/>
  <c r="AF252" i="21"/>
  <c r="AS252" i="21"/>
  <c r="AF244" i="21"/>
  <c r="AS244" i="21"/>
  <c r="AF236" i="21"/>
  <c r="AS236" i="21"/>
  <c r="AF228" i="21"/>
  <c r="AS228" i="21"/>
  <c r="AF220" i="21"/>
  <c r="AS220" i="21"/>
  <c r="AF212" i="21"/>
  <c r="AS212" i="21"/>
  <c r="AF204" i="21"/>
  <c r="AS204" i="21"/>
  <c r="AF196" i="21"/>
  <c r="AS196" i="21"/>
  <c r="AF188" i="21"/>
  <c r="AS188" i="21"/>
  <c r="AF180" i="21"/>
  <c r="AS180" i="21"/>
  <c r="AF172" i="21"/>
  <c r="AS172" i="21"/>
  <c r="AF164" i="21"/>
  <c r="AS164" i="21"/>
  <c r="AF156" i="21"/>
  <c r="AS156" i="21"/>
  <c r="AF148" i="21"/>
  <c r="AS148" i="21"/>
  <c r="AF140" i="21"/>
  <c r="AS140" i="21"/>
  <c r="AF132" i="21"/>
  <c r="AS132" i="21"/>
  <c r="AF124" i="21"/>
  <c r="AS124" i="21"/>
  <c r="AF116" i="21"/>
  <c r="AS116" i="21"/>
  <c r="AF108" i="21"/>
  <c r="AS108" i="21"/>
  <c r="AF100" i="21"/>
  <c r="AS100" i="21"/>
  <c r="AF92" i="21"/>
  <c r="AS92" i="21"/>
  <c r="AF84" i="21"/>
  <c r="AS84" i="21"/>
  <c r="AF76" i="21"/>
  <c r="AS76" i="21"/>
  <c r="AF68" i="21"/>
  <c r="AS68" i="21"/>
  <c r="AF60" i="21"/>
  <c r="AS60" i="21"/>
  <c r="AF52" i="21"/>
  <c r="AS52" i="21"/>
  <c r="AF44" i="21"/>
  <c r="AS44" i="21"/>
  <c r="AF36" i="21"/>
  <c r="AS36" i="21"/>
  <c r="AF28" i="21"/>
  <c r="AS28" i="21"/>
  <c r="AF20" i="21"/>
  <c r="AS20" i="21"/>
  <c r="AF12" i="21"/>
  <c r="AS12" i="21"/>
  <c r="AF4" i="21"/>
  <c r="AS4" i="21"/>
  <c r="AH1124" i="21"/>
  <c r="AT1124" i="21"/>
  <c r="AH1108" i="21"/>
  <c r="AT1108" i="21"/>
  <c r="AH1100" i="21"/>
  <c r="AT1100" i="21"/>
  <c r="AH1092" i="21"/>
  <c r="AT1092" i="21"/>
  <c r="AH1084" i="21"/>
  <c r="AT1084" i="21"/>
  <c r="AH1076" i="21"/>
  <c r="AT1076" i="21"/>
  <c r="AH1068" i="21"/>
  <c r="AT1068" i="21"/>
  <c r="AT1060" i="21"/>
  <c r="AI1060" i="21"/>
  <c r="AJ1060" i="21" s="1"/>
  <c r="AH1052" i="21"/>
  <c r="AT1052" i="21"/>
  <c r="AH1036" i="21"/>
  <c r="AT1036" i="21"/>
  <c r="AH1028" i="21"/>
  <c r="AT1028" i="21"/>
  <c r="AH1020" i="21"/>
  <c r="AT1020" i="21"/>
  <c r="AI1012" i="21"/>
  <c r="AJ1012" i="21" s="1"/>
  <c r="AT1012" i="21"/>
  <c r="AH1004" i="21"/>
  <c r="AT1004" i="21"/>
  <c r="AH996" i="21"/>
  <c r="AT996" i="21"/>
  <c r="AH988" i="21"/>
  <c r="AT988" i="21"/>
  <c r="AH980" i="21"/>
  <c r="AT980" i="21"/>
  <c r="AH972" i="21"/>
  <c r="AT972" i="21"/>
  <c r="AH964" i="21"/>
  <c r="AT964" i="21"/>
  <c r="AT956" i="21"/>
  <c r="AI956" i="21"/>
  <c r="AK956" i="21" s="1"/>
  <c r="AL956" i="21" s="1"/>
  <c r="AN956" i="21" s="1"/>
  <c r="AH948" i="21"/>
  <c r="AT948" i="21"/>
  <c r="AH940" i="21"/>
  <c r="AT940" i="21"/>
  <c r="AI932" i="21"/>
  <c r="AT932" i="21"/>
  <c r="AT916" i="21"/>
  <c r="AI916" i="21"/>
  <c r="AK916" i="21" s="1"/>
  <c r="AL916" i="21" s="1"/>
  <c r="AN916" i="21" s="1"/>
  <c r="AI908" i="21"/>
  <c r="AJ908" i="21" s="1"/>
  <c r="AT908" i="21"/>
  <c r="AT900" i="21"/>
  <c r="AI900" i="21"/>
  <c r="AJ900" i="21" s="1"/>
  <c r="AT884" i="21"/>
  <c r="AI884" i="21"/>
  <c r="AT876" i="21"/>
  <c r="AI876" i="21"/>
  <c r="AK876" i="21" s="1"/>
  <c r="AL876" i="21" s="1"/>
  <c r="AN876" i="21" s="1"/>
  <c r="AH868" i="21"/>
  <c r="AT868" i="21"/>
  <c r="AH860" i="21"/>
  <c r="AT860" i="21"/>
  <c r="AH852" i="21"/>
  <c r="AT852" i="21"/>
  <c r="AH844" i="21"/>
  <c r="AT844" i="21"/>
  <c r="AH836" i="21"/>
  <c r="AT836" i="21"/>
  <c r="AH828" i="21"/>
  <c r="AT828" i="21"/>
  <c r="AH820" i="21"/>
  <c r="AT820" i="21"/>
  <c r="AT812" i="21"/>
  <c r="AI812" i="21"/>
  <c r="AK812" i="21" s="1"/>
  <c r="AL812" i="21" s="1"/>
  <c r="AN812" i="21" s="1"/>
  <c r="AT804" i="21"/>
  <c r="AI804" i="21"/>
  <c r="AJ804" i="21" s="1"/>
  <c r="AH788" i="21"/>
  <c r="AT788" i="21"/>
  <c r="AH780" i="21"/>
  <c r="AT780" i="21"/>
  <c r="AH772" i="21"/>
  <c r="AT772" i="21"/>
  <c r="AH764" i="21"/>
  <c r="AT764" i="21"/>
  <c r="AH756" i="21"/>
  <c r="AT756" i="21"/>
  <c r="AH748" i="21"/>
  <c r="AT748" i="21"/>
  <c r="AH740" i="21"/>
  <c r="AT740" i="21"/>
  <c r="AH724" i="21"/>
  <c r="AT724" i="21"/>
  <c r="AH716" i="21"/>
  <c r="AT716" i="21"/>
  <c r="AH708" i="21"/>
  <c r="AT708" i="21"/>
  <c r="AH700" i="21"/>
  <c r="AT700" i="21"/>
  <c r="AH692" i="21"/>
  <c r="AT692" i="21"/>
  <c r="AT676" i="21"/>
  <c r="AI676" i="21"/>
  <c r="AK676" i="21" s="1"/>
  <c r="AL676" i="21" s="1"/>
  <c r="AN676" i="21" s="1"/>
  <c r="AT668" i="21"/>
  <c r="AI668" i="21"/>
  <c r="AK668" i="21" s="1"/>
  <c r="AL668" i="21" s="1"/>
  <c r="AN668" i="21" s="1"/>
  <c r="AT660" i="21"/>
  <c r="AI660" i="21"/>
  <c r="AK660" i="21" s="1"/>
  <c r="AL660" i="21" s="1"/>
  <c r="AN660" i="21" s="1"/>
  <c r="AH652" i="21"/>
  <c r="AT652" i="21"/>
  <c r="AH644" i="21"/>
  <c r="AT644" i="21"/>
  <c r="AH636" i="21"/>
  <c r="AT636" i="21"/>
  <c r="AH628" i="21"/>
  <c r="AT628" i="21"/>
  <c r="AT620" i="21"/>
  <c r="AI620" i="21"/>
  <c r="AJ620" i="21" s="1"/>
  <c r="AT612" i="21"/>
  <c r="AI612" i="21"/>
  <c r="AK612" i="21" s="1"/>
  <c r="AL612" i="21" s="1"/>
  <c r="AN612" i="21" s="1"/>
  <c r="AH604" i="21"/>
  <c r="AT604" i="21"/>
  <c r="AT596" i="21"/>
  <c r="AI596" i="21"/>
  <c r="AK596" i="21" s="1"/>
  <c r="AL596" i="21" s="1"/>
  <c r="AN596" i="21" s="1"/>
  <c r="AT580" i="21"/>
  <c r="AI580" i="21"/>
  <c r="AK580" i="21" s="1"/>
  <c r="AL580" i="21" s="1"/>
  <c r="AN580" i="21" s="1"/>
  <c r="AH572" i="21"/>
  <c r="AT572" i="21"/>
  <c r="AH564" i="21"/>
  <c r="AT564" i="21"/>
  <c r="AT556" i="21"/>
  <c r="AI556" i="21"/>
  <c r="AK556" i="21" s="1"/>
  <c r="AL556" i="21" s="1"/>
  <c r="AN556" i="21" s="1"/>
  <c r="AT548" i="21"/>
  <c r="AI548" i="21"/>
  <c r="AJ548" i="21" s="1"/>
  <c r="AT540" i="21"/>
  <c r="AI540" i="21"/>
  <c r="AJ540" i="21" s="1"/>
  <c r="AH532" i="21"/>
  <c r="AT532" i="21"/>
  <c r="AH524" i="21"/>
  <c r="AJ524" i="21" s="1"/>
  <c r="AT524" i="21"/>
  <c r="AH516" i="21"/>
  <c r="AT516" i="21"/>
  <c r="AH508" i="21"/>
  <c r="AT508" i="21"/>
  <c r="AH500" i="21"/>
  <c r="AT500" i="21"/>
  <c r="AT492" i="21"/>
  <c r="AI492" i="21"/>
  <c r="AK492" i="21" s="1"/>
  <c r="AL492" i="21" s="1"/>
  <c r="AN492" i="21" s="1"/>
  <c r="AH484" i="21"/>
  <c r="AT484" i="21"/>
  <c r="AH476" i="21"/>
  <c r="AT476" i="21"/>
  <c r="AH468" i="21"/>
  <c r="AT468" i="21"/>
  <c r="AH460" i="21"/>
  <c r="AT460" i="21"/>
  <c r="AT452" i="21"/>
  <c r="AI452" i="21"/>
  <c r="AK452" i="21" s="1"/>
  <c r="AL452" i="21" s="1"/>
  <c r="AN452" i="21" s="1"/>
  <c r="AH444" i="21"/>
  <c r="AT444" i="21"/>
  <c r="AH436" i="21"/>
  <c r="AT436" i="21"/>
  <c r="AT428" i="21"/>
  <c r="AI428" i="21"/>
  <c r="AK428" i="21" s="1"/>
  <c r="AL428" i="21" s="1"/>
  <c r="AN428" i="21" s="1"/>
  <c r="AT420" i="21"/>
  <c r="AI420" i="21"/>
  <c r="AK420" i="21" s="1"/>
  <c r="AL420" i="21" s="1"/>
  <c r="AN420" i="21" s="1"/>
  <c r="AH412" i="21"/>
  <c r="AT412" i="21"/>
  <c r="AH404" i="21"/>
  <c r="AT404" i="21"/>
  <c r="AT396" i="21"/>
  <c r="AI396" i="21"/>
  <c r="AK396" i="21" s="1"/>
  <c r="AL396" i="21" s="1"/>
  <c r="AN396" i="21" s="1"/>
  <c r="AH388" i="21"/>
  <c r="AT388" i="21"/>
  <c r="AH380" i="21"/>
  <c r="AT380" i="21"/>
  <c r="AH372" i="21"/>
  <c r="AT372" i="21"/>
  <c r="AH364" i="21"/>
  <c r="AT364" i="21"/>
  <c r="AH356" i="21"/>
  <c r="AT356" i="21"/>
  <c r="AH348" i="21"/>
  <c r="AT348" i="21"/>
  <c r="AH340" i="21"/>
  <c r="AT340" i="21"/>
  <c r="AH332" i="21"/>
  <c r="AT332" i="21"/>
  <c r="AT324" i="21"/>
  <c r="AI324" i="21"/>
  <c r="AJ324" i="21" s="1"/>
  <c r="AH316" i="21"/>
  <c r="AT316" i="21"/>
  <c r="AT308" i="21"/>
  <c r="AI308" i="21"/>
  <c r="AK308" i="21" s="1"/>
  <c r="AL308" i="21" s="1"/>
  <c r="AN308" i="21" s="1"/>
  <c r="AT300" i="21"/>
  <c r="AI300" i="21"/>
  <c r="AK300" i="21" s="1"/>
  <c r="AL300" i="21" s="1"/>
  <c r="AN300" i="21" s="1"/>
  <c r="AT284" i="21"/>
  <c r="AI284" i="21"/>
  <c r="AK284" i="21" s="1"/>
  <c r="AL284" i="21" s="1"/>
  <c r="AN284" i="21" s="1"/>
  <c r="AT268" i="21"/>
  <c r="AI268" i="21"/>
  <c r="AK268" i="21" s="1"/>
  <c r="AL268" i="21" s="1"/>
  <c r="AN268" i="21" s="1"/>
  <c r="AH260" i="21"/>
  <c r="AT260" i="21"/>
  <c r="AT252" i="21"/>
  <c r="AI252" i="21"/>
  <c r="AJ252" i="21" s="1"/>
  <c r="AH244" i="21"/>
  <c r="AT244" i="21"/>
  <c r="AH236" i="21"/>
  <c r="AT236" i="21"/>
  <c r="AT228" i="21"/>
  <c r="AI228" i="21"/>
  <c r="AJ228" i="21" s="1"/>
  <c r="AH220" i="21"/>
  <c r="AT220" i="21"/>
  <c r="AT212" i="21"/>
  <c r="AI212" i="21"/>
  <c r="AK212" i="21" s="1"/>
  <c r="AL212" i="21" s="1"/>
  <c r="AN212" i="21" s="1"/>
  <c r="AT204" i="21"/>
  <c r="AI204" i="21"/>
  <c r="AJ204" i="21" s="1"/>
  <c r="AH196" i="21"/>
  <c r="AT196" i="21"/>
  <c r="AH188" i="21"/>
  <c r="AT188" i="21"/>
  <c r="AH180" i="21"/>
  <c r="AT180" i="21"/>
  <c r="AH172" i="21"/>
  <c r="AT172" i="21"/>
  <c r="AT164" i="21"/>
  <c r="AI164" i="21"/>
  <c r="AJ164" i="21" s="1"/>
  <c r="AH148" i="21"/>
  <c r="AT148" i="21"/>
  <c r="AH140" i="21"/>
  <c r="AT140" i="21"/>
  <c r="AT132" i="21"/>
  <c r="AI132" i="21"/>
  <c r="AK132" i="21" s="1"/>
  <c r="AL132" i="21" s="1"/>
  <c r="AN132" i="21" s="1"/>
  <c r="AH124" i="21"/>
  <c r="AT124" i="21"/>
  <c r="AH116" i="21"/>
  <c r="AT116" i="21"/>
  <c r="AH108" i="21"/>
  <c r="AT108" i="21"/>
  <c r="AT100" i="21"/>
  <c r="AI100" i="21"/>
  <c r="AJ100" i="21" s="1"/>
  <c r="AT92" i="21"/>
  <c r="AI92" i="21"/>
  <c r="AH84" i="21"/>
  <c r="AT84" i="21"/>
  <c r="AH76" i="21"/>
  <c r="AT76" i="21"/>
  <c r="AH68" i="21"/>
  <c r="AT68" i="21"/>
  <c r="AT60" i="21"/>
  <c r="AI60" i="21"/>
  <c r="AK60" i="21" s="1"/>
  <c r="AL60" i="21" s="1"/>
  <c r="AN60" i="21" s="1"/>
  <c r="AH52" i="21"/>
  <c r="AT52" i="21"/>
  <c r="AH44" i="21"/>
  <c r="AT44" i="21"/>
  <c r="AT36" i="21"/>
  <c r="AI36" i="21"/>
  <c r="AJ36" i="21" s="1"/>
  <c r="AH28" i="21"/>
  <c r="AT28" i="21"/>
  <c r="AH20" i="21"/>
  <c r="AT20" i="21"/>
  <c r="AT12" i="21"/>
  <c r="AI12" i="21"/>
  <c r="AK12" i="21" s="1"/>
  <c r="AL12" i="21" s="1"/>
  <c r="AF547" i="21"/>
  <c r="AS547" i="21"/>
  <c r="AF539" i="21"/>
  <c r="AS539" i="21"/>
  <c r="AF531" i="21"/>
  <c r="AS531" i="21"/>
  <c r="AF523" i="21"/>
  <c r="AS523" i="21"/>
  <c r="AF515" i="21"/>
  <c r="AS515" i="21"/>
  <c r="AF507" i="21"/>
  <c r="AS507" i="21"/>
  <c r="AF499" i="21"/>
  <c r="AS499" i="21"/>
  <c r="AF491" i="21"/>
  <c r="AS491" i="21"/>
  <c r="AF483" i="21"/>
  <c r="AS483" i="21"/>
  <c r="AF475" i="21"/>
  <c r="AS475" i="21"/>
  <c r="AF467" i="21"/>
  <c r="AS467" i="21"/>
  <c r="AF459" i="21"/>
  <c r="AS459" i="21"/>
  <c r="AF451" i="21"/>
  <c r="AS451" i="21"/>
  <c r="AF443" i="21"/>
  <c r="AS443" i="21"/>
  <c r="AF435" i="21"/>
  <c r="AS435" i="21"/>
  <c r="AF427" i="21"/>
  <c r="AS427" i="21"/>
  <c r="AF419" i="21"/>
  <c r="AS419" i="21"/>
  <c r="AF411" i="21"/>
  <c r="AS411" i="21"/>
  <c r="AF403" i="21"/>
  <c r="AS403" i="21"/>
  <c r="AF395" i="21"/>
  <c r="AS395" i="21"/>
  <c r="AF387" i="21"/>
  <c r="AS387" i="21"/>
  <c r="AF379" i="21"/>
  <c r="AS379" i="21"/>
  <c r="AF371" i="21"/>
  <c r="AS371" i="21"/>
  <c r="AF363" i="21"/>
  <c r="AS363" i="21"/>
  <c r="AF355" i="21"/>
  <c r="AS355" i="21"/>
  <c r="AF347" i="21"/>
  <c r="AS347" i="21"/>
  <c r="AF339" i="21"/>
  <c r="AS339" i="21"/>
  <c r="AF331" i="21"/>
  <c r="AS331" i="21"/>
  <c r="AF323" i="21"/>
  <c r="AS323" i="21"/>
  <c r="AF315" i="21"/>
  <c r="AS315" i="21"/>
  <c r="AF307" i="21"/>
  <c r="AS307" i="21"/>
  <c r="AF299" i="21"/>
  <c r="AS299" i="21"/>
  <c r="AF291" i="21"/>
  <c r="AS291" i="21"/>
  <c r="AF283" i="21"/>
  <c r="AS283" i="21"/>
  <c r="AF275" i="21"/>
  <c r="AS275" i="21"/>
  <c r="AF267" i="21"/>
  <c r="AS267" i="21"/>
  <c r="AF259" i="21"/>
  <c r="AS259" i="21"/>
  <c r="AF251" i="21"/>
  <c r="AS251" i="21"/>
  <c r="AF243" i="21"/>
  <c r="AS243" i="21"/>
  <c r="AF235" i="21"/>
  <c r="AS235" i="21"/>
  <c r="AF227" i="21"/>
  <c r="AS227" i="21"/>
  <c r="AF219" i="21"/>
  <c r="AS219" i="21"/>
  <c r="AF211" i="21"/>
  <c r="AS211" i="21"/>
  <c r="AF203" i="21"/>
  <c r="AS203" i="21"/>
  <c r="AF195" i="21"/>
  <c r="AS195" i="21"/>
  <c r="AF187" i="21"/>
  <c r="AS187" i="21"/>
  <c r="AF179" i="21"/>
  <c r="AS179" i="21"/>
  <c r="AS171" i="21"/>
  <c r="AF163" i="21"/>
  <c r="AS163" i="21"/>
  <c r="AF155" i="21"/>
  <c r="AS155" i="21"/>
  <c r="AF147" i="21"/>
  <c r="AS147" i="21"/>
  <c r="AF139" i="21"/>
  <c r="AS139" i="21"/>
  <c r="AF131" i="21"/>
  <c r="AS131" i="21"/>
  <c r="AF123" i="21"/>
  <c r="AS123" i="21"/>
  <c r="AF115" i="21"/>
  <c r="AS115" i="21"/>
  <c r="AF107" i="21"/>
  <c r="AS107" i="21"/>
  <c r="AF99" i="21"/>
  <c r="AS99" i="21"/>
  <c r="AF91" i="21"/>
  <c r="AS91" i="21"/>
  <c r="AF83" i="21"/>
  <c r="AS83" i="21"/>
  <c r="AF75" i="21"/>
  <c r="AS75" i="21"/>
  <c r="AF67" i="21"/>
  <c r="AS67" i="21"/>
  <c r="AF59" i="21"/>
  <c r="AS59" i="21"/>
  <c r="AF51" i="21"/>
  <c r="AS51" i="21"/>
  <c r="AF43" i="21"/>
  <c r="AS43" i="21"/>
  <c r="AF35" i="21"/>
  <c r="AS35" i="21"/>
  <c r="AF27" i="21"/>
  <c r="AS27" i="21"/>
  <c r="AF19" i="21"/>
  <c r="AS19" i="21"/>
  <c r="AF11" i="21"/>
  <c r="AS11" i="21"/>
  <c r="AF3" i="21"/>
  <c r="AS3" i="21"/>
  <c r="AT1123" i="21"/>
  <c r="AI1123" i="21"/>
  <c r="AK1123" i="21" s="1"/>
  <c r="AL1123" i="21" s="1"/>
  <c r="AN1123" i="21" s="1"/>
  <c r="AT1115" i="21"/>
  <c r="AI1115" i="21"/>
  <c r="AK1115" i="21" s="1"/>
  <c r="AL1115" i="21" s="1"/>
  <c r="AN1115" i="21" s="1"/>
  <c r="AH1107" i="21"/>
  <c r="AT1107" i="21"/>
  <c r="AT1099" i="21"/>
  <c r="AI1099" i="21"/>
  <c r="AJ1099" i="21" s="1"/>
  <c r="AT1091" i="21"/>
  <c r="AI1091" i="21"/>
  <c r="AK1091" i="21" s="1"/>
  <c r="AL1091" i="21" s="1"/>
  <c r="AN1091" i="21" s="1"/>
  <c r="AH1083" i="21"/>
  <c r="AT1083" i="21"/>
  <c r="AT1075" i="21"/>
  <c r="AI1075" i="21"/>
  <c r="AK1075" i="21" s="1"/>
  <c r="AL1075" i="21" s="1"/>
  <c r="AN1075" i="21" s="1"/>
  <c r="AH1067" i="21"/>
  <c r="AT1067" i="21"/>
  <c r="AH1059" i="21"/>
  <c r="AT1059" i="21"/>
  <c r="AT1051" i="21"/>
  <c r="AI1051" i="21"/>
  <c r="AJ1051" i="21" s="1"/>
  <c r="AT1043" i="21"/>
  <c r="AI1043" i="21"/>
  <c r="AJ1043" i="21" s="1"/>
  <c r="AH1035" i="21"/>
  <c r="AT1035" i="21"/>
  <c r="AH1027" i="21"/>
  <c r="AT1027" i="21"/>
  <c r="AT1019" i="21"/>
  <c r="AI1019" i="21"/>
  <c r="AK1019" i="21" s="1"/>
  <c r="AL1019" i="21" s="1"/>
  <c r="AN1019" i="21" s="1"/>
  <c r="AT1011" i="21"/>
  <c r="AI1011" i="21"/>
  <c r="AK1011" i="21" s="1"/>
  <c r="AL1011" i="21" s="1"/>
  <c r="AN1011" i="21" s="1"/>
  <c r="AH1003" i="21"/>
  <c r="AT1003" i="21"/>
  <c r="AH995" i="21"/>
  <c r="AT995" i="21"/>
  <c r="AH987" i="21"/>
  <c r="AT987" i="21"/>
  <c r="AH971" i="21"/>
  <c r="AT971" i="21"/>
  <c r="AH963" i="21"/>
  <c r="AT963" i="21"/>
  <c r="AT955" i="21"/>
  <c r="AI955" i="21"/>
  <c r="AJ955" i="21" s="1"/>
  <c r="AT947" i="21"/>
  <c r="AI947" i="21"/>
  <c r="AJ947" i="21" s="1"/>
  <c r="AH939" i="21"/>
  <c r="AT939" i="21"/>
  <c r="AH931" i="21"/>
  <c r="AT931" i="21"/>
  <c r="AT923" i="21"/>
  <c r="AI923" i="21"/>
  <c r="AK923" i="21" s="1"/>
  <c r="AL923" i="21" s="1"/>
  <c r="AN923" i="21" s="1"/>
  <c r="AH915" i="21"/>
  <c r="AT915" i="21"/>
  <c r="AT907" i="21"/>
  <c r="AI907" i="21"/>
  <c r="AK907" i="21" s="1"/>
  <c r="AL907" i="21" s="1"/>
  <c r="AN907" i="21" s="1"/>
  <c r="AT899" i="21"/>
  <c r="AI899" i="21"/>
  <c r="AT883" i="21"/>
  <c r="AI883" i="21"/>
  <c r="AJ883" i="21" s="1"/>
  <c r="AT875" i="21"/>
  <c r="AI875" i="21"/>
  <c r="AK875" i="21" s="1"/>
  <c r="AL875" i="21" s="1"/>
  <c r="AN875" i="21" s="1"/>
  <c r="AH867" i="21"/>
  <c r="AT867" i="21"/>
  <c r="AT859" i="21"/>
  <c r="AI859" i="21"/>
  <c r="AJ859" i="21" s="1"/>
  <c r="AH851" i="21"/>
  <c r="AT851" i="21"/>
  <c r="AH843" i="21"/>
  <c r="AT843" i="21"/>
  <c r="AH835" i="21"/>
  <c r="AT835" i="21"/>
  <c r="AH827" i="21"/>
  <c r="AT827" i="21"/>
  <c r="AH819" i="21"/>
  <c r="AT819" i="21"/>
  <c r="AT811" i="21"/>
  <c r="AI811" i="21"/>
  <c r="AJ811" i="21" s="1"/>
  <c r="AT803" i="21"/>
  <c r="AI803" i="21"/>
  <c r="AJ803" i="21" s="1"/>
  <c r="AT787" i="21"/>
  <c r="AI787" i="21"/>
  <c r="AK787" i="21" s="1"/>
  <c r="AL787" i="21" s="1"/>
  <c r="AN787" i="21" s="1"/>
  <c r="AT779" i="21"/>
  <c r="AI779" i="21"/>
  <c r="AK779" i="21" s="1"/>
  <c r="AL779" i="21" s="1"/>
  <c r="AN779" i="21" s="1"/>
  <c r="AH771" i="21"/>
  <c r="AT771" i="21"/>
  <c r="AT763" i="21"/>
  <c r="AI763" i="21"/>
  <c r="AK763" i="21" s="1"/>
  <c r="AL763" i="21" s="1"/>
  <c r="AN763" i="21" s="1"/>
  <c r="AT755" i="21"/>
  <c r="AI755" i="21"/>
  <c r="AH747" i="21"/>
  <c r="AT747" i="21"/>
  <c r="AT739" i="21"/>
  <c r="AI739" i="21"/>
  <c r="AJ739" i="21" s="1"/>
  <c r="AH731" i="21"/>
  <c r="AT731" i="21"/>
  <c r="AH723" i="21"/>
  <c r="AT723" i="21"/>
  <c r="AH715" i="21"/>
  <c r="AT715" i="21"/>
  <c r="AH707" i="21"/>
  <c r="AT707" i="21"/>
  <c r="AH699" i="21"/>
  <c r="AT699" i="21"/>
  <c r="AI691" i="21"/>
  <c r="AJ691" i="21" s="1"/>
  <c r="AT691" i="21"/>
  <c r="AT683" i="21"/>
  <c r="AI683" i="21"/>
  <c r="AK683" i="21" s="1"/>
  <c r="AL683" i="21" s="1"/>
  <c r="AN683" i="21" s="1"/>
  <c r="AH675" i="21"/>
  <c r="AT675" i="21"/>
  <c r="AT667" i="21"/>
  <c r="AI667" i="21"/>
  <c r="AK667" i="21" s="1"/>
  <c r="AL667" i="21" s="1"/>
  <c r="AN667" i="21" s="1"/>
  <c r="AT659" i="21"/>
  <c r="AI659" i="21"/>
  <c r="AK659" i="21" s="1"/>
  <c r="AL659" i="21" s="1"/>
  <c r="AN659" i="21" s="1"/>
  <c r="AH651" i="21"/>
  <c r="AT651" i="21"/>
  <c r="AH643" i="21"/>
  <c r="AT643" i="21"/>
  <c r="AH635" i="21"/>
  <c r="AT635" i="21"/>
  <c r="AH627" i="21"/>
  <c r="AT627" i="21"/>
  <c r="AT619" i="21"/>
  <c r="AI619" i="21"/>
  <c r="AJ619" i="21" s="1"/>
  <c r="AT611" i="21"/>
  <c r="AI611" i="21"/>
  <c r="AH603" i="21"/>
  <c r="AT603" i="21"/>
  <c r="AT595" i="21"/>
  <c r="AI595" i="21"/>
  <c r="AJ595" i="21" s="1"/>
  <c r="AT587" i="21"/>
  <c r="AI587" i="21"/>
  <c r="AK587" i="21" s="1"/>
  <c r="AL587" i="21" s="1"/>
  <c r="AN587" i="21" s="1"/>
  <c r="AT579" i="21"/>
  <c r="AI579" i="21"/>
  <c r="AT571" i="21"/>
  <c r="AI571" i="21"/>
  <c r="AK571" i="21" s="1"/>
  <c r="AL571" i="21" s="1"/>
  <c r="AN571" i="21" s="1"/>
  <c r="AH563" i="21"/>
  <c r="AT563" i="21"/>
  <c r="AT555" i="21"/>
  <c r="AI555" i="21"/>
  <c r="AK555" i="21" s="1"/>
  <c r="AL555" i="21" s="1"/>
  <c r="AN555" i="21" s="1"/>
  <c r="AT547" i="21"/>
  <c r="AI547" i="21"/>
  <c r="AK547" i="21" s="1"/>
  <c r="AL547" i="21" s="1"/>
  <c r="AN547" i="21" s="1"/>
  <c r="AT539" i="21"/>
  <c r="AI539" i="21"/>
  <c r="AK539" i="21" s="1"/>
  <c r="AL539" i="21" s="1"/>
  <c r="AN539" i="21" s="1"/>
  <c r="AH531" i="21"/>
  <c r="AT531" i="21"/>
  <c r="AH523" i="21"/>
  <c r="AT523" i="21"/>
  <c r="AT515" i="21"/>
  <c r="AI515" i="21"/>
  <c r="AJ515" i="21" s="1"/>
  <c r="AH507" i="21"/>
  <c r="AT507" i="21"/>
  <c r="AT499" i="21"/>
  <c r="AI499" i="21"/>
  <c r="AT491" i="21"/>
  <c r="AI491" i="21"/>
  <c r="AJ491" i="21" s="1"/>
  <c r="AH483" i="21"/>
  <c r="AT483" i="21"/>
  <c r="AH475" i="21"/>
  <c r="AT475" i="21"/>
  <c r="AT467" i="21"/>
  <c r="AI467" i="21"/>
  <c r="AH459" i="21"/>
  <c r="AT459" i="21"/>
  <c r="AH451" i="21"/>
  <c r="AT451" i="21"/>
  <c r="AH443" i="21"/>
  <c r="AT443" i="21"/>
  <c r="AH435" i="21"/>
  <c r="AT435" i="21"/>
  <c r="AT427" i="21"/>
  <c r="AI427" i="21"/>
  <c r="AJ427" i="21" s="1"/>
  <c r="AT419" i="21"/>
  <c r="AI419" i="21"/>
  <c r="AK419" i="21" s="1"/>
  <c r="AL419" i="21" s="1"/>
  <c r="AN419" i="21" s="1"/>
  <c r="AH411" i="21"/>
  <c r="AT411" i="21"/>
  <c r="AT403" i="21"/>
  <c r="AI403" i="21"/>
  <c r="AK403" i="21" s="1"/>
  <c r="AL403" i="21" s="1"/>
  <c r="AN403" i="21" s="1"/>
  <c r="AT395" i="21"/>
  <c r="AI395" i="21"/>
  <c r="AK395" i="21" s="1"/>
  <c r="AL395" i="21" s="1"/>
  <c r="AN395" i="21" s="1"/>
  <c r="AH387" i="21"/>
  <c r="AT387" i="21"/>
  <c r="AH379" i="21"/>
  <c r="AT379" i="21"/>
  <c r="AH371" i="21"/>
  <c r="AT371" i="21"/>
  <c r="AH363" i="21"/>
  <c r="AT363" i="21"/>
  <c r="AT355" i="21"/>
  <c r="AI355" i="21"/>
  <c r="AT347" i="21"/>
  <c r="AI347" i="21"/>
  <c r="AK347" i="21" s="1"/>
  <c r="AL347" i="21" s="1"/>
  <c r="AN347" i="21" s="1"/>
  <c r="AH339" i="21"/>
  <c r="AT339" i="21"/>
  <c r="AT331" i="21"/>
  <c r="AI331" i="21"/>
  <c r="AJ331" i="21" s="1"/>
  <c r="AH323" i="21"/>
  <c r="AT323" i="21"/>
  <c r="AH315" i="21"/>
  <c r="AT315" i="21"/>
  <c r="AT307" i="21"/>
  <c r="AI307" i="21"/>
  <c r="AT299" i="21"/>
  <c r="AI299" i="21"/>
  <c r="AK299" i="21" s="1"/>
  <c r="AL299" i="21" s="1"/>
  <c r="AN299" i="21" s="1"/>
  <c r="AT283" i="21"/>
  <c r="AI283" i="21"/>
  <c r="AK283" i="21" s="1"/>
  <c r="AL283" i="21" s="1"/>
  <c r="AN283" i="21" s="1"/>
  <c r="AT275" i="21"/>
  <c r="AI275" i="21"/>
  <c r="AK275" i="21" s="1"/>
  <c r="AL275" i="21" s="1"/>
  <c r="AN275" i="21" s="1"/>
  <c r="AH267" i="21"/>
  <c r="AT267" i="21"/>
  <c r="AT259" i="21"/>
  <c r="AI259" i="21"/>
  <c r="AK259" i="21" s="1"/>
  <c r="AL259" i="21" s="1"/>
  <c r="AN259" i="21" s="1"/>
  <c r="AT251" i="21"/>
  <c r="AI251" i="21"/>
  <c r="AJ251" i="21" s="1"/>
  <c r="AH243" i="21"/>
  <c r="AT243" i="21"/>
  <c r="AT235" i="21"/>
  <c r="AI235" i="21"/>
  <c r="AT227" i="21"/>
  <c r="AI227" i="21"/>
  <c r="AK227" i="21" s="1"/>
  <c r="AL227" i="21" s="1"/>
  <c r="AN227" i="21" s="1"/>
  <c r="AH219" i="21"/>
  <c r="AT219" i="21"/>
  <c r="AT211" i="21"/>
  <c r="AI211" i="21"/>
  <c r="AK211" i="21" s="1"/>
  <c r="AL211" i="21" s="1"/>
  <c r="AN211" i="21" s="1"/>
  <c r="AH203" i="21"/>
  <c r="AT203" i="21"/>
  <c r="AH195" i="21"/>
  <c r="AT195" i="21"/>
  <c r="AH187" i="21"/>
  <c r="AT187" i="21"/>
  <c r="AH179" i="21"/>
  <c r="AT179" i="21"/>
  <c r="AH171" i="21"/>
  <c r="AT171" i="21"/>
  <c r="AT155" i="21"/>
  <c r="AI155" i="21"/>
  <c r="AK155" i="21" s="1"/>
  <c r="AL155" i="21" s="1"/>
  <c r="AN155" i="21" s="1"/>
  <c r="AH147" i="21"/>
  <c r="AT147" i="21"/>
  <c r="AT139" i="21"/>
  <c r="AI139" i="21"/>
  <c r="AK139" i="21" s="1"/>
  <c r="AL139" i="21" s="1"/>
  <c r="AN139" i="21" s="1"/>
  <c r="AT131" i="21"/>
  <c r="AI131" i="21"/>
  <c r="AH123" i="21"/>
  <c r="AT123" i="21"/>
  <c r="AH115" i="21"/>
  <c r="AT115" i="21"/>
  <c r="AH107" i="21"/>
  <c r="AT107" i="21"/>
  <c r="AH99" i="21"/>
  <c r="AT99" i="21"/>
  <c r="AT83" i="21"/>
  <c r="AI83" i="21"/>
  <c r="AK83" i="21" s="1"/>
  <c r="AL83" i="21" s="1"/>
  <c r="AN83" i="21" s="1"/>
  <c r="AH75" i="21"/>
  <c r="AT75" i="21"/>
  <c r="AT67" i="21"/>
  <c r="AI67" i="21"/>
  <c r="AK67" i="21" s="1"/>
  <c r="AL67" i="21" s="1"/>
  <c r="AN67" i="21" s="1"/>
  <c r="AT59" i="21"/>
  <c r="AI59" i="21"/>
  <c r="AJ59" i="21" s="1"/>
  <c r="AH51" i="21"/>
  <c r="AT51" i="21"/>
  <c r="AT43" i="21"/>
  <c r="AI43" i="21"/>
  <c r="AK43" i="21" s="1"/>
  <c r="AL43" i="21" s="1"/>
  <c r="AN43" i="21" s="1"/>
  <c r="AT35" i="21"/>
  <c r="AI35" i="21"/>
  <c r="AK35" i="21" s="1"/>
  <c r="AL35" i="21" s="1"/>
  <c r="AN35" i="21" s="1"/>
  <c r="AH27" i="21"/>
  <c r="AT27" i="21"/>
  <c r="AH19" i="21"/>
  <c r="AT19" i="21"/>
  <c r="AH11" i="21"/>
  <c r="AT11" i="21"/>
  <c r="AH3" i="21"/>
  <c r="AT3" i="21"/>
  <c r="AF650" i="21"/>
  <c r="AS650" i="21"/>
  <c r="AF642" i="21"/>
  <c r="AS642" i="21"/>
  <c r="AF634" i="21"/>
  <c r="AS634" i="21"/>
  <c r="AF626" i="21"/>
  <c r="AS626" i="21"/>
  <c r="AF618" i="21"/>
  <c r="AS618" i="21"/>
  <c r="AF610" i="21"/>
  <c r="AS610" i="21"/>
  <c r="AF602" i="21"/>
  <c r="AS602" i="21"/>
  <c r="AF594" i="21"/>
  <c r="AS594" i="21"/>
  <c r="AF586" i="21"/>
  <c r="AS586" i="21"/>
  <c r="AF578" i="21"/>
  <c r="AS578" i="21"/>
  <c r="AF570" i="21"/>
  <c r="AS570" i="21"/>
  <c r="AF562" i="21"/>
  <c r="AS562" i="21"/>
  <c r="AF554" i="21"/>
  <c r="AS554" i="21"/>
  <c r="AF546" i="21"/>
  <c r="AS546" i="21"/>
  <c r="AF538" i="21"/>
  <c r="AS538" i="21"/>
  <c r="AF530" i="21"/>
  <c r="AS530" i="21"/>
  <c r="AF522" i="21"/>
  <c r="AS522" i="21"/>
  <c r="AF514" i="21"/>
  <c r="AS514" i="21"/>
  <c r="AF506" i="21"/>
  <c r="AS506" i="21"/>
  <c r="AF498" i="21"/>
  <c r="AS498" i="21"/>
  <c r="AF490" i="21"/>
  <c r="AS490" i="21"/>
  <c r="AF482" i="21"/>
  <c r="AS482" i="21"/>
  <c r="AF474" i="21"/>
  <c r="AS474" i="21"/>
  <c r="AF466" i="21"/>
  <c r="AS466" i="21"/>
  <c r="AF458" i="21"/>
  <c r="AS458" i="21"/>
  <c r="AF450" i="21"/>
  <c r="AS450" i="21"/>
  <c r="AF442" i="21"/>
  <c r="AS442" i="21"/>
  <c r="AF434" i="21"/>
  <c r="AS434" i="21"/>
  <c r="AF426" i="21"/>
  <c r="AS426" i="21"/>
  <c r="AF418" i="21"/>
  <c r="AS418" i="21"/>
  <c r="AF410" i="21"/>
  <c r="AS410" i="21"/>
  <c r="AF402" i="21"/>
  <c r="AS402" i="21"/>
  <c r="AF394" i="21"/>
  <c r="AS394" i="21"/>
  <c r="AF386" i="21"/>
  <c r="AS386" i="21"/>
  <c r="AF378" i="21"/>
  <c r="AS378" i="21"/>
  <c r="AF370" i="21"/>
  <c r="AS370" i="21"/>
  <c r="AF362" i="21"/>
  <c r="AS362" i="21"/>
  <c r="AF354" i="21"/>
  <c r="AS354" i="21"/>
  <c r="AF346" i="21"/>
  <c r="AS346" i="21"/>
  <c r="AF338" i="21"/>
  <c r="AS338" i="21"/>
  <c r="AF330" i="21"/>
  <c r="AS330" i="21"/>
  <c r="AF322" i="21"/>
  <c r="AS322" i="21"/>
  <c r="AF314" i="21"/>
  <c r="AS314" i="21"/>
  <c r="AF306" i="21"/>
  <c r="AS306" i="21"/>
  <c r="AF298" i="21"/>
  <c r="AS298" i="21"/>
  <c r="AF290" i="21"/>
  <c r="AS290" i="21"/>
  <c r="AF282" i="21"/>
  <c r="AS282" i="21"/>
  <c r="AF274" i="21"/>
  <c r="AS274" i="21"/>
  <c r="AF266" i="21"/>
  <c r="AS266" i="21"/>
  <c r="AF258" i="21"/>
  <c r="AS258" i="21"/>
  <c r="AF250" i="21"/>
  <c r="AS250" i="21"/>
  <c r="AF242" i="21"/>
  <c r="AS242" i="21"/>
  <c r="AF234" i="21"/>
  <c r="AS234" i="21"/>
  <c r="AF226" i="21"/>
  <c r="AS226" i="21"/>
  <c r="AF218" i="21"/>
  <c r="AS218" i="21"/>
  <c r="AF210" i="21"/>
  <c r="AS210" i="21"/>
  <c r="AF202" i="21"/>
  <c r="AS202" i="21"/>
  <c r="AF194" i="21"/>
  <c r="AS194" i="21"/>
  <c r="AF186" i="21"/>
  <c r="AS186" i="21"/>
  <c r="AF178" i="21"/>
  <c r="AS178" i="21"/>
  <c r="AS170" i="21"/>
  <c r="AF162" i="21"/>
  <c r="AS162" i="21"/>
  <c r="AF154" i="21"/>
  <c r="AS154" i="21"/>
  <c r="AF146" i="21"/>
  <c r="AS146" i="21"/>
  <c r="AF138" i="21"/>
  <c r="AS138" i="21"/>
  <c r="AF130" i="21"/>
  <c r="AS130" i="21"/>
  <c r="AF122" i="21"/>
  <c r="AS122" i="21"/>
  <c r="AF114" i="21"/>
  <c r="AS114" i="21"/>
  <c r="AF106" i="21"/>
  <c r="AS106" i="21"/>
  <c r="AF98" i="21"/>
  <c r="AS98" i="21"/>
  <c r="AF90" i="21"/>
  <c r="AS90" i="21"/>
  <c r="AF82" i="21"/>
  <c r="AS82" i="21"/>
  <c r="AF74" i="21"/>
  <c r="AS74" i="21"/>
  <c r="AF66" i="21"/>
  <c r="AS66" i="21"/>
  <c r="AF58" i="21"/>
  <c r="AS58" i="21"/>
  <c r="AF50" i="21"/>
  <c r="AS50" i="21"/>
  <c r="AF42" i="21"/>
  <c r="AS42" i="21"/>
  <c r="AF34" i="21"/>
  <c r="AS34" i="21"/>
  <c r="AF26" i="21"/>
  <c r="AS26" i="21"/>
  <c r="AF18" i="21"/>
  <c r="AS18" i="21"/>
  <c r="AF10" i="21"/>
  <c r="AS10" i="21"/>
  <c r="AH2" i="21"/>
  <c r="AT2" i="21"/>
  <c r="AT1122" i="21"/>
  <c r="AI1122" i="21"/>
  <c r="AK1122" i="21" s="1"/>
  <c r="AL1122" i="21" s="1"/>
  <c r="AN1122" i="21" s="1"/>
  <c r="AT1114" i="21"/>
  <c r="AI1114" i="21"/>
  <c r="AK1114" i="21" s="1"/>
  <c r="AL1114" i="21" s="1"/>
  <c r="AN1114" i="21" s="1"/>
  <c r="AH1106" i="21"/>
  <c r="AT1106" i="21"/>
  <c r="AT1098" i="21"/>
  <c r="AI1098" i="21"/>
  <c r="AK1098" i="21" s="1"/>
  <c r="AL1098" i="21" s="1"/>
  <c r="AN1098" i="21" s="1"/>
  <c r="AT1090" i="21"/>
  <c r="AI1090" i="21"/>
  <c r="AK1090" i="21" s="1"/>
  <c r="AL1090" i="21" s="1"/>
  <c r="AN1090" i="21" s="1"/>
  <c r="AH1082" i="21"/>
  <c r="AT1082" i="21"/>
  <c r="AH1074" i="21"/>
  <c r="AT1074" i="21"/>
  <c r="AH1066" i="21"/>
  <c r="AT1066" i="21"/>
  <c r="AH1058" i="21"/>
  <c r="AT1058" i="21"/>
  <c r="AT1050" i="21"/>
  <c r="AI1050" i="21"/>
  <c r="AJ1050" i="21" s="1"/>
  <c r="AT1042" i="21"/>
  <c r="AI1042" i="21"/>
  <c r="AK1042" i="21" s="1"/>
  <c r="AL1042" i="21" s="1"/>
  <c r="AN1042" i="21" s="1"/>
  <c r="AH1034" i="21"/>
  <c r="AT1034" i="21"/>
  <c r="AT1026" i="21"/>
  <c r="AI1026" i="21"/>
  <c r="AK1026" i="21" s="1"/>
  <c r="AL1026" i="21" s="1"/>
  <c r="AN1026" i="21" s="1"/>
  <c r="AT1018" i="21"/>
  <c r="AI1018" i="21"/>
  <c r="AK1018" i="21" s="1"/>
  <c r="AL1018" i="21" s="1"/>
  <c r="AN1018" i="21" s="1"/>
  <c r="AH1010" i="21"/>
  <c r="AT1010" i="21"/>
  <c r="AH1002" i="21"/>
  <c r="AT1002" i="21"/>
  <c r="AH994" i="21"/>
  <c r="AT994" i="21"/>
  <c r="AH986" i="21"/>
  <c r="AT986" i="21"/>
  <c r="AH962" i="21"/>
  <c r="AT962" i="21"/>
  <c r="AT954" i="21"/>
  <c r="AI954" i="21"/>
  <c r="AJ954" i="21" s="1"/>
  <c r="AT946" i="21"/>
  <c r="AI946" i="21"/>
  <c r="AK946" i="21" s="1"/>
  <c r="AL946" i="21" s="1"/>
  <c r="AN946" i="21" s="1"/>
  <c r="AH938" i="21"/>
  <c r="AT938" i="21"/>
  <c r="AH930" i="21"/>
  <c r="AT930" i="21"/>
  <c r="AT922" i="21"/>
  <c r="AI922" i="21"/>
  <c r="AK922" i="21" s="1"/>
  <c r="AL922" i="21" s="1"/>
  <c r="AN922" i="21" s="1"/>
  <c r="AH914" i="21"/>
  <c r="AT914" i="21"/>
  <c r="AT906" i="21"/>
  <c r="AI906" i="21"/>
  <c r="AJ906" i="21" s="1"/>
  <c r="AT898" i="21"/>
  <c r="AI898" i="21"/>
  <c r="AK898" i="21" s="1"/>
  <c r="AL898" i="21" s="1"/>
  <c r="AN898" i="21" s="1"/>
  <c r="AT882" i="21"/>
  <c r="AI882" i="21"/>
  <c r="AK882" i="21" s="1"/>
  <c r="AL882" i="21" s="1"/>
  <c r="AN882" i="21" s="1"/>
  <c r="AH866" i="21"/>
  <c r="AT866" i="21"/>
  <c r="AT858" i="21"/>
  <c r="AI858" i="21"/>
  <c r="AJ858" i="21" s="1"/>
  <c r="AH850" i="21"/>
  <c r="AT850" i="21"/>
  <c r="AH842" i="21"/>
  <c r="AT842" i="21"/>
  <c r="AH834" i="21"/>
  <c r="AT834" i="21"/>
  <c r="AH826" i="21"/>
  <c r="AT826" i="21"/>
  <c r="AH818" i="21"/>
  <c r="AT818" i="21"/>
  <c r="AT810" i="21"/>
  <c r="AI810" i="21"/>
  <c r="AJ810" i="21" s="1"/>
  <c r="AT802" i="21"/>
  <c r="AI802" i="21"/>
  <c r="AJ802" i="21" s="1"/>
  <c r="AT786" i="21"/>
  <c r="AI786" i="21"/>
  <c r="AK786" i="21" s="1"/>
  <c r="AL786" i="21" s="1"/>
  <c r="AN786" i="21" s="1"/>
  <c r="AT778" i="21"/>
  <c r="AI778" i="21"/>
  <c r="AJ778" i="21" s="1"/>
  <c r="AH770" i="21"/>
  <c r="AT770" i="21"/>
  <c r="AT762" i="21"/>
  <c r="AI762" i="21"/>
  <c r="AT754" i="21"/>
  <c r="AI754" i="21"/>
  <c r="AH746" i="21"/>
  <c r="AT746" i="21"/>
  <c r="AT738" i="21"/>
  <c r="AI738" i="21"/>
  <c r="AK738" i="21" s="1"/>
  <c r="AL738" i="21" s="1"/>
  <c r="AN738" i="21" s="1"/>
  <c r="AH730" i="21"/>
  <c r="AT730" i="21"/>
  <c r="AH722" i="21"/>
  <c r="AT722" i="21"/>
  <c r="AT714" i="21"/>
  <c r="AI714" i="21"/>
  <c r="AJ714" i="21" s="1"/>
  <c r="AT706" i="21"/>
  <c r="AI706" i="21"/>
  <c r="AK706" i="21" s="1"/>
  <c r="AL706" i="21" s="1"/>
  <c r="AN706" i="21" s="1"/>
  <c r="AH698" i="21"/>
  <c r="AT698" i="21"/>
  <c r="AT690" i="21"/>
  <c r="AI690" i="21"/>
  <c r="AK690" i="21" s="1"/>
  <c r="AL690" i="21" s="1"/>
  <c r="AN690" i="21" s="1"/>
  <c r="AT682" i="21"/>
  <c r="AI682" i="21"/>
  <c r="AK682" i="21" s="1"/>
  <c r="AL682" i="21" s="1"/>
  <c r="AN682" i="21" s="1"/>
  <c r="AH674" i="21"/>
  <c r="AT674" i="21"/>
  <c r="AT666" i="21"/>
  <c r="AI666" i="21"/>
  <c r="AK666" i="21" s="1"/>
  <c r="AL666" i="21" s="1"/>
  <c r="AN666" i="21" s="1"/>
  <c r="AT658" i="21"/>
  <c r="AI658" i="21"/>
  <c r="AK658" i="21" s="1"/>
  <c r="AL658" i="21" s="1"/>
  <c r="AN658" i="21" s="1"/>
  <c r="AH650" i="21"/>
  <c r="AT650" i="21"/>
  <c r="AH642" i="21"/>
  <c r="AT642" i="21"/>
  <c r="AT634" i="21"/>
  <c r="AI634" i="21"/>
  <c r="AJ634" i="21" s="1"/>
  <c r="AH626" i="21"/>
  <c r="AT626" i="21"/>
  <c r="AT618" i="21"/>
  <c r="AI618" i="21"/>
  <c r="AK618" i="21" s="1"/>
  <c r="AL618" i="21" s="1"/>
  <c r="AN618" i="21" s="1"/>
  <c r="AT610" i="21"/>
  <c r="AI610" i="21"/>
  <c r="AK610" i="21" s="1"/>
  <c r="AL610" i="21" s="1"/>
  <c r="AN610" i="21" s="1"/>
  <c r="AH602" i="21"/>
  <c r="AT602" i="21"/>
  <c r="AT594" i="21"/>
  <c r="AI594" i="21"/>
  <c r="AK594" i="21" s="1"/>
  <c r="AL594" i="21" s="1"/>
  <c r="AN594" i="21" s="1"/>
  <c r="AT586" i="21"/>
  <c r="AI586" i="21"/>
  <c r="AK586" i="21" s="1"/>
  <c r="AL586" i="21" s="1"/>
  <c r="AN586" i="21" s="1"/>
  <c r="AT578" i="21"/>
  <c r="AI578" i="21"/>
  <c r="AK578" i="21" s="1"/>
  <c r="AL578" i="21" s="1"/>
  <c r="AN578" i="21" s="1"/>
  <c r="AH570" i="21"/>
  <c r="AT570" i="21"/>
  <c r="AT562" i="21"/>
  <c r="AI562" i="21"/>
  <c r="AK562" i="21" s="1"/>
  <c r="AL562" i="21" s="1"/>
  <c r="AN562" i="21" s="1"/>
  <c r="AH554" i="21"/>
  <c r="AT554" i="21"/>
  <c r="AT546" i="21"/>
  <c r="AI546" i="21"/>
  <c r="AK546" i="21" s="1"/>
  <c r="AL546" i="21" s="1"/>
  <c r="AN546" i="21" s="1"/>
  <c r="AT538" i="21"/>
  <c r="AI538" i="21"/>
  <c r="AK538" i="21" s="1"/>
  <c r="AL538" i="21" s="1"/>
  <c r="AN538" i="21" s="1"/>
  <c r="AH530" i="21"/>
  <c r="AT530" i="21"/>
  <c r="AH522" i="21"/>
  <c r="AT522" i="21"/>
  <c r="AT514" i="21"/>
  <c r="AI514" i="21"/>
  <c r="AJ514" i="21" s="1"/>
  <c r="AH506" i="21"/>
  <c r="AT506" i="21"/>
  <c r="AT498" i="21"/>
  <c r="AI498" i="21"/>
  <c r="AJ498" i="21" s="1"/>
  <c r="AT490" i="21"/>
  <c r="AI490" i="21"/>
  <c r="AK490" i="21" s="1"/>
  <c r="AL490" i="21" s="1"/>
  <c r="AN490" i="21" s="1"/>
  <c r="AH482" i="21"/>
  <c r="AT482" i="21"/>
  <c r="AH474" i="21"/>
  <c r="AT474" i="21"/>
  <c r="AT466" i="21"/>
  <c r="AI466" i="21"/>
  <c r="AK466" i="21" s="1"/>
  <c r="AL466" i="21" s="1"/>
  <c r="AN466" i="21" s="1"/>
  <c r="AH458" i="21"/>
  <c r="AT458" i="21"/>
  <c r="AT450" i="21"/>
  <c r="AI450" i="21"/>
  <c r="AJ450" i="21" s="1"/>
  <c r="AT442" i="21"/>
  <c r="AI442" i="21"/>
  <c r="AJ442" i="21" s="1"/>
  <c r="AH434" i="21"/>
  <c r="AT434" i="21"/>
  <c r="AT426" i="21"/>
  <c r="AI426" i="21"/>
  <c r="AK426" i="21" s="1"/>
  <c r="AL426" i="21" s="1"/>
  <c r="AN426" i="21" s="1"/>
  <c r="AT418" i="21"/>
  <c r="AI418" i="21"/>
  <c r="AK418" i="21" s="1"/>
  <c r="AL418" i="21" s="1"/>
  <c r="AN418" i="21" s="1"/>
  <c r="AH410" i="21"/>
  <c r="AT410" i="21"/>
  <c r="AT402" i="21"/>
  <c r="AI402" i="21"/>
  <c r="AK402" i="21" s="1"/>
  <c r="AL402" i="21" s="1"/>
  <c r="AN402" i="21" s="1"/>
  <c r="AH394" i="21"/>
  <c r="AT394" i="21"/>
  <c r="AH386" i="21"/>
  <c r="AT386" i="21"/>
  <c r="AH378" i="21"/>
  <c r="AT378" i="21"/>
  <c r="AH370" i="21"/>
  <c r="AT370" i="21"/>
  <c r="AH362" i="21"/>
  <c r="AT362" i="21"/>
  <c r="AT354" i="21"/>
  <c r="AI354" i="21"/>
  <c r="AK354" i="21" s="1"/>
  <c r="AL354" i="21" s="1"/>
  <c r="AN354" i="21" s="1"/>
  <c r="AT346" i="21"/>
  <c r="AI346" i="21"/>
  <c r="AJ346" i="21" s="1"/>
  <c r="AH338" i="21"/>
  <c r="AT338" i="21"/>
  <c r="AT330" i="21"/>
  <c r="AI330" i="21"/>
  <c r="AK330" i="21" s="1"/>
  <c r="AL330" i="21" s="1"/>
  <c r="AN330" i="21" s="1"/>
  <c r="AT322" i="21"/>
  <c r="AI322" i="21"/>
  <c r="AJ322" i="21" s="1"/>
  <c r="AH314" i="21"/>
  <c r="AT314" i="21"/>
  <c r="AT306" i="21"/>
  <c r="AI306" i="21"/>
  <c r="AK306" i="21" s="1"/>
  <c r="AL306" i="21" s="1"/>
  <c r="AN306" i="21" s="1"/>
  <c r="AT298" i="21"/>
  <c r="AI298" i="21"/>
  <c r="AK298" i="21" s="1"/>
  <c r="AL298" i="21" s="1"/>
  <c r="AN298" i="21" s="1"/>
  <c r="AT282" i="21"/>
  <c r="AI282" i="21"/>
  <c r="AK282" i="21" s="1"/>
  <c r="AL282" i="21" s="1"/>
  <c r="AN282" i="21" s="1"/>
  <c r="AT274" i="21"/>
  <c r="AI274" i="21"/>
  <c r="AK274" i="21" s="1"/>
  <c r="AL274" i="21" s="1"/>
  <c r="AN274" i="21" s="1"/>
  <c r="AH266" i="21"/>
  <c r="AT266" i="21"/>
  <c r="AT258" i="21"/>
  <c r="AI258" i="21"/>
  <c r="AK258" i="21" s="1"/>
  <c r="AL258" i="21" s="1"/>
  <c r="AN258" i="21" s="1"/>
  <c r="AT250" i="21"/>
  <c r="AI250" i="21"/>
  <c r="AJ250" i="21" s="1"/>
  <c r="AH242" i="21"/>
  <c r="AT242" i="21"/>
  <c r="AT234" i="21"/>
  <c r="AI234" i="21"/>
  <c r="AK234" i="21" s="1"/>
  <c r="AL234" i="21" s="1"/>
  <c r="AN234" i="21" s="1"/>
  <c r="AT226" i="21"/>
  <c r="AI226" i="21"/>
  <c r="AK226" i="21" s="1"/>
  <c r="AL226" i="21" s="1"/>
  <c r="AN226" i="21" s="1"/>
  <c r="AH218" i="21"/>
  <c r="AT218" i="21"/>
  <c r="AH210" i="21"/>
  <c r="AT210" i="21"/>
  <c r="AT202" i="21"/>
  <c r="AI202" i="21"/>
  <c r="AK202" i="21" s="1"/>
  <c r="AL202" i="21" s="1"/>
  <c r="AN202" i="21" s="1"/>
  <c r="AH194" i="21"/>
  <c r="AT194" i="21"/>
  <c r="AH186" i="21"/>
  <c r="AT186" i="21"/>
  <c r="AH178" i="21"/>
  <c r="AT178" i="21"/>
  <c r="AH170" i="21"/>
  <c r="AT170" i="21"/>
  <c r="AT162" i="21"/>
  <c r="AI162" i="21"/>
  <c r="AK162" i="21" s="1"/>
  <c r="AL162" i="21" s="1"/>
  <c r="AN162" i="21" s="1"/>
  <c r="AH154" i="21"/>
  <c r="AT154" i="21"/>
  <c r="AH146" i="21"/>
  <c r="AT146" i="21"/>
  <c r="AT138" i="21"/>
  <c r="AI138" i="21"/>
  <c r="AK138" i="21" s="1"/>
  <c r="AL138" i="21" s="1"/>
  <c r="AN138" i="21" s="1"/>
  <c r="AH130" i="21"/>
  <c r="AT130" i="21"/>
  <c r="AH122" i="21"/>
  <c r="AT122" i="21"/>
  <c r="AH114" i="21"/>
  <c r="AT114" i="21"/>
  <c r="AH106" i="21"/>
  <c r="AT106" i="21"/>
  <c r="AH98" i="21"/>
  <c r="AT98" i="21"/>
  <c r="AH82" i="21"/>
  <c r="AT82" i="21"/>
  <c r="AH74" i="21"/>
  <c r="AT74" i="21"/>
  <c r="AT66" i="21"/>
  <c r="AI66" i="21"/>
  <c r="AK66" i="21" s="1"/>
  <c r="AL66" i="21" s="1"/>
  <c r="AN66" i="21" s="1"/>
  <c r="AH58" i="21"/>
  <c r="AT58" i="21"/>
  <c r="AH50" i="21"/>
  <c r="AT50" i="21"/>
  <c r="AH42" i="21"/>
  <c r="AT42" i="21"/>
  <c r="AT34" i="21"/>
  <c r="AI34" i="21"/>
  <c r="AH26" i="21"/>
  <c r="AT26" i="21"/>
  <c r="AT18" i="21"/>
  <c r="AI18" i="21"/>
  <c r="AK18" i="21" s="1"/>
  <c r="AL18" i="21" s="1"/>
  <c r="AT10" i="21"/>
  <c r="AI10" i="21"/>
  <c r="AJ10" i="21" s="1"/>
  <c r="AF577" i="21"/>
  <c r="AS577" i="21"/>
  <c r="AF569" i="21"/>
  <c r="AS569" i="21"/>
  <c r="AF561" i="21"/>
  <c r="AS561" i="21"/>
  <c r="AF553" i="21"/>
  <c r="AS553" i="21"/>
  <c r="AF545" i="21"/>
  <c r="AS545" i="21"/>
  <c r="AF537" i="21"/>
  <c r="AS537" i="21"/>
  <c r="AF529" i="21"/>
  <c r="AS529" i="21"/>
  <c r="AF521" i="21"/>
  <c r="AS521" i="21"/>
  <c r="AF513" i="21"/>
  <c r="AS513" i="21"/>
  <c r="AF505" i="21"/>
  <c r="AS505" i="21"/>
  <c r="AF497" i="21"/>
  <c r="AS497" i="21"/>
  <c r="AF489" i="21"/>
  <c r="AS489" i="21"/>
  <c r="AF481" i="21"/>
  <c r="AS481" i="21"/>
  <c r="AF473" i="21"/>
  <c r="AS473" i="21"/>
  <c r="AF465" i="21"/>
  <c r="AS465" i="21"/>
  <c r="AF457" i="21"/>
  <c r="AS457" i="21"/>
  <c r="AF449" i="21"/>
  <c r="AS449" i="21"/>
  <c r="AF441" i="21"/>
  <c r="AS441" i="21"/>
  <c r="AF433" i="21"/>
  <c r="AS433" i="21"/>
  <c r="AF425" i="21"/>
  <c r="AS425" i="21"/>
  <c r="AF417" i="21"/>
  <c r="AS417" i="21"/>
  <c r="AF409" i="21"/>
  <c r="AS409" i="21"/>
  <c r="AF401" i="21"/>
  <c r="AS401" i="21"/>
  <c r="AF393" i="21"/>
  <c r="AS393" i="21"/>
  <c r="AF385" i="21"/>
  <c r="AS385" i="21"/>
  <c r="AF377" i="21"/>
  <c r="AS377" i="21"/>
  <c r="AF369" i="21"/>
  <c r="AS369" i="21"/>
  <c r="AF361" i="21"/>
  <c r="AS361" i="21"/>
  <c r="AF353" i="21"/>
  <c r="AS353" i="21"/>
  <c r="AF345" i="21"/>
  <c r="AS345" i="21"/>
  <c r="AF337" i="21"/>
  <c r="AS337" i="21"/>
  <c r="AF329" i="21"/>
  <c r="AS329" i="21"/>
  <c r="AF321" i="21"/>
  <c r="AS321" i="21"/>
  <c r="AF313" i="21"/>
  <c r="AS313" i="21"/>
  <c r="AF305" i="21"/>
  <c r="AS305" i="21"/>
  <c r="AF297" i="21"/>
  <c r="AS297" i="21"/>
  <c r="AF289" i="21"/>
  <c r="AS289" i="21"/>
  <c r="AF281" i="21"/>
  <c r="AS281" i="21"/>
  <c r="AF273" i="21"/>
  <c r="AS273" i="21"/>
  <c r="AF265" i="21"/>
  <c r="AS265" i="21"/>
  <c r="AF257" i="21"/>
  <c r="AS257" i="21"/>
  <c r="AF249" i="21"/>
  <c r="AS249" i="21"/>
  <c r="AF241" i="21"/>
  <c r="AS241" i="21"/>
  <c r="AF233" i="21"/>
  <c r="AS233" i="21"/>
  <c r="AF225" i="21"/>
  <c r="AS225" i="21"/>
  <c r="AF217" i="21"/>
  <c r="AS217" i="21"/>
  <c r="AF209" i="21"/>
  <c r="AS209" i="21"/>
  <c r="AF201" i="21"/>
  <c r="AS201" i="21"/>
  <c r="AF193" i="21"/>
  <c r="AS193" i="21"/>
  <c r="AF185" i="21"/>
  <c r="AS185" i="21"/>
  <c r="AF177" i="21"/>
  <c r="AS177" i="21"/>
  <c r="AF169" i="21"/>
  <c r="AS169" i="21"/>
  <c r="AF161" i="21"/>
  <c r="AS161" i="21"/>
  <c r="AF153" i="21"/>
  <c r="AS153" i="21"/>
  <c r="AF145" i="21"/>
  <c r="AS145" i="21"/>
  <c r="AF137" i="21"/>
  <c r="AS137" i="21"/>
  <c r="AF129" i="21"/>
  <c r="AS129" i="21"/>
  <c r="AF121" i="21"/>
  <c r="AS121" i="21"/>
  <c r="AF113" i="21"/>
  <c r="AS113" i="21"/>
  <c r="AF105" i="21"/>
  <c r="AS105" i="21"/>
  <c r="AF97" i="21"/>
  <c r="AS97" i="21"/>
  <c r="AF89" i="21"/>
  <c r="AS89" i="21"/>
  <c r="AF81" i="21"/>
  <c r="AS81" i="21"/>
  <c r="AF73" i="21"/>
  <c r="AS73" i="21"/>
  <c r="AF65" i="21"/>
  <c r="AS65" i="21"/>
  <c r="AF57" i="21"/>
  <c r="AS57" i="21"/>
  <c r="AF49" i="21"/>
  <c r="AS49" i="21"/>
  <c r="AF41" i="21"/>
  <c r="AS41" i="21"/>
  <c r="AF33" i="21"/>
  <c r="AS33" i="21"/>
  <c r="AF25" i="21"/>
  <c r="AS25" i="21"/>
  <c r="AF17" i="21"/>
  <c r="AS17" i="21"/>
  <c r="AF9" i="21"/>
  <c r="AS9" i="21"/>
  <c r="AT1129" i="21"/>
  <c r="AI1129" i="21"/>
  <c r="AK1129" i="21" s="1"/>
  <c r="AL1129" i="21" s="1"/>
  <c r="AN1129" i="21" s="1"/>
  <c r="AT1121" i="21"/>
  <c r="AI1121" i="21"/>
  <c r="AH1113" i="21"/>
  <c r="AT1113" i="21"/>
  <c r="AT1105" i="21"/>
  <c r="AJ1105" i="21"/>
  <c r="AH1097" i="21"/>
  <c r="AT1097" i="21"/>
  <c r="AH1089" i="21"/>
  <c r="AT1089" i="21"/>
  <c r="AH1081" i="21"/>
  <c r="AT1081" i="21"/>
  <c r="AH1073" i="21"/>
  <c r="AT1073" i="21"/>
  <c r="AT1065" i="21"/>
  <c r="AI1065" i="21"/>
  <c r="AK1065" i="21" s="1"/>
  <c r="AL1065" i="21" s="1"/>
  <c r="AN1065" i="21" s="1"/>
  <c r="AI1057" i="21"/>
  <c r="AJ1057" i="21" s="1"/>
  <c r="AT1057" i="21"/>
  <c r="AI1049" i="21"/>
  <c r="AT1049" i="21"/>
  <c r="AT1041" i="21"/>
  <c r="AI1041" i="21"/>
  <c r="AK1041" i="21" s="1"/>
  <c r="AL1041" i="21" s="1"/>
  <c r="AN1041" i="21" s="1"/>
  <c r="AH1033" i="21"/>
  <c r="AT1033" i="21"/>
  <c r="AH1025" i="21"/>
  <c r="AT1025" i="21"/>
  <c r="AH1017" i="21"/>
  <c r="AT1017" i="21"/>
  <c r="AI1009" i="21"/>
  <c r="AK1009" i="21" s="1"/>
  <c r="AL1009" i="21" s="1"/>
  <c r="AN1009" i="21" s="1"/>
  <c r="AT1009" i="21"/>
  <c r="AH1001" i="21"/>
  <c r="AT1001" i="21"/>
  <c r="AT993" i="21"/>
  <c r="AI993" i="21"/>
  <c r="AK993" i="21" s="1"/>
  <c r="AL993" i="21" s="1"/>
  <c r="AN993" i="21" s="1"/>
  <c r="AH985" i="21"/>
  <c r="AT985" i="21"/>
  <c r="AH977" i="21"/>
  <c r="AT977" i="21"/>
  <c r="AI969" i="21"/>
  <c r="AT969" i="21"/>
  <c r="AH961" i="21"/>
  <c r="AT961" i="21"/>
  <c r="AH953" i="21"/>
  <c r="AT953" i="21"/>
  <c r="AI945" i="21"/>
  <c r="AT945" i="21"/>
  <c r="AI937" i="21"/>
  <c r="AK937" i="21" s="1"/>
  <c r="AL937" i="21" s="1"/>
  <c r="AN937" i="21" s="1"/>
  <c r="AT937" i="21"/>
  <c r="AH929" i="21"/>
  <c r="AT929" i="21"/>
  <c r="AH921" i="21"/>
  <c r="AT921" i="21"/>
  <c r="AI913" i="21"/>
  <c r="AJ913" i="21" s="1"/>
  <c r="AT913" i="21"/>
  <c r="AT905" i="21"/>
  <c r="AI905" i="21"/>
  <c r="AJ905" i="21" s="1"/>
  <c r="AH897" i="21"/>
  <c r="AT897" i="21"/>
  <c r="AT889" i="21"/>
  <c r="AI889" i="21"/>
  <c r="AK889" i="21" s="1"/>
  <c r="AL889" i="21" s="1"/>
  <c r="AN889" i="21" s="1"/>
  <c r="AH881" i="21"/>
  <c r="AT881" i="21"/>
  <c r="AT873" i="21"/>
  <c r="AI873" i="21"/>
  <c r="AK873" i="21" s="1"/>
  <c r="AL873" i="21" s="1"/>
  <c r="AN873" i="21" s="1"/>
  <c r="AT865" i="21"/>
  <c r="AJ865" i="21"/>
  <c r="AH857" i="21"/>
  <c r="AT857" i="21"/>
  <c r="AH849" i="21"/>
  <c r="AT849" i="21"/>
  <c r="AT841" i="21"/>
  <c r="AI841" i="21"/>
  <c r="AJ841" i="21" s="1"/>
  <c r="AH833" i="21"/>
  <c r="AT833" i="21"/>
  <c r="AH825" i="21"/>
  <c r="AT825" i="21"/>
  <c r="AT817" i="21"/>
  <c r="AI817" i="21"/>
  <c r="AJ817" i="21" s="1"/>
  <c r="AT809" i="21"/>
  <c r="AI809" i="21"/>
  <c r="AK809" i="21" s="1"/>
  <c r="AL809" i="21" s="1"/>
  <c r="AN809" i="21" s="1"/>
  <c r="AH801" i="21"/>
  <c r="AT801" i="21"/>
  <c r="AH785" i="21"/>
  <c r="AT785" i="21"/>
  <c r="AT777" i="21"/>
  <c r="AI777" i="21"/>
  <c r="AT769" i="21"/>
  <c r="AI769" i="21"/>
  <c r="AJ769" i="21" s="1"/>
  <c r="AT761" i="21"/>
  <c r="AI761" i="21"/>
  <c r="AJ761" i="21" s="1"/>
  <c r="AT753" i="21"/>
  <c r="AI753" i="21"/>
  <c r="AK753" i="21" s="1"/>
  <c r="AL753" i="21" s="1"/>
  <c r="AN753" i="21" s="1"/>
  <c r="AT745" i="21"/>
  <c r="AH737" i="21"/>
  <c r="AT737" i="21"/>
  <c r="AH729" i="21"/>
  <c r="AT729" i="21"/>
  <c r="AH721" i="21"/>
  <c r="AT721" i="21"/>
  <c r="AH713" i="21"/>
  <c r="AT713" i="21"/>
  <c r="AT705" i="21"/>
  <c r="AI705" i="21"/>
  <c r="AK705" i="21" s="1"/>
  <c r="AL705" i="21" s="1"/>
  <c r="AN705" i="21" s="1"/>
  <c r="AT697" i="21"/>
  <c r="AI697" i="21"/>
  <c r="AK697" i="21" s="1"/>
  <c r="AL697" i="21" s="1"/>
  <c r="AN697" i="21" s="1"/>
  <c r="AH689" i="21"/>
  <c r="AT689" i="21"/>
  <c r="AT673" i="21"/>
  <c r="AI673" i="21"/>
  <c r="AK673" i="21" s="1"/>
  <c r="AL673" i="21" s="1"/>
  <c r="AN673" i="21" s="1"/>
  <c r="AT665" i="21"/>
  <c r="AI665" i="21"/>
  <c r="AJ665" i="21" s="1"/>
  <c r="AT657" i="21"/>
  <c r="AI657" i="21"/>
  <c r="AK657" i="21" s="1"/>
  <c r="AL657" i="21" s="1"/>
  <c r="AN657" i="21" s="1"/>
  <c r="AH649" i="21"/>
  <c r="AT649" i="21"/>
  <c r="AH641" i="21"/>
  <c r="AT641" i="21"/>
  <c r="AT633" i="21"/>
  <c r="AI633" i="21"/>
  <c r="AK633" i="21" s="1"/>
  <c r="AL633" i="21" s="1"/>
  <c r="AN633" i="21" s="1"/>
  <c r="AT625" i="21"/>
  <c r="AI625" i="21"/>
  <c r="AT617" i="21"/>
  <c r="AI617" i="21"/>
  <c r="AK617" i="21" s="1"/>
  <c r="AL617" i="21" s="1"/>
  <c r="AN617" i="21" s="1"/>
  <c r="AH609" i="21"/>
  <c r="AT609" i="21"/>
  <c r="AT601" i="21"/>
  <c r="AI601" i="21"/>
  <c r="AK601" i="21" s="1"/>
  <c r="AL601" i="21" s="1"/>
  <c r="AN601" i="21" s="1"/>
  <c r="AT593" i="21"/>
  <c r="AI593" i="21"/>
  <c r="AK593" i="21" s="1"/>
  <c r="AL593" i="21" s="1"/>
  <c r="AN593" i="21" s="1"/>
  <c r="AH585" i="21"/>
  <c r="AT585" i="21"/>
  <c r="AT577" i="21"/>
  <c r="AI577" i="21"/>
  <c r="AK577" i="21" s="1"/>
  <c r="AL577" i="21" s="1"/>
  <c r="AN577" i="21" s="1"/>
  <c r="AH569" i="21"/>
  <c r="AT569" i="21"/>
  <c r="AT561" i="21"/>
  <c r="AI561" i="21"/>
  <c r="AK561" i="21" s="1"/>
  <c r="AL561" i="21" s="1"/>
  <c r="AN561" i="21" s="1"/>
  <c r="AT553" i="21"/>
  <c r="AI553" i="21"/>
  <c r="AJ553" i="21" s="1"/>
  <c r="AT545" i="21"/>
  <c r="AI545" i="21"/>
  <c r="AK545" i="21" s="1"/>
  <c r="AL545" i="21" s="1"/>
  <c r="AN545" i="21" s="1"/>
  <c r="AT537" i="21"/>
  <c r="AI537" i="21"/>
  <c r="AK537" i="21" s="1"/>
  <c r="AL537" i="21" s="1"/>
  <c r="AN537" i="21" s="1"/>
  <c r="AT529" i="21"/>
  <c r="AK529" i="21"/>
  <c r="AL529" i="21" s="1"/>
  <c r="AN529" i="21" s="1"/>
  <c r="AT521" i="21"/>
  <c r="AI521" i="21"/>
  <c r="AJ521" i="21" s="1"/>
  <c r="AT505" i="21"/>
  <c r="AI505" i="21"/>
  <c r="AJ505" i="21" s="1"/>
  <c r="AT497" i="21"/>
  <c r="AI497" i="21"/>
  <c r="AJ497" i="21" s="1"/>
  <c r="AH489" i="21"/>
  <c r="AT489" i="21"/>
  <c r="AT481" i="21"/>
  <c r="AI481" i="21"/>
  <c r="AK481" i="21" s="1"/>
  <c r="AL481" i="21" s="1"/>
  <c r="AN481" i="21" s="1"/>
  <c r="AH473" i="21"/>
  <c r="AT473" i="21"/>
  <c r="AT465" i="21"/>
  <c r="AI465" i="21"/>
  <c r="AK465" i="21" s="1"/>
  <c r="AL465" i="21" s="1"/>
  <c r="AN465" i="21" s="1"/>
  <c r="AT457" i="21"/>
  <c r="AI457" i="21"/>
  <c r="AJ457" i="21" s="1"/>
  <c r="AH449" i="21"/>
  <c r="AT449" i="21"/>
  <c r="AH441" i="21"/>
  <c r="AT441" i="21"/>
  <c r="AT433" i="21"/>
  <c r="AI433" i="21"/>
  <c r="AK433" i="21" s="1"/>
  <c r="AL433" i="21" s="1"/>
  <c r="AN433" i="21" s="1"/>
  <c r="AT425" i="21"/>
  <c r="AI425" i="21"/>
  <c r="AJ425" i="21" s="1"/>
  <c r="AH409" i="21"/>
  <c r="AT409" i="21"/>
  <c r="AH401" i="21"/>
  <c r="AT401" i="21"/>
  <c r="AT393" i="21"/>
  <c r="AI393" i="21"/>
  <c r="AH385" i="21"/>
  <c r="AT385" i="21"/>
  <c r="AH377" i="21"/>
  <c r="AT377" i="21"/>
  <c r="AT369" i="21"/>
  <c r="AI369" i="21"/>
  <c r="AK369" i="21" s="1"/>
  <c r="AL369" i="21" s="1"/>
  <c r="AN369" i="21" s="1"/>
  <c r="AT361" i="21"/>
  <c r="AI361" i="21"/>
  <c r="AJ361" i="21" s="1"/>
  <c r="AH353" i="21"/>
  <c r="AT353" i="21"/>
  <c r="AH345" i="21"/>
  <c r="AT345" i="21"/>
  <c r="AT337" i="21"/>
  <c r="AI337" i="21"/>
  <c r="AJ337" i="21" s="1"/>
  <c r="AH329" i="21"/>
  <c r="AT329" i="21"/>
  <c r="AT321" i="21"/>
  <c r="AI321" i="21"/>
  <c r="AK321" i="21" s="1"/>
  <c r="AL321" i="21" s="1"/>
  <c r="AN321" i="21" s="1"/>
  <c r="AT313" i="21"/>
  <c r="AI313" i="21"/>
  <c r="AK313" i="21" s="1"/>
  <c r="AL313" i="21" s="1"/>
  <c r="AN313" i="21" s="1"/>
  <c r="AT305" i="21"/>
  <c r="AI305" i="21"/>
  <c r="AK305" i="21" s="1"/>
  <c r="AL305" i="21" s="1"/>
  <c r="AN305" i="21" s="1"/>
  <c r="AT289" i="21"/>
  <c r="AI289" i="21"/>
  <c r="AK289" i="21" s="1"/>
  <c r="AL289" i="21" s="1"/>
  <c r="AN289" i="21" s="1"/>
  <c r="AH281" i="21"/>
  <c r="AT281" i="21"/>
  <c r="AH273" i="21"/>
  <c r="AT273" i="21"/>
  <c r="AT265" i="21"/>
  <c r="AI265" i="21"/>
  <c r="AJ265" i="21" s="1"/>
  <c r="AT257" i="21"/>
  <c r="AI257" i="21"/>
  <c r="AJ257" i="21" s="1"/>
  <c r="AT249" i="21"/>
  <c r="AI249" i="21"/>
  <c r="AK249" i="21" s="1"/>
  <c r="AL249" i="21" s="1"/>
  <c r="AN249" i="21" s="1"/>
  <c r="AT241" i="21"/>
  <c r="AI241" i="21"/>
  <c r="AJ241" i="21" s="1"/>
  <c r="AT233" i="21"/>
  <c r="AI233" i="21"/>
  <c r="AK233" i="21" s="1"/>
  <c r="AL233" i="21" s="1"/>
  <c r="AN233" i="21" s="1"/>
  <c r="AT225" i="21"/>
  <c r="AI225" i="21"/>
  <c r="AK225" i="21" s="1"/>
  <c r="AL225" i="21" s="1"/>
  <c r="AN225" i="21" s="1"/>
  <c r="AT217" i="21"/>
  <c r="AI217" i="21"/>
  <c r="AK217" i="21" s="1"/>
  <c r="AL217" i="21" s="1"/>
  <c r="AN217" i="21" s="1"/>
  <c r="AT209" i="21"/>
  <c r="AI209" i="21"/>
  <c r="AJ209" i="21" s="1"/>
  <c r="AH201" i="21"/>
  <c r="AT201" i="21"/>
  <c r="AH193" i="21"/>
  <c r="AT193" i="21"/>
  <c r="AH185" i="21"/>
  <c r="AT185" i="21"/>
  <c r="AH177" i="21"/>
  <c r="AT177" i="21"/>
  <c r="AT169" i="21"/>
  <c r="AI169" i="21"/>
  <c r="AK169" i="21" s="1"/>
  <c r="AL169" i="21" s="1"/>
  <c r="AN169" i="21" s="1"/>
  <c r="AT161" i="21"/>
  <c r="AI161" i="21"/>
  <c r="AK161" i="21" s="1"/>
  <c r="AL161" i="21" s="1"/>
  <c r="AN161" i="21" s="1"/>
  <c r="AH153" i="21"/>
  <c r="AT153" i="21"/>
  <c r="AT145" i="21"/>
  <c r="AI145" i="21"/>
  <c r="AJ145" i="21" s="1"/>
  <c r="AT137" i="21"/>
  <c r="AI137" i="21"/>
  <c r="AJ137" i="21" s="1"/>
  <c r="AH129" i="21"/>
  <c r="AT129" i="21"/>
  <c r="AT121" i="21"/>
  <c r="AI121" i="21"/>
  <c r="AK121" i="21" s="1"/>
  <c r="AL121" i="21" s="1"/>
  <c r="AN121" i="21" s="1"/>
  <c r="AH113" i="21"/>
  <c r="AT113" i="21"/>
  <c r="AT105" i="21"/>
  <c r="AI105" i="21"/>
  <c r="AK105" i="21" s="1"/>
  <c r="AL105" i="21" s="1"/>
  <c r="AN105" i="21" s="1"/>
  <c r="AH97" i="21"/>
  <c r="AT97" i="21"/>
  <c r="AH89" i="21"/>
  <c r="AT89" i="21"/>
  <c r="AH81" i="21"/>
  <c r="AT81" i="21"/>
  <c r="AT73" i="21"/>
  <c r="AI73" i="21"/>
  <c r="AJ73" i="21" s="1"/>
  <c r="AT65" i="21"/>
  <c r="AI65" i="21"/>
  <c r="AJ65" i="21" s="1"/>
  <c r="AH57" i="21"/>
  <c r="AT57" i="21"/>
  <c r="AT49" i="21"/>
  <c r="AI49" i="21"/>
  <c r="AK49" i="21" s="1"/>
  <c r="AL49" i="21" s="1"/>
  <c r="AN49" i="21" s="1"/>
  <c r="AT41" i="21"/>
  <c r="AI41" i="21"/>
  <c r="AJ41" i="21" s="1"/>
  <c r="AT25" i="21"/>
  <c r="AI25" i="21"/>
  <c r="AK25" i="21" s="1"/>
  <c r="AL25" i="21" s="1"/>
  <c r="AH17" i="21"/>
  <c r="AT17" i="21"/>
  <c r="AH9" i="21"/>
  <c r="AT9" i="21"/>
  <c r="AH1128" i="21"/>
  <c r="AH1120" i="21"/>
  <c r="AH1112" i="21"/>
  <c r="AJ1112" i="21"/>
  <c r="AH1096" i="21"/>
  <c r="AH1088" i="21"/>
  <c r="AJ1088" i="21" s="1"/>
  <c r="AH1072" i="21"/>
  <c r="AH1064" i="21"/>
  <c r="AH1056" i="21"/>
  <c r="AH1048" i="21"/>
  <c r="AJ1048" i="21"/>
  <c r="AH1040" i="21"/>
  <c r="AH1000" i="21"/>
  <c r="AH992" i="21"/>
  <c r="AH984" i="21"/>
  <c r="AJ984" i="21"/>
  <c r="AH976" i="21"/>
  <c r="AH968" i="21"/>
  <c r="AH952" i="21"/>
  <c r="AJ952" i="21"/>
  <c r="AH944" i="21"/>
  <c r="AH928" i="21"/>
  <c r="AH912" i="21"/>
  <c r="AH904" i="21"/>
  <c r="AH888" i="21"/>
  <c r="AJ888" i="21"/>
  <c r="AH872" i="21"/>
  <c r="AH864" i="21"/>
  <c r="AH824" i="21"/>
  <c r="AH816" i="21"/>
  <c r="AH808" i="21"/>
  <c r="AH784" i="21"/>
  <c r="AH768" i="21"/>
  <c r="AH760" i="21"/>
  <c r="AH752" i="21"/>
  <c r="AJ752" i="21" s="1"/>
  <c r="AH744" i="21"/>
  <c r="AH736" i="21"/>
  <c r="AH728" i="21"/>
  <c r="AH720" i="21"/>
  <c r="AJ720" i="21"/>
  <c r="AH712" i="21"/>
  <c r="AH680" i="21"/>
  <c r="AK680" i="21"/>
  <c r="AL680" i="21" s="1"/>
  <c r="AN680" i="21" s="1"/>
  <c r="AH672" i="21"/>
  <c r="AH664" i="21"/>
  <c r="AH656" i="21"/>
  <c r="AH648" i="21"/>
  <c r="AK648" i="21"/>
  <c r="AL648" i="21" s="1"/>
  <c r="AN648" i="21" s="1"/>
  <c r="AH632" i="21"/>
  <c r="AH624" i="21"/>
  <c r="AH616" i="21"/>
  <c r="AH600" i="21"/>
  <c r="AH592" i="21"/>
  <c r="AH584" i="21"/>
  <c r="AH576" i="21"/>
  <c r="AJ576" i="21"/>
  <c r="AH568" i="21"/>
  <c r="AH552" i="21"/>
  <c r="AH544" i="21"/>
  <c r="AJ544" i="21" s="1"/>
  <c r="AH536" i="21"/>
  <c r="AH528" i="21"/>
  <c r="AH520" i="21"/>
  <c r="AH512" i="21"/>
  <c r="AJ512" i="21" s="1"/>
  <c r="AH504" i="21"/>
  <c r="AJ504" i="21"/>
  <c r="AH496" i="21"/>
  <c r="AH480" i="21"/>
  <c r="AH472" i="21"/>
  <c r="AJ472" i="21" s="1"/>
  <c r="AH464" i="21"/>
  <c r="AH456" i="21"/>
  <c r="AH448" i="21"/>
  <c r="AH432" i="21"/>
  <c r="AH424" i="21"/>
  <c r="AH416" i="21"/>
  <c r="AH384" i="21"/>
  <c r="AJ384" i="21" s="1"/>
  <c r="AH376" i="21"/>
  <c r="AJ376" i="21" s="1"/>
  <c r="AH368" i="21"/>
  <c r="AH352" i="21"/>
  <c r="AH344" i="21"/>
  <c r="AH336" i="21"/>
  <c r="AH328" i="21"/>
  <c r="AJ328" i="21"/>
  <c r="AH320" i="21"/>
  <c r="AH312" i="21"/>
  <c r="AH304" i="21"/>
  <c r="AH296" i="21"/>
  <c r="AH288" i="21"/>
  <c r="AJ288" i="21"/>
  <c r="AH280" i="21"/>
  <c r="AH264" i="21"/>
  <c r="AH256" i="21"/>
  <c r="AJ256" i="21"/>
  <c r="AH248" i="21"/>
  <c r="AH240" i="21"/>
  <c r="AH232" i="21"/>
  <c r="AH216" i="21"/>
  <c r="AH208" i="21"/>
  <c r="AH176" i="21"/>
  <c r="AH168" i="21"/>
  <c r="AH160" i="21"/>
  <c r="AH144" i="21"/>
  <c r="AH136" i="21"/>
  <c r="AH104" i="21"/>
  <c r="AH96" i="21"/>
  <c r="AJ96" i="21"/>
  <c r="AH72" i="21"/>
  <c r="AH64" i="21"/>
  <c r="AJ64" i="21"/>
  <c r="AH40" i="21"/>
  <c r="AH32" i="21"/>
  <c r="AH1119" i="21"/>
  <c r="AH1103" i="21"/>
  <c r="AH1055" i="21"/>
  <c r="AH1039" i="21"/>
  <c r="AH1031" i="21"/>
  <c r="AJ1031" i="21"/>
  <c r="AH983" i="21"/>
  <c r="AJ983" i="21" s="1"/>
  <c r="AH975" i="21"/>
  <c r="AJ975" i="21" s="1"/>
  <c r="AH951" i="21"/>
  <c r="AH943" i="21"/>
  <c r="AJ943" i="21"/>
  <c r="AH911" i="21"/>
  <c r="AJ911" i="21"/>
  <c r="AH903" i="21"/>
  <c r="AH895" i="21"/>
  <c r="AH887" i="21"/>
  <c r="AJ887" i="21"/>
  <c r="AH863" i="21"/>
  <c r="AH815" i="21"/>
  <c r="AH807" i="21"/>
  <c r="AH791" i="21"/>
  <c r="AJ791" i="21"/>
  <c r="AH767" i="21"/>
  <c r="AH759" i="21"/>
  <c r="AJ759" i="21" s="1"/>
  <c r="AH743" i="21"/>
  <c r="AH727" i="21"/>
  <c r="AH695" i="21"/>
  <c r="AH687" i="21"/>
  <c r="AH671" i="21"/>
  <c r="AH663" i="21"/>
  <c r="AJ663" i="21"/>
  <c r="AH655" i="21"/>
  <c r="AH623" i="21"/>
  <c r="AH615" i="21"/>
  <c r="AH599" i="21"/>
  <c r="AJ599" i="21"/>
  <c r="AH591" i="21"/>
  <c r="AH575" i="21"/>
  <c r="AH551" i="21"/>
  <c r="AH543" i="21"/>
  <c r="AH503" i="21"/>
  <c r="AJ503" i="21"/>
  <c r="AH495" i="21"/>
  <c r="AH455" i="21"/>
  <c r="AH439" i="21"/>
  <c r="AK439" i="21"/>
  <c r="AL439" i="21" s="1"/>
  <c r="AN439" i="21" s="1"/>
  <c r="AH431" i="21"/>
  <c r="AH423" i="21"/>
  <c r="AH415" i="21"/>
  <c r="AH407" i="21"/>
  <c r="AH391" i="21"/>
  <c r="AH359" i="21"/>
  <c r="AH311" i="21"/>
  <c r="AH303" i="21"/>
  <c r="AH295" i="21"/>
  <c r="AH287" i="21"/>
  <c r="AH279" i="21"/>
  <c r="AH263" i="21"/>
  <c r="AH247" i="21"/>
  <c r="AJ247" i="21"/>
  <c r="AH239" i="21"/>
  <c r="AH231" i="21"/>
  <c r="AH223" i="21"/>
  <c r="AH215" i="21"/>
  <c r="AH199" i="21"/>
  <c r="AH167" i="21"/>
  <c r="AH159" i="21"/>
  <c r="AH151" i="21"/>
  <c r="AH143" i="21"/>
  <c r="AH135" i="21"/>
  <c r="AH119" i="21"/>
  <c r="AJ119" i="21"/>
  <c r="AH103" i="21"/>
  <c r="AH71" i="21"/>
  <c r="AH47" i="21"/>
  <c r="AH1118" i="21"/>
  <c r="AH982" i="21"/>
  <c r="AJ982" i="21" s="1"/>
  <c r="AH950" i="21"/>
  <c r="AH942" i="21"/>
  <c r="AH910" i="21"/>
  <c r="AH902" i="21"/>
  <c r="AJ902" i="21"/>
  <c r="AH878" i="21"/>
  <c r="AH854" i="21"/>
  <c r="AH814" i="21"/>
  <c r="AH806" i="21"/>
  <c r="AH782" i="21"/>
  <c r="AH766" i="21"/>
  <c r="AH758" i="21"/>
  <c r="AK758" i="21"/>
  <c r="AL758" i="21" s="1"/>
  <c r="AN758" i="21" s="1"/>
  <c r="AH694" i="21"/>
  <c r="AH686" i="21"/>
  <c r="AH678" i="21"/>
  <c r="AH670" i="21"/>
  <c r="AK670" i="21"/>
  <c r="AL670" i="21" s="1"/>
  <c r="AN670" i="21" s="1"/>
  <c r="AH662" i="21"/>
  <c r="AH654" i="21"/>
  <c r="AH638" i="21"/>
  <c r="AH630" i="21"/>
  <c r="AH622" i="21"/>
  <c r="AH598" i="21"/>
  <c r="AH590" i="21"/>
  <c r="AH550" i="21"/>
  <c r="AK550" i="21"/>
  <c r="AL550" i="21" s="1"/>
  <c r="AN550" i="21" s="1"/>
  <c r="AH542" i="21"/>
  <c r="AH518" i="21"/>
  <c r="AH510" i="21"/>
  <c r="AH502" i="21"/>
  <c r="AJ502" i="21"/>
  <c r="AH470" i="21"/>
  <c r="AJ470" i="21"/>
  <c r="AH446" i="21"/>
  <c r="AJ446" i="21"/>
  <c r="AH430" i="21"/>
  <c r="AH422" i="21"/>
  <c r="AH414" i="21"/>
  <c r="AH366" i="21"/>
  <c r="AH350" i="21"/>
  <c r="AH326" i="21"/>
  <c r="AH310" i="21"/>
  <c r="AJ310" i="21" s="1"/>
  <c r="AH302" i="21"/>
  <c r="AH278" i="21"/>
  <c r="AH262" i="21"/>
  <c r="AH254" i="21"/>
  <c r="AJ254" i="21"/>
  <c r="AH238" i="21"/>
  <c r="AH230" i="21"/>
  <c r="AH222" i="21"/>
  <c r="AK222" i="21"/>
  <c r="AL222" i="21" s="1"/>
  <c r="AN222" i="21" s="1"/>
  <c r="AH206" i="21"/>
  <c r="AH158" i="21"/>
  <c r="AH134" i="21"/>
  <c r="AH62" i="21"/>
  <c r="AJ62" i="21"/>
  <c r="AH46" i="21"/>
  <c r="AH38" i="21"/>
  <c r="AH30" i="21"/>
  <c r="AH14" i="21"/>
  <c r="AH1125" i="21"/>
  <c r="AH1085" i="21"/>
  <c r="AH1053" i="21"/>
  <c r="AH981" i="21"/>
  <c r="AH957" i="21"/>
  <c r="AH949" i="21"/>
  <c r="AH941" i="21"/>
  <c r="AH933" i="21"/>
  <c r="AH925" i="21"/>
  <c r="AH909" i="21"/>
  <c r="AH901" i="21"/>
  <c r="AH869" i="21"/>
  <c r="AH813" i="21"/>
  <c r="AH805" i="21"/>
  <c r="AH789" i="21"/>
  <c r="AH757" i="21"/>
  <c r="AH749" i="21"/>
  <c r="AH693" i="21"/>
  <c r="AH669" i="21"/>
  <c r="AH661" i="21"/>
  <c r="AK661" i="21"/>
  <c r="AL661" i="21" s="1"/>
  <c r="AN661" i="21" s="1"/>
  <c r="AH653" i="21"/>
  <c r="AH629" i="21"/>
  <c r="AH621" i="21"/>
  <c r="AH613" i="21"/>
  <c r="AK613" i="21"/>
  <c r="AL613" i="21" s="1"/>
  <c r="AN613" i="21" s="1"/>
  <c r="AH597" i="21"/>
  <c r="AH589" i="21"/>
  <c r="AH565" i="21"/>
  <c r="AH549" i="21"/>
  <c r="AH541" i="21"/>
  <c r="AJ509" i="21"/>
  <c r="AH493" i="21"/>
  <c r="AH461" i="21"/>
  <c r="AH453" i="21"/>
  <c r="AH429" i="21"/>
  <c r="AH421" i="21"/>
  <c r="AH405" i="21"/>
  <c r="AH365" i="21"/>
  <c r="AH333" i="21"/>
  <c r="AH317" i="21"/>
  <c r="AH309" i="21"/>
  <c r="AK309" i="21"/>
  <c r="AL309" i="21" s="1"/>
  <c r="AN309" i="21" s="1"/>
  <c r="AH301" i="21"/>
  <c r="AH285" i="21"/>
  <c r="AH277" i="21"/>
  <c r="AH261" i="21"/>
  <c r="AH253" i="21"/>
  <c r="AH237" i="21"/>
  <c r="AH229" i="21"/>
  <c r="AH213" i="21"/>
  <c r="AH205" i="21"/>
  <c r="AH157" i="21"/>
  <c r="AH141" i="21"/>
  <c r="AH133" i="21"/>
  <c r="AH61" i="21"/>
  <c r="AH45" i="21"/>
  <c r="AH37" i="21"/>
  <c r="AH21" i="21"/>
  <c r="AH1116" i="21"/>
  <c r="AJ1116" i="21" s="1"/>
  <c r="AH1060" i="21"/>
  <c r="AH1044" i="21"/>
  <c r="AH1012" i="21"/>
  <c r="AH956" i="21"/>
  <c r="AH932" i="21"/>
  <c r="AJ932" i="21" s="1"/>
  <c r="AH924" i="21"/>
  <c r="AH916" i="21"/>
  <c r="AH908" i="21"/>
  <c r="AH900" i="21"/>
  <c r="AH892" i="21"/>
  <c r="AH884" i="21"/>
  <c r="AK884" i="21"/>
  <c r="AL884" i="21" s="1"/>
  <c r="AN884" i="21" s="1"/>
  <c r="AH876" i="21"/>
  <c r="AH812" i="21"/>
  <c r="AH804" i="21"/>
  <c r="AH796" i="21"/>
  <c r="AK796" i="21"/>
  <c r="AL796" i="21" s="1"/>
  <c r="AN796" i="21" s="1"/>
  <c r="AH732" i="21"/>
  <c r="AJ732" i="21" s="1"/>
  <c r="AH684" i="21"/>
  <c r="AJ684" i="21" s="1"/>
  <c r="AH676" i="21"/>
  <c r="AH668" i="21"/>
  <c r="AH660" i="21"/>
  <c r="AH620" i="21"/>
  <c r="AH612" i="21"/>
  <c r="AH596" i="21"/>
  <c r="AH588" i="21"/>
  <c r="AJ588" i="21" s="1"/>
  <c r="AH580" i="21"/>
  <c r="AH556" i="21"/>
  <c r="AH548" i="21"/>
  <c r="AH540" i="21"/>
  <c r="AH492" i="21"/>
  <c r="AH452" i="21"/>
  <c r="AH428" i="21"/>
  <c r="AH420" i="21"/>
  <c r="AH396" i="21"/>
  <c r="AH324" i="21"/>
  <c r="AH308" i="21"/>
  <c r="AH300" i="21"/>
  <c r="AH292" i="21"/>
  <c r="AJ292" i="21" s="1"/>
  <c r="AH284" i="21"/>
  <c r="AH276" i="21"/>
  <c r="AH268" i="21"/>
  <c r="AH252" i="21"/>
  <c r="AH228" i="21"/>
  <c r="AH212" i="21"/>
  <c r="AH204" i="21"/>
  <c r="AH164" i="21"/>
  <c r="AH156" i="21"/>
  <c r="AH132" i="21"/>
  <c r="AH100" i="21"/>
  <c r="AH92" i="21"/>
  <c r="AH60" i="21"/>
  <c r="AH36" i="21"/>
  <c r="AH12" i="21"/>
  <c r="AH1123" i="21"/>
  <c r="AH1115" i="21"/>
  <c r="AH1099" i="21"/>
  <c r="AH1091" i="21"/>
  <c r="AH1075" i="21"/>
  <c r="AH1051" i="21"/>
  <c r="AH1043" i="21"/>
  <c r="AH1019" i="21"/>
  <c r="AH1011" i="21"/>
  <c r="AH979" i="21"/>
  <c r="AH955" i="21"/>
  <c r="AH947" i="21"/>
  <c r="AH923" i="21"/>
  <c r="AH907" i="21"/>
  <c r="AH899" i="21"/>
  <c r="AH891" i="21"/>
  <c r="AJ891" i="21" s="1"/>
  <c r="AH883" i="21"/>
  <c r="AH875" i="21"/>
  <c r="AH859" i="21"/>
  <c r="AH811" i="21"/>
  <c r="AH803" i="21"/>
  <c r="AH795" i="21"/>
  <c r="AH787" i="21"/>
  <c r="AH779" i="21"/>
  <c r="AH763" i="21"/>
  <c r="AH755" i="21"/>
  <c r="AH739" i="21"/>
  <c r="AH691" i="21"/>
  <c r="AH683" i="21"/>
  <c r="AH667" i="21"/>
  <c r="AH659" i="21"/>
  <c r="AH619" i="21"/>
  <c r="AH611" i="21"/>
  <c r="AH595" i="21"/>
  <c r="AH587" i="21"/>
  <c r="AH579" i="21"/>
  <c r="AH571" i="21"/>
  <c r="AH555" i="21"/>
  <c r="AH547" i="21"/>
  <c r="AH539" i="21"/>
  <c r="AH515" i="21"/>
  <c r="AH499" i="21"/>
  <c r="AJ499" i="21"/>
  <c r="AH491" i="21"/>
  <c r="AH467" i="21"/>
  <c r="AH427" i="21"/>
  <c r="AH419" i="21"/>
  <c r="AH403" i="21"/>
  <c r="AH395" i="21"/>
  <c r="AH355" i="21"/>
  <c r="AH347" i="21"/>
  <c r="AH331" i="21"/>
  <c r="AH307" i="21"/>
  <c r="AJ307" i="21" s="1"/>
  <c r="AH299" i="21"/>
  <c r="AH291" i="21"/>
  <c r="AH283" i="21"/>
  <c r="AH275" i="21"/>
  <c r="AH259" i="21"/>
  <c r="AH251" i="21"/>
  <c r="AH235" i="21"/>
  <c r="AK235" i="21"/>
  <c r="AL235" i="21" s="1"/>
  <c r="AN235" i="21" s="1"/>
  <c r="AH227" i="21"/>
  <c r="AH211" i="21"/>
  <c r="AH163" i="21"/>
  <c r="AH155" i="21"/>
  <c r="AH139" i="21"/>
  <c r="AH131" i="21"/>
  <c r="AJ131" i="21" s="1"/>
  <c r="AH91" i="21"/>
  <c r="AH83" i="21"/>
  <c r="AH67" i="21"/>
  <c r="AH59" i="21"/>
  <c r="AH43" i="21"/>
  <c r="AH35" i="21"/>
  <c r="AH1122" i="21"/>
  <c r="AH1114" i="21"/>
  <c r="AH1098" i="21"/>
  <c r="AH1090" i="21"/>
  <c r="AH1050" i="21"/>
  <c r="AH1042" i="21"/>
  <c r="AH1026" i="21"/>
  <c r="AH1018" i="21"/>
  <c r="AH978" i="21"/>
  <c r="AJ978" i="21" s="1"/>
  <c r="AH970" i="21"/>
  <c r="AJ970" i="21" s="1"/>
  <c r="AH954" i="21"/>
  <c r="AH946" i="21"/>
  <c r="AH922" i="21"/>
  <c r="AH906" i="21"/>
  <c r="AH898" i="21"/>
  <c r="AH890" i="21"/>
  <c r="AH882" i="21"/>
  <c r="AH874" i="21"/>
  <c r="AJ874" i="21" s="1"/>
  <c r="AH858" i="21"/>
  <c r="AH810" i="21"/>
  <c r="AH802" i="21"/>
  <c r="AH794" i="21"/>
  <c r="AJ794" i="21" s="1"/>
  <c r="AH786" i="21"/>
  <c r="AH778" i="21"/>
  <c r="AH762" i="21"/>
  <c r="AH754" i="21"/>
  <c r="AH738" i="21"/>
  <c r="AH714" i="21"/>
  <c r="AH706" i="21"/>
  <c r="AH690" i="21"/>
  <c r="AH682" i="21"/>
  <c r="AH666" i="21"/>
  <c r="AH658" i="21"/>
  <c r="AH634" i="21"/>
  <c r="AH618" i="21"/>
  <c r="AH610" i="21"/>
  <c r="AH594" i="21"/>
  <c r="AH586" i="21"/>
  <c r="AH578" i="21"/>
  <c r="AH562" i="21"/>
  <c r="AH546" i="21"/>
  <c r="AH538" i="21"/>
  <c r="AH514" i="21"/>
  <c r="AH498" i="21"/>
  <c r="AH490" i="21"/>
  <c r="AH466" i="21"/>
  <c r="AH450" i="21"/>
  <c r="AH442" i="21"/>
  <c r="AH426" i="21"/>
  <c r="AH418" i="21"/>
  <c r="AH402" i="21"/>
  <c r="AH354" i="21"/>
  <c r="AH346" i="21"/>
  <c r="AH330" i="21"/>
  <c r="AH322" i="21"/>
  <c r="AH306" i="21"/>
  <c r="AH298" i="21"/>
  <c r="AH290" i="21"/>
  <c r="AJ290" i="21" s="1"/>
  <c r="AH282" i="21"/>
  <c r="AH274" i="21"/>
  <c r="AH258" i="21"/>
  <c r="AH250" i="21"/>
  <c r="AH234" i="21"/>
  <c r="AH226" i="21"/>
  <c r="AH202" i="21"/>
  <c r="AH162" i="21"/>
  <c r="AH138" i="21"/>
  <c r="AH90" i="21"/>
  <c r="AK90" i="21"/>
  <c r="AL90" i="21" s="1"/>
  <c r="AN90" i="21" s="1"/>
  <c r="AH66" i="21"/>
  <c r="AH34" i="21"/>
  <c r="AH18" i="21"/>
  <c r="AH10" i="21"/>
  <c r="AH1129" i="21"/>
  <c r="AH1121" i="21"/>
  <c r="AH1105" i="21"/>
  <c r="AH1065" i="21"/>
  <c r="AH1057" i="21"/>
  <c r="AH1049" i="21"/>
  <c r="AH1041" i="21"/>
  <c r="AH1009" i="21"/>
  <c r="AH993" i="21"/>
  <c r="AH969" i="21"/>
  <c r="AH945" i="21"/>
  <c r="AH937" i="21"/>
  <c r="AH913" i="21"/>
  <c r="AH905" i="21"/>
  <c r="AH889" i="21"/>
  <c r="AH873" i="21"/>
  <c r="AH865" i="21"/>
  <c r="AH841" i="21"/>
  <c r="AH817" i="21"/>
  <c r="AH809" i="21"/>
  <c r="AH793" i="21"/>
  <c r="AJ793" i="21" s="1"/>
  <c r="AH777" i="21"/>
  <c r="AH769" i="21"/>
  <c r="AH761" i="21"/>
  <c r="AH753" i="21"/>
  <c r="AH745" i="21"/>
  <c r="AH705" i="21"/>
  <c r="AH697" i="21"/>
  <c r="AH681" i="21"/>
  <c r="AJ681" i="21" s="1"/>
  <c r="AH673" i="21"/>
  <c r="AH665" i="21"/>
  <c r="AH657" i="21"/>
  <c r="AH633" i="21"/>
  <c r="AH625" i="21"/>
  <c r="AH617" i="21"/>
  <c r="AH601" i="21"/>
  <c r="AH593" i="21"/>
  <c r="AH577" i="21"/>
  <c r="AH561" i="21"/>
  <c r="AH553" i="21"/>
  <c r="AH545" i="21"/>
  <c r="AH537" i="21"/>
  <c r="AH529" i="21"/>
  <c r="AH521" i="21"/>
  <c r="AH513" i="21"/>
  <c r="AJ513" i="21" s="1"/>
  <c r="AH505" i="21"/>
  <c r="AH497" i="21"/>
  <c r="AH481" i="21"/>
  <c r="AH465" i="21"/>
  <c r="AH457" i="21"/>
  <c r="AH433" i="21"/>
  <c r="AH425" i="21"/>
  <c r="AH417" i="21"/>
  <c r="AJ417" i="21" s="1"/>
  <c r="AH393" i="21"/>
  <c r="AH369" i="21"/>
  <c r="AH361" i="21"/>
  <c r="AH337" i="21"/>
  <c r="AH321" i="21"/>
  <c r="AH313" i="21"/>
  <c r="AH305" i="21"/>
  <c r="AH297" i="21"/>
  <c r="AJ297" i="21" s="1"/>
  <c r="AH289" i="21"/>
  <c r="AH265" i="21"/>
  <c r="AH257" i="21"/>
  <c r="AH249" i="21"/>
  <c r="AH241" i="21"/>
  <c r="AH233" i="21"/>
  <c r="AH225" i="21"/>
  <c r="AH217" i="21"/>
  <c r="AH209" i="21"/>
  <c r="AH169" i="21"/>
  <c r="AH161" i="21"/>
  <c r="AH145" i="21"/>
  <c r="AH137" i="21"/>
  <c r="AH121" i="21"/>
  <c r="AH105" i="21"/>
  <c r="AH73" i="21"/>
  <c r="AH65" i="21"/>
  <c r="AH49" i="21"/>
  <c r="AH41" i="21"/>
  <c r="AH33" i="21"/>
  <c r="AJ33" i="21" s="1"/>
  <c r="AH25" i="21"/>
  <c r="AR1095" i="21"/>
  <c r="AR1039" i="21"/>
  <c r="AR999" i="21"/>
  <c r="AR967" i="21"/>
  <c r="AR935" i="21"/>
  <c r="AR903" i="21"/>
  <c r="AR887" i="21"/>
  <c r="AR863" i="21"/>
  <c r="AR847" i="21"/>
  <c r="AR831" i="21"/>
  <c r="AR807" i="21"/>
  <c r="AR775" i="21"/>
  <c r="AR735" i="21"/>
  <c r="AR719" i="21"/>
  <c r="AR703" i="21"/>
  <c r="AR687" i="21"/>
  <c r="AR663" i="21"/>
  <c r="AR647" i="21"/>
  <c r="AR631" i="21"/>
  <c r="AR615" i="21"/>
  <c r="AR599" i="21"/>
  <c r="AR583" i="21"/>
  <c r="AR567" i="21"/>
  <c r="AR551" i="21"/>
  <c r="AR535" i="21"/>
  <c r="AR519" i="21"/>
  <c r="AR503" i="21"/>
  <c r="AR487" i="21"/>
  <c r="AR471" i="21"/>
  <c r="AR455" i="21"/>
  <c r="AR439" i="21"/>
  <c r="AR423" i="21"/>
  <c r="AR407" i="21"/>
  <c r="AR391" i="21"/>
  <c r="AR375" i="21"/>
  <c r="AR359" i="21"/>
  <c r="AR343" i="21"/>
  <c r="AR327" i="21"/>
  <c r="AR311" i="21"/>
  <c r="AR295" i="21"/>
  <c r="AR279" i="21"/>
  <c r="AR263" i="21"/>
  <c r="AR247" i="21"/>
  <c r="AR231" i="21"/>
  <c r="AR215" i="21"/>
  <c r="AR199" i="21"/>
  <c r="AR175" i="21"/>
  <c r="AR159" i="21"/>
  <c r="AR143" i="21"/>
  <c r="AR127" i="21"/>
  <c r="AR111" i="21"/>
  <c r="AR95" i="21"/>
  <c r="AR79" i="21"/>
  <c r="AR63" i="21"/>
  <c r="AR47" i="21"/>
  <c r="AR31" i="21"/>
  <c r="AR23" i="21"/>
  <c r="AR7" i="21"/>
  <c r="AR1126" i="21"/>
  <c r="AR1118" i="21"/>
  <c r="AR1110" i="21"/>
  <c r="AR1102" i="21"/>
  <c r="AR1094" i="21"/>
  <c r="AR1086" i="21"/>
  <c r="AR1078" i="21"/>
  <c r="AR1070" i="21"/>
  <c r="AR1062" i="21"/>
  <c r="AR1054" i="21"/>
  <c r="AR1046" i="21"/>
  <c r="AR1038" i="21"/>
  <c r="AR1030" i="21"/>
  <c r="AR1022" i="21"/>
  <c r="AR1014" i="21"/>
  <c r="AR1006" i="21"/>
  <c r="AR998" i="21"/>
  <c r="AR990" i="21"/>
  <c r="AR982" i="21"/>
  <c r="AR974" i="21"/>
  <c r="AR966" i="21"/>
  <c r="AR958" i="21"/>
  <c r="AR950" i="21"/>
  <c r="AR942" i="21"/>
  <c r="AR934" i="21"/>
  <c r="AR926" i="21"/>
  <c r="AR918" i="21"/>
  <c r="AR910" i="21"/>
  <c r="AR902" i="21"/>
  <c r="AR894" i="21"/>
  <c r="AR886" i="21"/>
  <c r="AR878" i="21"/>
  <c r="AR870" i="21"/>
  <c r="AR862" i="21"/>
  <c r="AR854" i="21"/>
  <c r="AR846" i="21"/>
  <c r="AR838" i="21"/>
  <c r="AR830" i="21"/>
  <c r="AR822" i="21"/>
  <c r="AR814" i="21"/>
  <c r="AR806" i="21"/>
  <c r="AR798" i="21"/>
  <c r="AR790" i="21"/>
  <c r="AR782" i="21"/>
  <c r="AR774" i="21"/>
  <c r="AR766" i="21"/>
  <c r="AR758" i="21"/>
  <c r="AR750" i="21"/>
  <c r="AR742" i="21"/>
  <c r="AR734" i="21"/>
  <c r="AR726" i="21"/>
  <c r="AR718" i="21"/>
  <c r="AR710" i="21"/>
  <c r="AR702" i="21"/>
  <c r="AR694" i="21"/>
  <c r="AR686" i="21"/>
  <c r="AR678" i="21"/>
  <c r="AR670" i="21"/>
  <c r="AR662" i="21"/>
  <c r="AR654" i="21"/>
  <c r="AR646" i="21"/>
  <c r="AR638" i="21"/>
  <c r="AR630" i="21"/>
  <c r="AR622" i="21"/>
  <c r="AR614" i="21"/>
  <c r="AR606" i="21"/>
  <c r="AR598" i="21"/>
  <c r="AR590" i="21"/>
  <c r="AR582" i="21"/>
  <c r="AR574" i="21"/>
  <c r="AR566" i="21"/>
  <c r="AR558" i="21"/>
  <c r="AR550" i="21"/>
  <c r="AR542" i="21"/>
  <c r="AR534" i="21"/>
  <c r="AR526" i="21"/>
  <c r="AR518" i="21"/>
  <c r="AR510" i="21"/>
  <c r="AR502" i="21"/>
  <c r="AR494" i="21"/>
  <c r="AR486" i="21"/>
  <c r="AR478" i="21"/>
  <c r="AR470" i="21"/>
  <c r="AR462" i="21"/>
  <c r="AR454" i="21"/>
  <c r="AR446" i="21"/>
  <c r="AR438" i="21"/>
  <c r="AR430" i="21"/>
  <c r="AR422" i="21"/>
  <c r="AR414" i="21"/>
  <c r="AR406" i="21"/>
  <c r="AR398" i="21"/>
  <c r="AR390" i="21"/>
  <c r="AR382" i="21"/>
  <c r="AR374" i="21"/>
  <c r="AR366" i="21"/>
  <c r="AR358" i="21"/>
  <c r="AR350" i="21"/>
  <c r="AR342" i="21"/>
  <c r="AR334" i="21"/>
  <c r="AR326" i="21"/>
  <c r="AR318" i="21"/>
  <c r="AR310" i="21"/>
  <c r="AR302" i="21"/>
  <c r="AR294" i="21"/>
  <c r="AR286" i="21"/>
  <c r="AR278" i="21"/>
  <c r="AR270" i="21"/>
  <c r="AR262" i="21"/>
  <c r="AR254" i="21"/>
  <c r="AR246" i="21"/>
  <c r="AR238" i="21"/>
  <c r="AR230" i="21"/>
  <c r="AR222" i="21"/>
  <c r="AR214" i="21"/>
  <c r="AR206" i="21"/>
  <c r="AR198" i="21"/>
  <c r="AR190" i="21"/>
  <c r="AR182" i="21"/>
  <c r="AR174" i="21"/>
  <c r="AR166" i="21"/>
  <c r="AR158" i="21"/>
  <c r="AR150" i="21"/>
  <c r="AR142" i="21"/>
  <c r="AR134" i="21"/>
  <c r="AR126" i="21"/>
  <c r="AR118" i="21"/>
  <c r="AR110" i="21"/>
  <c r="AR102" i="21"/>
  <c r="AR94" i="21"/>
  <c r="AR86" i="21"/>
  <c r="AR78" i="21"/>
  <c r="AR70" i="21"/>
  <c r="AR62" i="21"/>
  <c r="AR54" i="21"/>
  <c r="AR46" i="21"/>
  <c r="AR38" i="21"/>
  <c r="AR30" i="21"/>
  <c r="AR22" i="21"/>
  <c r="AR14" i="21"/>
  <c r="AR6" i="21"/>
  <c r="AR1127" i="21"/>
  <c r="AR1087" i="21"/>
  <c r="AR1031" i="21"/>
  <c r="AR991" i="21"/>
  <c r="AR951" i="21"/>
  <c r="AR919" i="21"/>
  <c r="AR895" i="21"/>
  <c r="AR879" i="21"/>
  <c r="AR871" i="21"/>
  <c r="AR855" i="21"/>
  <c r="AR839" i="21"/>
  <c r="AR823" i="21"/>
  <c r="AR815" i="21"/>
  <c r="AR799" i="21"/>
  <c r="AR743" i="21"/>
  <c r="AR727" i="21"/>
  <c r="AR711" i="21"/>
  <c r="AR695" i="21"/>
  <c r="AR679" i="21"/>
  <c r="AR671" i="21"/>
  <c r="AR655" i="21"/>
  <c r="AR639" i="21"/>
  <c r="AR623" i="21"/>
  <c r="AR607" i="21"/>
  <c r="AR591" i="21"/>
  <c r="AR575" i="21"/>
  <c r="AR559" i="21"/>
  <c r="AR543" i="21"/>
  <c r="AR527" i="21"/>
  <c r="AR511" i="21"/>
  <c r="AR495" i="21"/>
  <c r="AR479" i="21"/>
  <c r="AR463" i="21"/>
  <c r="AR447" i="21"/>
  <c r="AR431" i="21"/>
  <c r="AR415" i="21"/>
  <c r="AR399" i="21"/>
  <c r="AR383" i="21"/>
  <c r="AR367" i="21"/>
  <c r="AR351" i="21"/>
  <c r="AR335" i="21"/>
  <c r="AR319" i="21"/>
  <c r="AR303" i="21"/>
  <c r="AR287" i="21"/>
  <c r="AR271" i="21"/>
  <c r="AR255" i="21"/>
  <c r="AR239" i="21"/>
  <c r="AR223" i="21"/>
  <c r="AR207" i="21"/>
  <c r="AR191" i="21"/>
  <c r="AR183" i="21"/>
  <c r="AR167" i="21"/>
  <c r="AR151" i="21"/>
  <c r="AR135" i="21"/>
  <c r="AR119" i="21"/>
  <c r="AR103" i="21"/>
  <c r="AR87" i="21"/>
  <c r="AR71" i="21"/>
  <c r="AR55" i="21"/>
  <c r="AR39" i="21"/>
  <c r="AR15" i="21"/>
  <c r="AR1125" i="21"/>
  <c r="AR1117" i="21"/>
  <c r="AR1109" i="21"/>
  <c r="AR1101" i="21"/>
  <c r="AR1093" i="21"/>
  <c r="AR1085" i="21"/>
  <c r="AR1077" i="21"/>
  <c r="AR1069" i="21"/>
  <c r="AR1061" i="21"/>
  <c r="AR1053" i="21"/>
  <c r="AR1045" i="21"/>
  <c r="AR1037" i="21"/>
  <c r="AR1029" i="21"/>
  <c r="AR1021" i="21"/>
  <c r="AR1013" i="21"/>
  <c r="AR1005" i="21"/>
  <c r="AR997" i="21"/>
  <c r="AR989" i="21"/>
  <c r="AR981" i="21"/>
  <c r="AR973" i="21"/>
  <c r="AR965" i="21"/>
  <c r="AR957" i="21"/>
  <c r="AR949" i="21"/>
  <c r="AR941" i="21"/>
  <c r="AR933" i="21"/>
  <c r="AR925" i="21"/>
  <c r="AR917" i="21"/>
  <c r="AR909" i="21"/>
  <c r="AR901" i="21"/>
  <c r="AR893" i="21"/>
  <c r="AR885" i="21"/>
  <c r="AR877" i="21"/>
  <c r="AR869" i="21"/>
  <c r="AR861" i="21"/>
  <c r="AR853" i="21"/>
  <c r="AR845" i="21"/>
  <c r="AR837" i="21"/>
  <c r="AR829" i="21"/>
  <c r="AR821" i="21"/>
  <c r="AR813" i="21"/>
  <c r="AR805" i="21"/>
  <c r="AR797" i="21"/>
  <c r="AR789" i="21"/>
  <c r="AR781" i="21"/>
  <c r="AR773" i="21"/>
  <c r="AR765" i="21"/>
  <c r="AR757" i="21"/>
  <c r="AR749" i="21"/>
  <c r="AR741" i="21"/>
  <c r="AR733" i="21"/>
  <c r="AR725" i="21"/>
  <c r="AR717" i="21"/>
  <c r="AR709" i="21"/>
  <c r="AR701" i="21"/>
  <c r="AR693" i="21"/>
  <c r="AR685" i="21"/>
  <c r="AR677" i="21"/>
  <c r="AR669" i="21"/>
  <c r="AR661" i="21"/>
  <c r="AR653" i="21"/>
  <c r="AR645" i="21"/>
  <c r="AR637" i="21"/>
  <c r="AR629" i="21"/>
  <c r="AR621" i="21"/>
  <c r="AR613" i="21"/>
  <c r="AR605" i="21"/>
  <c r="AR597" i="21"/>
  <c r="AR589" i="21"/>
  <c r="AR581" i="21"/>
  <c r="AR573" i="21"/>
  <c r="AR565" i="21"/>
  <c r="AR557" i="21"/>
  <c r="AR549" i="21"/>
  <c r="AR541" i="21"/>
  <c r="AR533" i="21"/>
  <c r="AR525" i="21"/>
  <c r="AR517" i="21"/>
  <c r="AR509" i="21"/>
  <c r="AR501" i="21"/>
  <c r="AR493" i="21"/>
  <c r="AR485" i="21"/>
  <c r="AR477" i="21"/>
  <c r="AR469" i="21"/>
  <c r="AR461" i="21"/>
  <c r="AR453" i="21"/>
  <c r="AR445" i="21"/>
  <c r="AR437" i="21"/>
  <c r="AR429" i="21"/>
  <c r="AR421" i="21"/>
  <c r="AR413" i="21"/>
  <c r="AR405" i="21"/>
  <c r="AR397" i="21"/>
  <c r="AR389" i="21"/>
  <c r="AR381" i="21"/>
  <c r="AR373" i="21"/>
  <c r="AR365" i="21"/>
  <c r="AR357" i="21"/>
  <c r="AR349" i="21"/>
  <c r="AR341" i="21"/>
  <c r="AR333" i="21"/>
  <c r="AR325" i="21"/>
  <c r="AR317" i="21"/>
  <c r="AR309" i="21"/>
  <c r="AR301" i="21"/>
  <c r="AR293" i="21"/>
  <c r="AR285" i="21"/>
  <c r="AR277" i="21"/>
  <c r="AR269" i="21"/>
  <c r="AR261" i="21"/>
  <c r="AR253" i="21"/>
  <c r="AR245" i="21"/>
  <c r="AR237" i="21"/>
  <c r="AR229" i="21"/>
  <c r="AR221" i="21"/>
  <c r="AR213" i="21"/>
  <c r="AR205" i="21"/>
  <c r="AR197" i="21"/>
  <c r="AR189" i="21"/>
  <c r="AR181" i="21"/>
  <c r="AR173" i="21"/>
  <c r="AR165" i="21"/>
  <c r="AR157" i="21"/>
  <c r="AR149" i="21"/>
  <c r="AR141" i="21"/>
  <c r="AR133" i="21"/>
  <c r="AR125" i="21"/>
  <c r="AR117" i="21"/>
  <c r="AR109" i="21"/>
  <c r="AR101" i="21"/>
  <c r="AR93" i="21"/>
  <c r="AR85" i="21"/>
  <c r="AR77" i="21"/>
  <c r="AR69" i="21"/>
  <c r="AR61" i="21"/>
  <c r="AR53" i="21"/>
  <c r="AR45" i="21"/>
  <c r="AR37" i="21"/>
  <c r="AR29" i="21"/>
  <c r="AR21" i="21"/>
  <c r="AR13" i="21"/>
  <c r="AR5" i="21"/>
  <c r="AR1047" i="21"/>
  <c r="AR751" i="21"/>
  <c r="AR1124" i="21"/>
  <c r="AR1116" i="21"/>
  <c r="AR1108" i="21"/>
  <c r="AR1100" i="21"/>
  <c r="AR1092" i="21"/>
  <c r="AR1084" i="21"/>
  <c r="AR1076" i="21"/>
  <c r="AR1068" i="21"/>
  <c r="AR1060" i="21"/>
  <c r="AR1052" i="21"/>
  <c r="AR1044" i="21"/>
  <c r="AR1036" i="21"/>
  <c r="AR1028" i="21"/>
  <c r="AR1020" i="21"/>
  <c r="AR1012" i="21"/>
  <c r="AR1004" i="21"/>
  <c r="AR996" i="21"/>
  <c r="AR988" i="21"/>
  <c r="AR980" i="21"/>
  <c r="AR972" i="21"/>
  <c r="AR964" i="21"/>
  <c r="AR956" i="21"/>
  <c r="AR948" i="21"/>
  <c r="AR940" i="21"/>
  <c r="AR932" i="21"/>
  <c r="AR924" i="21"/>
  <c r="AR916" i="21"/>
  <c r="AR908" i="21"/>
  <c r="AR900" i="21"/>
  <c r="AR892" i="21"/>
  <c r="AR884" i="21"/>
  <c r="AR876" i="21"/>
  <c r="AR868" i="21"/>
  <c r="AR860" i="21"/>
  <c r="AR852" i="21"/>
  <c r="AR844" i="21"/>
  <c r="AR836" i="21"/>
  <c r="AR828" i="21"/>
  <c r="AR820" i="21"/>
  <c r="AR812" i="21"/>
  <c r="AR804" i="21"/>
  <c r="AR796" i="21"/>
  <c r="AR788" i="21"/>
  <c r="AR780" i="21"/>
  <c r="AR772" i="21"/>
  <c r="AR764" i="21"/>
  <c r="AR756" i="21"/>
  <c r="AR748" i="21"/>
  <c r="AR740" i="21"/>
  <c r="AR732" i="21"/>
  <c r="AR724" i="21"/>
  <c r="AR716" i="21"/>
  <c r="AR708" i="21"/>
  <c r="AR700" i="21"/>
  <c r="AR692" i="21"/>
  <c r="AR684" i="21"/>
  <c r="AR676" i="21"/>
  <c r="AR668" i="21"/>
  <c r="AR660" i="21"/>
  <c r="AR652" i="21"/>
  <c r="AR644" i="21"/>
  <c r="AR636" i="21"/>
  <c r="AR628" i="21"/>
  <c r="AR620" i="21"/>
  <c r="AR612" i="21"/>
  <c r="AR604" i="21"/>
  <c r="AR596" i="21"/>
  <c r="AR588" i="21"/>
  <c r="AR580" i="21"/>
  <c r="AR572" i="21"/>
  <c r="AR564" i="21"/>
  <c r="AR556" i="21"/>
  <c r="AR548" i="21"/>
  <c r="AR540" i="21"/>
  <c r="AR532" i="21"/>
  <c r="AR524" i="21"/>
  <c r="AR516" i="21"/>
  <c r="AR508" i="21"/>
  <c r="AR500" i="21"/>
  <c r="AR492" i="21"/>
  <c r="AR484" i="21"/>
  <c r="AR476" i="21"/>
  <c r="AR468" i="21"/>
  <c r="AR460" i="21"/>
  <c r="AR452" i="21"/>
  <c r="AR444" i="21"/>
  <c r="AR436" i="21"/>
  <c r="AR428" i="21"/>
  <c r="AR420" i="21"/>
  <c r="AR412" i="21"/>
  <c r="AR404" i="21"/>
  <c r="AR396" i="21"/>
  <c r="AR388" i="21"/>
  <c r="AR380" i="21"/>
  <c r="AR372" i="21"/>
  <c r="AR364" i="21"/>
  <c r="AR356" i="21"/>
  <c r="AR348" i="21"/>
  <c r="AR340" i="21"/>
  <c r="AR332" i="21"/>
  <c r="AR324" i="21"/>
  <c r="AR316" i="21"/>
  <c r="AR308" i="21"/>
  <c r="AR300" i="21"/>
  <c r="AR292" i="21"/>
  <c r="AR284" i="21"/>
  <c r="AR276" i="21"/>
  <c r="AR268" i="21"/>
  <c r="AR260" i="21"/>
  <c r="AR252" i="21"/>
  <c r="AR244" i="21"/>
  <c r="AR236" i="21"/>
  <c r="AR228" i="21"/>
  <c r="AR220" i="21"/>
  <c r="AR212" i="21"/>
  <c r="AR204" i="21"/>
  <c r="AR196" i="21"/>
  <c r="AR188" i="21"/>
  <c r="AR180" i="21"/>
  <c r="AR172" i="21"/>
  <c r="AR164" i="21"/>
  <c r="AR156" i="21"/>
  <c r="AR148" i="21"/>
  <c r="AR140" i="21"/>
  <c r="AR132" i="21"/>
  <c r="AR124" i="21"/>
  <c r="AR116" i="21"/>
  <c r="AR108" i="21"/>
  <c r="AR100" i="21"/>
  <c r="AR92" i="21"/>
  <c r="AR84" i="21"/>
  <c r="AR76" i="21"/>
  <c r="AR68" i="21"/>
  <c r="AR60" i="21"/>
  <c r="AR52" i="21"/>
  <c r="AR44" i="21"/>
  <c r="AR36" i="21"/>
  <c r="AR28" i="21"/>
  <c r="AR20" i="21"/>
  <c r="AR12" i="21"/>
  <c r="AR4" i="21"/>
  <c r="AG4" i="21"/>
  <c r="AR1071" i="21"/>
  <c r="AR759" i="21"/>
  <c r="AR1123" i="21"/>
  <c r="AR1115" i="21"/>
  <c r="AR1107" i="21"/>
  <c r="AR1099" i="21"/>
  <c r="AR1091" i="21"/>
  <c r="AR1083" i="21"/>
  <c r="AR1075" i="21"/>
  <c r="AR1067" i="21"/>
  <c r="AR1059" i="21"/>
  <c r="AR1051" i="21"/>
  <c r="AR1043" i="21"/>
  <c r="AR1035" i="21"/>
  <c r="AR1027" i="21"/>
  <c r="AR1019" i="21"/>
  <c r="AR1011" i="21"/>
  <c r="AR1003" i="21"/>
  <c r="AR995" i="21"/>
  <c r="AR987" i="21"/>
  <c r="AR979" i="21"/>
  <c r="AR971" i="21"/>
  <c r="AR963" i="21"/>
  <c r="AR955" i="21"/>
  <c r="AR947" i="21"/>
  <c r="AR939" i="21"/>
  <c r="AR931" i="21"/>
  <c r="AR923" i="21"/>
  <c r="AR915" i="21"/>
  <c r="AR907" i="21"/>
  <c r="AR899" i="21"/>
  <c r="AR891" i="21"/>
  <c r="AR883" i="21"/>
  <c r="AR875" i="21"/>
  <c r="AR867" i="21"/>
  <c r="AR859" i="21"/>
  <c r="AR851" i="21"/>
  <c r="AR843" i="21"/>
  <c r="AR835" i="21"/>
  <c r="AR827" i="21"/>
  <c r="AR819" i="21"/>
  <c r="AR811" i="21"/>
  <c r="AR803" i="21"/>
  <c r="AR795" i="21"/>
  <c r="AR787" i="21"/>
  <c r="AR779" i="21"/>
  <c r="AR771" i="21"/>
  <c r="AR763" i="21"/>
  <c r="AR755" i="21"/>
  <c r="AR747" i="21"/>
  <c r="AR739" i="21"/>
  <c r="AR731" i="21"/>
  <c r="AR723" i="21"/>
  <c r="AR715" i="21"/>
  <c r="AR707" i="21"/>
  <c r="AR699" i="21"/>
  <c r="AR691" i="21"/>
  <c r="AR683" i="21"/>
  <c r="AR675" i="21"/>
  <c r="AR667" i="21"/>
  <c r="AR659" i="21"/>
  <c r="AR651" i="21"/>
  <c r="AR643" i="21"/>
  <c r="AR635" i="21"/>
  <c r="AR627" i="21"/>
  <c r="AR619" i="21"/>
  <c r="AR611" i="21"/>
  <c r="AR603" i="21"/>
  <c r="AR595" i="21"/>
  <c r="AR587" i="21"/>
  <c r="AR579" i="21"/>
  <c r="AR571" i="21"/>
  <c r="AR563" i="21"/>
  <c r="AR555" i="21"/>
  <c r="AR547" i="21"/>
  <c r="AR539" i="21"/>
  <c r="AR531" i="21"/>
  <c r="AR523" i="21"/>
  <c r="AR515" i="21"/>
  <c r="AR507" i="21"/>
  <c r="AR499" i="21"/>
  <c r="AR491" i="21"/>
  <c r="AR483" i="21"/>
  <c r="AR475" i="21"/>
  <c r="AR467" i="21"/>
  <c r="AR459" i="21"/>
  <c r="AR451" i="21"/>
  <c r="AR443" i="21"/>
  <c r="AR435" i="21"/>
  <c r="AR427" i="21"/>
  <c r="AR419" i="21"/>
  <c r="AR411" i="21"/>
  <c r="AR403" i="21"/>
  <c r="AR395" i="21"/>
  <c r="AR387" i="21"/>
  <c r="AR379" i="21"/>
  <c r="AR371" i="21"/>
  <c r="AR363" i="21"/>
  <c r="AR355" i="21"/>
  <c r="AR347" i="21"/>
  <c r="AR339" i="21"/>
  <c r="AR331" i="21"/>
  <c r="AR323" i="21"/>
  <c r="AR315" i="21"/>
  <c r="AR307" i="21"/>
  <c r="AR299" i="21"/>
  <c r="AR291" i="21"/>
  <c r="AR283" i="21"/>
  <c r="AR275" i="21"/>
  <c r="AR267" i="21"/>
  <c r="AR259" i="21"/>
  <c r="AR251" i="21"/>
  <c r="AR243" i="21"/>
  <c r="AR235" i="21"/>
  <c r="AR227" i="21"/>
  <c r="AR219" i="21"/>
  <c r="AR211" i="21"/>
  <c r="AR203" i="21"/>
  <c r="AR195" i="21"/>
  <c r="AR187" i="21"/>
  <c r="AR179" i="21"/>
  <c r="AR171" i="21"/>
  <c r="AR163" i="21"/>
  <c r="AR155" i="21"/>
  <c r="AR147" i="21"/>
  <c r="AR139" i="21"/>
  <c r="AR131" i="21"/>
  <c r="AR123" i="21"/>
  <c r="AR115" i="21"/>
  <c r="AR107" i="21"/>
  <c r="AR99" i="21"/>
  <c r="AR91" i="21"/>
  <c r="AR83" i="21"/>
  <c r="AR75" i="21"/>
  <c r="AR67" i="21"/>
  <c r="AR59" i="21"/>
  <c r="AR51" i="21"/>
  <c r="AR43" i="21"/>
  <c r="AR35" i="21"/>
  <c r="AR27" i="21"/>
  <c r="AR19" i="21"/>
  <c r="AR11" i="21"/>
  <c r="AR3" i="21"/>
  <c r="AR1111" i="21"/>
  <c r="AR1079" i="21"/>
  <c r="AR1023" i="21"/>
  <c r="AR983" i="21"/>
  <c r="AR943" i="21"/>
  <c r="AR791" i="21"/>
  <c r="AR2" i="21"/>
  <c r="AR1122" i="21"/>
  <c r="AR1114" i="21"/>
  <c r="AR1106" i="21"/>
  <c r="AR1098" i="21"/>
  <c r="AR1090" i="21"/>
  <c r="AR1082" i="21"/>
  <c r="AR1074" i="21"/>
  <c r="AR1066" i="21"/>
  <c r="AR1058" i="21"/>
  <c r="AR1050" i="21"/>
  <c r="AR1042" i="21"/>
  <c r="AR1034" i="21"/>
  <c r="AR1026" i="21"/>
  <c r="AR1018" i="21"/>
  <c r="AR1010" i="21"/>
  <c r="AR1002" i="21"/>
  <c r="AR994" i="21"/>
  <c r="AR986" i="21"/>
  <c r="AR978" i="21"/>
  <c r="AR970" i="21"/>
  <c r="AR962" i="21"/>
  <c r="AR954" i="21"/>
  <c r="AR946" i="21"/>
  <c r="AR938" i="21"/>
  <c r="AR930" i="21"/>
  <c r="AR922" i="21"/>
  <c r="AR914" i="21"/>
  <c r="AR906" i="21"/>
  <c r="AR898" i="21"/>
  <c r="AR890" i="21"/>
  <c r="AR882" i="21"/>
  <c r="AR874" i="21"/>
  <c r="AR866" i="21"/>
  <c r="AR858" i="21"/>
  <c r="AR850" i="21"/>
  <c r="AR842" i="21"/>
  <c r="AR834" i="21"/>
  <c r="AR826" i="21"/>
  <c r="AR818" i="21"/>
  <c r="AR810" i="21"/>
  <c r="AR802" i="21"/>
  <c r="AR794" i="21"/>
  <c r="AR786" i="21"/>
  <c r="AR778" i="21"/>
  <c r="AR770" i="21"/>
  <c r="AR762" i="21"/>
  <c r="AR754" i="21"/>
  <c r="AR746" i="21"/>
  <c r="AR738" i="21"/>
  <c r="AR730" i="21"/>
  <c r="AR722" i="21"/>
  <c r="AR714" i="21"/>
  <c r="AR706" i="21"/>
  <c r="AR698" i="21"/>
  <c r="AR690" i="21"/>
  <c r="AR682" i="21"/>
  <c r="AR674" i="21"/>
  <c r="AR666" i="21"/>
  <c r="AR658" i="21"/>
  <c r="AR650" i="21"/>
  <c r="AR642" i="21"/>
  <c r="AR634" i="21"/>
  <c r="AR626" i="21"/>
  <c r="AR618" i="21"/>
  <c r="AR610" i="21"/>
  <c r="AR602" i="21"/>
  <c r="AR594" i="21"/>
  <c r="AR586" i="21"/>
  <c r="AR578" i="21"/>
  <c r="AR570" i="21"/>
  <c r="AR562" i="21"/>
  <c r="AR554" i="21"/>
  <c r="AR546" i="21"/>
  <c r="AR538" i="21"/>
  <c r="AR530" i="21"/>
  <c r="AR522" i="21"/>
  <c r="AR514" i="21"/>
  <c r="AR506" i="21"/>
  <c r="AR498" i="21"/>
  <c r="AR490" i="21"/>
  <c r="AR482" i="21"/>
  <c r="AR474" i="21"/>
  <c r="AR466" i="21"/>
  <c r="AR458" i="21"/>
  <c r="AR450" i="21"/>
  <c r="AR442" i="21"/>
  <c r="AR434" i="21"/>
  <c r="AR426" i="21"/>
  <c r="AR418" i="21"/>
  <c r="AR410" i="21"/>
  <c r="AR402" i="21"/>
  <c r="AR394" i="21"/>
  <c r="AR386" i="21"/>
  <c r="AR378" i="21"/>
  <c r="AR370" i="21"/>
  <c r="AR362" i="21"/>
  <c r="AR354" i="21"/>
  <c r="AR346" i="21"/>
  <c r="AR338" i="21"/>
  <c r="AR330" i="21"/>
  <c r="AR322" i="21"/>
  <c r="AR314" i="21"/>
  <c r="AR306" i="21"/>
  <c r="AR298" i="21"/>
  <c r="AR290" i="21"/>
  <c r="AR282" i="21"/>
  <c r="AR274" i="21"/>
  <c r="AR266" i="21"/>
  <c r="AR258" i="21"/>
  <c r="AR250" i="21"/>
  <c r="AR242" i="21"/>
  <c r="AR234" i="21"/>
  <c r="AR226" i="21"/>
  <c r="AR218" i="21"/>
  <c r="AR210" i="21"/>
  <c r="AR202" i="21"/>
  <c r="AR194" i="21"/>
  <c r="AR186" i="21"/>
  <c r="AR178" i="21"/>
  <c r="AR170" i="21"/>
  <c r="AR162" i="21"/>
  <c r="AR154" i="21"/>
  <c r="AR146" i="21"/>
  <c r="AR138" i="21"/>
  <c r="AR130" i="21"/>
  <c r="AR122" i="21"/>
  <c r="AR114" i="21"/>
  <c r="AR106" i="21"/>
  <c r="AR98" i="21"/>
  <c r="AR90" i="21"/>
  <c r="AR82" i="21"/>
  <c r="AR74" i="21"/>
  <c r="AR66" i="21"/>
  <c r="AR58" i="21"/>
  <c r="AR50" i="21"/>
  <c r="AR42" i="21"/>
  <c r="AR34" i="21"/>
  <c r="AR26" i="21"/>
  <c r="AR18" i="21"/>
  <c r="AR10" i="21"/>
  <c r="AR1119" i="21"/>
  <c r="AR1063" i="21"/>
  <c r="AR1015" i="21"/>
  <c r="AR975" i="21"/>
  <c r="AR927" i="21"/>
  <c r="AR767" i="21"/>
  <c r="AR1129" i="21"/>
  <c r="AR1121" i="21"/>
  <c r="AR1113" i="21"/>
  <c r="AR1105" i="21"/>
  <c r="AR1097" i="21"/>
  <c r="AR1089" i="21"/>
  <c r="AR1081" i="21"/>
  <c r="AR1073" i="21"/>
  <c r="AR1065" i="21"/>
  <c r="AR1057" i="21"/>
  <c r="AR1049" i="21"/>
  <c r="AR1041" i="21"/>
  <c r="AR1033" i="21"/>
  <c r="AR1025" i="21"/>
  <c r="AR1017" i="21"/>
  <c r="AR1009" i="21"/>
  <c r="AR1001" i="21"/>
  <c r="AR993" i="21"/>
  <c r="AR985" i="21"/>
  <c r="AR977" i="21"/>
  <c r="AR969" i="21"/>
  <c r="AR961" i="21"/>
  <c r="AR953" i="21"/>
  <c r="AR945" i="21"/>
  <c r="AR937" i="21"/>
  <c r="AR929" i="21"/>
  <c r="AR921" i="21"/>
  <c r="AR913" i="21"/>
  <c r="AR905" i="21"/>
  <c r="AR897" i="21"/>
  <c r="AR889" i="21"/>
  <c r="AR881" i="21"/>
  <c r="AR873" i="21"/>
  <c r="AR865" i="21"/>
  <c r="AR857" i="21"/>
  <c r="AR849" i="21"/>
  <c r="AR841" i="21"/>
  <c r="AR833" i="21"/>
  <c r="AR825" i="21"/>
  <c r="AR817" i="21"/>
  <c r="AR809" i="21"/>
  <c r="AR801" i="21"/>
  <c r="AR793" i="21"/>
  <c r="AR785" i="21"/>
  <c r="AR777" i="21"/>
  <c r="AR769" i="21"/>
  <c r="AR761" i="21"/>
  <c r="AR753" i="21"/>
  <c r="AR745" i="21"/>
  <c r="AR737" i="21"/>
  <c r="AR729" i="21"/>
  <c r="AR721" i="21"/>
  <c r="AR713" i="21"/>
  <c r="AR705" i="21"/>
  <c r="AR697" i="21"/>
  <c r="AR689" i="21"/>
  <c r="AR681" i="21"/>
  <c r="AR673" i="21"/>
  <c r="AR665" i="21"/>
  <c r="AR657" i="21"/>
  <c r="AR649" i="21"/>
  <c r="AR641" i="21"/>
  <c r="AR633" i="21"/>
  <c r="AR625" i="21"/>
  <c r="AR617" i="21"/>
  <c r="AR609" i="21"/>
  <c r="AR601" i="21"/>
  <c r="AR593" i="21"/>
  <c r="AR585" i="21"/>
  <c r="AR577" i="21"/>
  <c r="AR569" i="21"/>
  <c r="AR561" i="21"/>
  <c r="AR553" i="21"/>
  <c r="AR545" i="21"/>
  <c r="AR537" i="21"/>
  <c r="AR529" i="21"/>
  <c r="AR521" i="21"/>
  <c r="AR513" i="21"/>
  <c r="AR505" i="21"/>
  <c r="AR497" i="21"/>
  <c r="AR489" i="21"/>
  <c r="AR481" i="21"/>
  <c r="AR473" i="21"/>
  <c r="AR465" i="21"/>
  <c r="AR457" i="21"/>
  <c r="AR449" i="21"/>
  <c r="AR441" i="21"/>
  <c r="AR433" i="21"/>
  <c r="AR425" i="21"/>
  <c r="AR417" i="21"/>
  <c r="AR409" i="21"/>
  <c r="AR401" i="21"/>
  <c r="AR393" i="21"/>
  <c r="AR385" i="21"/>
  <c r="AR377" i="21"/>
  <c r="AR369" i="21"/>
  <c r="AR361" i="21"/>
  <c r="AR353" i="21"/>
  <c r="AR345" i="21"/>
  <c r="AR337" i="21"/>
  <c r="AR329" i="21"/>
  <c r="AR321" i="21"/>
  <c r="AR313" i="21"/>
  <c r="AR305" i="21"/>
  <c r="AR297" i="21"/>
  <c r="AR289" i="21"/>
  <c r="AR281" i="21"/>
  <c r="AR273" i="21"/>
  <c r="AR265" i="21"/>
  <c r="AR257" i="21"/>
  <c r="AR249" i="21"/>
  <c r="AR241" i="21"/>
  <c r="AR233" i="21"/>
  <c r="AR225" i="21"/>
  <c r="AR217" i="21"/>
  <c r="AR209" i="21"/>
  <c r="AR201" i="21"/>
  <c r="AR193" i="21"/>
  <c r="AR185" i="21"/>
  <c r="AR177" i="21"/>
  <c r="AR169" i="21"/>
  <c r="AR161" i="21"/>
  <c r="AR153" i="21"/>
  <c r="AR145" i="21"/>
  <c r="AR137" i="21"/>
  <c r="AR129" i="21"/>
  <c r="AR121" i="21"/>
  <c r="AR113" i="21"/>
  <c r="AR105" i="21"/>
  <c r="AR97" i="21"/>
  <c r="AR89" i="21"/>
  <c r="AR81" i="21"/>
  <c r="AR73" i="21"/>
  <c r="AR65" i="21"/>
  <c r="AR57" i="21"/>
  <c r="AR49" i="21"/>
  <c r="AR41" i="21"/>
  <c r="AR33" i="21"/>
  <c r="AR25" i="21"/>
  <c r="AR17" i="21"/>
  <c r="AR9" i="21"/>
  <c r="AR1103" i="21"/>
  <c r="AR1055" i="21"/>
  <c r="AR1007" i="21"/>
  <c r="AR959" i="21"/>
  <c r="AR911" i="21"/>
  <c r="AR783" i="21"/>
  <c r="AR1128" i="21"/>
  <c r="AR1120" i="21"/>
  <c r="AR1112" i="21"/>
  <c r="AR1104" i="21"/>
  <c r="AR1096" i="21"/>
  <c r="AR1088" i="21"/>
  <c r="AR1080" i="21"/>
  <c r="AR1072" i="21"/>
  <c r="AR1064" i="21"/>
  <c r="AR1056" i="21"/>
  <c r="AR1048" i="21"/>
  <c r="AR1040" i="21"/>
  <c r="AR1032" i="21"/>
  <c r="AR1024" i="21"/>
  <c r="AR1016" i="21"/>
  <c r="AR1008" i="21"/>
  <c r="AR1000" i="21"/>
  <c r="AR992" i="21"/>
  <c r="AR984" i="21"/>
  <c r="AR976" i="21"/>
  <c r="AR968" i="21"/>
  <c r="AR960" i="21"/>
  <c r="AR952" i="21"/>
  <c r="AR944" i="21"/>
  <c r="AR936" i="21"/>
  <c r="AR928" i="21"/>
  <c r="AR920" i="21"/>
  <c r="AR912" i="21"/>
  <c r="AR904" i="21"/>
  <c r="AR896" i="21"/>
  <c r="AR888" i="21"/>
  <c r="AR880" i="21"/>
  <c r="AR872" i="21"/>
  <c r="AR864" i="21"/>
  <c r="AR856" i="21"/>
  <c r="AR848" i="21"/>
  <c r="AR840" i="21"/>
  <c r="AR832" i="21"/>
  <c r="AR824" i="21"/>
  <c r="AR816" i="21"/>
  <c r="AR808" i="21"/>
  <c r="AR800" i="21"/>
  <c r="AR792" i="21"/>
  <c r="AR784" i="21"/>
  <c r="AR776" i="21"/>
  <c r="AR768" i="21"/>
  <c r="AR760" i="21"/>
  <c r="AR752" i="21"/>
  <c r="AR744" i="21"/>
  <c r="AR736" i="21"/>
  <c r="AR728" i="21"/>
  <c r="AR720" i="21"/>
  <c r="AR712" i="21"/>
  <c r="AR704" i="21"/>
  <c r="AR696" i="21"/>
  <c r="AR688" i="21"/>
  <c r="AR680" i="21"/>
  <c r="AR672" i="21"/>
  <c r="AR664" i="21"/>
  <c r="AR656" i="21"/>
  <c r="AR648" i="21"/>
  <c r="AR640" i="21"/>
  <c r="AR632" i="21"/>
  <c r="AR624" i="21"/>
  <c r="AR616" i="21"/>
  <c r="AR608" i="21"/>
  <c r="AR600" i="21"/>
  <c r="AR592" i="21"/>
  <c r="AR584" i="21"/>
  <c r="AR576" i="21"/>
  <c r="AR568" i="21"/>
  <c r="AR560" i="21"/>
  <c r="AR552" i="21"/>
  <c r="AR544" i="21"/>
  <c r="AR536" i="21"/>
  <c r="AR528" i="21"/>
  <c r="AR520" i="21"/>
  <c r="AR512" i="21"/>
  <c r="AR504" i="21"/>
  <c r="AR496" i="21"/>
  <c r="AR488" i="21"/>
  <c r="AR480" i="21"/>
  <c r="AR472" i="21"/>
  <c r="AR464" i="21"/>
  <c r="AR456" i="21"/>
  <c r="AR448" i="21"/>
  <c r="AR440" i="21"/>
  <c r="AR432" i="21"/>
  <c r="AR424" i="21"/>
  <c r="AR416" i="21"/>
  <c r="AR408" i="21"/>
  <c r="AR400" i="21"/>
  <c r="AR392" i="21"/>
  <c r="AR384" i="21"/>
  <c r="AR376" i="21"/>
  <c r="AR368" i="21"/>
  <c r="AR360" i="21"/>
  <c r="AR352" i="21"/>
  <c r="AR344" i="21"/>
  <c r="AR336" i="21"/>
  <c r="AR328" i="21"/>
  <c r="AR320" i="21"/>
  <c r="AR312" i="21"/>
  <c r="AR304" i="21"/>
  <c r="AR296" i="21"/>
  <c r="AR288" i="21"/>
  <c r="AR280" i="21"/>
  <c r="AR272" i="21"/>
  <c r="AR264" i="21"/>
  <c r="AR256" i="21"/>
  <c r="AR248" i="21"/>
  <c r="AR240" i="21"/>
  <c r="AR232" i="21"/>
  <c r="AR224" i="21"/>
  <c r="AR216" i="21"/>
  <c r="AR208" i="21"/>
  <c r="AR200" i="21"/>
  <c r="AR192" i="21"/>
  <c r="AR184" i="21"/>
  <c r="AR176" i="21"/>
  <c r="AR168" i="21"/>
  <c r="AR160" i="21"/>
  <c r="AR152" i="21"/>
  <c r="AR144" i="21"/>
  <c r="AR136" i="21"/>
  <c r="AR128" i="21"/>
  <c r="AR120" i="21"/>
  <c r="AR112" i="21"/>
  <c r="AR104" i="21"/>
  <c r="AR96" i="21"/>
  <c r="AR88" i="21"/>
  <c r="AR80" i="21"/>
  <c r="AR72" i="21"/>
  <c r="AR64" i="21"/>
  <c r="AR56" i="21"/>
  <c r="AR48" i="21"/>
  <c r="AR40" i="21"/>
  <c r="AR32" i="21"/>
  <c r="AR24" i="21"/>
  <c r="AR16" i="21"/>
  <c r="AR8" i="21"/>
  <c r="AK1070" i="21"/>
  <c r="AL1070" i="21" s="1"/>
  <c r="AN1070" i="21" s="1"/>
  <c r="AH1070" i="21"/>
  <c r="AJ1070" i="21" s="1"/>
  <c r="AK1127" i="21"/>
  <c r="AL1127" i="21" s="1"/>
  <c r="AN1127" i="21" s="1"/>
  <c r="AK1111" i="21"/>
  <c r="AL1111" i="21" s="1"/>
  <c r="AN1111" i="21" s="1"/>
  <c r="AK1103" i="21"/>
  <c r="AL1103" i="21" s="1"/>
  <c r="AN1103" i="21" s="1"/>
  <c r="AK1095" i="21"/>
  <c r="AL1095" i="21" s="1"/>
  <c r="AN1095" i="21" s="1"/>
  <c r="AK1117" i="21"/>
  <c r="AL1117" i="21" s="1"/>
  <c r="AN1117" i="21" s="1"/>
  <c r="AK1109" i="21"/>
  <c r="AL1109" i="21" s="1"/>
  <c r="AN1109" i="21" s="1"/>
  <c r="AK1101" i="21"/>
  <c r="AL1101" i="21" s="1"/>
  <c r="AN1101" i="21" s="1"/>
  <c r="AK1093" i="21"/>
  <c r="AL1093" i="21" s="1"/>
  <c r="AN1093" i="21" s="1"/>
  <c r="AK1077" i="21"/>
  <c r="AL1077" i="21" s="1"/>
  <c r="AN1077" i="21" s="1"/>
  <c r="AK1069" i="21"/>
  <c r="AL1069" i="21" s="1"/>
  <c r="AN1069" i="21" s="1"/>
  <c r="AK1061" i="21"/>
  <c r="AL1061" i="21" s="1"/>
  <c r="AN1061" i="21" s="1"/>
  <c r="AK1045" i="21"/>
  <c r="AL1045" i="21" s="1"/>
  <c r="AN1045" i="21" s="1"/>
  <c r="AK1037" i="21"/>
  <c r="AL1037" i="21" s="1"/>
  <c r="AN1037" i="21" s="1"/>
  <c r="AK1029" i="21"/>
  <c r="AL1029" i="21" s="1"/>
  <c r="AN1029" i="21" s="1"/>
  <c r="AK1021" i="21"/>
  <c r="AL1021" i="21" s="1"/>
  <c r="AN1021" i="21" s="1"/>
  <c r="AK1013" i="21"/>
  <c r="AL1013" i="21" s="1"/>
  <c r="AN1013" i="21" s="1"/>
  <c r="AK1005" i="21"/>
  <c r="AL1005" i="21" s="1"/>
  <c r="AN1005" i="21" s="1"/>
  <c r="AK997" i="21"/>
  <c r="AL997" i="21" s="1"/>
  <c r="AN997" i="21" s="1"/>
  <c r="AK989" i="21"/>
  <c r="AL989" i="21" s="1"/>
  <c r="AN989" i="21" s="1"/>
  <c r="AK973" i="21"/>
  <c r="AL973" i="21" s="1"/>
  <c r="AN973" i="21" s="1"/>
  <c r="AK965" i="21"/>
  <c r="AL965" i="21" s="1"/>
  <c r="AN965" i="21" s="1"/>
  <c r="AK917" i="21"/>
  <c r="AL917" i="21" s="1"/>
  <c r="AN917" i="21" s="1"/>
  <c r="AK893" i="21"/>
  <c r="AL893" i="21" s="1"/>
  <c r="AN893" i="21" s="1"/>
  <c r="AK885" i="21"/>
  <c r="AL885" i="21" s="1"/>
  <c r="AN885" i="21" s="1"/>
  <c r="AK877" i="21"/>
  <c r="AL877" i="21" s="1"/>
  <c r="AN877" i="21" s="1"/>
  <c r="AK861" i="21"/>
  <c r="AL861" i="21" s="1"/>
  <c r="AN861" i="21" s="1"/>
  <c r="AK853" i="21"/>
  <c r="AL853" i="21" s="1"/>
  <c r="AN853" i="21" s="1"/>
  <c r="AK845" i="21"/>
  <c r="AL845" i="21" s="1"/>
  <c r="AN845" i="21" s="1"/>
  <c r="AK837" i="21"/>
  <c r="AL837" i="21" s="1"/>
  <c r="AN837" i="21" s="1"/>
  <c r="AK829" i="21"/>
  <c r="AL829" i="21" s="1"/>
  <c r="AN829" i="21" s="1"/>
  <c r="AK821" i="21"/>
  <c r="AL821" i="21" s="1"/>
  <c r="AN821" i="21" s="1"/>
  <c r="AK797" i="21"/>
  <c r="AL797" i="21" s="1"/>
  <c r="AN797" i="21" s="1"/>
  <c r="AK789" i="21"/>
  <c r="AL789" i="21" s="1"/>
  <c r="AN789" i="21" s="1"/>
  <c r="AK781" i="21"/>
  <c r="AL781" i="21" s="1"/>
  <c r="AN781" i="21" s="1"/>
  <c r="AK773" i="21"/>
  <c r="AL773" i="21" s="1"/>
  <c r="AN773" i="21" s="1"/>
  <c r="AK1113" i="21"/>
  <c r="AL1113" i="21" s="1"/>
  <c r="AN1113" i="21" s="1"/>
  <c r="AK1097" i="21"/>
  <c r="AL1097" i="21" s="1"/>
  <c r="AN1097" i="21" s="1"/>
  <c r="AK1089" i="21"/>
  <c r="AL1089" i="21" s="1"/>
  <c r="AK1081" i="21"/>
  <c r="AL1081" i="21" s="1"/>
  <c r="AN1081" i="21" s="1"/>
  <c r="AK1073" i="21"/>
  <c r="AL1073" i="21" s="1"/>
  <c r="AN1073" i="21" s="1"/>
  <c r="AK1033" i="21"/>
  <c r="AL1033" i="21" s="1"/>
  <c r="AN1033" i="21" s="1"/>
  <c r="AK1025" i="21"/>
  <c r="AL1025" i="21" s="1"/>
  <c r="AN1025" i="21" s="1"/>
  <c r="AK1017" i="21"/>
  <c r="AL1017" i="21" s="1"/>
  <c r="AN1017" i="21" s="1"/>
  <c r="AK1001" i="21"/>
  <c r="AL1001" i="21" s="1"/>
  <c r="AN1001" i="21" s="1"/>
  <c r="AK985" i="21"/>
  <c r="AL985" i="21" s="1"/>
  <c r="AN985" i="21" s="1"/>
  <c r="AK977" i="21"/>
  <c r="AL977" i="21" s="1"/>
  <c r="AN977" i="21" s="1"/>
  <c r="AK961" i="21"/>
  <c r="AL961" i="21" s="1"/>
  <c r="AN961" i="21" s="1"/>
  <c r="AK953" i="21"/>
  <c r="AL953" i="21" s="1"/>
  <c r="AN953" i="21" s="1"/>
  <c r="AK929" i="21"/>
  <c r="AL929" i="21" s="1"/>
  <c r="AN929" i="21" s="1"/>
  <c r="AK921" i="21"/>
  <c r="AL921" i="21" s="1"/>
  <c r="AN921" i="21" s="1"/>
  <c r="AK897" i="21"/>
  <c r="AL897" i="21" s="1"/>
  <c r="AN897" i="21" s="1"/>
  <c r="AK881" i="21"/>
  <c r="AL881" i="21" s="1"/>
  <c r="AN881" i="21" s="1"/>
  <c r="AK857" i="21"/>
  <c r="AL857" i="21" s="1"/>
  <c r="AN857" i="21" s="1"/>
  <c r="AK849" i="21"/>
  <c r="AL849" i="21" s="1"/>
  <c r="AN849" i="21" s="1"/>
  <c r="AK833" i="21"/>
  <c r="AL833" i="21" s="1"/>
  <c r="AN833" i="21" s="1"/>
  <c r="AK825" i="21"/>
  <c r="AL825" i="21" s="1"/>
  <c r="AN825" i="21" s="1"/>
  <c r="AK801" i="21"/>
  <c r="AL801" i="21" s="1"/>
  <c r="AN801" i="21" s="1"/>
  <c r="AK793" i="21"/>
  <c r="AL793" i="21" s="1"/>
  <c r="AN793" i="21" s="1"/>
  <c r="AK785" i="21"/>
  <c r="AL785" i="21" s="1"/>
  <c r="AN785" i="21" s="1"/>
  <c r="AK737" i="21"/>
  <c r="AL737" i="21" s="1"/>
  <c r="AN737" i="21" s="1"/>
  <c r="AK729" i="21"/>
  <c r="AL729" i="21" s="1"/>
  <c r="AN729" i="21" s="1"/>
  <c r="AK721" i="21"/>
  <c r="AL721" i="21" s="1"/>
  <c r="AN721" i="21" s="1"/>
  <c r="AK713" i="21"/>
  <c r="AL713" i="21" s="1"/>
  <c r="AN713" i="21" s="1"/>
  <c r="AK689" i="21"/>
  <c r="AL689" i="21" s="1"/>
  <c r="AN689" i="21" s="1"/>
  <c r="AK765" i="21"/>
  <c r="AL765" i="21" s="1"/>
  <c r="AN765" i="21" s="1"/>
  <c r="AK741" i="21"/>
  <c r="AL741" i="21" s="1"/>
  <c r="AN741" i="21" s="1"/>
  <c r="AK733" i="21"/>
  <c r="AL733" i="21" s="1"/>
  <c r="AN733" i="21" s="1"/>
  <c r="AK725" i="21"/>
  <c r="AL725" i="21" s="1"/>
  <c r="AN725" i="21" s="1"/>
  <c r="AK717" i="21"/>
  <c r="AL717" i="21" s="1"/>
  <c r="AN717" i="21" s="1"/>
  <c r="AK709" i="21"/>
  <c r="AL709" i="21" s="1"/>
  <c r="AN709" i="21" s="1"/>
  <c r="AK701" i="21"/>
  <c r="AL701" i="21" s="1"/>
  <c r="AN701" i="21" s="1"/>
  <c r="AK693" i="21"/>
  <c r="AL693" i="21" s="1"/>
  <c r="AN693" i="21" s="1"/>
  <c r="AK685" i="21"/>
  <c r="AL685" i="21" s="1"/>
  <c r="AN685" i="21" s="1"/>
  <c r="AK677" i="21"/>
  <c r="AL677" i="21" s="1"/>
  <c r="AN677" i="21" s="1"/>
  <c r="AK645" i="21"/>
  <c r="AL645" i="21" s="1"/>
  <c r="AN645" i="21" s="1"/>
  <c r="AK637" i="21"/>
  <c r="AL637" i="21" s="1"/>
  <c r="AN637" i="21" s="1"/>
  <c r="AK605" i="21"/>
  <c r="AL605" i="21" s="1"/>
  <c r="AN605" i="21" s="1"/>
  <c r="AK581" i="21"/>
  <c r="AL581" i="21" s="1"/>
  <c r="AN581" i="21" s="1"/>
  <c r="AK573" i="21"/>
  <c r="AL573" i="21" s="1"/>
  <c r="AN573" i="21" s="1"/>
  <c r="AK557" i="21"/>
  <c r="AL557" i="21" s="1"/>
  <c r="AN557" i="21" s="1"/>
  <c r="AK533" i="21"/>
  <c r="AL533" i="21" s="1"/>
  <c r="AN533" i="21" s="1"/>
  <c r="AK525" i="21"/>
  <c r="AL525" i="21" s="1"/>
  <c r="AN525" i="21" s="1"/>
  <c r="AK517" i="21"/>
  <c r="AL517" i="21" s="1"/>
  <c r="AN517" i="21" s="1"/>
  <c r="AK509" i="21"/>
  <c r="AL509" i="21" s="1"/>
  <c r="AN509" i="21" s="1"/>
  <c r="AK501" i="21"/>
  <c r="AL501" i="21" s="1"/>
  <c r="AN501" i="21" s="1"/>
  <c r="AK485" i="21"/>
  <c r="AL485" i="21" s="1"/>
  <c r="AN485" i="21" s="1"/>
  <c r="AK477" i="21"/>
  <c r="AL477" i="21" s="1"/>
  <c r="AN477" i="21" s="1"/>
  <c r="AK469" i="21"/>
  <c r="AL469" i="21" s="1"/>
  <c r="AN469" i="21" s="1"/>
  <c r="AK445" i="21"/>
  <c r="AL445" i="21" s="1"/>
  <c r="AN445" i="21" s="1"/>
  <c r="AK437" i="21"/>
  <c r="AL437" i="21" s="1"/>
  <c r="AN437" i="21" s="1"/>
  <c r="AK413" i="21"/>
  <c r="AL413" i="21" s="1"/>
  <c r="AN413" i="21" s="1"/>
  <c r="AK397" i="21"/>
  <c r="AL397" i="21" s="1"/>
  <c r="AN397" i="21" s="1"/>
  <c r="AK389" i="21"/>
  <c r="AL389" i="21" s="1"/>
  <c r="AN389" i="21" s="1"/>
  <c r="AK381" i="21"/>
  <c r="AL381" i="21" s="1"/>
  <c r="AN381" i="21" s="1"/>
  <c r="AK373" i="21"/>
  <c r="AL373" i="21" s="1"/>
  <c r="AN373" i="21" s="1"/>
  <c r="AK357" i="21"/>
  <c r="AL357" i="21" s="1"/>
  <c r="AN357" i="21" s="1"/>
  <c r="AK349" i="21"/>
  <c r="AL349" i="21" s="1"/>
  <c r="AK341" i="21"/>
  <c r="AL341" i="21" s="1"/>
  <c r="AN341" i="21" s="1"/>
  <c r="AK333" i="21"/>
  <c r="AL333" i="21" s="1"/>
  <c r="AN333" i="21" s="1"/>
  <c r="AK325" i="21"/>
  <c r="AL325" i="21" s="1"/>
  <c r="AN325" i="21" s="1"/>
  <c r="AK293" i="21"/>
  <c r="AL293" i="21" s="1"/>
  <c r="AN293" i="21" s="1"/>
  <c r="AK269" i="21"/>
  <c r="AL269" i="21" s="1"/>
  <c r="AN269" i="21" s="1"/>
  <c r="AK245" i="21"/>
  <c r="AL245" i="21" s="1"/>
  <c r="AN245" i="21" s="1"/>
  <c r="AK221" i="21"/>
  <c r="AL221" i="21" s="1"/>
  <c r="AN221" i="21" s="1"/>
  <c r="AK197" i="21"/>
  <c r="AL197" i="21" s="1"/>
  <c r="AN197" i="21" s="1"/>
  <c r="AK189" i="21"/>
  <c r="AL189" i="21" s="1"/>
  <c r="AN189" i="21" s="1"/>
  <c r="AK181" i="21"/>
  <c r="AL181" i="21" s="1"/>
  <c r="AN181" i="21" s="1"/>
  <c r="AK173" i="21"/>
  <c r="AL173" i="21" s="1"/>
  <c r="AN173" i="21" s="1"/>
  <c r="AK165" i="21"/>
  <c r="AL165" i="21" s="1"/>
  <c r="AN165" i="21" s="1"/>
  <c r="AK149" i="21"/>
  <c r="AL149" i="21" s="1"/>
  <c r="AN149" i="21" s="1"/>
  <c r="AK125" i="21"/>
  <c r="AL125" i="21" s="1"/>
  <c r="AN125" i="21" s="1"/>
  <c r="AK117" i="21"/>
  <c r="AL117" i="21" s="1"/>
  <c r="AN117" i="21" s="1"/>
  <c r="AK109" i="21"/>
  <c r="AL109" i="21" s="1"/>
  <c r="AN109" i="21" s="1"/>
  <c r="AK101" i="21"/>
  <c r="AL101" i="21" s="1"/>
  <c r="AN101" i="21" s="1"/>
  <c r="AK93" i="21"/>
  <c r="AL93" i="21" s="1"/>
  <c r="AN93" i="21" s="1"/>
  <c r="AK85" i="21"/>
  <c r="AL85" i="21" s="1"/>
  <c r="AN85" i="21" s="1"/>
  <c r="AK77" i="21"/>
  <c r="AL77" i="21" s="1"/>
  <c r="AN77" i="21" s="1"/>
  <c r="AK69" i="21"/>
  <c r="AL69" i="21" s="1"/>
  <c r="AN69" i="21" s="1"/>
  <c r="AK53" i="21"/>
  <c r="AL53" i="21" s="1"/>
  <c r="AN53" i="21" s="1"/>
  <c r="AK29" i="21"/>
  <c r="AL29" i="21" s="1"/>
  <c r="AN29" i="21" s="1"/>
  <c r="AK13" i="21"/>
  <c r="AL13" i="21" s="1"/>
  <c r="AK5" i="21"/>
  <c r="AL5" i="21" s="1"/>
  <c r="AK681" i="21"/>
  <c r="AL681" i="21" s="1"/>
  <c r="AN681" i="21" s="1"/>
  <c r="AK649" i="21"/>
  <c r="AL649" i="21" s="1"/>
  <c r="AN649" i="21" s="1"/>
  <c r="AK641" i="21"/>
  <c r="AL641" i="21" s="1"/>
  <c r="AN641" i="21" s="1"/>
  <c r="AK609" i="21"/>
  <c r="AL609" i="21" s="1"/>
  <c r="AN609" i="21" s="1"/>
  <c r="AK585" i="21"/>
  <c r="AL585" i="21" s="1"/>
  <c r="AN585" i="21" s="1"/>
  <c r="AK569" i="21"/>
  <c r="AL569" i="21" s="1"/>
  <c r="AN569" i="21" s="1"/>
  <c r="AK513" i="21"/>
  <c r="AL513" i="21" s="1"/>
  <c r="AN513" i="21" s="1"/>
  <c r="AK489" i="21"/>
  <c r="AL489" i="21" s="1"/>
  <c r="AN489" i="21" s="1"/>
  <c r="AK473" i="21"/>
  <c r="AL473" i="21" s="1"/>
  <c r="AN473" i="21" s="1"/>
  <c r="AK449" i="21"/>
  <c r="AL449" i="21" s="1"/>
  <c r="AN449" i="21" s="1"/>
  <c r="AK441" i="21"/>
  <c r="AL441" i="21" s="1"/>
  <c r="AN441" i="21" s="1"/>
  <c r="AK417" i="21"/>
  <c r="AL417" i="21" s="1"/>
  <c r="AN417" i="21" s="1"/>
  <c r="AK409" i="21"/>
  <c r="AL409" i="21" s="1"/>
  <c r="AN409" i="21" s="1"/>
  <c r="AK401" i="21"/>
  <c r="AL401" i="21" s="1"/>
  <c r="AN401" i="21" s="1"/>
  <c r="AK385" i="21"/>
  <c r="AL385" i="21" s="1"/>
  <c r="AN385" i="21" s="1"/>
  <c r="AK377" i="21"/>
  <c r="AL377" i="21" s="1"/>
  <c r="AN377" i="21" s="1"/>
  <c r="AK353" i="21"/>
  <c r="AL353" i="21" s="1"/>
  <c r="AN353" i="21" s="1"/>
  <c r="AK345" i="21"/>
  <c r="AL345" i="21" s="1"/>
  <c r="AN345" i="21" s="1"/>
  <c r="AK329" i="21"/>
  <c r="AL329" i="21" s="1"/>
  <c r="AN329" i="21" s="1"/>
  <c r="AK297" i="21"/>
  <c r="AL297" i="21" s="1"/>
  <c r="AN297" i="21" s="1"/>
  <c r="AK281" i="21"/>
  <c r="AL281" i="21" s="1"/>
  <c r="AN281" i="21" s="1"/>
  <c r="AK273" i="21"/>
  <c r="AL273" i="21" s="1"/>
  <c r="AN273" i="21" s="1"/>
  <c r="AK201" i="21"/>
  <c r="AL201" i="21" s="1"/>
  <c r="AN201" i="21" s="1"/>
  <c r="AK193" i="21"/>
  <c r="AL193" i="21" s="1"/>
  <c r="AN193" i="21" s="1"/>
  <c r="AK185" i="21"/>
  <c r="AL185" i="21" s="1"/>
  <c r="AN185" i="21" s="1"/>
  <c r="AK177" i="21"/>
  <c r="AL177" i="21" s="1"/>
  <c r="AN177" i="21" s="1"/>
  <c r="AK153" i="21"/>
  <c r="AL153" i="21" s="1"/>
  <c r="AN153" i="21" s="1"/>
  <c r="AK129" i="21"/>
  <c r="AL129" i="21" s="1"/>
  <c r="AN129" i="21" s="1"/>
  <c r="AK113" i="21"/>
  <c r="AL113" i="21" s="1"/>
  <c r="AN113" i="21" s="1"/>
  <c r="AK97" i="21"/>
  <c r="AL97" i="21" s="1"/>
  <c r="AN97" i="21" s="1"/>
  <c r="AK89" i="21"/>
  <c r="AL89" i="21" s="1"/>
  <c r="AN89" i="21" s="1"/>
  <c r="AK81" i="21"/>
  <c r="AL81" i="21" s="1"/>
  <c r="AN81" i="21" s="1"/>
  <c r="AK57" i="21"/>
  <c r="AK33" i="21"/>
  <c r="AL33" i="21" s="1"/>
  <c r="AN33" i="21" s="1"/>
  <c r="AK17" i="21"/>
  <c r="AL17" i="21" s="1"/>
  <c r="AK9" i="21"/>
  <c r="AL9" i="21" s="1"/>
  <c r="AK1087" i="21"/>
  <c r="AL1087" i="21" s="1"/>
  <c r="AK1079" i="21"/>
  <c r="AL1079" i="21" s="1"/>
  <c r="AN1079" i="21" s="1"/>
  <c r="AK1071" i="21"/>
  <c r="AL1071" i="21" s="1"/>
  <c r="AN1071" i="21" s="1"/>
  <c r="AK1063" i="21"/>
  <c r="AL1063" i="21" s="1"/>
  <c r="AN1063" i="21" s="1"/>
  <c r="AK1047" i="21"/>
  <c r="AL1047" i="21" s="1"/>
  <c r="AN1047" i="21" s="1"/>
  <c r="AK1039" i="21"/>
  <c r="AL1039" i="21" s="1"/>
  <c r="AN1039" i="21" s="1"/>
  <c r="AK1023" i="21"/>
  <c r="AL1023" i="21" s="1"/>
  <c r="AN1023" i="21" s="1"/>
  <c r="AK1015" i="21"/>
  <c r="AL1015" i="21" s="1"/>
  <c r="AN1015" i="21" s="1"/>
  <c r="AK1007" i="21"/>
  <c r="AL1007" i="21" s="1"/>
  <c r="AN1007" i="21" s="1"/>
  <c r="AK999" i="21"/>
  <c r="AL999" i="21" s="1"/>
  <c r="AN999" i="21" s="1"/>
  <c r="AK991" i="21"/>
  <c r="AL991" i="21" s="1"/>
  <c r="AN991" i="21" s="1"/>
  <c r="AK983" i="21"/>
  <c r="AL983" i="21" s="1"/>
  <c r="AN983" i="21" s="1"/>
  <c r="AK975" i="21"/>
  <c r="AL975" i="21" s="1"/>
  <c r="AN975" i="21" s="1"/>
  <c r="AK967" i="21"/>
  <c r="AL967" i="21" s="1"/>
  <c r="AN967" i="21" s="1"/>
  <c r="AK959" i="21"/>
  <c r="AL959" i="21" s="1"/>
  <c r="AN959" i="21" s="1"/>
  <c r="AK951" i="21"/>
  <c r="AL951" i="21" s="1"/>
  <c r="AN951" i="21" s="1"/>
  <c r="AK935" i="21"/>
  <c r="AL935" i="21" s="1"/>
  <c r="AN935" i="21" s="1"/>
  <c r="AK927" i="21"/>
  <c r="AL927" i="21" s="1"/>
  <c r="AN927" i="21" s="1"/>
  <c r="AK919" i="21"/>
  <c r="AL919" i="21" s="1"/>
  <c r="AN919" i="21" s="1"/>
  <c r="AK911" i="21"/>
  <c r="AL911" i="21" s="1"/>
  <c r="AN911" i="21" s="1"/>
  <c r="AK879" i="21"/>
  <c r="AL879" i="21" s="1"/>
  <c r="AN879" i="21" s="1"/>
  <c r="AK871" i="21"/>
  <c r="AL871" i="21" s="1"/>
  <c r="AN871" i="21" s="1"/>
  <c r="AK855" i="21"/>
  <c r="AL855" i="21" s="1"/>
  <c r="AN855" i="21" s="1"/>
  <c r="AK847" i="21"/>
  <c r="AL847" i="21" s="1"/>
  <c r="AN847" i="21" s="1"/>
  <c r="AK839" i="21"/>
  <c r="AL839" i="21" s="1"/>
  <c r="AN839" i="21" s="1"/>
  <c r="AK831" i="21"/>
  <c r="AL831" i="21" s="1"/>
  <c r="AN831" i="21" s="1"/>
  <c r="AK823" i="21"/>
  <c r="AL823" i="21" s="1"/>
  <c r="AN823" i="21" s="1"/>
  <c r="AK799" i="21"/>
  <c r="AL799" i="21" s="1"/>
  <c r="AN799" i="21" s="1"/>
  <c r="AK791" i="21"/>
  <c r="AL791" i="21" s="1"/>
  <c r="AN791" i="21" s="1"/>
  <c r="AK783" i="21"/>
  <c r="AL783" i="21" s="1"/>
  <c r="AN783" i="21" s="1"/>
  <c r="AK775" i="21"/>
  <c r="AL775" i="21" s="1"/>
  <c r="AN775" i="21" s="1"/>
  <c r="AK759" i="21"/>
  <c r="AL759" i="21" s="1"/>
  <c r="AN759" i="21" s="1"/>
  <c r="AK751" i="21"/>
  <c r="AL751" i="21" s="1"/>
  <c r="AN751" i="21" s="1"/>
  <c r="AK735" i="21"/>
  <c r="AL735" i="21" s="1"/>
  <c r="AN735" i="21" s="1"/>
  <c r="AK727" i="21"/>
  <c r="AL727" i="21" s="1"/>
  <c r="AN727" i="21" s="1"/>
  <c r="AK719" i="21"/>
  <c r="AL719" i="21" s="1"/>
  <c r="AN719" i="21" s="1"/>
  <c r="AK711" i="21"/>
  <c r="AL711" i="21" s="1"/>
  <c r="AN711" i="21" s="1"/>
  <c r="AK703" i="21"/>
  <c r="AL703" i="21" s="1"/>
  <c r="AN703" i="21" s="1"/>
  <c r="AK695" i="21"/>
  <c r="AL695" i="21" s="1"/>
  <c r="AN695" i="21" s="1"/>
  <c r="AK679" i="21"/>
  <c r="AL679" i="21" s="1"/>
  <c r="AN679" i="21" s="1"/>
  <c r="AK663" i="21"/>
  <c r="AL663" i="21" s="1"/>
  <c r="AN663" i="21" s="1"/>
  <c r="AK647" i="21"/>
  <c r="AL647" i="21" s="1"/>
  <c r="AN647" i="21" s="1"/>
  <c r="AK639" i="21"/>
  <c r="AL639" i="21" s="1"/>
  <c r="AN639" i="21" s="1"/>
  <c r="AK631" i="21"/>
  <c r="AL631" i="21" s="1"/>
  <c r="AN631" i="21" s="1"/>
  <c r="AK607" i="21"/>
  <c r="AL607" i="21" s="1"/>
  <c r="AN607" i="21" s="1"/>
  <c r="AK599" i="21"/>
  <c r="AL599" i="21" s="1"/>
  <c r="AN599" i="21" s="1"/>
  <c r="AK583" i="21"/>
  <c r="AL583" i="21" s="1"/>
  <c r="AN583" i="21" s="1"/>
  <c r="AK567" i="21"/>
  <c r="AL567" i="21" s="1"/>
  <c r="AN567" i="21" s="1"/>
  <c r="AK559" i="21"/>
  <c r="AL559" i="21" s="1"/>
  <c r="AN559" i="21" s="1"/>
  <c r="AK535" i="21"/>
  <c r="AL535" i="21" s="1"/>
  <c r="AN535" i="21" s="1"/>
  <c r="AK527" i="21"/>
  <c r="AL527" i="21" s="1"/>
  <c r="AN527" i="21" s="1"/>
  <c r="AK519" i="21"/>
  <c r="AL519" i="21" s="1"/>
  <c r="AN519" i="21" s="1"/>
  <c r="AK511" i="21"/>
  <c r="AL511" i="21" s="1"/>
  <c r="AN511" i="21" s="1"/>
  <c r="AK503" i="21"/>
  <c r="AL503" i="21" s="1"/>
  <c r="AN503" i="21" s="1"/>
  <c r="AK487" i="21"/>
  <c r="AL487" i="21" s="1"/>
  <c r="AN487" i="21" s="1"/>
  <c r="AK479" i="21"/>
  <c r="AL479" i="21" s="1"/>
  <c r="AN479" i="21" s="1"/>
  <c r="AK471" i="21"/>
  <c r="AL471" i="21" s="1"/>
  <c r="AN471" i="21" s="1"/>
  <c r="AK463" i="21"/>
  <c r="AL463" i="21" s="1"/>
  <c r="AN463" i="21" s="1"/>
  <c r="AK447" i="21"/>
  <c r="AL447" i="21" s="1"/>
  <c r="AN447" i="21" s="1"/>
  <c r="AK407" i="21"/>
  <c r="AL407" i="21" s="1"/>
  <c r="AN407" i="21" s="1"/>
  <c r="AK399" i="21"/>
  <c r="AL399" i="21" s="1"/>
  <c r="AN399" i="21" s="1"/>
  <c r="AK383" i="21"/>
  <c r="AL383" i="21" s="1"/>
  <c r="AN383" i="21" s="1"/>
  <c r="AK375" i="21"/>
  <c r="AL375" i="21" s="1"/>
  <c r="AN375" i="21" s="1"/>
  <c r="AK367" i="21"/>
  <c r="AL367" i="21" s="1"/>
  <c r="AN367" i="21" s="1"/>
  <c r="AK351" i="21"/>
  <c r="AL351" i="21" s="1"/>
  <c r="AK343" i="21"/>
  <c r="AL343" i="21" s="1"/>
  <c r="AN343" i="21" s="1"/>
  <c r="AK335" i="21"/>
  <c r="AL335" i="21" s="1"/>
  <c r="AN335" i="21" s="1"/>
  <c r="AK327" i="21"/>
  <c r="AL327" i="21" s="1"/>
  <c r="AN327" i="21" s="1"/>
  <c r="AK319" i="21"/>
  <c r="AL319" i="21" s="1"/>
  <c r="AN319" i="21" s="1"/>
  <c r="AK311" i="21"/>
  <c r="AL311" i="21" s="1"/>
  <c r="AN311" i="21" s="1"/>
  <c r="AK279" i="21"/>
  <c r="AL279" i="21" s="1"/>
  <c r="AN279" i="21" s="1"/>
  <c r="AK271" i="21"/>
  <c r="AL271" i="21" s="1"/>
  <c r="AN271" i="21" s="1"/>
  <c r="AK255" i="21"/>
  <c r="AL255" i="21" s="1"/>
  <c r="AN255" i="21" s="1"/>
  <c r="AK247" i="21"/>
  <c r="AL247" i="21" s="1"/>
  <c r="AN247" i="21" s="1"/>
  <c r="AK215" i="21"/>
  <c r="AL215" i="21" s="1"/>
  <c r="AN215" i="21" s="1"/>
  <c r="AK207" i="21"/>
  <c r="AL207" i="21" s="1"/>
  <c r="AN207" i="21" s="1"/>
  <c r="AK191" i="21"/>
  <c r="AL191" i="21" s="1"/>
  <c r="AN191" i="21" s="1"/>
  <c r="AK183" i="21"/>
  <c r="AL183" i="21" s="1"/>
  <c r="AN183" i="21" s="1"/>
  <c r="AK175" i="21"/>
  <c r="AL175" i="21" s="1"/>
  <c r="AN175" i="21" s="1"/>
  <c r="AK151" i="21"/>
  <c r="AL151" i="21" s="1"/>
  <c r="AN151" i="21" s="1"/>
  <c r="AK127" i="21"/>
  <c r="AL127" i="21" s="1"/>
  <c r="AN127" i="21" s="1"/>
  <c r="AK111" i="21"/>
  <c r="AL111" i="21" s="1"/>
  <c r="AN111" i="21" s="1"/>
  <c r="AK95" i="21"/>
  <c r="AL95" i="21" s="1"/>
  <c r="AN95" i="21" s="1"/>
  <c r="AK87" i="21"/>
  <c r="AL87" i="21" s="1"/>
  <c r="AN87" i="21" s="1"/>
  <c r="AK79" i="21"/>
  <c r="AL79" i="21" s="1"/>
  <c r="AN79" i="21" s="1"/>
  <c r="AK63" i="21"/>
  <c r="AL63" i="21" s="1"/>
  <c r="AN63" i="21" s="1"/>
  <c r="AK55" i="21"/>
  <c r="AL55" i="21" s="1"/>
  <c r="AN55" i="21" s="1"/>
  <c r="AK39" i="21"/>
  <c r="AL39" i="21" s="1"/>
  <c r="AN39" i="21" s="1"/>
  <c r="AK31" i="21"/>
  <c r="AL31" i="21" s="1"/>
  <c r="AN31" i="21" s="1"/>
  <c r="AK23" i="21"/>
  <c r="AL23" i="21" s="1"/>
  <c r="AK15" i="21"/>
  <c r="AL15" i="21" s="1"/>
  <c r="AK7" i="21"/>
  <c r="AL7" i="21" s="1"/>
  <c r="AK1126" i="21"/>
  <c r="AL1126" i="21" s="1"/>
  <c r="AN1126" i="21" s="1"/>
  <c r="AK1110" i="21"/>
  <c r="AL1110" i="21" s="1"/>
  <c r="AN1110" i="21" s="1"/>
  <c r="AK1102" i="21"/>
  <c r="AL1102" i="21" s="1"/>
  <c r="AN1102" i="21" s="1"/>
  <c r="AK1094" i="21"/>
  <c r="AL1094" i="21" s="1"/>
  <c r="AN1094" i="21" s="1"/>
  <c r="AK1086" i="21"/>
  <c r="AL1086" i="21" s="1"/>
  <c r="AN1086" i="21" s="1"/>
  <c r="AK1078" i="21"/>
  <c r="AL1078" i="21" s="1"/>
  <c r="AN1078" i="21" s="1"/>
  <c r="AK1062" i="21"/>
  <c r="AL1062" i="21" s="1"/>
  <c r="AN1062" i="21" s="1"/>
  <c r="AK1054" i="21"/>
  <c r="AL1054" i="21" s="1"/>
  <c r="AN1054" i="21" s="1"/>
  <c r="AK1046" i="21"/>
  <c r="AL1046" i="21" s="1"/>
  <c r="AN1046" i="21" s="1"/>
  <c r="AK1038" i="21"/>
  <c r="AL1038" i="21" s="1"/>
  <c r="AN1038" i="21" s="1"/>
  <c r="AK1030" i="21"/>
  <c r="AL1030" i="21" s="1"/>
  <c r="AN1030" i="21" s="1"/>
  <c r="AK1022" i="21"/>
  <c r="AL1022" i="21" s="1"/>
  <c r="AN1022" i="21" s="1"/>
  <c r="AK1014" i="21"/>
  <c r="AL1014" i="21" s="1"/>
  <c r="AN1014" i="21" s="1"/>
  <c r="AK998" i="21"/>
  <c r="AL998" i="21" s="1"/>
  <c r="AN998" i="21" s="1"/>
  <c r="AK990" i="21"/>
  <c r="AL990" i="21" s="1"/>
  <c r="AN990" i="21" s="1"/>
  <c r="AK982" i="21"/>
  <c r="AL982" i="21" s="1"/>
  <c r="AN982" i="21" s="1"/>
  <c r="AK974" i="21"/>
  <c r="AL974" i="21" s="1"/>
  <c r="AN974" i="21" s="1"/>
  <c r="AK966" i="21"/>
  <c r="AL966" i="21" s="1"/>
  <c r="AN966" i="21" s="1"/>
  <c r="AK958" i="21"/>
  <c r="AL958" i="21" s="1"/>
  <c r="AN958" i="21" s="1"/>
  <c r="AK934" i="21"/>
  <c r="AL934" i="21" s="1"/>
  <c r="AN934" i="21" s="1"/>
  <c r="AK926" i="21"/>
  <c r="AL926" i="21" s="1"/>
  <c r="AN926" i="21" s="1"/>
  <c r="AK918" i="21"/>
  <c r="AL918" i="21" s="1"/>
  <c r="AN918" i="21" s="1"/>
  <c r="AK902" i="21"/>
  <c r="AL902" i="21" s="1"/>
  <c r="AN902" i="21" s="1"/>
  <c r="AK894" i="21"/>
  <c r="AL894" i="21" s="1"/>
  <c r="AN894" i="21" s="1"/>
  <c r="AK886" i="21"/>
  <c r="AL886" i="21" s="1"/>
  <c r="AN886" i="21" s="1"/>
  <c r="AK870" i="21"/>
  <c r="AL870" i="21" s="1"/>
  <c r="AN870" i="21" s="1"/>
  <c r="AK862" i="21"/>
  <c r="AL862" i="21" s="1"/>
  <c r="AN862" i="21" s="1"/>
  <c r="AK846" i="21"/>
  <c r="AL846" i="21" s="1"/>
  <c r="AN846" i="21" s="1"/>
  <c r="AK838" i="21"/>
  <c r="AL838" i="21" s="1"/>
  <c r="AN838" i="21" s="1"/>
  <c r="AK830" i="21"/>
  <c r="AL830" i="21" s="1"/>
  <c r="AN830" i="21" s="1"/>
  <c r="AK822" i="21"/>
  <c r="AL822" i="21" s="1"/>
  <c r="AN822" i="21" s="1"/>
  <c r="AK806" i="21"/>
  <c r="AL806" i="21" s="1"/>
  <c r="AN806" i="21" s="1"/>
  <c r="AK798" i="21"/>
  <c r="AL798" i="21" s="1"/>
  <c r="AN798" i="21" s="1"/>
  <c r="AK790" i="21"/>
  <c r="AL790" i="21" s="1"/>
  <c r="AN790" i="21" s="1"/>
  <c r="AK774" i="21"/>
  <c r="AL774" i="21" s="1"/>
  <c r="AN774" i="21" s="1"/>
  <c r="AK766" i="21"/>
  <c r="AL766" i="21" s="1"/>
  <c r="AN766" i="21" s="1"/>
  <c r="AK750" i="21"/>
  <c r="AL750" i="21" s="1"/>
  <c r="AN750" i="21" s="1"/>
  <c r="AK742" i="21"/>
  <c r="AL742" i="21" s="1"/>
  <c r="AN742" i="21" s="1"/>
  <c r="AK734" i="21"/>
  <c r="AL734" i="21" s="1"/>
  <c r="AN734" i="21" s="1"/>
  <c r="AK726" i="21"/>
  <c r="AL726" i="21" s="1"/>
  <c r="AN726" i="21" s="1"/>
  <c r="AK718" i="21"/>
  <c r="AL718" i="21" s="1"/>
  <c r="AN718" i="21" s="1"/>
  <c r="AK710" i="21"/>
  <c r="AL710" i="21" s="1"/>
  <c r="AN710" i="21" s="1"/>
  <c r="AK702" i="21"/>
  <c r="AL702" i="21" s="1"/>
  <c r="AN702" i="21" s="1"/>
  <c r="AK678" i="21"/>
  <c r="AL678" i="21" s="1"/>
  <c r="AN678" i="21" s="1"/>
  <c r="AK646" i="21"/>
  <c r="AL646" i="21" s="1"/>
  <c r="AN646" i="21" s="1"/>
  <c r="AK638" i="21"/>
  <c r="AL638" i="21" s="1"/>
  <c r="AN638" i="21" s="1"/>
  <c r="AK614" i="21"/>
  <c r="AL614" i="21" s="1"/>
  <c r="AN614" i="21" s="1"/>
  <c r="AK606" i="21"/>
  <c r="AL606" i="21" s="1"/>
  <c r="AN606" i="21" s="1"/>
  <c r="AK582" i="21"/>
  <c r="AL582" i="21" s="1"/>
  <c r="AN582" i="21" s="1"/>
  <c r="AK574" i="21"/>
  <c r="AL574" i="21" s="1"/>
  <c r="AN574" i="21" s="1"/>
  <c r="AK566" i="21"/>
  <c r="AL566" i="21" s="1"/>
  <c r="AN566" i="21" s="1"/>
  <c r="AK558" i="21"/>
  <c r="AL558" i="21" s="1"/>
  <c r="AN558" i="21" s="1"/>
  <c r="AK542" i="21"/>
  <c r="AL542" i="21" s="1"/>
  <c r="AN542" i="21" s="1"/>
  <c r="AK534" i="21"/>
  <c r="AL534" i="21" s="1"/>
  <c r="AN534" i="21" s="1"/>
  <c r="AK526" i="21"/>
  <c r="AL526" i="21" s="1"/>
  <c r="AN526" i="21" s="1"/>
  <c r="AK518" i="21"/>
  <c r="AL518" i="21" s="1"/>
  <c r="AN518" i="21" s="1"/>
  <c r="AK510" i="21"/>
  <c r="AL510" i="21" s="1"/>
  <c r="AN510" i="21" s="1"/>
  <c r="AK494" i="21"/>
  <c r="AL494" i="21" s="1"/>
  <c r="AN494" i="21" s="1"/>
  <c r="AK486" i="21"/>
  <c r="AL486" i="21" s="1"/>
  <c r="AN486" i="21" s="1"/>
  <c r="AK478" i="21"/>
  <c r="AL478" i="21" s="1"/>
  <c r="AN478" i="21" s="1"/>
  <c r="AK470" i="21"/>
  <c r="AL470" i="21" s="1"/>
  <c r="AN470" i="21" s="1"/>
  <c r="AK462" i="21"/>
  <c r="AL462" i="21" s="1"/>
  <c r="AN462" i="21" s="1"/>
  <c r="AK454" i="21"/>
  <c r="AL454" i="21" s="1"/>
  <c r="AN454" i="21" s="1"/>
  <c r="AK446" i="21"/>
  <c r="AL446" i="21" s="1"/>
  <c r="AN446" i="21" s="1"/>
  <c r="AK438" i="21"/>
  <c r="AL438" i="21" s="1"/>
  <c r="AN438" i="21" s="1"/>
  <c r="AK414" i="21"/>
  <c r="AL414" i="21" s="1"/>
  <c r="AN414" i="21" s="1"/>
  <c r="AK406" i="21"/>
  <c r="AL406" i="21" s="1"/>
  <c r="AN406" i="21" s="1"/>
  <c r="AK398" i="21"/>
  <c r="AL398" i="21" s="1"/>
  <c r="AN398" i="21" s="1"/>
  <c r="AK390" i="21"/>
  <c r="AL390" i="21" s="1"/>
  <c r="AN390" i="21" s="1"/>
  <c r="AK382" i="21"/>
  <c r="AL382" i="21" s="1"/>
  <c r="AN382" i="21" s="1"/>
  <c r="AK374" i="21"/>
  <c r="AL374" i="21" s="1"/>
  <c r="AN374" i="21" s="1"/>
  <c r="AK366" i="21"/>
  <c r="AL366" i="21" s="1"/>
  <c r="AN366" i="21" s="1"/>
  <c r="AK358" i="21"/>
  <c r="AL358" i="21" s="1"/>
  <c r="AN358" i="21" s="1"/>
  <c r="AK350" i="21"/>
  <c r="AL350" i="21" s="1"/>
  <c r="AN350" i="21" s="1"/>
  <c r="AK342" i="21"/>
  <c r="AL342" i="21" s="1"/>
  <c r="AN342" i="21" s="1"/>
  <c r="AK334" i="21"/>
  <c r="AL334" i="21" s="1"/>
  <c r="AN334" i="21" s="1"/>
  <c r="AK318" i="21"/>
  <c r="AL318" i="21" s="1"/>
  <c r="AN318" i="21" s="1"/>
  <c r="AK310" i="21"/>
  <c r="AL310" i="21" s="1"/>
  <c r="AN310" i="21" s="1"/>
  <c r="AK294" i="21"/>
  <c r="AL294" i="21" s="1"/>
  <c r="AN294" i="21" s="1"/>
  <c r="AK286" i="21"/>
  <c r="AL286" i="21" s="1"/>
  <c r="AN286" i="21" s="1"/>
  <c r="AK278" i="21"/>
  <c r="AL278" i="21" s="1"/>
  <c r="AN278" i="21" s="1"/>
  <c r="AK270" i="21"/>
  <c r="AL270" i="21" s="1"/>
  <c r="AN270" i="21" s="1"/>
  <c r="AK254" i="21"/>
  <c r="AL254" i="21" s="1"/>
  <c r="AN254" i="21" s="1"/>
  <c r="AK246" i="21"/>
  <c r="AL246" i="21" s="1"/>
  <c r="AN246" i="21" s="1"/>
  <c r="AK214" i="21"/>
  <c r="AL214" i="21" s="1"/>
  <c r="AN214" i="21" s="1"/>
  <c r="AK198" i="21"/>
  <c r="AL198" i="21" s="1"/>
  <c r="AN198" i="21" s="1"/>
  <c r="AK190" i="21"/>
  <c r="AL190" i="21" s="1"/>
  <c r="AN190" i="21" s="1"/>
  <c r="AK182" i="21"/>
  <c r="AL182" i="21" s="1"/>
  <c r="AN182" i="21" s="1"/>
  <c r="AK174" i="21"/>
  <c r="AL174" i="21" s="1"/>
  <c r="AN174" i="21" s="1"/>
  <c r="AK166" i="21"/>
  <c r="AL166" i="21" s="1"/>
  <c r="AN166" i="21" s="1"/>
  <c r="AK158" i="21"/>
  <c r="AL158" i="21" s="1"/>
  <c r="AN158" i="21" s="1"/>
  <c r="AK150" i="21"/>
  <c r="AL150" i="21" s="1"/>
  <c r="AN150" i="21" s="1"/>
  <c r="AK142" i="21"/>
  <c r="AL142" i="21" s="1"/>
  <c r="AN142" i="21" s="1"/>
  <c r="AK126" i="21"/>
  <c r="AL126" i="21" s="1"/>
  <c r="AN126" i="21" s="1"/>
  <c r="AK118" i="21"/>
  <c r="AL118" i="21" s="1"/>
  <c r="AN118" i="21" s="1"/>
  <c r="AK1124" i="21"/>
  <c r="AL1124" i="21" s="1"/>
  <c r="AN1124" i="21" s="1"/>
  <c r="AK1116" i="21"/>
  <c r="AL1116" i="21" s="1"/>
  <c r="AN1116" i="21" s="1"/>
  <c r="AK1108" i="21"/>
  <c r="AL1108" i="21" s="1"/>
  <c r="AN1108" i="21" s="1"/>
  <c r="AK1100" i="21"/>
  <c r="AL1100" i="21" s="1"/>
  <c r="AN1100" i="21" s="1"/>
  <c r="AK1092" i="21"/>
  <c r="AL1092" i="21" s="1"/>
  <c r="AN1092" i="21" s="1"/>
  <c r="AK1084" i="21"/>
  <c r="AL1084" i="21" s="1"/>
  <c r="AN1084" i="21" s="1"/>
  <c r="AK1076" i="21"/>
  <c r="AL1076" i="21" s="1"/>
  <c r="AN1076" i="21" s="1"/>
  <c r="AK1068" i="21"/>
  <c r="AL1068" i="21" s="1"/>
  <c r="AN1068" i="21" s="1"/>
  <c r="AK1052" i="21"/>
  <c r="AL1052" i="21" s="1"/>
  <c r="AN1052" i="21" s="1"/>
  <c r="AK1044" i="21"/>
  <c r="AL1044" i="21" s="1"/>
  <c r="AN1044" i="21" s="1"/>
  <c r="AK1036" i="21"/>
  <c r="AL1036" i="21" s="1"/>
  <c r="AN1036" i="21" s="1"/>
  <c r="AK1028" i="21"/>
  <c r="AL1028" i="21" s="1"/>
  <c r="AN1028" i="21" s="1"/>
  <c r="AK1020" i="21"/>
  <c r="AL1020" i="21" s="1"/>
  <c r="AN1020" i="21" s="1"/>
  <c r="AK1004" i="21"/>
  <c r="AL1004" i="21" s="1"/>
  <c r="AN1004" i="21" s="1"/>
  <c r="AK996" i="21"/>
  <c r="AL996" i="21" s="1"/>
  <c r="AN996" i="21" s="1"/>
  <c r="AK988" i="21"/>
  <c r="AL988" i="21" s="1"/>
  <c r="AN988" i="21" s="1"/>
  <c r="AK980" i="21"/>
  <c r="AL980" i="21" s="1"/>
  <c r="AN980" i="21" s="1"/>
  <c r="AK972" i="21"/>
  <c r="AL972" i="21" s="1"/>
  <c r="AN972" i="21" s="1"/>
  <c r="AK964" i="21"/>
  <c r="AL964" i="21" s="1"/>
  <c r="AN964" i="21" s="1"/>
  <c r="AK948" i="21"/>
  <c r="AL948" i="21" s="1"/>
  <c r="AN948" i="21" s="1"/>
  <c r="AK940" i="21"/>
  <c r="AL940" i="21" s="1"/>
  <c r="AN940" i="21" s="1"/>
  <c r="AK932" i="21"/>
  <c r="AL932" i="21" s="1"/>
  <c r="AN932" i="21" s="1"/>
  <c r="AK924" i="21"/>
  <c r="AL924" i="21" s="1"/>
  <c r="AN924" i="21" s="1"/>
  <c r="AK892" i="21"/>
  <c r="AL892" i="21" s="1"/>
  <c r="AN892" i="21" s="1"/>
  <c r="AK868" i="21"/>
  <c r="AL868" i="21" s="1"/>
  <c r="AN868" i="21" s="1"/>
  <c r="AK860" i="21"/>
  <c r="AL860" i="21" s="1"/>
  <c r="AN860" i="21" s="1"/>
  <c r="AK852" i="21"/>
  <c r="AL852" i="21" s="1"/>
  <c r="AN852" i="21" s="1"/>
  <c r="AK844" i="21"/>
  <c r="AL844" i="21" s="1"/>
  <c r="AN844" i="21" s="1"/>
  <c r="AK836" i="21"/>
  <c r="AL836" i="21" s="1"/>
  <c r="AN836" i="21" s="1"/>
  <c r="AK828" i="21"/>
  <c r="AL828" i="21" s="1"/>
  <c r="AN828" i="21" s="1"/>
  <c r="AK820" i="21"/>
  <c r="AL820" i="21" s="1"/>
  <c r="AN820" i="21" s="1"/>
  <c r="AK788" i="21"/>
  <c r="AL788" i="21" s="1"/>
  <c r="AN788" i="21" s="1"/>
  <c r="AK780" i="21"/>
  <c r="AL780" i="21" s="1"/>
  <c r="AN780" i="21" s="1"/>
  <c r="AK772" i="21"/>
  <c r="AL772" i="21" s="1"/>
  <c r="AN772" i="21" s="1"/>
  <c r="AK764" i="21"/>
  <c r="AL764" i="21" s="1"/>
  <c r="AN764" i="21" s="1"/>
  <c r="AK756" i="21"/>
  <c r="AL756" i="21" s="1"/>
  <c r="AN756" i="21" s="1"/>
  <c r="AK748" i="21"/>
  <c r="AL748" i="21" s="1"/>
  <c r="AN748" i="21" s="1"/>
  <c r="AK740" i="21"/>
  <c r="AL740" i="21" s="1"/>
  <c r="AN740" i="21" s="1"/>
  <c r="AK732" i="21"/>
  <c r="AL732" i="21" s="1"/>
  <c r="AN732" i="21" s="1"/>
  <c r="AK724" i="21"/>
  <c r="AL724" i="21" s="1"/>
  <c r="AN724" i="21" s="1"/>
  <c r="AK716" i="21"/>
  <c r="AL716" i="21" s="1"/>
  <c r="AN716" i="21" s="1"/>
  <c r="AK708" i="21"/>
  <c r="AL708" i="21" s="1"/>
  <c r="AN708" i="21" s="1"/>
  <c r="AK700" i="21"/>
  <c r="AL700" i="21" s="1"/>
  <c r="AN700" i="21" s="1"/>
  <c r="AK692" i="21"/>
  <c r="AL692" i="21" s="1"/>
  <c r="AN692" i="21" s="1"/>
  <c r="AK684" i="21"/>
  <c r="AL684" i="21" s="1"/>
  <c r="AN684" i="21" s="1"/>
  <c r="AK652" i="21"/>
  <c r="AL652" i="21" s="1"/>
  <c r="AN652" i="21" s="1"/>
  <c r="AK644" i="21"/>
  <c r="AL644" i="21" s="1"/>
  <c r="AN644" i="21" s="1"/>
  <c r="AK636" i="21"/>
  <c r="AL636" i="21" s="1"/>
  <c r="AN636" i="21" s="1"/>
  <c r="AK628" i="21"/>
  <c r="AL628" i="21" s="1"/>
  <c r="AN628" i="21" s="1"/>
  <c r="AK604" i="21"/>
  <c r="AL604" i="21" s="1"/>
  <c r="AN604" i="21" s="1"/>
  <c r="AK588" i="21"/>
  <c r="AL588" i="21" s="1"/>
  <c r="AN588" i="21" s="1"/>
  <c r="AK572" i="21"/>
  <c r="AL572" i="21" s="1"/>
  <c r="AN572" i="21" s="1"/>
  <c r="AK564" i="21"/>
  <c r="AL564" i="21" s="1"/>
  <c r="AN564" i="21" s="1"/>
  <c r="AK532" i="21"/>
  <c r="AL532" i="21" s="1"/>
  <c r="AN532" i="21" s="1"/>
  <c r="AK524" i="21"/>
  <c r="AL524" i="21" s="1"/>
  <c r="AN524" i="21" s="1"/>
  <c r="AK516" i="21"/>
  <c r="AL516" i="21" s="1"/>
  <c r="AN516" i="21" s="1"/>
  <c r="AK508" i="21"/>
  <c r="AL508" i="21" s="1"/>
  <c r="AN508" i="21" s="1"/>
  <c r="AK500" i="21"/>
  <c r="AL500" i="21" s="1"/>
  <c r="AN500" i="21" s="1"/>
  <c r="AK484" i="21"/>
  <c r="AL484" i="21" s="1"/>
  <c r="AN484" i="21" s="1"/>
  <c r="AK476" i="21"/>
  <c r="AL476" i="21" s="1"/>
  <c r="AN476" i="21" s="1"/>
  <c r="AK468" i="21"/>
  <c r="AL468" i="21" s="1"/>
  <c r="AN468" i="21" s="1"/>
  <c r="AK460" i="21"/>
  <c r="AL460" i="21" s="1"/>
  <c r="AN460" i="21" s="1"/>
  <c r="AK444" i="21"/>
  <c r="AL444" i="21" s="1"/>
  <c r="AN444" i="21" s="1"/>
  <c r="AK436" i="21"/>
  <c r="AL436" i="21" s="1"/>
  <c r="AN436" i="21" s="1"/>
  <c r="AK412" i="21"/>
  <c r="AL412" i="21" s="1"/>
  <c r="AN412" i="21" s="1"/>
  <c r="AK404" i="21"/>
  <c r="AL404" i="21" s="1"/>
  <c r="AN404" i="21" s="1"/>
  <c r="AK388" i="21"/>
  <c r="AL388" i="21" s="1"/>
  <c r="AN388" i="21" s="1"/>
  <c r="AK380" i="21"/>
  <c r="AL380" i="21" s="1"/>
  <c r="AN380" i="21" s="1"/>
  <c r="AK372" i="21"/>
  <c r="AL372" i="21" s="1"/>
  <c r="AN372" i="21" s="1"/>
  <c r="AK364" i="21"/>
  <c r="AL364" i="21" s="1"/>
  <c r="AN364" i="21" s="1"/>
  <c r="AK356" i="21"/>
  <c r="AL356" i="21" s="1"/>
  <c r="AN356" i="21" s="1"/>
  <c r="AK348" i="21"/>
  <c r="AL348" i="21" s="1"/>
  <c r="AN348" i="21" s="1"/>
  <c r="AK340" i="21"/>
  <c r="AL340" i="21" s="1"/>
  <c r="AN340" i="21" s="1"/>
  <c r="AK332" i="21"/>
  <c r="AL332" i="21" s="1"/>
  <c r="AN332" i="21" s="1"/>
  <c r="AK316" i="21"/>
  <c r="AL316" i="21" s="1"/>
  <c r="AN316" i="21" s="1"/>
  <c r="AK292" i="21"/>
  <c r="AL292" i="21" s="1"/>
  <c r="AN292" i="21" s="1"/>
  <c r="AK276" i="21"/>
  <c r="AL276" i="21" s="1"/>
  <c r="AN276" i="21" s="1"/>
  <c r="AK260" i="21"/>
  <c r="AL260" i="21" s="1"/>
  <c r="AN260" i="21" s="1"/>
  <c r="AK244" i="21"/>
  <c r="AL244" i="21" s="1"/>
  <c r="AN244" i="21" s="1"/>
  <c r="AK236" i="21"/>
  <c r="AL236" i="21" s="1"/>
  <c r="AN236" i="21" s="1"/>
  <c r="AK228" i="21"/>
  <c r="AL228" i="21" s="1"/>
  <c r="AN228" i="21" s="1"/>
  <c r="AK220" i="21"/>
  <c r="AL220" i="21" s="1"/>
  <c r="AN220" i="21" s="1"/>
  <c r="AK196" i="21"/>
  <c r="AL196" i="21" s="1"/>
  <c r="AN196" i="21" s="1"/>
  <c r="AK188" i="21"/>
  <c r="AL188" i="21" s="1"/>
  <c r="AN188" i="21" s="1"/>
  <c r="AK180" i="21"/>
  <c r="AL180" i="21" s="1"/>
  <c r="AN180" i="21" s="1"/>
  <c r="AK172" i="21"/>
  <c r="AL172" i="21" s="1"/>
  <c r="AN172" i="21" s="1"/>
  <c r="AK164" i="21"/>
  <c r="AL164" i="21" s="1"/>
  <c r="AN164" i="21" s="1"/>
  <c r="AK156" i="21"/>
  <c r="AL156" i="21" s="1"/>
  <c r="AN156" i="21" s="1"/>
  <c r="AK148" i="21"/>
  <c r="AL148" i="21" s="1"/>
  <c r="AN148" i="21" s="1"/>
  <c r="AK140" i="21"/>
  <c r="AL140" i="21" s="1"/>
  <c r="AN140" i="21" s="1"/>
  <c r="AK124" i="21"/>
  <c r="AL124" i="21" s="1"/>
  <c r="AN124" i="21" s="1"/>
  <c r="AK116" i="21"/>
  <c r="AL116" i="21" s="1"/>
  <c r="AN116" i="21" s="1"/>
  <c r="AK108" i="21"/>
  <c r="AL108" i="21" s="1"/>
  <c r="AN108" i="21" s="1"/>
  <c r="AK92" i="21"/>
  <c r="AL92" i="21" s="1"/>
  <c r="AN92" i="21" s="1"/>
  <c r="AK1006" i="21"/>
  <c r="AL1006" i="21" s="1"/>
  <c r="AN1006" i="21" s="1"/>
  <c r="AK1107" i="21"/>
  <c r="AL1107" i="21" s="1"/>
  <c r="AN1107" i="21" s="1"/>
  <c r="AK1083" i="21"/>
  <c r="AL1083" i="21" s="1"/>
  <c r="AN1083" i="21" s="1"/>
  <c r="AK1067" i="21"/>
  <c r="AL1067" i="21" s="1"/>
  <c r="AN1067" i="21" s="1"/>
  <c r="AK1059" i="21"/>
  <c r="AL1059" i="21" s="1"/>
  <c r="AN1059" i="21" s="1"/>
  <c r="AK1035" i="21"/>
  <c r="AL1035" i="21" s="1"/>
  <c r="AN1035" i="21" s="1"/>
  <c r="AK1027" i="21"/>
  <c r="AL1027" i="21" s="1"/>
  <c r="AN1027" i="21" s="1"/>
  <c r="AK1003" i="21"/>
  <c r="AL1003" i="21" s="1"/>
  <c r="AN1003" i="21" s="1"/>
  <c r="AK995" i="21"/>
  <c r="AL995" i="21" s="1"/>
  <c r="AN995" i="21" s="1"/>
  <c r="AK987" i="21"/>
  <c r="AL987" i="21" s="1"/>
  <c r="AN987" i="21" s="1"/>
  <c r="AK979" i="21"/>
  <c r="AL979" i="21" s="1"/>
  <c r="AN979" i="21" s="1"/>
  <c r="AK971" i="21"/>
  <c r="AL971" i="21" s="1"/>
  <c r="AN971" i="21" s="1"/>
  <c r="AK963" i="21"/>
  <c r="AL963" i="21" s="1"/>
  <c r="AN963" i="21" s="1"/>
  <c r="AK939" i="21"/>
  <c r="AL939" i="21" s="1"/>
  <c r="AN939" i="21" s="1"/>
  <c r="AK931" i="21"/>
  <c r="AL931" i="21" s="1"/>
  <c r="AN931" i="21" s="1"/>
  <c r="AK915" i="21"/>
  <c r="AL915" i="21" s="1"/>
  <c r="AN915" i="21" s="1"/>
  <c r="AK899" i="21"/>
  <c r="AL899" i="21" s="1"/>
  <c r="AN899" i="21" s="1"/>
  <c r="AK891" i="21"/>
  <c r="AL891" i="21" s="1"/>
  <c r="AN891" i="21" s="1"/>
  <c r="AK883" i="21"/>
  <c r="AL883" i="21" s="1"/>
  <c r="AN883" i="21" s="1"/>
  <c r="AK867" i="21"/>
  <c r="AL867" i="21" s="1"/>
  <c r="AN867" i="21" s="1"/>
  <c r="AK851" i="21"/>
  <c r="AL851" i="21" s="1"/>
  <c r="AN851" i="21" s="1"/>
  <c r="AK843" i="21"/>
  <c r="AL843" i="21" s="1"/>
  <c r="AN843" i="21" s="1"/>
  <c r="AK835" i="21"/>
  <c r="AL835" i="21" s="1"/>
  <c r="AN835" i="21" s="1"/>
  <c r="AK827" i="21"/>
  <c r="AL827" i="21" s="1"/>
  <c r="AN827" i="21" s="1"/>
  <c r="AK819" i="21"/>
  <c r="AL819" i="21" s="1"/>
  <c r="AN819" i="21" s="1"/>
  <c r="AK795" i="21"/>
  <c r="AL795" i="21" s="1"/>
  <c r="AN795" i="21" s="1"/>
  <c r="AK771" i="21"/>
  <c r="AL771" i="21" s="1"/>
  <c r="AN771" i="21" s="1"/>
  <c r="AK755" i="21"/>
  <c r="AL755" i="21" s="1"/>
  <c r="AN755" i="21" s="1"/>
  <c r="AK747" i="21"/>
  <c r="AL747" i="21" s="1"/>
  <c r="AN747" i="21" s="1"/>
  <c r="AK731" i="21"/>
  <c r="AL731" i="21" s="1"/>
  <c r="AN731" i="21" s="1"/>
  <c r="AK723" i="21"/>
  <c r="AL723" i="21" s="1"/>
  <c r="AN723" i="21" s="1"/>
  <c r="AK715" i="21"/>
  <c r="AL715" i="21" s="1"/>
  <c r="AN715" i="21" s="1"/>
  <c r="AK707" i="21"/>
  <c r="AL707" i="21" s="1"/>
  <c r="AN707" i="21" s="1"/>
  <c r="AK699" i="21"/>
  <c r="AL699" i="21" s="1"/>
  <c r="AN699" i="21" s="1"/>
  <c r="AK675" i="21"/>
  <c r="AL675" i="21" s="1"/>
  <c r="AN675" i="21" s="1"/>
  <c r="AK651" i="21"/>
  <c r="AL651" i="21" s="1"/>
  <c r="AN651" i="21" s="1"/>
  <c r="AK643" i="21"/>
  <c r="AL643" i="21" s="1"/>
  <c r="AN643" i="21" s="1"/>
  <c r="AK635" i="21"/>
  <c r="AL635" i="21" s="1"/>
  <c r="AN635" i="21" s="1"/>
  <c r="AK627" i="21"/>
  <c r="AL627" i="21" s="1"/>
  <c r="AN627" i="21" s="1"/>
  <c r="AK603" i="21"/>
  <c r="AL603" i="21" s="1"/>
  <c r="AN603" i="21" s="1"/>
  <c r="AK595" i="21"/>
  <c r="AL595" i="21" s="1"/>
  <c r="AN595" i="21" s="1"/>
  <c r="AK563" i="21"/>
  <c r="AL563" i="21" s="1"/>
  <c r="AN563" i="21" s="1"/>
  <c r="AK531" i="21"/>
  <c r="AL531" i="21" s="1"/>
  <c r="AN531" i="21" s="1"/>
  <c r="AK523" i="21"/>
  <c r="AL523" i="21" s="1"/>
  <c r="AN523" i="21" s="1"/>
  <c r="AK507" i="21"/>
  <c r="AL507" i="21" s="1"/>
  <c r="AN507" i="21" s="1"/>
  <c r="AK499" i="21"/>
  <c r="AL499" i="21" s="1"/>
  <c r="AN499" i="21" s="1"/>
  <c r="AK483" i="21"/>
  <c r="AL483" i="21" s="1"/>
  <c r="AN483" i="21" s="1"/>
  <c r="AK475" i="21"/>
  <c r="AL475" i="21" s="1"/>
  <c r="AN475" i="21" s="1"/>
  <c r="AK467" i="21"/>
  <c r="AL467" i="21" s="1"/>
  <c r="AN467" i="21" s="1"/>
  <c r="AK459" i="21"/>
  <c r="AL459" i="21" s="1"/>
  <c r="AN459" i="21" s="1"/>
  <c r="AK451" i="21"/>
  <c r="AL451" i="21" s="1"/>
  <c r="AN451" i="21" s="1"/>
  <c r="AK443" i="21"/>
  <c r="AL443" i="21" s="1"/>
  <c r="AN443" i="21" s="1"/>
  <c r="AK435" i="21"/>
  <c r="AL435" i="21" s="1"/>
  <c r="AN435" i="21" s="1"/>
  <c r="AK411" i="21"/>
  <c r="AL411" i="21" s="1"/>
  <c r="AN411" i="21" s="1"/>
  <c r="AK387" i="21"/>
  <c r="AL387" i="21" s="1"/>
  <c r="AN387" i="21" s="1"/>
  <c r="AK379" i="21"/>
  <c r="AL379" i="21" s="1"/>
  <c r="AN379" i="21" s="1"/>
  <c r="AK371" i="21"/>
  <c r="AL371" i="21" s="1"/>
  <c r="AN371" i="21" s="1"/>
  <c r="AK363" i="21"/>
  <c r="AL363" i="21" s="1"/>
  <c r="AN363" i="21" s="1"/>
  <c r="AK339" i="21"/>
  <c r="AL339" i="21" s="1"/>
  <c r="AN339" i="21" s="1"/>
  <c r="AK323" i="21"/>
  <c r="AL323" i="21" s="1"/>
  <c r="AN323" i="21" s="1"/>
  <c r="AK315" i="21"/>
  <c r="AL315" i="21" s="1"/>
  <c r="AN315" i="21" s="1"/>
  <c r="AK307" i="21"/>
  <c r="AL307" i="21" s="1"/>
  <c r="AN307" i="21" s="1"/>
  <c r="AK291" i="21"/>
  <c r="AL291" i="21" s="1"/>
  <c r="AN291" i="21" s="1"/>
  <c r="AK267" i="21"/>
  <c r="AL267" i="21" s="1"/>
  <c r="AN267" i="21" s="1"/>
  <c r="AK243" i="21"/>
  <c r="AL243" i="21" s="1"/>
  <c r="AN243" i="21" s="1"/>
  <c r="AK219" i="21"/>
  <c r="AL219" i="21" s="1"/>
  <c r="AN219" i="21" s="1"/>
  <c r="AK203" i="21"/>
  <c r="AL203" i="21" s="1"/>
  <c r="AN203" i="21" s="1"/>
  <c r="AK195" i="21"/>
  <c r="AL195" i="21" s="1"/>
  <c r="AN195" i="21" s="1"/>
  <c r="AK187" i="21"/>
  <c r="AL187" i="21" s="1"/>
  <c r="AN187" i="21" s="1"/>
  <c r="AK179" i="21"/>
  <c r="AL179" i="21" s="1"/>
  <c r="AN179" i="21" s="1"/>
  <c r="AK171" i="21"/>
  <c r="AL171" i="21" s="1"/>
  <c r="AN171" i="21" s="1"/>
  <c r="AK163" i="21"/>
  <c r="AL163" i="21" s="1"/>
  <c r="AN163" i="21" s="1"/>
  <c r="AK147" i="21"/>
  <c r="AL147" i="21" s="1"/>
  <c r="AN147" i="21" s="1"/>
  <c r="AK131" i="21"/>
  <c r="AL131" i="21" s="1"/>
  <c r="AN131" i="21" s="1"/>
  <c r="AK123" i="21"/>
  <c r="AL123" i="21" s="1"/>
  <c r="AN123" i="21" s="1"/>
  <c r="AK115" i="21"/>
  <c r="AL115" i="21" s="1"/>
  <c r="AN115" i="21" s="1"/>
  <c r="AK107" i="21"/>
  <c r="AL107" i="21" s="1"/>
  <c r="AN107" i="21" s="1"/>
  <c r="AK99" i="21"/>
  <c r="AL99" i="21" s="1"/>
  <c r="AN99" i="21" s="1"/>
  <c r="AK91" i="21"/>
  <c r="AL91" i="21" s="1"/>
  <c r="AN91" i="21" s="1"/>
  <c r="AK2" i="21"/>
  <c r="AL2" i="21" s="1"/>
  <c r="AK1106" i="21"/>
  <c r="AL1106" i="21" s="1"/>
  <c r="AN1106" i="21" s="1"/>
  <c r="AK1082" i="21"/>
  <c r="AL1082" i="21" s="1"/>
  <c r="AN1082" i="21" s="1"/>
  <c r="AK1074" i="21"/>
  <c r="AL1074" i="21" s="1"/>
  <c r="AN1074" i="21" s="1"/>
  <c r="AK1066" i="21"/>
  <c r="AL1066" i="21" s="1"/>
  <c r="AN1066" i="21" s="1"/>
  <c r="AK1058" i="21"/>
  <c r="AL1058" i="21" s="1"/>
  <c r="AN1058" i="21" s="1"/>
  <c r="AK1034" i="21"/>
  <c r="AL1034" i="21" s="1"/>
  <c r="AN1034" i="21" s="1"/>
  <c r="AK1010" i="21"/>
  <c r="AL1010" i="21" s="1"/>
  <c r="AN1010" i="21" s="1"/>
  <c r="AK1002" i="21"/>
  <c r="AL1002" i="21" s="1"/>
  <c r="AN1002" i="21" s="1"/>
  <c r="AK994" i="21"/>
  <c r="AL994" i="21" s="1"/>
  <c r="AN994" i="21" s="1"/>
  <c r="AK986" i="21"/>
  <c r="AL986" i="21" s="1"/>
  <c r="AN986" i="21" s="1"/>
  <c r="AK978" i="21"/>
  <c r="AL978" i="21" s="1"/>
  <c r="AN978" i="21" s="1"/>
  <c r="AK970" i="21"/>
  <c r="AL970" i="21" s="1"/>
  <c r="AN970" i="21" s="1"/>
  <c r="AK962" i="21"/>
  <c r="AL962" i="21" s="1"/>
  <c r="AN962" i="21" s="1"/>
  <c r="AK938" i="21"/>
  <c r="AL938" i="21" s="1"/>
  <c r="AN938" i="21" s="1"/>
  <c r="AK930" i="21"/>
  <c r="AL930" i="21" s="1"/>
  <c r="AN930" i="21" s="1"/>
  <c r="AK914" i="21"/>
  <c r="AL914" i="21" s="1"/>
  <c r="AN914" i="21" s="1"/>
  <c r="AK890" i="21"/>
  <c r="AL890" i="21" s="1"/>
  <c r="AN890" i="21" s="1"/>
  <c r="AK874" i="21"/>
  <c r="AL874" i="21" s="1"/>
  <c r="AN874" i="21" s="1"/>
  <c r="AK866" i="21"/>
  <c r="AL866" i="21" s="1"/>
  <c r="AN866" i="21" s="1"/>
  <c r="AK850" i="21"/>
  <c r="AL850" i="21" s="1"/>
  <c r="AN850" i="21" s="1"/>
  <c r="AK842" i="21"/>
  <c r="AL842" i="21" s="1"/>
  <c r="AN842" i="21" s="1"/>
  <c r="AK834" i="21"/>
  <c r="AL834" i="21" s="1"/>
  <c r="AN834" i="21" s="1"/>
  <c r="AK826" i="21"/>
  <c r="AL826" i="21" s="1"/>
  <c r="AN826" i="21" s="1"/>
  <c r="AK818" i="21"/>
  <c r="AL818" i="21" s="1"/>
  <c r="AN818" i="21" s="1"/>
  <c r="AK794" i="21"/>
  <c r="AL794" i="21" s="1"/>
  <c r="AN794" i="21" s="1"/>
  <c r="AK770" i="21"/>
  <c r="AL770" i="21" s="1"/>
  <c r="AN770" i="21" s="1"/>
  <c r="AK762" i="21"/>
  <c r="AL762" i="21" s="1"/>
  <c r="AN762" i="21" s="1"/>
  <c r="AK746" i="21"/>
  <c r="AL746" i="21" s="1"/>
  <c r="AN746" i="21" s="1"/>
  <c r="AK730" i="21"/>
  <c r="AL730" i="21" s="1"/>
  <c r="AN730" i="21" s="1"/>
  <c r="AK722" i="21"/>
  <c r="AL722" i="21" s="1"/>
  <c r="AN722" i="21" s="1"/>
  <c r="AK698" i="21"/>
  <c r="AL698" i="21" s="1"/>
  <c r="AN698" i="21" s="1"/>
  <c r="AK674" i="21"/>
  <c r="AL674" i="21" s="1"/>
  <c r="AN674" i="21" s="1"/>
  <c r="AK650" i="21"/>
  <c r="AL650" i="21" s="1"/>
  <c r="AN650" i="21" s="1"/>
  <c r="AK642" i="21"/>
  <c r="AL642" i="21" s="1"/>
  <c r="AN642" i="21" s="1"/>
  <c r="AK626" i="21"/>
  <c r="AL626" i="21" s="1"/>
  <c r="AN626" i="21" s="1"/>
  <c r="AK602" i="21"/>
  <c r="AL602" i="21" s="1"/>
  <c r="AN602" i="21" s="1"/>
  <c r="AK570" i="21"/>
  <c r="AL570" i="21" s="1"/>
  <c r="AN570" i="21" s="1"/>
  <c r="AK554" i="21"/>
  <c r="AL554" i="21" s="1"/>
  <c r="AN554" i="21" s="1"/>
  <c r="AK530" i="21"/>
  <c r="AL530" i="21" s="1"/>
  <c r="AN530" i="21" s="1"/>
  <c r="AK522" i="21"/>
  <c r="AL522" i="21" s="1"/>
  <c r="AN522" i="21" s="1"/>
  <c r="AK506" i="21"/>
  <c r="AL506" i="21" s="1"/>
  <c r="AN506" i="21" s="1"/>
  <c r="AK482" i="21"/>
  <c r="AL482" i="21" s="1"/>
  <c r="AN482" i="21" s="1"/>
  <c r="AK474" i="21"/>
  <c r="AL474" i="21" s="1"/>
  <c r="AN474" i="21" s="1"/>
  <c r="AK458" i="21"/>
  <c r="AL458" i="21" s="1"/>
  <c r="AN458" i="21" s="1"/>
  <c r="AK442" i="21"/>
  <c r="AL442" i="21" s="1"/>
  <c r="AN442" i="21" s="1"/>
  <c r="AK434" i="21"/>
  <c r="AL434" i="21" s="1"/>
  <c r="AN434" i="21" s="1"/>
  <c r="AK410" i="21"/>
  <c r="AL410" i="21" s="1"/>
  <c r="AN410" i="21" s="1"/>
  <c r="AK394" i="21"/>
  <c r="AL394" i="21" s="1"/>
  <c r="AN394" i="21" s="1"/>
  <c r="AK386" i="21"/>
  <c r="AL386" i="21" s="1"/>
  <c r="AN386" i="21" s="1"/>
  <c r="AK378" i="21"/>
  <c r="AL378" i="21" s="1"/>
  <c r="AN378" i="21" s="1"/>
  <c r="AK370" i="21"/>
  <c r="AL370" i="21" s="1"/>
  <c r="AN370" i="21" s="1"/>
  <c r="AK362" i="21"/>
  <c r="AL362" i="21" s="1"/>
  <c r="AN362" i="21" s="1"/>
  <c r="AK338" i="21"/>
  <c r="AL338" i="21" s="1"/>
  <c r="AK314" i="21"/>
  <c r="AL314" i="21" s="1"/>
  <c r="AN314" i="21" s="1"/>
  <c r="AK290" i="21"/>
  <c r="AL290" i="21" s="1"/>
  <c r="AN290" i="21" s="1"/>
  <c r="AK266" i="21"/>
  <c r="AL266" i="21" s="1"/>
  <c r="AN266" i="21" s="1"/>
  <c r="AK242" i="21"/>
  <c r="AL242" i="21" s="1"/>
  <c r="AN242" i="21" s="1"/>
  <c r="AK218" i="21"/>
  <c r="AL218" i="21" s="1"/>
  <c r="AN218" i="21" s="1"/>
  <c r="AK210" i="21"/>
  <c r="AL210" i="21" s="1"/>
  <c r="AN210" i="21" s="1"/>
  <c r="AK194" i="21"/>
  <c r="AL194" i="21" s="1"/>
  <c r="AN194" i="21" s="1"/>
  <c r="AK186" i="21"/>
  <c r="AL186" i="21" s="1"/>
  <c r="AN186" i="21" s="1"/>
  <c r="AK178" i="21"/>
  <c r="AL178" i="21" s="1"/>
  <c r="AN178" i="21" s="1"/>
  <c r="AK170" i="21"/>
  <c r="AL170" i="21" s="1"/>
  <c r="AN170" i="21" s="1"/>
  <c r="AK154" i="21"/>
  <c r="AL154" i="21" s="1"/>
  <c r="AN154" i="21" s="1"/>
  <c r="AK146" i="21"/>
  <c r="AL146" i="21" s="1"/>
  <c r="AN146" i="21" s="1"/>
  <c r="AK130" i="21"/>
  <c r="AL130" i="21" s="1"/>
  <c r="AN130" i="21" s="1"/>
  <c r="AK122" i="21"/>
  <c r="AL122" i="21" s="1"/>
  <c r="AN122" i="21" s="1"/>
  <c r="AK114" i="21"/>
  <c r="AL114" i="21" s="1"/>
  <c r="AN114" i="21" s="1"/>
  <c r="AK106" i="21"/>
  <c r="AL106" i="21" s="1"/>
  <c r="AN106" i="21" s="1"/>
  <c r="AK98" i="21"/>
  <c r="AL98" i="21" s="1"/>
  <c r="AN98" i="21" s="1"/>
  <c r="AK82" i="21"/>
  <c r="AL82" i="21" s="1"/>
  <c r="AN82" i="21" s="1"/>
  <c r="AK74" i="21"/>
  <c r="AL74" i="21" s="1"/>
  <c r="AN74" i="21" s="1"/>
  <c r="AK58" i="21"/>
  <c r="AL58" i="21" s="1"/>
  <c r="AN58" i="21" s="1"/>
  <c r="AK50" i="21"/>
  <c r="AL50" i="21" s="1"/>
  <c r="AN50" i="21" s="1"/>
  <c r="AK42" i="21"/>
  <c r="AL42" i="21" s="1"/>
  <c r="AN42" i="21" s="1"/>
  <c r="AK26" i="21"/>
  <c r="AL26" i="21" s="1"/>
  <c r="AK1112" i="21"/>
  <c r="AL1112" i="21" s="1"/>
  <c r="AN1112" i="21" s="1"/>
  <c r="AK1104" i="21"/>
  <c r="AL1104" i="21" s="1"/>
  <c r="AK1080" i="21"/>
  <c r="AL1080" i="21" s="1"/>
  <c r="AN1080" i="21" s="1"/>
  <c r="AK1048" i="21"/>
  <c r="AL1048" i="21" s="1"/>
  <c r="AN1048" i="21" s="1"/>
  <c r="AK1032" i="21"/>
  <c r="AL1032" i="21" s="1"/>
  <c r="AN1032" i="21" s="1"/>
  <c r="AK1024" i="21"/>
  <c r="AL1024" i="21" s="1"/>
  <c r="AN1024" i="21" s="1"/>
  <c r="AK1016" i="21"/>
  <c r="AL1016" i="21" s="1"/>
  <c r="AN1016" i="21" s="1"/>
  <c r="AK1008" i="21"/>
  <c r="AL1008" i="21" s="1"/>
  <c r="AN1008" i="21" s="1"/>
  <c r="AK984" i="21"/>
  <c r="AL984" i="21" s="1"/>
  <c r="AN984" i="21" s="1"/>
  <c r="AK960" i="21"/>
  <c r="AL960" i="21" s="1"/>
  <c r="AN960" i="21" s="1"/>
  <c r="AK952" i="21"/>
  <c r="AL952" i="21" s="1"/>
  <c r="AN952" i="21" s="1"/>
  <c r="AK936" i="21"/>
  <c r="AL936" i="21" s="1"/>
  <c r="AN936" i="21" s="1"/>
  <c r="AK920" i="21"/>
  <c r="AL920" i="21" s="1"/>
  <c r="AN920" i="21" s="1"/>
  <c r="AK896" i="21"/>
  <c r="AL896" i="21" s="1"/>
  <c r="AN896" i="21" s="1"/>
  <c r="AK888" i="21"/>
  <c r="AL888" i="21" s="1"/>
  <c r="AN888" i="21" s="1"/>
  <c r="AK880" i="21"/>
  <c r="AL880" i="21" s="1"/>
  <c r="AN880" i="21" s="1"/>
  <c r="AK856" i="21"/>
  <c r="AL856" i="21" s="1"/>
  <c r="AN856" i="21" s="1"/>
  <c r="AK848" i="21"/>
  <c r="AL848" i="21" s="1"/>
  <c r="AN848" i="21" s="1"/>
  <c r="AK840" i="21"/>
  <c r="AL840" i="21" s="1"/>
  <c r="AN840" i="21" s="1"/>
  <c r="AK832" i="21"/>
  <c r="AL832" i="21" s="1"/>
  <c r="AN832" i="21" s="1"/>
  <c r="AK824" i="21"/>
  <c r="AL824" i="21" s="1"/>
  <c r="AN824" i="21" s="1"/>
  <c r="AK800" i="21"/>
  <c r="AL800" i="21" s="1"/>
  <c r="AN800" i="21" s="1"/>
  <c r="AK792" i="21"/>
  <c r="AL792" i="21" s="1"/>
  <c r="AN792" i="21" s="1"/>
  <c r="AK784" i="21"/>
  <c r="AL784" i="21" s="1"/>
  <c r="AN784" i="21" s="1"/>
  <c r="AK776" i="21"/>
  <c r="AL776" i="21" s="1"/>
  <c r="AN776" i="21" s="1"/>
  <c r="AK752" i="21"/>
  <c r="AL752" i="21" s="1"/>
  <c r="AN752" i="21" s="1"/>
  <c r="AK720" i="21"/>
  <c r="AL720" i="21" s="1"/>
  <c r="AK704" i="21"/>
  <c r="AL704" i="21" s="1"/>
  <c r="AN704" i="21" s="1"/>
  <c r="AK696" i="21"/>
  <c r="AL696" i="21" s="1"/>
  <c r="AN696" i="21" s="1"/>
  <c r="AK688" i="21"/>
  <c r="AL688" i="21" s="1"/>
  <c r="AN688" i="21" s="1"/>
  <c r="AK640" i="21"/>
  <c r="AL640" i="21" s="1"/>
  <c r="AN640" i="21" s="1"/>
  <c r="AK608" i="21"/>
  <c r="AL608" i="21" s="1"/>
  <c r="AN608" i="21" s="1"/>
  <c r="AK576" i="21"/>
  <c r="AL576" i="21" s="1"/>
  <c r="AN576" i="21" s="1"/>
  <c r="AK560" i="21"/>
  <c r="AL560" i="21" s="1"/>
  <c r="AN560" i="21" s="1"/>
  <c r="AK544" i="21"/>
  <c r="AL544" i="21" s="1"/>
  <c r="AN544" i="21" s="1"/>
  <c r="AK512" i="21"/>
  <c r="AL512" i="21" s="1"/>
  <c r="AN512" i="21" s="1"/>
  <c r="AK504" i="21"/>
  <c r="AL504" i="21" s="1"/>
  <c r="AN504" i="21" s="1"/>
  <c r="AK488" i="21"/>
  <c r="AL488" i="21" s="1"/>
  <c r="AN488" i="21" s="1"/>
  <c r="AK472" i="21"/>
  <c r="AL472" i="21" s="1"/>
  <c r="AN472" i="21" s="1"/>
  <c r="AK440" i="21"/>
  <c r="AL440" i="21" s="1"/>
  <c r="AN440" i="21" s="1"/>
  <c r="AK408" i="21"/>
  <c r="AL408" i="21" s="1"/>
  <c r="AN408" i="21" s="1"/>
  <c r="AK400" i="21"/>
  <c r="AL400" i="21" s="1"/>
  <c r="AN400" i="21" s="1"/>
  <c r="AK392" i="21"/>
  <c r="AL392" i="21" s="1"/>
  <c r="AN392" i="21" s="1"/>
  <c r="AK384" i="21"/>
  <c r="AL384" i="21" s="1"/>
  <c r="AN384" i="21" s="1"/>
  <c r="AK376" i="21"/>
  <c r="AL376" i="21" s="1"/>
  <c r="AN376" i="21" s="1"/>
  <c r="AK360" i="21"/>
  <c r="AL360" i="21" s="1"/>
  <c r="AN360" i="21" s="1"/>
  <c r="AK328" i="21"/>
  <c r="AL328" i="21" s="1"/>
  <c r="AN328" i="21" s="1"/>
  <c r="AK296" i="21"/>
  <c r="AL296" i="21" s="1"/>
  <c r="AN296" i="21" s="1"/>
  <c r="AK272" i="21"/>
  <c r="AL272" i="21" s="1"/>
  <c r="AN272" i="21" s="1"/>
  <c r="AK256" i="21"/>
  <c r="AL256" i="21" s="1"/>
  <c r="AN256" i="21" s="1"/>
  <c r="AK224" i="21"/>
  <c r="AL224" i="21" s="1"/>
  <c r="AN224" i="21" s="1"/>
  <c r="AK200" i="21"/>
  <c r="AL200" i="21" s="1"/>
  <c r="AN200" i="21" s="1"/>
  <c r="AK192" i="21"/>
  <c r="AL192" i="21" s="1"/>
  <c r="AN192" i="21" s="1"/>
  <c r="AK184" i="21"/>
  <c r="AL184" i="21" s="1"/>
  <c r="AN184" i="21" s="1"/>
  <c r="AK160" i="21"/>
  <c r="AL160" i="21" s="1"/>
  <c r="AN160" i="21" s="1"/>
  <c r="AK152" i="21"/>
  <c r="AL152" i="21" s="1"/>
  <c r="AN152" i="21" s="1"/>
  <c r="AK128" i="21"/>
  <c r="AL128" i="21" s="1"/>
  <c r="AN128" i="21" s="1"/>
  <c r="AK120" i="21"/>
  <c r="AL120" i="21" s="1"/>
  <c r="AN120" i="21" s="1"/>
  <c r="AK112" i="21"/>
  <c r="AL112" i="21" s="1"/>
  <c r="AN112" i="21" s="1"/>
  <c r="AK96" i="21"/>
  <c r="AL96" i="21" s="1"/>
  <c r="AN96" i="21" s="1"/>
  <c r="AK88" i="21"/>
  <c r="AL88" i="21" s="1"/>
  <c r="AN88" i="21" s="1"/>
  <c r="AK80" i="21"/>
  <c r="AL80" i="21" s="1"/>
  <c r="AN80" i="21" s="1"/>
  <c r="AK64" i="21"/>
  <c r="AL64" i="21" s="1"/>
  <c r="AN64" i="21" s="1"/>
  <c r="AK56" i="21"/>
  <c r="AL56" i="21" s="1"/>
  <c r="AN56" i="21" s="1"/>
  <c r="AK48" i="21"/>
  <c r="AL48" i="21" s="1"/>
  <c r="AN48" i="21" s="1"/>
  <c r="AK32" i="21"/>
  <c r="AL32" i="21" s="1"/>
  <c r="AN32" i="21" s="1"/>
  <c r="AK24" i="21"/>
  <c r="AL24" i="21" s="1"/>
  <c r="AK16" i="21"/>
  <c r="AL16" i="21" s="1"/>
  <c r="AK8" i="21"/>
  <c r="AL8" i="21" s="1"/>
  <c r="AK110" i="21"/>
  <c r="AL110" i="21" s="1"/>
  <c r="AN110" i="21" s="1"/>
  <c r="AK102" i="21"/>
  <c r="AL102" i="21" s="1"/>
  <c r="AN102" i="21" s="1"/>
  <c r="AK94" i="21"/>
  <c r="AL94" i="21" s="1"/>
  <c r="AN94" i="21" s="1"/>
  <c r="AK86" i="21"/>
  <c r="AL86" i="21" s="1"/>
  <c r="AN86" i="21" s="1"/>
  <c r="AK78" i="21"/>
  <c r="AL78" i="21" s="1"/>
  <c r="AN78" i="21" s="1"/>
  <c r="AK70" i="21"/>
  <c r="AL70" i="21" s="1"/>
  <c r="AN70" i="21" s="1"/>
  <c r="AK54" i="21"/>
  <c r="AL54" i="21" s="1"/>
  <c r="AN54" i="21" s="1"/>
  <c r="AK30" i="21"/>
  <c r="AL30" i="21" s="1"/>
  <c r="AN30" i="21" s="1"/>
  <c r="AK22" i="21"/>
  <c r="AL22" i="21" s="1"/>
  <c r="AK6" i="21"/>
  <c r="AL6" i="21" s="1"/>
  <c r="AK84" i="21"/>
  <c r="AL84" i="21" s="1"/>
  <c r="AN84" i="21" s="1"/>
  <c r="AK76" i="21"/>
  <c r="AL76" i="21" s="1"/>
  <c r="AN76" i="21" s="1"/>
  <c r="AK68" i="21"/>
  <c r="AL68" i="21" s="1"/>
  <c r="AN68" i="21" s="1"/>
  <c r="AK52" i="21"/>
  <c r="AL52" i="21" s="1"/>
  <c r="AN52" i="21" s="1"/>
  <c r="AK44" i="21"/>
  <c r="AL44" i="21" s="1"/>
  <c r="AN44" i="21" s="1"/>
  <c r="AK28" i="21"/>
  <c r="AL28" i="21" s="1"/>
  <c r="AN28" i="21" s="1"/>
  <c r="AK20" i="21"/>
  <c r="AL20" i="21" s="1"/>
  <c r="AK59" i="21"/>
  <c r="AL59" i="21" s="1"/>
  <c r="AN59" i="21" s="1"/>
  <c r="AK51" i="21"/>
  <c r="AL51" i="21" s="1"/>
  <c r="AN51" i="21" s="1"/>
  <c r="AK27" i="21"/>
  <c r="AL27" i="21" s="1"/>
  <c r="AN27" i="21" s="1"/>
  <c r="AK19" i="21"/>
  <c r="AL19" i="21" s="1"/>
  <c r="AK11" i="21"/>
  <c r="AL11" i="21" s="1"/>
  <c r="AK3" i="21"/>
  <c r="AL3" i="21" s="1"/>
  <c r="AK75" i="21"/>
  <c r="AL75" i="21" s="1"/>
  <c r="AN75" i="21" s="1"/>
  <c r="S45" i="24"/>
  <c r="S42" i="24"/>
  <c r="P45" i="24"/>
  <c r="P18" i="24"/>
  <c r="P9" i="24"/>
  <c r="S33" i="24"/>
  <c r="S32" i="24"/>
  <c r="S23" i="24"/>
  <c r="S4" i="24"/>
  <c r="S16" i="24"/>
  <c r="S28" i="24"/>
  <c r="AK206" i="21" l="1"/>
  <c r="AL206" i="21" s="1"/>
  <c r="AN206" i="21" s="1"/>
  <c r="AK515" i="21"/>
  <c r="AL515" i="21" s="1"/>
  <c r="AN515" i="21" s="1"/>
  <c r="AJ662" i="21"/>
  <c r="AJ199" i="21"/>
  <c r="AK145" i="21"/>
  <c r="AL145" i="21" s="1"/>
  <c r="AN145" i="21" s="1"/>
  <c r="AJ617" i="21"/>
  <c r="AK430" i="21"/>
  <c r="AL430" i="21" s="1"/>
  <c r="AN430" i="21" s="1"/>
  <c r="AK947" i="21"/>
  <c r="AL947" i="21" s="1"/>
  <c r="AN947" i="21" s="1"/>
  <c r="AK854" i="21"/>
  <c r="AL854" i="21" s="1"/>
  <c r="AN854" i="21" s="1"/>
  <c r="AK455" i="21"/>
  <c r="AL455" i="21" s="1"/>
  <c r="AN455" i="21" s="1"/>
  <c r="AJ46" i="21"/>
  <c r="AK238" i="21"/>
  <c r="AL238" i="21" s="1"/>
  <c r="AN238" i="21" s="1"/>
  <c r="AK950" i="21"/>
  <c r="AL950" i="21" s="1"/>
  <c r="AN950" i="21" s="1"/>
  <c r="AK811" i="21"/>
  <c r="AL811" i="21" s="1"/>
  <c r="AN811" i="21" s="1"/>
  <c r="AL57" i="21"/>
  <c r="AN57" i="21" s="1"/>
  <c r="AK803" i="21"/>
  <c r="AL803" i="21" s="1"/>
  <c r="AN803" i="21" s="1"/>
  <c r="AK782" i="21"/>
  <c r="AL782" i="21" s="1"/>
  <c r="AN782" i="21" s="1"/>
  <c r="AK624" i="21"/>
  <c r="AL624" i="21" s="1"/>
  <c r="AN624" i="21" s="1"/>
  <c r="AK38" i="21"/>
  <c r="AL38" i="21" s="1"/>
  <c r="AN38" i="21" s="1"/>
  <c r="AK230" i="21"/>
  <c r="AL230" i="21" s="1"/>
  <c r="AN230" i="21" s="1"/>
  <c r="AK590" i="21"/>
  <c r="AL590" i="21" s="1"/>
  <c r="AN590" i="21" s="1"/>
  <c r="AJ654" i="21"/>
  <c r="AJ863" i="21"/>
  <c r="AJ686" i="21"/>
  <c r="AJ878" i="21"/>
  <c r="AJ551" i="21"/>
  <c r="AK622" i="21"/>
  <c r="AL622" i="21" s="1"/>
  <c r="AN622" i="21" s="1"/>
  <c r="AK895" i="21"/>
  <c r="AL895" i="21" s="1"/>
  <c r="AN895" i="21" s="1"/>
  <c r="AJ753" i="21"/>
  <c r="AJ889" i="21"/>
  <c r="AJ1055" i="21"/>
  <c r="AJ359" i="21"/>
  <c r="AJ1075" i="21"/>
  <c r="AK312" i="21"/>
  <c r="AL312" i="21" s="1"/>
  <c r="AN312" i="21" s="1"/>
  <c r="AJ898" i="21"/>
  <c r="AJ258" i="21"/>
  <c r="AJ490" i="21"/>
  <c r="AK808" i="21"/>
  <c r="AL808" i="21" s="1"/>
  <c r="AN808" i="21" s="1"/>
  <c r="AK1064" i="21"/>
  <c r="AL1064" i="21" s="1"/>
  <c r="AN1064" i="21" s="1"/>
  <c r="AK620" i="21"/>
  <c r="AL620" i="21" s="1"/>
  <c r="AN620" i="21" s="1"/>
  <c r="AJ420" i="21"/>
  <c r="AJ240" i="21"/>
  <c r="AJ162" i="21"/>
  <c r="AJ1042" i="21"/>
  <c r="AJ580" i="21"/>
  <c r="AJ872" i="21"/>
  <c r="AK1000" i="21"/>
  <c r="AL1000" i="21" s="1"/>
  <c r="AN1000" i="21" s="1"/>
  <c r="AK904" i="21"/>
  <c r="AL904" i="21" s="1"/>
  <c r="AN904" i="21" s="1"/>
  <c r="AK324" i="21"/>
  <c r="AL324" i="21" s="1"/>
  <c r="AN324" i="21" s="1"/>
  <c r="AK804" i="21"/>
  <c r="AL804" i="21" s="1"/>
  <c r="AN804" i="21" s="1"/>
  <c r="AJ298" i="21"/>
  <c r="AJ176" i="21"/>
  <c r="AJ664" i="21"/>
  <c r="AK1128" i="21"/>
  <c r="AL1128" i="21" s="1"/>
  <c r="AN1128" i="21" s="1"/>
  <c r="AJ330" i="21"/>
  <c r="AJ586" i="21"/>
  <c r="AK295" i="21"/>
  <c r="AL295" i="21" s="1"/>
  <c r="AN295" i="21" s="1"/>
  <c r="AK615" i="21"/>
  <c r="AL615" i="21" s="1"/>
  <c r="AN615" i="21" s="1"/>
  <c r="AJ71" i="21"/>
  <c r="AJ423" i="21"/>
  <c r="AJ694" i="21"/>
  <c r="AJ103" i="21"/>
  <c r="AJ167" i="21"/>
  <c r="AJ302" i="21"/>
  <c r="AK903" i="21"/>
  <c r="AL903" i="21" s="1"/>
  <c r="AN903" i="21" s="1"/>
  <c r="AJ1125" i="21"/>
  <c r="AJ391" i="21"/>
  <c r="AJ633" i="21"/>
  <c r="AJ805" i="21"/>
  <c r="AK671" i="21"/>
  <c r="AL671" i="21" s="1"/>
  <c r="AN671" i="21" s="1"/>
  <c r="AK250" i="21"/>
  <c r="AL250" i="21" s="1"/>
  <c r="AN250" i="21" s="1"/>
  <c r="AK248" i="21"/>
  <c r="AL248" i="21" s="1"/>
  <c r="AN248" i="21" s="1"/>
  <c r="AK1060" i="21"/>
  <c r="AL1060" i="21" s="1"/>
  <c r="AN1060" i="21" s="1"/>
  <c r="AK287" i="21"/>
  <c r="AL287" i="21" s="1"/>
  <c r="AN287" i="21" s="1"/>
  <c r="AJ1049" i="21"/>
  <c r="AJ944" i="21"/>
  <c r="AJ976" i="21"/>
  <c r="AK252" i="21"/>
  <c r="AL252" i="21" s="1"/>
  <c r="AN252" i="21" s="1"/>
  <c r="AJ467" i="21"/>
  <c r="AJ492" i="21"/>
  <c r="AJ812" i="21"/>
  <c r="AJ216" i="21"/>
  <c r="AJ816" i="21"/>
  <c r="AJ763" i="21"/>
  <c r="AJ369" i="21"/>
  <c r="AK464" i="21"/>
  <c r="AL464" i="21" s="1"/>
  <c r="AN464" i="21" s="1"/>
  <c r="AK672" i="21"/>
  <c r="AL672" i="21" s="1"/>
  <c r="AN672" i="21" s="1"/>
  <c r="AK912" i="21"/>
  <c r="AL912" i="21" s="1"/>
  <c r="AN912" i="21" s="1"/>
  <c r="AK954" i="21"/>
  <c r="AL954" i="21" s="1"/>
  <c r="AN954" i="21" s="1"/>
  <c r="AK691" i="21"/>
  <c r="AL691" i="21" s="1"/>
  <c r="AN691" i="21" s="1"/>
  <c r="AK73" i="21"/>
  <c r="AL73" i="21" s="1"/>
  <c r="AN73" i="21" s="1"/>
  <c r="AJ882" i="21"/>
  <c r="AJ909" i="21"/>
  <c r="AJ767" i="21"/>
  <c r="AJ432" i="21"/>
  <c r="AJ536" i="21"/>
  <c r="AJ1040" i="21"/>
  <c r="AK1072" i="21"/>
  <c r="AL1072" i="21" s="1"/>
  <c r="AN1072" i="21" s="1"/>
  <c r="AK450" i="21"/>
  <c r="AL450" i="21" s="1"/>
  <c r="AN450" i="21" s="1"/>
  <c r="AJ233" i="21"/>
  <c r="AJ546" i="21"/>
  <c r="AJ280" i="21"/>
  <c r="AK632" i="21"/>
  <c r="AL632" i="21" s="1"/>
  <c r="AN632" i="21" s="1"/>
  <c r="AK744" i="21"/>
  <c r="AL744" i="21" s="1"/>
  <c r="AN744" i="21" s="1"/>
  <c r="AK575" i="21"/>
  <c r="AL575" i="21" s="1"/>
  <c r="AN575" i="21" s="1"/>
  <c r="AJ577" i="21"/>
  <c r="AJ285" i="21"/>
  <c r="AK514" i="21"/>
  <c r="AL514" i="21" s="1"/>
  <c r="AN514" i="21" s="1"/>
  <c r="AK337" i="21"/>
  <c r="AL337" i="21" s="1"/>
  <c r="AN337" i="21" s="1"/>
  <c r="AK621" i="21"/>
  <c r="AL621" i="21" s="1"/>
  <c r="AN621" i="21" s="1"/>
  <c r="AK817" i="21"/>
  <c r="AL817" i="21" s="1"/>
  <c r="AN817" i="21" s="1"/>
  <c r="AK1105" i="21"/>
  <c r="AL1105" i="21" s="1"/>
  <c r="AN1105" i="21" s="1"/>
  <c r="AJ545" i="21"/>
  <c r="AJ418" i="21"/>
  <c r="AJ706" i="21"/>
  <c r="AJ876" i="21"/>
  <c r="AK322" i="21"/>
  <c r="AL322" i="21" s="1"/>
  <c r="AN322" i="21" s="1"/>
  <c r="AK265" i="21"/>
  <c r="AL265" i="21" s="1"/>
  <c r="AN265" i="21" s="1"/>
  <c r="AK505" i="21"/>
  <c r="AL505" i="21" s="1"/>
  <c r="AN505" i="21" s="1"/>
  <c r="AJ673" i="21"/>
  <c r="AJ745" i="21"/>
  <c r="AJ777" i="21"/>
  <c r="AJ1041" i="21"/>
  <c r="AJ282" i="21"/>
  <c r="AJ922" i="21"/>
  <c r="AJ300" i="21"/>
  <c r="AJ396" i="21"/>
  <c r="AJ956" i="21"/>
  <c r="AJ653" i="21"/>
  <c r="AK813" i="21"/>
  <c r="AL813" i="21" s="1"/>
  <c r="AN813" i="21" s="1"/>
  <c r="AJ169" i="21"/>
  <c r="AJ18" i="21"/>
  <c r="AJ660" i="21"/>
  <c r="AJ157" i="21"/>
  <c r="AJ453" i="21"/>
  <c r="AJ589" i="21"/>
  <c r="AJ749" i="21"/>
  <c r="AM351" i="21"/>
  <c r="AU351" i="21" s="1"/>
  <c r="AN351" i="21"/>
  <c r="AM1087" i="21"/>
  <c r="AU1087" i="21" s="1"/>
  <c r="AN1087" i="21"/>
  <c r="AM720" i="21"/>
  <c r="AU720" i="21" s="1"/>
  <c r="AN720" i="21"/>
  <c r="AM338" i="21"/>
  <c r="AU338" i="21" s="1"/>
  <c r="AN338" i="21"/>
  <c r="AM1104" i="21"/>
  <c r="AU1104" i="21" s="1"/>
  <c r="AN1104" i="21"/>
  <c r="AM1089" i="21"/>
  <c r="AU1089" i="21" s="1"/>
  <c r="AN1089" i="21"/>
  <c r="AM349" i="21"/>
  <c r="AU349" i="21" s="1"/>
  <c r="AN349" i="21"/>
  <c r="AJ12" i="21"/>
  <c r="AJ275" i="21"/>
  <c r="AJ414" i="21"/>
  <c r="AJ211" i="21"/>
  <c r="AJ158" i="21"/>
  <c r="AJ571" i="21"/>
  <c r="AK264" i="21"/>
  <c r="AL264" i="21" s="1"/>
  <c r="AN264" i="21" s="1"/>
  <c r="AK616" i="21"/>
  <c r="AL616" i="21" s="1"/>
  <c r="AN616" i="21" s="1"/>
  <c r="AK431" i="21"/>
  <c r="AL431" i="21" s="1"/>
  <c r="AK448" i="21"/>
  <c r="AL448" i="21" s="1"/>
  <c r="AN448" i="21" s="1"/>
  <c r="AK900" i="21"/>
  <c r="AL900" i="21" s="1"/>
  <c r="AN900" i="21" s="1"/>
  <c r="AK104" i="21"/>
  <c r="AL104" i="21" s="1"/>
  <c r="AN104" i="21" s="1"/>
  <c r="AK815" i="21"/>
  <c r="AL815" i="21" s="1"/>
  <c r="AN815" i="21" s="1"/>
  <c r="AK232" i="21"/>
  <c r="AL232" i="21" s="1"/>
  <c r="AN232" i="21" s="1"/>
  <c r="AK480" i="21"/>
  <c r="AL480" i="21" s="1"/>
  <c r="AN480" i="21" s="1"/>
  <c r="AK623" i="21"/>
  <c r="AL623" i="21" s="1"/>
  <c r="AN623" i="21" s="1"/>
  <c r="AK495" i="21"/>
  <c r="AL495" i="21" s="1"/>
  <c r="AN495" i="21" s="1"/>
  <c r="AJ520" i="21"/>
  <c r="AK143" i="21"/>
  <c r="AL143" i="21" s="1"/>
  <c r="AN143" i="21" s="1"/>
  <c r="AK100" i="21"/>
  <c r="AL100" i="21" s="1"/>
  <c r="AN100" i="21" s="1"/>
  <c r="AK237" i="21"/>
  <c r="AL237" i="21" s="1"/>
  <c r="AN237" i="21" s="1"/>
  <c r="AK957" i="21"/>
  <c r="AL957" i="21" s="1"/>
  <c r="AN957" i="21" s="1"/>
  <c r="AJ584" i="21"/>
  <c r="AJ1056" i="21"/>
  <c r="AK168" i="21"/>
  <c r="AL168" i="21" s="1"/>
  <c r="AN168" i="21" s="1"/>
  <c r="AK552" i="21"/>
  <c r="AL552" i="21" s="1"/>
  <c r="AN552" i="21" s="1"/>
  <c r="AK239" i="21"/>
  <c r="AL239" i="21" s="1"/>
  <c r="AN239" i="21" s="1"/>
  <c r="AK336" i="21"/>
  <c r="AL336" i="21" s="1"/>
  <c r="AN336" i="21" s="1"/>
  <c r="AK864" i="21"/>
  <c r="AL864" i="21" s="1"/>
  <c r="AN864" i="21" s="1"/>
  <c r="AK45" i="21"/>
  <c r="AL45" i="21" s="1"/>
  <c r="AN45" i="21" s="1"/>
  <c r="AK1053" i="21"/>
  <c r="AL1053" i="21" s="1"/>
  <c r="AN1053" i="21" s="1"/>
  <c r="AK204" i="21"/>
  <c r="AL204" i="21" s="1"/>
  <c r="AK540" i="21"/>
  <c r="AL540" i="21" s="1"/>
  <c r="AN540" i="21" s="1"/>
  <c r="AK47" i="21"/>
  <c r="AL47" i="21" s="1"/>
  <c r="AN47" i="21" s="1"/>
  <c r="AJ202" i="21"/>
  <c r="AJ205" i="21"/>
  <c r="AJ541" i="21"/>
  <c r="AJ687" i="21"/>
  <c r="AJ594" i="21"/>
  <c r="AJ268" i="21"/>
  <c r="AJ301" i="21"/>
  <c r="AJ760" i="21"/>
  <c r="AJ1120" i="21"/>
  <c r="AJ925" i="21"/>
  <c r="AJ655" i="21"/>
  <c r="AJ40" i="21"/>
  <c r="AJ591" i="21"/>
  <c r="AJ136" i="21"/>
  <c r="AJ304" i="21"/>
  <c r="AJ728" i="21"/>
  <c r="AJ928" i="21"/>
  <c r="AJ1085" i="21"/>
  <c r="AJ139" i="21"/>
  <c r="AJ1011" i="21"/>
  <c r="AJ598" i="21"/>
  <c r="AJ67" i="21"/>
  <c r="AJ539" i="21"/>
  <c r="AJ366" i="21"/>
  <c r="AK427" i="21"/>
  <c r="AL427" i="21" s="1"/>
  <c r="AN427" i="21" s="1"/>
  <c r="AJ395" i="21"/>
  <c r="AJ779" i="21"/>
  <c r="AJ923" i="21"/>
  <c r="AJ1123" i="21"/>
  <c r="AK497" i="21"/>
  <c r="AL497" i="21" s="1"/>
  <c r="AN497" i="21" s="1"/>
  <c r="AJ227" i="21"/>
  <c r="AJ299" i="21"/>
  <c r="AK619" i="21"/>
  <c r="AL619" i="21" s="1"/>
  <c r="AN619" i="21" s="1"/>
  <c r="AJ683" i="21"/>
  <c r="AJ1091" i="21"/>
  <c r="AJ259" i="21"/>
  <c r="AJ1026" i="21"/>
  <c r="AJ1122" i="21"/>
  <c r="AK802" i="21"/>
  <c r="AL802" i="21" s="1"/>
  <c r="AN802" i="21" s="1"/>
  <c r="AK769" i="21"/>
  <c r="AL769" i="21" s="1"/>
  <c r="AN769" i="21" s="1"/>
  <c r="AK634" i="21"/>
  <c r="AL634" i="21" s="1"/>
  <c r="AN634" i="21" s="1"/>
  <c r="AK65" i="21"/>
  <c r="AL65" i="21" s="1"/>
  <c r="AN65" i="21" s="1"/>
  <c r="AK665" i="21"/>
  <c r="AL665" i="21" s="1"/>
  <c r="AN665" i="21" s="1"/>
  <c r="AJ1129" i="21"/>
  <c r="AJ538" i="21"/>
  <c r="AK346" i="21"/>
  <c r="AL346" i="21" s="1"/>
  <c r="AN346" i="21" s="1"/>
  <c r="AJ313" i="21"/>
  <c r="AJ426" i="21"/>
  <c r="AJ49" i="21"/>
  <c r="AJ433" i="21"/>
  <c r="AJ762" i="21"/>
  <c r="AJ537" i="21"/>
  <c r="AK908" i="21"/>
  <c r="AL908" i="21" s="1"/>
  <c r="AN908" i="21" s="1"/>
  <c r="AJ625" i="21"/>
  <c r="AJ1121" i="21"/>
  <c r="AJ34" i="21"/>
  <c r="AJ754" i="21"/>
  <c r="AJ355" i="21"/>
  <c r="AJ579" i="21"/>
  <c r="AJ611" i="21"/>
  <c r="AJ949" i="21"/>
  <c r="AK913" i="21"/>
  <c r="AL913" i="21" s="1"/>
  <c r="AN913" i="21" s="1"/>
  <c r="AJ465" i="21"/>
  <c r="AJ151" i="21"/>
  <c r="AJ592" i="21"/>
  <c r="AK865" i="21"/>
  <c r="AL865" i="21" s="1"/>
  <c r="AN865" i="21" s="1"/>
  <c r="AJ593" i="21"/>
  <c r="AJ705" i="21"/>
  <c r="AJ66" i="21"/>
  <c r="AJ402" i="21"/>
  <c r="AK949" i="21"/>
  <c r="AL949" i="21" s="1"/>
  <c r="AN949" i="21" s="1"/>
  <c r="AJ466" i="21"/>
  <c r="AJ429" i="21"/>
  <c r="AK906" i="21"/>
  <c r="AL906" i="21" s="1"/>
  <c r="AK251" i="21"/>
  <c r="AL251" i="21" s="1"/>
  <c r="AN251" i="21" s="1"/>
  <c r="AK1051" i="21"/>
  <c r="AL1051" i="21" s="1"/>
  <c r="AN1051" i="21" s="1"/>
  <c r="AK1057" i="21"/>
  <c r="AL1057" i="21" s="1"/>
  <c r="AN1057" i="21" s="1"/>
  <c r="AJ969" i="21"/>
  <c r="AK34" i="21"/>
  <c r="AL34" i="21" s="1"/>
  <c r="AJ25" i="21"/>
  <c r="AJ289" i="21"/>
  <c r="AJ234" i="21"/>
  <c r="AK1050" i="21"/>
  <c r="AL1050" i="21" s="1"/>
  <c r="AN1050" i="21" s="1"/>
  <c r="AK858" i="21"/>
  <c r="AL858" i="21" s="1"/>
  <c r="AJ138" i="21"/>
  <c r="AJ786" i="21"/>
  <c r="AJ629" i="21"/>
  <c r="AK754" i="21"/>
  <c r="AL754" i="21" s="1"/>
  <c r="AN754" i="21" s="1"/>
  <c r="AK355" i="21"/>
  <c r="AL355" i="21" s="1"/>
  <c r="AK597" i="21"/>
  <c r="AL597" i="21" s="1"/>
  <c r="AN597" i="21" s="1"/>
  <c r="AJ393" i="21"/>
  <c r="AJ658" i="21"/>
  <c r="AJ365" i="21"/>
  <c r="AK611" i="21"/>
  <c r="AL611" i="21" s="1"/>
  <c r="AN611" i="21" s="1"/>
  <c r="AK579" i="21"/>
  <c r="AL579" i="21" s="1"/>
  <c r="AN579" i="21" s="1"/>
  <c r="AJ1114" i="21"/>
  <c r="AJ121" i="21"/>
  <c r="AJ542" i="21"/>
  <c r="AJ217" i="21"/>
  <c r="AJ249" i="21"/>
  <c r="AJ529" i="21"/>
  <c r="AJ561" i="21"/>
  <c r="AJ690" i="21"/>
  <c r="AJ1019" i="21"/>
  <c r="AJ993" i="21"/>
  <c r="AJ945" i="21"/>
  <c r="AJ321" i="21"/>
  <c r="AJ92" i="21"/>
  <c r="AJ693" i="21"/>
  <c r="AJ344" i="21"/>
  <c r="AK945" i="21"/>
  <c r="AL945" i="21" s="1"/>
  <c r="AH4" i="21"/>
  <c r="AT4" i="21"/>
  <c r="AK4" i="21"/>
  <c r="AL4" i="21" s="1"/>
  <c r="AN4" i="21" s="1"/>
  <c r="AK331" i="21"/>
  <c r="AL331" i="21" s="1"/>
  <c r="AN331" i="21" s="1"/>
  <c r="AK1099" i="21"/>
  <c r="AL1099" i="21" s="1"/>
  <c r="AN1099" i="21" s="1"/>
  <c r="AK262" i="21"/>
  <c r="AL262" i="21" s="1"/>
  <c r="AN262" i="21" s="1"/>
  <c r="AK326" i="21"/>
  <c r="AL326" i="21" s="1"/>
  <c r="AN326" i="21" s="1"/>
  <c r="AK223" i="21"/>
  <c r="AL223" i="21" s="1"/>
  <c r="AN223" i="21" s="1"/>
  <c r="AK521" i="21"/>
  <c r="AL521" i="21" s="1"/>
  <c r="AN521" i="21" s="1"/>
  <c r="AK549" i="21"/>
  <c r="AL549" i="21" s="1"/>
  <c r="AN549" i="21" s="1"/>
  <c r="AK320" i="21"/>
  <c r="AL320" i="21" s="1"/>
  <c r="AN320" i="21" s="1"/>
  <c r="AK72" i="21"/>
  <c r="AL72" i="21" s="1"/>
  <c r="AN72" i="21" s="1"/>
  <c r="AK456" i="21"/>
  <c r="AL456" i="21" s="1"/>
  <c r="AK10" i="21"/>
  <c r="AL10" i="21" s="1"/>
  <c r="AN10" i="21" s="1"/>
  <c r="AK714" i="21"/>
  <c r="AL714" i="21" s="1"/>
  <c r="AK778" i="21"/>
  <c r="AL778" i="21" s="1"/>
  <c r="AN778" i="21" s="1"/>
  <c r="AK1043" i="21"/>
  <c r="AL1043" i="21" s="1"/>
  <c r="AN1043" i="21" s="1"/>
  <c r="AK548" i="21"/>
  <c r="AL548" i="21" s="1"/>
  <c r="AN548" i="21" s="1"/>
  <c r="AK910" i="21"/>
  <c r="AL910" i="21" s="1"/>
  <c r="AK41" i="21"/>
  <c r="AL41" i="21" s="1"/>
  <c r="AN41" i="21" s="1"/>
  <c r="AK257" i="21"/>
  <c r="AL257" i="21" s="1"/>
  <c r="AN257" i="21" s="1"/>
  <c r="AJ578" i="21"/>
  <c r="AJ618" i="21"/>
  <c r="AJ682" i="21"/>
  <c r="AJ738" i="21"/>
  <c r="AK768" i="21"/>
  <c r="AL768" i="21" s="1"/>
  <c r="AN768" i="21" s="1"/>
  <c r="AK62" i="21"/>
  <c r="AL62" i="21" s="1"/>
  <c r="AK144" i="21"/>
  <c r="AL144" i="21" s="1"/>
  <c r="AN144" i="21" s="1"/>
  <c r="AK208" i="21"/>
  <c r="AL208" i="21" s="1"/>
  <c r="AN208" i="21" s="1"/>
  <c r="AK528" i="21"/>
  <c r="AL528" i="21" s="1"/>
  <c r="AK859" i="21"/>
  <c r="AL859" i="21" s="1"/>
  <c r="AN859" i="21" s="1"/>
  <c r="AK943" i="21"/>
  <c r="AL943" i="21" s="1"/>
  <c r="AN943" i="21" s="1"/>
  <c r="AK981" i="21"/>
  <c r="AL981" i="21" s="1"/>
  <c r="AN981" i="21" s="1"/>
  <c r="AK600" i="21"/>
  <c r="AL600" i="21" s="1"/>
  <c r="AN600" i="21" s="1"/>
  <c r="AK739" i="21"/>
  <c r="AL739" i="21" s="1"/>
  <c r="AK1012" i="21"/>
  <c r="AL1012" i="21" s="1"/>
  <c r="AN1012" i="21" s="1"/>
  <c r="AK119" i="21"/>
  <c r="AL119" i="21" s="1"/>
  <c r="AN119" i="21" s="1"/>
  <c r="AK887" i="21"/>
  <c r="AL887" i="21" s="1"/>
  <c r="AN887" i="21" s="1"/>
  <c r="AK36" i="21"/>
  <c r="AL36" i="21" s="1"/>
  <c r="AN36" i="21" s="1"/>
  <c r="AK288" i="21"/>
  <c r="AL288" i="21" s="1"/>
  <c r="AK416" i="21"/>
  <c r="AL416" i="21" s="1"/>
  <c r="AN416" i="21" s="1"/>
  <c r="AK491" i="21"/>
  <c r="AL491" i="21" s="1"/>
  <c r="AN491" i="21" s="1"/>
  <c r="AK422" i="21"/>
  <c r="AL422" i="21" s="1"/>
  <c r="AN422" i="21" s="1"/>
  <c r="AK553" i="21"/>
  <c r="AL553" i="21" s="1"/>
  <c r="AN553" i="21" s="1"/>
  <c r="AK261" i="21"/>
  <c r="AL261" i="21" s="1"/>
  <c r="AN261" i="21" s="1"/>
  <c r="AK761" i="21"/>
  <c r="AL761" i="21" s="1"/>
  <c r="AN761" i="21" s="1"/>
  <c r="AK810" i="21"/>
  <c r="AL810" i="21" s="1"/>
  <c r="AN810" i="21" s="1"/>
  <c r="AK263" i="21"/>
  <c r="AL263" i="21" s="1"/>
  <c r="AN263" i="21" s="1"/>
  <c r="AK1031" i="21"/>
  <c r="AL1031" i="21" s="1"/>
  <c r="AN1031" i="21" s="1"/>
  <c r="AK425" i="21"/>
  <c r="AL425" i="21" s="1"/>
  <c r="AN425" i="21" s="1"/>
  <c r="AK496" i="21"/>
  <c r="AL496" i="21" s="1"/>
  <c r="AN496" i="21" s="1"/>
  <c r="AK498" i="21"/>
  <c r="AL498" i="21" s="1"/>
  <c r="AN498" i="21" s="1"/>
  <c r="AK955" i="21"/>
  <c r="AL955" i="21" s="1"/>
  <c r="AK502" i="21"/>
  <c r="AL502" i="21" s="1"/>
  <c r="AN502" i="21" s="1"/>
  <c r="AK361" i="21"/>
  <c r="AL361" i="21" s="1"/>
  <c r="AN361" i="21" s="1"/>
  <c r="AK213" i="21"/>
  <c r="AL213" i="21" s="1"/>
  <c r="AN213" i="21" s="1"/>
  <c r="AM894" i="21"/>
  <c r="AU894" i="21" s="1"/>
  <c r="AM958" i="21"/>
  <c r="AU958" i="21" s="1"/>
  <c r="AM1030" i="21"/>
  <c r="AU1030" i="21" s="1"/>
  <c r="AU1102" i="21"/>
  <c r="AN23" i="21"/>
  <c r="AM23" i="21"/>
  <c r="AU23" i="21" s="1"/>
  <c r="AM87" i="21"/>
  <c r="AU87" i="21" s="1"/>
  <c r="AM151" i="21"/>
  <c r="AU151" i="21" s="1"/>
  <c r="AM215" i="21"/>
  <c r="AU215" i="21" s="1"/>
  <c r="AM279" i="21"/>
  <c r="AU279" i="21" s="1"/>
  <c r="AM343" i="21"/>
  <c r="AU343" i="21" s="1"/>
  <c r="AM407" i="21"/>
  <c r="AU407" i="21" s="1"/>
  <c r="AM471" i="21"/>
  <c r="AU471" i="21" s="1"/>
  <c r="AM535" i="21"/>
  <c r="AU535" i="21" s="1"/>
  <c r="AM599" i="21"/>
  <c r="AU599" i="21" s="1"/>
  <c r="AM663" i="21"/>
  <c r="AU663" i="21" s="1"/>
  <c r="AM727" i="21"/>
  <c r="AU727" i="21" s="1"/>
  <c r="AM791" i="21"/>
  <c r="AU791" i="21" s="1"/>
  <c r="AM855" i="21"/>
  <c r="AU855" i="21" s="1"/>
  <c r="AM919" i="21"/>
  <c r="AU919" i="21" s="1"/>
  <c r="AM983" i="21"/>
  <c r="AU983" i="21" s="1"/>
  <c r="AM1047" i="21"/>
  <c r="AU1047" i="21" s="1"/>
  <c r="AN25" i="21"/>
  <c r="AM25" i="21"/>
  <c r="AU25" i="21" s="1"/>
  <c r="AM89" i="21"/>
  <c r="AU89" i="21" s="1"/>
  <c r="AM441" i="21"/>
  <c r="AU441" i="21" s="1"/>
  <c r="AM513" i="21"/>
  <c r="AU513" i="21" s="1"/>
  <c r="AM577" i="21"/>
  <c r="AU577" i="21" s="1"/>
  <c r="AM1081" i="21"/>
  <c r="AU1081" i="21" s="1"/>
  <c r="AM896" i="21"/>
  <c r="AU896" i="21" s="1"/>
  <c r="AM960" i="21"/>
  <c r="AU960" i="21" s="1"/>
  <c r="AM1024" i="21"/>
  <c r="AU1024" i="21" s="1"/>
  <c r="AU1088" i="21"/>
  <c r="AM66" i="21"/>
  <c r="AU66" i="21" s="1"/>
  <c r="AM130" i="21"/>
  <c r="AU130" i="21" s="1"/>
  <c r="AM194" i="21"/>
  <c r="AU194" i="21" s="1"/>
  <c r="AM258" i="21"/>
  <c r="AU258" i="21" s="1"/>
  <c r="AM386" i="21"/>
  <c r="AU386" i="21" s="1"/>
  <c r="AM249" i="21"/>
  <c r="AU249" i="21" s="1"/>
  <c r="AM313" i="21"/>
  <c r="AU313" i="21" s="1"/>
  <c r="AM377" i="21"/>
  <c r="AU377" i="21" s="1"/>
  <c r="AM449" i="21"/>
  <c r="AU449" i="21" s="1"/>
  <c r="AM1017" i="21"/>
  <c r="AU1017" i="21" s="1"/>
  <c r="AM67" i="21"/>
  <c r="AU67" i="21" s="1"/>
  <c r="AM1016" i="21"/>
  <c r="AU1016" i="21" s="1"/>
  <c r="AM314" i="21"/>
  <c r="AU314" i="21" s="1"/>
  <c r="AM442" i="21"/>
  <c r="AU442" i="21" s="1"/>
  <c r="AM1082" i="21"/>
  <c r="AU1082" i="21" s="1"/>
  <c r="AM643" i="21"/>
  <c r="AU643" i="21" s="1"/>
  <c r="AM963" i="21"/>
  <c r="AU963" i="21" s="1"/>
  <c r="AM148" i="21"/>
  <c r="AU148" i="21" s="1"/>
  <c r="AM468" i="21"/>
  <c r="AU468" i="21" s="1"/>
  <c r="AM660" i="21"/>
  <c r="AU660" i="21" s="1"/>
  <c r="AM916" i="21"/>
  <c r="AU916" i="21" s="1"/>
  <c r="AM318" i="21"/>
  <c r="AU318" i="21" s="1"/>
  <c r="AM446" i="21"/>
  <c r="AU446" i="21" s="1"/>
  <c r="AM766" i="21"/>
  <c r="AU766" i="21" s="1"/>
  <c r="AN11" i="21"/>
  <c r="AM11" i="21"/>
  <c r="AU11" i="21" s="1"/>
  <c r="AM840" i="21"/>
  <c r="AU840" i="21" s="1"/>
  <c r="AM321" i="21"/>
  <c r="AU321" i="21" s="1"/>
  <c r="AM385" i="21"/>
  <c r="AU385" i="21" s="1"/>
  <c r="AM109" i="21"/>
  <c r="AU109" i="21" s="1"/>
  <c r="AM173" i="21"/>
  <c r="AU173" i="21" s="1"/>
  <c r="AM301" i="21"/>
  <c r="AU301" i="21" s="1"/>
  <c r="AM365" i="21"/>
  <c r="AU365" i="21" s="1"/>
  <c r="AM429" i="21"/>
  <c r="AU429" i="21" s="1"/>
  <c r="AM493" i="21"/>
  <c r="AU493" i="21" s="1"/>
  <c r="AM557" i="21"/>
  <c r="AU557" i="21" s="1"/>
  <c r="AM685" i="21"/>
  <c r="AU685" i="21" s="1"/>
  <c r="AM953" i="21"/>
  <c r="AU953" i="21" s="1"/>
  <c r="AM27" i="21"/>
  <c r="AU27" i="21" s="1"/>
  <c r="AN20" i="21"/>
  <c r="AM20" i="21"/>
  <c r="AU20" i="21" s="1"/>
  <c r="AM84" i="21"/>
  <c r="AU84" i="21" s="1"/>
  <c r="AN16" i="21"/>
  <c r="AM16" i="21"/>
  <c r="AU16" i="21" s="1"/>
  <c r="AM80" i="21"/>
  <c r="AU80" i="21" s="1"/>
  <c r="AM272" i="21"/>
  <c r="AU272" i="21" s="1"/>
  <c r="AM400" i="21"/>
  <c r="AU400" i="21" s="1"/>
  <c r="AM592" i="21"/>
  <c r="AU592" i="21" s="1"/>
  <c r="AM656" i="21"/>
  <c r="AU656" i="21" s="1"/>
  <c r="AM784" i="21"/>
  <c r="AU784" i="21" s="1"/>
  <c r="AM185" i="21"/>
  <c r="AU185" i="21" s="1"/>
  <c r="AM473" i="21"/>
  <c r="AU473" i="21" s="1"/>
  <c r="AM537" i="21"/>
  <c r="AU537" i="21" s="1"/>
  <c r="AM601" i="21"/>
  <c r="AU601" i="21" s="1"/>
  <c r="AM889" i="21"/>
  <c r="AU889" i="21" s="1"/>
  <c r="AN3" i="21"/>
  <c r="AM3" i="21"/>
  <c r="AU3" i="21" s="1"/>
  <c r="AM102" i="21"/>
  <c r="AU102" i="21" s="1"/>
  <c r="AM184" i="21"/>
  <c r="AU184" i="21" s="1"/>
  <c r="AM440" i="21"/>
  <c r="AU440" i="21" s="1"/>
  <c r="AU632" i="21"/>
  <c r="AM760" i="21"/>
  <c r="AU760" i="21" s="1"/>
  <c r="AM824" i="21"/>
  <c r="AU824" i="21" s="1"/>
  <c r="AM952" i="21"/>
  <c r="AU952" i="21" s="1"/>
  <c r="AM186" i="21"/>
  <c r="AU186" i="21" s="1"/>
  <c r="AM506" i="21"/>
  <c r="AU506" i="21" s="1"/>
  <c r="AM762" i="21"/>
  <c r="AU762" i="21" s="1"/>
  <c r="AM387" i="21"/>
  <c r="AU387" i="21" s="1"/>
  <c r="AM707" i="21"/>
  <c r="AU707" i="21" s="1"/>
  <c r="AM1027" i="21"/>
  <c r="AU1027" i="21" s="1"/>
  <c r="AM212" i="21"/>
  <c r="AU212" i="21" s="1"/>
  <c r="AM340" i="21"/>
  <c r="AU340" i="21" s="1"/>
  <c r="AM852" i="21"/>
  <c r="AU852" i="21" s="1"/>
  <c r="AU1044" i="21"/>
  <c r="AM126" i="21"/>
  <c r="AU126" i="21" s="1"/>
  <c r="AM382" i="21"/>
  <c r="AU382" i="21" s="1"/>
  <c r="AM510" i="21"/>
  <c r="AU510" i="21" s="1"/>
  <c r="AM830" i="21"/>
  <c r="AU830" i="21" s="1"/>
  <c r="AM68" i="21"/>
  <c r="AU68" i="21" s="1"/>
  <c r="AM110" i="21"/>
  <c r="AU110" i="21" s="1"/>
  <c r="AM128" i="21"/>
  <c r="AU128" i="21" s="1"/>
  <c r="AM256" i="21"/>
  <c r="AU256" i="21" s="1"/>
  <c r="AM576" i="21"/>
  <c r="AU576" i="21" s="1"/>
  <c r="AM640" i="21"/>
  <c r="AU640" i="21" s="1"/>
  <c r="AN12" i="21"/>
  <c r="AM12" i="21"/>
  <c r="AU12" i="21" s="1"/>
  <c r="AM54" i="21"/>
  <c r="AU54" i="21" s="1"/>
  <c r="AM392" i="21"/>
  <c r="AU392" i="21" s="1"/>
  <c r="AM520" i="21"/>
  <c r="AU520" i="21" s="1"/>
  <c r="AM584" i="21"/>
  <c r="AU584" i="21" s="1"/>
  <c r="AM648" i="21"/>
  <c r="AU648" i="21" s="1"/>
  <c r="AM712" i="21"/>
  <c r="AU712" i="21" s="1"/>
  <c r="AM776" i="21"/>
  <c r="AU776" i="21" s="1"/>
  <c r="AM35" i="21"/>
  <c r="AU35" i="21" s="1"/>
  <c r="AM28" i="21"/>
  <c r="AU28" i="21" s="1"/>
  <c r="AN6" i="21"/>
  <c r="AM6" i="21"/>
  <c r="AU6" i="21" s="1"/>
  <c r="AM70" i="21"/>
  <c r="AU70" i="21" s="1"/>
  <c r="AN24" i="21"/>
  <c r="AM24" i="21"/>
  <c r="AU24" i="21" s="1"/>
  <c r="AM88" i="21"/>
  <c r="AU88" i="21" s="1"/>
  <c r="AM152" i="21"/>
  <c r="AU152" i="21" s="1"/>
  <c r="AM216" i="21"/>
  <c r="AU216" i="21" s="1"/>
  <c r="AM280" i="21"/>
  <c r="AU280" i="21" s="1"/>
  <c r="AM344" i="21"/>
  <c r="AU344" i="21" s="1"/>
  <c r="AM408" i="21"/>
  <c r="AU408" i="21" s="1"/>
  <c r="AM472" i="21"/>
  <c r="AU472" i="21" s="1"/>
  <c r="AM536" i="21"/>
  <c r="AU536" i="21" s="1"/>
  <c r="AM664" i="21"/>
  <c r="AU664" i="21" s="1"/>
  <c r="AM728" i="21"/>
  <c r="AU728" i="21" s="1"/>
  <c r="AM792" i="21"/>
  <c r="AU792" i="21" s="1"/>
  <c r="AM856" i="21"/>
  <c r="AU856" i="21" s="1"/>
  <c r="AM920" i="21"/>
  <c r="AU920" i="21" s="1"/>
  <c r="AM984" i="21"/>
  <c r="AU984" i="21" s="1"/>
  <c r="AM1048" i="21"/>
  <c r="AU1048" i="21" s="1"/>
  <c r="AU1112" i="21"/>
  <c r="AN26" i="21"/>
  <c r="AM26" i="21"/>
  <c r="AU26" i="21" s="1"/>
  <c r="AM90" i="21"/>
  <c r="AU90" i="21" s="1"/>
  <c r="AM154" i="21"/>
  <c r="AU154" i="21" s="1"/>
  <c r="AM218" i="21"/>
  <c r="AU218" i="21" s="1"/>
  <c r="AM282" i="21"/>
  <c r="AU282" i="21" s="1"/>
  <c r="AM410" i="21"/>
  <c r="AU410" i="21" s="1"/>
  <c r="AM474" i="21"/>
  <c r="AU474" i="21" s="1"/>
  <c r="AM538" i="21"/>
  <c r="AU538" i="21" s="1"/>
  <c r="AM602" i="21"/>
  <c r="AU602" i="21" s="1"/>
  <c r="AM666" i="21"/>
  <c r="AU666" i="21" s="1"/>
  <c r="AM730" i="21"/>
  <c r="AU730" i="21" s="1"/>
  <c r="AM794" i="21"/>
  <c r="AU794" i="21" s="1"/>
  <c r="AM922" i="21"/>
  <c r="AU922" i="21" s="1"/>
  <c r="AM986" i="21"/>
  <c r="AU986" i="21" s="1"/>
  <c r="AM1114" i="21"/>
  <c r="AU1114" i="21" s="1"/>
  <c r="AM99" i="21"/>
  <c r="AU99" i="21" s="1"/>
  <c r="AM163" i="21"/>
  <c r="AU163" i="21" s="1"/>
  <c r="AM227" i="21"/>
  <c r="AU227" i="21" s="1"/>
  <c r="AM291" i="21"/>
  <c r="AU291" i="21" s="1"/>
  <c r="AM419" i="21"/>
  <c r="AU419" i="21" s="1"/>
  <c r="AM483" i="21"/>
  <c r="AU483" i="21" s="1"/>
  <c r="AM547" i="21"/>
  <c r="AU547" i="21" s="1"/>
  <c r="AM675" i="21"/>
  <c r="AU675" i="21" s="1"/>
  <c r="AM867" i="21"/>
  <c r="AU867" i="21" s="1"/>
  <c r="AM931" i="21"/>
  <c r="AU931" i="21" s="1"/>
  <c r="AM995" i="21"/>
  <c r="AU995" i="21" s="1"/>
  <c r="AM1059" i="21"/>
  <c r="AU1059" i="21" s="1"/>
  <c r="AM1123" i="21"/>
  <c r="AU1123" i="21" s="1"/>
  <c r="AM116" i="21"/>
  <c r="AU116" i="21" s="1"/>
  <c r="AM180" i="21"/>
  <c r="AU180" i="21" s="1"/>
  <c r="AM244" i="21"/>
  <c r="AU244" i="21" s="1"/>
  <c r="AM308" i="21"/>
  <c r="AU308" i="21" s="1"/>
  <c r="AM372" i="21"/>
  <c r="AU372" i="21" s="1"/>
  <c r="AM436" i="21"/>
  <c r="AU436" i="21" s="1"/>
  <c r="AM500" i="21"/>
  <c r="AU500" i="21" s="1"/>
  <c r="AU564" i="21"/>
  <c r="AM628" i="21"/>
  <c r="AU628" i="21" s="1"/>
  <c r="AM692" i="21"/>
  <c r="AU692" i="21" s="1"/>
  <c r="AM756" i="21"/>
  <c r="AU756" i="21" s="1"/>
  <c r="AM820" i="21"/>
  <c r="AU820" i="21" s="1"/>
  <c r="AM884" i="21"/>
  <c r="AU884" i="21" s="1"/>
  <c r="AU948" i="21"/>
  <c r="AM1076" i="21"/>
  <c r="AU1076" i="21" s="1"/>
  <c r="AM158" i="21"/>
  <c r="AU158" i="21" s="1"/>
  <c r="AM222" i="21"/>
  <c r="AU222" i="21" s="1"/>
  <c r="AM286" i="21"/>
  <c r="AU286" i="21" s="1"/>
  <c r="AM350" i="21"/>
  <c r="AU350" i="21" s="1"/>
  <c r="AM414" i="21"/>
  <c r="AU414" i="21" s="1"/>
  <c r="AM478" i="21"/>
  <c r="AU478" i="21" s="1"/>
  <c r="AM542" i="21"/>
  <c r="AU542" i="21" s="1"/>
  <c r="AM606" i="21"/>
  <c r="AU606" i="21" s="1"/>
  <c r="AM670" i="21"/>
  <c r="AU670" i="21" s="1"/>
  <c r="AM734" i="21"/>
  <c r="AU734" i="21" s="1"/>
  <c r="AM798" i="21"/>
  <c r="AU798" i="21" s="1"/>
  <c r="AM862" i="21"/>
  <c r="AU862" i="21" s="1"/>
  <c r="AM926" i="21"/>
  <c r="AU926" i="21" s="1"/>
  <c r="AM990" i="21"/>
  <c r="AU990" i="21" s="1"/>
  <c r="AM1062" i="21"/>
  <c r="AU1062" i="21" s="1"/>
  <c r="AM55" i="21"/>
  <c r="AU55" i="21" s="1"/>
  <c r="AM183" i="21"/>
  <c r="AU183" i="21" s="1"/>
  <c r="AM247" i="21"/>
  <c r="AU247" i="21" s="1"/>
  <c r="AM311" i="21"/>
  <c r="AU311" i="21" s="1"/>
  <c r="AM375" i="21"/>
  <c r="AU375" i="21" s="1"/>
  <c r="AM439" i="21"/>
  <c r="AU439" i="21" s="1"/>
  <c r="AM503" i="21"/>
  <c r="AU503" i="21" s="1"/>
  <c r="AM567" i="21"/>
  <c r="AU567" i="21" s="1"/>
  <c r="AM631" i="21"/>
  <c r="AU631" i="21" s="1"/>
  <c r="AM695" i="21"/>
  <c r="AU695" i="21" s="1"/>
  <c r="AM759" i="21"/>
  <c r="AU759" i="21" s="1"/>
  <c r="AM823" i="21"/>
  <c r="AU823" i="21" s="1"/>
  <c r="AM951" i="21"/>
  <c r="AU951" i="21" s="1"/>
  <c r="AM1015" i="21"/>
  <c r="AU1015" i="21" s="1"/>
  <c r="AM1079" i="21"/>
  <c r="AU1079" i="21" s="1"/>
  <c r="AM57" i="21"/>
  <c r="AU57" i="21" s="1"/>
  <c r="AM121" i="21"/>
  <c r="AU121" i="21" s="1"/>
  <c r="AM193" i="21"/>
  <c r="AU193" i="21" s="1"/>
  <c r="AM409" i="21"/>
  <c r="AU409" i="21" s="1"/>
  <c r="AM825" i="21"/>
  <c r="AU825" i="21" s="1"/>
  <c r="AM129" i="21"/>
  <c r="AU129" i="21" s="1"/>
  <c r="AM281" i="21"/>
  <c r="AU281" i="21" s="1"/>
  <c r="AU345" i="21"/>
  <c r="AM833" i="21"/>
  <c r="AU833" i="21" s="1"/>
  <c r="AM120" i="21"/>
  <c r="AU120" i="21" s="1"/>
  <c r="AM376" i="21"/>
  <c r="AU376" i="21" s="1"/>
  <c r="AM568" i="21"/>
  <c r="AU568" i="21" s="1"/>
  <c r="AM1080" i="21"/>
  <c r="AU1080" i="21" s="1"/>
  <c r="AM58" i="21"/>
  <c r="AU58" i="21" s="1"/>
  <c r="AM570" i="21"/>
  <c r="AU570" i="21" s="1"/>
  <c r="AM826" i="21"/>
  <c r="AU826" i="21" s="1"/>
  <c r="AM1018" i="21"/>
  <c r="AU1018" i="21" s="1"/>
  <c r="AM131" i="21"/>
  <c r="AU131" i="21" s="1"/>
  <c r="AM259" i="21"/>
  <c r="AU259" i="21" s="1"/>
  <c r="AM451" i="21"/>
  <c r="AU451" i="21" s="1"/>
  <c r="AM771" i="21"/>
  <c r="AU771" i="21" s="1"/>
  <c r="AM1006" i="21"/>
  <c r="AU1006" i="21" s="1"/>
  <c r="AM276" i="21"/>
  <c r="AU276" i="21" s="1"/>
  <c r="AM532" i="21"/>
  <c r="AU532" i="21" s="1"/>
  <c r="AM596" i="21"/>
  <c r="AU596" i="21" s="1"/>
  <c r="AU724" i="21"/>
  <c r="AM980" i="21"/>
  <c r="AU980" i="21" s="1"/>
  <c r="AU1108" i="21"/>
  <c r="AM190" i="21"/>
  <c r="AU190" i="21" s="1"/>
  <c r="AM254" i="21"/>
  <c r="AU254" i="21" s="1"/>
  <c r="AM574" i="21"/>
  <c r="AU574" i="21" s="1"/>
  <c r="AM702" i="21"/>
  <c r="AU702" i="21" s="1"/>
  <c r="AM46" i="21"/>
  <c r="AU46" i="21" s="1"/>
  <c r="AM64" i="21"/>
  <c r="AU64" i="21" s="1"/>
  <c r="AM704" i="21"/>
  <c r="AU704" i="21" s="1"/>
  <c r="AN19" i="21"/>
  <c r="AM19" i="21"/>
  <c r="AU19" i="21" s="1"/>
  <c r="AM200" i="21"/>
  <c r="AU200" i="21" s="1"/>
  <c r="AM43" i="21"/>
  <c r="AU43" i="21" s="1"/>
  <c r="AM78" i="21"/>
  <c r="AU78" i="21" s="1"/>
  <c r="AM96" i="21"/>
  <c r="AU96" i="21" s="1"/>
  <c r="AM224" i="21"/>
  <c r="AU224" i="21" s="1"/>
  <c r="AM352" i="21"/>
  <c r="AU352" i="21" s="1"/>
  <c r="AM608" i="21"/>
  <c r="AU608" i="21" s="1"/>
  <c r="AM736" i="21"/>
  <c r="AU736" i="21" s="1"/>
  <c r="AU800" i="21"/>
  <c r="AM992" i="21"/>
  <c r="AU992" i="21" s="1"/>
  <c r="AM1056" i="21"/>
  <c r="AU1056" i="21" s="1"/>
  <c r="AM1120" i="21"/>
  <c r="AU1120" i="21" s="1"/>
  <c r="AM98" i="21"/>
  <c r="AU98" i="21" s="1"/>
  <c r="AM162" i="21"/>
  <c r="AU162" i="21" s="1"/>
  <c r="AM226" i="21"/>
  <c r="AU226" i="21" s="1"/>
  <c r="AM290" i="21"/>
  <c r="AU290" i="21" s="1"/>
  <c r="AM354" i="21"/>
  <c r="AU354" i="21" s="1"/>
  <c r="AM418" i="21"/>
  <c r="AU418" i="21" s="1"/>
  <c r="AM482" i="21"/>
  <c r="AU482" i="21" s="1"/>
  <c r="AM546" i="21"/>
  <c r="AU546" i="21" s="1"/>
  <c r="AM610" i="21"/>
  <c r="AU610" i="21" s="1"/>
  <c r="AM930" i="21"/>
  <c r="AU930" i="21" s="1"/>
  <c r="AM1058" i="21"/>
  <c r="AU1058" i="21" s="1"/>
  <c r="AM107" i="21"/>
  <c r="AU107" i="21" s="1"/>
  <c r="AM235" i="21"/>
  <c r="AU235" i="21" s="1"/>
  <c r="AM299" i="21"/>
  <c r="AU299" i="21" s="1"/>
  <c r="AM555" i="21"/>
  <c r="AU555" i="21" s="1"/>
  <c r="AM683" i="21"/>
  <c r="AU683" i="21" s="1"/>
  <c r="AM1003" i="21"/>
  <c r="AU1003" i="21" s="1"/>
  <c r="AM124" i="21"/>
  <c r="AU124" i="21" s="1"/>
  <c r="AM380" i="21"/>
  <c r="AU380" i="21" s="1"/>
  <c r="AU572" i="21"/>
  <c r="AM764" i="21"/>
  <c r="AU764" i="21" s="1"/>
  <c r="AM892" i="21"/>
  <c r="AU892" i="21" s="1"/>
  <c r="AM956" i="21"/>
  <c r="AU956" i="21" s="1"/>
  <c r="AM1084" i="21"/>
  <c r="AU1084" i="21" s="1"/>
  <c r="AM294" i="21"/>
  <c r="AU294" i="21" s="1"/>
  <c r="AM742" i="21"/>
  <c r="AU742" i="21" s="1"/>
  <c r="AM806" i="21"/>
  <c r="AU806" i="21" s="1"/>
  <c r="AM998" i="21"/>
  <c r="AU998" i="21" s="1"/>
  <c r="AM63" i="21"/>
  <c r="AU63" i="21" s="1"/>
  <c r="AM127" i="21"/>
  <c r="AU127" i="21" s="1"/>
  <c r="AM191" i="21"/>
  <c r="AU191" i="21" s="1"/>
  <c r="AM255" i="21"/>
  <c r="AU255" i="21" s="1"/>
  <c r="AM383" i="21"/>
  <c r="AU383" i="21" s="1"/>
  <c r="AM447" i="21"/>
  <c r="AU447" i="21" s="1"/>
  <c r="AM511" i="21"/>
  <c r="AU511" i="21" s="1"/>
  <c r="AM639" i="21"/>
  <c r="AU639" i="21" s="1"/>
  <c r="AM703" i="21"/>
  <c r="AU703" i="21" s="1"/>
  <c r="AM767" i="21"/>
  <c r="AU767" i="21" s="1"/>
  <c r="AM831" i="21"/>
  <c r="AU831" i="21" s="1"/>
  <c r="AM959" i="21"/>
  <c r="AU959" i="21" s="1"/>
  <c r="AM1023" i="21"/>
  <c r="AU1023" i="21" s="1"/>
  <c r="AM51" i="21"/>
  <c r="AU51" i="21" s="1"/>
  <c r="AM44" i="21"/>
  <c r="AU44" i="21" s="1"/>
  <c r="AN22" i="21"/>
  <c r="AM22" i="21"/>
  <c r="AU22" i="21" s="1"/>
  <c r="AM86" i="21"/>
  <c r="AU86" i="21" s="1"/>
  <c r="AM40" i="21"/>
  <c r="AU40" i="21" s="1"/>
  <c r="AM296" i="21"/>
  <c r="AU296" i="21" s="1"/>
  <c r="AM360" i="21"/>
  <c r="AU360" i="21" s="1"/>
  <c r="AM424" i="21"/>
  <c r="AU424" i="21" s="1"/>
  <c r="AM488" i="21"/>
  <c r="AU488" i="21" s="1"/>
  <c r="AM680" i="21"/>
  <c r="AU680" i="21" s="1"/>
  <c r="AU744" i="21"/>
  <c r="AM872" i="21"/>
  <c r="AU872" i="21" s="1"/>
  <c r="AM936" i="21"/>
  <c r="AU936" i="21" s="1"/>
  <c r="AM217" i="21"/>
  <c r="AU217" i="21" s="1"/>
  <c r="AU633" i="21"/>
  <c r="AN13" i="21"/>
  <c r="AM13" i="21"/>
  <c r="AU13" i="21" s="1"/>
  <c r="AM77" i="21"/>
  <c r="AU77" i="21" s="1"/>
  <c r="AM141" i="21"/>
  <c r="AU141" i="21" s="1"/>
  <c r="AM205" i="21"/>
  <c r="AU205" i="21" s="1"/>
  <c r="AM269" i="21"/>
  <c r="AU269" i="21" s="1"/>
  <c r="AM333" i="21"/>
  <c r="AU333" i="21" s="1"/>
  <c r="AM397" i="21"/>
  <c r="AU397" i="21" s="1"/>
  <c r="AM461" i="21"/>
  <c r="AU461" i="21" s="1"/>
  <c r="AM525" i="21"/>
  <c r="AU525" i="21" s="1"/>
  <c r="AM589" i="21"/>
  <c r="AU589" i="21" s="1"/>
  <c r="AM653" i="21"/>
  <c r="AU653" i="21" s="1"/>
  <c r="AM717" i="21"/>
  <c r="AU717" i="21" s="1"/>
  <c r="AM697" i="21"/>
  <c r="AU697" i="21" s="1"/>
  <c r="AM60" i="21"/>
  <c r="AU60" i="21" s="1"/>
  <c r="AM56" i="21"/>
  <c r="AU56" i="21" s="1"/>
  <c r="AM504" i="21"/>
  <c r="AU504" i="21" s="1"/>
  <c r="AM696" i="21"/>
  <c r="AU696" i="21" s="1"/>
  <c r="AM888" i="21"/>
  <c r="AU888" i="21" s="1"/>
  <c r="AM122" i="21"/>
  <c r="AU122" i="21" s="1"/>
  <c r="AM378" i="21"/>
  <c r="AU378" i="21" s="1"/>
  <c r="AM698" i="21"/>
  <c r="AU698" i="21" s="1"/>
  <c r="AM890" i="21"/>
  <c r="AU890" i="21" s="1"/>
  <c r="AM195" i="21"/>
  <c r="AU195" i="21" s="1"/>
  <c r="AM323" i="21"/>
  <c r="AU323" i="21" s="1"/>
  <c r="AM515" i="21"/>
  <c r="AU515" i="21" s="1"/>
  <c r="AM835" i="21"/>
  <c r="AU835" i="21" s="1"/>
  <c r="AM899" i="21"/>
  <c r="AU899" i="21" s="1"/>
  <c r="AM1091" i="21"/>
  <c r="AU1091" i="21" s="1"/>
  <c r="AM404" i="21"/>
  <c r="AU404" i="21" s="1"/>
  <c r="AM788" i="21"/>
  <c r="AU788" i="21" s="1"/>
  <c r="AM638" i="21"/>
  <c r="AU638" i="21" s="1"/>
  <c r="AM192" i="21"/>
  <c r="AU192" i="21" s="1"/>
  <c r="AM384" i="21"/>
  <c r="AU384" i="21" s="1"/>
  <c r="AU512" i="21"/>
  <c r="AM832" i="21"/>
  <c r="AU832" i="21" s="1"/>
  <c r="AM76" i="21"/>
  <c r="AU76" i="21" s="1"/>
  <c r="AN8" i="21"/>
  <c r="AM8" i="21"/>
  <c r="AU8" i="21" s="1"/>
  <c r="AM136" i="21"/>
  <c r="AU136" i="21" s="1"/>
  <c r="AM328" i="21"/>
  <c r="AU328" i="21" s="1"/>
  <c r="AN14" i="21"/>
  <c r="AM14" i="21"/>
  <c r="AU14" i="21" s="1"/>
  <c r="AM32" i="21"/>
  <c r="AU32" i="21" s="1"/>
  <c r="AM160" i="21"/>
  <c r="AU160" i="21" s="1"/>
  <c r="AM544" i="21"/>
  <c r="AU544" i="21" s="1"/>
  <c r="AM928" i="21"/>
  <c r="AU928" i="21" s="1"/>
  <c r="AM674" i="21"/>
  <c r="AU674" i="21" s="1"/>
  <c r="AM738" i="21"/>
  <c r="AU738" i="21" s="1"/>
  <c r="AM866" i="21"/>
  <c r="AU866" i="21" s="1"/>
  <c r="AM994" i="21"/>
  <c r="AU994" i="21" s="1"/>
  <c r="AM1122" i="21"/>
  <c r="AU1122" i="21" s="1"/>
  <c r="AM171" i="21"/>
  <c r="AU171" i="21" s="1"/>
  <c r="AM363" i="21"/>
  <c r="AU363" i="21" s="1"/>
  <c r="AM747" i="21"/>
  <c r="AU747" i="21" s="1"/>
  <c r="AM875" i="21"/>
  <c r="AU875" i="21" s="1"/>
  <c r="AM939" i="21"/>
  <c r="AU939" i="21" s="1"/>
  <c r="AM1067" i="21"/>
  <c r="AU1067" i="21" s="1"/>
  <c r="AM188" i="21"/>
  <c r="AU188" i="21" s="1"/>
  <c r="AM316" i="21"/>
  <c r="AU316" i="21" s="1"/>
  <c r="AM444" i="21"/>
  <c r="AU444" i="21" s="1"/>
  <c r="AM508" i="21"/>
  <c r="AU508" i="21" s="1"/>
  <c r="AM636" i="21"/>
  <c r="AU636" i="21" s="1"/>
  <c r="AM700" i="21"/>
  <c r="AU700" i="21" s="1"/>
  <c r="AM828" i="21"/>
  <c r="AU828" i="21" s="1"/>
  <c r="AM1020" i="21"/>
  <c r="AU1020" i="21" s="1"/>
  <c r="AM166" i="21"/>
  <c r="AU166" i="21" s="1"/>
  <c r="AU358" i="21"/>
  <c r="AM486" i="21"/>
  <c r="AU486" i="21" s="1"/>
  <c r="AM550" i="21"/>
  <c r="AU550" i="21" s="1"/>
  <c r="AM614" i="21"/>
  <c r="AU614" i="21" s="1"/>
  <c r="AM678" i="21"/>
  <c r="AU678" i="21" s="1"/>
  <c r="AM870" i="21"/>
  <c r="AU870" i="21" s="1"/>
  <c r="AM934" i="21"/>
  <c r="AU934" i="21" s="1"/>
  <c r="AM1078" i="21"/>
  <c r="AU1078" i="21" s="1"/>
  <c r="AM319" i="21"/>
  <c r="AU319" i="21" s="1"/>
  <c r="AM75" i="21"/>
  <c r="AU75" i="21" s="1"/>
  <c r="AM59" i="21"/>
  <c r="AU59" i="21" s="1"/>
  <c r="AM52" i="21"/>
  <c r="AU52" i="21" s="1"/>
  <c r="AM30" i="21"/>
  <c r="AU30" i="21" s="1"/>
  <c r="AM94" i="21"/>
  <c r="AU94" i="21" s="1"/>
  <c r="AM48" i="21"/>
  <c r="AU48" i="21" s="1"/>
  <c r="AM112" i="21"/>
  <c r="AU112" i="21" s="1"/>
  <c r="AM176" i="21"/>
  <c r="AU176" i="21" s="1"/>
  <c r="AM240" i="21"/>
  <c r="AU240" i="21" s="1"/>
  <c r="AM304" i="21"/>
  <c r="AU304" i="21" s="1"/>
  <c r="AM368" i="21"/>
  <c r="AU368" i="21" s="1"/>
  <c r="AM432" i="21"/>
  <c r="AU432" i="21" s="1"/>
  <c r="AM560" i="21"/>
  <c r="AU560" i="21" s="1"/>
  <c r="AM688" i="21"/>
  <c r="AU688" i="21" s="1"/>
  <c r="AM752" i="21"/>
  <c r="AU752" i="21" s="1"/>
  <c r="AU816" i="21"/>
  <c r="AM880" i="21"/>
  <c r="AU880" i="21" s="1"/>
  <c r="AM944" i="21"/>
  <c r="AU944" i="21" s="1"/>
  <c r="AM1008" i="21"/>
  <c r="AU1008" i="21" s="1"/>
  <c r="AM50" i="21"/>
  <c r="AU50" i="21" s="1"/>
  <c r="AM114" i="21"/>
  <c r="AU114" i="21" s="1"/>
  <c r="AM178" i="21"/>
  <c r="AU178" i="21" s="1"/>
  <c r="AM242" i="21"/>
  <c r="AU242" i="21" s="1"/>
  <c r="AM306" i="21"/>
  <c r="AU306" i="21" s="1"/>
  <c r="AM370" i="21"/>
  <c r="AU370" i="21" s="1"/>
  <c r="AM434" i="21"/>
  <c r="AU434" i="21" s="1"/>
  <c r="AM562" i="21"/>
  <c r="AU562" i="21" s="1"/>
  <c r="AM626" i="21"/>
  <c r="AU626" i="21" s="1"/>
  <c r="AM690" i="21"/>
  <c r="AU690" i="21" s="1"/>
  <c r="AM818" i="21"/>
  <c r="AU818" i="21" s="1"/>
  <c r="AM882" i="21"/>
  <c r="AU882" i="21" s="1"/>
  <c r="AM946" i="21"/>
  <c r="AU946" i="21" s="1"/>
  <c r="AM1010" i="21"/>
  <c r="AU1010" i="21" s="1"/>
  <c r="AM1074" i="21"/>
  <c r="AU1074" i="21" s="1"/>
  <c r="AM123" i="21"/>
  <c r="AU123" i="21" s="1"/>
  <c r="AM187" i="21"/>
  <c r="AU187" i="21" s="1"/>
  <c r="AM315" i="21"/>
  <c r="AU315" i="21" s="1"/>
  <c r="AM379" i="21"/>
  <c r="AU379" i="21" s="1"/>
  <c r="AM443" i="21"/>
  <c r="AU443" i="21" s="1"/>
  <c r="AM507" i="21"/>
  <c r="AU507" i="21" s="1"/>
  <c r="AM571" i="21"/>
  <c r="AU571" i="21" s="1"/>
  <c r="AM635" i="21"/>
  <c r="AU635" i="21" s="1"/>
  <c r="AM699" i="21"/>
  <c r="AU699" i="21" s="1"/>
  <c r="AM763" i="21"/>
  <c r="AU763" i="21" s="1"/>
  <c r="AM827" i="21"/>
  <c r="AU827" i="21" s="1"/>
  <c r="AM891" i="21"/>
  <c r="AU891" i="21" s="1"/>
  <c r="AM1019" i="21"/>
  <c r="AU1019" i="21" s="1"/>
  <c r="AM1083" i="21"/>
  <c r="AU1083" i="21" s="1"/>
  <c r="AM153" i="21"/>
  <c r="AU153" i="21" s="1"/>
  <c r="AU569" i="21"/>
  <c r="AM641" i="21"/>
  <c r="AU641" i="21" s="1"/>
  <c r="AN21" i="21"/>
  <c r="AM21" i="21"/>
  <c r="AU21" i="21" s="1"/>
  <c r="AM85" i="21"/>
  <c r="AU85" i="21" s="1"/>
  <c r="AM149" i="21"/>
  <c r="AU149" i="21" s="1"/>
  <c r="AM277" i="21"/>
  <c r="AU277" i="21" s="1"/>
  <c r="AU341" i="21"/>
  <c r="AM405" i="21"/>
  <c r="AU405" i="21" s="1"/>
  <c r="AM469" i="21"/>
  <c r="AU469" i="21" s="1"/>
  <c r="AM533" i="21"/>
  <c r="AU533" i="21" s="1"/>
  <c r="AM661" i="21"/>
  <c r="AU661" i="21" s="1"/>
  <c r="AM725" i="21"/>
  <c r="AU725" i="21" s="1"/>
  <c r="AM705" i="21"/>
  <c r="AU705" i="21" s="1"/>
  <c r="AM821" i="21"/>
  <c r="AU821" i="21" s="1"/>
  <c r="AM885" i="21"/>
  <c r="AU885" i="21" s="1"/>
  <c r="AM1013" i="21"/>
  <c r="AU1013" i="21" s="1"/>
  <c r="AM1077" i="21"/>
  <c r="AU1077" i="21" s="1"/>
  <c r="AM749" i="21"/>
  <c r="AU749" i="21" s="1"/>
  <c r="AU729" i="21"/>
  <c r="AM793" i="21"/>
  <c r="AU793" i="21" s="1"/>
  <c r="AM857" i="21"/>
  <c r="AU857" i="21" s="1"/>
  <c r="AM921" i="21"/>
  <c r="AU921" i="21" s="1"/>
  <c r="AM985" i="21"/>
  <c r="AU985" i="21" s="1"/>
  <c r="AK1049" i="21"/>
  <c r="AL1049" i="21" s="1"/>
  <c r="AN1049" i="21" s="1"/>
  <c r="AU1113" i="21"/>
  <c r="AM789" i="21"/>
  <c r="AU789" i="21" s="1"/>
  <c r="AM853" i="21"/>
  <c r="AU853" i="21" s="1"/>
  <c r="AM917" i="21"/>
  <c r="AU917" i="21" s="1"/>
  <c r="AM1045" i="21"/>
  <c r="AU1045" i="21" s="1"/>
  <c r="AM1109" i="21"/>
  <c r="AU1109" i="21" s="1"/>
  <c r="AM1111" i="21"/>
  <c r="AU1111" i="21" s="1"/>
  <c r="AM578" i="21"/>
  <c r="AU578" i="21" s="1"/>
  <c r="AM642" i="21"/>
  <c r="AU642" i="21" s="1"/>
  <c r="AM706" i="21"/>
  <c r="AU706" i="21" s="1"/>
  <c r="AM770" i="21"/>
  <c r="AU770" i="21" s="1"/>
  <c r="AM834" i="21"/>
  <c r="AU834" i="21" s="1"/>
  <c r="AM898" i="21"/>
  <c r="AU898" i="21" s="1"/>
  <c r="AM962" i="21"/>
  <c r="AU962" i="21" s="1"/>
  <c r="AM1026" i="21"/>
  <c r="AU1026" i="21" s="1"/>
  <c r="AM1090" i="21"/>
  <c r="AU1090" i="21" s="1"/>
  <c r="AN2" i="21"/>
  <c r="AM2" i="21"/>
  <c r="AU2" i="21" s="1"/>
  <c r="AM139" i="21"/>
  <c r="AU139" i="21" s="1"/>
  <c r="AM203" i="21"/>
  <c r="AU203" i="21" s="1"/>
  <c r="AM267" i="21"/>
  <c r="AU267" i="21" s="1"/>
  <c r="AM395" i="21"/>
  <c r="AU395" i="21" s="1"/>
  <c r="AM459" i="21"/>
  <c r="AU459" i="21" s="1"/>
  <c r="AM523" i="21"/>
  <c r="AU523" i="21" s="1"/>
  <c r="AM587" i="21"/>
  <c r="AU587" i="21" s="1"/>
  <c r="AM651" i="21"/>
  <c r="AU651" i="21" s="1"/>
  <c r="AM715" i="21"/>
  <c r="AU715" i="21" s="1"/>
  <c r="AM779" i="21"/>
  <c r="AU779" i="21" s="1"/>
  <c r="AU843" i="21"/>
  <c r="AM907" i="21"/>
  <c r="AU907" i="21" s="1"/>
  <c r="AM971" i="21"/>
  <c r="AU971" i="21" s="1"/>
  <c r="AM1035" i="21"/>
  <c r="AU1035" i="21" s="1"/>
  <c r="AM92" i="21"/>
  <c r="AU92" i="21" s="1"/>
  <c r="AM156" i="21"/>
  <c r="AU156" i="21" s="1"/>
  <c r="AM220" i="21"/>
  <c r="AU220" i="21" s="1"/>
  <c r="AM284" i="21"/>
  <c r="AU284" i="21" s="1"/>
  <c r="AM348" i="21"/>
  <c r="AU348" i="21" s="1"/>
  <c r="AM412" i="21"/>
  <c r="AU412" i="21" s="1"/>
  <c r="AM476" i="21"/>
  <c r="AU476" i="21" s="1"/>
  <c r="AM604" i="21"/>
  <c r="AU604" i="21" s="1"/>
  <c r="AM668" i="21"/>
  <c r="AU668" i="21" s="1"/>
  <c r="AM732" i="21"/>
  <c r="AU732" i="21" s="1"/>
  <c r="AM796" i="21"/>
  <c r="AU796" i="21" s="1"/>
  <c r="AM860" i="21"/>
  <c r="AU860" i="21" s="1"/>
  <c r="AM924" i="21"/>
  <c r="AU924" i="21" s="1"/>
  <c r="AM988" i="21"/>
  <c r="AU988" i="21" s="1"/>
  <c r="AM1052" i="21"/>
  <c r="AU1052" i="21" s="1"/>
  <c r="AM1116" i="21"/>
  <c r="AU1116" i="21" s="1"/>
  <c r="AM134" i="21"/>
  <c r="AU134" i="21" s="1"/>
  <c r="AM198" i="21"/>
  <c r="AU198" i="21" s="1"/>
  <c r="AM390" i="21"/>
  <c r="AU390" i="21" s="1"/>
  <c r="AM454" i="21"/>
  <c r="AU454" i="21" s="1"/>
  <c r="AM518" i="21"/>
  <c r="AU518" i="21" s="1"/>
  <c r="AM582" i="21"/>
  <c r="AU582" i="21" s="1"/>
  <c r="AU646" i="21"/>
  <c r="AM710" i="21"/>
  <c r="AU710" i="21" s="1"/>
  <c r="AM774" i="21"/>
  <c r="AU774" i="21" s="1"/>
  <c r="AM838" i="21"/>
  <c r="AU838" i="21" s="1"/>
  <c r="AM902" i="21"/>
  <c r="AU902" i="21" s="1"/>
  <c r="AM966" i="21"/>
  <c r="AU966" i="21" s="1"/>
  <c r="AU1038" i="21"/>
  <c r="AU1110" i="21"/>
  <c r="AM31" i="21"/>
  <c r="AU31" i="21" s="1"/>
  <c r="AM95" i="21"/>
  <c r="AU95" i="21" s="1"/>
  <c r="AM159" i="21"/>
  <c r="AU159" i="21" s="1"/>
  <c r="AM415" i="21"/>
  <c r="AU415" i="21" s="1"/>
  <c r="AM479" i="21"/>
  <c r="AU479" i="21" s="1"/>
  <c r="AM543" i="21"/>
  <c r="AU543" i="21" s="1"/>
  <c r="AM607" i="21"/>
  <c r="AU607" i="21" s="1"/>
  <c r="AM735" i="21"/>
  <c r="AU735" i="21" s="1"/>
  <c r="AM799" i="21"/>
  <c r="AU799" i="21" s="1"/>
  <c r="AM863" i="21"/>
  <c r="AU863" i="21" s="1"/>
  <c r="AM927" i="21"/>
  <c r="AU927" i="21" s="1"/>
  <c r="AM991" i="21"/>
  <c r="AU991" i="21" s="1"/>
  <c r="AM1055" i="21"/>
  <c r="AU1055" i="21" s="1"/>
  <c r="AM33" i="21"/>
  <c r="AU33" i="21" s="1"/>
  <c r="AM97" i="21"/>
  <c r="AU97" i="21" s="1"/>
  <c r="AM161" i="21"/>
  <c r="AU161" i="21" s="1"/>
  <c r="AM225" i="21"/>
  <c r="AU225" i="21" s="1"/>
  <c r="AM289" i="21"/>
  <c r="AU289" i="21" s="1"/>
  <c r="AU353" i="21"/>
  <c r="AM417" i="21"/>
  <c r="AU417" i="21" s="1"/>
  <c r="AM481" i="21"/>
  <c r="AU481" i="21" s="1"/>
  <c r="AM545" i="21"/>
  <c r="AU545" i="21" s="1"/>
  <c r="AM609" i="21"/>
  <c r="AU609" i="21" s="1"/>
  <c r="AM673" i="21"/>
  <c r="AU673" i="21" s="1"/>
  <c r="AM53" i="21"/>
  <c r="AU53" i="21" s="1"/>
  <c r="AM117" i="21"/>
  <c r="AU117" i="21" s="1"/>
  <c r="AM181" i="21"/>
  <c r="AU181" i="21" s="1"/>
  <c r="AM245" i="21"/>
  <c r="AU245" i="21" s="1"/>
  <c r="AM309" i="21"/>
  <c r="AU309" i="21" s="1"/>
  <c r="AM373" i="21"/>
  <c r="AU373" i="21" s="1"/>
  <c r="AM437" i="21"/>
  <c r="AU437" i="21" s="1"/>
  <c r="AM501" i="21"/>
  <c r="AU501" i="21" s="1"/>
  <c r="AM565" i="21"/>
  <c r="AU565" i="21" s="1"/>
  <c r="AU629" i="21"/>
  <c r="AM693" i="21"/>
  <c r="AU693" i="21" s="1"/>
  <c r="AM757" i="21"/>
  <c r="AU757" i="21" s="1"/>
  <c r="AM737" i="21"/>
  <c r="AU737" i="21" s="1"/>
  <c r="AM801" i="21"/>
  <c r="AU801" i="21" s="1"/>
  <c r="AM929" i="21"/>
  <c r="AU929" i="21" s="1"/>
  <c r="AM993" i="21"/>
  <c r="AU993" i="21" s="1"/>
  <c r="AU1057" i="21"/>
  <c r="AK1121" i="21"/>
  <c r="AL1121" i="21" s="1"/>
  <c r="AN1121" i="21" s="1"/>
  <c r="AU797" i="21"/>
  <c r="AM861" i="21"/>
  <c r="AU861" i="21" s="1"/>
  <c r="AM925" i="21"/>
  <c r="AU925" i="21" s="1"/>
  <c r="AM989" i="21"/>
  <c r="AU989" i="21" s="1"/>
  <c r="AM1117" i="21"/>
  <c r="AU1117" i="21" s="1"/>
  <c r="AM1119" i="21"/>
  <c r="AU1119" i="21" s="1"/>
  <c r="AM968" i="21"/>
  <c r="AU968" i="21" s="1"/>
  <c r="AM1032" i="21"/>
  <c r="AU1032" i="21" s="1"/>
  <c r="AM1096" i="21"/>
  <c r="AU1096" i="21" s="1"/>
  <c r="AM74" i="21"/>
  <c r="AU74" i="21" s="1"/>
  <c r="AM138" i="21"/>
  <c r="AU138" i="21" s="1"/>
  <c r="AM202" i="21"/>
  <c r="AU202" i="21" s="1"/>
  <c r="AM266" i="21"/>
  <c r="AU266" i="21" s="1"/>
  <c r="AM330" i="21"/>
  <c r="AU330" i="21" s="1"/>
  <c r="AM394" i="21"/>
  <c r="AU394" i="21" s="1"/>
  <c r="AM458" i="21"/>
  <c r="AU458" i="21" s="1"/>
  <c r="AM522" i="21"/>
  <c r="AU522" i="21" s="1"/>
  <c r="AM586" i="21"/>
  <c r="AU586" i="21" s="1"/>
  <c r="AM650" i="21"/>
  <c r="AU650" i="21" s="1"/>
  <c r="AM842" i="21"/>
  <c r="AU842" i="21" s="1"/>
  <c r="AM970" i="21"/>
  <c r="AU970" i="21" s="1"/>
  <c r="AM1034" i="21"/>
  <c r="AU1034" i="21" s="1"/>
  <c r="AM1098" i="21"/>
  <c r="AU1098" i="21" s="1"/>
  <c r="AM83" i="21"/>
  <c r="AU83" i="21" s="1"/>
  <c r="AM147" i="21"/>
  <c r="AU147" i="21" s="1"/>
  <c r="AM211" i="21"/>
  <c r="AU211" i="21" s="1"/>
  <c r="AM275" i="21"/>
  <c r="AU275" i="21" s="1"/>
  <c r="AM339" i="21"/>
  <c r="AU339" i="21" s="1"/>
  <c r="AM403" i="21"/>
  <c r="AU403" i="21" s="1"/>
  <c r="AM467" i="21"/>
  <c r="AU467" i="21" s="1"/>
  <c r="AM531" i="21"/>
  <c r="AU531" i="21" s="1"/>
  <c r="AM595" i="21"/>
  <c r="AU595" i="21" s="1"/>
  <c r="AM659" i="21"/>
  <c r="AU659" i="21" s="1"/>
  <c r="AM723" i="21"/>
  <c r="AU723" i="21" s="1"/>
  <c r="AM787" i="21"/>
  <c r="AU787" i="21" s="1"/>
  <c r="AM851" i="21"/>
  <c r="AU851" i="21" s="1"/>
  <c r="AM915" i="21"/>
  <c r="AU915" i="21" s="1"/>
  <c r="AM979" i="21"/>
  <c r="AU979" i="21" s="1"/>
  <c r="AM1107" i="21"/>
  <c r="AU1107" i="21" s="1"/>
  <c r="AM164" i="21"/>
  <c r="AU164" i="21" s="1"/>
  <c r="AM228" i="21"/>
  <c r="AU228" i="21" s="1"/>
  <c r="AM292" i="21"/>
  <c r="AU292" i="21" s="1"/>
  <c r="AM356" i="21"/>
  <c r="AU356" i="21" s="1"/>
  <c r="AM420" i="21"/>
  <c r="AU420" i="21" s="1"/>
  <c r="AM484" i="21"/>
  <c r="AU484" i="21" s="1"/>
  <c r="AM612" i="21"/>
  <c r="AU612" i="21" s="1"/>
  <c r="AM676" i="21"/>
  <c r="AU676" i="21" s="1"/>
  <c r="AM740" i="21"/>
  <c r="AU740" i="21" s="1"/>
  <c r="AM868" i="21"/>
  <c r="AU868" i="21" s="1"/>
  <c r="AM932" i="21"/>
  <c r="AU932" i="21" s="1"/>
  <c r="AM996" i="21"/>
  <c r="AU996" i="21" s="1"/>
  <c r="AM1124" i="21"/>
  <c r="AU1124" i="21" s="1"/>
  <c r="AM142" i="21"/>
  <c r="AU142" i="21" s="1"/>
  <c r="AM206" i="21"/>
  <c r="AU206" i="21" s="1"/>
  <c r="AM270" i="21"/>
  <c r="AU270" i="21" s="1"/>
  <c r="AM334" i="21"/>
  <c r="AU334" i="21" s="1"/>
  <c r="AM398" i="21"/>
  <c r="AU398" i="21" s="1"/>
  <c r="AM462" i="21"/>
  <c r="AU462" i="21" s="1"/>
  <c r="AM526" i="21"/>
  <c r="AU526" i="21" s="1"/>
  <c r="AM590" i="21"/>
  <c r="AU590" i="21" s="1"/>
  <c r="AM654" i="21"/>
  <c r="AU654" i="21" s="1"/>
  <c r="AM718" i="21"/>
  <c r="AU718" i="21" s="1"/>
  <c r="AM846" i="21"/>
  <c r="AU846" i="21" s="1"/>
  <c r="AM974" i="21"/>
  <c r="AU974" i="21" s="1"/>
  <c r="AM1046" i="21"/>
  <c r="AU1046" i="21" s="1"/>
  <c r="AM1118" i="21"/>
  <c r="AU1118" i="21" s="1"/>
  <c r="AM39" i="21"/>
  <c r="AU39" i="21" s="1"/>
  <c r="AM103" i="21"/>
  <c r="AU103" i="21" s="1"/>
  <c r="AM167" i="21"/>
  <c r="AU167" i="21" s="1"/>
  <c r="AM231" i="21"/>
  <c r="AU231" i="21" s="1"/>
  <c r="AM359" i="21"/>
  <c r="AU359" i="21" s="1"/>
  <c r="AM423" i="21"/>
  <c r="AU423" i="21" s="1"/>
  <c r="AM487" i="21"/>
  <c r="AU487" i="21" s="1"/>
  <c r="AM551" i="21"/>
  <c r="AU551" i="21" s="1"/>
  <c r="AM679" i="21"/>
  <c r="AU679" i="21" s="1"/>
  <c r="AU743" i="21"/>
  <c r="AM807" i="21"/>
  <c r="AU807" i="21" s="1"/>
  <c r="AM871" i="21"/>
  <c r="AU871" i="21" s="1"/>
  <c r="AM935" i="21"/>
  <c r="AU935" i="21" s="1"/>
  <c r="AM999" i="21"/>
  <c r="AU999" i="21" s="1"/>
  <c r="AM1063" i="21"/>
  <c r="AU1063" i="21" s="1"/>
  <c r="AM105" i="21"/>
  <c r="AU105" i="21" s="1"/>
  <c r="AM169" i="21"/>
  <c r="AU169" i="21" s="1"/>
  <c r="AM233" i="21"/>
  <c r="AU233" i="21" s="1"/>
  <c r="AM297" i="21"/>
  <c r="AU297" i="21" s="1"/>
  <c r="AM489" i="21"/>
  <c r="AU489" i="21" s="1"/>
  <c r="AM617" i="21"/>
  <c r="AU617" i="21" s="1"/>
  <c r="AM681" i="21"/>
  <c r="AU681" i="21" s="1"/>
  <c r="AM61" i="21"/>
  <c r="AU61" i="21" s="1"/>
  <c r="AM125" i="21"/>
  <c r="AU125" i="21" s="1"/>
  <c r="AM189" i="21"/>
  <c r="AU189" i="21" s="1"/>
  <c r="AM253" i="21"/>
  <c r="AU253" i="21" s="1"/>
  <c r="AM317" i="21"/>
  <c r="AU317" i="21" s="1"/>
  <c r="AM381" i="21"/>
  <c r="AU381" i="21" s="1"/>
  <c r="AM445" i="21"/>
  <c r="AU445" i="21" s="1"/>
  <c r="AU509" i="21"/>
  <c r="AM573" i="21"/>
  <c r="AU573" i="21" s="1"/>
  <c r="AM637" i="21"/>
  <c r="AU637" i="21" s="1"/>
  <c r="AM701" i="21"/>
  <c r="AU701" i="21" s="1"/>
  <c r="AM765" i="21"/>
  <c r="AU765" i="21" s="1"/>
  <c r="AK745" i="21"/>
  <c r="AL745" i="21" s="1"/>
  <c r="AN745" i="21" s="1"/>
  <c r="AU809" i="21"/>
  <c r="AM873" i="21"/>
  <c r="AU873" i="21" s="1"/>
  <c r="AM937" i="21"/>
  <c r="AU937" i="21" s="1"/>
  <c r="AM1001" i="21"/>
  <c r="AU1001" i="21" s="1"/>
  <c r="AM1065" i="21"/>
  <c r="AU1065" i="21" s="1"/>
  <c r="AM1129" i="21"/>
  <c r="AU1129" i="21" s="1"/>
  <c r="AM805" i="21"/>
  <c r="AU805" i="21" s="1"/>
  <c r="AM869" i="21"/>
  <c r="AU869" i="21" s="1"/>
  <c r="AM933" i="21"/>
  <c r="AU933" i="21" s="1"/>
  <c r="AM997" i="21"/>
  <c r="AU997" i="21" s="1"/>
  <c r="AM1061" i="21"/>
  <c r="AU1061" i="21" s="1"/>
  <c r="AM1125" i="21"/>
  <c r="AU1125" i="21" s="1"/>
  <c r="AM1127" i="21"/>
  <c r="AU1127" i="21" s="1"/>
  <c r="AJ1098" i="21"/>
  <c r="AJ43" i="21"/>
  <c r="AJ91" i="21"/>
  <c r="AJ163" i="21"/>
  <c r="AJ291" i="21"/>
  <c r="AJ347" i="21"/>
  <c r="AJ419" i="21"/>
  <c r="AJ555" i="21"/>
  <c r="AJ667" i="21"/>
  <c r="AJ755" i="21"/>
  <c r="AJ795" i="21"/>
  <c r="AJ875" i="21"/>
  <c r="AJ907" i="21"/>
  <c r="AJ979" i="21"/>
  <c r="AJ1115" i="21"/>
  <c r="AJ60" i="21"/>
  <c r="AJ156" i="21"/>
  <c r="AJ284" i="21"/>
  <c r="AJ452" i="21"/>
  <c r="AJ556" i="21"/>
  <c r="AJ612" i="21"/>
  <c r="AJ676" i="21"/>
  <c r="AJ892" i="21"/>
  <c r="AJ924" i="21"/>
  <c r="AJ1044" i="21"/>
  <c r="AJ37" i="21"/>
  <c r="AJ141" i="21"/>
  <c r="AJ229" i="21"/>
  <c r="AJ277" i="21"/>
  <c r="AJ317" i="21"/>
  <c r="AJ421" i="21"/>
  <c r="AJ493" i="21"/>
  <c r="AJ565" i="21"/>
  <c r="AJ669" i="21"/>
  <c r="AJ789" i="21"/>
  <c r="AJ901" i="21"/>
  <c r="AJ941" i="21"/>
  <c r="AJ30" i="21"/>
  <c r="AJ134" i="21"/>
  <c r="AJ278" i="21"/>
  <c r="AM848" i="21"/>
  <c r="AU848" i="21" s="1"/>
  <c r="AM976" i="21"/>
  <c r="AU976" i="21" s="1"/>
  <c r="AU1040" i="21"/>
  <c r="AN18" i="21"/>
  <c r="AM18" i="21"/>
  <c r="AU18" i="21" s="1"/>
  <c r="AM82" i="21"/>
  <c r="AU82" i="21" s="1"/>
  <c r="AM146" i="21"/>
  <c r="AU146" i="21" s="1"/>
  <c r="AM210" i="21"/>
  <c r="AU210" i="21" s="1"/>
  <c r="AM274" i="21"/>
  <c r="AU274" i="21" s="1"/>
  <c r="AM402" i="21"/>
  <c r="AU402" i="21" s="1"/>
  <c r="AM466" i="21"/>
  <c r="AU466" i="21" s="1"/>
  <c r="AM530" i="21"/>
  <c r="AU530" i="21" s="1"/>
  <c r="AM594" i="21"/>
  <c r="AU594" i="21" s="1"/>
  <c r="AM658" i="21"/>
  <c r="AU658" i="21" s="1"/>
  <c r="AM722" i="21"/>
  <c r="AU722" i="21" s="1"/>
  <c r="AM786" i="21"/>
  <c r="AU786" i="21" s="1"/>
  <c r="AM850" i="21"/>
  <c r="AU850" i="21" s="1"/>
  <c r="AM914" i="21"/>
  <c r="AU914" i="21" s="1"/>
  <c r="AM978" i="21"/>
  <c r="AU978" i="21" s="1"/>
  <c r="AM1042" i="21"/>
  <c r="AU1042" i="21" s="1"/>
  <c r="AM1106" i="21"/>
  <c r="AU1106" i="21" s="1"/>
  <c r="AM91" i="21"/>
  <c r="AU91" i="21" s="1"/>
  <c r="AM155" i="21"/>
  <c r="AU155" i="21" s="1"/>
  <c r="AM219" i="21"/>
  <c r="AU219" i="21" s="1"/>
  <c r="AM283" i="21"/>
  <c r="AU283" i="21" s="1"/>
  <c r="AM347" i="21"/>
  <c r="AU347" i="21" s="1"/>
  <c r="AM411" i="21"/>
  <c r="AU411" i="21" s="1"/>
  <c r="AM475" i="21"/>
  <c r="AU475" i="21" s="1"/>
  <c r="AM539" i="21"/>
  <c r="AU539" i="21" s="1"/>
  <c r="AM603" i="21"/>
  <c r="AU603" i="21" s="1"/>
  <c r="AM667" i="21"/>
  <c r="AU667" i="21" s="1"/>
  <c r="AM731" i="21"/>
  <c r="AU731" i="21" s="1"/>
  <c r="AM795" i="21"/>
  <c r="AU795" i="21" s="1"/>
  <c r="AM923" i="21"/>
  <c r="AU923" i="21" s="1"/>
  <c r="AM987" i="21"/>
  <c r="AU987" i="21" s="1"/>
  <c r="AM1115" i="21"/>
  <c r="AU1115" i="21" s="1"/>
  <c r="AM108" i="21"/>
  <c r="AU108" i="21" s="1"/>
  <c r="AM172" i="21"/>
  <c r="AU172" i="21" s="1"/>
  <c r="AM236" i="21"/>
  <c r="AU236" i="21" s="1"/>
  <c r="AM300" i="21"/>
  <c r="AU300" i="21" s="1"/>
  <c r="AM364" i="21"/>
  <c r="AU364" i="21" s="1"/>
  <c r="AM428" i="21"/>
  <c r="AU428" i="21" s="1"/>
  <c r="AM492" i="21"/>
  <c r="AU492" i="21" s="1"/>
  <c r="AM556" i="21"/>
  <c r="AU556" i="21" s="1"/>
  <c r="AM684" i="21"/>
  <c r="AU684" i="21" s="1"/>
  <c r="AM748" i="21"/>
  <c r="AU748" i="21" s="1"/>
  <c r="AM812" i="21"/>
  <c r="AU812" i="21" s="1"/>
  <c r="AM876" i="21"/>
  <c r="AU876" i="21" s="1"/>
  <c r="AM940" i="21"/>
  <c r="AU940" i="21" s="1"/>
  <c r="AM1004" i="21"/>
  <c r="AU1004" i="21" s="1"/>
  <c r="AM1068" i="21"/>
  <c r="AU1068" i="21" s="1"/>
  <c r="AM150" i="21"/>
  <c r="AU150" i="21" s="1"/>
  <c r="AM214" i="21"/>
  <c r="AU214" i="21" s="1"/>
  <c r="AM278" i="21"/>
  <c r="AU278" i="21" s="1"/>
  <c r="AM342" i="21"/>
  <c r="AU342" i="21" s="1"/>
  <c r="AM406" i="21"/>
  <c r="AU406" i="21" s="1"/>
  <c r="AM470" i="21"/>
  <c r="AU470" i="21" s="1"/>
  <c r="AM534" i="21"/>
  <c r="AU534" i="21" s="1"/>
  <c r="AM598" i="21"/>
  <c r="AU598" i="21" s="1"/>
  <c r="AM662" i="21"/>
  <c r="AU662" i="21" s="1"/>
  <c r="AU726" i="21"/>
  <c r="AM790" i="21"/>
  <c r="AU790" i="21" s="1"/>
  <c r="AM918" i="21"/>
  <c r="AU918" i="21" s="1"/>
  <c r="AM982" i="21"/>
  <c r="AU982" i="21" s="1"/>
  <c r="AM1054" i="21"/>
  <c r="AU1054" i="21" s="1"/>
  <c r="AM1126" i="21"/>
  <c r="AU1126" i="21" s="1"/>
  <c r="AM111" i="21"/>
  <c r="AU111" i="21" s="1"/>
  <c r="AM175" i="21"/>
  <c r="AU175" i="21" s="1"/>
  <c r="AM303" i="21"/>
  <c r="AU303" i="21" s="1"/>
  <c r="AM367" i="21"/>
  <c r="AU367" i="21" s="1"/>
  <c r="AM559" i="21"/>
  <c r="AU559" i="21" s="1"/>
  <c r="AM687" i="21"/>
  <c r="AU687" i="21" s="1"/>
  <c r="AM751" i="21"/>
  <c r="AU751" i="21" s="1"/>
  <c r="AM879" i="21"/>
  <c r="AU879" i="21" s="1"/>
  <c r="AM1007" i="21"/>
  <c r="AU1007" i="21" s="1"/>
  <c r="AM1071" i="21"/>
  <c r="AU1071" i="21" s="1"/>
  <c r="AM49" i="21"/>
  <c r="AU49" i="21" s="1"/>
  <c r="AM113" i="21"/>
  <c r="AU113" i="21" s="1"/>
  <c r="AM177" i="21"/>
  <c r="AU177" i="21" s="1"/>
  <c r="AK241" i="21"/>
  <c r="AL241" i="21" s="1"/>
  <c r="AN241" i="21" s="1"/>
  <c r="AM305" i="21"/>
  <c r="AU305" i="21" s="1"/>
  <c r="AM369" i="21"/>
  <c r="AU369" i="21" s="1"/>
  <c r="AM433" i="21"/>
  <c r="AU433" i="21" s="1"/>
  <c r="AM561" i="21"/>
  <c r="AU561" i="21" s="1"/>
  <c r="AK625" i="21"/>
  <c r="AL625" i="21" s="1"/>
  <c r="AN625" i="21" s="1"/>
  <c r="AN5" i="21"/>
  <c r="AM5" i="21"/>
  <c r="AU5" i="21" s="1"/>
  <c r="AM69" i="21"/>
  <c r="AU69" i="21" s="1"/>
  <c r="AM133" i="21"/>
  <c r="AU133" i="21" s="1"/>
  <c r="AM197" i="21"/>
  <c r="AU197" i="21" s="1"/>
  <c r="AM325" i="21"/>
  <c r="AU325" i="21" s="1"/>
  <c r="AM389" i="21"/>
  <c r="AU389" i="21" s="1"/>
  <c r="AM453" i="21"/>
  <c r="AU453" i="21" s="1"/>
  <c r="AM517" i="21"/>
  <c r="AU517" i="21" s="1"/>
  <c r="AM581" i="21"/>
  <c r="AU581" i="21" s="1"/>
  <c r="AM645" i="21"/>
  <c r="AU645" i="21" s="1"/>
  <c r="AM709" i="21"/>
  <c r="AU709" i="21" s="1"/>
  <c r="AM689" i="21"/>
  <c r="AU689" i="21" s="1"/>
  <c r="AM753" i="21"/>
  <c r="AU753" i="21" s="1"/>
  <c r="AM881" i="21"/>
  <c r="AU881" i="21" s="1"/>
  <c r="AM1009" i="21"/>
  <c r="AU1009" i="21" s="1"/>
  <c r="AM1073" i="21"/>
  <c r="AU1073" i="21" s="1"/>
  <c r="AM877" i="21"/>
  <c r="AU877" i="21" s="1"/>
  <c r="AM941" i="21"/>
  <c r="AU941" i="21" s="1"/>
  <c r="AM1005" i="21"/>
  <c r="AU1005" i="21" s="1"/>
  <c r="AM1069" i="21"/>
  <c r="AU1069" i="21" s="1"/>
  <c r="AM897" i="21"/>
  <c r="AU897" i="21" s="1"/>
  <c r="AM961" i="21"/>
  <c r="AU961" i="21" s="1"/>
  <c r="AM1025" i="21"/>
  <c r="AU1025" i="21" s="1"/>
  <c r="AM829" i="21"/>
  <c r="AU829" i="21" s="1"/>
  <c r="AM893" i="21"/>
  <c r="AU893" i="21" s="1"/>
  <c r="AM1021" i="21"/>
  <c r="AU1021" i="21" s="1"/>
  <c r="AK1085" i="21"/>
  <c r="AL1085" i="21" s="1"/>
  <c r="AN1085" i="21" s="1"/>
  <c r="AU1128" i="21"/>
  <c r="AM42" i="21"/>
  <c r="AU42" i="21" s="1"/>
  <c r="AM106" i="21"/>
  <c r="AU106" i="21" s="1"/>
  <c r="AM170" i="21"/>
  <c r="AU170" i="21" s="1"/>
  <c r="AM234" i="21"/>
  <c r="AU234" i="21" s="1"/>
  <c r="AM298" i="21"/>
  <c r="AU298" i="21" s="1"/>
  <c r="AM362" i="21"/>
  <c r="AU362" i="21" s="1"/>
  <c r="AM426" i="21"/>
  <c r="AU426" i="21" s="1"/>
  <c r="AM490" i="21"/>
  <c r="AU490" i="21" s="1"/>
  <c r="AM554" i="21"/>
  <c r="AU554" i="21" s="1"/>
  <c r="AM618" i="21"/>
  <c r="AU618" i="21" s="1"/>
  <c r="AM682" i="21"/>
  <c r="AU682" i="21" s="1"/>
  <c r="AM746" i="21"/>
  <c r="AU746" i="21" s="1"/>
  <c r="AM874" i="21"/>
  <c r="AU874" i="21" s="1"/>
  <c r="AM938" i="21"/>
  <c r="AU938" i="21" s="1"/>
  <c r="AM1002" i="21"/>
  <c r="AU1002" i="21" s="1"/>
  <c r="AM1066" i="21"/>
  <c r="AU1066" i="21" s="1"/>
  <c r="AM115" i="21"/>
  <c r="AU115" i="21" s="1"/>
  <c r="AM179" i="21"/>
  <c r="AU179" i="21" s="1"/>
  <c r="AM243" i="21"/>
  <c r="AU243" i="21" s="1"/>
  <c r="AM307" i="21"/>
  <c r="AU307" i="21" s="1"/>
  <c r="AM371" i="21"/>
  <c r="AU371" i="21" s="1"/>
  <c r="AM435" i="21"/>
  <c r="AU435" i="21" s="1"/>
  <c r="AM499" i="21"/>
  <c r="AU499" i="21" s="1"/>
  <c r="AM563" i="21"/>
  <c r="AU563" i="21" s="1"/>
  <c r="AM627" i="21"/>
  <c r="AU627" i="21" s="1"/>
  <c r="AM755" i="21"/>
  <c r="AU755" i="21" s="1"/>
  <c r="AM819" i="21"/>
  <c r="AU819" i="21" s="1"/>
  <c r="AM883" i="21"/>
  <c r="AU883" i="21" s="1"/>
  <c r="AM1011" i="21"/>
  <c r="AU1011" i="21" s="1"/>
  <c r="AM1075" i="21"/>
  <c r="AU1075" i="21" s="1"/>
  <c r="AM132" i="21"/>
  <c r="AU132" i="21" s="1"/>
  <c r="AM196" i="21"/>
  <c r="AU196" i="21" s="1"/>
  <c r="AM260" i="21"/>
  <c r="AU260" i="21" s="1"/>
  <c r="AM388" i="21"/>
  <c r="AU388" i="21" s="1"/>
  <c r="AM452" i="21"/>
  <c r="AU452" i="21" s="1"/>
  <c r="AU516" i="21"/>
  <c r="AM580" i="21"/>
  <c r="AU580" i="21" s="1"/>
  <c r="AM644" i="21"/>
  <c r="AU644" i="21" s="1"/>
  <c r="AM708" i="21"/>
  <c r="AU708" i="21" s="1"/>
  <c r="AM772" i="21"/>
  <c r="AU772" i="21" s="1"/>
  <c r="AM836" i="21"/>
  <c r="AU836" i="21" s="1"/>
  <c r="AM964" i="21"/>
  <c r="AU964" i="21" s="1"/>
  <c r="AM1028" i="21"/>
  <c r="AU1028" i="21" s="1"/>
  <c r="AM1092" i="21"/>
  <c r="AU1092" i="21" s="1"/>
  <c r="AM174" i="21"/>
  <c r="AU174" i="21" s="1"/>
  <c r="AM302" i="21"/>
  <c r="AU302" i="21" s="1"/>
  <c r="AM366" i="21"/>
  <c r="AU366" i="21" s="1"/>
  <c r="AM430" i="21"/>
  <c r="AU430" i="21" s="1"/>
  <c r="AM494" i="21"/>
  <c r="AU494" i="21" s="1"/>
  <c r="AM558" i="21"/>
  <c r="AU558" i="21" s="1"/>
  <c r="AM686" i="21"/>
  <c r="AU686" i="21" s="1"/>
  <c r="AM750" i="21"/>
  <c r="AU750" i="21" s="1"/>
  <c r="AM814" i="21"/>
  <c r="AU814" i="21" s="1"/>
  <c r="AM878" i="21"/>
  <c r="AU878" i="21" s="1"/>
  <c r="AM942" i="21"/>
  <c r="AU942" i="21" s="1"/>
  <c r="AM1014" i="21"/>
  <c r="AU1014" i="21" s="1"/>
  <c r="AM1086" i="21"/>
  <c r="AU1086" i="21" s="1"/>
  <c r="AN7" i="21"/>
  <c r="AM7" i="21"/>
  <c r="AU7" i="21" s="1"/>
  <c r="AM71" i="21"/>
  <c r="AU71" i="21" s="1"/>
  <c r="AM135" i="21"/>
  <c r="AU135" i="21" s="1"/>
  <c r="AM199" i="21"/>
  <c r="AU199" i="21" s="1"/>
  <c r="AM327" i="21"/>
  <c r="AU327" i="21" s="1"/>
  <c r="AM391" i="21"/>
  <c r="AU391" i="21" s="1"/>
  <c r="AM519" i="21"/>
  <c r="AU519" i="21" s="1"/>
  <c r="AM583" i="21"/>
  <c r="AU583" i="21" s="1"/>
  <c r="AM647" i="21"/>
  <c r="AU647" i="21" s="1"/>
  <c r="AM711" i="21"/>
  <c r="AU711" i="21" s="1"/>
  <c r="AM775" i="21"/>
  <c r="AU775" i="21" s="1"/>
  <c r="AM839" i="21"/>
  <c r="AU839" i="21" s="1"/>
  <c r="AM967" i="21"/>
  <c r="AU967" i="21" s="1"/>
  <c r="AN9" i="21"/>
  <c r="AM9" i="21"/>
  <c r="AU9" i="21" s="1"/>
  <c r="AK137" i="21"/>
  <c r="AL137" i="21" s="1"/>
  <c r="AN137" i="21" s="1"/>
  <c r="AM201" i="21"/>
  <c r="AU201" i="21" s="1"/>
  <c r="AM329" i="21"/>
  <c r="AU329" i="21" s="1"/>
  <c r="AK393" i="21"/>
  <c r="AL393" i="21" s="1"/>
  <c r="AN393" i="21" s="1"/>
  <c r="AK457" i="21"/>
  <c r="AL457" i="21" s="1"/>
  <c r="AN457" i="21" s="1"/>
  <c r="AM585" i="21"/>
  <c r="AU585" i="21" s="1"/>
  <c r="AM649" i="21"/>
  <c r="AU649" i="21" s="1"/>
  <c r="AM29" i="21"/>
  <c r="AU29" i="21" s="1"/>
  <c r="AM93" i="21"/>
  <c r="AU93" i="21" s="1"/>
  <c r="AM157" i="21"/>
  <c r="AU157" i="21" s="1"/>
  <c r="AM221" i="21"/>
  <c r="AU221" i="21" s="1"/>
  <c r="AM285" i="21"/>
  <c r="AU285" i="21" s="1"/>
  <c r="AM413" i="21"/>
  <c r="AU413" i="21" s="1"/>
  <c r="AM477" i="21"/>
  <c r="AU477" i="21" s="1"/>
  <c r="AM541" i="21"/>
  <c r="AU541" i="21" s="1"/>
  <c r="AM605" i="21"/>
  <c r="AU605" i="21" s="1"/>
  <c r="AM669" i="21"/>
  <c r="AU669" i="21" s="1"/>
  <c r="AM733" i="21"/>
  <c r="AU733" i="21" s="1"/>
  <c r="AM713" i="21"/>
  <c r="AU713" i="21" s="1"/>
  <c r="AK777" i="21"/>
  <c r="AL777" i="21" s="1"/>
  <c r="AN777" i="21" s="1"/>
  <c r="AK841" i="21"/>
  <c r="AL841" i="21" s="1"/>
  <c r="AN841" i="21" s="1"/>
  <c r="AK905" i="21"/>
  <c r="AL905" i="21" s="1"/>
  <c r="AN905" i="21" s="1"/>
  <c r="AK969" i="21"/>
  <c r="AL969" i="21" s="1"/>
  <c r="AN969" i="21" s="1"/>
  <c r="AM1033" i="21"/>
  <c r="AU1033" i="21" s="1"/>
  <c r="AU1097" i="21"/>
  <c r="AM773" i="21"/>
  <c r="AU773" i="21" s="1"/>
  <c r="AM837" i="21"/>
  <c r="AU837" i="21" s="1"/>
  <c r="AM901" i="21"/>
  <c r="AU901" i="21" s="1"/>
  <c r="AM965" i="21"/>
  <c r="AU965" i="21" s="1"/>
  <c r="AM1029" i="21"/>
  <c r="AU1029" i="21" s="1"/>
  <c r="AU1093" i="21"/>
  <c r="AM1095" i="21"/>
  <c r="AU1095" i="21" s="1"/>
  <c r="AJ61" i="21"/>
  <c r="AJ253" i="21"/>
  <c r="AM140" i="21"/>
  <c r="AU140" i="21" s="1"/>
  <c r="AM268" i="21"/>
  <c r="AU268" i="21" s="1"/>
  <c r="AM332" i="21"/>
  <c r="AU332" i="21" s="1"/>
  <c r="AM396" i="21"/>
  <c r="AU396" i="21" s="1"/>
  <c r="AM460" i="21"/>
  <c r="AU460" i="21" s="1"/>
  <c r="AM524" i="21"/>
  <c r="AU524" i="21" s="1"/>
  <c r="AM588" i="21"/>
  <c r="AU588" i="21" s="1"/>
  <c r="AM652" i="21"/>
  <c r="AU652" i="21" s="1"/>
  <c r="AM716" i="21"/>
  <c r="AU716" i="21" s="1"/>
  <c r="AM780" i="21"/>
  <c r="AU780" i="21" s="1"/>
  <c r="AM844" i="21"/>
  <c r="AU844" i="21" s="1"/>
  <c r="AM972" i="21"/>
  <c r="AU972" i="21" s="1"/>
  <c r="AM1036" i="21"/>
  <c r="AU1036" i="21" s="1"/>
  <c r="AU1100" i="21"/>
  <c r="AM118" i="21"/>
  <c r="AU118" i="21" s="1"/>
  <c r="AM182" i="21"/>
  <c r="AU182" i="21" s="1"/>
  <c r="AM246" i="21"/>
  <c r="AU246" i="21" s="1"/>
  <c r="AM310" i="21"/>
  <c r="AU310" i="21" s="1"/>
  <c r="AM374" i="21"/>
  <c r="AU374" i="21" s="1"/>
  <c r="AM438" i="21"/>
  <c r="AU438" i="21" s="1"/>
  <c r="AM566" i="21"/>
  <c r="AU566" i="21" s="1"/>
  <c r="AM630" i="21"/>
  <c r="AU630" i="21" s="1"/>
  <c r="AM694" i="21"/>
  <c r="AU694" i="21" s="1"/>
  <c r="AM758" i="21"/>
  <c r="AU758" i="21" s="1"/>
  <c r="AM822" i="21"/>
  <c r="AU822" i="21" s="1"/>
  <c r="AM886" i="21"/>
  <c r="AU886" i="21" s="1"/>
  <c r="AM950" i="21"/>
  <c r="AU950" i="21" s="1"/>
  <c r="AM1022" i="21"/>
  <c r="AU1022" i="21" s="1"/>
  <c r="AM1094" i="21"/>
  <c r="AU1094" i="21" s="1"/>
  <c r="AN15" i="21"/>
  <c r="AM15" i="21"/>
  <c r="AU15" i="21" s="1"/>
  <c r="AM79" i="21"/>
  <c r="AU79" i="21" s="1"/>
  <c r="AM207" i="21"/>
  <c r="AU207" i="21" s="1"/>
  <c r="AM271" i="21"/>
  <c r="AU271" i="21" s="1"/>
  <c r="AM335" i="21"/>
  <c r="AU335" i="21" s="1"/>
  <c r="AM399" i="21"/>
  <c r="AU399" i="21" s="1"/>
  <c r="AM463" i="21"/>
  <c r="AU463" i="21" s="1"/>
  <c r="AM527" i="21"/>
  <c r="AU527" i="21" s="1"/>
  <c r="AM591" i="21"/>
  <c r="AU591" i="21" s="1"/>
  <c r="AM655" i="21"/>
  <c r="AU655" i="21" s="1"/>
  <c r="AM719" i="21"/>
  <c r="AU719" i="21" s="1"/>
  <c r="AM783" i="21"/>
  <c r="AU783" i="21" s="1"/>
  <c r="AM847" i="21"/>
  <c r="AU847" i="21" s="1"/>
  <c r="AM911" i="21"/>
  <c r="AU911" i="21" s="1"/>
  <c r="AM975" i="21"/>
  <c r="AU975" i="21" s="1"/>
  <c r="AM1039" i="21"/>
  <c r="AU1039" i="21" s="1"/>
  <c r="AN17" i="21"/>
  <c r="AM17" i="21"/>
  <c r="AU17" i="21" s="1"/>
  <c r="AM81" i="21"/>
  <c r="AU81" i="21" s="1"/>
  <c r="AM145" i="21"/>
  <c r="AU145" i="21" s="1"/>
  <c r="AK209" i="21"/>
  <c r="AL209" i="21" s="1"/>
  <c r="AN209" i="21" s="1"/>
  <c r="AM273" i="21"/>
  <c r="AU273" i="21" s="1"/>
  <c r="AM401" i="21"/>
  <c r="AU401" i="21" s="1"/>
  <c r="AM465" i="21"/>
  <c r="AU465" i="21" s="1"/>
  <c r="AM529" i="21"/>
  <c r="AU529" i="21" s="1"/>
  <c r="AM593" i="21"/>
  <c r="AU593" i="21" s="1"/>
  <c r="AM657" i="21"/>
  <c r="AU657" i="21" s="1"/>
  <c r="AM37" i="21"/>
  <c r="AU37" i="21" s="1"/>
  <c r="AM101" i="21"/>
  <c r="AU101" i="21" s="1"/>
  <c r="AM165" i="21"/>
  <c r="AU165" i="21" s="1"/>
  <c r="AM229" i="21"/>
  <c r="AU229" i="21" s="1"/>
  <c r="AM293" i="21"/>
  <c r="AU293" i="21" s="1"/>
  <c r="AM357" i="21"/>
  <c r="AU357" i="21" s="1"/>
  <c r="AM421" i="21"/>
  <c r="AU421" i="21" s="1"/>
  <c r="AM485" i="21"/>
  <c r="AU485" i="21" s="1"/>
  <c r="AM613" i="21"/>
  <c r="AU613" i="21" s="1"/>
  <c r="AM677" i="21"/>
  <c r="AU677" i="21" s="1"/>
  <c r="AM741" i="21"/>
  <c r="AU741" i="21" s="1"/>
  <c r="AM721" i="21"/>
  <c r="AU721" i="21" s="1"/>
  <c r="AM785" i="21"/>
  <c r="AU785" i="21" s="1"/>
  <c r="AM849" i="21"/>
  <c r="AU849" i="21" s="1"/>
  <c r="AM977" i="21"/>
  <c r="AU977" i="21" s="1"/>
  <c r="AU1041" i="21"/>
  <c r="AM781" i="21"/>
  <c r="AU781" i="21" s="1"/>
  <c r="AM845" i="21"/>
  <c r="AU845" i="21" s="1"/>
  <c r="AM909" i="21"/>
  <c r="AU909" i="21" s="1"/>
  <c r="AM973" i="21"/>
  <c r="AU973" i="21" s="1"/>
  <c r="AU1037" i="21"/>
  <c r="AM1101" i="21"/>
  <c r="AU1101" i="21" s="1"/>
  <c r="AM1103" i="21"/>
  <c r="AU1103" i="21" s="1"/>
  <c r="AM1070" i="21"/>
  <c r="AU1070" i="21" s="1"/>
  <c r="AJ350" i="21"/>
  <c r="AJ510" i="21"/>
  <c r="AJ678" i="21"/>
  <c r="AJ942" i="21"/>
  <c r="AJ135" i="21"/>
  <c r="AJ231" i="21"/>
  <c r="AJ279" i="21"/>
  <c r="AJ415" i="21"/>
  <c r="AJ743" i="21"/>
  <c r="AJ807" i="21"/>
  <c r="AJ951" i="21"/>
  <c r="AJ1039" i="21"/>
  <c r="AJ32" i="21"/>
  <c r="AJ160" i="21"/>
  <c r="AJ296" i="21"/>
  <c r="AJ368" i="21"/>
  <c r="AJ424" i="21"/>
  <c r="AJ656" i="21"/>
  <c r="AJ712" i="21"/>
  <c r="AJ784" i="21"/>
  <c r="AJ968" i="21"/>
  <c r="AJ105" i="21"/>
  <c r="AJ161" i="21"/>
  <c r="AJ225" i="21"/>
  <c r="AJ305" i="21"/>
  <c r="AJ481" i="21"/>
  <c r="AJ601" i="21"/>
  <c r="AJ657" i="21"/>
  <c r="AJ697" i="21"/>
  <c r="AJ809" i="21"/>
  <c r="AJ873" i="21"/>
  <c r="AJ937" i="21"/>
  <c r="AJ1009" i="21"/>
  <c r="AJ1065" i="21"/>
  <c r="AJ90" i="21"/>
  <c r="AJ226" i="21"/>
  <c r="AJ274" i="21"/>
  <c r="AJ306" i="21"/>
  <c r="AJ354" i="21"/>
  <c r="AJ562" i="21"/>
  <c r="AJ610" i="21"/>
  <c r="AJ666" i="21"/>
  <c r="AJ890" i="21"/>
  <c r="AJ946" i="21"/>
  <c r="AJ1018" i="21"/>
  <c r="AJ1090" i="21"/>
  <c r="AJ35" i="21"/>
  <c r="AJ83" i="21"/>
  <c r="AJ155" i="21"/>
  <c r="AJ235" i="21"/>
  <c r="AJ283" i="21"/>
  <c r="AJ403" i="21"/>
  <c r="AJ547" i="21"/>
  <c r="AJ587" i="21"/>
  <c r="AJ659" i="21"/>
  <c r="AJ787" i="21"/>
  <c r="AJ899" i="21"/>
  <c r="AJ132" i="21"/>
  <c r="AJ212" i="21"/>
  <c r="AJ276" i="21"/>
  <c r="AJ308" i="21"/>
  <c r="AJ428" i="21"/>
  <c r="AJ596" i="21"/>
  <c r="AJ668" i="21"/>
  <c r="AJ796" i="21"/>
  <c r="AJ884" i="21"/>
  <c r="AJ916" i="21"/>
  <c r="AJ21" i="21"/>
  <c r="AJ133" i="21"/>
  <c r="AJ309" i="21"/>
  <c r="AJ405" i="21"/>
  <c r="AJ461" i="21"/>
  <c r="AJ613" i="21"/>
  <c r="AJ661" i="21"/>
  <c r="AJ757" i="21"/>
  <c r="AJ869" i="21"/>
  <c r="AJ933" i="21"/>
  <c r="AJ14" i="21"/>
  <c r="AJ222" i="21"/>
  <c r="AJ550" i="21"/>
  <c r="AJ630" i="21"/>
  <c r="AJ670" i="21"/>
  <c r="AJ758" i="21"/>
  <c r="AJ814" i="21"/>
  <c r="AJ1118" i="21"/>
  <c r="AJ159" i="21"/>
  <c r="AJ303" i="21"/>
  <c r="AJ439" i="21"/>
  <c r="AJ543" i="21"/>
  <c r="AJ727" i="21"/>
  <c r="AJ1119" i="21"/>
  <c r="AJ352" i="21"/>
  <c r="AJ568" i="21"/>
  <c r="AJ648" i="21"/>
  <c r="AJ680" i="21"/>
  <c r="AJ736" i="21"/>
  <c r="AJ824" i="21"/>
  <c r="AJ992" i="21"/>
  <c r="AJ1096" i="21"/>
  <c r="L45" i="24"/>
  <c r="J4" i="24"/>
  <c r="J9" i="24"/>
  <c r="J16" i="24"/>
  <c r="J18" i="24"/>
  <c r="J28" i="24"/>
  <c r="J32" i="24"/>
  <c r="J33" i="24"/>
  <c r="J42" i="24"/>
  <c r="I4" i="24"/>
  <c r="I9" i="24"/>
  <c r="I16" i="24"/>
  <c r="I18" i="24"/>
  <c r="I28" i="24"/>
  <c r="I32" i="24"/>
  <c r="I33" i="24"/>
  <c r="I42" i="24"/>
  <c r="J23" i="24"/>
  <c r="AM803" i="21" l="1"/>
  <c r="AU803" i="21" s="1"/>
  <c r="AM947" i="21"/>
  <c r="AU947" i="21" s="1"/>
  <c r="AM854" i="21"/>
  <c r="AU854" i="21" s="1"/>
  <c r="AM782" i="21"/>
  <c r="AU782" i="21" s="1"/>
  <c r="AM73" i="21"/>
  <c r="AU73" i="21" s="1"/>
  <c r="AM622" i="21"/>
  <c r="AU622" i="21" s="1"/>
  <c r="AM38" i="21"/>
  <c r="AU38" i="21" s="1"/>
  <c r="AM450" i="21"/>
  <c r="AU450" i="21" s="1"/>
  <c r="AM895" i="21"/>
  <c r="AU895" i="21" s="1"/>
  <c r="AM238" i="21"/>
  <c r="AU238" i="21" s="1"/>
  <c r="AM230" i="21"/>
  <c r="AU230" i="21" s="1"/>
  <c r="AM811" i="21"/>
  <c r="AU811" i="21" s="1"/>
  <c r="AM455" i="21"/>
  <c r="AU455" i="21" s="1"/>
  <c r="AM624" i="21"/>
  <c r="AU624" i="21" s="1"/>
  <c r="AM1064" i="21"/>
  <c r="AU1064" i="21" s="1"/>
  <c r="AM672" i="21"/>
  <c r="AU672" i="21" s="1"/>
  <c r="AM1000" i="21"/>
  <c r="AU1000" i="21" s="1"/>
  <c r="AM250" i="21"/>
  <c r="AU250" i="21" s="1"/>
  <c r="AM813" i="21"/>
  <c r="AU813" i="21" s="1"/>
  <c r="AM143" i="21"/>
  <c r="AU143" i="21" s="1"/>
  <c r="AM691" i="21"/>
  <c r="AU691" i="21" s="1"/>
  <c r="AM615" i="21"/>
  <c r="AU615" i="21" s="1"/>
  <c r="AM1072" i="21"/>
  <c r="AU1072" i="21" s="1"/>
  <c r="AM331" i="21"/>
  <c r="AU331" i="21" s="1"/>
  <c r="AM553" i="21"/>
  <c r="AU553" i="21" s="1"/>
  <c r="AM312" i="21"/>
  <c r="AU312" i="21" s="1"/>
  <c r="AM804" i="21"/>
  <c r="AU804" i="21" s="1"/>
  <c r="AM287" i="21"/>
  <c r="AU287" i="21" s="1"/>
  <c r="AM815" i="21"/>
  <c r="AU815" i="21" s="1"/>
  <c r="AM41" i="21"/>
  <c r="AU41" i="21" s="1"/>
  <c r="AM251" i="21"/>
  <c r="AU251" i="21" s="1"/>
  <c r="AM514" i="21"/>
  <c r="AU514" i="21" s="1"/>
  <c r="AM1012" i="21"/>
  <c r="AU1012" i="21" s="1"/>
  <c r="AM908" i="21"/>
  <c r="AU908" i="21" s="1"/>
  <c r="AM1053" i="21"/>
  <c r="AU1053" i="21" s="1"/>
  <c r="AM671" i="21"/>
  <c r="AU671" i="21" s="1"/>
  <c r="AM10" i="21"/>
  <c r="AU10" i="21" s="1"/>
  <c r="AM265" i="21"/>
  <c r="AU265" i="21" s="1"/>
  <c r="AM252" i="21"/>
  <c r="AU252" i="21" s="1"/>
  <c r="AM464" i="21"/>
  <c r="AU464" i="21" s="1"/>
  <c r="AM480" i="21"/>
  <c r="AU480" i="21" s="1"/>
  <c r="AM808" i="21"/>
  <c r="AU808" i="21" s="1"/>
  <c r="AM620" i="21"/>
  <c r="AU620" i="21" s="1"/>
  <c r="AM904" i="21"/>
  <c r="AU904" i="21" s="1"/>
  <c r="AM903" i="21"/>
  <c r="AU903" i="21" s="1"/>
  <c r="AM324" i="21"/>
  <c r="AU324" i="21" s="1"/>
  <c r="AM295" i="21"/>
  <c r="AU295" i="21" s="1"/>
  <c r="AM912" i="21"/>
  <c r="AU912" i="21" s="1"/>
  <c r="AM1105" i="21"/>
  <c r="AU1105" i="21" s="1"/>
  <c r="AM248" i="21"/>
  <c r="AU248" i="21" s="1"/>
  <c r="AM1060" i="21"/>
  <c r="AU1060" i="21" s="1"/>
  <c r="AM575" i="21"/>
  <c r="AU575" i="21" s="1"/>
  <c r="AM337" i="21"/>
  <c r="AU337" i="21" s="1"/>
  <c r="AM322" i="21"/>
  <c r="AU322" i="21" s="1"/>
  <c r="AM954" i="21"/>
  <c r="AU954" i="21" s="1"/>
  <c r="AM817" i="21"/>
  <c r="AU817" i="21" s="1"/>
  <c r="AM502" i="21"/>
  <c r="AU502" i="21" s="1"/>
  <c r="AM900" i="21"/>
  <c r="AU900" i="21" s="1"/>
  <c r="AM239" i="21"/>
  <c r="AU239" i="21" s="1"/>
  <c r="AM262" i="21"/>
  <c r="AU262" i="21" s="1"/>
  <c r="AM505" i="21"/>
  <c r="AU505" i="21" s="1"/>
  <c r="AM264" i="21"/>
  <c r="AU264" i="21" s="1"/>
  <c r="AM621" i="21"/>
  <c r="AU621" i="21" s="1"/>
  <c r="AM864" i="21"/>
  <c r="AU864" i="21" s="1"/>
  <c r="AM1050" i="21"/>
  <c r="AU1050" i="21" s="1"/>
  <c r="AM498" i="21"/>
  <c r="AU498" i="21" s="1"/>
  <c r="AM552" i="21"/>
  <c r="AU552" i="21" s="1"/>
  <c r="AM288" i="21"/>
  <c r="AU288" i="21" s="1"/>
  <c r="AN288" i="21"/>
  <c r="AM945" i="21"/>
  <c r="AU945" i="21" s="1"/>
  <c r="AN945" i="21"/>
  <c r="AM34" i="21"/>
  <c r="AU34" i="21" s="1"/>
  <c r="AN34" i="21"/>
  <c r="AM431" i="21"/>
  <c r="AU431" i="21" s="1"/>
  <c r="AN431" i="21"/>
  <c r="AM769" i="21"/>
  <c r="AU769" i="21" s="1"/>
  <c r="AM714" i="21"/>
  <c r="AU714" i="21" s="1"/>
  <c r="AN714" i="21"/>
  <c r="AM204" i="21"/>
  <c r="AU204" i="21" s="1"/>
  <c r="AN204" i="21"/>
  <c r="AM754" i="21"/>
  <c r="AU754" i="21" s="1"/>
  <c r="AM448" i="21"/>
  <c r="AU448" i="21" s="1"/>
  <c r="AM528" i="21"/>
  <c r="AU528" i="21" s="1"/>
  <c r="AN528" i="21"/>
  <c r="AM47" i="21"/>
  <c r="AU47" i="21" s="1"/>
  <c r="AM237" i="21"/>
  <c r="AU237" i="21" s="1"/>
  <c r="AM955" i="21"/>
  <c r="AU955" i="21" s="1"/>
  <c r="AN955" i="21"/>
  <c r="AM456" i="21"/>
  <c r="AU456" i="21" s="1"/>
  <c r="AN456" i="21"/>
  <c r="AM858" i="21"/>
  <c r="AU858" i="21" s="1"/>
  <c r="AN858" i="21"/>
  <c r="AM739" i="21"/>
  <c r="AU739" i="21" s="1"/>
  <c r="AN739" i="21"/>
  <c r="AM62" i="21"/>
  <c r="AU62" i="21" s="1"/>
  <c r="AN62" i="21"/>
  <c r="AM910" i="21"/>
  <c r="AU910" i="21" s="1"/>
  <c r="AN910" i="21"/>
  <c r="AM906" i="21"/>
  <c r="AU906" i="21" s="1"/>
  <c r="AN906" i="21"/>
  <c r="AM665" i="21"/>
  <c r="AU665" i="21" s="1"/>
  <c r="AM355" i="21"/>
  <c r="AU355" i="21" s="1"/>
  <c r="AN355" i="21"/>
  <c r="AM810" i="21"/>
  <c r="AU810" i="21" s="1"/>
  <c r="AM623" i="21"/>
  <c r="AU623" i="21" s="1"/>
  <c r="AM616" i="21"/>
  <c r="AU616" i="21" s="1"/>
  <c r="AM320" i="21"/>
  <c r="AU320" i="21" s="1"/>
  <c r="AM100" i="21"/>
  <c r="AU100" i="21" s="1"/>
  <c r="AM72" i="21"/>
  <c r="AU72" i="21" s="1"/>
  <c r="AM540" i="21"/>
  <c r="AU540" i="21" s="1"/>
  <c r="AM168" i="21"/>
  <c r="AU168" i="21" s="1"/>
  <c r="AM495" i="21"/>
  <c r="AU495" i="21" s="1"/>
  <c r="AM802" i="21"/>
  <c r="AU802" i="21" s="1"/>
  <c r="AM104" i="21"/>
  <c r="AU104" i="21" s="1"/>
  <c r="AM4" i="21"/>
  <c r="AU4" i="21" s="1"/>
  <c r="AM597" i="21"/>
  <c r="AU597" i="21" s="1"/>
  <c r="AM65" i="21"/>
  <c r="AU65" i="21" s="1"/>
  <c r="AM336" i="21"/>
  <c r="AU336" i="21" s="1"/>
  <c r="AM496" i="21"/>
  <c r="AU496" i="21" s="1"/>
  <c r="AM865" i="21"/>
  <c r="AU865" i="21" s="1"/>
  <c r="AM422" i="21"/>
  <c r="AU422" i="21" s="1"/>
  <c r="AM957" i="21"/>
  <c r="AU957" i="21" s="1"/>
  <c r="AM1051" i="21"/>
  <c r="AU1051" i="21" s="1"/>
  <c r="AM261" i="21"/>
  <c r="AU261" i="21" s="1"/>
  <c r="AM119" i="21"/>
  <c r="AU119" i="21" s="1"/>
  <c r="AM1099" i="21"/>
  <c r="AU1099" i="21" s="1"/>
  <c r="AM232" i="21"/>
  <c r="AU232" i="21" s="1"/>
  <c r="AM45" i="21"/>
  <c r="AU45" i="21" s="1"/>
  <c r="AM634" i="21"/>
  <c r="AU634" i="21" s="1"/>
  <c r="AM361" i="21"/>
  <c r="AU361" i="21" s="1"/>
  <c r="AM326" i="21"/>
  <c r="AU326" i="21" s="1"/>
  <c r="AM913" i="21"/>
  <c r="AU913" i="21" s="1"/>
  <c r="AM619" i="21"/>
  <c r="AU619" i="21" s="1"/>
  <c r="AM427" i="21"/>
  <c r="AU427" i="21" s="1"/>
  <c r="AM36" i="21"/>
  <c r="AU36" i="21" s="1"/>
  <c r="AM497" i="21"/>
  <c r="AU497" i="21" s="1"/>
  <c r="AM611" i="21"/>
  <c r="AU611" i="21" s="1"/>
  <c r="AM859" i="21"/>
  <c r="AU859" i="21" s="1"/>
  <c r="AM346" i="21"/>
  <c r="AU346" i="21" s="1"/>
  <c r="AM208" i="21"/>
  <c r="AU208" i="21" s="1"/>
  <c r="AM223" i="21"/>
  <c r="AU223" i="21" s="1"/>
  <c r="AM943" i="21"/>
  <c r="AU943" i="21" s="1"/>
  <c r="AM263" i="21"/>
  <c r="AU263" i="21" s="1"/>
  <c r="AM949" i="21"/>
  <c r="AU949" i="21" s="1"/>
  <c r="AM778" i="21"/>
  <c r="AU778" i="21" s="1"/>
  <c r="AM213" i="21"/>
  <c r="AU213" i="21" s="1"/>
  <c r="AM579" i="21"/>
  <c r="AU579" i="21" s="1"/>
  <c r="AM761" i="21"/>
  <c r="AU761" i="21" s="1"/>
  <c r="AM887" i="21"/>
  <c r="AU887" i="21" s="1"/>
  <c r="AM1031" i="21"/>
  <c r="AU1031" i="21" s="1"/>
  <c r="AM416" i="21"/>
  <c r="AU416" i="21" s="1"/>
  <c r="AM521" i="21"/>
  <c r="AU521" i="21" s="1"/>
  <c r="AM981" i="21"/>
  <c r="AU981" i="21" s="1"/>
  <c r="AM1043" i="21"/>
  <c r="AU1043" i="21" s="1"/>
  <c r="AM257" i="21"/>
  <c r="AU257" i="21" s="1"/>
  <c r="AM549" i="21"/>
  <c r="AU549" i="21" s="1"/>
  <c r="AM491" i="21"/>
  <c r="AU491" i="21" s="1"/>
  <c r="AM425" i="21"/>
  <c r="AU425" i="21" s="1"/>
  <c r="AM600" i="21"/>
  <c r="AU600" i="21" s="1"/>
  <c r="AM144" i="21"/>
  <c r="AU144" i="21" s="1"/>
  <c r="AM548" i="21"/>
  <c r="AU548" i="21" s="1"/>
  <c r="AM768" i="21"/>
  <c r="AU768" i="21" s="1"/>
  <c r="AM209" i="21"/>
  <c r="AU209" i="21" s="1"/>
  <c r="AM777" i="21"/>
  <c r="AU777" i="21" s="1"/>
  <c r="AU1049" i="21"/>
  <c r="AM457" i="21"/>
  <c r="AU457" i="21" s="1"/>
  <c r="AM969" i="21"/>
  <c r="AU969" i="21" s="1"/>
  <c r="AM905" i="21"/>
  <c r="AU905" i="21" s="1"/>
  <c r="AM393" i="21"/>
  <c r="AU393" i="21" s="1"/>
  <c r="AM241" i="21"/>
  <c r="AU241" i="21" s="1"/>
  <c r="AU1085" i="21"/>
  <c r="AM137" i="21"/>
  <c r="AU137" i="21" s="1"/>
  <c r="AM1121" i="21"/>
  <c r="AU1121" i="21" s="1"/>
  <c r="AM841" i="21"/>
  <c r="AU841" i="21" s="1"/>
  <c r="AM625" i="21"/>
  <c r="AU625" i="21" s="1"/>
  <c r="AM745" i="21"/>
  <c r="AU745" i="21" s="1"/>
  <c r="K33" i="24"/>
  <c r="L33" i="24" s="1"/>
  <c r="T33" i="24"/>
  <c r="R33" i="24"/>
  <c r="Q33" i="24"/>
  <c r="T32" i="24"/>
  <c r="K32" i="24"/>
  <c r="L32" i="24" s="1"/>
  <c r="R32" i="24"/>
  <c r="Q32" i="24"/>
  <c r="Q18" i="24"/>
  <c r="T18" i="24"/>
  <c r="R18" i="24"/>
  <c r="K18" i="24"/>
  <c r="L18" i="24" s="1"/>
  <c r="M18" i="24" s="1"/>
  <c r="Q42" i="24"/>
  <c r="K42" i="24"/>
  <c r="L42" i="24" s="1"/>
  <c r="T42" i="24"/>
  <c r="R42" i="24"/>
  <c r="Q4" i="24"/>
  <c r="R4" i="24"/>
  <c r="T4" i="24"/>
  <c r="K4" i="24"/>
  <c r="L4" i="24" s="1"/>
  <c r="T23" i="24"/>
  <c r="R23" i="24"/>
  <c r="Q23" i="24"/>
  <c r="Q9" i="24"/>
  <c r="T9" i="24"/>
  <c r="R9" i="24"/>
  <c r="K9" i="24"/>
  <c r="L9" i="24" s="1"/>
  <c r="T16" i="24"/>
  <c r="K16" i="24"/>
  <c r="L16" i="24" s="1"/>
  <c r="Q16" i="24"/>
  <c r="R16" i="24"/>
  <c r="Q28" i="24"/>
  <c r="R28" i="24"/>
  <c r="T28" i="24"/>
  <c r="K28" i="24"/>
  <c r="L28" i="24" s="1"/>
  <c r="V45" i="24"/>
  <c r="U45" i="24"/>
  <c r="K23" i="24"/>
  <c r="L23" i="24" s="1"/>
  <c r="O45" i="24"/>
  <c r="N45" i="24"/>
  <c r="M45" i="24"/>
  <c r="O18" i="24"/>
  <c r="V42" i="24" l="1"/>
  <c r="U42" i="24"/>
  <c r="M42" i="24"/>
  <c r="O42" i="24"/>
  <c r="N42" i="24"/>
  <c r="V4" i="24"/>
  <c r="U4" i="24"/>
  <c r="M4" i="24"/>
  <c r="O4" i="24"/>
  <c r="N4" i="24"/>
  <c r="U9" i="24"/>
  <c r="V9" i="24"/>
  <c r="O9" i="24"/>
  <c r="N9" i="24"/>
  <c r="M9" i="24"/>
  <c r="V32" i="24"/>
  <c r="U32" i="24"/>
  <c r="N32" i="24"/>
  <c r="M32" i="24"/>
  <c r="O32" i="24"/>
  <c r="V33" i="24"/>
  <c r="U33" i="24"/>
  <c r="M33" i="24"/>
  <c r="O33" i="24"/>
  <c r="N33" i="24"/>
  <c r="N23" i="24"/>
  <c r="U23" i="24"/>
  <c r="V23" i="24"/>
  <c r="V18" i="24"/>
  <c r="U18" i="24"/>
  <c r="N18" i="24"/>
  <c r="U16" i="24"/>
  <c r="V16" i="24"/>
  <c r="M16" i="24"/>
  <c r="N16" i="24"/>
  <c r="O16" i="24"/>
  <c r="M28" i="24"/>
  <c r="O28" i="24"/>
  <c r="N28" i="24"/>
  <c r="U28" i="24"/>
  <c r="V28" i="24"/>
  <c r="O23" i="24"/>
  <c r="M23" i="24"/>
  <c r="H54" i="24"/>
  <c r="H53" i="24"/>
  <c r="G49" i="24"/>
  <c r="F49" i="24"/>
  <c r="E3" i="24"/>
  <c r="E5" i="24"/>
  <c r="E6" i="24"/>
  <c r="E7" i="24"/>
  <c r="E8" i="24"/>
  <c r="E10" i="24"/>
  <c r="E11" i="24"/>
  <c r="E12" i="24"/>
  <c r="E13" i="24"/>
  <c r="E14" i="24"/>
  <c r="E15" i="24"/>
  <c r="E17" i="24"/>
  <c r="E19" i="24"/>
  <c r="E20" i="24"/>
  <c r="E21" i="24"/>
  <c r="E22" i="24"/>
  <c r="E24" i="24"/>
  <c r="E25" i="24"/>
  <c r="E26" i="24"/>
  <c r="E27" i="24"/>
  <c r="E29" i="24"/>
  <c r="E30" i="24"/>
  <c r="E31" i="24"/>
  <c r="E34" i="24"/>
  <c r="E35" i="24"/>
  <c r="E36" i="24"/>
  <c r="E37" i="24"/>
  <c r="E38" i="24"/>
  <c r="E39" i="24"/>
  <c r="E40" i="24"/>
  <c r="E41" i="24"/>
  <c r="E43" i="24"/>
  <c r="E44" i="24"/>
  <c r="E46" i="24"/>
  <c r="E47" i="24"/>
  <c r="E48" i="24"/>
  <c r="E2" i="24"/>
  <c r="AD3" i="21"/>
  <c r="AD4" i="21"/>
  <c r="AD5" i="21"/>
  <c r="AD6" i="21"/>
  <c r="AD7" i="21"/>
  <c r="AD8" i="21"/>
  <c r="AD9" i="21"/>
  <c r="AD10" i="21"/>
  <c r="AD11" i="21"/>
  <c r="AD12" i="21"/>
  <c r="AD13" i="21"/>
  <c r="AD14" i="21"/>
  <c r="AD15" i="21"/>
  <c r="AD16" i="21"/>
  <c r="AD17" i="21"/>
  <c r="AD18" i="21"/>
  <c r="AD19" i="21"/>
  <c r="AD20" i="21"/>
  <c r="AD21" i="21"/>
  <c r="AD22" i="21"/>
  <c r="AD23" i="21"/>
  <c r="AD24" i="21"/>
  <c r="AD25" i="21"/>
  <c r="AD26" i="21"/>
  <c r="AD27" i="21"/>
  <c r="AD28" i="21"/>
  <c r="AD29" i="21"/>
  <c r="AD30" i="21"/>
  <c r="AD31" i="21"/>
  <c r="AD32" i="21"/>
  <c r="AD33" i="21"/>
  <c r="AD34" i="21"/>
  <c r="AD35" i="21"/>
  <c r="AD36" i="21"/>
  <c r="AD37" i="21"/>
  <c r="AD38" i="21"/>
  <c r="AD39" i="21"/>
  <c r="AD40" i="21"/>
  <c r="AD41" i="21"/>
  <c r="AD42" i="21"/>
  <c r="AD43" i="21"/>
  <c r="AD44" i="21"/>
  <c r="AD45" i="21"/>
  <c r="AD46" i="21"/>
  <c r="AD47" i="21"/>
  <c r="AD48" i="21"/>
  <c r="AD49" i="21"/>
  <c r="AD50" i="21"/>
  <c r="AD51" i="21"/>
  <c r="AD52" i="21"/>
  <c r="AD53" i="21"/>
  <c r="AD54" i="21"/>
  <c r="AD55" i="21"/>
  <c r="AD56" i="21"/>
  <c r="AD57" i="21"/>
  <c r="AD58" i="21"/>
  <c r="AD59" i="21"/>
  <c r="AD60" i="21"/>
  <c r="AD61" i="21"/>
  <c r="AD62" i="21"/>
  <c r="AD63" i="21"/>
  <c r="AD64" i="21"/>
  <c r="AD65" i="21"/>
  <c r="AD66" i="21"/>
  <c r="AD67" i="21"/>
  <c r="AD68" i="21"/>
  <c r="AD69" i="21"/>
  <c r="AD70" i="21"/>
  <c r="AD71" i="21"/>
  <c r="AD72" i="21"/>
  <c r="AD73" i="21"/>
  <c r="AD74" i="21"/>
  <c r="AD75" i="21"/>
  <c r="AD76" i="21"/>
  <c r="AD77" i="21"/>
  <c r="AD78" i="21"/>
  <c r="AD79" i="21"/>
  <c r="AD80" i="21"/>
  <c r="AD81" i="21"/>
  <c r="AD82" i="21"/>
  <c r="AD83" i="21"/>
  <c r="AD84" i="21"/>
  <c r="AD85" i="21"/>
  <c r="AD86" i="21"/>
  <c r="AD87" i="21"/>
  <c r="AD88" i="21"/>
  <c r="AD89" i="21"/>
  <c r="AD90" i="21"/>
  <c r="AD91" i="21"/>
  <c r="AD92" i="21"/>
  <c r="AD93" i="21"/>
  <c r="AD94" i="21"/>
  <c r="AD95" i="21"/>
  <c r="AD96" i="21"/>
  <c r="AD97" i="21"/>
  <c r="AD98" i="21"/>
  <c r="AD99" i="21"/>
  <c r="AD100" i="21"/>
  <c r="AD101" i="21"/>
  <c r="AD102" i="21"/>
  <c r="AD103" i="21"/>
  <c r="AD104" i="21"/>
  <c r="AD105" i="21"/>
  <c r="AD106" i="21"/>
  <c r="AD107" i="21"/>
  <c r="AD108" i="21"/>
  <c r="AD109" i="21"/>
  <c r="AD110" i="21"/>
  <c r="AD111" i="21"/>
  <c r="AD112" i="21"/>
  <c r="AD113" i="21"/>
  <c r="AD114" i="21"/>
  <c r="AD115" i="21"/>
  <c r="AD116" i="21"/>
  <c r="AD117" i="21"/>
  <c r="AD118" i="21"/>
  <c r="AD119" i="21"/>
  <c r="AD120" i="21"/>
  <c r="AD121" i="21"/>
  <c r="AD122" i="21"/>
  <c r="AD123" i="21"/>
  <c r="AD124" i="21"/>
  <c r="AD125" i="21"/>
  <c r="AD126" i="21"/>
  <c r="AD127" i="21"/>
  <c r="AD128" i="21"/>
  <c r="AD129" i="21"/>
  <c r="AD130" i="21"/>
  <c r="AD131" i="21"/>
  <c r="AD132" i="21"/>
  <c r="AD133" i="21"/>
  <c r="AD134" i="21"/>
  <c r="AD135" i="21"/>
  <c r="AD136" i="21"/>
  <c r="AD137" i="21"/>
  <c r="AD138" i="21"/>
  <c r="AD139" i="21"/>
  <c r="AD140" i="21"/>
  <c r="AD141" i="21"/>
  <c r="AD142" i="21"/>
  <c r="AD143" i="21"/>
  <c r="AD144" i="21"/>
  <c r="AD145" i="21"/>
  <c r="AD146" i="21"/>
  <c r="AD147" i="21"/>
  <c r="AD148" i="21"/>
  <c r="AD149" i="21"/>
  <c r="AD150" i="21"/>
  <c r="AD151" i="21"/>
  <c r="AD152" i="21"/>
  <c r="AD153" i="21"/>
  <c r="AD154" i="21"/>
  <c r="AD155" i="21"/>
  <c r="AD156" i="21"/>
  <c r="AD157" i="21"/>
  <c r="AD158" i="21"/>
  <c r="AD159" i="21"/>
  <c r="AD160" i="21"/>
  <c r="AD161" i="21"/>
  <c r="AD162" i="21"/>
  <c r="AD163" i="21"/>
  <c r="AD164" i="21"/>
  <c r="AD165" i="21"/>
  <c r="AD166" i="21"/>
  <c r="AD167" i="21"/>
  <c r="AD168" i="21"/>
  <c r="AD169" i="21"/>
  <c r="AD170" i="21"/>
  <c r="AD171" i="21"/>
  <c r="AD172" i="21"/>
  <c r="AD173" i="21"/>
  <c r="AD174" i="21"/>
  <c r="AD175" i="21"/>
  <c r="AD176" i="21"/>
  <c r="AD177" i="21"/>
  <c r="AD178" i="21"/>
  <c r="AD179" i="21"/>
  <c r="AD180" i="21"/>
  <c r="AD181" i="21"/>
  <c r="AD182" i="21"/>
  <c r="AD183" i="21"/>
  <c r="AD184" i="21"/>
  <c r="AD185" i="21"/>
  <c r="AD186" i="21"/>
  <c r="AD187" i="21"/>
  <c r="AD188" i="21"/>
  <c r="AD189" i="21"/>
  <c r="AD190" i="21"/>
  <c r="AD191" i="21"/>
  <c r="AD192" i="21"/>
  <c r="AD193" i="21"/>
  <c r="AD194" i="21"/>
  <c r="AD195" i="21"/>
  <c r="AD196" i="21"/>
  <c r="AD197" i="21"/>
  <c r="AD198" i="21"/>
  <c r="AD199" i="21"/>
  <c r="AD200" i="21"/>
  <c r="AD201" i="21"/>
  <c r="AD202" i="21"/>
  <c r="AD203" i="21"/>
  <c r="AD204" i="21"/>
  <c r="AD205" i="21"/>
  <c r="AD206" i="21"/>
  <c r="AD207" i="21"/>
  <c r="AD208" i="21"/>
  <c r="AD209" i="21"/>
  <c r="AD210" i="21"/>
  <c r="AD211" i="21"/>
  <c r="AD212" i="21"/>
  <c r="AD213" i="21"/>
  <c r="AD214" i="21"/>
  <c r="AD215" i="21"/>
  <c r="AD216" i="21"/>
  <c r="AD217" i="21"/>
  <c r="AD218" i="21"/>
  <c r="AD219" i="21"/>
  <c r="AD220" i="21"/>
  <c r="AD221" i="21"/>
  <c r="AD222" i="21"/>
  <c r="AD223" i="21"/>
  <c r="AD224" i="21"/>
  <c r="AD225" i="21"/>
  <c r="AD226" i="21"/>
  <c r="AD227" i="21"/>
  <c r="AD228" i="21"/>
  <c r="AD229" i="21"/>
  <c r="AD230" i="21"/>
  <c r="AD231" i="21"/>
  <c r="AD232" i="21"/>
  <c r="AD233" i="21"/>
  <c r="AD234" i="21"/>
  <c r="AD235" i="21"/>
  <c r="AD236" i="21"/>
  <c r="AD237" i="21"/>
  <c r="AD238" i="21"/>
  <c r="AD239" i="21"/>
  <c r="AD240" i="21"/>
  <c r="AD241" i="21"/>
  <c r="AD242" i="21"/>
  <c r="AD243" i="21"/>
  <c r="AD244" i="21"/>
  <c r="AD245" i="21"/>
  <c r="AD246" i="21"/>
  <c r="AD247" i="21"/>
  <c r="AD248" i="21"/>
  <c r="AD249" i="21"/>
  <c r="AD250" i="21"/>
  <c r="AD251" i="21"/>
  <c r="AD252" i="21"/>
  <c r="AD253" i="21"/>
  <c r="AD254" i="21"/>
  <c r="AD255" i="21"/>
  <c r="AD256" i="21"/>
  <c r="AD257" i="21"/>
  <c r="AD258" i="21"/>
  <c r="AD259" i="21"/>
  <c r="AD260" i="21"/>
  <c r="AD261" i="21"/>
  <c r="AD262" i="21"/>
  <c r="AD263" i="21"/>
  <c r="AD264" i="21"/>
  <c r="AD265" i="21"/>
  <c r="AD266" i="21"/>
  <c r="AD267" i="21"/>
  <c r="AD268" i="21"/>
  <c r="AD269" i="21"/>
  <c r="AD270" i="21"/>
  <c r="AD271" i="21"/>
  <c r="AD272" i="21"/>
  <c r="AD273" i="21"/>
  <c r="AD274" i="21"/>
  <c r="AD275" i="21"/>
  <c r="AD276" i="21"/>
  <c r="AD277" i="21"/>
  <c r="AD278" i="21"/>
  <c r="AD279" i="21"/>
  <c r="AD280" i="21"/>
  <c r="AD281" i="21"/>
  <c r="AD282" i="21"/>
  <c r="AD283" i="21"/>
  <c r="AD284" i="21"/>
  <c r="AD285" i="21"/>
  <c r="AD286" i="21"/>
  <c r="AD287" i="21"/>
  <c r="AD288" i="21"/>
  <c r="AD289" i="21"/>
  <c r="AD290" i="21"/>
  <c r="AD291" i="21"/>
  <c r="AD292" i="21"/>
  <c r="AD293" i="21"/>
  <c r="AD294" i="21"/>
  <c r="AD295" i="21"/>
  <c r="AD296" i="21"/>
  <c r="AD297" i="21"/>
  <c r="AD298" i="21"/>
  <c r="AD299" i="21"/>
  <c r="AD300" i="21"/>
  <c r="AD301" i="21"/>
  <c r="AD302" i="21"/>
  <c r="AD303" i="21"/>
  <c r="AD304" i="21"/>
  <c r="AD305" i="21"/>
  <c r="AD306" i="21"/>
  <c r="AD307" i="21"/>
  <c r="AD308" i="21"/>
  <c r="AD309" i="21"/>
  <c r="AD310" i="21"/>
  <c r="AD311" i="21"/>
  <c r="AD312" i="21"/>
  <c r="AD313" i="21"/>
  <c r="AD314" i="21"/>
  <c r="AD315" i="21"/>
  <c r="AD316" i="21"/>
  <c r="AD317" i="21"/>
  <c r="AD318" i="21"/>
  <c r="AD319" i="21"/>
  <c r="AD320" i="21"/>
  <c r="AD321" i="21"/>
  <c r="AD322" i="21"/>
  <c r="AD323" i="21"/>
  <c r="AD324" i="21"/>
  <c r="AD325" i="21"/>
  <c r="AD326" i="21"/>
  <c r="AD327" i="21"/>
  <c r="AD328" i="21"/>
  <c r="AD329" i="21"/>
  <c r="AD330" i="21"/>
  <c r="AD331" i="21"/>
  <c r="AD332" i="21"/>
  <c r="AD333" i="21"/>
  <c r="AD334" i="21"/>
  <c r="AD335" i="21"/>
  <c r="AD336" i="21"/>
  <c r="AD337" i="21"/>
  <c r="AD338" i="21"/>
  <c r="AD339" i="21"/>
  <c r="AD340" i="21"/>
  <c r="AD341" i="21"/>
  <c r="AD342" i="21"/>
  <c r="AD343" i="21"/>
  <c r="AD344" i="21"/>
  <c r="AD345" i="21"/>
  <c r="AD346" i="21"/>
  <c r="AD347" i="21"/>
  <c r="AD348" i="21"/>
  <c r="AD349" i="21"/>
  <c r="AD350" i="21"/>
  <c r="AD351" i="21"/>
  <c r="AD352" i="21"/>
  <c r="AD353" i="21"/>
  <c r="AD354" i="21"/>
  <c r="AD355" i="21"/>
  <c r="AD356" i="21"/>
  <c r="AD357" i="21"/>
  <c r="AD358" i="21"/>
  <c r="AD359" i="21"/>
  <c r="AD360" i="21"/>
  <c r="AD361" i="21"/>
  <c r="AD362" i="21"/>
  <c r="AD363" i="21"/>
  <c r="AD364" i="21"/>
  <c r="AD365" i="21"/>
  <c r="AD366" i="21"/>
  <c r="AD367" i="21"/>
  <c r="AD368" i="21"/>
  <c r="AD369" i="21"/>
  <c r="AD370" i="21"/>
  <c r="AD371" i="21"/>
  <c r="AD372" i="21"/>
  <c r="AD373" i="21"/>
  <c r="AD374" i="21"/>
  <c r="AD375" i="21"/>
  <c r="AD376" i="21"/>
  <c r="AD377" i="21"/>
  <c r="AD378" i="21"/>
  <c r="AD379" i="21"/>
  <c r="AD380" i="21"/>
  <c r="AD381" i="21"/>
  <c r="AD382" i="21"/>
  <c r="AD383" i="21"/>
  <c r="AD384" i="21"/>
  <c r="AD385" i="21"/>
  <c r="AD386" i="21"/>
  <c r="AD387" i="21"/>
  <c r="AD388" i="21"/>
  <c r="AD389" i="21"/>
  <c r="AD390" i="21"/>
  <c r="AD391" i="21"/>
  <c r="AD392" i="21"/>
  <c r="AD393" i="21"/>
  <c r="AD394" i="21"/>
  <c r="AD395" i="21"/>
  <c r="AD396" i="21"/>
  <c r="AD397" i="21"/>
  <c r="AD398" i="21"/>
  <c r="AD399" i="21"/>
  <c r="AD400" i="21"/>
  <c r="AD401" i="21"/>
  <c r="AD402" i="21"/>
  <c r="AD403" i="21"/>
  <c r="AD404" i="21"/>
  <c r="AD405" i="21"/>
  <c r="AD406" i="21"/>
  <c r="AD407" i="21"/>
  <c r="AD408" i="21"/>
  <c r="AD409" i="21"/>
  <c r="AD410" i="21"/>
  <c r="AD411" i="21"/>
  <c r="AD412" i="21"/>
  <c r="AD413" i="21"/>
  <c r="AD414" i="21"/>
  <c r="AD415" i="21"/>
  <c r="AD416" i="21"/>
  <c r="AD417" i="21"/>
  <c r="AD418" i="21"/>
  <c r="AD419" i="21"/>
  <c r="AD420" i="21"/>
  <c r="AD421" i="21"/>
  <c r="AD422" i="21"/>
  <c r="AD423" i="21"/>
  <c r="AD424" i="21"/>
  <c r="AD425" i="21"/>
  <c r="AD426" i="21"/>
  <c r="AD427" i="21"/>
  <c r="AD428" i="21"/>
  <c r="AD429" i="21"/>
  <c r="AD430" i="21"/>
  <c r="AD431" i="21"/>
  <c r="AD432" i="21"/>
  <c r="AD433" i="21"/>
  <c r="AD434" i="21"/>
  <c r="AD435" i="21"/>
  <c r="AD436" i="21"/>
  <c r="AD437" i="21"/>
  <c r="AD438" i="21"/>
  <c r="AD439" i="21"/>
  <c r="AD440" i="21"/>
  <c r="AD441" i="21"/>
  <c r="AD442" i="21"/>
  <c r="AD443" i="21"/>
  <c r="AD444" i="21"/>
  <c r="AD445" i="21"/>
  <c r="AD446" i="21"/>
  <c r="AD447" i="21"/>
  <c r="AD448" i="21"/>
  <c r="AD449" i="21"/>
  <c r="AD450" i="21"/>
  <c r="AD451" i="21"/>
  <c r="AD452" i="21"/>
  <c r="AD453" i="21"/>
  <c r="AD454" i="21"/>
  <c r="AD455" i="21"/>
  <c r="AD456" i="21"/>
  <c r="AD457" i="21"/>
  <c r="AD458" i="21"/>
  <c r="AD459" i="21"/>
  <c r="AD460" i="21"/>
  <c r="AD461" i="21"/>
  <c r="AD462" i="21"/>
  <c r="AD463" i="21"/>
  <c r="AD464" i="21"/>
  <c r="AD465" i="21"/>
  <c r="AD466" i="21"/>
  <c r="AD467" i="21"/>
  <c r="AD468" i="21"/>
  <c r="AD469" i="21"/>
  <c r="AD470" i="21"/>
  <c r="AD471" i="21"/>
  <c r="AD472" i="21"/>
  <c r="AD473" i="21"/>
  <c r="AD474" i="21"/>
  <c r="AD475" i="21"/>
  <c r="AD476" i="21"/>
  <c r="AD477" i="21"/>
  <c r="AD478" i="21"/>
  <c r="AD479" i="21"/>
  <c r="AD480" i="21"/>
  <c r="AD481" i="21"/>
  <c r="AD482" i="21"/>
  <c r="AD483" i="21"/>
  <c r="AD484" i="21"/>
  <c r="AD485" i="21"/>
  <c r="AD486" i="21"/>
  <c r="AD487" i="21"/>
  <c r="AD488" i="21"/>
  <c r="AD489" i="21"/>
  <c r="AD490" i="21"/>
  <c r="AD491" i="21"/>
  <c r="AD492" i="21"/>
  <c r="AD493" i="21"/>
  <c r="AD494" i="21"/>
  <c r="AD495" i="21"/>
  <c r="AD496" i="21"/>
  <c r="AD497" i="21"/>
  <c r="AD498" i="21"/>
  <c r="AD499" i="21"/>
  <c r="AD500" i="21"/>
  <c r="AD501" i="21"/>
  <c r="AD502" i="21"/>
  <c r="AD503" i="21"/>
  <c r="AD504" i="21"/>
  <c r="AD505" i="21"/>
  <c r="AD506" i="21"/>
  <c r="AD507" i="21"/>
  <c r="AD508" i="21"/>
  <c r="AD509" i="21"/>
  <c r="AD510" i="21"/>
  <c r="AD511" i="21"/>
  <c r="AD512" i="21"/>
  <c r="AD513" i="21"/>
  <c r="AD514" i="21"/>
  <c r="AD515" i="21"/>
  <c r="AD516" i="21"/>
  <c r="AD517" i="21"/>
  <c r="AD518" i="21"/>
  <c r="AD519" i="21"/>
  <c r="AD520" i="21"/>
  <c r="AD521" i="21"/>
  <c r="AD522" i="21"/>
  <c r="AD523" i="21"/>
  <c r="AD524" i="21"/>
  <c r="AD525" i="21"/>
  <c r="AD526" i="21"/>
  <c r="AD527" i="21"/>
  <c r="AD528" i="21"/>
  <c r="AD529" i="21"/>
  <c r="AD530" i="21"/>
  <c r="AD531" i="21"/>
  <c r="AD532" i="21"/>
  <c r="AD533" i="21"/>
  <c r="AD534" i="21"/>
  <c r="AD535" i="21"/>
  <c r="AD536" i="21"/>
  <c r="AD537" i="21"/>
  <c r="AD538" i="21"/>
  <c r="AD539" i="21"/>
  <c r="AD540" i="21"/>
  <c r="AD541" i="21"/>
  <c r="AD542" i="21"/>
  <c r="AD543" i="21"/>
  <c r="AD544" i="21"/>
  <c r="AD545" i="21"/>
  <c r="AD546" i="21"/>
  <c r="AD547" i="21"/>
  <c r="AD548" i="21"/>
  <c r="AD549" i="21"/>
  <c r="AD550" i="21"/>
  <c r="AD551" i="21"/>
  <c r="AD552" i="21"/>
  <c r="AD553" i="21"/>
  <c r="AD554" i="21"/>
  <c r="AD555" i="21"/>
  <c r="AD556" i="21"/>
  <c r="AD557" i="21"/>
  <c r="AD558" i="21"/>
  <c r="AD559" i="21"/>
  <c r="AD560" i="21"/>
  <c r="AD561" i="21"/>
  <c r="AD562" i="21"/>
  <c r="AD563" i="21"/>
  <c r="AD564" i="21"/>
  <c r="AD565" i="21"/>
  <c r="AD566" i="21"/>
  <c r="AD567" i="21"/>
  <c r="AD568" i="21"/>
  <c r="AD569" i="21"/>
  <c r="AD570" i="21"/>
  <c r="AD571" i="21"/>
  <c r="AD572" i="21"/>
  <c r="AD573" i="21"/>
  <c r="AD574" i="21"/>
  <c r="AD575" i="21"/>
  <c r="AD576" i="21"/>
  <c r="AD577" i="21"/>
  <c r="AD578" i="21"/>
  <c r="AD579" i="21"/>
  <c r="AD580" i="21"/>
  <c r="AD581" i="21"/>
  <c r="AD582" i="21"/>
  <c r="AD583" i="21"/>
  <c r="AD584" i="21"/>
  <c r="AD585" i="21"/>
  <c r="AD586" i="21"/>
  <c r="AD587" i="21"/>
  <c r="AD588" i="21"/>
  <c r="AD589" i="21"/>
  <c r="AD590" i="21"/>
  <c r="AD591" i="21"/>
  <c r="AD592" i="21"/>
  <c r="AD593" i="21"/>
  <c r="AD594" i="21"/>
  <c r="AD595" i="21"/>
  <c r="AD596" i="21"/>
  <c r="AD597" i="21"/>
  <c r="AD598" i="21"/>
  <c r="AD599" i="21"/>
  <c r="AD600" i="21"/>
  <c r="AD601" i="21"/>
  <c r="AD602" i="21"/>
  <c r="AD603" i="21"/>
  <c r="AD604" i="21"/>
  <c r="AD605" i="21"/>
  <c r="AD606" i="21"/>
  <c r="AD607" i="21"/>
  <c r="AD608" i="21"/>
  <c r="AD609" i="21"/>
  <c r="AD610" i="21"/>
  <c r="AD611" i="21"/>
  <c r="AD612" i="21"/>
  <c r="AD613" i="21"/>
  <c r="AD614" i="21"/>
  <c r="AD615" i="21"/>
  <c r="AD616" i="21"/>
  <c r="AD617" i="21"/>
  <c r="AD618" i="21"/>
  <c r="AD619" i="21"/>
  <c r="AD620" i="21"/>
  <c r="AD621" i="21"/>
  <c r="AD622" i="21"/>
  <c r="AD623" i="21"/>
  <c r="AD624" i="21"/>
  <c r="AD625" i="21"/>
  <c r="AD626" i="21"/>
  <c r="AD627" i="21"/>
  <c r="AD628" i="21"/>
  <c r="AD629" i="21"/>
  <c r="AD630" i="21"/>
  <c r="AD631" i="21"/>
  <c r="AD632" i="21"/>
  <c r="AD633" i="21"/>
  <c r="AD634" i="21"/>
  <c r="AD635" i="21"/>
  <c r="AD636" i="21"/>
  <c r="AD637" i="21"/>
  <c r="AD638" i="21"/>
  <c r="AD639" i="21"/>
  <c r="AD640" i="21"/>
  <c r="AD641" i="21"/>
  <c r="AD642" i="21"/>
  <c r="AD643" i="21"/>
  <c r="AD644" i="21"/>
  <c r="AD645" i="21"/>
  <c r="AD646" i="21"/>
  <c r="AD647" i="21"/>
  <c r="AD648" i="21"/>
  <c r="AD649" i="21"/>
  <c r="AD650" i="21"/>
  <c r="AD651" i="21"/>
  <c r="AD652" i="21"/>
  <c r="AD653" i="21"/>
  <c r="AD654" i="21"/>
  <c r="AD655" i="21"/>
  <c r="AD656" i="21"/>
  <c r="AD657" i="21"/>
  <c r="AD658" i="21"/>
  <c r="AD659" i="21"/>
  <c r="AD660" i="21"/>
  <c r="AD661" i="21"/>
  <c r="AD662" i="21"/>
  <c r="AD663" i="21"/>
  <c r="AD664" i="21"/>
  <c r="AD665" i="21"/>
  <c r="AD666" i="21"/>
  <c r="AD667" i="21"/>
  <c r="AD668" i="21"/>
  <c r="AD669" i="21"/>
  <c r="AD670" i="21"/>
  <c r="AD671" i="21"/>
  <c r="AD672" i="21"/>
  <c r="AD673" i="21"/>
  <c r="AD674" i="21"/>
  <c r="AD675" i="21"/>
  <c r="AD676" i="21"/>
  <c r="AD677" i="21"/>
  <c r="AD678" i="21"/>
  <c r="AD679" i="21"/>
  <c r="AD680" i="21"/>
  <c r="AD681" i="21"/>
  <c r="AD682" i="21"/>
  <c r="AD683" i="21"/>
  <c r="AD684" i="21"/>
  <c r="AD685" i="21"/>
  <c r="AD686" i="21"/>
  <c r="AD687" i="21"/>
  <c r="AD688" i="21"/>
  <c r="AD689" i="21"/>
  <c r="AD690" i="21"/>
  <c r="AD691" i="21"/>
  <c r="AD692" i="21"/>
  <c r="AD693" i="21"/>
  <c r="AD694" i="21"/>
  <c r="AD695" i="21"/>
  <c r="AD696" i="21"/>
  <c r="AD697" i="21"/>
  <c r="AD698" i="21"/>
  <c r="AD699" i="21"/>
  <c r="AD700" i="21"/>
  <c r="AD701" i="21"/>
  <c r="AD702" i="21"/>
  <c r="AD703" i="21"/>
  <c r="AD704" i="21"/>
  <c r="AD705" i="21"/>
  <c r="AD706" i="21"/>
  <c r="AD707" i="21"/>
  <c r="AD708" i="21"/>
  <c r="AD709" i="21"/>
  <c r="AD710" i="21"/>
  <c r="AD711" i="21"/>
  <c r="AD712" i="21"/>
  <c r="AD713" i="21"/>
  <c r="AD714" i="21"/>
  <c r="AD715" i="21"/>
  <c r="AD716" i="21"/>
  <c r="AD717" i="21"/>
  <c r="AD718" i="21"/>
  <c r="AD719" i="21"/>
  <c r="AD720" i="21"/>
  <c r="AD721" i="21"/>
  <c r="AD722" i="21"/>
  <c r="AD723" i="21"/>
  <c r="AD724" i="21"/>
  <c r="AD725" i="21"/>
  <c r="AD726" i="21"/>
  <c r="AD727" i="21"/>
  <c r="AD728" i="21"/>
  <c r="AD729" i="21"/>
  <c r="AD730" i="21"/>
  <c r="AD731" i="21"/>
  <c r="AD732" i="21"/>
  <c r="AD733" i="21"/>
  <c r="AD734" i="21"/>
  <c r="AD735" i="21"/>
  <c r="AD736" i="21"/>
  <c r="AD737" i="21"/>
  <c r="AD738" i="21"/>
  <c r="AD739" i="21"/>
  <c r="AD740" i="21"/>
  <c r="AD741" i="21"/>
  <c r="AD742" i="21"/>
  <c r="AD743" i="21"/>
  <c r="AD744" i="21"/>
  <c r="AD745" i="21"/>
  <c r="AD746" i="21"/>
  <c r="AD747" i="21"/>
  <c r="AD748" i="21"/>
  <c r="AD749" i="21"/>
  <c r="AD750" i="21"/>
  <c r="AD751" i="21"/>
  <c r="AD752" i="21"/>
  <c r="AD753" i="21"/>
  <c r="AD754" i="21"/>
  <c r="AD755" i="21"/>
  <c r="AD756" i="21"/>
  <c r="AD757" i="21"/>
  <c r="AD758" i="21"/>
  <c r="AD759" i="21"/>
  <c r="AD760" i="21"/>
  <c r="AD761" i="21"/>
  <c r="AD762" i="21"/>
  <c r="AD763" i="21"/>
  <c r="AD764" i="21"/>
  <c r="AD765" i="21"/>
  <c r="AD766" i="21"/>
  <c r="AD767" i="21"/>
  <c r="AD768" i="21"/>
  <c r="AD769" i="21"/>
  <c r="AD770" i="21"/>
  <c r="AD771" i="21"/>
  <c r="AD772" i="21"/>
  <c r="AD773" i="21"/>
  <c r="AD774" i="21"/>
  <c r="AD775" i="21"/>
  <c r="AD776" i="21"/>
  <c r="AD777" i="21"/>
  <c r="AD778" i="21"/>
  <c r="AD779" i="21"/>
  <c r="AD780" i="21"/>
  <c r="AD781" i="21"/>
  <c r="AD782" i="21"/>
  <c r="AD783" i="21"/>
  <c r="AD784" i="21"/>
  <c r="AD785" i="21"/>
  <c r="AD786" i="21"/>
  <c r="AD787" i="21"/>
  <c r="AD788" i="21"/>
  <c r="AD789" i="21"/>
  <c r="AD790" i="21"/>
  <c r="AD791" i="21"/>
  <c r="AD792" i="21"/>
  <c r="AD793" i="21"/>
  <c r="AD794" i="21"/>
  <c r="AD795" i="21"/>
  <c r="AD796" i="21"/>
  <c r="AD797" i="21"/>
  <c r="AD798" i="21"/>
  <c r="AD799" i="21"/>
  <c r="AD800" i="21"/>
  <c r="AD801" i="21"/>
  <c r="AD802" i="21"/>
  <c r="AD803" i="21"/>
  <c r="AD804" i="21"/>
  <c r="AD805" i="21"/>
  <c r="AD806" i="21"/>
  <c r="AD807" i="21"/>
  <c r="AD808" i="21"/>
  <c r="AD809" i="21"/>
  <c r="AD810" i="21"/>
  <c r="AD811" i="21"/>
  <c r="AD812" i="21"/>
  <c r="AD813" i="21"/>
  <c r="AD814" i="21"/>
  <c r="AD815" i="21"/>
  <c r="AD816" i="21"/>
  <c r="AD817" i="21"/>
  <c r="AD818" i="21"/>
  <c r="AD819" i="21"/>
  <c r="AD820" i="21"/>
  <c r="AD821" i="21"/>
  <c r="AD822" i="21"/>
  <c r="AD823" i="21"/>
  <c r="AD824" i="21"/>
  <c r="AD825" i="21"/>
  <c r="AD826" i="21"/>
  <c r="AD827" i="21"/>
  <c r="AD828" i="21"/>
  <c r="AD829" i="21"/>
  <c r="AD830" i="21"/>
  <c r="AD831" i="21"/>
  <c r="AD832" i="21"/>
  <c r="AD833" i="21"/>
  <c r="AD834" i="21"/>
  <c r="AD835" i="21"/>
  <c r="AD836" i="21"/>
  <c r="AD837" i="21"/>
  <c r="AD838" i="21"/>
  <c r="AD839" i="21"/>
  <c r="AD840" i="21"/>
  <c r="AD841" i="21"/>
  <c r="AD842" i="21"/>
  <c r="AD843" i="21"/>
  <c r="AD844" i="21"/>
  <c r="AD845" i="21"/>
  <c r="AD846" i="21"/>
  <c r="AD847" i="21"/>
  <c r="AD848" i="21"/>
  <c r="AD849" i="21"/>
  <c r="AD850" i="21"/>
  <c r="AD851" i="21"/>
  <c r="AD852" i="21"/>
  <c r="AD853" i="21"/>
  <c r="AD854" i="21"/>
  <c r="AD855" i="21"/>
  <c r="AD856" i="21"/>
  <c r="AD857" i="21"/>
  <c r="AD858" i="21"/>
  <c r="AD859" i="21"/>
  <c r="AD860" i="21"/>
  <c r="AD861" i="21"/>
  <c r="AD862" i="21"/>
  <c r="AD863" i="21"/>
  <c r="AD864" i="21"/>
  <c r="AD865" i="21"/>
  <c r="AD866" i="21"/>
  <c r="AD867" i="21"/>
  <c r="AD868" i="21"/>
  <c r="AD869" i="21"/>
  <c r="AD870" i="21"/>
  <c r="AD871" i="21"/>
  <c r="AD872" i="21"/>
  <c r="AD873" i="21"/>
  <c r="AD874" i="21"/>
  <c r="AD875" i="21"/>
  <c r="AD876" i="21"/>
  <c r="AD877" i="21"/>
  <c r="AD878" i="21"/>
  <c r="AD879" i="21"/>
  <c r="AD880" i="21"/>
  <c r="AD881" i="21"/>
  <c r="AD882" i="21"/>
  <c r="AD883" i="21"/>
  <c r="AD884" i="21"/>
  <c r="AD885" i="21"/>
  <c r="AD886" i="21"/>
  <c r="AD887" i="21"/>
  <c r="AD888" i="21"/>
  <c r="AD889" i="21"/>
  <c r="AD890" i="21"/>
  <c r="AD891" i="21"/>
  <c r="AD892" i="21"/>
  <c r="AD893" i="21"/>
  <c r="AD894" i="21"/>
  <c r="AD895" i="21"/>
  <c r="AD896" i="21"/>
  <c r="AD897" i="21"/>
  <c r="AD898" i="21"/>
  <c r="AD899" i="21"/>
  <c r="AD900" i="21"/>
  <c r="AD901" i="21"/>
  <c r="AD902" i="21"/>
  <c r="AD903" i="21"/>
  <c r="AD904" i="21"/>
  <c r="AD905" i="21"/>
  <c r="AD906" i="21"/>
  <c r="AD907" i="21"/>
  <c r="AD908" i="21"/>
  <c r="AD909" i="21"/>
  <c r="AD910" i="21"/>
  <c r="AD911" i="21"/>
  <c r="AD912" i="21"/>
  <c r="AD913" i="21"/>
  <c r="AD914" i="21"/>
  <c r="AD915" i="21"/>
  <c r="AD916" i="21"/>
  <c r="AD917" i="21"/>
  <c r="AD918" i="21"/>
  <c r="AD919" i="21"/>
  <c r="AD920" i="21"/>
  <c r="AD921" i="21"/>
  <c r="AD922" i="21"/>
  <c r="AD923" i="21"/>
  <c r="AD924" i="21"/>
  <c r="AD925" i="21"/>
  <c r="AD926" i="21"/>
  <c r="AD927" i="21"/>
  <c r="AD928" i="21"/>
  <c r="AD929" i="21"/>
  <c r="AD930" i="21"/>
  <c r="AD931" i="21"/>
  <c r="AD932" i="21"/>
  <c r="AD933" i="21"/>
  <c r="AD934" i="21"/>
  <c r="AD935" i="21"/>
  <c r="AD936" i="21"/>
  <c r="AD937" i="21"/>
  <c r="AD938" i="21"/>
  <c r="AD939" i="21"/>
  <c r="AD940" i="21"/>
  <c r="AD941" i="21"/>
  <c r="AD942" i="21"/>
  <c r="AD943" i="21"/>
  <c r="AD944" i="21"/>
  <c r="AD945" i="21"/>
  <c r="AD946" i="21"/>
  <c r="AD947" i="21"/>
  <c r="AD948" i="21"/>
  <c r="AD949" i="21"/>
  <c r="AD950" i="21"/>
  <c r="AD951" i="21"/>
  <c r="AD952" i="21"/>
  <c r="AD953" i="21"/>
  <c r="AD954" i="21"/>
  <c r="AD955" i="21"/>
  <c r="AD956" i="21"/>
  <c r="AD957" i="21"/>
  <c r="AD958" i="21"/>
  <c r="AD959" i="21"/>
  <c r="AD960" i="21"/>
  <c r="AD961" i="21"/>
  <c r="AD962" i="21"/>
  <c r="AD963" i="21"/>
  <c r="AD964" i="21"/>
  <c r="AD965" i="21"/>
  <c r="AD966" i="21"/>
  <c r="AD967" i="21"/>
  <c r="AD968" i="21"/>
  <c r="AD969" i="21"/>
  <c r="AD970" i="21"/>
  <c r="AD971" i="21"/>
  <c r="AD972" i="21"/>
  <c r="AD973" i="21"/>
  <c r="AD974" i="21"/>
  <c r="AD975" i="21"/>
  <c r="AD976" i="21"/>
  <c r="AD977" i="21"/>
  <c r="AD978" i="21"/>
  <c r="AD979" i="21"/>
  <c r="AD980" i="21"/>
  <c r="AD981" i="21"/>
  <c r="AD982" i="21"/>
  <c r="AD983" i="21"/>
  <c r="AD984" i="21"/>
  <c r="AD985" i="21"/>
  <c r="AD986" i="21"/>
  <c r="AD987" i="21"/>
  <c r="AD988" i="21"/>
  <c r="AD989" i="21"/>
  <c r="AD990" i="21"/>
  <c r="AD991" i="21"/>
  <c r="AD992" i="21"/>
  <c r="AD993" i="21"/>
  <c r="AD994" i="21"/>
  <c r="AD995" i="21"/>
  <c r="AD996" i="21"/>
  <c r="AD997" i="21"/>
  <c r="AD998" i="21"/>
  <c r="AD999" i="21"/>
  <c r="AD1000" i="21"/>
  <c r="AD1001" i="21"/>
  <c r="AD1002" i="21"/>
  <c r="AD1003" i="21"/>
  <c r="AD1004" i="21"/>
  <c r="AD1005" i="21"/>
  <c r="AD1006" i="21"/>
  <c r="AD1007" i="21"/>
  <c r="AD1008" i="21"/>
  <c r="AD1009" i="21"/>
  <c r="AD1010" i="21"/>
  <c r="AD1011" i="21"/>
  <c r="AD1012" i="21"/>
  <c r="AD1013" i="21"/>
  <c r="AD1014" i="21"/>
  <c r="AD1015" i="21"/>
  <c r="AD1016" i="21"/>
  <c r="AD1017" i="21"/>
  <c r="AD1018" i="21"/>
  <c r="AD1019" i="21"/>
  <c r="AD1020" i="21"/>
  <c r="AD1021" i="21"/>
  <c r="AD1022" i="21"/>
  <c r="AD1023" i="21"/>
  <c r="AD1024" i="21"/>
  <c r="AD1025" i="21"/>
  <c r="AD1026" i="21"/>
  <c r="AD1027" i="21"/>
  <c r="AD1028" i="21"/>
  <c r="AD1029" i="21"/>
  <c r="AD1030" i="21"/>
  <c r="AD1031" i="21"/>
  <c r="AD1032" i="21"/>
  <c r="AD1033" i="21"/>
  <c r="AD1034" i="21"/>
  <c r="AD1035" i="21"/>
  <c r="AD1036" i="21"/>
  <c r="AD1037" i="21"/>
  <c r="AD1038" i="21"/>
  <c r="AD1039" i="21"/>
  <c r="AD1040" i="21"/>
  <c r="AD1041" i="21"/>
  <c r="AD1042" i="21"/>
  <c r="AD1043" i="21"/>
  <c r="AD1044" i="21"/>
  <c r="AD1045" i="21"/>
  <c r="AD1046" i="21"/>
  <c r="AD1047" i="21"/>
  <c r="AD1048" i="21"/>
  <c r="AD1049" i="21"/>
  <c r="AD1050" i="21"/>
  <c r="AD1051" i="21"/>
  <c r="AD1052" i="21"/>
  <c r="AD1053" i="21"/>
  <c r="AD1054" i="21"/>
  <c r="AD1055" i="21"/>
  <c r="AD1056" i="21"/>
  <c r="AD1057" i="21"/>
  <c r="AD1058" i="21"/>
  <c r="AD1059" i="21"/>
  <c r="AD1060" i="21"/>
  <c r="AD1061" i="21"/>
  <c r="AD1062" i="21"/>
  <c r="AD1063" i="21"/>
  <c r="AD1064" i="21"/>
  <c r="AD1065" i="21"/>
  <c r="AD1066" i="21"/>
  <c r="AD1067" i="21"/>
  <c r="AD1068" i="21"/>
  <c r="AD1069" i="21"/>
  <c r="AD1070" i="21"/>
  <c r="AD1071" i="21"/>
  <c r="AD1072" i="21"/>
  <c r="AD1073" i="21"/>
  <c r="AD1074" i="21"/>
  <c r="AD1075" i="21"/>
  <c r="AD1076" i="21"/>
  <c r="AD1077" i="21"/>
  <c r="AD1078" i="21"/>
  <c r="AD1079" i="21"/>
  <c r="AD1080" i="21"/>
  <c r="AD1081" i="21"/>
  <c r="AD1082" i="21"/>
  <c r="AD1083" i="21"/>
  <c r="AD1084" i="21"/>
  <c r="AD1085" i="21"/>
  <c r="AD1086" i="21"/>
  <c r="AD1087" i="21"/>
  <c r="AD1088" i="21"/>
  <c r="AD1089" i="21"/>
  <c r="AD1090" i="21"/>
  <c r="AD1091" i="21"/>
  <c r="AD1092" i="21"/>
  <c r="AD1093" i="21"/>
  <c r="AD1094" i="21"/>
  <c r="AD1095" i="21"/>
  <c r="AD1096" i="21"/>
  <c r="AD1097" i="21"/>
  <c r="AD1098" i="21"/>
  <c r="AD1099" i="21"/>
  <c r="AD1100" i="21"/>
  <c r="AD1101" i="21"/>
  <c r="AD1102" i="21"/>
  <c r="AD1103" i="21"/>
  <c r="AD1104" i="21"/>
  <c r="AD1105" i="21"/>
  <c r="AD1106" i="21"/>
  <c r="AD1107" i="21"/>
  <c r="AD1108" i="21"/>
  <c r="AD1109" i="21"/>
  <c r="AD1110" i="21"/>
  <c r="AD1111" i="21"/>
  <c r="AD1112" i="21"/>
  <c r="AD1113" i="21"/>
  <c r="AD1114" i="21"/>
  <c r="AD1115" i="21"/>
  <c r="AD1116" i="21"/>
  <c r="AD1117" i="21"/>
  <c r="AD1118" i="21"/>
  <c r="AD1119" i="21"/>
  <c r="AD1120" i="21"/>
  <c r="AD1121" i="21"/>
  <c r="AD1122" i="21"/>
  <c r="AD1123" i="21"/>
  <c r="AD1124" i="21"/>
  <c r="AD1125" i="21"/>
  <c r="AD1126" i="21"/>
  <c r="AD1127" i="21"/>
  <c r="AD1128" i="21"/>
  <c r="AD1129" i="21"/>
  <c r="AD2" i="21"/>
  <c r="AC3" i="21"/>
  <c r="AC4" i="21"/>
  <c r="AC5" i="21"/>
  <c r="AC6" i="21"/>
  <c r="AC7" i="21"/>
  <c r="AC8" i="21"/>
  <c r="AC9" i="21"/>
  <c r="AC10" i="21"/>
  <c r="AC11" i="21"/>
  <c r="AC12" i="21"/>
  <c r="AC13" i="21"/>
  <c r="AC14" i="21"/>
  <c r="AC15" i="21"/>
  <c r="AC16" i="21"/>
  <c r="AC17" i="21"/>
  <c r="AC18" i="21"/>
  <c r="AC19" i="21"/>
  <c r="AC20" i="21"/>
  <c r="AC21" i="21"/>
  <c r="AC22" i="21"/>
  <c r="AC23" i="21"/>
  <c r="AC24" i="21"/>
  <c r="AC25" i="21"/>
  <c r="AC26" i="21"/>
  <c r="AC27" i="21"/>
  <c r="AC28" i="21"/>
  <c r="AC29" i="21"/>
  <c r="AC30" i="21"/>
  <c r="AC31" i="21"/>
  <c r="AC32" i="21"/>
  <c r="AC33" i="21"/>
  <c r="AC34" i="21"/>
  <c r="AC35" i="21"/>
  <c r="AC36" i="21"/>
  <c r="AC37" i="21"/>
  <c r="AC38" i="21"/>
  <c r="AC39" i="21"/>
  <c r="AC40" i="21"/>
  <c r="AC41" i="21"/>
  <c r="AC42" i="21"/>
  <c r="AC43" i="21"/>
  <c r="AC44" i="21"/>
  <c r="AC45" i="21"/>
  <c r="AC46" i="21"/>
  <c r="AC47" i="21"/>
  <c r="AC48" i="21"/>
  <c r="AC49" i="21"/>
  <c r="AC50" i="21"/>
  <c r="AC51" i="21"/>
  <c r="AC52" i="21"/>
  <c r="AC53" i="21"/>
  <c r="AC54" i="21"/>
  <c r="AC55" i="21"/>
  <c r="AC56" i="21"/>
  <c r="AC57" i="21"/>
  <c r="AC58" i="21"/>
  <c r="AC59" i="21"/>
  <c r="AC60" i="21"/>
  <c r="AC61" i="21"/>
  <c r="AC62" i="21"/>
  <c r="AC63" i="21"/>
  <c r="AC64" i="21"/>
  <c r="AC65" i="21"/>
  <c r="AC66" i="21"/>
  <c r="AC67" i="21"/>
  <c r="AC68" i="21"/>
  <c r="AC69" i="21"/>
  <c r="AC70" i="21"/>
  <c r="AC71" i="21"/>
  <c r="AC72" i="21"/>
  <c r="AC73" i="21"/>
  <c r="AC74" i="21"/>
  <c r="AC75" i="21"/>
  <c r="AC76" i="21"/>
  <c r="AC77" i="21"/>
  <c r="AC78" i="21"/>
  <c r="AC79" i="21"/>
  <c r="AC80" i="21"/>
  <c r="AC81" i="21"/>
  <c r="AC82" i="21"/>
  <c r="AC83" i="21"/>
  <c r="AC84" i="21"/>
  <c r="AC85" i="21"/>
  <c r="AC86" i="21"/>
  <c r="AC87" i="21"/>
  <c r="AC88" i="21"/>
  <c r="AC89" i="21"/>
  <c r="AC90" i="21"/>
  <c r="AC91" i="21"/>
  <c r="AC92" i="21"/>
  <c r="AC93" i="21"/>
  <c r="AC94" i="21"/>
  <c r="AC95" i="21"/>
  <c r="AC96" i="21"/>
  <c r="AC97" i="21"/>
  <c r="AC98" i="21"/>
  <c r="AC99" i="21"/>
  <c r="AC100" i="21"/>
  <c r="AC101" i="21"/>
  <c r="AC102" i="21"/>
  <c r="AC103" i="21"/>
  <c r="AC104" i="21"/>
  <c r="AC105" i="21"/>
  <c r="AC106" i="21"/>
  <c r="AC107" i="21"/>
  <c r="AC108" i="21"/>
  <c r="AC109" i="21"/>
  <c r="AC110" i="21"/>
  <c r="AC111" i="21"/>
  <c r="AC112" i="21"/>
  <c r="AC113" i="21"/>
  <c r="AC114" i="21"/>
  <c r="AC115" i="21"/>
  <c r="AC116" i="21"/>
  <c r="AC117" i="21"/>
  <c r="AC118" i="21"/>
  <c r="AC119" i="21"/>
  <c r="AC120" i="21"/>
  <c r="AC121" i="21"/>
  <c r="AC122" i="21"/>
  <c r="AC123" i="21"/>
  <c r="AC124" i="21"/>
  <c r="AC125" i="21"/>
  <c r="AC126" i="21"/>
  <c r="AC127" i="21"/>
  <c r="AC128" i="21"/>
  <c r="AC129" i="21"/>
  <c r="AC130" i="21"/>
  <c r="AC131" i="21"/>
  <c r="AC132" i="21"/>
  <c r="AC133" i="21"/>
  <c r="AC134" i="21"/>
  <c r="AC135" i="21"/>
  <c r="AC136" i="21"/>
  <c r="AC137" i="21"/>
  <c r="AC138" i="21"/>
  <c r="AC139" i="21"/>
  <c r="AC140" i="21"/>
  <c r="AC141" i="21"/>
  <c r="AC142" i="21"/>
  <c r="AC143" i="21"/>
  <c r="AC144" i="21"/>
  <c r="AC145" i="21"/>
  <c r="AC146" i="21"/>
  <c r="AC147" i="21"/>
  <c r="AC148" i="21"/>
  <c r="AC149" i="21"/>
  <c r="AC150" i="21"/>
  <c r="AC151" i="21"/>
  <c r="AC152" i="21"/>
  <c r="AC153" i="21"/>
  <c r="AC154" i="21"/>
  <c r="AC155" i="21"/>
  <c r="AC156" i="21"/>
  <c r="AC157" i="21"/>
  <c r="AC158" i="21"/>
  <c r="AC159" i="21"/>
  <c r="AC160" i="21"/>
  <c r="AC161" i="21"/>
  <c r="AC162" i="21"/>
  <c r="AC163" i="21"/>
  <c r="AC164" i="21"/>
  <c r="AC165" i="21"/>
  <c r="AC166" i="21"/>
  <c r="AC167" i="21"/>
  <c r="AC168" i="21"/>
  <c r="AC169" i="21"/>
  <c r="AC170" i="21"/>
  <c r="AC171" i="21"/>
  <c r="AC172" i="21"/>
  <c r="AC173" i="21"/>
  <c r="AC174" i="21"/>
  <c r="AC175" i="21"/>
  <c r="AC176" i="21"/>
  <c r="AC177" i="21"/>
  <c r="AC178" i="21"/>
  <c r="AC179" i="21"/>
  <c r="AC180" i="21"/>
  <c r="AC181" i="21"/>
  <c r="AC182" i="21"/>
  <c r="AC183" i="21"/>
  <c r="AC184" i="21"/>
  <c r="AC185" i="21"/>
  <c r="AC186" i="21"/>
  <c r="AC187" i="21"/>
  <c r="AC188" i="21"/>
  <c r="AC189" i="21"/>
  <c r="AC190" i="21"/>
  <c r="AC191" i="21"/>
  <c r="AC192" i="21"/>
  <c r="AC193" i="21"/>
  <c r="AC194" i="21"/>
  <c r="AC195" i="21"/>
  <c r="AC196" i="21"/>
  <c r="AC197" i="21"/>
  <c r="AC198" i="21"/>
  <c r="AC199" i="21"/>
  <c r="AC200" i="21"/>
  <c r="AC201" i="21"/>
  <c r="AC202" i="21"/>
  <c r="AC203" i="21"/>
  <c r="AC204" i="21"/>
  <c r="AC205" i="21"/>
  <c r="AC206" i="21"/>
  <c r="AC207" i="21"/>
  <c r="AC208" i="21"/>
  <c r="AC209" i="21"/>
  <c r="AC210" i="21"/>
  <c r="AC211" i="21"/>
  <c r="AC212" i="21"/>
  <c r="AC213" i="21"/>
  <c r="AC214" i="21"/>
  <c r="AC215" i="21"/>
  <c r="AC216" i="21"/>
  <c r="AC217" i="21"/>
  <c r="AC218" i="21"/>
  <c r="AC219" i="21"/>
  <c r="AC220" i="21"/>
  <c r="AC221" i="21"/>
  <c r="AC222" i="21"/>
  <c r="AC223" i="21"/>
  <c r="AC224" i="21"/>
  <c r="AC225" i="21"/>
  <c r="AC226" i="21"/>
  <c r="AC227" i="21"/>
  <c r="AC228" i="21"/>
  <c r="AC229" i="21"/>
  <c r="AC230" i="21"/>
  <c r="AC231" i="21"/>
  <c r="AC232" i="21"/>
  <c r="AC233" i="21"/>
  <c r="AC234" i="21"/>
  <c r="AC235" i="21"/>
  <c r="AC236" i="21"/>
  <c r="AC237" i="21"/>
  <c r="AC238" i="21"/>
  <c r="AC239" i="21"/>
  <c r="AC240" i="21"/>
  <c r="AC241" i="21"/>
  <c r="AC242" i="21"/>
  <c r="AC243" i="21"/>
  <c r="AC244" i="21"/>
  <c r="AC245" i="21"/>
  <c r="AC246" i="21"/>
  <c r="AC247" i="21"/>
  <c r="AC248" i="21"/>
  <c r="AC249" i="21"/>
  <c r="AC250" i="21"/>
  <c r="AC251" i="21"/>
  <c r="AC252" i="21"/>
  <c r="AC253" i="21"/>
  <c r="AC254" i="21"/>
  <c r="AC255" i="21"/>
  <c r="AC256" i="21"/>
  <c r="AC257" i="21"/>
  <c r="AC258" i="21"/>
  <c r="AC259" i="21"/>
  <c r="AC260" i="21"/>
  <c r="AC261" i="21"/>
  <c r="AC262" i="21"/>
  <c r="AC263" i="21"/>
  <c r="AC264" i="21"/>
  <c r="AC265" i="21"/>
  <c r="AC266" i="21"/>
  <c r="AC267" i="21"/>
  <c r="AC268" i="21"/>
  <c r="AC269" i="21"/>
  <c r="AC270" i="21"/>
  <c r="AC271" i="21"/>
  <c r="AC272" i="21"/>
  <c r="AC273" i="21"/>
  <c r="AC274" i="21"/>
  <c r="AC275" i="21"/>
  <c r="AC276" i="21"/>
  <c r="AC277" i="21"/>
  <c r="AC278" i="21"/>
  <c r="AC279" i="21"/>
  <c r="AC280" i="21"/>
  <c r="AC281" i="21"/>
  <c r="AC282" i="21"/>
  <c r="AC283" i="21"/>
  <c r="AC284" i="21"/>
  <c r="AC285" i="21"/>
  <c r="AC286" i="21"/>
  <c r="AC287" i="21"/>
  <c r="AC288" i="21"/>
  <c r="AC289" i="21"/>
  <c r="AC290" i="21"/>
  <c r="AC291" i="21"/>
  <c r="AC292" i="21"/>
  <c r="AC293" i="21"/>
  <c r="AC294" i="21"/>
  <c r="AC295" i="21"/>
  <c r="AC296" i="21"/>
  <c r="AC297" i="21"/>
  <c r="AC298" i="21"/>
  <c r="AC299" i="21"/>
  <c r="AC300" i="21"/>
  <c r="AC301" i="21"/>
  <c r="AC302" i="21"/>
  <c r="AC303" i="21"/>
  <c r="AC304" i="21"/>
  <c r="AC305" i="21"/>
  <c r="AC306" i="21"/>
  <c r="AC307" i="21"/>
  <c r="AC308" i="21"/>
  <c r="AC309" i="21"/>
  <c r="AC310" i="21"/>
  <c r="AC311" i="21"/>
  <c r="AC312" i="21"/>
  <c r="AC313" i="21"/>
  <c r="AC314" i="21"/>
  <c r="AC315" i="21"/>
  <c r="AC316" i="21"/>
  <c r="AC317" i="21"/>
  <c r="AC318" i="21"/>
  <c r="AC319" i="21"/>
  <c r="AC320" i="21"/>
  <c r="AC321" i="21"/>
  <c r="AC322" i="21"/>
  <c r="AC323" i="21"/>
  <c r="AC324" i="21"/>
  <c r="AC325" i="21"/>
  <c r="AC326" i="21"/>
  <c r="AC327" i="21"/>
  <c r="AC328" i="21"/>
  <c r="AC329" i="21"/>
  <c r="AC330" i="21"/>
  <c r="AC331" i="21"/>
  <c r="AC332" i="21"/>
  <c r="AC333" i="21"/>
  <c r="AC334" i="21"/>
  <c r="AC335" i="21"/>
  <c r="AC336" i="21"/>
  <c r="AC337" i="21"/>
  <c r="AC338" i="21"/>
  <c r="AC339" i="21"/>
  <c r="AC340" i="21"/>
  <c r="AC341" i="21"/>
  <c r="AC342" i="21"/>
  <c r="AC343" i="21"/>
  <c r="AC344" i="21"/>
  <c r="AC345" i="21"/>
  <c r="AC346" i="21"/>
  <c r="AC347" i="21"/>
  <c r="AC348" i="21"/>
  <c r="AC349" i="21"/>
  <c r="AC350" i="21"/>
  <c r="AC351" i="21"/>
  <c r="AC352" i="21"/>
  <c r="AC353" i="21"/>
  <c r="AC354" i="21"/>
  <c r="AC355" i="21"/>
  <c r="AC356" i="21"/>
  <c r="AC357" i="21"/>
  <c r="AC358" i="21"/>
  <c r="AC359" i="21"/>
  <c r="AC360" i="21"/>
  <c r="AC361" i="21"/>
  <c r="AC362" i="21"/>
  <c r="AC363" i="21"/>
  <c r="AC364" i="21"/>
  <c r="AC365" i="21"/>
  <c r="AC366" i="21"/>
  <c r="AC367" i="21"/>
  <c r="AC368" i="21"/>
  <c r="AC369" i="21"/>
  <c r="AC370" i="21"/>
  <c r="AC371" i="21"/>
  <c r="AC372" i="21"/>
  <c r="AC373" i="21"/>
  <c r="AC374" i="21"/>
  <c r="AC375" i="21"/>
  <c r="AC376" i="21"/>
  <c r="AC377" i="21"/>
  <c r="AC378" i="21"/>
  <c r="AC379" i="21"/>
  <c r="AC380" i="21"/>
  <c r="AC381" i="21"/>
  <c r="AC382" i="21"/>
  <c r="AC383" i="21"/>
  <c r="AC384" i="21"/>
  <c r="AC385" i="21"/>
  <c r="AC386" i="21"/>
  <c r="AC387" i="21"/>
  <c r="AC388" i="21"/>
  <c r="AC389" i="21"/>
  <c r="AC390" i="21"/>
  <c r="AC391" i="21"/>
  <c r="AC392" i="21"/>
  <c r="AC393" i="21"/>
  <c r="AC394" i="21"/>
  <c r="AC395" i="21"/>
  <c r="AC396" i="21"/>
  <c r="AC397" i="21"/>
  <c r="AC398" i="21"/>
  <c r="AC399" i="21"/>
  <c r="AC400" i="21"/>
  <c r="AC401" i="21"/>
  <c r="AC402" i="21"/>
  <c r="AC403" i="21"/>
  <c r="AC404" i="21"/>
  <c r="AC405" i="21"/>
  <c r="AC406" i="21"/>
  <c r="AC407" i="21"/>
  <c r="AC408" i="21"/>
  <c r="AC409" i="21"/>
  <c r="AC410" i="21"/>
  <c r="AC411" i="21"/>
  <c r="AC412" i="21"/>
  <c r="AC413" i="21"/>
  <c r="AC414" i="21"/>
  <c r="AC415" i="21"/>
  <c r="AC416" i="21"/>
  <c r="AC417" i="21"/>
  <c r="AC418" i="21"/>
  <c r="AC419" i="21"/>
  <c r="AC420" i="21"/>
  <c r="AC421" i="21"/>
  <c r="AC422" i="21"/>
  <c r="AC423" i="21"/>
  <c r="AC424" i="21"/>
  <c r="AC425" i="21"/>
  <c r="AC426" i="21"/>
  <c r="AC427" i="21"/>
  <c r="AC428" i="21"/>
  <c r="AC429" i="21"/>
  <c r="AC430" i="21"/>
  <c r="AC431" i="21"/>
  <c r="AC432" i="21"/>
  <c r="AC433" i="21"/>
  <c r="AC434" i="21"/>
  <c r="AC435" i="21"/>
  <c r="AC436" i="21"/>
  <c r="AC437" i="21"/>
  <c r="AC438" i="21"/>
  <c r="AC439" i="21"/>
  <c r="AC440" i="21"/>
  <c r="AC441" i="21"/>
  <c r="AC442" i="21"/>
  <c r="AC443" i="21"/>
  <c r="AC444" i="21"/>
  <c r="AC445" i="21"/>
  <c r="AC446" i="21"/>
  <c r="AC447" i="21"/>
  <c r="AC448" i="21"/>
  <c r="AC449" i="21"/>
  <c r="AC450" i="21"/>
  <c r="AC451" i="21"/>
  <c r="AC452" i="21"/>
  <c r="AC453" i="21"/>
  <c r="AC454" i="21"/>
  <c r="AC455" i="21"/>
  <c r="AC456" i="21"/>
  <c r="AC457" i="21"/>
  <c r="AC458" i="21"/>
  <c r="AC459" i="21"/>
  <c r="AC460" i="21"/>
  <c r="AC461" i="21"/>
  <c r="AC462" i="21"/>
  <c r="AC463" i="21"/>
  <c r="AC464" i="21"/>
  <c r="AC465" i="21"/>
  <c r="AC466" i="21"/>
  <c r="AC467" i="21"/>
  <c r="AC468" i="21"/>
  <c r="AC469" i="21"/>
  <c r="AC470" i="21"/>
  <c r="AC471" i="21"/>
  <c r="AC472" i="21"/>
  <c r="AC473" i="21"/>
  <c r="AC474" i="21"/>
  <c r="AC475" i="21"/>
  <c r="AC476" i="21"/>
  <c r="AC477" i="21"/>
  <c r="AC478" i="21"/>
  <c r="AC479" i="21"/>
  <c r="AC480" i="21"/>
  <c r="AC481" i="21"/>
  <c r="AC482" i="21"/>
  <c r="AC483" i="21"/>
  <c r="AC484" i="21"/>
  <c r="AC485" i="21"/>
  <c r="AC486" i="21"/>
  <c r="AC487" i="21"/>
  <c r="AC488" i="21"/>
  <c r="AC489" i="21"/>
  <c r="AC490" i="21"/>
  <c r="AC491" i="21"/>
  <c r="AC492" i="21"/>
  <c r="AC493" i="21"/>
  <c r="AC494" i="21"/>
  <c r="AC495" i="21"/>
  <c r="AC496" i="21"/>
  <c r="AC497" i="21"/>
  <c r="AC498" i="21"/>
  <c r="AC499" i="21"/>
  <c r="AC500" i="21"/>
  <c r="AC501" i="21"/>
  <c r="AC502" i="21"/>
  <c r="AC503" i="21"/>
  <c r="AC504" i="21"/>
  <c r="AC505" i="21"/>
  <c r="AC506" i="21"/>
  <c r="AC507" i="21"/>
  <c r="AC508" i="21"/>
  <c r="AC509" i="21"/>
  <c r="AC510" i="21"/>
  <c r="AC511" i="21"/>
  <c r="AC512" i="21"/>
  <c r="AC513" i="21"/>
  <c r="AC514" i="21"/>
  <c r="AC515" i="21"/>
  <c r="AC516" i="21"/>
  <c r="AC517" i="21"/>
  <c r="AC518" i="21"/>
  <c r="AC519" i="21"/>
  <c r="AC520" i="21"/>
  <c r="AC521" i="21"/>
  <c r="AC522" i="21"/>
  <c r="AC523" i="21"/>
  <c r="AC524" i="21"/>
  <c r="AC525" i="21"/>
  <c r="AC526" i="21"/>
  <c r="AC527" i="21"/>
  <c r="AC528" i="21"/>
  <c r="AC529" i="21"/>
  <c r="AC530" i="21"/>
  <c r="AC531" i="21"/>
  <c r="AC532" i="21"/>
  <c r="AC533" i="21"/>
  <c r="AC534" i="21"/>
  <c r="AC535" i="21"/>
  <c r="AC536" i="21"/>
  <c r="AC537" i="21"/>
  <c r="AC538" i="21"/>
  <c r="AC539" i="21"/>
  <c r="AC540" i="21"/>
  <c r="AC541" i="21"/>
  <c r="AC542" i="21"/>
  <c r="AC543" i="21"/>
  <c r="AC544" i="21"/>
  <c r="AC545" i="21"/>
  <c r="AC546" i="21"/>
  <c r="AC547" i="21"/>
  <c r="AC548" i="21"/>
  <c r="AC549" i="21"/>
  <c r="AC550" i="21"/>
  <c r="AC551" i="21"/>
  <c r="AC552" i="21"/>
  <c r="AC553" i="21"/>
  <c r="AC554" i="21"/>
  <c r="AC555" i="21"/>
  <c r="AC556" i="21"/>
  <c r="AC557" i="21"/>
  <c r="AC558" i="21"/>
  <c r="AC559" i="21"/>
  <c r="AC560" i="21"/>
  <c r="AC561" i="21"/>
  <c r="AC562" i="21"/>
  <c r="AC563" i="21"/>
  <c r="AC564" i="21"/>
  <c r="AC565" i="21"/>
  <c r="AC566" i="21"/>
  <c r="AC567" i="21"/>
  <c r="AC568" i="21"/>
  <c r="AC569" i="21"/>
  <c r="AC570" i="21"/>
  <c r="AC571" i="21"/>
  <c r="AC572" i="21"/>
  <c r="AC573" i="21"/>
  <c r="AC574" i="21"/>
  <c r="AC575" i="21"/>
  <c r="AC576" i="21"/>
  <c r="AC577" i="21"/>
  <c r="AC578" i="21"/>
  <c r="AC579" i="21"/>
  <c r="AC580" i="21"/>
  <c r="AC581" i="21"/>
  <c r="AC582" i="21"/>
  <c r="AC583" i="21"/>
  <c r="AC584" i="21"/>
  <c r="AC585" i="21"/>
  <c r="AC586" i="21"/>
  <c r="AC587" i="21"/>
  <c r="AC588" i="21"/>
  <c r="AC589" i="21"/>
  <c r="AC590" i="21"/>
  <c r="AC591" i="21"/>
  <c r="AC592" i="21"/>
  <c r="AC593" i="21"/>
  <c r="AC594" i="21"/>
  <c r="AC595" i="21"/>
  <c r="AC596" i="21"/>
  <c r="AC597" i="21"/>
  <c r="AC598" i="21"/>
  <c r="AC599" i="21"/>
  <c r="AC600" i="21"/>
  <c r="AC601" i="21"/>
  <c r="AC602" i="21"/>
  <c r="AC603" i="21"/>
  <c r="AC604" i="21"/>
  <c r="AC605" i="21"/>
  <c r="AC606" i="21"/>
  <c r="AC607" i="21"/>
  <c r="AC608" i="21"/>
  <c r="AC609" i="21"/>
  <c r="AC610" i="21"/>
  <c r="AC611" i="21"/>
  <c r="AC612" i="21"/>
  <c r="AC613" i="21"/>
  <c r="AC614" i="21"/>
  <c r="AC615" i="21"/>
  <c r="AC616" i="21"/>
  <c r="AC617" i="21"/>
  <c r="AC618" i="21"/>
  <c r="AC619" i="21"/>
  <c r="AC620" i="21"/>
  <c r="AC621" i="21"/>
  <c r="AC622" i="21"/>
  <c r="AC623" i="21"/>
  <c r="AC624" i="21"/>
  <c r="AC625" i="21"/>
  <c r="AC626" i="21"/>
  <c r="AC627" i="21"/>
  <c r="AC628" i="21"/>
  <c r="AC629" i="21"/>
  <c r="AC630" i="21"/>
  <c r="AC631" i="21"/>
  <c r="AC632" i="21"/>
  <c r="AC633" i="21"/>
  <c r="AC634" i="21"/>
  <c r="AC635" i="21"/>
  <c r="AC636" i="21"/>
  <c r="AC637" i="21"/>
  <c r="AC638" i="21"/>
  <c r="AC639" i="21"/>
  <c r="AC640" i="21"/>
  <c r="AC641" i="21"/>
  <c r="AC642" i="21"/>
  <c r="AC643" i="21"/>
  <c r="AC644" i="21"/>
  <c r="AC645" i="21"/>
  <c r="AC646" i="21"/>
  <c r="AC647" i="21"/>
  <c r="AC648" i="21"/>
  <c r="AC649" i="21"/>
  <c r="AC650" i="21"/>
  <c r="AC651" i="21"/>
  <c r="AC652" i="21"/>
  <c r="AC653" i="21"/>
  <c r="AC654" i="21"/>
  <c r="AC655" i="21"/>
  <c r="AC656" i="21"/>
  <c r="AC657" i="21"/>
  <c r="AC658" i="21"/>
  <c r="AC659" i="21"/>
  <c r="AC660" i="21"/>
  <c r="AC661" i="21"/>
  <c r="AC662" i="21"/>
  <c r="AC663" i="21"/>
  <c r="AC664" i="21"/>
  <c r="AC665" i="21"/>
  <c r="AC666" i="21"/>
  <c r="AC667" i="21"/>
  <c r="AC668" i="21"/>
  <c r="AC669" i="21"/>
  <c r="AC670" i="21"/>
  <c r="AC671" i="21"/>
  <c r="AC672" i="21"/>
  <c r="AC673" i="21"/>
  <c r="AC674" i="21"/>
  <c r="AC675" i="21"/>
  <c r="AC676" i="21"/>
  <c r="AC677" i="21"/>
  <c r="AC678" i="21"/>
  <c r="AC679" i="21"/>
  <c r="AC680" i="21"/>
  <c r="AC681" i="21"/>
  <c r="AC682" i="21"/>
  <c r="AC683" i="21"/>
  <c r="AC684" i="21"/>
  <c r="AC685" i="21"/>
  <c r="AC686" i="21"/>
  <c r="AC687" i="21"/>
  <c r="AC688" i="21"/>
  <c r="AC689" i="21"/>
  <c r="AC690" i="21"/>
  <c r="AC691" i="21"/>
  <c r="AC692" i="21"/>
  <c r="AC693" i="21"/>
  <c r="AC694" i="21"/>
  <c r="AC695" i="21"/>
  <c r="AC696" i="21"/>
  <c r="AC697" i="21"/>
  <c r="AC698" i="21"/>
  <c r="AC699" i="21"/>
  <c r="AC700" i="21"/>
  <c r="AC701" i="21"/>
  <c r="AC702" i="21"/>
  <c r="AC703" i="21"/>
  <c r="AC704" i="21"/>
  <c r="AC705" i="21"/>
  <c r="AC706" i="21"/>
  <c r="AC707" i="21"/>
  <c r="AC708" i="21"/>
  <c r="AC709" i="21"/>
  <c r="AC710" i="21"/>
  <c r="AC711" i="21"/>
  <c r="AC712" i="21"/>
  <c r="AC713" i="21"/>
  <c r="AC714" i="21"/>
  <c r="AC715" i="21"/>
  <c r="AC716" i="21"/>
  <c r="AC717" i="21"/>
  <c r="AC718" i="21"/>
  <c r="AC719" i="21"/>
  <c r="AC720" i="21"/>
  <c r="AC721" i="21"/>
  <c r="AC722" i="21"/>
  <c r="AC723" i="21"/>
  <c r="AC724" i="21"/>
  <c r="AC725" i="21"/>
  <c r="AC726" i="21"/>
  <c r="AC727" i="21"/>
  <c r="AC728" i="21"/>
  <c r="AC729" i="21"/>
  <c r="AC730" i="21"/>
  <c r="AC731" i="21"/>
  <c r="AC732" i="21"/>
  <c r="AC733" i="21"/>
  <c r="AC734" i="21"/>
  <c r="AC735" i="21"/>
  <c r="AC736" i="21"/>
  <c r="AC737" i="21"/>
  <c r="AC738" i="21"/>
  <c r="AC739" i="21"/>
  <c r="AC740" i="21"/>
  <c r="AC741" i="21"/>
  <c r="AC742" i="21"/>
  <c r="AC743" i="21"/>
  <c r="AC744" i="21"/>
  <c r="AC745" i="21"/>
  <c r="AC746" i="21"/>
  <c r="AC747" i="21"/>
  <c r="AC748" i="21"/>
  <c r="AC749" i="21"/>
  <c r="AC750" i="21"/>
  <c r="AC751" i="21"/>
  <c r="AC752" i="21"/>
  <c r="AC753" i="21"/>
  <c r="AC754" i="21"/>
  <c r="AC755" i="21"/>
  <c r="AC756" i="21"/>
  <c r="AC757" i="21"/>
  <c r="AC758" i="21"/>
  <c r="AC759" i="21"/>
  <c r="AC760" i="21"/>
  <c r="AC761" i="21"/>
  <c r="AC762" i="21"/>
  <c r="AC763" i="21"/>
  <c r="AC764" i="21"/>
  <c r="AC765" i="21"/>
  <c r="AC766" i="21"/>
  <c r="AC767" i="21"/>
  <c r="AC768" i="21"/>
  <c r="AC769" i="21"/>
  <c r="AC770" i="21"/>
  <c r="AC771" i="21"/>
  <c r="AC772" i="21"/>
  <c r="AC773" i="21"/>
  <c r="AC774" i="21"/>
  <c r="AC775" i="21"/>
  <c r="AC776" i="21"/>
  <c r="AC777" i="21"/>
  <c r="AC778" i="21"/>
  <c r="AC779" i="21"/>
  <c r="AC780" i="21"/>
  <c r="AC781" i="21"/>
  <c r="AC782" i="21"/>
  <c r="AC783" i="21"/>
  <c r="AC784" i="21"/>
  <c r="AC785" i="21"/>
  <c r="AC786" i="21"/>
  <c r="AC787" i="21"/>
  <c r="AC788" i="21"/>
  <c r="AC789" i="21"/>
  <c r="AC790" i="21"/>
  <c r="AC791" i="21"/>
  <c r="AC792" i="21"/>
  <c r="AC793" i="21"/>
  <c r="AC794" i="21"/>
  <c r="AC795" i="21"/>
  <c r="AC796" i="21"/>
  <c r="AC797" i="21"/>
  <c r="AC798" i="21"/>
  <c r="AC799" i="21"/>
  <c r="AC800" i="21"/>
  <c r="AC801" i="21"/>
  <c r="AC802" i="21"/>
  <c r="AC803" i="21"/>
  <c r="AC804" i="21"/>
  <c r="AC805" i="21"/>
  <c r="AC806" i="21"/>
  <c r="AC807" i="21"/>
  <c r="AC808" i="21"/>
  <c r="AC809" i="21"/>
  <c r="AC810" i="21"/>
  <c r="AC811" i="21"/>
  <c r="AC812" i="21"/>
  <c r="AC813" i="21"/>
  <c r="AC814" i="21"/>
  <c r="AC815" i="21"/>
  <c r="AC816" i="21"/>
  <c r="AC817" i="21"/>
  <c r="AC818" i="21"/>
  <c r="AC819" i="21"/>
  <c r="AC820" i="21"/>
  <c r="AC821" i="21"/>
  <c r="AC822" i="21"/>
  <c r="AC823" i="21"/>
  <c r="AC824" i="21"/>
  <c r="AC825" i="21"/>
  <c r="AC826" i="21"/>
  <c r="AC827" i="21"/>
  <c r="AC828" i="21"/>
  <c r="AC829" i="21"/>
  <c r="AC830" i="21"/>
  <c r="AC831" i="21"/>
  <c r="AC832" i="21"/>
  <c r="AC833" i="21"/>
  <c r="AC834" i="21"/>
  <c r="AC835" i="21"/>
  <c r="AC836" i="21"/>
  <c r="AC837" i="21"/>
  <c r="AC838" i="21"/>
  <c r="AC839" i="21"/>
  <c r="AC840" i="21"/>
  <c r="AC841" i="21"/>
  <c r="AC842" i="21"/>
  <c r="AC843" i="21"/>
  <c r="AC844" i="21"/>
  <c r="AC845" i="21"/>
  <c r="AC846" i="21"/>
  <c r="AC847" i="21"/>
  <c r="AC848" i="21"/>
  <c r="AC849" i="21"/>
  <c r="AC850" i="21"/>
  <c r="AC851" i="21"/>
  <c r="AC852" i="21"/>
  <c r="AC853" i="21"/>
  <c r="AC854" i="21"/>
  <c r="AC855" i="21"/>
  <c r="AC856" i="21"/>
  <c r="AC857" i="21"/>
  <c r="AC858" i="21"/>
  <c r="AC859" i="21"/>
  <c r="AC860" i="21"/>
  <c r="AC861" i="21"/>
  <c r="AC862" i="21"/>
  <c r="AC863" i="21"/>
  <c r="AC864" i="21"/>
  <c r="AC865" i="21"/>
  <c r="AC866" i="21"/>
  <c r="AC867" i="21"/>
  <c r="AC868" i="21"/>
  <c r="AC869" i="21"/>
  <c r="AC870" i="21"/>
  <c r="AC871" i="21"/>
  <c r="AC872" i="21"/>
  <c r="AC873" i="21"/>
  <c r="AC874" i="21"/>
  <c r="AC875" i="21"/>
  <c r="AC876" i="21"/>
  <c r="AC877" i="21"/>
  <c r="AC878" i="21"/>
  <c r="AC879" i="21"/>
  <c r="AC880" i="21"/>
  <c r="AC881" i="21"/>
  <c r="AC882" i="21"/>
  <c r="AC883" i="21"/>
  <c r="AC884" i="21"/>
  <c r="AC885" i="21"/>
  <c r="AC886" i="21"/>
  <c r="AC887" i="21"/>
  <c r="AC888" i="21"/>
  <c r="AC889" i="21"/>
  <c r="AC890" i="21"/>
  <c r="AC891" i="21"/>
  <c r="AC892" i="21"/>
  <c r="AC893" i="21"/>
  <c r="AC894" i="21"/>
  <c r="AC895" i="21"/>
  <c r="AC896" i="21"/>
  <c r="AC897" i="21"/>
  <c r="AC898" i="21"/>
  <c r="AC899" i="21"/>
  <c r="AC900" i="21"/>
  <c r="AC901" i="21"/>
  <c r="AC902" i="21"/>
  <c r="AC903" i="21"/>
  <c r="AC904" i="21"/>
  <c r="AC905" i="21"/>
  <c r="AC906" i="21"/>
  <c r="AC907" i="21"/>
  <c r="AC908" i="21"/>
  <c r="AC909" i="21"/>
  <c r="AC910" i="21"/>
  <c r="AC911" i="21"/>
  <c r="AC912" i="21"/>
  <c r="AC913" i="21"/>
  <c r="AC914" i="21"/>
  <c r="AC915" i="21"/>
  <c r="AC916" i="21"/>
  <c r="AC917" i="21"/>
  <c r="AC918" i="21"/>
  <c r="AC919" i="21"/>
  <c r="AC920" i="21"/>
  <c r="AC921" i="21"/>
  <c r="AC922" i="21"/>
  <c r="AC923" i="21"/>
  <c r="AC924" i="21"/>
  <c r="AC925" i="21"/>
  <c r="AC926" i="21"/>
  <c r="AC927" i="21"/>
  <c r="AC928" i="21"/>
  <c r="AC929" i="21"/>
  <c r="AC930" i="21"/>
  <c r="AC931" i="21"/>
  <c r="AC932" i="21"/>
  <c r="AC933" i="21"/>
  <c r="AC934" i="21"/>
  <c r="AC935" i="21"/>
  <c r="AC936" i="21"/>
  <c r="AC937" i="21"/>
  <c r="AC938" i="21"/>
  <c r="AC939" i="21"/>
  <c r="AC940" i="21"/>
  <c r="AC941" i="21"/>
  <c r="AC942" i="21"/>
  <c r="AC943" i="21"/>
  <c r="AC944" i="21"/>
  <c r="AC945" i="21"/>
  <c r="AC946" i="21"/>
  <c r="AC947" i="21"/>
  <c r="AC948" i="21"/>
  <c r="AC949" i="21"/>
  <c r="AC950" i="21"/>
  <c r="AC951" i="21"/>
  <c r="AC952" i="21"/>
  <c r="AC953" i="21"/>
  <c r="AC954" i="21"/>
  <c r="AC955" i="21"/>
  <c r="AC956" i="21"/>
  <c r="AC957" i="21"/>
  <c r="AC958" i="21"/>
  <c r="AC959" i="21"/>
  <c r="AC960" i="21"/>
  <c r="AC961" i="21"/>
  <c r="AC962" i="21"/>
  <c r="AC963" i="21"/>
  <c r="AC964" i="21"/>
  <c r="AC965" i="21"/>
  <c r="AC966" i="21"/>
  <c r="AC967" i="21"/>
  <c r="AC968" i="21"/>
  <c r="AC969" i="21"/>
  <c r="AC970" i="21"/>
  <c r="AC971" i="21"/>
  <c r="AC972" i="21"/>
  <c r="AC973" i="21"/>
  <c r="AC974" i="21"/>
  <c r="AC975" i="21"/>
  <c r="AC976" i="21"/>
  <c r="AC977" i="21"/>
  <c r="AC978" i="21"/>
  <c r="AC979" i="21"/>
  <c r="AC980" i="21"/>
  <c r="AC981" i="21"/>
  <c r="AC982" i="21"/>
  <c r="AC983" i="21"/>
  <c r="AC984" i="21"/>
  <c r="AC985" i="21"/>
  <c r="AC986" i="21"/>
  <c r="AC987" i="21"/>
  <c r="AC988" i="21"/>
  <c r="AC989" i="21"/>
  <c r="AC990" i="21"/>
  <c r="AC991" i="21"/>
  <c r="AC992" i="21"/>
  <c r="AC993" i="21"/>
  <c r="AC994" i="21"/>
  <c r="AC995" i="21"/>
  <c r="AC996" i="21"/>
  <c r="AC997" i="21"/>
  <c r="AC998" i="21"/>
  <c r="AC999" i="21"/>
  <c r="AC1000" i="21"/>
  <c r="AC1001" i="21"/>
  <c r="AC1002" i="21"/>
  <c r="AC1003" i="21"/>
  <c r="AC1004" i="21"/>
  <c r="AC1005" i="21"/>
  <c r="AC1006" i="21"/>
  <c r="AC1007" i="21"/>
  <c r="AC1008" i="21"/>
  <c r="AC1009" i="21"/>
  <c r="AC1010" i="21"/>
  <c r="AC1011" i="21"/>
  <c r="AC1012" i="21"/>
  <c r="AC1013" i="21"/>
  <c r="AC1014" i="21"/>
  <c r="AC1015" i="21"/>
  <c r="AC1016" i="21"/>
  <c r="AC1017" i="21"/>
  <c r="AC1018" i="21"/>
  <c r="AC1019" i="21"/>
  <c r="AC1020" i="21"/>
  <c r="AC1021" i="21"/>
  <c r="AC1022" i="21"/>
  <c r="AC1023" i="21"/>
  <c r="AC1024" i="21"/>
  <c r="AC1025" i="21"/>
  <c r="AC1026" i="21"/>
  <c r="AC1027" i="21"/>
  <c r="AC1028" i="21"/>
  <c r="AC1029" i="21"/>
  <c r="AC1030" i="21"/>
  <c r="AC1031" i="21"/>
  <c r="AC1032" i="21"/>
  <c r="AC1033" i="21"/>
  <c r="AC1034" i="21"/>
  <c r="AC1035" i="21"/>
  <c r="AC1036" i="21"/>
  <c r="AC1037" i="21"/>
  <c r="AC1038" i="21"/>
  <c r="AC1039" i="21"/>
  <c r="AC1040" i="21"/>
  <c r="AC1041" i="21"/>
  <c r="AC1042" i="21"/>
  <c r="AC1043" i="21"/>
  <c r="AC1044" i="21"/>
  <c r="AC1045" i="21"/>
  <c r="AC1046" i="21"/>
  <c r="AC1047" i="21"/>
  <c r="AC1048" i="21"/>
  <c r="AC1049" i="21"/>
  <c r="AC1050" i="21"/>
  <c r="AC1051" i="21"/>
  <c r="AC1052" i="21"/>
  <c r="AC1053" i="21"/>
  <c r="AC1054" i="21"/>
  <c r="AC1055" i="21"/>
  <c r="AC1056" i="21"/>
  <c r="AC1057" i="21"/>
  <c r="AC1058" i="21"/>
  <c r="AC1059" i="21"/>
  <c r="AC1060" i="21"/>
  <c r="AC1061" i="21"/>
  <c r="AC1062" i="21"/>
  <c r="AC1063" i="21"/>
  <c r="AC1064" i="21"/>
  <c r="AC1065" i="21"/>
  <c r="AC1066" i="21"/>
  <c r="AC1067" i="21"/>
  <c r="AC1068" i="21"/>
  <c r="AC1069" i="21"/>
  <c r="AC1070" i="21"/>
  <c r="AC1071" i="21"/>
  <c r="AC1072" i="21"/>
  <c r="AC1073" i="21"/>
  <c r="AC1074" i="21"/>
  <c r="AC1075" i="21"/>
  <c r="AC1076" i="21"/>
  <c r="AC1077" i="21"/>
  <c r="AC1078" i="21"/>
  <c r="AC1079" i="21"/>
  <c r="AC1080" i="21"/>
  <c r="AC1081" i="21"/>
  <c r="AC1082" i="21"/>
  <c r="AC1083" i="21"/>
  <c r="AC1084" i="21"/>
  <c r="AC1085" i="21"/>
  <c r="AC1086" i="21"/>
  <c r="AC1087" i="21"/>
  <c r="AC1088" i="21"/>
  <c r="AC1089" i="21"/>
  <c r="AC1090" i="21"/>
  <c r="AC1091" i="21"/>
  <c r="AC1092" i="21"/>
  <c r="AC1093" i="21"/>
  <c r="AC1094" i="21"/>
  <c r="AC1095" i="21"/>
  <c r="AC1096" i="21"/>
  <c r="AC1097" i="21"/>
  <c r="AC1098" i="21"/>
  <c r="AC1099" i="21"/>
  <c r="AC1100" i="21"/>
  <c r="AC1101" i="21"/>
  <c r="AC1102" i="21"/>
  <c r="AC1103" i="21"/>
  <c r="AC1104" i="21"/>
  <c r="AC1105" i="21"/>
  <c r="AC1106" i="21"/>
  <c r="AC1107" i="21"/>
  <c r="AC1108" i="21"/>
  <c r="AC1109" i="21"/>
  <c r="AC1110" i="21"/>
  <c r="AC1111" i="21"/>
  <c r="AC1112" i="21"/>
  <c r="AC1113" i="21"/>
  <c r="AC1114" i="21"/>
  <c r="AC1115" i="21"/>
  <c r="AC1116" i="21"/>
  <c r="AC1117" i="21"/>
  <c r="AC1118" i="21"/>
  <c r="AC1119" i="21"/>
  <c r="AC1120" i="21"/>
  <c r="AC1121" i="21"/>
  <c r="AC1122" i="21"/>
  <c r="AC1123" i="21"/>
  <c r="AC1124" i="21"/>
  <c r="AC1125" i="21"/>
  <c r="AC1126" i="21"/>
  <c r="AC1127" i="21"/>
  <c r="AC1128" i="21"/>
  <c r="AC1129" i="21"/>
  <c r="AB3" i="21"/>
  <c r="AB4" i="21"/>
  <c r="AB5" i="21"/>
  <c r="AB6" i="21"/>
  <c r="AB7" i="21"/>
  <c r="AB8" i="21"/>
  <c r="AB9" i="21"/>
  <c r="AB10" i="21"/>
  <c r="AB11" i="21"/>
  <c r="AB12" i="21"/>
  <c r="AB13" i="21"/>
  <c r="AB14" i="21"/>
  <c r="AB15" i="21"/>
  <c r="AB16" i="21"/>
  <c r="AB17" i="21"/>
  <c r="AB18" i="21"/>
  <c r="AB19" i="21"/>
  <c r="AB20" i="21"/>
  <c r="AB21" i="21"/>
  <c r="AB22" i="21"/>
  <c r="AB23" i="21"/>
  <c r="AB24" i="21"/>
  <c r="AB25" i="21"/>
  <c r="AB26" i="21"/>
  <c r="AB27" i="21"/>
  <c r="AB28" i="21"/>
  <c r="AB29" i="21"/>
  <c r="AB30" i="21"/>
  <c r="AB31" i="21"/>
  <c r="AB32" i="21"/>
  <c r="AB33" i="21"/>
  <c r="AB34" i="21"/>
  <c r="AB35" i="21"/>
  <c r="AB36" i="21"/>
  <c r="AB37" i="21"/>
  <c r="AB38" i="21"/>
  <c r="AB39" i="21"/>
  <c r="AB40" i="21"/>
  <c r="AB41" i="21"/>
  <c r="AB42" i="21"/>
  <c r="AB43" i="21"/>
  <c r="AB44" i="21"/>
  <c r="AB45" i="21"/>
  <c r="AB46" i="21"/>
  <c r="AB47" i="21"/>
  <c r="AB48" i="21"/>
  <c r="AB49" i="21"/>
  <c r="AB50" i="21"/>
  <c r="AB51" i="21"/>
  <c r="AB52" i="21"/>
  <c r="AB53" i="21"/>
  <c r="AB54" i="21"/>
  <c r="AB55" i="21"/>
  <c r="AB56" i="21"/>
  <c r="AB57" i="21"/>
  <c r="AB58" i="21"/>
  <c r="AB59" i="21"/>
  <c r="AB60" i="21"/>
  <c r="AB61" i="21"/>
  <c r="AB62" i="21"/>
  <c r="AB63" i="21"/>
  <c r="AB64" i="21"/>
  <c r="AB65" i="21"/>
  <c r="AB66" i="21"/>
  <c r="AB67" i="21"/>
  <c r="AB68" i="21"/>
  <c r="AB69" i="21"/>
  <c r="AB70" i="21"/>
  <c r="AB71" i="21"/>
  <c r="AB72" i="21"/>
  <c r="AB73" i="21"/>
  <c r="AB74" i="21"/>
  <c r="AB75" i="21"/>
  <c r="AB76" i="21"/>
  <c r="AB77" i="21"/>
  <c r="AB78" i="21"/>
  <c r="AB79" i="21"/>
  <c r="AB80" i="21"/>
  <c r="AB81" i="21"/>
  <c r="AB82" i="21"/>
  <c r="AB83" i="21"/>
  <c r="AB84" i="21"/>
  <c r="AB85" i="21"/>
  <c r="AB86" i="21"/>
  <c r="AB87" i="21"/>
  <c r="AB88" i="21"/>
  <c r="AB89" i="21"/>
  <c r="AB90" i="21"/>
  <c r="AB91" i="21"/>
  <c r="AB92" i="21"/>
  <c r="AB93" i="21"/>
  <c r="AB94" i="21"/>
  <c r="AB95" i="21"/>
  <c r="AB96" i="21"/>
  <c r="AB97" i="21"/>
  <c r="AB98" i="21"/>
  <c r="AB99" i="21"/>
  <c r="AB100" i="21"/>
  <c r="AB101" i="21"/>
  <c r="AB102" i="21"/>
  <c r="AB103" i="21"/>
  <c r="AB104" i="21"/>
  <c r="AB105" i="21"/>
  <c r="AB106" i="21"/>
  <c r="AB107" i="21"/>
  <c r="AB108" i="21"/>
  <c r="AB109" i="21"/>
  <c r="AB110" i="21"/>
  <c r="AB111" i="21"/>
  <c r="AB112" i="21"/>
  <c r="AB113" i="21"/>
  <c r="AB114" i="21"/>
  <c r="AB115" i="21"/>
  <c r="AB116" i="21"/>
  <c r="AB117" i="21"/>
  <c r="AB118" i="21"/>
  <c r="AB119" i="21"/>
  <c r="AB120" i="21"/>
  <c r="AB121" i="21"/>
  <c r="AB122" i="21"/>
  <c r="AB123" i="21"/>
  <c r="AB124" i="21"/>
  <c r="AB125" i="21"/>
  <c r="AB126" i="21"/>
  <c r="AB127" i="21"/>
  <c r="AB128" i="21"/>
  <c r="AB129" i="21"/>
  <c r="AB130" i="21"/>
  <c r="AB131" i="21"/>
  <c r="AB132" i="21"/>
  <c r="AB133" i="21"/>
  <c r="AB134" i="21"/>
  <c r="AB135" i="21"/>
  <c r="AB136" i="21"/>
  <c r="AB137" i="21"/>
  <c r="AB138" i="21"/>
  <c r="AB139" i="21"/>
  <c r="AB140" i="21"/>
  <c r="AB141" i="21"/>
  <c r="AB142" i="21"/>
  <c r="AB143" i="21"/>
  <c r="AB144" i="21"/>
  <c r="AB145" i="21"/>
  <c r="AB146" i="21"/>
  <c r="AB147" i="21"/>
  <c r="AB148" i="21"/>
  <c r="AB149" i="21"/>
  <c r="AB150" i="21"/>
  <c r="AB151" i="21"/>
  <c r="AB152" i="21"/>
  <c r="AB153" i="21"/>
  <c r="AB154" i="21"/>
  <c r="AB155" i="21"/>
  <c r="AB156" i="21"/>
  <c r="AB157" i="21"/>
  <c r="AB158" i="21"/>
  <c r="AB159" i="21"/>
  <c r="AB160" i="21"/>
  <c r="AB161" i="21"/>
  <c r="AB162" i="21"/>
  <c r="AB163" i="21"/>
  <c r="AB164" i="21"/>
  <c r="AB165" i="21"/>
  <c r="AB166" i="21"/>
  <c r="AB167" i="21"/>
  <c r="AB168" i="21"/>
  <c r="AB169" i="21"/>
  <c r="AB170" i="21"/>
  <c r="AB171" i="21"/>
  <c r="AB172" i="21"/>
  <c r="AB173" i="21"/>
  <c r="AB174" i="21"/>
  <c r="AB175" i="21"/>
  <c r="AB176" i="21"/>
  <c r="AB177" i="21"/>
  <c r="AB178" i="21"/>
  <c r="AB179" i="21"/>
  <c r="AB180" i="21"/>
  <c r="AB181" i="21"/>
  <c r="AB182" i="21"/>
  <c r="AB183" i="21"/>
  <c r="AB184" i="21"/>
  <c r="AB185" i="21"/>
  <c r="AB186" i="21"/>
  <c r="AB187" i="21"/>
  <c r="AB188" i="21"/>
  <c r="AB189" i="21"/>
  <c r="AB190" i="21"/>
  <c r="AB191" i="21"/>
  <c r="AB192" i="21"/>
  <c r="AB193" i="21"/>
  <c r="AB194" i="21"/>
  <c r="AB195" i="21"/>
  <c r="AB196" i="21"/>
  <c r="AB197" i="21"/>
  <c r="AB198" i="21"/>
  <c r="AB199" i="21"/>
  <c r="AB200" i="21"/>
  <c r="AB201" i="21"/>
  <c r="AB202" i="21"/>
  <c r="AB203" i="21"/>
  <c r="AB204" i="21"/>
  <c r="AB205" i="21"/>
  <c r="AB206" i="21"/>
  <c r="AB207" i="21"/>
  <c r="AB208" i="21"/>
  <c r="AB209" i="21"/>
  <c r="AB210" i="21"/>
  <c r="AB211" i="21"/>
  <c r="AB212" i="21"/>
  <c r="AB213" i="21"/>
  <c r="AB214" i="21"/>
  <c r="AB215" i="21"/>
  <c r="AB216" i="21"/>
  <c r="AB217" i="21"/>
  <c r="AB218" i="21"/>
  <c r="AB219" i="21"/>
  <c r="AB220" i="21"/>
  <c r="AB221" i="21"/>
  <c r="AB222" i="21"/>
  <c r="AB223" i="21"/>
  <c r="AB224" i="21"/>
  <c r="AB225" i="21"/>
  <c r="AB226" i="21"/>
  <c r="AB227" i="21"/>
  <c r="AB228" i="21"/>
  <c r="AB229" i="21"/>
  <c r="AB230" i="21"/>
  <c r="AB231" i="21"/>
  <c r="AB232" i="21"/>
  <c r="AB233" i="21"/>
  <c r="AB234" i="21"/>
  <c r="AB235" i="21"/>
  <c r="AB236" i="21"/>
  <c r="AB237" i="21"/>
  <c r="AB238" i="21"/>
  <c r="AB239" i="21"/>
  <c r="AB240" i="21"/>
  <c r="AB241" i="21"/>
  <c r="AB242" i="21"/>
  <c r="AB243" i="21"/>
  <c r="AB244" i="21"/>
  <c r="AB245" i="21"/>
  <c r="AB246" i="21"/>
  <c r="AB247" i="21"/>
  <c r="AB248" i="21"/>
  <c r="AB249" i="21"/>
  <c r="AB250" i="21"/>
  <c r="AB251" i="21"/>
  <c r="AB252" i="21"/>
  <c r="AB253" i="21"/>
  <c r="AB254" i="21"/>
  <c r="AB255" i="21"/>
  <c r="AB256" i="21"/>
  <c r="AB257" i="21"/>
  <c r="AB258" i="21"/>
  <c r="AB259" i="21"/>
  <c r="AB260" i="21"/>
  <c r="AB261" i="21"/>
  <c r="AB262" i="21"/>
  <c r="AB263" i="21"/>
  <c r="AB264" i="21"/>
  <c r="AB265" i="21"/>
  <c r="AB266" i="21"/>
  <c r="AB267" i="21"/>
  <c r="AB268" i="21"/>
  <c r="AB269" i="21"/>
  <c r="AB270" i="21"/>
  <c r="AB271" i="21"/>
  <c r="AB272" i="21"/>
  <c r="AB273" i="21"/>
  <c r="AB274" i="21"/>
  <c r="AB275" i="21"/>
  <c r="AB276" i="21"/>
  <c r="AB277" i="21"/>
  <c r="AB278" i="21"/>
  <c r="AB279" i="21"/>
  <c r="AB280" i="21"/>
  <c r="AB281" i="21"/>
  <c r="AB282" i="21"/>
  <c r="AB283" i="21"/>
  <c r="AB284" i="21"/>
  <c r="AB285" i="21"/>
  <c r="AB286" i="21"/>
  <c r="AB287" i="21"/>
  <c r="AB288" i="21"/>
  <c r="AB289" i="21"/>
  <c r="AB290" i="21"/>
  <c r="AB291" i="21"/>
  <c r="AB292" i="21"/>
  <c r="AB293" i="21"/>
  <c r="AB294" i="21"/>
  <c r="AB295" i="21"/>
  <c r="AB296" i="21"/>
  <c r="AB297" i="21"/>
  <c r="AB298" i="21"/>
  <c r="AB299" i="21"/>
  <c r="AB300" i="21"/>
  <c r="AB301" i="21"/>
  <c r="AB302" i="21"/>
  <c r="AB303" i="21"/>
  <c r="AB304" i="21"/>
  <c r="AB305" i="21"/>
  <c r="AB306" i="21"/>
  <c r="AB307" i="21"/>
  <c r="AB308" i="21"/>
  <c r="AB309" i="21"/>
  <c r="AB310" i="21"/>
  <c r="AB311" i="21"/>
  <c r="AB312" i="21"/>
  <c r="AB313" i="21"/>
  <c r="AB314" i="21"/>
  <c r="AB315" i="21"/>
  <c r="AB316" i="21"/>
  <c r="AB317" i="21"/>
  <c r="AB318" i="21"/>
  <c r="AB319" i="21"/>
  <c r="AB320" i="21"/>
  <c r="AB321" i="21"/>
  <c r="AB322" i="21"/>
  <c r="AB323" i="21"/>
  <c r="AB324" i="21"/>
  <c r="AB325" i="21"/>
  <c r="AB326" i="21"/>
  <c r="AB327" i="21"/>
  <c r="AB328" i="21"/>
  <c r="AB329" i="21"/>
  <c r="AB330" i="21"/>
  <c r="AB331" i="21"/>
  <c r="AB332" i="21"/>
  <c r="AB333" i="21"/>
  <c r="AB334" i="21"/>
  <c r="AB335" i="21"/>
  <c r="AB336" i="21"/>
  <c r="AB337" i="21"/>
  <c r="AB338" i="21"/>
  <c r="AB339" i="21"/>
  <c r="AB340" i="21"/>
  <c r="AB341" i="21"/>
  <c r="AB342" i="21"/>
  <c r="AB343" i="21"/>
  <c r="AB344" i="21"/>
  <c r="AB345" i="21"/>
  <c r="AB346" i="21"/>
  <c r="AB347" i="21"/>
  <c r="AB348" i="21"/>
  <c r="AB349" i="21"/>
  <c r="AB350" i="21"/>
  <c r="AB351" i="21"/>
  <c r="AB352" i="21"/>
  <c r="AB353" i="21"/>
  <c r="AB354" i="21"/>
  <c r="AB355" i="21"/>
  <c r="AB356" i="21"/>
  <c r="AB357" i="21"/>
  <c r="AB358" i="21"/>
  <c r="AB359" i="21"/>
  <c r="AB360" i="21"/>
  <c r="AB361" i="21"/>
  <c r="AB362" i="21"/>
  <c r="AB363" i="21"/>
  <c r="AB364" i="21"/>
  <c r="AB365" i="21"/>
  <c r="AB366" i="21"/>
  <c r="AB367" i="21"/>
  <c r="AB368" i="21"/>
  <c r="AB369" i="21"/>
  <c r="AB370" i="21"/>
  <c r="AB371" i="21"/>
  <c r="AB372" i="21"/>
  <c r="AB373" i="21"/>
  <c r="AB374" i="21"/>
  <c r="AB375" i="21"/>
  <c r="AB376" i="21"/>
  <c r="AB377" i="21"/>
  <c r="AB378" i="21"/>
  <c r="AB379" i="21"/>
  <c r="AB380" i="21"/>
  <c r="AB381" i="21"/>
  <c r="AB382" i="21"/>
  <c r="AB383" i="21"/>
  <c r="AB384" i="21"/>
  <c r="AB385" i="21"/>
  <c r="AB386" i="21"/>
  <c r="AB387" i="21"/>
  <c r="AB388" i="21"/>
  <c r="AB389" i="21"/>
  <c r="AB390" i="21"/>
  <c r="AB391" i="21"/>
  <c r="AB392" i="21"/>
  <c r="AB393" i="21"/>
  <c r="AB394" i="21"/>
  <c r="AB395" i="21"/>
  <c r="AB396" i="21"/>
  <c r="AB397" i="21"/>
  <c r="AB398" i="21"/>
  <c r="AB399" i="21"/>
  <c r="AB400" i="21"/>
  <c r="AB401" i="21"/>
  <c r="AB402" i="21"/>
  <c r="AB403" i="21"/>
  <c r="AB404" i="21"/>
  <c r="AB405" i="21"/>
  <c r="AB406" i="21"/>
  <c r="AB407" i="21"/>
  <c r="AB408" i="21"/>
  <c r="AB409" i="21"/>
  <c r="AB410" i="21"/>
  <c r="AB411" i="21"/>
  <c r="AB412" i="21"/>
  <c r="AB413" i="21"/>
  <c r="AB414" i="21"/>
  <c r="AB415" i="21"/>
  <c r="AB416" i="21"/>
  <c r="AB417" i="21"/>
  <c r="AB418" i="21"/>
  <c r="AB419" i="21"/>
  <c r="AB420" i="21"/>
  <c r="AB421" i="21"/>
  <c r="AB422" i="21"/>
  <c r="AB423" i="21"/>
  <c r="AB424" i="21"/>
  <c r="AB425" i="21"/>
  <c r="AB426" i="21"/>
  <c r="AB427" i="21"/>
  <c r="AB428" i="21"/>
  <c r="AB429" i="21"/>
  <c r="AB430" i="21"/>
  <c r="AB431" i="21"/>
  <c r="AB432" i="21"/>
  <c r="AB433" i="21"/>
  <c r="AB434" i="21"/>
  <c r="AB435" i="21"/>
  <c r="AB436" i="21"/>
  <c r="AB437" i="21"/>
  <c r="AB438" i="21"/>
  <c r="AB439" i="21"/>
  <c r="AB440" i="21"/>
  <c r="AB441" i="21"/>
  <c r="AB442" i="21"/>
  <c r="AB443" i="21"/>
  <c r="AB444" i="21"/>
  <c r="AB445" i="21"/>
  <c r="AB446" i="21"/>
  <c r="AB447" i="21"/>
  <c r="AB448" i="21"/>
  <c r="AB449" i="21"/>
  <c r="AB450" i="21"/>
  <c r="AB451" i="21"/>
  <c r="AB452" i="21"/>
  <c r="AB453" i="21"/>
  <c r="AB454" i="21"/>
  <c r="AB455" i="21"/>
  <c r="AB456" i="21"/>
  <c r="AB457" i="21"/>
  <c r="AB458" i="21"/>
  <c r="AB459" i="21"/>
  <c r="AB460" i="21"/>
  <c r="AB461" i="21"/>
  <c r="AB462" i="21"/>
  <c r="AB463" i="21"/>
  <c r="AB464" i="21"/>
  <c r="AB465" i="21"/>
  <c r="AB466" i="21"/>
  <c r="AB467" i="21"/>
  <c r="AB468" i="21"/>
  <c r="AB469" i="21"/>
  <c r="AB470" i="21"/>
  <c r="AB471" i="21"/>
  <c r="AB472" i="21"/>
  <c r="AB473" i="21"/>
  <c r="AB474" i="21"/>
  <c r="AB475" i="21"/>
  <c r="AB476" i="21"/>
  <c r="AB477" i="21"/>
  <c r="AB478" i="21"/>
  <c r="AB479" i="21"/>
  <c r="AB480" i="21"/>
  <c r="AB481" i="21"/>
  <c r="AB482" i="21"/>
  <c r="AB483" i="21"/>
  <c r="AB484" i="21"/>
  <c r="AB485" i="21"/>
  <c r="AB486" i="21"/>
  <c r="AB487" i="21"/>
  <c r="AB488" i="21"/>
  <c r="AB489" i="21"/>
  <c r="AB490" i="21"/>
  <c r="AB491" i="21"/>
  <c r="AB492" i="21"/>
  <c r="AB493" i="21"/>
  <c r="AB494" i="21"/>
  <c r="AB495" i="21"/>
  <c r="AB496" i="21"/>
  <c r="AB497" i="21"/>
  <c r="AB498" i="21"/>
  <c r="AB499" i="21"/>
  <c r="AB500" i="21"/>
  <c r="AB501" i="21"/>
  <c r="AB502" i="21"/>
  <c r="AB503" i="21"/>
  <c r="AB504" i="21"/>
  <c r="AB505" i="21"/>
  <c r="AB506" i="21"/>
  <c r="AB507" i="21"/>
  <c r="AB508" i="21"/>
  <c r="AB509" i="21"/>
  <c r="AB510" i="21"/>
  <c r="AB511" i="21"/>
  <c r="AB512" i="21"/>
  <c r="AB513" i="21"/>
  <c r="AB514" i="21"/>
  <c r="AB515" i="21"/>
  <c r="AB516" i="21"/>
  <c r="AB517" i="21"/>
  <c r="AB518" i="21"/>
  <c r="AB519" i="21"/>
  <c r="AB520" i="21"/>
  <c r="AB521" i="21"/>
  <c r="AB522" i="21"/>
  <c r="AB523" i="21"/>
  <c r="AB524" i="21"/>
  <c r="AB525" i="21"/>
  <c r="AB526" i="21"/>
  <c r="AB527" i="21"/>
  <c r="AB528" i="21"/>
  <c r="AB529" i="21"/>
  <c r="AB530" i="21"/>
  <c r="AB531" i="21"/>
  <c r="AB532" i="21"/>
  <c r="AB533" i="21"/>
  <c r="AB534" i="21"/>
  <c r="AB535" i="21"/>
  <c r="AB536" i="21"/>
  <c r="AB537" i="21"/>
  <c r="AB538" i="21"/>
  <c r="AB539" i="21"/>
  <c r="AB540" i="21"/>
  <c r="AB541" i="21"/>
  <c r="AB542" i="21"/>
  <c r="AB543" i="21"/>
  <c r="AB544" i="21"/>
  <c r="AB545" i="21"/>
  <c r="AB546" i="21"/>
  <c r="AB547" i="21"/>
  <c r="AB548" i="21"/>
  <c r="AB549" i="21"/>
  <c r="AB550" i="21"/>
  <c r="AB551" i="21"/>
  <c r="AB552" i="21"/>
  <c r="AB553" i="21"/>
  <c r="AB554" i="21"/>
  <c r="AB555" i="21"/>
  <c r="AB556" i="21"/>
  <c r="AB557" i="21"/>
  <c r="AB558" i="21"/>
  <c r="AB559" i="21"/>
  <c r="AB560" i="21"/>
  <c r="AB561" i="21"/>
  <c r="AB562" i="21"/>
  <c r="AB563" i="21"/>
  <c r="AB564" i="21"/>
  <c r="AB565" i="21"/>
  <c r="AB566" i="21"/>
  <c r="AB567" i="21"/>
  <c r="AB568" i="21"/>
  <c r="AB569" i="21"/>
  <c r="AB570" i="21"/>
  <c r="AB571" i="21"/>
  <c r="AB572" i="21"/>
  <c r="AB573" i="21"/>
  <c r="AB574" i="21"/>
  <c r="AB575" i="21"/>
  <c r="AB576" i="21"/>
  <c r="AB577" i="21"/>
  <c r="AB578" i="21"/>
  <c r="AB579" i="21"/>
  <c r="AB580" i="21"/>
  <c r="AB581" i="21"/>
  <c r="AB582" i="21"/>
  <c r="AB583" i="21"/>
  <c r="AB584" i="21"/>
  <c r="AB585" i="21"/>
  <c r="AB586" i="21"/>
  <c r="AB587" i="21"/>
  <c r="AB588" i="21"/>
  <c r="AB589" i="21"/>
  <c r="AB590" i="21"/>
  <c r="AB591" i="21"/>
  <c r="AB592" i="21"/>
  <c r="AB593" i="21"/>
  <c r="AB594" i="21"/>
  <c r="AB595" i="21"/>
  <c r="AB596" i="21"/>
  <c r="AB597" i="21"/>
  <c r="AB598" i="21"/>
  <c r="AB599" i="21"/>
  <c r="AB600" i="21"/>
  <c r="AB601" i="21"/>
  <c r="AB602" i="21"/>
  <c r="AB603" i="21"/>
  <c r="AB604" i="21"/>
  <c r="AB605" i="21"/>
  <c r="AB606" i="21"/>
  <c r="AB607" i="21"/>
  <c r="AB608" i="21"/>
  <c r="AB609" i="21"/>
  <c r="AB610" i="21"/>
  <c r="AB611" i="21"/>
  <c r="AB612" i="21"/>
  <c r="AB613" i="21"/>
  <c r="AB614" i="21"/>
  <c r="AB615" i="21"/>
  <c r="AB616" i="21"/>
  <c r="AB617" i="21"/>
  <c r="AB618" i="21"/>
  <c r="AB619" i="21"/>
  <c r="AB620" i="21"/>
  <c r="AB621" i="21"/>
  <c r="AB622" i="21"/>
  <c r="AB623" i="21"/>
  <c r="AB624" i="21"/>
  <c r="AB625" i="21"/>
  <c r="AB626" i="21"/>
  <c r="AB627" i="21"/>
  <c r="AB628" i="21"/>
  <c r="AB629" i="21"/>
  <c r="AB630" i="21"/>
  <c r="AB631" i="21"/>
  <c r="AB632" i="21"/>
  <c r="AB633" i="21"/>
  <c r="AB634" i="21"/>
  <c r="AB635" i="21"/>
  <c r="AB636" i="21"/>
  <c r="AB637" i="21"/>
  <c r="AB638" i="21"/>
  <c r="AB639" i="21"/>
  <c r="AB640" i="21"/>
  <c r="AB641" i="21"/>
  <c r="AB642" i="21"/>
  <c r="AB643" i="21"/>
  <c r="AB644" i="21"/>
  <c r="AB645" i="21"/>
  <c r="AB646" i="21"/>
  <c r="AB647" i="21"/>
  <c r="AB648" i="21"/>
  <c r="AB649" i="21"/>
  <c r="AB650" i="21"/>
  <c r="AB651" i="21"/>
  <c r="AB652" i="21"/>
  <c r="AB653" i="21"/>
  <c r="AB654" i="21"/>
  <c r="AB655" i="21"/>
  <c r="AB656" i="21"/>
  <c r="AB657" i="21"/>
  <c r="AB658" i="21"/>
  <c r="AB659" i="21"/>
  <c r="AB660" i="21"/>
  <c r="AB661" i="21"/>
  <c r="AB662" i="21"/>
  <c r="AB663" i="21"/>
  <c r="AB664" i="21"/>
  <c r="AB665" i="21"/>
  <c r="AB666" i="21"/>
  <c r="AB667" i="21"/>
  <c r="AB668" i="21"/>
  <c r="AB669" i="21"/>
  <c r="AB670" i="21"/>
  <c r="AB671" i="21"/>
  <c r="AB672" i="21"/>
  <c r="AB673" i="21"/>
  <c r="AB674" i="21"/>
  <c r="AB675" i="21"/>
  <c r="AB676" i="21"/>
  <c r="AB677" i="21"/>
  <c r="AB678" i="21"/>
  <c r="AB679" i="21"/>
  <c r="AB680" i="21"/>
  <c r="AB681" i="21"/>
  <c r="AB682" i="21"/>
  <c r="AB683" i="21"/>
  <c r="AB684" i="21"/>
  <c r="AB685" i="21"/>
  <c r="AB686" i="21"/>
  <c r="AB687" i="21"/>
  <c r="AB688" i="21"/>
  <c r="AB689" i="21"/>
  <c r="AB690" i="21"/>
  <c r="AB691" i="21"/>
  <c r="AB692" i="21"/>
  <c r="AB693" i="21"/>
  <c r="AB694" i="21"/>
  <c r="AB695" i="21"/>
  <c r="AB696" i="21"/>
  <c r="AB697" i="21"/>
  <c r="AB698" i="21"/>
  <c r="AB699" i="21"/>
  <c r="AB700" i="21"/>
  <c r="AB701" i="21"/>
  <c r="AB702" i="21"/>
  <c r="AB703" i="21"/>
  <c r="AB704" i="21"/>
  <c r="AB705" i="21"/>
  <c r="AB706" i="21"/>
  <c r="AB707" i="21"/>
  <c r="AB708" i="21"/>
  <c r="AB709" i="21"/>
  <c r="AB710" i="21"/>
  <c r="AB711" i="21"/>
  <c r="AB712" i="21"/>
  <c r="AB713" i="21"/>
  <c r="AB714" i="21"/>
  <c r="AB715" i="21"/>
  <c r="AB716" i="21"/>
  <c r="AB717" i="21"/>
  <c r="AB718" i="21"/>
  <c r="AB719" i="21"/>
  <c r="AB720" i="21"/>
  <c r="AB721" i="21"/>
  <c r="AB722" i="21"/>
  <c r="AB723" i="21"/>
  <c r="AB724" i="21"/>
  <c r="AB725" i="21"/>
  <c r="AB726" i="21"/>
  <c r="AB727" i="21"/>
  <c r="AB728" i="21"/>
  <c r="AB729" i="21"/>
  <c r="AB730" i="21"/>
  <c r="AB731" i="21"/>
  <c r="AB732" i="21"/>
  <c r="AB733" i="21"/>
  <c r="AB734" i="21"/>
  <c r="AB735" i="21"/>
  <c r="AB736" i="21"/>
  <c r="AB737" i="21"/>
  <c r="AB738" i="21"/>
  <c r="AB739" i="21"/>
  <c r="AB740" i="21"/>
  <c r="AB741" i="21"/>
  <c r="AB742" i="21"/>
  <c r="AB743" i="21"/>
  <c r="AB744" i="21"/>
  <c r="AB745" i="21"/>
  <c r="AB746" i="21"/>
  <c r="AB747" i="21"/>
  <c r="AB748" i="21"/>
  <c r="AB749" i="21"/>
  <c r="AB750" i="21"/>
  <c r="AB751" i="21"/>
  <c r="AB752" i="21"/>
  <c r="AB753" i="21"/>
  <c r="AB754" i="21"/>
  <c r="AB755" i="21"/>
  <c r="AB756" i="21"/>
  <c r="AB757" i="21"/>
  <c r="AB758" i="21"/>
  <c r="AB759" i="21"/>
  <c r="AB760" i="21"/>
  <c r="AB761" i="21"/>
  <c r="AB762" i="21"/>
  <c r="AB763" i="21"/>
  <c r="AB764" i="21"/>
  <c r="AB765" i="21"/>
  <c r="AB766" i="21"/>
  <c r="AB767" i="21"/>
  <c r="AB768" i="21"/>
  <c r="AB769" i="21"/>
  <c r="AB770" i="21"/>
  <c r="AB771" i="21"/>
  <c r="AB772" i="21"/>
  <c r="AB773" i="21"/>
  <c r="AB774" i="21"/>
  <c r="AB775" i="21"/>
  <c r="AB776" i="21"/>
  <c r="AB777" i="21"/>
  <c r="AB778" i="21"/>
  <c r="AB779" i="21"/>
  <c r="AB780" i="21"/>
  <c r="AB781" i="21"/>
  <c r="AB782" i="21"/>
  <c r="AB783" i="21"/>
  <c r="AB784" i="21"/>
  <c r="AB785" i="21"/>
  <c r="AB786" i="21"/>
  <c r="AB787" i="21"/>
  <c r="AB788" i="21"/>
  <c r="AB789" i="21"/>
  <c r="AB790" i="21"/>
  <c r="AB791" i="21"/>
  <c r="AB792" i="21"/>
  <c r="AB793" i="21"/>
  <c r="AB794" i="21"/>
  <c r="AB795" i="21"/>
  <c r="AB796" i="21"/>
  <c r="AB797" i="21"/>
  <c r="AB798" i="21"/>
  <c r="AB799" i="21"/>
  <c r="AB800" i="21"/>
  <c r="AB801" i="21"/>
  <c r="AB802" i="21"/>
  <c r="AB803" i="21"/>
  <c r="AB804" i="21"/>
  <c r="AB805" i="21"/>
  <c r="AB806" i="21"/>
  <c r="AB807" i="21"/>
  <c r="AB808" i="21"/>
  <c r="AB809" i="21"/>
  <c r="AB810" i="21"/>
  <c r="AB811" i="21"/>
  <c r="AB812" i="21"/>
  <c r="AB813" i="21"/>
  <c r="AB814" i="21"/>
  <c r="AB815" i="21"/>
  <c r="AB816" i="21"/>
  <c r="AB817" i="21"/>
  <c r="AB818" i="21"/>
  <c r="AB819" i="21"/>
  <c r="AB820" i="21"/>
  <c r="AB821" i="21"/>
  <c r="AB822" i="21"/>
  <c r="AB823" i="21"/>
  <c r="AB824" i="21"/>
  <c r="AB825" i="21"/>
  <c r="AB826" i="21"/>
  <c r="AB827" i="21"/>
  <c r="AB828" i="21"/>
  <c r="AB829" i="21"/>
  <c r="AB830" i="21"/>
  <c r="AB831" i="21"/>
  <c r="AB832" i="21"/>
  <c r="AB833" i="21"/>
  <c r="AB834" i="21"/>
  <c r="AB835" i="21"/>
  <c r="AB836" i="21"/>
  <c r="AB837" i="21"/>
  <c r="AB838" i="21"/>
  <c r="AB839" i="21"/>
  <c r="AB840" i="21"/>
  <c r="AB841" i="21"/>
  <c r="AB842" i="21"/>
  <c r="AB843" i="21"/>
  <c r="AB844" i="21"/>
  <c r="AB845" i="21"/>
  <c r="AB846" i="21"/>
  <c r="AB847" i="21"/>
  <c r="AB848" i="21"/>
  <c r="AB849" i="21"/>
  <c r="AB850" i="21"/>
  <c r="AB851" i="21"/>
  <c r="AB852" i="21"/>
  <c r="AB853" i="21"/>
  <c r="AB854" i="21"/>
  <c r="AB855" i="21"/>
  <c r="AB856" i="21"/>
  <c r="AB857" i="21"/>
  <c r="AB858" i="21"/>
  <c r="AB859" i="21"/>
  <c r="AB860" i="21"/>
  <c r="AB861" i="21"/>
  <c r="AB862" i="21"/>
  <c r="AB863" i="21"/>
  <c r="AB864" i="21"/>
  <c r="AB865" i="21"/>
  <c r="AB866" i="21"/>
  <c r="AB867" i="21"/>
  <c r="AB868" i="21"/>
  <c r="AB869" i="21"/>
  <c r="AB870" i="21"/>
  <c r="AB871" i="21"/>
  <c r="AB872" i="21"/>
  <c r="AB873" i="21"/>
  <c r="AB874" i="21"/>
  <c r="AB875" i="21"/>
  <c r="AB876" i="21"/>
  <c r="AB877" i="21"/>
  <c r="AB878" i="21"/>
  <c r="AB879" i="21"/>
  <c r="AB880" i="21"/>
  <c r="AB881" i="21"/>
  <c r="AB882" i="21"/>
  <c r="AB883" i="21"/>
  <c r="AB884" i="21"/>
  <c r="AB885" i="21"/>
  <c r="AB886" i="21"/>
  <c r="AB887" i="21"/>
  <c r="AB888" i="21"/>
  <c r="AB889" i="21"/>
  <c r="AB890" i="21"/>
  <c r="AB891" i="21"/>
  <c r="AB892" i="21"/>
  <c r="AB893" i="21"/>
  <c r="AB894" i="21"/>
  <c r="AB895" i="21"/>
  <c r="AB896" i="21"/>
  <c r="AB897" i="21"/>
  <c r="AB898" i="21"/>
  <c r="AB899" i="21"/>
  <c r="AB900" i="21"/>
  <c r="AB901" i="21"/>
  <c r="AB902" i="21"/>
  <c r="AB903" i="21"/>
  <c r="AB904" i="21"/>
  <c r="AB905" i="21"/>
  <c r="AB906" i="21"/>
  <c r="AB907" i="21"/>
  <c r="AB908" i="21"/>
  <c r="AB909" i="21"/>
  <c r="AB910" i="21"/>
  <c r="AB911" i="21"/>
  <c r="AB912" i="21"/>
  <c r="AB913" i="21"/>
  <c r="AB914" i="21"/>
  <c r="AB915" i="21"/>
  <c r="AB916" i="21"/>
  <c r="AB917" i="21"/>
  <c r="AB918" i="21"/>
  <c r="AB919" i="21"/>
  <c r="AB920" i="21"/>
  <c r="AB921" i="21"/>
  <c r="AB922" i="21"/>
  <c r="AB923" i="21"/>
  <c r="AB924" i="21"/>
  <c r="AB925" i="21"/>
  <c r="AB926" i="21"/>
  <c r="AB927" i="21"/>
  <c r="AB928" i="21"/>
  <c r="AB929" i="21"/>
  <c r="AB930" i="21"/>
  <c r="AB931" i="21"/>
  <c r="AB932" i="21"/>
  <c r="AB933" i="21"/>
  <c r="AB934" i="21"/>
  <c r="AB935" i="21"/>
  <c r="AB936" i="21"/>
  <c r="AB937" i="21"/>
  <c r="AB938" i="21"/>
  <c r="AB939" i="21"/>
  <c r="AB940" i="21"/>
  <c r="AB941" i="21"/>
  <c r="AB942" i="21"/>
  <c r="AB943" i="21"/>
  <c r="AB944" i="21"/>
  <c r="AB945" i="21"/>
  <c r="AB946" i="21"/>
  <c r="AB947" i="21"/>
  <c r="AB948" i="21"/>
  <c r="AB949" i="21"/>
  <c r="AB950" i="21"/>
  <c r="AB951" i="21"/>
  <c r="AB952" i="21"/>
  <c r="AB953" i="21"/>
  <c r="AB954" i="21"/>
  <c r="AB955" i="21"/>
  <c r="AB956" i="21"/>
  <c r="AB957" i="21"/>
  <c r="AB958" i="21"/>
  <c r="AB959" i="21"/>
  <c r="AB960" i="21"/>
  <c r="AB961" i="21"/>
  <c r="AB962" i="21"/>
  <c r="AB963" i="21"/>
  <c r="AB964" i="21"/>
  <c r="AB965" i="21"/>
  <c r="AB966" i="21"/>
  <c r="AB967" i="21"/>
  <c r="AB968" i="21"/>
  <c r="AB969" i="21"/>
  <c r="AB970" i="21"/>
  <c r="AB971" i="21"/>
  <c r="AB972" i="21"/>
  <c r="AB973" i="21"/>
  <c r="AB974" i="21"/>
  <c r="AB975" i="21"/>
  <c r="AB976" i="21"/>
  <c r="AB977" i="21"/>
  <c r="AB978" i="21"/>
  <c r="AB979" i="21"/>
  <c r="AB980" i="21"/>
  <c r="AB981" i="21"/>
  <c r="AB982" i="21"/>
  <c r="AB983" i="21"/>
  <c r="AB984" i="21"/>
  <c r="AB985" i="21"/>
  <c r="AB986" i="21"/>
  <c r="AB987" i="21"/>
  <c r="AB988" i="21"/>
  <c r="AB989" i="21"/>
  <c r="AB990" i="21"/>
  <c r="AB991" i="21"/>
  <c r="AB992" i="21"/>
  <c r="AB993" i="21"/>
  <c r="AB994" i="21"/>
  <c r="AB995" i="21"/>
  <c r="AB996" i="21"/>
  <c r="AB997" i="21"/>
  <c r="AB998" i="21"/>
  <c r="AB999" i="21"/>
  <c r="AB1000" i="21"/>
  <c r="AB1001" i="21"/>
  <c r="AB1002" i="21"/>
  <c r="AB1003" i="21"/>
  <c r="AB1004" i="21"/>
  <c r="AB1005" i="21"/>
  <c r="AB1006" i="21"/>
  <c r="AB1007" i="21"/>
  <c r="AB1008" i="21"/>
  <c r="AB1009" i="21"/>
  <c r="AB1010" i="21"/>
  <c r="AB1011" i="21"/>
  <c r="AB1012" i="21"/>
  <c r="AB1013" i="21"/>
  <c r="AB1014" i="21"/>
  <c r="AB1015" i="21"/>
  <c r="AB1016" i="21"/>
  <c r="AB1017" i="21"/>
  <c r="AB1018" i="21"/>
  <c r="AB1019" i="21"/>
  <c r="AB1020" i="21"/>
  <c r="AB1021" i="21"/>
  <c r="AB1022" i="21"/>
  <c r="AB1023" i="21"/>
  <c r="AB1024" i="21"/>
  <c r="AB1025" i="21"/>
  <c r="AB1026" i="21"/>
  <c r="AB1027" i="21"/>
  <c r="AB1028" i="21"/>
  <c r="AB1029" i="21"/>
  <c r="AB1030" i="21"/>
  <c r="AB1031" i="21"/>
  <c r="AB1032" i="21"/>
  <c r="AB1033" i="21"/>
  <c r="AB1034" i="21"/>
  <c r="AB1035" i="21"/>
  <c r="AB1036" i="21"/>
  <c r="AB1037" i="21"/>
  <c r="AB1038" i="21"/>
  <c r="AB1039" i="21"/>
  <c r="AB1040" i="21"/>
  <c r="AB1041" i="21"/>
  <c r="AB1042" i="21"/>
  <c r="AB1043" i="21"/>
  <c r="AB1044" i="21"/>
  <c r="AB1045" i="21"/>
  <c r="AB1046" i="21"/>
  <c r="AB1047" i="21"/>
  <c r="AB1048" i="21"/>
  <c r="AB1049" i="21"/>
  <c r="AB1050" i="21"/>
  <c r="AB1051" i="21"/>
  <c r="AB1052" i="21"/>
  <c r="AB1053" i="21"/>
  <c r="AB1054" i="21"/>
  <c r="AB1055" i="21"/>
  <c r="AB1056" i="21"/>
  <c r="AB1057" i="21"/>
  <c r="AB1058" i="21"/>
  <c r="AB1059" i="21"/>
  <c r="AB1060" i="21"/>
  <c r="AB1061" i="21"/>
  <c r="AB1062" i="21"/>
  <c r="AB1063" i="21"/>
  <c r="AB1064" i="21"/>
  <c r="AB1065" i="21"/>
  <c r="AB1066" i="21"/>
  <c r="AB1067" i="21"/>
  <c r="AB1068" i="21"/>
  <c r="AB1069" i="21"/>
  <c r="AB1070" i="21"/>
  <c r="AB1071" i="21"/>
  <c r="AB1072" i="21"/>
  <c r="AB1073" i="21"/>
  <c r="AB1074" i="21"/>
  <c r="AB1075" i="21"/>
  <c r="AB1076" i="21"/>
  <c r="AB1077" i="21"/>
  <c r="AB1078" i="21"/>
  <c r="AB1079" i="21"/>
  <c r="AB1080" i="21"/>
  <c r="AB1081" i="21"/>
  <c r="AB1082" i="21"/>
  <c r="AB1083" i="21"/>
  <c r="AB1084" i="21"/>
  <c r="AB1085" i="21"/>
  <c r="AB1086" i="21"/>
  <c r="AB1087" i="21"/>
  <c r="AB1088" i="21"/>
  <c r="AB1089" i="21"/>
  <c r="AB1090" i="21"/>
  <c r="AB1091" i="21"/>
  <c r="AB1092" i="21"/>
  <c r="AB1093" i="21"/>
  <c r="AB1094" i="21"/>
  <c r="AB1095" i="21"/>
  <c r="AB1096" i="21"/>
  <c r="AB1097" i="21"/>
  <c r="AB1098" i="21"/>
  <c r="AB1099" i="21"/>
  <c r="AB1100" i="21"/>
  <c r="AB1101" i="21"/>
  <c r="AB1102" i="21"/>
  <c r="AB1103" i="21"/>
  <c r="AB1104" i="21"/>
  <c r="AB1105" i="21"/>
  <c r="AB1106" i="21"/>
  <c r="AB1107" i="21"/>
  <c r="AB1108" i="21"/>
  <c r="AB1109" i="21"/>
  <c r="AB1110" i="21"/>
  <c r="AB1111" i="21"/>
  <c r="AB1112" i="21"/>
  <c r="AB1113" i="21"/>
  <c r="AB1114" i="21"/>
  <c r="AB1115" i="21"/>
  <c r="AB1116" i="21"/>
  <c r="AB1117" i="21"/>
  <c r="AB1118" i="21"/>
  <c r="AB1119" i="21"/>
  <c r="AB1120" i="21"/>
  <c r="AB1121" i="21"/>
  <c r="AB1122" i="21"/>
  <c r="AB1123" i="21"/>
  <c r="AB1124" i="21"/>
  <c r="AB1125" i="21"/>
  <c r="AB1126" i="21"/>
  <c r="AB1127" i="21"/>
  <c r="AB1128" i="21"/>
  <c r="AB1129" i="21"/>
  <c r="AB2" i="21"/>
  <c r="E1180" i="8"/>
  <c r="E1179" i="8"/>
  <c r="E1178" i="8"/>
  <c r="E1177" i="8"/>
  <c r="E1176" i="8"/>
  <c r="E1175" i="8"/>
  <c r="E1174" i="8"/>
  <c r="E1173" i="8"/>
  <c r="E1172" i="8"/>
  <c r="E1171" i="8"/>
  <c r="E1170" i="8"/>
  <c r="E1169" i="8"/>
  <c r="E1168" i="8"/>
  <c r="E1167" i="8"/>
  <c r="E1166" i="8"/>
  <c r="E1165" i="8"/>
  <c r="E1164" i="8"/>
  <c r="E1163" i="8"/>
  <c r="E1162" i="8"/>
  <c r="E1161" i="8"/>
  <c r="E1160" i="8"/>
  <c r="E1159" i="8"/>
  <c r="E1158" i="8"/>
  <c r="E1157" i="8"/>
  <c r="C1157" i="8"/>
  <c r="E1156" i="8"/>
  <c r="E1155" i="8"/>
  <c r="E1154" i="8"/>
  <c r="E1153" i="8"/>
  <c r="E1152" i="8"/>
  <c r="E1151" i="8"/>
  <c r="E1150" i="8"/>
  <c r="E1149" i="8"/>
  <c r="E1148" i="8"/>
  <c r="E1147" i="8"/>
  <c r="E1146" i="8"/>
  <c r="E1145" i="8"/>
  <c r="E1144" i="8"/>
  <c r="E1143" i="8"/>
  <c r="E1142" i="8"/>
  <c r="E1141" i="8"/>
  <c r="E1140" i="8"/>
  <c r="E1139" i="8"/>
  <c r="E1138" i="8"/>
  <c r="E1137" i="8"/>
  <c r="E1136" i="8"/>
  <c r="E1135" i="8"/>
  <c r="E1134" i="8"/>
  <c r="E1133" i="8"/>
  <c r="C1133" i="8"/>
  <c r="B1133" i="8"/>
  <c r="E1132" i="8"/>
  <c r="E1131" i="8"/>
  <c r="E1130" i="8"/>
  <c r="E1129" i="8"/>
  <c r="E1128" i="8"/>
  <c r="E1127" i="8"/>
  <c r="E1126" i="8"/>
  <c r="E1125" i="8"/>
  <c r="E1124" i="8"/>
  <c r="E1123" i="8"/>
  <c r="E1122" i="8"/>
  <c r="E1121" i="8"/>
  <c r="E1120" i="8"/>
  <c r="E1119" i="8"/>
  <c r="E1118" i="8"/>
  <c r="E1117" i="8"/>
  <c r="E1116" i="8"/>
  <c r="E1115" i="8"/>
  <c r="E1114" i="8"/>
  <c r="E1113" i="8"/>
  <c r="E1112" i="8"/>
  <c r="E1111" i="8"/>
  <c r="E1110" i="8"/>
  <c r="E1109" i="8"/>
  <c r="C1109" i="8"/>
  <c r="B1109" i="8"/>
  <c r="E1108" i="8"/>
  <c r="E1107" i="8"/>
  <c r="E1106" i="8"/>
  <c r="E1105" i="8"/>
  <c r="E1104" i="8"/>
  <c r="E1103" i="8"/>
  <c r="E1102" i="8"/>
  <c r="E1101" i="8"/>
  <c r="E1100" i="8"/>
  <c r="E1099" i="8"/>
  <c r="E1098" i="8"/>
  <c r="E1097" i="8"/>
  <c r="E1096" i="8"/>
  <c r="E1095" i="8"/>
  <c r="E1094" i="8"/>
  <c r="E1093" i="8"/>
  <c r="E1092" i="8"/>
  <c r="E1091" i="8"/>
  <c r="E1090" i="8"/>
  <c r="E1089" i="8"/>
  <c r="E1088" i="8"/>
  <c r="E1087" i="8"/>
  <c r="E1086" i="8"/>
  <c r="E1085" i="8"/>
  <c r="C1085" i="8"/>
  <c r="B1085" i="8"/>
  <c r="E1084" i="8"/>
  <c r="E1083" i="8"/>
  <c r="E1082" i="8"/>
  <c r="E1081" i="8"/>
  <c r="E1080" i="8"/>
  <c r="E1079" i="8"/>
  <c r="E1078" i="8"/>
  <c r="E1077" i="8"/>
  <c r="E1076" i="8"/>
  <c r="E1075" i="8"/>
  <c r="E1074" i="8"/>
  <c r="E1073" i="8"/>
  <c r="E1072" i="8"/>
  <c r="E1071" i="8"/>
  <c r="E1070" i="8"/>
  <c r="E1069" i="8"/>
  <c r="E1068" i="8"/>
  <c r="E1067" i="8"/>
  <c r="E1066" i="8"/>
  <c r="E1065" i="8"/>
  <c r="E1064" i="8"/>
  <c r="E1063" i="8"/>
  <c r="E1062" i="8"/>
  <c r="E1061" i="8"/>
  <c r="C1061" i="8"/>
  <c r="B1061" i="8"/>
  <c r="E1060" i="8"/>
  <c r="E1059" i="8"/>
  <c r="E1058" i="8"/>
  <c r="E1057" i="8"/>
  <c r="E1056" i="8"/>
  <c r="E1055" i="8"/>
  <c r="E1054" i="8"/>
  <c r="E1053" i="8"/>
  <c r="E1052" i="8"/>
  <c r="E1051" i="8"/>
  <c r="E1050" i="8"/>
  <c r="E1049" i="8"/>
  <c r="E1048" i="8"/>
  <c r="E1047" i="8"/>
  <c r="E1046" i="8"/>
  <c r="E1045" i="8"/>
  <c r="E1044" i="8"/>
  <c r="E1043" i="8"/>
  <c r="E1042" i="8"/>
  <c r="E1041" i="8"/>
  <c r="E1040" i="8"/>
  <c r="E1039" i="8"/>
  <c r="E1038" i="8"/>
  <c r="E1037" i="8"/>
  <c r="C1037" i="8"/>
  <c r="B1037" i="8"/>
  <c r="E1036" i="8"/>
  <c r="E1035" i="8"/>
  <c r="E1034" i="8"/>
  <c r="E1033" i="8"/>
  <c r="E1032" i="8"/>
  <c r="E1031" i="8"/>
  <c r="E1030" i="8"/>
  <c r="E1029" i="8"/>
  <c r="E1028" i="8"/>
  <c r="E1027" i="8"/>
  <c r="E1026" i="8"/>
  <c r="E1025" i="8"/>
  <c r="E1024" i="8"/>
  <c r="E1023" i="8"/>
  <c r="E1022" i="8"/>
  <c r="E1021" i="8"/>
  <c r="E1020" i="8"/>
  <c r="E1019" i="8"/>
  <c r="E1018" i="8"/>
  <c r="E1017" i="8"/>
  <c r="E1016" i="8"/>
  <c r="E1015" i="8"/>
  <c r="E1014" i="8"/>
  <c r="E1013" i="8"/>
  <c r="C1013" i="8"/>
  <c r="B1013" i="8"/>
  <c r="E1012" i="8"/>
  <c r="E1011" i="8"/>
  <c r="E1010" i="8"/>
  <c r="E1009" i="8"/>
  <c r="E1008" i="8"/>
  <c r="E1007" i="8"/>
  <c r="E1006" i="8"/>
  <c r="E1005" i="8"/>
  <c r="E1004" i="8"/>
  <c r="E1003" i="8"/>
  <c r="E1002" i="8"/>
  <c r="E1001" i="8"/>
  <c r="E1000" i="8"/>
  <c r="E999" i="8"/>
  <c r="E998" i="8"/>
  <c r="E997" i="8"/>
  <c r="E996" i="8"/>
  <c r="E995" i="8"/>
  <c r="E994" i="8"/>
  <c r="E993" i="8"/>
  <c r="E992" i="8"/>
  <c r="E991" i="8"/>
  <c r="E990" i="8"/>
  <c r="E989" i="8"/>
  <c r="C989" i="8"/>
  <c r="B989" i="8"/>
  <c r="E988" i="8"/>
  <c r="E987" i="8"/>
  <c r="E986" i="8"/>
  <c r="E985" i="8"/>
  <c r="E984" i="8"/>
  <c r="E983" i="8"/>
  <c r="E982" i="8"/>
  <c r="E981" i="8"/>
  <c r="E980" i="8"/>
  <c r="E979" i="8"/>
  <c r="E978" i="8"/>
  <c r="E977" i="8"/>
  <c r="E976" i="8"/>
  <c r="E975" i="8"/>
  <c r="E974" i="8"/>
  <c r="E973" i="8"/>
  <c r="E972" i="8"/>
  <c r="E971" i="8"/>
  <c r="E970" i="8"/>
  <c r="E969" i="8"/>
  <c r="E968" i="8"/>
  <c r="E967" i="8"/>
  <c r="E966" i="8"/>
  <c r="E965" i="8"/>
  <c r="C965" i="8"/>
  <c r="B965" i="8"/>
  <c r="E964" i="8"/>
  <c r="E963" i="8"/>
  <c r="E962" i="8"/>
  <c r="E961" i="8"/>
  <c r="E960" i="8"/>
  <c r="E959" i="8"/>
  <c r="E958" i="8"/>
  <c r="E957" i="8"/>
  <c r="E956" i="8"/>
  <c r="E955" i="8"/>
  <c r="E954" i="8"/>
  <c r="E953" i="8"/>
  <c r="E952" i="8"/>
  <c r="E951" i="8"/>
  <c r="E950" i="8"/>
  <c r="E949" i="8"/>
  <c r="E948" i="8"/>
  <c r="E947" i="8"/>
  <c r="E946" i="8"/>
  <c r="E945" i="8"/>
  <c r="E944" i="8"/>
  <c r="E943" i="8"/>
  <c r="E942" i="8"/>
  <c r="E941" i="8"/>
  <c r="C941" i="8"/>
  <c r="B941" i="8"/>
  <c r="E940" i="8"/>
  <c r="E939" i="8"/>
  <c r="E938" i="8"/>
  <c r="E937" i="8"/>
  <c r="E936" i="8"/>
  <c r="E935" i="8"/>
  <c r="E934" i="8"/>
  <c r="E933" i="8"/>
  <c r="E932" i="8"/>
  <c r="E931" i="8"/>
  <c r="E930" i="8"/>
  <c r="E929" i="8"/>
  <c r="E928" i="8"/>
  <c r="E927" i="8"/>
  <c r="E926" i="8"/>
  <c r="E925" i="8"/>
  <c r="E924" i="8"/>
  <c r="E923" i="8"/>
  <c r="E922" i="8"/>
  <c r="E921" i="8"/>
  <c r="E920" i="8"/>
  <c r="E919" i="8"/>
  <c r="E918" i="8"/>
  <c r="E917" i="8"/>
  <c r="C917" i="8"/>
  <c r="B917" i="8"/>
  <c r="E916" i="8"/>
  <c r="E915" i="8"/>
  <c r="E914" i="8"/>
  <c r="E913" i="8"/>
  <c r="E912" i="8"/>
  <c r="E911" i="8"/>
  <c r="E910" i="8"/>
  <c r="E909" i="8"/>
  <c r="E908" i="8"/>
  <c r="E907" i="8"/>
  <c r="E906" i="8"/>
  <c r="E905" i="8"/>
  <c r="E904" i="8"/>
  <c r="E903" i="8"/>
  <c r="E902" i="8"/>
  <c r="E901" i="8"/>
  <c r="E900" i="8"/>
  <c r="E899" i="8"/>
  <c r="E898" i="8"/>
  <c r="E897" i="8"/>
  <c r="E896" i="8"/>
  <c r="E895" i="8"/>
  <c r="E894" i="8"/>
  <c r="E893" i="8"/>
  <c r="C893" i="8"/>
  <c r="B893" i="8"/>
  <c r="E892" i="8"/>
  <c r="E891" i="8"/>
  <c r="E890" i="8"/>
  <c r="E889" i="8"/>
  <c r="E888" i="8"/>
  <c r="E887" i="8"/>
  <c r="E886" i="8"/>
  <c r="E885" i="8"/>
  <c r="E884" i="8"/>
  <c r="E883" i="8"/>
  <c r="E882" i="8"/>
  <c r="E881" i="8"/>
  <c r="E880" i="8"/>
  <c r="E879" i="8"/>
  <c r="E878" i="8"/>
  <c r="E877" i="8"/>
  <c r="E876" i="8"/>
  <c r="E875" i="8"/>
  <c r="E874" i="8"/>
  <c r="E873" i="8"/>
  <c r="E872" i="8"/>
  <c r="E871" i="8"/>
  <c r="E870" i="8"/>
  <c r="E869" i="8"/>
  <c r="C869" i="8"/>
  <c r="B869" i="8"/>
  <c r="E868" i="8"/>
  <c r="E867" i="8"/>
  <c r="E866" i="8"/>
  <c r="E865" i="8"/>
  <c r="E864" i="8"/>
  <c r="E863" i="8"/>
  <c r="E862" i="8"/>
  <c r="E861" i="8"/>
  <c r="E860" i="8"/>
  <c r="E859" i="8"/>
  <c r="E858" i="8"/>
  <c r="E857" i="8"/>
  <c r="E856" i="8"/>
  <c r="E855" i="8"/>
  <c r="E854" i="8"/>
  <c r="E853" i="8"/>
  <c r="E852" i="8"/>
  <c r="E851" i="8"/>
  <c r="E850" i="8"/>
  <c r="E849" i="8"/>
  <c r="E848" i="8"/>
  <c r="E847" i="8"/>
  <c r="E846" i="8"/>
  <c r="E845" i="8"/>
  <c r="C845" i="8"/>
  <c r="B845" i="8"/>
  <c r="E844" i="8"/>
  <c r="E843" i="8"/>
  <c r="E842" i="8"/>
  <c r="E841" i="8"/>
  <c r="E840" i="8"/>
  <c r="E839" i="8"/>
  <c r="E838" i="8"/>
  <c r="E837" i="8"/>
  <c r="E836" i="8"/>
  <c r="E835" i="8"/>
  <c r="E834" i="8"/>
  <c r="E833" i="8"/>
  <c r="E832" i="8"/>
  <c r="E831" i="8"/>
  <c r="E830" i="8"/>
  <c r="E829" i="8"/>
  <c r="E828" i="8"/>
  <c r="E827" i="8"/>
  <c r="E826" i="8"/>
  <c r="E825" i="8"/>
  <c r="E824" i="8"/>
  <c r="E823" i="8"/>
  <c r="E822" i="8"/>
  <c r="E821" i="8"/>
  <c r="C821" i="8"/>
  <c r="B821" i="8"/>
  <c r="E820" i="8"/>
  <c r="E819" i="8"/>
  <c r="E818" i="8"/>
  <c r="E817" i="8"/>
  <c r="E816" i="8"/>
  <c r="E815" i="8"/>
  <c r="E814" i="8"/>
  <c r="E813" i="8"/>
  <c r="E812" i="8"/>
  <c r="E811" i="8"/>
  <c r="E810" i="8"/>
  <c r="E809" i="8"/>
  <c r="E808" i="8"/>
  <c r="E807" i="8"/>
  <c r="E806" i="8"/>
  <c r="E805" i="8"/>
  <c r="E804" i="8"/>
  <c r="E803" i="8"/>
  <c r="E802" i="8"/>
  <c r="E801" i="8"/>
  <c r="E800" i="8"/>
  <c r="E799" i="8"/>
  <c r="E798" i="8"/>
  <c r="E797" i="8"/>
  <c r="C797" i="8"/>
  <c r="B797" i="8"/>
  <c r="E796" i="8"/>
  <c r="E795" i="8"/>
  <c r="E794" i="8"/>
  <c r="E793" i="8"/>
  <c r="E792" i="8"/>
  <c r="E791" i="8"/>
  <c r="E790" i="8"/>
  <c r="E789" i="8"/>
  <c r="E788" i="8"/>
  <c r="E787" i="8"/>
  <c r="E786" i="8"/>
  <c r="E785" i="8"/>
  <c r="E784" i="8"/>
  <c r="E783" i="8"/>
  <c r="E782" i="8"/>
  <c r="E781" i="8"/>
  <c r="E780" i="8"/>
  <c r="E779" i="8"/>
  <c r="E778" i="8"/>
  <c r="E777" i="8"/>
  <c r="E776" i="8"/>
  <c r="E775" i="8"/>
  <c r="E774" i="8"/>
  <c r="E773" i="8"/>
  <c r="C773" i="8"/>
  <c r="B773" i="8"/>
  <c r="E772" i="8"/>
  <c r="E771" i="8"/>
  <c r="E770" i="8"/>
  <c r="E769" i="8"/>
  <c r="E768" i="8"/>
  <c r="E767" i="8"/>
  <c r="E766" i="8"/>
  <c r="E765" i="8"/>
  <c r="E764" i="8"/>
  <c r="E763" i="8"/>
  <c r="E762" i="8"/>
  <c r="E761" i="8"/>
  <c r="E760" i="8"/>
  <c r="E759" i="8"/>
  <c r="E758" i="8"/>
  <c r="E757" i="8"/>
  <c r="E756" i="8"/>
  <c r="E755" i="8"/>
  <c r="E754" i="8"/>
  <c r="E753" i="8"/>
  <c r="E752" i="8"/>
  <c r="E751" i="8"/>
  <c r="E750" i="8"/>
  <c r="E749" i="8"/>
  <c r="C749" i="8"/>
  <c r="B749" i="8"/>
  <c r="E748" i="8"/>
  <c r="E747" i="8"/>
  <c r="E746" i="8"/>
  <c r="E745" i="8"/>
  <c r="E744" i="8"/>
  <c r="E743" i="8"/>
  <c r="E742" i="8"/>
  <c r="E741" i="8"/>
  <c r="E740" i="8"/>
  <c r="E739" i="8"/>
  <c r="E738" i="8"/>
  <c r="E737" i="8"/>
  <c r="E736" i="8"/>
  <c r="E735" i="8"/>
  <c r="E734" i="8"/>
  <c r="E733" i="8"/>
  <c r="E732" i="8"/>
  <c r="E731" i="8"/>
  <c r="E730" i="8"/>
  <c r="E729" i="8"/>
  <c r="E728" i="8"/>
  <c r="E727" i="8"/>
  <c r="E726" i="8"/>
  <c r="E725" i="8"/>
  <c r="C725" i="8"/>
  <c r="B725" i="8"/>
  <c r="E724" i="8"/>
  <c r="E723" i="8"/>
  <c r="E722" i="8"/>
  <c r="E721" i="8"/>
  <c r="E720" i="8"/>
  <c r="E719" i="8"/>
  <c r="E718" i="8"/>
  <c r="E717" i="8"/>
  <c r="E716" i="8"/>
  <c r="E715" i="8"/>
  <c r="E714" i="8"/>
  <c r="E713" i="8"/>
  <c r="E712" i="8"/>
  <c r="E711" i="8"/>
  <c r="E710" i="8"/>
  <c r="E709" i="8"/>
  <c r="E708" i="8"/>
  <c r="E707" i="8"/>
  <c r="E706" i="8"/>
  <c r="E705" i="8"/>
  <c r="E704" i="8"/>
  <c r="E703" i="8"/>
  <c r="E702" i="8"/>
  <c r="E701" i="8"/>
  <c r="C701" i="8"/>
  <c r="B701" i="8"/>
  <c r="E700" i="8"/>
  <c r="E699" i="8"/>
  <c r="E698" i="8"/>
  <c r="E697" i="8"/>
  <c r="E696" i="8"/>
  <c r="E695" i="8"/>
  <c r="E694" i="8"/>
  <c r="E693" i="8"/>
  <c r="E692" i="8"/>
  <c r="E691" i="8"/>
  <c r="E690" i="8"/>
  <c r="E689" i="8"/>
  <c r="E688" i="8"/>
  <c r="E687" i="8"/>
  <c r="E686" i="8"/>
  <c r="E685" i="8"/>
  <c r="E684" i="8"/>
  <c r="E683" i="8"/>
  <c r="E682" i="8"/>
  <c r="E681" i="8"/>
  <c r="E680" i="8"/>
  <c r="E679" i="8"/>
  <c r="E678" i="8"/>
  <c r="E677" i="8"/>
  <c r="C677" i="8"/>
  <c r="B677" i="8"/>
  <c r="E676" i="8"/>
  <c r="E675" i="8"/>
  <c r="E674" i="8"/>
  <c r="E673" i="8"/>
  <c r="E672" i="8"/>
  <c r="E671" i="8"/>
  <c r="E670" i="8"/>
  <c r="E669" i="8"/>
  <c r="E668" i="8"/>
  <c r="E667" i="8"/>
  <c r="E666" i="8"/>
  <c r="E665" i="8"/>
  <c r="E664" i="8"/>
  <c r="E663" i="8"/>
  <c r="E662" i="8"/>
  <c r="E661" i="8"/>
  <c r="E660" i="8"/>
  <c r="E659" i="8"/>
  <c r="E658" i="8"/>
  <c r="E657" i="8"/>
  <c r="E656" i="8"/>
  <c r="E655" i="8"/>
  <c r="E654" i="8"/>
  <c r="E653" i="8"/>
  <c r="C653" i="8"/>
  <c r="B653" i="8"/>
  <c r="E652" i="8"/>
  <c r="E651" i="8"/>
  <c r="E650" i="8"/>
  <c r="E649" i="8"/>
  <c r="E648" i="8"/>
  <c r="E647" i="8"/>
  <c r="E646" i="8"/>
  <c r="E645" i="8"/>
  <c r="E644" i="8"/>
  <c r="E643" i="8"/>
  <c r="E642" i="8"/>
  <c r="E641" i="8"/>
  <c r="E640" i="8"/>
  <c r="E639" i="8"/>
  <c r="E638" i="8"/>
  <c r="E637" i="8"/>
  <c r="E636" i="8"/>
  <c r="E635" i="8"/>
  <c r="E634" i="8"/>
  <c r="E633" i="8"/>
  <c r="E632" i="8"/>
  <c r="E631" i="8"/>
  <c r="E630" i="8"/>
  <c r="E629" i="8"/>
  <c r="C629" i="8"/>
  <c r="B629" i="8"/>
  <c r="E628" i="8"/>
  <c r="E627" i="8"/>
  <c r="E626" i="8"/>
  <c r="E625" i="8"/>
  <c r="E624" i="8"/>
  <c r="E623" i="8"/>
  <c r="E622" i="8"/>
  <c r="E621" i="8"/>
  <c r="E620" i="8"/>
  <c r="E619" i="8"/>
  <c r="E618" i="8"/>
  <c r="E617" i="8"/>
  <c r="E616" i="8"/>
  <c r="E615" i="8"/>
  <c r="E614" i="8"/>
  <c r="E613" i="8"/>
  <c r="E612" i="8"/>
  <c r="E611" i="8"/>
  <c r="E610" i="8"/>
  <c r="E609" i="8"/>
  <c r="E608" i="8"/>
  <c r="E607" i="8"/>
  <c r="E606" i="8"/>
  <c r="E605" i="8"/>
  <c r="C605" i="8"/>
  <c r="B605" i="8"/>
  <c r="E604" i="8"/>
  <c r="E603" i="8"/>
  <c r="E602" i="8"/>
  <c r="E601" i="8"/>
  <c r="E600" i="8"/>
  <c r="E599" i="8"/>
  <c r="E598" i="8"/>
  <c r="E597" i="8"/>
  <c r="E596" i="8"/>
  <c r="E595" i="8"/>
  <c r="E594" i="8"/>
  <c r="E593" i="8"/>
  <c r="E592" i="8"/>
  <c r="E591" i="8"/>
  <c r="E590" i="8"/>
  <c r="E589" i="8"/>
  <c r="E588" i="8"/>
  <c r="E587" i="8"/>
  <c r="E586" i="8"/>
  <c r="E585" i="8"/>
  <c r="E584" i="8"/>
  <c r="E583" i="8"/>
  <c r="E582" i="8"/>
  <c r="E581" i="8"/>
  <c r="C581" i="8"/>
  <c r="B581" i="8"/>
  <c r="E580" i="8"/>
  <c r="E579" i="8"/>
  <c r="E578" i="8"/>
  <c r="E577" i="8"/>
  <c r="E576" i="8"/>
  <c r="E575" i="8"/>
  <c r="E574" i="8"/>
  <c r="E573" i="8"/>
  <c r="E572" i="8"/>
  <c r="E571" i="8"/>
  <c r="E570" i="8"/>
  <c r="E569" i="8"/>
  <c r="E568" i="8"/>
  <c r="E567" i="8"/>
  <c r="E566" i="8"/>
  <c r="E565" i="8"/>
  <c r="E564" i="8"/>
  <c r="E563" i="8"/>
  <c r="E562" i="8"/>
  <c r="E561" i="8"/>
  <c r="E560" i="8"/>
  <c r="E559" i="8"/>
  <c r="E558" i="8"/>
  <c r="E557" i="8"/>
  <c r="C557" i="8"/>
  <c r="B557" i="8"/>
  <c r="E556" i="8"/>
  <c r="E555" i="8"/>
  <c r="E554" i="8"/>
  <c r="E553" i="8"/>
  <c r="E552" i="8"/>
  <c r="E551" i="8"/>
  <c r="E550" i="8"/>
  <c r="E549" i="8"/>
  <c r="E548" i="8"/>
  <c r="E547" i="8"/>
  <c r="E546" i="8"/>
  <c r="E545" i="8"/>
  <c r="E544" i="8"/>
  <c r="E543" i="8"/>
  <c r="E542" i="8"/>
  <c r="E541" i="8"/>
  <c r="E540" i="8"/>
  <c r="E539" i="8"/>
  <c r="E538" i="8"/>
  <c r="E537" i="8"/>
  <c r="E536" i="8"/>
  <c r="E535" i="8"/>
  <c r="E534" i="8"/>
  <c r="E533" i="8"/>
  <c r="C533" i="8"/>
  <c r="B533" i="8"/>
  <c r="E532" i="8"/>
  <c r="E531" i="8"/>
  <c r="E530" i="8"/>
  <c r="E529" i="8"/>
  <c r="E528" i="8"/>
  <c r="E527" i="8"/>
  <c r="E526" i="8"/>
  <c r="E525" i="8"/>
  <c r="E524" i="8"/>
  <c r="E523" i="8"/>
  <c r="E522" i="8"/>
  <c r="E521" i="8"/>
  <c r="E520" i="8"/>
  <c r="E519" i="8"/>
  <c r="E518" i="8"/>
  <c r="E517" i="8"/>
  <c r="E516" i="8"/>
  <c r="E515" i="8"/>
  <c r="E514" i="8"/>
  <c r="E513" i="8"/>
  <c r="E512" i="8"/>
  <c r="E511" i="8"/>
  <c r="E510" i="8"/>
  <c r="E509" i="8"/>
  <c r="C509" i="8"/>
  <c r="B509" i="8"/>
  <c r="E508" i="8"/>
  <c r="E507" i="8"/>
  <c r="E506" i="8"/>
  <c r="E505" i="8"/>
  <c r="E504" i="8"/>
  <c r="E503" i="8"/>
  <c r="E502" i="8"/>
  <c r="E501" i="8"/>
  <c r="E500" i="8"/>
  <c r="E499" i="8"/>
  <c r="E498" i="8"/>
  <c r="E497" i="8"/>
  <c r="E496" i="8"/>
  <c r="E495" i="8"/>
  <c r="E494" i="8"/>
  <c r="E493" i="8"/>
  <c r="E492" i="8"/>
  <c r="E491" i="8"/>
  <c r="E490" i="8"/>
  <c r="E489" i="8"/>
  <c r="E488" i="8"/>
  <c r="E487" i="8"/>
  <c r="E486" i="8"/>
  <c r="E485" i="8"/>
  <c r="C485" i="8"/>
  <c r="B485" i="8"/>
  <c r="E484" i="8"/>
  <c r="E483" i="8"/>
  <c r="E482" i="8"/>
  <c r="E481" i="8"/>
  <c r="E480" i="8"/>
  <c r="E479" i="8"/>
  <c r="E478" i="8"/>
  <c r="E477" i="8"/>
  <c r="E476" i="8"/>
  <c r="E475" i="8"/>
  <c r="E474" i="8"/>
  <c r="E473" i="8"/>
  <c r="E472" i="8"/>
  <c r="E471" i="8"/>
  <c r="E470" i="8"/>
  <c r="E469" i="8"/>
  <c r="E468" i="8"/>
  <c r="E467" i="8"/>
  <c r="E466" i="8"/>
  <c r="E465" i="8"/>
  <c r="E464" i="8"/>
  <c r="E463" i="8"/>
  <c r="E462" i="8"/>
  <c r="E461" i="8"/>
  <c r="C461" i="8"/>
  <c r="B461" i="8"/>
  <c r="E460" i="8"/>
  <c r="E459" i="8"/>
  <c r="E458" i="8"/>
  <c r="E457" i="8"/>
  <c r="E456" i="8"/>
  <c r="E455" i="8"/>
  <c r="E454" i="8"/>
  <c r="E453" i="8"/>
  <c r="E452" i="8"/>
  <c r="E451" i="8"/>
  <c r="E450" i="8"/>
  <c r="E449" i="8"/>
  <c r="E448" i="8"/>
  <c r="E447" i="8"/>
  <c r="E446" i="8"/>
  <c r="E445" i="8"/>
  <c r="E444" i="8"/>
  <c r="E443" i="8"/>
  <c r="E442" i="8"/>
  <c r="E441" i="8"/>
  <c r="E440" i="8"/>
  <c r="E439" i="8"/>
  <c r="E438" i="8"/>
  <c r="E437" i="8"/>
  <c r="C437" i="8"/>
  <c r="B437" i="8"/>
  <c r="E436" i="8"/>
  <c r="E435" i="8"/>
  <c r="E434" i="8"/>
  <c r="E433" i="8"/>
  <c r="E432" i="8"/>
  <c r="E431" i="8"/>
  <c r="E430" i="8"/>
  <c r="E429" i="8"/>
  <c r="E428" i="8"/>
  <c r="E427" i="8"/>
  <c r="E426" i="8"/>
  <c r="E425" i="8"/>
  <c r="E424" i="8"/>
  <c r="E423" i="8"/>
  <c r="E422" i="8"/>
  <c r="E421" i="8"/>
  <c r="E420" i="8"/>
  <c r="E419" i="8"/>
  <c r="E418" i="8"/>
  <c r="E417" i="8"/>
  <c r="E416" i="8"/>
  <c r="E415" i="8"/>
  <c r="E414" i="8"/>
  <c r="E413" i="8"/>
  <c r="C413" i="8"/>
  <c r="B413" i="8"/>
  <c r="E412" i="8"/>
  <c r="E411" i="8"/>
  <c r="E410" i="8"/>
  <c r="E409" i="8"/>
  <c r="E408" i="8"/>
  <c r="E407" i="8"/>
  <c r="E406" i="8"/>
  <c r="E405" i="8"/>
  <c r="E404" i="8"/>
  <c r="E403" i="8"/>
  <c r="E402" i="8"/>
  <c r="E401" i="8"/>
  <c r="E400" i="8"/>
  <c r="E399" i="8"/>
  <c r="E398" i="8"/>
  <c r="E397" i="8"/>
  <c r="E396" i="8"/>
  <c r="E395" i="8"/>
  <c r="E394" i="8"/>
  <c r="E393" i="8"/>
  <c r="E392" i="8"/>
  <c r="E391" i="8"/>
  <c r="E390" i="8"/>
  <c r="E389" i="8"/>
  <c r="C389" i="8"/>
  <c r="B389" i="8"/>
  <c r="E388" i="8"/>
  <c r="E387" i="8"/>
  <c r="E386" i="8"/>
  <c r="E385" i="8"/>
  <c r="E384" i="8"/>
  <c r="E383" i="8"/>
  <c r="E382" i="8"/>
  <c r="E381" i="8"/>
  <c r="E380" i="8"/>
  <c r="E379" i="8"/>
  <c r="E378" i="8"/>
  <c r="E377" i="8"/>
  <c r="E376" i="8"/>
  <c r="E375" i="8"/>
  <c r="E374" i="8"/>
  <c r="E373" i="8"/>
  <c r="E372" i="8"/>
  <c r="E371" i="8"/>
  <c r="E370" i="8"/>
  <c r="E369" i="8"/>
  <c r="E368" i="8"/>
  <c r="E367" i="8"/>
  <c r="E366" i="8"/>
  <c r="E365" i="8"/>
  <c r="C365" i="8"/>
  <c r="B365" i="8"/>
  <c r="E364" i="8"/>
  <c r="E363" i="8"/>
  <c r="E362" i="8"/>
  <c r="E361" i="8"/>
  <c r="E360" i="8"/>
  <c r="E359" i="8"/>
  <c r="E358" i="8"/>
  <c r="E357" i="8"/>
  <c r="E356" i="8"/>
  <c r="E355" i="8"/>
  <c r="E354" i="8"/>
  <c r="E353" i="8"/>
  <c r="E352" i="8"/>
  <c r="E351" i="8"/>
  <c r="E350" i="8"/>
  <c r="E349" i="8"/>
  <c r="E348" i="8"/>
  <c r="E347" i="8"/>
  <c r="E346" i="8"/>
  <c r="E345" i="8"/>
  <c r="E344" i="8"/>
  <c r="E343" i="8"/>
  <c r="E342" i="8"/>
  <c r="E341" i="8"/>
  <c r="C341" i="8"/>
  <c r="B341" i="8"/>
  <c r="E340" i="8"/>
  <c r="E339" i="8"/>
  <c r="E338" i="8"/>
  <c r="E337" i="8"/>
  <c r="E336" i="8"/>
  <c r="E335" i="8"/>
  <c r="E334" i="8"/>
  <c r="E333" i="8"/>
  <c r="E332" i="8"/>
  <c r="E331" i="8"/>
  <c r="E330" i="8"/>
  <c r="E329" i="8"/>
  <c r="E328" i="8"/>
  <c r="E327" i="8"/>
  <c r="E326" i="8"/>
  <c r="E325" i="8"/>
  <c r="E324" i="8"/>
  <c r="E323" i="8"/>
  <c r="E322" i="8"/>
  <c r="E321" i="8"/>
  <c r="E320" i="8"/>
  <c r="E319" i="8"/>
  <c r="E318" i="8"/>
  <c r="E317" i="8"/>
  <c r="C317" i="8"/>
  <c r="B317" i="8"/>
  <c r="E316" i="8"/>
  <c r="E315" i="8"/>
  <c r="E314" i="8"/>
  <c r="E313" i="8"/>
  <c r="E312" i="8"/>
  <c r="E311" i="8"/>
  <c r="E310" i="8"/>
  <c r="E309" i="8"/>
  <c r="E308" i="8"/>
  <c r="E307" i="8"/>
  <c r="E306" i="8"/>
  <c r="E305" i="8"/>
  <c r="E304" i="8"/>
  <c r="E303" i="8"/>
  <c r="E302" i="8"/>
  <c r="E301" i="8"/>
  <c r="E300" i="8"/>
  <c r="E299" i="8"/>
  <c r="E298" i="8"/>
  <c r="E297" i="8"/>
  <c r="E296" i="8"/>
  <c r="E295" i="8"/>
  <c r="E294" i="8"/>
  <c r="E293" i="8"/>
  <c r="C293" i="8"/>
  <c r="B293" i="8"/>
  <c r="E292" i="8"/>
  <c r="E291" i="8"/>
  <c r="E290" i="8"/>
  <c r="E289" i="8"/>
  <c r="E288" i="8"/>
  <c r="E287" i="8"/>
  <c r="E286" i="8"/>
  <c r="E285" i="8"/>
  <c r="E284" i="8"/>
  <c r="E283" i="8"/>
  <c r="E282" i="8"/>
  <c r="E281" i="8"/>
  <c r="E280" i="8"/>
  <c r="E279" i="8"/>
  <c r="E278" i="8"/>
  <c r="E277" i="8"/>
  <c r="E276" i="8"/>
  <c r="E275" i="8"/>
  <c r="E274" i="8"/>
  <c r="E273" i="8"/>
  <c r="E272" i="8"/>
  <c r="E271" i="8"/>
  <c r="E270" i="8"/>
  <c r="E269" i="8"/>
  <c r="C269" i="8"/>
  <c r="B269" i="8"/>
  <c r="E268" i="8"/>
  <c r="E267" i="8"/>
  <c r="E266" i="8"/>
  <c r="E265" i="8"/>
  <c r="E264" i="8"/>
  <c r="E263" i="8"/>
  <c r="E262" i="8"/>
  <c r="E261" i="8"/>
  <c r="E260" i="8"/>
  <c r="E259" i="8"/>
  <c r="E258" i="8"/>
  <c r="E257" i="8"/>
  <c r="E256" i="8"/>
  <c r="E255" i="8"/>
  <c r="E254" i="8"/>
  <c r="E253" i="8"/>
  <c r="E252" i="8"/>
  <c r="E251" i="8"/>
  <c r="E250" i="8"/>
  <c r="E249" i="8"/>
  <c r="E248" i="8"/>
  <c r="E247" i="8"/>
  <c r="E246" i="8"/>
  <c r="E245" i="8"/>
  <c r="C245" i="8"/>
  <c r="B245" i="8"/>
  <c r="E244" i="8"/>
  <c r="E243" i="8"/>
  <c r="E242" i="8"/>
  <c r="E241" i="8"/>
  <c r="E240" i="8"/>
  <c r="E239" i="8"/>
  <c r="E238" i="8"/>
  <c r="E237" i="8"/>
  <c r="E236" i="8"/>
  <c r="E235" i="8"/>
  <c r="E234" i="8"/>
  <c r="E233" i="8"/>
  <c r="E232" i="8"/>
  <c r="E231" i="8"/>
  <c r="E230" i="8"/>
  <c r="E229" i="8"/>
  <c r="E228" i="8"/>
  <c r="E227" i="8"/>
  <c r="E226" i="8"/>
  <c r="E225" i="8"/>
  <c r="E224" i="8"/>
  <c r="E223" i="8"/>
  <c r="E222" i="8"/>
  <c r="E221" i="8"/>
  <c r="C221" i="8"/>
  <c r="B221" i="8"/>
  <c r="E220" i="8"/>
  <c r="E219" i="8"/>
  <c r="E218" i="8"/>
  <c r="E217" i="8"/>
  <c r="E216" i="8"/>
  <c r="E215" i="8"/>
  <c r="E214" i="8"/>
  <c r="E213" i="8"/>
  <c r="E212" i="8"/>
  <c r="E211" i="8"/>
  <c r="E210" i="8"/>
  <c r="E209" i="8"/>
  <c r="E208" i="8"/>
  <c r="E207" i="8"/>
  <c r="E206" i="8"/>
  <c r="E205" i="8"/>
  <c r="E204" i="8"/>
  <c r="E203" i="8"/>
  <c r="E202" i="8"/>
  <c r="E201" i="8"/>
  <c r="E200" i="8"/>
  <c r="E199" i="8"/>
  <c r="E198" i="8"/>
  <c r="E197" i="8"/>
  <c r="C197" i="8"/>
  <c r="B197" i="8"/>
  <c r="E196" i="8"/>
  <c r="E195" i="8"/>
  <c r="E194" i="8"/>
  <c r="E193" i="8"/>
  <c r="E192" i="8"/>
  <c r="E191" i="8"/>
  <c r="E190" i="8"/>
  <c r="E189" i="8"/>
  <c r="E188" i="8"/>
  <c r="E187" i="8"/>
  <c r="E186" i="8"/>
  <c r="E185" i="8"/>
  <c r="E184" i="8"/>
  <c r="E183" i="8"/>
  <c r="E182" i="8"/>
  <c r="E181" i="8"/>
  <c r="E180" i="8"/>
  <c r="E179" i="8"/>
  <c r="E178" i="8"/>
  <c r="E177" i="8"/>
  <c r="E176" i="8"/>
  <c r="E175" i="8"/>
  <c r="E174" i="8"/>
  <c r="E173" i="8"/>
  <c r="C173" i="8"/>
  <c r="B173" i="8"/>
  <c r="E172" i="8"/>
  <c r="E171" i="8"/>
  <c r="E170" i="8"/>
  <c r="E169" i="8"/>
  <c r="E168" i="8"/>
  <c r="E167" i="8"/>
  <c r="E166" i="8"/>
  <c r="E165" i="8"/>
  <c r="E164" i="8"/>
  <c r="E163" i="8"/>
  <c r="E162" i="8"/>
  <c r="E161" i="8"/>
  <c r="E160" i="8"/>
  <c r="E159" i="8"/>
  <c r="E158" i="8"/>
  <c r="E157" i="8"/>
  <c r="E156" i="8"/>
  <c r="E155" i="8"/>
  <c r="E154" i="8"/>
  <c r="E153" i="8"/>
  <c r="E152" i="8"/>
  <c r="E151" i="8"/>
  <c r="E150" i="8"/>
  <c r="E149" i="8"/>
  <c r="C149" i="8"/>
  <c r="B149" i="8"/>
  <c r="E148" i="8"/>
  <c r="E147" i="8"/>
  <c r="E146" i="8"/>
  <c r="E145" i="8"/>
  <c r="E144" i="8"/>
  <c r="E143" i="8"/>
  <c r="E142" i="8"/>
  <c r="E141" i="8"/>
  <c r="E140" i="8"/>
  <c r="E139" i="8"/>
  <c r="E138" i="8"/>
  <c r="E137" i="8"/>
  <c r="E136" i="8"/>
  <c r="E135" i="8"/>
  <c r="E134" i="8"/>
  <c r="E133" i="8"/>
  <c r="E132" i="8"/>
  <c r="E131" i="8"/>
  <c r="E130" i="8"/>
  <c r="E129" i="8"/>
  <c r="E128" i="8"/>
  <c r="E127" i="8"/>
  <c r="E126" i="8"/>
  <c r="E125" i="8"/>
  <c r="C125" i="8"/>
  <c r="B125" i="8"/>
  <c r="E124" i="8"/>
  <c r="E123" i="8"/>
  <c r="E122" i="8"/>
  <c r="E121" i="8"/>
  <c r="E120" i="8"/>
  <c r="E119" i="8"/>
  <c r="E118" i="8"/>
  <c r="E117" i="8"/>
  <c r="E116" i="8"/>
  <c r="E115" i="8"/>
  <c r="E114" i="8"/>
  <c r="E113" i="8"/>
  <c r="E112" i="8"/>
  <c r="E111" i="8"/>
  <c r="E110" i="8"/>
  <c r="E109" i="8"/>
  <c r="E108" i="8"/>
  <c r="E107" i="8"/>
  <c r="E106" i="8"/>
  <c r="E105" i="8"/>
  <c r="E104" i="8"/>
  <c r="E103" i="8"/>
  <c r="E102" i="8"/>
  <c r="E101" i="8"/>
  <c r="C101" i="8"/>
  <c r="B101" i="8"/>
  <c r="E100" i="8"/>
  <c r="D100" i="8"/>
  <c r="D124" i="8" s="1"/>
  <c r="D148" i="8" s="1"/>
  <c r="D172" i="8" s="1"/>
  <c r="D196" i="8" s="1"/>
  <c r="D220" i="8" s="1"/>
  <c r="D244" i="8" s="1"/>
  <c r="D268" i="8" s="1"/>
  <c r="D292" i="8" s="1"/>
  <c r="D316" i="8" s="1"/>
  <c r="D340" i="8" s="1"/>
  <c r="D364" i="8" s="1"/>
  <c r="D388" i="8" s="1"/>
  <c r="D412" i="8" s="1"/>
  <c r="D436" i="8" s="1"/>
  <c r="D460" i="8" s="1"/>
  <c r="D484" i="8" s="1"/>
  <c r="D508" i="8" s="1"/>
  <c r="D532" i="8" s="1"/>
  <c r="D556" i="8" s="1"/>
  <c r="D580" i="8" s="1"/>
  <c r="D604" i="8" s="1"/>
  <c r="D628" i="8" s="1"/>
  <c r="D652" i="8" s="1"/>
  <c r="D676" i="8" s="1"/>
  <c r="D700" i="8" s="1"/>
  <c r="D724" i="8" s="1"/>
  <c r="D748" i="8" s="1"/>
  <c r="D772" i="8" s="1"/>
  <c r="D796" i="8" s="1"/>
  <c r="D820" i="8" s="1"/>
  <c r="D844" i="8" s="1"/>
  <c r="D868" i="8" s="1"/>
  <c r="D892" i="8" s="1"/>
  <c r="D916" i="8" s="1"/>
  <c r="D940" i="8" s="1"/>
  <c r="D964" i="8" s="1"/>
  <c r="D988" i="8" s="1"/>
  <c r="D1012" i="8" s="1"/>
  <c r="D1036" i="8" s="1"/>
  <c r="D1060" i="8" s="1"/>
  <c r="D1084" i="8" s="1"/>
  <c r="D1108" i="8" s="1"/>
  <c r="D1132" i="8" s="1"/>
  <c r="D1156" i="8" s="1"/>
  <c r="D1180" i="8" s="1"/>
  <c r="E99" i="8"/>
  <c r="E98" i="8"/>
  <c r="E97" i="8"/>
  <c r="E96" i="8"/>
  <c r="D96" i="8"/>
  <c r="D120" i="8" s="1"/>
  <c r="D144" i="8" s="1"/>
  <c r="D168" i="8" s="1"/>
  <c r="D192" i="8" s="1"/>
  <c r="D216" i="8" s="1"/>
  <c r="D240" i="8" s="1"/>
  <c r="D264" i="8" s="1"/>
  <c r="D288" i="8" s="1"/>
  <c r="D312" i="8" s="1"/>
  <c r="D336" i="8" s="1"/>
  <c r="D360" i="8" s="1"/>
  <c r="D384" i="8" s="1"/>
  <c r="D408" i="8" s="1"/>
  <c r="D432" i="8" s="1"/>
  <c r="D456" i="8" s="1"/>
  <c r="D480" i="8" s="1"/>
  <c r="D504" i="8" s="1"/>
  <c r="D528" i="8" s="1"/>
  <c r="D552" i="8" s="1"/>
  <c r="D576" i="8" s="1"/>
  <c r="D600" i="8" s="1"/>
  <c r="D624" i="8" s="1"/>
  <c r="D648" i="8" s="1"/>
  <c r="D672" i="8" s="1"/>
  <c r="D696" i="8" s="1"/>
  <c r="D720" i="8" s="1"/>
  <c r="D744" i="8" s="1"/>
  <c r="D768" i="8" s="1"/>
  <c r="D792" i="8" s="1"/>
  <c r="D816" i="8" s="1"/>
  <c r="D840" i="8" s="1"/>
  <c r="D864" i="8" s="1"/>
  <c r="D888" i="8" s="1"/>
  <c r="D912" i="8" s="1"/>
  <c r="D936" i="8" s="1"/>
  <c r="D960" i="8" s="1"/>
  <c r="D984" i="8" s="1"/>
  <c r="D1008" i="8" s="1"/>
  <c r="D1032" i="8" s="1"/>
  <c r="D1056" i="8" s="1"/>
  <c r="D1080" i="8" s="1"/>
  <c r="D1104" i="8" s="1"/>
  <c r="D1128" i="8" s="1"/>
  <c r="D1152" i="8" s="1"/>
  <c r="D1176" i="8" s="1"/>
  <c r="E95" i="8"/>
  <c r="E94" i="8"/>
  <c r="E93" i="8"/>
  <c r="E92" i="8"/>
  <c r="D92" i="8"/>
  <c r="D116" i="8" s="1"/>
  <c r="D140" i="8" s="1"/>
  <c r="D164" i="8" s="1"/>
  <c r="D188" i="8" s="1"/>
  <c r="D212" i="8" s="1"/>
  <c r="D236" i="8" s="1"/>
  <c r="D260" i="8" s="1"/>
  <c r="D284" i="8" s="1"/>
  <c r="D308" i="8" s="1"/>
  <c r="D332" i="8" s="1"/>
  <c r="D356" i="8" s="1"/>
  <c r="D380" i="8" s="1"/>
  <c r="D404" i="8" s="1"/>
  <c r="D428" i="8" s="1"/>
  <c r="D452" i="8" s="1"/>
  <c r="D476" i="8" s="1"/>
  <c r="D500" i="8" s="1"/>
  <c r="D524" i="8" s="1"/>
  <c r="D548" i="8" s="1"/>
  <c r="D572" i="8" s="1"/>
  <c r="D596" i="8" s="1"/>
  <c r="D620" i="8" s="1"/>
  <c r="D644" i="8" s="1"/>
  <c r="D668" i="8" s="1"/>
  <c r="D692" i="8" s="1"/>
  <c r="D716" i="8" s="1"/>
  <c r="D740" i="8" s="1"/>
  <c r="D764" i="8" s="1"/>
  <c r="D788" i="8" s="1"/>
  <c r="D812" i="8" s="1"/>
  <c r="D836" i="8" s="1"/>
  <c r="D860" i="8" s="1"/>
  <c r="D884" i="8" s="1"/>
  <c r="D908" i="8" s="1"/>
  <c r="D932" i="8" s="1"/>
  <c r="D956" i="8" s="1"/>
  <c r="D980" i="8" s="1"/>
  <c r="D1004" i="8" s="1"/>
  <c r="D1028" i="8" s="1"/>
  <c r="D1052" i="8" s="1"/>
  <c r="D1076" i="8" s="1"/>
  <c r="D1100" i="8" s="1"/>
  <c r="D1124" i="8" s="1"/>
  <c r="D1148" i="8" s="1"/>
  <c r="D1172" i="8" s="1"/>
  <c r="E91" i="8"/>
  <c r="E90" i="8"/>
  <c r="E89" i="8"/>
  <c r="E88" i="8"/>
  <c r="D88" i="8"/>
  <c r="D112" i="8" s="1"/>
  <c r="D136" i="8" s="1"/>
  <c r="D160" i="8" s="1"/>
  <c r="D184" i="8" s="1"/>
  <c r="D208" i="8" s="1"/>
  <c r="D232" i="8" s="1"/>
  <c r="D256" i="8" s="1"/>
  <c r="D280" i="8" s="1"/>
  <c r="D304" i="8" s="1"/>
  <c r="D328" i="8" s="1"/>
  <c r="D352" i="8" s="1"/>
  <c r="D376" i="8" s="1"/>
  <c r="D400" i="8" s="1"/>
  <c r="D424" i="8" s="1"/>
  <c r="D448" i="8" s="1"/>
  <c r="D472" i="8" s="1"/>
  <c r="D496" i="8" s="1"/>
  <c r="D520" i="8" s="1"/>
  <c r="D544" i="8" s="1"/>
  <c r="D568" i="8" s="1"/>
  <c r="D592" i="8" s="1"/>
  <c r="D616" i="8" s="1"/>
  <c r="D640" i="8" s="1"/>
  <c r="D664" i="8" s="1"/>
  <c r="D688" i="8" s="1"/>
  <c r="D712" i="8" s="1"/>
  <c r="D736" i="8" s="1"/>
  <c r="D760" i="8" s="1"/>
  <c r="D784" i="8" s="1"/>
  <c r="D808" i="8" s="1"/>
  <c r="D832" i="8" s="1"/>
  <c r="D856" i="8" s="1"/>
  <c r="D880" i="8" s="1"/>
  <c r="D904" i="8" s="1"/>
  <c r="D928" i="8" s="1"/>
  <c r="D952" i="8" s="1"/>
  <c r="D976" i="8" s="1"/>
  <c r="D1000" i="8" s="1"/>
  <c r="D1024" i="8" s="1"/>
  <c r="D1048" i="8" s="1"/>
  <c r="D1072" i="8" s="1"/>
  <c r="D1096" i="8" s="1"/>
  <c r="D1120" i="8" s="1"/>
  <c r="D1144" i="8" s="1"/>
  <c r="D1168" i="8" s="1"/>
  <c r="E87" i="8"/>
  <c r="E86" i="8"/>
  <c r="E85" i="8"/>
  <c r="E84" i="8"/>
  <c r="D84" i="8"/>
  <c r="D108" i="8" s="1"/>
  <c r="D132" i="8" s="1"/>
  <c r="D156" i="8" s="1"/>
  <c r="D180" i="8" s="1"/>
  <c r="D204" i="8" s="1"/>
  <c r="D228" i="8" s="1"/>
  <c r="D252" i="8" s="1"/>
  <c r="D276" i="8" s="1"/>
  <c r="D300" i="8" s="1"/>
  <c r="D324" i="8" s="1"/>
  <c r="D348" i="8" s="1"/>
  <c r="D372" i="8" s="1"/>
  <c r="D396" i="8" s="1"/>
  <c r="D420" i="8" s="1"/>
  <c r="D444" i="8" s="1"/>
  <c r="D468" i="8" s="1"/>
  <c r="D492" i="8" s="1"/>
  <c r="D516" i="8" s="1"/>
  <c r="D540" i="8" s="1"/>
  <c r="D564" i="8" s="1"/>
  <c r="D588" i="8" s="1"/>
  <c r="D612" i="8" s="1"/>
  <c r="D636" i="8" s="1"/>
  <c r="D660" i="8" s="1"/>
  <c r="D684" i="8" s="1"/>
  <c r="D708" i="8" s="1"/>
  <c r="D732" i="8" s="1"/>
  <c r="D756" i="8" s="1"/>
  <c r="D780" i="8" s="1"/>
  <c r="D804" i="8" s="1"/>
  <c r="D828" i="8" s="1"/>
  <c r="D852" i="8" s="1"/>
  <c r="D876" i="8" s="1"/>
  <c r="D900" i="8" s="1"/>
  <c r="D924" i="8" s="1"/>
  <c r="D948" i="8" s="1"/>
  <c r="D972" i="8" s="1"/>
  <c r="D996" i="8" s="1"/>
  <c r="D1020" i="8" s="1"/>
  <c r="D1044" i="8" s="1"/>
  <c r="D1068" i="8" s="1"/>
  <c r="D1092" i="8" s="1"/>
  <c r="D1116" i="8" s="1"/>
  <c r="D1140" i="8" s="1"/>
  <c r="D1164" i="8" s="1"/>
  <c r="E83" i="8"/>
  <c r="E82" i="8"/>
  <c r="E81" i="8"/>
  <c r="E80" i="8"/>
  <c r="D80" i="8"/>
  <c r="D104" i="8" s="1"/>
  <c r="D128" i="8" s="1"/>
  <c r="D152" i="8" s="1"/>
  <c r="D176" i="8" s="1"/>
  <c r="D200" i="8" s="1"/>
  <c r="D224" i="8" s="1"/>
  <c r="D248" i="8" s="1"/>
  <c r="D272" i="8" s="1"/>
  <c r="D296" i="8" s="1"/>
  <c r="D320" i="8" s="1"/>
  <c r="D344" i="8" s="1"/>
  <c r="D368" i="8" s="1"/>
  <c r="D392" i="8" s="1"/>
  <c r="D416" i="8" s="1"/>
  <c r="D440" i="8" s="1"/>
  <c r="D464" i="8" s="1"/>
  <c r="D488" i="8" s="1"/>
  <c r="D512" i="8" s="1"/>
  <c r="D536" i="8" s="1"/>
  <c r="D560" i="8" s="1"/>
  <c r="D584" i="8" s="1"/>
  <c r="D608" i="8" s="1"/>
  <c r="D632" i="8" s="1"/>
  <c r="D656" i="8" s="1"/>
  <c r="D680" i="8" s="1"/>
  <c r="D704" i="8" s="1"/>
  <c r="D728" i="8" s="1"/>
  <c r="D752" i="8" s="1"/>
  <c r="D776" i="8" s="1"/>
  <c r="D800" i="8" s="1"/>
  <c r="D824" i="8" s="1"/>
  <c r="D848" i="8" s="1"/>
  <c r="D872" i="8" s="1"/>
  <c r="D896" i="8" s="1"/>
  <c r="D920" i="8" s="1"/>
  <c r="D944" i="8" s="1"/>
  <c r="D968" i="8" s="1"/>
  <c r="D992" i="8" s="1"/>
  <c r="D1016" i="8" s="1"/>
  <c r="D1040" i="8" s="1"/>
  <c r="D1064" i="8" s="1"/>
  <c r="D1088" i="8" s="1"/>
  <c r="D1112" i="8" s="1"/>
  <c r="D1136" i="8" s="1"/>
  <c r="D1160" i="8" s="1"/>
  <c r="E79" i="8"/>
  <c r="E78" i="8"/>
  <c r="E77" i="8"/>
  <c r="C77" i="8"/>
  <c r="B77" i="8"/>
  <c r="E76" i="8"/>
  <c r="D76" i="8"/>
  <c r="E75" i="8"/>
  <c r="E74" i="8"/>
  <c r="E73" i="8"/>
  <c r="D73" i="8"/>
  <c r="D97" i="8" s="1"/>
  <c r="D121" i="8" s="1"/>
  <c r="D145" i="8" s="1"/>
  <c r="D169" i="8" s="1"/>
  <c r="D193" i="8" s="1"/>
  <c r="D217" i="8" s="1"/>
  <c r="D241" i="8" s="1"/>
  <c r="D265" i="8" s="1"/>
  <c r="D289" i="8" s="1"/>
  <c r="D313" i="8" s="1"/>
  <c r="D337" i="8" s="1"/>
  <c r="D361" i="8" s="1"/>
  <c r="D385" i="8" s="1"/>
  <c r="D409" i="8" s="1"/>
  <c r="D433" i="8" s="1"/>
  <c r="D457" i="8" s="1"/>
  <c r="D481" i="8" s="1"/>
  <c r="D505" i="8" s="1"/>
  <c r="D529" i="8" s="1"/>
  <c r="D553" i="8" s="1"/>
  <c r="D577" i="8" s="1"/>
  <c r="D601" i="8" s="1"/>
  <c r="D625" i="8" s="1"/>
  <c r="D649" i="8" s="1"/>
  <c r="D673" i="8" s="1"/>
  <c r="D697" i="8" s="1"/>
  <c r="D721" i="8" s="1"/>
  <c r="D745" i="8" s="1"/>
  <c r="D769" i="8" s="1"/>
  <c r="D793" i="8" s="1"/>
  <c r="D817" i="8" s="1"/>
  <c r="D841" i="8" s="1"/>
  <c r="D865" i="8" s="1"/>
  <c r="D889" i="8" s="1"/>
  <c r="D913" i="8" s="1"/>
  <c r="D937" i="8" s="1"/>
  <c r="D961" i="8" s="1"/>
  <c r="D985" i="8" s="1"/>
  <c r="D1009" i="8" s="1"/>
  <c r="D1033" i="8" s="1"/>
  <c r="D1057" i="8" s="1"/>
  <c r="D1081" i="8" s="1"/>
  <c r="D1105" i="8" s="1"/>
  <c r="D1129" i="8" s="1"/>
  <c r="D1153" i="8" s="1"/>
  <c r="D1177" i="8" s="1"/>
  <c r="E72" i="8"/>
  <c r="D72" i="8"/>
  <c r="E71" i="8"/>
  <c r="E70" i="8"/>
  <c r="E69" i="8"/>
  <c r="D69" i="8"/>
  <c r="D93" i="8" s="1"/>
  <c r="D117" i="8" s="1"/>
  <c r="D141" i="8" s="1"/>
  <c r="D165" i="8" s="1"/>
  <c r="D189" i="8" s="1"/>
  <c r="D213" i="8" s="1"/>
  <c r="D237" i="8" s="1"/>
  <c r="D261" i="8" s="1"/>
  <c r="D285" i="8" s="1"/>
  <c r="D309" i="8" s="1"/>
  <c r="D333" i="8" s="1"/>
  <c r="D357" i="8" s="1"/>
  <c r="D381" i="8" s="1"/>
  <c r="D405" i="8" s="1"/>
  <c r="D429" i="8" s="1"/>
  <c r="D453" i="8" s="1"/>
  <c r="D477" i="8" s="1"/>
  <c r="D501" i="8" s="1"/>
  <c r="D525" i="8" s="1"/>
  <c r="D549" i="8" s="1"/>
  <c r="D573" i="8" s="1"/>
  <c r="D597" i="8" s="1"/>
  <c r="D621" i="8" s="1"/>
  <c r="D645" i="8" s="1"/>
  <c r="D669" i="8" s="1"/>
  <c r="D693" i="8" s="1"/>
  <c r="D717" i="8" s="1"/>
  <c r="D741" i="8" s="1"/>
  <c r="D765" i="8" s="1"/>
  <c r="D789" i="8" s="1"/>
  <c r="D813" i="8" s="1"/>
  <c r="D837" i="8" s="1"/>
  <c r="D861" i="8" s="1"/>
  <c r="D885" i="8" s="1"/>
  <c r="D909" i="8" s="1"/>
  <c r="D933" i="8" s="1"/>
  <c r="D957" i="8" s="1"/>
  <c r="D981" i="8" s="1"/>
  <c r="D1005" i="8" s="1"/>
  <c r="D1029" i="8" s="1"/>
  <c r="D1053" i="8" s="1"/>
  <c r="D1077" i="8" s="1"/>
  <c r="D1101" i="8" s="1"/>
  <c r="D1125" i="8" s="1"/>
  <c r="D1149" i="8" s="1"/>
  <c r="D1173" i="8" s="1"/>
  <c r="E68" i="8"/>
  <c r="D68" i="8"/>
  <c r="E67" i="8"/>
  <c r="E66" i="8"/>
  <c r="E65" i="8"/>
  <c r="D65" i="8"/>
  <c r="D89" i="8" s="1"/>
  <c r="D113" i="8" s="1"/>
  <c r="D137" i="8" s="1"/>
  <c r="D161" i="8" s="1"/>
  <c r="D185" i="8" s="1"/>
  <c r="D209" i="8" s="1"/>
  <c r="D233" i="8" s="1"/>
  <c r="D257" i="8" s="1"/>
  <c r="D281" i="8" s="1"/>
  <c r="D305" i="8" s="1"/>
  <c r="D329" i="8" s="1"/>
  <c r="D353" i="8" s="1"/>
  <c r="D377" i="8" s="1"/>
  <c r="D401" i="8" s="1"/>
  <c r="D425" i="8" s="1"/>
  <c r="D449" i="8" s="1"/>
  <c r="D473" i="8" s="1"/>
  <c r="D497" i="8" s="1"/>
  <c r="D521" i="8" s="1"/>
  <c r="D545" i="8" s="1"/>
  <c r="D569" i="8" s="1"/>
  <c r="D593" i="8" s="1"/>
  <c r="D617" i="8" s="1"/>
  <c r="D641" i="8" s="1"/>
  <c r="D665" i="8" s="1"/>
  <c r="D689" i="8" s="1"/>
  <c r="D713" i="8" s="1"/>
  <c r="D737" i="8" s="1"/>
  <c r="D761" i="8" s="1"/>
  <c r="D785" i="8" s="1"/>
  <c r="D809" i="8" s="1"/>
  <c r="D833" i="8" s="1"/>
  <c r="D857" i="8" s="1"/>
  <c r="D881" i="8" s="1"/>
  <c r="D905" i="8" s="1"/>
  <c r="D929" i="8" s="1"/>
  <c r="D953" i="8" s="1"/>
  <c r="D977" i="8" s="1"/>
  <c r="D1001" i="8" s="1"/>
  <c r="D1025" i="8" s="1"/>
  <c r="D1049" i="8" s="1"/>
  <c r="D1073" i="8" s="1"/>
  <c r="D1097" i="8" s="1"/>
  <c r="D1121" i="8" s="1"/>
  <c r="D1145" i="8" s="1"/>
  <c r="D1169" i="8" s="1"/>
  <c r="E64" i="8"/>
  <c r="D64" i="8"/>
  <c r="E63" i="8"/>
  <c r="E62" i="8"/>
  <c r="E61" i="8"/>
  <c r="D61" i="8"/>
  <c r="D85" i="8" s="1"/>
  <c r="D109" i="8" s="1"/>
  <c r="D133" i="8" s="1"/>
  <c r="D157" i="8" s="1"/>
  <c r="D181" i="8" s="1"/>
  <c r="D205" i="8" s="1"/>
  <c r="D229" i="8" s="1"/>
  <c r="D253" i="8" s="1"/>
  <c r="D277" i="8" s="1"/>
  <c r="D301" i="8" s="1"/>
  <c r="D325" i="8" s="1"/>
  <c r="D349" i="8" s="1"/>
  <c r="D373" i="8" s="1"/>
  <c r="D397" i="8" s="1"/>
  <c r="D421" i="8" s="1"/>
  <c r="D445" i="8" s="1"/>
  <c r="D469" i="8" s="1"/>
  <c r="D493" i="8" s="1"/>
  <c r="D517" i="8" s="1"/>
  <c r="D541" i="8" s="1"/>
  <c r="D565" i="8" s="1"/>
  <c r="D589" i="8" s="1"/>
  <c r="D613" i="8" s="1"/>
  <c r="D637" i="8" s="1"/>
  <c r="D661" i="8" s="1"/>
  <c r="D685" i="8" s="1"/>
  <c r="D709" i="8" s="1"/>
  <c r="D733" i="8" s="1"/>
  <c r="D757" i="8" s="1"/>
  <c r="D781" i="8" s="1"/>
  <c r="D805" i="8" s="1"/>
  <c r="D829" i="8" s="1"/>
  <c r="D853" i="8" s="1"/>
  <c r="D877" i="8" s="1"/>
  <c r="D901" i="8" s="1"/>
  <c r="D925" i="8" s="1"/>
  <c r="D949" i="8" s="1"/>
  <c r="D973" i="8" s="1"/>
  <c r="D997" i="8" s="1"/>
  <c r="D1021" i="8" s="1"/>
  <c r="D1045" i="8" s="1"/>
  <c r="D1069" i="8" s="1"/>
  <c r="D1093" i="8" s="1"/>
  <c r="D1117" i="8" s="1"/>
  <c r="D1141" i="8" s="1"/>
  <c r="D1165" i="8" s="1"/>
  <c r="E60" i="8"/>
  <c r="D60" i="8"/>
  <c r="E59" i="8"/>
  <c r="E58" i="8"/>
  <c r="E57" i="8"/>
  <c r="D57" i="8"/>
  <c r="D81" i="8" s="1"/>
  <c r="D105" i="8" s="1"/>
  <c r="D129" i="8" s="1"/>
  <c r="D153" i="8" s="1"/>
  <c r="D177" i="8" s="1"/>
  <c r="D201" i="8" s="1"/>
  <c r="D225" i="8" s="1"/>
  <c r="D249" i="8" s="1"/>
  <c r="D273" i="8" s="1"/>
  <c r="D297" i="8" s="1"/>
  <c r="D321" i="8" s="1"/>
  <c r="D345" i="8" s="1"/>
  <c r="D369" i="8" s="1"/>
  <c r="D393" i="8" s="1"/>
  <c r="D417" i="8" s="1"/>
  <c r="D441" i="8" s="1"/>
  <c r="D465" i="8" s="1"/>
  <c r="D489" i="8" s="1"/>
  <c r="D513" i="8" s="1"/>
  <c r="D537" i="8" s="1"/>
  <c r="D561" i="8" s="1"/>
  <c r="D585" i="8" s="1"/>
  <c r="D609" i="8" s="1"/>
  <c r="D633" i="8" s="1"/>
  <c r="D657" i="8" s="1"/>
  <c r="D681" i="8" s="1"/>
  <c r="D705" i="8" s="1"/>
  <c r="D729" i="8" s="1"/>
  <c r="D753" i="8" s="1"/>
  <c r="D777" i="8" s="1"/>
  <c r="D801" i="8" s="1"/>
  <c r="D825" i="8" s="1"/>
  <c r="D849" i="8" s="1"/>
  <c r="D873" i="8" s="1"/>
  <c r="D897" i="8" s="1"/>
  <c r="D921" i="8" s="1"/>
  <c r="D945" i="8" s="1"/>
  <c r="D969" i="8" s="1"/>
  <c r="D993" i="8" s="1"/>
  <c r="D1017" i="8" s="1"/>
  <c r="D1041" i="8" s="1"/>
  <c r="D1065" i="8" s="1"/>
  <c r="D1089" i="8" s="1"/>
  <c r="D1113" i="8" s="1"/>
  <c r="D1137" i="8" s="1"/>
  <c r="D1161" i="8" s="1"/>
  <c r="E56" i="8"/>
  <c r="D56" i="8"/>
  <c r="E55" i="8"/>
  <c r="E54" i="8"/>
  <c r="E53" i="8"/>
  <c r="D53" i="8"/>
  <c r="D77" i="8" s="1"/>
  <c r="D101" i="8" s="1"/>
  <c r="D125" i="8" s="1"/>
  <c r="D149" i="8" s="1"/>
  <c r="D173" i="8" s="1"/>
  <c r="D197" i="8" s="1"/>
  <c r="D221" i="8" s="1"/>
  <c r="D245" i="8" s="1"/>
  <c r="D269" i="8" s="1"/>
  <c r="D293" i="8" s="1"/>
  <c r="D317" i="8" s="1"/>
  <c r="D341" i="8" s="1"/>
  <c r="D365" i="8" s="1"/>
  <c r="D389" i="8" s="1"/>
  <c r="D413" i="8" s="1"/>
  <c r="D437" i="8" s="1"/>
  <c r="D461" i="8" s="1"/>
  <c r="D485" i="8" s="1"/>
  <c r="D509" i="8" s="1"/>
  <c r="D533" i="8" s="1"/>
  <c r="D557" i="8" s="1"/>
  <c r="D581" i="8" s="1"/>
  <c r="D605" i="8" s="1"/>
  <c r="D629" i="8" s="1"/>
  <c r="D653" i="8" s="1"/>
  <c r="D677" i="8" s="1"/>
  <c r="D701" i="8" s="1"/>
  <c r="D725" i="8" s="1"/>
  <c r="D749" i="8" s="1"/>
  <c r="D773" i="8" s="1"/>
  <c r="D797" i="8" s="1"/>
  <c r="D821" i="8" s="1"/>
  <c r="D845" i="8" s="1"/>
  <c r="D869" i="8" s="1"/>
  <c r="D893" i="8" s="1"/>
  <c r="D917" i="8" s="1"/>
  <c r="D941" i="8" s="1"/>
  <c r="D965" i="8" s="1"/>
  <c r="D989" i="8" s="1"/>
  <c r="D1013" i="8" s="1"/>
  <c r="D1037" i="8" s="1"/>
  <c r="D1061" i="8" s="1"/>
  <c r="D1085" i="8" s="1"/>
  <c r="D1109" i="8" s="1"/>
  <c r="D1133" i="8" s="1"/>
  <c r="D1157" i="8" s="1"/>
  <c r="C53" i="8"/>
  <c r="B53" i="8"/>
  <c r="E52" i="8"/>
  <c r="D52" i="8"/>
  <c r="E51" i="8"/>
  <c r="D51" i="8"/>
  <c r="D75" i="8" s="1"/>
  <c r="D99" i="8" s="1"/>
  <c r="D123" i="8" s="1"/>
  <c r="D147" i="8" s="1"/>
  <c r="D171" i="8" s="1"/>
  <c r="D195" i="8" s="1"/>
  <c r="D219" i="8" s="1"/>
  <c r="D243" i="8" s="1"/>
  <c r="D267" i="8" s="1"/>
  <c r="D291" i="8" s="1"/>
  <c r="D315" i="8" s="1"/>
  <c r="D339" i="8" s="1"/>
  <c r="D363" i="8" s="1"/>
  <c r="D387" i="8" s="1"/>
  <c r="D411" i="8" s="1"/>
  <c r="D435" i="8" s="1"/>
  <c r="D459" i="8" s="1"/>
  <c r="D483" i="8" s="1"/>
  <c r="D507" i="8" s="1"/>
  <c r="D531" i="8" s="1"/>
  <c r="D555" i="8" s="1"/>
  <c r="D579" i="8" s="1"/>
  <c r="D603" i="8" s="1"/>
  <c r="D627" i="8" s="1"/>
  <c r="D651" i="8" s="1"/>
  <c r="D675" i="8" s="1"/>
  <c r="D699" i="8" s="1"/>
  <c r="D723" i="8" s="1"/>
  <c r="D747" i="8" s="1"/>
  <c r="D771" i="8" s="1"/>
  <c r="D795" i="8" s="1"/>
  <c r="D819" i="8" s="1"/>
  <c r="D843" i="8" s="1"/>
  <c r="D867" i="8" s="1"/>
  <c r="D891" i="8" s="1"/>
  <c r="D915" i="8" s="1"/>
  <c r="D939" i="8" s="1"/>
  <c r="D963" i="8" s="1"/>
  <c r="D987" i="8" s="1"/>
  <c r="D1011" i="8" s="1"/>
  <c r="D1035" i="8" s="1"/>
  <c r="D1059" i="8" s="1"/>
  <c r="D1083" i="8" s="1"/>
  <c r="D1107" i="8" s="1"/>
  <c r="D1131" i="8" s="1"/>
  <c r="D1155" i="8" s="1"/>
  <c r="D1179" i="8" s="1"/>
  <c r="E50" i="8"/>
  <c r="D50" i="8"/>
  <c r="D74" i="8" s="1"/>
  <c r="D98" i="8" s="1"/>
  <c r="D122" i="8" s="1"/>
  <c r="D146" i="8" s="1"/>
  <c r="D170" i="8" s="1"/>
  <c r="D194" i="8" s="1"/>
  <c r="D218" i="8" s="1"/>
  <c r="D242" i="8" s="1"/>
  <c r="D266" i="8" s="1"/>
  <c r="D290" i="8" s="1"/>
  <c r="D314" i="8" s="1"/>
  <c r="D338" i="8" s="1"/>
  <c r="D362" i="8" s="1"/>
  <c r="D386" i="8" s="1"/>
  <c r="D410" i="8" s="1"/>
  <c r="D434" i="8" s="1"/>
  <c r="D458" i="8" s="1"/>
  <c r="D482" i="8" s="1"/>
  <c r="D506" i="8" s="1"/>
  <c r="D530" i="8" s="1"/>
  <c r="D554" i="8" s="1"/>
  <c r="D578" i="8" s="1"/>
  <c r="D602" i="8" s="1"/>
  <c r="D626" i="8" s="1"/>
  <c r="D650" i="8" s="1"/>
  <c r="D674" i="8" s="1"/>
  <c r="D698" i="8" s="1"/>
  <c r="D722" i="8" s="1"/>
  <c r="D746" i="8" s="1"/>
  <c r="D770" i="8" s="1"/>
  <c r="D794" i="8" s="1"/>
  <c r="D818" i="8" s="1"/>
  <c r="D842" i="8" s="1"/>
  <c r="D866" i="8" s="1"/>
  <c r="D890" i="8" s="1"/>
  <c r="D914" i="8" s="1"/>
  <c r="D938" i="8" s="1"/>
  <c r="D962" i="8" s="1"/>
  <c r="D986" i="8" s="1"/>
  <c r="D1010" i="8" s="1"/>
  <c r="D1034" i="8" s="1"/>
  <c r="D1058" i="8" s="1"/>
  <c r="D1082" i="8" s="1"/>
  <c r="D1106" i="8" s="1"/>
  <c r="D1130" i="8" s="1"/>
  <c r="D1154" i="8" s="1"/>
  <c r="D1178" i="8" s="1"/>
  <c r="E49" i="8"/>
  <c r="D49" i="8"/>
  <c r="E48" i="8"/>
  <c r="D48" i="8"/>
  <c r="E47" i="8"/>
  <c r="D47" i="8"/>
  <c r="D71" i="8" s="1"/>
  <c r="D95" i="8" s="1"/>
  <c r="D119" i="8" s="1"/>
  <c r="D143" i="8" s="1"/>
  <c r="D167" i="8" s="1"/>
  <c r="D191" i="8" s="1"/>
  <c r="D215" i="8" s="1"/>
  <c r="D239" i="8" s="1"/>
  <c r="D263" i="8" s="1"/>
  <c r="D287" i="8" s="1"/>
  <c r="D311" i="8" s="1"/>
  <c r="D335" i="8" s="1"/>
  <c r="D359" i="8" s="1"/>
  <c r="D383" i="8" s="1"/>
  <c r="D407" i="8" s="1"/>
  <c r="D431" i="8" s="1"/>
  <c r="D455" i="8" s="1"/>
  <c r="D479" i="8" s="1"/>
  <c r="D503" i="8" s="1"/>
  <c r="D527" i="8" s="1"/>
  <c r="D551" i="8" s="1"/>
  <c r="D575" i="8" s="1"/>
  <c r="D599" i="8" s="1"/>
  <c r="D623" i="8" s="1"/>
  <c r="D647" i="8" s="1"/>
  <c r="D671" i="8" s="1"/>
  <c r="D695" i="8" s="1"/>
  <c r="D719" i="8" s="1"/>
  <c r="D743" i="8" s="1"/>
  <c r="D767" i="8" s="1"/>
  <c r="D791" i="8" s="1"/>
  <c r="D815" i="8" s="1"/>
  <c r="D839" i="8" s="1"/>
  <c r="D863" i="8" s="1"/>
  <c r="D887" i="8" s="1"/>
  <c r="D911" i="8" s="1"/>
  <c r="D935" i="8" s="1"/>
  <c r="D959" i="8" s="1"/>
  <c r="D983" i="8" s="1"/>
  <c r="D1007" i="8" s="1"/>
  <c r="D1031" i="8" s="1"/>
  <c r="D1055" i="8" s="1"/>
  <c r="D1079" i="8" s="1"/>
  <c r="D1103" i="8" s="1"/>
  <c r="D1127" i="8" s="1"/>
  <c r="D1151" i="8" s="1"/>
  <c r="D1175" i="8" s="1"/>
  <c r="E46" i="8"/>
  <c r="D46" i="8"/>
  <c r="D70" i="8" s="1"/>
  <c r="D94" i="8" s="1"/>
  <c r="D118" i="8" s="1"/>
  <c r="D142" i="8" s="1"/>
  <c r="D166" i="8" s="1"/>
  <c r="D190" i="8" s="1"/>
  <c r="D214" i="8" s="1"/>
  <c r="D238" i="8" s="1"/>
  <c r="D262" i="8" s="1"/>
  <c r="D286" i="8" s="1"/>
  <c r="D310" i="8" s="1"/>
  <c r="D334" i="8" s="1"/>
  <c r="D358" i="8" s="1"/>
  <c r="D382" i="8" s="1"/>
  <c r="D406" i="8" s="1"/>
  <c r="D430" i="8" s="1"/>
  <c r="D454" i="8" s="1"/>
  <c r="D478" i="8" s="1"/>
  <c r="D502" i="8" s="1"/>
  <c r="D526" i="8" s="1"/>
  <c r="D550" i="8" s="1"/>
  <c r="D574" i="8" s="1"/>
  <c r="D598" i="8" s="1"/>
  <c r="D622" i="8" s="1"/>
  <c r="D646" i="8" s="1"/>
  <c r="D670" i="8" s="1"/>
  <c r="D694" i="8" s="1"/>
  <c r="D718" i="8" s="1"/>
  <c r="D742" i="8" s="1"/>
  <c r="D766" i="8" s="1"/>
  <c r="D790" i="8" s="1"/>
  <c r="D814" i="8" s="1"/>
  <c r="D838" i="8" s="1"/>
  <c r="D862" i="8" s="1"/>
  <c r="D886" i="8" s="1"/>
  <c r="D910" i="8" s="1"/>
  <c r="D934" i="8" s="1"/>
  <c r="D958" i="8" s="1"/>
  <c r="D982" i="8" s="1"/>
  <c r="D1006" i="8" s="1"/>
  <c r="D1030" i="8" s="1"/>
  <c r="D1054" i="8" s="1"/>
  <c r="D1078" i="8" s="1"/>
  <c r="D1102" i="8" s="1"/>
  <c r="D1126" i="8" s="1"/>
  <c r="D1150" i="8" s="1"/>
  <c r="D1174" i="8" s="1"/>
  <c r="E45" i="8"/>
  <c r="D45" i="8"/>
  <c r="E44" i="8"/>
  <c r="D44" i="8"/>
  <c r="E43" i="8"/>
  <c r="D43" i="8"/>
  <c r="D67" i="8" s="1"/>
  <c r="D91" i="8" s="1"/>
  <c r="D115" i="8" s="1"/>
  <c r="D139" i="8" s="1"/>
  <c r="D163" i="8" s="1"/>
  <c r="D187" i="8" s="1"/>
  <c r="D211" i="8" s="1"/>
  <c r="D235" i="8" s="1"/>
  <c r="D259" i="8" s="1"/>
  <c r="D283" i="8" s="1"/>
  <c r="D307" i="8" s="1"/>
  <c r="D331" i="8" s="1"/>
  <c r="D355" i="8" s="1"/>
  <c r="D379" i="8" s="1"/>
  <c r="D403" i="8" s="1"/>
  <c r="D427" i="8" s="1"/>
  <c r="D451" i="8" s="1"/>
  <c r="D475" i="8" s="1"/>
  <c r="D499" i="8" s="1"/>
  <c r="D523" i="8" s="1"/>
  <c r="D547" i="8" s="1"/>
  <c r="D571" i="8" s="1"/>
  <c r="D595" i="8" s="1"/>
  <c r="D619" i="8" s="1"/>
  <c r="D643" i="8" s="1"/>
  <c r="D667" i="8" s="1"/>
  <c r="D691" i="8" s="1"/>
  <c r="D715" i="8" s="1"/>
  <c r="D739" i="8" s="1"/>
  <c r="D763" i="8" s="1"/>
  <c r="D787" i="8" s="1"/>
  <c r="D811" i="8" s="1"/>
  <c r="D835" i="8" s="1"/>
  <c r="D859" i="8" s="1"/>
  <c r="D883" i="8" s="1"/>
  <c r="D907" i="8" s="1"/>
  <c r="D931" i="8" s="1"/>
  <c r="D955" i="8" s="1"/>
  <c r="D979" i="8" s="1"/>
  <c r="D1003" i="8" s="1"/>
  <c r="D1027" i="8" s="1"/>
  <c r="D1051" i="8" s="1"/>
  <c r="D1075" i="8" s="1"/>
  <c r="D1099" i="8" s="1"/>
  <c r="D1123" i="8" s="1"/>
  <c r="D1147" i="8" s="1"/>
  <c r="D1171" i="8" s="1"/>
  <c r="E42" i="8"/>
  <c r="D42" i="8"/>
  <c r="D66" i="8" s="1"/>
  <c r="D90" i="8" s="1"/>
  <c r="D114" i="8" s="1"/>
  <c r="D138" i="8" s="1"/>
  <c r="D162" i="8" s="1"/>
  <c r="D186" i="8" s="1"/>
  <c r="D210" i="8" s="1"/>
  <c r="D234" i="8" s="1"/>
  <c r="D258" i="8" s="1"/>
  <c r="D282" i="8" s="1"/>
  <c r="D306" i="8" s="1"/>
  <c r="D330" i="8" s="1"/>
  <c r="D354" i="8" s="1"/>
  <c r="D378" i="8" s="1"/>
  <c r="D402" i="8" s="1"/>
  <c r="D426" i="8" s="1"/>
  <c r="D450" i="8" s="1"/>
  <c r="D474" i="8" s="1"/>
  <c r="D498" i="8" s="1"/>
  <c r="D522" i="8" s="1"/>
  <c r="D546" i="8" s="1"/>
  <c r="D570" i="8" s="1"/>
  <c r="D594" i="8" s="1"/>
  <c r="D618" i="8" s="1"/>
  <c r="D642" i="8" s="1"/>
  <c r="D666" i="8" s="1"/>
  <c r="D690" i="8" s="1"/>
  <c r="D714" i="8" s="1"/>
  <c r="D738" i="8" s="1"/>
  <c r="D762" i="8" s="1"/>
  <c r="D786" i="8" s="1"/>
  <c r="D810" i="8" s="1"/>
  <c r="D834" i="8" s="1"/>
  <c r="D858" i="8" s="1"/>
  <c r="D882" i="8" s="1"/>
  <c r="D906" i="8" s="1"/>
  <c r="D930" i="8" s="1"/>
  <c r="D954" i="8" s="1"/>
  <c r="D978" i="8" s="1"/>
  <c r="D1002" i="8" s="1"/>
  <c r="D1026" i="8" s="1"/>
  <c r="D1050" i="8" s="1"/>
  <c r="D1074" i="8" s="1"/>
  <c r="D1098" i="8" s="1"/>
  <c r="D1122" i="8" s="1"/>
  <c r="D1146" i="8" s="1"/>
  <c r="D1170" i="8" s="1"/>
  <c r="E41" i="8"/>
  <c r="D41" i="8"/>
  <c r="E40" i="8"/>
  <c r="D40" i="8"/>
  <c r="E39" i="8"/>
  <c r="D39" i="8"/>
  <c r="D63" i="8" s="1"/>
  <c r="D87" i="8" s="1"/>
  <c r="D111" i="8" s="1"/>
  <c r="D135" i="8" s="1"/>
  <c r="D159" i="8" s="1"/>
  <c r="D183" i="8" s="1"/>
  <c r="D207" i="8" s="1"/>
  <c r="D231" i="8" s="1"/>
  <c r="D255" i="8" s="1"/>
  <c r="D279" i="8" s="1"/>
  <c r="D303" i="8" s="1"/>
  <c r="D327" i="8" s="1"/>
  <c r="D351" i="8" s="1"/>
  <c r="D375" i="8" s="1"/>
  <c r="D399" i="8" s="1"/>
  <c r="D423" i="8" s="1"/>
  <c r="D447" i="8" s="1"/>
  <c r="D471" i="8" s="1"/>
  <c r="D495" i="8" s="1"/>
  <c r="D519" i="8" s="1"/>
  <c r="D543" i="8" s="1"/>
  <c r="D567" i="8" s="1"/>
  <c r="D591" i="8" s="1"/>
  <c r="D615" i="8" s="1"/>
  <c r="D639" i="8" s="1"/>
  <c r="D663" i="8" s="1"/>
  <c r="D687" i="8" s="1"/>
  <c r="D711" i="8" s="1"/>
  <c r="D735" i="8" s="1"/>
  <c r="D759" i="8" s="1"/>
  <c r="D783" i="8" s="1"/>
  <c r="D807" i="8" s="1"/>
  <c r="D831" i="8" s="1"/>
  <c r="D855" i="8" s="1"/>
  <c r="D879" i="8" s="1"/>
  <c r="D903" i="8" s="1"/>
  <c r="D927" i="8" s="1"/>
  <c r="D951" i="8" s="1"/>
  <c r="D975" i="8" s="1"/>
  <c r="D999" i="8" s="1"/>
  <c r="D1023" i="8" s="1"/>
  <c r="D1047" i="8" s="1"/>
  <c r="D1071" i="8" s="1"/>
  <c r="D1095" i="8" s="1"/>
  <c r="D1119" i="8" s="1"/>
  <c r="D1143" i="8" s="1"/>
  <c r="D1167" i="8" s="1"/>
  <c r="E38" i="8"/>
  <c r="D38" i="8"/>
  <c r="D62" i="8" s="1"/>
  <c r="D86" i="8" s="1"/>
  <c r="D110" i="8" s="1"/>
  <c r="D134" i="8" s="1"/>
  <c r="D158" i="8" s="1"/>
  <c r="D182" i="8" s="1"/>
  <c r="D206" i="8" s="1"/>
  <c r="D230" i="8" s="1"/>
  <c r="D254" i="8" s="1"/>
  <c r="D278" i="8" s="1"/>
  <c r="D302" i="8" s="1"/>
  <c r="D326" i="8" s="1"/>
  <c r="D350" i="8" s="1"/>
  <c r="D374" i="8" s="1"/>
  <c r="D398" i="8" s="1"/>
  <c r="D422" i="8" s="1"/>
  <c r="D446" i="8" s="1"/>
  <c r="D470" i="8" s="1"/>
  <c r="D494" i="8" s="1"/>
  <c r="D518" i="8" s="1"/>
  <c r="D542" i="8" s="1"/>
  <c r="D566" i="8" s="1"/>
  <c r="D590" i="8" s="1"/>
  <c r="D614" i="8" s="1"/>
  <c r="D638" i="8" s="1"/>
  <c r="D662" i="8" s="1"/>
  <c r="D686" i="8" s="1"/>
  <c r="D710" i="8" s="1"/>
  <c r="D734" i="8" s="1"/>
  <c r="D758" i="8" s="1"/>
  <c r="D782" i="8" s="1"/>
  <c r="D806" i="8" s="1"/>
  <c r="D830" i="8" s="1"/>
  <c r="D854" i="8" s="1"/>
  <c r="D878" i="8" s="1"/>
  <c r="D902" i="8" s="1"/>
  <c r="D926" i="8" s="1"/>
  <c r="D950" i="8" s="1"/>
  <c r="D974" i="8" s="1"/>
  <c r="D998" i="8" s="1"/>
  <c r="D1022" i="8" s="1"/>
  <c r="D1046" i="8" s="1"/>
  <c r="D1070" i="8" s="1"/>
  <c r="D1094" i="8" s="1"/>
  <c r="D1118" i="8" s="1"/>
  <c r="D1142" i="8" s="1"/>
  <c r="D1166" i="8" s="1"/>
  <c r="E37" i="8"/>
  <c r="D37" i="8"/>
  <c r="E36" i="8"/>
  <c r="D36" i="8"/>
  <c r="E35" i="8"/>
  <c r="D35" i="8"/>
  <c r="D59" i="8" s="1"/>
  <c r="D83" i="8" s="1"/>
  <c r="D107" i="8" s="1"/>
  <c r="D131" i="8" s="1"/>
  <c r="D155" i="8" s="1"/>
  <c r="D179" i="8" s="1"/>
  <c r="D203" i="8" s="1"/>
  <c r="D227" i="8" s="1"/>
  <c r="D251" i="8" s="1"/>
  <c r="D275" i="8" s="1"/>
  <c r="D299" i="8" s="1"/>
  <c r="D323" i="8" s="1"/>
  <c r="D347" i="8" s="1"/>
  <c r="D371" i="8" s="1"/>
  <c r="D395" i="8" s="1"/>
  <c r="D419" i="8" s="1"/>
  <c r="D443" i="8" s="1"/>
  <c r="D467" i="8" s="1"/>
  <c r="D491" i="8" s="1"/>
  <c r="D515" i="8" s="1"/>
  <c r="D539" i="8" s="1"/>
  <c r="D563" i="8" s="1"/>
  <c r="D587" i="8" s="1"/>
  <c r="D611" i="8" s="1"/>
  <c r="D635" i="8" s="1"/>
  <c r="D659" i="8" s="1"/>
  <c r="D683" i="8" s="1"/>
  <c r="D707" i="8" s="1"/>
  <c r="D731" i="8" s="1"/>
  <c r="D755" i="8" s="1"/>
  <c r="D779" i="8" s="1"/>
  <c r="D803" i="8" s="1"/>
  <c r="D827" i="8" s="1"/>
  <c r="D851" i="8" s="1"/>
  <c r="D875" i="8" s="1"/>
  <c r="D899" i="8" s="1"/>
  <c r="D923" i="8" s="1"/>
  <c r="D947" i="8" s="1"/>
  <c r="D971" i="8" s="1"/>
  <c r="D995" i="8" s="1"/>
  <c r="D1019" i="8" s="1"/>
  <c r="D1043" i="8" s="1"/>
  <c r="D1067" i="8" s="1"/>
  <c r="D1091" i="8" s="1"/>
  <c r="D1115" i="8" s="1"/>
  <c r="D1139" i="8" s="1"/>
  <c r="D1163" i="8" s="1"/>
  <c r="E34" i="8"/>
  <c r="D34" i="8"/>
  <c r="D58" i="8" s="1"/>
  <c r="D82" i="8" s="1"/>
  <c r="D106" i="8" s="1"/>
  <c r="D130" i="8" s="1"/>
  <c r="D154" i="8" s="1"/>
  <c r="D178" i="8" s="1"/>
  <c r="D202" i="8" s="1"/>
  <c r="D226" i="8" s="1"/>
  <c r="D250" i="8" s="1"/>
  <c r="D274" i="8" s="1"/>
  <c r="D298" i="8" s="1"/>
  <c r="D322" i="8" s="1"/>
  <c r="D346" i="8" s="1"/>
  <c r="D370" i="8" s="1"/>
  <c r="D394" i="8" s="1"/>
  <c r="D418" i="8" s="1"/>
  <c r="D442" i="8" s="1"/>
  <c r="D466" i="8" s="1"/>
  <c r="D490" i="8" s="1"/>
  <c r="D514" i="8" s="1"/>
  <c r="D538" i="8" s="1"/>
  <c r="D562" i="8" s="1"/>
  <c r="D586" i="8" s="1"/>
  <c r="D610" i="8" s="1"/>
  <c r="D634" i="8" s="1"/>
  <c r="D658" i="8" s="1"/>
  <c r="D682" i="8" s="1"/>
  <c r="D706" i="8" s="1"/>
  <c r="D730" i="8" s="1"/>
  <c r="D754" i="8" s="1"/>
  <c r="D778" i="8" s="1"/>
  <c r="D802" i="8" s="1"/>
  <c r="D826" i="8" s="1"/>
  <c r="D850" i="8" s="1"/>
  <c r="D874" i="8" s="1"/>
  <c r="D898" i="8" s="1"/>
  <c r="D922" i="8" s="1"/>
  <c r="D946" i="8" s="1"/>
  <c r="D970" i="8" s="1"/>
  <c r="D994" i="8" s="1"/>
  <c r="D1018" i="8" s="1"/>
  <c r="D1042" i="8" s="1"/>
  <c r="D1066" i="8" s="1"/>
  <c r="D1090" i="8" s="1"/>
  <c r="D1114" i="8" s="1"/>
  <c r="D1138" i="8" s="1"/>
  <c r="D1162" i="8" s="1"/>
  <c r="E33" i="8"/>
  <c r="D33" i="8"/>
  <c r="E32" i="8"/>
  <c r="D32" i="8"/>
  <c r="E31" i="8"/>
  <c r="D31" i="8"/>
  <c r="D55" i="8" s="1"/>
  <c r="D79" i="8" s="1"/>
  <c r="D103" i="8" s="1"/>
  <c r="D127" i="8" s="1"/>
  <c r="D151" i="8" s="1"/>
  <c r="D175" i="8" s="1"/>
  <c r="D199" i="8" s="1"/>
  <c r="D223" i="8" s="1"/>
  <c r="D247" i="8" s="1"/>
  <c r="D271" i="8" s="1"/>
  <c r="D295" i="8" s="1"/>
  <c r="D319" i="8" s="1"/>
  <c r="D343" i="8" s="1"/>
  <c r="D367" i="8" s="1"/>
  <c r="D391" i="8" s="1"/>
  <c r="D415" i="8" s="1"/>
  <c r="D439" i="8" s="1"/>
  <c r="D463" i="8" s="1"/>
  <c r="D487" i="8" s="1"/>
  <c r="D511" i="8" s="1"/>
  <c r="D535" i="8" s="1"/>
  <c r="D559" i="8" s="1"/>
  <c r="D583" i="8" s="1"/>
  <c r="D607" i="8" s="1"/>
  <c r="D631" i="8" s="1"/>
  <c r="D655" i="8" s="1"/>
  <c r="D679" i="8" s="1"/>
  <c r="D703" i="8" s="1"/>
  <c r="D727" i="8" s="1"/>
  <c r="D751" i="8" s="1"/>
  <c r="D775" i="8" s="1"/>
  <c r="D799" i="8" s="1"/>
  <c r="D823" i="8" s="1"/>
  <c r="D847" i="8" s="1"/>
  <c r="D871" i="8" s="1"/>
  <c r="D895" i="8" s="1"/>
  <c r="D919" i="8" s="1"/>
  <c r="D943" i="8" s="1"/>
  <c r="D967" i="8" s="1"/>
  <c r="D991" i="8" s="1"/>
  <c r="D1015" i="8" s="1"/>
  <c r="D1039" i="8" s="1"/>
  <c r="D1063" i="8" s="1"/>
  <c r="D1087" i="8" s="1"/>
  <c r="D1111" i="8" s="1"/>
  <c r="D1135" i="8" s="1"/>
  <c r="D1159" i="8" s="1"/>
  <c r="E30" i="8"/>
  <c r="D30" i="8"/>
  <c r="D54" i="8" s="1"/>
  <c r="D78" i="8" s="1"/>
  <c r="D102" i="8" s="1"/>
  <c r="D126" i="8" s="1"/>
  <c r="D150" i="8" s="1"/>
  <c r="D174" i="8" s="1"/>
  <c r="D198" i="8" s="1"/>
  <c r="D222" i="8" s="1"/>
  <c r="D246" i="8" s="1"/>
  <c r="D270" i="8" s="1"/>
  <c r="D294" i="8" s="1"/>
  <c r="D318" i="8" s="1"/>
  <c r="D342" i="8" s="1"/>
  <c r="D366" i="8" s="1"/>
  <c r="D390" i="8" s="1"/>
  <c r="D414" i="8" s="1"/>
  <c r="D438" i="8" s="1"/>
  <c r="D462" i="8" s="1"/>
  <c r="D486" i="8" s="1"/>
  <c r="D510" i="8" s="1"/>
  <c r="D534" i="8" s="1"/>
  <c r="D558" i="8" s="1"/>
  <c r="D582" i="8" s="1"/>
  <c r="D606" i="8" s="1"/>
  <c r="D630" i="8" s="1"/>
  <c r="D654" i="8" s="1"/>
  <c r="D678" i="8" s="1"/>
  <c r="D702" i="8" s="1"/>
  <c r="D726" i="8" s="1"/>
  <c r="D750" i="8" s="1"/>
  <c r="D774" i="8" s="1"/>
  <c r="D798" i="8" s="1"/>
  <c r="D822" i="8" s="1"/>
  <c r="D846" i="8" s="1"/>
  <c r="D870" i="8" s="1"/>
  <c r="D894" i="8" s="1"/>
  <c r="D918" i="8" s="1"/>
  <c r="D942" i="8" s="1"/>
  <c r="D966" i="8" s="1"/>
  <c r="D990" i="8" s="1"/>
  <c r="D1014" i="8" s="1"/>
  <c r="D1038" i="8" s="1"/>
  <c r="D1062" i="8" s="1"/>
  <c r="D1086" i="8" s="1"/>
  <c r="D1110" i="8" s="1"/>
  <c r="D1134" i="8" s="1"/>
  <c r="D1158" i="8" s="1"/>
  <c r="E29" i="8"/>
  <c r="D29" i="8"/>
  <c r="C29" i="8"/>
  <c r="B29" i="8"/>
  <c r="E65" i="15"/>
  <c r="D65" i="15"/>
  <c r="D30" i="9"/>
  <c r="E1181" i="9"/>
  <c r="E1180" i="9"/>
  <c r="E1179" i="9"/>
  <c r="E1178" i="9"/>
  <c r="E1177" i="9"/>
  <c r="E1176" i="9"/>
  <c r="E1175" i="9"/>
  <c r="E1174" i="9"/>
  <c r="E1173" i="9"/>
  <c r="E1172" i="9"/>
  <c r="E1171" i="9"/>
  <c r="E1170" i="9"/>
  <c r="E1169" i="9"/>
  <c r="E1168" i="9"/>
  <c r="E1167" i="9"/>
  <c r="E1166" i="9"/>
  <c r="E1165" i="9"/>
  <c r="E1164" i="9"/>
  <c r="E1163" i="9"/>
  <c r="E1162" i="9"/>
  <c r="E1161" i="9"/>
  <c r="E1160" i="9"/>
  <c r="E1159" i="9"/>
  <c r="E1158" i="9"/>
  <c r="C1158" i="9"/>
  <c r="E1157" i="9"/>
  <c r="E1156" i="9"/>
  <c r="E1155" i="9"/>
  <c r="E1154" i="9"/>
  <c r="E1153" i="9"/>
  <c r="E1152" i="9"/>
  <c r="E1151" i="9"/>
  <c r="E1150" i="9"/>
  <c r="E1149" i="9"/>
  <c r="E1148" i="9"/>
  <c r="E1147" i="9"/>
  <c r="E1146" i="9"/>
  <c r="E1145" i="9"/>
  <c r="E1144" i="9"/>
  <c r="E1143" i="9"/>
  <c r="E1142" i="9"/>
  <c r="E1141" i="9"/>
  <c r="E1140" i="9"/>
  <c r="E1139" i="9"/>
  <c r="E1138" i="9"/>
  <c r="E1137" i="9"/>
  <c r="E1136" i="9"/>
  <c r="E1135" i="9"/>
  <c r="E1134" i="9"/>
  <c r="C1134" i="9"/>
  <c r="B1134" i="9"/>
  <c r="E1133" i="9"/>
  <c r="E1132" i="9"/>
  <c r="E1131" i="9"/>
  <c r="E1130" i="9"/>
  <c r="E1129" i="9"/>
  <c r="E1128" i="9"/>
  <c r="E1127" i="9"/>
  <c r="E1126" i="9"/>
  <c r="E1125" i="9"/>
  <c r="E1124" i="9"/>
  <c r="E1123" i="9"/>
  <c r="E1122" i="9"/>
  <c r="E1121" i="9"/>
  <c r="E1120" i="9"/>
  <c r="E1119" i="9"/>
  <c r="E1118" i="9"/>
  <c r="E1117" i="9"/>
  <c r="E1116" i="9"/>
  <c r="E1115" i="9"/>
  <c r="E1114" i="9"/>
  <c r="E1113" i="9"/>
  <c r="E1112" i="9"/>
  <c r="E1111" i="9"/>
  <c r="E1110" i="9"/>
  <c r="C1110" i="9"/>
  <c r="B1110" i="9"/>
  <c r="E1109" i="9"/>
  <c r="E1108" i="9"/>
  <c r="E1107" i="9"/>
  <c r="E1106" i="9"/>
  <c r="E1105" i="9"/>
  <c r="E1104" i="9"/>
  <c r="E1103" i="9"/>
  <c r="E1102" i="9"/>
  <c r="E1101" i="9"/>
  <c r="E1100" i="9"/>
  <c r="E1099" i="9"/>
  <c r="E1098" i="9"/>
  <c r="E1097" i="9"/>
  <c r="E1096" i="9"/>
  <c r="E1095" i="9"/>
  <c r="E1094" i="9"/>
  <c r="E1093" i="9"/>
  <c r="E1092" i="9"/>
  <c r="E1091" i="9"/>
  <c r="E1090" i="9"/>
  <c r="E1089" i="9"/>
  <c r="E1088" i="9"/>
  <c r="E1087" i="9"/>
  <c r="E1086" i="9"/>
  <c r="C1086" i="9"/>
  <c r="B1086" i="9"/>
  <c r="E1085" i="9"/>
  <c r="E1084" i="9"/>
  <c r="E1083" i="9"/>
  <c r="E1082" i="9"/>
  <c r="E1081" i="9"/>
  <c r="E1080" i="9"/>
  <c r="E1079" i="9"/>
  <c r="E1078" i="9"/>
  <c r="E1077" i="9"/>
  <c r="E1076" i="9"/>
  <c r="E1075" i="9"/>
  <c r="E1074" i="9"/>
  <c r="E1073" i="9"/>
  <c r="E1072" i="9"/>
  <c r="E1071" i="9"/>
  <c r="E1070" i="9"/>
  <c r="E1069" i="9"/>
  <c r="E1068" i="9"/>
  <c r="E1067" i="9"/>
  <c r="E1066" i="9"/>
  <c r="E1065" i="9"/>
  <c r="E1064" i="9"/>
  <c r="E1063" i="9"/>
  <c r="E1062" i="9"/>
  <c r="C1062" i="9"/>
  <c r="B1062" i="9"/>
  <c r="E1061" i="9"/>
  <c r="E1060" i="9"/>
  <c r="E1059" i="9"/>
  <c r="E1058" i="9"/>
  <c r="E1057" i="9"/>
  <c r="E1056" i="9"/>
  <c r="E1055" i="9"/>
  <c r="E1054" i="9"/>
  <c r="E1053" i="9"/>
  <c r="E1052" i="9"/>
  <c r="E1051" i="9"/>
  <c r="E1050" i="9"/>
  <c r="E1049" i="9"/>
  <c r="E1048" i="9"/>
  <c r="E1047" i="9"/>
  <c r="E1046" i="9"/>
  <c r="E1045" i="9"/>
  <c r="E1044" i="9"/>
  <c r="E1043" i="9"/>
  <c r="E1042" i="9"/>
  <c r="E1041" i="9"/>
  <c r="E1040" i="9"/>
  <c r="E1039" i="9"/>
  <c r="E1038" i="9"/>
  <c r="C1038" i="9"/>
  <c r="B1038" i="9"/>
  <c r="E1037" i="9"/>
  <c r="E1036" i="9"/>
  <c r="E1035" i="9"/>
  <c r="E1034" i="9"/>
  <c r="E1033" i="9"/>
  <c r="E1032" i="9"/>
  <c r="E1031" i="9"/>
  <c r="E1030" i="9"/>
  <c r="E1029" i="9"/>
  <c r="E1028" i="9"/>
  <c r="E1027" i="9"/>
  <c r="E1026" i="9"/>
  <c r="E1025" i="9"/>
  <c r="E1024" i="9"/>
  <c r="E1023" i="9"/>
  <c r="E1022" i="9"/>
  <c r="E1021" i="9"/>
  <c r="E1020" i="9"/>
  <c r="E1019" i="9"/>
  <c r="E1018" i="9"/>
  <c r="E1017" i="9"/>
  <c r="E1016" i="9"/>
  <c r="E1015" i="9"/>
  <c r="E1014" i="9"/>
  <c r="C1014" i="9"/>
  <c r="B1014" i="9"/>
  <c r="E1013" i="9"/>
  <c r="E1012" i="9"/>
  <c r="E1011" i="9"/>
  <c r="E1010" i="9"/>
  <c r="E1009" i="9"/>
  <c r="E1008" i="9"/>
  <c r="E1007" i="9"/>
  <c r="E1006" i="9"/>
  <c r="E1005" i="9"/>
  <c r="E1004" i="9"/>
  <c r="E1003" i="9"/>
  <c r="E1002" i="9"/>
  <c r="E1001" i="9"/>
  <c r="E1000" i="9"/>
  <c r="E999" i="9"/>
  <c r="E998" i="9"/>
  <c r="E997" i="9"/>
  <c r="E996" i="9"/>
  <c r="E995" i="9"/>
  <c r="E994" i="9"/>
  <c r="E993" i="9"/>
  <c r="E992" i="9"/>
  <c r="E991" i="9"/>
  <c r="E990" i="9"/>
  <c r="C990" i="9"/>
  <c r="B990" i="9"/>
  <c r="E989" i="9"/>
  <c r="E988" i="9"/>
  <c r="E987" i="9"/>
  <c r="E986" i="9"/>
  <c r="E985" i="9"/>
  <c r="E984" i="9"/>
  <c r="E983" i="9"/>
  <c r="E982" i="9"/>
  <c r="E981" i="9"/>
  <c r="E980" i="9"/>
  <c r="E979" i="9"/>
  <c r="E978" i="9"/>
  <c r="E977" i="9"/>
  <c r="E976" i="9"/>
  <c r="E975" i="9"/>
  <c r="E974" i="9"/>
  <c r="E973" i="9"/>
  <c r="E972" i="9"/>
  <c r="E971" i="9"/>
  <c r="E970" i="9"/>
  <c r="E969" i="9"/>
  <c r="E968" i="9"/>
  <c r="E967" i="9"/>
  <c r="E966" i="9"/>
  <c r="C966" i="9"/>
  <c r="B966" i="9"/>
  <c r="E965" i="9"/>
  <c r="E964" i="9"/>
  <c r="E963" i="9"/>
  <c r="E962" i="9"/>
  <c r="E961" i="9"/>
  <c r="E960" i="9"/>
  <c r="E959" i="9"/>
  <c r="E958" i="9"/>
  <c r="E957" i="9"/>
  <c r="E956" i="9"/>
  <c r="E955" i="9"/>
  <c r="E954" i="9"/>
  <c r="E953" i="9"/>
  <c r="E952" i="9"/>
  <c r="E951" i="9"/>
  <c r="E950" i="9"/>
  <c r="E949" i="9"/>
  <c r="E948" i="9"/>
  <c r="E947" i="9"/>
  <c r="E946" i="9"/>
  <c r="E945" i="9"/>
  <c r="E944" i="9"/>
  <c r="E943" i="9"/>
  <c r="E942" i="9"/>
  <c r="C942" i="9"/>
  <c r="B942" i="9"/>
  <c r="E941" i="9"/>
  <c r="E940" i="9"/>
  <c r="E939" i="9"/>
  <c r="E938" i="9"/>
  <c r="E937" i="9"/>
  <c r="E936" i="9"/>
  <c r="E935" i="9"/>
  <c r="E934" i="9"/>
  <c r="E933" i="9"/>
  <c r="E932" i="9"/>
  <c r="E931" i="9"/>
  <c r="E930" i="9"/>
  <c r="E929" i="9"/>
  <c r="E928" i="9"/>
  <c r="E927" i="9"/>
  <c r="E926" i="9"/>
  <c r="E925" i="9"/>
  <c r="E924" i="9"/>
  <c r="E923" i="9"/>
  <c r="E922" i="9"/>
  <c r="E921" i="9"/>
  <c r="E920" i="9"/>
  <c r="E919" i="9"/>
  <c r="E918" i="9"/>
  <c r="C918" i="9"/>
  <c r="B918" i="9"/>
  <c r="E917" i="9"/>
  <c r="E916" i="9"/>
  <c r="E915" i="9"/>
  <c r="E914" i="9"/>
  <c r="E913" i="9"/>
  <c r="E912" i="9"/>
  <c r="E911" i="9"/>
  <c r="E910" i="9"/>
  <c r="E909" i="9"/>
  <c r="E908" i="9"/>
  <c r="E907" i="9"/>
  <c r="E906" i="9"/>
  <c r="E905" i="9"/>
  <c r="E904" i="9"/>
  <c r="E903" i="9"/>
  <c r="E902" i="9"/>
  <c r="E901" i="9"/>
  <c r="E900" i="9"/>
  <c r="E899" i="9"/>
  <c r="E898" i="9"/>
  <c r="E897" i="9"/>
  <c r="E896" i="9"/>
  <c r="E895" i="9"/>
  <c r="E894" i="9"/>
  <c r="C894" i="9"/>
  <c r="B894" i="9"/>
  <c r="E893" i="9"/>
  <c r="E892" i="9"/>
  <c r="E891" i="9"/>
  <c r="E890" i="9"/>
  <c r="E889" i="9"/>
  <c r="E888" i="9"/>
  <c r="E887" i="9"/>
  <c r="E886" i="9"/>
  <c r="E885" i="9"/>
  <c r="E884" i="9"/>
  <c r="E883" i="9"/>
  <c r="E882" i="9"/>
  <c r="E881" i="9"/>
  <c r="E880" i="9"/>
  <c r="E879" i="9"/>
  <c r="E878" i="9"/>
  <c r="E877" i="9"/>
  <c r="E876" i="9"/>
  <c r="E875" i="9"/>
  <c r="E874" i="9"/>
  <c r="E873" i="9"/>
  <c r="E872" i="9"/>
  <c r="E871" i="9"/>
  <c r="E870" i="9"/>
  <c r="C870" i="9"/>
  <c r="B870" i="9"/>
  <c r="E869" i="9"/>
  <c r="E868" i="9"/>
  <c r="E867" i="9"/>
  <c r="E866" i="9"/>
  <c r="E865" i="9"/>
  <c r="E864" i="9"/>
  <c r="E863" i="9"/>
  <c r="E862" i="9"/>
  <c r="E861" i="9"/>
  <c r="E860" i="9"/>
  <c r="E859" i="9"/>
  <c r="E858" i="9"/>
  <c r="E857" i="9"/>
  <c r="E856" i="9"/>
  <c r="E855" i="9"/>
  <c r="E854" i="9"/>
  <c r="E853" i="9"/>
  <c r="E852" i="9"/>
  <c r="E851" i="9"/>
  <c r="E850" i="9"/>
  <c r="E849" i="9"/>
  <c r="E848" i="9"/>
  <c r="E847" i="9"/>
  <c r="E846" i="9"/>
  <c r="C846" i="9"/>
  <c r="B846" i="9"/>
  <c r="E845" i="9"/>
  <c r="E844" i="9"/>
  <c r="E843" i="9"/>
  <c r="E842" i="9"/>
  <c r="E841" i="9"/>
  <c r="E840" i="9"/>
  <c r="E839" i="9"/>
  <c r="E838" i="9"/>
  <c r="E837" i="9"/>
  <c r="E836" i="9"/>
  <c r="E835" i="9"/>
  <c r="E834" i="9"/>
  <c r="E833" i="9"/>
  <c r="E832" i="9"/>
  <c r="E831" i="9"/>
  <c r="E830" i="9"/>
  <c r="E829" i="9"/>
  <c r="E828" i="9"/>
  <c r="E827" i="9"/>
  <c r="E826" i="9"/>
  <c r="E825" i="9"/>
  <c r="E824" i="9"/>
  <c r="E823" i="9"/>
  <c r="E822" i="9"/>
  <c r="C822" i="9"/>
  <c r="B822" i="9"/>
  <c r="E821" i="9"/>
  <c r="E820" i="9"/>
  <c r="E819" i="9"/>
  <c r="E818" i="9"/>
  <c r="E817" i="9"/>
  <c r="E816" i="9"/>
  <c r="E815" i="9"/>
  <c r="E814" i="9"/>
  <c r="E813" i="9"/>
  <c r="E812" i="9"/>
  <c r="E811" i="9"/>
  <c r="E810" i="9"/>
  <c r="E809" i="9"/>
  <c r="E808" i="9"/>
  <c r="E807" i="9"/>
  <c r="E806" i="9"/>
  <c r="E805" i="9"/>
  <c r="E804" i="9"/>
  <c r="E803" i="9"/>
  <c r="E802" i="9"/>
  <c r="E801" i="9"/>
  <c r="E800" i="9"/>
  <c r="E799" i="9"/>
  <c r="E798" i="9"/>
  <c r="C798" i="9"/>
  <c r="B798" i="9"/>
  <c r="E797" i="9"/>
  <c r="E796" i="9"/>
  <c r="E795" i="9"/>
  <c r="E794" i="9"/>
  <c r="E793" i="9"/>
  <c r="E792" i="9"/>
  <c r="E791" i="9"/>
  <c r="E790" i="9"/>
  <c r="E789" i="9"/>
  <c r="E788" i="9"/>
  <c r="E787" i="9"/>
  <c r="E786" i="9"/>
  <c r="E785" i="9"/>
  <c r="E784" i="9"/>
  <c r="E783" i="9"/>
  <c r="E782" i="9"/>
  <c r="E781" i="9"/>
  <c r="E780" i="9"/>
  <c r="E779" i="9"/>
  <c r="E778" i="9"/>
  <c r="E777" i="9"/>
  <c r="E776" i="9"/>
  <c r="E775" i="9"/>
  <c r="E774" i="9"/>
  <c r="C774" i="9"/>
  <c r="B774" i="9"/>
  <c r="E773" i="9"/>
  <c r="E772" i="9"/>
  <c r="E771" i="9"/>
  <c r="E770" i="9"/>
  <c r="E769" i="9"/>
  <c r="E768" i="9"/>
  <c r="E767" i="9"/>
  <c r="E766" i="9"/>
  <c r="E765" i="9"/>
  <c r="E764" i="9"/>
  <c r="E763" i="9"/>
  <c r="E762" i="9"/>
  <c r="E761" i="9"/>
  <c r="E760" i="9"/>
  <c r="E759" i="9"/>
  <c r="E758" i="9"/>
  <c r="E757" i="9"/>
  <c r="E756" i="9"/>
  <c r="E755" i="9"/>
  <c r="E754" i="9"/>
  <c r="E753" i="9"/>
  <c r="E752" i="9"/>
  <c r="E751" i="9"/>
  <c r="E750" i="9"/>
  <c r="C750" i="9"/>
  <c r="B750" i="9"/>
  <c r="E749" i="9"/>
  <c r="E748" i="9"/>
  <c r="E747" i="9"/>
  <c r="E746" i="9"/>
  <c r="E745" i="9"/>
  <c r="E744" i="9"/>
  <c r="E743" i="9"/>
  <c r="E742" i="9"/>
  <c r="E741" i="9"/>
  <c r="E740" i="9"/>
  <c r="E739" i="9"/>
  <c r="E738" i="9"/>
  <c r="E737" i="9"/>
  <c r="E736" i="9"/>
  <c r="E735" i="9"/>
  <c r="E734" i="9"/>
  <c r="E733" i="9"/>
  <c r="E732" i="9"/>
  <c r="E731" i="9"/>
  <c r="E730" i="9"/>
  <c r="E729" i="9"/>
  <c r="E728" i="9"/>
  <c r="E727" i="9"/>
  <c r="E726" i="9"/>
  <c r="C726" i="9"/>
  <c r="B726" i="9"/>
  <c r="E725" i="9"/>
  <c r="E724" i="9"/>
  <c r="E723" i="9"/>
  <c r="E722" i="9"/>
  <c r="E721" i="9"/>
  <c r="E720" i="9"/>
  <c r="E719" i="9"/>
  <c r="E718" i="9"/>
  <c r="E717" i="9"/>
  <c r="E716" i="9"/>
  <c r="E715" i="9"/>
  <c r="E714" i="9"/>
  <c r="E713" i="9"/>
  <c r="E712" i="9"/>
  <c r="E711" i="9"/>
  <c r="E710" i="9"/>
  <c r="E709" i="9"/>
  <c r="E708" i="9"/>
  <c r="E707" i="9"/>
  <c r="E706" i="9"/>
  <c r="E705" i="9"/>
  <c r="E704" i="9"/>
  <c r="E703" i="9"/>
  <c r="E702" i="9"/>
  <c r="C702" i="9"/>
  <c r="B702" i="9"/>
  <c r="E701" i="9"/>
  <c r="E700" i="9"/>
  <c r="E699" i="9"/>
  <c r="E698" i="9"/>
  <c r="E697" i="9"/>
  <c r="E696" i="9"/>
  <c r="E695" i="9"/>
  <c r="E694" i="9"/>
  <c r="E693" i="9"/>
  <c r="E692" i="9"/>
  <c r="E691" i="9"/>
  <c r="E690" i="9"/>
  <c r="E689" i="9"/>
  <c r="E688" i="9"/>
  <c r="E687" i="9"/>
  <c r="E686" i="9"/>
  <c r="E685" i="9"/>
  <c r="E684" i="9"/>
  <c r="E683" i="9"/>
  <c r="E682" i="9"/>
  <c r="E681" i="9"/>
  <c r="E680" i="9"/>
  <c r="E679" i="9"/>
  <c r="E678" i="9"/>
  <c r="C678" i="9"/>
  <c r="B678" i="9"/>
  <c r="E677" i="9"/>
  <c r="E676" i="9"/>
  <c r="E675" i="9"/>
  <c r="E674" i="9"/>
  <c r="E673" i="9"/>
  <c r="E672" i="9"/>
  <c r="E671" i="9"/>
  <c r="E670" i="9"/>
  <c r="E669" i="9"/>
  <c r="E668" i="9"/>
  <c r="E667" i="9"/>
  <c r="E666" i="9"/>
  <c r="E665" i="9"/>
  <c r="E664" i="9"/>
  <c r="E663" i="9"/>
  <c r="E662" i="9"/>
  <c r="E661" i="9"/>
  <c r="E660" i="9"/>
  <c r="E659" i="9"/>
  <c r="E658" i="9"/>
  <c r="E657" i="9"/>
  <c r="E656" i="9"/>
  <c r="E655" i="9"/>
  <c r="E654" i="9"/>
  <c r="C654" i="9"/>
  <c r="B654" i="9"/>
  <c r="E653" i="9"/>
  <c r="E652" i="9"/>
  <c r="E651" i="9"/>
  <c r="E650" i="9"/>
  <c r="E649" i="9"/>
  <c r="E648" i="9"/>
  <c r="E647" i="9"/>
  <c r="E646" i="9"/>
  <c r="E645" i="9"/>
  <c r="E644" i="9"/>
  <c r="E643" i="9"/>
  <c r="E642" i="9"/>
  <c r="E641" i="9"/>
  <c r="E640" i="9"/>
  <c r="E639" i="9"/>
  <c r="E638" i="9"/>
  <c r="E637" i="9"/>
  <c r="E636" i="9"/>
  <c r="E635" i="9"/>
  <c r="E634" i="9"/>
  <c r="E633" i="9"/>
  <c r="E632" i="9"/>
  <c r="E631" i="9"/>
  <c r="E630" i="9"/>
  <c r="C630" i="9"/>
  <c r="B630" i="9"/>
  <c r="E629" i="9"/>
  <c r="E628" i="9"/>
  <c r="E627" i="9"/>
  <c r="E626" i="9"/>
  <c r="E625" i="9"/>
  <c r="E624" i="9"/>
  <c r="E623" i="9"/>
  <c r="E622" i="9"/>
  <c r="E621" i="9"/>
  <c r="E620" i="9"/>
  <c r="E619" i="9"/>
  <c r="E618" i="9"/>
  <c r="E617" i="9"/>
  <c r="E616" i="9"/>
  <c r="E615" i="9"/>
  <c r="E614" i="9"/>
  <c r="E613" i="9"/>
  <c r="E612" i="9"/>
  <c r="E611" i="9"/>
  <c r="E610" i="9"/>
  <c r="E609" i="9"/>
  <c r="E608" i="9"/>
  <c r="E607" i="9"/>
  <c r="E606" i="9"/>
  <c r="C606" i="9"/>
  <c r="B606" i="9"/>
  <c r="E605" i="9"/>
  <c r="E604" i="9"/>
  <c r="E603" i="9"/>
  <c r="E602" i="9"/>
  <c r="E601" i="9"/>
  <c r="E600" i="9"/>
  <c r="E599" i="9"/>
  <c r="E598" i="9"/>
  <c r="E597" i="9"/>
  <c r="E596" i="9"/>
  <c r="E595" i="9"/>
  <c r="E594" i="9"/>
  <c r="E593" i="9"/>
  <c r="E592" i="9"/>
  <c r="E591" i="9"/>
  <c r="E590" i="9"/>
  <c r="E589" i="9"/>
  <c r="E588" i="9"/>
  <c r="E587" i="9"/>
  <c r="E586" i="9"/>
  <c r="E585" i="9"/>
  <c r="E584" i="9"/>
  <c r="E583" i="9"/>
  <c r="E582" i="9"/>
  <c r="C582" i="9"/>
  <c r="B582" i="9"/>
  <c r="E581" i="9"/>
  <c r="E580" i="9"/>
  <c r="E579" i="9"/>
  <c r="E578" i="9"/>
  <c r="E577" i="9"/>
  <c r="E576" i="9"/>
  <c r="E575" i="9"/>
  <c r="E574" i="9"/>
  <c r="E573" i="9"/>
  <c r="E572" i="9"/>
  <c r="E571" i="9"/>
  <c r="E570" i="9"/>
  <c r="E569" i="9"/>
  <c r="E568" i="9"/>
  <c r="E567" i="9"/>
  <c r="E566" i="9"/>
  <c r="E565" i="9"/>
  <c r="E564" i="9"/>
  <c r="E563" i="9"/>
  <c r="E562" i="9"/>
  <c r="E561" i="9"/>
  <c r="E560" i="9"/>
  <c r="E559" i="9"/>
  <c r="E558" i="9"/>
  <c r="C558" i="9"/>
  <c r="B558" i="9"/>
  <c r="E557" i="9"/>
  <c r="E556" i="9"/>
  <c r="E555" i="9"/>
  <c r="E554" i="9"/>
  <c r="E553" i="9"/>
  <c r="E552" i="9"/>
  <c r="E551" i="9"/>
  <c r="E550" i="9"/>
  <c r="E549" i="9"/>
  <c r="E548" i="9"/>
  <c r="E547" i="9"/>
  <c r="E546" i="9"/>
  <c r="E545" i="9"/>
  <c r="E544" i="9"/>
  <c r="E543" i="9"/>
  <c r="E542" i="9"/>
  <c r="E541" i="9"/>
  <c r="E540" i="9"/>
  <c r="E539" i="9"/>
  <c r="E538" i="9"/>
  <c r="E537" i="9"/>
  <c r="E536" i="9"/>
  <c r="E535" i="9"/>
  <c r="E534" i="9"/>
  <c r="C534" i="9"/>
  <c r="B534" i="9"/>
  <c r="E533" i="9"/>
  <c r="E532" i="9"/>
  <c r="E531" i="9"/>
  <c r="E530" i="9"/>
  <c r="E529" i="9"/>
  <c r="E528" i="9"/>
  <c r="E527" i="9"/>
  <c r="E526" i="9"/>
  <c r="E525" i="9"/>
  <c r="E524" i="9"/>
  <c r="E523" i="9"/>
  <c r="E522" i="9"/>
  <c r="E521" i="9"/>
  <c r="E520" i="9"/>
  <c r="E519" i="9"/>
  <c r="E518" i="9"/>
  <c r="E517" i="9"/>
  <c r="E516" i="9"/>
  <c r="E515" i="9"/>
  <c r="E514" i="9"/>
  <c r="E513" i="9"/>
  <c r="E512" i="9"/>
  <c r="E511" i="9"/>
  <c r="E510" i="9"/>
  <c r="C510" i="9"/>
  <c r="B510" i="9"/>
  <c r="E509" i="9"/>
  <c r="E508" i="9"/>
  <c r="E507" i="9"/>
  <c r="E506" i="9"/>
  <c r="E505" i="9"/>
  <c r="E504" i="9"/>
  <c r="E503" i="9"/>
  <c r="E502" i="9"/>
  <c r="E501" i="9"/>
  <c r="E500" i="9"/>
  <c r="E499" i="9"/>
  <c r="E498" i="9"/>
  <c r="E497" i="9"/>
  <c r="E496" i="9"/>
  <c r="E495" i="9"/>
  <c r="E494" i="9"/>
  <c r="E493" i="9"/>
  <c r="E492" i="9"/>
  <c r="E491" i="9"/>
  <c r="E490" i="9"/>
  <c r="E489" i="9"/>
  <c r="E488" i="9"/>
  <c r="E487" i="9"/>
  <c r="E486" i="9"/>
  <c r="C486" i="9"/>
  <c r="B486" i="9"/>
  <c r="E485" i="9"/>
  <c r="E484" i="9"/>
  <c r="E483" i="9"/>
  <c r="E482" i="9"/>
  <c r="E481" i="9"/>
  <c r="E480" i="9"/>
  <c r="E479" i="9"/>
  <c r="E478" i="9"/>
  <c r="E477" i="9"/>
  <c r="E476" i="9"/>
  <c r="E475" i="9"/>
  <c r="E474" i="9"/>
  <c r="E473" i="9"/>
  <c r="E472" i="9"/>
  <c r="E471" i="9"/>
  <c r="E470" i="9"/>
  <c r="E469" i="9"/>
  <c r="E468" i="9"/>
  <c r="E467" i="9"/>
  <c r="E466" i="9"/>
  <c r="E465" i="9"/>
  <c r="E464" i="9"/>
  <c r="E463" i="9"/>
  <c r="E462" i="9"/>
  <c r="C462" i="9"/>
  <c r="B462" i="9"/>
  <c r="E461" i="9"/>
  <c r="E460" i="9"/>
  <c r="E459" i="9"/>
  <c r="E458" i="9"/>
  <c r="E457" i="9"/>
  <c r="E456" i="9"/>
  <c r="E455" i="9"/>
  <c r="E454" i="9"/>
  <c r="E453" i="9"/>
  <c r="E452" i="9"/>
  <c r="E451" i="9"/>
  <c r="E450" i="9"/>
  <c r="E449" i="9"/>
  <c r="E448" i="9"/>
  <c r="E447" i="9"/>
  <c r="E446" i="9"/>
  <c r="E445" i="9"/>
  <c r="E444" i="9"/>
  <c r="E443" i="9"/>
  <c r="E442" i="9"/>
  <c r="E441" i="9"/>
  <c r="E440" i="9"/>
  <c r="E439" i="9"/>
  <c r="E438" i="9"/>
  <c r="C438" i="9"/>
  <c r="B438" i="9"/>
  <c r="E437" i="9"/>
  <c r="E436" i="9"/>
  <c r="E435" i="9"/>
  <c r="E434" i="9"/>
  <c r="E433" i="9"/>
  <c r="E432" i="9"/>
  <c r="E431" i="9"/>
  <c r="E430" i="9"/>
  <c r="E429" i="9"/>
  <c r="E428" i="9"/>
  <c r="E427" i="9"/>
  <c r="E426" i="9"/>
  <c r="E425" i="9"/>
  <c r="E424" i="9"/>
  <c r="E423" i="9"/>
  <c r="E422" i="9"/>
  <c r="E421" i="9"/>
  <c r="E420" i="9"/>
  <c r="E419" i="9"/>
  <c r="E418" i="9"/>
  <c r="E417" i="9"/>
  <c r="E416" i="9"/>
  <c r="E415" i="9"/>
  <c r="E414" i="9"/>
  <c r="C414" i="9"/>
  <c r="B414" i="9"/>
  <c r="E413" i="9"/>
  <c r="E412" i="9"/>
  <c r="E411" i="9"/>
  <c r="E410" i="9"/>
  <c r="E409" i="9"/>
  <c r="E408" i="9"/>
  <c r="E407" i="9"/>
  <c r="E406" i="9"/>
  <c r="E405" i="9"/>
  <c r="E404" i="9"/>
  <c r="E403" i="9"/>
  <c r="E402" i="9"/>
  <c r="E401" i="9"/>
  <c r="E400" i="9"/>
  <c r="E399" i="9"/>
  <c r="E398" i="9"/>
  <c r="E397" i="9"/>
  <c r="E396" i="9"/>
  <c r="E395" i="9"/>
  <c r="E394" i="9"/>
  <c r="E393" i="9"/>
  <c r="E392" i="9"/>
  <c r="E391" i="9"/>
  <c r="E390" i="9"/>
  <c r="C390" i="9"/>
  <c r="B390" i="9"/>
  <c r="E389" i="9"/>
  <c r="E388" i="9"/>
  <c r="E387" i="9"/>
  <c r="E386" i="9"/>
  <c r="E385" i="9"/>
  <c r="E384" i="9"/>
  <c r="E383" i="9"/>
  <c r="E382" i="9"/>
  <c r="E381" i="9"/>
  <c r="E380" i="9"/>
  <c r="E379" i="9"/>
  <c r="E378" i="9"/>
  <c r="E377" i="9"/>
  <c r="E376" i="9"/>
  <c r="E375" i="9"/>
  <c r="E374" i="9"/>
  <c r="E373" i="9"/>
  <c r="E372" i="9"/>
  <c r="E371" i="9"/>
  <c r="E370" i="9"/>
  <c r="E369" i="9"/>
  <c r="E368" i="9"/>
  <c r="E367" i="9"/>
  <c r="E366" i="9"/>
  <c r="C366" i="9"/>
  <c r="B366" i="9"/>
  <c r="E365" i="9"/>
  <c r="E364" i="9"/>
  <c r="E363" i="9"/>
  <c r="E362" i="9"/>
  <c r="E361" i="9"/>
  <c r="E360" i="9"/>
  <c r="E359" i="9"/>
  <c r="E358" i="9"/>
  <c r="E357" i="9"/>
  <c r="E356" i="9"/>
  <c r="E355" i="9"/>
  <c r="E354" i="9"/>
  <c r="E353" i="9"/>
  <c r="E352" i="9"/>
  <c r="E351" i="9"/>
  <c r="E350" i="9"/>
  <c r="E349" i="9"/>
  <c r="E348" i="9"/>
  <c r="E347" i="9"/>
  <c r="E346" i="9"/>
  <c r="E345" i="9"/>
  <c r="E344" i="9"/>
  <c r="E343" i="9"/>
  <c r="E342" i="9"/>
  <c r="C342" i="9"/>
  <c r="B342" i="9"/>
  <c r="E341" i="9"/>
  <c r="E340" i="9"/>
  <c r="E339" i="9"/>
  <c r="E338" i="9"/>
  <c r="E337" i="9"/>
  <c r="E336" i="9"/>
  <c r="E335" i="9"/>
  <c r="E334" i="9"/>
  <c r="E333" i="9"/>
  <c r="E332" i="9"/>
  <c r="E331" i="9"/>
  <c r="E330" i="9"/>
  <c r="E329" i="9"/>
  <c r="E328" i="9"/>
  <c r="E327" i="9"/>
  <c r="E326" i="9"/>
  <c r="E325" i="9"/>
  <c r="E324" i="9"/>
  <c r="E323" i="9"/>
  <c r="E322" i="9"/>
  <c r="E321" i="9"/>
  <c r="E320" i="9"/>
  <c r="E319" i="9"/>
  <c r="E318" i="9"/>
  <c r="C318" i="9"/>
  <c r="B318" i="9"/>
  <c r="E317" i="9"/>
  <c r="E316" i="9"/>
  <c r="E315" i="9"/>
  <c r="E314" i="9"/>
  <c r="E313" i="9"/>
  <c r="E312" i="9"/>
  <c r="E311" i="9"/>
  <c r="E310" i="9"/>
  <c r="E309" i="9"/>
  <c r="E308" i="9"/>
  <c r="E307" i="9"/>
  <c r="E306" i="9"/>
  <c r="E305" i="9"/>
  <c r="E304" i="9"/>
  <c r="E303" i="9"/>
  <c r="E302" i="9"/>
  <c r="E301" i="9"/>
  <c r="E300" i="9"/>
  <c r="E299" i="9"/>
  <c r="E298" i="9"/>
  <c r="E297" i="9"/>
  <c r="E296" i="9"/>
  <c r="E295" i="9"/>
  <c r="E294" i="9"/>
  <c r="C294" i="9"/>
  <c r="B294" i="9"/>
  <c r="E293" i="9"/>
  <c r="E292" i="9"/>
  <c r="E291" i="9"/>
  <c r="E290" i="9"/>
  <c r="E289" i="9"/>
  <c r="E288" i="9"/>
  <c r="E287" i="9"/>
  <c r="E286" i="9"/>
  <c r="E285" i="9"/>
  <c r="E284" i="9"/>
  <c r="E283" i="9"/>
  <c r="E282" i="9"/>
  <c r="E281" i="9"/>
  <c r="E280" i="9"/>
  <c r="E279" i="9"/>
  <c r="E278" i="9"/>
  <c r="E277" i="9"/>
  <c r="E276" i="9"/>
  <c r="E275" i="9"/>
  <c r="E274" i="9"/>
  <c r="E273" i="9"/>
  <c r="E272" i="9"/>
  <c r="E271" i="9"/>
  <c r="E270" i="9"/>
  <c r="C270" i="9"/>
  <c r="B270" i="9"/>
  <c r="E269" i="9"/>
  <c r="E268" i="9"/>
  <c r="E267" i="9"/>
  <c r="E266" i="9"/>
  <c r="E265" i="9"/>
  <c r="E264" i="9"/>
  <c r="E263" i="9"/>
  <c r="E262" i="9"/>
  <c r="E261" i="9"/>
  <c r="E260" i="9"/>
  <c r="E259" i="9"/>
  <c r="E258" i="9"/>
  <c r="E257" i="9"/>
  <c r="E256" i="9"/>
  <c r="E255" i="9"/>
  <c r="E254" i="9"/>
  <c r="E253" i="9"/>
  <c r="E252" i="9"/>
  <c r="E251" i="9"/>
  <c r="E250" i="9"/>
  <c r="E249" i="9"/>
  <c r="E248" i="9"/>
  <c r="E247" i="9"/>
  <c r="E246" i="9"/>
  <c r="C246" i="9"/>
  <c r="B246" i="9"/>
  <c r="E245" i="9"/>
  <c r="E244" i="9"/>
  <c r="E243" i="9"/>
  <c r="E242" i="9"/>
  <c r="E241" i="9"/>
  <c r="E240" i="9"/>
  <c r="E239" i="9"/>
  <c r="E238" i="9"/>
  <c r="E237" i="9"/>
  <c r="E236" i="9"/>
  <c r="E235" i="9"/>
  <c r="E234" i="9"/>
  <c r="E233" i="9"/>
  <c r="E232" i="9"/>
  <c r="E231" i="9"/>
  <c r="E230" i="9"/>
  <c r="E229" i="9"/>
  <c r="E228" i="9"/>
  <c r="E227" i="9"/>
  <c r="E226" i="9"/>
  <c r="E225" i="9"/>
  <c r="E224" i="9"/>
  <c r="E223" i="9"/>
  <c r="E222" i="9"/>
  <c r="C222" i="9"/>
  <c r="B222" i="9"/>
  <c r="E221" i="9"/>
  <c r="E220" i="9"/>
  <c r="E219" i="9"/>
  <c r="E218" i="9"/>
  <c r="E217" i="9"/>
  <c r="E216" i="9"/>
  <c r="E215" i="9"/>
  <c r="E214" i="9"/>
  <c r="E213" i="9"/>
  <c r="E212" i="9"/>
  <c r="E211" i="9"/>
  <c r="E210" i="9"/>
  <c r="E209" i="9"/>
  <c r="E208" i="9"/>
  <c r="E207" i="9"/>
  <c r="E206" i="9"/>
  <c r="E205" i="9"/>
  <c r="E204" i="9"/>
  <c r="E203" i="9"/>
  <c r="E202" i="9"/>
  <c r="E201" i="9"/>
  <c r="E200" i="9"/>
  <c r="E199" i="9"/>
  <c r="E198" i="9"/>
  <c r="C198" i="9"/>
  <c r="B198" i="9"/>
  <c r="E197" i="9"/>
  <c r="E196" i="9"/>
  <c r="E195" i="9"/>
  <c r="E194" i="9"/>
  <c r="E193" i="9"/>
  <c r="E192" i="9"/>
  <c r="E191" i="9"/>
  <c r="E190" i="9"/>
  <c r="E189" i="9"/>
  <c r="E188" i="9"/>
  <c r="E187" i="9"/>
  <c r="E186" i="9"/>
  <c r="E185" i="9"/>
  <c r="E184" i="9"/>
  <c r="E183" i="9"/>
  <c r="E182" i="9"/>
  <c r="E181" i="9"/>
  <c r="E180" i="9"/>
  <c r="E179" i="9"/>
  <c r="E178" i="9"/>
  <c r="E177" i="9"/>
  <c r="E176" i="9"/>
  <c r="E175" i="9"/>
  <c r="E174" i="9"/>
  <c r="C174" i="9"/>
  <c r="B174" i="9"/>
  <c r="E173" i="9"/>
  <c r="E172" i="9"/>
  <c r="E171" i="9"/>
  <c r="E170" i="9"/>
  <c r="E169" i="9"/>
  <c r="E168" i="9"/>
  <c r="E167" i="9"/>
  <c r="E166" i="9"/>
  <c r="E165" i="9"/>
  <c r="E164" i="9"/>
  <c r="E163" i="9"/>
  <c r="E162" i="9"/>
  <c r="E161" i="9"/>
  <c r="E160" i="9"/>
  <c r="E159" i="9"/>
  <c r="E158" i="9"/>
  <c r="E157" i="9"/>
  <c r="E156" i="9"/>
  <c r="E155" i="9"/>
  <c r="E154" i="9"/>
  <c r="E153" i="9"/>
  <c r="E152" i="9"/>
  <c r="E151" i="9"/>
  <c r="E150" i="9"/>
  <c r="C150" i="9"/>
  <c r="B150" i="9"/>
  <c r="E149" i="9"/>
  <c r="E148" i="9"/>
  <c r="E147" i="9"/>
  <c r="E146" i="9"/>
  <c r="E145" i="9"/>
  <c r="E144" i="9"/>
  <c r="E143" i="9"/>
  <c r="E142" i="9"/>
  <c r="E141" i="9"/>
  <c r="E140" i="9"/>
  <c r="E139" i="9"/>
  <c r="E138" i="9"/>
  <c r="E137" i="9"/>
  <c r="E136" i="9"/>
  <c r="E135" i="9"/>
  <c r="E134" i="9"/>
  <c r="E133" i="9"/>
  <c r="E132" i="9"/>
  <c r="E131" i="9"/>
  <c r="E130" i="9"/>
  <c r="E129" i="9"/>
  <c r="E128" i="9"/>
  <c r="E127" i="9"/>
  <c r="E126" i="9"/>
  <c r="C126" i="9"/>
  <c r="B126" i="9"/>
  <c r="E125" i="9"/>
  <c r="E124" i="9"/>
  <c r="E123" i="9"/>
  <c r="E122" i="9"/>
  <c r="E121" i="9"/>
  <c r="E120" i="9"/>
  <c r="E119" i="9"/>
  <c r="E118" i="9"/>
  <c r="E117" i="9"/>
  <c r="E116" i="9"/>
  <c r="E115" i="9"/>
  <c r="E114" i="9"/>
  <c r="E113" i="9"/>
  <c r="E112" i="9"/>
  <c r="E111" i="9"/>
  <c r="E110" i="9"/>
  <c r="E109" i="9"/>
  <c r="E108" i="9"/>
  <c r="E107" i="9"/>
  <c r="E106" i="9"/>
  <c r="E105" i="9"/>
  <c r="E104" i="9"/>
  <c r="E103" i="9"/>
  <c r="E102" i="9"/>
  <c r="C102" i="9"/>
  <c r="B102" i="9"/>
  <c r="E101" i="9"/>
  <c r="E100" i="9"/>
  <c r="E99" i="9"/>
  <c r="E98" i="9"/>
  <c r="E97" i="9"/>
  <c r="E96" i="9"/>
  <c r="E95" i="9"/>
  <c r="E94" i="9"/>
  <c r="E93" i="9"/>
  <c r="E92" i="9"/>
  <c r="E91" i="9"/>
  <c r="E90" i="9"/>
  <c r="E89" i="9"/>
  <c r="E88" i="9"/>
  <c r="E87" i="9"/>
  <c r="E86" i="9"/>
  <c r="E85" i="9"/>
  <c r="E84" i="9"/>
  <c r="E83" i="9"/>
  <c r="E82" i="9"/>
  <c r="E81" i="9"/>
  <c r="E80" i="9"/>
  <c r="E79" i="9"/>
  <c r="E78" i="9"/>
  <c r="C78" i="9"/>
  <c r="B78" i="9"/>
  <c r="E77" i="9"/>
  <c r="E76" i="9"/>
  <c r="D76" i="9"/>
  <c r="D100" i="9" s="1"/>
  <c r="D124" i="9" s="1"/>
  <c r="D148" i="9" s="1"/>
  <c r="D172" i="9" s="1"/>
  <c r="D196" i="9" s="1"/>
  <c r="D220" i="9" s="1"/>
  <c r="D244" i="9" s="1"/>
  <c r="D268" i="9" s="1"/>
  <c r="D292" i="9" s="1"/>
  <c r="D316" i="9" s="1"/>
  <c r="D340" i="9" s="1"/>
  <c r="D364" i="9" s="1"/>
  <c r="D388" i="9" s="1"/>
  <c r="D412" i="9" s="1"/>
  <c r="D436" i="9" s="1"/>
  <c r="D460" i="9" s="1"/>
  <c r="D484" i="9" s="1"/>
  <c r="D508" i="9" s="1"/>
  <c r="D532" i="9" s="1"/>
  <c r="D556" i="9" s="1"/>
  <c r="D580" i="9" s="1"/>
  <c r="D604" i="9" s="1"/>
  <c r="D628" i="9" s="1"/>
  <c r="D652" i="9" s="1"/>
  <c r="D676" i="9" s="1"/>
  <c r="D700" i="9" s="1"/>
  <c r="D724" i="9" s="1"/>
  <c r="D748" i="9" s="1"/>
  <c r="D772" i="9" s="1"/>
  <c r="D796" i="9" s="1"/>
  <c r="D820" i="9" s="1"/>
  <c r="D844" i="9" s="1"/>
  <c r="D868" i="9" s="1"/>
  <c r="D892" i="9" s="1"/>
  <c r="D916" i="9" s="1"/>
  <c r="D940" i="9" s="1"/>
  <c r="D964" i="9" s="1"/>
  <c r="D988" i="9" s="1"/>
  <c r="D1012" i="9" s="1"/>
  <c r="D1036" i="9" s="1"/>
  <c r="D1060" i="9" s="1"/>
  <c r="D1084" i="9" s="1"/>
  <c r="D1108" i="9" s="1"/>
  <c r="D1132" i="9" s="1"/>
  <c r="D1156" i="9" s="1"/>
  <c r="D1180" i="9" s="1"/>
  <c r="E75" i="9"/>
  <c r="E74" i="9"/>
  <c r="D74" i="9"/>
  <c r="D98" i="9" s="1"/>
  <c r="D122" i="9" s="1"/>
  <c r="D146" i="9" s="1"/>
  <c r="D170" i="9" s="1"/>
  <c r="D194" i="9" s="1"/>
  <c r="D218" i="9" s="1"/>
  <c r="D242" i="9" s="1"/>
  <c r="D266" i="9" s="1"/>
  <c r="D290" i="9" s="1"/>
  <c r="D314" i="9" s="1"/>
  <c r="D338" i="9" s="1"/>
  <c r="D362" i="9" s="1"/>
  <c r="D386" i="9" s="1"/>
  <c r="D410" i="9" s="1"/>
  <c r="D434" i="9" s="1"/>
  <c r="D458" i="9" s="1"/>
  <c r="D482" i="9" s="1"/>
  <c r="D506" i="9" s="1"/>
  <c r="D530" i="9" s="1"/>
  <c r="D554" i="9" s="1"/>
  <c r="D578" i="9" s="1"/>
  <c r="D602" i="9" s="1"/>
  <c r="D626" i="9" s="1"/>
  <c r="D650" i="9" s="1"/>
  <c r="D674" i="9" s="1"/>
  <c r="D698" i="9" s="1"/>
  <c r="D722" i="9" s="1"/>
  <c r="D746" i="9" s="1"/>
  <c r="D770" i="9" s="1"/>
  <c r="D794" i="9" s="1"/>
  <c r="D818" i="9" s="1"/>
  <c r="D842" i="9" s="1"/>
  <c r="D866" i="9" s="1"/>
  <c r="D890" i="9" s="1"/>
  <c r="D914" i="9" s="1"/>
  <c r="D938" i="9" s="1"/>
  <c r="D962" i="9" s="1"/>
  <c r="D986" i="9" s="1"/>
  <c r="D1010" i="9" s="1"/>
  <c r="D1034" i="9" s="1"/>
  <c r="D1058" i="9" s="1"/>
  <c r="D1082" i="9" s="1"/>
  <c r="D1106" i="9" s="1"/>
  <c r="D1130" i="9" s="1"/>
  <c r="D1154" i="9" s="1"/>
  <c r="D1178" i="9" s="1"/>
  <c r="E73" i="9"/>
  <c r="E72" i="9"/>
  <c r="D72" i="9"/>
  <c r="D96" i="9" s="1"/>
  <c r="D120" i="9" s="1"/>
  <c r="D144" i="9" s="1"/>
  <c r="D168" i="9" s="1"/>
  <c r="D192" i="9" s="1"/>
  <c r="D216" i="9" s="1"/>
  <c r="D240" i="9" s="1"/>
  <c r="D264" i="9" s="1"/>
  <c r="D288" i="9" s="1"/>
  <c r="D312" i="9" s="1"/>
  <c r="D336" i="9" s="1"/>
  <c r="D360" i="9" s="1"/>
  <c r="D384" i="9" s="1"/>
  <c r="D408" i="9" s="1"/>
  <c r="D432" i="9" s="1"/>
  <c r="D456" i="9" s="1"/>
  <c r="D480" i="9" s="1"/>
  <c r="D504" i="9" s="1"/>
  <c r="D528" i="9" s="1"/>
  <c r="D552" i="9" s="1"/>
  <c r="D576" i="9" s="1"/>
  <c r="D600" i="9" s="1"/>
  <c r="D624" i="9" s="1"/>
  <c r="D648" i="9" s="1"/>
  <c r="D672" i="9" s="1"/>
  <c r="D696" i="9" s="1"/>
  <c r="D720" i="9" s="1"/>
  <c r="D744" i="9" s="1"/>
  <c r="D768" i="9" s="1"/>
  <c r="D792" i="9" s="1"/>
  <c r="D816" i="9" s="1"/>
  <c r="D840" i="9" s="1"/>
  <c r="D864" i="9" s="1"/>
  <c r="D888" i="9" s="1"/>
  <c r="D912" i="9" s="1"/>
  <c r="D936" i="9" s="1"/>
  <c r="D960" i="9" s="1"/>
  <c r="D984" i="9" s="1"/>
  <c r="D1008" i="9" s="1"/>
  <c r="D1032" i="9" s="1"/>
  <c r="D1056" i="9" s="1"/>
  <c r="D1080" i="9" s="1"/>
  <c r="D1104" i="9" s="1"/>
  <c r="D1128" i="9" s="1"/>
  <c r="D1152" i="9" s="1"/>
  <c r="D1176" i="9" s="1"/>
  <c r="E71" i="9"/>
  <c r="E70" i="9"/>
  <c r="D70" i="9"/>
  <c r="D94" i="9" s="1"/>
  <c r="D118" i="9" s="1"/>
  <c r="D142" i="9" s="1"/>
  <c r="D166" i="9" s="1"/>
  <c r="D190" i="9" s="1"/>
  <c r="D214" i="9" s="1"/>
  <c r="D238" i="9" s="1"/>
  <c r="D262" i="9" s="1"/>
  <c r="D286" i="9" s="1"/>
  <c r="D310" i="9" s="1"/>
  <c r="D334" i="9" s="1"/>
  <c r="D358" i="9" s="1"/>
  <c r="D382" i="9" s="1"/>
  <c r="D406" i="9" s="1"/>
  <c r="D430" i="9" s="1"/>
  <c r="D454" i="9" s="1"/>
  <c r="D478" i="9" s="1"/>
  <c r="D502" i="9" s="1"/>
  <c r="D526" i="9" s="1"/>
  <c r="D550" i="9" s="1"/>
  <c r="D574" i="9" s="1"/>
  <c r="D598" i="9" s="1"/>
  <c r="D622" i="9" s="1"/>
  <c r="D646" i="9" s="1"/>
  <c r="D670" i="9" s="1"/>
  <c r="D694" i="9" s="1"/>
  <c r="D718" i="9" s="1"/>
  <c r="D742" i="9" s="1"/>
  <c r="D766" i="9" s="1"/>
  <c r="D790" i="9" s="1"/>
  <c r="D814" i="9" s="1"/>
  <c r="D838" i="9" s="1"/>
  <c r="D862" i="9" s="1"/>
  <c r="D886" i="9" s="1"/>
  <c r="D910" i="9" s="1"/>
  <c r="D934" i="9" s="1"/>
  <c r="D958" i="9" s="1"/>
  <c r="D982" i="9" s="1"/>
  <c r="D1006" i="9" s="1"/>
  <c r="D1030" i="9" s="1"/>
  <c r="D1054" i="9" s="1"/>
  <c r="D1078" i="9" s="1"/>
  <c r="D1102" i="9" s="1"/>
  <c r="D1126" i="9" s="1"/>
  <c r="D1150" i="9" s="1"/>
  <c r="D1174" i="9" s="1"/>
  <c r="E69" i="9"/>
  <c r="E68" i="9"/>
  <c r="D68" i="9"/>
  <c r="D92" i="9" s="1"/>
  <c r="D116" i="9" s="1"/>
  <c r="D140" i="9" s="1"/>
  <c r="D164" i="9" s="1"/>
  <c r="D188" i="9" s="1"/>
  <c r="D212" i="9" s="1"/>
  <c r="D236" i="9" s="1"/>
  <c r="D260" i="9" s="1"/>
  <c r="D284" i="9" s="1"/>
  <c r="D308" i="9" s="1"/>
  <c r="D332" i="9" s="1"/>
  <c r="D356" i="9" s="1"/>
  <c r="D380" i="9" s="1"/>
  <c r="D404" i="9" s="1"/>
  <c r="D428" i="9" s="1"/>
  <c r="D452" i="9" s="1"/>
  <c r="D476" i="9" s="1"/>
  <c r="D500" i="9" s="1"/>
  <c r="D524" i="9" s="1"/>
  <c r="D548" i="9" s="1"/>
  <c r="D572" i="9" s="1"/>
  <c r="D596" i="9" s="1"/>
  <c r="D620" i="9" s="1"/>
  <c r="D644" i="9" s="1"/>
  <c r="D668" i="9" s="1"/>
  <c r="D692" i="9" s="1"/>
  <c r="D716" i="9" s="1"/>
  <c r="D740" i="9" s="1"/>
  <c r="D764" i="9" s="1"/>
  <c r="D788" i="9" s="1"/>
  <c r="D812" i="9" s="1"/>
  <c r="D836" i="9" s="1"/>
  <c r="D860" i="9" s="1"/>
  <c r="D884" i="9" s="1"/>
  <c r="D908" i="9" s="1"/>
  <c r="D932" i="9" s="1"/>
  <c r="D956" i="9" s="1"/>
  <c r="D980" i="9" s="1"/>
  <c r="D1004" i="9" s="1"/>
  <c r="D1028" i="9" s="1"/>
  <c r="D1052" i="9" s="1"/>
  <c r="D1076" i="9" s="1"/>
  <c r="D1100" i="9" s="1"/>
  <c r="D1124" i="9" s="1"/>
  <c r="D1148" i="9" s="1"/>
  <c r="D1172" i="9" s="1"/>
  <c r="E67" i="9"/>
  <c r="E66" i="9"/>
  <c r="D66" i="9"/>
  <c r="D90" i="9" s="1"/>
  <c r="D114" i="9" s="1"/>
  <c r="D138" i="9" s="1"/>
  <c r="D162" i="9" s="1"/>
  <c r="D186" i="9" s="1"/>
  <c r="D210" i="9" s="1"/>
  <c r="D234" i="9" s="1"/>
  <c r="D258" i="9" s="1"/>
  <c r="D282" i="9" s="1"/>
  <c r="D306" i="9" s="1"/>
  <c r="D330" i="9" s="1"/>
  <c r="D354" i="9" s="1"/>
  <c r="D378" i="9" s="1"/>
  <c r="D402" i="9" s="1"/>
  <c r="D426" i="9" s="1"/>
  <c r="D450" i="9" s="1"/>
  <c r="D474" i="9" s="1"/>
  <c r="D498" i="9" s="1"/>
  <c r="D522" i="9" s="1"/>
  <c r="D546" i="9" s="1"/>
  <c r="D570" i="9" s="1"/>
  <c r="D594" i="9" s="1"/>
  <c r="D618" i="9" s="1"/>
  <c r="D642" i="9" s="1"/>
  <c r="D666" i="9" s="1"/>
  <c r="D690" i="9" s="1"/>
  <c r="D714" i="9" s="1"/>
  <c r="D738" i="9" s="1"/>
  <c r="D762" i="9" s="1"/>
  <c r="D786" i="9" s="1"/>
  <c r="D810" i="9" s="1"/>
  <c r="D834" i="9" s="1"/>
  <c r="D858" i="9" s="1"/>
  <c r="D882" i="9" s="1"/>
  <c r="D906" i="9" s="1"/>
  <c r="D930" i="9" s="1"/>
  <c r="D954" i="9" s="1"/>
  <c r="D978" i="9" s="1"/>
  <c r="D1002" i="9" s="1"/>
  <c r="D1026" i="9" s="1"/>
  <c r="D1050" i="9" s="1"/>
  <c r="D1074" i="9" s="1"/>
  <c r="D1098" i="9" s="1"/>
  <c r="D1122" i="9" s="1"/>
  <c r="D1146" i="9" s="1"/>
  <c r="D1170" i="9" s="1"/>
  <c r="E65" i="9"/>
  <c r="E64" i="9"/>
  <c r="D64" i="9"/>
  <c r="D88" i="9" s="1"/>
  <c r="D112" i="9" s="1"/>
  <c r="D136" i="9" s="1"/>
  <c r="D160" i="9" s="1"/>
  <c r="D184" i="9" s="1"/>
  <c r="D208" i="9" s="1"/>
  <c r="D232" i="9" s="1"/>
  <c r="D256" i="9" s="1"/>
  <c r="D280" i="9" s="1"/>
  <c r="D304" i="9" s="1"/>
  <c r="D328" i="9" s="1"/>
  <c r="D352" i="9" s="1"/>
  <c r="D376" i="9" s="1"/>
  <c r="D400" i="9" s="1"/>
  <c r="D424" i="9" s="1"/>
  <c r="D448" i="9" s="1"/>
  <c r="D472" i="9" s="1"/>
  <c r="D496" i="9" s="1"/>
  <c r="D520" i="9" s="1"/>
  <c r="D544" i="9" s="1"/>
  <c r="D568" i="9" s="1"/>
  <c r="D592" i="9" s="1"/>
  <c r="D616" i="9" s="1"/>
  <c r="D640" i="9" s="1"/>
  <c r="D664" i="9" s="1"/>
  <c r="D688" i="9" s="1"/>
  <c r="D712" i="9" s="1"/>
  <c r="D736" i="9" s="1"/>
  <c r="D760" i="9" s="1"/>
  <c r="D784" i="9" s="1"/>
  <c r="D808" i="9" s="1"/>
  <c r="D832" i="9" s="1"/>
  <c r="D856" i="9" s="1"/>
  <c r="D880" i="9" s="1"/>
  <c r="D904" i="9" s="1"/>
  <c r="D928" i="9" s="1"/>
  <c r="D952" i="9" s="1"/>
  <c r="D976" i="9" s="1"/>
  <c r="D1000" i="9" s="1"/>
  <c r="D1024" i="9" s="1"/>
  <c r="D1048" i="9" s="1"/>
  <c r="D1072" i="9" s="1"/>
  <c r="D1096" i="9" s="1"/>
  <c r="D1120" i="9" s="1"/>
  <c r="D1144" i="9" s="1"/>
  <c r="D1168" i="9" s="1"/>
  <c r="E63" i="9"/>
  <c r="E62" i="9"/>
  <c r="D62" i="9"/>
  <c r="D86" i="9" s="1"/>
  <c r="D110" i="9" s="1"/>
  <c r="D134" i="9" s="1"/>
  <c r="D158" i="9" s="1"/>
  <c r="D182" i="9" s="1"/>
  <c r="D206" i="9" s="1"/>
  <c r="D230" i="9" s="1"/>
  <c r="D254" i="9" s="1"/>
  <c r="D278" i="9" s="1"/>
  <c r="D302" i="9" s="1"/>
  <c r="D326" i="9" s="1"/>
  <c r="D350" i="9" s="1"/>
  <c r="D374" i="9" s="1"/>
  <c r="D398" i="9" s="1"/>
  <c r="D422" i="9" s="1"/>
  <c r="D446" i="9" s="1"/>
  <c r="D470" i="9" s="1"/>
  <c r="D494" i="9" s="1"/>
  <c r="D518" i="9" s="1"/>
  <c r="D542" i="9" s="1"/>
  <c r="D566" i="9" s="1"/>
  <c r="D590" i="9" s="1"/>
  <c r="D614" i="9" s="1"/>
  <c r="D638" i="9" s="1"/>
  <c r="D662" i="9" s="1"/>
  <c r="D686" i="9" s="1"/>
  <c r="D710" i="9" s="1"/>
  <c r="D734" i="9" s="1"/>
  <c r="D758" i="9" s="1"/>
  <c r="D782" i="9" s="1"/>
  <c r="D806" i="9" s="1"/>
  <c r="D830" i="9" s="1"/>
  <c r="D854" i="9" s="1"/>
  <c r="D878" i="9" s="1"/>
  <c r="D902" i="9" s="1"/>
  <c r="D926" i="9" s="1"/>
  <c r="D950" i="9" s="1"/>
  <c r="D974" i="9" s="1"/>
  <c r="D998" i="9" s="1"/>
  <c r="D1022" i="9" s="1"/>
  <c r="D1046" i="9" s="1"/>
  <c r="D1070" i="9" s="1"/>
  <c r="D1094" i="9" s="1"/>
  <c r="D1118" i="9" s="1"/>
  <c r="D1142" i="9" s="1"/>
  <c r="D1166" i="9" s="1"/>
  <c r="E61" i="9"/>
  <c r="E60" i="9"/>
  <c r="D60" i="9"/>
  <c r="D84" i="9" s="1"/>
  <c r="D108" i="9" s="1"/>
  <c r="D132" i="9" s="1"/>
  <c r="D156" i="9" s="1"/>
  <c r="D180" i="9" s="1"/>
  <c r="D204" i="9" s="1"/>
  <c r="D228" i="9" s="1"/>
  <c r="D252" i="9" s="1"/>
  <c r="D276" i="9" s="1"/>
  <c r="D300" i="9" s="1"/>
  <c r="D324" i="9" s="1"/>
  <c r="D348" i="9" s="1"/>
  <c r="D372" i="9" s="1"/>
  <c r="D396" i="9" s="1"/>
  <c r="D420" i="9" s="1"/>
  <c r="D444" i="9" s="1"/>
  <c r="D468" i="9" s="1"/>
  <c r="D492" i="9" s="1"/>
  <c r="D516" i="9" s="1"/>
  <c r="D540" i="9" s="1"/>
  <c r="D564" i="9" s="1"/>
  <c r="D588" i="9" s="1"/>
  <c r="D612" i="9" s="1"/>
  <c r="D636" i="9" s="1"/>
  <c r="D660" i="9" s="1"/>
  <c r="D684" i="9" s="1"/>
  <c r="D708" i="9" s="1"/>
  <c r="D732" i="9" s="1"/>
  <c r="D756" i="9" s="1"/>
  <c r="D780" i="9" s="1"/>
  <c r="D804" i="9" s="1"/>
  <c r="D828" i="9" s="1"/>
  <c r="D852" i="9" s="1"/>
  <c r="D876" i="9" s="1"/>
  <c r="D900" i="9" s="1"/>
  <c r="D924" i="9" s="1"/>
  <c r="D948" i="9" s="1"/>
  <c r="D972" i="9" s="1"/>
  <c r="D996" i="9" s="1"/>
  <c r="D1020" i="9" s="1"/>
  <c r="D1044" i="9" s="1"/>
  <c r="D1068" i="9" s="1"/>
  <c r="D1092" i="9" s="1"/>
  <c r="D1116" i="9" s="1"/>
  <c r="D1140" i="9" s="1"/>
  <c r="D1164" i="9" s="1"/>
  <c r="E59" i="9"/>
  <c r="E58" i="9"/>
  <c r="D58" i="9"/>
  <c r="D82" i="9" s="1"/>
  <c r="D106" i="9" s="1"/>
  <c r="D130" i="9" s="1"/>
  <c r="D154" i="9" s="1"/>
  <c r="D178" i="9" s="1"/>
  <c r="D202" i="9" s="1"/>
  <c r="D226" i="9" s="1"/>
  <c r="D250" i="9" s="1"/>
  <c r="D274" i="9" s="1"/>
  <c r="D298" i="9" s="1"/>
  <c r="D322" i="9" s="1"/>
  <c r="D346" i="9" s="1"/>
  <c r="D370" i="9" s="1"/>
  <c r="D394" i="9" s="1"/>
  <c r="D418" i="9" s="1"/>
  <c r="D442" i="9" s="1"/>
  <c r="D466" i="9" s="1"/>
  <c r="D490" i="9" s="1"/>
  <c r="D514" i="9" s="1"/>
  <c r="D538" i="9" s="1"/>
  <c r="D562" i="9" s="1"/>
  <c r="D586" i="9" s="1"/>
  <c r="D610" i="9" s="1"/>
  <c r="D634" i="9" s="1"/>
  <c r="D658" i="9" s="1"/>
  <c r="D682" i="9" s="1"/>
  <c r="D706" i="9" s="1"/>
  <c r="D730" i="9" s="1"/>
  <c r="D754" i="9" s="1"/>
  <c r="D778" i="9" s="1"/>
  <c r="D802" i="9" s="1"/>
  <c r="D826" i="9" s="1"/>
  <c r="D850" i="9" s="1"/>
  <c r="D874" i="9" s="1"/>
  <c r="D898" i="9" s="1"/>
  <c r="D922" i="9" s="1"/>
  <c r="D946" i="9" s="1"/>
  <c r="D970" i="9" s="1"/>
  <c r="D994" i="9" s="1"/>
  <c r="D1018" i="9" s="1"/>
  <c r="D1042" i="9" s="1"/>
  <c r="D1066" i="9" s="1"/>
  <c r="D1090" i="9" s="1"/>
  <c r="D1114" i="9" s="1"/>
  <c r="D1138" i="9" s="1"/>
  <c r="D1162" i="9" s="1"/>
  <c r="E57" i="9"/>
  <c r="E56" i="9"/>
  <c r="D56" i="9"/>
  <c r="D80" i="9" s="1"/>
  <c r="D104" i="9" s="1"/>
  <c r="D128" i="9" s="1"/>
  <c r="D152" i="9" s="1"/>
  <c r="D176" i="9" s="1"/>
  <c r="D200" i="9" s="1"/>
  <c r="D224" i="9" s="1"/>
  <c r="D248" i="9" s="1"/>
  <c r="D272" i="9" s="1"/>
  <c r="D296" i="9" s="1"/>
  <c r="D320" i="9" s="1"/>
  <c r="D344" i="9" s="1"/>
  <c r="D368" i="9" s="1"/>
  <c r="D392" i="9" s="1"/>
  <c r="D416" i="9" s="1"/>
  <c r="D440" i="9" s="1"/>
  <c r="D464" i="9" s="1"/>
  <c r="D488" i="9" s="1"/>
  <c r="D512" i="9" s="1"/>
  <c r="D536" i="9" s="1"/>
  <c r="D560" i="9" s="1"/>
  <c r="D584" i="9" s="1"/>
  <c r="D608" i="9" s="1"/>
  <c r="D632" i="9" s="1"/>
  <c r="D656" i="9" s="1"/>
  <c r="D680" i="9" s="1"/>
  <c r="D704" i="9" s="1"/>
  <c r="D728" i="9" s="1"/>
  <c r="D752" i="9" s="1"/>
  <c r="D776" i="9" s="1"/>
  <c r="D800" i="9" s="1"/>
  <c r="D824" i="9" s="1"/>
  <c r="D848" i="9" s="1"/>
  <c r="D872" i="9" s="1"/>
  <c r="D896" i="9" s="1"/>
  <c r="D920" i="9" s="1"/>
  <c r="D944" i="9" s="1"/>
  <c r="D968" i="9" s="1"/>
  <c r="D992" i="9" s="1"/>
  <c r="D1016" i="9" s="1"/>
  <c r="D1040" i="9" s="1"/>
  <c r="D1064" i="9" s="1"/>
  <c r="D1088" i="9" s="1"/>
  <c r="D1112" i="9" s="1"/>
  <c r="D1136" i="9" s="1"/>
  <c r="D1160" i="9" s="1"/>
  <c r="E55" i="9"/>
  <c r="E54" i="9"/>
  <c r="D54" i="9"/>
  <c r="D78" i="9" s="1"/>
  <c r="D102" i="9" s="1"/>
  <c r="D126" i="9" s="1"/>
  <c r="D150" i="9" s="1"/>
  <c r="D174" i="9" s="1"/>
  <c r="D198" i="9" s="1"/>
  <c r="D222" i="9" s="1"/>
  <c r="D246" i="9" s="1"/>
  <c r="D270" i="9" s="1"/>
  <c r="D294" i="9" s="1"/>
  <c r="D318" i="9" s="1"/>
  <c r="D342" i="9" s="1"/>
  <c r="D366" i="9" s="1"/>
  <c r="D390" i="9" s="1"/>
  <c r="D414" i="9" s="1"/>
  <c r="D438" i="9" s="1"/>
  <c r="D462" i="9" s="1"/>
  <c r="D486" i="9" s="1"/>
  <c r="D510" i="9" s="1"/>
  <c r="D534" i="9" s="1"/>
  <c r="D558" i="9" s="1"/>
  <c r="D582" i="9" s="1"/>
  <c r="D606" i="9" s="1"/>
  <c r="D630" i="9" s="1"/>
  <c r="D654" i="9" s="1"/>
  <c r="D678" i="9" s="1"/>
  <c r="D702" i="9" s="1"/>
  <c r="D726" i="9" s="1"/>
  <c r="D750" i="9" s="1"/>
  <c r="D774" i="9" s="1"/>
  <c r="D798" i="9" s="1"/>
  <c r="D822" i="9" s="1"/>
  <c r="D846" i="9" s="1"/>
  <c r="D870" i="9" s="1"/>
  <c r="D894" i="9" s="1"/>
  <c r="D918" i="9" s="1"/>
  <c r="D942" i="9" s="1"/>
  <c r="D966" i="9" s="1"/>
  <c r="D990" i="9" s="1"/>
  <c r="D1014" i="9" s="1"/>
  <c r="D1038" i="9" s="1"/>
  <c r="D1062" i="9" s="1"/>
  <c r="D1086" i="9" s="1"/>
  <c r="D1110" i="9" s="1"/>
  <c r="D1134" i="9" s="1"/>
  <c r="D1158" i="9" s="1"/>
  <c r="C54" i="9"/>
  <c r="B54" i="9"/>
  <c r="E53" i="9"/>
  <c r="D53" i="9"/>
  <c r="D77" i="9" s="1"/>
  <c r="D101" i="9" s="1"/>
  <c r="D125" i="9" s="1"/>
  <c r="D149" i="9" s="1"/>
  <c r="D173" i="9" s="1"/>
  <c r="D197" i="9" s="1"/>
  <c r="D221" i="9" s="1"/>
  <c r="D245" i="9" s="1"/>
  <c r="D269" i="9" s="1"/>
  <c r="D293" i="9" s="1"/>
  <c r="D317" i="9" s="1"/>
  <c r="D341" i="9" s="1"/>
  <c r="D365" i="9" s="1"/>
  <c r="D389" i="9" s="1"/>
  <c r="D413" i="9" s="1"/>
  <c r="D437" i="9" s="1"/>
  <c r="D461" i="9" s="1"/>
  <c r="D485" i="9" s="1"/>
  <c r="D509" i="9" s="1"/>
  <c r="D533" i="9" s="1"/>
  <c r="D557" i="9" s="1"/>
  <c r="D581" i="9" s="1"/>
  <c r="D605" i="9" s="1"/>
  <c r="D629" i="9" s="1"/>
  <c r="D653" i="9" s="1"/>
  <c r="D677" i="9" s="1"/>
  <c r="D701" i="9" s="1"/>
  <c r="D725" i="9" s="1"/>
  <c r="D749" i="9" s="1"/>
  <c r="D773" i="9" s="1"/>
  <c r="D797" i="9" s="1"/>
  <c r="D821" i="9" s="1"/>
  <c r="D845" i="9" s="1"/>
  <c r="D869" i="9" s="1"/>
  <c r="D893" i="9" s="1"/>
  <c r="D917" i="9" s="1"/>
  <c r="D941" i="9" s="1"/>
  <c r="D965" i="9" s="1"/>
  <c r="D989" i="9" s="1"/>
  <c r="D1013" i="9" s="1"/>
  <c r="D1037" i="9" s="1"/>
  <c r="D1061" i="9" s="1"/>
  <c r="D1085" i="9" s="1"/>
  <c r="D1109" i="9" s="1"/>
  <c r="D1133" i="9" s="1"/>
  <c r="D1157" i="9" s="1"/>
  <c r="D1181" i="9" s="1"/>
  <c r="E52" i="9"/>
  <c r="D52" i="9"/>
  <c r="E51" i="9"/>
  <c r="D51" i="9"/>
  <c r="D75" i="9" s="1"/>
  <c r="D99" i="9" s="1"/>
  <c r="D123" i="9" s="1"/>
  <c r="D147" i="9" s="1"/>
  <c r="D171" i="9" s="1"/>
  <c r="D195" i="9" s="1"/>
  <c r="D219" i="9" s="1"/>
  <c r="D243" i="9" s="1"/>
  <c r="D267" i="9" s="1"/>
  <c r="D291" i="9" s="1"/>
  <c r="D315" i="9" s="1"/>
  <c r="D339" i="9" s="1"/>
  <c r="D363" i="9" s="1"/>
  <c r="D387" i="9" s="1"/>
  <c r="D411" i="9" s="1"/>
  <c r="D435" i="9" s="1"/>
  <c r="D459" i="9" s="1"/>
  <c r="D483" i="9" s="1"/>
  <c r="D507" i="9" s="1"/>
  <c r="D531" i="9" s="1"/>
  <c r="D555" i="9" s="1"/>
  <c r="D579" i="9" s="1"/>
  <c r="D603" i="9" s="1"/>
  <c r="D627" i="9" s="1"/>
  <c r="D651" i="9" s="1"/>
  <c r="D675" i="9" s="1"/>
  <c r="D699" i="9" s="1"/>
  <c r="D723" i="9" s="1"/>
  <c r="D747" i="9" s="1"/>
  <c r="D771" i="9" s="1"/>
  <c r="D795" i="9" s="1"/>
  <c r="D819" i="9" s="1"/>
  <c r="D843" i="9" s="1"/>
  <c r="D867" i="9" s="1"/>
  <c r="D891" i="9" s="1"/>
  <c r="D915" i="9" s="1"/>
  <c r="D939" i="9" s="1"/>
  <c r="D963" i="9" s="1"/>
  <c r="D987" i="9" s="1"/>
  <c r="D1011" i="9" s="1"/>
  <c r="D1035" i="9" s="1"/>
  <c r="D1059" i="9" s="1"/>
  <c r="D1083" i="9" s="1"/>
  <c r="D1107" i="9" s="1"/>
  <c r="D1131" i="9" s="1"/>
  <c r="D1155" i="9" s="1"/>
  <c r="D1179" i="9" s="1"/>
  <c r="E50" i="9"/>
  <c r="D50" i="9"/>
  <c r="E49" i="9"/>
  <c r="D49" i="9"/>
  <c r="D73" i="9" s="1"/>
  <c r="D97" i="9" s="1"/>
  <c r="D121" i="9" s="1"/>
  <c r="D145" i="9" s="1"/>
  <c r="D169" i="9" s="1"/>
  <c r="D193" i="9" s="1"/>
  <c r="D217" i="9" s="1"/>
  <c r="D241" i="9" s="1"/>
  <c r="D265" i="9" s="1"/>
  <c r="D289" i="9" s="1"/>
  <c r="D313" i="9" s="1"/>
  <c r="D337" i="9" s="1"/>
  <c r="D361" i="9" s="1"/>
  <c r="D385" i="9" s="1"/>
  <c r="D409" i="9" s="1"/>
  <c r="D433" i="9" s="1"/>
  <c r="D457" i="9" s="1"/>
  <c r="D481" i="9" s="1"/>
  <c r="D505" i="9" s="1"/>
  <c r="D529" i="9" s="1"/>
  <c r="D553" i="9" s="1"/>
  <c r="D577" i="9" s="1"/>
  <c r="D601" i="9" s="1"/>
  <c r="D625" i="9" s="1"/>
  <c r="D649" i="9" s="1"/>
  <c r="D673" i="9" s="1"/>
  <c r="D697" i="9" s="1"/>
  <c r="D721" i="9" s="1"/>
  <c r="D745" i="9" s="1"/>
  <c r="D769" i="9" s="1"/>
  <c r="D793" i="9" s="1"/>
  <c r="D817" i="9" s="1"/>
  <c r="D841" i="9" s="1"/>
  <c r="D865" i="9" s="1"/>
  <c r="D889" i="9" s="1"/>
  <c r="D913" i="9" s="1"/>
  <c r="D937" i="9" s="1"/>
  <c r="D961" i="9" s="1"/>
  <c r="D985" i="9" s="1"/>
  <c r="D1009" i="9" s="1"/>
  <c r="D1033" i="9" s="1"/>
  <c r="D1057" i="9" s="1"/>
  <c r="D1081" i="9" s="1"/>
  <c r="D1105" i="9" s="1"/>
  <c r="D1129" i="9" s="1"/>
  <c r="D1153" i="9" s="1"/>
  <c r="D1177" i="9" s="1"/>
  <c r="E48" i="9"/>
  <c r="D48" i="9"/>
  <c r="E47" i="9"/>
  <c r="D47" i="9"/>
  <c r="D71" i="9" s="1"/>
  <c r="D95" i="9" s="1"/>
  <c r="D119" i="9" s="1"/>
  <c r="D143" i="9" s="1"/>
  <c r="D167" i="9" s="1"/>
  <c r="D191" i="9" s="1"/>
  <c r="D215" i="9" s="1"/>
  <c r="D239" i="9" s="1"/>
  <c r="D263" i="9" s="1"/>
  <c r="D287" i="9" s="1"/>
  <c r="D311" i="9" s="1"/>
  <c r="D335" i="9" s="1"/>
  <c r="D359" i="9" s="1"/>
  <c r="D383" i="9" s="1"/>
  <c r="D407" i="9" s="1"/>
  <c r="D431" i="9" s="1"/>
  <c r="D455" i="9" s="1"/>
  <c r="D479" i="9" s="1"/>
  <c r="D503" i="9" s="1"/>
  <c r="D527" i="9" s="1"/>
  <c r="D551" i="9" s="1"/>
  <c r="D575" i="9" s="1"/>
  <c r="D599" i="9" s="1"/>
  <c r="D623" i="9" s="1"/>
  <c r="D647" i="9" s="1"/>
  <c r="D671" i="9" s="1"/>
  <c r="D695" i="9" s="1"/>
  <c r="D719" i="9" s="1"/>
  <c r="D743" i="9" s="1"/>
  <c r="D767" i="9" s="1"/>
  <c r="D791" i="9" s="1"/>
  <c r="D815" i="9" s="1"/>
  <c r="D839" i="9" s="1"/>
  <c r="D863" i="9" s="1"/>
  <c r="D887" i="9" s="1"/>
  <c r="D911" i="9" s="1"/>
  <c r="D935" i="9" s="1"/>
  <c r="D959" i="9" s="1"/>
  <c r="D983" i="9" s="1"/>
  <c r="D1007" i="9" s="1"/>
  <c r="D1031" i="9" s="1"/>
  <c r="D1055" i="9" s="1"/>
  <c r="D1079" i="9" s="1"/>
  <c r="D1103" i="9" s="1"/>
  <c r="D1127" i="9" s="1"/>
  <c r="D1151" i="9" s="1"/>
  <c r="D1175" i="9" s="1"/>
  <c r="E46" i="9"/>
  <c r="D46" i="9"/>
  <c r="E45" i="9"/>
  <c r="D45" i="9"/>
  <c r="D69" i="9" s="1"/>
  <c r="D93" i="9" s="1"/>
  <c r="D117" i="9" s="1"/>
  <c r="D141" i="9" s="1"/>
  <c r="D165" i="9" s="1"/>
  <c r="D189" i="9" s="1"/>
  <c r="D213" i="9" s="1"/>
  <c r="D237" i="9" s="1"/>
  <c r="D261" i="9" s="1"/>
  <c r="D285" i="9" s="1"/>
  <c r="D309" i="9" s="1"/>
  <c r="D333" i="9" s="1"/>
  <c r="D357" i="9" s="1"/>
  <c r="D381" i="9" s="1"/>
  <c r="D405" i="9" s="1"/>
  <c r="D429" i="9" s="1"/>
  <c r="D453" i="9" s="1"/>
  <c r="D477" i="9" s="1"/>
  <c r="D501" i="9" s="1"/>
  <c r="D525" i="9" s="1"/>
  <c r="D549" i="9" s="1"/>
  <c r="D573" i="9" s="1"/>
  <c r="D597" i="9" s="1"/>
  <c r="D621" i="9" s="1"/>
  <c r="D645" i="9" s="1"/>
  <c r="D669" i="9" s="1"/>
  <c r="D693" i="9" s="1"/>
  <c r="D717" i="9" s="1"/>
  <c r="D741" i="9" s="1"/>
  <c r="D765" i="9" s="1"/>
  <c r="D789" i="9" s="1"/>
  <c r="D813" i="9" s="1"/>
  <c r="D837" i="9" s="1"/>
  <c r="D861" i="9" s="1"/>
  <c r="D885" i="9" s="1"/>
  <c r="D909" i="9" s="1"/>
  <c r="D933" i="9" s="1"/>
  <c r="D957" i="9" s="1"/>
  <c r="D981" i="9" s="1"/>
  <c r="D1005" i="9" s="1"/>
  <c r="D1029" i="9" s="1"/>
  <c r="D1053" i="9" s="1"/>
  <c r="D1077" i="9" s="1"/>
  <c r="D1101" i="9" s="1"/>
  <c r="D1125" i="9" s="1"/>
  <c r="D1149" i="9" s="1"/>
  <c r="D1173" i="9" s="1"/>
  <c r="E44" i="9"/>
  <c r="D44" i="9"/>
  <c r="E43" i="9"/>
  <c r="D43" i="9"/>
  <c r="D67" i="9" s="1"/>
  <c r="D91" i="9" s="1"/>
  <c r="D115" i="9" s="1"/>
  <c r="D139" i="9" s="1"/>
  <c r="D163" i="9" s="1"/>
  <c r="D187" i="9" s="1"/>
  <c r="D211" i="9" s="1"/>
  <c r="D235" i="9" s="1"/>
  <c r="D259" i="9" s="1"/>
  <c r="D283" i="9" s="1"/>
  <c r="D307" i="9" s="1"/>
  <c r="D331" i="9" s="1"/>
  <c r="D355" i="9" s="1"/>
  <c r="D379" i="9" s="1"/>
  <c r="D403" i="9" s="1"/>
  <c r="D427" i="9" s="1"/>
  <c r="D451" i="9" s="1"/>
  <c r="D475" i="9" s="1"/>
  <c r="D499" i="9" s="1"/>
  <c r="D523" i="9" s="1"/>
  <c r="D547" i="9" s="1"/>
  <c r="D571" i="9" s="1"/>
  <c r="D595" i="9" s="1"/>
  <c r="D619" i="9" s="1"/>
  <c r="D643" i="9" s="1"/>
  <c r="D667" i="9" s="1"/>
  <c r="D691" i="9" s="1"/>
  <c r="D715" i="9" s="1"/>
  <c r="D739" i="9" s="1"/>
  <c r="D763" i="9" s="1"/>
  <c r="D787" i="9" s="1"/>
  <c r="D811" i="9" s="1"/>
  <c r="D835" i="9" s="1"/>
  <c r="D859" i="9" s="1"/>
  <c r="D883" i="9" s="1"/>
  <c r="D907" i="9" s="1"/>
  <c r="D931" i="9" s="1"/>
  <c r="D955" i="9" s="1"/>
  <c r="D979" i="9" s="1"/>
  <c r="D1003" i="9" s="1"/>
  <c r="D1027" i="9" s="1"/>
  <c r="D1051" i="9" s="1"/>
  <c r="D1075" i="9" s="1"/>
  <c r="D1099" i="9" s="1"/>
  <c r="D1123" i="9" s="1"/>
  <c r="D1147" i="9" s="1"/>
  <c r="D1171" i="9" s="1"/>
  <c r="E42" i="9"/>
  <c r="D42" i="9"/>
  <c r="E41" i="9"/>
  <c r="D41" i="9"/>
  <c r="D65" i="9" s="1"/>
  <c r="D89" i="9" s="1"/>
  <c r="D113" i="9" s="1"/>
  <c r="D137" i="9" s="1"/>
  <c r="D161" i="9" s="1"/>
  <c r="D185" i="9" s="1"/>
  <c r="D209" i="9" s="1"/>
  <c r="D233" i="9" s="1"/>
  <c r="D257" i="9" s="1"/>
  <c r="D281" i="9" s="1"/>
  <c r="D305" i="9" s="1"/>
  <c r="D329" i="9" s="1"/>
  <c r="D353" i="9" s="1"/>
  <c r="D377" i="9" s="1"/>
  <c r="D401" i="9" s="1"/>
  <c r="D425" i="9" s="1"/>
  <c r="D449" i="9" s="1"/>
  <c r="D473" i="9" s="1"/>
  <c r="D497" i="9" s="1"/>
  <c r="D521" i="9" s="1"/>
  <c r="D545" i="9" s="1"/>
  <c r="D569" i="9" s="1"/>
  <c r="D593" i="9" s="1"/>
  <c r="D617" i="9" s="1"/>
  <c r="D641" i="9" s="1"/>
  <c r="D665" i="9" s="1"/>
  <c r="D689" i="9" s="1"/>
  <c r="D713" i="9" s="1"/>
  <c r="D737" i="9" s="1"/>
  <c r="D761" i="9" s="1"/>
  <c r="D785" i="9" s="1"/>
  <c r="D809" i="9" s="1"/>
  <c r="D833" i="9" s="1"/>
  <c r="D857" i="9" s="1"/>
  <c r="D881" i="9" s="1"/>
  <c r="D905" i="9" s="1"/>
  <c r="D929" i="9" s="1"/>
  <c r="D953" i="9" s="1"/>
  <c r="D977" i="9" s="1"/>
  <c r="D1001" i="9" s="1"/>
  <c r="D1025" i="9" s="1"/>
  <c r="D1049" i="9" s="1"/>
  <c r="D1073" i="9" s="1"/>
  <c r="D1097" i="9" s="1"/>
  <c r="D1121" i="9" s="1"/>
  <c r="D1145" i="9" s="1"/>
  <c r="D1169" i="9" s="1"/>
  <c r="E40" i="9"/>
  <c r="D40" i="9"/>
  <c r="E39" i="9"/>
  <c r="D39" i="9"/>
  <c r="D63" i="9" s="1"/>
  <c r="D87" i="9" s="1"/>
  <c r="D111" i="9" s="1"/>
  <c r="D135" i="9" s="1"/>
  <c r="D159" i="9" s="1"/>
  <c r="D183" i="9" s="1"/>
  <c r="D207" i="9" s="1"/>
  <c r="D231" i="9" s="1"/>
  <c r="D255" i="9" s="1"/>
  <c r="D279" i="9" s="1"/>
  <c r="D303" i="9" s="1"/>
  <c r="D327" i="9" s="1"/>
  <c r="D351" i="9" s="1"/>
  <c r="D375" i="9" s="1"/>
  <c r="D399" i="9" s="1"/>
  <c r="D423" i="9" s="1"/>
  <c r="D447" i="9" s="1"/>
  <c r="D471" i="9" s="1"/>
  <c r="D495" i="9" s="1"/>
  <c r="D519" i="9" s="1"/>
  <c r="D543" i="9" s="1"/>
  <c r="D567" i="9" s="1"/>
  <c r="D591" i="9" s="1"/>
  <c r="D615" i="9" s="1"/>
  <c r="D639" i="9" s="1"/>
  <c r="D663" i="9" s="1"/>
  <c r="D687" i="9" s="1"/>
  <c r="D711" i="9" s="1"/>
  <c r="D735" i="9" s="1"/>
  <c r="D759" i="9" s="1"/>
  <c r="D783" i="9" s="1"/>
  <c r="D807" i="9" s="1"/>
  <c r="D831" i="9" s="1"/>
  <c r="D855" i="9" s="1"/>
  <c r="D879" i="9" s="1"/>
  <c r="D903" i="9" s="1"/>
  <c r="D927" i="9" s="1"/>
  <c r="D951" i="9" s="1"/>
  <c r="D975" i="9" s="1"/>
  <c r="D999" i="9" s="1"/>
  <c r="D1023" i="9" s="1"/>
  <c r="D1047" i="9" s="1"/>
  <c r="D1071" i="9" s="1"/>
  <c r="D1095" i="9" s="1"/>
  <c r="D1119" i="9" s="1"/>
  <c r="D1143" i="9" s="1"/>
  <c r="D1167" i="9" s="1"/>
  <c r="E38" i="9"/>
  <c r="D38" i="9"/>
  <c r="E37" i="9"/>
  <c r="D37" i="9"/>
  <c r="D61" i="9" s="1"/>
  <c r="D85" i="9" s="1"/>
  <c r="D109" i="9" s="1"/>
  <c r="D133" i="9" s="1"/>
  <c r="D157" i="9" s="1"/>
  <c r="D181" i="9" s="1"/>
  <c r="D205" i="9" s="1"/>
  <c r="D229" i="9" s="1"/>
  <c r="D253" i="9" s="1"/>
  <c r="D277" i="9" s="1"/>
  <c r="D301" i="9" s="1"/>
  <c r="D325" i="9" s="1"/>
  <c r="D349" i="9" s="1"/>
  <c r="D373" i="9" s="1"/>
  <c r="D397" i="9" s="1"/>
  <c r="D421" i="9" s="1"/>
  <c r="D445" i="9" s="1"/>
  <c r="D469" i="9" s="1"/>
  <c r="D493" i="9" s="1"/>
  <c r="D517" i="9" s="1"/>
  <c r="D541" i="9" s="1"/>
  <c r="D565" i="9" s="1"/>
  <c r="D589" i="9" s="1"/>
  <c r="D613" i="9" s="1"/>
  <c r="D637" i="9" s="1"/>
  <c r="D661" i="9" s="1"/>
  <c r="D685" i="9" s="1"/>
  <c r="D709" i="9" s="1"/>
  <c r="D733" i="9" s="1"/>
  <c r="D757" i="9" s="1"/>
  <c r="D781" i="9" s="1"/>
  <c r="D805" i="9" s="1"/>
  <c r="D829" i="9" s="1"/>
  <c r="D853" i="9" s="1"/>
  <c r="D877" i="9" s="1"/>
  <c r="D901" i="9" s="1"/>
  <c r="D925" i="9" s="1"/>
  <c r="D949" i="9" s="1"/>
  <c r="D973" i="9" s="1"/>
  <c r="D997" i="9" s="1"/>
  <c r="D1021" i="9" s="1"/>
  <c r="D1045" i="9" s="1"/>
  <c r="D1069" i="9" s="1"/>
  <c r="D1093" i="9" s="1"/>
  <c r="D1117" i="9" s="1"/>
  <c r="D1141" i="9" s="1"/>
  <c r="D1165" i="9" s="1"/>
  <c r="E36" i="9"/>
  <c r="D36" i="9"/>
  <c r="E35" i="9"/>
  <c r="D35" i="9"/>
  <c r="D59" i="9" s="1"/>
  <c r="D83" i="9" s="1"/>
  <c r="D107" i="9" s="1"/>
  <c r="D131" i="9" s="1"/>
  <c r="D155" i="9" s="1"/>
  <c r="D179" i="9" s="1"/>
  <c r="D203" i="9" s="1"/>
  <c r="D227" i="9" s="1"/>
  <c r="D251" i="9" s="1"/>
  <c r="D275" i="9" s="1"/>
  <c r="D299" i="9" s="1"/>
  <c r="D323" i="9" s="1"/>
  <c r="D347" i="9" s="1"/>
  <c r="D371" i="9" s="1"/>
  <c r="D395" i="9" s="1"/>
  <c r="D419" i="9" s="1"/>
  <c r="D443" i="9" s="1"/>
  <c r="D467" i="9" s="1"/>
  <c r="D491" i="9" s="1"/>
  <c r="D515" i="9" s="1"/>
  <c r="D539" i="9" s="1"/>
  <c r="D563" i="9" s="1"/>
  <c r="D587" i="9" s="1"/>
  <c r="D611" i="9" s="1"/>
  <c r="D635" i="9" s="1"/>
  <c r="D659" i="9" s="1"/>
  <c r="D683" i="9" s="1"/>
  <c r="D707" i="9" s="1"/>
  <c r="D731" i="9" s="1"/>
  <c r="D755" i="9" s="1"/>
  <c r="D779" i="9" s="1"/>
  <c r="D803" i="9" s="1"/>
  <c r="D827" i="9" s="1"/>
  <c r="D851" i="9" s="1"/>
  <c r="D875" i="9" s="1"/>
  <c r="D899" i="9" s="1"/>
  <c r="D923" i="9" s="1"/>
  <c r="D947" i="9" s="1"/>
  <c r="D971" i="9" s="1"/>
  <c r="D995" i="9" s="1"/>
  <c r="D1019" i="9" s="1"/>
  <c r="D1043" i="9" s="1"/>
  <c r="D1067" i="9" s="1"/>
  <c r="D1091" i="9" s="1"/>
  <c r="D1115" i="9" s="1"/>
  <c r="D1139" i="9" s="1"/>
  <c r="D1163" i="9" s="1"/>
  <c r="E34" i="9"/>
  <c r="D34" i="9"/>
  <c r="E33" i="9"/>
  <c r="D33" i="9"/>
  <c r="D57" i="9" s="1"/>
  <c r="D81" i="9" s="1"/>
  <c r="D105" i="9" s="1"/>
  <c r="D129" i="9" s="1"/>
  <c r="D153" i="9" s="1"/>
  <c r="D177" i="9" s="1"/>
  <c r="D201" i="9" s="1"/>
  <c r="D225" i="9" s="1"/>
  <c r="D249" i="9" s="1"/>
  <c r="D273" i="9" s="1"/>
  <c r="D297" i="9" s="1"/>
  <c r="D321" i="9" s="1"/>
  <c r="D345" i="9" s="1"/>
  <c r="D369" i="9" s="1"/>
  <c r="D393" i="9" s="1"/>
  <c r="D417" i="9" s="1"/>
  <c r="D441" i="9" s="1"/>
  <c r="D465" i="9" s="1"/>
  <c r="D489" i="9" s="1"/>
  <c r="D513" i="9" s="1"/>
  <c r="D537" i="9" s="1"/>
  <c r="D561" i="9" s="1"/>
  <c r="D585" i="9" s="1"/>
  <c r="D609" i="9" s="1"/>
  <c r="D633" i="9" s="1"/>
  <c r="D657" i="9" s="1"/>
  <c r="D681" i="9" s="1"/>
  <c r="D705" i="9" s="1"/>
  <c r="D729" i="9" s="1"/>
  <c r="D753" i="9" s="1"/>
  <c r="D777" i="9" s="1"/>
  <c r="D801" i="9" s="1"/>
  <c r="D825" i="9" s="1"/>
  <c r="D849" i="9" s="1"/>
  <c r="D873" i="9" s="1"/>
  <c r="D897" i="9" s="1"/>
  <c r="D921" i="9" s="1"/>
  <c r="D945" i="9" s="1"/>
  <c r="D969" i="9" s="1"/>
  <c r="D993" i="9" s="1"/>
  <c r="D1017" i="9" s="1"/>
  <c r="D1041" i="9" s="1"/>
  <c r="D1065" i="9" s="1"/>
  <c r="D1089" i="9" s="1"/>
  <c r="D1113" i="9" s="1"/>
  <c r="D1137" i="9" s="1"/>
  <c r="D1161" i="9" s="1"/>
  <c r="E32" i="9"/>
  <c r="D32" i="9"/>
  <c r="E31" i="9"/>
  <c r="D31" i="9"/>
  <c r="D55" i="9" s="1"/>
  <c r="D79" i="9" s="1"/>
  <c r="D103" i="9" s="1"/>
  <c r="D127" i="9" s="1"/>
  <c r="D151" i="9" s="1"/>
  <c r="D175" i="9" s="1"/>
  <c r="D199" i="9" s="1"/>
  <c r="D223" i="9" s="1"/>
  <c r="D247" i="9" s="1"/>
  <c r="D271" i="9" s="1"/>
  <c r="D295" i="9" s="1"/>
  <c r="D319" i="9" s="1"/>
  <c r="D343" i="9" s="1"/>
  <c r="D367" i="9" s="1"/>
  <c r="D391" i="9" s="1"/>
  <c r="D415" i="9" s="1"/>
  <c r="D439" i="9" s="1"/>
  <c r="D463" i="9" s="1"/>
  <c r="D487" i="9" s="1"/>
  <c r="D511" i="9" s="1"/>
  <c r="D535" i="9" s="1"/>
  <c r="D559" i="9" s="1"/>
  <c r="D583" i="9" s="1"/>
  <c r="D607" i="9" s="1"/>
  <c r="D631" i="9" s="1"/>
  <c r="D655" i="9" s="1"/>
  <c r="D679" i="9" s="1"/>
  <c r="D703" i="9" s="1"/>
  <c r="D727" i="9" s="1"/>
  <c r="D751" i="9" s="1"/>
  <c r="D775" i="9" s="1"/>
  <c r="D799" i="9" s="1"/>
  <c r="D823" i="9" s="1"/>
  <c r="D847" i="9" s="1"/>
  <c r="D871" i="9" s="1"/>
  <c r="D895" i="9" s="1"/>
  <c r="D919" i="9" s="1"/>
  <c r="D943" i="9" s="1"/>
  <c r="D967" i="9" s="1"/>
  <c r="D991" i="9" s="1"/>
  <c r="D1015" i="9" s="1"/>
  <c r="D1039" i="9" s="1"/>
  <c r="D1063" i="9" s="1"/>
  <c r="D1087" i="9" s="1"/>
  <c r="D1111" i="9" s="1"/>
  <c r="D1135" i="9" s="1"/>
  <c r="D1159" i="9" s="1"/>
  <c r="E30" i="9"/>
  <c r="C30" i="9"/>
  <c r="B30" i="9"/>
  <c r="E1181" i="10"/>
  <c r="E1180" i="10"/>
  <c r="E1179" i="10"/>
  <c r="E1178" i="10"/>
  <c r="E1177" i="10"/>
  <c r="E1176" i="10"/>
  <c r="E1175" i="10"/>
  <c r="E1174" i="10"/>
  <c r="E1173" i="10"/>
  <c r="E1172" i="10"/>
  <c r="E1171" i="10"/>
  <c r="E1170" i="10"/>
  <c r="E1169" i="10"/>
  <c r="E1168" i="10"/>
  <c r="E1167" i="10"/>
  <c r="E1166" i="10"/>
  <c r="E1165" i="10"/>
  <c r="E1164" i="10"/>
  <c r="E1163" i="10"/>
  <c r="E1162" i="10"/>
  <c r="E1161" i="10"/>
  <c r="E1160" i="10"/>
  <c r="E1159" i="10"/>
  <c r="E1158" i="10"/>
  <c r="C1158" i="10"/>
  <c r="E1157" i="10"/>
  <c r="E1156" i="10"/>
  <c r="E1155" i="10"/>
  <c r="E1154" i="10"/>
  <c r="E1153" i="10"/>
  <c r="E1152" i="10"/>
  <c r="E1151" i="10"/>
  <c r="E1150" i="10"/>
  <c r="E1149" i="10"/>
  <c r="E1148" i="10"/>
  <c r="E1147" i="10"/>
  <c r="E1146" i="10"/>
  <c r="E1145" i="10"/>
  <c r="E1144" i="10"/>
  <c r="E1143" i="10"/>
  <c r="E1142" i="10"/>
  <c r="E1141" i="10"/>
  <c r="E1140" i="10"/>
  <c r="E1139" i="10"/>
  <c r="E1138" i="10"/>
  <c r="E1137" i="10"/>
  <c r="E1136" i="10"/>
  <c r="E1135" i="10"/>
  <c r="E1134" i="10"/>
  <c r="C1134" i="10"/>
  <c r="B1134" i="10"/>
  <c r="E1133" i="10"/>
  <c r="E1132" i="10"/>
  <c r="E1131" i="10"/>
  <c r="E1130" i="10"/>
  <c r="E1129" i="10"/>
  <c r="E1128" i="10"/>
  <c r="E1127" i="10"/>
  <c r="E1126" i="10"/>
  <c r="E1125" i="10"/>
  <c r="E1124" i="10"/>
  <c r="E1123" i="10"/>
  <c r="E1122" i="10"/>
  <c r="E1121" i="10"/>
  <c r="E1120" i="10"/>
  <c r="E1119" i="10"/>
  <c r="E1118" i="10"/>
  <c r="E1117" i="10"/>
  <c r="E1116" i="10"/>
  <c r="E1115" i="10"/>
  <c r="E1114" i="10"/>
  <c r="E1113" i="10"/>
  <c r="E1112" i="10"/>
  <c r="E1111" i="10"/>
  <c r="E1110" i="10"/>
  <c r="C1110" i="10"/>
  <c r="B1110" i="10"/>
  <c r="E1109" i="10"/>
  <c r="E1108" i="10"/>
  <c r="E1107" i="10"/>
  <c r="E1106" i="10"/>
  <c r="E1105" i="10"/>
  <c r="E1104" i="10"/>
  <c r="E1103" i="10"/>
  <c r="E1102" i="10"/>
  <c r="E1101" i="10"/>
  <c r="E1100" i="10"/>
  <c r="E1099" i="10"/>
  <c r="E1098" i="10"/>
  <c r="E1097" i="10"/>
  <c r="E1096" i="10"/>
  <c r="E1095" i="10"/>
  <c r="E1094" i="10"/>
  <c r="E1093" i="10"/>
  <c r="E1092" i="10"/>
  <c r="E1091" i="10"/>
  <c r="E1090" i="10"/>
  <c r="E1089" i="10"/>
  <c r="E1088" i="10"/>
  <c r="E1087" i="10"/>
  <c r="E1086" i="10"/>
  <c r="C1086" i="10"/>
  <c r="B1086" i="10"/>
  <c r="E1085" i="10"/>
  <c r="E1084" i="10"/>
  <c r="E1083" i="10"/>
  <c r="E1082" i="10"/>
  <c r="E1081" i="10"/>
  <c r="E1080" i="10"/>
  <c r="E1079" i="10"/>
  <c r="E1078" i="10"/>
  <c r="E1077" i="10"/>
  <c r="E1076" i="10"/>
  <c r="E1075" i="10"/>
  <c r="E1074" i="10"/>
  <c r="E1073" i="10"/>
  <c r="E1072" i="10"/>
  <c r="E1071" i="10"/>
  <c r="E1070" i="10"/>
  <c r="E1069" i="10"/>
  <c r="E1068" i="10"/>
  <c r="E1067" i="10"/>
  <c r="E1066" i="10"/>
  <c r="E1065" i="10"/>
  <c r="E1064" i="10"/>
  <c r="E1063" i="10"/>
  <c r="E1062" i="10"/>
  <c r="C1062" i="10"/>
  <c r="B1062" i="10"/>
  <c r="E1061" i="10"/>
  <c r="E1060" i="10"/>
  <c r="E1059" i="10"/>
  <c r="E1058" i="10"/>
  <c r="E1057" i="10"/>
  <c r="E1056" i="10"/>
  <c r="E1055" i="10"/>
  <c r="E1054" i="10"/>
  <c r="E1053" i="10"/>
  <c r="E1052" i="10"/>
  <c r="E1051" i="10"/>
  <c r="E1050" i="10"/>
  <c r="E1049" i="10"/>
  <c r="E1048" i="10"/>
  <c r="E1047" i="10"/>
  <c r="E1046" i="10"/>
  <c r="E1045" i="10"/>
  <c r="E1044" i="10"/>
  <c r="E1043" i="10"/>
  <c r="E1042" i="10"/>
  <c r="E1041" i="10"/>
  <c r="E1040" i="10"/>
  <c r="E1039" i="10"/>
  <c r="E1038" i="10"/>
  <c r="C1038" i="10"/>
  <c r="B1038" i="10"/>
  <c r="E1037" i="10"/>
  <c r="E1036" i="10"/>
  <c r="E1035" i="10"/>
  <c r="E1034" i="10"/>
  <c r="E1033" i="10"/>
  <c r="E1032" i="10"/>
  <c r="E1031" i="10"/>
  <c r="E1030" i="10"/>
  <c r="E1029" i="10"/>
  <c r="E1028" i="10"/>
  <c r="E1027" i="10"/>
  <c r="E1026" i="10"/>
  <c r="E1025" i="10"/>
  <c r="E1024" i="10"/>
  <c r="E1023" i="10"/>
  <c r="E1022" i="10"/>
  <c r="E1021" i="10"/>
  <c r="E1020" i="10"/>
  <c r="E1019" i="10"/>
  <c r="E1018" i="10"/>
  <c r="E1017" i="10"/>
  <c r="E1016" i="10"/>
  <c r="E1015" i="10"/>
  <c r="E1014" i="10"/>
  <c r="C1014" i="10"/>
  <c r="B1014" i="10"/>
  <c r="E1013" i="10"/>
  <c r="E1012" i="10"/>
  <c r="E1011" i="10"/>
  <c r="E1010" i="10"/>
  <c r="E1009" i="10"/>
  <c r="E1008" i="10"/>
  <c r="E1007" i="10"/>
  <c r="E1006" i="10"/>
  <c r="E1005" i="10"/>
  <c r="E1004" i="10"/>
  <c r="E1003" i="10"/>
  <c r="E1002" i="10"/>
  <c r="E1001" i="10"/>
  <c r="E1000" i="10"/>
  <c r="E999" i="10"/>
  <c r="E998" i="10"/>
  <c r="E997" i="10"/>
  <c r="E996" i="10"/>
  <c r="E995" i="10"/>
  <c r="E994" i="10"/>
  <c r="E993" i="10"/>
  <c r="E992" i="10"/>
  <c r="E991" i="10"/>
  <c r="E990" i="10"/>
  <c r="C990" i="10"/>
  <c r="B990" i="10"/>
  <c r="E989" i="10"/>
  <c r="E988" i="10"/>
  <c r="E987" i="10"/>
  <c r="E986" i="10"/>
  <c r="E985" i="10"/>
  <c r="E984" i="10"/>
  <c r="E983" i="10"/>
  <c r="E982" i="10"/>
  <c r="E981" i="10"/>
  <c r="E980" i="10"/>
  <c r="E979" i="10"/>
  <c r="E978" i="10"/>
  <c r="E977" i="10"/>
  <c r="E976" i="10"/>
  <c r="E975" i="10"/>
  <c r="E974" i="10"/>
  <c r="E973" i="10"/>
  <c r="E972" i="10"/>
  <c r="E971" i="10"/>
  <c r="E970" i="10"/>
  <c r="E969" i="10"/>
  <c r="E968" i="10"/>
  <c r="E967" i="10"/>
  <c r="E966" i="10"/>
  <c r="C966" i="10"/>
  <c r="B966" i="10"/>
  <c r="E965" i="10"/>
  <c r="E964" i="10"/>
  <c r="E963" i="10"/>
  <c r="E962" i="10"/>
  <c r="E961" i="10"/>
  <c r="E960" i="10"/>
  <c r="E959" i="10"/>
  <c r="E958" i="10"/>
  <c r="E957" i="10"/>
  <c r="E956" i="10"/>
  <c r="E955" i="10"/>
  <c r="E954" i="10"/>
  <c r="E953" i="10"/>
  <c r="E952" i="10"/>
  <c r="E951" i="10"/>
  <c r="E950" i="10"/>
  <c r="E949" i="10"/>
  <c r="E948" i="10"/>
  <c r="E947" i="10"/>
  <c r="E946" i="10"/>
  <c r="E945" i="10"/>
  <c r="E944" i="10"/>
  <c r="E943" i="10"/>
  <c r="E942" i="10"/>
  <c r="C942" i="10"/>
  <c r="B942" i="10"/>
  <c r="E941" i="10"/>
  <c r="E940" i="10"/>
  <c r="E939" i="10"/>
  <c r="E938" i="10"/>
  <c r="E937" i="10"/>
  <c r="E936" i="10"/>
  <c r="E935" i="10"/>
  <c r="E934" i="10"/>
  <c r="E933" i="10"/>
  <c r="E932" i="10"/>
  <c r="E931" i="10"/>
  <c r="E930" i="10"/>
  <c r="E929" i="10"/>
  <c r="E928" i="10"/>
  <c r="E927" i="10"/>
  <c r="E926" i="10"/>
  <c r="E925" i="10"/>
  <c r="E924" i="10"/>
  <c r="E923" i="10"/>
  <c r="E922" i="10"/>
  <c r="E921" i="10"/>
  <c r="E920" i="10"/>
  <c r="E919" i="10"/>
  <c r="E918" i="10"/>
  <c r="C918" i="10"/>
  <c r="B918" i="10"/>
  <c r="E917" i="10"/>
  <c r="E916" i="10"/>
  <c r="E915" i="10"/>
  <c r="E914" i="10"/>
  <c r="E913" i="10"/>
  <c r="E912" i="10"/>
  <c r="E911" i="10"/>
  <c r="E910" i="10"/>
  <c r="E909" i="10"/>
  <c r="E908" i="10"/>
  <c r="E907" i="10"/>
  <c r="E906" i="10"/>
  <c r="E905" i="10"/>
  <c r="E904" i="10"/>
  <c r="E903" i="10"/>
  <c r="E902" i="10"/>
  <c r="E901" i="10"/>
  <c r="E900" i="10"/>
  <c r="E899" i="10"/>
  <c r="E898" i="10"/>
  <c r="E897" i="10"/>
  <c r="E896" i="10"/>
  <c r="E895" i="10"/>
  <c r="E894" i="10"/>
  <c r="C894" i="10"/>
  <c r="B894" i="10"/>
  <c r="E893" i="10"/>
  <c r="E892" i="10"/>
  <c r="E891" i="10"/>
  <c r="E890" i="10"/>
  <c r="E889" i="10"/>
  <c r="E888" i="10"/>
  <c r="E887" i="10"/>
  <c r="E886" i="10"/>
  <c r="E885" i="10"/>
  <c r="E884" i="10"/>
  <c r="E883" i="10"/>
  <c r="E882" i="10"/>
  <c r="E881" i="10"/>
  <c r="E880" i="10"/>
  <c r="E879" i="10"/>
  <c r="E878" i="10"/>
  <c r="E877" i="10"/>
  <c r="E876" i="10"/>
  <c r="E875" i="10"/>
  <c r="E874" i="10"/>
  <c r="E873" i="10"/>
  <c r="E872" i="10"/>
  <c r="E871" i="10"/>
  <c r="E870" i="10"/>
  <c r="C870" i="10"/>
  <c r="B870" i="10"/>
  <c r="E869" i="10"/>
  <c r="E868" i="10"/>
  <c r="E867" i="10"/>
  <c r="E866" i="10"/>
  <c r="E865" i="10"/>
  <c r="E864" i="10"/>
  <c r="E863" i="10"/>
  <c r="E862" i="10"/>
  <c r="E861" i="10"/>
  <c r="E860" i="10"/>
  <c r="E859" i="10"/>
  <c r="E858" i="10"/>
  <c r="E857" i="10"/>
  <c r="E856" i="10"/>
  <c r="E855" i="10"/>
  <c r="E854" i="10"/>
  <c r="E853" i="10"/>
  <c r="E852" i="10"/>
  <c r="E851" i="10"/>
  <c r="E850" i="10"/>
  <c r="E849" i="10"/>
  <c r="E848" i="10"/>
  <c r="E847" i="10"/>
  <c r="E846" i="10"/>
  <c r="C846" i="10"/>
  <c r="B846" i="10"/>
  <c r="E845" i="10"/>
  <c r="E844" i="10"/>
  <c r="E843" i="10"/>
  <c r="E842" i="10"/>
  <c r="E841" i="10"/>
  <c r="E840" i="10"/>
  <c r="E839" i="10"/>
  <c r="E838" i="10"/>
  <c r="E837" i="10"/>
  <c r="E836" i="10"/>
  <c r="E835" i="10"/>
  <c r="E834" i="10"/>
  <c r="E833" i="10"/>
  <c r="E832" i="10"/>
  <c r="E831" i="10"/>
  <c r="E830" i="10"/>
  <c r="E829" i="10"/>
  <c r="E828" i="10"/>
  <c r="E827" i="10"/>
  <c r="E826" i="10"/>
  <c r="E825" i="10"/>
  <c r="E824" i="10"/>
  <c r="E823" i="10"/>
  <c r="E822" i="10"/>
  <c r="C822" i="10"/>
  <c r="B822" i="10"/>
  <c r="E821" i="10"/>
  <c r="E820" i="10"/>
  <c r="E819" i="10"/>
  <c r="E818" i="10"/>
  <c r="E817" i="10"/>
  <c r="E816" i="10"/>
  <c r="E815" i="10"/>
  <c r="E814" i="10"/>
  <c r="E813" i="10"/>
  <c r="E812" i="10"/>
  <c r="E811" i="10"/>
  <c r="E810" i="10"/>
  <c r="E809" i="10"/>
  <c r="E808" i="10"/>
  <c r="E807" i="10"/>
  <c r="E806" i="10"/>
  <c r="E805" i="10"/>
  <c r="E804" i="10"/>
  <c r="E803" i="10"/>
  <c r="E802" i="10"/>
  <c r="E801" i="10"/>
  <c r="E800" i="10"/>
  <c r="E799" i="10"/>
  <c r="E798" i="10"/>
  <c r="C798" i="10"/>
  <c r="B798" i="10"/>
  <c r="E797" i="10"/>
  <c r="E796" i="10"/>
  <c r="E795" i="10"/>
  <c r="E794" i="10"/>
  <c r="E793" i="10"/>
  <c r="E792" i="10"/>
  <c r="E791" i="10"/>
  <c r="E790" i="10"/>
  <c r="E789" i="10"/>
  <c r="E788" i="10"/>
  <c r="E787" i="10"/>
  <c r="E786" i="10"/>
  <c r="E785" i="10"/>
  <c r="E784" i="10"/>
  <c r="E783" i="10"/>
  <c r="E782" i="10"/>
  <c r="E781" i="10"/>
  <c r="E780" i="10"/>
  <c r="E779" i="10"/>
  <c r="E778" i="10"/>
  <c r="E777" i="10"/>
  <c r="E776" i="10"/>
  <c r="E775" i="10"/>
  <c r="E774" i="10"/>
  <c r="C774" i="10"/>
  <c r="B774" i="10"/>
  <c r="E773" i="10"/>
  <c r="E772" i="10"/>
  <c r="E771" i="10"/>
  <c r="E770" i="10"/>
  <c r="E769" i="10"/>
  <c r="E768" i="10"/>
  <c r="E767" i="10"/>
  <c r="E766" i="10"/>
  <c r="E765" i="10"/>
  <c r="E764" i="10"/>
  <c r="E763" i="10"/>
  <c r="E762" i="10"/>
  <c r="E761" i="10"/>
  <c r="E760" i="10"/>
  <c r="E759" i="10"/>
  <c r="E758" i="10"/>
  <c r="E757" i="10"/>
  <c r="E756" i="10"/>
  <c r="E755" i="10"/>
  <c r="E754" i="10"/>
  <c r="E753" i="10"/>
  <c r="E752" i="10"/>
  <c r="E751" i="10"/>
  <c r="E750" i="10"/>
  <c r="C750" i="10"/>
  <c r="B750" i="10"/>
  <c r="E749" i="10"/>
  <c r="E748" i="10"/>
  <c r="E747" i="10"/>
  <c r="E746" i="10"/>
  <c r="E745" i="10"/>
  <c r="E744" i="10"/>
  <c r="E743" i="10"/>
  <c r="E742" i="10"/>
  <c r="E741" i="10"/>
  <c r="E740" i="10"/>
  <c r="E739" i="10"/>
  <c r="E738" i="10"/>
  <c r="E737" i="10"/>
  <c r="E736" i="10"/>
  <c r="E735" i="10"/>
  <c r="E734" i="10"/>
  <c r="E733" i="10"/>
  <c r="E732" i="10"/>
  <c r="E731" i="10"/>
  <c r="E730" i="10"/>
  <c r="E729" i="10"/>
  <c r="E728" i="10"/>
  <c r="E727" i="10"/>
  <c r="E726" i="10"/>
  <c r="C726" i="10"/>
  <c r="B726" i="10"/>
  <c r="E725" i="10"/>
  <c r="E724" i="10"/>
  <c r="E723" i="10"/>
  <c r="E722" i="10"/>
  <c r="E721" i="10"/>
  <c r="E720" i="10"/>
  <c r="E719" i="10"/>
  <c r="E718" i="10"/>
  <c r="E717" i="10"/>
  <c r="E716" i="10"/>
  <c r="E715" i="10"/>
  <c r="E714" i="10"/>
  <c r="E713" i="10"/>
  <c r="E712" i="10"/>
  <c r="E711" i="10"/>
  <c r="E710" i="10"/>
  <c r="E709" i="10"/>
  <c r="E708" i="10"/>
  <c r="E707" i="10"/>
  <c r="E706" i="10"/>
  <c r="E705" i="10"/>
  <c r="E704" i="10"/>
  <c r="E703" i="10"/>
  <c r="E702" i="10"/>
  <c r="C702" i="10"/>
  <c r="B702" i="10"/>
  <c r="E701" i="10"/>
  <c r="E700" i="10"/>
  <c r="E699" i="10"/>
  <c r="E698" i="10"/>
  <c r="E697" i="10"/>
  <c r="E696" i="10"/>
  <c r="E695" i="10"/>
  <c r="E694" i="10"/>
  <c r="E693" i="10"/>
  <c r="E692" i="10"/>
  <c r="E691" i="10"/>
  <c r="E690" i="10"/>
  <c r="E689" i="10"/>
  <c r="E688" i="10"/>
  <c r="E687" i="10"/>
  <c r="E686" i="10"/>
  <c r="E685" i="10"/>
  <c r="E684" i="10"/>
  <c r="E683" i="10"/>
  <c r="E682" i="10"/>
  <c r="E681" i="10"/>
  <c r="E680" i="10"/>
  <c r="E679" i="10"/>
  <c r="E678" i="10"/>
  <c r="C678" i="10"/>
  <c r="B678" i="10"/>
  <c r="E677" i="10"/>
  <c r="E676" i="10"/>
  <c r="E675" i="10"/>
  <c r="E674" i="10"/>
  <c r="E673" i="10"/>
  <c r="E672" i="10"/>
  <c r="E671" i="10"/>
  <c r="E670" i="10"/>
  <c r="E669" i="10"/>
  <c r="E668" i="10"/>
  <c r="E667" i="10"/>
  <c r="E666" i="10"/>
  <c r="E665" i="10"/>
  <c r="E664" i="10"/>
  <c r="E663" i="10"/>
  <c r="E662" i="10"/>
  <c r="E661" i="10"/>
  <c r="E660" i="10"/>
  <c r="E659" i="10"/>
  <c r="E658" i="10"/>
  <c r="E657" i="10"/>
  <c r="E656" i="10"/>
  <c r="E655" i="10"/>
  <c r="E654" i="10"/>
  <c r="C654" i="10"/>
  <c r="B654" i="10"/>
  <c r="E653" i="10"/>
  <c r="E652" i="10"/>
  <c r="E651" i="10"/>
  <c r="E650" i="10"/>
  <c r="E649" i="10"/>
  <c r="E648" i="10"/>
  <c r="E647" i="10"/>
  <c r="E646" i="10"/>
  <c r="E645" i="10"/>
  <c r="E644" i="10"/>
  <c r="E643" i="10"/>
  <c r="E642" i="10"/>
  <c r="E641" i="10"/>
  <c r="E640" i="10"/>
  <c r="E639" i="10"/>
  <c r="E638" i="10"/>
  <c r="E637" i="10"/>
  <c r="E636" i="10"/>
  <c r="E635" i="10"/>
  <c r="E634" i="10"/>
  <c r="E633" i="10"/>
  <c r="E632" i="10"/>
  <c r="E631" i="10"/>
  <c r="E630" i="10"/>
  <c r="C630" i="10"/>
  <c r="B630" i="10"/>
  <c r="E629" i="10"/>
  <c r="E628" i="10"/>
  <c r="E627" i="10"/>
  <c r="E626" i="10"/>
  <c r="E625" i="10"/>
  <c r="E624" i="10"/>
  <c r="E623" i="10"/>
  <c r="E622" i="10"/>
  <c r="E621" i="10"/>
  <c r="E620" i="10"/>
  <c r="E619" i="10"/>
  <c r="E618" i="10"/>
  <c r="E617" i="10"/>
  <c r="E616" i="10"/>
  <c r="E615" i="10"/>
  <c r="E614" i="10"/>
  <c r="E613" i="10"/>
  <c r="E612" i="10"/>
  <c r="E611" i="10"/>
  <c r="E610" i="10"/>
  <c r="E609" i="10"/>
  <c r="E608" i="10"/>
  <c r="E607" i="10"/>
  <c r="E606" i="10"/>
  <c r="C606" i="10"/>
  <c r="B606" i="10"/>
  <c r="E605" i="10"/>
  <c r="E604" i="10"/>
  <c r="E603" i="10"/>
  <c r="E602" i="10"/>
  <c r="E601" i="10"/>
  <c r="E600" i="10"/>
  <c r="E599" i="10"/>
  <c r="E598" i="10"/>
  <c r="E597" i="10"/>
  <c r="E596" i="10"/>
  <c r="E595" i="10"/>
  <c r="E594" i="10"/>
  <c r="E593" i="10"/>
  <c r="E592" i="10"/>
  <c r="E591" i="10"/>
  <c r="E590" i="10"/>
  <c r="E589" i="10"/>
  <c r="E588" i="10"/>
  <c r="E587" i="10"/>
  <c r="E586" i="10"/>
  <c r="E585" i="10"/>
  <c r="E584" i="10"/>
  <c r="E583" i="10"/>
  <c r="E582" i="10"/>
  <c r="C582" i="10"/>
  <c r="B582" i="10"/>
  <c r="E581" i="10"/>
  <c r="E580" i="10"/>
  <c r="E579" i="10"/>
  <c r="E578" i="10"/>
  <c r="E577" i="10"/>
  <c r="E576" i="10"/>
  <c r="E575" i="10"/>
  <c r="E574" i="10"/>
  <c r="E573" i="10"/>
  <c r="E572" i="10"/>
  <c r="E571" i="10"/>
  <c r="E570" i="10"/>
  <c r="E569" i="10"/>
  <c r="E568" i="10"/>
  <c r="E567" i="10"/>
  <c r="E566" i="10"/>
  <c r="E565" i="10"/>
  <c r="E564" i="10"/>
  <c r="E563" i="10"/>
  <c r="E562" i="10"/>
  <c r="E561" i="10"/>
  <c r="E560" i="10"/>
  <c r="E559" i="10"/>
  <c r="E558" i="10"/>
  <c r="C558" i="10"/>
  <c r="B558" i="10"/>
  <c r="E557" i="10"/>
  <c r="E556" i="10"/>
  <c r="E555" i="10"/>
  <c r="E554" i="10"/>
  <c r="E553" i="10"/>
  <c r="E552" i="10"/>
  <c r="E551" i="10"/>
  <c r="E550" i="10"/>
  <c r="E549" i="10"/>
  <c r="E548" i="10"/>
  <c r="E547" i="10"/>
  <c r="E546" i="10"/>
  <c r="E545" i="10"/>
  <c r="E544" i="10"/>
  <c r="E543" i="10"/>
  <c r="E542" i="10"/>
  <c r="E541" i="10"/>
  <c r="E540" i="10"/>
  <c r="E539" i="10"/>
  <c r="E538" i="10"/>
  <c r="E537" i="10"/>
  <c r="E536" i="10"/>
  <c r="E535" i="10"/>
  <c r="E534" i="10"/>
  <c r="C534" i="10"/>
  <c r="B534" i="10"/>
  <c r="E533" i="10"/>
  <c r="E532" i="10"/>
  <c r="E531" i="10"/>
  <c r="E530" i="10"/>
  <c r="E529" i="10"/>
  <c r="E528" i="10"/>
  <c r="E527" i="10"/>
  <c r="E526" i="10"/>
  <c r="E525" i="10"/>
  <c r="E524" i="10"/>
  <c r="E523" i="10"/>
  <c r="E522" i="10"/>
  <c r="E521" i="10"/>
  <c r="E520" i="10"/>
  <c r="E519" i="10"/>
  <c r="E518" i="10"/>
  <c r="E517" i="10"/>
  <c r="E516" i="10"/>
  <c r="E515" i="10"/>
  <c r="E514" i="10"/>
  <c r="E513" i="10"/>
  <c r="E512" i="10"/>
  <c r="E511" i="10"/>
  <c r="E510" i="10"/>
  <c r="C510" i="10"/>
  <c r="B510" i="10"/>
  <c r="E509" i="10"/>
  <c r="E508" i="10"/>
  <c r="E507" i="10"/>
  <c r="E506" i="10"/>
  <c r="E505" i="10"/>
  <c r="E504" i="10"/>
  <c r="E503" i="10"/>
  <c r="E502" i="10"/>
  <c r="E501" i="10"/>
  <c r="E500" i="10"/>
  <c r="E499" i="10"/>
  <c r="E498" i="10"/>
  <c r="E497" i="10"/>
  <c r="E496" i="10"/>
  <c r="E495" i="10"/>
  <c r="E494" i="10"/>
  <c r="E493" i="10"/>
  <c r="E492" i="10"/>
  <c r="E491" i="10"/>
  <c r="E490" i="10"/>
  <c r="E489" i="10"/>
  <c r="E488" i="10"/>
  <c r="E487" i="10"/>
  <c r="E486" i="10"/>
  <c r="C486" i="10"/>
  <c r="B486" i="10"/>
  <c r="E485" i="10"/>
  <c r="E484" i="10"/>
  <c r="E483" i="10"/>
  <c r="E482" i="10"/>
  <c r="E481" i="10"/>
  <c r="E480" i="10"/>
  <c r="E479" i="10"/>
  <c r="E478" i="10"/>
  <c r="E477" i="10"/>
  <c r="E476" i="10"/>
  <c r="E475" i="10"/>
  <c r="E474" i="10"/>
  <c r="E473" i="10"/>
  <c r="E472" i="10"/>
  <c r="E471" i="10"/>
  <c r="E470" i="10"/>
  <c r="E469" i="10"/>
  <c r="E468" i="10"/>
  <c r="E467" i="10"/>
  <c r="E466" i="10"/>
  <c r="E465" i="10"/>
  <c r="E464" i="10"/>
  <c r="E463" i="10"/>
  <c r="E462" i="10"/>
  <c r="C462" i="10"/>
  <c r="B462" i="10"/>
  <c r="E461" i="10"/>
  <c r="E460" i="10"/>
  <c r="E459" i="10"/>
  <c r="E458" i="10"/>
  <c r="E457" i="10"/>
  <c r="E456" i="10"/>
  <c r="E455" i="10"/>
  <c r="E454" i="10"/>
  <c r="E453" i="10"/>
  <c r="E452" i="10"/>
  <c r="E451" i="10"/>
  <c r="E450" i="10"/>
  <c r="E449" i="10"/>
  <c r="E448" i="10"/>
  <c r="E447" i="10"/>
  <c r="E446" i="10"/>
  <c r="E445" i="10"/>
  <c r="E444" i="10"/>
  <c r="E443" i="10"/>
  <c r="E442" i="10"/>
  <c r="E441" i="10"/>
  <c r="E440" i="10"/>
  <c r="E439" i="10"/>
  <c r="E438" i="10"/>
  <c r="C438" i="10"/>
  <c r="B438" i="10"/>
  <c r="E437" i="10"/>
  <c r="E436" i="10"/>
  <c r="E435" i="10"/>
  <c r="E434" i="10"/>
  <c r="E433" i="10"/>
  <c r="E432" i="10"/>
  <c r="E431" i="10"/>
  <c r="E430" i="10"/>
  <c r="E429" i="10"/>
  <c r="E428" i="10"/>
  <c r="E427" i="10"/>
  <c r="E426" i="10"/>
  <c r="E425" i="10"/>
  <c r="E424" i="10"/>
  <c r="E423" i="10"/>
  <c r="E422" i="10"/>
  <c r="E421" i="10"/>
  <c r="E420" i="10"/>
  <c r="E419" i="10"/>
  <c r="E418" i="10"/>
  <c r="E417" i="10"/>
  <c r="E416" i="10"/>
  <c r="E415" i="10"/>
  <c r="E414" i="10"/>
  <c r="C414" i="10"/>
  <c r="B414" i="10"/>
  <c r="E413" i="10"/>
  <c r="E412" i="10"/>
  <c r="E411" i="10"/>
  <c r="E410" i="10"/>
  <c r="E409" i="10"/>
  <c r="E408" i="10"/>
  <c r="E407" i="10"/>
  <c r="E406" i="10"/>
  <c r="E405" i="10"/>
  <c r="E404" i="10"/>
  <c r="E403" i="10"/>
  <c r="E402" i="10"/>
  <c r="E401" i="10"/>
  <c r="E400" i="10"/>
  <c r="E399" i="10"/>
  <c r="E398" i="10"/>
  <c r="E397" i="10"/>
  <c r="E396" i="10"/>
  <c r="E395" i="10"/>
  <c r="E394" i="10"/>
  <c r="E393" i="10"/>
  <c r="E392" i="10"/>
  <c r="E391" i="10"/>
  <c r="E390" i="10"/>
  <c r="C390" i="10"/>
  <c r="B390" i="10"/>
  <c r="E389" i="10"/>
  <c r="E388" i="10"/>
  <c r="E387" i="10"/>
  <c r="E386" i="10"/>
  <c r="E385" i="10"/>
  <c r="E384" i="10"/>
  <c r="E383" i="10"/>
  <c r="E382" i="10"/>
  <c r="E381" i="10"/>
  <c r="E380" i="10"/>
  <c r="E379" i="10"/>
  <c r="E378" i="10"/>
  <c r="E377" i="10"/>
  <c r="E376" i="10"/>
  <c r="E375" i="10"/>
  <c r="E374" i="10"/>
  <c r="E373" i="10"/>
  <c r="E372" i="10"/>
  <c r="E371" i="10"/>
  <c r="E370" i="10"/>
  <c r="E369" i="10"/>
  <c r="E368" i="10"/>
  <c r="E367" i="10"/>
  <c r="E366" i="10"/>
  <c r="C366" i="10"/>
  <c r="B366" i="10"/>
  <c r="E365" i="10"/>
  <c r="E364" i="10"/>
  <c r="E363" i="10"/>
  <c r="E362" i="10"/>
  <c r="E361" i="10"/>
  <c r="E360" i="10"/>
  <c r="E359" i="10"/>
  <c r="E358" i="10"/>
  <c r="E357" i="10"/>
  <c r="E356" i="10"/>
  <c r="E355" i="10"/>
  <c r="E354" i="10"/>
  <c r="E353" i="10"/>
  <c r="E352" i="10"/>
  <c r="E351" i="10"/>
  <c r="E350" i="10"/>
  <c r="E349" i="10"/>
  <c r="E348" i="10"/>
  <c r="E347" i="10"/>
  <c r="E346" i="10"/>
  <c r="E345" i="10"/>
  <c r="E344" i="10"/>
  <c r="E343" i="10"/>
  <c r="E342" i="10"/>
  <c r="C342" i="10"/>
  <c r="B342" i="10"/>
  <c r="E341" i="10"/>
  <c r="E340" i="10"/>
  <c r="E339" i="10"/>
  <c r="E338" i="10"/>
  <c r="E337" i="10"/>
  <c r="E336" i="10"/>
  <c r="E335" i="10"/>
  <c r="E334" i="10"/>
  <c r="E333" i="10"/>
  <c r="E332" i="10"/>
  <c r="E331" i="10"/>
  <c r="E330" i="10"/>
  <c r="E329" i="10"/>
  <c r="E328" i="10"/>
  <c r="E327" i="10"/>
  <c r="E326" i="10"/>
  <c r="E325" i="10"/>
  <c r="E324" i="10"/>
  <c r="E323" i="10"/>
  <c r="E322" i="10"/>
  <c r="E321" i="10"/>
  <c r="E320" i="10"/>
  <c r="E319" i="10"/>
  <c r="E318" i="10"/>
  <c r="C318" i="10"/>
  <c r="B318" i="10"/>
  <c r="E317" i="10"/>
  <c r="E316" i="10"/>
  <c r="E315" i="10"/>
  <c r="E314" i="10"/>
  <c r="E313" i="10"/>
  <c r="E312" i="10"/>
  <c r="E311" i="10"/>
  <c r="E310" i="10"/>
  <c r="E309" i="10"/>
  <c r="E308" i="10"/>
  <c r="E307" i="10"/>
  <c r="E306" i="10"/>
  <c r="E305" i="10"/>
  <c r="E304" i="10"/>
  <c r="E303" i="10"/>
  <c r="E302" i="10"/>
  <c r="E301" i="10"/>
  <c r="E300" i="10"/>
  <c r="E299" i="10"/>
  <c r="E298" i="10"/>
  <c r="E297" i="10"/>
  <c r="E296" i="10"/>
  <c r="E295" i="10"/>
  <c r="E294" i="10"/>
  <c r="C294" i="10"/>
  <c r="B294" i="10"/>
  <c r="E293" i="10"/>
  <c r="E292" i="10"/>
  <c r="E291" i="10"/>
  <c r="E290" i="10"/>
  <c r="E289" i="10"/>
  <c r="E288" i="10"/>
  <c r="E287" i="10"/>
  <c r="E286" i="10"/>
  <c r="E285" i="10"/>
  <c r="E284" i="10"/>
  <c r="E283" i="10"/>
  <c r="E282" i="10"/>
  <c r="E281" i="10"/>
  <c r="E280" i="10"/>
  <c r="E279" i="10"/>
  <c r="E278" i="10"/>
  <c r="E277" i="10"/>
  <c r="E276" i="10"/>
  <c r="E275" i="10"/>
  <c r="E274" i="10"/>
  <c r="E273" i="10"/>
  <c r="E272" i="10"/>
  <c r="E271" i="10"/>
  <c r="E270" i="10"/>
  <c r="C270" i="10"/>
  <c r="B270" i="10"/>
  <c r="E269" i="10"/>
  <c r="E268" i="10"/>
  <c r="E267" i="10"/>
  <c r="E266" i="10"/>
  <c r="E265" i="10"/>
  <c r="E264" i="10"/>
  <c r="E263" i="10"/>
  <c r="E262" i="10"/>
  <c r="E261" i="10"/>
  <c r="E260" i="10"/>
  <c r="E259" i="10"/>
  <c r="E258" i="10"/>
  <c r="E257" i="10"/>
  <c r="E256" i="10"/>
  <c r="E255" i="10"/>
  <c r="E254" i="10"/>
  <c r="E253" i="10"/>
  <c r="E252" i="10"/>
  <c r="E251" i="10"/>
  <c r="E250" i="10"/>
  <c r="E249" i="10"/>
  <c r="E248" i="10"/>
  <c r="E247" i="10"/>
  <c r="E246" i="10"/>
  <c r="C246" i="10"/>
  <c r="B246" i="10"/>
  <c r="E245" i="10"/>
  <c r="E244" i="10"/>
  <c r="E243" i="10"/>
  <c r="E242" i="10"/>
  <c r="E241" i="10"/>
  <c r="E240" i="10"/>
  <c r="E239" i="10"/>
  <c r="E238" i="10"/>
  <c r="E237" i="10"/>
  <c r="E236" i="10"/>
  <c r="E235" i="10"/>
  <c r="E234" i="10"/>
  <c r="E233" i="10"/>
  <c r="E232" i="10"/>
  <c r="E231" i="10"/>
  <c r="E230" i="10"/>
  <c r="E229" i="10"/>
  <c r="E228" i="10"/>
  <c r="E227" i="10"/>
  <c r="E226" i="10"/>
  <c r="E225" i="10"/>
  <c r="E224" i="10"/>
  <c r="E223" i="10"/>
  <c r="E222" i="10"/>
  <c r="C222" i="10"/>
  <c r="B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C198" i="10"/>
  <c r="B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C174" i="10"/>
  <c r="B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C150" i="10"/>
  <c r="B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C126" i="10"/>
  <c r="B126" i="10"/>
  <c r="E125" i="10"/>
  <c r="E124" i="10"/>
  <c r="E123" i="10"/>
  <c r="D123" i="10"/>
  <c r="D147" i="10" s="1"/>
  <c r="D171" i="10" s="1"/>
  <c r="D195" i="10" s="1"/>
  <c r="D219" i="10" s="1"/>
  <c r="D243" i="10" s="1"/>
  <c r="D267" i="10" s="1"/>
  <c r="D291" i="10" s="1"/>
  <c r="D315" i="10" s="1"/>
  <c r="D339" i="10" s="1"/>
  <c r="D363" i="10" s="1"/>
  <c r="D387" i="10" s="1"/>
  <c r="D411" i="10" s="1"/>
  <c r="D435" i="10" s="1"/>
  <c r="D459" i="10" s="1"/>
  <c r="D483" i="10" s="1"/>
  <c r="D507" i="10" s="1"/>
  <c r="D531" i="10" s="1"/>
  <c r="D555" i="10" s="1"/>
  <c r="D579" i="10" s="1"/>
  <c r="D603" i="10" s="1"/>
  <c r="D627" i="10" s="1"/>
  <c r="D651" i="10" s="1"/>
  <c r="D675" i="10" s="1"/>
  <c r="D699" i="10" s="1"/>
  <c r="D723" i="10" s="1"/>
  <c r="D747" i="10" s="1"/>
  <c r="D771" i="10" s="1"/>
  <c r="D795" i="10" s="1"/>
  <c r="D819" i="10" s="1"/>
  <c r="D843" i="10" s="1"/>
  <c r="D867" i="10" s="1"/>
  <c r="D891" i="10" s="1"/>
  <c r="D915" i="10" s="1"/>
  <c r="D939" i="10" s="1"/>
  <c r="D963" i="10" s="1"/>
  <c r="D987" i="10" s="1"/>
  <c r="D1011" i="10" s="1"/>
  <c r="D1035" i="10" s="1"/>
  <c r="D1059" i="10" s="1"/>
  <c r="D1083" i="10" s="1"/>
  <c r="D1107" i="10" s="1"/>
  <c r="D1131" i="10" s="1"/>
  <c r="D1155" i="10" s="1"/>
  <c r="D1179" i="10" s="1"/>
  <c r="E122" i="10"/>
  <c r="E121" i="10"/>
  <c r="E120" i="10"/>
  <c r="E119" i="10"/>
  <c r="D119" i="10"/>
  <c r="D143" i="10" s="1"/>
  <c r="D167" i="10" s="1"/>
  <c r="D191" i="10" s="1"/>
  <c r="D215" i="10" s="1"/>
  <c r="D239" i="10" s="1"/>
  <c r="D263" i="10" s="1"/>
  <c r="D287" i="10" s="1"/>
  <c r="D311" i="10" s="1"/>
  <c r="D335" i="10" s="1"/>
  <c r="D359" i="10" s="1"/>
  <c r="D383" i="10" s="1"/>
  <c r="D407" i="10" s="1"/>
  <c r="D431" i="10" s="1"/>
  <c r="D455" i="10" s="1"/>
  <c r="D479" i="10" s="1"/>
  <c r="D503" i="10" s="1"/>
  <c r="D527" i="10" s="1"/>
  <c r="D551" i="10" s="1"/>
  <c r="D575" i="10" s="1"/>
  <c r="D599" i="10" s="1"/>
  <c r="D623" i="10" s="1"/>
  <c r="D647" i="10" s="1"/>
  <c r="D671" i="10" s="1"/>
  <c r="D695" i="10" s="1"/>
  <c r="D719" i="10" s="1"/>
  <c r="D743" i="10" s="1"/>
  <c r="D767" i="10" s="1"/>
  <c r="D791" i="10" s="1"/>
  <c r="D815" i="10" s="1"/>
  <c r="D839" i="10" s="1"/>
  <c r="D863" i="10" s="1"/>
  <c r="D887" i="10" s="1"/>
  <c r="D911" i="10" s="1"/>
  <c r="D935" i="10" s="1"/>
  <c r="D959" i="10" s="1"/>
  <c r="D983" i="10" s="1"/>
  <c r="D1007" i="10" s="1"/>
  <c r="D1031" i="10" s="1"/>
  <c r="D1055" i="10" s="1"/>
  <c r="D1079" i="10" s="1"/>
  <c r="D1103" i="10" s="1"/>
  <c r="D1127" i="10" s="1"/>
  <c r="D1151" i="10" s="1"/>
  <c r="D1175" i="10" s="1"/>
  <c r="E118" i="10"/>
  <c r="E117" i="10"/>
  <c r="E116" i="10"/>
  <c r="E115" i="10"/>
  <c r="D115" i="10"/>
  <c r="D139" i="10" s="1"/>
  <c r="D163" i="10" s="1"/>
  <c r="D187" i="10" s="1"/>
  <c r="D211" i="10" s="1"/>
  <c r="D235" i="10" s="1"/>
  <c r="D259" i="10" s="1"/>
  <c r="D283" i="10" s="1"/>
  <c r="D307" i="10" s="1"/>
  <c r="D331" i="10" s="1"/>
  <c r="D355" i="10" s="1"/>
  <c r="D379" i="10" s="1"/>
  <c r="D403" i="10" s="1"/>
  <c r="D427" i="10" s="1"/>
  <c r="D451" i="10" s="1"/>
  <c r="D475" i="10" s="1"/>
  <c r="D499" i="10" s="1"/>
  <c r="D523" i="10" s="1"/>
  <c r="D547" i="10" s="1"/>
  <c r="D571" i="10" s="1"/>
  <c r="D595" i="10" s="1"/>
  <c r="D619" i="10" s="1"/>
  <c r="D643" i="10" s="1"/>
  <c r="D667" i="10" s="1"/>
  <c r="D691" i="10" s="1"/>
  <c r="D715" i="10" s="1"/>
  <c r="D739" i="10" s="1"/>
  <c r="D763" i="10" s="1"/>
  <c r="D787" i="10" s="1"/>
  <c r="D811" i="10" s="1"/>
  <c r="D835" i="10" s="1"/>
  <c r="D859" i="10" s="1"/>
  <c r="D883" i="10" s="1"/>
  <c r="D907" i="10" s="1"/>
  <c r="D931" i="10" s="1"/>
  <c r="D955" i="10" s="1"/>
  <c r="D979" i="10" s="1"/>
  <c r="D1003" i="10" s="1"/>
  <c r="D1027" i="10" s="1"/>
  <c r="D1051" i="10" s="1"/>
  <c r="D1075" i="10" s="1"/>
  <c r="D1099" i="10" s="1"/>
  <c r="D1123" i="10" s="1"/>
  <c r="D1147" i="10" s="1"/>
  <c r="D1171" i="10" s="1"/>
  <c r="E114" i="10"/>
  <c r="E113" i="10"/>
  <c r="E112" i="10"/>
  <c r="E111" i="10"/>
  <c r="D111" i="10"/>
  <c r="D135" i="10" s="1"/>
  <c r="D159" i="10" s="1"/>
  <c r="D183" i="10" s="1"/>
  <c r="D207" i="10" s="1"/>
  <c r="D231" i="10" s="1"/>
  <c r="D255" i="10" s="1"/>
  <c r="D279" i="10" s="1"/>
  <c r="D303" i="10" s="1"/>
  <c r="D327" i="10" s="1"/>
  <c r="D351" i="10" s="1"/>
  <c r="D375" i="10" s="1"/>
  <c r="D399" i="10" s="1"/>
  <c r="D423" i="10" s="1"/>
  <c r="D447" i="10" s="1"/>
  <c r="D471" i="10" s="1"/>
  <c r="D495" i="10" s="1"/>
  <c r="D519" i="10" s="1"/>
  <c r="D543" i="10" s="1"/>
  <c r="D567" i="10" s="1"/>
  <c r="D591" i="10" s="1"/>
  <c r="D615" i="10" s="1"/>
  <c r="D639" i="10" s="1"/>
  <c r="D663" i="10" s="1"/>
  <c r="D687" i="10" s="1"/>
  <c r="D711" i="10" s="1"/>
  <c r="D735" i="10" s="1"/>
  <c r="D759" i="10" s="1"/>
  <c r="D783" i="10" s="1"/>
  <c r="D807" i="10" s="1"/>
  <c r="D831" i="10" s="1"/>
  <c r="D855" i="10" s="1"/>
  <c r="D879" i="10" s="1"/>
  <c r="D903" i="10" s="1"/>
  <c r="D927" i="10" s="1"/>
  <c r="D951" i="10" s="1"/>
  <c r="D975" i="10" s="1"/>
  <c r="D999" i="10" s="1"/>
  <c r="D1023" i="10" s="1"/>
  <c r="D1047" i="10" s="1"/>
  <c r="D1071" i="10" s="1"/>
  <c r="D1095" i="10" s="1"/>
  <c r="D1119" i="10" s="1"/>
  <c r="D1143" i="10" s="1"/>
  <c r="D1167" i="10" s="1"/>
  <c r="E110" i="10"/>
  <c r="E109" i="10"/>
  <c r="E108" i="10"/>
  <c r="E107" i="10"/>
  <c r="D107" i="10"/>
  <c r="D131" i="10" s="1"/>
  <c r="D155" i="10" s="1"/>
  <c r="D179" i="10" s="1"/>
  <c r="D203" i="10" s="1"/>
  <c r="D227" i="10" s="1"/>
  <c r="D251" i="10" s="1"/>
  <c r="D275" i="10" s="1"/>
  <c r="D299" i="10" s="1"/>
  <c r="D323" i="10" s="1"/>
  <c r="D347" i="10" s="1"/>
  <c r="D371" i="10" s="1"/>
  <c r="D395" i="10" s="1"/>
  <c r="D419" i="10" s="1"/>
  <c r="D443" i="10" s="1"/>
  <c r="D467" i="10" s="1"/>
  <c r="D491" i="10" s="1"/>
  <c r="D515" i="10" s="1"/>
  <c r="D539" i="10" s="1"/>
  <c r="D563" i="10" s="1"/>
  <c r="D587" i="10" s="1"/>
  <c r="D611" i="10" s="1"/>
  <c r="D635" i="10" s="1"/>
  <c r="D659" i="10" s="1"/>
  <c r="D683" i="10" s="1"/>
  <c r="D707" i="10" s="1"/>
  <c r="D731" i="10" s="1"/>
  <c r="D755" i="10" s="1"/>
  <c r="D779" i="10" s="1"/>
  <c r="D803" i="10" s="1"/>
  <c r="D827" i="10" s="1"/>
  <c r="D851" i="10" s="1"/>
  <c r="D875" i="10" s="1"/>
  <c r="D899" i="10" s="1"/>
  <c r="D923" i="10" s="1"/>
  <c r="D947" i="10" s="1"/>
  <c r="D971" i="10" s="1"/>
  <c r="D995" i="10" s="1"/>
  <c r="D1019" i="10" s="1"/>
  <c r="D1043" i="10" s="1"/>
  <c r="D1067" i="10" s="1"/>
  <c r="D1091" i="10" s="1"/>
  <c r="D1115" i="10" s="1"/>
  <c r="D1139" i="10" s="1"/>
  <c r="D1163" i="10" s="1"/>
  <c r="E106" i="10"/>
  <c r="E105" i="10"/>
  <c r="E104" i="10"/>
  <c r="E103" i="10"/>
  <c r="D103" i="10"/>
  <c r="D127" i="10" s="1"/>
  <c r="D151" i="10" s="1"/>
  <c r="D175" i="10" s="1"/>
  <c r="D199" i="10" s="1"/>
  <c r="D223" i="10" s="1"/>
  <c r="D247" i="10" s="1"/>
  <c r="D271" i="10" s="1"/>
  <c r="D295" i="10" s="1"/>
  <c r="D319" i="10" s="1"/>
  <c r="D343" i="10" s="1"/>
  <c r="D367" i="10" s="1"/>
  <c r="D391" i="10" s="1"/>
  <c r="D415" i="10" s="1"/>
  <c r="D439" i="10" s="1"/>
  <c r="D463" i="10" s="1"/>
  <c r="D487" i="10" s="1"/>
  <c r="D511" i="10" s="1"/>
  <c r="D535" i="10" s="1"/>
  <c r="D559" i="10" s="1"/>
  <c r="D583" i="10" s="1"/>
  <c r="D607" i="10" s="1"/>
  <c r="D631" i="10" s="1"/>
  <c r="D655" i="10" s="1"/>
  <c r="D679" i="10" s="1"/>
  <c r="D703" i="10" s="1"/>
  <c r="D727" i="10" s="1"/>
  <c r="D751" i="10" s="1"/>
  <c r="D775" i="10" s="1"/>
  <c r="D799" i="10" s="1"/>
  <c r="D823" i="10" s="1"/>
  <c r="D847" i="10" s="1"/>
  <c r="D871" i="10" s="1"/>
  <c r="D895" i="10" s="1"/>
  <c r="D919" i="10" s="1"/>
  <c r="D943" i="10" s="1"/>
  <c r="D967" i="10" s="1"/>
  <c r="D991" i="10" s="1"/>
  <c r="D1015" i="10" s="1"/>
  <c r="D1039" i="10" s="1"/>
  <c r="D1063" i="10" s="1"/>
  <c r="D1087" i="10" s="1"/>
  <c r="D1111" i="10" s="1"/>
  <c r="D1135" i="10" s="1"/>
  <c r="D1159" i="10" s="1"/>
  <c r="E102" i="10"/>
  <c r="C102" i="10"/>
  <c r="B102" i="10"/>
  <c r="E101" i="10"/>
  <c r="E100" i="10"/>
  <c r="D100" i="10"/>
  <c r="D124" i="10" s="1"/>
  <c r="D148" i="10" s="1"/>
  <c r="D172" i="10" s="1"/>
  <c r="D196" i="10" s="1"/>
  <c r="D220" i="10" s="1"/>
  <c r="D244" i="10" s="1"/>
  <c r="D268" i="10" s="1"/>
  <c r="D292" i="10" s="1"/>
  <c r="D316" i="10" s="1"/>
  <c r="D340" i="10" s="1"/>
  <c r="D364" i="10" s="1"/>
  <c r="D388" i="10" s="1"/>
  <c r="D412" i="10" s="1"/>
  <c r="D436" i="10" s="1"/>
  <c r="D460" i="10" s="1"/>
  <c r="D484" i="10" s="1"/>
  <c r="D508" i="10" s="1"/>
  <c r="D532" i="10" s="1"/>
  <c r="D556" i="10" s="1"/>
  <c r="D580" i="10" s="1"/>
  <c r="D604" i="10" s="1"/>
  <c r="D628" i="10" s="1"/>
  <c r="D652" i="10" s="1"/>
  <c r="D676" i="10" s="1"/>
  <c r="D700" i="10" s="1"/>
  <c r="D724" i="10" s="1"/>
  <c r="D748" i="10" s="1"/>
  <c r="D772" i="10" s="1"/>
  <c r="D796" i="10" s="1"/>
  <c r="D820" i="10" s="1"/>
  <c r="D844" i="10" s="1"/>
  <c r="D868" i="10" s="1"/>
  <c r="D892" i="10" s="1"/>
  <c r="D916" i="10" s="1"/>
  <c r="D940" i="10" s="1"/>
  <c r="D964" i="10" s="1"/>
  <c r="D988" i="10" s="1"/>
  <c r="D1012" i="10" s="1"/>
  <c r="D1036" i="10" s="1"/>
  <c r="D1060" i="10" s="1"/>
  <c r="D1084" i="10" s="1"/>
  <c r="D1108" i="10" s="1"/>
  <c r="D1132" i="10" s="1"/>
  <c r="D1156" i="10" s="1"/>
  <c r="D1180" i="10" s="1"/>
  <c r="E99" i="10"/>
  <c r="D99" i="10"/>
  <c r="E98" i="10"/>
  <c r="E97" i="10"/>
  <c r="E96" i="10"/>
  <c r="D96" i="10"/>
  <c r="D120" i="10" s="1"/>
  <c r="D144" i="10" s="1"/>
  <c r="D168" i="10" s="1"/>
  <c r="D192" i="10" s="1"/>
  <c r="D216" i="10" s="1"/>
  <c r="D240" i="10" s="1"/>
  <c r="D264" i="10" s="1"/>
  <c r="D288" i="10" s="1"/>
  <c r="D312" i="10" s="1"/>
  <c r="D336" i="10" s="1"/>
  <c r="D360" i="10" s="1"/>
  <c r="D384" i="10" s="1"/>
  <c r="D408" i="10" s="1"/>
  <c r="D432" i="10" s="1"/>
  <c r="D456" i="10" s="1"/>
  <c r="D480" i="10" s="1"/>
  <c r="D504" i="10" s="1"/>
  <c r="D528" i="10" s="1"/>
  <c r="D552" i="10" s="1"/>
  <c r="D576" i="10" s="1"/>
  <c r="D600" i="10" s="1"/>
  <c r="D624" i="10" s="1"/>
  <c r="D648" i="10" s="1"/>
  <c r="D672" i="10" s="1"/>
  <c r="D696" i="10" s="1"/>
  <c r="D720" i="10" s="1"/>
  <c r="D744" i="10" s="1"/>
  <c r="D768" i="10" s="1"/>
  <c r="D792" i="10" s="1"/>
  <c r="D816" i="10" s="1"/>
  <c r="D840" i="10" s="1"/>
  <c r="D864" i="10" s="1"/>
  <c r="D888" i="10" s="1"/>
  <c r="D912" i="10" s="1"/>
  <c r="D936" i="10" s="1"/>
  <c r="D960" i="10" s="1"/>
  <c r="D984" i="10" s="1"/>
  <c r="D1008" i="10" s="1"/>
  <c r="D1032" i="10" s="1"/>
  <c r="D1056" i="10" s="1"/>
  <c r="D1080" i="10" s="1"/>
  <c r="D1104" i="10" s="1"/>
  <c r="D1128" i="10" s="1"/>
  <c r="D1152" i="10" s="1"/>
  <c r="D1176" i="10" s="1"/>
  <c r="E95" i="10"/>
  <c r="D95" i="10"/>
  <c r="E94" i="10"/>
  <c r="E93" i="10"/>
  <c r="E92" i="10"/>
  <c r="D92" i="10"/>
  <c r="D116" i="10" s="1"/>
  <c r="D140" i="10" s="1"/>
  <c r="D164" i="10" s="1"/>
  <c r="D188" i="10" s="1"/>
  <c r="D212" i="10" s="1"/>
  <c r="D236" i="10" s="1"/>
  <c r="D260" i="10" s="1"/>
  <c r="D284" i="10" s="1"/>
  <c r="D308" i="10" s="1"/>
  <c r="D332" i="10" s="1"/>
  <c r="D356" i="10" s="1"/>
  <c r="D380" i="10" s="1"/>
  <c r="D404" i="10" s="1"/>
  <c r="D428" i="10" s="1"/>
  <c r="D452" i="10" s="1"/>
  <c r="D476" i="10" s="1"/>
  <c r="D500" i="10" s="1"/>
  <c r="D524" i="10" s="1"/>
  <c r="D548" i="10" s="1"/>
  <c r="D572" i="10" s="1"/>
  <c r="D596" i="10" s="1"/>
  <c r="D620" i="10" s="1"/>
  <c r="D644" i="10" s="1"/>
  <c r="D668" i="10" s="1"/>
  <c r="D692" i="10" s="1"/>
  <c r="D716" i="10" s="1"/>
  <c r="D740" i="10" s="1"/>
  <c r="D764" i="10" s="1"/>
  <c r="D788" i="10" s="1"/>
  <c r="D812" i="10" s="1"/>
  <c r="D836" i="10" s="1"/>
  <c r="D860" i="10" s="1"/>
  <c r="D884" i="10" s="1"/>
  <c r="D908" i="10" s="1"/>
  <c r="D932" i="10" s="1"/>
  <c r="D956" i="10" s="1"/>
  <c r="D980" i="10" s="1"/>
  <c r="D1004" i="10" s="1"/>
  <c r="D1028" i="10" s="1"/>
  <c r="D1052" i="10" s="1"/>
  <c r="D1076" i="10" s="1"/>
  <c r="D1100" i="10" s="1"/>
  <c r="D1124" i="10" s="1"/>
  <c r="D1148" i="10" s="1"/>
  <c r="D1172" i="10" s="1"/>
  <c r="E91" i="10"/>
  <c r="D91" i="10"/>
  <c r="E90" i="10"/>
  <c r="E89" i="10"/>
  <c r="E88" i="10"/>
  <c r="D88" i="10"/>
  <c r="D112" i="10" s="1"/>
  <c r="D136" i="10" s="1"/>
  <c r="D160" i="10" s="1"/>
  <c r="D184" i="10" s="1"/>
  <c r="D208" i="10" s="1"/>
  <c r="D232" i="10" s="1"/>
  <c r="D256" i="10" s="1"/>
  <c r="D280" i="10" s="1"/>
  <c r="D304" i="10" s="1"/>
  <c r="D328" i="10" s="1"/>
  <c r="D352" i="10" s="1"/>
  <c r="D376" i="10" s="1"/>
  <c r="D400" i="10" s="1"/>
  <c r="D424" i="10" s="1"/>
  <c r="D448" i="10" s="1"/>
  <c r="D472" i="10" s="1"/>
  <c r="D496" i="10" s="1"/>
  <c r="D520" i="10" s="1"/>
  <c r="D544" i="10" s="1"/>
  <c r="D568" i="10" s="1"/>
  <c r="D592" i="10" s="1"/>
  <c r="D616" i="10" s="1"/>
  <c r="D640" i="10" s="1"/>
  <c r="D664" i="10" s="1"/>
  <c r="D688" i="10" s="1"/>
  <c r="D712" i="10" s="1"/>
  <c r="D736" i="10" s="1"/>
  <c r="D760" i="10" s="1"/>
  <c r="D784" i="10" s="1"/>
  <c r="D808" i="10" s="1"/>
  <c r="D832" i="10" s="1"/>
  <c r="D856" i="10" s="1"/>
  <c r="D880" i="10" s="1"/>
  <c r="D904" i="10" s="1"/>
  <c r="D928" i="10" s="1"/>
  <c r="D952" i="10" s="1"/>
  <c r="D976" i="10" s="1"/>
  <c r="D1000" i="10" s="1"/>
  <c r="D1024" i="10" s="1"/>
  <c r="D1048" i="10" s="1"/>
  <c r="D1072" i="10" s="1"/>
  <c r="D1096" i="10" s="1"/>
  <c r="D1120" i="10" s="1"/>
  <c r="D1144" i="10" s="1"/>
  <c r="D1168" i="10" s="1"/>
  <c r="E87" i="10"/>
  <c r="D87" i="10"/>
  <c r="E86" i="10"/>
  <c r="E85" i="10"/>
  <c r="E84" i="10"/>
  <c r="D84" i="10"/>
  <c r="D108" i="10" s="1"/>
  <c r="D132" i="10" s="1"/>
  <c r="D156" i="10" s="1"/>
  <c r="D180" i="10" s="1"/>
  <c r="D204" i="10" s="1"/>
  <c r="D228" i="10" s="1"/>
  <c r="D252" i="10" s="1"/>
  <c r="D276" i="10" s="1"/>
  <c r="D300" i="10" s="1"/>
  <c r="D324" i="10" s="1"/>
  <c r="D348" i="10" s="1"/>
  <c r="D372" i="10" s="1"/>
  <c r="D396" i="10" s="1"/>
  <c r="D420" i="10" s="1"/>
  <c r="D444" i="10" s="1"/>
  <c r="D468" i="10" s="1"/>
  <c r="D492" i="10" s="1"/>
  <c r="D516" i="10" s="1"/>
  <c r="D540" i="10" s="1"/>
  <c r="D564" i="10" s="1"/>
  <c r="D588" i="10" s="1"/>
  <c r="D612" i="10" s="1"/>
  <c r="D636" i="10" s="1"/>
  <c r="D660" i="10" s="1"/>
  <c r="D684" i="10" s="1"/>
  <c r="D708" i="10" s="1"/>
  <c r="D732" i="10" s="1"/>
  <c r="D756" i="10" s="1"/>
  <c r="D780" i="10" s="1"/>
  <c r="D804" i="10" s="1"/>
  <c r="D828" i="10" s="1"/>
  <c r="D852" i="10" s="1"/>
  <c r="D876" i="10" s="1"/>
  <c r="D900" i="10" s="1"/>
  <c r="D924" i="10" s="1"/>
  <c r="D948" i="10" s="1"/>
  <c r="D972" i="10" s="1"/>
  <c r="D996" i="10" s="1"/>
  <c r="D1020" i="10" s="1"/>
  <c r="D1044" i="10" s="1"/>
  <c r="D1068" i="10" s="1"/>
  <c r="D1092" i="10" s="1"/>
  <c r="D1116" i="10" s="1"/>
  <c r="D1140" i="10" s="1"/>
  <c r="D1164" i="10" s="1"/>
  <c r="E83" i="10"/>
  <c r="D83" i="10"/>
  <c r="E82" i="10"/>
  <c r="E81" i="10"/>
  <c r="E80" i="10"/>
  <c r="D80" i="10"/>
  <c r="D104" i="10" s="1"/>
  <c r="D128" i="10" s="1"/>
  <c r="D152" i="10" s="1"/>
  <c r="D176" i="10" s="1"/>
  <c r="D200" i="10" s="1"/>
  <c r="D224" i="10" s="1"/>
  <c r="D248" i="10" s="1"/>
  <c r="D272" i="10" s="1"/>
  <c r="D296" i="10" s="1"/>
  <c r="D320" i="10" s="1"/>
  <c r="D344" i="10" s="1"/>
  <c r="D368" i="10" s="1"/>
  <c r="D392" i="10" s="1"/>
  <c r="D416" i="10" s="1"/>
  <c r="D440" i="10" s="1"/>
  <c r="D464" i="10" s="1"/>
  <c r="D488" i="10" s="1"/>
  <c r="D512" i="10" s="1"/>
  <c r="D536" i="10" s="1"/>
  <c r="D560" i="10" s="1"/>
  <c r="D584" i="10" s="1"/>
  <c r="D608" i="10" s="1"/>
  <c r="D632" i="10" s="1"/>
  <c r="D656" i="10" s="1"/>
  <c r="D680" i="10" s="1"/>
  <c r="D704" i="10" s="1"/>
  <c r="D728" i="10" s="1"/>
  <c r="D752" i="10" s="1"/>
  <c r="D776" i="10" s="1"/>
  <c r="D800" i="10" s="1"/>
  <c r="D824" i="10" s="1"/>
  <c r="D848" i="10" s="1"/>
  <c r="D872" i="10" s="1"/>
  <c r="D896" i="10" s="1"/>
  <c r="D920" i="10" s="1"/>
  <c r="D944" i="10" s="1"/>
  <c r="D968" i="10" s="1"/>
  <c r="D992" i="10" s="1"/>
  <c r="D1016" i="10" s="1"/>
  <c r="D1040" i="10" s="1"/>
  <c r="D1064" i="10" s="1"/>
  <c r="D1088" i="10" s="1"/>
  <c r="D1112" i="10" s="1"/>
  <c r="D1136" i="10" s="1"/>
  <c r="D1160" i="10" s="1"/>
  <c r="E79" i="10"/>
  <c r="D79" i="10"/>
  <c r="E78" i="10"/>
  <c r="C78" i="10"/>
  <c r="B78" i="10"/>
  <c r="E77" i="10"/>
  <c r="D77" i="10"/>
  <c r="D101" i="10" s="1"/>
  <c r="D125" i="10" s="1"/>
  <c r="D149" i="10" s="1"/>
  <c r="D173" i="10" s="1"/>
  <c r="D197" i="10" s="1"/>
  <c r="D221" i="10" s="1"/>
  <c r="D245" i="10" s="1"/>
  <c r="D269" i="10" s="1"/>
  <c r="D293" i="10" s="1"/>
  <c r="D317" i="10" s="1"/>
  <c r="D341" i="10" s="1"/>
  <c r="D365" i="10" s="1"/>
  <c r="D389" i="10" s="1"/>
  <c r="D413" i="10" s="1"/>
  <c r="D437" i="10" s="1"/>
  <c r="D461" i="10" s="1"/>
  <c r="D485" i="10" s="1"/>
  <c r="D509" i="10" s="1"/>
  <c r="D533" i="10" s="1"/>
  <c r="D557" i="10" s="1"/>
  <c r="D581" i="10" s="1"/>
  <c r="D605" i="10" s="1"/>
  <c r="D629" i="10" s="1"/>
  <c r="D653" i="10" s="1"/>
  <c r="D677" i="10" s="1"/>
  <c r="D701" i="10" s="1"/>
  <c r="D725" i="10" s="1"/>
  <c r="D749" i="10" s="1"/>
  <c r="D773" i="10" s="1"/>
  <c r="D797" i="10" s="1"/>
  <c r="D821" i="10" s="1"/>
  <c r="D845" i="10" s="1"/>
  <c r="D869" i="10" s="1"/>
  <c r="D893" i="10" s="1"/>
  <c r="D917" i="10" s="1"/>
  <c r="D941" i="10" s="1"/>
  <c r="D965" i="10" s="1"/>
  <c r="D989" i="10" s="1"/>
  <c r="D1013" i="10" s="1"/>
  <c r="D1037" i="10" s="1"/>
  <c r="D1061" i="10" s="1"/>
  <c r="D1085" i="10" s="1"/>
  <c r="D1109" i="10" s="1"/>
  <c r="D1133" i="10" s="1"/>
  <c r="D1157" i="10" s="1"/>
  <c r="D1181" i="10" s="1"/>
  <c r="E76" i="10"/>
  <c r="D76" i="10"/>
  <c r="E75" i="10"/>
  <c r="D75" i="10"/>
  <c r="E74" i="10"/>
  <c r="E73" i="10"/>
  <c r="D73" i="10"/>
  <c r="D97" i="10" s="1"/>
  <c r="D121" i="10" s="1"/>
  <c r="D145" i="10" s="1"/>
  <c r="D169" i="10" s="1"/>
  <c r="D193" i="10" s="1"/>
  <c r="D217" i="10" s="1"/>
  <c r="D241" i="10" s="1"/>
  <c r="D265" i="10" s="1"/>
  <c r="D289" i="10" s="1"/>
  <c r="D313" i="10" s="1"/>
  <c r="D337" i="10" s="1"/>
  <c r="D361" i="10" s="1"/>
  <c r="D385" i="10" s="1"/>
  <c r="D409" i="10" s="1"/>
  <c r="D433" i="10" s="1"/>
  <c r="D457" i="10" s="1"/>
  <c r="D481" i="10" s="1"/>
  <c r="D505" i="10" s="1"/>
  <c r="D529" i="10" s="1"/>
  <c r="D553" i="10" s="1"/>
  <c r="D577" i="10" s="1"/>
  <c r="D601" i="10" s="1"/>
  <c r="D625" i="10" s="1"/>
  <c r="D649" i="10" s="1"/>
  <c r="D673" i="10" s="1"/>
  <c r="D697" i="10" s="1"/>
  <c r="D721" i="10" s="1"/>
  <c r="D745" i="10" s="1"/>
  <c r="D769" i="10" s="1"/>
  <c r="D793" i="10" s="1"/>
  <c r="D817" i="10" s="1"/>
  <c r="D841" i="10" s="1"/>
  <c r="D865" i="10" s="1"/>
  <c r="D889" i="10" s="1"/>
  <c r="D913" i="10" s="1"/>
  <c r="D937" i="10" s="1"/>
  <c r="D961" i="10" s="1"/>
  <c r="D985" i="10" s="1"/>
  <c r="D1009" i="10" s="1"/>
  <c r="D1033" i="10" s="1"/>
  <c r="D1057" i="10" s="1"/>
  <c r="D1081" i="10" s="1"/>
  <c r="D1105" i="10" s="1"/>
  <c r="D1129" i="10" s="1"/>
  <c r="D1153" i="10" s="1"/>
  <c r="D1177" i="10" s="1"/>
  <c r="E72" i="10"/>
  <c r="D72" i="10"/>
  <c r="E71" i="10"/>
  <c r="D71" i="10"/>
  <c r="E70" i="10"/>
  <c r="E69" i="10"/>
  <c r="D69" i="10"/>
  <c r="D93" i="10" s="1"/>
  <c r="D117" i="10" s="1"/>
  <c r="D141" i="10" s="1"/>
  <c r="D165" i="10" s="1"/>
  <c r="D189" i="10" s="1"/>
  <c r="D213" i="10" s="1"/>
  <c r="D237" i="10" s="1"/>
  <c r="D261" i="10" s="1"/>
  <c r="D285" i="10" s="1"/>
  <c r="D309" i="10" s="1"/>
  <c r="D333" i="10" s="1"/>
  <c r="D357" i="10" s="1"/>
  <c r="D381" i="10" s="1"/>
  <c r="D405" i="10" s="1"/>
  <c r="D429" i="10" s="1"/>
  <c r="D453" i="10" s="1"/>
  <c r="D477" i="10" s="1"/>
  <c r="D501" i="10" s="1"/>
  <c r="D525" i="10" s="1"/>
  <c r="D549" i="10" s="1"/>
  <c r="D573" i="10" s="1"/>
  <c r="D597" i="10" s="1"/>
  <c r="D621" i="10" s="1"/>
  <c r="D645" i="10" s="1"/>
  <c r="D669" i="10" s="1"/>
  <c r="D693" i="10" s="1"/>
  <c r="D717" i="10" s="1"/>
  <c r="D741" i="10" s="1"/>
  <c r="D765" i="10" s="1"/>
  <c r="D789" i="10" s="1"/>
  <c r="D813" i="10" s="1"/>
  <c r="D837" i="10" s="1"/>
  <c r="D861" i="10" s="1"/>
  <c r="D885" i="10" s="1"/>
  <c r="D909" i="10" s="1"/>
  <c r="D933" i="10" s="1"/>
  <c r="D957" i="10" s="1"/>
  <c r="D981" i="10" s="1"/>
  <c r="D1005" i="10" s="1"/>
  <c r="D1029" i="10" s="1"/>
  <c r="D1053" i="10" s="1"/>
  <c r="D1077" i="10" s="1"/>
  <c r="D1101" i="10" s="1"/>
  <c r="D1125" i="10" s="1"/>
  <c r="D1149" i="10" s="1"/>
  <c r="D1173" i="10" s="1"/>
  <c r="E68" i="10"/>
  <c r="D68" i="10"/>
  <c r="E67" i="10"/>
  <c r="D67" i="10"/>
  <c r="E66" i="10"/>
  <c r="E65" i="10"/>
  <c r="D65" i="10"/>
  <c r="D89" i="10" s="1"/>
  <c r="D113" i="10" s="1"/>
  <c r="D137" i="10" s="1"/>
  <c r="D161" i="10" s="1"/>
  <c r="D185" i="10" s="1"/>
  <c r="D209" i="10" s="1"/>
  <c r="D233" i="10" s="1"/>
  <c r="D257" i="10" s="1"/>
  <c r="D281" i="10" s="1"/>
  <c r="D305" i="10" s="1"/>
  <c r="D329" i="10" s="1"/>
  <c r="D353" i="10" s="1"/>
  <c r="D377" i="10" s="1"/>
  <c r="D401" i="10" s="1"/>
  <c r="D425" i="10" s="1"/>
  <c r="D449" i="10" s="1"/>
  <c r="D473" i="10" s="1"/>
  <c r="D497" i="10" s="1"/>
  <c r="D521" i="10" s="1"/>
  <c r="D545" i="10" s="1"/>
  <c r="D569" i="10" s="1"/>
  <c r="D593" i="10" s="1"/>
  <c r="D617" i="10" s="1"/>
  <c r="D641" i="10" s="1"/>
  <c r="D665" i="10" s="1"/>
  <c r="D689" i="10" s="1"/>
  <c r="D713" i="10" s="1"/>
  <c r="D737" i="10" s="1"/>
  <c r="D761" i="10" s="1"/>
  <c r="D785" i="10" s="1"/>
  <c r="D809" i="10" s="1"/>
  <c r="D833" i="10" s="1"/>
  <c r="D857" i="10" s="1"/>
  <c r="D881" i="10" s="1"/>
  <c r="D905" i="10" s="1"/>
  <c r="D929" i="10" s="1"/>
  <c r="D953" i="10" s="1"/>
  <c r="D977" i="10" s="1"/>
  <c r="D1001" i="10" s="1"/>
  <c r="D1025" i="10" s="1"/>
  <c r="D1049" i="10" s="1"/>
  <c r="D1073" i="10" s="1"/>
  <c r="D1097" i="10" s="1"/>
  <c r="D1121" i="10" s="1"/>
  <c r="D1145" i="10" s="1"/>
  <c r="D1169" i="10" s="1"/>
  <c r="E64" i="10"/>
  <c r="D64" i="10"/>
  <c r="E63" i="10"/>
  <c r="D63" i="10"/>
  <c r="E62" i="10"/>
  <c r="E61" i="10"/>
  <c r="D61" i="10"/>
  <c r="D85" i="10" s="1"/>
  <c r="D109" i="10" s="1"/>
  <c r="D133" i="10" s="1"/>
  <c r="D157" i="10" s="1"/>
  <c r="D181" i="10" s="1"/>
  <c r="D205" i="10" s="1"/>
  <c r="D229" i="10" s="1"/>
  <c r="D253" i="10" s="1"/>
  <c r="D277" i="10" s="1"/>
  <c r="D301" i="10" s="1"/>
  <c r="D325" i="10" s="1"/>
  <c r="D349" i="10" s="1"/>
  <c r="D373" i="10" s="1"/>
  <c r="D397" i="10" s="1"/>
  <c r="D421" i="10" s="1"/>
  <c r="D445" i="10" s="1"/>
  <c r="D469" i="10" s="1"/>
  <c r="D493" i="10" s="1"/>
  <c r="D517" i="10" s="1"/>
  <c r="D541" i="10" s="1"/>
  <c r="D565" i="10" s="1"/>
  <c r="D589" i="10" s="1"/>
  <c r="D613" i="10" s="1"/>
  <c r="D637" i="10" s="1"/>
  <c r="D661" i="10" s="1"/>
  <c r="D685" i="10" s="1"/>
  <c r="D709" i="10" s="1"/>
  <c r="D733" i="10" s="1"/>
  <c r="D757" i="10" s="1"/>
  <c r="D781" i="10" s="1"/>
  <c r="D805" i="10" s="1"/>
  <c r="D829" i="10" s="1"/>
  <c r="D853" i="10" s="1"/>
  <c r="D877" i="10" s="1"/>
  <c r="D901" i="10" s="1"/>
  <c r="D925" i="10" s="1"/>
  <c r="D949" i="10" s="1"/>
  <c r="D973" i="10" s="1"/>
  <c r="D997" i="10" s="1"/>
  <c r="D1021" i="10" s="1"/>
  <c r="D1045" i="10" s="1"/>
  <c r="D1069" i="10" s="1"/>
  <c r="D1093" i="10" s="1"/>
  <c r="D1117" i="10" s="1"/>
  <c r="D1141" i="10" s="1"/>
  <c r="D1165" i="10" s="1"/>
  <c r="E60" i="10"/>
  <c r="D60" i="10"/>
  <c r="E59" i="10"/>
  <c r="D59" i="10"/>
  <c r="E58" i="10"/>
  <c r="E57" i="10"/>
  <c r="D57" i="10"/>
  <c r="D81" i="10" s="1"/>
  <c r="D105" i="10" s="1"/>
  <c r="D129" i="10" s="1"/>
  <c r="D153" i="10" s="1"/>
  <c r="D177" i="10" s="1"/>
  <c r="D201" i="10" s="1"/>
  <c r="D225" i="10" s="1"/>
  <c r="D249" i="10" s="1"/>
  <c r="D273" i="10" s="1"/>
  <c r="D297" i="10" s="1"/>
  <c r="D321" i="10" s="1"/>
  <c r="D345" i="10" s="1"/>
  <c r="D369" i="10" s="1"/>
  <c r="D393" i="10" s="1"/>
  <c r="D417" i="10" s="1"/>
  <c r="D441" i="10" s="1"/>
  <c r="D465" i="10" s="1"/>
  <c r="D489" i="10" s="1"/>
  <c r="D513" i="10" s="1"/>
  <c r="D537" i="10" s="1"/>
  <c r="D561" i="10" s="1"/>
  <c r="D585" i="10" s="1"/>
  <c r="D609" i="10" s="1"/>
  <c r="D633" i="10" s="1"/>
  <c r="D657" i="10" s="1"/>
  <c r="D681" i="10" s="1"/>
  <c r="D705" i="10" s="1"/>
  <c r="D729" i="10" s="1"/>
  <c r="D753" i="10" s="1"/>
  <c r="D777" i="10" s="1"/>
  <c r="D801" i="10" s="1"/>
  <c r="D825" i="10" s="1"/>
  <c r="D849" i="10" s="1"/>
  <c r="D873" i="10" s="1"/>
  <c r="D897" i="10" s="1"/>
  <c r="D921" i="10" s="1"/>
  <c r="D945" i="10" s="1"/>
  <c r="D969" i="10" s="1"/>
  <c r="D993" i="10" s="1"/>
  <c r="D1017" i="10" s="1"/>
  <c r="D1041" i="10" s="1"/>
  <c r="D1065" i="10" s="1"/>
  <c r="D1089" i="10" s="1"/>
  <c r="D1113" i="10" s="1"/>
  <c r="D1137" i="10" s="1"/>
  <c r="D1161" i="10" s="1"/>
  <c r="E56" i="10"/>
  <c r="D56" i="10"/>
  <c r="E55" i="10"/>
  <c r="D55" i="10"/>
  <c r="E54" i="10"/>
  <c r="C54" i="10"/>
  <c r="B54" i="10"/>
  <c r="E53" i="10"/>
  <c r="D53" i="10"/>
  <c r="E52" i="10"/>
  <c r="D52" i="10"/>
  <c r="E51" i="10"/>
  <c r="D51" i="10"/>
  <c r="E50" i="10"/>
  <c r="D50" i="10"/>
  <c r="D74" i="10" s="1"/>
  <c r="D98" i="10" s="1"/>
  <c r="D122" i="10" s="1"/>
  <c r="D146" i="10" s="1"/>
  <c r="D170" i="10" s="1"/>
  <c r="D194" i="10" s="1"/>
  <c r="D218" i="10" s="1"/>
  <c r="D242" i="10" s="1"/>
  <c r="D266" i="10" s="1"/>
  <c r="D290" i="10" s="1"/>
  <c r="D314" i="10" s="1"/>
  <c r="D338" i="10" s="1"/>
  <c r="D362" i="10" s="1"/>
  <c r="D386" i="10" s="1"/>
  <c r="D410" i="10" s="1"/>
  <c r="D434" i="10" s="1"/>
  <c r="D458" i="10" s="1"/>
  <c r="D482" i="10" s="1"/>
  <c r="D506" i="10" s="1"/>
  <c r="D530" i="10" s="1"/>
  <c r="D554" i="10" s="1"/>
  <c r="D578" i="10" s="1"/>
  <c r="D602" i="10" s="1"/>
  <c r="D626" i="10" s="1"/>
  <c r="D650" i="10" s="1"/>
  <c r="D674" i="10" s="1"/>
  <c r="D698" i="10" s="1"/>
  <c r="D722" i="10" s="1"/>
  <c r="D746" i="10" s="1"/>
  <c r="D770" i="10" s="1"/>
  <c r="D794" i="10" s="1"/>
  <c r="D818" i="10" s="1"/>
  <c r="D842" i="10" s="1"/>
  <c r="D866" i="10" s="1"/>
  <c r="D890" i="10" s="1"/>
  <c r="D914" i="10" s="1"/>
  <c r="D938" i="10" s="1"/>
  <c r="D962" i="10" s="1"/>
  <c r="D986" i="10" s="1"/>
  <c r="D1010" i="10" s="1"/>
  <c r="D1034" i="10" s="1"/>
  <c r="D1058" i="10" s="1"/>
  <c r="D1082" i="10" s="1"/>
  <c r="D1106" i="10" s="1"/>
  <c r="D1130" i="10" s="1"/>
  <c r="D1154" i="10" s="1"/>
  <c r="D1178" i="10" s="1"/>
  <c r="E49" i="10"/>
  <c r="D49" i="10"/>
  <c r="E48" i="10"/>
  <c r="D48" i="10"/>
  <c r="E47" i="10"/>
  <c r="D47" i="10"/>
  <c r="E46" i="10"/>
  <c r="D46" i="10"/>
  <c r="D70" i="10" s="1"/>
  <c r="D94" i="10" s="1"/>
  <c r="D118" i="10" s="1"/>
  <c r="D142" i="10" s="1"/>
  <c r="D166" i="10" s="1"/>
  <c r="D190" i="10" s="1"/>
  <c r="D214" i="10" s="1"/>
  <c r="D238" i="10" s="1"/>
  <c r="D262" i="10" s="1"/>
  <c r="D286" i="10" s="1"/>
  <c r="D310" i="10" s="1"/>
  <c r="D334" i="10" s="1"/>
  <c r="D358" i="10" s="1"/>
  <c r="D382" i="10" s="1"/>
  <c r="D406" i="10" s="1"/>
  <c r="D430" i="10" s="1"/>
  <c r="D454" i="10" s="1"/>
  <c r="D478" i="10" s="1"/>
  <c r="D502" i="10" s="1"/>
  <c r="D526" i="10" s="1"/>
  <c r="D550" i="10" s="1"/>
  <c r="D574" i="10" s="1"/>
  <c r="D598" i="10" s="1"/>
  <c r="D622" i="10" s="1"/>
  <c r="D646" i="10" s="1"/>
  <c r="D670" i="10" s="1"/>
  <c r="D694" i="10" s="1"/>
  <c r="D718" i="10" s="1"/>
  <c r="D742" i="10" s="1"/>
  <c r="D766" i="10" s="1"/>
  <c r="D790" i="10" s="1"/>
  <c r="D814" i="10" s="1"/>
  <c r="D838" i="10" s="1"/>
  <c r="D862" i="10" s="1"/>
  <c r="D886" i="10" s="1"/>
  <c r="D910" i="10" s="1"/>
  <c r="D934" i="10" s="1"/>
  <c r="D958" i="10" s="1"/>
  <c r="D982" i="10" s="1"/>
  <c r="D1006" i="10" s="1"/>
  <c r="D1030" i="10" s="1"/>
  <c r="D1054" i="10" s="1"/>
  <c r="D1078" i="10" s="1"/>
  <c r="D1102" i="10" s="1"/>
  <c r="D1126" i="10" s="1"/>
  <c r="D1150" i="10" s="1"/>
  <c r="D1174" i="10" s="1"/>
  <c r="E45" i="10"/>
  <c r="D45" i="10"/>
  <c r="E44" i="10"/>
  <c r="D44" i="10"/>
  <c r="E43" i="10"/>
  <c r="D43" i="10"/>
  <c r="E42" i="10"/>
  <c r="D42" i="10"/>
  <c r="D66" i="10" s="1"/>
  <c r="D90" i="10" s="1"/>
  <c r="D114" i="10" s="1"/>
  <c r="D138" i="10" s="1"/>
  <c r="D162" i="10" s="1"/>
  <c r="D186" i="10" s="1"/>
  <c r="D210" i="10" s="1"/>
  <c r="D234" i="10" s="1"/>
  <c r="D258" i="10" s="1"/>
  <c r="D282" i="10" s="1"/>
  <c r="D306" i="10" s="1"/>
  <c r="D330" i="10" s="1"/>
  <c r="D354" i="10" s="1"/>
  <c r="D378" i="10" s="1"/>
  <c r="D402" i="10" s="1"/>
  <c r="D426" i="10" s="1"/>
  <c r="D450" i="10" s="1"/>
  <c r="D474" i="10" s="1"/>
  <c r="D498" i="10" s="1"/>
  <c r="D522" i="10" s="1"/>
  <c r="D546" i="10" s="1"/>
  <c r="D570" i="10" s="1"/>
  <c r="D594" i="10" s="1"/>
  <c r="D618" i="10" s="1"/>
  <c r="D642" i="10" s="1"/>
  <c r="D666" i="10" s="1"/>
  <c r="D690" i="10" s="1"/>
  <c r="D714" i="10" s="1"/>
  <c r="D738" i="10" s="1"/>
  <c r="D762" i="10" s="1"/>
  <c r="D786" i="10" s="1"/>
  <c r="D810" i="10" s="1"/>
  <c r="D834" i="10" s="1"/>
  <c r="D858" i="10" s="1"/>
  <c r="D882" i="10" s="1"/>
  <c r="D906" i="10" s="1"/>
  <c r="D930" i="10" s="1"/>
  <c r="D954" i="10" s="1"/>
  <c r="D978" i="10" s="1"/>
  <c r="D1002" i="10" s="1"/>
  <c r="D1026" i="10" s="1"/>
  <c r="D1050" i="10" s="1"/>
  <c r="D1074" i="10" s="1"/>
  <c r="D1098" i="10" s="1"/>
  <c r="D1122" i="10" s="1"/>
  <c r="D1146" i="10" s="1"/>
  <c r="D1170" i="10" s="1"/>
  <c r="E41" i="10"/>
  <c r="D41" i="10"/>
  <c r="E40" i="10"/>
  <c r="D40" i="10"/>
  <c r="E39" i="10"/>
  <c r="D39" i="10"/>
  <c r="E38" i="10"/>
  <c r="D38" i="10"/>
  <c r="D62" i="10" s="1"/>
  <c r="D86" i="10" s="1"/>
  <c r="D110" i="10" s="1"/>
  <c r="D134" i="10" s="1"/>
  <c r="D158" i="10" s="1"/>
  <c r="D182" i="10" s="1"/>
  <c r="D206" i="10" s="1"/>
  <c r="D230" i="10" s="1"/>
  <c r="D254" i="10" s="1"/>
  <c r="D278" i="10" s="1"/>
  <c r="D302" i="10" s="1"/>
  <c r="D326" i="10" s="1"/>
  <c r="D350" i="10" s="1"/>
  <c r="D374" i="10" s="1"/>
  <c r="D398" i="10" s="1"/>
  <c r="D422" i="10" s="1"/>
  <c r="D446" i="10" s="1"/>
  <c r="D470" i="10" s="1"/>
  <c r="D494" i="10" s="1"/>
  <c r="D518" i="10" s="1"/>
  <c r="D542" i="10" s="1"/>
  <c r="D566" i="10" s="1"/>
  <c r="D590" i="10" s="1"/>
  <c r="D614" i="10" s="1"/>
  <c r="D638" i="10" s="1"/>
  <c r="D662" i="10" s="1"/>
  <c r="D686" i="10" s="1"/>
  <c r="D710" i="10" s="1"/>
  <c r="D734" i="10" s="1"/>
  <c r="D758" i="10" s="1"/>
  <c r="D782" i="10" s="1"/>
  <c r="D806" i="10" s="1"/>
  <c r="D830" i="10" s="1"/>
  <c r="D854" i="10" s="1"/>
  <c r="D878" i="10" s="1"/>
  <c r="D902" i="10" s="1"/>
  <c r="D926" i="10" s="1"/>
  <c r="D950" i="10" s="1"/>
  <c r="D974" i="10" s="1"/>
  <c r="D998" i="10" s="1"/>
  <c r="D1022" i="10" s="1"/>
  <c r="D1046" i="10" s="1"/>
  <c r="D1070" i="10" s="1"/>
  <c r="D1094" i="10" s="1"/>
  <c r="D1118" i="10" s="1"/>
  <c r="D1142" i="10" s="1"/>
  <c r="D1166" i="10" s="1"/>
  <c r="E37" i="10"/>
  <c r="D37" i="10"/>
  <c r="E36" i="10"/>
  <c r="D36" i="10"/>
  <c r="E35" i="10"/>
  <c r="D35" i="10"/>
  <c r="E34" i="10"/>
  <c r="D34" i="10"/>
  <c r="D58" i="10" s="1"/>
  <c r="D82" i="10" s="1"/>
  <c r="D106" i="10" s="1"/>
  <c r="D130" i="10" s="1"/>
  <c r="D154" i="10" s="1"/>
  <c r="D178" i="10" s="1"/>
  <c r="D202" i="10" s="1"/>
  <c r="D226" i="10" s="1"/>
  <c r="D250" i="10" s="1"/>
  <c r="D274" i="10" s="1"/>
  <c r="D298" i="10" s="1"/>
  <c r="D322" i="10" s="1"/>
  <c r="D346" i="10" s="1"/>
  <c r="D370" i="10" s="1"/>
  <c r="D394" i="10" s="1"/>
  <c r="D418" i="10" s="1"/>
  <c r="D442" i="10" s="1"/>
  <c r="D466" i="10" s="1"/>
  <c r="D490" i="10" s="1"/>
  <c r="D514" i="10" s="1"/>
  <c r="D538" i="10" s="1"/>
  <c r="D562" i="10" s="1"/>
  <c r="D586" i="10" s="1"/>
  <c r="D610" i="10" s="1"/>
  <c r="D634" i="10" s="1"/>
  <c r="D658" i="10" s="1"/>
  <c r="D682" i="10" s="1"/>
  <c r="D706" i="10" s="1"/>
  <c r="D730" i="10" s="1"/>
  <c r="D754" i="10" s="1"/>
  <c r="D778" i="10" s="1"/>
  <c r="D802" i="10" s="1"/>
  <c r="D826" i="10" s="1"/>
  <c r="D850" i="10" s="1"/>
  <c r="D874" i="10" s="1"/>
  <c r="D898" i="10" s="1"/>
  <c r="D922" i="10" s="1"/>
  <c r="D946" i="10" s="1"/>
  <c r="D970" i="10" s="1"/>
  <c r="D994" i="10" s="1"/>
  <c r="D1018" i="10" s="1"/>
  <c r="D1042" i="10" s="1"/>
  <c r="D1066" i="10" s="1"/>
  <c r="D1090" i="10" s="1"/>
  <c r="D1114" i="10" s="1"/>
  <c r="D1138" i="10" s="1"/>
  <c r="D1162" i="10" s="1"/>
  <c r="E33" i="10"/>
  <c r="D33" i="10"/>
  <c r="E32" i="10"/>
  <c r="D32" i="10"/>
  <c r="E31" i="10"/>
  <c r="D31" i="10"/>
  <c r="E30" i="10"/>
  <c r="D30" i="10"/>
  <c r="D54" i="10" s="1"/>
  <c r="D78" i="10" s="1"/>
  <c r="D102" i="10" s="1"/>
  <c r="D126" i="10" s="1"/>
  <c r="D150" i="10" s="1"/>
  <c r="D174" i="10" s="1"/>
  <c r="D198" i="10" s="1"/>
  <c r="D222" i="10" s="1"/>
  <c r="D246" i="10" s="1"/>
  <c r="D270" i="10" s="1"/>
  <c r="D294" i="10" s="1"/>
  <c r="D318" i="10" s="1"/>
  <c r="D342" i="10" s="1"/>
  <c r="D366" i="10" s="1"/>
  <c r="D390" i="10" s="1"/>
  <c r="D414" i="10" s="1"/>
  <c r="D438" i="10" s="1"/>
  <c r="D462" i="10" s="1"/>
  <c r="D486" i="10" s="1"/>
  <c r="D510" i="10" s="1"/>
  <c r="D534" i="10" s="1"/>
  <c r="D558" i="10" s="1"/>
  <c r="D582" i="10" s="1"/>
  <c r="D606" i="10" s="1"/>
  <c r="D630" i="10" s="1"/>
  <c r="D654" i="10" s="1"/>
  <c r="D678" i="10" s="1"/>
  <c r="D702" i="10" s="1"/>
  <c r="D726" i="10" s="1"/>
  <c r="D750" i="10" s="1"/>
  <c r="D774" i="10" s="1"/>
  <c r="D798" i="10" s="1"/>
  <c r="D822" i="10" s="1"/>
  <c r="D846" i="10" s="1"/>
  <c r="D870" i="10" s="1"/>
  <c r="D894" i="10" s="1"/>
  <c r="D918" i="10" s="1"/>
  <c r="D942" i="10" s="1"/>
  <c r="D966" i="10" s="1"/>
  <c r="D990" i="10" s="1"/>
  <c r="D1014" i="10" s="1"/>
  <c r="D1038" i="10" s="1"/>
  <c r="D1062" i="10" s="1"/>
  <c r="D1086" i="10" s="1"/>
  <c r="D1110" i="10" s="1"/>
  <c r="D1134" i="10" s="1"/>
  <c r="D1158" i="10" s="1"/>
  <c r="C30" i="10"/>
  <c r="B30" i="10"/>
  <c r="E1181" i="11"/>
  <c r="E1180" i="11"/>
  <c r="E1179" i="11"/>
  <c r="E1178" i="11"/>
  <c r="E1177" i="11"/>
  <c r="E1176" i="11"/>
  <c r="E1175" i="11"/>
  <c r="E1174" i="11"/>
  <c r="E1173" i="11"/>
  <c r="E1172" i="11"/>
  <c r="E1171" i="11"/>
  <c r="E1170" i="11"/>
  <c r="E1169" i="11"/>
  <c r="E1168" i="11"/>
  <c r="E1167" i="11"/>
  <c r="E1166" i="11"/>
  <c r="E1165" i="11"/>
  <c r="E1164" i="11"/>
  <c r="E1163" i="11"/>
  <c r="E1162" i="11"/>
  <c r="E1161" i="11"/>
  <c r="E1160" i="11"/>
  <c r="E1159" i="11"/>
  <c r="E1158" i="11"/>
  <c r="C1158" i="11"/>
  <c r="E1157" i="11"/>
  <c r="E1156" i="11"/>
  <c r="E1155" i="11"/>
  <c r="E1154" i="11"/>
  <c r="E1153" i="11"/>
  <c r="E1152" i="11"/>
  <c r="E1151" i="11"/>
  <c r="E1150" i="11"/>
  <c r="E1149" i="11"/>
  <c r="E1148" i="11"/>
  <c r="E1147" i="11"/>
  <c r="E1146" i="11"/>
  <c r="E1145" i="11"/>
  <c r="E1144" i="11"/>
  <c r="E1143" i="11"/>
  <c r="E1142" i="11"/>
  <c r="E1141" i="11"/>
  <c r="E1140" i="11"/>
  <c r="E1139" i="11"/>
  <c r="E1138" i="11"/>
  <c r="E1137" i="11"/>
  <c r="E1136" i="11"/>
  <c r="E1135" i="11"/>
  <c r="E1134" i="11"/>
  <c r="C1134" i="11"/>
  <c r="B1134" i="11"/>
  <c r="E1133" i="11"/>
  <c r="E1132" i="11"/>
  <c r="E1131" i="11"/>
  <c r="E1130" i="11"/>
  <c r="E1129" i="11"/>
  <c r="E1128" i="11"/>
  <c r="E1127" i="11"/>
  <c r="E1126" i="11"/>
  <c r="E1125" i="11"/>
  <c r="E1124" i="11"/>
  <c r="E1123" i="11"/>
  <c r="E1122" i="11"/>
  <c r="E1121" i="11"/>
  <c r="E1120" i="11"/>
  <c r="E1119" i="11"/>
  <c r="E1118" i="11"/>
  <c r="E1117" i="11"/>
  <c r="E1116" i="11"/>
  <c r="E1115" i="11"/>
  <c r="E1114" i="11"/>
  <c r="E1113" i="11"/>
  <c r="E1112" i="11"/>
  <c r="E1111" i="11"/>
  <c r="E1110" i="11"/>
  <c r="C1110" i="11"/>
  <c r="B1110" i="11"/>
  <c r="E1109" i="11"/>
  <c r="E1108" i="11"/>
  <c r="E1107" i="11"/>
  <c r="E1106" i="11"/>
  <c r="E1105" i="11"/>
  <c r="E1104" i="11"/>
  <c r="E1103" i="11"/>
  <c r="E1102" i="11"/>
  <c r="E1101" i="11"/>
  <c r="E1100" i="11"/>
  <c r="E1099" i="11"/>
  <c r="E1098" i="11"/>
  <c r="E1097" i="11"/>
  <c r="E1096" i="11"/>
  <c r="E1095" i="11"/>
  <c r="E1094" i="11"/>
  <c r="E1093" i="11"/>
  <c r="E1092" i="11"/>
  <c r="E1091" i="11"/>
  <c r="E1090" i="11"/>
  <c r="E1089" i="11"/>
  <c r="E1088" i="11"/>
  <c r="E1087" i="11"/>
  <c r="E1086" i="11"/>
  <c r="C1086" i="11"/>
  <c r="B1086" i="11"/>
  <c r="E1085" i="11"/>
  <c r="E1084" i="11"/>
  <c r="E1083" i="11"/>
  <c r="E1082" i="11"/>
  <c r="E1081" i="11"/>
  <c r="E1080" i="11"/>
  <c r="E1079" i="11"/>
  <c r="E1078" i="11"/>
  <c r="E1077" i="11"/>
  <c r="E1076" i="11"/>
  <c r="E1075" i="11"/>
  <c r="E1074" i="11"/>
  <c r="E1073" i="11"/>
  <c r="E1072" i="11"/>
  <c r="E1071" i="11"/>
  <c r="E1070" i="11"/>
  <c r="E1069" i="11"/>
  <c r="E1068" i="11"/>
  <c r="E1067" i="11"/>
  <c r="E1066" i="11"/>
  <c r="E1065" i="11"/>
  <c r="E1064" i="11"/>
  <c r="E1063" i="11"/>
  <c r="E1062" i="11"/>
  <c r="C1062" i="11"/>
  <c r="B1062" i="11"/>
  <c r="E1061" i="11"/>
  <c r="E1060" i="11"/>
  <c r="E1059" i="11"/>
  <c r="E1058" i="11"/>
  <c r="E1057" i="11"/>
  <c r="E1056" i="11"/>
  <c r="E1055" i="11"/>
  <c r="E1054" i="11"/>
  <c r="E1053" i="11"/>
  <c r="E1052" i="11"/>
  <c r="E1051" i="11"/>
  <c r="E1050" i="11"/>
  <c r="E1049" i="11"/>
  <c r="E1048" i="11"/>
  <c r="E1047" i="11"/>
  <c r="E1046" i="11"/>
  <c r="E1045" i="11"/>
  <c r="E1044" i="11"/>
  <c r="E1043" i="11"/>
  <c r="E1042" i="11"/>
  <c r="E1041" i="11"/>
  <c r="E1040" i="11"/>
  <c r="E1039" i="11"/>
  <c r="E1038" i="11"/>
  <c r="C1038" i="11"/>
  <c r="B1038" i="11"/>
  <c r="E1037" i="11"/>
  <c r="E1036" i="11"/>
  <c r="E1035" i="11"/>
  <c r="E1034" i="11"/>
  <c r="E1033" i="11"/>
  <c r="E1032" i="11"/>
  <c r="E1031" i="11"/>
  <c r="E1030" i="11"/>
  <c r="E1029" i="11"/>
  <c r="E1028" i="11"/>
  <c r="E1027" i="11"/>
  <c r="E1026" i="11"/>
  <c r="E1025" i="11"/>
  <c r="E1024" i="11"/>
  <c r="E1023" i="11"/>
  <c r="E1022" i="11"/>
  <c r="E1021" i="11"/>
  <c r="E1020" i="11"/>
  <c r="E1019" i="11"/>
  <c r="E1018" i="11"/>
  <c r="E1017" i="11"/>
  <c r="E1016" i="11"/>
  <c r="E1015" i="11"/>
  <c r="E1014" i="11"/>
  <c r="C1014" i="11"/>
  <c r="B1014" i="11"/>
  <c r="E1013" i="11"/>
  <c r="E1012" i="11"/>
  <c r="E1011" i="11"/>
  <c r="E1010" i="11"/>
  <c r="E1009" i="11"/>
  <c r="E1008" i="11"/>
  <c r="E1007" i="11"/>
  <c r="E1006" i="11"/>
  <c r="E1005" i="11"/>
  <c r="E1004" i="11"/>
  <c r="E1003" i="11"/>
  <c r="E1002" i="11"/>
  <c r="E1001" i="11"/>
  <c r="E1000" i="11"/>
  <c r="E999" i="11"/>
  <c r="E998" i="11"/>
  <c r="E997" i="11"/>
  <c r="E996" i="11"/>
  <c r="E995" i="11"/>
  <c r="E994" i="11"/>
  <c r="E993" i="11"/>
  <c r="E992" i="11"/>
  <c r="E991" i="11"/>
  <c r="E990" i="11"/>
  <c r="C990" i="11"/>
  <c r="B990" i="11"/>
  <c r="E989" i="11"/>
  <c r="E988" i="11"/>
  <c r="E987" i="11"/>
  <c r="E986" i="11"/>
  <c r="E985" i="11"/>
  <c r="E984" i="11"/>
  <c r="E983" i="11"/>
  <c r="E982" i="11"/>
  <c r="E981" i="11"/>
  <c r="E980" i="11"/>
  <c r="E979" i="11"/>
  <c r="E978" i="11"/>
  <c r="E977" i="11"/>
  <c r="E976" i="11"/>
  <c r="E975" i="11"/>
  <c r="E974" i="11"/>
  <c r="E973" i="11"/>
  <c r="E972" i="11"/>
  <c r="E971" i="11"/>
  <c r="E970" i="11"/>
  <c r="E969" i="11"/>
  <c r="E968" i="11"/>
  <c r="E967" i="11"/>
  <c r="E966" i="11"/>
  <c r="C966" i="11"/>
  <c r="B966" i="11"/>
  <c r="E965" i="11"/>
  <c r="E964" i="11"/>
  <c r="E963" i="11"/>
  <c r="E962" i="11"/>
  <c r="E961" i="11"/>
  <c r="E960" i="11"/>
  <c r="E959" i="11"/>
  <c r="E958" i="11"/>
  <c r="E957" i="11"/>
  <c r="E956" i="11"/>
  <c r="E955" i="11"/>
  <c r="E954" i="11"/>
  <c r="E953" i="11"/>
  <c r="E952" i="11"/>
  <c r="E951" i="11"/>
  <c r="E950" i="11"/>
  <c r="E949" i="11"/>
  <c r="E948" i="11"/>
  <c r="E947" i="11"/>
  <c r="E946" i="11"/>
  <c r="E945" i="11"/>
  <c r="E944" i="11"/>
  <c r="E943" i="11"/>
  <c r="E942" i="11"/>
  <c r="C942" i="11"/>
  <c r="B942" i="11"/>
  <c r="E941" i="11"/>
  <c r="E940" i="11"/>
  <c r="E939" i="11"/>
  <c r="E938" i="11"/>
  <c r="E937" i="11"/>
  <c r="E936" i="11"/>
  <c r="E935" i="11"/>
  <c r="E934" i="11"/>
  <c r="E933" i="11"/>
  <c r="E932" i="11"/>
  <c r="E931" i="11"/>
  <c r="E930" i="11"/>
  <c r="E929" i="11"/>
  <c r="E928" i="11"/>
  <c r="E927" i="11"/>
  <c r="E926" i="11"/>
  <c r="E925" i="11"/>
  <c r="E924" i="11"/>
  <c r="E923" i="11"/>
  <c r="E922" i="11"/>
  <c r="E921" i="11"/>
  <c r="E920" i="11"/>
  <c r="E919" i="11"/>
  <c r="E918" i="11"/>
  <c r="C918" i="11"/>
  <c r="B918" i="11"/>
  <c r="E917" i="11"/>
  <c r="E916" i="11"/>
  <c r="E915" i="11"/>
  <c r="E914" i="11"/>
  <c r="E913" i="11"/>
  <c r="E912" i="11"/>
  <c r="E911" i="11"/>
  <c r="E910" i="11"/>
  <c r="E909" i="11"/>
  <c r="E908" i="11"/>
  <c r="E907" i="11"/>
  <c r="E906" i="11"/>
  <c r="E905" i="11"/>
  <c r="E904" i="11"/>
  <c r="E903" i="11"/>
  <c r="E902" i="11"/>
  <c r="E901" i="11"/>
  <c r="E900" i="11"/>
  <c r="E899" i="11"/>
  <c r="E898" i="11"/>
  <c r="E897" i="11"/>
  <c r="E896" i="11"/>
  <c r="E895" i="11"/>
  <c r="E894" i="11"/>
  <c r="C894" i="11"/>
  <c r="B894" i="11"/>
  <c r="E893" i="11"/>
  <c r="E892" i="11"/>
  <c r="E891" i="11"/>
  <c r="E890" i="11"/>
  <c r="E889" i="11"/>
  <c r="E888" i="11"/>
  <c r="E887" i="11"/>
  <c r="E886" i="11"/>
  <c r="E885" i="11"/>
  <c r="E884" i="11"/>
  <c r="E883" i="11"/>
  <c r="E882" i="11"/>
  <c r="E881" i="11"/>
  <c r="E880" i="11"/>
  <c r="E879" i="11"/>
  <c r="E878" i="11"/>
  <c r="E877" i="11"/>
  <c r="E876" i="11"/>
  <c r="E875" i="11"/>
  <c r="E874" i="11"/>
  <c r="E873" i="11"/>
  <c r="E872" i="11"/>
  <c r="E871" i="11"/>
  <c r="E870" i="11"/>
  <c r="C870" i="11"/>
  <c r="B870" i="11"/>
  <c r="E869" i="11"/>
  <c r="E868" i="11"/>
  <c r="E867" i="11"/>
  <c r="E866" i="11"/>
  <c r="E865" i="11"/>
  <c r="E864" i="11"/>
  <c r="E863" i="11"/>
  <c r="E862" i="11"/>
  <c r="E861" i="11"/>
  <c r="E860" i="11"/>
  <c r="E859" i="11"/>
  <c r="E858" i="11"/>
  <c r="E857" i="11"/>
  <c r="E856" i="11"/>
  <c r="E855" i="11"/>
  <c r="E854" i="11"/>
  <c r="E853" i="11"/>
  <c r="E852" i="11"/>
  <c r="E851" i="11"/>
  <c r="E850" i="11"/>
  <c r="E849" i="11"/>
  <c r="E848" i="11"/>
  <c r="E847" i="11"/>
  <c r="E846" i="11"/>
  <c r="C846" i="11"/>
  <c r="B846" i="11"/>
  <c r="E845" i="11"/>
  <c r="E844" i="11"/>
  <c r="E843" i="11"/>
  <c r="E842" i="11"/>
  <c r="E841" i="11"/>
  <c r="E840" i="11"/>
  <c r="E839" i="11"/>
  <c r="E838" i="11"/>
  <c r="E837" i="11"/>
  <c r="E836" i="11"/>
  <c r="E835" i="11"/>
  <c r="E834" i="11"/>
  <c r="E833" i="11"/>
  <c r="E832" i="11"/>
  <c r="E831" i="11"/>
  <c r="E830" i="11"/>
  <c r="E829" i="11"/>
  <c r="E828" i="11"/>
  <c r="E827" i="11"/>
  <c r="E826" i="11"/>
  <c r="E825" i="11"/>
  <c r="E824" i="11"/>
  <c r="E823" i="11"/>
  <c r="E822" i="11"/>
  <c r="C822" i="11"/>
  <c r="B822" i="11"/>
  <c r="E821" i="11"/>
  <c r="E820" i="11"/>
  <c r="E819" i="11"/>
  <c r="E818" i="11"/>
  <c r="E817" i="11"/>
  <c r="E816" i="11"/>
  <c r="E815" i="11"/>
  <c r="E814" i="11"/>
  <c r="E813" i="11"/>
  <c r="E812" i="11"/>
  <c r="E811" i="11"/>
  <c r="E810" i="11"/>
  <c r="E809" i="11"/>
  <c r="E808" i="11"/>
  <c r="E807" i="11"/>
  <c r="E806" i="11"/>
  <c r="E805" i="11"/>
  <c r="E804" i="11"/>
  <c r="E803" i="11"/>
  <c r="E802" i="11"/>
  <c r="E801" i="11"/>
  <c r="E800" i="11"/>
  <c r="E799" i="11"/>
  <c r="E798" i="11"/>
  <c r="C798" i="11"/>
  <c r="B798" i="11"/>
  <c r="E797" i="11"/>
  <c r="E796" i="11"/>
  <c r="E795" i="11"/>
  <c r="E794" i="11"/>
  <c r="E793" i="11"/>
  <c r="E792" i="11"/>
  <c r="E791" i="11"/>
  <c r="E790" i="11"/>
  <c r="E789" i="11"/>
  <c r="E788" i="11"/>
  <c r="E787" i="11"/>
  <c r="E786" i="11"/>
  <c r="E785" i="11"/>
  <c r="E784" i="11"/>
  <c r="E783" i="11"/>
  <c r="E782" i="11"/>
  <c r="E781" i="11"/>
  <c r="E780" i="11"/>
  <c r="E779" i="11"/>
  <c r="E778" i="11"/>
  <c r="E777" i="11"/>
  <c r="E776" i="11"/>
  <c r="E775" i="11"/>
  <c r="E774" i="11"/>
  <c r="C774" i="11"/>
  <c r="B774" i="11"/>
  <c r="E773" i="11"/>
  <c r="E772" i="11"/>
  <c r="E771" i="11"/>
  <c r="E770" i="11"/>
  <c r="E769" i="11"/>
  <c r="E768" i="11"/>
  <c r="E767" i="11"/>
  <c r="E766" i="11"/>
  <c r="E765" i="11"/>
  <c r="E764" i="11"/>
  <c r="E763" i="11"/>
  <c r="E762" i="11"/>
  <c r="E761" i="11"/>
  <c r="E760" i="11"/>
  <c r="E759" i="11"/>
  <c r="E758" i="11"/>
  <c r="E757" i="11"/>
  <c r="E756" i="11"/>
  <c r="E755" i="11"/>
  <c r="E754" i="11"/>
  <c r="E753" i="11"/>
  <c r="E752" i="11"/>
  <c r="E751" i="11"/>
  <c r="E750" i="11"/>
  <c r="C750" i="11"/>
  <c r="B750" i="11"/>
  <c r="E749" i="11"/>
  <c r="E748" i="11"/>
  <c r="E747" i="11"/>
  <c r="E746" i="11"/>
  <c r="E745" i="11"/>
  <c r="E744" i="11"/>
  <c r="E743" i="11"/>
  <c r="E742" i="11"/>
  <c r="E741" i="11"/>
  <c r="E740" i="11"/>
  <c r="E739" i="11"/>
  <c r="E738" i="11"/>
  <c r="E737" i="11"/>
  <c r="E736" i="11"/>
  <c r="E735" i="11"/>
  <c r="E734" i="11"/>
  <c r="E733" i="11"/>
  <c r="E732" i="11"/>
  <c r="E731" i="11"/>
  <c r="E730" i="11"/>
  <c r="E729" i="11"/>
  <c r="E728" i="11"/>
  <c r="E727" i="11"/>
  <c r="E726" i="11"/>
  <c r="C726" i="11"/>
  <c r="B726" i="11"/>
  <c r="E725" i="11"/>
  <c r="E724" i="11"/>
  <c r="E723" i="11"/>
  <c r="E722" i="11"/>
  <c r="E721" i="11"/>
  <c r="E720" i="11"/>
  <c r="E719" i="11"/>
  <c r="E718" i="11"/>
  <c r="E717" i="11"/>
  <c r="E716" i="11"/>
  <c r="E715" i="11"/>
  <c r="E714" i="11"/>
  <c r="E713" i="11"/>
  <c r="E712" i="11"/>
  <c r="E711" i="11"/>
  <c r="E710" i="11"/>
  <c r="E709" i="11"/>
  <c r="E708" i="11"/>
  <c r="E707" i="11"/>
  <c r="E706" i="11"/>
  <c r="E705" i="11"/>
  <c r="E704" i="11"/>
  <c r="E703" i="11"/>
  <c r="E702" i="11"/>
  <c r="C702" i="11"/>
  <c r="B702" i="11"/>
  <c r="E701" i="11"/>
  <c r="E700" i="11"/>
  <c r="E699" i="11"/>
  <c r="E698" i="11"/>
  <c r="E697" i="11"/>
  <c r="E696" i="11"/>
  <c r="E695" i="11"/>
  <c r="E694" i="11"/>
  <c r="E693" i="11"/>
  <c r="E692" i="11"/>
  <c r="E691" i="11"/>
  <c r="E690" i="11"/>
  <c r="E689" i="11"/>
  <c r="E688" i="11"/>
  <c r="E687" i="11"/>
  <c r="E686" i="11"/>
  <c r="E685" i="11"/>
  <c r="E684" i="11"/>
  <c r="E683" i="11"/>
  <c r="E682" i="11"/>
  <c r="E681" i="11"/>
  <c r="E680" i="11"/>
  <c r="E679" i="11"/>
  <c r="E678" i="11"/>
  <c r="C678" i="11"/>
  <c r="B678" i="11"/>
  <c r="E677" i="11"/>
  <c r="E676" i="11"/>
  <c r="E675" i="11"/>
  <c r="E674" i="11"/>
  <c r="E673" i="11"/>
  <c r="E672" i="11"/>
  <c r="E671" i="11"/>
  <c r="E670" i="11"/>
  <c r="E669" i="11"/>
  <c r="E668" i="11"/>
  <c r="E667" i="11"/>
  <c r="E666" i="11"/>
  <c r="E665" i="11"/>
  <c r="E664" i="11"/>
  <c r="E663" i="11"/>
  <c r="E662" i="11"/>
  <c r="E661" i="11"/>
  <c r="E660" i="11"/>
  <c r="E659" i="11"/>
  <c r="E658" i="11"/>
  <c r="E657" i="11"/>
  <c r="E656" i="11"/>
  <c r="E655" i="11"/>
  <c r="E654" i="11"/>
  <c r="C654" i="11"/>
  <c r="B654" i="11"/>
  <c r="E653" i="11"/>
  <c r="E652" i="11"/>
  <c r="E651" i="11"/>
  <c r="E650" i="11"/>
  <c r="E649" i="11"/>
  <c r="E648" i="11"/>
  <c r="E647" i="11"/>
  <c r="E646" i="11"/>
  <c r="E645" i="11"/>
  <c r="E644" i="11"/>
  <c r="E643" i="11"/>
  <c r="E642" i="11"/>
  <c r="E641" i="11"/>
  <c r="E640" i="11"/>
  <c r="E639" i="11"/>
  <c r="E638" i="11"/>
  <c r="E637" i="11"/>
  <c r="E636" i="11"/>
  <c r="E635" i="11"/>
  <c r="E634" i="11"/>
  <c r="E633" i="11"/>
  <c r="E632" i="11"/>
  <c r="E631" i="11"/>
  <c r="E630" i="11"/>
  <c r="C630" i="11"/>
  <c r="B630" i="11"/>
  <c r="E629" i="11"/>
  <c r="E628" i="11"/>
  <c r="E627" i="11"/>
  <c r="E626" i="11"/>
  <c r="E625" i="11"/>
  <c r="E624" i="11"/>
  <c r="E623" i="11"/>
  <c r="E622" i="11"/>
  <c r="E621" i="11"/>
  <c r="E620" i="11"/>
  <c r="E619" i="11"/>
  <c r="E618" i="11"/>
  <c r="E617" i="11"/>
  <c r="E616" i="11"/>
  <c r="E615" i="11"/>
  <c r="E614" i="11"/>
  <c r="E613" i="11"/>
  <c r="E612" i="11"/>
  <c r="E611" i="11"/>
  <c r="E610" i="11"/>
  <c r="E609" i="11"/>
  <c r="E608" i="11"/>
  <c r="E607" i="11"/>
  <c r="E606" i="11"/>
  <c r="C606" i="11"/>
  <c r="B606" i="11"/>
  <c r="E605" i="11"/>
  <c r="E604" i="11"/>
  <c r="E603" i="11"/>
  <c r="E602" i="11"/>
  <c r="E601" i="11"/>
  <c r="E600" i="11"/>
  <c r="E599" i="11"/>
  <c r="E598" i="11"/>
  <c r="E597" i="11"/>
  <c r="E596" i="11"/>
  <c r="E595" i="11"/>
  <c r="E594" i="11"/>
  <c r="E593" i="11"/>
  <c r="E592" i="11"/>
  <c r="E591" i="11"/>
  <c r="E590" i="11"/>
  <c r="E589" i="11"/>
  <c r="E588" i="11"/>
  <c r="E587" i="11"/>
  <c r="E586" i="11"/>
  <c r="E585" i="11"/>
  <c r="E584" i="11"/>
  <c r="E583" i="11"/>
  <c r="E582" i="11"/>
  <c r="C582" i="11"/>
  <c r="B582" i="11"/>
  <c r="E581" i="11"/>
  <c r="E580" i="11"/>
  <c r="E579" i="11"/>
  <c r="E578" i="11"/>
  <c r="E577" i="11"/>
  <c r="E576" i="11"/>
  <c r="E575" i="11"/>
  <c r="E574" i="11"/>
  <c r="E573" i="11"/>
  <c r="E572" i="11"/>
  <c r="E571" i="11"/>
  <c r="E570" i="11"/>
  <c r="E569" i="11"/>
  <c r="E568" i="11"/>
  <c r="E567" i="11"/>
  <c r="E566" i="11"/>
  <c r="E565" i="11"/>
  <c r="E564" i="11"/>
  <c r="E563" i="11"/>
  <c r="E562" i="11"/>
  <c r="E561" i="11"/>
  <c r="E560" i="11"/>
  <c r="E559" i="11"/>
  <c r="E558" i="11"/>
  <c r="C558" i="11"/>
  <c r="B558" i="11"/>
  <c r="E557" i="11"/>
  <c r="E556" i="11"/>
  <c r="E555" i="11"/>
  <c r="E554" i="11"/>
  <c r="E553" i="11"/>
  <c r="E552" i="11"/>
  <c r="E551" i="11"/>
  <c r="E550" i="11"/>
  <c r="E549" i="11"/>
  <c r="E548" i="11"/>
  <c r="E547" i="11"/>
  <c r="E546" i="11"/>
  <c r="E545" i="11"/>
  <c r="E544" i="11"/>
  <c r="E543" i="11"/>
  <c r="E542" i="11"/>
  <c r="E541" i="11"/>
  <c r="E540" i="11"/>
  <c r="E539" i="11"/>
  <c r="E538" i="11"/>
  <c r="E537" i="11"/>
  <c r="E536" i="11"/>
  <c r="E535" i="11"/>
  <c r="E534" i="11"/>
  <c r="C534" i="11"/>
  <c r="B534" i="11"/>
  <c r="E533" i="11"/>
  <c r="E532" i="11"/>
  <c r="E531" i="11"/>
  <c r="E530" i="11"/>
  <c r="E529" i="11"/>
  <c r="E528" i="11"/>
  <c r="E527" i="11"/>
  <c r="E526" i="11"/>
  <c r="E525" i="11"/>
  <c r="E524" i="11"/>
  <c r="E523" i="11"/>
  <c r="E522" i="11"/>
  <c r="E521" i="11"/>
  <c r="E520" i="11"/>
  <c r="E519" i="11"/>
  <c r="E518" i="11"/>
  <c r="E517" i="11"/>
  <c r="E516" i="11"/>
  <c r="E515" i="11"/>
  <c r="E514" i="11"/>
  <c r="E513" i="11"/>
  <c r="E512" i="11"/>
  <c r="E511" i="11"/>
  <c r="E510" i="11"/>
  <c r="C510" i="11"/>
  <c r="B510" i="11"/>
  <c r="E509" i="11"/>
  <c r="E508" i="11"/>
  <c r="E507" i="11"/>
  <c r="E506" i="11"/>
  <c r="E505" i="11"/>
  <c r="E504" i="11"/>
  <c r="E503" i="11"/>
  <c r="E502" i="11"/>
  <c r="E501" i="11"/>
  <c r="E500" i="11"/>
  <c r="E499" i="11"/>
  <c r="E498" i="11"/>
  <c r="E497" i="11"/>
  <c r="E496" i="11"/>
  <c r="E495" i="11"/>
  <c r="E494" i="11"/>
  <c r="E493" i="11"/>
  <c r="E492" i="11"/>
  <c r="E491" i="11"/>
  <c r="E490" i="11"/>
  <c r="E489" i="11"/>
  <c r="E488" i="11"/>
  <c r="E487" i="11"/>
  <c r="E486" i="11"/>
  <c r="C486" i="11"/>
  <c r="B486" i="11"/>
  <c r="E485" i="11"/>
  <c r="E484" i="11"/>
  <c r="E483" i="11"/>
  <c r="E482" i="11"/>
  <c r="E481" i="11"/>
  <c r="E480" i="11"/>
  <c r="E479" i="11"/>
  <c r="E478" i="11"/>
  <c r="E477" i="11"/>
  <c r="E476" i="11"/>
  <c r="E475" i="11"/>
  <c r="E474" i="11"/>
  <c r="E473" i="11"/>
  <c r="E472" i="11"/>
  <c r="E471" i="11"/>
  <c r="E470" i="11"/>
  <c r="E469" i="11"/>
  <c r="E468" i="11"/>
  <c r="E467" i="11"/>
  <c r="E466" i="11"/>
  <c r="E465" i="11"/>
  <c r="E464" i="11"/>
  <c r="E463" i="11"/>
  <c r="E462" i="11"/>
  <c r="C462" i="11"/>
  <c r="B462" i="11"/>
  <c r="E461" i="11"/>
  <c r="E460" i="11"/>
  <c r="E459" i="11"/>
  <c r="E458" i="11"/>
  <c r="E457" i="11"/>
  <c r="E456" i="11"/>
  <c r="E455" i="11"/>
  <c r="E454" i="11"/>
  <c r="E453" i="11"/>
  <c r="E452" i="11"/>
  <c r="E451" i="11"/>
  <c r="E450" i="11"/>
  <c r="E449" i="11"/>
  <c r="E448" i="11"/>
  <c r="E447" i="11"/>
  <c r="E446" i="11"/>
  <c r="E445" i="11"/>
  <c r="E444" i="11"/>
  <c r="E443" i="11"/>
  <c r="E442" i="11"/>
  <c r="E441" i="11"/>
  <c r="E440" i="11"/>
  <c r="E439" i="11"/>
  <c r="E438" i="11"/>
  <c r="C438" i="11"/>
  <c r="B438" i="11"/>
  <c r="E437" i="11"/>
  <c r="E436" i="11"/>
  <c r="E435" i="11"/>
  <c r="E434" i="11"/>
  <c r="E433" i="11"/>
  <c r="E432" i="11"/>
  <c r="E431" i="11"/>
  <c r="E430" i="11"/>
  <c r="E429" i="11"/>
  <c r="E428" i="11"/>
  <c r="E427" i="11"/>
  <c r="E426" i="11"/>
  <c r="E425" i="11"/>
  <c r="E424" i="11"/>
  <c r="E423" i="11"/>
  <c r="E422" i="11"/>
  <c r="E421" i="11"/>
  <c r="E420" i="11"/>
  <c r="E419" i="11"/>
  <c r="E418" i="11"/>
  <c r="E417" i="11"/>
  <c r="E416" i="11"/>
  <c r="E415" i="11"/>
  <c r="E414" i="11"/>
  <c r="C414" i="11"/>
  <c r="B414" i="11"/>
  <c r="E413" i="11"/>
  <c r="E412" i="11"/>
  <c r="E411" i="11"/>
  <c r="E410" i="11"/>
  <c r="E409" i="11"/>
  <c r="E408" i="11"/>
  <c r="E407" i="11"/>
  <c r="E406" i="11"/>
  <c r="E405" i="11"/>
  <c r="E404" i="11"/>
  <c r="E403" i="11"/>
  <c r="E402" i="11"/>
  <c r="E401" i="11"/>
  <c r="E400" i="11"/>
  <c r="E399" i="11"/>
  <c r="E398" i="11"/>
  <c r="E397" i="11"/>
  <c r="E396" i="11"/>
  <c r="E395" i="11"/>
  <c r="E394" i="11"/>
  <c r="E393" i="11"/>
  <c r="E392" i="11"/>
  <c r="E391" i="11"/>
  <c r="E390" i="11"/>
  <c r="C390" i="11"/>
  <c r="B390" i="11"/>
  <c r="E389" i="11"/>
  <c r="E388" i="11"/>
  <c r="E387" i="11"/>
  <c r="E386" i="11"/>
  <c r="E385" i="11"/>
  <c r="E384" i="11"/>
  <c r="E383" i="11"/>
  <c r="E382" i="11"/>
  <c r="E381" i="11"/>
  <c r="E380" i="11"/>
  <c r="E379" i="11"/>
  <c r="E378" i="11"/>
  <c r="E377" i="11"/>
  <c r="E376" i="11"/>
  <c r="E375" i="11"/>
  <c r="E374" i="11"/>
  <c r="E373" i="11"/>
  <c r="E372" i="11"/>
  <c r="E371" i="11"/>
  <c r="E370" i="11"/>
  <c r="E369" i="11"/>
  <c r="E368" i="11"/>
  <c r="E367" i="11"/>
  <c r="E366" i="11"/>
  <c r="C366" i="11"/>
  <c r="B366" i="11"/>
  <c r="E365" i="11"/>
  <c r="E364" i="11"/>
  <c r="E363" i="11"/>
  <c r="E362" i="11"/>
  <c r="E361" i="11"/>
  <c r="E360" i="11"/>
  <c r="E359" i="11"/>
  <c r="E358" i="11"/>
  <c r="E357" i="11"/>
  <c r="E356" i="11"/>
  <c r="E355" i="11"/>
  <c r="E354" i="11"/>
  <c r="E353" i="11"/>
  <c r="E352" i="11"/>
  <c r="E351" i="11"/>
  <c r="E350" i="11"/>
  <c r="E349" i="11"/>
  <c r="E348" i="11"/>
  <c r="E347" i="11"/>
  <c r="E346" i="11"/>
  <c r="E345" i="11"/>
  <c r="E344" i="11"/>
  <c r="E343" i="11"/>
  <c r="E342" i="11"/>
  <c r="C342" i="11"/>
  <c r="B342" i="11"/>
  <c r="E341" i="11"/>
  <c r="E340" i="11"/>
  <c r="E339" i="11"/>
  <c r="E338" i="11"/>
  <c r="E337" i="11"/>
  <c r="E336" i="11"/>
  <c r="E335" i="11"/>
  <c r="E334" i="11"/>
  <c r="E333" i="11"/>
  <c r="E332" i="11"/>
  <c r="E331" i="11"/>
  <c r="E330" i="11"/>
  <c r="E329" i="11"/>
  <c r="E328" i="11"/>
  <c r="E327" i="11"/>
  <c r="E326" i="11"/>
  <c r="E325" i="11"/>
  <c r="E324" i="11"/>
  <c r="E323" i="11"/>
  <c r="E322" i="11"/>
  <c r="E321" i="11"/>
  <c r="E320" i="11"/>
  <c r="E319" i="11"/>
  <c r="E318" i="11"/>
  <c r="C318" i="11"/>
  <c r="B318" i="11"/>
  <c r="E317" i="11"/>
  <c r="E316" i="11"/>
  <c r="E315" i="11"/>
  <c r="E314" i="11"/>
  <c r="E313" i="11"/>
  <c r="E312" i="11"/>
  <c r="E311" i="11"/>
  <c r="E310" i="11"/>
  <c r="E309" i="11"/>
  <c r="E308" i="11"/>
  <c r="E307" i="11"/>
  <c r="E306" i="11"/>
  <c r="E305" i="11"/>
  <c r="E304" i="11"/>
  <c r="E303" i="11"/>
  <c r="E302" i="11"/>
  <c r="E301" i="11"/>
  <c r="E300" i="11"/>
  <c r="E299" i="11"/>
  <c r="E298" i="11"/>
  <c r="E297" i="11"/>
  <c r="E296" i="11"/>
  <c r="E295" i="11"/>
  <c r="E294" i="11"/>
  <c r="C294" i="11"/>
  <c r="B294" i="11"/>
  <c r="E293" i="11"/>
  <c r="E292" i="11"/>
  <c r="E291" i="11"/>
  <c r="E290" i="11"/>
  <c r="E289" i="11"/>
  <c r="E288" i="11"/>
  <c r="E287" i="11"/>
  <c r="E286" i="11"/>
  <c r="E285" i="11"/>
  <c r="E284" i="11"/>
  <c r="E283" i="11"/>
  <c r="E282" i="11"/>
  <c r="E281" i="11"/>
  <c r="E280" i="11"/>
  <c r="E279" i="11"/>
  <c r="E278" i="11"/>
  <c r="E277" i="11"/>
  <c r="E276" i="11"/>
  <c r="E275" i="11"/>
  <c r="E274" i="11"/>
  <c r="E273" i="11"/>
  <c r="E272" i="11"/>
  <c r="E271" i="11"/>
  <c r="E270" i="11"/>
  <c r="C270" i="11"/>
  <c r="B270" i="11"/>
  <c r="E269" i="11"/>
  <c r="E268" i="11"/>
  <c r="E267" i="11"/>
  <c r="E266" i="11"/>
  <c r="E265" i="11"/>
  <c r="E264" i="11"/>
  <c r="E263" i="11"/>
  <c r="E262" i="11"/>
  <c r="E261" i="11"/>
  <c r="E260" i="11"/>
  <c r="E259" i="11"/>
  <c r="E258" i="11"/>
  <c r="E257" i="11"/>
  <c r="E256" i="11"/>
  <c r="E255" i="11"/>
  <c r="E254" i="11"/>
  <c r="E253" i="11"/>
  <c r="E252" i="11"/>
  <c r="E251" i="11"/>
  <c r="E250" i="11"/>
  <c r="E249" i="11"/>
  <c r="E248" i="11"/>
  <c r="E247" i="11"/>
  <c r="E246" i="11"/>
  <c r="C246" i="11"/>
  <c r="B246" i="11"/>
  <c r="E245" i="11"/>
  <c r="E244" i="11"/>
  <c r="E243" i="11"/>
  <c r="E242" i="11"/>
  <c r="E241" i="11"/>
  <c r="E240" i="11"/>
  <c r="E239" i="11"/>
  <c r="E238" i="11"/>
  <c r="E237" i="11"/>
  <c r="E236" i="11"/>
  <c r="E235" i="11"/>
  <c r="E234" i="11"/>
  <c r="E233" i="11"/>
  <c r="E232" i="11"/>
  <c r="E231" i="11"/>
  <c r="E230" i="11"/>
  <c r="E229" i="11"/>
  <c r="E228" i="11"/>
  <c r="E227" i="11"/>
  <c r="E226" i="11"/>
  <c r="E225" i="11"/>
  <c r="E224" i="11"/>
  <c r="E223" i="11"/>
  <c r="E222" i="11"/>
  <c r="C222" i="11"/>
  <c r="B222" i="11"/>
  <c r="E221" i="1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C198" i="11"/>
  <c r="B198" i="11"/>
  <c r="E197" i="11"/>
  <c r="E196" i="11"/>
  <c r="E195" i="11"/>
  <c r="E194" i="11"/>
  <c r="E193" i="11"/>
  <c r="E192" i="11"/>
  <c r="E191" i="11"/>
  <c r="E190" i="11"/>
  <c r="E189" i="11"/>
  <c r="E188" i="11"/>
  <c r="E187" i="11"/>
  <c r="E186" i="11"/>
  <c r="E185" i="11"/>
  <c r="E184" i="11"/>
  <c r="E183" i="11"/>
  <c r="E182" i="11"/>
  <c r="E181" i="11"/>
  <c r="E180" i="11"/>
  <c r="E179" i="11"/>
  <c r="E178" i="11"/>
  <c r="E177" i="11"/>
  <c r="E176" i="11"/>
  <c r="E175" i="11"/>
  <c r="E174" i="11"/>
  <c r="C174" i="11"/>
  <c r="B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C150" i="11"/>
  <c r="B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C126" i="11"/>
  <c r="B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C102" i="11"/>
  <c r="B102" i="11"/>
  <c r="E101" i="11"/>
  <c r="E100" i="11"/>
  <c r="E99" i="11"/>
  <c r="E98" i="11"/>
  <c r="E97" i="11"/>
  <c r="E96" i="11"/>
  <c r="E95" i="11"/>
  <c r="E94" i="11"/>
  <c r="E93" i="11"/>
  <c r="E92" i="11"/>
  <c r="E91" i="11"/>
  <c r="E90" i="11"/>
  <c r="E89" i="11"/>
  <c r="E88" i="11"/>
  <c r="E87" i="11"/>
  <c r="E86" i="11"/>
  <c r="E85" i="11"/>
  <c r="E84" i="11"/>
  <c r="E83" i="11"/>
  <c r="E82" i="11"/>
  <c r="E81" i="11"/>
  <c r="E80" i="11"/>
  <c r="E79" i="11"/>
  <c r="E78" i="11"/>
  <c r="C78" i="11"/>
  <c r="B78" i="11"/>
  <c r="E77" i="11"/>
  <c r="E76" i="11"/>
  <c r="D76" i="11"/>
  <c r="D100" i="11" s="1"/>
  <c r="D124" i="11" s="1"/>
  <c r="D148" i="11" s="1"/>
  <c r="D172" i="11" s="1"/>
  <c r="D196" i="11" s="1"/>
  <c r="D220" i="11" s="1"/>
  <c r="D244" i="11" s="1"/>
  <c r="D268" i="11" s="1"/>
  <c r="D292" i="11" s="1"/>
  <c r="D316" i="11" s="1"/>
  <c r="D340" i="11" s="1"/>
  <c r="D364" i="11" s="1"/>
  <c r="D388" i="11" s="1"/>
  <c r="D412" i="11" s="1"/>
  <c r="D436" i="11" s="1"/>
  <c r="D460" i="11" s="1"/>
  <c r="D484" i="11" s="1"/>
  <c r="D508" i="11" s="1"/>
  <c r="D532" i="11" s="1"/>
  <c r="D556" i="11" s="1"/>
  <c r="D580" i="11" s="1"/>
  <c r="D604" i="11" s="1"/>
  <c r="D628" i="11" s="1"/>
  <c r="D652" i="11" s="1"/>
  <c r="D676" i="11" s="1"/>
  <c r="D700" i="11" s="1"/>
  <c r="D724" i="11" s="1"/>
  <c r="D748" i="11" s="1"/>
  <c r="D772" i="11" s="1"/>
  <c r="D796" i="11" s="1"/>
  <c r="D820" i="11" s="1"/>
  <c r="D844" i="11" s="1"/>
  <c r="D868" i="11" s="1"/>
  <c r="D892" i="11" s="1"/>
  <c r="D916" i="11" s="1"/>
  <c r="D940" i="11" s="1"/>
  <c r="D964" i="11" s="1"/>
  <c r="D988" i="11" s="1"/>
  <c r="D1012" i="11" s="1"/>
  <c r="D1036" i="11" s="1"/>
  <c r="D1060" i="11" s="1"/>
  <c r="D1084" i="11" s="1"/>
  <c r="D1108" i="11" s="1"/>
  <c r="D1132" i="11" s="1"/>
  <c r="D1156" i="11" s="1"/>
  <c r="D1180" i="11" s="1"/>
  <c r="E75" i="11"/>
  <c r="E74" i="11"/>
  <c r="E73" i="11"/>
  <c r="E72" i="11"/>
  <c r="D72" i="11"/>
  <c r="D96" i="11" s="1"/>
  <c r="D120" i="11" s="1"/>
  <c r="D144" i="11" s="1"/>
  <c r="D168" i="11" s="1"/>
  <c r="D192" i="11" s="1"/>
  <c r="D216" i="11" s="1"/>
  <c r="D240" i="11" s="1"/>
  <c r="D264" i="11" s="1"/>
  <c r="D288" i="11" s="1"/>
  <c r="D312" i="11" s="1"/>
  <c r="D336" i="11" s="1"/>
  <c r="D360" i="11" s="1"/>
  <c r="D384" i="11" s="1"/>
  <c r="D408" i="11" s="1"/>
  <c r="D432" i="11" s="1"/>
  <c r="D456" i="11" s="1"/>
  <c r="D480" i="11" s="1"/>
  <c r="D504" i="11" s="1"/>
  <c r="D528" i="11" s="1"/>
  <c r="D552" i="11" s="1"/>
  <c r="D576" i="11" s="1"/>
  <c r="D600" i="11" s="1"/>
  <c r="D624" i="11" s="1"/>
  <c r="D648" i="11" s="1"/>
  <c r="D672" i="11" s="1"/>
  <c r="D696" i="11" s="1"/>
  <c r="D720" i="11" s="1"/>
  <c r="D744" i="11" s="1"/>
  <c r="D768" i="11" s="1"/>
  <c r="D792" i="11" s="1"/>
  <c r="D816" i="11" s="1"/>
  <c r="D840" i="11" s="1"/>
  <c r="D864" i="11" s="1"/>
  <c r="D888" i="11" s="1"/>
  <c r="D912" i="11" s="1"/>
  <c r="D936" i="11" s="1"/>
  <c r="D960" i="11" s="1"/>
  <c r="D984" i="11" s="1"/>
  <c r="D1008" i="11" s="1"/>
  <c r="D1032" i="11" s="1"/>
  <c r="D1056" i="11" s="1"/>
  <c r="D1080" i="11" s="1"/>
  <c r="D1104" i="11" s="1"/>
  <c r="D1128" i="11" s="1"/>
  <c r="D1152" i="11" s="1"/>
  <c r="D1176" i="11" s="1"/>
  <c r="E71" i="11"/>
  <c r="E70" i="11"/>
  <c r="E69" i="11"/>
  <c r="E68" i="11"/>
  <c r="D68" i="11"/>
  <c r="D92" i="11" s="1"/>
  <c r="D116" i="11" s="1"/>
  <c r="D140" i="11" s="1"/>
  <c r="D164" i="11" s="1"/>
  <c r="D188" i="11" s="1"/>
  <c r="D212" i="11" s="1"/>
  <c r="D236" i="11" s="1"/>
  <c r="D260" i="11" s="1"/>
  <c r="D284" i="11" s="1"/>
  <c r="D308" i="11" s="1"/>
  <c r="D332" i="11" s="1"/>
  <c r="D356" i="11" s="1"/>
  <c r="D380" i="11" s="1"/>
  <c r="D404" i="11" s="1"/>
  <c r="D428" i="11" s="1"/>
  <c r="D452" i="11" s="1"/>
  <c r="D476" i="11" s="1"/>
  <c r="D500" i="11" s="1"/>
  <c r="D524" i="11" s="1"/>
  <c r="D548" i="11" s="1"/>
  <c r="D572" i="11" s="1"/>
  <c r="D596" i="11" s="1"/>
  <c r="D620" i="11" s="1"/>
  <c r="D644" i="11" s="1"/>
  <c r="D668" i="11" s="1"/>
  <c r="D692" i="11" s="1"/>
  <c r="D716" i="11" s="1"/>
  <c r="D740" i="11" s="1"/>
  <c r="D764" i="11" s="1"/>
  <c r="D788" i="11" s="1"/>
  <c r="D812" i="11" s="1"/>
  <c r="D836" i="11" s="1"/>
  <c r="D860" i="11" s="1"/>
  <c r="D884" i="11" s="1"/>
  <c r="D908" i="11" s="1"/>
  <c r="D932" i="11" s="1"/>
  <c r="D956" i="11" s="1"/>
  <c r="D980" i="11" s="1"/>
  <c r="D1004" i="11" s="1"/>
  <c r="D1028" i="11" s="1"/>
  <c r="D1052" i="11" s="1"/>
  <c r="D1076" i="11" s="1"/>
  <c r="D1100" i="11" s="1"/>
  <c r="D1124" i="11" s="1"/>
  <c r="D1148" i="11" s="1"/>
  <c r="D1172" i="11" s="1"/>
  <c r="E67" i="11"/>
  <c r="E66" i="11"/>
  <c r="E65" i="11"/>
  <c r="E64" i="11"/>
  <c r="D64" i="11"/>
  <c r="D88" i="11" s="1"/>
  <c r="D112" i="11" s="1"/>
  <c r="D136" i="11" s="1"/>
  <c r="D160" i="11" s="1"/>
  <c r="D184" i="11" s="1"/>
  <c r="D208" i="11" s="1"/>
  <c r="D232" i="11" s="1"/>
  <c r="D256" i="11" s="1"/>
  <c r="D280" i="11" s="1"/>
  <c r="D304" i="11" s="1"/>
  <c r="D328" i="11" s="1"/>
  <c r="D352" i="11" s="1"/>
  <c r="D376" i="11" s="1"/>
  <c r="D400" i="11" s="1"/>
  <c r="D424" i="11" s="1"/>
  <c r="D448" i="11" s="1"/>
  <c r="D472" i="11" s="1"/>
  <c r="D496" i="11" s="1"/>
  <c r="D520" i="11" s="1"/>
  <c r="D544" i="11" s="1"/>
  <c r="D568" i="11" s="1"/>
  <c r="D592" i="11" s="1"/>
  <c r="D616" i="11" s="1"/>
  <c r="D640" i="11" s="1"/>
  <c r="D664" i="11" s="1"/>
  <c r="D688" i="11" s="1"/>
  <c r="D712" i="11" s="1"/>
  <c r="D736" i="11" s="1"/>
  <c r="D760" i="11" s="1"/>
  <c r="D784" i="11" s="1"/>
  <c r="D808" i="11" s="1"/>
  <c r="D832" i="11" s="1"/>
  <c r="D856" i="11" s="1"/>
  <c r="D880" i="11" s="1"/>
  <c r="D904" i="11" s="1"/>
  <c r="D928" i="11" s="1"/>
  <c r="D952" i="11" s="1"/>
  <c r="D976" i="11" s="1"/>
  <c r="D1000" i="11" s="1"/>
  <c r="D1024" i="11" s="1"/>
  <c r="D1048" i="11" s="1"/>
  <c r="D1072" i="11" s="1"/>
  <c r="D1096" i="11" s="1"/>
  <c r="D1120" i="11" s="1"/>
  <c r="D1144" i="11" s="1"/>
  <c r="D1168" i="11" s="1"/>
  <c r="E63" i="11"/>
  <c r="E62" i="11"/>
  <c r="E61" i="11"/>
  <c r="E60" i="11"/>
  <c r="D60" i="11"/>
  <c r="D84" i="11" s="1"/>
  <c r="D108" i="11" s="1"/>
  <c r="D132" i="11" s="1"/>
  <c r="D156" i="11" s="1"/>
  <c r="D180" i="11" s="1"/>
  <c r="D204" i="11" s="1"/>
  <c r="D228" i="11" s="1"/>
  <c r="D252" i="11" s="1"/>
  <c r="D276" i="11" s="1"/>
  <c r="D300" i="11" s="1"/>
  <c r="D324" i="11" s="1"/>
  <c r="D348" i="11" s="1"/>
  <c r="D372" i="11" s="1"/>
  <c r="D396" i="11" s="1"/>
  <c r="D420" i="11" s="1"/>
  <c r="D444" i="11" s="1"/>
  <c r="D468" i="11" s="1"/>
  <c r="D492" i="11" s="1"/>
  <c r="D516" i="11" s="1"/>
  <c r="D540" i="11" s="1"/>
  <c r="D564" i="11" s="1"/>
  <c r="D588" i="11" s="1"/>
  <c r="D612" i="11" s="1"/>
  <c r="D636" i="11" s="1"/>
  <c r="D660" i="11" s="1"/>
  <c r="D684" i="11" s="1"/>
  <c r="D708" i="11" s="1"/>
  <c r="D732" i="11" s="1"/>
  <c r="D756" i="11" s="1"/>
  <c r="D780" i="11" s="1"/>
  <c r="D804" i="11" s="1"/>
  <c r="D828" i="11" s="1"/>
  <c r="D852" i="11" s="1"/>
  <c r="D876" i="11" s="1"/>
  <c r="D900" i="11" s="1"/>
  <c r="D924" i="11" s="1"/>
  <c r="D948" i="11" s="1"/>
  <c r="D972" i="11" s="1"/>
  <c r="D996" i="11" s="1"/>
  <c r="D1020" i="11" s="1"/>
  <c r="D1044" i="11" s="1"/>
  <c r="D1068" i="11" s="1"/>
  <c r="D1092" i="11" s="1"/>
  <c r="D1116" i="11" s="1"/>
  <c r="D1140" i="11" s="1"/>
  <c r="D1164" i="11" s="1"/>
  <c r="E59" i="11"/>
  <c r="E58" i="11"/>
  <c r="E57" i="11"/>
  <c r="E56" i="11"/>
  <c r="D56" i="11"/>
  <c r="D80" i="11" s="1"/>
  <c r="D104" i="11" s="1"/>
  <c r="D128" i="11" s="1"/>
  <c r="D152" i="11" s="1"/>
  <c r="D176" i="11" s="1"/>
  <c r="D200" i="11" s="1"/>
  <c r="D224" i="11" s="1"/>
  <c r="D248" i="11" s="1"/>
  <c r="D272" i="11" s="1"/>
  <c r="D296" i="11" s="1"/>
  <c r="D320" i="11" s="1"/>
  <c r="D344" i="11" s="1"/>
  <c r="D368" i="11" s="1"/>
  <c r="D392" i="11" s="1"/>
  <c r="D416" i="11" s="1"/>
  <c r="D440" i="11" s="1"/>
  <c r="D464" i="11" s="1"/>
  <c r="D488" i="11" s="1"/>
  <c r="D512" i="11" s="1"/>
  <c r="D536" i="11" s="1"/>
  <c r="D560" i="11" s="1"/>
  <c r="D584" i="11" s="1"/>
  <c r="D608" i="11" s="1"/>
  <c r="D632" i="11" s="1"/>
  <c r="D656" i="11" s="1"/>
  <c r="D680" i="11" s="1"/>
  <c r="D704" i="11" s="1"/>
  <c r="D728" i="11" s="1"/>
  <c r="D752" i="11" s="1"/>
  <c r="D776" i="11" s="1"/>
  <c r="D800" i="11" s="1"/>
  <c r="D824" i="11" s="1"/>
  <c r="D848" i="11" s="1"/>
  <c r="D872" i="11" s="1"/>
  <c r="D896" i="11" s="1"/>
  <c r="D920" i="11" s="1"/>
  <c r="D944" i="11" s="1"/>
  <c r="D968" i="11" s="1"/>
  <c r="D992" i="11" s="1"/>
  <c r="D1016" i="11" s="1"/>
  <c r="D1040" i="11" s="1"/>
  <c r="D1064" i="11" s="1"/>
  <c r="D1088" i="11" s="1"/>
  <c r="D1112" i="11" s="1"/>
  <c r="D1136" i="11" s="1"/>
  <c r="D1160" i="11" s="1"/>
  <c r="E55" i="11"/>
  <c r="E54" i="11"/>
  <c r="C54" i="11"/>
  <c r="B54" i="11"/>
  <c r="E53" i="11"/>
  <c r="D53" i="11"/>
  <c r="D77" i="11" s="1"/>
  <c r="D101" i="11" s="1"/>
  <c r="D125" i="11" s="1"/>
  <c r="D149" i="11" s="1"/>
  <c r="D173" i="11" s="1"/>
  <c r="D197" i="11" s="1"/>
  <c r="D221" i="11" s="1"/>
  <c r="D245" i="11" s="1"/>
  <c r="D269" i="11" s="1"/>
  <c r="D293" i="11" s="1"/>
  <c r="D317" i="11" s="1"/>
  <c r="D341" i="11" s="1"/>
  <c r="D365" i="11" s="1"/>
  <c r="D389" i="11" s="1"/>
  <c r="D413" i="11" s="1"/>
  <c r="D437" i="11" s="1"/>
  <c r="D461" i="11" s="1"/>
  <c r="D485" i="11" s="1"/>
  <c r="D509" i="11" s="1"/>
  <c r="D533" i="11" s="1"/>
  <c r="D557" i="11" s="1"/>
  <c r="D581" i="11" s="1"/>
  <c r="D605" i="11" s="1"/>
  <c r="D629" i="11" s="1"/>
  <c r="D653" i="11" s="1"/>
  <c r="D677" i="11" s="1"/>
  <c r="D701" i="11" s="1"/>
  <c r="D725" i="11" s="1"/>
  <c r="D749" i="11" s="1"/>
  <c r="D773" i="11" s="1"/>
  <c r="D797" i="11" s="1"/>
  <c r="D821" i="11" s="1"/>
  <c r="D845" i="11" s="1"/>
  <c r="D869" i="11" s="1"/>
  <c r="D893" i="11" s="1"/>
  <c r="D917" i="11" s="1"/>
  <c r="D941" i="11" s="1"/>
  <c r="D965" i="11" s="1"/>
  <c r="D989" i="11" s="1"/>
  <c r="D1013" i="11" s="1"/>
  <c r="D1037" i="11" s="1"/>
  <c r="D1061" i="11" s="1"/>
  <c r="D1085" i="11" s="1"/>
  <c r="D1109" i="11" s="1"/>
  <c r="D1133" i="11" s="1"/>
  <c r="D1157" i="11" s="1"/>
  <c r="D1181" i="11" s="1"/>
  <c r="E52" i="11"/>
  <c r="D52" i="11"/>
  <c r="E51" i="11"/>
  <c r="D51" i="11"/>
  <c r="D75" i="11" s="1"/>
  <c r="D99" i="11" s="1"/>
  <c r="D123" i="11" s="1"/>
  <c r="D147" i="11" s="1"/>
  <c r="D171" i="11" s="1"/>
  <c r="D195" i="11" s="1"/>
  <c r="D219" i="11" s="1"/>
  <c r="D243" i="11" s="1"/>
  <c r="D267" i="11" s="1"/>
  <c r="D291" i="11" s="1"/>
  <c r="D315" i="11" s="1"/>
  <c r="D339" i="11" s="1"/>
  <c r="D363" i="11" s="1"/>
  <c r="D387" i="11" s="1"/>
  <c r="D411" i="11" s="1"/>
  <c r="D435" i="11" s="1"/>
  <c r="D459" i="11" s="1"/>
  <c r="D483" i="11" s="1"/>
  <c r="D507" i="11" s="1"/>
  <c r="D531" i="11" s="1"/>
  <c r="D555" i="11" s="1"/>
  <c r="D579" i="11" s="1"/>
  <c r="D603" i="11" s="1"/>
  <c r="D627" i="11" s="1"/>
  <c r="D651" i="11" s="1"/>
  <c r="D675" i="11" s="1"/>
  <c r="D699" i="11" s="1"/>
  <c r="D723" i="11" s="1"/>
  <c r="D747" i="11" s="1"/>
  <c r="D771" i="11" s="1"/>
  <c r="D795" i="11" s="1"/>
  <c r="D819" i="11" s="1"/>
  <c r="D843" i="11" s="1"/>
  <c r="D867" i="11" s="1"/>
  <c r="D891" i="11" s="1"/>
  <c r="D915" i="11" s="1"/>
  <c r="D939" i="11" s="1"/>
  <c r="D963" i="11" s="1"/>
  <c r="D987" i="11" s="1"/>
  <c r="D1011" i="11" s="1"/>
  <c r="D1035" i="11" s="1"/>
  <c r="D1059" i="11" s="1"/>
  <c r="D1083" i="11" s="1"/>
  <c r="D1107" i="11" s="1"/>
  <c r="D1131" i="11" s="1"/>
  <c r="D1155" i="11" s="1"/>
  <c r="D1179" i="11" s="1"/>
  <c r="E50" i="11"/>
  <c r="D50" i="11"/>
  <c r="D74" i="11" s="1"/>
  <c r="D98" i="11" s="1"/>
  <c r="D122" i="11" s="1"/>
  <c r="D146" i="11" s="1"/>
  <c r="D170" i="11" s="1"/>
  <c r="D194" i="11" s="1"/>
  <c r="D218" i="11" s="1"/>
  <c r="D242" i="11" s="1"/>
  <c r="D266" i="11" s="1"/>
  <c r="D290" i="11" s="1"/>
  <c r="D314" i="11" s="1"/>
  <c r="D338" i="11" s="1"/>
  <c r="D362" i="11" s="1"/>
  <c r="D386" i="11" s="1"/>
  <c r="D410" i="11" s="1"/>
  <c r="D434" i="11" s="1"/>
  <c r="D458" i="11" s="1"/>
  <c r="D482" i="11" s="1"/>
  <c r="D506" i="11" s="1"/>
  <c r="D530" i="11" s="1"/>
  <c r="D554" i="11" s="1"/>
  <c r="D578" i="11" s="1"/>
  <c r="D602" i="11" s="1"/>
  <c r="D626" i="11" s="1"/>
  <c r="D650" i="11" s="1"/>
  <c r="D674" i="11" s="1"/>
  <c r="D698" i="11" s="1"/>
  <c r="D722" i="11" s="1"/>
  <c r="D746" i="11" s="1"/>
  <c r="D770" i="11" s="1"/>
  <c r="D794" i="11" s="1"/>
  <c r="D818" i="11" s="1"/>
  <c r="D842" i="11" s="1"/>
  <c r="D866" i="11" s="1"/>
  <c r="D890" i="11" s="1"/>
  <c r="D914" i="11" s="1"/>
  <c r="D938" i="11" s="1"/>
  <c r="D962" i="11" s="1"/>
  <c r="D986" i="11" s="1"/>
  <c r="D1010" i="11" s="1"/>
  <c r="D1034" i="11" s="1"/>
  <c r="D1058" i="11" s="1"/>
  <c r="D1082" i="11" s="1"/>
  <c r="D1106" i="11" s="1"/>
  <c r="D1130" i="11" s="1"/>
  <c r="D1154" i="11" s="1"/>
  <c r="D1178" i="11" s="1"/>
  <c r="E49" i="11"/>
  <c r="D49" i="11"/>
  <c r="D73" i="11" s="1"/>
  <c r="D97" i="11" s="1"/>
  <c r="D121" i="11" s="1"/>
  <c r="D145" i="11" s="1"/>
  <c r="D169" i="11" s="1"/>
  <c r="D193" i="11" s="1"/>
  <c r="D217" i="11" s="1"/>
  <c r="D241" i="11" s="1"/>
  <c r="D265" i="11" s="1"/>
  <c r="D289" i="11" s="1"/>
  <c r="D313" i="11" s="1"/>
  <c r="D337" i="11" s="1"/>
  <c r="D361" i="11" s="1"/>
  <c r="D385" i="11" s="1"/>
  <c r="D409" i="11" s="1"/>
  <c r="D433" i="11" s="1"/>
  <c r="D457" i="11" s="1"/>
  <c r="D481" i="11" s="1"/>
  <c r="D505" i="11" s="1"/>
  <c r="D529" i="11" s="1"/>
  <c r="D553" i="11" s="1"/>
  <c r="D577" i="11" s="1"/>
  <c r="D601" i="11" s="1"/>
  <c r="D625" i="11" s="1"/>
  <c r="D649" i="11" s="1"/>
  <c r="D673" i="11" s="1"/>
  <c r="D697" i="11" s="1"/>
  <c r="D721" i="11" s="1"/>
  <c r="D745" i="11" s="1"/>
  <c r="D769" i="11" s="1"/>
  <c r="D793" i="11" s="1"/>
  <c r="D817" i="11" s="1"/>
  <c r="D841" i="11" s="1"/>
  <c r="D865" i="11" s="1"/>
  <c r="D889" i="11" s="1"/>
  <c r="D913" i="11" s="1"/>
  <c r="D937" i="11" s="1"/>
  <c r="D961" i="11" s="1"/>
  <c r="D985" i="11" s="1"/>
  <c r="D1009" i="11" s="1"/>
  <c r="D1033" i="11" s="1"/>
  <c r="D1057" i="11" s="1"/>
  <c r="D1081" i="11" s="1"/>
  <c r="D1105" i="11" s="1"/>
  <c r="D1129" i="11" s="1"/>
  <c r="D1153" i="11" s="1"/>
  <c r="D1177" i="11" s="1"/>
  <c r="E48" i="11"/>
  <c r="D48" i="11"/>
  <c r="E47" i="11"/>
  <c r="D47" i="11"/>
  <c r="D71" i="11" s="1"/>
  <c r="D95" i="11" s="1"/>
  <c r="D119" i="11" s="1"/>
  <c r="D143" i="11" s="1"/>
  <c r="D167" i="11" s="1"/>
  <c r="D191" i="11" s="1"/>
  <c r="D215" i="11" s="1"/>
  <c r="D239" i="11" s="1"/>
  <c r="D263" i="11" s="1"/>
  <c r="D287" i="11" s="1"/>
  <c r="D311" i="11" s="1"/>
  <c r="D335" i="11" s="1"/>
  <c r="D359" i="11" s="1"/>
  <c r="D383" i="11" s="1"/>
  <c r="D407" i="11" s="1"/>
  <c r="D431" i="11" s="1"/>
  <c r="D455" i="11" s="1"/>
  <c r="D479" i="11" s="1"/>
  <c r="D503" i="11" s="1"/>
  <c r="D527" i="11" s="1"/>
  <c r="D551" i="11" s="1"/>
  <c r="D575" i="11" s="1"/>
  <c r="D599" i="11" s="1"/>
  <c r="D623" i="11" s="1"/>
  <c r="D647" i="11" s="1"/>
  <c r="D671" i="11" s="1"/>
  <c r="D695" i="11" s="1"/>
  <c r="D719" i="11" s="1"/>
  <c r="D743" i="11" s="1"/>
  <c r="D767" i="11" s="1"/>
  <c r="D791" i="11" s="1"/>
  <c r="D815" i="11" s="1"/>
  <c r="D839" i="11" s="1"/>
  <c r="D863" i="11" s="1"/>
  <c r="D887" i="11" s="1"/>
  <c r="D911" i="11" s="1"/>
  <c r="D935" i="11" s="1"/>
  <c r="D959" i="11" s="1"/>
  <c r="D983" i="11" s="1"/>
  <c r="D1007" i="11" s="1"/>
  <c r="D1031" i="11" s="1"/>
  <c r="D1055" i="11" s="1"/>
  <c r="D1079" i="11" s="1"/>
  <c r="D1103" i="11" s="1"/>
  <c r="D1127" i="11" s="1"/>
  <c r="D1151" i="11" s="1"/>
  <c r="D1175" i="11" s="1"/>
  <c r="E46" i="11"/>
  <c r="D46" i="11"/>
  <c r="D70" i="11" s="1"/>
  <c r="D94" i="11" s="1"/>
  <c r="D118" i="11" s="1"/>
  <c r="D142" i="11" s="1"/>
  <c r="D166" i="11" s="1"/>
  <c r="D190" i="11" s="1"/>
  <c r="D214" i="11" s="1"/>
  <c r="D238" i="11" s="1"/>
  <c r="D262" i="11" s="1"/>
  <c r="D286" i="11" s="1"/>
  <c r="D310" i="11" s="1"/>
  <c r="D334" i="11" s="1"/>
  <c r="D358" i="11" s="1"/>
  <c r="D382" i="11" s="1"/>
  <c r="D406" i="11" s="1"/>
  <c r="D430" i="11" s="1"/>
  <c r="D454" i="11" s="1"/>
  <c r="D478" i="11" s="1"/>
  <c r="D502" i="11" s="1"/>
  <c r="D526" i="11" s="1"/>
  <c r="D550" i="11" s="1"/>
  <c r="D574" i="11" s="1"/>
  <c r="D598" i="11" s="1"/>
  <c r="D622" i="11" s="1"/>
  <c r="D646" i="11" s="1"/>
  <c r="D670" i="11" s="1"/>
  <c r="D694" i="11" s="1"/>
  <c r="D718" i="11" s="1"/>
  <c r="D742" i="11" s="1"/>
  <c r="D766" i="11" s="1"/>
  <c r="D790" i="11" s="1"/>
  <c r="D814" i="11" s="1"/>
  <c r="D838" i="11" s="1"/>
  <c r="D862" i="11" s="1"/>
  <c r="D886" i="11" s="1"/>
  <c r="D910" i="11" s="1"/>
  <c r="D934" i="11" s="1"/>
  <c r="D958" i="11" s="1"/>
  <c r="D982" i="11" s="1"/>
  <c r="D1006" i="11" s="1"/>
  <c r="D1030" i="11" s="1"/>
  <c r="D1054" i="11" s="1"/>
  <c r="D1078" i="11" s="1"/>
  <c r="D1102" i="11" s="1"/>
  <c r="D1126" i="11" s="1"/>
  <c r="D1150" i="11" s="1"/>
  <c r="D1174" i="11" s="1"/>
  <c r="E45" i="11"/>
  <c r="D45" i="11"/>
  <c r="D69" i="11" s="1"/>
  <c r="D93" i="11" s="1"/>
  <c r="D117" i="11" s="1"/>
  <c r="D141" i="11" s="1"/>
  <c r="D165" i="11" s="1"/>
  <c r="D189" i="11" s="1"/>
  <c r="D213" i="11" s="1"/>
  <c r="D237" i="11" s="1"/>
  <c r="D261" i="11" s="1"/>
  <c r="D285" i="11" s="1"/>
  <c r="D309" i="11" s="1"/>
  <c r="D333" i="11" s="1"/>
  <c r="D357" i="11" s="1"/>
  <c r="D381" i="11" s="1"/>
  <c r="D405" i="11" s="1"/>
  <c r="D429" i="11" s="1"/>
  <c r="D453" i="11" s="1"/>
  <c r="D477" i="11" s="1"/>
  <c r="D501" i="11" s="1"/>
  <c r="D525" i="11" s="1"/>
  <c r="D549" i="11" s="1"/>
  <c r="D573" i="11" s="1"/>
  <c r="D597" i="11" s="1"/>
  <c r="D621" i="11" s="1"/>
  <c r="D645" i="11" s="1"/>
  <c r="D669" i="11" s="1"/>
  <c r="D693" i="11" s="1"/>
  <c r="D717" i="11" s="1"/>
  <c r="D741" i="11" s="1"/>
  <c r="D765" i="11" s="1"/>
  <c r="D789" i="11" s="1"/>
  <c r="D813" i="11" s="1"/>
  <c r="D837" i="11" s="1"/>
  <c r="D861" i="11" s="1"/>
  <c r="D885" i="11" s="1"/>
  <c r="D909" i="11" s="1"/>
  <c r="D933" i="11" s="1"/>
  <c r="D957" i="11" s="1"/>
  <c r="D981" i="11" s="1"/>
  <c r="D1005" i="11" s="1"/>
  <c r="D1029" i="11" s="1"/>
  <c r="D1053" i="11" s="1"/>
  <c r="D1077" i="11" s="1"/>
  <c r="D1101" i="11" s="1"/>
  <c r="D1125" i="11" s="1"/>
  <c r="D1149" i="11" s="1"/>
  <c r="D1173" i="11" s="1"/>
  <c r="E44" i="11"/>
  <c r="D44" i="11"/>
  <c r="E43" i="11"/>
  <c r="D43" i="11"/>
  <c r="D67" i="11" s="1"/>
  <c r="D91" i="11" s="1"/>
  <c r="D115" i="11" s="1"/>
  <c r="D139" i="11" s="1"/>
  <c r="D163" i="11" s="1"/>
  <c r="D187" i="11" s="1"/>
  <c r="D211" i="11" s="1"/>
  <c r="D235" i="11" s="1"/>
  <c r="D259" i="11" s="1"/>
  <c r="D283" i="11" s="1"/>
  <c r="D307" i="11" s="1"/>
  <c r="D331" i="11" s="1"/>
  <c r="D355" i="11" s="1"/>
  <c r="D379" i="11" s="1"/>
  <c r="D403" i="11" s="1"/>
  <c r="D427" i="11" s="1"/>
  <c r="D451" i="11" s="1"/>
  <c r="D475" i="11" s="1"/>
  <c r="D499" i="11" s="1"/>
  <c r="D523" i="11" s="1"/>
  <c r="D547" i="11" s="1"/>
  <c r="D571" i="11" s="1"/>
  <c r="D595" i="11" s="1"/>
  <c r="D619" i="11" s="1"/>
  <c r="D643" i="11" s="1"/>
  <c r="D667" i="11" s="1"/>
  <c r="D691" i="11" s="1"/>
  <c r="D715" i="11" s="1"/>
  <c r="D739" i="11" s="1"/>
  <c r="D763" i="11" s="1"/>
  <c r="D787" i="11" s="1"/>
  <c r="D811" i="11" s="1"/>
  <c r="D835" i="11" s="1"/>
  <c r="D859" i="11" s="1"/>
  <c r="D883" i="11" s="1"/>
  <c r="D907" i="11" s="1"/>
  <c r="D931" i="11" s="1"/>
  <c r="D955" i="11" s="1"/>
  <c r="D979" i="11" s="1"/>
  <c r="D1003" i="11" s="1"/>
  <c r="D1027" i="11" s="1"/>
  <c r="D1051" i="11" s="1"/>
  <c r="D1075" i="11" s="1"/>
  <c r="D1099" i="11" s="1"/>
  <c r="D1123" i="11" s="1"/>
  <c r="D1147" i="11" s="1"/>
  <c r="D1171" i="11" s="1"/>
  <c r="E42" i="11"/>
  <c r="D42" i="11"/>
  <c r="D66" i="11" s="1"/>
  <c r="D90" i="11" s="1"/>
  <c r="D114" i="11" s="1"/>
  <c r="D138" i="11" s="1"/>
  <c r="D162" i="11" s="1"/>
  <c r="D186" i="11" s="1"/>
  <c r="D210" i="11" s="1"/>
  <c r="D234" i="11" s="1"/>
  <c r="D258" i="11" s="1"/>
  <c r="D282" i="11" s="1"/>
  <c r="D306" i="11" s="1"/>
  <c r="D330" i="11" s="1"/>
  <c r="D354" i="11" s="1"/>
  <c r="D378" i="11" s="1"/>
  <c r="D402" i="11" s="1"/>
  <c r="D426" i="11" s="1"/>
  <c r="D450" i="11" s="1"/>
  <c r="D474" i="11" s="1"/>
  <c r="D498" i="11" s="1"/>
  <c r="D522" i="11" s="1"/>
  <c r="D546" i="11" s="1"/>
  <c r="D570" i="11" s="1"/>
  <c r="D594" i="11" s="1"/>
  <c r="D618" i="11" s="1"/>
  <c r="D642" i="11" s="1"/>
  <c r="D666" i="11" s="1"/>
  <c r="D690" i="11" s="1"/>
  <c r="D714" i="11" s="1"/>
  <c r="D738" i="11" s="1"/>
  <c r="D762" i="11" s="1"/>
  <c r="D786" i="11" s="1"/>
  <c r="D810" i="11" s="1"/>
  <c r="D834" i="11" s="1"/>
  <c r="D858" i="11" s="1"/>
  <c r="D882" i="11" s="1"/>
  <c r="D906" i="11" s="1"/>
  <c r="D930" i="11" s="1"/>
  <c r="D954" i="11" s="1"/>
  <c r="D978" i="11" s="1"/>
  <c r="D1002" i="11" s="1"/>
  <c r="D1026" i="11" s="1"/>
  <c r="D1050" i="11" s="1"/>
  <c r="D1074" i="11" s="1"/>
  <c r="D1098" i="11" s="1"/>
  <c r="D1122" i="11" s="1"/>
  <c r="D1146" i="11" s="1"/>
  <c r="D1170" i="11" s="1"/>
  <c r="E41" i="11"/>
  <c r="D41" i="11"/>
  <c r="D65" i="11" s="1"/>
  <c r="D89" i="11" s="1"/>
  <c r="D113" i="11" s="1"/>
  <c r="D137" i="11" s="1"/>
  <c r="D161" i="11" s="1"/>
  <c r="D185" i="11" s="1"/>
  <c r="D209" i="11" s="1"/>
  <c r="D233" i="11" s="1"/>
  <c r="D257" i="11" s="1"/>
  <c r="D281" i="11" s="1"/>
  <c r="D305" i="11" s="1"/>
  <c r="D329" i="11" s="1"/>
  <c r="D353" i="11" s="1"/>
  <c r="D377" i="11" s="1"/>
  <c r="D401" i="11" s="1"/>
  <c r="D425" i="11" s="1"/>
  <c r="D449" i="11" s="1"/>
  <c r="D473" i="11" s="1"/>
  <c r="D497" i="11" s="1"/>
  <c r="D521" i="11" s="1"/>
  <c r="D545" i="11" s="1"/>
  <c r="D569" i="11" s="1"/>
  <c r="D593" i="11" s="1"/>
  <c r="D617" i="11" s="1"/>
  <c r="D641" i="11" s="1"/>
  <c r="D665" i="11" s="1"/>
  <c r="D689" i="11" s="1"/>
  <c r="D713" i="11" s="1"/>
  <c r="D737" i="11" s="1"/>
  <c r="D761" i="11" s="1"/>
  <c r="D785" i="11" s="1"/>
  <c r="D809" i="11" s="1"/>
  <c r="D833" i="11" s="1"/>
  <c r="D857" i="11" s="1"/>
  <c r="D881" i="11" s="1"/>
  <c r="D905" i="11" s="1"/>
  <c r="D929" i="11" s="1"/>
  <c r="D953" i="11" s="1"/>
  <c r="D977" i="11" s="1"/>
  <c r="D1001" i="11" s="1"/>
  <c r="D1025" i="11" s="1"/>
  <c r="D1049" i="11" s="1"/>
  <c r="D1073" i="11" s="1"/>
  <c r="D1097" i="11" s="1"/>
  <c r="D1121" i="11" s="1"/>
  <c r="D1145" i="11" s="1"/>
  <c r="D1169" i="11" s="1"/>
  <c r="E40" i="11"/>
  <c r="D40" i="11"/>
  <c r="E39" i="11"/>
  <c r="D39" i="11"/>
  <c r="D63" i="11" s="1"/>
  <c r="D87" i="11" s="1"/>
  <c r="D111" i="11" s="1"/>
  <c r="D135" i="11" s="1"/>
  <c r="D159" i="11" s="1"/>
  <c r="D183" i="11" s="1"/>
  <c r="D207" i="11" s="1"/>
  <c r="D231" i="11" s="1"/>
  <c r="D255" i="11" s="1"/>
  <c r="D279" i="11" s="1"/>
  <c r="D303" i="11" s="1"/>
  <c r="D327" i="11" s="1"/>
  <c r="D351" i="11" s="1"/>
  <c r="D375" i="11" s="1"/>
  <c r="D399" i="11" s="1"/>
  <c r="D423" i="11" s="1"/>
  <c r="D447" i="11" s="1"/>
  <c r="D471" i="11" s="1"/>
  <c r="D495" i="11" s="1"/>
  <c r="D519" i="11" s="1"/>
  <c r="D543" i="11" s="1"/>
  <c r="D567" i="11" s="1"/>
  <c r="D591" i="11" s="1"/>
  <c r="D615" i="11" s="1"/>
  <c r="D639" i="11" s="1"/>
  <c r="D663" i="11" s="1"/>
  <c r="D687" i="11" s="1"/>
  <c r="D711" i="11" s="1"/>
  <c r="D735" i="11" s="1"/>
  <c r="D759" i="11" s="1"/>
  <c r="D783" i="11" s="1"/>
  <c r="D807" i="11" s="1"/>
  <c r="D831" i="11" s="1"/>
  <c r="D855" i="11" s="1"/>
  <c r="D879" i="11" s="1"/>
  <c r="D903" i="11" s="1"/>
  <c r="D927" i="11" s="1"/>
  <c r="D951" i="11" s="1"/>
  <c r="D975" i="11" s="1"/>
  <c r="D999" i="11" s="1"/>
  <c r="D1023" i="11" s="1"/>
  <c r="D1047" i="11" s="1"/>
  <c r="D1071" i="11" s="1"/>
  <c r="D1095" i="11" s="1"/>
  <c r="D1119" i="11" s="1"/>
  <c r="D1143" i="11" s="1"/>
  <c r="D1167" i="11" s="1"/>
  <c r="E38" i="11"/>
  <c r="D38" i="11"/>
  <c r="D62" i="11" s="1"/>
  <c r="D86" i="11" s="1"/>
  <c r="D110" i="11" s="1"/>
  <c r="D134" i="11" s="1"/>
  <c r="D158" i="11" s="1"/>
  <c r="D182" i="11" s="1"/>
  <c r="D206" i="11" s="1"/>
  <c r="D230" i="11" s="1"/>
  <c r="D254" i="11" s="1"/>
  <c r="D278" i="11" s="1"/>
  <c r="D302" i="11" s="1"/>
  <c r="D326" i="11" s="1"/>
  <c r="D350" i="11" s="1"/>
  <c r="D374" i="11" s="1"/>
  <c r="D398" i="11" s="1"/>
  <c r="D422" i="11" s="1"/>
  <c r="D446" i="11" s="1"/>
  <c r="D470" i="11" s="1"/>
  <c r="D494" i="11" s="1"/>
  <c r="D518" i="11" s="1"/>
  <c r="D542" i="11" s="1"/>
  <c r="D566" i="11" s="1"/>
  <c r="D590" i="11" s="1"/>
  <c r="D614" i="11" s="1"/>
  <c r="D638" i="11" s="1"/>
  <c r="D662" i="11" s="1"/>
  <c r="D686" i="11" s="1"/>
  <c r="D710" i="11" s="1"/>
  <c r="D734" i="11" s="1"/>
  <c r="D758" i="11" s="1"/>
  <c r="D782" i="11" s="1"/>
  <c r="D806" i="11" s="1"/>
  <c r="D830" i="11" s="1"/>
  <c r="D854" i="11" s="1"/>
  <c r="D878" i="11" s="1"/>
  <c r="D902" i="11" s="1"/>
  <c r="D926" i="11" s="1"/>
  <c r="D950" i="11" s="1"/>
  <c r="D974" i="11" s="1"/>
  <c r="D998" i="11" s="1"/>
  <c r="D1022" i="11" s="1"/>
  <c r="D1046" i="11" s="1"/>
  <c r="D1070" i="11" s="1"/>
  <c r="D1094" i="11" s="1"/>
  <c r="D1118" i="11" s="1"/>
  <c r="D1142" i="11" s="1"/>
  <c r="D1166" i="11" s="1"/>
  <c r="E37" i="11"/>
  <c r="D37" i="11"/>
  <c r="D61" i="11" s="1"/>
  <c r="D85" i="11" s="1"/>
  <c r="D109" i="11" s="1"/>
  <c r="D133" i="11" s="1"/>
  <c r="D157" i="11" s="1"/>
  <c r="D181" i="11" s="1"/>
  <c r="D205" i="11" s="1"/>
  <c r="D229" i="11" s="1"/>
  <c r="D253" i="11" s="1"/>
  <c r="D277" i="11" s="1"/>
  <c r="D301" i="11" s="1"/>
  <c r="D325" i="11" s="1"/>
  <c r="D349" i="11" s="1"/>
  <c r="D373" i="11" s="1"/>
  <c r="D397" i="11" s="1"/>
  <c r="D421" i="11" s="1"/>
  <c r="D445" i="11" s="1"/>
  <c r="D469" i="11" s="1"/>
  <c r="D493" i="11" s="1"/>
  <c r="D517" i="11" s="1"/>
  <c r="D541" i="11" s="1"/>
  <c r="D565" i="11" s="1"/>
  <c r="D589" i="11" s="1"/>
  <c r="D613" i="11" s="1"/>
  <c r="D637" i="11" s="1"/>
  <c r="D661" i="11" s="1"/>
  <c r="D685" i="11" s="1"/>
  <c r="D709" i="11" s="1"/>
  <c r="D733" i="11" s="1"/>
  <c r="D757" i="11" s="1"/>
  <c r="D781" i="11" s="1"/>
  <c r="D805" i="11" s="1"/>
  <c r="D829" i="11" s="1"/>
  <c r="D853" i="11" s="1"/>
  <c r="D877" i="11" s="1"/>
  <c r="D901" i="11" s="1"/>
  <c r="D925" i="11" s="1"/>
  <c r="D949" i="11" s="1"/>
  <c r="D973" i="11" s="1"/>
  <c r="D997" i="11" s="1"/>
  <c r="D1021" i="11" s="1"/>
  <c r="D1045" i="11" s="1"/>
  <c r="D1069" i="11" s="1"/>
  <c r="D1093" i="11" s="1"/>
  <c r="D1117" i="11" s="1"/>
  <c r="D1141" i="11" s="1"/>
  <c r="D1165" i="11" s="1"/>
  <c r="E36" i="11"/>
  <c r="D36" i="11"/>
  <c r="E35" i="11"/>
  <c r="D35" i="11"/>
  <c r="D59" i="11" s="1"/>
  <c r="D83" i="11" s="1"/>
  <c r="D107" i="11" s="1"/>
  <c r="D131" i="11" s="1"/>
  <c r="D155" i="11" s="1"/>
  <c r="D179" i="11" s="1"/>
  <c r="D203" i="11" s="1"/>
  <c r="D227" i="11" s="1"/>
  <c r="D251" i="11" s="1"/>
  <c r="D275" i="11" s="1"/>
  <c r="D299" i="11" s="1"/>
  <c r="D323" i="11" s="1"/>
  <c r="D347" i="11" s="1"/>
  <c r="D371" i="11" s="1"/>
  <c r="D395" i="11" s="1"/>
  <c r="D419" i="11" s="1"/>
  <c r="D443" i="11" s="1"/>
  <c r="D467" i="11" s="1"/>
  <c r="D491" i="11" s="1"/>
  <c r="D515" i="11" s="1"/>
  <c r="D539" i="11" s="1"/>
  <c r="D563" i="11" s="1"/>
  <c r="D587" i="11" s="1"/>
  <c r="D611" i="11" s="1"/>
  <c r="D635" i="11" s="1"/>
  <c r="D659" i="11" s="1"/>
  <c r="D683" i="11" s="1"/>
  <c r="D707" i="11" s="1"/>
  <c r="D731" i="11" s="1"/>
  <c r="D755" i="11" s="1"/>
  <c r="D779" i="11" s="1"/>
  <c r="D803" i="11" s="1"/>
  <c r="D827" i="11" s="1"/>
  <c r="D851" i="11" s="1"/>
  <c r="D875" i="11" s="1"/>
  <c r="D899" i="11" s="1"/>
  <c r="D923" i="11" s="1"/>
  <c r="D947" i="11" s="1"/>
  <c r="D971" i="11" s="1"/>
  <c r="D995" i="11" s="1"/>
  <c r="D1019" i="11" s="1"/>
  <c r="D1043" i="11" s="1"/>
  <c r="D1067" i="11" s="1"/>
  <c r="D1091" i="11" s="1"/>
  <c r="D1115" i="11" s="1"/>
  <c r="D1139" i="11" s="1"/>
  <c r="D1163" i="11" s="1"/>
  <c r="E34" i="11"/>
  <c r="D34" i="11"/>
  <c r="D58" i="11" s="1"/>
  <c r="D82" i="11" s="1"/>
  <c r="D106" i="11" s="1"/>
  <c r="D130" i="11" s="1"/>
  <c r="D154" i="11" s="1"/>
  <c r="D178" i="11" s="1"/>
  <c r="D202" i="11" s="1"/>
  <c r="D226" i="11" s="1"/>
  <c r="D250" i="11" s="1"/>
  <c r="D274" i="11" s="1"/>
  <c r="D298" i="11" s="1"/>
  <c r="D322" i="11" s="1"/>
  <c r="D346" i="11" s="1"/>
  <c r="D370" i="11" s="1"/>
  <c r="D394" i="11" s="1"/>
  <c r="D418" i="11" s="1"/>
  <c r="D442" i="11" s="1"/>
  <c r="D466" i="11" s="1"/>
  <c r="D490" i="11" s="1"/>
  <c r="D514" i="11" s="1"/>
  <c r="D538" i="11" s="1"/>
  <c r="D562" i="11" s="1"/>
  <c r="D586" i="11" s="1"/>
  <c r="D610" i="11" s="1"/>
  <c r="D634" i="11" s="1"/>
  <c r="D658" i="11" s="1"/>
  <c r="D682" i="11" s="1"/>
  <c r="D706" i="11" s="1"/>
  <c r="D730" i="11" s="1"/>
  <c r="D754" i="11" s="1"/>
  <c r="D778" i="11" s="1"/>
  <c r="D802" i="11" s="1"/>
  <c r="D826" i="11" s="1"/>
  <c r="D850" i="11" s="1"/>
  <c r="D874" i="11" s="1"/>
  <c r="D898" i="11" s="1"/>
  <c r="D922" i="11" s="1"/>
  <c r="D946" i="11" s="1"/>
  <c r="D970" i="11" s="1"/>
  <c r="D994" i="11" s="1"/>
  <c r="D1018" i="11" s="1"/>
  <c r="D1042" i="11" s="1"/>
  <c r="D1066" i="11" s="1"/>
  <c r="D1090" i="11" s="1"/>
  <c r="D1114" i="11" s="1"/>
  <c r="D1138" i="11" s="1"/>
  <c r="D1162" i="11" s="1"/>
  <c r="E33" i="11"/>
  <c r="D33" i="11"/>
  <c r="D57" i="11" s="1"/>
  <c r="D81" i="11" s="1"/>
  <c r="D105" i="11" s="1"/>
  <c r="D129" i="11" s="1"/>
  <c r="D153" i="11" s="1"/>
  <c r="D177" i="11" s="1"/>
  <c r="D201" i="11" s="1"/>
  <c r="D225" i="11" s="1"/>
  <c r="D249" i="11" s="1"/>
  <c r="D273" i="11" s="1"/>
  <c r="D297" i="11" s="1"/>
  <c r="D321" i="11" s="1"/>
  <c r="D345" i="11" s="1"/>
  <c r="D369" i="11" s="1"/>
  <c r="D393" i="11" s="1"/>
  <c r="D417" i="11" s="1"/>
  <c r="D441" i="11" s="1"/>
  <c r="D465" i="11" s="1"/>
  <c r="D489" i="11" s="1"/>
  <c r="D513" i="11" s="1"/>
  <c r="D537" i="11" s="1"/>
  <c r="D561" i="11" s="1"/>
  <c r="D585" i="11" s="1"/>
  <c r="D609" i="11" s="1"/>
  <c r="D633" i="11" s="1"/>
  <c r="D657" i="11" s="1"/>
  <c r="D681" i="11" s="1"/>
  <c r="D705" i="11" s="1"/>
  <c r="D729" i="11" s="1"/>
  <c r="D753" i="11" s="1"/>
  <c r="D777" i="11" s="1"/>
  <c r="D801" i="11" s="1"/>
  <c r="D825" i="11" s="1"/>
  <c r="D849" i="11" s="1"/>
  <c r="D873" i="11" s="1"/>
  <c r="D897" i="11" s="1"/>
  <c r="D921" i="11" s="1"/>
  <c r="D945" i="11" s="1"/>
  <c r="D969" i="11" s="1"/>
  <c r="D993" i="11" s="1"/>
  <c r="D1017" i="11" s="1"/>
  <c r="D1041" i="11" s="1"/>
  <c r="D1065" i="11" s="1"/>
  <c r="D1089" i="11" s="1"/>
  <c r="D1113" i="11" s="1"/>
  <c r="D1137" i="11" s="1"/>
  <c r="D1161" i="11" s="1"/>
  <c r="E32" i="11"/>
  <c r="D32" i="11"/>
  <c r="E31" i="11"/>
  <c r="D31" i="11"/>
  <c r="D55" i="11" s="1"/>
  <c r="D79" i="11" s="1"/>
  <c r="D103" i="11" s="1"/>
  <c r="D127" i="11" s="1"/>
  <c r="D151" i="11" s="1"/>
  <c r="D175" i="11" s="1"/>
  <c r="D199" i="11" s="1"/>
  <c r="D223" i="11" s="1"/>
  <c r="D247" i="11" s="1"/>
  <c r="D271" i="11" s="1"/>
  <c r="D295" i="11" s="1"/>
  <c r="D319" i="11" s="1"/>
  <c r="D343" i="11" s="1"/>
  <c r="D367" i="11" s="1"/>
  <c r="D391" i="11" s="1"/>
  <c r="D415" i="11" s="1"/>
  <c r="D439" i="11" s="1"/>
  <c r="D463" i="11" s="1"/>
  <c r="D487" i="11" s="1"/>
  <c r="D511" i="11" s="1"/>
  <c r="D535" i="11" s="1"/>
  <c r="D559" i="11" s="1"/>
  <c r="D583" i="11" s="1"/>
  <c r="D607" i="11" s="1"/>
  <c r="D631" i="11" s="1"/>
  <c r="D655" i="11" s="1"/>
  <c r="D679" i="11" s="1"/>
  <c r="D703" i="11" s="1"/>
  <c r="D727" i="11" s="1"/>
  <c r="D751" i="11" s="1"/>
  <c r="D775" i="11" s="1"/>
  <c r="D799" i="11" s="1"/>
  <c r="D823" i="11" s="1"/>
  <c r="D847" i="11" s="1"/>
  <c r="D871" i="11" s="1"/>
  <c r="D895" i="11" s="1"/>
  <c r="D919" i="11" s="1"/>
  <c r="D943" i="11" s="1"/>
  <c r="D967" i="11" s="1"/>
  <c r="D991" i="11" s="1"/>
  <c r="D1015" i="11" s="1"/>
  <c r="D1039" i="11" s="1"/>
  <c r="D1063" i="11" s="1"/>
  <c r="D1087" i="11" s="1"/>
  <c r="D1111" i="11" s="1"/>
  <c r="D1135" i="11" s="1"/>
  <c r="D1159" i="11" s="1"/>
  <c r="E30" i="11"/>
  <c r="D30" i="11"/>
  <c r="D54" i="11" s="1"/>
  <c r="D78" i="11" s="1"/>
  <c r="D102" i="11" s="1"/>
  <c r="D126" i="11" s="1"/>
  <c r="D150" i="11" s="1"/>
  <c r="D174" i="11" s="1"/>
  <c r="D198" i="11" s="1"/>
  <c r="D222" i="11" s="1"/>
  <c r="D246" i="11" s="1"/>
  <c r="D270" i="11" s="1"/>
  <c r="D294" i="11" s="1"/>
  <c r="D318" i="11" s="1"/>
  <c r="D342" i="11" s="1"/>
  <c r="D366" i="11" s="1"/>
  <c r="D390" i="11" s="1"/>
  <c r="D414" i="11" s="1"/>
  <c r="D438" i="11" s="1"/>
  <c r="D462" i="11" s="1"/>
  <c r="D486" i="11" s="1"/>
  <c r="D510" i="11" s="1"/>
  <c r="D534" i="11" s="1"/>
  <c r="D558" i="11" s="1"/>
  <c r="D582" i="11" s="1"/>
  <c r="D606" i="11" s="1"/>
  <c r="D630" i="11" s="1"/>
  <c r="D654" i="11" s="1"/>
  <c r="D678" i="11" s="1"/>
  <c r="D702" i="11" s="1"/>
  <c r="D726" i="11" s="1"/>
  <c r="D750" i="11" s="1"/>
  <c r="D774" i="11" s="1"/>
  <c r="D798" i="11" s="1"/>
  <c r="D822" i="11" s="1"/>
  <c r="D846" i="11" s="1"/>
  <c r="D870" i="11" s="1"/>
  <c r="D894" i="11" s="1"/>
  <c r="D918" i="11" s="1"/>
  <c r="D942" i="11" s="1"/>
  <c r="D966" i="11" s="1"/>
  <c r="D990" i="11" s="1"/>
  <c r="D1014" i="11" s="1"/>
  <c r="D1038" i="11" s="1"/>
  <c r="D1062" i="11" s="1"/>
  <c r="D1086" i="11" s="1"/>
  <c r="D1110" i="11" s="1"/>
  <c r="D1134" i="11" s="1"/>
  <c r="D1158" i="11" s="1"/>
  <c r="C30" i="11"/>
  <c r="B30" i="11"/>
  <c r="E1181" i="12"/>
  <c r="E1180" i="12"/>
  <c r="E1179" i="12"/>
  <c r="E1178" i="12"/>
  <c r="E1177" i="12"/>
  <c r="E1176" i="12"/>
  <c r="E1175" i="12"/>
  <c r="E1174" i="12"/>
  <c r="E1173" i="12"/>
  <c r="E1172" i="12"/>
  <c r="E1171" i="12"/>
  <c r="E1170" i="12"/>
  <c r="E1169" i="12"/>
  <c r="E1168" i="12"/>
  <c r="E1167" i="12"/>
  <c r="E1166" i="12"/>
  <c r="E1165" i="12"/>
  <c r="E1164" i="12"/>
  <c r="E1163" i="12"/>
  <c r="E1162" i="12"/>
  <c r="E1161" i="12"/>
  <c r="E1160" i="12"/>
  <c r="E1159" i="12"/>
  <c r="E1158" i="12"/>
  <c r="C1158" i="12"/>
  <c r="E1157" i="12"/>
  <c r="E1156" i="12"/>
  <c r="E1155" i="12"/>
  <c r="E1154" i="12"/>
  <c r="E1153" i="12"/>
  <c r="E1152" i="12"/>
  <c r="E1151" i="12"/>
  <c r="E1150" i="12"/>
  <c r="E1149" i="12"/>
  <c r="E1148" i="12"/>
  <c r="E1147" i="12"/>
  <c r="E1146" i="12"/>
  <c r="E1145" i="12"/>
  <c r="E1144" i="12"/>
  <c r="E1143" i="12"/>
  <c r="E1142" i="12"/>
  <c r="E1141" i="12"/>
  <c r="E1140" i="12"/>
  <c r="E1139" i="12"/>
  <c r="E1138" i="12"/>
  <c r="E1137" i="12"/>
  <c r="E1136" i="12"/>
  <c r="E1135" i="12"/>
  <c r="E1134" i="12"/>
  <c r="C1134" i="12"/>
  <c r="B1134" i="12"/>
  <c r="E1133" i="12"/>
  <c r="E1132" i="12"/>
  <c r="E1131" i="12"/>
  <c r="E1130" i="12"/>
  <c r="E1129" i="12"/>
  <c r="E1128" i="12"/>
  <c r="E1127" i="12"/>
  <c r="E1126" i="12"/>
  <c r="E1125" i="12"/>
  <c r="E1124" i="12"/>
  <c r="E1123" i="12"/>
  <c r="E1122" i="12"/>
  <c r="E1121" i="12"/>
  <c r="E1120" i="12"/>
  <c r="E1119" i="12"/>
  <c r="E1118" i="12"/>
  <c r="E1117" i="12"/>
  <c r="E1116" i="12"/>
  <c r="E1115" i="12"/>
  <c r="E1114" i="12"/>
  <c r="E1113" i="12"/>
  <c r="E1112" i="12"/>
  <c r="E1111" i="12"/>
  <c r="E1110" i="12"/>
  <c r="C1110" i="12"/>
  <c r="B1110" i="12"/>
  <c r="E1109" i="12"/>
  <c r="E1108" i="12"/>
  <c r="E1107" i="12"/>
  <c r="E1106" i="12"/>
  <c r="E1105" i="12"/>
  <c r="E1104" i="12"/>
  <c r="E1103" i="12"/>
  <c r="E1102" i="12"/>
  <c r="E1101" i="12"/>
  <c r="E1100" i="12"/>
  <c r="E1099" i="12"/>
  <c r="E1098" i="12"/>
  <c r="E1097" i="12"/>
  <c r="E1096" i="12"/>
  <c r="E1095" i="12"/>
  <c r="E1094" i="12"/>
  <c r="E1093" i="12"/>
  <c r="E1092" i="12"/>
  <c r="E1091" i="12"/>
  <c r="E1090" i="12"/>
  <c r="E1089" i="12"/>
  <c r="E1088" i="12"/>
  <c r="E1087" i="12"/>
  <c r="E1086" i="12"/>
  <c r="C1086" i="12"/>
  <c r="B1086" i="12"/>
  <c r="E1085" i="12"/>
  <c r="E1084" i="12"/>
  <c r="E1083" i="12"/>
  <c r="E1082" i="12"/>
  <c r="E1081" i="12"/>
  <c r="E1080" i="12"/>
  <c r="E1079" i="12"/>
  <c r="E1078" i="12"/>
  <c r="E1077" i="12"/>
  <c r="E1076" i="12"/>
  <c r="E1075" i="12"/>
  <c r="E1074" i="12"/>
  <c r="E1073" i="12"/>
  <c r="E1072" i="12"/>
  <c r="E1071" i="12"/>
  <c r="E1070" i="12"/>
  <c r="E1069" i="12"/>
  <c r="E1068" i="12"/>
  <c r="E1067" i="12"/>
  <c r="E1066" i="12"/>
  <c r="E1065" i="12"/>
  <c r="E1064" i="12"/>
  <c r="E1063" i="12"/>
  <c r="E1062" i="12"/>
  <c r="C1062" i="12"/>
  <c r="B1062" i="12"/>
  <c r="E1061" i="12"/>
  <c r="E1060" i="12"/>
  <c r="E1059" i="12"/>
  <c r="E1058" i="12"/>
  <c r="E1057" i="12"/>
  <c r="E1056" i="12"/>
  <c r="E1055" i="12"/>
  <c r="E1054" i="12"/>
  <c r="E1053" i="12"/>
  <c r="E1052" i="12"/>
  <c r="E1051" i="12"/>
  <c r="E1050" i="12"/>
  <c r="E1049" i="12"/>
  <c r="E1048" i="12"/>
  <c r="E1047" i="12"/>
  <c r="E1046" i="12"/>
  <c r="E1045" i="12"/>
  <c r="E1044" i="12"/>
  <c r="E1043" i="12"/>
  <c r="E1042" i="12"/>
  <c r="E1041" i="12"/>
  <c r="E1040" i="12"/>
  <c r="E1039" i="12"/>
  <c r="E1038" i="12"/>
  <c r="C1038" i="12"/>
  <c r="B1038" i="12"/>
  <c r="E1037" i="12"/>
  <c r="E1036" i="12"/>
  <c r="E1035" i="12"/>
  <c r="E1034" i="12"/>
  <c r="E1033" i="12"/>
  <c r="E1032" i="12"/>
  <c r="E1031" i="12"/>
  <c r="E1030" i="12"/>
  <c r="E1029" i="12"/>
  <c r="E1028" i="12"/>
  <c r="E1027" i="12"/>
  <c r="E1026" i="12"/>
  <c r="E1025" i="12"/>
  <c r="E1024" i="12"/>
  <c r="E1023" i="12"/>
  <c r="E1022" i="12"/>
  <c r="E1021" i="12"/>
  <c r="E1020" i="12"/>
  <c r="E1019" i="12"/>
  <c r="E1018" i="12"/>
  <c r="E1017" i="12"/>
  <c r="E1016" i="12"/>
  <c r="E1015" i="12"/>
  <c r="E1014" i="12"/>
  <c r="C1014" i="12"/>
  <c r="B1014" i="12"/>
  <c r="E1013" i="12"/>
  <c r="E1012" i="12"/>
  <c r="E1011" i="12"/>
  <c r="E1010" i="12"/>
  <c r="E1009" i="12"/>
  <c r="E1008" i="12"/>
  <c r="E1007" i="12"/>
  <c r="E1006" i="12"/>
  <c r="E1005" i="12"/>
  <c r="E1004" i="12"/>
  <c r="E1003" i="12"/>
  <c r="E1002" i="12"/>
  <c r="E1001" i="12"/>
  <c r="E1000" i="12"/>
  <c r="E999" i="12"/>
  <c r="E998" i="12"/>
  <c r="E997" i="12"/>
  <c r="E996" i="12"/>
  <c r="E995" i="12"/>
  <c r="E994" i="12"/>
  <c r="E993" i="12"/>
  <c r="E992" i="12"/>
  <c r="E991" i="12"/>
  <c r="E990" i="12"/>
  <c r="C990" i="12"/>
  <c r="B990" i="12"/>
  <c r="E989" i="12"/>
  <c r="E988" i="12"/>
  <c r="E987" i="12"/>
  <c r="E986" i="12"/>
  <c r="E985" i="12"/>
  <c r="E984" i="12"/>
  <c r="E983" i="12"/>
  <c r="E982" i="12"/>
  <c r="E981" i="12"/>
  <c r="E980" i="12"/>
  <c r="E979" i="12"/>
  <c r="E978" i="12"/>
  <c r="E977" i="12"/>
  <c r="E976" i="12"/>
  <c r="E975" i="12"/>
  <c r="E974" i="12"/>
  <c r="E973" i="12"/>
  <c r="E972" i="12"/>
  <c r="E971" i="12"/>
  <c r="E970" i="12"/>
  <c r="E969" i="12"/>
  <c r="E968" i="12"/>
  <c r="E967" i="12"/>
  <c r="E966" i="12"/>
  <c r="C966" i="12"/>
  <c r="B966" i="12"/>
  <c r="E965" i="12"/>
  <c r="E964" i="12"/>
  <c r="E963" i="12"/>
  <c r="E962" i="12"/>
  <c r="E961" i="12"/>
  <c r="E960" i="12"/>
  <c r="E959" i="12"/>
  <c r="E958" i="12"/>
  <c r="E957" i="12"/>
  <c r="E956" i="12"/>
  <c r="E955" i="12"/>
  <c r="E954" i="12"/>
  <c r="E953" i="12"/>
  <c r="E952" i="12"/>
  <c r="E951" i="12"/>
  <c r="E950" i="12"/>
  <c r="E949" i="12"/>
  <c r="E948" i="12"/>
  <c r="E947" i="12"/>
  <c r="E946" i="12"/>
  <c r="E945" i="12"/>
  <c r="E944" i="12"/>
  <c r="E943" i="12"/>
  <c r="E942" i="12"/>
  <c r="C942" i="12"/>
  <c r="B942" i="12"/>
  <c r="E941" i="12"/>
  <c r="E940" i="12"/>
  <c r="E939" i="12"/>
  <c r="E938" i="12"/>
  <c r="E937" i="12"/>
  <c r="E936" i="12"/>
  <c r="E935" i="12"/>
  <c r="E934" i="12"/>
  <c r="E933" i="12"/>
  <c r="E932" i="12"/>
  <c r="E931" i="12"/>
  <c r="E930" i="12"/>
  <c r="E929" i="12"/>
  <c r="E928" i="12"/>
  <c r="E927" i="12"/>
  <c r="E926" i="12"/>
  <c r="E925" i="12"/>
  <c r="E924" i="12"/>
  <c r="E923" i="12"/>
  <c r="E922" i="12"/>
  <c r="E921" i="12"/>
  <c r="E920" i="12"/>
  <c r="E919" i="12"/>
  <c r="E918" i="12"/>
  <c r="C918" i="12"/>
  <c r="B918" i="12"/>
  <c r="E917" i="12"/>
  <c r="E916" i="12"/>
  <c r="E915" i="12"/>
  <c r="E914" i="12"/>
  <c r="E913" i="12"/>
  <c r="E912" i="12"/>
  <c r="E911" i="12"/>
  <c r="E910" i="12"/>
  <c r="E909" i="12"/>
  <c r="E908" i="12"/>
  <c r="E907" i="12"/>
  <c r="E906" i="12"/>
  <c r="E905" i="12"/>
  <c r="E904" i="12"/>
  <c r="E903" i="12"/>
  <c r="E902" i="12"/>
  <c r="E901" i="12"/>
  <c r="E900" i="12"/>
  <c r="E899" i="12"/>
  <c r="E898" i="12"/>
  <c r="E897" i="12"/>
  <c r="E896" i="12"/>
  <c r="E895" i="12"/>
  <c r="E894" i="12"/>
  <c r="C894" i="12"/>
  <c r="B894" i="12"/>
  <c r="E893" i="12"/>
  <c r="E892" i="12"/>
  <c r="E891" i="12"/>
  <c r="E890" i="12"/>
  <c r="E889" i="12"/>
  <c r="E888" i="12"/>
  <c r="E887" i="12"/>
  <c r="E886" i="12"/>
  <c r="E885" i="12"/>
  <c r="E884" i="12"/>
  <c r="E883" i="12"/>
  <c r="E882" i="12"/>
  <c r="E881" i="12"/>
  <c r="E880" i="12"/>
  <c r="E879" i="12"/>
  <c r="E878" i="12"/>
  <c r="E877" i="12"/>
  <c r="E876" i="12"/>
  <c r="E875" i="12"/>
  <c r="E874" i="12"/>
  <c r="E873" i="12"/>
  <c r="E872" i="12"/>
  <c r="E871" i="12"/>
  <c r="E870" i="12"/>
  <c r="C870" i="12"/>
  <c r="B870" i="12"/>
  <c r="E869" i="12"/>
  <c r="E868" i="12"/>
  <c r="E867" i="12"/>
  <c r="E866" i="12"/>
  <c r="E865" i="12"/>
  <c r="E864" i="12"/>
  <c r="E863" i="12"/>
  <c r="E862" i="12"/>
  <c r="E861" i="12"/>
  <c r="E860" i="12"/>
  <c r="E859" i="12"/>
  <c r="E858" i="12"/>
  <c r="E857" i="12"/>
  <c r="E856" i="12"/>
  <c r="E855" i="12"/>
  <c r="E854" i="12"/>
  <c r="E853" i="12"/>
  <c r="E852" i="12"/>
  <c r="E851" i="12"/>
  <c r="E850" i="12"/>
  <c r="E849" i="12"/>
  <c r="E848" i="12"/>
  <c r="E847" i="12"/>
  <c r="E846" i="12"/>
  <c r="C846" i="12"/>
  <c r="B846" i="12"/>
  <c r="E845" i="12"/>
  <c r="E844" i="12"/>
  <c r="E843" i="12"/>
  <c r="E842" i="12"/>
  <c r="E841" i="12"/>
  <c r="E840" i="12"/>
  <c r="E839" i="12"/>
  <c r="E838" i="12"/>
  <c r="E837" i="12"/>
  <c r="E836" i="12"/>
  <c r="E835" i="12"/>
  <c r="E834" i="12"/>
  <c r="E833" i="12"/>
  <c r="E832" i="12"/>
  <c r="E831" i="12"/>
  <c r="E830" i="12"/>
  <c r="E829" i="12"/>
  <c r="E828" i="12"/>
  <c r="E827" i="12"/>
  <c r="E826" i="12"/>
  <c r="E825" i="12"/>
  <c r="E824" i="12"/>
  <c r="E823" i="12"/>
  <c r="E822" i="12"/>
  <c r="C822" i="12"/>
  <c r="B822" i="12"/>
  <c r="E821" i="12"/>
  <c r="E820" i="12"/>
  <c r="E819" i="12"/>
  <c r="E818" i="12"/>
  <c r="E817" i="12"/>
  <c r="E816" i="12"/>
  <c r="E815" i="12"/>
  <c r="E814" i="12"/>
  <c r="E813" i="12"/>
  <c r="E812" i="12"/>
  <c r="E811" i="12"/>
  <c r="E810" i="12"/>
  <c r="E809" i="12"/>
  <c r="E808" i="12"/>
  <c r="E807" i="12"/>
  <c r="E806" i="12"/>
  <c r="E805" i="12"/>
  <c r="E804" i="12"/>
  <c r="E803" i="12"/>
  <c r="E802" i="12"/>
  <c r="E801" i="12"/>
  <c r="E800" i="12"/>
  <c r="E799" i="12"/>
  <c r="E798" i="12"/>
  <c r="C798" i="12"/>
  <c r="B798" i="12"/>
  <c r="E797" i="12"/>
  <c r="E796" i="12"/>
  <c r="E795" i="12"/>
  <c r="E794" i="12"/>
  <c r="E793" i="12"/>
  <c r="E792" i="12"/>
  <c r="E791" i="12"/>
  <c r="E790" i="12"/>
  <c r="E789" i="12"/>
  <c r="E788" i="12"/>
  <c r="E787" i="12"/>
  <c r="E786" i="12"/>
  <c r="E785" i="12"/>
  <c r="E784" i="12"/>
  <c r="E783" i="12"/>
  <c r="E782" i="12"/>
  <c r="E781" i="12"/>
  <c r="E780" i="12"/>
  <c r="E779" i="12"/>
  <c r="E778" i="12"/>
  <c r="E777" i="12"/>
  <c r="E776" i="12"/>
  <c r="E775" i="12"/>
  <c r="E774" i="12"/>
  <c r="C774" i="12"/>
  <c r="B774" i="12"/>
  <c r="E773" i="12"/>
  <c r="E772" i="12"/>
  <c r="E771" i="12"/>
  <c r="E770" i="12"/>
  <c r="E769" i="12"/>
  <c r="E768" i="12"/>
  <c r="E767" i="12"/>
  <c r="E766" i="12"/>
  <c r="E765" i="12"/>
  <c r="E764" i="12"/>
  <c r="E763" i="12"/>
  <c r="E762" i="12"/>
  <c r="E761" i="12"/>
  <c r="E760" i="12"/>
  <c r="E759" i="12"/>
  <c r="E758" i="12"/>
  <c r="E757" i="12"/>
  <c r="E756" i="12"/>
  <c r="E755" i="12"/>
  <c r="E754" i="12"/>
  <c r="E753" i="12"/>
  <c r="E752" i="12"/>
  <c r="E751" i="12"/>
  <c r="E750" i="12"/>
  <c r="C750" i="12"/>
  <c r="B750" i="12"/>
  <c r="E749" i="12"/>
  <c r="E748" i="12"/>
  <c r="E747" i="12"/>
  <c r="E746" i="12"/>
  <c r="E745" i="12"/>
  <c r="E744" i="12"/>
  <c r="E743" i="12"/>
  <c r="E742" i="12"/>
  <c r="E741" i="12"/>
  <c r="E740" i="12"/>
  <c r="E739" i="12"/>
  <c r="E738" i="12"/>
  <c r="E737" i="12"/>
  <c r="E736" i="12"/>
  <c r="E735" i="12"/>
  <c r="E734" i="12"/>
  <c r="E733" i="12"/>
  <c r="E732" i="12"/>
  <c r="E731" i="12"/>
  <c r="E730" i="12"/>
  <c r="E729" i="12"/>
  <c r="E728" i="12"/>
  <c r="E727" i="12"/>
  <c r="E726" i="12"/>
  <c r="C726" i="12"/>
  <c r="B726" i="12"/>
  <c r="E725" i="12"/>
  <c r="E724" i="12"/>
  <c r="E723" i="12"/>
  <c r="E722" i="12"/>
  <c r="E721" i="12"/>
  <c r="E720" i="12"/>
  <c r="E719" i="12"/>
  <c r="E718" i="12"/>
  <c r="E717" i="12"/>
  <c r="E716" i="12"/>
  <c r="E715" i="12"/>
  <c r="E714" i="12"/>
  <c r="E713" i="12"/>
  <c r="E712" i="12"/>
  <c r="E711" i="12"/>
  <c r="E710" i="12"/>
  <c r="E709" i="12"/>
  <c r="E708" i="12"/>
  <c r="E707" i="12"/>
  <c r="E706" i="12"/>
  <c r="E705" i="12"/>
  <c r="E704" i="12"/>
  <c r="E703" i="12"/>
  <c r="E702" i="12"/>
  <c r="C702" i="12"/>
  <c r="B702" i="12"/>
  <c r="E701" i="12"/>
  <c r="E700" i="12"/>
  <c r="E699" i="12"/>
  <c r="E698" i="12"/>
  <c r="E697" i="12"/>
  <c r="E696" i="12"/>
  <c r="E695" i="12"/>
  <c r="E694" i="12"/>
  <c r="E693" i="12"/>
  <c r="E692" i="12"/>
  <c r="E691" i="12"/>
  <c r="E690" i="12"/>
  <c r="E689" i="12"/>
  <c r="E688" i="12"/>
  <c r="E687" i="12"/>
  <c r="E686" i="12"/>
  <c r="E685" i="12"/>
  <c r="E684" i="12"/>
  <c r="E683" i="12"/>
  <c r="E682" i="12"/>
  <c r="E681" i="12"/>
  <c r="E680" i="12"/>
  <c r="E679" i="12"/>
  <c r="E678" i="12"/>
  <c r="C678" i="12"/>
  <c r="B678" i="12"/>
  <c r="E677" i="12"/>
  <c r="E676" i="12"/>
  <c r="E675" i="12"/>
  <c r="E674" i="12"/>
  <c r="E673" i="12"/>
  <c r="E672" i="12"/>
  <c r="E671" i="12"/>
  <c r="E670" i="12"/>
  <c r="E669" i="12"/>
  <c r="E668" i="12"/>
  <c r="E667" i="12"/>
  <c r="E666" i="12"/>
  <c r="E665" i="12"/>
  <c r="E664" i="12"/>
  <c r="E663" i="12"/>
  <c r="E662" i="12"/>
  <c r="E661" i="12"/>
  <c r="E660" i="12"/>
  <c r="E659" i="12"/>
  <c r="E658" i="12"/>
  <c r="E657" i="12"/>
  <c r="E656" i="12"/>
  <c r="E655" i="12"/>
  <c r="E654" i="12"/>
  <c r="C654" i="12"/>
  <c r="B654" i="12"/>
  <c r="E653" i="12"/>
  <c r="E652" i="12"/>
  <c r="E651" i="12"/>
  <c r="E650" i="12"/>
  <c r="E649" i="12"/>
  <c r="E648" i="12"/>
  <c r="E647" i="12"/>
  <c r="E646" i="12"/>
  <c r="E645" i="12"/>
  <c r="E644" i="12"/>
  <c r="E643" i="12"/>
  <c r="E642" i="12"/>
  <c r="E641" i="12"/>
  <c r="E640" i="12"/>
  <c r="E639" i="12"/>
  <c r="E638" i="12"/>
  <c r="E637" i="12"/>
  <c r="E636" i="12"/>
  <c r="E635" i="12"/>
  <c r="E634" i="12"/>
  <c r="E633" i="12"/>
  <c r="E632" i="12"/>
  <c r="E631" i="12"/>
  <c r="E630" i="12"/>
  <c r="C630" i="12"/>
  <c r="B630" i="12"/>
  <c r="E629" i="12"/>
  <c r="E628" i="12"/>
  <c r="E627" i="12"/>
  <c r="E626" i="12"/>
  <c r="E625" i="12"/>
  <c r="E624" i="12"/>
  <c r="E623" i="12"/>
  <c r="E622" i="12"/>
  <c r="E621" i="12"/>
  <c r="E620" i="12"/>
  <c r="E619" i="12"/>
  <c r="E618" i="12"/>
  <c r="E617" i="12"/>
  <c r="E616" i="12"/>
  <c r="E615" i="12"/>
  <c r="E614" i="12"/>
  <c r="E613" i="12"/>
  <c r="E612" i="12"/>
  <c r="E611" i="12"/>
  <c r="E610" i="12"/>
  <c r="E609" i="12"/>
  <c r="E608" i="12"/>
  <c r="E607" i="12"/>
  <c r="E606" i="12"/>
  <c r="C606" i="12"/>
  <c r="B606" i="12"/>
  <c r="E605" i="12"/>
  <c r="E604" i="12"/>
  <c r="E603" i="12"/>
  <c r="E602" i="12"/>
  <c r="E601" i="12"/>
  <c r="E600" i="12"/>
  <c r="E599" i="12"/>
  <c r="E598" i="12"/>
  <c r="E597" i="12"/>
  <c r="E596" i="12"/>
  <c r="E595" i="12"/>
  <c r="E594" i="12"/>
  <c r="E593" i="12"/>
  <c r="E592" i="12"/>
  <c r="E591" i="12"/>
  <c r="E590" i="12"/>
  <c r="E589" i="12"/>
  <c r="E588" i="12"/>
  <c r="E587" i="12"/>
  <c r="E586" i="12"/>
  <c r="E585" i="12"/>
  <c r="E584" i="12"/>
  <c r="E583" i="12"/>
  <c r="E582" i="12"/>
  <c r="C582" i="12"/>
  <c r="B582" i="12"/>
  <c r="E581" i="12"/>
  <c r="E580" i="12"/>
  <c r="E579" i="12"/>
  <c r="E578" i="12"/>
  <c r="E577" i="12"/>
  <c r="E576" i="12"/>
  <c r="E575" i="12"/>
  <c r="E574" i="12"/>
  <c r="E573" i="12"/>
  <c r="E572" i="12"/>
  <c r="E571" i="12"/>
  <c r="E570" i="12"/>
  <c r="E569" i="12"/>
  <c r="E568" i="12"/>
  <c r="E567" i="12"/>
  <c r="E566" i="12"/>
  <c r="E565" i="12"/>
  <c r="E564" i="12"/>
  <c r="E563" i="12"/>
  <c r="E562" i="12"/>
  <c r="E561" i="12"/>
  <c r="E560" i="12"/>
  <c r="E559" i="12"/>
  <c r="E558" i="12"/>
  <c r="C558" i="12"/>
  <c r="B558" i="12"/>
  <c r="E557" i="12"/>
  <c r="E556" i="12"/>
  <c r="E555" i="12"/>
  <c r="E554" i="12"/>
  <c r="E553" i="12"/>
  <c r="E552" i="12"/>
  <c r="E551" i="12"/>
  <c r="E550" i="12"/>
  <c r="E549" i="12"/>
  <c r="E548" i="12"/>
  <c r="E547" i="12"/>
  <c r="E546" i="12"/>
  <c r="E545" i="12"/>
  <c r="E544" i="12"/>
  <c r="E543" i="12"/>
  <c r="E542" i="12"/>
  <c r="E541" i="12"/>
  <c r="E540" i="12"/>
  <c r="E539" i="12"/>
  <c r="E538" i="12"/>
  <c r="E537" i="12"/>
  <c r="E536" i="12"/>
  <c r="E535" i="12"/>
  <c r="E534" i="12"/>
  <c r="C534" i="12"/>
  <c r="B534" i="12"/>
  <c r="E533" i="12"/>
  <c r="E532" i="12"/>
  <c r="E531" i="12"/>
  <c r="E530" i="12"/>
  <c r="E529" i="12"/>
  <c r="E528" i="12"/>
  <c r="E527" i="12"/>
  <c r="E526" i="12"/>
  <c r="E525" i="12"/>
  <c r="E524" i="12"/>
  <c r="E523" i="12"/>
  <c r="E522" i="12"/>
  <c r="E521" i="12"/>
  <c r="E520" i="12"/>
  <c r="E519" i="12"/>
  <c r="E518" i="12"/>
  <c r="E517" i="12"/>
  <c r="E516" i="12"/>
  <c r="E515" i="12"/>
  <c r="E514" i="12"/>
  <c r="E513" i="12"/>
  <c r="E512" i="12"/>
  <c r="E511" i="12"/>
  <c r="E510" i="12"/>
  <c r="C510" i="12"/>
  <c r="B510" i="12"/>
  <c r="E509" i="12"/>
  <c r="E508" i="12"/>
  <c r="E507" i="12"/>
  <c r="E506" i="12"/>
  <c r="E505" i="12"/>
  <c r="E504" i="12"/>
  <c r="E503" i="12"/>
  <c r="E502" i="12"/>
  <c r="E501" i="12"/>
  <c r="E500" i="12"/>
  <c r="E499" i="12"/>
  <c r="E498" i="12"/>
  <c r="E497" i="12"/>
  <c r="E496" i="12"/>
  <c r="E495" i="12"/>
  <c r="E494" i="12"/>
  <c r="E493" i="12"/>
  <c r="E492" i="12"/>
  <c r="E491" i="12"/>
  <c r="E490" i="12"/>
  <c r="E489" i="12"/>
  <c r="E488" i="12"/>
  <c r="E487" i="12"/>
  <c r="E486" i="12"/>
  <c r="C486" i="12"/>
  <c r="B486" i="12"/>
  <c r="E485" i="12"/>
  <c r="E484" i="12"/>
  <c r="E483" i="12"/>
  <c r="E482" i="12"/>
  <c r="E481" i="12"/>
  <c r="E480" i="12"/>
  <c r="E479" i="12"/>
  <c r="E478" i="12"/>
  <c r="E477" i="12"/>
  <c r="E476" i="12"/>
  <c r="E475" i="12"/>
  <c r="E474" i="12"/>
  <c r="E473" i="12"/>
  <c r="E472" i="12"/>
  <c r="E471" i="12"/>
  <c r="E470" i="12"/>
  <c r="E469" i="12"/>
  <c r="E468" i="12"/>
  <c r="E467" i="12"/>
  <c r="E466" i="12"/>
  <c r="E465" i="12"/>
  <c r="E464" i="12"/>
  <c r="E463" i="12"/>
  <c r="E462" i="12"/>
  <c r="C462" i="12"/>
  <c r="B462" i="12"/>
  <c r="E461" i="12"/>
  <c r="E460" i="12"/>
  <c r="E459" i="12"/>
  <c r="E458" i="12"/>
  <c r="E457" i="12"/>
  <c r="E456" i="12"/>
  <c r="E455" i="12"/>
  <c r="E454" i="12"/>
  <c r="E453" i="12"/>
  <c r="E452" i="12"/>
  <c r="E451" i="12"/>
  <c r="E450" i="12"/>
  <c r="E449" i="12"/>
  <c r="E448" i="12"/>
  <c r="E447" i="12"/>
  <c r="E446" i="12"/>
  <c r="E445" i="12"/>
  <c r="E444" i="12"/>
  <c r="E443" i="12"/>
  <c r="E442" i="12"/>
  <c r="E441" i="12"/>
  <c r="E440" i="12"/>
  <c r="E439" i="12"/>
  <c r="E438" i="12"/>
  <c r="C438" i="12"/>
  <c r="B438" i="12"/>
  <c r="E437" i="12"/>
  <c r="E436" i="12"/>
  <c r="E435" i="12"/>
  <c r="E434" i="12"/>
  <c r="E433" i="12"/>
  <c r="E432" i="12"/>
  <c r="E431" i="12"/>
  <c r="E430" i="12"/>
  <c r="E429" i="12"/>
  <c r="E428" i="12"/>
  <c r="E427" i="12"/>
  <c r="E426" i="12"/>
  <c r="E425" i="12"/>
  <c r="E424" i="12"/>
  <c r="E423" i="12"/>
  <c r="E422" i="12"/>
  <c r="E421" i="12"/>
  <c r="E420" i="12"/>
  <c r="E419" i="12"/>
  <c r="E418" i="12"/>
  <c r="E417" i="12"/>
  <c r="E416" i="12"/>
  <c r="E415" i="12"/>
  <c r="E414" i="12"/>
  <c r="C414" i="12"/>
  <c r="B414" i="12"/>
  <c r="E413" i="12"/>
  <c r="E412" i="12"/>
  <c r="E411" i="12"/>
  <c r="E410" i="12"/>
  <c r="E409" i="12"/>
  <c r="E408" i="12"/>
  <c r="E407" i="12"/>
  <c r="E406" i="12"/>
  <c r="E405" i="12"/>
  <c r="E404" i="12"/>
  <c r="E403" i="12"/>
  <c r="E402" i="12"/>
  <c r="E401" i="12"/>
  <c r="E400" i="12"/>
  <c r="E399" i="12"/>
  <c r="E398" i="12"/>
  <c r="E397" i="12"/>
  <c r="E396" i="12"/>
  <c r="E395" i="12"/>
  <c r="E394" i="12"/>
  <c r="E393" i="12"/>
  <c r="E392" i="12"/>
  <c r="E391" i="12"/>
  <c r="E390" i="12"/>
  <c r="C390" i="12"/>
  <c r="B390" i="12"/>
  <c r="E389" i="12"/>
  <c r="E388" i="12"/>
  <c r="E387" i="12"/>
  <c r="E386" i="12"/>
  <c r="E385" i="12"/>
  <c r="E384" i="12"/>
  <c r="E383" i="12"/>
  <c r="E382" i="12"/>
  <c r="E381" i="12"/>
  <c r="E380" i="12"/>
  <c r="E379" i="12"/>
  <c r="E378" i="12"/>
  <c r="E377" i="12"/>
  <c r="E376" i="12"/>
  <c r="E375" i="12"/>
  <c r="E374" i="12"/>
  <c r="E373" i="12"/>
  <c r="E372" i="12"/>
  <c r="E371" i="12"/>
  <c r="E370" i="12"/>
  <c r="E369" i="12"/>
  <c r="E368" i="12"/>
  <c r="E367" i="12"/>
  <c r="E366" i="12"/>
  <c r="C366" i="12"/>
  <c r="B366" i="12"/>
  <c r="E365" i="12"/>
  <c r="E364" i="12"/>
  <c r="E363" i="12"/>
  <c r="E362" i="12"/>
  <c r="E361" i="12"/>
  <c r="E360" i="12"/>
  <c r="E359" i="12"/>
  <c r="E358" i="12"/>
  <c r="E357" i="12"/>
  <c r="E356" i="12"/>
  <c r="E355" i="12"/>
  <c r="E354" i="12"/>
  <c r="E353" i="12"/>
  <c r="E352" i="12"/>
  <c r="E351" i="12"/>
  <c r="E350" i="12"/>
  <c r="E349" i="12"/>
  <c r="E348" i="12"/>
  <c r="E347" i="12"/>
  <c r="E346" i="12"/>
  <c r="E345" i="12"/>
  <c r="E344" i="12"/>
  <c r="E343" i="12"/>
  <c r="E342" i="12"/>
  <c r="C342" i="12"/>
  <c r="B342" i="12"/>
  <c r="E341" i="12"/>
  <c r="E340" i="12"/>
  <c r="E339" i="12"/>
  <c r="E338" i="12"/>
  <c r="E337" i="12"/>
  <c r="E336" i="12"/>
  <c r="E335" i="12"/>
  <c r="E334" i="12"/>
  <c r="E333" i="12"/>
  <c r="E332" i="12"/>
  <c r="E331" i="12"/>
  <c r="E330" i="12"/>
  <c r="E329" i="12"/>
  <c r="E328" i="12"/>
  <c r="E327" i="12"/>
  <c r="E326" i="12"/>
  <c r="E325" i="12"/>
  <c r="E324" i="12"/>
  <c r="E323" i="12"/>
  <c r="E322" i="12"/>
  <c r="E321" i="12"/>
  <c r="E320" i="12"/>
  <c r="E319" i="12"/>
  <c r="E318" i="12"/>
  <c r="C318" i="12"/>
  <c r="B318" i="12"/>
  <c r="E317" i="12"/>
  <c r="E316" i="12"/>
  <c r="E315" i="12"/>
  <c r="E314" i="12"/>
  <c r="E313" i="12"/>
  <c r="E312" i="12"/>
  <c r="E311" i="12"/>
  <c r="E310" i="12"/>
  <c r="E309" i="12"/>
  <c r="E308" i="12"/>
  <c r="E307" i="12"/>
  <c r="E306" i="12"/>
  <c r="E305" i="12"/>
  <c r="E304" i="12"/>
  <c r="E303" i="12"/>
  <c r="E302" i="12"/>
  <c r="E301" i="12"/>
  <c r="E300" i="12"/>
  <c r="E299" i="12"/>
  <c r="E298" i="12"/>
  <c r="E297" i="12"/>
  <c r="E296" i="12"/>
  <c r="E295" i="12"/>
  <c r="E294" i="12"/>
  <c r="C294" i="12"/>
  <c r="B294" i="12"/>
  <c r="E293" i="12"/>
  <c r="E292" i="12"/>
  <c r="E291" i="12"/>
  <c r="E290" i="12"/>
  <c r="E289" i="12"/>
  <c r="E288" i="12"/>
  <c r="E287" i="12"/>
  <c r="E286" i="12"/>
  <c r="E285" i="12"/>
  <c r="E284" i="12"/>
  <c r="E283" i="12"/>
  <c r="E282" i="12"/>
  <c r="E281" i="12"/>
  <c r="E280" i="12"/>
  <c r="E279" i="12"/>
  <c r="E278" i="12"/>
  <c r="E277" i="12"/>
  <c r="E276" i="12"/>
  <c r="E275" i="12"/>
  <c r="E274" i="12"/>
  <c r="E273" i="12"/>
  <c r="E272" i="12"/>
  <c r="E271" i="12"/>
  <c r="E270" i="12"/>
  <c r="C270" i="12"/>
  <c r="B270" i="12"/>
  <c r="E269" i="12"/>
  <c r="E268" i="12"/>
  <c r="E267" i="12"/>
  <c r="E266" i="12"/>
  <c r="E265" i="12"/>
  <c r="E264" i="12"/>
  <c r="E263" i="12"/>
  <c r="E262" i="12"/>
  <c r="E261" i="12"/>
  <c r="E260" i="12"/>
  <c r="E259" i="12"/>
  <c r="E258" i="12"/>
  <c r="E257" i="12"/>
  <c r="E256" i="12"/>
  <c r="E255" i="12"/>
  <c r="E254" i="12"/>
  <c r="E253" i="12"/>
  <c r="E252" i="12"/>
  <c r="E251" i="12"/>
  <c r="E250" i="12"/>
  <c r="E249" i="12"/>
  <c r="E248" i="12"/>
  <c r="E247" i="12"/>
  <c r="E246" i="12"/>
  <c r="C246" i="12"/>
  <c r="B246" i="12"/>
  <c r="E245" i="12"/>
  <c r="E244" i="12"/>
  <c r="E243" i="12"/>
  <c r="E242" i="12"/>
  <c r="E241" i="12"/>
  <c r="E240" i="12"/>
  <c r="E239" i="12"/>
  <c r="E238" i="12"/>
  <c r="E237" i="12"/>
  <c r="E236" i="12"/>
  <c r="E235" i="12"/>
  <c r="E234" i="12"/>
  <c r="E233" i="12"/>
  <c r="E232" i="12"/>
  <c r="E231" i="12"/>
  <c r="E230" i="12"/>
  <c r="E229" i="12"/>
  <c r="E228" i="12"/>
  <c r="E227" i="12"/>
  <c r="E226" i="12"/>
  <c r="E225" i="12"/>
  <c r="E224" i="12"/>
  <c r="E223" i="12"/>
  <c r="E222" i="12"/>
  <c r="C222" i="12"/>
  <c r="B222" i="12"/>
  <c r="E221" i="12"/>
  <c r="E220" i="12"/>
  <c r="E219" i="12"/>
  <c r="E218" i="12"/>
  <c r="E217" i="12"/>
  <c r="E216" i="12"/>
  <c r="E215" i="12"/>
  <c r="E214" i="12"/>
  <c r="E213" i="12"/>
  <c r="E212" i="12"/>
  <c r="E211" i="12"/>
  <c r="E210" i="12"/>
  <c r="E209" i="12"/>
  <c r="E208" i="12"/>
  <c r="E207" i="12"/>
  <c r="E206" i="12"/>
  <c r="E205" i="12"/>
  <c r="E204" i="12"/>
  <c r="E203" i="12"/>
  <c r="E202" i="12"/>
  <c r="E201" i="12"/>
  <c r="E200" i="12"/>
  <c r="E199" i="12"/>
  <c r="E198" i="12"/>
  <c r="C198" i="12"/>
  <c r="B198" i="12"/>
  <c r="E197" i="12"/>
  <c r="E196" i="12"/>
  <c r="E195" i="12"/>
  <c r="E194" i="12"/>
  <c r="E193" i="12"/>
  <c r="E192" i="12"/>
  <c r="E191" i="12"/>
  <c r="E190" i="12"/>
  <c r="E189" i="12"/>
  <c r="E188" i="12"/>
  <c r="E187" i="12"/>
  <c r="E186" i="12"/>
  <c r="E185" i="12"/>
  <c r="E184" i="12"/>
  <c r="E183" i="12"/>
  <c r="E182" i="12"/>
  <c r="E181" i="12"/>
  <c r="E180" i="12"/>
  <c r="E179" i="12"/>
  <c r="E178" i="12"/>
  <c r="E177" i="12"/>
  <c r="E176" i="12"/>
  <c r="E175" i="12"/>
  <c r="E174" i="12"/>
  <c r="C174" i="12"/>
  <c r="B174" i="12"/>
  <c r="E173" i="12"/>
  <c r="E172" i="12"/>
  <c r="E171" i="12"/>
  <c r="E170" i="12"/>
  <c r="E169" i="12"/>
  <c r="E168" i="12"/>
  <c r="E167" i="12"/>
  <c r="E166" i="12"/>
  <c r="E165" i="12"/>
  <c r="E164" i="12"/>
  <c r="E163" i="12"/>
  <c r="E162" i="12"/>
  <c r="E161" i="12"/>
  <c r="E160" i="12"/>
  <c r="E159" i="12"/>
  <c r="E158" i="12"/>
  <c r="E157" i="12"/>
  <c r="E156" i="12"/>
  <c r="E155" i="12"/>
  <c r="E154" i="12"/>
  <c r="E153" i="12"/>
  <c r="E152" i="12"/>
  <c r="E151" i="12"/>
  <c r="E150" i="12"/>
  <c r="C150" i="12"/>
  <c r="B150" i="12"/>
  <c r="E149" i="12"/>
  <c r="E148" i="12"/>
  <c r="E147" i="12"/>
  <c r="E146" i="12"/>
  <c r="E145" i="12"/>
  <c r="E144" i="12"/>
  <c r="E143" i="12"/>
  <c r="E142" i="12"/>
  <c r="E141" i="12"/>
  <c r="E140" i="12"/>
  <c r="E139" i="12"/>
  <c r="E138" i="12"/>
  <c r="E137" i="12"/>
  <c r="E136" i="12"/>
  <c r="E135" i="12"/>
  <c r="E134" i="12"/>
  <c r="E133" i="12"/>
  <c r="E132" i="12"/>
  <c r="E131" i="12"/>
  <c r="E130" i="12"/>
  <c r="E129" i="12"/>
  <c r="E128" i="12"/>
  <c r="E127" i="12"/>
  <c r="E126" i="12"/>
  <c r="C126" i="12"/>
  <c r="B126" i="12"/>
  <c r="E125" i="12"/>
  <c r="E124" i="12"/>
  <c r="E123" i="12"/>
  <c r="E122" i="12"/>
  <c r="E121" i="12"/>
  <c r="E120" i="12"/>
  <c r="E119" i="12"/>
  <c r="E118" i="12"/>
  <c r="D118" i="12"/>
  <c r="D142" i="12" s="1"/>
  <c r="D166" i="12" s="1"/>
  <c r="D190" i="12" s="1"/>
  <c r="D214" i="12" s="1"/>
  <c r="D238" i="12" s="1"/>
  <c r="D262" i="12" s="1"/>
  <c r="D286" i="12" s="1"/>
  <c r="D310" i="12" s="1"/>
  <c r="D334" i="12" s="1"/>
  <c r="D358" i="12" s="1"/>
  <c r="D382" i="12" s="1"/>
  <c r="D406" i="12" s="1"/>
  <c r="D430" i="12" s="1"/>
  <c r="D454" i="12" s="1"/>
  <c r="D478" i="12" s="1"/>
  <c r="D502" i="12" s="1"/>
  <c r="D526" i="12" s="1"/>
  <c r="D550" i="12" s="1"/>
  <c r="D574" i="12" s="1"/>
  <c r="D598" i="12" s="1"/>
  <c r="D622" i="12" s="1"/>
  <c r="D646" i="12" s="1"/>
  <c r="D670" i="12" s="1"/>
  <c r="D694" i="12" s="1"/>
  <c r="D718" i="12" s="1"/>
  <c r="D742" i="12" s="1"/>
  <c r="D766" i="12" s="1"/>
  <c r="D790" i="12" s="1"/>
  <c r="D814" i="12" s="1"/>
  <c r="D838" i="12" s="1"/>
  <c r="D862" i="12" s="1"/>
  <c r="D886" i="12" s="1"/>
  <c r="D910" i="12" s="1"/>
  <c r="D934" i="12" s="1"/>
  <c r="D958" i="12" s="1"/>
  <c r="D982" i="12" s="1"/>
  <c r="D1006" i="12" s="1"/>
  <c r="D1030" i="12" s="1"/>
  <c r="D1054" i="12" s="1"/>
  <c r="D1078" i="12" s="1"/>
  <c r="D1102" i="12" s="1"/>
  <c r="D1126" i="12" s="1"/>
  <c r="D1150" i="12" s="1"/>
  <c r="D1174" i="12" s="1"/>
  <c r="E117" i="12"/>
  <c r="E116" i="12"/>
  <c r="E115" i="12"/>
  <c r="E114" i="12"/>
  <c r="E113" i="12"/>
  <c r="D113" i="12"/>
  <c r="D137" i="12" s="1"/>
  <c r="D161" i="12" s="1"/>
  <c r="D185" i="12" s="1"/>
  <c r="D209" i="12" s="1"/>
  <c r="D233" i="12" s="1"/>
  <c r="D257" i="12" s="1"/>
  <c r="D281" i="12" s="1"/>
  <c r="D305" i="12" s="1"/>
  <c r="D329" i="12" s="1"/>
  <c r="D353" i="12" s="1"/>
  <c r="D377" i="12" s="1"/>
  <c r="D401" i="12" s="1"/>
  <c r="D425" i="12" s="1"/>
  <c r="D449" i="12" s="1"/>
  <c r="D473" i="12" s="1"/>
  <c r="D497" i="12" s="1"/>
  <c r="D521" i="12" s="1"/>
  <c r="D545" i="12" s="1"/>
  <c r="D569" i="12" s="1"/>
  <c r="D593" i="12" s="1"/>
  <c r="D617" i="12" s="1"/>
  <c r="D641" i="12" s="1"/>
  <c r="D665" i="12" s="1"/>
  <c r="D689" i="12" s="1"/>
  <c r="D713" i="12" s="1"/>
  <c r="D737" i="12" s="1"/>
  <c r="D761" i="12" s="1"/>
  <c r="D785" i="12" s="1"/>
  <c r="D809" i="12" s="1"/>
  <c r="D833" i="12" s="1"/>
  <c r="D857" i="12" s="1"/>
  <c r="D881" i="12" s="1"/>
  <c r="D905" i="12" s="1"/>
  <c r="D929" i="12" s="1"/>
  <c r="D953" i="12" s="1"/>
  <c r="D977" i="12" s="1"/>
  <c r="D1001" i="12" s="1"/>
  <c r="D1025" i="12" s="1"/>
  <c r="D1049" i="12" s="1"/>
  <c r="D1073" i="12" s="1"/>
  <c r="D1097" i="12" s="1"/>
  <c r="D1121" i="12" s="1"/>
  <c r="D1145" i="12" s="1"/>
  <c r="D1169" i="12" s="1"/>
  <c r="E112" i="12"/>
  <c r="E111" i="12"/>
  <c r="E110" i="12"/>
  <c r="D110" i="12"/>
  <c r="D134" i="12" s="1"/>
  <c r="D158" i="12" s="1"/>
  <c r="D182" i="12" s="1"/>
  <c r="D206" i="12" s="1"/>
  <c r="D230" i="12" s="1"/>
  <c r="D254" i="12" s="1"/>
  <c r="D278" i="12" s="1"/>
  <c r="D302" i="12" s="1"/>
  <c r="D326" i="12" s="1"/>
  <c r="D350" i="12" s="1"/>
  <c r="D374" i="12" s="1"/>
  <c r="D398" i="12" s="1"/>
  <c r="D422" i="12" s="1"/>
  <c r="D446" i="12" s="1"/>
  <c r="D470" i="12" s="1"/>
  <c r="D494" i="12" s="1"/>
  <c r="D518" i="12" s="1"/>
  <c r="D542" i="12" s="1"/>
  <c r="D566" i="12" s="1"/>
  <c r="D590" i="12" s="1"/>
  <c r="D614" i="12" s="1"/>
  <c r="D638" i="12" s="1"/>
  <c r="D662" i="12" s="1"/>
  <c r="D686" i="12" s="1"/>
  <c r="D710" i="12" s="1"/>
  <c r="D734" i="12" s="1"/>
  <c r="D758" i="12" s="1"/>
  <c r="D782" i="12" s="1"/>
  <c r="D806" i="12" s="1"/>
  <c r="D830" i="12" s="1"/>
  <c r="D854" i="12" s="1"/>
  <c r="D878" i="12" s="1"/>
  <c r="D902" i="12" s="1"/>
  <c r="D926" i="12" s="1"/>
  <c r="D950" i="12" s="1"/>
  <c r="D974" i="12" s="1"/>
  <c r="D998" i="12" s="1"/>
  <c r="D1022" i="12" s="1"/>
  <c r="D1046" i="12" s="1"/>
  <c r="D1070" i="12" s="1"/>
  <c r="D1094" i="12" s="1"/>
  <c r="D1118" i="12" s="1"/>
  <c r="D1142" i="12" s="1"/>
  <c r="D1166" i="12" s="1"/>
  <c r="E109" i="12"/>
  <c r="E108" i="12"/>
  <c r="E107" i="12"/>
  <c r="E106" i="12"/>
  <c r="E105" i="12"/>
  <c r="E104" i="12"/>
  <c r="E103" i="12"/>
  <c r="E102" i="12"/>
  <c r="D102" i="12"/>
  <c r="D126" i="12" s="1"/>
  <c r="D150" i="12" s="1"/>
  <c r="D174" i="12" s="1"/>
  <c r="D198" i="12" s="1"/>
  <c r="D222" i="12" s="1"/>
  <c r="D246" i="12" s="1"/>
  <c r="D270" i="12" s="1"/>
  <c r="D294" i="12" s="1"/>
  <c r="D318" i="12" s="1"/>
  <c r="D342" i="12" s="1"/>
  <c r="D366" i="12" s="1"/>
  <c r="D390" i="12" s="1"/>
  <c r="D414" i="12" s="1"/>
  <c r="D438" i="12" s="1"/>
  <c r="D462" i="12" s="1"/>
  <c r="D486" i="12" s="1"/>
  <c r="D510" i="12" s="1"/>
  <c r="D534" i="12" s="1"/>
  <c r="D558" i="12" s="1"/>
  <c r="D582" i="12" s="1"/>
  <c r="D606" i="12" s="1"/>
  <c r="D630" i="12" s="1"/>
  <c r="D654" i="12" s="1"/>
  <c r="D678" i="12" s="1"/>
  <c r="D702" i="12" s="1"/>
  <c r="D726" i="12" s="1"/>
  <c r="D750" i="12" s="1"/>
  <c r="D774" i="12" s="1"/>
  <c r="D798" i="12" s="1"/>
  <c r="D822" i="12" s="1"/>
  <c r="D846" i="12" s="1"/>
  <c r="D870" i="12" s="1"/>
  <c r="D894" i="12" s="1"/>
  <c r="D918" i="12" s="1"/>
  <c r="D942" i="12" s="1"/>
  <c r="D966" i="12" s="1"/>
  <c r="D990" i="12" s="1"/>
  <c r="D1014" i="12" s="1"/>
  <c r="D1038" i="12" s="1"/>
  <c r="D1062" i="12" s="1"/>
  <c r="D1086" i="12" s="1"/>
  <c r="D1110" i="12" s="1"/>
  <c r="D1134" i="12" s="1"/>
  <c r="D1158" i="12" s="1"/>
  <c r="C102" i="12"/>
  <c r="B102" i="12"/>
  <c r="E101" i="12"/>
  <c r="E100" i="12"/>
  <c r="E99" i="12"/>
  <c r="E98" i="12"/>
  <c r="D98" i="12"/>
  <c r="D122" i="12" s="1"/>
  <c r="D146" i="12" s="1"/>
  <c r="D170" i="12" s="1"/>
  <c r="D194" i="12" s="1"/>
  <c r="D218" i="12" s="1"/>
  <c r="D242" i="12" s="1"/>
  <c r="D266" i="12" s="1"/>
  <c r="D290" i="12" s="1"/>
  <c r="D314" i="12" s="1"/>
  <c r="D338" i="12" s="1"/>
  <c r="D362" i="12" s="1"/>
  <c r="D386" i="12" s="1"/>
  <c r="D410" i="12" s="1"/>
  <c r="D434" i="12" s="1"/>
  <c r="D458" i="12" s="1"/>
  <c r="D482" i="12" s="1"/>
  <c r="D506" i="12" s="1"/>
  <c r="D530" i="12" s="1"/>
  <c r="D554" i="12" s="1"/>
  <c r="D578" i="12" s="1"/>
  <c r="D602" i="12" s="1"/>
  <c r="D626" i="12" s="1"/>
  <c r="D650" i="12" s="1"/>
  <c r="D674" i="12" s="1"/>
  <c r="D698" i="12" s="1"/>
  <c r="D722" i="12" s="1"/>
  <c r="D746" i="12" s="1"/>
  <c r="D770" i="12" s="1"/>
  <c r="D794" i="12" s="1"/>
  <c r="D818" i="12" s="1"/>
  <c r="D842" i="12" s="1"/>
  <c r="D866" i="12" s="1"/>
  <c r="D890" i="12" s="1"/>
  <c r="D914" i="12" s="1"/>
  <c r="D938" i="12" s="1"/>
  <c r="D962" i="12" s="1"/>
  <c r="D986" i="12" s="1"/>
  <c r="D1010" i="12" s="1"/>
  <c r="D1034" i="12" s="1"/>
  <c r="D1058" i="12" s="1"/>
  <c r="D1082" i="12" s="1"/>
  <c r="D1106" i="12" s="1"/>
  <c r="D1130" i="12" s="1"/>
  <c r="D1154" i="12" s="1"/>
  <c r="D1178" i="12" s="1"/>
  <c r="E97" i="12"/>
  <c r="E96" i="12"/>
  <c r="E95" i="12"/>
  <c r="E94" i="12"/>
  <c r="D94" i="12"/>
  <c r="E93" i="12"/>
  <c r="E92" i="12"/>
  <c r="E91" i="12"/>
  <c r="E90" i="12"/>
  <c r="D90" i="12"/>
  <c r="D114" i="12" s="1"/>
  <c r="D138" i="12" s="1"/>
  <c r="D162" i="12" s="1"/>
  <c r="D186" i="12" s="1"/>
  <c r="D210" i="12" s="1"/>
  <c r="D234" i="12" s="1"/>
  <c r="D258" i="12" s="1"/>
  <c r="D282" i="12" s="1"/>
  <c r="D306" i="12" s="1"/>
  <c r="D330" i="12" s="1"/>
  <c r="D354" i="12" s="1"/>
  <c r="D378" i="12" s="1"/>
  <c r="D402" i="12" s="1"/>
  <c r="D426" i="12" s="1"/>
  <c r="D450" i="12" s="1"/>
  <c r="D474" i="12" s="1"/>
  <c r="D498" i="12" s="1"/>
  <c r="D522" i="12" s="1"/>
  <c r="D546" i="12" s="1"/>
  <c r="D570" i="12" s="1"/>
  <c r="D594" i="12" s="1"/>
  <c r="D618" i="12" s="1"/>
  <c r="D642" i="12" s="1"/>
  <c r="D666" i="12" s="1"/>
  <c r="D690" i="12" s="1"/>
  <c r="D714" i="12" s="1"/>
  <c r="D738" i="12" s="1"/>
  <c r="D762" i="12" s="1"/>
  <c r="D786" i="12" s="1"/>
  <c r="D810" i="12" s="1"/>
  <c r="D834" i="12" s="1"/>
  <c r="D858" i="12" s="1"/>
  <c r="D882" i="12" s="1"/>
  <c r="D906" i="12" s="1"/>
  <c r="D930" i="12" s="1"/>
  <c r="D954" i="12" s="1"/>
  <c r="D978" i="12" s="1"/>
  <c r="D1002" i="12" s="1"/>
  <c r="D1026" i="12" s="1"/>
  <c r="D1050" i="12" s="1"/>
  <c r="D1074" i="12" s="1"/>
  <c r="D1098" i="12" s="1"/>
  <c r="D1122" i="12" s="1"/>
  <c r="D1146" i="12" s="1"/>
  <c r="D1170" i="12" s="1"/>
  <c r="E89" i="12"/>
  <c r="E88" i="12"/>
  <c r="E87" i="12"/>
  <c r="D87" i="12"/>
  <c r="D111" i="12" s="1"/>
  <c r="D135" i="12" s="1"/>
  <c r="D159" i="12" s="1"/>
  <c r="D183" i="12" s="1"/>
  <c r="D207" i="12" s="1"/>
  <c r="D231" i="12" s="1"/>
  <c r="D255" i="12" s="1"/>
  <c r="D279" i="12" s="1"/>
  <c r="D303" i="12" s="1"/>
  <c r="D327" i="12" s="1"/>
  <c r="D351" i="12" s="1"/>
  <c r="D375" i="12" s="1"/>
  <c r="D399" i="12" s="1"/>
  <c r="D423" i="12" s="1"/>
  <c r="D447" i="12" s="1"/>
  <c r="D471" i="12" s="1"/>
  <c r="D495" i="12" s="1"/>
  <c r="D519" i="12" s="1"/>
  <c r="D543" i="12" s="1"/>
  <c r="D567" i="12" s="1"/>
  <c r="D591" i="12" s="1"/>
  <c r="D615" i="12" s="1"/>
  <c r="D639" i="12" s="1"/>
  <c r="D663" i="12" s="1"/>
  <c r="D687" i="12" s="1"/>
  <c r="D711" i="12" s="1"/>
  <c r="D735" i="12" s="1"/>
  <c r="D759" i="12" s="1"/>
  <c r="D783" i="12" s="1"/>
  <c r="D807" i="12" s="1"/>
  <c r="D831" i="12" s="1"/>
  <c r="D855" i="12" s="1"/>
  <c r="D879" i="12" s="1"/>
  <c r="D903" i="12" s="1"/>
  <c r="D927" i="12" s="1"/>
  <c r="D951" i="12" s="1"/>
  <c r="D975" i="12" s="1"/>
  <c r="D999" i="12" s="1"/>
  <c r="D1023" i="12" s="1"/>
  <c r="D1047" i="12" s="1"/>
  <c r="D1071" i="12" s="1"/>
  <c r="D1095" i="12" s="1"/>
  <c r="D1119" i="12" s="1"/>
  <c r="D1143" i="12" s="1"/>
  <c r="D1167" i="12" s="1"/>
  <c r="E86" i="12"/>
  <c r="D86" i="12"/>
  <c r="E85" i="12"/>
  <c r="E84" i="12"/>
  <c r="E83" i="12"/>
  <c r="E82" i="12"/>
  <c r="D82" i="12"/>
  <c r="D106" i="12" s="1"/>
  <c r="D130" i="12" s="1"/>
  <c r="D154" i="12" s="1"/>
  <c r="D178" i="12" s="1"/>
  <c r="D202" i="12" s="1"/>
  <c r="D226" i="12" s="1"/>
  <c r="D250" i="12" s="1"/>
  <c r="D274" i="12" s="1"/>
  <c r="D298" i="12" s="1"/>
  <c r="D322" i="12" s="1"/>
  <c r="D346" i="12" s="1"/>
  <c r="D370" i="12" s="1"/>
  <c r="D394" i="12" s="1"/>
  <c r="D418" i="12" s="1"/>
  <c r="D442" i="12" s="1"/>
  <c r="D466" i="12" s="1"/>
  <c r="D490" i="12" s="1"/>
  <c r="D514" i="12" s="1"/>
  <c r="D538" i="12" s="1"/>
  <c r="D562" i="12" s="1"/>
  <c r="D586" i="12" s="1"/>
  <c r="D610" i="12" s="1"/>
  <c r="D634" i="12" s="1"/>
  <c r="D658" i="12" s="1"/>
  <c r="D682" i="12" s="1"/>
  <c r="D706" i="12" s="1"/>
  <c r="D730" i="12" s="1"/>
  <c r="D754" i="12" s="1"/>
  <c r="D778" i="12" s="1"/>
  <c r="D802" i="12" s="1"/>
  <c r="D826" i="12" s="1"/>
  <c r="D850" i="12" s="1"/>
  <c r="D874" i="12" s="1"/>
  <c r="D898" i="12" s="1"/>
  <c r="D922" i="12" s="1"/>
  <c r="D946" i="12" s="1"/>
  <c r="D970" i="12" s="1"/>
  <c r="D994" i="12" s="1"/>
  <c r="D1018" i="12" s="1"/>
  <c r="D1042" i="12" s="1"/>
  <c r="D1066" i="12" s="1"/>
  <c r="D1090" i="12" s="1"/>
  <c r="D1114" i="12" s="1"/>
  <c r="D1138" i="12" s="1"/>
  <c r="D1162" i="12" s="1"/>
  <c r="E81" i="12"/>
  <c r="E80" i="12"/>
  <c r="E79" i="12"/>
  <c r="E78" i="12"/>
  <c r="D78" i="12"/>
  <c r="C78" i="12"/>
  <c r="B78" i="12"/>
  <c r="E77" i="12"/>
  <c r="E76" i="12"/>
  <c r="E75" i="12"/>
  <c r="D75" i="12"/>
  <c r="D99" i="12" s="1"/>
  <c r="D123" i="12" s="1"/>
  <c r="D147" i="12" s="1"/>
  <c r="D171" i="12" s="1"/>
  <c r="D195" i="12" s="1"/>
  <c r="D219" i="12" s="1"/>
  <c r="D243" i="12" s="1"/>
  <c r="D267" i="12" s="1"/>
  <c r="D291" i="12" s="1"/>
  <c r="D315" i="12" s="1"/>
  <c r="D339" i="12" s="1"/>
  <c r="D363" i="12" s="1"/>
  <c r="D387" i="12" s="1"/>
  <c r="D411" i="12" s="1"/>
  <c r="D435" i="12" s="1"/>
  <c r="D459" i="12" s="1"/>
  <c r="D483" i="12" s="1"/>
  <c r="D507" i="12" s="1"/>
  <c r="D531" i="12" s="1"/>
  <c r="D555" i="12" s="1"/>
  <c r="D579" i="12" s="1"/>
  <c r="D603" i="12" s="1"/>
  <c r="D627" i="12" s="1"/>
  <c r="D651" i="12" s="1"/>
  <c r="D675" i="12" s="1"/>
  <c r="D699" i="12" s="1"/>
  <c r="D723" i="12" s="1"/>
  <c r="D747" i="12" s="1"/>
  <c r="D771" i="12" s="1"/>
  <c r="D795" i="12" s="1"/>
  <c r="D819" i="12" s="1"/>
  <c r="D843" i="12" s="1"/>
  <c r="D867" i="12" s="1"/>
  <c r="D891" i="12" s="1"/>
  <c r="D915" i="12" s="1"/>
  <c r="D939" i="12" s="1"/>
  <c r="D963" i="12" s="1"/>
  <c r="D987" i="12" s="1"/>
  <c r="D1011" i="12" s="1"/>
  <c r="D1035" i="12" s="1"/>
  <c r="D1059" i="12" s="1"/>
  <c r="D1083" i="12" s="1"/>
  <c r="D1107" i="12" s="1"/>
  <c r="D1131" i="12" s="1"/>
  <c r="D1155" i="12" s="1"/>
  <c r="D1179" i="12" s="1"/>
  <c r="E74" i="12"/>
  <c r="D74" i="12"/>
  <c r="E73" i="12"/>
  <c r="E72" i="12"/>
  <c r="E71" i="12"/>
  <c r="D71" i="12"/>
  <c r="D95" i="12" s="1"/>
  <c r="D119" i="12" s="1"/>
  <c r="D143" i="12" s="1"/>
  <c r="D167" i="12" s="1"/>
  <c r="D191" i="12" s="1"/>
  <c r="D215" i="12" s="1"/>
  <c r="D239" i="12" s="1"/>
  <c r="D263" i="12" s="1"/>
  <c r="D287" i="12" s="1"/>
  <c r="D311" i="12" s="1"/>
  <c r="D335" i="12" s="1"/>
  <c r="D359" i="12" s="1"/>
  <c r="D383" i="12" s="1"/>
  <c r="D407" i="12" s="1"/>
  <c r="D431" i="12" s="1"/>
  <c r="D455" i="12" s="1"/>
  <c r="D479" i="12" s="1"/>
  <c r="D503" i="12" s="1"/>
  <c r="D527" i="12" s="1"/>
  <c r="D551" i="12" s="1"/>
  <c r="D575" i="12" s="1"/>
  <c r="D599" i="12" s="1"/>
  <c r="D623" i="12" s="1"/>
  <c r="D647" i="12" s="1"/>
  <c r="D671" i="12" s="1"/>
  <c r="D695" i="12" s="1"/>
  <c r="D719" i="12" s="1"/>
  <c r="D743" i="12" s="1"/>
  <c r="D767" i="12" s="1"/>
  <c r="D791" i="12" s="1"/>
  <c r="D815" i="12" s="1"/>
  <c r="D839" i="12" s="1"/>
  <c r="D863" i="12" s="1"/>
  <c r="D887" i="12" s="1"/>
  <c r="D911" i="12" s="1"/>
  <c r="D935" i="12" s="1"/>
  <c r="D959" i="12" s="1"/>
  <c r="D983" i="12" s="1"/>
  <c r="D1007" i="12" s="1"/>
  <c r="D1031" i="12" s="1"/>
  <c r="D1055" i="12" s="1"/>
  <c r="D1079" i="12" s="1"/>
  <c r="D1103" i="12" s="1"/>
  <c r="D1127" i="12" s="1"/>
  <c r="D1151" i="12" s="1"/>
  <c r="D1175" i="12" s="1"/>
  <c r="E70" i="12"/>
  <c r="D70" i="12"/>
  <c r="E69" i="12"/>
  <c r="E68" i="12"/>
  <c r="D68" i="12"/>
  <c r="D92" i="12" s="1"/>
  <c r="D116" i="12" s="1"/>
  <c r="D140" i="12" s="1"/>
  <c r="D164" i="12" s="1"/>
  <c r="D188" i="12" s="1"/>
  <c r="D212" i="12" s="1"/>
  <c r="D236" i="12" s="1"/>
  <c r="D260" i="12" s="1"/>
  <c r="D284" i="12" s="1"/>
  <c r="D308" i="12" s="1"/>
  <c r="D332" i="12" s="1"/>
  <c r="D356" i="12" s="1"/>
  <c r="D380" i="12" s="1"/>
  <c r="D404" i="12" s="1"/>
  <c r="D428" i="12" s="1"/>
  <c r="D452" i="12" s="1"/>
  <c r="D476" i="12" s="1"/>
  <c r="D500" i="12" s="1"/>
  <c r="D524" i="12" s="1"/>
  <c r="D548" i="12" s="1"/>
  <c r="D572" i="12" s="1"/>
  <c r="D596" i="12" s="1"/>
  <c r="D620" i="12" s="1"/>
  <c r="D644" i="12" s="1"/>
  <c r="D668" i="12" s="1"/>
  <c r="D692" i="12" s="1"/>
  <c r="D716" i="12" s="1"/>
  <c r="D740" i="12" s="1"/>
  <c r="D764" i="12" s="1"/>
  <c r="D788" i="12" s="1"/>
  <c r="D812" i="12" s="1"/>
  <c r="D836" i="12" s="1"/>
  <c r="D860" i="12" s="1"/>
  <c r="D884" i="12" s="1"/>
  <c r="D908" i="12" s="1"/>
  <c r="D932" i="12" s="1"/>
  <c r="D956" i="12" s="1"/>
  <c r="D980" i="12" s="1"/>
  <c r="D1004" i="12" s="1"/>
  <c r="D1028" i="12" s="1"/>
  <c r="D1052" i="12" s="1"/>
  <c r="D1076" i="12" s="1"/>
  <c r="D1100" i="12" s="1"/>
  <c r="D1124" i="12" s="1"/>
  <c r="D1148" i="12" s="1"/>
  <c r="D1172" i="12" s="1"/>
  <c r="E67" i="12"/>
  <c r="D67" i="12"/>
  <c r="D91" i="12" s="1"/>
  <c r="D115" i="12" s="1"/>
  <c r="D139" i="12" s="1"/>
  <c r="D163" i="12" s="1"/>
  <c r="D187" i="12" s="1"/>
  <c r="D211" i="12" s="1"/>
  <c r="D235" i="12" s="1"/>
  <c r="D259" i="12" s="1"/>
  <c r="D283" i="12" s="1"/>
  <c r="D307" i="12" s="1"/>
  <c r="D331" i="12" s="1"/>
  <c r="D355" i="12" s="1"/>
  <c r="D379" i="12" s="1"/>
  <c r="D403" i="12" s="1"/>
  <c r="D427" i="12" s="1"/>
  <c r="D451" i="12" s="1"/>
  <c r="D475" i="12" s="1"/>
  <c r="D499" i="12" s="1"/>
  <c r="D523" i="12" s="1"/>
  <c r="D547" i="12" s="1"/>
  <c r="D571" i="12" s="1"/>
  <c r="D595" i="12" s="1"/>
  <c r="D619" i="12" s="1"/>
  <c r="D643" i="12" s="1"/>
  <c r="D667" i="12" s="1"/>
  <c r="D691" i="12" s="1"/>
  <c r="D715" i="12" s="1"/>
  <c r="D739" i="12" s="1"/>
  <c r="D763" i="12" s="1"/>
  <c r="D787" i="12" s="1"/>
  <c r="D811" i="12" s="1"/>
  <c r="D835" i="12" s="1"/>
  <c r="D859" i="12" s="1"/>
  <c r="D883" i="12" s="1"/>
  <c r="D907" i="12" s="1"/>
  <c r="D931" i="12" s="1"/>
  <c r="D955" i="12" s="1"/>
  <c r="D979" i="12" s="1"/>
  <c r="D1003" i="12" s="1"/>
  <c r="D1027" i="12" s="1"/>
  <c r="D1051" i="12" s="1"/>
  <c r="D1075" i="12" s="1"/>
  <c r="D1099" i="12" s="1"/>
  <c r="D1123" i="12" s="1"/>
  <c r="D1147" i="12" s="1"/>
  <c r="D1171" i="12" s="1"/>
  <c r="E66" i="12"/>
  <c r="D66" i="12"/>
  <c r="E65" i="12"/>
  <c r="E64" i="12"/>
  <c r="E63" i="12"/>
  <c r="D63" i="12"/>
  <c r="E62" i="12"/>
  <c r="D62" i="12"/>
  <c r="E61" i="12"/>
  <c r="E60" i="12"/>
  <c r="E59" i="12"/>
  <c r="D59" i="12"/>
  <c r="D83" i="12" s="1"/>
  <c r="D107" i="12" s="1"/>
  <c r="D131" i="12" s="1"/>
  <c r="D155" i="12" s="1"/>
  <c r="D179" i="12" s="1"/>
  <c r="D203" i="12" s="1"/>
  <c r="D227" i="12" s="1"/>
  <c r="D251" i="12" s="1"/>
  <c r="D275" i="12" s="1"/>
  <c r="D299" i="12" s="1"/>
  <c r="D323" i="12" s="1"/>
  <c r="D347" i="12" s="1"/>
  <c r="D371" i="12" s="1"/>
  <c r="D395" i="12" s="1"/>
  <c r="D419" i="12" s="1"/>
  <c r="D443" i="12" s="1"/>
  <c r="D467" i="12" s="1"/>
  <c r="D491" i="12" s="1"/>
  <c r="D515" i="12" s="1"/>
  <c r="D539" i="12" s="1"/>
  <c r="D563" i="12" s="1"/>
  <c r="D587" i="12" s="1"/>
  <c r="D611" i="12" s="1"/>
  <c r="D635" i="12" s="1"/>
  <c r="D659" i="12" s="1"/>
  <c r="D683" i="12" s="1"/>
  <c r="D707" i="12" s="1"/>
  <c r="D731" i="12" s="1"/>
  <c r="D755" i="12" s="1"/>
  <c r="D779" i="12" s="1"/>
  <c r="D803" i="12" s="1"/>
  <c r="D827" i="12" s="1"/>
  <c r="D851" i="12" s="1"/>
  <c r="D875" i="12" s="1"/>
  <c r="D899" i="12" s="1"/>
  <c r="D923" i="12" s="1"/>
  <c r="D947" i="12" s="1"/>
  <c r="D971" i="12" s="1"/>
  <c r="D995" i="12" s="1"/>
  <c r="D1019" i="12" s="1"/>
  <c r="D1043" i="12" s="1"/>
  <c r="D1067" i="12" s="1"/>
  <c r="D1091" i="12" s="1"/>
  <c r="D1115" i="12" s="1"/>
  <c r="D1139" i="12" s="1"/>
  <c r="D1163" i="12" s="1"/>
  <c r="E58" i="12"/>
  <c r="D58" i="12"/>
  <c r="E57" i="12"/>
  <c r="E56" i="12"/>
  <c r="E55" i="12"/>
  <c r="D55" i="12"/>
  <c r="D79" i="12" s="1"/>
  <c r="D103" i="12" s="1"/>
  <c r="D127" i="12" s="1"/>
  <c r="D151" i="12" s="1"/>
  <c r="D175" i="12" s="1"/>
  <c r="D199" i="12" s="1"/>
  <c r="D223" i="12" s="1"/>
  <c r="D247" i="12" s="1"/>
  <c r="D271" i="12" s="1"/>
  <c r="D295" i="12" s="1"/>
  <c r="D319" i="12" s="1"/>
  <c r="D343" i="12" s="1"/>
  <c r="D367" i="12" s="1"/>
  <c r="D391" i="12" s="1"/>
  <c r="D415" i="12" s="1"/>
  <c r="D439" i="12" s="1"/>
  <c r="D463" i="12" s="1"/>
  <c r="D487" i="12" s="1"/>
  <c r="D511" i="12" s="1"/>
  <c r="D535" i="12" s="1"/>
  <c r="D559" i="12" s="1"/>
  <c r="D583" i="12" s="1"/>
  <c r="D607" i="12" s="1"/>
  <c r="D631" i="12" s="1"/>
  <c r="D655" i="12" s="1"/>
  <c r="D679" i="12" s="1"/>
  <c r="D703" i="12" s="1"/>
  <c r="D727" i="12" s="1"/>
  <c r="D751" i="12" s="1"/>
  <c r="D775" i="12" s="1"/>
  <c r="D799" i="12" s="1"/>
  <c r="D823" i="12" s="1"/>
  <c r="D847" i="12" s="1"/>
  <c r="D871" i="12" s="1"/>
  <c r="D895" i="12" s="1"/>
  <c r="D919" i="12" s="1"/>
  <c r="D943" i="12" s="1"/>
  <c r="D967" i="12" s="1"/>
  <c r="D991" i="12" s="1"/>
  <c r="D1015" i="12" s="1"/>
  <c r="D1039" i="12" s="1"/>
  <c r="D1063" i="12" s="1"/>
  <c r="D1087" i="12" s="1"/>
  <c r="D1111" i="12" s="1"/>
  <c r="D1135" i="12" s="1"/>
  <c r="D1159" i="12" s="1"/>
  <c r="E54" i="12"/>
  <c r="D54" i="12"/>
  <c r="C54" i="12"/>
  <c r="B54" i="12"/>
  <c r="E53" i="12"/>
  <c r="D53" i="12"/>
  <c r="D77" i="12" s="1"/>
  <c r="D101" i="12" s="1"/>
  <c r="D125" i="12" s="1"/>
  <c r="D149" i="12" s="1"/>
  <c r="D173" i="12" s="1"/>
  <c r="D197" i="12" s="1"/>
  <c r="D221" i="12" s="1"/>
  <c r="D245" i="12" s="1"/>
  <c r="D269" i="12" s="1"/>
  <c r="D293" i="12" s="1"/>
  <c r="D317" i="12" s="1"/>
  <c r="D341" i="12" s="1"/>
  <c r="D365" i="12" s="1"/>
  <c r="D389" i="12" s="1"/>
  <c r="D413" i="12" s="1"/>
  <c r="D437" i="12" s="1"/>
  <c r="D461" i="12" s="1"/>
  <c r="D485" i="12" s="1"/>
  <c r="D509" i="12" s="1"/>
  <c r="D533" i="12" s="1"/>
  <c r="D557" i="12" s="1"/>
  <c r="D581" i="12" s="1"/>
  <c r="D605" i="12" s="1"/>
  <c r="D629" i="12" s="1"/>
  <c r="D653" i="12" s="1"/>
  <c r="D677" i="12" s="1"/>
  <c r="D701" i="12" s="1"/>
  <c r="D725" i="12" s="1"/>
  <c r="D749" i="12" s="1"/>
  <c r="D773" i="12" s="1"/>
  <c r="D797" i="12" s="1"/>
  <c r="D821" i="12" s="1"/>
  <c r="D845" i="12" s="1"/>
  <c r="D869" i="12" s="1"/>
  <c r="D893" i="12" s="1"/>
  <c r="D917" i="12" s="1"/>
  <c r="D941" i="12" s="1"/>
  <c r="D965" i="12" s="1"/>
  <c r="D989" i="12" s="1"/>
  <c r="D1013" i="12" s="1"/>
  <c r="D1037" i="12" s="1"/>
  <c r="D1061" i="12" s="1"/>
  <c r="D1085" i="12" s="1"/>
  <c r="D1109" i="12" s="1"/>
  <c r="D1133" i="12" s="1"/>
  <c r="D1157" i="12" s="1"/>
  <c r="D1181" i="12" s="1"/>
  <c r="E52" i="12"/>
  <c r="D52" i="12"/>
  <c r="D76" i="12" s="1"/>
  <c r="D100" i="12" s="1"/>
  <c r="D124" i="12" s="1"/>
  <c r="D148" i="12" s="1"/>
  <c r="D172" i="12" s="1"/>
  <c r="D196" i="12" s="1"/>
  <c r="D220" i="12" s="1"/>
  <c r="D244" i="12" s="1"/>
  <c r="D268" i="12" s="1"/>
  <c r="D292" i="12" s="1"/>
  <c r="D316" i="12" s="1"/>
  <c r="D340" i="12" s="1"/>
  <c r="D364" i="12" s="1"/>
  <c r="D388" i="12" s="1"/>
  <c r="D412" i="12" s="1"/>
  <c r="D436" i="12" s="1"/>
  <c r="D460" i="12" s="1"/>
  <c r="D484" i="12" s="1"/>
  <c r="D508" i="12" s="1"/>
  <c r="D532" i="12" s="1"/>
  <c r="D556" i="12" s="1"/>
  <c r="D580" i="12" s="1"/>
  <c r="D604" i="12" s="1"/>
  <c r="D628" i="12" s="1"/>
  <c r="D652" i="12" s="1"/>
  <c r="D676" i="12" s="1"/>
  <c r="D700" i="12" s="1"/>
  <c r="D724" i="12" s="1"/>
  <c r="D748" i="12" s="1"/>
  <c r="D772" i="12" s="1"/>
  <c r="D796" i="12" s="1"/>
  <c r="D820" i="12" s="1"/>
  <c r="D844" i="12" s="1"/>
  <c r="D868" i="12" s="1"/>
  <c r="D892" i="12" s="1"/>
  <c r="D916" i="12" s="1"/>
  <c r="D940" i="12" s="1"/>
  <c r="D964" i="12" s="1"/>
  <c r="D988" i="12" s="1"/>
  <c r="D1012" i="12" s="1"/>
  <c r="D1036" i="12" s="1"/>
  <c r="D1060" i="12" s="1"/>
  <c r="D1084" i="12" s="1"/>
  <c r="D1108" i="12" s="1"/>
  <c r="D1132" i="12" s="1"/>
  <c r="D1156" i="12" s="1"/>
  <c r="D1180" i="12" s="1"/>
  <c r="E51" i="12"/>
  <c r="D51" i="12"/>
  <c r="E50" i="12"/>
  <c r="D50" i="12"/>
  <c r="E49" i="12"/>
  <c r="D49" i="12"/>
  <c r="D73" i="12" s="1"/>
  <c r="D97" i="12" s="1"/>
  <c r="D121" i="12" s="1"/>
  <c r="D145" i="12" s="1"/>
  <c r="D169" i="12" s="1"/>
  <c r="D193" i="12" s="1"/>
  <c r="D217" i="12" s="1"/>
  <c r="D241" i="12" s="1"/>
  <c r="D265" i="12" s="1"/>
  <c r="D289" i="12" s="1"/>
  <c r="D313" i="12" s="1"/>
  <c r="D337" i="12" s="1"/>
  <c r="D361" i="12" s="1"/>
  <c r="D385" i="12" s="1"/>
  <c r="D409" i="12" s="1"/>
  <c r="D433" i="12" s="1"/>
  <c r="D457" i="12" s="1"/>
  <c r="D481" i="12" s="1"/>
  <c r="D505" i="12" s="1"/>
  <c r="D529" i="12" s="1"/>
  <c r="D553" i="12" s="1"/>
  <c r="D577" i="12" s="1"/>
  <c r="D601" i="12" s="1"/>
  <c r="D625" i="12" s="1"/>
  <c r="D649" i="12" s="1"/>
  <c r="D673" i="12" s="1"/>
  <c r="D697" i="12" s="1"/>
  <c r="D721" i="12" s="1"/>
  <c r="D745" i="12" s="1"/>
  <c r="D769" i="12" s="1"/>
  <c r="D793" i="12" s="1"/>
  <c r="D817" i="12" s="1"/>
  <c r="D841" i="12" s="1"/>
  <c r="D865" i="12" s="1"/>
  <c r="D889" i="12" s="1"/>
  <c r="D913" i="12" s="1"/>
  <c r="D937" i="12" s="1"/>
  <c r="D961" i="12" s="1"/>
  <c r="D985" i="12" s="1"/>
  <c r="D1009" i="12" s="1"/>
  <c r="D1033" i="12" s="1"/>
  <c r="D1057" i="12" s="1"/>
  <c r="D1081" i="12" s="1"/>
  <c r="D1105" i="12" s="1"/>
  <c r="D1129" i="12" s="1"/>
  <c r="D1153" i="12" s="1"/>
  <c r="D1177" i="12" s="1"/>
  <c r="E48" i="12"/>
  <c r="D48" i="12"/>
  <c r="D72" i="12" s="1"/>
  <c r="D96" i="12" s="1"/>
  <c r="D120" i="12" s="1"/>
  <c r="D144" i="12" s="1"/>
  <c r="D168" i="12" s="1"/>
  <c r="D192" i="12" s="1"/>
  <c r="D216" i="12" s="1"/>
  <c r="D240" i="12" s="1"/>
  <c r="D264" i="12" s="1"/>
  <c r="D288" i="12" s="1"/>
  <c r="D312" i="12" s="1"/>
  <c r="D336" i="12" s="1"/>
  <c r="D360" i="12" s="1"/>
  <c r="D384" i="12" s="1"/>
  <c r="D408" i="12" s="1"/>
  <c r="D432" i="12" s="1"/>
  <c r="D456" i="12" s="1"/>
  <c r="D480" i="12" s="1"/>
  <c r="D504" i="12" s="1"/>
  <c r="D528" i="12" s="1"/>
  <c r="D552" i="12" s="1"/>
  <c r="D576" i="12" s="1"/>
  <c r="D600" i="12" s="1"/>
  <c r="D624" i="12" s="1"/>
  <c r="D648" i="12" s="1"/>
  <c r="D672" i="12" s="1"/>
  <c r="D696" i="12" s="1"/>
  <c r="D720" i="12" s="1"/>
  <c r="D744" i="12" s="1"/>
  <c r="D768" i="12" s="1"/>
  <c r="D792" i="12" s="1"/>
  <c r="D816" i="12" s="1"/>
  <c r="D840" i="12" s="1"/>
  <c r="D864" i="12" s="1"/>
  <c r="D888" i="12" s="1"/>
  <c r="D912" i="12" s="1"/>
  <c r="D936" i="12" s="1"/>
  <c r="D960" i="12" s="1"/>
  <c r="D984" i="12" s="1"/>
  <c r="D1008" i="12" s="1"/>
  <c r="D1032" i="12" s="1"/>
  <c r="D1056" i="12" s="1"/>
  <c r="D1080" i="12" s="1"/>
  <c r="D1104" i="12" s="1"/>
  <c r="D1128" i="12" s="1"/>
  <c r="D1152" i="12" s="1"/>
  <c r="D1176" i="12" s="1"/>
  <c r="E47" i="12"/>
  <c r="D47" i="12"/>
  <c r="E46" i="12"/>
  <c r="D46" i="12"/>
  <c r="E45" i="12"/>
  <c r="D45" i="12"/>
  <c r="D69" i="12" s="1"/>
  <c r="D93" i="12" s="1"/>
  <c r="D117" i="12" s="1"/>
  <c r="D141" i="12" s="1"/>
  <c r="D165" i="12" s="1"/>
  <c r="D189" i="12" s="1"/>
  <c r="D213" i="12" s="1"/>
  <c r="D237" i="12" s="1"/>
  <c r="D261" i="12" s="1"/>
  <c r="D285" i="12" s="1"/>
  <c r="D309" i="12" s="1"/>
  <c r="D333" i="12" s="1"/>
  <c r="D357" i="12" s="1"/>
  <c r="D381" i="12" s="1"/>
  <c r="D405" i="12" s="1"/>
  <c r="D429" i="12" s="1"/>
  <c r="D453" i="12" s="1"/>
  <c r="D477" i="12" s="1"/>
  <c r="D501" i="12" s="1"/>
  <c r="D525" i="12" s="1"/>
  <c r="D549" i="12" s="1"/>
  <c r="D573" i="12" s="1"/>
  <c r="D597" i="12" s="1"/>
  <c r="D621" i="12" s="1"/>
  <c r="D645" i="12" s="1"/>
  <c r="D669" i="12" s="1"/>
  <c r="D693" i="12" s="1"/>
  <c r="D717" i="12" s="1"/>
  <c r="D741" i="12" s="1"/>
  <c r="D765" i="12" s="1"/>
  <c r="D789" i="12" s="1"/>
  <c r="D813" i="12" s="1"/>
  <c r="D837" i="12" s="1"/>
  <c r="D861" i="12" s="1"/>
  <c r="D885" i="12" s="1"/>
  <c r="D909" i="12" s="1"/>
  <c r="D933" i="12" s="1"/>
  <c r="D957" i="12" s="1"/>
  <c r="D981" i="12" s="1"/>
  <c r="D1005" i="12" s="1"/>
  <c r="D1029" i="12" s="1"/>
  <c r="D1053" i="12" s="1"/>
  <c r="D1077" i="12" s="1"/>
  <c r="D1101" i="12" s="1"/>
  <c r="D1125" i="12" s="1"/>
  <c r="D1149" i="12" s="1"/>
  <c r="D1173" i="12" s="1"/>
  <c r="E44" i="12"/>
  <c r="D44" i="12"/>
  <c r="E43" i="12"/>
  <c r="D43" i="12"/>
  <c r="E42" i="12"/>
  <c r="D42" i="12"/>
  <c r="E41" i="12"/>
  <c r="D41" i="12"/>
  <c r="D65" i="12" s="1"/>
  <c r="D89" i="12" s="1"/>
  <c r="E40" i="12"/>
  <c r="D40" i="12"/>
  <c r="D64" i="12" s="1"/>
  <c r="D88" i="12" s="1"/>
  <c r="D112" i="12" s="1"/>
  <c r="D136" i="12" s="1"/>
  <c r="D160" i="12" s="1"/>
  <c r="D184" i="12" s="1"/>
  <c r="D208" i="12" s="1"/>
  <c r="D232" i="12" s="1"/>
  <c r="D256" i="12" s="1"/>
  <c r="D280" i="12" s="1"/>
  <c r="D304" i="12" s="1"/>
  <c r="D328" i="12" s="1"/>
  <c r="D352" i="12" s="1"/>
  <c r="D376" i="12" s="1"/>
  <c r="D400" i="12" s="1"/>
  <c r="D424" i="12" s="1"/>
  <c r="D448" i="12" s="1"/>
  <c r="D472" i="12" s="1"/>
  <c r="D496" i="12" s="1"/>
  <c r="D520" i="12" s="1"/>
  <c r="D544" i="12" s="1"/>
  <c r="D568" i="12" s="1"/>
  <c r="D592" i="12" s="1"/>
  <c r="D616" i="12" s="1"/>
  <c r="D640" i="12" s="1"/>
  <c r="D664" i="12" s="1"/>
  <c r="D688" i="12" s="1"/>
  <c r="D712" i="12" s="1"/>
  <c r="D736" i="12" s="1"/>
  <c r="D760" i="12" s="1"/>
  <c r="D784" i="12" s="1"/>
  <c r="D808" i="12" s="1"/>
  <c r="D832" i="12" s="1"/>
  <c r="D856" i="12" s="1"/>
  <c r="D880" i="12" s="1"/>
  <c r="D904" i="12" s="1"/>
  <c r="D928" i="12" s="1"/>
  <c r="D952" i="12" s="1"/>
  <c r="D976" i="12" s="1"/>
  <c r="D1000" i="12" s="1"/>
  <c r="D1024" i="12" s="1"/>
  <c r="D1048" i="12" s="1"/>
  <c r="D1072" i="12" s="1"/>
  <c r="D1096" i="12" s="1"/>
  <c r="D1120" i="12" s="1"/>
  <c r="D1144" i="12" s="1"/>
  <c r="D1168" i="12" s="1"/>
  <c r="E39" i="12"/>
  <c r="D39" i="12"/>
  <c r="E38" i="12"/>
  <c r="D38" i="12"/>
  <c r="E37" i="12"/>
  <c r="D37" i="12"/>
  <c r="D61" i="12" s="1"/>
  <c r="D85" i="12" s="1"/>
  <c r="D109" i="12" s="1"/>
  <c r="D133" i="12" s="1"/>
  <c r="D157" i="12" s="1"/>
  <c r="D181" i="12" s="1"/>
  <c r="D205" i="12" s="1"/>
  <c r="D229" i="12" s="1"/>
  <c r="D253" i="12" s="1"/>
  <c r="D277" i="12" s="1"/>
  <c r="D301" i="12" s="1"/>
  <c r="D325" i="12" s="1"/>
  <c r="D349" i="12" s="1"/>
  <c r="D373" i="12" s="1"/>
  <c r="D397" i="12" s="1"/>
  <c r="D421" i="12" s="1"/>
  <c r="D445" i="12" s="1"/>
  <c r="D469" i="12" s="1"/>
  <c r="D493" i="12" s="1"/>
  <c r="D517" i="12" s="1"/>
  <c r="D541" i="12" s="1"/>
  <c r="D565" i="12" s="1"/>
  <c r="D589" i="12" s="1"/>
  <c r="D613" i="12" s="1"/>
  <c r="D637" i="12" s="1"/>
  <c r="D661" i="12" s="1"/>
  <c r="D685" i="12" s="1"/>
  <c r="D709" i="12" s="1"/>
  <c r="D733" i="12" s="1"/>
  <c r="D757" i="12" s="1"/>
  <c r="D781" i="12" s="1"/>
  <c r="D805" i="12" s="1"/>
  <c r="D829" i="12" s="1"/>
  <c r="D853" i="12" s="1"/>
  <c r="D877" i="12" s="1"/>
  <c r="D901" i="12" s="1"/>
  <c r="D925" i="12" s="1"/>
  <c r="D949" i="12" s="1"/>
  <c r="D973" i="12" s="1"/>
  <c r="D997" i="12" s="1"/>
  <c r="D1021" i="12" s="1"/>
  <c r="D1045" i="12" s="1"/>
  <c r="D1069" i="12" s="1"/>
  <c r="D1093" i="12" s="1"/>
  <c r="D1117" i="12" s="1"/>
  <c r="D1141" i="12" s="1"/>
  <c r="D1165" i="12" s="1"/>
  <c r="E36" i="12"/>
  <c r="D36" i="12"/>
  <c r="D60" i="12" s="1"/>
  <c r="D84" i="12" s="1"/>
  <c r="D108" i="12" s="1"/>
  <c r="D132" i="12" s="1"/>
  <c r="D156" i="12" s="1"/>
  <c r="D180" i="12" s="1"/>
  <c r="D204" i="12" s="1"/>
  <c r="D228" i="12" s="1"/>
  <c r="D252" i="12" s="1"/>
  <c r="D276" i="12" s="1"/>
  <c r="D300" i="12" s="1"/>
  <c r="D324" i="12" s="1"/>
  <c r="D348" i="12" s="1"/>
  <c r="D372" i="12" s="1"/>
  <c r="D396" i="12" s="1"/>
  <c r="D420" i="12" s="1"/>
  <c r="D444" i="12" s="1"/>
  <c r="D468" i="12" s="1"/>
  <c r="D492" i="12" s="1"/>
  <c r="D516" i="12" s="1"/>
  <c r="D540" i="12" s="1"/>
  <c r="D564" i="12" s="1"/>
  <c r="D588" i="12" s="1"/>
  <c r="D612" i="12" s="1"/>
  <c r="D636" i="12" s="1"/>
  <c r="D660" i="12" s="1"/>
  <c r="D684" i="12" s="1"/>
  <c r="D708" i="12" s="1"/>
  <c r="D732" i="12" s="1"/>
  <c r="D756" i="12" s="1"/>
  <c r="D780" i="12" s="1"/>
  <c r="D804" i="12" s="1"/>
  <c r="D828" i="12" s="1"/>
  <c r="D852" i="12" s="1"/>
  <c r="D876" i="12" s="1"/>
  <c r="D900" i="12" s="1"/>
  <c r="D924" i="12" s="1"/>
  <c r="D948" i="12" s="1"/>
  <c r="D972" i="12" s="1"/>
  <c r="D996" i="12" s="1"/>
  <c r="D1020" i="12" s="1"/>
  <c r="D1044" i="12" s="1"/>
  <c r="D1068" i="12" s="1"/>
  <c r="D1092" i="12" s="1"/>
  <c r="D1116" i="12" s="1"/>
  <c r="D1140" i="12" s="1"/>
  <c r="D1164" i="12" s="1"/>
  <c r="E35" i="12"/>
  <c r="D35" i="12"/>
  <c r="E34" i="12"/>
  <c r="D34" i="12"/>
  <c r="E33" i="12"/>
  <c r="D33" i="12"/>
  <c r="D57" i="12" s="1"/>
  <c r="D81" i="12" s="1"/>
  <c r="D105" i="12" s="1"/>
  <c r="D129" i="12" s="1"/>
  <c r="D153" i="12" s="1"/>
  <c r="D177" i="12" s="1"/>
  <c r="D201" i="12" s="1"/>
  <c r="D225" i="12" s="1"/>
  <c r="D249" i="12" s="1"/>
  <c r="D273" i="12" s="1"/>
  <c r="D297" i="12" s="1"/>
  <c r="D321" i="12" s="1"/>
  <c r="D345" i="12" s="1"/>
  <c r="D369" i="12" s="1"/>
  <c r="D393" i="12" s="1"/>
  <c r="D417" i="12" s="1"/>
  <c r="D441" i="12" s="1"/>
  <c r="D465" i="12" s="1"/>
  <c r="D489" i="12" s="1"/>
  <c r="D513" i="12" s="1"/>
  <c r="D537" i="12" s="1"/>
  <c r="D561" i="12" s="1"/>
  <c r="D585" i="12" s="1"/>
  <c r="D609" i="12" s="1"/>
  <c r="D633" i="12" s="1"/>
  <c r="D657" i="12" s="1"/>
  <c r="D681" i="12" s="1"/>
  <c r="D705" i="12" s="1"/>
  <c r="D729" i="12" s="1"/>
  <c r="D753" i="12" s="1"/>
  <c r="D777" i="12" s="1"/>
  <c r="D801" i="12" s="1"/>
  <c r="D825" i="12" s="1"/>
  <c r="D849" i="12" s="1"/>
  <c r="D873" i="12" s="1"/>
  <c r="D897" i="12" s="1"/>
  <c r="D921" i="12" s="1"/>
  <c r="D945" i="12" s="1"/>
  <c r="D969" i="12" s="1"/>
  <c r="D993" i="12" s="1"/>
  <c r="D1017" i="12" s="1"/>
  <c r="D1041" i="12" s="1"/>
  <c r="D1065" i="12" s="1"/>
  <c r="D1089" i="12" s="1"/>
  <c r="D1113" i="12" s="1"/>
  <c r="D1137" i="12" s="1"/>
  <c r="D1161" i="12" s="1"/>
  <c r="E32" i="12"/>
  <c r="D32" i="12"/>
  <c r="D56" i="12" s="1"/>
  <c r="D80" i="12" s="1"/>
  <c r="D104" i="12" s="1"/>
  <c r="D128" i="12" s="1"/>
  <c r="D152" i="12" s="1"/>
  <c r="D176" i="12" s="1"/>
  <c r="D200" i="12" s="1"/>
  <c r="D224" i="12" s="1"/>
  <c r="D248" i="12" s="1"/>
  <c r="D272" i="12" s="1"/>
  <c r="D296" i="12" s="1"/>
  <c r="D320" i="12" s="1"/>
  <c r="D344" i="12" s="1"/>
  <c r="D368" i="12" s="1"/>
  <c r="D392" i="12" s="1"/>
  <c r="D416" i="12" s="1"/>
  <c r="D440" i="12" s="1"/>
  <c r="D464" i="12" s="1"/>
  <c r="D488" i="12" s="1"/>
  <c r="D512" i="12" s="1"/>
  <c r="D536" i="12" s="1"/>
  <c r="D560" i="12" s="1"/>
  <c r="D584" i="12" s="1"/>
  <c r="D608" i="12" s="1"/>
  <c r="D632" i="12" s="1"/>
  <c r="D656" i="12" s="1"/>
  <c r="D680" i="12" s="1"/>
  <c r="D704" i="12" s="1"/>
  <c r="D728" i="12" s="1"/>
  <c r="D752" i="12" s="1"/>
  <c r="D776" i="12" s="1"/>
  <c r="D800" i="12" s="1"/>
  <c r="D824" i="12" s="1"/>
  <c r="D848" i="12" s="1"/>
  <c r="D872" i="12" s="1"/>
  <c r="D896" i="12" s="1"/>
  <c r="D920" i="12" s="1"/>
  <c r="D944" i="12" s="1"/>
  <c r="D968" i="12" s="1"/>
  <c r="D992" i="12" s="1"/>
  <c r="D1016" i="12" s="1"/>
  <c r="D1040" i="12" s="1"/>
  <c r="D1064" i="12" s="1"/>
  <c r="D1088" i="12" s="1"/>
  <c r="D1112" i="12" s="1"/>
  <c r="D1136" i="12" s="1"/>
  <c r="D1160" i="12" s="1"/>
  <c r="E31" i="12"/>
  <c r="D31" i="12"/>
  <c r="E30" i="12"/>
  <c r="D30" i="12"/>
  <c r="C30" i="12"/>
  <c r="B30" i="12"/>
  <c r="E1181" i="13"/>
  <c r="E1180" i="13"/>
  <c r="E1179" i="13"/>
  <c r="E1178" i="13"/>
  <c r="E1177" i="13"/>
  <c r="E1176" i="13"/>
  <c r="E1175" i="13"/>
  <c r="E1174" i="13"/>
  <c r="E1173" i="13"/>
  <c r="E1172" i="13"/>
  <c r="E1171" i="13"/>
  <c r="E1170" i="13"/>
  <c r="E1169" i="13"/>
  <c r="E1168" i="13"/>
  <c r="E1167" i="13"/>
  <c r="E1166" i="13"/>
  <c r="E1165" i="13"/>
  <c r="E1164" i="13"/>
  <c r="E1163" i="13"/>
  <c r="E1162" i="13"/>
  <c r="E1161" i="13"/>
  <c r="E1160" i="13"/>
  <c r="E1159" i="13"/>
  <c r="E1158" i="13"/>
  <c r="C1158" i="13"/>
  <c r="E1157" i="13"/>
  <c r="E1156" i="13"/>
  <c r="E1155" i="13"/>
  <c r="E1154" i="13"/>
  <c r="E1153" i="13"/>
  <c r="E1152" i="13"/>
  <c r="E1151" i="13"/>
  <c r="E1150" i="13"/>
  <c r="E1149" i="13"/>
  <c r="E1148" i="13"/>
  <c r="E1147" i="13"/>
  <c r="E1146" i="13"/>
  <c r="E1145" i="13"/>
  <c r="E1144" i="13"/>
  <c r="E1143" i="13"/>
  <c r="E1142" i="13"/>
  <c r="E1141" i="13"/>
  <c r="E1140" i="13"/>
  <c r="E1139" i="13"/>
  <c r="E1138" i="13"/>
  <c r="E1137" i="13"/>
  <c r="E1136" i="13"/>
  <c r="E1135" i="13"/>
  <c r="E1134" i="13"/>
  <c r="C1134" i="13"/>
  <c r="B1134" i="13"/>
  <c r="E1133" i="13"/>
  <c r="E1132" i="13"/>
  <c r="E1131" i="13"/>
  <c r="E1130" i="13"/>
  <c r="E1129" i="13"/>
  <c r="E1128" i="13"/>
  <c r="E1127" i="13"/>
  <c r="E1126" i="13"/>
  <c r="E1125" i="13"/>
  <c r="E1124" i="13"/>
  <c r="E1123" i="13"/>
  <c r="E1122" i="13"/>
  <c r="E1121" i="13"/>
  <c r="E1120" i="13"/>
  <c r="E1119" i="13"/>
  <c r="E1118" i="13"/>
  <c r="E1117" i="13"/>
  <c r="E1116" i="13"/>
  <c r="E1115" i="13"/>
  <c r="E1114" i="13"/>
  <c r="E1113" i="13"/>
  <c r="E1112" i="13"/>
  <c r="E1111" i="13"/>
  <c r="E1110" i="13"/>
  <c r="C1110" i="13"/>
  <c r="B1110" i="13"/>
  <c r="E1109" i="13"/>
  <c r="E1108" i="13"/>
  <c r="E1107" i="13"/>
  <c r="E1106" i="13"/>
  <c r="E1105" i="13"/>
  <c r="E1104" i="13"/>
  <c r="E1103" i="13"/>
  <c r="E1102" i="13"/>
  <c r="E1101" i="13"/>
  <c r="E1100" i="13"/>
  <c r="E1099" i="13"/>
  <c r="E1098" i="13"/>
  <c r="E1097" i="13"/>
  <c r="E1096" i="13"/>
  <c r="E1095" i="13"/>
  <c r="E1094" i="13"/>
  <c r="E1093" i="13"/>
  <c r="E1092" i="13"/>
  <c r="E1091" i="13"/>
  <c r="E1090" i="13"/>
  <c r="E1089" i="13"/>
  <c r="E1088" i="13"/>
  <c r="E1087" i="13"/>
  <c r="E1086" i="13"/>
  <c r="C1086" i="13"/>
  <c r="B1086" i="13"/>
  <c r="E1085" i="13"/>
  <c r="E1084" i="13"/>
  <c r="E1083" i="13"/>
  <c r="E1082" i="13"/>
  <c r="E1081" i="13"/>
  <c r="E1080" i="13"/>
  <c r="E1079" i="13"/>
  <c r="E1078" i="13"/>
  <c r="E1077" i="13"/>
  <c r="E1076" i="13"/>
  <c r="E1075" i="13"/>
  <c r="E1074" i="13"/>
  <c r="E1073" i="13"/>
  <c r="E1072" i="13"/>
  <c r="E1071" i="13"/>
  <c r="E1070" i="13"/>
  <c r="E1069" i="13"/>
  <c r="E1068" i="13"/>
  <c r="E1067" i="13"/>
  <c r="E1066" i="13"/>
  <c r="E1065" i="13"/>
  <c r="E1064" i="13"/>
  <c r="E1063" i="13"/>
  <c r="E1062" i="13"/>
  <c r="C1062" i="13"/>
  <c r="B1062" i="13"/>
  <c r="E1061" i="13"/>
  <c r="E1060" i="13"/>
  <c r="E1059" i="13"/>
  <c r="E1058" i="13"/>
  <c r="E1057" i="13"/>
  <c r="E1056" i="13"/>
  <c r="E1055" i="13"/>
  <c r="E1054" i="13"/>
  <c r="E1053" i="13"/>
  <c r="E1052" i="13"/>
  <c r="E1051" i="13"/>
  <c r="E1050" i="13"/>
  <c r="E1049" i="13"/>
  <c r="E1048" i="13"/>
  <c r="E1047" i="13"/>
  <c r="E1046" i="13"/>
  <c r="E1045" i="13"/>
  <c r="E1044" i="13"/>
  <c r="E1043" i="13"/>
  <c r="E1042" i="13"/>
  <c r="E1041" i="13"/>
  <c r="E1040" i="13"/>
  <c r="E1039" i="13"/>
  <c r="E1038" i="13"/>
  <c r="C1038" i="13"/>
  <c r="B1038" i="13"/>
  <c r="E1037" i="13"/>
  <c r="E1036" i="13"/>
  <c r="E1035" i="13"/>
  <c r="E1034" i="13"/>
  <c r="E1033" i="13"/>
  <c r="E1032" i="13"/>
  <c r="E1031" i="13"/>
  <c r="E1030" i="13"/>
  <c r="E1029" i="13"/>
  <c r="E1028" i="13"/>
  <c r="E1027" i="13"/>
  <c r="E1026" i="13"/>
  <c r="E1025" i="13"/>
  <c r="E1024" i="13"/>
  <c r="E1023" i="13"/>
  <c r="E1022" i="13"/>
  <c r="E1021" i="13"/>
  <c r="E1020" i="13"/>
  <c r="E1019" i="13"/>
  <c r="E1018" i="13"/>
  <c r="E1017" i="13"/>
  <c r="E1016" i="13"/>
  <c r="E1015" i="13"/>
  <c r="E1014" i="13"/>
  <c r="C1014" i="13"/>
  <c r="B1014" i="13"/>
  <c r="E1013" i="13"/>
  <c r="E1012" i="13"/>
  <c r="E1011" i="13"/>
  <c r="E1010" i="13"/>
  <c r="E1009" i="13"/>
  <c r="E1008" i="13"/>
  <c r="E1007" i="13"/>
  <c r="E1006" i="13"/>
  <c r="E1005" i="13"/>
  <c r="E1004" i="13"/>
  <c r="E1003" i="13"/>
  <c r="E1002" i="13"/>
  <c r="E1001" i="13"/>
  <c r="E1000" i="13"/>
  <c r="E999" i="13"/>
  <c r="E998" i="13"/>
  <c r="E997" i="13"/>
  <c r="E996" i="13"/>
  <c r="E995" i="13"/>
  <c r="E994" i="13"/>
  <c r="E993" i="13"/>
  <c r="E992" i="13"/>
  <c r="E991" i="13"/>
  <c r="E990" i="13"/>
  <c r="C990" i="13"/>
  <c r="B990" i="13"/>
  <c r="E989" i="13"/>
  <c r="E988" i="13"/>
  <c r="E987" i="13"/>
  <c r="E986" i="13"/>
  <c r="E985" i="13"/>
  <c r="E984" i="13"/>
  <c r="E983" i="13"/>
  <c r="E982" i="13"/>
  <c r="E981" i="13"/>
  <c r="E980" i="13"/>
  <c r="E979" i="13"/>
  <c r="E978" i="13"/>
  <c r="E977" i="13"/>
  <c r="E976" i="13"/>
  <c r="E975" i="13"/>
  <c r="E974" i="13"/>
  <c r="E973" i="13"/>
  <c r="E972" i="13"/>
  <c r="E971" i="13"/>
  <c r="E970" i="13"/>
  <c r="E969" i="13"/>
  <c r="E968" i="13"/>
  <c r="E967" i="13"/>
  <c r="E966" i="13"/>
  <c r="C966" i="13"/>
  <c r="B966" i="13"/>
  <c r="E965" i="13"/>
  <c r="E964" i="13"/>
  <c r="E963" i="13"/>
  <c r="E962" i="13"/>
  <c r="E961" i="13"/>
  <c r="E960" i="13"/>
  <c r="E959" i="13"/>
  <c r="E958" i="13"/>
  <c r="E957" i="13"/>
  <c r="E956" i="13"/>
  <c r="E955" i="13"/>
  <c r="E954" i="13"/>
  <c r="E953" i="13"/>
  <c r="E952" i="13"/>
  <c r="E951" i="13"/>
  <c r="E950" i="13"/>
  <c r="E949" i="13"/>
  <c r="E948" i="13"/>
  <c r="E947" i="13"/>
  <c r="E946" i="13"/>
  <c r="E945" i="13"/>
  <c r="E944" i="13"/>
  <c r="E943" i="13"/>
  <c r="E942" i="13"/>
  <c r="C942" i="13"/>
  <c r="B942" i="13"/>
  <c r="E941" i="13"/>
  <c r="E940" i="13"/>
  <c r="E939" i="13"/>
  <c r="E938" i="13"/>
  <c r="E937" i="13"/>
  <c r="E936" i="13"/>
  <c r="E935" i="13"/>
  <c r="E934" i="13"/>
  <c r="E933" i="13"/>
  <c r="E932" i="13"/>
  <c r="E931" i="13"/>
  <c r="E930" i="13"/>
  <c r="E929" i="13"/>
  <c r="E928" i="13"/>
  <c r="E927" i="13"/>
  <c r="E926" i="13"/>
  <c r="E925" i="13"/>
  <c r="E924" i="13"/>
  <c r="E923" i="13"/>
  <c r="E922" i="13"/>
  <c r="E921" i="13"/>
  <c r="E920" i="13"/>
  <c r="E919" i="13"/>
  <c r="E918" i="13"/>
  <c r="C918" i="13"/>
  <c r="B918" i="13"/>
  <c r="E917" i="13"/>
  <c r="E916" i="13"/>
  <c r="E915" i="13"/>
  <c r="E914" i="13"/>
  <c r="E913" i="13"/>
  <c r="E912" i="13"/>
  <c r="E911" i="13"/>
  <c r="E910" i="13"/>
  <c r="E909" i="13"/>
  <c r="E908" i="13"/>
  <c r="E907" i="13"/>
  <c r="E906" i="13"/>
  <c r="E905" i="13"/>
  <c r="E904" i="13"/>
  <c r="E903" i="13"/>
  <c r="E902" i="13"/>
  <c r="E901" i="13"/>
  <c r="E900" i="13"/>
  <c r="E899" i="13"/>
  <c r="E898" i="13"/>
  <c r="E897" i="13"/>
  <c r="E896" i="13"/>
  <c r="E895" i="13"/>
  <c r="E894" i="13"/>
  <c r="C894" i="13"/>
  <c r="B894" i="13"/>
  <c r="E893" i="13"/>
  <c r="E892" i="13"/>
  <c r="E891" i="13"/>
  <c r="E890" i="13"/>
  <c r="E889" i="13"/>
  <c r="E888" i="13"/>
  <c r="E887" i="13"/>
  <c r="E886" i="13"/>
  <c r="E885" i="13"/>
  <c r="E884" i="13"/>
  <c r="E883" i="13"/>
  <c r="E882" i="13"/>
  <c r="E881" i="13"/>
  <c r="E880" i="13"/>
  <c r="E879" i="13"/>
  <c r="E878" i="13"/>
  <c r="E877" i="13"/>
  <c r="E876" i="13"/>
  <c r="E875" i="13"/>
  <c r="E874" i="13"/>
  <c r="E873" i="13"/>
  <c r="E872" i="13"/>
  <c r="E871" i="13"/>
  <c r="E870" i="13"/>
  <c r="C870" i="13"/>
  <c r="B870" i="13"/>
  <c r="E869" i="13"/>
  <c r="E868" i="13"/>
  <c r="E867" i="13"/>
  <c r="E866" i="13"/>
  <c r="E865" i="13"/>
  <c r="E864" i="13"/>
  <c r="E863" i="13"/>
  <c r="E862" i="13"/>
  <c r="E861" i="13"/>
  <c r="E860" i="13"/>
  <c r="E859" i="13"/>
  <c r="E858" i="13"/>
  <c r="E857" i="13"/>
  <c r="E856" i="13"/>
  <c r="E855" i="13"/>
  <c r="E854" i="13"/>
  <c r="E853" i="13"/>
  <c r="E852" i="13"/>
  <c r="E851" i="13"/>
  <c r="E850" i="13"/>
  <c r="E849" i="13"/>
  <c r="E848" i="13"/>
  <c r="E847" i="13"/>
  <c r="E846" i="13"/>
  <c r="C846" i="13"/>
  <c r="B846" i="13"/>
  <c r="E845" i="13"/>
  <c r="E844" i="13"/>
  <c r="E843" i="13"/>
  <c r="E842" i="13"/>
  <c r="E841" i="13"/>
  <c r="E840" i="13"/>
  <c r="E839" i="13"/>
  <c r="E838" i="13"/>
  <c r="E837" i="13"/>
  <c r="E836" i="13"/>
  <c r="E835" i="13"/>
  <c r="E834" i="13"/>
  <c r="E833" i="13"/>
  <c r="E832" i="13"/>
  <c r="E831" i="13"/>
  <c r="E830" i="13"/>
  <c r="E829" i="13"/>
  <c r="E828" i="13"/>
  <c r="E827" i="13"/>
  <c r="E826" i="13"/>
  <c r="E825" i="13"/>
  <c r="E824" i="13"/>
  <c r="E823" i="13"/>
  <c r="E822" i="13"/>
  <c r="C822" i="13"/>
  <c r="B822" i="13"/>
  <c r="E821" i="13"/>
  <c r="E820" i="13"/>
  <c r="E819" i="13"/>
  <c r="E818" i="13"/>
  <c r="E817" i="13"/>
  <c r="E816" i="13"/>
  <c r="E815" i="13"/>
  <c r="E814" i="13"/>
  <c r="E813" i="13"/>
  <c r="E812" i="13"/>
  <c r="E811" i="13"/>
  <c r="E810" i="13"/>
  <c r="E809" i="13"/>
  <c r="E808" i="13"/>
  <c r="E807" i="13"/>
  <c r="E806" i="13"/>
  <c r="E805" i="13"/>
  <c r="E804" i="13"/>
  <c r="E803" i="13"/>
  <c r="E802" i="13"/>
  <c r="E801" i="13"/>
  <c r="E800" i="13"/>
  <c r="E799" i="13"/>
  <c r="E798" i="13"/>
  <c r="C798" i="13"/>
  <c r="B798" i="13"/>
  <c r="E797" i="13"/>
  <c r="E796" i="13"/>
  <c r="E795" i="13"/>
  <c r="E794" i="13"/>
  <c r="E793" i="13"/>
  <c r="E792" i="13"/>
  <c r="E791" i="13"/>
  <c r="E790" i="13"/>
  <c r="E789" i="13"/>
  <c r="E788" i="13"/>
  <c r="E787" i="13"/>
  <c r="E786" i="13"/>
  <c r="E785" i="13"/>
  <c r="E784" i="13"/>
  <c r="E783" i="13"/>
  <c r="E782" i="13"/>
  <c r="E781" i="13"/>
  <c r="E780" i="13"/>
  <c r="E779" i="13"/>
  <c r="E778" i="13"/>
  <c r="E777" i="13"/>
  <c r="E776" i="13"/>
  <c r="E775" i="13"/>
  <c r="E774" i="13"/>
  <c r="C774" i="13"/>
  <c r="B774" i="13"/>
  <c r="E773" i="13"/>
  <c r="E772" i="13"/>
  <c r="E771" i="13"/>
  <c r="E770" i="13"/>
  <c r="E769" i="13"/>
  <c r="E768" i="13"/>
  <c r="E767" i="13"/>
  <c r="E766" i="13"/>
  <c r="E765" i="13"/>
  <c r="E764" i="13"/>
  <c r="E763" i="13"/>
  <c r="E762" i="13"/>
  <c r="E761" i="13"/>
  <c r="E760" i="13"/>
  <c r="E759" i="13"/>
  <c r="E758" i="13"/>
  <c r="E757" i="13"/>
  <c r="E756" i="13"/>
  <c r="E755" i="13"/>
  <c r="E754" i="13"/>
  <c r="E753" i="13"/>
  <c r="E752" i="13"/>
  <c r="E751" i="13"/>
  <c r="E750" i="13"/>
  <c r="C750" i="13"/>
  <c r="B750" i="13"/>
  <c r="E749" i="13"/>
  <c r="E748" i="13"/>
  <c r="E747" i="13"/>
  <c r="E746" i="13"/>
  <c r="E745" i="13"/>
  <c r="E744" i="13"/>
  <c r="E743" i="13"/>
  <c r="E742" i="13"/>
  <c r="E741" i="13"/>
  <c r="E740" i="13"/>
  <c r="E739" i="13"/>
  <c r="E738" i="13"/>
  <c r="E737" i="13"/>
  <c r="E736" i="13"/>
  <c r="E735" i="13"/>
  <c r="E734" i="13"/>
  <c r="E733" i="13"/>
  <c r="E732" i="13"/>
  <c r="E731" i="13"/>
  <c r="E730" i="13"/>
  <c r="E729" i="13"/>
  <c r="E728" i="13"/>
  <c r="E727" i="13"/>
  <c r="E726" i="13"/>
  <c r="C726" i="13"/>
  <c r="B726" i="13"/>
  <c r="E725" i="13"/>
  <c r="E724" i="13"/>
  <c r="E723" i="13"/>
  <c r="E722" i="13"/>
  <c r="E721" i="13"/>
  <c r="E720" i="13"/>
  <c r="E719" i="13"/>
  <c r="E718" i="13"/>
  <c r="E717" i="13"/>
  <c r="E716" i="13"/>
  <c r="E715" i="13"/>
  <c r="E714" i="13"/>
  <c r="E713" i="13"/>
  <c r="E712" i="13"/>
  <c r="E711" i="13"/>
  <c r="E710" i="13"/>
  <c r="E709" i="13"/>
  <c r="E708" i="13"/>
  <c r="E707" i="13"/>
  <c r="E706" i="13"/>
  <c r="E705" i="13"/>
  <c r="E704" i="13"/>
  <c r="E703" i="13"/>
  <c r="E702" i="13"/>
  <c r="C702" i="13"/>
  <c r="B702" i="13"/>
  <c r="E701" i="13"/>
  <c r="E700" i="13"/>
  <c r="E699" i="13"/>
  <c r="E698" i="13"/>
  <c r="E697" i="13"/>
  <c r="E696" i="13"/>
  <c r="E695" i="13"/>
  <c r="E694" i="13"/>
  <c r="E693" i="13"/>
  <c r="E692" i="13"/>
  <c r="E691" i="13"/>
  <c r="E690" i="13"/>
  <c r="E689" i="13"/>
  <c r="E688" i="13"/>
  <c r="E687" i="13"/>
  <c r="E686" i="13"/>
  <c r="E685" i="13"/>
  <c r="E684" i="13"/>
  <c r="E683" i="13"/>
  <c r="E682" i="13"/>
  <c r="E681" i="13"/>
  <c r="E680" i="13"/>
  <c r="E679" i="13"/>
  <c r="E678" i="13"/>
  <c r="C678" i="13"/>
  <c r="B678" i="13"/>
  <c r="E677" i="13"/>
  <c r="E676" i="13"/>
  <c r="E675" i="13"/>
  <c r="E674" i="13"/>
  <c r="E673" i="13"/>
  <c r="E672" i="13"/>
  <c r="E671" i="13"/>
  <c r="E670" i="13"/>
  <c r="E669" i="13"/>
  <c r="E668" i="13"/>
  <c r="E667" i="13"/>
  <c r="E666" i="13"/>
  <c r="E665" i="13"/>
  <c r="E664" i="13"/>
  <c r="E663" i="13"/>
  <c r="E662" i="13"/>
  <c r="E661" i="13"/>
  <c r="E660" i="13"/>
  <c r="E659" i="13"/>
  <c r="E658" i="13"/>
  <c r="E657" i="13"/>
  <c r="E656" i="13"/>
  <c r="E655" i="13"/>
  <c r="E654" i="13"/>
  <c r="C654" i="13"/>
  <c r="B654" i="13"/>
  <c r="E653" i="13"/>
  <c r="E652" i="13"/>
  <c r="E651" i="13"/>
  <c r="E650" i="13"/>
  <c r="E649" i="13"/>
  <c r="E648" i="13"/>
  <c r="E647" i="13"/>
  <c r="E646" i="13"/>
  <c r="E645" i="13"/>
  <c r="E644" i="13"/>
  <c r="E643" i="13"/>
  <c r="E642" i="13"/>
  <c r="E641" i="13"/>
  <c r="E640" i="13"/>
  <c r="E639" i="13"/>
  <c r="E638" i="13"/>
  <c r="E637" i="13"/>
  <c r="E636" i="13"/>
  <c r="E635" i="13"/>
  <c r="E634" i="13"/>
  <c r="E633" i="13"/>
  <c r="E632" i="13"/>
  <c r="E631" i="13"/>
  <c r="E630" i="13"/>
  <c r="C630" i="13"/>
  <c r="B630" i="13"/>
  <c r="E629" i="13"/>
  <c r="E628" i="13"/>
  <c r="E627" i="13"/>
  <c r="E626" i="13"/>
  <c r="E625" i="13"/>
  <c r="E624" i="13"/>
  <c r="E623" i="13"/>
  <c r="E622" i="13"/>
  <c r="E621" i="13"/>
  <c r="E620" i="13"/>
  <c r="E619" i="13"/>
  <c r="E618" i="13"/>
  <c r="E617" i="13"/>
  <c r="E616" i="13"/>
  <c r="E615" i="13"/>
  <c r="E614" i="13"/>
  <c r="E613" i="13"/>
  <c r="E612" i="13"/>
  <c r="E611" i="13"/>
  <c r="E610" i="13"/>
  <c r="E609" i="13"/>
  <c r="E608" i="13"/>
  <c r="E607" i="13"/>
  <c r="E606" i="13"/>
  <c r="C606" i="13"/>
  <c r="B606" i="13"/>
  <c r="E605" i="13"/>
  <c r="E604" i="13"/>
  <c r="E603" i="13"/>
  <c r="E602" i="13"/>
  <c r="E601" i="13"/>
  <c r="E600" i="13"/>
  <c r="E599" i="13"/>
  <c r="E598" i="13"/>
  <c r="E597" i="13"/>
  <c r="E596" i="13"/>
  <c r="E595" i="13"/>
  <c r="E594" i="13"/>
  <c r="E593" i="13"/>
  <c r="E592" i="13"/>
  <c r="E591" i="13"/>
  <c r="E590" i="13"/>
  <c r="E589" i="13"/>
  <c r="E588" i="13"/>
  <c r="E587" i="13"/>
  <c r="E586" i="13"/>
  <c r="E585" i="13"/>
  <c r="E584" i="13"/>
  <c r="E583" i="13"/>
  <c r="E582" i="13"/>
  <c r="C582" i="13"/>
  <c r="B582" i="13"/>
  <c r="E581" i="13"/>
  <c r="E580" i="13"/>
  <c r="E579" i="13"/>
  <c r="E578" i="13"/>
  <c r="E577" i="13"/>
  <c r="E576" i="13"/>
  <c r="E575" i="13"/>
  <c r="E574" i="13"/>
  <c r="E573" i="13"/>
  <c r="E572" i="13"/>
  <c r="E571" i="13"/>
  <c r="E570" i="13"/>
  <c r="E569" i="13"/>
  <c r="E568" i="13"/>
  <c r="E567" i="13"/>
  <c r="E566" i="13"/>
  <c r="E565" i="13"/>
  <c r="E564" i="13"/>
  <c r="E563" i="13"/>
  <c r="E562" i="13"/>
  <c r="E561" i="13"/>
  <c r="E560" i="13"/>
  <c r="E559" i="13"/>
  <c r="E558" i="13"/>
  <c r="C558" i="13"/>
  <c r="B558" i="13"/>
  <c r="E557" i="13"/>
  <c r="E556" i="13"/>
  <c r="E555" i="13"/>
  <c r="E554" i="13"/>
  <c r="E553" i="13"/>
  <c r="E552" i="13"/>
  <c r="E551" i="13"/>
  <c r="E550" i="13"/>
  <c r="E549" i="13"/>
  <c r="E548" i="13"/>
  <c r="E547" i="13"/>
  <c r="E546" i="13"/>
  <c r="E545" i="13"/>
  <c r="E544" i="13"/>
  <c r="E543" i="13"/>
  <c r="E542" i="13"/>
  <c r="E541" i="13"/>
  <c r="E540" i="13"/>
  <c r="E539" i="13"/>
  <c r="E538" i="13"/>
  <c r="E537" i="13"/>
  <c r="E536" i="13"/>
  <c r="E535" i="13"/>
  <c r="E534" i="13"/>
  <c r="C534" i="13"/>
  <c r="B534" i="13"/>
  <c r="E533" i="13"/>
  <c r="E532" i="13"/>
  <c r="E531" i="13"/>
  <c r="E530" i="13"/>
  <c r="E529" i="13"/>
  <c r="E528" i="13"/>
  <c r="E527" i="13"/>
  <c r="E526" i="13"/>
  <c r="E525" i="13"/>
  <c r="E524" i="13"/>
  <c r="E523" i="13"/>
  <c r="E522" i="13"/>
  <c r="E521" i="13"/>
  <c r="E520" i="13"/>
  <c r="E519" i="13"/>
  <c r="E518" i="13"/>
  <c r="E517" i="13"/>
  <c r="E516" i="13"/>
  <c r="E515" i="13"/>
  <c r="E514" i="13"/>
  <c r="E513" i="13"/>
  <c r="E512" i="13"/>
  <c r="E511" i="13"/>
  <c r="E510" i="13"/>
  <c r="C510" i="13"/>
  <c r="B510" i="13"/>
  <c r="E509" i="13"/>
  <c r="E508" i="13"/>
  <c r="E507" i="13"/>
  <c r="E506" i="13"/>
  <c r="E505" i="13"/>
  <c r="E504" i="13"/>
  <c r="E503" i="13"/>
  <c r="E502" i="13"/>
  <c r="E501" i="13"/>
  <c r="E500" i="13"/>
  <c r="E499" i="13"/>
  <c r="E498" i="13"/>
  <c r="E497" i="13"/>
  <c r="E496" i="13"/>
  <c r="E495" i="13"/>
  <c r="E494" i="13"/>
  <c r="E493" i="13"/>
  <c r="E492" i="13"/>
  <c r="E491" i="13"/>
  <c r="E490" i="13"/>
  <c r="E489" i="13"/>
  <c r="E488" i="13"/>
  <c r="E487" i="13"/>
  <c r="E486" i="13"/>
  <c r="C486" i="13"/>
  <c r="B486" i="13"/>
  <c r="E485" i="13"/>
  <c r="E484" i="13"/>
  <c r="E483" i="13"/>
  <c r="E482" i="13"/>
  <c r="E481" i="13"/>
  <c r="E480" i="13"/>
  <c r="E479" i="13"/>
  <c r="E478" i="13"/>
  <c r="E477" i="13"/>
  <c r="E476" i="13"/>
  <c r="E475" i="13"/>
  <c r="E474" i="13"/>
  <c r="E473" i="13"/>
  <c r="E472" i="13"/>
  <c r="E471" i="13"/>
  <c r="E470" i="13"/>
  <c r="E469" i="13"/>
  <c r="E468" i="13"/>
  <c r="E467" i="13"/>
  <c r="E466" i="13"/>
  <c r="E465" i="13"/>
  <c r="E464" i="13"/>
  <c r="E463" i="13"/>
  <c r="E462" i="13"/>
  <c r="C462" i="13"/>
  <c r="B462" i="13"/>
  <c r="E461" i="13"/>
  <c r="E460" i="13"/>
  <c r="E459" i="13"/>
  <c r="E458" i="13"/>
  <c r="E457" i="13"/>
  <c r="E456" i="13"/>
  <c r="E455" i="13"/>
  <c r="E454" i="13"/>
  <c r="E453" i="13"/>
  <c r="E452" i="13"/>
  <c r="E451" i="13"/>
  <c r="E450" i="13"/>
  <c r="E449" i="13"/>
  <c r="E448" i="13"/>
  <c r="E447" i="13"/>
  <c r="E446" i="13"/>
  <c r="E445" i="13"/>
  <c r="E444" i="13"/>
  <c r="E443" i="13"/>
  <c r="E442" i="13"/>
  <c r="E441" i="13"/>
  <c r="E440" i="13"/>
  <c r="E439" i="13"/>
  <c r="E438" i="13"/>
  <c r="C438" i="13"/>
  <c r="B438" i="13"/>
  <c r="E437" i="13"/>
  <c r="E436" i="13"/>
  <c r="E435" i="13"/>
  <c r="E434" i="13"/>
  <c r="E433" i="13"/>
  <c r="E432" i="13"/>
  <c r="E431" i="13"/>
  <c r="E430" i="13"/>
  <c r="E429" i="13"/>
  <c r="E428" i="13"/>
  <c r="E427" i="13"/>
  <c r="E426" i="13"/>
  <c r="E425" i="13"/>
  <c r="E424" i="13"/>
  <c r="E423" i="13"/>
  <c r="E422" i="13"/>
  <c r="E421" i="13"/>
  <c r="E420" i="13"/>
  <c r="E419" i="13"/>
  <c r="E418" i="13"/>
  <c r="E417" i="13"/>
  <c r="E416" i="13"/>
  <c r="E415" i="13"/>
  <c r="E414" i="13"/>
  <c r="C414" i="13"/>
  <c r="B414" i="13"/>
  <c r="E413" i="13"/>
  <c r="E412" i="13"/>
  <c r="E411" i="13"/>
  <c r="E410" i="13"/>
  <c r="E409" i="13"/>
  <c r="E408" i="13"/>
  <c r="E407" i="13"/>
  <c r="E406" i="13"/>
  <c r="E405" i="13"/>
  <c r="E404" i="13"/>
  <c r="E403" i="13"/>
  <c r="E402" i="13"/>
  <c r="E401" i="13"/>
  <c r="E400" i="13"/>
  <c r="E399" i="13"/>
  <c r="E398" i="13"/>
  <c r="E397" i="13"/>
  <c r="E396" i="13"/>
  <c r="E395" i="13"/>
  <c r="E394" i="13"/>
  <c r="E393" i="13"/>
  <c r="E392" i="13"/>
  <c r="E391" i="13"/>
  <c r="E390" i="13"/>
  <c r="C390" i="13"/>
  <c r="B390" i="13"/>
  <c r="E389" i="13"/>
  <c r="E388" i="13"/>
  <c r="E387" i="13"/>
  <c r="E386" i="13"/>
  <c r="E385" i="13"/>
  <c r="E384" i="13"/>
  <c r="E383" i="13"/>
  <c r="E382" i="13"/>
  <c r="E381" i="13"/>
  <c r="E380" i="13"/>
  <c r="E379" i="13"/>
  <c r="E378" i="13"/>
  <c r="E377" i="13"/>
  <c r="E376" i="13"/>
  <c r="E375" i="13"/>
  <c r="E374" i="13"/>
  <c r="E373" i="13"/>
  <c r="E372" i="13"/>
  <c r="E371" i="13"/>
  <c r="E370" i="13"/>
  <c r="E369" i="13"/>
  <c r="E368" i="13"/>
  <c r="E367" i="13"/>
  <c r="E366" i="13"/>
  <c r="C366" i="13"/>
  <c r="B366" i="13"/>
  <c r="E365" i="13"/>
  <c r="E364" i="13"/>
  <c r="E363" i="13"/>
  <c r="E362" i="13"/>
  <c r="E361" i="13"/>
  <c r="E360" i="13"/>
  <c r="E359" i="13"/>
  <c r="E358" i="13"/>
  <c r="E357" i="13"/>
  <c r="E356" i="13"/>
  <c r="E355" i="13"/>
  <c r="E354" i="13"/>
  <c r="E353" i="13"/>
  <c r="E352" i="13"/>
  <c r="E351" i="13"/>
  <c r="E350" i="13"/>
  <c r="E349" i="13"/>
  <c r="E348" i="13"/>
  <c r="E347" i="13"/>
  <c r="E346" i="13"/>
  <c r="E345" i="13"/>
  <c r="E344" i="13"/>
  <c r="E343" i="13"/>
  <c r="E342" i="13"/>
  <c r="C342" i="13"/>
  <c r="B342" i="13"/>
  <c r="E341" i="13"/>
  <c r="E340" i="13"/>
  <c r="E339" i="13"/>
  <c r="E338" i="13"/>
  <c r="E337" i="13"/>
  <c r="E336" i="13"/>
  <c r="E335" i="13"/>
  <c r="E334" i="13"/>
  <c r="E333" i="13"/>
  <c r="E332" i="13"/>
  <c r="E331" i="13"/>
  <c r="E330" i="13"/>
  <c r="E329" i="13"/>
  <c r="E328" i="13"/>
  <c r="E327" i="13"/>
  <c r="E326" i="13"/>
  <c r="E325" i="13"/>
  <c r="E324" i="13"/>
  <c r="E323" i="13"/>
  <c r="E322" i="13"/>
  <c r="E321" i="13"/>
  <c r="E320" i="13"/>
  <c r="E319" i="13"/>
  <c r="E318" i="13"/>
  <c r="C318" i="13"/>
  <c r="B318" i="13"/>
  <c r="E317" i="13"/>
  <c r="E316" i="13"/>
  <c r="E315" i="13"/>
  <c r="E314" i="13"/>
  <c r="E313" i="13"/>
  <c r="E312" i="13"/>
  <c r="E311" i="13"/>
  <c r="E310" i="13"/>
  <c r="E309" i="13"/>
  <c r="E308" i="13"/>
  <c r="E307" i="13"/>
  <c r="E306" i="13"/>
  <c r="E305" i="13"/>
  <c r="E304" i="13"/>
  <c r="E303" i="13"/>
  <c r="E302" i="13"/>
  <c r="E301" i="13"/>
  <c r="E300" i="13"/>
  <c r="E299" i="13"/>
  <c r="E298" i="13"/>
  <c r="E297" i="13"/>
  <c r="E296" i="13"/>
  <c r="E295" i="13"/>
  <c r="E294" i="13"/>
  <c r="C294" i="13"/>
  <c r="B294" i="13"/>
  <c r="E293" i="13"/>
  <c r="E292" i="13"/>
  <c r="E291" i="13"/>
  <c r="E290" i="13"/>
  <c r="E289" i="13"/>
  <c r="E288" i="13"/>
  <c r="E287" i="13"/>
  <c r="E286" i="13"/>
  <c r="E285" i="13"/>
  <c r="E284" i="13"/>
  <c r="E283" i="13"/>
  <c r="E282" i="13"/>
  <c r="E281" i="13"/>
  <c r="E280" i="13"/>
  <c r="E279" i="13"/>
  <c r="E278" i="13"/>
  <c r="E277" i="13"/>
  <c r="E276" i="13"/>
  <c r="E275" i="13"/>
  <c r="E274" i="13"/>
  <c r="E273" i="13"/>
  <c r="E272" i="13"/>
  <c r="E271" i="13"/>
  <c r="E270" i="13"/>
  <c r="C270" i="13"/>
  <c r="B270" i="13"/>
  <c r="E269" i="13"/>
  <c r="E268" i="13"/>
  <c r="E267" i="13"/>
  <c r="E266" i="13"/>
  <c r="E265" i="13"/>
  <c r="E264" i="13"/>
  <c r="E263" i="13"/>
  <c r="E262" i="13"/>
  <c r="E261" i="13"/>
  <c r="E260" i="13"/>
  <c r="E259" i="13"/>
  <c r="E258" i="13"/>
  <c r="E257" i="13"/>
  <c r="E256" i="13"/>
  <c r="E255" i="13"/>
  <c r="E254" i="13"/>
  <c r="E253" i="13"/>
  <c r="E252" i="13"/>
  <c r="E251" i="13"/>
  <c r="E250" i="13"/>
  <c r="E249" i="13"/>
  <c r="E248" i="13"/>
  <c r="E247" i="13"/>
  <c r="E246" i="13"/>
  <c r="C246" i="13"/>
  <c r="B246" i="13"/>
  <c r="E245" i="13"/>
  <c r="E244" i="13"/>
  <c r="E243" i="13"/>
  <c r="E242" i="13"/>
  <c r="E241" i="13"/>
  <c r="E240" i="13"/>
  <c r="E239" i="13"/>
  <c r="E238" i="13"/>
  <c r="E237" i="13"/>
  <c r="E236" i="13"/>
  <c r="E235" i="13"/>
  <c r="E234" i="13"/>
  <c r="E233" i="13"/>
  <c r="E232" i="13"/>
  <c r="E231" i="13"/>
  <c r="E230" i="13"/>
  <c r="E229" i="13"/>
  <c r="E228" i="13"/>
  <c r="E227" i="13"/>
  <c r="E226" i="13"/>
  <c r="E225" i="13"/>
  <c r="E224" i="13"/>
  <c r="E223" i="13"/>
  <c r="E222" i="13"/>
  <c r="C222" i="13"/>
  <c r="B222" i="13"/>
  <c r="E221" i="13"/>
  <c r="E220" i="13"/>
  <c r="E219" i="13"/>
  <c r="E218" i="13"/>
  <c r="E217" i="13"/>
  <c r="E216" i="13"/>
  <c r="E215" i="13"/>
  <c r="E214" i="13"/>
  <c r="E213" i="13"/>
  <c r="E212" i="13"/>
  <c r="E211" i="13"/>
  <c r="E210" i="13"/>
  <c r="E209" i="13"/>
  <c r="E208" i="13"/>
  <c r="E207" i="13"/>
  <c r="E206" i="13"/>
  <c r="E205" i="13"/>
  <c r="E204" i="13"/>
  <c r="E203" i="13"/>
  <c r="E202" i="13"/>
  <c r="E201" i="13"/>
  <c r="E200" i="13"/>
  <c r="E199" i="13"/>
  <c r="E198" i="13"/>
  <c r="C198" i="13"/>
  <c r="B198" i="13"/>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C174" i="13"/>
  <c r="B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C150" i="13"/>
  <c r="B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C126" i="13"/>
  <c r="B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D102" i="13"/>
  <c r="D126" i="13" s="1"/>
  <c r="D150" i="13" s="1"/>
  <c r="D174" i="13" s="1"/>
  <c r="D198" i="13" s="1"/>
  <c r="D222" i="13" s="1"/>
  <c r="D246" i="13" s="1"/>
  <c r="D270" i="13" s="1"/>
  <c r="D294" i="13" s="1"/>
  <c r="D318" i="13" s="1"/>
  <c r="D342" i="13" s="1"/>
  <c r="D366" i="13" s="1"/>
  <c r="D390" i="13" s="1"/>
  <c r="D414" i="13" s="1"/>
  <c r="D438" i="13" s="1"/>
  <c r="D462" i="13" s="1"/>
  <c r="D486" i="13" s="1"/>
  <c r="D510" i="13" s="1"/>
  <c r="D534" i="13" s="1"/>
  <c r="D558" i="13" s="1"/>
  <c r="D582" i="13" s="1"/>
  <c r="D606" i="13" s="1"/>
  <c r="D630" i="13" s="1"/>
  <c r="D654" i="13" s="1"/>
  <c r="D678" i="13" s="1"/>
  <c r="D702" i="13" s="1"/>
  <c r="D726" i="13" s="1"/>
  <c r="D750" i="13" s="1"/>
  <c r="D774" i="13" s="1"/>
  <c r="D798" i="13" s="1"/>
  <c r="D822" i="13" s="1"/>
  <c r="D846" i="13" s="1"/>
  <c r="D870" i="13" s="1"/>
  <c r="D894" i="13" s="1"/>
  <c r="D918" i="13" s="1"/>
  <c r="D942" i="13" s="1"/>
  <c r="D966" i="13" s="1"/>
  <c r="D990" i="13" s="1"/>
  <c r="D1014" i="13" s="1"/>
  <c r="D1038" i="13" s="1"/>
  <c r="D1062" i="13" s="1"/>
  <c r="D1086" i="13" s="1"/>
  <c r="D1110" i="13" s="1"/>
  <c r="D1134" i="13" s="1"/>
  <c r="D1158" i="13" s="1"/>
  <c r="C102" i="13"/>
  <c r="B102" i="13"/>
  <c r="E101" i="13"/>
  <c r="E100" i="13"/>
  <c r="E99" i="13"/>
  <c r="D99" i="13"/>
  <c r="D123" i="13" s="1"/>
  <c r="D147" i="13" s="1"/>
  <c r="D171" i="13" s="1"/>
  <c r="D195" i="13" s="1"/>
  <c r="D219" i="13" s="1"/>
  <c r="D243" i="13" s="1"/>
  <c r="D267" i="13" s="1"/>
  <c r="D291" i="13" s="1"/>
  <c r="D315" i="13" s="1"/>
  <c r="D339" i="13" s="1"/>
  <c r="D363" i="13" s="1"/>
  <c r="D387" i="13" s="1"/>
  <c r="D411" i="13" s="1"/>
  <c r="D435" i="13" s="1"/>
  <c r="D459" i="13" s="1"/>
  <c r="D483" i="13" s="1"/>
  <c r="D507" i="13" s="1"/>
  <c r="D531" i="13" s="1"/>
  <c r="D555" i="13" s="1"/>
  <c r="D579" i="13" s="1"/>
  <c r="D603" i="13" s="1"/>
  <c r="D627" i="13" s="1"/>
  <c r="D651" i="13" s="1"/>
  <c r="D675" i="13" s="1"/>
  <c r="D699" i="13" s="1"/>
  <c r="D723" i="13" s="1"/>
  <c r="D747" i="13" s="1"/>
  <c r="D771" i="13" s="1"/>
  <c r="D795" i="13" s="1"/>
  <c r="D819" i="13" s="1"/>
  <c r="D843" i="13" s="1"/>
  <c r="D867" i="13" s="1"/>
  <c r="D891" i="13" s="1"/>
  <c r="D915" i="13" s="1"/>
  <c r="D939" i="13" s="1"/>
  <c r="D963" i="13" s="1"/>
  <c r="D987" i="13" s="1"/>
  <c r="D1011" i="13" s="1"/>
  <c r="D1035" i="13" s="1"/>
  <c r="D1059" i="13" s="1"/>
  <c r="D1083" i="13" s="1"/>
  <c r="D1107" i="13" s="1"/>
  <c r="D1131" i="13" s="1"/>
  <c r="D1155" i="13" s="1"/>
  <c r="D1179" i="13" s="1"/>
  <c r="E98" i="13"/>
  <c r="D98" i="13"/>
  <c r="D122" i="13" s="1"/>
  <c r="D146" i="13" s="1"/>
  <c r="D170" i="13" s="1"/>
  <c r="D194" i="13" s="1"/>
  <c r="D218" i="13" s="1"/>
  <c r="D242" i="13" s="1"/>
  <c r="D266" i="13" s="1"/>
  <c r="D290" i="13" s="1"/>
  <c r="D314" i="13" s="1"/>
  <c r="D338" i="13" s="1"/>
  <c r="D362" i="13" s="1"/>
  <c r="D386" i="13" s="1"/>
  <c r="D410" i="13" s="1"/>
  <c r="D434" i="13" s="1"/>
  <c r="D458" i="13" s="1"/>
  <c r="D482" i="13" s="1"/>
  <c r="D506" i="13" s="1"/>
  <c r="D530" i="13" s="1"/>
  <c r="D554" i="13" s="1"/>
  <c r="D578" i="13" s="1"/>
  <c r="D602" i="13" s="1"/>
  <c r="D626" i="13" s="1"/>
  <c r="D650" i="13" s="1"/>
  <c r="D674" i="13" s="1"/>
  <c r="D698" i="13" s="1"/>
  <c r="D722" i="13" s="1"/>
  <c r="D746" i="13" s="1"/>
  <c r="D770" i="13" s="1"/>
  <c r="D794" i="13" s="1"/>
  <c r="D818" i="13" s="1"/>
  <c r="D842" i="13" s="1"/>
  <c r="D866" i="13" s="1"/>
  <c r="D890" i="13" s="1"/>
  <c r="D914" i="13" s="1"/>
  <c r="D938" i="13" s="1"/>
  <c r="D962" i="13" s="1"/>
  <c r="D986" i="13" s="1"/>
  <c r="D1010" i="13" s="1"/>
  <c r="D1034" i="13" s="1"/>
  <c r="D1058" i="13" s="1"/>
  <c r="D1082" i="13" s="1"/>
  <c r="D1106" i="13" s="1"/>
  <c r="D1130" i="13" s="1"/>
  <c r="D1154" i="13" s="1"/>
  <c r="D1178" i="13" s="1"/>
  <c r="E97" i="13"/>
  <c r="E96" i="13"/>
  <c r="E95" i="13"/>
  <c r="D95" i="13"/>
  <c r="D119" i="13" s="1"/>
  <c r="D143" i="13" s="1"/>
  <c r="D167" i="13" s="1"/>
  <c r="D191" i="13" s="1"/>
  <c r="D215" i="13" s="1"/>
  <c r="D239" i="13" s="1"/>
  <c r="D263" i="13" s="1"/>
  <c r="D287" i="13" s="1"/>
  <c r="D311" i="13" s="1"/>
  <c r="D335" i="13" s="1"/>
  <c r="D359" i="13" s="1"/>
  <c r="D383" i="13" s="1"/>
  <c r="D407" i="13" s="1"/>
  <c r="D431" i="13" s="1"/>
  <c r="D455" i="13" s="1"/>
  <c r="D479" i="13" s="1"/>
  <c r="D503" i="13" s="1"/>
  <c r="D527" i="13" s="1"/>
  <c r="D551" i="13" s="1"/>
  <c r="D575" i="13" s="1"/>
  <c r="D599" i="13" s="1"/>
  <c r="D623" i="13" s="1"/>
  <c r="D647" i="13" s="1"/>
  <c r="D671" i="13" s="1"/>
  <c r="D695" i="13" s="1"/>
  <c r="D719" i="13" s="1"/>
  <c r="D743" i="13" s="1"/>
  <c r="D767" i="13" s="1"/>
  <c r="D791" i="13" s="1"/>
  <c r="D815" i="13" s="1"/>
  <c r="D839" i="13" s="1"/>
  <c r="D863" i="13" s="1"/>
  <c r="D887" i="13" s="1"/>
  <c r="D911" i="13" s="1"/>
  <c r="D935" i="13" s="1"/>
  <c r="D959" i="13" s="1"/>
  <c r="D983" i="13" s="1"/>
  <c r="D1007" i="13" s="1"/>
  <c r="D1031" i="13" s="1"/>
  <c r="D1055" i="13" s="1"/>
  <c r="D1079" i="13" s="1"/>
  <c r="D1103" i="13" s="1"/>
  <c r="D1127" i="13" s="1"/>
  <c r="D1151" i="13" s="1"/>
  <c r="D1175" i="13" s="1"/>
  <c r="E94" i="13"/>
  <c r="D94" i="13"/>
  <c r="D118" i="13" s="1"/>
  <c r="D142" i="13" s="1"/>
  <c r="D166" i="13" s="1"/>
  <c r="D190" i="13" s="1"/>
  <c r="D214" i="13" s="1"/>
  <c r="D238" i="13" s="1"/>
  <c r="D262" i="13" s="1"/>
  <c r="D286" i="13" s="1"/>
  <c r="D310" i="13" s="1"/>
  <c r="D334" i="13" s="1"/>
  <c r="D358" i="13" s="1"/>
  <c r="D382" i="13" s="1"/>
  <c r="D406" i="13" s="1"/>
  <c r="D430" i="13" s="1"/>
  <c r="D454" i="13" s="1"/>
  <c r="D478" i="13" s="1"/>
  <c r="D502" i="13" s="1"/>
  <c r="D526" i="13" s="1"/>
  <c r="D550" i="13" s="1"/>
  <c r="D574" i="13" s="1"/>
  <c r="D598" i="13" s="1"/>
  <c r="D622" i="13" s="1"/>
  <c r="D646" i="13" s="1"/>
  <c r="D670" i="13" s="1"/>
  <c r="D694" i="13" s="1"/>
  <c r="D718" i="13" s="1"/>
  <c r="D742" i="13" s="1"/>
  <c r="D766" i="13" s="1"/>
  <c r="D790" i="13" s="1"/>
  <c r="D814" i="13" s="1"/>
  <c r="D838" i="13" s="1"/>
  <c r="D862" i="13" s="1"/>
  <c r="D886" i="13" s="1"/>
  <c r="D910" i="13" s="1"/>
  <c r="D934" i="13" s="1"/>
  <c r="D958" i="13" s="1"/>
  <c r="D982" i="13" s="1"/>
  <c r="D1006" i="13" s="1"/>
  <c r="D1030" i="13" s="1"/>
  <c r="D1054" i="13" s="1"/>
  <c r="D1078" i="13" s="1"/>
  <c r="D1102" i="13" s="1"/>
  <c r="D1126" i="13" s="1"/>
  <c r="D1150" i="13" s="1"/>
  <c r="D1174" i="13" s="1"/>
  <c r="E93" i="13"/>
  <c r="E92" i="13"/>
  <c r="E91" i="13"/>
  <c r="D91" i="13"/>
  <c r="D115" i="13" s="1"/>
  <c r="D139" i="13" s="1"/>
  <c r="D163" i="13" s="1"/>
  <c r="D187" i="13" s="1"/>
  <c r="D211" i="13" s="1"/>
  <c r="D235" i="13" s="1"/>
  <c r="D259" i="13" s="1"/>
  <c r="D283" i="13" s="1"/>
  <c r="D307" i="13" s="1"/>
  <c r="D331" i="13" s="1"/>
  <c r="D355" i="13" s="1"/>
  <c r="D379" i="13" s="1"/>
  <c r="D403" i="13" s="1"/>
  <c r="D427" i="13" s="1"/>
  <c r="D451" i="13" s="1"/>
  <c r="D475" i="13" s="1"/>
  <c r="D499" i="13" s="1"/>
  <c r="D523" i="13" s="1"/>
  <c r="D547" i="13" s="1"/>
  <c r="D571" i="13" s="1"/>
  <c r="D595" i="13" s="1"/>
  <c r="D619" i="13" s="1"/>
  <c r="D643" i="13" s="1"/>
  <c r="D667" i="13" s="1"/>
  <c r="D691" i="13" s="1"/>
  <c r="D715" i="13" s="1"/>
  <c r="D739" i="13" s="1"/>
  <c r="D763" i="13" s="1"/>
  <c r="D787" i="13" s="1"/>
  <c r="D811" i="13" s="1"/>
  <c r="D835" i="13" s="1"/>
  <c r="D859" i="13" s="1"/>
  <c r="D883" i="13" s="1"/>
  <c r="D907" i="13" s="1"/>
  <c r="D931" i="13" s="1"/>
  <c r="D955" i="13" s="1"/>
  <c r="D979" i="13" s="1"/>
  <c r="D1003" i="13" s="1"/>
  <c r="D1027" i="13" s="1"/>
  <c r="D1051" i="13" s="1"/>
  <c r="D1075" i="13" s="1"/>
  <c r="D1099" i="13" s="1"/>
  <c r="D1123" i="13" s="1"/>
  <c r="D1147" i="13" s="1"/>
  <c r="D1171" i="13" s="1"/>
  <c r="E90" i="13"/>
  <c r="D90" i="13"/>
  <c r="D114" i="13" s="1"/>
  <c r="D138" i="13" s="1"/>
  <c r="D162" i="13" s="1"/>
  <c r="D186" i="13" s="1"/>
  <c r="D210" i="13" s="1"/>
  <c r="D234" i="13" s="1"/>
  <c r="D258" i="13" s="1"/>
  <c r="D282" i="13" s="1"/>
  <c r="D306" i="13" s="1"/>
  <c r="D330" i="13" s="1"/>
  <c r="D354" i="13" s="1"/>
  <c r="D378" i="13" s="1"/>
  <c r="D402" i="13" s="1"/>
  <c r="D426" i="13" s="1"/>
  <c r="D450" i="13" s="1"/>
  <c r="D474" i="13" s="1"/>
  <c r="D498" i="13" s="1"/>
  <c r="D522" i="13" s="1"/>
  <c r="D546" i="13" s="1"/>
  <c r="D570" i="13" s="1"/>
  <c r="D594" i="13" s="1"/>
  <c r="D618" i="13" s="1"/>
  <c r="D642" i="13" s="1"/>
  <c r="D666" i="13" s="1"/>
  <c r="D690" i="13" s="1"/>
  <c r="D714" i="13" s="1"/>
  <c r="D738" i="13" s="1"/>
  <c r="D762" i="13" s="1"/>
  <c r="D786" i="13" s="1"/>
  <c r="D810" i="13" s="1"/>
  <c r="D834" i="13" s="1"/>
  <c r="D858" i="13" s="1"/>
  <c r="D882" i="13" s="1"/>
  <c r="D906" i="13" s="1"/>
  <c r="D930" i="13" s="1"/>
  <c r="D954" i="13" s="1"/>
  <c r="D978" i="13" s="1"/>
  <c r="D1002" i="13" s="1"/>
  <c r="D1026" i="13" s="1"/>
  <c r="D1050" i="13" s="1"/>
  <c r="D1074" i="13" s="1"/>
  <c r="D1098" i="13" s="1"/>
  <c r="D1122" i="13" s="1"/>
  <c r="D1146" i="13" s="1"/>
  <c r="D1170" i="13" s="1"/>
  <c r="E89" i="13"/>
  <c r="E88" i="13"/>
  <c r="E87" i="13"/>
  <c r="D87" i="13"/>
  <c r="D111" i="13" s="1"/>
  <c r="D135" i="13" s="1"/>
  <c r="D159" i="13" s="1"/>
  <c r="D183" i="13" s="1"/>
  <c r="D207" i="13" s="1"/>
  <c r="D231" i="13" s="1"/>
  <c r="D255" i="13" s="1"/>
  <c r="D279" i="13" s="1"/>
  <c r="D303" i="13" s="1"/>
  <c r="D327" i="13" s="1"/>
  <c r="D351" i="13" s="1"/>
  <c r="D375" i="13" s="1"/>
  <c r="D399" i="13" s="1"/>
  <c r="D423" i="13" s="1"/>
  <c r="D447" i="13" s="1"/>
  <c r="D471" i="13" s="1"/>
  <c r="D495" i="13" s="1"/>
  <c r="D519" i="13" s="1"/>
  <c r="D543" i="13" s="1"/>
  <c r="D567" i="13" s="1"/>
  <c r="D591" i="13" s="1"/>
  <c r="D615" i="13" s="1"/>
  <c r="D639" i="13" s="1"/>
  <c r="D663" i="13" s="1"/>
  <c r="D687" i="13" s="1"/>
  <c r="D711" i="13" s="1"/>
  <c r="D735" i="13" s="1"/>
  <c r="D759" i="13" s="1"/>
  <c r="D783" i="13" s="1"/>
  <c r="D807" i="13" s="1"/>
  <c r="D831" i="13" s="1"/>
  <c r="D855" i="13" s="1"/>
  <c r="D879" i="13" s="1"/>
  <c r="D903" i="13" s="1"/>
  <c r="D927" i="13" s="1"/>
  <c r="D951" i="13" s="1"/>
  <c r="D975" i="13" s="1"/>
  <c r="D999" i="13" s="1"/>
  <c r="D1023" i="13" s="1"/>
  <c r="D1047" i="13" s="1"/>
  <c r="D1071" i="13" s="1"/>
  <c r="D1095" i="13" s="1"/>
  <c r="D1119" i="13" s="1"/>
  <c r="D1143" i="13" s="1"/>
  <c r="D1167" i="13" s="1"/>
  <c r="E86" i="13"/>
  <c r="D86" i="13"/>
  <c r="D110" i="13" s="1"/>
  <c r="D134" i="13" s="1"/>
  <c r="D158" i="13" s="1"/>
  <c r="D182" i="13" s="1"/>
  <c r="D206" i="13" s="1"/>
  <c r="D230" i="13" s="1"/>
  <c r="D254" i="13" s="1"/>
  <c r="D278" i="13" s="1"/>
  <c r="D302" i="13" s="1"/>
  <c r="D326" i="13" s="1"/>
  <c r="D350" i="13" s="1"/>
  <c r="D374" i="13" s="1"/>
  <c r="D398" i="13" s="1"/>
  <c r="D422" i="13" s="1"/>
  <c r="D446" i="13" s="1"/>
  <c r="D470" i="13" s="1"/>
  <c r="D494" i="13" s="1"/>
  <c r="D518" i="13" s="1"/>
  <c r="D542" i="13" s="1"/>
  <c r="D566" i="13" s="1"/>
  <c r="D590" i="13" s="1"/>
  <c r="D614" i="13" s="1"/>
  <c r="D638" i="13" s="1"/>
  <c r="D662" i="13" s="1"/>
  <c r="D686" i="13" s="1"/>
  <c r="D710" i="13" s="1"/>
  <c r="D734" i="13" s="1"/>
  <c r="D758" i="13" s="1"/>
  <c r="D782" i="13" s="1"/>
  <c r="D806" i="13" s="1"/>
  <c r="D830" i="13" s="1"/>
  <c r="D854" i="13" s="1"/>
  <c r="D878" i="13" s="1"/>
  <c r="D902" i="13" s="1"/>
  <c r="D926" i="13" s="1"/>
  <c r="D950" i="13" s="1"/>
  <c r="D974" i="13" s="1"/>
  <c r="D998" i="13" s="1"/>
  <c r="D1022" i="13" s="1"/>
  <c r="D1046" i="13" s="1"/>
  <c r="D1070" i="13" s="1"/>
  <c r="D1094" i="13" s="1"/>
  <c r="D1118" i="13" s="1"/>
  <c r="D1142" i="13" s="1"/>
  <c r="D1166" i="13" s="1"/>
  <c r="E85" i="13"/>
  <c r="E84" i="13"/>
  <c r="E83" i="13"/>
  <c r="D83" i="13"/>
  <c r="D107" i="13" s="1"/>
  <c r="D131" i="13" s="1"/>
  <c r="D155" i="13" s="1"/>
  <c r="D179" i="13" s="1"/>
  <c r="D203" i="13" s="1"/>
  <c r="D227" i="13" s="1"/>
  <c r="D251" i="13" s="1"/>
  <c r="D275" i="13" s="1"/>
  <c r="D299" i="13" s="1"/>
  <c r="D323" i="13" s="1"/>
  <c r="D347" i="13" s="1"/>
  <c r="D371" i="13" s="1"/>
  <c r="D395" i="13" s="1"/>
  <c r="D419" i="13" s="1"/>
  <c r="D443" i="13" s="1"/>
  <c r="D467" i="13" s="1"/>
  <c r="D491" i="13" s="1"/>
  <c r="D515" i="13" s="1"/>
  <c r="D539" i="13" s="1"/>
  <c r="D563" i="13" s="1"/>
  <c r="D587" i="13" s="1"/>
  <c r="D611" i="13" s="1"/>
  <c r="D635" i="13" s="1"/>
  <c r="D659" i="13" s="1"/>
  <c r="D683" i="13" s="1"/>
  <c r="D707" i="13" s="1"/>
  <c r="D731" i="13" s="1"/>
  <c r="D755" i="13" s="1"/>
  <c r="D779" i="13" s="1"/>
  <c r="D803" i="13" s="1"/>
  <c r="D827" i="13" s="1"/>
  <c r="D851" i="13" s="1"/>
  <c r="D875" i="13" s="1"/>
  <c r="D899" i="13" s="1"/>
  <c r="D923" i="13" s="1"/>
  <c r="D947" i="13" s="1"/>
  <c r="D971" i="13" s="1"/>
  <c r="D995" i="13" s="1"/>
  <c r="D1019" i="13" s="1"/>
  <c r="D1043" i="13" s="1"/>
  <c r="D1067" i="13" s="1"/>
  <c r="D1091" i="13" s="1"/>
  <c r="D1115" i="13" s="1"/>
  <c r="D1139" i="13" s="1"/>
  <c r="D1163" i="13" s="1"/>
  <c r="E82" i="13"/>
  <c r="D82" i="13"/>
  <c r="D106" i="13" s="1"/>
  <c r="D130" i="13" s="1"/>
  <c r="D154" i="13" s="1"/>
  <c r="D178" i="13" s="1"/>
  <c r="D202" i="13" s="1"/>
  <c r="D226" i="13" s="1"/>
  <c r="D250" i="13" s="1"/>
  <c r="D274" i="13" s="1"/>
  <c r="D298" i="13" s="1"/>
  <c r="D322" i="13" s="1"/>
  <c r="D346" i="13" s="1"/>
  <c r="D370" i="13" s="1"/>
  <c r="D394" i="13" s="1"/>
  <c r="D418" i="13" s="1"/>
  <c r="D442" i="13" s="1"/>
  <c r="D466" i="13" s="1"/>
  <c r="D490" i="13" s="1"/>
  <c r="D514" i="13" s="1"/>
  <c r="D538" i="13" s="1"/>
  <c r="D562" i="13" s="1"/>
  <c r="D586" i="13" s="1"/>
  <c r="D610" i="13" s="1"/>
  <c r="D634" i="13" s="1"/>
  <c r="D658" i="13" s="1"/>
  <c r="D682" i="13" s="1"/>
  <c r="D706" i="13" s="1"/>
  <c r="D730" i="13" s="1"/>
  <c r="D754" i="13" s="1"/>
  <c r="D778" i="13" s="1"/>
  <c r="D802" i="13" s="1"/>
  <c r="D826" i="13" s="1"/>
  <c r="D850" i="13" s="1"/>
  <c r="D874" i="13" s="1"/>
  <c r="D898" i="13" s="1"/>
  <c r="D922" i="13" s="1"/>
  <c r="D946" i="13" s="1"/>
  <c r="D970" i="13" s="1"/>
  <c r="D994" i="13" s="1"/>
  <c r="D1018" i="13" s="1"/>
  <c r="D1042" i="13" s="1"/>
  <c r="D1066" i="13" s="1"/>
  <c r="D1090" i="13" s="1"/>
  <c r="D1114" i="13" s="1"/>
  <c r="D1138" i="13" s="1"/>
  <c r="D1162" i="13" s="1"/>
  <c r="E81" i="13"/>
  <c r="E80" i="13"/>
  <c r="E79" i="13"/>
  <c r="D79" i="13"/>
  <c r="D103" i="13" s="1"/>
  <c r="D127" i="13" s="1"/>
  <c r="D151" i="13" s="1"/>
  <c r="D175" i="13" s="1"/>
  <c r="D199" i="13" s="1"/>
  <c r="D223" i="13" s="1"/>
  <c r="D247" i="13" s="1"/>
  <c r="D271" i="13" s="1"/>
  <c r="D295" i="13" s="1"/>
  <c r="D319" i="13" s="1"/>
  <c r="D343" i="13" s="1"/>
  <c r="D367" i="13" s="1"/>
  <c r="D391" i="13" s="1"/>
  <c r="D415" i="13" s="1"/>
  <c r="D439" i="13" s="1"/>
  <c r="D463" i="13" s="1"/>
  <c r="D487" i="13" s="1"/>
  <c r="D511" i="13" s="1"/>
  <c r="D535" i="13" s="1"/>
  <c r="D559" i="13" s="1"/>
  <c r="D583" i="13" s="1"/>
  <c r="D607" i="13" s="1"/>
  <c r="D631" i="13" s="1"/>
  <c r="D655" i="13" s="1"/>
  <c r="D679" i="13" s="1"/>
  <c r="D703" i="13" s="1"/>
  <c r="D727" i="13" s="1"/>
  <c r="D751" i="13" s="1"/>
  <c r="D775" i="13" s="1"/>
  <c r="D799" i="13" s="1"/>
  <c r="D823" i="13" s="1"/>
  <c r="D847" i="13" s="1"/>
  <c r="D871" i="13" s="1"/>
  <c r="D895" i="13" s="1"/>
  <c r="D919" i="13" s="1"/>
  <c r="D943" i="13" s="1"/>
  <c r="D967" i="13" s="1"/>
  <c r="D991" i="13" s="1"/>
  <c r="D1015" i="13" s="1"/>
  <c r="D1039" i="13" s="1"/>
  <c r="D1063" i="13" s="1"/>
  <c r="D1087" i="13" s="1"/>
  <c r="D1111" i="13" s="1"/>
  <c r="D1135" i="13" s="1"/>
  <c r="D1159" i="13" s="1"/>
  <c r="E78" i="13"/>
  <c r="D78" i="13"/>
  <c r="C78" i="13"/>
  <c r="B78" i="13"/>
  <c r="E77" i="13"/>
  <c r="E76" i="13"/>
  <c r="D76" i="13"/>
  <c r="D100" i="13" s="1"/>
  <c r="D124" i="13" s="1"/>
  <c r="D148" i="13" s="1"/>
  <c r="D172" i="13" s="1"/>
  <c r="D196" i="13" s="1"/>
  <c r="D220" i="13" s="1"/>
  <c r="D244" i="13" s="1"/>
  <c r="D268" i="13" s="1"/>
  <c r="D292" i="13" s="1"/>
  <c r="D316" i="13" s="1"/>
  <c r="D340" i="13" s="1"/>
  <c r="D364" i="13" s="1"/>
  <c r="D388" i="13" s="1"/>
  <c r="D412" i="13" s="1"/>
  <c r="D436" i="13" s="1"/>
  <c r="D460" i="13" s="1"/>
  <c r="D484" i="13" s="1"/>
  <c r="D508" i="13" s="1"/>
  <c r="D532" i="13" s="1"/>
  <c r="D556" i="13" s="1"/>
  <c r="D580" i="13" s="1"/>
  <c r="D604" i="13" s="1"/>
  <c r="D628" i="13" s="1"/>
  <c r="D652" i="13" s="1"/>
  <c r="D676" i="13" s="1"/>
  <c r="D700" i="13" s="1"/>
  <c r="D724" i="13" s="1"/>
  <c r="D748" i="13" s="1"/>
  <c r="D772" i="13" s="1"/>
  <c r="D796" i="13" s="1"/>
  <c r="D820" i="13" s="1"/>
  <c r="D844" i="13" s="1"/>
  <c r="D868" i="13" s="1"/>
  <c r="D892" i="13" s="1"/>
  <c r="D916" i="13" s="1"/>
  <c r="D940" i="13" s="1"/>
  <c r="D964" i="13" s="1"/>
  <c r="D988" i="13" s="1"/>
  <c r="D1012" i="13" s="1"/>
  <c r="D1036" i="13" s="1"/>
  <c r="D1060" i="13" s="1"/>
  <c r="D1084" i="13" s="1"/>
  <c r="D1108" i="13" s="1"/>
  <c r="D1132" i="13" s="1"/>
  <c r="D1156" i="13" s="1"/>
  <c r="D1180" i="13" s="1"/>
  <c r="E75" i="13"/>
  <c r="D75" i="13"/>
  <c r="E74" i="13"/>
  <c r="D74" i="13"/>
  <c r="E73" i="13"/>
  <c r="E72" i="13"/>
  <c r="D72" i="13"/>
  <c r="D96" i="13" s="1"/>
  <c r="D120" i="13" s="1"/>
  <c r="D144" i="13" s="1"/>
  <c r="D168" i="13" s="1"/>
  <c r="D192" i="13" s="1"/>
  <c r="D216" i="13" s="1"/>
  <c r="D240" i="13" s="1"/>
  <c r="D264" i="13" s="1"/>
  <c r="D288" i="13" s="1"/>
  <c r="D312" i="13" s="1"/>
  <c r="D336" i="13" s="1"/>
  <c r="D360" i="13" s="1"/>
  <c r="D384" i="13" s="1"/>
  <c r="D408" i="13" s="1"/>
  <c r="D432" i="13" s="1"/>
  <c r="D456" i="13" s="1"/>
  <c r="D480" i="13" s="1"/>
  <c r="D504" i="13" s="1"/>
  <c r="D528" i="13" s="1"/>
  <c r="D552" i="13" s="1"/>
  <c r="D576" i="13" s="1"/>
  <c r="D600" i="13" s="1"/>
  <c r="D624" i="13" s="1"/>
  <c r="D648" i="13" s="1"/>
  <c r="D672" i="13" s="1"/>
  <c r="D696" i="13" s="1"/>
  <c r="D720" i="13" s="1"/>
  <c r="D744" i="13" s="1"/>
  <c r="D768" i="13" s="1"/>
  <c r="D792" i="13" s="1"/>
  <c r="D816" i="13" s="1"/>
  <c r="D840" i="13" s="1"/>
  <c r="D864" i="13" s="1"/>
  <c r="D888" i="13" s="1"/>
  <c r="D912" i="13" s="1"/>
  <c r="D936" i="13" s="1"/>
  <c r="D960" i="13" s="1"/>
  <c r="D984" i="13" s="1"/>
  <c r="D1008" i="13" s="1"/>
  <c r="D1032" i="13" s="1"/>
  <c r="D1056" i="13" s="1"/>
  <c r="D1080" i="13" s="1"/>
  <c r="D1104" i="13" s="1"/>
  <c r="D1128" i="13" s="1"/>
  <c r="D1152" i="13" s="1"/>
  <c r="D1176" i="13" s="1"/>
  <c r="E71" i="13"/>
  <c r="D71" i="13"/>
  <c r="E70" i="13"/>
  <c r="D70" i="13"/>
  <c r="E69" i="13"/>
  <c r="E68" i="13"/>
  <c r="D68" i="13"/>
  <c r="D92" i="13" s="1"/>
  <c r="D116" i="13" s="1"/>
  <c r="D140" i="13" s="1"/>
  <c r="D164" i="13" s="1"/>
  <c r="D188" i="13" s="1"/>
  <c r="D212" i="13" s="1"/>
  <c r="D236" i="13" s="1"/>
  <c r="D260" i="13" s="1"/>
  <c r="D284" i="13" s="1"/>
  <c r="D308" i="13" s="1"/>
  <c r="D332" i="13" s="1"/>
  <c r="D356" i="13" s="1"/>
  <c r="D380" i="13" s="1"/>
  <c r="D404" i="13" s="1"/>
  <c r="D428" i="13" s="1"/>
  <c r="D452" i="13" s="1"/>
  <c r="D476" i="13" s="1"/>
  <c r="D500" i="13" s="1"/>
  <c r="D524" i="13" s="1"/>
  <c r="D548" i="13" s="1"/>
  <c r="D572" i="13" s="1"/>
  <c r="D596" i="13" s="1"/>
  <c r="D620" i="13" s="1"/>
  <c r="D644" i="13" s="1"/>
  <c r="D668" i="13" s="1"/>
  <c r="D692" i="13" s="1"/>
  <c r="D716" i="13" s="1"/>
  <c r="D740" i="13" s="1"/>
  <c r="D764" i="13" s="1"/>
  <c r="D788" i="13" s="1"/>
  <c r="D812" i="13" s="1"/>
  <c r="D836" i="13" s="1"/>
  <c r="D860" i="13" s="1"/>
  <c r="D884" i="13" s="1"/>
  <c r="D908" i="13" s="1"/>
  <c r="D932" i="13" s="1"/>
  <c r="D956" i="13" s="1"/>
  <c r="D980" i="13" s="1"/>
  <c r="D1004" i="13" s="1"/>
  <c r="D1028" i="13" s="1"/>
  <c r="D1052" i="13" s="1"/>
  <c r="D1076" i="13" s="1"/>
  <c r="D1100" i="13" s="1"/>
  <c r="D1124" i="13" s="1"/>
  <c r="D1148" i="13" s="1"/>
  <c r="D1172" i="13" s="1"/>
  <c r="E67" i="13"/>
  <c r="D67" i="13"/>
  <c r="E66" i="13"/>
  <c r="D66" i="13"/>
  <c r="E65" i="13"/>
  <c r="E64" i="13"/>
  <c r="D64" i="13"/>
  <c r="D88" i="13" s="1"/>
  <c r="D112" i="13" s="1"/>
  <c r="D136" i="13" s="1"/>
  <c r="D160" i="13" s="1"/>
  <c r="D184" i="13" s="1"/>
  <c r="D208" i="13" s="1"/>
  <c r="D232" i="13" s="1"/>
  <c r="D256" i="13" s="1"/>
  <c r="D280" i="13" s="1"/>
  <c r="D304" i="13" s="1"/>
  <c r="D328" i="13" s="1"/>
  <c r="D352" i="13" s="1"/>
  <c r="D376" i="13" s="1"/>
  <c r="D400" i="13" s="1"/>
  <c r="D424" i="13" s="1"/>
  <c r="D448" i="13" s="1"/>
  <c r="D472" i="13" s="1"/>
  <c r="D496" i="13" s="1"/>
  <c r="D520" i="13" s="1"/>
  <c r="D544" i="13" s="1"/>
  <c r="D568" i="13" s="1"/>
  <c r="D592" i="13" s="1"/>
  <c r="D616" i="13" s="1"/>
  <c r="D640" i="13" s="1"/>
  <c r="D664" i="13" s="1"/>
  <c r="D688" i="13" s="1"/>
  <c r="D712" i="13" s="1"/>
  <c r="D736" i="13" s="1"/>
  <c r="D760" i="13" s="1"/>
  <c r="D784" i="13" s="1"/>
  <c r="D808" i="13" s="1"/>
  <c r="D832" i="13" s="1"/>
  <c r="D856" i="13" s="1"/>
  <c r="D880" i="13" s="1"/>
  <c r="D904" i="13" s="1"/>
  <c r="D928" i="13" s="1"/>
  <c r="D952" i="13" s="1"/>
  <c r="D976" i="13" s="1"/>
  <c r="D1000" i="13" s="1"/>
  <c r="D1024" i="13" s="1"/>
  <c r="D1048" i="13" s="1"/>
  <c r="D1072" i="13" s="1"/>
  <c r="D1096" i="13" s="1"/>
  <c r="D1120" i="13" s="1"/>
  <c r="D1144" i="13" s="1"/>
  <c r="D1168" i="13" s="1"/>
  <c r="E63" i="13"/>
  <c r="D63" i="13"/>
  <c r="E62" i="13"/>
  <c r="D62" i="13"/>
  <c r="E61" i="13"/>
  <c r="E60" i="13"/>
  <c r="D60" i="13"/>
  <c r="D84" i="13" s="1"/>
  <c r="D108" i="13" s="1"/>
  <c r="D132" i="13" s="1"/>
  <c r="D156" i="13" s="1"/>
  <c r="D180" i="13" s="1"/>
  <c r="D204" i="13" s="1"/>
  <c r="D228" i="13" s="1"/>
  <c r="D252" i="13" s="1"/>
  <c r="D276" i="13" s="1"/>
  <c r="D300" i="13" s="1"/>
  <c r="D324" i="13" s="1"/>
  <c r="D348" i="13" s="1"/>
  <c r="D372" i="13" s="1"/>
  <c r="D396" i="13" s="1"/>
  <c r="D420" i="13" s="1"/>
  <c r="D444" i="13" s="1"/>
  <c r="D468" i="13" s="1"/>
  <c r="D492" i="13" s="1"/>
  <c r="D516" i="13" s="1"/>
  <c r="D540" i="13" s="1"/>
  <c r="D564" i="13" s="1"/>
  <c r="D588" i="13" s="1"/>
  <c r="D612" i="13" s="1"/>
  <c r="D636" i="13" s="1"/>
  <c r="D660" i="13" s="1"/>
  <c r="D684" i="13" s="1"/>
  <c r="D708" i="13" s="1"/>
  <c r="D732" i="13" s="1"/>
  <c r="D756" i="13" s="1"/>
  <c r="D780" i="13" s="1"/>
  <c r="D804" i="13" s="1"/>
  <c r="D828" i="13" s="1"/>
  <c r="D852" i="13" s="1"/>
  <c r="D876" i="13" s="1"/>
  <c r="D900" i="13" s="1"/>
  <c r="D924" i="13" s="1"/>
  <c r="D948" i="13" s="1"/>
  <c r="D972" i="13" s="1"/>
  <c r="D996" i="13" s="1"/>
  <c r="D1020" i="13" s="1"/>
  <c r="D1044" i="13" s="1"/>
  <c r="D1068" i="13" s="1"/>
  <c r="D1092" i="13" s="1"/>
  <c r="D1116" i="13" s="1"/>
  <c r="D1140" i="13" s="1"/>
  <c r="D1164" i="13" s="1"/>
  <c r="E59" i="13"/>
  <c r="D59" i="13"/>
  <c r="E58" i="13"/>
  <c r="D58" i="13"/>
  <c r="E57" i="13"/>
  <c r="E56" i="13"/>
  <c r="D56" i="13"/>
  <c r="D80" i="13" s="1"/>
  <c r="D104" i="13" s="1"/>
  <c r="D128" i="13" s="1"/>
  <c r="D152" i="13" s="1"/>
  <c r="D176" i="13" s="1"/>
  <c r="D200" i="13" s="1"/>
  <c r="D224" i="13" s="1"/>
  <c r="D248" i="13" s="1"/>
  <c r="D272" i="13" s="1"/>
  <c r="D296" i="13" s="1"/>
  <c r="D320" i="13" s="1"/>
  <c r="D344" i="13" s="1"/>
  <c r="D368" i="13" s="1"/>
  <c r="D392" i="13" s="1"/>
  <c r="D416" i="13" s="1"/>
  <c r="D440" i="13" s="1"/>
  <c r="D464" i="13" s="1"/>
  <c r="D488" i="13" s="1"/>
  <c r="D512" i="13" s="1"/>
  <c r="D536" i="13" s="1"/>
  <c r="D560" i="13" s="1"/>
  <c r="D584" i="13" s="1"/>
  <c r="D608" i="13" s="1"/>
  <c r="D632" i="13" s="1"/>
  <c r="D656" i="13" s="1"/>
  <c r="D680" i="13" s="1"/>
  <c r="D704" i="13" s="1"/>
  <c r="D728" i="13" s="1"/>
  <c r="D752" i="13" s="1"/>
  <c r="D776" i="13" s="1"/>
  <c r="D800" i="13" s="1"/>
  <c r="D824" i="13" s="1"/>
  <c r="D848" i="13" s="1"/>
  <c r="D872" i="13" s="1"/>
  <c r="D896" i="13" s="1"/>
  <c r="D920" i="13" s="1"/>
  <c r="D944" i="13" s="1"/>
  <c r="D968" i="13" s="1"/>
  <c r="D992" i="13" s="1"/>
  <c r="D1016" i="13" s="1"/>
  <c r="D1040" i="13" s="1"/>
  <c r="D1064" i="13" s="1"/>
  <c r="D1088" i="13" s="1"/>
  <c r="D1112" i="13" s="1"/>
  <c r="D1136" i="13" s="1"/>
  <c r="D1160" i="13" s="1"/>
  <c r="E55" i="13"/>
  <c r="D55" i="13"/>
  <c r="E54" i="13"/>
  <c r="D54" i="13"/>
  <c r="C54" i="13"/>
  <c r="B54" i="13"/>
  <c r="E53" i="13"/>
  <c r="D53" i="13"/>
  <c r="D77" i="13" s="1"/>
  <c r="D101" i="13" s="1"/>
  <c r="D125" i="13" s="1"/>
  <c r="D149" i="13" s="1"/>
  <c r="D173" i="13" s="1"/>
  <c r="D197" i="13" s="1"/>
  <c r="D221" i="13" s="1"/>
  <c r="D245" i="13" s="1"/>
  <c r="D269" i="13" s="1"/>
  <c r="D293" i="13" s="1"/>
  <c r="D317" i="13" s="1"/>
  <c r="D341" i="13" s="1"/>
  <c r="D365" i="13" s="1"/>
  <c r="D389" i="13" s="1"/>
  <c r="D413" i="13" s="1"/>
  <c r="D437" i="13" s="1"/>
  <c r="D461" i="13" s="1"/>
  <c r="D485" i="13" s="1"/>
  <c r="D509" i="13" s="1"/>
  <c r="D533" i="13" s="1"/>
  <c r="D557" i="13" s="1"/>
  <c r="D581" i="13" s="1"/>
  <c r="D605" i="13" s="1"/>
  <c r="D629" i="13" s="1"/>
  <c r="D653" i="13" s="1"/>
  <c r="D677" i="13" s="1"/>
  <c r="D701" i="13" s="1"/>
  <c r="D725" i="13" s="1"/>
  <c r="D749" i="13" s="1"/>
  <c r="D773" i="13" s="1"/>
  <c r="D797" i="13" s="1"/>
  <c r="D821" i="13" s="1"/>
  <c r="D845" i="13" s="1"/>
  <c r="D869" i="13" s="1"/>
  <c r="D893" i="13" s="1"/>
  <c r="D917" i="13" s="1"/>
  <c r="D941" i="13" s="1"/>
  <c r="D965" i="13" s="1"/>
  <c r="D989" i="13" s="1"/>
  <c r="D1013" i="13" s="1"/>
  <c r="D1037" i="13" s="1"/>
  <c r="D1061" i="13" s="1"/>
  <c r="D1085" i="13" s="1"/>
  <c r="D1109" i="13" s="1"/>
  <c r="D1133" i="13" s="1"/>
  <c r="D1157" i="13" s="1"/>
  <c r="D1181" i="13" s="1"/>
  <c r="E52" i="13"/>
  <c r="D52" i="13"/>
  <c r="E51" i="13"/>
  <c r="D51" i="13"/>
  <c r="E50" i="13"/>
  <c r="D50" i="13"/>
  <c r="E49" i="13"/>
  <c r="D49" i="13"/>
  <c r="D73" i="13" s="1"/>
  <c r="D97" i="13" s="1"/>
  <c r="D121" i="13" s="1"/>
  <c r="D145" i="13" s="1"/>
  <c r="D169" i="13" s="1"/>
  <c r="D193" i="13" s="1"/>
  <c r="D217" i="13" s="1"/>
  <c r="D241" i="13" s="1"/>
  <c r="D265" i="13" s="1"/>
  <c r="D289" i="13" s="1"/>
  <c r="D313" i="13" s="1"/>
  <c r="D337" i="13" s="1"/>
  <c r="D361" i="13" s="1"/>
  <c r="D385" i="13" s="1"/>
  <c r="D409" i="13" s="1"/>
  <c r="D433" i="13" s="1"/>
  <c r="D457" i="13" s="1"/>
  <c r="D481" i="13" s="1"/>
  <c r="D505" i="13" s="1"/>
  <c r="D529" i="13" s="1"/>
  <c r="D553" i="13" s="1"/>
  <c r="D577" i="13" s="1"/>
  <c r="D601" i="13" s="1"/>
  <c r="D625" i="13" s="1"/>
  <c r="D649" i="13" s="1"/>
  <c r="D673" i="13" s="1"/>
  <c r="D697" i="13" s="1"/>
  <c r="D721" i="13" s="1"/>
  <c r="D745" i="13" s="1"/>
  <c r="D769" i="13" s="1"/>
  <c r="D793" i="13" s="1"/>
  <c r="D817" i="13" s="1"/>
  <c r="D841" i="13" s="1"/>
  <c r="D865" i="13" s="1"/>
  <c r="D889" i="13" s="1"/>
  <c r="D913" i="13" s="1"/>
  <c r="D937" i="13" s="1"/>
  <c r="D961" i="13" s="1"/>
  <c r="D985" i="13" s="1"/>
  <c r="D1009" i="13" s="1"/>
  <c r="D1033" i="13" s="1"/>
  <c r="D1057" i="13" s="1"/>
  <c r="D1081" i="13" s="1"/>
  <c r="D1105" i="13" s="1"/>
  <c r="D1129" i="13" s="1"/>
  <c r="D1153" i="13" s="1"/>
  <c r="D1177" i="13" s="1"/>
  <c r="E48" i="13"/>
  <c r="D48" i="13"/>
  <c r="E47" i="13"/>
  <c r="D47" i="13"/>
  <c r="E46" i="13"/>
  <c r="D46" i="13"/>
  <c r="E45" i="13"/>
  <c r="D45" i="13"/>
  <c r="D69" i="13" s="1"/>
  <c r="D93" i="13" s="1"/>
  <c r="D117" i="13" s="1"/>
  <c r="D141" i="13" s="1"/>
  <c r="D165" i="13" s="1"/>
  <c r="D189" i="13" s="1"/>
  <c r="D213" i="13" s="1"/>
  <c r="D237" i="13" s="1"/>
  <c r="D261" i="13" s="1"/>
  <c r="D285" i="13" s="1"/>
  <c r="D309" i="13" s="1"/>
  <c r="D333" i="13" s="1"/>
  <c r="D357" i="13" s="1"/>
  <c r="D381" i="13" s="1"/>
  <c r="D405" i="13" s="1"/>
  <c r="D429" i="13" s="1"/>
  <c r="D453" i="13" s="1"/>
  <c r="D477" i="13" s="1"/>
  <c r="D501" i="13" s="1"/>
  <c r="D525" i="13" s="1"/>
  <c r="D549" i="13" s="1"/>
  <c r="D573" i="13" s="1"/>
  <c r="D597" i="13" s="1"/>
  <c r="D621" i="13" s="1"/>
  <c r="D645" i="13" s="1"/>
  <c r="D669" i="13" s="1"/>
  <c r="D693" i="13" s="1"/>
  <c r="D717" i="13" s="1"/>
  <c r="D741" i="13" s="1"/>
  <c r="D765" i="13" s="1"/>
  <c r="D789" i="13" s="1"/>
  <c r="D813" i="13" s="1"/>
  <c r="D837" i="13" s="1"/>
  <c r="D861" i="13" s="1"/>
  <c r="D885" i="13" s="1"/>
  <c r="D909" i="13" s="1"/>
  <c r="D933" i="13" s="1"/>
  <c r="D957" i="13" s="1"/>
  <c r="D981" i="13" s="1"/>
  <c r="D1005" i="13" s="1"/>
  <c r="D1029" i="13" s="1"/>
  <c r="D1053" i="13" s="1"/>
  <c r="D1077" i="13" s="1"/>
  <c r="D1101" i="13" s="1"/>
  <c r="D1125" i="13" s="1"/>
  <c r="D1149" i="13" s="1"/>
  <c r="D1173" i="13" s="1"/>
  <c r="E44" i="13"/>
  <c r="D44" i="13"/>
  <c r="E43" i="13"/>
  <c r="D43" i="13"/>
  <c r="E42" i="13"/>
  <c r="D42" i="13"/>
  <c r="E41" i="13"/>
  <c r="D41" i="13"/>
  <c r="D65" i="13" s="1"/>
  <c r="D89" i="13" s="1"/>
  <c r="D113" i="13" s="1"/>
  <c r="D137" i="13" s="1"/>
  <c r="D161" i="13" s="1"/>
  <c r="D185" i="13" s="1"/>
  <c r="D209" i="13" s="1"/>
  <c r="D233" i="13" s="1"/>
  <c r="D257" i="13" s="1"/>
  <c r="D281" i="13" s="1"/>
  <c r="D305" i="13" s="1"/>
  <c r="D329" i="13" s="1"/>
  <c r="D353" i="13" s="1"/>
  <c r="D377" i="13" s="1"/>
  <c r="D401" i="13" s="1"/>
  <c r="D425" i="13" s="1"/>
  <c r="D449" i="13" s="1"/>
  <c r="D473" i="13" s="1"/>
  <c r="D497" i="13" s="1"/>
  <c r="D521" i="13" s="1"/>
  <c r="D545" i="13" s="1"/>
  <c r="D569" i="13" s="1"/>
  <c r="D593" i="13" s="1"/>
  <c r="D617" i="13" s="1"/>
  <c r="D641" i="13" s="1"/>
  <c r="D665" i="13" s="1"/>
  <c r="D689" i="13" s="1"/>
  <c r="D713" i="13" s="1"/>
  <c r="D737" i="13" s="1"/>
  <c r="D761" i="13" s="1"/>
  <c r="D785" i="13" s="1"/>
  <c r="D809" i="13" s="1"/>
  <c r="D833" i="13" s="1"/>
  <c r="D857" i="13" s="1"/>
  <c r="D881" i="13" s="1"/>
  <c r="D905" i="13" s="1"/>
  <c r="D929" i="13" s="1"/>
  <c r="D953" i="13" s="1"/>
  <c r="D977" i="13" s="1"/>
  <c r="D1001" i="13" s="1"/>
  <c r="D1025" i="13" s="1"/>
  <c r="D1049" i="13" s="1"/>
  <c r="D1073" i="13" s="1"/>
  <c r="D1097" i="13" s="1"/>
  <c r="D1121" i="13" s="1"/>
  <c r="D1145" i="13" s="1"/>
  <c r="D1169" i="13" s="1"/>
  <c r="E40" i="13"/>
  <c r="D40" i="13"/>
  <c r="E39" i="13"/>
  <c r="D39" i="13"/>
  <c r="E38" i="13"/>
  <c r="D38" i="13"/>
  <c r="E37" i="13"/>
  <c r="D37" i="13"/>
  <c r="D61" i="13" s="1"/>
  <c r="D85" i="13" s="1"/>
  <c r="D109" i="13" s="1"/>
  <c r="D133" i="13" s="1"/>
  <c r="D157" i="13" s="1"/>
  <c r="D181" i="13" s="1"/>
  <c r="D205" i="13" s="1"/>
  <c r="D229" i="13" s="1"/>
  <c r="D253" i="13" s="1"/>
  <c r="D277" i="13" s="1"/>
  <c r="D301" i="13" s="1"/>
  <c r="D325" i="13" s="1"/>
  <c r="D349" i="13" s="1"/>
  <c r="D373" i="13" s="1"/>
  <c r="D397" i="13" s="1"/>
  <c r="D421" i="13" s="1"/>
  <c r="D445" i="13" s="1"/>
  <c r="D469" i="13" s="1"/>
  <c r="D493" i="13" s="1"/>
  <c r="D517" i="13" s="1"/>
  <c r="D541" i="13" s="1"/>
  <c r="D565" i="13" s="1"/>
  <c r="D589" i="13" s="1"/>
  <c r="D613" i="13" s="1"/>
  <c r="D637" i="13" s="1"/>
  <c r="D661" i="13" s="1"/>
  <c r="D685" i="13" s="1"/>
  <c r="D709" i="13" s="1"/>
  <c r="D733" i="13" s="1"/>
  <c r="D757" i="13" s="1"/>
  <c r="D781" i="13" s="1"/>
  <c r="D805" i="13" s="1"/>
  <c r="D829" i="13" s="1"/>
  <c r="D853" i="13" s="1"/>
  <c r="D877" i="13" s="1"/>
  <c r="D901" i="13" s="1"/>
  <c r="D925" i="13" s="1"/>
  <c r="D949" i="13" s="1"/>
  <c r="D973" i="13" s="1"/>
  <c r="D997" i="13" s="1"/>
  <c r="D1021" i="13" s="1"/>
  <c r="D1045" i="13" s="1"/>
  <c r="D1069" i="13" s="1"/>
  <c r="D1093" i="13" s="1"/>
  <c r="D1117" i="13" s="1"/>
  <c r="D1141" i="13" s="1"/>
  <c r="D1165" i="13" s="1"/>
  <c r="E36" i="13"/>
  <c r="D36" i="13"/>
  <c r="E35" i="13"/>
  <c r="D35" i="13"/>
  <c r="E34" i="13"/>
  <c r="D34" i="13"/>
  <c r="E33" i="13"/>
  <c r="D33" i="13"/>
  <c r="D57" i="13" s="1"/>
  <c r="D81" i="13" s="1"/>
  <c r="D105" i="13" s="1"/>
  <c r="D129" i="13" s="1"/>
  <c r="D153" i="13" s="1"/>
  <c r="D177" i="13" s="1"/>
  <c r="D201" i="13" s="1"/>
  <c r="D225" i="13" s="1"/>
  <c r="D249" i="13" s="1"/>
  <c r="D273" i="13" s="1"/>
  <c r="D297" i="13" s="1"/>
  <c r="D321" i="13" s="1"/>
  <c r="D345" i="13" s="1"/>
  <c r="D369" i="13" s="1"/>
  <c r="D393" i="13" s="1"/>
  <c r="D417" i="13" s="1"/>
  <c r="D441" i="13" s="1"/>
  <c r="D465" i="13" s="1"/>
  <c r="D489" i="13" s="1"/>
  <c r="D513" i="13" s="1"/>
  <c r="D537" i="13" s="1"/>
  <c r="D561" i="13" s="1"/>
  <c r="D585" i="13" s="1"/>
  <c r="D609" i="13" s="1"/>
  <c r="D633" i="13" s="1"/>
  <c r="D657" i="13" s="1"/>
  <c r="D681" i="13" s="1"/>
  <c r="D705" i="13" s="1"/>
  <c r="D729" i="13" s="1"/>
  <c r="D753" i="13" s="1"/>
  <c r="D777" i="13" s="1"/>
  <c r="D801" i="13" s="1"/>
  <c r="D825" i="13" s="1"/>
  <c r="D849" i="13" s="1"/>
  <c r="D873" i="13" s="1"/>
  <c r="D897" i="13" s="1"/>
  <c r="D921" i="13" s="1"/>
  <c r="D945" i="13" s="1"/>
  <c r="D969" i="13" s="1"/>
  <c r="D993" i="13" s="1"/>
  <c r="D1017" i="13" s="1"/>
  <c r="D1041" i="13" s="1"/>
  <c r="D1065" i="13" s="1"/>
  <c r="D1089" i="13" s="1"/>
  <c r="D1113" i="13" s="1"/>
  <c r="D1137" i="13" s="1"/>
  <c r="D1161" i="13" s="1"/>
  <c r="E32" i="13"/>
  <c r="D32" i="13"/>
  <c r="E31" i="13"/>
  <c r="D31" i="13"/>
  <c r="E30" i="13"/>
  <c r="D30" i="13"/>
  <c r="C30" i="13"/>
  <c r="B30" i="13"/>
  <c r="E1181" i="14"/>
  <c r="E1180" i="14"/>
  <c r="E1179" i="14"/>
  <c r="E1178" i="14"/>
  <c r="E1177" i="14"/>
  <c r="E1176" i="14"/>
  <c r="E1175" i="14"/>
  <c r="E1174" i="14"/>
  <c r="E1173" i="14"/>
  <c r="E1172" i="14"/>
  <c r="E1171" i="14"/>
  <c r="E1170" i="14"/>
  <c r="E1169" i="14"/>
  <c r="E1168" i="14"/>
  <c r="E1167" i="14"/>
  <c r="E1166" i="14"/>
  <c r="E1165" i="14"/>
  <c r="E1164" i="14"/>
  <c r="E1163" i="14"/>
  <c r="E1162" i="14"/>
  <c r="E1161" i="14"/>
  <c r="E1160" i="14"/>
  <c r="E1159" i="14"/>
  <c r="E1158" i="14"/>
  <c r="C1158" i="14"/>
  <c r="E1157" i="14"/>
  <c r="E1156" i="14"/>
  <c r="E1155" i="14"/>
  <c r="E1154" i="14"/>
  <c r="E1153" i="14"/>
  <c r="E1152" i="14"/>
  <c r="E1151" i="14"/>
  <c r="E1150" i="14"/>
  <c r="E1149" i="14"/>
  <c r="E1148" i="14"/>
  <c r="E1147" i="14"/>
  <c r="E1146" i="14"/>
  <c r="E1145" i="14"/>
  <c r="E1144" i="14"/>
  <c r="E1143" i="14"/>
  <c r="E1142" i="14"/>
  <c r="E1141" i="14"/>
  <c r="E1140" i="14"/>
  <c r="E1139" i="14"/>
  <c r="E1138" i="14"/>
  <c r="E1137" i="14"/>
  <c r="E1136" i="14"/>
  <c r="E1135" i="14"/>
  <c r="E1134" i="14"/>
  <c r="C1134" i="14"/>
  <c r="B1134" i="14"/>
  <c r="E1133" i="14"/>
  <c r="E1132" i="14"/>
  <c r="E1131" i="14"/>
  <c r="E1130" i="14"/>
  <c r="E1129" i="14"/>
  <c r="E1128" i="14"/>
  <c r="E1127" i="14"/>
  <c r="E1126" i="14"/>
  <c r="E1125" i="14"/>
  <c r="E1124" i="14"/>
  <c r="E1123" i="14"/>
  <c r="E1122" i="14"/>
  <c r="E1121" i="14"/>
  <c r="E1120" i="14"/>
  <c r="E1119" i="14"/>
  <c r="E1118" i="14"/>
  <c r="E1117" i="14"/>
  <c r="E1116" i="14"/>
  <c r="E1115" i="14"/>
  <c r="E1114" i="14"/>
  <c r="E1113" i="14"/>
  <c r="E1112" i="14"/>
  <c r="E1111" i="14"/>
  <c r="E1110" i="14"/>
  <c r="C1110" i="14"/>
  <c r="B1110" i="14"/>
  <c r="E1109" i="14"/>
  <c r="E1108" i="14"/>
  <c r="E1107" i="14"/>
  <c r="E1106" i="14"/>
  <c r="E1105" i="14"/>
  <c r="E1104" i="14"/>
  <c r="E1103" i="14"/>
  <c r="E1102" i="14"/>
  <c r="E1101" i="14"/>
  <c r="E1100" i="14"/>
  <c r="E1099" i="14"/>
  <c r="E1098" i="14"/>
  <c r="E1097" i="14"/>
  <c r="E1096" i="14"/>
  <c r="E1095" i="14"/>
  <c r="E1094" i="14"/>
  <c r="E1093" i="14"/>
  <c r="E1092" i="14"/>
  <c r="E1091" i="14"/>
  <c r="E1090" i="14"/>
  <c r="E1089" i="14"/>
  <c r="E1088" i="14"/>
  <c r="E1087" i="14"/>
  <c r="E1086" i="14"/>
  <c r="C1086" i="14"/>
  <c r="B1086" i="14"/>
  <c r="E1085" i="14"/>
  <c r="E1084" i="14"/>
  <c r="E1083" i="14"/>
  <c r="E1082" i="14"/>
  <c r="E1081" i="14"/>
  <c r="E1080" i="14"/>
  <c r="E1079" i="14"/>
  <c r="E1078" i="14"/>
  <c r="E1077" i="14"/>
  <c r="E1076" i="14"/>
  <c r="E1075" i="14"/>
  <c r="E1074" i="14"/>
  <c r="E1073" i="14"/>
  <c r="E1072" i="14"/>
  <c r="E1071" i="14"/>
  <c r="E1070" i="14"/>
  <c r="E1069" i="14"/>
  <c r="E1068" i="14"/>
  <c r="E1067" i="14"/>
  <c r="E1066" i="14"/>
  <c r="E1065" i="14"/>
  <c r="E1064" i="14"/>
  <c r="E1063" i="14"/>
  <c r="E1062" i="14"/>
  <c r="C1062" i="14"/>
  <c r="B1062" i="14"/>
  <c r="E1061" i="14"/>
  <c r="E1060" i="14"/>
  <c r="E1059" i="14"/>
  <c r="E1058" i="14"/>
  <c r="E1057" i="14"/>
  <c r="E1056" i="14"/>
  <c r="E1055" i="14"/>
  <c r="E1054" i="14"/>
  <c r="E1053" i="14"/>
  <c r="E1052" i="14"/>
  <c r="E1051" i="14"/>
  <c r="E1050" i="14"/>
  <c r="E1049" i="14"/>
  <c r="E1048" i="14"/>
  <c r="E1047" i="14"/>
  <c r="E1046" i="14"/>
  <c r="E1045" i="14"/>
  <c r="E1044" i="14"/>
  <c r="E1043" i="14"/>
  <c r="E1042" i="14"/>
  <c r="E1041" i="14"/>
  <c r="E1040" i="14"/>
  <c r="E1039" i="14"/>
  <c r="E1038" i="14"/>
  <c r="C1038" i="14"/>
  <c r="B1038" i="14"/>
  <c r="E1037" i="14"/>
  <c r="E1036" i="14"/>
  <c r="E1035" i="14"/>
  <c r="E1034" i="14"/>
  <c r="E1033" i="14"/>
  <c r="E1032" i="14"/>
  <c r="E1031" i="14"/>
  <c r="E1030" i="14"/>
  <c r="E1029" i="14"/>
  <c r="E1028" i="14"/>
  <c r="E1027" i="14"/>
  <c r="E1026" i="14"/>
  <c r="E1025" i="14"/>
  <c r="E1024" i="14"/>
  <c r="E1023" i="14"/>
  <c r="E1022" i="14"/>
  <c r="E1021" i="14"/>
  <c r="E1020" i="14"/>
  <c r="E1019" i="14"/>
  <c r="E1018" i="14"/>
  <c r="E1017" i="14"/>
  <c r="E1016" i="14"/>
  <c r="E1015" i="14"/>
  <c r="E1014" i="14"/>
  <c r="C1014" i="14"/>
  <c r="B1014" i="14"/>
  <c r="E1013" i="14"/>
  <c r="E1012" i="14"/>
  <c r="E1011" i="14"/>
  <c r="E1010" i="14"/>
  <c r="E1009" i="14"/>
  <c r="E1008" i="14"/>
  <c r="E1007" i="14"/>
  <c r="E1006" i="14"/>
  <c r="E1005" i="14"/>
  <c r="E1004" i="14"/>
  <c r="E1003" i="14"/>
  <c r="E1002" i="14"/>
  <c r="E1001" i="14"/>
  <c r="E1000" i="14"/>
  <c r="E999" i="14"/>
  <c r="E998" i="14"/>
  <c r="E997" i="14"/>
  <c r="E996" i="14"/>
  <c r="E995" i="14"/>
  <c r="E994" i="14"/>
  <c r="E993" i="14"/>
  <c r="E992" i="14"/>
  <c r="E991" i="14"/>
  <c r="E990" i="14"/>
  <c r="C990" i="14"/>
  <c r="B990" i="14"/>
  <c r="E989" i="14"/>
  <c r="E988" i="14"/>
  <c r="E987" i="14"/>
  <c r="E986" i="14"/>
  <c r="E985" i="14"/>
  <c r="E984" i="14"/>
  <c r="E983" i="14"/>
  <c r="E982" i="14"/>
  <c r="E981" i="14"/>
  <c r="E980" i="14"/>
  <c r="E979" i="14"/>
  <c r="E978" i="14"/>
  <c r="E977" i="14"/>
  <c r="E976" i="14"/>
  <c r="E975" i="14"/>
  <c r="E974" i="14"/>
  <c r="E973" i="14"/>
  <c r="E972" i="14"/>
  <c r="E971" i="14"/>
  <c r="E970" i="14"/>
  <c r="E969" i="14"/>
  <c r="E968" i="14"/>
  <c r="E967" i="14"/>
  <c r="E966" i="14"/>
  <c r="C966" i="14"/>
  <c r="B966" i="14"/>
  <c r="E965" i="14"/>
  <c r="E964" i="14"/>
  <c r="E963" i="14"/>
  <c r="E962" i="14"/>
  <c r="E961" i="14"/>
  <c r="E960" i="14"/>
  <c r="E959" i="14"/>
  <c r="E958" i="14"/>
  <c r="E957" i="14"/>
  <c r="E956" i="14"/>
  <c r="E955" i="14"/>
  <c r="E954" i="14"/>
  <c r="E953" i="14"/>
  <c r="E952" i="14"/>
  <c r="E951" i="14"/>
  <c r="E950" i="14"/>
  <c r="E949" i="14"/>
  <c r="E948" i="14"/>
  <c r="E947" i="14"/>
  <c r="E946" i="14"/>
  <c r="E945" i="14"/>
  <c r="E944" i="14"/>
  <c r="E943" i="14"/>
  <c r="E942" i="14"/>
  <c r="C942" i="14"/>
  <c r="B942" i="14"/>
  <c r="E941" i="14"/>
  <c r="E940" i="14"/>
  <c r="E939" i="14"/>
  <c r="E938" i="14"/>
  <c r="E937" i="14"/>
  <c r="E936" i="14"/>
  <c r="E935" i="14"/>
  <c r="E934" i="14"/>
  <c r="E933" i="14"/>
  <c r="E932" i="14"/>
  <c r="E931" i="14"/>
  <c r="E930" i="14"/>
  <c r="E929" i="14"/>
  <c r="E928" i="14"/>
  <c r="E927" i="14"/>
  <c r="E926" i="14"/>
  <c r="E925" i="14"/>
  <c r="E924" i="14"/>
  <c r="E923" i="14"/>
  <c r="E922" i="14"/>
  <c r="E921" i="14"/>
  <c r="E920" i="14"/>
  <c r="E919" i="14"/>
  <c r="E918" i="14"/>
  <c r="C918" i="14"/>
  <c r="B918" i="14"/>
  <c r="E917" i="14"/>
  <c r="E916" i="14"/>
  <c r="E915" i="14"/>
  <c r="E914" i="14"/>
  <c r="E913" i="14"/>
  <c r="E912" i="14"/>
  <c r="E911" i="14"/>
  <c r="E910" i="14"/>
  <c r="E909" i="14"/>
  <c r="E908" i="14"/>
  <c r="E907" i="14"/>
  <c r="E906" i="14"/>
  <c r="E905" i="14"/>
  <c r="E904" i="14"/>
  <c r="E903" i="14"/>
  <c r="E902" i="14"/>
  <c r="E901" i="14"/>
  <c r="E900" i="14"/>
  <c r="E899" i="14"/>
  <c r="E898" i="14"/>
  <c r="E897" i="14"/>
  <c r="E896" i="14"/>
  <c r="E895" i="14"/>
  <c r="E894" i="14"/>
  <c r="C894" i="14"/>
  <c r="B894" i="14"/>
  <c r="E893" i="14"/>
  <c r="E892" i="14"/>
  <c r="E891" i="14"/>
  <c r="E890" i="14"/>
  <c r="E889" i="14"/>
  <c r="E888" i="14"/>
  <c r="E887" i="14"/>
  <c r="E886" i="14"/>
  <c r="E885" i="14"/>
  <c r="E884" i="14"/>
  <c r="E883" i="14"/>
  <c r="E882" i="14"/>
  <c r="E881" i="14"/>
  <c r="E880" i="14"/>
  <c r="E879" i="14"/>
  <c r="E878" i="14"/>
  <c r="E877" i="14"/>
  <c r="E876" i="14"/>
  <c r="E875" i="14"/>
  <c r="E874" i="14"/>
  <c r="E873" i="14"/>
  <c r="E872" i="14"/>
  <c r="E871" i="14"/>
  <c r="E870" i="14"/>
  <c r="C870" i="14"/>
  <c r="B870" i="14"/>
  <c r="E869" i="14"/>
  <c r="E868" i="14"/>
  <c r="E867" i="14"/>
  <c r="E866" i="14"/>
  <c r="E865" i="14"/>
  <c r="E864" i="14"/>
  <c r="E863" i="14"/>
  <c r="E862" i="14"/>
  <c r="E861" i="14"/>
  <c r="E860" i="14"/>
  <c r="E859" i="14"/>
  <c r="E858" i="14"/>
  <c r="E857" i="14"/>
  <c r="E856" i="14"/>
  <c r="E855" i="14"/>
  <c r="E854" i="14"/>
  <c r="E853" i="14"/>
  <c r="E852" i="14"/>
  <c r="E851" i="14"/>
  <c r="E850" i="14"/>
  <c r="E849" i="14"/>
  <c r="E848" i="14"/>
  <c r="E847" i="14"/>
  <c r="E846" i="14"/>
  <c r="C846" i="14"/>
  <c r="B846" i="14"/>
  <c r="E845" i="14"/>
  <c r="E844" i="14"/>
  <c r="E843" i="14"/>
  <c r="E842" i="14"/>
  <c r="E841" i="14"/>
  <c r="E840" i="14"/>
  <c r="E839" i="14"/>
  <c r="E838" i="14"/>
  <c r="E837" i="14"/>
  <c r="E836" i="14"/>
  <c r="E835" i="14"/>
  <c r="E834" i="14"/>
  <c r="E833" i="14"/>
  <c r="E832" i="14"/>
  <c r="E831" i="14"/>
  <c r="E830" i="14"/>
  <c r="E829" i="14"/>
  <c r="E828" i="14"/>
  <c r="E827" i="14"/>
  <c r="E826" i="14"/>
  <c r="E825" i="14"/>
  <c r="E824" i="14"/>
  <c r="E823" i="14"/>
  <c r="E822" i="14"/>
  <c r="C822" i="14"/>
  <c r="B822" i="14"/>
  <c r="E821" i="14"/>
  <c r="E820" i="14"/>
  <c r="E819" i="14"/>
  <c r="E818" i="14"/>
  <c r="E817" i="14"/>
  <c r="E816" i="14"/>
  <c r="E815" i="14"/>
  <c r="E814" i="14"/>
  <c r="E813" i="14"/>
  <c r="E812" i="14"/>
  <c r="E811" i="14"/>
  <c r="E810" i="14"/>
  <c r="E809" i="14"/>
  <c r="E808" i="14"/>
  <c r="E807" i="14"/>
  <c r="E806" i="14"/>
  <c r="E805" i="14"/>
  <c r="E804" i="14"/>
  <c r="E803" i="14"/>
  <c r="E802" i="14"/>
  <c r="E801" i="14"/>
  <c r="E800" i="14"/>
  <c r="E799" i="14"/>
  <c r="E798" i="14"/>
  <c r="C798" i="14"/>
  <c r="B798" i="14"/>
  <c r="E797" i="14"/>
  <c r="E796" i="14"/>
  <c r="E795" i="14"/>
  <c r="E794" i="14"/>
  <c r="E793" i="14"/>
  <c r="E792" i="14"/>
  <c r="E791" i="14"/>
  <c r="E790" i="14"/>
  <c r="E789" i="14"/>
  <c r="E788" i="14"/>
  <c r="E787" i="14"/>
  <c r="E786" i="14"/>
  <c r="E785" i="14"/>
  <c r="E784" i="14"/>
  <c r="E783" i="14"/>
  <c r="E782" i="14"/>
  <c r="E781" i="14"/>
  <c r="E780" i="14"/>
  <c r="E779" i="14"/>
  <c r="E778" i="14"/>
  <c r="E777" i="14"/>
  <c r="E776" i="14"/>
  <c r="E775" i="14"/>
  <c r="E774" i="14"/>
  <c r="C774" i="14"/>
  <c r="B774" i="14"/>
  <c r="E773" i="14"/>
  <c r="E772" i="14"/>
  <c r="E771" i="14"/>
  <c r="E770" i="14"/>
  <c r="E769" i="14"/>
  <c r="E768" i="14"/>
  <c r="E767" i="14"/>
  <c r="E766" i="14"/>
  <c r="E765" i="14"/>
  <c r="E764" i="14"/>
  <c r="E763" i="14"/>
  <c r="E762" i="14"/>
  <c r="E761" i="14"/>
  <c r="E760" i="14"/>
  <c r="E759" i="14"/>
  <c r="E758" i="14"/>
  <c r="E757" i="14"/>
  <c r="E756" i="14"/>
  <c r="E755" i="14"/>
  <c r="E754" i="14"/>
  <c r="E753" i="14"/>
  <c r="E752" i="14"/>
  <c r="E751" i="14"/>
  <c r="E750" i="14"/>
  <c r="C750" i="14"/>
  <c r="B750" i="14"/>
  <c r="E749" i="14"/>
  <c r="E748" i="14"/>
  <c r="E747" i="14"/>
  <c r="E746" i="14"/>
  <c r="E745" i="14"/>
  <c r="E744" i="14"/>
  <c r="E743" i="14"/>
  <c r="E742" i="14"/>
  <c r="E741" i="14"/>
  <c r="E740" i="14"/>
  <c r="E739" i="14"/>
  <c r="E738" i="14"/>
  <c r="E737" i="14"/>
  <c r="E736" i="14"/>
  <c r="E735" i="14"/>
  <c r="E734" i="14"/>
  <c r="E733" i="14"/>
  <c r="E732" i="14"/>
  <c r="E731" i="14"/>
  <c r="E730" i="14"/>
  <c r="E729" i="14"/>
  <c r="E728" i="14"/>
  <c r="E727" i="14"/>
  <c r="E726" i="14"/>
  <c r="C726" i="14"/>
  <c r="B726" i="14"/>
  <c r="E725" i="14"/>
  <c r="E724" i="14"/>
  <c r="E723" i="14"/>
  <c r="E722" i="14"/>
  <c r="E721" i="14"/>
  <c r="E720" i="14"/>
  <c r="E719" i="14"/>
  <c r="E718" i="14"/>
  <c r="E717" i="14"/>
  <c r="E716" i="14"/>
  <c r="E715" i="14"/>
  <c r="E714" i="14"/>
  <c r="E713" i="14"/>
  <c r="E712" i="14"/>
  <c r="E711" i="14"/>
  <c r="E710" i="14"/>
  <c r="E709" i="14"/>
  <c r="E708" i="14"/>
  <c r="E707" i="14"/>
  <c r="E706" i="14"/>
  <c r="E705" i="14"/>
  <c r="E704" i="14"/>
  <c r="E703" i="14"/>
  <c r="E702" i="14"/>
  <c r="C702" i="14"/>
  <c r="B702" i="14"/>
  <c r="E701" i="14"/>
  <c r="E700" i="14"/>
  <c r="E699" i="14"/>
  <c r="E698" i="14"/>
  <c r="E697" i="14"/>
  <c r="E696" i="14"/>
  <c r="E695" i="14"/>
  <c r="E694" i="14"/>
  <c r="E693" i="14"/>
  <c r="E692" i="14"/>
  <c r="E691" i="14"/>
  <c r="E690" i="14"/>
  <c r="E689" i="14"/>
  <c r="E688" i="14"/>
  <c r="E687" i="14"/>
  <c r="E686" i="14"/>
  <c r="E685" i="14"/>
  <c r="E684" i="14"/>
  <c r="E683" i="14"/>
  <c r="E682" i="14"/>
  <c r="E681" i="14"/>
  <c r="E680" i="14"/>
  <c r="E679" i="14"/>
  <c r="E678" i="14"/>
  <c r="C678" i="14"/>
  <c r="B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C654" i="14"/>
  <c r="B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C630" i="14"/>
  <c r="B630" i="14"/>
  <c r="E629" i="14"/>
  <c r="E628" i="14"/>
  <c r="E627" i="14"/>
  <c r="E626" i="14"/>
  <c r="E625" i="14"/>
  <c r="E624" i="14"/>
  <c r="E623" i="14"/>
  <c r="E622" i="14"/>
  <c r="E621" i="14"/>
  <c r="E620" i="14"/>
  <c r="E619" i="14"/>
  <c r="E618" i="14"/>
  <c r="E617" i="14"/>
  <c r="E616" i="14"/>
  <c r="E615" i="14"/>
  <c r="E614" i="14"/>
  <c r="E613" i="14"/>
  <c r="E612" i="14"/>
  <c r="E611" i="14"/>
  <c r="E610" i="14"/>
  <c r="E609" i="14"/>
  <c r="E608" i="14"/>
  <c r="E607" i="14"/>
  <c r="E606" i="14"/>
  <c r="C606" i="14"/>
  <c r="B606" i="14"/>
  <c r="E605" i="14"/>
  <c r="E604" i="14"/>
  <c r="E603" i="14"/>
  <c r="E602" i="14"/>
  <c r="E601" i="14"/>
  <c r="E600" i="14"/>
  <c r="E599" i="14"/>
  <c r="E598" i="14"/>
  <c r="E597" i="14"/>
  <c r="E596" i="14"/>
  <c r="E595" i="14"/>
  <c r="E594" i="14"/>
  <c r="E593" i="14"/>
  <c r="E592" i="14"/>
  <c r="E591" i="14"/>
  <c r="E590" i="14"/>
  <c r="E589" i="14"/>
  <c r="E588" i="14"/>
  <c r="E587" i="14"/>
  <c r="E586" i="14"/>
  <c r="E585" i="14"/>
  <c r="E584" i="14"/>
  <c r="E583" i="14"/>
  <c r="E582" i="14"/>
  <c r="C582" i="14"/>
  <c r="B582" i="14"/>
  <c r="E581" i="14"/>
  <c r="E580" i="14"/>
  <c r="E579" i="14"/>
  <c r="E578" i="14"/>
  <c r="E577" i="14"/>
  <c r="E576" i="14"/>
  <c r="E575" i="14"/>
  <c r="E574" i="14"/>
  <c r="E573" i="14"/>
  <c r="E572" i="14"/>
  <c r="E571" i="14"/>
  <c r="E570" i="14"/>
  <c r="E569" i="14"/>
  <c r="E568" i="14"/>
  <c r="E567" i="14"/>
  <c r="E566" i="14"/>
  <c r="E565" i="14"/>
  <c r="E564" i="14"/>
  <c r="E563" i="14"/>
  <c r="E562" i="14"/>
  <c r="E561" i="14"/>
  <c r="E560" i="14"/>
  <c r="E559" i="14"/>
  <c r="E558" i="14"/>
  <c r="C558" i="14"/>
  <c r="B558" i="14"/>
  <c r="E557" i="14"/>
  <c r="E556" i="14"/>
  <c r="E555" i="14"/>
  <c r="E554" i="14"/>
  <c r="E553" i="14"/>
  <c r="E552" i="14"/>
  <c r="E551" i="14"/>
  <c r="E550" i="14"/>
  <c r="E549" i="14"/>
  <c r="E548" i="14"/>
  <c r="E547" i="14"/>
  <c r="E546" i="14"/>
  <c r="E545" i="14"/>
  <c r="E544" i="14"/>
  <c r="E543" i="14"/>
  <c r="E542" i="14"/>
  <c r="E541" i="14"/>
  <c r="E540" i="14"/>
  <c r="E539" i="14"/>
  <c r="E538" i="14"/>
  <c r="E537" i="14"/>
  <c r="E536" i="14"/>
  <c r="E535" i="14"/>
  <c r="E534" i="14"/>
  <c r="C534" i="14"/>
  <c r="B534" i="14"/>
  <c r="E533" i="14"/>
  <c r="E532" i="14"/>
  <c r="E531" i="14"/>
  <c r="E530" i="14"/>
  <c r="E529" i="14"/>
  <c r="E528" i="14"/>
  <c r="E527" i="14"/>
  <c r="E526" i="14"/>
  <c r="E525" i="14"/>
  <c r="E524" i="14"/>
  <c r="E523" i="14"/>
  <c r="E522" i="14"/>
  <c r="E521" i="14"/>
  <c r="E520" i="14"/>
  <c r="E519" i="14"/>
  <c r="E518" i="14"/>
  <c r="E517" i="14"/>
  <c r="E516" i="14"/>
  <c r="E515" i="14"/>
  <c r="E514" i="14"/>
  <c r="E513" i="14"/>
  <c r="E512" i="14"/>
  <c r="E511" i="14"/>
  <c r="E510" i="14"/>
  <c r="C510" i="14"/>
  <c r="B510" i="14"/>
  <c r="E509" i="14"/>
  <c r="E508" i="14"/>
  <c r="E507" i="14"/>
  <c r="E506" i="14"/>
  <c r="E505" i="14"/>
  <c r="E504" i="14"/>
  <c r="E503" i="14"/>
  <c r="E502" i="14"/>
  <c r="E501" i="14"/>
  <c r="E500" i="14"/>
  <c r="E499" i="14"/>
  <c r="E498" i="14"/>
  <c r="E497" i="14"/>
  <c r="E496" i="14"/>
  <c r="E495" i="14"/>
  <c r="E494" i="14"/>
  <c r="E493" i="14"/>
  <c r="E492" i="14"/>
  <c r="E491" i="14"/>
  <c r="E490" i="14"/>
  <c r="E489" i="14"/>
  <c r="E488" i="14"/>
  <c r="E487" i="14"/>
  <c r="E486" i="14"/>
  <c r="C486" i="14"/>
  <c r="B486" i="14"/>
  <c r="E485" i="14"/>
  <c r="E484" i="14"/>
  <c r="E483" i="14"/>
  <c r="E482" i="14"/>
  <c r="E481" i="14"/>
  <c r="E480" i="14"/>
  <c r="E479" i="14"/>
  <c r="E478" i="14"/>
  <c r="E477" i="14"/>
  <c r="E476" i="14"/>
  <c r="E475" i="14"/>
  <c r="E474" i="14"/>
  <c r="E473" i="14"/>
  <c r="E472" i="14"/>
  <c r="E471" i="14"/>
  <c r="E470" i="14"/>
  <c r="E469" i="14"/>
  <c r="E468" i="14"/>
  <c r="E467" i="14"/>
  <c r="E466" i="14"/>
  <c r="E465" i="14"/>
  <c r="E464" i="14"/>
  <c r="E463" i="14"/>
  <c r="E462" i="14"/>
  <c r="C462" i="14"/>
  <c r="B462" i="14"/>
  <c r="E461" i="14"/>
  <c r="E460" i="14"/>
  <c r="E459" i="14"/>
  <c r="E458" i="14"/>
  <c r="E457" i="14"/>
  <c r="E456" i="14"/>
  <c r="E455" i="14"/>
  <c r="E454" i="14"/>
  <c r="E453" i="14"/>
  <c r="E452" i="14"/>
  <c r="E451" i="14"/>
  <c r="E450" i="14"/>
  <c r="E449" i="14"/>
  <c r="E448" i="14"/>
  <c r="E447" i="14"/>
  <c r="E446" i="14"/>
  <c r="E445" i="14"/>
  <c r="E444" i="14"/>
  <c r="E443" i="14"/>
  <c r="E442" i="14"/>
  <c r="E441" i="14"/>
  <c r="E440" i="14"/>
  <c r="E439" i="14"/>
  <c r="E438" i="14"/>
  <c r="C438" i="14"/>
  <c r="B438" i="14"/>
  <c r="E437" i="14"/>
  <c r="E436" i="14"/>
  <c r="E435" i="14"/>
  <c r="E434" i="14"/>
  <c r="E433" i="14"/>
  <c r="E432" i="14"/>
  <c r="E431" i="14"/>
  <c r="E430" i="14"/>
  <c r="E429" i="14"/>
  <c r="E428" i="14"/>
  <c r="E427" i="14"/>
  <c r="E426" i="14"/>
  <c r="E425" i="14"/>
  <c r="E424" i="14"/>
  <c r="E423" i="14"/>
  <c r="E422" i="14"/>
  <c r="E421" i="14"/>
  <c r="E420" i="14"/>
  <c r="E419" i="14"/>
  <c r="E418" i="14"/>
  <c r="E417" i="14"/>
  <c r="E416" i="14"/>
  <c r="E415" i="14"/>
  <c r="E414" i="14"/>
  <c r="C414" i="14"/>
  <c r="B414" i="14"/>
  <c r="E413" i="14"/>
  <c r="E412" i="14"/>
  <c r="E411" i="14"/>
  <c r="E410" i="14"/>
  <c r="E409" i="14"/>
  <c r="E408" i="14"/>
  <c r="E407" i="14"/>
  <c r="E406" i="14"/>
  <c r="E405" i="14"/>
  <c r="E404" i="14"/>
  <c r="E403" i="14"/>
  <c r="E402" i="14"/>
  <c r="E401" i="14"/>
  <c r="E400" i="14"/>
  <c r="E399" i="14"/>
  <c r="E398" i="14"/>
  <c r="E397" i="14"/>
  <c r="E396" i="14"/>
  <c r="E395" i="14"/>
  <c r="E394" i="14"/>
  <c r="E393" i="14"/>
  <c r="E392" i="14"/>
  <c r="E391" i="14"/>
  <c r="E390" i="14"/>
  <c r="C390" i="14"/>
  <c r="B390" i="14"/>
  <c r="E389" i="14"/>
  <c r="E388" i="14"/>
  <c r="E387" i="14"/>
  <c r="E386" i="14"/>
  <c r="E385" i="14"/>
  <c r="E384" i="14"/>
  <c r="E383" i="14"/>
  <c r="E382" i="14"/>
  <c r="E381" i="14"/>
  <c r="E380" i="14"/>
  <c r="E379" i="14"/>
  <c r="E378" i="14"/>
  <c r="E377" i="14"/>
  <c r="E376" i="14"/>
  <c r="E375" i="14"/>
  <c r="E374" i="14"/>
  <c r="E373" i="14"/>
  <c r="E372" i="14"/>
  <c r="E371" i="14"/>
  <c r="E370" i="14"/>
  <c r="E369" i="14"/>
  <c r="E368" i="14"/>
  <c r="E367" i="14"/>
  <c r="E366" i="14"/>
  <c r="C366" i="14"/>
  <c r="B366" i="14"/>
  <c r="E365" i="14"/>
  <c r="E364" i="14"/>
  <c r="E363" i="14"/>
  <c r="E362" i="14"/>
  <c r="E361" i="14"/>
  <c r="E360" i="14"/>
  <c r="E359" i="14"/>
  <c r="E358" i="14"/>
  <c r="E357" i="14"/>
  <c r="E356" i="14"/>
  <c r="E355" i="14"/>
  <c r="E354" i="14"/>
  <c r="E353" i="14"/>
  <c r="E352" i="14"/>
  <c r="E351" i="14"/>
  <c r="E350" i="14"/>
  <c r="E349" i="14"/>
  <c r="E348" i="14"/>
  <c r="E347" i="14"/>
  <c r="E346" i="14"/>
  <c r="E345" i="14"/>
  <c r="E344" i="14"/>
  <c r="E343" i="14"/>
  <c r="E342" i="14"/>
  <c r="C342" i="14"/>
  <c r="B342" i="14"/>
  <c r="E341" i="14"/>
  <c r="E340" i="14"/>
  <c r="E339" i="14"/>
  <c r="E338" i="14"/>
  <c r="E337" i="14"/>
  <c r="E336" i="14"/>
  <c r="E335" i="14"/>
  <c r="E334" i="14"/>
  <c r="E333" i="14"/>
  <c r="E332" i="14"/>
  <c r="E331" i="14"/>
  <c r="E330" i="14"/>
  <c r="E329" i="14"/>
  <c r="E328" i="14"/>
  <c r="E327" i="14"/>
  <c r="E326" i="14"/>
  <c r="E325" i="14"/>
  <c r="E324" i="14"/>
  <c r="E323" i="14"/>
  <c r="E322" i="14"/>
  <c r="E321" i="14"/>
  <c r="E320" i="14"/>
  <c r="E319" i="14"/>
  <c r="E318" i="14"/>
  <c r="C318" i="14"/>
  <c r="B318" i="14"/>
  <c r="E317" i="14"/>
  <c r="E316" i="14"/>
  <c r="E315" i="14"/>
  <c r="E314" i="14"/>
  <c r="E313" i="14"/>
  <c r="E312" i="14"/>
  <c r="E311" i="14"/>
  <c r="E310" i="14"/>
  <c r="E309" i="14"/>
  <c r="E308" i="14"/>
  <c r="E307" i="14"/>
  <c r="E306" i="14"/>
  <c r="E305" i="14"/>
  <c r="E304" i="14"/>
  <c r="E303" i="14"/>
  <c r="E302" i="14"/>
  <c r="E301" i="14"/>
  <c r="E300" i="14"/>
  <c r="E299" i="14"/>
  <c r="E298" i="14"/>
  <c r="E297" i="14"/>
  <c r="E296" i="14"/>
  <c r="E295" i="14"/>
  <c r="E294" i="14"/>
  <c r="C294" i="14"/>
  <c r="B294" i="14"/>
  <c r="E293" i="14"/>
  <c r="E292" i="14"/>
  <c r="E291" i="14"/>
  <c r="E290" i="14"/>
  <c r="E289" i="14"/>
  <c r="E288" i="14"/>
  <c r="E287" i="14"/>
  <c r="E286" i="14"/>
  <c r="E285" i="14"/>
  <c r="E284" i="14"/>
  <c r="E283" i="14"/>
  <c r="E282" i="14"/>
  <c r="E281" i="14"/>
  <c r="E280" i="14"/>
  <c r="E279" i="14"/>
  <c r="E278" i="14"/>
  <c r="E277" i="14"/>
  <c r="E276" i="14"/>
  <c r="E275" i="14"/>
  <c r="E274" i="14"/>
  <c r="E273" i="14"/>
  <c r="E272" i="14"/>
  <c r="E271" i="14"/>
  <c r="E270" i="14"/>
  <c r="C270" i="14"/>
  <c r="B270" i="14"/>
  <c r="E269" i="14"/>
  <c r="E268" i="14"/>
  <c r="E267" i="14"/>
  <c r="E266" i="14"/>
  <c r="E265" i="14"/>
  <c r="E264" i="14"/>
  <c r="E263" i="14"/>
  <c r="E262" i="14"/>
  <c r="E261" i="14"/>
  <c r="E260" i="14"/>
  <c r="E259" i="14"/>
  <c r="E258" i="14"/>
  <c r="E257" i="14"/>
  <c r="E256" i="14"/>
  <c r="E255" i="14"/>
  <c r="E254" i="14"/>
  <c r="E253" i="14"/>
  <c r="E252" i="14"/>
  <c r="E251" i="14"/>
  <c r="E250" i="14"/>
  <c r="E249" i="14"/>
  <c r="E248" i="14"/>
  <c r="E247" i="14"/>
  <c r="E246" i="14"/>
  <c r="C246" i="14"/>
  <c r="B246" i="14"/>
  <c r="E245" i="14"/>
  <c r="E244" i="14"/>
  <c r="E243" i="14"/>
  <c r="E242" i="14"/>
  <c r="E241" i="14"/>
  <c r="E240" i="14"/>
  <c r="E239" i="14"/>
  <c r="E238" i="14"/>
  <c r="E237" i="14"/>
  <c r="E236" i="14"/>
  <c r="E235" i="14"/>
  <c r="E234" i="14"/>
  <c r="E233" i="14"/>
  <c r="E232" i="14"/>
  <c r="E231" i="14"/>
  <c r="E230" i="14"/>
  <c r="E229" i="14"/>
  <c r="E228" i="14"/>
  <c r="E227" i="14"/>
  <c r="E226" i="14"/>
  <c r="E225" i="14"/>
  <c r="E224" i="14"/>
  <c r="E223" i="14"/>
  <c r="E222" i="14"/>
  <c r="C222" i="14"/>
  <c r="B222" i="14"/>
  <c r="E221" i="14"/>
  <c r="E220" i="14"/>
  <c r="E219" i="14"/>
  <c r="E218" i="14"/>
  <c r="E217" i="14"/>
  <c r="E216" i="14"/>
  <c r="E215" i="14"/>
  <c r="E214" i="14"/>
  <c r="E213" i="14"/>
  <c r="E212" i="14"/>
  <c r="E211" i="14"/>
  <c r="E210" i="14"/>
  <c r="E209" i="14"/>
  <c r="E208" i="14"/>
  <c r="E207" i="14"/>
  <c r="E206" i="14"/>
  <c r="E205" i="14"/>
  <c r="E204" i="14"/>
  <c r="E203" i="14"/>
  <c r="E202" i="14"/>
  <c r="E201" i="14"/>
  <c r="E200" i="14"/>
  <c r="E199" i="14"/>
  <c r="E198" i="14"/>
  <c r="C198" i="14"/>
  <c r="B198" i="14"/>
  <c r="E197" i="14"/>
  <c r="E196" i="14"/>
  <c r="E195" i="14"/>
  <c r="E194" i="14"/>
  <c r="E193" i="14"/>
  <c r="E192" i="14"/>
  <c r="E191" i="14"/>
  <c r="E190" i="14"/>
  <c r="E189" i="14"/>
  <c r="E188" i="14"/>
  <c r="E187" i="14"/>
  <c r="E186" i="14"/>
  <c r="E185" i="14"/>
  <c r="E184" i="14"/>
  <c r="E183" i="14"/>
  <c r="E182" i="14"/>
  <c r="E181" i="14"/>
  <c r="E180" i="14"/>
  <c r="E179" i="14"/>
  <c r="E178" i="14"/>
  <c r="E177" i="14"/>
  <c r="E176" i="14"/>
  <c r="E175" i="14"/>
  <c r="E174" i="14"/>
  <c r="C174" i="14"/>
  <c r="B174" i="14"/>
  <c r="E173" i="14"/>
  <c r="E172" i="14"/>
  <c r="E171" i="14"/>
  <c r="E170" i="14"/>
  <c r="E169" i="14"/>
  <c r="E168" i="14"/>
  <c r="E167" i="14"/>
  <c r="E166" i="14"/>
  <c r="E165" i="14"/>
  <c r="E164" i="14"/>
  <c r="E163" i="14"/>
  <c r="E162" i="14"/>
  <c r="E161" i="14"/>
  <c r="E160" i="14"/>
  <c r="E159" i="14"/>
  <c r="E158" i="14"/>
  <c r="E157" i="14"/>
  <c r="E156" i="14"/>
  <c r="E155" i="14"/>
  <c r="E154" i="14"/>
  <c r="E153" i="14"/>
  <c r="E152" i="14"/>
  <c r="E151" i="14"/>
  <c r="E150" i="14"/>
  <c r="C150" i="14"/>
  <c r="B150" i="14"/>
  <c r="E149" i="14"/>
  <c r="E148" i="14"/>
  <c r="E147" i="14"/>
  <c r="E146" i="14"/>
  <c r="E145" i="14"/>
  <c r="E144" i="14"/>
  <c r="E143" i="14"/>
  <c r="E142" i="14"/>
  <c r="E141" i="14"/>
  <c r="E140" i="14"/>
  <c r="E139" i="14"/>
  <c r="E138" i="14"/>
  <c r="E137" i="14"/>
  <c r="E136" i="14"/>
  <c r="E135" i="14"/>
  <c r="E134" i="14"/>
  <c r="E133" i="14"/>
  <c r="E132" i="14"/>
  <c r="E131" i="14"/>
  <c r="E130" i="14"/>
  <c r="E129" i="14"/>
  <c r="E128" i="14"/>
  <c r="E127" i="14"/>
  <c r="E126" i="14"/>
  <c r="C126" i="14"/>
  <c r="B126" i="14"/>
  <c r="E125" i="14"/>
  <c r="E124" i="14"/>
  <c r="E123" i="14"/>
  <c r="E122" i="14"/>
  <c r="E121" i="14"/>
  <c r="E120" i="14"/>
  <c r="E119" i="14"/>
  <c r="E118" i="14"/>
  <c r="E117" i="14"/>
  <c r="E116" i="14"/>
  <c r="E115" i="14"/>
  <c r="E114" i="14"/>
  <c r="E113" i="14"/>
  <c r="E112" i="14"/>
  <c r="E111" i="14"/>
  <c r="E110" i="14"/>
  <c r="E109" i="14"/>
  <c r="E108" i="14"/>
  <c r="E107" i="14"/>
  <c r="E106" i="14"/>
  <c r="E105" i="14"/>
  <c r="E104" i="14"/>
  <c r="E103" i="14"/>
  <c r="E102" i="14"/>
  <c r="C102" i="14"/>
  <c r="B102" i="14"/>
  <c r="E101" i="14"/>
  <c r="E100" i="14"/>
  <c r="E99" i="14"/>
  <c r="E98" i="14"/>
  <c r="E97" i="14"/>
  <c r="E96" i="14"/>
  <c r="E95" i="14"/>
  <c r="E94" i="14"/>
  <c r="E93" i="14"/>
  <c r="E92" i="14"/>
  <c r="E91" i="14"/>
  <c r="E90" i="14"/>
  <c r="E89" i="14"/>
  <c r="E88" i="14"/>
  <c r="E87" i="14"/>
  <c r="E86" i="14"/>
  <c r="E85" i="14"/>
  <c r="E84" i="14"/>
  <c r="E83" i="14"/>
  <c r="E82" i="14"/>
  <c r="E81" i="14"/>
  <c r="E80" i="14"/>
  <c r="E79" i="14"/>
  <c r="E78" i="14"/>
  <c r="C78" i="14"/>
  <c r="B78" i="14"/>
  <c r="E77" i="14"/>
  <c r="D77" i="14"/>
  <c r="D101" i="14" s="1"/>
  <c r="D125" i="14" s="1"/>
  <c r="D149" i="14" s="1"/>
  <c r="D173" i="14" s="1"/>
  <c r="D197" i="14" s="1"/>
  <c r="D221" i="14" s="1"/>
  <c r="D245" i="14" s="1"/>
  <c r="D269" i="14" s="1"/>
  <c r="D293" i="14" s="1"/>
  <c r="D317" i="14" s="1"/>
  <c r="D341" i="14" s="1"/>
  <c r="D365" i="14" s="1"/>
  <c r="D389" i="14" s="1"/>
  <c r="D413" i="14" s="1"/>
  <c r="D437" i="14" s="1"/>
  <c r="D461" i="14" s="1"/>
  <c r="D485" i="14" s="1"/>
  <c r="D509" i="14" s="1"/>
  <c r="D533" i="14" s="1"/>
  <c r="D557" i="14" s="1"/>
  <c r="D581" i="14" s="1"/>
  <c r="D605" i="14" s="1"/>
  <c r="D629" i="14" s="1"/>
  <c r="D653" i="14" s="1"/>
  <c r="D677" i="14" s="1"/>
  <c r="D701" i="14" s="1"/>
  <c r="D725" i="14" s="1"/>
  <c r="D749" i="14" s="1"/>
  <c r="D773" i="14" s="1"/>
  <c r="D797" i="14" s="1"/>
  <c r="D821" i="14" s="1"/>
  <c r="D845" i="14" s="1"/>
  <c r="D869" i="14" s="1"/>
  <c r="D893" i="14" s="1"/>
  <c r="D917" i="14" s="1"/>
  <c r="D941" i="14" s="1"/>
  <c r="D965" i="14" s="1"/>
  <c r="D989" i="14" s="1"/>
  <c r="D1013" i="14" s="1"/>
  <c r="D1037" i="14" s="1"/>
  <c r="D1061" i="14" s="1"/>
  <c r="D1085" i="14" s="1"/>
  <c r="D1109" i="14" s="1"/>
  <c r="D1133" i="14" s="1"/>
  <c r="D1157" i="14" s="1"/>
  <c r="D1181" i="14" s="1"/>
  <c r="E76" i="14"/>
  <c r="E75" i="14"/>
  <c r="D75" i="14"/>
  <c r="D99" i="14" s="1"/>
  <c r="D123" i="14" s="1"/>
  <c r="D147" i="14" s="1"/>
  <c r="D171" i="14" s="1"/>
  <c r="D195" i="14" s="1"/>
  <c r="D219" i="14" s="1"/>
  <c r="D243" i="14" s="1"/>
  <c r="D267" i="14" s="1"/>
  <c r="D291" i="14" s="1"/>
  <c r="D315" i="14" s="1"/>
  <c r="D339" i="14" s="1"/>
  <c r="D363" i="14" s="1"/>
  <c r="D387" i="14" s="1"/>
  <c r="D411" i="14" s="1"/>
  <c r="D435" i="14" s="1"/>
  <c r="D459" i="14" s="1"/>
  <c r="D483" i="14" s="1"/>
  <c r="D507" i="14" s="1"/>
  <c r="D531" i="14" s="1"/>
  <c r="D555" i="14" s="1"/>
  <c r="D579" i="14" s="1"/>
  <c r="D603" i="14" s="1"/>
  <c r="D627" i="14" s="1"/>
  <c r="D651" i="14" s="1"/>
  <c r="D675" i="14" s="1"/>
  <c r="D699" i="14" s="1"/>
  <c r="D723" i="14" s="1"/>
  <c r="D747" i="14" s="1"/>
  <c r="D771" i="14" s="1"/>
  <c r="D795" i="14" s="1"/>
  <c r="D819" i="14" s="1"/>
  <c r="D843" i="14" s="1"/>
  <c r="D867" i="14" s="1"/>
  <c r="D891" i="14" s="1"/>
  <c r="D915" i="14" s="1"/>
  <c r="D939" i="14" s="1"/>
  <c r="D963" i="14" s="1"/>
  <c r="D987" i="14" s="1"/>
  <c r="D1011" i="14" s="1"/>
  <c r="D1035" i="14" s="1"/>
  <c r="D1059" i="14" s="1"/>
  <c r="D1083" i="14" s="1"/>
  <c r="D1107" i="14" s="1"/>
  <c r="D1131" i="14" s="1"/>
  <c r="D1155" i="14" s="1"/>
  <c r="D1179" i="14" s="1"/>
  <c r="E74" i="14"/>
  <c r="E73" i="14"/>
  <c r="D73" i="14"/>
  <c r="D97" i="14" s="1"/>
  <c r="D121" i="14" s="1"/>
  <c r="D145" i="14" s="1"/>
  <c r="D169" i="14" s="1"/>
  <c r="D193" i="14" s="1"/>
  <c r="D217" i="14" s="1"/>
  <c r="D241" i="14" s="1"/>
  <c r="D265" i="14" s="1"/>
  <c r="D289" i="14" s="1"/>
  <c r="D313" i="14" s="1"/>
  <c r="D337" i="14" s="1"/>
  <c r="D361" i="14" s="1"/>
  <c r="D385" i="14" s="1"/>
  <c r="D409" i="14" s="1"/>
  <c r="D433" i="14" s="1"/>
  <c r="D457" i="14" s="1"/>
  <c r="D481" i="14" s="1"/>
  <c r="D505" i="14" s="1"/>
  <c r="D529" i="14" s="1"/>
  <c r="D553" i="14" s="1"/>
  <c r="D577" i="14" s="1"/>
  <c r="D601" i="14" s="1"/>
  <c r="D625" i="14" s="1"/>
  <c r="D649" i="14" s="1"/>
  <c r="D673" i="14" s="1"/>
  <c r="D697" i="14" s="1"/>
  <c r="D721" i="14" s="1"/>
  <c r="D745" i="14" s="1"/>
  <c r="D769" i="14" s="1"/>
  <c r="D793" i="14" s="1"/>
  <c r="D817" i="14" s="1"/>
  <c r="D841" i="14" s="1"/>
  <c r="D865" i="14" s="1"/>
  <c r="D889" i="14" s="1"/>
  <c r="D913" i="14" s="1"/>
  <c r="D937" i="14" s="1"/>
  <c r="D961" i="14" s="1"/>
  <c r="D985" i="14" s="1"/>
  <c r="D1009" i="14" s="1"/>
  <c r="D1033" i="14" s="1"/>
  <c r="D1057" i="14" s="1"/>
  <c r="D1081" i="14" s="1"/>
  <c r="D1105" i="14" s="1"/>
  <c r="D1129" i="14" s="1"/>
  <c r="D1153" i="14" s="1"/>
  <c r="D1177" i="14" s="1"/>
  <c r="E72" i="14"/>
  <c r="E71" i="14"/>
  <c r="D71" i="14"/>
  <c r="D95" i="14" s="1"/>
  <c r="D119" i="14" s="1"/>
  <c r="D143" i="14" s="1"/>
  <c r="D167" i="14" s="1"/>
  <c r="D191" i="14" s="1"/>
  <c r="D215" i="14" s="1"/>
  <c r="D239" i="14" s="1"/>
  <c r="D263" i="14" s="1"/>
  <c r="D287" i="14" s="1"/>
  <c r="D311" i="14" s="1"/>
  <c r="D335" i="14" s="1"/>
  <c r="D359" i="14" s="1"/>
  <c r="D383" i="14" s="1"/>
  <c r="D407" i="14" s="1"/>
  <c r="D431" i="14" s="1"/>
  <c r="D455" i="14" s="1"/>
  <c r="D479" i="14" s="1"/>
  <c r="D503" i="14" s="1"/>
  <c r="D527" i="14" s="1"/>
  <c r="D551" i="14" s="1"/>
  <c r="D575" i="14" s="1"/>
  <c r="D599" i="14" s="1"/>
  <c r="D623" i="14" s="1"/>
  <c r="D647" i="14" s="1"/>
  <c r="D671" i="14" s="1"/>
  <c r="D695" i="14" s="1"/>
  <c r="D719" i="14" s="1"/>
  <c r="D743" i="14" s="1"/>
  <c r="D767" i="14" s="1"/>
  <c r="D791" i="14" s="1"/>
  <c r="D815" i="14" s="1"/>
  <c r="D839" i="14" s="1"/>
  <c r="D863" i="14" s="1"/>
  <c r="D887" i="14" s="1"/>
  <c r="D911" i="14" s="1"/>
  <c r="D935" i="14" s="1"/>
  <c r="D959" i="14" s="1"/>
  <c r="D983" i="14" s="1"/>
  <c r="D1007" i="14" s="1"/>
  <c r="D1031" i="14" s="1"/>
  <c r="D1055" i="14" s="1"/>
  <c r="D1079" i="14" s="1"/>
  <c r="D1103" i="14" s="1"/>
  <c r="D1127" i="14" s="1"/>
  <c r="D1151" i="14" s="1"/>
  <c r="D1175" i="14" s="1"/>
  <c r="E70" i="14"/>
  <c r="E69" i="14"/>
  <c r="D69" i="14"/>
  <c r="D93" i="14" s="1"/>
  <c r="D117" i="14" s="1"/>
  <c r="D141" i="14" s="1"/>
  <c r="D165" i="14" s="1"/>
  <c r="D189" i="14" s="1"/>
  <c r="D213" i="14" s="1"/>
  <c r="D237" i="14" s="1"/>
  <c r="D261" i="14" s="1"/>
  <c r="D285" i="14" s="1"/>
  <c r="D309" i="14" s="1"/>
  <c r="D333" i="14" s="1"/>
  <c r="D357" i="14" s="1"/>
  <c r="D381" i="14" s="1"/>
  <c r="D405" i="14" s="1"/>
  <c r="D429" i="14" s="1"/>
  <c r="D453" i="14" s="1"/>
  <c r="D477" i="14" s="1"/>
  <c r="D501" i="14" s="1"/>
  <c r="D525" i="14" s="1"/>
  <c r="D549" i="14" s="1"/>
  <c r="D573" i="14" s="1"/>
  <c r="D597" i="14" s="1"/>
  <c r="D621" i="14" s="1"/>
  <c r="D645" i="14" s="1"/>
  <c r="D669" i="14" s="1"/>
  <c r="D693" i="14" s="1"/>
  <c r="D717" i="14" s="1"/>
  <c r="D741" i="14" s="1"/>
  <c r="D765" i="14" s="1"/>
  <c r="D789" i="14" s="1"/>
  <c r="D813" i="14" s="1"/>
  <c r="D837" i="14" s="1"/>
  <c r="D861" i="14" s="1"/>
  <c r="D885" i="14" s="1"/>
  <c r="D909" i="14" s="1"/>
  <c r="D933" i="14" s="1"/>
  <c r="D957" i="14" s="1"/>
  <c r="D981" i="14" s="1"/>
  <c r="D1005" i="14" s="1"/>
  <c r="D1029" i="14" s="1"/>
  <c r="D1053" i="14" s="1"/>
  <c r="D1077" i="14" s="1"/>
  <c r="D1101" i="14" s="1"/>
  <c r="D1125" i="14" s="1"/>
  <c r="D1149" i="14" s="1"/>
  <c r="D1173" i="14" s="1"/>
  <c r="E68" i="14"/>
  <c r="E67" i="14"/>
  <c r="D67" i="14"/>
  <c r="D91" i="14" s="1"/>
  <c r="D115" i="14" s="1"/>
  <c r="D139" i="14" s="1"/>
  <c r="D163" i="14" s="1"/>
  <c r="D187" i="14" s="1"/>
  <c r="D211" i="14" s="1"/>
  <c r="D235" i="14" s="1"/>
  <c r="D259" i="14" s="1"/>
  <c r="D283" i="14" s="1"/>
  <c r="D307" i="14" s="1"/>
  <c r="D331" i="14" s="1"/>
  <c r="D355" i="14" s="1"/>
  <c r="D379" i="14" s="1"/>
  <c r="D403" i="14" s="1"/>
  <c r="D427" i="14" s="1"/>
  <c r="D451" i="14" s="1"/>
  <c r="D475" i="14" s="1"/>
  <c r="D499" i="14" s="1"/>
  <c r="D523" i="14" s="1"/>
  <c r="D547" i="14" s="1"/>
  <c r="D571" i="14" s="1"/>
  <c r="D595" i="14" s="1"/>
  <c r="D619" i="14" s="1"/>
  <c r="D643" i="14" s="1"/>
  <c r="D667" i="14" s="1"/>
  <c r="D691" i="14" s="1"/>
  <c r="D715" i="14" s="1"/>
  <c r="D739" i="14" s="1"/>
  <c r="D763" i="14" s="1"/>
  <c r="D787" i="14" s="1"/>
  <c r="D811" i="14" s="1"/>
  <c r="D835" i="14" s="1"/>
  <c r="D859" i="14" s="1"/>
  <c r="D883" i="14" s="1"/>
  <c r="D907" i="14" s="1"/>
  <c r="D931" i="14" s="1"/>
  <c r="D955" i="14" s="1"/>
  <c r="D979" i="14" s="1"/>
  <c r="D1003" i="14" s="1"/>
  <c r="D1027" i="14" s="1"/>
  <c r="D1051" i="14" s="1"/>
  <c r="D1075" i="14" s="1"/>
  <c r="D1099" i="14" s="1"/>
  <c r="D1123" i="14" s="1"/>
  <c r="D1147" i="14" s="1"/>
  <c r="D1171" i="14" s="1"/>
  <c r="E66" i="14"/>
  <c r="E65" i="14"/>
  <c r="D65" i="14"/>
  <c r="D89" i="14" s="1"/>
  <c r="D113" i="14" s="1"/>
  <c r="D137" i="14" s="1"/>
  <c r="D161" i="14" s="1"/>
  <c r="D185" i="14" s="1"/>
  <c r="D209" i="14" s="1"/>
  <c r="D233" i="14" s="1"/>
  <c r="D257" i="14" s="1"/>
  <c r="D281" i="14" s="1"/>
  <c r="D305" i="14" s="1"/>
  <c r="D329" i="14" s="1"/>
  <c r="D353" i="14" s="1"/>
  <c r="D377" i="14" s="1"/>
  <c r="D401" i="14" s="1"/>
  <c r="D425" i="14" s="1"/>
  <c r="D449" i="14" s="1"/>
  <c r="D473" i="14" s="1"/>
  <c r="D497" i="14" s="1"/>
  <c r="D521" i="14" s="1"/>
  <c r="D545" i="14" s="1"/>
  <c r="D569" i="14" s="1"/>
  <c r="D593" i="14" s="1"/>
  <c r="D617" i="14" s="1"/>
  <c r="D641" i="14" s="1"/>
  <c r="D665" i="14" s="1"/>
  <c r="D689" i="14" s="1"/>
  <c r="D713" i="14" s="1"/>
  <c r="D737" i="14" s="1"/>
  <c r="D761" i="14" s="1"/>
  <c r="D785" i="14" s="1"/>
  <c r="D809" i="14" s="1"/>
  <c r="D833" i="14" s="1"/>
  <c r="D857" i="14" s="1"/>
  <c r="D881" i="14" s="1"/>
  <c r="D905" i="14" s="1"/>
  <c r="D929" i="14" s="1"/>
  <c r="D953" i="14" s="1"/>
  <c r="D977" i="14" s="1"/>
  <c r="D1001" i="14" s="1"/>
  <c r="D1025" i="14" s="1"/>
  <c r="D1049" i="14" s="1"/>
  <c r="D1073" i="14" s="1"/>
  <c r="D1097" i="14" s="1"/>
  <c r="D1121" i="14" s="1"/>
  <c r="D1145" i="14" s="1"/>
  <c r="D1169" i="14" s="1"/>
  <c r="E64" i="14"/>
  <c r="E63" i="14"/>
  <c r="D63" i="14"/>
  <c r="D87" i="14" s="1"/>
  <c r="D111" i="14" s="1"/>
  <c r="D135" i="14" s="1"/>
  <c r="D159" i="14" s="1"/>
  <c r="D183" i="14" s="1"/>
  <c r="D207" i="14" s="1"/>
  <c r="D231" i="14" s="1"/>
  <c r="D255" i="14" s="1"/>
  <c r="D279" i="14" s="1"/>
  <c r="D303" i="14" s="1"/>
  <c r="D327" i="14" s="1"/>
  <c r="D351" i="14" s="1"/>
  <c r="D375" i="14" s="1"/>
  <c r="D399" i="14" s="1"/>
  <c r="D423" i="14" s="1"/>
  <c r="D447" i="14" s="1"/>
  <c r="D471" i="14" s="1"/>
  <c r="D495" i="14" s="1"/>
  <c r="D519" i="14" s="1"/>
  <c r="D543" i="14" s="1"/>
  <c r="D567" i="14" s="1"/>
  <c r="D591" i="14" s="1"/>
  <c r="D615" i="14" s="1"/>
  <c r="D639" i="14" s="1"/>
  <c r="D663" i="14" s="1"/>
  <c r="D687" i="14" s="1"/>
  <c r="D711" i="14" s="1"/>
  <c r="D735" i="14" s="1"/>
  <c r="D759" i="14" s="1"/>
  <c r="D783" i="14" s="1"/>
  <c r="D807" i="14" s="1"/>
  <c r="D831" i="14" s="1"/>
  <c r="D855" i="14" s="1"/>
  <c r="D879" i="14" s="1"/>
  <c r="D903" i="14" s="1"/>
  <c r="D927" i="14" s="1"/>
  <c r="D951" i="14" s="1"/>
  <c r="D975" i="14" s="1"/>
  <c r="D999" i="14" s="1"/>
  <c r="D1023" i="14" s="1"/>
  <c r="D1047" i="14" s="1"/>
  <c r="D1071" i="14" s="1"/>
  <c r="D1095" i="14" s="1"/>
  <c r="D1119" i="14" s="1"/>
  <c r="D1143" i="14" s="1"/>
  <c r="D1167" i="14" s="1"/>
  <c r="E62" i="14"/>
  <c r="E61" i="14"/>
  <c r="D61" i="14"/>
  <c r="D85" i="14" s="1"/>
  <c r="D109" i="14" s="1"/>
  <c r="D133" i="14" s="1"/>
  <c r="D157" i="14" s="1"/>
  <c r="D181" i="14" s="1"/>
  <c r="D205" i="14" s="1"/>
  <c r="D229" i="14" s="1"/>
  <c r="D253" i="14" s="1"/>
  <c r="D277" i="14" s="1"/>
  <c r="D301" i="14" s="1"/>
  <c r="D325" i="14" s="1"/>
  <c r="D349" i="14" s="1"/>
  <c r="D373" i="14" s="1"/>
  <c r="D397" i="14" s="1"/>
  <c r="D421" i="14" s="1"/>
  <c r="D445" i="14" s="1"/>
  <c r="D469" i="14" s="1"/>
  <c r="D493" i="14" s="1"/>
  <c r="D517" i="14" s="1"/>
  <c r="D541" i="14" s="1"/>
  <c r="D565" i="14" s="1"/>
  <c r="D589" i="14" s="1"/>
  <c r="D613" i="14" s="1"/>
  <c r="D637" i="14" s="1"/>
  <c r="D661" i="14" s="1"/>
  <c r="D685" i="14" s="1"/>
  <c r="D709" i="14" s="1"/>
  <c r="D733" i="14" s="1"/>
  <c r="D757" i="14" s="1"/>
  <c r="D781" i="14" s="1"/>
  <c r="D805" i="14" s="1"/>
  <c r="D829" i="14" s="1"/>
  <c r="D853" i="14" s="1"/>
  <c r="D877" i="14" s="1"/>
  <c r="D901" i="14" s="1"/>
  <c r="D925" i="14" s="1"/>
  <c r="D949" i="14" s="1"/>
  <c r="D973" i="14" s="1"/>
  <c r="D997" i="14" s="1"/>
  <c r="D1021" i="14" s="1"/>
  <c r="D1045" i="14" s="1"/>
  <c r="D1069" i="14" s="1"/>
  <c r="D1093" i="14" s="1"/>
  <c r="D1117" i="14" s="1"/>
  <c r="D1141" i="14" s="1"/>
  <c r="D1165" i="14" s="1"/>
  <c r="E60" i="14"/>
  <c r="E59" i="14"/>
  <c r="D59" i="14"/>
  <c r="D83" i="14" s="1"/>
  <c r="D107" i="14" s="1"/>
  <c r="D131" i="14" s="1"/>
  <c r="D155" i="14" s="1"/>
  <c r="D179" i="14" s="1"/>
  <c r="D203" i="14" s="1"/>
  <c r="D227" i="14" s="1"/>
  <c r="D251" i="14" s="1"/>
  <c r="D275" i="14" s="1"/>
  <c r="D299" i="14" s="1"/>
  <c r="D323" i="14" s="1"/>
  <c r="D347" i="14" s="1"/>
  <c r="D371" i="14" s="1"/>
  <c r="D395" i="14" s="1"/>
  <c r="D419" i="14" s="1"/>
  <c r="D443" i="14" s="1"/>
  <c r="D467" i="14" s="1"/>
  <c r="D491" i="14" s="1"/>
  <c r="D515" i="14" s="1"/>
  <c r="D539" i="14" s="1"/>
  <c r="D563" i="14" s="1"/>
  <c r="D587" i="14" s="1"/>
  <c r="D611" i="14" s="1"/>
  <c r="D635" i="14" s="1"/>
  <c r="D659" i="14" s="1"/>
  <c r="D683" i="14" s="1"/>
  <c r="D707" i="14" s="1"/>
  <c r="D731" i="14" s="1"/>
  <c r="D755" i="14" s="1"/>
  <c r="D779" i="14" s="1"/>
  <c r="D803" i="14" s="1"/>
  <c r="D827" i="14" s="1"/>
  <c r="D851" i="14" s="1"/>
  <c r="D875" i="14" s="1"/>
  <c r="D899" i="14" s="1"/>
  <c r="D923" i="14" s="1"/>
  <c r="D947" i="14" s="1"/>
  <c r="D971" i="14" s="1"/>
  <c r="D995" i="14" s="1"/>
  <c r="D1019" i="14" s="1"/>
  <c r="D1043" i="14" s="1"/>
  <c r="D1067" i="14" s="1"/>
  <c r="D1091" i="14" s="1"/>
  <c r="D1115" i="14" s="1"/>
  <c r="D1139" i="14" s="1"/>
  <c r="D1163" i="14" s="1"/>
  <c r="E58" i="14"/>
  <c r="E57" i="14"/>
  <c r="D57" i="14"/>
  <c r="D81" i="14" s="1"/>
  <c r="D105" i="14" s="1"/>
  <c r="D129" i="14" s="1"/>
  <c r="D153" i="14" s="1"/>
  <c r="D177" i="14" s="1"/>
  <c r="D201" i="14" s="1"/>
  <c r="D225" i="14" s="1"/>
  <c r="D249" i="14" s="1"/>
  <c r="D273" i="14" s="1"/>
  <c r="D297" i="14" s="1"/>
  <c r="D321" i="14" s="1"/>
  <c r="D345" i="14" s="1"/>
  <c r="D369" i="14" s="1"/>
  <c r="D393" i="14" s="1"/>
  <c r="D417" i="14" s="1"/>
  <c r="D441" i="14" s="1"/>
  <c r="D465" i="14" s="1"/>
  <c r="D489" i="14" s="1"/>
  <c r="D513" i="14" s="1"/>
  <c r="D537" i="14" s="1"/>
  <c r="D561" i="14" s="1"/>
  <c r="D585" i="14" s="1"/>
  <c r="D609" i="14" s="1"/>
  <c r="D633" i="14" s="1"/>
  <c r="D657" i="14" s="1"/>
  <c r="D681" i="14" s="1"/>
  <c r="D705" i="14" s="1"/>
  <c r="D729" i="14" s="1"/>
  <c r="D753" i="14" s="1"/>
  <c r="D777" i="14" s="1"/>
  <c r="D801" i="14" s="1"/>
  <c r="D825" i="14" s="1"/>
  <c r="D849" i="14" s="1"/>
  <c r="D873" i="14" s="1"/>
  <c r="D897" i="14" s="1"/>
  <c r="D921" i="14" s="1"/>
  <c r="D945" i="14" s="1"/>
  <c r="D969" i="14" s="1"/>
  <c r="D993" i="14" s="1"/>
  <c r="D1017" i="14" s="1"/>
  <c r="D1041" i="14" s="1"/>
  <c r="D1065" i="14" s="1"/>
  <c r="D1089" i="14" s="1"/>
  <c r="D1113" i="14" s="1"/>
  <c r="D1137" i="14" s="1"/>
  <c r="D1161" i="14" s="1"/>
  <c r="E56" i="14"/>
  <c r="E55" i="14"/>
  <c r="D55" i="14"/>
  <c r="D79" i="14" s="1"/>
  <c r="D103" i="14" s="1"/>
  <c r="D127" i="14" s="1"/>
  <c r="D151" i="14" s="1"/>
  <c r="D175" i="14" s="1"/>
  <c r="D199" i="14" s="1"/>
  <c r="D223" i="14" s="1"/>
  <c r="D247" i="14" s="1"/>
  <c r="D271" i="14" s="1"/>
  <c r="D295" i="14" s="1"/>
  <c r="D319" i="14" s="1"/>
  <c r="D343" i="14" s="1"/>
  <c r="D367" i="14" s="1"/>
  <c r="D391" i="14" s="1"/>
  <c r="D415" i="14" s="1"/>
  <c r="D439" i="14" s="1"/>
  <c r="D463" i="14" s="1"/>
  <c r="D487" i="14" s="1"/>
  <c r="D511" i="14" s="1"/>
  <c r="D535" i="14" s="1"/>
  <c r="D559" i="14" s="1"/>
  <c r="D583" i="14" s="1"/>
  <c r="D607" i="14" s="1"/>
  <c r="D631" i="14" s="1"/>
  <c r="D655" i="14" s="1"/>
  <c r="D679" i="14" s="1"/>
  <c r="D703" i="14" s="1"/>
  <c r="D727" i="14" s="1"/>
  <c r="D751" i="14" s="1"/>
  <c r="D775" i="14" s="1"/>
  <c r="D799" i="14" s="1"/>
  <c r="D823" i="14" s="1"/>
  <c r="D847" i="14" s="1"/>
  <c r="D871" i="14" s="1"/>
  <c r="D895" i="14" s="1"/>
  <c r="D919" i="14" s="1"/>
  <c r="D943" i="14" s="1"/>
  <c r="D967" i="14" s="1"/>
  <c r="D991" i="14" s="1"/>
  <c r="D1015" i="14" s="1"/>
  <c r="D1039" i="14" s="1"/>
  <c r="D1063" i="14" s="1"/>
  <c r="D1087" i="14" s="1"/>
  <c r="D1111" i="14" s="1"/>
  <c r="D1135" i="14" s="1"/>
  <c r="D1159" i="14" s="1"/>
  <c r="E54" i="14"/>
  <c r="C54" i="14"/>
  <c r="B54" i="14"/>
  <c r="E53" i="14"/>
  <c r="D53" i="14"/>
  <c r="E52" i="14"/>
  <c r="D52" i="14"/>
  <c r="D76" i="14" s="1"/>
  <c r="D100" i="14" s="1"/>
  <c r="D124" i="14" s="1"/>
  <c r="D148" i="14" s="1"/>
  <c r="D172" i="14" s="1"/>
  <c r="D196" i="14" s="1"/>
  <c r="D220" i="14" s="1"/>
  <c r="D244" i="14" s="1"/>
  <c r="D268" i="14" s="1"/>
  <c r="D292" i="14" s="1"/>
  <c r="D316" i="14" s="1"/>
  <c r="D340" i="14" s="1"/>
  <c r="D364" i="14" s="1"/>
  <c r="D388" i="14" s="1"/>
  <c r="D412" i="14" s="1"/>
  <c r="D436" i="14" s="1"/>
  <c r="D460" i="14" s="1"/>
  <c r="D484" i="14" s="1"/>
  <c r="D508" i="14" s="1"/>
  <c r="D532" i="14" s="1"/>
  <c r="D556" i="14" s="1"/>
  <c r="D580" i="14" s="1"/>
  <c r="D604" i="14" s="1"/>
  <c r="D628" i="14" s="1"/>
  <c r="D652" i="14" s="1"/>
  <c r="D676" i="14" s="1"/>
  <c r="D700" i="14" s="1"/>
  <c r="D724" i="14" s="1"/>
  <c r="D748" i="14" s="1"/>
  <c r="D772" i="14" s="1"/>
  <c r="D796" i="14" s="1"/>
  <c r="D820" i="14" s="1"/>
  <c r="D844" i="14" s="1"/>
  <c r="D868" i="14" s="1"/>
  <c r="D892" i="14" s="1"/>
  <c r="D916" i="14" s="1"/>
  <c r="D940" i="14" s="1"/>
  <c r="D964" i="14" s="1"/>
  <c r="D988" i="14" s="1"/>
  <c r="D1012" i="14" s="1"/>
  <c r="D1036" i="14" s="1"/>
  <c r="D1060" i="14" s="1"/>
  <c r="D1084" i="14" s="1"/>
  <c r="D1108" i="14" s="1"/>
  <c r="D1132" i="14" s="1"/>
  <c r="D1156" i="14" s="1"/>
  <c r="D1180" i="14" s="1"/>
  <c r="E51" i="14"/>
  <c r="D51" i="14"/>
  <c r="E50" i="14"/>
  <c r="D50" i="14"/>
  <c r="D74" i="14" s="1"/>
  <c r="D98" i="14" s="1"/>
  <c r="D122" i="14" s="1"/>
  <c r="D146" i="14" s="1"/>
  <c r="D170" i="14" s="1"/>
  <c r="D194" i="14" s="1"/>
  <c r="D218" i="14" s="1"/>
  <c r="D242" i="14" s="1"/>
  <c r="D266" i="14" s="1"/>
  <c r="D290" i="14" s="1"/>
  <c r="D314" i="14" s="1"/>
  <c r="D338" i="14" s="1"/>
  <c r="D362" i="14" s="1"/>
  <c r="D386" i="14" s="1"/>
  <c r="D410" i="14" s="1"/>
  <c r="D434" i="14" s="1"/>
  <c r="D458" i="14" s="1"/>
  <c r="D482" i="14" s="1"/>
  <c r="D506" i="14" s="1"/>
  <c r="D530" i="14" s="1"/>
  <c r="D554" i="14" s="1"/>
  <c r="D578" i="14" s="1"/>
  <c r="D602" i="14" s="1"/>
  <c r="D626" i="14" s="1"/>
  <c r="D650" i="14" s="1"/>
  <c r="D674" i="14" s="1"/>
  <c r="D698" i="14" s="1"/>
  <c r="D722" i="14" s="1"/>
  <c r="D746" i="14" s="1"/>
  <c r="D770" i="14" s="1"/>
  <c r="D794" i="14" s="1"/>
  <c r="D818" i="14" s="1"/>
  <c r="D842" i="14" s="1"/>
  <c r="D866" i="14" s="1"/>
  <c r="D890" i="14" s="1"/>
  <c r="D914" i="14" s="1"/>
  <c r="D938" i="14" s="1"/>
  <c r="D962" i="14" s="1"/>
  <c r="D986" i="14" s="1"/>
  <c r="D1010" i="14" s="1"/>
  <c r="D1034" i="14" s="1"/>
  <c r="D1058" i="14" s="1"/>
  <c r="D1082" i="14" s="1"/>
  <c r="D1106" i="14" s="1"/>
  <c r="D1130" i="14" s="1"/>
  <c r="D1154" i="14" s="1"/>
  <c r="D1178" i="14" s="1"/>
  <c r="E49" i="14"/>
  <c r="D49" i="14"/>
  <c r="E48" i="14"/>
  <c r="D48" i="14"/>
  <c r="D72" i="14" s="1"/>
  <c r="D96" i="14" s="1"/>
  <c r="D120" i="14" s="1"/>
  <c r="D144" i="14" s="1"/>
  <c r="D168" i="14" s="1"/>
  <c r="D192" i="14" s="1"/>
  <c r="D216" i="14" s="1"/>
  <c r="D240" i="14" s="1"/>
  <c r="D264" i="14" s="1"/>
  <c r="D288" i="14" s="1"/>
  <c r="D312" i="14" s="1"/>
  <c r="D336" i="14" s="1"/>
  <c r="D360" i="14" s="1"/>
  <c r="D384" i="14" s="1"/>
  <c r="D408" i="14" s="1"/>
  <c r="D432" i="14" s="1"/>
  <c r="D456" i="14" s="1"/>
  <c r="D480" i="14" s="1"/>
  <c r="D504" i="14" s="1"/>
  <c r="D528" i="14" s="1"/>
  <c r="D552" i="14" s="1"/>
  <c r="D576" i="14" s="1"/>
  <c r="D600" i="14" s="1"/>
  <c r="D624" i="14" s="1"/>
  <c r="D648" i="14" s="1"/>
  <c r="D672" i="14" s="1"/>
  <c r="D696" i="14" s="1"/>
  <c r="D720" i="14" s="1"/>
  <c r="D744" i="14" s="1"/>
  <c r="D768" i="14" s="1"/>
  <c r="D792" i="14" s="1"/>
  <c r="D816" i="14" s="1"/>
  <c r="D840" i="14" s="1"/>
  <c r="D864" i="14" s="1"/>
  <c r="D888" i="14" s="1"/>
  <c r="D912" i="14" s="1"/>
  <c r="D936" i="14" s="1"/>
  <c r="D960" i="14" s="1"/>
  <c r="D984" i="14" s="1"/>
  <c r="D1008" i="14" s="1"/>
  <c r="D1032" i="14" s="1"/>
  <c r="D1056" i="14" s="1"/>
  <c r="D1080" i="14" s="1"/>
  <c r="D1104" i="14" s="1"/>
  <c r="D1128" i="14" s="1"/>
  <c r="D1152" i="14" s="1"/>
  <c r="D1176" i="14" s="1"/>
  <c r="E47" i="14"/>
  <c r="D47" i="14"/>
  <c r="E46" i="14"/>
  <c r="D46" i="14"/>
  <c r="D70" i="14" s="1"/>
  <c r="D94" i="14" s="1"/>
  <c r="D118" i="14" s="1"/>
  <c r="D142" i="14" s="1"/>
  <c r="D166" i="14" s="1"/>
  <c r="D190" i="14" s="1"/>
  <c r="D214" i="14" s="1"/>
  <c r="D238" i="14" s="1"/>
  <c r="D262" i="14" s="1"/>
  <c r="D286" i="14" s="1"/>
  <c r="D310" i="14" s="1"/>
  <c r="D334" i="14" s="1"/>
  <c r="D358" i="14" s="1"/>
  <c r="D382" i="14" s="1"/>
  <c r="D406" i="14" s="1"/>
  <c r="D430" i="14" s="1"/>
  <c r="D454" i="14" s="1"/>
  <c r="D478" i="14" s="1"/>
  <c r="D502" i="14" s="1"/>
  <c r="D526" i="14" s="1"/>
  <c r="D550" i="14" s="1"/>
  <c r="D574" i="14" s="1"/>
  <c r="D598" i="14" s="1"/>
  <c r="D622" i="14" s="1"/>
  <c r="D646" i="14" s="1"/>
  <c r="D670" i="14" s="1"/>
  <c r="D694" i="14" s="1"/>
  <c r="D718" i="14" s="1"/>
  <c r="D742" i="14" s="1"/>
  <c r="D766" i="14" s="1"/>
  <c r="D790" i="14" s="1"/>
  <c r="D814" i="14" s="1"/>
  <c r="D838" i="14" s="1"/>
  <c r="D862" i="14" s="1"/>
  <c r="D886" i="14" s="1"/>
  <c r="D910" i="14" s="1"/>
  <c r="D934" i="14" s="1"/>
  <c r="D958" i="14" s="1"/>
  <c r="D982" i="14" s="1"/>
  <c r="D1006" i="14" s="1"/>
  <c r="D1030" i="14" s="1"/>
  <c r="D1054" i="14" s="1"/>
  <c r="D1078" i="14" s="1"/>
  <c r="D1102" i="14" s="1"/>
  <c r="D1126" i="14" s="1"/>
  <c r="D1150" i="14" s="1"/>
  <c r="D1174" i="14" s="1"/>
  <c r="E45" i="14"/>
  <c r="D45" i="14"/>
  <c r="E44" i="14"/>
  <c r="D44" i="14"/>
  <c r="D68" i="14" s="1"/>
  <c r="D92" i="14" s="1"/>
  <c r="D116" i="14" s="1"/>
  <c r="D140" i="14" s="1"/>
  <c r="D164" i="14" s="1"/>
  <c r="D188" i="14" s="1"/>
  <c r="D212" i="14" s="1"/>
  <c r="D236" i="14" s="1"/>
  <c r="D260" i="14" s="1"/>
  <c r="D284" i="14" s="1"/>
  <c r="D308" i="14" s="1"/>
  <c r="D332" i="14" s="1"/>
  <c r="D356" i="14" s="1"/>
  <c r="D380" i="14" s="1"/>
  <c r="D404" i="14" s="1"/>
  <c r="D428" i="14" s="1"/>
  <c r="D452" i="14" s="1"/>
  <c r="D476" i="14" s="1"/>
  <c r="D500" i="14" s="1"/>
  <c r="D524" i="14" s="1"/>
  <c r="D548" i="14" s="1"/>
  <c r="D572" i="14" s="1"/>
  <c r="D596" i="14" s="1"/>
  <c r="D620" i="14" s="1"/>
  <c r="D644" i="14" s="1"/>
  <c r="D668" i="14" s="1"/>
  <c r="D692" i="14" s="1"/>
  <c r="D716" i="14" s="1"/>
  <c r="D740" i="14" s="1"/>
  <c r="D764" i="14" s="1"/>
  <c r="D788" i="14" s="1"/>
  <c r="D812" i="14" s="1"/>
  <c r="D836" i="14" s="1"/>
  <c r="D860" i="14" s="1"/>
  <c r="D884" i="14" s="1"/>
  <c r="D908" i="14" s="1"/>
  <c r="D932" i="14" s="1"/>
  <c r="D956" i="14" s="1"/>
  <c r="D980" i="14" s="1"/>
  <c r="D1004" i="14" s="1"/>
  <c r="D1028" i="14" s="1"/>
  <c r="D1052" i="14" s="1"/>
  <c r="D1076" i="14" s="1"/>
  <c r="D1100" i="14" s="1"/>
  <c r="D1124" i="14" s="1"/>
  <c r="D1148" i="14" s="1"/>
  <c r="D1172" i="14" s="1"/>
  <c r="E43" i="14"/>
  <c r="D43" i="14"/>
  <c r="E42" i="14"/>
  <c r="D42" i="14"/>
  <c r="D66" i="14" s="1"/>
  <c r="D90" i="14" s="1"/>
  <c r="D114" i="14" s="1"/>
  <c r="D138" i="14" s="1"/>
  <c r="D162" i="14" s="1"/>
  <c r="D186" i="14" s="1"/>
  <c r="D210" i="14" s="1"/>
  <c r="D234" i="14" s="1"/>
  <c r="D258" i="14" s="1"/>
  <c r="D282" i="14" s="1"/>
  <c r="D306" i="14" s="1"/>
  <c r="D330" i="14" s="1"/>
  <c r="D354" i="14" s="1"/>
  <c r="D378" i="14" s="1"/>
  <c r="D402" i="14" s="1"/>
  <c r="D426" i="14" s="1"/>
  <c r="D450" i="14" s="1"/>
  <c r="D474" i="14" s="1"/>
  <c r="D498" i="14" s="1"/>
  <c r="D522" i="14" s="1"/>
  <c r="D546" i="14" s="1"/>
  <c r="D570" i="14" s="1"/>
  <c r="D594" i="14" s="1"/>
  <c r="D618" i="14" s="1"/>
  <c r="D642" i="14" s="1"/>
  <c r="D666" i="14" s="1"/>
  <c r="D690" i="14" s="1"/>
  <c r="D714" i="14" s="1"/>
  <c r="D738" i="14" s="1"/>
  <c r="D762" i="14" s="1"/>
  <c r="D786" i="14" s="1"/>
  <c r="D810" i="14" s="1"/>
  <c r="D834" i="14" s="1"/>
  <c r="D858" i="14" s="1"/>
  <c r="D882" i="14" s="1"/>
  <c r="D906" i="14" s="1"/>
  <c r="D930" i="14" s="1"/>
  <c r="D954" i="14" s="1"/>
  <c r="D978" i="14" s="1"/>
  <c r="D1002" i="14" s="1"/>
  <c r="D1026" i="14" s="1"/>
  <c r="D1050" i="14" s="1"/>
  <c r="D1074" i="14" s="1"/>
  <c r="D1098" i="14" s="1"/>
  <c r="D1122" i="14" s="1"/>
  <c r="D1146" i="14" s="1"/>
  <c r="D1170" i="14" s="1"/>
  <c r="E41" i="14"/>
  <c r="D41" i="14"/>
  <c r="E40" i="14"/>
  <c r="D40" i="14"/>
  <c r="D64" i="14" s="1"/>
  <c r="D88" i="14" s="1"/>
  <c r="D112" i="14" s="1"/>
  <c r="D136" i="14" s="1"/>
  <c r="D160" i="14" s="1"/>
  <c r="D184" i="14" s="1"/>
  <c r="D208" i="14" s="1"/>
  <c r="D232" i="14" s="1"/>
  <c r="D256" i="14" s="1"/>
  <c r="D280" i="14" s="1"/>
  <c r="D304" i="14" s="1"/>
  <c r="D328" i="14" s="1"/>
  <c r="D352" i="14" s="1"/>
  <c r="D376" i="14" s="1"/>
  <c r="D400" i="14" s="1"/>
  <c r="D424" i="14" s="1"/>
  <c r="D448" i="14" s="1"/>
  <c r="D472" i="14" s="1"/>
  <c r="D496" i="14" s="1"/>
  <c r="D520" i="14" s="1"/>
  <c r="D544" i="14" s="1"/>
  <c r="D568" i="14" s="1"/>
  <c r="D592" i="14" s="1"/>
  <c r="D616" i="14" s="1"/>
  <c r="D640" i="14" s="1"/>
  <c r="D664" i="14" s="1"/>
  <c r="D688" i="14" s="1"/>
  <c r="D712" i="14" s="1"/>
  <c r="D736" i="14" s="1"/>
  <c r="D760" i="14" s="1"/>
  <c r="D784" i="14" s="1"/>
  <c r="D808" i="14" s="1"/>
  <c r="D832" i="14" s="1"/>
  <c r="D856" i="14" s="1"/>
  <c r="D880" i="14" s="1"/>
  <c r="D904" i="14" s="1"/>
  <c r="D928" i="14" s="1"/>
  <c r="D952" i="14" s="1"/>
  <c r="D976" i="14" s="1"/>
  <c r="D1000" i="14" s="1"/>
  <c r="D1024" i="14" s="1"/>
  <c r="D1048" i="14" s="1"/>
  <c r="D1072" i="14" s="1"/>
  <c r="D1096" i="14" s="1"/>
  <c r="D1120" i="14" s="1"/>
  <c r="D1144" i="14" s="1"/>
  <c r="D1168" i="14" s="1"/>
  <c r="E39" i="14"/>
  <c r="D39" i="14"/>
  <c r="E38" i="14"/>
  <c r="D38" i="14"/>
  <c r="D62" i="14" s="1"/>
  <c r="D86" i="14" s="1"/>
  <c r="D110" i="14" s="1"/>
  <c r="D134" i="14" s="1"/>
  <c r="D158" i="14" s="1"/>
  <c r="D182" i="14" s="1"/>
  <c r="D206" i="14" s="1"/>
  <c r="D230" i="14" s="1"/>
  <c r="D254" i="14" s="1"/>
  <c r="D278" i="14" s="1"/>
  <c r="D302" i="14" s="1"/>
  <c r="D326" i="14" s="1"/>
  <c r="D350" i="14" s="1"/>
  <c r="D374" i="14" s="1"/>
  <c r="D398" i="14" s="1"/>
  <c r="D422" i="14" s="1"/>
  <c r="D446" i="14" s="1"/>
  <c r="D470" i="14" s="1"/>
  <c r="D494" i="14" s="1"/>
  <c r="D518" i="14" s="1"/>
  <c r="D542" i="14" s="1"/>
  <c r="D566" i="14" s="1"/>
  <c r="D590" i="14" s="1"/>
  <c r="D614" i="14" s="1"/>
  <c r="D638" i="14" s="1"/>
  <c r="D662" i="14" s="1"/>
  <c r="D686" i="14" s="1"/>
  <c r="D710" i="14" s="1"/>
  <c r="D734" i="14" s="1"/>
  <c r="D758" i="14" s="1"/>
  <c r="D782" i="14" s="1"/>
  <c r="D806" i="14" s="1"/>
  <c r="D830" i="14" s="1"/>
  <c r="D854" i="14" s="1"/>
  <c r="D878" i="14" s="1"/>
  <c r="D902" i="14" s="1"/>
  <c r="D926" i="14" s="1"/>
  <c r="D950" i="14" s="1"/>
  <c r="D974" i="14" s="1"/>
  <c r="D998" i="14" s="1"/>
  <c r="D1022" i="14" s="1"/>
  <c r="D1046" i="14" s="1"/>
  <c r="D1070" i="14" s="1"/>
  <c r="D1094" i="14" s="1"/>
  <c r="D1118" i="14" s="1"/>
  <c r="D1142" i="14" s="1"/>
  <c r="D1166" i="14" s="1"/>
  <c r="E37" i="14"/>
  <c r="D37" i="14"/>
  <c r="E36" i="14"/>
  <c r="D36" i="14"/>
  <c r="D60" i="14" s="1"/>
  <c r="D84" i="14" s="1"/>
  <c r="D108" i="14" s="1"/>
  <c r="D132" i="14" s="1"/>
  <c r="D156" i="14" s="1"/>
  <c r="D180" i="14" s="1"/>
  <c r="D204" i="14" s="1"/>
  <c r="D228" i="14" s="1"/>
  <c r="D252" i="14" s="1"/>
  <c r="D276" i="14" s="1"/>
  <c r="D300" i="14" s="1"/>
  <c r="D324" i="14" s="1"/>
  <c r="D348" i="14" s="1"/>
  <c r="D372" i="14" s="1"/>
  <c r="D396" i="14" s="1"/>
  <c r="D420" i="14" s="1"/>
  <c r="D444" i="14" s="1"/>
  <c r="D468" i="14" s="1"/>
  <c r="D492" i="14" s="1"/>
  <c r="D516" i="14" s="1"/>
  <c r="D540" i="14" s="1"/>
  <c r="D564" i="14" s="1"/>
  <c r="D588" i="14" s="1"/>
  <c r="D612" i="14" s="1"/>
  <c r="D636" i="14" s="1"/>
  <c r="D660" i="14" s="1"/>
  <c r="D684" i="14" s="1"/>
  <c r="D708" i="14" s="1"/>
  <c r="D732" i="14" s="1"/>
  <c r="D756" i="14" s="1"/>
  <c r="D780" i="14" s="1"/>
  <c r="D804" i="14" s="1"/>
  <c r="D828" i="14" s="1"/>
  <c r="D852" i="14" s="1"/>
  <c r="D876" i="14" s="1"/>
  <c r="D900" i="14" s="1"/>
  <c r="D924" i="14" s="1"/>
  <c r="D948" i="14" s="1"/>
  <c r="D972" i="14" s="1"/>
  <c r="D996" i="14" s="1"/>
  <c r="D1020" i="14" s="1"/>
  <c r="D1044" i="14" s="1"/>
  <c r="D1068" i="14" s="1"/>
  <c r="D1092" i="14" s="1"/>
  <c r="D1116" i="14" s="1"/>
  <c r="D1140" i="14" s="1"/>
  <c r="D1164" i="14" s="1"/>
  <c r="E35" i="14"/>
  <c r="D35" i="14"/>
  <c r="E34" i="14"/>
  <c r="D34" i="14"/>
  <c r="D58" i="14" s="1"/>
  <c r="D82" i="14" s="1"/>
  <c r="D106" i="14" s="1"/>
  <c r="D130" i="14" s="1"/>
  <c r="D154" i="14" s="1"/>
  <c r="D178" i="14" s="1"/>
  <c r="D202" i="14" s="1"/>
  <c r="D226" i="14" s="1"/>
  <c r="D250" i="14" s="1"/>
  <c r="D274" i="14" s="1"/>
  <c r="D298" i="14" s="1"/>
  <c r="D322" i="14" s="1"/>
  <c r="D346" i="14" s="1"/>
  <c r="D370" i="14" s="1"/>
  <c r="D394" i="14" s="1"/>
  <c r="D418" i="14" s="1"/>
  <c r="D442" i="14" s="1"/>
  <c r="D466" i="14" s="1"/>
  <c r="D490" i="14" s="1"/>
  <c r="D514" i="14" s="1"/>
  <c r="D538" i="14" s="1"/>
  <c r="D562" i="14" s="1"/>
  <c r="D586" i="14" s="1"/>
  <c r="D610" i="14" s="1"/>
  <c r="D634" i="14" s="1"/>
  <c r="D658" i="14" s="1"/>
  <c r="D682" i="14" s="1"/>
  <c r="D706" i="14" s="1"/>
  <c r="D730" i="14" s="1"/>
  <c r="D754" i="14" s="1"/>
  <c r="D778" i="14" s="1"/>
  <c r="D802" i="14" s="1"/>
  <c r="D826" i="14" s="1"/>
  <c r="D850" i="14" s="1"/>
  <c r="D874" i="14" s="1"/>
  <c r="D898" i="14" s="1"/>
  <c r="D922" i="14" s="1"/>
  <c r="D946" i="14" s="1"/>
  <c r="D970" i="14" s="1"/>
  <c r="D994" i="14" s="1"/>
  <c r="D1018" i="14" s="1"/>
  <c r="D1042" i="14" s="1"/>
  <c r="D1066" i="14" s="1"/>
  <c r="D1090" i="14" s="1"/>
  <c r="D1114" i="14" s="1"/>
  <c r="D1138" i="14" s="1"/>
  <c r="D1162" i="14" s="1"/>
  <c r="E33" i="14"/>
  <c r="D33" i="14"/>
  <c r="E32" i="14"/>
  <c r="D32" i="14"/>
  <c r="D56" i="14" s="1"/>
  <c r="D80" i="14" s="1"/>
  <c r="D104" i="14" s="1"/>
  <c r="D128" i="14" s="1"/>
  <c r="D152" i="14" s="1"/>
  <c r="D176" i="14" s="1"/>
  <c r="D200" i="14" s="1"/>
  <c r="D224" i="14" s="1"/>
  <c r="D248" i="14" s="1"/>
  <c r="D272" i="14" s="1"/>
  <c r="D296" i="14" s="1"/>
  <c r="D320" i="14" s="1"/>
  <c r="D344" i="14" s="1"/>
  <c r="D368" i="14" s="1"/>
  <c r="D392" i="14" s="1"/>
  <c r="D416" i="14" s="1"/>
  <c r="D440" i="14" s="1"/>
  <c r="D464" i="14" s="1"/>
  <c r="D488" i="14" s="1"/>
  <c r="D512" i="14" s="1"/>
  <c r="D536" i="14" s="1"/>
  <c r="D560" i="14" s="1"/>
  <c r="D584" i="14" s="1"/>
  <c r="D608" i="14" s="1"/>
  <c r="D632" i="14" s="1"/>
  <c r="D656" i="14" s="1"/>
  <c r="D680" i="14" s="1"/>
  <c r="D704" i="14" s="1"/>
  <c r="D728" i="14" s="1"/>
  <c r="D752" i="14" s="1"/>
  <c r="D776" i="14" s="1"/>
  <c r="D800" i="14" s="1"/>
  <c r="D824" i="14" s="1"/>
  <c r="D848" i="14" s="1"/>
  <c r="D872" i="14" s="1"/>
  <c r="D896" i="14" s="1"/>
  <c r="D920" i="14" s="1"/>
  <c r="D944" i="14" s="1"/>
  <c r="D968" i="14" s="1"/>
  <c r="D992" i="14" s="1"/>
  <c r="D1016" i="14" s="1"/>
  <c r="D1040" i="14" s="1"/>
  <c r="D1064" i="14" s="1"/>
  <c r="D1088" i="14" s="1"/>
  <c r="D1112" i="14" s="1"/>
  <c r="D1136" i="14" s="1"/>
  <c r="D1160" i="14" s="1"/>
  <c r="E31" i="14"/>
  <c r="D31" i="14"/>
  <c r="E30" i="14"/>
  <c r="D30" i="14"/>
  <c r="D54" i="14" s="1"/>
  <c r="D78" i="14" s="1"/>
  <c r="D102" i="14" s="1"/>
  <c r="D126" i="14" s="1"/>
  <c r="D150" i="14" s="1"/>
  <c r="D174" i="14" s="1"/>
  <c r="D198" i="14" s="1"/>
  <c r="D222" i="14" s="1"/>
  <c r="D246" i="14" s="1"/>
  <c r="D270" i="14" s="1"/>
  <c r="D294" i="14" s="1"/>
  <c r="D318" i="14" s="1"/>
  <c r="D342" i="14" s="1"/>
  <c r="D366" i="14" s="1"/>
  <c r="D390" i="14" s="1"/>
  <c r="D414" i="14" s="1"/>
  <c r="D438" i="14" s="1"/>
  <c r="D462" i="14" s="1"/>
  <c r="D486" i="14" s="1"/>
  <c r="D510" i="14" s="1"/>
  <c r="D534" i="14" s="1"/>
  <c r="D558" i="14" s="1"/>
  <c r="D582" i="14" s="1"/>
  <c r="D606" i="14" s="1"/>
  <c r="D630" i="14" s="1"/>
  <c r="D654" i="14" s="1"/>
  <c r="D678" i="14" s="1"/>
  <c r="D702" i="14" s="1"/>
  <c r="D726" i="14" s="1"/>
  <c r="D750" i="14" s="1"/>
  <c r="D774" i="14" s="1"/>
  <c r="D798" i="14" s="1"/>
  <c r="D822" i="14" s="1"/>
  <c r="D846" i="14" s="1"/>
  <c r="D870" i="14" s="1"/>
  <c r="D894" i="14" s="1"/>
  <c r="D918" i="14" s="1"/>
  <c r="D942" i="14" s="1"/>
  <c r="D966" i="14" s="1"/>
  <c r="D990" i="14" s="1"/>
  <c r="D1014" i="14" s="1"/>
  <c r="D1038" i="14" s="1"/>
  <c r="D1062" i="14" s="1"/>
  <c r="D1086" i="14" s="1"/>
  <c r="D1110" i="14" s="1"/>
  <c r="D1134" i="14" s="1"/>
  <c r="D1158" i="14" s="1"/>
  <c r="C30" i="14"/>
  <c r="B30" i="14"/>
  <c r="E1181" i="15"/>
  <c r="E1180" i="15"/>
  <c r="E1179" i="15"/>
  <c r="E1178" i="15"/>
  <c r="E1177" i="15"/>
  <c r="E1176" i="15"/>
  <c r="E1175" i="15"/>
  <c r="E1174" i="15"/>
  <c r="E1173" i="15"/>
  <c r="E1172" i="15"/>
  <c r="E1171" i="15"/>
  <c r="E1170" i="15"/>
  <c r="E1169" i="15"/>
  <c r="E1168" i="15"/>
  <c r="E1167" i="15"/>
  <c r="E1166" i="15"/>
  <c r="E1165" i="15"/>
  <c r="E1164" i="15"/>
  <c r="E1163" i="15"/>
  <c r="E1162" i="15"/>
  <c r="E1161" i="15"/>
  <c r="E1160" i="15"/>
  <c r="E1159" i="15"/>
  <c r="E1158" i="15"/>
  <c r="C1158" i="15"/>
  <c r="E1157" i="15"/>
  <c r="E1156" i="15"/>
  <c r="E1155" i="15"/>
  <c r="E1154" i="15"/>
  <c r="E1153" i="15"/>
  <c r="E1152" i="15"/>
  <c r="E1151" i="15"/>
  <c r="E1150" i="15"/>
  <c r="E1149" i="15"/>
  <c r="E1148" i="15"/>
  <c r="E1147" i="15"/>
  <c r="E1146" i="15"/>
  <c r="E1145" i="15"/>
  <c r="E1144" i="15"/>
  <c r="E1143" i="15"/>
  <c r="E1142" i="15"/>
  <c r="E1141" i="15"/>
  <c r="E1140" i="15"/>
  <c r="E1139" i="15"/>
  <c r="E1138" i="15"/>
  <c r="E1137" i="15"/>
  <c r="E1136" i="15"/>
  <c r="E1135" i="15"/>
  <c r="E1134" i="15"/>
  <c r="C1134" i="15"/>
  <c r="B1134" i="15"/>
  <c r="E1133" i="15"/>
  <c r="E1132" i="15"/>
  <c r="E1131" i="15"/>
  <c r="E1130" i="15"/>
  <c r="E1129" i="15"/>
  <c r="E1128" i="15"/>
  <c r="E1127" i="15"/>
  <c r="E1126" i="15"/>
  <c r="E1125" i="15"/>
  <c r="E1124" i="15"/>
  <c r="E1123" i="15"/>
  <c r="E1122" i="15"/>
  <c r="E1121" i="15"/>
  <c r="E1120" i="15"/>
  <c r="E1119" i="15"/>
  <c r="E1118" i="15"/>
  <c r="E1117" i="15"/>
  <c r="E1116" i="15"/>
  <c r="E1115" i="15"/>
  <c r="E1114" i="15"/>
  <c r="E1113" i="15"/>
  <c r="E1112" i="15"/>
  <c r="E1111" i="15"/>
  <c r="E1110" i="15"/>
  <c r="C1110" i="15"/>
  <c r="B1110" i="15"/>
  <c r="E1109" i="15"/>
  <c r="E1108" i="15"/>
  <c r="E1107" i="15"/>
  <c r="E1106" i="15"/>
  <c r="E1105" i="15"/>
  <c r="E1104" i="15"/>
  <c r="E1103" i="15"/>
  <c r="E1102" i="15"/>
  <c r="E1101" i="15"/>
  <c r="E1100" i="15"/>
  <c r="E1099" i="15"/>
  <c r="E1098" i="15"/>
  <c r="E1097" i="15"/>
  <c r="E1096" i="15"/>
  <c r="E1095" i="15"/>
  <c r="E1094" i="15"/>
  <c r="E1093" i="15"/>
  <c r="E1092" i="15"/>
  <c r="E1091" i="15"/>
  <c r="E1090" i="15"/>
  <c r="E1089" i="15"/>
  <c r="E1088" i="15"/>
  <c r="E1087" i="15"/>
  <c r="E1086" i="15"/>
  <c r="C1086" i="15"/>
  <c r="B1086" i="15"/>
  <c r="E1085" i="15"/>
  <c r="E1084" i="15"/>
  <c r="E1083" i="15"/>
  <c r="E1082" i="15"/>
  <c r="E1081" i="15"/>
  <c r="E1080" i="15"/>
  <c r="E1079" i="15"/>
  <c r="E1078" i="15"/>
  <c r="E1077" i="15"/>
  <c r="E1076" i="15"/>
  <c r="E1075" i="15"/>
  <c r="E1074" i="15"/>
  <c r="E1073" i="15"/>
  <c r="E1072" i="15"/>
  <c r="E1071" i="15"/>
  <c r="E1070" i="15"/>
  <c r="E1069" i="15"/>
  <c r="E1068" i="15"/>
  <c r="E1067" i="15"/>
  <c r="E1066" i="15"/>
  <c r="E1065" i="15"/>
  <c r="E1064" i="15"/>
  <c r="E1063" i="15"/>
  <c r="E1062" i="15"/>
  <c r="C1062" i="15"/>
  <c r="B1062" i="15"/>
  <c r="E1061" i="15"/>
  <c r="E1060" i="15"/>
  <c r="E1059" i="15"/>
  <c r="E1058" i="15"/>
  <c r="E1057" i="15"/>
  <c r="E1056" i="15"/>
  <c r="E1055" i="15"/>
  <c r="E1054" i="15"/>
  <c r="E1053" i="15"/>
  <c r="E1052" i="15"/>
  <c r="E1051" i="15"/>
  <c r="E1050" i="15"/>
  <c r="E1049" i="15"/>
  <c r="E1048" i="15"/>
  <c r="E1047" i="15"/>
  <c r="E1046" i="15"/>
  <c r="E1045" i="15"/>
  <c r="E1044" i="15"/>
  <c r="E1043" i="15"/>
  <c r="E1042" i="15"/>
  <c r="E1041" i="15"/>
  <c r="E1040" i="15"/>
  <c r="E1039" i="15"/>
  <c r="E1038" i="15"/>
  <c r="C1038" i="15"/>
  <c r="B1038" i="15"/>
  <c r="E1037" i="15"/>
  <c r="E1036" i="15"/>
  <c r="E1035" i="15"/>
  <c r="E1034" i="15"/>
  <c r="E1033" i="15"/>
  <c r="E1032" i="15"/>
  <c r="E1031" i="15"/>
  <c r="E1030" i="15"/>
  <c r="E1029" i="15"/>
  <c r="E1028" i="15"/>
  <c r="E1027" i="15"/>
  <c r="E1026" i="15"/>
  <c r="E1025" i="15"/>
  <c r="E1024" i="15"/>
  <c r="E1023" i="15"/>
  <c r="E1022" i="15"/>
  <c r="E1021" i="15"/>
  <c r="E1020" i="15"/>
  <c r="E1019" i="15"/>
  <c r="E1018" i="15"/>
  <c r="E1017" i="15"/>
  <c r="E1016" i="15"/>
  <c r="E1015" i="15"/>
  <c r="E1014" i="15"/>
  <c r="C1014" i="15"/>
  <c r="B1014" i="15"/>
  <c r="E1013" i="15"/>
  <c r="E1012" i="15"/>
  <c r="E1011" i="15"/>
  <c r="E1010" i="15"/>
  <c r="E1009" i="15"/>
  <c r="E1008" i="15"/>
  <c r="E1007" i="15"/>
  <c r="E1006" i="15"/>
  <c r="E1005" i="15"/>
  <c r="E1004" i="15"/>
  <c r="E1003" i="15"/>
  <c r="E1002" i="15"/>
  <c r="E1001" i="15"/>
  <c r="E1000" i="15"/>
  <c r="E999" i="15"/>
  <c r="E998" i="15"/>
  <c r="E997" i="15"/>
  <c r="E996" i="15"/>
  <c r="E995" i="15"/>
  <c r="E994" i="15"/>
  <c r="E993" i="15"/>
  <c r="E992" i="15"/>
  <c r="E991" i="15"/>
  <c r="E990" i="15"/>
  <c r="C990" i="15"/>
  <c r="B990" i="15"/>
  <c r="E989" i="15"/>
  <c r="E988" i="15"/>
  <c r="E987" i="15"/>
  <c r="E986" i="15"/>
  <c r="E985" i="15"/>
  <c r="E984" i="15"/>
  <c r="E983" i="15"/>
  <c r="E982" i="15"/>
  <c r="E981" i="15"/>
  <c r="E980" i="15"/>
  <c r="E979" i="15"/>
  <c r="E978" i="15"/>
  <c r="E977" i="15"/>
  <c r="E976" i="15"/>
  <c r="E975" i="15"/>
  <c r="E974" i="15"/>
  <c r="E973" i="15"/>
  <c r="E972" i="15"/>
  <c r="E971" i="15"/>
  <c r="E970" i="15"/>
  <c r="E969" i="15"/>
  <c r="E968" i="15"/>
  <c r="E967" i="15"/>
  <c r="E966" i="15"/>
  <c r="C966" i="15"/>
  <c r="B966" i="15"/>
  <c r="E965" i="15"/>
  <c r="E964" i="15"/>
  <c r="E963" i="15"/>
  <c r="E962" i="15"/>
  <c r="E961" i="15"/>
  <c r="E960" i="15"/>
  <c r="E959" i="15"/>
  <c r="E958" i="15"/>
  <c r="E957" i="15"/>
  <c r="E956" i="15"/>
  <c r="E955" i="15"/>
  <c r="E954" i="15"/>
  <c r="E953" i="15"/>
  <c r="E952" i="15"/>
  <c r="E951" i="15"/>
  <c r="E950" i="15"/>
  <c r="E949" i="15"/>
  <c r="E948" i="15"/>
  <c r="E947" i="15"/>
  <c r="E946" i="15"/>
  <c r="E945" i="15"/>
  <c r="E944" i="15"/>
  <c r="E943" i="15"/>
  <c r="E942" i="15"/>
  <c r="C942" i="15"/>
  <c r="B942" i="15"/>
  <c r="E941" i="15"/>
  <c r="E940" i="15"/>
  <c r="E939" i="15"/>
  <c r="E938" i="15"/>
  <c r="E937" i="15"/>
  <c r="E936" i="15"/>
  <c r="E935" i="15"/>
  <c r="E934" i="15"/>
  <c r="E933" i="15"/>
  <c r="E932" i="15"/>
  <c r="E931" i="15"/>
  <c r="E930" i="15"/>
  <c r="E929" i="15"/>
  <c r="E928" i="15"/>
  <c r="E927" i="15"/>
  <c r="E926" i="15"/>
  <c r="E925" i="15"/>
  <c r="E924" i="15"/>
  <c r="E923" i="15"/>
  <c r="E922" i="15"/>
  <c r="E921" i="15"/>
  <c r="E920" i="15"/>
  <c r="E919" i="15"/>
  <c r="E918" i="15"/>
  <c r="C918" i="15"/>
  <c r="B918" i="15"/>
  <c r="E917" i="15"/>
  <c r="E916" i="15"/>
  <c r="E915" i="15"/>
  <c r="E914" i="15"/>
  <c r="E913" i="15"/>
  <c r="E912" i="15"/>
  <c r="E911" i="15"/>
  <c r="E910" i="15"/>
  <c r="E909" i="15"/>
  <c r="E908" i="15"/>
  <c r="E907" i="15"/>
  <c r="E906" i="15"/>
  <c r="E905" i="15"/>
  <c r="E904" i="15"/>
  <c r="E903" i="15"/>
  <c r="E902" i="15"/>
  <c r="E901" i="15"/>
  <c r="E900" i="15"/>
  <c r="E899" i="15"/>
  <c r="E898" i="15"/>
  <c r="E897" i="15"/>
  <c r="E896" i="15"/>
  <c r="E895" i="15"/>
  <c r="E894" i="15"/>
  <c r="C894" i="15"/>
  <c r="B894" i="15"/>
  <c r="E893" i="15"/>
  <c r="E892" i="15"/>
  <c r="E891" i="15"/>
  <c r="E890" i="15"/>
  <c r="E889" i="15"/>
  <c r="E888" i="15"/>
  <c r="E887" i="15"/>
  <c r="E886" i="15"/>
  <c r="E885" i="15"/>
  <c r="E884" i="15"/>
  <c r="E883" i="15"/>
  <c r="E882" i="15"/>
  <c r="E881" i="15"/>
  <c r="E880" i="15"/>
  <c r="E879" i="15"/>
  <c r="E878" i="15"/>
  <c r="E877" i="15"/>
  <c r="E876" i="15"/>
  <c r="E875" i="15"/>
  <c r="E874" i="15"/>
  <c r="E873" i="15"/>
  <c r="E872" i="15"/>
  <c r="E871" i="15"/>
  <c r="E870" i="15"/>
  <c r="C870" i="15"/>
  <c r="B870" i="15"/>
  <c r="E869" i="15"/>
  <c r="E868" i="15"/>
  <c r="E867" i="15"/>
  <c r="E866" i="15"/>
  <c r="E865" i="15"/>
  <c r="E864" i="15"/>
  <c r="E863" i="15"/>
  <c r="E862" i="15"/>
  <c r="E861" i="15"/>
  <c r="E860" i="15"/>
  <c r="E859" i="15"/>
  <c r="E858" i="15"/>
  <c r="E857" i="15"/>
  <c r="E856" i="15"/>
  <c r="E855" i="15"/>
  <c r="E854" i="15"/>
  <c r="E853" i="15"/>
  <c r="E852" i="15"/>
  <c r="E851" i="15"/>
  <c r="E850" i="15"/>
  <c r="E849" i="15"/>
  <c r="E848" i="15"/>
  <c r="E847" i="15"/>
  <c r="E846" i="15"/>
  <c r="C846" i="15"/>
  <c r="B846" i="15"/>
  <c r="E845" i="15"/>
  <c r="E844" i="15"/>
  <c r="E843" i="15"/>
  <c r="E842" i="15"/>
  <c r="E841" i="15"/>
  <c r="E840" i="15"/>
  <c r="E839" i="15"/>
  <c r="E838" i="15"/>
  <c r="E837" i="15"/>
  <c r="E836" i="15"/>
  <c r="E835" i="15"/>
  <c r="E834" i="15"/>
  <c r="E833" i="15"/>
  <c r="E832" i="15"/>
  <c r="E831" i="15"/>
  <c r="E830" i="15"/>
  <c r="E829" i="15"/>
  <c r="E828" i="15"/>
  <c r="E827" i="15"/>
  <c r="E826" i="15"/>
  <c r="E825" i="15"/>
  <c r="E824" i="15"/>
  <c r="E823" i="15"/>
  <c r="E822" i="15"/>
  <c r="C822" i="15"/>
  <c r="B822" i="15"/>
  <c r="E821" i="15"/>
  <c r="E820" i="15"/>
  <c r="E819" i="15"/>
  <c r="E818" i="15"/>
  <c r="E817" i="15"/>
  <c r="E816" i="15"/>
  <c r="E815" i="15"/>
  <c r="E814" i="15"/>
  <c r="E813" i="15"/>
  <c r="E812" i="15"/>
  <c r="E811" i="15"/>
  <c r="E810" i="15"/>
  <c r="E809" i="15"/>
  <c r="E808" i="15"/>
  <c r="E807" i="15"/>
  <c r="E806" i="15"/>
  <c r="E805" i="15"/>
  <c r="E804" i="15"/>
  <c r="E803" i="15"/>
  <c r="E802" i="15"/>
  <c r="E801" i="15"/>
  <c r="E800" i="15"/>
  <c r="E799" i="15"/>
  <c r="E798" i="15"/>
  <c r="C798" i="15"/>
  <c r="B798" i="15"/>
  <c r="E797" i="15"/>
  <c r="E796" i="15"/>
  <c r="E795" i="15"/>
  <c r="E794" i="15"/>
  <c r="E793" i="15"/>
  <c r="E792" i="15"/>
  <c r="E791" i="15"/>
  <c r="E790" i="15"/>
  <c r="E789" i="15"/>
  <c r="E788" i="15"/>
  <c r="E787" i="15"/>
  <c r="E786" i="15"/>
  <c r="E785" i="15"/>
  <c r="E784" i="15"/>
  <c r="E783" i="15"/>
  <c r="E782" i="15"/>
  <c r="E781" i="15"/>
  <c r="E780" i="15"/>
  <c r="E779" i="15"/>
  <c r="E778" i="15"/>
  <c r="E777" i="15"/>
  <c r="E776" i="15"/>
  <c r="E775" i="15"/>
  <c r="E774" i="15"/>
  <c r="C774" i="15"/>
  <c r="B774" i="15"/>
  <c r="E773" i="15"/>
  <c r="E772" i="15"/>
  <c r="E771" i="15"/>
  <c r="E770" i="15"/>
  <c r="E769" i="15"/>
  <c r="E768" i="15"/>
  <c r="E767" i="15"/>
  <c r="E766" i="15"/>
  <c r="E765" i="15"/>
  <c r="E764" i="15"/>
  <c r="E763" i="15"/>
  <c r="E762" i="15"/>
  <c r="E761" i="15"/>
  <c r="E760" i="15"/>
  <c r="E759" i="15"/>
  <c r="E758" i="15"/>
  <c r="E757" i="15"/>
  <c r="E756" i="15"/>
  <c r="E755" i="15"/>
  <c r="E754" i="15"/>
  <c r="E753" i="15"/>
  <c r="E752" i="15"/>
  <c r="E751" i="15"/>
  <c r="E750" i="15"/>
  <c r="C750" i="15"/>
  <c r="B750" i="15"/>
  <c r="E749" i="15"/>
  <c r="E748" i="15"/>
  <c r="E747" i="15"/>
  <c r="E746" i="15"/>
  <c r="E745" i="15"/>
  <c r="E744" i="15"/>
  <c r="E743" i="15"/>
  <c r="E742" i="15"/>
  <c r="E741" i="15"/>
  <c r="E740" i="15"/>
  <c r="E739" i="15"/>
  <c r="E738" i="15"/>
  <c r="E737" i="15"/>
  <c r="E736" i="15"/>
  <c r="E735" i="15"/>
  <c r="E734" i="15"/>
  <c r="E733" i="15"/>
  <c r="E732" i="15"/>
  <c r="E731" i="15"/>
  <c r="E730" i="15"/>
  <c r="E729" i="15"/>
  <c r="E728" i="15"/>
  <c r="E727" i="15"/>
  <c r="E726" i="15"/>
  <c r="C726" i="15"/>
  <c r="B726" i="15"/>
  <c r="E725" i="15"/>
  <c r="E724" i="15"/>
  <c r="E723" i="15"/>
  <c r="E722" i="15"/>
  <c r="E721" i="15"/>
  <c r="E720" i="15"/>
  <c r="E719" i="15"/>
  <c r="E718" i="15"/>
  <c r="E717" i="15"/>
  <c r="E716" i="15"/>
  <c r="E715" i="15"/>
  <c r="E714" i="15"/>
  <c r="E713" i="15"/>
  <c r="E712" i="15"/>
  <c r="E711" i="15"/>
  <c r="E710" i="15"/>
  <c r="E709" i="15"/>
  <c r="E708" i="15"/>
  <c r="E707" i="15"/>
  <c r="E706" i="15"/>
  <c r="E705" i="15"/>
  <c r="E704" i="15"/>
  <c r="E703" i="15"/>
  <c r="E702" i="15"/>
  <c r="C702" i="15"/>
  <c r="B702" i="15"/>
  <c r="E701" i="15"/>
  <c r="E700" i="15"/>
  <c r="E699" i="15"/>
  <c r="E698" i="15"/>
  <c r="E697" i="15"/>
  <c r="E696" i="15"/>
  <c r="E695" i="15"/>
  <c r="E694" i="15"/>
  <c r="E693" i="15"/>
  <c r="E692" i="15"/>
  <c r="E691" i="15"/>
  <c r="E690" i="15"/>
  <c r="E689" i="15"/>
  <c r="E688" i="15"/>
  <c r="E687" i="15"/>
  <c r="E686" i="15"/>
  <c r="E685" i="15"/>
  <c r="E684" i="15"/>
  <c r="E683" i="15"/>
  <c r="E682" i="15"/>
  <c r="E681" i="15"/>
  <c r="E680" i="15"/>
  <c r="E679" i="15"/>
  <c r="E678" i="15"/>
  <c r="C678" i="15"/>
  <c r="B678" i="15"/>
  <c r="E677" i="15"/>
  <c r="E676" i="15"/>
  <c r="E675" i="15"/>
  <c r="E674" i="15"/>
  <c r="E673" i="15"/>
  <c r="E672" i="15"/>
  <c r="E671" i="15"/>
  <c r="E670" i="15"/>
  <c r="E669" i="15"/>
  <c r="E668" i="15"/>
  <c r="E667" i="15"/>
  <c r="E666" i="15"/>
  <c r="E665" i="15"/>
  <c r="E664" i="15"/>
  <c r="E663" i="15"/>
  <c r="E662" i="15"/>
  <c r="E661" i="15"/>
  <c r="E660" i="15"/>
  <c r="E659" i="15"/>
  <c r="E658" i="15"/>
  <c r="E657" i="15"/>
  <c r="E656" i="15"/>
  <c r="E655" i="15"/>
  <c r="E654" i="15"/>
  <c r="C654" i="15"/>
  <c r="B654" i="15"/>
  <c r="E653" i="15"/>
  <c r="E652" i="15"/>
  <c r="E651" i="15"/>
  <c r="E650" i="15"/>
  <c r="E649" i="15"/>
  <c r="E648" i="15"/>
  <c r="E647" i="15"/>
  <c r="E646" i="15"/>
  <c r="E645" i="15"/>
  <c r="E644" i="15"/>
  <c r="E643" i="15"/>
  <c r="E642" i="15"/>
  <c r="E641" i="15"/>
  <c r="E640" i="15"/>
  <c r="E639" i="15"/>
  <c r="E638" i="15"/>
  <c r="E637" i="15"/>
  <c r="E636" i="15"/>
  <c r="E635" i="15"/>
  <c r="E634" i="15"/>
  <c r="E633" i="15"/>
  <c r="E632" i="15"/>
  <c r="E631" i="15"/>
  <c r="E630" i="15"/>
  <c r="C630" i="15"/>
  <c r="B630" i="15"/>
  <c r="E629" i="15"/>
  <c r="E628" i="15"/>
  <c r="E627" i="15"/>
  <c r="E626" i="15"/>
  <c r="E625" i="15"/>
  <c r="E624" i="15"/>
  <c r="E623" i="15"/>
  <c r="E622" i="15"/>
  <c r="E621" i="15"/>
  <c r="E620" i="15"/>
  <c r="E619" i="15"/>
  <c r="E618" i="15"/>
  <c r="E617" i="15"/>
  <c r="E616" i="15"/>
  <c r="E615" i="15"/>
  <c r="E614" i="15"/>
  <c r="E613" i="15"/>
  <c r="E612" i="15"/>
  <c r="E611" i="15"/>
  <c r="E610" i="15"/>
  <c r="E609" i="15"/>
  <c r="E608" i="15"/>
  <c r="E607" i="15"/>
  <c r="E606" i="15"/>
  <c r="C606" i="15"/>
  <c r="B606" i="15"/>
  <c r="E605" i="15"/>
  <c r="E604" i="15"/>
  <c r="E603" i="15"/>
  <c r="E602" i="15"/>
  <c r="E601" i="15"/>
  <c r="E600" i="15"/>
  <c r="E599" i="15"/>
  <c r="E598" i="15"/>
  <c r="E597" i="15"/>
  <c r="E596" i="15"/>
  <c r="E595" i="15"/>
  <c r="E594" i="15"/>
  <c r="E593" i="15"/>
  <c r="E592" i="15"/>
  <c r="E591" i="15"/>
  <c r="E590" i="15"/>
  <c r="E589" i="15"/>
  <c r="E588" i="15"/>
  <c r="E587" i="15"/>
  <c r="E586" i="15"/>
  <c r="E585" i="15"/>
  <c r="E584" i="15"/>
  <c r="E583" i="15"/>
  <c r="E582" i="15"/>
  <c r="C582" i="15"/>
  <c r="B582" i="15"/>
  <c r="E581" i="15"/>
  <c r="E580" i="15"/>
  <c r="E579" i="15"/>
  <c r="E578" i="15"/>
  <c r="E577" i="15"/>
  <c r="E576" i="15"/>
  <c r="E575" i="15"/>
  <c r="E574" i="15"/>
  <c r="E573" i="15"/>
  <c r="E572" i="15"/>
  <c r="E571" i="15"/>
  <c r="E570" i="15"/>
  <c r="E569" i="15"/>
  <c r="E568" i="15"/>
  <c r="E567" i="15"/>
  <c r="E566" i="15"/>
  <c r="E565" i="15"/>
  <c r="E564" i="15"/>
  <c r="E563" i="15"/>
  <c r="E562" i="15"/>
  <c r="E561" i="15"/>
  <c r="E560" i="15"/>
  <c r="E559" i="15"/>
  <c r="E558" i="15"/>
  <c r="C558" i="15"/>
  <c r="B558" i="15"/>
  <c r="E557" i="15"/>
  <c r="E556" i="15"/>
  <c r="E555" i="15"/>
  <c r="E554" i="15"/>
  <c r="E553" i="15"/>
  <c r="E552" i="15"/>
  <c r="E551" i="15"/>
  <c r="E550" i="15"/>
  <c r="E549" i="15"/>
  <c r="E548" i="15"/>
  <c r="E547" i="15"/>
  <c r="E546" i="15"/>
  <c r="E545" i="15"/>
  <c r="E544" i="15"/>
  <c r="E543" i="15"/>
  <c r="E542" i="15"/>
  <c r="E541" i="15"/>
  <c r="E540" i="15"/>
  <c r="E539" i="15"/>
  <c r="E538" i="15"/>
  <c r="E537" i="15"/>
  <c r="E536" i="15"/>
  <c r="E535" i="15"/>
  <c r="E534" i="15"/>
  <c r="C534" i="15"/>
  <c r="B534" i="15"/>
  <c r="E533" i="15"/>
  <c r="E532" i="15"/>
  <c r="E531" i="15"/>
  <c r="E530" i="15"/>
  <c r="E529" i="15"/>
  <c r="E528" i="15"/>
  <c r="E527" i="15"/>
  <c r="E526" i="15"/>
  <c r="E525" i="15"/>
  <c r="E524" i="15"/>
  <c r="E523" i="15"/>
  <c r="E522" i="15"/>
  <c r="E521" i="15"/>
  <c r="E520" i="15"/>
  <c r="E519" i="15"/>
  <c r="E518" i="15"/>
  <c r="E517" i="15"/>
  <c r="E516" i="15"/>
  <c r="E515" i="15"/>
  <c r="E514" i="15"/>
  <c r="E513" i="15"/>
  <c r="E512" i="15"/>
  <c r="E511" i="15"/>
  <c r="E510" i="15"/>
  <c r="C510" i="15"/>
  <c r="B510" i="15"/>
  <c r="E509" i="15"/>
  <c r="E508" i="15"/>
  <c r="E507" i="15"/>
  <c r="E506" i="15"/>
  <c r="E505" i="15"/>
  <c r="E504" i="15"/>
  <c r="E503" i="15"/>
  <c r="E502" i="15"/>
  <c r="E501" i="15"/>
  <c r="E500" i="15"/>
  <c r="E499" i="15"/>
  <c r="E498" i="15"/>
  <c r="E497" i="15"/>
  <c r="E496" i="15"/>
  <c r="E495" i="15"/>
  <c r="E494" i="15"/>
  <c r="E493" i="15"/>
  <c r="E492" i="15"/>
  <c r="E491" i="15"/>
  <c r="E490" i="15"/>
  <c r="E489" i="15"/>
  <c r="E488" i="15"/>
  <c r="E487" i="15"/>
  <c r="E486" i="15"/>
  <c r="C486" i="15"/>
  <c r="B486" i="15"/>
  <c r="E485" i="15"/>
  <c r="E484" i="15"/>
  <c r="E483" i="15"/>
  <c r="E482" i="15"/>
  <c r="E481" i="15"/>
  <c r="E480" i="15"/>
  <c r="E479" i="15"/>
  <c r="E478" i="15"/>
  <c r="E477" i="15"/>
  <c r="E476" i="15"/>
  <c r="E475" i="15"/>
  <c r="E474" i="15"/>
  <c r="E473" i="15"/>
  <c r="E472" i="15"/>
  <c r="E471" i="15"/>
  <c r="E470" i="15"/>
  <c r="E469" i="15"/>
  <c r="E468" i="15"/>
  <c r="E467" i="15"/>
  <c r="E466" i="15"/>
  <c r="E465" i="15"/>
  <c r="E464" i="15"/>
  <c r="E463" i="15"/>
  <c r="E462" i="15"/>
  <c r="C462" i="15"/>
  <c r="B462" i="15"/>
  <c r="E461" i="15"/>
  <c r="E460" i="15"/>
  <c r="E459" i="15"/>
  <c r="E458" i="15"/>
  <c r="E457" i="15"/>
  <c r="E456" i="15"/>
  <c r="E455" i="15"/>
  <c r="E454" i="15"/>
  <c r="E453" i="15"/>
  <c r="E452" i="15"/>
  <c r="E451" i="15"/>
  <c r="E450" i="15"/>
  <c r="E449" i="15"/>
  <c r="E448" i="15"/>
  <c r="E447" i="15"/>
  <c r="E446" i="15"/>
  <c r="E445" i="15"/>
  <c r="E444" i="15"/>
  <c r="E443" i="15"/>
  <c r="E442" i="15"/>
  <c r="E441" i="15"/>
  <c r="E440" i="15"/>
  <c r="E439" i="15"/>
  <c r="E438" i="15"/>
  <c r="C438" i="15"/>
  <c r="B438" i="15"/>
  <c r="E437" i="15"/>
  <c r="E436" i="15"/>
  <c r="E435" i="15"/>
  <c r="E434" i="15"/>
  <c r="E433" i="15"/>
  <c r="E432" i="15"/>
  <c r="E431" i="15"/>
  <c r="E430" i="15"/>
  <c r="E429" i="15"/>
  <c r="E428" i="15"/>
  <c r="E427" i="15"/>
  <c r="E426" i="15"/>
  <c r="E425" i="15"/>
  <c r="E424" i="15"/>
  <c r="E423" i="15"/>
  <c r="E422" i="15"/>
  <c r="E421" i="15"/>
  <c r="E420" i="15"/>
  <c r="E419" i="15"/>
  <c r="E418" i="15"/>
  <c r="E417" i="15"/>
  <c r="E416" i="15"/>
  <c r="E415" i="15"/>
  <c r="E414" i="15"/>
  <c r="C414" i="15"/>
  <c r="B414" i="15"/>
  <c r="E413" i="15"/>
  <c r="E412" i="15"/>
  <c r="E411" i="15"/>
  <c r="E410" i="15"/>
  <c r="E409" i="15"/>
  <c r="E408" i="15"/>
  <c r="E407" i="15"/>
  <c r="E406" i="15"/>
  <c r="E405" i="15"/>
  <c r="E404" i="15"/>
  <c r="E403" i="15"/>
  <c r="E402" i="15"/>
  <c r="E401" i="15"/>
  <c r="E400" i="15"/>
  <c r="E399" i="15"/>
  <c r="E398" i="15"/>
  <c r="E397" i="15"/>
  <c r="E396" i="15"/>
  <c r="E395" i="15"/>
  <c r="E394" i="15"/>
  <c r="E393" i="15"/>
  <c r="E392" i="15"/>
  <c r="E391" i="15"/>
  <c r="E390" i="15"/>
  <c r="C390" i="15"/>
  <c r="B390" i="15"/>
  <c r="E389" i="15"/>
  <c r="E388" i="15"/>
  <c r="E387" i="15"/>
  <c r="E386" i="15"/>
  <c r="E385" i="15"/>
  <c r="E384" i="15"/>
  <c r="E383" i="15"/>
  <c r="E382" i="15"/>
  <c r="E381" i="15"/>
  <c r="E380" i="15"/>
  <c r="E379" i="15"/>
  <c r="E378" i="15"/>
  <c r="E377" i="15"/>
  <c r="E376" i="15"/>
  <c r="E375" i="15"/>
  <c r="E374" i="15"/>
  <c r="E373" i="15"/>
  <c r="E372" i="15"/>
  <c r="E371" i="15"/>
  <c r="E370" i="15"/>
  <c r="E369" i="15"/>
  <c r="E368" i="15"/>
  <c r="E367" i="15"/>
  <c r="E366" i="15"/>
  <c r="C366" i="15"/>
  <c r="B366" i="15"/>
  <c r="E365" i="15"/>
  <c r="E364" i="15"/>
  <c r="E363" i="15"/>
  <c r="E362" i="15"/>
  <c r="E361" i="15"/>
  <c r="E360" i="15"/>
  <c r="E359" i="15"/>
  <c r="E358" i="15"/>
  <c r="E357" i="15"/>
  <c r="E356" i="15"/>
  <c r="E355" i="15"/>
  <c r="E354" i="15"/>
  <c r="E353" i="15"/>
  <c r="E352" i="15"/>
  <c r="E351" i="15"/>
  <c r="E350" i="15"/>
  <c r="E349" i="15"/>
  <c r="E348" i="15"/>
  <c r="E347" i="15"/>
  <c r="E346" i="15"/>
  <c r="E345" i="15"/>
  <c r="E344" i="15"/>
  <c r="E343" i="15"/>
  <c r="E342" i="15"/>
  <c r="C342" i="15"/>
  <c r="B342" i="15"/>
  <c r="E341" i="15"/>
  <c r="E340" i="15"/>
  <c r="E339" i="15"/>
  <c r="E338" i="15"/>
  <c r="E337" i="15"/>
  <c r="E336" i="15"/>
  <c r="E335" i="15"/>
  <c r="E334" i="15"/>
  <c r="E333" i="15"/>
  <c r="E332" i="15"/>
  <c r="E331" i="15"/>
  <c r="E330" i="15"/>
  <c r="E329" i="15"/>
  <c r="E328" i="15"/>
  <c r="E327" i="15"/>
  <c r="E326" i="15"/>
  <c r="E325" i="15"/>
  <c r="E324" i="15"/>
  <c r="E323" i="15"/>
  <c r="E322" i="15"/>
  <c r="E321" i="15"/>
  <c r="E320" i="15"/>
  <c r="E319" i="15"/>
  <c r="E318" i="15"/>
  <c r="C318" i="15"/>
  <c r="B318" i="15"/>
  <c r="E317" i="15"/>
  <c r="E316" i="15"/>
  <c r="E315" i="15"/>
  <c r="E314" i="15"/>
  <c r="E313" i="15"/>
  <c r="E312" i="15"/>
  <c r="E311" i="15"/>
  <c r="E310" i="15"/>
  <c r="E309" i="15"/>
  <c r="E308" i="15"/>
  <c r="E307" i="15"/>
  <c r="E306" i="15"/>
  <c r="E305" i="15"/>
  <c r="E304" i="15"/>
  <c r="E303" i="15"/>
  <c r="E302" i="15"/>
  <c r="E301" i="15"/>
  <c r="E300" i="15"/>
  <c r="E299" i="15"/>
  <c r="E298" i="15"/>
  <c r="E297" i="15"/>
  <c r="E296" i="15"/>
  <c r="E295" i="15"/>
  <c r="E294" i="15"/>
  <c r="C294" i="15"/>
  <c r="B294" i="15"/>
  <c r="E293" i="15"/>
  <c r="E292" i="15"/>
  <c r="E291" i="15"/>
  <c r="E290" i="15"/>
  <c r="E289" i="15"/>
  <c r="E288" i="15"/>
  <c r="E287" i="15"/>
  <c r="E286" i="15"/>
  <c r="E285" i="15"/>
  <c r="E284" i="15"/>
  <c r="E283" i="15"/>
  <c r="E282" i="15"/>
  <c r="E281" i="15"/>
  <c r="E280" i="15"/>
  <c r="E279" i="15"/>
  <c r="E278" i="15"/>
  <c r="E277" i="15"/>
  <c r="E276" i="15"/>
  <c r="E275" i="15"/>
  <c r="E274" i="15"/>
  <c r="E273" i="15"/>
  <c r="E272" i="15"/>
  <c r="E271" i="15"/>
  <c r="E270" i="15"/>
  <c r="C270" i="15"/>
  <c r="B270" i="15"/>
  <c r="E269" i="15"/>
  <c r="E268" i="15"/>
  <c r="E267" i="15"/>
  <c r="E266" i="15"/>
  <c r="E265" i="15"/>
  <c r="E264" i="15"/>
  <c r="E263" i="15"/>
  <c r="E262" i="15"/>
  <c r="E261" i="15"/>
  <c r="E260" i="15"/>
  <c r="E259" i="15"/>
  <c r="E258" i="15"/>
  <c r="E257" i="15"/>
  <c r="E256" i="15"/>
  <c r="E255" i="15"/>
  <c r="E254" i="15"/>
  <c r="E253" i="15"/>
  <c r="E252" i="15"/>
  <c r="E251" i="15"/>
  <c r="E250" i="15"/>
  <c r="E249" i="15"/>
  <c r="E248" i="15"/>
  <c r="E247" i="15"/>
  <c r="E246" i="15"/>
  <c r="C246" i="15"/>
  <c r="B246" i="15"/>
  <c r="E245" i="15"/>
  <c r="E244" i="15"/>
  <c r="E243" i="15"/>
  <c r="E242" i="15"/>
  <c r="E241" i="15"/>
  <c r="E240" i="15"/>
  <c r="E239" i="15"/>
  <c r="E238" i="15"/>
  <c r="E237" i="15"/>
  <c r="E236" i="15"/>
  <c r="E235" i="15"/>
  <c r="E234" i="15"/>
  <c r="E233" i="15"/>
  <c r="E232" i="15"/>
  <c r="E231" i="15"/>
  <c r="E230" i="15"/>
  <c r="E229" i="15"/>
  <c r="E228" i="15"/>
  <c r="E227" i="15"/>
  <c r="E226" i="15"/>
  <c r="E225" i="15"/>
  <c r="E224" i="15"/>
  <c r="E223" i="15"/>
  <c r="E222" i="15"/>
  <c r="C222" i="15"/>
  <c r="B222" i="15"/>
  <c r="E221" i="15"/>
  <c r="E220" i="15"/>
  <c r="E219" i="15"/>
  <c r="E218" i="15"/>
  <c r="E217" i="15"/>
  <c r="E216" i="15"/>
  <c r="E215" i="15"/>
  <c r="E214" i="15"/>
  <c r="E213" i="15"/>
  <c r="E212" i="15"/>
  <c r="E211" i="15"/>
  <c r="E210" i="15"/>
  <c r="E209" i="15"/>
  <c r="E208" i="15"/>
  <c r="E207" i="15"/>
  <c r="E206" i="15"/>
  <c r="E205" i="15"/>
  <c r="E204" i="15"/>
  <c r="E203" i="15"/>
  <c r="E202" i="15"/>
  <c r="E201" i="15"/>
  <c r="E200" i="15"/>
  <c r="E199" i="15"/>
  <c r="E198" i="15"/>
  <c r="C198" i="15"/>
  <c r="B198" i="15"/>
  <c r="E197" i="15"/>
  <c r="E196" i="15"/>
  <c r="E195" i="15"/>
  <c r="E194" i="15"/>
  <c r="E193" i="15"/>
  <c r="E192" i="15"/>
  <c r="E191" i="15"/>
  <c r="E190" i="15"/>
  <c r="E189" i="15"/>
  <c r="E188" i="15"/>
  <c r="E187" i="15"/>
  <c r="E186" i="15"/>
  <c r="E185" i="15"/>
  <c r="E184" i="15"/>
  <c r="E183" i="15"/>
  <c r="E182" i="15"/>
  <c r="E181" i="15"/>
  <c r="E180" i="15"/>
  <c r="E179" i="15"/>
  <c r="E178" i="15"/>
  <c r="E177" i="15"/>
  <c r="E176" i="15"/>
  <c r="E175" i="15"/>
  <c r="E174" i="15"/>
  <c r="C174" i="15"/>
  <c r="B174" i="15"/>
  <c r="E173" i="15"/>
  <c r="E172" i="15"/>
  <c r="E171" i="15"/>
  <c r="E170" i="15"/>
  <c r="E169" i="15"/>
  <c r="E168" i="15"/>
  <c r="E167" i="15"/>
  <c r="E166" i="15"/>
  <c r="E165" i="15"/>
  <c r="E164" i="15"/>
  <c r="E163" i="15"/>
  <c r="E162" i="15"/>
  <c r="E161" i="15"/>
  <c r="E160" i="15"/>
  <c r="E159" i="15"/>
  <c r="E158" i="15"/>
  <c r="E157" i="15"/>
  <c r="E156" i="15"/>
  <c r="E155" i="15"/>
  <c r="E154" i="15"/>
  <c r="E153" i="15"/>
  <c r="E152" i="15"/>
  <c r="E151" i="15"/>
  <c r="E150" i="15"/>
  <c r="C150" i="15"/>
  <c r="B150" i="15"/>
  <c r="E149" i="15"/>
  <c r="E148" i="15"/>
  <c r="E147" i="15"/>
  <c r="E146" i="15"/>
  <c r="E145" i="15"/>
  <c r="E144" i="15"/>
  <c r="E143" i="15"/>
  <c r="E142" i="15"/>
  <c r="E141" i="15"/>
  <c r="E140" i="15"/>
  <c r="E139" i="15"/>
  <c r="E138" i="15"/>
  <c r="E137" i="15"/>
  <c r="E136" i="15"/>
  <c r="E135" i="15"/>
  <c r="E134" i="15"/>
  <c r="E133" i="15"/>
  <c r="E132" i="15"/>
  <c r="E131" i="15"/>
  <c r="E130" i="15"/>
  <c r="E129" i="15"/>
  <c r="E128" i="15"/>
  <c r="E127" i="15"/>
  <c r="E126" i="15"/>
  <c r="C126" i="15"/>
  <c r="B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C102" i="15"/>
  <c r="B102" i="15"/>
  <c r="E101" i="15"/>
  <c r="E100" i="15"/>
  <c r="E99" i="15"/>
  <c r="D99" i="15"/>
  <c r="D123" i="15" s="1"/>
  <c r="D147" i="15" s="1"/>
  <c r="D171" i="15" s="1"/>
  <c r="D195" i="15" s="1"/>
  <c r="D219" i="15" s="1"/>
  <c r="D243" i="15" s="1"/>
  <c r="D267" i="15" s="1"/>
  <c r="D291" i="15" s="1"/>
  <c r="D315" i="15" s="1"/>
  <c r="D339" i="15" s="1"/>
  <c r="D363" i="15" s="1"/>
  <c r="D387" i="15" s="1"/>
  <c r="D411" i="15" s="1"/>
  <c r="D435" i="15" s="1"/>
  <c r="D459" i="15" s="1"/>
  <c r="D483" i="15" s="1"/>
  <c r="D507" i="15" s="1"/>
  <c r="D531" i="15" s="1"/>
  <c r="D555" i="15" s="1"/>
  <c r="D579" i="15" s="1"/>
  <c r="D603" i="15" s="1"/>
  <c r="D627" i="15" s="1"/>
  <c r="D651" i="15" s="1"/>
  <c r="D675" i="15" s="1"/>
  <c r="D699" i="15" s="1"/>
  <c r="D723" i="15" s="1"/>
  <c r="D747" i="15" s="1"/>
  <c r="D771" i="15" s="1"/>
  <c r="D795" i="15" s="1"/>
  <c r="D819" i="15" s="1"/>
  <c r="D843" i="15" s="1"/>
  <c r="D867" i="15" s="1"/>
  <c r="D891" i="15" s="1"/>
  <c r="D915" i="15" s="1"/>
  <c r="D939" i="15" s="1"/>
  <c r="D963" i="15" s="1"/>
  <c r="D987" i="15" s="1"/>
  <c r="D1011" i="15" s="1"/>
  <c r="D1035" i="15" s="1"/>
  <c r="D1059" i="15" s="1"/>
  <c r="D1083" i="15" s="1"/>
  <c r="D1107" i="15" s="1"/>
  <c r="D1131" i="15" s="1"/>
  <c r="D1155" i="15" s="1"/>
  <c r="D1179" i="15" s="1"/>
  <c r="E98" i="15"/>
  <c r="E97" i="15"/>
  <c r="E96" i="15"/>
  <c r="E95" i="15"/>
  <c r="D95" i="15"/>
  <c r="D119" i="15" s="1"/>
  <c r="D143" i="15" s="1"/>
  <c r="D167" i="15" s="1"/>
  <c r="D191" i="15" s="1"/>
  <c r="D215" i="15" s="1"/>
  <c r="D239" i="15" s="1"/>
  <c r="D263" i="15" s="1"/>
  <c r="D287" i="15" s="1"/>
  <c r="D311" i="15" s="1"/>
  <c r="D335" i="15" s="1"/>
  <c r="D359" i="15" s="1"/>
  <c r="D383" i="15" s="1"/>
  <c r="D407" i="15" s="1"/>
  <c r="D431" i="15" s="1"/>
  <c r="D455" i="15" s="1"/>
  <c r="D479" i="15" s="1"/>
  <c r="D503" i="15" s="1"/>
  <c r="D527" i="15" s="1"/>
  <c r="D551" i="15" s="1"/>
  <c r="D575" i="15" s="1"/>
  <c r="D599" i="15" s="1"/>
  <c r="D623" i="15" s="1"/>
  <c r="D647" i="15" s="1"/>
  <c r="D671" i="15" s="1"/>
  <c r="D695" i="15" s="1"/>
  <c r="D719" i="15" s="1"/>
  <c r="D743" i="15" s="1"/>
  <c r="D767" i="15" s="1"/>
  <c r="D791" i="15" s="1"/>
  <c r="D815" i="15" s="1"/>
  <c r="D839" i="15" s="1"/>
  <c r="D863" i="15" s="1"/>
  <c r="D887" i="15" s="1"/>
  <c r="D911" i="15" s="1"/>
  <c r="D935" i="15" s="1"/>
  <c r="D959" i="15" s="1"/>
  <c r="D983" i="15" s="1"/>
  <c r="D1007" i="15" s="1"/>
  <c r="D1031" i="15" s="1"/>
  <c r="D1055" i="15" s="1"/>
  <c r="D1079" i="15" s="1"/>
  <c r="D1103" i="15" s="1"/>
  <c r="D1127" i="15" s="1"/>
  <c r="D1151" i="15" s="1"/>
  <c r="D1175" i="15" s="1"/>
  <c r="E94" i="15"/>
  <c r="E93" i="15"/>
  <c r="E92" i="15"/>
  <c r="E91" i="15"/>
  <c r="D91" i="15"/>
  <c r="D115" i="15" s="1"/>
  <c r="D139" i="15" s="1"/>
  <c r="D163" i="15" s="1"/>
  <c r="D187" i="15" s="1"/>
  <c r="D211" i="15" s="1"/>
  <c r="D235" i="15" s="1"/>
  <c r="D259" i="15" s="1"/>
  <c r="D283" i="15" s="1"/>
  <c r="D307" i="15" s="1"/>
  <c r="D331" i="15" s="1"/>
  <c r="D355" i="15" s="1"/>
  <c r="D379" i="15" s="1"/>
  <c r="D403" i="15" s="1"/>
  <c r="D427" i="15" s="1"/>
  <c r="D451" i="15" s="1"/>
  <c r="D475" i="15" s="1"/>
  <c r="D499" i="15" s="1"/>
  <c r="D523" i="15" s="1"/>
  <c r="D547" i="15" s="1"/>
  <c r="D571" i="15" s="1"/>
  <c r="D595" i="15" s="1"/>
  <c r="D619" i="15" s="1"/>
  <c r="D643" i="15" s="1"/>
  <c r="D667" i="15" s="1"/>
  <c r="D691" i="15" s="1"/>
  <c r="D715" i="15" s="1"/>
  <c r="D739" i="15" s="1"/>
  <c r="D763" i="15" s="1"/>
  <c r="D787" i="15" s="1"/>
  <c r="D811" i="15" s="1"/>
  <c r="D835" i="15" s="1"/>
  <c r="D859" i="15" s="1"/>
  <c r="D883" i="15" s="1"/>
  <c r="D907" i="15" s="1"/>
  <c r="D931" i="15" s="1"/>
  <c r="D955" i="15" s="1"/>
  <c r="D979" i="15" s="1"/>
  <c r="D1003" i="15" s="1"/>
  <c r="D1027" i="15" s="1"/>
  <c r="D1051" i="15" s="1"/>
  <c r="D1075" i="15" s="1"/>
  <c r="D1099" i="15" s="1"/>
  <c r="D1123" i="15" s="1"/>
  <c r="D1147" i="15" s="1"/>
  <c r="D1171" i="15" s="1"/>
  <c r="E90" i="15"/>
  <c r="E89" i="15"/>
  <c r="E88" i="15"/>
  <c r="E87" i="15"/>
  <c r="D87" i="15"/>
  <c r="D111" i="15" s="1"/>
  <c r="D135" i="15" s="1"/>
  <c r="D159" i="15" s="1"/>
  <c r="D183" i="15" s="1"/>
  <c r="D207" i="15" s="1"/>
  <c r="D231" i="15" s="1"/>
  <c r="D255" i="15" s="1"/>
  <c r="D279" i="15" s="1"/>
  <c r="D303" i="15" s="1"/>
  <c r="D327" i="15" s="1"/>
  <c r="D351" i="15" s="1"/>
  <c r="D375" i="15" s="1"/>
  <c r="D399" i="15" s="1"/>
  <c r="D423" i="15" s="1"/>
  <c r="D447" i="15" s="1"/>
  <c r="D471" i="15" s="1"/>
  <c r="D495" i="15" s="1"/>
  <c r="D519" i="15" s="1"/>
  <c r="D543" i="15" s="1"/>
  <c r="D567" i="15" s="1"/>
  <c r="D591" i="15" s="1"/>
  <c r="D615" i="15" s="1"/>
  <c r="D639" i="15" s="1"/>
  <c r="D663" i="15" s="1"/>
  <c r="D687" i="15" s="1"/>
  <c r="D711" i="15" s="1"/>
  <c r="D735" i="15" s="1"/>
  <c r="D759" i="15" s="1"/>
  <c r="D783" i="15" s="1"/>
  <c r="D807" i="15" s="1"/>
  <c r="D831" i="15" s="1"/>
  <c r="D855" i="15" s="1"/>
  <c r="D879" i="15" s="1"/>
  <c r="D903" i="15" s="1"/>
  <c r="D927" i="15" s="1"/>
  <c r="D951" i="15" s="1"/>
  <c r="D975" i="15" s="1"/>
  <c r="D999" i="15" s="1"/>
  <c r="D1023" i="15" s="1"/>
  <c r="D1047" i="15" s="1"/>
  <c r="D1071" i="15" s="1"/>
  <c r="D1095" i="15" s="1"/>
  <c r="D1119" i="15" s="1"/>
  <c r="D1143" i="15" s="1"/>
  <c r="D1167" i="15" s="1"/>
  <c r="E86" i="15"/>
  <c r="E85" i="15"/>
  <c r="E84" i="15"/>
  <c r="E83" i="15"/>
  <c r="D83" i="15"/>
  <c r="D107" i="15" s="1"/>
  <c r="D131" i="15" s="1"/>
  <c r="D155" i="15" s="1"/>
  <c r="D179" i="15" s="1"/>
  <c r="D203" i="15" s="1"/>
  <c r="D227" i="15" s="1"/>
  <c r="D251" i="15" s="1"/>
  <c r="D275" i="15" s="1"/>
  <c r="D299" i="15" s="1"/>
  <c r="D323" i="15" s="1"/>
  <c r="D347" i="15" s="1"/>
  <c r="D371" i="15" s="1"/>
  <c r="D395" i="15" s="1"/>
  <c r="D419" i="15" s="1"/>
  <c r="D443" i="15" s="1"/>
  <c r="D467" i="15" s="1"/>
  <c r="D491" i="15" s="1"/>
  <c r="D515" i="15" s="1"/>
  <c r="D539" i="15" s="1"/>
  <c r="D563" i="15" s="1"/>
  <c r="D587" i="15" s="1"/>
  <c r="D611" i="15" s="1"/>
  <c r="D635" i="15" s="1"/>
  <c r="D659" i="15" s="1"/>
  <c r="D683" i="15" s="1"/>
  <c r="D707" i="15" s="1"/>
  <c r="D731" i="15" s="1"/>
  <c r="D755" i="15" s="1"/>
  <c r="D779" i="15" s="1"/>
  <c r="D803" i="15" s="1"/>
  <c r="D827" i="15" s="1"/>
  <c r="D851" i="15" s="1"/>
  <c r="D875" i="15" s="1"/>
  <c r="D899" i="15" s="1"/>
  <c r="D923" i="15" s="1"/>
  <c r="D947" i="15" s="1"/>
  <c r="D971" i="15" s="1"/>
  <c r="D995" i="15" s="1"/>
  <c r="D1019" i="15" s="1"/>
  <c r="D1043" i="15" s="1"/>
  <c r="D1067" i="15" s="1"/>
  <c r="D1091" i="15" s="1"/>
  <c r="D1115" i="15" s="1"/>
  <c r="D1139" i="15" s="1"/>
  <c r="D1163" i="15" s="1"/>
  <c r="E82" i="15"/>
  <c r="E81" i="15"/>
  <c r="E80" i="15"/>
  <c r="E79" i="15"/>
  <c r="D79" i="15"/>
  <c r="D103" i="15" s="1"/>
  <c r="D127" i="15" s="1"/>
  <c r="D151" i="15" s="1"/>
  <c r="D175" i="15" s="1"/>
  <c r="D199" i="15" s="1"/>
  <c r="D223" i="15" s="1"/>
  <c r="D247" i="15" s="1"/>
  <c r="D271" i="15" s="1"/>
  <c r="D295" i="15" s="1"/>
  <c r="D319" i="15" s="1"/>
  <c r="D343" i="15" s="1"/>
  <c r="D367" i="15" s="1"/>
  <c r="D391" i="15" s="1"/>
  <c r="D415" i="15" s="1"/>
  <c r="D439" i="15" s="1"/>
  <c r="D463" i="15" s="1"/>
  <c r="D487" i="15" s="1"/>
  <c r="D511" i="15" s="1"/>
  <c r="D535" i="15" s="1"/>
  <c r="D559" i="15" s="1"/>
  <c r="D583" i="15" s="1"/>
  <c r="D607" i="15" s="1"/>
  <c r="D631" i="15" s="1"/>
  <c r="D655" i="15" s="1"/>
  <c r="D679" i="15" s="1"/>
  <c r="D703" i="15" s="1"/>
  <c r="D727" i="15" s="1"/>
  <c r="D751" i="15" s="1"/>
  <c r="D775" i="15" s="1"/>
  <c r="D799" i="15" s="1"/>
  <c r="D823" i="15" s="1"/>
  <c r="D847" i="15" s="1"/>
  <c r="D871" i="15" s="1"/>
  <c r="D895" i="15" s="1"/>
  <c r="D919" i="15" s="1"/>
  <c r="D943" i="15" s="1"/>
  <c r="D967" i="15" s="1"/>
  <c r="D991" i="15" s="1"/>
  <c r="D1015" i="15" s="1"/>
  <c r="D1039" i="15" s="1"/>
  <c r="D1063" i="15" s="1"/>
  <c r="D1087" i="15" s="1"/>
  <c r="D1111" i="15" s="1"/>
  <c r="D1135" i="15" s="1"/>
  <c r="D1159" i="15" s="1"/>
  <c r="E78" i="15"/>
  <c r="C78" i="15"/>
  <c r="B78" i="15"/>
  <c r="E77" i="15"/>
  <c r="E76" i="15"/>
  <c r="D76" i="15"/>
  <c r="D100" i="15" s="1"/>
  <c r="D124" i="15" s="1"/>
  <c r="D148" i="15" s="1"/>
  <c r="D172" i="15" s="1"/>
  <c r="D196" i="15" s="1"/>
  <c r="D220" i="15" s="1"/>
  <c r="D244" i="15" s="1"/>
  <c r="D268" i="15" s="1"/>
  <c r="D292" i="15" s="1"/>
  <c r="D316" i="15" s="1"/>
  <c r="D340" i="15" s="1"/>
  <c r="D364" i="15" s="1"/>
  <c r="D388" i="15" s="1"/>
  <c r="D412" i="15" s="1"/>
  <c r="D436" i="15" s="1"/>
  <c r="D460" i="15" s="1"/>
  <c r="D484" i="15" s="1"/>
  <c r="D508" i="15" s="1"/>
  <c r="D532" i="15" s="1"/>
  <c r="D556" i="15" s="1"/>
  <c r="D580" i="15" s="1"/>
  <c r="D604" i="15" s="1"/>
  <c r="D628" i="15" s="1"/>
  <c r="D652" i="15" s="1"/>
  <c r="D676" i="15" s="1"/>
  <c r="D700" i="15" s="1"/>
  <c r="D724" i="15" s="1"/>
  <c r="D748" i="15" s="1"/>
  <c r="D772" i="15" s="1"/>
  <c r="D796" i="15" s="1"/>
  <c r="D820" i="15" s="1"/>
  <c r="D844" i="15" s="1"/>
  <c r="D868" i="15" s="1"/>
  <c r="D892" i="15" s="1"/>
  <c r="D916" i="15" s="1"/>
  <c r="D940" i="15" s="1"/>
  <c r="D964" i="15" s="1"/>
  <c r="D988" i="15" s="1"/>
  <c r="D1012" i="15" s="1"/>
  <c r="D1036" i="15" s="1"/>
  <c r="D1060" i="15" s="1"/>
  <c r="D1084" i="15" s="1"/>
  <c r="D1108" i="15" s="1"/>
  <c r="D1132" i="15" s="1"/>
  <c r="D1156" i="15" s="1"/>
  <c r="D1180" i="15" s="1"/>
  <c r="E75" i="15"/>
  <c r="D75" i="15"/>
  <c r="E74" i="15"/>
  <c r="E73" i="15"/>
  <c r="E72" i="15"/>
  <c r="D72" i="15"/>
  <c r="D96" i="15" s="1"/>
  <c r="D120" i="15" s="1"/>
  <c r="D144" i="15" s="1"/>
  <c r="D168" i="15" s="1"/>
  <c r="D192" i="15" s="1"/>
  <c r="D216" i="15" s="1"/>
  <c r="D240" i="15" s="1"/>
  <c r="D264" i="15" s="1"/>
  <c r="D288" i="15" s="1"/>
  <c r="D312" i="15" s="1"/>
  <c r="D336" i="15" s="1"/>
  <c r="D360" i="15" s="1"/>
  <c r="D384" i="15" s="1"/>
  <c r="D408" i="15" s="1"/>
  <c r="D432" i="15" s="1"/>
  <c r="D456" i="15" s="1"/>
  <c r="D480" i="15" s="1"/>
  <c r="D504" i="15" s="1"/>
  <c r="D528" i="15" s="1"/>
  <c r="D552" i="15" s="1"/>
  <c r="D576" i="15" s="1"/>
  <c r="D600" i="15" s="1"/>
  <c r="D624" i="15" s="1"/>
  <c r="D648" i="15" s="1"/>
  <c r="D672" i="15" s="1"/>
  <c r="D696" i="15" s="1"/>
  <c r="D720" i="15" s="1"/>
  <c r="D744" i="15" s="1"/>
  <c r="D768" i="15" s="1"/>
  <c r="D792" i="15" s="1"/>
  <c r="D816" i="15" s="1"/>
  <c r="D840" i="15" s="1"/>
  <c r="D864" i="15" s="1"/>
  <c r="D888" i="15" s="1"/>
  <c r="D912" i="15" s="1"/>
  <c r="D936" i="15" s="1"/>
  <c r="D960" i="15" s="1"/>
  <c r="D984" i="15" s="1"/>
  <c r="D1008" i="15" s="1"/>
  <c r="D1032" i="15" s="1"/>
  <c r="D1056" i="15" s="1"/>
  <c r="D1080" i="15" s="1"/>
  <c r="D1104" i="15" s="1"/>
  <c r="D1128" i="15" s="1"/>
  <c r="D1152" i="15" s="1"/>
  <c r="D1176" i="15" s="1"/>
  <c r="E71" i="15"/>
  <c r="D71" i="15"/>
  <c r="E70" i="15"/>
  <c r="E69" i="15"/>
  <c r="E68" i="15"/>
  <c r="D68" i="15"/>
  <c r="D92" i="15" s="1"/>
  <c r="D116" i="15" s="1"/>
  <c r="D140" i="15" s="1"/>
  <c r="D164" i="15" s="1"/>
  <c r="D188" i="15" s="1"/>
  <c r="D212" i="15" s="1"/>
  <c r="D236" i="15" s="1"/>
  <c r="D260" i="15" s="1"/>
  <c r="D284" i="15" s="1"/>
  <c r="D308" i="15" s="1"/>
  <c r="D332" i="15" s="1"/>
  <c r="D356" i="15" s="1"/>
  <c r="D380" i="15" s="1"/>
  <c r="D404" i="15" s="1"/>
  <c r="D428" i="15" s="1"/>
  <c r="D452" i="15" s="1"/>
  <c r="D476" i="15" s="1"/>
  <c r="D500" i="15" s="1"/>
  <c r="D524" i="15" s="1"/>
  <c r="D548" i="15" s="1"/>
  <c r="D572" i="15" s="1"/>
  <c r="D596" i="15" s="1"/>
  <c r="D620" i="15" s="1"/>
  <c r="D644" i="15" s="1"/>
  <c r="D668" i="15" s="1"/>
  <c r="D692" i="15" s="1"/>
  <c r="D716" i="15" s="1"/>
  <c r="D740" i="15" s="1"/>
  <c r="D764" i="15" s="1"/>
  <c r="D788" i="15" s="1"/>
  <c r="D812" i="15" s="1"/>
  <c r="D836" i="15" s="1"/>
  <c r="D860" i="15" s="1"/>
  <c r="D884" i="15" s="1"/>
  <c r="D908" i="15" s="1"/>
  <c r="D932" i="15" s="1"/>
  <c r="D956" i="15" s="1"/>
  <c r="D980" i="15" s="1"/>
  <c r="D1004" i="15" s="1"/>
  <c r="D1028" i="15" s="1"/>
  <c r="D1052" i="15" s="1"/>
  <c r="D1076" i="15" s="1"/>
  <c r="D1100" i="15" s="1"/>
  <c r="D1124" i="15" s="1"/>
  <c r="D1148" i="15" s="1"/>
  <c r="D1172" i="15" s="1"/>
  <c r="E67" i="15"/>
  <c r="D67" i="15"/>
  <c r="E66" i="15"/>
  <c r="E64" i="15"/>
  <c r="D64" i="15"/>
  <c r="D88" i="15" s="1"/>
  <c r="D112" i="15" s="1"/>
  <c r="D136" i="15" s="1"/>
  <c r="D160" i="15" s="1"/>
  <c r="D184" i="15" s="1"/>
  <c r="D208" i="15" s="1"/>
  <c r="D232" i="15" s="1"/>
  <c r="D256" i="15" s="1"/>
  <c r="D280" i="15" s="1"/>
  <c r="D304" i="15" s="1"/>
  <c r="D328" i="15" s="1"/>
  <c r="D352" i="15" s="1"/>
  <c r="D376" i="15" s="1"/>
  <c r="D400" i="15" s="1"/>
  <c r="D424" i="15" s="1"/>
  <c r="D448" i="15" s="1"/>
  <c r="D472" i="15" s="1"/>
  <c r="D496" i="15" s="1"/>
  <c r="D520" i="15" s="1"/>
  <c r="D544" i="15" s="1"/>
  <c r="D568" i="15" s="1"/>
  <c r="D592" i="15" s="1"/>
  <c r="D616" i="15" s="1"/>
  <c r="D640" i="15" s="1"/>
  <c r="D664" i="15" s="1"/>
  <c r="D688" i="15" s="1"/>
  <c r="D712" i="15" s="1"/>
  <c r="D736" i="15" s="1"/>
  <c r="D760" i="15" s="1"/>
  <c r="D784" i="15" s="1"/>
  <c r="D808" i="15" s="1"/>
  <c r="D832" i="15" s="1"/>
  <c r="D856" i="15" s="1"/>
  <c r="D880" i="15" s="1"/>
  <c r="D904" i="15" s="1"/>
  <c r="D928" i="15" s="1"/>
  <c r="D952" i="15" s="1"/>
  <c r="D976" i="15" s="1"/>
  <c r="D1000" i="15" s="1"/>
  <c r="D1024" i="15" s="1"/>
  <c r="D1048" i="15" s="1"/>
  <c r="D1072" i="15" s="1"/>
  <c r="D1096" i="15" s="1"/>
  <c r="D1120" i="15" s="1"/>
  <c r="D1144" i="15" s="1"/>
  <c r="D1168" i="15" s="1"/>
  <c r="E63" i="15"/>
  <c r="D63" i="15"/>
  <c r="E62" i="15"/>
  <c r="E61" i="15"/>
  <c r="E60" i="15"/>
  <c r="D60" i="15"/>
  <c r="D84" i="15" s="1"/>
  <c r="D108" i="15" s="1"/>
  <c r="D132" i="15" s="1"/>
  <c r="D156" i="15" s="1"/>
  <c r="D180" i="15" s="1"/>
  <c r="D204" i="15" s="1"/>
  <c r="D228" i="15" s="1"/>
  <c r="D252" i="15" s="1"/>
  <c r="D276" i="15" s="1"/>
  <c r="D300" i="15" s="1"/>
  <c r="D324" i="15" s="1"/>
  <c r="D348" i="15" s="1"/>
  <c r="D372" i="15" s="1"/>
  <c r="D396" i="15" s="1"/>
  <c r="D420" i="15" s="1"/>
  <c r="D444" i="15" s="1"/>
  <c r="D468" i="15" s="1"/>
  <c r="D492" i="15" s="1"/>
  <c r="D516" i="15" s="1"/>
  <c r="D540" i="15" s="1"/>
  <c r="D564" i="15" s="1"/>
  <c r="D588" i="15" s="1"/>
  <c r="D612" i="15" s="1"/>
  <c r="D636" i="15" s="1"/>
  <c r="D660" i="15" s="1"/>
  <c r="D684" i="15" s="1"/>
  <c r="D708" i="15" s="1"/>
  <c r="D732" i="15" s="1"/>
  <c r="D756" i="15" s="1"/>
  <c r="D780" i="15" s="1"/>
  <c r="D804" i="15" s="1"/>
  <c r="D828" i="15" s="1"/>
  <c r="D852" i="15" s="1"/>
  <c r="D876" i="15" s="1"/>
  <c r="D900" i="15" s="1"/>
  <c r="D924" i="15" s="1"/>
  <c r="D948" i="15" s="1"/>
  <c r="D972" i="15" s="1"/>
  <c r="D996" i="15" s="1"/>
  <c r="D1020" i="15" s="1"/>
  <c r="D1044" i="15" s="1"/>
  <c r="D1068" i="15" s="1"/>
  <c r="D1092" i="15" s="1"/>
  <c r="D1116" i="15" s="1"/>
  <c r="D1140" i="15" s="1"/>
  <c r="D1164" i="15" s="1"/>
  <c r="E59" i="15"/>
  <c r="D59" i="15"/>
  <c r="E58" i="15"/>
  <c r="E57" i="15"/>
  <c r="E56" i="15"/>
  <c r="D56" i="15"/>
  <c r="D80" i="15" s="1"/>
  <c r="D104" i="15" s="1"/>
  <c r="D128" i="15" s="1"/>
  <c r="D152" i="15" s="1"/>
  <c r="D176" i="15" s="1"/>
  <c r="D200" i="15" s="1"/>
  <c r="D224" i="15" s="1"/>
  <c r="D248" i="15" s="1"/>
  <c r="D272" i="15" s="1"/>
  <c r="D296" i="15" s="1"/>
  <c r="D320" i="15" s="1"/>
  <c r="D344" i="15" s="1"/>
  <c r="D368" i="15" s="1"/>
  <c r="D392" i="15" s="1"/>
  <c r="D416" i="15" s="1"/>
  <c r="D440" i="15" s="1"/>
  <c r="D464" i="15" s="1"/>
  <c r="D488" i="15" s="1"/>
  <c r="D512" i="15" s="1"/>
  <c r="D536" i="15" s="1"/>
  <c r="D560" i="15" s="1"/>
  <c r="D584" i="15" s="1"/>
  <c r="D608" i="15" s="1"/>
  <c r="D632" i="15" s="1"/>
  <c r="D656" i="15" s="1"/>
  <c r="D680" i="15" s="1"/>
  <c r="D704" i="15" s="1"/>
  <c r="D728" i="15" s="1"/>
  <c r="D752" i="15" s="1"/>
  <c r="D776" i="15" s="1"/>
  <c r="D800" i="15" s="1"/>
  <c r="D824" i="15" s="1"/>
  <c r="D848" i="15" s="1"/>
  <c r="D872" i="15" s="1"/>
  <c r="D896" i="15" s="1"/>
  <c r="D920" i="15" s="1"/>
  <c r="D944" i="15" s="1"/>
  <c r="D968" i="15" s="1"/>
  <c r="D992" i="15" s="1"/>
  <c r="D1016" i="15" s="1"/>
  <c r="D1040" i="15" s="1"/>
  <c r="D1064" i="15" s="1"/>
  <c r="D1088" i="15" s="1"/>
  <c r="D1112" i="15" s="1"/>
  <c r="D1136" i="15" s="1"/>
  <c r="D1160" i="15" s="1"/>
  <c r="E55" i="15"/>
  <c r="D55" i="15"/>
  <c r="E54" i="15"/>
  <c r="C54" i="15"/>
  <c r="B54" i="15"/>
  <c r="E53" i="15"/>
  <c r="D53" i="15"/>
  <c r="D77" i="15" s="1"/>
  <c r="D101" i="15" s="1"/>
  <c r="D125" i="15" s="1"/>
  <c r="D149" i="15" s="1"/>
  <c r="D173" i="15" s="1"/>
  <c r="D197" i="15" s="1"/>
  <c r="D221" i="15" s="1"/>
  <c r="D245" i="15" s="1"/>
  <c r="D269" i="15" s="1"/>
  <c r="D293" i="15" s="1"/>
  <c r="D317" i="15" s="1"/>
  <c r="D341" i="15" s="1"/>
  <c r="D365" i="15" s="1"/>
  <c r="D389" i="15" s="1"/>
  <c r="D413" i="15" s="1"/>
  <c r="D437" i="15" s="1"/>
  <c r="D461" i="15" s="1"/>
  <c r="D485" i="15" s="1"/>
  <c r="D509" i="15" s="1"/>
  <c r="D533" i="15" s="1"/>
  <c r="D557" i="15" s="1"/>
  <c r="D581" i="15" s="1"/>
  <c r="D605" i="15" s="1"/>
  <c r="D629" i="15" s="1"/>
  <c r="D653" i="15" s="1"/>
  <c r="D677" i="15" s="1"/>
  <c r="D701" i="15" s="1"/>
  <c r="D725" i="15" s="1"/>
  <c r="D749" i="15" s="1"/>
  <c r="D773" i="15" s="1"/>
  <c r="D797" i="15" s="1"/>
  <c r="D821" i="15" s="1"/>
  <c r="D845" i="15" s="1"/>
  <c r="D869" i="15" s="1"/>
  <c r="D893" i="15" s="1"/>
  <c r="D917" i="15" s="1"/>
  <c r="D941" i="15" s="1"/>
  <c r="D965" i="15" s="1"/>
  <c r="D989" i="15" s="1"/>
  <c r="D1013" i="15" s="1"/>
  <c r="D1037" i="15" s="1"/>
  <c r="D1061" i="15" s="1"/>
  <c r="D1085" i="15" s="1"/>
  <c r="D1109" i="15" s="1"/>
  <c r="D1133" i="15" s="1"/>
  <c r="D1157" i="15" s="1"/>
  <c r="D1181" i="15" s="1"/>
  <c r="E52" i="15"/>
  <c r="D52" i="15"/>
  <c r="E51" i="15"/>
  <c r="D51" i="15"/>
  <c r="E50" i="15"/>
  <c r="D50" i="15"/>
  <c r="D74" i="15" s="1"/>
  <c r="D98" i="15" s="1"/>
  <c r="D122" i="15" s="1"/>
  <c r="D146" i="15" s="1"/>
  <c r="D170" i="15" s="1"/>
  <c r="D194" i="15" s="1"/>
  <c r="D218" i="15" s="1"/>
  <c r="D242" i="15" s="1"/>
  <c r="D266" i="15" s="1"/>
  <c r="D290" i="15" s="1"/>
  <c r="D314" i="15" s="1"/>
  <c r="D338" i="15" s="1"/>
  <c r="D362" i="15" s="1"/>
  <c r="D386" i="15" s="1"/>
  <c r="D410" i="15" s="1"/>
  <c r="D434" i="15" s="1"/>
  <c r="D458" i="15" s="1"/>
  <c r="D482" i="15" s="1"/>
  <c r="D506" i="15" s="1"/>
  <c r="D530" i="15" s="1"/>
  <c r="D554" i="15" s="1"/>
  <c r="D578" i="15" s="1"/>
  <c r="D602" i="15" s="1"/>
  <c r="D626" i="15" s="1"/>
  <c r="D650" i="15" s="1"/>
  <c r="D674" i="15" s="1"/>
  <c r="D698" i="15" s="1"/>
  <c r="D722" i="15" s="1"/>
  <c r="D746" i="15" s="1"/>
  <c r="D770" i="15" s="1"/>
  <c r="D794" i="15" s="1"/>
  <c r="D818" i="15" s="1"/>
  <c r="D842" i="15" s="1"/>
  <c r="D866" i="15" s="1"/>
  <c r="D890" i="15" s="1"/>
  <c r="D914" i="15" s="1"/>
  <c r="D938" i="15" s="1"/>
  <c r="D962" i="15" s="1"/>
  <c r="D986" i="15" s="1"/>
  <c r="D1010" i="15" s="1"/>
  <c r="D1034" i="15" s="1"/>
  <c r="D1058" i="15" s="1"/>
  <c r="D1082" i="15" s="1"/>
  <c r="D1106" i="15" s="1"/>
  <c r="D1130" i="15" s="1"/>
  <c r="D1154" i="15" s="1"/>
  <c r="D1178" i="15" s="1"/>
  <c r="E49" i="15"/>
  <c r="D49" i="15"/>
  <c r="D73" i="15" s="1"/>
  <c r="D97" i="15" s="1"/>
  <c r="D121" i="15" s="1"/>
  <c r="D145" i="15" s="1"/>
  <c r="D169" i="15" s="1"/>
  <c r="D193" i="15" s="1"/>
  <c r="D217" i="15" s="1"/>
  <c r="D241" i="15" s="1"/>
  <c r="D265" i="15" s="1"/>
  <c r="D289" i="15" s="1"/>
  <c r="D313" i="15" s="1"/>
  <c r="D337" i="15" s="1"/>
  <c r="D361" i="15" s="1"/>
  <c r="D385" i="15" s="1"/>
  <c r="D409" i="15" s="1"/>
  <c r="D433" i="15" s="1"/>
  <c r="D457" i="15" s="1"/>
  <c r="D481" i="15" s="1"/>
  <c r="D505" i="15" s="1"/>
  <c r="D529" i="15" s="1"/>
  <c r="D553" i="15" s="1"/>
  <c r="D577" i="15" s="1"/>
  <c r="D601" i="15" s="1"/>
  <c r="D625" i="15" s="1"/>
  <c r="D649" i="15" s="1"/>
  <c r="D673" i="15" s="1"/>
  <c r="D697" i="15" s="1"/>
  <c r="D721" i="15" s="1"/>
  <c r="D745" i="15" s="1"/>
  <c r="D769" i="15" s="1"/>
  <c r="D793" i="15" s="1"/>
  <c r="D817" i="15" s="1"/>
  <c r="D841" i="15" s="1"/>
  <c r="D865" i="15" s="1"/>
  <c r="D889" i="15" s="1"/>
  <c r="D913" i="15" s="1"/>
  <c r="D937" i="15" s="1"/>
  <c r="D961" i="15" s="1"/>
  <c r="D985" i="15" s="1"/>
  <c r="D1009" i="15" s="1"/>
  <c r="D1033" i="15" s="1"/>
  <c r="D1057" i="15" s="1"/>
  <c r="D1081" i="15" s="1"/>
  <c r="D1105" i="15" s="1"/>
  <c r="D1129" i="15" s="1"/>
  <c r="D1153" i="15" s="1"/>
  <c r="D1177" i="15" s="1"/>
  <c r="E48" i="15"/>
  <c r="D48" i="15"/>
  <c r="E47" i="15"/>
  <c r="D47" i="15"/>
  <c r="E46" i="15"/>
  <c r="D46" i="15"/>
  <c r="D70" i="15" s="1"/>
  <c r="D94" i="15" s="1"/>
  <c r="D118" i="15" s="1"/>
  <c r="D142" i="15" s="1"/>
  <c r="D166" i="15" s="1"/>
  <c r="D190" i="15" s="1"/>
  <c r="D214" i="15" s="1"/>
  <c r="D238" i="15" s="1"/>
  <c r="D262" i="15" s="1"/>
  <c r="D286" i="15" s="1"/>
  <c r="D310" i="15" s="1"/>
  <c r="D334" i="15" s="1"/>
  <c r="D358" i="15" s="1"/>
  <c r="D382" i="15" s="1"/>
  <c r="D406" i="15" s="1"/>
  <c r="D430" i="15" s="1"/>
  <c r="D454" i="15" s="1"/>
  <c r="D478" i="15" s="1"/>
  <c r="D502" i="15" s="1"/>
  <c r="D526" i="15" s="1"/>
  <c r="D550" i="15" s="1"/>
  <c r="D574" i="15" s="1"/>
  <c r="D598" i="15" s="1"/>
  <c r="D622" i="15" s="1"/>
  <c r="D646" i="15" s="1"/>
  <c r="D670" i="15" s="1"/>
  <c r="D694" i="15" s="1"/>
  <c r="D718" i="15" s="1"/>
  <c r="D742" i="15" s="1"/>
  <c r="D766" i="15" s="1"/>
  <c r="D790" i="15" s="1"/>
  <c r="D814" i="15" s="1"/>
  <c r="D838" i="15" s="1"/>
  <c r="D862" i="15" s="1"/>
  <c r="D886" i="15" s="1"/>
  <c r="D910" i="15" s="1"/>
  <c r="D934" i="15" s="1"/>
  <c r="D958" i="15" s="1"/>
  <c r="D982" i="15" s="1"/>
  <c r="D1006" i="15" s="1"/>
  <c r="D1030" i="15" s="1"/>
  <c r="D1054" i="15" s="1"/>
  <c r="D1078" i="15" s="1"/>
  <c r="D1102" i="15" s="1"/>
  <c r="D1126" i="15" s="1"/>
  <c r="D1150" i="15" s="1"/>
  <c r="D1174" i="15" s="1"/>
  <c r="E45" i="15"/>
  <c r="D45" i="15"/>
  <c r="D69" i="15" s="1"/>
  <c r="D93" i="15" s="1"/>
  <c r="D117" i="15" s="1"/>
  <c r="D141" i="15" s="1"/>
  <c r="D165" i="15" s="1"/>
  <c r="D189" i="15" s="1"/>
  <c r="D213" i="15" s="1"/>
  <c r="D237" i="15" s="1"/>
  <c r="D261" i="15" s="1"/>
  <c r="D285" i="15" s="1"/>
  <c r="D309" i="15" s="1"/>
  <c r="D333" i="15" s="1"/>
  <c r="D357" i="15" s="1"/>
  <c r="D381" i="15" s="1"/>
  <c r="D405" i="15" s="1"/>
  <c r="D429" i="15" s="1"/>
  <c r="D453" i="15" s="1"/>
  <c r="D477" i="15" s="1"/>
  <c r="D501" i="15" s="1"/>
  <c r="D525" i="15" s="1"/>
  <c r="D549" i="15" s="1"/>
  <c r="D573" i="15" s="1"/>
  <c r="D597" i="15" s="1"/>
  <c r="D621" i="15" s="1"/>
  <c r="D645" i="15" s="1"/>
  <c r="D669" i="15" s="1"/>
  <c r="D693" i="15" s="1"/>
  <c r="D717" i="15" s="1"/>
  <c r="D741" i="15" s="1"/>
  <c r="D765" i="15" s="1"/>
  <c r="D789" i="15" s="1"/>
  <c r="D813" i="15" s="1"/>
  <c r="D837" i="15" s="1"/>
  <c r="D861" i="15" s="1"/>
  <c r="D885" i="15" s="1"/>
  <c r="D909" i="15" s="1"/>
  <c r="D933" i="15" s="1"/>
  <c r="D957" i="15" s="1"/>
  <c r="D981" i="15" s="1"/>
  <c r="D1005" i="15" s="1"/>
  <c r="D1029" i="15" s="1"/>
  <c r="D1053" i="15" s="1"/>
  <c r="D1077" i="15" s="1"/>
  <c r="D1101" i="15" s="1"/>
  <c r="D1125" i="15" s="1"/>
  <c r="D1149" i="15" s="1"/>
  <c r="D1173" i="15" s="1"/>
  <c r="E44" i="15"/>
  <c r="D44" i="15"/>
  <c r="E43" i="15"/>
  <c r="D43" i="15"/>
  <c r="E42" i="15"/>
  <c r="D42" i="15"/>
  <c r="D66" i="15" s="1"/>
  <c r="D90" i="15" s="1"/>
  <c r="D114" i="15" s="1"/>
  <c r="D138" i="15" s="1"/>
  <c r="D162" i="15" s="1"/>
  <c r="D186" i="15" s="1"/>
  <c r="D210" i="15" s="1"/>
  <c r="D234" i="15" s="1"/>
  <c r="D258" i="15" s="1"/>
  <c r="D282" i="15" s="1"/>
  <c r="D306" i="15" s="1"/>
  <c r="D330" i="15" s="1"/>
  <c r="D354" i="15" s="1"/>
  <c r="D378" i="15" s="1"/>
  <c r="D402" i="15" s="1"/>
  <c r="D426" i="15" s="1"/>
  <c r="D450" i="15" s="1"/>
  <c r="D474" i="15" s="1"/>
  <c r="D498" i="15" s="1"/>
  <c r="D522" i="15" s="1"/>
  <c r="D546" i="15" s="1"/>
  <c r="D570" i="15" s="1"/>
  <c r="D594" i="15" s="1"/>
  <c r="D618" i="15" s="1"/>
  <c r="D642" i="15" s="1"/>
  <c r="D666" i="15" s="1"/>
  <c r="D690" i="15" s="1"/>
  <c r="D714" i="15" s="1"/>
  <c r="D738" i="15" s="1"/>
  <c r="D762" i="15" s="1"/>
  <c r="D786" i="15" s="1"/>
  <c r="D810" i="15" s="1"/>
  <c r="D834" i="15" s="1"/>
  <c r="D858" i="15" s="1"/>
  <c r="D882" i="15" s="1"/>
  <c r="D906" i="15" s="1"/>
  <c r="D930" i="15" s="1"/>
  <c r="D954" i="15" s="1"/>
  <c r="D978" i="15" s="1"/>
  <c r="D1002" i="15" s="1"/>
  <c r="D1026" i="15" s="1"/>
  <c r="D1050" i="15" s="1"/>
  <c r="D1074" i="15" s="1"/>
  <c r="D1098" i="15" s="1"/>
  <c r="D1122" i="15" s="1"/>
  <c r="D1146" i="15" s="1"/>
  <c r="D1170" i="15" s="1"/>
  <c r="E41" i="15"/>
  <c r="D41" i="15"/>
  <c r="D89" i="15" s="1"/>
  <c r="D113" i="15" s="1"/>
  <c r="D137" i="15" s="1"/>
  <c r="D161" i="15" s="1"/>
  <c r="D185" i="15" s="1"/>
  <c r="D209" i="15" s="1"/>
  <c r="D233" i="15" s="1"/>
  <c r="D257" i="15" s="1"/>
  <c r="D281" i="15" s="1"/>
  <c r="D305" i="15" s="1"/>
  <c r="D329" i="15" s="1"/>
  <c r="D353" i="15" s="1"/>
  <c r="D377" i="15" s="1"/>
  <c r="D401" i="15" s="1"/>
  <c r="D425" i="15" s="1"/>
  <c r="D449" i="15" s="1"/>
  <c r="D473" i="15" s="1"/>
  <c r="D497" i="15" s="1"/>
  <c r="D521" i="15" s="1"/>
  <c r="D545" i="15" s="1"/>
  <c r="D569" i="15" s="1"/>
  <c r="D593" i="15" s="1"/>
  <c r="D617" i="15" s="1"/>
  <c r="D641" i="15" s="1"/>
  <c r="D665" i="15" s="1"/>
  <c r="D689" i="15" s="1"/>
  <c r="D713" i="15" s="1"/>
  <c r="D737" i="15" s="1"/>
  <c r="D761" i="15" s="1"/>
  <c r="D785" i="15" s="1"/>
  <c r="D809" i="15" s="1"/>
  <c r="D833" i="15" s="1"/>
  <c r="D857" i="15" s="1"/>
  <c r="D881" i="15" s="1"/>
  <c r="D905" i="15" s="1"/>
  <c r="D929" i="15" s="1"/>
  <c r="D953" i="15" s="1"/>
  <c r="D977" i="15" s="1"/>
  <c r="D1001" i="15" s="1"/>
  <c r="D1025" i="15" s="1"/>
  <c r="D1049" i="15" s="1"/>
  <c r="D1073" i="15" s="1"/>
  <c r="D1097" i="15" s="1"/>
  <c r="D1121" i="15" s="1"/>
  <c r="D1145" i="15" s="1"/>
  <c r="D1169" i="15" s="1"/>
  <c r="E40" i="15"/>
  <c r="D40" i="15"/>
  <c r="E39" i="15"/>
  <c r="D39" i="15"/>
  <c r="E38" i="15"/>
  <c r="D38" i="15"/>
  <c r="D62" i="15" s="1"/>
  <c r="D86" i="15" s="1"/>
  <c r="D110" i="15" s="1"/>
  <c r="D134" i="15" s="1"/>
  <c r="D158" i="15" s="1"/>
  <c r="D182" i="15" s="1"/>
  <c r="D206" i="15" s="1"/>
  <c r="D230" i="15" s="1"/>
  <c r="D254" i="15" s="1"/>
  <c r="D278" i="15" s="1"/>
  <c r="D302" i="15" s="1"/>
  <c r="D326" i="15" s="1"/>
  <c r="D350" i="15" s="1"/>
  <c r="D374" i="15" s="1"/>
  <c r="D398" i="15" s="1"/>
  <c r="D422" i="15" s="1"/>
  <c r="D446" i="15" s="1"/>
  <c r="D470" i="15" s="1"/>
  <c r="D494" i="15" s="1"/>
  <c r="D518" i="15" s="1"/>
  <c r="D542" i="15" s="1"/>
  <c r="D566" i="15" s="1"/>
  <c r="D590" i="15" s="1"/>
  <c r="D614" i="15" s="1"/>
  <c r="D638" i="15" s="1"/>
  <c r="D662" i="15" s="1"/>
  <c r="D686" i="15" s="1"/>
  <c r="D710" i="15" s="1"/>
  <c r="D734" i="15" s="1"/>
  <c r="D758" i="15" s="1"/>
  <c r="D782" i="15" s="1"/>
  <c r="D806" i="15" s="1"/>
  <c r="D830" i="15" s="1"/>
  <c r="D854" i="15" s="1"/>
  <c r="D878" i="15" s="1"/>
  <c r="D902" i="15" s="1"/>
  <c r="D926" i="15" s="1"/>
  <c r="D950" i="15" s="1"/>
  <c r="D974" i="15" s="1"/>
  <c r="D998" i="15" s="1"/>
  <c r="D1022" i="15" s="1"/>
  <c r="D1046" i="15" s="1"/>
  <c r="D1070" i="15" s="1"/>
  <c r="D1094" i="15" s="1"/>
  <c r="D1118" i="15" s="1"/>
  <c r="D1142" i="15" s="1"/>
  <c r="D1166" i="15" s="1"/>
  <c r="E37" i="15"/>
  <c r="D37" i="15"/>
  <c r="D61" i="15" s="1"/>
  <c r="D85" i="15" s="1"/>
  <c r="D109" i="15" s="1"/>
  <c r="D133" i="15" s="1"/>
  <c r="D157" i="15" s="1"/>
  <c r="D181" i="15" s="1"/>
  <c r="D205" i="15" s="1"/>
  <c r="D229" i="15" s="1"/>
  <c r="D253" i="15" s="1"/>
  <c r="D277" i="15" s="1"/>
  <c r="D301" i="15" s="1"/>
  <c r="D325" i="15" s="1"/>
  <c r="D349" i="15" s="1"/>
  <c r="D373" i="15" s="1"/>
  <c r="D397" i="15" s="1"/>
  <c r="D421" i="15" s="1"/>
  <c r="D445" i="15" s="1"/>
  <c r="D469" i="15" s="1"/>
  <c r="D493" i="15" s="1"/>
  <c r="D517" i="15" s="1"/>
  <c r="D541" i="15" s="1"/>
  <c r="D565" i="15" s="1"/>
  <c r="D589" i="15" s="1"/>
  <c r="D613" i="15" s="1"/>
  <c r="D637" i="15" s="1"/>
  <c r="D661" i="15" s="1"/>
  <c r="D685" i="15" s="1"/>
  <c r="D709" i="15" s="1"/>
  <c r="D733" i="15" s="1"/>
  <c r="D757" i="15" s="1"/>
  <c r="D781" i="15" s="1"/>
  <c r="D805" i="15" s="1"/>
  <c r="D829" i="15" s="1"/>
  <c r="D853" i="15" s="1"/>
  <c r="D877" i="15" s="1"/>
  <c r="D901" i="15" s="1"/>
  <c r="D925" i="15" s="1"/>
  <c r="D949" i="15" s="1"/>
  <c r="D973" i="15" s="1"/>
  <c r="D997" i="15" s="1"/>
  <c r="D1021" i="15" s="1"/>
  <c r="D1045" i="15" s="1"/>
  <c r="D1069" i="15" s="1"/>
  <c r="D1093" i="15" s="1"/>
  <c r="D1117" i="15" s="1"/>
  <c r="D1141" i="15" s="1"/>
  <c r="D1165" i="15" s="1"/>
  <c r="E36" i="15"/>
  <c r="D36" i="15"/>
  <c r="E35" i="15"/>
  <c r="D35" i="15"/>
  <c r="E34" i="15"/>
  <c r="D34" i="15"/>
  <c r="D58" i="15" s="1"/>
  <c r="D82" i="15" s="1"/>
  <c r="D106" i="15" s="1"/>
  <c r="D130" i="15" s="1"/>
  <c r="D154" i="15" s="1"/>
  <c r="D178" i="15" s="1"/>
  <c r="D202" i="15" s="1"/>
  <c r="D226" i="15" s="1"/>
  <c r="D250" i="15" s="1"/>
  <c r="D274" i="15" s="1"/>
  <c r="D298" i="15" s="1"/>
  <c r="D322" i="15" s="1"/>
  <c r="D346" i="15" s="1"/>
  <c r="D370" i="15" s="1"/>
  <c r="D394" i="15" s="1"/>
  <c r="D418" i="15" s="1"/>
  <c r="D442" i="15" s="1"/>
  <c r="D466" i="15" s="1"/>
  <c r="D490" i="15" s="1"/>
  <c r="D514" i="15" s="1"/>
  <c r="D538" i="15" s="1"/>
  <c r="D562" i="15" s="1"/>
  <c r="D586" i="15" s="1"/>
  <c r="D610" i="15" s="1"/>
  <c r="D634" i="15" s="1"/>
  <c r="D658" i="15" s="1"/>
  <c r="D682" i="15" s="1"/>
  <c r="D706" i="15" s="1"/>
  <c r="D730" i="15" s="1"/>
  <c r="D754" i="15" s="1"/>
  <c r="D778" i="15" s="1"/>
  <c r="D802" i="15" s="1"/>
  <c r="D826" i="15" s="1"/>
  <c r="D850" i="15" s="1"/>
  <c r="D874" i="15" s="1"/>
  <c r="D898" i="15" s="1"/>
  <c r="D922" i="15" s="1"/>
  <c r="D946" i="15" s="1"/>
  <c r="D970" i="15" s="1"/>
  <c r="D994" i="15" s="1"/>
  <c r="D1018" i="15" s="1"/>
  <c r="D1042" i="15" s="1"/>
  <c r="D1066" i="15" s="1"/>
  <c r="D1090" i="15" s="1"/>
  <c r="D1114" i="15" s="1"/>
  <c r="D1138" i="15" s="1"/>
  <c r="D1162" i="15" s="1"/>
  <c r="E33" i="15"/>
  <c r="D33" i="15"/>
  <c r="D57" i="15" s="1"/>
  <c r="D81" i="15" s="1"/>
  <c r="D105" i="15" s="1"/>
  <c r="D129" i="15" s="1"/>
  <c r="D153" i="15" s="1"/>
  <c r="D177" i="15" s="1"/>
  <c r="D201" i="15" s="1"/>
  <c r="D225" i="15" s="1"/>
  <c r="D249" i="15" s="1"/>
  <c r="D273" i="15" s="1"/>
  <c r="D297" i="15" s="1"/>
  <c r="D321" i="15" s="1"/>
  <c r="D345" i="15" s="1"/>
  <c r="D369" i="15" s="1"/>
  <c r="D393" i="15" s="1"/>
  <c r="D417" i="15" s="1"/>
  <c r="D441" i="15" s="1"/>
  <c r="D465" i="15" s="1"/>
  <c r="D489" i="15" s="1"/>
  <c r="D513" i="15" s="1"/>
  <c r="D537" i="15" s="1"/>
  <c r="D561" i="15" s="1"/>
  <c r="D585" i="15" s="1"/>
  <c r="D609" i="15" s="1"/>
  <c r="D633" i="15" s="1"/>
  <c r="D657" i="15" s="1"/>
  <c r="D681" i="15" s="1"/>
  <c r="D705" i="15" s="1"/>
  <c r="D729" i="15" s="1"/>
  <c r="D753" i="15" s="1"/>
  <c r="D777" i="15" s="1"/>
  <c r="D801" i="15" s="1"/>
  <c r="D825" i="15" s="1"/>
  <c r="D849" i="15" s="1"/>
  <c r="D873" i="15" s="1"/>
  <c r="D897" i="15" s="1"/>
  <c r="D921" i="15" s="1"/>
  <c r="D945" i="15" s="1"/>
  <c r="D969" i="15" s="1"/>
  <c r="D993" i="15" s="1"/>
  <c r="D1017" i="15" s="1"/>
  <c r="D1041" i="15" s="1"/>
  <c r="D1065" i="15" s="1"/>
  <c r="D1089" i="15" s="1"/>
  <c r="D1113" i="15" s="1"/>
  <c r="D1137" i="15" s="1"/>
  <c r="D1161" i="15" s="1"/>
  <c r="E32" i="15"/>
  <c r="D32" i="15"/>
  <c r="E31" i="15"/>
  <c r="D31" i="15"/>
  <c r="E30" i="15"/>
  <c r="D30" i="15"/>
  <c r="D54" i="15" s="1"/>
  <c r="D78" i="15" s="1"/>
  <c r="D102" i="15" s="1"/>
  <c r="D126" i="15" s="1"/>
  <c r="D150" i="15" s="1"/>
  <c r="D174" i="15" s="1"/>
  <c r="D198" i="15" s="1"/>
  <c r="D222" i="15" s="1"/>
  <c r="D246" i="15" s="1"/>
  <c r="D270" i="15" s="1"/>
  <c r="D294" i="15" s="1"/>
  <c r="D318" i="15" s="1"/>
  <c r="D342" i="15" s="1"/>
  <c r="D366" i="15" s="1"/>
  <c r="D390" i="15" s="1"/>
  <c r="D414" i="15" s="1"/>
  <c r="D438" i="15" s="1"/>
  <c r="D462" i="15" s="1"/>
  <c r="D486" i="15" s="1"/>
  <c r="D510" i="15" s="1"/>
  <c r="D534" i="15" s="1"/>
  <c r="D558" i="15" s="1"/>
  <c r="D582" i="15" s="1"/>
  <c r="D606" i="15" s="1"/>
  <c r="D630" i="15" s="1"/>
  <c r="D654" i="15" s="1"/>
  <c r="D678" i="15" s="1"/>
  <c r="D702" i="15" s="1"/>
  <c r="D726" i="15" s="1"/>
  <c r="D750" i="15" s="1"/>
  <c r="D774" i="15" s="1"/>
  <c r="D798" i="15" s="1"/>
  <c r="D822" i="15" s="1"/>
  <c r="D846" i="15" s="1"/>
  <c r="D870" i="15" s="1"/>
  <c r="D894" i="15" s="1"/>
  <c r="D918" i="15" s="1"/>
  <c r="D942" i="15" s="1"/>
  <c r="D966" i="15" s="1"/>
  <c r="D990" i="15" s="1"/>
  <c r="D1014" i="15" s="1"/>
  <c r="D1038" i="15" s="1"/>
  <c r="D1062" i="15" s="1"/>
  <c r="D1086" i="15" s="1"/>
  <c r="D1110" i="15" s="1"/>
  <c r="D1134" i="15" s="1"/>
  <c r="D1158" i="15" s="1"/>
  <c r="C30" i="15"/>
  <c r="B30" i="15"/>
  <c r="E1181" i="16"/>
  <c r="E1180" i="16"/>
  <c r="E1179" i="16"/>
  <c r="E1178" i="16"/>
  <c r="E1177" i="16"/>
  <c r="E1176" i="16"/>
  <c r="E1175" i="16"/>
  <c r="E1174" i="16"/>
  <c r="E1173" i="16"/>
  <c r="E1172" i="16"/>
  <c r="E1171" i="16"/>
  <c r="E1170" i="16"/>
  <c r="E1169" i="16"/>
  <c r="E1168" i="16"/>
  <c r="E1167" i="16"/>
  <c r="E1166" i="16"/>
  <c r="E1165" i="16"/>
  <c r="E1164" i="16"/>
  <c r="E1163" i="16"/>
  <c r="E1162" i="16"/>
  <c r="E1161" i="16"/>
  <c r="E1160" i="16"/>
  <c r="E1159" i="16"/>
  <c r="E1158" i="16"/>
  <c r="C1158" i="16"/>
  <c r="E1157" i="16"/>
  <c r="E1156" i="16"/>
  <c r="E1155" i="16"/>
  <c r="E1154" i="16"/>
  <c r="E1153" i="16"/>
  <c r="E1152" i="16"/>
  <c r="E1151" i="16"/>
  <c r="E1150" i="16"/>
  <c r="E1149" i="16"/>
  <c r="E1148" i="16"/>
  <c r="E1147" i="16"/>
  <c r="E1146" i="16"/>
  <c r="E1145" i="16"/>
  <c r="E1144" i="16"/>
  <c r="E1143" i="16"/>
  <c r="E1142" i="16"/>
  <c r="E1141" i="16"/>
  <c r="E1140" i="16"/>
  <c r="E1139" i="16"/>
  <c r="E1138" i="16"/>
  <c r="E1137" i="16"/>
  <c r="E1136" i="16"/>
  <c r="E1135" i="16"/>
  <c r="E1134" i="16"/>
  <c r="C1134" i="16"/>
  <c r="B1134" i="16"/>
  <c r="E1133" i="16"/>
  <c r="E1132" i="16"/>
  <c r="E1131" i="16"/>
  <c r="E1130" i="16"/>
  <c r="E1129" i="16"/>
  <c r="E1128" i="16"/>
  <c r="E1127" i="16"/>
  <c r="E1126" i="16"/>
  <c r="E1125" i="16"/>
  <c r="E1124" i="16"/>
  <c r="E1123" i="16"/>
  <c r="E1122" i="16"/>
  <c r="E1121" i="16"/>
  <c r="E1120" i="16"/>
  <c r="E1119" i="16"/>
  <c r="E1118" i="16"/>
  <c r="E1117" i="16"/>
  <c r="E1116" i="16"/>
  <c r="E1115" i="16"/>
  <c r="E1114" i="16"/>
  <c r="E1113" i="16"/>
  <c r="E1112" i="16"/>
  <c r="E1111" i="16"/>
  <c r="E1110" i="16"/>
  <c r="C1110" i="16"/>
  <c r="B1110" i="16"/>
  <c r="E1109" i="16"/>
  <c r="E1108" i="16"/>
  <c r="E1107" i="16"/>
  <c r="E1106" i="16"/>
  <c r="E1105" i="16"/>
  <c r="E1104" i="16"/>
  <c r="E1103" i="16"/>
  <c r="E1102" i="16"/>
  <c r="E1101" i="16"/>
  <c r="E1100" i="16"/>
  <c r="E1099" i="16"/>
  <c r="E1098" i="16"/>
  <c r="E1097" i="16"/>
  <c r="E1096" i="16"/>
  <c r="E1095" i="16"/>
  <c r="E1094" i="16"/>
  <c r="E1093" i="16"/>
  <c r="E1092" i="16"/>
  <c r="E1091" i="16"/>
  <c r="E1090" i="16"/>
  <c r="E1089" i="16"/>
  <c r="E1088" i="16"/>
  <c r="E1087" i="16"/>
  <c r="E1086" i="16"/>
  <c r="C1086" i="16"/>
  <c r="B1086" i="16"/>
  <c r="E1085" i="16"/>
  <c r="E1084" i="16"/>
  <c r="E1083" i="16"/>
  <c r="E1082" i="16"/>
  <c r="E1081" i="16"/>
  <c r="E1080" i="16"/>
  <c r="E1079" i="16"/>
  <c r="E1078" i="16"/>
  <c r="E1077" i="16"/>
  <c r="E1076" i="16"/>
  <c r="E1075" i="16"/>
  <c r="E1074" i="16"/>
  <c r="E1073" i="16"/>
  <c r="E1072" i="16"/>
  <c r="E1071" i="16"/>
  <c r="E1070" i="16"/>
  <c r="E1069" i="16"/>
  <c r="E1068" i="16"/>
  <c r="E1067" i="16"/>
  <c r="E1066" i="16"/>
  <c r="E1065" i="16"/>
  <c r="E1064" i="16"/>
  <c r="E1063" i="16"/>
  <c r="E1062" i="16"/>
  <c r="C1062" i="16"/>
  <c r="B1062" i="16"/>
  <c r="E1061" i="16"/>
  <c r="E1060" i="16"/>
  <c r="E1059" i="16"/>
  <c r="E1058" i="16"/>
  <c r="E1057" i="16"/>
  <c r="E1056" i="16"/>
  <c r="E1055" i="16"/>
  <c r="E1054" i="16"/>
  <c r="E1053" i="16"/>
  <c r="E1052" i="16"/>
  <c r="E1051" i="16"/>
  <c r="E1050" i="16"/>
  <c r="E1049" i="16"/>
  <c r="E1048" i="16"/>
  <c r="E1047" i="16"/>
  <c r="E1046" i="16"/>
  <c r="E1045" i="16"/>
  <c r="E1044" i="16"/>
  <c r="E1043" i="16"/>
  <c r="E1042" i="16"/>
  <c r="E1041" i="16"/>
  <c r="E1040" i="16"/>
  <c r="E1039" i="16"/>
  <c r="E1038" i="16"/>
  <c r="C1038" i="16"/>
  <c r="B1038" i="16"/>
  <c r="E1037" i="16"/>
  <c r="E1036" i="16"/>
  <c r="E1035" i="16"/>
  <c r="E1034" i="16"/>
  <c r="E1033" i="16"/>
  <c r="E1032" i="16"/>
  <c r="E1031" i="16"/>
  <c r="E1030" i="16"/>
  <c r="E1029" i="16"/>
  <c r="E1028" i="16"/>
  <c r="E1027" i="16"/>
  <c r="E1026" i="16"/>
  <c r="E1025" i="16"/>
  <c r="E1024" i="16"/>
  <c r="E1023" i="16"/>
  <c r="E1022" i="16"/>
  <c r="E1021" i="16"/>
  <c r="E1020" i="16"/>
  <c r="E1019" i="16"/>
  <c r="E1018" i="16"/>
  <c r="E1017" i="16"/>
  <c r="E1016" i="16"/>
  <c r="E1015" i="16"/>
  <c r="E1014" i="16"/>
  <c r="C1014" i="16"/>
  <c r="B1014" i="16"/>
  <c r="E1013" i="16"/>
  <c r="E1012" i="16"/>
  <c r="E1011" i="16"/>
  <c r="E1010" i="16"/>
  <c r="E1009" i="16"/>
  <c r="E1008" i="16"/>
  <c r="E1007" i="16"/>
  <c r="E1006" i="16"/>
  <c r="E1005" i="16"/>
  <c r="E1004" i="16"/>
  <c r="E1003" i="16"/>
  <c r="E1002" i="16"/>
  <c r="E1001" i="16"/>
  <c r="E1000" i="16"/>
  <c r="E999" i="16"/>
  <c r="E998" i="16"/>
  <c r="E997" i="16"/>
  <c r="E996" i="16"/>
  <c r="E995" i="16"/>
  <c r="E994" i="16"/>
  <c r="E993" i="16"/>
  <c r="E992" i="16"/>
  <c r="E991" i="16"/>
  <c r="E990" i="16"/>
  <c r="C990" i="16"/>
  <c r="B990" i="16"/>
  <c r="E989" i="16"/>
  <c r="E988" i="16"/>
  <c r="E987" i="16"/>
  <c r="E986" i="16"/>
  <c r="E985" i="16"/>
  <c r="E984" i="16"/>
  <c r="E983" i="16"/>
  <c r="E982" i="16"/>
  <c r="E981" i="16"/>
  <c r="E980" i="16"/>
  <c r="E979" i="16"/>
  <c r="E978" i="16"/>
  <c r="E977" i="16"/>
  <c r="E976" i="16"/>
  <c r="E975" i="16"/>
  <c r="E974" i="16"/>
  <c r="E973" i="16"/>
  <c r="E972" i="16"/>
  <c r="E971" i="16"/>
  <c r="E970" i="16"/>
  <c r="E969" i="16"/>
  <c r="E968" i="16"/>
  <c r="E967" i="16"/>
  <c r="E966" i="16"/>
  <c r="C966" i="16"/>
  <c r="B966" i="16"/>
  <c r="E965" i="16"/>
  <c r="E964" i="16"/>
  <c r="E963" i="16"/>
  <c r="E962" i="16"/>
  <c r="E961" i="16"/>
  <c r="E960" i="16"/>
  <c r="E959" i="16"/>
  <c r="E958" i="16"/>
  <c r="E957" i="16"/>
  <c r="E956" i="16"/>
  <c r="E955" i="16"/>
  <c r="E954" i="16"/>
  <c r="E953" i="16"/>
  <c r="E952" i="16"/>
  <c r="E951" i="16"/>
  <c r="E950" i="16"/>
  <c r="E949" i="16"/>
  <c r="E948" i="16"/>
  <c r="E947" i="16"/>
  <c r="E946" i="16"/>
  <c r="E945" i="16"/>
  <c r="E944" i="16"/>
  <c r="E943" i="16"/>
  <c r="E942" i="16"/>
  <c r="C942" i="16"/>
  <c r="B942" i="16"/>
  <c r="E941" i="16"/>
  <c r="E940" i="16"/>
  <c r="E939" i="16"/>
  <c r="E938" i="16"/>
  <c r="E937" i="16"/>
  <c r="E936" i="16"/>
  <c r="E935" i="16"/>
  <c r="E934" i="16"/>
  <c r="E933" i="16"/>
  <c r="E932" i="16"/>
  <c r="E931" i="16"/>
  <c r="E930" i="16"/>
  <c r="E929" i="16"/>
  <c r="E928" i="16"/>
  <c r="E927" i="16"/>
  <c r="E926" i="16"/>
  <c r="E925" i="16"/>
  <c r="E924" i="16"/>
  <c r="E923" i="16"/>
  <c r="E922" i="16"/>
  <c r="E921" i="16"/>
  <c r="E920" i="16"/>
  <c r="E919" i="16"/>
  <c r="E918" i="16"/>
  <c r="C918" i="16"/>
  <c r="B918" i="16"/>
  <c r="E917" i="16"/>
  <c r="E916" i="16"/>
  <c r="E915" i="16"/>
  <c r="E914" i="16"/>
  <c r="E913" i="16"/>
  <c r="E912" i="16"/>
  <c r="E911" i="16"/>
  <c r="E910" i="16"/>
  <c r="E909" i="16"/>
  <c r="E908" i="16"/>
  <c r="E907" i="16"/>
  <c r="E906" i="16"/>
  <c r="E905" i="16"/>
  <c r="E904" i="16"/>
  <c r="E903" i="16"/>
  <c r="E902" i="16"/>
  <c r="E901" i="16"/>
  <c r="E900" i="16"/>
  <c r="E899" i="16"/>
  <c r="E898" i="16"/>
  <c r="E897" i="16"/>
  <c r="E896" i="16"/>
  <c r="E895" i="16"/>
  <c r="E894" i="16"/>
  <c r="C894" i="16"/>
  <c r="B894" i="16"/>
  <c r="E893" i="16"/>
  <c r="E892" i="16"/>
  <c r="E891" i="16"/>
  <c r="E890" i="16"/>
  <c r="E889" i="16"/>
  <c r="E888" i="16"/>
  <c r="E887" i="16"/>
  <c r="E886" i="16"/>
  <c r="E885" i="16"/>
  <c r="E884" i="16"/>
  <c r="E883" i="16"/>
  <c r="E882" i="16"/>
  <c r="E881" i="16"/>
  <c r="E880" i="16"/>
  <c r="E879" i="16"/>
  <c r="E878" i="16"/>
  <c r="E877" i="16"/>
  <c r="E876" i="16"/>
  <c r="E875" i="16"/>
  <c r="E874" i="16"/>
  <c r="E873" i="16"/>
  <c r="E872" i="16"/>
  <c r="E871" i="16"/>
  <c r="E870" i="16"/>
  <c r="C870" i="16"/>
  <c r="B870" i="16"/>
  <c r="E869" i="16"/>
  <c r="E868" i="16"/>
  <c r="E867" i="16"/>
  <c r="E866" i="16"/>
  <c r="E865" i="16"/>
  <c r="E864" i="16"/>
  <c r="E863" i="16"/>
  <c r="E862" i="16"/>
  <c r="E861" i="16"/>
  <c r="E860" i="16"/>
  <c r="E859" i="16"/>
  <c r="E858" i="16"/>
  <c r="E857" i="16"/>
  <c r="E856" i="16"/>
  <c r="E855" i="16"/>
  <c r="E854" i="16"/>
  <c r="E853" i="16"/>
  <c r="E852" i="16"/>
  <c r="E851" i="16"/>
  <c r="E850" i="16"/>
  <c r="E849" i="16"/>
  <c r="E848" i="16"/>
  <c r="E847" i="16"/>
  <c r="E846" i="16"/>
  <c r="C846" i="16"/>
  <c r="B846" i="16"/>
  <c r="E845" i="16"/>
  <c r="E844" i="16"/>
  <c r="E843" i="16"/>
  <c r="E842" i="16"/>
  <c r="E841" i="16"/>
  <c r="E840" i="16"/>
  <c r="E839" i="16"/>
  <c r="E838" i="16"/>
  <c r="E837" i="16"/>
  <c r="E836" i="16"/>
  <c r="E835" i="16"/>
  <c r="E834" i="16"/>
  <c r="E833" i="16"/>
  <c r="E832" i="16"/>
  <c r="E831" i="16"/>
  <c r="E830" i="16"/>
  <c r="E829" i="16"/>
  <c r="E828" i="16"/>
  <c r="E827" i="16"/>
  <c r="E826" i="16"/>
  <c r="E825" i="16"/>
  <c r="E824" i="16"/>
  <c r="E823" i="16"/>
  <c r="E822" i="16"/>
  <c r="C822" i="16"/>
  <c r="B822" i="16"/>
  <c r="E821" i="16"/>
  <c r="E820" i="16"/>
  <c r="E819" i="16"/>
  <c r="E818" i="16"/>
  <c r="E817" i="16"/>
  <c r="E816" i="16"/>
  <c r="E815" i="16"/>
  <c r="E814" i="16"/>
  <c r="E813" i="16"/>
  <c r="E812" i="16"/>
  <c r="E811" i="16"/>
  <c r="E810" i="16"/>
  <c r="E809" i="16"/>
  <c r="E808" i="16"/>
  <c r="E807" i="16"/>
  <c r="E806" i="16"/>
  <c r="E805" i="16"/>
  <c r="E804" i="16"/>
  <c r="E803" i="16"/>
  <c r="E802" i="16"/>
  <c r="E801" i="16"/>
  <c r="E800" i="16"/>
  <c r="E799" i="16"/>
  <c r="E798" i="16"/>
  <c r="C798" i="16"/>
  <c r="B798" i="16"/>
  <c r="E797" i="16"/>
  <c r="E796" i="16"/>
  <c r="E795" i="16"/>
  <c r="E794" i="16"/>
  <c r="E793" i="16"/>
  <c r="E792" i="16"/>
  <c r="E791" i="16"/>
  <c r="E790" i="16"/>
  <c r="E789" i="16"/>
  <c r="E788" i="16"/>
  <c r="E787" i="16"/>
  <c r="E786" i="16"/>
  <c r="E785" i="16"/>
  <c r="E784" i="16"/>
  <c r="E783" i="16"/>
  <c r="E782" i="16"/>
  <c r="E781" i="16"/>
  <c r="E780" i="16"/>
  <c r="E779" i="16"/>
  <c r="E778" i="16"/>
  <c r="E777" i="16"/>
  <c r="E776" i="16"/>
  <c r="E775" i="16"/>
  <c r="E774" i="16"/>
  <c r="C774" i="16"/>
  <c r="B774" i="16"/>
  <c r="E773" i="16"/>
  <c r="E772" i="16"/>
  <c r="E771" i="16"/>
  <c r="E770" i="16"/>
  <c r="E769" i="16"/>
  <c r="E768" i="16"/>
  <c r="E767" i="16"/>
  <c r="E766" i="16"/>
  <c r="E765" i="16"/>
  <c r="E764" i="16"/>
  <c r="E763" i="16"/>
  <c r="E762" i="16"/>
  <c r="E761" i="16"/>
  <c r="E760" i="16"/>
  <c r="E759" i="16"/>
  <c r="E758" i="16"/>
  <c r="E757" i="16"/>
  <c r="E756" i="16"/>
  <c r="E755" i="16"/>
  <c r="E754" i="16"/>
  <c r="E753" i="16"/>
  <c r="E752" i="16"/>
  <c r="E751" i="16"/>
  <c r="E750" i="16"/>
  <c r="C750" i="16"/>
  <c r="B750" i="16"/>
  <c r="E749" i="16"/>
  <c r="E748" i="16"/>
  <c r="E747" i="16"/>
  <c r="E746" i="16"/>
  <c r="E745" i="16"/>
  <c r="E744" i="16"/>
  <c r="E743" i="16"/>
  <c r="E742" i="16"/>
  <c r="E741" i="16"/>
  <c r="E740" i="16"/>
  <c r="E739" i="16"/>
  <c r="E738" i="16"/>
  <c r="E737" i="16"/>
  <c r="E736" i="16"/>
  <c r="E735" i="16"/>
  <c r="E734" i="16"/>
  <c r="E733" i="16"/>
  <c r="E732" i="16"/>
  <c r="E731" i="16"/>
  <c r="E730" i="16"/>
  <c r="E729" i="16"/>
  <c r="E728" i="16"/>
  <c r="E727" i="16"/>
  <c r="E726" i="16"/>
  <c r="C726" i="16"/>
  <c r="B726" i="16"/>
  <c r="E725" i="16"/>
  <c r="E724" i="16"/>
  <c r="E723" i="16"/>
  <c r="E722" i="16"/>
  <c r="E721" i="16"/>
  <c r="E720" i="16"/>
  <c r="E719" i="16"/>
  <c r="E718" i="16"/>
  <c r="E717" i="16"/>
  <c r="E716" i="16"/>
  <c r="E715" i="16"/>
  <c r="E714" i="16"/>
  <c r="E713" i="16"/>
  <c r="E712" i="16"/>
  <c r="E711" i="16"/>
  <c r="E710" i="16"/>
  <c r="E709" i="16"/>
  <c r="E708" i="16"/>
  <c r="E707" i="16"/>
  <c r="E706" i="16"/>
  <c r="E705" i="16"/>
  <c r="E704" i="16"/>
  <c r="E703" i="16"/>
  <c r="E702" i="16"/>
  <c r="C702" i="16"/>
  <c r="B702" i="16"/>
  <c r="E701" i="16"/>
  <c r="E700" i="16"/>
  <c r="E699" i="16"/>
  <c r="E698" i="16"/>
  <c r="E697" i="16"/>
  <c r="E696" i="16"/>
  <c r="E695" i="16"/>
  <c r="E694" i="16"/>
  <c r="E693" i="16"/>
  <c r="E692" i="16"/>
  <c r="E691" i="16"/>
  <c r="E690" i="16"/>
  <c r="E689" i="16"/>
  <c r="E688" i="16"/>
  <c r="E687" i="16"/>
  <c r="E686" i="16"/>
  <c r="E685" i="16"/>
  <c r="E684" i="16"/>
  <c r="E683" i="16"/>
  <c r="E682" i="16"/>
  <c r="E681" i="16"/>
  <c r="E680" i="16"/>
  <c r="E679" i="16"/>
  <c r="E678" i="16"/>
  <c r="C678" i="16"/>
  <c r="B678" i="16"/>
  <c r="E677" i="16"/>
  <c r="E676" i="16"/>
  <c r="E675" i="16"/>
  <c r="E674" i="16"/>
  <c r="E673" i="16"/>
  <c r="E672" i="16"/>
  <c r="E671" i="16"/>
  <c r="E670" i="16"/>
  <c r="E669" i="16"/>
  <c r="E668" i="16"/>
  <c r="E667" i="16"/>
  <c r="E666" i="16"/>
  <c r="E665" i="16"/>
  <c r="E664" i="16"/>
  <c r="E663" i="16"/>
  <c r="E662" i="16"/>
  <c r="E661" i="16"/>
  <c r="E660" i="16"/>
  <c r="E659" i="16"/>
  <c r="E658" i="16"/>
  <c r="E657" i="16"/>
  <c r="E656" i="16"/>
  <c r="E655" i="16"/>
  <c r="E654" i="16"/>
  <c r="C654" i="16"/>
  <c r="B654" i="16"/>
  <c r="E653" i="16"/>
  <c r="E652" i="16"/>
  <c r="E651" i="16"/>
  <c r="E650" i="16"/>
  <c r="E649" i="16"/>
  <c r="E648" i="16"/>
  <c r="E647" i="16"/>
  <c r="E646" i="16"/>
  <c r="E645" i="16"/>
  <c r="E644" i="16"/>
  <c r="E643" i="16"/>
  <c r="E642" i="16"/>
  <c r="E641" i="16"/>
  <c r="E640" i="16"/>
  <c r="E639" i="16"/>
  <c r="E638" i="16"/>
  <c r="E637" i="16"/>
  <c r="E636" i="16"/>
  <c r="E635" i="16"/>
  <c r="E634" i="16"/>
  <c r="E633" i="16"/>
  <c r="E632" i="16"/>
  <c r="E631" i="16"/>
  <c r="E630" i="16"/>
  <c r="C630" i="16"/>
  <c r="B630" i="16"/>
  <c r="E629" i="16"/>
  <c r="E628" i="16"/>
  <c r="E627" i="16"/>
  <c r="E626" i="16"/>
  <c r="E625" i="16"/>
  <c r="E624" i="16"/>
  <c r="E623" i="16"/>
  <c r="E622" i="16"/>
  <c r="E621" i="16"/>
  <c r="E620" i="16"/>
  <c r="E619" i="16"/>
  <c r="E618" i="16"/>
  <c r="E617" i="16"/>
  <c r="E616" i="16"/>
  <c r="E615" i="16"/>
  <c r="E614" i="16"/>
  <c r="E613" i="16"/>
  <c r="E612" i="16"/>
  <c r="E611" i="16"/>
  <c r="E610" i="16"/>
  <c r="E609" i="16"/>
  <c r="E608" i="16"/>
  <c r="E607" i="16"/>
  <c r="E606" i="16"/>
  <c r="C606" i="16"/>
  <c r="B606" i="16"/>
  <c r="E605" i="16"/>
  <c r="E604" i="16"/>
  <c r="E603" i="16"/>
  <c r="E602" i="16"/>
  <c r="E601" i="16"/>
  <c r="E600" i="16"/>
  <c r="E599" i="16"/>
  <c r="E598" i="16"/>
  <c r="E597" i="16"/>
  <c r="E596" i="16"/>
  <c r="E595" i="16"/>
  <c r="E594" i="16"/>
  <c r="E593" i="16"/>
  <c r="E592" i="16"/>
  <c r="E591" i="16"/>
  <c r="E590" i="16"/>
  <c r="E589" i="16"/>
  <c r="E588" i="16"/>
  <c r="E587" i="16"/>
  <c r="E586" i="16"/>
  <c r="E585" i="16"/>
  <c r="E584" i="16"/>
  <c r="E583" i="16"/>
  <c r="E582" i="16"/>
  <c r="C582" i="16"/>
  <c r="B582" i="16"/>
  <c r="E581" i="16"/>
  <c r="E580" i="16"/>
  <c r="E579" i="16"/>
  <c r="E578" i="16"/>
  <c r="E577" i="16"/>
  <c r="E576" i="16"/>
  <c r="E575" i="16"/>
  <c r="E574" i="16"/>
  <c r="E573" i="16"/>
  <c r="E572" i="16"/>
  <c r="E571" i="16"/>
  <c r="E570" i="16"/>
  <c r="E569" i="16"/>
  <c r="E568" i="16"/>
  <c r="E567" i="16"/>
  <c r="E566" i="16"/>
  <c r="E565" i="16"/>
  <c r="E564" i="16"/>
  <c r="E563" i="16"/>
  <c r="E562" i="16"/>
  <c r="E561" i="16"/>
  <c r="E560" i="16"/>
  <c r="E559" i="16"/>
  <c r="E558" i="16"/>
  <c r="C558" i="16"/>
  <c r="B558" i="16"/>
  <c r="E557" i="16"/>
  <c r="E556" i="16"/>
  <c r="E555" i="16"/>
  <c r="E554" i="16"/>
  <c r="E553" i="16"/>
  <c r="E552" i="16"/>
  <c r="E551" i="16"/>
  <c r="E550" i="16"/>
  <c r="E549" i="16"/>
  <c r="E548" i="16"/>
  <c r="E547" i="16"/>
  <c r="E546" i="16"/>
  <c r="E545" i="16"/>
  <c r="E544" i="16"/>
  <c r="E543" i="16"/>
  <c r="E542" i="16"/>
  <c r="E541" i="16"/>
  <c r="E540" i="16"/>
  <c r="E539" i="16"/>
  <c r="E538" i="16"/>
  <c r="E537" i="16"/>
  <c r="E536" i="16"/>
  <c r="E535" i="16"/>
  <c r="E534" i="16"/>
  <c r="C534" i="16"/>
  <c r="B534" i="16"/>
  <c r="E533" i="16"/>
  <c r="E532" i="16"/>
  <c r="E531" i="16"/>
  <c r="E530" i="16"/>
  <c r="E529" i="16"/>
  <c r="E528" i="16"/>
  <c r="E527" i="16"/>
  <c r="E526" i="16"/>
  <c r="E525" i="16"/>
  <c r="E524" i="16"/>
  <c r="E523" i="16"/>
  <c r="E522" i="16"/>
  <c r="E521" i="16"/>
  <c r="E520" i="16"/>
  <c r="E519" i="16"/>
  <c r="E518" i="16"/>
  <c r="E517" i="16"/>
  <c r="E516" i="16"/>
  <c r="E515" i="16"/>
  <c r="E514" i="16"/>
  <c r="E513" i="16"/>
  <c r="E512" i="16"/>
  <c r="E511" i="16"/>
  <c r="E510" i="16"/>
  <c r="C510" i="16"/>
  <c r="B510" i="16"/>
  <c r="E509" i="16"/>
  <c r="E508" i="16"/>
  <c r="E507" i="16"/>
  <c r="E506" i="16"/>
  <c r="E505" i="16"/>
  <c r="E504" i="16"/>
  <c r="E503" i="16"/>
  <c r="E502" i="16"/>
  <c r="E501" i="16"/>
  <c r="E500" i="16"/>
  <c r="E499" i="16"/>
  <c r="E498" i="16"/>
  <c r="E497" i="16"/>
  <c r="E496" i="16"/>
  <c r="E495" i="16"/>
  <c r="E494" i="16"/>
  <c r="E493" i="16"/>
  <c r="E492" i="16"/>
  <c r="E491" i="16"/>
  <c r="E490" i="16"/>
  <c r="E489" i="16"/>
  <c r="E488" i="16"/>
  <c r="E487" i="16"/>
  <c r="E486" i="16"/>
  <c r="C486" i="16"/>
  <c r="B486" i="16"/>
  <c r="E485" i="16"/>
  <c r="E484" i="16"/>
  <c r="E483" i="16"/>
  <c r="E482" i="16"/>
  <c r="E481" i="16"/>
  <c r="E480" i="16"/>
  <c r="E479" i="16"/>
  <c r="E478" i="16"/>
  <c r="E477" i="16"/>
  <c r="E476" i="16"/>
  <c r="E475" i="16"/>
  <c r="E474" i="16"/>
  <c r="E473" i="16"/>
  <c r="E472" i="16"/>
  <c r="E471" i="16"/>
  <c r="E470" i="16"/>
  <c r="E469" i="16"/>
  <c r="E468" i="16"/>
  <c r="E467" i="16"/>
  <c r="E466" i="16"/>
  <c r="E465" i="16"/>
  <c r="E464" i="16"/>
  <c r="E463" i="16"/>
  <c r="E462" i="16"/>
  <c r="C462" i="16"/>
  <c r="B462" i="16"/>
  <c r="E461" i="16"/>
  <c r="E460" i="16"/>
  <c r="E459" i="16"/>
  <c r="E458" i="16"/>
  <c r="E457" i="16"/>
  <c r="E456" i="16"/>
  <c r="E455" i="16"/>
  <c r="E454" i="16"/>
  <c r="E453" i="16"/>
  <c r="E452" i="16"/>
  <c r="E451" i="16"/>
  <c r="E450" i="16"/>
  <c r="E449" i="16"/>
  <c r="E448" i="16"/>
  <c r="E447" i="16"/>
  <c r="E446" i="16"/>
  <c r="E445" i="16"/>
  <c r="E444" i="16"/>
  <c r="E443" i="16"/>
  <c r="E442" i="16"/>
  <c r="E441" i="16"/>
  <c r="E440" i="16"/>
  <c r="E439" i="16"/>
  <c r="E438" i="16"/>
  <c r="C438" i="16"/>
  <c r="B438" i="16"/>
  <c r="E437" i="16"/>
  <c r="E436" i="16"/>
  <c r="E435" i="16"/>
  <c r="E434" i="16"/>
  <c r="E433" i="16"/>
  <c r="E432" i="16"/>
  <c r="E431" i="16"/>
  <c r="E430" i="16"/>
  <c r="E429" i="16"/>
  <c r="E428" i="16"/>
  <c r="E427" i="16"/>
  <c r="E426" i="16"/>
  <c r="E425" i="16"/>
  <c r="E424" i="16"/>
  <c r="E423" i="16"/>
  <c r="E422" i="16"/>
  <c r="E421" i="16"/>
  <c r="E420" i="16"/>
  <c r="E419" i="16"/>
  <c r="E418" i="16"/>
  <c r="E417" i="16"/>
  <c r="E416" i="16"/>
  <c r="E415" i="16"/>
  <c r="E414" i="16"/>
  <c r="C414" i="16"/>
  <c r="B414" i="16"/>
  <c r="E413" i="16"/>
  <c r="E412" i="16"/>
  <c r="E411" i="16"/>
  <c r="E410" i="16"/>
  <c r="E409" i="16"/>
  <c r="E408" i="16"/>
  <c r="E407" i="16"/>
  <c r="E406" i="16"/>
  <c r="E405" i="16"/>
  <c r="E404" i="16"/>
  <c r="E403" i="16"/>
  <c r="E402" i="16"/>
  <c r="E401" i="16"/>
  <c r="E400" i="16"/>
  <c r="E399" i="16"/>
  <c r="E398" i="16"/>
  <c r="E397" i="16"/>
  <c r="E396" i="16"/>
  <c r="E395" i="16"/>
  <c r="E394" i="16"/>
  <c r="E393" i="16"/>
  <c r="E392" i="16"/>
  <c r="E391" i="16"/>
  <c r="E390" i="16"/>
  <c r="C390" i="16"/>
  <c r="B390" i="16"/>
  <c r="E389" i="16"/>
  <c r="E388" i="16"/>
  <c r="E387" i="16"/>
  <c r="E386" i="16"/>
  <c r="E385" i="16"/>
  <c r="E384" i="16"/>
  <c r="E383" i="16"/>
  <c r="E382" i="16"/>
  <c r="E381" i="16"/>
  <c r="E380" i="16"/>
  <c r="E379" i="16"/>
  <c r="E378" i="16"/>
  <c r="E377" i="16"/>
  <c r="E376" i="16"/>
  <c r="E375" i="16"/>
  <c r="E374" i="16"/>
  <c r="E373" i="16"/>
  <c r="E372" i="16"/>
  <c r="E371" i="16"/>
  <c r="E370" i="16"/>
  <c r="E369" i="16"/>
  <c r="E368" i="16"/>
  <c r="E367" i="16"/>
  <c r="E366" i="16"/>
  <c r="C366" i="16"/>
  <c r="B366" i="16"/>
  <c r="E365" i="16"/>
  <c r="E364" i="16"/>
  <c r="E363" i="16"/>
  <c r="E362" i="16"/>
  <c r="E361" i="16"/>
  <c r="E360" i="16"/>
  <c r="E359" i="16"/>
  <c r="E358" i="16"/>
  <c r="E357" i="16"/>
  <c r="E356" i="16"/>
  <c r="E355" i="16"/>
  <c r="E354" i="16"/>
  <c r="E353" i="16"/>
  <c r="E352" i="16"/>
  <c r="E351" i="16"/>
  <c r="E350" i="16"/>
  <c r="E349" i="16"/>
  <c r="E348" i="16"/>
  <c r="E347" i="16"/>
  <c r="E346" i="16"/>
  <c r="E345" i="16"/>
  <c r="E344" i="16"/>
  <c r="E343" i="16"/>
  <c r="E342" i="16"/>
  <c r="C342" i="16"/>
  <c r="B342" i="16"/>
  <c r="E341" i="16"/>
  <c r="E340" i="16"/>
  <c r="E339" i="16"/>
  <c r="E338" i="16"/>
  <c r="E337" i="16"/>
  <c r="E336" i="16"/>
  <c r="E335" i="16"/>
  <c r="E334" i="16"/>
  <c r="E333" i="16"/>
  <c r="E332" i="16"/>
  <c r="E331" i="16"/>
  <c r="E330" i="16"/>
  <c r="E329" i="16"/>
  <c r="E328" i="16"/>
  <c r="E327" i="16"/>
  <c r="E326" i="16"/>
  <c r="E325" i="16"/>
  <c r="E324" i="16"/>
  <c r="E323" i="16"/>
  <c r="E322" i="16"/>
  <c r="E321" i="16"/>
  <c r="E320" i="16"/>
  <c r="E319" i="16"/>
  <c r="E318" i="16"/>
  <c r="C318" i="16"/>
  <c r="B318" i="16"/>
  <c r="E317" i="16"/>
  <c r="E316" i="16"/>
  <c r="E315" i="16"/>
  <c r="E314" i="16"/>
  <c r="E313" i="16"/>
  <c r="E312" i="16"/>
  <c r="E311" i="16"/>
  <c r="E310" i="16"/>
  <c r="E309" i="16"/>
  <c r="E308" i="16"/>
  <c r="E307" i="16"/>
  <c r="E306" i="16"/>
  <c r="E305" i="16"/>
  <c r="E304" i="16"/>
  <c r="E303" i="16"/>
  <c r="E302" i="16"/>
  <c r="E301" i="16"/>
  <c r="E300" i="16"/>
  <c r="E299" i="16"/>
  <c r="E298" i="16"/>
  <c r="E297" i="16"/>
  <c r="E296" i="16"/>
  <c r="E295" i="16"/>
  <c r="E294" i="16"/>
  <c r="C294" i="16"/>
  <c r="B294" i="16"/>
  <c r="E293" i="16"/>
  <c r="E292" i="16"/>
  <c r="E291" i="16"/>
  <c r="E290" i="16"/>
  <c r="E289" i="16"/>
  <c r="E288" i="16"/>
  <c r="E287" i="16"/>
  <c r="E286" i="16"/>
  <c r="E285" i="16"/>
  <c r="E284" i="16"/>
  <c r="E283" i="16"/>
  <c r="E282" i="16"/>
  <c r="E281" i="16"/>
  <c r="E280" i="16"/>
  <c r="E279" i="16"/>
  <c r="E278" i="16"/>
  <c r="E277" i="16"/>
  <c r="E276" i="16"/>
  <c r="E275" i="16"/>
  <c r="E274" i="16"/>
  <c r="E273" i="16"/>
  <c r="E272" i="16"/>
  <c r="E271" i="16"/>
  <c r="E270" i="16"/>
  <c r="C270" i="16"/>
  <c r="B270" i="16"/>
  <c r="E269" i="16"/>
  <c r="E268" i="16"/>
  <c r="E267" i="16"/>
  <c r="E266" i="16"/>
  <c r="E265" i="16"/>
  <c r="E264" i="16"/>
  <c r="E263" i="16"/>
  <c r="E262" i="16"/>
  <c r="E261" i="16"/>
  <c r="E260" i="16"/>
  <c r="E259" i="16"/>
  <c r="E258" i="16"/>
  <c r="E257" i="16"/>
  <c r="E256" i="16"/>
  <c r="E255" i="16"/>
  <c r="E254" i="16"/>
  <c r="E253" i="16"/>
  <c r="E252" i="16"/>
  <c r="E251" i="16"/>
  <c r="E250" i="16"/>
  <c r="E249" i="16"/>
  <c r="E248" i="16"/>
  <c r="E247" i="16"/>
  <c r="E246" i="16"/>
  <c r="C246" i="16"/>
  <c r="B246" i="16"/>
  <c r="E245" i="16"/>
  <c r="E244" i="16"/>
  <c r="E243" i="16"/>
  <c r="E242" i="16"/>
  <c r="E241" i="16"/>
  <c r="E240" i="16"/>
  <c r="E239" i="16"/>
  <c r="E238" i="16"/>
  <c r="E237" i="16"/>
  <c r="E236" i="16"/>
  <c r="E235" i="16"/>
  <c r="E234" i="16"/>
  <c r="E233" i="16"/>
  <c r="E232" i="16"/>
  <c r="E231" i="16"/>
  <c r="E230" i="16"/>
  <c r="E229" i="16"/>
  <c r="E228" i="16"/>
  <c r="E227" i="16"/>
  <c r="E226" i="16"/>
  <c r="E225" i="16"/>
  <c r="E224" i="16"/>
  <c r="E223" i="16"/>
  <c r="E222" i="16"/>
  <c r="C222" i="16"/>
  <c r="B222" i="16"/>
  <c r="E221" i="16"/>
  <c r="E220" i="16"/>
  <c r="E219" i="16"/>
  <c r="E218" i="16"/>
  <c r="E217" i="16"/>
  <c r="E216" i="16"/>
  <c r="E215" i="16"/>
  <c r="E214" i="16"/>
  <c r="E213" i="16"/>
  <c r="E212" i="16"/>
  <c r="E211" i="16"/>
  <c r="E210" i="16"/>
  <c r="E209" i="16"/>
  <c r="E208" i="16"/>
  <c r="E207" i="16"/>
  <c r="E206" i="16"/>
  <c r="E205" i="16"/>
  <c r="E204" i="16"/>
  <c r="E203" i="16"/>
  <c r="E202" i="16"/>
  <c r="E201" i="16"/>
  <c r="E200" i="16"/>
  <c r="E199" i="16"/>
  <c r="E198" i="16"/>
  <c r="C198" i="16"/>
  <c r="B198" i="16"/>
  <c r="E197" i="16"/>
  <c r="E196" i="16"/>
  <c r="E195" i="16"/>
  <c r="E194" i="16"/>
  <c r="E193" i="16"/>
  <c r="E192" i="16"/>
  <c r="E191" i="16"/>
  <c r="E190" i="16"/>
  <c r="E189" i="16"/>
  <c r="E188" i="16"/>
  <c r="E187" i="16"/>
  <c r="E186" i="16"/>
  <c r="E185" i="16"/>
  <c r="E184" i="16"/>
  <c r="E183" i="16"/>
  <c r="E182" i="16"/>
  <c r="E181" i="16"/>
  <c r="E180" i="16"/>
  <c r="E179" i="16"/>
  <c r="E178" i="16"/>
  <c r="E177" i="16"/>
  <c r="E176" i="16"/>
  <c r="E175" i="16"/>
  <c r="E174" i="16"/>
  <c r="C174" i="16"/>
  <c r="B174" i="16"/>
  <c r="E173" i="16"/>
  <c r="E172" i="16"/>
  <c r="E171" i="16"/>
  <c r="E170" i="16"/>
  <c r="E169" i="16"/>
  <c r="E168" i="16"/>
  <c r="E167" i="16"/>
  <c r="E166" i="16"/>
  <c r="E165" i="16"/>
  <c r="E164" i="16"/>
  <c r="E163" i="16"/>
  <c r="E162" i="16"/>
  <c r="E161" i="16"/>
  <c r="E160" i="16"/>
  <c r="E159" i="16"/>
  <c r="E158" i="16"/>
  <c r="E157" i="16"/>
  <c r="E156" i="16"/>
  <c r="E155" i="16"/>
  <c r="E154" i="16"/>
  <c r="E153" i="16"/>
  <c r="E152" i="16"/>
  <c r="E151" i="16"/>
  <c r="E150" i="16"/>
  <c r="C150" i="16"/>
  <c r="B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C126" i="16"/>
  <c r="B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C102" i="16"/>
  <c r="B102" i="16"/>
  <c r="E101" i="16"/>
  <c r="E100" i="16"/>
  <c r="E99" i="16"/>
  <c r="D99" i="16"/>
  <c r="D123" i="16" s="1"/>
  <c r="D147" i="16" s="1"/>
  <c r="D171" i="16" s="1"/>
  <c r="D195" i="16" s="1"/>
  <c r="D219" i="16" s="1"/>
  <c r="D243" i="16" s="1"/>
  <c r="D267" i="16" s="1"/>
  <c r="D291" i="16" s="1"/>
  <c r="D315" i="16" s="1"/>
  <c r="D339" i="16" s="1"/>
  <c r="D363" i="16" s="1"/>
  <c r="D387" i="16" s="1"/>
  <c r="D411" i="16" s="1"/>
  <c r="D435" i="16" s="1"/>
  <c r="D459" i="16" s="1"/>
  <c r="D483" i="16" s="1"/>
  <c r="D507" i="16" s="1"/>
  <c r="D531" i="16" s="1"/>
  <c r="D555" i="16" s="1"/>
  <c r="D579" i="16" s="1"/>
  <c r="D603" i="16" s="1"/>
  <c r="D627" i="16" s="1"/>
  <c r="D651" i="16" s="1"/>
  <c r="D675" i="16" s="1"/>
  <c r="D699" i="16" s="1"/>
  <c r="D723" i="16" s="1"/>
  <c r="D747" i="16" s="1"/>
  <c r="D771" i="16" s="1"/>
  <c r="D795" i="16" s="1"/>
  <c r="D819" i="16" s="1"/>
  <c r="D843" i="16" s="1"/>
  <c r="D867" i="16" s="1"/>
  <c r="D891" i="16" s="1"/>
  <c r="D915" i="16" s="1"/>
  <c r="D939" i="16" s="1"/>
  <c r="D963" i="16" s="1"/>
  <c r="D987" i="16" s="1"/>
  <c r="D1011" i="16" s="1"/>
  <c r="D1035" i="16" s="1"/>
  <c r="D1059" i="16" s="1"/>
  <c r="D1083" i="16" s="1"/>
  <c r="D1107" i="16" s="1"/>
  <c r="D1131" i="16" s="1"/>
  <c r="D1155" i="16" s="1"/>
  <c r="D1179" i="16" s="1"/>
  <c r="E98" i="16"/>
  <c r="E97" i="16"/>
  <c r="E96" i="16"/>
  <c r="E95" i="16"/>
  <c r="D95" i="16"/>
  <c r="D119" i="16" s="1"/>
  <c r="D143" i="16" s="1"/>
  <c r="D167" i="16" s="1"/>
  <c r="D191" i="16" s="1"/>
  <c r="D215" i="16" s="1"/>
  <c r="D239" i="16" s="1"/>
  <c r="D263" i="16" s="1"/>
  <c r="D287" i="16" s="1"/>
  <c r="D311" i="16" s="1"/>
  <c r="D335" i="16" s="1"/>
  <c r="D359" i="16" s="1"/>
  <c r="D383" i="16" s="1"/>
  <c r="D407" i="16" s="1"/>
  <c r="D431" i="16" s="1"/>
  <c r="D455" i="16" s="1"/>
  <c r="D479" i="16" s="1"/>
  <c r="D503" i="16" s="1"/>
  <c r="D527" i="16" s="1"/>
  <c r="D551" i="16" s="1"/>
  <c r="D575" i="16" s="1"/>
  <c r="D599" i="16" s="1"/>
  <c r="D623" i="16" s="1"/>
  <c r="D647" i="16" s="1"/>
  <c r="D671" i="16" s="1"/>
  <c r="D695" i="16" s="1"/>
  <c r="D719" i="16" s="1"/>
  <c r="D743" i="16" s="1"/>
  <c r="D767" i="16" s="1"/>
  <c r="D791" i="16" s="1"/>
  <c r="D815" i="16" s="1"/>
  <c r="D839" i="16" s="1"/>
  <c r="D863" i="16" s="1"/>
  <c r="D887" i="16" s="1"/>
  <c r="D911" i="16" s="1"/>
  <c r="D935" i="16" s="1"/>
  <c r="D959" i="16" s="1"/>
  <c r="D983" i="16" s="1"/>
  <c r="D1007" i="16" s="1"/>
  <c r="D1031" i="16" s="1"/>
  <c r="D1055" i="16" s="1"/>
  <c r="D1079" i="16" s="1"/>
  <c r="D1103" i="16" s="1"/>
  <c r="D1127" i="16" s="1"/>
  <c r="D1151" i="16" s="1"/>
  <c r="D1175" i="16" s="1"/>
  <c r="E94" i="16"/>
  <c r="E93" i="16"/>
  <c r="E92" i="16"/>
  <c r="E91" i="16"/>
  <c r="D91" i="16"/>
  <c r="D115" i="16" s="1"/>
  <c r="D139" i="16" s="1"/>
  <c r="D163" i="16" s="1"/>
  <c r="D187" i="16" s="1"/>
  <c r="D211" i="16" s="1"/>
  <c r="D235" i="16" s="1"/>
  <c r="D259" i="16" s="1"/>
  <c r="D283" i="16" s="1"/>
  <c r="D307" i="16" s="1"/>
  <c r="D331" i="16" s="1"/>
  <c r="D355" i="16" s="1"/>
  <c r="D379" i="16" s="1"/>
  <c r="D403" i="16" s="1"/>
  <c r="D427" i="16" s="1"/>
  <c r="D451" i="16" s="1"/>
  <c r="D475" i="16" s="1"/>
  <c r="D499" i="16" s="1"/>
  <c r="D523" i="16" s="1"/>
  <c r="D547" i="16" s="1"/>
  <c r="D571" i="16" s="1"/>
  <c r="D595" i="16" s="1"/>
  <c r="D619" i="16" s="1"/>
  <c r="D643" i="16" s="1"/>
  <c r="D667" i="16" s="1"/>
  <c r="D691" i="16" s="1"/>
  <c r="D715" i="16" s="1"/>
  <c r="D739" i="16" s="1"/>
  <c r="D763" i="16" s="1"/>
  <c r="D787" i="16" s="1"/>
  <c r="D811" i="16" s="1"/>
  <c r="D835" i="16" s="1"/>
  <c r="D859" i="16" s="1"/>
  <c r="D883" i="16" s="1"/>
  <c r="D907" i="16" s="1"/>
  <c r="D931" i="16" s="1"/>
  <c r="D955" i="16" s="1"/>
  <c r="D979" i="16" s="1"/>
  <c r="D1003" i="16" s="1"/>
  <c r="D1027" i="16" s="1"/>
  <c r="D1051" i="16" s="1"/>
  <c r="D1075" i="16" s="1"/>
  <c r="D1099" i="16" s="1"/>
  <c r="D1123" i="16" s="1"/>
  <c r="D1147" i="16" s="1"/>
  <c r="D1171" i="16" s="1"/>
  <c r="E90" i="16"/>
  <c r="E89" i="16"/>
  <c r="E88" i="16"/>
  <c r="E87" i="16"/>
  <c r="D87" i="16"/>
  <c r="D111" i="16" s="1"/>
  <c r="D135" i="16" s="1"/>
  <c r="D159" i="16" s="1"/>
  <c r="D183" i="16" s="1"/>
  <c r="D207" i="16" s="1"/>
  <c r="D231" i="16" s="1"/>
  <c r="D255" i="16" s="1"/>
  <c r="D279" i="16" s="1"/>
  <c r="D303" i="16" s="1"/>
  <c r="D327" i="16" s="1"/>
  <c r="D351" i="16" s="1"/>
  <c r="D375" i="16" s="1"/>
  <c r="D399" i="16" s="1"/>
  <c r="D423" i="16" s="1"/>
  <c r="D447" i="16" s="1"/>
  <c r="D471" i="16" s="1"/>
  <c r="D495" i="16" s="1"/>
  <c r="D519" i="16" s="1"/>
  <c r="D543" i="16" s="1"/>
  <c r="D567" i="16" s="1"/>
  <c r="D591" i="16" s="1"/>
  <c r="D615" i="16" s="1"/>
  <c r="D639" i="16" s="1"/>
  <c r="D663" i="16" s="1"/>
  <c r="D687" i="16" s="1"/>
  <c r="D711" i="16" s="1"/>
  <c r="D735" i="16" s="1"/>
  <c r="D759" i="16" s="1"/>
  <c r="D783" i="16" s="1"/>
  <c r="D807" i="16" s="1"/>
  <c r="D831" i="16" s="1"/>
  <c r="D855" i="16" s="1"/>
  <c r="D879" i="16" s="1"/>
  <c r="D903" i="16" s="1"/>
  <c r="D927" i="16" s="1"/>
  <c r="D951" i="16" s="1"/>
  <c r="D975" i="16" s="1"/>
  <c r="D999" i="16" s="1"/>
  <c r="D1023" i="16" s="1"/>
  <c r="D1047" i="16" s="1"/>
  <c r="D1071" i="16" s="1"/>
  <c r="D1095" i="16" s="1"/>
  <c r="D1119" i="16" s="1"/>
  <c r="D1143" i="16" s="1"/>
  <c r="D1167" i="16" s="1"/>
  <c r="E86" i="16"/>
  <c r="E85" i="16"/>
  <c r="E84" i="16"/>
  <c r="E83" i="16"/>
  <c r="D83" i="16"/>
  <c r="D107" i="16" s="1"/>
  <c r="D131" i="16" s="1"/>
  <c r="D155" i="16" s="1"/>
  <c r="D179" i="16" s="1"/>
  <c r="D203" i="16" s="1"/>
  <c r="D227" i="16" s="1"/>
  <c r="D251" i="16" s="1"/>
  <c r="D275" i="16" s="1"/>
  <c r="D299" i="16" s="1"/>
  <c r="D323" i="16" s="1"/>
  <c r="D347" i="16" s="1"/>
  <c r="D371" i="16" s="1"/>
  <c r="D395" i="16" s="1"/>
  <c r="D419" i="16" s="1"/>
  <c r="D443" i="16" s="1"/>
  <c r="D467" i="16" s="1"/>
  <c r="D491" i="16" s="1"/>
  <c r="D515" i="16" s="1"/>
  <c r="D539" i="16" s="1"/>
  <c r="D563" i="16" s="1"/>
  <c r="D587" i="16" s="1"/>
  <c r="D611" i="16" s="1"/>
  <c r="D635" i="16" s="1"/>
  <c r="D659" i="16" s="1"/>
  <c r="D683" i="16" s="1"/>
  <c r="D707" i="16" s="1"/>
  <c r="D731" i="16" s="1"/>
  <c r="D755" i="16" s="1"/>
  <c r="D779" i="16" s="1"/>
  <c r="D803" i="16" s="1"/>
  <c r="D827" i="16" s="1"/>
  <c r="D851" i="16" s="1"/>
  <c r="D875" i="16" s="1"/>
  <c r="D899" i="16" s="1"/>
  <c r="D923" i="16" s="1"/>
  <c r="D947" i="16" s="1"/>
  <c r="D971" i="16" s="1"/>
  <c r="D995" i="16" s="1"/>
  <c r="D1019" i="16" s="1"/>
  <c r="D1043" i="16" s="1"/>
  <c r="D1067" i="16" s="1"/>
  <c r="D1091" i="16" s="1"/>
  <c r="D1115" i="16" s="1"/>
  <c r="D1139" i="16" s="1"/>
  <c r="D1163" i="16" s="1"/>
  <c r="E82" i="16"/>
  <c r="E81" i="16"/>
  <c r="E80" i="16"/>
  <c r="E79" i="16"/>
  <c r="D79" i="16"/>
  <c r="D103" i="16" s="1"/>
  <c r="D127" i="16" s="1"/>
  <c r="D151" i="16" s="1"/>
  <c r="D175" i="16" s="1"/>
  <c r="D199" i="16" s="1"/>
  <c r="D223" i="16" s="1"/>
  <c r="D247" i="16" s="1"/>
  <c r="D271" i="16" s="1"/>
  <c r="D295" i="16" s="1"/>
  <c r="D319" i="16" s="1"/>
  <c r="D343" i="16" s="1"/>
  <c r="D367" i="16" s="1"/>
  <c r="D391" i="16" s="1"/>
  <c r="D415" i="16" s="1"/>
  <c r="D439" i="16" s="1"/>
  <c r="D463" i="16" s="1"/>
  <c r="D487" i="16" s="1"/>
  <c r="D511" i="16" s="1"/>
  <c r="D535" i="16" s="1"/>
  <c r="D559" i="16" s="1"/>
  <c r="D583" i="16" s="1"/>
  <c r="D607" i="16" s="1"/>
  <c r="D631" i="16" s="1"/>
  <c r="D655" i="16" s="1"/>
  <c r="D679" i="16" s="1"/>
  <c r="D703" i="16" s="1"/>
  <c r="D727" i="16" s="1"/>
  <c r="D751" i="16" s="1"/>
  <c r="D775" i="16" s="1"/>
  <c r="D799" i="16" s="1"/>
  <c r="D823" i="16" s="1"/>
  <c r="D847" i="16" s="1"/>
  <c r="D871" i="16" s="1"/>
  <c r="D895" i="16" s="1"/>
  <c r="D919" i="16" s="1"/>
  <c r="D943" i="16" s="1"/>
  <c r="D967" i="16" s="1"/>
  <c r="D991" i="16" s="1"/>
  <c r="D1015" i="16" s="1"/>
  <c r="D1039" i="16" s="1"/>
  <c r="D1063" i="16" s="1"/>
  <c r="D1087" i="16" s="1"/>
  <c r="D1111" i="16" s="1"/>
  <c r="D1135" i="16" s="1"/>
  <c r="D1159" i="16" s="1"/>
  <c r="E78" i="16"/>
  <c r="C78" i="16"/>
  <c r="B78" i="16"/>
  <c r="E77" i="16"/>
  <c r="E76" i="16"/>
  <c r="D76" i="16"/>
  <c r="D100" i="16" s="1"/>
  <c r="D124" i="16" s="1"/>
  <c r="D148" i="16" s="1"/>
  <c r="D172" i="16" s="1"/>
  <c r="D196" i="16" s="1"/>
  <c r="D220" i="16" s="1"/>
  <c r="D244" i="16" s="1"/>
  <c r="D268" i="16" s="1"/>
  <c r="D292" i="16" s="1"/>
  <c r="D316" i="16" s="1"/>
  <c r="D340" i="16" s="1"/>
  <c r="D364" i="16" s="1"/>
  <c r="D388" i="16" s="1"/>
  <c r="D412" i="16" s="1"/>
  <c r="D436" i="16" s="1"/>
  <c r="D460" i="16" s="1"/>
  <c r="D484" i="16" s="1"/>
  <c r="D508" i="16" s="1"/>
  <c r="D532" i="16" s="1"/>
  <c r="D556" i="16" s="1"/>
  <c r="D580" i="16" s="1"/>
  <c r="D604" i="16" s="1"/>
  <c r="D628" i="16" s="1"/>
  <c r="D652" i="16" s="1"/>
  <c r="D676" i="16" s="1"/>
  <c r="D700" i="16" s="1"/>
  <c r="D724" i="16" s="1"/>
  <c r="D748" i="16" s="1"/>
  <c r="D772" i="16" s="1"/>
  <c r="D796" i="16" s="1"/>
  <c r="D820" i="16" s="1"/>
  <c r="D844" i="16" s="1"/>
  <c r="D868" i="16" s="1"/>
  <c r="D892" i="16" s="1"/>
  <c r="D916" i="16" s="1"/>
  <c r="D940" i="16" s="1"/>
  <c r="D964" i="16" s="1"/>
  <c r="D988" i="16" s="1"/>
  <c r="D1012" i="16" s="1"/>
  <c r="D1036" i="16" s="1"/>
  <c r="D1060" i="16" s="1"/>
  <c r="D1084" i="16" s="1"/>
  <c r="D1108" i="16" s="1"/>
  <c r="D1132" i="16" s="1"/>
  <c r="D1156" i="16" s="1"/>
  <c r="D1180" i="16" s="1"/>
  <c r="E75" i="16"/>
  <c r="D75" i="16"/>
  <c r="E74" i="16"/>
  <c r="E73" i="16"/>
  <c r="E72" i="16"/>
  <c r="D72" i="16"/>
  <c r="D96" i="16" s="1"/>
  <c r="D120" i="16" s="1"/>
  <c r="D144" i="16" s="1"/>
  <c r="D168" i="16" s="1"/>
  <c r="D192" i="16" s="1"/>
  <c r="D216" i="16" s="1"/>
  <c r="D240" i="16" s="1"/>
  <c r="D264" i="16" s="1"/>
  <c r="D288" i="16" s="1"/>
  <c r="D312" i="16" s="1"/>
  <c r="D336" i="16" s="1"/>
  <c r="D360" i="16" s="1"/>
  <c r="D384" i="16" s="1"/>
  <c r="D408" i="16" s="1"/>
  <c r="D432" i="16" s="1"/>
  <c r="D456" i="16" s="1"/>
  <c r="D480" i="16" s="1"/>
  <c r="D504" i="16" s="1"/>
  <c r="D528" i="16" s="1"/>
  <c r="D552" i="16" s="1"/>
  <c r="D576" i="16" s="1"/>
  <c r="D600" i="16" s="1"/>
  <c r="D624" i="16" s="1"/>
  <c r="D648" i="16" s="1"/>
  <c r="D672" i="16" s="1"/>
  <c r="D696" i="16" s="1"/>
  <c r="D720" i="16" s="1"/>
  <c r="D744" i="16" s="1"/>
  <c r="D768" i="16" s="1"/>
  <c r="D792" i="16" s="1"/>
  <c r="D816" i="16" s="1"/>
  <c r="D840" i="16" s="1"/>
  <c r="D864" i="16" s="1"/>
  <c r="D888" i="16" s="1"/>
  <c r="D912" i="16" s="1"/>
  <c r="D936" i="16" s="1"/>
  <c r="D960" i="16" s="1"/>
  <c r="D984" i="16" s="1"/>
  <c r="D1008" i="16" s="1"/>
  <c r="D1032" i="16" s="1"/>
  <c r="D1056" i="16" s="1"/>
  <c r="D1080" i="16" s="1"/>
  <c r="D1104" i="16" s="1"/>
  <c r="D1128" i="16" s="1"/>
  <c r="D1152" i="16" s="1"/>
  <c r="D1176" i="16" s="1"/>
  <c r="E71" i="16"/>
  <c r="D71" i="16"/>
  <c r="E70" i="16"/>
  <c r="E69" i="16"/>
  <c r="E68" i="16"/>
  <c r="D68" i="16"/>
  <c r="D92" i="16" s="1"/>
  <c r="D116" i="16" s="1"/>
  <c r="D140" i="16" s="1"/>
  <c r="D164" i="16" s="1"/>
  <c r="D188" i="16" s="1"/>
  <c r="D212" i="16" s="1"/>
  <c r="D236" i="16" s="1"/>
  <c r="D260" i="16" s="1"/>
  <c r="D284" i="16" s="1"/>
  <c r="D308" i="16" s="1"/>
  <c r="D332" i="16" s="1"/>
  <c r="D356" i="16" s="1"/>
  <c r="D380" i="16" s="1"/>
  <c r="D404" i="16" s="1"/>
  <c r="D428" i="16" s="1"/>
  <c r="D452" i="16" s="1"/>
  <c r="D476" i="16" s="1"/>
  <c r="D500" i="16" s="1"/>
  <c r="D524" i="16" s="1"/>
  <c r="D548" i="16" s="1"/>
  <c r="D572" i="16" s="1"/>
  <c r="D596" i="16" s="1"/>
  <c r="D620" i="16" s="1"/>
  <c r="D644" i="16" s="1"/>
  <c r="D668" i="16" s="1"/>
  <c r="D692" i="16" s="1"/>
  <c r="D716" i="16" s="1"/>
  <c r="D740" i="16" s="1"/>
  <c r="D764" i="16" s="1"/>
  <c r="D788" i="16" s="1"/>
  <c r="D812" i="16" s="1"/>
  <c r="D836" i="16" s="1"/>
  <c r="D860" i="16" s="1"/>
  <c r="D884" i="16" s="1"/>
  <c r="D908" i="16" s="1"/>
  <c r="D932" i="16" s="1"/>
  <c r="D956" i="16" s="1"/>
  <c r="D980" i="16" s="1"/>
  <c r="D1004" i="16" s="1"/>
  <c r="D1028" i="16" s="1"/>
  <c r="D1052" i="16" s="1"/>
  <c r="D1076" i="16" s="1"/>
  <c r="D1100" i="16" s="1"/>
  <c r="D1124" i="16" s="1"/>
  <c r="D1148" i="16" s="1"/>
  <c r="D1172" i="16" s="1"/>
  <c r="E67" i="16"/>
  <c r="D67" i="16"/>
  <c r="E66" i="16"/>
  <c r="E65" i="16"/>
  <c r="E64" i="16"/>
  <c r="D64" i="16"/>
  <c r="D88" i="16" s="1"/>
  <c r="D112" i="16" s="1"/>
  <c r="D136" i="16" s="1"/>
  <c r="D160" i="16" s="1"/>
  <c r="D184" i="16" s="1"/>
  <c r="D208" i="16" s="1"/>
  <c r="D232" i="16" s="1"/>
  <c r="D256" i="16" s="1"/>
  <c r="D280" i="16" s="1"/>
  <c r="D304" i="16" s="1"/>
  <c r="D328" i="16" s="1"/>
  <c r="D352" i="16" s="1"/>
  <c r="D376" i="16" s="1"/>
  <c r="D400" i="16" s="1"/>
  <c r="D424" i="16" s="1"/>
  <c r="D448" i="16" s="1"/>
  <c r="D472" i="16" s="1"/>
  <c r="D496" i="16" s="1"/>
  <c r="D520" i="16" s="1"/>
  <c r="D544" i="16" s="1"/>
  <c r="D568" i="16" s="1"/>
  <c r="D592" i="16" s="1"/>
  <c r="D616" i="16" s="1"/>
  <c r="D640" i="16" s="1"/>
  <c r="D664" i="16" s="1"/>
  <c r="D688" i="16" s="1"/>
  <c r="D712" i="16" s="1"/>
  <c r="D736" i="16" s="1"/>
  <c r="D760" i="16" s="1"/>
  <c r="D784" i="16" s="1"/>
  <c r="D808" i="16" s="1"/>
  <c r="D832" i="16" s="1"/>
  <c r="D856" i="16" s="1"/>
  <c r="D880" i="16" s="1"/>
  <c r="D904" i="16" s="1"/>
  <c r="D928" i="16" s="1"/>
  <c r="D952" i="16" s="1"/>
  <c r="D976" i="16" s="1"/>
  <c r="D1000" i="16" s="1"/>
  <c r="D1024" i="16" s="1"/>
  <c r="D1048" i="16" s="1"/>
  <c r="D1072" i="16" s="1"/>
  <c r="D1096" i="16" s="1"/>
  <c r="D1120" i="16" s="1"/>
  <c r="D1144" i="16" s="1"/>
  <c r="D1168" i="16" s="1"/>
  <c r="E63" i="16"/>
  <c r="D63" i="16"/>
  <c r="E62" i="16"/>
  <c r="E61" i="16"/>
  <c r="E60" i="16"/>
  <c r="D60" i="16"/>
  <c r="D84" i="16" s="1"/>
  <c r="D108" i="16" s="1"/>
  <c r="D132" i="16" s="1"/>
  <c r="D156" i="16" s="1"/>
  <c r="D180" i="16" s="1"/>
  <c r="D204" i="16" s="1"/>
  <c r="D228" i="16" s="1"/>
  <c r="D252" i="16" s="1"/>
  <c r="D276" i="16" s="1"/>
  <c r="D300" i="16" s="1"/>
  <c r="D324" i="16" s="1"/>
  <c r="D348" i="16" s="1"/>
  <c r="D372" i="16" s="1"/>
  <c r="D396" i="16" s="1"/>
  <c r="D420" i="16" s="1"/>
  <c r="D444" i="16" s="1"/>
  <c r="D468" i="16" s="1"/>
  <c r="D492" i="16" s="1"/>
  <c r="D516" i="16" s="1"/>
  <c r="D540" i="16" s="1"/>
  <c r="D564" i="16" s="1"/>
  <c r="D588" i="16" s="1"/>
  <c r="D612" i="16" s="1"/>
  <c r="D636" i="16" s="1"/>
  <c r="D660" i="16" s="1"/>
  <c r="D684" i="16" s="1"/>
  <c r="D708" i="16" s="1"/>
  <c r="D732" i="16" s="1"/>
  <c r="D756" i="16" s="1"/>
  <c r="D780" i="16" s="1"/>
  <c r="D804" i="16" s="1"/>
  <c r="D828" i="16" s="1"/>
  <c r="D852" i="16" s="1"/>
  <c r="D876" i="16" s="1"/>
  <c r="D900" i="16" s="1"/>
  <c r="D924" i="16" s="1"/>
  <c r="D948" i="16" s="1"/>
  <c r="D972" i="16" s="1"/>
  <c r="D996" i="16" s="1"/>
  <c r="D1020" i="16" s="1"/>
  <c r="D1044" i="16" s="1"/>
  <c r="D1068" i="16" s="1"/>
  <c r="D1092" i="16" s="1"/>
  <c r="D1116" i="16" s="1"/>
  <c r="D1140" i="16" s="1"/>
  <c r="D1164" i="16" s="1"/>
  <c r="E59" i="16"/>
  <c r="D59" i="16"/>
  <c r="E58" i="16"/>
  <c r="E57" i="16"/>
  <c r="E56" i="16"/>
  <c r="D56" i="16"/>
  <c r="D80" i="16" s="1"/>
  <c r="D104" i="16" s="1"/>
  <c r="D128" i="16" s="1"/>
  <c r="D152" i="16" s="1"/>
  <c r="D176" i="16" s="1"/>
  <c r="D200" i="16" s="1"/>
  <c r="D224" i="16" s="1"/>
  <c r="D248" i="16" s="1"/>
  <c r="D272" i="16" s="1"/>
  <c r="D296" i="16" s="1"/>
  <c r="D320" i="16" s="1"/>
  <c r="D344" i="16" s="1"/>
  <c r="D368" i="16" s="1"/>
  <c r="D392" i="16" s="1"/>
  <c r="D416" i="16" s="1"/>
  <c r="D440" i="16" s="1"/>
  <c r="D464" i="16" s="1"/>
  <c r="D488" i="16" s="1"/>
  <c r="D512" i="16" s="1"/>
  <c r="D536" i="16" s="1"/>
  <c r="D560" i="16" s="1"/>
  <c r="D584" i="16" s="1"/>
  <c r="D608" i="16" s="1"/>
  <c r="D632" i="16" s="1"/>
  <c r="D656" i="16" s="1"/>
  <c r="D680" i="16" s="1"/>
  <c r="D704" i="16" s="1"/>
  <c r="D728" i="16" s="1"/>
  <c r="D752" i="16" s="1"/>
  <c r="D776" i="16" s="1"/>
  <c r="D800" i="16" s="1"/>
  <c r="D824" i="16" s="1"/>
  <c r="D848" i="16" s="1"/>
  <c r="D872" i="16" s="1"/>
  <c r="D896" i="16" s="1"/>
  <c r="D920" i="16" s="1"/>
  <c r="D944" i="16" s="1"/>
  <c r="D968" i="16" s="1"/>
  <c r="D992" i="16" s="1"/>
  <c r="D1016" i="16" s="1"/>
  <c r="D1040" i="16" s="1"/>
  <c r="D1064" i="16" s="1"/>
  <c r="D1088" i="16" s="1"/>
  <c r="D1112" i="16" s="1"/>
  <c r="D1136" i="16" s="1"/>
  <c r="D1160" i="16" s="1"/>
  <c r="E55" i="16"/>
  <c r="D55" i="16"/>
  <c r="E54" i="16"/>
  <c r="C54" i="16"/>
  <c r="B54" i="16"/>
  <c r="E53" i="16"/>
  <c r="D53" i="16"/>
  <c r="D77" i="16" s="1"/>
  <c r="D101" i="16" s="1"/>
  <c r="D125" i="16" s="1"/>
  <c r="D149" i="16" s="1"/>
  <c r="D173" i="16" s="1"/>
  <c r="D197" i="16" s="1"/>
  <c r="D221" i="16" s="1"/>
  <c r="D245" i="16" s="1"/>
  <c r="D269" i="16" s="1"/>
  <c r="D293" i="16" s="1"/>
  <c r="D317" i="16" s="1"/>
  <c r="D341" i="16" s="1"/>
  <c r="D365" i="16" s="1"/>
  <c r="D389" i="16" s="1"/>
  <c r="D413" i="16" s="1"/>
  <c r="D437" i="16" s="1"/>
  <c r="D461" i="16" s="1"/>
  <c r="D485" i="16" s="1"/>
  <c r="D509" i="16" s="1"/>
  <c r="D533" i="16" s="1"/>
  <c r="D557" i="16" s="1"/>
  <c r="D581" i="16" s="1"/>
  <c r="D605" i="16" s="1"/>
  <c r="D629" i="16" s="1"/>
  <c r="D653" i="16" s="1"/>
  <c r="D677" i="16" s="1"/>
  <c r="D701" i="16" s="1"/>
  <c r="D725" i="16" s="1"/>
  <c r="D749" i="16" s="1"/>
  <c r="D773" i="16" s="1"/>
  <c r="D797" i="16" s="1"/>
  <c r="D821" i="16" s="1"/>
  <c r="D845" i="16" s="1"/>
  <c r="D869" i="16" s="1"/>
  <c r="D893" i="16" s="1"/>
  <c r="D917" i="16" s="1"/>
  <c r="D941" i="16" s="1"/>
  <c r="D965" i="16" s="1"/>
  <c r="D989" i="16" s="1"/>
  <c r="D1013" i="16" s="1"/>
  <c r="D1037" i="16" s="1"/>
  <c r="D1061" i="16" s="1"/>
  <c r="D1085" i="16" s="1"/>
  <c r="D1109" i="16" s="1"/>
  <c r="D1133" i="16" s="1"/>
  <c r="D1157" i="16" s="1"/>
  <c r="D1181" i="16" s="1"/>
  <c r="E52" i="16"/>
  <c r="D52" i="16"/>
  <c r="E51" i="16"/>
  <c r="D51" i="16"/>
  <c r="E50" i="16"/>
  <c r="D50" i="16"/>
  <c r="D74" i="16" s="1"/>
  <c r="D98" i="16" s="1"/>
  <c r="D122" i="16" s="1"/>
  <c r="D146" i="16" s="1"/>
  <c r="D170" i="16" s="1"/>
  <c r="D194" i="16" s="1"/>
  <c r="D218" i="16" s="1"/>
  <c r="D242" i="16" s="1"/>
  <c r="D266" i="16" s="1"/>
  <c r="D290" i="16" s="1"/>
  <c r="D314" i="16" s="1"/>
  <c r="D338" i="16" s="1"/>
  <c r="D362" i="16" s="1"/>
  <c r="D386" i="16" s="1"/>
  <c r="D410" i="16" s="1"/>
  <c r="D434" i="16" s="1"/>
  <c r="D458" i="16" s="1"/>
  <c r="D482" i="16" s="1"/>
  <c r="D506" i="16" s="1"/>
  <c r="D530" i="16" s="1"/>
  <c r="D554" i="16" s="1"/>
  <c r="D578" i="16" s="1"/>
  <c r="D602" i="16" s="1"/>
  <c r="D626" i="16" s="1"/>
  <c r="D650" i="16" s="1"/>
  <c r="D674" i="16" s="1"/>
  <c r="D698" i="16" s="1"/>
  <c r="D722" i="16" s="1"/>
  <c r="D746" i="16" s="1"/>
  <c r="D770" i="16" s="1"/>
  <c r="D794" i="16" s="1"/>
  <c r="D818" i="16" s="1"/>
  <c r="D842" i="16" s="1"/>
  <c r="D866" i="16" s="1"/>
  <c r="D890" i="16" s="1"/>
  <c r="D914" i="16" s="1"/>
  <c r="D938" i="16" s="1"/>
  <c r="D962" i="16" s="1"/>
  <c r="D986" i="16" s="1"/>
  <c r="D1010" i="16" s="1"/>
  <c r="D1034" i="16" s="1"/>
  <c r="D1058" i="16" s="1"/>
  <c r="D1082" i="16" s="1"/>
  <c r="D1106" i="16" s="1"/>
  <c r="D1130" i="16" s="1"/>
  <c r="D1154" i="16" s="1"/>
  <c r="D1178" i="16" s="1"/>
  <c r="E49" i="16"/>
  <c r="D49" i="16"/>
  <c r="D73" i="16" s="1"/>
  <c r="D97" i="16" s="1"/>
  <c r="D121" i="16" s="1"/>
  <c r="D145" i="16" s="1"/>
  <c r="D169" i="16" s="1"/>
  <c r="D193" i="16" s="1"/>
  <c r="D217" i="16" s="1"/>
  <c r="D241" i="16" s="1"/>
  <c r="D265" i="16" s="1"/>
  <c r="D289" i="16" s="1"/>
  <c r="D313" i="16" s="1"/>
  <c r="D337" i="16" s="1"/>
  <c r="D361" i="16" s="1"/>
  <c r="D385" i="16" s="1"/>
  <c r="D409" i="16" s="1"/>
  <c r="D433" i="16" s="1"/>
  <c r="D457" i="16" s="1"/>
  <c r="D481" i="16" s="1"/>
  <c r="D505" i="16" s="1"/>
  <c r="D529" i="16" s="1"/>
  <c r="D553" i="16" s="1"/>
  <c r="D577" i="16" s="1"/>
  <c r="D601" i="16" s="1"/>
  <c r="D625" i="16" s="1"/>
  <c r="D649" i="16" s="1"/>
  <c r="D673" i="16" s="1"/>
  <c r="D697" i="16" s="1"/>
  <c r="D721" i="16" s="1"/>
  <c r="D745" i="16" s="1"/>
  <c r="D769" i="16" s="1"/>
  <c r="D793" i="16" s="1"/>
  <c r="D817" i="16" s="1"/>
  <c r="D841" i="16" s="1"/>
  <c r="D865" i="16" s="1"/>
  <c r="D889" i="16" s="1"/>
  <c r="D913" i="16" s="1"/>
  <c r="D937" i="16" s="1"/>
  <c r="D961" i="16" s="1"/>
  <c r="D985" i="16" s="1"/>
  <c r="D1009" i="16" s="1"/>
  <c r="D1033" i="16" s="1"/>
  <c r="D1057" i="16" s="1"/>
  <c r="D1081" i="16" s="1"/>
  <c r="D1105" i="16" s="1"/>
  <c r="D1129" i="16" s="1"/>
  <c r="D1153" i="16" s="1"/>
  <c r="D1177" i="16" s="1"/>
  <c r="E48" i="16"/>
  <c r="D48" i="16"/>
  <c r="E47" i="16"/>
  <c r="D47" i="16"/>
  <c r="E46" i="16"/>
  <c r="D46" i="16"/>
  <c r="D70" i="16" s="1"/>
  <c r="D94" i="16" s="1"/>
  <c r="D118" i="16" s="1"/>
  <c r="D142" i="16" s="1"/>
  <c r="D166" i="16" s="1"/>
  <c r="D190" i="16" s="1"/>
  <c r="D214" i="16" s="1"/>
  <c r="D238" i="16" s="1"/>
  <c r="D262" i="16" s="1"/>
  <c r="D286" i="16" s="1"/>
  <c r="D310" i="16" s="1"/>
  <c r="D334" i="16" s="1"/>
  <c r="D358" i="16" s="1"/>
  <c r="D382" i="16" s="1"/>
  <c r="D406" i="16" s="1"/>
  <c r="D430" i="16" s="1"/>
  <c r="D454" i="16" s="1"/>
  <c r="D478" i="16" s="1"/>
  <c r="D502" i="16" s="1"/>
  <c r="D526" i="16" s="1"/>
  <c r="D550" i="16" s="1"/>
  <c r="D574" i="16" s="1"/>
  <c r="D598" i="16" s="1"/>
  <c r="D622" i="16" s="1"/>
  <c r="D646" i="16" s="1"/>
  <c r="D670" i="16" s="1"/>
  <c r="D694" i="16" s="1"/>
  <c r="D718" i="16" s="1"/>
  <c r="D742" i="16" s="1"/>
  <c r="D766" i="16" s="1"/>
  <c r="D790" i="16" s="1"/>
  <c r="D814" i="16" s="1"/>
  <c r="D838" i="16" s="1"/>
  <c r="D862" i="16" s="1"/>
  <c r="D886" i="16" s="1"/>
  <c r="D910" i="16" s="1"/>
  <c r="D934" i="16" s="1"/>
  <c r="D958" i="16" s="1"/>
  <c r="D982" i="16" s="1"/>
  <c r="D1006" i="16" s="1"/>
  <c r="D1030" i="16" s="1"/>
  <c r="D1054" i="16" s="1"/>
  <c r="D1078" i="16" s="1"/>
  <c r="D1102" i="16" s="1"/>
  <c r="D1126" i="16" s="1"/>
  <c r="D1150" i="16" s="1"/>
  <c r="D1174" i="16" s="1"/>
  <c r="E45" i="16"/>
  <c r="D45" i="16"/>
  <c r="D69" i="16" s="1"/>
  <c r="D93" i="16" s="1"/>
  <c r="D117" i="16" s="1"/>
  <c r="D141" i="16" s="1"/>
  <c r="D165" i="16" s="1"/>
  <c r="D189" i="16" s="1"/>
  <c r="D213" i="16" s="1"/>
  <c r="D237" i="16" s="1"/>
  <c r="D261" i="16" s="1"/>
  <c r="D285" i="16" s="1"/>
  <c r="D309" i="16" s="1"/>
  <c r="D333" i="16" s="1"/>
  <c r="D357" i="16" s="1"/>
  <c r="D381" i="16" s="1"/>
  <c r="D405" i="16" s="1"/>
  <c r="D429" i="16" s="1"/>
  <c r="D453" i="16" s="1"/>
  <c r="D477" i="16" s="1"/>
  <c r="D501" i="16" s="1"/>
  <c r="D525" i="16" s="1"/>
  <c r="D549" i="16" s="1"/>
  <c r="D573" i="16" s="1"/>
  <c r="D597" i="16" s="1"/>
  <c r="D621" i="16" s="1"/>
  <c r="D645" i="16" s="1"/>
  <c r="D669" i="16" s="1"/>
  <c r="D693" i="16" s="1"/>
  <c r="D717" i="16" s="1"/>
  <c r="D741" i="16" s="1"/>
  <c r="D765" i="16" s="1"/>
  <c r="D789" i="16" s="1"/>
  <c r="D813" i="16" s="1"/>
  <c r="D837" i="16" s="1"/>
  <c r="D861" i="16" s="1"/>
  <c r="D885" i="16" s="1"/>
  <c r="D909" i="16" s="1"/>
  <c r="D933" i="16" s="1"/>
  <c r="D957" i="16" s="1"/>
  <c r="D981" i="16" s="1"/>
  <c r="D1005" i="16" s="1"/>
  <c r="D1029" i="16" s="1"/>
  <c r="D1053" i="16" s="1"/>
  <c r="D1077" i="16" s="1"/>
  <c r="D1101" i="16" s="1"/>
  <c r="D1125" i="16" s="1"/>
  <c r="D1149" i="16" s="1"/>
  <c r="D1173" i="16" s="1"/>
  <c r="E44" i="16"/>
  <c r="D44" i="16"/>
  <c r="E43" i="16"/>
  <c r="D43" i="16"/>
  <c r="E42" i="16"/>
  <c r="D42" i="16"/>
  <c r="D66" i="16" s="1"/>
  <c r="D90" i="16" s="1"/>
  <c r="D114" i="16" s="1"/>
  <c r="D138" i="16" s="1"/>
  <c r="D162" i="16" s="1"/>
  <c r="D186" i="16" s="1"/>
  <c r="D210" i="16" s="1"/>
  <c r="D234" i="16" s="1"/>
  <c r="D258" i="16" s="1"/>
  <c r="D282" i="16" s="1"/>
  <c r="D306" i="16" s="1"/>
  <c r="D330" i="16" s="1"/>
  <c r="D354" i="16" s="1"/>
  <c r="D378" i="16" s="1"/>
  <c r="D402" i="16" s="1"/>
  <c r="D426" i="16" s="1"/>
  <c r="D450" i="16" s="1"/>
  <c r="D474" i="16" s="1"/>
  <c r="D498" i="16" s="1"/>
  <c r="D522" i="16" s="1"/>
  <c r="D546" i="16" s="1"/>
  <c r="D570" i="16" s="1"/>
  <c r="D594" i="16" s="1"/>
  <c r="D618" i="16" s="1"/>
  <c r="D642" i="16" s="1"/>
  <c r="D666" i="16" s="1"/>
  <c r="D690" i="16" s="1"/>
  <c r="D714" i="16" s="1"/>
  <c r="D738" i="16" s="1"/>
  <c r="D762" i="16" s="1"/>
  <c r="D786" i="16" s="1"/>
  <c r="D810" i="16" s="1"/>
  <c r="D834" i="16" s="1"/>
  <c r="D858" i="16" s="1"/>
  <c r="D882" i="16" s="1"/>
  <c r="D906" i="16" s="1"/>
  <c r="D930" i="16" s="1"/>
  <c r="D954" i="16" s="1"/>
  <c r="D978" i="16" s="1"/>
  <c r="D1002" i="16" s="1"/>
  <c r="D1026" i="16" s="1"/>
  <c r="D1050" i="16" s="1"/>
  <c r="D1074" i="16" s="1"/>
  <c r="D1098" i="16" s="1"/>
  <c r="D1122" i="16" s="1"/>
  <c r="D1146" i="16" s="1"/>
  <c r="D1170" i="16" s="1"/>
  <c r="E41" i="16"/>
  <c r="D41" i="16"/>
  <c r="D65" i="16" s="1"/>
  <c r="D89" i="16" s="1"/>
  <c r="D113" i="16" s="1"/>
  <c r="D137" i="16" s="1"/>
  <c r="D161" i="16" s="1"/>
  <c r="D185" i="16" s="1"/>
  <c r="D209" i="16" s="1"/>
  <c r="D233" i="16" s="1"/>
  <c r="D257" i="16" s="1"/>
  <c r="D281" i="16" s="1"/>
  <c r="D305" i="16" s="1"/>
  <c r="D329" i="16" s="1"/>
  <c r="D353" i="16" s="1"/>
  <c r="D377" i="16" s="1"/>
  <c r="D401" i="16" s="1"/>
  <c r="D425" i="16" s="1"/>
  <c r="D449" i="16" s="1"/>
  <c r="D473" i="16" s="1"/>
  <c r="D497" i="16" s="1"/>
  <c r="D521" i="16" s="1"/>
  <c r="D545" i="16" s="1"/>
  <c r="D569" i="16" s="1"/>
  <c r="D593" i="16" s="1"/>
  <c r="D617" i="16" s="1"/>
  <c r="D641" i="16" s="1"/>
  <c r="D665" i="16" s="1"/>
  <c r="D689" i="16" s="1"/>
  <c r="D713" i="16" s="1"/>
  <c r="D737" i="16" s="1"/>
  <c r="D761" i="16" s="1"/>
  <c r="D785" i="16" s="1"/>
  <c r="D809" i="16" s="1"/>
  <c r="D833" i="16" s="1"/>
  <c r="D857" i="16" s="1"/>
  <c r="D881" i="16" s="1"/>
  <c r="D905" i="16" s="1"/>
  <c r="D929" i="16" s="1"/>
  <c r="D953" i="16" s="1"/>
  <c r="D977" i="16" s="1"/>
  <c r="D1001" i="16" s="1"/>
  <c r="D1025" i="16" s="1"/>
  <c r="D1049" i="16" s="1"/>
  <c r="D1073" i="16" s="1"/>
  <c r="D1097" i="16" s="1"/>
  <c r="D1121" i="16" s="1"/>
  <c r="D1145" i="16" s="1"/>
  <c r="D1169" i="16" s="1"/>
  <c r="E40" i="16"/>
  <c r="D40" i="16"/>
  <c r="E39" i="16"/>
  <c r="D39" i="16"/>
  <c r="E38" i="16"/>
  <c r="D38" i="16"/>
  <c r="D62" i="16" s="1"/>
  <c r="D86" i="16" s="1"/>
  <c r="D110" i="16" s="1"/>
  <c r="D134" i="16" s="1"/>
  <c r="D158" i="16" s="1"/>
  <c r="D182" i="16" s="1"/>
  <c r="D206" i="16" s="1"/>
  <c r="D230" i="16" s="1"/>
  <c r="D254" i="16" s="1"/>
  <c r="D278" i="16" s="1"/>
  <c r="D302" i="16" s="1"/>
  <c r="D326" i="16" s="1"/>
  <c r="D350" i="16" s="1"/>
  <c r="D374" i="16" s="1"/>
  <c r="D398" i="16" s="1"/>
  <c r="D422" i="16" s="1"/>
  <c r="D446" i="16" s="1"/>
  <c r="D470" i="16" s="1"/>
  <c r="D494" i="16" s="1"/>
  <c r="D518" i="16" s="1"/>
  <c r="D542" i="16" s="1"/>
  <c r="D566" i="16" s="1"/>
  <c r="D590" i="16" s="1"/>
  <c r="D614" i="16" s="1"/>
  <c r="D638" i="16" s="1"/>
  <c r="D662" i="16" s="1"/>
  <c r="D686" i="16" s="1"/>
  <c r="D710" i="16" s="1"/>
  <c r="D734" i="16" s="1"/>
  <c r="D758" i="16" s="1"/>
  <c r="D782" i="16" s="1"/>
  <c r="D806" i="16" s="1"/>
  <c r="D830" i="16" s="1"/>
  <c r="D854" i="16" s="1"/>
  <c r="D878" i="16" s="1"/>
  <c r="D902" i="16" s="1"/>
  <c r="D926" i="16" s="1"/>
  <c r="D950" i="16" s="1"/>
  <c r="D974" i="16" s="1"/>
  <c r="D998" i="16" s="1"/>
  <c r="D1022" i="16" s="1"/>
  <c r="D1046" i="16" s="1"/>
  <c r="D1070" i="16" s="1"/>
  <c r="D1094" i="16" s="1"/>
  <c r="D1118" i="16" s="1"/>
  <c r="D1142" i="16" s="1"/>
  <c r="D1166" i="16" s="1"/>
  <c r="E37" i="16"/>
  <c r="D37" i="16"/>
  <c r="D61" i="16" s="1"/>
  <c r="D85" i="16" s="1"/>
  <c r="D109" i="16" s="1"/>
  <c r="D133" i="16" s="1"/>
  <c r="D157" i="16" s="1"/>
  <c r="D181" i="16" s="1"/>
  <c r="D205" i="16" s="1"/>
  <c r="D229" i="16" s="1"/>
  <c r="D253" i="16" s="1"/>
  <c r="D277" i="16" s="1"/>
  <c r="D301" i="16" s="1"/>
  <c r="D325" i="16" s="1"/>
  <c r="D349" i="16" s="1"/>
  <c r="D373" i="16" s="1"/>
  <c r="D397" i="16" s="1"/>
  <c r="D421" i="16" s="1"/>
  <c r="D445" i="16" s="1"/>
  <c r="D469" i="16" s="1"/>
  <c r="D493" i="16" s="1"/>
  <c r="D517" i="16" s="1"/>
  <c r="D541" i="16" s="1"/>
  <c r="D565" i="16" s="1"/>
  <c r="D589" i="16" s="1"/>
  <c r="D613" i="16" s="1"/>
  <c r="D637" i="16" s="1"/>
  <c r="D661" i="16" s="1"/>
  <c r="D685" i="16" s="1"/>
  <c r="D709" i="16" s="1"/>
  <c r="D733" i="16" s="1"/>
  <c r="D757" i="16" s="1"/>
  <c r="D781" i="16" s="1"/>
  <c r="D805" i="16" s="1"/>
  <c r="D829" i="16" s="1"/>
  <c r="D853" i="16" s="1"/>
  <c r="D877" i="16" s="1"/>
  <c r="D901" i="16" s="1"/>
  <c r="D925" i="16" s="1"/>
  <c r="D949" i="16" s="1"/>
  <c r="D973" i="16" s="1"/>
  <c r="D997" i="16" s="1"/>
  <c r="D1021" i="16" s="1"/>
  <c r="D1045" i="16" s="1"/>
  <c r="D1069" i="16" s="1"/>
  <c r="D1093" i="16" s="1"/>
  <c r="D1117" i="16" s="1"/>
  <c r="D1141" i="16" s="1"/>
  <c r="D1165" i="16" s="1"/>
  <c r="E36" i="16"/>
  <c r="D36" i="16"/>
  <c r="E35" i="16"/>
  <c r="D35" i="16"/>
  <c r="E34" i="16"/>
  <c r="D34" i="16"/>
  <c r="D58" i="16" s="1"/>
  <c r="D82" i="16" s="1"/>
  <c r="D106" i="16" s="1"/>
  <c r="D130" i="16" s="1"/>
  <c r="D154" i="16" s="1"/>
  <c r="D178" i="16" s="1"/>
  <c r="D202" i="16" s="1"/>
  <c r="D226" i="16" s="1"/>
  <c r="D250" i="16" s="1"/>
  <c r="D274" i="16" s="1"/>
  <c r="D298" i="16" s="1"/>
  <c r="D322" i="16" s="1"/>
  <c r="D346" i="16" s="1"/>
  <c r="D370" i="16" s="1"/>
  <c r="D394" i="16" s="1"/>
  <c r="D418" i="16" s="1"/>
  <c r="D442" i="16" s="1"/>
  <c r="D466" i="16" s="1"/>
  <c r="D490" i="16" s="1"/>
  <c r="D514" i="16" s="1"/>
  <c r="D538" i="16" s="1"/>
  <c r="D562" i="16" s="1"/>
  <c r="D586" i="16" s="1"/>
  <c r="D610" i="16" s="1"/>
  <c r="D634" i="16" s="1"/>
  <c r="D658" i="16" s="1"/>
  <c r="D682" i="16" s="1"/>
  <c r="D706" i="16" s="1"/>
  <c r="D730" i="16" s="1"/>
  <c r="D754" i="16" s="1"/>
  <c r="D778" i="16" s="1"/>
  <c r="D802" i="16" s="1"/>
  <c r="D826" i="16" s="1"/>
  <c r="D850" i="16" s="1"/>
  <c r="D874" i="16" s="1"/>
  <c r="D898" i="16" s="1"/>
  <c r="D922" i="16" s="1"/>
  <c r="D946" i="16" s="1"/>
  <c r="D970" i="16" s="1"/>
  <c r="D994" i="16" s="1"/>
  <c r="D1018" i="16" s="1"/>
  <c r="D1042" i="16" s="1"/>
  <c r="D1066" i="16" s="1"/>
  <c r="D1090" i="16" s="1"/>
  <c r="D1114" i="16" s="1"/>
  <c r="D1138" i="16" s="1"/>
  <c r="D1162" i="16" s="1"/>
  <c r="E33" i="16"/>
  <c r="D33" i="16"/>
  <c r="D57" i="16" s="1"/>
  <c r="D81" i="16" s="1"/>
  <c r="D105" i="16" s="1"/>
  <c r="D129" i="16" s="1"/>
  <c r="D153" i="16" s="1"/>
  <c r="D177" i="16" s="1"/>
  <c r="D201" i="16" s="1"/>
  <c r="D225" i="16" s="1"/>
  <c r="D249" i="16" s="1"/>
  <c r="D273" i="16" s="1"/>
  <c r="D297" i="16" s="1"/>
  <c r="D321" i="16" s="1"/>
  <c r="D345" i="16" s="1"/>
  <c r="D369" i="16" s="1"/>
  <c r="D393" i="16" s="1"/>
  <c r="D417" i="16" s="1"/>
  <c r="D441" i="16" s="1"/>
  <c r="D465" i="16" s="1"/>
  <c r="D489" i="16" s="1"/>
  <c r="D513" i="16" s="1"/>
  <c r="D537" i="16" s="1"/>
  <c r="D561" i="16" s="1"/>
  <c r="D585" i="16" s="1"/>
  <c r="D609" i="16" s="1"/>
  <c r="D633" i="16" s="1"/>
  <c r="D657" i="16" s="1"/>
  <c r="D681" i="16" s="1"/>
  <c r="D705" i="16" s="1"/>
  <c r="D729" i="16" s="1"/>
  <c r="D753" i="16" s="1"/>
  <c r="D777" i="16" s="1"/>
  <c r="D801" i="16" s="1"/>
  <c r="D825" i="16" s="1"/>
  <c r="D849" i="16" s="1"/>
  <c r="D873" i="16" s="1"/>
  <c r="D897" i="16" s="1"/>
  <c r="D921" i="16" s="1"/>
  <c r="D945" i="16" s="1"/>
  <c r="D969" i="16" s="1"/>
  <c r="D993" i="16" s="1"/>
  <c r="D1017" i="16" s="1"/>
  <c r="D1041" i="16" s="1"/>
  <c r="D1065" i="16" s="1"/>
  <c r="D1089" i="16" s="1"/>
  <c r="D1113" i="16" s="1"/>
  <c r="D1137" i="16" s="1"/>
  <c r="D1161" i="16" s="1"/>
  <c r="E32" i="16"/>
  <c r="D32" i="16"/>
  <c r="E31" i="16"/>
  <c r="D31" i="16"/>
  <c r="E30" i="16"/>
  <c r="D30" i="16"/>
  <c r="D54" i="16" s="1"/>
  <c r="D78" i="16" s="1"/>
  <c r="D102" i="16" s="1"/>
  <c r="D126" i="16" s="1"/>
  <c r="D150" i="16" s="1"/>
  <c r="D174" i="16" s="1"/>
  <c r="D198" i="16" s="1"/>
  <c r="D222" i="16" s="1"/>
  <c r="D246" i="16" s="1"/>
  <c r="D270" i="16" s="1"/>
  <c r="D294" i="16" s="1"/>
  <c r="D318" i="16" s="1"/>
  <c r="D342" i="16" s="1"/>
  <c r="D366" i="16" s="1"/>
  <c r="D390" i="16" s="1"/>
  <c r="D414" i="16" s="1"/>
  <c r="D438" i="16" s="1"/>
  <c r="D462" i="16" s="1"/>
  <c r="D486" i="16" s="1"/>
  <c r="D510" i="16" s="1"/>
  <c r="D534" i="16" s="1"/>
  <c r="D558" i="16" s="1"/>
  <c r="D582" i="16" s="1"/>
  <c r="D606" i="16" s="1"/>
  <c r="D630" i="16" s="1"/>
  <c r="D654" i="16" s="1"/>
  <c r="D678" i="16" s="1"/>
  <c r="D702" i="16" s="1"/>
  <c r="D726" i="16" s="1"/>
  <c r="D750" i="16" s="1"/>
  <c r="D774" i="16" s="1"/>
  <c r="D798" i="16" s="1"/>
  <c r="D822" i="16" s="1"/>
  <c r="D846" i="16" s="1"/>
  <c r="D870" i="16" s="1"/>
  <c r="D894" i="16" s="1"/>
  <c r="D918" i="16" s="1"/>
  <c r="D942" i="16" s="1"/>
  <c r="D966" i="16" s="1"/>
  <c r="D990" i="16" s="1"/>
  <c r="D1014" i="16" s="1"/>
  <c r="D1038" i="16" s="1"/>
  <c r="D1062" i="16" s="1"/>
  <c r="D1086" i="16" s="1"/>
  <c r="D1110" i="16" s="1"/>
  <c r="D1134" i="16" s="1"/>
  <c r="D1158" i="16" s="1"/>
  <c r="C30" i="16"/>
  <c r="B30" i="16"/>
  <c r="E1181" i="17"/>
  <c r="E1180" i="17"/>
  <c r="E1179" i="17"/>
  <c r="E1178" i="17"/>
  <c r="E1177" i="17"/>
  <c r="E1176" i="17"/>
  <c r="E1175" i="17"/>
  <c r="E1174" i="17"/>
  <c r="E1173" i="17"/>
  <c r="E1172" i="17"/>
  <c r="E1171" i="17"/>
  <c r="E1170" i="17"/>
  <c r="E1169" i="17"/>
  <c r="E1168" i="17"/>
  <c r="E1167" i="17"/>
  <c r="E1166" i="17"/>
  <c r="E1165" i="17"/>
  <c r="E1164" i="17"/>
  <c r="E1163" i="17"/>
  <c r="E1162" i="17"/>
  <c r="E1161" i="17"/>
  <c r="E1160" i="17"/>
  <c r="E1159" i="17"/>
  <c r="E1158" i="17"/>
  <c r="C1158" i="17"/>
  <c r="E1157" i="17"/>
  <c r="E1156" i="17"/>
  <c r="E1155" i="17"/>
  <c r="E1154" i="17"/>
  <c r="E1153" i="17"/>
  <c r="E1152" i="17"/>
  <c r="E1151" i="17"/>
  <c r="E1150" i="17"/>
  <c r="E1149" i="17"/>
  <c r="E1148" i="17"/>
  <c r="E1147" i="17"/>
  <c r="E1146" i="17"/>
  <c r="E1145" i="17"/>
  <c r="E1144" i="17"/>
  <c r="E1143" i="17"/>
  <c r="E1142" i="17"/>
  <c r="E1141" i="17"/>
  <c r="E1140" i="17"/>
  <c r="E1139" i="17"/>
  <c r="E1138" i="17"/>
  <c r="E1137" i="17"/>
  <c r="E1136" i="17"/>
  <c r="E1135" i="17"/>
  <c r="E1134" i="17"/>
  <c r="C1134" i="17"/>
  <c r="B1134" i="17"/>
  <c r="E1133" i="17"/>
  <c r="E1132" i="17"/>
  <c r="E1131" i="17"/>
  <c r="E1130" i="17"/>
  <c r="E1129" i="17"/>
  <c r="E1128" i="17"/>
  <c r="E1127" i="17"/>
  <c r="E1126" i="17"/>
  <c r="E1125" i="17"/>
  <c r="E1124" i="17"/>
  <c r="E1123" i="17"/>
  <c r="E1122" i="17"/>
  <c r="E1121" i="17"/>
  <c r="E1120" i="17"/>
  <c r="E1119" i="17"/>
  <c r="E1118" i="17"/>
  <c r="E1117" i="17"/>
  <c r="E1116" i="17"/>
  <c r="E1115" i="17"/>
  <c r="E1114" i="17"/>
  <c r="E1113" i="17"/>
  <c r="E1112" i="17"/>
  <c r="E1111" i="17"/>
  <c r="E1110" i="17"/>
  <c r="C1110" i="17"/>
  <c r="B1110" i="17"/>
  <c r="E1109" i="17"/>
  <c r="E1108" i="17"/>
  <c r="E1107" i="17"/>
  <c r="E1106" i="17"/>
  <c r="E1105" i="17"/>
  <c r="E1104" i="17"/>
  <c r="E1103" i="17"/>
  <c r="E1102" i="17"/>
  <c r="E1101" i="17"/>
  <c r="E1100" i="17"/>
  <c r="E1099" i="17"/>
  <c r="E1098" i="17"/>
  <c r="E1097" i="17"/>
  <c r="E1096" i="17"/>
  <c r="E1095" i="17"/>
  <c r="E1094" i="17"/>
  <c r="E1093" i="17"/>
  <c r="E1092" i="17"/>
  <c r="E1091" i="17"/>
  <c r="E1090" i="17"/>
  <c r="E1089" i="17"/>
  <c r="E1088" i="17"/>
  <c r="E1087" i="17"/>
  <c r="E1086" i="17"/>
  <c r="C1086" i="17"/>
  <c r="B1086" i="17"/>
  <c r="E1085" i="17"/>
  <c r="E1084" i="17"/>
  <c r="E1083" i="17"/>
  <c r="E1082" i="17"/>
  <c r="E1081" i="17"/>
  <c r="E1080" i="17"/>
  <c r="E1079" i="17"/>
  <c r="E1078" i="17"/>
  <c r="E1077" i="17"/>
  <c r="E1076" i="17"/>
  <c r="E1075" i="17"/>
  <c r="E1074" i="17"/>
  <c r="E1073" i="17"/>
  <c r="E1072" i="17"/>
  <c r="E1071" i="17"/>
  <c r="E1070" i="17"/>
  <c r="E1069" i="17"/>
  <c r="E1068" i="17"/>
  <c r="E1067" i="17"/>
  <c r="E1066" i="17"/>
  <c r="E1065" i="17"/>
  <c r="E1064" i="17"/>
  <c r="E1063" i="17"/>
  <c r="E1062" i="17"/>
  <c r="C1062" i="17"/>
  <c r="B1062" i="17"/>
  <c r="E1061" i="17"/>
  <c r="E1060" i="17"/>
  <c r="E1059" i="17"/>
  <c r="E1058" i="17"/>
  <c r="E1057" i="17"/>
  <c r="E1056" i="17"/>
  <c r="E1055" i="17"/>
  <c r="E1054" i="17"/>
  <c r="E1053" i="17"/>
  <c r="E1052" i="17"/>
  <c r="E1051" i="17"/>
  <c r="E1050" i="17"/>
  <c r="E1049" i="17"/>
  <c r="E1048" i="17"/>
  <c r="E1047" i="17"/>
  <c r="E1046" i="17"/>
  <c r="E1045" i="17"/>
  <c r="E1044" i="17"/>
  <c r="E1043" i="17"/>
  <c r="E1042" i="17"/>
  <c r="E1041" i="17"/>
  <c r="E1040" i="17"/>
  <c r="E1039" i="17"/>
  <c r="E1038" i="17"/>
  <c r="C1038" i="17"/>
  <c r="B1038" i="17"/>
  <c r="E1037" i="17"/>
  <c r="E1036" i="17"/>
  <c r="E1035" i="17"/>
  <c r="E1034" i="17"/>
  <c r="E1033" i="17"/>
  <c r="E1032" i="17"/>
  <c r="E1031" i="17"/>
  <c r="E1030" i="17"/>
  <c r="E1029" i="17"/>
  <c r="E1028" i="17"/>
  <c r="E1027" i="17"/>
  <c r="E1026" i="17"/>
  <c r="E1025" i="17"/>
  <c r="E1024" i="17"/>
  <c r="E1023" i="17"/>
  <c r="E1022" i="17"/>
  <c r="E1021" i="17"/>
  <c r="E1020" i="17"/>
  <c r="E1019" i="17"/>
  <c r="E1018" i="17"/>
  <c r="E1017" i="17"/>
  <c r="E1016" i="17"/>
  <c r="E1015" i="17"/>
  <c r="E1014" i="17"/>
  <c r="C1014" i="17"/>
  <c r="B1014" i="17"/>
  <c r="E1013" i="17"/>
  <c r="E1012" i="17"/>
  <c r="E1011" i="17"/>
  <c r="E1010" i="17"/>
  <c r="E1009" i="17"/>
  <c r="E1008" i="17"/>
  <c r="E1007" i="17"/>
  <c r="E1006" i="17"/>
  <c r="E1005" i="17"/>
  <c r="E1004" i="17"/>
  <c r="E1003" i="17"/>
  <c r="E1002" i="17"/>
  <c r="E1001" i="17"/>
  <c r="E1000" i="17"/>
  <c r="E999" i="17"/>
  <c r="E998" i="17"/>
  <c r="E997" i="17"/>
  <c r="E996" i="17"/>
  <c r="E995" i="17"/>
  <c r="E994" i="17"/>
  <c r="E993" i="17"/>
  <c r="E992" i="17"/>
  <c r="E991" i="17"/>
  <c r="E990" i="17"/>
  <c r="C990" i="17"/>
  <c r="B990" i="17"/>
  <c r="E989" i="17"/>
  <c r="E988" i="17"/>
  <c r="E987" i="17"/>
  <c r="E986" i="17"/>
  <c r="E985" i="17"/>
  <c r="E984" i="17"/>
  <c r="E983" i="17"/>
  <c r="E982" i="17"/>
  <c r="E981" i="17"/>
  <c r="E980" i="17"/>
  <c r="E979" i="17"/>
  <c r="E978" i="17"/>
  <c r="E977" i="17"/>
  <c r="E976" i="17"/>
  <c r="E975" i="17"/>
  <c r="E974" i="17"/>
  <c r="E973" i="17"/>
  <c r="E972" i="17"/>
  <c r="E971" i="17"/>
  <c r="E970" i="17"/>
  <c r="E969" i="17"/>
  <c r="E968" i="17"/>
  <c r="E967" i="17"/>
  <c r="E966" i="17"/>
  <c r="C966" i="17"/>
  <c r="B966" i="17"/>
  <c r="E965" i="17"/>
  <c r="E964" i="17"/>
  <c r="E963" i="17"/>
  <c r="E962" i="17"/>
  <c r="E961" i="17"/>
  <c r="E960" i="17"/>
  <c r="E959" i="17"/>
  <c r="E958" i="17"/>
  <c r="E957" i="17"/>
  <c r="E956" i="17"/>
  <c r="E955" i="17"/>
  <c r="E954" i="17"/>
  <c r="E953" i="17"/>
  <c r="E952" i="17"/>
  <c r="E951" i="17"/>
  <c r="E950" i="17"/>
  <c r="E949" i="17"/>
  <c r="E948" i="17"/>
  <c r="E947" i="17"/>
  <c r="E946" i="17"/>
  <c r="E945" i="17"/>
  <c r="E944" i="17"/>
  <c r="E943" i="17"/>
  <c r="E942" i="17"/>
  <c r="C942" i="17"/>
  <c r="B942" i="17"/>
  <c r="E941" i="17"/>
  <c r="E940" i="17"/>
  <c r="E939" i="17"/>
  <c r="E938" i="17"/>
  <c r="E937" i="17"/>
  <c r="E936" i="17"/>
  <c r="E935" i="17"/>
  <c r="E934" i="17"/>
  <c r="E933" i="17"/>
  <c r="E932" i="17"/>
  <c r="E931" i="17"/>
  <c r="E930" i="17"/>
  <c r="E929" i="17"/>
  <c r="E928" i="17"/>
  <c r="E927" i="17"/>
  <c r="E926" i="17"/>
  <c r="E925" i="17"/>
  <c r="E924" i="17"/>
  <c r="E923" i="17"/>
  <c r="E922" i="17"/>
  <c r="E921" i="17"/>
  <c r="E920" i="17"/>
  <c r="E919" i="17"/>
  <c r="E918" i="17"/>
  <c r="C918" i="17"/>
  <c r="B918" i="17"/>
  <c r="E917" i="17"/>
  <c r="E916" i="17"/>
  <c r="E915" i="17"/>
  <c r="E914" i="17"/>
  <c r="E913" i="17"/>
  <c r="E912" i="17"/>
  <c r="E911" i="17"/>
  <c r="E910" i="17"/>
  <c r="E909" i="17"/>
  <c r="E908" i="17"/>
  <c r="E907" i="17"/>
  <c r="E906" i="17"/>
  <c r="E905" i="17"/>
  <c r="E904" i="17"/>
  <c r="E903" i="17"/>
  <c r="E902" i="17"/>
  <c r="E901" i="17"/>
  <c r="E900" i="17"/>
  <c r="E899" i="17"/>
  <c r="E898" i="17"/>
  <c r="E897" i="17"/>
  <c r="E896" i="17"/>
  <c r="E895" i="17"/>
  <c r="E894" i="17"/>
  <c r="C894" i="17"/>
  <c r="B894" i="17"/>
  <c r="E893" i="17"/>
  <c r="E892" i="17"/>
  <c r="E891" i="17"/>
  <c r="E890" i="17"/>
  <c r="E889" i="17"/>
  <c r="E888" i="17"/>
  <c r="E887" i="17"/>
  <c r="E886" i="17"/>
  <c r="E885" i="17"/>
  <c r="E884" i="17"/>
  <c r="E883" i="17"/>
  <c r="E882" i="17"/>
  <c r="E881" i="17"/>
  <c r="E880" i="17"/>
  <c r="E879" i="17"/>
  <c r="E878" i="17"/>
  <c r="E877" i="17"/>
  <c r="E876" i="17"/>
  <c r="E875" i="17"/>
  <c r="E874" i="17"/>
  <c r="E873" i="17"/>
  <c r="E872" i="17"/>
  <c r="E871" i="17"/>
  <c r="E870" i="17"/>
  <c r="C870" i="17"/>
  <c r="B870" i="17"/>
  <c r="E869" i="17"/>
  <c r="E868" i="17"/>
  <c r="E867" i="17"/>
  <c r="E866" i="17"/>
  <c r="E865" i="17"/>
  <c r="E864" i="17"/>
  <c r="E863" i="17"/>
  <c r="E862" i="17"/>
  <c r="E861" i="17"/>
  <c r="E860" i="17"/>
  <c r="E859" i="17"/>
  <c r="E858" i="17"/>
  <c r="E857" i="17"/>
  <c r="E856" i="17"/>
  <c r="E855" i="17"/>
  <c r="E854" i="17"/>
  <c r="E853" i="17"/>
  <c r="E852" i="17"/>
  <c r="E851" i="17"/>
  <c r="E850" i="17"/>
  <c r="E849" i="17"/>
  <c r="E848" i="17"/>
  <c r="E847" i="17"/>
  <c r="E846" i="17"/>
  <c r="C846" i="17"/>
  <c r="B846" i="17"/>
  <c r="E845" i="17"/>
  <c r="E844" i="17"/>
  <c r="E843" i="17"/>
  <c r="E842" i="17"/>
  <c r="E841" i="17"/>
  <c r="E840" i="17"/>
  <c r="E839" i="17"/>
  <c r="E838" i="17"/>
  <c r="E837" i="17"/>
  <c r="E836" i="17"/>
  <c r="E835" i="17"/>
  <c r="E834" i="17"/>
  <c r="E833" i="17"/>
  <c r="E832" i="17"/>
  <c r="E831" i="17"/>
  <c r="E830" i="17"/>
  <c r="E829" i="17"/>
  <c r="E828" i="17"/>
  <c r="E827" i="17"/>
  <c r="E826" i="17"/>
  <c r="E825" i="17"/>
  <c r="E824" i="17"/>
  <c r="E823" i="17"/>
  <c r="E822" i="17"/>
  <c r="C822" i="17"/>
  <c r="B822" i="17"/>
  <c r="E821" i="17"/>
  <c r="E820" i="17"/>
  <c r="E819" i="17"/>
  <c r="E818" i="17"/>
  <c r="E817" i="17"/>
  <c r="E816" i="17"/>
  <c r="E815" i="17"/>
  <c r="E814" i="17"/>
  <c r="E813" i="17"/>
  <c r="E812" i="17"/>
  <c r="E811" i="17"/>
  <c r="E810" i="17"/>
  <c r="E809" i="17"/>
  <c r="E808" i="17"/>
  <c r="E807" i="17"/>
  <c r="E806" i="17"/>
  <c r="E805" i="17"/>
  <c r="E804" i="17"/>
  <c r="E803" i="17"/>
  <c r="E802" i="17"/>
  <c r="E801" i="17"/>
  <c r="E800" i="17"/>
  <c r="E799" i="17"/>
  <c r="E798" i="17"/>
  <c r="C798" i="17"/>
  <c r="B798" i="17"/>
  <c r="E797" i="17"/>
  <c r="E796" i="17"/>
  <c r="E795" i="17"/>
  <c r="E794" i="17"/>
  <c r="E793" i="17"/>
  <c r="E792" i="17"/>
  <c r="E791" i="17"/>
  <c r="E790" i="17"/>
  <c r="E789" i="17"/>
  <c r="E788" i="17"/>
  <c r="E787" i="17"/>
  <c r="E786" i="17"/>
  <c r="E785" i="17"/>
  <c r="E784" i="17"/>
  <c r="E783" i="17"/>
  <c r="E782" i="17"/>
  <c r="E781" i="17"/>
  <c r="E780" i="17"/>
  <c r="E779" i="17"/>
  <c r="E778" i="17"/>
  <c r="E777" i="17"/>
  <c r="E776" i="17"/>
  <c r="E775" i="17"/>
  <c r="E774" i="17"/>
  <c r="C774" i="17"/>
  <c r="B774" i="17"/>
  <c r="E773" i="17"/>
  <c r="E772" i="17"/>
  <c r="E771" i="17"/>
  <c r="E770" i="17"/>
  <c r="E769" i="17"/>
  <c r="E768" i="17"/>
  <c r="E767" i="17"/>
  <c r="E766" i="17"/>
  <c r="E765" i="17"/>
  <c r="E764" i="17"/>
  <c r="E763" i="17"/>
  <c r="E762" i="17"/>
  <c r="E761" i="17"/>
  <c r="E760" i="17"/>
  <c r="E759" i="17"/>
  <c r="E758" i="17"/>
  <c r="E757" i="17"/>
  <c r="E756" i="17"/>
  <c r="E755" i="17"/>
  <c r="E754" i="17"/>
  <c r="E753" i="17"/>
  <c r="E752" i="17"/>
  <c r="E751" i="17"/>
  <c r="E750" i="17"/>
  <c r="C750" i="17"/>
  <c r="B750" i="17"/>
  <c r="E749" i="17"/>
  <c r="E748" i="17"/>
  <c r="E747" i="17"/>
  <c r="D747" i="17"/>
  <c r="D771" i="17" s="1"/>
  <c r="D795" i="17" s="1"/>
  <c r="D819" i="17" s="1"/>
  <c r="D843" i="17" s="1"/>
  <c r="D867" i="17" s="1"/>
  <c r="D891" i="17" s="1"/>
  <c r="D915" i="17" s="1"/>
  <c r="D939" i="17" s="1"/>
  <c r="D963" i="17" s="1"/>
  <c r="D987" i="17" s="1"/>
  <c r="D1011" i="17" s="1"/>
  <c r="D1035" i="17" s="1"/>
  <c r="D1059" i="17" s="1"/>
  <c r="D1083" i="17" s="1"/>
  <c r="D1107" i="17" s="1"/>
  <c r="D1131" i="17" s="1"/>
  <c r="D1155" i="17" s="1"/>
  <c r="D1179" i="17" s="1"/>
  <c r="E746" i="17"/>
  <c r="E745" i="17"/>
  <c r="E744" i="17"/>
  <c r="E743" i="17"/>
  <c r="E742" i="17"/>
  <c r="E741" i="17"/>
  <c r="E740" i="17"/>
  <c r="E739" i="17"/>
  <c r="E738" i="17"/>
  <c r="E737" i="17"/>
  <c r="E736" i="17"/>
  <c r="E735" i="17"/>
  <c r="E734" i="17"/>
  <c r="E733" i="17"/>
  <c r="E732" i="17"/>
  <c r="E731" i="17"/>
  <c r="E730" i="17"/>
  <c r="E729" i="17"/>
  <c r="E728" i="17"/>
  <c r="E727" i="17"/>
  <c r="E726" i="17"/>
  <c r="C726" i="17"/>
  <c r="B726" i="17"/>
  <c r="E725" i="17"/>
  <c r="E724" i="17"/>
  <c r="E723" i="17"/>
  <c r="E722" i="17"/>
  <c r="E721" i="17"/>
  <c r="E720" i="17"/>
  <c r="E719" i="17"/>
  <c r="E718" i="17"/>
  <c r="E717" i="17"/>
  <c r="E716" i="17"/>
  <c r="E715" i="17"/>
  <c r="E714" i="17"/>
  <c r="E713" i="17"/>
  <c r="E712" i="17"/>
  <c r="E711" i="17"/>
  <c r="E710" i="17"/>
  <c r="E709" i="17"/>
  <c r="E708" i="17"/>
  <c r="E707" i="17"/>
  <c r="E706" i="17"/>
  <c r="E705" i="17"/>
  <c r="E704" i="17"/>
  <c r="E703" i="17"/>
  <c r="E702" i="17"/>
  <c r="C702" i="17"/>
  <c r="B702" i="17"/>
  <c r="E701" i="17"/>
  <c r="E700" i="17"/>
  <c r="E699" i="17"/>
  <c r="E698" i="17"/>
  <c r="E697" i="17"/>
  <c r="E696" i="17"/>
  <c r="E695" i="17"/>
  <c r="E694" i="17"/>
  <c r="E693" i="17"/>
  <c r="E692" i="17"/>
  <c r="E691" i="17"/>
  <c r="E690" i="17"/>
  <c r="E689" i="17"/>
  <c r="E688" i="17"/>
  <c r="E687" i="17"/>
  <c r="E686" i="17"/>
  <c r="E685" i="17"/>
  <c r="E684" i="17"/>
  <c r="E683" i="17"/>
  <c r="E682" i="17"/>
  <c r="E681" i="17"/>
  <c r="E680" i="17"/>
  <c r="E679" i="17"/>
  <c r="E678" i="17"/>
  <c r="C678" i="17"/>
  <c r="B678" i="17"/>
  <c r="E677" i="17"/>
  <c r="E676" i="17"/>
  <c r="E675" i="17"/>
  <c r="E674" i="17"/>
  <c r="E673" i="17"/>
  <c r="E672" i="17"/>
  <c r="E671" i="17"/>
  <c r="E670" i="17"/>
  <c r="E669" i="17"/>
  <c r="E668" i="17"/>
  <c r="E667" i="17"/>
  <c r="E666" i="17"/>
  <c r="E665" i="17"/>
  <c r="E664" i="17"/>
  <c r="E663" i="17"/>
  <c r="E662" i="17"/>
  <c r="E661" i="17"/>
  <c r="E660" i="17"/>
  <c r="E659" i="17"/>
  <c r="E658" i="17"/>
  <c r="E657" i="17"/>
  <c r="E656" i="17"/>
  <c r="E655" i="17"/>
  <c r="E654" i="17"/>
  <c r="C654" i="17"/>
  <c r="B654" i="17"/>
  <c r="E653" i="17"/>
  <c r="E652" i="17"/>
  <c r="E651" i="17"/>
  <c r="E650" i="17"/>
  <c r="E649" i="17"/>
  <c r="E648" i="17"/>
  <c r="E647" i="17"/>
  <c r="E646" i="17"/>
  <c r="E645" i="17"/>
  <c r="E644" i="17"/>
  <c r="E643" i="17"/>
  <c r="E642" i="17"/>
  <c r="E641" i="17"/>
  <c r="E640" i="17"/>
  <c r="E639" i="17"/>
  <c r="E638" i="17"/>
  <c r="E637" i="17"/>
  <c r="E636" i="17"/>
  <c r="E635" i="17"/>
  <c r="E634" i="17"/>
  <c r="E633" i="17"/>
  <c r="E632" i="17"/>
  <c r="E631" i="17"/>
  <c r="E630" i="17"/>
  <c r="C630" i="17"/>
  <c r="B630" i="17"/>
  <c r="E629" i="17"/>
  <c r="E628" i="17"/>
  <c r="E627" i="17"/>
  <c r="E626" i="17"/>
  <c r="E625" i="17"/>
  <c r="E624" i="17"/>
  <c r="E623" i="17"/>
  <c r="E622" i="17"/>
  <c r="E621" i="17"/>
  <c r="E620" i="17"/>
  <c r="E619" i="17"/>
  <c r="E618" i="17"/>
  <c r="E617" i="17"/>
  <c r="E616" i="17"/>
  <c r="E615" i="17"/>
  <c r="E614" i="17"/>
  <c r="E613" i="17"/>
  <c r="E612" i="17"/>
  <c r="E611" i="17"/>
  <c r="E610" i="17"/>
  <c r="E609" i="17"/>
  <c r="E608" i="17"/>
  <c r="E607" i="17"/>
  <c r="E606" i="17"/>
  <c r="C606" i="17"/>
  <c r="B606" i="17"/>
  <c r="E605" i="17"/>
  <c r="E604" i="17"/>
  <c r="E603" i="17"/>
  <c r="E602" i="17"/>
  <c r="E601" i="17"/>
  <c r="E600" i="17"/>
  <c r="E599" i="17"/>
  <c r="E598" i="17"/>
  <c r="E597" i="17"/>
  <c r="E596" i="17"/>
  <c r="E595" i="17"/>
  <c r="E594" i="17"/>
  <c r="E593" i="17"/>
  <c r="E592" i="17"/>
  <c r="E591" i="17"/>
  <c r="E590" i="17"/>
  <c r="E589" i="17"/>
  <c r="E588" i="17"/>
  <c r="E587" i="17"/>
  <c r="E586" i="17"/>
  <c r="E585" i="17"/>
  <c r="E584" i="17"/>
  <c r="E583" i="17"/>
  <c r="E582" i="17"/>
  <c r="C582" i="17"/>
  <c r="B582" i="17"/>
  <c r="E581" i="17"/>
  <c r="E580" i="17"/>
  <c r="E579" i="17"/>
  <c r="E578" i="17"/>
  <c r="E577" i="17"/>
  <c r="E576" i="17"/>
  <c r="E575" i="17"/>
  <c r="E574" i="17"/>
  <c r="E573" i="17"/>
  <c r="E572" i="17"/>
  <c r="E571" i="17"/>
  <c r="E570" i="17"/>
  <c r="E569" i="17"/>
  <c r="E568" i="17"/>
  <c r="E567" i="17"/>
  <c r="E566" i="17"/>
  <c r="E565" i="17"/>
  <c r="E564" i="17"/>
  <c r="E563" i="17"/>
  <c r="E562" i="17"/>
  <c r="E561" i="17"/>
  <c r="E560" i="17"/>
  <c r="E559" i="17"/>
  <c r="E558" i="17"/>
  <c r="C558" i="17"/>
  <c r="B558" i="17"/>
  <c r="E557" i="17"/>
  <c r="E556" i="17"/>
  <c r="E555" i="17"/>
  <c r="E554" i="17"/>
  <c r="E553" i="17"/>
  <c r="E552" i="17"/>
  <c r="E551" i="17"/>
  <c r="E550" i="17"/>
  <c r="E549" i="17"/>
  <c r="E548" i="17"/>
  <c r="E547" i="17"/>
  <c r="E546" i="17"/>
  <c r="E545" i="17"/>
  <c r="E544" i="17"/>
  <c r="E543" i="17"/>
  <c r="E542" i="17"/>
  <c r="E541" i="17"/>
  <c r="E540" i="17"/>
  <c r="E539" i="17"/>
  <c r="E538" i="17"/>
  <c r="E537" i="17"/>
  <c r="E536" i="17"/>
  <c r="E535" i="17"/>
  <c r="E534" i="17"/>
  <c r="C534" i="17"/>
  <c r="B534" i="17"/>
  <c r="E533" i="17"/>
  <c r="E532" i="17"/>
  <c r="E531" i="17"/>
  <c r="E530" i="17"/>
  <c r="E529" i="17"/>
  <c r="E528" i="17"/>
  <c r="E527" i="17"/>
  <c r="E526" i="17"/>
  <c r="E525" i="17"/>
  <c r="E524" i="17"/>
  <c r="E523" i="17"/>
  <c r="E522" i="17"/>
  <c r="E521" i="17"/>
  <c r="E520" i="17"/>
  <c r="E519" i="17"/>
  <c r="E518" i="17"/>
  <c r="E517" i="17"/>
  <c r="E516" i="17"/>
  <c r="E515" i="17"/>
  <c r="E514" i="17"/>
  <c r="E513" i="17"/>
  <c r="E512" i="17"/>
  <c r="E511" i="17"/>
  <c r="E510" i="17"/>
  <c r="C510" i="17"/>
  <c r="B510" i="17"/>
  <c r="E509" i="17"/>
  <c r="E508" i="17"/>
  <c r="E507" i="17"/>
  <c r="E506" i="17"/>
  <c r="E505" i="17"/>
  <c r="E504" i="17"/>
  <c r="E503" i="17"/>
  <c r="E502" i="17"/>
  <c r="E501" i="17"/>
  <c r="E500" i="17"/>
  <c r="E499" i="17"/>
  <c r="E498" i="17"/>
  <c r="E497" i="17"/>
  <c r="E496" i="17"/>
  <c r="E495" i="17"/>
  <c r="E494" i="17"/>
  <c r="E493" i="17"/>
  <c r="E492" i="17"/>
  <c r="E491" i="17"/>
  <c r="E490" i="17"/>
  <c r="E489" i="17"/>
  <c r="E488" i="17"/>
  <c r="E487" i="17"/>
  <c r="E486" i="17"/>
  <c r="C486" i="17"/>
  <c r="B486" i="17"/>
  <c r="E485" i="17"/>
  <c r="E484" i="17"/>
  <c r="E483" i="17"/>
  <c r="E482" i="17"/>
  <c r="E481" i="17"/>
  <c r="E480" i="17"/>
  <c r="E479" i="17"/>
  <c r="E478" i="17"/>
  <c r="E477" i="17"/>
  <c r="E476" i="17"/>
  <c r="E475" i="17"/>
  <c r="E474" i="17"/>
  <c r="E473" i="17"/>
  <c r="E472" i="17"/>
  <c r="E471" i="17"/>
  <c r="E470" i="17"/>
  <c r="E469" i="17"/>
  <c r="E468" i="17"/>
  <c r="E467" i="17"/>
  <c r="E466" i="17"/>
  <c r="E465" i="17"/>
  <c r="E464" i="17"/>
  <c r="E463" i="17"/>
  <c r="E462" i="17"/>
  <c r="C462" i="17"/>
  <c r="B462" i="17"/>
  <c r="E461" i="17"/>
  <c r="E460" i="17"/>
  <c r="E459" i="17"/>
  <c r="E458" i="17"/>
  <c r="E457" i="17"/>
  <c r="E456" i="17"/>
  <c r="E455" i="17"/>
  <c r="E454" i="17"/>
  <c r="E453" i="17"/>
  <c r="E452" i="17"/>
  <c r="E451" i="17"/>
  <c r="E450" i="17"/>
  <c r="E449" i="17"/>
  <c r="E448" i="17"/>
  <c r="E447" i="17"/>
  <c r="E446" i="17"/>
  <c r="E445" i="17"/>
  <c r="E444" i="17"/>
  <c r="E443" i="17"/>
  <c r="E442" i="17"/>
  <c r="E441" i="17"/>
  <c r="E440" i="17"/>
  <c r="E439" i="17"/>
  <c r="E438" i="17"/>
  <c r="C438" i="17"/>
  <c r="B438" i="17"/>
  <c r="E437" i="17"/>
  <c r="E436" i="17"/>
  <c r="E435" i="17"/>
  <c r="E434" i="17"/>
  <c r="E433" i="17"/>
  <c r="E432" i="17"/>
  <c r="E431" i="17"/>
  <c r="E430" i="17"/>
  <c r="E429" i="17"/>
  <c r="E428" i="17"/>
  <c r="E427" i="17"/>
  <c r="E426" i="17"/>
  <c r="E425" i="17"/>
  <c r="E424" i="17"/>
  <c r="E423" i="17"/>
  <c r="E422" i="17"/>
  <c r="E421" i="17"/>
  <c r="E420" i="17"/>
  <c r="E419" i="17"/>
  <c r="E418" i="17"/>
  <c r="E417" i="17"/>
  <c r="E416" i="17"/>
  <c r="E415" i="17"/>
  <c r="E414" i="17"/>
  <c r="C414" i="17"/>
  <c r="B414" i="17"/>
  <c r="E413" i="17"/>
  <c r="E412" i="17"/>
  <c r="E411" i="17"/>
  <c r="E410" i="17"/>
  <c r="E409" i="17"/>
  <c r="E408" i="17"/>
  <c r="E407" i="17"/>
  <c r="E406" i="17"/>
  <c r="E405" i="17"/>
  <c r="E404" i="17"/>
  <c r="E403" i="17"/>
  <c r="E402" i="17"/>
  <c r="E401" i="17"/>
  <c r="E400" i="17"/>
  <c r="E399" i="17"/>
  <c r="E398" i="17"/>
  <c r="E397" i="17"/>
  <c r="E396" i="17"/>
  <c r="E395" i="17"/>
  <c r="E394" i="17"/>
  <c r="E393" i="17"/>
  <c r="E392" i="17"/>
  <c r="E391" i="17"/>
  <c r="E390" i="17"/>
  <c r="C390" i="17"/>
  <c r="B390" i="17"/>
  <c r="E389" i="17"/>
  <c r="E388" i="17"/>
  <c r="E387" i="17"/>
  <c r="E386" i="17"/>
  <c r="E385" i="17"/>
  <c r="E384" i="17"/>
  <c r="E383" i="17"/>
  <c r="E382" i="17"/>
  <c r="E381" i="17"/>
  <c r="E380" i="17"/>
  <c r="E379" i="17"/>
  <c r="E378" i="17"/>
  <c r="E377" i="17"/>
  <c r="E376" i="17"/>
  <c r="E375" i="17"/>
  <c r="E374" i="17"/>
  <c r="E373" i="17"/>
  <c r="E372" i="17"/>
  <c r="E371" i="17"/>
  <c r="E370" i="17"/>
  <c r="E369" i="17"/>
  <c r="E368" i="17"/>
  <c r="E367" i="17"/>
  <c r="E366" i="17"/>
  <c r="C366" i="17"/>
  <c r="B366" i="17"/>
  <c r="E365" i="17"/>
  <c r="E364" i="17"/>
  <c r="E363" i="17"/>
  <c r="E362" i="17"/>
  <c r="E361" i="17"/>
  <c r="E360" i="17"/>
  <c r="E359" i="17"/>
  <c r="E358" i="17"/>
  <c r="E357" i="17"/>
  <c r="E356" i="17"/>
  <c r="E355" i="17"/>
  <c r="E354" i="17"/>
  <c r="E353" i="17"/>
  <c r="E352" i="17"/>
  <c r="E351" i="17"/>
  <c r="E350" i="17"/>
  <c r="E349" i="17"/>
  <c r="E348" i="17"/>
  <c r="E347" i="17"/>
  <c r="E346" i="17"/>
  <c r="E345" i="17"/>
  <c r="E344" i="17"/>
  <c r="E343" i="17"/>
  <c r="E342" i="17"/>
  <c r="C342" i="17"/>
  <c r="B342" i="17"/>
  <c r="E341" i="17"/>
  <c r="E340" i="17"/>
  <c r="E339" i="17"/>
  <c r="E338" i="17"/>
  <c r="E337" i="17"/>
  <c r="E336" i="17"/>
  <c r="E335" i="17"/>
  <c r="E334" i="17"/>
  <c r="E333" i="17"/>
  <c r="E332" i="17"/>
  <c r="E331" i="17"/>
  <c r="E330" i="17"/>
  <c r="E329" i="17"/>
  <c r="E328" i="17"/>
  <c r="E327" i="17"/>
  <c r="E326" i="17"/>
  <c r="E325" i="17"/>
  <c r="E324" i="17"/>
  <c r="E323" i="17"/>
  <c r="E322" i="17"/>
  <c r="E321" i="17"/>
  <c r="E320" i="17"/>
  <c r="E319" i="17"/>
  <c r="E318" i="17"/>
  <c r="C318" i="17"/>
  <c r="B318" i="17"/>
  <c r="E317" i="17"/>
  <c r="E316" i="17"/>
  <c r="E315" i="17"/>
  <c r="E314" i="17"/>
  <c r="E313" i="17"/>
  <c r="E312" i="17"/>
  <c r="E311" i="17"/>
  <c r="E310" i="17"/>
  <c r="E309" i="17"/>
  <c r="E308" i="17"/>
  <c r="E307" i="17"/>
  <c r="E306" i="17"/>
  <c r="E305" i="17"/>
  <c r="E304" i="17"/>
  <c r="E303" i="17"/>
  <c r="E302" i="17"/>
  <c r="E301" i="17"/>
  <c r="E300" i="17"/>
  <c r="E299" i="17"/>
  <c r="E298" i="17"/>
  <c r="E297" i="17"/>
  <c r="E296" i="17"/>
  <c r="E295" i="17"/>
  <c r="E294" i="17"/>
  <c r="C294" i="17"/>
  <c r="B294" i="17"/>
  <c r="E293" i="17"/>
  <c r="E292" i="17"/>
  <c r="E291" i="17"/>
  <c r="E290" i="17"/>
  <c r="E289" i="17"/>
  <c r="E288" i="17"/>
  <c r="E287" i="17"/>
  <c r="E286" i="17"/>
  <c r="E285" i="17"/>
  <c r="E284" i="17"/>
  <c r="E283" i="17"/>
  <c r="D283" i="17"/>
  <c r="D307" i="17" s="1"/>
  <c r="D331" i="17" s="1"/>
  <c r="D355" i="17" s="1"/>
  <c r="D379" i="17" s="1"/>
  <c r="D403" i="17" s="1"/>
  <c r="D427" i="17" s="1"/>
  <c r="D451" i="17" s="1"/>
  <c r="D475" i="17" s="1"/>
  <c r="D499" i="17" s="1"/>
  <c r="D523" i="17" s="1"/>
  <c r="D547" i="17" s="1"/>
  <c r="D571" i="17" s="1"/>
  <c r="D595" i="17" s="1"/>
  <c r="D619" i="17" s="1"/>
  <c r="D643" i="17" s="1"/>
  <c r="D667" i="17" s="1"/>
  <c r="D691" i="17" s="1"/>
  <c r="D715" i="17" s="1"/>
  <c r="D739" i="17" s="1"/>
  <c r="D763" i="17" s="1"/>
  <c r="D787" i="17" s="1"/>
  <c r="D811" i="17" s="1"/>
  <c r="D835" i="17" s="1"/>
  <c r="D859" i="17" s="1"/>
  <c r="D883" i="17" s="1"/>
  <c r="D907" i="17" s="1"/>
  <c r="D931" i="17" s="1"/>
  <c r="D955" i="17" s="1"/>
  <c r="D979" i="17" s="1"/>
  <c r="D1003" i="17" s="1"/>
  <c r="D1027" i="17" s="1"/>
  <c r="D1051" i="17" s="1"/>
  <c r="D1075" i="17" s="1"/>
  <c r="D1099" i="17" s="1"/>
  <c r="D1123" i="17" s="1"/>
  <c r="D1147" i="17" s="1"/>
  <c r="D1171" i="17" s="1"/>
  <c r="E282" i="17"/>
  <c r="E281" i="17"/>
  <c r="E280" i="17"/>
  <c r="E279" i="17"/>
  <c r="E278" i="17"/>
  <c r="E277" i="17"/>
  <c r="E276" i="17"/>
  <c r="E275" i="17"/>
  <c r="E274" i="17"/>
  <c r="D274" i="17"/>
  <c r="D298" i="17" s="1"/>
  <c r="D322" i="17" s="1"/>
  <c r="D346" i="17" s="1"/>
  <c r="D370" i="17" s="1"/>
  <c r="D394" i="17" s="1"/>
  <c r="D418" i="17" s="1"/>
  <c r="D442" i="17" s="1"/>
  <c r="D466" i="17" s="1"/>
  <c r="D490" i="17" s="1"/>
  <c r="D514" i="17" s="1"/>
  <c r="D538" i="17" s="1"/>
  <c r="D562" i="17" s="1"/>
  <c r="D586" i="17" s="1"/>
  <c r="D610" i="17" s="1"/>
  <c r="D634" i="17" s="1"/>
  <c r="D658" i="17" s="1"/>
  <c r="D682" i="17" s="1"/>
  <c r="D706" i="17" s="1"/>
  <c r="D730" i="17" s="1"/>
  <c r="D754" i="17" s="1"/>
  <c r="D778" i="17" s="1"/>
  <c r="D802" i="17" s="1"/>
  <c r="D826" i="17" s="1"/>
  <c r="D850" i="17" s="1"/>
  <c r="D874" i="17" s="1"/>
  <c r="D898" i="17" s="1"/>
  <c r="D922" i="17" s="1"/>
  <c r="D946" i="17" s="1"/>
  <c r="D970" i="17" s="1"/>
  <c r="D994" i="17" s="1"/>
  <c r="D1018" i="17" s="1"/>
  <c r="D1042" i="17" s="1"/>
  <c r="D1066" i="17" s="1"/>
  <c r="D1090" i="17" s="1"/>
  <c r="D1114" i="17" s="1"/>
  <c r="D1138" i="17" s="1"/>
  <c r="D1162" i="17" s="1"/>
  <c r="E273" i="17"/>
  <c r="E272" i="17"/>
  <c r="E271" i="17"/>
  <c r="E270" i="17"/>
  <c r="C270" i="17"/>
  <c r="B270" i="17"/>
  <c r="E269" i="17"/>
  <c r="E268" i="17"/>
  <c r="E267" i="17"/>
  <c r="E266" i="17"/>
  <c r="E265" i="17"/>
  <c r="E264" i="17"/>
  <c r="E263" i="17"/>
  <c r="E262" i="17"/>
  <c r="E261" i="17"/>
  <c r="E260" i="17"/>
  <c r="E259" i="17"/>
  <c r="E258" i="17"/>
  <c r="E257" i="17"/>
  <c r="E256" i="17"/>
  <c r="E255" i="17"/>
  <c r="E254" i="17"/>
  <c r="E253" i="17"/>
  <c r="E252" i="17"/>
  <c r="E251" i="17"/>
  <c r="E250" i="17"/>
  <c r="E249" i="17"/>
  <c r="E248" i="17"/>
  <c r="E247" i="17"/>
  <c r="E246" i="17"/>
  <c r="C246" i="17"/>
  <c r="B246" i="17"/>
  <c r="E245" i="17"/>
  <c r="E244" i="17"/>
  <c r="E243" i="17"/>
  <c r="E242" i="17"/>
  <c r="E241" i="17"/>
  <c r="E240" i="17"/>
  <c r="E239" i="17"/>
  <c r="E238" i="17"/>
  <c r="E237" i="17"/>
  <c r="E236" i="17"/>
  <c r="E235" i="17"/>
  <c r="E234" i="17"/>
  <c r="E233" i="17"/>
  <c r="E232" i="17"/>
  <c r="E231" i="17"/>
  <c r="E230" i="17"/>
  <c r="E229" i="17"/>
  <c r="E228" i="17"/>
  <c r="E227" i="17"/>
  <c r="E226" i="17"/>
  <c r="E225" i="17"/>
  <c r="E224" i="17"/>
  <c r="E223" i="17"/>
  <c r="E222" i="17"/>
  <c r="C222" i="17"/>
  <c r="B222" i="17"/>
  <c r="E221" i="17"/>
  <c r="E220" i="17"/>
  <c r="E219" i="17"/>
  <c r="E218" i="17"/>
  <c r="E217" i="17"/>
  <c r="E216" i="17"/>
  <c r="E215" i="17"/>
  <c r="E214" i="17"/>
  <c r="E213" i="17"/>
  <c r="E212" i="17"/>
  <c r="E211" i="17"/>
  <c r="E210" i="17"/>
  <c r="E209" i="17"/>
  <c r="E208" i="17"/>
  <c r="E207" i="17"/>
  <c r="E206" i="17"/>
  <c r="E205" i="17"/>
  <c r="E204" i="17"/>
  <c r="E203" i="17"/>
  <c r="E202" i="17"/>
  <c r="E201" i="17"/>
  <c r="E200" i="17"/>
  <c r="E199" i="17"/>
  <c r="E198" i="17"/>
  <c r="C198" i="17"/>
  <c r="B198" i="17"/>
  <c r="E197" i="17"/>
  <c r="E196" i="17"/>
  <c r="E195" i="17"/>
  <c r="E194" i="17"/>
  <c r="E193" i="17"/>
  <c r="E192" i="17"/>
  <c r="E191" i="17"/>
  <c r="E190" i="17"/>
  <c r="E189" i="17"/>
  <c r="E188" i="17"/>
  <c r="E187" i="17"/>
  <c r="E186" i="17"/>
  <c r="E185" i="17"/>
  <c r="E184" i="17"/>
  <c r="E183" i="17"/>
  <c r="E182" i="17"/>
  <c r="E181" i="17"/>
  <c r="E180" i="17"/>
  <c r="E179" i="17"/>
  <c r="E178" i="17"/>
  <c r="E177" i="17"/>
  <c r="E176" i="17"/>
  <c r="E175" i="17"/>
  <c r="E174" i="17"/>
  <c r="C174" i="17"/>
  <c r="B174" i="17"/>
  <c r="E173" i="17"/>
  <c r="E172" i="17"/>
  <c r="E171" i="17"/>
  <c r="E170" i="17"/>
  <c r="E169" i="17"/>
  <c r="E168" i="17"/>
  <c r="E167" i="17"/>
  <c r="E166" i="17"/>
  <c r="E165" i="17"/>
  <c r="E164" i="17"/>
  <c r="E163" i="17"/>
  <c r="E162" i="17"/>
  <c r="E161" i="17"/>
  <c r="E160" i="17"/>
  <c r="E159" i="17"/>
  <c r="E158" i="17"/>
  <c r="E157" i="17"/>
  <c r="E156" i="17"/>
  <c r="E155" i="17"/>
  <c r="E154" i="17"/>
  <c r="E153" i="17"/>
  <c r="E152" i="17"/>
  <c r="E151" i="17"/>
  <c r="E150" i="17"/>
  <c r="C150" i="17"/>
  <c r="B150" i="17"/>
  <c r="E149" i="17"/>
  <c r="E148" i="17"/>
  <c r="E147" i="17"/>
  <c r="E146" i="17"/>
  <c r="E145" i="17"/>
  <c r="E144" i="17"/>
  <c r="E143" i="17"/>
  <c r="E142" i="17"/>
  <c r="E141" i="17"/>
  <c r="E140" i="17"/>
  <c r="E139" i="17"/>
  <c r="E138" i="17"/>
  <c r="E137" i="17"/>
  <c r="E136" i="17"/>
  <c r="E135" i="17"/>
  <c r="D135" i="17"/>
  <c r="D159" i="17" s="1"/>
  <c r="D183" i="17" s="1"/>
  <c r="D207" i="17" s="1"/>
  <c r="D231" i="17" s="1"/>
  <c r="D255" i="17" s="1"/>
  <c r="D279" i="17" s="1"/>
  <c r="D303" i="17" s="1"/>
  <c r="D327" i="17" s="1"/>
  <c r="D351" i="17" s="1"/>
  <c r="D375" i="17" s="1"/>
  <c r="D399" i="17" s="1"/>
  <c r="D423" i="17" s="1"/>
  <c r="D447" i="17" s="1"/>
  <c r="D471" i="17" s="1"/>
  <c r="D495" i="17" s="1"/>
  <c r="D519" i="17" s="1"/>
  <c r="D543" i="17" s="1"/>
  <c r="D567" i="17" s="1"/>
  <c r="D591" i="17" s="1"/>
  <c r="D615" i="17" s="1"/>
  <c r="D639" i="17" s="1"/>
  <c r="D663" i="17" s="1"/>
  <c r="D687" i="17" s="1"/>
  <c r="D711" i="17" s="1"/>
  <c r="D735" i="17" s="1"/>
  <c r="D759" i="17" s="1"/>
  <c r="D783" i="17" s="1"/>
  <c r="D807" i="17" s="1"/>
  <c r="D831" i="17" s="1"/>
  <c r="D855" i="17" s="1"/>
  <c r="D879" i="17" s="1"/>
  <c r="D903" i="17" s="1"/>
  <c r="D927" i="17" s="1"/>
  <c r="D951" i="17" s="1"/>
  <c r="D975" i="17" s="1"/>
  <c r="D999" i="17" s="1"/>
  <c r="D1023" i="17" s="1"/>
  <c r="D1047" i="17" s="1"/>
  <c r="D1071" i="17" s="1"/>
  <c r="D1095" i="17" s="1"/>
  <c r="D1119" i="17" s="1"/>
  <c r="D1143" i="17" s="1"/>
  <c r="D1167" i="17" s="1"/>
  <c r="E134" i="17"/>
  <c r="E133" i="17"/>
  <c r="E132" i="17"/>
  <c r="E131" i="17"/>
  <c r="E130" i="17"/>
  <c r="E129" i="17"/>
  <c r="E128" i="17"/>
  <c r="E127" i="17"/>
  <c r="E126" i="17"/>
  <c r="C126" i="17"/>
  <c r="B126" i="17"/>
  <c r="E125" i="17"/>
  <c r="E124" i="17"/>
  <c r="E123" i="17"/>
  <c r="E122" i="17"/>
  <c r="E121" i="17"/>
  <c r="E120" i="17"/>
  <c r="E119" i="17"/>
  <c r="E118" i="17"/>
  <c r="E117" i="17"/>
  <c r="E116" i="17"/>
  <c r="D116" i="17"/>
  <c r="D140" i="17" s="1"/>
  <c r="D164" i="17" s="1"/>
  <c r="D188" i="17" s="1"/>
  <c r="D212" i="17" s="1"/>
  <c r="D236" i="17" s="1"/>
  <c r="D260" i="17" s="1"/>
  <c r="D284" i="17" s="1"/>
  <c r="D308" i="17" s="1"/>
  <c r="D332" i="17" s="1"/>
  <c r="D356" i="17" s="1"/>
  <c r="D380" i="17" s="1"/>
  <c r="D404" i="17" s="1"/>
  <c r="D428" i="17" s="1"/>
  <c r="D452" i="17" s="1"/>
  <c r="D476" i="17" s="1"/>
  <c r="D500" i="17" s="1"/>
  <c r="D524" i="17" s="1"/>
  <c r="D548" i="17" s="1"/>
  <c r="D572" i="17" s="1"/>
  <c r="D596" i="17" s="1"/>
  <c r="D620" i="17" s="1"/>
  <c r="D644" i="17" s="1"/>
  <c r="D668" i="17" s="1"/>
  <c r="D692" i="17" s="1"/>
  <c r="D716" i="17" s="1"/>
  <c r="D740" i="17" s="1"/>
  <c r="D764" i="17" s="1"/>
  <c r="D788" i="17" s="1"/>
  <c r="D812" i="17" s="1"/>
  <c r="D836" i="17" s="1"/>
  <c r="D860" i="17" s="1"/>
  <c r="D884" i="17" s="1"/>
  <c r="D908" i="17" s="1"/>
  <c r="D932" i="17" s="1"/>
  <c r="D956" i="17" s="1"/>
  <c r="D980" i="17" s="1"/>
  <c r="D1004" i="17" s="1"/>
  <c r="D1028" i="17" s="1"/>
  <c r="D1052" i="17" s="1"/>
  <c r="D1076" i="17" s="1"/>
  <c r="D1100" i="17" s="1"/>
  <c r="D1124" i="17" s="1"/>
  <c r="D1148" i="17" s="1"/>
  <c r="D1172" i="17" s="1"/>
  <c r="E115" i="17"/>
  <c r="E114" i="17"/>
  <c r="E113" i="17"/>
  <c r="E112" i="17"/>
  <c r="D112" i="17"/>
  <c r="D136" i="17" s="1"/>
  <c r="D160" i="17" s="1"/>
  <c r="D184" i="17" s="1"/>
  <c r="D208" i="17" s="1"/>
  <c r="D232" i="17" s="1"/>
  <c r="D256" i="17" s="1"/>
  <c r="D280" i="17" s="1"/>
  <c r="D304" i="17" s="1"/>
  <c r="D328" i="17" s="1"/>
  <c r="D352" i="17" s="1"/>
  <c r="D376" i="17" s="1"/>
  <c r="D400" i="17" s="1"/>
  <c r="D424" i="17" s="1"/>
  <c r="D448" i="17" s="1"/>
  <c r="D472" i="17" s="1"/>
  <c r="D496" i="17" s="1"/>
  <c r="D520" i="17" s="1"/>
  <c r="D544" i="17" s="1"/>
  <c r="D568" i="17" s="1"/>
  <c r="D592" i="17" s="1"/>
  <c r="D616" i="17" s="1"/>
  <c r="D640" i="17" s="1"/>
  <c r="D664" i="17" s="1"/>
  <c r="D688" i="17" s="1"/>
  <c r="D712" i="17" s="1"/>
  <c r="D736" i="17" s="1"/>
  <c r="D760" i="17" s="1"/>
  <c r="D784" i="17" s="1"/>
  <c r="D808" i="17" s="1"/>
  <c r="D832" i="17" s="1"/>
  <c r="D856" i="17" s="1"/>
  <c r="D880" i="17" s="1"/>
  <c r="D904" i="17" s="1"/>
  <c r="D928" i="17" s="1"/>
  <c r="D952" i="17" s="1"/>
  <c r="D976" i="17" s="1"/>
  <c r="D1000" i="17" s="1"/>
  <c r="D1024" i="17" s="1"/>
  <c r="D1048" i="17" s="1"/>
  <c r="D1072" i="17" s="1"/>
  <c r="D1096" i="17" s="1"/>
  <c r="D1120" i="17" s="1"/>
  <c r="D1144" i="17" s="1"/>
  <c r="D1168" i="17" s="1"/>
  <c r="E111" i="17"/>
  <c r="E110" i="17"/>
  <c r="E109" i="17"/>
  <c r="E108" i="17"/>
  <c r="E107" i="17"/>
  <c r="E106" i="17"/>
  <c r="E105" i="17"/>
  <c r="E104" i="17"/>
  <c r="E103" i="17"/>
  <c r="E102" i="17"/>
  <c r="C102" i="17"/>
  <c r="B102" i="17"/>
  <c r="E101" i="17"/>
  <c r="E100" i="17"/>
  <c r="E99" i="17"/>
  <c r="E98" i="17"/>
  <c r="E97" i="17"/>
  <c r="E96" i="17"/>
  <c r="E95" i="17"/>
  <c r="E94" i="17"/>
  <c r="E93" i="17"/>
  <c r="E92" i="17"/>
  <c r="E91" i="17"/>
  <c r="E90" i="17"/>
  <c r="E89" i="17"/>
  <c r="E88" i="17"/>
  <c r="E87" i="17"/>
  <c r="E86" i="17"/>
  <c r="E85" i="17"/>
  <c r="E84" i="17"/>
  <c r="E83" i="17"/>
  <c r="E82" i="17"/>
  <c r="E81" i="17"/>
  <c r="D81" i="17"/>
  <c r="D105" i="17" s="1"/>
  <c r="D129" i="17" s="1"/>
  <c r="D153" i="17" s="1"/>
  <c r="D177" i="17" s="1"/>
  <c r="D201" i="17" s="1"/>
  <c r="D225" i="17" s="1"/>
  <c r="D249" i="17" s="1"/>
  <c r="D273" i="17" s="1"/>
  <c r="D297" i="17" s="1"/>
  <c r="D321" i="17" s="1"/>
  <c r="D345" i="17" s="1"/>
  <c r="D369" i="17" s="1"/>
  <c r="D393" i="17" s="1"/>
  <c r="D417" i="17" s="1"/>
  <c r="D441" i="17" s="1"/>
  <c r="D465" i="17" s="1"/>
  <c r="D489" i="17" s="1"/>
  <c r="D513" i="17" s="1"/>
  <c r="D537" i="17" s="1"/>
  <c r="D561" i="17" s="1"/>
  <c r="D585" i="17" s="1"/>
  <c r="D609" i="17" s="1"/>
  <c r="D633" i="17" s="1"/>
  <c r="D657" i="17" s="1"/>
  <c r="D681" i="17" s="1"/>
  <c r="D705" i="17" s="1"/>
  <c r="D729" i="17" s="1"/>
  <c r="D753" i="17" s="1"/>
  <c r="D777" i="17" s="1"/>
  <c r="D801" i="17" s="1"/>
  <c r="D825" i="17" s="1"/>
  <c r="D849" i="17" s="1"/>
  <c r="D873" i="17" s="1"/>
  <c r="D897" i="17" s="1"/>
  <c r="D921" i="17" s="1"/>
  <c r="D945" i="17" s="1"/>
  <c r="D969" i="17" s="1"/>
  <c r="D993" i="17" s="1"/>
  <c r="D1017" i="17" s="1"/>
  <c r="D1041" i="17" s="1"/>
  <c r="D1065" i="17" s="1"/>
  <c r="D1089" i="17" s="1"/>
  <c r="D1113" i="17" s="1"/>
  <c r="D1137" i="17" s="1"/>
  <c r="D1161" i="17" s="1"/>
  <c r="E80" i="17"/>
  <c r="E79" i="17"/>
  <c r="E78" i="17"/>
  <c r="C78" i="17"/>
  <c r="B78" i="17"/>
  <c r="E77" i="17"/>
  <c r="E76" i="17"/>
  <c r="E75" i="17"/>
  <c r="E74" i="17"/>
  <c r="D74" i="17"/>
  <c r="D98" i="17" s="1"/>
  <c r="D122" i="17" s="1"/>
  <c r="D146" i="17" s="1"/>
  <c r="D170" i="17" s="1"/>
  <c r="D194" i="17" s="1"/>
  <c r="D218" i="17" s="1"/>
  <c r="D242" i="17" s="1"/>
  <c r="D266" i="17" s="1"/>
  <c r="D290" i="17" s="1"/>
  <c r="D314" i="17" s="1"/>
  <c r="D338" i="17" s="1"/>
  <c r="D362" i="17" s="1"/>
  <c r="D386" i="17" s="1"/>
  <c r="D410" i="17" s="1"/>
  <c r="D434" i="17" s="1"/>
  <c r="D458" i="17" s="1"/>
  <c r="D482" i="17" s="1"/>
  <c r="D506" i="17" s="1"/>
  <c r="D530" i="17" s="1"/>
  <c r="D554" i="17" s="1"/>
  <c r="D578" i="17" s="1"/>
  <c r="D602" i="17" s="1"/>
  <c r="D626" i="17" s="1"/>
  <c r="D650" i="17" s="1"/>
  <c r="D674" i="17" s="1"/>
  <c r="D698" i="17" s="1"/>
  <c r="D722" i="17" s="1"/>
  <c r="D746" i="17" s="1"/>
  <c r="D770" i="17" s="1"/>
  <c r="D794" i="17" s="1"/>
  <c r="D818" i="17" s="1"/>
  <c r="D842" i="17" s="1"/>
  <c r="D866" i="17" s="1"/>
  <c r="D890" i="17" s="1"/>
  <c r="D914" i="17" s="1"/>
  <c r="D938" i="17" s="1"/>
  <c r="D962" i="17" s="1"/>
  <c r="D986" i="17" s="1"/>
  <c r="D1010" i="17" s="1"/>
  <c r="D1034" i="17" s="1"/>
  <c r="D1058" i="17" s="1"/>
  <c r="D1082" i="17" s="1"/>
  <c r="D1106" i="17" s="1"/>
  <c r="D1130" i="17" s="1"/>
  <c r="D1154" i="17" s="1"/>
  <c r="D1178" i="17" s="1"/>
  <c r="E73" i="17"/>
  <c r="E72" i="17"/>
  <c r="E71" i="17"/>
  <c r="E70" i="17"/>
  <c r="D70" i="17"/>
  <c r="D94" i="17" s="1"/>
  <c r="D118" i="17" s="1"/>
  <c r="D142" i="17" s="1"/>
  <c r="D166" i="17" s="1"/>
  <c r="D190" i="17" s="1"/>
  <c r="D214" i="17" s="1"/>
  <c r="D238" i="17" s="1"/>
  <c r="D262" i="17" s="1"/>
  <c r="D286" i="17" s="1"/>
  <c r="D310" i="17" s="1"/>
  <c r="D334" i="17" s="1"/>
  <c r="D358" i="17" s="1"/>
  <c r="D382" i="17" s="1"/>
  <c r="D406" i="17" s="1"/>
  <c r="D430" i="17" s="1"/>
  <c r="D454" i="17" s="1"/>
  <c r="D478" i="17" s="1"/>
  <c r="D502" i="17" s="1"/>
  <c r="D526" i="17" s="1"/>
  <c r="D550" i="17" s="1"/>
  <c r="D574" i="17" s="1"/>
  <c r="D598" i="17" s="1"/>
  <c r="D622" i="17" s="1"/>
  <c r="D646" i="17" s="1"/>
  <c r="D670" i="17" s="1"/>
  <c r="D694" i="17" s="1"/>
  <c r="D718" i="17" s="1"/>
  <c r="D742" i="17" s="1"/>
  <c r="D766" i="17" s="1"/>
  <c r="D790" i="17" s="1"/>
  <c r="D814" i="17" s="1"/>
  <c r="D838" i="17" s="1"/>
  <c r="D862" i="17" s="1"/>
  <c r="D886" i="17" s="1"/>
  <c r="D910" i="17" s="1"/>
  <c r="D934" i="17" s="1"/>
  <c r="D958" i="17" s="1"/>
  <c r="D982" i="17" s="1"/>
  <c r="D1006" i="17" s="1"/>
  <c r="D1030" i="17" s="1"/>
  <c r="D1054" i="17" s="1"/>
  <c r="D1078" i="17" s="1"/>
  <c r="D1102" i="17" s="1"/>
  <c r="D1126" i="17" s="1"/>
  <c r="D1150" i="17" s="1"/>
  <c r="D1174" i="17" s="1"/>
  <c r="E69" i="17"/>
  <c r="E68" i="17"/>
  <c r="E67" i="17"/>
  <c r="E66" i="17"/>
  <c r="D66" i="17"/>
  <c r="D90" i="17" s="1"/>
  <c r="D114" i="17" s="1"/>
  <c r="D138" i="17" s="1"/>
  <c r="D162" i="17" s="1"/>
  <c r="D186" i="17" s="1"/>
  <c r="D210" i="17" s="1"/>
  <c r="D234" i="17" s="1"/>
  <c r="D258" i="17" s="1"/>
  <c r="D282" i="17" s="1"/>
  <c r="D306" i="17" s="1"/>
  <c r="D330" i="17" s="1"/>
  <c r="D354" i="17" s="1"/>
  <c r="D378" i="17" s="1"/>
  <c r="D402" i="17" s="1"/>
  <c r="D426" i="17" s="1"/>
  <c r="D450" i="17" s="1"/>
  <c r="D474" i="17" s="1"/>
  <c r="D498" i="17" s="1"/>
  <c r="D522" i="17" s="1"/>
  <c r="D546" i="17" s="1"/>
  <c r="D570" i="17" s="1"/>
  <c r="D594" i="17" s="1"/>
  <c r="D618" i="17" s="1"/>
  <c r="D642" i="17" s="1"/>
  <c r="D666" i="17" s="1"/>
  <c r="D690" i="17" s="1"/>
  <c r="D714" i="17" s="1"/>
  <c r="D738" i="17" s="1"/>
  <c r="D762" i="17" s="1"/>
  <c r="D786" i="17" s="1"/>
  <c r="D810" i="17" s="1"/>
  <c r="D834" i="17" s="1"/>
  <c r="D858" i="17" s="1"/>
  <c r="D882" i="17" s="1"/>
  <c r="D906" i="17" s="1"/>
  <c r="D930" i="17" s="1"/>
  <c r="D954" i="17" s="1"/>
  <c r="D978" i="17" s="1"/>
  <c r="D1002" i="17" s="1"/>
  <c r="D1026" i="17" s="1"/>
  <c r="D1050" i="17" s="1"/>
  <c r="D1074" i="17" s="1"/>
  <c r="D1098" i="17" s="1"/>
  <c r="D1122" i="17" s="1"/>
  <c r="D1146" i="17" s="1"/>
  <c r="D1170" i="17" s="1"/>
  <c r="E65" i="17"/>
  <c r="E64" i="17"/>
  <c r="E63" i="17"/>
  <c r="E62" i="17"/>
  <c r="D62" i="17"/>
  <c r="D86" i="17" s="1"/>
  <c r="D110" i="17" s="1"/>
  <c r="D134" i="17" s="1"/>
  <c r="D158" i="17" s="1"/>
  <c r="D182" i="17" s="1"/>
  <c r="D206" i="17" s="1"/>
  <c r="D230" i="17" s="1"/>
  <c r="D254" i="17" s="1"/>
  <c r="D278" i="17" s="1"/>
  <c r="D302" i="17" s="1"/>
  <c r="D326" i="17" s="1"/>
  <c r="D350" i="17" s="1"/>
  <c r="D374" i="17" s="1"/>
  <c r="D398" i="17" s="1"/>
  <c r="D422" i="17" s="1"/>
  <c r="D446" i="17" s="1"/>
  <c r="D470" i="17" s="1"/>
  <c r="D494" i="17" s="1"/>
  <c r="D518" i="17" s="1"/>
  <c r="D542" i="17" s="1"/>
  <c r="D566" i="17" s="1"/>
  <c r="D590" i="17" s="1"/>
  <c r="D614" i="17" s="1"/>
  <c r="D638" i="17" s="1"/>
  <c r="D662" i="17" s="1"/>
  <c r="D686" i="17" s="1"/>
  <c r="D710" i="17" s="1"/>
  <c r="D734" i="17" s="1"/>
  <c r="D758" i="17" s="1"/>
  <c r="D782" i="17" s="1"/>
  <c r="D806" i="17" s="1"/>
  <c r="D830" i="17" s="1"/>
  <c r="D854" i="17" s="1"/>
  <c r="D878" i="17" s="1"/>
  <c r="D902" i="17" s="1"/>
  <c r="D926" i="17" s="1"/>
  <c r="D950" i="17" s="1"/>
  <c r="D974" i="17" s="1"/>
  <c r="D998" i="17" s="1"/>
  <c r="D1022" i="17" s="1"/>
  <c r="D1046" i="17" s="1"/>
  <c r="D1070" i="17" s="1"/>
  <c r="D1094" i="17" s="1"/>
  <c r="D1118" i="17" s="1"/>
  <c r="D1142" i="17" s="1"/>
  <c r="D1166" i="17" s="1"/>
  <c r="E61" i="17"/>
  <c r="E60" i="17"/>
  <c r="E59" i="17"/>
  <c r="E58" i="17"/>
  <c r="D58" i="17"/>
  <c r="D82" i="17" s="1"/>
  <c r="D106" i="17" s="1"/>
  <c r="D130" i="17" s="1"/>
  <c r="D154" i="17" s="1"/>
  <c r="D178" i="17" s="1"/>
  <c r="D202" i="17" s="1"/>
  <c r="D226" i="17" s="1"/>
  <c r="D250" i="17" s="1"/>
  <c r="E57" i="17"/>
  <c r="E56" i="17"/>
  <c r="E55" i="17"/>
  <c r="E54" i="17"/>
  <c r="D54" i="17"/>
  <c r="D78" i="17" s="1"/>
  <c r="D102" i="17" s="1"/>
  <c r="D126" i="17" s="1"/>
  <c r="D150" i="17" s="1"/>
  <c r="D174" i="17" s="1"/>
  <c r="D198" i="17" s="1"/>
  <c r="D222" i="17" s="1"/>
  <c r="D246" i="17" s="1"/>
  <c r="D270" i="17" s="1"/>
  <c r="D294" i="17" s="1"/>
  <c r="D318" i="17" s="1"/>
  <c r="D342" i="17" s="1"/>
  <c r="D366" i="17" s="1"/>
  <c r="D390" i="17" s="1"/>
  <c r="D414" i="17" s="1"/>
  <c r="D438" i="17" s="1"/>
  <c r="D462" i="17" s="1"/>
  <c r="D486" i="17" s="1"/>
  <c r="D510" i="17" s="1"/>
  <c r="D534" i="17" s="1"/>
  <c r="D558" i="17" s="1"/>
  <c r="D582" i="17" s="1"/>
  <c r="D606" i="17" s="1"/>
  <c r="D630" i="17" s="1"/>
  <c r="D654" i="17" s="1"/>
  <c r="D678" i="17" s="1"/>
  <c r="D702" i="17" s="1"/>
  <c r="D726" i="17" s="1"/>
  <c r="D750" i="17" s="1"/>
  <c r="D774" i="17" s="1"/>
  <c r="D798" i="17" s="1"/>
  <c r="D822" i="17" s="1"/>
  <c r="D846" i="17" s="1"/>
  <c r="D870" i="17" s="1"/>
  <c r="D894" i="17" s="1"/>
  <c r="D918" i="17" s="1"/>
  <c r="D942" i="17" s="1"/>
  <c r="D966" i="17" s="1"/>
  <c r="D990" i="17" s="1"/>
  <c r="D1014" i="17" s="1"/>
  <c r="D1038" i="17" s="1"/>
  <c r="D1062" i="17" s="1"/>
  <c r="D1086" i="17" s="1"/>
  <c r="D1110" i="17" s="1"/>
  <c r="D1134" i="17" s="1"/>
  <c r="D1158" i="17" s="1"/>
  <c r="C54" i="17"/>
  <c r="B54" i="17"/>
  <c r="E53" i="17"/>
  <c r="D53" i="17"/>
  <c r="D77" i="17" s="1"/>
  <c r="D101" i="17" s="1"/>
  <c r="D125" i="17" s="1"/>
  <c r="D149" i="17" s="1"/>
  <c r="D173" i="17" s="1"/>
  <c r="D197" i="17" s="1"/>
  <c r="D221" i="17" s="1"/>
  <c r="D245" i="17" s="1"/>
  <c r="D269" i="17" s="1"/>
  <c r="D293" i="17" s="1"/>
  <c r="D317" i="17" s="1"/>
  <c r="D341" i="17" s="1"/>
  <c r="D365" i="17" s="1"/>
  <c r="D389" i="17" s="1"/>
  <c r="D413" i="17" s="1"/>
  <c r="D437" i="17" s="1"/>
  <c r="D461" i="17" s="1"/>
  <c r="D485" i="17" s="1"/>
  <c r="D509" i="17" s="1"/>
  <c r="D533" i="17" s="1"/>
  <c r="D557" i="17" s="1"/>
  <c r="D581" i="17" s="1"/>
  <c r="D605" i="17" s="1"/>
  <c r="D629" i="17" s="1"/>
  <c r="D653" i="17" s="1"/>
  <c r="D677" i="17" s="1"/>
  <c r="D701" i="17" s="1"/>
  <c r="D725" i="17" s="1"/>
  <c r="D749" i="17" s="1"/>
  <c r="D773" i="17" s="1"/>
  <c r="D797" i="17" s="1"/>
  <c r="D821" i="17" s="1"/>
  <c r="D845" i="17" s="1"/>
  <c r="D869" i="17" s="1"/>
  <c r="D893" i="17" s="1"/>
  <c r="D917" i="17" s="1"/>
  <c r="D941" i="17" s="1"/>
  <c r="D965" i="17" s="1"/>
  <c r="D989" i="17" s="1"/>
  <c r="D1013" i="17" s="1"/>
  <c r="D1037" i="17" s="1"/>
  <c r="D1061" i="17" s="1"/>
  <c r="D1085" i="17" s="1"/>
  <c r="D1109" i="17" s="1"/>
  <c r="D1133" i="17" s="1"/>
  <c r="D1157" i="17" s="1"/>
  <c r="D1181" i="17" s="1"/>
  <c r="E52" i="17"/>
  <c r="D52" i="17"/>
  <c r="D76" i="17" s="1"/>
  <c r="D100" i="17" s="1"/>
  <c r="D124" i="17" s="1"/>
  <c r="D148" i="17" s="1"/>
  <c r="D172" i="17" s="1"/>
  <c r="D196" i="17" s="1"/>
  <c r="D220" i="17" s="1"/>
  <c r="D244" i="17" s="1"/>
  <c r="D268" i="17" s="1"/>
  <c r="D292" i="17" s="1"/>
  <c r="D316" i="17" s="1"/>
  <c r="D340" i="17" s="1"/>
  <c r="D364" i="17" s="1"/>
  <c r="D388" i="17" s="1"/>
  <c r="D412" i="17" s="1"/>
  <c r="D436" i="17" s="1"/>
  <c r="D460" i="17" s="1"/>
  <c r="D484" i="17" s="1"/>
  <c r="D508" i="17" s="1"/>
  <c r="D532" i="17" s="1"/>
  <c r="D556" i="17" s="1"/>
  <c r="D580" i="17" s="1"/>
  <c r="D604" i="17" s="1"/>
  <c r="D628" i="17" s="1"/>
  <c r="D652" i="17" s="1"/>
  <c r="D676" i="17" s="1"/>
  <c r="D700" i="17" s="1"/>
  <c r="D724" i="17" s="1"/>
  <c r="D748" i="17" s="1"/>
  <c r="D772" i="17" s="1"/>
  <c r="D796" i="17" s="1"/>
  <c r="D820" i="17" s="1"/>
  <c r="D844" i="17" s="1"/>
  <c r="D868" i="17" s="1"/>
  <c r="D892" i="17" s="1"/>
  <c r="D916" i="17" s="1"/>
  <c r="D940" i="17" s="1"/>
  <c r="D964" i="17" s="1"/>
  <c r="D988" i="17" s="1"/>
  <c r="D1012" i="17" s="1"/>
  <c r="D1036" i="17" s="1"/>
  <c r="D1060" i="17" s="1"/>
  <c r="D1084" i="17" s="1"/>
  <c r="D1108" i="17" s="1"/>
  <c r="D1132" i="17" s="1"/>
  <c r="D1156" i="17" s="1"/>
  <c r="D1180" i="17" s="1"/>
  <c r="E51" i="17"/>
  <c r="D51" i="17"/>
  <c r="D75" i="17" s="1"/>
  <c r="D99" i="17" s="1"/>
  <c r="D123" i="17" s="1"/>
  <c r="D147" i="17" s="1"/>
  <c r="D171" i="17" s="1"/>
  <c r="D195" i="17" s="1"/>
  <c r="D219" i="17" s="1"/>
  <c r="D243" i="17" s="1"/>
  <c r="D267" i="17" s="1"/>
  <c r="D291" i="17" s="1"/>
  <c r="D315" i="17" s="1"/>
  <c r="D339" i="17" s="1"/>
  <c r="D363" i="17" s="1"/>
  <c r="D387" i="17" s="1"/>
  <c r="D411" i="17" s="1"/>
  <c r="D435" i="17" s="1"/>
  <c r="D459" i="17" s="1"/>
  <c r="D483" i="17" s="1"/>
  <c r="D507" i="17" s="1"/>
  <c r="D531" i="17" s="1"/>
  <c r="D555" i="17" s="1"/>
  <c r="D579" i="17" s="1"/>
  <c r="D603" i="17" s="1"/>
  <c r="D627" i="17" s="1"/>
  <c r="D651" i="17" s="1"/>
  <c r="D675" i="17" s="1"/>
  <c r="D699" i="17" s="1"/>
  <c r="D723" i="17" s="1"/>
  <c r="E50" i="17"/>
  <c r="D50" i="17"/>
  <c r="E49" i="17"/>
  <c r="D49" i="17"/>
  <c r="D73" i="17" s="1"/>
  <c r="D97" i="17" s="1"/>
  <c r="D121" i="17" s="1"/>
  <c r="D145" i="17" s="1"/>
  <c r="D169" i="17" s="1"/>
  <c r="D193" i="17" s="1"/>
  <c r="D217" i="17" s="1"/>
  <c r="D241" i="17" s="1"/>
  <c r="D265" i="17" s="1"/>
  <c r="D289" i="17" s="1"/>
  <c r="D313" i="17" s="1"/>
  <c r="D337" i="17" s="1"/>
  <c r="D361" i="17" s="1"/>
  <c r="D385" i="17" s="1"/>
  <c r="D409" i="17" s="1"/>
  <c r="D433" i="17" s="1"/>
  <c r="D457" i="17" s="1"/>
  <c r="D481" i="17" s="1"/>
  <c r="D505" i="17" s="1"/>
  <c r="D529" i="17" s="1"/>
  <c r="D553" i="17" s="1"/>
  <c r="D577" i="17" s="1"/>
  <c r="D601" i="17" s="1"/>
  <c r="D625" i="17" s="1"/>
  <c r="D649" i="17" s="1"/>
  <c r="D673" i="17" s="1"/>
  <c r="D697" i="17" s="1"/>
  <c r="D721" i="17" s="1"/>
  <c r="D745" i="17" s="1"/>
  <c r="D769" i="17" s="1"/>
  <c r="D793" i="17" s="1"/>
  <c r="D817" i="17" s="1"/>
  <c r="D841" i="17" s="1"/>
  <c r="D865" i="17" s="1"/>
  <c r="D889" i="17" s="1"/>
  <c r="D913" i="17" s="1"/>
  <c r="D937" i="17" s="1"/>
  <c r="D961" i="17" s="1"/>
  <c r="D985" i="17" s="1"/>
  <c r="D1009" i="17" s="1"/>
  <c r="D1033" i="17" s="1"/>
  <c r="D1057" i="17" s="1"/>
  <c r="D1081" i="17" s="1"/>
  <c r="D1105" i="17" s="1"/>
  <c r="D1129" i="17" s="1"/>
  <c r="D1153" i="17" s="1"/>
  <c r="D1177" i="17" s="1"/>
  <c r="E48" i="17"/>
  <c r="D48" i="17"/>
  <c r="D72" i="17" s="1"/>
  <c r="D96" i="17" s="1"/>
  <c r="D120" i="17" s="1"/>
  <c r="D144" i="17" s="1"/>
  <c r="D168" i="17" s="1"/>
  <c r="D192" i="17" s="1"/>
  <c r="D216" i="17" s="1"/>
  <c r="D240" i="17" s="1"/>
  <c r="D264" i="17" s="1"/>
  <c r="D288" i="17" s="1"/>
  <c r="D312" i="17" s="1"/>
  <c r="D336" i="17" s="1"/>
  <c r="D360" i="17" s="1"/>
  <c r="D384" i="17" s="1"/>
  <c r="D408" i="17" s="1"/>
  <c r="D432" i="17" s="1"/>
  <c r="D456" i="17" s="1"/>
  <c r="D480" i="17" s="1"/>
  <c r="D504" i="17" s="1"/>
  <c r="D528" i="17" s="1"/>
  <c r="D552" i="17" s="1"/>
  <c r="D576" i="17" s="1"/>
  <c r="D600" i="17" s="1"/>
  <c r="D624" i="17" s="1"/>
  <c r="D648" i="17" s="1"/>
  <c r="D672" i="17" s="1"/>
  <c r="D696" i="17" s="1"/>
  <c r="D720" i="17" s="1"/>
  <c r="D744" i="17" s="1"/>
  <c r="D768" i="17" s="1"/>
  <c r="D792" i="17" s="1"/>
  <c r="D816" i="17" s="1"/>
  <c r="D840" i="17" s="1"/>
  <c r="D864" i="17" s="1"/>
  <c r="D888" i="17" s="1"/>
  <c r="D912" i="17" s="1"/>
  <c r="D936" i="17" s="1"/>
  <c r="D960" i="17" s="1"/>
  <c r="D984" i="17" s="1"/>
  <c r="D1008" i="17" s="1"/>
  <c r="D1032" i="17" s="1"/>
  <c r="D1056" i="17" s="1"/>
  <c r="D1080" i="17" s="1"/>
  <c r="D1104" i="17" s="1"/>
  <c r="D1128" i="17" s="1"/>
  <c r="D1152" i="17" s="1"/>
  <c r="D1176" i="17" s="1"/>
  <c r="E47" i="17"/>
  <c r="D47" i="17"/>
  <c r="D71" i="17" s="1"/>
  <c r="D95" i="17" s="1"/>
  <c r="D119" i="17" s="1"/>
  <c r="D143" i="17" s="1"/>
  <c r="D167" i="17" s="1"/>
  <c r="D191" i="17" s="1"/>
  <c r="D215" i="17" s="1"/>
  <c r="D239" i="17" s="1"/>
  <c r="D263" i="17" s="1"/>
  <c r="D287" i="17" s="1"/>
  <c r="D311" i="17" s="1"/>
  <c r="D335" i="17" s="1"/>
  <c r="D359" i="17" s="1"/>
  <c r="D383" i="17" s="1"/>
  <c r="D407" i="17" s="1"/>
  <c r="D431" i="17" s="1"/>
  <c r="D455" i="17" s="1"/>
  <c r="D479" i="17" s="1"/>
  <c r="D503" i="17" s="1"/>
  <c r="D527" i="17" s="1"/>
  <c r="D551" i="17" s="1"/>
  <c r="D575" i="17" s="1"/>
  <c r="D599" i="17" s="1"/>
  <c r="D623" i="17" s="1"/>
  <c r="D647" i="17" s="1"/>
  <c r="D671" i="17" s="1"/>
  <c r="D695" i="17" s="1"/>
  <c r="D719" i="17" s="1"/>
  <c r="D743" i="17" s="1"/>
  <c r="D767" i="17" s="1"/>
  <c r="D791" i="17" s="1"/>
  <c r="D815" i="17" s="1"/>
  <c r="D839" i="17" s="1"/>
  <c r="D863" i="17" s="1"/>
  <c r="D887" i="17" s="1"/>
  <c r="D911" i="17" s="1"/>
  <c r="D935" i="17" s="1"/>
  <c r="D959" i="17" s="1"/>
  <c r="D983" i="17" s="1"/>
  <c r="D1007" i="17" s="1"/>
  <c r="D1031" i="17" s="1"/>
  <c r="D1055" i="17" s="1"/>
  <c r="D1079" i="17" s="1"/>
  <c r="D1103" i="17" s="1"/>
  <c r="D1127" i="17" s="1"/>
  <c r="D1151" i="17" s="1"/>
  <c r="D1175" i="17" s="1"/>
  <c r="E46" i="17"/>
  <c r="D46" i="17"/>
  <c r="E45" i="17"/>
  <c r="D45" i="17"/>
  <c r="D69" i="17" s="1"/>
  <c r="D93" i="17" s="1"/>
  <c r="D117" i="17" s="1"/>
  <c r="D141" i="17" s="1"/>
  <c r="D165" i="17" s="1"/>
  <c r="D189" i="17" s="1"/>
  <c r="D213" i="17" s="1"/>
  <c r="D237" i="17" s="1"/>
  <c r="D261" i="17" s="1"/>
  <c r="D285" i="17" s="1"/>
  <c r="D309" i="17" s="1"/>
  <c r="D333" i="17" s="1"/>
  <c r="D357" i="17" s="1"/>
  <c r="D381" i="17" s="1"/>
  <c r="D405" i="17" s="1"/>
  <c r="D429" i="17" s="1"/>
  <c r="D453" i="17" s="1"/>
  <c r="D477" i="17" s="1"/>
  <c r="D501" i="17" s="1"/>
  <c r="D525" i="17" s="1"/>
  <c r="D549" i="17" s="1"/>
  <c r="D573" i="17" s="1"/>
  <c r="D597" i="17" s="1"/>
  <c r="D621" i="17" s="1"/>
  <c r="D645" i="17" s="1"/>
  <c r="D669" i="17" s="1"/>
  <c r="D693" i="17" s="1"/>
  <c r="D717" i="17" s="1"/>
  <c r="D741" i="17" s="1"/>
  <c r="D765" i="17" s="1"/>
  <c r="D789" i="17" s="1"/>
  <c r="D813" i="17" s="1"/>
  <c r="D837" i="17" s="1"/>
  <c r="D861" i="17" s="1"/>
  <c r="D885" i="17" s="1"/>
  <c r="D909" i="17" s="1"/>
  <c r="D933" i="17" s="1"/>
  <c r="D957" i="17" s="1"/>
  <c r="D981" i="17" s="1"/>
  <c r="D1005" i="17" s="1"/>
  <c r="D1029" i="17" s="1"/>
  <c r="D1053" i="17" s="1"/>
  <c r="D1077" i="17" s="1"/>
  <c r="D1101" i="17" s="1"/>
  <c r="D1125" i="17" s="1"/>
  <c r="D1149" i="17" s="1"/>
  <c r="D1173" i="17" s="1"/>
  <c r="E44" i="17"/>
  <c r="D44" i="17"/>
  <c r="D68" i="17" s="1"/>
  <c r="D92" i="17" s="1"/>
  <c r="E43" i="17"/>
  <c r="D43" i="17"/>
  <c r="D67" i="17" s="1"/>
  <c r="D91" i="17" s="1"/>
  <c r="D115" i="17" s="1"/>
  <c r="D139" i="17" s="1"/>
  <c r="D163" i="17" s="1"/>
  <c r="D187" i="17" s="1"/>
  <c r="D211" i="17" s="1"/>
  <c r="D235" i="17" s="1"/>
  <c r="D259" i="17" s="1"/>
  <c r="E42" i="17"/>
  <c r="D42" i="17"/>
  <c r="E41" i="17"/>
  <c r="D41" i="17"/>
  <c r="D65" i="17" s="1"/>
  <c r="D89" i="17" s="1"/>
  <c r="D113" i="17" s="1"/>
  <c r="D137" i="17" s="1"/>
  <c r="D161" i="17" s="1"/>
  <c r="D185" i="17" s="1"/>
  <c r="D209" i="17" s="1"/>
  <c r="D233" i="17" s="1"/>
  <c r="D257" i="17" s="1"/>
  <c r="D281" i="17" s="1"/>
  <c r="D305" i="17" s="1"/>
  <c r="D329" i="17" s="1"/>
  <c r="D353" i="17" s="1"/>
  <c r="D377" i="17" s="1"/>
  <c r="D401" i="17" s="1"/>
  <c r="D425" i="17" s="1"/>
  <c r="D449" i="17" s="1"/>
  <c r="D473" i="17" s="1"/>
  <c r="D497" i="17" s="1"/>
  <c r="D521" i="17" s="1"/>
  <c r="D545" i="17" s="1"/>
  <c r="D569" i="17" s="1"/>
  <c r="D593" i="17" s="1"/>
  <c r="D617" i="17" s="1"/>
  <c r="D641" i="17" s="1"/>
  <c r="D665" i="17" s="1"/>
  <c r="D689" i="17" s="1"/>
  <c r="D713" i="17" s="1"/>
  <c r="D737" i="17" s="1"/>
  <c r="D761" i="17" s="1"/>
  <c r="D785" i="17" s="1"/>
  <c r="D809" i="17" s="1"/>
  <c r="D833" i="17" s="1"/>
  <c r="D857" i="17" s="1"/>
  <c r="D881" i="17" s="1"/>
  <c r="D905" i="17" s="1"/>
  <c r="D929" i="17" s="1"/>
  <c r="D953" i="17" s="1"/>
  <c r="D977" i="17" s="1"/>
  <c r="D1001" i="17" s="1"/>
  <c r="D1025" i="17" s="1"/>
  <c r="D1049" i="17" s="1"/>
  <c r="D1073" i="17" s="1"/>
  <c r="D1097" i="17" s="1"/>
  <c r="D1121" i="17" s="1"/>
  <c r="D1145" i="17" s="1"/>
  <c r="D1169" i="17" s="1"/>
  <c r="E40" i="17"/>
  <c r="D40" i="17"/>
  <c r="D64" i="17" s="1"/>
  <c r="D88" i="17" s="1"/>
  <c r="E39" i="17"/>
  <c r="D39" i="17"/>
  <c r="D63" i="17" s="1"/>
  <c r="D87" i="17" s="1"/>
  <c r="D111" i="17" s="1"/>
  <c r="E38" i="17"/>
  <c r="D38" i="17"/>
  <c r="E37" i="17"/>
  <c r="D37" i="17"/>
  <c r="D61" i="17" s="1"/>
  <c r="D85" i="17" s="1"/>
  <c r="D109" i="17" s="1"/>
  <c r="D133" i="17" s="1"/>
  <c r="D157" i="17" s="1"/>
  <c r="D181" i="17" s="1"/>
  <c r="D205" i="17" s="1"/>
  <c r="D229" i="17" s="1"/>
  <c r="D253" i="17" s="1"/>
  <c r="D277" i="17" s="1"/>
  <c r="D301" i="17" s="1"/>
  <c r="D325" i="17" s="1"/>
  <c r="D349" i="17" s="1"/>
  <c r="D373" i="17" s="1"/>
  <c r="D397" i="17" s="1"/>
  <c r="D421" i="17" s="1"/>
  <c r="D445" i="17" s="1"/>
  <c r="D469" i="17" s="1"/>
  <c r="D493" i="17" s="1"/>
  <c r="D517" i="17" s="1"/>
  <c r="D541" i="17" s="1"/>
  <c r="D565" i="17" s="1"/>
  <c r="D589" i="17" s="1"/>
  <c r="D613" i="17" s="1"/>
  <c r="D637" i="17" s="1"/>
  <c r="D661" i="17" s="1"/>
  <c r="D685" i="17" s="1"/>
  <c r="D709" i="17" s="1"/>
  <c r="D733" i="17" s="1"/>
  <c r="D757" i="17" s="1"/>
  <c r="D781" i="17" s="1"/>
  <c r="D805" i="17" s="1"/>
  <c r="D829" i="17" s="1"/>
  <c r="D853" i="17" s="1"/>
  <c r="D877" i="17" s="1"/>
  <c r="D901" i="17" s="1"/>
  <c r="D925" i="17" s="1"/>
  <c r="D949" i="17" s="1"/>
  <c r="D973" i="17" s="1"/>
  <c r="D997" i="17" s="1"/>
  <c r="D1021" i="17" s="1"/>
  <c r="D1045" i="17" s="1"/>
  <c r="D1069" i="17" s="1"/>
  <c r="D1093" i="17" s="1"/>
  <c r="D1117" i="17" s="1"/>
  <c r="D1141" i="17" s="1"/>
  <c r="D1165" i="17" s="1"/>
  <c r="E36" i="17"/>
  <c r="D36" i="17"/>
  <c r="D60" i="17" s="1"/>
  <c r="D84" i="17" s="1"/>
  <c r="D108" i="17" s="1"/>
  <c r="D132" i="17" s="1"/>
  <c r="D156" i="17" s="1"/>
  <c r="D180" i="17" s="1"/>
  <c r="D204" i="17" s="1"/>
  <c r="D228" i="17" s="1"/>
  <c r="D252" i="17" s="1"/>
  <c r="D276" i="17" s="1"/>
  <c r="D300" i="17" s="1"/>
  <c r="D324" i="17" s="1"/>
  <c r="D348" i="17" s="1"/>
  <c r="D372" i="17" s="1"/>
  <c r="D396" i="17" s="1"/>
  <c r="D420" i="17" s="1"/>
  <c r="D444" i="17" s="1"/>
  <c r="D468" i="17" s="1"/>
  <c r="D492" i="17" s="1"/>
  <c r="D516" i="17" s="1"/>
  <c r="D540" i="17" s="1"/>
  <c r="D564" i="17" s="1"/>
  <c r="D588" i="17" s="1"/>
  <c r="D612" i="17" s="1"/>
  <c r="D636" i="17" s="1"/>
  <c r="D660" i="17" s="1"/>
  <c r="D684" i="17" s="1"/>
  <c r="D708" i="17" s="1"/>
  <c r="D732" i="17" s="1"/>
  <c r="D756" i="17" s="1"/>
  <c r="D780" i="17" s="1"/>
  <c r="D804" i="17" s="1"/>
  <c r="D828" i="17" s="1"/>
  <c r="D852" i="17" s="1"/>
  <c r="D876" i="17" s="1"/>
  <c r="D900" i="17" s="1"/>
  <c r="D924" i="17" s="1"/>
  <c r="D948" i="17" s="1"/>
  <c r="D972" i="17" s="1"/>
  <c r="D996" i="17" s="1"/>
  <c r="D1020" i="17" s="1"/>
  <c r="D1044" i="17" s="1"/>
  <c r="D1068" i="17" s="1"/>
  <c r="D1092" i="17" s="1"/>
  <c r="D1116" i="17" s="1"/>
  <c r="D1140" i="17" s="1"/>
  <c r="D1164" i="17" s="1"/>
  <c r="E35" i="17"/>
  <c r="D35" i="17"/>
  <c r="D59" i="17" s="1"/>
  <c r="D83" i="17" s="1"/>
  <c r="D107" i="17" s="1"/>
  <c r="D131" i="17" s="1"/>
  <c r="D155" i="17" s="1"/>
  <c r="D179" i="17" s="1"/>
  <c r="D203" i="17" s="1"/>
  <c r="D227" i="17" s="1"/>
  <c r="D251" i="17" s="1"/>
  <c r="D275" i="17" s="1"/>
  <c r="D299" i="17" s="1"/>
  <c r="D323" i="17" s="1"/>
  <c r="D347" i="17" s="1"/>
  <c r="D371" i="17" s="1"/>
  <c r="D395" i="17" s="1"/>
  <c r="D419" i="17" s="1"/>
  <c r="D443" i="17" s="1"/>
  <c r="D467" i="17" s="1"/>
  <c r="D491" i="17" s="1"/>
  <c r="D515" i="17" s="1"/>
  <c r="D539" i="17" s="1"/>
  <c r="D563" i="17" s="1"/>
  <c r="D587" i="17" s="1"/>
  <c r="D611" i="17" s="1"/>
  <c r="D635" i="17" s="1"/>
  <c r="D659" i="17" s="1"/>
  <c r="D683" i="17" s="1"/>
  <c r="D707" i="17" s="1"/>
  <c r="D731" i="17" s="1"/>
  <c r="D755" i="17" s="1"/>
  <c r="D779" i="17" s="1"/>
  <c r="D803" i="17" s="1"/>
  <c r="D827" i="17" s="1"/>
  <c r="D851" i="17" s="1"/>
  <c r="D875" i="17" s="1"/>
  <c r="D899" i="17" s="1"/>
  <c r="D923" i="17" s="1"/>
  <c r="D947" i="17" s="1"/>
  <c r="D971" i="17" s="1"/>
  <c r="D995" i="17" s="1"/>
  <c r="D1019" i="17" s="1"/>
  <c r="D1043" i="17" s="1"/>
  <c r="D1067" i="17" s="1"/>
  <c r="D1091" i="17" s="1"/>
  <c r="D1115" i="17" s="1"/>
  <c r="D1139" i="17" s="1"/>
  <c r="D1163" i="17" s="1"/>
  <c r="E34" i="17"/>
  <c r="D34" i="17"/>
  <c r="E33" i="17"/>
  <c r="D33" i="17"/>
  <c r="D57" i="17" s="1"/>
  <c r="E32" i="17"/>
  <c r="D32" i="17"/>
  <c r="D56" i="17" s="1"/>
  <c r="D80" i="17" s="1"/>
  <c r="D104" i="17" s="1"/>
  <c r="D128" i="17" s="1"/>
  <c r="D152" i="17" s="1"/>
  <c r="D176" i="17" s="1"/>
  <c r="D200" i="17" s="1"/>
  <c r="D224" i="17" s="1"/>
  <c r="D248" i="17" s="1"/>
  <c r="D272" i="17" s="1"/>
  <c r="D296" i="17" s="1"/>
  <c r="D320" i="17" s="1"/>
  <c r="D344" i="17" s="1"/>
  <c r="D368" i="17" s="1"/>
  <c r="D392" i="17" s="1"/>
  <c r="D416" i="17" s="1"/>
  <c r="D440" i="17" s="1"/>
  <c r="D464" i="17" s="1"/>
  <c r="D488" i="17" s="1"/>
  <c r="D512" i="17" s="1"/>
  <c r="D536" i="17" s="1"/>
  <c r="D560" i="17" s="1"/>
  <c r="D584" i="17" s="1"/>
  <c r="D608" i="17" s="1"/>
  <c r="D632" i="17" s="1"/>
  <c r="D656" i="17" s="1"/>
  <c r="D680" i="17" s="1"/>
  <c r="D704" i="17" s="1"/>
  <c r="D728" i="17" s="1"/>
  <c r="D752" i="17" s="1"/>
  <c r="D776" i="17" s="1"/>
  <c r="D800" i="17" s="1"/>
  <c r="D824" i="17" s="1"/>
  <c r="D848" i="17" s="1"/>
  <c r="D872" i="17" s="1"/>
  <c r="D896" i="17" s="1"/>
  <c r="D920" i="17" s="1"/>
  <c r="D944" i="17" s="1"/>
  <c r="D968" i="17" s="1"/>
  <c r="D992" i="17" s="1"/>
  <c r="D1016" i="17" s="1"/>
  <c r="D1040" i="17" s="1"/>
  <c r="D1064" i="17" s="1"/>
  <c r="D1088" i="17" s="1"/>
  <c r="D1112" i="17" s="1"/>
  <c r="D1136" i="17" s="1"/>
  <c r="D1160" i="17" s="1"/>
  <c r="E31" i="17"/>
  <c r="D31" i="17"/>
  <c r="D55" i="17" s="1"/>
  <c r="D79" i="17" s="1"/>
  <c r="D103" i="17" s="1"/>
  <c r="D127" i="17" s="1"/>
  <c r="D151" i="17" s="1"/>
  <c r="D175" i="17" s="1"/>
  <c r="D199" i="17" s="1"/>
  <c r="D223" i="17" s="1"/>
  <c r="D247" i="17" s="1"/>
  <c r="D271" i="17" s="1"/>
  <c r="D295" i="17" s="1"/>
  <c r="D319" i="17" s="1"/>
  <c r="D343" i="17" s="1"/>
  <c r="D367" i="17" s="1"/>
  <c r="D391" i="17" s="1"/>
  <c r="D415" i="17" s="1"/>
  <c r="D439" i="17" s="1"/>
  <c r="D463" i="17" s="1"/>
  <c r="D487" i="17" s="1"/>
  <c r="D511" i="17" s="1"/>
  <c r="D535" i="17" s="1"/>
  <c r="D559" i="17" s="1"/>
  <c r="D583" i="17" s="1"/>
  <c r="D607" i="17" s="1"/>
  <c r="D631" i="17" s="1"/>
  <c r="D655" i="17" s="1"/>
  <c r="D679" i="17" s="1"/>
  <c r="D703" i="17" s="1"/>
  <c r="D727" i="17" s="1"/>
  <c r="D751" i="17" s="1"/>
  <c r="D775" i="17" s="1"/>
  <c r="D799" i="17" s="1"/>
  <c r="D823" i="17" s="1"/>
  <c r="D847" i="17" s="1"/>
  <c r="D871" i="17" s="1"/>
  <c r="D895" i="17" s="1"/>
  <c r="D919" i="17" s="1"/>
  <c r="D943" i="17" s="1"/>
  <c r="D967" i="17" s="1"/>
  <c r="D991" i="17" s="1"/>
  <c r="D1015" i="17" s="1"/>
  <c r="D1039" i="17" s="1"/>
  <c r="D1063" i="17" s="1"/>
  <c r="D1087" i="17" s="1"/>
  <c r="D1111" i="17" s="1"/>
  <c r="D1135" i="17" s="1"/>
  <c r="D1159" i="17" s="1"/>
  <c r="E30" i="17"/>
  <c r="D30" i="17"/>
  <c r="C30" i="17"/>
  <c r="B30" i="17"/>
  <c r="E1181" i="18"/>
  <c r="E1180" i="18"/>
  <c r="E1179" i="18"/>
  <c r="E1178" i="18"/>
  <c r="E1177" i="18"/>
  <c r="E1176" i="18"/>
  <c r="E1175" i="18"/>
  <c r="E1174" i="18"/>
  <c r="E1173" i="18"/>
  <c r="E1172" i="18"/>
  <c r="E1171" i="18"/>
  <c r="E1170" i="18"/>
  <c r="E1169" i="18"/>
  <c r="E1168" i="18"/>
  <c r="E1167" i="18"/>
  <c r="E1166" i="18"/>
  <c r="E1165" i="18"/>
  <c r="E1164" i="18"/>
  <c r="E1163" i="18"/>
  <c r="E1162" i="18"/>
  <c r="E1161" i="18"/>
  <c r="E1160" i="18"/>
  <c r="E1159" i="18"/>
  <c r="E1158" i="18"/>
  <c r="C1158" i="18"/>
  <c r="E1157" i="18"/>
  <c r="E1156" i="18"/>
  <c r="E1155" i="18"/>
  <c r="E1154" i="18"/>
  <c r="E1153" i="18"/>
  <c r="E1152" i="18"/>
  <c r="E1151" i="18"/>
  <c r="E1150" i="18"/>
  <c r="E1149" i="18"/>
  <c r="E1148" i="18"/>
  <c r="E1147" i="18"/>
  <c r="E1146" i="18"/>
  <c r="E1145" i="18"/>
  <c r="E1144" i="18"/>
  <c r="E1143" i="18"/>
  <c r="E1142" i="18"/>
  <c r="E1141" i="18"/>
  <c r="E1140" i="18"/>
  <c r="E1139" i="18"/>
  <c r="E1138" i="18"/>
  <c r="E1137" i="18"/>
  <c r="E1136" i="18"/>
  <c r="E1135" i="18"/>
  <c r="E1134" i="18"/>
  <c r="C1134" i="18"/>
  <c r="B1134" i="18"/>
  <c r="E1133" i="18"/>
  <c r="E1132" i="18"/>
  <c r="E1131" i="18"/>
  <c r="E1130" i="18"/>
  <c r="E1129" i="18"/>
  <c r="E1128" i="18"/>
  <c r="E1127" i="18"/>
  <c r="E1126" i="18"/>
  <c r="E1125" i="18"/>
  <c r="E1124" i="18"/>
  <c r="E1123" i="18"/>
  <c r="E1122" i="18"/>
  <c r="E1121" i="18"/>
  <c r="E1120" i="18"/>
  <c r="E1119" i="18"/>
  <c r="E1118" i="18"/>
  <c r="E1117" i="18"/>
  <c r="E1116" i="18"/>
  <c r="E1115" i="18"/>
  <c r="E1114" i="18"/>
  <c r="E1113" i="18"/>
  <c r="E1112" i="18"/>
  <c r="E1111" i="18"/>
  <c r="E1110" i="18"/>
  <c r="C1110" i="18"/>
  <c r="B1110" i="18"/>
  <c r="E1109" i="18"/>
  <c r="E1108" i="18"/>
  <c r="E1107" i="18"/>
  <c r="E1106" i="18"/>
  <c r="E1105" i="18"/>
  <c r="E1104" i="18"/>
  <c r="E1103" i="18"/>
  <c r="E1102" i="18"/>
  <c r="E1101" i="18"/>
  <c r="E1100" i="18"/>
  <c r="E1099" i="18"/>
  <c r="E1098" i="18"/>
  <c r="E1097" i="18"/>
  <c r="E1096" i="18"/>
  <c r="E1095" i="18"/>
  <c r="E1094" i="18"/>
  <c r="E1093" i="18"/>
  <c r="E1092" i="18"/>
  <c r="E1091" i="18"/>
  <c r="E1090" i="18"/>
  <c r="E1089" i="18"/>
  <c r="E1088" i="18"/>
  <c r="E1087" i="18"/>
  <c r="E1086" i="18"/>
  <c r="C1086" i="18"/>
  <c r="B1086" i="18"/>
  <c r="E1085" i="18"/>
  <c r="E1084" i="18"/>
  <c r="E1083" i="18"/>
  <c r="E1082" i="18"/>
  <c r="E1081" i="18"/>
  <c r="E1080" i="18"/>
  <c r="E1079" i="18"/>
  <c r="E1078" i="18"/>
  <c r="E1077" i="18"/>
  <c r="E1076" i="18"/>
  <c r="E1075" i="18"/>
  <c r="E1074" i="18"/>
  <c r="E1073" i="18"/>
  <c r="E1072" i="18"/>
  <c r="E1071" i="18"/>
  <c r="E1070" i="18"/>
  <c r="E1069" i="18"/>
  <c r="E1068" i="18"/>
  <c r="E1067" i="18"/>
  <c r="E1066" i="18"/>
  <c r="E1065" i="18"/>
  <c r="E1064" i="18"/>
  <c r="E1063" i="18"/>
  <c r="E1062" i="18"/>
  <c r="C1062" i="18"/>
  <c r="B1062" i="18"/>
  <c r="E1061" i="18"/>
  <c r="E1060" i="18"/>
  <c r="E1059" i="18"/>
  <c r="E1058" i="18"/>
  <c r="E1057" i="18"/>
  <c r="E1056" i="18"/>
  <c r="E1055" i="18"/>
  <c r="E1054" i="18"/>
  <c r="E1053" i="18"/>
  <c r="E1052" i="18"/>
  <c r="E1051" i="18"/>
  <c r="E1050" i="18"/>
  <c r="E1049" i="18"/>
  <c r="E1048" i="18"/>
  <c r="E1047" i="18"/>
  <c r="E1046" i="18"/>
  <c r="E1045" i="18"/>
  <c r="E1044" i="18"/>
  <c r="E1043" i="18"/>
  <c r="E1042" i="18"/>
  <c r="E1041" i="18"/>
  <c r="E1040" i="18"/>
  <c r="E1039" i="18"/>
  <c r="E1038" i="18"/>
  <c r="C1038" i="18"/>
  <c r="B1038" i="18"/>
  <c r="E1037" i="18"/>
  <c r="E1036" i="18"/>
  <c r="E1035" i="18"/>
  <c r="E1034" i="18"/>
  <c r="E1033" i="18"/>
  <c r="E1032" i="18"/>
  <c r="E1031" i="18"/>
  <c r="E1030" i="18"/>
  <c r="E1029" i="18"/>
  <c r="E1028" i="18"/>
  <c r="E1027" i="18"/>
  <c r="E1026" i="18"/>
  <c r="E1025" i="18"/>
  <c r="E1024" i="18"/>
  <c r="E1023" i="18"/>
  <c r="E1022" i="18"/>
  <c r="E1021" i="18"/>
  <c r="E1020" i="18"/>
  <c r="E1019" i="18"/>
  <c r="E1018" i="18"/>
  <c r="E1017" i="18"/>
  <c r="E1016" i="18"/>
  <c r="E1015" i="18"/>
  <c r="E1014" i="18"/>
  <c r="C1014" i="18"/>
  <c r="B1014" i="18"/>
  <c r="E1013" i="18"/>
  <c r="E1012" i="18"/>
  <c r="E1011" i="18"/>
  <c r="E1010" i="18"/>
  <c r="E1009" i="18"/>
  <c r="E1008" i="18"/>
  <c r="E1007" i="18"/>
  <c r="E1006" i="18"/>
  <c r="E1005" i="18"/>
  <c r="E1004" i="18"/>
  <c r="E1003" i="18"/>
  <c r="E1002" i="18"/>
  <c r="E1001" i="18"/>
  <c r="E1000" i="18"/>
  <c r="E999" i="18"/>
  <c r="E998" i="18"/>
  <c r="E997" i="18"/>
  <c r="E996" i="18"/>
  <c r="E995" i="18"/>
  <c r="E994" i="18"/>
  <c r="E993" i="18"/>
  <c r="E992" i="18"/>
  <c r="E991" i="18"/>
  <c r="E990" i="18"/>
  <c r="C990" i="18"/>
  <c r="B990" i="18"/>
  <c r="E989" i="18"/>
  <c r="E988" i="18"/>
  <c r="E987" i="18"/>
  <c r="E986" i="18"/>
  <c r="E985" i="18"/>
  <c r="E984" i="18"/>
  <c r="E983" i="18"/>
  <c r="E982" i="18"/>
  <c r="E981" i="18"/>
  <c r="E980" i="18"/>
  <c r="E979" i="18"/>
  <c r="E978" i="18"/>
  <c r="E977" i="18"/>
  <c r="E976" i="18"/>
  <c r="E975" i="18"/>
  <c r="E974" i="18"/>
  <c r="E973" i="18"/>
  <c r="E972" i="18"/>
  <c r="E971" i="18"/>
  <c r="E970" i="18"/>
  <c r="E969" i="18"/>
  <c r="E968" i="18"/>
  <c r="E967" i="18"/>
  <c r="E966" i="18"/>
  <c r="C966" i="18"/>
  <c r="B966" i="18"/>
  <c r="E965" i="18"/>
  <c r="E964" i="18"/>
  <c r="E963" i="18"/>
  <c r="E962" i="18"/>
  <c r="E961" i="18"/>
  <c r="E960" i="18"/>
  <c r="E959" i="18"/>
  <c r="E958" i="18"/>
  <c r="E957" i="18"/>
  <c r="E956" i="18"/>
  <c r="E955" i="18"/>
  <c r="E954" i="18"/>
  <c r="E953" i="18"/>
  <c r="E952" i="18"/>
  <c r="E951" i="18"/>
  <c r="E950" i="18"/>
  <c r="E949" i="18"/>
  <c r="E948" i="18"/>
  <c r="E947" i="18"/>
  <c r="E946" i="18"/>
  <c r="E945" i="18"/>
  <c r="E944" i="18"/>
  <c r="E943" i="18"/>
  <c r="E942" i="18"/>
  <c r="C942" i="18"/>
  <c r="B942" i="18"/>
  <c r="E941" i="18"/>
  <c r="E940" i="18"/>
  <c r="E939" i="18"/>
  <c r="E938" i="18"/>
  <c r="E937" i="18"/>
  <c r="E936" i="18"/>
  <c r="E935" i="18"/>
  <c r="E934" i="18"/>
  <c r="E933" i="18"/>
  <c r="E932" i="18"/>
  <c r="E931" i="18"/>
  <c r="E930" i="18"/>
  <c r="E929" i="18"/>
  <c r="E928" i="18"/>
  <c r="E927" i="18"/>
  <c r="E926" i="18"/>
  <c r="E925" i="18"/>
  <c r="E924" i="18"/>
  <c r="E923" i="18"/>
  <c r="E922" i="18"/>
  <c r="E921" i="18"/>
  <c r="E920" i="18"/>
  <c r="E919" i="18"/>
  <c r="E918" i="18"/>
  <c r="C918" i="18"/>
  <c r="B918" i="18"/>
  <c r="E917" i="18"/>
  <c r="E916" i="18"/>
  <c r="E915" i="18"/>
  <c r="E914" i="18"/>
  <c r="E913" i="18"/>
  <c r="E912" i="18"/>
  <c r="E911" i="18"/>
  <c r="E910" i="18"/>
  <c r="E909" i="18"/>
  <c r="E908" i="18"/>
  <c r="E907" i="18"/>
  <c r="E906" i="18"/>
  <c r="E905" i="18"/>
  <c r="E904" i="18"/>
  <c r="E903" i="18"/>
  <c r="E902" i="18"/>
  <c r="E901" i="18"/>
  <c r="E900" i="18"/>
  <c r="E899" i="18"/>
  <c r="E898" i="18"/>
  <c r="E897" i="18"/>
  <c r="E896" i="18"/>
  <c r="E895" i="18"/>
  <c r="E894" i="18"/>
  <c r="C894" i="18"/>
  <c r="B894" i="18"/>
  <c r="E893" i="18"/>
  <c r="E892" i="18"/>
  <c r="E891" i="18"/>
  <c r="E890" i="18"/>
  <c r="E889" i="18"/>
  <c r="E888" i="18"/>
  <c r="E887" i="18"/>
  <c r="E886" i="18"/>
  <c r="E885" i="18"/>
  <c r="E884" i="18"/>
  <c r="E883" i="18"/>
  <c r="E882" i="18"/>
  <c r="E881" i="18"/>
  <c r="E880" i="18"/>
  <c r="E879" i="18"/>
  <c r="E878" i="18"/>
  <c r="E877" i="18"/>
  <c r="E876" i="18"/>
  <c r="E875" i="18"/>
  <c r="E874" i="18"/>
  <c r="E873" i="18"/>
  <c r="E872" i="18"/>
  <c r="E871" i="18"/>
  <c r="E870" i="18"/>
  <c r="C870" i="18"/>
  <c r="B870" i="18"/>
  <c r="E869" i="18"/>
  <c r="E868" i="18"/>
  <c r="E867" i="18"/>
  <c r="E866" i="18"/>
  <c r="E865" i="18"/>
  <c r="E864" i="18"/>
  <c r="E863" i="18"/>
  <c r="E862" i="18"/>
  <c r="E861" i="18"/>
  <c r="E860" i="18"/>
  <c r="E859" i="18"/>
  <c r="E858" i="18"/>
  <c r="E857" i="18"/>
  <c r="E856" i="18"/>
  <c r="E855" i="18"/>
  <c r="E854" i="18"/>
  <c r="E853" i="18"/>
  <c r="E852" i="18"/>
  <c r="E851" i="18"/>
  <c r="E850" i="18"/>
  <c r="E849" i="18"/>
  <c r="E848" i="18"/>
  <c r="E847" i="18"/>
  <c r="E846" i="18"/>
  <c r="C846" i="18"/>
  <c r="B846" i="18"/>
  <c r="E845" i="18"/>
  <c r="E844" i="18"/>
  <c r="E843" i="18"/>
  <c r="E842" i="18"/>
  <c r="E841" i="18"/>
  <c r="E840" i="18"/>
  <c r="E839" i="18"/>
  <c r="E838" i="18"/>
  <c r="E837" i="18"/>
  <c r="E836" i="18"/>
  <c r="E835" i="18"/>
  <c r="E834" i="18"/>
  <c r="E833" i="18"/>
  <c r="E832" i="18"/>
  <c r="E831" i="18"/>
  <c r="E830" i="18"/>
  <c r="E829" i="18"/>
  <c r="E828" i="18"/>
  <c r="E827" i="18"/>
  <c r="E826" i="18"/>
  <c r="E825" i="18"/>
  <c r="E824" i="18"/>
  <c r="E823" i="18"/>
  <c r="E822" i="18"/>
  <c r="C822" i="18"/>
  <c r="B822" i="18"/>
  <c r="E821" i="18"/>
  <c r="E820" i="18"/>
  <c r="E819" i="18"/>
  <c r="E818" i="18"/>
  <c r="E817" i="18"/>
  <c r="E816" i="18"/>
  <c r="E815" i="18"/>
  <c r="E814" i="18"/>
  <c r="E813" i="18"/>
  <c r="E812" i="18"/>
  <c r="E811" i="18"/>
  <c r="E810" i="18"/>
  <c r="E809" i="18"/>
  <c r="E808" i="18"/>
  <c r="E807" i="18"/>
  <c r="E806" i="18"/>
  <c r="E805" i="18"/>
  <c r="E804" i="18"/>
  <c r="E803" i="18"/>
  <c r="E802" i="18"/>
  <c r="E801" i="18"/>
  <c r="E800" i="18"/>
  <c r="E799" i="18"/>
  <c r="E798" i="18"/>
  <c r="C798" i="18"/>
  <c r="B798" i="18"/>
  <c r="E797" i="18"/>
  <c r="E796" i="18"/>
  <c r="E795" i="18"/>
  <c r="E794" i="18"/>
  <c r="E793" i="18"/>
  <c r="E792" i="18"/>
  <c r="E791" i="18"/>
  <c r="E790" i="18"/>
  <c r="E789" i="18"/>
  <c r="E788" i="18"/>
  <c r="E787" i="18"/>
  <c r="E786" i="18"/>
  <c r="E785" i="18"/>
  <c r="E784" i="18"/>
  <c r="E783" i="18"/>
  <c r="E782" i="18"/>
  <c r="E781" i="18"/>
  <c r="E780" i="18"/>
  <c r="E779" i="18"/>
  <c r="E778" i="18"/>
  <c r="E777" i="18"/>
  <c r="E776" i="18"/>
  <c r="E775" i="18"/>
  <c r="E774" i="18"/>
  <c r="C774" i="18"/>
  <c r="B774" i="18"/>
  <c r="E773" i="18"/>
  <c r="E772" i="18"/>
  <c r="E771" i="18"/>
  <c r="E770" i="18"/>
  <c r="E769" i="18"/>
  <c r="E768" i="18"/>
  <c r="E767" i="18"/>
  <c r="E766" i="18"/>
  <c r="E765" i="18"/>
  <c r="E764" i="18"/>
  <c r="E763" i="18"/>
  <c r="E762" i="18"/>
  <c r="E761" i="18"/>
  <c r="E760" i="18"/>
  <c r="E759" i="18"/>
  <c r="E758" i="18"/>
  <c r="E757" i="18"/>
  <c r="E756" i="18"/>
  <c r="E755" i="18"/>
  <c r="E754" i="18"/>
  <c r="E753" i="18"/>
  <c r="E752" i="18"/>
  <c r="E751" i="18"/>
  <c r="E750" i="18"/>
  <c r="C750" i="18"/>
  <c r="B750" i="18"/>
  <c r="E749" i="18"/>
  <c r="E748" i="18"/>
  <c r="E747" i="18"/>
  <c r="E746" i="18"/>
  <c r="E745" i="18"/>
  <c r="E744" i="18"/>
  <c r="E743" i="18"/>
  <c r="E742" i="18"/>
  <c r="E741" i="18"/>
  <c r="E740" i="18"/>
  <c r="E739" i="18"/>
  <c r="E738" i="18"/>
  <c r="E737" i="18"/>
  <c r="E736" i="18"/>
  <c r="E735" i="18"/>
  <c r="E734" i="18"/>
  <c r="E733" i="18"/>
  <c r="E732" i="18"/>
  <c r="E731" i="18"/>
  <c r="E730" i="18"/>
  <c r="E729" i="18"/>
  <c r="E728" i="18"/>
  <c r="E727" i="18"/>
  <c r="E726" i="18"/>
  <c r="C726" i="18"/>
  <c r="B726" i="18"/>
  <c r="E725" i="18"/>
  <c r="E724" i="18"/>
  <c r="E723" i="18"/>
  <c r="E722" i="18"/>
  <c r="E721" i="18"/>
  <c r="E720" i="18"/>
  <c r="E719" i="18"/>
  <c r="E718" i="18"/>
  <c r="E717" i="18"/>
  <c r="E716" i="18"/>
  <c r="E715" i="18"/>
  <c r="E714" i="18"/>
  <c r="E713" i="18"/>
  <c r="E712" i="18"/>
  <c r="E711" i="18"/>
  <c r="E710" i="18"/>
  <c r="E709" i="18"/>
  <c r="E708" i="18"/>
  <c r="E707" i="18"/>
  <c r="E706" i="18"/>
  <c r="E705" i="18"/>
  <c r="E704" i="18"/>
  <c r="E703" i="18"/>
  <c r="E702" i="18"/>
  <c r="C702" i="18"/>
  <c r="B702" i="18"/>
  <c r="E701" i="18"/>
  <c r="E700" i="18"/>
  <c r="E699" i="18"/>
  <c r="E698" i="18"/>
  <c r="E697" i="18"/>
  <c r="E696" i="18"/>
  <c r="E695" i="18"/>
  <c r="E694" i="18"/>
  <c r="E693" i="18"/>
  <c r="E692" i="18"/>
  <c r="E691" i="18"/>
  <c r="E690" i="18"/>
  <c r="E689" i="18"/>
  <c r="E688" i="18"/>
  <c r="E687" i="18"/>
  <c r="E686" i="18"/>
  <c r="E685" i="18"/>
  <c r="E684" i="18"/>
  <c r="E683" i="18"/>
  <c r="E682" i="18"/>
  <c r="E681" i="18"/>
  <c r="E680" i="18"/>
  <c r="E679" i="18"/>
  <c r="E678" i="18"/>
  <c r="C678" i="18"/>
  <c r="B678" i="18"/>
  <c r="E677" i="18"/>
  <c r="E676" i="18"/>
  <c r="E675" i="18"/>
  <c r="E674" i="18"/>
  <c r="E673" i="18"/>
  <c r="E672" i="18"/>
  <c r="E671" i="18"/>
  <c r="E670" i="18"/>
  <c r="E669" i="18"/>
  <c r="E668" i="18"/>
  <c r="E667" i="18"/>
  <c r="E666" i="18"/>
  <c r="E665" i="18"/>
  <c r="E664" i="18"/>
  <c r="E663" i="18"/>
  <c r="E662" i="18"/>
  <c r="E661" i="18"/>
  <c r="E660" i="18"/>
  <c r="E659" i="18"/>
  <c r="E658" i="18"/>
  <c r="E657" i="18"/>
  <c r="E656" i="18"/>
  <c r="E655" i="18"/>
  <c r="E654" i="18"/>
  <c r="C654" i="18"/>
  <c r="B654" i="18"/>
  <c r="E653" i="18"/>
  <c r="E652" i="18"/>
  <c r="E651" i="18"/>
  <c r="E650" i="18"/>
  <c r="E649" i="18"/>
  <c r="E648" i="18"/>
  <c r="E647" i="18"/>
  <c r="E646" i="18"/>
  <c r="E645" i="18"/>
  <c r="E644" i="18"/>
  <c r="E643" i="18"/>
  <c r="E642" i="18"/>
  <c r="E641" i="18"/>
  <c r="E640" i="18"/>
  <c r="E639" i="18"/>
  <c r="E638" i="18"/>
  <c r="E637" i="18"/>
  <c r="E636" i="18"/>
  <c r="E635" i="18"/>
  <c r="E634" i="18"/>
  <c r="E633" i="18"/>
  <c r="E632" i="18"/>
  <c r="E631" i="18"/>
  <c r="E630" i="18"/>
  <c r="C630" i="18"/>
  <c r="B630" i="18"/>
  <c r="E629" i="18"/>
  <c r="E628" i="18"/>
  <c r="E627" i="18"/>
  <c r="E626" i="18"/>
  <c r="E625" i="18"/>
  <c r="E624" i="18"/>
  <c r="E623" i="18"/>
  <c r="E622" i="18"/>
  <c r="E621" i="18"/>
  <c r="E620" i="18"/>
  <c r="E619" i="18"/>
  <c r="E618" i="18"/>
  <c r="E617" i="18"/>
  <c r="E616" i="18"/>
  <c r="E615" i="18"/>
  <c r="E614" i="18"/>
  <c r="E613" i="18"/>
  <c r="E612" i="18"/>
  <c r="E611" i="18"/>
  <c r="E610" i="18"/>
  <c r="E609" i="18"/>
  <c r="E608" i="18"/>
  <c r="E607" i="18"/>
  <c r="E606" i="18"/>
  <c r="C606" i="18"/>
  <c r="B606" i="18"/>
  <c r="E605" i="18"/>
  <c r="E604" i="18"/>
  <c r="E603" i="18"/>
  <c r="E602" i="18"/>
  <c r="E601" i="18"/>
  <c r="E600" i="18"/>
  <c r="E599" i="18"/>
  <c r="E598" i="18"/>
  <c r="E597" i="18"/>
  <c r="E596" i="18"/>
  <c r="E595" i="18"/>
  <c r="E594" i="18"/>
  <c r="E593" i="18"/>
  <c r="E592" i="18"/>
  <c r="E591" i="18"/>
  <c r="E590" i="18"/>
  <c r="E589" i="18"/>
  <c r="E588" i="18"/>
  <c r="E587" i="18"/>
  <c r="E586" i="18"/>
  <c r="E585" i="18"/>
  <c r="E584" i="18"/>
  <c r="E583" i="18"/>
  <c r="E582" i="18"/>
  <c r="C582" i="18"/>
  <c r="B582" i="18"/>
  <c r="E581" i="18"/>
  <c r="E580" i="18"/>
  <c r="E579" i="18"/>
  <c r="E578" i="18"/>
  <c r="E577" i="18"/>
  <c r="E576" i="18"/>
  <c r="E575" i="18"/>
  <c r="E574" i="18"/>
  <c r="E573" i="18"/>
  <c r="E572" i="18"/>
  <c r="E571" i="18"/>
  <c r="E570" i="18"/>
  <c r="E569" i="18"/>
  <c r="E568" i="18"/>
  <c r="E567" i="18"/>
  <c r="E566" i="18"/>
  <c r="E565" i="18"/>
  <c r="E564" i="18"/>
  <c r="E563" i="18"/>
  <c r="E562" i="18"/>
  <c r="E561" i="18"/>
  <c r="E560" i="18"/>
  <c r="E559" i="18"/>
  <c r="E558" i="18"/>
  <c r="C558" i="18"/>
  <c r="B558" i="18"/>
  <c r="E557" i="18"/>
  <c r="E556" i="18"/>
  <c r="E555" i="18"/>
  <c r="E554" i="18"/>
  <c r="E553" i="18"/>
  <c r="E552" i="18"/>
  <c r="E551" i="18"/>
  <c r="E550" i="18"/>
  <c r="E549" i="18"/>
  <c r="E548" i="18"/>
  <c r="E547" i="18"/>
  <c r="E546" i="18"/>
  <c r="E545" i="18"/>
  <c r="E544" i="18"/>
  <c r="E543" i="18"/>
  <c r="E542" i="18"/>
  <c r="E541" i="18"/>
  <c r="E540" i="18"/>
  <c r="E539" i="18"/>
  <c r="E538" i="18"/>
  <c r="E537" i="18"/>
  <c r="E536" i="18"/>
  <c r="E535" i="18"/>
  <c r="E534" i="18"/>
  <c r="C534" i="18"/>
  <c r="B534" i="18"/>
  <c r="E533" i="18"/>
  <c r="E532" i="18"/>
  <c r="E531" i="18"/>
  <c r="E530" i="18"/>
  <c r="E529" i="18"/>
  <c r="E528" i="18"/>
  <c r="E527" i="18"/>
  <c r="E526" i="18"/>
  <c r="E525" i="18"/>
  <c r="E524" i="18"/>
  <c r="E523" i="18"/>
  <c r="E522" i="18"/>
  <c r="E521" i="18"/>
  <c r="E520" i="18"/>
  <c r="E519" i="18"/>
  <c r="E518" i="18"/>
  <c r="E517" i="18"/>
  <c r="E516" i="18"/>
  <c r="E515" i="18"/>
  <c r="E514" i="18"/>
  <c r="E513" i="18"/>
  <c r="E512" i="18"/>
  <c r="E511" i="18"/>
  <c r="E510" i="18"/>
  <c r="C510" i="18"/>
  <c r="B510" i="18"/>
  <c r="E509" i="18"/>
  <c r="E508" i="18"/>
  <c r="E507" i="18"/>
  <c r="E506" i="18"/>
  <c r="E505" i="18"/>
  <c r="E504" i="18"/>
  <c r="E503" i="18"/>
  <c r="E502" i="18"/>
  <c r="E501" i="18"/>
  <c r="E500" i="18"/>
  <c r="E499" i="18"/>
  <c r="E498" i="18"/>
  <c r="E497" i="18"/>
  <c r="E496" i="18"/>
  <c r="E495" i="18"/>
  <c r="E494" i="18"/>
  <c r="E493" i="18"/>
  <c r="E492" i="18"/>
  <c r="E491" i="18"/>
  <c r="E490" i="18"/>
  <c r="E489" i="18"/>
  <c r="E488" i="18"/>
  <c r="E487" i="18"/>
  <c r="E486" i="18"/>
  <c r="C486" i="18"/>
  <c r="B486" i="18"/>
  <c r="E485" i="18"/>
  <c r="E484" i="18"/>
  <c r="E483" i="18"/>
  <c r="E482" i="18"/>
  <c r="E481" i="18"/>
  <c r="E480" i="18"/>
  <c r="E479" i="18"/>
  <c r="E478" i="18"/>
  <c r="E477" i="18"/>
  <c r="E476" i="18"/>
  <c r="E475" i="18"/>
  <c r="E474" i="18"/>
  <c r="E473" i="18"/>
  <c r="E472" i="18"/>
  <c r="E471" i="18"/>
  <c r="E470" i="18"/>
  <c r="E469" i="18"/>
  <c r="E468" i="18"/>
  <c r="E467" i="18"/>
  <c r="E466" i="18"/>
  <c r="E465" i="18"/>
  <c r="E464" i="18"/>
  <c r="E463" i="18"/>
  <c r="E462" i="18"/>
  <c r="C462" i="18"/>
  <c r="B462" i="18"/>
  <c r="E461" i="18"/>
  <c r="E460" i="18"/>
  <c r="E459" i="18"/>
  <c r="E458" i="18"/>
  <c r="E457" i="18"/>
  <c r="E456" i="18"/>
  <c r="E455" i="18"/>
  <c r="E454" i="18"/>
  <c r="E453" i="18"/>
  <c r="E452" i="18"/>
  <c r="E451" i="18"/>
  <c r="E450" i="18"/>
  <c r="E449" i="18"/>
  <c r="E448" i="18"/>
  <c r="E447" i="18"/>
  <c r="E446" i="18"/>
  <c r="E445" i="18"/>
  <c r="E444" i="18"/>
  <c r="E443" i="18"/>
  <c r="E442" i="18"/>
  <c r="E441" i="18"/>
  <c r="E440" i="18"/>
  <c r="E439" i="18"/>
  <c r="E438" i="18"/>
  <c r="C438" i="18"/>
  <c r="B438" i="18"/>
  <c r="E437" i="18"/>
  <c r="E436" i="18"/>
  <c r="E435" i="18"/>
  <c r="E434" i="18"/>
  <c r="E433" i="18"/>
  <c r="E432" i="18"/>
  <c r="E431" i="18"/>
  <c r="E430" i="18"/>
  <c r="E429" i="18"/>
  <c r="E428" i="18"/>
  <c r="E427" i="18"/>
  <c r="E426" i="18"/>
  <c r="E425" i="18"/>
  <c r="E424" i="18"/>
  <c r="E423" i="18"/>
  <c r="E422" i="18"/>
  <c r="E421" i="18"/>
  <c r="E420" i="18"/>
  <c r="E419" i="18"/>
  <c r="E418" i="18"/>
  <c r="E417" i="18"/>
  <c r="E416" i="18"/>
  <c r="E415" i="18"/>
  <c r="E414" i="18"/>
  <c r="C414" i="18"/>
  <c r="B414" i="18"/>
  <c r="E413" i="18"/>
  <c r="E412" i="18"/>
  <c r="E411" i="18"/>
  <c r="E410" i="18"/>
  <c r="E409" i="18"/>
  <c r="E408" i="18"/>
  <c r="E407" i="18"/>
  <c r="E406" i="18"/>
  <c r="E405" i="18"/>
  <c r="E404" i="18"/>
  <c r="E403" i="18"/>
  <c r="E402" i="18"/>
  <c r="E401" i="18"/>
  <c r="E400" i="18"/>
  <c r="E399" i="18"/>
  <c r="E398" i="18"/>
  <c r="E397" i="18"/>
  <c r="E396" i="18"/>
  <c r="E395" i="18"/>
  <c r="E394" i="18"/>
  <c r="E393" i="18"/>
  <c r="E392" i="18"/>
  <c r="E391" i="18"/>
  <c r="E390" i="18"/>
  <c r="C390" i="18"/>
  <c r="B390" i="18"/>
  <c r="E389" i="18"/>
  <c r="E388" i="18"/>
  <c r="E387" i="18"/>
  <c r="E386" i="18"/>
  <c r="E385" i="18"/>
  <c r="E384" i="18"/>
  <c r="E383" i="18"/>
  <c r="E382" i="18"/>
  <c r="E381" i="18"/>
  <c r="E380" i="18"/>
  <c r="E379" i="18"/>
  <c r="E378" i="18"/>
  <c r="E377" i="18"/>
  <c r="E376" i="18"/>
  <c r="E375" i="18"/>
  <c r="E374" i="18"/>
  <c r="E373" i="18"/>
  <c r="E372" i="18"/>
  <c r="E371" i="18"/>
  <c r="E370" i="18"/>
  <c r="E369" i="18"/>
  <c r="E368" i="18"/>
  <c r="E367" i="18"/>
  <c r="E366" i="18"/>
  <c r="C366" i="18"/>
  <c r="B366" i="18"/>
  <c r="E365" i="18"/>
  <c r="E364" i="18"/>
  <c r="E363" i="18"/>
  <c r="E362" i="18"/>
  <c r="E361" i="18"/>
  <c r="E360" i="18"/>
  <c r="E359" i="18"/>
  <c r="E358" i="18"/>
  <c r="E357" i="18"/>
  <c r="E356" i="18"/>
  <c r="E355" i="18"/>
  <c r="E354" i="18"/>
  <c r="E353" i="18"/>
  <c r="E352" i="18"/>
  <c r="E351" i="18"/>
  <c r="E350" i="18"/>
  <c r="E349" i="18"/>
  <c r="E348" i="18"/>
  <c r="E347" i="18"/>
  <c r="E346" i="18"/>
  <c r="E345" i="18"/>
  <c r="E344" i="18"/>
  <c r="E343" i="18"/>
  <c r="E342" i="18"/>
  <c r="C342" i="18"/>
  <c r="B342" i="18"/>
  <c r="E341" i="18"/>
  <c r="E340" i="18"/>
  <c r="E339" i="18"/>
  <c r="E338" i="18"/>
  <c r="E337" i="18"/>
  <c r="E336" i="18"/>
  <c r="E335" i="18"/>
  <c r="E334" i="18"/>
  <c r="E333" i="18"/>
  <c r="E332" i="18"/>
  <c r="E331" i="18"/>
  <c r="E330" i="18"/>
  <c r="E329" i="18"/>
  <c r="E328" i="18"/>
  <c r="E327" i="18"/>
  <c r="E326" i="18"/>
  <c r="E325" i="18"/>
  <c r="E324" i="18"/>
  <c r="E323" i="18"/>
  <c r="E322" i="18"/>
  <c r="E321" i="18"/>
  <c r="E320" i="18"/>
  <c r="E319" i="18"/>
  <c r="E318" i="18"/>
  <c r="C318" i="18"/>
  <c r="B318" i="18"/>
  <c r="E317" i="18"/>
  <c r="E316" i="18"/>
  <c r="E315" i="18"/>
  <c r="E314" i="18"/>
  <c r="E313" i="18"/>
  <c r="E312" i="18"/>
  <c r="E311" i="18"/>
  <c r="E310" i="18"/>
  <c r="E309" i="18"/>
  <c r="E308" i="18"/>
  <c r="E307" i="18"/>
  <c r="E306" i="18"/>
  <c r="E305" i="18"/>
  <c r="E304" i="18"/>
  <c r="E303" i="18"/>
  <c r="E302" i="18"/>
  <c r="E301" i="18"/>
  <c r="E300" i="18"/>
  <c r="E299" i="18"/>
  <c r="E298" i="18"/>
  <c r="E297" i="18"/>
  <c r="E296" i="18"/>
  <c r="E295" i="18"/>
  <c r="E294" i="18"/>
  <c r="C294" i="18"/>
  <c r="B294" i="18"/>
  <c r="E293" i="18"/>
  <c r="E292" i="18"/>
  <c r="E291" i="18"/>
  <c r="E290" i="18"/>
  <c r="E289" i="18"/>
  <c r="E288" i="18"/>
  <c r="E287" i="18"/>
  <c r="E286" i="18"/>
  <c r="E285" i="18"/>
  <c r="E284" i="18"/>
  <c r="E283" i="18"/>
  <c r="E282" i="18"/>
  <c r="E281" i="18"/>
  <c r="E280" i="18"/>
  <c r="E279" i="18"/>
  <c r="E278" i="18"/>
  <c r="E277" i="18"/>
  <c r="E276" i="18"/>
  <c r="E275" i="18"/>
  <c r="E274" i="18"/>
  <c r="E273" i="18"/>
  <c r="E272" i="18"/>
  <c r="E271" i="18"/>
  <c r="E270" i="18"/>
  <c r="C270" i="18"/>
  <c r="B270" i="18"/>
  <c r="E269" i="18"/>
  <c r="E268" i="18"/>
  <c r="E267" i="18"/>
  <c r="E266" i="18"/>
  <c r="E265" i="18"/>
  <c r="E264" i="18"/>
  <c r="E263" i="18"/>
  <c r="E262" i="18"/>
  <c r="E261" i="18"/>
  <c r="E260" i="18"/>
  <c r="E259" i="18"/>
  <c r="E258" i="18"/>
  <c r="E257" i="18"/>
  <c r="E256" i="18"/>
  <c r="E255" i="18"/>
  <c r="E254" i="18"/>
  <c r="E253" i="18"/>
  <c r="E252" i="18"/>
  <c r="E251" i="18"/>
  <c r="E250" i="18"/>
  <c r="E249" i="18"/>
  <c r="E248" i="18"/>
  <c r="E247" i="18"/>
  <c r="E246" i="18"/>
  <c r="C246" i="18"/>
  <c r="B246" i="18"/>
  <c r="E245" i="18"/>
  <c r="E244" i="18"/>
  <c r="E243" i="18"/>
  <c r="E242" i="18"/>
  <c r="E241" i="18"/>
  <c r="E240" i="18"/>
  <c r="E239" i="18"/>
  <c r="E238" i="18"/>
  <c r="E237" i="18"/>
  <c r="E236" i="18"/>
  <c r="E235" i="18"/>
  <c r="E234" i="18"/>
  <c r="E233" i="18"/>
  <c r="E232" i="18"/>
  <c r="E231" i="18"/>
  <c r="E230" i="18"/>
  <c r="E229" i="18"/>
  <c r="E228" i="18"/>
  <c r="E227" i="18"/>
  <c r="E226" i="18"/>
  <c r="E225" i="18"/>
  <c r="E224" i="18"/>
  <c r="E223" i="18"/>
  <c r="E222" i="18"/>
  <c r="C222" i="18"/>
  <c r="B222" i="18"/>
  <c r="E221" i="18"/>
  <c r="E220" i="18"/>
  <c r="E219" i="18"/>
  <c r="E218" i="18"/>
  <c r="E217" i="18"/>
  <c r="E216" i="18"/>
  <c r="E215" i="18"/>
  <c r="E214" i="18"/>
  <c r="E213" i="18"/>
  <c r="E212" i="18"/>
  <c r="E211" i="18"/>
  <c r="E210" i="18"/>
  <c r="E209" i="18"/>
  <c r="E208" i="18"/>
  <c r="E207" i="18"/>
  <c r="E206" i="18"/>
  <c r="E205" i="18"/>
  <c r="E204" i="18"/>
  <c r="E203" i="18"/>
  <c r="E202" i="18"/>
  <c r="E201" i="18"/>
  <c r="E200" i="18"/>
  <c r="E199" i="18"/>
  <c r="E198" i="18"/>
  <c r="C198" i="18"/>
  <c r="B198" i="18"/>
  <c r="E197" i="18"/>
  <c r="E196" i="18"/>
  <c r="E195" i="18"/>
  <c r="E194" i="18"/>
  <c r="E193" i="18"/>
  <c r="E192" i="18"/>
  <c r="E191" i="18"/>
  <c r="E190" i="18"/>
  <c r="E189" i="18"/>
  <c r="E188" i="18"/>
  <c r="E187" i="18"/>
  <c r="E186" i="18"/>
  <c r="E185" i="18"/>
  <c r="E184" i="18"/>
  <c r="E183" i="18"/>
  <c r="E182" i="18"/>
  <c r="E181" i="18"/>
  <c r="E180" i="18"/>
  <c r="E179" i="18"/>
  <c r="E178" i="18"/>
  <c r="E177" i="18"/>
  <c r="E176" i="18"/>
  <c r="E175" i="18"/>
  <c r="E174" i="18"/>
  <c r="C174" i="18"/>
  <c r="B174" i="18"/>
  <c r="E173" i="18"/>
  <c r="E172" i="18"/>
  <c r="E171" i="18"/>
  <c r="E170" i="18"/>
  <c r="E169" i="18"/>
  <c r="E168" i="18"/>
  <c r="E167" i="18"/>
  <c r="E166" i="18"/>
  <c r="E165" i="18"/>
  <c r="E164" i="18"/>
  <c r="E163" i="18"/>
  <c r="E162" i="18"/>
  <c r="E161" i="18"/>
  <c r="E160" i="18"/>
  <c r="E159" i="18"/>
  <c r="E158" i="18"/>
  <c r="E157" i="18"/>
  <c r="E156" i="18"/>
  <c r="E155" i="18"/>
  <c r="E154" i="18"/>
  <c r="E153" i="18"/>
  <c r="E152" i="18"/>
  <c r="E151" i="18"/>
  <c r="E150" i="18"/>
  <c r="C150" i="18"/>
  <c r="B150" i="18"/>
  <c r="E149" i="18"/>
  <c r="E148" i="18"/>
  <c r="E147" i="18"/>
  <c r="E146" i="18"/>
  <c r="E145" i="18"/>
  <c r="E144" i="18"/>
  <c r="E143" i="18"/>
  <c r="E142" i="18"/>
  <c r="E141" i="18"/>
  <c r="E140" i="18"/>
  <c r="E139" i="18"/>
  <c r="E138" i="18"/>
  <c r="E137" i="18"/>
  <c r="E136" i="18"/>
  <c r="E135" i="18"/>
  <c r="E134" i="18"/>
  <c r="E133" i="18"/>
  <c r="E132" i="18"/>
  <c r="E131" i="18"/>
  <c r="E130" i="18"/>
  <c r="E129" i="18"/>
  <c r="E128" i="18"/>
  <c r="E127" i="18"/>
  <c r="E126" i="18"/>
  <c r="C126" i="18"/>
  <c r="B126" i="18"/>
  <c r="E125" i="18"/>
  <c r="E124" i="18"/>
  <c r="E123" i="18"/>
  <c r="E122" i="18"/>
  <c r="E121" i="18"/>
  <c r="E120" i="18"/>
  <c r="E119" i="18"/>
  <c r="E118" i="18"/>
  <c r="E117" i="18"/>
  <c r="E116" i="18"/>
  <c r="E115" i="18"/>
  <c r="E114" i="18"/>
  <c r="E113" i="18"/>
  <c r="E112" i="18"/>
  <c r="E111" i="18"/>
  <c r="E110" i="18"/>
  <c r="E109" i="18"/>
  <c r="E108" i="18"/>
  <c r="E107" i="18"/>
  <c r="E106" i="18"/>
  <c r="E105" i="18"/>
  <c r="E104" i="18"/>
  <c r="E103" i="18"/>
  <c r="E102" i="18"/>
  <c r="C102" i="18"/>
  <c r="B102" i="18"/>
  <c r="E101" i="18"/>
  <c r="E100" i="18"/>
  <c r="E99" i="18"/>
  <c r="E98" i="18"/>
  <c r="E97" i="18"/>
  <c r="E96" i="18"/>
  <c r="E95" i="18"/>
  <c r="E94" i="18"/>
  <c r="E93" i="18"/>
  <c r="E92" i="18"/>
  <c r="E91" i="18"/>
  <c r="E90" i="18"/>
  <c r="E89" i="18"/>
  <c r="E88" i="18"/>
  <c r="E87" i="18"/>
  <c r="E86" i="18"/>
  <c r="E85" i="18"/>
  <c r="E84" i="18"/>
  <c r="E83" i="18"/>
  <c r="E82" i="18"/>
  <c r="E81" i="18"/>
  <c r="E80" i="18"/>
  <c r="E79" i="18"/>
  <c r="E78" i="18"/>
  <c r="C78" i="18"/>
  <c r="B78" i="18"/>
  <c r="E77" i="18"/>
  <c r="D77" i="18"/>
  <c r="D101" i="18" s="1"/>
  <c r="D125" i="18" s="1"/>
  <c r="D149" i="18" s="1"/>
  <c r="D173" i="18" s="1"/>
  <c r="D197" i="18" s="1"/>
  <c r="D221" i="18" s="1"/>
  <c r="D245" i="18" s="1"/>
  <c r="D269" i="18" s="1"/>
  <c r="D293" i="18" s="1"/>
  <c r="D317" i="18" s="1"/>
  <c r="D341" i="18" s="1"/>
  <c r="D365" i="18" s="1"/>
  <c r="D389" i="18" s="1"/>
  <c r="D413" i="18" s="1"/>
  <c r="D437" i="18" s="1"/>
  <c r="D461" i="18" s="1"/>
  <c r="D485" i="18" s="1"/>
  <c r="D509" i="18" s="1"/>
  <c r="D533" i="18" s="1"/>
  <c r="D557" i="18" s="1"/>
  <c r="D581" i="18" s="1"/>
  <c r="D605" i="18" s="1"/>
  <c r="D629" i="18" s="1"/>
  <c r="D653" i="18" s="1"/>
  <c r="D677" i="18" s="1"/>
  <c r="D701" i="18" s="1"/>
  <c r="D725" i="18" s="1"/>
  <c r="D749" i="18" s="1"/>
  <c r="D773" i="18" s="1"/>
  <c r="D797" i="18" s="1"/>
  <c r="D821" i="18" s="1"/>
  <c r="D845" i="18" s="1"/>
  <c r="D869" i="18" s="1"/>
  <c r="D893" i="18" s="1"/>
  <c r="D917" i="18" s="1"/>
  <c r="D941" i="18" s="1"/>
  <c r="D965" i="18" s="1"/>
  <c r="D989" i="18" s="1"/>
  <c r="D1013" i="18" s="1"/>
  <c r="D1037" i="18" s="1"/>
  <c r="D1061" i="18" s="1"/>
  <c r="D1085" i="18" s="1"/>
  <c r="D1109" i="18" s="1"/>
  <c r="D1133" i="18" s="1"/>
  <c r="D1157" i="18" s="1"/>
  <c r="D1181" i="18" s="1"/>
  <c r="E76" i="18"/>
  <c r="E75" i="18"/>
  <c r="D75" i="18"/>
  <c r="D99" i="18" s="1"/>
  <c r="D123" i="18" s="1"/>
  <c r="D147" i="18" s="1"/>
  <c r="D171" i="18" s="1"/>
  <c r="D195" i="18" s="1"/>
  <c r="D219" i="18" s="1"/>
  <c r="D243" i="18" s="1"/>
  <c r="D267" i="18" s="1"/>
  <c r="D291" i="18" s="1"/>
  <c r="D315" i="18" s="1"/>
  <c r="D339" i="18" s="1"/>
  <c r="D363" i="18" s="1"/>
  <c r="D387" i="18" s="1"/>
  <c r="D411" i="18" s="1"/>
  <c r="D435" i="18" s="1"/>
  <c r="D459" i="18" s="1"/>
  <c r="D483" i="18" s="1"/>
  <c r="D507" i="18" s="1"/>
  <c r="D531" i="18" s="1"/>
  <c r="D555" i="18" s="1"/>
  <c r="D579" i="18" s="1"/>
  <c r="D603" i="18" s="1"/>
  <c r="D627" i="18" s="1"/>
  <c r="D651" i="18" s="1"/>
  <c r="D675" i="18" s="1"/>
  <c r="D699" i="18" s="1"/>
  <c r="D723" i="18" s="1"/>
  <c r="D747" i="18" s="1"/>
  <c r="D771" i="18" s="1"/>
  <c r="D795" i="18" s="1"/>
  <c r="D819" i="18" s="1"/>
  <c r="D843" i="18" s="1"/>
  <c r="D867" i="18" s="1"/>
  <c r="D891" i="18" s="1"/>
  <c r="D915" i="18" s="1"/>
  <c r="D939" i="18" s="1"/>
  <c r="D963" i="18" s="1"/>
  <c r="D987" i="18" s="1"/>
  <c r="D1011" i="18" s="1"/>
  <c r="D1035" i="18" s="1"/>
  <c r="D1059" i="18" s="1"/>
  <c r="D1083" i="18" s="1"/>
  <c r="D1107" i="18" s="1"/>
  <c r="D1131" i="18" s="1"/>
  <c r="D1155" i="18" s="1"/>
  <c r="D1179" i="18" s="1"/>
  <c r="E74" i="18"/>
  <c r="E73" i="18"/>
  <c r="D73" i="18"/>
  <c r="D97" i="18" s="1"/>
  <c r="D121" i="18" s="1"/>
  <c r="D145" i="18" s="1"/>
  <c r="D169" i="18" s="1"/>
  <c r="D193" i="18" s="1"/>
  <c r="D217" i="18" s="1"/>
  <c r="D241" i="18" s="1"/>
  <c r="D265" i="18" s="1"/>
  <c r="D289" i="18" s="1"/>
  <c r="D313" i="18" s="1"/>
  <c r="D337" i="18" s="1"/>
  <c r="D361" i="18" s="1"/>
  <c r="D385" i="18" s="1"/>
  <c r="D409" i="18" s="1"/>
  <c r="D433" i="18" s="1"/>
  <c r="D457" i="18" s="1"/>
  <c r="D481" i="18" s="1"/>
  <c r="D505" i="18" s="1"/>
  <c r="D529" i="18" s="1"/>
  <c r="D553" i="18" s="1"/>
  <c r="D577" i="18" s="1"/>
  <c r="D601" i="18" s="1"/>
  <c r="D625" i="18" s="1"/>
  <c r="D649" i="18" s="1"/>
  <c r="D673" i="18" s="1"/>
  <c r="D697" i="18" s="1"/>
  <c r="D721" i="18" s="1"/>
  <c r="D745" i="18" s="1"/>
  <c r="D769" i="18" s="1"/>
  <c r="D793" i="18" s="1"/>
  <c r="D817" i="18" s="1"/>
  <c r="D841" i="18" s="1"/>
  <c r="D865" i="18" s="1"/>
  <c r="D889" i="18" s="1"/>
  <c r="D913" i="18" s="1"/>
  <c r="D937" i="18" s="1"/>
  <c r="D961" i="18" s="1"/>
  <c r="D985" i="18" s="1"/>
  <c r="D1009" i="18" s="1"/>
  <c r="D1033" i="18" s="1"/>
  <c r="D1057" i="18" s="1"/>
  <c r="D1081" i="18" s="1"/>
  <c r="D1105" i="18" s="1"/>
  <c r="D1129" i="18" s="1"/>
  <c r="D1153" i="18" s="1"/>
  <c r="D1177" i="18" s="1"/>
  <c r="E72" i="18"/>
  <c r="E71" i="18"/>
  <c r="D71" i="18"/>
  <c r="D95" i="18" s="1"/>
  <c r="D119" i="18" s="1"/>
  <c r="D143" i="18" s="1"/>
  <c r="D167" i="18" s="1"/>
  <c r="D191" i="18" s="1"/>
  <c r="D215" i="18" s="1"/>
  <c r="D239" i="18" s="1"/>
  <c r="D263" i="18" s="1"/>
  <c r="D287" i="18" s="1"/>
  <c r="D311" i="18" s="1"/>
  <c r="D335" i="18" s="1"/>
  <c r="D359" i="18" s="1"/>
  <c r="D383" i="18" s="1"/>
  <c r="D407" i="18" s="1"/>
  <c r="D431" i="18" s="1"/>
  <c r="D455" i="18" s="1"/>
  <c r="D479" i="18" s="1"/>
  <c r="D503" i="18" s="1"/>
  <c r="D527" i="18" s="1"/>
  <c r="D551" i="18" s="1"/>
  <c r="D575" i="18" s="1"/>
  <c r="D599" i="18" s="1"/>
  <c r="D623" i="18" s="1"/>
  <c r="D647" i="18" s="1"/>
  <c r="D671" i="18" s="1"/>
  <c r="D695" i="18" s="1"/>
  <c r="D719" i="18" s="1"/>
  <c r="D743" i="18" s="1"/>
  <c r="D767" i="18" s="1"/>
  <c r="D791" i="18" s="1"/>
  <c r="D815" i="18" s="1"/>
  <c r="D839" i="18" s="1"/>
  <c r="D863" i="18" s="1"/>
  <c r="D887" i="18" s="1"/>
  <c r="D911" i="18" s="1"/>
  <c r="D935" i="18" s="1"/>
  <c r="D959" i="18" s="1"/>
  <c r="D983" i="18" s="1"/>
  <c r="D1007" i="18" s="1"/>
  <c r="D1031" i="18" s="1"/>
  <c r="D1055" i="18" s="1"/>
  <c r="D1079" i="18" s="1"/>
  <c r="D1103" i="18" s="1"/>
  <c r="D1127" i="18" s="1"/>
  <c r="D1151" i="18" s="1"/>
  <c r="D1175" i="18" s="1"/>
  <c r="E70" i="18"/>
  <c r="E69" i="18"/>
  <c r="D69" i="18"/>
  <c r="D93" i="18" s="1"/>
  <c r="D117" i="18" s="1"/>
  <c r="D141" i="18" s="1"/>
  <c r="D165" i="18" s="1"/>
  <c r="D189" i="18" s="1"/>
  <c r="D213" i="18" s="1"/>
  <c r="D237" i="18" s="1"/>
  <c r="D261" i="18" s="1"/>
  <c r="D285" i="18" s="1"/>
  <c r="D309" i="18" s="1"/>
  <c r="D333" i="18" s="1"/>
  <c r="D357" i="18" s="1"/>
  <c r="D381" i="18" s="1"/>
  <c r="D405" i="18" s="1"/>
  <c r="D429" i="18" s="1"/>
  <c r="D453" i="18" s="1"/>
  <c r="D477" i="18" s="1"/>
  <c r="D501" i="18" s="1"/>
  <c r="D525" i="18" s="1"/>
  <c r="D549" i="18" s="1"/>
  <c r="D573" i="18" s="1"/>
  <c r="D597" i="18" s="1"/>
  <c r="D621" i="18" s="1"/>
  <c r="D645" i="18" s="1"/>
  <c r="D669" i="18" s="1"/>
  <c r="D693" i="18" s="1"/>
  <c r="D717" i="18" s="1"/>
  <c r="D741" i="18" s="1"/>
  <c r="D765" i="18" s="1"/>
  <c r="D789" i="18" s="1"/>
  <c r="D813" i="18" s="1"/>
  <c r="D837" i="18" s="1"/>
  <c r="D861" i="18" s="1"/>
  <c r="D885" i="18" s="1"/>
  <c r="D909" i="18" s="1"/>
  <c r="D933" i="18" s="1"/>
  <c r="D957" i="18" s="1"/>
  <c r="D981" i="18" s="1"/>
  <c r="D1005" i="18" s="1"/>
  <c r="D1029" i="18" s="1"/>
  <c r="D1053" i="18" s="1"/>
  <c r="D1077" i="18" s="1"/>
  <c r="D1101" i="18" s="1"/>
  <c r="D1125" i="18" s="1"/>
  <c r="D1149" i="18" s="1"/>
  <c r="D1173" i="18" s="1"/>
  <c r="E68" i="18"/>
  <c r="E67" i="18"/>
  <c r="D67" i="18"/>
  <c r="D91" i="18" s="1"/>
  <c r="D115" i="18" s="1"/>
  <c r="D139" i="18" s="1"/>
  <c r="D163" i="18" s="1"/>
  <c r="D187" i="18" s="1"/>
  <c r="D211" i="18" s="1"/>
  <c r="D235" i="18" s="1"/>
  <c r="D259" i="18" s="1"/>
  <c r="D283" i="18" s="1"/>
  <c r="D307" i="18" s="1"/>
  <c r="D331" i="18" s="1"/>
  <c r="D355" i="18" s="1"/>
  <c r="D379" i="18" s="1"/>
  <c r="D403" i="18" s="1"/>
  <c r="D427" i="18" s="1"/>
  <c r="D451" i="18" s="1"/>
  <c r="D475" i="18" s="1"/>
  <c r="D499" i="18" s="1"/>
  <c r="D523" i="18" s="1"/>
  <c r="D547" i="18" s="1"/>
  <c r="D571" i="18" s="1"/>
  <c r="D595" i="18" s="1"/>
  <c r="D619" i="18" s="1"/>
  <c r="D643" i="18" s="1"/>
  <c r="D667" i="18" s="1"/>
  <c r="D691" i="18" s="1"/>
  <c r="D715" i="18" s="1"/>
  <c r="D739" i="18" s="1"/>
  <c r="D763" i="18" s="1"/>
  <c r="D787" i="18" s="1"/>
  <c r="D811" i="18" s="1"/>
  <c r="D835" i="18" s="1"/>
  <c r="D859" i="18" s="1"/>
  <c r="D883" i="18" s="1"/>
  <c r="D907" i="18" s="1"/>
  <c r="D931" i="18" s="1"/>
  <c r="D955" i="18" s="1"/>
  <c r="D979" i="18" s="1"/>
  <c r="D1003" i="18" s="1"/>
  <c r="D1027" i="18" s="1"/>
  <c r="D1051" i="18" s="1"/>
  <c r="D1075" i="18" s="1"/>
  <c r="D1099" i="18" s="1"/>
  <c r="D1123" i="18" s="1"/>
  <c r="D1147" i="18" s="1"/>
  <c r="D1171" i="18" s="1"/>
  <c r="E66" i="18"/>
  <c r="E65" i="18"/>
  <c r="D65" i="18"/>
  <c r="D89" i="18" s="1"/>
  <c r="D113" i="18" s="1"/>
  <c r="D137" i="18" s="1"/>
  <c r="D161" i="18" s="1"/>
  <c r="D185" i="18" s="1"/>
  <c r="D209" i="18" s="1"/>
  <c r="D233" i="18" s="1"/>
  <c r="D257" i="18" s="1"/>
  <c r="D281" i="18" s="1"/>
  <c r="D305" i="18" s="1"/>
  <c r="D329" i="18" s="1"/>
  <c r="D353" i="18" s="1"/>
  <c r="D377" i="18" s="1"/>
  <c r="D401" i="18" s="1"/>
  <c r="D425" i="18" s="1"/>
  <c r="D449" i="18" s="1"/>
  <c r="D473" i="18" s="1"/>
  <c r="D497" i="18" s="1"/>
  <c r="D521" i="18" s="1"/>
  <c r="D545" i="18" s="1"/>
  <c r="D569" i="18" s="1"/>
  <c r="D593" i="18" s="1"/>
  <c r="D617" i="18" s="1"/>
  <c r="D641" i="18" s="1"/>
  <c r="D665" i="18" s="1"/>
  <c r="D689" i="18" s="1"/>
  <c r="D713" i="18" s="1"/>
  <c r="D737" i="18" s="1"/>
  <c r="D761" i="18" s="1"/>
  <c r="D785" i="18" s="1"/>
  <c r="D809" i="18" s="1"/>
  <c r="D833" i="18" s="1"/>
  <c r="D857" i="18" s="1"/>
  <c r="D881" i="18" s="1"/>
  <c r="D905" i="18" s="1"/>
  <c r="D929" i="18" s="1"/>
  <c r="D953" i="18" s="1"/>
  <c r="D977" i="18" s="1"/>
  <c r="D1001" i="18" s="1"/>
  <c r="D1025" i="18" s="1"/>
  <c r="D1049" i="18" s="1"/>
  <c r="D1073" i="18" s="1"/>
  <c r="D1097" i="18" s="1"/>
  <c r="D1121" i="18" s="1"/>
  <c r="D1145" i="18" s="1"/>
  <c r="D1169" i="18" s="1"/>
  <c r="E64" i="18"/>
  <c r="E63" i="18"/>
  <c r="D63" i="18"/>
  <c r="D87" i="18" s="1"/>
  <c r="D111" i="18" s="1"/>
  <c r="D135" i="18" s="1"/>
  <c r="D159" i="18" s="1"/>
  <c r="D183" i="18" s="1"/>
  <c r="D207" i="18" s="1"/>
  <c r="D231" i="18" s="1"/>
  <c r="D255" i="18" s="1"/>
  <c r="D279" i="18" s="1"/>
  <c r="D303" i="18" s="1"/>
  <c r="D327" i="18" s="1"/>
  <c r="D351" i="18" s="1"/>
  <c r="D375" i="18" s="1"/>
  <c r="D399" i="18" s="1"/>
  <c r="D423" i="18" s="1"/>
  <c r="D447" i="18" s="1"/>
  <c r="D471" i="18" s="1"/>
  <c r="D495" i="18" s="1"/>
  <c r="D519" i="18" s="1"/>
  <c r="D543" i="18" s="1"/>
  <c r="D567" i="18" s="1"/>
  <c r="D591" i="18" s="1"/>
  <c r="D615" i="18" s="1"/>
  <c r="D639" i="18" s="1"/>
  <c r="D663" i="18" s="1"/>
  <c r="D687" i="18" s="1"/>
  <c r="D711" i="18" s="1"/>
  <c r="D735" i="18" s="1"/>
  <c r="D759" i="18" s="1"/>
  <c r="D783" i="18" s="1"/>
  <c r="D807" i="18" s="1"/>
  <c r="D831" i="18" s="1"/>
  <c r="D855" i="18" s="1"/>
  <c r="D879" i="18" s="1"/>
  <c r="D903" i="18" s="1"/>
  <c r="D927" i="18" s="1"/>
  <c r="D951" i="18" s="1"/>
  <c r="D975" i="18" s="1"/>
  <c r="D999" i="18" s="1"/>
  <c r="D1023" i="18" s="1"/>
  <c r="D1047" i="18" s="1"/>
  <c r="D1071" i="18" s="1"/>
  <c r="D1095" i="18" s="1"/>
  <c r="D1119" i="18" s="1"/>
  <c r="D1143" i="18" s="1"/>
  <c r="D1167" i="18" s="1"/>
  <c r="E62" i="18"/>
  <c r="E61" i="18"/>
  <c r="D61" i="18"/>
  <c r="D85" i="18" s="1"/>
  <c r="D109" i="18" s="1"/>
  <c r="D133" i="18" s="1"/>
  <c r="D157" i="18" s="1"/>
  <c r="D181" i="18" s="1"/>
  <c r="D205" i="18" s="1"/>
  <c r="D229" i="18" s="1"/>
  <c r="D253" i="18" s="1"/>
  <c r="D277" i="18" s="1"/>
  <c r="D301" i="18" s="1"/>
  <c r="D325" i="18" s="1"/>
  <c r="D349" i="18" s="1"/>
  <c r="D373" i="18" s="1"/>
  <c r="D397" i="18" s="1"/>
  <c r="D421" i="18" s="1"/>
  <c r="D445" i="18" s="1"/>
  <c r="D469" i="18" s="1"/>
  <c r="D493" i="18" s="1"/>
  <c r="D517" i="18" s="1"/>
  <c r="D541" i="18" s="1"/>
  <c r="D565" i="18" s="1"/>
  <c r="D589" i="18" s="1"/>
  <c r="D613" i="18" s="1"/>
  <c r="D637" i="18" s="1"/>
  <c r="D661" i="18" s="1"/>
  <c r="D685" i="18" s="1"/>
  <c r="D709" i="18" s="1"/>
  <c r="D733" i="18" s="1"/>
  <c r="D757" i="18" s="1"/>
  <c r="D781" i="18" s="1"/>
  <c r="D805" i="18" s="1"/>
  <c r="D829" i="18" s="1"/>
  <c r="D853" i="18" s="1"/>
  <c r="D877" i="18" s="1"/>
  <c r="D901" i="18" s="1"/>
  <c r="D925" i="18" s="1"/>
  <c r="D949" i="18" s="1"/>
  <c r="D973" i="18" s="1"/>
  <c r="D997" i="18" s="1"/>
  <c r="D1021" i="18" s="1"/>
  <c r="D1045" i="18" s="1"/>
  <c r="D1069" i="18" s="1"/>
  <c r="D1093" i="18" s="1"/>
  <c r="D1117" i="18" s="1"/>
  <c r="D1141" i="18" s="1"/>
  <c r="D1165" i="18" s="1"/>
  <c r="E60" i="18"/>
  <c r="E59" i="18"/>
  <c r="D59" i="18"/>
  <c r="D83" i="18" s="1"/>
  <c r="D107" i="18" s="1"/>
  <c r="D131" i="18" s="1"/>
  <c r="D155" i="18" s="1"/>
  <c r="D179" i="18" s="1"/>
  <c r="D203" i="18" s="1"/>
  <c r="D227" i="18" s="1"/>
  <c r="D251" i="18" s="1"/>
  <c r="D275" i="18" s="1"/>
  <c r="D299" i="18" s="1"/>
  <c r="D323" i="18" s="1"/>
  <c r="D347" i="18" s="1"/>
  <c r="D371" i="18" s="1"/>
  <c r="D395" i="18" s="1"/>
  <c r="D419" i="18" s="1"/>
  <c r="D443" i="18" s="1"/>
  <c r="D467" i="18" s="1"/>
  <c r="D491" i="18" s="1"/>
  <c r="D515" i="18" s="1"/>
  <c r="D539" i="18" s="1"/>
  <c r="D563" i="18" s="1"/>
  <c r="D587" i="18" s="1"/>
  <c r="D611" i="18" s="1"/>
  <c r="D635" i="18" s="1"/>
  <c r="D659" i="18" s="1"/>
  <c r="D683" i="18" s="1"/>
  <c r="D707" i="18" s="1"/>
  <c r="D731" i="18" s="1"/>
  <c r="D755" i="18" s="1"/>
  <c r="D779" i="18" s="1"/>
  <c r="D803" i="18" s="1"/>
  <c r="D827" i="18" s="1"/>
  <c r="D851" i="18" s="1"/>
  <c r="D875" i="18" s="1"/>
  <c r="D899" i="18" s="1"/>
  <c r="D923" i="18" s="1"/>
  <c r="D947" i="18" s="1"/>
  <c r="D971" i="18" s="1"/>
  <c r="D995" i="18" s="1"/>
  <c r="D1019" i="18" s="1"/>
  <c r="D1043" i="18" s="1"/>
  <c r="D1067" i="18" s="1"/>
  <c r="D1091" i="18" s="1"/>
  <c r="D1115" i="18" s="1"/>
  <c r="D1139" i="18" s="1"/>
  <c r="D1163" i="18" s="1"/>
  <c r="E58" i="18"/>
  <c r="E57" i="18"/>
  <c r="D57" i="18"/>
  <c r="D81" i="18" s="1"/>
  <c r="D105" i="18" s="1"/>
  <c r="D129" i="18" s="1"/>
  <c r="D153" i="18" s="1"/>
  <c r="D177" i="18" s="1"/>
  <c r="D201" i="18" s="1"/>
  <c r="D225" i="18" s="1"/>
  <c r="D249" i="18" s="1"/>
  <c r="D273" i="18" s="1"/>
  <c r="D297" i="18" s="1"/>
  <c r="D321" i="18" s="1"/>
  <c r="D345" i="18" s="1"/>
  <c r="D369" i="18" s="1"/>
  <c r="D393" i="18" s="1"/>
  <c r="D417" i="18" s="1"/>
  <c r="D441" i="18" s="1"/>
  <c r="D465" i="18" s="1"/>
  <c r="D489" i="18" s="1"/>
  <c r="D513" i="18" s="1"/>
  <c r="D537" i="18" s="1"/>
  <c r="D561" i="18" s="1"/>
  <c r="D585" i="18" s="1"/>
  <c r="D609" i="18" s="1"/>
  <c r="D633" i="18" s="1"/>
  <c r="D657" i="18" s="1"/>
  <c r="D681" i="18" s="1"/>
  <c r="D705" i="18" s="1"/>
  <c r="D729" i="18" s="1"/>
  <c r="D753" i="18" s="1"/>
  <c r="D777" i="18" s="1"/>
  <c r="D801" i="18" s="1"/>
  <c r="D825" i="18" s="1"/>
  <c r="D849" i="18" s="1"/>
  <c r="D873" i="18" s="1"/>
  <c r="D897" i="18" s="1"/>
  <c r="D921" i="18" s="1"/>
  <c r="D945" i="18" s="1"/>
  <c r="D969" i="18" s="1"/>
  <c r="D993" i="18" s="1"/>
  <c r="D1017" i="18" s="1"/>
  <c r="D1041" i="18" s="1"/>
  <c r="D1065" i="18" s="1"/>
  <c r="D1089" i="18" s="1"/>
  <c r="D1113" i="18" s="1"/>
  <c r="D1137" i="18" s="1"/>
  <c r="D1161" i="18" s="1"/>
  <c r="E56" i="18"/>
  <c r="E55" i="18"/>
  <c r="D55" i="18"/>
  <c r="D79" i="18" s="1"/>
  <c r="D103" i="18" s="1"/>
  <c r="D127" i="18" s="1"/>
  <c r="D151" i="18" s="1"/>
  <c r="D175" i="18" s="1"/>
  <c r="D199" i="18" s="1"/>
  <c r="D223" i="18" s="1"/>
  <c r="D247" i="18" s="1"/>
  <c r="D271" i="18" s="1"/>
  <c r="D295" i="18" s="1"/>
  <c r="D319" i="18" s="1"/>
  <c r="D343" i="18" s="1"/>
  <c r="D367" i="18" s="1"/>
  <c r="D391" i="18" s="1"/>
  <c r="D415" i="18" s="1"/>
  <c r="D439" i="18" s="1"/>
  <c r="D463" i="18" s="1"/>
  <c r="D487" i="18" s="1"/>
  <c r="D511" i="18" s="1"/>
  <c r="D535" i="18" s="1"/>
  <c r="D559" i="18" s="1"/>
  <c r="D583" i="18" s="1"/>
  <c r="D607" i="18" s="1"/>
  <c r="D631" i="18" s="1"/>
  <c r="D655" i="18" s="1"/>
  <c r="D679" i="18" s="1"/>
  <c r="D703" i="18" s="1"/>
  <c r="D727" i="18" s="1"/>
  <c r="D751" i="18" s="1"/>
  <c r="D775" i="18" s="1"/>
  <c r="D799" i="18" s="1"/>
  <c r="D823" i="18" s="1"/>
  <c r="D847" i="18" s="1"/>
  <c r="D871" i="18" s="1"/>
  <c r="D895" i="18" s="1"/>
  <c r="D919" i="18" s="1"/>
  <c r="D943" i="18" s="1"/>
  <c r="D967" i="18" s="1"/>
  <c r="D991" i="18" s="1"/>
  <c r="D1015" i="18" s="1"/>
  <c r="D1039" i="18" s="1"/>
  <c r="D1063" i="18" s="1"/>
  <c r="D1087" i="18" s="1"/>
  <c r="D1111" i="18" s="1"/>
  <c r="D1135" i="18" s="1"/>
  <c r="D1159" i="18" s="1"/>
  <c r="E54" i="18"/>
  <c r="C54" i="18"/>
  <c r="B54" i="18"/>
  <c r="E53" i="18"/>
  <c r="D53" i="18"/>
  <c r="E52" i="18"/>
  <c r="D52" i="18"/>
  <c r="D76" i="18" s="1"/>
  <c r="D100" i="18" s="1"/>
  <c r="D124" i="18" s="1"/>
  <c r="D148" i="18" s="1"/>
  <c r="D172" i="18" s="1"/>
  <c r="D196" i="18" s="1"/>
  <c r="D220" i="18" s="1"/>
  <c r="D244" i="18" s="1"/>
  <c r="D268" i="18" s="1"/>
  <c r="D292" i="18" s="1"/>
  <c r="D316" i="18" s="1"/>
  <c r="D340" i="18" s="1"/>
  <c r="D364" i="18" s="1"/>
  <c r="D388" i="18" s="1"/>
  <c r="D412" i="18" s="1"/>
  <c r="D436" i="18" s="1"/>
  <c r="D460" i="18" s="1"/>
  <c r="D484" i="18" s="1"/>
  <c r="D508" i="18" s="1"/>
  <c r="D532" i="18" s="1"/>
  <c r="D556" i="18" s="1"/>
  <c r="D580" i="18" s="1"/>
  <c r="D604" i="18" s="1"/>
  <c r="D628" i="18" s="1"/>
  <c r="D652" i="18" s="1"/>
  <c r="D676" i="18" s="1"/>
  <c r="D700" i="18" s="1"/>
  <c r="D724" i="18" s="1"/>
  <c r="D748" i="18" s="1"/>
  <c r="D772" i="18" s="1"/>
  <c r="D796" i="18" s="1"/>
  <c r="D820" i="18" s="1"/>
  <c r="D844" i="18" s="1"/>
  <c r="D868" i="18" s="1"/>
  <c r="D892" i="18" s="1"/>
  <c r="D916" i="18" s="1"/>
  <c r="D940" i="18" s="1"/>
  <c r="D964" i="18" s="1"/>
  <c r="D988" i="18" s="1"/>
  <c r="D1012" i="18" s="1"/>
  <c r="D1036" i="18" s="1"/>
  <c r="D1060" i="18" s="1"/>
  <c r="D1084" i="18" s="1"/>
  <c r="D1108" i="18" s="1"/>
  <c r="D1132" i="18" s="1"/>
  <c r="D1156" i="18" s="1"/>
  <c r="D1180" i="18" s="1"/>
  <c r="E51" i="18"/>
  <c r="D51" i="18"/>
  <c r="E50" i="18"/>
  <c r="D50" i="18"/>
  <c r="D74" i="18" s="1"/>
  <c r="D98" i="18" s="1"/>
  <c r="D122" i="18" s="1"/>
  <c r="D146" i="18" s="1"/>
  <c r="D170" i="18" s="1"/>
  <c r="D194" i="18" s="1"/>
  <c r="D218" i="18" s="1"/>
  <c r="D242" i="18" s="1"/>
  <c r="D266" i="18" s="1"/>
  <c r="D290" i="18" s="1"/>
  <c r="D314" i="18" s="1"/>
  <c r="D338" i="18" s="1"/>
  <c r="D362" i="18" s="1"/>
  <c r="D386" i="18" s="1"/>
  <c r="D410" i="18" s="1"/>
  <c r="D434" i="18" s="1"/>
  <c r="D458" i="18" s="1"/>
  <c r="D482" i="18" s="1"/>
  <c r="D506" i="18" s="1"/>
  <c r="D530" i="18" s="1"/>
  <c r="D554" i="18" s="1"/>
  <c r="D578" i="18" s="1"/>
  <c r="D602" i="18" s="1"/>
  <c r="D626" i="18" s="1"/>
  <c r="D650" i="18" s="1"/>
  <c r="D674" i="18" s="1"/>
  <c r="D698" i="18" s="1"/>
  <c r="D722" i="18" s="1"/>
  <c r="D746" i="18" s="1"/>
  <c r="D770" i="18" s="1"/>
  <c r="D794" i="18" s="1"/>
  <c r="D818" i="18" s="1"/>
  <c r="D842" i="18" s="1"/>
  <c r="D866" i="18" s="1"/>
  <c r="D890" i="18" s="1"/>
  <c r="D914" i="18" s="1"/>
  <c r="D938" i="18" s="1"/>
  <c r="D962" i="18" s="1"/>
  <c r="D986" i="18" s="1"/>
  <c r="D1010" i="18" s="1"/>
  <c r="D1034" i="18" s="1"/>
  <c r="D1058" i="18" s="1"/>
  <c r="D1082" i="18" s="1"/>
  <c r="D1106" i="18" s="1"/>
  <c r="D1130" i="18" s="1"/>
  <c r="D1154" i="18" s="1"/>
  <c r="D1178" i="18" s="1"/>
  <c r="E49" i="18"/>
  <c r="D49" i="18"/>
  <c r="E48" i="18"/>
  <c r="D48" i="18"/>
  <c r="D72" i="18" s="1"/>
  <c r="D96" i="18" s="1"/>
  <c r="D120" i="18" s="1"/>
  <c r="D144" i="18" s="1"/>
  <c r="D168" i="18" s="1"/>
  <c r="D192" i="18" s="1"/>
  <c r="D216" i="18" s="1"/>
  <c r="D240" i="18" s="1"/>
  <c r="D264" i="18" s="1"/>
  <c r="D288" i="18" s="1"/>
  <c r="D312" i="18" s="1"/>
  <c r="D336" i="18" s="1"/>
  <c r="D360" i="18" s="1"/>
  <c r="D384" i="18" s="1"/>
  <c r="D408" i="18" s="1"/>
  <c r="D432" i="18" s="1"/>
  <c r="D456" i="18" s="1"/>
  <c r="D480" i="18" s="1"/>
  <c r="D504" i="18" s="1"/>
  <c r="D528" i="18" s="1"/>
  <c r="D552" i="18" s="1"/>
  <c r="D576" i="18" s="1"/>
  <c r="D600" i="18" s="1"/>
  <c r="D624" i="18" s="1"/>
  <c r="D648" i="18" s="1"/>
  <c r="D672" i="18" s="1"/>
  <c r="D696" i="18" s="1"/>
  <c r="D720" i="18" s="1"/>
  <c r="D744" i="18" s="1"/>
  <c r="D768" i="18" s="1"/>
  <c r="D792" i="18" s="1"/>
  <c r="D816" i="18" s="1"/>
  <c r="D840" i="18" s="1"/>
  <c r="D864" i="18" s="1"/>
  <c r="D888" i="18" s="1"/>
  <c r="D912" i="18" s="1"/>
  <c r="D936" i="18" s="1"/>
  <c r="D960" i="18" s="1"/>
  <c r="D984" i="18" s="1"/>
  <c r="D1008" i="18" s="1"/>
  <c r="D1032" i="18" s="1"/>
  <c r="D1056" i="18" s="1"/>
  <c r="D1080" i="18" s="1"/>
  <c r="D1104" i="18" s="1"/>
  <c r="D1128" i="18" s="1"/>
  <c r="D1152" i="18" s="1"/>
  <c r="D1176" i="18" s="1"/>
  <c r="E47" i="18"/>
  <c r="D47" i="18"/>
  <c r="E46" i="18"/>
  <c r="D46" i="18"/>
  <c r="D70" i="18" s="1"/>
  <c r="D94" i="18" s="1"/>
  <c r="D118" i="18" s="1"/>
  <c r="D142" i="18" s="1"/>
  <c r="D166" i="18" s="1"/>
  <c r="D190" i="18" s="1"/>
  <c r="D214" i="18" s="1"/>
  <c r="D238" i="18" s="1"/>
  <c r="D262" i="18" s="1"/>
  <c r="D286" i="18" s="1"/>
  <c r="D310" i="18" s="1"/>
  <c r="D334" i="18" s="1"/>
  <c r="D358" i="18" s="1"/>
  <c r="D382" i="18" s="1"/>
  <c r="D406" i="18" s="1"/>
  <c r="D430" i="18" s="1"/>
  <c r="D454" i="18" s="1"/>
  <c r="D478" i="18" s="1"/>
  <c r="D502" i="18" s="1"/>
  <c r="D526" i="18" s="1"/>
  <c r="D550" i="18" s="1"/>
  <c r="D574" i="18" s="1"/>
  <c r="D598" i="18" s="1"/>
  <c r="D622" i="18" s="1"/>
  <c r="D646" i="18" s="1"/>
  <c r="D670" i="18" s="1"/>
  <c r="D694" i="18" s="1"/>
  <c r="D718" i="18" s="1"/>
  <c r="D742" i="18" s="1"/>
  <c r="D766" i="18" s="1"/>
  <c r="D790" i="18" s="1"/>
  <c r="D814" i="18" s="1"/>
  <c r="D838" i="18" s="1"/>
  <c r="D862" i="18" s="1"/>
  <c r="D886" i="18" s="1"/>
  <c r="D910" i="18" s="1"/>
  <c r="D934" i="18" s="1"/>
  <c r="D958" i="18" s="1"/>
  <c r="D982" i="18" s="1"/>
  <c r="D1006" i="18" s="1"/>
  <c r="D1030" i="18" s="1"/>
  <c r="D1054" i="18" s="1"/>
  <c r="D1078" i="18" s="1"/>
  <c r="D1102" i="18" s="1"/>
  <c r="D1126" i="18" s="1"/>
  <c r="D1150" i="18" s="1"/>
  <c r="D1174" i="18" s="1"/>
  <c r="E45" i="18"/>
  <c r="D45" i="18"/>
  <c r="E44" i="18"/>
  <c r="D44" i="18"/>
  <c r="D68" i="18" s="1"/>
  <c r="D92" i="18" s="1"/>
  <c r="D116" i="18" s="1"/>
  <c r="D140" i="18" s="1"/>
  <c r="D164" i="18" s="1"/>
  <c r="D188" i="18" s="1"/>
  <c r="D212" i="18" s="1"/>
  <c r="D236" i="18" s="1"/>
  <c r="D260" i="18" s="1"/>
  <c r="D284" i="18" s="1"/>
  <c r="D308" i="18" s="1"/>
  <c r="D332" i="18" s="1"/>
  <c r="D356" i="18" s="1"/>
  <c r="D380" i="18" s="1"/>
  <c r="D404" i="18" s="1"/>
  <c r="D428" i="18" s="1"/>
  <c r="D452" i="18" s="1"/>
  <c r="D476" i="18" s="1"/>
  <c r="D500" i="18" s="1"/>
  <c r="D524" i="18" s="1"/>
  <c r="D548" i="18" s="1"/>
  <c r="D572" i="18" s="1"/>
  <c r="D596" i="18" s="1"/>
  <c r="D620" i="18" s="1"/>
  <c r="D644" i="18" s="1"/>
  <c r="D668" i="18" s="1"/>
  <c r="D692" i="18" s="1"/>
  <c r="D716" i="18" s="1"/>
  <c r="D740" i="18" s="1"/>
  <c r="D764" i="18" s="1"/>
  <c r="D788" i="18" s="1"/>
  <c r="D812" i="18" s="1"/>
  <c r="D836" i="18" s="1"/>
  <c r="D860" i="18" s="1"/>
  <c r="D884" i="18" s="1"/>
  <c r="D908" i="18" s="1"/>
  <c r="D932" i="18" s="1"/>
  <c r="D956" i="18" s="1"/>
  <c r="D980" i="18" s="1"/>
  <c r="D1004" i="18" s="1"/>
  <c r="D1028" i="18" s="1"/>
  <c r="D1052" i="18" s="1"/>
  <c r="D1076" i="18" s="1"/>
  <c r="D1100" i="18" s="1"/>
  <c r="D1124" i="18" s="1"/>
  <c r="D1148" i="18" s="1"/>
  <c r="D1172" i="18" s="1"/>
  <c r="E43" i="18"/>
  <c r="D43" i="18"/>
  <c r="E42" i="18"/>
  <c r="D42" i="18"/>
  <c r="D66" i="18" s="1"/>
  <c r="D90" i="18" s="1"/>
  <c r="D114" i="18" s="1"/>
  <c r="D138" i="18" s="1"/>
  <c r="D162" i="18" s="1"/>
  <c r="D186" i="18" s="1"/>
  <c r="D210" i="18" s="1"/>
  <c r="D234" i="18" s="1"/>
  <c r="D258" i="18" s="1"/>
  <c r="D282" i="18" s="1"/>
  <c r="D306" i="18" s="1"/>
  <c r="D330" i="18" s="1"/>
  <c r="D354" i="18" s="1"/>
  <c r="D378" i="18" s="1"/>
  <c r="D402" i="18" s="1"/>
  <c r="D426" i="18" s="1"/>
  <c r="D450" i="18" s="1"/>
  <c r="D474" i="18" s="1"/>
  <c r="D498" i="18" s="1"/>
  <c r="D522" i="18" s="1"/>
  <c r="D546" i="18" s="1"/>
  <c r="D570" i="18" s="1"/>
  <c r="D594" i="18" s="1"/>
  <c r="D618" i="18" s="1"/>
  <c r="D642" i="18" s="1"/>
  <c r="D666" i="18" s="1"/>
  <c r="D690" i="18" s="1"/>
  <c r="D714" i="18" s="1"/>
  <c r="D738" i="18" s="1"/>
  <c r="D762" i="18" s="1"/>
  <c r="D786" i="18" s="1"/>
  <c r="D810" i="18" s="1"/>
  <c r="D834" i="18" s="1"/>
  <c r="D858" i="18" s="1"/>
  <c r="D882" i="18" s="1"/>
  <c r="D906" i="18" s="1"/>
  <c r="D930" i="18" s="1"/>
  <c r="D954" i="18" s="1"/>
  <c r="D978" i="18" s="1"/>
  <c r="D1002" i="18" s="1"/>
  <c r="D1026" i="18" s="1"/>
  <c r="D1050" i="18" s="1"/>
  <c r="D1074" i="18" s="1"/>
  <c r="D1098" i="18" s="1"/>
  <c r="D1122" i="18" s="1"/>
  <c r="D1146" i="18" s="1"/>
  <c r="D1170" i="18" s="1"/>
  <c r="E41" i="18"/>
  <c r="D41" i="18"/>
  <c r="E40" i="18"/>
  <c r="D40" i="18"/>
  <c r="D64" i="18" s="1"/>
  <c r="D88" i="18" s="1"/>
  <c r="D112" i="18" s="1"/>
  <c r="D136" i="18" s="1"/>
  <c r="D160" i="18" s="1"/>
  <c r="D184" i="18" s="1"/>
  <c r="D208" i="18" s="1"/>
  <c r="D232" i="18" s="1"/>
  <c r="D256" i="18" s="1"/>
  <c r="D280" i="18" s="1"/>
  <c r="D304" i="18" s="1"/>
  <c r="D328" i="18" s="1"/>
  <c r="D352" i="18" s="1"/>
  <c r="D376" i="18" s="1"/>
  <c r="D400" i="18" s="1"/>
  <c r="D424" i="18" s="1"/>
  <c r="D448" i="18" s="1"/>
  <c r="D472" i="18" s="1"/>
  <c r="D496" i="18" s="1"/>
  <c r="D520" i="18" s="1"/>
  <c r="D544" i="18" s="1"/>
  <c r="D568" i="18" s="1"/>
  <c r="D592" i="18" s="1"/>
  <c r="D616" i="18" s="1"/>
  <c r="D640" i="18" s="1"/>
  <c r="D664" i="18" s="1"/>
  <c r="D688" i="18" s="1"/>
  <c r="D712" i="18" s="1"/>
  <c r="D736" i="18" s="1"/>
  <c r="D760" i="18" s="1"/>
  <c r="D784" i="18" s="1"/>
  <c r="D808" i="18" s="1"/>
  <c r="D832" i="18" s="1"/>
  <c r="D856" i="18" s="1"/>
  <c r="D880" i="18" s="1"/>
  <c r="D904" i="18" s="1"/>
  <c r="D928" i="18" s="1"/>
  <c r="D952" i="18" s="1"/>
  <c r="D976" i="18" s="1"/>
  <c r="D1000" i="18" s="1"/>
  <c r="D1024" i="18" s="1"/>
  <c r="D1048" i="18" s="1"/>
  <c r="D1072" i="18" s="1"/>
  <c r="D1096" i="18" s="1"/>
  <c r="D1120" i="18" s="1"/>
  <c r="D1144" i="18" s="1"/>
  <c r="D1168" i="18" s="1"/>
  <c r="E39" i="18"/>
  <c r="D39" i="18"/>
  <c r="E38" i="18"/>
  <c r="D38" i="18"/>
  <c r="D62" i="18" s="1"/>
  <c r="D86" i="18" s="1"/>
  <c r="D110" i="18" s="1"/>
  <c r="D134" i="18" s="1"/>
  <c r="D158" i="18" s="1"/>
  <c r="D182" i="18" s="1"/>
  <c r="D206" i="18" s="1"/>
  <c r="D230" i="18" s="1"/>
  <c r="D254" i="18" s="1"/>
  <c r="D278" i="18" s="1"/>
  <c r="D302" i="18" s="1"/>
  <c r="D326" i="18" s="1"/>
  <c r="D350" i="18" s="1"/>
  <c r="D374" i="18" s="1"/>
  <c r="D398" i="18" s="1"/>
  <c r="D422" i="18" s="1"/>
  <c r="D446" i="18" s="1"/>
  <c r="D470" i="18" s="1"/>
  <c r="D494" i="18" s="1"/>
  <c r="D518" i="18" s="1"/>
  <c r="D542" i="18" s="1"/>
  <c r="D566" i="18" s="1"/>
  <c r="D590" i="18" s="1"/>
  <c r="D614" i="18" s="1"/>
  <c r="D638" i="18" s="1"/>
  <c r="D662" i="18" s="1"/>
  <c r="D686" i="18" s="1"/>
  <c r="D710" i="18" s="1"/>
  <c r="D734" i="18" s="1"/>
  <c r="D758" i="18" s="1"/>
  <c r="D782" i="18" s="1"/>
  <c r="D806" i="18" s="1"/>
  <c r="D830" i="18" s="1"/>
  <c r="D854" i="18" s="1"/>
  <c r="D878" i="18" s="1"/>
  <c r="D902" i="18" s="1"/>
  <c r="D926" i="18" s="1"/>
  <c r="D950" i="18" s="1"/>
  <c r="D974" i="18" s="1"/>
  <c r="D998" i="18" s="1"/>
  <c r="D1022" i="18" s="1"/>
  <c r="D1046" i="18" s="1"/>
  <c r="D1070" i="18" s="1"/>
  <c r="D1094" i="18" s="1"/>
  <c r="D1118" i="18" s="1"/>
  <c r="D1142" i="18" s="1"/>
  <c r="D1166" i="18" s="1"/>
  <c r="E37" i="18"/>
  <c r="D37" i="18"/>
  <c r="E36" i="18"/>
  <c r="D36" i="18"/>
  <c r="D60" i="18" s="1"/>
  <c r="D84" i="18" s="1"/>
  <c r="D108" i="18" s="1"/>
  <c r="D132" i="18" s="1"/>
  <c r="D156" i="18" s="1"/>
  <c r="D180" i="18" s="1"/>
  <c r="D204" i="18" s="1"/>
  <c r="D228" i="18" s="1"/>
  <c r="D252" i="18" s="1"/>
  <c r="D276" i="18" s="1"/>
  <c r="D300" i="18" s="1"/>
  <c r="D324" i="18" s="1"/>
  <c r="D348" i="18" s="1"/>
  <c r="D372" i="18" s="1"/>
  <c r="D396" i="18" s="1"/>
  <c r="D420" i="18" s="1"/>
  <c r="D444" i="18" s="1"/>
  <c r="D468" i="18" s="1"/>
  <c r="D492" i="18" s="1"/>
  <c r="D516" i="18" s="1"/>
  <c r="D540" i="18" s="1"/>
  <c r="D564" i="18" s="1"/>
  <c r="D588" i="18" s="1"/>
  <c r="D612" i="18" s="1"/>
  <c r="D636" i="18" s="1"/>
  <c r="D660" i="18" s="1"/>
  <c r="D684" i="18" s="1"/>
  <c r="D708" i="18" s="1"/>
  <c r="D732" i="18" s="1"/>
  <c r="D756" i="18" s="1"/>
  <c r="D780" i="18" s="1"/>
  <c r="D804" i="18" s="1"/>
  <c r="D828" i="18" s="1"/>
  <c r="D852" i="18" s="1"/>
  <c r="D876" i="18" s="1"/>
  <c r="D900" i="18" s="1"/>
  <c r="D924" i="18" s="1"/>
  <c r="D948" i="18" s="1"/>
  <c r="D972" i="18" s="1"/>
  <c r="D996" i="18" s="1"/>
  <c r="D1020" i="18" s="1"/>
  <c r="D1044" i="18" s="1"/>
  <c r="D1068" i="18" s="1"/>
  <c r="D1092" i="18" s="1"/>
  <c r="D1116" i="18" s="1"/>
  <c r="D1140" i="18" s="1"/>
  <c r="D1164" i="18" s="1"/>
  <c r="E35" i="18"/>
  <c r="D35" i="18"/>
  <c r="E34" i="18"/>
  <c r="D34" i="18"/>
  <c r="D58" i="18" s="1"/>
  <c r="D82" i="18" s="1"/>
  <c r="D106" i="18" s="1"/>
  <c r="D130" i="18" s="1"/>
  <c r="D154" i="18" s="1"/>
  <c r="D178" i="18" s="1"/>
  <c r="D202" i="18" s="1"/>
  <c r="D226" i="18" s="1"/>
  <c r="D250" i="18" s="1"/>
  <c r="D274" i="18" s="1"/>
  <c r="D298" i="18" s="1"/>
  <c r="D322" i="18" s="1"/>
  <c r="D346" i="18" s="1"/>
  <c r="D370" i="18" s="1"/>
  <c r="D394" i="18" s="1"/>
  <c r="D418" i="18" s="1"/>
  <c r="D442" i="18" s="1"/>
  <c r="D466" i="18" s="1"/>
  <c r="D490" i="18" s="1"/>
  <c r="D514" i="18" s="1"/>
  <c r="D538" i="18" s="1"/>
  <c r="D562" i="18" s="1"/>
  <c r="D586" i="18" s="1"/>
  <c r="D610" i="18" s="1"/>
  <c r="D634" i="18" s="1"/>
  <c r="D658" i="18" s="1"/>
  <c r="D682" i="18" s="1"/>
  <c r="D706" i="18" s="1"/>
  <c r="D730" i="18" s="1"/>
  <c r="D754" i="18" s="1"/>
  <c r="D778" i="18" s="1"/>
  <c r="D802" i="18" s="1"/>
  <c r="D826" i="18" s="1"/>
  <c r="D850" i="18" s="1"/>
  <c r="D874" i="18" s="1"/>
  <c r="D898" i="18" s="1"/>
  <c r="D922" i="18" s="1"/>
  <c r="D946" i="18" s="1"/>
  <c r="D970" i="18" s="1"/>
  <c r="D994" i="18" s="1"/>
  <c r="D1018" i="18" s="1"/>
  <c r="D1042" i="18" s="1"/>
  <c r="D1066" i="18" s="1"/>
  <c r="D1090" i="18" s="1"/>
  <c r="D1114" i="18" s="1"/>
  <c r="D1138" i="18" s="1"/>
  <c r="D1162" i="18" s="1"/>
  <c r="E33" i="18"/>
  <c r="D33" i="18"/>
  <c r="E32" i="18"/>
  <c r="D32" i="18"/>
  <c r="D56" i="18" s="1"/>
  <c r="D80" i="18" s="1"/>
  <c r="D104" i="18" s="1"/>
  <c r="D128" i="18" s="1"/>
  <c r="D152" i="18" s="1"/>
  <c r="D176" i="18" s="1"/>
  <c r="D200" i="18" s="1"/>
  <c r="D224" i="18" s="1"/>
  <c r="D248" i="18" s="1"/>
  <c r="D272" i="18" s="1"/>
  <c r="D296" i="18" s="1"/>
  <c r="D320" i="18" s="1"/>
  <c r="D344" i="18" s="1"/>
  <c r="D368" i="18" s="1"/>
  <c r="D392" i="18" s="1"/>
  <c r="D416" i="18" s="1"/>
  <c r="D440" i="18" s="1"/>
  <c r="D464" i="18" s="1"/>
  <c r="D488" i="18" s="1"/>
  <c r="D512" i="18" s="1"/>
  <c r="D536" i="18" s="1"/>
  <c r="D560" i="18" s="1"/>
  <c r="D584" i="18" s="1"/>
  <c r="D608" i="18" s="1"/>
  <c r="D632" i="18" s="1"/>
  <c r="D656" i="18" s="1"/>
  <c r="D680" i="18" s="1"/>
  <c r="D704" i="18" s="1"/>
  <c r="D728" i="18" s="1"/>
  <c r="D752" i="18" s="1"/>
  <c r="D776" i="18" s="1"/>
  <c r="D800" i="18" s="1"/>
  <c r="D824" i="18" s="1"/>
  <c r="D848" i="18" s="1"/>
  <c r="D872" i="18" s="1"/>
  <c r="D896" i="18" s="1"/>
  <c r="D920" i="18" s="1"/>
  <c r="D944" i="18" s="1"/>
  <c r="D968" i="18" s="1"/>
  <c r="D992" i="18" s="1"/>
  <c r="D1016" i="18" s="1"/>
  <c r="D1040" i="18" s="1"/>
  <c r="D1064" i="18" s="1"/>
  <c r="D1088" i="18" s="1"/>
  <c r="D1112" i="18" s="1"/>
  <c r="D1136" i="18" s="1"/>
  <c r="D1160" i="18" s="1"/>
  <c r="E31" i="18"/>
  <c r="D31" i="18"/>
  <c r="E30" i="18"/>
  <c r="D30" i="18"/>
  <c r="D54" i="18" s="1"/>
  <c r="D78" i="18" s="1"/>
  <c r="D102" i="18" s="1"/>
  <c r="D126" i="18" s="1"/>
  <c r="D150" i="18" s="1"/>
  <c r="D174" i="18" s="1"/>
  <c r="D198" i="18" s="1"/>
  <c r="D222" i="18" s="1"/>
  <c r="D246" i="18" s="1"/>
  <c r="D270" i="18" s="1"/>
  <c r="D294" i="18" s="1"/>
  <c r="D318" i="18" s="1"/>
  <c r="D342" i="18" s="1"/>
  <c r="D366" i="18" s="1"/>
  <c r="D390" i="18" s="1"/>
  <c r="D414" i="18" s="1"/>
  <c r="D438" i="18" s="1"/>
  <c r="D462" i="18" s="1"/>
  <c r="D486" i="18" s="1"/>
  <c r="D510" i="18" s="1"/>
  <c r="D534" i="18" s="1"/>
  <c r="D558" i="18" s="1"/>
  <c r="D582" i="18" s="1"/>
  <c r="D606" i="18" s="1"/>
  <c r="D630" i="18" s="1"/>
  <c r="D654" i="18" s="1"/>
  <c r="D678" i="18" s="1"/>
  <c r="D702" i="18" s="1"/>
  <c r="D726" i="18" s="1"/>
  <c r="D750" i="18" s="1"/>
  <c r="D774" i="18" s="1"/>
  <c r="D798" i="18" s="1"/>
  <c r="D822" i="18" s="1"/>
  <c r="D846" i="18" s="1"/>
  <c r="D870" i="18" s="1"/>
  <c r="D894" i="18" s="1"/>
  <c r="D918" i="18" s="1"/>
  <c r="D942" i="18" s="1"/>
  <c r="D966" i="18" s="1"/>
  <c r="D990" i="18" s="1"/>
  <c r="D1014" i="18" s="1"/>
  <c r="D1038" i="18" s="1"/>
  <c r="D1062" i="18" s="1"/>
  <c r="D1086" i="18" s="1"/>
  <c r="D1110" i="18" s="1"/>
  <c r="D1134" i="18" s="1"/>
  <c r="D1158" i="18" s="1"/>
  <c r="C30" i="18"/>
  <c r="B30" i="18"/>
  <c r="D1180" i="19"/>
  <c r="E1180" i="19"/>
  <c r="E1156" i="19"/>
  <c r="E1132" i="19"/>
  <c r="E1108" i="19"/>
  <c r="E1084" i="19"/>
  <c r="E1060" i="19"/>
  <c r="E1036" i="19"/>
  <c r="E1012" i="19"/>
  <c r="E988" i="19"/>
  <c r="E964" i="19"/>
  <c r="E940" i="19"/>
  <c r="E916" i="19"/>
  <c r="E892" i="19"/>
  <c r="E868" i="19"/>
  <c r="E844" i="19"/>
  <c r="E820" i="19"/>
  <c r="E796" i="19"/>
  <c r="E772" i="19"/>
  <c r="E748" i="19"/>
  <c r="E724" i="19"/>
  <c r="E700" i="19"/>
  <c r="E676" i="19"/>
  <c r="E652" i="19"/>
  <c r="E628" i="19"/>
  <c r="E604" i="19"/>
  <c r="E580" i="19"/>
  <c r="E556" i="19"/>
  <c r="E532" i="19"/>
  <c r="E508" i="19"/>
  <c r="E484" i="19"/>
  <c r="E460" i="19"/>
  <c r="E436" i="19"/>
  <c r="E412" i="19"/>
  <c r="E388" i="19"/>
  <c r="E364" i="19"/>
  <c r="E340" i="19"/>
  <c r="E316" i="19"/>
  <c r="E292" i="19"/>
  <c r="E268" i="19"/>
  <c r="E244" i="19"/>
  <c r="E220" i="19"/>
  <c r="E196" i="19"/>
  <c r="E172" i="19"/>
  <c r="E148" i="19"/>
  <c r="E124" i="19"/>
  <c r="E100" i="19"/>
  <c r="E76" i="19"/>
  <c r="B78" i="19"/>
  <c r="E52" i="19"/>
  <c r="D52" i="19"/>
  <c r="D76" i="19" s="1"/>
  <c r="D100" i="19" s="1"/>
  <c r="D124" i="19" s="1"/>
  <c r="D148" i="19" s="1"/>
  <c r="D172" i="19" s="1"/>
  <c r="D196" i="19" s="1"/>
  <c r="D220" i="19" s="1"/>
  <c r="D244" i="19" s="1"/>
  <c r="D268" i="19" s="1"/>
  <c r="D292" i="19" s="1"/>
  <c r="D316" i="19" s="1"/>
  <c r="D340" i="19" s="1"/>
  <c r="D364" i="19" s="1"/>
  <c r="D388" i="19" s="1"/>
  <c r="D412" i="19" s="1"/>
  <c r="D436" i="19" s="1"/>
  <c r="D460" i="19" s="1"/>
  <c r="D484" i="19" s="1"/>
  <c r="D508" i="19" s="1"/>
  <c r="D532" i="19" s="1"/>
  <c r="D556" i="19" s="1"/>
  <c r="D580" i="19" s="1"/>
  <c r="D604" i="19" s="1"/>
  <c r="D628" i="19" s="1"/>
  <c r="D652" i="19" s="1"/>
  <c r="D676" i="19" s="1"/>
  <c r="D700" i="19" s="1"/>
  <c r="D724" i="19" s="1"/>
  <c r="D748" i="19" s="1"/>
  <c r="D772" i="19" s="1"/>
  <c r="D796" i="19" s="1"/>
  <c r="D820" i="19" s="1"/>
  <c r="D844" i="19" s="1"/>
  <c r="D868" i="19" s="1"/>
  <c r="D892" i="19" s="1"/>
  <c r="D916" i="19" s="1"/>
  <c r="D940" i="19" s="1"/>
  <c r="D964" i="19" s="1"/>
  <c r="D988" i="19" s="1"/>
  <c r="D1012" i="19" s="1"/>
  <c r="D1036" i="19" s="1"/>
  <c r="D1060" i="19" s="1"/>
  <c r="D1084" i="19" s="1"/>
  <c r="D1108" i="19" s="1"/>
  <c r="D1132" i="19" s="1"/>
  <c r="D1156" i="19" s="1"/>
  <c r="D53" i="19"/>
  <c r="D77" i="19" s="1"/>
  <c r="D101" i="19" s="1"/>
  <c r="D125" i="19" s="1"/>
  <c r="D149" i="19" s="1"/>
  <c r="D173" i="19" s="1"/>
  <c r="D197" i="19" s="1"/>
  <c r="D221" i="19" s="1"/>
  <c r="D245" i="19" s="1"/>
  <c r="D269" i="19" s="1"/>
  <c r="D293" i="19" s="1"/>
  <c r="D317" i="19" s="1"/>
  <c r="D341" i="19" s="1"/>
  <c r="D365" i="19" s="1"/>
  <c r="D389" i="19" s="1"/>
  <c r="D413" i="19" s="1"/>
  <c r="D437" i="19" s="1"/>
  <c r="D461" i="19" s="1"/>
  <c r="D485" i="19" s="1"/>
  <c r="D509" i="19" s="1"/>
  <c r="D533" i="19" s="1"/>
  <c r="D557" i="19" s="1"/>
  <c r="D581" i="19" s="1"/>
  <c r="D605" i="19" s="1"/>
  <c r="D629" i="19" s="1"/>
  <c r="D653" i="19" s="1"/>
  <c r="D677" i="19" s="1"/>
  <c r="D701" i="19" s="1"/>
  <c r="D725" i="19" s="1"/>
  <c r="D749" i="19" s="1"/>
  <c r="D773" i="19" s="1"/>
  <c r="D797" i="19" s="1"/>
  <c r="D821" i="19" s="1"/>
  <c r="D845" i="19" s="1"/>
  <c r="D869" i="19" s="1"/>
  <c r="D893" i="19" s="1"/>
  <c r="D917" i="19" s="1"/>
  <c r="D941" i="19" s="1"/>
  <c r="D965" i="19" s="1"/>
  <c r="D989" i="19" s="1"/>
  <c r="D1013" i="19" s="1"/>
  <c r="D1037" i="19" s="1"/>
  <c r="D1061" i="19" s="1"/>
  <c r="D1085" i="19" s="1"/>
  <c r="D1109" i="19" s="1"/>
  <c r="D1133" i="19" s="1"/>
  <c r="D1157" i="19" s="1"/>
  <c r="D1181" i="19" s="1"/>
  <c r="E53" i="19"/>
  <c r="C54" i="19"/>
  <c r="E1181" i="19"/>
  <c r="E1179" i="19"/>
  <c r="E1178" i="19"/>
  <c r="E1177" i="19"/>
  <c r="E1176" i="19"/>
  <c r="E1175" i="19"/>
  <c r="E1174" i="19"/>
  <c r="E1173" i="19"/>
  <c r="E1172" i="19"/>
  <c r="E1171" i="19"/>
  <c r="E1170" i="19"/>
  <c r="E1169" i="19"/>
  <c r="E1168" i="19"/>
  <c r="E1167" i="19"/>
  <c r="E1166" i="19"/>
  <c r="E1165" i="19"/>
  <c r="E1164" i="19"/>
  <c r="E1163" i="19"/>
  <c r="E1162" i="19"/>
  <c r="E1161" i="19"/>
  <c r="E1160" i="19"/>
  <c r="E1159" i="19"/>
  <c r="E1158" i="19"/>
  <c r="C1158" i="19"/>
  <c r="E1157" i="19"/>
  <c r="E1155" i="19"/>
  <c r="E1154" i="19"/>
  <c r="E1153" i="19"/>
  <c r="E1152" i="19"/>
  <c r="E1151" i="19"/>
  <c r="E1150" i="19"/>
  <c r="E1149" i="19"/>
  <c r="E1148" i="19"/>
  <c r="E1147" i="19"/>
  <c r="E1146" i="19"/>
  <c r="E1145" i="19"/>
  <c r="E1144" i="19"/>
  <c r="E1143" i="19"/>
  <c r="E1142" i="19"/>
  <c r="E1141" i="19"/>
  <c r="E1140" i="19"/>
  <c r="E1139" i="19"/>
  <c r="E1138" i="19"/>
  <c r="E1137" i="19"/>
  <c r="E1136" i="19"/>
  <c r="E1135" i="19"/>
  <c r="E1134" i="19"/>
  <c r="C1134" i="19"/>
  <c r="B1134" i="19"/>
  <c r="E1133" i="19"/>
  <c r="E1131" i="19"/>
  <c r="E1130" i="19"/>
  <c r="E1129" i="19"/>
  <c r="E1128" i="19"/>
  <c r="E1127" i="19"/>
  <c r="E1126" i="19"/>
  <c r="E1125" i="19"/>
  <c r="E1124" i="19"/>
  <c r="E1123" i="19"/>
  <c r="E1122" i="19"/>
  <c r="E1121" i="19"/>
  <c r="E1120" i="19"/>
  <c r="E1119" i="19"/>
  <c r="E1118" i="19"/>
  <c r="E1117" i="19"/>
  <c r="E1116" i="19"/>
  <c r="E1115" i="19"/>
  <c r="E1114" i="19"/>
  <c r="E1113" i="19"/>
  <c r="E1112" i="19"/>
  <c r="E1111" i="19"/>
  <c r="E1110" i="19"/>
  <c r="C1110" i="19"/>
  <c r="B1110" i="19"/>
  <c r="E1109" i="19"/>
  <c r="E1107" i="19"/>
  <c r="E1106" i="19"/>
  <c r="E1105" i="19"/>
  <c r="E1104" i="19"/>
  <c r="E1103" i="19"/>
  <c r="E1102" i="19"/>
  <c r="E1101" i="19"/>
  <c r="E1100" i="19"/>
  <c r="E1099" i="19"/>
  <c r="E1098" i="19"/>
  <c r="E1097" i="19"/>
  <c r="E1096" i="19"/>
  <c r="E1095" i="19"/>
  <c r="E1094" i="19"/>
  <c r="E1093" i="19"/>
  <c r="E1092" i="19"/>
  <c r="E1091" i="19"/>
  <c r="E1090" i="19"/>
  <c r="E1089" i="19"/>
  <c r="E1088" i="19"/>
  <c r="E1087" i="19"/>
  <c r="E1086" i="19"/>
  <c r="C1086" i="19"/>
  <c r="B1086" i="19"/>
  <c r="E1085" i="19"/>
  <c r="E1083" i="19"/>
  <c r="E1082" i="19"/>
  <c r="E1081" i="19"/>
  <c r="E1080" i="19"/>
  <c r="E1079" i="19"/>
  <c r="E1078" i="19"/>
  <c r="E1077" i="19"/>
  <c r="E1076" i="19"/>
  <c r="E1075" i="19"/>
  <c r="E1074" i="19"/>
  <c r="E1073" i="19"/>
  <c r="E1072" i="19"/>
  <c r="E1071" i="19"/>
  <c r="E1070" i="19"/>
  <c r="E1069" i="19"/>
  <c r="E1068" i="19"/>
  <c r="E1067" i="19"/>
  <c r="E1066" i="19"/>
  <c r="E1065" i="19"/>
  <c r="E1064" i="19"/>
  <c r="E1063" i="19"/>
  <c r="E1062" i="19"/>
  <c r="C1062" i="19"/>
  <c r="B1062" i="19"/>
  <c r="E1061" i="19"/>
  <c r="E1059" i="19"/>
  <c r="E1058" i="19"/>
  <c r="E1057" i="19"/>
  <c r="E1056" i="19"/>
  <c r="E1055" i="19"/>
  <c r="E1054" i="19"/>
  <c r="E1053" i="19"/>
  <c r="E1052" i="19"/>
  <c r="E1051" i="19"/>
  <c r="E1050" i="19"/>
  <c r="E1049" i="19"/>
  <c r="E1048" i="19"/>
  <c r="E1047" i="19"/>
  <c r="E1046" i="19"/>
  <c r="E1045" i="19"/>
  <c r="E1044" i="19"/>
  <c r="E1043" i="19"/>
  <c r="E1042" i="19"/>
  <c r="E1041" i="19"/>
  <c r="E1040" i="19"/>
  <c r="E1039" i="19"/>
  <c r="E1038" i="19"/>
  <c r="C1038" i="19"/>
  <c r="B1038" i="19"/>
  <c r="E1037" i="19"/>
  <c r="E1035" i="19"/>
  <c r="E1034" i="19"/>
  <c r="E1033" i="19"/>
  <c r="E1032" i="19"/>
  <c r="E1031" i="19"/>
  <c r="E1030" i="19"/>
  <c r="E1029" i="19"/>
  <c r="E1028" i="19"/>
  <c r="E1027" i="19"/>
  <c r="E1026" i="19"/>
  <c r="E1025" i="19"/>
  <c r="E1024" i="19"/>
  <c r="E1023" i="19"/>
  <c r="E1022" i="19"/>
  <c r="E1021" i="19"/>
  <c r="E1020" i="19"/>
  <c r="E1019" i="19"/>
  <c r="E1018" i="19"/>
  <c r="E1017" i="19"/>
  <c r="E1016" i="19"/>
  <c r="E1015" i="19"/>
  <c r="E1014" i="19"/>
  <c r="C1014" i="19"/>
  <c r="B1014" i="19"/>
  <c r="E1013" i="19"/>
  <c r="E1011" i="19"/>
  <c r="E1010" i="19"/>
  <c r="E1009" i="19"/>
  <c r="E1008" i="19"/>
  <c r="E1007" i="19"/>
  <c r="E1006" i="19"/>
  <c r="E1005" i="19"/>
  <c r="E1004" i="19"/>
  <c r="E1003" i="19"/>
  <c r="E1002" i="19"/>
  <c r="E1001" i="19"/>
  <c r="E1000" i="19"/>
  <c r="E999" i="19"/>
  <c r="E998" i="19"/>
  <c r="E997" i="19"/>
  <c r="E996" i="19"/>
  <c r="E995" i="19"/>
  <c r="E994" i="19"/>
  <c r="E993" i="19"/>
  <c r="E992" i="19"/>
  <c r="E991" i="19"/>
  <c r="E990" i="19"/>
  <c r="C990" i="19"/>
  <c r="B990" i="19"/>
  <c r="E989" i="19"/>
  <c r="E987" i="19"/>
  <c r="E986" i="19"/>
  <c r="E985" i="19"/>
  <c r="E984" i="19"/>
  <c r="E983" i="19"/>
  <c r="E982" i="19"/>
  <c r="E981" i="19"/>
  <c r="E980" i="19"/>
  <c r="E979" i="19"/>
  <c r="E978" i="19"/>
  <c r="E977" i="19"/>
  <c r="E976" i="19"/>
  <c r="E975" i="19"/>
  <c r="E974" i="19"/>
  <c r="E973" i="19"/>
  <c r="E972" i="19"/>
  <c r="E971" i="19"/>
  <c r="E970" i="19"/>
  <c r="E969" i="19"/>
  <c r="E968" i="19"/>
  <c r="E967" i="19"/>
  <c r="E966" i="19"/>
  <c r="C966" i="19"/>
  <c r="B966" i="19"/>
  <c r="E965" i="19"/>
  <c r="E963" i="19"/>
  <c r="E962" i="19"/>
  <c r="E961" i="19"/>
  <c r="E960" i="19"/>
  <c r="E959" i="19"/>
  <c r="E958" i="19"/>
  <c r="E957" i="19"/>
  <c r="E956" i="19"/>
  <c r="E955" i="19"/>
  <c r="E954" i="19"/>
  <c r="E953" i="19"/>
  <c r="E952" i="19"/>
  <c r="E951" i="19"/>
  <c r="E950" i="19"/>
  <c r="E949" i="19"/>
  <c r="E948" i="19"/>
  <c r="E947" i="19"/>
  <c r="E946" i="19"/>
  <c r="E945" i="19"/>
  <c r="E944" i="19"/>
  <c r="E943" i="19"/>
  <c r="E942" i="19"/>
  <c r="C942" i="19"/>
  <c r="B942" i="19"/>
  <c r="E941" i="19"/>
  <c r="E939" i="19"/>
  <c r="E938" i="19"/>
  <c r="E937" i="19"/>
  <c r="E936" i="19"/>
  <c r="E935" i="19"/>
  <c r="E934" i="19"/>
  <c r="E933" i="19"/>
  <c r="E932" i="19"/>
  <c r="E931" i="19"/>
  <c r="E930" i="19"/>
  <c r="E929" i="19"/>
  <c r="E928" i="19"/>
  <c r="E927" i="19"/>
  <c r="E926" i="19"/>
  <c r="E925" i="19"/>
  <c r="E924" i="19"/>
  <c r="E923" i="19"/>
  <c r="E922" i="19"/>
  <c r="E921" i="19"/>
  <c r="E920" i="19"/>
  <c r="E919" i="19"/>
  <c r="E918" i="19"/>
  <c r="C918" i="19"/>
  <c r="B918" i="19"/>
  <c r="E917" i="19"/>
  <c r="E915" i="19"/>
  <c r="E914" i="19"/>
  <c r="E913" i="19"/>
  <c r="E912" i="19"/>
  <c r="E911" i="19"/>
  <c r="E910" i="19"/>
  <c r="E909" i="19"/>
  <c r="E908" i="19"/>
  <c r="E907" i="19"/>
  <c r="E906" i="19"/>
  <c r="E905" i="19"/>
  <c r="E904" i="19"/>
  <c r="E903" i="19"/>
  <c r="E902" i="19"/>
  <c r="E901" i="19"/>
  <c r="E900" i="19"/>
  <c r="E899" i="19"/>
  <c r="E898" i="19"/>
  <c r="E897" i="19"/>
  <c r="E896" i="19"/>
  <c r="E895" i="19"/>
  <c r="E894" i="19"/>
  <c r="C894" i="19"/>
  <c r="B894" i="19"/>
  <c r="E893" i="19"/>
  <c r="E891" i="19"/>
  <c r="E890" i="19"/>
  <c r="E889" i="19"/>
  <c r="E888" i="19"/>
  <c r="E887" i="19"/>
  <c r="E886" i="19"/>
  <c r="E885" i="19"/>
  <c r="E884" i="19"/>
  <c r="E883" i="19"/>
  <c r="E882" i="19"/>
  <c r="E881" i="19"/>
  <c r="E880" i="19"/>
  <c r="E879" i="19"/>
  <c r="E878" i="19"/>
  <c r="E877" i="19"/>
  <c r="E876" i="19"/>
  <c r="E875" i="19"/>
  <c r="E874" i="19"/>
  <c r="E873" i="19"/>
  <c r="E872" i="19"/>
  <c r="E871" i="19"/>
  <c r="E870" i="19"/>
  <c r="C870" i="19"/>
  <c r="B870" i="19"/>
  <c r="E869" i="19"/>
  <c r="E867" i="19"/>
  <c r="E866" i="19"/>
  <c r="E865" i="19"/>
  <c r="E864" i="19"/>
  <c r="E863" i="19"/>
  <c r="E862" i="19"/>
  <c r="E861" i="19"/>
  <c r="E860" i="19"/>
  <c r="E859" i="19"/>
  <c r="E858" i="19"/>
  <c r="E857" i="19"/>
  <c r="E856" i="19"/>
  <c r="E855" i="19"/>
  <c r="E854" i="19"/>
  <c r="E853" i="19"/>
  <c r="E852" i="19"/>
  <c r="E851" i="19"/>
  <c r="E850" i="19"/>
  <c r="E849" i="19"/>
  <c r="E848" i="19"/>
  <c r="E847" i="19"/>
  <c r="E846" i="19"/>
  <c r="C846" i="19"/>
  <c r="B846" i="19"/>
  <c r="E845" i="19"/>
  <c r="E843" i="19"/>
  <c r="E842" i="19"/>
  <c r="E841" i="19"/>
  <c r="E840" i="19"/>
  <c r="E839" i="19"/>
  <c r="E838" i="19"/>
  <c r="E837" i="19"/>
  <c r="E836" i="19"/>
  <c r="E835" i="19"/>
  <c r="E834" i="19"/>
  <c r="E833" i="19"/>
  <c r="E832" i="19"/>
  <c r="E831" i="19"/>
  <c r="E830" i="19"/>
  <c r="E829" i="19"/>
  <c r="E828" i="19"/>
  <c r="E827" i="19"/>
  <c r="E826" i="19"/>
  <c r="E825" i="19"/>
  <c r="E824" i="19"/>
  <c r="E823" i="19"/>
  <c r="E822" i="19"/>
  <c r="C822" i="19"/>
  <c r="B822" i="19"/>
  <c r="E821" i="19"/>
  <c r="E819" i="19"/>
  <c r="E818" i="19"/>
  <c r="E817" i="19"/>
  <c r="E816" i="19"/>
  <c r="E815" i="19"/>
  <c r="E814" i="19"/>
  <c r="E813" i="19"/>
  <c r="E812" i="19"/>
  <c r="E811" i="19"/>
  <c r="E810" i="19"/>
  <c r="E809" i="19"/>
  <c r="E808" i="19"/>
  <c r="E807" i="19"/>
  <c r="E806" i="19"/>
  <c r="E805" i="19"/>
  <c r="E804" i="19"/>
  <c r="E803" i="19"/>
  <c r="E802" i="19"/>
  <c r="E801" i="19"/>
  <c r="E800" i="19"/>
  <c r="E799" i="19"/>
  <c r="E798" i="19"/>
  <c r="C798" i="19"/>
  <c r="B798" i="19"/>
  <c r="E797" i="19"/>
  <c r="E795" i="19"/>
  <c r="E794" i="19"/>
  <c r="E793" i="19"/>
  <c r="E792" i="19"/>
  <c r="E791" i="19"/>
  <c r="E790" i="19"/>
  <c r="E789" i="19"/>
  <c r="E788" i="19"/>
  <c r="E787" i="19"/>
  <c r="E786" i="19"/>
  <c r="E785" i="19"/>
  <c r="E784" i="19"/>
  <c r="E783" i="19"/>
  <c r="E782" i="19"/>
  <c r="E781" i="19"/>
  <c r="E780" i="19"/>
  <c r="E779" i="19"/>
  <c r="E778" i="19"/>
  <c r="E777" i="19"/>
  <c r="E776" i="19"/>
  <c r="E775" i="19"/>
  <c r="E774" i="19"/>
  <c r="C774" i="19"/>
  <c r="B774" i="19"/>
  <c r="E773" i="19"/>
  <c r="E771" i="19"/>
  <c r="E770" i="19"/>
  <c r="E769" i="19"/>
  <c r="E768" i="19"/>
  <c r="E767" i="19"/>
  <c r="E766" i="19"/>
  <c r="E765" i="19"/>
  <c r="E764" i="19"/>
  <c r="E763" i="19"/>
  <c r="E762" i="19"/>
  <c r="E761" i="19"/>
  <c r="E760" i="19"/>
  <c r="E759" i="19"/>
  <c r="E758" i="19"/>
  <c r="E757" i="19"/>
  <c r="E756" i="19"/>
  <c r="E755" i="19"/>
  <c r="E754" i="19"/>
  <c r="E753" i="19"/>
  <c r="E752" i="19"/>
  <c r="E751" i="19"/>
  <c r="E750" i="19"/>
  <c r="C750" i="19"/>
  <c r="B750" i="19"/>
  <c r="E749" i="19"/>
  <c r="E747" i="19"/>
  <c r="E746" i="19"/>
  <c r="E745" i="19"/>
  <c r="E744" i="19"/>
  <c r="E743" i="19"/>
  <c r="E742" i="19"/>
  <c r="E741" i="19"/>
  <c r="E740" i="19"/>
  <c r="E739" i="19"/>
  <c r="E738" i="19"/>
  <c r="E737" i="19"/>
  <c r="E736" i="19"/>
  <c r="E735" i="19"/>
  <c r="E734" i="19"/>
  <c r="E733" i="19"/>
  <c r="E732" i="19"/>
  <c r="E731" i="19"/>
  <c r="E730" i="19"/>
  <c r="E729" i="19"/>
  <c r="E728" i="19"/>
  <c r="E727" i="19"/>
  <c r="E726" i="19"/>
  <c r="C726" i="19"/>
  <c r="B726" i="19"/>
  <c r="E725" i="19"/>
  <c r="E723" i="19"/>
  <c r="E722" i="19"/>
  <c r="E721" i="19"/>
  <c r="E720" i="19"/>
  <c r="E719" i="19"/>
  <c r="E718" i="19"/>
  <c r="E717" i="19"/>
  <c r="E716" i="19"/>
  <c r="E715" i="19"/>
  <c r="E714" i="19"/>
  <c r="E713" i="19"/>
  <c r="E712" i="19"/>
  <c r="E711" i="19"/>
  <c r="E710" i="19"/>
  <c r="E709" i="19"/>
  <c r="E708" i="19"/>
  <c r="E707" i="19"/>
  <c r="E706" i="19"/>
  <c r="E705" i="19"/>
  <c r="E704" i="19"/>
  <c r="E703" i="19"/>
  <c r="E702" i="19"/>
  <c r="C702" i="19"/>
  <c r="B702" i="19"/>
  <c r="E701" i="19"/>
  <c r="E699" i="19"/>
  <c r="E698" i="19"/>
  <c r="E697" i="19"/>
  <c r="E696" i="19"/>
  <c r="E695" i="19"/>
  <c r="E694" i="19"/>
  <c r="E693" i="19"/>
  <c r="E692" i="19"/>
  <c r="E691" i="19"/>
  <c r="E690" i="19"/>
  <c r="E689" i="19"/>
  <c r="E688" i="19"/>
  <c r="E687" i="19"/>
  <c r="E686" i="19"/>
  <c r="E685" i="19"/>
  <c r="E684" i="19"/>
  <c r="E683" i="19"/>
  <c r="E682" i="19"/>
  <c r="E681" i="19"/>
  <c r="E680" i="19"/>
  <c r="E679" i="19"/>
  <c r="E678" i="19"/>
  <c r="C678" i="19"/>
  <c r="B678" i="19"/>
  <c r="E677" i="19"/>
  <c r="E675" i="19"/>
  <c r="E674" i="19"/>
  <c r="E673" i="19"/>
  <c r="E672" i="19"/>
  <c r="E671" i="19"/>
  <c r="E670" i="19"/>
  <c r="E669" i="19"/>
  <c r="E668" i="19"/>
  <c r="E667" i="19"/>
  <c r="E666" i="19"/>
  <c r="E665" i="19"/>
  <c r="E664" i="19"/>
  <c r="E663" i="19"/>
  <c r="E662" i="19"/>
  <c r="E661" i="19"/>
  <c r="E660" i="19"/>
  <c r="E659" i="19"/>
  <c r="E658" i="19"/>
  <c r="E657" i="19"/>
  <c r="E656" i="19"/>
  <c r="E655" i="19"/>
  <c r="E654" i="19"/>
  <c r="C654" i="19"/>
  <c r="B654" i="19"/>
  <c r="E653" i="19"/>
  <c r="E651" i="19"/>
  <c r="E650" i="19"/>
  <c r="E649" i="19"/>
  <c r="E648" i="19"/>
  <c r="E647" i="19"/>
  <c r="E646" i="19"/>
  <c r="E645" i="19"/>
  <c r="E644" i="19"/>
  <c r="E643" i="19"/>
  <c r="E642" i="19"/>
  <c r="E641" i="19"/>
  <c r="E640" i="19"/>
  <c r="E639" i="19"/>
  <c r="E638" i="19"/>
  <c r="E637" i="19"/>
  <c r="E636" i="19"/>
  <c r="E635" i="19"/>
  <c r="E634" i="19"/>
  <c r="E633" i="19"/>
  <c r="E632" i="19"/>
  <c r="E631" i="19"/>
  <c r="E630" i="19"/>
  <c r="C630" i="19"/>
  <c r="B630" i="19"/>
  <c r="E629" i="19"/>
  <c r="E627" i="19"/>
  <c r="E626" i="19"/>
  <c r="E625" i="19"/>
  <c r="E624" i="19"/>
  <c r="E623" i="19"/>
  <c r="E622" i="19"/>
  <c r="E621" i="19"/>
  <c r="E620" i="19"/>
  <c r="E619" i="19"/>
  <c r="E618" i="19"/>
  <c r="E617" i="19"/>
  <c r="E616" i="19"/>
  <c r="E615" i="19"/>
  <c r="E614" i="19"/>
  <c r="E613" i="19"/>
  <c r="E612" i="19"/>
  <c r="E611" i="19"/>
  <c r="E610" i="19"/>
  <c r="E609" i="19"/>
  <c r="E608" i="19"/>
  <c r="E607" i="19"/>
  <c r="E606" i="19"/>
  <c r="C606" i="19"/>
  <c r="B606" i="19"/>
  <c r="E605" i="19"/>
  <c r="E603" i="19"/>
  <c r="E602" i="19"/>
  <c r="E601" i="19"/>
  <c r="E600" i="19"/>
  <c r="E599" i="19"/>
  <c r="E598" i="19"/>
  <c r="E597" i="19"/>
  <c r="E596" i="19"/>
  <c r="E595" i="19"/>
  <c r="E594" i="19"/>
  <c r="E593" i="19"/>
  <c r="E592" i="19"/>
  <c r="E591" i="19"/>
  <c r="E590" i="19"/>
  <c r="E589" i="19"/>
  <c r="E588" i="19"/>
  <c r="E587" i="19"/>
  <c r="E586" i="19"/>
  <c r="E585" i="19"/>
  <c r="E584" i="19"/>
  <c r="E583" i="19"/>
  <c r="E582" i="19"/>
  <c r="C582" i="19"/>
  <c r="B582" i="19"/>
  <c r="E581" i="19"/>
  <c r="E579" i="19"/>
  <c r="E578" i="19"/>
  <c r="E577" i="19"/>
  <c r="E576" i="19"/>
  <c r="E575" i="19"/>
  <c r="E574" i="19"/>
  <c r="E573" i="19"/>
  <c r="E572" i="19"/>
  <c r="E571" i="19"/>
  <c r="E570" i="19"/>
  <c r="E569" i="19"/>
  <c r="E568" i="19"/>
  <c r="E567" i="19"/>
  <c r="E566" i="19"/>
  <c r="E565" i="19"/>
  <c r="E564" i="19"/>
  <c r="E563" i="19"/>
  <c r="E562" i="19"/>
  <c r="E561" i="19"/>
  <c r="E560" i="19"/>
  <c r="E559" i="19"/>
  <c r="E558" i="19"/>
  <c r="C558" i="19"/>
  <c r="B558" i="19"/>
  <c r="E557" i="19"/>
  <c r="E555" i="19"/>
  <c r="E554" i="19"/>
  <c r="E553" i="19"/>
  <c r="E552" i="19"/>
  <c r="E551" i="19"/>
  <c r="E550" i="19"/>
  <c r="E549" i="19"/>
  <c r="E548" i="19"/>
  <c r="E547" i="19"/>
  <c r="E546" i="19"/>
  <c r="E545" i="19"/>
  <c r="E544" i="19"/>
  <c r="E543" i="19"/>
  <c r="E542" i="19"/>
  <c r="E541" i="19"/>
  <c r="E540" i="19"/>
  <c r="E539" i="19"/>
  <c r="E538" i="19"/>
  <c r="E537" i="19"/>
  <c r="E536" i="19"/>
  <c r="E535" i="19"/>
  <c r="E534" i="19"/>
  <c r="C534" i="19"/>
  <c r="B534" i="19"/>
  <c r="E533" i="19"/>
  <c r="E531" i="19"/>
  <c r="E530" i="19"/>
  <c r="E529" i="19"/>
  <c r="E528" i="19"/>
  <c r="E527" i="19"/>
  <c r="E526" i="19"/>
  <c r="E525" i="19"/>
  <c r="E524" i="19"/>
  <c r="E523" i="19"/>
  <c r="E522" i="19"/>
  <c r="E521" i="19"/>
  <c r="E520" i="19"/>
  <c r="E519" i="19"/>
  <c r="E518" i="19"/>
  <c r="E517" i="19"/>
  <c r="E516" i="19"/>
  <c r="E515" i="19"/>
  <c r="E514" i="19"/>
  <c r="E513" i="19"/>
  <c r="E512" i="19"/>
  <c r="E511" i="19"/>
  <c r="E510" i="19"/>
  <c r="C510" i="19"/>
  <c r="B510" i="19"/>
  <c r="E509" i="19"/>
  <c r="E507" i="19"/>
  <c r="E506" i="19"/>
  <c r="E505" i="19"/>
  <c r="E504" i="19"/>
  <c r="E503" i="19"/>
  <c r="E502" i="19"/>
  <c r="E501" i="19"/>
  <c r="E500" i="19"/>
  <c r="E499" i="19"/>
  <c r="E498" i="19"/>
  <c r="E497" i="19"/>
  <c r="E496" i="19"/>
  <c r="E495" i="19"/>
  <c r="E494" i="19"/>
  <c r="E493" i="19"/>
  <c r="E492" i="19"/>
  <c r="E491" i="19"/>
  <c r="E490" i="19"/>
  <c r="E489" i="19"/>
  <c r="E488" i="19"/>
  <c r="E487" i="19"/>
  <c r="E486" i="19"/>
  <c r="C486" i="19"/>
  <c r="B486" i="19"/>
  <c r="E485" i="19"/>
  <c r="E483" i="19"/>
  <c r="E482" i="19"/>
  <c r="E481" i="19"/>
  <c r="E480" i="19"/>
  <c r="E479" i="19"/>
  <c r="E478" i="19"/>
  <c r="E477" i="19"/>
  <c r="E476" i="19"/>
  <c r="E475" i="19"/>
  <c r="E474" i="19"/>
  <c r="E473" i="19"/>
  <c r="E472" i="19"/>
  <c r="E471" i="19"/>
  <c r="E470" i="19"/>
  <c r="E469" i="19"/>
  <c r="E468" i="19"/>
  <c r="E467" i="19"/>
  <c r="E466" i="19"/>
  <c r="E465" i="19"/>
  <c r="E464" i="19"/>
  <c r="E463" i="19"/>
  <c r="E462" i="19"/>
  <c r="C462" i="19"/>
  <c r="B462" i="19"/>
  <c r="E461" i="19"/>
  <c r="E459" i="19"/>
  <c r="E458" i="19"/>
  <c r="E457" i="19"/>
  <c r="E456" i="19"/>
  <c r="E455" i="19"/>
  <c r="E454" i="19"/>
  <c r="E453" i="19"/>
  <c r="E452" i="19"/>
  <c r="E451" i="19"/>
  <c r="E450" i="19"/>
  <c r="E449" i="19"/>
  <c r="E448" i="19"/>
  <c r="E447" i="19"/>
  <c r="E446" i="19"/>
  <c r="E445" i="19"/>
  <c r="E444" i="19"/>
  <c r="E443" i="19"/>
  <c r="E442" i="19"/>
  <c r="E441" i="19"/>
  <c r="E440" i="19"/>
  <c r="E439" i="19"/>
  <c r="E438" i="19"/>
  <c r="C438" i="19"/>
  <c r="B438" i="19"/>
  <c r="E437" i="19"/>
  <c r="E435" i="19"/>
  <c r="E434" i="19"/>
  <c r="E433" i="19"/>
  <c r="E432" i="19"/>
  <c r="E431" i="19"/>
  <c r="E430" i="19"/>
  <c r="E429" i="19"/>
  <c r="E428" i="19"/>
  <c r="E427" i="19"/>
  <c r="E426" i="19"/>
  <c r="E425" i="19"/>
  <c r="E424" i="19"/>
  <c r="E423" i="19"/>
  <c r="E422" i="19"/>
  <c r="E421" i="19"/>
  <c r="E420" i="19"/>
  <c r="E419" i="19"/>
  <c r="E418" i="19"/>
  <c r="E417" i="19"/>
  <c r="E416" i="19"/>
  <c r="E415" i="19"/>
  <c r="E414" i="19"/>
  <c r="C414" i="19"/>
  <c r="B414" i="19"/>
  <c r="E413" i="19"/>
  <c r="E411" i="19"/>
  <c r="E410" i="19"/>
  <c r="E409" i="19"/>
  <c r="E408" i="19"/>
  <c r="E407" i="19"/>
  <c r="E406" i="19"/>
  <c r="E405" i="19"/>
  <c r="E404" i="19"/>
  <c r="E403" i="19"/>
  <c r="E402" i="19"/>
  <c r="E401" i="19"/>
  <c r="E400" i="19"/>
  <c r="E399" i="19"/>
  <c r="E398" i="19"/>
  <c r="E397" i="19"/>
  <c r="E396" i="19"/>
  <c r="E395" i="19"/>
  <c r="E394" i="19"/>
  <c r="E393" i="19"/>
  <c r="E392" i="19"/>
  <c r="E391" i="19"/>
  <c r="E390" i="19"/>
  <c r="C390" i="19"/>
  <c r="B390" i="19"/>
  <c r="E389" i="19"/>
  <c r="E387" i="19"/>
  <c r="E386" i="19"/>
  <c r="E385" i="19"/>
  <c r="E384" i="19"/>
  <c r="E383" i="19"/>
  <c r="E382" i="19"/>
  <c r="E381" i="19"/>
  <c r="E380" i="19"/>
  <c r="E379" i="19"/>
  <c r="E378" i="19"/>
  <c r="E377" i="19"/>
  <c r="E376" i="19"/>
  <c r="E375" i="19"/>
  <c r="E374" i="19"/>
  <c r="E373" i="19"/>
  <c r="E372" i="19"/>
  <c r="E371" i="19"/>
  <c r="E370" i="19"/>
  <c r="E369" i="19"/>
  <c r="E368" i="19"/>
  <c r="E367" i="19"/>
  <c r="E366" i="19"/>
  <c r="C366" i="19"/>
  <c r="B366" i="19"/>
  <c r="E365" i="19"/>
  <c r="E363" i="19"/>
  <c r="E362" i="19"/>
  <c r="E361" i="19"/>
  <c r="E360" i="19"/>
  <c r="E359" i="19"/>
  <c r="E358" i="19"/>
  <c r="E357" i="19"/>
  <c r="E356" i="19"/>
  <c r="E355" i="19"/>
  <c r="E354" i="19"/>
  <c r="E353" i="19"/>
  <c r="E352" i="19"/>
  <c r="E351" i="19"/>
  <c r="E350" i="19"/>
  <c r="E349" i="19"/>
  <c r="E348" i="19"/>
  <c r="E347" i="19"/>
  <c r="E346" i="19"/>
  <c r="E345" i="19"/>
  <c r="E344" i="19"/>
  <c r="E343" i="19"/>
  <c r="E342" i="19"/>
  <c r="C342" i="19"/>
  <c r="B342" i="19"/>
  <c r="E341" i="19"/>
  <c r="E339" i="19"/>
  <c r="E338" i="19"/>
  <c r="E337" i="19"/>
  <c r="E336" i="19"/>
  <c r="E335" i="19"/>
  <c r="E334" i="19"/>
  <c r="E333" i="19"/>
  <c r="E332" i="19"/>
  <c r="E331" i="19"/>
  <c r="E330" i="19"/>
  <c r="E329" i="19"/>
  <c r="E328" i="19"/>
  <c r="E327" i="19"/>
  <c r="E326" i="19"/>
  <c r="E325" i="19"/>
  <c r="E324" i="19"/>
  <c r="E323" i="19"/>
  <c r="E322" i="19"/>
  <c r="E321" i="19"/>
  <c r="E320" i="19"/>
  <c r="E319" i="19"/>
  <c r="E318" i="19"/>
  <c r="C318" i="19"/>
  <c r="B318" i="19"/>
  <c r="E317" i="19"/>
  <c r="E315" i="19"/>
  <c r="E314" i="19"/>
  <c r="E313" i="19"/>
  <c r="E312" i="19"/>
  <c r="E311" i="19"/>
  <c r="E310" i="19"/>
  <c r="E309" i="19"/>
  <c r="E308" i="19"/>
  <c r="E307" i="19"/>
  <c r="E306" i="19"/>
  <c r="E305" i="19"/>
  <c r="E304" i="19"/>
  <c r="E303" i="19"/>
  <c r="E302" i="19"/>
  <c r="E301" i="19"/>
  <c r="E300" i="19"/>
  <c r="E299" i="19"/>
  <c r="E298" i="19"/>
  <c r="E297" i="19"/>
  <c r="E296" i="19"/>
  <c r="E295" i="19"/>
  <c r="E294" i="19"/>
  <c r="C294" i="19"/>
  <c r="B294" i="19"/>
  <c r="E293" i="19"/>
  <c r="E291" i="19"/>
  <c r="E290" i="19"/>
  <c r="E289" i="19"/>
  <c r="E288" i="19"/>
  <c r="E287" i="19"/>
  <c r="E286" i="19"/>
  <c r="E285" i="19"/>
  <c r="E284" i="19"/>
  <c r="E283" i="19"/>
  <c r="E282" i="19"/>
  <c r="E281" i="19"/>
  <c r="E280" i="19"/>
  <c r="E279" i="19"/>
  <c r="E278" i="19"/>
  <c r="E277" i="19"/>
  <c r="E276" i="19"/>
  <c r="E275" i="19"/>
  <c r="E274" i="19"/>
  <c r="E273" i="19"/>
  <c r="E272" i="19"/>
  <c r="E271" i="19"/>
  <c r="E270" i="19"/>
  <c r="C270" i="19"/>
  <c r="B270" i="19"/>
  <c r="E269" i="19"/>
  <c r="E267" i="19"/>
  <c r="E266" i="19"/>
  <c r="E265" i="19"/>
  <c r="E264" i="19"/>
  <c r="E263" i="19"/>
  <c r="E262" i="19"/>
  <c r="E261" i="19"/>
  <c r="E260" i="19"/>
  <c r="E259" i="19"/>
  <c r="E258" i="19"/>
  <c r="E257" i="19"/>
  <c r="E256" i="19"/>
  <c r="E255" i="19"/>
  <c r="E254" i="19"/>
  <c r="E253" i="19"/>
  <c r="E252" i="19"/>
  <c r="E251" i="19"/>
  <c r="E250" i="19"/>
  <c r="E249" i="19"/>
  <c r="E248" i="19"/>
  <c r="E247" i="19"/>
  <c r="E246" i="19"/>
  <c r="C246" i="19"/>
  <c r="B246" i="19"/>
  <c r="E245" i="19"/>
  <c r="E243" i="19"/>
  <c r="E242" i="19"/>
  <c r="E241" i="19"/>
  <c r="E240" i="19"/>
  <c r="E239" i="19"/>
  <c r="E238" i="19"/>
  <c r="E237" i="19"/>
  <c r="E236" i="19"/>
  <c r="E235" i="19"/>
  <c r="E234" i="19"/>
  <c r="E233" i="19"/>
  <c r="E232" i="19"/>
  <c r="E231" i="19"/>
  <c r="E230" i="19"/>
  <c r="E229" i="19"/>
  <c r="E228" i="19"/>
  <c r="E227" i="19"/>
  <c r="E226" i="19"/>
  <c r="E225" i="19"/>
  <c r="E224" i="19"/>
  <c r="E223" i="19"/>
  <c r="E222" i="19"/>
  <c r="C222" i="19"/>
  <c r="B222" i="19"/>
  <c r="E221" i="19"/>
  <c r="E219" i="19"/>
  <c r="E218" i="19"/>
  <c r="E217" i="19"/>
  <c r="E216" i="19"/>
  <c r="E215" i="19"/>
  <c r="E214" i="19"/>
  <c r="E213" i="19"/>
  <c r="E212" i="19"/>
  <c r="E211" i="19"/>
  <c r="E210" i="19"/>
  <c r="E209" i="19"/>
  <c r="E208" i="19"/>
  <c r="E207" i="19"/>
  <c r="E206" i="19"/>
  <c r="E205" i="19"/>
  <c r="E204" i="19"/>
  <c r="E203" i="19"/>
  <c r="E202" i="19"/>
  <c r="E201" i="19"/>
  <c r="E200" i="19"/>
  <c r="E199" i="19"/>
  <c r="E198" i="19"/>
  <c r="C198" i="19"/>
  <c r="B198" i="19"/>
  <c r="E197" i="19"/>
  <c r="E195" i="19"/>
  <c r="E194" i="19"/>
  <c r="E193" i="19"/>
  <c r="E192" i="19"/>
  <c r="E191" i="19"/>
  <c r="E190" i="19"/>
  <c r="E189" i="19"/>
  <c r="E188" i="19"/>
  <c r="E187" i="19"/>
  <c r="E186" i="19"/>
  <c r="E185" i="19"/>
  <c r="E184" i="19"/>
  <c r="E183" i="19"/>
  <c r="E182" i="19"/>
  <c r="E181" i="19"/>
  <c r="E180" i="19"/>
  <c r="E179" i="19"/>
  <c r="E178" i="19"/>
  <c r="E177" i="19"/>
  <c r="E176" i="19"/>
  <c r="E175" i="19"/>
  <c r="E174" i="19"/>
  <c r="C174" i="19"/>
  <c r="B174" i="19"/>
  <c r="E173" i="19"/>
  <c r="E171" i="19"/>
  <c r="E170" i="19"/>
  <c r="E169" i="19"/>
  <c r="E168" i="19"/>
  <c r="E167" i="19"/>
  <c r="E166" i="19"/>
  <c r="E165" i="19"/>
  <c r="E164" i="19"/>
  <c r="E163" i="19"/>
  <c r="E162" i="19"/>
  <c r="E161" i="19"/>
  <c r="E160" i="19"/>
  <c r="E159" i="19"/>
  <c r="E158" i="19"/>
  <c r="E157" i="19"/>
  <c r="E156" i="19"/>
  <c r="E155" i="19"/>
  <c r="E154" i="19"/>
  <c r="E153" i="19"/>
  <c r="E152" i="19"/>
  <c r="E151" i="19"/>
  <c r="E150" i="19"/>
  <c r="C150" i="19"/>
  <c r="B150" i="19"/>
  <c r="E149" i="19"/>
  <c r="E147" i="19"/>
  <c r="E146" i="19"/>
  <c r="E145" i="19"/>
  <c r="E144" i="19"/>
  <c r="E143" i="19"/>
  <c r="E142" i="19"/>
  <c r="E141" i="19"/>
  <c r="E140" i="19"/>
  <c r="E139" i="19"/>
  <c r="E138" i="19"/>
  <c r="E137" i="19"/>
  <c r="E136" i="19"/>
  <c r="E135" i="19"/>
  <c r="E134" i="19"/>
  <c r="E133" i="19"/>
  <c r="E132" i="19"/>
  <c r="E131" i="19"/>
  <c r="E130" i="19"/>
  <c r="E129" i="19"/>
  <c r="E128" i="19"/>
  <c r="E127" i="19"/>
  <c r="E126" i="19"/>
  <c r="C126" i="19"/>
  <c r="B126" i="19"/>
  <c r="E125" i="19"/>
  <c r="E123" i="19"/>
  <c r="E122" i="19"/>
  <c r="E121" i="19"/>
  <c r="E120" i="19"/>
  <c r="E119" i="19"/>
  <c r="E118" i="19"/>
  <c r="E117" i="19"/>
  <c r="E116" i="19"/>
  <c r="E115" i="19"/>
  <c r="E114" i="19"/>
  <c r="E113" i="19"/>
  <c r="E112" i="19"/>
  <c r="E111" i="19"/>
  <c r="E110" i="19"/>
  <c r="E109" i="19"/>
  <c r="E108" i="19"/>
  <c r="E107" i="19"/>
  <c r="E106" i="19"/>
  <c r="E105" i="19"/>
  <c r="E104" i="19"/>
  <c r="E103" i="19"/>
  <c r="E102" i="19"/>
  <c r="C102" i="19"/>
  <c r="B102" i="19"/>
  <c r="E101" i="19"/>
  <c r="E99" i="19"/>
  <c r="E98" i="19"/>
  <c r="E97" i="19"/>
  <c r="E96" i="19"/>
  <c r="E95" i="19"/>
  <c r="E94" i="19"/>
  <c r="E93" i="19"/>
  <c r="E92" i="19"/>
  <c r="E91" i="19"/>
  <c r="E90" i="19"/>
  <c r="E89" i="19"/>
  <c r="E88" i="19"/>
  <c r="E87" i="19"/>
  <c r="E86" i="19"/>
  <c r="E85" i="19"/>
  <c r="E84" i="19"/>
  <c r="E83" i="19"/>
  <c r="E82" i="19"/>
  <c r="E81" i="19"/>
  <c r="E80" i="19"/>
  <c r="E79" i="19"/>
  <c r="E78" i="19"/>
  <c r="C78" i="19"/>
  <c r="E77" i="19"/>
  <c r="E75" i="19"/>
  <c r="E74" i="19"/>
  <c r="E73" i="19"/>
  <c r="E72" i="19"/>
  <c r="E71" i="19"/>
  <c r="E70" i="19"/>
  <c r="E69" i="19"/>
  <c r="E68" i="19"/>
  <c r="E67" i="19"/>
  <c r="E66" i="19"/>
  <c r="E65" i="19"/>
  <c r="E64" i="19"/>
  <c r="E63" i="19"/>
  <c r="E62" i="19"/>
  <c r="E61" i="19"/>
  <c r="E60" i="19"/>
  <c r="E59" i="19"/>
  <c r="E58" i="19"/>
  <c r="E57" i="19"/>
  <c r="E56" i="19"/>
  <c r="E55" i="19"/>
  <c r="E54" i="19"/>
  <c r="B54" i="19"/>
  <c r="E51" i="19"/>
  <c r="D51" i="19"/>
  <c r="D75" i="19" s="1"/>
  <c r="D99" i="19" s="1"/>
  <c r="D123" i="19" s="1"/>
  <c r="D147" i="19" s="1"/>
  <c r="D171" i="19" s="1"/>
  <c r="D195" i="19" s="1"/>
  <c r="D219" i="19" s="1"/>
  <c r="D243" i="19" s="1"/>
  <c r="D267" i="19" s="1"/>
  <c r="D291" i="19" s="1"/>
  <c r="D315" i="19" s="1"/>
  <c r="D339" i="19" s="1"/>
  <c r="D363" i="19" s="1"/>
  <c r="D387" i="19" s="1"/>
  <c r="D411" i="19" s="1"/>
  <c r="D435" i="19" s="1"/>
  <c r="D459" i="19" s="1"/>
  <c r="D483" i="19" s="1"/>
  <c r="D507" i="19" s="1"/>
  <c r="D531" i="19" s="1"/>
  <c r="D555" i="19" s="1"/>
  <c r="D579" i="19" s="1"/>
  <c r="D603" i="19" s="1"/>
  <c r="D627" i="19" s="1"/>
  <c r="D651" i="19" s="1"/>
  <c r="D675" i="19" s="1"/>
  <c r="D699" i="19" s="1"/>
  <c r="D723" i="19" s="1"/>
  <c r="D747" i="19" s="1"/>
  <c r="D771" i="19" s="1"/>
  <c r="D795" i="19" s="1"/>
  <c r="D819" i="19" s="1"/>
  <c r="D843" i="19" s="1"/>
  <c r="D867" i="19" s="1"/>
  <c r="D891" i="19" s="1"/>
  <c r="D915" i="19" s="1"/>
  <c r="D939" i="19" s="1"/>
  <c r="D963" i="19" s="1"/>
  <c r="D987" i="19" s="1"/>
  <c r="D1011" i="19" s="1"/>
  <c r="D1035" i="19" s="1"/>
  <c r="D1059" i="19" s="1"/>
  <c r="D1083" i="19" s="1"/>
  <c r="D1107" i="19" s="1"/>
  <c r="D1131" i="19" s="1"/>
  <c r="D1155" i="19" s="1"/>
  <c r="D1179" i="19" s="1"/>
  <c r="E50" i="19"/>
  <c r="D50" i="19"/>
  <c r="D74" i="19" s="1"/>
  <c r="D98" i="19" s="1"/>
  <c r="D122" i="19" s="1"/>
  <c r="D146" i="19" s="1"/>
  <c r="D170" i="19" s="1"/>
  <c r="D194" i="19" s="1"/>
  <c r="D218" i="19" s="1"/>
  <c r="D242" i="19" s="1"/>
  <c r="D266" i="19" s="1"/>
  <c r="D290" i="19" s="1"/>
  <c r="D314" i="19" s="1"/>
  <c r="D338" i="19" s="1"/>
  <c r="D362" i="19" s="1"/>
  <c r="D386" i="19" s="1"/>
  <c r="D410" i="19" s="1"/>
  <c r="D434" i="19" s="1"/>
  <c r="D458" i="19" s="1"/>
  <c r="D482" i="19" s="1"/>
  <c r="D506" i="19" s="1"/>
  <c r="D530" i="19" s="1"/>
  <c r="D554" i="19" s="1"/>
  <c r="D578" i="19" s="1"/>
  <c r="D602" i="19" s="1"/>
  <c r="D626" i="19" s="1"/>
  <c r="D650" i="19" s="1"/>
  <c r="D674" i="19" s="1"/>
  <c r="D698" i="19" s="1"/>
  <c r="D722" i="19" s="1"/>
  <c r="D746" i="19" s="1"/>
  <c r="D770" i="19" s="1"/>
  <c r="D794" i="19" s="1"/>
  <c r="D818" i="19" s="1"/>
  <c r="D842" i="19" s="1"/>
  <c r="D866" i="19" s="1"/>
  <c r="D890" i="19" s="1"/>
  <c r="D914" i="19" s="1"/>
  <c r="D938" i="19" s="1"/>
  <c r="D962" i="19" s="1"/>
  <c r="D986" i="19" s="1"/>
  <c r="D1010" i="19" s="1"/>
  <c r="D1034" i="19" s="1"/>
  <c r="D1058" i="19" s="1"/>
  <c r="D1082" i="19" s="1"/>
  <c r="D1106" i="19" s="1"/>
  <c r="D1130" i="19" s="1"/>
  <c r="D1154" i="19" s="1"/>
  <c r="D1178" i="19" s="1"/>
  <c r="E49" i="19"/>
  <c r="D49" i="19"/>
  <c r="D73" i="19" s="1"/>
  <c r="D97" i="19" s="1"/>
  <c r="D121" i="19" s="1"/>
  <c r="D145" i="19" s="1"/>
  <c r="D169" i="19" s="1"/>
  <c r="D193" i="19" s="1"/>
  <c r="D217" i="19" s="1"/>
  <c r="D241" i="19" s="1"/>
  <c r="D265" i="19" s="1"/>
  <c r="D289" i="19" s="1"/>
  <c r="D313" i="19" s="1"/>
  <c r="D337" i="19" s="1"/>
  <c r="D361" i="19" s="1"/>
  <c r="D385" i="19" s="1"/>
  <c r="D409" i="19" s="1"/>
  <c r="D433" i="19" s="1"/>
  <c r="D457" i="19" s="1"/>
  <c r="D481" i="19" s="1"/>
  <c r="D505" i="19" s="1"/>
  <c r="D529" i="19" s="1"/>
  <c r="D553" i="19" s="1"/>
  <c r="D577" i="19" s="1"/>
  <c r="D601" i="19" s="1"/>
  <c r="D625" i="19" s="1"/>
  <c r="D649" i="19" s="1"/>
  <c r="D673" i="19" s="1"/>
  <c r="D697" i="19" s="1"/>
  <c r="D721" i="19" s="1"/>
  <c r="D745" i="19" s="1"/>
  <c r="D769" i="19" s="1"/>
  <c r="D793" i="19" s="1"/>
  <c r="D817" i="19" s="1"/>
  <c r="D841" i="19" s="1"/>
  <c r="D865" i="19" s="1"/>
  <c r="D889" i="19" s="1"/>
  <c r="D913" i="19" s="1"/>
  <c r="D937" i="19" s="1"/>
  <c r="D961" i="19" s="1"/>
  <c r="D985" i="19" s="1"/>
  <c r="D1009" i="19" s="1"/>
  <c r="D1033" i="19" s="1"/>
  <c r="D1057" i="19" s="1"/>
  <c r="D1081" i="19" s="1"/>
  <c r="D1105" i="19" s="1"/>
  <c r="D1129" i="19" s="1"/>
  <c r="D1153" i="19" s="1"/>
  <c r="D1177" i="19" s="1"/>
  <c r="E48" i="19"/>
  <c r="D48" i="19"/>
  <c r="D72" i="19" s="1"/>
  <c r="D96" i="19" s="1"/>
  <c r="D120" i="19" s="1"/>
  <c r="D144" i="19" s="1"/>
  <c r="D168" i="19" s="1"/>
  <c r="D192" i="19" s="1"/>
  <c r="D216" i="19" s="1"/>
  <c r="D240" i="19" s="1"/>
  <c r="D264" i="19" s="1"/>
  <c r="D288" i="19" s="1"/>
  <c r="D312" i="19" s="1"/>
  <c r="D336" i="19" s="1"/>
  <c r="D360" i="19" s="1"/>
  <c r="D384" i="19" s="1"/>
  <c r="D408" i="19" s="1"/>
  <c r="D432" i="19" s="1"/>
  <c r="D456" i="19" s="1"/>
  <c r="D480" i="19" s="1"/>
  <c r="D504" i="19" s="1"/>
  <c r="D528" i="19" s="1"/>
  <c r="D552" i="19" s="1"/>
  <c r="D576" i="19" s="1"/>
  <c r="D600" i="19" s="1"/>
  <c r="D624" i="19" s="1"/>
  <c r="D648" i="19" s="1"/>
  <c r="D672" i="19" s="1"/>
  <c r="D696" i="19" s="1"/>
  <c r="D720" i="19" s="1"/>
  <c r="D744" i="19" s="1"/>
  <c r="D768" i="19" s="1"/>
  <c r="D792" i="19" s="1"/>
  <c r="D816" i="19" s="1"/>
  <c r="D840" i="19" s="1"/>
  <c r="D864" i="19" s="1"/>
  <c r="D888" i="19" s="1"/>
  <c r="D912" i="19" s="1"/>
  <c r="D936" i="19" s="1"/>
  <c r="D960" i="19" s="1"/>
  <c r="D984" i="19" s="1"/>
  <c r="D1008" i="19" s="1"/>
  <c r="D1032" i="19" s="1"/>
  <c r="D1056" i="19" s="1"/>
  <c r="D1080" i="19" s="1"/>
  <c r="D1104" i="19" s="1"/>
  <c r="D1128" i="19" s="1"/>
  <c r="D1152" i="19" s="1"/>
  <c r="D1176" i="19" s="1"/>
  <c r="E47" i="19"/>
  <c r="D47" i="19"/>
  <c r="D71" i="19" s="1"/>
  <c r="D95" i="19" s="1"/>
  <c r="D119" i="19" s="1"/>
  <c r="D143" i="19" s="1"/>
  <c r="D167" i="19" s="1"/>
  <c r="D191" i="19" s="1"/>
  <c r="D215" i="19" s="1"/>
  <c r="D239" i="19" s="1"/>
  <c r="D263" i="19" s="1"/>
  <c r="D287" i="19" s="1"/>
  <c r="D311" i="19" s="1"/>
  <c r="D335" i="19" s="1"/>
  <c r="D359" i="19" s="1"/>
  <c r="D383" i="19" s="1"/>
  <c r="D407" i="19" s="1"/>
  <c r="D431" i="19" s="1"/>
  <c r="D455" i="19" s="1"/>
  <c r="D479" i="19" s="1"/>
  <c r="D503" i="19" s="1"/>
  <c r="D527" i="19" s="1"/>
  <c r="D551" i="19" s="1"/>
  <c r="D575" i="19" s="1"/>
  <c r="D599" i="19" s="1"/>
  <c r="D623" i="19" s="1"/>
  <c r="D647" i="19" s="1"/>
  <c r="D671" i="19" s="1"/>
  <c r="D695" i="19" s="1"/>
  <c r="D719" i="19" s="1"/>
  <c r="D743" i="19" s="1"/>
  <c r="D767" i="19" s="1"/>
  <c r="D791" i="19" s="1"/>
  <c r="D815" i="19" s="1"/>
  <c r="D839" i="19" s="1"/>
  <c r="D863" i="19" s="1"/>
  <c r="D887" i="19" s="1"/>
  <c r="D911" i="19" s="1"/>
  <c r="D935" i="19" s="1"/>
  <c r="D959" i="19" s="1"/>
  <c r="D983" i="19" s="1"/>
  <c r="D1007" i="19" s="1"/>
  <c r="D1031" i="19" s="1"/>
  <c r="D1055" i="19" s="1"/>
  <c r="D1079" i="19" s="1"/>
  <c r="D1103" i="19" s="1"/>
  <c r="D1127" i="19" s="1"/>
  <c r="D1151" i="19" s="1"/>
  <c r="D1175" i="19" s="1"/>
  <c r="E46" i="19"/>
  <c r="D46" i="19"/>
  <c r="D70" i="19" s="1"/>
  <c r="D94" i="19" s="1"/>
  <c r="D118" i="19" s="1"/>
  <c r="D142" i="19" s="1"/>
  <c r="D166" i="19" s="1"/>
  <c r="D190" i="19" s="1"/>
  <c r="D214" i="19" s="1"/>
  <c r="D238" i="19" s="1"/>
  <c r="D262" i="19" s="1"/>
  <c r="D286" i="19" s="1"/>
  <c r="D310" i="19" s="1"/>
  <c r="D334" i="19" s="1"/>
  <c r="D358" i="19" s="1"/>
  <c r="D382" i="19" s="1"/>
  <c r="D406" i="19" s="1"/>
  <c r="D430" i="19" s="1"/>
  <c r="D454" i="19" s="1"/>
  <c r="D478" i="19" s="1"/>
  <c r="D502" i="19" s="1"/>
  <c r="D526" i="19" s="1"/>
  <c r="D550" i="19" s="1"/>
  <c r="D574" i="19" s="1"/>
  <c r="D598" i="19" s="1"/>
  <c r="D622" i="19" s="1"/>
  <c r="D646" i="19" s="1"/>
  <c r="D670" i="19" s="1"/>
  <c r="D694" i="19" s="1"/>
  <c r="D718" i="19" s="1"/>
  <c r="D742" i="19" s="1"/>
  <c r="D766" i="19" s="1"/>
  <c r="D790" i="19" s="1"/>
  <c r="D814" i="19" s="1"/>
  <c r="D838" i="19" s="1"/>
  <c r="D862" i="19" s="1"/>
  <c r="D886" i="19" s="1"/>
  <c r="D910" i="19" s="1"/>
  <c r="D934" i="19" s="1"/>
  <c r="D958" i="19" s="1"/>
  <c r="D982" i="19" s="1"/>
  <c r="D1006" i="19" s="1"/>
  <c r="D1030" i="19" s="1"/>
  <c r="D1054" i="19" s="1"/>
  <c r="D1078" i="19" s="1"/>
  <c r="D1102" i="19" s="1"/>
  <c r="D1126" i="19" s="1"/>
  <c r="D1150" i="19" s="1"/>
  <c r="D1174" i="19" s="1"/>
  <c r="E45" i="19"/>
  <c r="D45" i="19"/>
  <c r="D69" i="19" s="1"/>
  <c r="D93" i="19" s="1"/>
  <c r="D117" i="19" s="1"/>
  <c r="D141" i="19" s="1"/>
  <c r="D165" i="19" s="1"/>
  <c r="D189" i="19" s="1"/>
  <c r="D213" i="19" s="1"/>
  <c r="D237" i="19" s="1"/>
  <c r="D261" i="19" s="1"/>
  <c r="D285" i="19" s="1"/>
  <c r="D309" i="19" s="1"/>
  <c r="D333" i="19" s="1"/>
  <c r="D357" i="19" s="1"/>
  <c r="D381" i="19" s="1"/>
  <c r="D405" i="19" s="1"/>
  <c r="D429" i="19" s="1"/>
  <c r="D453" i="19" s="1"/>
  <c r="D477" i="19" s="1"/>
  <c r="D501" i="19" s="1"/>
  <c r="D525" i="19" s="1"/>
  <c r="D549" i="19" s="1"/>
  <c r="D573" i="19" s="1"/>
  <c r="D597" i="19" s="1"/>
  <c r="D621" i="19" s="1"/>
  <c r="D645" i="19" s="1"/>
  <c r="D669" i="19" s="1"/>
  <c r="D693" i="19" s="1"/>
  <c r="D717" i="19" s="1"/>
  <c r="D741" i="19" s="1"/>
  <c r="D765" i="19" s="1"/>
  <c r="D789" i="19" s="1"/>
  <c r="D813" i="19" s="1"/>
  <c r="D837" i="19" s="1"/>
  <c r="D861" i="19" s="1"/>
  <c r="D885" i="19" s="1"/>
  <c r="D909" i="19" s="1"/>
  <c r="D933" i="19" s="1"/>
  <c r="D957" i="19" s="1"/>
  <c r="D981" i="19" s="1"/>
  <c r="D1005" i="19" s="1"/>
  <c r="D1029" i="19" s="1"/>
  <c r="D1053" i="19" s="1"/>
  <c r="D1077" i="19" s="1"/>
  <c r="D1101" i="19" s="1"/>
  <c r="D1125" i="19" s="1"/>
  <c r="D1149" i="19" s="1"/>
  <c r="D1173" i="19" s="1"/>
  <c r="E44" i="19"/>
  <c r="D44" i="19"/>
  <c r="D68" i="19" s="1"/>
  <c r="D92" i="19" s="1"/>
  <c r="D116" i="19" s="1"/>
  <c r="D140" i="19" s="1"/>
  <c r="D164" i="19" s="1"/>
  <c r="D188" i="19" s="1"/>
  <c r="D212" i="19" s="1"/>
  <c r="D236" i="19" s="1"/>
  <c r="D260" i="19" s="1"/>
  <c r="D284" i="19" s="1"/>
  <c r="D308" i="19" s="1"/>
  <c r="D332" i="19" s="1"/>
  <c r="D356" i="19" s="1"/>
  <c r="D380" i="19" s="1"/>
  <c r="D404" i="19" s="1"/>
  <c r="D428" i="19" s="1"/>
  <c r="D452" i="19" s="1"/>
  <c r="D476" i="19" s="1"/>
  <c r="D500" i="19" s="1"/>
  <c r="D524" i="19" s="1"/>
  <c r="D548" i="19" s="1"/>
  <c r="D572" i="19" s="1"/>
  <c r="D596" i="19" s="1"/>
  <c r="D620" i="19" s="1"/>
  <c r="D644" i="19" s="1"/>
  <c r="D668" i="19" s="1"/>
  <c r="D692" i="19" s="1"/>
  <c r="D716" i="19" s="1"/>
  <c r="D740" i="19" s="1"/>
  <c r="D764" i="19" s="1"/>
  <c r="D788" i="19" s="1"/>
  <c r="D812" i="19" s="1"/>
  <c r="D836" i="19" s="1"/>
  <c r="D860" i="19" s="1"/>
  <c r="D884" i="19" s="1"/>
  <c r="D908" i="19" s="1"/>
  <c r="D932" i="19" s="1"/>
  <c r="D956" i="19" s="1"/>
  <c r="D980" i="19" s="1"/>
  <c r="D1004" i="19" s="1"/>
  <c r="D1028" i="19" s="1"/>
  <c r="D1052" i="19" s="1"/>
  <c r="D1076" i="19" s="1"/>
  <c r="D1100" i="19" s="1"/>
  <c r="D1124" i="19" s="1"/>
  <c r="D1148" i="19" s="1"/>
  <c r="D1172" i="19" s="1"/>
  <c r="E43" i="19"/>
  <c r="D43" i="19"/>
  <c r="D67" i="19" s="1"/>
  <c r="D91" i="19" s="1"/>
  <c r="D115" i="19" s="1"/>
  <c r="D139" i="19" s="1"/>
  <c r="D163" i="19" s="1"/>
  <c r="D187" i="19" s="1"/>
  <c r="D211" i="19" s="1"/>
  <c r="D235" i="19" s="1"/>
  <c r="D259" i="19" s="1"/>
  <c r="D283" i="19" s="1"/>
  <c r="D307" i="19" s="1"/>
  <c r="D331" i="19" s="1"/>
  <c r="D355" i="19" s="1"/>
  <c r="D379" i="19" s="1"/>
  <c r="D403" i="19" s="1"/>
  <c r="D427" i="19" s="1"/>
  <c r="D451" i="19" s="1"/>
  <c r="D475" i="19" s="1"/>
  <c r="D499" i="19" s="1"/>
  <c r="D523" i="19" s="1"/>
  <c r="D547" i="19" s="1"/>
  <c r="D571" i="19" s="1"/>
  <c r="D595" i="19" s="1"/>
  <c r="D619" i="19" s="1"/>
  <c r="D643" i="19" s="1"/>
  <c r="D667" i="19" s="1"/>
  <c r="D691" i="19" s="1"/>
  <c r="D715" i="19" s="1"/>
  <c r="D739" i="19" s="1"/>
  <c r="D763" i="19" s="1"/>
  <c r="D787" i="19" s="1"/>
  <c r="D811" i="19" s="1"/>
  <c r="D835" i="19" s="1"/>
  <c r="D859" i="19" s="1"/>
  <c r="D883" i="19" s="1"/>
  <c r="D907" i="19" s="1"/>
  <c r="D931" i="19" s="1"/>
  <c r="D955" i="19" s="1"/>
  <c r="D979" i="19" s="1"/>
  <c r="D1003" i="19" s="1"/>
  <c r="D1027" i="19" s="1"/>
  <c r="D1051" i="19" s="1"/>
  <c r="D1075" i="19" s="1"/>
  <c r="D1099" i="19" s="1"/>
  <c r="D1123" i="19" s="1"/>
  <c r="D1147" i="19" s="1"/>
  <c r="D1171" i="19" s="1"/>
  <c r="E42" i="19"/>
  <c r="D42" i="19"/>
  <c r="D66" i="19" s="1"/>
  <c r="D90" i="19" s="1"/>
  <c r="D114" i="19" s="1"/>
  <c r="D138" i="19" s="1"/>
  <c r="D162" i="19" s="1"/>
  <c r="D186" i="19" s="1"/>
  <c r="D210" i="19" s="1"/>
  <c r="D234" i="19" s="1"/>
  <c r="D258" i="19" s="1"/>
  <c r="D282" i="19" s="1"/>
  <c r="D306" i="19" s="1"/>
  <c r="D330" i="19" s="1"/>
  <c r="D354" i="19" s="1"/>
  <c r="D378" i="19" s="1"/>
  <c r="D402" i="19" s="1"/>
  <c r="D426" i="19" s="1"/>
  <c r="D450" i="19" s="1"/>
  <c r="D474" i="19" s="1"/>
  <c r="D498" i="19" s="1"/>
  <c r="D522" i="19" s="1"/>
  <c r="D546" i="19" s="1"/>
  <c r="D570" i="19" s="1"/>
  <c r="D594" i="19" s="1"/>
  <c r="D618" i="19" s="1"/>
  <c r="D642" i="19" s="1"/>
  <c r="D666" i="19" s="1"/>
  <c r="D690" i="19" s="1"/>
  <c r="D714" i="19" s="1"/>
  <c r="D738" i="19" s="1"/>
  <c r="D762" i="19" s="1"/>
  <c r="D786" i="19" s="1"/>
  <c r="D810" i="19" s="1"/>
  <c r="D834" i="19" s="1"/>
  <c r="D858" i="19" s="1"/>
  <c r="D882" i="19" s="1"/>
  <c r="D906" i="19" s="1"/>
  <c r="D930" i="19" s="1"/>
  <c r="D954" i="19" s="1"/>
  <c r="D978" i="19" s="1"/>
  <c r="D1002" i="19" s="1"/>
  <c r="D1026" i="19" s="1"/>
  <c r="D1050" i="19" s="1"/>
  <c r="D1074" i="19" s="1"/>
  <c r="D1098" i="19" s="1"/>
  <c r="D1122" i="19" s="1"/>
  <c r="D1146" i="19" s="1"/>
  <c r="D1170" i="19" s="1"/>
  <c r="E41" i="19"/>
  <c r="D41" i="19"/>
  <c r="D65" i="19" s="1"/>
  <c r="D89" i="19" s="1"/>
  <c r="D113" i="19" s="1"/>
  <c r="D137" i="19" s="1"/>
  <c r="D161" i="19" s="1"/>
  <c r="D185" i="19" s="1"/>
  <c r="D209" i="19" s="1"/>
  <c r="D233" i="19" s="1"/>
  <c r="D257" i="19" s="1"/>
  <c r="D281" i="19" s="1"/>
  <c r="D305" i="19" s="1"/>
  <c r="D329" i="19" s="1"/>
  <c r="D353" i="19" s="1"/>
  <c r="D377" i="19" s="1"/>
  <c r="D401" i="19" s="1"/>
  <c r="D425" i="19" s="1"/>
  <c r="D449" i="19" s="1"/>
  <c r="D473" i="19" s="1"/>
  <c r="D497" i="19" s="1"/>
  <c r="D521" i="19" s="1"/>
  <c r="D545" i="19" s="1"/>
  <c r="D569" i="19" s="1"/>
  <c r="D593" i="19" s="1"/>
  <c r="D617" i="19" s="1"/>
  <c r="D641" i="19" s="1"/>
  <c r="D665" i="19" s="1"/>
  <c r="D689" i="19" s="1"/>
  <c r="D713" i="19" s="1"/>
  <c r="D737" i="19" s="1"/>
  <c r="D761" i="19" s="1"/>
  <c r="D785" i="19" s="1"/>
  <c r="D809" i="19" s="1"/>
  <c r="D833" i="19" s="1"/>
  <c r="D857" i="19" s="1"/>
  <c r="D881" i="19" s="1"/>
  <c r="D905" i="19" s="1"/>
  <c r="D929" i="19" s="1"/>
  <c r="D953" i="19" s="1"/>
  <c r="D977" i="19" s="1"/>
  <c r="D1001" i="19" s="1"/>
  <c r="D1025" i="19" s="1"/>
  <c r="D1049" i="19" s="1"/>
  <c r="D1073" i="19" s="1"/>
  <c r="D1097" i="19" s="1"/>
  <c r="D1121" i="19" s="1"/>
  <c r="D1145" i="19" s="1"/>
  <c r="D1169" i="19" s="1"/>
  <c r="E40" i="19"/>
  <c r="D40" i="19"/>
  <c r="D64" i="19" s="1"/>
  <c r="D88" i="19" s="1"/>
  <c r="D112" i="19" s="1"/>
  <c r="D136" i="19" s="1"/>
  <c r="D160" i="19" s="1"/>
  <c r="D184" i="19" s="1"/>
  <c r="D208" i="19" s="1"/>
  <c r="D232" i="19" s="1"/>
  <c r="D256" i="19" s="1"/>
  <c r="D280" i="19" s="1"/>
  <c r="D304" i="19" s="1"/>
  <c r="D328" i="19" s="1"/>
  <c r="D352" i="19" s="1"/>
  <c r="D376" i="19" s="1"/>
  <c r="D400" i="19" s="1"/>
  <c r="D424" i="19" s="1"/>
  <c r="D448" i="19" s="1"/>
  <c r="D472" i="19" s="1"/>
  <c r="D496" i="19" s="1"/>
  <c r="D520" i="19" s="1"/>
  <c r="D544" i="19" s="1"/>
  <c r="D568" i="19" s="1"/>
  <c r="D592" i="19" s="1"/>
  <c r="D616" i="19" s="1"/>
  <c r="D640" i="19" s="1"/>
  <c r="D664" i="19" s="1"/>
  <c r="D688" i="19" s="1"/>
  <c r="D712" i="19" s="1"/>
  <c r="D736" i="19" s="1"/>
  <c r="D760" i="19" s="1"/>
  <c r="D784" i="19" s="1"/>
  <c r="D808" i="19" s="1"/>
  <c r="D832" i="19" s="1"/>
  <c r="D856" i="19" s="1"/>
  <c r="D880" i="19" s="1"/>
  <c r="D904" i="19" s="1"/>
  <c r="D928" i="19" s="1"/>
  <c r="D952" i="19" s="1"/>
  <c r="D976" i="19" s="1"/>
  <c r="D1000" i="19" s="1"/>
  <c r="D1024" i="19" s="1"/>
  <c r="D1048" i="19" s="1"/>
  <c r="D1072" i="19" s="1"/>
  <c r="D1096" i="19" s="1"/>
  <c r="D1120" i="19" s="1"/>
  <c r="D1144" i="19" s="1"/>
  <c r="D1168" i="19" s="1"/>
  <c r="E39" i="19"/>
  <c r="D39" i="19"/>
  <c r="D63" i="19" s="1"/>
  <c r="D87" i="19" s="1"/>
  <c r="D111" i="19" s="1"/>
  <c r="D135" i="19" s="1"/>
  <c r="D159" i="19" s="1"/>
  <c r="D183" i="19" s="1"/>
  <c r="D207" i="19" s="1"/>
  <c r="D231" i="19" s="1"/>
  <c r="D255" i="19" s="1"/>
  <c r="D279" i="19" s="1"/>
  <c r="D303" i="19" s="1"/>
  <c r="D327" i="19" s="1"/>
  <c r="D351" i="19" s="1"/>
  <c r="D375" i="19" s="1"/>
  <c r="D399" i="19" s="1"/>
  <c r="D423" i="19" s="1"/>
  <c r="D447" i="19" s="1"/>
  <c r="D471" i="19" s="1"/>
  <c r="D495" i="19" s="1"/>
  <c r="D519" i="19" s="1"/>
  <c r="D543" i="19" s="1"/>
  <c r="D567" i="19" s="1"/>
  <c r="D591" i="19" s="1"/>
  <c r="D615" i="19" s="1"/>
  <c r="D639" i="19" s="1"/>
  <c r="D663" i="19" s="1"/>
  <c r="D687" i="19" s="1"/>
  <c r="D711" i="19" s="1"/>
  <c r="D735" i="19" s="1"/>
  <c r="D759" i="19" s="1"/>
  <c r="D783" i="19" s="1"/>
  <c r="D807" i="19" s="1"/>
  <c r="D831" i="19" s="1"/>
  <c r="D855" i="19" s="1"/>
  <c r="D879" i="19" s="1"/>
  <c r="D903" i="19" s="1"/>
  <c r="D927" i="19" s="1"/>
  <c r="D951" i="19" s="1"/>
  <c r="D975" i="19" s="1"/>
  <c r="D999" i="19" s="1"/>
  <c r="D1023" i="19" s="1"/>
  <c r="D1047" i="19" s="1"/>
  <c r="D1071" i="19" s="1"/>
  <c r="D1095" i="19" s="1"/>
  <c r="D1119" i="19" s="1"/>
  <c r="D1143" i="19" s="1"/>
  <c r="D1167" i="19" s="1"/>
  <c r="E38" i="19"/>
  <c r="D38" i="19"/>
  <c r="D62" i="19" s="1"/>
  <c r="D86" i="19" s="1"/>
  <c r="D110" i="19" s="1"/>
  <c r="D134" i="19" s="1"/>
  <c r="D158" i="19" s="1"/>
  <c r="D182" i="19" s="1"/>
  <c r="D206" i="19" s="1"/>
  <c r="D230" i="19" s="1"/>
  <c r="D254" i="19" s="1"/>
  <c r="D278" i="19" s="1"/>
  <c r="D302" i="19" s="1"/>
  <c r="D326" i="19" s="1"/>
  <c r="D350" i="19" s="1"/>
  <c r="D374" i="19" s="1"/>
  <c r="D398" i="19" s="1"/>
  <c r="D422" i="19" s="1"/>
  <c r="D446" i="19" s="1"/>
  <c r="D470" i="19" s="1"/>
  <c r="D494" i="19" s="1"/>
  <c r="D518" i="19" s="1"/>
  <c r="D542" i="19" s="1"/>
  <c r="D566" i="19" s="1"/>
  <c r="D590" i="19" s="1"/>
  <c r="D614" i="19" s="1"/>
  <c r="D638" i="19" s="1"/>
  <c r="D662" i="19" s="1"/>
  <c r="D686" i="19" s="1"/>
  <c r="D710" i="19" s="1"/>
  <c r="D734" i="19" s="1"/>
  <c r="D758" i="19" s="1"/>
  <c r="D782" i="19" s="1"/>
  <c r="D806" i="19" s="1"/>
  <c r="D830" i="19" s="1"/>
  <c r="D854" i="19" s="1"/>
  <c r="D878" i="19" s="1"/>
  <c r="D902" i="19" s="1"/>
  <c r="D926" i="19" s="1"/>
  <c r="D950" i="19" s="1"/>
  <c r="D974" i="19" s="1"/>
  <c r="D998" i="19" s="1"/>
  <c r="D1022" i="19" s="1"/>
  <c r="D1046" i="19" s="1"/>
  <c r="D1070" i="19" s="1"/>
  <c r="D1094" i="19" s="1"/>
  <c r="D1118" i="19" s="1"/>
  <c r="D1142" i="19" s="1"/>
  <c r="D1166" i="19" s="1"/>
  <c r="E37" i="19"/>
  <c r="D37" i="19"/>
  <c r="D61" i="19" s="1"/>
  <c r="D85" i="19" s="1"/>
  <c r="D109" i="19" s="1"/>
  <c r="D133" i="19" s="1"/>
  <c r="D157" i="19" s="1"/>
  <c r="D181" i="19" s="1"/>
  <c r="D205" i="19" s="1"/>
  <c r="D229" i="19" s="1"/>
  <c r="D253" i="19" s="1"/>
  <c r="D277" i="19" s="1"/>
  <c r="D301" i="19" s="1"/>
  <c r="D325" i="19" s="1"/>
  <c r="D349" i="19" s="1"/>
  <c r="D373" i="19" s="1"/>
  <c r="D397" i="19" s="1"/>
  <c r="D421" i="19" s="1"/>
  <c r="D445" i="19" s="1"/>
  <c r="D469" i="19" s="1"/>
  <c r="D493" i="19" s="1"/>
  <c r="D517" i="19" s="1"/>
  <c r="D541" i="19" s="1"/>
  <c r="D565" i="19" s="1"/>
  <c r="D589" i="19" s="1"/>
  <c r="D613" i="19" s="1"/>
  <c r="D637" i="19" s="1"/>
  <c r="D661" i="19" s="1"/>
  <c r="D685" i="19" s="1"/>
  <c r="D709" i="19" s="1"/>
  <c r="D733" i="19" s="1"/>
  <c r="D757" i="19" s="1"/>
  <c r="D781" i="19" s="1"/>
  <c r="D805" i="19" s="1"/>
  <c r="D829" i="19" s="1"/>
  <c r="D853" i="19" s="1"/>
  <c r="D877" i="19" s="1"/>
  <c r="D901" i="19" s="1"/>
  <c r="D925" i="19" s="1"/>
  <c r="D949" i="19" s="1"/>
  <c r="D973" i="19" s="1"/>
  <c r="D997" i="19" s="1"/>
  <c r="D1021" i="19" s="1"/>
  <c r="D1045" i="19" s="1"/>
  <c r="D1069" i="19" s="1"/>
  <c r="D1093" i="19" s="1"/>
  <c r="D1117" i="19" s="1"/>
  <c r="D1141" i="19" s="1"/>
  <c r="D1165" i="19" s="1"/>
  <c r="E36" i="19"/>
  <c r="D36" i="19"/>
  <c r="D60" i="19" s="1"/>
  <c r="D84" i="19" s="1"/>
  <c r="D108" i="19" s="1"/>
  <c r="D132" i="19" s="1"/>
  <c r="D156" i="19" s="1"/>
  <c r="D180" i="19" s="1"/>
  <c r="D204" i="19" s="1"/>
  <c r="D228" i="19" s="1"/>
  <c r="D252" i="19" s="1"/>
  <c r="D276" i="19" s="1"/>
  <c r="D300" i="19" s="1"/>
  <c r="D324" i="19" s="1"/>
  <c r="D348" i="19" s="1"/>
  <c r="D372" i="19" s="1"/>
  <c r="D396" i="19" s="1"/>
  <c r="D420" i="19" s="1"/>
  <c r="D444" i="19" s="1"/>
  <c r="D468" i="19" s="1"/>
  <c r="D492" i="19" s="1"/>
  <c r="D516" i="19" s="1"/>
  <c r="D540" i="19" s="1"/>
  <c r="D564" i="19" s="1"/>
  <c r="D588" i="19" s="1"/>
  <c r="D612" i="19" s="1"/>
  <c r="D636" i="19" s="1"/>
  <c r="D660" i="19" s="1"/>
  <c r="D684" i="19" s="1"/>
  <c r="D708" i="19" s="1"/>
  <c r="D732" i="19" s="1"/>
  <c r="D756" i="19" s="1"/>
  <c r="D780" i="19" s="1"/>
  <c r="D804" i="19" s="1"/>
  <c r="D828" i="19" s="1"/>
  <c r="D852" i="19" s="1"/>
  <c r="D876" i="19" s="1"/>
  <c r="D900" i="19" s="1"/>
  <c r="D924" i="19" s="1"/>
  <c r="D948" i="19" s="1"/>
  <c r="D972" i="19" s="1"/>
  <c r="D996" i="19" s="1"/>
  <c r="D1020" i="19" s="1"/>
  <c r="D1044" i="19" s="1"/>
  <c r="D1068" i="19" s="1"/>
  <c r="D1092" i="19" s="1"/>
  <c r="D1116" i="19" s="1"/>
  <c r="D1140" i="19" s="1"/>
  <c r="D1164" i="19" s="1"/>
  <c r="E35" i="19"/>
  <c r="D35" i="19"/>
  <c r="D59" i="19" s="1"/>
  <c r="D83" i="19" s="1"/>
  <c r="D107" i="19" s="1"/>
  <c r="D131" i="19" s="1"/>
  <c r="D155" i="19" s="1"/>
  <c r="D179" i="19" s="1"/>
  <c r="D203" i="19" s="1"/>
  <c r="D227" i="19" s="1"/>
  <c r="D251" i="19" s="1"/>
  <c r="D275" i="19" s="1"/>
  <c r="D299" i="19" s="1"/>
  <c r="D323" i="19" s="1"/>
  <c r="D347" i="19" s="1"/>
  <c r="D371" i="19" s="1"/>
  <c r="D395" i="19" s="1"/>
  <c r="D419" i="19" s="1"/>
  <c r="D443" i="19" s="1"/>
  <c r="D467" i="19" s="1"/>
  <c r="D491" i="19" s="1"/>
  <c r="D515" i="19" s="1"/>
  <c r="D539" i="19" s="1"/>
  <c r="D563" i="19" s="1"/>
  <c r="D587" i="19" s="1"/>
  <c r="D611" i="19" s="1"/>
  <c r="D635" i="19" s="1"/>
  <c r="D659" i="19" s="1"/>
  <c r="D683" i="19" s="1"/>
  <c r="D707" i="19" s="1"/>
  <c r="D731" i="19" s="1"/>
  <c r="D755" i="19" s="1"/>
  <c r="D779" i="19" s="1"/>
  <c r="D803" i="19" s="1"/>
  <c r="D827" i="19" s="1"/>
  <c r="D851" i="19" s="1"/>
  <c r="D875" i="19" s="1"/>
  <c r="D899" i="19" s="1"/>
  <c r="D923" i="19" s="1"/>
  <c r="D947" i="19" s="1"/>
  <c r="D971" i="19" s="1"/>
  <c r="D995" i="19" s="1"/>
  <c r="D1019" i="19" s="1"/>
  <c r="D1043" i="19" s="1"/>
  <c r="D1067" i="19" s="1"/>
  <c r="D1091" i="19" s="1"/>
  <c r="D1115" i="19" s="1"/>
  <c r="D1139" i="19" s="1"/>
  <c r="D1163" i="19" s="1"/>
  <c r="E34" i="19"/>
  <c r="D34" i="19"/>
  <c r="D58" i="19" s="1"/>
  <c r="D82" i="19" s="1"/>
  <c r="D106" i="19" s="1"/>
  <c r="D130" i="19" s="1"/>
  <c r="D154" i="19" s="1"/>
  <c r="D178" i="19" s="1"/>
  <c r="D202" i="19" s="1"/>
  <c r="D226" i="19" s="1"/>
  <c r="D250" i="19" s="1"/>
  <c r="D274" i="19" s="1"/>
  <c r="D298" i="19" s="1"/>
  <c r="D322" i="19" s="1"/>
  <c r="D346" i="19" s="1"/>
  <c r="D370" i="19" s="1"/>
  <c r="D394" i="19" s="1"/>
  <c r="D418" i="19" s="1"/>
  <c r="D442" i="19" s="1"/>
  <c r="D466" i="19" s="1"/>
  <c r="D490" i="19" s="1"/>
  <c r="D514" i="19" s="1"/>
  <c r="D538" i="19" s="1"/>
  <c r="D562" i="19" s="1"/>
  <c r="D586" i="19" s="1"/>
  <c r="D610" i="19" s="1"/>
  <c r="D634" i="19" s="1"/>
  <c r="D658" i="19" s="1"/>
  <c r="D682" i="19" s="1"/>
  <c r="D706" i="19" s="1"/>
  <c r="D730" i="19" s="1"/>
  <c r="D754" i="19" s="1"/>
  <c r="D778" i="19" s="1"/>
  <c r="D802" i="19" s="1"/>
  <c r="D826" i="19" s="1"/>
  <c r="D850" i="19" s="1"/>
  <c r="D874" i="19" s="1"/>
  <c r="D898" i="19" s="1"/>
  <c r="D922" i="19" s="1"/>
  <c r="D946" i="19" s="1"/>
  <c r="D970" i="19" s="1"/>
  <c r="D994" i="19" s="1"/>
  <c r="D1018" i="19" s="1"/>
  <c r="D1042" i="19" s="1"/>
  <c r="D1066" i="19" s="1"/>
  <c r="D1090" i="19" s="1"/>
  <c r="D1114" i="19" s="1"/>
  <c r="D1138" i="19" s="1"/>
  <c r="D1162" i="19" s="1"/>
  <c r="E33" i="19"/>
  <c r="D33" i="19"/>
  <c r="D57" i="19" s="1"/>
  <c r="D81" i="19" s="1"/>
  <c r="D105" i="19" s="1"/>
  <c r="D129" i="19" s="1"/>
  <c r="D153" i="19" s="1"/>
  <c r="D177" i="19" s="1"/>
  <c r="D201" i="19" s="1"/>
  <c r="D225" i="19" s="1"/>
  <c r="D249" i="19" s="1"/>
  <c r="D273" i="19" s="1"/>
  <c r="D297" i="19" s="1"/>
  <c r="D321" i="19" s="1"/>
  <c r="D345" i="19" s="1"/>
  <c r="D369" i="19" s="1"/>
  <c r="D393" i="19" s="1"/>
  <c r="D417" i="19" s="1"/>
  <c r="D441" i="19" s="1"/>
  <c r="D465" i="19" s="1"/>
  <c r="D489" i="19" s="1"/>
  <c r="D513" i="19" s="1"/>
  <c r="D537" i="19" s="1"/>
  <c r="D561" i="19" s="1"/>
  <c r="D585" i="19" s="1"/>
  <c r="D609" i="19" s="1"/>
  <c r="D633" i="19" s="1"/>
  <c r="D657" i="19" s="1"/>
  <c r="D681" i="19" s="1"/>
  <c r="D705" i="19" s="1"/>
  <c r="D729" i="19" s="1"/>
  <c r="D753" i="19" s="1"/>
  <c r="D777" i="19" s="1"/>
  <c r="D801" i="19" s="1"/>
  <c r="D825" i="19" s="1"/>
  <c r="D849" i="19" s="1"/>
  <c r="D873" i="19" s="1"/>
  <c r="D897" i="19" s="1"/>
  <c r="D921" i="19" s="1"/>
  <c r="D945" i="19" s="1"/>
  <c r="D969" i="19" s="1"/>
  <c r="D993" i="19" s="1"/>
  <c r="D1017" i="19" s="1"/>
  <c r="D1041" i="19" s="1"/>
  <c r="D1065" i="19" s="1"/>
  <c r="D1089" i="19" s="1"/>
  <c r="D1113" i="19" s="1"/>
  <c r="D1137" i="19" s="1"/>
  <c r="D1161" i="19" s="1"/>
  <c r="E32" i="19"/>
  <c r="D32" i="19"/>
  <c r="D56" i="19" s="1"/>
  <c r="D80" i="19" s="1"/>
  <c r="D104" i="19" s="1"/>
  <c r="D128" i="19" s="1"/>
  <c r="D152" i="19" s="1"/>
  <c r="D176" i="19" s="1"/>
  <c r="D200" i="19" s="1"/>
  <c r="D224" i="19" s="1"/>
  <c r="D248" i="19" s="1"/>
  <c r="D272" i="19" s="1"/>
  <c r="D296" i="19" s="1"/>
  <c r="D320" i="19" s="1"/>
  <c r="D344" i="19" s="1"/>
  <c r="D368" i="19" s="1"/>
  <c r="D392" i="19" s="1"/>
  <c r="D416" i="19" s="1"/>
  <c r="D440" i="19" s="1"/>
  <c r="D464" i="19" s="1"/>
  <c r="D488" i="19" s="1"/>
  <c r="D512" i="19" s="1"/>
  <c r="D536" i="19" s="1"/>
  <c r="D560" i="19" s="1"/>
  <c r="D584" i="19" s="1"/>
  <c r="D608" i="19" s="1"/>
  <c r="D632" i="19" s="1"/>
  <c r="D656" i="19" s="1"/>
  <c r="D680" i="19" s="1"/>
  <c r="D704" i="19" s="1"/>
  <c r="D728" i="19" s="1"/>
  <c r="D752" i="19" s="1"/>
  <c r="D776" i="19" s="1"/>
  <c r="D800" i="19" s="1"/>
  <c r="D824" i="19" s="1"/>
  <c r="D848" i="19" s="1"/>
  <c r="D872" i="19" s="1"/>
  <c r="D896" i="19" s="1"/>
  <c r="D920" i="19" s="1"/>
  <c r="D944" i="19" s="1"/>
  <c r="D968" i="19" s="1"/>
  <c r="D992" i="19" s="1"/>
  <c r="D1016" i="19" s="1"/>
  <c r="D1040" i="19" s="1"/>
  <c r="D1064" i="19" s="1"/>
  <c r="D1088" i="19" s="1"/>
  <c r="D1112" i="19" s="1"/>
  <c r="D1136" i="19" s="1"/>
  <c r="D1160" i="19" s="1"/>
  <c r="E31" i="19"/>
  <c r="D31" i="19"/>
  <c r="D55" i="19" s="1"/>
  <c r="D79" i="19" s="1"/>
  <c r="D103" i="19" s="1"/>
  <c r="D127" i="19" s="1"/>
  <c r="D151" i="19" s="1"/>
  <c r="D175" i="19" s="1"/>
  <c r="D199" i="19" s="1"/>
  <c r="D223" i="19" s="1"/>
  <c r="D247" i="19" s="1"/>
  <c r="D271" i="19" s="1"/>
  <c r="D295" i="19" s="1"/>
  <c r="D319" i="19" s="1"/>
  <c r="D343" i="19" s="1"/>
  <c r="D367" i="19" s="1"/>
  <c r="D391" i="19" s="1"/>
  <c r="D415" i="19" s="1"/>
  <c r="D439" i="19" s="1"/>
  <c r="D463" i="19" s="1"/>
  <c r="D487" i="19" s="1"/>
  <c r="D511" i="19" s="1"/>
  <c r="D535" i="19" s="1"/>
  <c r="D559" i="19" s="1"/>
  <c r="D583" i="19" s="1"/>
  <c r="D607" i="19" s="1"/>
  <c r="D631" i="19" s="1"/>
  <c r="D655" i="19" s="1"/>
  <c r="D679" i="19" s="1"/>
  <c r="D703" i="19" s="1"/>
  <c r="D727" i="19" s="1"/>
  <c r="D751" i="19" s="1"/>
  <c r="D775" i="19" s="1"/>
  <c r="D799" i="19" s="1"/>
  <c r="D823" i="19" s="1"/>
  <c r="D847" i="19" s="1"/>
  <c r="D871" i="19" s="1"/>
  <c r="D895" i="19" s="1"/>
  <c r="D919" i="19" s="1"/>
  <c r="D943" i="19" s="1"/>
  <c r="D967" i="19" s="1"/>
  <c r="D991" i="19" s="1"/>
  <c r="D1015" i="19" s="1"/>
  <c r="D1039" i="19" s="1"/>
  <c r="D1063" i="19" s="1"/>
  <c r="D1087" i="19" s="1"/>
  <c r="D1111" i="19" s="1"/>
  <c r="D1135" i="19" s="1"/>
  <c r="D1159" i="19" s="1"/>
  <c r="E30" i="19"/>
  <c r="D30" i="19"/>
  <c r="D54" i="19" s="1"/>
  <c r="D78" i="19" s="1"/>
  <c r="D102" i="19" s="1"/>
  <c r="D126" i="19" s="1"/>
  <c r="D150" i="19" s="1"/>
  <c r="D174" i="19" s="1"/>
  <c r="D198" i="19" s="1"/>
  <c r="D222" i="19" s="1"/>
  <c r="D246" i="19" s="1"/>
  <c r="D270" i="19" s="1"/>
  <c r="D294" i="19" s="1"/>
  <c r="D318" i="19" s="1"/>
  <c r="D342" i="19" s="1"/>
  <c r="D366" i="19" s="1"/>
  <c r="D390" i="19" s="1"/>
  <c r="D414" i="19" s="1"/>
  <c r="D438" i="19" s="1"/>
  <c r="D462" i="19" s="1"/>
  <c r="D486" i="19" s="1"/>
  <c r="D510" i="19" s="1"/>
  <c r="D534" i="19" s="1"/>
  <c r="D558" i="19" s="1"/>
  <c r="D582" i="19" s="1"/>
  <c r="D606" i="19" s="1"/>
  <c r="D630" i="19" s="1"/>
  <c r="D654" i="19" s="1"/>
  <c r="D678" i="19" s="1"/>
  <c r="D702" i="19" s="1"/>
  <c r="D726" i="19" s="1"/>
  <c r="D750" i="19" s="1"/>
  <c r="D774" i="19" s="1"/>
  <c r="D798" i="19" s="1"/>
  <c r="D822" i="19" s="1"/>
  <c r="D846" i="19" s="1"/>
  <c r="D870" i="19" s="1"/>
  <c r="D894" i="19" s="1"/>
  <c r="D918" i="19" s="1"/>
  <c r="D942" i="19" s="1"/>
  <c r="D966" i="19" s="1"/>
  <c r="D990" i="19" s="1"/>
  <c r="D1014" i="19" s="1"/>
  <c r="D1038" i="19" s="1"/>
  <c r="D1062" i="19" s="1"/>
  <c r="D1086" i="19" s="1"/>
  <c r="D1110" i="19" s="1"/>
  <c r="D1134" i="19" s="1"/>
  <c r="D1158" i="19" s="1"/>
  <c r="C30" i="19"/>
  <c r="B30" i="19"/>
  <c r="E49" i="24" l="1"/>
  <c r="H48" i="24"/>
  <c r="J48" i="24" s="1"/>
  <c r="Q48" i="24"/>
  <c r="I48" i="24"/>
  <c r="K48" i="24" s="1"/>
  <c r="Q38" i="24"/>
  <c r="H38" i="24"/>
  <c r="J38" i="24" s="1"/>
  <c r="L38" i="24" s="1"/>
  <c r="R38" i="24"/>
  <c r="T38" i="24"/>
  <c r="K38" i="24"/>
  <c r="H27" i="24"/>
  <c r="S27" i="24" s="1"/>
  <c r="T27" i="24"/>
  <c r="I27" i="24"/>
  <c r="K27" i="24" s="1"/>
  <c r="Q17" i="24"/>
  <c r="T17" i="24"/>
  <c r="R17" i="24"/>
  <c r="K17" i="24"/>
  <c r="H17" i="24"/>
  <c r="J17" i="24" s="1"/>
  <c r="L17" i="24" s="1"/>
  <c r="P17" i="24"/>
  <c r="T7" i="24"/>
  <c r="R7" i="24"/>
  <c r="Q7" i="24"/>
  <c r="P7" i="24"/>
  <c r="H7" i="24"/>
  <c r="K7" i="24"/>
  <c r="S7" i="24"/>
  <c r="J7" i="24"/>
  <c r="L7" i="24" s="1"/>
  <c r="O7" i="24" s="1"/>
  <c r="R47" i="24"/>
  <c r="H47" i="24"/>
  <c r="J47" i="24" s="1"/>
  <c r="L47" i="24" s="1"/>
  <c r="Q47" i="24"/>
  <c r="K47" i="24"/>
  <c r="T47" i="24"/>
  <c r="Q37" i="24"/>
  <c r="H37" i="24"/>
  <c r="P37" i="24" s="1"/>
  <c r="T37" i="24"/>
  <c r="I37" i="24"/>
  <c r="R37" i="24" s="1"/>
  <c r="H26" i="24"/>
  <c r="J26" i="24" s="1"/>
  <c r="I26" i="24"/>
  <c r="Q26" i="24" s="1"/>
  <c r="R15" i="24"/>
  <c r="H15" i="24"/>
  <c r="P15" i="24" s="1"/>
  <c r="I15" i="24"/>
  <c r="Q15" i="24" s="1"/>
  <c r="R6" i="24"/>
  <c r="H6" i="24"/>
  <c r="J6" i="24" s="1"/>
  <c r="S6" i="24"/>
  <c r="I6" i="24"/>
  <c r="Q6" i="24" s="1"/>
  <c r="Q44" i="24"/>
  <c r="H44" i="24"/>
  <c r="S44" i="24" s="1"/>
  <c r="T44" i="24"/>
  <c r="K44" i="24"/>
  <c r="R44" i="24"/>
  <c r="H35" i="24"/>
  <c r="S35" i="24" s="1"/>
  <c r="I35" i="24"/>
  <c r="T35" i="24" s="1"/>
  <c r="K24" i="24"/>
  <c r="T24" i="24"/>
  <c r="R24" i="24"/>
  <c r="P24" i="24"/>
  <c r="Q24" i="24"/>
  <c r="H24" i="24"/>
  <c r="S24" i="24" s="1"/>
  <c r="R13" i="24"/>
  <c r="K13" i="24"/>
  <c r="H13" i="24"/>
  <c r="P13" i="24" s="1"/>
  <c r="Q13" i="24"/>
  <c r="T13" i="24"/>
  <c r="I3" i="24"/>
  <c r="Q3" i="24" s="1"/>
  <c r="H3" i="24"/>
  <c r="J3" i="24" s="1"/>
  <c r="S3" i="24"/>
  <c r="H43" i="24"/>
  <c r="S43" i="24" s="1"/>
  <c r="T43" i="24"/>
  <c r="P43" i="24"/>
  <c r="I43" i="24"/>
  <c r="K43" i="24" s="1"/>
  <c r="H34" i="24"/>
  <c r="P34" i="24" s="1"/>
  <c r="S34" i="24"/>
  <c r="I34" i="24"/>
  <c r="K34" i="24" s="1"/>
  <c r="H22" i="24"/>
  <c r="P22" i="24" s="1"/>
  <c r="Q22" i="24"/>
  <c r="T22" i="24"/>
  <c r="I22" i="24"/>
  <c r="K22" i="24" s="1"/>
  <c r="H12" i="24"/>
  <c r="J12" i="24" s="1"/>
  <c r="S12" i="24"/>
  <c r="K12" i="24"/>
  <c r="Q12" i="24"/>
  <c r="R12" i="24"/>
  <c r="T12" i="24"/>
  <c r="R41" i="24"/>
  <c r="Q41" i="24"/>
  <c r="H41" i="24"/>
  <c r="S41" i="24" s="1"/>
  <c r="J41" i="24"/>
  <c r="I41" i="24"/>
  <c r="T41" i="24" s="1"/>
  <c r="H31" i="24"/>
  <c r="P31" i="24" s="1"/>
  <c r="I31" i="24"/>
  <c r="K31" i="24" s="1"/>
  <c r="P21" i="24"/>
  <c r="H21" i="24"/>
  <c r="J21" i="24" s="1"/>
  <c r="Q21" i="24"/>
  <c r="K21" i="24"/>
  <c r="I21" i="24"/>
  <c r="R21" i="24" s="1"/>
  <c r="H11" i="24"/>
  <c r="J11" i="24" s="1"/>
  <c r="S11" i="24"/>
  <c r="Q11" i="24"/>
  <c r="T11" i="24"/>
  <c r="R11" i="24"/>
  <c r="K11" i="24"/>
  <c r="H46" i="24"/>
  <c r="J46" i="24" s="1"/>
  <c r="K46" i="24"/>
  <c r="Q46" i="24"/>
  <c r="R46" i="24"/>
  <c r="T46" i="24"/>
  <c r="H25" i="24"/>
  <c r="S25" i="24" s="1"/>
  <c r="P25" i="24"/>
  <c r="I25" i="24"/>
  <c r="Q25" i="24" s="1"/>
  <c r="H5" i="24"/>
  <c r="P5" i="24" s="1"/>
  <c r="J5" i="24"/>
  <c r="I5" i="24"/>
  <c r="R5" i="24" s="1"/>
  <c r="H40" i="24"/>
  <c r="P40" i="24" s="1"/>
  <c r="I40" i="24"/>
  <c r="Q40" i="24" s="1"/>
  <c r="R30" i="24"/>
  <c r="Q30" i="24"/>
  <c r="H30" i="24"/>
  <c r="P30" i="24" s="1"/>
  <c r="T30" i="24"/>
  <c r="K30" i="24"/>
  <c r="P20" i="24"/>
  <c r="H20" i="24"/>
  <c r="J20" i="24" s="1"/>
  <c r="Q20" i="24"/>
  <c r="T20" i="24"/>
  <c r="R20" i="24"/>
  <c r="K20" i="24"/>
  <c r="I20" i="24"/>
  <c r="H10" i="24"/>
  <c r="P10" i="24" s="1"/>
  <c r="S10" i="24"/>
  <c r="Q10" i="24"/>
  <c r="T10" i="24"/>
  <c r="R10" i="24"/>
  <c r="K10" i="24"/>
  <c r="H36" i="24"/>
  <c r="P36" i="24" s="1"/>
  <c r="K36" i="24"/>
  <c r="R36" i="24"/>
  <c r="I36" i="24"/>
  <c r="Q36" i="24" s="1"/>
  <c r="K14" i="24"/>
  <c r="H14" i="24"/>
  <c r="P14" i="24" s="1"/>
  <c r="S14" i="24"/>
  <c r="I14" i="24"/>
  <c r="T14" i="24" s="1"/>
  <c r="T2" i="24"/>
  <c r="R2" i="24"/>
  <c r="K2" i="24"/>
  <c r="Q2" i="24"/>
  <c r="H2" i="24"/>
  <c r="P2" i="24" s="1"/>
  <c r="H39" i="24"/>
  <c r="S39" i="24" s="1"/>
  <c r="T39" i="24"/>
  <c r="Q39" i="24"/>
  <c r="I39" i="24"/>
  <c r="K39" i="24" s="1"/>
  <c r="Q29" i="24"/>
  <c r="H29" i="24"/>
  <c r="J29" i="24" s="1"/>
  <c r="L29" i="24" s="1"/>
  <c r="K29" i="24"/>
  <c r="T29" i="24"/>
  <c r="R29" i="24"/>
  <c r="H19" i="24"/>
  <c r="P19" i="24" s="1"/>
  <c r="Q19" i="24"/>
  <c r="T19" i="24"/>
  <c r="K19" i="24"/>
  <c r="R19" i="24"/>
  <c r="Q8" i="24"/>
  <c r="T8" i="24"/>
  <c r="R8" i="24"/>
  <c r="K8" i="24"/>
  <c r="H8" i="24"/>
  <c r="S8" i="24" s="1"/>
  <c r="H49" i="24"/>
  <c r="I49" i="24"/>
  <c r="O38" i="24" l="1"/>
  <c r="V38" i="24"/>
  <c r="U38" i="24"/>
  <c r="P8" i="24"/>
  <c r="S19" i="24"/>
  <c r="T5" i="24"/>
  <c r="J31" i="24"/>
  <c r="L31" i="24" s="1"/>
  <c r="L12" i="24"/>
  <c r="J35" i="24"/>
  <c r="P6" i="24"/>
  <c r="S38" i="24"/>
  <c r="S49" i="24" s="1"/>
  <c r="Q5" i="24"/>
  <c r="L46" i="24"/>
  <c r="T21" i="24"/>
  <c r="Q31" i="24"/>
  <c r="P41" i="24"/>
  <c r="P3" i="24"/>
  <c r="P35" i="24"/>
  <c r="P44" i="24"/>
  <c r="P38" i="24"/>
  <c r="S29" i="24"/>
  <c r="S2" i="24"/>
  <c r="L20" i="24"/>
  <c r="V20" i="24" s="1"/>
  <c r="J40" i="24"/>
  <c r="R25" i="24"/>
  <c r="S31" i="24"/>
  <c r="J13" i="24"/>
  <c r="L13" i="24" s="1"/>
  <c r="J15" i="24"/>
  <c r="Q35" i="24"/>
  <c r="J14" i="24"/>
  <c r="L14" i="24" s="1"/>
  <c r="M14" i="24" s="1"/>
  <c r="K5" i="24"/>
  <c r="L5" i="24" s="1"/>
  <c r="K25" i="24"/>
  <c r="J2" i="24"/>
  <c r="T36" i="24"/>
  <c r="S40" i="24"/>
  <c r="T25" i="24"/>
  <c r="R31" i="24"/>
  <c r="S15" i="24"/>
  <c r="K37" i="24"/>
  <c r="U7" i="24"/>
  <c r="J8" i="24"/>
  <c r="R40" i="24"/>
  <c r="J25" i="24"/>
  <c r="L25" i="24" s="1"/>
  <c r="M25" i="24" s="1"/>
  <c r="L21" i="24"/>
  <c r="R22" i="24"/>
  <c r="S13" i="24"/>
  <c r="J44" i="24"/>
  <c r="L44" i="24" s="1"/>
  <c r="M7" i="24"/>
  <c r="J27" i="24"/>
  <c r="M12" i="24"/>
  <c r="V12" i="24"/>
  <c r="U12" i="24"/>
  <c r="N12" i="24"/>
  <c r="O12" i="24"/>
  <c r="O46" i="24"/>
  <c r="V46" i="24"/>
  <c r="M46" i="24"/>
  <c r="U46" i="24"/>
  <c r="N46" i="24"/>
  <c r="V29" i="24"/>
  <c r="N29" i="24"/>
  <c r="U29" i="24"/>
  <c r="M29" i="24"/>
  <c r="O29" i="24"/>
  <c r="U47" i="24"/>
  <c r="M47" i="24"/>
  <c r="V47" i="24"/>
  <c r="N47" i="24"/>
  <c r="O47" i="24"/>
  <c r="V21" i="24"/>
  <c r="O21" i="24"/>
  <c r="M21" i="24"/>
  <c r="N21" i="24"/>
  <c r="U21" i="24"/>
  <c r="V17" i="24"/>
  <c r="O17" i="24"/>
  <c r="U17" i="24"/>
  <c r="M17" i="24"/>
  <c r="N17" i="24"/>
  <c r="U20" i="24"/>
  <c r="L48" i="24"/>
  <c r="K41" i="24"/>
  <c r="L41" i="24" s="1"/>
  <c r="P12" i="24"/>
  <c r="P49" i="24" s="1"/>
  <c r="R34" i="24"/>
  <c r="R3" i="24"/>
  <c r="T15" i="24"/>
  <c r="S47" i="24"/>
  <c r="S17" i="24"/>
  <c r="Q27" i="24"/>
  <c r="S48" i="24"/>
  <c r="K40" i="24"/>
  <c r="L40" i="24" s="1"/>
  <c r="S26" i="24"/>
  <c r="J19" i="24"/>
  <c r="L19" i="24" s="1"/>
  <c r="J39" i="24"/>
  <c r="L39" i="24" s="1"/>
  <c r="T40" i="24"/>
  <c r="P11" i="24"/>
  <c r="P39" i="24"/>
  <c r="O14" i="24"/>
  <c r="J10" i="24"/>
  <c r="L10" i="24" s="1"/>
  <c r="S46" i="24"/>
  <c r="J43" i="24"/>
  <c r="L43" i="24" s="1"/>
  <c r="Q43" i="24"/>
  <c r="T3" i="24"/>
  <c r="R35" i="24"/>
  <c r="K6" i="24"/>
  <c r="L6" i="24" s="1"/>
  <c r="K15" i="24"/>
  <c r="R26" i="24"/>
  <c r="P47" i="24"/>
  <c r="L27" i="24"/>
  <c r="K3" i="24"/>
  <c r="L3" i="24" s="1"/>
  <c r="R39" i="24"/>
  <c r="N14" i="24"/>
  <c r="J36" i="24"/>
  <c r="L36" i="24" s="1"/>
  <c r="S36" i="24"/>
  <c r="S30" i="24"/>
  <c r="S5" i="24"/>
  <c r="P46" i="24"/>
  <c r="L11" i="24"/>
  <c r="S22" i="24"/>
  <c r="J34" i="24"/>
  <c r="L34" i="24" s="1"/>
  <c r="T34" i="24"/>
  <c r="T6" i="24"/>
  <c r="K26" i="24"/>
  <c r="L26" i="24" s="1"/>
  <c r="P27" i="24"/>
  <c r="P48" i="24"/>
  <c r="J24" i="24"/>
  <c r="L24" i="24" s="1"/>
  <c r="K35" i="24"/>
  <c r="L35" i="24" s="1"/>
  <c r="T26" i="24"/>
  <c r="S37" i="24"/>
  <c r="V7" i="24"/>
  <c r="N38" i="24"/>
  <c r="R48" i="24"/>
  <c r="L15" i="24"/>
  <c r="P26" i="24"/>
  <c r="L2" i="24"/>
  <c r="P29" i="24"/>
  <c r="R14" i="24"/>
  <c r="R49" i="24" s="1"/>
  <c r="S20" i="24"/>
  <c r="J30" i="24"/>
  <c r="S21" i="24"/>
  <c r="T31" i="24"/>
  <c r="J22" i="24"/>
  <c r="L22" i="24" s="1"/>
  <c r="Q34" i="24"/>
  <c r="R43" i="24"/>
  <c r="J37" i="24"/>
  <c r="N7" i="24"/>
  <c r="R27" i="24"/>
  <c r="M38" i="24"/>
  <c r="T48" i="24"/>
  <c r="L8" i="24"/>
  <c r="Q14" i="24"/>
  <c r="L30" i="24"/>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2" i="3"/>
  <c r="AJ2" i="3"/>
  <c r="N5" i="24" l="1"/>
  <c r="V5" i="24"/>
  <c r="U5" i="24"/>
  <c r="O5" i="24"/>
  <c r="M5" i="24"/>
  <c r="N25" i="24"/>
  <c r="T49" i="24"/>
  <c r="U14" i="24"/>
  <c r="V14" i="24"/>
  <c r="O25" i="24"/>
  <c r="N20" i="24"/>
  <c r="Q49" i="24"/>
  <c r="L37" i="24"/>
  <c r="M20" i="24"/>
  <c r="O20" i="24"/>
  <c r="U25" i="24"/>
  <c r="V25" i="24"/>
  <c r="U26" i="24"/>
  <c r="M26" i="24"/>
  <c r="N26" i="24"/>
  <c r="O26" i="24"/>
  <c r="V26" i="24"/>
  <c r="U41" i="24"/>
  <c r="O41" i="24"/>
  <c r="M41" i="24"/>
  <c r="V41" i="24"/>
  <c r="N41" i="24"/>
  <c r="V6" i="24"/>
  <c r="U6" i="24"/>
  <c r="O6" i="24"/>
  <c r="M6" i="24"/>
  <c r="N6" i="24"/>
  <c r="N13" i="24"/>
  <c r="U13" i="24"/>
  <c r="M13" i="24"/>
  <c r="V13" i="24"/>
  <c r="O13" i="24"/>
  <c r="M11" i="24"/>
  <c r="O11" i="24"/>
  <c r="V11" i="24"/>
  <c r="U11" i="24"/>
  <c r="N11" i="24"/>
  <c r="V31" i="24"/>
  <c r="M31" i="24"/>
  <c r="O31" i="24"/>
  <c r="U31" i="24"/>
  <c r="N31" i="24"/>
  <c r="M8" i="24"/>
  <c r="O8" i="24"/>
  <c r="U8" i="24"/>
  <c r="V8" i="24"/>
  <c r="N8" i="24"/>
  <c r="O10" i="24"/>
  <c r="M10" i="24"/>
  <c r="V10" i="24"/>
  <c r="U10" i="24"/>
  <c r="N10" i="24"/>
  <c r="K49" i="24"/>
  <c r="N40" i="24"/>
  <c r="U40" i="24"/>
  <c r="M40" i="24"/>
  <c r="V40" i="24"/>
  <c r="O40" i="24"/>
  <c r="M44" i="24"/>
  <c r="U44" i="24"/>
  <c r="V44" i="24"/>
  <c r="O44" i="24"/>
  <c r="N44" i="24"/>
  <c r="J49" i="24"/>
  <c r="M39" i="24"/>
  <c r="N39" i="24"/>
  <c r="V39" i="24"/>
  <c r="U39" i="24"/>
  <c r="O39" i="24"/>
  <c r="U48" i="24"/>
  <c r="O48" i="24"/>
  <c r="V48" i="24"/>
  <c r="N48" i="24"/>
  <c r="M48" i="24"/>
  <c r="V22" i="24"/>
  <c r="M22" i="24"/>
  <c r="O22" i="24"/>
  <c r="N22" i="24"/>
  <c r="U22" i="24"/>
  <c r="N19" i="24"/>
  <c r="O19" i="24"/>
  <c r="M19" i="24"/>
  <c r="V19" i="24"/>
  <c r="U19" i="24"/>
  <c r="M2" i="24"/>
  <c r="U2" i="24"/>
  <c r="O2" i="24"/>
  <c r="V2" i="24"/>
  <c r="N2" i="24"/>
  <c r="M30" i="24"/>
  <c r="U30" i="24"/>
  <c r="V30" i="24"/>
  <c r="O30" i="24"/>
  <c r="N30" i="24"/>
  <c r="N35" i="24"/>
  <c r="O35" i="24"/>
  <c r="M35" i="24"/>
  <c r="V35" i="24"/>
  <c r="U35" i="24"/>
  <c r="U34" i="24"/>
  <c r="V34" i="24"/>
  <c r="N34" i="24"/>
  <c r="O34" i="24"/>
  <c r="M34" i="24"/>
  <c r="O27" i="24"/>
  <c r="U27" i="24"/>
  <c r="N27" i="24"/>
  <c r="V27" i="24"/>
  <c r="M27" i="24"/>
  <c r="M43" i="24"/>
  <c r="O43" i="24"/>
  <c r="V43" i="24"/>
  <c r="U43" i="24"/>
  <c r="N43" i="24"/>
  <c r="M3" i="24"/>
  <c r="N3" i="24"/>
  <c r="O3" i="24"/>
  <c r="V3" i="24"/>
  <c r="U3" i="24"/>
  <c r="U37" i="24"/>
  <c r="M37" i="24"/>
  <c r="N37" i="24"/>
  <c r="V37" i="24"/>
  <c r="O37" i="24"/>
  <c r="M15" i="24"/>
  <c r="V15" i="24"/>
  <c r="O15" i="24"/>
  <c r="U15" i="24"/>
  <c r="N15" i="24"/>
  <c r="N24" i="24"/>
  <c r="O24" i="24"/>
  <c r="V24" i="24"/>
  <c r="M24" i="24"/>
  <c r="U24" i="24"/>
  <c r="U36" i="24"/>
  <c r="N36" i="24"/>
  <c r="V36" i="24"/>
  <c r="O36" i="24"/>
  <c r="M36" i="24"/>
  <c r="H2" i="2"/>
  <c r="I48" i="2"/>
  <c r="I12" i="2"/>
  <c r="I44" i="2"/>
  <c r="I4" i="2"/>
  <c r="I22" i="2"/>
  <c r="I3" i="2"/>
  <c r="I46" i="2"/>
  <c r="I41" i="2"/>
  <c r="I34" i="2"/>
  <c r="I24" i="2"/>
  <c r="I20" i="2"/>
  <c r="I42" i="2"/>
  <c r="I5" i="2"/>
  <c r="I6" i="2"/>
  <c r="I13" i="2"/>
  <c r="I17" i="2"/>
  <c r="I39" i="2"/>
  <c r="I16" i="2"/>
  <c r="I19" i="2"/>
  <c r="I21" i="2"/>
  <c r="I14" i="2"/>
  <c r="I25" i="2"/>
  <c r="I27" i="2"/>
  <c r="I28" i="2"/>
  <c r="I11" i="2"/>
  <c r="I36" i="2"/>
  <c r="I29" i="2"/>
  <c r="I43" i="2"/>
  <c r="I30" i="2"/>
  <c r="I37" i="2"/>
  <c r="I18" i="2"/>
  <c r="I23" i="2"/>
  <c r="I47" i="2"/>
  <c r="I7" i="2"/>
  <c r="I33" i="2"/>
  <c r="I38" i="2"/>
  <c r="I10" i="2"/>
  <c r="I45" i="2"/>
  <c r="I32" i="2"/>
  <c r="I9" i="2"/>
  <c r="I15" i="2"/>
  <c r="I40" i="2"/>
  <c r="I35" i="2"/>
  <c r="I8" i="2"/>
  <c r="I26" i="2"/>
  <c r="I31" i="2"/>
  <c r="I2" i="2"/>
  <c r="H23" i="2"/>
  <c r="H48" i="2"/>
  <c r="H12" i="2"/>
  <c r="H44" i="2"/>
  <c r="H4" i="2"/>
  <c r="H22" i="2"/>
  <c r="H3" i="2"/>
  <c r="H46" i="2"/>
  <c r="H41" i="2"/>
  <c r="H34" i="2"/>
  <c r="H24" i="2"/>
  <c r="H20" i="2"/>
  <c r="H42" i="2"/>
  <c r="H5" i="2"/>
  <c r="H6" i="2"/>
  <c r="H13" i="2"/>
  <c r="H17" i="2"/>
  <c r="H39" i="2"/>
  <c r="H16" i="2"/>
  <c r="H19" i="2"/>
  <c r="H21" i="2"/>
  <c r="H14" i="2"/>
  <c r="H25" i="2"/>
  <c r="H27" i="2"/>
  <c r="H28" i="2"/>
  <c r="H11" i="2"/>
  <c r="H36" i="2"/>
  <c r="H29" i="2"/>
  <c r="H43" i="2"/>
  <c r="H30" i="2"/>
  <c r="H37" i="2"/>
  <c r="H18" i="2"/>
  <c r="H47" i="2"/>
  <c r="H7" i="2"/>
  <c r="H33" i="2"/>
  <c r="H38" i="2"/>
  <c r="H10" i="2"/>
  <c r="H45" i="2"/>
  <c r="H32" i="2"/>
  <c r="H9" i="2"/>
  <c r="H15" i="2"/>
  <c r="H40" i="2"/>
  <c r="H35" i="2"/>
  <c r="H8" i="2"/>
  <c r="H26" i="2"/>
  <c r="H31" i="2"/>
  <c r="L49" i="24" l="1"/>
  <c r="N49" i="24"/>
  <c r="V49" i="24"/>
  <c r="O49" i="24"/>
  <c r="U49" i="24"/>
  <c r="M49"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tc={B0A06633-36E2-4131-8094-1E9FE1D72B8E}</author>
  </authors>
  <commentList>
    <comment ref="E23" authorId="0" shapeId="0" xr:uid="{B0A06633-36E2-4131-8094-1E9FE1D72B8E}">
      <text>
        <t>[Threaded comment]
Your version of Excel allows you to read this threaded comment; however, any edits to it will get removed if the file is opened in a newer version of Excel. Learn more: https://go.microsoft.com/fwlink/?linkid=870924
Comment:
    Strategic plan 2018-2023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bediakonk</author>
    <author>tc={A136B366-A489-48A2-BE7B-130196F66B26}</author>
    <author>tc={E5B8BDAF-8BE8-4F09-AA59-8609FA71DF7C}</author>
    <author>tc={08F3E3F8-BE56-4044-8668-E747ECB8CBFB}</author>
    <author>tc={BA260DAC-25B7-445A-B27A-A89FAD2EF7FB}</author>
    <author>tc={E5FFE910-95AF-4468-B7E4-1CA4FB20DC78}</author>
    <author>tc={54672D3F-C4D2-4DAC-8ACB-A374B050A817}</author>
    <author>tc={4F20B7A2-C73F-4F24-99D1-8F018395A0D3}</author>
    <author>tc={0EAAF55A-4FA0-426A-8EC9-5E1BF83EF603}</author>
    <author>tc={B14408E7-5D23-4B00-A0D5-9608849E38BF}</author>
  </authors>
  <commentList>
    <comment ref="Z276" authorId="0" shapeId="0" xr:uid="{B022BA56-EE61-42AC-8A51-E2727F465AE6}">
      <text>
        <r>
          <rPr>
            <b/>
            <sz val="9"/>
            <rFont val="Times New Roman"/>
            <family val="1"/>
          </rPr>
          <t>bediakonk:</t>
        </r>
        <r>
          <rPr>
            <sz val="9"/>
            <rFont val="Times New Roman"/>
            <family val="1"/>
          </rPr>
          <t xml:space="preserve">
X-Ray Technician + Medical Radiographers</t>
        </r>
      </text>
    </comment>
    <comment ref="Z278" authorId="0" shapeId="0" xr:uid="{AED7F745-EC4C-4817-A7BE-41A4F990C270}">
      <text>
        <r>
          <rPr>
            <b/>
            <sz val="9"/>
            <rFont val="Times New Roman"/>
            <family val="1"/>
          </rPr>
          <t>bediakonk:</t>
        </r>
        <r>
          <rPr>
            <sz val="9"/>
            <rFont val="Times New Roman"/>
            <family val="1"/>
          </rPr>
          <t xml:space="preserve">
Ophthalmic and optometry</t>
        </r>
      </text>
    </comment>
    <comment ref="AM278" authorId="0" shapeId="0" xr:uid="{988BC526-9BD7-4A17-92AF-B1D884E638F9}">
      <text>
        <r>
          <rPr>
            <b/>
            <sz val="9"/>
            <rFont val="Times New Roman"/>
            <family val="1"/>
          </rPr>
          <t>bediakonk:</t>
        </r>
        <r>
          <rPr>
            <sz val="9"/>
            <rFont val="Times New Roman"/>
            <family val="1"/>
          </rPr>
          <t xml:space="preserve">
Ophthalmic and optometry</t>
        </r>
      </text>
    </comment>
    <comment ref="Z283" authorId="0" shapeId="0" xr:uid="{F3C38E7C-7E02-4439-AB34-72632655F468}">
      <text>
        <r>
          <rPr>
            <b/>
            <sz val="9"/>
            <rFont val="Times New Roman"/>
            <family val="1"/>
          </rPr>
          <t>bediakonk:</t>
        </r>
        <r>
          <rPr>
            <sz val="9"/>
            <rFont val="Times New Roman"/>
            <family val="1"/>
          </rPr>
          <t xml:space="preserve">
Physiotherapists + Rehabilitation professionals</t>
        </r>
      </text>
    </comment>
    <comment ref="AM283" authorId="0" shapeId="0" xr:uid="{2B813571-B266-4421-B791-204038538CAB}">
      <text>
        <r>
          <rPr>
            <b/>
            <sz val="9"/>
            <rFont val="Times New Roman"/>
            <family val="1"/>
          </rPr>
          <t>bediakonk:</t>
        </r>
        <r>
          <rPr>
            <sz val="9"/>
            <rFont val="Times New Roman"/>
            <family val="1"/>
          </rPr>
          <t xml:space="preserve">
Physiotherapists + Rehabilitation professionals</t>
        </r>
      </text>
    </comment>
    <comment ref="AM406" authorId="0" shapeId="0" xr:uid="{E8A0ED64-4EE1-4D98-9453-D9ABD3B2832F}">
      <text>
        <r>
          <rPr>
            <b/>
            <sz val="9"/>
            <rFont val="Times New Roman"/>
            <family val="1"/>
          </rPr>
          <t>bediakonk:</t>
        </r>
        <r>
          <rPr>
            <sz val="9"/>
            <rFont val="Times New Roman"/>
            <family val="1"/>
          </rPr>
          <t xml:space="preserve">
Orthopaedic technologist</t>
        </r>
      </text>
    </comment>
    <comment ref="Z439" authorId="0" shapeId="0" xr:uid="{C1520915-14B3-4CB1-9C67-A11BE65A6279}">
      <text>
        <r>
          <rPr>
            <b/>
            <sz val="9"/>
            <rFont val="Times New Roman"/>
            <family val="1"/>
          </rPr>
          <t>bediakonk:</t>
        </r>
        <r>
          <rPr>
            <sz val="9"/>
            <rFont val="Times New Roman"/>
            <family val="1"/>
          </rPr>
          <t xml:space="preserve">
Lesotho’s HLMA Report 2021</t>
        </r>
      </text>
    </comment>
    <comment ref="Z511" authorId="0" shapeId="0" xr:uid="{D2B3B8C4-442B-4B25-80CA-AB05708F034E}">
      <text>
        <r>
          <rPr>
            <b/>
            <sz val="9"/>
            <rFont val="Times New Roman"/>
            <family val="1"/>
          </rPr>
          <t>bediakonk:</t>
        </r>
        <r>
          <rPr>
            <sz val="9"/>
            <rFont val="Times New Roman"/>
            <family val="1"/>
          </rPr>
          <t xml:space="preserve">
Fisioterapeuta A + Técnico de Fisioterrapia
</t>
        </r>
      </text>
    </comment>
    <comment ref="AM511" authorId="0" shapeId="0" xr:uid="{C85E3149-574C-4735-8465-D7B735AE2159}">
      <text>
        <r>
          <rPr>
            <b/>
            <sz val="9"/>
            <rFont val="Times New Roman"/>
            <family val="1"/>
          </rPr>
          <t>bediakonk:</t>
        </r>
        <r>
          <rPr>
            <sz val="9"/>
            <rFont val="Times New Roman"/>
            <family val="1"/>
          </rPr>
          <t xml:space="preserve">
Fisioterapeuta A + Técnico de Fisioterrapia
</t>
        </r>
      </text>
    </comment>
    <comment ref="Z573" authorId="0" shapeId="0" xr:uid="{6C31B63F-58E0-4D21-9793-AB7CD6FCDCD1}">
      <text>
        <r>
          <rPr>
            <b/>
            <sz val="9"/>
            <rFont val="Times New Roman"/>
            <family val="1"/>
          </rPr>
          <t>bediakonk:</t>
        </r>
        <r>
          <rPr>
            <sz val="9"/>
            <rFont val="Times New Roman"/>
            <family val="1"/>
          </rPr>
          <t xml:space="preserve">
Dietitian + Nutritionist</t>
        </r>
      </text>
    </comment>
    <comment ref="AM574" authorId="0" shapeId="0" xr:uid="{7C8941E7-FC4D-4D26-AD34-B07B6EC14B63}">
      <text>
        <r>
          <rPr>
            <b/>
            <sz val="9"/>
            <rFont val="Times New Roman"/>
            <family val="1"/>
          </rPr>
          <t>bediakonk:</t>
        </r>
        <r>
          <rPr>
            <sz val="9"/>
            <rFont val="Times New Roman"/>
            <family val="1"/>
          </rPr>
          <t xml:space="preserve">
Environmental Health Practioner + Assistant
+ Occupational Therapist</t>
        </r>
      </text>
    </comment>
    <comment ref="AM588" authorId="0" shapeId="0" xr:uid="{C108A405-E2E1-46A6-AE53-88CF3FC73F90}">
      <text>
        <r>
          <rPr>
            <b/>
            <sz val="9"/>
            <rFont val="Times New Roman"/>
            <family val="1"/>
          </rPr>
          <t>bediakonk:</t>
        </r>
        <r>
          <rPr>
            <sz val="9"/>
            <rFont val="Times New Roman"/>
            <family val="1"/>
          </rPr>
          <t xml:space="preserve">
Social Workers + Social Workers Specialist</t>
        </r>
      </text>
    </comment>
    <comment ref="Z589" authorId="0" shapeId="0" xr:uid="{DDF3B2B6-78C1-4304-A269-BA5168BF874D}">
      <text>
        <r>
          <rPr>
            <b/>
            <sz val="9"/>
            <rFont val="Times New Roman"/>
            <family val="1"/>
          </rPr>
          <t>bediakonk:</t>
        </r>
        <r>
          <rPr>
            <sz val="9"/>
            <rFont val="Times New Roman"/>
            <family val="1"/>
          </rPr>
          <t xml:space="preserve">
 Data source: Situation Analysis on HRH in Namibia (Report 2019)
Speech therapists and Audiologists</t>
        </r>
      </text>
    </comment>
    <comment ref="AM589" authorId="0" shapeId="0" xr:uid="{FE2F11AC-9D78-4C3C-8F40-CDD36B466315}">
      <text>
        <r>
          <rPr>
            <b/>
            <sz val="9"/>
            <rFont val="Times New Roman"/>
            <family val="1"/>
          </rPr>
          <t>bediakonk:</t>
        </r>
        <r>
          <rPr>
            <sz val="9"/>
            <rFont val="Times New Roman"/>
            <family val="1"/>
          </rPr>
          <t xml:space="preserve">
 Data source: Situation Analysis on HRH in Namibia (Report 2019)
Speech therapists and Audiologists</t>
        </r>
      </text>
    </comment>
    <comment ref="AM646" authorId="0" shapeId="0" xr:uid="{E95E9A4F-8BE0-4C80-85D7-A4C993F9EEA9}">
      <text>
        <r>
          <rPr>
            <b/>
            <sz val="9"/>
            <rFont val="Times New Roman"/>
            <family val="1"/>
          </rPr>
          <t>bediakonk:</t>
        </r>
        <r>
          <rPr>
            <sz val="9"/>
            <rFont val="Times New Roman"/>
            <family val="1"/>
          </rPr>
          <t xml:space="preserve">
Data Source:
Rwanda HLMA 2019</t>
        </r>
      </text>
    </comment>
    <comment ref="Z820" authorId="0" shapeId="0" xr:uid="{F75B2962-2BC8-427C-B6B6-C7AB7F333E48}">
      <text>
        <r>
          <rPr>
            <b/>
            <sz val="9"/>
            <rFont val="Times New Roman"/>
            <family val="1"/>
          </rPr>
          <t>bediakonk:</t>
        </r>
        <r>
          <rPr>
            <sz val="9"/>
            <rFont val="Times New Roman"/>
            <family val="1"/>
          </rPr>
          <t xml:space="preserve">
Assistant Nutritionist (17) + Nutritionist (76)</t>
        </r>
      </text>
    </comment>
    <comment ref="AM820" authorId="0" shapeId="0" xr:uid="{5EDE89C3-8C81-4343-B921-3EF6DBB6CF6E}">
      <text>
        <r>
          <rPr>
            <b/>
            <sz val="9"/>
            <rFont val="Times New Roman"/>
            <family val="1"/>
          </rPr>
          <t>bediakonk:</t>
        </r>
        <r>
          <rPr>
            <sz val="9"/>
            <rFont val="Times New Roman"/>
            <family val="1"/>
          </rPr>
          <t xml:space="preserve">
Assistant Nutritionist (17) + Nutritionist (76)</t>
        </r>
      </text>
    </comment>
    <comment ref="Z824" authorId="0" shapeId="0" xr:uid="{53F04EF7-9B3E-4423-8C48-06EA721EF3D2}">
      <text>
        <r>
          <rPr>
            <b/>
            <sz val="9"/>
            <rFont val="Times New Roman"/>
            <family val="1"/>
          </rPr>
          <t>bediakonk:</t>
        </r>
        <r>
          <rPr>
            <sz val="9"/>
            <rFont val="Times New Roman"/>
            <family val="1"/>
          </rPr>
          <t xml:space="preserve">
Orthopedic Officer (890) + Orthopedic Technologist (392)</t>
        </r>
      </text>
    </comment>
    <comment ref="AM824" authorId="0" shapeId="0" xr:uid="{335E80B9-7542-4971-AC05-202E4CB0F36E}">
      <text>
        <r>
          <rPr>
            <b/>
            <sz val="9"/>
            <rFont val="Times New Roman"/>
            <family val="1"/>
          </rPr>
          <t>bediakonk:</t>
        </r>
        <r>
          <rPr>
            <sz val="9"/>
            <rFont val="Times New Roman"/>
            <family val="1"/>
          </rPr>
          <t xml:space="preserve">
Orthopedic Officer (890) + Orthopedic Technologist (392)</t>
        </r>
      </text>
    </comment>
    <comment ref="Z829" authorId="0" shapeId="0" xr:uid="{70D2B836-5B1B-4B81-A20D-8908CCBEADFE}">
      <text>
        <r>
          <rPr>
            <b/>
            <sz val="9"/>
            <rFont val="Times New Roman"/>
            <family val="1"/>
          </rPr>
          <t>bediakonk:</t>
        </r>
        <r>
          <rPr>
            <sz val="9"/>
            <rFont val="Times New Roman"/>
            <family val="1"/>
          </rPr>
          <t xml:space="preserve">
Ophthalmic Clinical Officer (264) + Optometrist (19)
</t>
        </r>
      </text>
    </comment>
    <comment ref="AM829" authorId="0" shapeId="0" xr:uid="{C4F0E7CB-88CA-49F2-99F9-849811AA5CFF}">
      <text>
        <r>
          <rPr>
            <b/>
            <sz val="9"/>
            <rFont val="Times New Roman"/>
            <family val="1"/>
          </rPr>
          <t>bediakonk:</t>
        </r>
        <r>
          <rPr>
            <sz val="9"/>
            <rFont val="Times New Roman"/>
            <family val="1"/>
          </rPr>
          <t xml:space="preserve">
Ophthalmic Clinical Officer (264) + Optometrist (19)
</t>
        </r>
      </text>
    </comment>
    <comment ref="Z858" authorId="0" shapeId="0" xr:uid="{2719C3EB-0DEE-4FD2-B1FF-6ED526C7E2EE}">
      <text>
        <r>
          <rPr>
            <b/>
            <sz val="9"/>
            <rFont val="Times New Roman"/>
            <family val="1"/>
          </rPr>
          <t>bediakonk:</t>
        </r>
        <r>
          <rPr>
            <sz val="9"/>
            <rFont val="Times New Roman"/>
            <family val="1"/>
          </rPr>
          <t xml:space="preserve">
Nutrition Technologist (689) + Nutritionist (85)
</t>
        </r>
      </text>
    </comment>
    <comment ref="AM858" authorId="0" shapeId="0" xr:uid="{7C5AAB39-26C6-4417-B33A-3EB54AFC91D8}">
      <text>
        <r>
          <rPr>
            <b/>
            <sz val="9"/>
            <rFont val="Times New Roman"/>
            <family val="1"/>
          </rPr>
          <t>bediakonk:</t>
        </r>
        <r>
          <rPr>
            <sz val="9"/>
            <rFont val="Times New Roman"/>
            <family val="1"/>
          </rPr>
          <t xml:space="preserve">
Nutrition Technologist (689) + Nutritionist (85)
</t>
        </r>
      </text>
    </comment>
    <comment ref="Z859" authorId="0" shapeId="0" xr:uid="{D2D014B6-B89B-4474-A19A-393A8367C01C}">
      <text>
        <r>
          <rPr>
            <b/>
            <sz val="9"/>
            <rFont val="Times New Roman"/>
            <family val="1"/>
          </rPr>
          <t>bediakonk:</t>
        </r>
        <r>
          <rPr>
            <sz val="9"/>
            <rFont val="Times New Roman"/>
            <family val="1"/>
          </rPr>
          <t xml:space="preserve">
Environmental Health Assistant (5) + Environmental Health Officer (1169) + Environmental Health Technologist (3151) + Health Promotions Officer (67)
</t>
        </r>
      </text>
    </comment>
    <comment ref="AM872" authorId="0" shapeId="0" xr:uid="{823DB913-4F18-4809-A79E-AC7265A9D95F}">
      <text>
        <r>
          <rPr>
            <b/>
            <sz val="9"/>
            <rFont val="Times New Roman"/>
            <family val="1"/>
          </rPr>
          <t>bediakonk:</t>
        </r>
        <r>
          <rPr>
            <sz val="9"/>
            <rFont val="Times New Roman"/>
            <family val="1"/>
          </rPr>
          <t xml:space="preserve">
Physiotherapist (380) + Physiotherapy Technologist (947)
</t>
        </r>
      </text>
    </comment>
    <comment ref="Z1094" authorId="0" shapeId="0" xr:uid="{8997A35A-ACBD-4CC5-9857-4AD87E452F87}">
      <text>
        <r>
          <rPr>
            <b/>
            <sz val="9"/>
            <rFont val="Times New Roman"/>
            <family val="1"/>
          </rPr>
          <t>bediakonk:</t>
        </r>
        <r>
          <rPr>
            <sz val="9"/>
            <rFont val="Times New Roman"/>
            <family val="1"/>
          </rPr>
          <t xml:space="preserve">
Nurses (all General Nurses) + Specialist Nurses
</t>
        </r>
      </text>
    </comment>
    <comment ref="AI1094" authorId="0" shapeId="0" xr:uid="{40DACCBD-A5A5-4864-8808-1D26A0AED2FD}">
      <text>
        <r>
          <rPr>
            <b/>
            <sz val="9"/>
            <rFont val="Times New Roman"/>
            <family val="1"/>
          </rPr>
          <t>bediakonk:</t>
        </r>
        <r>
          <rPr>
            <sz val="9"/>
            <rFont val="Times New Roman"/>
            <family val="1"/>
          </rPr>
          <t xml:space="preserve">
Nurses (all General Nurses) + Specialist Nurses
</t>
        </r>
      </text>
    </comment>
    <comment ref="Z1101" authorId="0" shapeId="0" xr:uid="{F4E3CF73-E8D9-4C29-A0EE-1104C70FCAC3}">
      <text>
        <r>
          <rPr>
            <b/>
            <sz val="9"/>
            <rFont val="Times New Roman"/>
            <family val="1"/>
          </rPr>
          <t>bediakonk:</t>
        </r>
        <r>
          <rPr>
            <sz val="9"/>
            <rFont val="Times New Roman"/>
            <family val="1"/>
          </rPr>
          <t xml:space="preserve">
Pharmacy Technicians (Druggists)</t>
        </r>
      </text>
    </comment>
    <comment ref="AI1101" authorId="0" shapeId="0" xr:uid="{BCEF5E31-6B79-41F6-B2C6-199830DF81F6}">
      <text>
        <r>
          <rPr>
            <b/>
            <sz val="9"/>
            <rFont val="Times New Roman"/>
            <family val="1"/>
          </rPr>
          <t>bediakonk:</t>
        </r>
        <r>
          <rPr>
            <sz val="9"/>
            <rFont val="Times New Roman"/>
            <family val="1"/>
          </rPr>
          <t xml:space="preserve">
Pharmacy Technicians (Druggists)</t>
        </r>
      </text>
    </comment>
    <comment ref="Z1102" authorId="0" shapeId="0" xr:uid="{46B08879-BAB2-4D07-A273-C60EB972874E}">
      <text>
        <r>
          <rPr>
            <b/>
            <sz val="9"/>
            <rFont val="Times New Roman"/>
            <family val="1"/>
          </rPr>
          <t>bediakonk:</t>
        </r>
        <r>
          <rPr>
            <sz val="9"/>
            <rFont val="Times New Roman"/>
            <family val="1"/>
          </rPr>
          <t xml:space="preserve">
Source: HLMA 2020, Page 20 / Table 1: Estimated Size and Composition of the Health Workforce in Ethiopia, 2019</t>
        </r>
      </text>
    </comment>
    <comment ref="AI1102" authorId="0" shapeId="0" xr:uid="{85D1DA1F-7766-471D-960A-4901924F8310}">
      <text>
        <r>
          <rPr>
            <b/>
            <sz val="9"/>
            <rFont val="Times New Roman"/>
            <family val="1"/>
          </rPr>
          <t>bediakonk:</t>
        </r>
        <r>
          <rPr>
            <sz val="9"/>
            <rFont val="Times New Roman"/>
            <family val="1"/>
          </rPr>
          <t xml:space="preserve">
Source: HLMA 2020, Page 20 / Table 1: Estimated Size and Composition of the Health Workforce in Ethiopia, 2019</t>
        </r>
      </text>
    </comment>
    <comment ref="Z1192" authorId="0" shapeId="0" xr:uid="{189DA2E8-04BD-4904-8B4B-26FE6ACBD4B2}">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
</t>
        </r>
      </text>
    </comment>
    <comment ref="AI1192" authorId="0" shapeId="0" xr:uid="{8596680B-5518-4B7A-9DAB-5B537A596033}">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
</t>
        </r>
      </text>
    </comment>
    <comment ref="Z1199" authorId="0" shapeId="0" xr:uid="{E5D281E4-1582-400B-81B1-88588925E4D5}">
      <text>
        <r>
          <rPr>
            <b/>
            <sz val="9"/>
            <rFont val="Times New Roman"/>
            <family val="1"/>
          </rPr>
          <t>bediakonk:</t>
        </r>
        <r>
          <rPr>
            <sz val="9"/>
            <rFont val="Times New Roman"/>
            <family val="1"/>
          </rPr>
          <t xml:space="preserve">
Pharmaceutical Technologist</t>
        </r>
      </text>
    </comment>
    <comment ref="AI1199" authorId="0" shapeId="0" xr:uid="{96D960D5-F9D6-43B1-A5F4-EF14E2A38A58}">
      <text>
        <r>
          <rPr>
            <b/>
            <sz val="9"/>
            <rFont val="Times New Roman"/>
            <family val="1"/>
          </rPr>
          <t>bediakonk:</t>
        </r>
        <r>
          <rPr>
            <sz val="9"/>
            <rFont val="Times New Roman"/>
            <family val="1"/>
          </rPr>
          <t xml:space="preserve">
Pharmaceutical Technologist</t>
        </r>
      </text>
    </comment>
    <comment ref="AI1200" authorId="0" shapeId="0" xr:uid="{8C3DDC7D-ABFF-4200-80A5-A0F33931341E}">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t>
        </r>
      </text>
    </comment>
    <comment ref="Z1201" authorId="0" shapeId="0" xr:uid="{BA4002F2-45B6-4FED-9DB1-A636105D0C35}">
      <text>
        <r>
          <rPr>
            <b/>
            <sz val="9"/>
            <rFont val="Times New Roman"/>
            <family val="1"/>
          </rPr>
          <t>bediakonk:</t>
        </r>
        <r>
          <rPr>
            <sz val="9"/>
            <rFont val="Times New Roman"/>
            <family val="1"/>
          </rPr>
          <t xml:space="preserve">
Source: HLMA Report 2023</t>
        </r>
      </text>
    </comment>
    <comment ref="AI1201" authorId="0" shapeId="0" xr:uid="{A3FF1229-7A61-419C-9ABD-453C0F4F03AB}">
      <text>
        <r>
          <rPr>
            <b/>
            <sz val="9"/>
            <rFont val="Times New Roman"/>
            <family val="1"/>
          </rPr>
          <t>bediakonk:</t>
        </r>
        <r>
          <rPr>
            <sz val="9"/>
            <rFont val="Times New Roman"/>
            <family val="1"/>
          </rPr>
          <t xml:space="preserve">
Source: HLMA Report 2023</t>
        </r>
      </text>
    </comment>
    <comment ref="AI1217" authorId="0" shapeId="0" xr:uid="{9C95DE97-9AC8-48AE-B99A-4D360FE5656A}">
      <text>
        <r>
          <rPr>
            <b/>
            <sz val="9"/>
            <rFont val="Times New Roman"/>
            <family val="1"/>
          </rPr>
          <t>bediakonk:</t>
        </r>
        <r>
          <rPr>
            <sz val="9"/>
            <rFont val="Times New Roman"/>
            <family val="1"/>
          </rPr>
          <t xml:space="preserve">
Generalist medical practitioners + Specialist medical practitioners</t>
        </r>
      </text>
    </comment>
    <comment ref="Z1259" authorId="0" shapeId="0" xr:uid="{E9E543E1-337F-4331-8A29-039A07237B2A}">
      <text>
        <r>
          <rPr>
            <b/>
            <sz val="9"/>
            <rFont val="Times New Roman"/>
            <family val="1"/>
          </rPr>
          <t>bediakonk:</t>
        </r>
        <r>
          <rPr>
            <sz val="9"/>
            <rFont val="Times New Roman"/>
            <family val="1"/>
          </rPr>
          <t xml:space="preserve">
Public sector Data only, No data from the private sector</t>
        </r>
        <r>
          <rPr>
            <b/>
            <sz val="9"/>
            <rFont val="Times New Roman"/>
            <family val="1"/>
          </rPr>
          <t xml:space="preserve">
******************</t>
        </r>
        <r>
          <rPr>
            <sz val="9"/>
            <rFont val="Times New Roman"/>
            <family val="1"/>
          </rPr>
          <t xml:space="preserve">
Médico de Saúde Pública + Medico famíliar e comunitário + Epidemiologista + Medicina Preventiva e Saneamento do Meio + Cirurgião Geral + Intensivista + Obstetra e Ginecologista +  Médico de Clínica Geral +  Internista + Legista + Cardiologista + Cirurgião cardiovascular + Cirurgião plástico + Cirurgião toráxico + Cirurgião vascular + Anatomopatologista + Cirurgião Maxilofacial + Dermatologista + Endocrinologista + Gastroenterologista + Infectologista + Nefrologista + Neurocirurgião + Neurologista + Oncologista + Oftalmologista + Otorrinolaringologista + Pediatra + Pneumologista + Urologista + Anatomia Patológica A + Médico de Análises Clínicas + Hematologista + Patologista + Médico Emergencista
******</t>
        </r>
      </text>
    </comment>
    <comment ref="AI1259" authorId="0" shapeId="0" xr:uid="{BC77A826-B905-4B47-BC5C-1F50BD682B23}">
      <text>
        <r>
          <rPr>
            <b/>
            <sz val="9"/>
            <rFont val="Times New Roman"/>
            <family val="1"/>
          </rPr>
          <t>bediakonk:</t>
        </r>
        <r>
          <rPr>
            <sz val="9"/>
            <rFont val="Times New Roman"/>
            <family val="1"/>
          </rPr>
          <t xml:space="preserve">
Public sector Data only, No data from the private sector</t>
        </r>
        <r>
          <rPr>
            <b/>
            <sz val="9"/>
            <rFont val="Times New Roman"/>
            <family val="1"/>
          </rPr>
          <t xml:space="preserve">
******************</t>
        </r>
        <r>
          <rPr>
            <sz val="9"/>
            <rFont val="Times New Roman"/>
            <family val="1"/>
          </rPr>
          <t xml:space="preserve">
Médico de Saúde Pública + Medico famíliar e comunitário + Epidemiologista + Medicina Preventiva e Saneamento do Meio + Cirurgião Geral + Intensivista + Obstetra e Ginecologista +  Médico de Clínica Geral +  Internista + Legista + Cardiologista + Cirurgião cardiovascular + Cirurgião plástico + Cirurgião toráxico + Cirurgião vascular + Anatomopatologista + Cirurgião Maxilofacial + Dermatologista + Endocrinologista + Gastroenterologista + Infectologista + Nefrologista + Neurocirurgião + Neurologista + Oncologista + Oftalmologista + Otorrinolaringologista + Pediatra + Pneumologista + Urologista + Anatomia Patológica A + Médico de Análises Clínicas + Hematologista + Patologista + Médico Emergencista
******</t>
        </r>
      </text>
    </comment>
    <comment ref="Z1262" authorId="0" shapeId="0" xr:uid="{CEC845CC-603F-45AF-A195-6447ACBE16C4}">
      <text>
        <r>
          <rPr>
            <b/>
            <sz val="9"/>
            <rFont val="Times New Roman"/>
            <family val="1"/>
          </rPr>
          <t>bediakonk:</t>
        </r>
        <r>
          <rPr>
            <sz val="9"/>
            <rFont val="Times New Roman"/>
            <family val="1"/>
          </rPr>
          <t xml:space="preserve">
Enfermeiro especializada em Cuidados Intensivos + Enfermeiro A + Enfermeiro Geral + Enfermeira de Saúde Materno (Superior)</t>
        </r>
      </text>
    </comment>
    <comment ref="AI1262" authorId="0" shapeId="0" xr:uid="{4AA8F079-DEA6-4FC1-87C4-79832B82F557}">
      <text>
        <r>
          <rPr>
            <b/>
            <sz val="9"/>
            <rFont val="Times New Roman"/>
            <family val="1"/>
          </rPr>
          <t>bediakonk:</t>
        </r>
        <r>
          <rPr>
            <sz val="9"/>
            <rFont val="Times New Roman"/>
            <family val="1"/>
          </rPr>
          <t xml:space="preserve">
Enfermeiro especializada em Cuidados Intensivos + Enfermeiro A + Enfermeiro Geral + Enfermeira de Saúde Materno (Superior)</t>
        </r>
      </text>
    </comment>
    <comment ref="Z1265" authorId="0" shapeId="0" xr:uid="{B167107F-8A99-4884-895C-EC240C1A0A3D}">
      <text>
        <r>
          <rPr>
            <b/>
            <sz val="9"/>
            <rFont val="Times New Roman"/>
            <family val="1"/>
          </rPr>
          <t>bediakonk:</t>
        </r>
        <r>
          <rPr>
            <sz val="9"/>
            <rFont val="Times New Roman"/>
            <family val="1"/>
          </rPr>
          <t xml:space="preserve">
Enfermeiro especializada em Neonatologia + Enfermeira de Saúde Materno-Infantil (Médio)</t>
        </r>
      </text>
    </comment>
    <comment ref="AI1265" authorId="0" shapeId="0" xr:uid="{DDD44BD8-1984-48A1-A169-23D147D55711}">
      <text>
        <r>
          <rPr>
            <b/>
            <sz val="9"/>
            <rFont val="Times New Roman"/>
            <family val="1"/>
          </rPr>
          <t>bediakonk:</t>
        </r>
        <r>
          <rPr>
            <sz val="9"/>
            <rFont val="Times New Roman"/>
            <family val="1"/>
          </rPr>
          <t xml:space="preserve">
Enfermeiro especializada em Neonatologia + Enfermeira de Saúde Materno-Infantil (Médio)</t>
        </r>
      </text>
    </comment>
    <comment ref="Z1315" authorId="0" shapeId="0" xr:uid="{9823E657-46E0-435F-9E85-7DEBCC84C062}">
      <text>
        <r>
          <rPr>
            <b/>
            <sz val="9"/>
            <rFont val="Times New Roman"/>
            <family val="1"/>
          </rPr>
          <t>bediakonk:</t>
        </r>
        <r>
          <rPr>
            <sz val="9"/>
            <rFont val="Times New Roman"/>
            <family val="1"/>
          </rPr>
          <t xml:space="preserve">
Generalists + Specialists</t>
        </r>
      </text>
    </comment>
    <comment ref="AI1315" authorId="0" shapeId="0" xr:uid="{7440F414-217C-4FB1-A029-CA369AC5618F}">
      <text>
        <r>
          <rPr>
            <b/>
            <sz val="9"/>
            <rFont val="Times New Roman"/>
            <family val="1"/>
          </rPr>
          <t>bediakonk:</t>
        </r>
        <r>
          <rPr>
            <sz val="9"/>
            <rFont val="Times New Roman"/>
            <family val="1"/>
          </rPr>
          <t xml:space="preserve">
Generalists + Specialists</t>
        </r>
      </text>
    </comment>
    <comment ref="Z1318" authorId="0" shapeId="0" xr:uid="{A142DA18-7826-4B34-AC7B-83507BAAB8B1}">
      <text>
        <r>
          <rPr>
            <b/>
            <sz val="9"/>
            <rFont val="Times New Roman"/>
            <family val="1"/>
          </rPr>
          <t>bediakonk:</t>
        </r>
        <r>
          <rPr>
            <sz val="9"/>
            <rFont val="Times New Roman"/>
            <family val="1"/>
          </rPr>
          <t xml:space="preserve">
Nursing &amp; Midwifery - Enrolled + Nursing &amp; Midwifery Registered + Accoucheur</t>
        </r>
      </text>
    </comment>
    <comment ref="AI1318" authorId="0" shapeId="0" xr:uid="{CABD8127-93AC-4A10-8DBF-5FCD77DF1869}">
      <text>
        <r>
          <rPr>
            <b/>
            <sz val="9"/>
            <rFont val="Times New Roman"/>
            <family val="1"/>
          </rPr>
          <t>bediakonk:</t>
        </r>
        <r>
          <rPr>
            <sz val="9"/>
            <rFont val="Times New Roman"/>
            <family val="1"/>
          </rPr>
          <t xml:space="preserve">
Nursing &amp; Midwifery - Enrolled + Nursing &amp; Midwifery Registered + Accoucheur</t>
        </r>
      </text>
    </comment>
    <comment ref="Z1326" authorId="0" shapeId="0" xr:uid="{998ED221-3E69-491C-B6FE-0C630F9E6CE2}">
      <text>
        <r>
          <rPr>
            <b/>
            <sz val="9"/>
            <rFont val="Times New Roman"/>
            <family val="1"/>
          </rPr>
          <t>bediakonk:</t>
        </r>
        <r>
          <rPr>
            <sz val="9"/>
            <rFont val="Times New Roman"/>
            <family val="1"/>
          </rPr>
          <t xml:space="preserve">
Dentists + Specialists + Oral Hygienist</t>
        </r>
      </text>
    </comment>
    <comment ref="AI1326" authorId="0" shapeId="0" xr:uid="{F57D3ADA-5F13-47EF-A2E3-CC0E827263A4}">
      <text>
        <r>
          <rPr>
            <b/>
            <sz val="9"/>
            <rFont val="Times New Roman"/>
            <family val="1"/>
          </rPr>
          <t>bediakonk:</t>
        </r>
        <r>
          <rPr>
            <sz val="9"/>
            <rFont val="Times New Roman"/>
            <family val="1"/>
          </rPr>
          <t xml:space="preserve">
Dentists + Specialists + Oral Hygienist</t>
        </r>
      </text>
    </comment>
    <comment ref="Z1327" authorId="0" shapeId="0" xr:uid="{4795E5CD-970F-4FFA-A51E-7A03AE0517BC}">
      <text>
        <r>
          <rPr>
            <b/>
            <sz val="9"/>
            <rFont val="Times New Roman"/>
            <family val="1"/>
          </rPr>
          <t>bediakonk:</t>
        </r>
        <r>
          <rPr>
            <sz val="9"/>
            <rFont val="Times New Roman"/>
            <family val="1"/>
          </rPr>
          <t xml:space="preserve">
Dental technician + Technologist + Therapist</t>
        </r>
      </text>
    </comment>
    <comment ref="AI1327" authorId="0" shapeId="0" xr:uid="{AEEEBE22-4EAC-48C5-BBD8-C686B4189125}">
      <text>
        <r>
          <rPr>
            <b/>
            <sz val="9"/>
            <rFont val="Times New Roman"/>
            <family val="1"/>
          </rPr>
          <t>bediakonk:</t>
        </r>
        <r>
          <rPr>
            <sz val="9"/>
            <rFont val="Times New Roman"/>
            <family val="1"/>
          </rPr>
          <t xml:space="preserve">
Dental technician + Technologist + Therapist</t>
        </r>
      </text>
    </comment>
    <comment ref="Z1385" authorId="0" shapeId="0" xr:uid="{E09F7CBF-61CB-4E3F-AA5D-8E2AE52C0C26}">
      <text>
        <r>
          <rPr>
            <b/>
            <sz val="9"/>
            <rFont val="Times New Roman"/>
            <family val="1"/>
          </rPr>
          <t>bediakonk:</t>
        </r>
        <r>
          <rPr>
            <sz val="9"/>
            <rFont val="Times New Roman"/>
            <family val="1"/>
          </rPr>
          <t xml:space="preserve">
Medical and Dental (530) + General medical practitioners (515) + Specialist medical practitioners (61)
***
Data Source: HLMA, 2019</t>
        </r>
      </text>
    </comment>
    <comment ref="AI1385" authorId="0" shapeId="0" xr:uid="{5EF06F4B-56A1-4AA1-B826-AE2B788A3203}">
      <text>
        <r>
          <rPr>
            <b/>
            <sz val="9"/>
            <rFont val="Times New Roman"/>
            <family val="1"/>
          </rPr>
          <t>bediakonk:</t>
        </r>
        <r>
          <rPr>
            <sz val="9"/>
            <rFont val="Times New Roman"/>
            <family val="1"/>
          </rPr>
          <t xml:space="preserve">
Medical and Dental (530) + General medical practitioners (515) + Specialist medical practitioners (61)
***
Data Source: HLMA, 2019</t>
        </r>
      </text>
    </comment>
    <comment ref="Z1388" authorId="0" shapeId="0" xr:uid="{63AABD93-9F17-4082-9CBB-7D61319164AE}">
      <text>
        <r>
          <rPr>
            <b/>
            <sz val="9"/>
            <rFont val="Times New Roman"/>
            <family val="1"/>
          </rPr>
          <t>bediakonk:</t>
        </r>
        <r>
          <rPr>
            <sz val="9"/>
            <rFont val="Times New Roman"/>
            <family val="1"/>
          </rPr>
          <t xml:space="preserve">
Nursing and Midwifery (9,491) + Nursing associate professionals - SECHN (5,026) + Nursing professionals (1,040) + Specialised Nurses (109)</t>
        </r>
      </text>
    </comment>
    <comment ref="AI1388" authorId="0" shapeId="0" xr:uid="{88CB15DD-F431-41FE-8CDF-6152DA9D3C7B}">
      <text>
        <r>
          <rPr>
            <b/>
            <sz val="9"/>
            <rFont val="Times New Roman"/>
            <family val="1"/>
          </rPr>
          <t>bediakonk:</t>
        </r>
        <r>
          <rPr>
            <sz val="9"/>
            <rFont val="Times New Roman"/>
            <family val="1"/>
          </rPr>
          <t xml:space="preserve">
Nursing and Midwifery (9,491) + Nursing associate professionals - SECHN (5,026) + Nursing professionals (1,040) + Specialised Nurses (109)</t>
        </r>
      </text>
    </comment>
    <comment ref="Z1395" authorId="0" shapeId="0" xr:uid="{16E57AC5-CE68-4020-99FB-F8CA76E17596}">
      <text>
        <r>
          <rPr>
            <b/>
            <sz val="9"/>
            <rFont val="Times New Roman"/>
            <family val="1"/>
          </rPr>
          <t>bediakonk:</t>
        </r>
        <r>
          <rPr>
            <sz val="9"/>
            <rFont val="Times New Roman"/>
            <family val="1"/>
          </rPr>
          <t xml:space="preserve">
Pharmaceutical (525) + Pharmaceutical technicians and assistants (332)
</t>
        </r>
      </text>
    </comment>
    <comment ref="AI1395" authorId="0" shapeId="0" xr:uid="{B25D9CC4-F22C-42AA-8370-CFE59457C476}">
      <text>
        <r>
          <rPr>
            <b/>
            <sz val="9"/>
            <rFont val="Times New Roman"/>
            <family val="1"/>
          </rPr>
          <t>bediakonk:</t>
        </r>
        <r>
          <rPr>
            <sz val="9"/>
            <rFont val="Times New Roman"/>
            <family val="1"/>
          </rPr>
          <t xml:space="preserve">
Pharmaceutical (525) + Pharmaceutical technicians and assistants (332)
</t>
        </r>
      </text>
    </comment>
    <comment ref="Z1396" authorId="0" shapeId="0" xr:uid="{263D7D22-C18B-499B-A7AD-B904FAB2131C}">
      <text>
        <r>
          <rPr>
            <b/>
            <sz val="9"/>
            <rFont val="Times New Roman"/>
            <family val="1"/>
          </rPr>
          <t>bediakonk:</t>
        </r>
        <r>
          <rPr>
            <sz val="9"/>
            <rFont val="Times New Roman"/>
            <family val="1"/>
          </rPr>
          <t xml:space="preserve">
Some dentists have been lumped together with doctors, so we cannot separate them. This may explain the small number here.
</t>
        </r>
      </text>
    </comment>
    <comment ref="AI1396" authorId="0" shapeId="0" xr:uid="{EB893076-D647-4D02-87CA-8F54627F90CE}">
      <text>
        <r>
          <rPr>
            <b/>
            <sz val="9"/>
            <rFont val="Times New Roman"/>
            <family val="1"/>
          </rPr>
          <t>bediakonk:</t>
        </r>
        <r>
          <rPr>
            <sz val="9"/>
            <rFont val="Times New Roman"/>
            <family val="1"/>
          </rPr>
          <t xml:space="preserve">
Some dentists have been lumped together with doctors, so we cannot separate them. This may explain the small number here.
</t>
        </r>
      </text>
    </comment>
    <comment ref="Z1441" authorId="0" shapeId="0" xr:uid="{A165F1F7-778C-4288-9A57-FC3249EC60B1}">
      <text>
        <r>
          <rPr>
            <b/>
            <sz val="9"/>
            <rFont val="Times New Roman"/>
            <family val="1"/>
          </rPr>
          <t>bediakonk:</t>
        </r>
        <r>
          <rPr>
            <sz val="9"/>
            <rFont val="Times New Roman"/>
            <family val="1"/>
          </rPr>
          <t xml:space="preserve">
Medical Doctors (477) + General Medical Practitioner (125) + Specialist Medical Practitioner (115) + Medical group of Specialist Practitioners (61) + General paediatricians (7) + Obstetricians and Gynaecologists (11) + Surgical group of Specialist Practitioners (32)</t>
        </r>
      </text>
    </comment>
    <comment ref="AI1441" authorId="0" shapeId="0" xr:uid="{5728BF03-170F-4327-82BD-3165FF1F24C8}">
      <text>
        <r>
          <rPr>
            <b/>
            <sz val="9"/>
            <rFont val="Times New Roman"/>
            <family val="1"/>
          </rPr>
          <t>bediakonk:</t>
        </r>
        <r>
          <rPr>
            <sz val="9"/>
            <rFont val="Times New Roman"/>
            <family val="1"/>
          </rPr>
          <t xml:space="preserve">
Medical Doctors (477) + General Medical Practitioner (125) + Specialist Medical Practitioner (115) + Medical group of Specialist Practitioners (61) + General paediatricians (7) + Obstetricians and Gynaecologists (11) + Surgical group of Specialist Practitioners (32)</t>
        </r>
      </text>
    </comment>
    <comment ref="AI1509" authorId="1" shapeId="0" xr:uid="{A136B366-A489-48A2-BE7B-130196F66B26}">
      <text>
        <t>[Threaded comment]
Your version of Excel allows you to read this threaded comment; however, any edits to it will get removed if the file is opened in a newer version of Excel. Learn more: https://go.microsoft.com/fwlink/?linkid=870924
Comment:
    HLMA</t>
      </text>
    </comment>
    <comment ref="AI1514" authorId="0" shapeId="0" xr:uid="{7A03EAA3-F643-4604-B249-12E1B22277E0}">
      <text>
        <r>
          <rPr>
            <b/>
            <sz val="9"/>
            <rFont val="Times New Roman"/>
            <family val="1"/>
          </rPr>
          <t>bediakonk:</t>
        </r>
        <r>
          <rPr>
            <sz val="9"/>
            <rFont val="Times New Roman"/>
            <family val="1"/>
          </rPr>
          <t xml:space="preserve">
Nursing and midwifery professionals (21,000) + Nursing and midwifery associate professionals (108,000)
</t>
        </r>
      </text>
    </comment>
    <comment ref="Z1525" authorId="2" shapeId="0" xr:uid="{E5B8BDAF-8BE8-4F09-AA59-8609FA71DF7C}">
      <text>
        <t>[Threaded comment]
Your version of Excel allows you to read this threaded comment; however, any edits to it will get removed if the file is opened in a newer version of Excel. Learn more: https://go.microsoft.com/fwlink/?linkid=870924
Comment:
    HLMA</t>
      </text>
    </comment>
    <comment ref="AI1525" authorId="3" shapeId="0" xr:uid="{08F3E3F8-BE56-4044-8668-E747ECB8CBFB}">
      <text>
        <t>[Threaded comment]
Your version of Excel allows you to read this threaded comment; however, any edits to it will get removed if the file is opened in a newer version of Excel. Learn more: https://go.microsoft.com/fwlink/?linkid=870924
Comment:
    HLMA</t>
      </text>
    </comment>
    <comment ref="Z1528" authorId="0" shapeId="0" xr:uid="{03A38363-1E7B-4AF9-8E32-9EC33780CA53}">
      <text>
        <r>
          <rPr>
            <b/>
            <sz val="9"/>
            <rFont val="Times New Roman"/>
            <family val="1"/>
          </rPr>
          <t>bediakonk:</t>
        </r>
        <r>
          <rPr>
            <sz val="9"/>
            <rFont val="Times New Roman"/>
            <family val="1"/>
          </rPr>
          <t xml:space="preserve">
Cardiovascular Nurse Specialist
Clinical Nurse
Critical Care Nurse
HIV Nurse Practitioner
Mental Health and Psychiatry Nurse Specialist
Neonatology Nurse Specialist
Oncology Nurse Specialist
Palliative Care Nurse Specialist
Public Health Nurse
Public Health Nurse Specialist
Registered Mental Health Nurse
Registered Nurse
Registered Paediatric Nurse
Registered Theatre Nurse
Trauma and Emergency Nurse Specialist
Zambia Enrolled Midwife
Zambia Enrolled Nurse</t>
        </r>
      </text>
    </comment>
    <comment ref="AI1528" authorId="0" shapeId="0" xr:uid="{CE67394A-8000-4DD3-ABC2-0BDB4FC9032D}">
      <text>
        <r>
          <rPr>
            <b/>
            <sz val="9"/>
            <rFont val="Times New Roman"/>
            <family val="1"/>
          </rPr>
          <t>bediakonk:</t>
        </r>
        <r>
          <rPr>
            <sz val="9"/>
            <rFont val="Times New Roman"/>
            <family val="1"/>
          </rPr>
          <t xml:space="preserve">
Cardiovascular Nurse Specialist
Clinical Nurse
Critical Care Nurse
HIV Nurse Practitioner
Mental Health and Psychiatry Nurse Specialist
Neonatology Nurse Specialist
Oncology Nurse Specialist
Palliative Care Nurse Specialist
Public Health Nurse
Public Health Nurse Specialist
Registered Mental Health Nurse
Registered Nurse
Registered Paediatric Nurse
Registered Theatre Nurse
Trauma and Emergency Nurse Specialist
Zambia Enrolled Midwife
Zambia Enrolled Nurse</t>
        </r>
      </text>
    </comment>
    <comment ref="Z1534" authorId="4" shapeId="0" xr:uid="{BA260DAC-25B7-445A-B27A-A89FAD2EF7FB}">
      <text>
        <t>[Threaded comment]
Your version of Excel allows you to read this threaded comment; however, any edits to it will get removed if the file is opened in a newer version of Excel. Learn more: https://go.microsoft.com/fwlink/?linkid=870924
Comment:
    HLMA</t>
      </text>
    </comment>
    <comment ref="AI1534" authorId="5" shapeId="0" xr:uid="{E5FFE910-95AF-4468-B7E4-1CA4FB20DC78}">
      <text>
        <t>[Threaded comment]
Your version of Excel allows you to read this threaded comment; however, any edits to it will get removed if the file is opened in a newer version of Excel. Learn more: https://go.microsoft.com/fwlink/?linkid=870924
Comment:
    HLMA</t>
      </text>
    </comment>
    <comment ref="Z1536" authorId="6" shapeId="0" xr:uid="{54672D3F-C4D2-4DAC-8ACB-A374B050A817}">
      <text>
        <t>[Threaded comment]
Your version of Excel allows you to read this threaded comment; however, any edits to it will get removed if the file is opened in a newer version of Excel. Learn more: https://go.microsoft.com/fwlink/?linkid=870924
Comment:
    HLMA</t>
      </text>
    </comment>
    <comment ref="AI1536" authorId="7" shapeId="0" xr:uid="{4F20B7A2-C73F-4F24-99D1-8F018395A0D3}">
      <text>
        <t>[Threaded comment]
Your version of Excel allows you to read this threaded comment; however, any edits to it will get removed if the file is opened in a newer version of Excel. Learn more: https://go.microsoft.com/fwlink/?linkid=870924
Comment:
    HLMA</t>
      </text>
    </comment>
    <comment ref="AI1542" authorId="8" shapeId="0" xr:uid="{0EAAF55A-4FA0-426A-8EC9-5E1BF83EF603}">
      <text>
        <t>[Threaded comment]
Your version of Excel allows you to read this threaded comment; however, any edits to it will get removed if the file is opened in a newer version of Excel. Learn more: https://go.microsoft.com/fwlink/?linkid=870924
Comment:
    HLMA</t>
      </text>
    </comment>
    <comment ref="AI1545" authorId="9" shapeId="0" xr:uid="{B14408E7-5D23-4B00-A0D5-9608849E38BF}">
      <text>
        <t>[Threaded comment]
Your version of Excel allows you to read this threaded comment; however, any edits to it will get removed if the file is opened in a newer version of Excel. Learn more: https://go.microsoft.com/fwlink/?linkid=870924
Comment:
    HLMA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bediakonk</author>
    <author>tc={73F9975D-01BA-4C04-B406-21F74EF63969}</author>
    <author>tc={59F1D53C-EF46-43F7-A585-E2AC5BEE7B7B}</author>
    <author>tc={4B51D69B-DFC7-4B47-B8B2-DCBE8B6F9AFA}</author>
    <author>tc={A7B10DD2-7D4E-429B-9253-70942B763526}</author>
    <author>tc={E74C9F7E-2D86-462B-9FB8-EAFE97EBE26B}</author>
    <author>tc={B11B09A6-16AF-4942-8D9D-3C244BA2A721}</author>
    <author>tc={05F014F4-23D6-4EF8-AC5B-A6A96BA8AFA0}</author>
    <author>tc={F20B2B61-A7CC-4300-A920-A494B05D4C52}</author>
    <author>tc={5B962979-EBCE-4ADF-A0B1-84447C46D1A9}</author>
  </authors>
  <commentList>
    <comment ref="AM341" authorId="0" shapeId="0" xr:uid="{B3318644-F295-4B3B-9D67-3B7528F8607A}">
      <text>
        <r>
          <rPr>
            <b/>
            <sz val="9"/>
            <rFont val="Times New Roman"/>
            <family val="1"/>
          </rPr>
          <t>bediakonk:</t>
        </r>
        <r>
          <rPr>
            <sz val="9"/>
            <rFont val="Times New Roman"/>
            <family val="1"/>
          </rPr>
          <t xml:space="preserve">
Pharmacy Technicians (Druggists)</t>
        </r>
      </text>
    </comment>
    <comment ref="Z351" authorId="0" shapeId="0" xr:uid="{2A8DC165-F149-4F0D-96B4-EE5610736056}">
      <text>
        <r>
          <rPr>
            <b/>
            <sz val="9"/>
            <rFont val="Times New Roman"/>
            <family val="1"/>
          </rPr>
          <t>bediakonk:</t>
        </r>
        <r>
          <rPr>
            <sz val="9"/>
            <rFont val="Times New Roman"/>
            <family val="1"/>
          </rPr>
          <t xml:space="preserve">
X-Ray Technician + Medical Radiographers</t>
        </r>
      </text>
    </comment>
    <comment ref="Z353" authorId="0" shapeId="0" xr:uid="{E0B5AACA-9E14-4D59-94F1-67126D5166F2}">
      <text>
        <r>
          <rPr>
            <b/>
            <sz val="9"/>
            <rFont val="Times New Roman"/>
            <family val="1"/>
          </rPr>
          <t>bediakonk:</t>
        </r>
        <r>
          <rPr>
            <sz val="9"/>
            <rFont val="Times New Roman"/>
            <family val="1"/>
          </rPr>
          <t xml:space="preserve">
Ophthalmic and optometry</t>
        </r>
      </text>
    </comment>
    <comment ref="AM353" authorId="0" shapeId="0" xr:uid="{E9F185E5-86D1-4C22-AEE3-27127AA49DD5}">
      <text>
        <r>
          <rPr>
            <b/>
            <sz val="9"/>
            <rFont val="Times New Roman"/>
            <family val="1"/>
          </rPr>
          <t>bediakonk:</t>
        </r>
        <r>
          <rPr>
            <sz val="9"/>
            <rFont val="Times New Roman"/>
            <family val="1"/>
          </rPr>
          <t xml:space="preserve">
Ophthalmic and optometry</t>
        </r>
      </text>
    </comment>
    <comment ref="Z358" authorId="0" shapeId="0" xr:uid="{740F9533-3612-4249-8D80-D823EA980E46}">
      <text>
        <r>
          <rPr>
            <b/>
            <sz val="9"/>
            <rFont val="Times New Roman"/>
            <family val="1"/>
          </rPr>
          <t>bediakonk:</t>
        </r>
        <r>
          <rPr>
            <sz val="9"/>
            <rFont val="Times New Roman"/>
            <family val="1"/>
          </rPr>
          <t xml:space="preserve">
Physiotherapists + Rehabilitation professionals</t>
        </r>
      </text>
    </comment>
    <comment ref="AM358" authorId="0" shapeId="0" xr:uid="{573AF36A-D611-4D3E-96E8-FC9773D0F3FB}">
      <text>
        <r>
          <rPr>
            <b/>
            <sz val="9"/>
            <rFont val="Times New Roman"/>
            <family val="1"/>
          </rPr>
          <t>bediakonk:</t>
        </r>
        <r>
          <rPr>
            <sz val="9"/>
            <rFont val="Times New Roman"/>
            <family val="1"/>
          </rPr>
          <t xml:space="preserve">
Physiotherapists + Rehabilitation professionals</t>
        </r>
      </text>
    </comment>
    <comment ref="AM516" authorId="0" shapeId="0" xr:uid="{25940898-60FD-4C54-A6A7-6691CB421A47}">
      <text>
        <r>
          <rPr>
            <b/>
            <sz val="9"/>
            <rFont val="Times New Roman"/>
            <family val="1"/>
          </rPr>
          <t>bediakonk:</t>
        </r>
        <r>
          <rPr>
            <sz val="9"/>
            <rFont val="Times New Roman"/>
            <family val="1"/>
          </rPr>
          <t xml:space="preserve">
Orthopaedic technologist</t>
        </r>
      </text>
    </comment>
    <comment ref="Z559" authorId="0" shapeId="0" xr:uid="{933116D9-5CF4-4A55-BF59-F89D7FAEFD1A}">
      <text>
        <r>
          <rPr>
            <b/>
            <sz val="9"/>
            <rFont val="Times New Roman"/>
            <family val="1"/>
          </rPr>
          <t>bediakonk:</t>
        </r>
        <r>
          <rPr>
            <sz val="9"/>
            <rFont val="Times New Roman"/>
            <family val="1"/>
          </rPr>
          <t xml:space="preserve">
Lesotho’s HLMA Report 2021</t>
        </r>
      </text>
    </comment>
    <comment ref="Z646" authorId="0" shapeId="0" xr:uid="{350353F0-5099-4B2E-A721-8CBE769FE1D3}">
      <text>
        <r>
          <rPr>
            <b/>
            <sz val="9"/>
            <rFont val="Times New Roman"/>
            <family val="1"/>
          </rPr>
          <t>bediakonk:</t>
        </r>
        <r>
          <rPr>
            <sz val="9"/>
            <rFont val="Times New Roman"/>
            <family val="1"/>
          </rPr>
          <t xml:space="preserve">
Fisioterapeuta A + Técnico de Fisioterrapia
</t>
        </r>
      </text>
    </comment>
    <comment ref="AM646" authorId="0" shapeId="0" xr:uid="{15606E77-9656-458E-9A10-71D209A9C63C}">
      <text>
        <r>
          <rPr>
            <b/>
            <sz val="9"/>
            <rFont val="Times New Roman"/>
            <family val="1"/>
          </rPr>
          <t>bediakonk:</t>
        </r>
        <r>
          <rPr>
            <sz val="9"/>
            <rFont val="Times New Roman"/>
            <family val="1"/>
          </rPr>
          <t xml:space="preserve">
Fisioterapeuta A + Técnico de Fisioterrapia
</t>
        </r>
      </text>
    </comment>
    <comment ref="Z728" authorId="0" shapeId="0" xr:uid="{37F4E22A-2A44-4FAE-87A8-771C1A2E9247}">
      <text>
        <r>
          <rPr>
            <b/>
            <sz val="9"/>
            <rFont val="Times New Roman"/>
            <family val="1"/>
          </rPr>
          <t>bediakonk:</t>
        </r>
        <r>
          <rPr>
            <sz val="9"/>
            <rFont val="Times New Roman"/>
            <family val="1"/>
          </rPr>
          <t xml:space="preserve">
Dietitian + Nutritionist</t>
        </r>
      </text>
    </comment>
    <comment ref="AM729" authorId="0" shapeId="0" xr:uid="{6DE2CBB5-AB59-4D0E-823C-FC337EF4EE48}">
      <text>
        <r>
          <rPr>
            <b/>
            <sz val="9"/>
            <rFont val="Times New Roman"/>
            <family val="1"/>
          </rPr>
          <t>bediakonk:</t>
        </r>
        <r>
          <rPr>
            <sz val="9"/>
            <rFont val="Times New Roman"/>
            <family val="1"/>
          </rPr>
          <t xml:space="preserve">
Environmental Health Practioner + Assistant
+ Occupational Therapist</t>
        </r>
      </text>
    </comment>
    <comment ref="AM743" authorId="0" shapeId="0" xr:uid="{D1994F30-FC4A-442F-BFBD-1436A98C6BF0}">
      <text>
        <r>
          <rPr>
            <b/>
            <sz val="9"/>
            <rFont val="Times New Roman"/>
            <family val="1"/>
          </rPr>
          <t>bediakonk:</t>
        </r>
        <r>
          <rPr>
            <sz val="9"/>
            <rFont val="Times New Roman"/>
            <family val="1"/>
          </rPr>
          <t xml:space="preserve">
Social Workers + Social Workers Specialist</t>
        </r>
      </text>
    </comment>
    <comment ref="Z744" authorId="0" shapeId="0" xr:uid="{4E46423A-2E77-48BC-B02B-4400413F0AF9}">
      <text>
        <r>
          <rPr>
            <b/>
            <sz val="9"/>
            <rFont val="Times New Roman"/>
            <family val="1"/>
          </rPr>
          <t>bediakonk:</t>
        </r>
        <r>
          <rPr>
            <sz val="9"/>
            <rFont val="Times New Roman"/>
            <family val="1"/>
          </rPr>
          <t xml:space="preserve">
 Data source: Situation Analysis on HRH in Namibia (Report 2019)
Speech therapists and Audiologists</t>
        </r>
      </text>
    </comment>
    <comment ref="AM744" authorId="0" shapeId="0" xr:uid="{79DAB7BE-2F79-47A3-B682-C064DDBBD847}">
      <text>
        <r>
          <rPr>
            <b/>
            <sz val="9"/>
            <rFont val="Times New Roman"/>
            <family val="1"/>
          </rPr>
          <t>bediakonk:</t>
        </r>
        <r>
          <rPr>
            <sz val="9"/>
            <rFont val="Times New Roman"/>
            <family val="1"/>
          </rPr>
          <t xml:space="preserve">
 Data source: Situation Analysis on HRH in Namibia (Report 2019)
Speech therapists and Audiologists</t>
        </r>
      </text>
    </comment>
    <comment ref="AM816" authorId="0" shapeId="0" xr:uid="{669E79DE-4EBF-4D0D-BC55-E9A222D833CB}">
      <text>
        <r>
          <rPr>
            <b/>
            <sz val="9"/>
            <rFont val="Times New Roman"/>
            <family val="1"/>
          </rPr>
          <t>bediakonk:</t>
        </r>
        <r>
          <rPr>
            <sz val="9"/>
            <rFont val="Times New Roman"/>
            <family val="1"/>
          </rPr>
          <t xml:space="preserve">
Data Source:
Rwanda HLMA 2019</t>
        </r>
      </text>
    </comment>
    <comment ref="AM843" authorId="0" shapeId="0" xr:uid="{8531F76F-AA5F-4A5B-83DD-84DED6053CF2}">
      <text>
        <r>
          <rPr>
            <b/>
            <sz val="9"/>
            <rFont val="Times New Roman"/>
            <family val="1"/>
          </rPr>
          <t>bediakonk:</t>
        </r>
        <r>
          <rPr>
            <sz val="9"/>
            <rFont val="Times New Roman"/>
            <family val="1"/>
          </rPr>
          <t xml:space="preserve">
Nursing and Midwifery (9,491) + Nursing associate professionals - SECHN (5,026) + Nursing professionals (1,040) + Specialised Nurses (109)</t>
        </r>
      </text>
    </comment>
    <comment ref="Z1040" authorId="0" shapeId="0" xr:uid="{975274E5-39C8-4F07-8033-0B5E36333AA4}">
      <text>
        <r>
          <rPr>
            <b/>
            <sz val="9"/>
            <rFont val="Times New Roman"/>
            <family val="1"/>
          </rPr>
          <t>bediakonk:</t>
        </r>
        <r>
          <rPr>
            <sz val="9"/>
            <rFont val="Times New Roman"/>
            <family val="1"/>
          </rPr>
          <t xml:space="preserve">
Assistant Nutritionist (17) + Nutritionist (76)</t>
        </r>
      </text>
    </comment>
    <comment ref="AM1040" authorId="0" shapeId="0" xr:uid="{A1D327A4-FD07-43CA-887C-FB1386E01F07}">
      <text>
        <r>
          <rPr>
            <b/>
            <sz val="9"/>
            <rFont val="Times New Roman"/>
            <family val="1"/>
          </rPr>
          <t>bediakonk:</t>
        </r>
        <r>
          <rPr>
            <sz val="9"/>
            <rFont val="Times New Roman"/>
            <family val="1"/>
          </rPr>
          <t xml:space="preserve">
Assistant Nutritionist (17) + Nutritionist (76)</t>
        </r>
      </text>
    </comment>
    <comment ref="Z1044" authorId="0" shapeId="0" xr:uid="{FF4566C2-B75C-4C3F-BA4E-52E7AFFAD65D}">
      <text>
        <r>
          <rPr>
            <b/>
            <sz val="9"/>
            <rFont val="Times New Roman"/>
            <family val="1"/>
          </rPr>
          <t>bediakonk:</t>
        </r>
        <r>
          <rPr>
            <sz val="9"/>
            <rFont val="Times New Roman"/>
            <family val="1"/>
          </rPr>
          <t xml:space="preserve">
Orthopedic Officer (890) + Orthopedic Technologist (392)</t>
        </r>
      </text>
    </comment>
    <comment ref="AM1044" authorId="0" shapeId="0" xr:uid="{FC4A6E1A-CF95-42EA-A2EC-1856A0D5C0FE}">
      <text>
        <r>
          <rPr>
            <b/>
            <sz val="9"/>
            <rFont val="Times New Roman"/>
            <family val="1"/>
          </rPr>
          <t>bediakonk:</t>
        </r>
        <r>
          <rPr>
            <sz val="9"/>
            <rFont val="Times New Roman"/>
            <family val="1"/>
          </rPr>
          <t xml:space="preserve">
Orthopedic Officer (890) + Orthopedic Technologist (392)</t>
        </r>
      </text>
    </comment>
    <comment ref="Z1049" authorId="0" shapeId="0" xr:uid="{C09BDA3E-4C98-4F22-AAFA-71AC4E873E78}">
      <text>
        <r>
          <rPr>
            <b/>
            <sz val="9"/>
            <rFont val="Times New Roman"/>
            <family val="1"/>
          </rPr>
          <t>bediakonk:</t>
        </r>
        <r>
          <rPr>
            <sz val="9"/>
            <rFont val="Times New Roman"/>
            <family val="1"/>
          </rPr>
          <t xml:space="preserve">
Ophthalmic Clinical Officer (264) + Optometrist (19)
</t>
        </r>
      </text>
    </comment>
    <comment ref="AM1049" authorId="0" shapeId="0" xr:uid="{A3E7840A-784B-47A4-99F3-C4DC4E20524D}">
      <text>
        <r>
          <rPr>
            <b/>
            <sz val="9"/>
            <rFont val="Times New Roman"/>
            <family val="1"/>
          </rPr>
          <t>bediakonk:</t>
        </r>
        <r>
          <rPr>
            <sz val="9"/>
            <rFont val="Times New Roman"/>
            <family val="1"/>
          </rPr>
          <t xml:space="preserve">
Ophthalmic Clinical Officer (264) + Optometrist (19)
</t>
        </r>
      </text>
    </comment>
    <comment ref="Z1088" authorId="0" shapeId="0" xr:uid="{D9CDF04F-4ECD-4224-8CD8-C347653619C4}">
      <text>
        <r>
          <rPr>
            <b/>
            <sz val="9"/>
            <rFont val="Times New Roman"/>
            <family val="1"/>
          </rPr>
          <t>bediakonk:</t>
        </r>
        <r>
          <rPr>
            <sz val="9"/>
            <rFont val="Times New Roman"/>
            <family val="1"/>
          </rPr>
          <t xml:space="preserve">
Nutrition Technologist (689) + Nutritionist (85)
</t>
        </r>
      </text>
    </comment>
    <comment ref="AM1088" authorId="0" shapeId="0" xr:uid="{3579D825-BCD9-4903-AD00-C7ADF09DDD23}">
      <text>
        <r>
          <rPr>
            <b/>
            <sz val="9"/>
            <rFont val="Times New Roman"/>
            <family val="1"/>
          </rPr>
          <t>bediakonk:</t>
        </r>
        <r>
          <rPr>
            <sz val="9"/>
            <rFont val="Times New Roman"/>
            <family val="1"/>
          </rPr>
          <t xml:space="preserve">
Nutrition Technologist (689) + Nutritionist (85)
</t>
        </r>
      </text>
    </comment>
    <comment ref="Z1089" authorId="0" shapeId="0" xr:uid="{F8BF8948-C1B9-4037-8D84-DABADEDBE9C8}">
      <text>
        <r>
          <rPr>
            <b/>
            <sz val="9"/>
            <rFont val="Times New Roman"/>
            <family val="1"/>
          </rPr>
          <t>bediakonk:</t>
        </r>
        <r>
          <rPr>
            <sz val="9"/>
            <rFont val="Times New Roman"/>
            <family val="1"/>
          </rPr>
          <t xml:space="preserve">
Environmental Health Assistant (5) + Environmental Health Officer (1169) + Environmental Health Technologist (3151) + Health Promotions Officer (67)
</t>
        </r>
      </text>
    </comment>
    <comment ref="AM1102" authorId="0" shapeId="0" xr:uid="{A7A8C005-D44C-4727-8C9B-0F11949FF3E2}">
      <text>
        <r>
          <rPr>
            <b/>
            <sz val="9"/>
            <rFont val="Times New Roman"/>
            <family val="1"/>
          </rPr>
          <t>bediakonk:</t>
        </r>
        <r>
          <rPr>
            <sz val="9"/>
            <rFont val="Times New Roman"/>
            <family val="1"/>
          </rPr>
          <t xml:space="preserve">
Physiotherapist (380) + Physiotherapy Technologist (947)
</t>
        </r>
      </text>
    </comment>
    <comment ref="Z1329" authorId="0" shapeId="0" xr:uid="{2C4138FF-22EA-411F-ABCE-0DFD9E7D2451}">
      <text>
        <r>
          <rPr>
            <b/>
            <sz val="9"/>
            <rFont val="Times New Roman"/>
            <family val="1"/>
          </rPr>
          <t>bediakonk:</t>
        </r>
        <r>
          <rPr>
            <sz val="9"/>
            <rFont val="Times New Roman"/>
            <family val="1"/>
          </rPr>
          <t xml:space="preserve">
Nurses (all General Nurses) + Specialist Nurses
</t>
        </r>
      </text>
    </comment>
    <comment ref="AI1329" authorId="0" shapeId="0" xr:uid="{AB97DF03-4D6D-4B1E-9EAE-624FB47F0DE0}">
      <text>
        <r>
          <rPr>
            <b/>
            <sz val="9"/>
            <rFont val="Times New Roman"/>
            <family val="1"/>
          </rPr>
          <t>bediakonk:</t>
        </r>
        <r>
          <rPr>
            <sz val="9"/>
            <rFont val="Times New Roman"/>
            <family val="1"/>
          </rPr>
          <t xml:space="preserve">
Nurses (all General Nurses) + Specialist Nurses
</t>
        </r>
      </text>
    </comment>
    <comment ref="Z1336" authorId="0" shapeId="0" xr:uid="{DD179782-017F-4F35-8E42-BA8393B3A5F3}">
      <text>
        <r>
          <rPr>
            <b/>
            <sz val="9"/>
            <rFont val="Times New Roman"/>
            <family val="1"/>
          </rPr>
          <t>bediakonk:</t>
        </r>
        <r>
          <rPr>
            <sz val="9"/>
            <rFont val="Times New Roman"/>
            <family val="1"/>
          </rPr>
          <t xml:space="preserve">
Pharmacy Technicians (Druggists)</t>
        </r>
      </text>
    </comment>
    <comment ref="AI1336" authorId="0" shapeId="0" xr:uid="{59C9A6FA-EEB2-4EC6-99D6-F8AEA4BA967B}">
      <text>
        <r>
          <rPr>
            <b/>
            <sz val="9"/>
            <rFont val="Times New Roman"/>
            <family val="1"/>
          </rPr>
          <t>bediakonk:</t>
        </r>
        <r>
          <rPr>
            <sz val="9"/>
            <rFont val="Times New Roman"/>
            <family val="1"/>
          </rPr>
          <t xml:space="preserve">
Pharmacy Technicians (Druggists)</t>
        </r>
      </text>
    </comment>
    <comment ref="Z1337" authorId="0" shapeId="0" xr:uid="{39900AAA-57E4-41CE-A1A5-7DD780667E18}">
      <text>
        <r>
          <rPr>
            <b/>
            <sz val="9"/>
            <rFont val="Times New Roman"/>
            <family val="1"/>
          </rPr>
          <t>bediakonk:</t>
        </r>
        <r>
          <rPr>
            <sz val="9"/>
            <rFont val="Times New Roman"/>
            <family val="1"/>
          </rPr>
          <t xml:space="preserve">
Source: HLMA 2020, Page 20 / Table 1: Estimated Size and Composition of the Health Workforce in Ethiopia, 2019</t>
        </r>
      </text>
    </comment>
    <comment ref="AI1337" authorId="0" shapeId="0" xr:uid="{26CD69D4-07D9-497E-A806-13CDE1123122}">
      <text>
        <r>
          <rPr>
            <b/>
            <sz val="9"/>
            <rFont val="Times New Roman"/>
            <family val="1"/>
          </rPr>
          <t>bediakonk:</t>
        </r>
        <r>
          <rPr>
            <sz val="9"/>
            <rFont val="Times New Roman"/>
            <family val="1"/>
          </rPr>
          <t xml:space="preserve">
Source: HLMA 2020, Page 20 / Table 1: Estimated Size and Composition of the Health Workforce in Ethiopia, 2019</t>
        </r>
      </text>
    </comment>
    <comment ref="Z1427" authorId="0" shapeId="0" xr:uid="{7F58CA53-C4AA-49F2-AE6C-650B391BE09A}">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
</t>
        </r>
      </text>
    </comment>
    <comment ref="AI1427" authorId="0" shapeId="0" xr:uid="{78903A77-131F-45D4-8F11-1BC0060EC8E0}">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
</t>
        </r>
      </text>
    </comment>
    <comment ref="Z1434" authorId="0" shapeId="0" xr:uid="{B56D2736-5E2A-41B0-ACFA-66553557C291}">
      <text>
        <r>
          <rPr>
            <b/>
            <sz val="9"/>
            <rFont val="Times New Roman"/>
            <family val="1"/>
          </rPr>
          <t>bediakonk:</t>
        </r>
        <r>
          <rPr>
            <sz val="9"/>
            <rFont val="Times New Roman"/>
            <family val="1"/>
          </rPr>
          <t xml:space="preserve">
Pharmaceutical Technologist</t>
        </r>
      </text>
    </comment>
    <comment ref="AI1434" authorId="0" shapeId="0" xr:uid="{668DF786-9929-4BCC-8E63-546F4A19AB29}">
      <text>
        <r>
          <rPr>
            <b/>
            <sz val="9"/>
            <rFont val="Times New Roman"/>
            <family val="1"/>
          </rPr>
          <t>bediakonk:</t>
        </r>
        <r>
          <rPr>
            <sz val="9"/>
            <rFont val="Times New Roman"/>
            <family val="1"/>
          </rPr>
          <t xml:space="preserve">
Pharmaceutical Technologist</t>
        </r>
      </text>
    </comment>
    <comment ref="AI1435" authorId="0" shapeId="0" xr:uid="{313BC093-5511-471E-88CF-812C50E87B6E}">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t>
        </r>
      </text>
    </comment>
    <comment ref="Z1436" authorId="0" shapeId="0" xr:uid="{24460300-F875-4C1B-8F50-1BE5F419271D}">
      <text>
        <r>
          <rPr>
            <b/>
            <sz val="9"/>
            <rFont val="Times New Roman"/>
            <family val="1"/>
          </rPr>
          <t>bediakonk:</t>
        </r>
        <r>
          <rPr>
            <sz val="9"/>
            <rFont val="Times New Roman"/>
            <family val="1"/>
          </rPr>
          <t xml:space="preserve">
Source: HLMA Report 2023</t>
        </r>
      </text>
    </comment>
    <comment ref="AI1436" authorId="0" shapeId="0" xr:uid="{FD8A1F6F-2D28-49E1-852F-F6ECEA36CC3E}">
      <text>
        <r>
          <rPr>
            <b/>
            <sz val="9"/>
            <rFont val="Times New Roman"/>
            <family val="1"/>
          </rPr>
          <t>bediakonk:</t>
        </r>
        <r>
          <rPr>
            <sz val="9"/>
            <rFont val="Times New Roman"/>
            <family val="1"/>
          </rPr>
          <t xml:space="preserve">
Source: HLMA Report 2023</t>
        </r>
      </text>
    </comment>
    <comment ref="AI1452" authorId="0" shapeId="0" xr:uid="{FB5C1820-0451-4146-8EDF-2B9035DFA7F8}">
      <text>
        <r>
          <rPr>
            <b/>
            <sz val="9"/>
            <rFont val="Times New Roman"/>
            <family val="1"/>
          </rPr>
          <t>bediakonk:</t>
        </r>
        <r>
          <rPr>
            <sz val="9"/>
            <rFont val="Times New Roman"/>
            <family val="1"/>
          </rPr>
          <t xml:space="preserve">
Generalist medical practitioners + Specialist medical practitioners</t>
        </r>
      </text>
    </comment>
    <comment ref="Z1494" authorId="0" shapeId="0" xr:uid="{DFE52EDE-1387-4A45-8D14-5A7BA09C5365}">
      <text>
        <r>
          <rPr>
            <b/>
            <sz val="9"/>
            <rFont val="Times New Roman"/>
            <family val="1"/>
          </rPr>
          <t>bediakonk:</t>
        </r>
        <r>
          <rPr>
            <sz val="9"/>
            <rFont val="Times New Roman"/>
            <family val="1"/>
          </rPr>
          <t xml:space="preserve">
Public sector Data only, No data from the private sector</t>
        </r>
        <r>
          <rPr>
            <b/>
            <sz val="9"/>
            <rFont val="Times New Roman"/>
            <family val="1"/>
          </rPr>
          <t xml:space="preserve">
******************</t>
        </r>
        <r>
          <rPr>
            <sz val="9"/>
            <rFont val="Times New Roman"/>
            <family val="1"/>
          </rPr>
          <t xml:space="preserve">
Médico de Saúde Pública + Medico famíliar e comunitário + Epidemiologista + Medicina Preventiva e Saneamento do Meio + Cirurgião Geral + Intensivista + Obstetra e Ginecologista +  Médico de Clínica Geral +  Internista + Legista + Cardiologista + Cirurgião cardiovascular + Cirurgião plástico + Cirurgião toráxico + Cirurgião vascular + Anatomopatologista + Cirurgião Maxilofacial + Dermatologista + Endocrinologista + Gastroenterologista + Infectologista + Nefrologista + Neurocirurgião + Neurologista + Oncologista + Oftalmologista + Otorrinolaringologista + Pediatra + Pneumologista + Urologista + Anatomia Patológica A + Médico de Análises Clínicas + Hematologista + Patologista + Médico Emergencista
******</t>
        </r>
      </text>
    </comment>
    <comment ref="AI1494" authorId="0" shapeId="0" xr:uid="{B264D404-DC82-4E95-8D1B-CC66B1A4BD3B}">
      <text>
        <r>
          <rPr>
            <b/>
            <sz val="9"/>
            <rFont val="Times New Roman"/>
            <family val="1"/>
          </rPr>
          <t>bediakonk:</t>
        </r>
        <r>
          <rPr>
            <sz val="9"/>
            <rFont val="Times New Roman"/>
            <family val="1"/>
          </rPr>
          <t xml:space="preserve">
Public sector Data only, No data from the private sector</t>
        </r>
        <r>
          <rPr>
            <b/>
            <sz val="9"/>
            <rFont val="Times New Roman"/>
            <family val="1"/>
          </rPr>
          <t xml:space="preserve">
******************</t>
        </r>
        <r>
          <rPr>
            <sz val="9"/>
            <rFont val="Times New Roman"/>
            <family val="1"/>
          </rPr>
          <t xml:space="preserve">
Médico de Saúde Pública + Medico famíliar e comunitário + Epidemiologista + Medicina Preventiva e Saneamento do Meio + Cirurgião Geral + Intensivista + Obstetra e Ginecologista +  Médico de Clínica Geral +  Internista + Legista + Cardiologista + Cirurgião cardiovascular + Cirurgião plástico + Cirurgião toráxico + Cirurgião vascular + Anatomopatologista + Cirurgião Maxilofacial + Dermatologista + Endocrinologista + Gastroenterologista + Infectologista + Nefrologista + Neurocirurgião + Neurologista + Oncologista + Oftalmologista + Otorrinolaringologista + Pediatra + Pneumologista + Urologista + Anatomia Patológica A + Médico de Análises Clínicas + Hematologista + Patologista + Médico Emergencista
******</t>
        </r>
      </text>
    </comment>
    <comment ref="Z1497" authorId="0" shapeId="0" xr:uid="{4F1DEC95-98A0-4B50-9A5B-C0BF7D957FDD}">
      <text>
        <r>
          <rPr>
            <b/>
            <sz val="9"/>
            <rFont val="Times New Roman"/>
            <family val="1"/>
          </rPr>
          <t>bediakonk:</t>
        </r>
        <r>
          <rPr>
            <sz val="9"/>
            <rFont val="Times New Roman"/>
            <family val="1"/>
          </rPr>
          <t xml:space="preserve">
Enfermeiro especializada em Cuidados Intensivos + Enfermeiro A + Enfermeiro Geral + Enfermeira de Saúde Materno (Superior)</t>
        </r>
      </text>
    </comment>
    <comment ref="AI1497" authorId="0" shapeId="0" xr:uid="{F53B3525-7854-42DC-B088-69346FE9ECA7}">
      <text>
        <r>
          <rPr>
            <b/>
            <sz val="9"/>
            <rFont val="Times New Roman"/>
            <family val="1"/>
          </rPr>
          <t>bediakonk:</t>
        </r>
        <r>
          <rPr>
            <sz val="9"/>
            <rFont val="Times New Roman"/>
            <family val="1"/>
          </rPr>
          <t xml:space="preserve">
Enfermeiro especializada em Cuidados Intensivos + Enfermeiro A + Enfermeiro Geral + Enfermeira de Saúde Materno (Superior)</t>
        </r>
      </text>
    </comment>
    <comment ref="Z1500" authorId="0" shapeId="0" xr:uid="{04796F8E-1A44-4A6F-A30F-4995EB9026C3}">
      <text>
        <r>
          <rPr>
            <b/>
            <sz val="9"/>
            <rFont val="Times New Roman"/>
            <family val="1"/>
          </rPr>
          <t>bediakonk:</t>
        </r>
        <r>
          <rPr>
            <sz val="9"/>
            <rFont val="Times New Roman"/>
            <family val="1"/>
          </rPr>
          <t xml:space="preserve">
Enfermeiro especializada em Neonatologia + Enfermeira de Saúde Materno-Infantil (Médio)</t>
        </r>
      </text>
    </comment>
    <comment ref="AI1500" authorId="0" shapeId="0" xr:uid="{10C965C2-6419-4A8A-B9FC-F46BAED0FBFD}">
      <text>
        <r>
          <rPr>
            <b/>
            <sz val="9"/>
            <rFont val="Times New Roman"/>
            <family val="1"/>
          </rPr>
          <t>bediakonk:</t>
        </r>
        <r>
          <rPr>
            <sz val="9"/>
            <rFont val="Times New Roman"/>
            <family val="1"/>
          </rPr>
          <t xml:space="preserve">
Enfermeiro especializada em Neonatologia + Enfermeira de Saúde Materno-Infantil (Médio)</t>
        </r>
      </text>
    </comment>
    <comment ref="Z1550" authorId="0" shapeId="0" xr:uid="{8ACE00F1-45E1-4137-B8DC-EBE0C1337CB4}">
      <text>
        <r>
          <rPr>
            <b/>
            <sz val="9"/>
            <rFont val="Times New Roman"/>
            <family val="1"/>
          </rPr>
          <t>bediakonk:</t>
        </r>
        <r>
          <rPr>
            <sz val="9"/>
            <rFont val="Times New Roman"/>
            <family val="1"/>
          </rPr>
          <t xml:space="preserve">
Generalists + Specialists</t>
        </r>
      </text>
    </comment>
    <comment ref="AI1550" authorId="0" shapeId="0" xr:uid="{61635B44-EF59-4B84-A753-B33392085FB8}">
      <text>
        <r>
          <rPr>
            <b/>
            <sz val="9"/>
            <rFont val="Times New Roman"/>
            <family val="1"/>
          </rPr>
          <t>bediakonk:</t>
        </r>
        <r>
          <rPr>
            <sz val="9"/>
            <rFont val="Times New Roman"/>
            <family val="1"/>
          </rPr>
          <t xml:space="preserve">
Generalists + Specialists</t>
        </r>
      </text>
    </comment>
    <comment ref="Z1553" authorId="0" shapeId="0" xr:uid="{BFCE95E6-9D41-4C33-A965-9E6359F91DAD}">
      <text>
        <r>
          <rPr>
            <b/>
            <sz val="9"/>
            <rFont val="Times New Roman"/>
            <family val="1"/>
          </rPr>
          <t>bediakonk:</t>
        </r>
        <r>
          <rPr>
            <sz val="9"/>
            <rFont val="Times New Roman"/>
            <family val="1"/>
          </rPr>
          <t xml:space="preserve">
Nursing &amp; Midwifery - Enrolled + Nursing &amp; Midwifery Registered + Accoucheur</t>
        </r>
      </text>
    </comment>
    <comment ref="AI1553" authorId="0" shapeId="0" xr:uid="{ED4C0819-C954-4641-9E8D-680B6F40EA78}">
      <text>
        <r>
          <rPr>
            <b/>
            <sz val="9"/>
            <rFont val="Times New Roman"/>
            <family val="1"/>
          </rPr>
          <t>bediakonk:</t>
        </r>
        <r>
          <rPr>
            <sz val="9"/>
            <rFont val="Times New Roman"/>
            <family val="1"/>
          </rPr>
          <t xml:space="preserve">
Nursing &amp; Midwifery - Enrolled + Nursing &amp; Midwifery Registered + Accoucheur</t>
        </r>
      </text>
    </comment>
    <comment ref="Z1561" authorId="0" shapeId="0" xr:uid="{5BEB4A0B-28AB-4192-BCD8-DC30BCAEB151}">
      <text>
        <r>
          <rPr>
            <b/>
            <sz val="9"/>
            <rFont val="Times New Roman"/>
            <family val="1"/>
          </rPr>
          <t>bediakonk:</t>
        </r>
        <r>
          <rPr>
            <sz val="9"/>
            <rFont val="Times New Roman"/>
            <family val="1"/>
          </rPr>
          <t xml:space="preserve">
Dentists + Specialists + Oral Hygienist</t>
        </r>
      </text>
    </comment>
    <comment ref="AI1561" authorId="0" shapeId="0" xr:uid="{04BE1AC7-581A-4591-B07A-7C72162F9EC0}">
      <text>
        <r>
          <rPr>
            <b/>
            <sz val="9"/>
            <rFont val="Times New Roman"/>
            <family val="1"/>
          </rPr>
          <t>bediakonk:</t>
        </r>
        <r>
          <rPr>
            <sz val="9"/>
            <rFont val="Times New Roman"/>
            <family val="1"/>
          </rPr>
          <t xml:space="preserve">
Dentists + Specialists + Oral Hygienist</t>
        </r>
      </text>
    </comment>
    <comment ref="Z1562" authorId="0" shapeId="0" xr:uid="{826BCED7-406B-47B9-9D16-DF14EF632399}">
      <text>
        <r>
          <rPr>
            <b/>
            <sz val="9"/>
            <rFont val="Times New Roman"/>
            <family val="1"/>
          </rPr>
          <t>bediakonk:</t>
        </r>
        <r>
          <rPr>
            <sz val="9"/>
            <rFont val="Times New Roman"/>
            <family val="1"/>
          </rPr>
          <t xml:space="preserve">
Dental technician + Technologist + Therapist</t>
        </r>
      </text>
    </comment>
    <comment ref="AI1562" authorId="0" shapeId="0" xr:uid="{51F8E19E-D03E-40C4-8111-110218076666}">
      <text>
        <r>
          <rPr>
            <b/>
            <sz val="9"/>
            <rFont val="Times New Roman"/>
            <family val="1"/>
          </rPr>
          <t>bediakonk:</t>
        </r>
        <r>
          <rPr>
            <sz val="9"/>
            <rFont val="Times New Roman"/>
            <family val="1"/>
          </rPr>
          <t xml:space="preserve">
Dental technician + Technologist + Therapist</t>
        </r>
      </text>
    </comment>
    <comment ref="Z1620" authorId="0" shapeId="0" xr:uid="{D81B08CF-543E-4395-974A-9D474A59B0CE}">
      <text>
        <r>
          <rPr>
            <b/>
            <sz val="9"/>
            <rFont val="Times New Roman"/>
            <family val="1"/>
          </rPr>
          <t>bediakonk:</t>
        </r>
        <r>
          <rPr>
            <sz val="9"/>
            <rFont val="Times New Roman"/>
            <family val="1"/>
          </rPr>
          <t xml:space="preserve">
Medical and Dental (530) + General medical practitioners (515) + Specialist medical practitioners (61)
***
Data Source: HLMA, 2019</t>
        </r>
      </text>
    </comment>
    <comment ref="AI1620" authorId="0" shapeId="0" xr:uid="{9A884B1A-EA35-4C99-BE46-AB5DE38468A4}">
      <text>
        <r>
          <rPr>
            <b/>
            <sz val="9"/>
            <rFont val="Times New Roman"/>
            <family val="1"/>
          </rPr>
          <t>bediakonk:</t>
        </r>
        <r>
          <rPr>
            <sz val="9"/>
            <rFont val="Times New Roman"/>
            <family val="1"/>
          </rPr>
          <t xml:space="preserve">
Medical and Dental (530) + General medical practitioners (515) + Specialist medical practitioners (61)
***
Data Source: HLMA, 2019</t>
        </r>
      </text>
    </comment>
    <comment ref="Z1623" authorId="0" shapeId="0" xr:uid="{359FBCAD-8694-41E9-82C7-012C56353FA2}">
      <text>
        <r>
          <rPr>
            <b/>
            <sz val="9"/>
            <rFont val="Times New Roman"/>
            <family val="1"/>
          </rPr>
          <t>bediakonk:</t>
        </r>
        <r>
          <rPr>
            <sz val="9"/>
            <rFont val="Times New Roman"/>
            <family val="1"/>
          </rPr>
          <t xml:space="preserve">
Nursing and Midwifery (9,491) + Nursing associate professionals - SECHN (5,026) + Nursing professionals (1,040) + Specialised Nurses (109)</t>
        </r>
      </text>
    </comment>
    <comment ref="AI1623" authorId="0" shapeId="0" xr:uid="{BB29C962-34C1-4E02-9A24-7675AB9AB99E}">
      <text>
        <r>
          <rPr>
            <b/>
            <sz val="9"/>
            <rFont val="Times New Roman"/>
            <family val="1"/>
          </rPr>
          <t>bediakonk:</t>
        </r>
        <r>
          <rPr>
            <sz val="9"/>
            <rFont val="Times New Roman"/>
            <family val="1"/>
          </rPr>
          <t xml:space="preserve">
Nursing and Midwifery (9,491) + Nursing associate professionals - SECHN (5,026) + Nursing professionals (1,040) + Specialised Nurses (109)</t>
        </r>
      </text>
    </comment>
    <comment ref="Z1630" authorId="0" shapeId="0" xr:uid="{12803793-63D4-4B3A-BEFA-175D6D0C8B6C}">
      <text>
        <r>
          <rPr>
            <b/>
            <sz val="9"/>
            <rFont val="Times New Roman"/>
            <family val="1"/>
          </rPr>
          <t>bediakonk:</t>
        </r>
        <r>
          <rPr>
            <sz val="9"/>
            <rFont val="Times New Roman"/>
            <family val="1"/>
          </rPr>
          <t xml:space="preserve">
Pharmaceutical (525) + Pharmaceutical technicians and assistants (332)
</t>
        </r>
      </text>
    </comment>
    <comment ref="AI1630" authorId="0" shapeId="0" xr:uid="{29F93757-EC10-4EB3-BCD1-D864D30EBC7E}">
      <text>
        <r>
          <rPr>
            <b/>
            <sz val="9"/>
            <rFont val="Times New Roman"/>
            <family val="1"/>
          </rPr>
          <t>bediakonk:</t>
        </r>
        <r>
          <rPr>
            <sz val="9"/>
            <rFont val="Times New Roman"/>
            <family val="1"/>
          </rPr>
          <t xml:space="preserve">
Pharmaceutical (525) + Pharmaceutical technicians and assistants (332)
</t>
        </r>
      </text>
    </comment>
    <comment ref="Z1631" authorId="0" shapeId="0" xr:uid="{955CA7CF-C035-4439-B578-D82DD13AB9C2}">
      <text>
        <r>
          <rPr>
            <b/>
            <sz val="9"/>
            <rFont val="Times New Roman"/>
            <family val="1"/>
          </rPr>
          <t>bediakonk:</t>
        </r>
        <r>
          <rPr>
            <sz val="9"/>
            <rFont val="Times New Roman"/>
            <family val="1"/>
          </rPr>
          <t xml:space="preserve">
Some dentists have been lumped together with doctors, so we cannot separate them. This may explain the small number here.
</t>
        </r>
      </text>
    </comment>
    <comment ref="AI1631" authorId="0" shapeId="0" xr:uid="{FBFC620C-559D-4BAB-9A36-BAFA61254EEF}">
      <text>
        <r>
          <rPr>
            <b/>
            <sz val="9"/>
            <rFont val="Times New Roman"/>
            <family val="1"/>
          </rPr>
          <t>bediakonk:</t>
        </r>
        <r>
          <rPr>
            <sz val="9"/>
            <rFont val="Times New Roman"/>
            <family val="1"/>
          </rPr>
          <t xml:space="preserve">
Some dentists have been lumped together with doctors, so we cannot separate them. This may explain the small number here.
</t>
        </r>
      </text>
    </comment>
    <comment ref="Z1676" authorId="0" shapeId="0" xr:uid="{8A7084AF-7F1C-4604-804C-831CFD2FCA18}">
      <text>
        <r>
          <rPr>
            <b/>
            <sz val="9"/>
            <rFont val="Times New Roman"/>
            <family val="1"/>
          </rPr>
          <t>bediakonk:</t>
        </r>
        <r>
          <rPr>
            <sz val="9"/>
            <rFont val="Times New Roman"/>
            <family val="1"/>
          </rPr>
          <t xml:space="preserve">
Medical Doctors (477) + General Medical Practitioner (125) + Specialist Medical Practitioner (115) + Medical group of Specialist Practitioners (61) + General paediatricians (7) + Obstetricians and Gynaecologists (11) + Surgical group of Specialist Practitioners (32)</t>
        </r>
      </text>
    </comment>
    <comment ref="AI1676" authorId="0" shapeId="0" xr:uid="{2C8D0450-50ED-4FDF-8DCC-DD60FB6FA5B9}">
      <text>
        <r>
          <rPr>
            <b/>
            <sz val="9"/>
            <rFont val="Times New Roman"/>
            <family val="1"/>
          </rPr>
          <t>bediakonk:</t>
        </r>
        <r>
          <rPr>
            <sz val="9"/>
            <rFont val="Times New Roman"/>
            <family val="1"/>
          </rPr>
          <t xml:space="preserve">
Medical Doctors (477) + General Medical Practitioner (125) + Specialist Medical Practitioner (115) + Medical group of Specialist Practitioners (61) + General paediatricians (7) + Obstetricians and Gynaecologists (11) + Surgical group of Specialist Practitioners (32)</t>
        </r>
      </text>
    </comment>
    <comment ref="AI1744" authorId="1" shapeId="0" xr:uid="{73F9975D-01BA-4C04-B406-21F74EF63969}">
      <text>
        <t>[Threaded comment]
Your version of Excel allows you to read this threaded comment; however, any edits to it will get removed if the file is opened in a newer version of Excel. Learn more: https://go.microsoft.com/fwlink/?linkid=870924
Comment:
    HLMA</t>
      </text>
    </comment>
    <comment ref="AI1749" authorId="0" shapeId="0" xr:uid="{E1D64BC3-C9AC-4565-9E66-52E47B62D8ED}">
      <text>
        <r>
          <rPr>
            <b/>
            <sz val="9"/>
            <rFont val="Times New Roman"/>
            <family val="1"/>
          </rPr>
          <t>bediakonk:</t>
        </r>
        <r>
          <rPr>
            <sz val="9"/>
            <rFont val="Times New Roman"/>
            <family val="1"/>
          </rPr>
          <t xml:space="preserve">
Nursing and midwifery professionals (21,000) + Nursing and midwifery associate professionals (108,000)
</t>
        </r>
      </text>
    </comment>
    <comment ref="Z1760" authorId="2" shapeId="0" xr:uid="{59F1D53C-EF46-43F7-A585-E2AC5BEE7B7B}">
      <text>
        <t>[Threaded comment]
Your version of Excel allows you to read this threaded comment; however, any edits to it will get removed if the file is opened in a newer version of Excel. Learn more: https://go.microsoft.com/fwlink/?linkid=870924
Comment:
    HLMA</t>
      </text>
    </comment>
    <comment ref="AI1760" authorId="3" shapeId="0" xr:uid="{4B51D69B-DFC7-4B47-B8B2-DCBE8B6F9AFA}">
      <text>
        <t>[Threaded comment]
Your version of Excel allows you to read this threaded comment; however, any edits to it will get removed if the file is opened in a newer version of Excel. Learn more: https://go.microsoft.com/fwlink/?linkid=870924
Comment:
    HLMA</t>
      </text>
    </comment>
    <comment ref="Z1763" authorId="0" shapeId="0" xr:uid="{C18CD207-98BF-44C4-95BE-F80D6746C68E}">
      <text>
        <r>
          <rPr>
            <b/>
            <sz val="9"/>
            <rFont val="Times New Roman"/>
            <family val="1"/>
          </rPr>
          <t>bediakonk:</t>
        </r>
        <r>
          <rPr>
            <sz val="9"/>
            <rFont val="Times New Roman"/>
            <family val="1"/>
          </rPr>
          <t xml:space="preserve">
Cardiovascular Nurse Specialist
Clinical Nurse
Critical Care Nurse
HIV Nurse Practitioner
Mental Health and Psychiatry Nurse Specialist
Neonatology Nurse Specialist
Oncology Nurse Specialist
Palliative Care Nurse Specialist
Public Health Nurse
Public Health Nurse Specialist
Registered Mental Health Nurse
Registered Nurse
Registered Paediatric Nurse
Registered Theatre Nurse
Trauma and Emergency Nurse Specialist
Zambia Enrolled Midwife
Zambia Enrolled Nurse</t>
        </r>
      </text>
    </comment>
    <comment ref="AI1763" authorId="0" shapeId="0" xr:uid="{D9E0CF53-6C34-4BA5-83DB-A6DC160BFA4F}">
      <text>
        <r>
          <rPr>
            <b/>
            <sz val="9"/>
            <rFont val="Times New Roman"/>
            <family val="1"/>
          </rPr>
          <t>bediakonk:</t>
        </r>
        <r>
          <rPr>
            <sz val="9"/>
            <rFont val="Times New Roman"/>
            <family val="1"/>
          </rPr>
          <t xml:space="preserve">
Cardiovascular Nurse Specialist
Clinical Nurse
Critical Care Nurse
HIV Nurse Practitioner
Mental Health and Psychiatry Nurse Specialist
Neonatology Nurse Specialist
Oncology Nurse Specialist
Palliative Care Nurse Specialist
Public Health Nurse
Public Health Nurse Specialist
Registered Mental Health Nurse
Registered Nurse
Registered Paediatric Nurse
Registered Theatre Nurse
Trauma and Emergency Nurse Specialist
Zambia Enrolled Midwife
Zambia Enrolled Nurse</t>
        </r>
      </text>
    </comment>
    <comment ref="Z1769" authorId="4" shapeId="0" xr:uid="{A7B10DD2-7D4E-429B-9253-70942B763526}">
      <text>
        <t>[Threaded comment]
Your version of Excel allows you to read this threaded comment; however, any edits to it will get removed if the file is opened in a newer version of Excel. Learn more: https://go.microsoft.com/fwlink/?linkid=870924
Comment:
    HLMA</t>
      </text>
    </comment>
    <comment ref="AI1769" authorId="5" shapeId="0" xr:uid="{E74C9F7E-2D86-462B-9FB8-EAFE97EBE26B}">
      <text>
        <t>[Threaded comment]
Your version of Excel allows you to read this threaded comment; however, any edits to it will get removed if the file is opened in a newer version of Excel. Learn more: https://go.microsoft.com/fwlink/?linkid=870924
Comment:
    HLMA</t>
      </text>
    </comment>
    <comment ref="Z1771" authorId="6" shapeId="0" xr:uid="{B11B09A6-16AF-4942-8D9D-3C244BA2A721}">
      <text>
        <t>[Threaded comment]
Your version of Excel allows you to read this threaded comment; however, any edits to it will get removed if the file is opened in a newer version of Excel. Learn more: https://go.microsoft.com/fwlink/?linkid=870924
Comment:
    HLMA</t>
      </text>
    </comment>
    <comment ref="AI1771" authorId="7" shapeId="0" xr:uid="{05F014F4-23D6-4EF8-AC5B-A6A96BA8AFA0}">
      <text>
        <t>[Threaded comment]
Your version of Excel allows you to read this threaded comment; however, any edits to it will get removed if the file is opened in a newer version of Excel. Learn more: https://go.microsoft.com/fwlink/?linkid=870924
Comment:
    HLMA</t>
      </text>
    </comment>
    <comment ref="AI1777" authorId="8" shapeId="0" xr:uid="{F20B2B61-A7CC-4300-A920-A494B05D4C52}">
      <text>
        <t>[Threaded comment]
Your version of Excel allows you to read this threaded comment; however, any edits to it will get removed if the file is opened in a newer version of Excel. Learn more: https://go.microsoft.com/fwlink/?linkid=870924
Comment:
    HLMA</t>
      </text>
    </comment>
    <comment ref="AI1780" authorId="9" shapeId="0" xr:uid="{5B962979-EBCE-4ADF-A0B1-84447C46D1A9}">
      <text>
        <t>[Threaded comment]
Your version of Excel allows you to read this threaded comment; however, any edits to it will get removed if the file is opened in a newer version of Excel. Learn more: https://go.microsoft.com/fwlink/?linkid=870924
Comment:
    HLMA</t>
      </text>
    </comment>
  </commentList>
</comments>
</file>

<file path=xl/sharedStrings.xml><?xml version="1.0" encoding="utf-8"?>
<sst xmlns="http://schemas.openxmlformats.org/spreadsheetml/2006/main" count="24017" uniqueCount="357">
  <si>
    <t>Country</t>
  </si>
  <si>
    <t>Burkina Faso</t>
  </si>
  <si>
    <t>Central African Republic</t>
  </si>
  <si>
    <t>United Republic of Tanzania</t>
  </si>
  <si>
    <t>Doctors, Nurses and midwives density 2012</t>
  </si>
  <si>
    <t>Data available year</t>
  </si>
  <si>
    <t>Doctors, Nurses and midwives density 2017</t>
  </si>
  <si>
    <t>Doctors, Nurses and midwives density 2022</t>
  </si>
  <si>
    <t>latest year</t>
  </si>
  <si>
    <t>AFRO</t>
  </si>
  <si>
    <t xml:space="preserve"> Angola</t>
  </si>
  <si>
    <t xml:space="preserve"> Benin</t>
  </si>
  <si>
    <t xml:space="preserve"> Botswana</t>
  </si>
  <si>
    <t xml:space="preserve"> Burundi</t>
  </si>
  <si>
    <t xml:space="preserve"> Cabo Verde</t>
  </si>
  <si>
    <t xml:space="preserve"> Cameroon</t>
  </si>
  <si>
    <t xml:space="preserve"> Chad</t>
  </si>
  <si>
    <t xml:space="preserve"> Equatorial Guinea</t>
  </si>
  <si>
    <t xml:space="preserve"> Gambia</t>
  </si>
  <si>
    <t xml:space="preserve"> Ghana</t>
  </si>
  <si>
    <t xml:space="preserve"> Guinea</t>
  </si>
  <si>
    <t xml:space="preserve"> Guinea-Bissau</t>
  </si>
  <si>
    <t xml:space="preserve"> Kenya</t>
  </si>
  <si>
    <t xml:space="preserve"> Liberia</t>
  </si>
  <si>
    <t xml:space="preserve"> Madagascar</t>
  </si>
  <si>
    <t xml:space="preserve"> Malawi</t>
  </si>
  <si>
    <t xml:space="preserve"> Mali</t>
  </si>
  <si>
    <t xml:space="preserve"> Mauritius</t>
  </si>
  <si>
    <t xml:space="preserve"> Mozambique</t>
  </si>
  <si>
    <t xml:space="preserve"> Namibia</t>
  </si>
  <si>
    <t xml:space="preserve"> Rwanda</t>
  </si>
  <si>
    <t xml:space="preserve"> Senegal</t>
  </si>
  <si>
    <t xml:space="preserve"> Seychelles</t>
  </si>
  <si>
    <t xml:space="preserve"> Sierra Leone</t>
  </si>
  <si>
    <t xml:space="preserve"> South Africa</t>
  </si>
  <si>
    <t xml:space="preserve"> South Sudan</t>
  </si>
  <si>
    <t xml:space="preserve"> Uganda</t>
  </si>
  <si>
    <t xml:space="preserve"> Zambia</t>
  </si>
  <si>
    <t xml:space="preserve"> Zimbabwe</t>
  </si>
  <si>
    <t>Niger</t>
  </si>
  <si>
    <t xml:space="preserve"> Congo</t>
  </si>
  <si>
    <t>Algeria</t>
  </si>
  <si>
    <t>Lesotho</t>
  </si>
  <si>
    <t>Eswatini</t>
  </si>
  <si>
    <t>Mauritania</t>
  </si>
  <si>
    <t>Gabon</t>
  </si>
  <si>
    <t xml:space="preserve"> Nigeria</t>
  </si>
  <si>
    <t>Democratic  Republic of Congo</t>
  </si>
  <si>
    <t>Sao Tome and Principe</t>
  </si>
  <si>
    <t xml:space="preserve"> Ethiopia</t>
  </si>
  <si>
    <t xml:space="preserve"> Eritrea</t>
  </si>
  <si>
    <t>Togo</t>
  </si>
  <si>
    <t>Comoros</t>
  </si>
  <si>
    <r>
      <t xml:space="preserve"> C</t>
    </r>
    <r>
      <rPr>
        <sz val="11"/>
        <color theme="1"/>
        <rFont val="Calibri"/>
        <family val="2"/>
      </rPr>
      <t>ô</t>
    </r>
    <r>
      <rPr>
        <sz val="11"/>
        <color theme="1"/>
        <rFont val="Calibri"/>
        <family val="2"/>
        <scheme val="minor"/>
      </rPr>
      <t>te d'Ivoire</t>
    </r>
  </si>
  <si>
    <t>Annual growth 2012 - 2017</t>
  </si>
  <si>
    <t>Annual growth 2017 - 2022</t>
  </si>
  <si>
    <t xml:space="preserve"> Côte d'Ivoire</t>
  </si>
  <si>
    <t>Country Name</t>
  </si>
  <si>
    <t>Community health workers</t>
  </si>
  <si>
    <t>Dental assistants and therapists</t>
  </si>
  <si>
    <t>Dentists</t>
  </si>
  <si>
    <t>Dieticians and nutritionists</t>
  </si>
  <si>
    <t>Environmental and occupational health &amp; hygiene workers</t>
  </si>
  <si>
    <t>Generalist medical practitioners</t>
  </si>
  <si>
    <t>Health care assistants and other personal care workers in health services</t>
  </si>
  <si>
    <t>Health service managers</t>
  </si>
  <si>
    <t>Medical and dental prosthetic technicians</t>
  </si>
  <si>
    <t>Medical and pathology laboratory technicians</t>
  </si>
  <si>
    <t>Medical assistants – clinical officers</t>
  </si>
  <si>
    <t>Medical imaging and therapeutic equipment operators</t>
  </si>
  <si>
    <t>Medical records and health information technicians</t>
  </si>
  <si>
    <t>Medical technicians and equipment operators</t>
  </si>
  <si>
    <t>Midwifery associate professionals</t>
  </si>
  <si>
    <t>Midwifery professionals</t>
  </si>
  <si>
    <t>Nursing associate professionals</t>
  </si>
  <si>
    <t>Nursing professionals</t>
  </si>
  <si>
    <t>Optometrists and opticians</t>
  </si>
  <si>
    <t>Other health management and support workers</t>
  </si>
  <si>
    <t>Other health service providers</t>
  </si>
  <si>
    <t>Other science professionals and technicians</t>
  </si>
  <si>
    <t>Paramedical practitioners (specify)</t>
  </si>
  <si>
    <t>Pharmaceutical technicians and assistants</t>
  </si>
  <si>
    <t>Pharmacists</t>
  </si>
  <si>
    <t>Physiotherapists and physiotherapy assistants</t>
  </si>
  <si>
    <t>Social workers</t>
  </si>
  <si>
    <t>Specialist medical practitioners</t>
  </si>
  <si>
    <t>Speech Therapist</t>
  </si>
  <si>
    <t>Traditional and complementary medicine practitioners</t>
  </si>
  <si>
    <t>Angola</t>
  </si>
  <si>
    <t>Benin</t>
  </si>
  <si>
    <t>Botswana</t>
  </si>
  <si>
    <t>Burundi</t>
  </si>
  <si>
    <t>Cameroon</t>
  </si>
  <si>
    <t>Cape-Verde</t>
  </si>
  <si>
    <t>Chad</t>
  </si>
  <si>
    <t>Congo</t>
  </si>
  <si>
    <t>Cote d'Ivoire</t>
  </si>
  <si>
    <t>DRC</t>
  </si>
  <si>
    <t>Equatorial Guinea</t>
  </si>
  <si>
    <t>Eritrea</t>
  </si>
  <si>
    <t>Ethiopia</t>
  </si>
  <si>
    <t>Gambia</t>
  </si>
  <si>
    <t>Ghana</t>
  </si>
  <si>
    <t>Guinea</t>
  </si>
  <si>
    <t>Guinea-Bissau</t>
  </si>
  <si>
    <t>Kenya</t>
  </si>
  <si>
    <t>Liberia</t>
  </si>
  <si>
    <t>Madagascar</t>
  </si>
  <si>
    <t>Malawi</t>
  </si>
  <si>
    <t>Mali</t>
  </si>
  <si>
    <t>Mauritius</t>
  </si>
  <si>
    <t>Mozambique</t>
  </si>
  <si>
    <t>Namibia</t>
  </si>
  <si>
    <t>Nigeria</t>
  </si>
  <si>
    <t>Rwanda</t>
  </si>
  <si>
    <t>Senegal</t>
  </si>
  <si>
    <t>Seychelles</t>
  </si>
  <si>
    <t>Sierra Leone</t>
  </si>
  <si>
    <t>South Africa</t>
  </si>
  <si>
    <t>South Sudan</t>
  </si>
  <si>
    <t>Tanzania</t>
  </si>
  <si>
    <t>Uganda</t>
  </si>
  <si>
    <t>Zambia</t>
  </si>
  <si>
    <t>Zimbabwe</t>
  </si>
  <si>
    <t>Row Labels</t>
  </si>
  <si>
    <t>Grand Total</t>
  </si>
  <si>
    <t xml:space="preserve">Audiologists and Speech Therapists </t>
  </si>
  <si>
    <t xml:space="preserve">Community Health Workers </t>
  </si>
  <si>
    <t xml:space="preserve">Dental Assistants and Therapists </t>
  </si>
  <si>
    <t xml:space="preserve">Dental Prosthetic Technicians </t>
  </si>
  <si>
    <t xml:space="preserve">Dentists </t>
  </si>
  <si>
    <t xml:space="preserve">Environmental and Occupational Health and Hygiene Professionals </t>
  </si>
  <si>
    <t xml:space="preserve">Environmental and Occupational Health Inspectors and Associates </t>
  </si>
  <si>
    <t xml:space="preserve">Medical and Pathology Laboratory scientists </t>
  </si>
  <si>
    <t xml:space="preserve">Medical and Pathology Laboratory Technicians </t>
  </si>
  <si>
    <t>Medical Doctors</t>
  </si>
  <si>
    <t xml:space="preserve">Medical Imaging and Therapeutic Equipment Technicians </t>
  </si>
  <si>
    <t xml:space="preserve">Medical Prosthetic Technicians </t>
  </si>
  <si>
    <t>Midwifery personnel</t>
  </si>
  <si>
    <t>Nursing Personnel</t>
  </si>
  <si>
    <t xml:space="preserve">Nutritionists </t>
  </si>
  <si>
    <t xml:space="preserve">Optometrists and Ophthalmic Opticians </t>
  </si>
  <si>
    <t xml:space="preserve">Paramedical Practitioners </t>
  </si>
  <si>
    <t xml:space="preserve">Pharmaceutical Technicians and Assistants </t>
  </si>
  <si>
    <t xml:space="preserve">Pharmacists </t>
  </si>
  <si>
    <t xml:space="preserve">Physiotherapists </t>
  </si>
  <si>
    <t xml:space="preserve">Psychologists </t>
  </si>
  <si>
    <t xml:space="preserve">Social work and counselling professionals </t>
  </si>
  <si>
    <t>Medical doctors</t>
  </si>
  <si>
    <t>Year</t>
  </si>
  <si>
    <t>Country Code</t>
  </si>
  <si>
    <t>BFA</t>
  </si>
  <si>
    <t>CAF</t>
  </si>
  <si>
    <t>STP</t>
  </si>
  <si>
    <t>COD</t>
  </si>
  <si>
    <t>ETH</t>
  </si>
  <si>
    <t>NGA</t>
  </si>
  <si>
    <t>GAB</t>
  </si>
  <si>
    <t>MRT</t>
  </si>
  <si>
    <t>SWZ</t>
  </si>
  <si>
    <t>LSO</t>
  </si>
  <si>
    <t>DZA</t>
  </si>
  <si>
    <t>AGO</t>
  </si>
  <si>
    <t>BEN</t>
  </si>
  <si>
    <t>BWA</t>
  </si>
  <si>
    <t>BDI</t>
  </si>
  <si>
    <t>CIV</t>
  </si>
  <si>
    <t>CPV</t>
  </si>
  <si>
    <t>CMR</t>
  </si>
  <si>
    <t>TCD</t>
  </si>
  <si>
    <t>GNQ</t>
  </si>
  <si>
    <t>GMB</t>
  </si>
  <si>
    <t>GHA</t>
  </si>
  <si>
    <t>GIN</t>
  </si>
  <si>
    <t>GNB</t>
  </si>
  <si>
    <t>KEN</t>
  </si>
  <si>
    <t>LBR</t>
  </si>
  <si>
    <t>MDG</t>
  </si>
  <si>
    <t>MWI</t>
  </si>
  <si>
    <t>MLI</t>
  </si>
  <si>
    <t>MUS</t>
  </si>
  <si>
    <t>MOZ</t>
  </si>
  <si>
    <t>NAM</t>
  </si>
  <si>
    <t>RWA</t>
  </si>
  <si>
    <t>SEN</t>
  </si>
  <si>
    <t>SYC</t>
  </si>
  <si>
    <t>SLE</t>
  </si>
  <si>
    <t>ZAF</t>
  </si>
  <si>
    <t>SSD</t>
  </si>
  <si>
    <t>COG</t>
  </si>
  <si>
    <t>NER</t>
  </si>
  <si>
    <t>UGA</t>
  </si>
  <si>
    <t>ZMB</t>
  </si>
  <si>
    <t>ZWE</t>
  </si>
  <si>
    <t>ERI</t>
  </si>
  <si>
    <t>TGO</t>
  </si>
  <si>
    <t>COM</t>
  </si>
  <si>
    <t>TZA</t>
  </si>
  <si>
    <t>Country code</t>
  </si>
  <si>
    <t>Pharmacists1</t>
  </si>
  <si>
    <t>Dentists1</t>
  </si>
  <si>
    <t>Sum of Community health workers</t>
  </si>
  <si>
    <t>Population UN 1</t>
  </si>
  <si>
    <t>Personal care workers in health service</t>
  </si>
  <si>
    <t xml:space="preserve">Managerial staff </t>
  </si>
  <si>
    <t xml:space="preserve">Medical and dental Prosthetic Technicians </t>
  </si>
  <si>
    <t xml:space="preserve">Medical Assistants </t>
  </si>
  <si>
    <t xml:space="preserve">Medical Records and Health Information Technicians </t>
  </si>
  <si>
    <t xml:space="preserve">Other non-medical professional staff </t>
  </si>
  <si>
    <t xml:space="preserve">Other non-medical support staff </t>
  </si>
  <si>
    <t>Pop 2012</t>
  </si>
  <si>
    <t>Cadre</t>
  </si>
  <si>
    <t>Pop 2013</t>
  </si>
  <si>
    <t>Pop 2014</t>
  </si>
  <si>
    <t>Pop 2015</t>
  </si>
  <si>
    <t>Pop 2016</t>
  </si>
  <si>
    <t>Pop 2017</t>
  </si>
  <si>
    <t>Pop 2018</t>
  </si>
  <si>
    <t>Pop 2019</t>
  </si>
  <si>
    <t>Pop 2020</t>
  </si>
  <si>
    <t>Pop 2021</t>
  </si>
  <si>
    <t>Pop 2022</t>
  </si>
  <si>
    <t>2018 report</t>
  </si>
  <si>
    <t xml:space="preserve"> Audiologists and Speech Therapists </t>
  </si>
  <si>
    <t>Max (12-15)</t>
  </si>
  <si>
    <t>Max(16-19)</t>
  </si>
  <si>
    <t>Max(20-22)</t>
  </si>
  <si>
    <t>Sum of 2018 report</t>
  </si>
  <si>
    <t>Sum of 2021</t>
  </si>
  <si>
    <t>Sum of 2020</t>
  </si>
  <si>
    <t>Midwives 2018</t>
  </si>
  <si>
    <t>Nurses 2018</t>
  </si>
  <si>
    <t>Nurses and midwives 2018</t>
  </si>
  <si>
    <t>Country name</t>
  </si>
  <si>
    <t>Annual growth (compound 2018 - 20)</t>
  </si>
  <si>
    <t>2023 (with after 18 growth rate)</t>
  </si>
  <si>
    <t>2023 (compound)</t>
  </si>
  <si>
    <t>2013 (compound)</t>
  </si>
  <si>
    <t>2013 (using overall growth) - simple</t>
  </si>
  <si>
    <t>2022 (using overall growth) - Simple</t>
  </si>
  <si>
    <t>2023 (using overall growth) - simple</t>
  </si>
  <si>
    <t>2013 (with before 18 growth rate) - simple</t>
  </si>
  <si>
    <t>2022 (with after 18 growth rate) - simple</t>
  </si>
  <si>
    <t>Overall annual growth - compound</t>
  </si>
  <si>
    <t>2013 exponential growth(overall rate)</t>
  </si>
  <si>
    <t>2023 exponential growth(overall rate)</t>
  </si>
  <si>
    <t>2015 Publised (nurses and Midwives WHO)</t>
  </si>
  <si>
    <t>2020 Publised (nurses and Midwives WHO)</t>
  </si>
  <si>
    <t xml:space="preserve">Annual growth (compound 2015 - 18) </t>
  </si>
  <si>
    <t>2023 Exponential growth (after 18 rate)</t>
  </si>
  <si>
    <t>2013 Exponential growth (before 18 rate)</t>
  </si>
  <si>
    <t>2013 numbers</t>
  </si>
  <si>
    <t>Density per 10,000 (2013)</t>
  </si>
  <si>
    <t>Density per 10,000 (2018)</t>
  </si>
  <si>
    <t>2013 or latest</t>
  </si>
  <si>
    <t>Data year</t>
  </si>
  <si>
    <t>2018 or latest</t>
  </si>
  <si>
    <t>Data year1</t>
  </si>
  <si>
    <t>2018 (triag)</t>
  </si>
  <si>
    <t>2022 or latest</t>
  </si>
  <si>
    <t>Data year2</t>
  </si>
  <si>
    <t>Need for adjustment</t>
  </si>
  <si>
    <t xml:space="preserve">  </t>
  </si>
  <si>
    <t>Total Public sector</t>
  </si>
  <si>
    <t>Total PFP</t>
  </si>
  <si>
    <t>Total PFNP</t>
  </si>
  <si>
    <t>Total private</t>
  </si>
  <si>
    <t>Over all Stock</t>
  </si>
  <si>
    <t>Proportion Private sector</t>
  </si>
  <si>
    <t>Adj. Factor_Trans</t>
  </si>
  <si>
    <t>Adj. Factor</t>
  </si>
  <si>
    <t>Adjusted 2022</t>
  </si>
  <si>
    <t>Trend 18 to 22</t>
  </si>
  <si>
    <t>2022 nubmers</t>
  </si>
  <si>
    <t>Adjustment for gross underrepoting 2022</t>
  </si>
  <si>
    <t>(All)</t>
  </si>
  <si>
    <t>Sum of 2013 or latest</t>
  </si>
  <si>
    <t>Sum of 2018 or latest</t>
  </si>
  <si>
    <t>Sum of 2022 or latest</t>
  </si>
  <si>
    <t>Sum of Adjustment for gross underrepoting 2022</t>
  </si>
  <si>
    <t>Sum of Adjusted 2022</t>
  </si>
  <si>
    <t xml:space="preserve"> 2013 or latest</t>
  </si>
  <si>
    <t xml:space="preserve"> Adjusted 2022</t>
  </si>
  <si>
    <t xml:space="preserve"> Adjustment for gross underrepoting 2022</t>
  </si>
  <si>
    <t xml:space="preserve"> 2018 or latest</t>
  </si>
  <si>
    <t xml:space="preserve"> 2022 or latest</t>
  </si>
  <si>
    <t>projection</t>
  </si>
  <si>
    <t>Density per 10,000 (2022)****</t>
  </si>
  <si>
    <t>DATA SOURCES</t>
  </si>
  <si>
    <t>NHWA DATASET AS REPORTED BY FP</t>
  </si>
  <si>
    <t>NHWA DATASET AS REPORTED BY FP &amp; HLMA 2020</t>
  </si>
  <si>
    <t>NHWA DATASET AS REPORTED BY FP &amp; HRH COUNTRY PROFIL</t>
  </si>
  <si>
    <t>NHWA DATASET AS REPORTED BY FP &amp; HLMA 2023</t>
  </si>
  <si>
    <t>NHWA DATASET AS REPORTED BY FP &amp; HLMA 2021</t>
  </si>
  <si>
    <t>NHWA DATASET AS REPORTED BY FP &amp; HLMA 2022</t>
  </si>
  <si>
    <t>NHWA DATASET AS REPORTED BY FP &amp; NURSING COUNCIL ANNUAL REPORT, HEALTH PROFESIONS COUNCIL 2022</t>
  </si>
  <si>
    <t>NHWA DATASET AS REPORTED BY FP &amp; HLMA 2019</t>
  </si>
  <si>
    <t>Count of Need for adjustment</t>
  </si>
  <si>
    <t>Column Labels</t>
  </si>
  <si>
    <t>Adjust</t>
  </si>
  <si>
    <t>Nurses</t>
  </si>
  <si>
    <t>Pharmacist</t>
  </si>
  <si>
    <t>Doctors</t>
  </si>
  <si>
    <t>Midwives</t>
  </si>
  <si>
    <t>Overall Stock</t>
  </si>
  <si>
    <t>Change in Headcount</t>
  </si>
  <si>
    <t>% change 2018-2022</t>
  </si>
  <si>
    <t>Occupation</t>
  </si>
  <si>
    <t>2018 Estimate</t>
  </si>
  <si>
    <t>2022 Estimate</t>
  </si>
  <si>
    <t>Change</t>
  </si>
  <si>
    <t>Sum of Generalist medical practitioners</t>
  </si>
  <si>
    <t>Sum of Specialist medical practitioners</t>
  </si>
  <si>
    <t>Sum of Nursing professionals</t>
  </si>
  <si>
    <t>Sum of Nursing associate professionals</t>
  </si>
  <si>
    <t>Sum of Midwifery professionals</t>
  </si>
  <si>
    <t>Sum of Midwifery associate professionals</t>
  </si>
  <si>
    <t>Sum of Pharmacists1</t>
  </si>
  <si>
    <t>Sum of Pharmaceutical technicians and assistants</t>
  </si>
  <si>
    <t>Sum of Dentists1</t>
  </si>
  <si>
    <t>Sum of Dental assistants and therapists</t>
  </si>
  <si>
    <t>Medical Doctors (old)</t>
  </si>
  <si>
    <t>Nursing Personnel (old)</t>
  </si>
  <si>
    <t>Midwifery personnel (old)</t>
  </si>
  <si>
    <t>Pharmacists (old)</t>
  </si>
  <si>
    <t>Dentists (old)</t>
  </si>
  <si>
    <t xml:space="preserve"> Medical Doctors </t>
  </si>
  <si>
    <t xml:space="preserve"> Generalist Medical Practitioners </t>
  </si>
  <si>
    <t xml:space="preserve"> Specialist Medical Practitioners </t>
  </si>
  <si>
    <t xml:space="preserve"> Nursing Personnel </t>
  </si>
  <si>
    <t xml:space="preserve"> Nursing Professionals </t>
  </si>
  <si>
    <t xml:space="preserve"> Nursing Associate Professionals </t>
  </si>
  <si>
    <t xml:space="preserve"> Midwifery personnel </t>
  </si>
  <si>
    <t xml:space="preserve"> Midwifery Professionals </t>
  </si>
  <si>
    <t xml:space="preserve"> Midwifery Associate Professionals </t>
  </si>
  <si>
    <t xml:space="preserve"> Pharmacists1 </t>
  </si>
  <si>
    <t xml:space="preserve"> Pharmaceutical Technicians and Assistants </t>
  </si>
  <si>
    <t xml:space="preserve"> Dentists </t>
  </si>
  <si>
    <t xml:space="preserve"> Dental Assistants and Therapists </t>
  </si>
  <si>
    <t xml:space="preserve"> Psychologists </t>
  </si>
  <si>
    <t>Adjustment for underrepoting 2022</t>
  </si>
  <si>
    <t>Density per 10,000 (2022)</t>
  </si>
  <si>
    <t>Sum of Adjustment for underrepoting 2022</t>
  </si>
  <si>
    <t>(Multiple Items)</t>
  </si>
  <si>
    <t>Density per 10,000 (2022) Completeness adj</t>
  </si>
  <si>
    <t>Status</t>
  </si>
  <si>
    <t>Under-reported</t>
  </si>
  <si>
    <t>Count of Cadre</t>
  </si>
  <si>
    <t>Average of Pop 2013</t>
  </si>
  <si>
    <t>Average of Pop 2018</t>
  </si>
  <si>
    <t>Average of Pop 2022</t>
  </si>
  <si>
    <t>Count of 2013 or latest</t>
  </si>
  <si>
    <t>Count of 2018 or latest</t>
  </si>
  <si>
    <t>Count of Adjusted 2022</t>
  </si>
  <si>
    <t>Sum of Density per 10,000 (2022)</t>
  </si>
  <si>
    <t>Sum of Density per 10,000 (2013)</t>
  </si>
  <si>
    <t>Sum of Density per 10,000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</si>
</sst>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0.0%"/>
    <numFmt numFmtId="166" formatCode="_-* #,##0_-;\-* #,##0_-;_-* &quot;-&quot;??_-;_-@_-"/>
    <numFmt numFmtId="167" formatCode="0.000"/>
    <numFmt numFmtId="168" formatCode="_-* #,##0_-;\-* #,##0_-;_-* &quot;-&quot;???_-;_-@_-"/>
    <numFmt numFmtId="169" formatCode="0_ ;[Red]\-0\ "/>
    <numFmt numFmtId="170" formatCode="_-* #,##0.000_-;\-* #,##0.000_-;_-* &quot;-&quot;??_-;_-@_-"/>
  </numFmts>
  <fonts count="24" x14ac:knownFonts="1">
    <font>
      <sz val="11"/>
      <color theme="1"/>
      <name val="Calibri"/>
      <family val="2"/>
      <scheme val="minor"/>
    </font>
    <font>
      <sz val="11"/>
      <color theme="1"/>
      <name val="Calibri"/>
      <family val="2"/>
      <scheme val="minor"/>
    </font>
    <font>
      <sz val="11"/>
      <color theme="1"/>
      <name val="Calibri"/>
      <family val="2"/>
    </font>
    <font>
      <sz val="14"/>
      <color theme="1"/>
      <name val="Arial"/>
      <family val="2"/>
    </font>
    <font>
      <b/>
      <sz val="14"/>
      <color theme="1"/>
      <name val="Arial"/>
      <family val="2"/>
    </font>
    <font>
      <sz val="11"/>
      <color rgb="FFFF0000"/>
      <name val="Calibri"/>
      <family val="2"/>
      <scheme val="minor"/>
    </font>
    <font>
      <b/>
      <sz val="11"/>
      <color theme="1"/>
      <name val="Calibri"/>
      <family val="2"/>
      <scheme val="minor"/>
    </font>
    <font>
      <sz val="11"/>
      <color theme="1"/>
      <name val="Arial Narrow"/>
      <family val="2"/>
    </font>
    <font>
      <sz val="11"/>
      <color theme="1"/>
      <name val="Arial Narrow"/>
      <family val="2"/>
    </font>
    <font>
      <sz val="11"/>
      <name val="Calibri"/>
      <family val="2"/>
      <scheme val="minor"/>
    </font>
    <font>
      <sz val="11"/>
      <color theme="5"/>
      <name val="Calibri"/>
      <family val="2"/>
      <scheme val="minor"/>
    </font>
    <font>
      <sz val="8"/>
      <name val="Calibri"/>
      <family val="2"/>
      <scheme val="minor"/>
    </font>
    <font>
      <sz val="11"/>
      <color theme="1"/>
      <name val="Arial"/>
      <family val="2"/>
    </font>
    <font>
      <b/>
      <sz val="11"/>
      <color theme="1"/>
      <name val="Arial"/>
      <family val="2"/>
    </font>
    <font>
      <sz val="11"/>
      <color rgb="FFFF0000"/>
      <name val="Arial"/>
      <family val="2"/>
    </font>
    <font>
      <sz val="11"/>
      <color rgb="FFFF0000"/>
      <name val="Arial Narrow"/>
      <family val="2"/>
    </font>
    <font>
      <b/>
      <sz val="9"/>
      <name val="Times New Roman"/>
      <family val="1"/>
    </font>
    <font>
      <sz val="9"/>
      <name val="Times New Roman"/>
      <family val="1"/>
    </font>
    <font>
      <b/>
      <sz val="11"/>
      <color rgb="FFFF0000"/>
      <name val="Calibri"/>
      <family val="2"/>
      <scheme val="minor"/>
    </font>
    <font>
      <sz val="11"/>
      <color theme="9" tint="-0.499984740745262"/>
      <name val="Calibri"/>
      <family val="2"/>
      <scheme val="minor"/>
    </font>
    <font>
      <sz val="11"/>
      <color indexed="8"/>
      <name val="Calibri"/>
      <family val="2"/>
    </font>
    <font>
      <b/>
      <sz val="11"/>
      <color theme="1"/>
      <name val="Arial Narrow"/>
      <family val="2"/>
    </font>
    <font>
      <b/>
      <sz val="11"/>
      <color rgb="FFFF0000"/>
      <name val="Arial Narrow"/>
      <family val="2"/>
    </font>
    <font>
      <sz val="11"/>
      <name val="Arial Narrow"/>
      <family val="2"/>
    </font>
  </fonts>
  <fills count="12">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1"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rgb="FF8EA9DB"/>
      </top>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5">
    <xf numFmtId="0" fontId="0" fillId="0" borderId="0" xfId="0"/>
    <xf numFmtId="2" fontId="0" fillId="0" borderId="0" xfId="0" applyNumberFormat="1"/>
    <xf numFmtId="165" fontId="0" fillId="0" borderId="0" xfId="2" applyNumberFormat="1" applyFont="1"/>
    <xf numFmtId="43" fontId="0" fillId="0" borderId="0" xfId="1" applyFont="1" applyAlignment="1">
      <alignment vertical="center"/>
    </xf>
    <xf numFmtId="0" fontId="3" fillId="0" borderId="0" xfId="0" applyFont="1" applyAlignment="1">
      <alignment wrapText="1"/>
    </xf>
    <xf numFmtId="0" fontId="3" fillId="0" borderId="0" xfId="0" applyFont="1"/>
    <xf numFmtId="0" fontId="3" fillId="2" borderId="0" xfId="0" applyFont="1" applyFill="1"/>
    <xf numFmtId="0" fontId="3" fillId="0" borderId="1" xfId="0" applyFont="1" applyBorder="1" applyAlignment="1">
      <alignment wrapText="1"/>
    </xf>
    <xf numFmtId="0" fontId="4" fillId="0" borderId="1" xfId="0" applyFont="1" applyBorder="1" applyAlignment="1">
      <alignment wrapText="1"/>
    </xf>
    <xf numFmtId="0" fontId="3" fillId="2" borderId="1" xfId="0" applyFont="1" applyFill="1" applyBorder="1" applyAlignment="1">
      <alignment wrapText="1"/>
    </xf>
    <xf numFmtId="0" fontId="3" fillId="0" borderId="1" xfId="0" applyFont="1" applyBorder="1"/>
    <xf numFmtId="2" fontId="3" fillId="0" borderId="1" xfId="0" applyNumberFormat="1" applyFont="1" applyBorder="1"/>
    <xf numFmtId="0" fontId="3" fillId="2" borderId="1" xfId="0" applyFont="1" applyFill="1" applyBorder="1"/>
    <xf numFmtId="43" fontId="3" fillId="0" borderId="1" xfId="1" applyFont="1" applyBorder="1" applyAlignment="1">
      <alignment vertical="center"/>
    </xf>
    <xf numFmtId="0" fontId="0" fillId="0" borderId="0" xfId="0" applyAlignment="1">
      <alignment wrapText="1"/>
    </xf>
    <xf numFmtId="0" fontId="0" fillId="0" borderId="0" xfId="0" pivotButton="1"/>
    <xf numFmtId="0" fontId="0" fillId="0" borderId="0" xfId="0" applyAlignment="1">
      <alignment horizontal="left"/>
    </xf>
    <xf numFmtId="0" fontId="7" fillId="0" borderId="1" xfId="0" applyFont="1" applyBorder="1" applyAlignment="1">
      <alignment horizontal="left"/>
    </xf>
    <xf numFmtId="0" fontId="7" fillId="2" borderId="1" xfId="0" applyFont="1" applyFill="1" applyBorder="1" applyAlignment="1">
      <alignment horizontal="left"/>
    </xf>
    <xf numFmtId="0" fontId="0" fillId="2" borderId="0" xfId="0" applyFill="1"/>
    <xf numFmtId="0" fontId="0" fillId="4" borderId="0" xfId="0" applyFill="1"/>
    <xf numFmtId="0" fontId="0" fillId="5" borderId="0" xfId="0" applyFill="1"/>
    <xf numFmtId="0" fontId="8" fillId="6" borderId="1" xfId="0" applyFont="1" applyFill="1" applyBorder="1" applyAlignment="1">
      <alignment wrapText="1"/>
    </xf>
    <xf numFmtId="0" fontId="0" fillId="4" borderId="0" xfId="0" applyFill="1" applyAlignment="1">
      <alignment wrapText="1"/>
    </xf>
    <xf numFmtId="0" fontId="0" fillId="7" borderId="0" xfId="0" applyFill="1" applyAlignment="1">
      <alignment wrapText="1"/>
    </xf>
    <xf numFmtId="0" fontId="0" fillId="8" borderId="0" xfId="0" applyFill="1" applyAlignment="1">
      <alignment wrapText="1"/>
    </xf>
    <xf numFmtId="0" fontId="0" fillId="6" borderId="0" xfId="0" applyFill="1" applyAlignment="1">
      <alignment wrapText="1"/>
    </xf>
    <xf numFmtId="0" fontId="8" fillId="0" borderId="0" xfId="0" applyFont="1"/>
    <xf numFmtId="0" fontId="0" fillId="5" borderId="0" xfId="0" applyFill="1" applyAlignment="1">
      <alignment wrapText="1"/>
    </xf>
    <xf numFmtId="0" fontId="5" fillId="0" borderId="0" xfId="0" applyFont="1"/>
    <xf numFmtId="0" fontId="9" fillId="0" borderId="0" xfId="0" applyFont="1"/>
    <xf numFmtId="0" fontId="10" fillId="0" borderId="0" xfId="0" applyFont="1"/>
    <xf numFmtId="0" fontId="5" fillId="5" borderId="0" xfId="0" applyFont="1" applyFill="1"/>
    <xf numFmtId="0" fontId="6" fillId="0" borderId="0" xfId="0" applyFont="1"/>
    <xf numFmtId="0" fontId="8" fillId="6" borderId="0" xfId="0" applyFont="1" applyFill="1" applyAlignment="1">
      <alignment wrapText="1"/>
    </xf>
    <xf numFmtId="0" fontId="6" fillId="0" borderId="0" xfId="0" applyFont="1" applyAlignment="1">
      <alignment wrapText="1"/>
    </xf>
    <xf numFmtId="0" fontId="12" fillId="0" borderId="1" xfId="0" applyFont="1" applyBorder="1" applyAlignment="1">
      <alignment wrapText="1"/>
    </xf>
    <xf numFmtId="0" fontId="13" fillId="3" borderId="1" xfId="0" applyFont="1" applyFill="1" applyBorder="1" applyAlignment="1">
      <alignment wrapText="1"/>
    </xf>
    <xf numFmtId="0" fontId="13" fillId="0" borderId="1" xfId="0" applyFont="1" applyBorder="1" applyAlignment="1">
      <alignment wrapText="1"/>
    </xf>
    <xf numFmtId="0" fontId="12" fillId="0" borderId="1" xfId="0" applyFont="1" applyBorder="1" applyAlignment="1">
      <alignment horizontal="left"/>
    </xf>
    <xf numFmtId="0" fontId="12" fillId="0" borderId="1" xfId="0" applyFont="1" applyBorder="1"/>
    <xf numFmtId="166" fontId="12" fillId="0" borderId="1" xfId="1" applyNumberFormat="1" applyFont="1" applyBorder="1"/>
    <xf numFmtId="167" fontId="12" fillId="0" borderId="1" xfId="0" applyNumberFormat="1" applyFont="1" applyBorder="1"/>
    <xf numFmtId="167" fontId="12" fillId="9" borderId="1" xfId="0" applyNumberFormat="1" applyFont="1" applyFill="1" applyBorder="1"/>
    <xf numFmtId="43" fontId="12" fillId="0" borderId="1" xfId="0" applyNumberFormat="1" applyFont="1" applyBorder="1"/>
    <xf numFmtId="166" fontId="12" fillId="0" borderId="1" xfId="0" applyNumberFormat="1" applyFont="1" applyBorder="1"/>
    <xf numFmtId="165" fontId="12" fillId="0" borderId="1" xfId="2" applyNumberFormat="1" applyFont="1" applyBorder="1"/>
    <xf numFmtId="168" fontId="12" fillId="0" borderId="1" xfId="0" applyNumberFormat="1" applyFont="1" applyBorder="1"/>
    <xf numFmtId="166" fontId="12" fillId="9" borderId="1" xfId="1" applyNumberFormat="1" applyFont="1" applyFill="1" applyBorder="1"/>
    <xf numFmtId="166" fontId="14" fillId="0" borderId="1" xfId="1" applyNumberFormat="1" applyFont="1" applyBorder="1"/>
    <xf numFmtId="0" fontId="13" fillId="3" borderId="1" xfId="0" applyFont="1" applyFill="1" applyBorder="1"/>
    <xf numFmtId="166" fontId="13" fillId="0" borderId="1" xfId="0" applyNumberFormat="1" applyFont="1" applyBorder="1"/>
    <xf numFmtId="3" fontId="12" fillId="0" borderId="1" xfId="0" applyNumberFormat="1" applyFont="1" applyBorder="1"/>
    <xf numFmtId="43" fontId="13" fillId="0" borderId="1" xfId="0" applyNumberFormat="1" applyFont="1" applyBorder="1"/>
    <xf numFmtId="0" fontId="14" fillId="0" borderId="1" xfId="0" applyFont="1" applyBorder="1" applyAlignment="1">
      <alignment horizontal="left"/>
    </xf>
    <xf numFmtId="0" fontId="12" fillId="5" borderId="1" xfId="0" applyFont="1" applyFill="1" applyBorder="1" applyAlignment="1">
      <alignment wrapText="1"/>
    </xf>
    <xf numFmtId="166" fontId="13" fillId="5" borderId="1" xfId="0" applyNumberFormat="1" applyFont="1" applyFill="1" applyBorder="1"/>
    <xf numFmtId="0" fontId="13" fillId="5" borderId="1" xfId="0" applyFont="1" applyFill="1" applyBorder="1" applyAlignment="1">
      <alignment wrapText="1"/>
    </xf>
    <xf numFmtId="166" fontId="0" fillId="0" borderId="0" xfId="0" applyNumberFormat="1"/>
    <xf numFmtId="0" fontId="7" fillId="0" borderId="0" xfId="0" applyFont="1"/>
    <xf numFmtId="166" fontId="15" fillId="0" borderId="1" xfId="1" applyNumberFormat="1" applyFont="1" applyBorder="1"/>
    <xf numFmtId="166" fontId="15" fillId="10" borderId="1" xfId="1" applyNumberFormat="1" applyFont="1" applyFill="1" applyBorder="1"/>
    <xf numFmtId="166" fontId="15" fillId="0" borderId="1" xfId="1" applyNumberFormat="1" applyFont="1" applyFill="1" applyBorder="1"/>
    <xf numFmtId="166" fontId="15" fillId="0" borderId="1" xfId="1" applyNumberFormat="1" applyFont="1" applyBorder="1" applyAlignment="1"/>
    <xf numFmtId="166" fontId="5" fillId="0" borderId="0" xfId="0" applyNumberFormat="1" applyFont="1"/>
    <xf numFmtId="166" fontId="19" fillId="0" borderId="0" xfId="0" applyNumberFormat="1" applyFont="1"/>
    <xf numFmtId="166" fontId="0" fillId="0" borderId="0" xfId="1" applyNumberFormat="1" applyFont="1"/>
    <xf numFmtId="164" fontId="0" fillId="0" borderId="0" xfId="0" applyNumberFormat="1"/>
    <xf numFmtId="0" fontId="7" fillId="6" borderId="0" xfId="0" applyFont="1" applyFill="1" applyAlignment="1">
      <alignment wrapText="1"/>
    </xf>
    <xf numFmtId="9" fontId="0" fillId="0" borderId="0" xfId="2" applyFont="1"/>
    <xf numFmtId="0" fontId="0" fillId="0" borderId="0" xfId="0" applyAlignment="1">
      <alignment horizontal="center" vertical="center" wrapText="1"/>
    </xf>
    <xf numFmtId="0" fontId="0" fillId="2" borderId="0" xfId="0" applyFill="1" applyAlignment="1">
      <alignment horizontal="left"/>
    </xf>
    <xf numFmtId="166" fontId="0" fillId="2" borderId="0" xfId="0" applyNumberFormat="1" applyFill="1"/>
    <xf numFmtId="169" fontId="0" fillId="0" borderId="0" xfId="0" applyNumberFormat="1"/>
    <xf numFmtId="169" fontId="0" fillId="2" borderId="0" xfId="0" applyNumberFormat="1" applyFill="1"/>
    <xf numFmtId="170" fontId="0" fillId="0" borderId="0" xfId="1" applyNumberFormat="1" applyFont="1"/>
    <xf numFmtId="0" fontId="20" fillId="0" borderId="0" xfId="0" applyFont="1" applyAlignment="1">
      <alignment vertical="center"/>
    </xf>
    <xf numFmtId="166" fontId="20" fillId="0" borderId="0" xfId="0" applyNumberFormat="1" applyFont="1" applyAlignment="1">
      <alignment vertical="center"/>
    </xf>
    <xf numFmtId="9" fontId="20" fillId="0" borderId="0" xfId="0" applyNumberFormat="1" applyFont="1" applyAlignment="1">
      <alignment vertical="center"/>
    </xf>
    <xf numFmtId="0" fontId="0" fillId="0" borderId="2" xfId="0" applyBorder="1" applyAlignment="1">
      <alignment horizontal="center" vertical="center" wrapText="1"/>
    </xf>
    <xf numFmtId="166" fontId="20" fillId="0" borderId="3" xfId="0" applyNumberFormat="1" applyFont="1" applyBorder="1"/>
    <xf numFmtId="0" fontId="20" fillId="0" borderId="4" xfId="0" applyFont="1" applyBorder="1" applyAlignment="1">
      <alignment vertical="center"/>
    </xf>
    <xf numFmtId="166" fontId="20" fillId="0" borderId="4" xfId="0" applyNumberFormat="1" applyFont="1" applyBorder="1"/>
    <xf numFmtId="166" fontId="20" fillId="0" borderId="4" xfId="0" applyNumberFormat="1" applyFont="1" applyBorder="1" applyAlignment="1">
      <alignment vertical="center"/>
    </xf>
    <xf numFmtId="9" fontId="20" fillId="0" borderId="4" xfId="0" applyNumberFormat="1" applyFont="1" applyBorder="1" applyAlignment="1">
      <alignment vertical="center"/>
    </xf>
    <xf numFmtId="0" fontId="7" fillId="0" borderId="1" xfId="0" applyFont="1" applyBorder="1"/>
    <xf numFmtId="166" fontId="7" fillId="0" borderId="1" xfId="1" applyNumberFormat="1" applyFont="1" applyBorder="1"/>
    <xf numFmtId="3" fontId="7" fillId="0" borderId="1" xfId="0" applyNumberFormat="1" applyFont="1" applyBorder="1"/>
    <xf numFmtId="3" fontId="7" fillId="0" borderId="1" xfId="1" applyNumberFormat="1" applyFont="1" applyBorder="1"/>
    <xf numFmtId="0" fontId="7" fillId="6" borderId="1" xfId="0" applyFont="1" applyFill="1" applyBorder="1"/>
    <xf numFmtId="0" fontId="7" fillId="10" borderId="1" xfId="0" applyFont="1" applyFill="1" applyBorder="1"/>
    <xf numFmtId="166" fontId="7" fillId="10" borderId="1" xfId="1" applyNumberFormat="1" applyFont="1" applyFill="1" applyBorder="1"/>
    <xf numFmtId="166" fontId="7" fillId="0" borderId="1" xfId="1" applyNumberFormat="1" applyFont="1" applyFill="1" applyBorder="1"/>
    <xf numFmtId="167" fontId="7" fillId="0" borderId="1" xfId="0" applyNumberFormat="1" applyFont="1" applyBorder="1"/>
    <xf numFmtId="43" fontId="7" fillId="0" borderId="1" xfId="0" applyNumberFormat="1" applyFont="1" applyBorder="1"/>
    <xf numFmtId="0" fontId="15" fillId="0" borderId="1" xfId="0" applyFont="1" applyBorder="1"/>
    <xf numFmtId="3" fontId="15" fillId="0" borderId="1" xfId="0" applyNumberFormat="1" applyFont="1" applyBorder="1"/>
    <xf numFmtId="3" fontId="15" fillId="0" borderId="1" xfId="1" applyNumberFormat="1" applyFont="1" applyBorder="1"/>
    <xf numFmtId="0" fontId="15" fillId="6" borderId="1" xfId="0" applyFont="1" applyFill="1" applyBorder="1"/>
    <xf numFmtId="0" fontId="15" fillId="10" borderId="1" xfId="0" applyFont="1" applyFill="1" applyBorder="1"/>
    <xf numFmtId="167" fontId="15" fillId="0" borderId="1" xfId="0" applyNumberFormat="1" applyFont="1" applyBorder="1"/>
    <xf numFmtId="43" fontId="15" fillId="6" borderId="1" xfId="0" applyNumberFormat="1" applyFont="1" applyFill="1" applyBorder="1"/>
    <xf numFmtId="43" fontId="15" fillId="0" borderId="1" xfId="0" applyNumberFormat="1" applyFont="1" applyBorder="1"/>
    <xf numFmtId="3" fontId="7" fillId="2" borderId="1" xfId="0" applyNumberFormat="1" applyFont="1" applyFill="1" applyBorder="1"/>
    <xf numFmtId="166" fontId="22" fillId="0" borderId="1" xfId="1" applyNumberFormat="1" applyFont="1" applyBorder="1"/>
    <xf numFmtId="3" fontId="15" fillId="2" borderId="1" xfId="0" applyNumberFormat="1" applyFont="1" applyFill="1" applyBorder="1"/>
    <xf numFmtId="0" fontId="21" fillId="11" borderId="1" xfId="0" applyFont="1" applyFill="1" applyBorder="1" applyAlignment="1">
      <alignment horizontal="center" vertical="center" wrapText="1"/>
    </xf>
    <xf numFmtId="3" fontId="21" fillId="11" borderId="1" xfId="0" applyNumberFormat="1" applyFont="1" applyFill="1" applyBorder="1" applyAlignment="1">
      <alignment horizontal="center" vertical="center" wrapText="1"/>
    </xf>
    <xf numFmtId="0" fontId="21" fillId="0" borderId="1" xfId="0" applyFont="1" applyBorder="1" applyAlignment="1">
      <alignment horizontal="center" vertical="center" wrapText="1"/>
    </xf>
    <xf numFmtId="3" fontId="7" fillId="6" borderId="1" xfId="0" applyNumberFormat="1" applyFont="1" applyFill="1" applyBorder="1"/>
    <xf numFmtId="1" fontId="7" fillId="0" borderId="1" xfId="0" applyNumberFormat="1" applyFont="1" applyBorder="1"/>
    <xf numFmtId="166" fontId="5" fillId="0" borderId="0" xfId="1" applyNumberFormat="1" applyFont="1"/>
    <xf numFmtId="166" fontId="18" fillId="0" borderId="0" xfId="1" applyNumberFormat="1" applyFont="1"/>
    <xf numFmtId="166" fontId="15" fillId="0" borderId="0" xfId="1" applyNumberFormat="1" applyFont="1"/>
    <xf numFmtId="166" fontId="18" fillId="0" borderId="0" xfId="1" applyNumberFormat="1" applyFont="1" applyFill="1"/>
    <xf numFmtId="166" fontId="15" fillId="0" borderId="0" xfId="1" applyNumberFormat="1" applyFont="1" applyFill="1"/>
    <xf numFmtId="43" fontId="7" fillId="2" borderId="1" xfId="0" applyNumberFormat="1" applyFont="1" applyFill="1" applyBorder="1"/>
    <xf numFmtId="0" fontId="15" fillId="5" borderId="1" xfId="0" applyFont="1" applyFill="1" applyBorder="1"/>
    <xf numFmtId="3" fontId="23" fillId="0" borderId="1" xfId="0" applyNumberFormat="1" applyFont="1" applyBorder="1"/>
    <xf numFmtId="0" fontId="0" fillId="0" borderId="0" xfId="0" applyAlignment="1">
      <alignment horizontal="left" indent="1"/>
    </xf>
    <xf numFmtId="1" fontId="0" fillId="0" borderId="0" xfId="0" applyNumberFormat="1"/>
    <xf numFmtId="165" fontId="0" fillId="0" borderId="0" xfId="0" applyNumberFormat="1"/>
    <xf numFmtId="166" fontId="15" fillId="10" borderId="1" xfId="0" applyNumberFormat="1" applyFont="1" applyFill="1" applyBorder="1"/>
    <xf numFmtId="43" fontId="0" fillId="0" borderId="0" xfId="0" applyNumberFormat="1"/>
    <xf numFmtId="0" fontId="0" fillId="0" borderId="0" xfId="0" applyNumberFormat="1"/>
  </cellXfs>
  <cellStyles count="3">
    <cellStyle name="Comma" xfId="1" builtinId="3"/>
    <cellStyle name="Normal" xfId="0" builtinId="0"/>
    <cellStyle name="Percent" xfId="2" builtinId="5"/>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70" formatCode="_-* #,##0.000_-;\-* #,##0.000_-;_-* &quot;-&quot;??_-;_-@_-"/>
    </dxf>
    <dxf>
      <numFmt numFmtId="170" formatCode="_-* #,##0.000_-;\-* #,##0.000_-;_-* &quot;-&quot;??_-;_-@_-"/>
    </dxf>
    <dxf>
      <numFmt numFmtId="165" formatCode="0.0%"/>
    </dxf>
    <dxf>
      <font>
        <b val="0"/>
        <i val="0"/>
        <strike val="0"/>
        <condense val="0"/>
        <extend val="0"/>
        <outline val="0"/>
        <shadow val="0"/>
        <u val="none"/>
        <vertAlign val="baseline"/>
        <sz val="11"/>
        <color theme="1"/>
        <name val="Calibri"/>
        <family val="2"/>
        <scheme val="minor"/>
      </font>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1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_-* #,##0_-;\-* #,##0_-;_-* &quot;-&quot;??_-;_-@_-"/>
      <fill>
        <patternFill patternType="none">
          <fgColor indexed="64"/>
          <bgColor indexed="65"/>
        </patternFill>
      </fill>
      <border diagonalUp="0" diagonalDown="0">
        <left/>
        <right/>
        <top style="thin">
          <color rgb="FF8EA9DB"/>
        </top>
        <bottom/>
        <vertical/>
        <horizontal/>
      </border>
    </dxf>
    <dxf>
      <font>
        <b val="0"/>
        <i val="0"/>
        <strike val="0"/>
        <condense val="0"/>
        <extend val="0"/>
        <outline val="0"/>
        <shadow val="0"/>
        <u val="none"/>
        <vertAlign val="baseline"/>
        <sz val="11"/>
        <color indexed="8"/>
        <name val="Calibri"/>
        <family val="2"/>
        <scheme val="none"/>
      </font>
      <numFmt numFmtId="166" formatCode="_-* #,##0_-;\-* #,##0_-;_-* &quot;-&quot;??_-;_-@_-"/>
      <fill>
        <patternFill patternType="none">
          <fgColor indexed="64"/>
          <bgColor indexed="65"/>
        </patternFill>
      </fill>
      <border diagonalUp="0" diagonalDown="0">
        <left/>
        <right/>
        <top style="thin">
          <color rgb="FF8EA9DB"/>
        </top>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theme="9" tint="-0.499984740745262"/>
      </font>
    </dxf>
    <dxf>
      <font>
        <color rgb="FFFF0000"/>
      </font>
    </dxf>
    <dxf>
      <numFmt numFmtId="166" formatCode="_-* #,##0_-;\-* #,##0_-;_-* &quot;-&quot;??_-;_-@_-"/>
    </dxf>
    <dxf>
      <numFmt numFmtId="1" formatCode="0"/>
    </dxf>
    <dxf>
      <numFmt numFmtId="166" formatCode="_-* #,##0_-;\-* #,##0_-;_-* &quot;-&quot;??_-;_-@_-"/>
    </dxf>
    <dxf>
      <numFmt numFmtId="35" formatCode="_-* #,##0.00_-;\-* #,##0.0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2.xml"/><Relationship Id="rId47" Type="http://schemas.openxmlformats.org/officeDocument/2006/relationships/theme" Target="theme/theme1.xml"/><Relationship Id="rId50"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6.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strRef>
              <c:f>densities!$F$1</c:f>
              <c:strCache>
                <c:ptCount val="1"/>
                <c:pt idx="0">
                  <c:v>Doctors, Nurses and midwives density 2022</c:v>
                </c:pt>
              </c:strCache>
            </c:strRef>
          </c:tx>
          <c:spPr>
            <a:solidFill>
              <a:srgbClr val="00B0F0"/>
            </a:solidFill>
            <a:ln>
              <a:noFill/>
            </a:ln>
            <a:effectLst/>
          </c:spPr>
          <c:invertIfNegative val="0"/>
          <c:dPt>
            <c:idx val="33"/>
            <c:invertIfNegative val="0"/>
            <c:bubble3D val="0"/>
            <c:spPr>
              <a:solidFill>
                <a:srgbClr val="92D050"/>
              </a:solidFill>
              <a:ln>
                <a:noFill/>
              </a:ln>
              <a:effectLst/>
            </c:spPr>
            <c:extLst>
              <c:ext xmlns:c16="http://schemas.microsoft.com/office/drawing/2014/chart" uri="{C3380CC4-5D6E-409C-BE32-E72D297353CC}">
                <c16:uniqueId val="{00000003-93B4-4622-8D73-55107A3D58F0}"/>
              </c:ext>
            </c:extLst>
          </c:dPt>
          <c:cat>
            <c:strRef>
              <c:f>densities!$A$2:$A$49</c:f>
              <c:strCache>
                <c:ptCount val="48"/>
                <c:pt idx="0">
                  <c:v>Lesotho</c:v>
                </c:pt>
                <c:pt idx="1">
                  <c:v>Niger</c:v>
                </c:pt>
                <c:pt idx="2">
                  <c:v>Central African Republic</c:v>
                </c:pt>
                <c:pt idx="3">
                  <c:v> Madagascar</c:v>
                </c:pt>
                <c:pt idx="4">
                  <c:v>United Republic of Tanzania</c:v>
                </c:pt>
                <c:pt idx="5">
                  <c:v> Chad</c:v>
                </c:pt>
                <c:pt idx="6">
                  <c:v> Guinea</c:v>
                </c:pt>
                <c:pt idx="7">
                  <c:v> Mali</c:v>
                </c:pt>
                <c:pt idx="8">
                  <c:v> Malawi</c:v>
                </c:pt>
                <c:pt idx="9">
                  <c:v> Senegal</c:v>
                </c:pt>
                <c:pt idx="10">
                  <c:v>Togo</c:v>
                </c:pt>
                <c:pt idx="11">
                  <c:v> Mozambique</c:v>
                </c:pt>
                <c:pt idx="12">
                  <c:v> Rwanda</c:v>
                </c:pt>
                <c:pt idx="13">
                  <c:v>Sao Tome and Principe</c:v>
                </c:pt>
                <c:pt idx="14">
                  <c:v> South Sudan</c:v>
                </c:pt>
                <c:pt idx="15">
                  <c:v> Kenya</c:v>
                </c:pt>
                <c:pt idx="16">
                  <c:v> Gambia</c:v>
                </c:pt>
                <c:pt idx="17">
                  <c:v> Benin</c:v>
                </c:pt>
                <c:pt idx="18">
                  <c:v> Cameroon</c:v>
                </c:pt>
                <c:pt idx="19">
                  <c:v> Burundi</c:v>
                </c:pt>
                <c:pt idx="20">
                  <c:v> South Africa</c:v>
                </c:pt>
                <c:pt idx="21">
                  <c:v> Ethiopia</c:v>
                </c:pt>
                <c:pt idx="22">
                  <c:v>Comoros</c:v>
                </c:pt>
                <c:pt idx="23">
                  <c:v> Côte d'Ivoire</c:v>
                </c:pt>
                <c:pt idx="24">
                  <c:v> Equatorial Guinea</c:v>
                </c:pt>
                <c:pt idx="25">
                  <c:v> Liberia</c:v>
                </c:pt>
                <c:pt idx="26">
                  <c:v> Cabo Verde</c:v>
                </c:pt>
                <c:pt idx="27">
                  <c:v> Sierra Leone</c:v>
                </c:pt>
                <c:pt idx="28">
                  <c:v>Burkina Faso</c:v>
                </c:pt>
                <c:pt idx="29">
                  <c:v> Guinea-Bissau</c:v>
                </c:pt>
                <c:pt idx="30">
                  <c:v> Congo</c:v>
                </c:pt>
                <c:pt idx="31">
                  <c:v>Democratic  Republic of Congo</c:v>
                </c:pt>
                <c:pt idx="32">
                  <c:v> Eritrea</c:v>
                </c:pt>
                <c:pt idx="33">
                  <c:v>AFRO</c:v>
                </c:pt>
                <c:pt idx="34">
                  <c:v> Angola</c:v>
                </c:pt>
                <c:pt idx="35">
                  <c:v>Algeria</c:v>
                </c:pt>
                <c:pt idx="36">
                  <c:v>Mauritania</c:v>
                </c:pt>
                <c:pt idx="37">
                  <c:v> Nigeria</c:v>
                </c:pt>
                <c:pt idx="38">
                  <c:v> Zimbabwe</c:v>
                </c:pt>
                <c:pt idx="39">
                  <c:v> Zambia</c:v>
                </c:pt>
                <c:pt idx="40">
                  <c:v> Uganda</c:v>
                </c:pt>
                <c:pt idx="41">
                  <c:v>Gabon</c:v>
                </c:pt>
                <c:pt idx="42">
                  <c:v> Botswana</c:v>
                </c:pt>
                <c:pt idx="43">
                  <c:v> Ghana</c:v>
                </c:pt>
                <c:pt idx="44">
                  <c:v> Namibia</c:v>
                </c:pt>
                <c:pt idx="45">
                  <c:v> Mauritius</c:v>
                </c:pt>
                <c:pt idx="46">
                  <c:v>Eswatini</c:v>
                </c:pt>
                <c:pt idx="47">
                  <c:v> Seychelles</c:v>
                </c:pt>
              </c:strCache>
            </c:strRef>
          </c:cat>
          <c:val>
            <c:numRef>
              <c:f>densities!$F$2:$F$49</c:f>
              <c:numCache>
                <c:formatCode>0.00</c:formatCode>
                <c:ptCount val="48"/>
                <c:pt idx="0">
                  <c:v>3.2439575327794725</c:v>
                </c:pt>
                <c:pt idx="1">
                  <c:v>4.5715089831525146</c:v>
                </c:pt>
                <c:pt idx="2">
                  <c:v>4.8468482979545486</c:v>
                </c:pt>
                <c:pt idx="3">
                  <c:v>4.87</c:v>
                </c:pt>
                <c:pt idx="4">
                  <c:v>6</c:v>
                </c:pt>
                <c:pt idx="5">
                  <c:v>6.0615072874771805</c:v>
                </c:pt>
                <c:pt idx="6">
                  <c:v>8.0407866449345082</c:v>
                </c:pt>
                <c:pt idx="7">
                  <c:v>11.025250723208414</c:v>
                </c:pt>
                <c:pt idx="8">
                  <c:v>11.044670637674246</c:v>
                </c:pt>
                <c:pt idx="9">
                  <c:v>11.524302702014715</c:v>
                </c:pt>
                <c:pt idx="10">
                  <c:v>12.011935992620833</c:v>
                </c:pt>
                <c:pt idx="11">
                  <c:v>12.111186883120538</c:v>
                </c:pt>
                <c:pt idx="12">
                  <c:v>13.190000000000001</c:v>
                </c:pt>
                <c:pt idx="13">
                  <c:v>14.34</c:v>
                </c:pt>
                <c:pt idx="14">
                  <c:v>15.18</c:v>
                </c:pt>
                <c:pt idx="15">
                  <c:v>15.340709813136417</c:v>
                </c:pt>
                <c:pt idx="16">
                  <c:v>15.973996137376364</c:v>
                </c:pt>
                <c:pt idx="17">
                  <c:v>16.073705236569474</c:v>
                </c:pt>
                <c:pt idx="18">
                  <c:v>16.177592631710013</c:v>
                </c:pt>
                <c:pt idx="19">
                  <c:v>16.608753273488389</c:v>
                </c:pt>
                <c:pt idx="20">
                  <c:v>16.684498677479077</c:v>
                </c:pt>
                <c:pt idx="21">
                  <c:v>17.849905557366419</c:v>
                </c:pt>
                <c:pt idx="22">
                  <c:v>18.73</c:v>
                </c:pt>
                <c:pt idx="23">
                  <c:v>19.412978283355155</c:v>
                </c:pt>
                <c:pt idx="24">
                  <c:v>19.547342301786127</c:v>
                </c:pt>
                <c:pt idx="25">
                  <c:v>19.693811488943037</c:v>
                </c:pt>
                <c:pt idx="26">
                  <c:v>20.27</c:v>
                </c:pt>
                <c:pt idx="27">
                  <c:v>23.248495941884208</c:v>
                </c:pt>
                <c:pt idx="28">
                  <c:v>23.85885500606383</c:v>
                </c:pt>
                <c:pt idx="29">
                  <c:v>23.922314456615108</c:v>
                </c:pt>
                <c:pt idx="30">
                  <c:v>25.624645753802405</c:v>
                </c:pt>
                <c:pt idx="31">
                  <c:v>27.562611420325005</c:v>
                </c:pt>
                <c:pt idx="32">
                  <c:v>29.131129850545509</c:v>
                </c:pt>
                <c:pt idx="33">
                  <c:v>29.162224013927073</c:v>
                </c:pt>
                <c:pt idx="34">
                  <c:v>31.280182265373249</c:v>
                </c:pt>
                <c:pt idx="35">
                  <c:v>32.9</c:v>
                </c:pt>
                <c:pt idx="36">
                  <c:v>37.840950191706796</c:v>
                </c:pt>
                <c:pt idx="37">
                  <c:v>41.525897736683859</c:v>
                </c:pt>
                <c:pt idx="38">
                  <c:v>46.621627707470665</c:v>
                </c:pt>
                <c:pt idx="39">
                  <c:v>48.448183917462934</c:v>
                </c:pt>
                <c:pt idx="40">
                  <c:v>49.050589544860578</c:v>
                </c:pt>
                <c:pt idx="41">
                  <c:v>55.362249986134309</c:v>
                </c:pt>
                <c:pt idx="42">
                  <c:v>68.585436772135097</c:v>
                </c:pt>
                <c:pt idx="43">
                  <c:v>78.594520790728922</c:v>
                </c:pt>
                <c:pt idx="44">
                  <c:v>78.830936740666445</c:v>
                </c:pt>
                <c:pt idx="45">
                  <c:v>84.83465169234519</c:v>
                </c:pt>
                <c:pt idx="46">
                  <c:v>97.455999793620663</c:v>
                </c:pt>
                <c:pt idx="47">
                  <c:v>115.52</c:v>
                </c:pt>
              </c:numCache>
            </c:numRef>
          </c:val>
          <c:extLst>
            <c:ext xmlns:c16="http://schemas.microsoft.com/office/drawing/2014/chart" uri="{C3380CC4-5D6E-409C-BE32-E72D297353CC}">
              <c16:uniqueId val="{00000002-93B4-4622-8D73-55107A3D58F0}"/>
            </c:ext>
          </c:extLst>
        </c:ser>
        <c:dLbls>
          <c:showLegendKey val="0"/>
          <c:showVal val="0"/>
          <c:showCatName val="0"/>
          <c:showSerName val="0"/>
          <c:showPercent val="0"/>
          <c:showBubbleSize val="0"/>
        </c:dLbls>
        <c:gapWidth val="50"/>
        <c:axId val="750227247"/>
        <c:axId val="815111039"/>
      </c:barChart>
      <c:scatterChart>
        <c:scatterStyle val="lineMarker"/>
        <c:varyColors val="0"/>
        <c:ser>
          <c:idx val="0"/>
          <c:order val="0"/>
          <c:tx>
            <c:strRef>
              <c:f>densities!$B$1</c:f>
              <c:strCache>
                <c:ptCount val="1"/>
                <c:pt idx="0">
                  <c:v>Doctors, Nurses and midwives density 2012</c:v>
                </c:pt>
              </c:strCache>
            </c:strRef>
          </c:tx>
          <c:spPr>
            <a:ln w="25400" cap="rnd">
              <a:noFill/>
              <a:round/>
            </a:ln>
            <a:effectLst/>
          </c:spPr>
          <c:marker>
            <c:symbol val="circle"/>
            <c:size val="5"/>
            <c:spPr>
              <a:solidFill>
                <a:schemeClr val="accent1"/>
              </a:solidFill>
              <a:ln w="9525">
                <a:solidFill>
                  <a:schemeClr val="accent1"/>
                </a:solidFill>
              </a:ln>
              <a:effectLst/>
            </c:spPr>
          </c:marker>
          <c:xVal>
            <c:strRef>
              <c:f>densities!$A$2:$A$49</c:f>
              <c:strCache>
                <c:ptCount val="48"/>
                <c:pt idx="0">
                  <c:v>Lesotho</c:v>
                </c:pt>
                <c:pt idx="1">
                  <c:v>Niger</c:v>
                </c:pt>
                <c:pt idx="2">
                  <c:v>Central African Republic</c:v>
                </c:pt>
                <c:pt idx="3">
                  <c:v> Madagascar</c:v>
                </c:pt>
                <c:pt idx="4">
                  <c:v>United Republic of Tanzania</c:v>
                </c:pt>
                <c:pt idx="5">
                  <c:v> Chad</c:v>
                </c:pt>
                <c:pt idx="6">
                  <c:v> Guinea</c:v>
                </c:pt>
                <c:pt idx="7">
                  <c:v> Mali</c:v>
                </c:pt>
                <c:pt idx="8">
                  <c:v> Malawi</c:v>
                </c:pt>
                <c:pt idx="9">
                  <c:v> Senegal</c:v>
                </c:pt>
                <c:pt idx="10">
                  <c:v>Togo</c:v>
                </c:pt>
                <c:pt idx="11">
                  <c:v> Mozambique</c:v>
                </c:pt>
                <c:pt idx="12">
                  <c:v> Rwanda</c:v>
                </c:pt>
                <c:pt idx="13">
                  <c:v>Sao Tome and Principe</c:v>
                </c:pt>
                <c:pt idx="14">
                  <c:v> South Sudan</c:v>
                </c:pt>
                <c:pt idx="15">
                  <c:v> Kenya</c:v>
                </c:pt>
                <c:pt idx="16">
                  <c:v> Gambia</c:v>
                </c:pt>
                <c:pt idx="17">
                  <c:v> Benin</c:v>
                </c:pt>
                <c:pt idx="18">
                  <c:v> Cameroon</c:v>
                </c:pt>
                <c:pt idx="19">
                  <c:v> Burundi</c:v>
                </c:pt>
                <c:pt idx="20">
                  <c:v> South Africa</c:v>
                </c:pt>
                <c:pt idx="21">
                  <c:v> Ethiopia</c:v>
                </c:pt>
                <c:pt idx="22">
                  <c:v>Comoros</c:v>
                </c:pt>
                <c:pt idx="23">
                  <c:v> Côte d'Ivoire</c:v>
                </c:pt>
                <c:pt idx="24">
                  <c:v> Equatorial Guinea</c:v>
                </c:pt>
                <c:pt idx="25">
                  <c:v> Liberia</c:v>
                </c:pt>
                <c:pt idx="26">
                  <c:v> Cabo Verde</c:v>
                </c:pt>
                <c:pt idx="27">
                  <c:v> Sierra Leone</c:v>
                </c:pt>
                <c:pt idx="28">
                  <c:v>Burkina Faso</c:v>
                </c:pt>
                <c:pt idx="29">
                  <c:v> Guinea-Bissau</c:v>
                </c:pt>
                <c:pt idx="30">
                  <c:v> Congo</c:v>
                </c:pt>
                <c:pt idx="31">
                  <c:v>Democratic  Republic of Congo</c:v>
                </c:pt>
                <c:pt idx="32">
                  <c:v> Eritrea</c:v>
                </c:pt>
                <c:pt idx="33">
                  <c:v>AFRO</c:v>
                </c:pt>
                <c:pt idx="34">
                  <c:v> Angola</c:v>
                </c:pt>
                <c:pt idx="35">
                  <c:v>Algeria</c:v>
                </c:pt>
                <c:pt idx="36">
                  <c:v>Mauritania</c:v>
                </c:pt>
                <c:pt idx="37">
                  <c:v> Nigeria</c:v>
                </c:pt>
                <c:pt idx="38">
                  <c:v> Zimbabwe</c:v>
                </c:pt>
                <c:pt idx="39">
                  <c:v> Zambia</c:v>
                </c:pt>
                <c:pt idx="40">
                  <c:v> Uganda</c:v>
                </c:pt>
                <c:pt idx="41">
                  <c:v>Gabon</c:v>
                </c:pt>
                <c:pt idx="42">
                  <c:v> Botswana</c:v>
                </c:pt>
                <c:pt idx="43">
                  <c:v> Ghana</c:v>
                </c:pt>
                <c:pt idx="44">
                  <c:v> Namibia</c:v>
                </c:pt>
                <c:pt idx="45">
                  <c:v> Mauritius</c:v>
                </c:pt>
                <c:pt idx="46">
                  <c:v>Eswatini</c:v>
                </c:pt>
                <c:pt idx="47">
                  <c:v> Seychelles</c:v>
                </c:pt>
              </c:strCache>
            </c:strRef>
          </c:xVal>
          <c:yVal>
            <c:numRef>
              <c:f>densities!$B$2:$B$49</c:f>
              <c:numCache>
                <c:formatCode>0.00</c:formatCode>
                <c:ptCount val="48"/>
                <c:pt idx="0">
                  <c:v>6.0717944607399872</c:v>
                </c:pt>
                <c:pt idx="1">
                  <c:v>2.0563196545561206</c:v>
                </c:pt>
                <c:pt idx="2">
                  <c:v>2.140583665118593</c:v>
                </c:pt>
                <c:pt idx="3">
                  <c:v>7.0068065125157624</c:v>
                </c:pt>
                <c:pt idx="4">
                  <c:v>9.3252985763915337</c:v>
                </c:pt>
                <c:pt idx="5">
                  <c:v>6.4053784481045959</c:v>
                </c:pt>
                <c:pt idx="6">
                  <c:v>14.352312205937412</c:v>
                </c:pt>
                <c:pt idx="7">
                  <c:v>9.4334212934220361</c:v>
                </c:pt>
                <c:pt idx="8">
                  <c:v>4.7339196733208535</c:v>
                </c:pt>
                <c:pt idx="9">
                  <c:v>5.8357263623936824</c:v>
                </c:pt>
                <c:pt idx="10">
                  <c:v>2.3120560848798992</c:v>
                </c:pt>
                <c:pt idx="11">
                  <c:v>9.3475839680726729</c:v>
                </c:pt>
                <c:pt idx="12">
                  <c:v>3.1095318636711702</c:v>
                </c:pt>
                <c:pt idx="13">
                  <c:v>24.67</c:v>
                </c:pt>
                <c:pt idx="14">
                  <c:v>2.881317367113417E-2</c:v>
                </c:pt>
                <c:pt idx="15">
                  <c:v>31.954127592820953</c:v>
                </c:pt>
                <c:pt idx="16">
                  <c:v>23.15365155210009</c:v>
                </c:pt>
                <c:pt idx="17">
                  <c:v>13.243355342181514</c:v>
                </c:pt>
                <c:pt idx="18">
                  <c:v>17.43</c:v>
                </c:pt>
                <c:pt idx="19">
                  <c:v>14.292307706442939</c:v>
                </c:pt>
                <c:pt idx="20">
                  <c:v>22.098772617188889</c:v>
                </c:pt>
                <c:pt idx="21">
                  <c:v>3.3499999999999996</c:v>
                </c:pt>
                <c:pt idx="22">
                  <c:v>23.080771745045126</c:v>
                </c:pt>
                <c:pt idx="23">
                  <c:v>11.242912124304898</c:v>
                </c:pt>
                <c:pt idx="24">
                  <c:v>5.13</c:v>
                </c:pt>
                <c:pt idx="25">
                  <c:v>3.6410350523031756</c:v>
                </c:pt>
                <c:pt idx="26">
                  <c:v>30.382269641706497</c:v>
                </c:pt>
                <c:pt idx="27">
                  <c:v>23.813836275352912</c:v>
                </c:pt>
                <c:pt idx="28">
                  <c:v>13.142661894475681</c:v>
                </c:pt>
                <c:pt idx="29">
                  <c:v>10.44910845367626</c:v>
                </c:pt>
                <c:pt idx="30">
                  <c:v>18.935116158818431</c:v>
                </c:pt>
                <c:pt idx="31">
                  <c:v>18.455208445965461</c:v>
                </c:pt>
                <c:pt idx="32">
                  <c:v>27.154136660147369</c:v>
                </c:pt>
                <c:pt idx="33">
                  <c:v>21.070413469683462</c:v>
                </c:pt>
                <c:pt idx="34">
                  <c:v>14.47</c:v>
                </c:pt>
                <c:pt idx="35">
                  <c:v>34.11</c:v>
                </c:pt>
                <c:pt idx="36">
                  <c:v>23.251614420788655</c:v>
                </c:pt>
                <c:pt idx="37">
                  <c:v>27.695228985034962</c:v>
                </c:pt>
                <c:pt idx="38">
                  <c:v>25.020106923830241</c:v>
                </c:pt>
                <c:pt idx="39">
                  <c:v>3.6403076709802518</c:v>
                </c:pt>
                <c:pt idx="40">
                  <c:v>25.784506566993329</c:v>
                </c:pt>
                <c:pt idx="41">
                  <c:v>50.62</c:v>
                </c:pt>
                <c:pt idx="42">
                  <c:v>60.999560775581593</c:v>
                </c:pt>
                <c:pt idx="43">
                  <c:v>10.184701897655485</c:v>
                </c:pt>
                <c:pt idx="44">
                  <c:v>37.799783171770592</c:v>
                </c:pt>
                <c:pt idx="45">
                  <c:v>84.7181113091074</c:v>
                </c:pt>
                <c:pt idx="46">
                  <c:v>66.796683236178595</c:v>
                </c:pt>
                <c:pt idx="47">
                  <c:v>107.44001091187613</c:v>
                </c:pt>
              </c:numCache>
            </c:numRef>
          </c:yVal>
          <c:smooth val="0"/>
          <c:extLst>
            <c:ext xmlns:c16="http://schemas.microsoft.com/office/drawing/2014/chart" uri="{C3380CC4-5D6E-409C-BE32-E72D297353CC}">
              <c16:uniqueId val="{00000000-93B4-4622-8D73-55107A3D58F0}"/>
            </c:ext>
          </c:extLst>
        </c:ser>
        <c:ser>
          <c:idx val="1"/>
          <c:order val="1"/>
          <c:tx>
            <c:strRef>
              <c:f>densities!$D$1</c:f>
              <c:strCache>
                <c:ptCount val="1"/>
                <c:pt idx="0">
                  <c:v>Doctors, Nurses and midwives density 2017</c:v>
                </c:pt>
              </c:strCache>
            </c:strRef>
          </c:tx>
          <c:spPr>
            <a:ln w="25400" cap="rnd">
              <a:noFill/>
              <a:round/>
            </a:ln>
            <a:effectLst/>
          </c:spPr>
          <c:marker>
            <c:symbol val="circle"/>
            <c:size val="5"/>
            <c:spPr>
              <a:solidFill>
                <a:schemeClr val="accent2"/>
              </a:solidFill>
              <a:ln w="9525">
                <a:solidFill>
                  <a:schemeClr val="accent2"/>
                </a:solidFill>
              </a:ln>
              <a:effectLst/>
            </c:spPr>
          </c:marker>
          <c:xVal>
            <c:strRef>
              <c:f>densities!$A$2:$A$49</c:f>
              <c:strCache>
                <c:ptCount val="48"/>
                <c:pt idx="0">
                  <c:v>Lesotho</c:v>
                </c:pt>
                <c:pt idx="1">
                  <c:v>Niger</c:v>
                </c:pt>
                <c:pt idx="2">
                  <c:v>Central African Republic</c:v>
                </c:pt>
                <c:pt idx="3">
                  <c:v> Madagascar</c:v>
                </c:pt>
                <c:pt idx="4">
                  <c:v>United Republic of Tanzania</c:v>
                </c:pt>
                <c:pt idx="5">
                  <c:v> Chad</c:v>
                </c:pt>
                <c:pt idx="6">
                  <c:v> Guinea</c:v>
                </c:pt>
                <c:pt idx="7">
                  <c:v> Mali</c:v>
                </c:pt>
                <c:pt idx="8">
                  <c:v> Malawi</c:v>
                </c:pt>
                <c:pt idx="9">
                  <c:v> Senegal</c:v>
                </c:pt>
                <c:pt idx="10">
                  <c:v>Togo</c:v>
                </c:pt>
                <c:pt idx="11">
                  <c:v> Mozambique</c:v>
                </c:pt>
                <c:pt idx="12">
                  <c:v> Rwanda</c:v>
                </c:pt>
                <c:pt idx="13">
                  <c:v>Sao Tome and Principe</c:v>
                </c:pt>
                <c:pt idx="14">
                  <c:v> South Sudan</c:v>
                </c:pt>
                <c:pt idx="15">
                  <c:v> Kenya</c:v>
                </c:pt>
                <c:pt idx="16">
                  <c:v> Gambia</c:v>
                </c:pt>
                <c:pt idx="17">
                  <c:v> Benin</c:v>
                </c:pt>
                <c:pt idx="18">
                  <c:v> Cameroon</c:v>
                </c:pt>
                <c:pt idx="19">
                  <c:v> Burundi</c:v>
                </c:pt>
                <c:pt idx="20">
                  <c:v> South Africa</c:v>
                </c:pt>
                <c:pt idx="21">
                  <c:v> Ethiopia</c:v>
                </c:pt>
                <c:pt idx="22">
                  <c:v>Comoros</c:v>
                </c:pt>
                <c:pt idx="23">
                  <c:v> Côte d'Ivoire</c:v>
                </c:pt>
                <c:pt idx="24">
                  <c:v> Equatorial Guinea</c:v>
                </c:pt>
                <c:pt idx="25">
                  <c:v> Liberia</c:v>
                </c:pt>
                <c:pt idx="26">
                  <c:v> Cabo Verde</c:v>
                </c:pt>
                <c:pt idx="27">
                  <c:v> Sierra Leone</c:v>
                </c:pt>
                <c:pt idx="28">
                  <c:v>Burkina Faso</c:v>
                </c:pt>
                <c:pt idx="29">
                  <c:v> Guinea-Bissau</c:v>
                </c:pt>
                <c:pt idx="30">
                  <c:v> Congo</c:v>
                </c:pt>
                <c:pt idx="31">
                  <c:v>Democratic  Republic of Congo</c:v>
                </c:pt>
                <c:pt idx="32">
                  <c:v> Eritrea</c:v>
                </c:pt>
                <c:pt idx="33">
                  <c:v>AFRO</c:v>
                </c:pt>
                <c:pt idx="34">
                  <c:v> Angola</c:v>
                </c:pt>
                <c:pt idx="35">
                  <c:v>Algeria</c:v>
                </c:pt>
                <c:pt idx="36">
                  <c:v>Mauritania</c:v>
                </c:pt>
                <c:pt idx="37">
                  <c:v> Nigeria</c:v>
                </c:pt>
                <c:pt idx="38">
                  <c:v> Zimbabwe</c:v>
                </c:pt>
                <c:pt idx="39">
                  <c:v> Zambia</c:v>
                </c:pt>
                <c:pt idx="40">
                  <c:v> Uganda</c:v>
                </c:pt>
                <c:pt idx="41">
                  <c:v>Gabon</c:v>
                </c:pt>
                <c:pt idx="42">
                  <c:v> Botswana</c:v>
                </c:pt>
                <c:pt idx="43">
                  <c:v> Ghana</c:v>
                </c:pt>
                <c:pt idx="44">
                  <c:v> Namibia</c:v>
                </c:pt>
                <c:pt idx="45">
                  <c:v> Mauritius</c:v>
                </c:pt>
                <c:pt idx="46">
                  <c:v>Eswatini</c:v>
                </c:pt>
                <c:pt idx="47">
                  <c:v> Seychelles</c:v>
                </c:pt>
              </c:strCache>
            </c:strRef>
          </c:xVal>
          <c:yVal>
            <c:numRef>
              <c:f>densities!$D$2:$D$49</c:f>
              <c:numCache>
                <c:formatCode>0.00</c:formatCode>
                <c:ptCount val="48"/>
                <c:pt idx="0">
                  <c:v>7.25</c:v>
                </c:pt>
                <c:pt idx="1">
                  <c:v>0.43702429330641607</c:v>
                </c:pt>
                <c:pt idx="2">
                  <c:v>5.1915897905374049</c:v>
                </c:pt>
                <c:pt idx="3">
                  <c:v>2.2400086329367159</c:v>
                </c:pt>
                <c:pt idx="4">
                  <c:v>11.3530068548844</c:v>
                </c:pt>
                <c:pt idx="5">
                  <c:v>5.4859231318496136</c:v>
                </c:pt>
                <c:pt idx="6">
                  <c:v>15.9</c:v>
                </c:pt>
                <c:pt idx="7">
                  <c:v>2.3695903878725861</c:v>
                </c:pt>
                <c:pt idx="8">
                  <c:v>6.54</c:v>
                </c:pt>
                <c:pt idx="9">
                  <c:v>7.7689410325104689</c:v>
                </c:pt>
                <c:pt idx="10">
                  <c:v>10.133971407632565</c:v>
                </c:pt>
                <c:pt idx="11">
                  <c:v>11.3922425013496</c:v>
                </c:pt>
                <c:pt idx="12">
                  <c:v>7.6923460584371375</c:v>
                </c:pt>
                <c:pt idx="13" formatCode="_(* #,##0.00_);_(* \(#,##0.00\);_(* &quot;-&quot;??_);_(@_)">
                  <c:v>26.42</c:v>
                </c:pt>
                <c:pt idx="15">
                  <c:v>21.724218022843221</c:v>
                </c:pt>
                <c:pt idx="16">
                  <c:v>16.613601273149484</c:v>
                </c:pt>
                <c:pt idx="17">
                  <c:v>15.596685797517777</c:v>
                </c:pt>
                <c:pt idx="18">
                  <c:v>9.9</c:v>
                </c:pt>
                <c:pt idx="19">
                  <c:v>16.549546043854413</c:v>
                </c:pt>
                <c:pt idx="20">
                  <c:v>15.766965569476405</c:v>
                </c:pt>
                <c:pt idx="21">
                  <c:v>16.296796826080339</c:v>
                </c:pt>
                <c:pt idx="22">
                  <c:v>19.3</c:v>
                </c:pt>
                <c:pt idx="23">
                  <c:v>16.29</c:v>
                </c:pt>
                <c:pt idx="24">
                  <c:v>15.730402138562642</c:v>
                </c:pt>
                <c:pt idx="25">
                  <c:v>15.78</c:v>
                </c:pt>
                <c:pt idx="26">
                  <c:v>24.355965264428594</c:v>
                </c:pt>
                <c:pt idx="27">
                  <c:v>15.57785472491247</c:v>
                </c:pt>
                <c:pt idx="28">
                  <c:v>19.096728281258905</c:v>
                </c:pt>
                <c:pt idx="29">
                  <c:v>13.87</c:v>
                </c:pt>
                <c:pt idx="30">
                  <c:v>19.93</c:v>
                </c:pt>
                <c:pt idx="31">
                  <c:v>17.333451205673981</c:v>
                </c:pt>
                <c:pt idx="32">
                  <c:v>28.216629530226221</c:v>
                </c:pt>
                <c:pt idx="33">
                  <c:v>25.571998545159634</c:v>
                </c:pt>
                <c:pt idx="34">
                  <c:v>4.2372000476155334</c:v>
                </c:pt>
                <c:pt idx="35">
                  <c:v>44.729083477256466</c:v>
                </c:pt>
                <c:pt idx="36">
                  <c:v>25.778756300008091</c:v>
                </c:pt>
                <c:pt idx="37">
                  <c:v>25.841329764202747</c:v>
                </c:pt>
                <c:pt idx="38">
                  <c:v>56.477818164217041</c:v>
                </c:pt>
                <c:pt idx="39">
                  <c:v>18.141925621862594</c:v>
                </c:pt>
                <c:pt idx="40">
                  <c:v>33.580311153925102</c:v>
                </c:pt>
                <c:pt idx="41">
                  <c:v>73.399150693002625</c:v>
                </c:pt>
                <c:pt idx="42">
                  <c:v>69.900000000000006</c:v>
                </c:pt>
                <c:pt idx="43">
                  <c:v>46.880012602630671</c:v>
                </c:pt>
                <c:pt idx="44">
                  <c:v>53.067550110835796</c:v>
                </c:pt>
                <c:pt idx="45">
                  <c:v>113.87610104109663</c:v>
                </c:pt>
                <c:pt idx="46">
                  <c:v>80.658994494048699</c:v>
                </c:pt>
                <c:pt idx="47">
                  <c:v>89.12</c:v>
                </c:pt>
              </c:numCache>
            </c:numRef>
          </c:yVal>
          <c:smooth val="0"/>
          <c:extLst>
            <c:ext xmlns:c16="http://schemas.microsoft.com/office/drawing/2014/chart" uri="{C3380CC4-5D6E-409C-BE32-E72D297353CC}">
              <c16:uniqueId val="{00000001-93B4-4622-8D73-55107A3D58F0}"/>
            </c:ext>
          </c:extLst>
        </c:ser>
        <c:dLbls>
          <c:showLegendKey val="0"/>
          <c:showVal val="0"/>
          <c:showCatName val="0"/>
          <c:showSerName val="0"/>
          <c:showPercent val="0"/>
          <c:showBubbleSize val="0"/>
        </c:dLbls>
        <c:axId val="750227247"/>
        <c:axId val="815111039"/>
      </c:scatterChart>
      <c:catAx>
        <c:axId val="7502272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KE"/>
          </a:p>
        </c:txPr>
        <c:crossAx val="815111039"/>
        <c:crosses val="autoZero"/>
        <c:auto val="1"/>
        <c:lblAlgn val="ctr"/>
        <c:lblOffset val="100"/>
        <c:noMultiLvlLbl val="0"/>
      </c:catAx>
      <c:valAx>
        <c:axId val="81511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Density per 10,000 population</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K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KE"/>
          </a:p>
        </c:txPr>
        <c:crossAx val="750227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'anual growth'!$H$1</c:f>
              <c:strCache>
                <c:ptCount val="1"/>
                <c:pt idx="0">
                  <c:v>Annual growth 2012 - 2017</c:v>
                </c:pt>
              </c:strCache>
            </c:strRef>
          </c:tx>
          <c:spPr>
            <a:solidFill>
              <a:srgbClr val="00B0F0"/>
            </a:solidFill>
            <a:ln>
              <a:noFill/>
            </a:ln>
            <a:effectLst/>
          </c:spPr>
          <c:invertIfNegative val="0"/>
          <c:cat>
            <c:strRef>
              <c:f>'anual growth'!$A$2:$A$49</c:f>
              <c:strCache>
                <c:ptCount val="48"/>
                <c:pt idx="0">
                  <c:v>Lesotho</c:v>
                </c:pt>
                <c:pt idx="1">
                  <c:v> Guinea</c:v>
                </c:pt>
                <c:pt idx="2">
                  <c:v>United Republic of Tanzania</c:v>
                </c:pt>
                <c:pt idx="3">
                  <c:v>Sao Tome and Principe</c:v>
                </c:pt>
                <c:pt idx="4">
                  <c:v> Kenya</c:v>
                </c:pt>
                <c:pt idx="5">
                  <c:v>Algeria</c:v>
                </c:pt>
                <c:pt idx="6">
                  <c:v> Mauritius</c:v>
                </c:pt>
                <c:pt idx="7">
                  <c:v>Gabon</c:v>
                </c:pt>
                <c:pt idx="8">
                  <c:v> Zimbabwe</c:v>
                </c:pt>
                <c:pt idx="9">
                  <c:v> Cabo Verde</c:v>
                </c:pt>
                <c:pt idx="10">
                  <c:v>Central African Republic</c:v>
                </c:pt>
                <c:pt idx="11">
                  <c:v> Gambia</c:v>
                </c:pt>
                <c:pt idx="12">
                  <c:v>Comoros</c:v>
                </c:pt>
                <c:pt idx="13">
                  <c:v> Botswana</c:v>
                </c:pt>
                <c:pt idx="14">
                  <c:v> Burundi</c:v>
                </c:pt>
                <c:pt idx="15">
                  <c:v> Benin</c:v>
                </c:pt>
                <c:pt idx="16">
                  <c:v> Eritrea</c:v>
                </c:pt>
                <c:pt idx="17">
                  <c:v> South Africa</c:v>
                </c:pt>
                <c:pt idx="18">
                  <c:v> Mozambique</c:v>
                </c:pt>
                <c:pt idx="19">
                  <c:v> Ethiopia</c:v>
                </c:pt>
                <c:pt idx="20">
                  <c:v> Chad</c:v>
                </c:pt>
                <c:pt idx="21">
                  <c:v>AFRO</c:v>
                </c:pt>
                <c:pt idx="22">
                  <c:v>Togo</c:v>
                </c:pt>
                <c:pt idx="23">
                  <c:v> Côte d'Ivoire</c:v>
                </c:pt>
                <c:pt idx="24">
                  <c:v>Eswatini</c:v>
                </c:pt>
                <c:pt idx="25">
                  <c:v> Equatorial Guinea</c:v>
                </c:pt>
                <c:pt idx="26">
                  <c:v> Liberia</c:v>
                </c:pt>
                <c:pt idx="27">
                  <c:v>Burkina Faso</c:v>
                </c:pt>
                <c:pt idx="28">
                  <c:v> Congo</c:v>
                </c:pt>
                <c:pt idx="29">
                  <c:v> Seychelles</c:v>
                </c:pt>
                <c:pt idx="30">
                  <c:v> Uganda</c:v>
                </c:pt>
                <c:pt idx="31">
                  <c:v>Mauritania</c:v>
                </c:pt>
                <c:pt idx="32">
                  <c:v> Senegal</c:v>
                </c:pt>
                <c:pt idx="33">
                  <c:v> Namibia</c:v>
                </c:pt>
                <c:pt idx="34">
                  <c:v> Sierra Leone</c:v>
                </c:pt>
                <c:pt idx="35">
                  <c:v>Democratic  Republic of Congo</c:v>
                </c:pt>
                <c:pt idx="36">
                  <c:v> Nigeria</c:v>
                </c:pt>
                <c:pt idx="37">
                  <c:v> Cameroon</c:v>
                </c:pt>
                <c:pt idx="38">
                  <c:v> Ghana</c:v>
                </c:pt>
                <c:pt idx="39">
                  <c:v> Malawi</c:v>
                </c:pt>
                <c:pt idx="40">
                  <c:v> Rwanda</c:v>
                </c:pt>
                <c:pt idx="41">
                  <c:v> Guinea-Bissau</c:v>
                </c:pt>
                <c:pt idx="42">
                  <c:v> Madagascar</c:v>
                </c:pt>
                <c:pt idx="43">
                  <c:v> Zambia</c:v>
                </c:pt>
                <c:pt idx="44">
                  <c:v> Mali</c:v>
                </c:pt>
                <c:pt idx="45">
                  <c:v> Angola</c:v>
                </c:pt>
                <c:pt idx="46">
                  <c:v>Niger</c:v>
                </c:pt>
                <c:pt idx="47">
                  <c:v> South Sudan</c:v>
                </c:pt>
              </c:strCache>
            </c:strRef>
          </c:cat>
          <c:val>
            <c:numRef>
              <c:f>'anual growth'!$H$2:$H$49</c:f>
              <c:numCache>
                <c:formatCode>0.0%</c:formatCode>
                <c:ptCount val="48"/>
                <c:pt idx="0">
                  <c:v>3.6106000757879952E-2</c:v>
                </c:pt>
                <c:pt idx="1">
                  <c:v>2.0692797666185703E-2</c:v>
                </c:pt>
                <c:pt idx="2">
                  <c:v>4.0134809434269059E-2</c:v>
                </c:pt>
                <c:pt idx="3">
                  <c:v>1.3801040822836841E-2</c:v>
                </c:pt>
                <c:pt idx="4">
                  <c:v>-7.4271919558796751E-2</c:v>
                </c:pt>
                <c:pt idx="5">
                  <c:v>5.5702757623744992E-2</c:v>
                </c:pt>
                <c:pt idx="6">
                  <c:v>6.094107762532941E-2</c:v>
                </c:pt>
                <c:pt idx="7">
                  <c:v>7.7144030081788495E-2</c:v>
                </c:pt>
                <c:pt idx="8">
                  <c:v>0.1768408903003662</c:v>
                </c:pt>
                <c:pt idx="9">
                  <c:v>-4.3253182112266697E-2</c:v>
                </c:pt>
                <c:pt idx="10">
                  <c:v>0.19386063511365847</c:v>
                </c:pt>
                <c:pt idx="11">
                  <c:v>-6.4230560126671832E-2</c:v>
                </c:pt>
                <c:pt idx="12">
                  <c:v>-3.5146455578049851E-2</c:v>
                </c:pt>
                <c:pt idx="13">
                  <c:v>2.7614192122267012E-2</c:v>
                </c:pt>
                <c:pt idx="14">
                  <c:v>2.9761724902205078E-2</c:v>
                </c:pt>
                <c:pt idx="15">
                  <c:v>3.3253436124281555E-2</c:v>
                </c:pt>
                <c:pt idx="16">
                  <c:v>7.7059604270870441E-3</c:v>
                </c:pt>
                <c:pt idx="17">
                  <c:v>-6.5291928042635394E-2</c:v>
                </c:pt>
                <c:pt idx="18">
                  <c:v>4.0355983208225865E-2</c:v>
                </c:pt>
                <c:pt idx="19">
                  <c:v>0.37218127578739324</c:v>
                </c:pt>
                <c:pt idx="20">
                  <c:v>-3.0515243859431607E-2</c:v>
                </c:pt>
                <c:pt idx="21">
                  <c:v>3.9485229472904892E-2</c:v>
                </c:pt>
                <c:pt idx="22">
                  <c:v>0.34386691468690955</c:v>
                </c:pt>
                <c:pt idx="23">
                  <c:v>7.6982021798065237E-2</c:v>
                </c:pt>
                <c:pt idx="24">
                  <c:v>3.8435630481199023E-2</c:v>
                </c:pt>
                <c:pt idx="25">
                  <c:v>0.2511935359638866</c:v>
                </c:pt>
                <c:pt idx="26">
                  <c:v>0.34083836497552955</c:v>
                </c:pt>
                <c:pt idx="27">
                  <c:v>7.7593905888965642E-2</c:v>
                </c:pt>
                <c:pt idx="28">
                  <c:v>1.0294212214620568E-2</c:v>
                </c:pt>
                <c:pt idx="29">
                  <c:v>-3.6699408823710256E-2</c:v>
                </c:pt>
                <c:pt idx="30">
                  <c:v>5.4253807651963859E-2</c:v>
                </c:pt>
                <c:pt idx="31">
                  <c:v>2.0849615843479663E-2</c:v>
                </c:pt>
                <c:pt idx="32">
                  <c:v>5.8896178834093593E-2</c:v>
                </c:pt>
                <c:pt idx="33">
                  <c:v>7.0207391154841092E-2</c:v>
                </c:pt>
                <c:pt idx="34">
                  <c:v>-8.1380506295255062E-2</c:v>
                </c:pt>
                <c:pt idx="35">
                  <c:v>-1.2463361093284275E-2</c:v>
                </c:pt>
                <c:pt idx="36">
                  <c:v>-1.3761437748622374E-2</c:v>
                </c:pt>
                <c:pt idx="37">
                  <c:v>-0.10696688906493301</c:v>
                </c:pt>
                <c:pt idx="38">
                  <c:v>0.35708759157088332</c:v>
                </c:pt>
                <c:pt idx="39">
                  <c:v>6.6771422075577958E-2</c:v>
                </c:pt>
                <c:pt idx="40">
                  <c:v>0.19859582461010139</c:v>
                </c:pt>
                <c:pt idx="41">
                  <c:v>5.8277212803888645E-2</c:v>
                </c:pt>
                <c:pt idx="42">
                  <c:v>-0.20393979624557612</c:v>
                </c:pt>
                <c:pt idx="43">
                  <c:v>0.37882471136023899</c:v>
                </c:pt>
                <c:pt idx="44">
                  <c:v>-0.2414210104413419</c:v>
                </c:pt>
                <c:pt idx="45">
                  <c:v>-0.2177922987904114</c:v>
                </c:pt>
                <c:pt idx="46">
                  <c:v>-0.26636001971421752</c:v>
                </c:pt>
              </c:numCache>
            </c:numRef>
          </c:val>
          <c:extLst>
            <c:ext xmlns:c16="http://schemas.microsoft.com/office/drawing/2014/chart" uri="{C3380CC4-5D6E-409C-BE32-E72D297353CC}">
              <c16:uniqueId val="{00000000-EDDA-455F-8FFD-456F478FD7BB}"/>
            </c:ext>
          </c:extLst>
        </c:ser>
        <c:ser>
          <c:idx val="1"/>
          <c:order val="1"/>
          <c:tx>
            <c:strRef>
              <c:f>'anual growth'!$I$1</c:f>
              <c:strCache>
                <c:ptCount val="1"/>
                <c:pt idx="0">
                  <c:v>Annual growth 2017 - 2022</c:v>
                </c:pt>
              </c:strCache>
            </c:strRef>
          </c:tx>
          <c:spPr>
            <a:solidFill>
              <a:srgbClr val="00B050"/>
            </a:solidFill>
            <a:ln>
              <a:noFill/>
            </a:ln>
            <a:effectLst/>
          </c:spPr>
          <c:invertIfNegative val="0"/>
          <c:cat>
            <c:strRef>
              <c:f>'anual growth'!$A$2:$A$49</c:f>
              <c:strCache>
                <c:ptCount val="48"/>
                <c:pt idx="0">
                  <c:v>Lesotho</c:v>
                </c:pt>
                <c:pt idx="1">
                  <c:v> Guinea</c:v>
                </c:pt>
                <c:pt idx="2">
                  <c:v>United Republic of Tanzania</c:v>
                </c:pt>
                <c:pt idx="3">
                  <c:v>Sao Tome and Principe</c:v>
                </c:pt>
                <c:pt idx="4">
                  <c:v> Kenya</c:v>
                </c:pt>
                <c:pt idx="5">
                  <c:v>Algeria</c:v>
                </c:pt>
                <c:pt idx="6">
                  <c:v> Mauritius</c:v>
                </c:pt>
                <c:pt idx="7">
                  <c:v>Gabon</c:v>
                </c:pt>
                <c:pt idx="8">
                  <c:v> Zimbabwe</c:v>
                </c:pt>
                <c:pt idx="9">
                  <c:v> Cabo Verde</c:v>
                </c:pt>
                <c:pt idx="10">
                  <c:v>Central African Republic</c:v>
                </c:pt>
                <c:pt idx="11">
                  <c:v> Gambia</c:v>
                </c:pt>
                <c:pt idx="12">
                  <c:v>Comoros</c:v>
                </c:pt>
                <c:pt idx="13">
                  <c:v> Botswana</c:v>
                </c:pt>
                <c:pt idx="14">
                  <c:v> Burundi</c:v>
                </c:pt>
                <c:pt idx="15">
                  <c:v> Benin</c:v>
                </c:pt>
                <c:pt idx="16">
                  <c:v> Eritrea</c:v>
                </c:pt>
                <c:pt idx="17">
                  <c:v> South Africa</c:v>
                </c:pt>
                <c:pt idx="18">
                  <c:v> Mozambique</c:v>
                </c:pt>
                <c:pt idx="19">
                  <c:v> Ethiopia</c:v>
                </c:pt>
                <c:pt idx="20">
                  <c:v> Chad</c:v>
                </c:pt>
                <c:pt idx="21">
                  <c:v>AFRO</c:v>
                </c:pt>
                <c:pt idx="22">
                  <c:v>Togo</c:v>
                </c:pt>
                <c:pt idx="23">
                  <c:v> Côte d'Ivoire</c:v>
                </c:pt>
                <c:pt idx="24">
                  <c:v>Eswatini</c:v>
                </c:pt>
                <c:pt idx="25">
                  <c:v> Equatorial Guinea</c:v>
                </c:pt>
                <c:pt idx="26">
                  <c:v> Liberia</c:v>
                </c:pt>
                <c:pt idx="27">
                  <c:v>Burkina Faso</c:v>
                </c:pt>
                <c:pt idx="28">
                  <c:v> Congo</c:v>
                </c:pt>
                <c:pt idx="29">
                  <c:v> Seychelles</c:v>
                </c:pt>
                <c:pt idx="30">
                  <c:v> Uganda</c:v>
                </c:pt>
                <c:pt idx="31">
                  <c:v>Mauritania</c:v>
                </c:pt>
                <c:pt idx="32">
                  <c:v> Senegal</c:v>
                </c:pt>
                <c:pt idx="33">
                  <c:v> Namibia</c:v>
                </c:pt>
                <c:pt idx="34">
                  <c:v> Sierra Leone</c:v>
                </c:pt>
                <c:pt idx="35">
                  <c:v>Democratic  Republic of Congo</c:v>
                </c:pt>
                <c:pt idx="36">
                  <c:v> Nigeria</c:v>
                </c:pt>
                <c:pt idx="37">
                  <c:v> Cameroon</c:v>
                </c:pt>
                <c:pt idx="38">
                  <c:v> Ghana</c:v>
                </c:pt>
                <c:pt idx="39">
                  <c:v> Malawi</c:v>
                </c:pt>
                <c:pt idx="40">
                  <c:v> Rwanda</c:v>
                </c:pt>
                <c:pt idx="41">
                  <c:v> Guinea-Bissau</c:v>
                </c:pt>
                <c:pt idx="42">
                  <c:v> Madagascar</c:v>
                </c:pt>
                <c:pt idx="43">
                  <c:v> Zambia</c:v>
                </c:pt>
                <c:pt idx="44">
                  <c:v> Mali</c:v>
                </c:pt>
                <c:pt idx="45">
                  <c:v> Angola</c:v>
                </c:pt>
                <c:pt idx="46">
                  <c:v>Niger</c:v>
                </c:pt>
                <c:pt idx="47">
                  <c:v> South Sudan</c:v>
                </c:pt>
              </c:strCache>
            </c:strRef>
          </c:cat>
          <c:val>
            <c:numRef>
              <c:f>'anual growth'!$I$2:$I$49</c:f>
              <c:numCache>
                <c:formatCode>0.0%</c:formatCode>
                <c:ptCount val="48"/>
                <c:pt idx="0">
                  <c:v>-0.14857297541376613</c:v>
                </c:pt>
                <c:pt idx="1">
                  <c:v>-0.12747017131237182</c:v>
                </c:pt>
                <c:pt idx="2">
                  <c:v>-0.11974587267663495</c:v>
                </c:pt>
                <c:pt idx="3">
                  <c:v>-0.11504076110843386</c:v>
                </c:pt>
                <c:pt idx="4">
                  <c:v>-6.7217777565285686E-2</c:v>
                </c:pt>
                <c:pt idx="5">
                  <c:v>-5.9581465994675731E-2</c:v>
                </c:pt>
                <c:pt idx="6">
                  <c:v>-5.7181407236907567E-2</c:v>
                </c:pt>
                <c:pt idx="7">
                  <c:v>-5.4841728329908856E-2</c:v>
                </c:pt>
                <c:pt idx="8">
                  <c:v>-3.7630381186372075E-2</c:v>
                </c:pt>
                <c:pt idx="9">
                  <c:v>-3.606071413623313E-2</c:v>
                </c:pt>
                <c:pt idx="10">
                  <c:v>-1.3648268183263146E-2</c:v>
                </c:pt>
                <c:pt idx="11">
                  <c:v>-7.8211652686437372E-3</c:v>
                </c:pt>
                <c:pt idx="12">
                  <c:v>-5.9777774556055707E-3</c:v>
                </c:pt>
                <c:pt idx="13">
                  <c:v>-3.7898859846573485E-3</c:v>
                </c:pt>
                <c:pt idx="14">
                  <c:v>7.1449311769833379E-4</c:v>
                </c:pt>
                <c:pt idx="15">
                  <c:v>6.0434441476853173E-3</c:v>
                </c:pt>
                <c:pt idx="16">
                  <c:v>6.3995608270945858E-3</c:v>
                </c:pt>
                <c:pt idx="17">
                  <c:v>1.137684984242826E-2</c:v>
                </c:pt>
                <c:pt idx="18">
                  <c:v>1.2314591748725068E-2</c:v>
                </c:pt>
                <c:pt idx="19">
                  <c:v>1.837266676307836E-2</c:v>
                </c:pt>
                <c:pt idx="20">
                  <c:v>2.0155047551117189E-2</c:v>
                </c:pt>
                <c:pt idx="21">
                  <c:v>2.6623483094415423E-2</c:v>
                </c:pt>
                <c:pt idx="22">
                  <c:v>3.458616602771114E-2</c:v>
                </c:pt>
                <c:pt idx="23">
                  <c:v>3.5700573860839135E-2</c:v>
                </c:pt>
                <c:pt idx="24">
                  <c:v>3.8558956678495848E-2</c:v>
                </c:pt>
                <c:pt idx="25">
                  <c:v>4.4406530135430389E-2</c:v>
                </c:pt>
                <c:pt idx="26">
                  <c:v>4.5308677191510105E-2</c:v>
                </c:pt>
                <c:pt idx="27">
                  <c:v>4.5533916961086884E-2</c:v>
                </c:pt>
                <c:pt idx="28">
                  <c:v>5.1550451779354356E-2</c:v>
                </c:pt>
                <c:pt idx="29">
                  <c:v>5.3261962793089035E-2</c:v>
                </c:pt>
                <c:pt idx="30">
                  <c:v>7.8727879480573471E-2</c:v>
                </c:pt>
                <c:pt idx="31">
                  <c:v>7.9791773490578199E-2</c:v>
                </c:pt>
                <c:pt idx="32">
                  <c:v>8.2058065143126857E-2</c:v>
                </c:pt>
                <c:pt idx="33">
                  <c:v>8.2364475404486326E-2</c:v>
                </c:pt>
                <c:pt idx="34">
                  <c:v>8.3371589564752657E-2</c:v>
                </c:pt>
                <c:pt idx="35">
                  <c:v>9.7203196156060434E-2</c:v>
                </c:pt>
                <c:pt idx="36">
                  <c:v>9.9514179317019558E-2</c:v>
                </c:pt>
                <c:pt idx="37">
                  <c:v>0.10320377720155571</c:v>
                </c:pt>
                <c:pt idx="38">
                  <c:v>0.10887070501929141</c:v>
                </c:pt>
                <c:pt idx="39">
                  <c:v>0.11049090041329013</c:v>
                </c:pt>
                <c:pt idx="40">
                  <c:v>0.11387689712333948</c:v>
                </c:pt>
                <c:pt idx="41">
                  <c:v>0.11518096217603024</c:v>
                </c:pt>
                <c:pt idx="42">
                  <c:v>0.16803499268644062</c:v>
                </c:pt>
                <c:pt idx="43">
                  <c:v>0.21707915419856416</c:v>
                </c:pt>
                <c:pt idx="44">
                  <c:v>0.36001293517928667</c:v>
                </c:pt>
                <c:pt idx="45">
                  <c:v>0.49155084094603829</c:v>
                </c:pt>
                <c:pt idx="46">
                  <c:v>0.59922952693403753</c:v>
                </c:pt>
              </c:numCache>
            </c:numRef>
          </c:val>
          <c:extLst>
            <c:ext xmlns:c16="http://schemas.microsoft.com/office/drawing/2014/chart" uri="{C3380CC4-5D6E-409C-BE32-E72D297353CC}">
              <c16:uniqueId val="{00000001-EDDA-455F-8FFD-456F478FD7BB}"/>
            </c:ext>
          </c:extLst>
        </c:ser>
        <c:dLbls>
          <c:showLegendKey val="0"/>
          <c:showVal val="0"/>
          <c:showCatName val="0"/>
          <c:showSerName val="0"/>
          <c:showPercent val="0"/>
          <c:showBubbleSize val="0"/>
        </c:dLbls>
        <c:gapWidth val="50"/>
        <c:overlap val="20"/>
        <c:axId val="958557775"/>
        <c:axId val="815084751"/>
      </c:barChart>
      <c:catAx>
        <c:axId val="95855777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KE"/>
          </a:p>
        </c:txPr>
        <c:crossAx val="815084751"/>
        <c:crosses val="autoZero"/>
        <c:auto val="1"/>
        <c:lblAlgn val="ctr"/>
        <c:lblOffset val="100"/>
        <c:noMultiLvlLbl val="0"/>
      </c:catAx>
      <c:valAx>
        <c:axId val="8150847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KE"/>
          </a:p>
        </c:txPr>
        <c:crossAx val="958557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176387</xdr:colOff>
      <xdr:row>29</xdr:row>
      <xdr:rowOff>170039</xdr:rowOff>
    </xdr:from>
    <xdr:to>
      <xdr:col>30</xdr:col>
      <xdr:colOff>155223</xdr:colOff>
      <xdr:row>65</xdr:row>
      <xdr:rowOff>63501</xdr:rowOff>
    </xdr:to>
    <xdr:graphicFrame macro="">
      <xdr:nvGraphicFramePr>
        <xdr:cNvPr id="2" name="Chart 1">
          <a:extLst>
            <a:ext uri="{FF2B5EF4-FFF2-40B4-BE49-F238E27FC236}">
              <a16:creationId xmlns:a16="http://schemas.microsoft.com/office/drawing/2014/main" id="{2C12D617-7B6B-9D78-221F-B1F11A205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238124</xdr:colOff>
      <xdr:row>33</xdr:row>
      <xdr:rowOff>57150</xdr:rowOff>
    </xdr:from>
    <xdr:to>
      <xdr:col>27</xdr:col>
      <xdr:colOff>298450</xdr:colOff>
      <xdr:row>62</xdr:row>
      <xdr:rowOff>165100</xdr:rowOff>
    </xdr:to>
    <xdr:graphicFrame macro="">
      <xdr:nvGraphicFramePr>
        <xdr:cNvPr id="2" name="Chart 1">
          <a:extLst>
            <a:ext uri="{FF2B5EF4-FFF2-40B4-BE49-F238E27FC236}">
              <a16:creationId xmlns:a16="http://schemas.microsoft.com/office/drawing/2014/main" id="{968D2685-DD27-DD28-8BAC-5F0359FEB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seph Mung'atu" id="{2B729F43-0210-4EB4-BA0B-75BBED16D82C}" userId="6a67adeefcc82473"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36.500339467595" createdVersion="8" refreshedVersion="8" minRefreshableVersion="3" recordCount="47" xr:uid="{3AF9BD16-22A9-401B-990A-419BF4DD1DB2}">
  <cacheSource type="worksheet">
    <worksheetSource ref="A1:AK48" sheet="2018 report"/>
  </cacheSource>
  <cacheFields count="37">
    <cacheField name="Country Name" numFmtId="0">
      <sharedItems/>
    </cacheField>
    <cacheField name="Country code" numFmtId="0">
      <sharedItems count="47">
        <s v="DZA"/>
        <s v="AGO"/>
        <s v="BEN"/>
        <s v="BWA"/>
        <s v="BFA"/>
        <s v="BDI"/>
        <s v="CMR"/>
        <s v="CPV"/>
        <s v="CAF"/>
        <s v="TCD"/>
        <s v="COM"/>
        <s v="COG"/>
        <s v="CIV"/>
        <s v="COD"/>
        <s v="GNQ"/>
        <s v="ERI"/>
        <s v="SWZ"/>
        <s v="ETH"/>
        <s v="GAB"/>
        <s v="GMB"/>
        <s v="GHA"/>
        <s v="GIN"/>
        <s v="GNB"/>
        <s v="KEN"/>
        <s v="LSO"/>
        <s v="LBR"/>
        <s v="MDG"/>
        <s v="MWI"/>
        <s v="MLI"/>
        <s v="MRT"/>
        <s v="MUS"/>
        <s v="MOZ"/>
        <s v="NAM"/>
        <s v="NER"/>
        <s v="NGA"/>
        <s v="RWA"/>
        <s v="STP"/>
        <s v="SEN"/>
        <s v="SYC"/>
        <s v="SLE"/>
        <s v="ZAF"/>
        <s v="SSD"/>
        <s v="TZA"/>
        <s v="TGO"/>
        <s v="UGA"/>
        <s v="ZMB"/>
        <s v="ZWE"/>
      </sharedItems>
    </cacheField>
    <cacheField name="Community health workers" numFmtId="0">
      <sharedItems containsSemiMixedTypes="0" containsString="0" containsNumber="1" containsInteger="1" minValue="0" maxValue="116454"/>
    </cacheField>
    <cacheField name="Dental assistants and therapists" numFmtId="0">
      <sharedItems containsSemiMixedTypes="0" containsString="0" containsNumber="1" containsInteger="1" minValue="0" maxValue="21129"/>
    </cacheField>
    <cacheField name="Dentists1" numFmtId="0">
      <sharedItems containsSemiMixedTypes="0" containsString="0" containsNumber="1" containsInteger="1" minValue="0" maxValue="12774"/>
    </cacheField>
    <cacheField name="Dieticians and nutritionists" numFmtId="0">
      <sharedItems containsSemiMixedTypes="0" containsString="0" containsNumber="1" containsInteger="1" minValue="0" maxValue="1147"/>
    </cacheField>
    <cacheField name="Environmental and occupational health &amp; hygiene workers" numFmtId="0">
      <sharedItems containsSemiMixedTypes="0" containsString="0" containsNumber="1" containsInteger="1" minValue="0" maxValue="14645"/>
    </cacheField>
    <cacheField name="Generalist medical practitioners" numFmtId="0">
      <sharedItems containsSemiMixedTypes="0" containsString="0" containsNumber="1" containsInteger="1" minValue="40" maxValue="74543"/>
    </cacheField>
    <cacheField name="Health care assistants and other personal care workers in health services" numFmtId="0">
      <sharedItems containsSemiMixedTypes="0" containsString="0" containsNumber="1" containsInteger="1" minValue="0" maxValue="41461"/>
    </cacheField>
    <cacheField name="Health service managers" numFmtId="0">
      <sharedItems containsSemiMixedTypes="0" containsString="0" containsNumber="1" containsInteger="1" minValue="0" maxValue="10838"/>
    </cacheField>
    <cacheField name="Medical and dental prosthetic technicians" numFmtId="0">
      <sharedItems containsSemiMixedTypes="0" containsString="0" containsNumber="1" containsInteger="1" minValue="0" maxValue="663"/>
    </cacheField>
    <cacheField name="Medical and pathology laboratory technicians" numFmtId="0">
      <sharedItems containsSemiMixedTypes="0" containsString="0" containsNumber="1" containsInteger="1" minValue="0" maxValue="311269"/>
    </cacheField>
    <cacheField name="Medical assistants – clinical officers" numFmtId="0">
      <sharedItems containsSemiMixedTypes="0" containsString="0" containsNumber="1" containsInteger="1" minValue="0" maxValue="11536"/>
    </cacheField>
    <cacheField name="Medical imaging and therapeutic equipment operators" numFmtId="0">
      <sharedItems containsSemiMixedTypes="0" containsString="0" containsNumber="1" containsInteger="1" minValue="0" maxValue="8072"/>
    </cacheField>
    <cacheField name="Medical records and health information technicians" numFmtId="0">
      <sharedItems containsSemiMixedTypes="0" containsString="0" containsNumber="1" containsInteger="1" minValue="0" maxValue="34393"/>
    </cacheField>
    <cacheField name="Medical technicians and equipment operators" numFmtId="0">
      <sharedItems containsSemiMixedTypes="0" containsString="0" containsNumber="1" containsInteger="1" minValue="0" maxValue="3103"/>
    </cacheField>
    <cacheField name="Midwifery associate professionals" numFmtId="0">
      <sharedItems containsSemiMixedTypes="0" containsString="0" containsNumber="1" containsInteger="1" minValue="0" maxValue="7237"/>
    </cacheField>
    <cacheField name="Midwifery professionals" numFmtId="0">
      <sharedItems containsSemiMixedTypes="0" containsString="0" containsNumber="1" containsInteger="1" minValue="0" maxValue="120870"/>
    </cacheField>
    <cacheField name="Nursing associate professionals" numFmtId="0">
      <sharedItems containsSemiMixedTypes="0" containsString="0" containsNumber="1" containsInteger="1" minValue="0" maxValue="146860"/>
    </cacheField>
    <cacheField name="Nursing professionals" numFmtId="0">
      <sharedItems containsSemiMixedTypes="0" containsString="0" containsNumber="1" containsInteger="1" minValue="0" maxValue="180709"/>
    </cacheField>
    <cacheField name="Optometrists and opticians" numFmtId="0">
      <sharedItems containsSemiMixedTypes="0" containsString="0" containsNumber="1" containsInteger="1" minValue="0" maxValue="5371"/>
    </cacheField>
    <cacheField name="Other health management and support workers" numFmtId="0">
      <sharedItems containsSemiMixedTypes="0" containsString="0" containsNumber="1" containsInteger="1" minValue="0" maxValue="76532"/>
    </cacheField>
    <cacheField name="Other health service providers" numFmtId="0">
      <sharedItems containsSemiMixedTypes="0" containsString="0" containsNumber="1" containsInteger="1" minValue="0" maxValue="15266"/>
    </cacheField>
    <cacheField name="Other science professionals and technicians" numFmtId="0">
      <sharedItems containsSemiMixedTypes="0" containsString="0" containsNumber="1" containsInteger="1" minValue="0" maxValue="8415"/>
    </cacheField>
    <cacheField name="Paramedical practitioners (specify)" numFmtId="0">
      <sharedItems containsSemiMixedTypes="0" containsString="0" containsNumber="1" containsInteger="1" minValue="0" maxValue="21942"/>
    </cacheField>
    <cacheField name="Pharmaceutical technicians and assistants" numFmtId="0">
      <sharedItems containsSemiMixedTypes="0" containsString="0" containsNumber="1" containsInteger="1" minValue="0" maxValue="6845"/>
    </cacheField>
    <cacheField name="Pharmacists1" numFmtId="0">
      <sharedItems containsSemiMixedTypes="0" containsString="0" containsNumber="1" containsInteger="1" minValue="0" maxValue="24668"/>
    </cacheField>
    <cacheField name="Pharmacists" numFmtId="0">
      <sharedItems containsSemiMixedTypes="0" containsString="0" containsNumber="1" containsInteger="1" minValue="0" maxValue="24668"/>
    </cacheField>
    <cacheField name="Physiotherapists and physiotherapy assistants" numFmtId="0">
      <sharedItems containsSemiMixedTypes="0" containsString="0" containsNumber="1" containsInteger="1" minValue="0" maxValue="15823"/>
    </cacheField>
    <cacheField name="Social workers" numFmtId="0">
      <sharedItems containsSemiMixedTypes="0" containsString="0" containsNumber="1" containsInteger="1" minValue="0" maxValue="509"/>
    </cacheField>
    <cacheField name="Specialist medical practitioners" numFmtId="0">
      <sharedItems containsSemiMixedTypes="0" containsString="0" containsNumber="1" containsInteger="1" minValue="0" maxValue="39091"/>
    </cacheField>
    <cacheField name="Speech Therapist" numFmtId="0">
      <sharedItems containsSemiMixedTypes="0" containsString="0" containsNumber="1" containsInteger="1" minValue="0" maxValue="2"/>
    </cacheField>
    <cacheField name="Traditional and complementary medicine practitioners" numFmtId="0">
      <sharedItems containsSemiMixedTypes="0" containsString="0" containsNumber="1" containsInteger="1" minValue="0" maxValue="16380"/>
    </cacheField>
    <cacheField name="Dentists" numFmtId="0">
      <sharedItems containsSemiMixedTypes="0" containsString="0" containsNumber="1" containsInteger="1" minValue="0" maxValue="25487"/>
    </cacheField>
    <cacheField name="Nursing Personnel" numFmtId="0">
      <sharedItems containsSemiMixedTypes="0" containsString="0" containsNumber="1" containsInteger="1" minValue="206" maxValue="287458"/>
    </cacheField>
    <cacheField name="Midwifery personnel" numFmtId="0">
      <sharedItems containsSemiMixedTypes="0" containsString="0" containsNumber="1" containsInteger="1" minValue="0" maxValue="120870"/>
    </cacheField>
    <cacheField name="Medical doctors" numFmtId="0">
      <sharedItems containsSemiMixedTypes="0" containsString="0" containsNumber="1" containsInteger="1" minValue="60" maxValue="839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36.733161111108" createdVersion="8" refreshedVersion="8" minRefreshableVersion="3" recordCount="1128" xr:uid="{BDD7911D-6E13-4614-A290-BB0BB5DBF98C}">
  <cacheSource type="worksheet">
    <worksheetSource ref="B1:AD1129" sheet="Master DataSheet"/>
  </cacheSource>
  <cacheFields count="28">
    <cacheField name="Country" numFmtId="0">
      <sharedItems count="47">
        <s v="AGO"/>
        <s v="BDI"/>
        <s v="BEN"/>
        <s v="BFA"/>
        <s v="BWA"/>
        <s v="CAF"/>
        <s v="CIV"/>
        <s v="CMR"/>
        <s v="COD"/>
        <s v="COG"/>
        <s v="COM"/>
        <s v="CPV"/>
        <s v="DZA"/>
        <s v="ERI"/>
        <s v="ETH"/>
        <s v="GAB"/>
        <s v="GHA"/>
        <s v="GIN"/>
        <s v="GMB"/>
        <s v="GNB"/>
        <s v="GNQ"/>
        <s v="KEN"/>
        <s v="LBR"/>
        <s v="LSO"/>
        <s v="MDG"/>
        <s v="MLI"/>
        <s v="MOZ"/>
        <s v="MRT"/>
        <s v="MUS"/>
        <s v="MWI"/>
        <s v="NAM"/>
        <s v="NER"/>
        <s v="NGA"/>
        <s v="RWA"/>
        <s v="SEN"/>
        <s v="SLE"/>
        <s v="SSD"/>
        <s v="STP"/>
        <s v="SWZ"/>
        <s v="SYC"/>
        <s v="TCD"/>
        <s v="TGO"/>
        <s v="TZA"/>
        <s v="UGA"/>
        <s v="ZAF"/>
        <s v="ZMB"/>
        <s v="ZWE"/>
      </sharedItems>
    </cacheField>
    <cacheField name="Pop 2012" numFmtId="0">
      <sharedItems containsSemiMixedTypes="0" containsString="0" containsNumber="1" minValue="95308.999999999985" maxValue="170075954.5"/>
    </cacheField>
    <cacheField name="Cadre" numFmtId="0">
      <sharedItems count="24">
        <s v="Medical Doctors"/>
        <s v="Nursing Personnel"/>
        <s v="Midwifery personnel"/>
        <s v="Pharmacists"/>
        <s v="Dentists"/>
        <s v="Community Health Workers "/>
        <s v="Dieticians and nutritionists"/>
        <s v="Environmental and occupational health &amp; hygiene workers"/>
        <s v="Personal care workers in health service"/>
        <s v="Managerial staff "/>
        <s v="Medical and dental Prosthetic Technicians "/>
        <s v="Medical and Pathology Laboratory scientists "/>
        <s v="Medical Assistants "/>
        <s v="Medical Imaging and Therapeutic Equipment Technicians "/>
        <s v="Medical Records and Health Information Technicians "/>
        <s v="Optometrists and Ophthalmic Opticians "/>
        <s v="Other non-medical professional staff "/>
        <s v="Other non-medical support staff "/>
        <s v="Medical and Pathology Laboratory Technicians "/>
        <s v="Paramedical Practitioners "/>
        <s v="Physiotherapists and physiotherapy assistants"/>
        <s v="Social workers"/>
        <s v="Audiologists and Speech Therapists "/>
        <s v="Traditional and complementary medicine practitioners"/>
      </sharedItems>
    </cacheField>
    <cacheField name="2012" numFmtId="0">
      <sharedItems containsSemiMixedTypes="0" containsString="0" containsNumber="1" containsInteger="1" minValue="0" maxValue="123538"/>
    </cacheField>
    <cacheField name="Pop 2013" numFmtId="0">
      <sharedItems containsString="0" containsBlank="1" containsNumber="1" minValue="96714" maxValue="174726123.50000006"/>
    </cacheField>
    <cacheField name="2013" numFmtId="0">
      <sharedItems containsSemiMixedTypes="0" containsString="0" containsNumber="1" containsInteger="1" minValue="0" maxValue="262512"/>
    </cacheField>
    <cacheField name="Pop 2014" numFmtId="0">
      <sharedItems containsString="0" containsBlank="1" containsNumber="1" minValue="98000.999999999927" maxValue="179379016.5"/>
    </cacheField>
    <cacheField name="2014" numFmtId="0">
      <sharedItems containsSemiMixedTypes="0" containsString="0" containsNumber="1" containsInteger="1" minValue="0" maxValue="90776"/>
    </cacheField>
    <cacheField name="Pop 2015" numFmtId="0">
      <sharedItems containsString="0" containsBlank="1" containsNumber="1" minValue="99239.999999999971" maxValue="183995784.49999991"/>
    </cacheField>
    <cacheField name="2015" numFmtId="0">
      <sharedItems containsSemiMixedTypes="0" containsString="0" containsNumber="1" containsInteger="1" minValue="0" maxValue="179175"/>
    </cacheField>
    <cacheField name="Pop 2016" numFmtId="0">
      <sharedItems containsString="0" containsBlank="1" containsNumber="1" minValue="100508.49999999997" maxValue="188666930.99999988"/>
    </cacheField>
    <cacheField name="2016" numFmtId="0">
      <sharedItems containsSemiMixedTypes="0" containsString="0" containsNumber="1" containsInteger="1" minValue="0" maxValue="370202"/>
    </cacheField>
    <cacheField name="Pop 2017" numFmtId="0">
      <sharedItems containsString="0" containsBlank="1" containsNumber="1" minValue="101810.50000000001" maxValue="193495906.50000003"/>
    </cacheField>
    <cacheField name="2017" numFmtId="0">
      <sharedItems containsSemiMixedTypes="0" containsString="0" containsNumber="1" containsInteger="1" minValue="0" maxValue="184000"/>
    </cacheField>
    <cacheField name="Pop 2018" numFmtId="0">
      <sharedItems containsString="0" containsBlank="1" containsNumber="1" minValue="103101.00000000003" maxValue="198387623.50000006"/>
    </cacheField>
    <cacheField name="2018" numFmtId="0">
      <sharedItems containsSemiMixedTypes="0" containsString="0" containsNumber="1" containsInteger="1" minValue="0" maxValue="250048"/>
    </cacheField>
    <cacheField name="Pop 2019" numFmtId="0">
      <sharedItems containsString="0" containsBlank="1" containsNumber="1" minValue="104372.49999999997" maxValue="203304491.50000006"/>
    </cacheField>
    <cacheField name="2019" numFmtId="0">
      <sharedItems containsSemiMixedTypes="0" containsString="0" containsNumber="1" containsInteger="1" minValue="0" maxValue="361418"/>
    </cacheField>
    <cacheField name="Pop 2020" numFmtId="0">
      <sharedItems containsString="0" containsBlank="1" containsNumber="1" minValue="105529.99999999997" maxValue="208327404.49999994"/>
    </cacheField>
    <cacheField name="2020" numFmtId="0">
      <sharedItems containsSemiMixedTypes="0" containsString="0" containsNumber="1" containsInteger="1" minValue="0" maxValue="191578"/>
    </cacheField>
    <cacheField name="Pop 2021" numFmtId="0">
      <sharedItems containsString="0" containsBlank="1" containsNumber="1" minValue="106470.49999999996" maxValue="213401322.49999997"/>
    </cacheField>
    <cacheField name="2021" numFmtId="0">
      <sharedItems containsSemiMixedTypes="0" containsString="0" containsNumber="1" containsInteger="1" minValue="0" maxValue="535392"/>
    </cacheField>
    <cacheField name="Pop 2022" numFmtId="0">
      <sharedItems containsString="0" containsBlank="1" containsNumber="1" minValue="107118.5" maxValue="218541211.50000003"/>
    </cacheField>
    <cacheField name="2022" numFmtId="0">
      <sharedItems containsSemiMixedTypes="0" containsString="0" containsNumber="1" containsInteger="1" minValue="0" maxValue="441362"/>
    </cacheField>
    <cacheField name="2018 report" numFmtId="0">
      <sharedItems containsSemiMixedTypes="0" containsString="0" containsNumber="1" containsInteger="1" minValue="0" maxValue="311269"/>
    </cacheField>
    <cacheField name="Max (12-15)" numFmtId="0">
      <sharedItems containsSemiMixedTypes="0" containsString="0" containsNumber="1" containsInteger="1" minValue="0" maxValue="262512"/>
    </cacheField>
    <cacheField name="Max(16-19)" numFmtId="0">
      <sharedItems containsSemiMixedTypes="0" containsString="0" containsNumber="1" containsInteger="1" minValue="0" maxValue="370202"/>
    </cacheField>
    <cacheField name="Max(20-22)" numFmtId="0">
      <sharedItems containsSemiMixedTypes="0" containsString="0" containsNumber="1" containsInteger="1" minValue="0" maxValue="53539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42.530853240743" createdVersion="8" refreshedVersion="8" minRefreshableVersion="3" recordCount="1551" xr:uid="{ECC7771C-42F3-47B1-B5A2-799F8C6F70FD}">
  <cacheSource type="worksheet">
    <worksheetSource ref="A1:AV1552" sheet="Master DataSheet (Rev)"/>
  </cacheSource>
  <cacheFields count="49">
    <cacheField name="Country name" numFmtId="0">
      <sharedItems/>
    </cacheField>
    <cacheField name="Country" numFmtId="0">
      <sharedItems count="47">
        <s v="AGO"/>
        <s v="BDI"/>
        <s v="BEN"/>
        <s v="BFA"/>
        <s v="BWA"/>
        <s v="CAF"/>
        <s v="CIV"/>
        <s v="CMR"/>
        <s v="COD"/>
        <s v="COG"/>
        <s v="COM"/>
        <s v="CPV"/>
        <s v="DZA"/>
        <s v="ERI"/>
        <s v="ETH"/>
        <s v="GAB"/>
        <s v="GHA"/>
        <s v="GIN"/>
        <s v="GMB"/>
        <s v="GNB"/>
        <s v="GNQ"/>
        <s v="KEN"/>
        <s v="LBR"/>
        <s v="LSO"/>
        <s v="MDG"/>
        <s v="MLI"/>
        <s v="MOZ"/>
        <s v="MRT"/>
        <s v="MUS"/>
        <s v="MWI"/>
        <s v="NAM"/>
        <s v="NER"/>
        <s v="NGA"/>
        <s v="RWA"/>
        <s v="SEN"/>
        <s v="SLE"/>
        <s v="SSD"/>
        <s v="STP"/>
        <s v="SWZ"/>
        <s v="SYC"/>
        <s v="TCD"/>
        <s v="TGO"/>
        <s v="TZA"/>
        <s v="UGA"/>
        <s v="ZAF"/>
        <s v="ZMB"/>
        <s v="ZWE"/>
      </sharedItems>
    </cacheField>
    <cacheField name="Pop 2012" numFmtId="0">
      <sharedItems containsSemiMixedTypes="0" containsString="0" containsNumber="1" minValue="95308.999999999985" maxValue="170075954.5"/>
    </cacheField>
    <cacheField name="Cadre" numFmtId="0">
      <sharedItems count="33">
        <s v="Community Health Workers "/>
        <s v="Dieticians and nutritionists"/>
        <s v="Environmental and occupational health &amp; hygiene workers"/>
        <s v="Personal care workers in health service"/>
        <s v="Managerial staff "/>
        <s v="Medical and dental Prosthetic Technicians "/>
        <s v="Medical and Pathology Laboratory scientists "/>
        <s v="Medical Assistants "/>
        <s v="Medical Imaging and Therapeutic Equipment Technicians "/>
        <s v="Medical Records and Health Information Technicians "/>
        <s v="Optometrists and Ophthalmic Opticians "/>
        <s v="Other non-medical professional staff "/>
        <s v="Other non-medical support staff "/>
        <s v="Medical and Pathology Laboratory Technicians "/>
        <s v="Paramedical Practitioners "/>
        <s v="Physiotherapists and physiotherapy assistants"/>
        <s v="Social workers"/>
        <s v="Audiologists and Speech Therapists "/>
        <s v="Traditional and complementary medicine practitioners"/>
        <s v=" Medical Doctors "/>
        <s v=" Generalist Medical Practitioners "/>
        <s v=" Specialist Medical Practitioners "/>
        <s v=" Nursing Personnel "/>
        <s v=" Nursing Professionals "/>
        <s v=" Nursing Associate Professionals "/>
        <s v=" Midwifery personnel "/>
        <s v=" Midwifery Professionals "/>
        <s v=" Midwifery Associate Professionals "/>
        <s v=" Pharmacists1 "/>
        <s v=" Pharmaceutical Technicians and Assistants "/>
        <s v=" Dentists "/>
        <s v=" Dental Assistants and Therapists "/>
        <s v=" Psychologists "/>
      </sharedItems>
    </cacheField>
    <cacheField name="2,012" numFmtId="0">
      <sharedItems containsSemiMixedTypes="0" containsString="0" containsNumber="1" containsInteger="1" minValue="0" maxValue="61769"/>
    </cacheField>
    <cacheField name="Pop 2013" numFmtId="0">
      <sharedItems containsSemiMixedTypes="0" containsString="0" containsNumber="1" minValue="96714" maxValue="174726123.50000006"/>
    </cacheField>
    <cacheField name="2,013" numFmtId="0">
      <sharedItems containsSemiMixedTypes="0" containsString="0" containsNumber="1" containsInteger="1" minValue="0" maxValue="262512"/>
    </cacheField>
    <cacheField name="Pop 2014" numFmtId="0">
      <sharedItems containsString="0" containsBlank="1" containsNumber="1" minValue="98000.999999999927" maxValue="179379016.5"/>
    </cacheField>
    <cacheField name="2,014" numFmtId="0">
      <sharedItems containsSemiMixedTypes="0" containsString="0" containsNumber="1" containsInteger="1" minValue="0" maxValue="45388"/>
    </cacheField>
    <cacheField name="Pop 2015" numFmtId="0">
      <sharedItems containsBlank="1" containsMixedTypes="1" containsNumber="1" minValue="99239.999999999971" maxValue="183995784.49999991"/>
    </cacheField>
    <cacheField name="2,015" numFmtId="0">
      <sharedItems containsSemiMixedTypes="0" containsString="0" containsNumber="1" containsInteger="1" minValue="0" maxValue="179175"/>
    </cacheField>
    <cacheField name="Pop 2016" numFmtId="0">
      <sharedItems containsString="0" containsBlank="1" containsNumber="1" minValue="100508.49999999997" maxValue="188666930.99999988"/>
    </cacheField>
    <cacheField name="2,016" numFmtId="0">
      <sharedItems containsSemiMixedTypes="0" containsString="0" containsNumber="1" containsInteger="1" minValue="0" maxValue="185101"/>
    </cacheField>
    <cacheField name="Pop 2017" numFmtId="0">
      <sharedItems containsString="0" containsBlank="1" containsNumber="1" minValue="101810.50000000001" maxValue="193495906.50000003"/>
    </cacheField>
    <cacheField name="2,017" numFmtId="0">
      <sharedItems containsSemiMixedTypes="0" containsString="0" containsNumber="1" containsInteger="1" minValue="0" maxValue="92000"/>
    </cacheField>
    <cacheField name="Pop 2018" numFmtId="0">
      <sharedItems containsSemiMixedTypes="0" containsString="0" containsNumber="1" minValue="103101.00000000003" maxValue="198387623.50000006"/>
    </cacheField>
    <cacheField name="2,018" numFmtId="0">
      <sharedItems containsSemiMixedTypes="0" containsString="0" containsNumber="1" containsInteger="1" minValue="0" maxValue="125024"/>
    </cacheField>
    <cacheField name="2018 (triag)" numFmtId="3">
      <sharedItems containsSemiMixedTypes="0" containsString="0" containsNumber="1" containsInteger="1" minValue="0" maxValue="311269"/>
    </cacheField>
    <cacheField name="Pop 2019" numFmtId="3">
      <sharedItems containsString="0" containsBlank="1" containsNumber="1" minValue="104372.49999999997" maxValue="203304491.50000006"/>
    </cacheField>
    <cacheField name="2,019" numFmtId="3">
      <sharedItems containsSemiMixedTypes="0" containsString="0" containsNumber="1" containsInteger="1" minValue="0" maxValue="180709"/>
    </cacheField>
    <cacheField name="Pop 2020" numFmtId="0">
      <sharedItems containsString="0" containsBlank="1" containsNumber="1" minValue="105529.99999999997" maxValue="208327404.49999994"/>
    </cacheField>
    <cacheField name="2,020" numFmtId="0">
      <sharedItems containsSemiMixedTypes="0" containsString="0" containsNumber="1" containsInteger="1" minValue="0" maxValue="95789"/>
    </cacheField>
    <cacheField name="Pop 2021" numFmtId="0">
      <sharedItems containsString="0" containsBlank="1" containsNumber="1" minValue="106470.49999999996" maxValue="213401322.49999997"/>
    </cacheField>
    <cacheField name="2,021" numFmtId="0">
      <sharedItems containsString="0" containsBlank="1" containsNumber="1" containsInteger="1" minValue="0" maxValue="201735"/>
    </cacheField>
    <cacheField name="Pop 2022" numFmtId="0">
      <sharedItems containsSemiMixedTypes="0" containsString="0" containsNumber="1" minValue="107118.5" maxValue="218541211.50000003"/>
    </cacheField>
    <cacheField name="2,022" numFmtId="0">
      <sharedItems containsString="0" containsBlank="1" containsNumber="1" containsInteger="1" minValue="0" maxValue="271047"/>
    </cacheField>
    <cacheField name="2018 report" numFmtId="0">
      <sharedItems containsSemiMixedTypes="0" containsString="0" containsNumber="1" containsInteger="1" minValue="0" maxValue="311269"/>
    </cacheField>
    <cacheField name="Max (12-15)" numFmtId="0">
      <sharedItems containsSemiMixedTypes="0" containsString="0" containsNumber="1" containsInteger="1" minValue="0" maxValue="262512"/>
    </cacheField>
    <cacheField name="Max(16-19)" numFmtId="0">
      <sharedItems containsSemiMixedTypes="0" containsString="0" containsNumber="1" containsInteger="1" minValue="0" maxValue="185101"/>
    </cacheField>
    <cacheField name="Max(20-22)" numFmtId="0">
      <sharedItems containsSemiMixedTypes="0" containsString="0" containsNumber="1" containsInteger="1" minValue="0" maxValue="271047"/>
    </cacheField>
    <cacheField name="2013 or latest" numFmtId="0">
      <sharedItems containsSemiMixedTypes="0" containsString="0" containsNumber="1" containsInteger="1" minValue="0" maxValue="262512"/>
    </cacheField>
    <cacheField name="Data year" numFmtId="0">
      <sharedItems containsMixedTypes="1" containsNumber="1" containsInteger="1" minValue="2012" maxValue="2015"/>
    </cacheField>
    <cacheField name="2018 or latest" numFmtId="0">
      <sharedItems containsSemiMixedTypes="0" containsString="0" containsNumber="1" containsInteger="1" minValue="0" maxValue="311269"/>
    </cacheField>
    <cacheField name="Data year1" numFmtId="0">
      <sharedItems containsMixedTypes="1" containsNumber="1" containsInteger="1" minValue="2016" maxValue="2019"/>
    </cacheField>
    <cacheField name="2022 or latest" numFmtId="0">
      <sharedItems containsSemiMixedTypes="0" containsString="0" containsNumber="1" containsInteger="1" minValue="0" maxValue="271047"/>
    </cacheField>
    <cacheField name="Data year2" numFmtId="0">
      <sharedItems containsMixedTypes="1" containsNumber="1" containsInteger="1" minValue="2017" maxValue="2022"/>
    </cacheField>
    <cacheField name="Need for adjustment" numFmtId="0">
      <sharedItems/>
    </cacheField>
    <cacheField name="Adjusted 2022" numFmtId="166">
      <sharedItems containsSemiMixedTypes="0" containsString="0" containsNumber="1" minValue="0" maxValue="397261.24962174537"/>
    </cacheField>
    <cacheField name="Adjustment for underrepoting 2022" numFmtId="166">
      <sharedItems containsSemiMixedTypes="0" containsString="0" containsNumber="1" minValue="0" maxValue="397261.24962174537"/>
    </cacheField>
    <cacheField name="Trend 18 to 22" numFmtId="166">
      <sharedItems/>
    </cacheField>
    <cacheField name="Annual growth (compound 2015 - 18) " numFmtId="0">
      <sharedItems containsString="0" containsBlank="1" containsNumber="1" minValue="-0.22530855667613492" maxValue="0.3113441654036182"/>
    </cacheField>
    <cacheField name="Annual growth (compound 2018 - 20)" numFmtId="0">
      <sharedItems containsString="0" containsBlank="1" containsNumber="1" minValue="-3.8361793441239245E-2" maxValue="0.50042870775453441"/>
    </cacheField>
    <cacheField name="2013 numbers" numFmtId="0">
      <sharedItems containsString="0" containsBlank="1" containsNumber="1" minValue="0" maxValue="267366.06724053662"/>
    </cacheField>
    <cacheField name="2022 nubmers" numFmtId="0">
      <sharedItems containsString="0" containsBlank="1" containsNumber="1" minValue="0" maxValue="351270.72019221057"/>
    </cacheField>
    <cacheField name="Density per 10,000 (2013)" numFmtId="43">
      <sharedItems containsSemiMixedTypes="0" containsString="0" containsNumber="1" minValue="0" maxValue="71.878356854465324"/>
    </cacheField>
    <cacheField name="Density per 10,000 (2018)" numFmtId="43">
      <sharedItems containsSemiMixedTypes="0" containsString="0" containsNumber="1" minValue="0" maxValue="123.37416707888377"/>
    </cacheField>
    <cacheField name="Density per 10,000 (2022)" numFmtId="43">
      <sharedItems containsSemiMixedTypes="0" containsString="0" containsNumber="1" minValue="0" maxValue="119.21376792990939"/>
    </cacheField>
    <cacheField name="Density per 10,000 (2022) Completeness adj" numFmtId="43">
      <sharedItems containsSemiMixedTypes="0" containsString="0" containsNumber="1" minValue="0" maxValue="119.21376792990939"/>
    </cacheField>
    <cacheField name="Status" numFmtId="0">
      <sharedItems count="2">
        <s v="Under-reported"/>
        <s v=""/>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57.640585185189" createdVersion="8" refreshedVersion="8" minRefreshableVersion="3" recordCount="1128" xr:uid="{89988F1D-4BDE-4A66-964E-08EDD58FB0E6}">
  <cacheSource type="worksheet">
    <worksheetSource ref="A1:AU1129" sheet="Master DataSheet"/>
  </cacheSource>
  <cacheFields count="47">
    <cacheField name="Country name" numFmtId="0">
      <sharedItems count="48">
        <s v="Angola"/>
        <s v="Burundi"/>
        <s v="Benin"/>
        <s v="Burkina Faso"/>
        <s v="Botswana"/>
        <s v="Central African Republic"/>
        <s v="Cote d'Ivoire"/>
        <s v="Cameroon"/>
        <s v="DRC"/>
        <s v="Congo"/>
        <s v="Comoros"/>
        <s v="Cape-Verde"/>
        <s v="Algeria"/>
        <s v="Eritrea"/>
        <s v="Ethiopia"/>
        <s v="Gabon"/>
        <s v="Ghana"/>
        <s v="Guinea"/>
        <s v="Gambia"/>
        <s v="Guinea-Bissau"/>
        <s v="Equatorial Guinea"/>
        <s v="Kenya"/>
        <s v="Liberia"/>
        <s v="Lesotho"/>
        <s v="Madagascar"/>
        <s v="Mali"/>
        <s v="Mozambique"/>
        <s v="Mauritania"/>
        <s v="Mauritius"/>
        <s v="Malawi"/>
        <s v="Namibia"/>
        <s v="Niger"/>
        <s v="Nigeria"/>
        <s v="Rwanda"/>
        <s v="Senegal"/>
        <s v="Sierra Leone"/>
        <s v="South Sudan"/>
        <s v="Sao Tome and Principe"/>
        <s v="Eswatini"/>
        <s v="Seychelles"/>
        <s v="Chad"/>
        <s v="Togo"/>
        <s v="Tanzania"/>
        <s v="Uganda"/>
        <s v="South Africa"/>
        <s v="Zambia"/>
        <s v="Zimbabwe"/>
        <s v="AFRO" u="1"/>
      </sharedItems>
    </cacheField>
    <cacheField name="Country" numFmtId="0">
      <sharedItems count="48">
        <s v="AGO"/>
        <s v="BDI"/>
        <s v="BEN"/>
        <s v="BFA"/>
        <s v="BWA"/>
        <s v="CAF"/>
        <s v="CIV"/>
        <s v="CMR"/>
        <s v="COD"/>
        <s v="COG"/>
        <s v="COM"/>
        <s v="CPV"/>
        <s v="DZA"/>
        <s v="ERI"/>
        <s v="ETH"/>
        <s v="GAB"/>
        <s v="GHA"/>
        <s v="GIN"/>
        <s v="GMB"/>
        <s v="GNB"/>
        <s v="GNQ"/>
        <s v="KEN"/>
        <s v="LBR"/>
        <s v="LSO"/>
        <s v="MDG"/>
        <s v="MLI"/>
        <s v="MOZ"/>
        <s v="MRT"/>
        <s v="MUS"/>
        <s v="MWI"/>
        <s v="NAM"/>
        <s v="NER"/>
        <s v="NGA"/>
        <s v="RWA"/>
        <s v="SEN"/>
        <s v="SLE"/>
        <s v="SSD"/>
        <s v="STP"/>
        <s v="SWZ"/>
        <s v="SYC"/>
        <s v="TCD"/>
        <s v="TGO"/>
        <s v="TZA"/>
        <s v="UGA"/>
        <s v="ZAF"/>
        <s v="ZMB"/>
        <s v="ZWE"/>
        <s v="AFRO" u="1"/>
      </sharedItems>
    </cacheField>
    <cacheField name="Pop 2012" numFmtId="166">
      <sharedItems containsSemiMixedTypes="0" containsString="0" containsNumber="1" minValue="95308.999999999985" maxValue="170075954.5"/>
    </cacheField>
    <cacheField name="Cadre" numFmtId="0">
      <sharedItems count="29">
        <s v="Medical Doctors (old)"/>
        <s v="Nursing Personnel (old)"/>
        <s v="Midwifery personnel (old)"/>
        <s v="Pharmacists (old)"/>
        <s v="Dentists (old)"/>
        <s v="Community Health Workers "/>
        <s v="Dieticians and nutritionists"/>
        <s v="Environmental and occupational health &amp; hygiene workers"/>
        <s v="Personal care workers in health service"/>
        <s v="Managerial staff "/>
        <s v="Medical and dental Prosthetic Technicians "/>
        <s v="Medical and Pathology Laboratory scientists "/>
        <s v="Medical Assistants "/>
        <s v="Medical Imaging and Therapeutic Equipment Technicians "/>
        <s v="Medical Records and Health Information Technicians "/>
        <s v="Optometrists and Ophthalmic Opticians "/>
        <s v="Other non-medical professional staff "/>
        <s v="Other non-medical support staff "/>
        <s v="Medical and Pathology Laboratory Technicians "/>
        <s v="Paramedical Practitioners "/>
        <s v="Physiotherapists and physiotherapy assistants"/>
        <s v="Social workers"/>
        <s v="Audiologists and Speech Therapists "/>
        <s v="Traditional and complementary medicine practitioners"/>
        <s v="Medical Doctors" u="1"/>
        <s v="Nursing Personnel" u="1"/>
        <s v="Midwifery personnel" u="1"/>
        <s v="Pharmacists" u="1"/>
        <s v="Dentists" u="1"/>
      </sharedItems>
    </cacheField>
    <cacheField name="2,012" numFmtId="3">
      <sharedItems containsSemiMixedTypes="0" containsString="0" containsNumber="1" containsInteger="1" minValue="0" maxValue="123538"/>
    </cacheField>
    <cacheField name="Pop 2013" numFmtId="3">
      <sharedItems containsSemiMixedTypes="0" containsString="0" containsNumber="1" minValue="96714" maxValue="174726123.50000006"/>
    </cacheField>
    <cacheField name="2,013" numFmtId="0">
      <sharedItems containsSemiMixedTypes="0" containsString="0" containsNumber="1" containsInteger="1" minValue="0" maxValue="262512"/>
    </cacheField>
    <cacheField name="Pop 2014" numFmtId="3">
      <sharedItems containsString="0" containsBlank="1" containsNumber="1" minValue="98000.999999999927" maxValue="179379016.5"/>
    </cacheField>
    <cacheField name="2,014" numFmtId="3">
      <sharedItems containsSemiMixedTypes="0" containsString="0" containsNumber="1" containsInteger="1" minValue="0" maxValue="90776"/>
    </cacheField>
    <cacheField name="Pop 2015" numFmtId="3">
      <sharedItems containsBlank="1" containsMixedTypes="1" containsNumber="1" minValue="99239.999999999971" maxValue="183995784.49999991"/>
    </cacheField>
    <cacheField name="2,015" numFmtId="3">
      <sharedItems containsSemiMixedTypes="0" containsString="0" containsNumber="1" containsInteger="1" minValue="0" maxValue="179175"/>
    </cacheField>
    <cacheField name="Pop 2016" numFmtId="3">
      <sharedItems containsString="0" containsBlank="1" containsNumber="1" minValue="100508.49999999997" maxValue="188666930.99999988"/>
    </cacheField>
    <cacheField name="2,016" numFmtId="3">
      <sharedItems containsSemiMixedTypes="0" containsString="0" containsNumber="1" containsInteger="1" minValue="0" maxValue="370202"/>
    </cacheField>
    <cacheField name="Pop 2017" numFmtId="3">
      <sharedItems containsString="0" containsBlank="1" containsNumber="1" minValue="101810.50000000001" maxValue="193495906.50000003"/>
    </cacheField>
    <cacheField name="2,017" numFmtId="3">
      <sharedItems containsSemiMixedTypes="0" containsString="0" containsNumber="1" containsInteger="1" minValue="0" maxValue="184000"/>
    </cacheField>
    <cacheField name="Pop 2018" numFmtId="3">
      <sharedItems containsSemiMixedTypes="0" containsString="0" containsNumber="1" minValue="103101.00000000003" maxValue="198387623.50000006"/>
    </cacheField>
    <cacheField name="2,018" numFmtId="3">
      <sharedItems containsSemiMixedTypes="0" containsString="0" containsNumber="1" containsInteger="1" minValue="0" maxValue="250048"/>
    </cacheField>
    <cacheField name="2018 (triag)" numFmtId="3">
      <sharedItems containsSemiMixedTypes="0" containsString="0" containsNumber="1" containsInteger="1" minValue="0" maxValue="311269"/>
    </cacheField>
    <cacheField name="Pop 2019" numFmtId="3">
      <sharedItems containsString="0" containsBlank="1" containsNumber="1" minValue="104372.49999999997" maxValue="203304491.50000006"/>
    </cacheField>
    <cacheField name="2,019" numFmtId="3">
      <sharedItems containsSemiMixedTypes="0" containsString="0" containsNumber="1" containsInteger="1" minValue="0" maxValue="361418"/>
    </cacheField>
    <cacheField name="Pop 2020" numFmtId="3">
      <sharedItems containsString="0" containsBlank="1" containsNumber="1" minValue="105529.99999999997" maxValue="208327404.49999994"/>
    </cacheField>
    <cacheField name="2,020" numFmtId="3">
      <sharedItems containsSemiMixedTypes="0" containsString="0" containsNumber="1" containsInteger="1" minValue="0" maxValue="191578"/>
    </cacheField>
    <cacheField name="Pop 2021" numFmtId="3">
      <sharedItems containsString="0" containsBlank="1" containsNumber="1" minValue="106470.49999999996" maxValue="213401322.49999997"/>
    </cacheField>
    <cacheField name="2,021" numFmtId="3">
      <sharedItems containsString="0" containsBlank="1" containsNumber="1" containsInteger="1" minValue="0" maxValue="535392"/>
    </cacheField>
    <cacheField name="Pop 2022" numFmtId="3">
      <sharedItems containsSemiMixedTypes="0" containsString="0" containsNumber="1" minValue="107118.5" maxValue="218541211.50000003"/>
    </cacheField>
    <cacheField name="2,022" numFmtId="0">
      <sharedItems containsSemiMixedTypes="0" containsString="0" containsNumber="1" containsInteger="1" minValue="0" maxValue="441362"/>
    </cacheField>
    <cacheField name="2018 report" numFmtId="3">
      <sharedItems containsSemiMixedTypes="0" containsString="0" containsNumber="1" containsInteger="1" minValue="0" maxValue="311269"/>
    </cacheField>
    <cacheField name="Max (12-15)" numFmtId="0">
      <sharedItems containsSemiMixedTypes="0" containsString="0" containsNumber="1" containsInteger="1" minValue="0" maxValue="262512"/>
    </cacheField>
    <cacheField name="Max(16-19)" numFmtId="0">
      <sharedItems containsSemiMixedTypes="0" containsString="0" containsNumber="1" containsInteger="1" minValue="0" maxValue="370202"/>
    </cacheField>
    <cacheField name="Max(20-22)" numFmtId="0">
      <sharedItems containsSemiMixedTypes="0" containsString="0" containsNumber="1" containsInteger="1" minValue="0" maxValue="535392"/>
    </cacheField>
    <cacheField name="2013 or latest" numFmtId="0">
      <sharedItems containsSemiMixedTypes="0" containsString="0" containsNumber="1" containsInteger="1" minValue="0" maxValue="262512"/>
    </cacheField>
    <cacheField name="Data year" numFmtId="0">
      <sharedItems containsMixedTypes="1" containsNumber="1" containsInteger="1" minValue="2012" maxValue="2015"/>
    </cacheField>
    <cacheField name="2018 or latest" numFmtId="0">
      <sharedItems containsSemiMixedTypes="0" containsString="0" containsNumber="1" containsInteger="1" minValue="0" maxValue="311269"/>
    </cacheField>
    <cacheField name="Data year1" numFmtId="0">
      <sharedItems containsMixedTypes="1" containsNumber="1" containsInteger="1" minValue="2016" maxValue="2019"/>
    </cacheField>
    <cacheField name="2022 or latest" numFmtId="0">
      <sharedItems containsSemiMixedTypes="0" containsString="0" containsNumber="1" containsInteger="1" minValue="0" maxValue="441362"/>
    </cacheField>
    <cacheField name="Data year2" numFmtId="0">
      <sharedItems containsMixedTypes="1" containsNumber="1" containsInteger="1" minValue="2017" maxValue="2022"/>
    </cacheField>
    <cacheField name="Need for adjustment" numFmtId="0">
      <sharedItems count="2">
        <s v=""/>
        <s v="Adjust"/>
      </sharedItems>
    </cacheField>
    <cacheField name="Adjusted 2022" numFmtId="166">
      <sharedItems containsSemiMixedTypes="0" containsString="0" containsNumber="1" minValue="0" maxValue="441362"/>
    </cacheField>
    <cacheField name="Adjustment for gross underrepoting 2022" numFmtId="166">
      <sharedItems containsSemiMixedTypes="0" containsString="0" containsNumber="1" minValue="0" maxValue="441362"/>
    </cacheField>
    <cacheField name="Trend 18 to 22" numFmtId="166">
      <sharedItems/>
    </cacheField>
    <cacheField name="Annual growth (compound 2015 - 18) " numFmtId="167">
      <sharedItems containsSemiMixedTypes="0" containsString="0" containsNumber="1" minValue="-0.22530855667613492" maxValue="0.3113441654036182"/>
    </cacheField>
    <cacheField name="Annual growth (compound 2018 - 20)" numFmtId="167">
      <sharedItems containsSemiMixedTypes="0" containsString="0" containsNumber="1" minValue="-3.8361793441239245E-2" maxValue="0.50042870775453441"/>
    </cacheField>
    <cacheField name="2013 numbers" numFmtId="166">
      <sharedItems containsSemiMixedTypes="0" containsString="0" containsNumber="1" minValue="0" maxValue="289599.58761553268"/>
    </cacheField>
    <cacheField name="2022 nubmers" numFmtId="166">
      <sharedItems containsSemiMixedTypes="0" containsString="0" containsNumber="1" minValue="0" maxValue="351270.72019221057"/>
    </cacheField>
    <cacheField name="Density per 10,000 (2013)" numFmtId="43">
      <sharedItems containsSemiMixedTypes="0" containsString="0" containsNumber="1" minValue="0" maxValue="117.88346853354079"/>
    </cacheField>
    <cacheField name="Density per 10,000 (2018)" numFmtId="43">
      <sharedItems containsSemiMixedTypes="0" containsString="0" containsNumber="1" minValue="0" maxValue="215.61381557889831"/>
    </cacheField>
    <cacheField name="Density per 10,000 (2022)****" numFmtId="43">
      <sharedItems containsSemiMixedTypes="0" containsString="0" containsNumber="1" minValue="0" maxValue="207.5271778450967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57.660127314812" createdVersion="8" refreshedVersion="8" minRefreshableVersion="3" recordCount="1551" xr:uid="{6C16BA37-0ECE-456A-B2BC-376956455600}">
  <cacheSource type="worksheet">
    <worksheetSource ref="A1:AU1552" sheet="Master DataSheet (Rev)"/>
  </cacheSource>
  <cacheFields count="47">
    <cacheField name="Country name" numFmtId="0">
      <sharedItems count="47">
        <s v="Angola"/>
        <s v="Burundi"/>
        <s v="Benin"/>
        <s v="Burkina Faso"/>
        <s v="Botswana"/>
        <s v="Central African Republic"/>
        <s v="Cote d'Ivoire"/>
        <s v="Cameroon"/>
        <s v="DRC"/>
        <s v="Congo"/>
        <s v="Comoros"/>
        <s v="Cape-Verde"/>
        <s v="Algeria"/>
        <s v="Eritrea"/>
        <s v="Ethiopia"/>
        <s v="Gabon"/>
        <s v="Ghana"/>
        <s v="Guinea"/>
        <s v="Gambia"/>
        <s v="Guinea-Bissau"/>
        <s v="Equatorial Guinea"/>
        <s v="Kenya"/>
        <s v="Liberia"/>
        <s v="Lesotho"/>
        <s v="Madagascar"/>
        <s v="Mali"/>
        <s v="Mozambique"/>
        <s v="Mauritania"/>
        <s v="Mauritius"/>
        <s v="Malawi"/>
        <s v="Namibia"/>
        <s v="Niger"/>
        <s v="Nigeria"/>
        <s v="Rwanda"/>
        <s v="Senegal"/>
        <s v="Sierra Leone"/>
        <s v="South Sudan"/>
        <s v="Sao Tome and Principe"/>
        <s v="Eswatini"/>
        <s v="Seychelles"/>
        <s v="Chad"/>
        <s v="Togo"/>
        <s v="Tanzania"/>
        <s v="Uganda"/>
        <s v="South Africa"/>
        <s v="Zambia"/>
        <s v="Zimbabwe"/>
      </sharedItems>
    </cacheField>
    <cacheField name="Country" numFmtId="0">
      <sharedItems/>
    </cacheField>
    <cacheField name="Pop 2012" numFmtId="0">
      <sharedItems containsSemiMixedTypes="0" containsString="0" containsNumber="1" minValue="95308.999999999985" maxValue="170075954.5"/>
    </cacheField>
    <cacheField name="Cadre" numFmtId="0">
      <sharedItems count="33">
        <s v="Community Health Workers "/>
        <s v="Dieticians and nutritionists"/>
        <s v="Environmental and occupational health &amp; hygiene workers"/>
        <s v="Personal care workers in health service"/>
        <s v="Managerial staff "/>
        <s v="Medical and dental Prosthetic Technicians "/>
        <s v="Medical and Pathology Laboratory scientists "/>
        <s v="Medical Assistants "/>
        <s v="Medical Imaging and Therapeutic Equipment Technicians "/>
        <s v="Medical Records and Health Information Technicians "/>
        <s v="Optometrists and Ophthalmic Opticians "/>
        <s v="Other non-medical professional staff "/>
        <s v="Other non-medical support staff "/>
        <s v="Medical and Pathology Laboratory Technicians "/>
        <s v="Paramedical Practitioners "/>
        <s v="Physiotherapists and physiotherapy assistants"/>
        <s v="Social workers"/>
        <s v="Audiologists and Speech Therapists "/>
        <s v="Traditional and complementary medicine practitioners"/>
        <s v=" Medical Doctors "/>
        <s v=" Generalist Medical Practitioners "/>
        <s v=" Specialist Medical Practitioners "/>
        <s v=" Nursing Personnel "/>
        <s v=" Nursing Professionals "/>
        <s v=" Nursing Associate Professionals "/>
        <s v=" Midwifery personnel "/>
        <s v=" Midwifery Professionals "/>
        <s v=" Midwifery Associate Professionals "/>
        <s v=" Pharmacists1 "/>
        <s v=" Pharmaceutical Technicians and Assistants "/>
        <s v=" Dentists "/>
        <s v=" Dental Assistants and Therapists "/>
        <s v=" Psychologists "/>
      </sharedItems>
    </cacheField>
    <cacheField name="2,012" numFmtId="0">
      <sharedItems containsSemiMixedTypes="0" containsString="0" containsNumber="1" containsInteger="1" minValue="0" maxValue="61769"/>
    </cacheField>
    <cacheField name="Pop 2013" numFmtId="0">
      <sharedItems containsSemiMixedTypes="0" containsString="0" containsNumber="1" minValue="96714" maxValue="174726123.50000006"/>
    </cacheField>
    <cacheField name="2,013" numFmtId="0">
      <sharedItems containsSemiMixedTypes="0" containsString="0" containsNumber="1" containsInteger="1" minValue="0" maxValue="262512"/>
    </cacheField>
    <cacheField name="Pop 2014" numFmtId="0">
      <sharedItems containsString="0" containsBlank="1" containsNumber="1" minValue="98000.999999999927" maxValue="179379016.5"/>
    </cacheField>
    <cacheField name="2,014" numFmtId="0">
      <sharedItems containsSemiMixedTypes="0" containsString="0" containsNumber="1" containsInteger="1" minValue="0" maxValue="45388"/>
    </cacheField>
    <cacheField name="Pop 2015" numFmtId="0">
      <sharedItems containsBlank="1" containsMixedTypes="1" containsNumber="1" minValue="99239.999999999971" maxValue="183995784.49999991"/>
    </cacheField>
    <cacheField name="2,015" numFmtId="0">
      <sharedItems containsSemiMixedTypes="0" containsString="0" containsNumber="1" containsInteger="1" minValue="0" maxValue="179175"/>
    </cacheField>
    <cacheField name="Pop 2016" numFmtId="0">
      <sharedItems containsString="0" containsBlank="1" containsNumber="1" minValue="100508.49999999997" maxValue="188666930.99999988"/>
    </cacheField>
    <cacheField name="2,016" numFmtId="0">
      <sharedItems containsSemiMixedTypes="0" containsString="0" containsNumber="1" containsInteger="1" minValue="0" maxValue="185101"/>
    </cacheField>
    <cacheField name="Pop 2017" numFmtId="0">
      <sharedItems containsString="0" containsBlank="1" containsNumber="1" minValue="101810.50000000001" maxValue="193495906.50000003"/>
    </cacheField>
    <cacheField name="2,017" numFmtId="0">
      <sharedItems containsSemiMixedTypes="0" containsString="0" containsNumber="1" containsInteger="1" minValue="0" maxValue="92000"/>
    </cacheField>
    <cacheField name="Pop 2018" numFmtId="0">
      <sharedItems containsSemiMixedTypes="0" containsString="0" containsNumber="1" minValue="103101.00000000003" maxValue="198387623.50000006"/>
    </cacheField>
    <cacheField name="2,018" numFmtId="0">
      <sharedItems containsSemiMixedTypes="0" containsString="0" containsNumber="1" containsInteger="1" minValue="0" maxValue="125024"/>
    </cacheField>
    <cacheField name="2018 (triag)" numFmtId="3">
      <sharedItems containsSemiMixedTypes="0" containsString="0" containsNumber="1" containsInteger="1" minValue="0" maxValue="311269"/>
    </cacheField>
    <cacheField name="Pop 2019" numFmtId="3">
      <sharedItems containsString="0" containsBlank="1" containsNumber="1" minValue="104372.49999999997" maxValue="203304491.50000006"/>
    </cacheField>
    <cacheField name="2,019" numFmtId="3">
      <sharedItems containsSemiMixedTypes="0" containsString="0" containsNumber="1" containsInteger="1" minValue="0" maxValue="180709"/>
    </cacheField>
    <cacheField name="Pop 2020" numFmtId="0">
      <sharedItems containsString="0" containsBlank="1" containsNumber="1" minValue="105529.99999999997" maxValue="208327404.49999994"/>
    </cacheField>
    <cacheField name="2,020" numFmtId="0">
      <sharedItems containsSemiMixedTypes="0" containsString="0" containsNumber="1" containsInteger="1" minValue="0" maxValue="95789"/>
    </cacheField>
    <cacheField name="Pop 2021" numFmtId="0">
      <sharedItems containsString="0" containsBlank="1" containsNumber="1" minValue="106470.49999999996" maxValue="213401322.49999997"/>
    </cacheField>
    <cacheField name="2,021" numFmtId="0">
      <sharedItems containsString="0" containsBlank="1" containsNumber="1" containsInteger="1" minValue="0" maxValue="201735"/>
    </cacheField>
    <cacheField name="Pop 2022" numFmtId="0">
      <sharedItems containsSemiMixedTypes="0" containsString="0" containsNumber="1" minValue="107118.5" maxValue="218541211.50000003"/>
    </cacheField>
    <cacheField name="2,022" numFmtId="0">
      <sharedItems containsString="0" containsBlank="1" containsNumber="1" containsInteger="1" minValue="0" maxValue="271047"/>
    </cacheField>
    <cacheField name="2018 report" numFmtId="0">
      <sharedItems containsSemiMixedTypes="0" containsString="0" containsNumber="1" containsInteger="1" minValue="0" maxValue="311269"/>
    </cacheField>
    <cacheField name="Max (12-15)" numFmtId="0">
      <sharedItems containsSemiMixedTypes="0" containsString="0" containsNumber="1" containsInteger="1" minValue="0" maxValue="262512"/>
    </cacheField>
    <cacheField name="Max(16-19)" numFmtId="0">
      <sharedItems containsSemiMixedTypes="0" containsString="0" containsNumber="1" containsInteger="1" minValue="0" maxValue="185101"/>
    </cacheField>
    <cacheField name="Max(20-22)" numFmtId="0">
      <sharedItems containsSemiMixedTypes="0" containsString="0" containsNumber="1" containsInteger="1" minValue="0" maxValue="271047"/>
    </cacheField>
    <cacheField name="2013 or latest" numFmtId="0">
      <sharedItems containsString="0" containsBlank="1" containsNumber="1" containsInteger="1" minValue="1" maxValue="262512" count="333">
        <m/>
        <n v="85"/>
        <n v="517"/>
        <n v="44"/>
        <n v="3830"/>
        <n v="206"/>
        <n v="830"/>
        <n v="10200"/>
        <n v="2099"/>
        <n v="128"/>
        <n v="1791"/>
        <n v="109"/>
        <n v="458"/>
        <n v="166"/>
        <n v="668"/>
        <n v="257"/>
        <n v="83"/>
        <n v="190"/>
        <n v="2380"/>
        <n v="820"/>
        <n v="70"/>
        <n v="1600"/>
        <n v="60"/>
        <n v="19"/>
        <n v="634"/>
        <n v="2126"/>
        <n v="287"/>
        <n v="819"/>
        <n v="4104"/>
        <n v="755"/>
        <n v="86"/>
        <n v="3781"/>
        <n v="3881"/>
        <n v="1"/>
        <n v="199"/>
        <n v="50"/>
        <n v="461"/>
        <n v="999"/>
        <n v="296"/>
        <n v="5293"/>
        <n v="4"/>
        <n v="351"/>
        <n v="3987"/>
        <n v="6118"/>
        <n v="8638"/>
        <n v="6700"/>
        <n v="3"/>
        <n v="11"/>
        <n v="32"/>
        <n v="17"/>
        <n v="141"/>
        <n v="20"/>
        <n v="127"/>
        <n v="656"/>
        <n v="496"/>
        <n v="5"/>
        <n v="211"/>
        <n v="201"/>
        <n v="13216"/>
        <n v="2036"/>
        <n v="205"/>
        <n v="174"/>
        <n v="1204"/>
        <n v="1908"/>
        <n v="238"/>
        <n v="115"/>
        <n v="1465"/>
        <n v="35"/>
        <n v="209"/>
        <n v="6560"/>
        <n v="68565"/>
        <n v="262512"/>
        <n v="23"/>
        <n v="116"/>
        <n v="1545"/>
        <n v="125"/>
        <n v="886"/>
        <n v="770"/>
        <n v="3518"/>
        <n v="22"/>
        <n v="546"/>
        <n v="54"/>
        <n v="1511"/>
        <n v="3046"/>
        <n v="24"/>
        <n v="15"/>
        <n v="4646"/>
        <n v="406"/>
        <n v="1258"/>
        <n v="407"/>
        <n v="231"/>
        <n v="3255"/>
        <n v="89"/>
        <n v="223"/>
        <n v="470"/>
        <n v="82"/>
        <n v="1997"/>
        <n v="8787"/>
        <n v="130"/>
        <n v="179175"/>
        <n v="227"/>
        <n v="121"/>
        <n v="2447"/>
        <n v="114"/>
        <n v="6046"/>
        <n v="19791"/>
        <n v="144"/>
        <n v="8476"/>
        <n v="3588"/>
        <n v="273"/>
        <n v="217"/>
        <n v="8185"/>
        <n v="2586"/>
        <n v="53"/>
        <n v="184"/>
        <n v="500"/>
        <n v="18"/>
        <n v="1126"/>
        <n v="3141"/>
        <n v="485"/>
        <n v="11200"/>
        <n v="845"/>
        <n v="1885"/>
        <n v="229"/>
        <n v="26"/>
        <n v="343"/>
        <n v="239"/>
        <n v="519"/>
        <n v="145"/>
        <n v="419"/>
        <n v="30"/>
        <n v="554"/>
        <n v="486"/>
        <n v="68"/>
        <n v="6573"/>
        <n v="2568"/>
        <n v="4005"/>
        <n v="4880"/>
        <n v="943"/>
        <n v="1330"/>
        <n v="803"/>
        <n v="6196"/>
        <n v="3489"/>
        <n v="2707"/>
        <n v="1591"/>
        <n v="207"/>
        <n v="148"/>
        <n v="38"/>
        <n v="5816"/>
        <n v="1501"/>
        <n v="55"/>
        <n v="324"/>
        <n v="322"/>
        <n v="514"/>
        <n v="241"/>
        <n v="5240"/>
        <n v="8780"/>
        <n v="7172"/>
        <n v="1608"/>
        <n v="3851"/>
        <n v="2627"/>
        <n v="1224"/>
        <n v="2430"/>
        <n v="2310"/>
        <n v="490"/>
        <n v="120"/>
        <n v="1842"/>
        <n v="18954"/>
        <n v="162"/>
        <n v="1178"/>
        <n v="58"/>
        <n v="6418"/>
        <n v="59813"/>
        <n v="27373"/>
        <n v="17611"/>
        <n v="1555"/>
        <n v="283"/>
        <n v="3289"/>
        <n v="1934"/>
        <n v="1918"/>
        <n v="1282"/>
        <n v="1215"/>
        <n v="67"/>
        <n v="123"/>
        <n v="295"/>
        <n v="284"/>
        <n v="16"/>
        <n v="308"/>
        <n v="403"/>
        <n v="11139"/>
        <n v="9404"/>
        <n v="1735"/>
        <n v="172"/>
        <n v="4262"/>
        <n v="1395"/>
        <n v="2867"/>
        <n v="6925"/>
        <n v="437"/>
        <n v="2730"/>
        <n v="37404"/>
        <n v="15412"/>
        <n v="21992"/>
        <n v="11287"/>
        <n v="4185"/>
        <n v="1844"/>
        <n v="5789"/>
        <n v="1505"/>
        <n v="4284"/>
        <n v="142"/>
        <n v="213"/>
        <n v="2386"/>
        <n v="259"/>
        <n v="79"/>
        <n v="180"/>
        <n v="99"/>
        <n v="354"/>
        <n v="727"/>
        <n v="474"/>
        <n v="253"/>
        <n v="153"/>
        <n v="8682"/>
        <n v="40292"/>
        <n v="28300"/>
        <n v="11992"/>
        <n v="2202"/>
        <n v="1045"/>
        <n v="168"/>
        <n v="806"/>
        <n v="3523"/>
        <n v="3028"/>
        <n v="495"/>
        <n v="3438"/>
        <n v="3400"/>
        <n v="111"/>
        <n v="1971"/>
        <n v="4257"/>
        <n v="1961"/>
        <n v="686"/>
        <n v="1275"/>
        <n v="1452"/>
        <n v="6432"/>
        <n v="4265"/>
        <n v="3545"/>
        <n v="720"/>
        <n v="103"/>
        <n v="1388"/>
        <n v="136"/>
        <n v="622"/>
        <n v="3846"/>
        <n v="368"/>
        <n v="2046"/>
        <n v="3963"/>
        <n v="460"/>
        <n v="200"/>
        <n v="48"/>
        <n v="170"/>
        <n v="4110"/>
        <n v="2042"/>
        <n v="2068"/>
        <n v="946"/>
        <n v="3533"/>
        <n v="917"/>
        <n v="829"/>
        <n v="12"/>
        <n v="51"/>
        <n v="65759"/>
        <n v="74920"/>
        <n v="101275"/>
        <n v="20035"/>
        <n v="1104"/>
        <n v="609"/>
        <n v="9625"/>
        <n v="1682"/>
        <n v="1020"/>
        <n v="662"/>
        <n v="3946"/>
        <n v="143"/>
        <n v="371"/>
        <n v="6106"/>
        <n v="2187"/>
        <n v="286"/>
        <n v="1901"/>
        <n v="63"/>
        <n v="442"/>
        <n v="31"/>
        <n v="3735"/>
        <n v="2926"/>
        <n v="809"/>
        <n v="93"/>
        <n v="14"/>
        <n v="573"/>
        <n v="3606"/>
        <n v="451"/>
        <n v="72"/>
        <n v="361"/>
        <n v="97"/>
        <n v="264"/>
        <n v="1341"/>
        <n v="795"/>
        <n v="396"/>
        <n v="399"/>
        <n v="1481"/>
        <n v="929"/>
        <n v="20800"/>
        <n v="339"/>
        <n v="317"/>
        <n v="366"/>
        <n v="3370"/>
        <n v="40149"/>
        <n v="14303"/>
        <n v="25846"/>
        <n v="7000"/>
        <n v="550"/>
        <n v="650"/>
        <n v="276"/>
        <n v="58722"/>
        <n v="13642"/>
        <n v="7320"/>
        <n v="5770"/>
        <n v="4625"/>
        <n v="2773"/>
        <n v="409"/>
        <n v="814"/>
        <n v="282"/>
        <n v="1114"/>
        <n v="1458"/>
        <n v="18722"/>
        <n v="18315"/>
        <n v="2570"/>
        <n v="394"/>
        <n v="511"/>
        <n v="236"/>
        <n v="171"/>
      </sharedItems>
    </cacheField>
    <cacheField name="Data year" numFmtId="0">
      <sharedItems containsMixedTypes="1" containsNumber="1" containsInteger="1" minValue="2012" maxValue="2015"/>
    </cacheField>
    <cacheField name="2018 or latest" numFmtId="0">
      <sharedItems containsString="0" containsBlank="1" containsNumber="1" containsInteger="1" minValue="1" maxValue="311269"/>
    </cacheField>
    <cacheField name="Data year1" numFmtId="0">
      <sharedItems containsMixedTypes="1" containsNumber="1" containsInteger="1" minValue="2016" maxValue="2019"/>
    </cacheField>
    <cacheField name="2022 or latest" numFmtId="0">
      <sharedItems containsSemiMixedTypes="0" containsString="0" containsNumber="1" containsInteger="1" minValue="0" maxValue="271047"/>
    </cacheField>
    <cacheField name="Data year2" numFmtId="0">
      <sharedItems containsMixedTypes="1" containsNumber="1" containsInteger="1" minValue="2017" maxValue="2022"/>
    </cacheField>
    <cacheField name="Need for adjustment" numFmtId="0">
      <sharedItems count="2">
        <s v="Adjust"/>
        <s v=""/>
      </sharedItems>
    </cacheField>
    <cacheField name="Adjusted 2022" numFmtId="166">
      <sharedItems containsString="0" containsBlank="1" containsNumber="1" minValue="1" maxValue="397261.24962174537"/>
    </cacheField>
    <cacheField name="Adjustment for underrepoting 2022" numFmtId="166">
      <sharedItems containsSemiMixedTypes="0" containsString="0" containsNumber="1" minValue="0" maxValue="397261.24962174537"/>
    </cacheField>
    <cacheField name="Trend 18 to 22" numFmtId="166">
      <sharedItems/>
    </cacheField>
    <cacheField name="Annual growth (compound 2015 - 18) " numFmtId="0">
      <sharedItems containsString="0" containsBlank="1" containsNumber="1" minValue="-0.22530855667613492" maxValue="0.3113441654036182"/>
    </cacheField>
    <cacheField name="Annual growth (compound 2018 - 20)" numFmtId="0">
      <sharedItems containsString="0" containsBlank="1" containsNumber="1" minValue="-3.8361793441239245E-2" maxValue="0.50042870775453441"/>
    </cacheField>
    <cacheField name="2013 numbers" numFmtId="0">
      <sharedItems containsString="0" containsBlank="1" containsNumber="1" minValue="0" maxValue="267366.06724053662"/>
    </cacheField>
    <cacheField name="2022 nubmers" numFmtId="0">
      <sharedItems containsString="0" containsBlank="1" containsNumber="1" minValue="0" maxValue="351270.72019221057"/>
    </cacheField>
    <cacheField name="Density per 10,000 (2013)" numFmtId="43">
      <sharedItems containsSemiMixedTypes="0" containsString="0" containsNumber="1" minValue="0" maxValue="71.878356854465324" count="374">
        <n v="0"/>
        <n v="3.2508507093853424E-2"/>
        <n v="0.19772821373555552"/>
        <n v="4.33515582298869E-2"/>
        <n v="3.7152974364787226"/>
        <n v="0.19983061929885557"/>
        <n v="0.80514278649538895"/>
        <n v="9.8945258099433353"/>
        <n v="1.190151679133066"/>
        <n v="7.2577139080053574E-2"/>
        <n v="1.0155129382216872"/>
        <n v="6.1803969997858123E-2"/>
        <n v="0.25969007577081671"/>
        <n v="0.74866570633001328"/>
        <n v="3.0127029628219812"/>
        <n v="9.1620312514803584E-2"/>
        <n v="0.53514591627964825"/>
        <n v="0.17282922588019767"/>
        <n v="8.4559943932306647E-2"/>
        <n v="1.0592245608362623"/>
        <n v="0.36494291591837608"/>
        <n v="3.1153663554007713E-2"/>
        <n v="0.7120837383773192"/>
        <n v="2.6703140189149467E-2"/>
        <n v="2.5864408614857323E-3"/>
        <n v="8.6305447693787077E-2"/>
        <n v="0.28940911955361409"/>
        <n v="3.9068869855073962E-2"/>
        <n v="1.6963312332172713"/>
        <n v="8.5002971686491833"/>
        <n v="10.795082875495513"/>
        <n v="1.2296385791955156"/>
        <n v="70.026299218431689"/>
        <n v="71.878356854465324"/>
        <n v="2.6315355616571203E-4"/>
        <n v="5.2367557676976692E-2"/>
        <n v="5.1501598104889499E-3"/>
        <n v="4.748447345270812E-2"/>
        <n v="5.2517405261676231"/>
        <n v="1.5560712670126291"/>
        <n v="1.92293740259294"/>
        <n v="1.4531928226661176E-3"/>
        <n v="0.1275176701889518"/>
        <n v="1.4484699459924526"/>
        <n v="2.2226584222678269"/>
        <n v="3.1381699005474806"/>
        <n v="6.0603703338540411"/>
        <n v="1.4118514101689539E-2"/>
        <n v="5.1767885039528311E-2"/>
        <n v="0.15059748375135509"/>
        <n v="8.0004913242907386E-2"/>
        <n v="0.66357016277940839"/>
        <n v="9.412342734459693E-2"/>
        <n v="0.59768376363819053"/>
        <n v="3.0872484169027792"/>
        <n v="2.921509466191333"/>
        <n v="4.0194832391568402E-2"/>
        <n v="8.0389664783136802E-3"/>
        <n v="4.7106239170030033E-2"/>
        <n v="4.4873715986616283E-2"/>
        <n v="2.9505026391996059"/>
        <n v="4.5987266541496687"/>
        <n v="5.3039181248624299E-2"/>
        <n v="0.98845746872436202"/>
        <n v="7.376609200407995E-2"/>
        <n v="0.47679899647275681"/>
        <n v="3.3661058721083326E-2"/>
        <n v="1.74245480438549E-2"/>
        <n v="0.75559176517443516"/>
        <n v="9.4250964419033315E-2"/>
        <n v="4.5541432387348035E-2"/>
        <n v="0.58015824736925969"/>
        <n v="0.11365557474059901"/>
        <n v="9.3508905654590441E-2"/>
        <n v="0.55838175090884001"/>
        <n v="3.5168230393081639"/>
        <n v="3.9241413147931468"/>
        <n v="15.024198714052046"/>
        <n v="2.0718201872664228E-2"/>
        <n v="0.10449180074908915"/>
        <n v="1.3917226910115752"/>
        <n v="0.11259892322100123"/>
        <n v="0.7981011677904567"/>
        <n v="0.56636114180024388"/>
        <n v="2.5876084374717636"/>
        <n v="1.6181746908578397E-2"/>
        <n v="0.40160153691290024"/>
        <n v="8.0908734542891984E-3"/>
        <n v="3.9718833321056066E-2"/>
        <n v="2.169462595686618"/>
        <n v="4.3733838957388746"/>
        <n v="0.20644415427571652"/>
        <n v="1.2386649256542992"/>
        <n v="0.13412988601642289"/>
        <n v="41.544496695486714"/>
        <n v="0.30718557371804972"/>
        <n v="0.95182130969779943"/>
        <n v="0.57273696077061409"/>
        <n v="0.32506692368061879"/>
        <n v="0.66086481500602079"/>
        <n v="1.2181839907945084E-2"/>
        <n v="1.8069729196785209E-2"/>
        <n v="4.5275838324529229E-2"/>
        <n v="9.5424412612236498E-2"/>
        <n v="1.6648514540858281E-2"/>
        <n v="0.40545223826943888"/>
        <n v="1.7840304545185577"/>
        <n v="2.6393986467214348E-2"/>
        <n v="50.795822481251555"/>
        <n v="6.4354132570080103E-2"/>
        <n v="3.4303304145284992E-2"/>
        <n v="0.69372053920258159"/>
        <n v="3.2318815475723045E-2"/>
        <n v="1.7140312137387854"/>
        <n v="5.6107164656143409"/>
        <n v="2.6729224932664629E-2"/>
        <n v="1.5733118786754541"/>
        <n v="0.66600318790556035"/>
        <n v="5.0674155601510021E-2"/>
        <n v="4.0279457016584891E-2"/>
        <n v="1.5192965699573608"/>
        <n v="0.48001233108243563"/>
        <n v="3.4788371179580481E-2"/>
        <n v="0.12077472258571337"/>
        <n v="0.32819218093943853"/>
        <n v="1.1814918513819786E-2"/>
        <n v="0.73908879147561546"/>
        <n v="2.0617032806615527"/>
        <n v="0.31834641551125537"/>
        <n v="8.262376791455722"/>
        <n v="0.62336682042679326"/>
        <n v="1.3905875224905389"/>
        <n v="0.16893609689672859"/>
        <n v="1.918051755159364E-2"/>
        <n v="0.25303528923833146"/>
        <n v="0.17631321903195693"/>
        <n v="0.38287263881834999"/>
        <n v="0.10696827096081069"/>
        <n v="0.30910141746606673"/>
        <n v="1.147359073900709E-2"/>
        <n v="0.54583552862175777"/>
        <n v="0.47883766590284166"/>
        <n v="6.6997862718916126E-2"/>
        <n v="6.4761316419328772"/>
        <n v="2.5301545803261263"/>
        <n v="3.9459770616067509"/>
        <n v="3.4484194046500945E-2"/>
        <n v="3.9410507481715366E-3"/>
        <n v="4.7338515639728893"/>
        <n v="0.91475861164476124"/>
        <n v="1.2901685614926113"/>
        <n v="0.74693969349572231"/>
        <n v="0.45530814594752361"/>
        <n v="3.5131871385938434"/>
        <n v="1.978294048830523"/>
        <n v="1.5348930897633206"/>
        <n v="0.90211115840910339"/>
        <n v="0.11737084210602414"/>
        <n v="8.3917317061311947E-2"/>
        <n v="2.1546338164390905E-2"/>
        <n v="3.6937181535197645"/>
        <n v="26.230359927803359"/>
        <n v="6.7695615975984937"/>
        <n v="0.24805189065151045"/>
        <n v="0.67465866488173498"/>
        <n v="7.9126633535512123E-2"/>
        <n v="0.67049410522197117"/>
        <n v="1.0702918325592956"/>
        <n v="0.50182943900153743"/>
        <n v="0.56846239355775818"/>
        <n v="4.164559659763796E-2"/>
        <n v="2.3320742431857204"/>
        <n v="3.9075595143455391"/>
        <n v="3.1919153572763332"/>
        <n v="0.7156441570692057"/>
        <n v="1.7138965478069101"/>
        <n v="1.1691524879482609"/>
        <n v="0.54474405985864915"/>
        <n v="1.0814771776605534"/>
        <n v="1.0280708972822545"/>
        <n v="0.218075644878054"/>
        <n v="5.3406280378298934E-2"/>
        <n v="0.85148281433098261"/>
        <n v="8.7616749526761364"/>
        <n v="5.870701271445971E-2"/>
        <n v="7.4886110706633646E-2"/>
        <n v="0.54454221242231138"/>
        <n v="2.681107667274538E-2"/>
        <n v="0.87367249731660168"/>
        <n v="8.1422519604234793"/>
        <n v="3.7262445106025766"/>
        <n v="2.3973584216644861"/>
        <n v="0.21167976524264812"/>
        <n v="3.8524355989498014E-2"/>
        <n v="6.8122508254598362"/>
        <n v="4.0057443285008585"/>
        <n v="3.9726047683891657"/>
        <n v="2.6553072539493798"/>
        <n v="2.5165353459816662"/>
        <n v="0.1387719079677133"/>
        <n v="1.7586691307098652"/>
        <n v="4.2179462891008965"/>
        <n v="4.0606669359479817"/>
        <n v="0.15727935315291477"/>
        <n v="0.22876996822242149"/>
        <n v="0.25736621425022416"/>
        <n v="5.7043375189835919"/>
        <n v="7.4637922732155442"/>
        <n v="2.931267462129866"/>
        <n v="2.4746960421823556"/>
        <n v="0.45657141994751033"/>
        <n v="0.52178656078039853"/>
        <n v="12.929385593291038"/>
        <n v="4.2319316993526508"/>
        <n v="8.6974538939383876"/>
        <n v="0.71329713375271953"/>
        <n v="2.2973079178531046"/>
        <n v="0.99180410146962517"/>
        <n v="13.588806084750864"/>
        <n v="5.5991519457325509"/>
        <n v="7.989654139018314"/>
        <n v="4.1005468473581175"/>
        <n v="1.5204029907144254"/>
        <n v="1.667958641138336"/>
        <n v="5.2363408750270208"/>
        <n v="1.3613219929030345"/>
        <n v="3.8750188821239866"/>
        <n v="0.45226644282492839"/>
        <n v="0.12844366976227967"/>
        <n v="1.0024145012199572"/>
        <n v="11.228924882210414"/>
        <n v="1.2188983841125303"/>
        <n v="0.37178753801115788"/>
        <n v="0.84711084610137233"/>
        <n v="2.3530856836149232E-2"/>
        <n v="0.46591096535575477"/>
        <n v="2.0851095786930078"/>
        <n v="4.2821318183893133"/>
        <n v="2.7919263850296208"/>
        <n v="1.4902054333596921"/>
        <n v="0.9011914280791814"/>
        <n v="0.87174072781515588"/>
        <n v="2.9450700264025537E-2"/>
        <n v="1.9382766278398138"/>
        <n v="8.9952824106106632"/>
        <n v="6.3180406090608994"/>
        <n v="2.6772418015497634"/>
        <n v="0.49160160498770678"/>
        <n v="0.2332986726667364"/>
        <n v="0.37946271016559152"/>
        <n v="1.8205175261515878"/>
        <n v="1.4935513915538714"/>
        <n v="1.2836995780939888"/>
        <n v="0.2098518134598826"/>
        <n v="1.4575162316668209"/>
        <n v="1.441406395482022"/>
        <n v="7.2070319774101095E-3"/>
        <n v="4.7057679381913069E-2"/>
        <n v="1.1591368106359479"/>
        <n v="2.5035237964876864"/>
        <n v="1.1532558526925896"/>
        <n v="0.40343371491438879"/>
        <n v="0.74982213777820073"/>
        <n v="0.57501008544721166"/>
        <n v="2.5471521140471527"/>
        <n v="1.6889931228872987"/>
        <n v="1.4038641548969459"/>
        <n v="0.28512896799035292"/>
        <n v="4.0789282920842149E-2"/>
        <n v="0.5496652882925136"/>
        <n v="5.3857693953733327E-2"/>
        <n v="1.6617868376330072"/>
        <n v="10.275292889930139"/>
        <n v="0.98317935088255093"/>
        <n v="15.851967724278035"/>
        <n v="30.704471207875784"/>
        <n v="3.5639810132785414"/>
        <n v="2.7194724688277567"/>
        <n v="0.12480674066229511"/>
        <n v="1.9969078505967217E-2"/>
        <n v="2.2121994782391807"/>
        <n v="2.9953617758950828E-2"/>
        <n v="0.10608572956295084"/>
        <n v="18.643598804269427"/>
        <n v="9.2628293815859291"/>
        <n v="9.3807694226834961"/>
        <n v="0.30845856902440899"/>
        <n v="0.50715161511974438"/>
        <n v="1.894045091139595"/>
        <n v="0.49160468400085156"/>
        <n v="0.4444277895711079"/>
        <n v="6.4332128767832265E-3"/>
        <n v="2.7341154726328712E-2"/>
        <n v="1.6083032191958065E-2"/>
        <n v="3.7635471263688842"/>
        <n v="4.2878533844425375"/>
        <n v="5.7962139817060594"/>
        <n v="1.1466516625374563"/>
        <n v="0.99447368988788287"/>
        <n v="0.54858195393271802"/>
        <n v="0.4458917359551649"/>
        <n v="8.6701170880170952"/>
        <n v="0.56029224194770211"/>
        <n v="0.10269021797755312"/>
        <n v="0.11440050599253725"/>
        <n v="1.2371681045558576"/>
        <n v="0.75024462939772574"/>
        <n v="0.48692347515813178"/>
        <n v="2.9024169682386525"/>
        <n v="0.10518135490575958"/>
        <n v="0.27288309559466301"/>
        <n v="8.7668687023577032"/>
        <n v="0.91028410699226736"/>
        <n v="3.8866546965742392"/>
        <n v="3.140049435318752"/>
        <n v="0.41063289369051809"/>
        <n v="2.7294165416282339"/>
        <n v="3.2514954298425351"/>
        <n v="22.812079047466675"/>
        <n v="1.599942195636803"/>
        <n v="33.398341618089297"/>
        <n v="26.16426976560356"/>
        <n v="7.2340718524857417"/>
        <n v="9.6159811402692483"/>
        <n v="43.323613954546396"/>
        <n v="0.41359058667824722"/>
        <n v="1.4475670533738652"/>
        <n v="0.43354023088778937"/>
        <n v="2.7283526572100674"/>
        <n v="0.3412332358296562"/>
        <n v="5.4476259378570396E-2"/>
        <n v="0.5080050192584562"/>
        <n v="0.13649996362346331"/>
        <n v="0.37150505563499292"/>
        <n v="1.8870768166913845"/>
        <n v="1.1187368152644672"/>
        <n v="0.55725758345248932"/>
        <n v="0.5614792318119779"/>
        <n v="2.3922674037101816E-2"/>
        <n v="2.5329890156931333E-2"/>
        <n v="0.30068841506111116"/>
        <n v="0.18861548790801638"/>
        <n v="4.2230378347542956"/>
        <n v="6.8827395479889725E-2"/>
        <n v="6.4360720846976527E-2"/>
        <n v="2.010003584810939E-2"/>
        <n v="7.4309223438465008E-2"/>
        <n v="0.95538954520339181"/>
        <n v="11.382176513463198"/>
        <n v="4.0548773486777785"/>
        <n v="7.32729916478542"/>
        <n v="1.9844886695619415"/>
        <n v="0.15592410975129542"/>
        <n v="0.18427394788789458"/>
        <n v="7.8245553257013697E-2"/>
        <n v="10.899955183999529"/>
        <n v="2.5322228231347976"/>
        <n v="1.3587356007437852"/>
        <n v="1.0710251934824646"/>
        <n v="0.85849073134426324"/>
        <n v="1.8201538354901259"/>
        <n v="0.26846120400846069"/>
        <n v="0.53429687056940589"/>
        <n v="0.18510039004984333"/>
        <n v="0.82181140586443524"/>
        <n v="1.0755844073162895"/>
        <n v="0.16746067246968294"/>
        <n v="13.811448061574467"/>
        <n v="13.511199190670673"/>
        <n v="1.8959203887536791"/>
        <n v="0.29065861212799593"/>
        <n v="0.37697094111016732"/>
        <n v="0.17410008239138841"/>
        <n v="0.12614878851240433"/>
      </sharedItems>
    </cacheField>
    <cacheField name="Density per 10,000 (2018)" numFmtId="43">
      <sharedItems containsSemiMixedTypes="0" containsString="0" containsNumber="1" minValue="0" maxValue="123.37416707888377"/>
    </cacheField>
    <cacheField name="Density per 10,000 (2022)" numFmtId="43">
      <sharedItems containsSemiMixedTypes="0" containsString="0" containsNumber="1" minValue="0" maxValue="119.2137679299093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61.89372511574" createdVersion="8" refreshedVersion="8" minRefreshableVersion="3" recordCount="1551" xr:uid="{5F927947-4153-40C1-9E80-24E4046B37ED}">
  <cacheSource type="worksheet">
    <worksheetSource ref="A1:AV1552" sheet="Master DataSheet (Rev)"/>
  </cacheSource>
  <cacheFields count="48">
    <cacheField name="Country name" numFmtId="0">
      <sharedItems count="47">
        <s v="Angola"/>
        <s v="Burundi"/>
        <s v="Benin"/>
        <s v="Burkina Faso"/>
        <s v="Botswana"/>
        <s v="Central African Republic"/>
        <s v="Cote d'Ivoire"/>
        <s v="Cameroon"/>
        <s v="DRC"/>
        <s v="Congo"/>
        <s v="Comoros"/>
        <s v="Cape-Verde"/>
        <s v="Algeria"/>
        <s v="Eritrea"/>
        <s v="Ethiopia"/>
        <s v="Gabon"/>
        <s v="Ghana"/>
        <s v="Guinea"/>
        <s v="Gambia"/>
        <s v="Guinea-Bissau"/>
        <s v="Equatorial Guinea"/>
        <s v="Kenya"/>
        <s v="Liberia"/>
        <s v="Lesotho"/>
        <s v="Madagascar"/>
        <s v="Mali"/>
        <s v="Mozambique"/>
        <s v="Mauritania"/>
        <s v="Mauritius"/>
        <s v="Malawi"/>
        <s v="Namibia"/>
        <s v="Niger"/>
        <s v="Nigeria"/>
        <s v="Rwanda"/>
        <s v="Senegal"/>
        <s v="Sierra Leone"/>
        <s v="South Sudan"/>
        <s v="Sao Tome and Principe"/>
        <s v="Eswatini"/>
        <s v="Seychelles"/>
        <s v="Chad"/>
        <s v="Togo"/>
        <s v="Tanzania"/>
        <s v="Uganda"/>
        <s v="South Africa"/>
        <s v="Zambia"/>
        <s v="Zimbabwe"/>
      </sharedItems>
    </cacheField>
    <cacheField name="Country" numFmtId="0">
      <sharedItems count="47">
        <s v="AGO"/>
        <s v="BDI"/>
        <s v="BEN"/>
        <s v="BFA"/>
        <s v="BWA"/>
        <s v="CAF"/>
        <s v="CIV"/>
        <s v="CMR"/>
        <s v="COD"/>
        <s v="COG"/>
        <s v="COM"/>
        <s v="CPV"/>
        <s v="DZA"/>
        <s v="ERI"/>
        <s v="ETH"/>
        <s v="GAB"/>
        <s v="GHA"/>
        <s v="GIN"/>
        <s v="GMB"/>
        <s v="GNB"/>
        <s v="GNQ"/>
        <s v="KEN"/>
        <s v="LBR"/>
        <s v="LSO"/>
        <s v="MDG"/>
        <s v="MLI"/>
        <s v="MOZ"/>
        <s v="MRT"/>
        <s v="MUS"/>
        <s v="MWI"/>
        <s v="NAM"/>
        <s v="NER"/>
        <s v="NGA"/>
        <s v="RWA"/>
        <s v="SEN"/>
        <s v="SLE"/>
        <s v="SSD"/>
        <s v="STP"/>
        <s v="SWZ"/>
        <s v="SYC"/>
        <s v="TCD"/>
        <s v="TGO"/>
        <s v="TZA"/>
        <s v="UGA"/>
        <s v="ZAF"/>
        <s v="ZMB"/>
        <s v="ZWE"/>
      </sharedItems>
    </cacheField>
    <cacheField name="Pop 2012" numFmtId="0">
      <sharedItems containsSemiMixedTypes="0" containsString="0" containsNumber="1" minValue="95308.999999999985" maxValue="170075954.5"/>
    </cacheField>
    <cacheField name="Cadre" numFmtId="0">
      <sharedItems count="33">
        <s v="Community Health Workers "/>
        <s v="Dieticians and nutritionists"/>
        <s v="Environmental and occupational health &amp; hygiene workers"/>
        <s v="Personal care workers in health service"/>
        <s v="Managerial staff "/>
        <s v="Medical and dental Prosthetic Technicians "/>
        <s v="Medical and Pathology Laboratory scientists "/>
        <s v="Medical Assistants "/>
        <s v="Medical Imaging and Therapeutic Equipment Technicians "/>
        <s v="Medical Records and Health Information Technicians "/>
        <s v="Optometrists and Ophthalmic Opticians "/>
        <s v="Other non-medical professional staff "/>
        <s v="Other non-medical support staff "/>
        <s v="Medical and Pathology Laboratory Technicians "/>
        <s v="Paramedical Practitioners "/>
        <s v="Physiotherapists and physiotherapy assistants"/>
        <s v="Social workers"/>
        <s v="Audiologists and Speech Therapists "/>
        <s v="Traditional and complementary medicine practitioners"/>
        <s v=" Medical Doctors "/>
        <s v=" Generalist Medical Practitioners "/>
        <s v=" Specialist Medical Practitioners "/>
        <s v=" Nursing Personnel "/>
        <s v=" Nursing Professionals "/>
        <s v=" Nursing Associate Professionals "/>
        <s v=" Midwifery personnel "/>
        <s v=" Midwifery Professionals "/>
        <s v=" Midwifery Associate Professionals "/>
        <s v=" Pharmacists1 "/>
        <s v=" Pharmaceutical Technicians and Assistants "/>
        <s v=" Dentists "/>
        <s v=" Dental Assistants and Therapists "/>
        <s v=" Psychologists "/>
      </sharedItems>
    </cacheField>
    <cacheField name="2,012" numFmtId="0">
      <sharedItems containsSemiMixedTypes="0" containsString="0" containsNumber="1" containsInteger="1" minValue="0" maxValue="61769"/>
    </cacheField>
    <cacheField name="Pop 2013" numFmtId="0">
      <sharedItems containsSemiMixedTypes="0" containsString="0" containsNumber="1" minValue="96714" maxValue="174726123.50000006"/>
    </cacheField>
    <cacheField name="2,013" numFmtId="0">
      <sharedItems containsSemiMixedTypes="0" containsString="0" containsNumber="1" containsInteger="1" minValue="0" maxValue="262512"/>
    </cacheField>
    <cacheField name="Pop 2014" numFmtId="0">
      <sharedItems containsString="0" containsBlank="1" containsNumber="1" minValue="98000.999999999927" maxValue="179379016.5"/>
    </cacheField>
    <cacheField name="2,014" numFmtId="0">
      <sharedItems containsSemiMixedTypes="0" containsString="0" containsNumber="1" containsInteger="1" minValue="0" maxValue="45388"/>
    </cacheField>
    <cacheField name="Pop 2015" numFmtId="0">
      <sharedItems containsBlank="1" containsMixedTypes="1" containsNumber="1" minValue="99239.999999999971" maxValue="183995784.49999991"/>
    </cacheField>
    <cacheField name="2,015" numFmtId="0">
      <sharedItems containsSemiMixedTypes="0" containsString="0" containsNumber="1" containsInteger="1" minValue="0" maxValue="179175"/>
    </cacheField>
    <cacheField name="Pop 2016" numFmtId="0">
      <sharedItems containsString="0" containsBlank="1" containsNumber="1" minValue="100508.49999999997" maxValue="188666930.99999988"/>
    </cacheField>
    <cacheField name="2,016" numFmtId="0">
      <sharedItems containsSemiMixedTypes="0" containsString="0" containsNumber="1" containsInteger="1" minValue="0" maxValue="185101"/>
    </cacheField>
    <cacheField name="Pop 2017" numFmtId="0">
      <sharedItems containsString="0" containsBlank="1" containsNumber="1" minValue="101810.50000000001" maxValue="193495906.50000003"/>
    </cacheField>
    <cacheField name="2,017" numFmtId="0">
      <sharedItems containsSemiMixedTypes="0" containsString="0" containsNumber="1" containsInteger="1" minValue="0" maxValue="92000"/>
    </cacheField>
    <cacheField name="Pop 2018" numFmtId="0">
      <sharedItems containsSemiMixedTypes="0" containsString="0" containsNumber="1" minValue="103101.00000000003" maxValue="198387623.50000006"/>
    </cacheField>
    <cacheField name="2,018" numFmtId="0">
      <sharedItems containsSemiMixedTypes="0" containsString="0" containsNumber="1" containsInteger="1" minValue="0" maxValue="125024"/>
    </cacheField>
    <cacheField name="2018 (triag)" numFmtId="3">
      <sharedItems containsSemiMixedTypes="0" containsString="0" containsNumber="1" containsInteger="1" minValue="0" maxValue="311269"/>
    </cacheField>
    <cacheField name="Pop 2019" numFmtId="3">
      <sharedItems containsString="0" containsBlank="1" containsNumber="1" minValue="104372.49999999997" maxValue="203304491.50000006"/>
    </cacheField>
    <cacheField name="2,019" numFmtId="3">
      <sharedItems containsSemiMixedTypes="0" containsString="0" containsNumber="1" containsInteger="1" minValue="0" maxValue="180709"/>
    </cacheField>
    <cacheField name="Pop 2020" numFmtId="0">
      <sharedItems containsString="0" containsBlank="1" containsNumber="1" minValue="105529.99999999997" maxValue="208327404.49999994"/>
    </cacheField>
    <cacheField name="2,020" numFmtId="0">
      <sharedItems containsSemiMixedTypes="0" containsString="0" containsNumber="1" containsInteger="1" minValue="0" maxValue="95789"/>
    </cacheField>
    <cacheField name="Pop 2021" numFmtId="0">
      <sharedItems containsString="0" containsBlank="1" containsNumber="1" minValue="106470.49999999996" maxValue="213401322.49999997"/>
    </cacheField>
    <cacheField name="2,021" numFmtId="0">
      <sharedItems containsString="0" containsBlank="1" containsNumber="1" containsInteger="1" minValue="0" maxValue="201735"/>
    </cacheField>
    <cacheField name="Pop 2022" numFmtId="0">
      <sharedItems containsSemiMixedTypes="0" containsString="0" containsNumber="1" minValue="107118.5" maxValue="218541211.50000003"/>
    </cacheField>
    <cacheField name="2,022" numFmtId="0">
      <sharedItems containsString="0" containsBlank="1" containsNumber="1" containsInteger="1" minValue="0" maxValue="271047"/>
    </cacheField>
    <cacheField name="2018 report" numFmtId="0">
      <sharedItems containsSemiMixedTypes="0" containsString="0" containsNumber="1" containsInteger="1" minValue="0" maxValue="311269"/>
    </cacheField>
    <cacheField name="Max (12-15)" numFmtId="0">
      <sharedItems containsSemiMixedTypes="0" containsString="0" containsNumber="1" containsInteger="1" minValue="0" maxValue="262512"/>
    </cacheField>
    <cacheField name="Max(16-19)" numFmtId="0">
      <sharedItems containsSemiMixedTypes="0" containsString="0" containsNumber="1" containsInteger="1" minValue="0" maxValue="185101"/>
    </cacheField>
    <cacheField name="Max(20-22)" numFmtId="0">
      <sharedItems containsSemiMixedTypes="0" containsString="0" containsNumber="1" containsInteger="1" minValue="0" maxValue="271047"/>
    </cacheField>
    <cacheField name="2013 or latest" numFmtId="0">
      <sharedItems containsString="0" containsBlank="1" containsNumber="1" containsInteger="1" minValue="1" maxValue="262512"/>
    </cacheField>
    <cacheField name="Data year" numFmtId="0">
      <sharedItems containsMixedTypes="1" containsNumber="1" containsInteger="1" minValue="2012" maxValue="2015"/>
    </cacheField>
    <cacheField name="2018 or latest" numFmtId="0">
      <sharedItems containsString="0" containsBlank="1" containsNumber="1" containsInteger="1" minValue="1" maxValue="311269"/>
    </cacheField>
    <cacheField name="Data year1" numFmtId="0">
      <sharedItems containsMixedTypes="1" containsNumber="1" containsInteger="1" minValue="2016" maxValue="2019"/>
    </cacheField>
    <cacheField name="2022 or latest" numFmtId="0">
      <sharedItems containsSemiMixedTypes="0" containsString="0" containsNumber="1" containsInteger="1" minValue="0" maxValue="271047"/>
    </cacheField>
    <cacheField name="Data year2" numFmtId="0">
      <sharedItems containsMixedTypes="1" containsNumber="1" containsInteger="1" minValue="2017" maxValue="2022"/>
    </cacheField>
    <cacheField name="Need for adjustment" numFmtId="0">
      <sharedItems/>
    </cacheField>
    <cacheField name="Adjusted 2022" numFmtId="166">
      <sharedItems containsString="0" containsBlank="1" containsNumber="1" minValue="1" maxValue="397261.24962174537"/>
    </cacheField>
    <cacheField name="Adjustment for underrepoting 2022" numFmtId="166">
      <sharedItems containsSemiMixedTypes="0" containsString="0" containsNumber="1" minValue="0" maxValue="397261.24962174537"/>
    </cacheField>
    <cacheField name="Trend 18 to 22" numFmtId="166">
      <sharedItems/>
    </cacheField>
    <cacheField name="Annual growth (compound 2015 - 18) " numFmtId="0">
      <sharedItems containsString="0" containsBlank="1" containsNumber="1" minValue="-0.22530855667613492" maxValue="0.3113441654036182"/>
    </cacheField>
    <cacheField name="Annual growth (compound 2018 - 20)" numFmtId="0">
      <sharedItems containsString="0" containsBlank="1" containsNumber="1" minValue="-3.8361793441239245E-2" maxValue="0.50042870775453441"/>
    </cacheField>
    <cacheField name="2013 numbers" numFmtId="0">
      <sharedItems containsString="0" containsBlank="1" containsNumber="1" minValue="0" maxValue="267366.06724053662"/>
    </cacheField>
    <cacheField name="2022 nubmers" numFmtId="0">
      <sharedItems containsString="0" containsBlank="1" containsNumber="1" minValue="0" maxValue="351270.72019221057"/>
    </cacheField>
    <cacheField name="Density per 10,000 (2013)" numFmtId="43">
      <sharedItems containsSemiMixedTypes="0" containsString="0" containsNumber="1" minValue="0" maxValue="71.878356854465324"/>
    </cacheField>
    <cacheField name="Density per 10,000 (2018)" numFmtId="43">
      <sharedItems containsSemiMixedTypes="0" containsString="0" containsNumber="1" minValue="0" maxValue="123.37416707888377"/>
    </cacheField>
    <cacheField name="Density per 10,000 (2022)" numFmtId="43">
      <sharedItems containsSemiMixedTypes="0" containsString="0" containsNumber="1" minValue="0" maxValue="119.21376792990939"/>
    </cacheField>
    <cacheField name="Density per 10,000 (2022) Completeness adj" numFmtId="43">
      <sharedItems containsSemiMixedTypes="0" containsString="0" containsNumber="1" minValue="0" maxValue="119.213767929909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Algeria"/>
    <x v="0"/>
    <n v="0"/>
    <n v="7"/>
    <n v="12774"/>
    <n v="381"/>
    <n v="1249"/>
    <n v="34077"/>
    <n v="41461"/>
    <n v="10838"/>
    <n v="663"/>
    <n v="14548"/>
    <n v="2227"/>
    <n v="6176"/>
    <n v="610"/>
    <n v="0"/>
    <n v="38"/>
    <n v="8582"/>
    <n v="10029"/>
    <n v="47676"/>
    <n v="1218"/>
    <n v="76532"/>
    <n v="5104"/>
    <n v="0"/>
    <n v="279"/>
    <n v="1536"/>
    <n v="12570"/>
    <n v="14106"/>
    <n v="1827"/>
    <n v="0"/>
    <n v="39091"/>
    <n v="0"/>
    <n v="1"/>
    <n v="12781"/>
    <n v="57705"/>
    <n v="8620"/>
    <n v="73168"/>
  </r>
  <r>
    <s v="Angola"/>
    <x v="1"/>
    <n v="1680"/>
    <n v="796"/>
    <n v="856"/>
    <n v="0"/>
    <n v="657"/>
    <n v="3043"/>
    <n v="0"/>
    <n v="328"/>
    <n v="75"/>
    <n v="98"/>
    <n v="134"/>
    <n v="789"/>
    <n v="190"/>
    <n v="0"/>
    <n v="669"/>
    <n v="769"/>
    <n v="38861"/>
    <n v="7221"/>
    <n v="56"/>
    <n v="28324"/>
    <n v="0"/>
    <n v="468"/>
    <n v="56"/>
    <n v="1605"/>
    <n v="697"/>
    <n v="2302"/>
    <n v="1156"/>
    <n v="0"/>
    <n v="3550"/>
    <n v="0"/>
    <n v="16380"/>
    <n v="1652"/>
    <n v="46082"/>
    <n v="1438"/>
    <n v="6593"/>
  </r>
  <r>
    <s v="Benin"/>
    <x v="2"/>
    <n v="0"/>
    <n v="0"/>
    <n v="0"/>
    <n v="0"/>
    <n v="619"/>
    <n v="391"/>
    <n v="2623"/>
    <n v="0"/>
    <n v="0"/>
    <n v="241"/>
    <n v="0"/>
    <n v="54"/>
    <n v="0"/>
    <n v="0"/>
    <n v="6"/>
    <n v="807"/>
    <n v="1322"/>
    <n v="1938"/>
    <n v="0"/>
    <n v="156"/>
    <n v="1994"/>
    <n v="0"/>
    <n v="146"/>
    <n v="0"/>
    <n v="14"/>
    <n v="14"/>
    <n v="0"/>
    <n v="0"/>
    <n v="319"/>
    <n v="0"/>
    <n v="0"/>
    <n v="0"/>
    <n v="3260"/>
    <n v="813"/>
    <n v="710"/>
  </r>
  <r>
    <s v="Botswana"/>
    <x v="3"/>
    <n v="0"/>
    <n v="0"/>
    <n v="94"/>
    <n v="0"/>
    <n v="99"/>
    <n v="815"/>
    <n v="1622"/>
    <n v="0"/>
    <n v="0"/>
    <n v="460"/>
    <n v="0"/>
    <n v="78"/>
    <n v="62"/>
    <n v="0"/>
    <n v="0"/>
    <n v="0"/>
    <n v="0"/>
    <n v="6935"/>
    <n v="1"/>
    <n v="0"/>
    <n v="20"/>
    <n v="0"/>
    <n v="58"/>
    <n v="338"/>
    <n v="149"/>
    <n v="487"/>
    <n v="38"/>
    <n v="0"/>
    <n v="38"/>
    <n v="0"/>
    <n v="0"/>
    <n v="94"/>
    <n v="6935"/>
    <n v="0"/>
    <n v="853"/>
  </r>
  <r>
    <s v="Burkina Faso"/>
    <x v="4"/>
    <n v="2749"/>
    <n v="0"/>
    <n v="80"/>
    <n v="19"/>
    <n v="160"/>
    <n v="888"/>
    <n v="1224"/>
    <n v="653"/>
    <n v="3"/>
    <n v="699"/>
    <n v="0"/>
    <n v="128"/>
    <n v="4"/>
    <n v="0"/>
    <n v="2986"/>
    <n v="3583"/>
    <n v="2117"/>
    <n v="8208"/>
    <n v="3"/>
    <n v="871"/>
    <n v="44"/>
    <n v="2"/>
    <n v="0"/>
    <n v="156"/>
    <n v="636"/>
    <n v="792"/>
    <n v="18"/>
    <n v="0"/>
    <n v="738"/>
    <n v="0"/>
    <n v="336"/>
    <n v="80"/>
    <n v="10325"/>
    <n v="6569"/>
    <n v="1626"/>
  </r>
  <r>
    <s v="Burundi"/>
    <x v="5"/>
    <n v="11845"/>
    <n v="0"/>
    <n v="14"/>
    <n v="10"/>
    <n v="372"/>
    <n v="889"/>
    <n v="8664"/>
    <n v="1383"/>
    <n v="0"/>
    <n v="1071"/>
    <n v="0"/>
    <n v="86"/>
    <n v="108"/>
    <n v="0"/>
    <n v="119"/>
    <n v="41"/>
    <n v="8342"/>
    <n v="654"/>
    <n v="0"/>
    <n v="2906"/>
    <n v="0"/>
    <n v="155"/>
    <n v="0"/>
    <n v="0"/>
    <n v="119"/>
    <n v="119"/>
    <n v="9"/>
    <n v="0"/>
    <n v="195"/>
    <n v="0"/>
    <n v="1000"/>
    <n v="14"/>
    <n v="8996"/>
    <n v="160"/>
    <n v="1084"/>
  </r>
  <r>
    <s v="Cameroon"/>
    <x v="6"/>
    <n v="0"/>
    <n v="0"/>
    <n v="308"/>
    <n v="38"/>
    <n v="238"/>
    <n v="2400"/>
    <n v="10717"/>
    <n v="250"/>
    <n v="0"/>
    <n v="5235"/>
    <n v="0"/>
    <n v="124"/>
    <n v="0"/>
    <n v="0"/>
    <n v="0"/>
    <n v="690"/>
    <n v="0"/>
    <n v="9925"/>
    <n v="0"/>
    <n v="0"/>
    <n v="0"/>
    <n v="0"/>
    <n v="0"/>
    <n v="0"/>
    <n v="350"/>
    <n v="350"/>
    <n v="0"/>
    <n v="0"/>
    <n v="859"/>
    <n v="0"/>
    <n v="0"/>
    <n v="308"/>
    <n v="9925"/>
    <n v="690"/>
    <n v="3259"/>
  </r>
  <r>
    <s v="Cape-Verde"/>
    <x v="7"/>
    <n v="117"/>
    <n v="0"/>
    <n v="81"/>
    <n v="18"/>
    <n v="1"/>
    <n v="165"/>
    <n v="149"/>
    <n v="61"/>
    <n v="20"/>
    <n v="65"/>
    <n v="3"/>
    <n v="27"/>
    <n v="14"/>
    <n v="0"/>
    <n v="20"/>
    <n v="7"/>
    <n v="525"/>
    <n v="243"/>
    <n v="40"/>
    <n v="1357"/>
    <n v="95"/>
    <n v="11"/>
    <n v="0"/>
    <n v="92"/>
    <n v="80"/>
    <n v="172"/>
    <n v="58"/>
    <n v="0"/>
    <n v="287"/>
    <n v="0"/>
    <n v="1"/>
    <n v="81"/>
    <n v="768"/>
    <n v="27"/>
    <n v="452"/>
  </r>
  <r>
    <s v="Central African Republic"/>
    <x v="8"/>
    <n v="115"/>
    <n v="7"/>
    <n v="3"/>
    <n v="0"/>
    <n v="105"/>
    <n v="263"/>
    <n v="79"/>
    <n v="22"/>
    <n v="0"/>
    <n v="112"/>
    <n v="104"/>
    <n v="3"/>
    <n v="20"/>
    <n v="0"/>
    <n v="168"/>
    <n v="276"/>
    <n v="325"/>
    <n v="426"/>
    <n v="0"/>
    <n v="65"/>
    <n v="14"/>
    <n v="3"/>
    <n v="200"/>
    <n v="0"/>
    <n v="36"/>
    <n v="36"/>
    <n v="0"/>
    <n v="0"/>
    <n v="72"/>
    <n v="0"/>
    <n v="0"/>
    <n v="10"/>
    <n v="751"/>
    <n v="444"/>
    <n v="335"/>
  </r>
  <r>
    <s v="Chad"/>
    <x v="9"/>
    <n v="7"/>
    <n v="0"/>
    <n v="3"/>
    <n v="58"/>
    <n v="76"/>
    <n v="646"/>
    <n v="738"/>
    <n v="732"/>
    <n v="0"/>
    <n v="749"/>
    <n v="42"/>
    <n v="25"/>
    <n v="6"/>
    <n v="0"/>
    <n v="192"/>
    <n v="744"/>
    <n v="2076"/>
    <n v="1787"/>
    <n v="6"/>
    <n v="436"/>
    <n v="90"/>
    <n v="814"/>
    <n v="0"/>
    <n v="171"/>
    <n v="98"/>
    <n v="269"/>
    <n v="2"/>
    <n v="0"/>
    <n v="157"/>
    <n v="0"/>
    <n v="0"/>
    <n v="3"/>
    <n v="3863"/>
    <n v="936"/>
    <n v="803"/>
  </r>
  <r>
    <s v="Comoros"/>
    <x v="10"/>
    <n v="0"/>
    <n v="0"/>
    <n v="32"/>
    <n v="0"/>
    <n v="389"/>
    <n v="130"/>
    <n v="0"/>
    <n v="0"/>
    <n v="0"/>
    <n v="8"/>
    <n v="0"/>
    <n v="498"/>
    <n v="0"/>
    <n v="0"/>
    <n v="0"/>
    <n v="487"/>
    <n v="71"/>
    <n v="676"/>
    <n v="0"/>
    <n v="44"/>
    <n v="115"/>
    <n v="161"/>
    <n v="0"/>
    <n v="19"/>
    <n v="36"/>
    <n v="55"/>
    <n v="0"/>
    <n v="0"/>
    <n v="90"/>
    <n v="0"/>
    <n v="0"/>
    <n v="32"/>
    <n v="747"/>
    <n v="487"/>
    <n v="220"/>
  </r>
  <r>
    <s v="Congo"/>
    <x v="11"/>
    <n v="0"/>
    <n v="0"/>
    <n v="27"/>
    <n v="0"/>
    <n v="374"/>
    <n v="269"/>
    <n v="850"/>
    <n v="790"/>
    <n v="0"/>
    <n v="320"/>
    <n v="0"/>
    <n v="97"/>
    <n v="0"/>
    <n v="0"/>
    <n v="148"/>
    <n v="921"/>
    <n v="1305"/>
    <n v="2707"/>
    <n v="0"/>
    <n v="111"/>
    <n v="445"/>
    <n v="216"/>
    <n v="0"/>
    <n v="84"/>
    <n v="73"/>
    <n v="157"/>
    <n v="0"/>
    <n v="0"/>
    <n v="275"/>
    <n v="0"/>
    <n v="0"/>
    <n v="27"/>
    <n v="4012"/>
    <n v="1069"/>
    <n v="544"/>
  </r>
  <r>
    <s v="Cote d'Ivoire"/>
    <x v="12"/>
    <n v="14556"/>
    <n v="0"/>
    <n v="506"/>
    <n v="25"/>
    <n v="1425"/>
    <n v="4246"/>
    <n v="3640"/>
    <n v="91"/>
    <n v="0"/>
    <n v="0"/>
    <n v="242"/>
    <n v="0"/>
    <n v="123"/>
    <n v="3103"/>
    <n v="4"/>
    <n v="5456"/>
    <n v="63"/>
    <n v="11667"/>
    <n v="700"/>
    <n v="139"/>
    <n v="14"/>
    <n v="497"/>
    <n v="21440"/>
    <n v="217"/>
    <n v="2278"/>
    <n v="2495"/>
    <n v="151"/>
    <n v="0"/>
    <n v="1356"/>
    <n v="0"/>
    <n v="4437"/>
    <n v="506"/>
    <n v="11730"/>
    <n v="5460"/>
    <n v="5602"/>
  </r>
  <r>
    <s v="DRC"/>
    <x v="13"/>
    <n v="0"/>
    <n v="0"/>
    <n v="404"/>
    <n v="535"/>
    <n v="167"/>
    <n v="30768"/>
    <n v="0"/>
    <n v="2651"/>
    <n v="0"/>
    <n v="2934"/>
    <n v="0"/>
    <n v="338"/>
    <n v="0"/>
    <n v="0"/>
    <n v="1652"/>
    <n v="1990"/>
    <n v="52766"/>
    <n v="51019"/>
    <n v="0"/>
    <n v="74310"/>
    <n v="1608"/>
    <n v="0"/>
    <n v="0"/>
    <n v="226"/>
    <n v="1461"/>
    <n v="1687"/>
    <n v="395"/>
    <n v="0"/>
    <n v="778"/>
    <n v="0"/>
    <n v="0"/>
    <n v="404"/>
    <n v="103785"/>
    <n v="3642"/>
    <n v="31546"/>
  </r>
  <r>
    <s v="Equatorial Guinea"/>
    <x v="14"/>
    <n v="0"/>
    <n v="0"/>
    <n v="0"/>
    <n v="0"/>
    <n v="0"/>
    <n v="246"/>
    <n v="1847"/>
    <n v="0"/>
    <n v="5"/>
    <n v="2"/>
    <n v="0"/>
    <n v="0"/>
    <n v="0"/>
    <n v="0"/>
    <n v="0"/>
    <n v="51"/>
    <n v="283"/>
    <n v="72"/>
    <n v="0"/>
    <n v="0"/>
    <n v="0"/>
    <n v="134"/>
    <n v="0"/>
    <n v="0"/>
    <n v="10"/>
    <n v="10"/>
    <n v="0"/>
    <n v="0"/>
    <n v="0"/>
    <n v="0"/>
    <n v="0"/>
    <n v="0"/>
    <n v="355"/>
    <n v="51"/>
    <n v="246"/>
  </r>
  <r>
    <s v="Eritrea"/>
    <x v="15"/>
    <n v="243"/>
    <n v="164"/>
    <n v="22"/>
    <n v="0"/>
    <n v="243"/>
    <n v="160"/>
    <n v="0"/>
    <n v="0"/>
    <n v="0"/>
    <n v="549"/>
    <n v="0"/>
    <n v="113"/>
    <n v="0"/>
    <n v="0"/>
    <n v="0"/>
    <n v="45"/>
    <n v="2497"/>
    <n v="1442"/>
    <n v="86"/>
    <n v="3563"/>
    <n v="0"/>
    <n v="0"/>
    <n v="0"/>
    <n v="300"/>
    <n v="151"/>
    <n v="451"/>
    <n v="137"/>
    <n v="0"/>
    <n v="120"/>
    <n v="0"/>
    <n v="0"/>
    <n v="186"/>
    <n v="3939"/>
    <n v="45"/>
    <n v="280"/>
  </r>
  <r>
    <s v="Eswatini"/>
    <x v="16"/>
    <n v="6324"/>
    <n v="46"/>
    <n v="28"/>
    <n v="0"/>
    <n v="187"/>
    <n v="211"/>
    <n v="927"/>
    <n v="195"/>
    <n v="0"/>
    <n v="370"/>
    <n v="28"/>
    <n v="47"/>
    <n v="2084"/>
    <n v="0"/>
    <n v="0"/>
    <n v="14"/>
    <n v="455"/>
    <n v="1749"/>
    <n v="12"/>
    <n v="1215"/>
    <n v="85"/>
    <n v="84"/>
    <n v="29"/>
    <n v="171"/>
    <n v="110"/>
    <n v="281"/>
    <n v="29"/>
    <n v="0"/>
    <n v="67"/>
    <n v="0"/>
    <n v="7"/>
    <n v="74"/>
    <n v="2204"/>
    <n v="14"/>
    <n v="278"/>
  </r>
  <r>
    <s v="Ethiopia"/>
    <x v="17"/>
    <n v="37259"/>
    <n v="144"/>
    <n v="1745"/>
    <n v="147"/>
    <n v="2662"/>
    <n v="5867"/>
    <n v="0"/>
    <n v="4365"/>
    <n v="52"/>
    <n v="10450"/>
    <n v="11536"/>
    <n v="1041"/>
    <n v="2953"/>
    <n v="0"/>
    <n v="2"/>
    <n v="16159"/>
    <n v="0"/>
    <n v="61772"/>
    <n v="330"/>
    <n v="73174"/>
    <n v="2872"/>
    <n v="672"/>
    <n v="1285"/>
    <n v="6845"/>
    <n v="3907"/>
    <n v="10752"/>
    <n v="258"/>
    <n v="0"/>
    <n v="5396"/>
    <n v="0"/>
    <n v="0"/>
    <n v="1889"/>
    <n v="61772"/>
    <n v="16161"/>
    <n v="11263"/>
  </r>
  <r>
    <s v="Gabon"/>
    <x v="18"/>
    <n v="0"/>
    <n v="3"/>
    <n v="37"/>
    <n v="6"/>
    <n v="312"/>
    <n v="570"/>
    <n v="86"/>
    <n v="318"/>
    <n v="46"/>
    <n v="439"/>
    <n v="18"/>
    <n v="93"/>
    <n v="127"/>
    <n v="0"/>
    <n v="626"/>
    <n v="107"/>
    <n v="4275"/>
    <n v="1077"/>
    <n v="5"/>
    <n v="1939"/>
    <n v="62"/>
    <n v="83"/>
    <n v="58"/>
    <n v="106"/>
    <n v="121"/>
    <n v="227"/>
    <n v="43"/>
    <n v="0"/>
    <n v="798"/>
    <n v="0"/>
    <n v="99"/>
    <n v="40"/>
    <n v="5352"/>
    <n v="733"/>
    <n v="1368"/>
  </r>
  <r>
    <s v="Gambia"/>
    <x v="19"/>
    <n v="1553"/>
    <n v="3"/>
    <n v="0"/>
    <n v="0"/>
    <n v="316"/>
    <n v="181"/>
    <n v="0"/>
    <n v="0"/>
    <n v="0"/>
    <n v="138"/>
    <n v="0"/>
    <n v="0"/>
    <n v="0"/>
    <n v="0"/>
    <n v="0"/>
    <n v="320"/>
    <n v="0"/>
    <n v="1178"/>
    <n v="0"/>
    <n v="0"/>
    <n v="0"/>
    <n v="0"/>
    <n v="39"/>
    <n v="1"/>
    <n v="78"/>
    <n v="79"/>
    <n v="0"/>
    <n v="0"/>
    <n v="117"/>
    <n v="0"/>
    <n v="0"/>
    <n v="3"/>
    <n v="1178"/>
    <n v="320"/>
    <n v="298"/>
  </r>
  <r>
    <s v="Ghana"/>
    <x v="20"/>
    <n v="15820"/>
    <n v="227"/>
    <n v="486"/>
    <n v="0"/>
    <n v="47"/>
    <n v="3316"/>
    <n v="4059"/>
    <n v="1033"/>
    <n v="0"/>
    <n v="1563"/>
    <n v="1671"/>
    <n v="1476"/>
    <n v="3883"/>
    <n v="0"/>
    <n v="0"/>
    <n v="10625"/>
    <n v="20524"/>
    <n v="22303"/>
    <n v="143"/>
    <n v="23627"/>
    <n v="1877"/>
    <n v="398"/>
    <n v="2116"/>
    <n v="1352"/>
    <n v="775"/>
    <n v="2127"/>
    <n v="304"/>
    <n v="0"/>
    <n v="1090"/>
    <n v="0"/>
    <n v="3468"/>
    <n v="713"/>
    <n v="42827"/>
    <n v="10625"/>
    <n v="4406"/>
  </r>
  <r>
    <s v="Guinea"/>
    <x v="21"/>
    <n v="16567"/>
    <n v="0"/>
    <n v="73"/>
    <n v="0"/>
    <n v="0"/>
    <n v="2649"/>
    <n v="1"/>
    <n v="189"/>
    <n v="0"/>
    <n v="181"/>
    <n v="0"/>
    <n v="0"/>
    <n v="66"/>
    <n v="0"/>
    <n v="0"/>
    <n v="866"/>
    <n v="3985"/>
    <n v="2344"/>
    <n v="0"/>
    <n v="481"/>
    <n v="0"/>
    <n v="0"/>
    <n v="62"/>
    <n v="0"/>
    <n v="255"/>
    <n v="255"/>
    <n v="0"/>
    <n v="0"/>
    <n v="138"/>
    <n v="0"/>
    <n v="0"/>
    <n v="73"/>
    <n v="6329"/>
    <n v="866"/>
    <n v="2787"/>
  </r>
  <r>
    <s v="Guinea-Bissau"/>
    <x v="22"/>
    <n v="4057"/>
    <n v="8"/>
    <n v="8"/>
    <n v="0"/>
    <n v="3"/>
    <n v="290"/>
    <n v="0"/>
    <n v="130"/>
    <n v="5"/>
    <n v="172"/>
    <n v="0"/>
    <n v="12"/>
    <n v="24"/>
    <n v="0"/>
    <n v="1"/>
    <n v="156"/>
    <n v="54"/>
    <n v="1210"/>
    <n v="16"/>
    <n v="481"/>
    <n v="69"/>
    <n v="0"/>
    <n v="8"/>
    <n v="69"/>
    <n v="13"/>
    <n v="82"/>
    <n v="13"/>
    <n v="0"/>
    <n v="28"/>
    <n v="0"/>
    <n v="1063"/>
    <n v="16"/>
    <n v="1264"/>
    <n v="157"/>
    <n v="318"/>
  </r>
  <r>
    <s v="Kenya"/>
    <x v="23"/>
    <n v="58079"/>
    <n v="464"/>
    <n v="1300"/>
    <n v="1147"/>
    <n v="5310"/>
    <n v="5602"/>
    <n v="0"/>
    <n v="0"/>
    <n v="468"/>
    <n v="0"/>
    <n v="0"/>
    <n v="430"/>
    <n v="2419"/>
    <n v="0"/>
    <n v="0"/>
    <n v="0"/>
    <n v="13198"/>
    <n v="46703"/>
    <n v="0"/>
    <n v="2759"/>
    <n v="0"/>
    <n v="0"/>
    <n v="21942"/>
    <n v="1331"/>
    <n v="964"/>
    <n v="2295"/>
    <n v="0"/>
    <n v="0"/>
    <n v="2440"/>
    <n v="0"/>
    <n v="0"/>
    <n v="1764"/>
    <n v="59901"/>
    <n v="0"/>
    <n v="8042"/>
  </r>
  <r>
    <s v="Lesotho"/>
    <x v="24"/>
    <n v="14508"/>
    <n v="120"/>
    <n v="39"/>
    <n v="29"/>
    <n v="144"/>
    <n v="815"/>
    <n v="849"/>
    <n v="110"/>
    <n v="10"/>
    <n v="205"/>
    <n v="71"/>
    <n v="41"/>
    <n v="349"/>
    <n v="0"/>
    <n v="0"/>
    <n v="2779"/>
    <n v="967"/>
    <n v="0"/>
    <n v="8"/>
    <n v="2130"/>
    <n v="58"/>
    <n v="416"/>
    <n v="4"/>
    <n v="301"/>
    <n v="97"/>
    <n v="398"/>
    <n v="22"/>
    <n v="0"/>
    <n v="183"/>
    <n v="0"/>
    <n v="6097"/>
    <n v="159"/>
    <n v="967"/>
    <n v="2779"/>
    <n v="998"/>
  </r>
  <r>
    <s v="Liberia"/>
    <x v="25"/>
    <n v="3391"/>
    <n v="10"/>
    <n v="14"/>
    <n v="0"/>
    <n v="285"/>
    <n v="234"/>
    <n v="148"/>
    <n v="1404"/>
    <n v="0"/>
    <n v="0"/>
    <n v="527"/>
    <n v="9"/>
    <n v="65"/>
    <n v="0"/>
    <n v="0"/>
    <n v="927"/>
    <n v="3601"/>
    <n v="4887"/>
    <n v="5"/>
    <n v="4311"/>
    <n v="3601"/>
    <n v="115"/>
    <n v="0"/>
    <n v="962"/>
    <n v="109"/>
    <n v="1071"/>
    <n v="3"/>
    <n v="0"/>
    <n v="12"/>
    <n v="0"/>
    <n v="0"/>
    <n v="24"/>
    <n v="8488"/>
    <n v="927"/>
    <n v="246"/>
  </r>
  <r>
    <s v="Madagascar"/>
    <x v="26"/>
    <n v="35000"/>
    <n v="184"/>
    <n v="372"/>
    <n v="414"/>
    <n v="15"/>
    <n v="4593"/>
    <n v="311"/>
    <n v="411"/>
    <n v="52"/>
    <n v="306"/>
    <n v="0"/>
    <n v="214"/>
    <n v="11"/>
    <n v="0"/>
    <n v="0"/>
    <n v="3164"/>
    <n v="0"/>
    <n v="4560"/>
    <n v="56"/>
    <n v="6355"/>
    <n v="0"/>
    <n v="0"/>
    <n v="0"/>
    <n v="10"/>
    <n v="319"/>
    <n v="329"/>
    <n v="99"/>
    <n v="0"/>
    <n v="637"/>
    <n v="0"/>
    <n v="602"/>
    <n v="556"/>
    <n v="4560"/>
    <n v="3164"/>
    <n v="5230"/>
  </r>
  <r>
    <s v="Malawi"/>
    <x v="27"/>
    <n v="10016"/>
    <n v="76"/>
    <n v="36"/>
    <n v="25"/>
    <n v="35"/>
    <n v="2582"/>
    <n v="178"/>
    <n v="178"/>
    <n v="0"/>
    <n v="542"/>
    <n v="2804"/>
    <n v="44"/>
    <n v="306"/>
    <n v="0"/>
    <n v="0"/>
    <n v="0"/>
    <n v="4476"/>
    <n v="1549"/>
    <n v="13"/>
    <n v="0"/>
    <n v="0"/>
    <n v="0"/>
    <n v="98"/>
    <n v="276"/>
    <n v="111"/>
    <n v="387"/>
    <n v="52"/>
    <n v="0"/>
    <n v="178"/>
    <n v="0"/>
    <n v="0"/>
    <n v="112"/>
    <n v="6025"/>
    <n v="0"/>
    <n v="2760"/>
  </r>
  <r>
    <s v="Mali"/>
    <x v="28"/>
    <n v="1152"/>
    <n v="0"/>
    <n v="30"/>
    <n v="7"/>
    <n v="78"/>
    <n v="2151"/>
    <n v="2153"/>
    <n v="25"/>
    <n v="0"/>
    <n v="0"/>
    <n v="1041"/>
    <n v="0"/>
    <n v="0"/>
    <n v="0"/>
    <n v="1642"/>
    <n v="1527"/>
    <n v="2970"/>
    <n v="2255"/>
    <n v="0"/>
    <n v="8306"/>
    <n v="0"/>
    <n v="1496"/>
    <n v="0"/>
    <n v="84"/>
    <n v="1340"/>
    <n v="1424"/>
    <n v="0"/>
    <n v="0"/>
    <n v="715"/>
    <n v="0"/>
    <n v="4"/>
    <n v="30"/>
    <n v="5225"/>
    <n v="3169"/>
    <n v="2866"/>
  </r>
  <r>
    <s v="Mauritania"/>
    <x v="29"/>
    <n v="500"/>
    <n v="0"/>
    <n v="151"/>
    <n v="20"/>
    <n v="5"/>
    <n v="808"/>
    <n v="38"/>
    <n v="20"/>
    <n v="9"/>
    <n v="122"/>
    <n v="0"/>
    <n v="0"/>
    <n v="15"/>
    <n v="0"/>
    <n v="1"/>
    <n v="854"/>
    <n v="6"/>
    <n v="4011"/>
    <n v="0"/>
    <n v="1532"/>
    <n v="4"/>
    <n v="326"/>
    <n v="65"/>
    <n v="13"/>
    <n v="87"/>
    <n v="100"/>
    <n v="7"/>
    <n v="0"/>
    <n v="818"/>
    <n v="0"/>
    <n v="42"/>
    <n v="151"/>
    <n v="4017"/>
    <n v="855"/>
    <n v="1626"/>
  </r>
  <r>
    <s v="Mauritius"/>
    <x v="30"/>
    <n v="180"/>
    <n v="65"/>
    <n v="401"/>
    <n v="0"/>
    <n v="48"/>
    <n v="1188"/>
    <n v="1153"/>
    <n v="315"/>
    <n v="12"/>
    <n v="291"/>
    <n v="9"/>
    <n v="213"/>
    <n v="416"/>
    <n v="0"/>
    <n v="0"/>
    <n v="567"/>
    <n v="0"/>
    <n v="4419"/>
    <n v="0"/>
    <n v="3295"/>
    <n v="0"/>
    <n v="274"/>
    <n v="24"/>
    <n v="217"/>
    <n v="531"/>
    <n v="748"/>
    <n v="64"/>
    <n v="0"/>
    <n v="1207"/>
    <n v="0"/>
    <n v="5"/>
    <n v="466"/>
    <n v="4419"/>
    <n v="567"/>
    <n v="2395"/>
  </r>
  <r>
    <s v="Mozambique"/>
    <x v="31"/>
    <n v="2205"/>
    <n v="340"/>
    <n v="205"/>
    <n v="0"/>
    <n v="0"/>
    <n v="1555"/>
    <n v="0"/>
    <n v="2466"/>
    <n v="29"/>
    <n v="1951"/>
    <n v="0"/>
    <n v="206"/>
    <n v="59"/>
    <n v="0"/>
    <n v="0"/>
    <n v="5820"/>
    <n v="0"/>
    <n v="7961"/>
    <n v="147"/>
    <n v="26735"/>
    <n v="0"/>
    <n v="5726"/>
    <n v="0"/>
    <n v="2051"/>
    <n v="259"/>
    <n v="2310"/>
    <n v="377"/>
    <n v="0"/>
    <n v="625"/>
    <n v="0"/>
    <n v="0"/>
    <n v="545"/>
    <n v="7961"/>
    <n v="5820"/>
    <n v="2180"/>
  </r>
  <r>
    <s v="Namibia"/>
    <x v="32"/>
    <n v="2292"/>
    <n v="108"/>
    <n v="181"/>
    <n v="33"/>
    <n v="218"/>
    <n v="1044"/>
    <n v="0"/>
    <n v="313"/>
    <n v="470"/>
    <n v="510"/>
    <n v="21"/>
    <n v="303"/>
    <n v="37"/>
    <n v="0"/>
    <n v="0"/>
    <n v="0"/>
    <n v="4237"/>
    <n v="8719"/>
    <n v="147"/>
    <n v="2157"/>
    <n v="0"/>
    <n v="1739"/>
    <n v="1053"/>
    <n v="309"/>
    <n v="598"/>
    <n v="907"/>
    <n v="233"/>
    <n v="509"/>
    <n v="401"/>
    <n v="0"/>
    <n v="8"/>
    <n v="289"/>
    <n v="12956"/>
    <n v="0"/>
    <n v="1445"/>
  </r>
  <r>
    <s v="Niger"/>
    <x v="33"/>
    <n v="55"/>
    <n v="0"/>
    <n v="30"/>
    <n v="42"/>
    <n v="101"/>
    <n v="1065"/>
    <n v="152"/>
    <n v="226"/>
    <n v="11"/>
    <n v="432"/>
    <n v="0"/>
    <n v="82"/>
    <n v="22"/>
    <n v="0"/>
    <n v="6"/>
    <n v="896"/>
    <n v="1463"/>
    <n v="2118"/>
    <n v="0"/>
    <n v="542"/>
    <n v="462"/>
    <n v="191"/>
    <n v="598"/>
    <n v="0"/>
    <n v="60"/>
    <n v="60"/>
    <n v="0"/>
    <n v="0"/>
    <n v="0"/>
    <n v="0"/>
    <n v="0"/>
    <n v="30"/>
    <n v="3581"/>
    <n v="902"/>
    <n v="1065"/>
  </r>
  <r>
    <s v="Nigeria"/>
    <x v="34"/>
    <n v="116454"/>
    <n v="21129"/>
    <n v="4358"/>
    <n v="0"/>
    <n v="14645"/>
    <n v="74543"/>
    <n v="0"/>
    <n v="0"/>
    <n v="0"/>
    <n v="311269"/>
    <n v="0"/>
    <n v="2648"/>
    <n v="34393"/>
    <n v="0"/>
    <n v="0"/>
    <n v="120870"/>
    <n v="0"/>
    <n v="180709"/>
    <n v="5371"/>
    <n v="0"/>
    <n v="3919"/>
    <n v="0"/>
    <n v="30"/>
    <n v="0"/>
    <n v="24668"/>
    <n v="24668"/>
    <n v="15823"/>
    <n v="0"/>
    <n v="9364"/>
    <n v="0"/>
    <n v="0"/>
    <n v="25487"/>
    <n v="180709"/>
    <n v="120870"/>
    <n v="83907"/>
  </r>
  <r>
    <s v="Rwanda"/>
    <x v="35"/>
    <n v="45000"/>
    <n v="0"/>
    <n v="228"/>
    <n v="0"/>
    <n v="0"/>
    <n v="783"/>
    <n v="0"/>
    <n v="0"/>
    <n v="0"/>
    <n v="1990"/>
    <n v="0"/>
    <n v="0"/>
    <n v="0"/>
    <n v="0"/>
    <n v="0"/>
    <n v="1207"/>
    <n v="0"/>
    <n v="9551"/>
    <n v="0"/>
    <n v="0"/>
    <n v="0"/>
    <n v="321"/>
    <n v="0"/>
    <n v="0"/>
    <n v="167"/>
    <n v="167"/>
    <n v="182"/>
    <n v="0"/>
    <n v="567"/>
    <n v="0"/>
    <n v="0"/>
    <n v="228"/>
    <n v="9551"/>
    <n v="1207"/>
    <n v="1350"/>
  </r>
  <r>
    <s v="Sao Tome and Principe"/>
    <x v="36"/>
    <n v="0"/>
    <n v="0"/>
    <n v="0"/>
    <n v="0"/>
    <n v="0"/>
    <n v="40"/>
    <n v="0"/>
    <n v="79"/>
    <n v="0"/>
    <n v="0"/>
    <n v="0"/>
    <n v="0"/>
    <n v="0"/>
    <n v="0"/>
    <n v="0"/>
    <n v="50"/>
    <n v="0"/>
    <n v="206"/>
    <n v="0"/>
    <n v="0"/>
    <n v="271"/>
    <n v="146"/>
    <n v="0"/>
    <n v="0"/>
    <n v="0"/>
    <n v="0"/>
    <n v="0"/>
    <n v="0"/>
    <n v="20"/>
    <n v="0"/>
    <n v="0"/>
    <n v="0"/>
    <n v="206"/>
    <n v="50"/>
    <n v="60"/>
  </r>
  <r>
    <s v="Senegal"/>
    <x v="37"/>
    <n v="17417"/>
    <n v="100"/>
    <n v="136"/>
    <n v="4"/>
    <n v="573"/>
    <n v="676"/>
    <n v="1670"/>
    <n v="135"/>
    <n v="100"/>
    <n v="328"/>
    <n v="2543"/>
    <n v="542"/>
    <n v="17"/>
    <n v="0"/>
    <n v="0"/>
    <n v="3015"/>
    <n v="1346"/>
    <n v="3231"/>
    <n v="108"/>
    <n v="5868"/>
    <n v="0"/>
    <n v="1045"/>
    <n v="505"/>
    <n v="53"/>
    <n v="162"/>
    <n v="215"/>
    <n v="0"/>
    <n v="0"/>
    <n v="2207"/>
    <n v="0"/>
    <n v="0"/>
    <n v="236"/>
    <n v="4577"/>
    <n v="3015"/>
    <n v="2883"/>
  </r>
  <r>
    <s v="Seychelles"/>
    <x v="38"/>
    <n v="0"/>
    <n v="125"/>
    <n v="38"/>
    <n v="5"/>
    <n v="50"/>
    <n v="125"/>
    <n v="258"/>
    <n v="0"/>
    <n v="2"/>
    <n v="71"/>
    <n v="0"/>
    <n v="7"/>
    <n v="0"/>
    <n v="0"/>
    <n v="0"/>
    <n v="5"/>
    <n v="0"/>
    <n v="1272"/>
    <n v="28"/>
    <n v="0"/>
    <n v="0"/>
    <n v="70"/>
    <n v="0"/>
    <n v="63"/>
    <n v="61"/>
    <n v="124"/>
    <n v="33"/>
    <n v="0"/>
    <n v="115"/>
    <n v="0"/>
    <n v="0"/>
    <n v="163"/>
    <n v="1272"/>
    <n v="5"/>
    <n v="240"/>
  </r>
  <r>
    <s v="Sierra Leone"/>
    <x v="39"/>
    <n v="505"/>
    <n v="414"/>
    <n v="9"/>
    <n v="103"/>
    <n v="406"/>
    <n v="234"/>
    <n v="0"/>
    <n v="0"/>
    <n v="128"/>
    <n v="311"/>
    <n v="0"/>
    <n v="22"/>
    <n v="0"/>
    <n v="0"/>
    <n v="104"/>
    <n v="287"/>
    <n v="4722"/>
    <n v="580"/>
    <n v="13"/>
    <n v="0"/>
    <n v="0"/>
    <n v="0"/>
    <n v="0"/>
    <n v="21"/>
    <n v="135"/>
    <n v="156"/>
    <n v="13"/>
    <n v="0"/>
    <n v="47"/>
    <n v="0"/>
    <n v="0"/>
    <n v="423"/>
    <n v="5302"/>
    <n v="391"/>
    <n v="281"/>
  </r>
  <r>
    <s v="South Africa"/>
    <x v="40"/>
    <n v="54180"/>
    <n v="661"/>
    <n v="6155"/>
    <n v="0"/>
    <n v="3585"/>
    <n v="29311"/>
    <n v="0"/>
    <n v="0"/>
    <n v="0"/>
    <n v="0"/>
    <n v="577"/>
    <n v="8072"/>
    <n v="0"/>
    <n v="0"/>
    <n v="0"/>
    <n v="0"/>
    <n v="146860"/>
    <n v="140598"/>
    <n v="0"/>
    <n v="0"/>
    <n v="15266"/>
    <n v="8415"/>
    <n v="0"/>
    <n v="1783"/>
    <n v="14412"/>
    <n v="16195"/>
    <n v="11975"/>
    <n v="0"/>
    <n v="14192"/>
    <n v="0"/>
    <n v="0"/>
    <n v="6816"/>
    <n v="287458"/>
    <n v="0"/>
    <n v="43503"/>
  </r>
  <r>
    <s v="South Sudan"/>
    <x v="41"/>
    <n v="1455"/>
    <n v="12"/>
    <n v="20"/>
    <n v="22"/>
    <n v="250"/>
    <n v="338"/>
    <n v="0"/>
    <n v="20"/>
    <n v="21"/>
    <n v="272"/>
    <n v="1306"/>
    <n v="6"/>
    <n v="57"/>
    <n v="0"/>
    <n v="600"/>
    <n v="1112"/>
    <n v="0"/>
    <n v="2014"/>
    <n v="7"/>
    <n v="0"/>
    <n v="0"/>
    <n v="16"/>
    <n v="0"/>
    <n v="150"/>
    <n v="210"/>
    <n v="360"/>
    <n v="9"/>
    <n v="0"/>
    <n v="73"/>
    <n v="0"/>
    <n v="0"/>
    <n v="32"/>
    <n v="2014"/>
    <n v="1712"/>
    <n v="411"/>
  </r>
  <r>
    <s v="Tanzania"/>
    <x v="42"/>
    <n v="0"/>
    <n v="588"/>
    <n v="94"/>
    <n v="148"/>
    <n v="578"/>
    <n v="2434"/>
    <n v="25803"/>
    <n v="633"/>
    <n v="73"/>
    <n v="4361"/>
    <n v="9250"/>
    <n v="681"/>
    <n v="724"/>
    <n v="0"/>
    <n v="0"/>
    <n v="0"/>
    <n v="21351"/>
    <n v="10589"/>
    <n v="213"/>
    <n v="0"/>
    <n v="3630"/>
    <n v="3028"/>
    <n v="1963"/>
    <n v="1246"/>
    <n v="599"/>
    <n v="1845"/>
    <n v="103"/>
    <n v="0"/>
    <n v="451"/>
    <n v="2"/>
    <n v="15200"/>
    <n v="682"/>
    <n v="31940"/>
    <n v="0"/>
    <n v="2885"/>
  </r>
  <r>
    <s v="Togo"/>
    <x v="43"/>
    <n v="7500"/>
    <n v="0"/>
    <n v="21"/>
    <n v="12"/>
    <n v="340"/>
    <n v="230"/>
    <n v="3413"/>
    <n v="63"/>
    <n v="2"/>
    <n v="615"/>
    <n v="1075"/>
    <n v="23"/>
    <n v="0"/>
    <n v="0"/>
    <n v="614"/>
    <n v="654"/>
    <n v="762"/>
    <n v="1204"/>
    <n v="2"/>
    <n v="4010"/>
    <n v="360"/>
    <n v="857"/>
    <n v="0"/>
    <n v="0"/>
    <n v="226"/>
    <n v="226"/>
    <n v="252"/>
    <n v="0"/>
    <n v="354"/>
    <n v="0"/>
    <n v="987"/>
    <n v="21"/>
    <n v="1966"/>
    <n v="1268"/>
    <n v="584"/>
  </r>
  <r>
    <s v="Uganda"/>
    <x v="44"/>
    <n v="0"/>
    <n v="26"/>
    <n v="0"/>
    <n v="3"/>
    <n v="16"/>
    <n v="17007"/>
    <n v="527"/>
    <n v="0"/>
    <n v="0"/>
    <n v="3874"/>
    <n v="3505"/>
    <n v="42"/>
    <n v="0"/>
    <n v="0"/>
    <n v="7237"/>
    <n v="0"/>
    <n v="16407"/>
    <n v="0"/>
    <n v="9"/>
    <n v="0"/>
    <n v="0"/>
    <n v="526"/>
    <n v="0"/>
    <n v="234"/>
    <n v="90"/>
    <n v="324"/>
    <n v="18"/>
    <n v="0"/>
    <n v="179"/>
    <n v="0"/>
    <n v="0"/>
    <n v="26"/>
    <n v="16407"/>
    <n v="7237"/>
    <n v="17186"/>
  </r>
  <r>
    <s v="Zambia"/>
    <x v="45"/>
    <n v="1262"/>
    <n v="412"/>
    <n v="43"/>
    <n v="404"/>
    <n v="2016"/>
    <n v="1701"/>
    <n v="0"/>
    <n v="0"/>
    <n v="0"/>
    <n v="1602"/>
    <n v="2617"/>
    <n v="602"/>
    <n v="1232"/>
    <n v="0"/>
    <n v="0"/>
    <n v="3432"/>
    <n v="0"/>
    <n v="14516"/>
    <n v="61"/>
    <n v="17801"/>
    <n v="0"/>
    <n v="0"/>
    <n v="0"/>
    <n v="1284"/>
    <n v="424"/>
    <n v="1708"/>
    <n v="606"/>
    <n v="0"/>
    <n v="325"/>
    <n v="0"/>
    <n v="0"/>
    <n v="455"/>
    <n v="14516"/>
    <n v="3432"/>
    <n v="2026"/>
  </r>
  <r>
    <s v="Zimbabwe"/>
    <x v="46"/>
    <n v="2143"/>
    <n v="205"/>
    <n v="142"/>
    <n v="0"/>
    <n v="1644"/>
    <n v="1715"/>
    <n v="2115"/>
    <n v="327"/>
    <n v="10"/>
    <n v="648"/>
    <n v="76"/>
    <n v="412"/>
    <n v="718"/>
    <n v="0"/>
    <n v="9"/>
    <n v="845"/>
    <n v="6664"/>
    <n v="19171"/>
    <n v="0"/>
    <n v="9502"/>
    <n v="1122"/>
    <n v="368"/>
    <n v="1094"/>
    <n v="553"/>
    <n v="223"/>
    <n v="776"/>
    <n v="459"/>
    <n v="0"/>
    <n v="244"/>
    <n v="0"/>
    <n v="5"/>
    <n v="347"/>
    <n v="25835"/>
    <n v="854"/>
    <n v="19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8">
  <r>
    <x v="0"/>
    <n v="25188292.499999996"/>
    <x v="0"/>
    <n v="0"/>
    <n v="26147002.000000011"/>
    <n v="0"/>
    <n v="27128336.499999981"/>
    <n v="0"/>
    <n v="28127721.000000004"/>
    <n v="0"/>
    <n v="29154745.500000007"/>
    <n v="0"/>
    <n v="30208628.000000015"/>
    <n v="12800"/>
    <n v="31273533.000000004"/>
    <n v="13186"/>
    <n v="32353587.999999993"/>
    <n v="0"/>
    <n v="33428485.999999974"/>
    <n v="0"/>
    <n v="34503773.49999997"/>
    <n v="0"/>
    <n v="35588987.00000003"/>
    <n v="21301"/>
    <n v="6593"/>
    <n v="0"/>
    <n v="13186"/>
    <n v="21301"/>
  </r>
  <r>
    <x v="0"/>
    <n v="25188292.499999996"/>
    <x v="1"/>
    <n v="0"/>
    <m/>
    <n v="0"/>
    <m/>
    <n v="0"/>
    <m/>
    <n v="0"/>
    <m/>
    <n v="0"/>
    <m/>
    <n v="0"/>
    <m/>
    <n v="25108"/>
    <m/>
    <n v="0"/>
    <m/>
    <n v="0"/>
    <m/>
    <n v="0"/>
    <m/>
    <n v="89978"/>
    <n v="46082"/>
    <n v="0"/>
    <n v="25108"/>
    <n v="89978"/>
  </r>
  <r>
    <x v="0"/>
    <n v="25188292.499999996"/>
    <x v="2"/>
    <n v="0"/>
    <m/>
    <n v="60"/>
    <m/>
    <n v="0"/>
    <m/>
    <n v="0"/>
    <m/>
    <n v="0"/>
    <m/>
    <n v="0"/>
    <m/>
    <n v="0"/>
    <m/>
    <n v="0"/>
    <m/>
    <n v="0"/>
    <m/>
    <n v="0"/>
    <m/>
    <n v="44"/>
    <n v="1438"/>
    <n v="60"/>
    <n v="0"/>
    <n v="44"/>
  </r>
  <r>
    <x v="0"/>
    <n v="25188292.499999996"/>
    <x v="3"/>
    <n v="751"/>
    <m/>
    <n v="0"/>
    <m/>
    <n v="0"/>
    <m/>
    <n v="2781"/>
    <m/>
    <n v="884"/>
    <m/>
    <n v="0"/>
    <m/>
    <n v="260"/>
    <m/>
    <n v="0"/>
    <m/>
    <n v="525"/>
    <m/>
    <n v="0"/>
    <m/>
    <n v="430"/>
    <n v="2302"/>
    <n v="2781"/>
    <n v="884"/>
    <n v="525"/>
  </r>
  <r>
    <x v="0"/>
    <n v="25188292.499999996"/>
    <x v="4"/>
    <n v="353"/>
    <m/>
    <n v="0"/>
    <m/>
    <n v="0"/>
    <m/>
    <n v="595"/>
    <m/>
    <n v="181"/>
    <m/>
    <n v="0"/>
    <m/>
    <n v="134"/>
    <m/>
    <n v="0"/>
    <m/>
    <n v="81"/>
    <m/>
    <n v="0"/>
    <m/>
    <n v="156"/>
    <n v="1652"/>
    <n v="595"/>
    <n v="181"/>
    <n v="156"/>
  </r>
  <r>
    <x v="0"/>
    <n v="25188292.499999996"/>
    <x v="5"/>
    <n v="0"/>
    <m/>
    <n v="0"/>
    <m/>
    <n v="0"/>
    <m/>
    <n v="0"/>
    <m/>
    <n v="0"/>
    <m/>
    <n v="0"/>
    <m/>
    <n v="1680"/>
    <m/>
    <n v="0"/>
    <m/>
    <n v="2652"/>
    <m/>
    <n v="0"/>
    <m/>
    <n v="5"/>
    <n v="1680"/>
    <n v="0"/>
    <n v="1680"/>
    <n v="2652"/>
  </r>
  <r>
    <x v="0"/>
    <n v="25188292.499999996"/>
    <x v="6"/>
    <n v="85"/>
    <m/>
    <n v="0"/>
    <m/>
    <n v="0"/>
    <m/>
    <n v="870"/>
    <m/>
    <n v="32"/>
    <m/>
    <n v="0"/>
    <m/>
    <n v="4"/>
    <m/>
    <n v="0"/>
    <m/>
    <n v="57"/>
    <m/>
    <n v="0"/>
    <m/>
    <n v="197"/>
    <n v="0"/>
    <n v="870"/>
    <n v="32"/>
    <n v="197"/>
  </r>
  <r>
    <x v="0"/>
    <n v="25188292.499999996"/>
    <x v="7"/>
    <n v="517"/>
    <m/>
    <n v="0"/>
    <m/>
    <n v="0"/>
    <m/>
    <n v="0"/>
    <m/>
    <n v="177"/>
    <m/>
    <n v="0"/>
    <m/>
    <n v="411"/>
    <m/>
    <n v="0"/>
    <m/>
    <n v="236"/>
    <m/>
    <n v="0"/>
    <m/>
    <n v="10"/>
    <n v="657"/>
    <n v="517"/>
    <n v="411"/>
    <n v="236"/>
  </r>
  <r>
    <x v="0"/>
    <n v="25188292.499999996"/>
    <x v="8"/>
    <n v="0"/>
    <m/>
    <n v="0"/>
    <m/>
    <n v="0"/>
    <m/>
    <n v="0"/>
    <m/>
    <n v="0"/>
    <m/>
    <n v="0"/>
    <m/>
    <n v="0"/>
    <m/>
    <n v="0"/>
    <m/>
    <n v="0"/>
    <m/>
    <n v="0"/>
    <m/>
    <n v="0"/>
    <n v="0"/>
    <n v="0"/>
    <n v="0"/>
    <n v="0"/>
  </r>
  <r>
    <x v="0"/>
    <n v="25188292.499999996"/>
    <x v="9"/>
    <n v="0"/>
    <m/>
    <n v="0"/>
    <m/>
    <n v="0"/>
    <m/>
    <n v="0"/>
    <m/>
    <n v="0"/>
    <m/>
    <n v="0"/>
    <m/>
    <n v="0"/>
    <m/>
    <n v="0"/>
    <m/>
    <n v="0"/>
    <m/>
    <n v="0"/>
    <m/>
    <n v="2072"/>
    <n v="328"/>
    <n v="0"/>
    <n v="0"/>
    <n v="2072"/>
  </r>
  <r>
    <x v="0"/>
    <n v="25188292.499999996"/>
    <x v="10"/>
    <n v="0"/>
    <m/>
    <n v="0"/>
    <m/>
    <n v="0"/>
    <m/>
    <n v="0"/>
    <m/>
    <n v="0"/>
    <m/>
    <n v="0"/>
    <m/>
    <n v="0"/>
    <m/>
    <n v="0"/>
    <m/>
    <n v="0"/>
    <m/>
    <n v="0"/>
    <m/>
    <n v="0"/>
    <n v="75"/>
    <n v="0"/>
    <n v="0"/>
    <n v="0"/>
  </r>
  <r>
    <x v="0"/>
    <n v="25188292.499999996"/>
    <x v="11"/>
    <n v="0"/>
    <m/>
    <n v="0"/>
    <m/>
    <n v="0"/>
    <m/>
    <n v="0"/>
    <m/>
    <n v="0"/>
    <m/>
    <n v="0"/>
    <m/>
    <n v="98"/>
    <m/>
    <n v="0"/>
    <m/>
    <n v="0"/>
    <m/>
    <n v="0"/>
    <m/>
    <n v="9"/>
    <n v="468"/>
    <n v="0"/>
    <n v="98"/>
    <n v="9"/>
  </r>
  <r>
    <x v="0"/>
    <n v="25188292.499999996"/>
    <x v="12"/>
    <n v="0"/>
    <m/>
    <n v="0"/>
    <m/>
    <n v="0"/>
    <m/>
    <n v="0"/>
    <m/>
    <n v="0"/>
    <m/>
    <n v="0"/>
    <m/>
    <n v="0"/>
    <m/>
    <n v="0"/>
    <m/>
    <n v="0"/>
    <m/>
    <n v="0"/>
    <m/>
    <n v="0"/>
    <n v="134"/>
    <n v="0"/>
    <n v="0"/>
    <n v="0"/>
  </r>
  <r>
    <x v="0"/>
    <n v="25188292.499999996"/>
    <x v="13"/>
    <n v="0"/>
    <m/>
    <n v="0"/>
    <m/>
    <n v="0"/>
    <m/>
    <n v="0"/>
    <m/>
    <n v="0"/>
    <m/>
    <n v="0"/>
    <m/>
    <n v="0"/>
    <m/>
    <n v="0"/>
    <m/>
    <n v="0"/>
    <m/>
    <n v="0"/>
    <m/>
    <n v="107"/>
    <n v="789"/>
    <n v="0"/>
    <n v="0"/>
    <n v="107"/>
  </r>
  <r>
    <x v="0"/>
    <n v="25188292.499999996"/>
    <x v="14"/>
    <n v="0"/>
    <m/>
    <n v="0"/>
    <m/>
    <n v="0"/>
    <m/>
    <n v="0"/>
    <m/>
    <n v="0"/>
    <m/>
    <n v="0"/>
    <m/>
    <n v="0"/>
    <m/>
    <n v="0"/>
    <m/>
    <n v="0"/>
    <m/>
    <n v="0"/>
    <m/>
    <n v="117"/>
    <n v="190"/>
    <n v="0"/>
    <n v="0"/>
    <n v="117"/>
  </r>
  <r>
    <x v="0"/>
    <n v="25188292.499999996"/>
    <x v="15"/>
    <n v="0"/>
    <m/>
    <n v="0"/>
    <m/>
    <n v="0"/>
    <m/>
    <n v="0"/>
    <m/>
    <n v="0"/>
    <m/>
    <n v="0"/>
    <m/>
    <n v="0"/>
    <m/>
    <n v="0"/>
    <m/>
    <n v="0"/>
    <m/>
    <n v="0"/>
    <m/>
    <n v="6"/>
    <n v="56"/>
    <n v="0"/>
    <n v="0"/>
    <n v="6"/>
  </r>
  <r>
    <x v="0"/>
    <n v="25188292.499999996"/>
    <x v="16"/>
    <n v="0"/>
    <m/>
    <n v="0"/>
    <m/>
    <n v="0"/>
    <m/>
    <n v="0"/>
    <m/>
    <n v="0"/>
    <m/>
    <n v="0"/>
    <m/>
    <n v="0"/>
    <m/>
    <n v="0"/>
    <m/>
    <n v="0"/>
    <m/>
    <n v="0"/>
    <m/>
    <n v="0"/>
    <n v="28324"/>
    <n v="0"/>
    <n v="0"/>
    <n v="0"/>
  </r>
  <r>
    <x v="0"/>
    <n v="25188292.499999996"/>
    <x v="17"/>
    <n v="0"/>
    <m/>
    <n v="0"/>
    <m/>
    <n v="0"/>
    <m/>
    <n v="0"/>
    <m/>
    <n v="0"/>
    <m/>
    <n v="0"/>
    <m/>
    <n v="0"/>
    <m/>
    <n v="0"/>
    <m/>
    <n v="0"/>
    <m/>
    <n v="0"/>
    <m/>
    <n v="8431"/>
    <n v="0"/>
    <n v="0"/>
    <n v="0"/>
    <n v="8431"/>
  </r>
  <r>
    <x v="0"/>
    <n v="25188292.499999996"/>
    <x v="18"/>
    <n v="0"/>
    <m/>
    <n v="0"/>
    <m/>
    <n v="0"/>
    <m/>
    <n v="0"/>
    <m/>
    <n v="0"/>
    <m/>
    <n v="0"/>
    <m/>
    <n v="0"/>
    <m/>
    <n v="0"/>
    <m/>
    <n v="0"/>
    <m/>
    <n v="0"/>
    <m/>
    <n v="12"/>
    <n v="98"/>
    <n v="0"/>
    <n v="0"/>
    <n v="12"/>
  </r>
  <r>
    <x v="0"/>
    <n v="25188292.499999996"/>
    <x v="19"/>
    <n v="0"/>
    <m/>
    <n v="0"/>
    <m/>
    <n v="0"/>
    <m/>
    <n v="0"/>
    <m/>
    <n v="0"/>
    <m/>
    <n v="0"/>
    <m/>
    <n v="0"/>
    <m/>
    <n v="0"/>
    <m/>
    <n v="0"/>
    <m/>
    <n v="0"/>
    <m/>
    <n v="0"/>
    <n v="56"/>
    <n v="0"/>
    <n v="0"/>
    <n v="0"/>
  </r>
  <r>
    <x v="0"/>
    <n v="25188292.499999996"/>
    <x v="20"/>
    <n v="0"/>
    <m/>
    <n v="0"/>
    <m/>
    <n v="0"/>
    <m/>
    <n v="0"/>
    <m/>
    <n v="0"/>
    <m/>
    <n v="0"/>
    <m/>
    <n v="0"/>
    <m/>
    <n v="0"/>
    <m/>
    <n v="0"/>
    <m/>
    <n v="0"/>
    <m/>
    <n v="1195"/>
    <n v="1156"/>
    <n v="0"/>
    <n v="0"/>
    <n v="1195"/>
  </r>
  <r>
    <x v="0"/>
    <n v="25188292.499999996"/>
    <x v="21"/>
    <n v="0"/>
    <m/>
    <n v="0"/>
    <m/>
    <n v="0"/>
    <m/>
    <n v="0"/>
    <m/>
    <n v="0"/>
    <m/>
    <n v="0"/>
    <m/>
    <n v="0"/>
    <m/>
    <n v="0"/>
    <m/>
    <n v="0"/>
    <m/>
    <n v="0"/>
    <m/>
    <n v="41"/>
    <n v="0"/>
    <n v="0"/>
    <n v="0"/>
    <n v="41"/>
  </r>
  <r>
    <x v="0"/>
    <n v="25188292.499999996"/>
    <x v="22"/>
    <n v="0"/>
    <m/>
    <n v="0"/>
    <m/>
    <n v="0"/>
    <m/>
    <n v="0"/>
    <m/>
    <n v="0"/>
    <m/>
    <n v="0"/>
    <m/>
    <n v="0"/>
    <m/>
    <n v="0"/>
    <m/>
    <n v="0"/>
    <m/>
    <n v="0"/>
    <m/>
    <n v="1"/>
    <n v="0"/>
    <n v="0"/>
    <n v="0"/>
    <n v="1"/>
  </r>
  <r>
    <x v="0"/>
    <n v="25188292.499999996"/>
    <x v="23"/>
    <n v="0"/>
    <m/>
    <n v="0"/>
    <m/>
    <n v="0"/>
    <m/>
    <n v="0"/>
    <m/>
    <n v="0"/>
    <m/>
    <n v="0"/>
    <m/>
    <n v="0"/>
    <m/>
    <n v="0"/>
    <m/>
    <n v="0"/>
    <m/>
    <n v="0"/>
    <m/>
    <n v="0"/>
    <n v="16380"/>
    <n v="0"/>
    <n v="0"/>
    <n v="0"/>
  </r>
  <r>
    <x v="1"/>
    <n v="9795479.0000000019"/>
    <x v="0"/>
    <n v="996"/>
    <n v="10149577.500000002"/>
    <n v="1108"/>
    <n v="10494912.499999989"/>
    <n v="1218"/>
    <n v="10727148.499999996"/>
    <n v="1016"/>
    <n v="10903327.500000004"/>
    <n v="0"/>
    <n v="11155593.000000002"/>
    <n v="0"/>
    <n v="11493472.499999993"/>
    <n v="45"/>
    <n v="11874838"/>
    <n v="0"/>
    <n v="12220226.500000007"/>
    <n v="1704"/>
    <n v="12551212.999999998"/>
    <n v="1816"/>
    <n v="12889576.499999994"/>
    <n v="0"/>
    <n v="1084"/>
    <n v="1218"/>
    <n v="45"/>
    <n v="1816"/>
  </r>
  <r>
    <x v="1"/>
    <n v="9795479.0000000019"/>
    <x v="1"/>
    <n v="12972"/>
    <m/>
    <n v="13146"/>
    <m/>
    <n v="13638"/>
    <m/>
    <n v="13376"/>
    <m/>
    <n v="0"/>
    <m/>
    <n v="18142"/>
    <m/>
    <n v="18312"/>
    <m/>
    <n v="15036"/>
    <m/>
    <n v="15426"/>
    <m/>
    <n v="18744"/>
    <m/>
    <n v="0"/>
    <n v="8996"/>
    <n v="13638"/>
    <n v="18312"/>
    <n v="18744"/>
  </r>
  <r>
    <x v="1"/>
    <n v="9795479.0000000019"/>
    <x v="2"/>
    <n v="32"/>
    <m/>
    <n v="70"/>
    <m/>
    <n v="48"/>
    <m/>
    <n v="158"/>
    <m/>
    <n v="0"/>
    <m/>
    <n v="320"/>
    <m/>
    <n v="0"/>
    <m/>
    <n v="248"/>
    <m/>
    <n v="0"/>
    <m/>
    <n v="286"/>
    <m/>
    <n v="0"/>
    <n v="160"/>
    <n v="158"/>
    <n v="320"/>
    <n v="286"/>
  </r>
  <r>
    <x v="1"/>
    <n v="9795479.0000000019"/>
    <x v="3"/>
    <n v="546"/>
    <m/>
    <n v="0"/>
    <m/>
    <n v="0"/>
    <m/>
    <n v="0"/>
    <m/>
    <n v="188"/>
    <m/>
    <n v="944"/>
    <m/>
    <n v="0"/>
    <m/>
    <n v="83"/>
    <m/>
    <n v="1138"/>
    <m/>
    <n v="0"/>
    <m/>
    <n v="0"/>
    <n v="119"/>
    <n v="546"/>
    <n v="944"/>
    <n v="1138"/>
  </r>
  <r>
    <x v="1"/>
    <n v="9795479.0000000019"/>
    <x v="4"/>
    <n v="115"/>
    <m/>
    <n v="0"/>
    <m/>
    <n v="194"/>
    <m/>
    <n v="300"/>
    <m/>
    <n v="11"/>
    <m/>
    <n v="373"/>
    <m/>
    <n v="0"/>
    <m/>
    <n v="18"/>
    <m/>
    <n v="0"/>
    <m/>
    <n v="0"/>
    <m/>
    <n v="0"/>
    <n v="14"/>
    <n v="300"/>
    <n v="373"/>
    <n v="0"/>
  </r>
  <r>
    <x v="1"/>
    <n v="9795479.0000000019"/>
    <x v="5"/>
    <n v="0"/>
    <m/>
    <n v="0"/>
    <m/>
    <n v="0"/>
    <m/>
    <n v="0"/>
    <m/>
    <n v="0"/>
    <m/>
    <n v="0"/>
    <m/>
    <n v="11845"/>
    <m/>
    <n v="0"/>
    <m/>
    <n v="11845"/>
    <m/>
    <n v="0"/>
    <m/>
    <n v="0"/>
    <n v="11845"/>
    <n v="0"/>
    <n v="11845"/>
    <n v="11845"/>
  </r>
  <r>
    <x v="1"/>
    <n v="9795479.0000000019"/>
    <x v="6"/>
    <n v="44"/>
    <m/>
    <n v="0"/>
    <m/>
    <n v="0"/>
    <m/>
    <n v="0"/>
    <m/>
    <n v="42"/>
    <m/>
    <n v="0"/>
    <m/>
    <n v="0"/>
    <m/>
    <n v="0"/>
    <m/>
    <n v="0"/>
    <m/>
    <n v="0"/>
    <m/>
    <n v="0"/>
    <n v="10"/>
    <n v="44"/>
    <n v="42"/>
    <n v="0"/>
  </r>
  <r>
    <x v="1"/>
    <n v="9795479.0000000019"/>
    <x v="7"/>
    <n v="0"/>
    <m/>
    <n v="0"/>
    <m/>
    <n v="0"/>
    <m/>
    <n v="0"/>
    <m/>
    <n v="96"/>
    <m/>
    <n v="0"/>
    <m/>
    <n v="0"/>
    <m/>
    <n v="149"/>
    <m/>
    <n v="0"/>
    <m/>
    <n v="0"/>
    <m/>
    <n v="0"/>
    <n v="372"/>
    <n v="0"/>
    <n v="149"/>
    <n v="0"/>
  </r>
  <r>
    <x v="1"/>
    <n v="9795479.0000000019"/>
    <x v="8"/>
    <n v="0"/>
    <m/>
    <n v="0"/>
    <m/>
    <n v="0"/>
    <m/>
    <n v="0"/>
    <m/>
    <n v="0"/>
    <m/>
    <n v="0"/>
    <m/>
    <n v="0"/>
    <m/>
    <n v="0"/>
    <m/>
    <n v="0"/>
    <m/>
    <n v="0"/>
    <m/>
    <n v="0"/>
    <n v="8664"/>
    <n v="0"/>
    <n v="0"/>
    <n v="0"/>
  </r>
  <r>
    <x v="1"/>
    <n v="9795479.0000000019"/>
    <x v="9"/>
    <n v="0"/>
    <m/>
    <n v="0"/>
    <m/>
    <n v="0"/>
    <m/>
    <n v="0"/>
    <m/>
    <n v="0"/>
    <m/>
    <n v="0"/>
    <m/>
    <n v="0"/>
    <m/>
    <n v="0"/>
    <m/>
    <n v="0"/>
    <m/>
    <n v="0"/>
    <m/>
    <n v="0"/>
    <n v="1383"/>
    <n v="0"/>
    <n v="0"/>
    <n v="0"/>
  </r>
  <r>
    <x v="1"/>
    <n v="9795479.0000000019"/>
    <x v="10"/>
    <n v="0"/>
    <m/>
    <n v="0"/>
    <m/>
    <n v="0"/>
    <m/>
    <n v="0"/>
    <m/>
    <n v="0"/>
    <m/>
    <n v="0"/>
    <m/>
    <n v="0"/>
    <m/>
    <n v="0"/>
    <m/>
    <n v="0"/>
    <m/>
    <n v="0"/>
    <m/>
    <n v="0"/>
    <n v="0"/>
    <n v="0"/>
    <n v="0"/>
    <n v="0"/>
  </r>
  <r>
    <x v="1"/>
    <n v="9795479.0000000019"/>
    <x v="11"/>
    <n v="0"/>
    <m/>
    <n v="0"/>
    <m/>
    <n v="0"/>
    <m/>
    <n v="0"/>
    <m/>
    <n v="0"/>
    <m/>
    <n v="1073"/>
    <m/>
    <n v="1071"/>
    <m/>
    <n v="0"/>
    <m/>
    <n v="0"/>
    <m/>
    <n v="0"/>
    <m/>
    <n v="0"/>
    <n v="155"/>
    <n v="0"/>
    <n v="1073"/>
    <n v="0"/>
  </r>
  <r>
    <x v="1"/>
    <n v="9795479.0000000019"/>
    <x v="12"/>
    <n v="0"/>
    <m/>
    <n v="0"/>
    <m/>
    <n v="0"/>
    <m/>
    <n v="0"/>
    <m/>
    <n v="0"/>
    <m/>
    <n v="0"/>
    <m/>
    <n v="0"/>
    <m/>
    <n v="0"/>
    <m/>
    <n v="0"/>
    <m/>
    <n v="0"/>
    <m/>
    <n v="0"/>
    <n v="0"/>
    <n v="0"/>
    <n v="0"/>
    <n v="0"/>
  </r>
  <r>
    <x v="1"/>
    <n v="9795479.0000000019"/>
    <x v="13"/>
    <n v="0"/>
    <m/>
    <n v="0"/>
    <m/>
    <n v="0"/>
    <m/>
    <n v="0"/>
    <m/>
    <n v="0"/>
    <m/>
    <n v="0"/>
    <m/>
    <n v="0"/>
    <m/>
    <n v="0"/>
    <m/>
    <n v="0"/>
    <m/>
    <n v="81"/>
    <m/>
    <n v="0"/>
    <n v="86"/>
    <n v="0"/>
    <n v="0"/>
    <n v="81"/>
  </r>
  <r>
    <x v="1"/>
    <n v="9795479.0000000019"/>
    <x v="14"/>
    <n v="0"/>
    <m/>
    <n v="0"/>
    <m/>
    <n v="0"/>
    <m/>
    <n v="0"/>
    <m/>
    <n v="0"/>
    <m/>
    <n v="0"/>
    <m/>
    <n v="0"/>
    <m/>
    <n v="0"/>
    <m/>
    <n v="0"/>
    <m/>
    <n v="0"/>
    <m/>
    <n v="0"/>
    <n v="108"/>
    <n v="0"/>
    <n v="0"/>
    <n v="0"/>
  </r>
  <r>
    <x v="1"/>
    <n v="9795479.0000000019"/>
    <x v="15"/>
    <n v="0"/>
    <m/>
    <n v="0"/>
    <m/>
    <n v="0"/>
    <m/>
    <n v="0"/>
    <m/>
    <n v="0"/>
    <m/>
    <n v="0"/>
    <m/>
    <n v="0"/>
    <m/>
    <n v="0"/>
    <m/>
    <n v="0"/>
    <m/>
    <n v="0"/>
    <m/>
    <n v="0"/>
    <n v="0"/>
    <n v="0"/>
    <n v="0"/>
    <n v="0"/>
  </r>
  <r>
    <x v="1"/>
    <n v="9795479.0000000019"/>
    <x v="16"/>
    <n v="0"/>
    <m/>
    <n v="0"/>
    <m/>
    <n v="0"/>
    <m/>
    <n v="0"/>
    <m/>
    <n v="0"/>
    <m/>
    <n v="2946"/>
    <m/>
    <n v="0"/>
    <m/>
    <n v="0"/>
    <m/>
    <n v="0"/>
    <m/>
    <n v="7805"/>
    <m/>
    <n v="0"/>
    <n v="2906"/>
    <n v="0"/>
    <n v="2946"/>
    <n v="7805"/>
  </r>
  <r>
    <x v="1"/>
    <n v="9795479.0000000019"/>
    <x v="17"/>
    <n v="0"/>
    <m/>
    <n v="0"/>
    <m/>
    <n v="0"/>
    <m/>
    <n v="0"/>
    <m/>
    <n v="0"/>
    <m/>
    <n v="9003"/>
    <m/>
    <n v="0"/>
    <m/>
    <n v="0"/>
    <m/>
    <n v="0"/>
    <m/>
    <n v="0"/>
    <m/>
    <n v="0"/>
    <n v="0"/>
    <n v="0"/>
    <n v="9003"/>
    <n v="0"/>
  </r>
  <r>
    <x v="1"/>
    <n v="9795479.0000000019"/>
    <x v="18"/>
    <n v="0"/>
    <m/>
    <n v="0"/>
    <m/>
    <n v="0"/>
    <m/>
    <n v="0"/>
    <m/>
    <n v="0"/>
    <m/>
    <n v="0"/>
    <m/>
    <n v="0"/>
    <m/>
    <n v="0"/>
    <m/>
    <n v="0"/>
    <m/>
    <n v="729"/>
    <m/>
    <n v="0"/>
    <n v="1071"/>
    <n v="0"/>
    <n v="0"/>
    <n v="729"/>
  </r>
  <r>
    <x v="1"/>
    <n v="9795479.0000000019"/>
    <x v="19"/>
    <n v="0"/>
    <m/>
    <n v="0"/>
    <m/>
    <n v="0"/>
    <m/>
    <n v="0"/>
    <m/>
    <n v="0"/>
    <m/>
    <n v="0"/>
    <m/>
    <n v="0"/>
    <m/>
    <n v="0"/>
    <m/>
    <n v="0"/>
    <m/>
    <n v="0"/>
    <m/>
    <n v="0"/>
    <n v="0"/>
    <n v="0"/>
    <n v="0"/>
    <n v="0"/>
  </r>
  <r>
    <x v="1"/>
    <n v="9795479.0000000019"/>
    <x v="20"/>
    <n v="0"/>
    <m/>
    <n v="0"/>
    <m/>
    <n v="0"/>
    <m/>
    <n v="0"/>
    <m/>
    <n v="0"/>
    <m/>
    <n v="0"/>
    <m/>
    <n v="0"/>
    <m/>
    <n v="0"/>
    <m/>
    <n v="0"/>
    <m/>
    <n v="0"/>
    <m/>
    <n v="0"/>
    <n v="9"/>
    <n v="0"/>
    <n v="0"/>
    <n v="0"/>
  </r>
  <r>
    <x v="1"/>
    <n v="9795479.0000000019"/>
    <x v="21"/>
    <n v="0"/>
    <m/>
    <n v="0"/>
    <m/>
    <n v="0"/>
    <m/>
    <n v="0"/>
    <m/>
    <n v="0"/>
    <m/>
    <n v="0"/>
    <m/>
    <n v="0"/>
    <m/>
    <n v="0"/>
    <m/>
    <n v="0"/>
    <m/>
    <n v="0"/>
    <m/>
    <n v="0"/>
    <n v="0"/>
    <n v="0"/>
    <n v="0"/>
    <n v="0"/>
  </r>
  <r>
    <x v="1"/>
    <n v="9795479.0000000019"/>
    <x v="22"/>
    <n v="0"/>
    <m/>
    <n v="0"/>
    <m/>
    <n v="0"/>
    <m/>
    <n v="0"/>
    <m/>
    <n v="0"/>
    <m/>
    <n v="0"/>
    <m/>
    <n v="0"/>
    <m/>
    <n v="0"/>
    <m/>
    <n v="0"/>
    <m/>
    <n v="5"/>
    <m/>
    <n v="0"/>
    <n v="0"/>
    <n v="0"/>
    <n v="0"/>
    <n v="5"/>
  </r>
  <r>
    <x v="1"/>
    <n v="9795479.0000000019"/>
    <x v="23"/>
    <n v="0"/>
    <m/>
    <n v="0"/>
    <m/>
    <n v="0"/>
    <m/>
    <n v="0"/>
    <m/>
    <n v="0"/>
    <m/>
    <n v="0"/>
    <m/>
    <n v="0"/>
    <m/>
    <n v="0"/>
    <m/>
    <n v="0"/>
    <m/>
    <n v="0"/>
    <m/>
    <n v="0"/>
    <n v="1000"/>
    <n v="0"/>
    <n v="0"/>
    <n v="0"/>
  </r>
  <r>
    <x v="2"/>
    <n v="10014078.499999996"/>
    <x v="0"/>
    <n v="26"/>
    <n v="10308730.499999994"/>
    <n v="0"/>
    <n v="10614844.000000013"/>
    <n v="191"/>
    <n v="10932783.499999994"/>
    <n v="0"/>
    <n v="11260084.499999996"/>
    <n v="1046"/>
    <n v="11596778.499999991"/>
    <n v="0"/>
    <n v="11940683.499999996"/>
    <n v="2300"/>
    <n v="12290444.000000004"/>
    <n v="1842"/>
    <n v="12643123.000000002"/>
    <n v="0"/>
    <n v="12996895"/>
    <n v="5861"/>
    <n v="13352864"/>
    <n v="5567"/>
    <n v="710"/>
    <n v="191"/>
    <n v="2300"/>
    <n v="5861"/>
  </r>
  <r>
    <x v="2"/>
    <n v="10014078.499999996"/>
    <x v="1"/>
    <n v="10276"/>
    <m/>
    <n v="9760"/>
    <m/>
    <n v="0"/>
    <m/>
    <n v="0"/>
    <m/>
    <n v="14448"/>
    <m/>
    <n v="0"/>
    <m/>
    <n v="6820"/>
    <m/>
    <n v="5340"/>
    <m/>
    <n v="0"/>
    <m/>
    <n v="10968"/>
    <m/>
    <n v="11786"/>
    <n v="3260"/>
    <n v="10276"/>
    <n v="14448"/>
    <n v="11786"/>
  </r>
  <r>
    <x v="2"/>
    <n v="10014078.499999996"/>
    <x v="2"/>
    <n v="2960"/>
    <m/>
    <n v="1886"/>
    <m/>
    <n v="0"/>
    <m/>
    <n v="0"/>
    <m/>
    <n v="2068"/>
    <m/>
    <n v="0"/>
    <m/>
    <n v="2110"/>
    <m/>
    <n v="1810"/>
    <m/>
    <n v="0"/>
    <m/>
    <n v="4172"/>
    <m/>
    <n v="4110"/>
    <n v="813"/>
    <n v="2960"/>
    <n v="2110"/>
    <n v="4172"/>
  </r>
  <r>
    <x v="2"/>
    <n v="10014078.499999996"/>
    <x v="3"/>
    <n v="0"/>
    <m/>
    <n v="0"/>
    <m/>
    <n v="1717"/>
    <m/>
    <n v="2626"/>
    <m/>
    <n v="1600"/>
    <m/>
    <n v="0"/>
    <m/>
    <n v="281"/>
    <m/>
    <n v="106"/>
    <m/>
    <n v="0"/>
    <m/>
    <n v="505"/>
    <m/>
    <n v="0"/>
    <n v="14"/>
    <n v="2626"/>
    <n v="1600"/>
    <n v="505"/>
  </r>
  <r>
    <x v="2"/>
    <n v="10014078.499999996"/>
    <x v="4"/>
    <n v="0"/>
    <m/>
    <n v="0"/>
    <m/>
    <n v="255"/>
    <m/>
    <n v="658"/>
    <m/>
    <n v="234"/>
    <m/>
    <n v="0"/>
    <m/>
    <n v="0"/>
    <m/>
    <n v="32"/>
    <m/>
    <n v="0"/>
    <m/>
    <n v="195"/>
    <m/>
    <n v="0"/>
    <n v="0"/>
    <n v="658"/>
    <n v="234"/>
    <n v="195"/>
  </r>
  <r>
    <x v="2"/>
    <n v="10014078.499999996"/>
    <x v="5"/>
    <n v="0"/>
    <m/>
    <n v="0"/>
    <m/>
    <n v="0"/>
    <m/>
    <n v="0"/>
    <m/>
    <n v="0"/>
    <m/>
    <n v="0"/>
    <m/>
    <n v="0"/>
    <m/>
    <n v="0"/>
    <m/>
    <n v="0"/>
    <m/>
    <n v="21"/>
    <m/>
    <n v="21"/>
    <n v="0"/>
    <n v="0"/>
    <n v="0"/>
    <n v="21"/>
  </r>
  <r>
    <x v="2"/>
    <n v="10014078.499999996"/>
    <x v="6"/>
    <n v="0"/>
    <m/>
    <n v="0"/>
    <m/>
    <n v="0"/>
    <m/>
    <n v="0"/>
    <m/>
    <n v="0"/>
    <m/>
    <n v="0"/>
    <m/>
    <n v="8"/>
    <m/>
    <n v="0"/>
    <m/>
    <n v="0"/>
    <m/>
    <n v="21"/>
    <m/>
    <n v="0"/>
    <n v="0"/>
    <n v="0"/>
    <n v="8"/>
    <n v="21"/>
  </r>
  <r>
    <x v="2"/>
    <n v="10014078.499999996"/>
    <x v="7"/>
    <n v="0"/>
    <m/>
    <n v="0"/>
    <m/>
    <n v="0"/>
    <m/>
    <n v="3830"/>
    <m/>
    <n v="0"/>
    <m/>
    <n v="0"/>
    <m/>
    <n v="429"/>
    <m/>
    <n v="0"/>
    <m/>
    <n v="0"/>
    <m/>
    <n v="1570"/>
    <m/>
    <n v="0"/>
    <n v="619"/>
    <n v="3830"/>
    <n v="429"/>
    <n v="1570"/>
  </r>
  <r>
    <x v="2"/>
    <n v="10014078.499999996"/>
    <x v="8"/>
    <n v="0"/>
    <m/>
    <n v="0"/>
    <m/>
    <n v="0"/>
    <m/>
    <n v="0"/>
    <m/>
    <n v="0"/>
    <m/>
    <n v="0"/>
    <m/>
    <n v="0"/>
    <m/>
    <n v="0"/>
    <m/>
    <n v="0"/>
    <m/>
    <n v="6809"/>
    <m/>
    <n v="0"/>
    <n v="2623"/>
    <n v="0"/>
    <n v="0"/>
    <n v="6809"/>
  </r>
  <r>
    <x v="2"/>
    <n v="10014078.499999996"/>
    <x v="9"/>
    <n v="0"/>
    <m/>
    <n v="0"/>
    <m/>
    <n v="0"/>
    <m/>
    <n v="0"/>
    <m/>
    <n v="0"/>
    <m/>
    <n v="0"/>
    <m/>
    <n v="0"/>
    <m/>
    <n v="0"/>
    <m/>
    <n v="0"/>
    <m/>
    <n v="0"/>
    <m/>
    <n v="0"/>
    <n v="0"/>
    <n v="0"/>
    <n v="0"/>
    <n v="0"/>
  </r>
  <r>
    <x v="2"/>
    <n v="10014078.499999996"/>
    <x v="10"/>
    <n v="0"/>
    <m/>
    <n v="0"/>
    <m/>
    <n v="0"/>
    <m/>
    <n v="0"/>
    <m/>
    <n v="0"/>
    <m/>
    <n v="15"/>
    <m/>
    <n v="0"/>
    <m/>
    <n v="0"/>
    <m/>
    <n v="0"/>
    <m/>
    <n v="0"/>
    <m/>
    <n v="0"/>
    <n v="0"/>
    <n v="0"/>
    <n v="15"/>
    <n v="0"/>
  </r>
  <r>
    <x v="2"/>
    <n v="10014078.499999996"/>
    <x v="11"/>
    <n v="0"/>
    <m/>
    <n v="0"/>
    <m/>
    <n v="0"/>
    <m/>
    <n v="0"/>
    <m/>
    <n v="0"/>
    <m/>
    <n v="0"/>
    <m/>
    <n v="668"/>
    <m/>
    <n v="0"/>
    <m/>
    <n v="0"/>
    <m/>
    <n v="0"/>
    <m/>
    <n v="0"/>
    <n v="0"/>
    <n v="0"/>
    <n v="668"/>
    <n v="0"/>
  </r>
  <r>
    <x v="2"/>
    <n v="10014078.499999996"/>
    <x v="12"/>
    <n v="0"/>
    <m/>
    <n v="0"/>
    <m/>
    <n v="0"/>
    <m/>
    <n v="0"/>
    <m/>
    <n v="0"/>
    <m/>
    <n v="0"/>
    <m/>
    <n v="0"/>
    <m/>
    <n v="0"/>
    <m/>
    <n v="0"/>
    <m/>
    <n v="0"/>
    <m/>
    <n v="0"/>
    <n v="0"/>
    <n v="0"/>
    <n v="0"/>
    <n v="0"/>
  </r>
  <r>
    <x v="2"/>
    <n v="10014078.499999996"/>
    <x v="13"/>
    <n v="241"/>
    <m/>
    <n v="206"/>
    <m/>
    <n v="0"/>
    <m/>
    <n v="0"/>
    <m/>
    <n v="234"/>
    <m/>
    <n v="0"/>
    <m/>
    <n v="137"/>
    <m/>
    <n v="92"/>
    <m/>
    <n v="0"/>
    <m/>
    <n v="352"/>
    <m/>
    <n v="0"/>
    <n v="54"/>
    <n v="241"/>
    <n v="234"/>
    <n v="352"/>
  </r>
  <r>
    <x v="2"/>
    <n v="10014078.499999996"/>
    <x v="14"/>
    <n v="0"/>
    <m/>
    <n v="0"/>
    <m/>
    <n v="0"/>
    <m/>
    <n v="0"/>
    <m/>
    <n v="0"/>
    <m/>
    <n v="0"/>
    <m/>
    <n v="0"/>
    <m/>
    <n v="0"/>
    <m/>
    <n v="0"/>
    <m/>
    <n v="0"/>
    <m/>
    <n v="0"/>
    <n v="0"/>
    <n v="0"/>
    <n v="0"/>
    <n v="0"/>
  </r>
  <r>
    <x v="2"/>
    <n v="10014078.499999996"/>
    <x v="15"/>
    <n v="0"/>
    <m/>
    <n v="0"/>
    <m/>
    <n v="0"/>
    <m/>
    <n v="0"/>
    <m/>
    <n v="0"/>
    <m/>
    <n v="0"/>
    <m/>
    <n v="0"/>
    <m/>
    <n v="0"/>
    <m/>
    <n v="0"/>
    <m/>
    <n v="0"/>
    <m/>
    <n v="0"/>
    <n v="0"/>
    <n v="0"/>
    <n v="0"/>
    <n v="0"/>
  </r>
  <r>
    <x v="2"/>
    <n v="10014078.499999996"/>
    <x v="16"/>
    <n v="0"/>
    <m/>
    <n v="0"/>
    <m/>
    <n v="0"/>
    <m/>
    <n v="0"/>
    <m/>
    <n v="0"/>
    <m/>
    <n v="0"/>
    <m/>
    <n v="0"/>
    <m/>
    <n v="0"/>
    <m/>
    <n v="0"/>
    <m/>
    <n v="0"/>
    <m/>
    <n v="0"/>
    <n v="156"/>
    <n v="0"/>
    <n v="0"/>
    <n v="0"/>
  </r>
  <r>
    <x v="2"/>
    <n v="10014078.499999996"/>
    <x v="17"/>
    <n v="0"/>
    <m/>
    <n v="0"/>
    <m/>
    <n v="0"/>
    <m/>
    <n v="0"/>
    <m/>
    <n v="0"/>
    <m/>
    <n v="0"/>
    <m/>
    <n v="0"/>
    <m/>
    <n v="0"/>
    <m/>
    <n v="0"/>
    <m/>
    <n v="0"/>
    <m/>
    <n v="0"/>
    <n v="1994"/>
    <n v="0"/>
    <n v="0"/>
    <n v="0"/>
  </r>
  <r>
    <x v="2"/>
    <n v="10014078.499999996"/>
    <x v="18"/>
    <n v="845"/>
    <m/>
    <n v="830"/>
    <m/>
    <n v="0"/>
    <m/>
    <n v="0"/>
    <m/>
    <n v="1166"/>
    <m/>
    <n v="0"/>
    <m/>
    <n v="0"/>
    <m/>
    <n v="0"/>
    <m/>
    <n v="0"/>
    <m/>
    <n v="1744"/>
    <m/>
    <n v="1602"/>
    <n v="241"/>
    <n v="845"/>
    <n v="1166"/>
    <n v="1744"/>
  </r>
  <r>
    <x v="2"/>
    <n v="10014078.499999996"/>
    <x v="19"/>
    <n v="0"/>
    <m/>
    <n v="0"/>
    <m/>
    <n v="0"/>
    <m/>
    <n v="0"/>
    <m/>
    <n v="0"/>
    <m/>
    <n v="0"/>
    <m/>
    <n v="5086"/>
    <m/>
    <n v="0"/>
    <m/>
    <n v="0"/>
    <m/>
    <n v="382"/>
    <m/>
    <n v="382"/>
    <n v="146"/>
    <n v="0"/>
    <n v="5086"/>
    <n v="382"/>
  </r>
  <r>
    <x v="2"/>
    <n v="10014078.499999996"/>
    <x v="20"/>
    <n v="0"/>
    <m/>
    <n v="0"/>
    <m/>
    <n v="0"/>
    <m/>
    <n v="0"/>
    <m/>
    <n v="0"/>
    <m/>
    <n v="0"/>
    <m/>
    <n v="58"/>
    <m/>
    <n v="0"/>
    <m/>
    <n v="0"/>
    <m/>
    <n v="187"/>
    <m/>
    <n v="187"/>
    <n v="0"/>
    <n v="0"/>
    <n v="58"/>
    <n v="187"/>
  </r>
  <r>
    <x v="2"/>
    <n v="10014078.499999996"/>
    <x v="21"/>
    <n v="0"/>
    <m/>
    <n v="0"/>
    <m/>
    <n v="0"/>
    <m/>
    <n v="0"/>
    <m/>
    <n v="0"/>
    <m/>
    <n v="0"/>
    <m/>
    <n v="102"/>
    <m/>
    <n v="0"/>
    <m/>
    <n v="0"/>
    <m/>
    <n v="0"/>
    <m/>
    <n v="0"/>
    <n v="0"/>
    <n v="0"/>
    <n v="102"/>
    <n v="0"/>
  </r>
  <r>
    <x v="2"/>
    <n v="10014078.499999996"/>
    <x v="22"/>
    <n v="0"/>
    <m/>
    <n v="0"/>
    <m/>
    <n v="0"/>
    <m/>
    <n v="0"/>
    <m/>
    <n v="0"/>
    <m/>
    <n v="0"/>
    <m/>
    <n v="0"/>
    <m/>
    <n v="0"/>
    <m/>
    <n v="0"/>
    <m/>
    <n v="0"/>
    <m/>
    <n v="0"/>
    <n v="0"/>
    <n v="0"/>
    <n v="0"/>
    <n v="0"/>
  </r>
  <r>
    <x v="2"/>
    <n v="10014078.499999996"/>
    <x v="23"/>
    <n v="0"/>
    <m/>
    <n v="10200"/>
    <m/>
    <n v="0"/>
    <m/>
    <n v="0"/>
    <m/>
    <n v="0"/>
    <m/>
    <n v="0"/>
    <m/>
    <n v="0"/>
    <m/>
    <n v="0"/>
    <m/>
    <n v="0"/>
    <m/>
    <n v="0"/>
    <m/>
    <n v="0"/>
    <n v="0"/>
    <n v="10200"/>
    <n v="0"/>
    <n v="0"/>
  </r>
  <r>
    <x v="3"/>
    <n v="17113732.499999996"/>
    <x v="0"/>
    <n v="1574"/>
    <n v="17636407.5"/>
    <n v="1606"/>
    <n v="18169842.499999996"/>
    <n v="1818"/>
    <n v="18718019.499999996"/>
    <n v="2378"/>
    <n v="19275497.999999981"/>
    <n v="2404"/>
    <n v="19835858.500000007"/>
    <n v="3990"/>
    <n v="20392723"/>
    <n v="3368"/>
    <n v="20951638.999999996"/>
    <n v="5397"/>
    <n v="21522625.999999993"/>
    <n v="4360"/>
    <n v="22100683.499999989"/>
    <n v="4684"/>
    <n v="22673762.000000007"/>
    <n v="7587"/>
    <n v="1626"/>
    <n v="2378"/>
    <n v="5397"/>
    <n v="7587"/>
  </r>
  <r>
    <x v="3"/>
    <n v="17113732.499999996"/>
    <x v="1"/>
    <n v="12016"/>
    <m/>
    <n v="12392"/>
    <m/>
    <n v="12716"/>
    <m/>
    <n v="19496"/>
    <m/>
    <n v="19402"/>
    <m/>
    <n v="20752"/>
    <m/>
    <n v="0"/>
    <m/>
    <n v="22728"/>
    <m/>
    <n v="23748"/>
    <m/>
    <n v="24378"/>
    <m/>
    <n v="27922"/>
    <n v="10325"/>
    <n v="19496"/>
    <n v="22728"/>
    <n v="27922"/>
  </r>
  <r>
    <x v="3"/>
    <n v="17113732.499999996"/>
    <x v="2"/>
    <n v="8902"/>
    <m/>
    <n v="3182"/>
    <m/>
    <n v="3488"/>
    <m/>
    <n v="4766"/>
    <m/>
    <n v="5160"/>
    <m/>
    <n v="13138"/>
    <m/>
    <n v="0"/>
    <m/>
    <n v="14954"/>
    <m/>
    <n v="15608"/>
    <m/>
    <n v="16104"/>
    <m/>
    <n v="18588"/>
    <n v="6569"/>
    <n v="8902"/>
    <n v="14954"/>
    <n v="18588"/>
  </r>
  <r>
    <x v="3"/>
    <n v="17113732.499999996"/>
    <x v="3"/>
    <n v="785"/>
    <m/>
    <n v="0"/>
    <m/>
    <n v="0"/>
    <m/>
    <n v="1184"/>
    <m/>
    <n v="17091"/>
    <m/>
    <n v="20603"/>
    <m/>
    <n v="401"/>
    <m/>
    <n v="85"/>
    <m/>
    <n v="0"/>
    <m/>
    <n v="232"/>
    <m/>
    <n v="0"/>
    <n v="792"/>
    <n v="1184"/>
    <n v="20603"/>
    <n v="232"/>
  </r>
  <r>
    <x v="3"/>
    <n v="17113732.499999996"/>
    <x v="4"/>
    <n v="39"/>
    <m/>
    <n v="0"/>
    <m/>
    <n v="0"/>
    <m/>
    <n v="392"/>
    <m/>
    <n v="466"/>
    <m/>
    <n v="5048"/>
    <m/>
    <n v="111"/>
    <m/>
    <n v="131"/>
    <m/>
    <n v="0"/>
    <m/>
    <n v="80"/>
    <m/>
    <n v="0"/>
    <n v="80"/>
    <n v="392"/>
    <n v="5048"/>
    <n v="80"/>
  </r>
  <r>
    <x v="3"/>
    <n v="17113732.499999996"/>
    <x v="5"/>
    <n v="2099"/>
    <m/>
    <n v="0"/>
    <m/>
    <n v="0"/>
    <m/>
    <n v="0"/>
    <m/>
    <n v="0"/>
    <m/>
    <n v="2749"/>
    <m/>
    <n v="0"/>
    <m/>
    <n v="2979"/>
    <m/>
    <n v="2923"/>
    <m/>
    <n v="2947"/>
    <m/>
    <n v="3145"/>
    <n v="2749"/>
    <n v="2099"/>
    <n v="2979"/>
    <n v="3145"/>
  </r>
  <r>
    <x v="3"/>
    <n v="17113732.499999996"/>
    <x v="6"/>
    <n v="128"/>
    <m/>
    <n v="0"/>
    <m/>
    <n v="0"/>
    <m/>
    <n v="1688"/>
    <m/>
    <n v="940"/>
    <m/>
    <n v="0"/>
    <m/>
    <n v="0"/>
    <m/>
    <n v="0"/>
    <m/>
    <n v="0"/>
    <m/>
    <n v="15"/>
    <m/>
    <n v="0"/>
    <n v="19"/>
    <n v="1688"/>
    <n v="940"/>
    <n v="15"/>
  </r>
  <r>
    <x v="3"/>
    <n v="17113732.499999996"/>
    <x v="7"/>
    <n v="1791"/>
    <m/>
    <n v="0"/>
    <m/>
    <n v="0"/>
    <m/>
    <n v="718"/>
    <m/>
    <n v="2367"/>
    <m/>
    <n v="20392"/>
    <m/>
    <n v="157"/>
    <m/>
    <n v="0"/>
    <m/>
    <n v="0"/>
    <m/>
    <n v="31"/>
    <m/>
    <n v="0"/>
    <n v="160"/>
    <n v="1791"/>
    <n v="20392"/>
    <n v="31"/>
  </r>
  <r>
    <x v="3"/>
    <n v="17113732.499999996"/>
    <x v="8"/>
    <n v="0"/>
    <m/>
    <n v="0"/>
    <m/>
    <n v="0"/>
    <m/>
    <n v="0"/>
    <m/>
    <n v="0"/>
    <m/>
    <n v="0"/>
    <m/>
    <n v="0"/>
    <m/>
    <n v="0"/>
    <m/>
    <n v="68"/>
    <m/>
    <n v="0"/>
    <m/>
    <n v="886"/>
    <n v="1224"/>
    <n v="0"/>
    <n v="0"/>
    <n v="886"/>
  </r>
  <r>
    <x v="3"/>
    <n v="17113732.499999996"/>
    <x v="9"/>
    <n v="0"/>
    <m/>
    <n v="0"/>
    <m/>
    <n v="0"/>
    <m/>
    <n v="0"/>
    <m/>
    <n v="0"/>
    <m/>
    <n v="0"/>
    <m/>
    <n v="0"/>
    <m/>
    <n v="0"/>
    <m/>
    <n v="0"/>
    <m/>
    <n v="0"/>
    <m/>
    <n v="0"/>
    <n v="653"/>
    <n v="0"/>
    <n v="0"/>
    <n v="0"/>
  </r>
  <r>
    <x v="3"/>
    <n v="17113732.499999996"/>
    <x v="10"/>
    <n v="0"/>
    <m/>
    <n v="0"/>
    <m/>
    <n v="0"/>
    <m/>
    <n v="0"/>
    <m/>
    <n v="0"/>
    <m/>
    <n v="3"/>
    <m/>
    <n v="2"/>
    <m/>
    <n v="143"/>
    <m/>
    <n v="0"/>
    <m/>
    <n v="0"/>
    <m/>
    <n v="14"/>
    <n v="3"/>
    <n v="0"/>
    <n v="143"/>
    <n v="14"/>
  </r>
  <r>
    <x v="3"/>
    <n v="17113732.499999996"/>
    <x v="11"/>
    <n v="0"/>
    <m/>
    <n v="0"/>
    <m/>
    <n v="0"/>
    <m/>
    <n v="0"/>
    <m/>
    <n v="0"/>
    <m/>
    <n v="699"/>
    <m/>
    <n v="648"/>
    <m/>
    <n v="800"/>
    <m/>
    <n v="906"/>
    <m/>
    <n v="899"/>
    <m/>
    <n v="0"/>
    <n v="2"/>
    <n v="0"/>
    <n v="800"/>
    <n v="906"/>
  </r>
  <r>
    <x v="3"/>
    <n v="17113732.499999996"/>
    <x v="12"/>
    <n v="0"/>
    <m/>
    <n v="0"/>
    <m/>
    <n v="0"/>
    <m/>
    <n v="0"/>
    <m/>
    <n v="0"/>
    <m/>
    <n v="0"/>
    <m/>
    <n v="0"/>
    <m/>
    <n v="0"/>
    <m/>
    <n v="0"/>
    <m/>
    <n v="8"/>
    <m/>
    <n v="0"/>
    <n v="0"/>
    <n v="0"/>
    <n v="0"/>
    <n v="8"/>
  </r>
  <r>
    <x v="3"/>
    <n v="17113732.499999996"/>
    <x v="13"/>
    <n v="109"/>
    <m/>
    <n v="0"/>
    <m/>
    <n v="0"/>
    <m/>
    <n v="0"/>
    <m/>
    <n v="0"/>
    <m/>
    <n v="0"/>
    <m/>
    <n v="0"/>
    <m/>
    <n v="191"/>
    <m/>
    <n v="274"/>
    <m/>
    <n v="209"/>
    <m/>
    <n v="0"/>
    <n v="128"/>
    <n v="109"/>
    <n v="191"/>
    <n v="274"/>
  </r>
  <r>
    <x v="3"/>
    <n v="17113732.499999996"/>
    <x v="14"/>
    <n v="0"/>
    <m/>
    <n v="0"/>
    <m/>
    <n v="0"/>
    <m/>
    <n v="0"/>
    <m/>
    <n v="0"/>
    <m/>
    <n v="0"/>
    <m/>
    <n v="0"/>
    <m/>
    <n v="0"/>
    <m/>
    <n v="0"/>
    <m/>
    <n v="0"/>
    <m/>
    <n v="44"/>
    <n v="4"/>
    <n v="0"/>
    <n v="0"/>
    <n v="44"/>
  </r>
  <r>
    <x v="3"/>
    <n v="17113732.499999996"/>
    <x v="15"/>
    <n v="0"/>
    <m/>
    <n v="0"/>
    <m/>
    <n v="0"/>
    <m/>
    <n v="0"/>
    <m/>
    <n v="0"/>
    <m/>
    <n v="3"/>
    <m/>
    <n v="0"/>
    <m/>
    <n v="0"/>
    <m/>
    <n v="3"/>
    <m/>
    <n v="3"/>
    <m/>
    <n v="2"/>
    <n v="3"/>
    <n v="0"/>
    <n v="3"/>
    <n v="3"/>
  </r>
  <r>
    <x v="3"/>
    <n v="17113732.499999996"/>
    <x v="16"/>
    <n v="0"/>
    <m/>
    <n v="0"/>
    <m/>
    <n v="0"/>
    <m/>
    <n v="0"/>
    <m/>
    <n v="0"/>
    <m/>
    <n v="0"/>
    <m/>
    <n v="0"/>
    <m/>
    <n v="22"/>
    <m/>
    <n v="0"/>
    <m/>
    <n v="0"/>
    <m/>
    <n v="0"/>
    <n v="871"/>
    <n v="0"/>
    <n v="22"/>
    <n v="0"/>
  </r>
  <r>
    <x v="3"/>
    <n v="17113732.499999996"/>
    <x v="17"/>
    <n v="0"/>
    <m/>
    <n v="0"/>
    <m/>
    <n v="0"/>
    <m/>
    <n v="0"/>
    <m/>
    <n v="0"/>
    <m/>
    <n v="0"/>
    <m/>
    <n v="0"/>
    <m/>
    <n v="2079"/>
    <m/>
    <n v="0"/>
    <m/>
    <n v="0"/>
    <m/>
    <n v="0"/>
    <n v="44"/>
    <n v="0"/>
    <n v="2079"/>
    <n v="0"/>
  </r>
  <r>
    <x v="3"/>
    <n v="17113732.499999996"/>
    <x v="18"/>
    <n v="458"/>
    <m/>
    <n v="0"/>
    <m/>
    <n v="0"/>
    <m/>
    <n v="0"/>
    <m/>
    <n v="0"/>
    <m/>
    <n v="0"/>
    <m/>
    <n v="0"/>
    <m/>
    <n v="0"/>
    <m/>
    <n v="0"/>
    <m/>
    <n v="0"/>
    <m/>
    <n v="0"/>
    <n v="699"/>
    <n v="458"/>
    <n v="0"/>
    <n v="0"/>
  </r>
  <r>
    <x v="3"/>
    <n v="17113732.499999996"/>
    <x v="19"/>
    <n v="0"/>
    <m/>
    <n v="0"/>
    <m/>
    <n v="0"/>
    <m/>
    <n v="0"/>
    <m/>
    <n v="0"/>
    <m/>
    <n v="0"/>
    <m/>
    <n v="0"/>
    <m/>
    <n v="0"/>
    <m/>
    <n v="0"/>
    <m/>
    <n v="0"/>
    <m/>
    <n v="1698"/>
    <n v="0"/>
    <n v="0"/>
    <n v="0"/>
    <n v="1698"/>
  </r>
  <r>
    <x v="3"/>
    <n v="17113732.499999996"/>
    <x v="20"/>
    <n v="0"/>
    <m/>
    <n v="0"/>
    <m/>
    <n v="0"/>
    <m/>
    <n v="0"/>
    <m/>
    <n v="0"/>
    <m/>
    <n v="18"/>
    <m/>
    <n v="0"/>
    <m/>
    <n v="0"/>
    <m/>
    <n v="22"/>
    <m/>
    <n v="47"/>
    <m/>
    <n v="0"/>
    <n v="18"/>
    <n v="0"/>
    <n v="18"/>
    <n v="47"/>
  </r>
  <r>
    <x v="3"/>
    <n v="17113732.499999996"/>
    <x v="21"/>
    <n v="0"/>
    <m/>
    <n v="0"/>
    <m/>
    <n v="0"/>
    <m/>
    <n v="0"/>
    <m/>
    <n v="0"/>
    <m/>
    <n v="0"/>
    <m/>
    <n v="0"/>
    <m/>
    <n v="34"/>
    <m/>
    <n v="0"/>
    <m/>
    <n v="0"/>
    <m/>
    <n v="39"/>
    <n v="0"/>
    <n v="0"/>
    <n v="34"/>
    <n v="39"/>
  </r>
  <r>
    <x v="3"/>
    <n v="17113732.499999996"/>
    <x v="22"/>
    <n v="0"/>
    <m/>
    <n v="0"/>
    <m/>
    <n v="0"/>
    <m/>
    <n v="0"/>
    <m/>
    <n v="0"/>
    <m/>
    <n v="0"/>
    <m/>
    <n v="0"/>
    <m/>
    <n v="0"/>
    <m/>
    <n v="0"/>
    <m/>
    <n v="0"/>
    <m/>
    <n v="0"/>
    <n v="0"/>
    <n v="0"/>
    <n v="0"/>
    <n v="0"/>
  </r>
  <r>
    <x v="3"/>
    <n v="17113732.499999996"/>
    <x v="23"/>
    <n v="0"/>
    <m/>
    <n v="0"/>
    <m/>
    <n v="0"/>
    <m/>
    <n v="0"/>
    <m/>
    <n v="0"/>
    <m/>
    <n v="336"/>
    <m/>
    <n v="0"/>
    <m/>
    <n v="336"/>
    <m/>
    <n v="0"/>
    <m/>
    <n v="50"/>
    <m/>
    <n v="0"/>
    <n v="336"/>
    <n v="0"/>
    <n v="336"/>
    <n v="50"/>
  </r>
  <r>
    <x v="4"/>
    <n v="2175425.5000000005"/>
    <x v="0"/>
    <n v="1638"/>
    <n v="2217278.0000000009"/>
    <n v="0"/>
    <n v="2260375.5000000019"/>
    <n v="76"/>
    <n v="2305171.5000000005"/>
    <n v="0"/>
    <n v="2352415.5000000005"/>
    <n v="1671"/>
    <n v="2401839.9999999986"/>
    <n v="0"/>
    <n v="2451408.4999999995"/>
    <n v="1850"/>
    <n v="2499701.5"/>
    <n v="1840"/>
    <n v="2546401.9999999986"/>
    <n v="2048"/>
    <n v="2588422.9999999981"/>
    <n v="2028"/>
    <n v="2630296.0000000019"/>
    <n v="1984"/>
    <n v="853"/>
    <n v="1638"/>
    <n v="1850"/>
    <n v="2048"/>
  </r>
  <r>
    <x v="4"/>
    <n v="2175426.5"/>
    <x v="1"/>
    <n v="11632"/>
    <m/>
    <n v="0"/>
    <m/>
    <n v="0"/>
    <m/>
    <n v="0"/>
    <m/>
    <n v="14854"/>
    <m/>
    <n v="0"/>
    <m/>
    <n v="15290"/>
    <m/>
    <n v="15526"/>
    <m/>
    <n v="15542"/>
    <m/>
    <n v="15772"/>
    <m/>
    <n v="16056"/>
    <n v="6935"/>
    <n v="11632"/>
    <n v="15526"/>
    <n v="16056"/>
  </r>
  <r>
    <x v="4"/>
    <n v="2175427.5"/>
    <x v="2"/>
    <n v="0"/>
    <m/>
    <n v="3002"/>
    <m/>
    <n v="0"/>
    <m/>
    <n v="0"/>
    <m/>
    <n v="2922"/>
    <m/>
    <n v="0"/>
    <m/>
    <n v="0"/>
    <m/>
    <n v="0"/>
    <m/>
    <n v="0"/>
    <m/>
    <n v="0"/>
    <m/>
    <n v="0"/>
    <n v="0"/>
    <n v="3002"/>
    <n v="2922"/>
    <n v="0"/>
  </r>
  <r>
    <x v="4"/>
    <n v="2175428.5"/>
    <x v="3"/>
    <n v="37"/>
    <m/>
    <n v="772"/>
    <m/>
    <n v="0"/>
    <m/>
    <n v="30461"/>
    <m/>
    <n v="319"/>
    <m/>
    <n v="74"/>
    <m/>
    <n v="0"/>
    <m/>
    <n v="0"/>
    <m/>
    <n v="2156"/>
    <m/>
    <n v="0"/>
    <m/>
    <n v="0"/>
    <n v="487"/>
    <n v="30461"/>
    <n v="319"/>
    <n v="2156"/>
  </r>
  <r>
    <x v="4"/>
    <n v="2175429.5"/>
    <x v="4"/>
    <n v="6"/>
    <m/>
    <n v="422"/>
    <m/>
    <n v="52"/>
    <m/>
    <n v="10523"/>
    <m/>
    <n v="66"/>
    <m/>
    <n v="118"/>
    <m/>
    <n v="33"/>
    <m/>
    <n v="84"/>
    <m/>
    <n v="7018"/>
    <m/>
    <n v="0"/>
    <m/>
    <n v="0"/>
    <n v="94"/>
    <n v="10523"/>
    <n v="118"/>
    <n v="7018"/>
  </r>
  <r>
    <x v="4"/>
    <n v="2175430.5"/>
    <x v="5"/>
    <n v="166"/>
    <m/>
    <n v="0"/>
    <m/>
    <n v="0"/>
    <m/>
    <n v="0"/>
    <m/>
    <n v="0"/>
    <m/>
    <n v="0"/>
    <m/>
    <n v="0"/>
    <m/>
    <n v="0"/>
    <m/>
    <n v="0"/>
    <m/>
    <n v="0"/>
    <m/>
    <n v="0"/>
    <n v="0"/>
    <n v="166"/>
    <n v="0"/>
    <n v="0"/>
  </r>
  <r>
    <x v="4"/>
    <n v="2175431.5"/>
    <x v="6"/>
    <n v="0"/>
    <m/>
    <n v="668"/>
    <m/>
    <n v="0"/>
    <m/>
    <n v="0"/>
    <m/>
    <n v="13"/>
    <m/>
    <n v="0"/>
    <m/>
    <n v="0"/>
    <m/>
    <n v="0"/>
    <m/>
    <n v="0"/>
    <m/>
    <n v="0"/>
    <m/>
    <n v="0"/>
    <n v="0"/>
    <n v="668"/>
    <n v="13"/>
    <n v="0"/>
  </r>
  <r>
    <x v="4"/>
    <n v="2175432.5"/>
    <x v="7"/>
    <n v="0"/>
    <m/>
    <n v="166"/>
    <m/>
    <n v="0"/>
    <m/>
    <n v="14743"/>
    <m/>
    <n v="208"/>
    <m/>
    <n v="0"/>
    <m/>
    <n v="0"/>
    <m/>
    <n v="0"/>
    <m/>
    <n v="0"/>
    <m/>
    <n v="0"/>
    <m/>
    <n v="0"/>
    <n v="99"/>
    <n v="14743"/>
    <n v="208"/>
    <n v="0"/>
  </r>
  <r>
    <x v="4"/>
    <n v="2175433.5"/>
    <x v="8"/>
    <n v="0"/>
    <m/>
    <n v="0"/>
    <m/>
    <n v="0"/>
    <m/>
    <n v="0"/>
    <m/>
    <n v="0"/>
    <m/>
    <n v="0"/>
    <m/>
    <n v="1563"/>
    <m/>
    <n v="1421"/>
    <m/>
    <n v="1423"/>
    <m/>
    <n v="1519"/>
    <m/>
    <n v="1563"/>
    <n v="1622"/>
    <n v="0"/>
    <n v="1563"/>
    <n v="1563"/>
  </r>
  <r>
    <x v="4"/>
    <n v="2175434.5"/>
    <x v="9"/>
    <n v="0"/>
    <m/>
    <n v="0"/>
    <m/>
    <n v="0"/>
    <m/>
    <n v="0"/>
    <m/>
    <n v="0"/>
    <m/>
    <n v="0"/>
    <m/>
    <n v="156"/>
    <m/>
    <n v="131"/>
    <m/>
    <n v="125"/>
    <m/>
    <n v="147"/>
    <m/>
    <n v="159"/>
    <n v="0"/>
    <n v="0"/>
    <n v="156"/>
    <n v="159"/>
  </r>
  <r>
    <x v="4"/>
    <n v="2175435.5"/>
    <x v="10"/>
    <n v="0"/>
    <m/>
    <n v="0"/>
    <m/>
    <n v="0"/>
    <m/>
    <n v="0"/>
    <m/>
    <n v="0"/>
    <m/>
    <n v="0"/>
    <m/>
    <n v="27"/>
    <m/>
    <n v="33"/>
    <m/>
    <n v="33"/>
    <m/>
    <n v="35"/>
    <m/>
    <n v="33"/>
    <n v="0"/>
    <n v="0"/>
    <n v="33"/>
    <n v="35"/>
  </r>
  <r>
    <x v="4"/>
    <n v="2175436.5"/>
    <x v="11"/>
    <n v="0"/>
    <m/>
    <n v="0"/>
    <m/>
    <n v="0"/>
    <m/>
    <n v="0"/>
    <m/>
    <n v="0"/>
    <m/>
    <n v="0"/>
    <m/>
    <n v="160"/>
    <m/>
    <n v="156"/>
    <m/>
    <n v="167"/>
    <m/>
    <n v="161"/>
    <m/>
    <n v="191"/>
    <n v="0"/>
    <n v="0"/>
    <n v="160"/>
    <n v="191"/>
  </r>
  <r>
    <x v="4"/>
    <n v="2175437.5"/>
    <x v="12"/>
    <n v="0"/>
    <m/>
    <n v="0"/>
    <m/>
    <n v="0"/>
    <m/>
    <n v="0"/>
    <m/>
    <n v="0"/>
    <m/>
    <n v="0"/>
    <m/>
    <n v="63"/>
    <m/>
    <n v="64"/>
    <m/>
    <n v="67"/>
    <m/>
    <n v="66"/>
    <m/>
    <n v="63"/>
    <n v="0"/>
    <n v="0"/>
    <n v="64"/>
    <n v="67"/>
  </r>
  <r>
    <x v="4"/>
    <n v="2175438.5"/>
    <x v="13"/>
    <n v="0"/>
    <m/>
    <n v="0"/>
    <m/>
    <n v="0"/>
    <m/>
    <n v="0"/>
    <m/>
    <n v="0"/>
    <m/>
    <n v="0"/>
    <m/>
    <n v="134"/>
    <m/>
    <n v="116"/>
    <m/>
    <n v="117"/>
    <m/>
    <n v="123"/>
    <m/>
    <n v="82"/>
    <n v="78"/>
    <n v="0"/>
    <n v="134"/>
    <n v="123"/>
  </r>
  <r>
    <x v="4"/>
    <n v="2175439.5"/>
    <x v="14"/>
    <n v="0"/>
    <m/>
    <n v="0"/>
    <m/>
    <n v="0"/>
    <m/>
    <n v="0"/>
    <m/>
    <n v="0"/>
    <m/>
    <n v="0"/>
    <m/>
    <n v="73"/>
    <m/>
    <n v="110"/>
    <m/>
    <n v="63"/>
    <m/>
    <n v="62"/>
    <m/>
    <n v="74"/>
    <n v="62"/>
    <n v="0"/>
    <n v="110"/>
    <n v="74"/>
  </r>
  <r>
    <x v="4"/>
    <n v="2175440.5"/>
    <x v="15"/>
    <n v="0"/>
    <m/>
    <n v="0"/>
    <m/>
    <n v="0"/>
    <m/>
    <n v="0"/>
    <m/>
    <n v="0"/>
    <m/>
    <n v="0"/>
    <m/>
    <n v="5"/>
    <m/>
    <n v="3"/>
    <m/>
    <n v="3"/>
    <m/>
    <n v="6"/>
    <m/>
    <n v="4"/>
    <n v="1"/>
    <n v="0"/>
    <n v="5"/>
    <n v="6"/>
  </r>
  <r>
    <x v="4"/>
    <n v="2175441.5"/>
    <x v="16"/>
    <n v="0"/>
    <m/>
    <n v="0"/>
    <m/>
    <n v="0"/>
    <m/>
    <n v="0"/>
    <m/>
    <n v="0"/>
    <m/>
    <n v="0"/>
    <m/>
    <n v="1248"/>
    <m/>
    <n v="1376"/>
    <m/>
    <n v="1221"/>
    <m/>
    <n v="1355"/>
    <m/>
    <n v="1579"/>
    <n v="0"/>
    <n v="0"/>
    <n v="1376"/>
    <n v="1579"/>
  </r>
  <r>
    <x v="4"/>
    <n v="2175442.5"/>
    <x v="17"/>
    <n v="0"/>
    <m/>
    <n v="0"/>
    <m/>
    <n v="0"/>
    <m/>
    <n v="0"/>
    <m/>
    <n v="0"/>
    <m/>
    <n v="0"/>
    <m/>
    <n v="3342"/>
    <m/>
    <n v="3956"/>
    <m/>
    <n v="3691"/>
    <m/>
    <n v="3629"/>
    <m/>
    <n v="3204"/>
    <n v="20"/>
    <n v="0"/>
    <n v="3956"/>
    <n v="3691"/>
  </r>
  <r>
    <x v="4"/>
    <n v="2175443.5"/>
    <x v="18"/>
    <n v="0"/>
    <m/>
    <n v="0"/>
    <m/>
    <n v="0"/>
    <m/>
    <n v="0"/>
    <m/>
    <n v="0"/>
    <m/>
    <n v="0"/>
    <m/>
    <n v="318"/>
    <m/>
    <n v="330"/>
    <m/>
    <n v="338"/>
    <m/>
    <n v="337"/>
    <m/>
    <n v="318"/>
    <n v="460"/>
    <n v="0"/>
    <n v="330"/>
    <n v="338"/>
  </r>
  <r>
    <x v="4"/>
    <n v="2175444.5"/>
    <x v="19"/>
    <n v="0"/>
    <m/>
    <n v="0"/>
    <m/>
    <n v="0"/>
    <m/>
    <n v="0"/>
    <m/>
    <n v="0"/>
    <m/>
    <n v="0"/>
    <m/>
    <n v="10"/>
    <m/>
    <n v="10"/>
    <m/>
    <n v="10"/>
    <m/>
    <n v="11"/>
    <m/>
    <n v="6"/>
    <n v="58"/>
    <n v="0"/>
    <n v="10"/>
    <n v="11"/>
  </r>
  <r>
    <x v="4"/>
    <n v="2175445.5"/>
    <x v="20"/>
    <n v="0"/>
    <m/>
    <n v="0"/>
    <m/>
    <n v="0"/>
    <m/>
    <n v="0"/>
    <m/>
    <n v="0"/>
    <m/>
    <n v="0"/>
    <m/>
    <n v="42"/>
    <m/>
    <n v="38"/>
    <m/>
    <n v="66"/>
    <m/>
    <n v="42"/>
    <m/>
    <n v="30"/>
    <n v="38"/>
    <n v="0"/>
    <n v="42"/>
    <n v="66"/>
  </r>
  <r>
    <x v="4"/>
    <n v="2175446.5"/>
    <x v="21"/>
    <n v="0"/>
    <m/>
    <n v="0"/>
    <m/>
    <n v="0"/>
    <m/>
    <n v="0"/>
    <m/>
    <n v="0"/>
    <m/>
    <n v="0"/>
    <m/>
    <n v="0"/>
    <m/>
    <n v="0"/>
    <m/>
    <n v="0"/>
    <m/>
    <n v="0"/>
    <m/>
    <n v="0"/>
    <n v="0"/>
    <n v="0"/>
    <n v="0"/>
    <n v="0"/>
  </r>
  <r>
    <x v="4"/>
    <n v="2175447.5"/>
    <x v="22"/>
    <n v="0"/>
    <m/>
    <n v="0"/>
    <m/>
    <n v="0"/>
    <m/>
    <n v="0"/>
    <m/>
    <n v="0"/>
    <m/>
    <n v="0"/>
    <m/>
    <n v="9"/>
    <m/>
    <n v="8"/>
    <m/>
    <n v="7"/>
    <m/>
    <n v="8"/>
    <m/>
    <n v="11"/>
    <n v="0"/>
    <n v="0"/>
    <n v="9"/>
    <n v="11"/>
  </r>
  <r>
    <x v="4"/>
    <n v="2175448.5"/>
    <x v="23"/>
    <n v="0"/>
    <m/>
    <n v="0"/>
    <m/>
    <n v="0"/>
    <m/>
    <n v="0"/>
    <m/>
    <n v="0"/>
    <m/>
    <n v="0"/>
    <m/>
    <n v="0"/>
    <m/>
    <n v="0"/>
    <m/>
    <n v="0"/>
    <m/>
    <n v="0"/>
    <m/>
    <n v="0"/>
    <n v="0"/>
    <n v="0"/>
    <n v="0"/>
    <n v="0"/>
  </r>
  <r>
    <x v="5"/>
    <n v="4773305.4999999991"/>
    <x v="0"/>
    <n v="0"/>
    <n v="4802428.5000000065"/>
    <n v="0"/>
    <n v="4798734.5"/>
    <n v="17"/>
    <n v="4819332.9999999991"/>
    <n v="648"/>
    <n v="4904177.5000000019"/>
    <n v="0"/>
    <n v="4996741.0000000009"/>
    <n v="0"/>
    <n v="5094779.9999999991"/>
    <n v="670"/>
    <n v="5209324.4999999963"/>
    <n v="0"/>
    <n v="5343019.9999999991"/>
    <n v="0"/>
    <n v="5457154.4999999991"/>
    <n v="561"/>
    <n v="5579143.5000000047"/>
    <n v="0"/>
    <n v="335"/>
    <n v="648"/>
    <n v="670"/>
    <n v="561"/>
  </r>
  <r>
    <x v="5"/>
    <n v="4773306.5"/>
    <x v="1"/>
    <n v="0"/>
    <m/>
    <n v="0"/>
    <m/>
    <n v="0"/>
    <m/>
    <n v="644"/>
    <m/>
    <n v="0"/>
    <m/>
    <n v="0"/>
    <m/>
    <n v="2390"/>
    <m/>
    <n v="0"/>
    <m/>
    <n v="0"/>
    <m/>
    <n v="1010"/>
    <m/>
    <n v="0"/>
    <n v="751"/>
    <n v="644"/>
    <n v="2390"/>
    <n v="1010"/>
  </r>
  <r>
    <x v="5"/>
    <n v="4773307.5"/>
    <x v="2"/>
    <n v="0"/>
    <m/>
    <n v="1028"/>
    <m/>
    <n v="0"/>
    <m/>
    <n v="1210"/>
    <m/>
    <n v="0"/>
    <m/>
    <n v="0"/>
    <m/>
    <n v="0"/>
    <m/>
    <n v="0"/>
    <m/>
    <n v="0"/>
    <m/>
    <n v="1074"/>
    <m/>
    <n v="0"/>
    <n v="444"/>
    <n v="1210"/>
    <n v="0"/>
    <n v="1074"/>
  </r>
  <r>
    <x v="5"/>
    <n v="4773308.5"/>
    <x v="3"/>
    <n v="1603"/>
    <m/>
    <n v="382"/>
    <m/>
    <n v="574"/>
    <m/>
    <n v="0"/>
    <m/>
    <n v="29"/>
    <m/>
    <n v="971"/>
    <m/>
    <n v="483"/>
    <m/>
    <n v="1362"/>
    <m/>
    <n v="105"/>
    <m/>
    <n v="0"/>
    <m/>
    <n v="2695"/>
    <n v="36"/>
    <n v="1603"/>
    <n v="1362"/>
    <n v="2695"/>
  </r>
  <r>
    <x v="5"/>
    <n v="4773309.5"/>
    <x v="4"/>
    <n v="171"/>
    <m/>
    <n v="50"/>
    <m/>
    <n v="110"/>
    <m/>
    <n v="0"/>
    <m/>
    <n v="10"/>
    <m/>
    <n v="405"/>
    <m/>
    <n v="21"/>
    <m/>
    <n v="446"/>
    <m/>
    <n v="0"/>
    <m/>
    <n v="0"/>
    <m/>
    <n v="488"/>
    <n v="10"/>
    <n v="171"/>
    <n v="446"/>
    <n v="488"/>
  </r>
  <r>
    <x v="5"/>
    <n v="4773310.5"/>
    <x v="5"/>
    <n v="0"/>
    <m/>
    <n v="0"/>
    <m/>
    <n v="0"/>
    <m/>
    <n v="0"/>
    <m/>
    <n v="0"/>
    <m/>
    <n v="0"/>
    <m/>
    <n v="115"/>
    <m/>
    <n v="0"/>
    <m/>
    <n v="0"/>
    <m/>
    <n v="1595"/>
    <m/>
    <n v="0"/>
    <n v="115"/>
    <n v="0"/>
    <n v="115"/>
    <n v="1595"/>
  </r>
  <r>
    <x v="5"/>
    <n v="4773311.5"/>
    <x v="6"/>
    <n v="15"/>
    <m/>
    <n v="44"/>
    <m/>
    <n v="44"/>
    <m/>
    <n v="0"/>
    <m/>
    <n v="11"/>
    <m/>
    <n v="55"/>
    <m/>
    <n v="77"/>
    <m/>
    <n v="0"/>
    <m/>
    <n v="0"/>
    <m/>
    <n v="0"/>
    <m/>
    <n v="1634"/>
    <n v="0"/>
    <n v="44"/>
    <n v="77"/>
    <n v="1634"/>
  </r>
  <r>
    <x v="5"/>
    <n v="4773312.5"/>
    <x v="7"/>
    <n v="11"/>
    <m/>
    <n v="257"/>
    <m/>
    <n v="0"/>
    <m/>
    <n v="0"/>
    <m/>
    <n v="0"/>
    <m/>
    <n v="669"/>
    <m/>
    <n v="0"/>
    <m/>
    <n v="0"/>
    <m/>
    <n v="0"/>
    <m/>
    <n v="0"/>
    <m/>
    <n v="47"/>
    <n v="105"/>
    <n v="257"/>
    <n v="669"/>
    <n v="47"/>
  </r>
  <r>
    <x v="5"/>
    <n v="4773313.5"/>
    <x v="8"/>
    <n v="0"/>
    <m/>
    <n v="0"/>
    <m/>
    <n v="0"/>
    <m/>
    <n v="0"/>
    <m/>
    <n v="0"/>
    <m/>
    <n v="0"/>
    <m/>
    <n v="0"/>
    <m/>
    <n v="0"/>
    <m/>
    <n v="0"/>
    <m/>
    <n v="308"/>
    <m/>
    <n v="0"/>
    <n v="79"/>
    <n v="0"/>
    <n v="0"/>
    <n v="308"/>
  </r>
  <r>
    <x v="5"/>
    <n v="4773314.5"/>
    <x v="9"/>
    <n v="0"/>
    <m/>
    <n v="0"/>
    <m/>
    <n v="0"/>
    <m/>
    <n v="0"/>
    <m/>
    <n v="0"/>
    <m/>
    <n v="0"/>
    <m/>
    <n v="0"/>
    <m/>
    <n v="0"/>
    <m/>
    <n v="0"/>
    <m/>
    <n v="0"/>
    <m/>
    <n v="0"/>
    <n v="22"/>
    <n v="0"/>
    <n v="0"/>
    <n v="0"/>
  </r>
  <r>
    <x v="5"/>
    <n v="4773315.5"/>
    <x v="10"/>
    <n v="0"/>
    <m/>
    <n v="0"/>
    <m/>
    <n v="0"/>
    <m/>
    <n v="0"/>
    <m/>
    <n v="0"/>
    <m/>
    <n v="0"/>
    <m/>
    <n v="1"/>
    <m/>
    <n v="0"/>
    <m/>
    <n v="0"/>
    <m/>
    <n v="0"/>
    <m/>
    <n v="0"/>
    <n v="0"/>
    <n v="0"/>
    <n v="1"/>
    <n v="0"/>
  </r>
  <r>
    <x v="5"/>
    <n v="4773316.5"/>
    <x v="11"/>
    <n v="0"/>
    <m/>
    <n v="0"/>
    <m/>
    <n v="0"/>
    <m/>
    <n v="0"/>
    <m/>
    <n v="0"/>
    <m/>
    <n v="0"/>
    <m/>
    <n v="112"/>
    <m/>
    <n v="0"/>
    <m/>
    <n v="0"/>
    <m/>
    <n v="0"/>
    <m/>
    <n v="0"/>
    <n v="3"/>
    <n v="0"/>
    <n v="112"/>
    <n v="0"/>
  </r>
  <r>
    <x v="5"/>
    <n v="4773317.5"/>
    <x v="12"/>
    <n v="0"/>
    <m/>
    <n v="0"/>
    <m/>
    <n v="0"/>
    <m/>
    <n v="0"/>
    <m/>
    <n v="0"/>
    <m/>
    <n v="0"/>
    <m/>
    <n v="0"/>
    <m/>
    <n v="0"/>
    <m/>
    <n v="0"/>
    <m/>
    <n v="0"/>
    <m/>
    <n v="0"/>
    <n v="104"/>
    <n v="0"/>
    <n v="0"/>
    <n v="0"/>
  </r>
  <r>
    <x v="5"/>
    <n v="4773318.5"/>
    <x v="13"/>
    <n v="0"/>
    <m/>
    <n v="0"/>
    <m/>
    <n v="0"/>
    <m/>
    <n v="0"/>
    <m/>
    <n v="0"/>
    <m/>
    <n v="0"/>
    <m/>
    <n v="0"/>
    <m/>
    <n v="0"/>
    <m/>
    <n v="0"/>
    <m/>
    <n v="0"/>
    <m/>
    <n v="0"/>
    <n v="3"/>
    <n v="0"/>
    <n v="0"/>
    <n v="0"/>
  </r>
  <r>
    <x v="5"/>
    <n v="4773319.5"/>
    <x v="14"/>
    <n v="0"/>
    <m/>
    <n v="0"/>
    <m/>
    <n v="0"/>
    <m/>
    <n v="0"/>
    <m/>
    <n v="0"/>
    <m/>
    <n v="0"/>
    <m/>
    <n v="0"/>
    <m/>
    <n v="0"/>
    <m/>
    <n v="0"/>
    <m/>
    <n v="0"/>
    <m/>
    <n v="0"/>
    <n v="20"/>
    <n v="0"/>
    <n v="0"/>
    <n v="0"/>
  </r>
  <r>
    <x v="5"/>
    <n v="4773320.5"/>
    <x v="15"/>
    <n v="0"/>
    <m/>
    <n v="0"/>
    <m/>
    <n v="0"/>
    <m/>
    <n v="0"/>
    <m/>
    <n v="0"/>
    <m/>
    <n v="0"/>
    <m/>
    <n v="0"/>
    <m/>
    <n v="0"/>
    <m/>
    <n v="0"/>
    <m/>
    <n v="0"/>
    <m/>
    <n v="0"/>
    <n v="0"/>
    <n v="0"/>
    <n v="0"/>
    <n v="0"/>
  </r>
  <r>
    <x v="5"/>
    <n v="4773321.5"/>
    <x v="16"/>
    <n v="0"/>
    <m/>
    <n v="0"/>
    <m/>
    <n v="0"/>
    <m/>
    <n v="0"/>
    <m/>
    <n v="0"/>
    <m/>
    <n v="0"/>
    <m/>
    <n v="0"/>
    <m/>
    <n v="0"/>
    <m/>
    <n v="0"/>
    <m/>
    <n v="0"/>
    <m/>
    <n v="0"/>
    <n v="65"/>
    <n v="0"/>
    <n v="0"/>
    <n v="0"/>
  </r>
  <r>
    <x v="5"/>
    <n v="4773322.5"/>
    <x v="17"/>
    <n v="0"/>
    <m/>
    <n v="0"/>
    <m/>
    <n v="0"/>
    <m/>
    <n v="0"/>
    <m/>
    <n v="0"/>
    <m/>
    <n v="0"/>
    <m/>
    <n v="0"/>
    <m/>
    <n v="0"/>
    <m/>
    <n v="0"/>
    <m/>
    <n v="0"/>
    <m/>
    <n v="0"/>
    <n v="14"/>
    <n v="0"/>
    <n v="0"/>
    <n v="0"/>
  </r>
  <r>
    <x v="5"/>
    <n v="4773323.5"/>
    <x v="18"/>
    <n v="0"/>
    <m/>
    <n v="0"/>
    <m/>
    <n v="0"/>
    <m/>
    <n v="0"/>
    <m/>
    <n v="0"/>
    <m/>
    <n v="0"/>
    <m/>
    <n v="0"/>
    <m/>
    <n v="0"/>
    <m/>
    <n v="0"/>
    <m/>
    <n v="47"/>
    <m/>
    <n v="0"/>
    <n v="112"/>
    <n v="0"/>
    <n v="0"/>
    <n v="47"/>
  </r>
  <r>
    <x v="5"/>
    <n v="4773324.5"/>
    <x v="19"/>
    <n v="0"/>
    <m/>
    <n v="0"/>
    <m/>
    <n v="0"/>
    <m/>
    <n v="0"/>
    <m/>
    <n v="0"/>
    <m/>
    <n v="0"/>
    <m/>
    <n v="0"/>
    <m/>
    <n v="0"/>
    <m/>
    <n v="0"/>
    <m/>
    <n v="0"/>
    <m/>
    <n v="0"/>
    <n v="200"/>
    <n v="0"/>
    <n v="0"/>
    <n v="0"/>
  </r>
  <r>
    <x v="5"/>
    <n v="4773325.5"/>
    <x v="20"/>
    <n v="0"/>
    <m/>
    <n v="0"/>
    <m/>
    <n v="0"/>
    <m/>
    <n v="0"/>
    <m/>
    <n v="0"/>
    <m/>
    <n v="0"/>
    <m/>
    <n v="0"/>
    <m/>
    <n v="0"/>
    <m/>
    <n v="0"/>
    <m/>
    <n v="155"/>
    <m/>
    <n v="0"/>
    <n v="0"/>
    <n v="0"/>
    <n v="0"/>
    <n v="155"/>
  </r>
  <r>
    <x v="5"/>
    <n v="4773326.5"/>
    <x v="21"/>
    <n v="0"/>
    <m/>
    <n v="0"/>
    <m/>
    <n v="0"/>
    <m/>
    <n v="83"/>
    <m/>
    <n v="0"/>
    <m/>
    <n v="0"/>
    <m/>
    <n v="0"/>
    <m/>
    <n v="0"/>
    <m/>
    <n v="0"/>
    <m/>
    <n v="0"/>
    <m/>
    <n v="0"/>
    <n v="0"/>
    <n v="83"/>
    <n v="0"/>
    <n v="0"/>
  </r>
  <r>
    <x v="5"/>
    <n v="4773327.5"/>
    <x v="22"/>
    <n v="0"/>
    <m/>
    <n v="0"/>
    <m/>
    <n v="0"/>
    <m/>
    <n v="0"/>
    <m/>
    <n v="0"/>
    <m/>
    <n v="0"/>
    <m/>
    <n v="0"/>
    <m/>
    <n v="0"/>
    <m/>
    <n v="0"/>
    <m/>
    <n v="0"/>
    <m/>
    <n v="0"/>
    <n v="0"/>
    <n v="0"/>
    <n v="0"/>
    <n v="0"/>
  </r>
  <r>
    <x v="5"/>
    <n v="4773328.5"/>
    <x v="23"/>
    <n v="0"/>
    <m/>
    <n v="0"/>
    <m/>
    <n v="0"/>
    <m/>
    <n v="0"/>
    <m/>
    <n v="0"/>
    <m/>
    <n v="0"/>
    <m/>
    <n v="0"/>
    <m/>
    <n v="0"/>
    <m/>
    <n v="0"/>
    <m/>
    <n v="0"/>
    <m/>
    <n v="0"/>
    <n v="0"/>
    <n v="0"/>
    <n v="0"/>
    <n v="0"/>
  </r>
  <r>
    <x v="6"/>
    <n v="22010711.499999996"/>
    <x v="0"/>
    <n v="0"/>
    <n v="22469267.5"/>
    <n v="0"/>
    <n v="22995555.5"/>
    <n v="11036"/>
    <n v="23596741"/>
    <n v="0"/>
    <n v="24213621.500000015"/>
    <n v="0"/>
    <n v="24848015.5"/>
    <n v="0"/>
    <n v="25493988.499999996"/>
    <n v="11204"/>
    <n v="26147550.999999996"/>
    <n v="8346"/>
    <n v="26811790.500000004"/>
    <n v="8870"/>
    <n v="27478249.000000004"/>
    <n v="9902"/>
    <n v="28160542.500000004"/>
    <n v="9860"/>
    <n v="5602"/>
    <n v="11036"/>
    <n v="11204"/>
    <n v="9902"/>
  </r>
  <r>
    <x v="6"/>
    <n v="22010712.5"/>
    <x v="1"/>
    <n v="0"/>
    <m/>
    <n v="17560"/>
    <m/>
    <n v="17736"/>
    <m/>
    <n v="21782"/>
    <m/>
    <n v="24264"/>
    <m/>
    <n v="27166"/>
    <m/>
    <n v="30326"/>
    <m/>
    <n v="22518"/>
    <m/>
    <n v="26792"/>
    <m/>
    <n v="25774"/>
    <m/>
    <n v="29958"/>
    <n v="11730"/>
    <n v="21782"/>
    <n v="30326"/>
    <n v="29958"/>
  </r>
  <r>
    <x v="6"/>
    <n v="22010713.5"/>
    <x v="2"/>
    <n v="0"/>
    <m/>
    <n v="7702"/>
    <m/>
    <n v="10600"/>
    <m/>
    <n v="0"/>
    <m/>
    <n v="0"/>
    <m/>
    <n v="0"/>
    <m/>
    <n v="0"/>
    <m/>
    <n v="11202"/>
    <m/>
    <n v="12690"/>
    <m/>
    <n v="14148"/>
    <m/>
    <n v="14850"/>
    <n v="5460"/>
    <n v="10600"/>
    <n v="11202"/>
    <n v="14850"/>
  </r>
  <r>
    <x v="6"/>
    <n v="22010714.5"/>
    <x v="3"/>
    <n v="0"/>
    <m/>
    <n v="255"/>
    <m/>
    <n v="0"/>
    <m/>
    <n v="0"/>
    <m/>
    <n v="0"/>
    <m/>
    <n v="0"/>
    <m/>
    <n v="2646"/>
    <m/>
    <n v="814"/>
    <m/>
    <n v="0"/>
    <m/>
    <n v="233"/>
    <m/>
    <n v="0"/>
    <n v="2495"/>
    <n v="255"/>
    <n v="2646"/>
    <n v="233"/>
  </r>
  <r>
    <x v="6"/>
    <n v="22010715.5"/>
    <x v="4"/>
    <n v="1764"/>
    <m/>
    <n v="4"/>
    <m/>
    <n v="21"/>
    <m/>
    <n v="0"/>
    <m/>
    <n v="0"/>
    <m/>
    <n v="351"/>
    <m/>
    <n v="593"/>
    <m/>
    <n v="160"/>
    <m/>
    <n v="0"/>
    <m/>
    <n v="219"/>
    <m/>
    <n v="79"/>
    <n v="506"/>
    <n v="1764"/>
    <n v="593"/>
    <n v="219"/>
  </r>
  <r>
    <x v="6"/>
    <n v="22010716.5"/>
    <x v="5"/>
    <n v="0"/>
    <m/>
    <n v="0"/>
    <m/>
    <n v="0"/>
    <m/>
    <n v="0"/>
    <m/>
    <n v="0"/>
    <m/>
    <n v="0"/>
    <m/>
    <n v="14556"/>
    <m/>
    <n v="0"/>
    <m/>
    <n v="0"/>
    <m/>
    <n v="0"/>
    <m/>
    <n v="0"/>
    <n v="14556"/>
    <n v="0"/>
    <n v="14556"/>
    <n v="0"/>
  </r>
  <r>
    <x v="6"/>
    <n v="22010717.5"/>
    <x v="6"/>
    <n v="0"/>
    <m/>
    <n v="0"/>
    <m/>
    <n v="0"/>
    <m/>
    <n v="0"/>
    <m/>
    <n v="0"/>
    <m/>
    <n v="0"/>
    <m/>
    <n v="745"/>
    <m/>
    <n v="29"/>
    <m/>
    <n v="0"/>
    <m/>
    <n v="7"/>
    <m/>
    <n v="0"/>
    <n v="25"/>
    <n v="0"/>
    <n v="745"/>
    <n v="7"/>
  </r>
  <r>
    <x v="6"/>
    <n v="22010718.5"/>
    <x v="7"/>
    <n v="0"/>
    <m/>
    <n v="0"/>
    <m/>
    <n v="0"/>
    <m/>
    <n v="0"/>
    <m/>
    <n v="0"/>
    <m/>
    <n v="0"/>
    <m/>
    <n v="0"/>
    <m/>
    <n v="148"/>
    <m/>
    <n v="0"/>
    <m/>
    <n v="835"/>
    <m/>
    <n v="0"/>
    <n v="1425"/>
    <n v="0"/>
    <n v="148"/>
    <n v="835"/>
  </r>
  <r>
    <x v="6"/>
    <n v="22010719.5"/>
    <x v="8"/>
    <n v="0"/>
    <m/>
    <n v="0"/>
    <m/>
    <n v="0"/>
    <m/>
    <n v="0"/>
    <m/>
    <n v="0"/>
    <m/>
    <n v="0"/>
    <m/>
    <n v="0"/>
    <m/>
    <n v="4168"/>
    <m/>
    <n v="0"/>
    <m/>
    <n v="4221"/>
    <m/>
    <n v="4140"/>
    <n v="3640"/>
    <n v="0"/>
    <n v="4168"/>
    <n v="4221"/>
  </r>
  <r>
    <x v="6"/>
    <n v="22010720.5"/>
    <x v="9"/>
    <n v="0"/>
    <m/>
    <n v="0"/>
    <m/>
    <n v="0"/>
    <m/>
    <n v="0"/>
    <m/>
    <n v="0"/>
    <m/>
    <n v="0"/>
    <m/>
    <n v="0"/>
    <m/>
    <n v="0"/>
    <m/>
    <n v="0"/>
    <m/>
    <n v="0"/>
    <m/>
    <n v="0"/>
    <n v="91"/>
    <n v="0"/>
    <n v="0"/>
    <n v="0"/>
  </r>
  <r>
    <x v="6"/>
    <n v="22010721.5"/>
    <x v="10"/>
    <n v="0"/>
    <m/>
    <n v="0"/>
    <m/>
    <n v="190"/>
    <m/>
    <n v="0"/>
    <m/>
    <n v="0"/>
    <m/>
    <n v="0"/>
    <m/>
    <n v="0"/>
    <m/>
    <n v="40"/>
    <m/>
    <n v="0"/>
    <m/>
    <n v="0"/>
    <m/>
    <n v="0"/>
    <n v="0"/>
    <n v="190"/>
    <n v="40"/>
    <n v="0"/>
  </r>
  <r>
    <x v="6"/>
    <n v="22010722.5"/>
    <x v="11"/>
    <n v="0"/>
    <m/>
    <n v="0"/>
    <m/>
    <n v="2380"/>
    <m/>
    <n v="0"/>
    <m/>
    <n v="0"/>
    <m/>
    <n v="0"/>
    <m/>
    <n v="0"/>
    <m/>
    <n v="0"/>
    <m/>
    <n v="0"/>
    <m/>
    <n v="0"/>
    <m/>
    <n v="0"/>
    <n v="497"/>
    <n v="2380"/>
    <n v="0"/>
    <n v="0"/>
  </r>
  <r>
    <x v="6"/>
    <n v="22010723.5"/>
    <x v="12"/>
    <n v="0"/>
    <m/>
    <n v="0"/>
    <m/>
    <n v="0"/>
    <m/>
    <n v="0"/>
    <m/>
    <n v="0"/>
    <m/>
    <n v="0"/>
    <m/>
    <n v="0"/>
    <m/>
    <n v="0"/>
    <m/>
    <n v="0"/>
    <m/>
    <n v="0"/>
    <m/>
    <n v="0"/>
    <n v="242"/>
    <n v="0"/>
    <n v="0"/>
    <n v="0"/>
  </r>
  <r>
    <x v="6"/>
    <n v="22010724.5"/>
    <x v="13"/>
    <n v="0"/>
    <m/>
    <n v="0"/>
    <m/>
    <n v="820"/>
    <m/>
    <n v="0"/>
    <m/>
    <n v="0"/>
    <m/>
    <n v="0"/>
    <m/>
    <n v="0"/>
    <m/>
    <n v="0"/>
    <m/>
    <n v="0"/>
    <m/>
    <n v="0"/>
    <m/>
    <n v="0"/>
    <n v="3103"/>
    <n v="820"/>
    <n v="0"/>
    <n v="0"/>
  </r>
  <r>
    <x v="6"/>
    <n v="22010725.5"/>
    <x v="14"/>
    <n v="0"/>
    <m/>
    <n v="0"/>
    <m/>
    <n v="0"/>
    <m/>
    <n v="0"/>
    <m/>
    <n v="0"/>
    <m/>
    <n v="0"/>
    <m/>
    <n v="0"/>
    <m/>
    <n v="0"/>
    <m/>
    <n v="0"/>
    <m/>
    <n v="0"/>
    <m/>
    <n v="0"/>
    <n v="123"/>
    <n v="0"/>
    <n v="0"/>
    <n v="0"/>
  </r>
  <r>
    <x v="6"/>
    <n v="22010726.5"/>
    <x v="15"/>
    <n v="0"/>
    <m/>
    <n v="0"/>
    <m/>
    <n v="70"/>
    <m/>
    <n v="0"/>
    <m/>
    <n v="0"/>
    <m/>
    <n v="0"/>
    <m/>
    <n v="0"/>
    <m/>
    <n v="0"/>
    <m/>
    <n v="0"/>
    <m/>
    <n v="0"/>
    <m/>
    <n v="0"/>
    <n v="700"/>
    <n v="70"/>
    <n v="0"/>
    <n v="0"/>
  </r>
  <r>
    <x v="6"/>
    <n v="22010727.5"/>
    <x v="16"/>
    <n v="0"/>
    <m/>
    <n v="0"/>
    <m/>
    <n v="0"/>
    <m/>
    <n v="0"/>
    <m/>
    <n v="0"/>
    <m/>
    <n v="0"/>
    <m/>
    <n v="0"/>
    <m/>
    <n v="0"/>
    <m/>
    <n v="0"/>
    <m/>
    <n v="0"/>
    <m/>
    <n v="0"/>
    <n v="139"/>
    <n v="0"/>
    <n v="0"/>
    <n v="0"/>
  </r>
  <r>
    <x v="6"/>
    <n v="22010728.5"/>
    <x v="17"/>
    <n v="0"/>
    <m/>
    <n v="0"/>
    <m/>
    <n v="0"/>
    <m/>
    <n v="0"/>
    <m/>
    <n v="0"/>
    <m/>
    <n v="0"/>
    <m/>
    <n v="0"/>
    <m/>
    <n v="3470"/>
    <m/>
    <n v="0"/>
    <m/>
    <n v="0"/>
    <m/>
    <n v="0"/>
    <n v="14"/>
    <n v="0"/>
    <n v="3470"/>
    <n v="0"/>
  </r>
  <r>
    <x v="6"/>
    <n v="22010729.5"/>
    <x v="18"/>
    <n v="0"/>
    <m/>
    <n v="0"/>
    <m/>
    <n v="1600"/>
    <m/>
    <n v="0"/>
    <m/>
    <n v="0"/>
    <m/>
    <n v="0"/>
    <m/>
    <n v="0"/>
    <m/>
    <n v="0"/>
    <m/>
    <n v="0"/>
    <m/>
    <n v="0"/>
    <m/>
    <n v="0"/>
    <n v="0"/>
    <n v="1600"/>
    <n v="0"/>
    <n v="0"/>
  </r>
  <r>
    <x v="6"/>
    <n v="22010730.5"/>
    <x v="19"/>
    <n v="0"/>
    <m/>
    <n v="0"/>
    <m/>
    <n v="0"/>
    <m/>
    <n v="0"/>
    <m/>
    <n v="0"/>
    <m/>
    <n v="0"/>
    <m/>
    <n v="0"/>
    <m/>
    <n v="0"/>
    <m/>
    <n v="3734"/>
    <m/>
    <n v="3480"/>
    <m/>
    <n v="3896"/>
    <n v="21440"/>
    <n v="0"/>
    <n v="0"/>
    <n v="3896"/>
  </r>
  <r>
    <x v="6"/>
    <n v="22010731.5"/>
    <x v="20"/>
    <n v="0"/>
    <m/>
    <n v="0"/>
    <m/>
    <n v="60"/>
    <m/>
    <n v="0"/>
    <m/>
    <n v="0"/>
    <m/>
    <n v="0"/>
    <m/>
    <n v="0"/>
    <m/>
    <n v="0"/>
    <m/>
    <n v="0"/>
    <m/>
    <n v="97"/>
    <m/>
    <n v="95"/>
    <n v="151"/>
    <n v="60"/>
    <n v="0"/>
    <n v="97"/>
  </r>
  <r>
    <x v="6"/>
    <n v="22010732.5"/>
    <x v="21"/>
    <n v="0"/>
    <m/>
    <n v="0"/>
    <m/>
    <n v="0"/>
    <m/>
    <n v="0"/>
    <m/>
    <n v="0"/>
    <m/>
    <n v="0"/>
    <m/>
    <n v="0"/>
    <m/>
    <n v="0"/>
    <m/>
    <n v="0"/>
    <m/>
    <n v="0"/>
    <m/>
    <n v="0"/>
    <n v="0"/>
    <n v="0"/>
    <n v="0"/>
    <n v="0"/>
  </r>
  <r>
    <x v="6"/>
    <n v="22010733.5"/>
    <x v="22"/>
    <n v="0"/>
    <m/>
    <n v="0"/>
    <m/>
    <n v="0"/>
    <m/>
    <n v="0"/>
    <m/>
    <n v="0"/>
    <m/>
    <n v="0"/>
    <m/>
    <n v="0"/>
    <m/>
    <n v="0"/>
    <m/>
    <n v="0"/>
    <m/>
    <n v="0"/>
    <m/>
    <n v="0"/>
    <n v="0"/>
    <n v="0"/>
    <n v="0"/>
    <n v="0"/>
  </r>
  <r>
    <x v="6"/>
    <n v="22010734.5"/>
    <x v="23"/>
    <n v="0"/>
    <m/>
    <n v="0"/>
    <m/>
    <n v="0"/>
    <m/>
    <n v="0"/>
    <m/>
    <n v="0"/>
    <m/>
    <n v="0"/>
    <m/>
    <n v="0"/>
    <m/>
    <n v="0"/>
    <m/>
    <n v="0"/>
    <m/>
    <n v="0"/>
    <m/>
    <n v="0"/>
    <n v="4437"/>
    <n v="0"/>
    <n v="0"/>
    <n v="0"/>
  </r>
  <r>
    <x v="7"/>
    <n v="21032684.000000004"/>
    <x v="0"/>
    <n v="0"/>
    <n v="21632850.000000004"/>
    <n v="0"/>
    <n v="22299584.999999989"/>
    <n v="0"/>
    <n v="23012646.5"/>
    <n v="0"/>
    <n v="23711630.000000004"/>
    <n v="0"/>
    <n v="24393181.5"/>
    <n v="0"/>
    <n v="25076746.500000015"/>
    <n v="6518"/>
    <n v="25782340.999999996"/>
    <n v="0"/>
    <n v="26491086.500000011"/>
    <n v="5930"/>
    <n v="27198627.999999985"/>
    <n v="7653"/>
    <n v="27914536.499999989"/>
    <n v="8865"/>
    <n v="3259"/>
    <n v="0"/>
    <n v="6518"/>
    <n v="8865"/>
  </r>
  <r>
    <x v="7"/>
    <n v="21032685"/>
    <x v="1"/>
    <n v="0"/>
    <m/>
    <n v="0"/>
    <m/>
    <n v="0"/>
    <m/>
    <n v="0"/>
    <m/>
    <n v="0"/>
    <m/>
    <n v="0"/>
    <m/>
    <n v="18312"/>
    <m/>
    <n v="0"/>
    <m/>
    <n v="23436"/>
    <m/>
    <n v="9254"/>
    <m/>
    <n v="32946"/>
    <n v="9925"/>
    <n v="0"/>
    <n v="18312"/>
    <n v="32946"/>
  </r>
  <r>
    <x v="7"/>
    <n v="21032686"/>
    <x v="2"/>
    <n v="0"/>
    <m/>
    <n v="254"/>
    <m/>
    <n v="0"/>
    <m/>
    <n v="0"/>
    <m/>
    <n v="0"/>
    <m/>
    <n v="0"/>
    <m/>
    <n v="0"/>
    <m/>
    <n v="0"/>
    <m/>
    <n v="2516"/>
    <m/>
    <n v="1408"/>
    <m/>
    <n v="3348"/>
    <n v="690"/>
    <n v="254"/>
    <n v="0"/>
    <n v="3348"/>
  </r>
  <r>
    <x v="7"/>
    <n v="21032687"/>
    <x v="3"/>
    <n v="0"/>
    <m/>
    <n v="239"/>
    <m/>
    <n v="36"/>
    <m/>
    <n v="0"/>
    <m/>
    <n v="1687"/>
    <m/>
    <n v="10752"/>
    <m/>
    <n v="30461"/>
    <m/>
    <n v="227"/>
    <m/>
    <n v="78"/>
    <m/>
    <n v="281"/>
    <m/>
    <n v="398"/>
    <n v="350"/>
    <n v="239"/>
    <n v="30461"/>
    <n v="398"/>
  </r>
  <r>
    <x v="7"/>
    <n v="21032688"/>
    <x v="4"/>
    <n v="0"/>
    <m/>
    <n v="276"/>
    <m/>
    <n v="10"/>
    <m/>
    <n v="0"/>
    <m/>
    <n v="404"/>
    <m/>
    <n v="1889"/>
    <m/>
    <n v="23627"/>
    <m/>
    <n v="40"/>
    <m/>
    <n v="112"/>
    <m/>
    <n v="74"/>
    <m/>
    <n v="159"/>
    <n v="308"/>
    <n v="276"/>
    <n v="23627"/>
    <n v="159"/>
  </r>
  <r>
    <x v="7"/>
    <n v="21032689"/>
    <x v="5"/>
    <n v="0"/>
    <m/>
    <n v="0"/>
    <m/>
    <n v="0"/>
    <m/>
    <n v="0"/>
    <m/>
    <n v="0"/>
    <m/>
    <n v="0"/>
    <m/>
    <n v="0"/>
    <m/>
    <n v="0"/>
    <m/>
    <n v="154"/>
    <m/>
    <n v="0"/>
    <m/>
    <n v="310"/>
    <n v="0"/>
    <n v="0"/>
    <n v="0"/>
    <n v="310"/>
  </r>
  <r>
    <x v="7"/>
    <n v="21032690"/>
    <x v="6"/>
    <n v="0"/>
    <m/>
    <n v="0"/>
    <m/>
    <n v="0"/>
    <m/>
    <n v="0"/>
    <m/>
    <n v="0"/>
    <m/>
    <n v="0"/>
    <m/>
    <n v="0"/>
    <m/>
    <n v="0"/>
    <m/>
    <n v="0"/>
    <m/>
    <n v="0"/>
    <m/>
    <n v="0"/>
    <n v="38"/>
    <n v="0"/>
    <n v="0"/>
    <n v="0"/>
  </r>
  <r>
    <x v="7"/>
    <n v="21032691"/>
    <x v="7"/>
    <n v="0"/>
    <m/>
    <n v="0"/>
    <m/>
    <n v="0"/>
    <m/>
    <n v="0"/>
    <m/>
    <n v="0"/>
    <m/>
    <n v="0"/>
    <m/>
    <n v="0"/>
    <m/>
    <n v="0"/>
    <m/>
    <n v="5"/>
    <m/>
    <n v="0"/>
    <m/>
    <n v="0"/>
    <n v="238"/>
    <n v="0"/>
    <n v="0"/>
    <n v="5"/>
  </r>
  <r>
    <x v="7"/>
    <n v="21032692"/>
    <x v="8"/>
    <n v="0"/>
    <m/>
    <n v="0"/>
    <m/>
    <n v="0"/>
    <m/>
    <n v="0"/>
    <m/>
    <n v="0"/>
    <m/>
    <n v="0"/>
    <m/>
    <n v="0"/>
    <m/>
    <n v="0"/>
    <m/>
    <n v="5390"/>
    <m/>
    <n v="0"/>
    <m/>
    <n v="146"/>
    <n v="10717"/>
    <n v="0"/>
    <n v="0"/>
    <n v="5390"/>
  </r>
  <r>
    <x v="7"/>
    <n v="21032693"/>
    <x v="9"/>
    <n v="0"/>
    <m/>
    <n v="0"/>
    <m/>
    <n v="0"/>
    <m/>
    <n v="0"/>
    <m/>
    <n v="0"/>
    <m/>
    <n v="0"/>
    <m/>
    <n v="0"/>
    <m/>
    <n v="0"/>
    <m/>
    <n v="21"/>
    <m/>
    <n v="4216"/>
    <m/>
    <n v="1195"/>
    <n v="250"/>
    <n v="0"/>
    <n v="0"/>
    <n v="4216"/>
  </r>
  <r>
    <x v="7"/>
    <n v="21032694"/>
    <x v="10"/>
    <n v="0"/>
    <m/>
    <n v="0"/>
    <m/>
    <n v="0"/>
    <m/>
    <n v="0"/>
    <m/>
    <n v="0"/>
    <m/>
    <n v="0"/>
    <m/>
    <n v="0"/>
    <m/>
    <n v="0"/>
    <m/>
    <n v="31"/>
    <m/>
    <n v="3"/>
    <m/>
    <n v="19"/>
    <n v="0"/>
    <n v="0"/>
    <n v="0"/>
    <n v="31"/>
  </r>
  <r>
    <x v="7"/>
    <n v="21032695"/>
    <x v="11"/>
    <n v="0"/>
    <m/>
    <n v="0"/>
    <m/>
    <n v="0"/>
    <m/>
    <n v="0"/>
    <m/>
    <n v="0"/>
    <m/>
    <n v="0"/>
    <m/>
    <n v="241"/>
    <m/>
    <n v="0"/>
    <m/>
    <n v="112"/>
    <m/>
    <n v="2247"/>
    <m/>
    <n v="293"/>
    <n v="0"/>
    <n v="0"/>
    <n v="241"/>
    <n v="2247"/>
  </r>
  <r>
    <x v="7"/>
    <n v="21032696"/>
    <x v="12"/>
    <n v="0"/>
    <m/>
    <n v="0"/>
    <m/>
    <n v="0"/>
    <m/>
    <n v="0"/>
    <m/>
    <n v="0"/>
    <m/>
    <n v="0"/>
    <m/>
    <n v="0"/>
    <m/>
    <n v="0"/>
    <m/>
    <n v="6"/>
    <m/>
    <n v="0"/>
    <m/>
    <n v="118"/>
    <n v="0"/>
    <n v="0"/>
    <n v="0"/>
    <n v="118"/>
  </r>
  <r>
    <x v="7"/>
    <n v="21032697"/>
    <x v="13"/>
    <n v="0"/>
    <m/>
    <n v="0"/>
    <m/>
    <n v="0"/>
    <m/>
    <n v="0"/>
    <m/>
    <n v="0"/>
    <m/>
    <n v="0"/>
    <m/>
    <n v="0"/>
    <m/>
    <n v="0"/>
    <m/>
    <n v="73"/>
    <m/>
    <n v="267"/>
    <m/>
    <n v="4864"/>
    <n v="124"/>
    <n v="0"/>
    <n v="0"/>
    <n v="4864"/>
  </r>
  <r>
    <x v="7"/>
    <n v="21032698"/>
    <x v="14"/>
    <n v="0"/>
    <m/>
    <n v="0"/>
    <m/>
    <n v="0"/>
    <m/>
    <n v="0"/>
    <m/>
    <n v="0"/>
    <m/>
    <n v="0"/>
    <m/>
    <n v="0"/>
    <m/>
    <n v="0"/>
    <m/>
    <n v="4"/>
    <m/>
    <n v="0"/>
    <m/>
    <n v="85"/>
    <n v="0"/>
    <n v="0"/>
    <n v="0"/>
    <n v="85"/>
  </r>
  <r>
    <x v="7"/>
    <n v="21032699"/>
    <x v="15"/>
    <n v="0"/>
    <m/>
    <n v="0"/>
    <m/>
    <n v="0"/>
    <m/>
    <n v="0"/>
    <m/>
    <n v="0"/>
    <m/>
    <n v="0"/>
    <m/>
    <n v="0"/>
    <m/>
    <n v="0"/>
    <m/>
    <n v="207"/>
    <m/>
    <n v="0"/>
    <m/>
    <n v="10"/>
    <n v="0"/>
    <n v="0"/>
    <n v="0"/>
    <n v="207"/>
  </r>
  <r>
    <x v="7"/>
    <n v="21032700"/>
    <x v="16"/>
    <n v="0"/>
    <m/>
    <n v="0"/>
    <m/>
    <n v="0"/>
    <m/>
    <n v="0"/>
    <m/>
    <n v="0"/>
    <m/>
    <n v="0"/>
    <m/>
    <n v="0"/>
    <m/>
    <n v="0"/>
    <m/>
    <n v="1406"/>
    <m/>
    <n v="0"/>
    <m/>
    <n v="5"/>
    <n v="0"/>
    <n v="0"/>
    <n v="0"/>
    <n v="1406"/>
  </r>
  <r>
    <x v="7"/>
    <n v="21032701"/>
    <x v="17"/>
    <n v="0"/>
    <m/>
    <n v="0"/>
    <m/>
    <n v="0"/>
    <m/>
    <n v="0"/>
    <m/>
    <n v="0"/>
    <m/>
    <n v="0"/>
    <m/>
    <n v="0"/>
    <m/>
    <n v="0"/>
    <m/>
    <n v="152"/>
    <m/>
    <n v="0"/>
    <m/>
    <n v="74"/>
    <n v="0"/>
    <n v="0"/>
    <n v="0"/>
    <n v="152"/>
  </r>
  <r>
    <x v="7"/>
    <n v="21032702"/>
    <x v="18"/>
    <n v="0"/>
    <m/>
    <n v="0"/>
    <m/>
    <n v="0"/>
    <m/>
    <n v="0"/>
    <m/>
    <n v="0"/>
    <m/>
    <n v="0"/>
    <m/>
    <n v="0"/>
    <m/>
    <n v="0"/>
    <m/>
    <n v="48"/>
    <m/>
    <n v="249"/>
    <m/>
    <n v="161"/>
    <n v="5235"/>
    <n v="0"/>
    <n v="0"/>
    <n v="249"/>
  </r>
  <r>
    <x v="7"/>
    <n v="21032703"/>
    <x v="19"/>
    <n v="0"/>
    <m/>
    <n v="0"/>
    <m/>
    <n v="0"/>
    <m/>
    <n v="0"/>
    <m/>
    <n v="0"/>
    <m/>
    <n v="0"/>
    <m/>
    <n v="0"/>
    <m/>
    <n v="0"/>
    <m/>
    <n v="2098"/>
    <m/>
    <n v="0"/>
    <m/>
    <n v="34"/>
    <n v="0"/>
    <n v="0"/>
    <n v="0"/>
    <n v="2098"/>
  </r>
  <r>
    <x v="7"/>
    <n v="21032704"/>
    <x v="20"/>
    <n v="0"/>
    <m/>
    <n v="0"/>
    <m/>
    <n v="0"/>
    <m/>
    <n v="0"/>
    <m/>
    <n v="0"/>
    <m/>
    <n v="0"/>
    <m/>
    <n v="0"/>
    <m/>
    <n v="0"/>
    <m/>
    <n v="69"/>
    <m/>
    <n v="21"/>
    <m/>
    <n v="191"/>
    <n v="0"/>
    <n v="0"/>
    <n v="0"/>
    <n v="191"/>
  </r>
  <r>
    <x v="7"/>
    <n v="21032705"/>
    <x v="21"/>
    <n v="0"/>
    <m/>
    <n v="0"/>
    <m/>
    <n v="0"/>
    <m/>
    <n v="0"/>
    <m/>
    <n v="0"/>
    <m/>
    <n v="0"/>
    <m/>
    <n v="0"/>
    <m/>
    <n v="0"/>
    <m/>
    <n v="64"/>
    <m/>
    <n v="584"/>
    <m/>
    <n v="606"/>
    <n v="0"/>
    <n v="0"/>
    <n v="0"/>
    <n v="606"/>
  </r>
  <r>
    <x v="7"/>
    <n v="21032706"/>
    <x v="22"/>
    <n v="0"/>
    <m/>
    <n v="0"/>
    <m/>
    <n v="0"/>
    <m/>
    <n v="0"/>
    <m/>
    <n v="0"/>
    <m/>
    <n v="0"/>
    <m/>
    <n v="0"/>
    <m/>
    <n v="0"/>
    <m/>
    <n v="2"/>
    <m/>
    <n v="0"/>
    <m/>
    <n v="0"/>
    <n v="0"/>
    <n v="0"/>
    <n v="0"/>
    <n v="2"/>
  </r>
  <r>
    <x v="7"/>
    <n v="21032707"/>
    <x v="23"/>
    <n v="0"/>
    <m/>
    <n v="0"/>
    <m/>
    <n v="0"/>
    <m/>
    <n v="0"/>
    <m/>
    <n v="0"/>
    <m/>
    <n v="0"/>
    <m/>
    <n v="0"/>
    <m/>
    <n v="0"/>
    <m/>
    <n v="7"/>
    <m/>
    <n v="0"/>
    <m/>
    <n v="16"/>
    <n v="0"/>
    <n v="0"/>
    <n v="0"/>
    <n v="16"/>
  </r>
  <r>
    <x v="8"/>
    <n v="70997869.50000006"/>
    <x v="0"/>
    <n v="0"/>
    <n v="73460021"/>
    <n v="12836"/>
    <n v="76035588.49999994"/>
    <n v="0"/>
    <n v="78656903.50000006"/>
    <n v="0"/>
    <n v="81430976.499999985"/>
    <n v="200"/>
    <n v="84283273.000000045"/>
    <n v="0"/>
    <n v="87087354.999999985"/>
    <n v="0"/>
    <n v="89906890.500000015"/>
    <n v="30032"/>
    <n v="92853164.500000015"/>
    <n v="0"/>
    <n v="95894118.499999985"/>
    <n v="33978"/>
    <n v="99010212"/>
    <n v="36986"/>
    <n v="31546"/>
    <n v="12836"/>
    <n v="30032"/>
    <n v="36986"/>
  </r>
  <r>
    <x v="8"/>
    <n v="70997870.500000104"/>
    <x v="1"/>
    <n v="0"/>
    <m/>
    <n v="119626"/>
    <m/>
    <n v="0"/>
    <m/>
    <n v="144540"/>
    <m/>
    <n v="89794"/>
    <m/>
    <n v="146092"/>
    <m/>
    <n v="186652"/>
    <m/>
    <n v="187928"/>
    <m/>
    <n v="0"/>
    <m/>
    <n v="203504"/>
    <m/>
    <n v="230632"/>
    <n v="103785"/>
    <n v="144540"/>
    <n v="187928"/>
    <n v="230632"/>
  </r>
  <r>
    <x v="8"/>
    <n v="70997871.500000104"/>
    <x v="2"/>
    <n v="0"/>
    <m/>
    <n v="3110"/>
    <m/>
    <n v="0"/>
    <m/>
    <n v="0"/>
    <m/>
    <n v="3586"/>
    <m/>
    <n v="0"/>
    <m/>
    <n v="0"/>
    <m/>
    <n v="6298"/>
    <m/>
    <n v="0"/>
    <m/>
    <n v="4186"/>
    <m/>
    <n v="5280"/>
    <n v="3642"/>
    <n v="3110"/>
    <n v="6298"/>
    <n v="5280"/>
  </r>
  <r>
    <x v="8"/>
    <n v="70997872.500000104"/>
    <x v="3"/>
    <n v="409"/>
    <m/>
    <n v="35"/>
    <m/>
    <n v="177"/>
    <m/>
    <n v="3609"/>
    <m/>
    <n v="0"/>
    <m/>
    <n v="108"/>
    <m/>
    <n v="47"/>
    <m/>
    <n v="3532"/>
    <m/>
    <n v="2439"/>
    <m/>
    <n v="2490"/>
    <m/>
    <n v="487"/>
    <n v="1687"/>
    <n v="3609"/>
    <n v="3532"/>
    <n v="2490"/>
  </r>
  <r>
    <x v="8"/>
    <n v="70997873.500000104"/>
    <x v="4"/>
    <n v="287"/>
    <m/>
    <n v="44"/>
    <m/>
    <n v="132"/>
    <m/>
    <n v="2898"/>
    <m/>
    <n v="0"/>
    <m/>
    <n v="9"/>
    <m/>
    <n v="24"/>
    <m/>
    <n v="1440"/>
    <m/>
    <n v="1004"/>
    <m/>
    <n v="2881"/>
    <m/>
    <n v="215"/>
    <n v="404"/>
    <n v="2898"/>
    <n v="1440"/>
    <n v="2881"/>
  </r>
  <r>
    <x v="8"/>
    <n v="70997874.500000104"/>
    <x v="5"/>
    <n v="0"/>
    <m/>
    <n v="0"/>
    <m/>
    <n v="0"/>
    <m/>
    <n v="0"/>
    <m/>
    <n v="0"/>
    <m/>
    <n v="0"/>
    <m/>
    <n v="0"/>
    <m/>
    <n v="0"/>
    <m/>
    <n v="0"/>
    <m/>
    <n v="0"/>
    <m/>
    <n v="0"/>
    <n v="0"/>
    <n v="0"/>
    <n v="0"/>
    <n v="0"/>
  </r>
  <r>
    <x v="8"/>
    <n v="70997875.500000104"/>
    <x v="6"/>
    <n v="19"/>
    <m/>
    <n v="0"/>
    <m/>
    <n v="361"/>
    <m/>
    <n v="2192"/>
    <m/>
    <n v="0"/>
    <m/>
    <n v="0"/>
    <m/>
    <n v="119"/>
    <m/>
    <n v="0"/>
    <m/>
    <n v="776"/>
    <m/>
    <n v="91"/>
    <m/>
    <n v="0"/>
    <n v="535"/>
    <n v="2192"/>
    <n v="119"/>
    <n v="776"/>
  </r>
  <r>
    <x v="8"/>
    <n v="70997876.500000104"/>
    <x v="7"/>
    <n v="634"/>
    <m/>
    <n v="0"/>
    <m/>
    <n v="163"/>
    <m/>
    <n v="1168"/>
    <m/>
    <n v="0"/>
    <m/>
    <n v="0"/>
    <m/>
    <n v="136"/>
    <m/>
    <n v="4362"/>
    <m/>
    <n v="3788"/>
    <m/>
    <n v="2684"/>
    <m/>
    <n v="233"/>
    <n v="167"/>
    <n v="1168"/>
    <n v="4362"/>
    <n v="3788"/>
  </r>
  <r>
    <x v="8"/>
    <n v="70997877.500000104"/>
    <x v="8"/>
    <n v="0"/>
    <m/>
    <n v="0"/>
    <m/>
    <n v="0"/>
    <m/>
    <n v="0"/>
    <m/>
    <n v="0"/>
    <m/>
    <n v="0"/>
    <m/>
    <n v="0"/>
    <m/>
    <n v="0"/>
    <m/>
    <n v="0"/>
    <m/>
    <n v="0"/>
    <m/>
    <n v="0"/>
    <n v="0"/>
    <n v="0"/>
    <n v="0"/>
    <n v="0"/>
  </r>
  <r>
    <x v="8"/>
    <n v="70997878.500000104"/>
    <x v="9"/>
    <n v="0"/>
    <m/>
    <n v="0"/>
    <m/>
    <n v="0"/>
    <m/>
    <n v="0"/>
    <m/>
    <n v="0"/>
    <m/>
    <n v="0"/>
    <m/>
    <n v="0"/>
    <m/>
    <n v="3342"/>
    <m/>
    <n v="0"/>
    <m/>
    <n v="3724"/>
    <m/>
    <n v="4695"/>
    <n v="2651"/>
    <n v="0"/>
    <n v="3342"/>
    <n v="4695"/>
  </r>
  <r>
    <x v="8"/>
    <n v="70997879.500000104"/>
    <x v="10"/>
    <n v="0"/>
    <m/>
    <n v="0"/>
    <m/>
    <n v="0"/>
    <m/>
    <n v="0"/>
    <m/>
    <n v="0"/>
    <m/>
    <n v="0"/>
    <m/>
    <n v="0"/>
    <m/>
    <n v="0"/>
    <m/>
    <n v="0"/>
    <m/>
    <n v="0"/>
    <m/>
    <n v="0"/>
    <n v="0"/>
    <n v="0"/>
    <n v="0"/>
    <n v="0"/>
  </r>
  <r>
    <x v="8"/>
    <n v="70997880.500000104"/>
    <x v="11"/>
    <n v="0"/>
    <m/>
    <n v="2126"/>
    <m/>
    <n v="0"/>
    <m/>
    <n v="0"/>
    <m/>
    <n v="0"/>
    <m/>
    <n v="0"/>
    <m/>
    <n v="2934"/>
    <m/>
    <n v="0"/>
    <m/>
    <n v="0"/>
    <m/>
    <n v="0"/>
    <m/>
    <n v="0"/>
    <n v="0"/>
    <n v="2126"/>
    <n v="2934"/>
    <n v="0"/>
  </r>
  <r>
    <x v="8"/>
    <n v="70997881.500000104"/>
    <x v="12"/>
    <n v="0"/>
    <m/>
    <n v="0"/>
    <m/>
    <n v="0"/>
    <m/>
    <n v="0"/>
    <m/>
    <n v="0"/>
    <m/>
    <n v="0"/>
    <m/>
    <n v="0"/>
    <m/>
    <n v="0"/>
    <m/>
    <n v="0"/>
    <m/>
    <n v="0"/>
    <m/>
    <n v="0"/>
    <n v="0"/>
    <n v="0"/>
    <n v="0"/>
    <n v="0"/>
  </r>
  <r>
    <x v="8"/>
    <n v="70997882.500000104"/>
    <x v="13"/>
    <n v="0"/>
    <m/>
    <n v="287"/>
    <m/>
    <n v="0"/>
    <m/>
    <n v="0"/>
    <m/>
    <n v="0"/>
    <m/>
    <n v="0"/>
    <m/>
    <n v="0"/>
    <m/>
    <n v="0"/>
    <m/>
    <n v="0"/>
    <m/>
    <n v="439"/>
    <m/>
    <n v="528"/>
    <n v="338"/>
    <n v="287"/>
    <n v="0"/>
    <n v="528"/>
  </r>
  <r>
    <x v="8"/>
    <n v="70997883.500000104"/>
    <x v="14"/>
    <n v="0"/>
    <m/>
    <n v="0"/>
    <m/>
    <n v="0"/>
    <m/>
    <n v="0"/>
    <m/>
    <n v="0"/>
    <m/>
    <n v="0"/>
    <m/>
    <n v="0"/>
    <m/>
    <n v="0"/>
    <m/>
    <n v="0"/>
    <m/>
    <n v="0"/>
    <m/>
    <n v="0"/>
    <n v="0"/>
    <n v="0"/>
    <n v="0"/>
    <n v="0"/>
  </r>
  <r>
    <x v="8"/>
    <n v="70997884.500000104"/>
    <x v="15"/>
    <n v="0"/>
    <m/>
    <n v="0"/>
    <m/>
    <n v="0"/>
    <m/>
    <n v="0"/>
    <m/>
    <n v="0"/>
    <m/>
    <n v="0"/>
    <m/>
    <n v="0"/>
    <m/>
    <n v="0"/>
    <m/>
    <n v="0"/>
    <m/>
    <n v="0"/>
    <m/>
    <n v="0"/>
    <n v="0"/>
    <n v="0"/>
    <n v="0"/>
    <n v="0"/>
  </r>
  <r>
    <x v="8"/>
    <n v="70997885.500000104"/>
    <x v="16"/>
    <n v="0"/>
    <m/>
    <n v="0"/>
    <m/>
    <n v="0"/>
    <m/>
    <n v="0"/>
    <m/>
    <n v="0"/>
    <m/>
    <n v="0"/>
    <m/>
    <n v="0"/>
    <m/>
    <n v="1939"/>
    <m/>
    <n v="0"/>
    <m/>
    <n v="1785"/>
    <m/>
    <n v="1803"/>
    <n v="74310"/>
    <n v="0"/>
    <n v="1939"/>
    <n v="1803"/>
  </r>
  <r>
    <x v="8"/>
    <n v="70997886.500000104"/>
    <x v="17"/>
    <n v="0"/>
    <m/>
    <n v="0"/>
    <m/>
    <n v="0"/>
    <m/>
    <n v="0"/>
    <m/>
    <n v="0"/>
    <m/>
    <n v="0"/>
    <m/>
    <n v="0"/>
    <m/>
    <n v="0"/>
    <m/>
    <n v="0"/>
    <m/>
    <n v="0"/>
    <m/>
    <n v="0"/>
    <n v="1608"/>
    <n v="0"/>
    <n v="0"/>
    <n v="0"/>
  </r>
  <r>
    <x v="8"/>
    <n v="70997887.500000104"/>
    <x v="18"/>
    <n v="0"/>
    <m/>
    <n v="0"/>
    <m/>
    <n v="0"/>
    <m/>
    <n v="0"/>
    <m/>
    <n v="0"/>
    <m/>
    <n v="0"/>
    <m/>
    <n v="0"/>
    <m/>
    <n v="0"/>
    <m/>
    <n v="0"/>
    <m/>
    <n v="0"/>
    <m/>
    <n v="0"/>
    <n v="2934"/>
    <n v="0"/>
    <n v="0"/>
    <n v="0"/>
  </r>
  <r>
    <x v="8"/>
    <n v="70997888.500000104"/>
    <x v="19"/>
    <n v="0"/>
    <m/>
    <n v="0"/>
    <m/>
    <n v="0"/>
    <m/>
    <n v="0"/>
    <m/>
    <n v="0"/>
    <m/>
    <n v="0"/>
    <m/>
    <n v="0"/>
    <m/>
    <n v="0"/>
    <m/>
    <n v="0"/>
    <m/>
    <n v="0"/>
    <m/>
    <n v="0"/>
    <n v="0"/>
    <n v="0"/>
    <n v="0"/>
    <n v="0"/>
  </r>
  <r>
    <x v="8"/>
    <n v="70997889.500000104"/>
    <x v="20"/>
    <n v="0"/>
    <m/>
    <n v="0"/>
    <m/>
    <n v="0"/>
    <m/>
    <n v="0"/>
    <m/>
    <n v="0"/>
    <m/>
    <n v="0"/>
    <m/>
    <n v="0"/>
    <m/>
    <n v="496"/>
    <m/>
    <n v="0"/>
    <m/>
    <n v="680"/>
    <m/>
    <n v="793"/>
    <n v="395"/>
    <n v="0"/>
    <n v="496"/>
    <n v="793"/>
  </r>
  <r>
    <x v="8"/>
    <n v="70997890.500000104"/>
    <x v="21"/>
    <n v="0"/>
    <m/>
    <n v="0"/>
    <m/>
    <n v="0"/>
    <m/>
    <n v="0"/>
    <m/>
    <n v="0"/>
    <m/>
    <n v="0"/>
    <m/>
    <n v="0"/>
    <m/>
    <n v="0"/>
    <m/>
    <n v="0"/>
    <m/>
    <n v="0"/>
    <m/>
    <n v="0"/>
    <n v="0"/>
    <n v="0"/>
    <n v="0"/>
    <n v="0"/>
  </r>
  <r>
    <x v="8"/>
    <n v="70997891.500000104"/>
    <x v="22"/>
    <n v="0"/>
    <m/>
    <n v="0"/>
    <m/>
    <n v="0"/>
    <m/>
    <n v="0"/>
    <m/>
    <n v="0"/>
    <m/>
    <n v="0"/>
    <m/>
    <n v="0"/>
    <m/>
    <n v="0"/>
    <m/>
    <n v="0"/>
    <m/>
    <n v="0"/>
    <m/>
    <n v="0"/>
    <n v="0"/>
    <n v="0"/>
    <n v="0"/>
    <n v="0"/>
  </r>
  <r>
    <x v="8"/>
    <n v="70997892.500000104"/>
    <x v="23"/>
    <n v="0"/>
    <m/>
    <n v="0"/>
    <m/>
    <n v="0"/>
    <m/>
    <n v="0"/>
    <m/>
    <n v="0"/>
    <m/>
    <n v="0"/>
    <m/>
    <n v="0"/>
    <m/>
    <n v="0"/>
    <m/>
    <n v="0"/>
    <m/>
    <n v="0"/>
    <m/>
    <n v="0"/>
    <n v="0"/>
    <n v="0"/>
    <n v="0"/>
    <n v="0"/>
  </r>
  <r>
    <x v="9"/>
    <n v="4713256.5000000028"/>
    <x v="0"/>
    <n v="0"/>
    <n v="4828066.5000000028"/>
    <n v="0"/>
    <n v="4944861.5000000019"/>
    <n v="0"/>
    <n v="5064386.0000000019"/>
    <n v="0"/>
    <n v="5186823.4999999981"/>
    <n v="1060"/>
    <n v="5312339.5000000009"/>
    <n v="0"/>
    <n v="5441061.9999999972"/>
    <n v="1088"/>
    <n v="5570732.4999999953"/>
    <n v="0"/>
    <n v="5702174"/>
    <n v="0"/>
    <n v="5835806.0000000009"/>
    <n v="0"/>
    <n v="5970424.0000000009"/>
    <n v="2339"/>
    <n v="544"/>
    <n v="0"/>
    <n v="1088"/>
    <n v="2339"/>
  </r>
  <r>
    <x v="9"/>
    <n v="4713257.5"/>
    <x v="1"/>
    <n v="0"/>
    <m/>
    <n v="6578"/>
    <m/>
    <n v="6916"/>
    <m/>
    <n v="7704"/>
    <m/>
    <n v="7434"/>
    <m/>
    <n v="0"/>
    <m/>
    <n v="10162"/>
    <m/>
    <n v="0"/>
    <m/>
    <n v="0"/>
    <m/>
    <n v="0"/>
    <m/>
    <n v="11146"/>
    <n v="4012"/>
    <n v="7704"/>
    <n v="10162"/>
    <n v="11146"/>
  </r>
  <r>
    <x v="9"/>
    <n v="4713258.5"/>
    <x v="2"/>
    <n v="0"/>
    <m/>
    <n v="2564"/>
    <m/>
    <n v="0"/>
    <m/>
    <n v="0"/>
    <m/>
    <n v="1842"/>
    <m/>
    <n v="0"/>
    <m/>
    <n v="0"/>
    <m/>
    <n v="0"/>
    <m/>
    <n v="0"/>
    <m/>
    <n v="0"/>
    <m/>
    <n v="1814"/>
    <n v="1069"/>
    <n v="2564"/>
    <n v="1842"/>
    <n v="1814"/>
  </r>
  <r>
    <x v="9"/>
    <n v="4713259.5"/>
    <x v="3"/>
    <n v="704"/>
    <m/>
    <n v="0"/>
    <m/>
    <n v="0"/>
    <m/>
    <n v="0"/>
    <m/>
    <n v="1839"/>
    <m/>
    <n v="207"/>
    <m/>
    <n v="0"/>
    <m/>
    <n v="0"/>
    <m/>
    <n v="283"/>
    <m/>
    <n v="0"/>
    <m/>
    <n v="0"/>
    <n v="157"/>
    <n v="704"/>
    <n v="1839"/>
    <n v="283"/>
  </r>
  <r>
    <x v="9"/>
    <n v="4713260.5"/>
    <x v="4"/>
    <n v="278"/>
    <m/>
    <n v="0"/>
    <m/>
    <n v="0"/>
    <m/>
    <n v="0"/>
    <m/>
    <n v="1037"/>
    <m/>
    <n v="0"/>
    <m/>
    <n v="0"/>
    <m/>
    <n v="0"/>
    <m/>
    <n v="0"/>
    <m/>
    <n v="0"/>
    <m/>
    <n v="0"/>
    <n v="27"/>
    <n v="278"/>
    <n v="1037"/>
    <n v="0"/>
  </r>
  <r>
    <x v="9"/>
    <n v="4713261.5"/>
    <x v="5"/>
    <n v="0"/>
    <m/>
    <n v="0"/>
    <m/>
    <n v="0"/>
    <m/>
    <n v="0"/>
    <m/>
    <n v="0"/>
    <m/>
    <n v="0"/>
    <m/>
    <n v="0"/>
    <m/>
    <n v="0"/>
    <m/>
    <n v="0"/>
    <m/>
    <n v="0"/>
    <m/>
    <n v="0"/>
    <n v="0"/>
    <n v="0"/>
    <n v="0"/>
    <n v="0"/>
  </r>
  <r>
    <x v="9"/>
    <n v="4713262.5"/>
    <x v="6"/>
    <n v="819"/>
    <m/>
    <n v="0"/>
    <m/>
    <n v="0"/>
    <m/>
    <n v="0"/>
    <m/>
    <n v="0"/>
    <m/>
    <n v="0"/>
    <m/>
    <n v="0"/>
    <m/>
    <n v="0"/>
    <m/>
    <n v="582"/>
    <m/>
    <n v="0"/>
    <m/>
    <n v="0"/>
    <n v="0"/>
    <n v="819"/>
    <n v="0"/>
    <n v="582"/>
  </r>
  <r>
    <x v="9"/>
    <n v="4713263.5"/>
    <x v="7"/>
    <n v="4104"/>
    <m/>
    <n v="0"/>
    <m/>
    <n v="0"/>
    <m/>
    <n v="0"/>
    <m/>
    <n v="2324"/>
    <m/>
    <n v="0"/>
    <m/>
    <n v="0"/>
    <m/>
    <n v="0"/>
    <m/>
    <n v="0"/>
    <m/>
    <n v="0"/>
    <m/>
    <n v="0"/>
    <n v="374"/>
    <n v="4104"/>
    <n v="2324"/>
    <n v="0"/>
  </r>
  <r>
    <x v="9"/>
    <n v="4713264.5"/>
    <x v="8"/>
    <n v="0"/>
    <m/>
    <n v="0"/>
    <m/>
    <n v="0"/>
    <m/>
    <n v="0"/>
    <m/>
    <n v="565"/>
    <m/>
    <n v="0"/>
    <m/>
    <n v="0"/>
    <m/>
    <n v="0"/>
    <m/>
    <n v="0"/>
    <m/>
    <n v="0"/>
    <m/>
    <n v="0"/>
    <n v="850"/>
    <n v="0"/>
    <n v="565"/>
    <n v="0"/>
  </r>
  <r>
    <x v="9"/>
    <n v="4713265.5"/>
    <x v="9"/>
    <n v="0"/>
    <m/>
    <n v="0"/>
    <m/>
    <n v="0"/>
    <m/>
    <n v="0"/>
    <m/>
    <n v="0"/>
    <m/>
    <n v="0"/>
    <m/>
    <n v="0"/>
    <m/>
    <n v="0"/>
    <m/>
    <n v="0"/>
    <m/>
    <n v="0"/>
    <m/>
    <n v="0"/>
    <n v="790"/>
    <n v="0"/>
    <n v="0"/>
    <n v="0"/>
  </r>
  <r>
    <x v="9"/>
    <n v="4713266.5"/>
    <x v="10"/>
    <n v="0"/>
    <m/>
    <n v="0"/>
    <m/>
    <n v="0"/>
    <m/>
    <n v="0"/>
    <m/>
    <n v="0"/>
    <m/>
    <n v="0"/>
    <m/>
    <n v="0"/>
    <m/>
    <n v="0"/>
    <m/>
    <n v="0"/>
    <m/>
    <n v="0"/>
    <m/>
    <n v="0"/>
    <n v="0"/>
    <n v="0"/>
    <n v="0"/>
    <n v="0"/>
  </r>
  <r>
    <x v="9"/>
    <n v="4713267.5"/>
    <x v="11"/>
    <n v="0"/>
    <m/>
    <n v="0"/>
    <m/>
    <n v="0"/>
    <m/>
    <n v="0"/>
    <m/>
    <n v="0"/>
    <m/>
    <n v="0"/>
    <m/>
    <n v="320"/>
    <m/>
    <n v="0"/>
    <m/>
    <n v="0"/>
    <m/>
    <n v="0"/>
    <m/>
    <n v="0"/>
    <n v="216"/>
    <n v="0"/>
    <n v="320"/>
    <n v="0"/>
  </r>
  <r>
    <x v="9"/>
    <n v="4713268.5"/>
    <x v="12"/>
    <n v="0"/>
    <m/>
    <n v="0"/>
    <m/>
    <n v="0"/>
    <m/>
    <n v="0"/>
    <m/>
    <n v="0"/>
    <m/>
    <n v="0"/>
    <m/>
    <n v="0"/>
    <m/>
    <n v="0"/>
    <m/>
    <n v="0"/>
    <m/>
    <n v="0"/>
    <m/>
    <n v="0"/>
    <n v="0"/>
    <n v="0"/>
    <n v="0"/>
    <n v="0"/>
  </r>
  <r>
    <x v="9"/>
    <n v="4713269.5"/>
    <x v="13"/>
    <n v="0"/>
    <m/>
    <n v="0"/>
    <m/>
    <n v="0"/>
    <m/>
    <n v="0"/>
    <m/>
    <n v="0"/>
    <m/>
    <n v="0"/>
    <m/>
    <n v="0"/>
    <m/>
    <n v="0"/>
    <m/>
    <n v="0"/>
    <m/>
    <n v="0"/>
    <m/>
    <n v="0"/>
    <n v="97"/>
    <n v="0"/>
    <n v="0"/>
    <n v="0"/>
  </r>
  <r>
    <x v="9"/>
    <n v="4713270.5"/>
    <x v="14"/>
    <n v="0"/>
    <m/>
    <n v="0"/>
    <m/>
    <n v="0"/>
    <m/>
    <n v="0"/>
    <m/>
    <n v="0"/>
    <m/>
    <n v="0"/>
    <m/>
    <n v="0"/>
    <m/>
    <n v="0"/>
    <m/>
    <n v="0"/>
    <m/>
    <n v="0"/>
    <m/>
    <n v="0"/>
    <n v="0"/>
    <n v="0"/>
    <n v="0"/>
    <n v="0"/>
  </r>
  <r>
    <x v="9"/>
    <n v="4713271.5"/>
    <x v="15"/>
    <n v="0"/>
    <m/>
    <n v="0"/>
    <m/>
    <n v="0"/>
    <m/>
    <n v="0"/>
    <m/>
    <n v="0"/>
    <m/>
    <n v="0"/>
    <m/>
    <n v="0"/>
    <m/>
    <n v="0"/>
    <m/>
    <n v="0"/>
    <m/>
    <n v="0"/>
    <m/>
    <n v="0"/>
    <n v="0"/>
    <n v="0"/>
    <n v="0"/>
    <n v="0"/>
  </r>
  <r>
    <x v="9"/>
    <n v="4713272.5"/>
    <x v="16"/>
    <n v="0"/>
    <m/>
    <n v="0"/>
    <m/>
    <n v="0"/>
    <m/>
    <n v="0"/>
    <m/>
    <n v="0"/>
    <m/>
    <n v="0"/>
    <m/>
    <n v="0"/>
    <m/>
    <n v="0"/>
    <m/>
    <n v="0"/>
    <m/>
    <n v="0"/>
    <m/>
    <n v="0"/>
    <n v="111"/>
    <n v="0"/>
    <n v="0"/>
    <n v="0"/>
  </r>
  <r>
    <x v="9"/>
    <n v="4713273.5"/>
    <x v="17"/>
    <n v="0"/>
    <m/>
    <n v="0"/>
    <m/>
    <n v="0"/>
    <m/>
    <n v="0"/>
    <m/>
    <n v="0"/>
    <m/>
    <n v="0"/>
    <m/>
    <n v="0"/>
    <m/>
    <n v="0"/>
    <m/>
    <n v="0"/>
    <m/>
    <n v="0"/>
    <m/>
    <n v="0"/>
    <n v="445"/>
    <n v="0"/>
    <n v="0"/>
    <n v="0"/>
  </r>
  <r>
    <x v="9"/>
    <n v="4713274.5"/>
    <x v="18"/>
    <n v="0"/>
    <m/>
    <n v="0"/>
    <m/>
    <n v="0"/>
    <m/>
    <n v="0"/>
    <m/>
    <n v="0"/>
    <m/>
    <n v="0"/>
    <m/>
    <n v="0"/>
    <m/>
    <n v="0"/>
    <m/>
    <n v="0"/>
    <m/>
    <n v="0"/>
    <m/>
    <n v="777"/>
    <n v="320"/>
    <n v="0"/>
    <n v="0"/>
    <n v="777"/>
  </r>
  <r>
    <x v="9"/>
    <n v="4713275.5"/>
    <x v="19"/>
    <n v="0"/>
    <m/>
    <n v="0"/>
    <m/>
    <n v="0"/>
    <m/>
    <n v="0"/>
    <m/>
    <n v="0"/>
    <m/>
    <n v="0"/>
    <m/>
    <n v="0"/>
    <m/>
    <n v="0"/>
    <m/>
    <n v="0"/>
    <m/>
    <n v="0"/>
    <m/>
    <n v="0"/>
    <n v="0"/>
    <n v="0"/>
    <n v="0"/>
    <n v="0"/>
  </r>
  <r>
    <x v="9"/>
    <n v="4713276.5"/>
    <x v="20"/>
    <n v="0"/>
    <m/>
    <n v="0"/>
    <m/>
    <n v="0"/>
    <m/>
    <n v="0"/>
    <m/>
    <n v="0"/>
    <m/>
    <n v="0"/>
    <m/>
    <n v="0"/>
    <m/>
    <n v="0"/>
    <m/>
    <n v="0"/>
    <m/>
    <n v="0"/>
    <m/>
    <n v="0"/>
    <n v="0"/>
    <n v="0"/>
    <n v="0"/>
    <n v="0"/>
  </r>
  <r>
    <x v="9"/>
    <n v="4713277.5"/>
    <x v="21"/>
    <n v="0"/>
    <m/>
    <n v="0"/>
    <m/>
    <n v="0"/>
    <m/>
    <n v="0"/>
    <m/>
    <n v="0"/>
    <m/>
    <n v="0"/>
    <m/>
    <n v="0"/>
    <m/>
    <n v="0"/>
    <m/>
    <n v="0"/>
    <m/>
    <n v="0"/>
    <m/>
    <n v="0"/>
    <n v="0"/>
    <n v="0"/>
    <n v="0"/>
    <n v="0"/>
  </r>
  <r>
    <x v="9"/>
    <n v="4713278.5"/>
    <x v="22"/>
    <n v="0"/>
    <m/>
    <n v="0"/>
    <m/>
    <n v="0"/>
    <m/>
    <n v="0"/>
    <m/>
    <n v="0"/>
    <m/>
    <n v="0"/>
    <m/>
    <n v="0"/>
    <m/>
    <n v="0"/>
    <m/>
    <n v="0"/>
    <m/>
    <n v="0"/>
    <m/>
    <n v="0"/>
    <n v="0"/>
    <n v="0"/>
    <n v="0"/>
    <n v="0"/>
  </r>
  <r>
    <x v="9"/>
    <n v="4713279.5"/>
    <x v="23"/>
    <n v="0"/>
    <m/>
    <n v="0"/>
    <m/>
    <n v="0"/>
    <m/>
    <n v="0"/>
    <m/>
    <n v="0"/>
    <m/>
    <n v="0"/>
    <m/>
    <n v="0"/>
    <m/>
    <n v="0"/>
    <m/>
    <n v="0"/>
    <m/>
    <n v="0"/>
    <m/>
    <n v="0"/>
    <n v="0"/>
    <n v="0"/>
    <n v="0"/>
    <n v="0"/>
  </r>
  <r>
    <x v="10"/>
    <n v="684552.49999999988"/>
    <x v="0"/>
    <n v="246"/>
    <n v="699392.50000000035"/>
    <n v="0"/>
    <n v="714612.00000000012"/>
    <n v="0"/>
    <n v="730215.49999999953"/>
    <n v="0"/>
    <n v="746232.00000000012"/>
    <n v="440"/>
    <n v="761663.99999999977"/>
    <n v="0"/>
    <n v="776313.5000000007"/>
    <n v="440"/>
    <n v="790986.00000000023"/>
    <n v="0"/>
    <n v="806166.00000000023"/>
    <n v="708"/>
    <n v="821625.49999999988"/>
    <n v="0"/>
    <n v="836773.49999999977"/>
    <n v="0"/>
    <n v="220"/>
    <n v="246"/>
    <n v="440"/>
    <n v="708"/>
  </r>
  <r>
    <x v="10"/>
    <n v="684553.5"/>
    <x v="1"/>
    <n v="0"/>
    <m/>
    <n v="0"/>
    <m/>
    <n v="0"/>
    <m/>
    <n v="0"/>
    <m/>
    <n v="0"/>
    <m/>
    <n v="0"/>
    <m/>
    <n v="1358"/>
    <m/>
    <n v="0"/>
    <m/>
    <n v="1366"/>
    <m/>
    <n v="0"/>
    <m/>
    <n v="0"/>
    <n v="747"/>
    <n v="0"/>
    <n v="1358"/>
    <n v="1366"/>
  </r>
  <r>
    <x v="10"/>
    <n v="684554.5"/>
    <x v="2"/>
    <n v="1334"/>
    <m/>
    <n v="590"/>
    <m/>
    <n v="0"/>
    <m/>
    <n v="0"/>
    <m/>
    <n v="1000"/>
    <m/>
    <n v="0"/>
    <m/>
    <n v="968"/>
    <m/>
    <n v="0"/>
    <m/>
    <n v="1172"/>
    <m/>
    <n v="0"/>
    <m/>
    <n v="0"/>
    <n v="487"/>
    <n v="1334"/>
    <n v="1000"/>
    <n v="1172"/>
  </r>
  <r>
    <x v="10"/>
    <n v="684555.5"/>
    <x v="3"/>
    <n v="0"/>
    <m/>
    <n v="6"/>
    <m/>
    <n v="0"/>
    <m/>
    <n v="0"/>
    <m/>
    <n v="432"/>
    <m/>
    <n v="1462"/>
    <m/>
    <n v="0"/>
    <m/>
    <n v="0"/>
    <m/>
    <n v="0"/>
    <m/>
    <n v="4"/>
    <m/>
    <n v="0"/>
    <n v="55"/>
    <n v="6"/>
    <n v="1462"/>
    <n v="4"/>
  </r>
  <r>
    <x v="10"/>
    <n v="684556.5"/>
    <x v="4"/>
    <n v="0"/>
    <m/>
    <n v="181"/>
    <m/>
    <n v="0"/>
    <m/>
    <n v="0"/>
    <m/>
    <n v="301"/>
    <m/>
    <n v="374"/>
    <m/>
    <n v="0"/>
    <m/>
    <n v="0"/>
    <m/>
    <n v="0"/>
    <m/>
    <n v="14"/>
    <m/>
    <n v="0"/>
    <n v="32"/>
    <n v="181"/>
    <n v="374"/>
    <n v="14"/>
  </r>
  <r>
    <x v="10"/>
    <n v="684557.5"/>
    <x v="5"/>
    <n v="0"/>
    <m/>
    <n v="0"/>
    <m/>
    <n v="0"/>
    <m/>
    <n v="0"/>
    <m/>
    <n v="0"/>
    <m/>
    <n v="0"/>
    <m/>
    <n v="0"/>
    <m/>
    <n v="0"/>
    <m/>
    <n v="0"/>
    <m/>
    <n v="0"/>
    <m/>
    <n v="0"/>
    <n v="0"/>
    <n v="0"/>
    <n v="0"/>
    <n v="0"/>
  </r>
  <r>
    <x v="10"/>
    <n v="684558.5"/>
    <x v="6"/>
    <n v="0"/>
    <m/>
    <n v="0"/>
    <m/>
    <n v="0"/>
    <m/>
    <n v="0"/>
    <m/>
    <n v="0"/>
    <m/>
    <n v="0"/>
    <m/>
    <n v="0"/>
    <m/>
    <n v="0"/>
    <m/>
    <n v="0"/>
    <m/>
    <n v="0"/>
    <m/>
    <n v="0"/>
    <n v="0"/>
    <n v="0"/>
    <n v="0"/>
    <n v="0"/>
  </r>
  <r>
    <x v="10"/>
    <n v="684559.5"/>
    <x v="7"/>
    <n v="0"/>
    <m/>
    <n v="755"/>
    <m/>
    <n v="0"/>
    <m/>
    <n v="0"/>
    <m/>
    <n v="0"/>
    <m/>
    <n v="0"/>
    <m/>
    <n v="0"/>
    <m/>
    <n v="0"/>
    <m/>
    <n v="0"/>
    <m/>
    <n v="0"/>
    <m/>
    <n v="0"/>
    <n v="389"/>
    <n v="755"/>
    <n v="0"/>
    <n v="0"/>
  </r>
  <r>
    <x v="10"/>
    <n v="684560.5"/>
    <x v="8"/>
    <n v="0"/>
    <m/>
    <n v="0"/>
    <m/>
    <n v="0"/>
    <m/>
    <n v="0"/>
    <m/>
    <n v="0"/>
    <m/>
    <n v="0"/>
    <m/>
    <n v="0"/>
    <m/>
    <n v="0"/>
    <m/>
    <n v="0"/>
    <m/>
    <n v="0"/>
    <m/>
    <n v="0"/>
    <n v="0"/>
    <n v="0"/>
    <n v="0"/>
    <n v="0"/>
  </r>
  <r>
    <x v="10"/>
    <n v="684561.5"/>
    <x v="9"/>
    <n v="0"/>
    <m/>
    <n v="0"/>
    <m/>
    <n v="0"/>
    <m/>
    <n v="0"/>
    <m/>
    <n v="0"/>
    <m/>
    <n v="0"/>
    <m/>
    <n v="0"/>
    <m/>
    <n v="0"/>
    <m/>
    <n v="0"/>
    <m/>
    <n v="0"/>
    <m/>
    <n v="0"/>
    <n v="0"/>
    <n v="0"/>
    <n v="0"/>
    <n v="0"/>
  </r>
  <r>
    <x v="10"/>
    <n v="684562.5"/>
    <x v="10"/>
    <n v="0"/>
    <m/>
    <n v="0"/>
    <m/>
    <n v="0"/>
    <m/>
    <n v="0"/>
    <m/>
    <n v="0"/>
    <m/>
    <n v="0"/>
    <m/>
    <n v="0"/>
    <m/>
    <n v="0"/>
    <m/>
    <n v="0"/>
    <m/>
    <n v="0"/>
    <m/>
    <n v="0"/>
    <n v="0"/>
    <n v="0"/>
    <n v="0"/>
    <n v="0"/>
  </r>
  <r>
    <x v="10"/>
    <n v="684563.5"/>
    <x v="11"/>
    <n v="0"/>
    <m/>
    <n v="0"/>
    <m/>
    <n v="0"/>
    <m/>
    <n v="0"/>
    <m/>
    <n v="0"/>
    <m/>
    <n v="0"/>
    <m/>
    <n v="0"/>
    <m/>
    <n v="0"/>
    <m/>
    <n v="0"/>
    <m/>
    <n v="0"/>
    <m/>
    <n v="0"/>
    <n v="161"/>
    <n v="0"/>
    <n v="0"/>
    <n v="0"/>
  </r>
  <r>
    <x v="10"/>
    <n v="684564.5"/>
    <x v="12"/>
    <n v="0"/>
    <m/>
    <n v="0"/>
    <m/>
    <n v="0"/>
    <m/>
    <n v="0"/>
    <m/>
    <n v="0"/>
    <m/>
    <n v="0"/>
    <m/>
    <n v="0"/>
    <m/>
    <n v="0"/>
    <m/>
    <n v="0"/>
    <m/>
    <n v="0"/>
    <m/>
    <n v="0"/>
    <n v="0"/>
    <n v="0"/>
    <n v="0"/>
    <n v="0"/>
  </r>
  <r>
    <x v="10"/>
    <n v="684565.5"/>
    <x v="13"/>
    <n v="0"/>
    <m/>
    <n v="0"/>
    <m/>
    <n v="0"/>
    <m/>
    <n v="0"/>
    <m/>
    <n v="0"/>
    <m/>
    <n v="0"/>
    <m/>
    <n v="0"/>
    <m/>
    <n v="0"/>
    <m/>
    <n v="25"/>
    <m/>
    <n v="0"/>
    <m/>
    <n v="0"/>
    <n v="498"/>
    <n v="0"/>
    <n v="0"/>
    <n v="25"/>
  </r>
  <r>
    <x v="10"/>
    <n v="684566.5"/>
    <x v="14"/>
    <n v="0"/>
    <m/>
    <n v="0"/>
    <m/>
    <n v="0"/>
    <m/>
    <n v="0"/>
    <m/>
    <n v="0"/>
    <m/>
    <n v="0"/>
    <m/>
    <n v="0"/>
    <m/>
    <n v="0"/>
    <m/>
    <n v="0"/>
    <m/>
    <n v="0"/>
    <m/>
    <n v="0"/>
    <n v="0"/>
    <n v="0"/>
    <n v="0"/>
    <n v="0"/>
  </r>
  <r>
    <x v="10"/>
    <n v="684567.5"/>
    <x v="15"/>
    <n v="0"/>
    <m/>
    <n v="0"/>
    <m/>
    <n v="0"/>
    <m/>
    <n v="0"/>
    <m/>
    <n v="0"/>
    <m/>
    <n v="0"/>
    <m/>
    <n v="0"/>
    <m/>
    <n v="0"/>
    <m/>
    <n v="0"/>
    <m/>
    <n v="0"/>
    <m/>
    <n v="0"/>
    <n v="0"/>
    <n v="0"/>
    <n v="0"/>
    <n v="0"/>
  </r>
  <r>
    <x v="10"/>
    <n v="684568.5"/>
    <x v="16"/>
    <n v="0"/>
    <m/>
    <n v="0"/>
    <m/>
    <n v="0"/>
    <m/>
    <n v="0"/>
    <m/>
    <n v="0"/>
    <m/>
    <n v="0"/>
    <m/>
    <n v="0"/>
    <m/>
    <n v="0"/>
    <m/>
    <n v="0"/>
    <m/>
    <n v="0"/>
    <m/>
    <n v="0"/>
    <n v="44"/>
    <n v="0"/>
    <n v="0"/>
    <n v="0"/>
  </r>
  <r>
    <x v="10"/>
    <n v="684569.5"/>
    <x v="17"/>
    <n v="0"/>
    <m/>
    <n v="0"/>
    <m/>
    <n v="0"/>
    <m/>
    <n v="0"/>
    <m/>
    <n v="0"/>
    <m/>
    <n v="0"/>
    <m/>
    <n v="0"/>
    <m/>
    <n v="0"/>
    <m/>
    <n v="0"/>
    <m/>
    <n v="0"/>
    <m/>
    <n v="0"/>
    <n v="115"/>
    <n v="0"/>
    <n v="0"/>
    <n v="0"/>
  </r>
  <r>
    <x v="10"/>
    <n v="684570.5"/>
    <x v="18"/>
    <n v="86"/>
    <m/>
    <n v="0"/>
    <m/>
    <n v="0"/>
    <m/>
    <n v="0"/>
    <m/>
    <n v="0"/>
    <m/>
    <n v="0"/>
    <m/>
    <n v="8"/>
    <m/>
    <n v="0"/>
    <m/>
    <n v="16"/>
    <m/>
    <n v="0"/>
    <m/>
    <n v="0"/>
    <n v="8"/>
    <n v="86"/>
    <n v="8"/>
    <n v="16"/>
  </r>
  <r>
    <x v="10"/>
    <n v="684571.5"/>
    <x v="19"/>
    <n v="0"/>
    <m/>
    <n v="0"/>
    <m/>
    <n v="0"/>
    <m/>
    <n v="0"/>
    <m/>
    <n v="0"/>
    <m/>
    <n v="0"/>
    <m/>
    <n v="0"/>
    <m/>
    <n v="0"/>
    <m/>
    <n v="0"/>
    <m/>
    <n v="0"/>
    <m/>
    <n v="0"/>
    <n v="0"/>
    <n v="0"/>
    <n v="0"/>
    <n v="0"/>
  </r>
  <r>
    <x v="10"/>
    <n v="684572.5"/>
    <x v="20"/>
    <n v="0"/>
    <m/>
    <n v="0"/>
    <m/>
    <n v="0"/>
    <m/>
    <n v="0"/>
    <m/>
    <n v="0"/>
    <m/>
    <n v="0"/>
    <m/>
    <n v="0"/>
    <m/>
    <n v="0"/>
    <m/>
    <n v="0"/>
    <m/>
    <n v="0"/>
    <m/>
    <n v="0"/>
    <n v="0"/>
    <n v="0"/>
    <n v="0"/>
    <n v="0"/>
  </r>
  <r>
    <x v="10"/>
    <n v="684573.5"/>
    <x v="21"/>
    <n v="0"/>
    <m/>
    <n v="0"/>
    <m/>
    <n v="0"/>
    <m/>
    <n v="0"/>
    <m/>
    <n v="0"/>
    <m/>
    <n v="0"/>
    <m/>
    <n v="0"/>
    <m/>
    <n v="0"/>
    <m/>
    <n v="0"/>
    <m/>
    <n v="0"/>
    <m/>
    <n v="0"/>
    <n v="0"/>
    <n v="0"/>
    <n v="0"/>
    <n v="0"/>
  </r>
  <r>
    <x v="10"/>
    <n v="684574.5"/>
    <x v="22"/>
    <n v="0"/>
    <m/>
    <n v="0"/>
    <m/>
    <n v="0"/>
    <m/>
    <n v="0"/>
    <m/>
    <n v="0"/>
    <m/>
    <n v="0"/>
    <m/>
    <n v="0"/>
    <m/>
    <n v="0"/>
    <m/>
    <n v="0"/>
    <m/>
    <n v="0"/>
    <m/>
    <n v="0"/>
    <n v="0"/>
    <n v="0"/>
    <n v="0"/>
    <n v="0"/>
  </r>
  <r>
    <x v="10"/>
    <n v="684575.5"/>
    <x v="23"/>
    <n v="0"/>
    <m/>
    <n v="0"/>
    <m/>
    <n v="0"/>
    <m/>
    <n v="0"/>
    <m/>
    <n v="0"/>
    <m/>
    <n v="0"/>
    <m/>
    <n v="0"/>
    <m/>
    <n v="0"/>
    <m/>
    <n v="0"/>
    <m/>
    <n v="0"/>
    <m/>
    <n v="0"/>
    <n v="0"/>
    <n v="0"/>
    <n v="0"/>
    <n v="0"/>
  </r>
  <r>
    <x v="11"/>
    <n v="533864.00000000012"/>
    <x v="0"/>
    <n v="520"/>
    <n v="539939.99999999988"/>
    <n v="616"/>
    <n v="546076"/>
    <n v="0"/>
    <n v="552166.00000000012"/>
    <n v="820"/>
    <n v="558394.50000000035"/>
    <n v="816"/>
    <n v="564954.00000000035"/>
    <n v="0"/>
    <n v="571201.5"/>
    <n v="916"/>
    <n v="577030.49999999965"/>
    <n v="0"/>
    <n v="582640.00000000023"/>
    <n v="0"/>
    <n v="587925"/>
    <n v="0"/>
    <n v="593149.50000000012"/>
    <n v="5532"/>
    <n v="452"/>
    <n v="820"/>
    <n v="916"/>
    <n v="5532"/>
  </r>
  <r>
    <x v="11"/>
    <n v="533865"/>
    <x v="1"/>
    <n v="1102"/>
    <m/>
    <n v="806"/>
    <m/>
    <n v="952"/>
    <m/>
    <n v="996"/>
    <m/>
    <n v="1224"/>
    <m/>
    <n v="1376"/>
    <m/>
    <n v="1412"/>
    <m/>
    <n v="0"/>
    <m/>
    <n v="0"/>
    <m/>
    <n v="0"/>
    <m/>
    <n v="1882"/>
    <n v="768"/>
    <n v="1102"/>
    <n v="1412"/>
    <n v="1882"/>
  </r>
  <r>
    <x v="11"/>
    <n v="533866"/>
    <x v="2"/>
    <n v="0"/>
    <m/>
    <n v="0"/>
    <m/>
    <n v="0"/>
    <m/>
    <n v="0"/>
    <m/>
    <n v="0"/>
    <m/>
    <n v="0"/>
    <m/>
    <n v="0"/>
    <m/>
    <n v="0"/>
    <m/>
    <n v="0"/>
    <m/>
    <n v="0"/>
    <m/>
    <n v="0"/>
    <n v="27"/>
    <n v="0"/>
    <n v="0"/>
    <n v="0"/>
  </r>
  <r>
    <x v="11"/>
    <n v="533867"/>
    <x v="3"/>
    <n v="377"/>
    <m/>
    <n v="0"/>
    <m/>
    <n v="351"/>
    <m/>
    <n v="0"/>
    <m/>
    <n v="0"/>
    <m/>
    <n v="0"/>
    <m/>
    <n v="2168"/>
    <m/>
    <n v="0"/>
    <m/>
    <n v="0"/>
    <m/>
    <n v="254"/>
    <m/>
    <n v="0"/>
    <n v="172"/>
    <n v="377"/>
    <n v="2168"/>
    <n v="254"/>
  </r>
  <r>
    <x v="11"/>
    <n v="533868"/>
    <x v="4"/>
    <n v="147"/>
    <m/>
    <n v="6365"/>
    <m/>
    <n v="116"/>
    <m/>
    <n v="0"/>
    <m/>
    <n v="0"/>
    <m/>
    <n v="1210"/>
    <m/>
    <n v="570"/>
    <m/>
    <n v="577"/>
    <m/>
    <n v="0"/>
    <m/>
    <n v="25"/>
    <m/>
    <n v="0"/>
    <n v="81"/>
    <n v="6365"/>
    <n v="1210"/>
    <n v="25"/>
  </r>
  <r>
    <x v="11"/>
    <n v="533869"/>
    <x v="5"/>
    <n v="0"/>
    <m/>
    <n v="0"/>
    <m/>
    <n v="0"/>
    <m/>
    <n v="0"/>
    <m/>
    <n v="0"/>
    <m/>
    <n v="0"/>
    <m/>
    <n v="117"/>
    <m/>
    <n v="0"/>
    <m/>
    <n v="0"/>
    <m/>
    <n v="0"/>
    <m/>
    <n v="155"/>
    <n v="117"/>
    <n v="0"/>
    <n v="117"/>
    <n v="155"/>
  </r>
  <r>
    <x v="11"/>
    <n v="533870"/>
    <x v="6"/>
    <n v="130"/>
    <m/>
    <n v="3781"/>
    <m/>
    <n v="168"/>
    <m/>
    <n v="0"/>
    <m/>
    <n v="0"/>
    <m/>
    <n v="0"/>
    <m/>
    <n v="0"/>
    <m/>
    <n v="0"/>
    <m/>
    <n v="0"/>
    <m/>
    <n v="6"/>
    <m/>
    <n v="0"/>
    <n v="18"/>
    <n v="3781"/>
    <n v="0"/>
    <n v="6"/>
  </r>
  <r>
    <x v="11"/>
    <n v="533871"/>
    <x v="7"/>
    <n v="121"/>
    <m/>
    <n v="3881"/>
    <m/>
    <n v="8"/>
    <m/>
    <n v="0"/>
    <m/>
    <n v="0"/>
    <m/>
    <n v="0"/>
    <m/>
    <n v="3207"/>
    <m/>
    <n v="0"/>
    <m/>
    <n v="0"/>
    <m/>
    <n v="353"/>
    <m/>
    <n v="0"/>
    <n v="1"/>
    <n v="3881"/>
    <n v="3207"/>
    <n v="353"/>
  </r>
  <r>
    <x v="11"/>
    <n v="533872"/>
    <x v="8"/>
    <n v="0"/>
    <m/>
    <n v="0"/>
    <m/>
    <n v="0"/>
    <m/>
    <n v="0"/>
    <m/>
    <n v="0"/>
    <m/>
    <n v="0"/>
    <m/>
    <n v="0"/>
    <m/>
    <n v="0"/>
    <m/>
    <n v="0"/>
    <m/>
    <n v="0"/>
    <m/>
    <n v="0"/>
    <n v="149"/>
    <n v="0"/>
    <n v="0"/>
    <n v="0"/>
  </r>
  <r>
    <x v="11"/>
    <n v="533873"/>
    <x v="9"/>
    <n v="0"/>
    <m/>
    <n v="0"/>
    <m/>
    <n v="0"/>
    <m/>
    <n v="0"/>
    <m/>
    <n v="0"/>
    <m/>
    <n v="0"/>
    <m/>
    <n v="0"/>
    <m/>
    <n v="0"/>
    <m/>
    <n v="0"/>
    <m/>
    <n v="0"/>
    <m/>
    <n v="0"/>
    <n v="61"/>
    <n v="0"/>
    <n v="0"/>
    <n v="0"/>
  </r>
  <r>
    <x v="11"/>
    <n v="533874"/>
    <x v="10"/>
    <n v="0"/>
    <m/>
    <n v="0"/>
    <m/>
    <n v="0"/>
    <m/>
    <n v="0"/>
    <m/>
    <n v="0"/>
    <m/>
    <n v="0"/>
    <m/>
    <n v="0"/>
    <m/>
    <n v="20"/>
    <m/>
    <n v="0"/>
    <m/>
    <n v="0"/>
    <m/>
    <n v="0"/>
    <n v="20"/>
    <n v="0"/>
    <n v="20"/>
    <n v="0"/>
  </r>
  <r>
    <x v="11"/>
    <n v="533875"/>
    <x v="11"/>
    <n v="0"/>
    <m/>
    <n v="0"/>
    <m/>
    <n v="0"/>
    <m/>
    <n v="0"/>
    <m/>
    <n v="0"/>
    <m/>
    <n v="0"/>
    <m/>
    <n v="65"/>
    <m/>
    <n v="0"/>
    <m/>
    <n v="0"/>
    <m/>
    <n v="0"/>
    <m/>
    <n v="0"/>
    <n v="11"/>
    <n v="0"/>
    <n v="65"/>
    <n v="0"/>
  </r>
  <r>
    <x v="11"/>
    <n v="533876"/>
    <x v="12"/>
    <n v="0"/>
    <m/>
    <n v="0"/>
    <m/>
    <n v="0"/>
    <m/>
    <n v="0"/>
    <m/>
    <n v="0"/>
    <m/>
    <n v="0"/>
    <m/>
    <n v="0"/>
    <m/>
    <n v="0"/>
    <m/>
    <n v="0"/>
    <m/>
    <n v="0"/>
    <m/>
    <n v="0"/>
    <n v="3"/>
    <n v="0"/>
    <n v="0"/>
    <n v="0"/>
  </r>
  <r>
    <x v="11"/>
    <n v="533877"/>
    <x v="13"/>
    <n v="0"/>
    <m/>
    <n v="0"/>
    <m/>
    <n v="0"/>
    <m/>
    <n v="0"/>
    <m/>
    <n v="0"/>
    <m/>
    <n v="0"/>
    <m/>
    <n v="0"/>
    <m/>
    <n v="0"/>
    <m/>
    <n v="0"/>
    <m/>
    <n v="0"/>
    <m/>
    <n v="0"/>
    <n v="27"/>
    <n v="0"/>
    <n v="0"/>
    <n v="0"/>
  </r>
  <r>
    <x v="11"/>
    <n v="533878"/>
    <x v="14"/>
    <n v="0"/>
    <m/>
    <n v="0"/>
    <m/>
    <n v="0"/>
    <m/>
    <n v="0"/>
    <m/>
    <n v="0"/>
    <m/>
    <n v="0"/>
    <m/>
    <n v="0"/>
    <m/>
    <n v="0"/>
    <m/>
    <n v="0"/>
    <m/>
    <n v="0"/>
    <m/>
    <n v="0"/>
    <n v="14"/>
    <n v="0"/>
    <n v="0"/>
    <n v="0"/>
  </r>
  <r>
    <x v="11"/>
    <n v="533879"/>
    <x v="15"/>
    <n v="0"/>
    <m/>
    <n v="0"/>
    <m/>
    <n v="0"/>
    <m/>
    <n v="0"/>
    <m/>
    <n v="0"/>
    <m/>
    <n v="0"/>
    <m/>
    <n v="0"/>
    <m/>
    <n v="0"/>
    <m/>
    <n v="0"/>
    <m/>
    <n v="0"/>
    <m/>
    <n v="4"/>
    <n v="40"/>
    <n v="0"/>
    <n v="0"/>
    <n v="4"/>
  </r>
  <r>
    <x v="11"/>
    <n v="533880"/>
    <x v="16"/>
    <n v="0"/>
    <m/>
    <n v="0"/>
    <m/>
    <n v="0"/>
    <m/>
    <n v="0"/>
    <m/>
    <n v="0"/>
    <m/>
    <n v="0"/>
    <m/>
    <n v="0"/>
    <m/>
    <n v="0"/>
    <m/>
    <n v="0"/>
    <m/>
    <n v="0"/>
    <m/>
    <n v="0"/>
    <n v="1357"/>
    <n v="0"/>
    <n v="0"/>
    <n v="0"/>
  </r>
  <r>
    <x v="11"/>
    <n v="533881"/>
    <x v="17"/>
    <n v="0"/>
    <m/>
    <n v="0"/>
    <m/>
    <n v="0"/>
    <m/>
    <n v="0"/>
    <m/>
    <n v="0"/>
    <m/>
    <n v="0"/>
    <m/>
    <n v="0"/>
    <m/>
    <n v="0"/>
    <m/>
    <n v="0"/>
    <m/>
    <n v="0"/>
    <m/>
    <n v="0"/>
    <n v="95"/>
    <n v="0"/>
    <n v="0"/>
    <n v="0"/>
  </r>
  <r>
    <x v="11"/>
    <n v="533882"/>
    <x v="18"/>
    <n v="0"/>
    <m/>
    <n v="0"/>
    <m/>
    <n v="0"/>
    <m/>
    <n v="0"/>
    <m/>
    <n v="0"/>
    <m/>
    <n v="0"/>
    <m/>
    <n v="0"/>
    <m/>
    <n v="0"/>
    <m/>
    <n v="0"/>
    <m/>
    <n v="0"/>
    <m/>
    <n v="0"/>
    <n v="65"/>
    <n v="0"/>
    <n v="0"/>
    <n v="0"/>
  </r>
  <r>
    <x v="11"/>
    <n v="533883"/>
    <x v="19"/>
    <n v="0"/>
    <m/>
    <n v="0"/>
    <m/>
    <n v="0"/>
    <m/>
    <n v="0"/>
    <m/>
    <n v="0"/>
    <m/>
    <n v="0"/>
    <m/>
    <n v="0"/>
    <m/>
    <n v="0"/>
    <m/>
    <n v="0"/>
    <m/>
    <n v="0"/>
    <m/>
    <n v="0"/>
    <n v="0"/>
    <n v="0"/>
    <n v="0"/>
    <n v="0"/>
  </r>
  <r>
    <x v="11"/>
    <n v="533884"/>
    <x v="20"/>
    <n v="0"/>
    <m/>
    <n v="0"/>
    <m/>
    <n v="0"/>
    <m/>
    <n v="0"/>
    <m/>
    <n v="0"/>
    <m/>
    <n v="0"/>
    <m/>
    <n v="0"/>
    <m/>
    <n v="0"/>
    <m/>
    <n v="0"/>
    <m/>
    <n v="0"/>
    <m/>
    <n v="10"/>
    <n v="58"/>
    <n v="0"/>
    <n v="0"/>
    <n v="10"/>
  </r>
  <r>
    <x v="11"/>
    <n v="533885"/>
    <x v="21"/>
    <n v="0"/>
    <m/>
    <n v="0"/>
    <m/>
    <n v="0"/>
    <m/>
    <n v="0"/>
    <m/>
    <n v="0"/>
    <m/>
    <n v="0"/>
    <m/>
    <n v="0"/>
    <m/>
    <n v="0"/>
    <m/>
    <n v="0"/>
    <m/>
    <n v="0"/>
    <m/>
    <n v="0"/>
    <n v="0"/>
    <n v="0"/>
    <n v="0"/>
    <n v="0"/>
  </r>
  <r>
    <x v="11"/>
    <n v="533886"/>
    <x v="22"/>
    <n v="0"/>
    <m/>
    <n v="0"/>
    <m/>
    <n v="0"/>
    <m/>
    <n v="0"/>
    <m/>
    <n v="0"/>
    <m/>
    <n v="0"/>
    <m/>
    <n v="0"/>
    <m/>
    <n v="0"/>
    <m/>
    <n v="0"/>
    <m/>
    <n v="0"/>
    <m/>
    <n v="0"/>
    <n v="0"/>
    <n v="0"/>
    <n v="0"/>
    <n v="0"/>
  </r>
  <r>
    <x v="11"/>
    <n v="533887"/>
    <x v="23"/>
    <n v="0"/>
    <m/>
    <n v="0"/>
    <m/>
    <n v="0"/>
    <m/>
    <n v="0"/>
    <m/>
    <n v="0"/>
    <m/>
    <n v="0"/>
    <m/>
    <n v="0"/>
    <m/>
    <n v="0"/>
    <m/>
    <n v="0"/>
    <m/>
    <n v="0"/>
    <m/>
    <n v="0"/>
    <n v="1"/>
    <n v="0"/>
    <n v="0"/>
    <n v="0"/>
  </r>
  <r>
    <x v="12"/>
    <n v="37260562.50000003"/>
    <x v="0"/>
    <n v="0"/>
    <n v="38000626.500000022"/>
    <n v="4628"/>
    <n v="38760167.5"/>
    <n v="612"/>
    <n v="39543154.499999985"/>
    <n v="0"/>
    <n v="40339328.5"/>
    <n v="148618"/>
    <n v="41136545.999999985"/>
    <n v="0"/>
    <n v="41927007.000000007"/>
    <n v="185038"/>
    <n v="42705368.50000003"/>
    <n v="84280"/>
    <n v="43451665.999999985"/>
    <n v="0"/>
    <n v="44177968.500000007"/>
    <n v="0"/>
    <n v="44903225.000000007"/>
    <n v="0"/>
    <n v="73168"/>
    <n v="4628"/>
    <n v="185038"/>
    <n v="0"/>
  </r>
  <r>
    <x v="12"/>
    <n v="37260563.5"/>
    <x v="1"/>
    <n v="0"/>
    <m/>
    <n v="0"/>
    <m/>
    <n v="0"/>
    <m/>
    <n v="0"/>
    <m/>
    <n v="181916"/>
    <m/>
    <n v="184000"/>
    <m/>
    <n v="112822"/>
    <m/>
    <n v="8850"/>
    <m/>
    <n v="0"/>
    <m/>
    <n v="0"/>
    <m/>
    <n v="0"/>
    <n v="57705"/>
    <n v="0"/>
    <n v="184000"/>
    <n v="0"/>
  </r>
  <r>
    <x v="12"/>
    <n v="37260564.5"/>
    <x v="2"/>
    <n v="0"/>
    <m/>
    <n v="0"/>
    <m/>
    <n v="22278"/>
    <m/>
    <n v="0"/>
    <m/>
    <n v="0"/>
    <m/>
    <n v="0"/>
    <m/>
    <n v="17896"/>
    <m/>
    <n v="18140"/>
    <m/>
    <n v="0"/>
    <m/>
    <n v="0"/>
    <m/>
    <n v="0"/>
    <n v="8620"/>
    <n v="22278"/>
    <n v="18140"/>
    <n v="0"/>
  </r>
  <r>
    <x v="12"/>
    <n v="37260565.5"/>
    <x v="3"/>
    <n v="391"/>
    <m/>
    <n v="54"/>
    <m/>
    <n v="1029"/>
    <m/>
    <n v="0"/>
    <m/>
    <n v="81"/>
    <m/>
    <n v="1388"/>
    <m/>
    <n v="0"/>
    <m/>
    <n v="86"/>
    <m/>
    <n v="0"/>
    <m/>
    <n v="613"/>
    <m/>
    <n v="0"/>
    <n v="14106"/>
    <n v="1029"/>
    <n v="1388"/>
    <n v="613"/>
  </r>
  <r>
    <x v="12"/>
    <n v="37260566.5"/>
    <x v="4"/>
    <n v="224"/>
    <m/>
    <n v="0"/>
    <m/>
    <n v="397"/>
    <m/>
    <n v="0"/>
    <m/>
    <n v="25"/>
    <m/>
    <n v="0"/>
    <m/>
    <n v="0"/>
    <m/>
    <n v="5"/>
    <m/>
    <n v="0"/>
    <m/>
    <n v="6"/>
    <m/>
    <n v="0"/>
    <n v="12781"/>
    <n v="397"/>
    <n v="25"/>
    <n v="6"/>
  </r>
  <r>
    <x v="12"/>
    <n v="37260567.5"/>
    <x v="5"/>
    <n v="0"/>
    <m/>
    <n v="0"/>
    <m/>
    <n v="0"/>
    <m/>
    <n v="0"/>
    <m/>
    <n v="0"/>
    <m/>
    <n v="0"/>
    <m/>
    <n v="0"/>
    <m/>
    <n v="0"/>
    <m/>
    <n v="0"/>
    <m/>
    <n v="0"/>
    <m/>
    <n v="0"/>
    <n v="0"/>
    <n v="0"/>
    <n v="0"/>
    <n v="0"/>
  </r>
  <r>
    <x v="12"/>
    <n v="37260568.5"/>
    <x v="6"/>
    <n v="20"/>
    <m/>
    <n v="1"/>
    <m/>
    <n v="0"/>
    <m/>
    <n v="0"/>
    <m/>
    <n v="0"/>
    <m/>
    <n v="0"/>
    <m/>
    <n v="0"/>
    <m/>
    <n v="7"/>
    <m/>
    <n v="0"/>
    <m/>
    <n v="0"/>
    <m/>
    <n v="0"/>
    <n v="381"/>
    <n v="20"/>
    <n v="7"/>
    <n v="0"/>
  </r>
  <r>
    <x v="12"/>
    <n v="37260569.5"/>
    <x v="7"/>
    <n v="199"/>
    <m/>
    <n v="0"/>
    <m/>
    <n v="0"/>
    <m/>
    <n v="0"/>
    <m/>
    <n v="304"/>
    <m/>
    <n v="0"/>
    <m/>
    <n v="0"/>
    <m/>
    <n v="20"/>
    <m/>
    <n v="0"/>
    <m/>
    <n v="0"/>
    <m/>
    <n v="0"/>
    <n v="1249"/>
    <n v="199"/>
    <n v="304"/>
    <n v="0"/>
  </r>
  <r>
    <x v="12"/>
    <n v="37260570.5"/>
    <x v="8"/>
    <n v="0"/>
    <m/>
    <n v="0"/>
    <m/>
    <n v="0"/>
    <m/>
    <n v="0"/>
    <m/>
    <n v="0"/>
    <m/>
    <n v="0"/>
    <m/>
    <n v="42507"/>
    <m/>
    <n v="0"/>
    <m/>
    <n v="0"/>
    <m/>
    <n v="0"/>
    <m/>
    <n v="0"/>
    <n v="41461"/>
    <n v="0"/>
    <n v="42507"/>
    <n v="0"/>
  </r>
  <r>
    <x v="12"/>
    <n v="37260571.5"/>
    <x v="9"/>
    <n v="0"/>
    <m/>
    <n v="0"/>
    <m/>
    <n v="0"/>
    <m/>
    <n v="0"/>
    <m/>
    <n v="0"/>
    <m/>
    <n v="0"/>
    <m/>
    <n v="900"/>
    <m/>
    <n v="0"/>
    <m/>
    <n v="0"/>
    <m/>
    <n v="0"/>
    <m/>
    <n v="0"/>
    <n v="10838"/>
    <n v="0"/>
    <n v="900"/>
    <n v="0"/>
  </r>
  <r>
    <x v="12"/>
    <n v="37260572.5"/>
    <x v="10"/>
    <n v="0"/>
    <m/>
    <n v="0"/>
    <m/>
    <n v="0"/>
    <m/>
    <n v="0"/>
    <m/>
    <n v="0"/>
    <m/>
    <n v="521"/>
    <m/>
    <n v="836"/>
    <m/>
    <n v="0"/>
    <m/>
    <n v="0"/>
    <m/>
    <n v="0"/>
    <m/>
    <n v="0"/>
    <n v="663"/>
    <n v="0"/>
    <n v="836"/>
    <n v="0"/>
  </r>
  <r>
    <x v="12"/>
    <n v="37260573.5"/>
    <x v="11"/>
    <n v="0"/>
    <m/>
    <n v="0"/>
    <m/>
    <n v="0"/>
    <m/>
    <n v="0"/>
    <m/>
    <n v="0"/>
    <m/>
    <n v="0"/>
    <m/>
    <n v="136"/>
    <m/>
    <n v="0"/>
    <m/>
    <n v="0"/>
    <m/>
    <n v="0"/>
    <m/>
    <n v="0"/>
    <n v="0"/>
    <n v="0"/>
    <n v="136"/>
    <n v="0"/>
  </r>
  <r>
    <x v="12"/>
    <n v="37260574.5"/>
    <x v="12"/>
    <n v="0"/>
    <m/>
    <n v="0"/>
    <m/>
    <n v="0"/>
    <m/>
    <n v="0"/>
    <m/>
    <n v="0"/>
    <m/>
    <n v="0"/>
    <m/>
    <n v="2148"/>
    <m/>
    <n v="0"/>
    <m/>
    <n v="0"/>
    <m/>
    <n v="0"/>
    <m/>
    <n v="0"/>
    <n v="2227"/>
    <n v="0"/>
    <n v="2148"/>
    <n v="0"/>
  </r>
  <r>
    <x v="12"/>
    <n v="37260575.5"/>
    <x v="13"/>
    <n v="0"/>
    <m/>
    <n v="0"/>
    <m/>
    <n v="0"/>
    <m/>
    <n v="0"/>
    <m/>
    <n v="0"/>
    <m/>
    <n v="0"/>
    <m/>
    <n v="6245"/>
    <m/>
    <n v="0"/>
    <m/>
    <n v="0"/>
    <m/>
    <n v="0"/>
    <m/>
    <n v="0"/>
    <n v="6176"/>
    <n v="0"/>
    <n v="6245"/>
    <n v="0"/>
  </r>
  <r>
    <x v="12"/>
    <n v="37260576.5"/>
    <x v="14"/>
    <n v="0"/>
    <m/>
    <n v="0"/>
    <m/>
    <n v="0"/>
    <m/>
    <n v="0"/>
    <m/>
    <n v="0"/>
    <m/>
    <n v="0"/>
    <m/>
    <n v="0"/>
    <m/>
    <n v="0"/>
    <m/>
    <n v="0"/>
    <m/>
    <n v="0"/>
    <m/>
    <n v="0"/>
    <n v="610"/>
    <n v="0"/>
    <n v="0"/>
    <n v="0"/>
  </r>
  <r>
    <x v="12"/>
    <n v="37260577.5"/>
    <x v="15"/>
    <n v="0"/>
    <m/>
    <n v="0"/>
    <m/>
    <n v="0"/>
    <m/>
    <n v="0"/>
    <m/>
    <n v="0"/>
    <m/>
    <n v="0"/>
    <m/>
    <n v="1533"/>
    <m/>
    <n v="0"/>
    <m/>
    <n v="0"/>
    <m/>
    <n v="0"/>
    <m/>
    <n v="0"/>
    <n v="1218"/>
    <n v="0"/>
    <n v="1533"/>
    <n v="0"/>
  </r>
  <r>
    <x v="12"/>
    <n v="37260578.5"/>
    <x v="16"/>
    <n v="0"/>
    <m/>
    <n v="0"/>
    <m/>
    <n v="0"/>
    <m/>
    <n v="0"/>
    <m/>
    <n v="0"/>
    <m/>
    <n v="0"/>
    <m/>
    <n v="6184"/>
    <m/>
    <n v="0"/>
    <m/>
    <n v="0"/>
    <m/>
    <n v="0"/>
    <m/>
    <n v="0"/>
    <n v="76532"/>
    <n v="0"/>
    <n v="6184"/>
    <n v="0"/>
  </r>
  <r>
    <x v="12"/>
    <n v="37260579.5"/>
    <x v="17"/>
    <n v="0"/>
    <m/>
    <n v="0"/>
    <m/>
    <n v="0"/>
    <m/>
    <n v="0"/>
    <m/>
    <n v="0"/>
    <m/>
    <n v="0"/>
    <m/>
    <n v="75033"/>
    <m/>
    <n v="0"/>
    <m/>
    <n v="0"/>
    <m/>
    <n v="0"/>
    <m/>
    <n v="0"/>
    <n v="5104"/>
    <n v="0"/>
    <n v="75033"/>
    <n v="0"/>
  </r>
  <r>
    <x v="12"/>
    <n v="37260580.5"/>
    <x v="18"/>
    <n v="0"/>
    <m/>
    <n v="0"/>
    <m/>
    <n v="0"/>
    <m/>
    <n v="0"/>
    <m/>
    <n v="0"/>
    <m/>
    <n v="0"/>
    <m/>
    <n v="15238"/>
    <m/>
    <n v="0"/>
    <m/>
    <n v="0"/>
    <m/>
    <n v="0"/>
    <m/>
    <n v="0"/>
    <n v="14548"/>
    <n v="0"/>
    <n v="15238"/>
    <n v="0"/>
  </r>
  <r>
    <x v="12"/>
    <n v="37260581.5"/>
    <x v="19"/>
    <n v="0"/>
    <m/>
    <n v="0"/>
    <m/>
    <n v="0"/>
    <m/>
    <n v="0"/>
    <m/>
    <n v="0"/>
    <m/>
    <n v="0"/>
    <m/>
    <n v="365"/>
    <m/>
    <n v="128823"/>
    <m/>
    <n v="0"/>
    <m/>
    <n v="0"/>
    <m/>
    <n v="0"/>
    <n v="279"/>
    <n v="0"/>
    <n v="128823"/>
    <n v="0"/>
  </r>
  <r>
    <x v="12"/>
    <n v="37260582.5"/>
    <x v="20"/>
    <n v="0"/>
    <m/>
    <n v="0"/>
    <m/>
    <n v="0"/>
    <m/>
    <n v="0"/>
    <m/>
    <n v="0"/>
    <m/>
    <n v="0"/>
    <m/>
    <n v="1971"/>
    <m/>
    <n v="0"/>
    <m/>
    <n v="0"/>
    <m/>
    <n v="0"/>
    <m/>
    <n v="0"/>
    <n v="1827"/>
    <n v="0"/>
    <n v="1971"/>
    <n v="0"/>
  </r>
  <r>
    <x v="12"/>
    <n v="37260583.5"/>
    <x v="21"/>
    <n v="0"/>
    <m/>
    <n v="0"/>
    <m/>
    <n v="0"/>
    <m/>
    <n v="0"/>
    <m/>
    <n v="0"/>
    <m/>
    <n v="0"/>
    <m/>
    <n v="0"/>
    <m/>
    <n v="0"/>
    <m/>
    <n v="0"/>
    <m/>
    <n v="0"/>
    <m/>
    <n v="0"/>
    <n v="0"/>
    <n v="0"/>
    <n v="0"/>
    <n v="0"/>
  </r>
  <r>
    <x v="12"/>
    <n v="37260584.5"/>
    <x v="22"/>
    <n v="0"/>
    <m/>
    <n v="0"/>
    <m/>
    <n v="0"/>
    <m/>
    <n v="0"/>
    <m/>
    <n v="0"/>
    <m/>
    <n v="0"/>
    <m/>
    <n v="0"/>
    <m/>
    <n v="0"/>
    <m/>
    <n v="0"/>
    <m/>
    <n v="0"/>
    <m/>
    <n v="0"/>
    <n v="0"/>
    <n v="0"/>
    <n v="0"/>
    <n v="0"/>
  </r>
  <r>
    <x v="12"/>
    <n v="37260585.5"/>
    <x v="23"/>
    <n v="0"/>
    <m/>
    <n v="0"/>
    <m/>
    <n v="0"/>
    <m/>
    <n v="0"/>
    <m/>
    <n v="0"/>
    <m/>
    <n v="0"/>
    <m/>
    <n v="0"/>
    <m/>
    <n v="0"/>
    <m/>
    <n v="0"/>
    <m/>
    <n v="0"/>
    <m/>
    <n v="0"/>
    <n v="1"/>
    <n v="0"/>
    <n v="0"/>
    <n v="0"/>
  </r>
  <r>
    <x v="13"/>
    <n v="3252595.9999999991"/>
    <x v="0"/>
    <n v="389"/>
    <n v="3296367"/>
    <n v="427"/>
    <n v="3323425.0000000009"/>
    <n v="484"/>
    <n v="3340005.9999999991"/>
    <n v="497"/>
    <n v="3365287.5000000014"/>
    <n v="537"/>
    <n v="3396933.0000000019"/>
    <n v="529"/>
    <n v="3445374.4999999986"/>
    <n v="639"/>
    <n v="3498818.0000000014"/>
    <n v="576"/>
    <n v="3555867.9999999991"/>
    <n v="662"/>
    <n v="3620312.0000000023"/>
    <n v="636"/>
    <n v="3684031.5000000019"/>
    <n v="584"/>
    <n v="280"/>
    <n v="497"/>
    <n v="639"/>
    <n v="662"/>
  </r>
  <r>
    <x v="13"/>
    <n v="3252597"/>
    <x v="1"/>
    <n v="0"/>
    <m/>
    <n v="8524"/>
    <m/>
    <n v="8264"/>
    <m/>
    <n v="7924"/>
    <m/>
    <n v="8968"/>
    <m/>
    <n v="9056"/>
    <m/>
    <n v="9942"/>
    <m/>
    <n v="0"/>
    <m/>
    <n v="0"/>
    <m/>
    <n v="9362"/>
    <m/>
    <n v="10014"/>
    <n v="3939"/>
    <n v="8524"/>
    <n v="9942"/>
    <n v="10014"/>
  </r>
  <r>
    <x v="13"/>
    <n v="3252598"/>
    <x v="2"/>
    <n v="0"/>
    <m/>
    <n v="0"/>
    <m/>
    <n v="0"/>
    <m/>
    <n v="0"/>
    <m/>
    <n v="752"/>
    <m/>
    <n v="0"/>
    <m/>
    <n v="0"/>
    <m/>
    <n v="0"/>
    <m/>
    <n v="0"/>
    <m/>
    <n v="134"/>
    <m/>
    <n v="134"/>
    <n v="45"/>
    <n v="0"/>
    <n v="752"/>
    <n v="134"/>
  </r>
  <r>
    <x v="13"/>
    <n v="3252599"/>
    <x v="3"/>
    <n v="0"/>
    <m/>
    <n v="0"/>
    <m/>
    <n v="0"/>
    <m/>
    <n v="0"/>
    <m/>
    <n v="0"/>
    <m/>
    <n v="0"/>
    <m/>
    <n v="0"/>
    <m/>
    <n v="0"/>
    <m/>
    <n v="0"/>
    <m/>
    <n v="0"/>
    <m/>
    <n v="0"/>
    <n v="451"/>
    <n v="0"/>
    <n v="0"/>
    <n v="0"/>
  </r>
  <r>
    <x v="13"/>
    <n v="3252600"/>
    <x v="4"/>
    <n v="0"/>
    <m/>
    <n v="0"/>
    <m/>
    <n v="0"/>
    <m/>
    <n v="0"/>
    <m/>
    <n v="0"/>
    <m/>
    <n v="0"/>
    <m/>
    <n v="0"/>
    <m/>
    <n v="0"/>
    <m/>
    <n v="0"/>
    <m/>
    <n v="0"/>
    <m/>
    <n v="55"/>
    <n v="186"/>
    <n v="0"/>
    <n v="0"/>
    <n v="55"/>
  </r>
  <r>
    <x v="13"/>
    <n v="3252601"/>
    <x v="5"/>
    <n v="0"/>
    <m/>
    <n v="0"/>
    <m/>
    <n v="0"/>
    <m/>
    <n v="0"/>
    <m/>
    <n v="0"/>
    <m/>
    <n v="0"/>
    <m/>
    <n v="243"/>
    <m/>
    <n v="0"/>
    <m/>
    <n v="6000"/>
    <m/>
    <n v="2626"/>
    <m/>
    <n v="2626"/>
    <n v="243"/>
    <n v="0"/>
    <n v="243"/>
    <n v="6000"/>
  </r>
  <r>
    <x v="13"/>
    <n v="3252602"/>
    <x v="6"/>
    <n v="0"/>
    <m/>
    <n v="0"/>
    <m/>
    <n v="0"/>
    <m/>
    <n v="0"/>
    <m/>
    <n v="0"/>
    <m/>
    <n v="0"/>
    <m/>
    <n v="0"/>
    <m/>
    <n v="0"/>
    <m/>
    <n v="0"/>
    <m/>
    <n v="0"/>
    <m/>
    <n v="0"/>
    <n v="0"/>
    <n v="0"/>
    <n v="0"/>
    <n v="0"/>
  </r>
  <r>
    <x v="13"/>
    <n v="3252603"/>
    <x v="7"/>
    <n v="0"/>
    <m/>
    <n v="0"/>
    <m/>
    <n v="0"/>
    <m/>
    <n v="0"/>
    <m/>
    <n v="0"/>
    <m/>
    <n v="0"/>
    <m/>
    <n v="0"/>
    <m/>
    <n v="0"/>
    <m/>
    <n v="0"/>
    <m/>
    <n v="0"/>
    <m/>
    <n v="0"/>
    <n v="243"/>
    <n v="0"/>
    <n v="0"/>
    <n v="0"/>
  </r>
  <r>
    <x v="13"/>
    <n v="3252604"/>
    <x v="8"/>
    <n v="0"/>
    <m/>
    <n v="0"/>
    <m/>
    <n v="0"/>
    <m/>
    <n v="0"/>
    <m/>
    <n v="0"/>
    <m/>
    <n v="0"/>
    <m/>
    <n v="0"/>
    <m/>
    <n v="0"/>
    <m/>
    <n v="0"/>
    <m/>
    <n v="0"/>
    <m/>
    <n v="0"/>
    <n v="0"/>
    <n v="0"/>
    <n v="0"/>
    <n v="0"/>
  </r>
  <r>
    <x v="13"/>
    <n v="3252605"/>
    <x v="9"/>
    <n v="0"/>
    <m/>
    <n v="0"/>
    <m/>
    <n v="0"/>
    <m/>
    <n v="0"/>
    <m/>
    <n v="0"/>
    <m/>
    <n v="0"/>
    <m/>
    <n v="0"/>
    <m/>
    <n v="0"/>
    <m/>
    <n v="0"/>
    <m/>
    <n v="0"/>
    <m/>
    <n v="381"/>
    <n v="0"/>
    <n v="0"/>
    <n v="0"/>
    <n v="381"/>
  </r>
  <r>
    <x v="13"/>
    <n v="3252606"/>
    <x v="10"/>
    <n v="0"/>
    <m/>
    <n v="0"/>
    <m/>
    <n v="0"/>
    <m/>
    <n v="0"/>
    <m/>
    <n v="0"/>
    <m/>
    <n v="0"/>
    <m/>
    <n v="0"/>
    <m/>
    <n v="0"/>
    <m/>
    <n v="0"/>
    <m/>
    <n v="0"/>
    <m/>
    <n v="0"/>
    <n v="0"/>
    <n v="0"/>
    <n v="0"/>
    <n v="0"/>
  </r>
  <r>
    <x v="13"/>
    <n v="3252607"/>
    <x v="11"/>
    <n v="0"/>
    <m/>
    <n v="0"/>
    <m/>
    <n v="0"/>
    <m/>
    <n v="0"/>
    <m/>
    <n v="0"/>
    <m/>
    <n v="0"/>
    <m/>
    <n v="549"/>
    <m/>
    <n v="0"/>
    <m/>
    <n v="0"/>
    <m/>
    <n v="298"/>
    <m/>
    <n v="296"/>
    <n v="0"/>
    <n v="0"/>
    <n v="549"/>
    <n v="298"/>
  </r>
  <r>
    <x v="13"/>
    <n v="3252608"/>
    <x v="12"/>
    <n v="0"/>
    <m/>
    <n v="0"/>
    <m/>
    <n v="0"/>
    <m/>
    <n v="0"/>
    <m/>
    <n v="0"/>
    <m/>
    <n v="0"/>
    <m/>
    <n v="0"/>
    <m/>
    <n v="0"/>
    <m/>
    <n v="0"/>
    <m/>
    <n v="0"/>
    <m/>
    <n v="0"/>
    <n v="0"/>
    <n v="0"/>
    <n v="0"/>
    <n v="0"/>
  </r>
  <r>
    <x v="13"/>
    <n v="3252609"/>
    <x v="13"/>
    <n v="0"/>
    <m/>
    <n v="0"/>
    <m/>
    <n v="0"/>
    <m/>
    <n v="0"/>
    <m/>
    <n v="0"/>
    <m/>
    <n v="0"/>
    <m/>
    <n v="0"/>
    <m/>
    <n v="0"/>
    <m/>
    <n v="0"/>
    <m/>
    <n v="137"/>
    <m/>
    <n v="141"/>
    <n v="113"/>
    <n v="0"/>
    <n v="0"/>
    <n v="141"/>
  </r>
  <r>
    <x v="13"/>
    <n v="3252610"/>
    <x v="14"/>
    <n v="0"/>
    <m/>
    <n v="0"/>
    <m/>
    <n v="0"/>
    <m/>
    <n v="0"/>
    <m/>
    <n v="0"/>
    <m/>
    <n v="0"/>
    <m/>
    <n v="0"/>
    <m/>
    <n v="0"/>
    <m/>
    <n v="0"/>
    <m/>
    <n v="0"/>
    <m/>
    <n v="0"/>
    <n v="0"/>
    <n v="0"/>
    <n v="0"/>
    <n v="0"/>
  </r>
  <r>
    <x v="13"/>
    <n v="3252611"/>
    <x v="15"/>
    <n v="0"/>
    <m/>
    <n v="0"/>
    <m/>
    <n v="0"/>
    <m/>
    <n v="0"/>
    <m/>
    <n v="0"/>
    <m/>
    <n v="0"/>
    <m/>
    <n v="0"/>
    <m/>
    <n v="0"/>
    <m/>
    <n v="0"/>
    <m/>
    <n v="99"/>
    <m/>
    <n v="96"/>
    <n v="86"/>
    <n v="0"/>
    <n v="0"/>
    <n v="99"/>
  </r>
  <r>
    <x v="13"/>
    <n v="3252612"/>
    <x v="16"/>
    <n v="0"/>
    <m/>
    <n v="0"/>
    <m/>
    <n v="0"/>
    <m/>
    <n v="0"/>
    <m/>
    <n v="0"/>
    <m/>
    <n v="0"/>
    <m/>
    <n v="0"/>
    <m/>
    <n v="0"/>
    <m/>
    <n v="0"/>
    <m/>
    <n v="0"/>
    <m/>
    <n v="0"/>
    <n v="3563"/>
    <n v="0"/>
    <n v="0"/>
    <n v="0"/>
  </r>
  <r>
    <x v="13"/>
    <n v="3252613"/>
    <x v="17"/>
    <n v="0"/>
    <m/>
    <n v="0"/>
    <m/>
    <n v="0"/>
    <m/>
    <n v="0"/>
    <m/>
    <n v="0"/>
    <m/>
    <n v="0"/>
    <m/>
    <n v="0"/>
    <m/>
    <n v="0"/>
    <m/>
    <n v="0"/>
    <m/>
    <n v="0"/>
    <m/>
    <n v="0"/>
    <n v="0"/>
    <n v="0"/>
    <n v="0"/>
    <n v="0"/>
  </r>
  <r>
    <x v="13"/>
    <n v="3252614"/>
    <x v="18"/>
    <n v="0"/>
    <m/>
    <n v="0"/>
    <m/>
    <n v="0"/>
    <m/>
    <n v="0"/>
    <m/>
    <n v="0"/>
    <m/>
    <n v="0"/>
    <m/>
    <n v="0"/>
    <m/>
    <n v="0"/>
    <m/>
    <n v="0"/>
    <m/>
    <n v="267"/>
    <m/>
    <n v="267"/>
    <n v="549"/>
    <n v="0"/>
    <n v="0"/>
    <n v="267"/>
  </r>
  <r>
    <x v="13"/>
    <n v="3252615"/>
    <x v="19"/>
    <n v="0"/>
    <m/>
    <n v="0"/>
    <m/>
    <n v="0"/>
    <m/>
    <n v="0"/>
    <m/>
    <n v="0"/>
    <m/>
    <n v="0"/>
    <m/>
    <n v="0"/>
    <m/>
    <n v="0"/>
    <m/>
    <n v="0"/>
    <m/>
    <n v="0"/>
    <m/>
    <n v="0"/>
    <n v="0"/>
    <n v="0"/>
    <n v="0"/>
    <n v="0"/>
  </r>
  <r>
    <x v="13"/>
    <n v="3252616"/>
    <x v="20"/>
    <n v="0"/>
    <m/>
    <n v="0"/>
    <m/>
    <n v="0"/>
    <m/>
    <n v="0"/>
    <m/>
    <n v="0"/>
    <m/>
    <n v="0"/>
    <m/>
    <n v="0"/>
    <m/>
    <n v="0"/>
    <m/>
    <n v="0"/>
    <m/>
    <n v="131"/>
    <m/>
    <n v="130"/>
    <n v="137"/>
    <n v="0"/>
    <n v="0"/>
    <n v="131"/>
  </r>
  <r>
    <x v="13"/>
    <n v="3252617"/>
    <x v="21"/>
    <n v="0"/>
    <m/>
    <n v="0"/>
    <m/>
    <n v="0"/>
    <m/>
    <n v="0"/>
    <m/>
    <n v="0"/>
    <m/>
    <n v="0"/>
    <m/>
    <n v="0"/>
    <m/>
    <n v="0"/>
    <m/>
    <n v="0"/>
    <m/>
    <n v="6"/>
    <m/>
    <n v="6"/>
    <n v="0"/>
    <n v="0"/>
    <n v="0"/>
    <n v="6"/>
  </r>
  <r>
    <x v="13"/>
    <n v="3252618"/>
    <x v="22"/>
    <n v="0"/>
    <m/>
    <n v="0"/>
    <m/>
    <n v="0"/>
    <m/>
    <n v="0"/>
    <m/>
    <n v="0"/>
    <m/>
    <n v="0"/>
    <m/>
    <n v="0"/>
    <m/>
    <n v="0"/>
    <m/>
    <n v="0"/>
    <m/>
    <n v="0"/>
    <m/>
    <n v="0"/>
    <n v="0"/>
    <n v="0"/>
    <n v="0"/>
    <n v="0"/>
  </r>
  <r>
    <x v="13"/>
    <n v="3252619"/>
    <x v="23"/>
    <n v="0"/>
    <m/>
    <n v="0"/>
    <m/>
    <n v="0"/>
    <m/>
    <n v="0"/>
    <m/>
    <n v="0"/>
    <m/>
    <n v="0"/>
    <m/>
    <n v="0"/>
    <m/>
    <n v="0"/>
    <m/>
    <n v="0"/>
    <m/>
    <n v="0"/>
    <m/>
    <n v="0"/>
    <n v="0"/>
    <n v="0"/>
    <n v="0"/>
    <n v="0"/>
  </r>
  <r>
    <x v="14"/>
    <n v="94451279.50000006"/>
    <x v="0"/>
    <n v="0"/>
    <n v="97084366.00000003"/>
    <n v="0"/>
    <n v="99746766.49999994"/>
    <n v="0"/>
    <n v="102471895.49999996"/>
    <n v="0"/>
    <n v="105293228.50000003"/>
    <n v="296"/>
    <n v="108197949.49999994"/>
    <n v="0"/>
    <n v="111129438.00000001"/>
    <n v="17026"/>
    <n v="114120593.49999996"/>
    <n v="11734"/>
    <n v="117190910.99999994"/>
    <n v="27155"/>
    <n v="120283026.00000006"/>
    <n v="25424"/>
    <n v="123379924.50000004"/>
    <n v="35754"/>
    <n v="11263"/>
    <n v="0"/>
    <n v="17026"/>
    <n v="35754"/>
  </r>
  <r>
    <x v="14"/>
    <n v="94451280.500000104"/>
    <x v="1"/>
    <n v="0"/>
    <m/>
    <n v="0"/>
    <m/>
    <n v="0"/>
    <m/>
    <n v="0"/>
    <m/>
    <n v="0"/>
    <m/>
    <n v="176328"/>
    <m/>
    <n v="123544"/>
    <m/>
    <n v="0"/>
    <m/>
    <n v="139648"/>
    <m/>
    <n v="139648"/>
    <m/>
    <n v="140492"/>
    <n v="61772"/>
    <n v="0"/>
    <n v="176328"/>
    <n v="140492"/>
  </r>
  <r>
    <x v="14"/>
    <n v="94451281.500000104"/>
    <x v="2"/>
    <n v="0"/>
    <m/>
    <n v="13850"/>
    <m/>
    <n v="0"/>
    <m/>
    <n v="0"/>
    <m/>
    <n v="24138"/>
    <m/>
    <n v="0"/>
    <m/>
    <n v="32318"/>
    <m/>
    <n v="0"/>
    <m/>
    <n v="40710"/>
    <m/>
    <n v="40710"/>
    <m/>
    <n v="43986"/>
    <n v="16161"/>
    <n v="13850"/>
    <n v="32318"/>
    <n v="43986"/>
  </r>
  <r>
    <x v="14"/>
    <n v="94451282.500000104"/>
    <x v="3"/>
    <n v="328"/>
    <m/>
    <n v="0"/>
    <m/>
    <n v="7329"/>
    <m/>
    <n v="894"/>
    <m/>
    <n v="2"/>
    <m/>
    <n v="0"/>
    <m/>
    <n v="995"/>
    <m/>
    <n v="15498"/>
    <m/>
    <n v="17331"/>
    <m/>
    <n v="0"/>
    <m/>
    <n v="75"/>
    <n v="10752"/>
    <n v="7329"/>
    <n v="15498"/>
    <n v="17331"/>
  </r>
  <r>
    <x v="14"/>
    <n v="94451283.500000104"/>
    <x v="4"/>
    <n v="19"/>
    <m/>
    <n v="0"/>
    <m/>
    <n v="1032"/>
    <m/>
    <n v="275"/>
    <m/>
    <n v="2"/>
    <m/>
    <n v="0"/>
    <m/>
    <n v="268"/>
    <m/>
    <n v="0"/>
    <m/>
    <n v="16139"/>
    <m/>
    <n v="0"/>
    <m/>
    <n v="121"/>
    <n v="1889"/>
    <n v="1032"/>
    <n v="268"/>
    <n v="16139"/>
  </r>
  <r>
    <x v="14"/>
    <n v="94451284.500000104"/>
    <x v="5"/>
    <n v="0"/>
    <m/>
    <n v="0"/>
    <m/>
    <n v="0"/>
    <m/>
    <n v="0"/>
    <m/>
    <n v="0"/>
    <m/>
    <n v="0"/>
    <m/>
    <n v="37259"/>
    <m/>
    <n v="0"/>
    <m/>
    <n v="42630"/>
    <m/>
    <n v="42630"/>
    <m/>
    <n v="41101"/>
    <n v="37259"/>
    <n v="0"/>
    <n v="37259"/>
    <n v="42630"/>
  </r>
  <r>
    <x v="14"/>
    <n v="94451285.500000104"/>
    <x v="6"/>
    <n v="50"/>
    <m/>
    <n v="0"/>
    <m/>
    <n v="0"/>
    <m/>
    <n v="35"/>
    <m/>
    <n v="0"/>
    <m/>
    <n v="0"/>
    <m/>
    <n v="1385"/>
    <m/>
    <n v="0"/>
    <m/>
    <n v="0"/>
    <m/>
    <n v="0"/>
    <m/>
    <n v="0"/>
    <n v="147"/>
    <n v="50"/>
    <n v="1385"/>
    <n v="0"/>
  </r>
  <r>
    <x v="14"/>
    <n v="94451286.500000104"/>
    <x v="7"/>
    <n v="461"/>
    <m/>
    <n v="0"/>
    <m/>
    <n v="2970"/>
    <m/>
    <n v="0"/>
    <m/>
    <n v="64"/>
    <m/>
    <n v="0"/>
    <m/>
    <n v="665"/>
    <m/>
    <n v="0"/>
    <m/>
    <n v="1234"/>
    <m/>
    <n v="0"/>
    <m/>
    <n v="0"/>
    <n v="2662"/>
    <n v="2970"/>
    <n v="665"/>
    <n v="1234"/>
  </r>
  <r>
    <x v="14"/>
    <n v="94451287.500000104"/>
    <x v="8"/>
    <n v="0"/>
    <m/>
    <n v="0"/>
    <m/>
    <n v="0"/>
    <m/>
    <n v="0"/>
    <m/>
    <n v="0"/>
    <m/>
    <n v="0"/>
    <m/>
    <n v="0"/>
    <m/>
    <n v="0"/>
    <m/>
    <n v="0"/>
    <m/>
    <n v="0"/>
    <m/>
    <n v="0"/>
    <n v="0"/>
    <n v="0"/>
    <n v="0"/>
    <n v="0"/>
  </r>
  <r>
    <x v="14"/>
    <n v="94451288.500000104"/>
    <x v="9"/>
    <n v="0"/>
    <m/>
    <n v="0"/>
    <m/>
    <n v="0"/>
    <m/>
    <n v="0"/>
    <m/>
    <n v="0"/>
    <m/>
    <n v="0"/>
    <m/>
    <n v="0"/>
    <m/>
    <n v="0"/>
    <m/>
    <n v="0"/>
    <m/>
    <n v="0"/>
    <m/>
    <n v="0"/>
    <n v="4365"/>
    <n v="0"/>
    <n v="0"/>
    <n v="0"/>
  </r>
  <r>
    <x v="14"/>
    <n v="94451289.500000104"/>
    <x v="10"/>
    <n v="0"/>
    <m/>
    <n v="0"/>
    <m/>
    <n v="0"/>
    <m/>
    <n v="0"/>
    <m/>
    <n v="0"/>
    <m/>
    <n v="0"/>
    <m/>
    <n v="0"/>
    <m/>
    <n v="0"/>
    <m/>
    <n v="22"/>
    <m/>
    <n v="17"/>
    <m/>
    <n v="130"/>
    <n v="52"/>
    <n v="0"/>
    <n v="0"/>
    <n v="130"/>
  </r>
  <r>
    <x v="14"/>
    <n v="94451290.500000104"/>
    <x v="11"/>
    <n v="0"/>
    <m/>
    <n v="0"/>
    <m/>
    <n v="0"/>
    <m/>
    <n v="0"/>
    <m/>
    <n v="0"/>
    <m/>
    <n v="0"/>
    <m/>
    <n v="10450"/>
    <m/>
    <n v="0"/>
    <m/>
    <n v="8005"/>
    <m/>
    <n v="0"/>
    <m/>
    <n v="0"/>
    <n v="672"/>
    <n v="0"/>
    <n v="10450"/>
    <n v="8005"/>
  </r>
  <r>
    <x v="14"/>
    <n v="94451291.500000104"/>
    <x v="12"/>
    <n v="0"/>
    <m/>
    <n v="0"/>
    <m/>
    <n v="0"/>
    <m/>
    <n v="0"/>
    <m/>
    <n v="0"/>
    <m/>
    <n v="0"/>
    <m/>
    <n v="0"/>
    <m/>
    <n v="0"/>
    <m/>
    <n v="0"/>
    <m/>
    <n v="0"/>
    <m/>
    <n v="0"/>
    <n v="11536"/>
    <n v="0"/>
    <n v="0"/>
    <n v="0"/>
  </r>
  <r>
    <x v="14"/>
    <n v="94451292.500000104"/>
    <x v="13"/>
    <n v="0"/>
    <m/>
    <n v="0"/>
    <m/>
    <n v="0"/>
    <m/>
    <n v="0"/>
    <m/>
    <n v="0"/>
    <m/>
    <n v="0"/>
    <m/>
    <n v="0"/>
    <m/>
    <n v="0"/>
    <m/>
    <n v="0"/>
    <m/>
    <n v="0"/>
    <m/>
    <n v="1469"/>
    <n v="1041"/>
    <n v="0"/>
    <n v="0"/>
    <n v="1469"/>
  </r>
  <r>
    <x v="14"/>
    <n v="94451293.500000104"/>
    <x v="14"/>
    <n v="0"/>
    <m/>
    <n v="0"/>
    <m/>
    <n v="0"/>
    <m/>
    <n v="0"/>
    <m/>
    <n v="0"/>
    <m/>
    <n v="0"/>
    <m/>
    <n v="0"/>
    <m/>
    <n v="0"/>
    <m/>
    <n v="0"/>
    <m/>
    <n v="0"/>
    <m/>
    <n v="0"/>
    <n v="2953"/>
    <n v="0"/>
    <n v="0"/>
    <n v="0"/>
  </r>
  <r>
    <x v="14"/>
    <n v="94451294.500000104"/>
    <x v="15"/>
    <n v="0"/>
    <m/>
    <n v="0"/>
    <m/>
    <n v="0"/>
    <m/>
    <n v="0"/>
    <m/>
    <n v="0"/>
    <m/>
    <n v="0"/>
    <m/>
    <n v="0"/>
    <m/>
    <n v="0"/>
    <m/>
    <n v="654"/>
    <m/>
    <n v="567"/>
    <m/>
    <n v="383"/>
    <n v="330"/>
    <n v="0"/>
    <n v="0"/>
    <n v="654"/>
  </r>
  <r>
    <x v="14"/>
    <n v="94451295.500000104"/>
    <x v="16"/>
    <n v="0"/>
    <m/>
    <n v="0"/>
    <m/>
    <n v="0"/>
    <m/>
    <n v="0"/>
    <m/>
    <n v="0"/>
    <m/>
    <n v="0"/>
    <m/>
    <n v="0"/>
    <m/>
    <n v="0"/>
    <m/>
    <n v="0"/>
    <m/>
    <n v="0"/>
    <m/>
    <n v="0"/>
    <n v="73174"/>
    <n v="0"/>
    <n v="0"/>
    <n v="0"/>
  </r>
  <r>
    <x v="14"/>
    <n v="94451296.500000104"/>
    <x v="17"/>
    <n v="0"/>
    <m/>
    <n v="0"/>
    <m/>
    <n v="0"/>
    <m/>
    <n v="0"/>
    <m/>
    <n v="0"/>
    <m/>
    <n v="0"/>
    <m/>
    <n v="0"/>
    <m/>
    <n v="0"/>
    <m/>
    <n v="0"/>
    <m/>
    <n v="0"/>
    <m/>
    <n v="0"/>
    <n v="2872"/>
    <n v="0"/>
    <n v="0"/>
    <n v="0"/>
  </r>
  <r>
    <x v="14"/>
    <n v="94451297.500000104"/>
    <x v="18"/>
    <n v="0"/>
    <m/>
    <n v="0"/>
    <m/>
    <n v="0"/>
    <m/>
    <n v="0"/>
    <m/>
    <n v="0"/>
    <m/>
    <n v="0"/>
    <m/>
    <n v="0"/>
    <m/>
    <n v="0"/>
    <m/>
    <n v="4752"/>
    <m/>
    <n v="0"/>
    <m/>
    <n v="13915"/>
    <n v="10450"/>
    <n v="0"/>
    <n v="0"/>
    <n v="13915"/>
  </r>
  <r>
    <x v="14"/>
    <n v="94451298.500000104"/>
    <x v="19"/>
    <n v="0"/>
    <m/>
    <n v="0"/>
    <m/>
    <n v="0"/>
    <m/>
    <n v="0"/>
    <m/>
    <n v="0"/>
    <m/>
    <n v="0"/>
    <m/>
    <n v="0"/>
    <m/>
    <n v="0"/>
    <m/>
    <n v="1234"/>
    <m/>
    <n v="0"/>
    <m/>
    <n v="1205"/>
    <n v="1285"/>
    <n v="0"/>
    <n v="0"/>
    <n v="1234"/>
  </r>
  <r>
    <x v="14"/>
    <n v="94451299.500000104"/>
    <x v="20"/>
    <n v="0"/>
    <m/>
    <n v="0"/>
    <m/>
    <n v="0"/>
    <m/>
    <n v="0"/>
    <m/>
    <n v="0"/>
    <m/>
    <n v="0"/>
    <m/>
    <n v="0"/>
    <m/>
    <n v="0"/>
    <m/>
    <n v="249"/>
    <m/>
    <n v="0"/>
    <m/>
    <n v="231"/>
    <n v="258"/>
    <n v="0"/>
    <n v="0"/>
    <n v="249"/>
  </r>
  <r>
    <x v="14"/>
    <n v="94451300.500000104"/>
    <x v="21"/>
    <n v="0"/>
    <m/>
    <n v="0"/>
    <m/>
    <n v="0"/>
    <m/>
    <n v="0"/>
    <m/>
    <n v="0"/>
    <m/>
    <n v="0"/>
    <m/>
    <n v="0"/>
    <m/>
    <n v="0"/>
    <m/>
    <n v="0"/>
    <m/>
    <n v="0"/>
    <m/>
    <n v="0"/>
    <n v="0"/>
    <n v="0"/>
    <n v="0"/>
    <n v="0"/>
  </r>
  <r>
    <x v="14"/>
    <n v="94451301.500000104"/>
    <x v="22"/>
    <n v="0"/>
    <m/>
    <n v="0"/>
    <m/>
    <n v="0"/>
    <m/>
    <n v="0"/>
    <m/>
    <n v="0"/>
    <m/>
    <n v="0"/>
    <m/>
    <n v="0"/>
    <m/>
    <n v="0"/>
    <m/>
    <n v="4"/>
    <m/>
    <n v="0"/>
    <m/>
    <n v="0"/>
    <n v="0"/>
    <n v="0"/>
    <n v="0"/>
    <n v="4"/>
  </r>
  <r>
    <x v="14"/>
    <n v="94451302.500000104"/>
    <x v="23"/>
    <n v="0"/>
    <m/>
    <n v="0"/>
    <m/>
    <n v="0"/>
    <m/>
    <n v="0"/>
    <m/>
    <n v="0"/>
    <m/>
    <n v="0"/>
    <m/>
    <n v="0"/>
    <m/>
    <n v="0"/>
    <m/>
    <n v="0"/>
    <m/>
    <n v="0"/>
    <m/>
    <n v="0"/>
    <n v="0"/>
    <n v="0"/>
    <n v="0"/>
    <n v="0"/>
  </r>
  <r>
    <x v="15"/>
    <n v="1836705"/>
    <x v="0"/>
    <n v="0"/>
    <n v="1902226.5000000007"/>
    <n v="0"/>
    <n v="1966855.5"/>
    <n v="0"/>
    <n v="2028517.0000000007"/>
    <n v="0"/>
    <n v="2086205.5000000009"/>
    <n v="1430"/>
    <n v="2140215.5000000005"/>
    <n v="3543"/>
    <n v="2192011.5"/>
    <n v="2736"/>
    <n v="2242785.5000000005"/>
    <n v="3587"/>
    <n v="2292572.9999999981"/>
    <n v="3559"/>
    <n v="2341178.9999999986"/>
    <n v="0"/>
    <n v="2388992.5000000005"/>
    <n v="2832"/>
    <n v="1368"/>
    <n v="0"/>
    <n v="3587"/>
    <n v="3559"/>
  </r>
  <r>
    <x v="15"/>
    <n v="1836706"/>
    <x v="1"/>
    <n v="0"/>
    <m/>
    <n v="0"/>
    <m/>
    <n v="0"/>
    <m/>
    <n v="0"/>
    <m/>
    <n v="9192"/>
    <m/>
    <n v="10700"/>
    <m/>
    <n v="12170"/>
    <m/>
    <n v="10179"/>
    <m/>
    <n v="10963"/>
    <m/>
    <n v="0"/>
    <m/>
    <n v="8554"/>
    <n v="5352"/>
    <n v="0"/>
    <n v="12170"/>
    <n v="10963"/>
  </r>
  <r>
    <x v="15"/>
    <n v="1836707"/>
    <x v="2"/>
    <n v="0"/>
    <m/>
    <n v="874"/>
    <m/>
    <n v="0"/>
    <m/>
    <n v="0"/>
    <m/>
    <n v="1026"/>
    <m/>
    <n v="1466"/>
    <m/>
    <n v="0"/>
    <m/>
    <n v="1214"/>
    <m/>
    <n v="1324"/>
    <m/>
    <n v="0"/>
    <m/>
    <n v="1840"/>
    <n v="733"/>
    <n v="874"/>
    <n v="1466"/>
    <n v="1840"/>
  </r>
  <r>
    <x v="15"/>
    <n v="1836708"/>
    <x v="3"/>
    <n v="0"/>
    <m/>
    <n v="98"/>
    <m/>
    <n v="2131"/>
    <m/>
    <n v="0"/>
    <m/>
    <n v="78"/>
    <m/>
    <n v="2917"/>
    <m/>
    <n v="596"/>
    <m/>
    <n v="0"/>
    <m/>
    <n v="0"/>
    <m/>
    <n v="0"/>
    <m/>
    <n v="0"/>
    <n v="227"/>
    <n v="2131"/>
    <n v="2917"/>
    <n v="0"/>
  </r>
  <r>
    <x v="15"/>
    <n v="1836709"/>
    <x v="4"/>
    <n v="0"/>
    <m/>
    <n v="25"/>
    <m/>
    <n v="396"/>
    <m/>
    <n v="0"/>
    <m/>
    <n v="23"/>
    <m/>
    <n v="246"/>
    <m/>
    <n v="6"/>
    <m/>
    <n v="0"/>
    <m/>
    <n v="0"/>
    <m/>
    <n v="0"/>
    <m/>
    <n v="0"/>
    <n v="40"/>
    <n v="396"/>
    <n v="246"/>
    <n v="0"/>
  </r>
  <r>
    <x v="15"/>
    <n v="1836710"/>
    <x v="5"/>
    <n v="0"/>
    <m/>
    <n v="0"/>
    <m/>
    <n v="0"/>
    <m/>
    <n v="0"/>
    <m/>
    <n v="0"/>
    <m/>
    <n v="0"/>
    <m/>
    <n v="0"/>
    <m/>
    <n v="117"/>
    <m/>
    <n v="110"/>
    <m/>
    <n v="0"/>
    <m/>
    <n v="98"/>
    <n v="0"/>
    <n v="0"/>
    <n v="117"/>
    <n v="110"/>
  </r>
  <r>
    <x v="15"/>
    <n v="1836711"/>
    <x v="6"/>
    <n v="0"/>
    <m/>
    <n v="0"/>
    <m/>
    <n v="999"/>
    <m/>
    <n v="0"/>
    <m/>
    <n v="4"/>
    <m/>
    <n v="1985"/>
    <m/>
    <n v="0"/>
    <m/>
    <n v="0"/>
    <m/>
    <n v="0"/>
    <m/>
    <n v="0"/>
    <m/>
    <n v="0"/>
    <n v="6"/>
    <n v="999"/>
    <n v="1985"/>
    <n v="0"/>
  </r>
  <r>
    <x v="15"/>
    <n v="1836712"/>
    <x v="7"/>
    <n v="0"/>
    <m/>
    <n v="296"/>
    <m/>
    <n v="6"/>
    <m/>
    <n v="0"/>
    <m/>
    <n v="29"/>
    <m/>
    <n v="5029"/>
    <m/>
    <n v="0"/>
    <m/>
    <n v="0"/>
    <m/>
    <n v="0"/>
    <m/>
    <n v="0"/>
    <m/>
    <n v="0"/>
    <n v="312"/>
    <n v="296"/>
    <n v="5029"/>
    <n v="0"/>
  </r>
  <r>
    <x v="15"/>
    <n v="1836713"/>
    <x v="8"/>
    <n v="0"/>
    <m/>
    <n v="0"/>
    <m/>
    <n v="0"/>
    <m/>
    <n v="0"/>
    <m/>
    <n v="0"/>
    <m/>
    <n v="0"/>
    <m/>
    <n v="0"/>
    <m/>
    <n v="40"/>
    <m/>
    <n v="18"/>
    <m/>
    <n v="0"/>
    <m/>
    <n v="70"/>
    <n v="86"/>
    <n v="0"/>
    <n v="40"/>
    <n v="70"/>
  </r>
  <r>
    <x v="15"/>
    <n v="1836714"/>
    <x v="9"/>
    <n v="0"/>
    <m/>
    <n v="0"/>
    <m/>
    <n v="0"/>
    <m/>
    <n v="0"/>
    <m/>
    <n v="0"/>
    <m/>
    <n v="0"/>
    <m/>
    <n v="0"/>
    <m/>
    <n v="344"/>
    <m/>
    <n v="390"/>
    <m/>
    <n v="0"/>
    <m/>
    <n v="0"/>
    <n v="318"/>
    <n v="0"/>
    <n v="344"/>
    <n v="390"/>
  </r>
  <r>
    <x v="15"/>
    <n v="1836715"/>
    <x v="10"/>
    <n v="0"/>
    <m/>
    <n v="0"/>
    <m/>
    <n v="0"/>
    <m/>
    <n v="0"/>
    <m/>
    <n v="33"/>
    <m/>
    <n v="46"/>
    <m/>
    <n v="0"/>
    <m/>
    <n v="9"/>
    <m/>
    <n v="9"/>
    <m/>
    <n v="0"/>
    <m/>
    <n v="17"/>
    <n v="46"/>
    <n v="0"/>
    <n v="46"/>
    <n v="17"/>
  </r>
  <r>
    <x v="15"/>
    <n v="1836716"/>
    <x v="11"/>
    <n v="0"/>
    <m/>
    <n v="0"/>
    <m/>
    <n v="0"/>
    <m/>
    <n v="0"/>
    <m/>
    <n v="0"/>
    <m/>
    <n v="0"/>
    <m/>
    <n v="439"/>
    <m/>
    <n v="454"/>
    <m/>
    <n v="469"/>
    <m/>
    <n v="0"/>
    <m/>
    <n v="231"/>
    <n v="83"/>
    <n v="0"/>
    <n v="454"/>
    <n v="469"/>
  </r>
  <r>
    <x v="15"/>
    <n v="1836717"/>
    <x v="12"/>
    <n v="0"/>
    <m/>
    <n v="0"/>
    <m/>
    <n v="0"/>
    <m/>
    <n v="0"/>
    <m/>
    <n v="0"/>
    <m/>
    <n v="18"/>
    <m/>
    <n v="0"/>
    <m/>
    <n v="14"/>
    <m/>
    <n v="14"/>
    <m/>
    <n v="0"/>
    <m/>
    <n v="0"/>
    <n v="18"/>
    <n v="0"/>
    <n v="18"/>
    <n v="14"/>
  </r>
  <r>
    <x v="15"/>
    <n v="1836718"/>
    <x v="13"/>
    <n v="0"/>
    <m/>
    <n v="0"/>
    <m/>
    <n v="0"/>
    <m/>
    <n v="0"/>
    <m/>
    <n v="66"/>
    <m/>
    <n v="93"/>
    <m/>
    <n v="0"/>
    <m/>
    <n v="78"/>
    <m/>
    <n v="82"/>
    <m/>
    <n v="0"/>
    <m/>
    <n v="478"/>
    <n v="93"/>
    <n v="0"/>
    <n v="93"/>
    <n v="478"/>
  </r>
  <r>
    <x v="15"/>
    <n v="1836719"/>
    <x v="14"/>
    <n v="0"/>
    <m/>
    <n v="0"/>
    <m/>
    <n v="0"/>
    <m/>
    <n v="0"/>
    <m/>
    <n v="0"/>
    <m/>
    <n v="32"/>
    <m/>
    <n v="0"/>
    <m/>
    <n v="1"/>
    <m/>
    <n v="0"/>
    <m/>
    <n v="0"/>
    <m/>
    <n v="0"/>
    <n v="127"/>
    <n v="0"/>
    <n v="32"/>
    <n v="0"/>
  </r>
  <r>
    <x v="15"/>
    <n v="1836720"/>
    <x v="15"/>
    <n v="0"/>
    <m/>
    <n v="0"/>
    <m/>
    <n v="0"/>
    <m/>
    <n v="0"/>
    <m/>
    <n v="0"/>
    <m/>
    <n v="5"/>
    <m/>
    <n v="0"/>
    <m/>
    <n v="9"/>
    <m/>
    <n v="9"/>
    <m/>
    <n v="0"/>
    <m/>
    <n v="0"/>
    <n v="5"/>
    <n v="0"/>
    <n v="9"/>
    <n v="9"/>
  </r>
  <r>
    <x v="15"/>
    <n v="1836721"/>
    <x v="16"/>
    <n v="0"/>
    <m/>
    <n v="0"/>
    <m/>
    <n v="0"/>
    <m/>
    <n v="0"/>
    <m/>
    <n v="0"/>
    <m/>
    <n v="0"/>
    <m/>
    <n v="0"/>
    <m/>
    <n v="942"/>
    <m/>
    <n v="947"/>
    <m/>
    <n v="0"/>
    <m/>
    <n v="0"/>
    <n v="1939"/>
    <n v="0"/>
    <n v="942"/>
    <n v="947"/>
  </r>
  <r>
    <x v="15"/>
    <n v="1836722"/>
    <x v="17"/>
    <n v="0"/>
    <m/>
    <n v="0"/>
    <m/>
    <n v="0"/>
    <m/>
    <n v="0"/>
    <m/>
    <n v="0"/>
    <m/>
    <n v="0"/>
    <m/>
    <n v="0"/>
    <m/>
    <n v="2595"/>
    <m/>
    <n v="2714"/>
    <m/>
    <n v="0"/>
    <m/>
    <n v="0"/>
    <n v="62"/>
    <n v="0"/>
    <n v="2595"/>
    <n v="2714"/>
  </r>
  <r>
    <x v="15"/>
    <n v="1836723"/>
    <x v="18"/>
    <n v="0"/>
    <m/>
    <n v="0"/>
    <m/>
    <n v="0"/>
    <m/>
    <n v="0"/>
    <m/>
    <n v="287"/>
    <m/>
    <n v="442"/>
    <m/>
    <n v="0"/>
    <m/>
    <n v="72"/>
    <m/>
    <n v="74"/>
    <m/>
    <n v="0"/>
    <m/>
    <n v="228"/>
    <n v="439"/>
    <n v="0"/>
    <n v="442"/>
    <n v="228"/>
  </r>
  <r>
    <x v="15"/>
    <n v="1836724"/>
    <x v="19"/>
    <n v="0"/>
    <m/>
    <n v="0"/>
    <m/>
    <n v="0"/>
    <m/>
    <n v="0"/>
    <m/>
    <n v="0"/>
    <m/>
    <n v="58"/>
    <m/>
    <n v="0"/>
    <m/>
    <n v="703"/>
    <m/>
    <n v="615"/>
    <m/>
    <n v="0"/>
    <m/>
    <n v="84"/>
    <n v="58"/>
    <n v="0"/>
    <n v="703"/>
    <n v="615"/>
  </r>
  <r>
    <x v="15"/>
    <n v="1836725"/>
    <x v="20"/>
    <n v="0"/>
    <m/>
    <n v="0"/>
    <m/>
    <n v="0"/>
    <m/>
    <n v="0"/>
    <m/>
    <n v="0"/>
    <m/>
    <n v="43"/>
    <m/>
    <n v="0"/>
    <m/>
    <n v="43"/>
    <m/>
    <n v="32"/>
    <m/>
    <n v="0"/>
    <m/>
    <n v="2"/>
    <n v="43"/>
    <n v="0"/>
    <n v="43"/>
    <n v="32"/>
  </r>
  <r>
    <x v="15"/>
    <n v="1836726"/>
    <x v="21"/>
    <n v="0"/>
    <m/>
    <n v="0"/>
    <m/>
    <n v="0"/>
    <m/>
    <n v="0"/>
    <m/>
    <n v="0"/>
    <m/>
    <n v="0"/>
    <m/>
    <n v="0"/>
    <m/>
    <n v="119"/>
    <m/>
    <n v="115"/>
    <m/>
    <n v="0"/>
    <m/>
    <n v="0"/>
    <n v="0"/>
    <n v="0"/>
    <n v="119"/>
    <n v="115"/>
  </r>
  <r>
    <x v="15"/>
    <n v="1836727"/>
    <x v="22"/>
    <n v="0"/>
    <m/>
    <n v="0"/>
    <m/>
    <n v="0"/>
    <m/>
    <n v="0"/>
    <m/>
    <n v="0"/>
    <m/>
    <n v="2"/>
    <m/>
    <n v="0"/>
    <m/>
    <n v="1"/>
    <m/>
    <n v="0"/>
    <m/>
    <n v="0"/>
    <m/>
    <n v="0"/>
    <n v="0"/>
    <n v="0"/>
    <n v="2"/>
    <n v="0"/>
  </r>
  <r>
    <x v="15"/>
    <n v="1836728"/>
    <x v="23"/>
    <n v="0"/>
    <m/>
    <n v="0"/>
    <m/>
    <n v="0"/>
    <m/>
    <n v="0"/>
    <m/>
    <n v="0"/>
    <m/>
    <n v="99"/>
    <m/>
    <n v="0"/>
    <m/>
    <n v="117"/>
    <m/>
    <n v="112"/>
    <m/>
    <n v="0"/>
    <m/>
    <n v="0"/>
    <n v="99"/>
    <n v="0"/>
    <n v="117"/>
    <n v="112"/>
  </r>
  <r>
    <x v="16"/>
    <n v="26858761.999999993"/>
    <x v="0"/>
    <n v="4972"/>
    <n v="27525596.999999989"/>
    <n v="5460"/>
    <n v="28196358.499999996"/>
    <n v="6032"/>
    <n v="28870939.000000007"/>
    <n v="6526"/>
    <n v="29554302.499999993"/>
    <n v="7236"/>
    <n v="30222261.500000004"/>
    <n v="5358"/>
    <n v="30870640.5"/>
    <n v="8812"/>
    <n v="31522289.999999996"/>
    <n v="6634"/>
    <n v="32180401.499999981"/>
    <n v="10570"/>
    <n v="32833031.499999996"/>
    <n v="8338"/>
    <n v="33475870.500000011"/>
    <n v="9452"/>
    <n v="4406"/>
    <n v="6526"/>
    <n v="8812"/>
    <n v="10570"/>
  </r>
  <r>
    <x v="16"/>
    <n v="26858763"/>
    <x v="1"/>
    <n v="0"/>
    <m/>
    <n v="0"/>
    <m/>
    <n v="74808"/>
    <m/>
    <n v="97878"/>
    <m/>
    <n v="105210"/>
    <m/>
    <n v="117216"/>
    <m/>
    <n v="250048"/>
    <m/>
    <n v="139578"/>
    <m/>
    <n v="191578"/>
    <m/>
    <n v="186288"/>
    <m/>
    <n v="205886"/>
    <n v="42827"/>
    <n v="97878"/>
    <n v="250048"/>
    <n v="205886"/>
  </r>
  <r>
    <x v="16"/>
    <n v="26858764"/>
    <x v="2"/>
    <n v="0"/>
    <m/>
    <n v="22574"/>
    <m/>
    <n v="0"/>
    <m/>
    <n v="13616"/>
    <m/>
    <n v="15324"/>
    <m/>
    <n v="19108"/>
    <m/>
    <n v="20978"/>
    <m/>
    <n v="25346"/>
    <m/>
    <n v="33400"/>
    <m/>
    <n v="38282"/>
    <m/>
    <n v="47764"/>
    <n v="10625"/>
    <n v="22574"/>
    <n v="25346"/>
    <n v="47764"/>
  </r>
  <r>
    <x v="16"/>
    <n v="26858765"/>
    <x v="3"/>
    <n v="451"/>
    <m/>
    <n v="216"/>
    <m/>
    <n v="55"/>
    <m/>
    <n v="1845"/>
    <m/>
    <n v="440"/>
    <m/>
    <n v="0"/>
    <m/>
    <n v="0"/>
    <m/>
    <n v="0"/>
    <m/>
    <n v="0"/>
    <m/>
    <n v="0"/>
    <m/>
    <n v="227"/>
    <n v="2127"/>
    <n v="1845"/>
    <n v="440"/>
    <n v="227"/>
  </r>
  <r>
    <x v="16"/>
    <n v="26858766"/>
    <x v="4"/>
    <n v="186"/>
    <m/>
    <n v="21"/>
    <m/>
    <n v="32"/>
    <m/>
    <n v="1450"/>
    <m/>
    <n v="80"/>
    <m/>
    <n v="0"/>
    <m/>
    <n v="0"/>
    <m/>
    <n v="0"/>
    <m/>
    <n v="0"/>
    <m/>
    <n v="0"/>
    <m/>
    <n v="40"/>
    <n v="713"/>
    <n v="1450"/>
    <n v="80"/>
    <n v="40"/>
  </r>
  <r>
    <x v="16"/>
    <n v="26858767"/>
    <x v="5"/>
    <n v="0"/>
    <m/>
    <n v="5293"/>
    <m/>
    <n v="0"/>
    <m/>
    <n v="0"/>
    <m/>
    <n v="0"/>
    <m/>
    <n v="15456"/>
    <m/>
    <n v="15820"/>
    <m/>
    <n v="0"/>
    <m/>
    <n v="0"/>
    <m/>
    <n v="0"/>
    <m/>
    <n v="0"/>
    <n v="15820"/>
    <n v="5293"/>
    <n v="15820"/>
    <n v="0"/>
  </r>
  <r>
    <x v="16"/>
    <n v="26858768"/>
    <x v="6"/>
    <n v="0"/>
    <m/>
    <n v="4"/>
    <m/>
    <n v="0"/>
    <m/>
    <n v="0"/>
    <m/>
    <n v="19"/>
    <m/>
    <n v="0"/>
    <m/>
    <n v="0"/>
    <m/>
    <n v="0"/>
    <m/>
    <n v="0"/>
    <m/>
    <n v="0"/>
    <m/>
    <n v="6"/>
    <n v="0"/>
    <n v="4"/>
    <n v="19"/>
    <n v="6"/>
  </r>
  <r>
    <x v="16"/>
    <n v="26858769"/>
    <x v="7"/>
    <n v="0"/>
    <m/>
    <n v="351"/>
    <m/>
    <n v="0"/>
    <m/>
    <n v="0"/>
    <m/>
    <n v="160"/>
    <m/>
    <n v="0"/>
    <m/>
    <n v="0"/>
    <m/>
    <n v="0"/>
    <m/>
    <n v="0"/>
    <m/>
    <n v="0"/>
    <m/>
    <n v="0"/>
    <n v="47"/>
    <n v="351"/>
    <n v="160"/>
    <n v="0"/>
  </r>
  <r>
    <x v="16"/>
    <n v="26858770"/>
    <x v="8"/>
    <n v="0"/>
    <m/>
    <n v="0"/>
    <m/>
    <n v="0"/>
    <m/>
    <n v="0"/>
    <m/>
    <n v="0"/>
    <m/>
    <n v="0"/>
    <m/>
    <n v="0"/>
    <m/>
    <n v="0"/>
    <m/>
    <n v="0"/>
    <m/>
    <n v="3453"/>
    <m/>
    <n v="3602"/>
    <n v="4059"/>
    <n v="0"/>
    <n v="0"/>
    <n v="3602"/>
  </r>
  <r>
    <x v="16"/>
    <n v="26858771"/>
    <x v="9"/>
    <n v="0"/>
    <m/>
    <n v="0"/>
    <m/>
    <n v="0"/>
    <m/>
    <n v="0"/>
    <m/>
    <n v="0"/>
    <m/>
    <n v="0"/>
    <m/>
    <n v="0"/>
    <m/>
    <n v="0"/>
    <m/>
    <n v="0"/>
    <m/>
    <n v="0"/>
    <m/>
    <n v="0"/>
    <n v="1033"/>
    <n v="0"/>
    <n v="0"/>
    <n v="0"/>
  </r>
  <r>
    <x v="16"/>
    <n v="26858772"/>
    <x v="10"/>
    <n v="0"/>
    <m/>
    <n v="0"/>
    <m/>
    <n v="0"/>
    <m/>
    <n v="0"/>
    <m/>
    <n v="30"/>
    <m/>
    <n v="167"/>
    <m/>
    <n v="0"/>
    <m/>
    <n v="0"/>
    <m/>
    <n v="0"/>
    <m/>
    <n v="0"/>
    <m/>
    <n v="0"/>
    <n v="0"/>
    <n v="0"/>
    <n v="167"/>
    <n v="0"/>
  </r>
  <r>
    <x v="16"/>
    <n v="26858773"/>
    <x v="11"/>
    <n v="0"/>
    <m/>
    <n v="0"/>
    <m/>
    <n v="0"/>
    <m/>
    <n v="0"/>
    <m/>
    <n v="0"/>
    <m/>
    <n v="0"/>
    <m/>
    <n v="1563"/>
    <m/>
    <n v="0"/>
    <m/>
    <n v="0"/>
    <m/>
    <n v="1759"/>
    <m/>
    <n v="2139"/>
    <n v="398"/>
    <n v="0"/>
    <n v="1563"/>
    <n v="2139"/>
  </r>
  <r>
    <x v="16"/>
    <n v="26858774"/>
    <x v="12"/>
    <n v="0"/>
    <m/>
    <n v="0"/>
    <m/>
    <n v="0"/>
    <m/>
    <n v="0"/>
    <m/>
    <n v="0"/>
    <m/>
    <n v="240"/>
    <m/>
    <n v="0"/>
    <m/>
    <n v="0"/>
    <m/>
    <n v="0"/>
    <m/>
    <n v="2352"/>
    <m/>
    <n v="2471"/>
    <n v="1671"/>
    <n v="0"/>
    <n v="240"/>
    <n v="2471"/>
  </r>
  <r>
    <x v="16"/>
    <n v="26858775"/>
    <x v="13"/>
    <n v="0"/>
    <m/>
    <n v="0"/>
    <m/>
    <n v="0"/>
    <m/>
    <n v="0"/>
    <m/>
    <n v="0"/>
    <m/>
    <n v="0"/>
    <m/>
    <n v="0"/>
    <m/>
    <n v="0"/>
    <m/>
    <n v="0"/>
    <m/>
    <n v="1673"/>
    <m/>
    <n v="2703"/>
    <n v="1476"/>
    <n v="0"/>
    <n v="0"/>
    <n v="2703"/>
  </r>
  <r>
    <x v="16"/>
    <n v="26858776"/>
    <x v="14"/>
    <n v="0"/>
    <m/>
    <n v="0"/>
    <m/>
    <n v="0"/>
    <m/>
    <n v="0"/>
    <m/>
    <n v="0"/>
    <m/>
    <n v="0"/>
    <m/>
    <n v="0"/>
    <m/>
    <n v="0"/>
    <m/>
    <n v="0"/>
    <m/>
    <n v="3238"/>
    <m/>
    <n v="3555"/>
    <n v="3883"/>
    <n v="0"/>
    <n v="0"/>
    <n v="3555"/>
  </r>
  <r>
    <x v="16"/>
    <n v="26858777"/>
    <x v="15"/>
    <n v="0"/>
    <m/>
    <n v="0"/>
    <m/>
    <n v="0"/>
    <m/>
    <n v="0"/>
    <m/>
    <n v="0"/>
    <m/>
    <n v="133"/>
    <m/>
    <n v="0"/>
    <m/>
    <n v="0"/>
    <m/>
    <n v="0"/>
    <m/>
    <n v="235"/>
    <m/>
    <n v="309"/>
    <n v="143"/>
    <n v="0"/>
    <n v="133"/>
    <n v="309"/>
  </r>
  <r>
    <x v="16"/>
    <n v="26858778"/>
    <x v="16"/>
    <n v="0"/>
    <m/>
    <n v="0"/>
    <m/>
    <n v="0"/>
    <m/>
    <n v="0"/>
    <m/>
    <n v="0"/>
    <m/>
    <n v="0"/>
    <m/>
    <n v="0"/>
    <m/>
    <n v="0"/>
    <m/>
    <n v="0"/>
    <m/>
    <n v="0"/>
    <m/>
    <n v="0"/>
    <n v="23627"/>
    <n v="0"/>
    <n v="0"/>
    <n v="0"/>
  </r>
  <r>
    <x v="16"/>
    <n v="26858779"/>
    <x v="17"/>
    <n v="0"/>
    <m/>
    <n v="0"/>
    <m/>
    <n v="0"/>
    <m/>
    <n v="0"/>
    <m/>
    <n v="0"/>
    <m/>
    <n v="0"/>
    <m/>
    <n v="0"/>
    <m/>
    <n v="0"/>
    <m/>
    <n v="0"/>
    <m/>
    <n v="0"/>
    <m/>
    <n v="0"/>
    <n v="1877"/>
    <n v="0"/>
    <n v="0"/>
    <n v="0"/>
  </r>
  <r>
    <x v="16"/>
    <n v="26858780"/>
    <x v="18"/>
    <n v="0"/>
    <m/>
    <n v="3987"/>
    <m/>
    <n v="0"/>
    <m/>
    <n v="0"/>
    <m/>
    <n v="0"/>
    <m/>
    <n v="0"/>
    <m/>
    <n v="0"/>
    <m/>
    <n v="0"/>
    <m/>
    <n v="0"/>
    <m/>
    <n v="6276"/>
    <m/>
    <n v="477"/>
    <n v="1563"/>
    <n v="3987"/>
    <n v="0"/>
    <n v="6276"/>
  </r>
  <r>
    <x v="16"/>
    <n v="26858781"/>
    <x v="19"/>
    <n v="0"/>
    <m/>
    <n v="0"/>
    <m/>
    <n v="0"/>
    <m/>
    <n v="0"/>
    <m/>
    <n v="0"/>
    <m/>
    <n v="0"/>
    <m/>
    <n v="0"/>
    <m/>
    <n v="0"/>
    <m/>
    <n v="0"/>
    <m/>
    <n v="0"/>
    <m/>
    <n v="0"/>
    <n v="2116"/>
    <n v="0"/>
    <n v="0"/>
    <n v="0"/>
  </r>
  <r>
    <x v="16"/>
    <n v="26858782"/>
    <x v="20"/>
    <n v="0"/>
    <m/>
    <n v="0"/>
    <m/>
    <n v="0"/>
    <m/>
    <n v="0"/>
    <m/>
    <n v="0"/>
    <m/>
    <n v="324"/>
    <m/>
    <n v="0"/>
    <m/>
    <n v="0"/>
    <m/>
    <n v="0"/>
    <m/>
    <n v="308"/>
    <m/>
    <n v="381"/>
    <n v="304"/>
    <n v="0"/>
    <n v="324"/>
    <n v="381"/>
  </r>
  <r>
    <x v="16"/>
    <n v="26858783"/>
    <x v="21"/>
    <n v="0"/>
    <m/>
    <n v="6118"/>
    <m/>
    <n v="0"/>
    <m/>
    <n v="0"/>
    <m/>
    <n v="0"/>
    <m/>
    <n v="0"/>
    <m/>
    <n v="0"/>
    <m/>
    <n v="0"/>
    <m/>
    <n v="0"/>
    <m/>
    <n v="0"/>
    <m/>
    <n v="0"/>
    <n v="0"/>
    <n v="6118"/>
    <n v="0"/>
    <n v="0"/>
  </r>
  <r>
    <x v="16"/>
    <n v="26858784"/>
    <x v="22"/>
    <n v="0"/>
    <m/>
    <n v="0"/>
    <m/>
    <n v="0"/>
    <m/>
    <n v="0"/>
    <m/>
    <n v="0"/>
    <m/>
    <n v="0"/>
    <m/>
    <n v="0"/>
    <m/>
    <n v="0"/>
    <m/>
    <n v="0"/>
    <m/>
    <n v="9"/>
    <m/>
    <n v="30"/>
    <n v="0"/>
    <n v="0"/>
    <n v="0"/>
    <n v="30"/>
  </r>
  <r>
    <x v="16"/>
    <n v="26858785"/>
    <x v="23"/>
    <n v="0"/>
    <m/>
    <n v="8638"/>
    <m/>
    <n v="0"/>
    <m/>
    <n v="0"/>
    <m/>
    <n v="0"/>
    <m/>
    <n v="0"/>
    <m/>
    <n v="0"/>
    <m/>
    <n v="0"/>
    <m/>
    <n v="0"/>
    <m/>
    <n v="7"/>
    <m/>
    <n v="0"/>
    <n v="3468"/>
    <n v="8638"/>
    <n v="0"/>
    <n v="7"/>
  </r>
  <r>
    <x v="17"/>
    <n v="10788692"/>
    <x v="0"/>
    <n v="0"/>
    <n v="11055430.000000004"/>
    <n v="0"/>
    <n v="11333365.500000002"/>
    <n v="3688"/>
    <n v="11625998.500000007"/>
    <n v="1954"/>
    <n v="11930984.999999998"/>
    <n v="1954"/>
    <n v="12240788.500000004"/>
    <n v="0"/>
    <n v="12554864.499999998"/>
    <n v="5574"/>
    <n v="12877538.499999994"/>
    <n v="0"/>
    <n v="13205152.499999998"/>
    <n v="0"/>
    <n v="13531906.000000004"/>
    <n v="0"/>
    <n v="13859340.500000006"/>
    <n v="856"/>
    <n v="2787"/>
    <n v="3688"/>
    <n v="5574"/>
    <n v="856"/>
  </r>
  <r>
    <x v="17"/>
    <n v="10788693"/>
    <x v="1"/>
    <n v="0"/>
    <m/>
    <n v="0"/>
    <m/>
    <n v="11578"/>
    <m/>
    <n v="8778"/>
    <m/>
    <n v="2020"/>
    <m/>
    <n v="0"/>
    <m/>
    <n v="14390"/>
    <m/>
    <n v="0"/>
    <m/>
    <n v="0"/>
    <m/>
    <n v="0"/>
    <m/>
    <n v="8734"/>
    <n v="6329"/>
    <n v="11578"/>
    <n v="14390"/>
    <n v="8734"/>
  </r>
  <r>
    <x v="17"/>
    <n v="10788694"/>
    <x v="2"/>
    <n v="0"/>
    <m/>
    <n v="1000"/>
    <m/>
    <n v="1000"/>
    <m/>
    <n v="752"/>
    <m/>
    <n v="886"/>
    <m/>
    <n v="0"/>
    <m/>
    <n v="0"/>
    <m/>
    <n v="0"/>
    <m/>
    <n v="0"/>
    <m/>
    <n v="0"/>
    <m/>
    <n v="1554"/>
    <n v="866"/>
    <n v="1000"/>
    <n v="886"/>
    <n v="1554"/>
  </r>
  <r>
    <x v="17"/>
    <n v="10788695"/>
    <x v="3"/>
    <n v="0"/>
    <m/>
    <n v="0"/>
    <m/>
    <n v="0"/>
    <m/>
    <n v="0"/>
    <m/>
    <n v="0"/>
    <m/>
    <n v="0"/>
    <m/>
    <n v="0"/>
    <m/>
    <n v="0"/>
    <m/>
    <n v="0"/>
    <m/>
    <n v="0"/>
    <m/>
    <n v="71"/>
    <n v="255"/>
    <n v="0"/>
    <n v="0"/>
    <n v="71"/>
  </r>
  <r>
    <x v="17"/>
    <n v="10788696"/>
    <x v="4"/>
    <n v="0"/>
    <m/>
    <n v="0"/>
    <m/>
    <n v="0"/>
    <m/>
    <n v="14263"/>
    <m/>
    <n v="0"/>
    <m/>
    <n v="106"/>
    <m/>
    <n v="0"/>
    <m/>
    <n v="0"/>
    <m/>
    <n v="0"/>
    <m/>
    <n v="0"/>
    <m/>
    <n v="0"/>
    <n v="73"/>
    <n v="14263"/>
    <n v="106"/>
    <n v="0"/>
  </r>
  <r>
    <x v="17"/>
    <n v="10788697"/>
    <x v="5"/>
    <n v="0"/>
    <m/>
    <n v="0"/>
    <m/>
    <n v="0"/>
    <m/>
    <n v="6700"/>
    <m/>
    <n v="6700"/>
    <m/>
    <n v="0"/>
    <m/>
    <n v="16567"/>
    <m/>
    <n v="0"/>
    <m/>
    <n v="0"/>
    <m/>
    <n v="0"/>
    <m/>
    <n v="0"/>
    <n v="16567"/>
    <n v="6700"/>
    <n v="16567"/>
    <n v="0"/>
  </r>
  <r>
    <x v="17"/>
    <n v="10788698"/>
    <x v="6"/>
    <n v="0"/>
    <m/>
    <n v="0"/>
    <m/>
    <n v="0"/>
    <m/>
    <n v="0"/>
    <m/>
    <n v="0"/>
    <m/>
    <n v="0"/>
    <m/>
    <n v="0"/>
    <m/>
    <n v="0"/>
    <m/>
    <n v="0"/>
    <m/>
    <n v="0"/>
    <m/>
    <n v="0"/>
    <n v="0"/>
    <n v="0"/>
    <n v="0"/>
    <n v="0"/>
  </r>
  <r>
    <x v="17"/>
    <n v="10788699"/>
    <x v="7"/>
    <n v="0"/>
    <m/>
    <n v="0"/>
    <m/>
    <n v="0"/>
    <m/>
    <n v="0"/>
    <m/>
    <n v="0"/>
    <m/>
    <n v="0"/>
    <m/>
    <n v="0"/>
    <m/>
    <n v="363"/>
    <m/>
    <n v="0"/>
    <m/>
    <n v="0"/>
    <m/>
    <n v="0"/>
    <n v="0"/>
    <n v="0"/>
    <n v="363"/>
    <n v="0"/>
  </r>
  <r>
    <x v="17"/>
    <n v="10788700"/>
    <x v="8"/>
    <n v="0"/>
    <m/>
    <n v="0"/>
    <m/>
    <n v="0"/>
    <m/>
    <n v="0"/>
    <m/>
    <n v="0"/>
    <m/>
    <n v="0"/>
    <m/>
    <n v="0"/>
    <m/>
    <n v="0"/>
    <m/>
    <n v="0"/>
    <m/>
    <n v="0"/>
    <m/>
    <n v="0"/>
    <n v="1"/>
    <n v="0"/>
    <n v="0"/>
    <n v="0"/>
  </r>
  <r>
    <x v="17"/>
    <n v="10788701"/>
    <x v="9"/>
    <n v="0"/>
    <m/>
    <n v="0"/>
    <m/>
    <n v="0"/>
    <m/>
    <n v="0"/>
    <m/>
    <n v="0"/>
    <m/>
    <n v="0"/>
    <m/>
    <n v="0"/>
    <m/>
    <n v="0"/>
    <m/>
    <n v="0"/>
    <m/>
    <n v="0"/>
    <m/>
    <n v="0"/>
    <n v="189"/>
    <n v="0"/>
    <n v="0"/>
    <n v="0"/>
  </r>
  <r>
    <x v="17"/>
    <n v="10788702"/>
    <x v="10"/>
    <n v="0"/>
    <m/>
    <n v="0"/>
    <m/>
    <n v="0"/>
    <m/>
    <n v="0"/>
    <m/>
    <n v="0"/>
    <m/>
    <n v="0"/>
    <m/>
    <n v="0"/>
    <m/>
    <n v="0"/>
    <m/>
    <n v="0"/>
    <m/>
    <n v="0"/>
    <m/>
    <n v="0"/>
    <n v="0"/>
    <n v="0"/>
    <n v="0"/>
    <n v="0"/>
  </r>
  <r>
    <x v="17"/>
    <n v="10788703"/>
    <x v="11"/>
    <n v="0"/>
    <m/>
    <n v="0"/>
    <m/>
    <n v="0"/>
    <m/>
    <n v="0"/>
    <m/>
    <n v="0"/>
    <m/>
    <n v="0"/>
    <m/>
    <n v="181"/>
    <m/>
    <n v="0"/>
    <m/>
    <n v="0"/>
    <m/>
    <n v="0"/>
    <m/>
    <n v="0"/>
    <n v="0"/>
    <n v="0"/>
    <n v="181"/>
    <n v="0"/>
  </r>
  <r>
    <x v="17"/>
    <n v="10788704"/>
    <x v="12"/>
    <n v="0"/>
    <m/>
    <n v="0"/>
    <m/>
    <n v="0"/>
    <m/>
    <n v="0"/>
    <m/>
    <n v="0"/>
    <m/>
    <n v="0"/>
    <m/>
    <n v="0"/>
    <m/>
    <n v="0"/>
    <m/>
    <n v="0"/>
    <m/>
    <n v="0"/>
    <m/>
    <n v="0"/>
    <n v="0"/>
    <n v="0"/>
    <n v="0"/>
    <n v="0"/>
  </r>
  <r>
    <x v="17"/>
    <n v="10788705"/>
    <x v="13"/>
    <n v="0"/>
    <m/>
    <n v="0"/>
    <m/>
    <n v="0"/>
    <m/>
    <n v="0"/>
    <m/>
    <n v="8"/>
    <m/>
    <n v="0"/>
    <m/>
    <n v="0"/>
    <m/>
    <n v="0"/>
    <m/>
    <n v="0"/>
    <m/>
    <n v="0"/>
    <m/>
    <n v="0"/>
    <n v="0"/>
    <n v="0"/>
    <n v="8"/>
    <n v="0"/>
  </r>
  <r>
    <x v="17"/>
    <n v="10788706"/>
    <x v="14"/>
    <n v="0"/>
    <m/>
    <n v="0"/>
    <m/>
    <n v="0"/>
    <m/>
    <n v="0"/>
    <m/>
    <n v="0"/>
    <m/>
    <n v="0"/>
    <m/>
    <n v="0"/>
    <m/>
    <n v="0"/>
    <m/>
    <n v="0"/>
    <m/>
    <n v="0"/>
    <m/>
    <n v="0"/>
    <n v="66"/>
    <n v="0"/>
    <n v="0"/>
    <n v="0"/>
  </r>
  <r>
    <x v="17"/>
    <n v="10788707"/>
    <x v="15"/>
    <n v="0"/>
    <m/>
    <n v="0"/>
    <m/>
    <n v="0"/>
    <m/>
    <n v="0"/>
    <m/>
    <n v="0"/>
    <m/>
    <n v="0"/>
    <m/>
    <n v="0"/>
    <m/>
    <n v="0"/>
    <m/>
    <n v="0"/>
    <m/>
    <n v="0"/>
    <m/>
    <n v="0"/>
    <n v="0"/>
    <n v="0"/>
    <n v="0"/>
    <n v="0"/>
  </r>
  <r>
    <x v="17"/>
    <n v="10788708"/>
    <x v="16"/>
    <n v="0"/>
    <m/>
    <n v="0"/>
    <m/>
    <n v="0"/>
    <m/>
    <n v="0"/>
    <m/>
    <n v="0"/>
    <m/>
    <n v="0"/>
    <m/>
    <n v="0"/>
    <m/>
    <n v="0"/>
    <m/>
    <n v="0"/>
    <m/>
    <n v="0"/>
    <m/>
    <n v="0"/>
    <n v="481"/>
    <n v="0"/>
    <n v="0"/>
    <n v="0"/>
  </r>
  <r>
    <x v="17"/>
    <n v="10788709"/>
    <x v="17"/>
    <n v="0"/>
    <m/>
    <n v="0"/>
    <m/>
    <n v="0"/>
    <m/>
    <n v="0"/>
    <m/>
    <n v="0"/>
    <m/>
    <n v="0"/>
    <m/>
    <n v="0"/>
    <m/>
    <n v="0"/>
    <m/>
    <n v="0"/>
    <m/>
    <n v="0"/>
    <m/>
    <n v="0"/>
    <n v="0"/>
    <n v="0"/>
    <n v="0"/>
    <n v="0"/>
  </r>
  <r>
    <x v="17"/>
    <n v="10788710"/>
    <x v="18"/>
    <n v="0"/>
    <m/>
    <n v="0"/>
    <m/>
    <n v="0"/>
    <m/>
    <n v="0"/>
    <m/>
    <n v="209"/>
    <m/>
    <n v="0"/>
    <m/>
    <n v="0"/>
    <m/>
    <n v="0"/>
    <m/>
    <n v="0"/>
    <m/>
    <n v="0"/>
    <m/>
    <n v="0"/>
    <n v="181"/>
    <n v="0"/>
    <n v="209"/>
    <n v="0"/>
  </r>
  <r>
    <x v="17"/>
    <n v="10788711"/>
    <x v="19"/>
    <n v="0"/>
    <m/>
    <n v="0"/>
    <m/>
    <n v="0"/>
    <m/>
    <n v="0"/>
    <m/>
    <n v="0"/>
    <m/>
    <n v="0"/>
    <m/>
    <n v="0"/>
    <m/>
    <n v="0"/>
    <m/>
    <n v="0"/>
    <m/>
    <n v="0"/>
    <m/>
    <n v="0"/>
    <n v="62"/>
    <n v="0"/>
    <n v="0"/>
    <n v="0"/>
  </r>
  <r>
    <x v="17"/>
    <n v="10788712"/>
    <x v="20"/>
    <n v="0"/>
    <m/>
    <n v="0"/>
    <m/>
    <n v="0"/>
    <m/>
    <n v="0"/>
    <m/>
    <n v="0"/>
    <m/>
    <n v="0"/>
    <m/>
    <n v="0"/>
    <m/>
    <n v="0"/>
    <m/>
    <n v="0"/>
    <m/>
    <n v="0"/>
    <m/>
    <n v="0"/>
    <n v="0"/>
    <n v="0"/>
    <n v="0"/>
    <n v="0"/>
  </r>
  <r>
    <x v="17"/>
    <n v="10788713"/>
    <x v="21"/>
    <n v="0"/>
    <m/>
    <n v="0"/>
    <m/>
    <n v="0"/>
    <m/>
    <n v="0"/>
    <m/>
    <n v="0"/>
    <m/>
    <n v="0"/>
    <m/>
    <n v="0"/>
    <m/>
    <n v="0"/>
    <m/>
    <n v="0"/>
    <m/>
    <n v="0"/>
    <m/>
    <n v="0"/>
    <n v="0"/>
    <n v="0"/>
    <n v="0"/>
    <n v="0"/>
  </r>
  <r>
    <x v="17"/>
    <n v="10788714"/>
    <x v="22"/>
    <n v="0"/>
    <m/>
    <n v="0"/>
    <m/>
    <n v="0"/>
    <m/>
    <n v="0"/>
    <m/>
    <n v="0"/>
    <m/>
    <n v="0"/>
    <m/>
    <n v="0"/>
    <m/>
    <n v="0"/>
    <m/>
    <n v="0"/>
    <m/>
    <n v="0"/>
    <m/>
    <n v="0"/>
    <n v="0"/>
    <n v="0"/>
    <n v="0"/>
    <n v="0"/>
  </r>
  <r>
    <x v="17"/>
    <n v="10788715"/>
    <x v="23"/>
    <n v="0"/>
    <m/>
    <n v="0"/>
    <m/>
    <n v="0"/>
    <m/>
    <n v="0"/>
    <m/>
    <n v="0"/>
    <m/>
    <n v="0"/>
    <m/>
    <n v="0"/>
    <m/>
    <n v="0"/>
    <m/>
    <n v="0"/>
    <m/>
    <n v="0"/>
    <m/>
    <n v="0"/>
    <n v="0"/>
    <n v="0"/>
    <n v="0"/>
    <n v="0"/>
  </r>
  <r>
    <x v="18"/>
    <n v="2061013.9999999993"/>
    <x v="0"/>
    <n v="0"/>
    <n v="2124869.5"/>
    <n v="0"/>
    <n v="2189019"/>
    <n v="0"/>
    <n v="2253133.5000000009"/>
    <n v="426"/>
    <n v="2317205.5"/>
    <n v="1"/>
    <n v="2381181.5"/>
    <n v="464"/>
    <n v="2444915.5000000014"/>
    <n v="596"/>
    <n v="2508883.5000000009"/>
    <n v="457"/>
    <n v="2573994.9999999995"/>
    <n v="466"/>
    <n v="2639915.5000000005"/>
    <n v="651"/>
    <n v="2705991.9999999995"/>
    <n v="0"/>
    <n v="298"/>
    <n v="426"/>
    <n v="596"/>
    <n v="651"/>
  </r>
  <r>
    <x v="18"/>
    <n v="2061015"/>
    <x v="1"/>
    <n v="4772"/>
    <m/>
    <n v="0"/>
    <m/>
    <n v="0"/>
    <m/>
    <n v="4744"/>
    <m/>
    <n v="0"/>
    <m/>
    <n v="2648"/>
    <m/>
    <n v="2996"/>
    <m/>
    <n v="1498"/>
    <m/>
    <n v="2458"/>
    <m/>
    <n v="2808"/>
    <m/>
    <n v="0"/>
    <n v="1178"/>
    <n v="4772"/>
    <n v="2996"/>
    <n v="2808"/>
  </r>
  <r>
    <x v="18"/>
    <n v="2061016"/>
    <x v="2"/>
    <n v="0"/>
    <m/>
    <n v="518"/>
    <m/>
    <n v="0"/>
    <m/>
    <n v="1700"/>
    <m/>
    <n v="0"/>
    <m/>
    <n v="844"/>
    <m/>
    <n v="0"/>
    <m/>
    <n v="682"/>
    <m/>
    <n v="1080"/>
    <m/>
    <n v="758"/>
    <m/>
    <n v="0"/>
    <n v="320"/>
    <n v="1700"/>
    <n v="844"/>
    <n v="1080"/>
  </r>
  <r>
    <x v="18"/>
    <n v="2061017"/>
    <x v="3"/>
    <n v="886"/>
    <m/>
    <n v="0"/>
    <m/>
    <n v="124"/>
    <m/>
    <n v="156"/>
    <m/>
    <n v="0"/>
    <m/>
    <n v="360"/>
    <m/>
    <n v="157"/>
    <m/>
    <n v="60"/>
    <m/>
    <n v="324"/>
    <m/>
    <n v="1859"/>
    <m/>
    <n v="3224"/>
    <n v="79"/>
    <n v="886"/>
    <n v="360"/>
    <n v="3224"/>
  </r>
  <r>
    <x v="18"/>
    <n v="2061018"/>
    <x v="4"/>
    <n v="228"/>
    <m/>
    <n v="0"/>
    <m/>
    <n v="0"/>
    <m/>
    <n v="15"/>
    <m/>
    <n v="6433"/>
    <m/>
    <n v="54"/>
    <m/>
    <n v="27"/>
    <m/>
    <n v="30"/>
    <m/>
    <n v="26"/>
    <m/>
    <n v="513"/>
    <m/>
    <n v="612"/>
    <n v="3"/>
    <n v="228"/>
    <n v="6433"/>
    <n v="612"/>
  </r>
  <r>
    <x v="18"/>
    <n v="2061019"/>
    <x v="5"/>
    <n v="0"/>
    <m/>
    <n v="0"/>
    <m/>
    <n v="0"/>
    <m/>
    <n v="0"/>
    <m/>
    <n v="0"/>
    <m/>
    <n v="0"/>
    <m/>
    <n v="1553"/>
    <m/>
    <n v="0"/>
    <m/>
    <n v="0"/>
    <m/>
    <n v="0"/>
    <m/>
    <n v="0"/>
    <n v="1553"/>
    <n v="0"/>
    <n v="1553"/>
    <n v="0"/>
  </r>
  <r>
    <x v="18"/>
    <n v="2061020"/>
    <x v="6"/>
    <n v="0"/>
    <m/>
    <n v="0"/>
    <m/>
    <n v="0"/>
    <m/>
    <n v="0"/>
    <m/>
    <n v="3652"/>
    <m/>
    <n v="0"/>
    <m/>
    <n v="0"/>
    <m/>
    <n v="0"/>
    <m/>
    <n v="0"/>
    <m/>
    <n v="1"/>
    <m/>
    <n v="59"/>
    <n v="0"/>
    <n v="0"/>
    <n v="3652"/>
    <n v="59"/>
  </r>
  <r>
    <x v="18"/>
    <n v="2061021"/>
    <x v="7"/>
    <n v="0"/>
    <m/>
    <n v="0"/>
    <m/>
    <n v="0"/>
    <m/>
    <n v="0"/>
    <m/>
    <n v="3831"/>
    <m/>
    <n v="0"/>
    <m/>
    <n v="0"/>
    <m/>
    <n v="0"/>
    <m/>
    <n v="0"/>
    <m/>
    <n v="2742"/>
    <m/>
    <n v="2305"/>
    <n v="316"/>
    <n v="0"/>
    <n v="3831"/>
    <n v="2742"/>
  </r>
  <r>
    <x v="18"/>
    <n v="2061022"/>
    <x v="8"/>
    <n v="0"/>
    <m/>
    <n v="0"/>
    <m/>
    <n v="0"/>
    <m/>
    <n v="0"/>
    <m/>
    <n v="0"/>
    <m/>
    <n v="0"/>
    <m/>
    <n v="0"/>
    <m/>
    <n v="0"/>
    <m/>
    <n v="0"/>
    <m/>
    <n v="0"/>
    <m/>
    <n v="0"/>
    <n v="0"/>
    <n v="0"/>
    <n v="0"/>
    <n v="0"/>
  </r>
  <r>
    <x v="18"/>
    <n v="2061023"/>
    <x v="9"/>
    <n v="0"/>
    <m/>
    <n v="0"/>
    <m/>
    <n v="0"/>
    <m/>
    <n v="0"/>
    <m/>
    <n v="0"/>
    <m/>
    <n v="0"/>
    <m/>
    <n v="0"/>
    <m/>
    <n v="246"/>
    <m/>
    <n v="479"/>
    <m/>
    <n v="522"/>
    <m/>
    <n v="0"/>
    <n v="0"/>
    <n v="0"/>
    <n v="246"/>
    <n v="522"/>
  </r>
  <r>
    <x v="18"/>
    <n v="2061024"/>
    <x v="10"/>
    <n v="0"/>
    <m/>
    <n v="0"/>
    <m/>
    <n v="0"/>
    <m/>
    <n v="3"/>
    <m/>
    <n v="0"/>
    <m/>
    <n v="0"/>
    <m/>
    <n v="7"/>
    <m/>
    <n v="95"/>
    <m/>
    <n v="4"/>
    <m/>
    <n v="6"/>
    <m/>
    <n v="0"/>
    <n v="0"/>
    <n v="3"/>
    <n v="95"/>
    <n v="6"/>
  </r>
  <r>
    <x v="18"/>
    <n v="2061025"/>
    <x v="11"/>
    <n v="0"/>
    <m/>
    <n v="0"/>
    <m/>
    <n v="0"/>
    <m/>
    <n v="11"/>
    <m/>
    <n v="0"/>
    <m/>
    <n v="0"/>
    <m/>
    <n v="138"/>
    <m/>
    <n v="22"/>
    <m/>
    <n v="13"/>
    <m/>
    <n v="18"/>
    <m/>
    <n v="0"/>
    <n v="0"/>
    <n v="11"/>
    <n v="138"/>
    <n v="18"/>
  </r>
  <r>
    <x v="18"/>
    <n v="2061026"/>
    <x v="12"/>
    <n v="0"/>
    <m/>
    <n v="0"/>
    <m/>
    <n v="0"/>
    <m/>
    <n v="0"/>
    <m/>
    <n v="0"/>
    <m/>
    <n v="0"/>
    <m/>
    <n v="0"/>
    <m/>
    <n v="0"/>
    <m/>
    <n v="0"/>
    <m/>
    <n v="0"/>
    <m/>
    <n v="0"/>
    <n v="0"/>
    <n v="0"/>
    <n v="0"/>
    <n v="0"/>
  </r>
  <r>
    <x v="18"/>
    <n v="2061027"/>
    <x v="13"/>
    <n v="0"/>
    <m/>
    <n v="0"/>
    <m/>
    <n v="0"/>
    <m/>
    <n v="32"/>
    <m/>
    <n v="0"/>
    <m/>
    <n v="0"/>
    <m/>
    <n v="0"/>
    <m/>
    <n v="149"/>
    <m/>
    <n v="173"/>
    <m/>
    <n v="172"/>
    <m/>
    <n v="0"/>
    <n v="0"/>
    <n v="32"/>
    <n v="149"/>
    <n v="173"/>
  </r>
  <r>
    <x v="18"/>
    <n v="2061028"/>
    <x v="14"/>
    <n v="0"/>
    <m/>
    <n v="0"/>
    <m/>
    <n v="0"/>
    <m/>
    <n v="0"/>
    <m/>
    <n v="0"/>
    <m/>
    <n v="0"/>
    <m/>
    <n v="0"/>
    <m/>
    <n v="0"/>
    <m/>
    <n v="0"/>
    <m/>
    <n v="0"/>
    <m/>
    <n v="0"/>
    <n v="0"/>
    <n v="0"/>
    <n v="0"/>
    <n v="0"/>
  </r>
  <r>
    <x v="18"/>
    <n v="2061029"/>
    <x v="15"/>
    <n v="0"/>
    <m/>
    <n v="0"/>
    <m/>
    <n v="0"/>
    <m/>
    <n v="17"/>
    <m/>
    <n v="0"/>
    <m/>
    <n v="0"/>
    <m/>
    <n v="0"/>
    <m/>
    <n v="16"/>
    <m/>
    <n v="20"/>
    <m/>
    <n v="18"/>
    <m/>
    <n v="0"/>
    <n v="0"/>
    <n v="17"/>
    <n v="16"/>
    <n v="20"/>
  </r>
  <r>
    <x v="18"/>
    <n v="2061030"/>
    <x v="16"/>
    <n v="0"/>
    <m/>
    <n v="0"/>
    <m/>
    <n v="0"/>
    <m/>
    <n v="0"/>
    <m/>
    <n v="0"/>
    <m/>
    <n v="0"/>
    <m/>
    <n v="0"/>
    <m/>
    <n v="0"/>
    <m/>
    <n v="0"/>
    <m/>
    <n v="0"/>
    <m/>
    <n v="0"/>
    <n v="0"/>
    <n v="0"/>
    <n v="0"/>
    <n v="0"/>
  </r>
  <r>
    <x v="18"/>
    <n v="2061031"/>
    <x v="17"/>
    <n v="0"/>
    <m/>
    <n v="0"/>
    <m/>
    <n v="0"/>
    <m/>
    <n v="0"/>
    <m/>
    <n v="0"/>
    <m/>
    <n v="0"/>
    <m/>
    <n v="0"/>
    <m/>
    <n v="0"/>
    <m/>
    <n v="2253"/>
    <m/>
    <n v="2193"/>
    <m/>
    <n v="0"/>
    <n v="0"/>
    <n v="0"/>
    <n v="0"/>
    <n v="2253"/>
  </r>
  <r>
    <x v="18"/>
    <n v="2061032"/>
    <x v="18"/>
    <n v="0"/>
    <m/>
    <n v="0"/>
    <m/>
    <n v="0"/>
    <m/>
    <n v="141"/>
    <m/>
    <n v="0"/>
    <m/>
    <n v="0"/>
    <m/>
    <n v="0"/>
    <m/>
    <n v="0"/>
    <m/>
    <n v="0"/>
    <m/>
    <n v="0"/>
    <m/>
    <n v="0"/>
    <n v="138"/>
    <n v="141"/>
    <n v="0"/>
    <n v="0"/>
  </r>
  <r>
    <x v="18"/>
    <n v="2061033"/>
    <x v="19"/>
    <n v="0"/>
    <m/>
    <n v="0"/>
    <m/>
    <n v="0"/>
    <m/>
    <n v="0"/>
    <m/>
    <n v="0"/>
    <m/>
    <n v="0"/>
    <m/>
    <n v="0"/>
    <m/>
    <n v="0"/>
    <m/>
    <n v="0"/>
    <m/>
    <n v="0"/>
    <m/>
    <n v="0"/>
    <n v="39"/>
    <n v="0"/>
    <n v="0"/>
    <n v="0"/>
  </r>
  <r>
    <x v="18"/>
    <n v="2061034"/>
    <x v="20"/>
    <n v="0"/>
    <m/>
    <n v="0"/>
    <m/>
    <n v="0"/>
    <m/>
    <n v="20"/>
    <m/>
    <n v="0"/>
    <m/>
    <n v="0"/>
    <m/>
    <n v="0"/>
    <m/>
    <n v="23"/>
    <m/>
    <n v="32"/>
    <m/>
    <n v="24"/>
    <m/>
    <n v="0"/>
    <n v="0"/>
    <n v="20"/>
    <n v="23"/>
    <n v="32"/>
  </r>
  <r>
    <x v="18"/>
    <n v="2061035"/>
    <x v="21"/>
    <n v="127"/>
    <m/>
    <n v="0"/>
    <m/>
    <n v="0"/>
    <m/>
    <n v="0"/>
    <m/>
    <n v="0"/>
    <m/>
    <n v="0"/>
    <m/>
    <n v="0"/>
    <m/>
    <n v="0"/>
    <m/>
    <n v="0"/>
    <m/>
    <n v="0"/>
    <m/>
    <n v="0"/>
    <n v="0"/>
    <n v="127"/>
    <n v="0"/>
    <n v="0"/>
  </r>
  <r>
    <x v="18"/>
    <n v="2061036"/>
    <x v="22"/>
    <n v="0"/>
    <m/>
    <n v="0"/>
    <m/>
    <n v="0"/>
    <m/>
    <n v="0"/>
    <m/>
    <n v="0"/>
    <m/>
    <n v="0"/>
    <m/>
    <n v="0"/>
    <m/>
    <n v="0"/>
    <m/>
    <n v="0"/>
    <m/>
    <n v="0"/>
    <m/>
    <n v="0"/>
    <n v="0"/>
    <n v="0"/>
    <n v="0"/>
    <n v="0"/>
  </r>
  <r>
    <x v="18"/>
    <n v="2061037"/>
    <x v="23"/>
    <n v="656"/>
    <m/>
    <n v="0"/>
    <m/>
    <n v="0"/>
    <m/>
    <n v="0"/>
    <m/>
    <n v="0"/>
    <m/>
    <n v="0"/>
    <m/>
    <n v="0"/>
    <m/>
    <n v="0"/>
    <m/>
    <n v="0"/>
    <m/>
    <n v="0"/>
    <m/>
    <n v="0"/>
    <n v="0"/>
    <n v="656"/>
    <n v="0"/>
    <n v="0"/>
  </r>
  <r>
    <x v="19"/>
    <n v="1652717.4999999998"/>
    <x v="0"/>
    <n v="0"/>
    <n v="1697752.4999999995"/>
    <n v="0"/>
    <n v="1743309.0000000002"/>
    <n v="0"/>
    <n v="1788919.0000000005"/>
    <n v="708"/>
    <n v="1834551.4999999995"/>
    <n v="388"/>
    <n v="1879826.5000000005"/>
    <n v="0"/>
    <n v="1924954.4999999988"/>
    <n v="1181"/>
    <n v="1970456.5"/>
    <n v="0"/>
    <n v="2015827.9999999998"/>
    <n v="781"/>
    <n v="2060720.9999999991"/>
    <n v="916"/>
    <n v="2105565.4999999991"/>
    <n v="885"/>
    <n v="318"/>
    <n v="708"/>
    <n v="1181"/>
    <n v="916"/>
  </r>
  <r>
    <x v="19"/>
    <n v="1652718.5"/>
    <x v="1"/>
    <n v="0"/>
    <m/>
    <n v="1468"/>
    <m/>
    <n v="1899"/>
    <m/>
    <n v="2098"/>
    <m/>
    <n v="2006"/>
    <m/>
    <n v="0"/>
    <m/>
    <n v="1488"/>
    <m/>
    <n v="0"/>
    <m/>
    <n v="2782"/>
    <m/>
    <n v="3912"/>
    <m/>
    <n v="3758"/>
    <n v="1264"/>
    <n v="2098"/>
    <n v="2006"/>
    <n v="3912"/>
  </r>
  <r>
    <x v="19"/>
    <n v="1652719.5"/>
    <x v="2"/>
    <n v="0"/>
    <m/>
    <n v="306"/>
    <m/>
    <n v="0"/>
    <m/>
    <n v="0"/>
    <m/>
    <n v="250"/>
    <m/>
    <n v="0"/>
    <m/>
    <n v="0"/>
    <m/>
    <n v="0"/>
    <m/>
    <n v="370"/>
    <m/>
    <n v="426"/>
    <m/>
    <n v="394"/>
    <n v="157"/>
    <n v="306"/>
    <n v="250"/>
    <n v="426"/>
  </r>
  <r>
    <x v="19"/>
    <n v="1652720.5"/>
    <x v="3"/>
    <n v="0"/>
    <m/>
    <n v="0"/>
    <m/>
    <n v="74"/>
    <m/>
    <n v="1539"/>
    <m/>
    <n v="0"/>
    <m/>
    <n v="0"/>
    <m/>
    <n v="0"/>
    <m/>
    <n v="0"/>
    <m/>
    <n v="0"/>
    <m/>
    <n v="0"/>
    <m/>
    <n v="0"/>
    <n v="82"/>
    <n v="1539"/>
    <n v="0"/>
    <n v="0"/>
  </r>
  <r>
    <x v="19"/>
    <n v="1652721.5"/>
    <x v="4"/>
    <n v="0"/>
    <m/>
    <n v="0"/>
    <m/>
    <n v="0"/>
    <m/>
    <n v="46"/>
    <m/>
    <n v="0"/>
    <m/>
    <n v="0"/>
    <m/>
    <n v="0"/>
    <m/>
    <n v="0"/>
    <m/>
    <n v="0"/>
    <m/>
    <n v="0"/>
    <m/>
    <n v="53"/>
    <n v="16"/>
    <n v="46"/>
    <n v="0"/>
    <n v="53"/>
  </r>
  <r>
    <x v="19"/>
    <n v="1652722.5"/>
    <x v="5"/>
    <n v="0"/>
    <m/>
    <n v="0"/>
    <m/>
    <n v="0"/>
    <m/>
    <n v="0"/>
    <m/>
    <n v="0"/>
    <m/>
    <n v="0"/>
    <m/>
    <n v="3481"/>
    <m/>
    <n v="0"/>
    <m/>
    <n v="3711"/>
    <m/>
    <n v="0"/>
    <m/>
    <n v="3975"/>
    <n v="4057"/>
    <n v="0"/>
    <n v="3481"/>
    <n v="3975"/>
  </r>
  <r>
    <x v="19"/>
    <n v="1652723.5"/>
    <x v="6"/>
    <n v="0"/>
    <m/>
    <n v="0"/>
    <m/>
    <n v="0"/>
    <m/>
    <n v="496"/>
    <m/>
    <n v="0"/>
    <m/>
    <n v="0"/>
    <m/>
    <n v="0"/>
    <m/>
    <n v="0"/>
    <m/>
    <n v="0"/>
    <m/>
    <n v="0"/>
    <m/>
    <n v="0"/>
    <n v="0"/>
    <n v="496"/>
    <n v="0"/>
    <n v="0"/>
  </r>
  <r>
    <x v="19"/>
    <n v="1652724.5"/>
    <x v="7"/>
    <n v="0"/>
    <m/>
    <n v="0"/>
    <m/>
    <n v="0"/>
    <m/>
    <n v="0"/>
    <m/>
    <n v="0"/>
    <m/>
    <n v="0"/>
    <m/>
    <n v="0"/>
    <m/>
    <n v="0"/>
    <m/>
    <n v="0"/>
    <m/>
    <n v="0"/>
    <m/>
    <n v="0"/>
    <n v="3"/>
    <n v="0"/>
    <n v="0"/>
    <n v="0"/>
  </r>
  <r>
    <x v="19"/>
    <n v="1652725.5"/>
    <x v="8"/>
    <n v="0"/>
    <m/>
    <n v="0"/>
    <m/>
    <n v="0"/>
    <m/>
    <n v="0"/>
    <m/>
    <n v="0"/>
    <m/>
    <n v="0"/>
    <m/>
    <n v="0"/>
    <m/>
    <n v="0"/>
    <m/>
    <n v="0"/>
    <m/>
    <n v="0"/>
    <m/>
    <n v="0"/>
    <n v="0"/>
    <n v="0"/>
    <n v="0"/>
    <n v="0"/>
  </r>
  <r>
    <x v="19"/>
    <n v="1652726.5"/>
    <x v="9"/>
    <n v="0"/>
    <m/>
    <n v="0"/>
    <m/>
    <n v="0"/>
    <m/>
    <n v="0"/>
    <m/>
    <n v="0"/>
    <m/>
    <n v="0"/>
    <m/>
    <n v="0"/>
    <m/>
    <n v="0"/>
    <m/>
    <n v="0"/>
    <m/>
    <n v="0"/>
    <m/>
    <n v="0"/>
    <n v="130"/>
    <n v="0"/>
    <n v="0"/>
    <n v="0"/>
  </r>
  <r>
    <x v="19"/>
    <n v="1652727.5"/>
    <x v="10"/>
    <n v="0"/>
    <m/>
    <n v="0"/>
    <m/>
    <n v="0"/>
    <m/>
    <n v="0"/>
    <m/>
    <n v="4"/>
    <m/>
    <n v="0"/>
    <m/>
    <n v="0"/>
    <m/>
    <n v="0"/>
    <m/>
    <n v="8"/>
    <m/>
    <n v="3"/>
    <m/>
    <n v="2"/>
    <n v="5"/>
    <n v="0"/>
    <n v="4"/>
    <n v="8"/>
  </r>
  <r>
    <x v="19"/>
    <n v="1652728.5"/>
    <x v="11"/>
    <n v="0"/>
    <m/>
    <n v="0"/>
    <m/>
    <n v="0"/>
    <m/>
    <n v="0"/>
    <m/>
    <n v="158"/>
    <m/>
    <n v="0"/>
    <m/>
    <n v="53"/>
    <m/>
    <n v="0"/>
    <m/>
    <n v="285"/>
    <m/>
    <n v="200"/>
    <m/>
    <n v="1"/>
    <n v="0"/>
    <n v="0"/>
    <n v="158"/>
    <n v="285"/>
  </r>
  <r>
    <x v="19"/>
    <n v="1652729.5"/>
    <x v="12"/>
    <n v="0"/>
    <m/>
    <n v="0"/>
    <m/>
    <n v="0"/>
    <m/>
    <n v="0"/>
    <m/>
    <n v="0"/>
    <m/>
    <n v="0"/>
    <m/>
    <n v="0"/>
    <m/>
    <n v="0"/>
    <m/>
    <n v="0"/>
    <m/>
    <n v="0"/>
    <m/>
    <n v="0"/>
    <n v="0"/>
    <n v="0"/>
    <n v="0"/>
    <n v="0"/>
  </r>
  <r>
    <x v="19"/>
    <n v="1652730.5"/>
    <x v="13"/>
    <n v="0"/>
    <m/>
    <n v="0"/>
    <m/>
    <n v="0"/>
    <m/>
    <n v="0"/>
    <m/>
    <n v="0"/>
    <m/>
    <n v="0"/>
    <m/>
    <n v="17"/>
    <m/>
    <n v="0"/>
    <m/>
    <n v="3"/>
    <m/>
    <n v="2"/>
    <m/>
    <n v="51"/>
    <n v="12"/>
    <n v="0"/>
    <n v="17"/>
    <n v="51"/>
  </r>
  <r>
    <x v="19"/>
    <n v="1652731.5"/>
    <x v="14"/>
    <n v="0"/>
    <m/>
    <n v="0"/>
    <m/>
    <n v="0"/>
    <m/>
    <n v="0"/>
    <m/>
    <n v="0"/>
    <m/>
    <n v="0"/>
    <m/>
    <n v="1"/>
    <m/>
    <n v="0"/>
    <m/>
    <n v="0"/>
    <m/>
    <n v="0"/>
    <m/>
    <n v="0"/>
    <n v="24"/>
    <n v="0"/>
    <n v="1"/>
    <n v="0"/>
  </r>
  <r>
    <x v="19"/>
    <n v="1652732.5"/>
    <x v="15"/>
    <n v="0"/>
    <m/>
    <n v="0"/>
    <m/>
    <n v="0"/>
    <m/>
    <n v="0"/>
    <m/>
    <n v="0"/>
    <m/>
    <n v="0"/>
    <m/>
    <n v="1"/>
    <m/>
    <n v="0"/>
    <m/>
    <n v="9"/>
    <m/>
    <n v="10"/>
    <m/>
    <n v="0"/>
    <n v="16"/>
    <n v="0"/>
    <n v="1"/>
    <n v="10"/>
  </r>
  <r>
    <x v="19"/>
    <n v="1652733.5"/>
    <x v="16"/>
    <n v="0"/>
    <m/>
    <n v="0"/>
    <m/>
    <n v="0"/>
    <m/>
    <n v="0"/>
    <m/>
    <n v="0"/>
    <m/>
    <n v="0"/>
    <m/>
    <n v="0"/>
    <m/>
    <n v="0"/>
    <m/>
    <n v="149"/>
    <m/>
    <n v="0"/>
    <m/>
    <n v="10"/>
    <n v="481"/>
    <n v="0"/>
    <n v="0"/>
    <n v="149"/>
  </r>
  <r>
    <x v="19"/>
    <n v="1652734.5"/>
    <x v="17"/>
    <n v="0"/>
    <m/>
    <n v="0"/>
    <m/>
    <n v="0"/>
    <m/>
    <n v="0"/>
    <m/>
    <n v="0"/>
    <m/>
    <n v="0"/>
    <m/>
    <n v="0"/>
    <m/>
    <n v="0"/>
    <m/>
    <n v="115"/>
    <m/>
    <n v="86"/>
    <m/>
    <n v="64"/>
    <n v="69"/>
    <n v="0"/>
    <n v="0"/>
    <n v="115"/>
  </r>
  <r>
    <x v="19"/>
    <n v="1652735.5"/>
    <x v="18"/>
    <n v="0"/>
    <m/>
    <n v="0"/>
    <m/>
    <n v="0"/>
    <m/>
    <n v="0"/>
    <m/>
    <n v="16"/>
    <m/>
    <n v="0"/>
    <m/>
    <n v="0"/>
    <m/>
    <n v="0"/>
    <m/>
    <n v="1"/>
    <m/>
    <n v="1"/>
    <m/>
    <n v="197"/>
    <n v="172"/>
    <n v="0"/>
    <n v="16"/>
    <n v="197"/>
  </r>
  <r>
    <x v="19"/>
    <n v="1652736.5"/>
    <x v="19"/>
    <n v="0"/>
    <m/>
    <n v="0"/>
    <m/>
    <n v="0"/>
    <m/>
    <n v="0"/>
    <m/>
    <n v="11"/>
    <m/>
    <n v="0"/>
    <m/>
    <n v="0"/>
    <m/>
    <n v="0"/>
    <m/>
    <n v="2"/>
    <m/>
    <n v="0"/>
    <m/>
    <n v="0"/>
    <n v="8"/>
    <n v="0"/>
    <n v="11"/>
    <n v="2"/>
  </r>
  <r>
    <x v="19"/>
    <n v="1652737.5"/>
    <x v="20"/>
    <n v="0"/>
    <m/>
    <n v="0"/>
    <m/>
    <n v="0"/>
    <m/>
    <n v="0"/>
    <m/>
    <n v="0"/>
    <m/>
    <n v="0"/>
    <m/>
    <n v="15"/>
    <m/>
    <n v="0"/>
    <m/>
    <n v="4"/>
    <m/>
    <n v="6"/>
    <m/>
    <n v="5"/>
    <n v="13"/>
    <n v="0"/>
    <n v="15"/>
    <n v="6"/>
  </r>
  <r>
    <x v="19"/>
    <n v="1652738.5"/>
    <x v="21"/>
    <n v="0"/>
    <m/>
    <n v="0"/>
    <m/>
    <n v="0"/>
    <m/>
    <n v="0"/>
    <m/>
    <n v="0"/>
    <m/>
    <n v="0"/>
    <m/>
    <n v="53"/>
    <m/>
    <n v="0"/>
    <m/>
    <n v="61"/>
    <m/>
    <n v="16"/>
    <m/>
    <n v="68"/>
    <n v="0"/>
    <n v="0"/>
    <n v="53"/>
    <n v="68"/>
  </r>
  <r>
    <x v="19"/>
    <n v="1652739.5"/>
    <x v="22"/>
    <n v="0"/>
    <m/>
    <n v="0"/>
    <m/>
    <n v="0"/>
    <m/>
    <n v="0"/>
    <m/>
    <n v="0"/>
    <m/>
    <n v="0"/>
    <m/>
    <n v="0"/>
    <m/>
    <n v="0"/>
    <m/>
    <n v="0"/>
    <m/>
    <n v="0"/>
    <m/>
    <n v="0"/>
    <n v="0"/>
    <n v="0"/>
    <n v="0"/>
    <n v="0"/>
  </r>
  <r>
    <x v="19"/>
    <n v="1652740.5"/>
    <x v="23"/>
    <n v="0"/>
    <m/>
    <n v="0"/>
    <m/>
    <n v="0"/>
    <m/>
    <n v="0"/>
    <m/>
    <n v="0"/>
    <m/>
    <n v="0"/>
    <m/>
    <n v="0"/>
    <m/>
    <n v="0"/>
    <m/>
    <n v="0"/>
    <m/>
    <n v="0"/>
    <m/>
    <n v="0"/>
    <n v="1063"/>
    <n v="0"/>
    <n v="0"/>
    <n v="0"/>
  </r>
  <r>
    <x v="20"/>
    <n v="1193635.4999999998"/>
    <x v="0"/>
    <n v="0"/>
    <n v="1243941.0000000002"/>
    <n v="0"/>
    <n v="1295183.0000000005"/>
    <n v="0"/>
    <n v="1346973.0000000005"/>
    <n v="0"/>
    <n v="1398926.5"/>
    <n v="0"/>
    <n v="1450694.0000000005"/>
    <n v="1014"/>
    <n v="1502091.5000000002"/>
    <n v="0"/>
    <n v="1553030.5000000002"/>
    <n v="0"/>
    <n v="1596048.5000000009"/>
    <n v="0"/>
    <n v="1634465.5000000002"/>
    <n v="0"/>
    <n v="1674908"/>
    <n v="478"/>
    <n v="246"/>
    <n v="0"/>
    <n v="1014"/>
    <n v="478"/>
  </r>
  <r>
    <x v="20"/>
    <n v="1193636.5"/>
    <x v="1"/>
    <n v="0"/>
    <m/>
    <n v="0"/>
    <m/>
    <n v="0"/>
    <m/>
    <n v="0"/>
    <m/>
    <n v="0"/>
    <m/>
    <n v="1268"/>
    <m/>
    <n v="0"/>
    <m/>
    <n v="0"/>
    <m/>
    <n v="0"/>
    <m/>
    <n v="0"/>
    <m/>
    <n v="2750"/>
    <n v="355"/>
    <n v="0"/>
    <n v="1268"/>
    <n v="2750"/>
  </r>
  <r>
    <x v="20"/>
    <n v="1193637.5"/>
    <x v="2"/>
    <n v="0"/>
    <m/>
    <n v="0"/>
    <m/>
    <n v="0"/>
    <m/>
    <n v="0"/>
    <m/>
    <n v="0"/>
    <m/>
    <n v="0"/>
    <m/>
    <n v="0"/>
    <m/>
    <n v="0"/>
    <m/>
    <n v="0"/>
    <m/>
    <n v="0"/>
    <m/>
    <n v="46"/>
    <n v="51"/>
    <n v="0"/>
    <n v="0"/>
    <n v="46"/>
  </r>
  <r>
    <x v="20"/>
    <n v="1193638.5"/>
    <x v="3"/>
    <n v="918"/>
    <m/>
    <n v="255"/>
    <m/>
    <n v="29"/>
    <m/>
    <n v="2295"/>
    <m/>
    <n v="93"/>
    <m/>
    <n v="27"/>
    <m/>
    <n v="621"/>
    <m/>
    <n v="182"/>
    <m/>
    <n v="748"/>
    <m/>
    <n v="2192"/>
    <m/>
    <n v="690"/>
    <n v="10"/>
    <n v="2295"/>
    <n v="621"/>
    <n v="2192"/>
  </r>
  <r>
    <x v="20"/>
    <n v="1193639.5"/>
    <x v="4"/>
    <n v="713"/>
    <m/>
    <n v="73"/>
    <m/>
    <n v="8"/>
    <m/>
    <n v="841"/>
    <m/>
    <n v="3"/>
    <m/>
    <n v="225"/>
    <m/>
    <n v="112"/>
    <m/>
    <n v="83"/>
    <m/>
    <n v="466"/>
    <m/>
    <n v="294"/>
    <m/>
    <n v="128"/>
    <n v="0"/>
    <n v="841"/>
    <n v="225"/>
    <n v="466"/>
  </r>
  <r>
    <x v="20"/>
    <n v="1193640.5"/>
    <x v="5"/>
    <n v="0"/>
    <m/>
    <n v="0"/>
    <m/>
    <n v="0"/>
    <m/>
    <n v="0"/>
    <m/>
    <n v="0"/>
    <m/>
    <n v="0"/>
    <m/>
    <n v="0"/>
    <m/>
    <n v="0"/>
    <m/>
    <n v="0"/>
    <m/>
    <n v="0"/>
    <m/>
    <n v="146"/>
    <n v="0"/>
    <n v="0"/>
    <n v="0"/>
    <n v="146"/>
  </r>
  <r>
    <x v="20"/>
    <n v="1193641.5"/>
    <x v="6"/>
    <n v="0"/>
    <m/>
    <n v="0"/>
    <m/>
    <n v="5"/>
    <m/>
    <n v="1147"/>
    <m/>
    <n v="0"/>
    <m/>
    <n v="0"/>
    <m/>
    <n v="0"/>
    <m/>
    <n v="6"/>
    <m/>
    <n v="0"/>
    <m/>
    <n v="620"/>
    <m/>
    <n v="25"/>
    <n v="0"/>
    <n v="1147"/>
    <n v="6"/>
    <n v="620"/>
  </r>
  <r>
    <x v="20"/>
    <n v="1193642.5"/>
    <x v="7"/>
    <n v="0"/>
    <m/>
    <n v="0"/>
    <m/>
    <n v="1"/>
    <m/>
    <n v="5310"/>
    <m/>
    <n v="0"/>
    <m/>
    <n v="0"/>
    <m/>
    <n v="0"/>
    <m/>
    <n v="0"/>
    <m/>
    <n v="0"/>
    <m/>
    <n v="0"/>
    <m/>
    <n v="134"/>
    <n v="0"/>
    <n v="5310"/>
    <n v="0"/>
    <n v="134"/>
  </r>
  <r>
    <x v="20"/>
    <n v="1193643.5"/>
    <x v="8"/>
    <n v="0"/>
    <m/>
    <n v="0"/>
    <m/>
    <n v="0"/>
    <m/>
    <n v="0"/>
    <m/>
    <n v="0"/>
    <m/>
    <n v="0"/>
    <m/>
    <n v="0"/>
    <m/>
    <n v="0"/>
    <m/>
    <n v="0"/>
    <m/>
    <n v="0"/>
    <m/>
    <n v="0"/>
    <n v="1847"/>
    <n v="0"/>
    <n v="0"/>
    <n v="0"/>
  </r>
  <r>
    <x v="20"/>
    <n v="1193644.5"/>
    <x v="9"/>
    <n v="0"/>
    <m/>
    <n v="0"/>
    <m/>
    <n v="0"/>
    <m/>
    <n v="0"/>
    <m/>
    <n v="0"/>
    <m/>
    <n v="0"/>
    <m/>
    <n v="0"/>
    <m/>
    <n v="0"/>
    <m/>
    <n v="0"/>
    <m/>
    <n v="0"/>
    <m/>
    <n v="0"/>
    <n v="0"/>
    <n v="0"/>
    <n v="0"/>
    <n v="0"/>
  </r>
  <r>
    <x v="20"/>
    <n v="1193645.5"/>
    <x v="10"/>
    <n v="0"/>
    <m/>
    <n v="0"/>
    <m/>
    <n v="0"/>
    <m/>
    <n v="0"/>
    <m/>
    <n v="0"/>
    <m/>
    <n v="0"/>
    <m/>
    <n v="0"/>
    <m/>
    <n v="0"/>
    <m/>
    <n v="0"/>
    <m/>
    <n v="0"/>
    <m/>
    <n v="0"/>
    <n v="5"/>
    <n v="0"/>
    <n v="0"/>
    <n v="0"/>
  </r>
  <r>
    <x v="20"/>
    <n v="1193646.5"/>
    <x v="11"/>
    <n v="0"/>
    <m/>
    <n v="0"/>
    <m/>
    <n v="0"/>
    <m/>
    <n v="0"/>
    <m/>
    <n v="0"/>
    <m/>
    <n v="0"/>
    <m/>
    <n v="2"/>
    <m/>
    <n v="0"/>
    <m/>
    <n v="0"/>
    <m/>
    <n v="0"/>
    <m/>
    <n v="0"/>
    <n v="134"/>
    <n v="0"/>
    <n v="2"/>
    <n v="0"/>
  </r>
  <r>
    <x v="20"/>
    <n v="1193647.5"/>
    <x v="12"/>
    <n v="0"/>
    <m/>
    <n v="0"/>
    <m/>
    <n v="0"/>
    <m/>
    <n v="0"/>
    <m/>
    <n v="0"/>
    <m/>
    <n v="0"/>
    <m/>
    <n v="0"/>
    <m/>
    <n v="0"/>
    <m/>
    <n v="0"/>
    <m/>
    <n v="0"/>
    <m/>
    <n v="282"/>
    <n v="0"/>
    <n v="0"/>
    <n v="0"/>
    <n v="282"/>
  </r>
  <r>
    <x v="20"/>
    <n v="1193648.5"/>
    <x v="13"/>
    <n v="0"/>
    <m/>
    <n v="0"/>
    <m/>
    <n v="0"/>
    <m/>
    <n v="0"/>
    <m/>
    <n v="0"/>
    <m/>
    <n v="0"/>
    <m/>
    <n v="0"/>
    <m/>
    <n v="0"/>
    <m/>
    <n v="0"/>
    <m/>
    <n v="0"/>
    <m/>
    <n v="0"/>
    <n v="0"/>
    <n v="0"/>
    <n v="0"/>
    <n v="0"/>
  </r>
  <r>
    <x v="20"/>
    <n v="1193649.5"/>
    <x v="14"/>
    <n v="0"/>
    <m/>
    <n v="0"/>
    <m/>
    <n v="0"/>
    <m/>
    <n v="0"/>
    <m/>
    <n v="0"/>
    <m/>
    <n v="0"/>
    <m/>
    <n v="0"/>
    <m/>
    <n v="0"/>
    <m/>
    <n v="0"/>
    <m/>
    <n v="0"/>
    <m/>
    <n v="0"/>
    <n v="0"/>
    <n v="0"/>
    <n v="0"/>
    <n v="0"/>
  </r>
  <r>
    <x v="20"/>
    <n v="1193650.5"/>
    <x v="15"/>
    <n v="0"/>
    <m/>
    <n v="0"/>
    <m/>
    <n v="0"/>
    <m/>
    <n v="0"/>
    <m/>
    <n v="0"/>
    <m/>
    <n v="0"/>
    <m/>
    <n v="0"/>
    <m/>
    <n v="0"/>
    <m/>
    <n v="0"/>
    <m/>
    <n v="0"/>
    <m/>
    <n v="0"/>
    <n v="0"/>
    <n v="0"/>
    <n v="0"/>
    <n v="0"/>
  </r>
  <r>
    <x v="20"/>
    <n v="1193651.5"/>
    <x v="16"/>
    <n v="0"/>
    <m/>
    <n v="0"/>
    <m/>
    <n v="0"/>
    <m/>
    <n v="0"/>
    <m/>
    <n v="0"/>
    <m/>
    <n v="0"/>
    <m/>
    <n v="0"/>
    <m/>
    <n v="0"/>
    <m/>
    <n v="0"/>
    <m/>
    <n v="0"/>
    <m/>
    <n v="0"/>
    <n v="0"/>
    <n v="0"/>
    <n v="0"/>
    <n v="0"/>
  </r>
  <r>
    <x v="20"/>
    <n v="1193652.5"/>
    <x v="17"/>
    <n v="0"/>
    <m/>
    <n v="0"/>
    <m/>
    <n v="0"/>
    <m/>
    <n v="0"/>
    <m/>
    <n v="0"/>
    <m/>
    <n v="0"/>
    <m/>
    <n v="0"/>
    <m/>
    <n v="0"/>
    <m/>
    <n v="0"/>
    <m/>
    <n v="0"/>
    <m/>
    <n v="0"/>
    <n v="0"/>
    <n v="0"/>
    <n v="0"/>
    <n v="0"/>
  </r>
  <r>
    <x v="20"/>
    <n v="1193653.5"/>
    <x v="18"/>
    <n v="0"/>
    <m/>
    <n v="0"/>
    <m/>
    <n v="0"/>
    <m/>
    <n v="0"/>
    <m/>
    <n v="0"/>
    <m/>
    <n v="0"/>
    <m/>
    <n v="0"/>
    <m/>
    <n v="0"/>
    <m/>
    <n v="0"/>
    <m/>
    <n v="0"/>
    <m/>
    <n v="228"/>
    <n v="2"/>
    <n v="0"/>
    <n v="0"/>
    <n v="228"/>
  </r>
  <r>
    <x v="20"/>
    <n v="1193654.5"/>
    <x v="19"/>
    <n v="0"/>
    <m/>
    <n v="0"/>
    <m/>
    <n v="0"/>
    <m/>
    <n v="0"/>
    <m/>
    <n v="0"/>
    <m/>
    <n v="0"/>
    <m/>
    <n v="0"/>
    <m/>
    <n v="0"/>
    <m/>
    <n v="0"/>
    <m/>
    <n v="0"/>
    <m/>
    <n v="101"/>
    <n v="0"/>
    <n v="0"/>
    <n v="0"/>
    <n v="101"/>
  </r>
  <r>
    <x v="20"/>
    <n v="1193655.5"/>
    <x v="20"/>
    <n v="0"/>
    <m/>
    <n v="0"/>
    <m/>
    <n v="0"/>
    <m/>
    <n v="0"/>
    <m/>
    <n v="0"/>
    <m/>
    <n v="0"/>
    <m/>
    <n v="0"/>
    <m/>
    <n v="0"/>
    <m/>
    <n v="0"/>
    <m/>
    <n v="0"/>
    <m/>
    <n v="0"/>
    <n v="0"/>
    <n v="0"/>
    <n v="0"/>
    <n v="0"/>
  </r>
  <r>
    <x v="20"/>
    <n v="1193656.5"/>
    <x v="21"/>
    <n v="0"/>
    <m/>
    <n v="0"/>
    <m/>
    <n v="0"/>
    <m/>
    <n v="0"/>
    <m/>
    <n v="0"/>
    <m/>
    <n v="0"/>
    <m/>
    <n v="0"/>
    <m/>
    <n v="0"/>
    <m/>
    <n v="0"/>
    <m/>
    <n v="0"/>
    <m/>
    <n v="0"/>
    <n v="0"/>
    <n v="0"/>
    <n v="0"/>
    <n v="0"/>
  </r>
  <r>
    <x v="20"/>
    <n v="1193657.5"/>
    <x v="22"/>
    <n v="0"/>
    <m/>
    <n v="0"/>
    <m/>
    <n v="0"/>
    <m/>
    <n v="0"/>
    <m/>
    <n v="0"/>
    <m/>
    <n v="0"/>
    <m/>
    <n v="0"/>
    <m/>
    <n v="0"/>
    <m/>
    <n v="0"/>
    <m/>
    <n v="0"/>
    <m/>
    <n v="0"/>
    <n v="0"/>
    <n v="0"/>
    <n v="0"/>
    <n v="0"/>
  </r>
  <r>
    <x v="20"/>
    <n v="1193658.5"/>
    <x v="23"/>
    <n v="0"/>
    <m/>
    <n v="0"/>
    <m/>
    <n v="0"/>
    <m/>
    <n v="0"/>
    <m/>
    <n v="0"/>
    <m/>
    <n v="0"/>
    <m/>
    <n v="0"/>
    <m/>
    <n v="0"/>
    <m/>
    <n v="0"/>
    <m/>
    <n v="0"/>
    <m/>
    <n v="0"/>
    <n v="0"/>
    <n v="0"/>
    <n v="0"/>
    <n v="0"/>
  </r>
  <r>
    <x v="21"/>
    <n v="43725806.500000007"/>
    <x v="0"/>
    <n v="16184"/>
    <n v="44792368.000000007"/>
    <n v="17493"/>
    <n v="45831863.500000007"/>
    <n v="18971"/>
    <n v="46851488.499999993"/>
    <n v="0"/>
    <n v="47894670"/>
    <n v="380"/>
    <n v="48948137.000000037"/>
    <n v="0"/>
    <n v="49953303.999999993"/>
    <n v="20964"/>
    <n v="50951450"/>
    <n v="0"/>
    <n v="51985779.999999993"/>
    <n v="0"/>
    <n v="53005614.000000022"/>
    <n v="12377"/>
    <n v="54027486.999999985"/>
    <n v="13340"/>
    <n v="8042"/>
    <n v="18971"/>
    <n v="20964"/>
    <n v="13340"/>
  </r>
  <r>
    <x v="21"/>
    <n v="43725807.5"/>
    <x v="1"/>
    <n v="123538"/>
    <m/>
    <n v="80584"/>
    <m/>
    <n v="86622"/>
    <m/>
    <n v="82826"/>
    <m/>
    <n v="97474"/>
    <m/>
    <n v="106336"/>
    <m/>
    <n v="119802"/>
    <m/>
    <n v="0"/>
    <m/>
    <n v="0"/>
    <m/>
    <n v="69176"/>
    <m/>
    <n v="69268"/>
    <n v="59901"/>
    <n v="123538"/>
    <n v="119802"/>
    <n v="69268"/>
  </r>
  <r>
    <x v="21"/>
    <n v="43725808.5"/>
    <x v="2"/>
    <n v="0"/>
    <m/>
    <n v="0"/>
    <m/>
    <n v="0"/>
    <m/>
    <n v="0"/>
    <m/>
    <n v="4184"/>
    <m/>
    <n v="0"/>
    <m/>
    <n v="0"/>
    <m/>
    <n v="0"/>
    <m/>
    <n v="0"/>
    <m/>
    <n v="0"/>
    <m/>
    <n v="274"/>
    <n v="0"/>
    <n v="0"/>
    <n v="4184"/>
    <n v="274"/>
  </r>
  <r>
    <x v="21"/>
    <n v="43725809.5"/>
    <x v="3"/>
    <n v="531"/>
    <m/>
    <n v="2310"/>
    <m/>
    <n v="0"/>
    <m/>
    <n v="1080"/>
    <m/>
    <n v="170"/>
    <m/>
    <n v="0"/>
    <m/>
    <n v="0"/>
    <m/>
    <n v="11741"/>
    <m/>
    <n v="0"/>
    <m/>
    <n v="0"/>
    <m/>
    <n v="0"/>
    <n v="2295"/>
    <n v="2310"/>
    <n v="11741"/>
    <n v="0"/>
  </r>
  <r>
    <x v="21"/>
    <n v="43725810.5"/>
    <x v="4"/>
    <n v="401"/>
    <m/>
    <n v="536"/>
    <m/>
    <n v="0"/>
    <m/>
    <n v="236"/>
    <m/>
    <n v="178"/>
    <m/>
    <n v="0"/>
    <m/>
    <n v="0"/>
    <m/>
    <n v="13262"/>
    <m/>
    <n v="0"/>
    <m/>
    <n v="0"/>
    <m/>
    <n v="0"/>
    <n v="1764"/>
    <n v="536"/>
    <n v="13262"/>
    <n v="0"/>
  </r>
  <r>
    <x v="21"/>
    <n v="43725811.5"/>
    <x v="5"/>
    <n v="0"/>
    <m/>
    <n v="0"/>
    <m/>
    <n v="0"/>
    <m/>
    <n v="0"/>
    <m/>
    <n v="0"/>
    <m/>
    <n v="0"/>
    <m/>
    <n v="58079"/>
    <m/>
    <n v="0"/>
    <m/>
    <n v="91653"/>
    <m/>
    <n v="86490"/>
    <m/>
    <n v="86423"/>
    <n v="58079"/>
    <n v="0"/>
    <n v="58079"/>
    <n v="91653"/>
  </r>
  <r>
    <x v="21"/>
    <n v="43725812.5"/>
    <x v="6"/>
    <n v="0"/>
    <m/>
    <n v="211"/>
    <m/>
    <n v="0"/>
    <m/>
    <n v="0"/>
    <m/>
    <n v="0"/>
    <m/>
    <n v="0"/>
    <m/>
    <n v="0"/>
    <m/>
    <n v="3877"/>
    <m/>
    <n v="0"/>
    <m/>
    <n v="0"/>
    <m/>
    <n v="0"/>
    <n v="1147"/>
    <n v="211"/>
    <n v="3877"/>
    <n v="0"/>
  </r>
  <r>
    <x v="21"/>
    <n v="43725813.5"/>
    <x v="7"/>
    <n v="0"/>
    <m/>
    <n v="0"/>
    <m/>
    <n v="0"/>
    <m/>
    <n v="201"/>
    <m/>
    <n v="146"/>
    <m/>
    <n v="0"/>
    <m/>
    <n v="0"/>
    <m/>
    <n v="3730"/>
    <m/>
    <n v="0"/>
    <m/>
    <n v="0"/>
    <m/>
    <n v="0"/>
    <n v="5310"/>
    <n v="201"/>
    <n v="3730"/>
    <n v="0"/>
  </r>
  <r>
    <x v="21"/>
    <n v="43725814.5"/>
    <x v="8"/>
    <n v="0"/>
    <m/>
    <n v="0"/>
    <m/>
    <n v="0"/>
    <m/>
    <n v="0"/>
    <m/>
    <n v="0"/>
    <m/>
    <n v="0"/>
    <m/>
    <n v="0"/>
    <m/>
    <n v="0"/>
    <m/>
    <n v="0"/>
    <m/>
    <n v="0"/>
    <m/>
    <n v="0"/>
    <n v="0"/>
    <n v="0"/>
    <n v="0"/>
    <n v="0"/>
  </r>
  <r>
    <x v="21"/>
    <n v="43725815.5"/>
    <x v="9"/>
    <n v="0"/>
    <m/>
    <n v="0"/>
    <m/>
    <n v="0"/>
    <m/>
    <n v="0"/>
    <m/>
    <n v="0"/>
    <m/>
    <n v="0"/>
    <m/>
    <n v="0"/>
    <m/>
    <n v="0"/>
    <m/>
    <n v="0"/>
    <m/>
    <n v="0"/>
    <m/>
    <n v="0"/>
    <n v="0"/>
    <n v="0"/>
    <n v="0"/>
    <n v="0"/>
  </r>
  <r>
    <x v="21"/>
    <n v="43725816.5"/>
    <x v="10"/>
    <n v="0"/>
    <m/>
    <n v="0"/>
    <m/>
    <n v="0"/>
    <m/>
    <n v="0"/>
    <m/>
    <n v="0"/>
    <m/>
    <n v="0"/>
    <m/>
    <n v="0"/>
    <m/>
    <n v="468"/>
    <m/>
    <n v="0"/>
    <m/>
    <n v="261"/>
    <m/>
    <n v="181"/>
    <n v="468"/>
    <n v="0"/>
    <n v="468"/>
    <n v="261"/>
  </r>
  <r>
    <x v="21"/>
    <n v="43725817.5"/>
    <x v="11"/>
    <n v="0"/>
    <m/>
    <n v="0"/>
    <m/>
    <n v="0"/>
    <m/>
    <n v="0"/>
    <m/>
    <n v="0"/>
    <m/>
    <n v="0"/>
    <m/>
    <n v="0"/>
    <m/>
    <n v="0"/>
    <m/>
    <n v="0"/>
    <m/>
    <n v="5019"/>
    <m/>
    <n v="4663"/>
    <n v="0"/>
    <n v="0"/>
    <n v="0"/>
    <n v="5019"/>
  </r>
  <r>
    <x v="21"/>
    <n v="43725818.5"/>
    <x v="12"/>
    <n v="0"/>
    <m/>
    <n v="0"/>
    <m/>
    <n v="0"/>
    <m/>
    <n v="0"/>
    <m/>
    <n v="0"/>
    <m/>
    <n v="0"/>
    <m/>
    <n v="0"/>
    <m/>
    <n v="0"/>
    <m/>
    <n v="0"/>
    <m/>
    <n v="0"/>
    <m/>
    <n v="0"/>
    <n v="0"/>
    <n v="0"/>
    <n v="0"/>
    <n v="0"/>
  </r>
  <r>
    <x v="21"/>
    <n v="43725819.5"/>
    <x v="13"/>
    <n v="0"/>
    <m/>
    <n v="0"/>
    <m/>
    <n v="0"/>
    <m/>
    <n v="0"/>
    <m/>
    <n v="0"/>
    <m/>
    <n v="0"/>
    <m/>
    <n v="430"/>
    <m/>
    <n v="0"/>
    <m/>
    <n v="0"/>
    <m/>
    <n v="717"/>
    <m/>
    <n v="0"/>
    <n v="430"/>
    <n v="0"/>
    <n v="430"/>
    <n v="717"/>
  </r>
  <r>
    <x v="21"/>
    <n v="43725820.5"/>
    <x v="14"/>
    <n v="0"/>
    <m/>
    <n v="0"/>
    <m/>
    <n v="0"/>
    <m/>
    <n v="0"/>
    <m/>
    <n v="0"/>
    <m/>
    <n v="0"/>
    <m/>
    <n v="714"/>
    <m/>
    <n v="0"/>
    <m/>
    <n v="0"/>
    <m/>
    <n v="0"/>
    <m/>
    <n v="0"/>
    <n v="2419"/>
    <n v="0"/>
    <n v="714"/>
    <n v="0"/>
  </r>
  <r>
    <x v="21"/>
    <n v="43725821.5"/>
    <x v="15"/>
    <n v="0"/>
    <m/>
    <n v="0"/>
    <m/>
    <n v="0"/>
    <m/>
    <n v="0"/>
    <m/>
    <n v="0"/>
    <m/>
    <n v="0"/>
    <m/>
    <n v="0"/>
    <m/>
    <n v="0"/>
    <m/>
    <n v="0"/>
    <m/>
    <n v="0"/>
    <m/>
    <n v="0"/>
    <n v="0"/>
    <n v="0"/>
    <n v="0"/>
    <n v="0"/>
  </r>
  <r>
    <x v="21"/>
    <n v="43725822.5"/>
    <x v="16"/>
    <n v="0"/>
    <m/>
    <n v="0"/>
    <m/>
    <n v="0"/>
    <m/>
    <n v="0"/>
    <m/>
    <n v="0"/>
    <m/>
    <n v="0"/>
    <m/>
    <n v="0"/>
    <m/>
    <n v="0"/>
    <m/>
    <n v="0"/>
    <m/>
    <n v="3295"/>
    <m/>
    <n v="0"/>
    <n v="2759"/>
    <n v="0"/>
    <n v="0"/>
    <n v="3295"/>
  </r>
  <r>
    <x v="21"/>
    <n v="43725823.5"/>
    <x v="17"/>
    <n v="0"/>
    <m/>
    <n v="0"/>
    <m/>
    <n v="0"/>
    <m/>
    <n v="0"/>
    <m/>
    <n v="0"/>
    <m/>
    <n v="0"/>
    <m/>
    <n v="0"/>
    <m/>
    <n v="0"/>
    <m/>
    <n v="0"/>
    <m/>
    <n v="11129"/>
    <m/>
    <n v="0"/>
    <n v="0"/>
    <n v="0"/>
    <n v="0"/>
    <n v="11129"/>
  </r>
  <r>
    <x v="21"/>
    <n v="43725824.5"/>
    <x v="18"/>
    <n v="0"/>
    <m/>
    <n v="0"/>
    <m/>
    <n v="0"/>
    <m/>
    <n v="0"/>
    <m/>
    <n v="0"/>
    <m/>
    <n v="0"/>
    <m/>
    <n v="0"/>
    <m/>
    <n v="0"/>
    <m/>
    <n v="0"/>
    <m/>
    <n v="0"/>
    <m/>
    <n v="636"/>
    <n v="0"/>
    <n v="0"/>
    <n v="0"/>
    <n v="636"/>
  </r>
  <r>
    <x v="21"/>
    <n v="43725825.5"/>
    <x v="19"/>
    <n v="0"/>
    <m/>
    <n v="0"/>
    <m/>
    <n v="0"/>
    <m/>
    <n v="0"/>
    <m/>
    <n v="0"/>
    <m/>
    <n v="0"/>
    <m/>
    <n v="21942"/>
    <m/>
    <n v="0"/>
    <m/>
    <n v="0"/>
    <m/>
    <n v="8087"/>
    <m/>
    <n v="8639"/>
    <n v="21942"/>
    <n v="0"/>
    <n v="21942"/>
    <n v="8639"/>
  </r>
  <r>
    <x v="21"/>
    <n v="43725826.5"/>
    <x v="20"/>
    <n v="0"/>
    <m/>
    <n v="0"/>
    <m/>
    <n v="0"/>
    <m/>
    <n v="0"/>
    <m/>
    <n v="0"/>
    <m/>
    <n v="0"/>
    <m/>
    <n v="0"/>
    <m/>
    <n v="0"/>
    <m/>
    <n v="0"/>
    <m/>
    <n v="718"/>
    <m/>
    <n v="631"/>
    <n v="0"/>
    <n v="0"/>
    <n v="0"/>
    <n v="718"/>
  </r>
  <r>
    <x v="21"/>
    <n v="43725827.5"/>
    <x v="21"/>
    <n v="0"/>
    <m/>
    <n v="0"/>
    <m/>
    <n v="0"/>
    <m/>
    <n v="0"/>
    <m/>
    <n v="0"/>
    <m/>
    <n v="0"/>
    <m/>
    <n v="0"/>
    <m/>
    <n v="0"/>
    <m/>
    <n v="0"/>
    <m/>
    <n v="749"/>
    <m/>
    <n v="642"/>
    <n v="0"/>
    <n v="0"/>
    <n v="0"/>
    <n v="749"/>
  </r>
  <r>
    <x v="21"/>
    <n v="43725828.5"/>
    <x v="22"/>
    <n v="0"/>
    <m/>
    <n v="0"/>
    <m/>
    <n v="0"/>
    <m/>
    <n v="0"/>
    <m/>
    <n v="0"/>
    <m/>
    <n v="0"/>
    <m/>
    <n v="0"/>
    <m/>
    <n v="0"/>
    <m/>
    <n v="0"/>
    <m/>
    <n v="0"/>
    <m/>
    <n v="0"/>
    <n v="0"/>
    <n v="0"/>
    <n v="0"/>
    <n v="0"/>
  </r>
  <r>
    <x v="21"/>
    <n v="43725829.5"/>
    <x v="23"/>
    <n v="0"/>
    <m/>
    <n v="0"/>
    <m/>
    <n v="0"/>
    <m/>
    <n v="0"/>
    <m/>
    <n v="0"/>
    <m/>
    <n v="0"/>
    <m/>
    <n v="0"/>
    <m/>
    <n v="0"/>
    <m/>
    <n v="0"/>
    <m/>
    <n v="0"/>
    <m/>
    <n v="0"/>
    <n v="0"/>
    <n v="0"/>
    <n v="0"/>
    <n v="0"/>
  </r>
  <r>
    <x v="22"/>
    <n v="4331740.4999999991"/>
    <x v="0"/>
    <n v="0"/>
    <n v="4427312.4999999991"/>
    <n v="0"/>
    <n v="4519397.9999999981"/>
    <n v="0"/>
    <n v="4612328.9999999972"/>
    <n v="336"/>
    <n v="4706097.5000000009"/>
    <n v="468"/>
    <n v="4796630.9999999963"/>
    <n v="496"/>
    <n v="4889391"/>
    <n v="1407"/>
    <n v="4985289.0000000075"/>
    <n v="1508"/>
    <n v="5087584.5000000019"/>
    <n v="1611"/>
    <n v="5193415.5000000019"/>
    <n v="1861"/>
    <n v="5302681.0000000028"/>
    <n v="2025"/>
    <n v="246"/>
    <n v="336"/>
    <n v="1508"/>
    <n v="2025"/>
  </r>
  <r>
    <x v="22"/>
    <n v="4331741.5"/>
    <x v="1"/>
    <n v="0"/>
    <m/>
    <n v="0"/>
    <m/>
    <n v="0"/>
    <m/>
    <n v="0"/>
    <m/>
    <n v="0"/>
    <m/>
    <n v="0"/>
    <m/>
    <n v="4526"/>
    <m/>
    <n v="3956"/>
    <m/>
    <n v="4832"/>
    <m/>
    <n v="3522"/>
    <m/>
    <n v="6880"/>
    <n v="8488"/>
    <n v="0"/>
    <n v="4526"/>
    <n v="6880"/>
  </r>
  <r>
    <x v="22"/>
    <n v="4331742.5"/>
    <x v="2"/>
    <n v="0"/>
    <m/>
    <n v="1612"/>
    <m/>
    <n v="0"/>
    <m/>
    <n v="0"/>
    <m/>
    <n v="0"/>
    <m/>
    <n v="0"/>
    <m/>
    <n v="1784"/>
    <m/>
    <n v="1534"/>
    <m/>
    <n v="1744"/>
    <m/>
    <n v="1590"/>
    <m/>
    <n v="1538"/>
    <n v="927"/>
    <n v="1612"/>
    <n v="1784"/>
    <n v="1744"/>
  </r>
  <r>
    <x v="22"/>
    <n v="4331743.5"/>
    <x v="3"/>
    <n v="0"/>
    <m/>
    <n v="0"/>
    <m/>
    <n v="998"/>
    <m/>
    <n v="0"/>
    <m/>
    <n v="221"/>
    <m/>
    <n v="0"/>
    <m/>
    <n v="0"/>
    <m/>
    <n v="235"/>
    <m/>
    <n v="0"/>
    <m/>
    <n v="0"/>
    <m/>
    <n v="404"/>
    <n v="1071"/>
    <n v="998"/>
    <n v="235"/>
    <n v="404"/>
  </r>
  <r>
    <x v="22"/>
    <n v="4331744.5"/>
    <x v="4"/>
    <n v="0"/>
    <m/>
    <n v="0"/>
    <m/>
    <n v="385"/>
    <m/>
    <n v="0"/>
    <m/>
    <n v="57"/>
    <m/>
    <n v="0"/>
    <m/>
    <n v="0"/>
    <m/>
    <n v="0"/>
    <m/>
    <n v="0"/>
    <m/>
    <n v="0"/>
    <m/>
    <n v="147"/>
    <n v="24"/>
    <n v="385"/>
    <n v="57"/>
    <n v="147"/>
  </r>
  <r>
    <x v="22"/>
    <n v="4331745.5"/>
    <x v="5"/>
    <n v="0"/>
    <m/>
    <n v="0"/>
    <m/>
    <n v="0"/>
    <m/>
    <n v="0"/>
    <m/>
    <n v="0"/>
    <m/>
    <n v="0"/>
    <m/>
    <n v="3391"/>
    <m/>
    <n v="0"/>
    <m/>
    <n v="12625"/>
    <m/>
    <n v="0"/>
    <m/>
    <n v="0"/>
    <n v="3391"/>
    <n v="0"/>
    <n v="3391"/>
    <n v="12625"/>
  </r>
  <r>
    <x v="22"/>
    <n v="4331746.5"/>
    <x v="6"/>
    <n v="0"/>
    <m/>
    <n v="0"/>
    <m/>
    <n v="0"/>
    <m/>
    <n v="0"/>
    <m/>
    <n v="8"/>
    <m/>
    <n v="0"/>
    <m/>
    <n v="0"/>
    <m/>
    <n v="0"/>
    <m/>
    <n v="0"/>
    <m/>
    <n v="0"/>
    <m/>
    <n v="0"/>
    <n v="0"/>
    <n v="0"/>
    <n v="8"/>
    <n v="0"/>
  </r>
  <r>
    <x v="22"/>
    <n v="4331747.5"/>
    <x v="7"/>
    <n v="0"/>
    <m/>
    <n v="0"/>
    <m/>
    <n v="2036"/>
    <m/>
    <n v="0"/>
    <m/>
    <n v="344"/>
    <m/>
    <n v="0"/>
    <m/>
    <n v="0"/>
    <m/>
    <n v="0"/>
    <m/>
    <n v="0"/>
    <m/>
    <n v="0"/>
    <m/>
    <n v="0"/>
    <n v="285"/>
    <n v="2036"/>
    <n v="344"/>
    <n v="0"/>
  </r>
  <r>
    <x v="22"/>
    <n v="4331748.5"/>
    <x v="8"/>
    <n v="0"/>
    <m/>
    <n v="0"/>
    <m/>
    <n v="0"/>
    <m/>
    <n v="0"/>
    <m/>
    <n v="0"/>
    <m/>
    <n v="0"/>
    <m/>
    <n v="0"/>
    <m/>
    <n v="0"/>
    <m/>
    <n v="0"/>
    <m/>
    <n v="0"/>
    <m/>
    <n v="0"/>
    <n v="148"/>
    <n v="0"/>
    <n v="0"/>
    <n v="0"/>
  </r>
  <r>
    <x v="22"/>
    <n v="4331749.5"/>
    <x v="9"/>
    <n v="0"/>
    <m/>
    <n v="0"/>
    <m/>
    <n v="0"/>
    <m/>
    <n v="0"/>
    <m/>
    <n v="0"/>
    <m/>
    <n v="0"/>
    <m/>
    <n v="0"/>
    <m/>
    <n v="0"/>
    <m/>
    <n v="0"/>
    <m/>
    <n v="0"/>
    <m/>
    <n v="0"/>
    <n v="1404"/>
    <n v="0"/>
    <n v="0"/>
    <n v="0"/>
  </r>
  <r>
    <x v="22"/>
    <n v="4331750.5"/>
    <x v="10"/>
    <n v="0"/>
    <m/>
    <n v="0"/>
    <m/>
    <n v="0"/>
    <m/>
    <n v="0"/>
    <m/>
    <n v="0"/>
    <m/>
    <n v="0"/>
    <m/>
    <n v="0"/>
    <m/>
    <n v="0"/>
    <m/>
    <n v="0"/>
    <m/>
    <n v="0"/>
    <m/>
    <n v="0"/>
    <n v="0"/>
    <n v="0"/>
    <n v="0"/>
    <n v="0"/>
  </r>
  <r>
    <x v="22"/>
    <n v="4331751.5"/>
    <x v="11"/>
    <n v="0"/>
    <m/>
    <n v="0"/>
    <m/>
    <n v="0"/>
    <m/>
    <n v="0"/>
    <m/>
    <n v="0"/>
    <m/>
    <n v="0"/>
    <m/>
    <n v="0"/>
    <m/>
    <n v="0"/>
    <m/>
    <n v="0"/>
    <m/>
    <n v="0"/>
    <m/>
    <n v="0"/>
    <n v="115"/>
    <n v="0"/>
    <n v="0"/>
    <n v="0"/>
  </r>
  <r>
    <x v="22"/>
    <n v="4331752.5"/>
    <x v="12"/>
    <n v="0"/>
    <m/>
    <n v="0"/>
    <m/>
    <n v="0"/>
    <m/>
    <n v="0"/>
    <m/>
    <n v="0"/>
    <m/>
    <n v="0"/>
    <m/>
    <n v="0"/>
    <m/>
    <n v="0"/>
    <m/>
    <n v="0"/>
    <m/>
    <n v="0"/>
    <m/>
    <n v="0"/>
    <n v="527"/>
    <n v="0"/>
    <n v="0"/>
    <n v="0"/>
  </r>
  <r>
    <x v="22"/>
    <n v="4331753.5"/>
    <x v="13"/>
    <n v="0"/>
    <m/>
    <n v="0"/>
    <m/>
    <n v="0"/>
    <m/>
    <n v="0"/>
    <m/>
    <n v="0"/>
    <m/>
    <n v="0"/>
    <m/>
    <n v="0"/>
    <m/>
    <n v="0"/>
    <m/>
    <n v="0"/>
    <m/>
    <n v="0"/>
    <m/>
    <n v="0"/>
    <n v="9"/>
    <n v="0"/>
    <n v="0"/>
    <n v="0"/>
  </r>
  <r>
    <x v="22"/>
    <n v="4331754.5"/>
    <x v="14"/>
    <n v="0"/>
    <m/>
    <n v="0"/>
    <m/>
    <n v="0"/>
    <m/>
    <n v="0"/>
    <m/>
    <n v="0"/>
    <m/>
    <n v="0"/>
    <m/>
    <n v="0"/>
    <m/>
    <n v="0"/>
    <m/>
    <n v="0"/>
    <m/>
    <n v="0"/>
    <m/>
    <n v="0"/>
    <n v="65"/>
    <n v="0"/>
    <n v="0"/>
    <n v="0"/>
  </r>
  <r>
    <x v="22"/>
    <n v="4331755.5"/>
    <x v="15"/>
    <n v="0"/>
    <m/>
    <n v="0"/>
    <m/>
    <n v="0"/>
    <m/>
    <n v="0"/>
    <m/>
    <n v="0"/>
    <m/>
    <n v="0"/>
    <m/>
    <n v="0"/>
    <m/>
    <n v="0"/>
    <m/>
    <n v="0"/>
    <m/>
    <n v="0"/>
    <m/>
    <n v="0"/>
    <n v="5"/>
    <n v="0"/>
    <n v="0"/>
    <n v="0"/>
  </r>
  <r>
    <x v="22"/>
    <n v="4331756.5"/>
    <x v="16"/>
    <n v="0"/>
    <m/>
    <n v="0"/>
    <m/>
    <n v="0"/>
    <m/>
    <n v="0"/>
    <m/>
    <n v="0"/>
    <m/>
    <n v="0"/>
    <m/>
    <n v="0"/>
    <m/>
    <n v="0"/>
    <m/>
    <n v="0"/>
    <m/>
    <n v="0"/>
    <m/>
    <n v="0"/>
    <n v="4311"/>
    <n v="0"/>
    <n v="0"/>
    <n v="0"/>
  </r>
  <r>
    <x v="22"/>
    <n v="4331757.5"/>
    <x v="17"/>
    <n v="0"/>
    <m/>
    <n v="0"/>
    <m/>
    <n v="0"/>
    <m/>
    <n v="0"/>
    <m/>
    <n v="0"/>
    <m/>
    <n v="0"/>
    <m/>
    <n v="0"/>
    <m/>
    <n v="0"/>
    <m/>
    <n v="0"/>
    <m/>
    <n v="0"/>
    <m/>
    <n v="0"/>
    <n v="3601"/>
    <n v="0"/>
    <n v="0"/>
    <n v="0"/>
  </r>
  <r>
    <x v="22"/>
    <n v="4331758.5"/>
    <x v="18"/>
    <n v="0"/>
    <m/>
    <n v="0"/>
    <m/>
    <n v="0"/>
    <m/>
    <n v="0"/>
    <m/>
    <n v="0"/>
    <m/>
    <n v="0"/>
    <m/>
    <n v="0"/>
    <m/>
    <n v="0"/>
    <m/>
    <n v="0"/>
    <m/>
    <n v="0"/>
    <m/>
    <n v="0"/>
    <n v="0"/>
    <n v="0"/>
    <n v="0"/>
    <n v="0"/>
  </r>
  <r>
    <x v="22"/>
    <n v="4331759.5"/>
    <x v="19"/>
    <n v="0"/>
    <m/>
    <n v="0"/>
    <m/>
    <n v="0"/>
    <m/>
    <n v="0"/>
    <m/>
    <n v="0"/>
    <m/>
    <n v="0"/>
    <m/>
    <n v="0"/>
    <m/>
    <n v="0"/>
    <m/>
    <n v="0"/>
    <m/>
    <n v="0"/>
    <m/>
    <n v="0"/>
    <n v="0"/>
    <n v="0"/>
    <n v="0"/>
    <n v="0"/>
  </r>
  <r>
    <x v="22"/>
    <n v="4331760.5"/>
    <x v="20"/>
    <n v="0"/>
    <m/>
    <n v="0"/>
    <m/>
    <n v="0"/>
    <m/>
    <n v="0"/>
    <m/>
    <n v="0"/>
    <m/>
    <n v="0"/>
    <m/>
    <n v="0"/>
    <m/>
    <n v="0"/>
    <m/>
    <n v="0"/>
    <m/>
    <n v="0"/>
    <m/>
    <n v="0"/>
    <n v="3"/>
    <n v="0"/>
    <n v="0"/>
    <n v="0"/>
  </r>
  <r>
    <x v="22"/>
    <n v="4331761.5"/>
    <x v="21"/>
    <n v="0"/>
    <m/>
    <n v="0"/>
    <m/>
    <n v="0"/>
    <m/>
    <n v="0"/>
    <m/>
    <n v="0"/>
    <m/>
    <n v="0"/>
    <m/>
    <n v="0"/>
    <m/>
    <n v="0"/>
    <m/>
    <n v="0"/>
    <m/>
    <n v="0"/>
    <m/>
    <n v="0"/>
    <n v="0"/>
    <n v="0"/>
    <n v="0"/>
    <n v="0"/>
  </r>
  <r>
    <x v="22"/>
    <n v="4331762.5"/>
    <x v="22"/>
    <n v="0"/>
    <m/>
    <n v="0"/>
    <m/>
    <n v="0"/>
    <m/>
    <n v="0"/>
    <m/>
    <n v="0"/>
    <m/>
    <n v="0"/>
    <m/>
    <n v="0"/>
    <m/>
    <n v="0"/>
    <m/>
    <n v="0"/>
    <m/>
    <n v="0"/>
    <m/>
    <n v="0"/>
    <n v="0"/>
    <n v="0"/>
    <n v="0"/>
    <n v="0"/>
  </r>
  <r>
    <x v="22"/>
    <n v="4331763.5"/>
    <x v="23"/>
    <n v="0"/>
    <m/>
    <n v="0"/>
    <m/>
    <n v="0"/>
    <m/>
    <n v="0"/>
    <m/>
    <n v="0"/>
    <m/>
    <n v="0"/>
    <m/>
    <n v="0"/>
    <m/>
    <n v="0"/>
    <m/>
    <n v="0"/>
    <m/>
    <n v="0"/>
    <m/>
    <n v="0"/>
    <n v="0"/>
    <n v="0"/>
    <n v="0"/>
    <n v="0"/>
  </r>
  <r>
    <x v="23"/>
    <n v="2054717.9999999998"/>
    <x v="0"/>
    <n v="0"/>
    <n v="2073938.4999999998"/>
    <n v="0"/>
    <n v="2095242.4999999993"/>
    <n v="0"/>
    <n v="2118520.5000000019"/>
    <n v="0"/>
    <n v="2143872.0000000023"/>
    <n v="0"/>
    <n v="2170616.9999999995"/>
    <n v="0"/>
    <n v="2198017"/>
    <n v="1996"/>
    <n v="2225701.4999999995"/>
    <n v="0"/>
    <n v="2254100.0000000005"/>
    <n v="0"/>
    <n v="2281454.5000000014"/>
    <n v="0"/>
    <n v="2305825.5000000019"/>
    <n v="748"/>
    <n v="998"/>
    <n v="0"/>
    <n v="1996"/>
    <n v="748"/>
  </r>
  <r>
    <x v="23"/>
    <n v="2054719"/>
    <x v="1"/>
    <n v="0"/>
    <m/>
    <n v="0"/>
    <m/>
    <n v="0"/>
    <m/>
    <n v="0"/>
    <m/>
    <n v="0"/>
    <m/>
    <n v="0"/>
    <m/>
    <n v="13732"/>
    <m/>
    <n v="0"/>
    <m/>
    <n v="0"/>
    <m/>
    <n v="0"/>
    <m/>
    <n v="0"/>
    <n v="967"/>
    <n v="0"/>
    <n v="13732"/>
    <n v="0"/>
  </r>
  <r>
    <x v="23"/>
    <n v="2054720"/>
    <x v="2"/>
    <n v="0"/>
    <m/>
    <n v="0"/>
    <m/>
    <n v="0"/>
    <m/>
    <n v="0"/>
    <m/>
    <n v="0"/>
    <m/>
    <n v="0"/>
    <m/>
    <n v="0"/>
    <m/>
    <n v="0"/>
    <m/>
    <n v="0"/>
    <m/>
    <n v="0"/>
    <m/>
    <n v="0"/>
    <n v="2779"/>
    <n v="0"/>
    <n v="0"/>
    <n v="0"/>
  </r>
  <r>
    <x v="23"/>
    <n v="2054721"/>
    <x v="3"/>
    <n v="0"/>
    <m/>
    <n v="318"/>
    <m/>
    <n v="76"/>
    <m/>
    <n v="128"/>
    <m/>
    <n v="0"/>
    <m/>
    <n v="0"/>
    <m/>
    <n v="0"/>
    <m/>
    <n v="0"/>
    <m/>
    <n v="580"/>
    <m/>
    <n v="0"/>
    <m/>
    <n v="0"/>
    <n v="398"/>
    <n v="318"/>
    <n v="0"/>
    <n v="580"/>
  </r>
  <r>
    <x v="23"/>
    <n v="2054722"/>
    <x v="4"/>
    <n v="0"/>
    <m/>
    <n v="66"/>
    <m/>
    <n v="117"/>
    <m/>
    <n v="50"/>
    <m/>
    <n v="0"/>
    <m/>
    <n v="0"/>
    <m/>
    <n v="0"/>
    <m/>
    <n v="0"/>
    <m/>
    <n v="117"/>
    <m/>
    <n v="0"/>
    <m/>
    <n v="0"/>
    <n v="159"/>
    <n v="117"/>
    <n v="0"/>
    <n v="117"/>
  </r>
  <r>
    <x v="23"/>
    <n v="2054723"/>
    <x v="5"/>
    <n v="0"/>
    <m/>
    <n v="0"/>
    <m/>
    <n v="0"/>
    <m/>
    <n v="0"/>
    <m/>
    <n v="0"/>
    <m/>
    <n v="0"/>
    <m/>
    <n v="14508"/>
    <m/>
    <n v="0"/>
    <m/>
    <n v="0"/>
    <m/>
    <n v="0"/>
    <m/>
    <n v="9196"/>
    <n v="14508"/>
    <n v="0"/>
    <n v="14508"/>
    <n v="9196"/>
  </r>
  <r>
    <x v="23"/>
    <n v="2054724"/>
    <x v="6"/>
    <n v="0"/>
    <m/>
    <n v="11"/>
    <m/>
    <n v="0"/>
    <m/>
    <n v="16"/>
    <m/>
    <n v="0"/>
    <m/>
    <n v="0"/>
    <m/>
    <n v="0"/>
    <m/>
    <n v="0"/>
    <m/>
    <n v="43"/>
    <m/>
    <n v="0"/>
    <m/>
    <n v="0"/>
    <n v="29"/>
    <n v="16"/>
    <n v="0"/>
    <n v="43"/>
  </r>
  <r>
    <x v="23"/>
    <n v="2054725"/>
    <x v="7"/>
    <n v="0"/>
    <m/>
    <n v="205"/>
    <m/>
    <n v="0"/>
    <m/>
    <n v="142"/>
    <m/>
    <n v="0"/>
    <m/>
    <n v="0"/>
    <m/>
    <n v="0"/>
    <m/>
    <n v="0"/>
    <m/>
    <n v="0"/>
    <m/>
    <n v="0"/>
    <m/>
    <n v="0"/>
    <n v="144"/>
    <n v="205"/>
    <n v="0"/>
    <n v="0"/>
  </r>
  <r>
    <x v="23"/>
    <n v="2054726"/>
    <x v="8"/>
    <n v="0"/>
    <m/>
    <n v="0"/>
    <m/>
    <n v="0"/>
    <m/>
    <n v="0"/>
    <m/>
    <n v="0"/>
    <m/>
    <n v="0"/>
    <m/>
    <n v="0"/>
    <m/>
    <n v="0"/>
    <m/>
    <n v="0"/>
    <m/>
    <n v="0"/>
    <m/>
    <n v="0"/>
    <n v="849"/>
    <n v="0"/>
    <n v="0"/>
    <n v="0"/>
  </r>
  <r>
    <x v="23"/>
    <n v="2054727"/>
    <x v="9"/>
    <n v="0"/>
    <m/>
    <n v="0"/>
    <m/>
    <n v="0"/>
    <m/>
    <n v="0"/>
    <m/>
    <n v="0"/>
    <m/>
    <n v="0"/>
    <m/>
    <n v="0"/>
    <m/>
    <n v="0"/>
    <m/>
    <n v="0"/>
    <m/>
    <n v="0"/>
    <m/>
    <n v="33"/>
    <n v="110"/>
    <n v="0"/>
    <n v="0"/>
    <n v="33"/>
  </r>
  <r>
    <x v="23"/>
    <n v="2054728"/>
    <x v="10"/>
    <n v="0"/>
    <m/>
    <n v="0"/>
    <m/>
    <n v="0"/>
    <m/>
    <n v="0"/>
    <m/>
    <n v="0"/>
    <m/>
    <n v="0"/>
    <m/>
    <n v="0"/>
    <m/>
    <n v="6"/>
    <m/>
    <n v="0"/>
    <m/>
    <n v="0"/>
    <m/>
    <n v="5"/>
    <n v="10"/>
    <n v="0"/>
    <n v="6"/>
    <n v="5"/>
  </r>
  <r>
    <x v="23"/>
    <n v="2054729"/>
    <x v="11"/>
    <n v="0"/>
    <m/>
    <n v="0"/>
    <m/>
    <n v="0"/>
    <m/>
    <n v="0"/>
    <m/>
    <n v="0"/>
    <m/>
    <n v="0"/>
    <m/>
    <n v="205"/>
    <m/>
    <n v="0"/>
    <m/>
    <n v="0"/>
    <m/>
    <n v="0"/>
    <m/>
    <n v="0"/>
    <n v="416"/>
    <n v="0"/>
    <n v="205"/>
    <n v="0"/>
  </r>
  <r>
    <x v="23"/>
    <n v="2054730"/>
    <x v="12"/>
    <n v="0"/>
    <m/>
    <n v="0"/>
    <m/>
    <n v="0"/>
    <m/>
    <n v="0"/>
    <m/>
    <n v="0"/>
    <m/>
    <n v="0"/>
    <m/>
    <n v="0"/>
    <m/>
    <n v="0"/>
    <m/>
    <n v="0"/>
    <m/>
    <n v="0"/>
    <m/>
    <n v="5"/>
    <n v="71"/>
    <n v="0"/>
    <n v="0"/>
    <n v="5"/>
  </r>
  <r>
    <x v="23"/>
    <n v="2054731"/>
    <x v="13"/>
    <n v="0"/>
    <m/>
    <n v="0"/>
    <m/>
    <n v="0"/>
    <m/>
    <n v="0"/>
    <m/>
    <n v="0"/>
    <m/>
    <n v="0"/>
    <m/>
    <n v="0"/>
    <m/>
    <n v="0"/>
    <m/>
    <n v="0"/>
    <m/>
    <n v="0"/>
    <m/>
    <n v="76"/>
    <n v="41"/>
    <n v="0"/>
    <n v="0"/>
    <n v="76"/>
  </r>
  <r>
    <x v="23"/>
    <n v="2054732"/>
    <x v="14"/>
    <n v="0"/>
    <m/>
    <n v="0"/>
    <m/>
    <n v="0"/>
    <m/>
    <n v="0"/>
    <m/>
    <n v="0"/>
    <m/>
    <n v="0"/>
    <m/>
    <n v="0"/>
    <m/>
    <n v="0"/>
    <m/>
    <n v="0"/>
    <m/>
    <n v="0"/>
    <m/>
    <n v="0"/>
    <n v="349"/>
    <n v="0"/>
    <n v="0"/>
    <n v="0"/>
  </r>
  <r>
    <x v="23"/>
    <n v="2054733"/>
    <x v="15"/>
    <n v="0"/>
    <m/>
    <n v="0"/>
    <m/>
    <n v="0"/>
    <m/>
    <n v="0"/>
    <m/>
    <n v="0"/>
    <m/>
    <n v="0"/>
    <m/>
    <n v="0"/>
    <m/>
    <n v="0"/>
    <m/>
    <n v="0"/>
    <m/>
    <n v="0"/>
    <m/>
    <n v="3"/>
    <n v="8"/>
    <n v="0"/>
    <n v="0"/>
    <n v="3"/>
  </r>
  <r>
    <x v="23"/>
    <n v="2054734"/>
    <x v="16"/>
    <n v="0"/>
    <m/>
    <n v="0"/>
    <m/>
    <n v="0"/>
    <m/>
    <n v="0"/>
    <m/>
    <n v="0"/>
    <m/>
    <n v="0"/>
    <m/>
    <n v="0"/>
    <m/>
    <n v="0"/>
    <m/>
    <n v="0"/>
    <m/>
    <n v="0"/>
    <m/>
    <n v="620"/>
    <n v="2130"/>
    <n v="0"/>
    <n v="0"/>
    <n v="620"/>
  </r>
  <r>
    <x v="23"/>
    <n v="2054735"/>
    <x v="17"/>
    <n v="0"/>
    <m/>
    <n v="0"/>
    <m/>
    <n v="0"/>
    <m/>
    <n v="0"/>
    <m/>
    <n v="0"/>
    <m/>
    <n v="0"/>
    <m/>
    <n v="0"/>
    <m/>
    <n v="0"/>
    <m/>
    <n v="0"/>
    <m/>
    <n v="0"/>
    <m/>
    <n v="0"/>
    <n v="58"/>
    <n v="0"/>
    <n v="0"/>
    <n v="0"/>
  </r>
  <r>
    <x v="23"/>
    <n v="2054736"/>
    <x v="18"/>
    <n v="0"/>
    <m/>
    <n v="0"/>
    <m/>
    <n v="0"/>
    <m/>
    <n v="0"/>
    <m/>
    <n v="0"/>
    <m/>
    <n v="0"/>
    <m/>
    <n v="0"/>
    <m/>
    <n v="0"/>
    <m/>
    <n v="0"/>
    <m/>
    <n v="0"/>
    <m/>
    <n v="28"/>
    <n v="205"/>
    <n v="0"/>
    <n v="0"/>
    <n v="28"/>
  </r>
  <r>
    <x v="23"/>
    <n v="2054737"/>
    <x v="19"/>
    <n v="0"/>
    <m/>
    <n v="0"/>
    <m/>
    <n v="0"/>
    <m/>
    <n v="0"/>
    <m/>
    <n v="0"/>
    <m/>
    <n v="0"/>
    <m/>
    <n v="0"/>
    <m/>
    <n v="0"/>
    <m/>
    <n v="0"/>
    <m/>
    <n v="0"/>
    <m/>
    <n v="2"/>
    <n v="4"/>
    <n v="0"/>
    <n v="0"/>
    <n v="2"/>
  </r>
  <r>
    <x v="23"/>
    <n v="2054738"/>
    <x v="20"/>
    <n v="0"/>
    <m/>
    <n v="0"/>
    <m/>
    <n v="0"/>
    <m/>
    <n v="0"/>
    <m/>
    <n v="0"/>
    <m/>
    <n v="0"/>
    <m/>
    <n v="0"/>
    <m/>
    <n v="0"/>
    <m/>
    <n v="0"/>
    <m/>
    <n v="0"/>
    <m/>
    <n v="7"/>
    <n v="22"/>
    <n v="0"/>
    <n v="0"/>
    <n v="7"/>
  </r>
  <r>
    <x v="23"/>
    <n v="2054739"/>
    <x v="21"/>
    <n v="0"/>
    <m/>
    <n v="0"/>
    <m/>
    <n v="0"/>
    <m/>
    <n v="0"/>
    <m/>
    <n v="0"/>
    <m/>
    <n v="0"/>
    <m/>
    <n v="0"/>
    <m/>
    <n v="0"/>
    <m/>
    <n v="0"/>
    <m/>
    <n v="0"/>
    <m/>
    <n v="0"/>
    <n v="0"/>
    <n v="0"/>
    <n v="0"/>
    <n v="0"/>
  </r>
  <r>
    <x v="23"/>
    <n v="2054740"/>
    <x v="22"/>
    <n v="0"/>
    <m/>
    <n v="0"/>
    <m/>
    <n v="0"/>
    <m/>
    <n v="0"/>
    <m/>
    <n v="0"/>
    <m/>
    <n v="0"/>
    <m/>
    <n v="0"/>
    <m/>
    <n v="0"/>
    <m/>
    <n v="0"/>
    <m/>
    <n v="0"/>
    <m/>
    <n v="0"/>
    <n v="0"/>
    <n v="0"/>
    <n v="0"/>
    <n v="0"/>
  </r>
  <r>
    <x v="23"/>
    <n v="2054741"/>
    <x v="23"/>
    <n v="0"/>
    <m/>
    <n v="0"/>
    <m/>
    <n v="0"/>
    <m/>
    <n v="0"/>
    <m/>
    <n v="0"/>
    <m/>
    <n v="0"/>
    <m/>
    <n v="0"/>
    <m/>
    <n v="0"/>
    <m/>
    <n v="0"/>
    <m/>
    <n v="0"/>
    <m/>
    <n v="0"/>
    <n v="6097"/>
    <n v="0"/>
    <n v="0"/>
    <n v="0"/>
  </r>
  <r>
    <x v="24"/>
    <n v="22966240"/>
    <x v="0"/>
    <n v="6376"/>
    <n v="23588073.5"/>
    <n v="7046"/>
    <n v="24215975.500000019"/>
    <n v="8550"/>
    <n v="24850912.500000015"/>
    <n v="0"/>
    <n v="25501940.499999996"/>
    <n v="35"/>
    <n v="26169542.000000015"/>
    <n v="0"/>
    <n v="26846541"/>
    <n v="0"/>
    <n v="27533134.000000015"/>
    <n v="0"/>
    <n v="28225176.500000007"/>
    <n v="0"/>
    <n v="28915652.500000004"/>
    <n v="0"/>
    <n v="29611714.000000004"/>
    <n v="0"/>
    <n v="5230"/>
    <n v="8550"/>
    <n v="35"/>
    <n v="0"/>
  </r>
  <r>
    <x v="24"/>
    <n v="22966241"/>
    <x v="1"/>
    <n v="6766"/>
    <m/>
    <n v="6876"/>
    <m/>
    <n v="0"/>
    <m/>
    <n v="0"/>
    <m/>
    <n v="0"/>
    <m/>
    <n v="0"/>
    <m/>
    <n v="7666"/>
    <m/>
    <n v="0"/>
    <m/>
    <n v="0"/>
    <m/>
    <n v="0"/>
    <m/>
    <n v="0"/>
    <n v="4560"/>
    <n v="6876"/>
    <n v="7666"/>
    <n v="0"/>
  </r>
  <r>
    <x v="24"/>
    <n v="22966242"/>
    <x v="2"/>
    <n v="2950"/>
    <m/>
    <n v="6800"/>
    <m/>
    <n v="0"/>
    <m/>
    <n v="0"/>
    <m/>
    <n v="3166"/>
    <m/>
    <n v="5862"/>
    <m/>
    <n v="7988"/>
    <m/>
    <n v="0"/>
    <m/>
    <n v="0"/>
    <m/>
    <n v="0"/>
    <m/>
    <n v="0"/>
    <n v="3164"/>
    <n v="6800"/>
    <n v="7988"/>
    <n v="0"/>
  </r>
  <r>
    <x v="24"/>
    <n v="22966243"/>
    <x v="3"/>
    <n v="0"/>
    <m/>
    <n v="0"/>
    <m/>
    <n v="118"/>
    <m/>
    <n v="0"/>
    <m/>
    <n v="0"/>
    <m/>
    <n v="0"/>
    <m/>
    <n v="0"/>
    <m/>
    <n v="0"/>
    <m/>
    <n v="13"/>
    <m/>
    <n v="0"/>
    <m/>
    <n v="0"/>
    <n v="329"/>
    <n v="118"/>
    <n v="0"/>
    <n v="13"/>
  </r>
  <r>
    <x v="24"/>
    <n v="22966244"/>
    <x v="4"/>
    <n v="0"/>
    <m/>
    <n v="4081"/>
    <m/>
    <n v="0"/>
    <m/>
    <n v="0"/>
    <m/>
    <n v="0"/>
    <m/>
    <n v="0"/>
    <m/>
    <n v="0"/>
    <m/>
    <n v="0"/>
    <m/>
    <n v="9"/>
    <m/>
    <n v="91"/>
    <m/>
    <n v="0"/>
    <n v="556"/>
    <n v="4081"/>
    <n v="0"/>
    <n v="91"/>
  </r>
  <r>
    <x v="24"/>
    <n v="22966245"/>
    <x v="5"/>
    <n v="0"/>
    <m/>
    <n v="0"/>
    <m/>
    <n v="0"/>
    <m/>
    <n v="0"/>
    <m/>
    <n v="0"/>
    <m/>
    <n v="0"/>
    <m/>
    <n v="35000"/>
    <m/>
    <n v="38338"/>
    <m/>
    <n v="41616"/>
    <m/>
    <n v="41616"/>
    <m/>
    <n v="0"/>
    <n v="35000"/>
    <n v="0"/>
    <n v="38338"/>
    <n v="41616"/>
  </r>
  <r>
    <x v="24"/>
    <n v="22966246"/>
    <x v="6"/>
    <n v="0"/>
    <m/>
    <n v="0"/>
    <m/>
    <n v="0"/>
    <m/>
    <n v="0"/>
    <m/>
    <n v="0"/>
    <m/>
    <n v="0"/>
    <m/>
    <n v="0"/>
    <m/>
    <n v="0"/>
    <m/>
    <n v="0"/>
    <m/>
    <n v="0"/>
    <m/>
    <n v="0"/>
    <n v="414"/>
    <n v="0"/>
    <n v="0"/>
    <n v="0"/>
  </r>
  <r>
    <x v="24"/>
    <n v="22966247"/>
    <x v="7"/>
    <n v="0"/>
    <m/>
    <n v="0"/>
    <m/>
    <n v="174"/>
    <m/>
    <n v="0"/>
    <m/>
    <n v="0"/>
    <m/>
    <n v="0"/>
    <m/>
    <n v="0"/>
    <m/>
    <n v="0"/>
    <m/>
    <n v="254"/>
    <m/>
    <n v="0"/>
    <m/>
    <n v="0"/>
    <n v="15"/>
    <n v="174"/>
    <n v="0"/>
    <n v="254"/>
  </r>
  <r>
    <x v="24"/>
    <n v="22966248"/>
    <x v="8"/>
    <n v="0"/>
    <m/>
    <n v="0"/>
    <m/>
    <n v="0"/>
    <m/>
    <n v="0"/>
    <m/>
    <n v="0"/>
    <m/>
    <n v="0"/>
    <m/>
    <n v="0"/>
    <m/>
    <n v="0"/>
    <m/>
    <n v="0"/>
    <m/>
    <n v="0"/>
    <m/>
    <n v="0"/>
    <n v="311"/>
    <n v="0"/>
    <n v="0"/>
    <n v="0"/>
  </r>
  <r>
    <x v="24"/>
    <n v="22966249"/>
    <x v="9"/>
    <n v="0"/>
    <m/>
    <n v="0"/>
    <m/>
    <n v="0"/>
    <m/>
    <n v="0"/>
    <m/>
    <n v="0"/>
    <m/>
    <n v="0"/>
    <m/>
    <n v="0"/>
    <m/>
    <n v="0"/>
    <m/>
    <n v="0"/>
    <m/>
    <n v="0"/>
    <m/>
    <n v="0"/>
    <n v="411"/>
    <n v="0"/>
    <n v="0"/>
    <n v="0"/>
  </r>
  <r>
    <x v="24"/>
    <n v="22966250"/>
    <x v="10"/>
    <n v="0"/>
    <m/>
    <n v="0"/>
    <m/>
    <n v="0"/>
    <m/>
    <n v="0"/>
    <m/>
    <n v="0"/>
    <m/>
    <n v="0"/>
    <m/>
    <n v="0"/>
    <m/>
    <n v="12"/>
    <m/>
    <n v="0"/>
    <m/>
    <n v="0"/>
    <m/>
    <n v="0"/>
    <n v="52"/>
    <n v="0"/>
    <n v="12"/>
    <n v="0"/>
  </r>
  <r>
    <x v="24"/>
    <n v="22966251"/>
    <x v="11"/>
    <n v="0"/>
    <m/>
    <n v="0"/>
    <m/>
    <n v="0"/>
    <m/>
    <n v="0"/>
    <m/>
    <n v="0"/>
    <m/>
    <n v="0"/>
    <m/>
    <n v="306"/>
    <m/>
    <n v="0"/>
    <m/>
    <n v="0"/>
    <m/>
    <n v="0"/>
    <m/>
    <n v="0"/>
    <n v="0"/>
    <n v="0"/>
    <n v="306"/>
    <n v="0"/>
  </r>
  <r>
    <x v="24"/>
    <n v="22966252"/>
    <x v="12"/>
    <n v="0"/>
    <m/>
    <n v="0"/>
    <m/>
    <n v="0"/>
    <m/>
    <n v="0"/>
    <m/>
    <n v="0"/>
    <m/>
    <n v="0"/>
    <m/>
    <n v="0"/>
    <m/>
    <n v="0"/>
    <m/>
    <n v="0"/>
    <m/>
    <n v="0"/>
    <m/>
    <n v="0"/>
    <n v="0"/>
    <n v="0"/>
    <n v="0"/>
    <n v="0"/>
  </r>
  <r>
    <x v="24"/>
    <n v="22966253"/>
    <x v="13"/>
    <n v="0"/>
    <m/>
    <n v="0"/>
    <m/>
    <n v="0"/>
    <m/>
    <n v="0"/>
    <m/>
    <n v="0"/>
    <m/>
    <n v="0"/>
    <m/>
    <n v="0"/>
    <m/>
    <n v="0"/>
    <m/>
    <n v="0"/>
    <m/>
    <n v="0"/>
    <m/>
    <n v="0"/>
    <n v="214"/>
    <n v="0"/>
    <n v="0"/>
    <n v="0"/>
  </r>
  <r>
    <x v="24"/>
    <n v="22966254"/>
    <x v="14"/>
    <n v="0"/>
    <m/>
    <n v="0"/>
    <m/>
    <n v="0"/>
    <m/>
    <n v="0"/>
    <m/>
    <n v="0"/>
    <m/>
    <n v="0"/>
    <m/>
    <n v="0"/>
    <m/>
    <n v="0"/>
    <m/>
    <n v="0"/>
    <m/>
    <n v="0"/>
    <m/>
    <n v="0"/>
    <n v="11"/>
    <n v="0"/>
    <n v="0"/>
    <n v="0"/>
  </r>
  <r>
    <x v="24"/>
    <n v="22966255"/>
    <x v="15"/>
    <n v="0"/>
    <m/>
    <n v="0"/>
    <m/>
    <n v="0"/>
    <m/>
    <n v="0"/>
    <m/>
    <n v="0"/>
    <m/>
    <n v="0"/>
    <m/>
    <n v="0"/>
    <m/>
    <n v="0"/>
    <m/>
    <n v="0"/>
    <m/>
    <n v="0"/>
    <m/>
    <n v="0"/>
    <n v="56"/>
    <n v="0"/>
    <n v="0"/>
    <n v="0"/>
  </r>
  <r>
    <x v="24"/>
    <n v="22966256"/>
    <x v="16"/>
    <n v="0"/>
    <m/>
    <n v="0"/>
    <m/>
    <n v="0"/>
    <m/>
    <n v="0"/>
    <m/>
    <n v="0"/>
    <m/>
    <n v="0"/>
    <m/>
    <n v="0"/>
    <m/>
    <n v="0"/>
    <m/>
    <n v="0"/>
    <m/>
    <n v="0"/>
    <m/>
    <n v="0"/>
    <n v="6355"/>
    <n v="0"/>
    <n v="0"/>
    <n v="0"/>
  </r>
  <r>
    <x v="24"/>
    <n v="22966257"/>
    <x v="17"/>
    <n v="0"/>
    <m/>
    <n v="0"/>
    <m/>
    <n v="0"/>
    <m/>
    <n v="0"/>
    <m/>
    <n v="0"/>
    <m/>
    <n v="0"/>
    <m/>
    <n v="0"/>
    <m/>
    <n v="0"/>
    <m/>
    <n v="0"/>
    <m/>
    <n v="0"/>
    <m/>
    <n v="0"/>
    <n v="0"/>
    <n v="0"/>
    <n v="0"/>
    <n v="0"/>
  </r>
  <r>
    <x v="24"/>
    <n v="22966258"/>
    <x v="18"/>
    <n v="0"/>
    <m/>
    <n v="0"/>
    <m/>
    <n v="0"/>
    <m/>
    <n v="0"/>
    <m/>
    <n v="0"/>
    <m/>
    <n v="0"/>
    <m/>
    <n v="0"/>
    <m/>
    <n v="0"/>
    <m/>
    <n v="0"/>
    <m/>
    <n v="0"/>
    <m/>
    <n v="0"/>
    <n v="306"/>
    <n v="0"/>
    <n v="0"/>
    <n v="0"/>
  </r>
  <r>
    <x v="24"/>
    <n v="22966259"/>
    <x v="19"/>
    <n v="0"/>
    <m/>
    <n v="0"/>
    <m/>
    <n v="0"/>
    <m/>
    <n v="0"/>
    <m/>
    <n v="0"/>
    <m/>
    <n v="0"/>
    <m/>
    <n v="0"/>
    <m/>
    <n v="0"/>
    <m/>
    <n v="0"/>
    <m/>
    <n v="0"/>
    <m/>
    <n v="0"/>
    <n v="0"/>
    <n v="0"/>
    <n v="0"/>
    <n v="0"/>
  </r>
  <r>
    <x v="24"/>
    <n v="22966260"/>
    <x v="20"/>
    <n v="0"/>
    <m/>
    <n v="0"/>
    <m/>
    <n v="0"/>
    <m/>
    <n v="0"/>
    <m/>
    <n v="0"/>
    <m/>
    <n v="0"/>
    <m/>
    <n v="0"/>
    <m/>
    <n v="0"/>
    <m/>
    <n v="0"/>
    <m/>
    <n v="0"/>
    <m/>
    <n v="0"/>
    <n v="99"/>
    <n v="0"/>
    <n v="0"/>
    <n v="0"/>
  </r>
  <r>
    <x v="24"/>
    <n v="22966261"/>
    <x v="21"/>
    <n v="0"/>
    <m/>
    <n v="0"/>
    <m/>
    <n v="0"/>
    <m/>
    <n v="0"/>
    <m/>
    <n v="0"/>
    <m/>
    <n v="0"/>
    <m/>
    <n v="0"/>
    <m/>
    <n v="0"/>
    <m/>
    <n v="0"/>
    <m/>
    <n v="0"/>
    <m/>
    <n v="0"/>
    <n v="0"/>
    <n v="0"/>
    <n v="0"/>
    <n v="0"/>
  </r>
  <r>
    <x v="24"/>
    <n v="22966262"/>
    <x v="22"/>
    <n v="0"/>
    <m/>
    <n v="0"/>
    <m/>
    <n v="0"/>
    <m/>
    <n v="0"/>
    <m/>
    <n v="0"/>
    <m/>
    <n v="0"/>
    <m/>
    <n v="0"/>
    <m/>
    <n v="0"/>
    <m/>
    <n v="0"/>
    <m/>
    <n v="0"/>
    <m/>
    <n v="0"/>
    <n v="0"/>
    <n v="0"/>
    <n v="0"/>
    <n v="0"/>
  </r>
  <r>
    <x v="24"/>
    <n v="22966263"/>
    <x v="23"/>
    <n v="0"/>
    <m/>
    <n v="0"/>
    <m/>
    <n v="0"/>
    <m/>
    <n v="0"/>
    <m/>
    <n v="0"/>
    <m/>
    <n v="0"/>
    <m/>
    <n v="0"/>
    <m/>
    <n v="0"/>
    <m/>
    <n v="0"/>
    <m/>
    <n v="0"/>
    <m/>
    <n v="0"/>
    <n v="602"/>
    <n v="0"/>
    <n v="0"/>
    <n v="0"/>
  </r>
  <r>
    <x v="25"/>
    <n v="16514686.999999991"/>
    <x v="0"/>
    <n v="3525"/>
    <n v="17004032.499999996"/>
    <n v="4063"/>
    <n v="17551814.000000004"/>
    <n v="3576"/>
    <n v="18112906.500000004"/>
    <n v="3583"/>
    <n v="18700106"/>
    <n v="4570"/>
    <n v="19311354.499999996"/>
    <n v="4576"/>
    <n v="19934298.000000004"/>
    <n v="5155"/>
    <n v="20567423.999999989"/>
    <n v="0"/>
    <n v="21224040.000000004"/>
    <n v="0"/>
    <n v="21904982.999999996"/>
    <n v="0"/>
    <n v="22593590.500000022"/>
    <n v="8998"/>
    <n v="2866"/>
    <n v="4063"/>
    <n v="5155"/>
    <n v="8998"/>
  </r>
  <r>
    <x v="25"/>
    <n v="16514688"/>
    <x v="1"/>
    <n v="8514"/>
    <m/>
    <n v="0"/>
    <m/>
    <n v="0"/>
    <m/>
    <n v="0"/>
    <m/>
    <n v="9530"/>
    <m/>
    <n v="0"/>
    <m/>
    <n v="11986"/>
    <m/>
    <n v="0"/>
    <m/>
    <n v="0"/>
    <m/>
    <n v="0"/>
    <m/>
    <n v="12654"/>
    <n v="5225"/>
    <n v="8514"/>
    <n v="11986"/>
    <n v="12654"/>
  </r>
  <r>
    <x v="25"/>
    <n v="16514689"/>
    <x v="2"/>
    <n v="3540"/>
    <m/>
    <n v="3922"/>
    <m/>
    <n v="0"/>
    <m/>
    <n v="0"/>
    <m/>
    <n v="5314"/>
    <m/>
    <n v="0"/>
    <m/>
    <n v="6470"/>
    <m/>
    <n v="0"/>
    <m/>
    <n v="0"/>
    <m/>
    <n v="0"/>
    <m/>
    <n v="3258"/>
    <n v="3169"/>
    <n v="3922"/>
    <n v="6470"/>
    <n v="3258"/>
  </r>
  <r>
    <x v="25"/>
    <n v="16514690"/>
    <x v="3"/>
    <n v="4"/>
    <m/>
    <n v="218"/>
    <m/>
    <n v="194"/>
    <m/>
    <n v="514"/>
    <m/>
    <n v="0"/>
    <m/>
    <n v="0"/>
    <m/>
    <n v="0"/>
    <m/>
    <n v="170"/>
    <m/>
    <n v="109"/>
    <m/>
    <n v="82"/>
    <m/>
    <n v="36980"/>
    <n v="1424"/>
    <n v="514"/>
    <n v="170"/>
    <n v="36980"/>
  </r>
  <r>
    <x v="25"/>
    <n v="16514691"/>
    <x v="4"/>
    <n v="0"/>
    <m/>
    <n v="0"/>
    <m/>
    <n v="107"/>
    <m/>
    <n v="385"/>
    <m/>
    <n v="0"/>
    <m/>
    <n v="0"/>
    <m/>
    <n v="0"/>
    <m/>
    <n v="121"/>
    <m/>
    <n v="34"/>
    <m/>
    <n v="53"/>
    <m/>
    <n v="11642"/>
    <n v="30"/>
    <n v="385"/>
    <n v="121"/>
    <n v="11642"/>
  </r>
  <r>
    <x v="25"/>
    <n v="16514692"/>
    <x v="5"/>
    <n v="0"/>
    <m/>
    <n v="0"/>
    <m/>
    <n v="0"/>
    <m/>
    <n v="0"/>
    <m/>
    <n v="0"/>
    <m/>
    <n v="0"/>
    <m/>
    <n v="1152"/>
    <m/>
    <n v="0"/>
    <m/>
    <n v="3303"/>
    <m/>
    <n v="0"/>
    <m/>
    <n v="0"/>
    <n v="1152"/>
    <n v="0"/>
    <n v="1152"/>
    <n v="3303"/>
  </r>
  <r>
    <x v="25"/>
    <n v="16514693"/>
    <x v="6"/>
    <n v="0"/>
    <m/>
    <n v="0"/>
    <m/>
    <n v="0"/>
    <m/>
    <n v="0"/>
    <m/>
    <n v="0"/>
    <m/>
    <n v="0"/>
    <m/>
    <n v="0"/>
    <m/>
    <n v="0"/>
    <m/>
    <n v="0"/>
    <m/>
    <n v="0"/>
    <m/>
    <n v="3342"/>
    <n v="7"/>
    <n v="0"/>
    <n v="0"/>
    <n v="3342"/>
  </r>
  <r>
    <x v="25"/>
    <n v="16514694"/>
    <x v="7"/>
    <n v="0"/>
    <m/>
    <n v="0"/>
    <m/>
    <n v="0"/>
    <m/>
    <n v="0"/>
    <m/>
    <n v="0"/>
    <m/>
    <n v="0"/>
    <m/>
    <n v="0"/>
    <m/>
    <n v="146"/>
    <m/>
    <n v="0"/>
    <m/>
    <n v="0"/>
    <m/>
    <n v="3642"/>
    <n v="78"/>
    <n v="0"/>
    <n v="146"/>
    <n v="3642"/>
  </r>
  <r>
    <x v="25"/>
    <n v="16514695"/>
    <x v="8"/>
    <n v="0"/>
    <m/>
    <n v="0"/>
    <m/>
    <n v="0"/>
    <m/>
    <n v="0"/>
    <m/>
    <n v="0"/>
    <m/>
    <n v="0"/>
    <m/>
    <n v="0"/>
    <m/>
    <n v="0"/>
    <m/>
    <n v="0"/>
    <m/>
    <n v="0"/>
    <m/>
    <n v="0"/>
    <n v="2153"/>
    <n v="0"/>
    <n v="0"/>
    <n v="0"/>
  </r>
  <r>
    <x v="25"/>
    <n v="16514696"/>
    <x v="9"/>
    <n v="0"/>
    <m/>
    <n v="0"/>
    <m/>
    <n v="0"/>
    <m/>
    <n v="0"/>
    <m/>
    <n v="0"/>
    <m/>
    <n v="0"/>
    <m/>
    <n v="13"/>
    <m/>
    <n v="0"/>
    <m/>
    <n v="0"/>
    <m/>
    <n v="0"/>
    <m/>
    <n v="0"/>
    <n v="25"/>
    <n v="0"/>
    <n v="13"/>
    <n v="0"/>
  </r>
  <r>
    <x v="25"/>
    <n v="16514697"/>
    <x v="10"/>
    <n v="0"/>
    <m/>
    <n v="0"/>
    <m/>
    <n v="0"/>
    <m/>
    <n v="0"/>
    <m/>
    <n v="0"/>
    <m/>
    <n v="0"/>
    <m/>
    <n v="15"/>
    <m/>
    <n v="0"/>
    <m/>
    <n v="0"/>
    <m/>
    <n v="0"/>
    <m/>
    <n v="0"/>
    <n v="0"/>
    <n v="0"/>
    <n v="15"/>
    <n v="0"/>
  </r>
  <r>
    <x v="25"/>
    <n v="16514698"/>
    <x v="11"/>
    <n v="0"/>
    <m/>
    <n v="0"/>
    <m/>
    <n v="0"/>
    <m/>
    <n v="0"/>
    <m/>
    <n v="0"/>
    <m/>
    <n v="0"/>
    <m/>
    <n v="0"/>
    <m/>
    <n v="0"/>
    <m/>
    <n v="0"/>
    <m/>
    <n v="0"/>
    <m/>
    <n v="0"/>
    <n v="1496"/>
    <n v="0"/>
    <n v="0"/>
    <n v="0"/>
  </r>
  <r>
    <x v="25"/>
    <n v="16514699"/>
    <x v="12"/>
    <n v="0"/>
    <m/>
    <n v="0"/>
    <m/>
    <n v="0"/>
    <m/>
    <n v="0"/>
    <m/>
    <n v="0"/>
    <m/>
    <n v="0"/>
    <m/>
    <n v="1022"/>
    <m/>
    <n v="0"/>
    <m/>
    <n v="0"/>
    <m/>
    <n v="0"/>
    <m/>
    <n v="1481"/>
    <n v="1041"/>
    <n v="0"/>
    <n v="1022"/>
    <n v="1481"/>
  </r>
  <r>
    <x v="25"/>
    <n v="16514700"/>
    <x v="13"/>
    <n v="0"/>
    <m/>
    <n v="0"/>
    <m/>
    <n v="0"/>
    <m/>
    <n v="0"/>
    <m/>
    <n v="0"/>
    <m/>
    <n v="0"/>
    <m/>
    <n v="0"/>
    <m/>
    <n v="0"/>
    <m/>
    <n v="0"/>
    <m/>
    <n v="0"/>
    <m/>
    <n v="0"/>
    <n v="0"/>
    <n v="0"/>
    <n v="0"/>
    <n v="0"/>
  </r>
  <r>
    <x v="25"/>
    <n v="16514701"/>
    <x v="14"/>
    <n v="0"/>
    <m/>
    <n v="0"/>
    <m/>
    <n v="0"/>
    <m/>
    <n v="0"/>
    <m/>
    <n v="0"/>
    <m/>
    <n v="0"/>
    <m/>
    <n v="0"/>
    <m/>
    <n v="0"/>
    <m/>
    <n v="0"/>
    <m/>
    <n v="0"/>
    <m/>
    <n v="0"/>
    <n v="0"/>
    <n v="0"/>
    <n v="0"/>
    <n v="0"/>
  </r>
  <r>
    <x v="25"/>
    <n v="16514702"/>
    <x v="15"/>
    <n v="0"/>
    <m/>
    <n v="0"/>
    <m/>
    <n v="0"/>
    <m/>
    <n v="0"/>
    <m/>
    <n v="0"/>
    <m/>
    <n v="0"/>
    <m/>
    <n v="0"/>
    <m/>
    <n v="0"/>
    <m/>
    <n v="0"/>
    <m/>
    <n v="0"/>
    <m/>
    <n v="0"/>
    <n v="0"/>
    <n v="0"/>
    <n v="0"/>
    <n v="0"/>
  </r>
  <r>
    <x v="25"/>
    <n v="16514703"/>
    <x v="16"/>
    <n v="0"/>
    <m/>
    <n v="0"/>
    <m/>
    <n v="0"/>
    <m/>
    <n v="0"/>
    <m/>
    <n v="0"/>
    <m/>
    <n v="0"/>
    <m/>
    <n v="0"/>
    <m/>
    <n v="0"/>
    <m/>
    <n v="0"/>
    <m/>
    <n v="0"/>
    <m/>
    <n v="0"/>
    <n v="8306"/>
    <n v="0"/>
    <n v="0"/>
    <n v="0"/>
  </r>
  <r>
    <x v="25"/>
    <n v="16514704"/>
    <x v="17"/>
    <n v="0"/>
    <m/>
    <n v="0"/>
    <m/>
    <n v="0"/>
    <m/>
    <n v="0"/>
    <m/>
    <n v="0"/>
    <m/>
    <n v="0"/>
    <m/>
    <n v="0"/>
    <m/>
    <n v="0"/>
    <m/>
    <n v="0"/>
    <m/>
    <n v="0"/>
    <m/>
    <n v="0"/>
    <n v="0"/>
    <n v="0"/>
    <n v="0"/>
    <n v="0"/>
  </r>
  <r>
    <x v="25"/>
    <n v="16514705"/>
    <x v="18"/>
    <n v="0"/>
    <m/>
    <n v="0"/>
    <m/>
    <n v="0"/>
    <m/>
    <n v="0"/>
    <m/>
    <n v="0"/>
    <m/>
    <n v="0"/>
    <m/>
    <n v="0"/>
    <m/>
    <n v="0"/>
    <m/>
    <n v="0"/>
    <m/>
    <n v="0"/>
    <m/>
    <n v="0"/>
    <n v="0"/>
    <n v="0"/>
    <n v="0"/>
    <n v="0"/>
  </r>
  <r>
    <x v="25"/>
    <n v="16514706"/>
    <x v="19"/>
    <n v="0"/>
    <m/>
    <n v="0"/>
    <m/>
    <n v="0"/>
    <m/>
    <n v="0"/>
    <m/>
    <n v="0"/>
    <m/>
    <n v="0"/>
    <m/>
    <n v="0"/>
    <m/>
    <n v="0"/>
    <m/>
    <n v="0"/>
    <m/>
    <n v="0"/>
    <m/>
    <n v="0"/>
    <n v="0"/>
    <n v="0"/>
    <n v="0"/>
    <n v="0"/>
  </r>
  <r>
    <x v="25"/>
    <n v="16514707"/>
    <x v="20"/>
    <n v="0"/>
    <m/>
    <n v="0"/>
    <m/>
    <n v="0"/>
    <m/>
    <n v="0"/>
    <m/>
    <n v="0"/>
    <m/>
    <n v="0"/>
    <m/>
    <n v="0"/>
    <m/>
    <n v="0"/>
    <m/>
    <n v="0"/>
    <m/>
    <n v="0"/>
    <m/>
    <n v="0"/>
    <n v="0"/>
    <n v="0"/>
    <n v="0"/>
    <n v="0"/>
  </r>
  <r>
    <x v="25"/>
    <n v="16514708"/>
    <x v="21"/>
    <n v="0"/>
    <m/>
    <n v="0"/>
    <m/>
    <n v="0"/>
    <m/>
    <n v="0"/>
    <m/>
    <n v="0"/>
    <m/>
    <n v="0"/>
    <m/>
    <n v="0"/>
    <m/>
    <n v="0"/>
    <m/>
    <n v="0"/>
    <m/>
    <n v="0"/>
    <m/>
    <n v="0"/>
    <n v="0"/>
    <n v="0"/>
    <n v="0"/>
    <n v="0"/>
  </r>
  <r>
    <x v="25"/>
    <n v="16514709"/>
    <x v="22"/>
    <n v="0"/>
    <m/>
    <n v="0"/>
    <m/>
    <n v="0"/>
    <m/>
    <n v="0"/>
    <m/>
    <n v="0"/>
    <m/>
    <n v="0"/>
    <m/>
    <n v="0"/>
    <m/>
    <n v="0"/>
    <m/>
    <n v="0"/>
    <m/>
    <n v="0"/>
    <m/>
    <n v="0"/>
    <n v="0"/>
    <n v="0"/>
    <n v="0"/>
    <n v="0"/>
  </r>
  <r>
    <x v="25"/>
    <n v="16514710"/>
    <x v="23"/>
    <n v="0"/>
    <m/>
    <n v="0"/>
    <m/>
    <n v="0"/>
    <m/>
    <n v="0"/>
    <m/>
    <n v="0"/>
    <m/>
    <n v="0"/>
    <m/>
    <n v="0"/>
    <m/>
    <n v="0"/>
    <m/>
    <n v="0"/>
    <m/>
    <n v="0"/>
    <m/>
    <n v="0"/>
    <n v="4"/>
    <n v="0"/>
    <n v="0"/>
    <n v="0"/>
  </r>
  <r>
    <x v="26"/>
    <n v="24487610.999999996"/>
    <x v="0"/>
    <n v="2716"/>
    <n v="25251730.999999993"/>
    <n v="2904"/>
    <n v="26038704.499999993"/>
    <n v="0"/>
    <n v="26843245.5"/>
    <n v="38"/>
    <n v="27696492.499999989"/>
    <n v="57"/>
    <n v="28569441.000000015"/>
    <n v="4985"/>
    <n v="29423878.499999993"/>
    <n v="5147"/>
    <n v="30285595.000000004"/>
    <n v="5993"/>
    <n v="31178238.999999996"/>
    <n v="6064"/>
    <n v="32077072.000000011"/>
    <n v="6016"/>
    <n v="32969518.500000007"/>
    <n v="6140"/>
    <n v="2180"/>
    <n v="2904"/>
    <n v="5993"/>
    <n v="6140"/>
  </r>
  <r>
    <x v="26"/>
    <n v="24487612"/>
    <x v="1"/>
    <n v="11652"/>
    <m/>
    <n v="12864"/>
    <m/>
    <n v="12696"/>
    <m/>
    <n v="13854"/>
    <m/>
    <n v="15320"/>
    <m/>
    <n v="15922"/>
    <m/>
    <n v="16306"/>
    <m/>
    <n v="16358"/>
    <m/>
    <n v="17662"/>
    <m/>
    <n v="21856"/>
    <m/>
    <n v="19550"/>
    <n v="7961"/>
    <n v="13854"/>
    <n v="16358"/>
    <n v="21856"/>
  </r>
  <r>
    <x v="26"/>
    <n v="24487613"/>
    <x v="2"/>
    <n v="8522"/>
    <m/>
    <n v="8530"/>
    <m/>
    <n v="9298"/>
    <m/>
    <n v="10316"/>
    <m/>
    <n v="11410"/>
    <m/>
    <n v="11640"/>
    <m/>
    <n v="12042"/>
    <m/>
    <n v="12350"/>
    <m/>
    <n v="12648"/>
    <m/>
    <n v="14556"/>
    <m/>
    <n v="14240"/>
    <n v="5820"/>
    <n v="10316"/>
    <n v="12350"/>
    <n v="14556"/>
  </r>
  <r>
    <x v="26"/>
    <n v="24487614"/>
    <x v="3"/>
    <n v="20"/>
    <m/>
    <n v="0"/>
    <m/>
    <n v="0"/>
    <m/>
    <n v="0"/>
    <m/>
    <n v="20035"/>
    <m/>
    <n v="0"/>
    <m/>
    <n v="0"/>
    <m/>
    <n v="0"/>
    <m/>
    <n v="0"/>
    <m/>
    <n v="0"/>
    <m/>
    <n v="0"/>
    <n v="2310"/>
    <n v="20"/>
    <n v="20035"/>
    <n v="0"/>
  </r>
  <r>
    <x v="26"/>
    <n v="24487615"/>
    <x v="4"/>
    <n v="0"/>
    <m/>
    <n v="0"/>
    <m/>
    <n v="0"/>
    <m/>
    <n v="0"/>
    <m/>
    <n v="0"/>
    <m/>
    <n v="0"/>
    <m/>
    <n v="0"/>
    <m/>
    <n v="0"/>
    <m/>
    <n v="0"/>
    <m/>
    <n v="0"/>
    <m/>
    <n v="0"/>
    <n v="545"/>
    <n v="0"/>
    <n v="0"/>
    <n v="0"/>
  </r>
  <r>
    <x v="26"/>
    <n v="24487616"/>
    <x v="5"/>
    <n v="1213"/>
    <m/>
    <n v="1204"/>
    <m/>
    <n v="0"/>
    <m/>
    <n v="0"/>
    <m/>
    <n v="0"/>
    <m/>
    <n v="1991"/>
    <m/>
    <n v="4787"/>
    <m/>
    <n v="6632"/>
    <m/>
    <n v="6696"/>
    <m/>
    <n v="7329"/>
    <m/>
    <n v="6992"/>
    <n v="2205"/>
    <n v="1213"/>
    <n v="6632"/>
    <n v="7329"/>
  </r>
  <r>
    <x v="26"/>
    <n v="24487617"/>
    <x v="6"/>
    <n v="0"/>
    <m/>
    <n v="0"/>
    <m/>
    <n v="0"/>
    <m/>
    <n v="0"/>
    <m/>
    <n v="0"/>
    <m/>
    <n v="0"/>
    <m/>
    <n v="0"/>
    <m/>
    <n v="0"/>
    <m/>
    <n v="0"/>
    <m/>
    <n v="0"/>
    <m/>
    <n v="0"/>
    <n v="0"/>
    <n v="0"/>
    <n v="0"/>
    <n v="0"/>
  </r>
  <r>
    <x v="26"/>
    <n v="24487618"/>
    <x v="7"/>
    <n v="85"/>
    <m/>
    <n v="0"/>
    <m/>
    <n v="0"/>
    <m/>
    <n v="0"/>
    <m/>
    <n v="0"/>
    <m/>
    <n v="0"/>
    <m/>
    <n v="0"/>
    <m/>
    <n v="0"/>
    <m/>
    <n v="0"/>
    <m/>
    <n v="0"/>
    <m/>
    <n v="0"/>
    <n v="0"/>
    <n v="85"/>
    <n v="0"/>
    <n v="0"/>
  </r>
  <r>
    <x v="26"/>
    <n v="24487619"/>
    <x v="8"/>
    <n v="0"/>
    <m/>
    <n v="0"/>
    <m/>
    <n v="0"/>
    <m/>
    <n v="0"/>
    <m/>
    <n v="0"/>
    <m/>
    <n v="0"/>
    <m/>
    <n v="0"/>
    <m/>
    <n v="0"/>
    <m/>
    <n v="0"/>
    <m/>
    <n v="0"/>
    <m/>
    <n v="0"/>
    <n v="0"/>
    <n v="0"/>
    <n v="0"/>
    <n v="0"/>
  </r>
  <r>
    <x v="26"/>
    <n v="24487620"/>
    <x v="9"/>
    <n v="0"/>
    <m/>
    <n v="0"/>
    <m/>
    <n v="0"/>
    <m/>
    <n v="0"/>
    <m/>
    <n v="0"/>
    <m/>
    <n v="2466"/>
    <m/>
    <n v="0"/>
    <m/>
    <n v="2789"/>
    <m/>
    <n v="2954"/>
    <m/>
    <n v="3318"/>
    <m/>
    <n v="3337"/>
    <n v="2466"/>
    <n v="0"/>
    <n v="2789"/>
    <n v="3337"/>
  </r>
  <r>
    <x v="26"/>
    <n v="24487621"/>
    <x v="10"/>
    <n v="33"/>
    <m/>
    <n v="44"/>
    <m/>
    <n v="0"/>
    <m/>
    <n v="212"/>
    <m/>
    <n v="0"/>
    <m/>
    <n v="29"/>
    <m/>
    <n v="304"/>
    <m/>
    <n v="54"/>
    <m/>
    <n v="0"/>
    <m/>
    <n v="0"/>
    <m/>
    <n v="72"/>
    <n v="29"/>
    <n v="212"/>
    <n v="304"/>
    <n v="72"/>
  </r>
  <r>
    <x v="26"/>
    <n v="24487622"/>
    <x v="11"/>
    <n v="0"/>
    <m/>
    <n v="0"/>
    <m/>
    <n v="0"/>
    <m/>
    <n v="0"/>
    <m/>
    <n v="0"/>
    <m/>
    <n v="0"/>
    <m/>
    <n v="0"/>
    <m/>
    <n v="2055"/>
    <m/>
    <n v="2041"/>
    <m/>
    <n v="1912"/>
    <m/>
    <n v="335"/>
    <n v="5726"/>
    <n v="0"/>
    <n v="2055"/>
    <n v="2041"/>
  </r>
  <r>
    <x v="26"/>
    <n v="24487623"/>
    <x v="12"/>
    <n v="0"/>
    <m/>
    <n v="0"/>
    <m/>
    <n v="0"/>
    <m/>
    <n v="0"/>
    <m/>
    <n v="0"/>
    <m/>
    <n v="0"/>
    <m/>
    <n v="0"/>
    <m/>
    <n v="0"/>
    <m/>
    <n v="0"/>
    <m/>
    <n v="0"/>
    <m/>
    <n v="0"/>
    <n v="0"/>
    <n v="0"/>
    <n v="0"/>
    <n v="0"/>
  </r>
  <r>
    <x v="26"/>
    <n v="24487624"/>
    <x v="13"/>
    <n v="267"/>
    <m/>
    <n v="238"/>
    <m/>
    <n v="0"/>
    <m/>
    <n v="0"/>
    <m/>
    <n v="0"/>
    <m/>
    <n v="290"/>
    <m/>
    <n v="0"/>
    <m/>
    <n v="315"/>
    <m/>
    <n v="301"/>
    <m/>
    <n v="264"/>
    <m/>
    <n v="276"/>
    <n v="206"/>
    <n v="267"/>
    <n v="315"/>
    <n v="301"/>
  </r>
  <r>
    <x v="26"/>
    <n v="24487625"/>
    <x v="14"/>
    <n v="0"/>
    <m/>
    <n v="0"/>
    <m/>
    <n v="0"/>
    <m/>
    <n v="0"/>
    <m/>
    <n v="0"/>
    <m/>
    <n v="0"/>
    <m/>
    <n v="0"/>
    <m/>
    <n v="0"/>
    <m/>
    <n v="0"/>
    <m/>
    <n v="0"/>
    <m/>
    <n v="172"/>
    <n v="59"/>
    <n v="0"/>
    <n v="0"/>
    <n v="172"/>
  </r>
  <r>
    <x v="26"/>
    <n v="24487626"/>
    <x v="15"/>
    <n v="76"/>
    <m/>
    <n v="115"/>
    <m/>
    <n v="0"/>
    <m/>
    <n v="0"/>
    <m/>
    <n v="0"/>
    <m/>
    <n v="147"/>
    <m/>
    <n v="150"/>
    <m/>
    <n v="165"/>
    <m/>
    <n v="156"/>
    <m/>
    <n v="151"/>
    <m/>
    <n v="154"/>
    <n v="147"/>
    <n v="115"/>
    <n v="165"/>
    <n v="156"/>
  </r>
  <r>
    <x v="26"/>
    <n v="24487627"/>
    <x v="16"/>
    <n v="0"/>
    <m/>
    <n v="0"/>
    <m/>
    <n v="0"/>
    <m/>
    <n v="0"/>
    <m/>
    <n v="0"/>
    <m/>
    <n v="34992"/>
    <m/>
    <n v="0"/>
    <m/>
    <n v="399"/>
    <m/>
    <n v="8308"/>
    <m/>
    <n v="3530"/>
    <m/>
    <n v="696"/>
    <n v="26735"/>
    <n v="0"/>
    <n v="34992"/>
    <n v="8308"/>
  </r>
  <r>
    <x v="26"/>
    <n v="24487628"/>
    <x v="17"/>
    <n v="0"/>
    <m/>
    <n v="0"/>
    <m/>
    <n v="0"/>
    <m/>
    <n v="0"/>
    <m/>
    <n v="0"/>
    <m/>
    <n v="26735"/>
    <m/>
    <n v="0"/>
    <m/>
    <n v="16937"/>
    <m/>
    <n v="14416"/>
    <m/>
    <n v="10717"/>
    <m/>
    <n v="12261"/>
    <n v="0"/>
    <n v="0"/>
    <n v="26735"/>
    <n v="14416"/>
  </r>
  <r>
    <x v="26"/>
    <n v="24487629"/>
    <x v="18"/>
    <n v="1425"/>
    <m/>
    <n v="1465"/>
    <m/>
    <n v="0"/>
    <m/>
    <n v="0"/>
    <m/>
    <n v="0"/>
    <m/>
    <n v="1958"/>
    <m/>
    <n v="0"/>
    <m/>
    <n v="0"/>
    <m/>
    <n v="0"/>
    <m/>
    <n v="301"/>
    <m/>
    <n v="2040"/>
    <n v="1951"/>
    <n v="1465"/>
    <n v="1958"/>
    <n v="2040"/>
  </r>
  <r>
    <x v="26"/>
    <n v="24487630"/>
    <x v="19"/>
    <n v="0"/>
    <m/>
    <n v="0"/>
    <m/>
    <n v="0"/>
    <m/>
    <n v="0"/>
    <m/>
    <n v="0"/>
    <m/>
    <n v="6281"/>
    <m/>
    <n v="0"/>
    <m/>
    <n v="6665"/>
    <m/>
    <n v="0"/>
    <m/>
    <n v="0"/>
    <m/>
    <n v="6873"/>
    <n v="0"/>
    <n v="0"/>
    <n v="6665"/>
    <n v="6873"/>
  </r>
  <r>
    <x v="26"/>
    <n v="24487631"/>
    <x v="20"/>
    <n v="281"/>
    <m/>
    <n v="287"/>
    <m/>
    <n v="0"/>
    <m/>
    <n v="0"/>
    <m/>
    <n v="0"/>
    <m/>
    <n v="377"/>
    <m/>
    <n v="362"/>
    <m/>
    <n v="395"/>
    <m/>
    <n v="444"/>
    <m/>
    <n v="535"/>
    <m/>
    <n v="497"/>
    <n v="377"/>
    <n v="287"/>
    <n v="395"/>
    <n v="535"/>
  </r>
  <r>
    <x v="26"/>
    <n v="24487632"/>
    <x v="21"/>
    <n v="0"/>
    <m/>
    <n v="0"/>
    <m/>
    <n v="0"/>
    <m/>
    <n v="0"/>
    <m/>
    <n v="0"/>
    <m/>
    <n v="287"/>
    <m/>
    <n v="338"/>
    <m/>
    <n v="422"/>
    <m/>
    <n v="554"/>
    <m/>
    <n v="552"/>
    <m/>
    <n v="342"/>
    <n v="0"/>
    <n v="0"/>
    <n v="422"/>
    <n v="554"/>
  </r>
  <r>
    <x v="26"/>
    <n v="24487633"/>
    <x v="22"/>
    <n v="0"/>
    <m/>
    <n v="0"/>
    <m/>
    <n v="0"/>
    <m/>
    <n v="0"/>
    <m/>
    <n v="0"/>
    <m/>
    <n v="2"/>
    <m/>
    <n v="3"/>
    <m/>
    <n v="2"/>
    <m/>
    <n v="0"/>
    <m/>
    <n v="0"/>
    <m/>
    <n v="0"/>
    <n v="0"/>
    <n v="0"/>
    <n v="3"/>
    <n v="0"/>
  </r>
  <r>
    <x v="26"/>
    <n v="24487634"/>
    <x v="23"/>
    <n v="0"/>
    <m/>
    <n v="0"/>
    <m/>
    <n v="0"/>
    <m/>
    <n v="0"/>
    <m/>
    <n v="0"/>
    <m/>
    <n v="0"/>
    <m/>
    <n v="0"/>
    <m/>
    <n v="0"/>
    <m/>
    <n v="0"/>
    <m/>
    <n v="0"/>
    <m/>
    <n v="99942"/>
    <n v="0"/>
    <n v="0"/>
    <n v="0"/>
    <n v="99942"/>
  </r>
  <r>
    <x v="27"/>
    <n v="3636113.5000000009"/>
    <x v="0"/>
    <n v="0"/>
    <n v="3742958.9999999981"/>
    <n v="0"/>
    <n v="3843173.9999999991"/>
    <n v="1244"/>
    <n v="3946219.4999999991"/>
    <n v="1384"/>
    <n v="4051890.5000000014"/>
    <n v="0"/>
    <n v="4160014.4999999995"/>
    <n v="1582"/>
    <n v="4270711.4999999972"/>
    <n v="1700"/>
    <n v="4383848.5000000009"/>
    <n v="1794"/>
    <n v="4498603.4999999953"/>
    <n v="1868"/>
    <n v="4614974"/>
    <n v="2070"/>
    <n v="4736138.9999999991"/>
    <n v="2236"/>
    <n v="1626"/>
    <n v="1384"/>
    <n v="1794"/>
    <n v="2236"/>
  </r>
  <r>
    <x v="27"/>
    <n v="3636114.5"/>
    <x v="1"/>
    <n v="0"/>
    <m/>
    <n v="0"/>
    <m/>
    <n v="7692"/>
    <m/>
    <n v="8274"/>
    <m/>
    <n v="0"/>
    <m/>
    <n v="9142"/>
    <m/>
    <n v="8223"/>
    <m/>
    <n v="8738"/>
    <m/>
    <n v="8580"/>
    <m/>
    <n v="12312"/>
    <m/>
    <n v="13006"/>
    <n v="4017"/>
    <n v="8274"/>
    <n v="9142"/>
    <n v="13006"/>
  </r>
  <r>
    <x v="27"/>
    <n v="3636115.5"/>
    <x v="2"/>
    <n v="0"/>
    <m/>
    <n v="736"/>
    <m/>
    <n v="0"/>
    <m/>
    <n v="0"/>
    <m/>
    <n v="0"/>
    <m/>
    <n v="0"/>
    <m/>
    <n v="1342"/>
    <m/>
    <n v="1864"/>
    <m/>
    <n v="2054"/>
    <m/>
    <n v="2504"/>
    <m/>
    <n v="2680"/>
    <n v="855"/>
    <n v="736"/>
    <n v="1864"/>
    <n v="2680"/>
  </r>
  <r>
    <x v="27"/>
    <n v="3636116.5"/>
    <x v="3"/>
    <n v="3445"/>
    <m/>
    <n v="975"/>
    <m/>
    <n v="0"/>
    <m/>
    <n v="333"/>
    <m/>
    <n v="0"/>
    <m/>
    <n v="0"/>
    <m/>
    <n v="0"/>
    <m/>
    <n v="0"/>
    <m/>
    <n v="0"/>
    <m/>
    <n v="0"/>
    <m/>
    <n v="0"/>
    <n v="100"/>
    <n v="3445"/>
    <n v="0"/>
    <n v="0"/>
  </r>
  <r>
    <x v="27"/>
    <n v="3636117.5"/>
    <x v="4"/>
    <n v="695"/>
    <m/>
    <n v="209"/>
    <m/>
    <n v="0"/>
    <m/>
    <n v="204"/>
    <m/>
    <n v="0"/>
    <m/>
    <n v="0"/>
    <m/>
    <n v="12751"/>
    <m/>
    <n v="0"/>
    <m/>
    <n v="0"/>
    <m/>
    <n v="0"/>
    <m/>
    <n v="0"/>
    <n v="151"/>
    <n v="695"/>
    <n v="12751"/>
    <n v="0"/>
  </r>
  <r>
    <x v="27"/>
    <n v="3636118.5"/>
    <x v="5"/>
    <n v="0"/>
    <m/>
    <n v="0"/>
    <m/>
    <n v="0"/>
    <m/>
    <n v="0"/>
    <m/>
    <n v="0"/>
    <m/>
    <n v="0"/>
    <m/>
    <n v="0"/>
    <m/>
    <n v="0"/>
    <m/>
    <n v="0"/>
    <m/>
    <n v="0"/>
    <m/>
    <n v="0"/>
    <n v="500"/>
    <n v="0"/>
    <n v="0"/>
    <n v="0"/>
  </r>
  <r>
    <x v="27"/>
    <n v="3636119.5"/>
    <x v="6"/>
    <n v="1172"/>
    <m/>
    <n v="35"/>
    <m/>
    <n v="0"/>
    <m/>
    <n v="12"/>
    <m/>
    <n v="4"/>
    <m/>
    <n v="0"/>
    <m/>
    <n v="4038"/>
    <m/>
    <n v="0"/>
    <m/>
    <n v="0"/>
    <m/>
    <n v="0"/>
    <m/>
    <n v="0"/>
    <n v="20"/>
    <n v="1172"/>
    <n v="4038"/>
    <n v="0"/>
  </r>
  <r>
    <x v="27"/>
    <n v="3636120.5"/>
    <x v="7"/>
    <n v="0"/>
    <m/>
    <n v="209"/>
    <m/>
    <n v="0"/>
    <m/>
    <n v="53"/>
    <m/>
    <n v="0"/>
    <m/>
    <n v="0"/>
    <m/>
    <n v="4745"/>
    <m/>
    <n v="0"/>
    <m/>
    <n v="0"/>
    <m/>
    <n v="0"/>
    <m/>
    <n v="0"/>
    <n v="5"/>
    <n v="209"/>
    <n v="4745"/>
    <n v="0"/>
  </r>
  <r>
    <x v="27"/>
    <n v="3636121.5"/>
    <x v="8"/>
    <n v="0"/>
    <m/>
    <n v="0"/>
    <m/>
    <n v="0"/>
    <m/>
    <n v="0"/>
    <m/>
    <n v="0"/>
    <m/>
    <n v="0"/>
    <m/>
    <n v="0"/>
    <m/>
    <n v="0"/>
    <m/>
    <n v="0"/>
    <m/>
    <n v="0"/>
    <m/>
    <n v="0"/>
    <n v="38"/>
    <n v="0"/>
    <n v="0"/>
    <n v="0"/>
  </r>
  <r>
    <x v="27"/>
    <n v="3636122.5"/>
    <x v="9"/>
    <n v="0"/>
    <m/>
    <n v="0"/>
    <m/>
    <n v="0"/>
    <m/>
    <n v="0"/>
    <m/>
    <n v="0"/>
    <m/>
    <n v="0"/>
    <m/>
    <n v="0"/>
    <m/>
    <n v="0"/>
    <m/>
    <n v="0"/>
    <m/>
    <n v="0"/>
    <m/>
    <n v="0"/>
    <n v="20"/>
    <n v="0"/>
    <n v="0"/>
    <n v="0"/>
  </r>
  <r>
    <x v="27"/>
    <n v="3636123.5"/>
    <x v="10"/>
    <n v="0"/>
    <m/>
    <n v="0"/>
    <m/>
    <n v="0"/>
    <m/>
    <n v="0"/>
    <m/>
    <n v="0"/>
    <m/>
    <n v="0"/>
    <m/>
    <n v="0"/>
    <m/>
    <n v="0"/>
    <m/>
    <n v="0"/>
    <m/>
    <n v="0"/>
    <m/>
    <n v="0"/>
    <n v="9"/>
    <n v="0"/>
    <n v="0"/>
    <n v="0"/>
  </r>
  <r>
    <x v="27"/>
    <n v="3636124.5"/>
    <x v="11"/>
    <n v="0"/>
    <m/>
    <n v="0"/>
    <m/>
    <n v="0"/>
    <m/>
    <n v="0"/>
    <m/>
    <n v="0"/>
    <m/>
    <n v="0"/>
    <m/>
    <n v="0"/>
    <m/>
    <n v="0"/>
    <m/>
    <n v="0"/>
    <m/>
    <n v="0"/>
    <m/>
    <n v="0"/>
    <n v="326"/>
    <n v="0"/>
    <n v="0"/>
    <n v="0"/>
  </r>
  <r>
    <x v="27"/>
    <n v="3636125.5"/>
    <x v="12"/>
    <n v="0"/>
    <m/>
    <n v="0"/>
    <m/>
    <n v="0"/>
    <m/>
    <n v="0"/>
    <m/>
    <n v="0"/>
    <m/>
    <n v="0"/>
    <m/>
    <n v="0"/>
    <m/>
    <n v="0"/>
    <m/>
    <n v="0"/>
    <m/>
    <n v="0"/>
    <m/>
    <n v="0"/>
    <n v="0"/>
    <n v="0"/>
    <n v="0"/>
    <n v="0"/>
  </r>
  <r>
    <x v="27"/>
    <n v="3636126.5"/>
    <x v="13"/>
    <n v="0"/>
    <m/>
    <n v="0"/>
    <m/>
    <n v="0"/>
    <m/>
    <n v="0"/>
    <m/>
    <n v="0"/>
    <m/>
    <n v="0"/>
    <m/>
    <n v="0"/>
    <m/>
    <n v="0"/>
    <m/>
    <n v="0"/>
    <m/>
    <n v="0"/>
    <m/>
    <n v="0"/>
    <n v="0"/>
    <n v="0"/>
    <n v="0"/>
    <n v="0"/>
  </r>
  <r>
    <x v="27"/>
    <n v="3636127.5"/>
    <x v="14"/>
    <n v="0"/>
    <m/>
    <n v="0"/>
    <m/>
    <n v="0"/>
    <m/>
    <n v="0"/>
    <m/>
    <n v="0"/>
    <m/>
    <n v="0"/>
    <m/>
    <n v="0"/>
    <m/>
    <n v="0"/>
    <m/>
    <n v="0"/>
    <m/>
    <n v="0"/>
    <m/>
    <n v="0"/>
    <n v="15"/>
    <n v="0"/>
    <n v="0"/>
    <n v="0"/>
  </r>
  <r>
    <x v="27"/>
    <n v="3636128.5"/>
    <x v="15"/>
    <n v="0"/>
    <m/>
    <n v="0"/>
    <m/>
    <n v="0"/>
    <m/>
    <n v="0"/>
    <m/>
    <n v="0"/>
    <m/>
    <n v="0"/>
    <m/>
    <n v="0"/>
    <m/>
    <n v="0"/>
    <m/>
    <n v="0"/>
    <m/>
    <n v="0"/>
    <m/>
    <n v="0"/>
    <n v="0"/>
    <n v="0"/>
    <n v="0"/>
    <n v="0"/>
  </r>
  <r>
    <x v="27"/>
    <n v="3636129.5"/>
    <x v="16"/>
    <n v="0"/>
    <m/>
    <n v="0"/>
    <m/>
    <n v="0"/>
    <m/>
    <n v="0"/>
    <m/>
    <n v="0"/>
    <m/>
    <n v="0"/>
    <m/>
    <n v="0"/>
    <m/>
    <n v="0"/>
    <m/>
    <n v="0"/>
    <m/>
    <n v="0"/>
    <m/>
    <n v="0"/>
    <n v="1532"/>
    <n v="0"/>
    <n v="0"/>
    <n v="0"/>
  </r>
  <r>
    <x v="27"/>
    <n v="3636130.5"/>
    <x v="17"/>
    <n v="0"/>
    <m/>
    <n v="0"/>
    <m/>
    <n v="0"/>
    <m/>
    <n v="0"/>
    <m/>
    <n v="0"/>
    <m/>
    <n v="0"/>
    <m/>
    <n v="0"/>
    <m/>
    <n v="0"/>
    <m/>
    <n v="0"/>
    <m/>
    <n v="0"/>
    <m/>
    <n v="0"/>
    <n v="4"/>
    <n v="0"/>
    <n v="0"/>
    <n v="0"/>
  </r>
  <r>
    <x v="27"/>
    <n v="3636131.5"/>
    <x v="18"/>
    <n v="0"/>
    <m/>
    <n v="0"/>
    <m/>
    <n v="0"/>
    <m/>
    <n v="0"/>
    <m/>
    <n v="0"/>
    <m/>
    <n v="0"/>
    <m/>
    <n v="0"/>
    <m/>
    <n v="0"/>
    <m/>
    <n v="0"/>
    <m/>
    <n v="0"/>
    <m/>
    <n v="0"/>
    <n v="122"/>
    <n v="0"/>
    <n v="0"/>
    <n v="0"/>
  </r>
  <r>
    <x v="27"/>
    <n v="3636132.5"/>
    <x v="19"/>
    <n v="0"/>
    <m/>
    <n v="0"/>
    <m/>
    <n v="0"/>
    <m/>
    <n v="0"/>
    <m/>
    <n v="0"/>
    <m/>
    <n v="0"/>
    <m/>
    <n v="0"/>
    <m/>
    <n v="0"/>
    <m/>
    <n v="0"/>
    <m/>
    <n v="0"/>
    <m/>
    <n v="0"/>
    <n v="65"/>
    <n v="0"/>
    <n v="0"/>
    <n v="0"/>
  </r>
  <r>
    <x v="27"/>
    <n v="3636133.5"/>
    <x v="20"/>
    <n v="0"/>
    <m/>
    <n v="0"/>
    <m/>
    <n v="0"/>
    <m/>
    <n v="0"/>
    <m/>
    <n v="0"/>
    <m/>
    <n v="0"/>
    <m/>
    <n v="0"/>
    <m/>
    <n v="0"/>
    <m/>
    <n v="0"/>
    <m/>
    <n v="0"/>
    <m/>
    <n v="0"/>
    <n v="7"/>
    <n v="0"/>
    <n v="0"/>
    <n v="0"/>
  </r>
  <r>
    <x v="27"/>
    <n v="3636134.5"/>
    <x v="21"/>
    <n v="0"/>
    <m/>
    <n v="0"/>
    <m/>
    <n v="0"/>
    <m/>
    <n v="0"/>
    <m/>
    <n v="0"/>
    <m/>
    <n v="0"/>
    <m/>
    <n v="0"/>
    <m/>
    <n v="0"/>
    <m/>
    <n v="0"/>
    <m/>
    <n v="0"/>
    <m/>
    <n v="0"/>
    <n v="0"/>
    <n v="0"/>
    <n v="0"/>
    <n v="0"/>
  </r>
  <r>
    <x v="27"/>
    <n v="3636135.5"/>
    <x v="22"/>
    <n v="0"/>
    <m/>
    <n v="0"/>
    <m/>
    <n v="0"/>
    <m/>
    <n v="0"/>
    <m/>
    <n v="0"/>
    <m/>
    <n v="0"/>
    <m/>
    <n v="0"/>
    <m/>
    <n v="0"/>
    <m/>
    <n v="0"/>
    <m/>
    <n v="0"/>
    <m/>
    <n v="0"/>
    <n v="0"/>
    <n v="0"/>
    <n v="0"/>
    <n v="0"/>
  </r>
  <r>
    <x v="27"/>
    <n v="3636136.5"/>
    <x v="23"/>
    <n v="0"/>
    <m/>
    <n v="0"/>
    <m/>
    <n v="0"/>
    <m/>
    <n v="0"/>
    <m/>
    <n v="0"/>
    <m/>
    <n v="0"/>
    <m/>
    <n v="0"/>
    <m/>
    <n v="0"/>
    <m/>
    <n v="0"/>
    <m/>
    <n v="0"/>
    <m/>
    <n v="0"/>
    <n v="42"/>
    <n v="0"/>
    <n v="0"/>
    <n v="0"/>
  </r>
  <r>
    <x v="28"/>
    <n v="1288744.5000000005"/>
    <x v="0"/>
    <n v="3444"/>
    <n v="1290691.4999999998"/>
    <n v="4092"/>
    <n v="1292113.5000000002"/>
    <n v="4858"/>
    <n v="1293153"/>
    <n v="5100"/>
    <n v="1293911.0000000005"/>
    <n v="5538"/>
    <n v="1294740.5000000002"/>
    <n v="5854"/>
    <n v="1295381.5000000005"/>
    <n v="4790"/>
    <n v="1296279.0000000002"/>
    <n v="6580"/>
    <n v="1297827.5"/>
    <n v="7101"/>
    <n v="1298914.4999999995"/>
    <n v="0"/>
    <n v="1299468.9999999986"/>
    <n v="3224"/>
    <n v="2395"/>
    <n v="5100"/>
    <n v="6580"/>
    <n v="7101"/>
  </r>
  <r>
    <x v="28"/>
    <n v="1288745.5"/>
    <x v="1"/>
    <n v="7474"/>
    <m/>
    <n v="7926"/>
    <m/>
    <n v="8250"/>
    <m/>
    <n v="8522"/>
    <m/>
    <n v="8268"/>
    <m/>
    <n v="8890"/>
    <m/>
    <n v="9972"/>
    <m/>
    <n v="0"/>
    <m/>
    <n v="0"/>
    <m/>
    <n v="0"/>
    <m/>
    <n v="7800"/>
    <n v="4419"/>
    <n v="8522"/>
    <n v="9972"/>
    <n v="7800"/>
  </r>
  <r>
    <x v="28"/>
    <n v="1288746.5"/>
    <x v="2"/>
    <n v="0"/>
    <m/>
    <n v="0"/>
    <m/>
    <n v="0"/>
    <m/>
    <n v="0"/>
    <m/>
    <n v="0"/>
    <m/>
    <n v="0"/>
    <m/>
    <n v="0"/>
    <m/>
    <n v="0"/>
    <m/>
    <n v="0"/>
    <m/>
    <n v="0"/>
    <m/>
    <n v="0"/>
    <n v="567"/>
    <n v="0"/>
    <n v="0"/>
    <n v="0"/>
  </r>
  <r>
    <x v="28"/>
    <n v="1288747.5"/>
    <x v="3"/>
    <n v="0"/>
    <m/>
    <n v="73"/>
    <m/>
    <n v="24"/>
    <m/>
    <n v="0"/>
    <m/>
    <n v="1159"/>
    <m/>
    <n v="759"/>
    <m/>
    <n v="0"/>
    <m/>
    <n v="14"/>
    <m/>
    <n v="0"/>
    <m/>
    <n v="0"/>
    <m/>
    <n v="258"/>
    <n v="748"/>
    <n v="73"/>
    <n v="1159"/>
    <n v="258"/>
  </r>
  <r>
    <x v="28"/>
    <n v="1288748.5"/>
    <x v="4"/>
    <n v="0"/>
    <m/>
    <n v="27"/>
    <m/>
    <n v="18"/>
    <m/>
    <n v="0"/>
    <m/>
    <n v="312"/>
    <m/>
    <n v="293"/>
    <m/>
    <n v="0"/>
    <m/>
    <n v="0"/>
    <m/>
    <n v="0"/>
    <m/>
    <n v="0"/>
    <m/>
    <n v="0"/>
    <n v="466"/>
    <n v="27"/>
    <n v="312"/>
    <n v="0"/>
  </r>
  <r>
    <x v="28"/>
    <n v="1288749.5"/>
    <x v="5"/>
    <n v="0"/>
    <m/>
    <n v="0"/>
    <m/>
    <n v="0"/>
    <m/>
    <n v="0"/>
    <m/>
    <n v="0"/>
    <m/>
    <n v="0"/>
    <m/>
    <n v="180"/>
    <m/>
    <n v="0"/>
    <m/>
    <n v="163"/>
    <m/>
    <n v="0"/>
    <m/>
    <n v="916"/>
    <n v="180"/>
    <n v="0"/>
    <n v="180"/>
    <n v="916"/>
  </r>
  <r>
    <x v="28"/>
    <n v="1288750.5"/>
    <x v="6"/>
    <n v="0"/>
    <m/>
    <n v="0"/>
    <m/>
    <n v="0"/>
    <m/>
    <n v="0"/>
    <m/>
    <n v="202"/>
    <m/>
    <n v="61"/>
    <m/>
    <n v="0"/>
    <m/>
    <n v="1"/>
    <m/>
    <n v="0"/>
    <m/>
    <n v="0"/>
    <m/>
    <n v="0"/>
    <n v="0"/>
    <n v="0"/>
    <n v="202"/>
    <n v="0"/>
  </r>
  <r>
    <x v="28"/>
    <n v="1288751.5"/>
    <x v="7"/>
    <n v="0"/>
    <m/>
    <n v="0"/>
    <m/>
    <n v="0"/>
    <m/>
    <n v="0"/>
    <m/>
    <n v="1796"/>
    <m/>
    <n v="1843"/>
    <m/>
    <n v="0"/>
    <m/>
    <n v="311"/>
    <m/>
    <n v="0"/>
    <m/>
    <n v="0"/>
    <m/>
    <n v="0"/>
    <n v="48"/>
    <n v="0"/>
    <n v="1843"/>
    <n v="0"/>
  </r>
  <r>
    <x v="28"/>
    <n v="1288752.5"/>
    <x v="8"/>
    <n v="0"/>
    <m/>
    <n v="0"/>
    <m/>
    <n v="0"/>
    <m/>
    <n v="0"/>
    <m/>
    <n v="0"/>
    <m/>
    <n v="0"/>
    <m/>
    <n v="0"/>
    <m/>
    <n v="0"/>
    <m/>
    <n v="0"/>
    <m/>
    <n v="0"/>
    <m/>
    <n v="0"/>
    <n v="1153"/>
    <n v="0"/>
    <n v="0"/>
    <n v="0"/>
  </r>
  <r>
    <x v="28"/>
    <n v="1288753.5"/>
    <x v="9"/>
    <n v="0"/>
    <m/>
    <n v="0"/>
    <m/>
    <n v="0"/>
    <m/>
    <n v="0"/>
    <m/>
    <n v="0"/>
    <m/>
    <n v="0"/>
    <m/>
    <n v="0"/>
    <m/>
    <n v="0"/>
    <m/>
    <n v="0"/>
    <m/>
    <n v="0"/>
    <m/>
    <n v="0"/>
    <n v="315"/>
    <n v="0"/>
    <n v="0"/>
    <n v="0"/>
  </r>
  <r>
    <x v="28"/>
    <n v="1288754.5"/>
    <x v="10"/>
    <n v="0"/>
    <m/>
    <n v="0"/>
    <m/>
    <n v="0"/>
    <m/>
    <n v="0"/>
    <m/>
    <n v="0"/>
    <m/>
    <n v="0"/>
    <m/>
    <n v="0"/>
    <m/>
    <n v="15"/>
    <m/>
    <n v="0"/>
    <m/>
    <n v="0"/>
    <m/>
    <n v="0"/>
    <n v="12"/>
    <n v="0"/>
    <n v="15"/>
    <n v="0"/>
  </r>
  <r>
    <x v="28"/>
    <n v="1288755.5"/>
    <x v="11"/>
    <n v="0"/>
    <m/>
    <n v="0"/>
    <m/>
    <n v="0"/>
    <m/>
    <n v="0"/>
    <m/>
    <n v="0"/>
    <m/>
    <n v="0"/>
    <m/>
    <n v="291"/>
    <m/>
    <n v="0"/>
    <m/>
    <n v="0"/>
    <m/>
    <n v="0"/>
    <m/>
    <n v="270"/>
    <n v="274"/>
    <n v="0"/>
    <n v="291"/>
    <n v="270"/>
  </r>
  <r>
    <x v="28"/>
    <n v="1288756.5"/>
    <x v="12"/>
    <n v="0"/>
    <m/>
    <n v="0"/>
    <m/>
    <n v="0"/>
    <m/>
    <n v="0"/>
    <m/>
    <n v="0"/>
    <m/>
    <n v="0"/>
    <m/>
    <n v="0"/>
    <m/>
    <n v="0"/>
    <m/>
    <n v="0"/>
    <m/>
    <n v="0"/>
    <m/>
    <n v="0"/>
    <n v="9"/>
    <n v="0"/>
    <n v="0"/>
    <n v="0"/>
  </r>
  <r>
    <x v="28"/>
    <n v="1288757.5"/>
    <x v="13"/>
    <n v="0"/>
    <m/>
    <n v="0"/>
    <m/>
    <n v="0"/>
    <m/>
    <n v="0"/>
    <m/>
    <n v="0"/>
    <m/>
    <n v="0"/>
    <m/>
    <n v="0"/>
    <m/>
    <n v="0"/>
    <m/>
    <n v="0"/>
    <m/>
    <n v="0"/>
    <m/>
    <n v="0"/>
    <n v="213"/>
    <n v="0"/>
    <n v="0"/>
    <n v="0"/>
  </r>
  <r>
    <x v="28"/>
    <n v="1288758.5"/>
    <x v="14"/>
    <n v="0"/>
    <m/>
    <n v="0"/>
    <m/>
    <n v="0"/>
    <m/>
    <n v="0"/>
    <m/>
    <n v="0"/>
    <m/>
    <n v="0"/>
    <m/>
    <n v="0"/>
    <m/>
    <n v="0"/>
    <m/>
    <n v="0"/>
    <m/>
    <n v="0"/>
    <m/>
    <n v="378"/>
    <n v="416"/>
    <n v="0"/>
    <n v="0"/>
    <n v="378"/>
  </r>
  <r>
    <x v="28"/>
    <n v="1288759.5"/>
    <x v="15"/>
    <n v="0"/>
    <m/>
    <n v="0"/>
    <m/>
    <n v="0"/>
    <m/>
    <n v="0"/>
    <m/>
    <n v="0"/>
    <m/>
    <n v="0"/>
    <m/>
    <n v="0"/>
    <m/>
    <n v="0"/>
    <m/>
    <n v="0"/>
    <m/>
    <n v="0"/>
    <m/>
    <n v="6"/>
    <n v="0"/>
    <n v="0"/>
    <n v="0"/>
    <n v="6"/>
  </r>
  <r>
    <x v="28"/>
    <n v="1288760.5"/>
    <x v="16"/>
    <n v="0"/>
    <m/>
    <n v="0"/>
    <m/>
    <n v="0"/>
    <m/>
    <n v="0"/>
    <m/>
    <n v="0"/>
    <m/>
    <n v="0"/>
    <m/>
    <n v="0"/>
    <m/>
    <n v="0"/>
    <m/>
    <n v="0"/>
    <m/>
    <n v="0"/>
    <m/>
    <n v="0"/>
    <n v="3295"/>
    <n v="0"/>
    <n v="0"/>
    <n v="0"/>
  </r>
  <r>
    <x v="28"/>
    <n v="1288761.5"/>
    <x v="17"/>
    <n v="0"/>
    <m/>
    <n v="0"/>
    <m/>
    <n v="0"/>
    <m/>
    <n v="0"/>
    <m/>
    <n v="0"/>
    <m/>
    <n v="0"/>
    <m/>
    <n v="0"/>
    <m/>
    <n v="0"/>
    <m/>
    <n v="0"/>
    <m/>
    <n v="0"/>
    <m/>
    <n v="0"/>
    <n v="0"/>
    <n v="0"/>
    <n v="0"/>
    <n v="0"/>
  </r>
  <r>
    <x v="28"/>
    <n v="1288762.5"/>
    <x v="18"/>
    <n v="0"/>
    <m/>
    <n v="0"/>
    <m/>
    <n v="0"/>
    <m/>
    <n v="0"/>
    <m/>
    <n v="0"/>
    <m/>
    <n v="0"/>
    <m/>
    <n v="0"/>
    <m/>
    <n v="0"/>
    <m/>
    <n v="0"/>
    <m/>
    <n v="0"/>
    <m/>
    <n v="224"/>
    <n v="291"/>
    <n v="0"/>
    <n v="0"/>
    <n v="224"/>
  </r>
  <r>
    <x v="28"/>
    <n v="1288763.5"/>
    <x v="19"/>
    <n v="0"/>
    <m/>
    <n v="0"/>
    <m/>
    <n v="0"/>
    <m/>
    <n v="0"/>
    <m/>
    <n v="0"/>
    <m/>
    <n v="0"/>
    <m/>
    <n v="0"/>
    <m/>
    <n v="0"/>
    <m/>
    <n v="0"/>
    <m/>
    <n v="0"/>
    <m/>
    <n v="0"/>
    <n v="24"/>
    <n v="0"/>
    <n v="0"/>
    <n v="0"/>
  </r>
  <r>
    <x v="28"/>
    <n v="1288764.5"/>
    <x v="20"/>
    <n v="0"/>
    <m/>
    <n v="0"/>
    <m/>
    <n v="0"/>
    <m/>
    <n v="0"/>
    <m/>
    <n v="0"/>
    <m/>
    <n v="0"/>
    <m/>
    <n v="0"/>
    <m/>
    <n v="0"/>
    <m/>
    <n v="0"/>
    <m/>
    <n v="0"/>
    <m/>
    <n v="0"/>
    <n v="64"/>
    <n v="0"/>
    <n v="0"/>
    <n v="0"/>
  </r>
  <r>
    <x v="28"/>
    <n v="1288765.5"/>
    <x v="21"/>
    <n v="0"/>
    <m/>
    <n v="0"/>
    <m/>
    <n v="0"/>
    <m/>
    <n v="0"/>
    <m/>
    <n v="0"/>
    <m/>
    <n v="0"/>
    <m/>
    <n v="0"/>
    <m/>
    <n v="0"/>
    <m/>
    <n v="0"/>
    <m/>
    <n v="0"/>
    <m/>
    <n v="0"/>
    <n v="0"/>
    <n v="0"/>
    <n v="0"/>
    <n v="0"/>
  </r>
  <r>
    <x v="28"/>
    <n v="1288766.5"/>
    <x v="22"/>
    <n v="0"/>
    <m/>
    <n v="0"/>
    <m/>
    <n v="0"/>
    <m/>
    <n v="0"/>
    <m/>
    <n v="0"/>
    <m/>
    <n v="0"/>
    <m/>
    <n v="0"/>
    <m/>
    <n v="0"/>
    <m/>
    <n v="0"/>
    <m/>
    <n v="0"/>
    <m/>
    <n v="27"/>
    <n v="0"/>
    <n v="0"/>
    <n v="0"/>
    <n v="27"/>
  </r>
  <r>
    <x v="28"/>
    <n v="1288767.5"/>
    <x v="23"/>
    <n v="0"/>
    <m/>
    <n v="0"/>
    <m/>
    <n v="0"/>
    <m/>
    <n v="0"/>
    <m/>
    <n v="0"/>
    <m/>
    <n v="0"/>
    <m/>
    <n v="0"/>
    <m/>
    <n v="0"/>
    <m/>
    <n v="0"/>
    <m/>
    <n v="0"/>
    <m/>
    <n v="0"/>
    <n v="5"/>
    <n v="0"/>
    <n v="0"/>
    <n v="0"/>
  </r>
  <r>
    <x v="29"/>
    <n v="15581250.5"/>
    <x v="0"/>
    <n v="0"/>
    <n v="16024775.499999996"/>
    <n v="400"/>
    <n v="16477966.500000002"/>
    <n v="68"/>
    <n v="16938941.500000004"/>
    <n v="0"/>
    <n v="17405623.5"/>
    <n v="1093"/>
    <n v="17881167.000000004"/>
    <n v="11"/>
    <n v="18367882.999999985"/>
    <n v="5520"/>
    <n v="18867336.499999993"/>
    <n v="0"/>
    <n v="19377061.499999985"/>
    <n v="2265"/>
    <n v="19889742.000000011"/>
    <n v="0"/>
    <n v="20405316.500000019"/>
    <n v="2121"/>
    <n v="2760"/>
    <n v="400"/>
    <n v="5520"/>
    <n v="2265"/>
  </r>
  <r>
    <x v="29"/>
    <n v="15581251.5"/>
    <x v="1"/>
    <n v="0"/>
    <m/>
    <n v="7090"/>
    <m/>
    <n v="0"/>
    <m/>
    <n v="0"/>
    <m/>
    <n v="9146"/>
    <m/>
    <n v="0"/>
    <m/>
    <n v="15914"/>
    <m/>
    <n v="0"/>
    <m/>
    <n v="32965"/>
    <m/>
    <n v="0"/>
    <m/>
    <n v="19184"/>
    <n v="6025"/>
    <n v="7090"/>
    <n v="15914"/>
    <n v="32965"/>
  </r>
  <r>
    <x v="29"/>
    <n v="15581252.5"/>
    <x v="2"/>
    <n v="0"/>
    <m/>
    <n v="96"/>
    <m/>
    <n v="0"/>
    <m/>
    <n v="0"/>
    <m/>
    <n v="1136"/>
    <m/>
    <n v="0"/>
    <m/>
    <n v="0"/>
    <m/>
    <n v="0"/>
    <m/>
    <n v="0"/>
    <m/>
    <n v="0"/>
    <m/>
    <n v="1232"/>
    <n v="0"/>
    <n v="96"/>
    <n v="1136"/>
    <n v="1232"/>
  </r>
  <r>
    <x v="29"/>
    <n v="15581253.5"/>
    <x v="3"/>
    <n v="4"/>
    <m/>
    <n v="199"/>
    <m/>
    <n v="0"/>
    <m/>
    <n v="0"/>
    <m/>
    <n v="0"/>
    <m/>
    <n v="0"/>
    <m/>
    <n v="570"/>
    <m/>
    <n v="107"/>
    <m/>
    <n v="40"/>
    <m/>
    <n v="0"/>
    <m/>
    <n v="0"/>
    <n v="387"/>
    <n v="199"/>
    <n v="570"/>
    <n v="40"/>
  </r>
  <r>
    <x v="29"/>
    <n v="15581254.5"/>
    <x v="4"/>
    <n v="4"/>
    <m/>
    <n v="88"/>
    <m/>
    <n v="0"/>
    <m/>
    <n v="0"/>
    <m/>
    <n v="0"/>
    <m/>
    <n v="0"/>
    <m/>
    <n v="916"/>
    <m/>
    <n v="50"/>
    <m/>
    <n v="15"/>
    <m/>
    <n v="0"/>
    <m/>
    <n v="0"/>
    <n v="112"/>
    <n v="88"/>
    <n v="916"/>
    <n v="15"/>
  </r>
  <r>
    <x v="29"/>
    <n v="15581255.5"/>
    <x v="5"/>
    <n v="0"/>
    <m/>
    <n v="0"/>
    <m/>
    <n v="0"/>
    <m/>
    <n v="0"/>
    <m/>
    <n v="0"/>
    <m/>
    <n v="0"/>
    <m/>
    <n v="10016"/>
    <m/>
    <n v="0"/>
    <m/>
    <n v="0"/>
    <m/>
    <n v="0"/>
    <m/>
    <n v="10747"/>
    <n v="10016"/>
    <n v="0"/>
    <n v="10016"/>
    <n v="10747"/>
  </r>
  <r>
    <x v="29"/>
    <n v="15581256.5"/>
    <x v="6"/>
    <n v="0"/>
    <m/>
    <n v="0"/>
    <m/>
    <n v="0"/>
    <m/>
    <n v="0"/>
    <m/>
    <n v="0"/>
    <m/>
    <n v="0"/>
    <m/>
    <n v="0"/>
    <m/>
    <n v="0"/>
    <m/>
    <n v="9"/>
    <m/>
    <n v="0"/>
    <m/>
    <n v="0"/>
    <n v="25"/>
    <n v="0"/>
    <n v="0"/>
    <n v="9"/>
  </r>
  <r>
    <x v="29"/>
    <n v="15581257.5"/>
    <x v="7"/>
    <n v="0"/>
    <m/>
    <n v="0"/>
    <m/>
    <n v="0"/>
    <m/>
    <n v="0"/>
    <m/>
    <n v="0"/>
    <m/>
    <n v="0"/>
    <m/>
    <n v="0"/>
    <m/>
    <n v="0"/>
    <m/>
    <n v="0"/>
    <m/>
    <n v="0"/>
    <m/>
    <n v="0"/>
    <n v="35"/>
    <n v="0"/>
    <n v="0"/>
    <n v="0"/>
  </r>
  <r>
    <x v="29"/>
    <n v="15581258.5"/>
    <x v="8"/>
    <n v="0"/>
    <m/>
    <n v="0"/>
    <m/>
    <n v="0"/>
    <m/>
    <n v="0"/>
    <m/>
    <n v="0"/>
    <m/>
    <n v="0"/>
    <m/>
    <n v="0"/>
    <m/>
    <n v="0"/>
    <m/>
    <n v="0"/>
    <m/>
    <n v="0"/>
    <m/>
    <n v="0"/>
    <n v="178"/>
    <n v="0"/>
    <n v="0"/>
    <n v="0"/>
  </r>
  <r>
    <x v="29"/>
    <n v="15581259.5"/>
    <x v="9"/>
    <n v="0"/>
    <m/>
    <n v="0"/>
    <m/>
    <n v="0"/>
    <m/>
    <n v="0"/>
    <m/>
    <n v="0"/>
    <m/>
    <n v="0"/>
    <m/>
    <n v="0"/>
    <m/>
    <n v="0"/>
    <m/>
    <n v="2630"/>
    <m/>
    <n v="0"/>
    <m/>
    <n v="561"/>
    <n v="178"/>
    <n v="0"/>
    <n v="0"/>
    <n v="2630"/>
  </r>
  <r>
    <x v="29"/>
    <n v="15581260.5"/>
    <x v="10"/>
    <n v="0"/>
    <m/>
    <n v="0"/>
    <m/>
    <n v="0"/>
    <m/>
    <n v="0"/>
    <m/>
    <n v="0"/>
    <m/>
    <n v="0"/>
    <m/>
    <n v="0"/>
    <m/>
    <n v="0"/>
    <m/>
    <n v="0"/>
    <m/>
    <n v="0"/>
    <m/>
    <n v="12"/>
    <n v="0"/>
    <n v="0"/>
    <n v="0"/>
    <n v="12"/>
  </r>
  <r>
    <x v="29"/>
    <n v="15581261.5"/>
    <x v="11"/>
    <n v="0"/>
    <m/>
    <n v="0"/>
    <m/>
    <n v="0"/>
    <m/>
    <n v="0"/>
    <m/>
    <n v="0"/>
    <m/>
    <n v="0"/>
    <m/>
    <n v="542"/>
    <m/>
    <n v="0"/>
    <m/>
    <n v="743"/>
    <m/>
    <n v="0"/>
    <m/>
    <n v="81"/>
    <n v="0"/>
    <n v="0"/>
    <n v="542"/>
    <n v="743"/>
  </r>
  <r>
    <x v="29"/>
    <n v="15581262.5"/>
    <x v="12"/>
    <n v="0"/>
    <m/>
    <n v="0"/>
    <m/>
    <n v="0"/>
    <m/>
    <n v="0"/>
    <m/>
    <n v="0"/>
    <m/>
    <n v="0"/>
    <m/>
    <n v="0"/>
    <m/>
    <n v="0"/>
    <m/>
    <n v="1809"/>
    <m/>
    <n v="0"/>
    <m/>
    <n v="1661"/>
    <n v="2804"/>
    <n v="0"/>
    <n v="0"/>
    <n v="1809"/>
  </r>
  <r>
    <x v="29"/>
    <n v="15581263.5"/>
    <x v="13"/>
    <n v="0"/>
    <m/>
    <n v="0"/>
    <m/>
    <n v="0"/>
    <m/>
    <n v="0"/>
    <m/>
    <n v="0"/>
    <m/>
    <n v="0"/>
    <m/>
    <n v="0"/>
    <m/>
    <n v="0"/>
    <m/>
    <n v="0"/>
    <m/>
    <n v="0"/>
    <m/>
    <n v="610"/>
    <n v="44"/>
    <n v="0"/>
    <n v="0"/>
    <n v="610"/>
  </r>
  <r>
    <x v="29"/>
    <n v="15581264.5"/>
    <x v="14"/>
    <n v="0"/>
    <m/>
    <n v="0"/>
    <m/>
    <n v="0"/>
    <m/>
    <n v="0"/>
    <m/>
    <n v="0"/>
    <m/>
    <n v="0"/>
    <m/>
    <n v="0"/>
    <m/>
    <n v="0"/>
    <m/>
    <n v="0"/>
    <m/>
    <n v="0"/>
    <m/>
    <n v="0"/>
    <n v="306"/>
    <n v="0"/>
    <n v="0"/>
    <n v="0"/>
  </r>
  <r>
    <x v="29"/>
    <n v="15581265.5"/>
    <x v="15"/>
    <n v="0"/>
    <m/>
    <n v="0"/>
    <m/>
    <n v="0"/>
    <m/>
    <n v="0"/>
    <m/>
    <n v="0"/>
    <m/>
    <n v="0"/>
    <m/>
    <n v="0"/>
    <m/>
    <n v="0"/>
    <m/>
    <n v="91"/>
    <m/>
    <n v="0"/>
    <m/>
    <n v="73"/>
    <n v="13"/>
    <n v="0"/>
    <n v="0"/>
    <n v="91"/>
  </r>
  <r>
    <x v="29"/>
    <n v="15581266.5"/>
    <x v="16"/>
    <n v="0"/>
    <m/>
    <n v="0"/>
    <m/>
    <n v="0"/>
    <m/>
    <n v="0"/>
    <m/>
    <n v="0"/>
    <m/>
    <n v="0"/>
    <m/>
    <n v="0"/>
    <m/>
    <n v="0"/>
    <m/>
    <n v="0"/>
    <m/>
    <n v="0"/>
    <m/>
    <n v="0"/>
    <n v="0"/>
    <n v="0"/>
    <n v="0"/>
    <n v="0"/>
  </r>
  <r>
    <x v="29"/>
    <n v="15581267.5"/>
    <x v="17"/>
    <n v="0"/>
    <m/>
    <n v="0"/>
    <m/>
    <n v="0"/>
    <m/>
    <n v="0"/>
    <m/>
    <n v="0"/>
    <m/>
    <n v="0"/>
    <m/>
    <n v="0"/>
    <m/>
    <n v="0"/>
    <m/>
    <n v="0"/>
    <m/>
    <n v="0"/>
    <m/>
    <n v="11178"/>
    <n v="0"/>
    <n v="0"/>
    <n v="0"/>
    <n v="11178"/>
  </r>
  <r>
    <x v="29"/>
    <n v="15581268.5"/>
    <x v="18"/>
    <n v="0"/>
    <m/>
    <n v="0"/>
    <m/>
    <n v="0"/>
    <m/>
    <n v="0"/>
    <m/>
    <n v="397"/>
    <m/>
    <n v="0"/>
    <m/>
    <n v="0"/>
    <m/>
    <n v="0"/>
    <m/>
    <n v="282"/>
    <m/>
    <n v="0"/>
    <m/>
    <n v="189"/>
    <n v="542"/>
    <n v="0"/>
    <n v="397"/>
    <n v="282"/>
  </r>
  <r>
    <x v="29"/>
    <n v="15581269.5"/>
    <x v="19"/>
    <n v="0"/>
    <m/>
    <n v="0"/>
    <m/>
    <n v="0"/>
    <m/>
    <n v="0"/>
    <m/>
    <n v="1159"/>
    <m/>
    <n v="0"/>
    <m/>
    <n v="0"/>
    <m/>
    <n v="0"/>
    <m/>
    <n v="0"/>
    <m/>
    <n v="0"/>
    <m/>
    <n v="37"/>
    <n v="98"/>
    <n v="0"/>
    <n v="1159"/>
    <n v="37"/>
  </r>
  <r>
    <x v="29"/>
    <n v="15581270.5"/>
    <x v="20"/>
    <n v="0"/>
    <m/>
    <n v="0"/>
    <m/>
    <n v="0"/>
    <m/>
    <n v="0"/>
    <m/>
    <n v="0"/>
    <m/>
    <n v="0"/>
    <m/>
    <n v="0"/>
    <m/>
    <n v="0"/>
    <m/>
    <n v="152"/>
    <m/>
    <n v="0"/>
    <m/>
    <n v="248"/>
    <n v="52"/>
    <n v="0"/>
    <n v="0"/>
    <n v="248"/>
  </r>
  <r>
    <x v="29"/>
    <n v="15581271.5"/>
    <x v="21"/>
    <n v="0"/>
    <m/>
    <n v="0"/>
    <m/>
    <n v="0"/>
    <m/>
    <n v="0"/>
    <m/>
    <n v="0"/>
    <m/>
    <n v="0"/>
    <m/>
    <n v="0"/>
    <m/>
    <n v="0"/>
    <m/>
    <n v="0"/>
    <m/>
    <n v="0"/>
    <m/>
    <n v="72"/>
    <n v="0"/>
    <n v="0"/>
    <n v="0"/>
    <n v="72"/>
  </r>
  <r>
    <x v="29"/>
    <n v="15581272.5"/>
    <x v="22"/>
    <n v="0"/>
    <m/>
    <n v="0"/>
    <m/>
    <n v="0"/>
    <m/>
    <n v="0"/>
    <m/>
    <n v="0"/>
    <m/>
    <n v="0"/>
    <m/>
    <n v="0"/>
    <m/>
    <n v="0"/>
    <m/>
    <n v="0"/>
    <m/>
    <n v="0"/>
    <m/>
    <n v="0"/>
    <n v="0"/>
    <n v="0"/>
    <n v="0"/>
    <n v="0"/>
  </r>
  <r>
    <x v="29"/>
    <n v="15581273.5"/>
    <x v="23"/>
    <n v="0"/>
    <m/>
    <n v="0"/>
    <m/>
    <n v="0"/>
    <m/>
    <n v="0"/>
    <m/>
    <n v="0"/>
    <m/>
    <n v="0"/>
    <m/>
    <n v="0"/>
    <m/>
    <n v="0"/>
    <m/>
    <n v="0"/>
    <m/>
    <n v="0"/>
    <m/>
    <n v="2"/>
    <n v="0"/>
    <n v="0"/>
    <n v="0"/>
    <n v="2"/>
  </r>
  <r>
    <x v="30"/>
    <n v="2167470.0000000023"/>
    <x v="0"/>
    <n v="0"/>
    <n v="2204510.0000000005"/>
    <n v="113"/>
    <n v="2243000.9999999991"/>
    <n v="24"/>
    <n v="2282703.9999999995"/>
    <n v="0"/>
    <n v="2323352"/>
    <n v="0"/>
    <n v="2364533.5000000009"/>
    <n v="2842"/>
    <n v="2405680.5000000005"/>
    <n v="1726"/>
    <n v="2446644.4999999977"/>
    <n v="1931"/>
    <n v="2489097.9999999991"/>
    <n v="2230"/>
    <n v="2530150.5000000014"/>
    <n v="2549"/>
    <n v="2567012.4999999995"/>
    <n v="3012"/>
    <n v="1445"/>
    <n v="113"/>
    <n v="2842"/>
    <n v="3012"/>
  </r>
  <r>
    <x v="30"/>
    <n v="2167471"/>
    <x v="1"/>
    <n v="0"/>
    <m/>
    <n v="8220"/>
    <m/>
    <n v="8424"/>
    <m/>
    <n v="8730"/>
    <m/>
    <n v="9632"/>
    <m/>
    <n v="9706"/>
    <m/>
    <n v="10614"/>
    <m/>
    <n v="11806"/>
    <m/>
    <n v="12880"/>
    <m/>
    <n v="14332"/>
    <m/>
    <n v="17210"/>
    <n v="12956"/>
    <n v="8730"/>
    <n v="11806"/>
    <n v="17210"/>
  </r>
  <r>
    <x v="30"/>
    <n v="2167472"/>
    <x v="2"/>
    <n v="0"/>
    <m/>
    <n v="0"/>
    <m/>
    <n v="0"/>
    <m/>
    <n v="0"/>
    <m/>
    <n v="0"/>
    <m/>
    <n v="0"/>
    <m/>
    <n v="10"/>
    <m/>
    <n v="10"/>
    <m/>
    <n v="10"/>
    <m/>
    <n v="12"/>
    <m/>
    <n v="14"/>
    <n v="0"/>
    <n v="0"/>
    <n v="10"/>
    <n v="14"/>
  </r>
  <r>
    <x v="30"/>
    <n v="2167473"/>
    <x v="3"/>
    <n v="0"/>
    <m/>
    <n v="0"/>
    <m/>
    <n v="0"/>
    <m/>
    <n v="0"/>
    <m/>
    <n v="0"/>
    <m/>
    <n v="79"/>
    <m/>
    <n v="0"/>
    <m/>
    <n v="0"/>
    <m/>
    <n v="104"/>
    <m/>
    <n v="0"/>
    <m/>
    <n v="142"/>
    <n v="907"/>
    <n v="0"/>
    <n v="79"/>
    <n v="142"/>
  </r>
  <r>
    <x v="30"/>
    <n v="2167474"/>
    <x v="4"/>
    <n v="0"/>
    <m/>
    <n v="0"/>
    <m/>
    <n v="0"/>
    <m/>
    <n v="0"/>
    <m/>
    <n v="0"/>
    <m/>
    <n v="0"/>
    <m/>
    <n v="0"/>
    <m/>
    <n v="0"/>
    <m/>
    <n v="17"/>
    <m/>
    <n v="0"/>
    <m/>
    <n v="0"/>
    <n v="289"/>
    <n v="0"/>
    <n v="0"/>
    <n v="17"/>
  </r>
  <r>
    <x v="30"/>
    <n v="2167475"/>
    <x v="5"/>
    <n v="0"/>
    <m/>
    <n v="0"/>
    <m/>
    <n v="0"/>
    <m/>
    <n v="0"/>
    <m/>
    <n v="0"/>
    <m/>
    <n v="0"/>
    <m/>
    <n v="2292"/>
    <m/>
    <n v="0"/>
    <m/>
    <n v="0"/>
    <m/>
    <n v="0"/>
    <m/>
    <n v="0"/>
    <n v="2292"/>
    <n v="0"/>
    <n v="2292"/>
    <n v="0"/>
  </r>
  <r>
    <x v="30"/>
    <n v="2167476"/>
    <x v="6"/>
    <n v="0"/>
    <m/>
    <n v="0"/>
    <m/>
    <n v="0"/>
    <m/>
    <n v="0"/>
    <m/>
    <n v="0"/>
    <m/>
    <n v="0"/>
    <m/>
    <n v="0"/>
    <m/>
    <n v="0"/>
    <m/>
    <n v="0"/>
    <m/>
    <n v="0"/>
    <m/>
    <n v="0"/>
    <n v="33"/>
    <n v="0"/>
    <n v="0"/>
    <n v="0"/>
  </r>
  <r>
    <x v="30"/>
    <n v="2167477"/>
    <x v="7"/>
    <n v="0"/>
    <m/>
    <n v="0"/>
    <m/>
    <n v="0"/>
    <m/>
    <n v="0"/>
    <m/>
    <n v="0"/>
    <m/>
    <n v="0"/>
    <m/>
    <n v="0"/>
    <m/>
    <n v="0"/>
    <m/>
    <n v="172"/>
    <m/>
    <n v="0"/>
    <m/>
    <n v="0"/>
    <n v="218"/>
    <n v="0"/>
    <n v="0"/>
    <n v="172"/>
  </r>
  <r>
    <x v="30"/>
    <n v="2167478"/>
    <x v="8"/>
    <n v="0"/>
    <m/>
    <n v="0"/>
    <m/>
    <n v="0"/>
    <m/>
    <n v="0"/>
    <m/>
    <n v="0"/>
    <m/>
    <n v="0"/>
    <m/>
    <n v="0"/>
    <m/>
    <n v="0"/>
    <m/>
    <n v="0"/>
    <m/>
    <n v="0"/>
    <m/>
    <n v="889"/>
    <n v="0"/>
    <n v="0"/>
    <n v="0"/>
    <n v="889"/>
  </r>
  <r>
    <x v="30"/>
    <n v="2167479"/>
    <x v="9"/>
    <n v="0"/>
    <m/>
    <n v="0"/>
    <m/>
    <n v="0"/>
    <m/>
    <n v="0"/>
    <m/>
    <n v="0"/>
    <m/>
    <n v="0"/>
    <m/>
    <n v="0"/>
    <m/>
    <n v="0"/>
    <m/>
    <n v="0"/>
    <m/>
    <n v="0"/>
    <m/>
    <n v="51"/>
    <n v="313"/>
    <n v="0"/>
    <n v="0"/>
    <n v="51"/>
  </r>
  <r>
    <x v="30"/>
    <n v="2167480"/>
    <x v="10"/>
    <n v="0"/>
    <m/>
    <n v="0"/>
    <m/>
    <n v="0"/>
    <m/>
    <n v="0"/>
    <m/>
    <n v="0"/>
    <m/>
    <n v="0"/>
    <m/>
    <n v="0"/>
    <m/>
    <n v="137"/>
    <m/>
    <n v="0"/>
    <m/>
    <n v="0"/>
    <m/>
    <n v="0"/>
    <n v="470"/>
    <n v="0"/>
    <n v="137"/>
    <n v="0"/>
  </r>
  <r>
    <x v="30"/>
    <n v="2167481"/>
    <x v="11"/>
    <n v="0"/>
    <m/>
    <n v="0"/>
    <m/>
    <n v="0"/>
    <m/>
    <n v="0"/>
    <m/>
    <n v="0"/>
    <m/>
    <n v="0"/>
    <m/>
    <n v="0"/>
    <m/>
    <n v="503"/>
    <m/>
    <n v="99"/>
    <m/>
    <n v="0"/>
    <m/>
    <n v="0"/>
    <n v="1739"/>
    <n v="0"/>
    <n v="503"/>
    <n v="99"/>
  </r>
  <r>
    <x v="30"/>
    <n v="2167482"/>
    <x v="12"/>
    <n v="0"/>
    <m/>
    <n v="0"/>
    <m/>
    <n v="0"/>
    <m/>
    <n v="0"/>
    <m/>
    <n v="0"/>
    <m/>
    <n v="0"/>
    <m/>
    <n v="3"/>
    <m/>
    <n v="3"/>
    <m/>
    <n v="3"/>
    <m/>
    <n v="3"/>
    <m/>
    <n v="5"/>
    <n v="21"/>
    <n v="0"/>
    <n v="3"/>
    <n v="5"/>
  </r>
  <r>
    <x v="30"/>
    <n v="2167483"/>
    <x v="13"/>
    <n v="0"/>
    <m/>
    <n v="0"/>
    <m/>
    <n v="0"/>
    <m/>
    <n v="0"/>
    <m/>
    <n v="0"/>
    <m/>
    <n v="0"/>
    <m/>
    <n v="0"/>
    <m/>
    <n v="291"/>
    <m/>
    <n v="0"/>
    <m/>
    <n v="0"/>
    <m/>
    <n v="289"/>
    <n v="303"/>
    <n v="0"/>
    <n v="291"/>
    <n v="289"/>
  </r>
  <r>
    <x v="30"/>
    <n v="2167484"/>
    <x v="14"/>
    <n v="0"/>
    <m/>
    <n v="0"/>
    <m/>
    <n v="0"/>
    <m/>
    <n v="0"/>
    <m/>
    <n v="0"/>
    <m/>
    <n v="0"/>
    <m/>
    <n v="0"/>
    <m/>
    <n v="0"/>
    <m/>
    <n v="0"/>
    <m/>
    <n v="0"/>
    <m/>
    <n v="0"/>
    <n v="37"/>
    <n v="0"/>
    <n v="0"/>
    <n v="0"/>
  </r>
  <r>
    <x v="30"/>
    <n v="2167485"/>
    <x v="15"/>
    <n v="0"/>
    <m/>
    <n v="0"/>
    <m/>
    <n v="0"/>
    <m/>
    <n v="0"/>
    <m/>
    <n v="0"/>
    <m/>
    <n v="0"/>
    <m/>
    <n v="84"/>
    <m/>
    <n v="99"/>
    <m/>
    <n v="95"/>
    <m/>
    <n v="99"/>
    <m/>
    <n v="107"/>
    <n v="147"/>
    <n v="0"/>
    <n v="99"/>
    <n v="107"/>
  </r>
  <r>
    <x v="30"/>
    <n v="2167486"/>
    <x v="16"/>
    <n v="0"/>
    <m/>
    <n v="0"/>
    <m/>
    <n v="0"/>
    <m/>
    <n v="0"/>
    <m/>
    <n v="0"/>
    <m/>
    <n v="0"/>
    <m/>
    <n v="0"/>
    <m/>
    <n v="0"/>
    <m/>
    <n v="0"/>
    <m/>
    <n v="0"/>
    <m/>
    <n v="0"/>
    <n v="2157"/>
    <n v="0"/>
    <n v="0"/>
    <n v="0"/>
  </r>
  <r>
    <x v="30"/>
    <n v="2167487"/>
    <x v="17"/>
    <n v="0"/>
    <m/>
    <n v="0"/>
    <m/>
    <n v="0"/>
    <m/>
    <n v="0"/>
    <m/>
    <n v="0"/>
    <m/>
    <n v="0"/>
    <m/>
    <n v="0"/>
    <m/>
    <n v="0"/>
    <m/>
    <n v="0"/>
    <m/>
    <n v="0"/>
    <m/>
    <n v="0"/>
    <n v="0"/>
    <n v="0"/>
    <n v="0"/>
    <n v="0"/>
  </r>
  <r>
    <x v="30"/>
    <n v="2167488"/>
    <x v="18"/>
    <n v="0"/>
    <m/>
    <n v="0"/>
    <m/>
    <n v="0"/>
    <m/>
    <n v="0"/>
    <m/>
    <n v="0"/>
    <m/>
    <n v="0"/>
    <m/>
    <n v="140"/>
    <m/>
    <n v="0"/>
    <m/>
    <n v="99"/>
    <m/>
    <n v="99"/>
    <m/>
    <n v="1065"/>
    <n v="510"/>
    <n v="0"/>
    <n v="140"/>
    <n v="1065"/>
  </r>
  <r>
    <x v="30"/>
    <n v="2167489"/>
    <x v="19"/>
    <n v="0"/>
    <m/>
    <n v="0"/>
    <m/>
    <n v="0"/>
    <m/>
    <n v="0"/>
    <m/>
    <n v="0"/>
    <m/>
    <n v="0"/>
    <m/>
    <n v="52"/>
    <m/>
    <n v="53"/>
    <m/>
    <n v="54"/>
    <m/>
    <n v="63"/>
    <m/>
    <n v="82"/>
    <n v="1053"/>
    <n v="0"/>
    <n v="53"/>
    <n v="82"/>
  </r>
  <r>
    <x v="30"/>
    <n v="2167490"/>
    <x v="20"/>
    <n v="0"/>
    <m/>
    <n v="0"/>
    <m/>
    <n v="0"/>
    <m/>
    <n v="0"/>
    <m/>
    <n v="0"/>
    <m/>
    <n v="0"/>
    <m/>
    <n v="118"/>
    <m/>
    <n v="123"/>
    <m/>
    <n v="134"/>
    <m/>
    <n v="140"/>
    <m/>
    <n v="144"/>
    <n v="233"/>
    <n v="0"/>
    <n v="123"/>
    <n v="144"/>
  </r>
  <r>
    <x v="30"/>
    <n v="2167491"/>
    <x v="21"/>
    <n v="0"/>
    <m/>
    <n v="0"/>
    <m/>
    <n v="0"/>
    <m/>
    <n v="0"/>
    <m/>
    <n v="0"/>
    <m/>
    <n v="0"/>
    <m/>
    <n v="0"/>
    <m/>
    <n v="0"/>
    <m/>
    <n v="0"/>
    <m/>
    <n v="0"/>
    <m/>
    <n v="0"/>
    <n v="509"/>
    <n v="0"/>
    <n v="0"/>
    <n v="0"/>
  </r>
  <r>
    <x v="30"/>
    <n v="2167492"/>
    <x v="22"/>
    <n v="0"/>
    <m/>
    <n v="0"/>
    <m/>
    <n v="0"/>
    <m/>
    <n v="0"/>
    <m/>
    <n v="0"/>
    <m/>
    <n v="0"/>
    <m/>
    <n v="0"/>
    <m/>
    <n v="0"/>
    <m/>
    <n v="0"/>
    <m/>
    <n v="0"/>
    <m/>
    <n v="0"/>
    <n v="0"/>
    <n v="0"/>
    <n v="0"/>
    <n v="0"/>
  </r>
  <r>
    <x v="30"/>
    <n v="2167493"/>
    <x v="23"/>
    <n v="0"/>
    <m/>
    <n v="0"/>
    <m/>
    <n v="0"/>
    <m/>
    <n v="0"/>
    <m/>
    <n v="0"/>
    <m/>
    <n v="0"/>
    <m/>
    <n v="0"/>
    <m/>
    <n v="0"/>
    <m/>
    <n v="0"/>
    <m/>
    <n v="0"/>
    <m/>
    <n v="0"/>
    <n v="8"/>
    <n v="0"/>
    <n v="0"/>
    <n v="0"/>
  </r>
  <r>
    <x v="31"/>
    <n v="17954407.000000004"/>
    <x v="0"/>
    <n v="1904"/>
    <n v="18653199"/>
    <n v="1892"/>
    <n v="19372013.999999993"/>
    <n v="1119"/>
    <n v="20128123.999999989"/>
    <n v="1268"/>
    <n v="20921743.000000011"/>
    <n v="1362"/>
    <n v="21737922.000000011"/>
    <n v="950"/>
    <n v="22577057.999999996"/>
    <n v="1745"/>
    <n v="23443392.999999978"/>
    <n v="1776"/>
    <n v="24333638.499999985"/>
    <n v="1670"/>
    <n v="25252721.999999989"/>
    <n v="0"/>
    <n v="26207976.5"/>
    <n v="1415"/>
    <n v="1065"/>
    <n v="1904"/>
    <n v="1776"/>
    <n v="1670"/>
  </r>
  <r>
    <x v="31"/>
    <n v="17954408"/>
    <x v="1"/>
    <n v="0"/>
    <m/>
    <n v="6578"/>
    <m/>
    <n v="9880"/>
    <m/>
    <n v="6506"/>
    <m/>
    <n v="9492"/>
    <m/>
    <n v="0"/>
    <m/>
    <n v="8251"/>
    <m/>
    <n v="0"/>
    <m/>
    <n v="0"/>
    <m/>
    <n v="0"/>
    <m/>
    <n v="9130"/>
    <n v="3581"/>
    <n v="9880"/>
    <n v="9492"/>
    <n v="9130"/>
  </r>
  <r>
    <x v="31"/>
    <n v="17954409"/>
    <x v="2"/>
    <n v="1788"/>
    <m/>
    <n v="1672"/>
    <m/>
    <n v="1918"/>
    <m/>
    <n v="1648"/>
    <m/>
    <n v="1712"/>
    <m/>
    <n v="0"/>
    <m/>
    <n v="1812"/>
    <m/>
    <n v="0"/>
    <m/>
    <n v="0"/>
    <m/>
    <n v="0"/>
    <m/>
    <n v="1436"/>
    <n v="902"/>
    <n v="1918"/>
    <n v="1812"/>
    <n v="1436"/>
  </r>
  <r>
    <x v="31"/>
    <n v="17954410"/>
    <x v="3"/>
    <n v="0"/>
    <m/>
    <n v="0"/>
    <m/>
    <n v="0"/>
    <m/>
    <n v="0"/>
    <m/>
    <n v="0"/>
    <m/>
    <n v="0"/>
    <m/>
    <n v="2100"/>
    <m/>
    <n v="0"/>
    <m/>
    <n v="0"/>
    <m/>
    <n v="0"/>
    <m/>
    <n v="0"/>
    <n v="60"/>
    <n v="0"/>
    <n v="2100"/>
    <n v="0"/>
  </r>
  <r>
    <x v="31"/>
    <n v="17954411"/>
    <x v="4"/>
    <n v="0"/>
    <m/>
    <n v="0"/>
    <m/>
    <n v="0"/>
    <m/>
    <n v="0"/>
    <m/>
    <n v="0"/>
    <m/>
    <n v="0"/>
    <m/>
    <n v="0"/>
    <m/>
    <n v="0"/>
    <m/>
    <n v="4"/>
    <m/>
    <n v="0"/>
    <m/>
    <n v="0"/>
    <n v="30"/>
    <n v="0"/>
    <n v="0"/>
    <n v="4"/>
  </r>
  <r>
    <x v="31"/>
    <n v="17954412"/>
    <x v="5"/>
    <n v="0"/>
    <m/>
    <n v="6560"/>
    <m/>
    <n v="0"/>
    <m/>
    <n v="0"/>
    <m/>
    <n v="0"/>
    <m/>
    <n v="0"/>
    <m/>
    <n v="0"/>
    <m/>
    <n v="0"/>
    <m/>
    <n v="21429"/>
    <m/>
    <n v="0"/>
    <m/>
    <n v="2239"/>
    <n v="55"/>
    <n v="6560"/>
    <n v="0"/>
    <n v="21429"/>
  </r>
  <r>
    <x v="31"/>
    <n v="17954413"/>
    <x v="6"/>
    <n v="0"/>
    <m/>
    <n v="0"/>
    <m/>
    <n v="0"/>
    <m/>
    <n v="0"/>
    <m/>
    <n v="0"/>
    <m/>
    <n v="0"/>
    <m/>
    <n v="0"/>
    <m/>
    <n v="0"/>
    <m/>
    <n v="0"/>
    <m/>
    <n v="0"/>
    <m/>
    <n v="0"/>
    <n v="42"/>
    <n v="0"/>
    <n v="0"/>
    <n v="0"/>
  </r>
  <r>
    <x v="31"/>
    <n v="17954414"/>
    <x v="7"/>
    <n v="0"/>
    <m/>
    <n v="0"/>
    <m/>
    <n v="0"/>
    <m/>
    <n v="0"/>
    <m/>
    <n v="0"/>
    <m/>
    <n v="0"/>
    <m/>
    <n v="0"/>
    <m/>
    <n v="0"/>
    <m/>
    <n v="0"/>
    <m/>
    <n v="0"/>
    <m/>
    <n v="0"/>
    <n v="101"/>
    <n v="0"/>
    <n v="0"/>
    <n v="0"/>
  </r>
  <r>
    <x v="31"/>
    <n v="17954415"/>
    <x v="8"/>
    <n v="0"/>
    <m/>
    <n v="0"/>
    <m/>
    <n v="0"/>
    <m/>
    <n v="0"/>
    <m/>
    <n v="0"/>
    <m/>
    <n v="0"/>
    <m/>
    <n v="95"/>
    <m/>
    <n v="0"/>
    <m/>
    <n v="0"/>
    <m/>
    <n v="0"/>
    <m/>
    <n v="0"/>
    <n v="152"/>
    <n v="0"/>
    <n v="95"/>
    <n v="0"/>
  </r>
  <r>
    <x v="31"/>
    <n v="17954416"/>
    <x v="9"/>
    <n v="0"/>
    <m/>
    <n v="0"/>
    <m/>
    <n v="0"/>
    <m/>
    <n v="0"/>
    <m/>
    <n v="0"/>
    <m/>
    <n v="0"/>
    <m/>
    <n v="0"/>
    <m/>
    <n v="0"/>
    <m/>
    <n v="0"/>
    <m/>
    <n v="0"/>
    <m/>
    <n v="0"/>
    <n v="226"/>
    <n v="0"/>
    <n v="0"/>
    <n v="0"/>
  </r>
  <r>
    <x v="31"/>
    <n v="17954417"/>
    <x v="10"/>
    <n v="0"/>
    <m/>
    <n v="0"/>
    <m/>
    <n v="0"/>
    <m/>
    <n v="0"/>
    <m/>
    <n v="0"/>
    <m/>
    <n v="0"/>
    <m/>
    <n v="0"/>
    <m/>
    <n v="0"/>
    <m/>
    <n v="0"/>
    <m/>
    <n v="0"/>
    <m/>
    <n v="6"/>
    <n v="11"/>
    <n v="0"/>
    <n v="0"/>
    <n v="6"/>
  </r>
  <r>
    <x v="31"/>
    <n v="17954418"/>
    <x v="11"/>
    <n v="0"/>
    <m/>
    <n v="0"/>
    <m/>
    <n v="0"/>
    <m/>
    <n v="0"/>
    <m/>
    <n v="0"/>
    <m/>
    <n v="0"/>
    <m/>
    <n v="432"/>
    <m/>
    <n v="0"/>
    <m/>
    <n v="0"/>
    <m/>
    <n v="0"/>
    <m/>
    <n v="0"/>
    <n v="191"/>
    <n v="0"/>
    <n v="432"/>
    <n v="0"/>
  </r>
  <r>
    <x v="31"/>
    <n v="17954419"/>
    <x v="12"/>
    <n v="0"/>
    <m/>
    <n v="0"/>
    <m/>
    <n v="0"/>
    <m/>
    <n v="0"/>
    <m/>
    <n v="0"/>
    <m/>
    <n v="0"/>
    <m/>
    <n v="439"/>
    <m/>
    <n v="0"/>
    <m/>
    <n v="0"/>
    <m/>
    <n v="0"/>
    <m/>
    <n v="0"/>
    <n v="0"/>
    <n v="0"/>
    <n v="439"/>
    <n v="0"/>
  </r>
  <r>
    <x v="31"/>
    <n v="17954420"/>
    <x v="13"/>
    <n v="0"/>
    <m/>
    <n v="0"/>
    <m/>
    <n v="0"/>
    <m/>
    <n v="0"/>
    <m/>
    <n v="0"/>
    <m/>
    <n v="0"/>
    <m/>
    <n v="0"/>
    <m/>
    <n v="0"/>
    <m/>
    <n v="0"/>
    <m/>
    <n v="0"/>
    <m/>
    <n v="0"/>
    <n v="82"/>
    <n v="0"/>
    <n v="0"/>
    <n v="0"/>
  </r>
  <r>
    <x v="31"/>
    <n v="17954421"/>
    <x v="14"/>
    <n v="0"/>
    <m/>
    <n v="0"/>
    <m/>
    <n v="0"/>
    <m/>
    <n v="0"/>
    <m/>
    <n v="0"/>
    <m/>
    <n v="0"/>
    <m/>
    <n v="0"/>
    <m/>
    <n v="0"/>
    <m/>
    <n v="0"/>
    <m/>
    <n v="0"/>
    <m/>
    <n v="0"/>
    <n v="22"/>
    <n v="0"/>
    <n v="0"/>
    <n v="0"/>
  </r>
  <r>
    <x v="31"/>
    <n v="17954422"/>
    <x v="15"/>
    <n v="0"/>
    <m/>
    <n v="0"/>
    <m/>
    <n v="0"/>
    <m/>
    <n v="0"/>
    <m/>
    <n v="0"/>
    <m/>
    <n v="0"/>
    <m/>
    <n v="0"/>
    <m/>
    <n v="0"/>
    <m/>
    <n v="0"/>
    <m/>
    <n v="0"/>
    <m/>
    <n v="0"/>
    <n v="0"/>
    <n v="0"/>
    <n v="0"/>
    <n v="0"/>
  </r>
  <r>
    <x v="31"/>
    <n v="17954423"/>
    <x v="16"/>
    <n v="0"/>
    <m/>
    <n v="0"/>
    <m/>
    <n v="0"/>
    <m/>
    <n v="0"/>
    <m/>
    <n v="0"/>
    <m/>
    <n v="0"/>
    <m/>
    <n v="0"/>
    <m/>
    <n v="0"/>
    <m/>
    <n v="0"/>
    <m/>
    <n v="0"/>
    <m/>
    <n v="0"/>
    <n v="542"/>
    <n v="0"/>
    <n v="0"/>
    <n v="0"/>
  </r>
  <r>
    <x v="31"/>
    <n v="17954424"/>
    <x v="17"/>
    <n v="0"/>
    <m/>
    <n v="0"/>
    <m/>
    <n v="0"/>
    <m/>
    <n v="0"/>
    <m/>
    <n v="0"/>
    <m/>
    <n v="0"/>
    <m/>
    <n v="249"/>
    <m/>
    <n v="0"/>
    <m/>
    <n v="0"/>
    <m/>
    <n v="0"/>
    <m/>
    <n v="0"/>
    <n v="462"/>
    <n v="0"/>
    <n v="249"/>
    <n v="0"/>
  </r>
  <r>
    <x v="31"/>
    <n v="17954425"/>
    <x v="18"/>
    <n v="0"/>
    <m/>
    <n v="0"/>
    <m/>
    <n v="0"/>
    <m/>
    <n v="0"/>
    <m/>
    <n v="0"/>
    <m/>
    <n v="0"/>
    <m/>
    <n v="0"/>
    <m/>
    <n v="0"/>
    <m/>
    <n v="0"/>
    <m/>
    <n v="0"/>
    <m/>
    <n v="418"/>
    <n v="432"/>
    <n v="0"/>
    <n v="0"/>
    <n v="418"/>
  </r>
  <r>
    <x v="31"/>
    <n v="17954426"/>
    <x v="19"/>
    <n v="0"/>
    <m/>
    <n v="0"/>
    <m/>
    <n v="0"/>
    <m/>
    <n v="0"/>
    <m/>
    <n v="0"/>
    <m/>
    <n v="0"/>
    <m/>
    <n v="0"/>
    <m/>
    <n v="0"/>
    <m/>
    <n v="0"/>
    <m/>
    <n v="0"/>
    <m/>
    <n v="1592"/>
    <n v="598"/>
    <n v="0"/>
    <n v="0"/>
    <n v="1592"/>
  </r>
  <r>
    <x v="31"/>
    <n v="17954427"/>
    <x v="20"/>
    <n v="0"/>
    <m/>
    <n v="0"/>
    <m/>
    <n v="0"/>
    <m/>
    <n v="0"/>
    <m/>
    <n v="0"/>
    <m/>
    <n v="0"/>
    <m/>
    <n v="0"/>
    <m/>
    <n v="0"/>
    <m/>
    <n v="0"/>
    <m/>
    <n v="0"/>
    <m/>
    <n v="0"/>
    <n v="0"/>
    <n v="0"/>
    <n v="0"/>
    <n v="0"/>
  </r>
  <r>
    <x v="31"/>
    <n v="17954428"/>
    <x v="21"/>
    <n v="0"/>
    <m/>
    <n v="0"/>
    <m/>
    <n v="0"/>
    <m/>
    <n v="0"/>
    <m/>
    <n v="0"/>
    <m/>
    <n v="0"/>
    <m/>
    <n v="0"/>
    <m/>
    <n v="0"/>
    <m/>
    <n v="0"/>
    <m/>
    <n v="0"/>
    <m/>
    <n v="0"/>
    <n v="0"/>
    <n v="0"/>
    <n v="0"/>
    <n v="0"/>
  </r>
  <r>
    <x v="31"/>
    <n v="17954429"/>
    <x v="22"/>
    <n v="0"/>
    <m/>
    <n v="0"/>
    <m/>
    <n v="0"/>
    <m/>
    <n v="0"/>
    <m/>
    <n v="0"/>
    <m/>
    <n v="0"/>
    <m/>
    <n v="0"/>
    <m/>
    <n v="0"/>
    <m/>
    <n v="0"/>
    <m/>
    <n v="0"/>
    <m/>
    <n v="0"/>
    <n v="0"/>
    <n v="0"/>
    <n v="0"/>
    <n v="0"/>
  </r>
  <r>
    <x v="31"/>
    <n v="17954430"/>
    <x v="23"/>
    <n v="0"/>
    <m/>
    <n v="0"/>
    <m/>
    <n v="0"/>
    <m/>
    <n v="0"/>
    <m/>
    <n v="0"/>
    <m/>
    <n v="0"/>
    <m/>
    <n v="0"/>
    <m/>
    <n v="0"/>
    <m/>
    <n v="0"/>
    <m/>
    <n v="0"/>
    <m/>
    <n v="0"/>
    <n v="0"/>
    <n v="0"/>
    <n v="0"/>
    <n v="0"/>
  </r>
  <r>
    <x v="32"/>
    <n v="170075931.5"/>
    <x v="0"/>
    <n v="144"/>
    <n v="174726123.50000006"/>
    <n v="131518"/>
    <n v="179379016.5"/>
    <n v="2281"/>
    <n v="183995784.49999991"/>
    <n v="0"/>
    <n v="188666930.99999988"/>
    <n v="167130"/>
    <n v="193495906.50000003"/>
    <n v="0"/>
    <n v="198387623.50000006"/>
    <n v="149976"/>
    <n v="203304491.50000006"/>
    <n v="159688"/>
    <n v="208327404.49999994"/>
    <n v="0"/>
    <n v="213401322.49999997"/>
    <n v="168695"/>
    <n v="218541211.50000003"/>
    <n v="172576"/>
    <n v="83907"/>
    <n v="131518"/>
    <n v="167130"/>
    <n v="172576"/>
  </r>
  <r>
    <x v="32"/>
    <n v="170075932.5"/>
    <x v="1"/>
    <n v="0"/>
    <m/>
    <n v="149840"/>
    <m/>
    <n v="0"/>
    <m/>
    <n v="0"/>
    <m/>
    <n v="370202"/>
    <m/>
    <n v="0"/>
    <m/>
    <n v="220210"/>
    <m/>
    <n v="361418"/>
    <m/>
    <n v="0"/>
    <m/>
    <n v="535392"/>
    <m/>
    <n v="441362"/>
    <n v="180709"/>
    <n v="149840"/>
    <n v="370202"/>
    <n v="535392"/>
  </r>
  <r>
    <x v="32"/>
    <n v="170075933.5"/>
    <x v="2"/>
    <n v="0"/>
    <m/>
    <n v="202550"/>
    <m/>
    <n v="0"/>
    <m/>
    <n v="0"/>
    <m/>
    <n v="282550"/>
    <m/>
    <n v="0"/>
    <m/>
    <n v="142474"/>
    <m/>
    <n v="241740"/>
    <m/>
    <n v="0"/>
    <m/>
    <n v="263844"/>
    <m/>
    <n v="293574"/>
    <n v="120870"/>
    <n v="202550"/>
    <n v="282550"/>
    <n v="293574"/>
  </r>
  <r>
    <x v="32"/>
    <n v="170075934.5"/>
    <x v="3"/>
    <n v="0"/>
    <m/>
    <n v="0"/>
    <m/>
    <n v="0"/>
    <m/>
    <n v="0"/>
    <m/>
    <n v="459"/>
    <m/>
    <n v="571"/>
    <m/>
    <n v="105"/>
    <m/>
    <n v="0"/>
    <m/>
    <n v="588"/>
    <m/>
    <n v="419"/>
    <m/>
    <n v="1332"/>
    <n v="24668"/>
    <n v="0"/>
    <n v="571"/>
    <n v="1332"/>
  </r>
  <r>
    <x v="32"/>
    <n v="170075935.5"/>
    <x v="4"/>
    <n v="0"/>
    <m/>
    <n v="0"/>
    <m/>
    <n v="0"/>
    <m/>
    <n v="0"/>
    <m/>
    <n v="56"/>
    <m/>
    <n v="115"/>
    <m/>
    <n v="0"/>
    <m/>
    <n v="0"/>
    <m/>
    <n v="230"/>
    <m/>
    <n v="30"/>
    <m/>
    <n v="416"/>
    <n v="25487"/>
    <n v="0"/>
    <n v="115"/>
    <n v="416"/>
  </r>
  <r>
    <x v="32"/>
    <n v="170075936.5"/>
    <x v="5"/>
    <n v="0"/>
    <m/>
    <n v="0"/>
    <m/>
    <n v="0"/>
    <m/>
    <n v="0"/>
    <m/>
    <n v="0"/>
    <m/>
    <n v="0"/>
    <m/>
    <n v="116454"/>
    <m/>
    <n v="116454"/>
    <m/>
    <n v="0"/>
    <m/>
    <n v="7912"/>
    <m/>
    <n v="154477"/>
    <n v="116454"/>
    <n v="0"/>
    <n v="116454"/>
    <n v="154477"/>
  </r>
  <r>
    <x v="32"/>
    <n v="170075937.5"/>
    <x v="6"/>
    <n v="0"/>
    <m/>
    <n v="0"/>
    <m/>
    <n v="0"/>
    <m/>
    <n v="0"/>
    <m/>
    <n v="44"/>
    <m/>
    <n v="48"/>
    <m/>
    <n v="7"/>
    <m/>
    <n v="0"/>
    <m/>
    <n v="71"/>
    <m/>
    <n v="77"/>
    <m/>
    <n v="0"/>
    <n v="0"/>
    <n v="0"/>
    <n v="48"/>
    <n v="77"/>
  </r>
  <r>
    <x v="32"/>
    <n v="170075938.5"/>
    <x v="7"/>
    <n v="0"/>
    <m/>
    <n v="0"/>
    <m/>
    <n v="0"/>
    <m/>
    <n v="0"/>
    <m/>
    <n v="311"/>
    <m/>
    <n v="0"/>
    <m/>
    <n v="0"/>
    <m/>
    <n v="0"/>
    <m/>
    <n v="0"/>
    <m/>
    <n v="0"/>
    <m/>
    <n v="0"/>
    <n v="14645"/>
    <n v="0"/>
    <n v="311"/>
    <n v="0"/>
  </r>
  <r>
    <x v="32"/>
    <n v="170075939.5"/>
    <x v="8"/>
    <n v="0"/>
    <m/>
    <n v="0"/>
    <m/>
    <n v="0"/>
    <m/>
    <n v="0"/>
    <m/>
    <n v="0"/>
    <m/>
    <n v="0"/>
    <m/>
    <n v="0"/>
    <m/>
    <n v="0"/>
    <m/>
    <n v="0"/>
    <m/>
    <n v="0"/>
    <m/>
    <n v="0"/>
    <n v="0"/>
    <n v="0"/>
    <n v="0"/>
    <n v="0"/>
  </r>
  <r>
    <x v="32"/>
    <n v="170075940.5"/>
    <x v="9"/>
    <n v="0"/>
    <m/>
    <n v="0"/>
    <m/>
    <n v="0"/>
    <m/>
    <n v="0"/>
    <m/>
    <n v="0"/>
    <m/>
    <n v="0"/>
    <m/>
    <n v="0"/>
    <m/>
    <n v="0"/>
    <m/>
    <n v="0"/>
    <m/>
    <n v="0"/>
    <m/>
    <n v="0"/>
    <n v="0"/>
    <n v="0"/>
    <n v="0"/>
    <n v="0"/>
  </r>
  <r>
    <x v="32"/>
    <n v="170075941.5"/>
    <x v="10"/>
    <n v="0"/>
    <m/>
    <n v="0"/>
    <m/>
    <n v="0"/>
    <m/>
    <n v="0"/>
    <m/>
    <n v="0"/>
    <m/>
    <n v="0"/>
    <m/>
    <n v="6165"/>
    <m/>
    <n v="7"/>
    <m/>
    <n v="0"/>
    <m/>
    <n v="48589"/>
    <m/>
    <n v="280"/>
    <n v="0"/>
    <n v="0"/>
    <n v="6165"/>
    <n v="48589"/>
  </r>
  <r>
    <x v="32"/>
    <n v="170075942.5"/>
    <x v="11"/>
    <n v="0"/>
    <m/>
    <n v="0"/>
    <m/>
    <n v="0"/>
    <m/>
    <n v="0"/>
    <m/>
    <n v="0"/>
    <m/>
    <n v="0"/>
    <m/>
    <n v="26677"/>
    <m/>
    <n v="26677"/>
    <m/>
    <n v="0"/>
    <m/>
    <n v="37181"/>
    <m/>
    <n v="36833"/>
    <n v="0"/>
    <n v="0"/>
    <n v="26677"/>
    <n v="37181"/>
  </r>
  <r>
    <x v="32"/>
    <n v="170075943.5"/>
    <x v="12"/>
    <n v="0"/>
    <m/>
    <n v="0"/>
    <m/>
    <n v="0"/>
    <m/>
    <n v="0"/>
    <m/>
    <n v="0"/>
    <m/>
    <n v="0"/>
    <m/>
    <n v="0"/>
    <m/>
    <n v="0"/>
    <m/>
    <n v="0"/>
    <m/>
    <n v="0"/>
    <m/>
    <n v="0"/>
    <n v="0"/>
    <n v="0"/>
    <n v="0"/>
    <n v="0"/>
  </r>
  <r>
    <x v="32"/>
    <n v="170075944.5"/>
    <x v="13"/>
    <n v="0"/>
    <m/>
    <n v="0"/>
    <m/>
    <n v="0"/>
    <m/>
    <n v="0"/>
    <m/>
    <n v="0"/>
    <m/>
    <n v="0"/>
    <m/>
    <n v="2578"/>
    <m/>
    <n v="369"/>
    <m/>
    <n v="0"/>
    <m/>
    <n v="0"/>
    <m/>
    <n v="4262"/>
    <n v="2648"/>
    <n v="0"/>
    <n v="2578"/>
    <n v="4262"/>
  </r>
  <r>
    <x v="32"/>
    <n v="170075945.5"/>
    <x v="14"/>
    <n v="0"/>
    <m/>
    <n v="0"/>
    <m/>
    <n v="0"/>
    <m/>
    <n v="0"/>
    <m/>
    <n v="0"/>
    <m/>
    <n v="0"/>
    <m/>
    <n v="0"/>
    <m/>
    <n v="27247"/>
    <m/>
    <n v="0"/>
    <m/>
    <n v="0"/>
    <m/>
    <n v="0"/>
    <n v="34393"/>
    <n v="0"/>
    <n v="27247"/>
    <n v="0"/>
  </r>
  <r>
    <x v="32"/>
    <n v="170075946.5"/>
    <x v="15"/>
    <n v="0"/>
    <m/>
    <n v="0"/>
    <m/>
    <n v="0"/>
    <m/>
    <n v="0"/>
    <m/>
    <n v="0"/>
    <m/>
    <n v="0"/>
    <m/>
    <n v="4626"/>
    <m/>
    <n v="4429"/>
    <m/>
    <n v="0"/>
    <m/>
    <n v="5485"/>
    <m/>
    <n v="5632"/>
    <n v="5371"/>
    <n v="0"/>
    <n v="4626"/>
    <n v="5632"/>
  </r>
  <r>
    <x v="32"/>
    <n v="170075947.5"/>
    <x v="16"/>
    <n v="0"/>
    <m/>
    <n v="0"/>
    <m/>
    <n v="0"/>
    <m/>
    <n v="0"/>
    <m/>
    <n v="0"/>
    <m/>
    <n v="0"/>
    <m/>
    <n v="0"/>
    <m/>
    <n v="0"/>
    <m/>
    <n v="0"/>
    <m/>
    <n v="0"/>
    <m/>
    <n v="0"/>
    <n v="0"/>
    <n v="0"/>
    <n v="0"/>
    <n v="0"/>
  </r>
  <r>
    <x v="32"/>
    <n v="170075948.5"/>
    <x v="17"/>
    <n v="0"/>
    <m/>
    <n v="0"/>
    <m/>
    <n v="0"/>
    <m/>
    <n v="0"/>
    <m/>
    <n v="0"/>
    <m/>
    <n v="0"/>
    <m/>
    <n v="0"/>
    <m/>
    <n v="0"/>
    <m/>
    <n v="0"/>
    <m/>
    <n v="0"/>
    <m/>
    <n v="0"/>
    <n v="3919"/>
    <n v="0"/>
    <n v="0"/>
    <n v="0"/>
  </r>
  <r>
    <x v="32"/>
    <n v="170075949.5"/>
    <x v="18"/>
    <n v="0"/>
    <m/>
    <n v="0"/>
    <m/>
    <n v="0"/>
    <m/>
    <n v="0"/>
    <m/>
    <n v="0"/>
    <m/>
    <n v="0"/>
    <m/>
    <n v="29246"/>
    <m/>
    <n v="29803"/>
    <m/>
    <n v="0"/>
    <m/>
    <n v="34554"/>
    <m/>
    <n v="38712"/>
    <n v="311269"/>
    <n v="0"/>
    <n v="29803"/>
    <n v="38712"/>
  </r>
  <r>
    <x v="32"/>
    <n v="170075950.5"/>
    <x v="19"/>
    <n v="0"/>
    <m/>
    <n v="0"/>
    <m/>
    <n v="0"/>
    <m/>
    <n v="0"/>
    <m/>
    <n v="0"/>
    <m/>
    <n v="0"/>
    <m/>
    <n v="0"/>
    <m/>
    <n v="0"/>
    <m/>
    <n v="0"/>
    <m/>
    <n v="0"/>
    <m/>
    <n v="0"/>
    <n v="30"/>
    <n v="0"/>
    <n v="0"/>
    <n v="0"/>
  </r>
  <r>
    <x v="32"/>
    <n v="170075951.5"/>
    <x v="20"/>
    <n v="0"/>
    <m/>
    <n v="0"/>
    <m/>
    <n v="0"/>
    <m/>
    <n v="0"/>
    <m/>
    <n v="0"/>
    <m/>
    <n v="0"/>
    <m/>
    <n v="5153"/>
    <m/>
    <n v="5089"/>
    <m/>
    <n v="0"/>
    <m/>
    <n v="0"/>
    <m/>
    <n v="6479"/>
    <n v="15823"/>
    <n v="0"/>
    <n v="5153"/>
    <n v="6479"/>
  </r>
  <r>
    <x v="32"/>
    <n v="170075952.5"/>
    <x v="21"/>
    <n v="0"/>
    <m/>
    <n v="68565"/>
    <m/>
    <n v="0"/>
    <m/>
    <n v="0"/>
    <m/>
    <n v="0"/>
    <m/>
    <n v="0"/>
    <m/>
    <n v="0"/>
    <m/>
    <n v="0"/>
    <m/>
    <n v="0"/>
    <m/>
    <n v="0"/>
    <m/>
    <n v="0"/>
    <n v="0"/>
    <n v="68565"/>
    <n v="0"/>
    <n v="0"/>
  </r>
  <r>
    <x v="32"/>
    <n v="170075953.5"/>
    <x v="22"/>
    <n v="0"/>
    <m/>
    <n v="0"/>
    <m/>
    <n v="0"/>
    <m/>
    <n v="0"/>
    <m/>
    <n v="0"/>
    <m/>
    <n v="0"/>
    <m/>
    <n v="56"/>
    <m/>
    <n v="79"/>
    <m/>
    <n v="0"/>
    <m/>
    <n v="0"/>
    <m/>
    <n v="168"/>
    <n v="0"/>
    <n v="0"/>
    <n v="79"/>
    <n v="168"/>
  </r>
  <r>
    <x v="32"/>
    <n v="170075954.5"/>
    <x v="23"/>
    <n v="0"/>
    <m/>
    <n v="262512"/>
    <m/>
    <n v="0"/>
    <m/>
    <n v="0"/>
    <m/>
    <n v="0"/>
    <m/>
    <n v="0"/>
    <m/>
    <n v="0"/>
    <m/>
    <n v="32"/>
    <m/>
    <n v="0"/>
    <m/>
    <n v="0"/>
    <m/>
    <n v="0"/>
    <n v="0"/>
    <n v="262512"/>
    <n v="32"/>
    <n v="0"/>
  </r>
  <r>
    <x v="33"/>
    <n v="10840333.999999994"/>
    <x v="0"/>
    <n v="0"/>
    <n v="11101349.499999996"/>
    <n v="2208"/>
    <n v="11368451.500000004"/>
    <n v="2098"/>
    <n v="11642959"/>
    <n v="2568"/>
    <n v="11930899.500000007"/>
    <n v="2918"/>
    <n v="12230339"/>
    <n v="3830"/>
    <n v="12531807.499999998"/>
    <n v="3296"/>
    <n v="12835028"/>
    <n v="2984"/>
    <n v="13146361.500000002"/>
    <n v="0"/>
    <n v="13461887.499999998"/>
    <n v="0"/>
    <n v="13776697.499999994"/>
    <n v="0"/>
    <n v="1350"/>
    <n v="2568"/>
    <n v="3830"/>
    <n v="0"/>
  </r>
  <r>
    <x v="33"/>
    <n v="10840335"/>
    <x v="1"/>
    <n v="0"/>
    <m/>
    <n v="0"/>
    <m/>
    <n v="19250"/>
    <m/>
    <n v="20734"/>
    <m/>
    <n v="22562"/>
    <m/>
    <n v="1290"/>
    <m/>
    <n v="26690"/>
    <m/>
    <n v="20818"/>
    <m/>
    <n v="0"/>
    <m/>
    <n v="0"/>
    <m/>
    <n v="0"/>
    <n v="9551"/>
    <n v="20734"/>
    <n v="26690"/>
    <n v="0"/>
  </r>
  <r>
    <x v="33"/>
    <n v="10840336"/>
    <x v="2"/>
    <n v="0"/>
    <m/>
    <n v="1244"/>
    <m/>
    <n v="1384"/>
    <m/>
    <n v="1736"/>
    <m/>
    <n v="2140"/>
    <m/>
    <n v="4288"/>
    <m/>
    <n v="2942"/>
    <m/>
    <n v="3122"/>
    <m/>
    <n v="0"/>
    <m/>
    <n v="0"/>
    <m/>
    <n v="0"/>
    <n v="1207"/>
    <n v="1736"/>
    <n v="4288"/>
    <n v="0"/>
  </r>
  <r>
    <x v="33"/>
    <n v="10840337"/>
    <x v="3"/>
    <n v="0"/>
    <m/>
    <n v="0"/>
    <m/>
    <n v="0"/>
    <m/>
    <n v="0"/>
    <m/>
    <n v="0"/>
    <m/>
    <n v="0"/>
    <m/>
    <n v="497"/>
    <m/>
    <n v="194"/>
    <m/>
    <n v="0"/>
    <m/>
    <n v="114"/>
    <m/>
    <n v="143"/>
    <n v="167"/>
    <n v="0"/>
    <n v="497"/>
    <n v="143"/>
  </r>
  <r>
    <x v="33"/>
    <n v="10840338"/>
    <x v="4"/>
    <n v="0"/>
    <m/>
    <n v="0"/>
    <m/>
    <n v="0"/>
    <m/>
    <n v="0"/>
    <m/>
    <n v="0"/>
    <m/>
    <n v="0"/>
    <m/>
    <n v="380"/>
    <m/>
    <n v="234"/>
    <m/>
    <n v="0"/>
    <m/>
    <n v="127"/>
    <m/>
    <n v="0"/>
    <n v="228"/>
    <n v="0"/>
    <n v="380"/>
    <n v="127"/>
  </r>
  <r>
    <x v="33"/>
    <n v="10840339"/>
    <x v="5"/>
    <n v="0"/>
    <m/>
    <n v="0"/>
    <m/>
    <n v="0"/>
    <m/>
    <n v="0"/>
    <m/>
    <n v="0"/>
    <m/>
    <n v="0"/>
    <m/>
    <n v="45000"/>
    <m/>
    <n v="0"/>
    <m/>
    <n v="58567"/>
    <m/>
    <n v="0"/>
    <m/>
    <n v="0"/>
    <n v="45000"/>
    <n v="0"/>
    <n v="45000"/>
    <n v="58567"/>
  </r>
  <r>
    <x v="33"/>
    <n v="10840340"/>
    <x v="6"/>
    <n v="0"/>
    <m/>
    <n v="0"/>
    <m/>
    <n v="0"/>
    <m/>
    <n v="0"/>
    <m/>
    <n v="0"/>
    <m/>
    <n v="0"/>
    <m/>
    <n v="0"/>
    <m/>
    <n v="0"/>
    <m/>
    <n v="0"/>
    <m/>
    <n v="207"/>
    <m/>
    <n v="0"/>
    <n v="0"/>
    <n v="0"/>
    <n v="0"/>
    <n v="207"/>
  </r>
  <r>
    <x v="33"/>
    <n v="10840341"/>
    <x v="7"/>
    <n v="0"/>
    <m/>
    <n v="0"/>
    <m/>
    <n v="0"/>
    <m/>
    <n v="0"/>
    <m/>
    <n v="0"/>
    <m/>
    <n v="0"/>
    <m/>
    <n v="0"/>
    <m/>
    <n v="0"/>
    <m/>
    <n v="0"/>
    <m/>
    <n v="226"/>
    <m/>
    <n v="0"/>
    <n v="0"/>
    <n v="0"/>
    <n v="0"/>
    <n v="226"/>
  </r>
  <r>
    <x v="33"/>
    <n v="10840342"/>
    <x v="8"/>
    <n v="0"/>
    <m/>
    <n v="0"/>
    <m/>
    <n v="0"/>
    <m/>
    <n v="0"/>
    <m/>
    <n v="0"/>
    <m/>
    <n v="0"/>
    <m/>
    <n v="0"/>
    <m/>
    <n v="0"/>
    <m/>
    <n v="0"/>
    <m/>
    <n v="0"/>
    <m/>
    <n v="0"/>
    <n v="0"/>
    <n v="0"/>
    <n v="0"/>
    <n v="0"/>
  </r>
  <r>
    <x v="33"/>
    <n v="10840343"/>
    <x v="9"/>
    <n v="0"/>
    <m/>
    <n v="0"/>
    <m/>
    <n v="0"/>
    <m/>
    <n v="0"/>
    <m/>
    <n v="0"/>
    <m/>
    <n v="0"/>
    <m/>
    <n v="0"/>
    <m/>
    <n v="0"/>
    <m/>
    <n v="0"/>
    <m/>
    <n v="0"/>
    <m/>
    <n v="0"/>
    <n v="0"/>
    <n v="0"/>
    <n v="0"/>
    <n v="0"/>
  </r>
  <r>
    <x v="33"/>
    <n v="10840344"/>
    <x v="10"/>
    <n v="0"/>
    <m/>
    <n v="0"/>
    <m/>
    <n v="0"/>
    <m/>
    <n v="23"/>
    <m/>
    <n v="0"/>
    <m/>
    <n v="0"/>
    <m/>
    <n v="0"/>
    <m/>
    <n v="0"/>
    <m/>
    <n v="0"/>
    <m/>
    <n v="0"/>
    <m/>
    <n v="0"/>
    <n v="0"/>
    <n v="23"/>
    <n v="0"/>
    <n v="0"/>
  </r>
  <r>
    <x v="33"/>
    <n v="10840345"/>
    <x v="11"/>
    <n v="0"/>
    <m/>
    <n v="0"/>
    <m/>
    <n v="0"/>
    <m/>
    <n v="0"/>
    <m/>
    <n v="0"/>
    <m/>
    <n v="0"/>
    <m/>
    <n v="1990"/>
    <m/>
    <n v="0"/>
    <m/>
    <n v="0"/>
    <m/>
    <n v="0"/>
    <m/>
    <n v="0"/>
    <n v="321"/>
    <n v="0"/>
    <n v="1990"/>
    <n v="0"/>
  </r>
  <r>
    <x v="33"/>
    <n v="10840346"/>
    <x v="12"/>
    <n v="0"/>
    <m/>
    <n v="0"/>
    <m/>
    <n v="0"/>
    <m/>
    <n v="0"/>
    <m/>
    <n v="0"/>
    <m/>
    <n v="0"/>
    <m/>
    <n v="0"/>
    <m/>
    <n v="0"/>
    <m/>
    <n v="0"/>
    <m/>
    <n v="0"/>
    <m/>
    <n v="0"/>
    <n v="0"/>
    <n v="0"/>
    <n v="0"/>
    <n v="0"/>
  </r>
  <r>
    <x v="33"/>
    <n v="10840347"/>
    <x v="13"/>
    <n v="0"/>
    <m/>
    <n v="0"/>
    <m/>
    <n v="0"/>
    <m/>
    <n v="116"/>
    <m/>
    <n v="0"/>
    <m/>
    <n v="0"/>
    <m/>
    <n v="152"/>
    <m/>
    <n v="0"/>
    <m/>
    <n v="0"/>
    <m/>
    <n v="0"/>
    <m/>
    <n v="0"/>
    <n v="0"/>
    <n v="116"/>
    <n v="152"/>
    <n v="0"/>
  </r>
  <r>
    <x v="33"/>
    <n v="10840348"/>
    <x v="14"/>
    <n v="0"/>
    <m/>
    <n v="0"/>
    <m/>
    <n v="0"/>
    <m/>
    <n v="0"/>
    <m/>
    <n v="0"/>
    <m/>
    <n v="0"/>
    <m/>
    <n v="0"/>
    <m/>
    <n v="0"/>
    <m/>
    <n v="0"/>
    <m/>
    <n v="0"/>
    <m/>
    <n v="0"/>
    <n v="0"/>
    <n v="0"/>
    <n v="0"/>
    <n v="0"/>
  </r>
  <r>
    <x v="33"/>
    <n v="10840349"/>
    <x v="15"/>
    <n v="0"/>
    <m/>
    <n v="0"/>
    <m/>
    <n v="0"/>
    <m/>
    <n v="0"/>
    <m/>
    <n v="0"/>
    <m/>
    <n v="0"/>
    <m/>
    <n v="13"/>
    <m/>
    <n v="0"/>
    <m/>
    <n v="0"/>
    <m/>
    <n v="0"/>
    <m/>
    <n v="0"/>
    <n v="0"/>
    <n v="0"/>
    <n v="13"/>
    <n v="0"/>
  </r>
  <r>
    <x v="33"/>
    <n v="10840350"/>
    <x v="16"/>
    <n v="0"/>
    <m/>
    <n v="0"/>
    <m/>
    <n v="0"/>
    <m/>
    <n v="0"/>
    <m/>
    <n v="0"/>
    <m/>
    <n v="0"/>
    <m/>
    <n v="0"/>
    <m/>
    <n v="0"/>
    <m/>
    <n v="0"/>
    <m/>
    <n v="0"/>
    <m/>
    <n v="0"/>
    <n v="0"/>
    <n v="0"/>
    <n v="0"/>
    <n v="0"/>
  </r>
  <r>
    <x v="33"/>
    <n v="10840351"/>
    <x v="17"/>
    <n v="0"/>
    <m/>
    <n v="0"/>
    <m/>
    <n v="0"/>
    <m/>
    <n v="0"/>
    <m/>
    <n v="0"/>
    <m/>
    <n v="0"/>
    <m/>
    <n v="0"/>
    <m/>
    <n v="0"/>
    <m/>
    <n v="0"/>
    <m/>
    <n v="0"/>
    <m/>
    <n v="0"/>
    <n v="0"/>
    <n v="0"/>
    <n v="0"/>
    <n v="0"/>
  </r>
  <r>
    <x v="33"/>
    <n v="10840352"/>
    <x v="18"/>
    <n v="0"/>
    <m/>
    <n v="0"/>
    <m/>
    <n v="0"/>
    <m/>
    <n v="1545"/>
    <m/>
    <n v="0"/>
    <m/>
    <n v="1990"/>
    <m/>
    <n v="0"/>
    <m/>
    <n v="0"/>
    <m/>
    <n v="0"/>
    <m/>
    <n v="0"/>
    <m/>
    <n v="0"/>
    <n v="1990"/>
    <n v="1545"/>
    <n v="1990"/>
    <n v="0"/>
  </r>
  <r>
    <x v="33"/>
    <n v="10840353"/>
    <x v="19"/>
    <n v="0"/>
    <m/>
    <n v="0"/>
    <m/>
    <n v="0"/>
    <m/>
    <n v="0"/>
    <m/>
    <n v="0"/>
    <m/>
    <n v="0"/>
    <m/>
    <n v="0"/>
    <m/>
    <n v="0"/>
    <m/>
    <n v="0"/>
    <m/>
    <n v="0"/>
    <m/>
    <n v="0"/>
    <n v="0"/>
    <n v="0"/>
    <n v="0"/>
    <n v="0"/>
  </r>
  <r>
    <x v="33"/>
    <n v="10840354"/>
    <x v="20"/>
    <n v="0"/>
    <m/>
    <n v="0"/>
    <m/>
    <n v="0"/>
    <m/>
    <n v="125"/>
    <m/>
    <n v="0"/>
    <m/>
    <n v="182"/>
    <m/>
    <n v="225"/>
    <m/>
    <n v="0"/>
    <m/>
    <n v="0"/>
    <m/>
    <n v="0"/>
    <m/>
    <n v="0"/>
    <n v="182"/>
    <n v="125"/>
    <n v="225"/>
    <n v="0"/>
  </r>
  <r>
    <x v="33"/>
    <n v="10840355"/>
    <x v="21"/>
    <n v="0"/>
    <m/>
    <n v="0"/>
    <m/>
    <n v="0"/>
    <m/>
    <n v="886"/>
    <m/>
    <n v="0"/>
    <m/>
    <n v="0"/>
    <m/>
    <n v="0"/>
    <m/>
    <n v="0"/>
    <m/>
    <n v="0"/>
    <m/>
    <n v="0"/>
    <m/>
    <n v="0"/>
    <n v="0"/>
    <n v="886"/>
    <n v="0"/>
    <n v="0"/>
  </r>
  <r>
    <x v="33"/>
    <n v="10840356"/>
    <x v="22"/>
    <n v="0"/>
    <m/>
    <n v="0"/>
    <m/>
    <n v="0"/>
    <m/>
    <n v="0"/>
    <m/>
    <n v="0"/>
    <m/>
    <n v="0"/>
    <m/>
    <n v="0"/>
    <m/>
    <n v="0"/>
    <m/>
    <n v="0"/>
    <m/>
    <n v="0"/>
    <m/>
    <n v="0"/>
    <n v="0"/>
    <n v="0"/>
    <n v="0"/>
    <n v="0"/>
  </r>
  <r>
    <x v="33"/>
    <n v="10840357"/>
    <x v="23"/>
    <n v="0"/>
    <m/>
    <n v="0"/>
    <m/>
    <n v="0"/>
    <m/>
    <n v="0"/>
    <m/>
    <n v="0"/>
    <m/>
    <n v="0"/>
    <m/>
    <n v="0"/>
    <m/>
    <n v="0"/>
    <m/>
    <n v="0"/>
    <m/>
    <n v="0"/>
    <m/>
    <n v="0"/>
    <n v="0"/>
    <n v="0"/>
    <n v="0"/>
    <n v="0"/>
  </r>
  <r>
    <x v="34"/>
    <n v="13231833.000000002"/>
    <x v="0"/>
    <n v="0"/>
    <n v="13595565.499999993"/>
    <n v="42"/>
    <n v="13970307.499999993"/>
    <n v="0"/>
    <n v="14356180.500000004"/>
    <n v="72"/>
    <n v="14751356.499999994"/>
    <n v="3195"/>
    <n v="15157793.000000006"/>
    <n v="2132"/>
    <n v="15574908.999999998"/>
    <n v="0"/>
    <n v="16000781.500000006"/>
    <n v="5952"/>
    <n v="16436119.999999993"/>
    <n v="3606"/>
    <n v="16876719.999999996"/>
    <n v="4634"/>
    <n v="17316449"/>
    <n v="4876"/>
    <n v="2883"/>
    <n v="72"/>
    <n v="5952"/>
    <n v="4876"/>
  </r>
  <r>
    <x v="34"/>
    <n v="13231834"/>
    <x v="1"/>
    <n v="0"/>
    <m/>
    <n v="0"/>
    <m/>
    <n v="0"/>
    <m/>
    <n v="3364"/>
    <m/>
    <n v="4980"/>
    <m/>
    <n v="5640"/>
    <m/>
    <n v="0"/>
    <m/>
    <n v="14883"/>
    <m/>
    <n v="7600"/>
    <m/>
    <n v="12954"/>
    <m/>
    <n v="9474"/>
    <n v="4577"/>
    <n v="3364"/>
    <n v="14883"/>
    <n v="12954"/>
  </r>
  <r>
    <x v="34"/>
    <n v="13231835"/>
    <x v="2"/>
    <n v="0"/>
    <m/>
    <n v="7892"/>
    <m/>
    <n v="0"/>
    <m/>
    <n v="2232"/>
    <m/>
    <n v="4004"/>
    <m/>
    <n v="4004"/>
    <m/>
    <n v="0"/>
    <m/>
    <n v="5312"/>
    <m/>
    <n v="4122"/>
    <m/>
    <n v="5478"/>
    <m/>
    <n v="5606"/>
    <n v="3015"/>
    <n v="7892"/>
    <n v="5312"/>
    <n v="5606"/>
  </r>
  <r>
    <x v="34"/>
    <n v="13231836"/>
    <x v="3"/>
    <n v="0"/>
    <m/>
    <n v="0"/>
    <m/>
    <n v="34261"/>
    <m/>
    <n v="0"/>
    <m/>
    <n v="0"/>
    <m/>
    <n v="50"/>
    <m/>
    <n v="45"/>
    <m/>
    <n v="0"/>
    <m/>
    <n v="584"/>
    <m/>
    <n v="0"/>
    <m/>
    <n v="17"/>
    <n v="215"/>
    <n v="34261"/>
    <n v="50"/>
    <n v="584"/>
  </r>
  <r>
    <x v="34"/>
    <n v="13231837"/>
    <x v="4"/>
    <n v="0"/>
    <m/>
    <n v="0"/>
    <m/>
    <n v="10770"/>
    <m/>
    <n v="0"/>
    <m/>
    <n v="0"/>
    <m/>
    <n v="30"/>
    <m/>
    <n v="276"/>
    <m/>
    <n v="0"/>
    <m/>
    <n v="327"/>
    <m/>
    <n v="0"/>
    <m/>
    <n v="18"/>
    <n v="236"/>
    <n v="10770"/>
    <n v="276"/>
    <n v="327"/>
  </r>
  <r>
    <x v="34"/>
    <n v="13231838"/>
    <x v="5"/>
    <n v="0"/>
    <m/>
    <n v="0"/>
    <m/>
    <n v="0"/>
    <m/>
    <n v="770"/>
    <m/>
    <n v="5"/>
    <m/>
    <n v="5"/>
    <m/>
    <n v="17417"/>
    <m/>
    <n v="1116"/>
    <m/>
    <n v="0"/>
    <m/>
    <n v="16443"/>
    <m/>
    <n v="18757"/>
    <n v="17417"/>
    <n v="770"/>
    <n v="17417"/>
    <n v="18757"/>
  </r>
  <r>
    <x v="34"/>
    <n v="13231839"/>
    <x v="6"/>
    <n v="0"/>
    <m/>
    <n v="0"/>
    <m/>
    <n v="0"/>
    <m/>
    <n v="0"/>
    <m/>
    <n v="0"/>
    <m/>
    <n v="0"/>
    <m/>
    <n v="0"/>
    <m/>
    <n v="0"/>
    <m/>
    <n v="0"/>
    <m/>
    <n v="0"/>
    <m/>
    <n v="0"/>
    <n v="4"/>
    <n v="0"/>
    <n v="0"/>
    <n v="0"/>
  </r>
  <r>
    <x v="34"/>
    <n v="13231840"/>
    <x v="7"/>
    <n v="0"/>
    <m/>
    <n v="0"/>
    <m/>
    <n v="3518"/>
    <m/>
    <n v="0"/>
    <m/>
    <n v="0"/>
    <m/>
    <n v="0"/>
    <m/>
    <n v="1925"/>
    <m/>
    <n v="0"/>
    <m/>
    <n v="2494"/>
    <m/>
    <n v="0"/>
    <m/>
    <n v="0"/>
    <n v="573"/>
    <n v="3518"/>
    <n v="1925"/>
    <n v="2494"/>
  </r>
  <r>
    <x v="34"/>
    <n v="13231841"/>
    <x v="8"/>
    <n v="0"/>
    <m/>
    <n v="0"/>
    <m/>
    <n v="0"/>
    <m/>
    <n v="0"/>
    <m/>
    <n v="0"/>
    <m/>
    <n v="0"/>
    <m/>
    <n v="0"/>
    <m/>
    <n v="15422"/>
    <m/>
    <n v="0"/>
    <m/>
    <n v="949"/>
    <m/>
    <n v="3378"/>
    <n v="1670"/>
    <n v="0"/>
    <n v="15422"/>
    <n v="3378"/>
  </r>
  <r>
    <x v="34"/>
    <n v="13231842"/>
    <x v="9"/>
    <n v="0"/>
    <m/>
    <n v="0"/>
    <m/>
    <n v="0"/>
    <m/>
    <n v="0"/>
    <m/>
    <n v="0"/>
    <m/>
    <n v="0"/>
    <m/>
    <n v="0"/>
    <m/>
    <n v="686"/>
    <m/>
    <n v="27"/>
    <m/>
    <n v="188"/>
    <m/>
    <n v="0"/>
    <n v="135"/>
    <n v="0"/>
    <n v="686"/>
    <n v="188"/>
  </r>
  <r>
    <x v="34"/>
    <n v="13231843"/>
    <x v="10"/>
    <n v="0"/>
    <m/>
    <n v="0"/>
    <m/>
    <n v="0"/>
    <m/>
    <n v="0"/>
    <m/>
    <n v="57"/>
    <m/>
    <n v="0"/>
    <m/>
    <n v="0"/>
    <m/>
    <n v="22"/>
    <m/>
    <n v="13"/>
    <m/>
    <n v="98"/>
    <m/>
    <n v="15"/>
    <n v="100"/>
    <n v="0"/>
    <n v="57"/>
    <n v="98"/>
  </r>
  <r>
    <x v="34"/>
    <n v="13231844"/>
    <x v="11"/>
    <n v="0"/>
    <m/>
    <n v="0"/>
    <m/>
    <n v="0"/>
    <m/>
    <n v="0"/>
    <m/>
    <n v="0"/>
    <m/>
    <n v="37"/>
    <m/>
    <n v="328"/>
    <m/>
    <n v="715"/>
    <m/>
    <n v="101"/>
    <m/>
    <n v="434"/>
    <m/>
    <n v="0"/>
    <n v="1045"/>
    <n v="0"/>
    <n v="715"/>
    <n v="434"/>
  </r>
  <r>
    <x v="34"/>
    <n v="13231845"/>
    <x v="12"/>
    <n v="0"/>
    <m/>
    <n v="0"/>
    <m/>
    <n v="0"/>
    <m/>
    <n v="0"/>
    <m/>
    <n v="0"/>
    <m/>
    <n v="0"/>
    <m/>
    <n v="0"/>
    <m/>
    <n v="2112"/>
    <m/>
    <n v="1482"/>
    <m/>
    <n v="0"/>
    <m/>
    <n v="0"/>
    <n v="2543"/>
    <n v="0"/>
    <n v="2112"/>
    <n v="1482"/>
  </r>
  <r>
    <x v="34"/>
    <n v="13231846"/>
    <x v="13"/>
    <n v="0"/>
    <m/>
    <n v="22"/>
    <m/>
    <n v="0"/>
    <m/>
    <n v="0"/>
    <m/>
    <n v="78"/>
    <m/>
    <n v="0"/>
    <m/>
    <n v="0"/>
    <m/>
    <n v="124"/>
    <m/>
    <n v="121"/>
    <m/>
    <n v="123"/>
    <m/>
    <n v="237"/>
    <n v="542"/>
    <n v="22"/>
    <n v="124"/>
    <n v="237"/>
  </r>
  <r>
    <x v="34"/>
    <n v="13231847"/>
    <x v="14"/>
    <n v="0"/>
    <m/>
    <n v="0"/>
    <m/>
    <n v="0"/>
    <m/>
    <n v="0"/>
    <m/>
    <n v="0"/>
    <m/>
    <n v="0"/>
    <m/>
    <n v="0"/>
    <m/>
    <n v="123"/>
    <m/>
    <n v="0"/>
    <m/>
    <n v="2"/>
    <m/>
    <n v="0"/>
    <n v="17"/>
    <n v="0"/>
    <n v="123"/>
    <n v="2"/>
  </r>
  <r>
    <x v="34"/>
    <n v="13231848"/>
    <x v="15"/>
    <n v="0"/>
    <m/>
    <n v="0"/>
    <m/>
    <n v="0"/>
    <m/>
    <n v="0"/>
    <m/>
    <n v="0"/>
    <m/>
    <n v="0"/>
    <m/>
    <n v="0"/>
    <m/>
    <n v="1"/>
    <m/>
    <n v="0"/>
    <m/>
    <n v="107"/>
    <m/>
    <n v="0"/>
    <n v="108"/>
    <n v="0"/>
    <n v="1"/>
    <n v="107"/>
  </r>
  <r>
    <x v="34"/>
    <n v="13231849"/>
    <x v="16"/>
    <n v="0"/>
    <m/>
    <n v="0"/>
    <m/>
    <n v="0"/>
    <m/>
    <n v="0"/>
    <m/>
    <n v="0"/>
    <m/>
    <n v="0"/>
    <m/>
    <n v="0"/>
    <m/>
    <n v="3647"/>
    <m/>
    <n v="0"/>
    <m/>
    <n v="16"/>
    <m/>
    <n v="0"/>
    <n v="5868"/>
    <n v="0"/>
    <n v="3647"/>
    <n v="16"/>
  </r>
  <r>
    <x v="34"/>
    <n v="13231850"/>
    <x v="17"/>
    <n v="0"/>
    <m/>
    <n v="0"/>
    <m/>
    <n v="0"/>
    <m/>
    <n v="0"/>
    <m/>
    <n v="0"/>
    <m/>
    <n v="0"/>
    <m/>
    <n v="0"/>
    <m/>
    <n v="1722"/>
    <m/>
    <n v="0"/>
    <m/>
    <n v="344"/>
    <m/>
    <n v="0"/>
    <n v="0"/>
    <n v="0"/>
    <n v="1722"/>
    <n v="344"/>
  </r>
  <r>
    <x v="34"/>
    <n v="13231851"/>
    <x v="18"/>
    <n v="0"/>
    <m/>
    <n v="546"/>
    <m/>
    <n v="0"/>
    <m/>
    <n v="0"/>
    <m/>
    <n v="37"/>
    <m/>
    <n v="0"/>
    <m/>
    <n v="0"/>
    <m/>
    <n v="0"/>
    <m/>
    <n v="323"/>
    <m/>
    <n v="14"/>
    <m/>
    <n v="252"/>
    <n v="328"/>
    <n v="546"/>
    <n v="37"/>
    <n v="323"/>
  </r>
  <r>
    <x v="34"/>
    <n v="13231852"/>
    <x v="19"/>
    <n v="0"/>
    <m/>
    <n v="11"/>
    <m/>
    <n v="0"/>
    <m/>
    <n v="0"/>
    <m/>
    <n v="0"/>
    <m/>
    <n v="0"/>
    <m/>
    <n v="0"/>
    <m/>
    <n v="2352"/>
    <m/>
    <n v="662"/>
    <m/>
    <n v="917"/>
    <m/>
    <n v="1083"/>
    <n v="505"/>
    <n v="11"/>
    <n v="2352"/>
    <n v="1083"/>
  </r>
  <r>
    <x v="34"/>
    <n v="13231853"/>
    <x v="20"/>
    <n v="0"/>
    <m/>
    <n v="11"/>
    <m/>
    <n v="0"/>
    <m/>
    <n v="0"/>
    <m/>
    <n v="0"/>
    <m/>
    <n v="0"/>
    <m/>
    <n v="0"/>
    <m/>
    <n v="0"/>
    <m/>
    <n v="98"/>
    <m/>
    <n v="0"/>
    <m/>
    <n v="94"/>
    <n v="0"/>
    <n v="11"/>
    <n v="0"/>
    <n v="98"/>
  </r>
  <r>
    <x v="34"/>
    <n v="13231854"/>
    <x v="21"/>
    <n v="0"/>
    <m/>
    <n v="0"/>
    <m/>
    <n v="0"/>
    <m/>
    <n v="0"/>
    <m/>
    <n v="0"/>
    <m/>
    <n v="0"/>
    <m/>
    <n v="0"/>
    <m/>
    <n v="402"/>
    <m/>
    <n v="491"/>
    <m/>
    <n v="173"/>
    <m/>
    <n v="543"/>
    <n v="0"/>
    <n v="0"/>
    <n v="402"/>
    <n v="543"/>
  </r>
  <r>
    <x v="34"/>
    <n v="13231855"/>
    <x v="22"/>
    <n v="0"/>
    <m/>
    <n v="0"/>
    <m/>
    <n v="0"/>
    <m/>
    <n v="0"/>
    <m/>
    <n v="0"/>
    <m/>
    <n v="0"/>
    <m/>
    <n v="0"/>
    <m/>
    <n v="2"/>
    <m/>
    <n v="1"/>
    <m/>
    <n v="0"/>
    <m/>
    <n v="0"/>
    <n v="0"/>
    <n v="0"/>
    <n v="2"/>
    <n v="1"/>
  </r>
  <r>
    <x v="34"/>
    <n v="13231856"/>
    <x v="23"/>
    <n v="0"/>
    <m/>
    <n v="54"/>
    <m/>
    <n v="0"/>
    <m/>
    <n v="0"/>
    <m/>
    <n v="0"/>
    <m/>
    <n v="0"/>
    <m/>
    <n v="0"/>
    <m/>
    <n v="0"/>
    <m/>
    <n v="0"/>
    <m/>
    <n v="0"/>
    <m/>
    <n v="0"/>
    <n v="0"/>
    <n v="54"/>
    <n v="0"/>
    <n v="0"/>
  </r>
  <r>
    <x v="35"/>
    <n v="6788587.5000000037"/>
    <x v="0"/>
    <n v="8"/>
    <n v="6964858.4999999972"/>
    <n v="0"/>
    <n v="7140688.0000000028"/>
    <n v="1"/>
    <n v="7314773"/>
    <n v="0"/>
    <n v="7493912.9999999981"/>
    <n v="0"/>
    <n v="7677565.5000000019"/>
    <n v="0"/>
    <n v="7861281"/>
    <n v="1132"/>
    <n v="8046828.5"/>
    <n v="538"/>
    <n v="8233970.4999999991"/>
    <n v="1152"/>
    <n v="8420641.0000000037"/>
    <n v="0"/>
    <n v="8605718.0000000056"/>
    <n v="753"/>
    <n v="281"/>
    <n v="8"/>
    <n v="1132"/>
    <n v="1152"/>
  </r>
  <r>
    <x v="35"/>
    <n v="6788588.5"/>
    <x v="1"/>
    <n v="0"/>
    <m/>
    <n v="12212"/>
    <m/>
    <n v="12216"/>
    <m/>
    <n v="11746"/>
    <m/>
    <n v="10320"/>
    <m/>
    <n v="11960"/>
    <m/>
    <n v="11514"/>
    <m/>
    <n v="8622"/>
    <m/>
    <n v="2080"/>
    <m/>
    <n v="0"/>
    <m/>
    <n v="14712"/>
    <n v="5302"/>
    <n v="12216"/>
    <n v="11960"/>
    <n v="14712"/>
  </r>
  <r>
    <x v="35"/>
    <n v="6788589.5"/>
    <x v="2"/>
    <n v="0"/>
    <m/>
    <n v="4374"/>
    <m/>
    <n v="1170"/>
    <m/>
    <n v="0"/>
    <m/>
    <n v="626"/>
    <m/>
    <n v="0"/>
    <m/>
    <n v="0"/>
    <m/>
    <n v="4746"/>
    <m/>
    <n v="1278"/>
    <m/>
    <n v="0"/>
    <m/>
    <n v="4542"/>
    <n v="391"/>
    <n v="4374"/>
    <n v="4746"/>
    <n v="4542"/>
  </r>
  <r>
    <x v="35"/>
    <n v="6788590.5"/>
    <x v="3"/>
    <n v="0"/>
    <m/>
    <n v="0"/>
    <m/>
    <n v="0"/>
    <m/>
    <n v="0"/>
    <m/>
    <n v="0"/>
    <m/>
    <n v="0"/>
    <m/>
    <n v="0"/>
    <m/>
    <n v="0"/>
    <m/>
    <n v="78"/>
    <m/>
    <n v="4740"/>
    <m/>
    <n v="0"/>
    <n v="156"/>
    <n v="0"/>
    <n v="0"/>
    <n v="4740"/>
  </r>
  <r>
    <x v="35"/>
    <n v="6788591.5"/>
    <x v="4"/>
    <n v="0"/>
    <m/>
    <n v="0"/>
    <m/>
    <n v="0"/>
    <m/>
    <n v="0"/>
    <m/>
    <n v="0"/>
    <m/>
    <n v="0"/>
    <m/>
    <n v="0"/>
    <m/>
    <n v="0"/>
    <m/>
    <n v="0"/>
    <m/>
    <n v="610"/>
    <m/>
    <n v="0"/>
    <n v="423"/>
    <n v="0"/>
    <n v="0"/>
    <n v="610"/>
  </r>
  <r>
    <x v="35"/>
    <n v="6788592.5"/>
    <x v="5"/>
    <n v="0"/>
    <m/>
    <n v="0"/>
    <m/>
    <n v="0"/>
    <m/>
    <n v="0"/>
    <m/>
    <n v="14622"/>
    <m/>
    <n v="0"/>
    <m/>
    <n v="0"/>
    <m/>
    <n v="15000"/>
    <m/>
    <n v="13966"/>
    <m/>
    <n v="0"/>
    <m/>
    <n v="0"/>
    <n v="505"/>
    <n v="0"/>
    <n v="15000"/>
    <n v="13966"/>
  </r>
  <r>
    <x v="35"/>
    <n v="6788593.5"/>
    <x v="6"/>
    <n v="0"/>
    <m/>
    <n v="0"/>
    <m/>
    <n v="0"/>
    <m/>
    <n v="0"/>
    <m/>
    <n v="0"/>
    <m/>
    <n v="0"/>
    <m/>
    <n v="0"/>
    <m/>
    <n v="0"/>
    <m/>
    <n v="0"/>
    <m/>
    <n v="120"/>
    <m/>
    <n v="0"/>
    <n v="103"/>
    <n v="0"/>
    <n v="0"/>
    <n v="120"/>
  </r>
  <r>
    <x v="35"/>
    <n v="6788594.5"/>
    <x v="7"/>
    <n v="0"/>
    <m/>
    <n v="0"/>
    <m/>
    <n v="0"/>
    <m/>
    <n v="0"/>
    <m/>
    <n v="0"/>
    <m/>
    <n v="0"/>
    <m/>
    <n v="0"/>
    <m/>
    <n v="0"/>
    <m/>
    <n v="0"/>
    <m/>
    <n v="790"/>
    <m/>
    <n v="0"/>
    <n v="406"/>
    <n v="0"/>
    <n v="0"/>
    <n v="790"/>
  </r>
  <r>
    <x v="35"/>
    <n v="6788595.5"/>
    <x v="8"/>
    <n v="0"/>
    <m/>
    <n v="0"/>
    <m/>
    <n v="0"/>
    <m/>
    <n v="0"/>
    <m/>
    <n v="0"/>
    <m/>
    <n v="0"/>
    <m/>
    <n v="0"/>
    <m/>
    <n v="0"/>
    <m/>
    <n v="2251"/>
    <m/>
    <n v="0"/>
    <m/>
    <n v="0"/>
    <n v="0"/>
    <n v="0"/>
    <n v="0"/>
    <n v="2251"/>
  </r>
  <r>
    <x v="35"/>
    <n v="6788596.5"/>
    <x v="9"/>
    <n v="0"/>
    <m/>
    <n v="0"/>
    <m/>
    <n v="0"/>
    <m/>
    <n v="0"/>
    <m/>
    <n v="0"/>
    <m/>
    <n v="0"/>
    <m/>
    <n v="0"/>
    <m/>
    <n v="93"/>
    <m/>
    <n v="487"/>
    <m/>
    <n v="0"/>
    <m/>
    <n v="0"/>
    <n v="0"/>
    <n v="0"/>
    <n v="93"/>
    <n v="487"/>
  </r>
  <r>
    <x v="35"/>
    <n v="6788597.5"/>
    <x v="10"/>
    <n v="0"/>
    <m/>
    <n v="0"/>
    <m/>
    <n v="0"/>
    <m/>
    <n v="0"/>
    <m/>
    <n v="0"/>
    <m/>
    <n v="0"/>
    <m/>
    <n v="0"/>
    <m/>
    <n v="25"/>
    <m/>
    <n v="530"/>
    <m/>
    <n v="0"/>
    <m/>
    <n v="13"/>
    <n v="128"/>
    <n v="0"/>
    <n v="25"/>
    <n v="530"/>
  </r>
  <r>
    <x v="35"/>
    <n v="6788598.5"/>
    <x v="11"/>
    <n v="0"/>
    <m/>
    <n v="0"/>
    <m/>
    <n v="0"/>
    <m/>
    <n v="0"/>
    <m/>
    <n v="0"/>
    <m/>
    <n v="0"/>
    <m/>
    <n v="311"/>
    <m/>
    <n v="0"/>
    <m/>
    <n v="114"/>
    <m/>
    <n v="0"/>
    <m/>
    <n v="0"/>
    <n v="0"/>
    <n v="0"/>
    <n v="311"/>
    <n v="114"/>
  </r>
  <r>
    <x v="35"/>
    <n v="6788599.5"/>
    <x v="12"/>
    <n v="0"/>
    <m/>
    <n v="0"/>
    <m/>
    <n v="0"/>
    <m/>
    <n v="0"/>
    <m/>
    <n v="0"/>
    <m/>
    <n v="0"/>
    <m/>
    <n v="0"/>
    <m/>
    <n v="0"/>
    <m/>
    <n v="0"/>
    <m/>
    <n v="0"/>
    <m/>
    <n v="0"/>
    <n v="0"/>
    <n v="0"/>
    <n v="0"/>
    <n v="0"/>
  </r>
  <r>
    <x v="35"/>
    <n v="6788600.5"/>
    <x v="13"/>
    <n v="0"/>
    <m/>
    <n v="0"/>
    <m/>
    <n v="0"/>
    <m/>
    <n v="0"/>
    <m/>
    <n v="0"/>
    <m/>
    <n v="0"/>
    <m/>
    <n v="0"/>
    <m/>
    <n v="36"/>
    <m/>
    <n v="0"/>
    <m/>
    <n v="0"/>
    <m/>
    <n v="38"/>
    <n v="22"/>
    <n v="0"/>
    <n v="36"/>
    <n v="38"/>
  </r>
  <r>
    <x v="35"/>
    <n v="6788601.5"/>
    <x v="14"/>
    <n v="0"/>
    <m/>
    <n v="0"/>
    <m/>
    <n v="0"/>
    <m/>
    <n v="0"/>
    <m/>
    <n v="0"/>
    <m/>
    <n v="0"/>
    <m/>
    <n v="0"/>
    <m/>
    <n v="64"/>
    <m/>
    <n v="0"/>
    <m/>
    <n v="0"/>
    <m/>
    <n v="195"/>
    <n v="0"/>
    <n v="0"/>
    <n v="64"/>
    <n v="195"/>
  </r>
  <r>
    <x v="35"/>
    <n v="6788602.5"/>
    <x v="15"/>
    <n v="0"/>
    <m/>
    <n v="0"/>
    <m/>
    <n v="0"/>
    <m/>
    <n v="0"/>
    <m/>
    <n v="0"/>
    <m/>
    <n v="0"/>
    <m/>
    <n v="0"/>
    <m/>
    <n v="15"/>
    <m/>
    <n v="1"/>
    <m/>
    <n v="0"/>
    <m/>
    <n v="2"/>
    <n v="13"/>
    <n v="0"/>
    <n v="15"/>
    <n v="2"/>
  </r>
  <r>
    <x v="35"/>
    <n v="6788603.5"/>
    <x v="16"/>
    <n v="0"/>
    <m/>
    <n v="0"/>
    <m/>
    <n v="0"/>
    <m/>
    <n v="0"/>
    <m/>
    <n v="0"/>
    <m/>
    <n v="0"/>
    <m/>
    <n v="0"/>
    <m/>
    <n v="0"/>
    <m/>
    <n v="0"/>
    <m/>
    <n v="0"/>
    <m/>
    <n v="0"/>
    <n v="0"/>
    <n v="0"/>
    <n v="0"/>
    <n v="0"/>
  </r>
  <r>
    <x v="35"/>
    <n v="6788604.5"/>
    <x v="17"/>
    <n v="0"/>
    <m/>
    <n v="0"/>
    <m/>
    <n v="0"/>
    <m/>
    <n v="0"/>
    <m/>
    <n v="0"/>
    <m/>
    <n v="0"/>
    <m/>
    <n v="0"/>
    <m/>
    <n v="0"/>
    <m/>
    <n v="0"/>
    <m/>
    <n v="0"/>
    <m/>
    <n v="0"/>
    <n v="0"/>
    <n v="0"/>
    <n v="0"/>
    <n v="0"/>
  </r>
  <r>
    <x v="35"/>
    <n v="6788605.5"/>
    <x v="18"/>
    <n v="0"/>
    <m/>
    <n v="0"/>
    <m/>
    <n v="0"/>
    <m/>
    <n v="0"/>
    <m/>
    <n v="0"/>
    <m/>
    <n v="0"/>
    <m/>
    <n v="0"/>
    <m/>
    <n v="342"/>
    <m/>
    <n v="0"/>
    <m/>
    <n v="0"/>
    <m/>
    <n v="298"/>
    <n v="311"/>
    <n v="0"/>
    <n v="342"/>
    <n v="298"/>
  </r>
  <r>
    <x v="35"/>
    <n v="6788606.5"/>
    <x v="19"/>
    <n v="0"/>
    <m/>
    <n v="0"/>
    <m/>
    <n v="0"/>
    <m/>
    <n v="0"/>
    <m/>
    <n v="0"/>
    <m/>
    <n v="0"/>
    <m/>
    <n v="0"/>
    <m/>
    <n v="319"/>
    <m/>
    <n v="650"/>
    <m/>
    <n v="0"/>
    <m/>
    <n v="0"/>
    <n v="0"/>
    <n v="0"/>
    <n v="319"/>
    <n v="650"/>
  </r>
  <r>
    <x v="35"/>
    <n v="6788607.5"/>
    <x v="20"/>
    <n v="0"/>
    <m/>
    <n v="0"/>
    <m/>
    <n v="0"/>
    <m/>
    <n v="0"/>
    <m/>
    <n v="0"/>
    <m/>
    <n v="0"/>
    <m/>
    <n v="0"/>
    <m/>
    <n v="8"/>
    <m/>
    <n v="6"/>
    <m/>
    <n v="0"/>
    <m/>
    <n v="0"/>
    <n v="13"/>
    <n v="0"/>
    <n v="8"/>
    <n v="6"/>
  </r>
  <r>
    <x v="35"/>
    <n v="6788608.5"/>
    <x v="21"/>
    <n v="0"/>
    <m/>
    <n v="0"/>
    <m/>
    <n v="1511"/>
    <m/>
    <n v="0"/>
    <m/>
    <n v="0"/>
    <m/>
    <n v="0"/>
    <m/>
    <n v="0"/>
    <m/>
    <n v="0"/>
    <m/>
    <n v="0"/>
    <m/>
    <n v="0"/>
    <m/>
    <n v="0"/>
    <n v="0"/>
    <n v="1511"/>
    <n v="0"/>
    <n v="0"/>
  </r>
  <r>
    <x v="35"/>
    <n v="6788609.5"/>
    <x v="22"/>
    <n v="0"/>
    <m/>
    <n v="0"/>
    <m/>
    <n v="0"/>
    <m/>
    <n v="0"/>
    <m/>
    <n v="0"/>
    <m/>
    <n v="0"/>
    <m/>
    <n v="0"/>
    <m/>
    <n v="0"/>
    <m/>
    <n v="0"/>
    <m/>
    <n v="0"/>
    <m/>
    <n v="0"/>
    <n v="0"/>
    <n v="0"/>
    <n v="0"/>
    <n v="0"/>
  </r>
  <r>
    <x v="35"/>
    <n v="6788610.5"/>
    <x v="23"/>
    <n v="0"/>
    <m/>
    <n v="0"/>
    <m/>
    <n v="3046"/>
    <m/>
    <n v="0"/>
    <m/>
    <n v="0"/>
    <m/>
    <n v="0"/>
    <m/>
    <n v="0"/>
    <m/>
    <n v="0"/>
    <m/>
    <n v="0"/>
    <m/>
    <n v="0"/>
    <m/>
    <n v="0"/>
    <n v="0"/>
    <n v="3046"/>
    <n v="0"/>
    <n v="0"/>
  </r>
  <r>
    <x v="36"/>
    <n v="10701604.500000004"/>
    <x v="0"/>
    <n v="0"/>
    <n v="11106031.000000004"/>
    <n v="32"/>
    <n v="11213284.499999998"/>
    <n v="0"/>
    <n v="11194299.499999998"/>
    <n v="0"/>
    <n v="11066105"/>
    <n v="0"/>
    <n v="10658225.499999994"/>
    <n v="1"/>
    <n v="10395329.5"/>
    <n v="822"/>
    <n v="10447665.999999998"/>
    <n v="747"/>
    <n v="10606227.000000002"/>
    <n v="995"/>
    <n v="10748272.499999998"/>
    <n v="0"/>
    <n v="10913163.5"/>
    <n v="0"/>
    <n v="411"/>
    <n v="32"/>
    <n v="822"/>
    <n v="995"/>
  </r>
  <r>
    <x v="36"/>
    <n v="10701605.5"/>
    <x v="1"/>
    <n v="0"/>
    <m/>
    <n v="0"/>
    <m/>
    <n v="0"/>
    <m/>
    <n v="0"/>
    <m/>
    <n v="0"/>
    <m/>
    <n v="0"/>
    <m/>
    <n v="7452"/>
    <m/>
    <n v="7428"/>
    <m/>
    <n v="9060"/>
    <m/>
    <n v="0"/>
    <m/>
    <n v="0"/>
    <n v="2014"/>
    <n v="0"/>
    <n v="7452"/>
    <n v="9060"/>
  </r>
  <r>
    <x v="36"/>
    <n v="10701606.5"/>
    <x v="2"/>
    <n v="0"/>
    <m/>
    <n v="0"/>
    <m/>
    <n v="0"/>
    <m/>
    <n v="0"/>
    <m/>
    <n v="0"/>
    <m/>
    <n v="0"/>
    <m/>
    <n v="0"/>
    <m/>
    <n v="4760"/>
    <m/>
    <n v="6040"/>
    <m/>
    <n v="0"/>
    <m/>
    <n v="0"/>
    <n v="1712"/>
    <n v="0"/>
    <n v="4760"/>
    <n v="6040"/>
  </r>
  <r>
    <x v="36"/>
    <n v="10701607.5"/>
    <x v="3"/>
    <n v="0"/>
    <m/>
    <n v="0"/>
    <m/>
    <n v="0"/>
    <m/>
    <n v="0"/>
    <m/>
    <n v="0"/>
    <m/>
    <n v="32485"/>
    <m/>
    <n v="0"/>
    <m/>
    <n v="0"/>
    <m/>
    <n v="0"/>
    <m/>
    <n v="0"/>
    <m/>
    <n v="0"/>
    <n v="360"/>
    <n v="0"/>
    <n v="32485"/>
    <n v="0"/>
  </r>
  <r>
    <x v="36"/>
    <n v="10701608.5"/>
    <x v="4"/>
    <n v="68"/>
    <m/>
    <n v="0"/>
    <m/>
    <n v="0"/>
    <m/>
    <n v="0"/>
    <m/>
    <n v="0"/>
    <m/>
    <n v="10504"/>
    <m/>
    <n v="0"/>
    <m/>
    <n v="0"/>
    <m/>
    <n v="21"/>
    <m/>
    <n v="0"/>
    <m/>
    <n v="0"/>
    <n v="32"/>
    <n v="68"/>
    <n v="10504"/>
    <n v="21"/>
  </r>
  <r>
    <x v="36"/>
    <n v="10701609.5"/>
    <x v="5"/>
    <n v="0"/>
    <m/>
    <n v="0"/>
    <m/>
    <n v="0"/>
    <m/>
    <n v="0"/>
    <m/>
    <n v="0"/>
    <m/>
    <n v="0"/>
    <m/>
    <n v="1455"/>
    <m/>
    <n v="850"/>
    <m/>
    <n v="2826"/>
    <m/>
    <n v="0"/>
    <m/>
    <n v="0"/>
    <n v="1455"/>
    <n v="0"/>
    <n v="1455"/>
    <n v="2826"/>
  </r>
  <r>
    <x v="36"/>
    <n v="10701610.5"/>
    <x v="6"/>
    <n v="0"/>
    <m/>
    <n v="0"/>
    <m/>
    <n v="0"/>
    <m/>
    <n v="0"/>
    <m/>
    <n v="0"/>
    <m/>
    <n v="0"/>
    <m/>
    <n v="0"/>
    <m/>
    <n v="0"/>
    <m/>
    <n v="0"/>
    <m/>
    <n v="0"/>
    <m/>
    <n v="0"/>
    <n v="22"/>
    <n v="0"/>
    <n v="0"/>
    <n v="0"/>
  </r>
  <r>
    <x v="36"/>
    <n v="10701611.5"/>
    <x v="7"/>
    <n v="0"/>
    <m/>
    <n v="0"/>
    <m/>
    <n v="0"/>
    <m/>
    <n v="0"/>
    <m/>
    <n v="0"/>
    <m/>
    <n v="3435"/>
    <m/>
    <n v="0"/>
    <m/>
    <n v="0"/>
    <m/>
    <n v="0"/>
    <m/>
    <n v="0"/>
    <m/>
    <n v="0"/>
    <n v="250"/>
    <n v="0"/>
    <n v="3435"/>
    <n v="0"/>
  </r>
  <r>
    <x v="36"/>
    <n v="10701612.5"/>
    <x v="8"/>
    <n v="0"/>
    <m/>
    <n v="0"/>
    <m/>
    <n v="0"/>
    <m/>
    <n v="0"/>
    <m/>
    <n v="0"/>
    <m/>
    <n v="0"/>
    <m/>
    <n v="0"/>
    <m/>
    <n v="5870"/>
    <m/>
    <n v="0"/>
    <m/>
    <n v="0"/>
    <m/>
    <n v="0"/>
    <n v="0"/>
    <n v="0"/>
    <n v="5870"/>
    <n v="0"/>
  </r>
  <r>
    <x v="36"/>
    <n v="10701613.5"/>
    <x v="9"/>
    <n v="0"/>
    <m/>
    <n v="0"/>
    <m/>
    <n v="0"/>
    <m/>
    <n v="0"/>
    <m/>
    <n v="0"/>
    <m/>
    <n v="0"/>
    <m/>
    <n v="0"/>
    <m/>
    <n v="0"/>
    <m/>
    <n v="0"/>
    <m/>
    <n v="0"/>
    <m/>
    <n v="0"/>
    <n v="20"/>
    <n v="0"/>
    <n v="0"/>
    <n v="0"/>
  </r>
  <r>
    <x v="36"/>
    <n v="10701614.5"/>
    <x v="10"/>
    <n v="0"/>
    <m/>
    <n v="0"/>
    <m/>
    <n v="0"/>
    <m/>
    <n v="0"/>
    <m/>
    <n v="0"/>
    <m/>
    <n v="0"/>
    <m/>
    <n v="2"/>
    <m/>
    <n v="0"/>
    <m/>
    <n v="0"/>
    <m/>
    <n v="0"/>
    <m/>
    <n v="0"/>
    <n v="21"/>
    <n v="0"/>
    <n v="2"/>
    <n v="0"/>
  </r>
  <r>
    <x v="36"/>
    <n v="10701615.5"/>
    <x v="11"/>
    <n v="0"/>
    <m/>
    <n v="0"/>
    <m/>
    <n v="0"/>
    <m/>
    <n v="0"/>
    <m/>
    <n v="0"/>
    <m/>
    <n v="0"/>
    <m/>
    <n v="272"/>
    <m/>
    <n v="485"/>
    <m/>
    <n v="635"/>
    <m/>
    <n v="0"/>
    <m/>
    <n v="0"/>
    <n v="16"/>
    <n v="0"/>
    <n v="485"/>
    <n v="635"/>
  </r>
  <r>
    <x v="36"/>
    <n v="10701616.5"/>
    <x v="12"/>
    <n v="0"/>
    <m/>
    <n v="0"/>
    <m/>
    <n v="0"/>
    <m/>
    <n v="0"/>
    <m/>
    <n v="0"/>
    <m/>
    <n v="0"/>
    <m/>
    <n v="0"/>
    <m/>
    <n v="0"/>
    <m/>
    <n v="0"/>
    <m/>
    <n v="0"/>
    <m/>
    <n v="0"/>
    <n v="1306"/>
    <n v="0"/>
    <n v="0"/>
    <n v="0"/>
  </r>
  <r>
    <x v="36"/>
    <n v="10701617.5"/>
    <x v="13"/>
    <n v="0"/>
    <m/>
    <n v="0"/>
    <m/>
    <n v="0"/>
    <m/>
    <n v="0"/>
    <m/>
    <n v="0"/>
    <m/>
    <n v="0"/>
    <m/>
    <n v="0"/>
    <m/>
    <n v="13"/>
    <m/>
    <n v="16"/>
    <m/>
    <n v="0"/>
    <m/>
    <n v="0"/>
    <n v="6"/>
    <n v="0"/>
    <n v="13"/>
    <n v="16"/>
  </r>
  <r>
    <x v="36"/>
    <n v="10701618.5"/>
    <x v="14"/>
    <n v="0"/>
    <m/>
    <n v="0"/>
    <m/>
    <n v="0"/>
    <m/>
    <n v="0"/>
    <m/>
    <n v="0"/>
    <m/>
    <n v="0"/>
    <m/>
    <n v="0"/>
    <m/>
    <n v="850"/>
    <m/>
    <n v="1006"/>
    <m/>
    <n v="0"/>
    <m/>
    <n v="0"/>
    <n v="57"/>
    <n v="0"/>
    <n v="850"/>
    <n v="1006"/>
  </r>
  <r>
    <x v="36"/>
    <n v="10701619.5"/>
    <x v="15"/>
    <n v="0"/>
    <m/>
    <n v="0"/>
    <m/>
    <n v="0"/>
    <m/>
    <n v="0"/>
    <m/>
    <n v="0"/>
    <m/>
    <n v="0"/>
    <m/>
    <n v="0"/>
    <m/>
    <n v="13"/>
    <m/>
    <n v="24"/>
    <m/>
    <n v="0"/>
    <m/>
    <n v="0"/>
    <n v="7"/>
    <n v="0"/>
    <n v="13"/>
    <n v="24"/>
  </r>
  <r>
    <x v="36"/>
    <n v="10701620.5"/>
    <x v="16"/>
    <n v="0"/>
    <m/>
    <n v="0"/>
    <m/>
    <n v="0"/>
    <m/>
    <n v="0"/>
    <m/>
    <n v="0"/>
    <m/>
    <n v="0"/>
    <m/>
    <n v="0"/>
    <m/>
    <n v="0"/>
    <m/>
    <n v="0"/>
    <m/>
    <n v="0"/>
    <m/>
    <n v="0"/>
    <n v="0"/>
    <n v="0"/>
    <n v="0"/>
    <n v="0"/>
  </r>
  <r>
    <x v="36"/>
    <n v="10701621.5"/>
    <x v="17"/>
    <n v="0"/>
    <m/>
    <n v="0"/>
    <m/>
    <n v="0"/>
    <m/>
    <n v="0"/>
    <m/>
    <n v="0"/>
    <m/>
    <n v="0"/>
    <m/>
    <n v="0"/>
    <m/>
    <n v="0"/>
    <m/>
    <n v="0"/>
    <m/>
    <n v="0"/>
    <m/>
    <n v="0"/>
    <n v="0"/>
    <n v="0"/>
    <n v="0"/>
    <n v="0"/>
  </r>
  <r>
    <x v="36"/>
    <n v="10701622.5"/>
    <x v="18"/>
    <n v="0"/>
    <m/>
    <n v="0"/>
    <m/>
    <n v="0"/>
    <m/>
    <n v="0"/>
    <m/>
    <n v="0"/>
    <m/>
    <n v="0"/>
    <m/>
    <n v="0"/>
    <m/>
    <n v="0"/>
    <m/>
    <n v="0"/>
    <m/>
    <n v="0"/>
    <m/>
    <n v="0"/>
    <n v="272"/>
    <n v="0"/>
    <n v="0"/>
    <n v="0"/>
  </r>
  <r>
    <x v="36"/>
    <n v="10701623.5"/>
    <x v="19"/>
    <n v="0"/>
    <m/>
    <n v="0"/>
    <m/>
    <n v="0"/>
    <m/>
    <n v="0"/>
    <m/>
    <n v="0"/>
    <m/>
    <n v="0"/>
    <m/>
    <n v="0"/>
    <m/>
    <n v="580"/>
    <m/>
    <n v="623"/>
    <m/>
    <n v="0"/>
    <m/>
    <n v="0"/>
    <n v="0"/>
    <n v="0"/>
    <n v="580"/>
    <n v="623"/>
  </r>
  <r>
    <x v="36"/>
    <n v="10701624.5"/>
    <x v="20"/>
    <n v="0"/>
    <m/>
    <n v="0"/>
    <m/>
    <n v="0"/>
    <m/>
    <n v="0"/>
    <m/>
    <n v="0"/>
    <m/>
    <n v="0"/>
    <m/>
    <n v="0"/>
    <m/>
    <n v="11"/>
    <m/>
    <n v="17"/>
    <m/>
    <n v="0"/>
    <m/>
    <n v="0"/>
    <n v="9"/>
    <n v="0"/>
    <n v="11"/>
    <n v="17"/>
  </r>
  <r>
    <x v="36"/>
    <n v="10701625.5"/>
    <x v="21"/>
    <n v="0"/>
    <m/>
    <n v="0"/>
    <m/>
    <n v="0"/>
    <m/>
    <n v="0"/>
    <m/>
    <n v="0"/>
    <m/>
    <n v="0"/>
    <m/>
    <n v="0"/>
    <m/>
    <n v="0"/>
    <m/>
    <n v="0"/>
    <m/>
    <n v="0"/>
    <m/>
    <n v="0"/>
    <n v="0"/>
    <n v="0"/>
    <n v="0"/>
    <n v="0"/>
  </r>
  <r>
    <x v="36"/>
    <n v="10701626.5"/>
    <x v="22"/>
    <n v="0"/>
    <m/>
    <n v="0"/>
    <m/>
    <n v="0"/>
    <m/>
    <n v="0"/>
    <m/>
    <n v="0"/>
    <m/>
    <n v="0"/>
    <m/>
    <n v="0"/>
    <m/>
    <n v="0"/>
    <m/>
    <n v="0"/>
    <m/>
    <n v="0"/>
    <m/>
    <n v="0"/>
    <n v="0"/>
    <n v="0"/>
    <n v="0"/>
    <n v="0"/>
  </r>
  <r>
    <x v="36"/>
    <n v="10701627.5"/>
    <x v="23"/>
    <n v="0"/>
    <m/>
    <n v="0"/>
    <m/>
    <n v="0"/>
    <m/>
    <n v="0"/>
    <m/>
    <n v="0"/>
    <m/>
    <n v="0"/>
    <m/>
    <n v="0"/>
    <m/>
    <n v="0"/>
    <m/>
    <n v="0"/>
    <m/>
    <n v="0"/>
    <m/>
    <n v="0"/>
    <n v="0"/>
    <n v="0"/>
    <n v="0"/>
    <n v="0"/>
  </r>
  <r>
    <x v="37"/>
    <n v="189924.5"/>
    <x v="0"/>
    <n v="0"/>
    <n v="193756.99999999997"/>
    <n v="0"/>
    <n v="197496.99999999994"/>
    <n v="0"/>
    <n v="201123.50000000012"/>
    <n v="126"/>
    <n v="204632.49999999985"/>
    <n v="0"/>
    <n v="208036.50000000012"/>
    <n v="0"/>
    <n v="211344"/>
    <n v="0"/>
    <n v="214599.00000000006"/>
    <n v="213"/>
    <n v="218640.99999999997"/>
    <n v="0"/>
    <n v="223107.49999999991"/>
    <n v="0"/>
    <n v="227379.5"/>
    <n v="0"/>
    <n v="60"/>
    <n v="126"/>
    <n v="213"/>
    <n v="0"/>
  </r>
  <r>
    <x v="37"/>
    <n v="189925.5"/>
    <x v="1"/>
    <n v="0"/>
    <m/>
    <n v="0"/>
    <m/>
    <n v="0"/>
    <m/>
    <n v="884"/>
    <m/>
    <n v="0"/>
    <m/>
    <n v="0"/>
    <m/>
    <n v="812"/>
    <m/>
    <n v="880"/>
    <m/>
    <n v="0"/>
    <m/>
    <n v="0"/>
    <m/>
    <n v="0"/>
    <n v="206"/>
    <n v="884"/>
    <n v="880"/>
    <n v="0"/>
  </r>
  <r>
    <x v="37"/>
    <n v="189926.5"/>
    <x v="2"/>
    <n v="0"/>
    <m/>
    <n v="62"/>
    <m/>
    <n v="0"/>
    <m/>
    <n v="0"/>
    <m/>
    <n v="0"/>
    <m/>
    <n v="0"/>
    <m/>
    <n v="0"/>
    <m/>
    <n v="44"/>
    <m/>
    <n v="0"/>
    <m/>
    <n v="0"/>
    <m/>
    <n v="0"/>
    <n v="50"/>
    <n v="62"/>
    <n v="44"/>
    <n v="0"/>
  </r>
  <r>
    <x v="37"/>
    <n v="189927.5"/>
    <x v="3"/>
    <n v="0"/>
    <m/>
    <n v="82"/>
    <m/>
    <n v="2683"/>
    <m/>
    <n v="617"/>
    <m/>
    <n v="27"/>
    <m/>
    <n v="821"/>
    <m/>
    <n v="1721"/>
    <m/>
    <n v="349"/>
    <m/>
    <n v="3797"/>
    <m/>
    <n v="1057"/>
    <m/>
    <n v="0"/>
    <n v="0"/>
    <n v="2683"/>
    <n v="1721"/>
    <n v="3797"/>
  </r>
  <r>
    <x v="37"/>
    <n v="189928.5"/>
    <x v="4"/>
    <n v="84"/>
    <m/>
    <n v="22"/>
    <m/>
    <n v="528"/>
    <m/>
    <n v="6"/>
    <m/>
    <n v="225"/>
    <m/>
    <n v="264"/>
    <m/>
    <n v="0"/>
    <m/>
    <n v="78"/>
    <m/>
    <n v="689"/>
    <m/>
    <n v="256"/>
    <m/>
    <n v="0"/>
    <n v="0"/>
    <n v="528"/>
    <n v="264"/>
    <n v="689"/>
  </r>
  <r>
    <x v="37"/>
    <n v="189929.5"/>
    <x v="5"/>
    <n v="0"/>
    <m/>
    <n v="0"/>
    <m/>
    <n v="0"/>
    <m/>
    <n v="0"/>
    <m/>
    <n v="0"/>
    <m/>
    <n v="0"/>
    <m/>
    <n v="0"/>
    <m/>
    <n v="0"/>
    <m/>
    <n v="0"/>
    <m/>
    <n v="0"/>
    <m/>
    <n v="0"/>
    <n v="0"/>
    <n v="0"/>
    <n v="0"/>
    <n v="0"/>
  </r>
  <r>
    <x v="37"/>
    <n v="189930.5"/>
    <x v="6"/>
    <n v="0"/>
    <m/>
    <n v="4"/>
    <m/>
    <n v="2217"/>
    <m/>
    <n v="0"/>
    <m/>
    <n v="0"/>
    <m/>
    <n v="61"/>
    <m/>
    <n v="0"/>
    <m/>
    <n v="14"/>
    <m/>
    <n v="1344"/>
    <m/>
    <n v="44"/>
    <m/>
    <n v="0"/>
    <n v="0"/>
    <n v="2217"/>
    <n v="61"/>
    <n v="1344"/>
  </r>
  <r>
    <x v="37"/>
    <n v="189931.5"/>
    <x v="7"/>
    <n v="0"/>
    <m/>
    <n v="24"/>
    <m/>
    <n v="4286"/>
    <m/>
    <n v="0"/>
    <m/>
    <n v="0"/>
    <m/>
    <n v="548"/>
    <m/>
    <n v="0"/>
    <m/>
    <n v="26"/>
    <m/>
    <n v="0"/>
    <m/>
    <n v="245"/>
    <m/>
    <n v="0"/>
    <n v="0"/>
    <n v="4286"/>
    <n v="548"/>
    <n v="245"/>
  </r>
  <r>
    <x v="37"/>
    <n v="189932.5"/>
    <x v="8"/>
    <n v="0"/>
    <m/>
    <n v="0"/>
    <m/>
    <n v="0"/>
    <m/>
    <n v="0"/>
    <m/>
    <n v="0"/>
    <m/>
    <n v="0"/>
    <m/>
    <n v="0"/>
    <m/>
    <n v="0"/>
    <m/>
    <n v="0"/>
    <m/>
    <n v="0"/>
    <m/>
    <n v="0"/>
    <n v="0"/>
    <n v="0"/>
    <n v="0"/>
    <n v="0"/>
  </r>
  <r>
    <x v="37"/>
    <n v="189933.5"/>
    <x v="9"/>
    <n v="0"/>
    <m/>
    <n v="0"/>
    <m/>
    <n v="0"/>
    <m/>
    <n v="0"/>
    <m/>
    <n v="0"/>
    <m/>
    <n v="0"/>
    <m/>
    <n v="0"/>
    <m/>
    <n v="0"/>
    <m/>
    <n v="0"/>
    <m/>
    <n v="0"/>
    <m/>
    <n v="0"/>
    <n v="79"/>
    <n v="0"/>
    <n v="0"/>
    <n v="0"/>
  </r>
  <r>
    <x v="37"/>
    <n v="189934.5"/>
    <x v="10"/>
    <n v="0"/>
    <m/>
    <n v="0"/>
    <m/>
    <n v="0"/>
    <m/>
    <n v="0"/>
    <m/>
    <n v="0"/>
    <m/>
    <n v="0"/>
    <m/>
    <n v="0"/>
    <m/>
    <n v="0"/>
    <m/>
    <n v="0"/>
    <m/>
    <n v="0"/>
    <m/>
    <n v="0"/>
    <n v="0"/>
    <n v="0"/>
    <n v="0"/>
    <n v="0"/>
  </r>
  <r>
    <x v="37"/>
    <n v="189935.5"/>
    <x v="11"/>
    <n v="0"/>
    <m/>
    <n v="0"/>
    <m/>
    <n v="0"/>
    <m/>
    <n v="0"/>
    <m/>
    <n v="0"/>
    <m/>
    <n v="0"/>
    <m/>
    <n v="0"/>
    <m/>
    <n v="0"/>
    <m/>
    <n v="0"/>
    <m/>
    <n v="0"/>
    <m/>
    <n v="0"/>
    <n v="146"/>
    <n v="0"/>
    <n v="0"/>
    <n v="0"/>
  </r>
  <r>
    <x v="37"/>
    <n v="189936.5"/>
    <x v="12"/>
    <n v="0"/>
    <m/>
    <n v="0"/>
    <m/>
    <n v="0"/>
    <m/>
    <n v="0"/>
    <m/>
    <n v="0"/>
    <m/>
    <n v="0"/>
    <m/>
    <n v="0"/>
    <m/>
    <n v="0"/>
    <m/>
    <n v="0"/>
    <m/>
    <n v="0"/>
    <m/>
    <n v="0"/>
    <n v="0"/>
    <n v="0"/>
    <n v="0"/>
    <n v="0"/>
  </r>
  <r>
    <x v="37"/>
    <n v="189937.5"/>
    <x v="13"/>
    <n v="0"/>
    <m/>
    <n v="0"/>
    <m/>
    <n v="0"/>
    <m/>
    <n v="0"/>
    <m/>
    <n v="0"/>
    <m/>
    <n v="0"/>
    <m/>
    <n v="0"/>
    <m/>
    <n v="0"/>
    <m/>
    <n v="0"/>
    <m/>
    <n v="0"/>
    <m/>
    <n v="0"/>
    <n v="0"/>
    <n v="0"/>
    <n v="0"/>
    <n v="0"/>
  </r>
  <r>
    <x v="37"/>
    <n v="189938.5"/>
    <x v="14"/>
    <n v="0"/>
    <m/>
    <n v="0"/>
    <m/>
    <n v="0"/>
    <m/>
    <n v="0"/>
    <m/>
    <n v="0"/>
    <m/>
    <n v="0"/>
    <m/>
    <n v="0"/>
    <m/>
    <n v="0"/>
    <m/>
    <n v="0"/>
    <m/>
    <n v="0"/>
    <m/>
    <n v="0"/>
    <n v="0"/>
    <n v="0"/>
    <n v="0"/>
    <n v="0"/>
  </r>
  <r>
    <x v="37"/>
    <n v="189939.5"/>
    <x v="15"/>
    <n v="0"/>
    <m/>
    <n v="0"/>
    <m/>
    <n v="0"/>
    <m/>
    <n v="0"/>
    <m/>
    <n v="0"/>
    <m/>
    <n v="0"/>
    <m/>
    <n v="0"/>
    <m/>
    <n v="0"/>
    <m/>
    <n v="0"/>
    <m/>
    <n v="0"/>
    <m/>
    <n v="0"/>
    <n v="0"/>
    <n v="0"/>
    <n v="0"/>
    <n v="0"/>
  </r>
  <r>
    <x v="37"/>
    <n v="189940.5"/>
    <x v="16"/>
    <n v="0"/>
    <m/>
    <n v="0"/>
    <m/>
    <n v="0"/>
    <m/>
    <n v="0"/>
    <m/>
    <n v="0"/>
    <m/>
    <n v="0"/>
    <m/>
    <n v="0"/>
    <m/>
    <n v="0"/>
    <m/>
    <n v="0"/>
    <m/>
    <n v="0"/>
    <m/>
    <n v="0"/>
    <n v="0"/>
    <n v="0"/>
    <n v="0"/>
    <n v="0"/>
  </r>
  <r>
    <x v="37"/>
    <n v="189941.5"/>
    <x v="17"/>
    <n v="0"/>
    <m/>
    <n v="0"/>
    <m/>
    <n v="0"/>
    <m/>
    <n v="0"/>
    <m/>
    <n v="0"/>
    <m/>
    <n v="0"/>
    <m/>
    <n v="0"/>
    <m/>
    <n v="0"/>
    <m/>
    <n v="0"/>
    <m/>
    <n v="0"/>
    <m/>
    <n v="0"/>
    <n v="271"/>
    <n v="0"/>
    <n v="0"/>
    <n v="0"/>
  </r>
  <r>
    <x v="37"/>
    <n v="189942.5"/>
    <x v="18"/>
    <n v="0"/>
    <m/>
    <n v="0"/>
    <m/>
    <n v="0"/>
    <m/>
    <n v="0"/>
    <m/>
    <n v="0"/>
    <m/>
    <n v="0"/>
    <m/>
    <n v="0"/>
    <m/>
    <n v="0"/>
    <m/>
    <n v="0"/>
    <m/>
    <n v="0"/>
    <m/>
    <n v="0"/>
    <n v="0"/>
    <n v="0"/>
    <n v="0"/>
    <n v="0"/>
  </r>
  <r>
    <x v="37"/>
    <n v="189943.5"/>
    <x v="19"/>
    <n v="0"/>
    <m/>
    <n v="0"/>
    <m/>
    <n v="0"/>
    <m/>
    <n v="0"/>
    <m/>
    <n v="0"/>
    <m/>
    <n v="0"/>
    <m/>
    <n v="0"/>
    <m/>
    <n v="0"/>
    <m/>
    <n v="0"/>
    <m/>
    <n v="0"/>
    <m/>
    <n v="0"/>
    <n v="0"/>
    <n v="0"/>
    <n v="0"/>
    <n v="0"/>
  </r>
  <r>
    <x v="37"/>
    <n v="189944.5"/>
    <x v="20"/>
    <n v="0"/>
    <m/>
    <n v="0"/>
    <m/>
    <n v="0"/>
    <m/>
    <n v="0"/>
    <m/>
    <n v="0"/>
    <m/>
    <n v="0"/>
    <m/>
    <n v="0"/>
    <m/>
    <n v="0"/>
    <m/>
    <n v="0"/>
    <m/>
    <n v="0"/>
    <m/>
    <n v="0"/>
    <n v="0"/>
    <n v="0"/>
    <n v="0"/>
    <n v="0"/>
  </r>
  <r>
    <x v="37"/>
    <n v="189945.5"/>
    <x v="21"/>
    <n v="0"/>
    <m/>
    <n v="0"/>
    <m/>
    <n v="0"/>
    <m/>
    <n v="0"/>
    <m/>
    <n v="0"/>
    <m/>
    <n v="0"/>
    <m/>
    <n v="0"/>
    <m/>
    <n v="0"/>
    <m/>
    <n v="0"/>
    <m/>
    <n v="0"/>
    <m/>
    <n v="0"/>
    <n v="0"/>
    <n v="0"/>
    <n v="0"/>
    <n v="0"/>
  </r>
  <r>
    <x v="37"/>
    <n v="189946.5"/>
    <x v="22"/>
    <n v="0"/>
    <m/>
    <n v="0"/>
    <m/>
    <n v="0"/>
    <m/>
    <n v="0"/>
    <m/>
    <n v="0"/>
    <m/>
    <n v="0"/>
    <m/>
    <n v="0"/>
    <m/>
    <n v="0"/>
    <m/>
    <n v="0"/>
    <m/>
    <n v="0"/>
    <m/>
    <n v="0"/>
    <n v="0"/>
    <n v="0"/>
    <n v="0"/>
    <n v="0"/>
  </r>
  <r>
    <x v="37"/>
    <n v="189947.5"/>
    <x v="23"/>
    <n v="0"/>
    <m/>
    <n v="0"/>
    <m/>
    <n v="0"/>
    <m/>
    <n v="0"/>
    <m/>
    <n v="0"/>
    <m/>
    <n v="0"/>
    <m/>
    <n v="0"/>
    <m/>
    <n v="0"/>
    <m/>
    <n v="0"/>
    <m/>
    <n v="0"/>
    <m/>
    <n v="0"/>
    <n v="0"/>
    <n v="0"/>
    <n v="0"/>
    <n v="0"/>
  </r>
  <r>
    <x v="38"/>
    <n v="1111443.9999999998"/>
    <x v="0"/>
    <n v="0"/>
    <n v="1118318.9999999998"/>
    <n v="0"/>
    <n v="1125865.0000000005"/>
    <n v="0"/>
    <n v="1133935.9999999998"/>
    <n v="0"/>
    <n v="1142524"/>
    <n v="220"/>
    <n v="1151390.5000000002"/>
    <n v="425"/>
    <n v="1160427.5"/>
    <n v="556"/>
    <n v="1169612.9999999998"/>
    <n v="0"/>
    <n v="1180654.9999999998"/>
    <n v="330"/>
    <n v="1192271.0000000002"/>
    <n v="0"/>
    <n v="1201670.4999999995"/>
    <n v="4063"/>
    <n v="278"/>
    <n v="0"/>
    <n v="556"/>
    <n v="4063"/>
  </r>
  <r>
    <x v="38"/>
    <n v="1111445"/>
    <x v="1"/>
    <n v="0"/>
    <m/>
    <n v="7470"/>
    <m/>
    <n v="7694"/>
    <m/>
    <n v="7952"/>
    <m/>
    <n v="8400"/>
    <m/>
    <n v="8862"/>
    <m/>
    <n v="9412"/>
    <m/>
    <n v="0"/>
    <m/>
    <n v="6881"/>
    <m/>
    <n v="0"/>
    <m/>
    <n v="7648"/>
    <n v="2204"/>
    <n v="7952"/>
    <n v="9412"/>
    <n v="7648"/>
  </r>
  <r>
    <x v="38"/>
    <n v="1111446"/>
    <x v="2"/>
    <n v="0"/>
    <m/>
    <n v="0"/>
    <m/>
    <n v="0"/>
    <m/>
    <n v="0"/>
    <m/>
    <n v="0"/>
    <m/>
    <n v="0"/>
    <m/>
    <n v="0"/>
    <m/>
    <n v="0"/>
    <m/>
    <n v="0"/>
    <m/>
    <n v="0"/>
    <m/>
    <n v="0"/>
    <n v="14"/>
    <n v="0"/>
    <n v="0"/>
    <n v="0"/>
  </r>
  <r>
    <x v="38"/>
    <n v="1111447"/>
    <x v="3"/>
    <n v="3320"/>
    <m/>
    <n v="0"/>
    <m/>
    <n v="488"/>
    <m/>
    <n v="65"/>
    <m/>
    <n v="0"/>
    <m/>
    <n v="0"/>
    <m/>
    <n v="921"/>
    <m/>
    <n v="0"/>
    <m/>
    <n v="0"/>
    <m/>
    <n v="0"/>
    <m/>
    <n v="15498"/>
    <n v="281"/>
    <n v="3320"/>
    <n v="921"/>
    <n v="15498"/>
  </r>
  <r>
    <x v="38"/>
    <n v="1111448"/>
    <x v="4"/>
    <n v="768"/>
    <m/>
    <n v="0"/>
    <m/>
    <n v="214"/>
    <m/>
    <n v="13"/>
    <m/>
    <n v="0"/>
    <m/>
    <n v="0"/>
    <m/>
    <n v="275"/>
    <m/>
    <n v="0"/>
    <m/>
    <n v="0"/>
    <m/>
    <n v="0"/>
    <m/>
    <n v="338"/>
    <n v="74"/>
    <n v="768"/>
    <n v="275"/>
    <n v="338"/>
  </r>
  <r>
    <x v="38"/>
    <n v="1111449"/>
    <x v="5"/>
    <n v="0"/>
    <m/>
    <n v="0"/>
    <m/>
    <n v="0"/>
    <m/>
    <n v="0"/>
    <m/>
    <n v="0"/>
    <m/>
    <n v="0"/>
    <m/>
    <n v="6324"/>
    <m/>
    <n v="0"/>
    <m/>
    <n v="5386"/>
    <m/>
    <n v="0"/>
    <m/>
    <n v="0"/>
    <n v="6324"/>
    <n v="0"/>
    <n v="6324"/>
    <n v="5386"/>
  </r>
  <r>
    <x v="38"/>
    <n v="1111450"/>
    <x v="6"/>
    <n v="0"/>
    <m/>
    <n v="0"/>
    <m/>
    <n v="0"/>
    <m/>
    <n v="15"/>
    <m/>
    <n v="0"/>
    <m/>
    <n v="0"/>
    <m/>
    <n v="31"/>
    <m/>
    <n v="0"/>
    <m/>
    <n v="0"/>
    <m/>
    <n v="0"/>
    <m/>
    <n v="688"/>
    <n v="0"/>
    <n v="15"/>
    <n v="31"/>
    <n v="688"/>
  </r>
  <r>
    <x v="38"/>
    <n v="1111451"/>
    <x v="7"/>
    <n v="4646"/>
    <m/>
    <n v="0"/>
    <m/>
    <n v="234"/>
    <m/>
    <n v="428"/>
    <m/>
    <n v="0"/>
    <m/>
    <n v="0"/>
    <m/>
    <n v="275"/>
    <m/>
    <n v="0"/>
    <m/>
    <n v="0"/>
    <m/>
    <n v="0"/>
    <m/>
    <n v="2886"/>
    <n v="187"/>
    <n v="4646"/>
    <n v="275"/>
    <n v="2886"/>
  </r>
  <r>
    <x v="38"/>
    <n v="1111452"/>
    <x v="8"/>
    <n v="0"/>
    <m/>
    <n v="0"/>
    <m/>
    <n v="0"/>
    <m/>
    <n v="0"/>
    <m/>
    <n v="0"/>
    <m/>
    <n v="0"/>
    <m/>
    <n v="0"/>
    <m/>
    <n v="0"/>
    <m/>
    <n v="0"/>
    <m/>
    <n v="0"/>
    <m/>
    <n v="0"/>
    <n v="927"/>
    <n v="0"/>
    <n v="0"/>
    <n v="0"/>
  </r>
  <r>
    <x v="38"/>
    <n v="1111453"/>
    <x v="9"/>
    <n v="0"/>
    <m/>
    <n v="0"/>
    <m/>
    <n v="0"/>
    <m/>
    <n v="0"/>
    <m/>
    <n v="0"/>
    <m/>
    <n v="0"/>
    <m/>
    <n v="0"/>
    <m/>
    <n v="0"/>
    <m/>
    <n v="0"/>
    <m/>
    <n v="0"/>
    <m/>
    <n v="0"/>
    <n v="195"/>
    <n v="0"/>
    <n v="0"/>
    <n v="0"/>
  </r>
  <r>
    <x v="38"/>
    <n v="1111454"/>
    <x v="10"/>
    <n v="0"/>
    <m/>
    <n v="0"/>
    <m/>
    <n v="0"/>
    <m/>
    <n v="0"/>
    <m/>
    <n v="0"/>
    <m/>
    <n v="0"/>
    <m/>
    <n v="0"/>
    <m/>
    <n v="3"/>
    <m/>
    <n v="0"/>
    <m/>
    <n v="0"/>
    <m/>
    <n v="0"/>
    <n v="0"/>
    <n v="0"/>
    <n v="3"/>
    <n v="0"/>
  </r>
  <r>
    <x v="38"/>
    <n v="1111455"/>
    <x v="11"/>
    <n v="0"/>
    <m/>
    <n v="0"/>
    <m/>
    <n v="0"/>
    <m/>
    <n v="0"/>
    <m/>
    <n v="0"/>
    <m/>
    <n v="0"/>
    <m/>
    <n v="370"/>
    <m/>
    <n v="0"/>
    <m/>
    <n v="0"/>
    <m/>
    <n v="0"/>
    <m/>
    <n v="0"/>
    <n v="84"/>
    <n v="0"/>
    <n v="370"/>
    <n v="0"/>
  </r>
  <r>
    <x v="38"/>
    <n v="1111456"/>
    <x v="12"/>
    <n v="0"/>
    <m/>
    <n v="0"/>
    <m/>
    <n v="0"/>
    <m/>
    <n v="0"/>
    <m/>
    <n v="0"/>
    <m/>
    <n v="0"/>
    <m/>
    <n v="0"/>
    <m/>
    <n v="0"/>
    <m/>
    <n v="30"/>
    <m/>
    <n v="0"/>
    <m/>
    <n v="0"/>
    <n v="28"/>
    <n v="0"/>
    <n v="0"/>
    <n v="30"/>
  </r>
  <r>
    <x v="38"/>
    <n v="1111457"/>
    <x v="13"/>
    <n v="0"/>
    <m/>
    <n v="0"/>
    <m/>
    <n v="0"/>
    <m/>
    <n v="0"/>
    <m/>
    <n v="0"/>
    <m/>
    <n v="0"/>
    <m/>
    <n v="0"/>
    <m/>
    <n v="0"/>
    <m/>
    <n v="53"/>
    <m/>
    <n v="0"/>
    <m/>
    <n v="0"/>
    <n v="47"/>
    <n v="0"/>
    <n v="0"/>
    <n v="53"/>
  </r>
  <r>
    <x v="38"/>
    <n v="1111458"/>
    <x v="14"/>
    <n v="0"/>
    <m/>
    <n v="0"/>
    <m/>
    <n v="0"/>
    <m/>
    <n v="0"/>
    <m/>
    <n v="0"/>
    <m/>
    <n v="0"/>
    <m/>
    <n v="0"/>
    <m/>
    <n v="0"/>
    <m/>
    <n v="0"/>
    <m/>
    <n v="0"/>
    <m/>
    <n v="0"/>
    <n v="2084"/>
    <n v="0"/>
    <n v="0"/>
    <n v="0"/>
  </r>
  <r>
    <x v="38"/>
    <n v="1111459"/>
    <x v="15"/>
    <n v="0"/>
    <m/>
    <n v="0"/>
    <m/>
    <n v="0"/>
    <m/>
    <n v="0"/>
    <m/>
    <n v="0"/>
    <m/>
    <n v="0"/>
    <m/>
    <n v="0"/>
    <m/>
    <n v="0"/>
    <m/>
    <n v="6"/>
    <m/>
    <n v="0"/>
    <m/>
    <n v="0"/>
    <n v="12"/>
    <n v="0"/>
    <n v="0"/>
    <n v="6"/>
  </r>
  <r>
    <x v="38"/>
    <n v="1111460"/>
    <x v="16"/>
    <n v="0"/>
    <m/>
    <n v="0"/>
    <m/>
    <n v="0"/>
    <m/>
    <n v="0"/>
    <m/>
    <n v="0"/>
    <m/>
    <n v="0"/>
    <m/>
    <n v="0"/>
    <m/>
    <n v="0"/>
    <m/>
    <n v="52"/>
    <m/>
    <n v="0"/>
    <m/>
    <n v="0"/>
    <n v="1215"/>
    <n v="0"/>
    <n v="0"/>
    <n v="52"/>
  </r>
  <r>
    <x v="38"/>
    <n v="1111461"/>
    <x v="17"/>
    <n v="0"/>
    <m/>
    <n v="0"/>
    <m/>
    <n v="0"/>
    <m/>
    <n v="0"/>
    <m/>
    <n v="0"/>
    <m/>
    <n v="0"/>
    <m/>
    <n v="0"/>
    <m/>
    <n v="0"/>
    <m/>
    <n v="1861"/>
    <m/>
    <n v="0"/>
    <m/>
    <n v="0"/>
    <n v="85"/>
    <n v="0"/>
    <n v="0"/>
    <n v="1861"/>
  </r>
  <r>
    <x v="38"/>
    <n v="1111462"/>
    <x v="18"/>
    <n v="0"/>
    <m/>
    <n v="0"/>
    <m/>
    <n v="0"/>
    <m/>
    <n v="0"/>
    <m/>
    <n v="0"/>
    <m/>
    <n v="0"/>
    <m/>
    <n v="0"/>
    <m/>
    <n v="0"/>
    <m/>
    <n v="0"/>
    <m/>
    <n v="0"/>
    <m/>
    <n v="0"/>
    <n v="370"/>
    <n v="0"/>
    <n v="0"/>
    <n v="0"/>
  </r>
  <r>
    <x v="38"/>
    <n v="1111463"/>
    <x v="19"/>
    <n v="0"/>
    <m/>
    <n v="0"/>
    <m/>
    <n v="0"/>
    <m/>
    <n v="0"/>
    <m/>
    <n v="0"/>
    <m/>
    <n v="0"/>
    <m/>
    <n v="0"/>
    <m/>
    <n v="0"/>
    <m/>
    <n v="0"/>
    <m/>
    <n v="0"/>
    <m/>
    <n v="0"/>
    <n v="29"/>
    <n v="0"/>
    <n v="0"/>
    <n v="0"/>
  </r>
  <r>
    <x v="38"/>
    <n v="1111464"/>
    <x v="20"/>
    <n v="0"/>
    <m/>
    <n v="0"/>
    <m/>
    <n v="0"/>
    <m/>
    <n v="0"/>
    <m/>
    <n v="0"/>
    <m/>
    <n v="0"/>
    <m/>
    <n v="0"/>
    <m/>
    <n v="0"/>
    <m/>
    <n v="15"/>
    <m/>
    <n v="0"/>
    <m/>
    <n v="0"/>
    <n v="29"/>
    <n v="0"/>
    <n v="0"/>
    <n v="15"/>
  </r>
  <r>
    <x v="38"/>
    <n v="1111465"/>
    <x v="21"/>
    <n v="0"/>
    <m/>
    <n v="0"/>
    <m/>
    <n v="0"/>
    <m/>
    <n v="0"/>
    <m/>
    <n v="0"/>
    <m/>
    <n v="0"/>
    <m/>
    <n v="0"/>
    <m/>
    <n v="0"/>
    <m/>
    <n v="38"/>
    <m/>
    <n v="0"/>
    <m/>
    <n v="0"/>
    <n v="0"/>
    <n v="0"/>
    <n v="0"/>
    <n v="38"/>
  </r>
  <r>
    <x v="38"/>
    <n v="1111466"/>
    <x v="22"/>
    <n v="0"/>
    <m/>
    <n v="0"/>
    <m/>
    <n v="0"/>
    <m/>
    <n v="0"/>
    <m/>
    <n v="0"/>
    <m/>
    <n v="0"/>
    <m/>
    <n v="0"/>
    <m/>
    <n v="0"/>
    <m/>
    <n v="7"/>
    <m/>
    <n v="0"/>
    <m/>
    <n v="0"/>
    <n v="0"/>
    <n v="0"/>
    <n v="0"/>
    <n v="7"/>
  </r>
  <r>
    <x v="38"/>
    <n v="1111467"/>
    <x v="23"/>
    <n v="0"/>
    <m/>
    <n v="0"/>
    <m/>
    <n v="0"/>
    <m/>
    <n v="0"/>
    <m/>
    <n v="0"/>
    <m/>
    <n v="0"/>
    <m/>
    <n v="0"/>
    <m/>
    <n v="0"/>
    <m/>
    <n v="0"/>
    <m/>
    <n v="0"/>
    <m/>
    <n v="0"/>
    <n v="7"/>
    <n v="0"/>
    <n v="0"/>
    <n v="0"/>
  </r>
  <r>
    <x v="39"/>
    <n v="95308.999999999985"/>
    <x v="0"/>
    <n v="186"/>
    <n v="96714"/>
    <n v="0"/>
    <n v="98000.999999999927"/>
    <n v="0"/>
    <n v="99239.999999999971"/>
    <n v="4"/>
    <n v="100508.49999999997"/>
    <n v="410"/>
    <n v="101810.50000000001"/>
    <n v="39"/>
    <n v="103101.00000000003"/>
    <n v="537"/>
    <n v="104372.49999999997"/>
    <n v="479"/>
    <n v="105529.99999999997"/>
    <n v="0"/>
    <n v="106470.49999999996"/>
    <n v="0"/>
    <n v="107118.5"/>
    <n v="923"/>
    <n v="240"/>
    <n v="186"/>
    <n v="537"/>
    <n v="923"/>
  </r>
  <r>
    <x v="39"/>
    <n v="95310"/>
    <x v="1"/>
    <n v="838"/>
    <m/>
    <n v="0"/>
    <m/>
    <n v="0"/>
    <m/>
    <n v="0"/>
    <m/>
    <n v="1368"/>
    <m/>
    <n v="0"/>
    <m/>
    <n v="2223"/>
    <m/>
    <n v="0"/>
    <m/>
    <n v="0"/>
    <m/>
    <n v="0"/>
    <m/>
    <n v="1246"/>
    <n v="1272"/>
    <n v="838"/>
    <n v="2223"/>
    <n v="1246"/>
  </r>
  <r>
    <x v="39"/>
    <n v="95311"/>
    <x v="2"/>
    <n v="0"/>
    <m/>
    <n v="0"/>
    <m/>
    <n v="0"/>
    <m/>
    <n v="0"/>
    <m/>
    <n v="178"/>
    <m/>
    <n v="0"/>
    <m/>
    <n v="316"/>
    <m/>
    <n v="0"/>
    <m/>
    <n v="0"/>
    <m/>
    <n v="0"/>
    <m/>
    <n v="312"/>
    <n v="5"/>
    <n v="0"/>
    <n v="316"/>
    <n v="312"/>
  </r>
  <r>
    <x v="39"/>
    <n v="95312"/>
    <x v="3"/>
    <n v="0"/>
    <m/>
    <n v="0"/>
    <m/>
    <n v="217"/>
    <m/>
    <n v="0"/>
    <m/>
    <n v="0"/>
    <m/>
    <n v="0"/>
    <m/>
    <n v="0"/>
    <m/>
    <n v="0"/>
    <m/>
    <n v="0"/>
    <m/>
    <n v="0"/>
    <m/>
    <n v="0"/>
    <n v="124"/>
    <n v="217"/>
    <n v="0"/>
    <n v="0"/>
  </r>
  <r>
    <x v="39"/>
    <n v="95313"/>
    <x v="4"/>
    <n v="0"/>
    <m/>
    <n v="0"/>
    <m/>
    <n v="0"/>
    <m/>
    <n v="0"/>
    <m/>
    <n v="0"/>
    <m/>
    <n v="0"/>
    <m/>
    <n v="0"/>
    <m/>
    <n v="0"/>
    <m/>
    <n v="0"/>
    <m/>
    <n v="0"/>
    <m/>
    <n v="0"/>
    <n v="163"/>
    <n v="0"/>
    <n v="0"/>
    <n v="0"/>
  </r>
  <r>
    <x v="39"/>
    <n v="95314"/>
    <x v="5"/>
    <n v="0"/>
    <m/>
    <n v="0"/>
    <m/>
    <n v="0"/>
    <m/>
    <n v="0"/>
    <m/>
    <n v="0"/>
    <m/>
    <n v="0"/>
    <m/>
    <n v="0"/>
    <m/>
    <n v="0"/>
    <m/>
    <n v="0"/>
    <m/>
    <n v="0"/>
    <m/>
    <n v="0"/>
    <n v="0"/>
    <n v="0"/>
    <n v="0"/>
    <n v="0"/>
  </r>
  <r>
    <x v="39"/>
    <n v="95315"/>
    <x v="6"/>
    <n v="0"/>
    <m/>
    <n v="0"/>
    <m/>
    <n v="0"/>
    <m/>
    <n v="0"/>
    <m/>
    <n v="0"/>
    <m/>
    <n v="0"/>
    <m/>
    <n v="0"/>
    <m/>
    <n v="0"/>
    <m/>
    <n v="0"/>
    <m/>
    <n v="0"/>
    <m/>
    <n v="0"/>
    <n v="5"/>
    <n v="0"/>
    <n v="0"/>
    <n v="0"/>
  </r>
  <r>
    <x v="39"/>
    <n v="95316"/>
    <x v="7"/>
    <n v="0"/>
    <m/>
    <n v="0"/>
    <m/>
    <n v="0"/>
    <m/>
    <n v="0"/>
    <m/>
    <n v="0"/>
    <m/>
    <n v="0"/>
    <m/>
    <n v="0"/>
    <m/>
    <n v="0"/>
    <m/>
    <n v="0"/>
    <m/>
    <n v="0"/>
    <m/>
    <n v="0"/>
    <n v="50"/>
    <n v="0"/>
    <n v="0"/>
    <n v="0"/>
  </r>
  <r>
    <x v="39"/>
    <n v="95317"/>
    <x v="8"/>
    <n v="0"/>
    <m/>
    <n v="0"/>
    <m/>
    <n v="0"/>
    <m/>
    <n v="0"/>
    <m/>
    <n v="0"/>
    <m/>
    <n v="0"/>
    <m/>
    <n v="0"/>
    <m/>
    <n v="0"/>
    <m/>
    <n v="0"/>
    <m/>
    <n v="0"/>
    <m/>
    <n v="0"/>
    <n v="258"/>
    <n v="0"/>
    <n v="0"/>
    <n v="0"/>
  </r>
  <r>
    <x v="39"/>
    <n v="95318"/>
    <x v="9"/>
    <n v="0"/>
    <m/>
    <n v="0"/>
    <m/>
    <n v="0"/>
    <m/>
    <n v="0"/>
    <m/>
    <n v="0"/>
    <m/>
    <n v="0"/>
    <m/>
    <n v="0"/>
    <m/>
    <n v="0"/>
    <m/>
    <n v="0"/>
    <m/>
    <n v="0"/>
    <m/>
    <n v="0"/>
    <n v="0"/>
    <n v="0"/>
    <n v="0"/>
    <n v="0"/>
  </r>
  <r>
    <x v="39"/>
    <n v="95319"/>
    <x v="10"/>
    <n v="0"/>
    <m/>
    <n v="0"/>
    <m/>
    <n v="0"/>
    <m/>
    <n v="0"/>
    <m/>
    <n v="0"/>
    <m/>
    <n v="0"/>
    <m/>
    <n v="0"/>
    <m/>
    <n v="14"/>
    <m/>
    <n v="0"/>
    <m/>
    <n v="4"/>
    <m/>
    <n v="0"/>
    <n v="2"/>
    <n v="0"/>
    <n v="14"/>
    <n v="4"/>
  </r>
  <r>
    <x v="39"/>
    <n v="95320"/>
    <x v="11"/>
    <n v="0"/>
    <m/>
    <n v="0"/>
    <m/>
    <n v="0"/>
    <m/>
    <n v="0"/>
    <m/>
    <n v="0"/>
    <m/>
    <n v="0"/>
    <m/>
    <n v="71"/>
    <m/>
    <n v="0"/>
    <m/>
    <n v="0"/>
    <m/>
    <n v="0"/>
    <m/>
    <n v="0"/>
    <n v="70"/>
    <n v="0"/>
    <n v="71"/>
    <n v="0"/>
  </r>
  <r>
    <x v="39"/>
    <n v="95321"/>
    <x v="12"/>
    <n v="0"/>
    <m/>
    <n v="0"/>
    <m/>
    <n v="0"/>
    <m/>
    <n v="0"/>
    <m/>
    <n v="0"/>
    <m/>
    <n v="0"/>
    <m/>
    <n v="0"/>
    <m/>
    <n v="0"/>
    <m/>
    <n v="0"/>
    <m/>
    <n v="0"/>
    <m/>
    <n v="0"/>
    <n v="0"/>
    <n v="0"/>
    <n v="0"/>
    <n v="0"/>
  </r>
  <r>
    <x v="39"/>
    <n v="95322"/>
    <x v="13"/>
    <n v="0"/>
    <m/>
    <n v="0"/>
    <m/>
    <n v="0"/>
    <m/>
    <n v="0"/>
    <m/>
    <n v="0"/>
    <m/>
    <n v="0"/>
    <m/>
    <n v="0"/>
    <m/>
    <n v="0"/>
    <m/>
    <n v="0"/>
    <m/>
    <n v="0"/>
    <m/>
    <n v="0"/>
    <n v="7"/>
    <n v="0"/>
    <n v="0"/>
    <n v="0"/>
  </r>
  <r>
    <x v="39"/>
    <n v="95323"/>
    <x v="14"/>
    <n v="0"/>
    <m/>
    <n v="0"/>
    <m/>
    <n v="0"/>
    <m/>
    <n v="0"/>
    <m/>
    <n v="0"/>
    <m/>
    <n v="0"/>
    <m/>
    <n v="0"/>
    <m/>
    <n v="0"/>
    <m/>
    <n v="0"/>
    <m/>
    <n v="0"/>
    <m/>
    <n v="0"/>
    <n v="0"/>
    <n v="0"/>
    <n v="0"/>
    <n v="0"/>
  </r>
  <r>
    <x v="39"/>
    <n v="95324"/>
    <x v="15"/>
    <n v="0"/>
    <m/>
    <n v="0"/>
    <m/>
    <n v="0"/>
    <m/>
    <n v="0"/>
    <m/>
    <n v="0"/>
    <m/>
    <n v="0"/>
    <m/>
    <n v="0"/>
    <m/>
    <n v="0"/>
    <m/>
    <n v="0"/>
    <m/>
    <n v="22"/>
    <m/>
    <n v="0"/>
    <n v="28"/>
    <n v="0"/>
    <n v="0"/>
    <n v="22"/>
  </r>
  <r>
    <x v="39"/>
    <n v="95325"/>
    <x v="16"/>
    <n v="0"/>
    <m/>
    <n v="0"/>
    <m/>
    <n v="0"/>
    <m/>
    <n v="0"/>
    <m/>
    <n v="0"/>
    <m/>
    <n v="0"/>
    <m/>
    <n v="0"/>
    <m/>
    <n v="0"/>
    <m/>
    <n v="0"/>
    <m/>
    <n v="0"/>
    <m/>
    <n v="0"/>
    <n v="0"/>
    <n v="0"/>
    <n v="0"/>
    <n v="0"/>
  </r>
  <r>
    <x v="39"/>
    <n v="95326"/>
    <x v="17"/>
    <n v="0"/>
    <m/>
    <n v="0"/>
    <m/>
    <n v="0"/>
    <m/>
    <n v="0"/>
    <m/>
    <n v="0"/>
    <m/>
    <n v="0"/>
    <m/>
    <n v="0"/>
    <m/>
    <n v="0"/>
    <m/>
    <n v="0"/>
    <m/>
    <n v="0"/>
    <m/>
    <n v="0"/>
    <n v="0"/>
    <n v="0"/>
    <n v="0"/>
    <n v="0"/>
  </r>
  <r>
    <x v="39"/>
    <n v="95327"/>
    <x v="18"/>
    <n v="0"/>
    <m/>
    <n v="0"/>
    <m/>
    <n v="0"/>
    <m/>
    <n v="0"/>
    <m/>
    <n v="0"/>
    <m/>
    <n v="0"/>
    <m/>
    <n v="0"/>
    <m/>
    <n v="0"/>
    <m/>
    <n v="0"/>
    <m/>
    <n v="0"/>
    <m/>
    <n v="0"/>
    <n v="71"/>
    <n v="0"/>
    <n v="0"/>
    <n v="0"/>
  </r>
  <r>
    <x v="39"/>
    <n v="95328"/>
    <x v="19"/>
    <n v="0"/>
    <m/>
    <n v="0"/>
    <m/>
    <n v="0"/>
    <m/>
    <n v="0"/>
    <m/>
    <n v="0"/>
    <m/>
    <n v="0"/>
    <m/>
    <n v="0"/>
    <m/>
    <n v="0"/>
    <m/>
    <n v="0"/>
    <m/>
    <n v="0"/>
    <m/>
    <n v="0"/>
    <n v="0"/>
    <n v="0"/>
    <n v="0"/>
    <n v="0"/>
  </r>
  <r>
    <x v="39"/>
    <n v="95329"/>
    <x v="20"/>
    <n v="0"/>
    <m/>
    <n v="0"/>
    <m/>
    <n v="0"/>
    <m/>
    <n v="0"/>
    <m/>
    <n v="0"/>
    <m/>
    <n v="0"/>
    <m/>
    <n v="0"/>
    <m/>
    <n v="0"/>
    <m/>
    <n v="0"/>
    <m/>
    <n v="60"/>
    <m/>
    <n v="0"/>
    <n v="33"/>
    <n v="0"/>
    <n v="0"/>
    <n v="60"/>
  </r>
  <r>
    <x v="39"/>
    <n v="95330"/>
    <x v="21"/>
    <n v="0"/>
    <m/>
    <n v="0"/>
    <m/>
    <n v="0"/>
    <m/>
    <n v="0"/>
    <m/>
    <n v="0"/>
    <m/>
    <n v="0"/>
    <m/>
    <n v="0"/>
    <m/>
    <n v="0"/>
    <m/>
    <n v="0"/>
    <m/>
    <n v="2"/>
    <m/>
    <n v="0"/>
    <n v="0"/>
    <n v="0"/>
    <n v="0"/>
    <n v="2"/>
  </r>
  <r>
    <x v="39"/>
    <n v="95331"/>
    <x v="22"/>
    <n v="0"/>
    <m/>
    <n v="0"/>
    <m/>
    <n v="0"/>
    <m/>
    <n v="0"/>
    <m/>
    <n v="0"/>
    <m/>
    <n v="0"/>
    <m/>
    <n v="0"/>
    <m/>
    <n v="0"/>
    <m/>
    <n v="0"/>
    <m/>
    <n v="5"/>
    <m/>
    <n v="0"/>
    <n v="0"/>
    <n v="0"/>
    <n v="0"/>
    <n v="5"/>
  </r>
  <r>
    <x v="39"/>
    <n v="95332"/>
    <x v="23"/>
    <n v="0"/>
    <m/>
    <n v="0"/>
    <m/>
    <n v="0"/>
    <m/>
    <n v="0"/>
    <m/>
    <n v="0"/>
    <m/>
    <n v="0"/>
    <m/>
    <n v="0"/>
    <m/>
    <n v="0"/>
    <m/>
    <n v="0"/>
    <m/>
    <n v="2"/>
    <m/>
    <n v="0"/>
    <n v="0"/>
    <n v="0"/>
    <n v="0"/>
    <n v="2"/>
  </r>
  <r>
    <x v="40"/>
    <n v="12754906"/>
    <x v="0"/>
    <n v="1056"/>
    <n v="13216766.5"/>
    <n v="1146"/>
    <n v="13697125.5"/>
    <n v="1216"/>
    <n v="14140274"/>
    <n v="1392"/>
    <n v="14592585.000000004"/>
    <n v="1080"/>
    <n v="15085884.000000006"/>
    <n v="1302"/>
    <n v="15604210"/>
    <n v="1606"/>
    <n v="16126866"/>
    <n v="1905"/>
    <n v="16644701.499999996"/>
    <n v="2023"/>
    <n v="17179739.999999996"/>
    <n v="2260"/>
    <n v="17723314.500000004"/>
    <n v="3311"/>
    <n v="803"/>
    <n v="1392"/>
    <n v="1905"/>
    <n v="3311"/>
  </r>
  <r>
    <x v="40"/>
    <n v="12754907"/>
    <x v="1"/>
    <n v="6282"/>
    <m/>
    <n v="7212"/>
    <m/>
    <n v="7212"/>
    <m/>
    <n v="7126"/>
    <m/>
    <n v="6212"/>
    <m/>
    <n v="6974"/>
    <m/>
    <n v="9598"/>
    <m/>
    <n v="0"/>
    <m/>
    <n v="5246"/>
    <m/>
    <n v="5354"/>
    <m/>
    <n v="5866"/>
    <n v="3863"/>
    <n v="7212"/>
    <n v="9598"/>
    <n v="5866"/>
  </r>
  <r>
    <x v="40"/>
    <n v="12754908"/>
    <x v="2"/>
    <n v="832"/>
    <m/>
    <n v="902"/>
    <m/>
    <n v="0"/>
    <m/>
    <n v="0"/>
    <m/>
    <n v="0"/>
    <m/>
    <n v="0"/>
    <m/>
    <n v="0"/>
    <m/>
    <n v="1178"/>
    <m/>
    <n v="1420"/>
    <m/>
    <n v="1442"/>
    <m/>
    <n v="1566"/>
    <n v="936"/>
    <n v="902"/>
    <n v="1178"/>
    <n v="1566"/>
  </r>
  <r>
    <x v="40"/>
    <n v="12754909"/>
    <x v="3"/>
    <n v="19687"/>
    <m/>
    <n v="2302"/>
    <m/>
    <n v="351"/>
    <m/>
    <n v="591"/>
    <m/>
    <n v="119"/>
    <m/>
    <n v="172"/>
    <m/>
    <n v="14"/>
    <m/>
    <n v="269"/>
    <m/>
    <n v="2495"/>
    <m/>
    <n v="10"/>
    <m/>
    <n v="78"/>
    <n v="269"/>
    <n v="19687"/>
    <n v="269"/>
    <n v="2495"/>
  </r>
  <r>
    <x v="40"/>
    <n v="12754910"/>
    <x v="4"/>
    <n v="15483"/>
    <m/>
    <n v="1652"/>
    <m/>
    <n v="12"/>
    <m/>
    <n v="123"/>
    <m/>
    <n v="14"/>
    <m/>
    <n v="81"/>
    <m/>
    <n v="0"/>
    <m/>
    <n v="3"/>
    <m/>
    <n v="506"/>
    <m/>
    <n v="0"/>
    <m/>
    <n v="14"/>
    <n v="3"/>
    <n v="15483"/>
    <n v="81"/>
    <n v="506"/>
  </r>
  <r>
    <x v="40"/>
    <n v="12754911"/>
    <x v="5"/>
    <n v="0"/>
    <m/>
    <n v="0"/>
    <m/>
    <n v="0"/>
    <m/>
    <n v="0"/>
    <m/>
    <n v="0"/>
    <m/>
    <n v="0"/>
    <m/>
    <n v="0"/>
    <m/>
    <n v="0"/>
    <m/>
    <n v="592"/>
    <m/>
    <n v="8077"/>
    <m/>
    <n v="0"/>
    <n v="7"/>
    <n v="0"/>
    <n v="0"/>
    <n v="8077"/>
  </r>
  <r>
    <x v="40"/>
    <n v="12754912"/>
    <x v="6"/>
    <n v="406"/>
    <m/>
    <n v="0"/>
    <m/>
    <n v="0"/>
    <m/>
    <n v="43"/>
    <m/>
    <n v="0"/>
    <m/>
    <n v="0"/>
    <m/>
    <n v="0"/>
    <m/>
    <n v="0"/>
    <m/>
    <n v="0"/>
    <m/>
    <n v="0"/>
    <m/>
    <n v="0"/>
    <n v="58"/>
    <n v="406"/>
    <n v="0"/>
    <n v="0"/>
  </r>
  <r>
    <x v="40"/>
    <n v="12754913"/>
    <x v="7"/>
    <n v="1258"/>
    <m/>
    <n v="0"/>
    <m/>
    <n v="255"/>
    <m/>
    <n v="0"/>
    <m/>
    <n v="0"/>
    <m/>
    <n v="0"/>
    <m/>
    <n v="0"/>
    <m/>
    <n v="0"/>
    <m/>
    <n v="0"/>
    <m/>
    <n v="0"/>
    <m/>
    <n v="0"/>
    <n v="76"/>
    <n v="1258"/>
    <n v="0"/>
    <n v="0"/>
  </r>
  <r>
    <x v="40"/>
    <n v="12754914"/>
    <x v="8"/>
    <n v="0"/>
    <m/>
    <n v="0"/>
    <m/>
    <n v="0"/>
    <m/>
    <n v="0"/>
    <m/>
    <n v="0"/>
    <m/>
    <n v="0"/>
    <m/>
    <n v="0"/>
    <m/>
    <n v="208"/>
    <m/>
    <n v="0"/>
    <m/>
    <n v="0"/>
    <m/>
    <n v="0"/>
    <n v="738"/>
    <n v="0"/>
    <n v="208"/>
    <n v="0"/>
  </r>
  <r>
    <x v="40"/>
    <n v="12754915"/>
    <x v="9"/>
    <n v="0"/>
    <m/>
    <n v="0"/>
    <m/>
    <n v="0"/>
    <m/>
    <n v="0"/>
    <m/>
    <n v="0"/>
    <m/>
    <n v="0"/>
    <m/>
    <n v="0"/>
    <m/>
    <n v="109"/>
    <m/>
    <n v="0"/>
    <m/>
    <n v="371"/>
    <m/>
    <n v="0"/>
    <n v="732"/>
    <n v="0"/>
    <n v="109"/>
    <n v="371"/>
  </r>
  <r>
    <x v="40"/>
    <n v="12754916"/>
    <x v="10"/>
    <n v="0"/>
    <m/>
    <n v="0"/>
    <m/>
    <n v="0"/>
    <m/>
    <n v="0"/>
    <m/>
    <n v="0"/>
    <m/>
    <n v="0"/>
    <m/>
    <n v="0"/>
    <m/>
    <n v="0"/>
    <m/>
    <n v="0"/>
    <m/>
    <n v="4"/>
    <m/>
    <n v="11"/>
    <n v="0"/>
    <n v="0"/>
    <n v="0"/>
    <n v="11"/>
  </r>
  <r>
    <x v="40"/>
    <n v="12754917"/>
    <x v="11"/>
    <n v="0"/>
    <m/>
    <n v="0"/>
    <m/>
    <n v="0"/>
    <m/>
    <n v="0"/>
    <m/>
    <n v="0"/>
    <m/>
    <n v="0"/>
    <m/>
    <n v="749"/>
    <m/>
    <n v="0"/>
    <m/>
    <n v="0"/>
    <m/>
    <n v="848"/>
    <m/>
    <n v="1028"/>
    <n v="814"/>
    <n v="0"/>
    <n v="749"/>
    <n v="1028"/>
  </r>
  <r>
    <x v="40"/>
    <n v="12754918"/>
    <x v="12"/>
    <n v="0"/>
    <m/>
    <n v="0"/>
    <m/>
    <n v="0"/>
    <m/>
    <n v="0"/>
    <m/>
    <n v="0"/>
    <m/>
    <n v="0"/>
    <m/>
    <n v="0"/>
    <m/>
    <n v="0"/>
    <m/>
    <n v="0"/>
    <m/>
    <n v="104"/>
    <m/>
    <n v="104"/>
    <n v="42"/>
    <n v="0"/>
    <n v="0"/>
    <n v="104"/>
  </r>
  <r>
    <x v="40"/>
    <n v="12754919"/>
    <x v="13"/>
    <n v="0"/>
    <m/>
    <n v="0"/>
    <m/>
    <n v="0"/>
    <m/>
    <n v="0"/>
    <m/>
    <n v="0"/>
    <m/>
    <n v="0"/>
    <m/>
    <n v="0"/>
    <m/>
    <n v="48"/>
    <m/>
    <n v="0"/>
    <m/>
    <n v="0"/>
    <m/>
    <n v="0"/>
    <n v="25"/>
    <n v="0"/>
    <n v="48"/>
    <n v="0"/>
  </r>
  <r>
    <x v="40"/>
    <n v="12754920"/>
    <x v="14"/>
    <n v="0"/>
    <m/>
    <n v="0"/>
    <m/>
    <n v="0"/>
    <m/>
    <n v="0"/>
    <m/>
    <n v="0"/>
    <m/>
    <n v="0"/>
    <m/>
    <n v="0"/>
    <m/>
    <n v="0"/>
    <m/>
    <n v="0"/>
    <m/>
    <n v="0"/>
    <m/>
    <n v="0"/>
    <n v="6"/>
    <n v="0"/>
    <n v="0"/>
    <n v="0"/>
  </r>
  <r>
    <x v="40"/>
    <n v="12754921"/>
    <x v="15"/>
    <n v="0"/>
    <m/>
    <n v="0"/>
    <m/>
    <n v="0"/>
    <m/>
    <n v="0"/>
    <m/>
    <n v="0"/>
    <m/>
    <n v="0"/>
    <m/>
    <n v="0"/>
    <m/>
    <n v="50"/>
    <m/>
    <n v="1"/>
    <m/>
    <n v="0"/>
    <m/>
    <n v="0"/>
    <n v="6"/>
    <n v="0"/>
    <n v="50"/>
    <n v="1"/>
  </r>
  <r>
    <x v="40"/>
    <n v="12754922"/>
    <x v="16"/>
    <n v="0"/>
    <m/>
    <n v="0"/>
    <m/>
    <n v="0"/>
    <m/>
    <n v="0"/>
    <m/>
    <n v="0"/>
    <m/>
    <n v="0"/>
    <m/>
    <n v="0"/>
    <m/>
    <n v="6"/>
    <m/>
    <n v="0"/>
    <m/>
    <n v="0"/>
    <m/>
    <n v="0"/>
    <n v="436"/>
    <n v="0"/>
    <n v="6"/>
    <n v="0"/>
  </r>
  <r>
    <x v="40"/>
    <n v="12754923"/>
    <x v="17"/>
    <n v="0"/>
    <m/>
    <n v="0"/>
    <m/>
    <n v="0"/>
    <m/>
    <n v="0"/>
    <m/>
    <n v="0"/>
    <m/>
    <n v="0"/>
    <m/>
    <n v="0"/>
    <m/>
    <n v="791"/>
    <m/>
    <n v="0"/>
    <m/>
    <n v="0"/>
    <m/>
    <n v="0"/>
    <n v="90"/>
    <n v="0"/>
    <n v="791"/>
    <n v="0"/>
  </r>
  <r>
    <x v="40"/>
    <n v="12754924"/>
    <x v="18"/>
    <n v="0"/>
    <m/>
    <n v="0"/>
    <m/>
    <n v="0"/>
    <m/>
    <n v="0"/>
    <m/>
    <n v="0"/>
    <m/>
    <n v="0"/>
    <m/>
    <n v="0"/>
    <m/>
    <n v="0"/>
    <m/>
    <n v="0"/>
    <m/>
    <n v="848"/>
    <m/>
    <n v="1028"/>
    <n v="749"/>
    <n v="0"/>
    <n v="0"/>
    <n v="1028"/>
  </r>
  <r>
    <x v="40"/>
    <n v="12754925"/>
    <x v="19"/>
    <n v="0"/>
    <m/>
    <n v="0"/>
    <m/>
    <n v="0"/>
    <m/>
    <n v="0"/>
    <m/>
    <n v="0"/>
    <m/>
    <n v="0"/>
    <m/>
    <n v="0"/>
    <m/>
    <n v="0"/>
    <m/>
    <n v="0"/>
    <m/>
    <n v="0"/>
    <m/>
    <n v="0"/>
    <n v="0"/>
    <n v="0"/>
    <n v="0"/>
    <n v="0"/>
  </r>
  <r>
    <x v="40"/>
    <n v="12754926"/>
    <x v="20"/>
    <n v="0"/>
    <m/>
    <n v="0"/>
    <m/>
    <n v="0"/>
    <m/>
    <n v="0"/>
    <m/>
    <n v="0"/>
    <m/>
    <n v="0"/>
    <m/>
    <n v="0"/>
    <m/>
    <n v="18"/>
    <m/>
    <n v="0"/>
    <m/>
    <n v="0"/>
    <m/>
    <n v="0"/>
    <n v="2"/>
    <n v="0"/>
    <n v="18"/>
    <n v="0"/>
  </r>
  <r>
    <x v="40"/>
    <n v="12754927"/>
    <x v="21"/>
    <n v="0"/>
    <m/>
    <n v="0"/>
    <m/>
    <n v="0"/>
    <m/>
    <n v="0"/>
    <m/>
    <n v="0"/>
    <m/>
    <n v="0"/>
    <m/>
    <n v="0"/>
    <m/>
    <n v="19"/>
    <m/>
    <n v="0"/>
    <m/>
    <n v="0"/>
    <m/>
    <n v="0"/>
    <n v="0"/>
    <n v="0"/>
    <n v="19"/>
    <n v="0"/>
  </r>
  <r>
    <x v="40"/>
    <n v="12754928"/>
    <x v="22"/>
    <n v="0"/>
    <m/>
    <n v="0"/>
    <m/>
    <n v="0"/>
    <m/>
    <n v="0"/>
    <m/>
    <n v="0"/>
    <m/>
    <n v="0"/>
    <m/>
    <n v="0"/>
    <m/>
    <n v="0"/>
    <m/>
    <n v="0"/>
    <m/>
    <n v="0"/>
    <m/>
    <n v="0"/>
    <n v="0"/>
    <n v="0"/>
    <n v="0"/>
    <n v="0"/>
  </r>
  <r>
    <x v="40"/>
    <n v="12754929"/>
    <x v="23"/>
    <n v="0"/>
    <m/>
    <n v="0"/>
    <m/>
    <n v="0"/>
    <m/>
    <n v="0"/>
    <m/>
    <n v="0"/>
    <m/>
    <n v="0"/>
    <m/>
    <n v="0"/>
    <m/>
    <n v="0"/>
    <m/>
    <n v="0"/>
    <m/>
    <n v="0"/>
    <m/>
    <n v="21983"/>
    <n v="0"/>
    <n v="0"/>
    <n v="0"/>
    <n v="21983"/>
  </r>
  <r>
    <x v="41"/>
    <n v="6926634.5000000009"/>
    <x v="0"/>
    <n v="49"/>
    <n v="7106229"/>
    <n v="53"/>
    <n v="7288383.0000000009"/>
    <n v="0"/>
    <n v="7473228.5"/>
    <n v="722"/>
    <n v="7661353.5000000019"/>
    <n v="964"/>
    <n v="7852795.0000000037"/>
    <n v="1490"/>
    <n v="8046679"/>
    <n v="1633"/>
    <n v="8243094.5000000047"/>
    <n v="1651"/>
    <n v="8442580"/>
    <n v="1619"/>
    <n v="8644828.9999999981"/>
    <n v="1369"/>
    <n v="8848698.5000000019"/>
    <n v="1641"/>
    <n v="584"/>
    <n v="722"/>
    <n v="1651"/>
    <n v="1641"/>
  </r>
  <r>
    <x v="41"/>
    <n v="6926635.5"/>
    <x v="1"/>
    <n v="0"/>
    <m/>
    <n v="0"/>
    <m/>
    <n v="0"/>
    <m/>
    <n v="2682"/>
    <m/>
    <n v="2838"/>
    <m/>
    <n v="3932"/>
    <m/>
    <n v="3902"/>
    <m/>
    <n v="4268"/>
    <m/>
    <n v="4910"/>
    <m/>
    <n v="3892"/>
    <m/>
    <n v="5260"/>
    <n v="1966"/>
    <n v="2682"/>
    <n v="4268"/>
    <n v="5260"/>
  </r>
  <r>
    <x v="41"/>
    <n v="6926636.5"/>
    <x v="2"/>
    <n v="0"/>
    <m/>
    <n v="1590"/>
    <m/>
    <n v="0"/>
    <m/>
    <n v="1738"/>
    <m/>
    <n v="1922"/>
    <m/>
    <n v="2536"/>
    <m/>
    <n v="2570"/>
    <m/>
    <n v="3238"/>
    <m/>
    <n v="3486"/>
    <m/>
    <n v="2964"/>
    <m/>
    <n v="3728"/>
    <n v="1268"/>
    <n v="1738"/>
    <n v="3238"/>
    <n v="3728"/>
  </r>
  <r>
    <x v="41"/>
    <n v="6926637.5"/>
    <x v="3"/>
    <n v="4"/>
    <m/>
    <n v="0"/>
    <m/>
    <n v="0"/>
    <m/>
    <n v="68"/>
    <m/>
    <n v="0"/>
    <m/>
    <n v="0"/>
    <m/>
    <n v="0"/>
    <m/>
    <n v="0"/>
    <m/>
    <n v="0"/>
    <m/>
    <n v="0"/>
    <m/>
    <n v="2076"/>
    <n v="226"/>
    <n v="68"/>
    <n v="0"/>
    <n v="2076"/>
  </r>
  <r>
    <x v="41"/>
    <n v="6926638.5"/>
    <x v="4"/>
    <n v="0"/>
    <m/>
    <n v="0"/>
    <m/>
    <n v="0"/>
    <m/>
    <n v="0"/>
    <m/>
    <n v="0"/>
    <m/>
    <n v="0"/>
    <m/>
    <n v="0"/>
    <m/>
    <n v="0"/>
    <m/>
    <n v="0"/>
    <m/>
    <n v="0"/>
    <m/>
    <n v="985"/>
    <n v="21"/>
    <n v="0"/>
    <n v="0"/>
    <n v="985"/>
  </r>
  <r>
    <x v="41"/>
    <n v="6926639.5"/>
    <x v="5"/>
    <n v="0"/>
    <m/>
    <n v="0"/>
    <m/>
    <n v="0"/>
    <m/>
    <n v="0"/>
    <m/>
    <n v="0"/>
    <m/>
    <n v="7545"/>
    <m/>
    <n v="7086"/>
    <m/>
    <n v="0"/>
    <m/>
    <n v="7386"/>
    <m/>
    <n v="7500"/>
    <m/>
    <n v="0"/>
    <n v="7500"/>
    <n v="0"/>
    <n v="7545"/>
    <n v="7500"/>
  </r>
  <r>
    <x v="41"/>
    <n v="6926640.5"/>
    <x v="6"/>
    <n v="0"/>
    <m/>
    <n v="0"/>
    <m/>
    <n v="0"/>
    <m/>
    <n v="0"/>
    <m/>
    <n v="0"/>
    <m/>
    <n v="0"/>
    <m/>
    <n v="0"/>
    <m/>
    <n v="0"/>
    <m/>
    <n v="0"/>
    <m/>
    <n v="0"/>
    <m/>
    <n v="0"/>
    <n v="12"/>
    <n v="0"/>
    <n v="0"/>
    <n v="0"/>
  </r>
  <r>
    <x v="41"/>
    <n v="6926641.5"/>
    <x v="7"/>
    <n v="0"/>
    <m/>
    <n v="0"/>
    <m/>
    <n v="0"/>
    <m/>
    <n v="0"/>
    <m/>
    <n v="0"/>
    <m/>
    <n v="0"/>
    <m/>
    <n v="0"/>
    <m/>
    <n v="0"/>
    <m/>
    <n v="0"/>
    <m/>
    <n v="0"/>
    <m/>
    <n v="0"/>
    <n v="340"/>
    <n v="0"/>
    <n v="0"/>
    <n v="0"/>
  </r>
  <r>
    <x v="41"/>
    <n v="6926642.5"/>
    <x v="8"/>
    <n v="0"/>
    <m/>
    <n v="0"/>
    <m/>
    <n v="0"/>
    <m/>
    <n v="0"/>
    <m/>
    <n v="2249"/>
    <m/>
    <n v="3474"/>
    <m/>
    <n v="3903"/>
    <m/>
    <n v="3845"/>
    <m/>
    <n v="4622"/>
    <m/>
    <n v="2974"/>
    <m/>
    <n v="0"/>
    <n v="3413"/>
    <n v="0"/>
    <n v="3903"/>
    <n v="4622"/>
  </r>
  <r>
    <x v="41"/>
    <n v="6926643.5"/>
    <x v="9"/>
    <n v="0"/>
    <m/>
    <n v="0"/>
    <m/>
    <n v="0"/>
    <m/>
    <n v="0"/>
    <m/>
    <n v="0"/>
    <m/>
    <n v="0"/>
    <m/>
    <n v="0"/>
    <m/>
    <n v="0"/>
    <m/>
    <n v="0"/>
    <m/>
    <n v="0"/>
    <m/>
    <n v="1377"/>
    <n v="63"/>
    <n v="0"/>
    <n v="0"/>
    <n v="1377"/>
  </r>
  <r>
    <x v="41"/>
    <n v="6926644.5"/>
    <x v="10"/>
    <n v="0"/>
    <m/>
    <n v="0"/>
    <m/>
    <n v="0"/>
    <m/>
    <n v="0"/>
    <m/>
    <n v="50"/>
    <m/>
    <n v="64"/>
    <m/>
    <n v="55"/>
    <m/>
    <n v="16"/>
    <m/>
    <n v="8"/>
    <m/>
    <n v="19"/>
    <m/>
    <n v="19"/>
    <n v="2"/>
    <n v="0"/>
    <n v="64"/>
    <n v="19"/>
  </r>
  <r>
    <x v="41"/>
    <n v="6926645.5"/>
    <x v="11"/>
    <n v="0"/>
    <m/>
    <n v="0"/>
    <m/>
    <n v="0"/>
    <m/>
    <n v="407"/>
    <m/>
    <n v="276"/>
    <m/>
    <n v="454"/>
    <m/>
    <n v="460"/>
    <m/>
    <n v="518"/>
    <m/>
    <n v="589"/>
    <m/>
    <n v="446"/>
    <m/>
    <n v="0"/>
    <n v="857"/>
    <n v="407"/>
    <n v="518"/>
    <n v="589"/>
  </r>
  <r>
    <x v="41"/>
    <n v="6926646.5"/>
    <x v="12"/>
    <n v="0"/>
    <m/>
    <n v="0"/>
    <m/>
    <n v="0"/>
    <m/>
    <n v="0"/>
    <m/>
    <n v="0"/>
    <m/>
    <n v="0"/>
    <m/>
    <n v="0"/>
    <m/>
    <n v="0"/>
    <m/>
    <n v="997"/>
    <m/>
    <n v="0"/>
    <m/>
    <n v="595"/>
    <n v="1075"/>
    <n v="0"/>
    <n v="0"/>
    <n v="997"/>
  </r>
  <r>
    <x v="41"/>
    <n v="6926647.5"/>
    <x v="13"/>
    <n v="0"/>
    <m/>
    <n v="0"/>
    <m/>
    <n v="0"/>
    <m/>
    <n v="0"/>
    <m/>
    <n v="112"/>
    <m/>
    <n v="151"/>
    <m/>
    <n v="148"/>
    <m/>
    <n v="139"/>
    <m/>
    <n v="280"/>
    <m/>
    <n v="95"/>
    <m/>
    <n v="0"/>
    <n v="23"/>
    <n v="0"/>
    <n v="151"/>
    <n v="280"/>
  </r>
  <r>
    <x v="41"/>
    <n v="6926648.5"/>
    <x v="14"/>
    <n v="0"/>
    <m/>
    <n v="0"/>
    <m/>
    <n v="0"/>
    <m/>
    <n v="0"/>
    <m/>
    <n v="0"/>
    <m/>
    <n v="0"/>
    <m/>
    <n v="0"/>
    <m/>
    <n v="0"/>
    <m/>
    <n v="0"/>
    <m/>
    <n v="0"/>
    <m/>
    <n v="0"/>
    <n v="0"/>
    <n v="0"/>
    <n v="0"/>
    <n v="0"/>
  </r>
  <r>
    <x v="41"/>
    <n v="6926649.5"/>
    <x v="15"/>
    <n v="0"/>
    <m/>
    <n v="0"/>
    <m/>
    <n v="0"/>
    <m/>
    <n v="0"/>
    <m/>
    <n v="2"/>
    <m/>
    <n v="6"/>
    <m/>
    <n v="5"/>
    <m/>
    <n v="4"/>
    <m/>
    <n v="3"/>
    <m/>
    <n v="1"/>
    <m/>
    <n v="2"/>
    <n v="2"/>
    <n v="0"/>
    <n v="6"/>
    <n v="3"/>
  </r>
  <r>
    <x v="41"/>
    <n v="6926650.5"/>
    <x v="16"/>
    <n v="0"/>
    <m/>
    <n v="0"/>
    <m/>
    <n v="0"/>
    <m/>
    <n v="0"/>
    <m/>
    <n v="1340"/>
    <m/>
    <n v="1364"/>
    <m/>
    <n v="1353"/>
    <m/>
    <n v="1353"/>
    <m/>
    <n v="2137"/>
    <m/>
    <n v="2139"/>
    <m/>
    <n v="0"/>
    <n v="4010"/>
    <n v="0"/>
    <n v="1364"/>
    <n v="2139"/>
  </r>
  <r>
    <x v="41"/>
    <n v="6926651.5"/>
    <x v="17"/>
    <n v="0"/>
    <m/>
    <n v="0"/>
    <m/>
    <n v="0"/>
    <m/>
    <n v="0"/>
    <m/>
    <n v="1264"/>
    <m/>
    <n v="1806"/>
    <m/>
    <n v="1554"/>
    <m/>
    <n v="1948"/>
    <m/>
    <n v="1371"/>
    <m/>
    <n v="0"/>
    <m/>
    <n v="0"/>
    <n v="360"/>
    <n v="0"/>
    <n v="1948"/>
    <n v="1371"/>
  </r>
  <r>
    <x v="41"/>
    <n v="6926652.5"/>
    <x v="18"/>
    <n v="0"/>
    <m/>
    <n v="0"/>
    <m/>
    <n v="0"/>
    <m/>
    <n v="0"/>
    <m/>
    <n v="129"/>
    <m/>
    <n v="201"/>
    <m/>
    <n v="183"/>
    <m/>
    <n v="195"/>
    <m/>
    <n v="338"/>
    <m/>
    <n v="149"/>
    <m/>
    <n v="887"/>
    <n v="615"/>
    <n v="0"/>
    <n v="201"/>
    <n v="887"/>
  </r>
  <r>
    <x v="41"/>
    <n v="6926653.5"/>
    <x v="19"/>
    <n v="0"/>
    <m/>
    <n v="0"/>
    <m/>
    <n v="0"/>
    <m/>
    <n v="0"/>
    <m/>
    <n v="638"/>
    <m/>
    <n v="945"/>
    <m/>
    <n v="978"/>
    <m/>
    <n v="817"/>
    <m/>
    <n v="0"/>
    <m/>
    <n v="813"/>
    <m/>
    <n v="390"/>
    <n v="0"/>
    <n v="0"/>
    <n v="978"/>
    <n v="813"/>
  </r>
  <r>
    <x v="41"/>
    <n v="6926654.5"/>
    <x v="20"/>
    <n v="0"/>
    <m/>
    <n v="0"/>
    <m/>
    <n v="0"/>
    <m/>
    <n v="231"/>
    <m/>
    <n v="152"/>
    <m/>
    <n v="174"/>
    <m/>
    <n v="160"/>
    <m/>
    <n v="175"/>
    <m/>
    <n v="230"/>
    <m/>
    <n v="161"/>
    <m/>
    <n v="183"/>
    <n v="252"/>
    <n v="231"/>
    <n v="175"/>
    <n v="230"/>
  </r>
  <r>
    <x v="41"/>
    <n v="6926655.5"/>
    <x v="21"/>
    <n v="0"/>
    <m/>
    <n v="0"/>
    <m/>
    <n v="0"/>
    <m/>
    <n v="0"/>
    <m/>
    <n v="14"/>
    <m/>
    <n v="62"/>
    <m/>
    <n v="62"/>
    <m/>
    <n v="62"/>
    <m/>
    <n v="66"/>
    <m/>
    <n v="56"/>
    <m/>
    <n v="0"/>
    <n v="0"/>
    <n v="0"/>
    <n v="62"/>
    <n v="66"/>
  </r>
  <r>
    <x v="41"/>
    <n v="6926656.5"/>
    <x v="22"/>
    <n v="0"/>
    <m/>
    <n v="0"/>
    <m/>
    <n v="0"/>
    <m/>
    <n v="0"/>
    <m/>
    <n v="9"/>
    <m/>
    <n v="21"/>
    <m/>
    <n v="25"/>
    <m/>
    <n v="35"/>
    <m/>
    <n v="83"/>
    <m/>
    <n v="33"/>
    <m/>
    <n v="0"/>
    <n v="0"/>
    <n v="0"/>
    <n v="35"/>
    <n v="83"/>
  </r>
  <r>
    <x v="41"/>
    <n v="6926657.5"/>
    <x v="23"/>
    <n v="0"/>
    <m/>
    <n v="0"/>
    <m/>
    <n v="0"/>
    <m/>
    <n v="0"/>
    <m/>
    <n v="0"/>
    <m/>
    <n v="0"/>
    <m/>
    <n v="0"/>
    <m/>
    <n v="0"/>
    <m/>
    <n v="0"/>
    <m/>
    <n v="0"/>
    <m/>
    <n v="0"/>
    <n v="987"/>
    <n v="0"/>
    <n v="0"/>
    <n v="0"/>
  </r>
  <r>
    <x v="42"/>
    <n v="47786137.499999993"/>
    <x v="0"/>
    <n v="2962"/>
    <n v="49253643.5"/>
    <n v="0"/>
    <n v="50814551.500000022"/>
    <n v="6036"/>
    <n v="52542823.5"/>
    <n v="0"/>
    <n v="54401801.500000007"/>
    <n v="67"/>
    <n v="56267032.000000007"/>
    <n v="0"/>
    <n v="58090443.000000007"/>
    <n v="5770"/>
    <n v="59872579"/>
    <n v="0"/>
    <n v="61704517.99999997"/>
    <n v="0"/>
    <n v="63588333.999999993"/>
    <n v="0"/>
    <n v="65497748.000000045"/>
    <n v="17386"/>
    <n v="2885"/>
    <n v="6036"/>
    <n v="5770"/>
    <n v="17386"/>
  </r>
  <r>
    <x v="42"/>
    <n v="47786138.5"/>
    <x v="1"/>
    <n v="41600"/>
    <m/>
    <n v="0"/>
    <m/>
    <n v="43104"/>
    <m/>
    <n v="0"/>
    <m/>
    <n v="0"/>
    <m/>
    <n v="63880"/>
    <m/>
    <n v="63880"/>
    <m/>
    <n v="0"/>
    <m/>
    <n v="0"/>
    <m/>
    <n v="0"/>
    <m/>
    <n v="0"/>
    <n v="31940"/>
    <n v="43104"/>
    <n v="63880"/>
    <n v="0"/>
  </r>
  <r>
    <x v="42"/>
    <n v="47786139.5"/>
    <x v="2"/>
    <n v="0"/>
    <m/>
    <n v="0"/>
    <m/>
    <n v="0"/>
    <m/>
    <n v="0"/>
    <m/>
    <n v="0"/>
    <m/>
    <n v="0"/>
    <m/>
    <n v="0"/>
    <m/>
    <n v="0"/>
    <m/>
    <n v="0"/>
    <m/>
    <n v="0"/>
    <m/>
    <n v="0"/>
    <n v="0"/>
    <n v="0"/>
    <n v="0"/>
    <n v="0"/>
  </r>
  <r>
    <x v="42"/>
    <n v="47786140.5"/>
    <x v="3"/>
    <n v="20962"/>
    <m/>
    <n v="0"/>
    <m/>
    <n v="0"/>
    <m/>
    <n v="53"/>
    <m/>
    <n v="1200"/>
    <m/>
    <n v="1223"/>
    <m/>
    <n v="378"/>
    <m/>
    <n v="0"/>
    <m/>
    <n v="0"/>
    <m/>
    <n v="16"/>
    <m/>
    <n v="656"/>
    <n v="1845"/>
    <n v="20962"/>
    <n v="1223"/>
    <n v="656"/>
  </r>
  <r>
    <x v="42"/>
    <n v="47786141.5"/>
    <x v="4"/>
    <n v="9658"/>
    <m/>
    <n v="0"/>
    <m/>
    <n v="0"/>
    <m/>
    <n v="0"/>
    <m/>
    <n v="0"/>
    <m/>
    <n v="282"/>
    <m/>
    <n v="233"/>
    <m/>
    <n v="0"/>
    <m/>
    <n v="0"/>
    <m/>
    <n v="18"/>
    <m/>
    <n v="465"/>
    <n v="682"/>
    <n v="9658"/>
    <n v="282"/>
    <n v="465"/>
  </r>
  <r>
    <x v="42"/>
    <n v="47786142.5"/>
    <x v="5"/>
    <n v="0"/>
    <m/>
    <n v="0"/>
    <m/>
    <n v="0"/>
    <m/>
    <n v="0"/>
    <m/>
    <n v="0"/>
    <m/>
    <n v="0"/>
    <m/>
    <n v="0"/>
    <m/>
    <n v="0"/>
    <m/>
    <n v="0"/>
    <m/>
    <n v="0"/>
    <m/>
    <n v="20737"/>
    <n v="0"/>
    <n v="0"/>
    <n v="0"/>
    <n v="20737"/>
  </r>
  <r>
    <x v="42"/>
    <n v="47786143.5"/>
    <x v="6"/>
    <n v="0"/>
    <m/>
    <n v="0"/>
    <m/>
    <n v="0"/>
    <m/>
    <n v="0"/>
    <m/>
    <n v="0"/>
    <m/>
    <n v="49"/>
    <m/>
    <n v="855"/>
    <m/>
    <n v="0"/>
    <m/>
    <n v="0"/>
    <m/>
    <n v="0"/>
    <m/>
    <n v="65"/>
    <n v="148"/>
    <n v="0"/>
    <n v="855"/>
    <n v="65"/>
  </r>
  <r>
    <x v="42"/>
    <n v="47786144.5"/>
    <x v="7"/>
    <n v="3255"/>
    <m/>
    <n v="0"/>
    <m/>
    <n v="0"/>
    <m/>
    <n v="0"/>
    <m/>
    <n v="0"/>
    <m/>
    <n v="566"/>
    <m/>
    <n v="1905"/>
    <m/>
    <n v="0"/>
    <m/>
    <n v="0"/>
    <m/>
    <n v="0"/>
    <m/>
    <n v="929"/>
    <n v="578"/>
    <n v="3255"/>
    <n v="1905"/>
    <n v="929"/>
  </r>
  <r>
    <x v="42"/>
    <n v="47786145.5"/>
    <x v="8"/>
    <n v="0"/>
    <m/>
    <n v="0"/>
    <m/>
    <n v="0"/>
    <m/>
    <n v="0"/>
    <m/>
    <n v="0"/>
    <m/>
    <n v="0"/>
    <m/>
    <n v="0"/>
    <m/>
    <n v="0"/>
    <m/>
    <n v="0"/>
    <m/>
    <n v="0"/>
    <m/>
    <n v="0"/>
    <n v="25803"/>
    <n v="0"/>
    <n v="0"/>
    <n v="0"/>
  </r>
  <r>
    <x v="42"/>
    <n v="47786146.5"/>
    <x v="9"/>
    <n v="0"/>
    <m/>
    <n v="0"/>
    <m/>
    <n v="0"/>
    <m/>
    <n v="0"/>
    <m/>
    <n v="0"/>
    <m/>
    <n v="0"/>
    <m/>
    <n v="0"/>
    <m/>
    <n v="0"/>
    <m/>
    <n v="0"/>
    <m/>
    <n v="0"/>
    <m/>
    <n v="0"/>
    <n v="633"/>
    <n v="0"/>
    <n v="0"/>
    <n v="0"/>
  </r>
  <r>
    <x v="42"/>
    <n v="47786147.5"/>
    <x v="10"/>
    <n v="60"/>
    <m/>
    <n v="0"/>
    <m/>
    <n v="0"/>
    <m/>
    <n v="0"/>
    <m/>
    <n v="0"/>
    <m/>
    <n v="0"/>
    <m/>
    <n v="89"/>
    <m/>
    <n v="0"/>
    <m/>
    <n v="0"/>
    <m/>
    <n v="0"/>
    <m/>
    <n v="12"/>
    <n v="73"/>
    <n v="60"/>
    <n v="89"/>
    <n v="12"/>
  </r>
  <r>
    <x v="42"/>
    <n v="47786148.5"/>
    <x v="11"/>
    <n v="89"/>
    <m/>
    <n v="0"/>
    <m/>
    <n v="93"/>
    <m/>
    <n v="0"/>
    <m/>
    <n v="0"/>
    <m/>
    <n v="0"/>
    <m/>
    <n v="4361"/>
    <m/>
    <n v="0"/>
    <m/>
    <n v="0"/>
    <m/>
    <n v="0"/>
    <m/>
    <n v="1198"/>
    <n v="3028"/>
    <n v="93"/>
    <n v="4361"/>
    <n v="1198"/>
  </r>
  <r>
    <x v="42"/>
    <n v="47786149.5"/>
    <x v="12"/>
    <n v="0"/>
    <m/>
    <n v="0"/>
    <m/>
    <n v="0"/>
    <m/>
    <n v="0"/>
    <m/>
    <n v="0"/>
    <m/>
    <n v="0"/>
    <m/>
    <n v="0"/>
    <m/>
    <n v="0"/>
    <m/>
    <n v="0"/>
    <m/>
    <n v="0"/>
    <m/>
    <n v="2337"/>
    <n v="9250"/>
    <n v="0"/>
    <n v="0"/>
    <n v="2337"/>
  </r>
  <r>
    <x v="42"/>
    <n v="47786150.5"/>
    <x v="13"/>
    <n v="223"/>
    <m/>
    <n v="0"/>
    <m/>
    <n v="0"/>
    <m/>
    <n v="0"/>
    <m/>
    <n v="0"/>
    <m/>
    <n v="0"/>
    <m/>
    <n v="0"/>
    <m/>
    <n v="0"/>
    <m/>
    <n v="0"/>
    <m/>
    <n v="0"/>
    <m/>
    <n v="543"/>
    <n v="681"/>
    <n v="223"/>
    <n v="0"/>
    <n v="543"/>
  </r>
  <r>
    <x v="42"/>
    <n v="47786151.5"/>
    <x v="14"/>
    <n v="470"/>
    <m/>
    <n v="0"/>
    <m/>
    <n v="0"/>
    <m/>
    <n v="0"/>
    <m/>
    <n v="0"/>
    <m/>
    <n v="0"/>
    <m/>
    <n v="0"/>
    <m/>
    <n v="0"/>
    <m/>
    <n v="0"/>
    <m/>
    <n v="0"/>
    <m/>
    <n v="724"/>
    <n v="724"/>
    <n v="470"/>
    <n v="0"/>
    <n v="724"/>
  </r>
  <r>
    <x v="42"/>
    <n v="47786152.5"/>
    <x v="15"/>
    <n v="82"/>
    <m/>
    <n v="0"/>
    <m/>
    <n v="0"/>
    <m/>
    <n v="0"/>
    <m/>
    <n v="0"/>
    <m/>
    <n v="0"/>
    <m/>
    <n v="0"/>
    <m/>
    <n v="0"/>
    <m/>
    <n v="0"/>
    <m/>
    <n v="0"/>
    <m/>
    <n v="201"/>
    <n v="213"/>
    <n v="82"/>
    <n v="0"/>
    <n v="201"/>
  </r>
  <r>
    <x v="42"/>
    <n v="47786153.5"/>
    <x v="16"/>
    <n v="0"/>
    <m/>
    <n v="0"/>
    <m/>
    <n v="0"/>
    <m/>
    <n v="0"/>
    <m/>
    <n v="0"/>
    <m/>
    <n v="0"/>
    <m/>
    <n v="0"/>
    <m/>
    <n v="0"/>
    <m/>
    <n v="0"/>
    <m/>
    <n v="0"/>
    <m/>
    <n v="0"/>
    <n v="0"/>
    <n v="0"/>
    <n v="0"/>
    <n v="0"/>
  </r>
  <r>
    <x v="42"/>
    <n v="47786154.5"/>
    <x v="17"/>
    <n v="0"/>
    <m/>
    <n v="0"/>
    <m/>
    <n v="0"/>
    <m/>
    <n v="0"/>
    <m/>
    <n v="0"/>
    <m/>
    <n v="0"/>
    <m/>
    <n v="0"/>
    <m/>
    <n v="0"/>
    <m/>
    <n v="0"/>
    <m/>
    <n v="0"/>
    <m/>
    <n v="2"/>
    <n v="3630"/>
    <n v="0"/>
    <n v="0"/>
    <n v="2"/>
  </r>
  <r>
    <x v="42"/>
    <n v="47786155.5"/>
    <x v="18"/>
    <n v="1997"/>
    <m/>
    <n v="0"/>
    <m/>
    <n v="2508"/>
    <m/>
    <n v="0"/>
    <m/>
    <n v="0"/>
    <m/>
    <n v="0"/>
    <m/>
    <n v="0"/>
    <m/>
    <n v="0"/>
    <m/>
    <n v="0"/>
    <m/>
    <n v="0"/>
    <m/>
    <n v="4743"/>
    <n v="4361"/>
    <n v="2508"/>
    <n v="0"/>
    <n v="4743"/>
  </r>
  <r>
    <x v="42"/>
    <n v="47786156.5"/>
    <x v="19"/>
    <n v="8787"/>
    <m/>
    <n v="0"/>
    <m/>
    <n v="10536"/>
    <m/>
    <n v="0"/>
    <m/>
    <n v="0"/>
    <m/>
    <n v="0"/>
    <m/>
    <n v="0"/>
    <m/>
    <n v="0"/>
    <m/>
    <n v="0"/>
    <m/>
    <n v="0"/>
    <m/>
    <n v="71119"/>
    <n v="1963"/>
    <n v="10536"/>
    <n v="0"/>
    <n v="71119"/>
  </r>
  <r>
    <x v="42"/>
    <n v="47786157.5"/>
    <x v="20"/>
    <n v="130"/>
    <m/>
    <n v="0"/>
    <m/>
    <n v="0"/>
    <m/>
    <n v="0"/>
    <m/>
    <n v="0"/>
    <m/>
    <n v="0"/>
    <m/>
    <n v="0"/>
    <m/>
    <n v="0"/>
    <m/>
    <n v="0"/>
    <m/>
    <n v="0"/>
    <m/>
    <n v="1358"/>
    <n v="103"/>
    <n v="130"/>
    <n v="0"/>
    <n v="1358"/>
  </r>
  <r>
    <x v="42"/>
    <n v="47786158.5"/>
    <x v="21"/>
    <n v="0"/>
    <m/>
    <n v="0"/>
    <m/>
    <n v="0"/>
    <m/>
    <n v="0"/>
    <m/>
    <n v="0"/>
    <m/>
    <n v="0"/>
    <m/>
    <n v="0"/>
    <m/>
    <n v="0"/>
    <m/>
    <n v="0"/>
    <m/>
    <n v="0"/>
    <m/>
    <n v="0"/>
    <n v="0"/>
    <n v="0"/>
    <n v="0"/>
    <n v="0"/>
  </r>
  <r>
    <x v="42"/>
    <n v="47786159.5"/>
    <x v="22"/>
    <n v="0"/>
    <m/>
    <n v="0"/>
    <m/>
    <n v="0"/>
    <m/>
    <n v="0"/>
    <m/>
    <n v="0"/>
    <m/>
    <n v="0"/>
    <m/>
    <n v="0"/>
    <m/>
    <n v="0"/>
    <m/>
    <n v="0"/>
    <m/>
    <n v="0"/>
    <m/>
    <n v="2"/>
    <n v="2"/>
    <n v="0"/>
    <n v="0"/>
    <n v="2"/>
  </r>
  <r>
    <x v="42"/>
    <n v="47786160.5"/>
    <x v="23"/>
    <n v="0"/>
    <m/>
    <n v="0"/>
    <m/>
    <n v="0"/>
    <m/>
    <n v="0"/>
    <m/>
    <n v="0"/>
    <m/>
    <n v="0"/>
    <m/>
    <n v="0"/>
    <m/>
    <n v="0"/>
    <m/>
    <n v="0"/>
    <m/>
    <n v="0"/>
    <m/>
    <n v="4710"/>
    <n v="15200"/>
    <n v="0"/>
    <n v="0"/>
    <n v="4710"/>
  </r>
  <r>
    <x v="43"/>
    <n v="34273295.000000015"/>
    <x v="0"/>
    <n v="6740"/>
    <n v="35273569.999999993"/>
    <n v="0"/>
    <n v="36336539.50000003"/>
    <n v="0"/>
    <n v="37477355.999999978"/>
    <n v="7290"/>
    <n v="38748298.999999978"/>
    <n v="42"/>
    <n v="40127084.999999978"/>
    <n v="13836"/>
    <n v="41515395.000000015"/>
    <n v="0"/>
    <n v="42949080.000000015"/>
    <n v="0"/>
    <n v="44404611.000000007"/>
    <n v="14062"/>
    <n v="45853778.000000022"/>
    <n v="0"/>
    <n v="47249584.999999978"/>
    <n v="17454"/>
    <n v="17186"/>
    <n v="7290"/>
    <n v="13836"/>
    <n v="17454"/>
  </r>
  <r>
    <x v="43"/>
    <n v="34273296"/>
    <x v="1"/>
    <n v="81632"/>
    <m/>
    <n v="80298"/>
    <m/>
    <n v="90776"/>
    <m/>
    <n v="101362"/>
    <m/>
    <n v="110456"/>
    <m/>
    <n v="120912"/>
    <m/>
    <n v="105814"/>
    <m/>
    <n v="0"/>
    <m/>
    <n v="102654"/>
    <m/>
    <n v="0"/>
    <m/>
    <n v="148394"/>
    <n v="16407"/>
    <n v="101362"/>
    <n v="120912"/>
    <n v="148394"/>
  </r>
  <r>
    <x v="43"/>
    <n v="34273297"/>
    <x v="2"/>
    <n v="0"/>
    <m/>
    <n v="14000"/>
    <m/>
    <n v="0"/>
    <m/>
    <n v="17630"/>
    <m/>
    <n v="19604"/>
    <m/>
    <n v="0"/>
    <m/>
    <n v="0"/>
    <m/>
    <n v="0"/>
    <m/>
    <n v="47092"/>
    <m/>
    <n v="0"/>
    <m/>
    <n v="65914"/>
    <n v="7237"/>
    <n v="17630"/>
    <n v="19604"/>
    <n v="65914"/>
  </r>
  <r>
    <x v="43"/>
    <n v="34273298"/>
    <x v="3"/>
    <n v="72"/>
    <m/>
    <n v="0"/>
    <m/>
    <n v="0"/>
    <m/>
    <n v="0"/>
    <m/>
    <n v="0"/>
    <m/>
    <n v="0"/>
    <m/>
    <n v="0"/>
    <m/>
    <n v="2202"/>
    <m/>
    <n v="0"/>
    <m/>
    <n v="17"/>
    <m/>
    <n v="170"/>
    <n v="324"/>
    <n v="72"/>
    <n v="2202"/>
    <n v="170"/>
  </r>
  <r>
    <x v="43"/>
    <n v="34273299"/>
    <x v="4"/>
    <n v="0"/>
    <m/>
    <n v="0"/>
    <m/>
    <n v="0"/>
    <m/>
    <n v="0"/>
    <m/>
    <n v="0"/>
    <m/>
    <n v="0"/>
    <m/>
    <n v="0"/>
    <m/>
    <n v="1045"/>
    <m/>
    <n v="0"/>
    <m/>
    <n v="111"/>
    <m/>
    <n v="0"/>
    <n v="26"/>
    <n v="0"/>
    <n v="1045"/>
    <n v="111"/>
  </r>
  <r>
    <x v="43"/>
    <n v="34273300"/>
    <x v="5"/>
    <n v="0"/>
    <m/>
    <n v="0"/>
    <m/>
    <n v="0"/>
    <m/>
    <n v="179175"/>
    <m/>
    <n v="0"/>
    <m/>
    <n v="0"/>
    <m/>
    <n v="0"/>
    <m/>
    <n v="179000"/>
    <m/>
    <n v="0"/>
    <m/>
    <n v="0"/>
    <m/>
    <n v="0"/>
    <n v="0"/>
    <n v="179175"/>
    <n v="179000"/>
    <n v="0"/>
  </r>
  <r>
    <x v="43"/>
    <n v="34273301"/>
    <x v="6"/>
    <n v="0"/>
    <m/>
    <n v="0"/>
    <m/>
    <n v="0"/>
    <m/>
    <n v="0"/>
    <m/>
    <n v="0"/>
    <m/>
    <n v="0"/>
    <m/>
    <n v="0"/>
    <m/>
    <n v="0"/>
    <m/>
    <n v="0"/>
    <m/>
    <n v="0"/>
    <m/>
    <n v="0"/>
    <n v="3"/>
    <n v="0"/>
    <n v="0"/>
    <n v="0"/>
  </r>
  <r>
    <x v="43"/>
    <n v="34273302"/>
    <x v="7"/>
    <n v="0"/>
    <m/>
    <n v="0"/>
    <m/>
    <n v="0"/>
    <m/>
    <n v="0"/>
    <m/>
    <n v="5112"/>
    <m/>
    <n v="0"/>
    <m/>
    <n v="0"/>
    <m/>
    <n v="0"/>
    <m/>
    <n v="0"/>
    <m/>
    <n v="0"/>
    <m/>
    <n v="0"/>
    <n v="16"/>
    <n v="0"/>
    <n v="5112"/>
    <n v="0"/>
  </r>
  <r>
    <x v="43"/>
    <n v="34273303"/>
    <x v="8"/>
    <n v="0"/>
    <m/>
    <n v="0"/>
    <m/>
    <n v="0"/>
    <m/>
    <n v="0"/>
    <m/>
    <n v="0"/>
    <m/>
    <n v="0"/>
    <m/>
    <n v="0"/>
    <m/>
    <n v="0"/>
    <m/>
    <n v="0"/>
    <m/>
    <n v="0"/>
    <m/>
    <n v="0"/>
    <n v="527"/>
    <n v="0"/>
    <n v="0"/>
    <n v="0"/>
  </r>
  <r>
    <x v="43"/>
    <n v="34273304"/>
    <x v="9"/>
    <n v="0"/>
    <m/>
    <n v="0"/>
    <m/>
    <n v="0"/>
    <m/>
    <n v="0"/>
    <m/>
    <n v="0"/>
    <m/>
    <n v="0"/>
    <m/>
    <n v="0"/>
    <m/>
    <n v="0"/>
    <m/>
    <n v="0"/>
    <m/>
    <n v="0"/>
    <m/>
    <n v="0"/>
    <n v="0"/>
    <n v="0"/>
    <n v="0"/>
    <n v="0"/>
  </r>
  <r>
    <x v="43"/>
    <n v="34273305"/>
    <x v="10"/>
    <n v="0"/>
    <m/>
    <n v="0"/>
    <m/>
    <n v="0"/>
    <m/>
    <n v="227"/>
    <m/>
    <n v="0"/>
    <m/>
    <n v="0"/>
    <m/>
    <n v="0"/>
    <m/>
    <n v="30"/>
    <m/>
    <n v="0"/>
    <m/>
    <n v="0"/>
    <m/>
    <n v="0"/>
    <n v="0"/>
    <n v="227"/>
    <n v="30"/>
    <n v="0"/>
  </r>
  <r>
    <x v="43"/>
    <n v="34273306"/>
    <x v="11"/>
    <n v="0"/>
    <m/>
    <n v="0"/>
    <m/>
    <n v="0"/>
    <m/>
    <n v="0"/>
    <m/>
    <n v="0"/>
    <m/>
    <n v="0"/>
    <m/>
    <n v="3874"/>
    <m/>
    <n v="0"/>
    <m/>
    <n v="0"/>
    <m/>
    <n v="0"/>
    <m/>
    <n v="3309"/>
    <n v="526"/>
    <n v="0"/>
    <n v="3874"/>
    <n v="3309"/>
  </r>
  <r>
    <x v="43"/>
    <n v="34273307"/>
    <x v="12"/>
    <n v="0"/>
    <m/>
    <n v="0"/>
    <m/>
    <n v="0"/>
    <m/>
    <n v="0"/>
    <m/>
    <n v="0"/>
    <m/>
    <n v="0"/>
    <m/>
    <n v="0"/>
    <m/>
    <n v="0"/>
    <m/>
    <n v="0"/>
    <m/>
    <n v="0"/>
    <m/>
    <n v="14531"/>
    <n v="3505"/>
    <n v="0"/>
    <n v="0"/>
    <n v="14531"/>
  </r>
  <r>
    <x v="43"/>
    <n v="34273308"/>
    <x v="13"/>
    <n v="0"/>
    <m/>
    <n v="0"/>
    <m/>
    <n v="0"/>
    <m/>
    <n v="121"/>
    <m/>
    <n v="0"/>
    <m/>
    <n v="0"/>
    <m/>
    <n v="0"/>
    <m/>
    <n v="0"/>
    <m/>
    <n v="0"/>
    <m/>
    <n v="0"/>
    <m/>
    <n v="1249"/>
    <n v="42"/>
    <n v="121"/>
    <n v="0"/>
    <n v="1249"/>
  </r>
  <r>
    <x v="43"/>
    <n v="34273309"/>
    <x v="14"/>
    <n v="0"/>
    <m/>
    <n v="0"/>
    <m/>
    <n v="0"/>
    <m/>
    <n v="0"/>
    <m/>
    <n v="0"/>
    <m/>
    <n v="0"/>
    <m/>
    <n v="0"/>
    <m/>
    <n v="0"/>
    <m/>
    <n v="0"/>
    <m/>
    <n v="0"/>
    <m/>
    <n v="0"/>
    <n v="0"/>
    <n v="0"/>
    <n v="0"/>
    <n v="0"/>
  </r>
  <r>
    <x v="43"/>
    <n v="34273310"/>
    <x v="15"/>
    <n v="0"/>
    <m/>
    <n v="0"/>
    <m/>
    <n v="0"/>
    <m/>
    <n v="0"/>
    <m/>
    <n v="0"/>
    <m/>
    <n v="0"/>
    <m/>
    <n v="0"/>
    <m/>
    <n v="0"/>
    <m/>
    <n v="0"/>
    <m/>
    <n v="0"/>
    <m/>
    <n v="0"/>
    <n v="9"/>
    <n v="0"/>
    <n v="0"/>
    <n v="0"/>
  </r>
  <r>
    <x v="43"/>
    <n v="34273311"/>
    <x v="16"/>
    <n v="0"/>
    <m/>
    <n v="0"/>
    <m/>
    <n v="0"/>
    <m/>
    <n v="0"/>
    <m/>
    <n v="0"/>
    <m/>
    <n v="0"/>
    <m/>
    <n v="0"/>
    <m/>
    <n v="0"/>
    <m/>
    <n v="0"/>
    <m/>
    <n v="0"/>
    <m/>
    <n v="0"/>
    <n v="0"/>
    <n v="0"/>
    <n v="0"/>
    <n v="0"/>
  </r>
  <r>
    <x v="43"/>
    <n v="34273312"/>
    <x v="17"/>
    <n v="0"/>
    <m/>
    <n v="0"/>
    <m/>
    <n v="0"/>
    <m/>
    <n v="0"/>
    <m/>
    <n v="0"/>
    <m/>
    <n v="0"/>
    <m/>
    <n v="0"/>
    <m/>
    <n v="0"/>
    <m/>
    <n v="0"/>
    <m/>
    <n v="0"/>
    <m/>
    <n v="0"/>
    <n v="0"/>
    <n v="0"/>
    <n v="0"/>
    <n v="0"/>
  </r>
  <r>
    <x v="43"/>
    <n v="34273313"/>
    <x v="18"/>
    <n v="0"/>
    <m/>
    <n v="0"/>
    <m/>
    <n v="0"/>
    <m/>
    <n v="2447"/>
    <m/>
    <n v="0"/>
    <m/>
    <n v="0"/>
    <m/>
    <n v="0"/>
    <m/>
    <n v="0"/>
    <m/>
    <n v="0"/>
    <m/>
    <n v="0"/>
    <m/>
    <n v="13380"/>
    <n v="3874"/>
    <n v="2447"/>
    <n v="0"/>
    <n v="13380"/>
  </r>
  <r>
    <x v="43"/>
    <n v="34273314"/>
    <x v="19"/>
    <n v="0"/>
    <m/>
    <n v="0"/>
    <m/>
    <n v="0"/>
    <m/>
    <n v="0"/>
    <m/>
    <n v="0"/>
    <m/>
    <n v="0"/>
    <m/>
    <n v="0"/>
    <m/>
    <n v="0"/>
    <m/>
    <n v="0"/>
    <m/>
    <n v="0"/>
    <m/>
    <n v="0"/>
    <n v="0"/>
    <n v="0"/>
    <n v="0"/>
    <n v="0"/>
  </r>
  <r>
    <x v="43"/>
    <n v="34273315"/>
    <x v="20"/>
    <n v="0"/>
    <m/>
    <n v="0"/>
    <m/>
    <n v="0"/>
    <m/>
    <n v="114"/>
    <m/>
    <n v="0"/>
    <m/>
    <n v="0"/>
    <m/>
    <n v="0"/>
    <m/>
    <n v="0"/>
    <m/>
    <n v="0"/>
    <m/>
    <n v="0"/>
    <m/>
    <n v="572"/>
    <n v="18"/>
    <n v="114"/>
    <n v="0"/>
    <n v="572"/>
  </r>
  <r>
    <x v="43"/>
    <n v="34273316"/>
    <x v="21"/>
    <n v="6046"/>
    <m/>
    <n v="0"/>
    <m/>
    <n v="0"/>
    <m/>
    <n v="0"/>
    <m/>
    <n v="0"/>
    <m/>
    <n v="0"/>
    <m/>
    <n v="0"/>
    <m/>
    <n v="0"/>
    <m/>
    <n v="0"/>
    <m/>
    <n v="0"/>
    <m/>
    <n v="0"/>
    <n v="0"/>
    <n v="6046"/>
    <n v="0"/>
    <n v="0"/>
  </r>
  <r>
    <x v="43"/>
    <n v="34273317"/>
    <x v="22"/>
    <n v="0"/>
    <m/>
    <n v="0"/>
    <m/>
    <n v="0"/>
    <m/>
    <n v="0"/>
    <m/>
    <n v="0"/>
    <m/>
    <n v="0"/>
    <m/>
    <n v="0"/>
    <m/>
    <n v="0"/>
    <m/>
    <n v="0"/>
    <m/>
    <n v="0"/>
    <m/>
    <n v="0"/>
    <n v="0"/>
    <n v="0"/>
    <n v="0"/>
    <n v="0"/>
  </r>
  <r>
    <x v="43"/>
    <n v="34273318"/>
    <x v="23"/>
    <n v="19791"/>
    <m/>
    <n v="0"/>
    <m/>
    <n v="0"/>
    <m/>
    <n v="0"/>
    <m/>
    <n v="0"/>
    <m/>
    <n v="0"/>
    <m/>
    <n v="0"/>
    <m/>
    <n v="0"/>
    <m/>
    <n v="0"/>
    <m/>
    <n v="0"/>
    <m/>
    <n v="0"/>
    <n v="0"/>
    <n v="19791"/>
    <n v="0"/>
    <n v="0"/>
  </r>
  <r>
    <x v="44"/>
    <n v="53145033.000000007"/>
    <x v="0"/>
    <n v="0"/>
    <n v="53873616"/>
    <n v="0"/>
    <n v="54729550.99999997"/>
    <n v="5084"/>
    <n v="55876503.999999993"/>
    <n v="1143"/>
    <n v="56422273.499999985"/>
    <n v="87529"/>
    <n v="56641209.500000007"/>
    <n v="89306"/>
    <n v="57339635.000000015"/>
    <n v="87006"/>
    <n v="58087054.999999985"/>
    <n v="92786"/>
    <n v="58801926.500000022"/>
    <n v="0"/>
    <n v="59392255"/>
    <n v="99093"/>
    <n v="59893885.5"/>
    <n v="0"/>
    <n v="43503"/>
    <n v="5084"/>
    <n v="92786"/>
    <n v="99093"/>
  </r>
  <r>
    <x v="44"/>
    <n v="53145034"/>
    <x v="1"/>
    <n v="117444"/>
    <m/>
    <n v="0"/>
    <m/>
    <n v="0"/>
    <m/>
    <n v="0"/>
    <m/>
    <n v="0"/>
    <m/>
    <n v="0"/>
    <m/>
    <n v="141104"/>
    <m/>
    <n v="129276"/>
    <m/>
    <n v="122056"/>
    <m/>
    <n v="0"/>
    <m/>
    <n v="0"/>
    <n v="287458"/>
    <n v="117444"/>
    <n v="141104"/>
    <n v="122056"/>
  </r>
  <r>
    <x v="44"/>
    <n v="53145035"/>
    <x v="2"/>
    <n v="0"/>
    <m/>
    <n v="0"/>
    <m/>
    <n v="0"/>
    <m/>
    <n v="0"/>
    <m/>
    <n v="2568"/>
    <m/>
    <n v="0"/>
    <m/>
    <n v="0"/>
    <m/>
    <n v="0"/>
    <m/>
    <n v="0"/>
    <m/>
    <n v="0"/>
    <m/>
    <n v="0"/>
    <n v="0"/>
    <n v="0"/>
    <n v="2568"/>
    <n v="0"/>
  </r>
  <r>
    <x v="44"/>
    <n v="53145036"/>
    <x v="3"/>
    <n v="0"/>
    <m/>
    <n v="0"/>
    <m/>
    <n v="0"/>
    <m/>
    <n v="0"/>
    <m/>
    <n v="2355"/>
    <m/>
    <n v="0"/>
    <m/>
    <n v="0"/>
    <m/>
    <n v="0"/>
    <m/>
    <n v="0"/>
    <m/>
    <n v="494"/>
    <m/>
    <n v="0"/>
    <n v="16195"/>
    <n v="0"/>
    <n v="2355"/>
    <n v="494"/>
  </r>
  <r>
    <x v="44"/>
    <n v="53145037"/>
    <x v="4"/>
    <n v="0"/>
    <m/>
    <n v="0"/>
    <m/>
    <n v="0"/>
    <m/>
    <n v="0"/>
    <m/>
    <n v="1090"/>
    <m/>
    <n v="0"/>
    <m/>
    <n v="0"/>
    <m/>
    <n v="0"/>
    <m/>
    <n v="0"/>
    <m/>
    <n v="366"/>
    <m/>
    <n v="0"/>
    <n v="6816"/>
    <n v="0"/>
    <n v="1090"/>
    <n v="366"/>
  </r>
  <r>
    <x v="44"/>
    <n v="53145038"/>
    <x v="5"/>
    <n v="0"/>
    <m/>
    <n v="0"/>
    <m/>
    <n v="0"/>
    <m/>
    <n v="0"/>
    <m/>
    <n v="0"/>
    <m/>
    <n v="0"/>
    <m/>
    <n v="54180"/>
    <m/>
    <n v="0"/>
    <m/>
    <n v="0"/>
    <m/>
    <n v="0"/>
    <m/>
    <n v="63290"/>
    <n v="54180"/>
    <n v="0"/>
    <n v="54180"/>
    <n v="63290"/>
  </r>
  <r>
    <x v="44"/>
    <n v="53145039"/>
    <x v="6"/>
    <n v="0"/>
    <m/>
    <n v="0"/>
    <m/>
    <n v="0"/>
    <m/>
    <n v="0"/>
    <m/>
    <n v="0"/>
    <m/>
    <n v="0"/>
    <m/>
    <n v="0"/>
    <m/>
    <n v="0"/>
    <m/>
    <n v="0"/>
    <m/>
    <n v="0"/>
    <m/>
    <n v="0"/>
    <n v="0"/>
    <n v="0"/>
    <n v="0"/>
    <n v="0"/>
  </r>
  <r>
    <x v="44"/>
    <n v="53145040"/>
    <x v="7"/>
    <n v="0"/>
    <m/>
    <n v="0"/>
    <m/>
    <n v="0"/>
    <m/>
    <n v="0"/>
    <m/>
    <n v="0"/>
    <m/>
    <n v="0"/>
    <m/>
    <n v="0"/>
    <m/>
    <n v="0"/>
    <m/>
    <n v="0"/>
    <m/>
    <n v="0"/>
    <m/>
    <n v="0"/>
    <n v="3585"/>
    <n v="0"/>
    <n v="0"/>
    <n v="0"/>
  </r>
  <r>
    <x v="44"/>
    <n v="53145041"/>
    <x v="8"/>
    <n v="0"/>
    <m/>
    <n v="0"/>
    <m/>
    <n v="0"/>
    <m/>
    <n v="0"/>
    <m/>
    <n v="0"/>
    <m/>
    <n v="0"/>
    <m/>
    <n v="0"/>
    <m/>
    <n v="0"/>
    <m/>
    <n v="0"/>
    <m/>
    <n v="0"/>
    <m/>
    <n v="2857"/>
    <n v="0"/>
    <n v="0"/>
    <n v="0"/>
    <n v="2857"/>
  </r>
  <r>
    <x v="44"/>
    <n v="53145042"/>
    <x v="9"/>
    <n v="0"/>
    <m/>
    <n v="0"/>
    <m/>
    <n v="0"/>
    <m/>
    <n v="0"/>
    <m/>
    <n v="0"/>
    <m/>
    <n v="0"/>
    <m/>
    <n v="0"/>
    <m/>
    <n v="0"/>
    <m/>
    <n v="0"/>
    <m/>
    <n v="0"/>
    <m/>
    <n v="26692"/>
    <n v="0"/>
    <n v="0"/>
    <n v="0"/>
    <n v="26692"/>
  </r>
  <r>
    <x v="44"/>
    <n v="53145043"/>
    <x v="10"/>
    <n v="0"/>
    <m/>
    <n v="0"/>
    <m/>
    <n v="0"/>
    <m/>
    <n v="0"/>
    <m/>
    <n v="0"/>
    <m/>
    <n v="3330"/>
    <m/>
    <n v="0"/>
    <m/>
    <n v="0"/>
    <m/>
    <n v="0"/>
    <m/>
    <n v="0"/>
    <m/>
    <n v="329"/>
    <n v="0"/>
    <n v="0"/>
    <n v="3330"/>
    <n v="329"/>
  </r>
  <r>
    <x v="44"/>
    <n v="53145044"/>
    <x v="11"/>
    <n v="133"/>
    <m/>
    <n v="144"/>
    <m/>
    <n v="145"/>
    <m/>
    <n v="149"/>
    <m/>
    <n v="4802"/>
    <m/>
    <n v="5267"/>
    <m/>
    <n v="5455"/>
    <m/>
    <n v="9939"/>
    <m/>
    <n v="0"/>
    <m/>
    <n v="6166"/>
    <m/>
    <n v="13"/>
    <n v="8415"/>
    <n v="149"/>
    <n v="9939"/>
    <n v="6166"/>
  </r>
  <r>
    <x v="44"/>
    <n v="53145045"/>
    <x v="12"/>
    <n v="0"/>
    <m/>
    <n v="0"/>
    <m/>
    <n v="0"/>
    <m/>
    <n v="0"/>
    <m/>
    <n v="0"/>
    <m/>
    <n v="0"/>
    <m/>
    <n v="0"/>
    <m/>
    <n v="0"/>
    <m/>
    <n v="0"/>
    <m/>
    <n v="0"/>
    <m/>
    <n v="0"/>
    <n v="577"/>
    <n v="0"/>
    <n v="0"/>
    <n v="0"/>
  </r>
  <r>
    <x v="44"/>
    <n v="53145046"/>
    <x v="13"/>
    <n v="8095"/>
    <m/>
    <n v="8476"/>
    <m/>
    <n v="8924"/>
    <m/>
    <n v="9175"/>
    <m/>
    <n v="8484"/>
    <m/>
    <n v="8681"/>
    <m/>
    <n v="8878"/>
    <m/>
    <n v="0"/>
    <m/>
    <n v="0"/>
    <m/>
    <n v="9281"/>
    <m/>
    <n v="0"/>
    <n v="8072"/>
    <n v="9175"/>
    <n v="8878"/>
    <n v="9281"/>
  </r>
  <r>
    <x v="44"/>
    <n v="53145047"/>
    <x v="14"/>
    <n v="0"/>
    <m/>
    <n v="0"/>
    <m/>
    <n v="0"/>
    <m/>
    <n v="0"/>
    <m/>
    <n v="0"/>
    <m/>
    <n v="0"/>
    <m/>
    <n v="0"/>
    <m/>
    <n v="0"/>
    <m/>
    <n v="0"/>
    <m/>
    <n v="0"/>
    <m/>
    <n v="0"/>
    <n v="0"/>
    <n v="0"/>
    <n v="0"/>
    <n v="0"/>
  </r>
  <r>
    <x v="44"/>
    <n v="53145048"/>
    <x v="15"/>
    <n v="3453"/>
    <m/>
    <n v="3588"/>
    <m/>
    <n v="3705"/>
    <m/>
    <n v="3783"/>
    <m/>
    <n v="3725"/>
    <m/>
    <n v="3790"/>
    <m/>
    <n v="3848"/>
    <m/>
    <n v="3830"/>
    <m/>
    <n v="0"/>
    <m/>
    <n v="4012"/>
    <m/>
    <n v="255"/>
    <n v="0"/>
    <n v="3783"/>
    <n v="3848"/>
    <n v="4012"/>
  </r>
  <r>
    <x v="44"/>
    <n v="53145049"/>
    <x v="16"/>
    <n v="0"/>
    <m/>
    <n v="0"/>
    <m/>
    <n v="0"/>
    <m/>
    <n v="0"/>
    <m/>
    <n v="0"/>
    <m/>
    <n v="0"/>
    <m/>
    <n v="0"/>
    <m/>
    <n v="0"/>
    <m/>
    <n v="0"/>
    <m/>
    <n v="0"/>
    <m/>
    <n v="15459"/>
    <n v="0"/>
    <n v="0"/>
    <n v="0"/>
    <n v="15459"/>
  </r>
  <r>
    <x v="44"/>
    <n v="53145050"/>
    <x v="17"/>
    <n v="0"/>
    <m/>
    <n v="0"/>
    <m/>
    <n v="0"/>
    <m/>
    <n v="0"/>
    <m/>
    <n v="0"/>
    <m/>
    <n v="0"/>
    <m/>
    <n v="0"/>
    <m/>
    <n v="0"/>
    <m/>
    <n v="0"/>
    <m/>
    <n v="0"/>
    <m/>
    <n v="0"/>
    <n v="15266"/>
    <n v="0"/>
    <n v="0"/>
    <n v="0"/>
  </r>
  <r>
    <x v="44"/>
    <n v="53145051"/>
    <x v="18"/>
    <n v="171"/>
    <m/>
    <n v="273"/>
    <m/>
    <n v="326"/>
    <m/>
    <n v="453"/>
    <m/>
    <n v="5377"/>
    <m/>
    <n v="5525"/>
    <m/>
    <n v="5731"/>
    <m/>
    <n v="0"/>
    <m/>
    <n v="0"/>
    <m/>
    <n v="6353"/>
    <m/>
    <n v="0"/>
    <n v="0"/>
    <n v="453"/>
    <n v="5731"/>
    <n v="6353"/>
  </r>
  <r>
    <x v="44"/>
    <n v="53145052"/>
    <x v="19"/>
    <n v="90"/>
    <m/>
    <n v="217"/>
    <m/>
    <n v="362"/>
    <m/>
    <n v="474"/>
    <m/>
    <n v="0"/>
    <m/>
    <n v="8919"/>
    <m/>
    <n v="0"/>
    <m/>
    <n v="0"/>
    <m/>
    <n v="0"/>
    <m/>
    <n v="3870"/>
    <m/>
    <n v="20327"/>
    <n v="0"/>
    <n v="474"/>
    <n v="8919"/>
    <n v="20327"/>
  </r>
  <r>
    <x v="44"/>
    <n v="53145053"/>
    <x v="20"/>
    <n v="7791"/>
    <m/>
    <n v="8185"/>
    <m/>
    <n v="8781"/>
    <m/>
    <n v="9289"/>
    <m/>
    <n v="7451"/>
    <m/>
    <n v="7704"/>
    <m/>
    <n v="7922"/>
    <m/>
    <n v="8110"/>
    <m/>
    <n v="0"/>
    <m/>
    <n v="8509"/>
    <m/>
    <n v="1555"/>
    <n v="11975"/>
    <n v="9289"/>
    <n v="8110"/>
    <n v="8509"/>
  </r>
  <r>
    <x v="44"/>
    <n v="53145054"/>
    <x v="21"/>
    <n v="0"/>
    <m/>
    <n v="0"/>
    <m/>
    <n v="0"/>
    <m/>
    <n v="0"/>
    <m/>
    <n v="0"/>
    <m/>
    <n v="27694"/>
    <m/>
    <n v="0"/>
    <m/>
    <n v="0"/>
    <m/>
    <n v="0"/>
    <m/>
    <n v="0"/>
    <m/>
    <n v="15754"/>
    <n v="0"/>
    <n v="0"/>
    <n v="27694"/>
    <n v="15754"/>
  </r>
  <r>
    <x v="44"/>
    <n v="53145055"/>
    <x v="22"/>
    <n v="2285"/>
    <m/>
    <n v="2586"/>
    <m/>
    <n v="2746"/>
    <m/>
    <n v="2913"/>
    <m/>
    <n v="3140"/>
    <m/>
    <n v="3323"/>
    <m/>
    <n v="3512"/>
    <m/>
    <n v="3676"/>
    <m/>
    <n v="0"/>
    <m/>
    <n v="4037"/>
    <m/>
    <n v="586"/>
    <n v="0"/>
    <n v="2913"/>
    <n v="3676"/>
    <n v="4037"/>
  </r>
  <r>
    <x v="44"/>
    <n v="53145056"/>
    <x v="23"/>
    <n v="0"/>
    <m/>
    <n v="0"/>
    <m/>
    <n v="0"/>
    <m/>
    <n v="0"/>
    <m/>
    <n v="0"/>
    <m/>
    <n v="49732"/>
    <m/>
    <n v="0"/>
    <m/>
    <n v="0"/>
    <m/>
    <n v="0"/>
    <m/>
    <n v="0"/>
    <m/>
    <n v="9"/>
    <n v="0"/>
    <n v="0"/>
    <n v="49732"/>
    <n v="9"/>
  </r>
  <r>
    <x v="45"/>
    <n v="14744657.999999998"/>
    <x v="0"/>
    <n v="156"/>
    <n v="15234975.999999991"/>
    <n v="0"/>
    <n v="15737792.999999998"/>
    <n v="0"/>
    <n v="16248229.999999996"/>
    <n v="0"/>
    <n v="16767760.499999996"/>
    <n v="3074"/>
    <n v="17298053.500000004"/>
    <n v="0"/>
    <n v="17835892.999999981"/>
    <n v="8042"/>
    <n v="18380476.500000004"/>
    <n v="8772"/>
    <n v="18927715.000000022"/>
    <n v="9636"/>
    <n v="19473124.999999996"/>
    <n v="11546"/>
    <n v="20017675.000000004"/>
    <n v="11020"/>
    <n v="2026"/>
    <n v="156"/>
    <n v="8772"/>
    <n v="11546"/>
  </r>
  <r>
    <x v="45"/>
    <n v="14744659"/>
    <x v="1"/>
    <n v="0"/>
    <m/>
    <n v="0"/>
    <m/>
    <n v="0"/>
    <m/>
    <n v="0"/>
    <m/>
    <n v="0"/>
    <m/>
    <n v="31382"/>
    <m/>
    <n v="41492"/>
    <m/>
    <n v="46070"/>
    <m/>
    <n v="55348"/>
    <m/>
    <n v="65084"/>
    <m/>
    <n v="67558"/>
    <n v="14516"/>
    <n v="0"/>
    <n v="46070"/>
    <n v="67558"/>
  </r>
  <r>
    <x v="45"/>
    <n v="14744660"/>
    <x v="2"/>
    <n v="0"/>
    <m/>
    <n v="5546"/>
    <m/>
    <n v="0"/>
    <m/>
    <n v="0"/>
    <m/>
    <n v="6666"/>
    <m/>
    <n v="0"/>
    <m/>
    <n v="4274"/>
    <m/>
    <n v="6446"/>
    <m/>
    <n v="6624"/>
    <m/>
    <n v="7492"/>
    <m/>
    <n v="18404"/>
    <n v="3432"/>
    <n v="5546"/>
    <n v="6666"/>
    <n v="18404"/>
  </r>
  <r>
    <x v="45"/>
    <n v="14744661"/>
    <x v="3"/>
    <n v="0"/>
    <m/>
    <n v="460"/>
    <m/>
    <n v="1491"/>
    <m/>
    <n v="0"/>
    <m/>
    <n v="0"/>
    <m/>
    <n v="371"/>
    <m/>
    <n v="0"/>
    <m/>
    <n v="0"/>
    <m/>
    <n v="0"/>
    <m/>
    <n v="0"/>
    <m/>
    <n v="0"/>
    <n v="1708"/>
    <n v="1491"/>
    <n v="371"/>
    <n v="0"/>
  </r>
  <r>
    <x v="45"/>
    <n v="14744662"/>
    <x v="4"/>
    <n v="0"/>
    <m/>
    <n v="351"/>
    <m/>
    <n v="374"/>
    <m/>
    <n v="0"/>
    <m/>
    <n v="0"/>
    <m/>
    <n v="54"/>
    <m/>
    <n v="0"/>
    <m/>
    <n v="0"/>
    <m/>
    <n v="10395"/>
    <m/>
    <n v="0"/>
    <m/>
    <n v="0"/>
    <n v="455"/>
    <n v="374"/>
    <n v="54"/>
    <n v="10395"/>
  </r>
  <r>
    <x v="45"/>
    <n v="14744663"/>
    <x v="5"/>
    <n v="0"/>
    <m/>
    <n v="0"/>
    <m/>
    <n v="0"/>
    <m/>
    <n v="0"/>
    <m/>
    <n v="0"/>
    <m/>
    <n v="0"/>
    <m/>
    <n v="1283"/>
    <m/>
    <n v="1846"/>
    <m/>
    <n v="41669"/>
    <m/>
    <n v="0"/>
    <m/>
    <n v="2421"/>
    <n v="1262"/>
    <n v="0"/>
    <n v="1846"/>
    <n v="41669"/>
  </r>
  <r>
    <x v="45"/>
    <n v="14744664"/>
    <x v="6"/>
    <n v="0"/>
    <m/>
    <n v="0"/>
    <m/>
    <n v="0"/>
    <m/>
    <n v="0"/>
    <m/>
    <n v="0"/>
    <m/>
    <n v="66"/>
    <m/>
    <n v="0"/>
    <m/>
    <n v="0"/>
    <m/>
    <n v="0"/>
    <m/>
    <n v="0"/>
    <m/>
    <n v="0"/>
    <n v="404"/>
    <n v="0"/>
    <n v="66"/>
    <n v="0"/>
  </r>
  <r>
    <x v="45"/>
    <n v="14744665"/>
    <x v="7"/>
    <n v="0"/>
    <m/>
    <n v="0"/>
    <m/>
    <n v="0"/>
    <m/>
    <n v="0"/>
    <m/>
    <n v="0"/>
    <m/>
    <n v="0"/>
    <m/>
    <n v="0"/>
    <m/>
    <n v="0"/>
    <m/>
    <n v="3330"/>
    <m/>
    <n v="0"/>
    <m/>
    <n v="0"/>
    <n v="2016"/>
    <n v="0"/>
    <n v="0"/>
    <n v="3330"/>
  </r>
  <r>
    <x v="45"/>
    <n v="14744666"/>
    <x v="8"/>
    <n v="0"/>
    <m/>
    <n v="0"/>
    <m/>
    <n v="0"/>
    <m/>
    <n v="0"/>
    <m/>
    <n v="0"/>
    <m/>
    <n v="0"/>
    <m/>
    <n v="119"/>
    <m/>
    <n v="0"/>
    <m/>
    <n v="0"/>
    <m/>
    <n v="0"/>
    <m/>
    <n v="0"/>
    <n v="0"/>
    <n v="0"/>
    <n v="119"/>
    <n v="0"/>
  </r>
  <r>
    <x v="45"/>
    <n v="14744667"/>
    <x v="9"/>
    <n v="0"/>
    <m/>
    <n v="0"/>
    <m/>
    <n v="0"/>
    <m/>
    <n v="0"/>
    <m/>
    <n v="0"/>
    <m/>
    <n v="0"/>
    <m/>
    <n v="0"/>
    <m/>
    <n v="0"/>
    <m/>
    <n v="0"/>
    <m/>
    <n v="0"/>
    <m/>
    <n v="0"/>
    <n v="0"/>
    <n v="0"/>
    <n v="0"/>
    <n v="0"/>
  </r>
  <r>
    <x v="45"/>
    <n v="14744668"/>
    <x v="10"/>
    <n v="53"/>
    <m/>
    <n v="0"/>
    <m/>
    <n v="0"/>
    <m/>
    <n v="0"/>
    <m/>
    <n v="0"/>
    <m/>
    <n v="0"/>
    <m/>
    <n v="0"/>
    <m/>
    <n v="0"/>
    <m/>
    <n v="0"/>
    <m/>
    <n v="0"/>
    <m/>
    <n v="28"/>
    <n v="0"/>
    <n v="53"/>
    <n v="0"/>
    <n v="28"/>
  </r>
  <r>
    <x v="45"/>
    <n v="14744669"/>
    <x v="11"/>
    <n v="184"/>
    <m/>
    <n v="0"/>
    <m/>
    <n v="0"/>
    <m/>
    <n v="0"/>
    <m/>
    <n v="921"/>
    <m/>
    <n v="0"/>
    <m/>
    <n v="18"/>
    <m/>
    <n v="18"/>
    <m/>
    <n v="19"/>
    <m/>
    <n v="19"/>
    <m/>
    <n v="388"/>
    <n v="0"/>
    <n v="184"/>
    <n v="921"/>
    <n v="388"/>
  </r>
  <r>
    <x v="45"/>
    <n v="14744670"/>
    <x v="12"/>
    <n v="0"/>
    <m/>
    <n v="0"/>
    <m/>
    <n v="0"/>
    <m/>
    <n v="0"/>
    <m/>
    <n v="0"/>
    <m/>
    <n v="0"/>
    <m/>
    <n v="0"/>
    <m/>
    <n v="0"/>
    <m/>
    <n v="0"/>
    <m/>
    <n v="0"/>
    <m/>
    <n v="7144"/>
    <n v="2617"/>
    <n v="0"/>
    <n v="0"/>
    <n v="7144"/>
  </r>
  <r>
    <x v="45"/>
    <n v="14744671"/>
    <x v="13"/>
    <n v="500"/>
    <m/>
    <n v="0"/>
    <m/>
    <n v="0"/>
    <m/>
    <n v="0"/>
    <m/>
    <n v="419"/>
    <m/>
    <n v="0"/>
    <m/>
    <n v="761"/>
    <m/>
    <n v="929"/>
    <m/>
    <n v="1075"/>
    <m/>
    <n v="1375"/>
    <m/>
    <n v="2633"/>
    <n v="602"/>
    <n v="500"/>
    <n v="929"/>
    <n v="2633"/>
  </r>
  <r>
    <x v="45"/>
    <n v="14744672"/>
    <x v="14"/>
    <n v="0"/>
    <m/>
    <n v="0"/>
    <m/>
    <n v="0"/>
    <m/>
    <n v="0"/>
    <m/>
    <n v="0"/>
    <m/>
    <n v="0"/>
    <m/>
    <n v="67"/>
    <m/>
    <n v="0"/>
    <m/>
    <n v="0"/>
    <m/>
    <n v="0"/>
    <m/>
    <n v="0"/>
    <n v="1232"/>
    <n v="0"/>
    <n v="67"/>
    <n v="0"/>
  </r>
  <r>
    <x v="45"/>
    <n v="14744673"/>
    <x v="15"/>
    <n v="18"/>
    <m/>
    <n v="0"/>
    <m/>
    <n v="0"/>
    <m/>
    <n v="0"/>
    <m/>
    <n v="0"/>
    <m/>
    <n v="0"/>
    <m/>
    <n v="16"/>
    <m/>
    <n v="0"/>
    <m/>
    <n v="0"/>
    <m/>
    <n v="0"/>
    <m/>
    <n v="137"/>
    <n v="61"/>
    <n v="18"/>
    <n v="16"/>
    <n v="137"/>
  </r>
  <r>
    <x v="45"/>
    <n v="14744674"/>
    <x v="16"/>
    <n v="0"/>
    <m/>
    <n v="0"/>
    <m/>
    <n v="0"/>
    <m/>
    <n v="0"/>
    <m/>
    <n v="0"/>
    <m/>
    <n v="0"/>
    <m/>
    <n v="0"/>
    <m/>
    <n v="0"/>
    <m/>
    <n v="0"/>
    <m/>
    <n v="0"/>
    <m/>
    <n v="0"/>
    <n v="17801"/>
    <n v="0"/>
    <n v="0"/>
    <n v="0"/>
  </r>
  <r>
    <x v="45"/>
    <n v="14744675"/>
    <x v="17"/>
    <n v="0"/>
    <m/>
    <n v="0"/>
    <m/>
    <n v="0"/>
    <m/>
    <n v="0"/>
    <m/>
    <n v="0"/>
    <m/>
    <n v="0"/>
    <m/>
    <n v="0"/>
    <m/>
    <n v="0"/>
    <m/>
    <n v="0"/>
    <m/>
    <n v="0"/>
    <m/>
    <n v="0"/>
    <n v="0"/>
    <n v="0"/>
    <n v="0"/>
    <n v="0"/>
  </r>
  <r>
    <x v="45"/>
    <n v="14744676"/>
    <x v="18"/>
    <n v="1126"/>
    <m/>
    <n v="0"/>
    <m/>
    <n v="0"/>
    <m/>
    <n v="0"/>
    <m/>
    <n v="0"/>
    <m/>
    <n v="0"/>
    <m/>
    <n v="1712"/>
    <m/>
    <n v="2045"/>
    <m/>
    <n v="2506"/>
    <m/>
    <n v="3182"/>
    <m/>
    <n v="1474"/>
    <n v="1602"/>
    <n v="1126"/>
    <n v="2045"/>
    <n v="3182"/>
  </r>
  <r>
    <x v="45"/>
    <n v="14744677"/>
    <x v="19"/>
    <n v="3141"/>
    <m/>
    <n v="0"/>
    <m/>
    <n v="0"/>
    <m/>
    <n v="0"/>
    <m/>
    <n v="1814"/>
    <m/>
    <n v="0"/>
    <m/>
    <n v="3616"/>
    <m/>
    <n v="4562"/>
    <m/>
    <n v="5544"/>
    <m/>
    <n v="8281"/>
    <m/>
    <n v="970"/>
    <n v="0"/>
    <n v="3141"/>
    <n v="4562"/>
    <n v="8281"/>
  </r>
  <r>
    <x v="45"/>
    <n v="14744678"/>
    <x v="20"/>
    <n v="485"/>
    <m/>
    <n v="0"/>
    <m/>
    <n v="0"/>
    <m/>
    <n v="0"/>
    <m/>
    <n v="432"/>
    <m/>
    <n v="0"/>
    <m/>
    <n v="739"/>
    <m/>
    <n v="864"/>
    <m/>
    <n v="1036"/>
    <m/>
    <n v="1324"/>
    <m/>
    <n v="1239"/>
    <n v="606"/>
    <n v="485"/>
    <n v="864"/>
    <n v="1324"/>
  </r>
  <r>
    <x v="45"/>
    <n v="14744679"/>
    <x v="21"/>
    <n v="0"/>
    <m/>
    <n v="0"/>
    <m/>
    <n v="0"/>
    <m/>
    <n v="0"/>
    <m/>
    <n v="0"/>
    <m/>
    <n v="0"/>
    <m/>
    <n v="0"/>
    <m/>
    <n v="0"/>
    <m/>
    <n v="0"/>
    <m/>
    <n v="0"/>
    <m/>
    <n v="0"/>
    <n v="0"/>
    <n v="0"/>
    <n v="0"/>
    <n v="0"/>
  </r>
  <r>
    <x v="45"/>
    <n v="14744680"/>
    <x v="22"/>
    <n v="0"/>
    <m/>
    <n v="0"/>
    <m/>
    <n v="0"/>
    <m/>
    <n v="0"/>
    <m/>
    <n v="0"/>
    <m/>
    <n v="0"/>
    <m/>
    <n v="0"/>
    <m/>
    <n v="0"/>
    <m/>
    <n v="0"/>
    <m/>
    <n v="0"/>
    <m/>
    <n v="2"/>
    <n v="0"/>
    <n v="0"/>
    <n v="0"/>
    <n v="2"/>
  </r>
  <r>
    <x v="45"/>
    <n v="14744681"/>
    <x v="23"/>
    <n v="0"/>
    <m/>
    <n v="0"/>
    <m/>
    <n v="0"/>
    <m/>
    <n v="0"/>
    <m/>
    <n v="0"/>
    <m/>
    <n v="0"/>
    <m/>
    <n v="0"/>
    <m/>
    <n v="0"/>
    <m/>
    <n v="0"/>
    <m/>
    <n v="0"/>
    <m/>
    <n v="0"/>
    <n v="0"/>
    <n v="0"/>
    <n v="0"/>
    <n v="0"/>
  </r>
  <r>
    <x v="46"/>
    <n v="13265331.000000002"/>
    <x v="0"/>
    <n v="2118"/>
    <n v="13555421.500000011"/>
    <n v="2228"/>
    <n v="13855753.000000004"/>
    <n v="3561"/>
    <n v="14154937"/>
    <n v="5462"/>
    <n v="14452704.499999994"/>
    <n v="5458"/>
    <n v="14751100.999999998"/>
    <n v="5734"/>
    <n v="15052184.000000007"/>
    <n v="6665"/>
    <n v="15354607.5"/>
    <n v="0"/>
    <n v="15669665.999999998"/>
    <n v="5914"/>
    <n v="15993524.000000002"/>
    <n v="0"/>
    <n v="16320536.999999996"/>
    <n v="6133"/>
    <n v="1959"/>
    <n v="5462"/>
    <n v="6665"/>
    <n v="6133"/>
  </r>
  <r>
    <x v="46"/>
    <n v="13265332"/>
    <x v="1"/>
    <n v="31072"/>
    <m/>
    <n v="37444"/>
    <m/>
    <n v="44810"/>
    <m/>
    <n v="41532"/>
    <m/>
    <n v="42747"/>
    <m/>
    <n v="59965"/>
    <m/>
    <n v="67752"/>
    <m/>
    <n v="0"/>
    <m/>
    <n v="44998"/>
    <m/>
    <n v="0"/>
    <m/>
    <n v="64364"/>
    <n v="25835"/>
    <n v="44810"/>
    <n v="67752"/>
    <n v="64364"/>
  </r>
  <r>
    <x v="46"/>
    <n v="13265333"/>
    <x v="2"/>
    <n v="0"/>
    <m/>
    <n v="0"/>
    <m/>
    <n v="0"/>
    <m/>
    <n v="0"/>
    <m/>
    <n v="0"/>
    <m/>
    <n v="17612"/>
    <m/>
    <n v="0"/>
    <m/>
    <n v="0"/>
    <m/>
    <n v="18586"/>
    <m/>
    <n v="0"/>
    <m/>
    <n v="5592"/>
    <n v="854"/>
    <n v="0"/>
    <n v="17612"/>
    <n v="18586"/>
  </r>
  <r>
    <x v="46"/>
    <n v="13265334"/>
    <x v="3"/>
    <n v="51"/>
    <m/>
    <n v="0"/>
    <m/>
    <n v="0"/>
    <m/>
    <n v="394"/>
    <m/>
    <n v="0"/>
    <m/>
    <n v="0"/>
    <m/>
    <n v="0"/>
    <m/>
    <n v="0"/>
    <m/>
    <n v="351"/>
    <m/>
    <n v="0"/>
    <m/>
    <n v="0"/>
    <n v="776"/>
    <n v="394"/>
    <n v="0"/>
    <n v="351"/>
  </r>
  <r>
    <x v="46"/>
    <n v="13265335"/>
    <x v="4"/>
    <n v="30"/>
    <m/>
    <n v="0"/>
    <m/>
    <n v="0"/>
    <m/>
    <n v="236"/>
    <m/>
    <n v="0"/>
    <m/>
    <n v="0"/>
    <m/>
    <n v="0"/>
    <m/>
    <n v="0"/>
    <m/>
    <n v="38"/>
    <m/>
    <n v="0"/>
    <m/>
    <n v="0"/>
    <n v="347"/>
    <n v="236"/>
    <n v="0"/>
    <n v="38"/>
  </r>
  <r>
    <x v="46"/>
    <n v="13265336"/>
    <x v="5"/>
    <n v="0"/>
    <m/>
    <n v="0"/>
    <m/>
    <n v="0"/>
    <m/>
    <n v="11200"/>
    <m/>
    <n v="0"/>
    <m/>
    <n v="15000"/>
    <m/>
    <n v="15888"/>
    <m/>
    <n v="0"/>
    <m/>
    <n v="0"/>
    <m/>
    <n v="0"/>
    <m/>
    <n v="19722"/>
    <n v="2143"/>
    <n v="11200"/>
    <n v="15888"/>
    <n v="19722"/>
  </r>
  <r>
    <x v="46"/>
    <n v="13265337"/>
    <x v="6"/>
    <n v="0"/>
    <m/>
    <n v="0"/>
    <m/>
    <n v="0"/>
    <m/>
    <n v="845"/>
    <m/>
    <n v="0"/>
    <m/>
    <n v="0"/>
    <m/>
    <n v="0"/>
    <m/>
    <n v="0"/>
    <m/>
    <n v="0"/>
    <m/>
    <n v="0"/>
    <m/>
    <n v="0"/>
    <n v="0"/>
    <n v="845"/>
    <n v="0"/>
    <n v="0"/>
  </r>
  <r>
    <x v="46"/>
    <n v="13265338"/>
    <x v="7"/>
    <n v="0"/>
    <m/>
    <n v="0"/>
    <m/>
    <n v="0"/>
    <m/>
    <n v="1885"/>
    <m/>
    <n v="0"/>
    <m/>
    <n v="0"/>
    <m/>
    <n v="0"/>
    <m/>
    <n v="0"/>
    <m/>
    <n v="91"/>
    <m/>
    <n v="0"/>
    <m/>
    <n v="0"/>
    <n v="1644"/>
    <n v="1885"/>
    <n v="0"/>
    <n v="91"/>
  </r>
  <r>
    <x v="46"/>
    <n v="13265339"/>
    <x v="8"/>
    <n v="0"/>
    <m/>
    <n v="0"/>
    <m/>
    <n v="0"/>
    <m/>
    <n v="0"/>
    <m/>
    <n v="551"/>
    <m/>
    <n v="607"/>
    <m/>
    <n v="2021"/>
    <m/>
    <n v="0"/>
    <m/>
    <n v="0"/>
    <m/>
    <n v="0"/>
    <m/>
    <n v="0"/>
    <n v="2115"/>
    <n v="0"/>
    <n v="2021"/>
    <n v="0"/>
  </r>
  <r>
    <x v="46"/>
    <n v="13265340"/>
    <x v="9"/>
    <n v="0"/>
    <m/>
    <n v="0"/>
    <m/>
    <n v="229"/>
    <m/>
    <n v="270"/>
    <m/>
    <n v="257"/>
    <m/>
    <n v="451"/>
    <m/>
    <n v="414"/>
    <m/>
    <n v="0"/>
    <m/>
    <n v="0"/>
    <m/>
    <n v="0"/>
    <m/>
    <n v="0"/>
    <n v="327"/>
    <n v="270"/>
    <n v="451"/>
    <n v="0"/>
  </r>
  <r>
    <x v="46"/>
    <n v="13265341"/>
    <x v="10"/>
    <n v="27"/>
    <m/>
    <n v="26"/>
    <m/>
    <n v="26"/>
    <m/>
    <n v="0"/>
    <m/>
    <n v="17"/>
    <m/>
    <n v="0"/>
    <m/>
    <n v="40"/>
    <m/>
    <n v="25"/>
    <m/>
    <n v="0"/>
    <m/>
    <n v="0"/>
    <m/>
    <n v="0"/>
    <n v="10"/>
    <n v="27"/>
    <n v="40"/>
    <n v="0"/>
  </r>
  <r>
    <x v="46"/>
    <n v="13265342"/>
    <x v="11"/>
    <n v="352"/>
    <m/>
    <n v="343"/>
    <m/>
    <n v="0"/>
    <m/>
    <n v="0"/>
    <m/>
    <n v="0"/>
    <m/>
    <n v="0"/>
    <m/>
    <n v="644"/>
    <m/>
    <n v="0"/>
    <m/>
    <n v="0"/>
    <m/>
    <n v="0"/>
    <m/>
    <n v="757"/>
    <n v="368"/>
    <n v="352"/>
    <n v="644"/>
    <n v="757"/>
  </r>
  <r>
    <x v="46"/>
    <n v="13265343"/>
    <x v="12"/>
    <n v="0"/>
    <m/>
    <n v="0"/>
    <m/>
    <n v="0"/>
    <m/>
    <n v="0"/>
    <m/>
    <n v="0"/>
    <m/>
    <n v="0"/>
    <m/>
    <n v="164"/>
    <m/>
    <n v="0"/>
    <m/>
    <n v="0"/>
    <m/>
    <n v="0"/>
    <m/>
    <n v="0"/>
    <n v="76"/>
    <n v="0"/>
    <n v="164"/>
    <n v="0"/>
  </r>
  <r>
    <x v="46"/>
    <n v="13265344"/>
    <x v="13"/>
    <n v="233"/>
    <m/>
    <n v="239"/>
    <m/>
    <n v="312"/>
    <m/>
    <n v="511"/>
    <m/>
    <n v="320"/>
    <m/>
    <n v="417"/>
    <m/>
    <n v="480"/>
    <m/>
    <n v="0"/>
    <m/>
    <n v="0"/>
    <m/>
    <n v="0"/>
    <m/>
    <n v="0"/>
    <n v="412"/>
    <n v="511"/>
    <n v="480"/>
    <n v="0"/>
  </r>
  <r>
    <x v="46"/>
    <n v="13265345"/>
    <x v="14"/>
    <n v="0"/>
    <m/>
    <n v="0"/>
    <m/>
    <n v="0"/>
    <m/>
    <n v="0"/>
    <m/>
    <n v="678"/>
    <m/>
    <n v="605"/>
    <m/>
    <n v="703"/>
    <m/>
    <n v="0"/>
    <m/>
    <n v="0"/>
    <m/>
    <n v="0"/>
    <m/>
    <n v="0"/>
    <n v="718"/>
    <n v="0"/>
    <n v="703"/>
    <n v="0"/>
  </r>
  <r>
    <x v="46"/>
    <n v="13265346"/>
    <x v="15"/>
    <n v="0"/>
    <m/>
    <n v="0"/>
    <m/>
    <n v="0"/>
    <m/>
    <n v="0"/>
    <m/>
    <n v="13"/>
    <m/>
    <n v="20"/>
    <m/>
    <n v="20"/>
    <m/>
    <n v="0"/>
    <m/>
    <n v="0"/>
    <m/>
    <n v="0"/>
    <m/>
    <n v="0"/>
    <n v="0"/>
    <n v="0"/>
    <n v="20"/>
    <n v="0"/>
  </r>
  <r>
    <x v="46"/>
    <n v="13265347"/>
    <x v="16"/>
    <n v="0"/>
    <m/>
    <n v="0"/>
    <m/>
    <n v="0"/>
    <m/>
    <n v="0"/>
    <m/>
    <n v="0"/>
    <m/>
    <n v="1733"/>
    <m/>
    <n v="0"/>
    <m/>
    <n v="0"/>
    <m/>
    <n v="0"/>
    <m/>
    <n v="0"/>
    <m/>
    <n v="0"/>
    <n v="9502"/>
    <n v="0"/>
    <n v="1733"/>
    <n v="0"/>
  </r>
  <r>
    <x v="46"/>
    <n v="13265348"/>
    <x v="17"/>
    <n v="0"/>
    <m/>
    <n v="0"/>
    <m/>
    <n v="0"/>
    <m/>
    <n v="0"/>
    <m/>
    <n v="0"/>
    <m/>
    <n v="0"/>
    <m/>
    <n v="0"/>
    <m/>
    <n v="0"/>
    <m/>
    <n v="0"/>
    <m/>
    <n v="0"/>
    <m/>
    <n v="0"/>
    <n v="1122"/>
    <n v="0"/>
    <n v="0"/>
    <n v="0"/>
  </r>
  <r>
    <x v="46"/>
    <n v="13265349"/>
    <x v="18"/>
    <n v="0"/>
    <m/>
    <n v="0"/>
    <m/>
    <n v="519"/>
    <m/>
    <n v="644"/>
    <m/>
    <n v="600"/>
    <m/>
    <n v="781"/>
    <m/>
    <n v="1126"/>
    <m/>
    <n v="0"/>
    <m/>
    <n v="0"/>
    <m/>
    <n v="0"/>
    <m/>
    <n v="795"/>
    <n v="648"/>
    <n v="644"/>
    <n v="1126"/>
    <n v="795"/>
  </r>
  <r>
    <x v="46"/>
    <n v="13265350"/>
    <x v="19"/>
    <n v="0"/>
    <m/>
    <n v="0"/>
    <m/>
    <n v="145"/>
    <m/>
    <n v="0"/>
    <m/>
    <n v="130"/>
    <m/>
    <n v="174"/>
    <m/>
    <n v="0"/>
    <m/>
    <n v="0"/>
    <m/>
    <n v="0"/>
    <m/>
    <n v="0"/>
    <m/>
    <n v="0"/>
    <n v="1094"/>
    <n v="145"/>
    <n v="174"/>
    <n v="0"/>
  </r>
  <r>
    <x v="46"/>
    <n v="13265351"/>
    <x v="20"/>
    <n v="377"/>
    <m/>
    <n v="419"/>
    <m/>
    <n v="413"/>
    <m/>
    <n v="472"/>
    <m/>
    <n v="432"/>
    <m/>
    <n v="503"/>
    <m/>
    <n v="688"/>
    <m/>
    <n v="0"/>
    <m/>
    <n v="0"/>
    <m/>
    <n v="0"/>
    <m/>
    <n v="957"/>
    <n v="459"/>
    <n v="472"/>
    <n v="688"/>
    <n v="957"/>
  </r>
  <r>
    <x v="46"/>
    <n v="13265352"/>
    <x v="21"/>
    <n v="0"/>
    <m/>
    <n v="0"/>
    <m/>
    <n v="0"/>
    <m/>
    <n v="0"/>
    <m/>
    <n v="0"/>
    <m/>
    <n v="0"/>
    <m/>
    <n v="12"/>
    <m/>
    <n v="0"/>
    <m/>
    <n v="0"/>
    <m/>
    <n v="0"/>
    <m/>
    <n v="84"/>
    <n v="0"/>
    <n v="0"/>
    <n v="12"/>
    <n v="84"/>
  </r>
  <r>
    <x v="46"/>
    <n v="13265353"/>
    <x v="22"/>
    <n v="0"/>
    <m/>
    <n v="0"/>
    <m/>
    <n v="0"/>
    <m/>
    <n v="0"/>
    <m/>
    <n v="0"/>
    <m/>
    <n v="0"/>
    <m/>
    <n v="0"/>
    <m/>
    <n v="0"/>
    <m/>
    <n v="0"/>
    <m/>
    <n v="0"/>
    <m/>
    <n v="0"/>
    <n v="0"/>
    <n v="0"/>
    <n v="0"/>
    <n v="0"/>
  </r>
  <r>
    <x v="46"/>
    <n v="13265354"/>
    <x v="23"/>
    <n v="0"/>
    <m/>
    <n v="0"/>
    <m/>
    <n v="0"/>
    <m/>
    <n v="0"/>
    <m/>
    <n v="0"/>
    <m/>
    <n v="596"/>
    <m/>
    <n v="1215"/>
    <m/>
    <n v="0"/>
    <m/>
    <n v="0"/>
    <m/>
    <n v="0"/>
    <m/>
    <n v="0"/>
    <n v="5"/>
    <n v="0"/>
    <n v="1215"/>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1">
  <r>
    <s v="Angola"/>
    <x v="0"/>
    <n v="25188292.499999996"/>
    <x v="0"/>
    <n v="0"/>
    <n v="26147002.000000011"/>
    <n v="0"/>
    <m/>
    <n v="0"/>
    <m/>
    <n v="0"/>
    <m/>
    <n v="0"/>
    <m/>
    <n v="0"/>
    <n v="31273533.000000004"/>
    <n v="1680"/>
    <n v="1680"/>
    <m/>
    <n v="0"/>
    <m/>
    <n v="2652"/>
    <m/>
    <n v="0"/>
    <n v="35588987.00000003"/>
    <n v="5"/>
    <n v="1680"/>
    <n v="0"/>
    <n v="1680"/>
    <n v="2652"/>
    <n v="0"/>
    <s v=""/>
    <n v="1680"/>
    <n v="2018"/>
    <n v="5"/>
    <n v="2022"/>
    <s v="Adjust"/>
    <n v="7.414851832045585"/>
    <n v="1680"/>
    <s v="Decreasing"/>
    <n v="0.3113441654036182"/>
    <n v="5.4673730437993617E-2"/>
    <n v="354.18814159330685"/>
    <n v="1979.4419958881626"/>
    <n v="0"/>
    <n v="0.53719546173436805"/>
    <n v="2.0834680773705585E-3"/>
    <n v="0.47205614478433977"/>
    <x v="0"/>
  </r>
  <r>
    <s v="Angola"/>
    <x v="0"/>
    <n v="25188292.499999996"/>
    <x v="1"/>
    <n v="85"/>
    <n v="26147002.000000011"/>
    <n v="0"/>
    <m/>
    <n v="0"/>
    <m/>
    <n v="870"/>
    <m/>
    <n v="32"/>
    <m/>
    <n v="0"/>
    <n v="31273533.000000004"/>
    <n v="4"/>
    <n v="4"/>
    <m/>
    <n v="0"/>
    <m/>
    <n v="57"/>
    <m/>
    <n v="0"/>
    <n v="35588987.00000003"/>
    <n v="197"/>
    <n v="0"/>
    <n v="870"/>
    <n v="32"/>
    <n v="197"/>
    <n v="85"/>
    <n v="2012"/>
    <n v="4"/>
    <n v="2018"/>
    <n v="197"/>
    <n v="2022"/>
    <s v=""/>
    <n v="197"/>
    <n v="197"/>
    <s v="Increasing"/>
    <n v="0.3113441654036182"/>
    <n v="5.4673730437993617E-2"/>
    <n v="0"/>
    <n v="0"/>
    <n v="3.2508507093853424E-2"/>
    <n v="1.2790368136532573E-3"/>
    <n v="5.5354202691973178E-2"/>
    <n v="5.5354202691973178E-2"/>
    <x v="1"/>
  </r>
  <r>
    <s v="Angola"/>
    <x v="0"/>
    <n v="25188292.499999996"/>
    <x v="2"/>
    <n v="517"/>
    <n v="26147002.000000011"/>
    <n v="0"/>
    <m/>
    <n v="0"/>
    <m/>
    <n v="0"/>
    <m/>
    <n v="177"/>
    <m/>
    <n v="0"/>
    <n v="31273533.000000004"/>
    <n v="411"/>
    <n v="657"/>
    <m/>
    <n v="0"/>
    <m/>
    <n v="236"/>
    <m/>
    <n v="0"/>
    <n v="35588987.00000003"/>
    <n v="10"/>
    <n v="657"/>
    <n v="517"/>
    <n v="411"/>
    <n v="236"/>
    <n v="517"/>
    <n v="2012"/>
    <n v="657"/>
    <s v="2018 (triag)"/>
    <n v="10"/>
    <n v="2022"/>
    <s v="Adjust"/>
    <n v="14.82970366409117"/>
    <n v="657"/>
    <s v="Decreasing"/>
    <n v="0.3113441654036182"/>
    <n v="5.4673730437993617E-2"/>
    <n v="138.51286251595391"/>
    <n v="774.10320910626353"/>
    <n v="0.19772821373555552"/>
    <n v="0.21008179664254753"/>
    <n v="4.166936154741117E-3"/>
    <n v="0.18460767090673288"/>
    <x v="0"/>
  </r>
  <r>
    <s v="Angola"/>
    <x v="0"/>
    <n v="25188292.499999996"/>
    <x v="3"/>
    <n v="0"/>
    <n v="26147002.000000011"/>
    <n v="0"/>
    <m/>
    <n v="0"/>
    <m/>
    <n v="0"/>
    <m/>
    <n v="0"/>
    <m/>
    <n v="0"/>
    <n v="31273533.000000004"/>
    <n v="0"/>
    <n v="0"/>
    <m/>
    <n v="0"/>
    <m/>
    <n v="0"/>
    <m/>
    <n v="0"/>
    <n v="35588987.00000003"/>
    <n v="0"/>
    <n v="0"/>
    <n v="0"/>
    <n v="0"/>
    <n v="0"/>
    <n v="0"/>
    <s v=""/>
    <n v="0"/>
    <s v=""/>
    <n v="0"/>
    <s v=""/>
    <s v=""/>
    <n v="0"/>
    <n v="0"/>
    <s v="No change"/>
    <n v="0.3113441654036182"/>
    <n v="5.4673730437993617E-2"/>
    <n v="0"/>
    <n v="0"/>
    <n v="0"/>
    <n v="0"/>
    <n v="0"/>
    <n v="0"/>
    <x v="1"/>
  </r>
  <r>
    <s v="Angola"/>
    <x v="0"/>
    <n v="25188292.499999996"/>
    <x v="4"/>
    <n v="0"/>
    <n v="26147002.000000011"/>
    <n v="0"/>
    <m/>
    <n v="0"/>
    <m/>
    <n v="0"/>
    <m/>
    <n v="0"/>
    <m/>
    <n v="0"/>
    <n v="31273533.000000004"/>
    <n v="0"/>
    <n v="328"/>
    <m/>
    <n v="0"/>
    <m/>
    <n v="0"/>
    <m/>
    <n v="0"/>
    <n v="35588987.00000003"/>
    <n v="2072"/>
    <n v="328"/>
    <n v="0"/>
    <n v="0"/>
    <n v="2072"/>
    <n v="0"/>
    <s v=""/>
    <n v="328"/>
    <s v="2018 (triag)"/>
    <n v="2072"/>
    <n v="2022"/>
    <s v=""/>
    <n v="2072"/>
    <n v="2072"/>
    <s v="Increasing"/>
    <n v="0.3113441654036182"/>
    <n v="5.4673730437993617E-2"/>
    <n v="69.151018120597996"/>
    <n v="386.46248491149839"/>
    <n v="0"/>
    <n v="0.10488101871956711"/>
    <n v="0.58220257856735236"/>
    <n v="0.58220257856735236"/>
    <x v="1"/>
  </r>
  <r>
    <s v="Angola"/>
    <x v="0"/>
    <n v="25188292.499999996"/>
    <x v="5"/>
    <n v="0"/>
    <n v="26147002.000000011"/>
    <n v="0"/>
    <m/>
    <n v="0"/>
    <m/>
    <n v="0"/>
    <m/>
    <n v="0"/>
    <m/>
    <n v="0"/>
    <n v="31273533.000000004"/>
    <n v="0"/>
    <n v="75"/>
    <m/>
    <n v="0"/>
    <m/>
    <n v="0"/>
    <m/>
    <n v="0"/>
    <n v="35588987.00000003"/>
    <n v="0"/>
    <n v="75"/>
    <n v="0"/>
    <n v="0"/>
    <n v="0"/>
    <n v="0"/>
    <s v=""/>
    <n v="75"/>
    <s v="2018 (triag)"/>
    <n v="75"/>
    <s v="2018 (triag)"/>
    <s v=""/>
    <n v="75"/>
    <n v="75"/>
    <s v="No change"/>
    <n v="0.3113441654036182"/>
    <n v="5.4673730437993617E-2"/>
    <n v="15.811970606844055"/>
    <n v="88.367946245007261"/>
    <n v="0"/>
    <n v="2.3981940255998577E-2"/>
    <n v="2.107393503501517E-2"/>
    <n v="2.107393503501517E-2"/>
    <x v="1"/>
  </r>
  <r>
    <s v="Angola"/>
    <x v="0"/>
    <n v="25188292.499999996"/>
    <x v="6"/>
    <n v="0"/>
    <n v="26147002.000000011"/>
    <n v="0"/>
    <m/>
    <n v="0"/>
    <m/>
    <n v="0"/>
    <m/>
    <n v="0"/>
    <m/>
    <n v="0"/>
    <n v="31273533.000000004"/>
    <n v="98"/>
    <n v="468"/>
    <m/>
    <n v="0"/>
    <m/>
    <n v="0"/>
    <m/>
    <n v="0"/>
    <n v="35588987.00000003"/>
    <n v="9"/>
    <n v="468"/>
    <n v="0"/>
    <n v="98"/>
    <n v="9"/>
    <n v="0"/>
    <s v=""/>
    <n v="468"/>
    <s v="2018 (triag)"/>
    <n v="9"/>
    <n v="2022"/>
    <s v="Adjust"/>
    <n v="13.346733297682052"/>
    <n v="468"/>
    <s v="Decreasing"/>
    <n v="0.3113441654036182"/>
    <n v="5.4673730437993617E-2"/>
    <n v="98.666696586706905"/>
    <n v="551.41598456884526"/>
    <n v="0"/>
    <n v="0.14964730719743111"/>
    <n v="3.7502425392670047E-3"/>
    <n v="0.13150135461849466"/>
    <x v="0"/>
  </r>
  <r>
    <s v="Angola"/>
    <x v="0"/>
    <n v="25188292.499999996"/>
    <x v="7"/>
    <n v="0"/>
    <n v="26147002.000000011"/>
    <n v="0"/>
    <m/>
    <n v="0"/>
    <s v="  "/>
    <n v="0"/>
    <m/>
    <n v="0"/>
    <m/>
    <n v="0"/>
    <n v="31273533.000000004"/>
    <n v="0"/>
    <n v="134"/>
    <m/>
    <n v="0"/>
    <m/>
    <n v="0"/>
    <m/>
    <n v="0"/>
    <n v="35588987.00000003"/>
    <n v="0"/>
    <n v="134"/>
    <n v="0"/>
    <n v="0"/>
    <n v="0"/>
    <n v="0"/>
    <s v=""/>
    <n v="134"/>
    <s v="2018 (triag)"/>
    <n v="134"/>
    <s v="2018 (triag)"/>
    <s v=""/>
    <n v="134"/>
    <n v="134"/>
    <s v="No change"/>
    <n v="0.3113441654036182"/>
    <n v="5.4673730437993617E-2"/>
    <n v="28.25072081756138"/>
    <n v="157.88406395774629"/>
    <n v="0"/>
    <n v="4.284773325738412E-2"/>
    <n v="3.7652097262560434E-2"/>
    <n v="3.7652097262560434E-2"/>
    <x v="1"/>
  </r>
  <r>
    <s v="Angola"/>
    <x v="0"/>
    <n v="25188292.499999996"/>
    <x v="8"/>
    <n v="0"/>
    <n v="26147002.000000011"/>
    <n v="0"/>
    <m/>
    <n v="0"/>
    <m/>
    <n v="0"/>
    <m/>
    <n v="0"/>
    <m/>
    <n v="0"/>
    <n v="31273533.000000004"/>
    <n v="0"/>
    <n v="789"/>
    <m/>
    <n v="0"/>
    <m/>
    <n v="0"/>
    <m/>
    <n v="0"/>
    <n v="35588987.00000003"/>
    <n v="107"/>
    <n v="789"/>
    <n v="0"/>
    <n v="0"/>
    <n v="107"/>
    <n v="0"/>
    <s v=""/>
    <n v="789"/>
    <s v="2018 (triag)"/>
    <n v="107"/>
    <n v="2022"/>
    <s v="Adjust"/>
    <n v="158.67782920577551"/>
    <n v="789"/>
    <s v="Decreasing"/>
    <n v="0.3113441654036182"/>
    <n v="5.4673730437993617E-2"/>
    <n v="166.34193078399946"/>
    <n v="929.63079449747636"/>
    <n v="0"/>
    <n v="0.25229001149310504"/>
    <n v="4.4586216855729943E-2"/>
    <n v="0.22169779656835958"/>
    <x v="0"/>
  </r>
  <r>
    <s v="Angola"/>
    <x v="0"/>
    <n v="25188292.499999996"/>
    <x v="9"/>
    <n v="0"/>
    <n v="26147002.000000011"/>
    <n v="0"/>
    <m/>
    <n v="0"/>
    <m/>
    <n v="0"/>
    <m/>
    <n v="0"/>
    <m/>
    <n v="0"/>
    <n v="31273533.000000004"/>
    <n v="0"/>
    <n v="190"/>
    <m/>
    <n v="0"/>
    <m/>
    <n v="0"/>
    <m/>
    <n v="0"/>
    <n v="35588987.00000003"/>
    <n v="117"/>
    <n v="190"/>
    <n v="0"/>
    <n v="0"/>
    <n v="117"/>
    <n v="0"/>
    <s v=""/>
    <n v="190"/>
    <s v="2018 (triag)"/>
    <n v="117"/>
    <n v="2022"/>
    <s v="Adjust"/>
    <n v="173.50753286986668"/>
    <n v="190"/>
    <s v="Decreasing"/>
    <n v="0.3113441654036182"/>
    <n v="5.4673730437993617E-2"/>
    <n v="40.056992204004942"/>
    <n v="223.86546382068505"/>
    <n v="0"/>
    <n v="6.0754248648529727E-2"/>
    <n v="4.8753153010471055E-2"/>
    <n v="5.3387302088705096E-2"/>
    <x v="1"/>
  </r>
  <r>
    <s v="Angola"/>
    <x v="0"/>
    <n v="25188292.499999996"/>
    <x v="10"/>
    <n v="0"/>
    <n v="26147002.000000011"/>
    <n v="0"/>
    <m/>
    <n v="0"/>
    <m/>
    <n v="0"/>
    <m/>
    <n v="0"/>
    <m/>
    <n v="0"/>
    <n v="31273533.000000004"/>
    <n v="0"/>
    <n v="56"/>
    <m/>
    <n v="0"/>
    <m/>
    <n v="0"/>
    <m/>
    <n v="0"/>
    <n v="35588987.00000003"/>
    <n v="6"/>
    <n v="56"/>
    <n v="0"/>
    <n v="0"/>
    <n v="6"/>
    <n v="0"/>
    <s v=""/>
    <n v="56"/>
    <s v="2018 (triag)"/>
    <n v="6"/>
    <n v="2022"/>
    <s v="Adjust"/>
    <n v="8.8978221984547012"/>
    <n v="56"/>
    <s v="Decreasing"/>
    <n v="0.3113441654036182"/>
    <n v="5.4673730437993617E-2"/>
    <n v="11.80627138644356"/>
    <n v="65.981399862938758"/>
    <n v="0"/>
    <n v="1.7906515391145603E-2"/>
    <n v="2.5001616928446695E-3"/>
    <n v="1.5735204826144659E-2"/>
    <x v="0"/>
  </r>
  <r>
    <s v="Angola"/>
    <x v="0"/>
    <n v="25188292.499999996"/>
    <x v="11"/>
    <n v="0"/>
    <n v="26147002.000000011"/>
    <n v="0"/>
    <m/>
    <n v="0"/>
    <m/>
    <n v="0"/>
    <m/>
    <n v="0"/>
    <m/>
    <n v="0"/>
    <n v="31273533.000000004"/>
    <n v="0"/>
    <n v="28324"/>
    <m/>
    <n v="0"/>
    <m/>
    <n v="0"/>
    <m/>
    <n v="0"/>
    <n v="35588987.00000003"/>
    <n v="0"/>
    <n v="28324"/>
    <n v="0"/>
    <n v="0"/>
    <n v="0"/>
    <n v="0"/>
    <s v=""/>
    <n v="28324"/>
    <s v="2018 (triag)"/>
    <n v="28324"/>
    <s v="2018 (triag)"/>
    <s v=""/>
    <n v="28324"/>
    <n v="28324"/>
    <s v="No change"/>
    <n v="0.3113441654036182"/>
    <n v="5.4673730437993617E-2"/>
    <n v="5971.4434062433465"/>
    <n v="33372.449459247808"/>
    <n v="0"/>
    <n v="9.056859677478716"/>
    <n v="7.9586418124235951"/>
    <n v="7.9586418124235951"/>
    <x v="1"/>
  </r>
  <r>
    <s v="Angola"/>
    <x v="0"/>
    <n v="25188292.499999996"/>
    <x v="12"/>
    <n v="0"/>
    <n v="26147002.000000011"/>
    <n v="0"/>
    <m/>
    <n v="0"/>
    <m/>
    <n v="0"/>
    <m/>
    <n v="0"/>
    <m/>
    <n v="0"/>
    <n v="31273533.000000004"/>
    <n v="0"/>
    <n v="0"/>
    <m/>
    <n v="0"/>
    <m/>
    <n v="0"/>
    <m/>
    <n v="0"/>
    <n v="35588987.00000003"/>
    <n v="8431"/>
    <n v="0"/>
    <n v="0"/>
    <n v="0"/>
    <n v="8431"/>
    <n v="0"/>
    <s v=""/>
    <n v="0"/>
    <s v=""/>
    <n v="8431"/>
    <n v="2022"/>
    <s v=""/>
    <n v="8431"/>
    <n v="8431"/>
    <s v="Increasing"/>
    <n v="0.3113441654036182"/>
    <n v="5.4673730437993617E-2"/>
    <n v="0"/>
    <n v="0"/>
    <n v="0"/>
    <n v="0"/>
    <n v="2.3689912837361717"/>
    <n v="2.3689912837361717"/>
    <x v="1"/>
  </r>
  <r>
    <s v="Angola"/>
    <x v="0"/>
    <n v="25188292.499999996"/>
    <x v="13"/>
    <n v="0"/>
    <n v="26147002.000000011"/>
    <n v="0"/>
    <m/>
    <n v="0"/>
    <m/>
    <n v="0"/>
    <m/>
    <n v="0"/>
    <m/>
    <n v="0"/>
    <n v="31273533.000000004"/>
    <n v="0"/>
    <n v="98"/>
    <m/>
    <n v="0"/>
    <m/>
    <n v="0"/>
    <m/>
    <n v="0"/>
    <n v="35588987.00000003"/>
    <n v="12"/>
    <n v="98"/>
    <n v="0"/>
    <n v="0"/>
    <n v="12"/>
    <n v="0"/>
    <s v=""/>
    <n v="98"/>
    <s v="2018 (triag)"/>
    <n v="12"/>
    <n v="2022"/>
    <s v="Adjust"/>
    <n v="17.795644396909402"/>
    <n v="98"/>
    <s v="Decreasing"/>
    <n v="0.3113441654036182"/>
    <n v="5.4673730437993617E-2"/>
    <n v="20.660974926276232"/>
    <n v="115.46744976014281"/>
    <n v="0"/>
    <n v="3.1336401934504807E-2"/>
    <n v="5.0003233856893391E-3"/>
    <n v="2.7536608445753154E-2"/>
    <x v="0"/>
  </r>
  <r>
    <s v="Angola"/>
    <x v="0"/>
    <n v="25188292.499999996"/>
    <x v="14"/>
    <n v="0"/>
    <n v="26147002.000000011"/>
    <n v="0"/>
    <m/>
    <n v="0"/>
    <m/>
    <n v="0"/>
    <m/>
    <n v="0"/>
    <m/>
    <n v="0"/>
    <n v="31273533.000000004"/>
    <n v="0"/>
    <n v="56"/>
    <m/>
    <n v="0"/>
    <m/>
    <n v="0"/>
    <m/>
    <n v="0"/>
    <n v="35588987.00000003"/>
    <n v="0"/>
    <n v="56"/>
    <n v="0"/>
    <n v="0"/>
    <n v="0"/>
    <n v="0"/>
    <s v=""/>
    <n v="56"/>
    <s v="2018 (triag)"/>
    <n v="56"/>
    <s v="2018 (triag)"/>
    <s v=""/>
    <n v="56"/>
    <n v="56"/>
    <s v="No change"/>
    <n v="0.3113441654036182"/>
    <n v="5.4673730437993617E-2"/>
    <n v="11.80627138644356"/>
    <n v="65.981399862938758"/>
    <n v="0"/>
    <n v="1.7906515391145603E-2"/>
    <n v="1.5735204826144659E-2"/>
    <n v="1.5735204826144659E-2"/>
    <x v="1"/>
  </r>
  <r>
    <s v="Angola"/>
    <x v="0"/>
    <n v="25188292.499999996"/>
    <x v="15"/>
    <n v="0"/>
    <n v="26147002.000000011"/>
    <n v="0"/>
    <m/>
    <n v="0"/>
    <m/>
    <n v="0"/>
    <m/>
    <n v="0"/>
    <m/>
    <n v="0"/>
    <n v="31273533.000000004"/>
    <n v="0"/>
    <n v="1156"/>
    <m/>
    <n v="0"/>
    <m/>
    <n v="0"/>
    <m/>
    <n v="0"/>
    <n v="35588987.00000003"/>
    <n v="1195"/>
    <n v="1156"/>
    <n v="0"/>
    <n v="0"/>
    <n v="1195"/>
    <n v="0"/>
    <s v=""/>
    <n v="1156"/>
    <s v="2018 (triag)"/>
    <n v="1195"/>
    <n v="2022"/>
    <s v=""/>
    <n v="1195"/>
    <n v="1195"/>
    <s v="Increasing"/>
    <n v="0.3113441654036182"/>
    <n v="5.4673730437993617E-2"/>
    <n v="243.71517362015638"/>
    <n v="1362.0446114563786"/>
    <n v="0"/>
    <n v="0.3696416391457914"/>
    <n v="0.33577803155790836"/>
    <n v="0.33577803155790836"/>
    <x v="1"/>
  </r>
  <r>
    <s v="Angola"/>
    <x v="0"/>
    <n v="25188292.499999996"/>
    <x v="16"/>
    <n v="0"/>
    <n v="26147002.000000011"/>
    <n v="0"/>
    <m/>
    <n v="0"/>
    <m/>
    <n v="0"/>
    <m/>
    <n v="0"/>
    <m/>
    <n v="0"/>
    <n v="31273533.000000004"/>
    <n v="0"/>
    <n v="0"/>
    <m/>
    <n v="0"/>
    <m/>
    <n v="0"/>
    <m/>
    <n v="0"/>
    <n v="35588987.00000003"/>
    <n v="41"/>
    <n v="0"/>
    <n v="0"/>
    <n v="0"/>
    <n v="41"/>
    <n v="0"/>
    <s v=""/>
    <n v="0"/>
    <s v=""/>
    <n v="41"/>
    <n v="2022"/>
    <s v=""/>
    <n v="41"/>
    <n v="41"/>
    <s v="Increasing"/>
    <n v="0.3113441654036182"/>
    <n v="5.4673730437993617E-2"/>
    <n v="0"/>
    <n v="0"/>
    <n v="0"/>
    <n v="0"/>
    <n v="1.1520417819141626E-2"/>
    <n v="1.1520417819141626E-2"/>
    <x v="1"/>
  </r>
  <r>
    <s v="Angola"/>
    <x v="0"/>
    <n v="25188292.499999996"/>
    <x v="17"/>
    <n v="0"/>
    <n v="26147002.000000011"/>
    <n v="0"/>
    <m/>
    <n v="0"/>
    <m/>
    <n v="0"/>
    <m/>
    <n v="0"/>
    <m/>
    <n v="0"/>
    <n v="31273533.000000004"/>
    <n v="0"/>
    <n v="0"/>
    <m/>
    <n v="0"/>
    <m/>
    <n v="0"/>
    <m/>
    <n v="0"/>
    <n v="35588987.00000003"/>
    <n v="1"/>
    <n v="0"/>
    <n v="0"/>
    <n v="0"/>
    <n v="1"/>
    <n v="0"/>
    <s v=""/>
    <n v="0"/>
    <s v=""/>
    <n v="1"/>
    <n v="2022"/>
    <s v=""/>
    <n v="1"/>
    <n v="1"/>
    <s v="Increasing"/>
    <n v="0.3113441654036182"/>
    <n v="5.4673730437993617E-2"/>
    <n v="0"/>
    <n v="0"/>
    <n v="0"/>
    <n v="0"/>
    <n v="2.8098580046686893E-4"/>
    <n v="2.8098580046686893E-4"/>
    <x v="1"/>
  </r>
  <r>
    <s v="Angola"/>
    <x v="0"/>
    <n v="25188292.499999996"/>
    <x v="18"/>
    <n v="0"/>
    <n v="26147002.000000011"/>
    <n v="0"/>
    <m/>
    <n v="0"/>
    <m/>
    <n v="0"/>
    <m/>
    <n v="0"/>
    <m/>
    <n v="0"/>
    <n v="31273533.000000004"/>
    <n v="0"/>
    <n v="16380"/>
    <m/>
    <n v="0"/>
    <m/>
    <n v="0"/>
    <m/>
    <n v="0"/>
    <n v="35588987.00000003"/>
    <n v="0"/>
    <n v="16380"/>
    <n v="0"/>
    <n v="0"/>
    <n v="0"/>
    <n v="0"/>
    <s v=""/>
    <n v="16380"/>
    <s v="2018 (triag)"/>
    <n v="16380"/>
    <s v="2018 (triag)"/>
    <s v=""/>
    <n v="16380"/>
    <n v="16380"/>
    <s v="No change"/>
    <n v="0.3113441654036182"/>
    <n v="5.4673730437993617E-2"/>
    <n v="3453.3343805347417"/>
    <n v="19299.559459909586"/>
    <n v="0"/>
    <n v="5.237655751910089"/>
    <n v="4.6025474116473131"/>
    <n v="4.6025474116473131"/>
    <x v="1"/>
  </r>
  <r>
    <s v="Burundi"/>
    <x v="1"/>
    <n v="9795479.0000000019"/>
    <x v="0"/>
    <n v="0"/>
    <n v="10149577.500000002"/>
    <n v="0"/>
    <m/>
    <n v="0"/>
    <m/>
    <n v="0"/>
    <m/>
    <n v="0"/>
    <m/>
    <n v="0"/>
    <n v="11493472.499999993"/>
    <n v="11845"/>
    <n v="11845"/>
    <m/>
    <n v="0"/>
    <m/>
    <n v="11845"/>
    <m/>
    <n v="0"/>
    <n v="12889576.499999994"/>
    <n v="0"/>
    <n v="11845"/>
    <n v="0"/>
    <n v="11845"/>
    <n v="11845"/>
    <n v="0"/>
    <s v=""/>
    <n v="11845"/>
    <n v="2018"/>
    <n v="11845"/>
    <n v="2020"/>
    <s v=""/>
    <n v="11845"/>
    <n v="11845"/>
    <s v="No change"/>
    <n v="0.1019276516404819"/>
    <n v="4.0873218672115019E-3"/>
    <n v="7115.4436188995169"/>
    <n v="11991.137115651654"/>
    <n v="0"/>
    <n v="10.305849689900079"/>
    <n v="9.1895959498746951"/>
    <n v="9.1895959498746951"/>
    <x v="1"/>
  </r>
  <r>
    <s v="Burundi"/>
    <x v="1"/>
    <n v="9795479.0000000019"/>
    <x v="1"/>
    <n v="44"/>
    <n v="10149577.500000002"/>
    <n v="0"/>
    <m/>
    <n v="0"/>
    <m/>
    <n v="0"/>
    <m/>
    <n v="42"/>
    <m/>
    <n v="0"/>
    <n v="11493472.499999993"/>
    <n v="0"/>
    <n v="10"/>
    <m/>
    <n v="0"/>
    <m/>
    <n v="0"/>
    <m/>
    <n v="0"/>
    <n v="12889576.499999994"/>
    <n v="0"/>
    <n v="10"/>
    <n v="44"/>
    <n v="42"/>
    <n v="0"/>
    <n v="44"/>
    <n v="2012"/>
    <n v="10"/>
    <s v="2018 (triag)"/>
    <n v="10"/>
    <s v="2018 (triag)"/>
    <s v=""/>
    <n v="10"/>
    <n v="10"/>
    <s v="No change"/>
    <n v="0.1019276516404819"/>
    <n v="4.0873218672115019E-3"/>
    <n v="6.0071284245669201"/>
    <n v="10.123374517223853"/>
    <n v="4.33515582298869E-2"/>
    <n v="8.7005907048544346E-3"/>
    <n v="7.7582067960107175E-3"/>
    <n v="7.7582067960107175E-3"/>
    <x v="1"/>
  </r>
  <r>
    <s v="Burundi"/>
    <x v="1"/>
    <n v="9795479.0000000019"/>
    <x v="2"/>
    <n v="0"/>
    <n v="10149577.500000002"/>
    <n v="0"/>
    <m/>
    <n v="0"/>
    <m/>
    <n v="0"/>
    <m/>
    <n v="96"/>
    <m/>
    <n v="0"/>
    <n v="11493472.499999993"/>
    <n v="0"/>
    <n v="372"/>
    <m/>
    <n v="149"/>
    <m/>
    <n v="0"/>
    <m/>
    <n v="0"/>
    <n v="12889576.499999994"/>
    <n v="0"/>
    <n v="372"/>
    <n v="0"/>
    <n v="149"/>
    <n v="0"/>
    <n v="0"/>
    <s v=""/>
    <n v="372"/>
    <s v="2018 (triag)"/>
    <n v="149"/>
    <s v="2018 (triag)"/>
    <s v="Adjust"/>
    <n v="186.22450107945869"/>
    <n v="372"/>
    <s v="Decreasing"/>
    <n v="0.1019276516404819"/>
    <n v="4.0873218672115019E-3"/>
    <n v="223.46517739388943"/>
    <n v="376.58953204072736"/>
    <n v="0"/>
    <n v="0.32366197422058496"/>
    <n v="0.14447681898583617"/>
    <n v="0.28860529281159869"/>
    <x v="0"/>
  </r>
  <r>
    <s v="Burundi"/>
    <x v="1"/>
    <n v="9795479.0000000019"/>
    <x v="3"/>
    <n v="0"/>
    <n v="10149577.500000002"/>
    <n v="0"/>
    <m/>
    <n v="0"/>
    <m/>
    <n v="0"/>
    <m/>
    <n v="0"/>
    <m/>
    <n v="0"/>
    <n v="11493472.499999993"/>
    <n v="0"/>
    <n v="8664"/>
    <m/>
    <n v="0"/>
    <m/>
    <n v="0"/>
    <m/>
    <n v="0"/>
    <n v="12889576.499999994"/>
    <n v="0"/>
    <n v="8664"/>
    <n v="0"/>
    <n v="0"/>
    <n v="0"/>
    <n v="0"/>
    <s v=""/>
    <n v="8664"/>
    <s v="2018 (triag)"/>
    <n v="8664"/>
    <s v="2018 (triag)"/>
    <s v=""/>
    <n v="8664"/>
    <n v="8664"/>
    <s v="No change"/>
    <n v="0.1019276516404819"/>
    <n v="4.0873218672115019E-3"/>
    <n v="5204.5760670447798"/>
    <n v="8770.8916817227455"/>
    <n v="0"/>
    <n v="7.5381917866858821"/>
    <n v="6.721710368063686"/>
    <n v="6.721710368063686"/>
    <x v="1"/>
  </r>
  <r>
    <s v="Burundi"/>
    <x v="1"/>
    <n v="9795479.0000000019"/>
    <x v="4"/>
    <n v="0"/>
    <n v="10149577.500000002"/>
    <n v="0"/>
    <m/>
    <n v="0"/>
    <m/>
    <n v="0"/>
    <m/>
    <n v="0"/>
    <m/>
    <n v="0"/>
    <n v="11493472.499999993"/>
    <n v="0"/>
    <n v="1383"/>
    <m/>
    <n v="0"/>
    <m/>
    <n v="0"/>
    <m/>
    <n v="0"/>
    <n v="12889576.499999994"/>
    <n v="0"/>
    <n v="1383"/>
    <n v="0"/>
    <n v="0"/>
    <n v="0"/>
    <n v="0"/>
    <s v=""/>
    <n v="1383"/>
    <s v="2018 (triag)"/>
    <n v="1383"/>
    <s v="2018 (triag)"/>
    <s v=""/>
    <n v="1383"/>
    <n v="1383"/>
    <s v="No change"/>
    <n v="0.1019276516404819"/>
    <n v="4.0873218672115019E-3"/>
    <n v="830.78586111760512"/>
    <n v="1400.062695732059"/>
    <n v="0"/>
    <n v="1.2032916944813683"/>
    <n v="1.0729599998882824"/>
    <n v="1.0729599998882824"/>
    <x v="1"/>
  </r>
  <r>
    <s v="Burundi"/>
    <x v="1"/>
    <n v="9795479.0000000019"/>
    <x v="5"/>
    <n v="0"/>
    <n v="10149577.500000002"/>
    <n v="0"/>
    <m/>
    <n v="0"/>
    <m/>
    <n v="0"/>
    <m/>
    <n v="0"/>
    <m/>
    <n v="0"/>
    <n v="11493472.499999993"/>
    <n v="0"/>
    <n v="0"/>
    <m/>
    <n v="0"/>
    <m/>
    <n v="0"/>
    <m/>
    <n v="0"/>
    <n v="12889576.499999994"/>
    <n v="0"/>
    <n v="0"/>
    <n v="0"/>
    <n v="0"/>
    <n v="0"/>
    <n v="0"/>
    <s v=""/>
    <n v="0"/>
    <s v=""/>
    <n v="0"/>
    <s v=""/>
    <s v=""/>
    <n v="0"/>
    <n v="0"/>
    <s v="No change"/>
    <n v="0.1019276516404819"/>
    <n v="4.0873218672115019E-3"/>
    <n v="0"/>
    <n v="0"/>
    <n v="0"/>
    <n v="0"/>
    <n v="0"/>
    <n v="0"/>
    <x v="1"/>
  </r>
  <r>
    <s v="Burundi"/>
    <x v="1"/>
    <n v="9795479.0000000019"/>
    <x v="6"/>
    <n v="0"/>
    <n v="10149577.500000002"/>
    <n v="0"/>
    <m/>
    <n v="0"/>
    <m/>
    <n v="0"/>
    <m/>
    <n v="0"/>
    <m/>
    <n v="1073"/>
    <n v="11493472.499999993"/>
    <n v="1071"/>
    <n v="1071"/>
    <m/>
    <n v="0"/>
    <m/>
    <n v="0"/>
    <m/>
    <n v="0"/>
    <n v="12889576.499999994"/>
    <n v="0"/>
    <n v="155"/>
    <n v="0"/>
    <n v="1073"/>
    <n v="0"/>
    <n v="0"/>
    <s v=""/>
    <n v="1071"/>
    <n v="2018"/>
    <n v="1071"/>
    <n v="2018"/>
    <s v=""/>
    <n v="1071"/>
    <n v="1071"/>
    <s v="No change"/>
    <n v="0.1019276516404819"/>
    <n v="4.0873218672115019E-3"/>
    <n v="93.110490580787271"/>
    <n v="156.91230501696973"/>
    <n v="0"/>
    <n v="0.93183326448991"/>
    <n v="0.8309039478527479"/>
    <n v="0.8309039478527479"/>
    <x v="1"/>
  </r>
  <r>
    <s v="Burundi"/>
    <x v="1"/>
    <n v="9795479.0000000019"/>
    <x v="7"/>
    <n v="0"/>
    <n v="10149577.500000002"/>
    <n v="0"/>
    <m/>
    <n v="0"/>
    <m/>
    <n v="0"/>
    <m/>
    <n v="0"/>
    <m/>
    <n v="0"/>
    <n v="11493472.499999993"/>
    <n v="0"/>
    <n v="0"/>
    <m/>
    <n v="0"/>
    <m/>
    <n v="0"/>
    <m/>
    <n v="0"/>
    <n v="12889576.499999994"/>
    <n v="0"/>
    <n v="0"/>
    <n v="0"/>
    <n v="0"/>
    <n v="0"/>
    <n v="0"/>
    <s v=""/>
    <n v="0"/>
    <s v=""/>
    <n v="0"/>
    <s v=""/>
    <s v=""/>
    <n v="0"/>
    <n v="0"/>
    <s v="No change"/>
    <n v="0.1019276516404819"/>
    <n v="4.0873218672115019E-3"/>
    <n v="0"/>
    <n v="0"/>
    <n v="0"/>
    <n v="0"/>
    <n v="0"/>
    <n v="0"/>
    <x v="1"/>
  </r>
  <r>
    <s v="Burundi"/>
    <x v="1"/>
    <n v="9795479.0000000019"/>
    <x v="8"/>
    <n v="0"/>
    <n v="10149577.500000002"/>
    <n v="0"/>
    <m/>
    <n v="0"/>
    <m/>
    <n v="0"/>
    <m/>
    <n v="0"/>
    <m/>
    <n v="0"/>
    <n v="11493472.499999993"/>
    <n v="0"/>
    <n v="86"/>
    <m/>
    <n v="0"/>
    <m/>
    <n v="0"/>
    <m/>
    <n v="81"/>
    <n v="12889576.499999994"/>
    <n v="0"/>
    <n v="86"/>
    <n v="0"/>
    <n v="0"/>
    <n v="81"/>
    <n v="0"/>
    <s v=""/>
    <n v="86"/>
    <s v="2018 (triag)"/>
    <n v="81"/>
    <n v="2021"/>
    <s v="Adjust"/>
    <n v="101.23613817071244"/>
    <n v="101.23613817071244"/>
    <s v="Increasing"/>
    <n v="0.1019276516404819"/>
    <n v="4.0873218672115019E-3"/>
    <n v="51.661304451275512"/>
    <n v="87.061020848125139"/>
    <n v="0"/>
    <n v="7.4825080061748137E-2"/>
    <n v="7.8541089515790127E-2"/>
    <n v="7.8541089515790127E-2"/>
    <x v="1"/>
  </r>
  <r>
    <s v="Burundi"/>
    <x v="1"/>
    <n v="9795479.0000000019"/>
    <x v="9"/>
    <n v="0"/>
    <n v="10149577.500000002"/>
    <n v="0"/>
    <m/>
    <n v="0"/>
    <m/>
    <n v="0"/>
    <m/>
    <n v="0"/>
    <m/>
    <n v="0"/>
    <n v="11493472.499999993"/>
    <n v="0"/>
    <n v="108"/>
    <m/>
    <n v="0"/>
    <m/>
    <n v="0"/>
    <m/>
    <n v="0"/>
    <n v="12889576.499999994"/>
    <n v="0"/>
    <n v="108"/>
    <n v="0"/>
    <n v="0"/>
    <n v="0"/>
    <n v="0"/>
    <s v=""/>
    <n v="108"/>
    <s v="2018 (triag)"/>
    <n v="108"/>
    <s v="2018 (triag)"/>
    <s v=""/>
    <n v="108"/>
    <n v="108"/>
    <s v="No change"/>
    <n v="0.1019276516404819"/>
    <n v="4.0873218672115019E-3"/>
    <n v="64.876986985322745"/>
    <n v="109.33244478601762"/>
    <n v="0"/>
    <n v="9.3966379612427903E-2"/>
    <n v="8.3788633396915752E-2"/>
    <n v="8.3788633396915752E-2"/>
    <x v="1"/>
  </r>
  <r>
    <s v="Burundi"/>
    <x v="1"/>
    <n v="9795479.0000000019"/>
    <x v="10"/>
    <n v="0"/>
    <n v="10149577.500000002"/>
    <n v="0"/>
    <m/>
    <n v="0"/>
    <m/>
    <n v="0"/>
    <m/>
    <n v="0"/>
    <m/>
    <n v="0"/>
    <n v="11493472.499999993"/>
    <n v="0"/>
    <n v="0"/>
    <m/>
    <n v="0"/>
    <m/>
    <n v="0"/>
    <m/>
    <n v="0"/>
    <n v="12889576.499999994"/>
    <n v="0"/>
    <n v="0"/>
    <n v="0"/>
    <n v="0"/>
    <n v="0"/>
    <n v="0"/>
    <s v=""/>
    <n v="0"/>
    <s v=""/>
    <n v="0"/>
    <s v=""/>
    <s v=""/>
    <n v="0"/>
    <n v="0"/>
    <s v="No change"/>
    <n v="0.1019276516404819"/>
    <n v="4.0873218672115019E-3"/>
    <n v="0"/>
    <n v="0"/>
    <n v="0"/>
    <n v="0"/>
    <n v="0"/>
    <n v="0"/>
    <x v="1"/>
  </r>
  <r>
    <s v="Burundi"/>
    <x v="1"/>
    <n v="9795479.0000000019"/>
    <x v="11"/>
    <n v="0"/>
    <n v="10149577.500000002"/>
    <n v="0"/>
    <m/>
    <n v="0"/>
    <m/>
    <n v="0"/>
    <m/>
    <n v="0"/>
    <m/>
    <n v="2946"/>
    <n v="11493472.499999993"/>
    <n v="0"/>
    <n v="2906"/>
    <m/>
    <n v="0"/>
    <m/>
    <n v="0"/>
    <m/>
    <n v="7805"/>
    <n v="12889576.499999994"/>
    <n v="0"/>
    <n v="2906"/>
    <n v="0"/>
    <n v="2946"/>
    <n v="7805"/>
    <n v="0"/>
    <s v=""/>
    <n v="2906"/>
    <s v="2018 (triag)"/>
    <n v="7805"/>
    <n v="2021"/>
    <s v=""/>
    <n v="7805"/>
    <n v="7805"/>
    <s v="Increasing"/>
    <n v="0.1019276516404819"/>
    <n v="4.0873218672115019E-3"/>
    <n v="1745.6715201791471"/>
    <n v="2941.8526347052516"/>
    <n v="0"/>
    <n v="2.5283916588306989"/>
    <n v="6.055280404286365"/>
    <n v="6.055280404286365"/>
    <x v="1"/>
  </r>
  <r>
    <s v="Burundi"/>
    <x v="1"/>
    <n v="9795479.0000000019"/>
    <x v="12"/>
    <n v="0"/>
    <n v="10149577.500000002"/>
    <n v="0"/>
    <m/>
    <n v="0"/>
    <m/>
    <n v="0"/>
    <m/>
    <n v="0"/>
    <m/>
    <n v="9003"/>
    <n v="11493472.499999993"/>
    <n v="0"/>
    <n v="0"/>
    <m/>
    <n v="0"/>
    <m/>
    <n v="0"/>
    <m/>
    <n v="0"/>
    <n v="12889576.499999994"/>
    <n v="0"/>
    <n v="0"/>
    <n v="0"/>
    <n v="9003"/>
    <n v="0"/>
    <n v="0"/>
    <s v=""/>
    <n v="9003"/>
    <n v="2017"/>
    <n v="9003"/>
    <n v="2017"/>
    <s v=""/>
    <n v="9003"/>
    <n v="9003"/>
    <s v="No change"/>
    <n v="0.1019276516404819"/>
    <n v="4.0873218672115019E-3"/>
    <n v="0"/>
    <n v="0"/>
    <n v="0"/>
    <n v="7.8331418115804476"/>
    <n v="6.9847135784484493"/>
    <n v="6.9847135784484493"/>
    <x v="1"/>
  </r>
  <r>
    <s v="Burundi"/>
    <x v="1"/>
    <n v="9795479.0000000019"/>
    <x v="13"/>
    <n v="0"/>
    <n v="10149577.500000002"/>
    <n v="0"/>
    <m/>
    <n v="0"/>
    <m/>
    <n v="0"/>
    <m/>
    <n v="0"/>
    <m/>
    <n v="0"/>
    <n v="11493472.499999993"/>
    <n v="0"/>
    <n v="1071"/>
    <m/>
    <n v="0"/>
    <m/>
    <n v="0"/>
    <m/>
    <n v="729"/>
    <n v="12889576.499999994"/>
    <n v="0"/>
    <n v="1071"/>
    <n v="0"/>
    <n v="0"/>
    <n v="729"/>
    <n v="0"/>
    <s v=""/>
    <n v="1071"/>
    <s v="2018 (triag)"/>
    <n v="729"/>
    <n v="2021"/>
    <s v="Adjust"/>
    <n v="911.12524353641197"/>
    <n v="1071"/>
    <s v="Decreasing"/>
    <n v="0.1019276516404819"/>
    <n v="4.0873218672115019E-3"/>
    <n v="643.36345427111712"/>
    <n v="1084.2134107946747"/>
    <n v="0"/>
    <n v="0.93183326448991"/>
    <n v="0.70686980564211122"/>
    <n v="0.8309039478527479"/>
    <x v="1"/>
  </r>
  <r>
    <s v="Burundi"/>
    <x v="1"/>
    <n v="9795479.0000000019"/>
    <x v="14"/>
    <n v="0"/>
    <n v="10149577.500000002"/>
    <n v="0"/>
    <m/>
    <n v="0"/>
    <m/>
    <n v="0"/>
    <m/>
    <n v="0"/>
    <m/>
    <n v="0"/>
    <n v="11493472.499999993"/>
    <n v="0"/>
    <n v="0"/>
    <m/>
    <n v="0"/>
    <m/>
    <n v="0"/>
    <m/>
    <n v="0"/>
    <n v="12889576.499999994"/>
    <n v="0"/>
    <n v="0"/>
    <n v="0"/>
    <n v="0"/>
    <n v="0"/>
    <n v="0"/>
    <s v=""/>
    <n v="0"/>
    <s v=""/>
    <n v="0"/>
    <s v=""/>
    <s v=""/>
    <n v="0"/>
    <n v="0"/>
    <s v="No change"/>
    <n v="0.1019276516404819"/>
    <n v="4.0873218672115019E-3"/>
    <n v="0"/>
    <n v="0"/>
    <n v="0"/>
    <n v="0"/>
    <n v="0"/>
    <n v="0"/>
    <x v="1"/>
  </r>
  <r>
    <s v="Burundi"/>
    <x v="1"/>
    <n v="9795479.0000000019"/>
    <x v="15"/>
    <n v="0"/>
    <n v="10149577.500000002"/>
    <n v="0"/>
    <m/>
    <n v="0"/>
    <m/>
    <n v="0"/>
    <m/>
    <n v="0"/>
    <m/>
    <n v="0"/>
    <n v="11493472.499999993"/>
    <n v="0"/>
    <n v="9"/>
    <m/>
    <n v="0"/>
    <m/>
    <n v="0"/>
    <m/>
    <n v="0"/>
    <n v="12889576.499999994"/>
    <n v="0"/>
    <n v="9"/>
    <n v="0"/>
    <n v="0"/>
    <n v="0"/>
    <n v="0"/>
    <s v=""/>
    <n v="9"/>
    <s v="2018 (triag)"/>
    <n v="9"/>
    <s v="2018 (triag)"/>
    <s v=""/>
    <n v="9"/>
    <n v="9"/>
    <s v="No change"/>
    <n v="0.1019276516404819"/>
    <n v="4.0873218672115019E-3"/>
    <n v="5.4064155821102284"/>
    <n v="9.111037065501467"/>
    <n v="0"/>
    <n v="7.8305316343689913E-3"/>
    <n v="6.982386116409646E-3"/>
    <n v="6.982386116409646E-3"/>
    <x v="1"/>
  </r>
  <r>
    <s v="Burundi"/>
    <x v="1"/>
    <n v="9795479.0000000019"/>
    <x v="16"/>
    <n v="0"/>
    <n v="10149577.500000002"/>
    <n v="0"/>
    <m/>
    <n v="0"/>
    <m/>
    <n v="0"/>
    <m/>
    <n v="0"/>
    <m/>
    <n v="0"/>
    <n v="11493472.499999993"/>
    <n v="0"/>
    <n v="0"/>
    <m/>
    <n v="0"/>
    <m/>
    <n v="0"/>
    <m/>
    <n v="0"/>
    <n v="12889576.499999994"/>
    <n v="0"/>
    <n v="0"/>
    <n v="0"/>
    <n v="0"/>
    <n v="0"/>
    <n v="0"/>
    <s v=""/>
    <n v="0"/>
    <s v=""/>
    <n v="0"/>
    <s v=""/>
    <s v=""/>
    <n v="0"/>
    <n v="0"/>
    <s v="No change"/>
    <n v="0.1019276516404819"/>
    <n v="4.0873218672115019E-3"/>
    <n v="0"/>
    <n v="0"/>
    <n v="0"/>
    <n v="0"/>
    <n v="0"/>
    <n v="0"/>
    <x v="1"/>
  </r>
  <r>
    <s v="Burundi"/>
    <x v="1"/>
    <n v="9795479.0000000019"/>
    <x v="17"/>
    <n v="0"/>
    <n v="10149577.500000002"/>
    <n v="0"/>
    <m/>
    <n v="0"/>
    <m/>
    <n v="0"/>
    <m/>
    <n v="0"/>
    <m/>
    <n v="0"/>
    <n v="11493472.499999993"/>
    <n v="0"/>
    <n v="0"/>
    <m/>
    <n v="0"/>
    <m/>
    <n v="0"/>
    <m/>
    <n v="5"/>
    <n v="12889576.499999994"/>
    <n v="0"/>
    <n v="0"/>
    <n v="0"/>
    <n v="0"/>
    <n v="5"/>
    <n v="0"/>
    <s v=""/>
    <n v="0"/>
    <s v=""/>
    <n v="5"/>
    <n v="2021"/>
    <s v=""/>
    <n v="5"/>
    <n v="5"/>
    <s v="Increasing"/>
    <n v="0.1019276516404819"/>
    <n v="4.0873218672115019E-3"/>
    <n v="0"/>
    <n v="0"/>
    <n v="0"/>
    <n v="0"/>
    <n v="3.8791033980053588E-3"/>
    <n v="3.8791033980053588E-3"/>
    <x v="1"/>
  </r>
  <r>
    <s v="Burundi"/>
    <x v="1"/>
    <n v="9795479.0000000019"/>
    <x v="18"/>
    <n v="0"/>
    <n v="10149577.500000002"/>
    <n v="0"/>
    <m/>
    <n v="0"/>
    <m/>
    <n v="0"/>
    <m/>
    <n v="0"/>
    <m/>
    <n v="0"/>
    <n v="11493472.499999993"/>
    <n v="0"/>
    <n v="1000"/>
    <m/>
    <n v="0"/>
    <m/>
    <n v="0"/>
    <m/>
    <n v="0"/>
    <n v="12889576.499999994"/>
    <n v="0"/>
    <n v="1000"/>
    <n v="0"/>
    <n v="0"/>
    <n v="0"/>
    <n v="0"/>
    <s v=""/>
    <n v="1000"/>
    <s v="2018 (triag)"/>
    <n v="1000"/>
    <s v="2018 (triag)"/>
    <s v=""/>
    <n v="1000"/>
    <n v="1000"/>
    <s v="No change"/>
    <n v="0.1019276516404819"/>
    <n v="4.0873218672115019E-3"/>
    <n v="600.71284245669199"/>
    <n v="1012.3374517223854"/>
    <n v="0"/>
    <n v="0.87005907048544351"/>
    <n v="0.77582067960107182"/>
    <n v="0.77582067960107182"/>
    <x v="1"/>
  </r>
  <r>
    <s v="Benin"/>
    <x v="2"/>
    <n v="10014078.499999996"/>
    <x v="0"/>
    <n v="0"/>
    <n v="10308730.499999994"/>
    <n v="0"/>
    <m/>
    <n v="0"/>
    <m/>
    <n v="0"/>
    <m/>
    <n v="0"/>
    <m/>
    <n v="0"/>
    <n v="11940683.499999996"/>
    <n v="0"/>
    <n v="0"/>
    <m/>
    <n v="0"/>
    <m/>
    <n v="0"/>
    <m/>
    <n v="21"/>
    <n v="13352864"/>
    <n v="21"/>
    <n v="0"/>
    <n v="0"/>
    <n v="0"/>
    <n v="21"/>
    <n v="0"/>
    <s v=""/>
    <n v="0"/>
    <s v=""/>
    <n v="21"/>
    <n v="2021"/>
    <s v=""/>
    <n v="21"/>
    <n v="21"/>
    <s v="Increasing"/>
    <n v="5.0912180313375632E-2"/>
    <n v="-3.8361793441239245E-2"/>
    <n v="0"/>
    <n v="0"/>
    <n v="0"/>
    <n v="0"/>
    <n v="1.5726963144386104E-2"/>
    <n v="1.5726963144386104E-2"/>
    <x v="1"/>
  </r>
  <r>
    <s v="Benin"/>
    <x v="2"/>
    <n v="10014078.499999996"/>
    <x v="1"/>
    <n v="0"/>
    <n v="10308730.499999994"/>
    <n v="0"/>
    <m/>
    <n v="0"/>
    <m/>
    <n v="0"/>
    <m/>
    <n v="0"/>
    <m/>
    <n v="0"/>
    <n v="11940683.499999996"/>
    <n v="8"/>
    <n v="8"/>
    <m/>
    <n v="0"/>
    <m/>
    <n v="0"/>
    <m/>
    <n v="21"/>
    <n v="13352864"/>
    <n v="0"/>
    <n v="0"/>
    <n v="0"/>
    <n v="8"/>
    <n v="21"/>
    <n v="0"/>
    <s v=""/>
    <n v="8"/>
    <n v="2018"/>
    <n v="21"/>
    <n v="2021"/>
    <s v=""/>
    <n v="21"/>
    <n v="21"/>
    <s v="Increasing"/>
    <n v="5.0912180313375632E-2"/>
    <n v="-3.8361793441239245E-2"/>
    <n v="0"/>
    <n v="0"/>
    <n v="0"/>
    <n v="6.6997839780277256E-3"/>
    <n v="1.5726963144386104E-2"/>
    <n v="1.5726963144386104E-2"/>
    <x v="1"/>
  </r>
  <r>
    <s v="Benin"/>
    <x v="2"/>
    <n v="10014078.499999996"/>
    <x v="2"/>
    <n v="0"/>
    <n v="10308730.499999994"/>
    <n v="0"/>
    <m/>
    <n v="0"/>
    <m/>
    <n v="3830"/>
    <m/>
    <n v="0"/>
    <m/>
    <n v="0"/>
    <n v="11940683.499999996"/>
    <n v="429"/>
    <n v="619"/>
    <m/>
    <n v="0"/>
    <m/>
    <n v="0"/>
    <m/>
    <n v="1570"/>
    <n v="13352864"/>
    <n v="0"/>
    <n v="619"/>
    <n v="3830"/>
    <n v="429"/>
    <n v="1570"/>
    <n v="3830"/>
    <n v="2015"/>
    <n v="619"/>
    <s v="2018 (triag)"/>
    <n v="1570"/>
    <n v="2021"/>
    <s v=""/>
    <n v="1570"/>
    <n v="1570"/>
    <s v="Increasing"/>
    <n v="5.0912180313375632E-2"/>
    <n v="-3.8361793441239245E-2"/>
    <n v="479.88398228678244"/>
    <n v="551.70853601394629"/>
    <n v="3.7152974364787226"/>
    <n v="0.51839578529989527"/>
    <n v="1.1757777207945801"/>
    <n v="1.1757777207945801"/>
    <x v="1"/>
  </r>
  <r>
    <s v="Benin"/>
    <x v="2"/>
    <n v="10014078.499999996"/>
    <x v="3"/>
    <n v="0"/>
    <n v="10308730.499999994"/>
    <n v="0"/>
    <m/>
    <n v="0"/>
    <m/>
    <n v="0"/>
    <m/>
    <n v="0"/>
    <m/>
    <n v="0"/>
    <n v="11940683.499999996"/>
    <n v="0"/>
    <n v="2623"/>
    <m/>
    <n v="0"/>
    <m/>
    <n v="0"/>
    <m/>
    <n v="6809"/>
    <n v="13352864"/>
    <n v="0"/>
    <n v="2623"/>
    <n v="0"/>
    <n v="0"/>
    <n v="6809"/>
    <n v="0"/>
    <s v=""/>
    <n v="2623"/>
    <s v="2018 (triag)"/>
    <n v="6809"/>
    <n v="2021"/>
    <s v=""/>
    <n v="6809"/>
    <n v="6809"/>
    <s v="Increasing"/>
    <n v="5.0912180313375632E-2"/>
    <n v="-3.8361793441239245E-2"/>
    <n v="2033.4986842297742"/>
    <n v="2337.8537802335723"/>
    <n v="0"/>
    <n v="2.1966916717958407"/>
    <n v="5.0992805738154754"/>
    <n v="5.0992805738154754"/>
    <x v="1"/>
  </r>
  <r>
    <s v="Benin"/>
    <x v="2"/>
    <n v="10014078.499999996"/>
    <x v="4"/>
    <n v="0"/>
    <n v="10308730.499999994"/>
    <n v="0"/>
    <m/>
    <n v="0"/>
    <m/>
    <n v="0"/>
    <m/>
    <n v="0"/>
    <m/>
    <n v="0"/>
    <n v="11940683.499999996"/>
    <n v="0"/>
    <n v="0"/>
    <m/>
    <n v="0"/>
    <m/>
    <n v="0"/>
    <m/>
    <n v="0"/>
    <n v="13352864"/>
    <n v="0"/>
    <n v="0"/>
    <n v="0"/>
    <n v="0"/>
    <n v="0"/>
    <n v="0"/>
    <s v=""/>
    <n v="0"/>
    <s v=""/>
    <n v="0"/>
    <s v=""/>
    <s v=""/>
    <n v="0"/>
    <n v="0"/>
    <s v="No change"/>
    <n v="5.0912180313375632E-2"/>
    <n v="-3.8361793441239245E-2"/>
    <n v="0"/>
    <n v="0"/>
    <n v="0"/>
    <n v="0"/>
    <n v="0"/>
    <n v="0"/>
    <x v="1"/>
  </r>
  <r>
    <s v="Benin"/>
    <x v="2"/>
    <n v="10014078.499999996"/>
    <x v="5"/>
    <n v="0"/>
    <n v="10308730.499999994"/>
    <n v="0"/>
    <m/>
    <n v="0"/>
    <m/>
    <n v="0"/>
    <m/>
    <n v="0"/>
    <m/>
    <n v="15"/>
    <n v="11940683.499999996"/>
    <n v="0"/>
    <n v="0"/>
    <m/>
    <n v="0"/>
    <m/>
    <n v="0"/>
    <m/>
    <n v="0"/>
    <n v="13352864"/>
    <n v="0"/>
    <n v="0"/>
    <n v="0"/>
    <n v="15"/>
    <n v="0"/>
    <n v="0"/>
    <s v=""/>
    <n v="15"/>
    <n v="2017"/>
    <n v="15"/>
    <n v="2017"/>
    <s v=""/>
    <n v="15"/>
    <n v="15"/>
    <s v="No change"/>
    <n v="5.0912180313375632E-2"/>
    <n v="-3.8361793441239245E-2"/>
    <n v="0"/>
    <n v="0"/>
    <n v="0"/>
    <n v="1.2562094958801985E-2"/>
    <n v="1.123354510313293E-2"/>
    <n v="1.123354510313293E-2"/>
    <x v="1"/>
  </r>
  <r>
    <s v="Benin"/>
    <x v="2"/>
    <n v="10014078.499999996"/>
    <x v="6"/>
    <n v="0"/>
    <n v="10308730.499999994"/>
    <n v="0"/>
    <m/>
    <n v="0"/>
    <m/>
    <n v="0"/>
    <m/>
    <n v="0"/>
    <m/>
    <n v="0"/>
    <n v="11940683.499999996"/>
    <n v="668"/>
    <n v="668"/>
    <m/>
    <n v="0"/>
    <m/>
    <n v="0"/>
    <m/>
    <n v="0"/>
    <n v="13352864"/>
    <n v="0"/>
    <n v="0"/>
    <n v="0"/>
    <n v="668"/>
    <n v="0"/>
    <n v="0"/>
    <s v=""/>
    <n v="668"/>
    <n v="2018"/>
    <n v="668"/>
    <n v="2018"/>
    <s v=""/>
    <n v="668"/>
    <n v="668"/>
    <s v="No change"/>
    <n v="5.0912180313375632E-2"/>
    <n v="-3.8361793441239245E-2"/>
    <n v="0"/>
    <n v="0"/>
    <n v="0"/>
    <n v="0.5594319621653151"/>
    <n v="0.50026720859285323"/>
    <n v="0.50026720859285323"/>
    <x v="1"/>
  </r>
  <r>
    <s v="Benin"/>
    <x v="2"/>
    <n v="10014078.499999996"/>
    <x v="7"/>
    <n v="0"/>
    <n v="10308730.499999994"/>
    <n v="0"/>
    <m/>
    <n v="0"/>
    <m/>
    <n v="0"/>
    <m/>
    <n v="0"/>
    <m/>
    <n v="0"/>
    <n v="11940683.499999996"/>
    <n v="0"/>
    <n v="0"/>
    <m/>
    <n v="0"/>
    <m/>
    <n v="0"/>
    <m/>
    <n v="0"/>
    <n v="13352864"/>
    <n v="0"/>
    <n v="0"/>
    <n v="0"/>
    <n v="0"/>
    <n v="0"/>
    <n v="0"/>
    <s v=""/>
    <n v="0"/>
    <s v=""/>
    <n v="0"/>
    <s v=""/>
    <s v=""/>
    <n v="0"/>
    <n v="0"/>
    <s v="No change"/>
    <n v="5.0912180313375632E-2"/>
    <n v="-3.8361793441239245E-2"/>
    <n v="0"/>
    <n v="0"/>
    <n v="0"/>
    <n v="0"/>
    <n v="0"/>
    <n v="0"/>
    <x v="1"/>
  </r>
  <r>
    <s v="Benin"/>
    <x v="2"/>
    <n v="10014078.499999996"/>
    <x v="8"/>
    <n v="241"/>
    <n v="10308730.499999994"/>
    <n v="206"/>
    <m/>
    <n v="0"/>
    <m/>
    <n v="0"/>
    <m/>
    <n v="234"/>
    <m/>
    <n v="0"/>
    <n v="11940683.499999996"/>
    <n v="137"/>
    <n v="137"/>
    <m/>
    <n v="92"/>
    <m/>
    <n v="0"/>
    <m/>
    <n v="352"/>
    <n v="13352864"/>
    <n v="0"/>
    <n v="54"/>
    <n v="241"/>
    <n v="234"/>
    <n v="352"/>
    <n v="206"/>
    <n v="2013"/>
    <n v="137"/>
    <n v="2018"/>
    <n v="352"/>
    <n v="2021"/>
    <s v=""/>
    <n v="352"/>
    <n v="352"/>
    <s v="Increasing"/>
    <n v="5.0912180313375632E-2"/>
    <n v="-3.8361793441239245E-2"/>
    <n v="41.863869214032718"/>
    <n v="48.129662269391119"/>
    <n v="0.19983061929885557"/>
    <n v="0.1147338006237248"/>
    <n v="0.26361385842018609"/>
    <n v="0.26361385842018609"/>
    <x v="1"/>
  </r>
  <r>
    <s v="Benin"/>
    <x v="2"/>
    <n v="10014078.499999996"/>
    <x v="9"/>
    <n v="0"/>
    <n v="10308730.499999994"/>
    <n v="0"/>
    <m/>
    <n v="0"/>
    <m/>
    <n v="0"/>
    <m/>
    <n v="0"/>
    <m/>
    <n v="0"/>
    <n v="11940683.499999996"/>
    <n v="0"/>
    <n v="0"/>
    <m/>
    <n v="0"/>
    <m/>
    <n v="0"/>
    <m/>
    <n v="0"/>
    <n v="13352864"/>
    <n v="0"/>
    <n v="0"/>
    <n v="0"/>
    <n v="0"/>
    <n v="0"/>
    <n v="0"/>
    <s v=""/>
    <n v="0"/>
    <s v=""/>
    <n v="0"/>
    <s v=""/>
    <s v=""/>
    <n v="0"/>
    <n v="0"/>
    <s v="No change"/>
    <n v="5.0912180313375632E-2"/>
    <n v="-3.8361793441239245E-2"/>
    <n v="0"/>
    <n v="0"/>
    <n v="0"/>
    <n v="0"/>
    <n v="0"/>
    <n v="0"/>
    <x v="1"/>
  </r>
  <r>
    <s v="Benin"/>
    <x v="2"/>
    <n v="10014078.499999996"/>
    <x v="10"/>
    <n v="0"/>
    <n v="10308730.499999994"/>
    <n v="0"/>
    <m/>
    <n v="0"/>
    <m/>
    <n v="0"/>
    <m/>
    <n v="0"/>
    <m/>
    <n v="0"/>
    <n v="11940683.499999996"/>
    <n v="0"/>
    <n v="0"/>
    <m/>
    <n v="0"/>
    <m/>
    <n v="0"/>
    <m/>
    <n v="0"/>
    <n v="13352864"/>
    <n v="0"/>
    <n v="0"/>
    <n v="0"/>
    <n v="0"/>
    <n v="0"/>
    <n v="0"/>
    <s v=""/>
    <n v="0"/>
    <s v=""/>
    <n v="0"/>
    <s v=""/>
    <s v=""/>
    <n v="0"/>
    <n v="0"/>
    <s v="No change"/>
    <n v="5.0912180313375632E-2"/>
    <n v="-3.8361793441239245E-2"/>
    <n v="0"/>
    <n v="0"/>
    <n v="0"/>
    <n v="0"/>
    <n v="0"/>
    <n v="0"/>
    <x v="1"/>
  </r>
  <r>
    <s v="Benin"/>
    <x v="2"/>
    <n v="10014078.499999996"/>
    <x v="11"/>
    <n v="0"/>
    <n v="10308730.499999994"/>
    <n v="0"/>
    <m/>
    <n v="0"/>
    <m/>
    <n v="0"/>
    <m/>
    <n v="0"/>
    <m/>
    <n v="0"/>
    <n v="11940683.499999996"/>
    <n v="0"/>
    <n v="156"/>
    <m/>
    <n v="0"/>
    <m/>
    <n v="0"/>
    <m/>
    <n v="0"/>
    <n v="13352864"/>
    <n v="0"/>
    <n v="156"/>
    <n v="0"/>
    <n v="0"/>
    <n v="0"/>
    <n v="0"/>
    <s v=""/>
    <n v="156"/>
    <s v="2018 (triag)"/>
    <n v="156"/>
    <s v="2018 (triag)"/>
    <s v=""/>
    <n v="156"/>
    <n v="156"/>
    <s v="No change"/>
    <n v="5.0912180313375632E-2"/>
    <n v="-3.8361793441239245E-2"/>
    <n v="120.94006661831673"/>
    <n v="139.04124655601879"/>
    <n v="0"/>
    <n v="0.13064578757154066"/>
    <n v="0.11682886907258248"/>
    <n v="0.11682886907258248"/>
    <x v="1"/>
  </r>
  <r>
    <s v="Benin"/>
    <x v="2"/>
    <n v="10014078.499999996"/>
    <x v="12"/>
    <n v="0"/>
    <n v="10308730.499999994"/>
    <n v="0"/>
    <m/>
    <n v="0"/>
    <m/>
    <n v="0"/>
    <m/>
    <n v="0"/>
    <m/>
    <n v="0"/>
    <n v="11940683.499999996"/>
    <n v="0"/>
    <n v="1994"/>
    <m/>
    <n v="0"/>
    <m/>
    <n v="0"/>
    <m/>
    <n v="0"/>
    <n v="13352864"/>
    <n v="0"/>
    <n v="1994"/>
    <n v="0"/>
    <n v="0"/>
    <n v="0"/>
    <n v="0"/>
    <s v=""/>
    <n v="1994"/>
    <s v="2018 (triag)"/>
    <n v="1994"/>
    <s v="2018 (triag)"/>
    <s v=""/>
    <n v="1994"/>
    <n v="1994"/>
    <s v="No change"/>
    <n v="5.0912180313375632E-2"/>
    <n v="-3.8361793441239245E-2"/>
    <n v="1545.8621335700229"/>
    <n v="1777.2323437993684"/>
    <n v="0"/>
    <n v="1.6699211565234107"/>
    <n v="1.4933125957098043"/>
    <n v="1.4933125957098043"/>
    <x v="1"/>
  </r>
  <r>
    <s v="Benin"/>
    <x v="2"/>
    <n v="10014078.499999996"/>
    <x v="13"/>
    <n v="845"/>
    <n v="10308730.499999994"/>
    <n v="830"/>
    <m/>
    <n v="0"/>
    <m/>
    <n v="0"/>
    <m/>
    <n v="1166"/>
    <m/>
    <n v="0"/>
    <n v="11940683.499999996"/>
    <n v="0"/>
    <n v="241"/>
    <m/>
    <n v="0"/>
    <m/>
    <n v="0"/>
    <m/>
    <n v="1744"/>
    <n v="13352864"/>
    <n v="1602"/>
    <n v="241"/>
    <n v="845"/>
    <n v="1166"/>
    <n v="1744"/>
    <n v="830"/>
    <n v="2013"/>
    <n v="241"/>
    <s v="2018 (triag)"/>
    <n v="1602"/>
    <n v="2022"/>
    <s v=""/>
    <n v="1602"/>
    <n v="1602"/>
    <s v="Increasing"/>
    <n v="5.0912180313375632E-2"/>
    <n v="-3.8361793441239245E-2"/>
    <n v="186.83689778855342"/>
    <n v="214.8009001282085"/>
    <n v="0.80514278649538895"/>
    <n v="0.20183099233808524"/>
    <n v="1.1997426170145971"/>
    <n v="1.1997426170145971"/>
    <x v="1"/>
  </r>
  <r>
    <s v="Benin"/>
    <x v="2"/>
    <n v="10014078.499999996"/>
    <x v="14"/>
    <n v="0"/>
    <n v="10308730.499999994"/>
    <n v="0"/>
    <m/>
    <n v="0"/>
    <m/>
    <n v="0"/>
    <m/>
    <n v="0"/>
    <m/>
    <n v="0"/>
    <n v="11940683.499999996"/>
    <n v="5086"/>
    <n v="5086"/>
    <m/>
    <n v="0"/>
    <m/>
    <n v="0"/>
    <m/>
    <n v="382"/>
    <n v="13352864"/>
    <n v="382"/>
    <n v="146"/>
    <n v="0"/>
    <n v="5086"/>
    <n v="382"/>
    <n v="0"/>
    <s v=""/>
    <n v="5086"/>
    <n v="2018"/>
    <n v="382"/>
    <n v="2021"/>
    <s v="Adjust"/>
    <n v="475.9367826904986"/>
    <n v="5086"/>
    <s v="Decreasing"/>
    <n v="5.0912180313375632E-2"/>
    <n v="-3.8361793441239245E-2"/>
    <n v="113.18749824534771"/>
    <n v="130.12834613576118"/>
    <n v="0"/>
    <n v="4.2593876640311263"/>
    <n v="0.35643048763957952"/>
    <n v="3.8089206929689392"/>
    <x v="0"/>
  </r>
  <r>
    <s v="Benin"/>
    <x v="2"/>
    <n v="10014078.499999996"/>
    <x v="15"/>
    <n v="0"/>
    <n v="10308730.499999994"/>
    <n v="0"/>
    <m/>
    <n v="0"/>
    <m/>
    <n v="0"/>
    <m/>
    <n v="0"/>
    <m/>
    <n v="0"/>
    <n v="11940683.499999996"/>
    <n v="58"/>
    <n v="58"/>
    <m/>
    <n v="0"/>
    <m/>
    <n v="0"/>
    <m/>
    <n v="187"/>
    <n v="13352864"/>
    <n v="187"/>
    <n v="0"/>
    <n v="0"/>
    <n v="58"/>
    <n v="187"/>
    <n v="0"/>
    <s v=""/>
    <n v="58"/>
    <n v="2018"/>
    <n v="187"/>
    <n v="2021"/>
    <s v=""/>
    <n v="187"/>
    <n v="187"/>
    <s v="Increasing"/>
    <n v="5.0912180313375632E-2"/>
    <n v="-3.8361793441239245E-2"/>
    <n v="0"/>
    <n v="0"/>
    <n v="0"/>
    <n v="4.8573433840701008E-2"/>
    <n v="0.14004486228572388"/>
    <n v="0.14004486228572388"/>
    <x v="1"/>
  </r>
  <r>
    <s v="Benin"/>
    <x v="2"/>
    <n v="10014078.499999996"/>
    <x v="16"/>
    <n v="0"/>
    <n v="10308730.499999994"/>
    <n v="0"/>
    <m/>
    <n v="0"/>
    <m/>
    <n v="0"/>
    <m/>
    <n v="0"/>
    <m/>
    <n v="0"/>
    <n v="11940683.499999996"/>
    <n v="102"/>
    <n v="102"/>
    <m/>
    <n v="0"/>
    <m/>
    <n v="0"/>
    <m/>
    <n v="0"/>
    <n v="13352864"/>
    <n v="0"/>
    <n v="0"/>
    <n v="0"/>
    <n v="102"/>
    <n v="0"/>
    <n v="0"/>
    <s v=""/>
    <n v="102"/>
    <n v="2018"/>
    <n v="102"/>
    <n v="2018"/>
    <s v=""/>
    <n v="102"/>
    <n v="102"/>
    <s v="No change"/>
    <n v="5.0912180313375632E-2"/>
    <n v="-3.8361793441239245E-2"/>
    <n v="0"/>
    <n v="0"/>
    <n v="0"/>
    <n v="8.5422245719853504E-2"/>
    <n v="7.6388106701303929E-2"/>
    <n v="7.6388106701303929E-2"/>
    <x v="1"/>
  </r>
  <r>
    <s v="Benin"/>
    <x v="2"/>
    <n v="10014078.499999996"/>
    <x v="17"/>
    <n v="0"/>
    <n v="10308730.499999994"/>
    <n v="0"/>
    <m/>
    <n v="0"/>
    <m/>
    <n v="0"/>
    <m/>
    <n v="0"/>
    <m/>
    <n v="0"/>
    <n v="11940683.499999996"/>
    <n v="0"/>
    <n v="0"/>
    <m/>
    <n v="0"/>
    <m/>
    <n v="0"/>
    <m/>
    <n v="0"/>
    <n v="13352864"/>
    <n v="0"/>
    <n v="0"/>
    <n v="0"/>
    <n v="0"/>
    <n v="0"/>
    <n v="0"/>
    <s v=""/>
    <n v="0"/>
    <s v=""/>
    <n v="0"/>
    <s v=""/>
    <s v=""/>
    <n v="0"/>
    <n v="0"/>
    <s v="No change"/>
    <n v="5.0912180313375632E-2"/>
    <n v="-3.8361793441239245E-2"/>
    <n v="0"/>
    <n v="0"/>
    <n v="0"/>
    <n v="0"/>
    <n v="0"/>
    <n v="0"/>
    <x v="1"/>
  </r>
  <r>
    <s v="Benin"/>
    <x v="2"/>
    <n v="10014078.499999996"/>
    <x v="18"/>
    <n v="0"/>
    <n v="10308730.499999994"/>
    <n v="10200"/>
    <m/>
    <n v="0"/>
    <m/>
    <n v="0"/>
    <m/>
    <n v="0"/>
    <m/>
    <n v="0"/>
    <n v="11940683.499999996"/>
    <n v="0"/>
    <n v="0"/>
    <m/>
    <n v="0"/>
    <m/>
    <n v="0"/>
    <m/>
    <n v="0"/>
    <n v="13352864"/>
    <n v="0"/>
    <n v="0"/>
    <n v="10200"/>
    <n v="0"/>
    <n v="0"/>
    <n v="10200"/>
    <n v="2013"/>
    <n v="0"/>
    <s v=""/>
    <n v="0"/>
    <s v=""/>
    <s v=""/>
    <n v="0"/>
    <n v="0"/>
    <s v="No change"/>
    <n v="5.0912180313375632E-2"/>
    <n v="-3.8361793441239245E-2"/>
    <n v="0"/>
    <n v="0"/>
    <n v="9.8945258099433353"/>
    <n v="0"/>
    <n v="0"/>
    <n v="0"/>
    <x v="1"/>
  </r>
  <r>
    <s v="Burkina Faso"/>
    <x v="3"/>
    <n v="17113732.499999996"/>
    <x v="0"/>
    <n v="2099"/>
    <n v="17636407.5"/>
    <n v="0"/>
    <m/>
    <n v="0"/>
    <m/>
    <n v="0"/>
    <m/>
    <n v="0"/>
    <m/>
    <n v="2749"/>
    <n v="20392723"/>
    <n v="0"/>
    <n v="2749"/>
    <m/>
    <n v="2979"/>
    <m/>
    <n v="2923"/>
    <m/>
    <n v="2947"/>
    <n v="22673762.000000007"/>
    <n v="3145"/>
    <n v="2749"/>
    <n v="2099"/>
    <n v="2979"/>
    <n v="3145"/>
    <n v="2099"/>
    <n v="2012"/>
    <n v="2749"/>
    <n v="2017"/>
    <n v="3145"/>
    <n v="2022"/>
    <s v=""/>
    <n v="3145"/>
    <n v="3145"/>
    <s v="Increasing"/>
    <n v="0.11672257510323925"/>
    <n v="5.6053037042871567E-2"/>
    <n v="1533.6098471508678"/>
    <n v="3252.4101961604651"/>
    <n v="1.190151679133066"/>
    <n v="1.3480298830126805"/>
    <n v="1.3870658076061657"/>
    <n v="1.3870658076061657"/>
    <x v="1"/>
  </r>
  <r>
    <s v="Burkina Faso"/>
    <x v="3"/>
    <n v="17113732.499999996"/>
    <x v="1"/>
    <n v="128"/>
    <n v="17636407.5"/>
    <n v="0"/>
    <m/>
    <n v="0"/>
    <m/>
    <n v="1688"/>
    <m/>
    <n v="940"/>
    <m/>
    <n v="0"/>
    <n v="20392723"/>
    <n v="0"/>
    <n v="19"/>
    <m/>
    <n v="0"/>
    <m/>
    <n v="0"/>
    <m/>
    <n v="15"/>
    <n v="22673762.000000007"/>
    <n v="0"/>
    <n v="19"/>
    <n v="1688"/>
    <n v="940"/>
    <n v="15"/>
    <n v="128"/>
    <n v="2012"/>
    <n v="19"/>
    <s v="2018 (triag)"/>
    <n v="15"/>
    <n v="2021"/>
    <s v="Adjust"/>
    <n v="15.409998099220681"/>
    <n v="19"/>
    <s v="Decreasing"/>
    <n v="0.11672257510323925"/>
    <n v="5.6053037042871567E-2"/>
    <n v="10.599704290966347"/>
    <n v="22.47937203603086"/>
    <n v="7.2577139080053574E-2"/>
    <n v="9.3170490277340607E-3"/>
    <n v="6.7964010997472214E-3"/>
    <n v="8.3797298392741335E-3"/>
    <x v="1"/>
  </r>
  <r>
    <s v="Burkina Faso"/>
    <x v="3"/>
    <n v="17113732.499999996"/>
    <x v="2"/>
    <n v="1791"/>
    <n v="17636407.5"/>
    <n v="0"/>
    <m/>
    <n v="0"/>
    <m/>
    <n v="718"/>
    <m/>
    <n v="2367"/>
    <m/>
    <n v="20392"/>
    <n v="20392723"/>
    <n v="157"/>
    <n v="160"/>
    <m/>
    <n v="0"/>
    <m/>
    <n v="0"/>
    <m/>
    <n v="31"/>
    <n v="22673762.000000007"/>
    <n v="0"/>
    <n v="160"/>
    <n v="1791"/>
    <n v="20392"/>
    <n v="31"/>
    <n v="1791"/>
    <n v="2012"/>
    <n v="160"/>
    <s v="2018 (triag)"/>
    <n v="31"/>
    <n v="2021"/>
    <s v="Adjust"/>
    <n v="31.847329405056072"/>
    <n v="160"/>
    <s v="Decreasing"/>
    <n v="0.11672257510323925"/>
    <n v="5.6053037042871567E-2"/>
    <n v="89.260667713400821"/>
    <n v="189.29997504025988"/>
    <n v="1.0155129382216872"/>
    <n v="7.8459360233549977E-2"/>
    <n v="1.4045895606144257E-2"/>
    <n v="7.0566146014940059E-2"/>
    <x v="0"/>
  </r>
  <r>
    <s v="Burkina Faso"/>
    <x v="3"/>
    <n v="17113732.499999996"/>
    <x v="3"/>
    <n v="0"/>
    <n v="17636407.5"/>
    <n v="0"/>
    <m/>
    <n v="0"/>
    <m/>
    <n v="0"/>
    <m/>
    <n v="0"/>
    <m/>
    <n v="0"/>
    <n v="20392723"/>
    <n v="0"/>
    <n v="1224"/>
    <m/>
    <n v="0"/>
    <m/>
    <n v="68"/>
    <m/>
    <n v="0"/>
    <n v="22673762.000000007"/>
    <n v="886"/>
    <n v="1224"/>
    <n v="0"/>
    <n v="0"/>
    <n v="886"/>
    <n v="0"/>
    <s v=""/>
    <n v="1224"/>
    <s v="2018 (triag)"/>
    <n v="886"/>
    <n v="2022"/>
    <s v="Adjust"/>
    <n v="910.21722106063487"/>
    <n v="1224"/>
    <s v="Decreasing"/>
    <n v="0.11672257510323925"/>
    <n v="5.6053037042871567E-2"/>
    <n v="682.8441080075163"/>
    <n v="1448.1448090579881"/>
    <n v="0"/>
    <n v="0.60021410578665735"/>
    <n v="0.40144075829173581"/>
    <n v="0.53983101701429148"/>
    <x v="1"/>
  </r>
  <r>
    <s v="Burkina Faso"/>
    <x v="3"/>
    <n v="17113732.499999996"/>
    <x v="4"/>
    <n v="0"/>
    <n v="17636407.5"/>
    <n v="0"/>
    <m/>
    <n v="0"/>
    <m/>
    <n v="0"/>
    <m/>
    <n v="0"/>
    <m/>
    <n v="0"/>
    <n v="20392723"/>
    <n v="0"/>
    <n v="653"/>
    <m/>
    <n v="0"/>
    <m/>
    <n v="0"/>
    <m/>
    <n v="0"/>
    <n v="22673762.000000007"/>
    <n v="0"/>
    <n v="653"/>
    <n v="0"/>
    <n v="0"/>
    <n v="0"/>
    <n v="0"/>
    <s v=""/>
    <n v="653"/>
    <s v="2018 (triag)"/>
    <n v="653"/>
    <s v="2018 (triag)"/>
    <s v=""/>
    <n v="653"/>
    <n v="653"/>
    <s v="No change"/>
    <n v="0.11672257510323925"/>
    <n v="5.6053037042871567E-2"/>
    <n v="364.29510010531709"/>
    <n v="772.58052313306064"/>
    <n v="0"/>
    <n v="0.32021226395317587"/>
    <n v="0.28799808342347416"/>
    <n v="0.28799808342347416"/>
    <x v="1"/>
  </r>
  <r>
    <s v="Burkina Faso"/>
    <x v="3"/>
    <n v="17113732.499999996"/>
    <x v="5"/>
    <n v="0"/>
    <n v="17636407.5"/>
    <n v="0"/>
    <m/>
    <n v="0"/>
    <m/>
    <n v="0"/>
    <m/>
    <n v="0"/>
    <m/>
    <n v="3"/>
    <n v="20392723"/>
    <n v="2"/>
    <n v="3"/>
    <m/>
    <n v="143"/>
    <m/>
    <n v="0"/>
    <m/>
    <n v="0"/>
    <n v="22673762.000000007"/>
    <n v="14"/>
    <n v="3"/>
    <n v="0"/>
    <n v="143"/>
    <n v="14"/>
    <n v="0"/>
    <s v=""/>
    <n v="3"/>
    <n v="2017"/>
    <n v="14"/>
    <n v="2022"/>
    <s v=""/>
    <n v="14"/>
    <n v="14"/>
    <s v="Increasing"/>
    <n v="0.11672257510323925"/>
    <n v="5.6053037042871567E-2"/>
    <n v="1.6736375196262654"/>
    <n v="3.5493745320048724"/>
    <n v="0"/>
    <n v="1.471113004379062E-3"/>
    <n v="6.1745377763072554E-3"/>
    <n v="6.1745377763072554E-3"/>
    <x v="1"/>
  </r>
  <r>
    <s v="Burkina Faso"/>
    <x v="3"/>
    <n v="17113732.499999996"/>
    <x v="6"/>
    <n v="0"/>
    <n v="17636407.5"/>
    <n v="0"/>
    <m/>
    <n v="0"/>
    <m/>
    <n v="0"/>
    <m/>
    <n v="0"/>
    <m/>
    <n v="699"/>
    <n v="20392723"/>
    <n v="648"/>
    <n v="648"/>
    <m/>
    <n v="800"/>
    <m/>
    <n v="906"/>
    <m/>
    <n v="899"/>
    <n v="22673762.000000007"/>
    <n v="0"/>
    <n v="2"/>
    <n v="0"/>
    <n v="800"/>
    <n v="906"/>
    <n v="0"/>
    <s v=""/>
    <n v="648"/>
    <n v="2018"/>
    <n v="899"/>
    <n v="2021"/>
    <s v=""/>
    <n v="899"/>
    <n v="899"/>
    <s v="Increasing"/>
    <n v="0.11672257510323925"/>
    <n v="5.6053037042871567E-2"/>
    <n v="1.1157583464175103"/>
    <n v="2.3662496880032484"/>
    <n v="0"/>
    <n v="0.31776040894587743"/>
    <n v="0.39649353292144451"/>
    <n v="0.39649353292144451"/>
    <x v="1"/>
  </r>
  <r>
    <s v="Burkina Faso"/>
    <x v="3"/>
    <n v="17113732.499999996"/>
    <x v="7"/>
    <n v="0"/>
    <n v="17636407.5"/>
    <n v="0"/>
    <m/>
    <n v="0"/>
    <m/>
    <n v="0"/>
    <m/>
    <n v="0"/>
    <m/>
    <n v="0"/>
    <n v="20392723"/>
    <n v="0"/>
    <n v="0"/>
    <m/>
    <n v="0"/>
    <m/>
    <n v="0"/>
    <m/>
    <n v="8"/>
    <n v="22673762.000000007"/>
    <n v="0"/>
    <n v="0"/>
    <n v="0"/>
    <n v="0"/>
    <n v="8"/>
    <n v="0"/>
    <s v=""/>
    <n v="0"/>
    <s v=""/>
    <n v="8"/>
    <n v="2021"/>
    <s v=""/>
    <n v="8"/>
    <n v="8"/>
    <s v="Increasing"/>
    <n v="0.11672257510323925"/>
    <n v="5.6053037042871567E-2"/>
    <n v="0"/>
    <n v="0"/>
    <n v="0"/>
    <n v="0"/>
    <n v="3.5283073007470033E-3"/>
    <n v="3.5283073007470033E-3"/>
    <x v="1"/>
  </r>
  <r>
    <s v="Burkina Faso"/>
    <x v="3"/>
    <n v="17113732.499999996"/>
    <x v="8"/>
    <n v="109"/>
    <n v="17636407.5"/>
    <n v="0"/>
    <m/>
    <n v="0"/>
    <m/>
    <n v="0"/>
    <m/>
    <n v="0"/>
    <m/>
    <n v="0"/>
    <n v="20392723"/>
    <n v="0"/>
    <n v="128"/>
    <m/>
    <n v="191"/>
    <m/>
    <n v="274"/>
    <m/>
    <n v="209"/>
    <n v="22673762.000000007"/>
    <n v="0"/>
    <n v="128"/>
    <n v="109"/>
    <n v="191"/>
    <n v="274"/>
    <n v="109"/>
    <n v="2012"/>
    <n v="128"/>
    <s v="2018 (triag)"/>
    <n v="209"/>
    <n v="2021"/>
    <s v=""/>
    <n v="209"/>
    <n v="209"/>
    <s v="Increasing"/>
    <n v="0.11672257510323925"/>
    <n v="5.6053037042871567E-2"/>
    <n v="71.408534170720657"/>
    <n v="151.4399800322079"/>
    <n v="6.1803969997858123E-2"/>
    <n v="6.2767488186839984E-2"/>
    <n v="9.2177028232015457E-2"/>
    <n v="9.2177028232015457E-2"/>
    <x v="1"/>
  </r>
  <r>
    <s v="Burkina Faso"/>
    <x v="3"/>
    <n v="17113732.499999996"/>
    <x v="9"/>
    <n v="0"/>
    <n v="17636407.5"/>
    <n v="0"/>
    <m/>
    <n v="0"/>
    <m/>
    <n v="0"/>
    <m/>
    <n v="0"/>
    <m/>
    <n v="0"/>
    <n v="20392723"/>
    <n v="0"/>
    <n v="4"/>
    <m/>
    <n v="0"/>
    <m/>
    <n v="0"/>
    <m/>
    <n v="0"/>
    <n v="22673762.000000007"/>
    <n v="44"/>
    <n v="4"/>
    <n v="0"/>
    <n v="0"/>
    <n v="44"/>
    <n v="0"/>
    <s v=""/>
    <n v="4"/>
    <s v="2018 (triag)"/>
    <n v="44"/>
    <n v="2022"/>
    <s v=""/>
    <n v="44"/>
    <n v="44"/>
    <s v="Increasing"/>
    <n v="0.11672257510323925"/>
    <n v="5.6053037042871567E-2"/>
    <n v="2.2315166928350205"/>
    <n v="4.7324993760064968"/>
    <n v="0"/>
    <n v="1.9614840058387495E-3"/>
    <n v="1.9405690154108517E-2"/>
    <n v="1.9405690154108517E-2"/>
    <x v="1"/>
  </r>
  <r>
    <s v="Burkina Faso"/>
    <x v="3"/>
    <n v="17113732.499999996"/>
    <x v="10"/>
    <n v="0"/>
    <n v="17636407.5"/>
    <n v="0"/>
    <m/>
    <n v="0"/>
    <m/>
    <n v="0"/>
    <m/>
    <n v="0"/>
    <m/>
    <n v="3"/>
    <n v="20392723"/>
    <n v="0"/>
    <n v="3"/>
    <m/>
    <n v="0"/>
    <m/>
    <n v="3"/>
    <m/>
    <n v="3"/>
    <n v="22673762.000000007"/>
    <n v="2"/>
    <n v="3"/>
    <n v="0"/>
    <n v="3"/>
    <n v="3"/>
    <n v="0"/>
    <s v=""/>
    <n v="3"/>
    <n v="2017"/>
    <n v="2"/>
    <n v="2022"/>
    <s v="Adjust"/>
    <n v="2.0546664132294241"/>
    <n v="3"/>
    <s v="Decreasing"/>
    <n v="0.11672257510323925"/>
    <n v="5.6053037042871567E-2"/>
    <n v="1.6736375196262654"/>
    <n v="3.5493745320048724"/>
    <n v="0"/>
    <n v="1.471113004379062E-3"/>
    <n v="9.0618681329962948E-4"/>
    <n v="1.3231152377801262E-3"/>
    <x v="1"/>
  </r>
  <r>
    <s v="Burkina Faso"/>
    <x v="3"/>
    <n v="17113732.499999996"/>
    <x v="11"/>
    <n v="0"/>
    <n v="17636407.5"/>
    <n v="0"/>
    <m/>
    <n v="0"/>
    <m/>
    <n v="0"/>
    <m/>
    <n v="0"/>
    <m/>
    <n v="0"/>
    <n v="20392723"/>
    <n v="0"/>
    <n v="871"/>
    <m/>
    <n v="22"/>
    <m/>
    <n v="0"/>
    <m/>
    <n v="0"/>
    <n v="22673762.000000007"/>
    <n v="0"/>
    <n v="871"/>
    <n v="0"/>
    <n v="22"/>
    <n v="0"/>
    <n v="0"/>
    <s v=""/>
    <n v="871"/>
    <s v="2018 (triag)"/>
    <n v="22"/>
    <s v="2018 (triag)"/>
    <s v="Adjust"/>
    <n v="22.601330545523666"/>
    <n v="871"/>
    <s v="Decreasing"/>
    <n v="0.11672257510323925"/>
    <n v="5.6053037042871567E-2"/>
    <n v="485.91275986482572"/>
    <n v="1030.5017391254146"/>
    <n v="0"/>
    <n v="0.42711314227138769"/>
    <n v="9.9680549462959258E-3"/>
    <n v="0.38414445736882996"/>
    <x v="0"/>
  </r>
  <r>
    <s v="Burkina Faso"/>
    <x v="3"/>
    <n v="17113732.499999996"/>
    <x v="12"/>
    <n v="0"/>
    <n v="17636407.5"/>
    <n v="0"/>
    <m/>
    <n v="0"/>
    <m/>
    <n v="0"/>
    <m/>
    <n v="0"/>
    <m/>
    <n v="0"/>
    <n v="20392723"/>
    <n v="0"/>
    <n v="44"/>
    <m/>
    <n v="2079"/>
    <m/>
    <n v="0"/>
    <m/>
    <n v="0"/>
    <n v="22673762.000000007"/>
    <n v="0"/>
    <n v="44"/>
    <n v="0"/>
    <n v="2079"/>
    <n v="0"/>
    <n v="0"/>
    <s v=""/>
    <n v="44"/>
    <s v="2018 (triag)"/>
    <n v="2079"/>
    <s v="2018 (triag)"/>
    <s v=""/>
    <n v="2079"/>
    <n v="2079"/>
    <s v="Increasing"/>
    <n v="0.11672257510323925"/>
    <n v="5.6053037042871567E-2"/>
    <n v="24.546683621185224"/>
    <n v="52.057493136071464"/>
    <n v="0"/>
    <n v="2.1576324064226243E-2"/>
    <n v="0.91691885978162746"/>
    <n v="0.91691885978162746"/>
    <x v="1"/>
  </r>
  <r>
    <s v="Burkina Faso"/>
    <x v="3"/>
    <n v="17113732.499999996"/>
    <x v="13"/>
    <n v="458"/>
    <n v="17636407.5"/>
    <n v="0"/>
    <m/>
    <n v="0"/>
    <m/>
    <n v="0"/>
    <m/>
    <n v="0"/>
    <m/>
    <n v="0"/>
    <n v="20392723"/>
    <n v="0"/>
    <n v="699"/>
    <m/>
    <n v="0"/>
    <m/>
    <n v="0"/>
    <m/>
    <n v="0"/>
    <n v="22673762.000000007"/>
    <n v="0"/>
    <n v="699"/>
    <n v="458"/>
    <n v="0"/>
    <n v="0"/>
    <n v="458"/>
    <n v="2012"/>
    <n v="699"/>
    <s v="2018 (triag)"/>
    <n v="699"/>
    <s v="2018 (triag)"/>
    <s v=""/>
    <n v="699"/>
    <n v="699"/>
    <s v="No change"/>
    <n v="0.11672257510323925"/>
    <n v="5.6053037042871567E-2"/>
    <n v="389.95754207291981"/>
    <n v="827.00426595713532"/>
    <n v="0.25969007577081671"/>
    <n v="0.34276933002032145"/>
    <n v="0.3082858504027694"/>
    <n v="0.3082858504027694"/>
    <x v="1"/>
  </r>
  <r>
    <s v="Burkina Faso"/>
    <x v="3"/>
    <n v="17113732.499999996"/>
    <x v="14"/>
    <n v="0"/>
    <n v="17636407.5"/>
    <n v="0"/>
    <m/>
    <n v="0"/>
    <m/>
    <n v="0"/>
    <m/>
    <n v="0"/>
    <m/>
    <n v="0"/>
    <n v="20392723"/>
    <n v="0"/>
    <n v="0"/>
    <m/>
    <n v="0"/>
    <m/>
    <n v="0"/>
    <m/>
    <n v="0"/>
    <n v="22673762.000000007"/>
    <n v="1698"/>
    <n v="0"/>
    <n v="0"/>
    <n v="0"/>
    <n v="1698"/>
    <n v="0"/>
    <s v=""/>
    <n v="0"/>
    <s v=""/>
    <n v="1698"/>
    <n v="2022"/>
    <s v=""/>
    <n v="1698"/>
    <n v="1698"/>
    <s v="Increasing"/>
    <n v="0.11672257510323925"/>
    <n v="5.6053037042871567E-2"/>
    <n v="0"/>
    <n v="0"/>
    <n v="0"/>
    <n v="0"/>
    <n v="0.74888322458355139"/>
    <n v="0.74888322458355139"/>
    <x v="1"/>
  </r>
  <r>
    <s v="Burkina Faso"/>
    <x v="3"/>
    <n v="17113732.499999996"/>
    <x v="15"/>
    <n v="0"/>
    <n v="17636407.5"/>
    <n v="0"/>
    <m/>
    <n v="0"/>
    <m/>
    <n v="0"/>
    <m/>
    <n v="0"/>
    <m/>
    <n v="18"/>
    <n v="20392723"/>
    <n v="0"/>
    <n v="18"/>
    <m/>
    <n v="0"/>
    <m/>
    <n v="22"/>
    <m/>
    <n v="47"/>
    <n v="22673762.000000007"/>
    <n v="0"/>
    <n v="18"/>
    <n v="0"/>
    <n v="18"/>
    <n v="47"/>
    <n v="0"/>
    <s v=""/>
    <n v="18"/>
    <n v="2017"/>
    <n v="47"/>
    <n v="2021"/>
    <s v=""/>
    <n v="47"/>
    <n v="47"/>
    <s v="Increasing"/>
    <n v="0.11672257510323925"/>
    <n v="5.6053037042871567E-2"/>
    <n v="10.041825117757591"/>
    <n v="21.296247192029234"/>
    <n v="0"/>
    <n v="8.8266780262743726E-3"/>
    <n v="2.0728805391888643E-2"/>
    <n v="2.0728805391888643E-2"/>
    <x v="1"/>
  </r>
  <r>
    <s v="Burkina Faso"/>
    <x v="3"/>
    <n v="17113732.499999996"/>
    <x v="16"/>
    <n v="0"/>
    <n v="17636407.5"/>
    <n v="0"/>
    <m/>
    <n v="0"/>
    <m/>
    <n v="0"/>
    <m/>
    <n v="0"/>
    <m/>
    <n v="0"/>
    <n v="20392723"/>
    <n v="0"/>
    <n v="0"/>
    <m/>
    <n v="34"/>
    <m/>
    <n v="0"/>
    <m/>
    <n v="0"/>
    <n v="22673762.000000007"/>
    <n v="39"/>
    <n v="0"/>
    <n v="0"/>
    <n v="34"/>
    <n v="39"/>
    <n v="0"/>
    <s v=""/>
    <n v="34"/>
    <n v="2019"/>
    <n v="39"/>
    <n v="2022"/>
    <s v=""/>
    <n v="39"/>
    <n v="39"/>
    <s v="Increasing"/>
    <n v="0.11672257510323925"/>
    <n v="5.6053037042871567E-2"/>
    <n v="0"/>
    <n v="0"/>
    <n v="0"/>
    <n v="1.6672614049629369E-2"/>
    <n v="1.7200498091141641E-2"/>
    <n v="1.7200498091141641E-2"/>
    <x v="1"/>
  </r>
  <r>
    <s v="Burkina Faso"/>
    <x v="3"/>
    <n v="17113732.499999996"/>
    <x v="17"/>
    <n v="0"/>
    <n v="17636407.5"/>
    <n v="0"/>
    <m/>
    <n v="0"/>
    <m/>
    <n v="0"/>
    <m/>
    <n v="0"/>
    <m/>
    <n v="0"/>
    <n v="20392723"/>
    <n v="0"/>
    <n v="0"/>
    <m/>
    <n v="0"/>
    <m/>
    <n v="0"/>
    <m/>
    <n v="0"/>
    <n v="22673762.000000007"/>
    <n v="0"/>
    <n v="0"/>
    <n v="0"/>
    <n v="0"/>
    <n v="0"/>
    <n v="0"/>
    <s v=""/>
    <n v="0"/>
    <s v=""/>
    <n v="0"/>
    <s v=""/>
    <s v=""/>
    <n v="0"/>
    <n v="0"/>
    <s v="No change"/>
    <n v="0.11672257510323925"/>
    <n v="5.6053037042871567E-2"/>
    <n v="0"/>
    <n v="0"/>
    <n v="0"/>
    <n v="0"/>
    <n v="0"/>
    <n v="0"/>
    <x v="1"/>
  </r>
  <r>
    <s v="Burkina Faso"/>
    <x v="3"/>
    <n v="17113732.499999996"/>
    <x v="18"/>
    <n v="0"/>
    <n v="17636407.5"/>
    <n v="0"/>
    <m/>
    <n v="0"/>
    <m/>
    <n v="0"/>
    <m/>
    <n v="0"/>
    <m/>
    <n v="336"/>
    <n v="20392723"/>
    <n v="0"/>
    <n v="336"/>
    <m/>
    <n v="336"/>
    <m/>
    <n v="0"/>
    <m/>
    <n v="50"/>
    <n v="22673762.000000007"/>
    <n v="0"/>
    <n v="336"/>
    <n v="0"/>
    <n v="336"/>
    <n v="50"/>
    <n v="0"/>
    <s v=""/>
    <n v="336"/>
    <n v="2017"/>
    <n v="50"/>
    <n v="2021"/>
    <s v="Adjust"/>
    <n v="51.366660330735606"/>
    <n v="336"/>
    <s v="Decreasing"/>
    <n v="0.11672257510323925"/>
    <n v="5.6053037042871567E-2"/>
    <n v="187.4474021981417"/>
    <n v="397.52994758454571"/>
    <n v="0"/>
    <n v="0.16476465649045496"/>
    <n v="2.2654670332490738E-2"/>
    <n v="0.14818890663137413"/>
    <x v="0"/>
  </r>
  <r>
    <s v="Botswana"/>
    <x v="4"/>
    <n v="2175430.5"/>
    <x v="0"/>
    <n v="166"/>
    <n v="2217278.0000000009"/>
    <n v="0"/>
    <m/>
    <n v="0"/>
    <m/>
    <n v="0"/>
    <m/>
    <n v="0"/>
    <m/>
    <n v="0"/>
    <n v="2451408.4999999995"/>
    <n v="0"/>
    <n v="0"/>
    <m/>
    <n v="0"/>
    <m/>
    <n v="0"/>
    <m/>
    <n v="0"/>
    <n v="2630296.0000000019"/>
    <n v="0"/>
    <n v="0"/>
    <n v="166"/>
    <n v="0"/>
    <n v="0"/>
    <n v="166"/>
    <n v="2012"/>
    <n v="0"/>
    <s v=""/>
    <n v="0"/>
    <s v=""/>
    <s v=""/>
    <n v="0"/>
    <n v="0"/>
    <s v="No change"/>
    <n v="6.0410507639565125E-2"/>
    <n v="0.33177029268299996"/>
    <n v="0"/>
    <n v="0"/>
    <n v="0.74866570633001328"/>
    <n v="0"/>
    <n v="0"/>
    <n v="0"/>
    <x v="1"/>
  </r>
  <r>
    <s v="Botswana"/>
    <x v="4"/>
    <n v="2175431.5"/>
    <x v="1"/>
    <n v="0"/>
    <n v="2217278.0000000009"/>
    <n v="668"/>
    <m/>
    <n v="0"/>
    <m/>
    <n v="0"/>
    <m/>
    <n v="13"/>
    <m/>
    <n v="0"/>
    <n v="2451408.4999999995"/>
    <n v="0"/>
    <n v="0"/>
    <m/>
    <n v="0"/>
    <m/>
    <n v="0"/>
    <m/>
    <n v="0"/>
    <n v="2630296.0000000019"/>
    <n v="0"/>
    <n v="0"/>
    <n v="668"/>
    <n v="13"/>
    <n v="0"/>
    <n v="668"/>
    <n v="2013"/>
    <n v="0"/>
    <s v=""/>
    <n v="0"/>
    <s v=""/>
    <s v=""/>
    <n v="0"/>
    <n v="0"/>
    <s v="No change"/>
    <n v="6.0410507639565125E-2"/>
    <n v="0.33177029268299996"/>
    <n v="0"/>
    <n v="0"/>
    <n v="3.0127029628219812"/>
    <n v="0"/>
    <n v="0"/>
    <n v="0"/>
    <x v="1"/>
  </r>
  <r>
    <s v="Botswana"/>
    <x v="4"/>
    <n v="2175432.5"/>
    <x v="2"/>
    <n v="0"/>
    <n v="2217278.0000000009"/>
    <n v="166"/>
    <m/>
    <n v="0"/>
    <m/>
    <n v="14743"/>
    <m/>
    <n v="208"/>
    <m/>
    <n v="0"/>
    <n v="2451408.4999999995"/>
    <n v="0"/>
    <n v="99"/>
    <m/>
    <n v="0"/>
    <m/>
    <n v="0"/>
    <m/>
    <n v="0"/>
    <n v="2630296.0000000019"/>
    <n v="0"/>
    <n v="99"/>
    <n v="14743"/>
    <n v="208"/>
    <n v="0"/>
    <n v="166"/>
    <n v="2013"/>
    <n v="99"/>
    <s v="2018 (triag)"/>
    <n v="99"/>
    <s v="2018 (triag)"/>
    <s v=""/>
    <n v="99"/>
    <n v="99"/>
    <s v="No change"/>
    <n v="6.0410507639565125E-2"/>
    <n v="0.33177029268299996"/>
    <n v="73.190623019618045"/>
    <n v="267.85096583043713"/>
    <n v="0.74866570633001328"/>
    <n v="0.40384946042244702"/>
    <n v="0.37638349448122921"/>
    <n v="0.37638349448122921"/>
    <x v="1"/>
  </r>
  <r>
    <s v="Botswana"/>
    <x v="4"/>
    <n v="2175433.5"/>
    <x v="3"/>
    <n v="0"/>
    <n v="2217278.0000000009"/>
    <n v="0"/>
    <m/>
    <n v="0"/>
    <m/>
    <n v="0"/>
    <m/>
    <n v="0"/>
    <m/>
    <n v="0"/>
    <n v="2451408.4999999995"/>
    <n v="1563"/>
    <n v="1622"/>
    <m/>
    <n v="1421"/>
    <m/>
    <n v="1423"/>
    <m/>
    <n v="1519"/>
    <n v="2630296.0000000019"/>
    <n v="1563"/>
    <n v="1622"/>
    <n v="0"/>
    <n v="1563"/>
    <n v="1563"/>
    <n v="0"/>
    <s v=""/>
    <n v="1622"/>
    <s v="2018 (triag)"/>
    <n v="1563"/>
    <n v="2022"/>
    <s v="Adjust"/>
    <n v="1796.3537810728089"/>
    <n v="1796.3537810728089"/>
    <s v="Increasing"/>
    <n v="6.0410507639565125E-2"/>
    <n v="0.33177029268299996"/>
    <n v="1199.1433387658633"/>
    <n v="4388.4269351208986"/>
    <n v="0"/>
    <n v="6.6166042909617078"/>
    <n v="6.829473873179321"/>
    <n v="6.829473873179321"/>
    <x v="1"/>
  </r>
  <r>
    <s v="Botswana"/>
    <x v="4"/>
    <n v="2175434.5"/>
    <x v="4"/>
    <n v="0"/>
    <n v="2217278.0000000009"/>
    <n v="0"/>
    <m/>
    <n v="0"/>
    <m/>
    <n v="0"/>
    <m/>
    <n v="0"/>
    <m/>
    <n v="0"/>
    <n v="2451408.4999999995"/>
    <n v="156"/>
    <n v="156"/>
    <m/>
    <n v="131"/>
    <m/>
    <n v="125"/>
    <m/>
    <n v="147"/>
    <n v="2630296.0000000019"/>
    <n v="159"/>
    <n v="0"/>
    <n v="0"/>
    <n v="156"/>
    <n v="159"/>
    <n v="0"/>
    <s v=""/>
    <n v="156"/>
    <n v="2018"/>
    <n v="159"/>
    <n v="2022"/>
    <s v=""/>
    <n v="159"/>
    <n v="159"/>
    <s v="Increasing"/>
    <n v="6.0410507639565125E-2"/>
    <n v="0.33177029268299996"/>
    <n v="0"/>
    <n v="0"/>
    <n v="0"/>
    <n v="0.63636884672628014"/>
    <n v="0.6044947032577318"/>
    <n v="0.6044947032577318"/>
    <x v="1"/>
  </r>
  <r>
    <s v="Botswana"/>
    <x v="4"/>
    <n v="2175435.5"/>
    <x v="5"/>
    <n v="0"/>
    <n v="2217278.0000000009"/>
    <n v="0"/>
    <m/>
    <n v="0"/>
    <m/>
    <n v="0"/>
    <m/>
    <n v="0"/>
    <m/>
    <n v="0"/>
    <n v="2451408.4999999995"/>
    <n v="27"/>
    <n v="27"/>
    <m/>
    <n v="33"/>
    <m/>
    <n v="33"/>
    <m/>
    <n v="35"/>
    <n v="2630296.0000000019"/>
    <n v="33"/>
    <n v="0"/>
    <n v="0"/>
    <n v="33"/>
    <n v="35"/>
    <n v="0"/>
    <s v=""/>
    <n v="27"/>
    <n v="2018"/>
    <n v="33"/>
    <n v="2020"/>
    <s v=""/>
    <n v="33"/>
    <n v="33"/>
    <s v="Increasing"/>
    <n v="6.0410507639565125E-2"/>
    <n v="0.33177029268299996"/>
    <n v="0"/>
    <n v="0"/>
    <n v="0"/>
    <n v="0.11014076193339464"/>
    <n v="0.12546116482707642"/>
    <n v="0.12546116482707642"/>
    <x v="1"/>
  </r>
  <r>
    <s v="Botswana"/>
    <x v="4"/>
    <n v="2175436.5"/>
    <x v="6"/>
    <n v="0"/>
    <n v="2217278.0000000009"/>
    <n v="0"/>
    <m/>
    <n v="0"/>
    <m/>
    <n v="0"/>
    <m/>
    <n v="0"/>
    <m/>
    <n v="0"/>
    <n v="2451408.4999999995"/>
    <n v="160"/>
    <n v="160"/>
    <m/>
    <n v="156"/>
    <m/>
    <n v="167"/>
    <m/>
    <n v="161"/>
    <n v="2630296.0000000019"/>
    <n v="191"/>
    <n v="0"/>
    <n v="0"/>
    <n v="160"/>
    <n v="191"/>
    <n v="0"/>
    <s v=""/>
    <n v="160"/>
    <n v="2018"/>
    <n v="191"/>
    <n v="2022"/>
    <s v=""/>
    <n v="191"/>
    <n v="191"/>
    <s v="Increasing"/>
    <n v="6.0410507639565125E-2"/>
    <n v="0.33177029268299996"/>
    <n v="0"/>
    <n v="0"/>
    <n v="0"/>
    <n v="0.65268599664233862"/>
    <n v="0.72615401460519979"/>
    <n v="0.72615401460519979"/>
    <x v="1"/>
  </r>
  <r>
    <s v="Botswana"/>
    <x v="4"/>
    <n v="2175437.5"/>
    <x v="7"/>
    <n v="0"/>
    <n v="2217278.0000000009"/>
    <n v="0"/>
    <m/>
    <n v="0"/>
    <m/>
    <n v="0"/>
    <m/>
    <n v="0"/>
    <m/>
    <n v="0"/>
    <n v="2451408.4999999995"/>
    <n v="63"/>
    <n v="63"/>
    <m/>
    <n v="64"/>
    <m/>
    <n v="67"/>
    <m/>
    <n v="66"/>
    <n v="2630296.0000000019"/>
    <n v="63"/>
    <n v="0"/>
    <n v="0"/>
    <n v="64"/>
    <n v="67"/>
    <n v="0"/>
    <s v=""/>
    <n v="63"/>
    <n v="2018"/>
    <n v="63"/>
    <n v="2022"/>
    <s v=""/>
    <n v="63"/>
    <n v="63"/>
    <s v="No change"/>
    <n v="6.0410507639565125E-2"/>
    <n v="0.33177029268299996"/>
    <n v="0"/>
    <n v="0"/>
    <n v="0"/>
    <n v="0.25699511117792084"/>
    <n v="0.23951676921532769"/>
    <n v="0.23951676921532769"/>
    <x v="1"/>
  </r>
  <r>
    <s v="Botswana"/>
    <x v="4"/>
    <n v="2175438.5"/>
    <x v="8"/>
    <n v="0"/>
    <n v="2217278.0000000009"/>
    <n v="0"/>
    <m/>
    <n v="0"/>
    <m/>
    <n v="0"/>
    <m/>
    <n v="0"/>
    <m/>
    <n v="0"/>
    <n v="2451408.4999999995"/>
    <n v="134"/>
    <n v="134"/>
    <m/>
    <n v="116"/>
    <m/>
    <n v="117"/>
    <m/>
    <n v="123"/>
    <n v="2630296.0000000019"/>
    <n v="82"/>
    <n v="78"/>
    <n v="0"/>
    <n v="134"/>
    <n v="123"/>
    <n v="0"/>
    <s v=""/>
    <n v="134"/>
    <n v="2018"/>
    <n v="82"/>
    <n v="2022"/>
    <s v="Adjust"/>
    <n v="94.242488834274042"/>
    <n v="134"/>
    <s v="Decreasing"/>
    <n v="6.0410507639565125E-2"/>
    <n v="0.33177029268299996"/>
    <n v="57.665339348789971"/>
    <n v="211.03409429064743"/>
    <n v="0"/>
    <n v="0.54662452218795854"/>
    <n v="0.35829613410153827"/>
    <n v="0.50944836626752243"/>
    <x v="1"/>
  </r>
  <r>
    <s v="Botswana"/>
    <x v="4"/>
    <n v="2175439.5"/>
    <x v="9"/>
    <n v="0"/>
    <n v="2217278.0000000009"/>
    <n v="0"/>
    <m/>
    <n v="0"/>
    <m/>
    <n v="0"/>
    <m/>
    <n v="0"/>
    <m/>
    <n v="0"/>
    <n v="2451408.4999999995"/>
    <n v="73"/>
    <n v="73"/>
    <m/>
    <n v="110"/>
    <m/>
    <n v="63"/>
    <m/>
    <n v="62"/>
    <n v="2630296.0000000019"/>
    <n v="74"/>
    <n v="62"/>
    <n v="0"/>
    <n v="110"/>
    <n v="74"/>
    <n v="0"/>
    <s v=""/>
    <n v="73"/>
    <n v="2018"/>
    <n v="74"/>
    <n v="2022"/>
    <s v=""/>
    <n v="74"/>
    <n v="74"/>
    <s v="Increasing"/>
    <n v="6.0410507639565125E-2"/>
    <n v="0.33177029268299996"/>
    <n v="45.836551790063822"/>
    <n v="167.74504930795052"/>
    <n v="0"/>
    <n v="0.29778798596806699"/>
    <n v="0.28133715749101984"/>
    <n v="0.28133715749101984"/>
    <x v="1"/>
  </r>
  <r>
    <s v="Botswana"/>
    <x v="4"/>
    <n v="2175440.5"/>
    <x v="10"/>
    <n v="0"/>
    <n v="2217278.0000000009"/>
    <n v="0"/>
    <m/>
    <n v="0"/>
    <m/>
    <n v="0"/>
    <m/>
    <n v="0"/>
    <m/>
    <n v="0"/>
    <n v="2451408.4999999995"/>
    <n v="5"/>
    <n v="5"/>
    <m/>
    <n v="3"/>
    <m/>
    <n v="3"/>
    <m/>
    <n v="6"/>
    <n v="2630296.0000000019"/>
    <n v="4"/>
    <n v="1"/>
    <n v="0"/>
    <n v="5"/>
    <n v="6"/>
    <n v="0"/>
    <s v=""/>
    <n v="5"/>
    <n v="2018"/>
    <n v="4"/>
    <n v="2022"/>
    <s v="Adjust"/>
    <n v="4.5971945772816607"/>
    <n v="5"/>
    <s v="Decreasing"/>
    <n v="6.0410507639565125E-2"/>
    <n v="0.33177029268299996"/>
    <n v="0.73929922242038426"/>
    <n v="2.7055653114185567"/>
    <n v="0"/>
    <n v="2.0396437395073082E-2"/>
    <n v="1.7477860200075041E-2"/>
    <n v="1.9009267398041881E-2"/>
    <x v="1"/>
  </r>
  <r>
    <s v="Botswana"/>
    <x v="4"/>
    <n v="2175441.5"/>
    <x v="11"/>
    <n v="0"/>
    <n v="2217278.0000000009"/>
    <n v="0"/>
    <m/>
    <n v="0"/>
    <m/>
    <n v="0"/>
    <m/>
    <n v="0"/>
    <m/>
    <n v="0"/>
    <n v="2451408.4999999995"/>
    <n v="1248"/>
    <n v="1248"/>
    <m/>
    <n v="1376"/>
    <m/>
    <n v="1221"/>
    <m/>
    <n v="1355"/>
    <n v="2630296.0000000019"/>
    <n v="1579"/>
    <n v="0"/>
    <n v="0"/>
    <n v="1376"/>
    <n v="1579"/>
    <n v="0"/>
    <s v=""/>
    <n v="1248"/>
    <n v="2018"/>
    <n v="1579"/>
    <n v="2022"/>
    <s v=""/>
    <n v="1579"/>
    <n v="1579"/>
    <s v="Increasing"/>
    <n v="6.0410507639565125E-2"/>
    <n v="0.33177029268299996"/>
    <n v="0"/>
    <n v="0"/>
    <n v="0"/>
    <n v="5.0909507738102411"/>
    <n v="6.0031266443016253"/>
    <n v="6.0031266443016253"/>
    <x v="1"/>
  </r>
  <r>
    <s v="Botswana"/>
    <x v="4"/>
    <n v="2175442.5"/>
    <x v="12"/>
    <n v="0"/>
    <n v="2217278.0000000009"/>
    <n v="0"/>
    <m/>
    <n v="0"/>
    <m/>
    <n v="0"/>
    <m/>
    <n v="0"/>
    <m/>
    <n v="0"/>
    <n v="2451408.4999999995"/>
    <n v="3342"/>
    <n v="3342"/>
    <m/>
    <n v="3956"/>
    <m/>
    <n v="3691"/>
    <m/>
    <n v="3629"/>
    <n v="2630296.0000000019"/>
    <n v="3204"/>
    <n v="20"/>
    <n v="0"/>
    <n v="3956"/>
    <n v="3691"/>
    <n v="0"/>
    <s v=""/>
    <n v="3342"/>
    <n v="2018"/>
    <n v="3204"/>
    <n v="2022"/>
    <s v="Adjust"/>
    <n v="3682.3528564026101"/>
    <n v="3682.3528564026101"/>
    <s v="Increasing"/>
    <n v="6.0410507639565125E-2"/>
    <n v="0.33177029268299996"/>
    <n v="14.785984448407685"/>
    <n v="54.111306228371134"/>
    <n v="0"/>
    <n v="13.632978754866848"/>
    <n v="13.999766020260106"/>
    <n v="13.999766020260106"/>
    <x v="1"/>
  </r>
  <r>
    <s v="Botswana"/>
    <x v="4"/>
    <n v="2175443.5"/>
    <x v="13"/>
    <n v="0"/>
    <n v="2217278.0000000009"/>
    <n v="0"/>
    <m/>
    <n v="0"/>
    <m/>
    <n v="0"/>
    <m/>
    <n v="0"/>
    <m/>
    <n v="0"/>
    <n v="2451408.4999999995"/>
    <n v="318"/>
    <n v="460"/>
    <m/>
    <n v="330"/>
    <m/>
    <n v="338"/>
    <m/>
    <n v="337"/>
    <n v="2630296.0000000019"/>
    <n v="318"/>
    <n v="460"/>
    <n v="0"/>
    <n v="330"/>
    <n v="338"/>
    <n v="0"/>
    <s v=""/>
    <n v="460"/>
    <s v="2018 (triag)"/>
    <n v="318"/>
    <n v="2022"/>
    <s v="Adjust"/>
    <n v="365.47696889389204"/>
    <n v="460"/>
    <s v="Decreasing"/>
    <n v="6.0410507639565125E-2"/>
    <n v="0.33177029268299996"/>
    <n v="340.07764231337677"/>
    <n v="1244.5600432525362"/>
    <n v="0"/>
    <n v="1.8764722403467236"/>
    <n v="1.3894898859059657"/>
    <n v="1.748852600619853"/>
    <x v="1"/>
  </r>
  <r>
    <s v="Botswana"/>
    <x v="4"/>
    <n v="2175444.5"/>
    <x v="14"/>
    <n v="0"/>
    <n v="2217278.0000000009"/>
    <n v="0"/>
    <m/>
    <n v="0"/>
    <m/>
    <n v="0"/>
    <m/>
    <n v="0"/>
    <m/>
    <n v="0"/>
    <n v="2451408.4999999995"/>
    <n v="10"/>
    <n v="58"/>
    <m/>
    <n v="10"/>
    <m/>
    <n v="10"/>
    <m/>
    <n v="11"/>
    <n v="2630296.0000000019"/>
    <n v="6"/>
    <n v="58"/>
    <n v="0"/>
    <n v="10"/>
    <n v="11"/>
    <n v="0"/>
    <s v=""/>
    <n v="58"/>
    <s v="2018 (triag)"/>
    <n v="6"/>
    <n v="2022"/>
    <s v="Adjust"/>
    <n v="6.895791865922491"/>
    <n v="58"/>
    <s v="Decreasing"/>
    <n v="6.0410507639565125E-2"/>
    <n v="0.33177029268299996"/>
    <n v="42.879354900382289"/>
    <n v="156.92278806227628"/>
    <n v="0"/>
    <n v="0.23659867378284774"/>
    <n v="2.621679030011256E-2"/>
    <n v="0.22050750181728582"/>
    <x v="0"/>
  </r>
  <r>
    <s v="Botswana"/>
    <x v="4"/>
    <n v="2175445.5"/>
    <x v="15"/>
    <n v="0"/>
    <n v="2217278.0000000009"/>
    <n v="0"/>
    <m/>
    <n v="0"/>
    <m/>
    <n v="0"/>
    <m/>
    <n v="0"/>
    <m/>
    <n v="0"/>
    <n v="2451408.4999999995"/>
    <n v="42"/>
    <n v="42"/>
    <m/>
    <n v="38"/>
    <m/>
    <n v="66"/>
    <m/>
    <n v="42"/>
    <n v="2630296.0000000019"/>
    <n v="30"/>
    <n v="38"/>
    <n v="0"/>
    <n v="42"/>
    <n v="66"/>
    <n v="0"/>
    <s v=""/>
    <n v="42"/>
    <n v="2018"/>
    <n v="30"/>
    <n v="2022"/>
    <s v="Adjust"/>
    <n v="34.478959329612458"/>
    <n v="42"/>
    <s v="Decreasing"/>
    <n v="6.0410507639565125E-2"/>
    <n v="0.33177029268299996"/>
    <n v="28.0933704519746"/>
    <n v="102.81148183390516"/>
    <n v="0"/>
    <n v="0.1713300741186139"/>
    <n v="0.13108395150056282"/>
    <n v="0.15967784614355179"/>
    <x v="1"/>
  </r>
  <r>
    <s v="Botswana"/>
    <x v="4"/>
    <n v="2175446.5"/>
    <x v="16"/>
    <n v="0"/>
    <n v="2217278.0000000009"/>
    <n v="0"/>
    <m/>
    <n v="0"/>
    <m/>
    <n v="0"/>
    <m/>
    <n v="0"/>
    <m/>
    <n v="0"/>
    <n v="2451408.4999999995"/>
    <n v="0"/>
    <n v="0"/>
    <m/>
    <n v="0"/>
    <m/>
    <n v="0"/>
    <m/>
    <n v="0"/>
    <n v="2630296.0000000019"/>
    <n v="0"/>
    <n v="0"/>
    <n v="0"/>
    <n v="0"/>
    <n v="0"/>
    <n v="0"/>
    <s v=""/>
    <n v="0"/>
    <s v=""/>
    <n v="0"/>
    <s v=""/>
    <s v=""/>
    <n v="0"/>
    <n v="0"/>
    <s v="No change"/>
    <n v="6.0410507639565125E-2"/>
    <n v="0.33177029268299996"/>
    <n v="0"/>
    <n v="0"/>
    <n v="0"/>
    <n v="0"/>
    <n v="0"/>
    <n v="0"/>
    <x v="1"/>
  </r>
  <r>
    <s v="Botswana"/>
    <x v="4"/>
    <n v="2175447.5"/>
    <x v="17"/>
    <n v="0"/>
    <n v="2217278.0000000009"/>
    <n v="0"/>
    <m/>
    <n v="0"/>
    <m/>
    <n v="0"/>
    <m/>
    <n v="0"/>
    <m/>
    <n v="0"/>
    <n v="2451408.4999999995"/>
    <n v="9"/>
    <n v="9"/>
    <m/>
    <n v="8"/>
    <m/>
    <n v="7"/>
    <m/>
    <n v="8"/>
    <n v="2630296.0000000019"/>
    <n v="11"/>
    <n v="0"/>
    <n v="0"/>
    <n v="9"/>
    <n v="11"/>
    <n v="0"/>
    <s v=""/>
    <n v="9"/>
    <n v="2018"/>
    <n v="11"/>
    <n v="2022"/>
    <s v=""/>
    <n v="11"/>
    <n v="11"/>
    <s v="Increasing"/>
    <n v="6.0410507639565125E-2"/>
    <n v="0.33177029268299996"/>
    <n v="0"/>
    <n v="0"/>
    <n v="0"/>
    <n v="3.6713587311131543E-2"/>
    <n v="4.1820388275692136E-2"/>
    <n v="4.1820388275692136E-2"/>
    <x v="1"/>
  </r>
  <r>
    <s v="Botswana"/>
    <x v="4"/>
    <n v="2175448.5"/>
    <x v="18"/>
    <n v="0"/>
    <n v="2217278.0000000009"/>
    <n v="0"/>
    <m/>
    <n v="0"/>
    <m/>
    <n v="0"/>
    <m/>
    <n v="0"/>
    <m/>
    <n v="0"/>
    <n v="2451408.4999999995"/>
    <n v="0"/>
    <n v="0"/>
    <m/>
    <n v="0"/>
    <m/>
    <n v="0"/>
    <m/>
    <n v="0"/>
    <n v="2630296.0000000019"/>
    <n v="0"/>
    <n v="0"/>
    <n v="0"/>
    <n v="0"/>
    <n v="0"/>
    <n v="0"/>
    <s v=""/>
    <n v="0"/>
    <s v=""/>
    <n v="0"/>
    <s v=""/>
    <s v=""/>
    <n v="0"/>
    <n v="0"/>
    <s v="No change"/>
    <n v="6.0410507639565125E-2"/>
    <n v="0.33177029268299996"/>
    <n v="0"/>
    <n v="0"/>
    <n v="0"/>
    <n v="0"/>
    <n v="0"/>
    <n v="0"/>
    <x v="1"/>
  </r>
  <r>
    <s v="Central African Republic"/>
    <x v="5"/>
    <n v="4773310.5"/>
    <x v="0"/>
    <n v="0"/>
    <n v="4802428.5000000065"/>
    <n v="0"/>
    <m/>
    <n v="0"/>
    <m/>
    <n v="0"/>
    <m/>
    <n v="0"/>
    <m/>
    <n v="0"/>
    <n v="5094779.9999999991"/>
    <n v="115"/>
    <n v="115"/>
    <m/>
    <n v="0"/>
    <m/>
    <n v="0"/>
    <m/>
    <n v="1595"/>
    <n v="5579143.5000000047"/>
    <n v="0"/>
    <n v="115"/>
    <n v="0"/>
    <n v="115"/>
    <n v="1595"/>
    <n v="0"/>
    <s v=""/>
    <n v="115"/>
    <n v="2018"/>
    <n v="1595"/>
    <n v="2021"/>
    <s v=""/>
    <n v="1595"/>
    <n v="1595"/>
    <s v="Increasing"/>
    <n v="1.405403127486049E-2"/>
    <n v="5.4673730437993617E-2"/>
    <n v="107.19632560633407"/>
    <n v="135.49751757567779"/>
    <n v="0"/>
    <n v="0.22572122839455289"/>
    <n v="2.8588617589778766"/>
    <n v="2.8588617589778766"/>
    <x v="1"/>
  </r>
  <r>
    <s v="Central African Republic"/>
    <x v="5"/>
    <n v="4773311.5"/>
    <x v="1"/>
    <n v="15"/>
    <n v="4802428.5000000065"/>
    <n v="44"/>
    <m/>
    <n v="44"/>
    <m/>
    <n v="0"/>
    <m/>
    <n v="11"/>
    <m/>
    <n v="55"/>
    <n v="5094779.9999999991"/>
    <n v="77"/>
    <n v="77"/>
    <m/>
    <n v="0"/>
    <m/>
    <n v="0"/>
    <m/>
    <n v="0"/>
    <n v="5579143.5000000047"/>
    <n v="1634"/>
    <n v="0"/>
    <n v="44"/>
    <n v="77"/>
    <n v="1634"/>
    <n v="44"/>
    <n v="2013"/>
    <n v="77"/>
    <n v="2018"/>
    <n v="1634"/>
    <n v="2022"/>
    <s v=""/>
    <n v="1634"/>
    <n v="1634"/>
    <s v="Increasing"/>
    <n v="1.405403127486049E-2"/>
    <n v="5.4673730437993617E-2"/>
    <n v="0"/>
    <n v="0"/>
    <n v="9.1620312514803584E-2"/>
    <n v="0.15113508335983106"/>
    <n v="2.9287649618619751"/>
    <n v="2.9287649618619751"/>
    <x v="1"/>
  </r>
  <r>
    <s v="Central African Republic"/>
    <x v="5"/>
    <n v="4773312.5"/>
    <x v="2"/>
    <n v="11"/>
    <n v="4802428.5000000065"/>
    <n v="257"/>
    <m/>
    <n v="0"/>
    <m/>
    <n v="0"/>
    <m/>
    <n v="0"/>
    <m/>
    <n v="669"/>
    <n v="5094779.9999999991"/>
    <n v="0"/>
    <n v="105"/>
    <m/>
    <n v="0"/>
    <m/>
    <n v="0"/>
    <m/>
    <n v="0"/>
    <n v="5579143.5000000047"/>
    <n v="47"/>
    <n v="105"/>
    <n v="257"/>
    <n v="669"/>
    <n v="47"/>
    <n v="257"/>
    <n v="2013"/>
    <n v="105"/>
    <s v="2018 (triag)"/>
    <n v="47"/>
    <n v="2022"/>
    <s v="Adjust"/>
    <n v="60.353598014888341"/>
    <n v="105"/>
    <s v="Decreasing"/>
    <n v="1.405403127486049E-2"/>
    <n v="5.4673730437993617E-2"/>
    <n v="97.874905988391973"/>
    <n v="123.71512474301016"/>
    <n v="0.53514591627964825"/>
    <n v="0.20609329549067873"/>
    <n v="0.10817717453384788"/>
    <n v="0.18820093084180378"/>
    <x v="0"/>
  </r>
  <r>
    <s v="Central African Republic"/>
    <x v="5"/>
    <n v="4773313.5"/>
    <x v="3"/>
    <n v="0"/>
    <n v="4802428.5000000065"/>
    <n v="0"/>
    <m/>
    <n v="0"/>
    <m/>
    <n v="0"/>
    <m/>
    <n v="0"/>
    <m/>
    <n v="0"/>
    <n v="5094779.9999999991"/>
    <n v="0"/>
    <n v="79"/>
    <m/>
    <n v="0"/>
    <m/>
    <n v="0"/>
    <m/>
    <n v="308"/>
    <n v="5579143.5000000047"/>
    <n v="0"/>
    <n v="79"/>
    <n v="0"/>
    <n v="0"/>
    <n v="308"/>
    <n v="0"/>
    <s v=""/>
    <n v="79"/>
    <s v="2018 (triag)"/>
    <n v="308"/>
    <n v="2021"/>
    <s v=""/>
    <n v="308"/>
    <n v="308"/>
    <s v="Increasing"/>
    <n v="1.405403127486049E-2"/>
    <n v="5.4673730437993617E-2"/>
    <n v="73.639214981742541"/>
    <n v="93.080903378074311"/>
    <n v="0"/>
    <n v="0.15506066994060591"/>
    <n v="0.5520560638026244"/>
    <n v="0.5520560638026244"/>
    <x v="1"/>
  </r>
  <r>
    <s v="Central African Republic"/>
    <x v="5"/>
    <n v="4773314.5"/>
    <x v="4"/>
    <n v="0"/>
    <n v="4802428.5000000065"/>
    <n v="0"/>
    <m/>
    <n v="0"/>
    <m/>
    <n v="0"/>
    <m/>
    <n v="0"/>
    <m/>
    <n v="0"/>
    <n v="5094779.9999999991"/>
    <n v="0"/>
    <n v="22"/>
    <m/>
    <n v="0"/>
    <m/>
    <n v="0"/>
    <m/>
    <n v="0"/>
    <n v="5579143.5000000047"/>
    <n v="0"/>
    <n v="22"/>
    <n v="0"/>
    <n v="0"/>
    <n v="0"/>
    <n v="0"/>
    <s v=""/>
    <n v="22"/>
    <s v="2018 (triag)"/>
    <n v="22"/>
    <s v="2018 (triag)"/>
    <s v=""/>
    <n v="22"/>
    <n v="22"/>
    <s v="No change"/>
    <n v="1.405403127486049E-2"/>
    <n v="5.4673730437993617E-2"/>
    <n v="20.507123159472606"/>
    <n v="25.921264231868797"/>
    <n v="0"/>
    <n v="4.318145238852316E-2"/>
    <n v="3.9432575985901747E-2"/>
    <n v="3.9432575985901747E-2"/>
    <x v="1"/>
  </r>
  <r>
    <s v="Central African Republic"/>
    <x v="5"/>
    <n v="4773315.5"/>
    <x v="5"/>
    <n v="0"/>
    <n v="4802428.5000000065"/>
    <n v="0"/>
    <m/>
    <n v="0"/>
    <m/>
    <n v="0"/>
    <m/>
    <n v="0"/>
    <m/>
    <n v="0"/>
    <n v="5094779.9999999991"/>
    <n v="1"/>
    <n v="1"/>
    <m/>
    <n v="0"/>
    <m/>
    <n v="0"/>
    <m/>
    <n v="0"/>
    <n v="5579143.5000000047"/>
    <n v="0"/>
    <n v="0"/>
    <n v="0"/>
    <n v="1"/>
    <n v="0"/>
    <n v="0"/>
    <s v=""/>
    <n v="1"/>
    <n v="2018"/>
    <n v="1"/>
    <n v="2018"/>
    <s v=""/>
    <n v="1"/>
    <n v="1"/>
    <s v="No change"/>
    <n v="1.405403127486049E-2"/>
    <n v="5.4673730437993617E-2"/>
    <n v="0"/>
    <n v="0"/>
    <n v="0"/>
    <n v="1.9627932903874164E-3"/>
    <n v="1.7923898175409884E-3"/>
    <n v="1.7923898175409884E-3"/>
    <x v="1"/>
  </r>
  <r>
    <s v="Central African Republic"/>
    <x v="5"/>
    <n v="4773316.5"/>
    <x v="6"/>
    <n v="0"/>
    <n v="4802428.5000000065"/>
    <n v="0"/>
    <m/>
    <n v="0"/>
    <m/>
    <n v="0"/>
    <m/>
    <n v="0"/>
    <m/>
    <n v="0"/>
    <n v="5094779.9999999991"/>
    <n v="112"/>
    <n v="112"/>
    <m/>
    <n v="0"/>
    <m/>
    <n v="0"/>
    <m/>
    <n v="0"/>
    <n v="5579143.5000000047"/>
    <n v="0"/>
    <n v="3"/>
    <n v="0"/>
    <n v="112"/>
    <n v="0"/>
    <n v="0"/>
    <s v=""/>
    <n v="112"/>
    <n v="2018"/>
    <n v="112"/>
    <n v="2018"/>
    <s v=""/>
    <n v="112"/>
    <n v="112"/>
    <s v="No change"/>
    <n v="1.405403127486049E-2"/>
    <n v="5.4673730437993617E-2"/>
    <n v="2.7964258853826278"/>
    <n v="3.5347178498002902"/>
    <n v="0"/>
    <n v="0.21983284852339066"/>
    <n v="0.2007476595645907"/>
    <n v="0.2007476595645907"/>
    <x v="1"/>
  </r>
  <r>
    <s v="Central African Republic"/>
    <x v="5"/>
    <n v="4773317.5"/>
    <x v="7"/>
    <n v="0"/>
    <n v="4802428.5000000065"/>
    <n v="0"/>
    <m/>
    <n v="0"/>
    <m/>
    <n v="0"/>
    <m/>
    <n v="0"/>
    <m/>
    <n v="0"/>
    <n v="5094779.9999999991"/>
    <n v="0"/>
    <n v="104"/>
    <m/>
    <n v="0"/>
    <m/>
    <n v="0"/>
    <m/>
    <n v="0"/>
    <n v="5579143.5000000047"/>
    <n v="0"/>
    <n v="104"/>
    <n v="0"/>
    <n v="0"/>
    <n v="0"/>
    <n v="0"/>
    <s v=""/>
    <n v="104"/>
    <s v="2018 (triag)"/>
    <n v="104"/>
    <s v="2018 (triag)"/>
    <s v=""/>
    <n v="104"/>
    <n v="104"/>
    <s v="No change"/>
    <n v="1.405403127486049E-2"/>
    <n v="5.4673730437993617E-2"/>
    <n v="96.942764026597771"/>
    <n v="122.53688545974339"/>
    <n v="0"/>
    <n v="0.2041305022002913"/>
    <n v="0.1864085410242628"/>
    <n v="0.1864085410242628"/>
    <x v="1"/>
  </r>
  <r>
    <s v="Central African Republic"/>
    <x v="5"/>
    <n v="4773318.5"/>
    <x v="8"/>
    <n v="0"/>
    <n v="4802428.5000000065"/>
    <n v="0"/>
    <m/>
    <n v="0"/>
    <m/>
    <n v="0"/>
    <m/>
    <n v="0"/>
    <m/>
    <n v="0"/>
    <n v="5094779.9999999991"/>
    <n v="0"/>
    <n v="3"/>
    <m/>
    <n v="0"/>
    <m/>
    <n v="0"/>
    <m/>
    <n v="0"/>
    <n v="5579143.5000000047"/>
    <n v="0"/>
    <n v="3"/>
    <n v="0"/>
    <n v="0"/>
    <n v="0"/>
    <n v="0"/>
    <s v=""/>
    <n v="3"/>
    <s v="2018 (triag)"/>
    <n v="3"/>
    <s v="2018 (triag)"/>
    <s v=""/>
    <n v="3"/>
    <n v="3"/>
    <s v="No change"/>
    <n v="1.405403127486049E-2"/>
    <n v="5.4673730437993617E-2"/>
    <n v="2.7964258853826278"/>
    <n v="3.5347178498002902"/>
    <n v="0"/>
    <n v="5.8883798711622491E-3"/>
    <n v="5.3771694526229654E-3"/>
    <n v="5.3771694526229654E-3"/>
    <x v="1"/>
  </r>
  <r>
    <s v="Central African Republic"/>
    <x v="5"/>
    <n v="4773319.5"/>
    <x v="9"/>
    <n v="0"/>
    <n v="4802428.5000000065"/>
    <n v="0"/>
    <m/>
    <n v="0"/>
    <m/>
    <n v="0"/>
    <m/>
    <n v="0"/>
    <m/>
    <n v="0"/>
    <n v="5094779.9999999991"/>
    <n v="0"/>
    <n v="20"/>
    <m/>
    <n v="0"/>
    <m/>
    <n v="0"/>
    <m/>
    <n v="0"/>
    <n v="5579143.5000000047"/>
    <n v="0"/>
    <n v="20"/>
    <n v="0"/>
    <n v="0"/>
    <n v="0"/>
    <n v="0"/>
    <s v=""/>
    <n v="20"/>
    <s v="2018 (triag)"/>
    <n v="20"/>
    <s v="2018 (triag)"/>
    <s v=""/>
    <n v="20"/>
    <n v="20"/>
    <s v="No change"/>
    <n v="1.405403127486049E-2"/>
    <n v="5.4673730437993617E-2"/>
    <n v="18.642839235884185"/>
    <n v="23.564785665335268"/>
    <n v="0"/>
    <n v="3.9255865807748327E-2"/>
    <n v="3.584779635081977E-2"/>
    <n v="3.584779635081977E-2"/>
    <x v="1"/>
  </r>
  <r>
    <s v="Central African Republic"/>
    <x v="5"/>
    <n v="4773320.5"/>
    <x v="10"/>
    <n v="0"/>
    <n v="4802428.5000000065"/>
    <n v="0"/>
    <m/>
    <n v="0"/>
    <m/>
    <n v="0"/>
    <m/>
    <n v="0"/>
    <m/>
    <n v="0"/>
    <n v="5094779.9999999991"/>
    <n v="0"/>
    <n v="0"/>
    <m/>
    <n v="0"/>
    <m/>
    <n v="0"/>
    <m/>
    <n v="0"/>
    <n v="5579143.5000000047"/>
    <n v="0"/>
    <n v="0"/>
    <n v="0"/>
    <n v="0"/>
    <n v="0"/>
    <n v="0"/>
    <s v=""/>
    <n v="0"/>
    <s v=""/>
    <n v="0"/>
    <s v=""/>
    <s v=""/>
    <n v="0"/>
    <n v="0"/>
    <s v="No change"/>
    <n v="1.405403127486049E-2"/>
    <n v="5.4673730437993617E-2"/>
    <n v="0"/>
    <n v="0"/>
    <n v="0"/>
    <n v="0"/>
    <n v="0"/>
    <n v="0"/>
    <x v="1"/>
  </r>
  <r>
    <s v="Central African Republic"/>
    <x v="5"/>
    <n v="4773321.5"/>
    <x v="11"/>
    <n v="0"/>
    <n v="4802428.5000000065"/>
    <n v="0"/>
    <m/>
    <n v="0"/>
    <m/>
    <n v="0"/>
    <m/>
    <n v="0"/>
    <m/>
    <n v="0"/>
    <n v="5094779.9999999991"/>
    <n v="0"/>
    <n v="65"/>
    <m/>
    <n v="0"/>
    <m/>
    <n v="0"/>
    <m/>
    <n v="0"/>
    <n v="5579143.5000000047"/>
    <n v="0"/>
    <n v="65"/>
    <n v="0"/>
    <n v="0"/>
    <n v="0"/>
    <n v="0"/>
    <s v=""/>
    <n v="65"/>
    <s v="2018 (triag)"/>
    <n v="65"/>
    <s v="2018 (triag)"/>
    <s v=""/>
    <n v="65"/>
    <n v="65"/>
    <s v="No change"/>
    <n v="1.405403127486049E-2"/>
    <n v="5.4673730437993617E-2"/>
    <n v="60.589227516623602"/>
    <n v="76.585553412339621"/>
    <n v="0"/>
    <n v="0.12758156387518207"/>
    <n v="0.11650533814016426"/>
    <n v="0.11650533814016426"/>
    <x v="1"/>
  </r>
  <r>
    <s v="Central African Republic"/>
    <x v="5"/>
    <n v="4773322.5"/>
    <x v="12"/>
    <n v="0"/>
    <n v="4802428.5000000065"/>
    <n v="0"/>
    <m/>
    <n v="0"/>
    <m/>
    <n v="0"/>
    <m/>
    <n v="0"/>
    <m/>
    <n v="0"/>
    <n v="5094779.9999999991"/>
    <n v="0"/>
    <n v="14"/>
    <m/>
    <n v="0"/>
    <m/>
    <n v="0"/>
    <m/>
    <n v="0"/>
    <n v="5579143.5000000047"/>
    <n v="0"/>
    <n v="14"/>
    <n v="0"/>
    <n v="0"/>
    <n v="0"/>
    <n v="0"/>
    <s v=""/>
    <n v="14"/>
    <s v="2018 (triag)"/>
    <n v="14"/>
    <s v="2018 (triag)"/>
    <s v=""/>
    <n v="14"/>
    <n v="14"/>
    <s v="No change"/>
    <n v="1.405403127486049E-2"/>
    <n v="5.4673730437993617E-2"/>
    <n v="13.04998746511893"/>
    <n v="16.49534996573469"/>
    <n v="0"/>
    <n v="2.7479106065423833E-2"/>
    <n v="2.5093457445573838E-2"/>
    <n v="2.5093457445573838E-2"/>
    <x v="1"/>
  </r>
  <r>
    <s v="Central African Republic"/>
    <x v="5"/>
    <n v="4773323.5"/>
    <x v="13"/>
    <n v="0"/>
    <n v="4802428.5000000065"/>
    <n v="0"/>
    <m/>
    <n v="0"/>
    <m/>
    <n v="0"/>
    <m/>
    <n v="0"/>
    <m/>
    <n v="0"/>
    <n v="5094779.9999999991"/>
    <n v="0"/>
    <n v="112"/>
    <m/>
    <n v="0"/>
    <m/>
    <n v="0"/>
    <m/>
    <n v="47"/>
    <n v="5579143.5000000047"/>
    <n v="0"/>
    <n v="112"/>
    <n v="0"/>
    <n v="0"/>
    <n v="47"/>
    <n v="0"/>
    <s v=""/>
    <n v="112"/>
    <s v="2018 (triag)"/>
    <n v="47"/>
    <n v="2021"/>
    <s v="Adjust"/>
    <n v="60.353598014888341"/>
    <n v="112"/>
    <s v="Decreasing"/>
    <n v="1.405403127486049E-2"/>
    <n v="5.4673730437993617E-2"/>
    <n v="104.39989972095144"/>
    <n v="131.96279972587752"/>
    <n v="0"/>
    <n v="0.21983284852339066"/>
    <n v="0.10817717453384788"/>
    <n v="0.2007476595645907"/>
    <x v="0"/>
  </r>
  <r>
    <s v="Central African Republic"/>
    <x v="5"/>
    <n v="4773324.5"/>
    <x v="14"/>
    <n v="0"/>
    <n v="4802428.5000000065"/>
    <n v="0"/>
    <m/>
    <n v="0"/>
    <m/>
    <n v="0"/>
    <m/>
    <n v="0"/>
    <m/>
    <n v="0"/>
    <n v="5094779.9999999991"/>
    <n v="0"/>
    <n v="200"/>
    <m/>
    <n v="0"/>
    <m/>
    <n v="0"/>
    <m/>
    <n v="0"/>
    <n v="5579143.5000000047"/>
    <n v="0"/>
    <n v="200"/>
    <n v="0"/>
    <n v="0"/>
    <n v="0"/>
    <n v="0"/>
    <s v=""/>
    <n v="200"/>
    <s v="2018 (triag)"/>
    <n v="200"/>
    <s v="2018 (triag)"/>
    <s v=""/>
    <n v="200"/>
    <n v="200"/>
    <s v="No change"/>
    <n v="1.405403127486049E-2"/>
    <n v="5.4673730437993617E-2"/>
    <n v="186.42839235884188"/>
    <n v="235.64785665335268"/>
    <n v="0"/>
    <n v="0.3925586580774833"/>
    <n v="0.35847796350819766"/>
    <n v="0.35847796350819766"/>
    <x v="1"/>
  </r>
  <r>
    <s v="Central African Republic"/>
    <x v="5"/>
    <n v="4773325.5"/>
    <x v="15"/>
    <n v="0"/>
    <n v="4802428.5000000065"/>
    <n v="0"/>
    <m/>
    <n v="0"/>
    <m/>
    <n v="0"/>
    <m/>
    <n v="0"/>
    <m/>
    <n v="0"/>
    <n v="5094779.9999999991"/>
    <n v="0"/>
    <n v="0"/>
    <m/>
    <n v="0"/>
    <m/>
    <n v="0"/>
    <m/>
    <n v="155"/>
    <n v="5579143.5000000047"/>
    <n v="0"/>
    <n v="0"/>
    <n v="0"/>
    <n v="0"/>
    <n v="155"/>
    <n v="0"/>
    <s v=""/>
    <n v="0"/>
    <s v=""/>
    <n v="155"/>
    <n v="2021"/>
    <s v=""/>
    <n v="155"/>
    <n v="155"/>
    <s v="Increasing"/>
    <n v="1.405403127486049E-2"/>
    <n v="5.4673730437993617E-2"/>
    <n v="0"/>
    <n v="0"/>
    <n v="0"/>
    <n v="0"/>
    <n v="0.27782042171885318"/>
    <n v="0.27782042171885318"/>
    <x v="1"/>
  </r>
  <r>
    <s v="Central African Republic"/>
    <x v="5"/>
    <n v="4773326.5"/>
    <x v="16"/>
    <n v="0"/>
    <n v="4802428.5000000065"/>
    <n v="0"/>
    <m/>
    <n v="0"/>
    <m/>
    <n v="83"/>
    <m/>
    <n v="0"/>
    <m/>
    <n v="0"/>
    <n v="5094779.9999999991"/>
    <n v="0"/>
    <n v="0"/>
    <m/>
    <n v="0"/>
    <m/>
    <n v="0"/>
    <m/>
    <n v="0"/>
    <n v="5579143.5000000047"/>
    <n v="0"/>
    <n v="0"/>
    <n v="83"/>
    <n v="0"/>
    <n v="0"/>
    <n v="83"/>
    <n v="2015"/>
    <n v="0"/>
    <s v=""/>
    <n v="0"/>
    <s v=""/>
    <s v=""/>
    <n v="0"/>
    <n v="0"/>
    <s v="No change"/>
    <n v="1.405403127486049E-2"/>
    <n v="5.4673730437993617E-2"/>
    <n v="0"/>
    <n v="0"/>
    <n v="0.17282922588019767"/>
    <n v="0"/>
    <n v="0"/>
    <n v="0"/>
    <x v="1"/>
  </r>
  <r>
    <s v="Central African Republic"/>
    <x v="5"/>
    <n v="4773327.5"/>
    <x v="17"/>
    <n v="0"/>
    <n v="4802428.5000000065"/>
    <n v="0"/>
    <m/>
    <n v="0"/>
    <m/>
    <n v="0"/>
    <m/>
    <n v="0"/>
    <m/>
    <n v="0"/>
    <n v="5094779.9999999991"/>
    <n v="0"/>
    <n v="0"/>
    <m/>
    <n v="0"/>
    <m/>
    <n v="0"/>
    <m/>
    <n v="0"/>
    <n v="5579143.5000000047"/>
    <n v="0"/>
    <n v="0"/>
    <n v="0"/>
    <n v="0"/>
    <n v="0"/>
    <n v="0"/>
    <s v=""/>
    <n v="0"/>
    <s v=""/>
    <n v="0"/>
    <s v=""/>
    <s v=""/>
    <n v="0"/>
    <n v="0"/>
    <s v="No change"/>
    <n v="1.405403127486049E-2"/>
    <n v="5.4673730437993617E-2"/>
    <n v="0"/>
    <n v="0"/>
    <n v="0"/>
    <n v="0"/>
    <n v="0"/>
    <n v="0"/>
    <x v="1"/>
  </r>
  <r>
    <s v="Central African Republic"/>
    <x v="5"/>
    <n v="4773328.5"/>
    <x v="18"/>
    <n v="0"/>
    <n v="4802428.5000000065"/>
    <n v="0"/>
    <m/>
    <n v="0"/>
    <m/>
    <n v="0"/>
    <m/>
    <n v="0"/>
    <m/>
    <n v="0"/>
    <n v="5094779.9999999991"/>
    <n v="0"/>
    <n v="0"/>
    <m/>
    <n v="0"/>
    <m/>
    <n v="0"/>
    <m/>
    <n v="0"/>
    <n v="5579143.5000000047"/>
    <n v="0"/>
    <n v="0"/>
    <n v="0"/>
    <n v="0"/>
    <n v="0"/>
    <n v="0"/>
    <s v=""/>
    <n v="0"/>
    <s v=""/>
    <n v="0"/>
    <s v=""/>
    <s v=""/>
    <n v="0"/>
    <n v="0"/>
    <s v="No change"/>
    <n v="1.405403127486049E-2"/>
    <n v="5.4673730437993617E-2"/>
    <n v="0"/>
    <n v="0"/>
    <n v="0"/>
    <n v="0"/>
    <n v="0"/>
    <n v="0"/>
    <x v="1"/>
  </r>
  <r>
    <s v="Cote d'Ivoire"/>
    <x v="6"/>
    <n v="22010716.5"/>
    <x v="0"/>
    <n v="0"/>
    <n v="22469267.5"/>
    <n v="0"/>
    <m/>
    <n v="0"/>
    <m/>
    <n v="0"/>
    <m/>
    <n v="0"/>
    <m/>
    <n v="0"/>
    <n v="25493988.499999996"/>
    <n v="14556"/>
    <n v="14556"/>
    <m/>
    <n v="0"/>
    <m/>
    <n v="0"/>
    <m/>
    <n v="0"/>
    <n v="28160542.500000004"/>
    <n v="0"/>
    <n v="14556"/>
    <n v="0"/>
    <n v="14556"/>
    <n v="0"/>
    <n v="0"/>
    <s v=""/>
    <n v="14556"/>
    <n v="2018"/>
    <n v="14556"/>
    <n v="2018"/>
    <s v=""/>
    <n v="14556"/>
    <n v="14556"/>
    <s v="No change"/>
    <n v="6.6569375282258259E-2"/>
    <n v="5.4673730437993617E-2"/>
    <n v="10434.904653852293"/>
    <n v="17150.451007231008"/>
    <n v="0"/>
    <n v="5.709581299920961"/>
    <n v="5.1689345118262544"/>
    <n v="5.1689345118262544"/>
    <x v="1"/>
  </r>
  <r>
    <s v="Cote d'Ivoire"/>
    <x v="6"/>
    <n v="22010717.5"/>
    <x v="1"/>
    <n v="0"/>
    <n v="22469267.5"/>
    <n v="0"/>
    <m/>
    <n v="0"/>
    <m/>
    <n v="0"/>
    <m/>
    <n v="0"/>
    <m/>
    <n v="0"/>
    <n v="25493988.499999996"/>
    <n v="745"/>
    <n v="745"/>
    <m/>
    <n v="29"/>
    <m/>
    <n v="0"/>
    <m/>
    <n v="7"/>
    <n v="28160542.500000004"/>
    <n v="0"/>
    <n v="25"/>
    <n v="0"/>
    <n v="745"/>
    <n v="7"/>
    <n v="0"/>
    <s v=""/>
    <n v="745"/>
    <n v="2018"/>
    <n v="7"/>
    <n v="2021"/>
    <s v="Adjust"/>
    <n v="8.9843537236828332"/>
    <n v="745"/>
    <s v="Decreasing"/>
    <n v="6.6569375282258259E-2"/>
    <n v="5.4673730437993617E-2"/>
    <n v="17.921998924588301"/>
    <n v="29.455982081669084"/>
    <n v="0"/>
    <n v="0.29222575353401453"/>
    <n v="3.1904050583126484E-3"/>
    <n v="0.26455456246981035"/>
    <x v="0"/>
  </r>
  <r>
    <s v="Cote d'Ivoire"/>
    <x v="6"/>
    <n v="22010718.5"/>
    <x v="2"/>
    <n v="0"/>
    <n v="22469267.5"/>
    <n v="0"/>
    <m/>
    <n v="0"/>
    <m/>
    <n v="0"/>
    <m/>
    <n v="0"/>
    <m/>
    <n v="0"/>
    <n v="25493988.499999996"/>
    <n v="0"/>
    <n v="1425"/>
    <m/>
    <n v="148"/>
    <m/>
    <n v="0"/>
    <m/>
    <n v="835"/>
    <n v="28160542.500000004"/>
    <n v="0"/>
    <n v="1425"/>
    <n v="0"/>
    <n v="148"/>
    <n v="835"/>
    <n v="0"/>
    <s v=""/>
    <n v="1425"/>
    <s v="2018 (triag)"/>
    <n v="835"/>
    <n v="2021"/>
    <s v="Adjust"/>
    <n v="1071.7050513250235"/>
    <n v="1425"/>
    <s v="Decreasing"/>
    <n v="6.6569375282258259E-2"/>
    <n v="5.4673730437993617E-2"/>
    <n v="1021.5539387015332"/>
    <n v="1678.990978655138"/>
    <n v="0"/>
    <n v="0.55895530038385333"/>
    <n v="0.38056974624158019"/>
    <n v="0.50602718324762386"/>
    <x v="1"/>
  </r>
  <r>
    <s v="Cote d'Ivoire"/>
    <x v="6"/>
    <n v="22010719.5"/>
    <x v="3"/>
    <n v="0"/>
    <n v="22469267.5"/>
    <n v="0"/>
    <m/>
    <n v="0"/>
    <m/>
    <n v="0"/>
    <m/>
    <n v="0"/>
    <m/>
    <n v="0"/>
    <n v="25493988.499999996"/>
    <n v="0"/>
    <n v="3640"/>
    <m/>
    <n v="4168"/>
    <m/>
    <n v="0"/>
    <m/>
    <n v="4221"/>
    <n v="28160542.500000004"/>
    <n v="4140"/>
    <n v="3640"/>
    <n v="0"/>
    <n v="4168"/>
    <n v="4221"/>
    <n v="0"/>
    <s v=""/>
    <n v="3640"/>
    <s v="2018 (triag)"/>
    <n v="4140"/>
    <n v="2022"/>
    <s v=""/>
    <n v="4140"/>
    <n v="4140"/>
    <s v="Increasing"/>
    <n v="6.6569375282258259E-2"/>
    <n v="5.4673730437993617E-2"/>
    <n v="2609.4430434200567"/>
    <n v="4288.7909910910184"/>
    <n v="0"/>
    <n v="1.4277875743138428"/>
    <n v="1.4701421323825703"/>
    <n v="1.4701421323825703"/>
    <x v="1"/>
  </r>
  <r>
    <s v="Cote d'Ivoire"/>
    <x v="6"/>
    <n v="22010720.5"/>
    <x v="4"/>
    <n v="0"/>
    <n v="22469267.5"/>
    <n v="0"/>
    <m/>
    <n v="0"/>
    <m/>
    <n v="0"/>
    <m/>
    <n v="0"/>
    <m/>
    <n v="0"/>
    <n v="25493988.499999996"/>
    <n v="0"/>
    <n v="91"/>
    <m/>
    <n v="0"/>
    <m/>
    <n v="0"/>
    <m/>
    <n v="0"/>
    <n v="28160542.500000004"/>
    <n v="0"/>
    <n v="91"/>
    <n v="0"/>
    <n v="0"/>
    <n v="0"/>
    <n v="0"/>
    <s v=""/>
    <n v="91"/>
    <s v="2018 (triag)"/>
    <n v="91"/>
    <s v="2018 (triag)"/>
    <s v=""/>
    <n v="91"/>
    <n v="91"/>
    <s v="No change"/>
    <n v="6.6569375282258259E-2"/>
    <n v="5.4673730437993617E-2"/>
    <n v="65.236076085501423"/>
    <n v="107.21977477727548"/>
    <n v="0"/>
    <n v="3.5694689357846074E-2"/>
    <n v="3.2314718368795625E-2"/>
    <n v="3.2314718368795625E-2"/>
    <x v="1"/>
  </r>
  <r>
    <s v="Cote d'Ivoire"/>
    <x v="6"/>
    <n v="22010721.5"/>
    <x v="5"/>
    <n v="0"/>
    <n v="22469267.5"/>
    <n v="0"/>
    <m/>
    <n v="190"/>
    <m/>
    <n v="0"/>
    <m/>
    <n v="0"/>
    <m/>
    <n v="0"/>
    <n v="25493988.499999996"/>
    <n v="0"/>
    <n v="0"/>
    <m/>
    <n v="40"/>
    <m/>
    <n v="0"/>
    <m/>
    <n v="0"/>
    <n v="28160542.500000004"/>
    <n v="0"/>
    <n v="0"/>
    <n v="190"/>
    <n v="40"/>
    <n v="0"/>
    <n v="190"/>
    <n v="2014"/>
    <n v="40"/>
    <n v="2019"/>
    <n v="40"/>
    <n v="2019"/>
    <s v=""/>
    <n v="40"/>
    <n v="40"/>
    <s v="No change"/>
    <n v="6.6569375282258259E-2"/>
    <n v="5.4673730437993617E-2"/>
    <n v="0"/>
    <n v="0"/>
    <n v="8.4559943932306647E-2"/>
    <n v="1.5689973344108165E-2"/>
    <n v="1.4204271810459615E-2"/>
    <n v="1.4204271810459615E-2"/>
    <x v="1"/>
  </r>
  <r>
    <s v="Cote d'Ivoire"/>
    <x v="6"/>
    <n v="22010722.5"/>
    <x v="6"/>
    <n v="0"/>
    <n v="22469267.5"/>
    <n v="0"/>
    <m/>
    <n v="2380"/>
    <m/>
    <n v="0"/>
    <m/>
    <n v="0"/>
    <m/>
    <n v="0"/>
    <n v="25493988.499999996"/>
    <n v="0"/>
    <n v="497"/>
    <m/>
    <n v="0"/>
    <m/>
    <n v="0"/>
    <m/>
    <n v="0"/>
    <n v="28160542.500000004"/>
    <n v="0"/>
    <n v="497"/>
    <n v="2380"/>
    <n v="0"/>
    <n v="0"/>
    <n v="2380"/>
    <n v="2014"/>
    <n v="497"/>
    <s v="2018 (triag)"/>
    <n v="497"/>
    <s v="2018 (triag)"/>
    <s v=""/>
    <n v="497"/>
    <n v="497"/>
    <s v="No change"/>
    <n v="6.6569375282258259E-2"/>
    <n v="5.4673730437993617E-2"/>
    <n v="356.28933862081544"/>
    <n v="585.58492378358142"/>
    <n v="1.0592245608362623"/>
    <n v="0.19494791880054393"/>
    <n v="0.17648807724496071"/>
    <n v="0.17648807724496071"/>
    <x v="1"/>
  </r>
  <r>
    <s v="Cote d'Ivoire"/>
    <x v="6"/>
    <n v="22010723.5"/>
    <x v="7"/>
    <n v="0"/>
    <n v="22469267.5"/>
    <n v="0"/>
    <m/>
    <n v="0"/>
    <m/>
    <n v="0"/>
    <m/>
    <n v="0"/>
    <m/>
    <n v="0"/>
    <n v="25493988.499999996"/>
    <n v="0"/>
    <n v="242"/>
    <m/>
    <n v="0"/>
    <m/>
    <n v="0"/>
    <m/>
    <n v="0"/>
    <n v="28160542.500000004"/>
    <n v="0"/>
    <n v="242"/>
    <n v="0"/>
    <n v="0"/>
    <n v="0"/>
    <n v="0"/>
    <s v=""/>
    <n v="242"/>
    <s v="2018 (triag)"/>
    <n v="242"/>
    <s v="2018 (triag)"/>
    <s v=""/>
    <n v="242"/>
    <n v="242"/>
    <s v="No change"/>
    <n v="6.6569375282258259E-2"/>
    <n v="5.4673730437993617E-2"/>
    <n v="173.48494959001476"/>
    <n v="285.13390655055673"/>
    <n v="0"/>
    <n v="9.4924338731854394E-2"/>
    <n v="8.5935844453280674E-2"/>
    <n v="8.5935844453280674E-2"/>
    <x v="1"/>
  </r>
  <r>
    <s v="Cote d'Ivoire"/>
    <x v="6"/>
    <n v="22010724.5"/>
    <x v="8"/>
    <n v="0"/>
    <n v="22469267.5"/>
    <n v="0"/>
    <m/>
    <n v="820"/>
    <m/>
    <n v="0"/>
    <m/>
    <n v="0"/>
    <m/>
    <n v="0"/>
    <n v="25493988.499999996"/>
    <n v="0"/>
    <n v="3103"/>
    <m/>
    <n v="0"/>
    <m/>
    <n v="0"/>
    <m/>
    <n v="0"/>
    <n v="28160542.500000004"/>
    <n v="0"/>
    <n v="3103"/>
    <n v="820"/>
    <n v="0"/>
    <n v="0"/>
    <n v="820"/>
    <n v="2014"/>
    <n v="3103"/>
    <s v="2018 (triag)"/>
    <n v="3103"/>
    <s v="2018 (triag)"/>
    <s v=""/>
    <n v="3103"/>
    <n v="3103"/>
    <s v="No change"/>
    <n v="6.6569375282258259E-2"/>
    <n v="5.4673730437993617E-2"/>
    <n v="2224.4785065198998"/>
    <n v="3656.0764959767671"/>
    <n v="0.36494291591837608"/>
    <n v="1.2171496821691907"/>
    <n v="1.1018963856964046"/>
    <n v="1.1018963856964046"/>
    <x v="1"/>
  </r>
  <r>
    <s v="Cote d'Ivoire"/>
    <x v="6"/>
    <n v="22010725.5"/>
    <x v="9"/>
    <n v="0"/>
    <n v="22469267.5"/>
    <n v="0"/>
    <m/>
    <n v="0"/>
    <m/>
    <n v="0"/>
    <m/>
    <n v="0"/>
    <m/>
    <n v="0"/>
    <n v="25493988.499999996"/>
    <n v="0"/>
    <n v="123"/>
    <m/>
    <n v="0"/>
    <m/>
    <n v="0"/>
    <m/>
    <n v="0"/>
    <n v="28160542.500000004"/>
    <n v="0"/>
    <n v="123"/>
    <n v="0"/>
    <n v="0"/>
    <n v="0"/>
    <n v="0"/>
    <s v=""/>
    <n v="123"/>
    <s v="2018 (triag)"/>
    <n v="123"/>
    <s v="2018 (triag)"/>
    <s v=""/>
    <n v="123"/>
    <n v="123"/>
    <s v="No change"/>
    <n v="6.6569375282258259E-2"/>
    <n v="5.4673730437993617E-2"/>
    <n v="88.176234708974448"/>
    <n v="144.92343184181189"/>
    <n v="0"/>
    <n v="4.82466680331326E-2"/>
    <n v="4.3678135817163316E-2"/>
    <n v="4.3678135817163316E-2"/>
    <x v="1"/>
  </r>
  <r>
    <s v="Cote d'Ivoire"/>
    <x v="6"/>
    <n v="22010726.5"/>
    <x v="10"/>
    <n v="0"/>
    <n v="22469267.5"/>
    <n v="0"/>
    <m/>
    <n v="70"/>
    <m/>
    <n v="0"/>
    <m/>
    <n v="0"/>
    <m/>
    <n v="0"/>
    <n v="25493988.499999996"/>
    <n v="0"/>
    <n v="700"/>
    <m/>
    <n v="0"/>
    <m/>
    <n v="0"/>
    <m/>
    <n v="0"/>
    <n v="28160542.500000004"/>
    <n v="0"/>
    <n v="700"/>
    <n v="70"/>
    <n v="0"/>
    <n v="0"/>
    <n v="70"/>
    <n v="2014"/>
    <n v="700"/>
    <s v="2018 (triag)"/>
    <n v="700"/>
    <s v="2018 (triag)"/>
    <s v=""/>
    <n v="700"/>
    <n v="700"/>
    <s v="No change"/>
    <n v="6.6569375282258259E-2"/>
    <n v="5.4673730437993617E-2"/>
    <n v="501.81596988847247"/>
    <n v="824.76749828673439"/>
    <n v="3.1153663554007713E-2"/>
    <n v="0.27457453352189287"/>
    <n v="0.24857475668304327"/>
    <n v="0.24857475668304327"/>
    <x v="1"/>
  </r>
  <r>
    <s v="Cote d'Ivoire"/>
    <x v="6"/>
    <n v="22010727.5"/>
    <x v="11"/>
    <n v="0"/>
    <n v="22469267.5"/>
    <n v="0"/>
    <m/>
    <n v="0"/>
    <m/>
    <n v="0"/>
    <m/>
    <n v="0"/>
    <m/>
    <n v="0"/>
    <n v="25493988.499999996"/>
    <n v="0"/>
    <n v="139"/>
    <m/>
    <n v="0"/>
    <m/>
    <n v="0"/>
    <m/>
    <n v="0"/>
    <n v="28160542.500000004"/>
    <n v="0"/>
    <n v="139"/>
    <n v="0"/>
    <n v="0"/>
    <n v="0"/>
    <n v="0"/>
    <s v=""/>
    <n v="139"/>
    <s v="2018 (triag)"/>
    <n v="139"/>
    <s v="2018 (triag)"/>
    <s v=""/>
    <n v="139"/>
    <n v="139"/>
    <s v="No change"/>
    <n v="6.6569375282258259E-2"/>
    <n v="5.4673730437993617E-2"/>
    <n v="99.64631402071096"/>
    <n v="163.77526037408012"/>
    <n v="0"/>
    <n v="5.452265737077587E-2"/>
    <n v="4.9359844541347161E-2"/>
    <n v="4.9359844541347161E-2"/>
    <x v="1"/>
  </r>
  <r>
    <s v="Cote d'Ivoire"/>
    <x v="6"/>
    <n v="22010728.5"/>
    <x v="12"/>
    <n v="0"/>
    <n v="22469267.5"/>
    <n v="0"/>
    <m/>
    <n v="0"/>
    <m/>
    <n v="0"/>
    <m/>
    <n v="0"/>
    <m/>
    <n v="0"/>
    <n v="25493988.499999996"/>
    <n v="0"/>
    <n v="14"/>
    <m/>
    <n v="3470"/>
    <m/>
    <n v="0"/>
    <m/>
    <n v="0"/>
    <n v="28160542.500000004"/>
    <n v="0"/>
    <n v="14"/>
    <n v="0"/>
    <n v="3470"/>
    <n v="0"/>
    <n v="0"/>
    <s v=""/>
    <n v="14"/>
    <s v="2018 (triag)"/>
    <n v="3470"/>
    <s v="2018 (triag)"/>
    <s v=""/>
    <n v="3470"/>
    <n v="3470"/>
    <s v="Increasing"/>
    <n v="6.6569375282258259E-2"/>
    <n v="5.4673730437993617E-2"/>
    <n v="10.03631939776945"/>
    <n v="16.49534996573469"/>
    <n v="0"/>
    <n v="5.4914906704378571E-3"/>
    <n v="1.2322205795573717"/>
    <n v="1.2322205795573717"/>
    <x v="1"/>
  </r>
  <r>
    <s v="Cote d'Ivoire"/>
    <x v="6"/>
    <n v="22010729.5"/>
    <x v="13"/>
    <n v="0"/>
    <n v="22469267.5"/>
    <n v="0"/>
    <m/>
    <n v="1600"/>
    <m/>
    <n v="0"/>
    <m/>
    <n v="0"/>
    <m/>
    <n v="0"/>
    <n v="25493988.499999996"/>
    <n v="0"/>
    <n v="0"/>
    <m/>
    <n v="0"/>
    <m/>
    <n v="0"/>
    <m/>
    <n v="0"/>
    <n v="28160542.500000004"/>
    <n v="0"/>
    <n v="0"/>
    <n v="1600"/>
    <n v="0"/>
    <n v="0"/>
    <n v="1600"/>
    <n v="2014"/>
    <n v="0"/>
    <s v=""/>
    <n v="0"/>
    <s v=""/>
    <s v=""/>
    <n v="0"/>
    <n v="0"/>
    <s v="No change"/>
    <n v="6.6569375282258259E-2"/>
    <n v="5.4673730437993617E-2"/>
    <n v="0"/>
    <n v="0"/>
    <n v="0.7120837383773192"/>
    <n v="0"/>
    <n v="0"/>
    <n v="0"/>
    <x v="1"/>
  </r>
  <r>
    <s v="Cote d'Ivoire"/>
    <x v="6"/>
    <n v="22010730.5"/>
    <x v="14"/>
    <n v="0"/>
    <n v="22469267.5"/>
    <n v="0"/>
    <m/>
    <n v="0"/>
    <m/>
    <n v="0"/>
    <m/>
    <n v="0"/>
    <m/>
    <n v="0"/>
    <n v="25493988.499999996"/>
    <n v="0"/>
    <n v="21440"/>
    <m/>
    <n v="0"/>
    <m/>
    <n v="3734"/>
    <m/>
    <n v="3480"/>
    <n v="28160542.500000004"/>
    <n v="3896"/>
    <n v="21440"/>
    <n v="0"/>
    <n v="0"/>
    <n v="3896"/>
    <n v="0"/>
    <s v=""/>
    <n v="21440"/>
    <s v="2018 (triag)"/>
    <n v="3896"/>
    <n v="2022"/>
    <s v="Adjust"/>
    <n v="5000.434586781188"/>
    <n v="21440"/>
    <s v="Decreasing"/>
    <n v="6.6569375282258259E-2"/>
    <n v="5.4673730437993617E-2"/>
    <n v="15369.906277726928"/>
    <n v="25261.450233239408"/>
    <n v="0"/>
    <n v="8.4098257124419753"/>
    <n v="1.7756883010265827"/>
    <n v="7.6134896904063538"/>
    <x v="0"/>
  </r>
  <r>
    <s v="Cote d'Ivoire"/>
    <x v="6"/>
    <n v="22010731.5"/>
    <x v="15"/>
    <n v="0"/>
    <n v="22469267.5"/>
    <n v="0"/>
    <m/>
    <n v="60"/>
    <m/>
    <n v="0"/>
    <m/>
    <n v="0"/>
    <m/>
    <n v="0"/>
    <n v="25493988.499999996"/>
    <n v="0"/>
    <n v="151"/>
    <m/>
    <n v="0"/>
    <m/>
    <n v="0"/>
    <m/>
    <n v="97"/>
    <n v="28160542.500000004"/>
    <n v="95"/>
    <n v="151"/>
    <n v="60"/>
    <n v="0"/>
    <n v="97"/>
    <n v="60"/>
    <n v="2014"/>
    <n v="151"/>
    <s v="2018 (triag)"/>
    <n v="95"/>
    <n v="2022"/>
    <s v="Adjust"/>
    <n v="121.93051482140987"/>
    <n v="151"/>
    <s v="Decreasing"/>
    <n v="6.6569375282258259E-2"/>
    <n v="5.4673730437993617E-2"/>
    <n v="108.24887350451334"/>
    <n v="177.91413177328127"/>
    <n v="2.6703140189149467E-2"/>
    <n v="5.922964937400832E-2"/>
    <n v="4.3298354362814519E-2"/>
    <n v="5.3621126084485049E-2"/>
    <x v="1"/>
  </r>
  <r>
    <s v="Cote d'Ivoire"/>
    <x v="6"/>
    <n v="22010732.5"/>
    <x v="16"/>
    <n v="0"/>
    <n v="22469267.5"/>
    <n v="0"/>
    <m/>
    <n v="0"/>
    <m/>
    <n v="0"/>
    <m/>
    <n v="0"/>
    <m/>
    <n v="0"/>
    <n v="25493988.499999996"/>
    <n v="0"/>
    <n v="0"/>
    <m/>
    <n v="0"/>
    <m/>
    <n v="0"/>
    <m/>
    <n v="0"/>
    <n v="28160542.500000004"/>
    <n v="0"/>
    <n v="0"/>
    <n v="0"/>
    <n v="0"/>
    <n v="0"/>
    <n v="0"/>
    <s v=""/>
    <n v="0"/>
    <s v=""/>
    <n v="0"/>
    <s v=""/>
    <s v=""/>
    <n v="0"/>
    <n v="0"/>
    <s v="No change"/>
    <n v="6.6569375282258259E-2"/>
    <n v="5.4673730437993617E-2"/>
    <n v="0"/>
    <n v="0"/>
    <n v="0"/>
    <n v="0"/>
    <n v="0"/>
    <n v="0"/>
    <x v="1"/>
  </r>
  <r>
    <s v="Cote d'Ivoire"/>
    <x v="6"/>
    <n v="22010733.5"/>
    <x v="17"/>
    <n v="0"/>
    <n v="22469267.5"/>
    <n v="0"/>
    <m/>
    <n v="0"/>
    <m/>
    <n v="0"/>
    <m/>
    <n v="0"/>
    <m/>
    <n v="0"/>
    <n v="25493988.499999996"/>
    <n v="0"/>
    <n v="0"/>
    <m/>
    <n v="0"/>
    <m/>
    <n v="0"/>
    <m/>
    <n v="0"/>
    <n v="28160542.500000004"/>
    <n v="0"/>
    <n v="0"/>
    <n v="0"/>
    <n v="0"/>
    <n v="0"/>
    <n v="0"/>
    <s v=""/>
    <n v="0"/>
    <s v=""/>
    <n v="0"/>
    <s v=""/>
    <s v=""/>
    <n v="0"/>
    <n v="0"/>
    <s v="No change"/>
    <n v="6.6569375282258259E-2"/>
    <n v="5.4673730437993617E-2"/>
    <n v="0"/>
    <n v="0"/>
    <n v="0"/>
    <n v="0"/>
    <n v="0"/>
    <n v="0"/>
    <x v="1"/>
  </r>
  <r>
    <s v="Cote d'Ivoire"/>
    <x v="6"/>
    <n v="22010734.5"/>
    <x v="18"/>
    <n v="0"/>
    <n v="22469267.5"/>
    <n v="0"/>
    <m/>
    <n v="0"/>
    <m/>
    <n v="0"/>
    <m/>
    <n v="0"/>
    <m/>
    <n v="0"/>
    <n v="25493988.499999996"/>
    <n v="0"/>
    <n v="4437"/>
    <m/>
    <n v="0"/>
    <m/>
    <n v="0"/>
    <m/>
    <n v="0"/>
    <n v="28160542.500000004"/>
    <n v="0"/>
    <n v="4437"/>
    <n v="0"/>
    <n v="0"/>
    <n v="0"/>
    <n v="0"/>
    <s v=""/>
    <n v="4437"/>
    <s v="2018 (triag)"/>
    <n v="4437"/>
    <s v="2018 (triag)"/>
    <s v=""/>
    <n v="4437"/>
    <n v="4437"/>
    <s v="No change"/>
    <n v="6.6569375282258259E-2"/>
    <n v="5.4673730437993617E-2"/>
    <n v="3180.7963691359319"/>
    <n v="5227.8476998546294"/>
    <n v="0"/>
    <n v="1.7404102931951979"/>
    <n v="1.5756088505752328"/>
    <n v="1.5756088505752328"/>
    <x v="1"/>
  </r>
  <r>
    <s v="Cameroon"/>
    <x v="7"/>
    <n v="21032689"/>
    <x v="0"/>
    <n v="0"/>
    <n v="21632850.000000004"/>
    <n v="0"/>
    <m/>
    <n v="0"/>
    <m/>
    <n v="0"/>
    <m/>
    <n v="0"/>
    <m/>
    <n v="0"/>
    <n v="25076746.500000015"/>
    <n v="0"/>
    <n v="0"/>
    <m/>
    <n v="0"/>
    <m/>
    <n v="154"/>
    <m/>
    <n v="0"/>
    <n v="27914536.499999989"/>
    <n v="310"/>
    <n v="0"/>
    <n v="0"/>
    <n v="0"/>
    <n v="310"/>
    <n v="0"/>
    <s v=""/>
    <n v="0"/>
    <s v=""/>
    <n v="310"/>
    <n v="2022"/>
    <s v=""/>
    <n v="310"/>
    <n v="310"/>
    <s v="Increasing"/>
    <n v="-1.4958984742070136E-2"/>
    <n v="0.1904674530041961"/>
    <n v="0"/>
    <n v="0"/>
    <n v="0"/>
    <n v="0"/>
    <n v="0.11105324997962983"/>
    <n v="0.11105324997962983"/>
    <x v="1"/>
  </r>
  <r>
    <s v="Cameroon"/>
    <x v="7"/>
    <n v="21032690"/>
    <x v="1"/>
    <n v="0"/>
    <n v="21632850.000000004"/>
    <n v="0"/>
    <m/>
    <n v="0"/>
    <m/>
    <n v="0"/>
    <m/>
    <n v="0"/>
    <m/>
    <n v="0"/>
    <n v="25076746.500000015"/>
    <n v="0"/>
    <n v="38"/>
    <m/>
    <n v="0"/>
    <m/>
    <n v="0"/>
    <m/>
    <n v="0"/>
    <n v="27914536.499999989"/>
    <n v="0"/>
    <n v="38"/>
    <n v="0"/>
    <n v="0"/>
    <n v="0"/>
    <n v="0"/>
    <s v=""/>
    <n v="38"/>
    <s v="2018 (triag)"/>
    <n v="38"/>
    <s v="2018 (triag)"/>
    <s v=""/>
    <n v="38"/>
    <n v="38"/>
    <s v="No change"/>
    <n v="-1.4958984742070136E-2"/>
    <n v="0.1904674530041961"/>
    <n v="40.951198752532633"/>
    <n v="67.2884443767242"/>
    <n v="0"/>
    <n v="1.515348093501682E-2"/>
    <n v="1.3612979029761076E-2"/>
    <n v="1.3612979029761076E-2"/>
    <x v="1"/>
  </r>
  <r>
    <s v="Cameroon"/>
    <x v="7"/>
    <n v="21032691"/>
    <x v="2"/>
    <n v="0"/>
    <n v="21632850.000000004"/>
    <n v="0"/>
    <m/>
    <n v="0"/>
    <m/>
    <n v="0"/>
    <m/>
    <n v="0"/>
    <m/>
    <n v="0"/>
    <n v="25076746.500000015"/>
    <n v="0"/>
    <n v="238"/>
    <m/>
    <n v="0"/>
    <m/>
    <n v="5"/>
    <m/>
    <n v="0"/>
    <n v="27914536.499999989"/>
    <n v="0"/>
    <n v="238"/>
    <n v="0"/>
    <n v="0"/>
    <n v="5"/>
    <n v="0"/>
    <s v=""/>
    <n v="238"/>
    <s v="2018 (triag)"/>
    <n v="5"/>
    <n v="2020"/>
    <s v="Adjust"/>
    <n v="7.4076572236140548"/>
    <n v="238"/>
    <s v="Decreasing"/>
    <n v="-1.4958984742070136E-2"/>
    <n v="0.1904674530041961"/>
    <n v="256.48382376586227"/>
    <n v="421.43815162264099"/>
    <n v="0"/>
    <n v="9.4908643750894819E-2"/>
    <n v="2.6536916432820076E-3"/>
    <n v="8.5260237081135157E-2"/>
    <x v="0"/>
  </r>
  <r>
    <s v="Cameroon"/>
    <x v="7"/>
    <n v="21032692"/>
    <x v="3"/>
    <n v="0"/>
    <n v="21632850.000000004"/>
    <n v="0"/>
    <m/>
    <n v="0"/>
    <m/>
    <n v="0"/>
    <m/>
    <n v="0"/>
    <m/>
    <n v="0"/>
    <n v="25076746.500000015"/>
    <n v="0"/>
    <n v="10717"/>
    <m/>
    <n v="0"/>
    <m/>
    <n v="5390"/>
    <m/>
    <n v="0"/>
    <n v="27914536.499999989"/>
    <n v="146"/>
    <n v="10717"/>
    <n v="0"/>
    <n v="0"/>
    <n v="5390"/>
    <n v="0"/>
    <s v=""/>
    <n v="10717"/>
    <s v="2018 (triag)"/>
    <n v="146"/>
    <n v="2022"/>
    <s v="Adjust"/>
    <n v="216.3035909295304"/>
    <n v="10717"/>
    <s v="Decreasing"/>
    <n v="-1.4958984742070136E-2"/>
    <n v="0.1904674530041961"/>
    <n v="11549.31571133927"/>
    <n v="18977.112062772452"/>
    <n v="0"/>
    <n v="4.2736803994888231"/>
    <n v="7.7487795983834623E-2"/>
    <n v="3.8392183226828802"/>
    <x v="0"/>
  </r>
  <r>
    <s v="Cameroon"/>
    <x v="7"/>
    <n v="21032693"/>
    <x v="4"/>
    <n v="0"/>
    <n v="21632850.000000004"/>
    <n v="0"/>
    <m/>
    <n v="0"/>
    <m/>
    <n v="0"/>
    <m/>
    <n v="0"/>
    <m/>
    <n v="0"/>
    <n v="25076746.500000015"/>
    <n v="0"/>
    <n v="250"/>
    <m/>
    <n v="0"/>
    <m/>
    <n v="21"/>
    <m/>
    <n v="4216"/>
    <n v="27914536.499999989"/>
    <n v="1195"/>
    <n v="250"/>
    <n v="0"/>
    <n v="0"/>
    <n v="4216"/>
    <n v="0"/>
    <s v=""/>
    <n v="250"/>
    <s v="2018 (triag)"/>
    <n v="1195"/>
    <n v="2022"/>
    <s v=""/>
    <n v="1195"/>
    <n v="1195"/>
    <s v="Increasing"/>
    <n v="-1.4958984742070136E-2"/>
    <n v="0.1904674530041961"/>
    <n v="269.41578126666207"/>
    <n v="442.68713405739601"/>
    <n v="0"/>
    <n v="9.96939535198475E-2"/>
    <n v="0.42809236685696017"/>
    <n v="0.42809236685696017"/>
    <x v="1"/>
  </r>
  <r>
    <s v="Cameroon"/>
    <x v="7"/>
    <n v="21032694"/>
    <x v="5"/>
    <n v="0"/>
    <n v="21632850.000000004"/>
    <n v="0"/>
    <m/>
    <n v="0"/>
    <m/>
    <n v="0"/>
    <m/>
    <n v="0"/>
    <m/>
    <n v="0"/>
    <n v="25076746.500000015"/>
    <n v="0"/>
    <n v="0"/>
    <m/>
    <n v="0"/>
    <m/>
    <n v="31"/>
    <m/>
    <n v="3"/>
    <n v="27914536.499999989"/>
    <n v="19"/>
    <n v="0"/>
    <n v="0"/>
    <n v="0"/>
    <n v="31"/>
    <n v="0"/>
    <s v=""/>
    <n v="0"/>
    <s v=""/>
    <n v="19"/>
    <n v="2022"/>
    <s v=""/>
    <n v="19"/>
    <n v="19"/>
    <s v="Increasing"/>
    <n v="-1.4958984742070136E-2"/>
    <n v="0.1904674530041961"/>
    <n v="0"/>
    <n v="0"/>
    <n v="0"/>
    <n v="0"/>
    <n v="6.8064895148805381E-3"/>
    <n v="6.8064895148805381E-3"/>
    <x v="1"/>
  </r>
  <r>
    <s v="Cameroon"/>
    <x v="7"/>
    <n v="21032695"/>
    <x v="6"/>
    <n v="0"/>
    <n v="21632850.000000004"/>
    <n v="0"/>
    <m/>
    <n v="0"/>
    <m/>
    <n v="0"/>
    <m/>
    <n v="0"/>
    <m/>
    <n v="0"/>
    <n v="25076746.500000015"/>
    <n v="241"/>
    <n v="241"/>
    <m/>
    <n v="0"/>
    <m/>
    <n v="112"/>
    <m/>
    <n v="2247"/>
    <n v="27914536.499999989"/>
    <n v="293"/>
    <n v="0"/>
    <n v="0"/>
    <n v="241"/>
    <n v="2247"/>
    <n v="0"/>
    <s v=""/>
    <n v="241"/>
    <n v="2018"/>
    <n v="293"/>
    <n v="2022"/>
    <s v=""/>
    <n v="293"/>
    <n v="293"/>
    <s v="Increasing"/>
    <n v="-1.4958984742070136E-2"/>
    <n v="0.1904674530041961"/>
    <n v="0"/>
    <n v="0"/>
    <n v="0"/>
    <n v="9.6104971193132993E-2"/>
    <n v="0.10496323304526303"/>
    <n v="0.10496323304526303"/>
    <x v="1"/>
  </r>
  <r>
    <s v="Cameroon"/>
    <x v="7"/>
    <n v="21032696"/>
    <x v="7"/>
    <n v="0"/>
    <n v="21632850.000000004"/>
    <n v="0"/>
    <m/>
    <n v="0"/>
    <m/>
    <n v="0"/>
    <m/>
    <n v="0"/>
    <m/>
    <n v="0"/>
    <n v="25076746.500000015"/>
    <n v="0"/>
    <n v="0"/>
    <m/>
    <n v="0"/>
    <m/>
    <n v="6"/>
    <m/>
    <n v="0"/>
    <n v="27914536.499999989"/>
    <n v="118"/>
    <n v="0"/>
    <n v="0"/>
    <n v="0"/>
    <n v="118"/>
    <n v="0"/>
    <s v=""/>
    <n v="0"/>
    <s v=""/>
    <n v="118"/>
    <n v="2022"/>
    <s v=""/>
    <n v="118"/>
    <n v="118"/>
    <s v="Increasing"/>
    <n v="-1.4958984742070136E-2"/>
    <n v="0.1904674530041961"/>
    <n v="0"/>
    <n v="0"/>
    <n v="0"/>
    <n v="0"/>
    <n v="4.2271882250310713E-2"/>
    <n v="4.2271882250310713E-2"/>
    <x v="1"/>
  </r>
  <r>
    <s v="Cameroon"/>
    <x v="7"/>
    <n v="21032697"/>
    <x v="8"/>
    <n v="0"/>
    <n v="21632850.000000004"/>
    <n v="0"/>
    <m/>
    <n v="0"/>
    <m/>
    <n v="0"/>
    <m/>
    <n v="0"/>
    <m/>
    <n v="0"/>
    <n v="25076746.500000015"/>
    <n v="0"/>
    <n v="124"/>
    <m/>
    <n v="0"/>
    <m/>
    <n v="73"/>
    <m/>
    <n v="267"/>
    <n v="27914536.499999989"/>
    <n v="4864"/>
    <n v="124"/>
    <n v="0"/>
    <n v="0"/>
    <n v="4864"/>
    <n v="0"/>
    <s v=""/>
    <n v="124"/>
    <s v="2018 (triag)"/>
    <n v="4864"/>
    <n v="2022"/>
    <s v=""/>
    <n v="4864"/>
    <n v="4864"/>
    <s v="Increasing"/>
    <n v="-1.4958984742070136E-2"/>
    <n v="0.1904674530041961"/>
    <n v="133.6302275082644"/>
    <n v="219.57281849246843"/>
    <n v="0"/>
    <n v="4.9448200945844359E-2"/>
    <n v="1.7424613158094178"/>
    <n v="1.7424613158094178"/>
    <x v="1"/>
  </r>
  <r>
    <s v="Cameroon"/>
    <x v="7"/>
    <n v="21032698"/>
    <x v="9"/>
    <n v="0"/>
    <n v="21632850.000000004"/>
    <n v="0"/>
    <m/>
    <n v="0"/>
    <m/>
    <n v="0"/>
    <m/>
    <n v="0"/>
    <m/>
    <n v="0"/>
    <n v="25076746.500000015"/>
    <n v="0"/>
    <n v="0"/>
    <m/>
    <n v="0"/>
    <m/>
    <n v="4"/>
    <m/>
    <n v="0"/>
    <n v="27914536.499999989"/>
    <n v="85"/>
    <n v="0"/>
    <n v="0"/>
    <n v="0"/>
    <n v="85"/>
    <n v="0"/>
    <s v=""/>
    <n v="0"/>
    <s v=""/>
    <n v="85"/>
    <n v="2022"/>
    <s v=""/>
    <n v="85"/>
    <n v="85"/>
    <s v="Increasing"/>
    <n v="-1.4958984742070136E-2"/>
    <n v="0.1904674530041961"/>
    <n v="0"/>
    <n v="0"/>
    <n v="0"/>
    <n v="0"/>
    <n v="3.0450084671833987E-2"/>
    <n v="3.0450084671833987E-2"/>
    <x v="1"/>
  </r>
  <r>
    <s v="Cameroon"/>
    <x v="7"/>
    <n v="21032699"/>
    <x v="10"/>
    <n v="0"/>
    <n v="21632850.000000004"/>
    <n v="0"/>
    <m/>
    <n v="0"/>
    <m/>
    <n v="0"/>
    <m/>
    <n v="0"/>
    <m/>
    <n v="0"/>
    <n v="25076746.500000015"/>
    <n v="0"/>
    <n v="0"/>
    <m/>
    <n v="0"/>
    <m/>
    <n v="207"/>
    <m/>
    <n v="0"/>
    <n v="27914536.499999989"/>
    <n v="10"/>
    <n v="0"/>
    <n v="0"/>
    <n v="0"/>
    <n v="207"/>
    <n v="0"/>
    <s v=""/>
    <n v="0"/>
    <s v=""/>
    <n v="10"/>
    <n v="2022"/>
    <s v=""/>
    <n v="10"/>
    <n v="10"/>
    <s v="Increasing"/>
    <n v="-1.4958984742070136E-2"/>
    <n v="0.1904674530041961"/>
    <n v="0"/>
    <n v="0"/>
    <n v="0"/>
    <n v="0"/>
    <n v="3.5823629025687042E-3"/>
    <n v="3.5823629025687042E-3"/>
    <x v="1"/>
  </r>
  <r>
    <s v="Cameroon"/>
    <x v="7"/>
    <n v="21032700"/>
    <x v="11"/>
    <n v="0"/>
    <n v="21632850.000000004"/>
    <n v="0"/>
    <m/>
    <n v="0"/>
    <m/>
    <n v="0"/>
    <m/>
    <n v="0"/>
    <m/>
    <n v="0"/>
    <n v="25076746.500000015"/>
    <n v="0"/>
    <n v="0"/>
    <m/>
    <n v="0"/>
    <m/>
    <n v="1406"/>
    <m/>
    <n v="0"/>
    <n v="27914536.499999989"/>
    <n v="5"/>
    <n v="0"/>
    <n v="0"/>
    <n v="0"/>
    <n v="1406"/>
    <n v="0"/>
    <s v=""/>
    <n v="0"/>
    <s v=""/>
    <n v="5"/>
    <n v="2022"/>
    <s v=""/>
    <n v="5"/>
    <n v="5"/>
    <s v="Increasing"/>
    <n v="-1.4958984742070136E-2"/>
    <n v="0.1904674530041961"/>
    <n v="0"/>
    <n v="0"/>
    <n v="0"/>
    <n v="0"/>
    <n v="1.7911814512843521E-3"/>
    <n v="1.7911814512843521E-3"/>
    <x v="1"/>
  </r>
  <r>
    <s v="Cameroon"/>
    <x v="7"/>
    <n v="21032701"/>
    <x v="12"/>
    <n v="0"/>
    <n v="21632850.000000004"/>
    <n v="0"/>
    <m/>
    <n v="0"/>
    <m/>
    <n v="0"/>
    <m/>
    <n v="0"/>
    <m/>
    <n v="0"/>
    <n v="25076746.500000015"/>
    <n v="0"/>
    <n v="0"/>
    <m/>
    <n v="0"/>
    <m/>
    <n v="152"/>
    <m/>
    <n v="0"/>
    <n v="27914536.499999989"/>
    <n v="74"/>
    <n v="0"/>
    <n v="0"/>
    <n v="0"/>
    <n v="152"/>
    <n v="0"/>
    <s v=""/>
    <n v="0"/>
    <s v=""/>
    <n v="74"/>
    <n v="2022"/>
    <s v=""/>
    <n v="74"/>
    <n v="74"/>
    <s v="Increasing"/>
    <n v="-1.4958984742070136E-2"/>
    <n v="0.1904674530041961"/>
    <n v="0"/>
    <n v="0"/>
    <n v="0"/>
    <n v="0"/>
    <n v="2.6509485479008412E-2"/>
    <n v="2.6509485479008412E-2"/>
    <x v="1"/>
  </r>
  <r>
    <s v="Cameroon"/>
    <x v="7"/>
    <n v="21032702"/>
    <x v="13"/>
    <n v="0"/>
    <n v="21632850.000000004"/>
    <n v="0"/>
    <m/>
    <n v="0"/>
    <m/>
    <n v="0"/>
    <m/>
    <n v="0"/>
    <m/>
    <n v="0"/>
    <n v="25076746.500000015"/>
    <n v="0"/>
    <n v="5235"/>
    <m/>
    <n v="0"/>
    <m/>
    <n v="48"/>
    <m/>
    <n v="249"/>
    <n v="27914536.499999989"/>
    <n v="161"/>
    <n v="5235"/>
    <n v="0"/>
    <n v="0"/>
    <n v="249"/>
    <n v="0"/>
    <s v=""/>
    <n v="5235"/>
    <s v="2018 (triag)"/>
    <n v="161"/>
    <n v="2022"/>
    <s v="Adjust"/>
    <n v="238.52656260037256"/>
    <n v="5235"/>
    <s v="Decreasing"/>
    <n v="-1.4958984742070136E-2"/>
    <n v="0.1904674530041961"/>
    <n v="5641.5664597239038"/>
    <n v="9269.8685871618727"/>
    <n v="0"/>
    <n v="2.0875913867056068"/>
    <n v="8.5448870913680627E-2"/>
    <n v="1.8753669794947168"/>
    <x v="0"/>
  </r>
  <r>
    <s v="Cameroon"/>
    <x v="7"/>
    <n v="21032703"/>
    <x v="14"/>
    <n v="0"/>
    <n v="21632850.000000004"/>
    <n v="0"/>
    <m/>
    <n v="0"/>
    <m/>
    <n v="0"/>
    <m/>
    <n v="0"/>
    <m/>
    <n v="0"/>
    <n v="25076746.500000015"/>
    <n v="0"/>
    <n v="0"/>
    <m/>
    <n v="0"/>
    <m/>
    <n v="2098"/>
    <m/>
    <n v="0"/>
    <n v="27914536.499999989"/>
    <n v="34"/>
    <n v="0"/>
    <n v="0"/>
    <n v="0"/>
    <n v="2098"/>
    <n v="0"/>
    <s v=""/>
    <n v="0"/>
    <s v=""/>
    <n v="34"/>
    <n v="2022"/>
    <s v=""/>
    <n v="34"/>
    <n v="34"/>
    <s v="Increasing"/>
    <n v="-1.4958984742070136E-2"/>
    <n v="0.1904674530041961"/>
    <n v="0"/>
    <n v="0"/>
    <n v="0"/>
    <n v="0"/>
    <n v="1.2180033868733595E-2"/>
    <n v="1.2180033868733595E-2"/>
    <x v="1"/>
  </r>
  <r>
    <s v="Cameroon"/>
    <x v="7"/>
    <n v="21032704"/>
    <x v="15"/>
    <n v="0"/>
    <n v="21632850.000000004"/>
    <n v="0"/>
    <m/>
    <n v="0"/>
    <m/>
    <n v="0"/>
    <m/>
    <n v="0"/>
    <m/>
    <n v="0"/>
    <n v="25076746.500000015"/>
    <n v="0"/>
    <n v="0"/>
    <m/>
    <n v="0"/>
    <m/>
    <n v="69"/>
    <m/>
    <n v="21"/>
    <n v="27914536.499999989"/>
    <n v="191"/>
    <n v="0"/>
    <n v="0"/>
    <n v="0"/>
    <n v="191"/>
    <n v="0"/>
    <s v=""/>
    <n v="0"/>
    <s v=""/>
    <n v="191"/>
    <n v="2022"/>
    <s v=""/>
    <n v="191"/>
    <n v="191"/>
    <s v="Increasing"/>
    <n v="-1.4958984742070136E-2"/>
    <n v="0.1904674530041961"/>
    <n v="0"/>
    <n v="0"/>
    <n v="0"/>
    <n v="0"/>
    <n v="6.8423131439062257E-2"/>
    <n v="6.8423131439062257E-2"/>
    <x v="1"/>
  </r>
  <r>
    <s v="Cameroon"/>
    <x v="7"/>
    <n v="21032705"/>
    <x v="16"/>
    <n v="0"/>
    <n v="21632850.000000004"/>
    <n v="0"/>
    <m/>
    <n v="0"/>
    <m/>
    <n v="0"/>
    <m/>
    <n v="0"/>
    <m/>
    <n v="0"/>
    <n v="25076746.500000015"/>
    <n v="0"/>
    <n v="0"/>
    <m/>
    <n v="0"/>
    <m/>
    <n v="64"/>
    <m/>
    <n v="584"/>
    <n v="27914536.499999989"/>
    <n v="606"/>
    <n v="0"/>
    <n v="0"/>
    <n v="0"/>
    <n v="606"/>
    <n v="0"/>
    <s v=""/>
    <n v="0"/>
    <s v=""/>
    <n v="606"/>
    <n v="2022"/>
    <s v=""/>
    <n v="606"/>
    <n v="606"/>
    <s v="Increasing"/>
    <n v="-1.4958984742070136E-2"/>
    <n v="0.1904674530041961"/>
    <n v="0"/>
    <n v="0"/>
    <n v="0"/>
    <n v="0"/>
    <n v="0.21709119189566348"/>
    <n v="0.21709119189566348"/>
    <x v="1"/>
  </r>
  <r>
    <s v="Cameroon"/>
    <x v="7"/>
    <n v="21032706"/>
    <x v="17"/>
    <n v="0"/>
    <n v="21632850.000000004"/>
    <n v="0"/>
    <m/>
    <n v="0"/>
    <m/>
    <n v="0"/>
    <m/>
    <n v="0"/>
    <m/>
    <n v="0"/>
    <n v="25076746.500000015"/>
    <n v="0"/>
    <n v="0"/>
    <m/>
    <n v="0"/>
    <m/>
    <n v="2"/>
    <m/>
    <n v="0"/>
    <n v="27914536.499999989"/>
    <n v="0"/>
    <n v="0"/>
    <n v="0"/>
    <n v="0"/>
    <n v="2"/>
    <n v="0"/>
    <s v=""/>
    <n v="0"/>
    <s v=""/>
    <n v="2"/>
    <n v="2020"/>
    <s v=""/>
    <n v="2"/>
    <n v="2"/>
    <s v="Increasing"/>
    <n v="-1.4958984742070136E-2"/>
    <n v="0.1904674530041961"/>
    <n v="0"/>
    <n v="0"/>
    <n v="0"/>
    <n v="0"/>
    <n v="7.1647258051374082E-4"/>
    <n v="7.1647258051374082E-4"/>
    <x v="1"/>
  </r>
  <r>
    <s v="Cameroon"/>
    <x v="7"/>
    <n v="21032707"/>
    <x v="18"/>
    <n v="0"/>
    <n v="21632850.000000004"/>
    <n v="0"/>
    <m/>
    <n v="0"/>
    <m/>
    <n v="0"/>
    <m/>
    <n v="0"/>
    <m/>
    <n v="0"/>
    <n v="25076746.500000015"/>
    <n v="0"/>
    <n v="0"/>
    <m/>
    <n v="0"/>
    <m/>
    <n v="7"/>
    <m/>
    <n v="0"/>
    <n v="27914536.499999989"/>
    <n v="16"/>
    <n v="0"/>
    <n v="0"/>
    <n v="0"/>
    <n v="16"/>
    <n v="0"/>
    <s v=""/>
    <n v="0"/>
    <s v=""/>
    <n v="16"/>
    <n v="2022"/>
    <s v=""/>
    <n v="16"/>
    <n v="16"/>
    <s v="Increasing"/>
    <n v="-1.4958984742070136E-2"/>
    <n v="0.1904674530041961"/>
    <n v="0"/>
    <n v="0"/>
    <n v="0"/>
    <n v="0"/>
    <n v="5.7317806441099265E-3"/>
    <n v="5.7317806441099265E-3"/>
    <x v="1"/>
  </r>
  <r>
    <s v="DRC"/>
    <x v="8"/>
    <n v="70997874.500000104"/>
    <x v="0"/>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75.500000104"/>
    <x v="1"/>
    <n v="19"/>
    <n v="73460021"/>
    <n v="0"/>
    <m/>
    <n v="361"/>
    <m/>
    <n v="2192"/>
    <m/>
    <n v="0"/>
    <m/>
    <n v="0"/>
    <n v="87087354.999999985"/>
    <n v="119"/>
    <n v="535"/>
    <m/>
    <n v="0"/>
    <m/>
    <n v="776"/>
    <m/>
    <n v="91"/>
    <n v="99010212"/>
    <n v="0"/>
    <n v="535"/>
    <n v="2192"/>
    <n v="119"/>
    <n v="776"/>
    <n v="19"/>
    <n v="2012"/>
    <n v="535"/>
    <s v="2018 (triag)"/>
    <n v="91"/>
    <n v="2021"/>
    <s v="Adjust"/>
    <n v="104.76322086409942"/>
    <n v="535"/>
    <s v="Decreasing"/>
    <n v="0.14126140610967886"/>
    <n v="5.4673730437993617E-2"/>
    <n v="264.0028019000107"/>
    <n v="630.35801654771842"/>
    <n v="2.5864408614857323E-3"/>
    <n v="6.1432569630803471E-2"/>
    <n v="1.0581052070073279E-2"/>
    <n v="5.4034830265791166E-2"/>
    <x v="0"/>
  </r>
  <r>
    <s v="DRC"/>
    <x v="8"/>
    <n v="70997876.500000104"/>
    <x v="2"/>
    <n v="634"/>
    <n v="73460021"/>
    <n v="0"/>
    <m/>
    <n v="163"/>
    <m/>
    <n v="1168"/>
    <m/>
    <n v="0"/>
    <m/>
    <n v="0"/>
    <n v="87087354.999999985"/>
    <n v="136"/>
    <n v="167"/>
    <m/>
    <n v="4362"/>
    <m/>
    <n v="3788"/>
    <m/>
    <n v="2684"/>
    <n v="99010212"/>
    <n v="233"/>
    <n v="167"/>
    <n v="1168"/>
    <n v="4362"/>
    <n v="3788"/>
    <n v="634"/>
    <n v="2012"/>
    <n v="167"/>
    <s v="2018 (triag)"/>
    <n v="233"/>
    <n v="2022"/>
    <s v=""/>
    <n v="233"/>
    <n v="233"/>
    <s v="Increasing"/>
    <n v="0.14126140610967886"/>
    <n v="5.4673730437993617E-2"/>
    <n v="82.408351247293055"/>
    <n v="196.7659603055495"/>
    <n v="8.6305447693787077E-2"/>
    <n v="1.9176147903447065E-2"/>
    <n v="2.3532926078372603E-2"/>
    <n v="2.3532926078372603E-2"/>
    <x v="1"/>
  </r>
  <r>
    <s v="DRC"/>
    <x v="8"/>
    <n v="70997877.500000104"/>
    <x v="3"/>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78.500000104"/>
    <x v="4"/>
    <n v="0"/>
    <n v="73460021"/>
    <n v="0"/>
    <m/>
    <n v="0"/>
    <m/>
    <n v="0"/>
    <m/>
    <n v="0"/>
    <m/>
    <n v="0"/>
    <n v="87087354.999999985"/>
    <n v="0"/>
    <n v="2651"/>
    <m/>
    <n v="3342"/>
    <m/>
    <n v="0"/>
    <m/>
    <n v="3724"/>
    <n v="99010212"/>
    <n v="4695"/>
    <n v="2651"/>
    <n v="0"/>
    <n v="3342"/>
    <n v="4695"/>
    <n v="0"/>
    <s v=""/>
    <n v="2651"/>
    <s v="2018 (triag)"/>
    <n v="4695"/>
    <n v="2022"/>
    <s v=""/>
    <n v="4695"/>
    <n v="4695"/>
    <s v="Increasing"/>
    <n v="0.14126140610967886"/>
    <n v="5.4673730437993617E-2"/>
    <n v="1308.1708931531371"/>
    <n v="3123.51233994019"/>
    <n v="0"/>
    <n v="0.30440699456310283"/>
    <n v="0.47419351046334496"/>
    <n v="0.47419351046334496"/>
    <x v="1"/>
  </r>
  <r>
    <s v="DRC"/>
    <x v="8"/>
    <n v="70997879.500000104"/>
    <x v="5"/>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80.500000104"/>
    <x v="6"/>
    <n v="0"/>
    <n v="73460021"/>
    <n v="2126"/>
    <m/>
    <n v="0"/>
    <m/>
    <n v="0"/>
    <m/>
    <n v="0"/>
    <m/>
    <n v="0"/>
    <n v="87087354.999999985"/>
    <n v="2934"/>
    <n v="2934"/>
    <m/>
    <n v="0"/>
    <m/>
    <n v="0"/>
    <m/>
    <n v="0"/>
    <n v="99010212"/>
    <n v="0"/>
    <n v="0"/>
    <n v="2126"/>
    <n v="2934"/>
    <n v="0"/>
    <n v="2126"/>
    <n v="2013"/>
    <n v="2934"/>
    <n v="2018"/>
    <n v="2934"/>
    <n v="2018"/>
    <s v=""/>
    <n v="2934"/>
    <n v="2934"/>
    <s v="No change"/>
    <n v="0.14126140610967886"/>
    <n v="5.4673730437993617E-2"/>
    <n v="0"/>
    <n v="0"/>
    <n v="0.28940911955361409"/>
    <n v="0.33690310148930352"/>
    <n v="0.29633306915856317"/>
    <n v="0.29633306915856317"/>
    <x v="1"/>
  </r>
  <r>
    <s v="DRC"/>
    <x v="8"/>
    <n v="70997881.500000104"/>
    <x v="7"/>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82.500000104"/>
    <x v="8"/>
    <n v="0"/>
    <n v="73460021"/>
    <n v="287"/>
    <m/>
    <n v="0"/>
    <m/>
    <n v="0"/>
    <m/>
    <n v="0"/>
    <m/>
    <n v="0"/>
    <n v="87087354.999999985"/>
    <n v="0"/>
    <n v="338"/>
    <m/>
    <n v="0"/>
    <m/>
    <n v="0"/>
    <m/>
    <n v="439"/>
    <n v="99010212"/>
    <n v="528"/>
    <n v="338"/>
    <n v="287"/>
    <n v="0"/>
    <n v="528"/>
    <n v="287"/>
    <n v="2013"/>
    <n v="338"/>
    <s v="2018 (triag)"/>
    <n v="528"/>
    <n v="2022"/>
    <s v=""/>
    <n v="528"/>
    <n v="528"/>
    <s v="Increasing"/>
    <n v="0.14126140610967886"/>
    <n v="5.4673730437993617E-2"/>
    <n v="166.79055521907219"/>
    <n v="398.24487774416605"/>
    <n v="3.9068869855073962E-2"/>
    <n v="3.8811604738713222E-2"/>
    <n v="5.3327832486612596E-2"/>
    <n v="5.3327832486612596E-2"/>
    <x v="1"/>
  </r>
  <r>
    <s v="DRC"/>
    <x v="8"/>
    <n v="70997883.500000104"/>
    <x v="9"/>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84.500000104"/>
    <x v="10"/>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85.500000104"/>
    <x v="11"/>
    <n v="0"/>
    <n v="73460021"/>
    <n v="0"/>
    <m/>
    <n v="0"/>
    <m/>
    <n v="0"/>
    <m/>
    <n v="0"/>
    <m/>
    <n v="0"/>
    <n v="87087354.999999985"/>
    <n v="0"/>
    <n v="74310"/>
    <m/>
    <n v="1939"/>
    <m/>
    <n v="0"/>
    <m/>
    <n v="1785"/>
    <n v="99010212"/>
    <n v="1803"/>
    <n v="74310"/>
    <n v="0"/>
    <n v="1939"/>
    <n v="1803"/>
    <n v="0"/>
    <s v=""/>
    <n v="74310"/>
    <s v="2018 (triag)"/>
    <n v="1803"/>
    <n v="2022"/>
    <s v="Adjust"/>
    <n v="2075.6932661315523"/>
    <n v="74310"/>
    <s v="Decreasing"/>
    <n v="0.14126140610967886"/>
    <n v="5.4673730437993617E-2"/>
    <n v="36669.248989139807"/>
    <n v="87554.961139553183"/>
    <n v="0"/>
    <n v="8.5328116808691696"/>
    <n v="0.20964436134441894"/>
    <n v="7.5052864243942841"/>
    <x v="0"/>
  </r>
  <r>
    <s v="DRC"/>
    <x v="8"/>
    <n v="70997886.500000104"/>
    <x v="12"/>
    <n v="0"/>
    <n v="73460021"/>
    <n v="0"/>
    <m/>
    <n v="0"/>
    <m/>
    <n v="0"/>
    <m/>
    <n v="0"/>
    <m/>
    <n v="0"/>
    <n v="87087354.999999985"/>
    <n v="0"/>
    <n v="1608"/>
    <m/>
    <n v="0"/>
    <m/>
    <n v="0"/>
    <m/>
    <n v="0"/>
    <n v="99010212"/>
    <n v="0"/>
    <n v="1608"/>
    <n v="0"/>
    <n v="0"/>
    <n v="0"/>
    <n v="0"/>
    <s v=""/>
    <n v="1608"/>
    <s v="2018 (triag)"/>
    <n v="1608"/>
    <s v="2018 (triag)"/>
    <s v=""/>
    <n v="1608"/>
    <n v="1608"/>
    <s v="No change"/>
    <n v="0.14126140610967886"/>
    <n v="5.4673730437993617E-2"/>
    <n v="793.48879524339668"/>
    <n v="1894.6087674929556"/>
    <n v="0"/>
    <n v="0.18464219059127474"/>
    <n v="0.16240748984559289"/>
    <n v="0.16240748984559289"/>
    <x v="1"/>
  </r>
  <r>
    <s v="DRC"/>
    <x v="8"/>
    <n v="70997887.500000104"/>
    <x v="13"/>
    <n v="0"/>
    <n v="73460021"/>
    <n v="0"/>
    <m/>
    <n v="0"/>
    <m/>
    <n v="0"/>
    <m/>
    <n v="0"/>
    <m/>
    <n v="0"/>
    <n v="87087354.999999985"/>
    <n v="0"/>
    <n v="2934"/>
    <m/>
    <n v="0"/>
    <m/>
    <n v="0"/>
    <m/>
    <n v="0"/>
    <n v="99010212"/>
    <n v="0"/>
    <n v="2934"/>
    <n v="0"/>
    <n v="0"/>
    <n v="0"/>
    <n v="0"/>
    <s v=""/>
    <n v="2934"/>
    <s v="2018 (triag)"/>
    <n v="2934"/>
    <s v="2018 (triag)"/>
    <s v=""/>
    <n v="2934"/>
    <n v="2934"/>
    <s v="No change"/>
    <n v="0.14126140610967886"/>
    <n v="5.4673730437993617E-2"/>
    <n v="1447.820973410526"/>
    <n v="3456.9540571046837"/>
    <n v="0"/>
    <n v="0.33690310148930352"/>
    <n v="0.29633306915856317"/>
    <n v="0.29633306915856317"/>
    <x v="1"/>
  </r>
  <r>
    <s v="DRC"/>
    <x v="8"/>
    <n v="70997888.500000104"/>
    <x v="14"/>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89.500000104"/>
    <x v="15"/>
    <n v="0"/>
    <n v="73460021"/>
    <n v="0"/>
    <m/>
    <n v="0"/>
    <m/>
    <n v="0"/>
    <m/>
    <n v="0"/>
    <m/>
    <n v="0"/>
    <n v="87087354.999999985"/>
    <n v="0"/>
    <n v="395"/>
    <m/>
    <n v="496"/>
    <m/>
    <n v="0"/>
    <m/>
    <n v="680"/>
    <n v="99010212"/>
    <n v="793"/>
    <n v="395"/>
    <n v="0"/>
    <n v="496"/>
    <n v="793"/>
    <n v="0"/>
    <s v=""/>
    <n v="395"/>
    <s v="2018 (triag)"/>
    <n v="793"/>
    <n v="2022"/>
    <s v=""/>
    <n v="793"/>
    <n v="793"/>
    <s v="Increasing"/>
    <n v="0.14126140610967886"/>
    <n v="5.4673730437993617E-2"/>
    <n v="194.91795654299855"/>
    <n v="465.40451689037155"/>
    <n v="0"/>
    <n v="4.5356757017135277E-2"/>
    <n v="8.009274841265869E-2"/>
    <n v="8.009274841265869E-2"/>
    <x v="1"/>
  </r>
  <r>
    <s v="DRC"/>
    <x v="8"/>
    <n v="70997890.500000104"/>
    <x v="16"/>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91.500000104"/>
    <x v="17"/>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DRC"/>
    <x v="8"/>
    <n v="70997892.500000104"/>
    <x v="18"/>
    <n v="0"/>
    <n v="73460021"/>
    <n v="0"/>
    <m/>
    <n v="0"/>
    <m/>
    <n v="0"/>
    <m/>
    <n v="0"/>
    <m/>
    <n v="0"/>
    <n v="87087354.999999985"/>
    <n v="0"/>
    <n v="0"/>
    <m/>
    <n v="0"/>
    <m/>
    <n v="0"/>
    <m/>
    <n v="0"/>
    <n v="99010212"/>
    <n v="0"/>
    <n v="0"/>
    <n v="0"/>
    <n v="0"/>
    <n v="0"/>
    <n v="0"/>
    <s v=""/>
    <n v="0"/>
    <s v=""/>
    <n v="0"/>
    <s v=""/>
    <s v=""/>
    <n v="0"/>
    <n v="0"/>
    <s v="No change"/>
    <n v="0.14126140610967886"/>
    <n v="5.4673730437993617E-2"/>
    <n v="0"/>
    <n v="0"/>
    <n v="0"/>
    <n v="0"/>
    <n v="0"/>
    <n v="0"/>
    <x v="1"/>
  </r>
  <r>
    <s v="Congo"/>
    <x v="9"/>
    <n v="4713261.5"/>
    <x v="0"/>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62.5"/>
    <x v="1"/>
    <n v="819"/>
    <n v="4828066.5000000028"/>
    <n v="0"/>
    <m/>
    <n v="0"/>
    <m/>
    <n v="0"/>
    <m/>
    <n v="0"/>
    <m/>
    <n v="0"/>
    <n v="5441061.9999999972"/>
    <n v="0"/>
    <n v="0"/>
    <m/>
    <n v="0"/>
    <m/>
    <n v="582"/>
    <m/>
    <n v="0"/>
    <n v="5970424.0000000009"/>
    <n v="0"/>
    <n v="0"/>
    <n v="819"/>
    <n v="0"/>
    <n v="582"/>
    <n v="819"/>
    <n v="2012"/>
    <n v="0"/>
    <s v=""/>
    <n v="582"/>
    <n v="2020"/>
    <s v=""/>
    <n v="582"/>
    <n v="582"/>
    <s v="Increasing"/>
    <n v="9.0847270748923847E-3"/>
    <n v="5.4673730437993617E-2"/>
    <n v="0"/>
    <n v="0"/>
    <n v="1.6963312332172713"/>
    <n v="0"/>
    <n v="0.9748051394674816"/>
    <n v="0.9748051394674816"/>
    <x v="1"/>
  </r>
  <r>
    <s v="Congo"/>
    <x v="9"/>
    <n v="4713263.5"/>
    <x v="2"/>
    <n v="4104"/>
    <n v="4828066.5000000028"/>
    <n v="0"/>
    <m/>
    <n v="0"/>
    <m/>
    <n v="0"/>
    <m/>
    <n v="2324"/>
    <m/>
    <n v="0"/>
    <n v="5441061.9999999972"/>
    <n v="0"/>
    <n v="374"/>
    <m/>
    <n v="0"/>
    <m/>
    <n v="0"/>
    <m/>
    <n v="0"/>
    <n v="5970424.0000000009"/>
    <n v="0"/>
    <n v="374"/>
    <n v="4104"/>
    <n v="2324"/>
    <n v="0"/>
    <n v="4104"/>
    <n v="2012"/>
    <n v="374"/>
    <s v="2018 (triag)"/>
    <n v="374"/>
    <s v="2018 (triag)"/>
    <s v=""/>
    <n v="374"/>
    <n v="374"/>
    <s v="No change"/>
    <n v="9.0847270748923847E-3"/>
    <n v="5.4673730437993617E-2"/>
    <n v="357.39162239727767"/>
    <n v="440.6614919417695"/>
    <n v="8.5002971686491833"/>
    <n v="0.68736581204184066"/>
    <n v="0.62642117209766002"/>
    <n v="0.62642117209766002"/>
    <x v="1"/>
  </r>
  <r>
    <s v="Congo"/>
    <x v="9"/>
    <n v="4713264.5"/>
    <x v="3"/>
    <n v="0"/>
    <n v="4828066.5000000028"/>
    <n v="0"/>
    <m/>
    <n v="0"/>
    <m/>
    <n v="0"/>
    <m/>
    <n v="565"/>
    <m/>
    <n v="0"/>
    <n v="5441061.9999999972"/>
    <n v="0"/>
    <n v="850"/>
    <m/>
    <n v="0"/>
    <m/>
    <n v="0"/>
    <m/>
    <n v="0"/>
    <n v="5970424.0000000009"/>
    <n v="0"/>
    <n v="850"/>
    <n v="0"/>
    <n v="565"/>
    <n v="0"/>
    <n v="0"/>
    <s v=""/>
    <n v="850"/>
    <s v="2018 (triag)"/>
    <n v="850"/>
    <s v="2018 (triag)"/>
    <s v=""/>
    <n v="850"/>
    <n v="850"/>
    <s v="No change"/>
    <n v="9.0847270748923847E-3"/>
    <n v="5.4673730437993617E-2"/>
    <n v="812.25368726654017"/>
    <n v="1001.5033907767489"/>
    <n v="0"/>
    <n v="1.5621950273678198"/>
    <n v="1.4236844820401362"/>
    <n v="1.4236844820401362"/>
    <x v="1"/>
  </r>
  <r>
    <s v="Congo"/>
    <x v="9"/>
    <n v="4713265.5"/>
    <x v="4"/>
    <n v="0"/>
    <n v="4828066.5000000028"/>
    <n v="0"/>
    <m/>
    <n v="0"/>
    <m/>
    <n v="0"/>
    <m/>
    <n v="0"/>
    <m/>
    <n v="0"/>
    <n v="5441061.9999999972"/>
    <n v="0"/>
    <n v="790"/>
    <m/>
    <n v="0"/>
    <m/>
    <n v="0"/>
    <m/>
    <n v="0"/>
    <n v="5970424.0000000009"/>
    <n v="0"/>
    <n v="790"/>
    <n v="0"/>
    <n v="0"/>
    <n v="0"/>
    <n v="0"/>
    <s v=""/>
    <n v="790"/>
    <s v="2018 (triag)"/>
    <n v="790"/>
    <s v="2018 (triag)"/>
    <s v=""/>
    <n v="790"/>
    <n v="790"/>
    <s v="No change"/>
    <n v="9.0847270748923847E-3"/>
    <n v="5.4673730437993617E-2"/>
    <n v="754.91813287125501"/>
    <n v="930.80903378074311"/>
    <n v="0"/>
    <n v="1.4519224372006796"/>
    <n v="1.3231891068373032"/>
    <n v="1.3231891068373032"/>
    <x v="1"/>
  </r>
  <r>
    <s v="Congo"/>
    <x v="9"/>
    <n v="4713266.5"/>
    <x v="5"/>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67.5"/>
    <x v="6"/>
    <n v="0"/>
    <n v="4828066.5000000028"/>
    <n v="0"/>
    <m/>
    <n v="0"/>
    <m/>
    <n v="0"/>
    <m/>
    <n v="0"/>
    <m/>
    <n v="0"/>
    <n v="5441061.9999999972"/>
    <n v="320"/>
    <n v="320"/>
    <m/>
    <n v="0"/>
    <m/>
    <n v="0"/>
    <m/>
    <n v="0"/>
    <n v="5970424.0000000009"/>
    <n v="0"/>
    <n v="216"/>
    <n v="0"/>
    <n v="320"/>
    <n v="0"/>
    <n v="0"/>
    <s v=""/>
    <n v="320"/>
    <n v="2018"/>
    <n v="320"/>
    <n v="2018"/>
    <s v=""/>
    <n v="320"/>
    <n v="320"/>
    <s v="No change"/>
    <n v="9.0847270748923847E-3"/>
    <n v="5.4673730437993617E-2"/>
    <n v="206.40799582302668"/>
    <n v="254.4996851856209"/>
    <n v="0"/>
    <n v="0.58812048089141455"/>
    <n v="0.53597533441511014"/>
    <n v="0.53597533441511014"/>
    <x v="1"/>
  </r>
  <r>
    <s v="Congo"/>
    <x v="9"/>
    <n v="4713268.5"/>
    <x v="7"/>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69.5"/>
    <x v="8"/>
    <n v="0"/>
    <n v="4828066.5000000028"/>
    <n v="0"/>
    <m/>
    <n v="0"/>
    <m/>
    <n v="0"/>
    <m/>
    <n v="0"/>
    <m/>
    <n v="0"/>
    <n v="5441061.9999999972"/>
    <n v="0"/>
    <n v="97"/>
    <m/>
    <n v="0"/>
    <m/>
    <n v="0"/>
    <m/>
    <n v="0"/>
    <n v="5970424.0000000009"/>
    <n v="0"/>
    <n v="97"/>
    <n v="0"/>
    <n v="0"/>
    <n v="0"/>
    <n v="0"/>
    <s v=""/>
    <n v="97"/>
    <s v="2018 (triag)"/>
    <n v="97"/>
    <s v="2018 (triag)"/>
    <s v=""/>
    <n v="97"/>
    <n v="97"/>
    <s v="No change"/>
    <n v="9.0847270748923847E-3"/>
    <n v="5.4673730437993617E-2"/>
    <n v="92.692479605711057"/>
    <n v="114.28921047687605"/>
    <n v="0"/>
    <n v="0.17827402077021001"/>
    <n v="0.16246752324458025"/>
    <n v="0.16246752324458025"/>
    <x v="1"/>
  </r>
  <r>
    <s v="Congo"/>
    <x v="9"/>
    <n v="4713270.5"/>
    <x v="9"/>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71.5"/>
    <x v="10"/>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72.5"/>
    <x v="11"/>
    <n v="0"/>
    <n v="4828066.5000000028"/>
    <n v="0"/>
    <m/>
    <n v="0"/>
    <m/>
    <n v="0"/>
    <m/>
    <n v="0"/>
    <m/>
    <n v="0"/>
    <n v="5441061.9999999972"/>
    <n v="0"/>
    <n v="111"/>
    <m/>
    <n v="0"/>
    <m/>
    <n v="0"/>
    <m/>
    <n v="0"/>
    <n v="5970424.0000000009"/>
    <n v="0"/>
    <n v="111"/>
    <n v="0"/>
    <n v="0"/>
    <n v="0"/>
    <n v="0"/>
    <s v=""/>
    <n v="111"/>
    <s v="2018 (triag)"/>
    <n v="111"/>
    <s v="2018 (triag)"/>
    <s v=""/>
    <n v="111"/>
    <n v="111"/>
    <s v="No change"/>
    <n v="9.0847270748923847E-3"/>
    <n v="5.4673730437993617E-2"/>
    <n v="106.0707756312776"/>
    <n v="130.78456044261074"/>
    <n v="0"/>
    <n v="0.2040042918092094"/>
    <n v="0.18591644412524133"/>
    <n v="0.18591644412524133"/>
    <x v="1"/>
  </r>
  <r>
    <s v="Congo"/>
    <x v="9"/>
    <n v="4713273.5"/>
    <x v="12"/>
    <n v="0"/>
    <n v="4828066.5000000028"/>
    <n v="0"/>
    <m/>
    <n v="0"/>
    <m/>
    <n v="0"/>
    <m/>
    <n v="0"/>
    <m/>
    <n v="0"/>
    <n v="5441061.9999999972"/>
    <n v="0"/>
    <n v="445"/>
    <m/>
    <n v="0"/>
    <m/>
    <n v="0"/>
    <m/>
    <n v="0"/>
    <n v="5970424.0000000009"/>
    <n v="0"/>
    <n v="445"/>
    <n v="0"/>
    <n v="0"/>
    <n v="0"/>
    <n v="0"/>
    <s v=""/>
    <n v="445"/>
    <s v="2018 (triag)"/>
    <n v="445"/>
    <s v="2018 (triag)"/>
    <s v=""/>
    <n v="445"/>
    <n v="445"/>
    <s v="No change"/>
    <n v="9.0847270748923847E-3"/>
    <n v="5.4673730437993617E-2"/>
    <n v="425.23869509836516"/>
    <n v="524.31648105370971"/>
    <n v="0"/>
    <n v="0.81785504373962326"/>
    <n v="0.74534069942101255"/>
    <n v="0.74534069942101255"/>
    <x v="1"/>
  </r>
  <r>
    <s v="Congo"/>
    <x v="9"/>
    <n v="4713274.5"/>
    <x v="13"/>
    <n v="0"/>
    <n v="4828066.5000000028"/>
    <n v="0"/>
    <m/>
    <n v="0"/>
    <m/>
    <n v="0"/>
    <m/>
    <n v="0"/>
    <m/>
    <n v="0"/>
    <n v="5441061.9999999972"/>
    <n v="0"/>
    <n v="320"/>
    <m/>
    <n v="0"/>
    <m/>
    <n v="0"/>
    <m/>
    <n v="0"/>
    <n v="5970424.0000000009"/>
    <n v="777"/>
    <n v="320"/>
    <n v="0"/>
    <n v="0"/>
    <n v="777"/>
    <n v="0"/>
    <s v=""/>
    <n v="320"/>
    <s v="2018 (triag)"/>
    <n v="777"/>
    <n v="2022"/>
    <s v=""/>
    <n v="777"/>
    <n v="777"/>
    <s v="Increasing"/>
    <n v="9.0847270748923847E-3"/>
    <n v="5.4673730437993617E-2"/>
    <n v="305.78962344152103"/>
    <n v="377.03657064536429"/>
    <n v="0"/>
    <n v="0.58812048089141455"/>
    <n v="1.3014151088766892"/>
    <n v="1.3014151088766892"/>
    <x v="1"/>
  </r>
  <r>
    <s v="Congo"/>
    <x v="9"/>
    <n v="4713275.5"/>
    <x v="14"/>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76.5"/>
    <x v="15"/>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77.5"/>
    <x v="16"/>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78.5"/>
    <x v="17"/>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ngo"/>
    <x v="9"/>
    <n v="4713279.5"/>
    <x v="18"/>
    <n v="0"/>
    <n v="4828066.5000000028"/>
    <n v="0"/>
    <m/>
    <n v="0"/>
    <m/>
    <n v="0"/>
    <m/>
    <n v="0"/>
    <m/>
    <n v="0"/>
    <n v="5441061.9999999972"/>
    <n v="0"/>
    <n v="0"/>
    <m/>
    <n v="0"/>
    <m/>
    <n v="0"/>
    <m/>
    <n v="0"/>
    <n v="5970424.0000000009"/>
    <n v="0"/>
    <n v="0"/>
    <n v="0"/>
    <n v="0"/>
    <n v="0"/>
    <n v="0"/>
    <s v=""/>
    <n v="0"/>
    <s v=""/>
    <n v="0"/>
    <s v=""/>
    <s v=""/>
    <n v="0"/>
    <n v="0"/>
    <s v="No change"/>
    <n v="9.0847270748923847E-3"/>
    <n v="5.4673730437993617E-2"/>
    <n v="0"/>
    <n v="0"/>
    <n v="0"/>
    <n v="0"/>
    <n v="0"/>
    <n v="0"/>
    <x v="1"/>
  </r>
  <r>
    <s v="Comoros"/>
    <x v="10"/>
    <n v="684557.5"/>
    <x v="0"/>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58.5"/>
    <x v="1"/>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59.5"/>
    <x v="2"/>
    <n v="0"/>
    <n v="699392.50000000035"/>
    <n v="755"/>
    <m/>
    <n v="0"/>
    <m/>
    <n v="0"/>
    <m/>
    <n v="0"/>
    <m/>
    <n v="0"/>
    <n v="776313.5000000007"/>
    <n v="0"/>
    <n v="389"/>
    <m/>
    <n v="0"/>
    <m/>
    <n v="0"/>
    <m/>
    <n v="0"/>
    <n v="836773.49999999977"/>
    <n v="0"/>
    <n v="389"/>
    <n v="755"/>
    <n v="0"/>
    <n v="0"/>
    <n v="755"/>
    <n v="2013"/>
    <n v="389"/>
    <s v="2018 (triag)"/>
    <n v="389"/>
    <s v="2018 (triag)"/>
    <s v=""/>
    <n v="389"/>
    <n v="389"/>
    <s v="No change"/>
    <n v="0.22761760688079957"/>
    <n v="5.4673730437993617E-2"/>
    <n v="124.64769390220683"/>
    <n v="458.33508119077095"/>
    <n v="10.795082875495513"/>
    <n v="5.0108622354242156"/>
    <n v="4.6488087875631834"/>
    <n v="4.6488087875631834"/>
    <x v="1"/>
  </r>
  <r>
    <s v="Comoros"/>
    <x v="10"/>
    <n v="684560.5"/>
    <x v="3"/>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61.5"/>
    <x v="4"/>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62.5"/>
    <x v="5"/>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63.5"/>
    <x v="6"/>
    <n v="0"/>
    <n v="699392.50000000035"/>
    <n v="0"/>
    <m/>
    <n v="0"/>
    <m/>
    <n v="0"/>
    <m/>
    <n v="0"/>
    <m/>
    <n v="0"/>
    <n v="776313.5000000007"/>
    <n v="0"/>
    <n v="161"/>
    <m/>
    <n v="0"/>
    <m/>
    <n v="0"/>
    <m/>
    <n v="0"/>
    <n v="836773.49999999977"/>
    <n v="0"/>
    <n v="161"/>
    <n v="0"/>
    <n v="0"/>
    <n v="0"/>
    <n v="0"/>
    <s v=""/>
    <n v="161"/>
    <s v="2018 (triag)"/>
    <n v="161"/>
    <s v="2018 (triag)"/>
    <s v=""/>
    <n v="161"/>
    <n v="161"/>
    <s v="No change"/>
    <n v="0.22761760688079957"/>
    <n v="5.4673730437993617E-2"/>
    <n v="51.589405445386376"/>
    <n v="189.69652460594892"/>
    <n v="0"/>
    <n v="2.0739044213452407"/>
    <n v="1.9240571074490294"/>
    <n v="1.9240571074490294"/>
    <x v="1"/>
  </r>
  <r>
    <s v="Comoros"/>
    <x v="10"/>
    <n v="684564.5"/>
    <x v="7"/>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65.5"/>
    <x v="8"/>
    <n v="0"/>
    <n v="699392.50000000035"/>
    <n v="0"/>
    <m/>
    <n v="0"/>
    <m/>
    <n v="0"/>
    <m/>
    <n v="0"/>
    <m/>
    <n v="0"/>
    <n v="776313.5000000007"/>
    <n v="0"/>
    <n v="498"/>
    <m/>
    <n v="0"/>
    <m/>
    <n v="25"/>
    <m/>
    <n v="0"/>
    <n v="836773.49999999977"/>
    <n v="0"/>
    <n v="498"/>
    <n v="0"/>
    <n v="0"/>
    <n v="25"/>
    <n v="0"/>
    <s v=""/>
    <n v="498"/>
    <s v="2018 (triag)"/>
    <n v="25"/>
    <n v="2020"/>
    <s v="Adjust"/>
    <n v="28.732466108010378"/>
    <n v="498"/>
    <s v="Decreasing"/>
    <n v="0.22761760688079957"/>
    <n v="5.4673730437993617E-2"/>
    <n v="159.57468268200256"/>
    <n v="586.76316306684816"/>
    <n v="0"/>
    <n v="6.4149341728567073"/>
    <n v="0.34337208465624669"/>
    <n v="5.9514313013019668"/>
    <x v="0"/>
  </r>
  <r>
    <s v="Comoros"/>
    <x v="10"/>
    <n v="684566.5"/>
    <x v="9"/>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67.5"/>
    <x v="10"/>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68.5"/>
    <x v="11"/>
    <n v="0"/>
    <n v="699392.50000000035"/>
    <n v="0"/>
    <m/>
    <n v="0"/>
    <m/>
    <n v="0"/>
    <m/>
    <n v="0"/>
    <m/>
    <n v="0"/>
    <n v="776313.5000000007"/>
    <n v="0"/>
    <n v="44"/>
    <m/>
    <n v="0"/>
    <m/>
    <n v="0"/>
    <m/>
    <n v="0"/>
    <n v="836773.49999999977"/>
    <n v="0"/>
    <n v="44"/>
    <n v="0"/>
    <n v="0"/>
    <n v="0"/>
    <n v="0"/>
    <s v=""/>
    <n v="44"/>
    <s v="2018 (triag)"/>
    <n v="44"/>
    <s v="2018 (triag)"/>
    <s v=""/>
    <n v="44"/>
    <n v="44"/>
    <s v="No change"/>
    <n v="0.22761760688079957"/>
    <n v="5.4673730437993617E-2"/>
    <n v="14.098967947807456"/>
    <n v="51.842528463737594"/>
    <n v="0"/>
    <n v="0.56678133254155649"/>
    <n v="0.52582927160097703"/>
    <n v="0.52582927160097703"/>
    <x v="1"/>
  </r>
  <r>
    <s v="Comoros"/>
    <x v="10"/>
    <n v="684569.5"/>
    <x v="12"/>
    <n v="0"/>
    <n v="699392.50000000035"/>
    <n v="0"/>
    <m/>
    <n v="0"/>
    <m/>
    <n v="0"/>
    <m/>
    <n v="0"/>
    <m/>
    <n v="0"/>
    <n v="776313.5000000007"/>
    <n v="0"/>
    <n v="115"/>
    <m/>
    <n v="0"/>
    <m/>
    <n v="0"/>
    <m/>
    <n v="0"/>
    <n v="836773.49999999977"/>
    <n v="0"/>
    <n v="115"/>
    <n v="0"/>
    <n v="0"/>
    <n v="0"/>
    <n v="0"/>
    <s v=""/>
    <n v="115"/>
    <s v="2018 (triag)"/>
    <n v="115"/>
    <s v="2018 (triag)"/>
    <s v=""/>
    <n v="115"/>
    <n v="115"/>
    <s v="No change"/>
    <n v="0.22761760688079957"/>
    <n v="5.4673730437993617E-2"/>
    <n v="36.849575318133127"/>
    <n v="135.49751757567779"/>
    <n v="0"/>
    <n v="1.4813603009608862"/>
    <n v="1.3743265053207354"/>
    <n v="1.3743265053207354"/>
    <x v="1"/>
  </r>
  <r>
    <s v="Comoros"/>
    <x v="10"/>
    <n v="684570.5"/>
    <x v="13"/>
    <n v="86"/>
    <n v="699392.50000000035"/>
    <n v="0"/>
    <m/>
    <n v="0"/>
    <m/>
    <n v="0"/>
    <m/>
    <n v="0"/>
    <m/>
    <n v="0"/>
    <n v="776313.5000000007"/>
    <n v="8"/>
    <n v="8"/>
    <m/>
    <n v="0"/>
    <m/>
    <n v="16"/>
    <m/>
    <n v="0"/>
    <n v="836773.49999999977"/>
    <n v="0"/>
    <n v="8"/>
    <n v="86"/>
    <n v="8"/>
    <n v="16"/>
    <n v="86"/>
    <n v="2012"/>
    <n v="8"/>
    <n v="2018"/>
    <n v="16"/>
    <n v="2020"/>
    <s v=""/>
    <n v="16"/>
    <n v="16"/>
    <s v="Increasing"/>
    <n v="0.22761760688079957"/>
    <n v="5.4673730437993617E-2"/>
    <n v="2.563448717783174"/>
    <n v="9.4259142661341073"/>
    <n v="1.2296385791955156"/>
    <n v="0.10305115137119208"/>
    <n v="0.19121064421853709"/>
    <n v="0.19121064421853709"/>
    <x v="1"/>
  </r>
  <r>
    <s v="Comoros"/>
    <x v="10"/>
    <n v="684571.5"/>
    <x v="14"/>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72.5"/>
    <x v="15"/>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73.5"/>
    <x v="16"/>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74.5"/>
    <x v="17"/>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omoros"/>
    <x v="10"/>
    <n v="684575.5"/>
    <x v="18"/>
    <n v="0"/>
    <n v="699392.50000000035"/>
    <n v="0"/>
    <m/>
    <n v="0"/>
    <m/>
    <n v="0"/>
    <m/>
    <n v="0"/>
    <m/>
    <n v="0"/>
    <n v="776313.5000000007"/>
    <n v="0"/>
    <n v="0"/>
    <m/>
    <n v="0"/>
    <m/>
    <n v="0"/>
    <m/>
    <n v="0"/>
    <n v="836773.49999999977"/>
    <n v="0"/>
    <n v="0"/>
    <n v="0"/>
    <n v="0"/>
    <n v="0"/>
    <n v="0"/>
    <s v=""/>
    <n v="0"/>
    <s v=""/>
    <n v="0"/>
    <s v=""/>
    <s v=""/>
    <n v="0"/>
    <n v="0"/>
    <s v="No change"/>
    <n v="0.22761760688079957"/>
    <n v="5.4673730437993617E-2"/>
    <n v="0"/>
    <n v="0"/>
    <n v="0"/>
    <n v="0"/>
    <n v="0"/>
    <n v="0"/>
    <x v="1"/>
  </r>
  <r>
    <s v="Cape-Verde"/>
    <x v="11"/>
    <n v="533869"/>
    <x v="0"/>
    <n v="0"/>
    <n v="539939.99999999988"/>
    <n v="0"/>
    <m/>
    <n v="0"/>
    <m/>
    <n v="0"/>
    <m/>
    <n v="0"/>
    <m/>
    <n v="0"/>
    <n v="571201.5"/>
    <n v="117"/>
    <n v="117"/>
    <m/>
    <n v="0"/>
    <m/>
    <n v="0"/>
    <m/>
    <n v="0"/>
    <n v="593149.50000000012"/>
    <n v="155"/>
    <n v="117"/>
    <n v="0"/>
    <n v="117"/>
    <n v="155"/>
    <n v="0"/>
    <s v=""/>
    <n v="117"/>
    <n v="2018"/>
    <n v="155"/>
    <n v="2022"/>
    <s v=""/>
    <n v="155"/>
    <n v="155"/>
    <s v="Increasing"/>
    <n v="0.12998282689096063"/>
    <n v="5.4673730437993617E-2"/>
    <n v="61.084600718404062"/>
    <n v="137.85399614221132"/>
    <n v="0"/>
    <n v="2.0483139487553865"/>
    <n v="2.613169192589726"/>
    <n v="2.613169192589726"/>
    <x v="1"/>
  </r>
  <r>
    <s v="Cape-Verde"/>
    <x v="11"/>
    <n v="533870"/>
    <x v="1"/>
    <n v="130"/>
    <n v="539939.99999999988"/>
    <n v="3781"/>
    <m/>
    <n v="168"/>
    <m/>
    <n v="0"/>
    <m/>
    <n v="0"/>
    <m/>
    <n v="0"/>
    <n v="571201.5"/>
    <n v="0"/>
    <n v="18"/>
    <m/>
    <n v="0"/>
    <m/>
    <n v="0"/>
    <m/>
    <n v="6"/>
    <n v="593149.50000000012"/>
    <n v="0"/>
    <n v="18"/>
    <n v="3781"/>
    <n v="0"/>
    <n v="6"/>
    <n v="3781"/>
    <n v="2013"/>
    <n v="18"/>
    <s v="2018 (triag)"/>
    <n v="6"/>
    <n v="2021"/>
    <s v="Adjust"/>
    <n v="7.4605597964376598"/>
    <n v="18"/>
    <s v="Decreasing"/>
    <n v="0.12998282689096063"/>
    <n v="5.4673730437993617E-2"/>
    <n v="9.3976308797544696"/>
    <n v="21.20830709880174"/>
    <n v="70.026299218431689"/>
    <n v="0.31512522288544409"/>
    <n v="0.12577874206144757"/>
    <n v="0.30346480946203269"/>
    <x v="0"/>
  </r>
  <r>
    <s v="Cape-Verde"/>
    <x v="11"/>
    <n v="533871"/>
    <x v="2"/>
    <n v="121"/>
    <n v="539939.99999999988"/>
    <n v="3881"/>
    <m/>
    <n v="8"/>
    <m/>
    <n v="0"/>
    <m/>
    <n v="0"/>
    <m/>
    <n v="0"/>
    <n v="571201.5"/>
    <n v="3207"/>
    <n v="3207"/>
    <m/>
    <n v="0"/>
    <m/>
    <n v="0"/>
    <m/>
    <n v="353"/>
    <n v="593149.50000000012"/>
    <n v="0"/>
    <n v="1"/>
    <n v="3881"/>
    <n v="3207"/>
    <n v="353"/>
    <n v="3881"/>
    <n v="2013"/>
    <n v="3207"/>
    <n v="2018"/>
    <n v="353"/>
    <n v="2021"/>
    <s v="Adjust"/>
    <n v="438.92960135708233"/>
    <n v="3207"/>
    <s v="Decreasing"/>
    <n v="0.12998282689096063"/>
    <n v="5.4673730437993617E-2"/>
    <n v="0.52209060443080391"/>
    <n v="1.1782392832667634"/>
    <n v="71.878356854465324"/>
    <n v="56.144810544089957"/>
    <n v="7.399982657948498"/>
    <n v="54.067313552485494"/>
    <x v="0"/>
  </r>
  <r>
    <s v="Cape-Verde"/>
    <x v="11"/>
    <n v="533872"/>
    <x v="3"/>
    <n v="0"/>
    <n v="539939.99999999988"/>
    <n v="0"/>
    <m/>
    <n v="0"/>
    <m/>
    <n v="0"/>
    <m/>
    <n v="0"/>
    <m/>
    <n v="0"/>
    <n v="571201.5"/>
    <n v="0"/>
    <n v="149"/>
    <m/>
    <n v="0"/>
    <m/>
    <n v="0"/>
    <m/>
    <n v="0"/>
    <n v="593149.50000000012"/>
    <n v="0"/>
    <n v="149"/>
    <n v="0"/>
    <n v="0"/>
    <n v="0"/>
    <n v="0"/>
    <s v=""/>
    <n v="149"/>
    <s v="2018 (triag)"/>
    <n v="149"/>
    <s v="2018 (triag)"/>
    <s v=""/>
    <n v="149"/>
    <n v="149"/>
    <s v="No change"/>
    <n v="0.12998282689096063"/>
    <n v="5.4673730437993617E-2"/>
    <n v="77.79150006018979"/>
    <n v="175.55765320674774"/>
    <n v="0"/>
    <n v="2.6085365672183984"/>
    <n v="2.5120142561023817"/>
    <n v="2.5120142561023817"/>
    <x v="1"/>
  </r>
  <r>
    <s v="Cape-Verde"/>
    <x v="11"/>
    <n v="533873"/>
    <x v="4"/>
    <n v="0"/>
    <n v="539939.99999999988"/>
    <n v="0"/>
    <m/>
    <n v="0"/>
    <m/>
    <n v="0"/>
    <m/>
    <n v="0"/>
    <m/>
    <n v="0"/>
    <n v="571201.5"/>
    <n v="0"/>
    <n v="61"/>
    <m/>
    <n v="0"/>
    <m/>
    <n v="0"/>
    <m/>
    <n v="0"/>
    <n v="593149.50000000012"/>
    <n v="0"/>
    <n v="61"/>
    <n v="0"/>
    <n v="0"/>
    <n v="0"/>
    <n v="0"/>
    <s v=""/>
    <n v="61"/>
    <s v="2018 (triag)"/>
    <n v="61"/>
    <s v="2018 (triag)"/>
    <s v=""/>
    <n v="61"/>
    <n v="61"/>
    <s v="No change"/>
    <n v="0.12998282689096063"/>
    <n v="5.4673730437993617E-2"/>
    <n v="31.84752687027904"/>
    <n v="71.872596279272571"/>
    <n v="0"/>
    <n v="1.0679243664451161"/>
    <n v="1.0284085209546663"/>
    <n v="1.0284085209546663"/>
    <x v="1"/>
  </r>
  <r>
    <s v="Cape-Verde"/>
    <x v="11"/>
    <n v="533874"/>
    <x v="5"/>
    <n v="0"/>
    <n v="539939.99999999988"/>
    <n v="0"/>
    <m/>
    <n v="0"/>
    <m/>
    <n v="0"/>
    <m/>
    <n v="0"/>
    <m/>
    <n v="0"/>
    <n v="571201.5"/>
    <n v="0"/>
    <n v="20"/>
    <m/>
    <n v="20"/>
    <m/>
    <n v="0"/>
    <m/>
    <n v="0"/>
    <n v="593149.50000000012"/>
    <n v="0"/>
    <n v="20"/>
    <n v="0"/>
    <n v="20"/>
    <n v="0"/>
    <n v="0"/>
    <s v=""/>
    <n v="20"/>
    <s v="2018 (triag)"/>
    <n v="20"/>
    <s v="2018 (triag)"/>
    <s v=""/>
    <n v="20"/>
    <n v="20"/>
    <s v="No change"/>
    <n v="0.12998282689096063"/>
    <n v="5.4673730437993617E-2"/>
    <n v="10.441812088616079"/>
    <n v="23.564785665335268"/>
    <n v="0"/>
    <n v="0.35013913653938233"/>
    <n v="0.33718312162448077"/>
    <n v="0.33718312162448077"/>
    <x v="1"/>
  </r>
  <r>
    <s v="Cape-Verde"/>
    <x v="11"/>
    <n v="533875"/>
    <x v="6"/>
    <n v="0"/>
    <n v="539939.99999999988"/>
    <n v="0"/>
    <m/>
    <n v="0"/>
    <m/>
    <n v="0"/>
    <m/>
    <n v="0"/>
    <m/>
    <n v="0"/>
    <n v="571201.5"/>
    <n v="65"/>
    <n v="65"/>
    <m/>
    <n v="0"/>
    <m/>
    <n v="0"/>
    <m/>
    <n v="0"/>
    <n v="593149.50000000012"/>
    <n v="0"/>
    <n v="11"/>
    <n v="0"/>
    <n v="65"/>
    <n v="0"/>
    <n v="0"/>
    <s v=""/>
    <n v="65"/>
    <n v="2018"/>
    <n v="65"/>
    <n v="2018"/>
    <s v=""/>
    <n v="65"/>
    <n v="65"/>
    <s v="No change"/>
    <n v="0.12998282689096063"/>
    <n v="5.4673730437993617E-2"/>
    <n v="5.7429966487388429"/>
    <n v="12.960632115934398"/>
    <n v="0"/>
    <n v="1.1379521937529926"/>
    <n v="1.0958451452795626"/>
    <n v="1.0958451452795626"/>
    <x v="1"/>
  </r>
  <r>
    <s v="Cape-Verde"/>
    <x v="11"/>
    <n v="533876"/>
    <x v="7"/>
    <n v="0"/>
    <n v="539939.99999999988"/>
    <n v="0"/>
    <m/>
    <n v="0"/>
    <m/>
    <n v="0"/>
    <m/>
    <n v="0"/>
    <m/>
    <n v="0"/>
    <n v="571201.5"/>
    <n v="0"/>
    <n v="3"/>
    <m/>
    <n v="0"/>
    <m/>
    <n v="0"/>
    <m/>
    <n v="0"/>
    <n v="593149.50000000012"/>
    <n v="0"/>
    <n v="3"/>
    <n v="0"/>
    <n v="0"/>
    <n v="0"/>
    <n v="0"/>
    <s v=""/>
    <n v="3"/>
    <s v="2018 (triag)"/>
    <n v="3"/>
    <s v="2018 (triag)"/>
    <s v=""/>
    <n v="3"/>
    <n v="3"/>
    <s v="No change"/>
    <n v="0.12998282689096063"/>
    <n v="5.4673730437993617E-2"/>
    <n v="1.5662718132924118"/>
    <n v="3.5347178498002902"/>
    <n v="0"/>
    <n v="5.2520870480907353E-2"/>
    <n v="5.0577468243672118E-2"/>
    <n v="5.0577468243672118E-2"/>
    <x v="1"/>
  </r>
  <r>
    <s v="Cape-Verde"/>
    <x v="11"/>
    <n v="533877"/>
    <x v="8"/>
    <n v="0"/>
    <n v="539939.99999999988"/>
    <n v="0"/>
    <m/>
    <n v="0"/>
    <m/>
    <n v="0"/>
    <m/>
    <n v="0"/>
    <m/>
    <n v="0"/>
    <n v="571201.5"/>
    <n v="0"/>
    <n v="27"/>
    <m/>
    <n v="0"/>
    <m/>
    <n v="0"/>
    <m/>
    <n v="0"/>
    <n v="593149.50000000012"/>
    <n v="0"/>
    <n v="27"/>
    <n v="0"/>
    <n v="0"/>
    <n v="0"/>
    <n v="0"/>
    <s v=""/>
    <n v="27"/>
    <s v="2018 (triag)"/>
    <n v="27"/>
    <s v="2018 (triag)"/>
    <s v=""/>
    <n v="27"/>
    <n v="27"/>
    <s v="No change"/>
    <n v="0.12998282689096063"/>
    <n v="5.4673730437993617E-2"/>
    <n v="14.096446319631706"/>
    <n v="31.812460648202613"/>
    <n v="0"/>
    <n v="0.47268783432816613"/>
    <n v="0.45519721419304904"/>
    <n v="0.45519721419304904"/>
    <x v="1"/>
  </r>
  <r>
    <s v="Cape-Verde"/>
    <x v="11"/>
    <n v="533878"/>
    <x v="9"/>
    <n v="0"/>
    <n v="539939.99999999988"/>
    <n v="0"/>
    <m/>
    <n v="0"/>
    <m/>
    <n v="0"/>
    <m/>
    <n v="0"/>
    <m/>
    <n v="0"/>
    <n v="571201.5"/>
    <n v="0"/>
    <n v="14"/>
    <m/>
    <n v="0"/>
    <m/>
    <n v="0"/>
    <m/>
    <n v="0"/>
    <n v="593149.50000000012"/>
    <n v="0"/>
    <n v="14"/>
    <n v="0"/>
    <n v="0"/>
    <n v="0"/>
    <n v="0"/>
    <s v=""/>
    <n v="14"/>
    <s v="2018 (triag)"/>
    <n v="14"/>
    <s v="2018 (triag)"/>
    <s v=""/>
    <n v="14"/>
    <n v="14"/>
    <s v="No change"/>
    <n v="0.12998282689096063"/>
    <n v="5.4673730437993617E-2"/>
    <n v="7.3092684620312545"/>
    <n v="16.49534996573469"/>
    <n v="0"/>
    <n v="0.24509739557756763"/>
    <n v="0.23602818513713655"/>
    <n v="0.23602818513713655"/>
    <x v="1"/>
  </r>
  <r>
    <s v="Cape-Verde"/>
    <x v="11"/>
    <n v="533879"/>
    <x v="10"/>
    <n v="0"/>
    <n v="539939.99999999988"/>
    <n v="0"/>
    <m/>
    <n v="0"/>
    <m/>
    <n v="0"/>
    <m/>
    <n v="0"/>
    <m/>
    <n v="0"/>
    <n v="571201.5"/>
    <n v="0"/>
    <n v="40"/>
    <m/>
    <n v="0"/>
    <m/>
    <n v="0"/>
    <m/>
    <n v="0"/>
    <n v="593149.50000000012"/>
    <n v="4"/>
    <n v="40"/>
    <n v="0"/>
    <n v="0"/>
    <n v="4"/>
    <n v="0"/>
    <s v=""/>
    <n v="40"/>
    <s v="2018 (triag)"/>
    <n v="4"/>
    <n v="2022"/>
    <s v="Adjust"/>
    <n v="4.9737065309584398"/>
    <n v="40"/>
    <s v="Decreasing"/>
    <n v="0.12998282689096063"/>
    <n v="5.4673730437993617E-2"/>
    <n v="20.883624177232157"/>
    <n v="47.129571330670537"/>
    <n v="0"/>
    <n v="0.70027827307876467"/>
    <n v="8.3852494707631689E-2"/>
    <n v="0.67436624324896155"/>
    <x v="0"/>
  </r>
  <r>
    <s v="Cape-Verde"/>
    <x v="11"/>
    <n v="533880"/>
    <x v="11"/>
    <n v="0"/>
    <n v="539939.99999999988"/>
    <n v="0"/>
    <m/>
    <n v="0"/>
    <m/>
    <n v="0"/>
    <m/>
    <n v="0"/>
    <m/>
    <n v="0"/>
    <n v="571201.5"/>
    <n v="0"/>
    <n v="1357"/>
    <m/>
    <n v="0"/>
    <m/>
    <n v="0"/>
    <m/>
    <n v="0"/>
    <n v="593149.50000000012"/>
    <n v="0"/>
    <n v="1357"/>
    <n v="0"/>
    <n v="0"/>
    <n v="0"/>
    <n v="0"/>
    <s v=""/>
    <n v="1357"/>
    <s v="2018 (triag)"/>
    <n v="1357"/>
    <s v="2018 (triag)"/>
    <s v=""/>
    <n v="1357"/>
    <n v="1357"/>
    <s v="No change"/>
    <n v="0.12998282689096063"/>
    <n v="5.4673730437993617E-2"/>
    <n v="708.47695021260097"/>
    <n v="1598.8707073929979"/>
    <n v="0"/>
    <n v="23.756940414197093"/>
    <n v="22.877874802221022"/>
    <n v="22.877874802221022"/>
    <x v="1"/>
  </r>
  <r>
    <s v="Cape-Verde"/>
    <x v="11"/>
    <n v="533881"/>
    <x v="12"/>
    <n v="0"/>
    <n v="539939.99999999988"/>
    <n v="0"/>
    <m/>
    <n v="0"/>
    <m/>
    <n v="0"/>
    <m/>
    <n v="0"/>
    <m/>
    <n v="0"/>
    <n v="571201.5"/>
    <n v="0"/>
    <n v="95"/>
    <m/>
    <n v="0"/>
    <m/>
    <n v="0"/>
    <m/>
    <n v="0"/>
    <n v="593149.50000000012"/>
    <n v="0"/>
    <n v="95"/>
    <n v="0"/>
    <n v="0"/>
    <n v="0"/>
    <n v="0"/>
    <s v=""/>
    <n v="95"/>
    <s v="2018 (triag)"/>
    <n v="95"/>
    <s v="2018 (triag)"/>
    <s v=""/>
    <n v="95"/>
    <n v="95"/>
    <s v="No change"/>
    <n v="0.12998282689096063"/>
    <n v="5.4673730437993617E-2"/>
    <n v="49.598607420926371"/>
    <n v="111.93273191034253"/>
    <n v="0"/>
    <n v="1.6631608985620661"/>
    <n v="1.6016198277162836"/>
    <n v="1.6016198277162836"/>
    <x v="1"/>
  </r>
  <r>
    <s v="Cape-Verde"/>
    <x v="11"/>
    <n v="533882"/>
    <x v="13"/>
    <n v="0"/>
    <n v="539939.99999999988"/>
    <n v="0"/>
    <m/>
    <n v="0"/>
    <m/>
    <n v="0"/>
    <m/>
    <n v="0"/>
    <m/>
    <n v="0"/>
    <n v="571201.5"/>
    <n v="0"/>
    <n v="65"/>
    <m/>
    <n v="0"/>
    <m/>
    <n v="0"/>
    <m/>
    <n v="0"/>
    <n v="593149.50000000012"/>
    <n v="0"/>
    <n v="65"/>
    <n v="0"/>
    <n v="0"/>
    <n v="0"/>
    <n v="0"/>
    <s v=""/>
    <n v="65"/>
    <s v="2018 (triag)"/>
    <n v="65"/>
    <s v="2018 (triag)"/>
    <s v=""/>
    <n v="65"/>
    <n v="65"/>
    <s v="No change"/>
    <n v="0.12998282689096063"/>
    <n v="5.4673730437993617E-2"/>
    <n v="33.935889288002258"/>
    <n v="76.585553412339621"/>
    <n v="0"/>
    <n v="1.1379521937529926"/>
    <n v="1.0958451452795626"/>
    <n v="1.0958451452795626"/>
    <x v="1"/>
  </r>
  <r>
    <s v="Cape-Verde"/>
    <x v="11"/>
    <n v="533883"/>
    <x v="14"/>
    <n v="0"/>
    <n v="539939.99999999988"/>
    <n v="0"/>
    <m/>
    <n v="0"/>
    <m/>
    <n v="0"/>
    <m/>
    <n v="0"/>
    <m/>
    <n v="0"/>
    <n v="571201.5"/>
    <n v="0"/>
    <n v="0"/>
    <m/>
    <n v="0"/>
    <m/>
    <n v="0"/>
    <m/>
    <n v="0"/>
    <n v="593149.50000000012"/>
    <n v="0"/>
    <n v="0"/>
    <n v="0"/>
    <n v="0"/>
    <n v="0"/>
    <n v="0"/>
    <s v=""/>
    <n v="0"/>
    <s v=""/>
    <n v="0"/>
    <s v=""/>
    <s v=""/>
    <n v="0"/>
    <n v="0"/>
    <s v="No change"/>
    <n v="0.12998282689096063"/>
    <n v="5.4673730437993617E-2"/>
    <n v="0"/>
    <n v="0"/>
    <n v="0"/>
    <n v="0"/>
    <n v="0"/>
    <n v="0"/>
    <x v="1"/>
  </r>
  <r>
    <s v="Cape-Verde"/>
    <x v="11"/>
    <n v="533884"/>
    <x v="15"/>
    <n v="0"/>
    <n v="539939.99999999988"/>
    <n v="0"/>
    <m/>
    <n v="0"/>
    <m/>
    <n v="0"/>
    <m/>
    <n v="0"/>
    <m/>
    <n v="0"/>
    <n v="571201.5"/>
    <n v="0"/>
    <n v="58"/>
    <m/>
    <n v="0"/>
    <m/>
    <n v="0"/>
    <m/>
    <n v="0"/>
    <n v="593149.50000000012"/>
    <n v="10"/>
    <n v="58"/>
    <n v="0"/>
    <n v="0"/>
    <n v="10"/>
    <n v="0"/>
    <s v=""/>
    <n v="58"/>
    <s v="2018 (triag)"/>
    <n v="10"/>
    <n v="2022"/>
    <s v="Adjust"/>
    <n v="12.434266327396099"/>
    <n v="58"/>
    <s v="Decreasing"/>
    <n v="0.12998282689096063"/>
    <n v="5.4673730437993617E-2"/>
    <n v="30.281255056986627"/>
    <n v="68.337878429472283"/>
    <n v="0"/>
    <n v="1.0154034959642089"/>
    <n v="0.20963123676907924"/>
    <n v="0.97783105271099424"/>
    <x v="0"/>
  </r>
  <r>
    <s v="Cape-Verde"/>
    <x v="11"/>
    <n v="533885"/>
    <x v="16"/>
    <n v="0"/>
    <n v="539939.99999999988"/>
    <n v="0"/>
    <m/>
    <n v="0"/>
    <m/>
    <n v="0"/>
    <m/>
    <n v="0"/>
    <m/>
    <n v="0"/>
    <n v="571201.5"/>
    <n v="0"/>
    <n v="0"/>
    <m/>
    <n v="0"/>
    <m/>
    <n v="0"/>
    <m/>
    <n v="0"/>
    <n v="593149.50000000012"/>
    <n v="0"/>
    <n v="0"/>
    <n v="0"/>
    <n v="0"/>
    <n v="0"/>
    <n v="0"/>
    <s v=""/>
    <n v="0"/>
    <s v=""/>
    <n v="0"/>
    <s v=""/>
    <s v=""/>
    <n v="0"/>
    <n v="0"/>
    <s v="No change"/>
    <n v="0.12998282689096063"/>
    <n v="5.4673730437993617E-2"/>
    <n v="0"/>
    <n v="0"/>
    <n v="0"/>
    <n v="0"/>
    <n v="0"/>
    <n v="0"/>
    <x v="1"/>
  </r>
  <r>
    <s v="Cape-Verde"/>
    <x v="11"/>
    <n v="533886"/>
    <x v="17"/>
    <n v="0"/>
    <n v="539939.99999999988"/>
    <n v="0"/>
    <m/>
    <n v="0"/>
    <m/>
    <n v="0"/>
    <m/>
    <n v="0"/>
    <m/>
    <n v="0"/>
    <n v="571201.5"/>
    <n v="0"/>
    <n v="0"/>
    <m/>
    <n v="0"/>
    <m/>
    <n v="0"/>
    <m/>
    <n v="0"/>
    <n v="593149.50000000012"/>
    <n v="0"/>
    <n v="0"/>
    <n v="0"/>
    <n v="0"/>
    <n v="0"/>
    <n v="0"/>
    <s v=""/>
    <n v="0"/>
    <s v=""/>
    <n v="0"/>
    <s v=""/>
    <s v=""/>
    <n v="0"/>
    <n v="0"/>
    <s v="No change"/>
    <n v="0.12998282689096063"/>
    <n v="5.4673730437993617E-2"/>
    <n v="0"/>
    <n v="0"/>
    <n v="0"/>
    <n v="0"/>
    <n v="0"/>
    <n v="0"/>
    <x v="1"/>
  </r>
  <r>
    <s v="Cape-Verde"/>
    <x v="11"/>
    <n v="533887"/>
    <x v="18"/>
    <n v="0"/>
    <n v="539939.99999999988"/>
    <n v="0"/>
    <m/>
    <n v="0"/>
    <m/>
    <n v="0"/>
    <m/>
    <n v="0"/>
    <m/>
    <n v="0"/>
    <n v="571201.5"/>
    <n v="0"/>
    <n v="1"/>
    <m/>
    <n v="0"/>
    <m/>
    <n v="0"/>
    <m/>
    <n v="0"/>
    <n v="593149.50000000012"/>
    <n v="0"/>
    <n v="1"/>
    <n v="0"/>
    <n v="0"/>
    <n v="0"/>
    <n v="0"/>
    <s v=""/>
    <n v="1"/>
    <s v="2018 (triag)"/>
    <n v="1"/>
    <s v="2018 (triag)"/>
    <s v=""/>
    <n v="1"/>
    <n v="1"/>
    <s v="No change"/>
    <n v="0.12998282689096063"/>
    <n v="5.4673730437993617E-2"/>
    <n v="0.52209060443080391"/>
    <n v="1.1782392832667634"/>
    <n v="0"/>
    <n v="1.7506956826969115E-2"/>
    <n v="1.6859156081224038E-2"/>
    <n v="1.6859156081224038E-2"/>
    <x v="1"/>
  </r>
  <r>
    <s v="Algeria"/>
    <x v="12"/>
    <n v="37260567.5"/>
    <x v="0"/>
    <n v="0"/>
    <n v="38000626.500000022"/>
    <n v="0"/>
    <m/>
    <n v="0"/>
    <m/>
    <n v="0"/>
    <m/>
    <n v="0"/>
    <m/>
    <n v="0"/>
    <n v="41927007.000000007"/>
    <n v="0"/>
    <n v="0"/>
    <m/>
    <n v="0"/>
    <m/>
    <n v="0"/>
    <m/>
    <n v="0"/>
    <n v="44903225.000000007"/>
    <n v="0"/>
    <n v="0"/>
    <n v="0"/>
    <n v="0"/>
    <n v="0"/>
    <n v="0"/>
    <s v=""/>
    <n v="0"/>
    <s v=""/>
    <n v="0"/>
    <s v=""/>
    <s v=""/>
    <n v="0"/>
    <n v="0"/>
    <s v="No change"/>
    <n v="-5.6467842638671772E-2"/>
    <n v="0.17775588866414749"/>
    <n v="0"/>
    <n v="0"/>
    <n v="0"/>
    <n v="0"/>
    <n v="0"/>
    <n v="0"/>
    <x v="1"/>
  </r>
  <r>
    <s v="Algeria"/>
    <x v="12"/>
    <n v="37260568.5"/>
    <x v="1"/>
    <n v="20"/>
    <n v="38000626.500000022"/>
    <n v="1"/>
    <m/>
    <n v="0"/>
    <m/>
    <n v="0"/>
    <m/>
    <n v="0"/>
    <m/>
    <n v="0"/>
    <n v="41927007.000000007"/>
    <n v="0"/>
    <n v="381"/>
    <m/>
    <n v="7"/>
    <m/>
    <n v="0"/>
    <m/>
    <n v="0"/>
    <n v="44903225.000000007"/>
    <n v="0"/>
    <n v="381"/>
    <n v="20"/>
    <n v="7"/>
    <n v="0"/>
    <n v="1"/>
    <n v="2013"/>
    <n v="381"/>
    <s v="2018 (triag)"/>
    <n v="7"/>
    <s v="2018 (triag)"/>
    <s v="Adjust"/>
    <n v="7.9790405895099754"/>
    <n v="381"/>
    <s v="Decreasing"/>
    <n v="-5.6467842638671772E-2"/>
    <n v="0.17775588866414749"/>
    <n v="505.29306532160189"/>
    <n v="649.41180714122345"/>
    <n v="2.6315355616571203E-4"/>
    <n v="9.0872215133314893E-2"/>
    <n v="1.7769415425083553E-3"/>
    <n v="8.4849139454905506E-2"/>
    <x v="0"/>
  </r>
  <r>
    <s v="Algeria"/>
    <x v="12"/>
    <n v="37260569.5"/>
    <x v="2"/>
    <n v="199"/>
    <n v="38000626.500000022"/>
    <n v="0"/>
    <m/>
    <n v="0"/>
    <m/>
    <n v="0"/>
    <m/>
    <n v="304"/>
    <m/>
    <n v="0"/>
    <n v="41927007.000000007"/>
    <n v="0"/>
    <n v="1249"/>
    <m/>
    <n v="20"/>
    <m/>
    <n v="0"/>
    <m/>
    <n v="0"/>
    <n v="44903225.000000007"/>
    <n v="0"/>
    <n v="1249"/>
    <n v="199"/>
    <n v="304"/>
    <n v="0"/>
    <n v="199"/>
    <n v="2012"/>
    <n v="1249"/>
    <s v="2018 (triag)"/>
    <n v="20"/>
    <s v="2018 (triag)"/>
    <s v="Adjust"/>
    <n v="22.797258827171358"/>
    <n v="1249"/>
    <s v="Decreasing"/>
    <n v="-5.6467842638671772E-2"/>
    <n v="0.17775588866414749"/>
    <n v="1656.4594188626791"/>
    <n v="2128.9116722293652"/>
    <n v="5.2367557676976692E-2"/>
    <n v="0.29789867900658873"/>
    <n v="5.0769758357381576E-3"/>
    <n v="0.2781537406277611"/>
    <x v="0"/>
  </r>
  <r>
    <s v="Algeria"/>
    <x v="12"/>
    <n v="37260570.5"/>
    <x v="3"/>
    <n v="0"/>
    <n v="38000626.500000022"/>
    <n v="0"/>
    <m/>
    <n v="0"/>
    <m/>
    <n v="0"/>
    <m/>
    <n v="0"/>
    <m/>
    <n v="0"/>
    <n v="41927007.000000007"/>
    <n v="42507"/>
    <n v="42507"/>
    <m/>
    <n v="0"/>
    <m/>
    <n v="0"/>
    <m/>
    <n v="0"/>
    <n v="44903225.000000007"/>
    <n v="0"/>
    <n v="41461"/>
    <n v="0"/>
    <n v="42507"/>
    <n v="0"/>
    <n v="0"/>
    <s v=""/>
    <n v="42507"/>
    <n v="2018"/>
    <n v="42507"/>
    <n v="2018"/>
    <s v=""/>
    <n v="42507"/>
    <n v="42507"/>
    <s v="No change"/>
    <n v="-5.6467842638671772E-2"/>
    <n v="0.17775588866414749"/>
    <n v="54986.760580837101"/>
    <n v="70669.981459008573"/>
    <n v="0"/>
    <n v="10.138333986015265"/>
    <n v="9.4663579286343005"/>
    <n v="9.4663579286343005"/>
    <x v="1"/>
  </r>
  <r>
    <s v="Algeria"/>
    <x v="12"/>
    <n v="37260571.5"/>
    <x v="4"/>
    <n v="0"/>
    <n v="38000626.500000022"/>
    <n v="0"/>
    <m/>
    <n v="0"/>
    <m/>
    <n v="0"/>
    <m/>
    <n v="0"/>
    <m/>
    <n v="0"/>
    <n v="41927007.000000007"/>
    <n v="900"/>
    <n v="10838"/>
    <m/>
    <n v="0"/>
    <m/>
    <n v="0"/>
    <m/>
    <n v="0"/>
    <n v="44903225.000000007"/>
    <n v="0"/>
    <n v="10838"/>
    <n v="0"/>
    <n v="900"/>
    <n v="0"/>
    <n v="0"/>
    <s v=""/>
    <n v="10838"/>
    <s v="2018 (triag)"/>
    <n v="10838"/>
    <s v="2018 (triag)"/>
    <s v=""/>
    <n v="10838"/>
    <n v="10838"/>
    <s v="No change"/>
    <n v="-5.6467842638671772E-2"/>
    <n v="0.17775588866414749"/>
    <n v="14373.664677048611"/>
    <n v="18473.294398416219"/>
    <n v="0"/>
    <n v="2.5849686814038497"/>
    <n v="2.4136351008195955"/>
    <n v="2.4136351008195955"/>
    <x v="1"/>
  </r>
  <r>
    <s v="Algeria"/>
    <x v="12"/>
    <n v="37260572.5"/>
    <x v="5"/>
    <n v="0"/>
    <n v="38000626.500000022"/>
    <n v="0"/>
    <m/>
    <n v="0"/>
    <m/>
    <n v="0"/>
    <m/>
    <n v="0"/>
    <m/>
    <n v="521"/>
    <n v="41927007.000000007"/>
    <n v="836"/>
    <n v="836"/>
    <m/>
    <n v="0"/>
    <m/>
    <n v="0"/>
    <m/>
    <n v="0"/>
    <n v="44903225.000000007"/>
    <n v="0"/>
    <n v="663"/>
    <n v="0"/>
    <n v="836"/>
    <n v="0"/>
    <n v="0"/>
    <s v=""/>
    <n v="836"/>
    <n v="2018"/>
    <n v="836"/>
    <n v="2018"/>
    <s v=""/>
    <n v="836"/>
    <n v="836"/>
    <s v="No change"/>
    <n v="-5.6467842638671772E-2"/>
    <n v="0.17775588866414749"/>
    <n v="879.28950737066157"/>
    <n v="1130.0788140016566"/>
    <n v="0"/>
    <n v="0.19939415184107939"/>
    <n v="0.18617816426325723"/>
    <n v="0.18617816426325723"/>
    <x v="1"/>
  </r>
  <r>
    <s v="Algeria"/>
    <x v="12"/>
    <n v="37260573.5"/>
    <x v="6"/>
    <n v="0"/>
    <n v="38000626.500000022"/>
    <n v="0"/>
    <m/>
    <n v="0"/>
    <m/>
    <n v="0"/>
    <m/>
    <n v="0"/>
    <m/>
    <n v="0"/>
    <n v="41927007.000000007"/>
    <n v="136"/>
    <n v="136"/>
    <m/>
    <n v="0"/>
    <m/>
    <n v="0"/>
    <m/>
    <n v="0"/>
    <n v="44903225.000000007"/>
    <n v="0"/>
    <n v="0"/>
    <n v="0"/>
    <n v="136"/>
    <n v="0"/>
    <n v="0"/>
    <s v=""/>
    <n v="136"/>
    <n v="2018"/>
    <n v="136"/>
    <n v="2018"/>
    <s v=""/>
    <n v="136"/>
    <n v="136"/>
    <s v="No change"/>
    <n v="-5.6467842638671772E-2"/>
    <n v="0.17775588866414749"/>
    <n v="0"/>
    <n v="0"/>
    <n v="0"/>
    <n v="3.243732613682631E-2"/>
    <n v="3.0287356865793043E-2"/>
    <n v="3.0287356865793043E-2"/>
    <x v="1"/>
  </r>
  <r>
    <s v="Algeria"/>
    <x v="12"/>
    <n v="37260574.5"/>
    <x v="7"/>
    <n v="0"/>
    <n v="38000626.500000022"/>
    <n v="0"/>
    <m/>
    <n v="0"/>
    <m/>
    <n v="0"/>
    <m/>
    <n v="0"/>
    <m/>
    <n v="0"/>
    <n v="41927007.000000007"/>
    <n v="2148"/>
    <n v="2227"/>
    <m/>
    <n v="0"/>
    <m/>
    <n v="0"/>
    <m/>
    <n v="0"/>
    <n v="44903225.000000007"/>
    <n v="0"/>
    <n v="2227"/>
    <n v="0"/>
    <n v="2148"/>
    <n v="0"/>
    <n v="0"/>
    <s v=""/>
    <n v="2227"/>
    <s v="2018 (triag)"/>
    <n v="2227"/>
    <s v="2018 (triag)"/>
    <s v=""/>
    <n v="2227"/>
    <n v="2227"/>
    <s v="No change"/>
    <n v="-5.6467842638671772E-2"/>
    <n v="0.17775588866414749"/>
    <n v="2953.5109093732476"/>
    <n v="3795.9057598517184"/>
    <n v="0"/>
    <n v="0.53116121549053086"/>
    <n v="0.49595546867736107"/>
    <n v="0.49595546867736107"/>
    <x v="1"/>
  </r>
  <r>
    <s v="Algeria"/>
    <x v="12"/>
    <n v="37260575.5"/>
    <x v="8"/>
    <n v="0"/>
    <n v="38000626.500000022"/>
    <n v="0"/>
    <m/>
    <n v="0"/>
    <m/>
    <n v="0"/>
    <m/>
    <n v="0"/>
    <m/>
    <n v="0"/>
    <n v="41927007.000000007"/>
    <n v="6245"/>
    <n v="6245"/>
    <m/>
    <n v="0"/>
    <m/>
    <n v="0"/>
    <m/>
    <n v="0"/>
    <n v="44903225.000000007"/>
    <n v="0"/>
    <n v="6176"/>
    <n v="0"/>
    <n v="6245"/>
    <n v="0"/>
    <n v="0"/>
    <s v=""/>
    <n v="6245"/>
    <n v="2018"/>
    <n v="6245"/>
    <n v="2018"/>
    <s v=""/>
    <n v="6245"/>
    <n v="6245"/>
    <s v="No change"/>
    <n v="-5.6467842638671772E-2"/>
    <n v="0.17775588866414749"/>
    <n v="8190.7873265779872"/>
    <n v="10526.948348829912"/>
    <n v="0"/>
    <n v="1.4894933950329436"/>
    <n v="1.3907687031388054"/>
    <n v="1.3907687031388054"/>
    <x v="1"/>
  </r>
  <r>
    <s v="Algeria"/>
    <x v="12"/>
    <n v="37260576.5"/>
    <x v="9"/>
    <n v="0"/>
    <n v="38000626.500000022"/>
    <n v="0"/>
    <m/>
    <n v="0"/>
    <m/>
    <n v="0"/>
    <m/>
    <n v="0"/>
    <m/>
    <n v="0"/>
    <n v="41927007.000000007"/>
    <n v="0"/>
    <n v="610"/>
    <m/>
    <n v="0"/>
    <m/>
    <n v="0"/>
    <m/>
    <n v="0"/>
    <n v="44903225.000000007"/>
    <n v="0"/>
    <n v="610"/>
    <n v="0"/>
    <n v="0"/>
    <n v="0"/>
    <n v="0"/>
    <s v=""/>
    <n v="610"/>
    <s v="2018 (triag)"/>
    <n v="610"/>
    <s v="2018 (triag)"/>
    <s v=""/>
    <n v="610"/>
    <n v="610"/>
    <s v="No change"/>
    <n v="-5.6467842638671772E-2"/>
    <n v="0.17775588866414749"/>
    <n v="808.99939592172473"/>
    <n v="1039.7406885988094"/>
    <n v="0"/>
    <n v="0.14549094811370625"/>
    <n v="0.1358477035892188"/>
    <n v="0.1358477035892188"/>
    <x v="1"/>
  </r>
  <r>
    <s v="Algeria"/>
    <x v="12"/>
    <n v="37260577.5"/>
    <x v="10"/>
    <n v="0"/>
    <n v="38000626.500000022"/>
    <n v="0"/>
    <m/>
    <n v="0"/>
    <m/>
    <n v="0"/>
    <m/>
    <n v="0"/>
    <m/>
    <n v="0"/>
    <n v="41927007.000000007"/>
    <n v="1533"/>
    <n v="1533"/>
    <m/>
    <n v="0"/>
    <m/>
    <n v="0"/>
    <m/>
    <n v="0"/>
    <n v="44903225.000000007"/>
    <n v="0"/>
    <n v="1218"/>
    <n v="0"/>
    <n v="1533"/>
    <n v="0"/>
    <n v="0"/>
    <s v=""/>
    <n v="1533"/>
    <n v="2018"/>
    <n v="1533"/>
    <n v="2018"/>
    <s v=""/>
    <n v="1533"/>
    <n v="1533"/>
    <s v="No change"/>
    <n v="-5.6467842638671772E-2"/>
    <n v="0.17775588866414749"/>
    <n v="1615.3463348076407"/>
    <n v="2076.07239133336"/>
    <n v="0"/>
    <n v="0.36563544829231426"/>
    <n v="0.34140086820044657"/>
    <n v="0.34140086820044657"/>
    <x v="1"/>
  </r>
  <r>
    <s v="Algeria"/>
    <x v="12"/>
    <n v="37260578.5"/>
    <x v="11"/>
    <n v="0"/>
    <n v="38000626.500000022"/>
    <n v="0"/>
    <m/>
    <n v="0"/>
    <m/>
    <n v="0"/>
    <m/>
    <n v="0"/>
    <m/>
    <n v="0"/>
    <n v="41927007.000000007"/>
    <n v="6184"/>
    <n v="76532"/>
    <m/>
    <n v="0"/>
    <m/>
    <n v="0"/>
    <m/>
    <n v="0"/>
    <n v="44903225.000000007"/>
    <n v="0"/>
    <n v="76532"/>
    <n v="0"/>
    <n v="6184"/>
    <n v="0"/>
    <n v="0"/>
    <s v=""/>
    <n v="76532"/>
    <s v="2018 (triag)"/>
    <n v="76532"/>
    <s v="2018 (triag)"/>
    <s v=""/>
    <n v="76532"/>
    <n v="76532"/>
    <s v="No change"/>
    <n v="-5.6467842638671772E-2"/>
    <n v="0.17775588866414749"/>
    <n v="101498.92093226466"/>
    <n v="130448.25308171159"/>
    <n v="0"/>
    <n v="18.253628263996994"/>
    <n v="17.043764673918183"/>
    <n v="17.043764673918183"/>
    <x v="1"/>
  </r>
  <r>
    <s v="Algeria"/>
    <x v="12"/>
    <n v="37260579.5"/>
    <x v="12"/>
    <n v="0"/>
    <n v="38000626.500000022"/>
    <n v="0"/>
    <m/>
    <n v="0"/>
    <m/>
    <n v="0"/>
    <m/>
    <n v="0"/>
    <m/>
    <n v="0"/>
    <n v="41927007.000000007"/>
    <n v="75033"/>
    <n v="75033"/>
    <m/>
    <n v="0"/>
    <m/>
    <n v="0"/>
    <m/>
    <n v="0"/>
    <n v="44903225.000000007"/>
    <n v="0"/>
    <n v="5104"/>
    <n v="0"/>
    <n v="75033"/>
    <n v="0"/>
    <n v="0"/>
    <s v=""/>
    <n v="75033"/>
    <n v="2018"/>
    <n v="75033"/>
    <n v="2018"/>
    <s v=""/>
    <n v="75033"/>
    <n v="75033"/>
    <s v="No change"/>
    <n v="-5.6467842638671772E-2"/>
    <n v="0.17775588866414749"/>
    <n v="6769.0703553843987"/>
    <n v="8699.7319255874136"/>
    <n v="0"/>
    <n v="17.896102147238889"/>
    <n v="16.709935644934188"/>
    <n v="16.709935644934188"/>
    <x v="1"/>
  </r>
  <r>
    <s v="Algeria"/>
    <x v="12"/>
    <n v="37260580.5"/>
    <x v="13"/>
    <n v="0"/>
    <n v="38000626.500000022"/>
    <n v="0"/>
    <m/>
    <n v="0"/>
    <m/>
    <n v="0"/>
    <m/>
    <n v="0"/>
    <m/>
    <n v="0"/>
    <n v="41927007.000000007"/>
    <n v="15238"/>
    <n v="15238"/>
    <m/>
    <n v="0"/>
    <m/>
    <n v="0"/>
    <m/>
    <n v="0"/>
    <n v="44903225.000000007"/>
    <n v="0"/>
    <n v="14548"/>
    <n v="0"/>
    <n v="15238"/>
    <n v="0"/>
    <n v="0"/>
    <s v=""/>
    <n v="15238"/>
    <n v="2018"/>
    <n v="15238"/>
    <n v="2018"/>
    <s v=""/>
    <n v="15238"/>
    <n v="15238"/>
    <s v="No change"/>
    <n v="-5.6467842638671772E-2"/>
    <n v="0.17775588866414749"/>
    <n v="19293.972478474185"/>
    <n v="24796.963176615536"/>
    <n v="0"/>
    <n v="3.6344115858305837"/>
    <n v="3.3935201758893703"/>
    <n v="3.3935201758893703"/>
    <x v="1"/>
  </r>
  <r>
    <s v="Algeria"/>
    <x v="12"/>
    <n v="37260581.5"/>
    <x v="14"/>
    <n v="0"/>
    <n v="38000626.500000022"/>
    <n v="0"/>
    <m/>
    <n v="0"/>
    <m/>
    <n v="0"/>
    <m/>
    <n v="0"/>
    <m/>
    <n v="0"/>
    <n v="41927007.000000007"/>
    <n v="365"/>
    <n v="365"/>
    <m/>
    <n v="128823"/>
    <m/>
    <n v="0"/>
    <m/>
    <n v="0"/>
    <n v="44903225.000000007"/>
    <n v="0"/>
    <n v="279"/>
    <n v="0"/>
    <n v="128823"/>
    <n v="0"/>
    <n v="0"/>
    <s v=""/>
    <n v="365"/>
    <n v="2018"/>
    <n v="128823"/>
    <n v="2018"/>
    <s v=""/>
    <n v="128823"/>
    <n v="128823"/>
    <s v="Increasing"/>
    <n v="-5.6467842638671772E-2"/>
    <n v="0.17775588866414749"/>
    <n v="370.01775649534625"/>
    <n v="475.55352806404557"/>
    <n v="0"/>
    <n v="8.7056059117217671E-2"/>
    <n v="28.689030687662186"/>
    <n v="28.689030687662186"/>
    <x v="1"/>
  </r>
  <r>
    <s v="Algeria"/>
    <x v="12"/>
    <n v="37260582.5"/>
    <x v="15"/>
    <n v="0"/>
    <n v="38000626.500000022"/>
    <n v="0"/>
    <m/>
    <n v="0"/>
    <m/>
    <n v="0"/>
    <m/>
    <n v="0"/>
    <m/>
    <n v="0"/>
    <n v="41927007.000000007"/>
    <n v="1971"/>
    <n v="1971"/>
    <m/>
    <n v="0"/>
    <m/>
    <n v="0"/>
    <m/>
    <n v="0"/>
    <n v="44903225.000000007"/>
    <n v="0"/>
    <n v="1827"/>
    <n v="0"/>
    <n v="1971"/>
    <n v="0"/>
    <n v="0"/>
    <s v=""/>
    <n v="1971"/>
    <n v="2018"/>
    <n v="1971"/>
    <n v="2018"/>
    <s v=""/>
    <n v="1971"/>
    <n v="1971"/>
    <s v="No change"/>
    <n v="-5.6467842638671772E-2"/>
    <n v="0.17775588866414749"/>
    <n v="2423.0195022114608"/>
    <n v="3114.1085870000402"/>
    <n v="0"/>
    <n v="0.47010271923297547"/>
    <n v="0.43894397340057417"/>
    <n v="0.43894397340057417"/>
    <x v="1"/>
  </r>
  <r>
    <s v="Algeria"/>
    <x v="12"/>
    <n v="37260583.5"/>
    <x v="16"/>
    <n v="0"/>
    <n v="38000626.500000022"/>
    <n v="0"/>
    <m/>
    <n v="0"/>
    <m/>
    <n v="0"/>
    <m/>
    <n v="0"/>
    <m/>
    <n v="0"/>
    <n v="41927007.000000007"/>
    <n v="0"/>
    <n v="0"/>
    <m/>
    <n v="0"/>
    <m/>
    <n v="0"/>
    <m/>
    <n v="0"/>
    <n v="44903225.000000007"/>
    <n v="0"/>
    <n v="0"/>
    <n v="0"/>
    <n v="0"/>
    <n v="0"/>
    <n v="0"/>
    <s v=""/>
    <n v="0"/>
    <s v=""/>
    <n v="0"/>
    <s v=""/>
    <s v=""/>
    <n v="0"/>
    <n v="0"/>
    <s v="No change"/>
    <n v="-5.6467842638671772E-2"/>
    <n v="0.17775588866414749"/>
    <n v="0"/>
    <n v="0"/>
    <n v="0"/>
    <n v="0"/>
    <n v="0"/>
    <n v="0"/>
    <x v="1"/>
  </r>
  <r>
    <s v="Algeria"/>
    <x v="12"/>
    <n v="37260584.5"/>
    <x v="17"/>
    <n v="0"/>
    <n v="38000626.500000022"/>
    <n v="0"/>
    <m/>
    <n v="0"/>
    <m/>
    <n v="0"/>
    <m/>
    <n v="0"/>
    <m/>
    <n v="0"/>
    <n v="41927007.000000007"/>
    <n v="0"/>
    <n v="0"/>
    <m/>
    <n v="0"/>
    <m/>
    <n v="0"/>
    <m/>
    <n v="0"/>
    <n v="44903225.000000007"/>
    <n v="0"/>
    <n v="0"/>
    <n v="0"/>
    <n v="0"/>
    <n v="0"/>
    <n v="0"/>
    <s v=""/>
    <n v="0"/>
    <s v=""/>
    <n v="0"/>
    <s v=""/>
    <s v=""/>
    <n v="0"/>
    <n v="0"/>
    <s v="No change"/>
    <n v="-5.6467842638671772E-2"/>
    <n v="0.17775588866414749"/>
    <n v="0"/>
    <n v="0"/>
    <n v="0"/>
    <n v="0"/>
    <n v="0"/>
    <n v="0"/>
    <x v="1"/>
  </r>
  <r>
    <s v="Algeria"/>
    <x v="12"/>
    <n v="37260585.5"/>
    <x v="18"/>
    <n v="0"/>
    <n v="38000626.500000022"/>
    <n v="0"/>
    <m/>
    <n v="0"/>
    <m/>
    <n v="0"/>
    <m/>
    <n v="0"/>
    <m/>
    <n v="0"/>
    <n v="41927007.000000007"/>
    <n v="0"/>
    <n v="1"/>
    <m/>
    <n v="0"/>
    <m/>
    <n v="0"/>
    <m/>
    <n v="0"/>
    <n v="44903225.000000007"/>
    <n v="0"/>
    <n v="1"/>
    <n v="0"/>
    <n v="0"/>
    <n v="0"/>
    <n v="0"/>
    <s v=""/>
    <n v="1"/>
    <s v="2018 (triag)"/>
    <n v="1"/>
    <s v="2018 (triag)"/>
    <s v=""/>
    <n v="1"/>
    <n v="1"/>
    <s v="No change"/>
    <n v="-5.6467842638671772E-2"/>
    <n v="0.17775588866414749"/>
    <n v="1.3262285179044668"/>
    <n v="1.7044929321291955"/>
    <n v="0"/>
    <n v="2.3850975100607583E-4"/>
    <n v="2.2270115342494883E-4"/>
    <n v="2.2270115342494883E-4"/>
    <x v="1"/>
  </r>
  <r>
    <s v="Eritrea"/>
    <x v="13"/>
    <n v="3252601"/>
    <x v="0"/>
    <n v="0"/>
    <n v="3296367"/>
    <n v="0"/>
    <m/>
    <n v="0"/>
    <m/>
    <n v="0"/>
    <m/>
    <n v="0"/>
    <m/>
    <n v="0"/>
    <n v="3445374.4999999986"/>
    <n v="243"/>
    <n v="243"/>
    <m/>
    <n v="0"/>
    <m/>
    <n v="6000"/>
    <m/>
    <n v="2626"/>
    <n v="3684031.5000000019"/>
    <n v="2626"/>
    <n v="243"/>
    <n v="0"/>
    <n v="243"/>
    <n v="6000"/>
    <n v="0"/>
    <s v=""/>
    <n v="243"/>
    <n v="2018"/>
    <n v="2626"/>
    <n v="2021"/>
    <s v=""/>
    <n v="2626"/>
    <n v="2626"/>
    <s v="Increasing"/>
    <n v="-2.2233181875670249E-2"/>
    <n v="0.11702326021234755"/>
    <n v="271.57201497238668"/>
    <n v="345.20250780713275"/>
    <n v="0"/>
    <n v="0.70529343036584291"/>
    <n v="7.1280606585475681"/>
    <n v="7.1280606585475681"/>
    <x v="1"/>
  </r>
  <r>
    <s v="Eritrea"/>
    <x v="13"/>
    <n v="3252602"/>
    <x v="1"/>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ritrea"/>
    <x v="13"/>
    <n v="3252603"/>
    <x v="2"/>
    <n v="0"/>
    <n v="3296367"/>
    <n v="0"/>
    <m/>
    <n v="0"/>
    <m/>
    <n v="0"/>
    <m/>
    <n v="0"/>
    <m/>
    <n v="0"/>
    <n v="3445374.4999999986"/>
    <n v="0"/>
    <n v="243"/>
    <m/>
    <n v="0"/>
    <m/>
    <n v="0"/>
    <m/>
    <n v="0"/>
    <n v="3684031.5000000019"/>
    <n v="0"/>
    <n v="243"/>
    <n v="0"/>
    <n v="0"/>
    <n v="0"/>
    <n v="0"/>
    <s v=""/>
    <n v="243"/>
    <s v="2018 (triag)"/>
    <n v="243"/>
    <s v="2018 (triag)"/>
    <s v=""/>
    <n v="243"/>
    <n v="243"/>
    <s v="No change"/>
    <n v="-2.2233181875670249E-2"/>
    <n v="0.11702326021234755"/>
    <n v="271.57201497238668"/>
    <n v="345.20250780713275"/>
    <n v="0"/>
    <n v="0.70529343036584291"/>
    <n v="0.65960348058913143"/>
    <n v="0.65960348058913143"/>
    <x v="1"/>
  </r>
  <r>
    <s v="Eritrea"/>
    <x v="13"/>
    <n v="3252604"/>
    <x v="3"/>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ritrea"/>
    <x v="13"/>
    <n v="3252605"/>
    <x v="4"/>
    <n v="0"/>
    <n v="3296367"/>
    <n v="0"/>
    <m/>
    <n v="0"/>
    <m/>
    <n v="0"/>
    <m/>
    <n v="0"/>
    <m/>
    <n v="0"/>
    <n v="3445374.4999999986"/>
    <n v="0"/>
    <n v="0"/>
    <m/>
    <n v="0"/>
    <m/>
    <n v="0"/>
    <m/>
    <n v="0"/>
    <n v="3684031.5000000019"/>
    <n v="381"/>
    <n v="0"/>
    <n v="0"/>
    <n v="0"/>
    <n v="381"/>
    <n v="0"/>
    <s v=""/>
    <n v="0"/>
    <s v=""/>
    <n v="381"/>
    <n v="2022"/>
    <s v=""/>
    <n v="381"/>
    <n v="381"/>
    <s v="Increasing"/>
    <n v="-2.2233181875670249E-2"/>
    <n v="0.11702326021234755"/>
    <n v="0"/>
    <n v="0"/>
    <n v="0"/>
    <n v="0"/>
    <n v="1.0341931115409839"/>
    <n v="1.0341931115409839"/>
    <x v="1"/>
  </r>
  <r>
    <s v="Eritrea"/>
    <x v="13"/>
    <n v="3252606"/>
    <x v="5"/>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ritrea"/>
    <x v="13"/>
    <n v="3252607"/>
    <x v="6"/>
    <n v="0"/>
    <n v="3296367"/>
    <n v="0"/>
    <m/>
    <n v="0"/>
    <m/>
    <n v="0"/>
    <m/>
    <n v="0"/>
    <m/>
    <n v="0"/>
    <n v="3445374.4999999986"/>
    <n v="549"/>
    <n v="549"/>
    <m/>
    <n v="0"/>
    <m/>
    <n v="0"/>
    <m/>
    <n v="298"/>
    <n v="3684031.5000000019"/>
    <n v="296"/>
    <n v="0"/>
    <n v="0"/>
    <n v="549"/>
    <n v="298"/>
    <n v="0"/>
    <s v=""/>
    <n v="549"/>
    <n v="2018"/>
    <n v="296"/>
    <n v="2022"/>
    <s v="Adjust"/>
    <n v="340.19239871884287"/>
    <n v="549"/>
    <s v="Decreasing"/>
    <n v="-2.2233181875670249E-2"/>
    <n v="0.11702326021234755"/>
    <n v="0"/>
    <n v="0"/>
    <n v="0"/>
    <n v="1.5934407130487562"/>
    <n v="0.92342423977331001"/>
    <n v="1.4902152709606302"/>
    <x v="0"/>
  </r>
  <r>
    <s v="Eritrea"/>
    <x v="13"/>
    <n v="3252608"/>
    <x v="7"/>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ritrea"/>
    <x v="13"/>
    <n v="3252609"/>
    <x v="8"/>
    <n v="0"/>
    <n v="3296367"/>
    <n v="0"/>
    <m/>
    <n v="0"/>
    <m/>
    <n v="0"/>
    <m/>
    <n v="0"/>
    <m/>
    <n v="0"/>
    <n v="3445374.4999999986"/>
    <n v="0"/>
    <n v="113"/>
    <m/>
    <n v="0"/>
    <m/>
    <n v="0"/>
    <m/>
    <n v="137"/>
    <n v="3684031.5000000019"/>
    <n v="141"/>
    <n v="113"/>
    <n v="0"/>
    <n v="0"/>
    <n v="141"/>
    <n v="0"/>
    <s v=""/>
    <n v="113"/>
    <s v="2018 (triag)"/>
    <n v="141"/>
    <n v="2022"/>
    <s v=""/>
    <n v="141"/>
    <n v="141"/>
    <s v="Increasing"/>
    <n v="-2.2233181875670249E-2"/>
    <n v="0.11702326021234755"/>
    <n v="126.28657486370246"/>
    <n v="160.52626906257615"/>
    <n v="0"/>
    <n v="0.32797595733061835"/>
    <n v="0.3827328837986318"/>
    <n v="0.3827328837986318"/>
    <x v="1"/>
  </r>
  <r>
    <s v="Eritrea"/>
    <x v="13"/>
    <n v="3252610"/>
    <x v="9"/>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ritrea"/>
    <x v="13"/>
    <n v="3252611"/>
    <x v="10"/>
    <n v="0"/>
    <n v="3296367"/>
    <n v="0"/>
    <m/>
    <n v="0"/>
    <m/>
    <n v="0"/>
    <m/>
    <n v="0"/>
    <m/>
    <n v="0"/>
    <n v="3445374.4999999986"/>
    <n v="0"/>
    <n v="86"/>
    <m/>
    <n v="0"/>
    <m/>
    <n v="0"/>
    <m/>
    <n v="99"/>
    <n v="3684031.5000000019"/>
    <n v="96"/>
    <n v="86"/>
    <n v="0"/>
    <n v="0"/>
    <n v="99"/>
    <n v="0"/>
    <s v=""/>
    <n v="86"/>
    <s v="2018 (triag)"/>
    <n v="96"/>
    <n v="2022"/>
    <s v=""/>
    <n v="96"/>
    <n v="96"/>
    <s v="Increasing"/>
    <n v="-2.2233181875670249E-2"/>
    <n v="0.11702326021234755"/>
    <n v="96.111906533437264"/>
    <n v="122.17043486178362"/>
    <n v="0"/>
    <n v="0.24961002062330245"/>
    <n v="0.26058409109694081"/>
    <n v="0.26058409109694081"/>
    <x v="1"/>
  </r>
  <r>
    <s v="Eritrea"/>
    <x v="13"/>
    <n v="3252612"/>
    <x v="11"/>
    <n v="0"/>
    <n v="3296367"/>
    <n v="0"/>
    <m/>
    <n v="0"/>
    <m/>
    <n v="0"/>
    <m/>
    <n v="0"/>
    <m/>
    <n v="0"/>
    <n v="3445374.4999999986"/>
    <n v="0"/>
    <n v="3563"/>
    <m/>
    <n v="0"/>
    <m/>
    <n v="0"/>
    <m/>
    <n v="0"/>
    <n v="3684031.5000000019"/>
    <n v="0"/>
    <n v="3563"/>
    <n v="0"/>
    <n v="0"/>
    <n v="0"/>
    <n v="0"/>
    <s v=""/>
    <n v="3563"/>
    <s v="2018 (triag)"/>
    <n v="3563"/>
    <s v="2018 (triag)"/>
    <s v=""/>
    <n v="3563"/>
    <n v="3563"/>
    <s v="No change"/>
    <n v="-2.2233181875670249E-2"/>
    <n v="0.11702326021234755"/>
    <n v="3981.9386392864762"/>
    <n v="5061.549528052733"/>
    <n v="0"/>
    <n v="10.341401203265425"/>
    <n v="9.6714699643583337"/>
    <n v="9.6714699643583337"/>
    <x v="1"/>
  </r>
  <r>
    <s v="Eritrea"/>
    <x v="13"/>
    <n v="3252613"/>
    <x v="12"/>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ritrea"/>
    <x v="13"/>
    <n v="3252614"/>
    <x v="13"/>
    <n v="0"/>
    <n v="3296367"/>
    <n v="0"/>
    <m/>
    <n v="0"/>
    <m/>
    <n v="0"/>
    <m/>
    <n v="0"/>
    <m/>
    <n v="0"/>
    <n v="3445374.4999999986"/>
    <n v="0"/>
    <n v="549"/>
    <m/>
    <n v="0"/>
    <m/>
    <n v="0"/>
    <m/>
    <n v="267"/>
    <n v="3684031.5000000019"/>
    <n v="267"/>
    <n v="549"/>
    <n v="0"/>
    <n v="0"/>
    <n v="267"/>
    <n v="0"/>
    <s v=""/>
    <n v="549"/>
    <s v="2018 (triag)"/>
    <n v="267"/>
    <n v="2021"/>
    <s v="Adjust"/>
    <n v="306.86273803355084"/>
    <n v="549"/>
    <s v="Decreasing"/>
    <n v="-2.2233181875670249E-2"/>
    <n v="0.11702326021234755"/>
    <n v="613.55158938205886"/>
    <n v="779.90196208278144"/>
    <n v="0"/>
    <n v="1.5934407130487562"/>
    <n v="0.83295362168741138"/>
    <n v="1.4902152709606302"/>
    <x v="0"/>
  </r>
  <r>
    <s v="Eritrea"/>
    <x v="13"/>
    <n v="3252615"/>
    <x v="14"/>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ritrea"/>
    <x v="13"/>
    <n v="3252616"/>
    <x v="15"/>
    <n v="0"/>
    <n v="3296367"/>
    <n v="0"/>
    <m/>
    <n v="0"/>
    <m/>
    <n v="0"/>
    <m/>
    <n v="0"/>
    <m/>
    <n v="0"/>
    <n v="3445374.4999999986"/>
    <n v="0"/>
    <n v="137"/>
    <m/>
    <n v="0"/>
    <m/>
    <n v="0"/>
    <m/>
    <n v="131"/>
    <n v="3684031.5000000019"/>
    <n v="130"/>
    <n v="137"/>
    <n v="0"/>
    <n v="0"/>
    <n v="131"/>
    <n v="0"/>
    <s v=""/>
    <n v="137"/>
    <s v="2018 (triag)"/>
    <n v="130"/>
    <n v="2022"/>
    <s v="Adjust"/>
    <n v="149.40882376165396"/>
    <n v="149.40882376165396"/>
    <s v="Increasing"/>
    <n v="-2.2233181875670249E-2"/>
    <n v="0.11702326021234755"/>
    <n v="153.10850226838261"/>
    <n v="194.62034390772507"/>
    <n v="0"/>
    <n v="0.39763456773712136"/>
    <n v="0.40555794314368349"/>
    <n v="0.40555794314368349"/>
    <x v="1"/>
  </r>
  <r>
    <s v="Eritrea"/>
    <x v="13"/>
    <n v="3252617"/>
    <x v="16"/>
    <n v="0"/>
    <n v="3296367"/>
    <n v="0"/>
    <m/>
    <n v="0"/>
    <m/>
    <n v="0"/>
    <m/>
    <n v="0"/>
    <m/>
    <n v="0"/>
    <n v="3445374.4999999986"/>
    <n v="0"/>
    <n v="0"/>
    <m/>
    <n v="0"/>
    <m/>
    <n v="0"/>
    <m/>
    <n v="6"/>
    <n v="3684031.5000000019"/>
    <n v="6"/>
    <n v="0"/>
    <n v="0"/>
    <n v="0"/>
    <n v="6"/>
    <n v="0"/>
    <s v=""/>
    <n v="0"/>
    <s v=""/>
    <n v="6"/>
    <n v="2021"/>
    <s v=""/>
    <n v="6"/>
    <n v="6"/>
    <s v="Increasing"/>
    <n v="-2.2233181875670249E-2"/>
    <n v="0.11702326021234755"/>
    <n v="0"/>
    <n v="0"/>
    <n v="0"/>
    <n v="0"/>
    <n v="1.62865056935588E-2"/>
    <n v="1.62865056935588E-2"/>
    <x v="1"/>
  </r>
  <r>
    <s v="Eritrea"/>
    <x v="13"/>
    <n v="3252618"/>
    <x v="17"/>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ritrea"/>
    <x v="13"/>
    <n v="3252619"/>
    <x v="18"/>
    <n v="0"/>
    <n v="3296367"/>
    <n v="0"/>
    <m/>
    <n v="0"/>
    <m/>
    <n v="0"/>
    <m/>
    <n v="0"/>
    <m/>
    <n v="0"/>
    <n v="3445374.4999999986"/>
    <n v="0"/>
    <n v="0"/>
    <m/>
    <n v="0"/>
    <m/>
    <n v="0"/>
    <m/>
    <n v="0"/>
    <n v="3684031.5000000019"/>
    <n v="0"/>
    <n v="0"/>
    <n v="0"/>
    <n v="0"/>
    <n v="0"/>
    <n v="0"/>
    <s v=""/>
    <n v="0"/>
    <s v=""/>
    <n v="0"/>
    <s v=""/>
    <s v=""/>
    <n v="0"/>
    <n v="0"/>
    <s v="No change"/>
    <n v="-2.2233181875670249E-2"/>
    <n v="0.11702326021234755"/>
    <n v="0"/>
    <n v="0"/>
    <n v="0"/>
    <n v="0"/>
    <n v="0"/>
    <n v="0"/>
    <x v="1"/>
  </r>
  <r>
    <s v="Ethiopia"/>
    <x v="14"/>
    <n v="94451284.500000104"/>
    <x v="0"/>
    <n v="0"/>
    <n v="97084366.00000003"/>
    <n v="0"/>
    <m/>
    <n v="0"/>
    <m/>
    <n v="0"/>
    <m/>
    <n v="0"/>
    <m/>
    <n v="0"/>
    <n v="111129438.00000001"/>
    <n v="37259"/>
    <n v="37259"/>
    <m/>
    <n v="0"/>
    <m/>
    <n v="42630"/>
    <m/>
    <n v="42630"/>
    <n v="123379924.50000004"/>
    <n v="41101"/>
    <n v="37259"/>
    <n v="0"/>
    <n v="37259"/>
    <n v="42630"/>
    <n v="0"/>
    <s v=""/>
    <n v="37259"/>
    <n v="2018"/>
    <n v="41101"/>
    <n v="2022"/>
    <s v=""/>
    <n v="41101"/>
    <n v="41101"/>
    <s v="Increasing"/>
    <n v="-4.0290808124875621E-2"/>
    <n v="7.5715887821594663E-2"/>
    <n v="45574.464334664714"/>
    <n v="46760.610373559291"/>
    <n v="0"/>
    <n v="3.352756989556628"/>
    <n v="3.3312550778874876"/>
    <n v="3.3312550778874876"/>
    <x v="1"/>
  </r>
  <r>
    <s v="Ethiopia"/>
    <x v="14"/>
    <n v="94451285.500000104"/>
    <x v="1"/>
    <n v="50"/>
    <n v="97084366.00000003"/>
    <n v="0"/>
    <m/>
    <n v="0"/>
    <m/>
    <n v="35"/>
    <m/>
    <n v="0"/>
    <m/>
    <n v="0"/>
    <n v="111129438.00000001"/>
    <n v="1385"/>
    <n v="1385"/>
    <m/>
    <n v="0"/>
    <m/>
    <n v="0"/>
    <m/>
    <n v="0"/>
    <n v="123379924.50000004"/>
    <n v="0"/>
    <n v="147"/>
    <n v="50"/>
    <n v="1385"/>
    <n v="0"/>
    <n v="50"/>
    <n v="2012"/>
    <n v="1385"/>
    <n v="2018"/>
    <n v="1385"/>
    <n v="2018"/>
    <s v=""/>
    <n v="1385"/>
    <n v="1385"/>
    <s v="No change"/>
    <n v="-4.0290808124875621E-2"/>
    <n v="7.5715887821594663E-2"/>
    <n v="179.80746281960637"/>
    <n v="184.48723059967298"/>
    <n v="5.1501598104889499E-3"/>
    <n v="0.12462944337035159"/>
    <n v="0.11225489119179996"/>
    <n v="0.11225489119179996"/>
    <x v="1"/>
  </r>
  <r>
    <s v="Ethiopia"/>
    <x v="14"/>
    <n v="94451286.500000104"/>
    <x v="2"/>
    <n v="461"/>
    <n v="97084366.00000003"/>
    <n v="0"/>
    <m/>
    <n v="2970"/>
    <m/>
    <n v="0"/>
    <m/>
    <n v="64"/>
    <m/>
    <n v="0"/>
    <n v="111129438.00000001"/>
    <n v="665"/>
    <n v="2662"/>
    <m/>
    <n v="0"/>
    <m/>
    <n v="1234"/>
    <m/>
    <n v="0"/>
    <n v="123379924.50000004"/>
    <n v="5410"/>
    <n v="2662"/>
    <n v="2970"/>
    <n v="665"/>
    <n v="5410"/>
    <n v="461"/>
    <n v="2012"/>
    <n v="2662"/>
    <s v="2018 (triag)"/>
    <n v="5410"/>
    <n v="2022"/>
    <s v=""/>
    <n v="5410"/>
    <n v="5410"/>
    <s v="Increasing"/>
    <n v="-4.0290808124875621E-2"/>
    <n v="7.5715887821594663E-2"/>
    <n v="3256.1052110598102"/>
    <n v="3340.8503935804729"/>
    <n v="4.748447345270812E-2"/>
    <n v="0.2395404897125458"/>
    <n v="0.438483004583132"/>
    <n v="0.438483004583132"/>
    <x v="1"/>
  </r>
  <r>
    <s v="Ethiopia"/>
    <x v="14"/>
    <n v="94451287.500000104"/>
    <x v="3"/>
    <n v="0"/>
    <n v="97084366.00000003"/>
    <n v="0"/>
    <m/>
    <n v="0"/>
    <m/>
    <n v="0"/>
    <m/>
    <n v="0"/>
    <m/>
    <n v="0"/>
    <n v="111129438.00000001"/>
    <n v="0"/>
    <n v="0"/>
    <m/>
    <n v="0"/>
    <m/>
    <n v="0"/>
    <m/>
    <n v="0"/>
    <n v="123379924.50000004"/>
    <n v="0"/>
    <n v="0"/>
    <n v="0"/>
    <n v="0"/>
    <n v="0"/>
    <n v="0"/>
    <s v=""/>
    <n v="0"/>
    <s v=""/>
    <n v="0"/>
    <s v=""/>
    <s v=""/>
    <n v="0"/>
    <n v="0"/>
    <s v="No change"/>
    <n v="-4.0290808124875621E-2"/>
    <n v="7.5715887821594663E-2"/>
    <n v="0"/>
    <n v="0"/>
    <n v="0"/>
    <n v="0"/>
    <n v="0"/>
    <n v="0"/>
    <x v="1"/>
  </r>
  <r>
    <s v="Ethiopia"/>
    <x v="14"/>
    <n v="94451288.500000104"/>
    <x v="4"/>
    <n v="0"/>
    <n v="97084366.00000003"/>
    <n v="0"/>
    <m/>
    <n v="0"/>
    <m/>
    <n v="0"/>
    <m/>
    <n v="0"/>
    <m/>
    <n v="0"/>
    <n v="111129438.00000001"/>
    <n v="0"/>
    <n v="4365"/>
    <m/>
    <n v="0"/>
    <m/>
    <n v="0"/>
    <m/>
    <n v="0"/>
    <n v="123379924.50000004"/>
    <n v="0"/>
    <n v="4365"/>
    <n v="0"/>
    <n v="0"/>
    <n v="0"/>
    <n v="0"/>
    <s v=""/>
    <n v="4365"/>
    <s v="2018 (triag)"/>
    <n v="4365"/>
    <s v="2018 (triag)"/>
    <s v=""/>
    <n v="4365"/>
    <n v="4365"/>
    <s v="No change"/>
    <n v="-4.0290808124875621E-2"/>
    <n v="7.5715887821594663E-2"/>
    <n v="5339.1807837250462"/>
    <n v="5478.1412351535555"/>
    <n v="0"/>
    <n v="0.39278521322136078"/>
    <n v="0.35378527079581723"/>
    <n v="0.35378527079581723"/>
    <x v="1"/>
  </r>
  <r>
    <s v="Ethiopia"/>
    <x v="14"/>
    <n v="94451289.500000104"/>
    <x v="5"/>
    <n v="0"/>
    <n v="97084366.00000003"/>
    <n v="0"/>
    <m/>
    <n v="0"/>
    <m/>
    <n v="0"/>
    <m/>
    <n v="0"/>
    <m/>
    <n v="0"/>
    <n v="111129438.00000001"/>
    <n v="0"/>
    <n v="52"/>
    <m/>
    <n v="0"/>
    <m/>
    <n v="22"/>
    <m/>
    <n v="17"/>
    <n v="123379924.50000004"/>
    <n v="130"/>
    <n v="52"/>
    <n v="0"/>
    <n v="0"/>
    <n v="130"/>
    <n v="0"/>
    <s v=""/>
    <n v="52"/>
    <s v="2018 (triag)"/>
    <n v="130"/>
    <n v="2022"/>
    <s v=""/>
    <n v="130"/>
    <n v="130"/>
    <s v="Increasing"/>
    <n v="-4.0290808124875621E-2"/>
    <n v="7.5715887821594663E-2"/>
    <n v="63.605360997411772"/>
    <n v="65.260789055666635"/>
    <n v="0"/>
    <n v="4.6792281987424423E-3"/>
    <n v="1.0536560184067867E-2"/>
    <n v="1.0536560184067867E-2"/>
    <x v="1"/>
  </r>
  <r>
    <s v="Ethiopia"/>
    <x v="14"/>
    <n v="94451290.500000104"/>
    <x v="6"/>
    <n v="0"/>
    <n v="97084366.00000003"/>
    <n v="0"/>
    <m/>
    <n v="0"/>
    <m/>
    <n v="0"/>
    <m/>
    <n v="0"/>
    <m/>
    <n v="0"/>
    <n v="111129438.00000001"/>
    <n v="10450"/>
    <n v="10450"/>
    <m/>
    <n v="0"/>
    <m/>
    <n v="8005"/>
    <m/>
    <n v="0"/>
    <n v="123379924.50000004"/>
    <n v="23757"/>
    <n v="672"/>
    <n v="0"/>
    <n v="10450"/>
    <n v="23757"/>
    <n v="0"/>
    <s v=""/>
    <n v="10450"/>
    <n v="2018"/>
    <n v="23757"/>
    <n v="2022"/>
    <s v=""/>
    <n v="23757"/>
    <n v="23757"/>
    <s v="Increasing"/>
    <n v="-4.0290808124875621E-2"/>
    <n v="7.5715887821594663E-2"/>
    <n v="821.97697288962911"/>
    <n v="843.37019702707653"/>
    <n v="0"/>
    <n v="0.94034489763189466"/>
    <n v="1.9255158484069255"/>
    <n v="1.9255158484069255"/>
    <x v="1"/>
  </r>
  <r>
    <s v="Ethiopia"/>
    <x v="14"/>
    <n v="94451291.500000104"/>
    <x v="7"/>
    <n v="0"/>
    <n v="97084366.00000003"/>
    <n v="0"/>
    <m/>
    <n v="0"/>
    <m/>
    <n v="0"/>
    <m/>
    <n v="0"/>
    <m/>
    <n v="0"/>
    <n v="111129438.00000001"/>
    <n v="0"/>
    <n v="11536"/>
    <m/>
    <n v="0"/>
    <m/>
    <n v="0"/>
    <m/>
    <n v="0"/>
    <n v="123379924.50000004"/>
    <n v="0"/>
    <n v="11536"/>
    <n v="0"/>
    <n v="0"/>
    <n v="0"/>
    <n v="0"/>
    <s v=""/>
    <n v="11536"/>
    <s v="2018 (triag)"/>
    <n v="11536"/>
    <s v="2018 (triag)"/>
    <s v=""/>
    <n v="11536"/>
    <n v="11536"/>
    <s v="No change"/>
    <n v="-4.0290808124875621E-2"/>
    <n v="7.5715887821594663E-2"/>
    <n v="14110.604701271966"/>
    <n v="14477.855048964815"/>
    <n v="0"/>
    <n v="1.0380687788594771"/>
    <n v="0.93499814064159159"/>
    <n v="0.93499814064159159"/>
    <x v="1"/>
  </r>
  <r>
    <s v="Ethiopia"/>
    <x v="14"/>
    <n v="94451292.500000104"/>
    <x v="8"/>
    <n v="0"/>
    <n v="97084366.00000003"/>
    <n v="0"/>
    <m/>
    <n v="0"/>
    <m/>
    <n v="0"/>
    <m/>
    <n v="0"/>
    <m/>
    <n v="0"/>
    <n v="111129438.00000001"/>
    <n v="0"/>
    <n v="1041"/>
    <m/>
    <n v="0"/>
    <m/>
    <n v="0"/>
    <m/>
    <n v="0"/>
    <n v="123379924.50000004"/>
    <n v="2513"/>
    <n v="1041"/>
    <n v="0"/>
    <n v="0"/>
    <n v="2513"/>
    <n v="0"/>
    <s v=""/>
    <n v="1041"/>
    <s v="2018 (triag)"/>
    <n v="2513"/>
    <n v="2022"/>
    <s v=""/>
    <n v="2513"/>
    <n v="2513"/>
    <s v="Increasing"/>
    <n v="-4.0290808124875621E-2"/>
    <n v="7.5715887821594663E-2"/>
    <n v="1273.3303999674165"/>
    <n v="1306.4707962874802"/>
    <n v="0"/>
    <n v="9.3674549132516965E-2"/>
    <n v="0.20367981340432731"/>
    <n v="0.20367981340432731"/>
    <x v="1"/>
  </r>
  <r>
    <s v="Ethiopia"/>
    <x v="14"/>
    <n v="94451293.500000104"/>
    <x v="9"/>
    <n v="0"/>
    <n v="97084366.00000003"/>
    <n v="0"/>
    <m/>
    <n v="0"/>
    <m/>
    <n v="0"/>
    <m/>
    <n v="0"/>
    <m/>
    <n v="0"/>
    <n v="111129438.00000001"/>
    <n v="0"/>
    <n v="2953"/>
    <m/>
    <n v="0"/>
    <m/>
    <n v="0"/>
    <m/>
    <n v="0"/>
    <n v="123379924.50000004"/>
    <n v="0"/>
    <n v="2953"/>
    <n v="0"/>
    <n v="0"/>
    <n v="0"/>
    <n v="0"/>
    <s v=""/>
    <n v="2953"/>
    <s v="2018 (triag)"/>
    <n v="2953"/>
    <s v="2018 (triag)"/>
    <s v=""/>
    <n v="2953"/>
    <n v="2953"/>
    <s v="No change"/>
    <n v="-4.0290808124875621E-2"/>
    <n v="7.5715887821594663E-2"/>
    <n v="3612.0505966414803"/>
    <n v="3706.0598092573764"/>
    <n v="0"/>
    <n v="0.26572617059396986"/>
    <n v="0.23934201710424932"/>
    <n v="0.23934201710424932"/>
    <x v="1"/>
  </r>
  <r>
    <s v="Ethiopia"/>
    <x v="14"/>
    <n v="94451294.500000104"/>
    <x v="10"/>
    <n v="0"/>
    <n v="97084366.00000003"/>
    <n v="0"/>
    <m/>
    <n v="0"/>
    <m/>
    <n v="0"/>
    <m/>
    <n v="0"/>
    <m/>
    <n v="0"/>
    <n v="111129438.00000001"/>
    <n v="0"/>
    <n v="330"/>
    <m/>
    <n v="0"/>
    <m/>
    <n v="654"/>
    <m/>
    <n v="567"/>
    <n v="123379924.50000004"/>
    <n v="674"/>
    <n v="330"/>
    <n v="0"/>
    <n v="0"/>
    <n v="674"/>
    <n v="0"/>
    <s v=""/>
    <n v="330"/>
    <s v="2018 (triag)"/>
    <n v="674"/>
    <n v="2022"/>
    <s v=""/>
    <n v="674"/>
    <n v="674"/>
    <s v="Increasing"/>
    <n v="-4.0290808124875621E-2"/>
    <n v="7.5715887821594663E-2"/>
    <n v="403.64940632972855"/>
    <n v="414.15500746865365"/>
    <n v="0"/>
    <n v="2.9695102030480883E-2"/>
    <n v="5.4628012031244171E-2"/>
    <n v="5.4628012031244171E-2"/>
    <x v="1"/>
  </r>
  <r>
    <s v="Ethiopia"/>
    <x v="14"/>
    <n v="94451295.500000104"/>
    <x v="11"/>
    <n v="0"/>
    <n v="97084366.00000003"/>
    <n v="0"/>
    <m/>
    <n v="0"/>
    <m/>
    <n v="0"/>
    <m/>
    <n v="0"/>
    <m/>
    <n v="0"/>
    <n v="111129438.00000001"/>
    <n v="0"/>
    <n v="73174"/>
    <m/>
    <n v="0"/>
    <m/>
    <n v="0"/>
    <m/>
    <n v="0"/>
    <n v="123379924.50000004"/>
    <n v="0"/>
    <n v="73174"/>
    <n v="0"/>
    <n v="0"/>
    <n v="0"/>
    <n v="0"/>
    <s v=""/>
    <n v="73174"/>
    <s v="2018 (triag)"/>
    <n v="73174"/>
    <s v="2018 (triag)"/>
    <s v=""/>
    <n v="73174"/>
    <n v="73174"/>
    <s v="No change"/>
    <n v="-4.0290808124875621E-2"/>
    <n v="7.5715887821594663E-2"/>
    <n v="89504.974723550171"/>
    <n v="91834.480353064428"/>
    <n v="0"/>
    <n v="6.5845739272072974"/>
    <n v="5.930786576222939"/>
    <n v="5.930786576222939"/>
    <x v="1"/>
  </r>
  <r>
    <s v="Ethiopia"/>
    <x v="14"/>
    <n v="94451296.500000104"/>
    <x v="12"/>
    <n v="0"/>
    <n v="97084366.00000003"/>
    <n v="0"/>
    <m/>
    <n v="0"/>
    <m/>
    <n v="0"/>
    <m/>
    <n v="0"/>
    <m/>
    <n v="0"/>
    <n v="111129438.00000001"/>
    <n v="0"/>
    <n v="2872"/>
    <m/>
    <n v="0"/>
    <m/>
    <n v="0"/>
    <m/>
    <n v="0"/>
    <n v="123379924.50000004"/>
    <n v="0"/>
    <n v="2872"/>
    <n v="0"/>
    <n v="0"/>
    <n v="0"/>
    <n v="0"/>
    <s v=""/>
    <n v="2872"/>
    <s v="2018 (triag)"/>
    <n v="2872"/>
    <s v="2018 (triag)"/>
    <s v=""/>
    <n v="2872"/>
    <n v="2872"/>
    <s v="No change"/>
    <n v="-4.0290808124875621E-2"/>
    <n v="7.5715887821594663E-2"/>
    <n v="3512.9730150878195"/>
    <n v="3604.4035801514342"/>
    <n v="0"/>
    <n v="0.25843737282285184"/>
    <n v="0.2327769296049455"/>
    <n v="0.2327769296049455"/>
    <x v="1"/>
  </r>
  <r>
    <s v="Ethiopia"/>
    <x v="14"/>
    <n v="94451297.500000104"/>
    <x v="13"/>
    <n v="0"/>
    <n v="97084366.00000003"/>
    <n v="0"/>
    <m/>
    <n v="0"/>
    <m/>
    <n v="0"/>
    <m/>
    <n v="0"/>
    <m/>
    <n v="0"/>
    <n v="111129438.00000001"/>
    <n v="0"/>
    <n v="10450"/>
    <m/>
    <n v="0"/>
    <m/>
    <n v="4752"/>
    <m/>
    <n v="0"/>
    <n v="123379924.50000004"/>
    <n v="13915"/>
    <n v="10450"/>
    <n v="0"/>
    <n v="0"/>
    <n v="13915"/>
    <n v="0"/>
    <s v=""/>
    <n v="10450"/>
    <s v="2018 (triag)"/>
    <n v="13915"/>
    <n v="2022"/>
    <s v=""/>
    <n v="13915"/>
    <n v="13915"/>
    <s v="Increasing"/>
    <n v="-4.0290808124875621E-2"/>
    <n v="7.5715887821594663E-2"/>
    <n v="12782.231200441405"/>
    <n v="13114.9085698407"/>
    <n v="0"/>
    <n v="0.94034489763189466"/>
    <n v="1.1278171920100335"/>
    <n v="1.1278171920100335"/>
    <x v="1"/>
  </r>
  <r>
    <s v="Ethiopia"/>
    <x v="14"/>
    <n v="94451298.500000104"/>
    <x v="14"/>
    <n v="0"/>
    <n v="97084366.00000003"/>
    <n v="0"/>
    <m/>
    <n v="0"/>
    <m/>
    <n v="0"/>
    <m/>
    <n v="0"/>
    <m/>
    <n v="0"/>
    <n v="111129438.00000001"/>
    <n v="0"/>
    <n v="1285"/>
    <m/>
    <n v="0"/>
    <m/>
    <n v="1234"/>
    <m/>
    <n v="0"/>
    <n v="123379924.50000004"/>
    <n v="1205"/>
    <n v="1285"/>
    <n v="0"/>
    <n v="0"/>
    <n v="1234"/>
    <n v="0"/>
    <s v=""/>
    <n v="1285"/>
    <s v="2018 (triag)"/>
    <n v="1205"/>
    <n v="2022"/>
    <s v="Adjust"/>
    <n v="1230.1476924425951"/>
    <n v="1285"/>
    <s v="Decreasing"/>
    <n v="-4.0290808124875621E-2"/>
    <n v="7.5715887821594663E-2"/>
    <n v="1571.7863246475795"/>
    <n v="1612.6944987794545"/>
    <n v="0"/>
    <n v="0.1156309276035392"/>
    <n v="9.9704039974720104E-2"/>
    <n v="0.10414984489636314"/>
    <x v="1"/>
  </r>
  <r>
    <s v="Ethiopia"/>
    <x v="14"/>
    <n v="94451299.500000104"/>
    <x v="15"/>
    <n v="0"/>
    <n v="97084366.00000003"/>
    <n v="0"/>
    <m/>
    <n v="0"/>
    <m/>
    <n v="0"/>
    <m/>
    <n v="0"/>
    <m/>
    <n v="0"/>
    <n v="111129438.00000001"/>
    <n v="0"/>
    <n v="258"/>
    <m/>
    <n v="0"/>
    <m/>
    <n v="249"/>
    <m/>
    <n v="0"/>
    <n v="123379924.50000004"/>
    <n v="3275"/>
    <n v="258"/>
    <n v="0"/>
    <n v="0"/>
    <n v="3275"/>
    <n v="0"/>
    <s v=""/>
    <n v="258"/>
    <s v="2018 (triag)"/>
    <n v="3275"/>
    <n v="2022"/>
    <s v=""/>
    <n v="3275"/>
    <n v="3275"/>
    <s v="Increasing"/>
    <n v="-4.0290808124875621E-2"/>
    <n v="7.5715887821594663E-2"/>
    <n v="315.58044494869688"/>
    <n v="323.79391493003834"/>
    <n v="0"/>
    <n v="2.3216170678375964E-2"/>
    <n v="0.26544026617555588"/>
    <n v="0.26544026617555588"/>
    <x v="1"/>
  </r>
  <r>
    <s v="Ethiopia"/>
    <x v="14"/>
    <n v="94451300.500000104"/>
    <x v="16"/>
    <n v="0"/>
    <n v="97084366.00000003"/>
    <n v="0"/>
    <m/>
    <n v="0"/>
    <m/>
    <n v="0"/>
    <m/>
    <n v="0"/>
    <m/>
    <n v="0"/>
    <n v="111129438.00000001"/>
    <n v="0"/>
    <n v="0"/>
    <m/>
    <n v="0"/>
    <m/>
    <n v="0"/>
    <m/>
    <n v="0"/>
    <n v="123379924.50000004"/>
    <n v="0"/>
    <n v="0"/>
    <n v="0"/>
    <n v="0"/>
    <n v="0"/>
    <n v="0"/>
    <s v=""/>
    <n v="0"/>
    <s v=""/>
    <n v="0"/>
    <s v=""/>
    <s v=""/>
    <n v="0"/>
    <n v="0"/>
    <s v="No change"/>
    <n v="-4.0290808124875621E-2"/>
    <n v="7.5715887821594663E-2"/>
    <n v="0"/>
    <n v="0"/>
    <n v="0"/>
    <n v="0"/>
    <n v="0"/>
    <n v="0"/>
    <x v="1"/>
  </r>
  <r>
    <s v="Ethiopia"/>
    <x v="14"/>
    <n v="94451301.500000104"/>
    <x v="17"/>
    <n v="0"/>
    <n v="97084366.00000003"/>
    <n v="0"/>
    <m/>
    <n v="0"/>
    <m/>
    <n v="0"/>
    <m/>
    <n v="0"/>
    <m/>
    <n v="0"/>
    <n v="111129438.00000001"/>
    <n v="0"/>
    <n v="0"/>
    <m/>
    <n v="0"/>
    <m/>
    <n v="4"/>
    <m/>
    <n v="0"/>
    <n v="123379924.50000004"/>
    <n v="0"/>
    <n v="0"/>
    <n v="0"/>
    <n v="0"/>
    <n v="4"/>
    <n v="0"/>
    <s v=""/>
    <n v="0"/>
    <s v=""/>
    <n v="4"/>
    <n v="2020"/>
    <s v=""/>
    <n v="4"/>
    <n v="4"/>
    <s v="Increasing"/>
    <n v="-4.0290808124875621E-2"/>
    <n v="7.5715887821594663E-2"/>
    <n v="0"/>
    <n v="0"/>
    <n v="0"/>
    <n v="0"/>
    <n v="3.2420185181747282E-4"/>
    <n v="3.2420185181747282E-4"/>
    <x v="1"/>
  </r>
  <r>
    <s v="Ethiopia"/>
    <x v="14"/>
    <n v="94451302.500000104"/>
    <x v="18"/>
    <n v="0"/>
    <n v="97084366.00000003"/>
    <n v="0"/>
    <m/>
    <n v="0"/>
    <m/>
    <n v="0"/>
    <m/>
    <n v="0"/>
    <m/>
    <n v="0"/>
    <n v="111129438.00000001"/>
    <n v="0"/>
    <n v="0"/>
    <m/>
    <n v="0"/>
    <m/>
    <n v="0"/>
    <m/>
    <n v="0"/>
    <n v="123379924.50000004"/>
    <n v="0"/>
    <n v="0"/>
    <n v="0"/>
    <n v="0"/>
    <n v="0"/>
    <n v="0"/>
    <s v=""/>
    <n v="0"/>
    <s v=""/>
    <n v="0"/>
    <s v=""/>
    <s v=""/>
    <n v="0"/>
    <n v="0"/>
    <s v="No change"/>
    <n v="-4.0290808124875621E-2"/>
    <n v="7.5715887821594663E-2"/>
    <n v="0"/>
    <n v="0"/>
    <n v="0"/>
    <n v="0"/>
    <n v="0"/>
    <n v="0"/>
    <x v="1"/>
  </r>
  <r>
    <s v="Gabon"/>
    <x v="15"/>
    <n v="1836710"/>
    <x v="0"/>
    <n v="0"/>
    <n v="1902226.5000000007"/>
    <n v="0"/>
    <m/>
    <n v="0"/>
    <m/>
    <n v="0"/>
    <m/>
    <n v="0"/>
    <m/>
    <n v="0"/>
    <n v="2192011.5"/>
    <n v="0"/>
    <n v="0"/>
    <m/>
    <n v="117"/>
    <m/>
    <n v="110"/>
    <m/>
    <n v="0"/>
    <n v="2388992.5000000005"/>
    <n v="98"/>
    <n v="0"/>
    <n v="0"/>
    <n v="117"/>
    <n v="110"/>
    <n v="0"/>
    <s v=""/>
    <n v="117"/>
    <n v="2019"/>
    <n v="98"/>
    <n v="2022"/>
    <s v="Adjust"/>
    <n v="108.87462895058496"/>
    <n v="117"/>
    <s v="Decreasing"/>
    <n v="0.2599900753182236"/>
    <n v="5.4673730437993617E-2"/>
    <n v="0"/>
    <n v="0"/>
    <n v="0"/>
    <n v="0.53375632381490701"/>
    <n v="0.45573449456448667"/>
    <n v="0.4897462005426973"/>
    <x v="1"/>
  </r>
  <r>
    <s v="Gabon"/>
    <x v="15"/>
    <n v="1836711"/>
    <x v="1"/>
    <n v="0"/>
    <n v="1902226.5000000007"/>
    <n v="0"/>
    <m/>
    <n v="999"/>
    <m/>
    <n v="0"/>
    <m/>
    <n v="4"/>
    <m/>
    <n v="1985"/>
    <n v="2192011.5"/>
    <n v="0"/>
    <n v="6"/>
    <m/>
    <n v="0"/>
    <m/>
    <n v="0"/>
    <m/>
    <n v="0"/>
    <n v="2388992.5000000005"/>
    <n v="0"/>
    <n v="6"/>
    <n v="999"/>
    <n v="1985"/>
    <n v="0"/>
    <n v="999"/>
    <n v="2014"/>
    <n v="6"/>
    <s v="2018 (triag)"/>
    <n v="6"/>
    <s v="2018 (triag)"/>
    <s v=""/>
    <n v="6"/>
    <n v="6"/>
    <s v="No change"/>
    <n v="0.2599900753182236"/>
    <n v="5.4673730437993617E-2"/>
    <n v="1.6352719039570178"/>
    <n v="7.0694356996005805"/>
    <n v="5.2517405261676231"/>
    <n v="2.737211916999523E-2"/>
    <n v="2.5115189771420375E-2"/>
    <n v="2.5115189771420375E-2"/>
    <x v="1"/>
  </r>
  <r>
    <s v="Gabon"/>
    <x v="15"/>
    <n v="1836712"/>
    <x v="2"/>
    <n v="0"/>
    <n v="1902226.5000000007"/>
    <n v="296"/>
    <m/>
    <n v="6"/>
    <m/>
    <n v="0"/>
    <m/>
    <n v="29"/>
    <m/>
    <n v="5029"/>
    <n v="2192011.5"/>
    <n v="0"/>
    <n v="312"/>
    <m/>
    <n v="0"/>
    <m/>
    <n v="0"/>
    <m/>
    <n v="0"/>
    <n v="2388992.5000000005"/>
    <n v="0"/>
    <n v="312"/>
    <n v="296"/>
    <n v="5029"/>
    <n v="0"/>
    <n v="296"/>
    <n v="2013"/>
    <n v="312"/>
    <s v="2018 (triag)"/>
    <n v="312"/>
    <s v="2018 (triag)"/>
    <s v=""/>
    <n v="312"/>
    <n v="312"/>
    <s v="No change"/>
    <n v="0.2599900753182236"/>
    <n v="5.4673730437993617E-2"/>
    <n v="85.034139005764928"/>
    <n v="367.61065637923019"/>
    <n v="1.5560712670126291"/>
    <n v="1.4233501968397519"/>
    <n v="1.3059898681138595"/>
    <n v="1.3059898681138595"/>
    <x v="1"/>
  </r>
  <r>
    <s v="Gabon"/>
    <x v="15"/>
    <n v="1836713"/>
    <x v="3"/>
    <n v="0"/>
    <n v="1902226.5000000007"/>
    <n v="0"/>
    <m/>
    <n v="0"/>
    <m/>
    <n v="0"/>
    <m/>
    <n v="0"/>
    <m/>
    <n v="0"/>
    <n v="2192011.5"/>
    <n v="0"/>
    <n v="86"/>
    <m/>
    <n v="40"/>
    <m/>
    <n v="18"/>
    <m/>
    <n v="0"/>
    <n v="2388992.5000000005"/>
    <n v="70"/>
    <n v="86"/>
    <n v="0"/>
    <n v="40"/>
    <n v="70"/>
    <n v="0"/>
    <s v=""/>
    <n v="86"/>
    <s v="2018 (triag)"/>
    <n v="70"/>
    <n v="2022"/>
    <s v="Adjust"/>
    <n v="77.767592107560688"/>
    <n v="86"/>
    <s v="Decreasing"/>
    <n v="0.2599900753182236"/>
    <n v="5.4673730437993617E-2"/>
    <n v="23.438897290050591"/>
    <n v="101.32857836094165"/>
    <n v="0"/>
    <n v="0.39233370810326496"/>
    <n v="0.3255246389746333"/>
    <n v="0.35998438672369204"/>
    <x v="1"/>
  </r>
  <r>
    <s v="Gabon"/>
    <x v="15"/>
    <n v="1836714"/>
    <x v="4"/>
    <n v="0"/>
    <n v="1902226.5000000007"/>
    <n v="0"/>
    <m/>
    <n v="0"/>
    <m/>
    <n v="0"/>
    <m/>
    <n v="0"/>
    <m/>
    <n v="0"/>
    <n v="2192011.5"/>
    <n v="0"/>
    <n v="318"/>
    <m/>
    <n v="344"/>
    <m/>
    <n v="390"/>
    <m/>
    <n v="0"/>
    <n v="2388992.5000000005"/>
    <n v="0"/>
    <n v="318"/>
    <n v="0"/>
    <n v="344"/>
    <n v="390"/>
    <n v="0"/>
    <s v=""/>
    <n v="318"/>
    <s v="2018 (triag)"/>
    <n v="390"/>
    <n v="2020"/>
    <s v=""/>
    <n v="390"/>
    <n v="390"/>
    <s v="Increasing"/>
    <n v="0.2599900753182236"/>
    <n v="5.4673730437993617E-2"/>
    <n v="86.669410909721947"/>
    <n v="374.68009207883074"/>
    <n v="0"/>
    <n v="1.4507223160097471"/>
    <n v="1.6324873351423244"/>
    <n v="1.6324873351423244"/>
    <x v="1"/>
  </r>
  <r>
    <s v="Gabon"/>
    <x v="15"/>
    <n v="1836715"/>
    <x v="5"/>
    <n v="0"/>
    <n v="1902226.5000000007"/>
    <n v="0"/>
    <m/>
    <n v="0"/>
    <m/>
    <n v="0"/>
    <m/>
    <n v="33"/>
    <m/>
    <n v="46"/>
    <n v="2192011.5"/>
    <n v="0"/>
    <n v="46"/>
    <m/>
    <n v="9"/>
    <m/>
    <n v="9"/>
    <m/>
    <n v="0"/>
    <n v="2388992.5000000005"/>
    <n v="17"/>
    <n v="46"/>
    <n v="0"/>
    <n v="46"/>
    <n v="17"/>
    <n v="0"/>
    <s v=""/>
    <n v="46"/>
    <n v="2017"/>
    <n v="17"/>
    <n v="2022"/>
    <s v="Adjust"/>
    <n v="18.88641522612188"/>
    <n v="46"/>
    <s v="Decreasing"/>
    <n v="0.2599900753182236"/>
    <n v="5.4673730437993617E-2"/>
    <n v="12.537084597003805"/>
    <n v="54.199007030271119"/>
    <n v="0"/>
    <n v="0.20985291363663011"/>
    <n v="7.9055983750982384E-2"/>
    <n v="0.1925497882475562"/>
    <x v="0"/>
  </r>
  <r>
    <s v="Gabon"/>
    <x v="15"/>
    <n v="1836716"/>
    <x v="6"/>
    <n v="0"/>
    <n v="1902226.5000000007"/>
    <n v="0"/>
    <m/>
    <n v="0"/>
    <m/>
    <n v="0"/>
    <m/>
    <n v="0"/>
    <m/>
    <n v="0"/>
    <n v="2192011.5"/>
    <n v="439"/>
    <n v="439"/>
    <m/>
    <n v="454"/>
    <m/>
    <n v="469"/>
    <m/>
    <n v="0"/>
    <n v="2388992.5000000005"/>
    <n v="231"/>
    <n v="83"/>
    <n v="0"/>
    <n v="454"/>
    <n v="469"/>
    <n v="0"/>
    <s v=""/>
    <n v="439"/>
    <n v="2018"/>
    <n v="231"/>
    <n v="2022"/>
    <s v="Adjust"/>
    <n v="256.63305395495024"/>
    <n v="439"/>
    <s v="Decreasing"/>
    <n v="0.2599900753182236"/>
    <n v="5.4673730437993617E-2"/>
    <n v="22.621261338072081"/>
    <n v="97.793860511141361"/>
    <n v="0"/>
    <n v="2.0027267192713176"/>
    <n v="1.07423130861629"/>
    <n v="1.8375947182755907"/>
    <x v="0"/>
  </r>
  <r>
    <s v="Gabon"/>
    <x v="15"/>
    <n v="1836717"/>
    <x v="7"/>
    <n v="0"/>
    <n v="1902226.5000000007"/>
    <n v="0"/>
    <m/>
    <n v="0"/>
    <m/>
    <n v="0"/>
    <m/>
    <n v="0"/>
    <m/>
    <n v="18"/>
    <n v="2192011.5"/>
    <n v="0"/>
    <n v="18"/>
    <m/>
    <n v="14"/>
    <m/>
    <n v="14"/>
    <m/>
    <n v="0"/>
    <n v="2388992.5000000005"/>
    <n v="0"/>
    <n v="18"/>
    <n v="0"/>
    <n v="18"/>
    <n v="14"/>
    <n v="0"/>
    <s v=""/>
    <n v="18"/>
    <n v="2017"/>
    <n v="14"/>
    <n v="2020"/>
    <s v="Adjust"/>
    <n v="15.553518421512138"/>
    <n v="18"/>
    <s v="Decreasing"/>
    <n v="0.2599900753182236"/>
    <n v="5.4673730437993617E-2"/>
    <n v="4.9058157118710541"/>
    <n v="21.20830709880174"/>
    <n v="0"/>
    <n v="8.2116357509985693E-2"/>
    <n v="6.5104927794926673E-2"/>
    <n v="7.5345569314261118E-2"/>
    <x v="1"/>
  </r>
  <r>
    <s v="Gabon"/>
    <x v="15"/>
    <n v="1836718"/>
    <x v="8"/>
    <n v="0"/>
    <n v="1902226.5000000007"/>
    <n v="0"/>
    <m/>
    <n v="0"/>
    <m/>
    <n v="0"/>
    <m/>
    <n v="66"/>
    <m/>
    <n v="93"/>
    <n v="2192011.5"/>
    <n v="0"/>
    <n v="93"/>
    <m/>
    <n v="78"/>
    <m/>
    <n v="82"/>
    <m/>
    <n v="0"/>
    <n v="2388992.5000000005"/>
    <n v="478"/>
    <n v="93"/>
    <n v="0"/>
    <n v="93"/>
    <n v="478"/>
    <n v="0"/>
    <s v=""/>
    <n v="93"/>
    <n v="2017"/>
    <n v="478"/>
    <n v="2022"/>
    <s v=""/>
    <n v="478"/>
    <n v="478"/>
    <s v="Increasing"/>
    <n v="0.2599900753182236"/>
    <n v="5.4673730437993617E-2"/>
    <n v="25.346714511333779"/>
    <n v="109.576253343809"/>
    <n v="0"/>
    <n v="0.42426784713492605"/>
    <n v="2.000843451789823"/>
    <n v="2.000843451789823"/>
    <x v="1"/>
  </r>
  <r>
    <s v="Gabon"/>
    <x v="15"/>
    <n v="1836719"/>
    <x v="9"/>
    <n v="0"/>
    <n v="1902226.5000000007"/>
    <n v="0"/>
    <m/>
    <n v="0"/>
    <m/>
    <n v="0"/>
    <m/>
    <n v="0"/>
    <m/>
    <n v="32"/>
    <n v="2192011.5"/>
    <n v="0"/>
    <n v="127"/>
    <m/>
    <n v="1"/>
    <m/>
    <n v="0"/>
    <m/>
    <n v="0"/>
    <n v="2388992.5000000005"/>
    <n v="0"/>
    <n v="127"/>
    <n v="0"/>
    <n v="32"/>
    <n v="0"/>
    <n v="0"/>
    <s v=""/>
    <n v="127"/>
    <s v="2018 (triag)"/>
    <n v="1"/>
    <s v="2018 (triag)"/>
    <s v="Adjust"/>
    <n v="1.1109656015365812"/>
    <n v="127"/>
    <s v="Decreasing"/>
    <n v="0.2599900753182236"/>
    <n v="5.4673730437993617E-2"/>
    <n v="34.613255300423546"/>
    <n v="149.63638897487894"/>
    <n v="0"/>
    <n v="0.57937652243156568"/>
    <n v="4.6503519853519047E-3"/>
    <n v="0.5316048501617312"/>
    <x v="0"/>
  </r>
  <r>
    <s v="Gabon"/>
    <x v="15"/>
    <n v="1836720"/>
    <x v="10"/>
    <n v="0"/>
    <n v="1902226.5000000007"/>
    <n v="0"/>
    <m/>
    <n v="0"/>
    <m/>
    <n v="0"/>
    <m/>
    <n v="0"/>
    <m/>
    <n v="5"/>
    <n v="2192011.5"/>
    <n v="0"/>
    <n v="5"/>
    <m/>
    <n v="9"/>
    <m/>
    <n v="9"/>
    <m/>
    <n v="0"/>
    <n v="2388992.5000000005"/>
    <n v="0"/>
    <n v="5"/>
    <n v="0"/>
    <n v="9"/>
    <n v="9"/>
    <n v="0"/>
    <s v=""/>
    <n v="5"/>
    <n v="2017"/>
    <n v="9"/>
    <n v="2020"/>
    <s v=""/>
    <n v="9"/>
    <n v="9"/>
    <s v="Increasing"/>
    <n v="0.2599900753182236"/>
    <n v="5.4673730437993617E-2"/>
    <n v="1.3627265866308482"/>
    <n v="5.8911964163338171"/>
    <n v="0"/>
    <n v="2.2810099308329359E-2"/>
    <n v="3.7672784657130559E-2"/>
    <n v="3.7672784657130559E-2"/>
    <x v="1"/>
  </r>
  <r>
    <s v="Gabon"/>
    <x v="15"/>
    <n v="1836721"/>
    <x v="11"/>
    <n v="0"/>
    <n v="1902226.5000000007"/>
    <n v="0"/>
    <m/>
    <n v="0"/>
    <m/>
    <n v="0"/>
    <m/>
    <n v="0"/>
    <m/>
    <n v="0"/>
    <n v="2192011.5"/>
    <n v="0"/>
    <n v="1939"/>
    <m/>
    <n v="942"/>
    <m/>
    <n v="947"/>
    <m/>
    <n v="0"/>
    <n v="2388992.5000000005"/>
    <n v="0"/>
    <n v="1939"/>
    <n v="0"/>
    <n v="942"/>
    <n v="947"/>
    <n v="0"/>
    <s v=""/>
    <n v="1939"/>
    <s v="2018 (triag)"/>
    <n v="947"/>
    <n v="2020"/>
    <s v="Adjust"/>
    <n v="1052.0844246551424"/>
    <n v="1939"/>
    <s v="Decreasing"/>
    <n v="0.2599900753182236"/>
    <n v="5.4673730437993617E-2"/>
    <n v="528.46537029544299"/>
    <n v="2284.6059702542543"/>
    <n v="0"/>
    <n v="8.8457565117701247"/>
    <n v="4.4038833301282541"/>
    <n v="8.1163921611306851"/>
    <x v="0"/>
  </r>
  <r>
    <s v="Gabon"/>
    <x v="15"/>
    <n v="1836722"/>
    <x v="12"/>
    <n v="0"/>
    <n v="1902226.5000000007"/>
    <n v="0"/>
    <m/>
    <n v="0"/>
    <m/>
    <n v="0"/>
    <m/>
    <n v="0"/>
    <m/>
    <n v="0"/>
    <n v="2192011.5"/>
    <n v="0"/>
    <n v="62"/>
    <m/>
    <n v="2595"/>
    <m/>
    <n v="2714"/>
    <m/>
    <n v="0"/>
    <n v="2388992.5000000005"/>
    <n v="0"/>
    <n v="62"/>
    <n v="0"/>
    <n v="2595"/>
    <n v="2714"/>
    <n v="0"/>
    <s v=""/>
    <n v="62"/>
    <s v="2018 (triag)"/>
    <n v="2714"/>
    <n v="2020"/>
    <s v=""/>
    <n v="2714"/>
    <n v="2714"/>
    <s v="Increasing"/>
    <n v="0.2599900753182236"/>
    <n v="5.4673730437993617E-2"/>
    <n v="16.897809674222518"/>
    <n v="73.050835562539334"/>
    <n v="0"/>
    <n v="0.28284523142328405"/>
    <n v="11.360437506605816"/>
    <n v="11.360437506605816"/>
    <x v="1"/>
  </r>
  <r>
    <s v="Gabon"/>
    <x v="15"/>
    <n v="1836723"/>
    <x v="13"/>
    <n v="0"/>
    <n v="1902226.5000000007"/>
    <n v="0"/>
    <m/>
    <n v="0"/>
    <m/>
    <n v="0"/>
    <m/>
    <n v="287"/>
    <m/>
    <n v="442"/>
    <n v="2192011.5"/>
    <n v="0"/>
    <n v="439"/>
    <m/>
    <n v="72"/>
    <m/>
    <n v="74"/>
    <m/>
    <n v="0"/>
    <n v="2388992.5000000005"/>
    <n v="228"/>
    <n v="439"/>
    <n v="0"/>
    <n v="442"/>
    <n v="228"/>
    <n v="0"/>
    <s v=""/>
    <n v="439"/>
    <s v="2018 (triag)"/>
    <n v="228"/>
    <n v="2022"/>
    <s v="Adjust"/>
    <n v="253.30015715034051"/>
    <n v="439"/>
    <s v="Decreasing"/>
    <n v="0.2599900753182236"/>
    <n v="5.4673730437993617E-2"/>
    <n v="119.64739430618847"/>
    <n v="517.2470453541091"/>
    <n v="0"/>
    <n v="2.0027267192713176"/>
    <n v="1.0602802526602342"/>
    <n v="1.8375947182755907"/>
    <x v="0"/>
  </r>
  <r>
    <s v="Gabon"/>
    <x v="15"/>
    <n v="1836724"/>
    <x v="14"/>
    <n v="0"/>
    <n v="1902226.5000000007"/>
    <n v="0"/>
    <m/>
    <n v="0"/>
    <m/>
    <n v="0"/>
    <m/>
    <n v="0"/>
    <m/>
    <n v="58"/>
    <n v="2192011.5"/>
    <n v="0"/>
    <n v="58"/>
    <m/>
    <n v="703"/>
    <m/>
    <n v="615"/>
    <m/>
    <n v="0"/>
    <n v="2388992.5000000005"/>
    <n v="84"/>
    <n v="58"/>
    <n v="0"/>
    <n v="703"/>
    <n v="615"/>
    <n v="0"/>
    <s v=""/>
    <n v="58"/>
    <n v="2017"/>
    <n v="84"/>
    <n v="2022"/>
    <s v=""/>
    <n v="84"/>
    <n v="84"/>
    <s v="Increasing"/>
    <n v="0.2599900753182236"/>
    <n v="5.4673730437993617E-2"/>
    <n v="15.807628404917839"/>
    <n v="68.337878429472283"/>
    <n v="0"/>
    <n v="0.26459715197662054"/>
    <n v="0.35161265679988524"/>
    <n v="0.35161265679988524"/>
    <x v="1"/>
  </r>
  <r>
    <s v="Gabon"/>
    <x v="15"/>
    <n v="1836725"/>
    <x v="15"/>
    <n v="0"/>
    <n v="1902226.5000000007"/>
    <n v="0"/>
    <m/>
    <n v="0"/>
    <m/>
    <n v="0"/>
    <m/>
    <n v="0"/>
    <m/>
    <n v="43"/>
    <n v="2192011.5"/>
    <n v="0"/>
    <n v="43"/>
    <m/>
    <n v="43"/>
    <m/>
    <n v="32"/>
    <m/>
    <n v="0"/>
    <n v="2388992.5000000005"/>
    <n v="2"/>
    <n v="43"/>
    <n v="0"/>
    <n v="43"/>
    <n v="32"/>
    <n v="0"/>
    <s v=""/>
    <n v="43"/>
    <n v="2017"/>
    <n v="2"/>
    <n v="2022"/>
    <s v="Adjust"/>
    <n v="2.2219312030731624"/>
    <n v="43"/>
    <s v="Decreasing"/>
    <n v="0.2599900753182236"/>
    <n v="5.4673730437993617E-2"/>
    <n v="11.719448645025295"/>
    <n v="50.664289180470824"/>
    <n v="0"/>
    <n v="0.19616685405163248"/>
    <n v="9.3007039707038094E-3"/>
    <n v="0.17999219336184602"/>
    <x v="0"/>
  </r>
  <r>
    <s v="Gabon"/>
    <x v="15"/>
    <n v="1836726"/>
    <x v="16"/>
    <n v="0"/>
    <n v="1902226.5000000007"/>
    <n v="0"/>
    <m/>
    <n v="0"/>
    <m/>
    <n v="0"/>
    <m/>
    <n v="0"/>
    <m/>
    <n v="0"/>
    <n v="2192011.5"/>
    <n v="0"/>
    <n v="0"/>
    <m/>
    <n v="119"/>
    <m/>
    <n v="115"/>
    <m/>
    <n v="0"/>
    <n v="2388992.5000000005"/>
    <n v="0"/>
    <n v="0"/>
    <n v="0"/>
    <n v="119"/>
    <n v="115"/>
    <n v="0"/>
    <s v=""/>
    <n v="119"/>
    <n v="2019"/>
    <n v="115"/>
    <n v="2020"/>
    <s v="Adjust"/>
    <n v="127.76104417670683"/>
    <n v="127.76104417670683"/>
    <s v="Increasing"/>
    <n v="0.2599900753182236"/>
    <n v="5.4673730437993617E-2"/>
    <n v="0"/>
    <n v="0"/>
    <n v="0"/>
    <n v="0.54288036353823876"/>
    <n v="0.534790478315469"/>
    <n v="0.534790478315469"/>
    <x v="1"/>
  </r>
  <r>
    <s v="Gabon"/>
    <x v="15"/>
    <n v="1836727"/>
    <x v="17"/>
    <n v="0"/>
    <n v="1902226.5000000007"/>
    <n v="0"/>
    <m/>
    <n v="0"/>
    <m/>
    <n v="0"/>
    <m/>
    <n v="0"/>
    <m/>
    <n v="2"/>
    <n v="2192011.5"/>
    <n v="0"/>
    <n v="0"/>
    <m/>
    <n v="1"/>
    <m/>
    <n v="0"/>
    <m/>
    <n v="0"/>
    <n v="2388992.5000000005"/>
    <n v="0"/>
    <n v="0"/>
    <n v="0"/>
    <n v="2"/>
    <n v="0"/>
    <n v="0"/>
    <s v=""/>
    <n v="2"/>
    <n v="2017"/>
    <n v="1"/>
    <n v="2017"/>
    <s v="Adjust"/>
    <n v="1.1109656015365812"/>
    <n v="2"/>
    <s v="Decreasing"/>
    <n v="0.2599900753182236"/>
    <n v="5.4673730437993617E-2"/>
    <n v="0"/>
    <n v="0"/>
    <n v="0"/>
    <n v="9.1240397233317439E-3"/>
    <n v="4.6503519853519047E-3"/>
    <n v="8.3717299238067911E-3"/>
    <x v="0"/>
  </r>
  <r>
    <s v="Gabon"/>
    <x v="15"/>
    <n v="1836728"/>
    <x v="18"/>
    <n v="0"/>
    <n v="1902226.5000000007"/>
    <n v="0"/>
    <m/>
    <n v="0"/>
    <m/>
    <n v="0"/>
    <m/>
    <n v="0"/>
    <m/>
    <n v="99"/>
    <n v="2192011.5"/>
    <n v="0"/>
    <n v="99"/>
    <m/>
    <n v="117"/>
    <m/>
    <n v="112"/>
    <m/>
    <n v="0"/>
    <n v="2388992.5000000005"/>
    <n v="0"/>
    <n v="99"/>
    <n v="0"/>
    <n v="117"/>
    <n v="112"/>
    <n v="0"/>
    <s v=""/>
    <n v="99"/>
    <n v="2017"/>
    <n v="112"/>
    <n v="2020"/>
    <s v=""/>
    <n v="112"/>
    <n v="112"/>
    <s v="Increasing"/>
    <n v="0.2599900753182236"/>
    <n v="5.4673730437993617E-2"/>
    <n v="26.981986415290795"/>
    <n v="116.64568904340958"/>
    <n v="0"/>
    <n v="0.45163996630492131"/>
    <n v="0.46881687573318032"/>
    <n v="0.46881687573318032"/>
    <x v="1"/>
  </r>
  <r>
    <s v="Ghana"/>
    <x v="16"/>
    <n v="26858767"/>
    <x v="0"/>
    <n v="0"/>
    <n v="27525596.999999989"/>
    <n v="5293"/>
    <m/>
    <n v="0"/>
    <m/>
    <n v="0"/>
    <m/>
    <n v="0"/>
    <m/>
    <n v="15456"/>
    <n v="30870640.5"/>
    <n v="15820"/>
    <n v="15820"/>
    <m/>
    <n v="0"/>
    <m/>
    <n v="0"/>
    <m/>
    <n v="0"/>
    <n v="33475870.500000011"/>
    <n v="0"/>
    <n v="15820"/>
    <n v="5293"/>
    <n v="15820"/>
    <n v="0"/>
    <n v="5293"/>
    <n v="2013"/>
    <n v="15820"/>
    <n v="2018"/>
    <n v="15820"/>
    <n v="2018"/>
    <s v=""/>
    <n v="15820"/>
    <n v="15820"/>
    <s v="No change"/>
    <n v="2.6327637949120408E-2"/>
    <n v="6.0316928868946684E-2"/>
    <n v="13868.731483776815"/>
    <n v="18957.995126192636"/>
    <n v="1.92293740259294"/>
    <n v="5.1246102263411091"/>
    <n v="4.7257919700699027"/>
    <n v="4.7257919700699027"/>
    <x v="1"/>
  </r>
  <r>
    <s v="Ghana"/>
    <x v="16"/>
    <n v="26858768"/>
    <x v="1"/>
    <n v="0"/>
    <n v="27525596.999999989"/>
    <n v="4"/>
    <m/>
    <n v="0"/>
    <m/>
    <n v="0"/>
    <m/>
    <n v="19"/>
    <m/>
    <n v="0"/>
    <n v="30870640.5"/>
    <n v="0"/>
    <n v="0"/>
    <m/>
    <n v="0"/>
    <m/>
    <n v="0"/>
    <m/>
    <n v="0"/>
    <n v="33475870.500000011"/>
    <n v="3321"/>
    <n v="0"/>
    <n v="4"/>
    <n v="19"/>
    <n v="3321"/>
    <n v="4"/>
    <n v="2013"/>
    <n v="0"/>
    <s v=""/>
    <n v="3321"/>
    <n v="2022"/>
    <s v=""/>
    <n v="3321"/>
    <n v="3321"/>
    <s v="Increasing"/>
    <n v="2.6327637949120408E-2"/>
    <n v="6.0316928868946684E-2"/>
    <n v="0"/>
    <n v="0"/>
    <n v="1.4531928226661176E-3"/>
    <n v="0"/>
    <n v="0.99205784656145057"/>
    <n v="0.99205784656145057"/>
    <x v="1"/>
  </r>
  <r>
    <s v="Ghana"/>
    <x v="16"/>
    <n v="26858769"/>
    <x v="2"/>
    <n v="0"/>
    <n v="27525596.999999989"/>
    <n v="351"/>
    <m/>
    <n v="0"/>
    <m/>
    <n v="0"/>
    <m/>
    <n v="160"/>
    <m/>
    <n v="0"/>
    <n v="30870640.5"/>
    <n v="0"/>
    <n v="47"/>
    <m/>
    <n v="0"/>
    <m/>
    <n v="0"/>
    <m/>
    <n v="0"/>
    <n v="33475870.500000011"/>
    <n v="4778"/>
    <n v="47"/>
    <n v="351"/>
    <n v="160"/>
    <n v="4778"/>
    <n v="351"/>
    <n v="2013"/>
    <n v="47"/>
    <s v="2018 (triag)"/>
    <n v="4778"/>
    <n v="2022"/>
    <s v=""/>
    <n v="4778"/>
    <n v="4778"/>
    <s v="Increasing"/>
    <n v="2.6327637949120408E-2"/>
    <n v="6.0316928868946684E-2"/>
    <n v="41.202931715392566"/>
    <n v="56.32274152535107"/>
    <n v="0.1275176701889518"/>
    <n v="1.5224821784957782E-2"/>
    <n v="1.4272967151070795"/>
    <n v="1.4272967151070795"/>
    <x v="1"/>
  </r>
  <r>
    <s v="Ghana"/>
    <x v="16"/>
    <n v="26858770"/>
    <x v="3"/>
    <n v="0"/>
    <n v="27525596.999999989"/>
    <n v="0"/>
    <m/>
    <n v="0"/>
    <m/>
    <n v="0"/>
    <m/>
    <n v="0"/>
    <m/>
    <n v="0"/>
    <n v="30870640.5"/>
    <n v="0"/>
    <n v="4059"/>
    <m/>
    <n v="0"/>
    <m/>
    <n v="0"/>
    <m/>
    <n v="3453"/>
    <n v="33475870.500000011"/>
    <n v="3602"/>
    <n v="4059"/>
    <n v="0"/>
    <n v="0"/>
    <n v="3602"/>
    <n v="0"/>
    <s v=""/>
    <n v="4059"/>
    <s v="2018 (triag)"/>
    <n v="3602"/>
    <n v="2022"/>
    <s v="Adjust"/>
    <n v="4345.9371270962411"/>
    <n v="4345.9371270962411"/>
    <s v="Increasing"/>
    <n v="2.6327637949120408E-2"/>
    <n v="6.0316928868946684E-2"/>
    <n v="3558.3553155910299"/>
    <n v="4864.1278266255313"/>
    <n v="0"/>
    <n v="1.3148415239392264"/>
    <n v="1.2982297583855928"/>
    <n v="1.2982297583855928"/>
    <x v="1"/>
  </r>
  <r>
    <s v="Ghana"/>
    <x v="16"/>
    <n v="26858771"/>
    <x v="4"/>
    <n v="0"/>
    <n v="27525596.999999989"/>
    <n v="0"/>
    <m/>
    <n v="0"/>
    <m/>
    <n v="0"/>
    <m/>
    <n v="0"/>
    <m/>
    <n v="0"/>
    <n v="30870640.5"/>
    <n v="0"/>
    <n v="1033"/>
    <m/>
    <n v="0"/>
    <m/>
    <n v="0"/>
    <m/>
    <n v="0"/>
    <n v="33475870.500000011"/>
    <n v="0"/>
    <n v="1033"/>
    <n v="0"/>
    <n v="0"/>
    <n v="0"/>
    <n v="0"/>
    <s v=""/>
    <n v="1033"/>
    <s v="2018 (triag)"/>
    <n v="1033"/>
    <s v="2018 (triag)"/>
    <s v=""/>
    <n v="1033"/>
    <n v="1033"/>
    <s v="No change"/>
    <n v="2.6327637949120408E-2"/>
    <n v="6.0316928868946684E-2"/>
    <n v="905.58783961703227"/>
    <n v="1237.9019573550565"/>
    <n v="0"/>
    <n v="0.33462214689066783"/>
    <n v="0.30858047440469089"/>
    <n v="0.30858047440469089"/>
    <x v="1"/>
  </r>
  <r>
    <s v="Ghana"/>
    <x v="16"/>
    <n v="26858772"/>
    <x v="5"/>
    <n v="0"/>
    <n v="27525596.999999989"/>
    <n v="0"/>
    <m/>
    <n v="0"/>
    <m/>
    <n v="0"/>
    <m/>
    <n v="30"/>
    <m/>
    <n v="167"/>
    <n v="30870640.5"/>
    <n v="0"/>
    <n v="0"/>
    <m/>
    <n v="0"/>
    <m/>
    <n v="0"/>
    <m/>
    <n v="0"/>
    <n v="33475870.500000011"/>
    <n v="1550"/>
    <n v="0"/>
    <n v="0"/>
    <n v="167"/>
    <n v="1550"/>
    <n v="0"/>
    <s v=""/>
    <n v="167"/>
    <n v="2017"/>
    <n v="1550"/>
    <n v="2022"/>
    <s v=""/>
    <n v="1550"/>
    <n v="1550"/>
    <s v="Increasing"/>
    <n v="2.6327637949120408E-2"/>
    <n v="6.0316928868946684E-2"/>
    <n v="0"/>
    <n v="0"/>
    <n v="0"/>
    <n v="5.4096707193360627E-2"/>
    <n v="0.46302007292088176"/>
    <n v="0.46302007292088176"/>
    <x v="1"/>
  </r>
  <r>
    <s v="Ghana"/>
    <x v="16"/>
    <n v="26858773"/>
    <x v="6"/>
    <n v="0"/>
    <n v="27525596.999999989"/>
    <n v="0"/>
    <m/>
    <n v="0"/>
    <m/>
    <n v="0"/>
    <m/>
    <n v="0"/>
    <m/>
    <n v="0"/>
    <n v="30870640.5"/>
    <n v="1563"/>
    <n v="1563"/>
    <m/>
    <n v="0"/>
    <m/>
    <n v="0"/>
    <m/>
    <n v="1759"/>
    <n v="33475870.500000011"/>
    <n v="4227"/>
    <n v="398"/>
    <n v="0"/>
    <n v="1563"/>
    <n v="4227"/>
    <n v="0"/>
    <s v=""/>
    <n v="1563"/>
    <n v="2018"/>
    <n v="4227"/>
    <n v="2022"/>
    <s v=""/>
    <n v="4227"/>
    <n v="4227"/>
    <s v="Increasing"/>
    <n v="2.6327637949120408E-2"/>
    <n v="6.0316928868946684E-2"/>
    <n v="348.90993239843067"/>
    <n v="476.9457686614835"/>
    <n v="0"/>
    <n v="0.50630630744444705"/>
    <n v="1.2627005472493982"/>
    <n v="1.2627005472493982"/>
    <x v="1"/>
  </r>
  <r>
    <s v="Ghana"/>
    <x v="16"/>
    <n v="26858774"/>
    <x v="7"/>
    <n v="0"/>
    <n v="27525596.999999989"/>
    <n v="0"/>
    <m/>
    <n v="0"/>
    <m/>
    <n v="0"/>
    <m/>
    <n v="0"/>
    <m/>
    <n v="240"/>
    <n v="30870640.5"/>
    <n v="0"/>
    <n v="1671"/>
    <m/>
    <n v="0"/>
    <m/>
    <n v="0"/>
    <m/>
    <n v="2352"/>
    <n v="33475870.500000011"/>
    <n v="2471"/>
    <n v="1671"/>
    <n v="0"/>
    <n v="240"/>
    <n v="2471"/>
    <n v="0"/>
    <s v=""/>
    <n v="1671"/>
    <s v="2018 (triag)"/>
    <n v="2471"/>
    <n v="2022"/>
    <s v=""/>
    <n v="2471"/>
    <n v="2471"/>
    <s v="Increasing"/>
    <n v="2.6327637949120408E-2"/>
    <n v="6.0316928868946684E-2"/>
    <n v="1464.8957212004464"/>
    <n v="2002.4532146566305"/>
    <n v="0"/>
    <n v="0.5412910043120096"/>
    <n v="0.73814361302419285"/>
    <n v="0.73814361302419285"/>
    <x v="1"/>
  </r>
  <r>
    <s v="Ghana"/>
    <x v="16"/>
    <n v="26858775"/>
    <x v="8"/>
    <n v="0"/>
    <n v="27525596.999999989"/>
    <n v="0"/>
    <m/>
    <n v="0"/>
    <m/>
    <n v="0"/>
    <m/>
    <n v="0"/>
    <m/>
    <n v="0"/>
    <n v="30870640.5"/>
    <n v="0"/>
    <n v="1476"/>
    <m/>
    <n v="0"/>
    <m/>
    <n v="0"/>
    <m/>
    <n v="1673"/>
    <n v="33475870.500000011"/>
    <n v="2703"/>
    <n v="1476"/>
    <n v="0"/>
    <n v="0"/>
    <n v="2703"/>
    <n v="0"/>
    <s v=""/>
    <n v="1476"/>
    <s v="2018 (triag)"/>
    <n v="2703"/>
    <n v="2022"/>
    <s v=""/>
    <n v="2703"/>
    <n v="2703"/>
    <s v="Increasing"/>
    <n v="2.6327637949120408E-2"/>
    <n v="6.0316928868946684E-2"/>
    <n v="1293.9473874876473"/>
    <n v="1768.7737551365569"/>
    <n v="0"/>
    <n v="0.47812419052335503"/>
    <n v="0.80744726264847966"/>
    <n v="0.80744726264847966"/>
    <x v="1"/>
  </r>
  <r>
    <s v="Ghana"/>
    <x v="16"/>
    <n v="26858776"/>
    <x v="9"/>
    <n v="0"/>
    <n v="27525596.999999989"/>
    <n v="0"/>
    <m/>
    <n v="0"/>
    <m/>
    <n v="0"/>
    <m/>
    <n v="0"/>
    <m/>
    <n v="0"/>
    <n v="30870640.5"/>
    <n v="0"/>
    <n v="3883"/>
    <m/>
    <n v="0"/>
    <m/>
    <n v="0"/>
    <m/>
    <n v="3238"/>
    <n v="33475870.500000011"/>
    <n v="3555"/>
    <n v="3883"/>
    <n v="0"/>
    <n v="0"/>
    <n v="3555"/>
    <n v="0"/>
    <s v=""/>
    <n v="3883"/>
    <s v="2018 (triag)"/>
    <n v="3555"/>
    <n v="2022"/>
    <s v="Adjust"/>
    <n v="4289.2300074478444"/>
    <n v="4289.2300074478444"/>
    <s v="Increasing"/>
    <n v="2.6327637949120408E-2"/>
    <n v="6.0316928868946684E-2"/>
    <n v="3404.0634861887092"/>
    <n v="4653.2171349561322"/>
    <n v="0"/>
    <n v="1.2578294253402356"/>
    <n v="1.2812900585954421"/>
    <n v="1.2812900585954421"/>
    <x v="1"/>
  </r>
  <r>
    <s v="Ghana"/>
    <x v="16"/>
    <n v="26858777"/>
    <x v="10"/>
    <n v="0"/>
    <n v="27525596.999999989"/>
    <n v="0"/>
    <m/>
    <n v="0"/>
    <m/>
    <n v="0"/>
    <m/>
    <n v="0"/>
    <m/>
    <n v="133"/>
    <n v="30870640.5"/>
    <n v="0"/>
    <n v="143"/>
    <m/>
    <n v="0"/>
    <m/>
    <n v="0"/>
    <m/>
    <n v="235"/>
    <n v="33475870.500000011"/>
    <n v="309"/>
    <n v="143"/>
    <n v="0"/>
    <n v="133"/>
    <n v="309"/>
    <n v="0"/>
    <s v=""/>
    <n v="143"/>
    <s v="2018 (triag)"/>
    <n v="309"/>
    <n v="2022"/>
    <s v=""/>
    <n v="309"/>
    <n v="309"/>
    <s v="Increasing"/>
    <n v="2.6327637949120408E-2"/>
    <n v="6.0316928868946684E-2"/>
    <n v="125.36211138938589"/>
    <n v="171.3649369813873"/>
    <n v="0"/>
    <n v="4.6322330111680063E-2"/>
    <n v="9.2305291956485458E-2"/>
    <n v="9.2305291956485458E-2"/>
    <x v="1"/>
  </r>
  <r>
    <s v="Ghana"/>
    <x v="16"/>
    <n v="26858778"/>
    <x v="11"/>
    <n v="0"/>
    <n v="27525596.999999989"/>
    <n v="0"/>
    <m/>
    <n v="0"/>
    <m/>
    <n v="0"/>
    <m/>
    <n v="0"/>
    <m/>
    <n v="0"/>
    <n v="30870640.5"/>
    <n v="0"/>
    <n v="23627"/>
    <m/>
    <n v="0"/>
    <m/>
    <n v="0"/>
    <m/>
    <n v="0"/>
    <n v="33475870.500000011"/>
    <n v="0"/>
    <n v="23627"/>
    <n v="0"/>
    <n v="0"/>
    <n v="0"/>
    <n v="0"/>
    <s v=""/>
    <n v="23627"/>
    <s v="2018 (triag)"/>
    <n v="23627"/>
    <s v="2018 (triag)"/>
    <s v=""/>
    <n v="23627"/>
    <n v="23627"/>
    <s v="No change"/>
    <n v="2.6327637949120408E-2"/>
    <n v="6.0316928868946684E-2"/>
    <n v="20712.801439140003"/>
    <n v="28313.562000414247"/>
    <n v="0"/>
    <n v="7.6535503045361173"/>
    <n v="7.0579195244526929"/>
    <n v="7.0579195244526929"/>
    <x v="1"/>
  </r>
  <r>
    <s v="Ghana"/>
    <x v="16"/>
    <n v="26858779"/>
    <x v="12"/>
    <n v="0"/>
    <n v="27525596.999999989"/>
    <n v="0"/>
    <m/>
    <n v="0"/>
    <m/>
    <n v="0"/>
    <m/>
    <n v="0"/>
    <m/>
    <n v="0"/>
    <n v="30870640.5"/>
    <n v="0"/>
    <n v="1877"/>
    <m/>
    <n v="0"/>
    <m/>
    <n v="0"/>
    <m/>
    <n v="0"/>
    <n v="33475870.500000011"/>
    <n v="0"/>
    <n v="1877"/>
    <n v="0"/>
    <n v="0"/>
    <n v="0"/>
    <n v="0"/>
    <s v=""/>
    <n v="1877"/>
    <s v="2018 (triag)"/>
    <n v="1877"/>
    <s v="2018 (triag)"/>
    <s v=""/>
    <n v="1877"/>
    <n v="1877"/>
    <s v="No change"/>
    <n v="2.6327637949120408E-2"/>
    <n v="6.0316928868946684E-2"/>
    <n v="1645.4872942508903"/>
    <n v="2249.3145924060418"/>
    <n v="0"/>
    <n v="0.60802107426310126"/>
    <n v="0.56070237217580332"/>
    <n v="0.56070237217580332"/>
    <x v="1"/>
  </r>
  <r>
    <s v="Ghana"/>
    <x v="16"/>
    <n v="26858780"/>
    <x v="13"/>
    <n v="0"/>
    <n v="27525596.999999989"/>
    <n v="3987"/>
    <m/>
    <n v="0"/>
    <m/>
    <n v="0"/>
    <m/>
    <n v="0"/>
    <m/>
    <n v="0"/>
    <n v="30870640.5"/>
    <n v="0"/>
    <n v="1563"/>
    <m/>
    <n v="0"/>
    <m/>
    <n v="0"/>
    <m/>
    <n v="6276"/>
    <n v="33475870.500000011"/>
    <n v="3748"/>
    <n v="1563"/>
    <n v="3987"/>
    <n v="0"/>
    <n v="6276"/>
    <n v="3987"/>
    <n v="2013"/>
    <n v="1563"/>
    <s v="2018 (triag)"/>
    <n v="3748"/>
    <n v="2022"/>
    <s v=""/>
    <n v="3748"/>
    <n v="3748"/>
    <s v="Increasing"/>
    <n v="2.6327637949120408E-2"/>
    <n v="6.0316928868946684E-2"/>
    <n v="1370.2166440672038"/>
    <n v="1873.0307447685898"/>
    <n v="1.4484699459924526"/>
    <n v="0.50630630744444705"/>
    <n v="1.1196124085854613"/>
    <n v="1.1196124085854613"/>
    <x v="1"/>
  </r>
  <r>
    <s v="Ghana"/>
    <x v="16"/>
    <n v="26858781"/>
    <x v="14"/>
    <n v="0"/>
    <n v="27525596.999999989"/>
    <n v="0"/>
    <m/>
    <n v="0"/>
    <m/>
    <n v="0"/>
    <m/>
    <n v="0"/>
    <m/>
    <n v="0"/>
    <n v="30870640.5"/>
    <n v="0"/>
    <n v="2116"/>
    <m/>
    <n v="0"/>
    <m/>
    <n v="0"/>
    <m/>
    <n v="0"/>
    <n v="33475870.500000011"/>
    <n v="2656"/>
    <n v="2116"/>
    <n v="0"/>
    <n v="0"/>
    <n v="2656"/>
    <n v="0"/>
    <s v=""/>
    <n v="2116"/>
    <s v="2018 (triag)"/>
    <n v="2656"/>
    <n v="2022"/>
    <s v=""/>
    <n v="2656"/>
    <n v="2656"/>
    <s v="Increasing"/>
    <n v="2.6327637949120408E-2"/>
    <n v="6.0316928868946684E-2"/>
    <n v="1855.0085853142696"/>
    <n v="2535.7217248434649"/>
    <n v="0"/>
    <n v="0.68544091270150354"/>
    <n v="0.79340729914700769"/>
    <n v="0.79340729914700769"/>
    <x v="1"/>
  </r>
  <r>
    <s v="Ghana"/>
    <x v="16"/>
    <n v="26858782"/>
    <x v="15"/>
    <n v="0"/>
    <n v="27525596.999999989"/>
    <n v="0"/>
    <m/>
    <n v="0"/>
    <m/>
    <n v="0"/>
    <m/>
    <n v="0"/>
    <m/>
    <n v="324"/>
    <n v="30870640.5"/>
    <n v="0"/>
    <n v="304"/>
    <m/>
    <n v="0"/>
    <m/>
    <n v="0"/>
    <m/>
    <n v="308"/>
    <n v="33475870.500000011"/>
    <n v="381"/>
    <n v="304"/>
    <n v="0"/>
    <n v="324"/>
    <n v="381"/>
    <n v="0"/>
    <s v=""/>
    <n v="304"/>
    <s v="2018 (triag)"/>
    <n v="381"/>
    <n v="2022"/>
    <s v=""/>
    <n v="381"/>
    <n v="381"/>
    <s v="Increasing"/>
    <n v="2.6327637949120408E-2"/>
    <n v="6.0316928868946684E-2"/>
    <n v="266.50406896764554"/>
    <n v="364.30028561078137"/>
    <n v="0"/>
    <n v="9.8475443034620552E-2"/>
    <n v="0.11381332115022964"/>
    <n v="0.11381332115022964"/>
    <x v="1"/>
  </r>
  <r>
    <s v="Ghana"/>
    <x v="16"/>
    <n v="26858783"/>
    <x v="16"/>
    <n v="0"/>
    <n v="27525596.999999989"/>
    <n v="6118"/>
    <m/>
    <n v="0"/>
    <m/>
    <n v="0"/>
    <m/>
    <n v="0"/>
    <m/>
    <n v="0"/>
    <n v="30870640.5"/>
    <n v="0"/>
    <n v="0"/>
    <m/>
    <n v="0"/>
    <m/>
    <n v="0"/>
    <m/>
    <n v="0"/>
    <n v="33475870.500000011"/>
    <n v="0"/>
    <n v="0"/>
    <n v="6118"/>
    <n v="0"/>
    <n v="0"/>
    <n v="6118"/>
    <n v="2013"/>
    <n v="0"/>
    <s v=""/>
    <n v="0"/>
    <s v=""/>
    <s v=""/>
    <n v="0"/>
    <n v="0"/>
    <s v="No change"/>
    <n v="2.6327637949120408E-2"/>
    <n v="6.0316928868946684E-2"/>
    <n v="0"/>
    <n v="0"/>
    <n v="2.2226584222678269"/>
    <n v="0"/>
    <n v="0"/>
    <n v="0"/>
    <x v="1"/>
  </r>
  <r>
    <s v="Ghana"/>
    <x v="16"/>
    <n v="26858784"/>
    <x v="17"/>
    <n v="0"/>
    <n v="27525596.999999989"/>
    <n v="0"/>
    <m/>
    <n v="0"/>
    <m/>
    <n v="0"/>
    <m/>
    <n v="0"/>
    <m/>
    <n v="0"/>
    <n v="30870640.5"/>
    <n v="0"/>
    <n v="0"/>
    <m/>
    <n v="0"/>
    <m/>
    <n v="0"/>
    <m/>
    <n v="9"/>
    <n v="33475870.500000011"/>
    <n v="30"/>
    <n v="0"/>
    <n v="0"/>
    <n v="0"/>
    <n v="30"/>
    <n v="0"/>
    <s v=""/>
    <n v="0"/>
    <s v=""/>
    <n v="30"/>
    <n v="2022"/>
    <s v=""/>
    <n v="30"/>
    <n v="30"/>
    <s v="Increasing"/>
    <n v="2.6327637949120408E-2"/>
    <n v="6.0316928868946684E-2"/>
    <n v="0"/>
    <n v="0"/>
    <n v="0"/>
    <n v="0"/>
    <n v="8.9616788307267433E-3"/>
    <n v="8.9616788307267433E-3"/>
    <x v="1"/>
  </r>
  <r>
    <s v="Ghana"/>
    <x v="16"/>
    <n v="26858785"/>
    <x v="18"/>
    <n v="0"/>
    <n v="27525596.999999989"/>
    <n v="8638"/>
    <m/>
    <n v="0"/>
    <m/>
    <n v="0"/>
    <m/>
    <n v="0"/>
    <m/>
    <n v="0"/>
    <n v="30870640.5"/>
    <n v="0"/>
    <n v="3468"/>
    <m/>
    <n v="0"/>
    <m/>
    <n v="0"/>
    <m/>
    <n v="7"/>
    <n v="33475870.500000011"/>
    <n v="0"/>
    <n v="3468"/>
    <n v="8638"/>
    <n v="0"/>
    <n v="7"/>
    <n v="8638"/>
    <n v="2013"/>
    <n v="3468"/>
    <s v="2018 (triag)"/>
    <n v="7"/>
    <n v="2021"/>
    <s v="Adjust"/>
    <n v="8.4457412242292307"/>
    <n v="3468"/>
    <s v="Decreasing"/>
    <n v="2.6327637949120408E-2"/>
    <n v="6.0316928868946684E-2"/>
    <n v="3040.2503657230086"/>
    <n v="4155.8993108493087"/>
    <n v="3.1381699005474806"/>
    <n v="1.1233974883028424"/>
    <n v="2.5229340112990425E-3"/>
    <n v="1.0359700728320116"/>
    <x v="0"/>
  </r>
  <r>
    <s v="Guinea"/>
    <x v="17"/>
    <n v="10788697"/>
    <x v="0"/>
    <n v="0"/>
    <n v="11055430.000000004"/>
    <n v="0"/>
    <m/>
    <n v="0"/>
    <m/>
    <n v="6700"/>
    <m/>
    <n v="6700"/>
    <m/>
    <n v="0"/>
    <n v="12554864.499999998"/>
    <n v="16567"/>
    <n v="16567"/>
    <m/>
    <n v="0"/>
    <m/>
    <n v="0"/>
    <m/>
    <n v="0"/>
    <n v="13859340.500000006"/>
    <n v="0"/>
    <n v="16567"/>
    <n v="6700"/>
    <n v="16567"/>
    <n v="0"/>
    <n v="6700"/>
    <n v="2015"/>
    <n v="16567"/>
    <n v="2018"/>
    <n v="16567"/>
    <n v="2018"/>
    <s v=""/>
    <n v="16567"/>
    <n v="16567"/>
    <s v="No change"/>
    <n v="4.588291307733483E-2"/>
    <n v="5.4673730437993617E-2"/>
    <n v="13170.746546995812"/>
    <n v="19519.890205880471"/>
    <n v="6.0603703338540411"/>
    <n v="13.195682040216365"/>
    <n v="11.953671244313533"/>
    <n v="11.953671244313533"/>
    <x v="1"/>
  </r>
  <r>
    <s v="Guinea"/>
    <x v="17"/>
    <n v="10788698"/>
    <x v="1"/>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uinea"/>
    <x v="17"/>
    <n v="10788699"/>
    <x v="2"/>
    <n v="0"/>
    <n v="11055430.000000004"/>
    <n v="0"/>
    <m/>
    <n v="0"/>
    <m/>
    <n v="0"/>
    <m/>
    <n v="0"/>
    <m/>
    <n v="0"/>
    <n v="12554864.499999998"/>
    <n v="0"/>
    <n v="0"/>
    <m/>
    <n v="363"/>
    <m/>
    <n v="0"/>
    <m/>
    <n v="0"/>
    <n v="13859340.500000006"/>
    <n v="0"/>
    <n v="0"/>
    <n v="0"/>
    <n v="363"/>
    <n v="0"/>
    <n v="0"/>
    <s v=""/>
    <n v="363"/>
    <n v="2019"/>
    <n v="363"/>
    <n v="2019"/>
    <s v=""/>
    <n v="363"/>
    <n v="363"/>
    <s v="No change"/>
    <n v="4.588291307733483E-2"/>
    <n v="5.4673730437993617E-2"/>
    <n v="0"/>
    <n v="0"/>
    <n v="0"/>
    <n v="0.28913095796454041"/>
    <n v="0.26191722470488393"/>
    <n v="0.26191722470488393"/>
    <x v="1"/>
  </r>
  <r>
    <s v="Guinea"/>
    <x v="17"/>
    <n v="10788700"/>
    <x v="3"/>
    <n v="0"/>
    <n v="11055430.000000004"/>
    <n v="0"/>
    <m/>
    <n v="0"/>
    <m/>
    <n v="0"/>
    <m/>
    <n v="0"/>
    <m/>
    <n v="0"/>
    <n v="12554864.499999998"/>
    <n v="0"/>
    <n v="1"/>
    <m/>
    <n v="0"/>
    <m/>
    <n v="0"/>
    <m/>
    <n v="0"/>
    <n v="13859340.500000006"/>
    <n v="0"/>
    <n v="1"/>
    <n v="0"/>
    <n v="0"/>
    <n v="0"/>
    <n v="0"/>
    <s v=""/>
    <n v="1"/>
    <s v="2018 (triag)"/>
    <n v="1"/>
    <s v="2018 (triag)"/>
    <s v=""/>
    <n v="1"/>
    <n v="1"/>
    <s v="No change"/>
    <n v="4.588291307733483E-2"/>
    <n v="5.4673730437993617E-2"/>
    <n v="0.7949988861589794"/>
    <n v="1.1782392832667634"/>
    <n v="0"/>
    <n v="7.9650401643124077E-4"/>
    <n v="7.2153505428342686E-4"/>
    <n v="7.2153505428342686E-4"/>
    <x v="1"/>
  </r>
  <r>
    <s v="Guinea"/>
    <x v="17"/>
    <n v="10788701"/>
    <x v="4"/>
    <n v="0"/>
    <n v="11055430.000000004"/>
    <n v="0"/>
    <m/>
    <n v="0"/>
    <m/>
    <n v="0"/>
    <m/>
    <n v="0"/>
    <m/>
    <n v="0"/>
    <n v="12554864.499999998"/>
    <n v="0"/>
    <n v="189"/>
    <m/>
    <n v="0"/>
    <m/>
    <n v="0"/>
    <m/>
    <n v="0"/>
    <n v="13859340.500000006"/>
    <n v="0"/>
    <n v="189"/>
    <n v="0"/>
    <n v="0"/>
    <n v="0"/>
    <n v="0"/>
    <s v=""/>
    <n v="189"/>
    <s v="2018 (triag)"/>
    <n v="189"/>
    <s v="2018 (triag)"/>
    <s v=""/>
    <n v="189"/>
    <n v="189"/>
    <s v="No change"/>
    <n v="4.588291307733483E-2"/>
    <n v="5.4673730437993617E-2"/>
    <n v="150.25478948404711"/>
    <n v="222.68722453741827"/>
    <n v="0"/>
    <n v="0.1505392591055045"/>
    <n v="0.13637012525956768"/>
    <n v="0.13637012525956768"/>
    <x v="1"/>
  </r>
  <r>
    <s v="Guinea"/>
    <x v="17"/>
    <n v="10788702"/>
    <x v="5"/>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uinea"/>
    <x v="17"/>
    <n v="10788703"/>
    <x v="6"/>
    <n v="0"/>
    <n v="11055430.000000004"/>
    <n v="0"/>
    <m/>
    <n v="0"/>
    <m/>
    <n v="0"/>
    <m/>
    <n v="0"/>
    <m/>
    <n v="0"/>
    <n v="12554864.499999998"/>
    <n v="181"/>
    <n v="181"/>
    <m/>
    <n v="0"/>
    <m/>
    <n v="0"/>
    <m/>
    <n v="0"/>
    <n v="13859340.500000006"/>
    <n v="0"/>
    <n v="0"/>
    <n v="0"/>
    <n v="181"/>
    <n v="0"/>
    <n v="0"/>
    <s v=""/>
    <n v="181"/>
    <n v="2018"/>
    <n v="181"/>
    <n v="2018"/>
    <s v=""/>
    <n v="181"/>
    <n v="181"/>
    <s v="No change"/>
    <n v="4.588291307733483E-2"/>
    <n v="5.4673730437993617E-2"/>
    <n v="0"/>
    <n v="0"/>
    <n v="0"/>
    <n v="0.14416722697405457"/>
    <n v="0.13059784482530026"/>
    <n v="0.13059784482530026"/>
    <x v="1"/>
  </r>
  <r>
    <s v="Guinea"/>
    <x v="17"/>
    <n v="10788704"/>
    <x v="7"/>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uinea"/>
    <x v="17"/>
    <n v="10788705"/>
    <x v="8"/>
    <n v="0"/>
    <n v="11055430.000000004"/>
    <n v="0"/>
    <m/>
    <n v="0"/>
    <m/>
    <n v="0"/>
    <m/>
    <n v="8"/>
    <m/>
    <n v="0"/>
    <n v="12554864.499999998"/>
    <n v="0"/>
    <n v="0"/>
    <m/>
    <n v="0"/>
    <m/>
    <n v="0"/>
    <m/>
    <n v="0"/>
    <n v="13859340.500000006"/>
    <n v="0"/>
    <n v="0"/>
    <n v="0"/>
    <n v="8"/>
    <n v="0"/>
    <n v="0"/>
    <s v=""/>
    <n v="0"/>
    <s v=""/>
    <n v="0"/>
    <s v=""/>
    <s v=""/>
    <n v="0"/>
    <n v="0"/>
    <s v="No change"/>
    <n v="4.588291307733483E-2"/>
    <n v="5.4673730437993617E-2"/>
    <n v="0"/>
    <n v="0"/>
    <n v="0"/>
    <n v="0"/>
    <n v="0"/>
    <n v="0"/>
    <x v="1"/>
  </r>
  <r>
    <s v="Guinea"/>
    <x v="17"/>
    <n v="10788706"/>
    <x v="9"/>
    <n v="0"/>
    <n v="11055430.000000004"/>
    <n v="0"/>
    <m/>
    <n v="0"/>
    <m/>
    <n v="0"/>
    <m/>
    <n v="0"/>
    <m/>
    <n v="0"/>
    <n v="12554864.499999998"/>
    <n v="0"/>
    <n v="66"/>
    <m/>
    <n v="0"/>
    <m/>
    <n v="0"/>
    <m/>
    <n v="0"/>
    <n v="13859340.500000006"/>
    <n v="0"/>
    <n v="66"/>
    <n v="0"/>
    <n v="0"/>
    <n v="0"/>
    <n v="0"/>
    <s v=""/>
    <n v="66"/>
    <s v="2018 (triag)"/>
    <n v="66"/>
    <s v="2018 (triag)"/>
    <s v=""/>
    <n v="66"/>
    <n v="66"/>
    <s v="No change"/>
    <n v="4.588291307733483E-2"/>
    <n v="5.4673730437993617E-2"/>
    <n v="52.469926486492646"/>
    <n v="77.763792695606384"/>
    <n v="0"/>
    <n v="5.2569265084461893E-2"/>
    <n v="4.7621313582706173E-2"/>
    <n v="4.7621313582706173E-2"/>
    <x v="1"/>
  </r>
  <r>
    <s v="Guinea"/>
    <x v="17"/>
    <n v="10788707"/>
    <x v="10"/>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uinea"/>
    <x v="17"/>
    <n v="10788708"/>
    <x v="11"/>
    <n v="0"/>
    <n v="11055430.000000004"/>
    <n v="0"/>
    <m/>
    <n v="0"/>
    <m/>
    <n v="0"/>
    <m/>
    <n v="0"/>
    <m/>
    <n v="0"/>
    <n v="12554864.499999998"/>
    <n v="0"/>
    <n v="481"/>
    <m/>
    <n v="0"/>
    <m/>
    <n v="0"/>
    <m/>
    <n v="0"/>
    <n v="13859340.500000006"/>
    <n v="0"/>
    <n v="481"/>
    <n v="0"/>
    <n v="0"/>
    <n v="0"/>
    <n v="0"/>
    <s v=""/>
    <n v="481"/>
    <s v="2018 (triag)"/>
    <n v="481"/>
    <s v="2018 (triag)"/>
    <s v=""/>
    <n v="481"/>
    <n v="481"/>
    <s v="No change"/>
    <n v="4.588291307733483E-2"/>
    <n v="5.4673730437993617E-2"/>
    <n v="382.3944642424691"/>
    <n v="566.73309525131322"/>
    <n v="0"/>
    <n v="0.38311843190342681"/>
    <n v="0.34705836111032828"/>
    <n v="0.34705836111032828"/>
    <x v="1"/>
  </r>
  <r>
    <s v="Guinea"/>
    <x v="17"/>
    <n v="10788709"/>
    <x v="12"/>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uinea"/>
    <x v="17"/>
    <n v="10788710"/>
    <x v="13"/>
    <n v="0"/>
    <n v="11055430.000000004"/>
    <n v="0"/>
    <m/>
    <n v="0"/>
    <m/>
    <n v="0"/>
    <m/>
    <n v="209"/>
    <m/>
    <n v="0"/>
    <n v="12554864.499999998"/>
    <n v="0"/>
    <n v="181"/>
    <m/>
    <n v="0"/>
    <m/>
    <n v="0"/>
    <m/>
    <n v="0"/>
    <n v="13859340.500000006"/>
    <n v="0"/>
    <n v="181"/>
    <n v="0"/>
    <n v="209"/>
    <n v="0"/>
    <n v="0"/>
    <s v=""/>
    <n v="181"/>
    <s v="2018 (triag)"/>
    <n v="181"/>
    <s v="2018 (triag)"/>
    <s v=""/>
    <n v="181"/>
    <n v="181"/>
    <s v="No change"/>
    <n v="4.588291307733483E-2"/>
    <n v="5.4673730437993617E-2"/>
    <n v="143.89479839477528"/>
    <n v="213.26131027128417"/>
    <n v="0"/>
    <n v="0.14416722697405457"/>
    <n v="0.13059784482530026"/>
    <n v="0.13059784482530026"/>
    <x v="1"/>
  </r>
  <r>
    <s v="Guinea"/>
    <x v="17"/>
    <n v="10788711"/>
    <x v="14"/>
    <n v="0"/>
    <n v="11055430.000000004"/>
    <n v="0"/>
    <m/>
    <n v="0"/>
    <m/>
    <n v="0"/>
    <m/>
    <n v="0"/>
    <m/>
    <n v="0"/>
    <n v="12554864.499999998"/>
    <n v="0"/>
    <n v="62"/>
    <m/>
    <n v="0"/>
    <m/>
    <n v="0"/>
    <m/>
    <n v="0"/>
    <n v="13859340.500000006"/>
    <n v="0"/>
    <n v="62"/>
    <n v="0"/>
    <n v="0"/>
    <n v="0"/>
    <n v="0"/>
    <s v=""/>
    <n v="62"/>
    <s v="2018 (triag)"/>
    <n v="62"/>
    <s v="2018 (triag)"/>
    <s v=""/>
    <n v="62"/>
    <n v="62"/>
    <s v="No change"/>
    <n v="4.588291307733483E-2"/>
    <n v="5.4673730437993617E-2"/>
    <n v="49.289930941856724"/>
    <n v="73.050835562539334"/>
    <n v="0"/>
    <n v="4.9383249018736926E-2"/>
    <n v="4.4735173365572464E-2"/>
    <n v="4.4735173365572464E-2"/>
    <x v="1"/>
  </r>
  <r>
    <s v="Guinea"/>
    <x v="17"/>
    <n v="10788712"/>
    <x v="15"/>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uinea"/>
    <x v="17"/>
    <n v="10788713"/>
    <x v="16"/>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uinea"/>
    <x v="17"/>
    <n v="10788714"/>
    <x v="17"/>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uinea"/>
    <x v="17"/>
    <n v="10788715"/>
    <x v="18"/>
    <n v="0"/>
    <n v="11055430.000000004"/>
    <n v="0"/>
    <m/>
    <n v="0"/>
    <m/>
    <n v="0"/>
    <m/>
    <n v="0"/>
    <m/>
    <n v="0"/>
    <n v="12554864.499999998"/>
    <n v="0"/>
    <n v="0"/>
    <m/>
    <n v="0"/>
    <m/>
    <n v="0"/>
    <m/>
    <n v="0"/>
    <n v="13859340.500000006"/>
    <n v="0"/>
    <n v="0"/>
    <n v="0"/>
    <n v="0"/>
    <n v="0"/>
    <n v="0"/>
    <s v=""/>
    <n v="0"/>
    <s v=""/>
    <n v="0"/>
    <s v=""/>
    <s v=""/>
    <n v="0"/>
    <n v="0"/>
    <s v="No change"/>
    <n v="4.588291307733483E-2"/>
    <n v="5.4673730437993617E-2"/>
    <n v="0"/>
    <n v="0"/>
    <n v="0"/>
    <n v="0"/>
    <n v="0"/>
    <n v="0"/>
    <x v="1"/>
  </r>
  <r>
    <s v="Gambia"/>
    <x v="18"/>
    <n v="2061019"/>
    <x v="0"/>
    <n v="0"/>
    <n v="2124869.5"/>
    <n v="0"/>
    <m/>
    <n v="0"/>
    <m/>
    <n v="0"/>
    <m/>
    <n v="0"/>
    <m/>
    <n v="0"/>
    <n v="2444915.5000000014"/>
    <n v="1553"/>
    <n v="1553"/>
    <m/>
    <n v="0"/>
    <m/>
    <n v="0"/>
    <m/>
    <n v="0"/>
    <n v="2705991.9999999995"/>
    <n v="0"/>
    <n v="1553"/>
    <n v="0"/>
    <n v="1553"/>
    <n v="0"/>
    <n v="0"/>
    <s v=""/>
    <n v="1553"/>
    <n v="2018"/>
    <n v="1553"/>
    <n v="2018"/>
    <s v=""/>
    <n v="1553"/>
    <n v="1553"/>
    <s v="No change"/>
    <n v="-0.22530855667613492"/>
    <n v="0.45056501122921166"/>
    <n v="4790.9624849220127"/>
    <n v="6000.7446979675451"/>
    <n v="0"/>
    <n v="6.3519577670475691"/>
    <n v="5.7391152671552623"/>
    <n v="5.7391152671552623"/>
    <x v="1"/>
  </r>
  <r>
    <s v="Gambia"/>
    <x v="18"/>
    <n v="2061020"/>
    <x v="1"/>
    <n v="0"/>
    <n v="2124869.5"/>
    <n v="0"/>
    <m/>
    <n v="0"/>
    <m/>
    <n v="0"/>
    <m/>
    <n v="3652"/>
    <m/>
    <n v="0"/>
    <n v="2444915.5000000014"/>
    <n v="0"/>
    <n v="0"/>
    <m/>
    <n v="0"/>
    <m/>
    <n v="0"/>
    <m/>
    <n v="1"/>
    <n v="2705991.9999999995"/>
    <n v="59"/>
    <n v="0"/>
    <n v="0"/>
    <n v="3652"/>
    <n v="59"/>
    <n v="0"/>
    <s v=""/>
    <n v="0"/>
    <s v=""/>
    <n v="59"/>
    <n v="2022"/>
    <s v=""/>
    <n v="59"/>
    <n v="59"/>
    <s v="Increasing"/>
    <n v="-0.22530855667613492"/>
    <n v="0.45056501122921166"/>
    <n v="0"/>
    <n v="0"/>
    <n v="0"/>
    <n v="0"/>
    <n v="0.21803464311793977"/>
    <n v="0.21803464311793977"/>
    <x v="1"/>
  </r>
  <r>
    <s v="Gambia"/>
    <x v="18"/>
    <n v="2061021"/>
    <x v="2"/>
    <n v="0"/>
    <n v="2124869.5"/>
    <n v="0"/>
    <m/>
    <n v="0"/>
    <m/>
    <n v="0"/>
    <m/>
    <n v="3831"/>
    <m/>
    <n v="0"/>
    <n v="2444915.5000000014"/>
    <n v="0"/>
    <n v="316"/>
    <m/>
    <n v="0"/>
    <m/>
    <n v="0"/>
    <m/>
    <n v="2742"/>
    <n v="2705991.9999999995"/>
    <n v="2305"/>
    <n v="316"/>
    <n v="0"/>
    <n v="3831"/>
    <n v="2742"/>
    <n v="0"/>
    <s v=""/>
    <n v="316"/>
    <s v="2018 (triag)"/>
    <n v="2305"/>
    <n v="2022"/>
    <s v=""/>
    <n v="2305"/>
    <n v="2305"/>
    <s v="Increasing"/>
    <n v="-0.22530855667613492"/>
    <n v="0.45056501122921166"/>
    <n v="974.85134915348101"/>
    <n v="1221.0143751176718"/>
    <n v="0"/>
    <n v="1.2924782063020166"/>
    <n v="8.5181330913025626"/>
    <n v="8.5181330913025626"/>
    <x v="1"/>
  </r>
  <r>
    <s v="Gambia"/>
    <x v="18"/>
    <n v="2061022"/>
    <x v="3"/>
    <n v="0"/>
    <n v="2124869.5"/>
    <n v="0"/>
    <m/>
    <n v="0"/>
    <m/>
    <n v="0"/>
    <m/>
    <n v="0"/>
    <m/>
    <n v="0"/>
    <n v="2444915.5000000014"/>
    <n v="0"/>
    <n v="0"/>
    <m/>
    <n v="0"/>
    <m/>
    <n v="0"/>
    <m/>
    <n v="0"/>
    <n v="2705991.9999999995"/>
    <n v="0"/>
    <n v="0"/>
    <n v="0"/>
    <n v="0"/>
    <n v="0"/>
    <n v="0"/>
    <s v=""/>
    <n v="0"/>
    <s v=""/>
    <n v="0"/>
    <s v=""/>
    <s v=""/>
    <n v="0"/>
    <n v="0"/>
    <s v="No change"/>
    <n v="-0.22530855667613492"/>
    <n v="0.45056501122921166"/>
    <n v="0"/>
    <n v="0"/>
    <n v="0"/>
    <n v="0"/>
    <n v="0"/>
    <n v="0"/>
    <x v="1"/>
  </r>
  <r>
    <s v="Gambia"/>
    <x v="18"/>
    <n v="2061023"/>
    <x v="4"/>
    <n v="0"/>
    <n v="2124869.5"/>
    <n v="0"/>
    <m/>
    <n v="0"/>
    <m/>
    <n v="0"/>
    <m/>
    <n v="0"/>
    <m/>
    <n v="0"/>
    <n v="2444915.5000000014"/>
    <n v="0"/>
    <n v="0"/>
    <m/>
    <n v="246"/>
    <m/>
    <n v="479"/>
    <m/>
    <n v="522"/>
    <n v="2705991.9999999995"/>
    <n v="0"/>
    <n v="0"/>
    <n v="0"/>
    <n v="246"/>
    <n v="522"/>
    <n v="0"/>
    <s v=""/>
    <n v="246"/>
    <n v="2019"/>
    <n v="522"/>
    <n v="2021"/>
    <s v=""/>
    <n v="522"/>
    <n v="522"/>
    <s v="Increasing"/>
    <n v="-0.22530855667613492"/>
    <n v="0.45056501122921166"/>
    <n v="0"/>
    <n v="0"/>
    <n v="0"/>
    <n v="1.0061697428806839"/>
    <n v="1.9290522662299079"/>
    <n v="1.9290522662299079"/>
    <x v="1"/>
  </r>
  <r>
    <s v="Gambia"/>
    <x v="18"/>
    <n v="2061024"/>
    <x v="5"/>
    <n v="0"/>
    <n v="2124869.5"/>
    <n v="0"/>
    <m/>
    <n v="0"/>
    <m/>
    <n v="3"/>
    <m/>
    <n v="0"/>
    <m/>
    <n v="0"/>
    <n v="2444915.5000000014"/>
    <n v="7"/>
    <n v="7"/>
    <m/>
    <n v="95"/>
    <m/>
    <n v="4"/>
    <m/>
    <n v="6"/>
    <n v="2705991.9999999995"/>
    <n v="0"/>
    <n v="0"/>
    <n v="3"/>
    <n v="95"/>
    <n v="6"/>
    <n v="3"/>
    <n v="2015"/>
    <n v="7"/>
    <n v="2018"/>
    <n v="6"/>
    <n v="2021"/>
    <s v="Adjust"/>
    <n v="6.1085626911314987"/>
    <n v="7"/>
    <s v="Decreasing"/>
    <n v="-0.22530855667613492"/>
    <n v="0.45056501122921166"/>
    <n v="0"/>
    <n v="0"/>
    <n v="1.4118514101689539E-2"/>
    <n v="2.8630846342133282E-2"/>
    <n v="2.2574208242786747E-2"/>
    <n v="2.5868516980094552E-2"/>
    <x v="1"/>
  </r>
  <r>
    <s v="Gambia"/>
    <x v="18"/>
    <n v="2061025"/>
    <x v="6"/>
    <n v="0"/>
    <n v="2124869.5"/>
    <n v="0"/>
    <m/>
    <n v="0"/>
    <m/>
    <n v="11"/>
    <m/>
    <n v="0"/>
    <m/>
    <n v="0"/>
    <n v="2444915.5000000014"/>
    <n v="138"/>
    <n v="138"/>
    <m/>
    <n v="22"/>
    <m/>
    <n v="13"/>
    <m/>
    <n v="18"/>
    <n v="2705991.9999999995"/>
    <n v="0"/>
    <n v="0"/>
    <n v="11"/>
    <n v="138"/>
    <n v="18"/>
    <n v="11"/>
    <n v="2015"/>
    <n v="138"/>
    <n v="2018"/>
    <n v="18"/>
    <n v="2021"/>
    <s v="Adjust"/>
    <n v="18.325688073394495"/>
    <n v="138"/>
    <s v="Decreasing"/>
    <n v="-0.22530855667613492"/>
    <n v="0.45056501122921166"/>
    <n v="0"/>
    <n v="0"/>
    <n v="5.1767885039528311E-2"/>
    <n v="0.56443668503062749"/>
    <n v="6.7722624728360242E-2"/>
    <n v="0.50997933475043544"/>
    <x v="0"/>
  </r>
  <r>
    <s v="Gambia"/>
    <x v="18"/>
    <n v="2061026"/>
    <x v="7"/>
    <n v="0"/>
    <n v="2124869.5"/>
    <n v="0"/>
    <m/>
    <n v="0"/>
    <m/>
    <n v="0"/>
    <m/>
    <n v="0"/>
    <m/>
    <n v="0"/>
    <n v="2444915.5000000014"/>
    <n v="0"/>
    <n v="0"/>
    <m/>
    <n v="0"/>
    <m/>
    <n v="0"/>
    <m/>
    <n v="0"/>
    <n v="2705991.9999999995"/>
    <n v="0"/>
    <n v="0"/>
    <n v="0"/>
    <n v="0"/>
    <n v="0"/>
    <n v="0"/>
    <s v=""/>
    <n v="0"/>
    <s v=""/>
    <n v="0"/>
    <s v=""/>
    <s v=""/>
    <n v="0"/>
    <n v="0"/>
    <s v="No change"/>
    <n v="-0.22530855667613492"/>
    <n v="0.45056501122921166"/>
    <n v="0"/>
    <n v="0"/>
    <n v="0"/>
    <n v="0"/>
    <n v="0"/>
    <n v="0"/>
    <x v="1"/>
  </r>
  <r>
    <s v="Gambia"/>
    <x v="18"/>
    <n v="2061027"/>
    <x v="8"/>
    <n v="0"/>
    <n v="2124869.5"/>
    <n v="0"/>
    <m/>
    <n v="0"/>
    <m/>
    <n v="32"/>
    <m/>
    <n v="0"/>
    <m/>
    <n v="0"/>
    <n v="2444915.5000000014"/>
    <n v="0"/>
    <n v="0"/>
    <m/>
    <n v="149"/>
    <m/>
    <n v="173"/>
    <m/>
    <n v="172"/>
    <n v="2705991.9999999995"/>
    <n v="0"/>
    <n v="0"/>
    <n v="32"/>
    <n v="149"/>
    <n v="173"/>
    <n v="32"/>
    <n v="2015"/>
    <n v="149"/>
    <n v="2019"/>
    <n v="172"/>
    <n v="2021"/>
    <s v=""/>
    <n v="172"/>
    <n v="172"/>
    <s v="Increasing"/>
    <n v="-0.22530855667613492"/>
    <n v="0.45056501122921166"/>
    <n v="0"/>
    <n v="0"/>
    <n v="0.15059748375135509"/>
    <n v="0.60942801499683696"/>
    <n v="0.63562641722518043"/>
    <n v="0.63562641722518043"/>
    <x v="1"/>
  </r>
  <r>
    <s v="Gambia"/>
    <x v="18"/>
    <n v="2061028"/>
    <x v="9"/>
    <n v="0"/>
    <n v="2124869.5"/>
    <n v="0"/>
    <m/>
    <n v="0"/>
    <m/>
    <n v="0"/>
    <m/>
    <n v="0"/>
    <m/>
    <n v="0"/>
    <n v="2444915.5000000014"/>
    <n v="0"/>
    <n v="0"/>
    <m/>
    <n v="0"/>
    <m/>
    <n v="0"/>
    <m/>
    <n v="0"/>
    <n v="2705991.9999999995"/>
    <n v="0"/>
    <n v="0"/>
    <n v="0"/>
    <n v="0"/>
    <n v="0"/>
    <n v="0"/>
    <s v=""/>
    <n v="0"/>
    <s v=""/>
    <n v="0"/>
    <s v=""/>
    <s v=""/>
    <n v="0"/>
    <n v="0"/>
    <s v="No change"/>
    <n v="-0.22530855667613492"/>
    <n v="0.45056501122921166"/>
    <n v="0"/>
    <n v="0"/>
    <n v="0"/>
    <n v="0"/>
    <n v="0"/>
    <n v="0"/>
    <x v="1"/>
  </r>
  <r>
    <s v="Gambia"/>
    <x v="18"/>
    <n v="2061029"/>
    <x v="10"/>
    <n v="0"/>
    <n v="2124869.5"/>
    <n v="0"/>
    <m/>
    <n v="0"/>
    <m/>
    <n v="17"/>
    <m/>
    <n v="0"/>
    <m/>
    <n v="0"/>
    <n v="2444915.5000000014"/>
    <n v="0"/>
    <n v="0"/>
    <m/>
    <n v="16"/>
    <m/>
    <n v="20"/>
    <m/>
    <n v="18"/>
    <n v="2705991.9999999995"/>
    <n v="0"/>
    <n v="0"/>
    <n v="17"/>
    <n v="16"/>
    <n v="20"/>
    <n v="17"/>
    <n v="2015"/>
    <n v="16"/>
    <n v="2019"/>
    <n v="18"/>
    <n v="2021"/>
    <s v=""/>
    <n v="18"/>
    <n v="18"/>
    <s v="Increasing"/>
    <n v="-0.22530855667613492"/>
    <n v="0.45056501122921166"/>
    <n v="0"/>
    <n v="0"/>
    <n v="8.0004913242907386E-2"/>
    <n v="6.5441934496304643E-2"/>
    <n v="6.6519043663100269E-2"/>
    <n v="6.6519043663100269E-2"/>
    <x v="1"/>
  </r>
  <r>
    <s v="Gambia"/>
    <x v="18"/>
    <n v="2061030"/>
    <x v="11"/>
    <n v="0"/>
    <n v="2124869.5"/>
    <n v="0"/>
    <m/>
    <n v="0"/>
    <m/>
    <n v="0"/>
    <m/>
    <n v="0"/>
    <m/>
    <n v="0"/>
    <n v="2444915.5000000014"/>
    <n v="0"/>
    <n v="0"/>
    <m/>
    <n v="0"/>
    <m/>
    <n v="0"/>
    <m/>
    <n v="0"/>
    <n v="2705991.9999999995"/>
    <n v="0"/>
    <n v="0"/>
    <n v="0"/>
    <n v="0"/>
    <n v="0"/>
    <n v="0"/>
    <s v=""/>
    <n v="0"/>
    <s v=""/>
    <n v="0"/>
    <s v=""/>
    <s v=""/>
    <n v="0"/>
    <n v="0"/>
    <s v="No change"/>
    <n v="-0.22530855667613492"/>
    <n v="0.45056501122921166"/>
    <n v="0"/>
    <n v="0"/>
    <n v="0"/>
    <n v="0"/>
    <n v="0"/>
    <n v="0"/>
    <x v="1"/>
  </r>
  <r>
    <s v="Gambia"/>
    <x v="18"/>
    <n v="2061031"/>
    <x v="12"/>
    <n v="0"/>
    <n v="2124869.5"/>
    <n v="0"/>
    <m/>
    <n v="0"/>
    <m/>
    <n v="0"/>
    <m/>
    <n v="0"/>
    <m/>
    <n v="0"/>
    <n v="2444915.5000000014"/>
    <n v="0"/>
    <n v="0"/>
    <m/>
    <n v="0"/>
    <m/>
    <n v="2253"/>
    <m/>
    <n v="2193"/>
    <n v="2705991.9999999995"/>
    <n v="0"/>
    <n v="0"/>
    <n v="0"/>
    <n v="0"/>
    <n v="2253"/>
    <n v="0"/>
    <s v=""/>
    <n v="0"/>
    <s v=""/>
    <n v="2193"/>
    <n v="2021"/>
    <s v=""/>
    <n v="2193"/>
    <n v="2193"/>
    <s v="Increasing"/>
    <n v="-0.22530855667613492"/>
    <n v="0.45056501122921166"/>
    <n v="0"/>
    <n v="0"/>
    <n v="0"/>
    <n v="0"/>
    <n v="8.1042368196210504"/>
    <n v="8.1042368196210504"/>
    <x v="1"/>
  </r>
  <r>
    <s v="Gambia"/>
    <x v="18"/>
    <n v="2061032"/>
    <x v="13"/>
    <n v="0"/>
    <n v="2124869.5"/>
    <n v="0"/>
    <m/>
    <n v="0"/>
    <m/>
    <n v="141"/>
    <m/>
    <n v="0"/>
    <m/>
    <n v="0"/>
    <n v="2444915.5000000014"/>
    <n v="0"/>
    <n v="138"/>
    <m/>
    <n v="0"/>
    <m/>
    <n v="0"/>
    <m/>
    <n v="0"/>
    <n v="2705991.9999999995"/>
    <n v="0"/>
    <n v="138"/>
    <n v="141"/>
    <n v="0"/>
    <n v="0"/>
    <n v="141"/>
    <n v="2015"/>
    <n v="138"/>
    <s v="2018 (triag)"/>
    <n v="138"/>
    <s v="2018 (triag)"/>
    <s v=""/>
    <n v="138"/>
    <n v="138"/>
    <s v="No change"/>
    <n v="-0.22530855667613492"/>
    <n v="0.45056501122921166"/>
    <n v="425.72622209867211"/>
    <n v="533.22779672860349"/>
    <n v="0.66357016277940839"/>
    <n v="0.56443668503062749"/>
    <n v="0.50997933475043544"/>
    <n v="0.50997933475043544"/>
    <x v="1"/>
  </r>
  <r>
    <s v="Gambia"/>
    <x v="18"/>
    <n v="2061033"/>
    <x v="14"/>
    <n v="0"/>
    <n v="2124869.5"/>
    <n v="0"/>
    <m/>
    <n v="0"/>
    <m/>
    <n v="0"/>
    <m/>
    <n v="0"/>
    <m/>
    <n v="0"/>
    <n v="2444915.5000000014"/>
    <n v="0"/>
    <n v="39"/>
    <m/>
    <n v="0"/>
    <m/>
    <n v="0"/>
    <m/>
    <n v="0"/>
    <n v="2705991.9999999995"/>
    <n v="0"/>
    <n v="39"/>
    <n v="0"/>
    <n v="0"/>
    <n v="0"/>
    <n v="0"/>
    <s v=""/>
    <n v="39"/>
    <s v="2018 (triag)"/>
    <n v="39"/>
    <s v="2018 (triag)"/>
    <s v=""/>
    <n v="39"/>
    <n v="39"/>
    <s v="No change"/>
    <n v="-0.22530855667613492"/>
    <n v="0.45056501122921166"/>
    <n v="120.31393233223342"/>
    <n v="150.69481211895317"/>
    <n v="0"/>
    <n v="0.15951471533474257"/>
    <n v="0.14412459460338392"/>
    <n v="0.14412459460338392"/>
    <x v="1"/>
  </r>
  <r>
    <s v="Gambia"/>
    <x v="18"/>
    <n v="2061034"/>
    <x v="15"/>
    <n v="0"/>
    <n v="2124869.5"/>
    <n v="0"/>
    <m/>
    <n v="0"/>
    <m/>
    <n v="20"/>
    <m/>
    <n v="0"/>
    <m/>
    <n v="0"/>
    <n v="2444915.5000000014"/>
    <n v="0"/>
    <n v="0"/>
    <m/>
    <n v="23"/>
    <m/>
    <n v="32"/>
    <m/>
    <n v="24"/>
    <n v="2705991.9999999995"/>
    <n v="0"/>
    <n v="0"/>
    <n v="20"/>
    <n v="23"/>
    <n v="32"/>
    <n v="20"/>
    <n v="2015"/>
    <n v="23"/>
    <n v="2019"/>
    <n v="24"/>
    <n v="2021"/>
    <s v=""/>
    <n v="24"/>
    <n v="24"/>
    <s v="Increasing"/>
    <n v="-0.22530855667613492"/>
    <n v="0.45056501122921166"/>
    <n v="0"/>
    <n v="0"/>
    <n v="9.412342734459693E-2"/>
    <n v="9.4072780838437925E-2"/>
    <n v="8.8692058217467035E-2"/>
    <n v="8.8692058217467035E-2"/>
    <x v="1"/>
  </r>
  <r>
    <s v="Gambia"/>
    <x v="18"/>
    <n v="2061035"/>
    <x v="16"/>
    <n v="127"/>
    <n v="2124869.5"/>
    <n v="0"/>
    <m/>
    <n v="0"/>
    <m/>
    <n v="0"/>
    <m/>
    <n v="0"/>
    <m/>
    <n v="0"/>
    <n v="2444915.5000000014"/>
    <n v="0"/>
    <n v="0"/>
    <m/>
    <n v="0"/>
    <m/>
    <n v="0"/>
    <m/>
    <n v="0"/>
    <n v="2705991.9999999995"/>
    <n v="0"/>
    <n v="0"/>
    <n v="127"/>
    <n v="0"/>
    <n v="0"/>
    <n v="127"/>
    <n v="2012"/>
    <n v="0"/>
    <s v=""/>
    <n v="0"/>
    <s v=""/>
    <s v=""/>
    <n v="0"/>
    <n v="0"/>
    <s v="No change"/>
    <n v="-0.22530855667613492"/>
    <n v="0.45056501122921166"/>
    <n v="0"/>
    <n v="0"/>
    <n v="0.59768376363819053"/>
    <n v="0"/>
    <n v="0"/>
    <n v="0"/>
    <x v="1"/>
  </r>
  <r>
    <s v="Gambia"/>
    <x v="18"/>
    <n v="2061036"/>
    <x v="17"/>
    <n v="0"/>
    <n v="2124869.5"/>
    <n v="0"/>
    <m/>
    <n v="0"/>
    <m/>
    <n v="0"/>
    <m/>
    <n v="0"/>
    <m/>
    <n v="0"/>
    <n v="2444915.5000000014"/>
    <n v="0"/>
    <n v="0"/>
    <m/>
    <n v="0"/>
    <m/>
    <n v="0"/>
    <m/>
    <n v="0"/>
    <n v="2705991.9999999995"/>
    <n v="0"/>
    <n v="0"/>
    <n v="0"/>
    <n v="0"/>
    <n v="0"/>
    <n v="0"/>
    <s v=""/>
    <n v="0"/>
    <s v=""/>
    <n v="0"/>
    <s v=""/>
    <s v=""/>
    <n v="0"/>
    <n v="0"/>
    <s v="No change"/>
    <n v="-0.22530855667613492"/>
    <n v="0.45056501122921166"/>
    <n v="0"/>
    <n v="0"/>
    <n v="0"/>
    <n v="0"/>
    <n v="0"/>
    <n v="0"/>
    <x v="1"/>
  </r>
  <r>
    <s v="Gambia"/>
    <x v="18"/>
    <n v="2061037"/>
    <x v="18"/>
    <n v="656"/>
    <n v="2124869.5"/>
    <n v="0"/>
    <m/>
    <n v="0"/>
    <m/>
    <n v="0"/>
    <m/>
    <n v="0"/>
    <m/>
    <n v="0"/>
    <n v="2444915.5000000014"/>
    <n v="0"/>
    <n v="0"/>
    <m/>
    <n v="0"/>
    <m/>
    <n v="0"/>
    <m/>
    <n v="0"/>
    <n v="2705991.9999999995"/>
    <n v="0"/>
    <n v="0"/>
    <n v="656"/>
    <n v="0"/>
    <n v="0"/>
    <n v="656"/>
    <n v="2012"/>
    <n v="0"/>
    <s v=""/>
    <n v="0"/>
    <s v=""/>
    <s v=""/>
    <n v="0"/>
    <n v="0"/>
    <s v="No change"/>
    <n v="-0.22530855667613492"/>
    <n v="0.45056501122921166"/>
    <n v="0"/>
    <n v="0"/>
    <n v="3.0872484169027792"/>
    <n v="0"/>
    <n v="0"/>
    <n v="0"/>
    <x v="1"/>
  </r>
  <r>
    <s v="Guinea-Bissau"/>
    <x v="19"/>
    <n v="1652722.5"/>
    <x v="0"/>
    <n v="0"/>
    <n v="1697752.4999999995"/>
    <n v="0"/>
    <m/>
    <n v="0"/>
    <m/>
    <n v="0"/>
    <m/>
    <n v="0"/>
    <m/>
    <n v="0"/>
    <n v="1924954.4999999988"/>
    <n v="3481"/>
    <n v="4057"/>
    <m/>
    <n v="0"/>
    <m/>
    <n v="3711"/>
    <m/>
    <n v="0"/>
    <n v="2105565.4999999991"/>
    <n v="3975"/>
    <n v="4057"/>
    <n v="0"/>
    <n v="3481"/>
    <n v="3975"/>
    <n v="0"/>
    <s v=""/>
    <n v="4057"/>
    <s v="2018 (triag)"/>
    <n v="3975"/>
    <n v="2022"/>
    <s v="Adjust"/>
    <n v="4817.861216730038"/>
    <n v="4817.861216730038"/>
    <s v="Increasing"/>
    <n v="3.0374199904759536E-2"/>
    <n v="4.6424158096915802E-2"/>
    <n v="3485.3650397176534"/>
    <n v="4663.2669209715159"/>
    <n v="0"/>
    <n v="21.07582283113706"/>
    <n v="22.881554702193021"/>
    <n v="22.881554702193021"/>
    <x v="1"/>
  </r>
  <r>
    <s v="Guinea-Bissau"/>
    <x v="19"/>
    <n v="1652723.5"/>
    <x v="1"/>
    <n v="0"/>
    <n v="1697752.4999999995"/>
    <n v="0"/>
    <m/>
    <n v="0"/>
    <m/>
    <n v="496"/>
    <m/>
    <n v="0"/>
    <m/>
    <n v="0"/>
    <n v="1924954.4999999988"/>
    <n v="0"/>
    <n v="0"/>
    <m/>
    <n v="0"/>
    <m/>
    <n v="0"/>
    <m/>
    <n v="0"/>
    <n v="2105565.4999999991"/>
    <n v="0"/>
    <n v="0"/>
    <n v="496"/>
    <n v="0"/>
    <n v="0"/>
    <n v="496"/>
    <n v="2015"/>
    <n v="0"/>
    <s v=""/>
    <n v="0"/>
    <s v=""/>
    <s v=""/>
    <n v="0"/>
    <n v="0"/>
    <s v="No change"/>
    <n v="3.0374199904759536E-2"/>
    <n v="4.6424158096915802E-2"/>
    <n v="0"/>
    <n v="0"/>
    <n v="2.921509466191333"/>
    <n v="0"/>
    <n v="0"/>
    <n v="0"/>
    <x v="1"/>
  </r>
  <r>
    <s v="Guinea-Bissau"/>
    <x v="19"/>
    <n v="1652724.5"/>
    <x v="2"/>
    <n v="0"/>
    <n v="1697752.4999999995"/>
    <n v="0"/>
    <m/>
    <n v="0"/>
    <m/>
    <n v="0"/>
    <m/>
    <n v="0"/>
    <m/>
    <n v="0"/>
    <n v="1924954.4999999988"/>
    <n v="0"/>
    <n v="3"/>
    <m/>
    <n v="0"/>
    <m/>
    <n v="0"/>
    <m/>
    <n v="0"/>
    <n v="2105565.4999999991"/>
    <n v="0"/>
    <n v="3"/>
    <n v="0"/>
    <n v="0"/>
    <n v="0"/>
    <n v="0"/>
    <s v=""/>
    <n v="3"/>
    <s v="2018 (triag)"/>
    <n v="3"/>
    <s v="2018 (triag)"/>
    <s v=""/>
    <n v="3"/>
    <n v="3"/>
    <s v="No change"/>
    <n v="3.0374199904759536E-2"/>
    <n v="4.6424158096915802E-2"/>
    <n v="2.5772972933578902"/>
    <n v="3.4483117483151462"/>
    <n v="0"/>
    <n v="1.5584783952036278E-2"/>
    <n v="1.4247953815732644E-2"/>
    <n v="1.4247953815732644E-2"/>
    <x v="1"/>
  </r>
  <r>
    <s v="Guinea-Bissau"/>
    <x v="19"/>
    <n v="1652725.5"/>
    <x v="3"/>
    <n v="0"/>
    <n v="1697752.4999999995"/>
    <n v="0"/>
    <m/>
    <n v="0"/>
    <m/>
    <n v="0"/>
    <m/>
    <n v="0"/>
    <m/>
    <n v="0"/>
    <n v="1924954.4999999988"/>
    <n v="0"/>
    <n v="0"/>
    <m/>
    <n v="0"/>
    <m/>
    <n v="0"/>
    <m/>
    <n v="0"/>
    <n v="2105565.4999999991"/>
    <n v="0"/>
    <n v="0"/>
    <n v="0"/>
    <n v="0"/>
    <n v="0"/>
    <n v="0"/>
    <s v=""/>
    <n v="0"/>
    <s v=""/>
    <n v="0"/>
    <s v=""/>
    <s v=""/>
    <n v="0"/>
    <n v="0"/>
    <s v="No change"/>
    <n v="3.0374199904759536E-2"/>
    <n v="4.6424158096915802E-2"/>
    <n v="0"/>
    <n v="0"/>
    <n v="0"/>
    <n v="0"/>
    <n v="0"/>
    <n v="0"/>
    <x v="1"/>
  </r>
  <r>
    <s v="Guinea-Bissau"/>
    <x v="19"/>
    <n v="1652726.5"/>
    <x v="4"/>
    <n v="0"/>
    <n v="1697752.4999999995"/>
    <n v="0"/>
    <m/>
    <n v="0"/>
    <m/>
    <n v="0"/>
    <m/>
    <n v="0"/>
    <m/>
    <n v="0"/>
    <n v="1924954.4999999988"/>
    <n v="0"/>
    <n v="130"/>
    <m/>
    <n v="0"/>
    <m/>
    <n v="0"/>
    <m/>
    <n v="0"/>
    <n v="2105565.4999999991"/>
    <n v="0"/>
    <n v="130"/>
    <n v="0"/>
    <n v="0"/>
    <n v="0"/>
    <n v="0"/>
    <s v=""/>
    <n v="130"/>
    <s v="2018 (triag)"/>
    <n v="130"/>
    <s v="2018 (triag)"/>
    <s v=""/>
    <n v="130"/>
    <n v="130"/>
    <s v="No change"/>
    <n v="3.0374199904759536E-2"/>
    <n v="4.6424158096915802E-2"/>
    <n v="111.68288271217524"/>
    <n v="149.42684242698965"/>
    <n v="0"/>
    <n v="0.67534063792157206"/>
    <n v="0.61741133201508125"/>
    <n v="0.61741133201508125"/>
    <x v="1"/>
  </r>
  <r>
    <s v="Guinea-Bissau"/>
    <x v="19"/>
    <n v="1652727.5"/>
    <x v="5"/>
    <n v="0"/>
    <n v="1697752.4999999995"/>
    <n v="0"/>
    <m/>
    <n v="0"/>
    <m/>
    <n v="0"/>
    <m/>
    <n v="4"/>
    <m/>
    <n v="0"/>
    <n v="1924954.4999999988"/>
    <n v="0"/>
    <n v="5"/>
    <m/>
    <n v="0"/>
    <m/>
    <n v="8"/>
    <m/>
    <n v="3"/>
    <n v="2105565.4999999991"/>
    <n v="2"/>
    <n v="5"/>
    <n v="0"/>
    <n v="4"/>
    <n v="8"/>
    <n v="0"/>
    <s v=""/>
    <n v="5"/>
    <s v="2018 (triag)"/>
    <n v="2"/>
    <n v="2022"/>
    <s v="Adjust"/>
    <n v="2.4240811153358681"/>
    <n v="5"/>
    <s v="Decreasing"/>
    <n v="3.0374199904759536E-2"/>
    <n v="4.6424158096915802E-2"/>
    <n v="4.2954954889298174"/>
    <n v="5.7471862471919097"/>
    <n v="0"/>
    <n v="2.5974639920060463E-2"/>
    <n v="1.1512731925631708E-2"/>
    <n v="2.3746589692887742E-2"/>
    <x v="0"/>
  </r>
  <r>
    <s v="Guinea-Bissau"/>
    <x v="19"/>
    <n v="1652728.5"/>
    <x v="6"/>
    <n v="0"/>
    <n v="1697752.4999999995"/>
    <n v="0"/>
    <m/>
    <n v="0"/>
    <m/>
    <n v="0"/>
    <m/>
    <n v="158"/>
    <m/>
    <n v="0"/>
    <n v="1924954.4999999988"/>
    <n v="53"/>
    <n v="53"/>
    <m/>
    <n v="0"/>
    <m/>
    <n v="285"/>
    <m/>
    <n v="200"/>
    <n v="2105565.4999999991"/>
    <n v="1"/>
    <n v="0"/>
    <n v="0"/>
    <n v="158"/>
    <n v="285"/>
    <n v="0"/>
    <s v=""/>
    <n v="53"/>
    <n v="2018"/>
    <n v="1"/>
    <n v="2022"/>
    <s v="Adjust"/>
    <n v="1.2120405576679341"/>
    <n v="53"/>
    <s v="Decreasing"/>
    <n v="3.0374199904759536E-2"/>
    <n v="4.6424158096915802E-2"/>
    <n v="0"/>
    <n v="0"/>
    <n v="0"/>
    <n v="0.27533118315264093"/>
    <n v="5.7563659628158542E-3"/>
    <n v="0.25171385074461006"/>
    <x v="0"/>
  </r>
  <r>
    <s v="Guinea-Bissau"/>
    <x v="19"/>
    <n v="1652729.5"/>
    <x v="7"/>
    <n v="0"/>
    <n v="1697752.4999999995"/>
    <n v="0"/>
    <m/>
    <n v="0"/>
    <m/>
    <n v="0"/>
    <m/>
    <n v="0"/>
    <m/>
    <n v="0"/>
    <n v="1924954.4999999988"/>
    <n v="0"/>
    <n v="0"/>
    <m/>
    <n v="0"/>
    <m/>
    <n v="0"/>
    <m/>
    <n v="0"/>
    <n v="2105565.4999999991"/>
    <n v="0"/>
    <n v="0"/>
    <n v="0"/>
    <n v="0"/>
    <n v="0"/>
    <n v="0"/>
    <s v=""/>
    <n v="0"/>
    <s v=""/>
    <n v="0"/>
    <s v=""/>
    <s v=""/>
    <n v="0"/>
    <n v="0"/>
    <s v="No change"/>
    <n v="3.0374199904759536E-2"/>
    <n v="4.6424158096915802E-2"/>
    <n v="0"/>
    <n v="0"/>
    <n v="0"/>
    <n v="0"/>
    <n v="0"/>
    <n v="0"/>
    <x v="1"/>
  </r>
  <r>
    <s v="Guinea-Bissau"/>
    <x v="19"/>
    <n v="1652730.5"/>
    <x v="8"/>
    <n v="0"/>
    <n v="1697752.4999999995"/>
    <n v="0"/>
    <m/>
    <n v="0"/>
    <m/>
    <n v="0"/>
    <m/>
    <n v="0"/>
    <m/>
    <n v="0"/>
    <n v="1924954.4999999988"/>
    <n v="17"/>
    <n v="17"/>
    <m/>
    <n v="0"/>
    <m/>
    <n v="3"/>
    <m/>
    <n v="2"/>
    <n v="2105565.4999999991"/>
    <n v="51"/>
    <n v="12"/>
    <n v="0"/>
    <n v="17"/>
    <n v="51"/>
    <n v="0"/>
    <s v=""/>
    <n v="17"/>
    <n v="2018"/>
    <n v="51"/>
    <n v="2022"/>
    <s v=""/>
    <n v="51"/>
    <n v="51"/>
    <s v="Increasing"/>
    <n v="3.0374199904759536E-2"/>
    <n v="4.6424158096915802E-2"/>
    <n v="10.309189173431561"/>
    <n v="13.793246993260585"/>
    <n v="0"/>
    <n v="8.8313775728205576E-2"/>
    <n v="0.24221521486745495"/>
    <n v="0.24221521486745495"/>
    <x v="1"/>
  </r>
  <r>
    <s v="Guinea-Bissau"/>
    <x v="19"/>
    <n v="1652731.5"/>
    <x v="9"/>
    <n v="0"/>
    <n v="1697752.4999999995"/>
    <n v="0"/>
    <m/>
    <n v="0"/>
    <m/>
    <n v="0"/>
    <m/>
    <n v="0"/>
    <m/>
    <n v="0"/>
    <n v="1924954.4999999988"/>
    <n v="1"/>
    <n v="24"/>
    <m/>
    <n v="0"/>
    <m/>
    <n v="0"/>
    <m/>
    <n v="0"/>
    <n v="2105565.4999999991"/>
    <n v="0"/>
    <n v="24"/>
    <n v="0"/>
    <n v="1"/>
    <n v="0"/>
    <n v="0"/>
    <s v=""/>
    <n v="24"/>
    <s v="2018 (triag)"/>
    <n v="24"/>
    <s v="2018 (triag)"/>
    <s v=""/>
    <n v="24"/>
    <n v="24"/>
    <s v="No change"/>
    <n v="3.0374199904759536E-2"/>
    <n v="4.6424158096915802E-2"/>
    <n v="20.618378346863121"/>
    <n v="27.58649398652117"/>
    <n v="0"/>
    <n v="0.12467827161629022"/>
    <n v="0.11398363052586115"/>
    <n v="0.11398363052586115"/>
    <x v="1"/>
  </r>
  <r>
    <s v="Guinea-Bissau"/>
    <x v="19"/>
    <n v="1652732.5"/>
    <x v="10"/>
    <n v="0"/>
    <n v="1697752.4999999995"/>
    <n v="0"/>
    <m/>
    <n v="0"/>
    <m/>
    <n v="0"/>
    <m/>
    <n v="0"/>
    <m/>
    <n v="0"/>
    <n v="1924954.4999999988"/>
    <n v="1"/>
    <n v="16"/>
    <m/>
    <n v="0"/>
    <m/>
    <n v="9"/>
    <m/>
    <n v="10"/>
    <n v="2105565.4999999991"/>
    <n v="0"/>
    <n v="16"/>
    <n v="0"/>
    <n v="1"/>
    <n v="10"/>
    <n v="0"/>
    <s v=""/>
    <n v="16"/>
    <s v="2018 (triag)"/>
    <n v="10"/>
    <n v="2021"/>
    <s v="Adjust"/>
    <n v="12.120405576679341"/>
    <n v="16"/>
    <s v="Decreasing"/>
    <n v="3.0374199904759536E-2"/>
    <n v="4.6424158096915802E-2"/>
    <n v="13.745585564575414"/>
    <n v="18.390995991014112"/>
    <n v="0"/>
    <n v="8.311884774419348E-2"/>
    <n v="5.7563659628158542E-2"/>
    <n v="7.5989087017240775E-2"/>
    <x v="1"/>
  </r>
  <r>
    <s v="Guinea-Bissau"/>
    <x v="19"/>
    <n v="1652733.5"/>
    <x v="11"/>
    <n v="0"/>
    <n v="1697752.4999999995"/>
    <n v="0"/>
    <m/>
    <n v="0"/>
    <m/>
    <n v="0"/>
    <m/>
    <n v="0"/>
    <m/>
    <n v="0"/>
    <n v="1924954.4999999988"/>
    <n v="0"/>
    <n v="481"/>
    <m/>
    <n v="0"/>
    <m/>
    <n v="149"/>
    <m/>
    <n v="0"/>
    <n v="2105565.4999999991"/>
    <n v="10"/>
    <n v="481"/>
    <n v="0"/>
    <n v="0"/>
    <n v="149"/>
    <n v="0"/>
    <s v=""/>
    <n v="481"/>
    <s v="2018 (triag)"/>
    <n v="10"/>
    <n v="2022"/>
    <s v="Adjust"/>
    <n v="12.120405576679341"/>
    <n v="481"/>
    <s v="Decreasing"/>
    <n v="3.0374199904759536E-2"/>
    <n v="4.6424158096915802E-2"/>
    <n v="413.22666603504837"/>
    <n v="552.87931697986176"/>
    <n v="0"/>
    <n v="2.4987603603098165"/>
    <n v="5.7563659628158542E-2"/>
    <n v="2.2844219284558007"/>
    <x v="0"/>
  </r>
  <r>
    <s v="Guinea-Bissau"/>
    <x v="19"/>
    <n v="1652734.5"/>
    <x v="12"/>
    <n v="0"/>
    <n v="1697752.4999999995"/>
    <n v="0"/>
    <m/>
    <n v="0"/>
    <m/>
    <n v="0"/>
    <m/>
    <n v="0"/>
    <m/>
    <n v="0"/>
    <n v="1924954.4999999988"/>
    <n v="0"/>
    <n v="69"/>
    <m/>
    <n v="0"/>
    <m/>
    <n v="115"/>
    <m/>
    <n v="86"/>
    <n v="2105565.4999999991"/>
    <n v="64"/>
    <n v="69"/>
    <n v="0"/>
    <n v="0"/>
    <n v="115"/>
    <n v="0"/>
    <s v=""/>
    <n v="69"/>
    <s v="2018 (triag)"/>
    <n v="64"/>
    <n v="2022"/>
    <s v="Adjust"/>
    <n v="77.57059569074778"/>
    <n v="77.57059569074778"/>
    <s v="Increasing"/>
    <n v="3.0374199904759536E-2"/>
    <n v="4.6424158096915802E-2"/>
    <n v="59.277837747231473"/>
    <n v="79.311170211248353"/>
    <n v="0"/>
    <n v="0.35845003089683442"/>
    <n v="0.36840742162021467"/>
    <n v="0.36840742162021467"/>
    <x v="1"/>
  </r>
  <r>
    <s v="Guinea-Bissau"/>
    <x v="19"/>
    <n v="1652735.5"/>
    <x v="13"/>
    <n v="0"/>
    <n v="1697752.4999999995"/>
    <n v="0"/>
    <m/>
    <n v="0"/>
    <m/>
    <n v="0"/>
    <m/>
    <n v="16"/>
    <m/>
    <n v="0"/>
    <n v="1924954.4999999988"/>
    <n v="0"/>
    <n v="172"/>
    <m/>
    <n v="0"/>
    <m/>
    <n v="1"/>
    <m/>
    <n v="1"/>
    <n v="2105565.4999999991"/>
    <n v="197"/>
    <n v="172"/>
    <n v="0"/>
    <n v="16"/>
    <n v="197"/>
    <n v="0"/>
    <s v=""/>
    <n v="172"/>
    <s v="2018 (triag)"/>
    <n v="197"/>
    <n v="2022"/>
    <s v=""/>
    <n v="197"/>
    <n v="197"/>
    <s v="Increasing"/>
    <n v="3.0374199904759536E-2"/>
    <n v="4.6424158096915802E-2"/>
    <n v="147.7650448191857"/>
    <n v="197.70320690340171"/>
    <n v="0"/>
    <n v="0.89352761325008001"/>
    <n v="0.93561563389977698"/>
    <n v="0.93561563389977698"/>
    <x v="1"/>
  </r>
  <r>
    <s v="Guinea-Bissau"/>
    <x v="19"/>
    <n v="1652736.5"/>
    <x v="14"/>
    <n v="0"/>
    <n v="1697752.4999999995"/>
    <n v="0"/>
    <m/>
    <n v="0"/>
    <m/>
    <n v="0"/>
    <m/>
    <n v="11"/>
    <m/>
    <n v="0"/>
    <n v="1924954.4999999988"/>
    <n v="0"/>
    <n v="8"/>
    <m/>
    <n v="0"/>
    <m/>
    <n v="2"/>
    <m/>
    <n v="0"/>
    <n v="2105565.4999999991"/>
    <n v="0"/>
    <n v="8"/>
    <n v="0"/>
    <n v="11"/>
    <n v="2"/>
    <n v="0"/>
    <s v=""/>
    <n v="8"/>
    <s v="2018 (triag)"/>
    <n v="2"/>
    <n v="2020"/>
    <s v="Adjust"/>
    <n v="2.4240811153358681"/>
    <n v="8"/>
    <s v="Decreasing"/>
    <n v="3.0374199904759536E-2"/>
    <n v="4.6424158096915802E-2"/>
    <n v="6.8727927822877071"/>
    <n v="9.1954979955070559"/>
    <n v="0"/>
    <n v="4.155942387209674E-2"/>
    <n v="1.1512731925631708E-2"/>
    <n v="3.7994543508620388E-2"/>
    <x v="0"/>
  </r>
  <r>
    <s v="Guinea-Bissau"/>
    <x v="19"/>
    <n v="1652737.5"/>
    <x v="15"/>
    <n v="0"/>
    <n v="1697752.4999999995"/>
    <n v="0"/>
    <m/>
    <n v="0"/>
    <m/>
    <n v="0"/>
    <m/>
    <n v="0"/>
    <m/>
    <n v="0"/>
    <n v="1924954.4999999988"/>
    <n v="15"/>
    <n v="15"/>
    <m/>
    <n v="0"/>
    <m/>
    <n v="4"/>
    <m/>
    <n v="6"/>
    <n v="2105565.4999999991"/>
    <n v="5"/>
    <n v="13"/>
    <n v="0"/>
    <n v="15"/>
    <n v="6"/>
    <n v="0"/>
    <s v=""/>
    <n v="15"/>
    <n v="2018"/>
    <n v="5"/>
    <n v="2022"/>
    <s v="Adjust"/>
    <n v="6.0602027883396703"/>
    <n v="15"/>
    <s v="Decreasing"/>
    <n v="3.0374199904759536E-2"/>
    <n v="4.6424158096915802E-2"/>
    <n v="11.168288271217524"/>
    <n v="14.942684242698967"/>
    <n v="0"/>
    <n v="7.7923919760181398E-2"/>
    <n v="2.8781829814079271E-2"/>
    <n v="7.1239769078663223E-2"/>
    <x v="0"/>
  </r>
  <r>
    <s v="Guinea-Bissau"/>
    <x v="19"/>
    <n v="1652738.5"/>
    <x v="16"/>
    <n v="0"/>
    <n v="1697752.4999999995"/>
    <n v="0"/>
    <m/>
    <n v="0"/>
    <m/>
    <n v="0"/>
    <m/>
    <n v="0"/>
    <m/>
    <n v="0"/>
    <n v="1924954.4999999988"/>
    <n v="53"/>
    <n v="53"/>
    <m/>
    <n v="0"/>
    <m/>
    <n v="61"/>
    <m/>
    <n v="16"/>
    <n v="2105565.4999999991"/>
    <n v="68"/>
    <n v="0"/>
    <n v="0"/>
    <n v="53"/>
    <n v="68"/>
    <n v="0"/>
    <s v=""/>
    <n v="53"/>
    <n v="2018"/>
    <n v="68"/>
    <n v="2022"/>
    <s v=""/>
    <n v="68"/>
    <n v="68"/>
    <s v="Increasing"/>
    <n v="3.0374199904759536E-2"/>
    <n v="4.6424158096915802E-2"/>
    <n v="0"/>
    <n v="0"/>
    <n v="0"/>
    <n v="0.27533118315264093"/>
    <n v="0.32295361982327325"/>
    <n v="0.32295361982327325"/>
    <x v="1"/>
  </r>
  <r>
    <s v="Guinea-Bissau"/>
    <x v="19"/>
    <n v="1652739.5"/>
    <x v="17"/>
    <n v="0"/>
    <n v="1697752.4999999995"/>
    <n v="0"/>
    <m/>
    <n v="0"/>
    <m/>
    <n v="0"/>
    <m/>
    <n v="0"/>
    <m/>
    <n v="0"/>
    <n v="1924954.4999999988"/>
    <n v="0"/>
    <n v="0"/>
    <m/>
    <n v="0"/>
    <m/>
    <n v="0"/>
    <m/>
    <n v="0"/>
    <n v="2105565.4999999991"/>
    <n v="0"/>
    <n v="0"/>
    <n v="0"/>
    <n v="0"/>
    <n v="0"/>
    <n v="0"/>
    <s v=""/>
    <n v="0"/>
    <s v=""/>
    <n v="0"/>
    <s v=""/>
    <s v=""/>
    <n v="0"/>
    <n v="0"/>
    <s v="No change"/>
    <n v="3.0374199904759536E-2"/>
    <n v="4.6424158096915802E-2"/>
    <n v="0"/>
    <n v="0"/>
    <n v="0"/>
    <n v="0"/>
    <n v="0"/>
    <n v="0"/>
    <x v="1"/>
  </r>
  <r>
    <s v="Guinea-Bissau"/>
    <x v="19"/>
    <n v="1652740.5"/>
    <x v="18"/>
    <n v="0"/>
    <n v="1697752.4999999995"/>
    <n v="0"/>
    <m/>
    <n v="0"/>
    <m/>
    <n v="0"/>
    <m/>
    <n v="0"/>
    <m/>
    <n v="0"/>
    <n v="1924954.4999999988"/>
    <n v="0"/>
    <n v="1063"/>
    <m/>
    <n v="0"/>
    <m/>
    <n v="0"/>
    <m/>
    <n v="0"/>
    <n v="2105565.4999999991"/>
    <n v="0"/>
    <n v="1063"/>
    <n v="0"/>
    <n v="0"/>
    <n v="0"/>
    <n v="0"/>
    <s v=""/>
    <n v="1063"/>
    <s v="2018 (triag)"/>
    <n v="1063"/>
    <s v="2018 (triag)"/>
    <s v=""/>
    <n v="1063"/>
    <n v="1063"/>
    <s v="No change"/>
    <n v="3.0374199904759536E-2"/>
    <n v="4.6424158096915802E-2"/>
    <n v="913.22234094647911"/>
    <n v="1221.8517961530001"/>
    <n v="0"/>
    <n v="5.5222084470048545"/>
    <n v="5.0485249687079339"/>
    <n v="5.0485249687079339"/>
    <x v="1"/>
  </r>
  <r>
    <s v="Equatorial Guinea"/>
    <x v="20"/>
    <n v="1193640.5"/>
    <x v="0"/>
    <n v="0"/>
    <n v="1243941.0000000002"/>
    <n v="0"/>
    <m/>
    <n v="0"/>
    <m/>
    <n v="0"/>
    <m/>
    <n v="0"/>
    <m/>
    <n v="0"/>
    <n v="1502091.5000000002"/>
    <n v="0"/>
    <n v="0"/>
    <m/>
    <n v="0"/>
    <m/>
    <n v="0"/>
    <m/>
    <n v="0"/>
    <n v="1674908"/>
    <n v="146"/>
    <n v="0"/>
    <n v="0"/>
    <n v="0"/>
    <n v="146"/>
    <n v="0"/>
    <s v=""/>
    <n v="0"/>
    <s v=""/>
    <n v="146"/>
    <n v="2022"/>
    <s v=""/>
    <n v="146"/>
    <n v="146"/>
    <s v="Increasing"/>
    <n v="8.5981075235392446E-2"/>
    <n v="0.24963048725605397"/>
    <n v="0"/>
    <n v="0"/>
    <n v="0"/>
    <n v="0"/>
    <n v="0.87168966892509914"/>
    <n v="0.87168966892509914"/>
    <x v="1"/>
  </r>
  <r>
    <s v="Equatorial Guinea"/>
    <x v="20"/>
    <n v="1193641.5"/>
    <x v="1"/>
    <n v="0"/>
    <n v="1243941.0000000002"/>
    <n v="0"/>
    <m/>
    <n v="5"/>
    <m/>
    <n v="1147"/>
    <m/>
    <n v="0"/>
    <m/>
    <n v="0"/>
    <n v="1502091.5000000002"/>
    <n v="0"/>
    <n v="0"/>
    <m/>
    <n v="6"/>
    <m/>
    <n v="0"/>
    <m/>
    <n v="620"/>
    <n v="1674908"/>
    <n v="25"/>
    <n v="0"/>
    <n v="1147"/>
    <n v="6"/>
    <n v="620"/>
    <n v="5"/>
    <n v="2014"/>
    <n v="6"/>
    <n v="2019"/>
    <n v="25"/>
    <n v="2022"/>
    <s v=""/>
    <n v="25"/>
    <n v="25"/>
    <s v="Increasing"/>
    <n v="8.5981075235392446E-2"/>
    <n v="0.24963048725605397"/>
    <n v="0"/>
    <n v="0"/>
    <n v="4.0194832391568402E-2"/>
    <n v="3.994430432500283E-2"/>
    <n v="0.1492619296104622"/>
    <n v="0.1492619296104622"/>
    <x v="1"/>
  </r>
  <r>
    <s v="Equatorial Guinea"/>
    <x v="20"/>
    <n v="1193642.5"/>
    <x v="2"/>
    <n v="0"/>
    <n v="1243941.0000000002"/>
    <n v="0"/>
    <m/>
    <n v="1"/>
    <m/>
    <n v="5310"/>
    <m/>
    <n v="0"/>
    <m/>
    <n v="0"/>
    <n v="1502091.5000000002"/>
    <n v="0"/>
    <n v="0"/>
    <m/>
    <n v="0"/>
    <m/>
    <n v="0"/>
    <m/>
    <n v="0"/>
    <n v="1674908"/>
    <n v="134"/>
    <n v="0"/>
    <n v="5310"/>
    <n v="0"/>
    <n v="134"/>
    <n v="1"/>
    <n v="2014"/>
    <n v="0"/>
    <s v=""/>
    <n v="134"/>
    <n v="2022"/>
    <s v=""/>
    <n v="134"/>
    <n v="134"/>
    <s v="Increasing"/>
    <n v="8.5981075235392446E-2"/>
    <n v="0.24963048725605397"/>
    <n v="0"/>
    <n v="0"/>
    <n v="8.0389664783136802E-3"/>
    <n v="0"/>
    <n v="0.80004394271207735"/>
    <n v="0.80004394271207735"/>
    <x v="1"/>
  </r>
  <r>
    <s v="Equatorial Guinea"/>
    <x v="20"/>
    <n v="1193643.5"/>
    <x v="3"/>
    <n v="0"/>
    <n v="1243941.0000000002"/>
    <n v="0"/>
    <m/>
    <n v="0"/>
    <m/>
    <n v="0"/>
    <m/>
    <n v="0"/>
    <m/>
    <n v="0"/>
    <n v="1502091.5000000002"/>
    <n v="0"/>
    <n v="1847"/>
    <m/>
    <n v="0"/>
    <m/>
    <n v="0"/>
    <m/>
    <n v="0"/>
    <n v="1674908"/>
    <n v="0"/>
    <n v="1847"/>
    <n v="0"/>
    <n v="0"/>
    <n v="0"/>
    <n v="0"/>
    <s v=""/>
    <n v="1847"/>
    <s v="2018 (triag)"/>
    <n v="1847"/>
    <s v="2018 (triag)"/>
    <s v=""/>
    <n v="1847"/>
    <n v="1847"/>
    <s v="No change"/>
    <n v="8.5981075235392446E-2"/>
    <n v="0.24963048725605397"/>
    <n v="1201.603992938343"/>
    <n v="3905.7669380066291"/>
    <n v="0"/>
    <n v="12.296188348046705"/>
    <n v="11.027471359620947"/>
    <n v="11.027471359620947"/>
    <x v="1"/>
  </r>
  <r>
    <s v="Equatorial Guinea"/>
    <x v="20"/>
    <n v="1193644.5"/>
    <x v="4"/>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45.5"/>
    <x v="5"/>
    <n v="0"/>
    <n v="1243941.0000000002"/>
    <n v="0"/>
    <m/>
    <n v="0"/>
    <m/>
    <n v="0"/>
    <m/>
    <n v="0"/>
    <m/>
    <n v="0"/>
    <n v="1502091.5000000002"/>
    <n v="0"/>
    <n v="5"/>
    <m/>
    <n v="0"/>
    <m/>
    <n v="0"/>
    <m/>
    <n v="0"/>
    <n v="1674908"/>
    <n v="0"/>
    <n v="5"/>
    <n v="0"/>
    <n v="0"/>
    <n v="0"/>
    <n v="0"/>
    <s v=""/>
    <n v="5"/>
    <s v="2018 (triag)"/>
    <n v="5"/>
    <s v="2018 (triag)"/>
    <s v=""/>
    <n v="5"/>
    <n v="5"/>
    <s v="No change"/>
    <n v="8.5981075235392446E-2"/>
    <n v="0.24963048725605397"/>
    <n v="3.2528532564654657"/>
    <n v="10.573272707110528"/>
    <n v="0"/>
    <n v="3.3286920270835692E-2"/>
    <n v="2.9852385922092436E-2"/>
    <n v="2.9852385922092436E-2"/>
    <x v="1"/>
  </r>
  <r>
    <s v="Equatorial Guinea"/>
    <x v="20"/>
    <n v="1193646.5"/>
    <x v="6"/>
    <n v="0"/>
    <n v="1243941.0000000002"/>
    <n v="0"/>
    <m/>
    <n v="0"/>
    <m/>
    <n v="0"/>
    <m/>
    <n v="0"/>
    <m/>
    <n v="0"/>
    <n v="1502091.5000000002"/>
    <n v="2"/>
    <n v="134"/>
    <m/>
    <n v="0"/>
    <m/>
    <n v="0"/>
    <m/>
    <n v="0"/>
    <n v="1674908"/>
    <n v="0"/>
    <n v="134"/>
    <n v="0"/>
    <n v="2"/>
    <n v="0"/>
    <n v="0"/>
    <s v=""/>
    <n v="134"/>
    <s v="2018 (triag)"/>
    <n v="134"/>
    <s v="2018 (triag)"/>
    <s v=""/>
    <n v="134"/>
    <n v="134"/>
    <s v="No change"/>
    <n v="8.5981075235392446E-2"/>
    <n v="0.24963048725605397"/>
    <n v="87.176467273274483"/>
    <n v="283.36370855056214"/>
    <n v="0"/>
    <n v="0.89208946325839655"/>
    <n v="0.80004394271207735"/>
    <n v="0.80004394271207735"/>
    <x v="1"/>
  </r>
  <r>
    <s v="Equatorial Guinea"/>
    <x v="20"/>
    <n v="1193647.5"/>
    <x v="7"/>
    <n v="0"/>
    <n v="1243941.0000000002"/>
    <n v="0"/>
    <m/>
    <n v="0"/>
    <m/>
    <n v="0"/>
    <m/>
    <n v="0"/>
    <m/>
    <n v="0"/>
    <n v="1502091.5000000002"/>
    <n v="0"/>
    <n v="0"/>
    <m/>
    <n v="0"/>
    <m/>
    <n v="0"/>
    <m/>
    <n v="0"/>
    <n v="1674908"/>
    <n v="282"/>
    <n v="0"/>
    <n v="0"/>
    <n v="0"/>
    <n v="282"/>
    <n v="0"/>
    <s v=""/>
    <n v="0"/>
    <s v=""/>
    <n v="282"/>
    <n v="2022"/>
    <s v=""/>
    <n v="282"/>
    <n v="282"/>
    <s v="Increasing"/>
    <n v="8.5981075235392446E-2"/>
    <n v="0.24963048725605397"/>
    <n v="0"/>
    <n v="0"/>
    <n v="0"/>
    <n v="0"/>
    <n v="1.6836745660060135"/>
    <n v="1.6836745660060135"/>
    <x v="1"/>
  </r>
  <r>
    <s v="Equatorial Guinea"/>
    <x v="20"/>
    <n v="1193648.5"/>
    <x v="8"/>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49.5"/>
    <x v="9"/>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50.5"/>
    <x v="10"/>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51.5"/>
    <x v="11"/>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52.5"/>
    <x v="12"/>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53.5"/>
    <x v="13"/>
    <n v="0"/>
    <n v="1243941.0000000002"/>
    <n v="0"/>
    <m/>
    <n v="0"/>
    <m/>
    <n v="0"/>
    <m/>
    <n v="0"/>
    <m/>
    <n v="0"/>
    <n v="1502091.5000000002"/>
    <n v="0"/>
    <n v="2"/>
    <m/>
    <n v="0"/>
    <m/>
    <n v="0"/>
    <m/>
    <n v="0"/>
    <n v="1674908"/>
    <n v="228"/>
    <n v="2"/>
    <n v="0"/>
    <n v="0"/>
    <n v="228"/>
    <n v="0"/>
    <s v=""/>
    <n v="2"/>
    <s v="2018 (triag)"/>
    <n v="228"/>
    <n v="2022"/>
    <s v=""/>
    <n v="228"/>
    <n v="228"/>
    <s v="Increasing"/>
    <n v="8.5981075235392446E-2"/>
    <n v="0.24963048725605397"/>
    <n v="1.3011413025861864"/>
    <n v="4.2293090828442113"/>
    <n v="0"/>
    <n v="1.3314768108334277E-2"/>
    <n v="1.3612687980474152"/>
    <n v="1.3612687980474152"/>
    <x v="1"/>
  </r>
  <r>
    <s v="Equatorial Guinea"/>
    <x v="20"/>
    <n v="1193654.5"/>
    <x v="14"/>
    <n v="0"/>
    <n v="1243941.0000000002"/>
    <n v="0"/>
    <m/>
    <n v="0"/>
    <m/>
    <n v="0"/>
    <m/>
    <n v="0"/>
    <m/>
    <n v="0"/>
    <n v="1502091.5000000002"/>
    <n v="0"/>
    <n v="0"/>
    <m/>
    <n v="0"/>
    <m/>
    <n v="0"/>
    <m/>
    <n v="0"/>
    <n v="1674908"/>
    <n v="101"/>
    <n v="0"/>
    <n v="0"/>
    <n v="0"/>
    <n v="101"/>
    <n v="0"/>
    <s v=""/>
    <n v="0"/>
    <s v=""/>
    <n v="101"/>
    <n v="2022"/>
    <s v=""/>
    <n v="101"/>
    <n v="101"/>
    <s v="Increasing"/>
    <n v="8.5981075235392446E-2"/>
    <n v="0.24963048725605397"/>
    <n v="0"/>
    <n v="0"/>
    <n v="0"/>
    <n v="0"/>
    <n v="0.60301819562626724"/>
    <n v="0.60301819562626724"/>
    <x v="1"/>
  </r>
  <r>
    <s v="Equatorial Guinea"/>
    <x v="20"/>
    <n v="1193655.5"/>
    <x v="15"/>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56.5"/>
    <x v="16"/>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57.5"/>
    <x v="17"/>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Equatorial Guinea"/>
    <x v="20"/>
    <n v="1193658.5"/>
    <x v="18"/>
    <n v="0"/>
    <n v="1243941.0000000002"/>
    <n v="0"/>
    <m/>
    <n v="0"/>
    <m/>
    <n v="0"/>
    <m/>
    <n v="0"/>
    <m/>
    <n v="0"/>
    <n v="1502091.5000000002"/>
    <n v="0"/>
    <n v="0"/>
    <m/>
    <n v="0"/>
    <m/>
    <n v="0"/>
    <m/>
    <n v="0"/>
    <n v="1674908"/>
    <n v="0"/>
    <n v="0"/>
    <n v="0"/>
    <n v="0"/>
    <n v="0"/>
    <n v="0"/>
    <s v=""/>
    <n v="0"/>
    <s v=""/>
    <n v="0"/>
    <s v=""/>
    <s v=""/>
    <n v="0"/>
    <n v="0"/>
    <s v="No change"/>
    <n v="8.5981075235392446E-2"/>
    <n v="0.24963048725605397"/>
    <n v="0"/>
    <n v="0"/>
    <n v="0"/>
    <n v="0"/>
    <n v="0"/>
    <n v="0"/>
    <x v="1"/>
  </r>
  <r>
    <s v="Kenya"/>
    <x v="21"/>
    <n v="43725811.5"/>
    <x v="0"/>
    <n v="0"/>
    <n v="44792368.000000007"/>
    <n v="0"/>
    <m/>
    <n v="0"/>
    <m/>
    <n v="0"/>
    <m/>
    <n v="0"/>
    <m/>
    <n v="0"/>
    <n v="49953303.999999993"/>
    <n v="58079"/>
    <n v="58079"/>
    <m/>
    <n v="0"/>
    <m/>
    <n v="91653"/>
    <m/>
    <n v="86490"/>
    <n v="54027486.999999985"/>
    <n v="86423"/>
    <n v="58079"/>
    <n v="0"/>
    <n v="58079"/>
    <n v="91653"/>
    <n v="0"/>
    <s v=""/>
    <n v="58079"/>
    <n v="2018"/>
    <n v="86423"/>
    <n v="2022"/>
    <s v=""/>
    <n v="86423"/>
    <n v="86423"/>
    <s v="Increasing"/>
    <n v="7.1554687899516578E-2"/>
    <n v="7.1815970063989321E-2"/>
    <n v="40610.664853749629"/>
    <n v="72042.20032406706"/>
    <n v="0"/>
    <n v="11.626658368783776"/>
    <n v="15.996116939512664"/>
    <n v="15.996116939512664"/>
    <x v="1"/>
  </r>
  <r>
    <s v="Kenya"/>
    <x v="21"/>
    <n v="43725812.5"/>
    <x v="1"/>
    <n v="0"/>
    <n v="44792368.000000007"/>
    <n v="211"/>
    <m/>
    <n v="0"/>
    <m/>
    <n v="0"/>
    <m/>
    <n v="0"/>
    <m/>
    <n v="0"/>
    <n v="49953303.999999993"/>
    <n v="0"/>
    <n v="1147"/>
    <m/>
    <n v="3877"/>
    <m/>
    <n v="0"/>
    <m/>
    <n v="0"/>
    <n v="54027486.999999985"/>
    <n v="10071"/>
    <n v="1147"/>
    <n v="211"/>
    <n v="3877"/>
    <n v="10071"/>
    <n v="211"/>
    <n v="2013"/>
    <n v="1147"/>
    <s v="2018 (triag)"/>
    <n v="10071"/>
    <n v="2022"/>
    <s v=""/>
    <n v="10071"/>
    <n v="10071"/>
    <s v="Increasing"/>
    <n v="7.1554687899516578E-2"/>
    <n v="7.1815970063989321E-2"/>
    <n v="802.01850216516857"/>
    <n v="1422.7587212538942"/>
    <n v="4.7106239170030033E-2"/>
    <n v="0.22961444151922367"/>
    <n v="1.8640511634383443"/>
    <n v="1.8640511634383443"/>
    <x v="1"/>
  </r>
  <r>
    <s v="Kenya"/>
    <x v="21"/>
    <n v="43725813.5"/>
    <x v="2"/>
    <n v="0"/>
    <n v="44792368.000000007"/>
    <n v="0"/>
    <m/>
    <n v="0"/>
    <m/>
    <n v="201"/>
    <m/>
    <n v="146"/>
    <m/>
    <n v="0"/>
    <n v="49953303.999999993"/>
    <n v="0"/>
    <n v="5310"/>
    <m/>
    <n v="3730"/>
    <m/>
    <n v="0"/>
    <m/>
    <n v="0"/>
    <n v="54027486.999999985"/>
    <n v="553"/>
    <n v="5310"/>
    <n v="201"/>
    <n v="3730"/>
    <n v="553"/>
    <n v="201"/>
    <n v="2015"/>
    <n v="5310"/>
    <s v="2018 (triag)"/>
    <n v="553"/>
    <n v="2022"/>
    <s v="Adjust"/>
    <n v="635.56215030918963"/>
    <n v="5310"/>
    <s v="Decreasing"/>
    <n v="7.1554687899516578E-2"/>
    <n v="7.1815970063989321E-2"/>
    <n v="3712.9191338247997"/>
    <n v="6586.6162248109667"/>
    <n v="4.4873715986616283E-2"/>
    <n v="1.0629927501892569"/>
    <n v="0.11763681518431346"/>
    <n v="0.98283305310868918"/>
    <x v="0"/>
  </r>
  <r>
    <s v="Kenya"/>
    <x v="21"/>
    <n v="43725814.5"/>
    <x v="3"/>
    <n v="0"/>
    <n v="44792368.000000007"/>
    <n v="0"/>
    <m/>
    <n v="0"/>
    <m/>
    <n v="0"/>
    <m/>
    <n v="0"/>
    <m/>
    <n v="0"/>
    <n v="49953303.999999993"/>
    <n v="0"/>
    <n v="0"/>
    <m/>
    <n v="0"/>
    <m/>
    <n v="0"/>
    <m/>
    <n v="0"/>
    <n v="54027486.999999985"/>
    <n v="0"/>
    <n v="0"/>
    <n v="0"/>
    <n v="0"/>
    <n v="0"/>
    <n v="0"/>
    <s v=""/>
    <n v="0"/>
    <s v=""/>
    <n v="0"/>
    <s v=""/>
    <s v=""/>
    <n v="0"/>
    <n v="0"/>
    <s v="No change"/>
    <n v="7.1554687899516578E-2"/>
    <n v="7.1815970063989321E-2"/>
    <n v="0"/>
    <n v="0"/>
    <n v="0"/>
    <n v="0"/>
    <n v="0"/>
    <n v="0"/>
    <x v="1"/>
  </r>
  <r>
    <s v="Kenya"/>
    <x v="21"/>
    <n v="43725815.5"/>
    <x v="4"/>
    <n v="0"/>
    <n v="44792368.000000007"/>
    <n v="0"/>
    <m/>
    <n v="0"/>
    <m/>
    <n v="0"/>
    <m/>
    <n v="0"/>
    <m/>
    <n v="0"/>
    <n v="49953303.999999993"/>
    <n v="0"/>
    <n v="0"/>
    <m/>
    <n v="0"/>
    <m/>
    <n v="0"/>
    <m/>
    <n v="0"/>
    <n v="54027486.999999985"/>
    <n v="0"/>
    <n v="0"/>
    <n v="0"/>
    <n v="0"/>
    <n v="0"/>
    <n v="0"/>
    <s v=""/>
    <n v="0"/>
    <s v=""/>
    <n v="0"/>
    <s v=""/>
    <s v=""/>
    <n v="0"/>
    <n v="0"/>
    <s v="No change"/>
    <n v="7.1554687899516578E-2"/>
    <n v="7.1815970063989321E-2"/>
    <n v="0"/>
    <n v="0"/>
    <n v="0"/>
    <n v="0"/>
    <n v="0"/>
    <n v="0"/>
    <x v="1"/>
  </r>
  <r>
    <s v="Kenya"/>
    <x v="21"/>
    <n v="43725816.5"/>
    <x v="5"/>
    <n v="0"/>
    <n v="44792368.000000007"/>
    <n v="0"/>
    <m/>
    <n v="0"/>
    <m/>
    <n v="0"/>
    <m/>
    <n v="0"/>
    <m/>
    <n v="0"/>
    <n v="49953303.999999993"/>
    <n v="0"/>
    <n v="468"/>
    <m/>
    <n v="468"/>
    <m/>
    <n v="0"/>
    <m/>
    <n v="261"/>
    <n v="54027486.999999985"/>
    <n v="987"/>
    <n v="468"/>
    <n v="0"/>
    <n v="468"/>
    <n v="987"/>
    <n v="0"/>
    <s v=""/>
    <n v="468"/>
    <s v="2018 (triag)"/>
    <n v="987"/>
    <n v="2022"/>
    <s v=""/>
    <n v="987"/>
    <n v="287"/>
    <s v="Increasing"/>
    <n v="7.1554687899516578E-2"/>
    <n v="7.1815970063989321E-2"/>
    <n v="327.24033043879592"/>
    <n v="580.51532828842414"/>
    <n v="0"/>
    <n v="9.3687496626849762E-2"/>
    <n v="0.1826847878377168"/>
    <n v="5.3121108520187157E-2"/>
    <x v="1"/>
  </r>
  <r>
    <s v="Kenya"/>
    <x v="21"/>
    <n v="43725817.5"/>
    <x v="6"/>
    <n v="0"/>
    <n v="44792368.000000007"/>
    <n v="0"/>
    <m/>
    <n v="0"/>
    <m/>
    <n v="0"/>
    <m/>
    <n v="0"/>
    <m/>
    <n v="0"/>
    <n v="49953303.999999993"/>
    <n v="0"/>
    <n v="0"/>
    <m/>
    <n v="0"/>
    <m/>
    <n v="0"/>
    <m/>
    <n v="5019"/>
    <n v="54027486.999999985"/>
    <n v="10000"/>
    <n v="0"/>
    <n v="0"/>
    <n v="0"/>
    <n v="10000"/>
    <n v="0"/>
    <s v=""/>
    <n v="0"/>
    <s v=""/>
    <n v="10000"/>
    <n v="2022"/>
    <s v=""/>
    <n v="10000"/>
    <n v="10000"/>
    <s v="Increasing"/>
    <n v="7.1554687899516578E-2"/>
    <n v="7.1815970063989321E-2"/>
    <n v="0"/>
    <n v="0"/>
    <n v="0"/>
    <n v="0"/>
    <n v="1.8509097045361378"/>
    <n v="1.8509097045361378"/>
    <x v="1"/>
  </r>
  <r>
    <s v="Kenya"/>
    <x v="21"/>
    <n v="43725818.5"/>
    <x v="7"/>
    <n v="0"/>
    <n v="44792368.000000007"/>
    <n v="0"/>
    <m/>
    <n v="0"/>
    <m/>
    <n v="0"/>
    <m/>
    <n v="0"/>
    <m/>
    <n v="0"/>
    <n v="49953303.999999993"/>
    <n v="0"/>
    <n v="0"/>
    <m/>
    <n v="0"/>
    <m/>
    <n v="0"/>
    <m/>
    <n v="0"/>
    <n v="54027486.999999985"/>
    <n v="0"/>
    <n v="0"/>
    <n v="0"/>
    <n v="0"/>
    <n v="0"/>
    <n v="0"/>
    <s v=""/>
    <n v="0"/>
    <s v=""/>
    <n v="0"/>
    <s v=""/>
    <s v=""/>
    <n v="0"/>
    <n v="0"/>
    <s v="No change"/>
    <n v="7.1554687899516578E-2"/>
    <n v="7.1815970063989321E-2"/>
    <n v="0"/>
    <n v="0"/>
    <n v="0"/>
    <n v="0"/>
    <n v="0"/>
    <n v="0"/>
    <x v="1"/>
  </r>
  <r>
    <s v="Kenya"/>
    <x v="21"/>
    <n v="43725819.5"/>
    <x v="8"/>
    <n v="0"/>
    <n v="44792368.000000007"/>
    <n v="0"/>
    <m/>
    <n v="0"/>
    <m/>
    <n v="0"/>
    <m/>
    <n v="0"/>
    <m/>
    <n v="0"/>
    <n v="49953303.999999993"/>
    <n v="430"/>
    <n v="430"/>
    <m/>
    <n v="0"/>
    <m/>
    <n v="0"/>
    <m/>
    <n v="717"/>
    <n v="54027486.999999985"/>
    <n v="0"/>
    <n v="430"/>
    <n v="0"/>
    <n v="430"/>
    <n v="717"/>
    <n v="0"/>
    <s v=""/>
    <n v="430"/>
    <n v="2018"/>
    <n v="717"/>
    <n v="2021"/>
    <s v=""/>
    <n v="717"/>
    <n v="717"/>
    <s v="Increasing"/>
    <n v="7.1554687899516578E-2"/>
    <n v="7.1815970063989321E-2"/>
    <n v="300.66953437752613"/>
    <n v="533.37946829919315"/>
    <n v="0"/>
    <n v="8.6080392199883324E-2"/>
    <n v="0.13271022581524108"/>
    <n v="0.13271022581524108"/>
    <x v="1"/>
  </r>
  <r>
    <s v="Kenya"/>
    <x v="21"/>
    <n v="43725820.5"/>
    <x v="9"/>
    <n v="0"/>
    <n v="44792368.000000007"/>
    <n v="0"/>
    <m/>
    <n v="0"/>
    <m/>
    <n v="0"/>
    <m/>
    <n v="0"/>
    <m/>
    <n v="0"/>
    <n v="49953303.999999993"/>
    <n v="714"/>
    <n v="2419"/>
    <m/>
    <n v="0"/>
    <m/>
    <n v="0"/>
    <m/>
    <n v="0"/>
    <n v="54027486.999999985"/>
    <n v="0"/>
    <n v="2419"/>
    <n v="0"/>
    <n v="714"/>
    <n v="0"/>
    <n v="0"/>
    <s v=""/>
    <n v="2419"/>
    <s v="2018 (triag)"/>
    <n v="2419"/>
    <s v="2018 (triag)"/>
    <s v=""/>
    <n v="2419"/>
    <n v="2419"/>
    <s v="No change"/>
    <n v="7.1554687899516578E-2"/>
    <n v="7.1815970063989321E-2"/>
    <n v="1691.4409387424089"/>
    <n v="3000.5696135249959"/>
    <n v="0"/>
    <n v="0.48425225286399481"/>
    <n v="0.44773505752729176"/>
    <n v="0.44773505752729176"/>
    <x v="1"/>
  </r>
  <r>
    <s v="Kenya"/>
    <x v="21"/>
    <n v="43725821.5"/>
    <x v="10"/>
    <n v="0"/>
    <n v="44792368.000000007"/>
    <n v="0"/>
    <m/>
    <n v="0"/>
    <m/>
    <n v="0"/>
    <m/>
    <n v="0"/>
    <m/>
    <n v="0"/>
    <n v="49953303.999999993"/>
    <n v="0"/>
    <n v="0"/>
    <m/>
    <n v="0"/>
    <m/>
    <n v="0"/>
    <m/>
    <n v="0"/>
    <n v="54027486.999999985"/>
    <n v="0"/>
    <n v="0"/>
    <n v="0"/>
    <n v="0"/>
    <n v="0"/>
    <n v="0"/>
    <s v=""/>
    <n v="0"/>
    <s v=""/>
    <n v="0"/>
    <s v=""/>
    <s v=""/>
    <n v="0"/>
    <n v="0"/>
    <s v="No change"/>
    <n v="7.1554687899516578E-2"/>
    <n v="7.1815970063989321E-2"/>
    <n v="0"/>
    <n v="0"/>
    <n v="0"/>
    <n v="0"/>
    <n v="0"/>
    <n v="0"/>
    <x v="1"/>
  </r>
  <r>
    <s v="Kenya"/>
    <x v="21"/>
    <n v="43725822.5"/>
    <x v="11"/>
    <n v="0"/>
    <n v="44792368.000000007"/>
    <n v="0"/>
    <m/>
    <n v="0"/>
    <m/>
    <n v="0"/>
    <m/>
    <n v="0"/>
    <m/>
    <n v="0"/>
    <n v="49953303.999999993"/>
    <n v="0"/>
    <n v="2759"/>
    <m/>
    <n v="0"/>
    <m/>
    <n v="0"/>
    <m/>
    <n v="3295"/>
    <n v="54027486.999999985"/>
    <n v="0"/>
    <n v="2759"/>
    <n v="0"/>
    <n v="0"/>
    <n v="3295"/>
    <n v="0"/>
    <s v=""/>
    <n v="2759"/>
    <s v="2018 (triag)"/>
    <n v="3295"/>
    <n v="2021"/>
    <s v=""/>
    <n v="3295"/>
    <n v="3295"/>
    <s v="Increasing"/>
    <n v="7.1554687899516578E-2"/>
    <n v="7.1815970063989321E-2"/>
    <n v="1929.1796403432434"/>
    <n v="3422.3115186917998"/>
    <n v="0"/>
    <n v="0.55231581878948399"/>
    <n v="0.60987474764465743"/>
    <n v="0.60987474764465743"/>
    <x v="1"/>
  </r>
  <r>
    <s v="Kenya"/>
    <x v="21"/>
    <n v="43725823.5"/>
    <x v="12"/>
    <n v="0"/>
    <n v="44792368.000000007"/>
    <n v="0"/>
    <m/>
    <n v="0"/>
    <m/>
    <n v="0"/>
    <m/>
    <n v="0"/>
    <m/>
    <n v="0"/>
    <n v="49953303.999999993"/>
    <n v="0"/>
    <n v="0"/>
    <m/>
    <n v="0"/>
    <m/>
    <n v="0"/>
    <m/>
    <n v="11129"/>
    <n v="54027486.999999985"/>
    <n v="0"/>
    <n v="0"/>
    <n v="0"/>
    <n v="0"/>
    <n v="11129"/>
    <n v="0"/>
    <s v=""/>
    <n v="0"/>
    <s v=""/>
    <n v="11129"/>
    <n v="2021"/>
    <s v=""/>
    <n v="11129"/>
    <n v="11129"/>
    <s v="Increasing"/>
    <n v="7.1554687899516578E-2"/>
    <n v="7.1815970063989321E-2"/>
    <n v="0"/>
    <n v="0"/>
    <n v="0"/>
    <n v="0"/>
    <n v="2.059877410178268"/>
    <n v="2.059877410178268"/>
    <x v="1"/>
  </r>
  <r>
    <s v="Kenya"/>
    <x v="21"/>
    <n v="43725824.5"/>
    <x v="13"/>
    <n v="0"/>
    <n v="44792368.000000007"/>
    <n v="0"/>
    <m/>
    <n v="0"/>
    <m/>
    <n v="0"/>
    <m/>
    <n v="0"/>
    <m/>
    <n v="0"/>
    <n v="49953303.999999993"/>
    <n v="0"/>
    <n v="0"/>
    <m/>
    <n v="0"/>
    <m/>
    <n v="0"/>
    <m/>
    <n v="0"/>
    <n v="54027486.999999985"/>
    <n v="1200"/>
    <n v="0"/>
    <n v="0"/>
    <n v="0"/>
    <n v="1200"/>
    <n v="0"/>
    <s v=""/>
    <n v="0"/>
    <s v=""/>
    <n v="1200"/>
    <n v="2022"/>
    <s v=""/>
    <n v="1200"/>
    <n v="1200"/>
    <s v="Increasing"/>
    <n v="7.1554687899516578E-2"/>
    <n v="7.1815970063989321E-2"/>
    <n v="0"/>
    <n v="0"/>
    <n v="0"/>
    <n v="0"/>
    <n v="0.22210916454433655"/>
    <n v="0.22210916454433655"/>
    <x v="1"/>
  </r>
  <r>
    <s v="Kenya"/>
    <x v="21"/>
    <n v="43725825.5"/>
    <x v="14"/>
    <n v="0"/>
    <n v="44792368.000000007"/>
    <n v="13216"/>
    <m/>
    <n v="0"/>
    <m/>
    <n v="0"/>
    <m/>
    <n v="0"/>
    <m/>
    <n v="0"/>
    <n v="49953303.999999993"/>
    <n v="21942"/>
    <n v="21942"/>
    <m/>
    <n v="0"/>
    <m/>
    <n v="0"/>
    <m/>
    <n v="8087"/>
    <n v="54027486.999999985"/>
    <n v="25400"/>
    <n v="21942"/>
    <n v="13216"/>
    <n v="21942"/>
    <n v="25400"/>
    <n v="13216"/>
    <n v="2013"/>
    <n v="21942"/>
    <n v="2018"/>
    <n v="25400"/>
    <n v="2022"/>
    <s v=""/>
    <n v="25400"/>
    <n v="25400"/>
    <s v="Increasing"/>
    <n v="7.1554687899516578E-2"/>
    <n v="7.1815970063989321E-2"/>
    <n v="15342.537030957394"/>
    <n v="27217.237891676501"/>
    <n v="2.9505026391996059"/>
    <n v="4.392502245697302"/>
    <n v="4.7013106495217905"/>
    <n v="4.7013106495217905"/>
    <x v="1"/>
  </r>
  <r>
    <s v="Kenya"/>
    <x v="21"/>
    <n v="43725826.5"/>
    <x v="15"/>
    <n v="0"/>
    <n v="44792368.000000007"/>
    <n v="0"/>
    <m/>
    <n v="0"/>
    <m/>
    <n v="0"/>
    <m/>
    <n v="0"/>
    <m/>
    <n v="0"/>
    <n v="49953303.999999993"/>
    <n v="0"/>
    <n v="0"/>
    <m/>
    <n v="0"/>
    <m/>
    <n v="0"/>
    <m/>
    <n v="718"/>
    <n v="54027486.999999985"/>
    <n v="631"/>
    <n v="0"/>
    <n v="0"/>
    <n v="0"/>
    <n v="718"/>
    <n v="0"/>
    <s v=""/>
    <n v="0"/>
    <s v=""/>
    <n v="631"/>
    <n v="2022"/>
    <s v=""/>
    <n v="631"/>
    <n v="631"/>
    <s v="Increasing"/>
    <n v="7.1554687899516578E-2"/>
    <n v="7.1815970063989321E-2"/>
    <n v="0"/>
    <n v="0"/>
    <n v="0"/>
    <n v="0"/>
    <n v="0.1167924023562303"/>
    <n v="0.1167924023562303"/>
    <x v="1"/>
  </r>
  <r>
    <s v="Kenya"/>
    <x v="21"/>
    <n v="43725827.5"/>
    <x v="16"/>
    <n v="0"/>
    <n v="44792368.000000007"/>
    <n v="0"/>
    <m/>
    <n v="0"/>
    <m/>
    <n v="0"/>
    <m/>
    <n v="0"/>
    <m/>
    <n v="0"/>
    <n v="49953303.999999993"/>
    <n v="0"/>
    <n v="0"/>
    <m/>
    <n v="0"/>
    <m/>
    <n v="0"/>
    <m/>
    <n v="749"/>
    <n v="54027486.999999985"/>
    <n v="642"/>
    <n v="0"/>
    <n v="0"/>
    <n v="0"/>
    <n v="749"/>
    <n v="0"/>
    <s v=""/>
    <n v="0"/>
    <s v=""/>
    <n v="642"/>
    <n v="2022"/>
    <s v=""/>
    <n v="642"/>
    <n v="642"/>
    <s v="Increasing"/>
    <n v="7.1554687899516578E-2"/>
    <n v="7.1815970063989321E-2"/>
    <n v="0"/>
    <n v="0"/>
    <n v="0"/>
    <n v="0"/>
    <n v="0.11882840303122005"/>
    <n v="0.11882840303122005"/>
    <x v="1"/>
  </r>
  <r>
    <s v="Kenya"/>
    <x v="21"/>
    <n v="43725828.5"/>
    <x v="17"/>
    <n v="0"/>
    <n v="44792368.000000007"/>
    <n v="0"/>
    <m/>
    <n v="0"/>
    <m/>
    <n v="0"/>
    <m/>
    <n v="0"/>
    <m/>
    <n v="0"/>
    <n v="49953303.999999993"/>
    <n v="0"/>
    <n v="0"/>
    <m/>
    <n v="0"/>
    <m/>
    <n v="0"/>
    <m/>
    <n v="0"/>
    <n v="54027486.999999985"/>
    <n v="0"/>
    <n v="0"/>
    <n v="0"/>
    <n v="0"/>
    <n v="0"/>
    <n v="0"/>
    <s v=""/>
    <n v="0"/>
    <s v=""/>
    <n v="0"/>
    <s v=""/>
    <s v=""/>
    <n v="0"/>
    <n v="0"/>
    <s v="No change"/>
    <n v="7.1554687899516578E-2"/>
    <n v="7.1815970063989321E-2"/>
    <n v="0"/>
    <n v="0"/>
    <n v="0"/>
    <n v="0"/>
    <n v="0"/>
    <n v="0"/>
    <x v="1"/>
  </r>
  <r>
    <s v="Kenya"/>
    <x v="21"/>
    <n v="43725829.5"/>
    <x v="18"/>
    <n v="0"/>
    <n v="44792368.000000007"/>
    <n v="0"/>
    <m/>
    <n v="0"/>
    <m/>
    <n v="0"/>
    <m/>
    <n v="0"/>
    <m/>
    <n v="0"/>
    <n v="49953303.999999993"/>
    <n v="0"/>
    <n v="0"/>
    <m/>
    <n v="0"/>
    <m/>
    <n v="0"/>
    <m/>
    <n v="0"/>
    <n v="54027486.999999985"/>
    <n v="0"/>
    <n v="0"/>
    <n v="0"/>
    <n v="0"/>
    <n v="0"/>
    <n v="0"/>
    <s v=""/>
    <n v="0"/>
    <s v=""/>
    <n v="0"/>
    <s v=""/>
    <s v=""/>
    <n v="0"/>
    <n v="0"/>
    <s v="No change"/>
    <n v="7.1554687899516578E-2"/>
    <n v="7.1815970063989321E-2"/>
    <n v="0"/>
    <n v="0"/>
    <n v="0"/>
    <n v="0"/>
    <n v="0"/>
    <n v="0"/>
    <x v="1"/>
  </r>
  <r>
    <s v="Liberia"/>
    <x v="22"/>
    <n v="4331745.5"/>
    <x v="0"/>
    <n v="0"/>
    <n v="4427312.4999999991"/>
    <n v="0"/>
    <m/>
    <n v="0"/>
    <m/>
    <n v="0"/>
    <m/>
    <n v="0"/>
    <m/>
    <n v="0"/>
    <n v="4889391"/>
    <n v="3391"/>
    <n v="3391"/>
    <m/>
    <n v="0"/>
    <m/>
    <n v="12625"/>
    <m/>
    <n v="0"/>
    <n v="5302681.0000000028"/>
    <n v="0"/>
    <n v="3391"/>
    <n v="0"/>
    <n v="3391"/>
    <n v="12625"/>
    <n v="0"/>
    <s v=""/>
    <n v="3391"/>
    <n v="2018"/>
    <n v="12625"/>
    <n v="2020"/>
    <s v=""/>
    <n v="12625"/>
    <n v="12625"/>
    <s v="Increasing"/>
    <n v="0.14269498586031326"/>
    <n v="5.4673730437993617E-2"/>
    <n v="1661.3822454093627"/>
    <n v="3995.4094095575947"/>
    <n v="0"/>
    <n v="6.9354240640603297"/>
    <n v="23.808711102930751"/>
    <n v="23.808711102930751"/>
    <x v="1"/>
  </r>
  <r>
    <s v="Liberia"/>
    <x v="22"/>
    <n v="4331746.5"/>
    <x v="1"/>
    <n v="0"/>
    <n v="4427312.4999999991"/>
    <n v="0"/>
    <m/>
    <n v="0"/>
    <m/>
    <n v="0"/>
    <m/>
    <n v="8"/>
    <m/>
    <n v="0"/>
    <n v="4889391"/>
    <n v="0"/>
    <n v="0"/>
    <m/>
    <n v="0"/>
    <m/>
    <n v="0"/>
    <m/>
    <n v="0"/>
    <n v="5302681.0000000028"/>
    <n v="0"/>
    <n v="0"/>
    <n v="0"/>
    <n v="8"/>
    <n v="0"/>
    <n v="0"/>
    <s v=""/>
    <n v="0"/>
    <s v=""/>
    <n v="0"/>
    <s v=""/>
    <s v=""/>
    <n v="0"/>
    <n v="0"/>
    <s v="No change"/>
    <n v="0.14269498586031326"/>
    <n v="5.4673730437993617E-2"/>
    <n v="0"/>
    <n v="0"/>
    <n v="0"/>
    <n v="0"/>
    <n v="0"/>
    <n v="0"/>
    <x v="1"/>
  </r>
  <r>
    <s v="Liberia"/>
    <x v="22"/>
    <n v="4331747.5"/>
    <x v="2"/>
    <n v="0"/>
    <n v="4427312.4999999991"/>
    <n v="0"/>
    <m/>
    <n v="2036"/>
    <m/>
    <n v="0"/>
    <m/>
    <n v="344"/>
    <m/>
    <n v="0"/>
    <n v="4889391"/>
    <n v="0"/>
    <n v="285"/>
    <m/>
    <n v="0"/>
    <m/>
    <n v="0"/>
    <m/>
    <n v="0"/>
    <n v="5302681.0000000028"/>
    <n v="0"/>
    <n v="285"/>
    <n v="2036"/>
    <n v="344"/>
    <n v="0"/>
    <n v="2036"/>
    <n v="2014"/>
    <n v="285"/>
    <s v="2018 (triag)"/>
    <n v="285"/>
    <s v="2018 (triag)"/>
    <s v=""/>
    <n v="285"/>
    <n v="285"/>
    <s v="No change"/>
    <n v="0.14269498586031326"/>
    <n v="5.4673730437993617E-2"/>
    <n v="139.63253905681756"/>
    <n v="335.79819573102759"/>
    <n v="4.5987266541496687"/>
    <n v="0.58289467952143736"/>
    <n v="0.53746397341269414"/>
    <n v="0.53746397341269414"/>
    <x v="1"/>
  </r>
  <r>
    <s v="Liberia"/>
    <x v="22"/>
    <n v="4331748.5"/>
    <x v="3"/>
    <n v="0"/>
    <n v="4427312.4999999991"/>
    <n v="0"/>
    <m/>
    <n v="0"/>
    <m/>
    <n v="0"/>
    <m/>
    <n v="0"/>
    <m/>
    <n v="0"/>
    <n v="4889391"/>
    <n v="0"/>
    <n v="148"/>
    <m/>
    <n v="0"/>
    <m/>
    <n v="0"/>
    <m/>
    <n v="0"/>
    <n v="5302681.0000000028"/>
    <n v="0"/>
    <n v="148"/>
    <n v="0"/>
    <n v="0"/>
    <n v="0"/>
    <n v="0"/>
    <s v=""/>
    <n v="148"/>
    <s v="2018 (triag)"/>
    <n v="148"/>
    <s v="2018 (triag)"/>
    <s v=""/>
    <n v="148"/>
    <n v="148"/>
    <s v="No change"/>
    <n v="0.14269498586031326"/>
    <n v="5.4673730437993617E-2"/>
    <n v="72.51093256283859"/>
    <n v="174.379413923481"/>
    <n v="0"/>
    <n v="0.30269618445323765"/>
    <n v="0.2791040984739605"/>
    <n v="0.2791040984739605"/>
    <x v="1"/>
  </r>
  <r>
    <s v="Liberia"/>
    <x v="22"/>
    <n v="4331749.5"/>
    <x v="4"/>
    <n v="0"/>
    <n v="4427312.4999999991"/>
    <n v="0"/>
    <m/>
    <n v="0"/>
    <m/>
    <n v="0"/>
    <m/>
    <n v="0"/>
    <m/>
    <n v="0"/>
    <n v="4889391"/>
    <n v="0"/>
    <n v="1404"/>
    <m/>
    <n v="0"/>
    <m/>
    <n v="0"/>
    <m/>
    <n v="0"/>
    <n v="5302681.0000000028"/>
    <n v="0"/>
    <n v="1404"/>
    <n v="0"/>
    <n v="0"/>
    <n v="0"/>
    <n v="0"/>
    <s v=""/>
    <n v="1404"/>
    <s v="2018 (triag)"/>
    <n v="1404"/>
    <s v="2018 (triag)"/>
    <s v=""/>
    <n v="1404"/>
    <n v="1404"/>
    <s v="No change"/>
    <n v="0.14269498586031326"/>
    <n v="5.4673730437993617E-2"/>
    <n v="687.87398187990129"/>
    <n v="1654.2479537065358"/>
    <n v="0"/>
    <n v="2.8715232633266599"/>
    <n v="2.6477172584962196"/>
    <n v="2.6477172584962196"/>
    <x v="1"/>
  </r>
  <r>
    <s v="Liberia"/>
    <x v="22"/>
    <n v="4331750.5"/>
    <x v="5"/>
    <n v="0"/>
    <n v="4427312.4999999991"/>
    <n v="0"/>
    <m/>
    <n v="0"/>
    <m/>
    <n v="0"/>
    <m/>
    <n v="0"/>
    <m/>
    <n v="0"/>
    <n v="4889391"/>
    <n v="0"/>
    <n v="0"/>
    <m/>
    <n v="0"/>
    <m/>
    <n v="0"/>
    <m/>
    <n v="0"/>
    <n v="5302681.0000000028"/>
    <n v="0"/>
    <n v="0"/>
    <n v="0"/>
    <n v="0"/>
    <n v="0"/>
    <n v="0"/>
    <s v=""/>
    <n v="0"/>
    <s v=""/>
    <n v="0"/>
    <s v=""/>
    <s v=""/>
    <n v="0"/>
    <n v="0"/>
    <s v="No change"/>
    <n v="0.14269498586031326"/>
    <n v="5.4673730437993617E-2"/>
    <n v="0"/>
    <n v="0"/>
    <n v="0"/>
    <n v="0"/>
    <n v="0"/>
    <n v="0"/>
    <x v="1"/>
  </r>
  <r>
    <s v="Liberia"/>
    <x v="22"/>
    <n v="4331751.5"/>
    <x v="6"/>
    <n v="0"/>
    <n v="4427312.4999999991"/>
    <n v="0"/>
    <m/>
    <n v="0"/>
    <m/>
    <n v="0"/>
    <m/>
    <n v="0"/>
    <m/>
    <n v="0"/>
    <n v="4889391"/>
    <n v="0"/>
    <n v="115"/>
    <m/>
    <n v="0"/>
    <m/>
    <n v="0"/>
    <m/>
    <n v="0"/>
    <n v="5302681.0000000028"/>
    <n v="0"/>
    <n v="115"/>
    <n v="0"/>
    <n v="0"/>
    <n v="0"/>
    <n v="0"/>
    <s v=""/>
    <n v="115"/>
    <s v="2018 (triag)"/>
    <n v="115"/>
    <s v="2018 (triag)"/>
    <s v=""/>
    <n v="115"/>
    <n v="115"/>
    <s v="No change"/>
    <n v="0.14269498586031326"/>
    <n v="5.4673730437993617E-2"/>
    <n v="56.342954356259717"/>
    <n v="135.49751757567779"/>
    <n v="0"/>
    <n v="0.23520311629812385"/>
    <n v="0.21687142786828009"/>
    <n v="0.21687142786828009"/>
    <x v="1"/>
  </r>
  <r>
    <s v="Liberia"/>
    <x v="22"/>
    <n v="4331752.5"/>
    <x v="7"/>
    <n v="0"/>
    <n v="4427312.4999999991"/>
    <n v="0"/>
    <m/>
    <n v="0"/>
    <m/>
    <n v="0"/>
    <m/>
    <n v="0"/>
    <m/>
    <n v="0"/>
    <n v="4889391"/>
    <n v="0"/>
    <n v="527"/>
    <m/>
    <n v="0"/>
    <m/>
    <n v="0"/>
    <m/>
    <n v="0"/>
    <n v="5302681.0000000028"/>
    <n v="0"/>
    <n v="527"/>
    <n v="0"/>
    <n v="0"/>
    <n v="0"/>
    <n v="0"/>
    <s v=""/>
    <n v="527"/>
    <s v="2018 (triag)"/>
    <n v="527"/>
    <s v="2018 (triag)"/>
    <s v=""/>
    <n v="527"/>
    <n v="527"/>
    <s v="No change"/>
    <n v="0.14269498586031326"/>
    <n v="5.4673730437993617E-2"/>
    <n v="258.19771257172931"/>
    <n v="620.93210228158432"/>
    <n v="0"/>
    <n v="1.0778438459922719"/>
    <n v="0.99383689118768359"/>
    <n v="0.99383689118768359"/>
    <x v="1"/>
  </r>
  <r>
    <s v="Liberia"/>
    <x v="22"/>
    <n v="4331753.5"/>
    <x v="8"/>
    <n v="0"/>
    <n v="4427312.4999999991"/>
    <n v="0"/>
    <m/>
    <n v="0"/>
    <m/>
    <n v="0"/>
    <m/>
    <n v="0"/>
    <m/>
    <n v="0"/>
    <n v="4889391"/>
    <n v="0"/>
    <n v="9"/>
    <m/>
    <n v="0"/>
    <m/>
    <n v="0"/>
    <m/>
    <n v="0"/>
    <n v="5302681.0000000028"/>
    <n v="0"/>
    <n v="9"/>
    <n v="0"/>
    <n v="0"/>
    <n v="0"/>
    <n v="0"/>
    <s v=""/>
    <n v="9"/>
    <s v="2018 (triag)"/>
    <n v="9"/>
    <s v="2018 (triag)"/>
    <s v=""/>
    <n v="9"/>
    <n v="9"/>
    <s v="No change"/>
    <n v="0.14269498586031326"/>
    <n v="5.4673730437993617E-2"/>
    <n v="4.4094486017942387"/>
    <n v="10.60415354940087"/>
    <n v="0"/>
    <n v="1.8407200405940127E-2"/>
    <n v="1.6972546528821922E-2"/>
    <n v="1.6972546528821922E-2"/>
    <x v="1"/>
  </r>
  <r>
    <s v="Liberia"/>
    <x v="22"/>
    <n v="4331754.5"/>
    <x v="9"/>
    <n v="0"/>
    <n v="4427312.4999999991"/>
    <n v="0"/>
    <m/>
    <n v="0"/>
    <m/>
    <n v="0"/>
    <m/>
    <n v="0"/>
    <m/>
    <n v="0"/>
    <n v="4889391"/>
    <n v="0"/>
    <n v="65"/>
    <m/>
    <n v="0"/>
    <m/>
    <n v="0"/>
    <m/>
    <n v="0"/>
    <n v="5302681.0000000028"/>
    <n v="0"/>
    <n v="65"/>
    <n v="0"/>
    <n v="0"/>
    <n v="0"/>
    <n v="0"/>
    <s v=""/>
    <n v="65"/>
    <s v="2018 (triag)"/>
    <n v="65"/>
    <s v="2018 (triag)"/>
    <s v=""/>
    <n v="65"/>
    <n v="65"/>
    <s v="No change"/>
    <n v="0.14269498586031326"/>
    <n v="5.4673730437993617E-2"/>
    <n v="31.84601767962506"/>
    <n v="76.585553412339621"/>
    <n v="0"/>
    <n v="0.1329408918206787"/>
    <n v="0.12257950270815832"/>
    <n v="0.12257950270815832"/>
    <x v="1"/>
  </r>
  <r>
    <s v="Liberia"/>
    <x v="22"/>
    <n v="4331755.5"/>
    <x v="10"/>
    <n v="0"/>
    <n v="4427312.4999999991"/>
    <n v="0"/>
    <m/>
    <n v="0"/>
    <m/>
    <n v="0"/>
    <m/>
    <n v="0"/>
    <m/>
    <n v="0"/>
    <n v="4889391"/>
    <n v="0"/>
    <n v="5"/>
    <m/>
    <n v="0"/>
    <m/>
    <n v="0"/>
    <m/>
    <n v="0"/>
    <n v="5302681.0000000028"/>
    <n v="0"/>
    <n v="5"/>
    <n v="0"/>
    <n v="0"/>
    <n v="0"/>
    <n v="0"/>
    <s v=""/>
    <n v="5"/>
    <s v="2018 (triag)"/>
    <n v="5"/>
    <s v="2018 (triag)"/>
    <s v=""/>
    <n v="5"/>
    <n v="5"/>
    <s v="No change"/>
    <n v="0.14269498586031326"/>
    <n v="5.4673730437993617E-2"/>
    <n v="2.4496936676634662"/>
    <n v="5.8911964163338171"/>
    <n v="0"/>
    <n v="1.0226222447744515E-2"/>
    <n v="9.4291925160121786E-3"/>
    <n v="9.4291925160121786E-3"/>
    <x v="1"/>
  </r>
  <r>
    <s v="Liberia"/>
    <x v="22"/>
    <n v="4331756.5"/>
    <x v="11"/>
    <n v="0"/>
    <n v="4427312.4999999991"/>
    <n v="0"/>
    <m/>
    <n v="0"/>
    <m/>
    <n v="0"/>
    <m/>
    <n v="0"/>
    <m/>
    <n v="0"/>
    <n v="4889391"/>
    <n v="0"/>
    <n v="4311"/>
    <m/>
    <n v="0"/>
    <m/>
    <n v="0"/>
    <m/>
    <n v="0"/>
    <n v="5302681.0000000028"/>
    <n v="0"/>
    <n v="4311"/>
    <n v="0"/>
    <n v="0"/>
    <n v="0"/>
    <n v="0"/>
    <s v=""/>
    <n v="4311"/>
    <s v="2018 (triag)"/>
    <n v="4311"/>
    <s v="2018 (triag)"/>
    <s v=""/>
    <n v="4311"/>
    <n v="4311"/>
    <s v="No change"/>
    <n v="0.14269498586031326"/>
    <n v="5.4673730437993617E-2"/>
    <n v="2112.1258802594407"/>
    <n v="5079.3895501630168"/>
    <n v="0"/>
    <n v="8.8170489944453205"/>
    <n v="8.1298497873056998"/>
    <n v="8.1298497873056998"/>
    <x v="1"/>
  </r>
  <r>
    <s v="Liberia"/>
    <x v="22"/>
    <n v="4331757.5"/>
    <x v="12"/>
    <n v="0"/>
    <n v="4427312.4999999991"/>
    <n v="0"/>
    <m/>
    <n v="0"/>
    <m/>
    <n v="0"/>
    <m/>
    <n v="0"/>
    <m/>
    <n v="0"/>
    <n v="4889391"/>
    <n v="0"/>
    <n v="3601"/>
    <m/>
    <n v="0"/>
    <m/>
    <n v="0"/>
    <m/>
    <n v="0"/>
    <n v="5302681.0000000028"/>
    <n v="0"/>
    <n v="3601"/>
    <n v="0"/>
    <n v="0"/>
    <n v="0"/>
    <n v="0"/>
    <s v=""/>
    <n v="3601"/>
    <s v="2018 (triag)"/>
    <n v="3601"/>
    <s v="2018 (triag)"/>
    <s v=""/>
    <n v="3601"/>
    <n v="3601"/>
    <s v="No change"/>
    <n v="0.14269498586031326"/>
    <n v="5.4673730437993617E-2"/>
    <n v="1764.2693794512284"/>
    <n v="4242.839659043615"/>
    <n v="0"/>
    <n v="7.3649254068655994"/>
    <n v="6.7909044500319711"/>
    <n v="6.7909044500319711"/>
    <x v="1"/>
  </r>
  <r>
    <s v="Liberia"/>
    <x v="22"/>
    <n v="4331758.5"/>
    <x v="13"/>
    <n v="0"/>
    <n v="4427312.4999999991"/>
    <n v="0"/>
    <m/>
    <n v="0"/>
    <m/>
    <n v="0"/>
    <m/>
    <n v="0"/>
    <m/>
    <n v="0"/>
    <n v="4889391"/>
    <n v="0"/>
    <n v="0"/>
    <m/>
    <n v="0"/>
    <m/>
    <n v="0"/>
    <m/>
    <n v="0"/>
    <n v="5302681.0000000028"/>
    <n v="0"/>
    <n v="0"/>
    <n v="0"/>
    <n v="0"/>
    <n v="0"/>
    <n v="0"/>
    <s v=""/>
    <n v="0"/>
    <s v=""/>
    <n v="0"/>
    <s v=""/>
    <s v=""/>
    <n v="0"/>
    <n v="0"/>
    <s v="No change"/>
    <n v="0.14269498586031326"/>
    <n v="5.4673730437993617E-2"/>
    <n v="0"/>
    <n v="0"/>
    <n v="0"/>
    <n v="0"/>
    <n v="0"/>
    <n v="0"/>
    <x v="1"/>
  </r>
  <r>
    <s v="Liberia"/>
    <x v="22"/>
    <n v="4331759.5"/>
    <x v="14"/>
    <n v="0"/>
    <n v="4427312.4999999991"/>
    <n v="0"/>
    <m/>
    <n v="0"/>
    <m/>
    <n v="0"/>
    <m/>
    <n v="0"/>
    <m/>
    <n v="0"/>
    <n v="4889391"/>
    <n v="0"/>
    <n v="0"/>
    <m/>
    <n v="0"/>
    <m/>
    <n v="0"/>
    <m/>
    <n v="0"/>
    <n v="5302681.0000000028"/>
    <n v="0"/>
    <n v="0"/>
    <n v="0"/>
    <n v="0"/>
    <n v="0"/>
    <n v="0"/>
    <s v=""/>
    <n v="0"/>
    <s v=""/>
    <n v="0"/>
    <s v=""/>
    <s v=""/>
    <n v="0"/>
    <n v="0"/>
    <s v="No change"/>
    <n v="0.14269498586031326"/>
    <n v="5.4673730437993617E-2"/>
    <n v="0"/>
    <n v="0"/>
    <n v="0"/>
    <n v="0"/>
    <n v="0"/>
    <n v="0"/>
    <x v="1"/>
  </r>
  <r>
    <s v="Liberia"/>
    <x v="22"/>
    <n v="4331760.5"/>
    <x v="15"/>
    <n v="0"/>
    <n v="4427312.4999999991"/>
    <n v="0"/>
    <m/>
    <n v="0"/>
    <m/>
    <n v="0"/>
    <m/>
    <n v="0"/>
    <m/>
    <n v="0"/>
    <n v="4889391"/>
    <n v="0"/>
    <n v="3"/>
    <m/>
    <n v="0"/>
    <m/>
    <n v="0"/>
    <m/>
    <n v="0"/>
    <n v="5302681.0000000028"/>
    <n v="0"/>
    <n v="3"/>
    <n v="0"/>
    <n v="0"/>
    <n v="0"/>
    <n v="0"/>
    <s v=""/>
    <n v="3"/>
    <s v="2018 (triag)"/>
    <n v="3"/>
    <s v="2018 (triag)"/>
    <s v=""/>
    <n v="3"/>
    <n v="3"/>
    <s v="No change"/>
    <n v="0.14269498586031326"/>
    <n v="5.4673730437993617E-2"/>
    <n v="1.4698162005980797"/>
    <n v="3.5347178498002902"/>
    <n v="0"/>
    <n v="6.1357334686467091E-3"/>
    <n v="5.657515509607307E-3"/>
    <n v="5.657515509607307E-3"/>
    <x v="1"/>
  </r>
  <r>
    <s v="Liberia"/>
    <x v="22"/>
    <n v="4331761.5"/>
    <x v="16"/>
    <n v="0"/>
    <n v="4427312.4999999991"/>
    <n v="0"/>
    <m/>
    <n v="0"/>
    <m/>
    <n v="0"/>
    <m/>
    <n v="0"/>
    <m/>
    <n v="0"/>
    <n v="4889391"/>
    <n v="0"/>
    <n v="0"/>
    <m/>
    <n v="0"/>
    <m/>
    <n v="0"/>
    <m/>
    <n v="0"/>
    <n v="5302681.0000000028"/>
    <n v="0"/>
    <n v="0"/>
    <n v="0"/>
    <n v="0"/>
    <n v="0"/>
    <n v="0"/>
    <s v=""/>
    <n v="0"/>
    <s v=""/>
    <n v="0"/>
    <s v=""/>
    <s v=""/>
    <n v="0"/>
    <n v="0"/>
    <s v="No change"/>
    <n v="0.14269498586031326"/>
    <n v="5.4673730437993617E-2"/>
    <n v="0"/>
    <n v="0"/>
    <n v="0"/>
    <n v="0"/>
    <n v="0"/>
    <n v="0"/>
    <x v="1"/>
  </r>
  <r>
    <s v="Liberia"/>
    <x v="22"/>
    <n v="4331762.5"/>
    <x v="17"/>
    <n v="0"/>
    <n v="4427312.4999999991"/>
    <n v="0"/>
    <m/>
    <n v="0"/>
    <m/>
    <n v="0"/>
    <m/>
    <n v="0"/>
    <m/>
    <n v="0"/>
    <n v="4889391"/>
    <n v="0"/>
    <n v="0"/>
    <m/>
    <n v="0"/>
    <m/>
    <n v="0"/>
    <m/>
    <n v="0"/>
    <n v="5302681.0000000028"/>
    <n v="0"/>
    <n v="0"/>
    <n v="0"/>
    <n v="0"/>
    <n v="0"/>
    <n v="0"/>
    <s v=""/>
    <n v="0"/>
    <s v=""/>
    <n v="0"/>
    <s v=""/>
    <s v=""/>
    <n v="0"/>
    <n v="0"/>
    <s v="No change"/>
    <n v="0.14269498586031326"/>
    <n v="5.4673730437993617E-2"/>
    <n v="0"/>
    <n v="0"/>
    <n v="0"/>
    <n v="0"/>
    <n v="0"/>
    <n v="0"/>
    <x v="1"/>
  </r>
  <r>
    <s v="Liberia"/>
    <x v="22"/>
    <n v="4331763.5"/>
    <x v="18"/>
    <n v="0"/>
    <n v="4427312.4999999991"/>
    <n v="0"/>
    <m/>
    <n v="0"/>
    <m/>
    <n v="0"/>
    <m/>
    <n v="0"/>
    <m/>
    <n v="0"/>
    <n v="4889391"/>
    <n v="0"/>
    <n v="0"/>
    <m/>
    <n v="0"/>
    <m/>
    <n v="0"/>
    <m/>
    <n v="0"/>
    <n v="5302681.0000000028"/>
    <n v="0"/>
    <n v="0"/>
    <n v="0"/>
    <n v="0"/>
    <n v="0"/>
    <n v="0"/>
    <s v=""/>
    <n v="0"/>
    <s v=""/>
    <n v="0"/>
    <s v=""/>
    <s v=""/>
    <n v="0"/>
    <n v="0"/>
    <s v="No change"/>
    <n v="0.14269498586031326"/>
    <n v="5.4673730437993617E-2"/>
    <n v="0"/>
    <n v="0"/>
    <n v="0"/>
    <n v="0"/>
    <n v="0"/>
    <n v="0"/>
    <x v="1"/>
  </r>
  <r>
    <s v="Lesotho"/>
    <x v="23"/>
    <n v="2054723"/>
    <x v="0"/>
    <n v="0"/>
    <n v="2073938.4999999998"/>
    <n v="0"/>
    <m/>
    <n v="0"/>
    <m/>
    <n v="0"/>
    <m/>
    <n v="0"/>
    <m/>
    <n v="0"/>
    <n v="2198017"/>
    <n v="14508"/>
    <n v="14508"/>
    <m/>
    <n v="0"/>
    <m/>
    <n v="0"/>
    <m/>
    <n v="14508"/>
    <n v="2305825.5000000019"/>
    <n v="14508"/>
    <n v="14508"/>
    <n v="0"/>
    <n v="14508"/>
    <n v="14508"/>
    <n v="0"/>
    <s v=""/>
    <n v="14508"/>
    <n v="2018"/>
    <n v="14508"/>
    <n v="2021"/>
    <s v=""/>
    <n v="14508"/>
    <n v="14508"/>
    <s v="No change"/>
    <n v="-2.9414192821425544E-2"/>
    <n v="0.35384209356504925"/>
    <n v="16806.591918109276"/>
    <n v="41939.432834201732"/>
    <n v="0"/>
    <n v="66.004949006308863"/>
    <n v="62.918898242733405"/>
    <n v="62.918898242733405"/>
    <x v="1"/>
  </r>
  <r>
    <s v="Lesotho"/>
    <x v="23"/>
    <n v="2054724"/>
    <x v="1"/>
    <n v="0"/>
    <n v="2073938.4999999998"/>
    <n v="11"/>
    <m/>
    <n v="0"/>
    <m/>
    <n v="16"/>
    <m/>
    <n v="0"/>
    <m/>
    <n v="0"/>
    <n v="2198017"/>
    <n v="0"/>
    <n v="29"/>
    <m/>
    <n v="0"/>
    <m/>
    <n v="43"/>
    <m/>
    <n v="0"/>
    <n v="2305825.5000000019"/>
    <n v="0"/>
    <n v="29"/>
    <n v="16"/>
    <n v="0"/>
    <n v="43"/>
    <n v="11"/>
    <n v="2013"/>
    <n v="29"/>
    <s v="2018 (triag)"/>
    <n v="43"/>
    <n v="2020"/>
    <s v=""/>
    <n v="43"/>
    <n v="43"/>
    <s v="Increasing"/>
    <n v="-2.9414192821425544E-2"/>
    <n v="0.35384209356504925"/>
    <n v="33.59464885753853"/>
    <n v="83.832613192159513"/>
    <n v="5.3039181248624299E-2"/>
    <n v="0.13193710512703041"/>
    <n v="0.18648418971860606"/>
    <n v="0.18648418971860606"/>
    <x v="1"/>
  </r>
  <r>
    <s v="Lesotho"/>
    <x v="23"/>
    <n v="2054725"/>
    <x v="2"/>
    <n v="0"/>
    <n v="2073938.4999999998"/>
    <n v="205"/>
    <m/>
    <n v="0"/>
    <m/>
    <n v="142"/>
    <m/>
    <n v="0"/>
    <m/>
    <n v="0"/>
    <n v="2198017"/>
    <n v="0"/>
    <n v="144"/>
    <m/>
    <n v="0"/>
    <m/>
    <n v="0"/>
    <m/>
    <n v="144"/>
    <n v="2305825.5000000019"/>
    <n v="144"/>
    <n v="144"/>
    <n v="205"/>
    <n v="0"/>
    <n v="144"/>
    <n v="205"/>
    <n v="2013"/>
    <n v="144"/>
    <s v="2018 (triag)"/>
    <n v="144"/>
    <n v="2021"/>
    <s v=""/>
    <n v="144"/>
    <n v="144"/>
    <s v="No change"/>
    <n v="-2.9414192821425544E-2"/>
    <n v="0.35384209356504925"/>
    <n v="166.81480812019132"/>
    <n v="416.27228619555069"/>
    <n v="0.98845746872436202"/>
    <n v="0.65513597028594406"/>
    <n v="0.6245051934762621"/>
    <n v="0.6245051934762621"/>
    <x v="1"/>
  </r>
  <r>
    <s v="Lesotho"/>
    <x v="23"/>
    <n v="2054726"/>
    <x v="3"/>
    <n v="0"/>
    <n v="2073938.4999999998"/>
    <n v="0"/>
    <m/>
    <n v="0"/>
    <m/>
    <n v="0"/>
    <m/>
    <n v="0"/>
    <m/>
    <n v="0"/>
    <n v="2198017"/>
    <n v="0"/>
    <n v="849"/>
    <m/>
    <n v="0"/>
    <m/>
    <n v="0"/>
    <m/>
    <n v="0"/>
    <n v="2305825.5000000019"/>
    <n v="0"/>
    <n v="849"/>
    <n v="0"/>
    <n v="0"/>
    <n v="0"/>
    <n v="0"/>
    <s v=""/>
    <n v="849"/>
    <s v="2018 (triag)"/>
    <n v="849"/>
    <s v="2018 (triag)"/>
    <s v=""/>
    <n v="849"/>
    <n v="849"/>
    <s v="No change"/>
    <n v="-2.9414192821425544E-2"/>
    <n v="0.35384209356504925"/>
    <n v="983.51230620862793"/>
    <n v="2454.272020694601"/>
    <n v="0"/>
    <n v="3.8625724914775454"/>
    <n v="3.6819785365371289"/>
    <n v="3.6819785365371289"/>
    <x v="1"/>
  </r>
  <r>
    <s v="Lesotho"/>
    <x v="23"/>
    <n v="2054727"/>
    <x v="4"/>
    <n v="0"/>
    <n v="2073938.4999999998"/>
    <n v="0"/>
    <m/>
    <n v="0"/>
    <m/>
    <n v="0"/>
    <m/>
    <n v="0"/>
    <m/>
    <n v="0"/>
    <n v="2198017"/>
    <n v="0"/>
    <n v="110"/>
    <m/>
    <n v="0"/>
    <m/>
    <n v="0"/>
    <m/>
    <n v="0"/>
    <n v="2305825.5000000019"/>
    <n v="33"/>
    <n v="110"/>
    <n v="0"/>
    <n v="0"/>
    <n v="33"/>
    <n v="0"/>
    <s v=""/>
    <n v="110"/>
    <s v="2018 (triag)"/>
    <n v="33"/>
    <n v="2022"/>
    <s v="Adjust"/>
    <n v="42.162196889826042"/>
    <n v="110"/>
    <s v="Decreasing"/>
    <n v="-2.9414192821425544E-2"/>
    <n v="0.35384209356504925"/>
    <n v="127.42797842514614"/>
    <n v="317.98577417715677"/>
    <n v="0"/>
    <n v="0.500451088412874"/>
    <n v="0.18285077031989633"/>
    <n v="0.47705257834992243"/>
    <x v="0"/>
  </r>
  <r>
    <s v="Lesotho"/>
    <x v="23"/>
    <n v="2054728"/>
    <x v="5"/>
    <n v="0"/>
    <n v="2073938.4999999998"/>
    <n v="0"/>
    <m/>
    <n v="0"/>
    <m/>
    <n v="0"/>
    <m/>
    <n v="0"/>
    <m/>
    <n v="0"/>
    <n v="2198017"/>
    <n v="0"/>
    <n v="10"/>
    <m/>
    <n v="6"/>
    <m/>
    <n v="0"/>
    <m/>
    <n v="13"/>
    <n v="2305825.5000000019"/>
    <n v="13"/>
    <n v="10"/>
    <n v="0"/>
    <n v="6"/>
    <n v="13"/>
    <n v="0"/>
    <s v=""/>
    <n v="10"/>
    <s v="2018 (triag)"/>
    <n v="13"/>
    <n v="2021"/>
    <s v=""/>
    <n v="13"/>
    <n v="13"/>
    <s v="Increasing"/>
    <n v="-2.9414192821425544E-2"/>
    <n v="0.35384209356504925"/>
    <n v="11.584361675013286"/>
    <n v="28.907797652468798"/>
    <n v="0"/>
    <n v="4.5495553492079455E-2"/>
    <n v="5.6378941077718105E-2"/>
    <n v="5.6378941077718105E-2"/>
    <x v="1"/>
  </r>
  <r>
    <s v="Lesotho"/>
    <x v="23"/>
    <n v="2054729"/>
    <x v="6"/>
    <n v="0"/>
    <n v="2073938.4999999998"/>
    <n v="0"/>
    <m/>
    <n v="0"/>
    <m/>
    <n v="0"/>
    <m/>
    <n v="0"/>
    <m/>
    <n v="0"/>
    <n v="2198017"/>
    <n v="205"/>
    <n v="416"/>
    <m/>
    <n v="0"/>
    <m/>
    <n v="0"/>
    <m/>
    <m/>
    <n v="2305825.5000000019"/>
    <n v="0"/>
    <n v="416"/>
    <n v="0"/>
    <n v="205"/>
    <n v="0"/>
    <n v="0"/>
    <s v=""/>
    <n v="416"/>
    <s v="2018 (triag)"/>
    <n v="416"/>
    <s v="2018 (triag)"/>
    <s v=""/>
    <n v="416"/>
    <n v="416"/>
    <s v="No change"/>
    <n v="-2.9414192821425544E-2"/>
    <n v="0.35384209356504925"/>
    <n v="481.90944568055266"/>
    <n v="1202.5643823427019"/>
    <n v="0"/>
    <n v="1.8926150252705052"/>
    <n v="1.8041261144869793"/>
    <n v="1.8041261144869793"/>
    <x v="1"/>
  </r>
  <r>
    <s v="Lesotho"/>
    <x v="23"/>
    <n v="2054730"/>
    <x v="7"/>
    <n v="0"/>
    <n v="2073938.4999999998"/>
    <n v="0"/>
    <m/>
    <n v="0"/>
    <m/>
    <n v="0"/>
    <m/>
    <n v="0"/>
    <m/>
    <n v="0"/>
    <n v="2198017"/>
    <n v="0"/>
    <n v="71"/>
    <m/>
    <n v="0"/>
    <m/>
    <n v="0"/>
    <m/>
    <n v="0"/>
    <n v="2305825.5000000019"/>
    <n v="5"/>
    <n v="71"/>
    <n v="0"/>
    <n v="0"/>
    <n v="5"/>
    <n v="0"/>
    <s v=""/>
    <n v="71"/>
    <s v="2018 (triag)"/>
    <n v="5"/>
    <n v="2022"/>
    <s v="Adjust"/>
    <n v="6.388211649973643"/>
    <n v="71"/>
    <s v="Decreasing"/>
    <n v="-2.9414192821425544E-2"/>
    <n v="0.35384209356504925"/>
    <n v="82.248967892594322"/>
    <n v="205.24536333252846"/>
    <n v="0"/>
    <n v="0.32301842979376411"/>
    <n v="2.7704662169681264E-2"/>
    <n v="0.30791575511676811"/>
    <x v="0"/>
  </r>
  <r>
    <s v="Lesotho"/>
    <x v="23"/>
    <n v="2054731"/>
    <x v="8"/>
    <n v="0"/>
    <n v="2073938.4999999998"/>
    <n v="0"/>
    <m/>
    <n v="0"/>
    <m/>
    <n v="0"/>
    <m/>
    <n v="0"/>
    <m/>
    <n v="0"/>
    <n v="2198017"/>
    <n v="0"/>
    <n v="41"/>
    <m/>
    <n v="0"/>
    <m/>
    <n v="0"/>
    <m/>
    <n v="41"/>
    <n v="2305825.5000000019"/>
    <n v="76"/>
    <n v="41"/>
    <n v="0"/>
    <n v="0"/>
    <n v="76"/>
    <n v="0"/>
    <s v=""/>
    <n v="41"/>
    <s v="2018 (triag)"/>
    <n v="76"/>
    <n v="2022"/>
    <s v=""/>
    <n v="76"/>
    <n v="76"/>
    <s v="Increasing"/>
    <n v="-2.9414192821425544E-2"/>
    <n v="0.35384209356504925"/>
    <n v="47.495882867554471"/>
    <n v="118.52197037512208"/>
    <n v="0"/>
    <n v="0.18653176931752574"/>
    <n v="0.32959996322358276"/>
    <n v="0.32959996322358276"/>
    <x v="1"/>
  </r>
  <r>
    <s v="Lesotho"/>
    <x v="23"/>
    <n v="2054732"/>
    <x v="9"/>
    <n v="0"/>
    <n v="2073938.4999999998"/>
    <n v="0"/>
    <m/>
    <n v="0"/>
    <m/>
    <n v="0"/>
    <m/>
    <n v="0"/>
    <m/>
    <n v="0"/>
    <n v="2198017"/>
    <n v="0"/>
    <n v="349"/>
    <m/>
    <n v="0"/>
    <m/>
    <n v="0"/>
    <m/>
    <n v="0"/>
    <n v="2305825.5000000019"/>
    <n v="0"/>
    <n v="349"/>
    <n v="0"/>
    <n v="0"/>
    <n v="0"/>
    <n v="0"/>
    <s v=""/>
    <n v="349"/>
    <s v="2018 (triag)"/>
    <n v="349"/>
    <s v="2018 (triag)"/>
    <s v=""/>
    <n v="349"/>
    <n v="349"/>
    <s v="No change"/>
    <n v="-2.9414192821425544E-2"/>
    <n v="0.35384209356504925"/>
    <n v="404.29422245796366"/>
    <n v="1008.8821380711611"/>
    <n v="0"/>
    <n v="1.5877948168735729"/>
    <n v="1.5135577258556629"/>
    <n v="1.5135577258556629"/>
    <x v="1"/>
  </r>
  <r>
    <s v="Lesotho"/>
    <x v="23"/>
    <n v="2054733"/>
    <x v="10"/>
    <n v="0"/>
    <n v="2073938.4999999998"/>
    <n v="0"/>
    <m/>
    <n v="0"/>
    <m/>
    <n v="0"/>
    <m/>
    <n v="0"/>
    <m/>
    <n v="0"/>
    <n v="2198017"/>
    <n v="0"/>
    <n v="8"/>
    <m/>
    <n v="0"/>
    <m/>
    <n v="0"/>
    <m/>
    <n v="13"/>
    <n v="2305825.5000000019"/>
    <n v="13"/>
    <n v="8"/>
    <n v="0"/>
    <n v="0"/>
    <n v="13"/>
    <n v="0"/>
    <s v=""/>
    <n v="8"/>
    <s v="2018 (triag)"/>
    <n v="13"/>
    <n v="2021"/>
    <s v=""/>
    <n v="13"/>
    <n v="13"/>
    <s v="Increasing"/>
    <n v="-2.9414192821425544E-2"/>
    <n v="0.35384209356504925"/>
    <n v="9.2674893400106289"/>
    <n v="23.126238121975039"/>
    <n v="0"/>
    <n v="3.639644279366356E-2"/>
    <n v="5.6378941077718105E-2"/>
    <n v="5.6378941077718105E-2"/>
    <x v="1"/>
  </r>
  <r>
    <s v="Lesotho"/>
    <x v="23"/>
    <n v="2054734"/>
    <x v="11"/>
    <n v="0"/>
    <n v="2073938.4999999998"/>
    <n v="0"/>
    <m/>
    <n v="0"/>
    <m/>
    <n v="0"/>
    <m/>
    <n v="0"/>
    <m/>
    <n v="0"/>
    <n v="2198017"/>
    <n v="0"/>
    <n v="2130"/>
    <m/>
    <n v="0"/>
    <m/>
    <n v="0"/>
    <m/>
    <n v="0"/>
    <n v="2305825.5000000019"/>
    <n v="620"/>
    <n v="2130"/>
    <n v="0"/>
    <n v="0"/>
    <n v="620"/>
    <n v="0"/>
    <s v=""/>
    <n v="2130"/>
    <s v="2018 (triag)"/>
    <n v="620"/>
    <n v="2022"/>
    <s v="Adjust"/>
    <n v="792.13824459673174"/>
    <n v="2130"/>
    <s v="Decreasing"/>
    <n v="-2.9414192821425544E-2"/>
    <n v="0.35384209356504925"/>
    <n v="2467.4690367778298"/>
    <n v="6157.3608999758544"/>
    <n v="0"/>
    <n v="9.6905528938129226"/>
    <n v="3.4353781090404762"/>
    <n v="9.237472653503044"/>
    <x v="0"/>
  </r>
  <r>
    <s v="Lesotho"/>
    <x v="23"/>
    <n v="2054735"/>
    <x v="12"/>
    <n v="0"/>
    <n v="2073938.4999999998"/>
    <n v="0"/>
    <m/>
    <n v="0"/>
    <m/>
    <n v="0"/>
    <m/>
    <n v="0"/>
    <m/>
    <n v="0"/>
    <n v="2198017"/>
    <n v="0"/>
    <n v="58"/>
    <m/>
    <n v="0"/>
    <m/>
    <n v="0"/>
    <m/>
    <n v="0"/>
    <n v="2305825.5000000019"/>
    <n v="0"/>
    <n v="58"/>
    <n v="0"/>
    <n v="0"/>
    <n v="0"/>
    <n v="0"/>
    <s v=""/>
    <n v="58"/>
    <s v="2018 (triag)"/>
    <n v="58"/>
    <s v="2018 (triag)"/>
    <s v=""/>
    <n v="58"/>
    <n v="58"/>
    <s v="No change"/>
    <n v="-2.9414192821425544E-2"/>
    <n v="0.35384209356504925"/>
    <n v="67.189297715077061"/>
    <n v="167.66522638431903"/>
    <n v="0"/>
    <n v="0.26387421025406083"/>
    <n v="0.25153681403905004"/>
    <n v="0.25153681403905004"/>
    <x v="1"/>
  </r>
  <r>
    <s v="Lesotho"/>
    <x v="23"/>
    <n v="2054736"/>
    <x v="13"/>
    <n v="0"/>
    <n v="2073938.4999999998"/>
    <n v="0"/>
    <m/>
    <n v="0"/>
    <m/>
    <n v="0"/>
    <m/>
    <n v="0"/>
    <m/>
    <n v="0"/>
    <n v="2198017"/>
    <n v="0"/>
    <n v="205"/>
    <m/>
    <n v="0"/>
    <m/>
    <n v="0"/>
    <m/>
    <n v="273"/>
    <n v="2305825.5000000019"/>
    <n v="273"/>
    <n v="205"/>
    <n v="0"/>
    <n v="0"/>
    <n v="273"/>
    <n v="0"/>
    <s v=""/>
    <n v="205"/>
    <s v="2018 (triag)"/>
    <n v="273"/>
    <n v="2021"/>
    <s v=""/>
    <n v="273"/>
    <n v="273"/>
    <s v="Increasing"/>
    <n v="-2.9414192821425544E-2"/>
    <n v="0.35384209356504925"/>
    <n v="237.47941433777234"/>
    <n v="592.60985187561039"/>
    <n v="0"/>
    <n v="0.93265884658762876"/>
    <n v="1.1839577626320803"/>
    <n v="1.1839577626320803"/>
    <x v="1"/>
  </r>
  <r>
    <s v="Lesotho"/>
    <x v="23"/>
    <n v="2054737"/>
    <x v="14"/>
    <n v="0"/>
    <n v="2073938.4999999998"/>
    <n v="0"/>
    <m/>
    <n v="0"/>
    <m/>
    <n v="0"/>
    <m/>
    <n v="0"/>
    <m/>
    <n v="0"/>
    <n v="2198017"/>
    <n v="0"/>
    <n v="4"/>
    <m/>
    <n v="0"/>
    <m/>
    <n v="0"/>
    <m/>
    <n v="0"/>
    <n v="2305825.5000000019"/>
    <n v="2"/>
    <n v="4"/>
    <n v="0"/>
    <n v="0"/>
    <n v="2"/>
    <n v="0"/>
    <s v=""/>
    <n v="4"/>
    <s v="2018 (triag)"/>
    <n v="2"/>
    <n v="2022"/>
    <s v="Adjust"/>
    <n v="2.5552846599894572"/>
    <n v="4"/>
    <s v="Decreasing"/>
    <n v="-2.9414192821425544E-2"/>
    <n v="0.35384209356504925"/>
    <n v="4.6337446700053144"/>
    <n v="11.563119060987519"/>
    <n v="0"/>
    <n v="1.819822139683178E-2"/>
    <n v="1.1081864867872505E-2"/>
    <n v="1.7347366485451727E-2"/>
    <x v="0"/>
  </r>
  <r>
    <s v="Lesotho"/>
    <x v="23"/>
    <n v="2054738"/>
    <x v="15"/>
    <n v="0"/>
    <n v="2073938.4999999998"/>
    <n v="0"/>
    <m/>
    <n v="0"/>
    <m/>
    <n v="0"/>
    <m/>
    <n v="0"/>
    <m/>
    <n v="0"/>
    <n v="2198017"/>
    <n v="0"/>
    <n v="22"/>
    <m/>
    <n v="0"/>
    <m/>
    <n v="0"/>
    <m/>
    <n v="22"/>
    <n v="2305825.5000000019"/>
    <n v="7"/>
    <n v="22"/>
    <n v="0"/>
    <n v="0"/>
    <n v="22"/>
    <n v="0"/>
    <s v=""/>
    <n v="22"/>
    <s v="2018 (triag)"/>
    <n v="7"/>
    <n v="2022"/>
    <s v="Adjust"/>
    <n v="8.9434963099631002"/>
    <n v="22"/>
    <s v="Decreasing"/>
    <n v="-2.9414192821425544E-2"/>
    <n v="0.35384209356504925"/>
    <n v="25.485595685029228"/>
    <n v="63.597154835431354"/>
    <n v="0"/>
    <n v="0.1000902176825748"/>
    <n v="3.8786527037553767E-2"/>
    <n v="9.5410515669984486E-2"/>
    <x v="0"/>
  </r>
  <r>
    <s v="Lesotho"/>
    <x v="23"/>
    <n v="2054739"/>
    <x v="16"/>
    <n v="0"/>
    <n v="2073938.4999999998"/>
    <n v="0"/>
    <m/>
    <n v="0"/>
    <m/>
    <n v="0"/>
    <m/>
    <n v="0"/>
    <m/>
    <n v="0"/>
    <n v="2198017"/>
    <n v="0"/>
    <n v="0"/>
    <m/>
    <n v="0"/>
    <m/>
    <n v="0"/>
    <m/>
    <n v="0"/>
    <n v="2305825.5000000019"/>
    <n v="0"/>
    <n v="0"/>
    <n v="0"/>
    <n v="0"/>
    <n v="0"/>
    <n v="0"/>
    <s v=""/>
    <n v="0"/>
    <s v=""/>
    <n v="0"/>
    <s v=""/>
    <s v=""/>
    <n v="0"/>
    <n v="0"/>
    <s v="No change"/>
    <n v="-2.9414192821425544E-2"/>
    <n v="0.35384209356504925"/>
    <n v="0"/>
    <n v="0"/>
    <n v="0"/>
    <n v="0"/>
    <n v="0"/>
    <n v="0"/>
    <x v="1"/>
  </r>
  <r>
    <s v="Lesotho"/>
    <x v="23"/>
    <n v="2054740"/>
    <x v="17"/>
    <n v="0"/>
    <n v="2073938.4999999998"/>
    <n v="0"/>
    <m/>
    <n v="0"/>
    <m/>
    <n v="0"/>
    <m/>
    <n v="0"/>
    <m/>
    <n v="0"/>
    <n v="2198017"/>
    <n v="0"/>
    <n v="0"/>
    <m/>
    <n v="0"/>
    <m/>
    <n v="0"/>
    <m/>
    <n v="0"/>
    <n v="2305825.5000000019"/>
    <n v="0"/>
    <n v="0"/>
    <n v="0"/>
    <n v="0"/>
    <n v="0"/>
    <n v="0"/>
    <s v=""/>
    <n v="0"/>
    <s v=""/>
    <n v="0"/>
    <s v=""/>
    <s v=""/>
    <n v="0"/>
    <n v="0"/>
    <s v="No change"/>
    <n v="-2.9414192821425544E-2"/>
    <n v="0.35384209356504925"/>
    <n v="0"/>
    <n v="0"/>
    <n v="0"/>
    <n v="0"/>
    <n v="0"/>
    <n v="0"/>
    <x v="1"/>
  </r>
  <r>
    <s v="Lesotho"/>
    <x v="23"/>
    <n v="2054741"/>
    <x v="18"/>
    <n v="0"/>
    <n v="2073938.4999999998"/>
    <n v="0"/>
    <m/>
    <n v="0"/>
    <m/>
    <n v="0"/>
    <m/>
    <n v="0"/>
    <m/>
    <n v="0"/>
    <n v="2198017"/>
    <n v="0"/>
    <n v="6097"/>
    <m/>
    <n v="0"/>
    <m/>
    <n v="0"/>
    <m/>
    <n v="0"/>
    <n v="2305825.5000000019"/>
    <n v="0"/>
    <n v="6097"/>
    <n v="0"/>
    <n v="0"/>
    <n v="0"/>
    <n v="0"/>
    <s v=""/>
    <n v="6097"/>
    <s v="2018 (triag)"/>
    <n v="6097"/>
    <s v="2018 (triag)"/>
    <s v=""/>
    <n v="6097"/>
    <n v="6097"/>
    <s v="No change"/>
    <n v="-2.9414192821425544E-2"/>
    <n v="0.35384209356504925"/>
    <n v="7062.9853132556"/>
    <n v="17625.084228710228"/>
    <n v="0"/>
    <n v="27.738638964120842"/>
    <n v="26.441723365449793"/>
    <n v="26.441723365449793"/>
    <x v="1"/>
  </r>
  <r>
    <s v="Madagascar"/>
    <x v="24"/>
    <n v="22966245"/>
    <x v="0"/>
    <n v="0"/>
    <n v="23588073.5"/>
    <n v="0"/>
    <m/>
    <n v="0"/>
    <m/>
    <n v="0"/>
    <m/>
    <n v="0"/>
    <m/>
    <n v="0"/>
    <n v="26846541"/>
    <n v="35000"/>
    <n v="35000"/>
    <m/>
    <n v="38338"/>
    <m/>
    <n v="41616"/>
    <m/>
    <n v="41616"/>
    <n v="29611714.000000004"/>
    <n v="0"/>
    <n v="35000"/>
    <n v="0"/>
    <n v="38338"/>
    <n v="41616"/>
    <n v="0"/>
    <s v=""/>
    <n v="35000"/>
    <n v="2018"/>
    <n v="41616"/>
    <n v="2020"/>
    <s v=""/>
    <n v="41616"/>
    <n v="41616"/>
    <s v="Increasing"/>
    <n v="4.1448317953169944E-2"/>
    <n v="6.6454487825566844E-3"/>
    <n v="28448.813976974463"/>
    <n v="35704.774089324441"/>
    <n v="0"/>
    <n v="13.037061273554757"/>
    <n v="14.053897724393797"/>
    <n v="14.053897724393797"/>
    <x v="1"/>
  </r>
  <r>
    <s v="Madagascar"/>
    <x v="24"/>
    <n v="22966246"/>
    <x v="1"/>
    <n v="0"/>
    <n v="23588073.5"/>
    <n v="0"/>
    <m/>
    <n v="0"/>
    <m/>
    <n v="0"/>
    <m/>
    <n v="0"/>
    <m/>
    <n v="0"/>
    <n v="26846541"/>
    <n v="0"/>
    <n v="414"/>
    <m/>
    <n v="0"/>
    <m/>
    <n v="0"/>
    <m/>
    <n v="0"/>
    <n v="29611714.000000004"/>
    <n v="0"/>
    <n v="414"/>
    <n v="0"/>
    <n v="0"/>
    <n v="0"/>
    <n v="0"/>
    <s v=""/>
    <n v="414"/>
    <s v="2018 (triag)"/>
    <n v="414"/>
    <s v="2018 (triag)"/>
    <s v=""/>
    <n v="414"/>
    <n v="414"/>
    <s v="No change"/>
    <n v="4.1448317953169944E-2"/>
    <n v="6.6454487825566844E-3"/>
    <n v="336.50882818478362"/>
    <n v="422.33647065658056"/>
    <n v="0"/>
    <n v="0.15420981049290483"/>
    <n v="0.13980953618557843"/>
    <n v="0.13980953618557843"/>
    <x v="1"/>
  </r>
  <r>
    <s v="Madagascar"/>
    <x v="24"/>
    <n v="22966247"/>
    <x v="2"/>
    <n v="0"/>
    <n v="23588073.5"/>
    <n v="0"/>
    <m/>
    <n v="174"/>
    <m/>
    <n v="0"/>
    <m/>
    <n v="0"/>
    <m/>
    <n v="0"/>
    <n v="26846541"/>
    <n v="0"/>
    <n v="15"/>
    <m/>
    <n v="0"/>
    <m/>
    <n v="254"/>
    <m/>
    <n v="0"/>
    <n v="29611714.000000004"/>
    <n v="0"/>
    <n v="15"/>
    <n v="174"/>
    <n v="0"/>
    <n v="254"/>
    <n v="174"/>
    <n v="2014"/>
    <n v="15"/>
    <s v="2018 (triag)"/>
    <n v="254"/>
    <n v="2020"/>
    <s v=""/>
    <n v="254"/>
    <n v="254"/>
    <s v="Increasing"/>
    <n v="4.1448317953169944E-2"/>
    <n v="6.6454487825566844E-3"/>
    <n v="12.19234884727477"/>
    <n v="15.302046038281903"/>
    <n v="7.376609200407995E-2"/>
    <n v="5.5873119743806102E-3"/>
    <n v="8.5776865195982904E-2"/>
    <n v="8.5776865195982904E-2"/>
    <x v="1"/>
  </r>
  <r>
    <s v="Madagascar"/>
    <x v="24"/>
    <n v="22966248"/>
    <x v="3"/>
    <n v="0"/>
    <n v="23588073.5"/>
    <n v="0"/>
    <m/>
    <n v="0"/>
    <m/>
    <n v="0"/>
    <m/>
    <n v="0"/>
    <m/>
    <n v="0"/>
    <n v="26846541"/>
    <n v="0"/>
    <n v="311"/>
    <m/>
    <n v="0"/>
    <m/>
    <n v="0"/>
    <m/>
    <n v="0"/>
    <n v="29611714.000000004"/>
    <n v="0"/>
    <n v="311"/>
    <n v="0"/>
    <n v="0"/>
    <n v="0"/>
    <n v="0"/>
    <s v=""/>
    <n v="311"/>
    <s v="2018 (triag)"/>
    <n v="311"/>
    <s v="2018 (triag)"/>
    <s v=""/>
    <n v="311"/>
    <n v="311"/>
    <s v="No change"/>
    <n v="4.1448317953169944E-2"/>
    <n v="6.6454487825566844E-3"/>
    <n v="252.78803276683024"/>
    <n v="317.26242119371148"/>
    <n v="0"/>
    <n v="0.11584360160215798"/>
    <n v="0.10502600423602632"/>
    <n v="0.10502600423602632"/>
    <x v="1"/>
  </r>
  <r>
    <s v="Madagascar"/>
    <x v="24"/>
    <n v="22966249"/>
    <x v="4"/>
    <n v="0"/>
    <n v="23588073.5"/>
    <n v="0"/>
    <m/>
    <n v="0"/>
    <m/>
    <n v="0"/>
    <m/>
    <n v="0"/>
    <m/>
    <n v="0"/>
    <n v="26846541"/>
    <n v="0"/>
    <n v="411"/>
    <m/>
    <n v="0"/>
    <m/>
    <n v="0"/>
    <m/>
    <n v="0"/>
    <n v="29611714.000000004"/>
    <n v="0"/>
    <n v="411"/>
    <n v="0"/>
    <n v="0"/>
    <n v="0"/>
    <n v="0"/>
    <s v=""/>
    <n v="411"/>
    <s v="2018 (triag)"/>
    <n v="411"/>
    <s v="2018 (triag)"/>
    <s v=""/>
    <n v="411"/>
    <n v="411"/>
    <s v="No change"/>
    <n v="4.1448317953169944E-2"/>
    <n v="6.6454487825566844E-3"/>
    <n v="334.07035841532871"/>
    <n v="419.27606144892417"/>
    <n v="0"/>
    <n v="0.15309234809802871"/>
    <n v="0.13879642360452352"/>
    <n v="0.13879642360452352"/>
    <x v="1"/>
  </r>
  <r>
    <s v="Madagascar"/>
    <x v="24"/>
    <n v="22966250"/>
    <x v="5"/>
    <n v="0"/>
    <n v="23588073.5"/>
    <n v="0"/>
    <m/>
    <n v="0"/>
    <m/>
    <n v="0"/>
    <m/>
    <n v="0"/>
    <m/>
    <n v="0"/>
    <n v="26846541"/>
    <n v="0"/>
    <n v="52"/>
    <m/>
    <n v="12"/>
    <m/>
    <n v="0"/>
    <m/>
    <n v="0"/>
    <n v="29611714.000000004"/>
    <n v="0"/>
    <n v="52"/>
    <n v="0"/>
    <n v="12"/>
    <n v="0"/>
    <n v="0"/>
    <s v=""/>
    <n v="52"/>
    <s v="2018 (triag)"/>
    <n v="12"/>
    <s v="2018 (triag)"/>
    <s v="Adjust"/>
    <n v="13.375262199878652"/>
    <n v="52"/>
    <s v="Decreasing"/>
    <n v="4.1448317953169944E-2"/>
    <n v="6.6454487825566844E-3"/>
    <n v="42.2668093372192"/>
    <n v="53.047092932710598"/>
    <n v="0"/>
    <n v="1.9369348177852783E-2"/>
    <n v="4.516882136535106E-3"/>
    <n v="1.7560618071618548E-2"/>
    <x v="0"/>
  </r>
  <r>
    <s v="Madagascar"/>
    <x v="24"/>
    <n v="22966251"/>
    <x v="6"/>
    <n v="0"/>
    <n v="23588073.5"/>
    <n v="0"/>
    <m/>
    <n v="0"/>
    <m/>
    <n v="0"/>
    <m/>
    <n v="0"/>
    <m/>
    <n v="0"/>
    <n v="26846541"/>
    <n v="306"/>
    <n v="306"/>
    <m/>
    <n v="0"/>
    <m/>
    <n v="0"/>
    <m/>
    <n v="0"/>
    <n v="29611714.000000004"/>
    <n v="0"/>
    <n v="0"/>
    <n v="0"/>
    <n v="306"/>
    <n v="0"/>
    <n v="0"/>
    <s v=""/>
    <n v="306"/>
    <n v="2018"/>
    <n v="306"/>
    <n v="2018"/>
    <s v=""/>
    <n v="306"/>
    <n v="306"/>
    <s v="No change"/>
    <n v="4.1448317953169944E-2"/>
    <n v="6.6454487825566844E-3"/>
    <n v="0"/>
    <n v="0"/>
    <n v="0"/>
    <n v="0.11398116427736445"/>
    <n v="0.10333748326760145"/>
    <n v="0.10333748326760145"/>
    <x v="1"/>
  </r>
  <r>
    <s v="Madagascar"/>
    <x v="24"/>
    <n v="22966252"/>
    <x v="7"/>
    <n v="0"/>
    <n v="23588073.5"/>
    <n v="0"/>
    <m/>
    <n v="0"/>
    <m/>
    <n v="0"/>
    <m/>
    <n v="0"/>
    <m/>
    <n v="0"/>
    <n v="26846541"/>
    <n v="0"/>
    <n v="0"/>
    <m/>
    <n v="0"/>
    <m/>
    <n v="0"/>
    <m/>
    <n v="0"/>
    <n v="29611714.000000004"/>
    <n v="0"/>
    <n v="0"/>
    <n v="0"/>
    <n v="0"/>
    <n v="0"/>
    <n v="0"/>
    <s v=""/>
    <n v="0"/>
    <s v=""/>
    <n v="0"/>
    <s v=""/>
    <s v=""/>
    <n v="0"/>
    <n v="0"/>
    <s v="No change"/>
    <n v="4.1448317953169944E-2"/>
    <n v="6.6454487825566844E-3"/>
    <n v="0"/>
    <n v="0"/>
    <n v="0"/>
    <n v="0"/>
    <n v="0"/>
    <n v="0"/>
    <x v="1"/>
  </r>
  <r>
    <s v="Madagascar"/>
    <x v="24"/>
    <n v="22966253"/>
    <x v="8"/>
    <n v="0"/>
    <n v="23588073.5"/>
    <n v="0"/>
    <m/>
    <n v="0"/>
    <m/>
    <n v="0"/>
    <m/>
    <n v="0"/>
    <m/>
    <n v="0"/>
    <n v="26846541"/>
    <n v="0"/>
    <n v="214"/>
    <m/>
    <n v="0"/>
    <m/>
    <n v="0"/>
    <m/>
    <n v="0"/>
    <n v="29611714.000000004"/>
    <n v="0"/>
    <n v="214"/>
    <n v="0"/>
    <n v="0"/>
    <n v="0"/>
    <n v="0"/>
    <s v=""/>
    <n v="214"/>
    <s v="2018 (triag)"/>
    <n v="214"/>
    <s v="2018 (triag)"/>
    <s v=""/>
    <n v="214"/>
    <n v="214"/>
    <s v="No change"/>
    <n v="4.1448317953169944E-2"/>
    <n v="6.6454487825566844E-3"/>
    <n v="173.94417688778671"/>
    <n v="218.30919014615515"/>
    <n v="0"/>
    <n v="7.9712317501163366E-2"/>
    <n v="7.2268697448584024E-2"/>
    <n v="7.2268697448584024E-2"/>
    <x v="1"/>
  </r>
  <r>
    <s v="Madagascar"/>
    <x v="24"/>
    <n v="22966254"/>
    <x v="9"/>
    <n v="0"/>
    <n v="23588073.5"/>
    <n v="0"/>
    <m/>
    <n v="0"/>
    <m/>
    <n v="0"/>
    <m/>
    <n v="0"/>
    <m/>
    <n v="0"/>
    <n v="26846541"/>
    <n v="0"/>
    <n v="11"/>
    <m/>
    <n v="0"/>
    <m/>
    <n v="0"/>
    <m/>
    <n v="0"/>
    <n v="29611714.000000004"/>
    <n v="0"/>
    <n v="11"/>
    <n v="0"/>
    <n v="0"/>
    <n v="0"/>
    <n v="0"/>
    <s v=""/>
    <n v="11"/>
    <s v="2018 (triag)"/>
    <n v="11"/>
    <s v="2018 (triag)"/>
    <s v=""/>
    <n v="11"/>
    <n v="11"/>
    <s v="No change"/>
    <n v="4.1448317953169944E-2"/>
    <n v="6.6454487825566844E-3"/>
    <n v="8.9410558213348317"/>
    <n v="11.221500428073396"/>
    <n v="0"/>
    <n v="4.0973621145457811E-3"/>
    <n v="3.7147461305346925E-3"/>
    <n v="3.7147461305346925E-3"/>
    <x v="1"/>
  </r>
  <r>
    <s v="Madagascar"/>
    <x v="24"/>
    <n v="22966255"/>
    <x v="10"/>
    <n v="0"/>
    <n v="23588073.5"/>
    <n v="0"/>
    <m/>
    <n v="0"/>
    <m/>
    <n v="0"/>
    <m/>
    <n v="0"/>
    <m/>
    <n v="0"/>
    <n v="26846541"/>
    <n v="0"/>
    <n v="56"/>
    <m/>
    <n v="0"/>
    <m/>
    <n v="0"/>
    <m/>
    <n v="0"/>
    <n v="29611714.000000004"/>
    <n v="0"/>
    <n v="56"/>
    <n v="0"/>
    <n v="0"/>
    <n v="0"/>
    <n v="0"/>
    <s v=""/>
    <n v="56"/>
    <s v="2018 (triag)"/>
    <n v="56"/>
    <s v="2018 (triag)"/>
    <s v=""/>
    <n v="56"/>
    <n v="56"/>
    <s v="No change"/>
    <n v="4.1448317953169944E-2"/>
    <n v="6.6454487825566844E-3"/>
    <n v="45.518102363159137"/>
    <n v="57.127638542919108"/>
    <n v="0"/>
    <n v="2.0859298037687612E-2"/>
    <n v="1.8911434846358436E-2"/>
    <n v="1.8911434846358436E-2"/>
    <x v="1"/>
  </r>
  <r>
    <s v="Madagascar"/>
    <x v="24"/>
    <n v="22966256"/>
    <x v="11"/>
    <n v="0"/>
    <n v="23588073.5"/>
    <n v="0"/>
    <m/>
    <n v="0"/>
    <m/>
    <n v="0"/>
    <m/>
    <n v="0"/>
    <m/>
    <n v="0"/>
    <n v="26846541"/>
    <n v="0"/>
    <n v="6355"/>
    <m/>
    <n v="0"/>
    <m/>
    <n v="0"/>
    <m/>
    <n v="0"/>
    <n v="29611714.000000004"/>
    <n v="0"/>
    <n v="6355"/>
    <n v="0"/>
    <n v="0"/>
    <n v="0"/>
    <n v="0"/>
    <s v=""/>
    <n v="6355"/>
    <s v="2018 (triag)"/>
    <n v="6355"/>
    <s v="2018 (triag)"/>
    <s v=""/>
    <n v="6355"/>
    <n v="6355"/>
    <s v="No change"/>
    <n v="4.1448317953169944E-2"/>
    <n v="6.6454487825566844E-3"/>
    <n v="5165.4917949620776"/>
    <n v="6482.9668382187665"/>
    <n v="0"/>
    <n v="2.367157839812585"/>
    <n v="2.1461101508679974"/>
    <n v="2.1461101508679974"/>
    <x v="1"/>
  </r>
  <r>
    <s v="Madagascar"/>
    <x v="24"/>
    <n v="22966257"/>
    <x v="12"/>
    <n v="0"/>
    <n v="23588073.5"/>
    <n v="0"/>
    <m/>
    <n v="0"/>
    <m/>
    <n v="0"/>
    <m/>
    <n v="0"/>
    <m/>
    <n v="0"/>
    <n v="26846541"/>
    <n v="0"/>
    <n v="0"/>
    <m/>
    <n v="0"/>
    <m/>
    <n v="0"/>
    <m/>
    <n v="0"/>
    <n v="29611714.000000004"/>
    <n v="0"/>
    <n v="0"/>
    <n v="0"/>
    <n v="0"/>
    <n v="0"/>
    <n v="0"/>
    <s v=""/>
    <n v="0"/>
    <s v=""/>
    <n v="0"/>
    <s v=""/>
    <s v=""/>
    <n v="0"/>
    <n v="0"/>
    <s v="No change"/>
    <n v="4.1448317953169944E-2"/>
    <n v="6.6454487825566844E-3"/>
    <n v="0"/>
    <n v="0"/>
    <n v="0"/>
    <n v="0"/>
    <n v="0"/>
    <n v="0"/>
    <x v="1"/>
  </r>
  <r>
    <s v="Madagascar"/>
    <x v="24"/>
    <n v="22966258"/>
    <x v="13"/>
    <n v="0"/>
    <n v="23588073.5"/>
    <n v="0"/>
    <m/>
    <n v="0"/>
    <m/>
    <n v="0"/>
    <m/>
    <n v="0"/>
    <m/>
    <n v="0"/>
    <n v="26846541"/>
    <n v="0"/>
    <n v="306"/>
    <m/>
    <n v="0"/>
    <m/>
    <n v="0"/>
    <m/>
    <n v="0"/>
    <n v="29611714.000000004"/>
    <n v="0"/>
    <n v="306"/>
    <n v="0"/>
    <n v="0"/>
    <n v="0"/>
    <n v="0"/>
    <s v=""/>
    <n v="306"/>
    <s v="2018 (triag)"/>
    <n v="306"/>
    <s v="2018 (triag)"/>
    <s v=""/>
    <n v="306"/>
    <n v="306"/>
    <s v="No change"/>
    <n v="4.1448317953169944E-2"/>
    <n v="6.6454487825566844E-3"/>
    <n v="248.72391648440529"/>
    <n v="312.1617391809508"/>
    <n v="0"/>
    <n v="0.11398116427736445"/>
    <n v="0.10333748326760145"/>
    <n v="0.10333748326760145"/>
    <x v="1"/>
  </r>
  <r>
    <s v="Madagascar"/>
    <x v="24"/>
    <n v="22966259"/>
    <x v="14"/>
    <n v="0"/>
    <n v="23588073.5"/>
    <n v="0"/>
    <m/>
    <n v="0"/>
    <m/>
    <n v="0"/>
    <m/>
    <n v="0"/>
    <m/>
    <n v="0"/>
    <n v="26846541"/>
    <n v="0"/>
    <n v="0"/>
    <m/>
    <n v="0"/>
    <m/>
    <n v="0"/>
    <m/>
    <n v="0"/>
    <n v="29611714.000000004"/>
    <n v="0"/>
    <n v="0"/>
    <n v="0"/>
    <n v="0"/>
    <n v="0"/>
    <n v="0"/>
    <s v=""/>
    <n v="0"/>
    <s v=""/>
    <n v="0"/>
    <s v=""/>
    <s v=""/>
    <n v="0"/>
    <n v="0"/>
    <s v="No change"/>
    <n v="4.1448317953169944E-2"/>
    <n v="6.6454487825566844E-3"/>
    <n v="0"/>
    <n v="0"/>
    <n v="0"/>
    <n v="0"/>
    <n v="0"/>
    <n v="0"/>
    <x v="1"/>
  </r>
  <r>
    <s v="Madagascar"/>
    <x v="24"/>
    <n v="22966260"/>
    <x v="15"/>
    <n v="0"/>
    <n v="23588073.5"/>
    <n v="0"/>
    <m/>
    <n v="0"/>
    <m/>
    <n v="0"/>
    <m/>
    <n v="0"/>
    <m/>
    <n v="0"/>
    <n v="26846541"/>
    <n v="0"/>
    <n v="99"/>
    <m/>
    <n v="0"/>
    <m/>
    <n v="0"/>
    <m/>
    <n v="0"/>
    <n v="29611714.000000004"/>
    <n v="0"/>
    <n v="99"/>
    <n v="0"/>
    <n v="0"/>
    <n v="0"/>
    <n v="0"/>
    <s v=""/>
    <n v="99"/>
    <s v="2018 (triag)"/>
    <n v="99"/>
    <s v="2018 (triag)"/>
    <s v=""/>
    <n v="99"/>
    <n v="99"/>
    <s v="No change"/>
    <n v="4.1448317953169944E-2"/>
    <n v="6.6454487825566844E-3"/>
    <n v="80.469502392013482"/>
    <n v="100.99350385266057"/>
    <n v="0"/>
    <n v="3.6876259030912024E-2"/>
    <n v="3.3432715174812236E-2"/>
    <n v="3.3432715174812236E-2"/>
    <x v="1"/>
  </r>
  <r>
    <s v="Madagascar"/>
    <x v="24"/>
    <n v="22966261"/>
    <x v="16"/>
    <n v="0"/>
    <n v="23588073.5"/>
    <n v="0"/>
    <m/>
    <n v="0"/>
    <m/>
    <n v="0"/>
    <m/>
    <n v="0"/>
    <m/>
    <n v="0"/>
    <n v="26846541"/>
    <n v="0"/>
    <n v="0"/>
    <m/>
    <n v="0"/>
    <m/>
    <n v="0"/>
    <m/>
    <n v="0"/>
    <n v="29611714.000000004"/>
    <n v="0"/>
    <n v="0"/>
    <n v="0"/>
    <n v="0"/>
    <n v="0"/>
    <n v="0"/>
    <s v=""/>
    <n v="0"/>
    <s v=""/>
    <n v="0"/>
    <s v=""/>
    <s v=""/>
    <n v="0"/>
    <n v="0"/>
    <s v="No change"/>
    <n v="4.1448317953169944E-2"/>
    <n v="6.6454487825566844E-3"/>
    <n v="0"/>
    <n v="0"/>
    <n v="0"/>
    <n v="0"/>
    <n v="0"/>
    <n v="0"/>
    <x v="1"/>
  </r>
  <r>
    <s v="Madagascar"/>
    <x v="24"/>
    <n v="22966262"/>
    <x v="17"/>
    <n v="0"/>
    <n v="23588073.5"/>
    <n v="0"/>
    <m/>
    <n v="0"/>
    <m/>
    <n v="0"/>
    <m/>
    <n v="0"/>
    <m/>
    <n v="0"/>
    <n v="26846541"/>
    <n v="0"/>
    <n v="0"/>
    <m/>
    <n v="0"/>
    <m/>
    <n v="0"/>
    <m/>
    <n v="0"/>
    <n v="29611714.000000004"/>
    <n v="0"/>
    <n v="0"/>
    <n v="0"/>
    <n v="0"/>
    <n v="0"/>
    <n v="0"/>
    <s v=""/>
    <n v="0"/>
    <s v=""/>
    <n v="0"/>
    <s v=""/>
    <s v=""/>
    <n v="0"/>
    <n v="0"/>
    <s v="No change"/>
    <n v="4.1448317953169944E-2"/>
    <n v="6.6454487825566844E-3"/>
    <n v="0"/>
    <n v="0"/>
    <n v="0"/>
    <n v="0"/>
    <n v="0"/>
    <n v="0"/>
    <x v="1"/>
  </r>
  <r>
    <s v="Madagascar"/>
    <x v="24"/>
    <n v="22966263"/>
    <x v="18"/>
    <n v="0"/>
    <n v="23588073.5"/>
    <n v="0"/>
    <m/>
    <n v="0"/>
    <m/>
    <n v="0"/>
    <m/>
    <n v="0"/>
    <m/>
    <n v="0"/>
    <n v="26846541"/>
    <n v="0"/>
    <n v="602"/>
    <m/>
    <n v="0"/>
    <m/>
    <n v="0"/>
    <m/>
    <n v="0"/>
    <n v="29611714.000000004"/>
    <n v="0"/>
    <n v="602"/>
    <n v="0"/>
    <n v="0"/>
    <n v="0"/>
    <n v="0"/>
    <s v=""/>
    <n v="602"/>
    <s v="2018 (triag)"/>
    <n v="602"/>
    <s v="2018 (triag)"/>
    <s v=""/>
    <n v="602"/>
    <n v="602"/>
    <s v="No change"/>
    <n v="4.1448317953169944E-2"/>
    <n v="6.6454487825566844E-3"/>
    <n v="489.31960040396075"/>
    <n v="614.12211433638038"/>
    <n v="0"/>
    <n v="0.22423745390514183"/>
    <n v="0.20329792459835319"/>
    <n v="0.20329792459835319"/>
    <x v="1"/>
  </r>
  <r>
    <s v="Mali"/>
    <x v="25"/>
    <n v="16514692"/>
    <x v="0"/>
    <n v="0"/>
    <n v="17004032.499999996"/>
    <n v="0"/>
    <m/>
    <n v="0"/>
    <m/>
    <n v="0"/>
    <m/>
    <n v="0"/>
    <m/>
    <n v="0"/>
    <n v="19934298.000000004"/>
    <n v="1152"/>
    <n v="1152"/>
    <m/>
    <n v="0"/>
    <m/>
    <n v="3303"/>
    <m/>
    <n v="0"/>
    <n v="22593590.500000022"/>
    <n v="0"/>
    <n v="1152"/>
    <n v="0"/>
    <n v="1152"/>
    <n v="3303"/>
    <n v="0"/>
    <s v=""/>
    <n v="1152"/>
    <n v="2018"/>
    <n v="3303"/>
    <n v="2020"/>
    <s v=""/>
    <n v="3303"/>
    <n v="3303"/>
    <s v="Increasing"/>
    <n v="3.5406206546388264E-2"/>
    <n v="8.9309654310665287E-4"/>
    <n v="965.09236185321345"/>
    <n v="1155.0906802178097"/>
    <n v="0"/>
    <n v="0.57789845421193153"/>
    <n v="1.4619190340729584"/>
    <n v="1.4619190340729584"/>
    <x v="1"/>
  </r>
  <r>
    <s v="Mali"/>
    <x v="25"/>
    <n v="16514693"/>
    <x v="1"/>
    <n v="0"/>
    <n v="17004032.499999996"/>
    <n v="0"/>
    <m/>
    <n v="0"/>
    <m/>
    <n v="0"/>
    <m/>
    <n v="0"/>
    <m/>
    <n v="0"/>
    <n v="19934298.000000004"/>
    <n v="0"/>
    <n v="7"/>
    <m/>
    <n v="0"/>
    <m/>
    <n v="0"/>
    <m/>
    <n v="0"/>
    <n v="22593590.500000022"/>
    <n v="3342"/>
    <n v="7"/>
    <n v="0"/>
    <n v="0"/>
    <n v="3342"/>
    <n v="0"/>
    <s v=""/>
    <n v="7"/>
    <s v="2018 (triag)"/>
    <n v="3342"/>
    <n v="2022"/>
    <s v=""/>
    <n v="3342"/>
    <n v="3342"/>
    <s v="Increasing"/>
    <n v="3.5406206546388264E-2"/>
    <n v="8.9309654310665287E-4"/>
    <n v="5.8642765043164014"/>
    <n v="7.0187801749346077"/>
    <n v="0"/>
    <n v="3.5115357460794448E-3"/>
    <n v="1.4791805667186881"/>
    <n v="1.4791805667186881"/>
    <x v="1"/>
  </r>
  <r>
    <s v="Mali"/>
    <x v="25"/>
    <n v="16514694"/>
    <x v="2"/>
    <n v="0"/>
    <n v="17004032.499999996"/>
    <n v="0"/>
    <m/>
    <n v="0"/>
    <m/>
    <n v="0"/>
    <m/>
    <n v="0"/>
    <m/>
    <n v="0"/>
    <n v="19934298.000000004"/>
    <n v="0"/>
    <n v="78"/>
    <m/>
    <n v="146"/>
    <m/>
    <n v="0"/>
    <m/>
    <n v="0"/>
    <n v="22593590.500000022"/>
    <n v="3642"/>
    <n v="78"/>
    <n v="0"/>
    <n v="146"/>
    <n v="3642"/>
    <n v="0"/>
    <s v=""/>
    <n v="78"/>
    <s v="2018 (triag)"/>
    <n v="3642"/>
    <n v="2022"/>
    <s v=""/>
    <n v="3642"/>
    <n v="3642"/>
    <s v="Increasing"/>
    <n v="3.5406206546388264E-2"/>
    <n v="8.9309654310665287E-4"/>
    <n v="65.344795333811319"/>
    <n v="78.209264806414197"/>
    <n v="0"/>
    <n v="3.912854117059953E-2"/>
    <n v="1.6119615870704553"/>
    <n v="1.6119615870704553"/>
    <x v="1"/>
  </r>
  <r>
    <s v="Mali"/>
    <x v="25"/>
    <n v="16514695"/>
    <x v="3"/>
    <n v="0"/>
    <n v="17004032.499999996"/>
    <n v="0"/>
    <m/>
    <n v="0"/>
    <m/>
    <n v="0"/>
    <m/>
    <n v="0"/>
    <m/>
    <n v="0"/>
    <n v="19934298.000000004"/>
    <n v="0"/>
    <n v="2153"/>
    <m/>
    <n v="0"/>
    <m/>
    <n v="0"/>
    <m/>
    <n v="0"/>
    <n v="22593590.500000022"/>
    <n v="0"/>
    <n v="2153"/>
    <n v="0"/>
    <n v="0"/>
    <n v="0"/>
    <n v="0"/>
    <s v=""/>
    <n v="2153"/>
    <s v="2018 (triag)"/>
    <n v="2153"/>
    <s v="2018 (triag)"/>
    <s v=""/>
    <n v="2153"/>
    <n v="2153"/>
    <s v="No change"/>
    <n v="3.5406206546388264E-2"/>
    <n v="8.9309654310665287E-4"/>
    <n v="1803.6839019704587"/>
    <n v="2158.7762452334587"/>
    <n v="0"/>
    <n v="1.0800480659012921"/>
    <n v="0.9529251227245169"/>
    <n v="0.9529251227245169"/>
    <x v="1"/>
  </r>
  <r>
    <s v="Mali"/>
    <x v="25"/>
    <n v="16514696"/>
    <x v="4"/>
    <n v="0"/>
    <n v="17004032.499999996"/>
    <n v="0"/>
    <m/>
    <n v="0"/>
    <m/>
    <n v="0"/>
    <m/>
    <n v="0"/>
    <m/>
    <n v="0"/>
    <n v="19934298.000000004"/>
    <n v="13"/>
    <n v="25"/>
    <m/>
    <n v="0"/>
    <m/>
    <n v="0"/>
    <m/>
    <n v="0"/>
    <n v="22593590.500000022"/>
    <n v="0"/>
    <n v="25"/>
    <n v="0"/>
    <n v="13"/>
    <n v="0"/>
    <n v="0"/>
    <s v=""/>
    <n v="25"/>
    <s v="2018 (triag)"/>
    <n v="25"/>
    <s v="2018 (triag)"/>
    <s v=""/>
    <n v="25"/>
    <n v="25"/>
    <s v="No change"/>
    <n v="3.5406206546388264E-2"/>
    <n v="8.9309654310665287E-4"/>
    <n v="20.943844658272862"/>
    <n v="25.067072053337885"/>
    <n v="0"/>
    <n v="1.2541199093140875E-2"/>
    <n v="1.1065085029313944E-2"/>
    <n v="1.1065085029313944E-2"/>
    <x v="1"/>
  </r>
  <r>
    <s v="Mali"/>
    <x v="25"/>
    <n v="16514697"/>
    <x v="5"/>
    <n v="0"/>
    <n v="17004032.499999996"/>
    <n v="0"/>
    <m/>
    <n v="0"/>
    <m/>
    <n v="0"/>
    <m/>
    <n v="0"/>
    <m/>
    <n v="0"/>
    <n v="19934298.000000004"/>
    <n v="15"/>
    <n v="15"/>
    <m/>
    <n v="0"/>
    <m/>
    <n v="0"/>
    <m/>
    <n v="0"/>
    <n v="22593590.500000022"/>
    <n v="0"/>
    <n v="0"/>
    <n v="0"/>
    <n v="15"/>
    <n v="0"/>
    <n v="0"/>
    <s v=""/>
    <n v="15"/>
    <n v="2018"/>
    <n v="15"/>
    <n v="2018"/>
    <s v=""/>
    <n v="15"/>
    <n v="15"/>
    <s v="No change"/>
    <n v="3.5406206546388264E-2"/>
    <n v="8.9309654310665287E-4"/>
    <n v="0"/>
    <n v="0"/>
    <n v="0"/>
    <n v="7.5247194558845246E-3"/>
    <n v="6.6390510175883665E-3"/>
    <n v="6.6390510175883665E-3"/>
    <x v="1"/>
  </r>
  <r>
    <s v="Mali"/>
    <x v="25"/>
    <n v="16514698"/>
    <x v="6"/>
    <n v="0"/>
    <n v="17004032.499999996"/>
    <n v="0"/>
    <m/>
    <n v="0"/>
    <m/>
    <n v="0"/>
    <m/>
    <n v="0"/>
    <m/>
    <n v="0"/>
    <n v="19934298.000000004"/>
    <n v="0"/>
    <n v="1496"/>
    <m/>
    <n v="0"/>
    <m/>
    <n v="0"/>
    <m/>
    <n v="0"/>
    <n v="22593590.500000022"/>
    <n v="0"/>
    <n v="1496"/>
    <n v="0"/>
    <n v="0"/>
    <n v="0"/>
    <n v="0"/>
    <s v=""/>
    <n v="1496"/>
    <s v="2018 (triag)"/>
    <n v="1496"/>
    <s v="2018 (triag)"/>
    <s v=""/>
    <n v="1496"/>
    <n v="1496"/>
    <s v="No change"/>
    <n v="3.5406206546388264E-2"/>
    <n v="8.9309654310665287E-4"/>
    <n v="1253.279664351048"/>
    <n v="1500.0135916717391"/>
    <n v="0"/>
    <n v="0.75046535373354994"/>
    <n v="0.66213468815414644"/>
    <n v="0.66213468815414644"/>
    <x v="1"/>
  </r>
  <r>
    <s v="Mali"/>
    <x v="25"/>
    <n v="16514699"/>
    <x v="7"/>
    <n v="0"/>
    <n v="17004032.499999996"/>
    <n v="0"/>
    <m/>
    <n v="0"/>
    <m/>
    <n v="0"/>
    <m/>
    <n v="0"/>
    <m/>
    <n v="0"/>
    <n v="19934298.000000004"/>
    <n v="1022"/>
    <n v="1041"/>
    <m/>
    <n v="0"/>
    <m/>
    <n v="0"/>
    <m/>
    <n v="0"/>
    <n v="22593590.500000022"/>
    <n v="1481"/>
    <n v="1041"/>
    <n v="0"/>
    <n v="1022"/>
    <n v="1481"/>
    <n v="0"/>
    <s v=""/>
    <n v="1041"/>
    <s v="2018 (triag)"/>
    <n v="1481"/>
    <n v="2022"/>
    <s v=""/>
    <n v="1481"/>
    <n v="1481"/>
    <s v="Increasing"/>
    <n v="3.5406206546388264E-2"/>
    <n v="8.9309654310665287E-4"/>
    <n v="872.10169157048188"/>
    <n v="1043.7928803009895"/>
    <n v="0"/>
    <n v="0.52221553023838607"/>
    <n v="0.65549563713655801"/>
    <n v="0.65549563713655801"/>
    <x v="1"/>
  </r>
  <r>
    <s v="Mali"/>
    <x v="25"/>
    <n v="16514700"/>
    <x v="8"/>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01"/>
    <x v="9"/>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02"/>
    <x v="10"/>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03"/>
    <x v="11"/>
    <n v="0"/>
    <n v="17004032.499999996"/>
    <n v="0"/>
    <m/>
    <n v="0"/>
    <m/>
    <n v="0"/>
    <m/>
    <n v="0"/>
    <m/>
    <n v="0"/>
    <n v="19934298.000000004"/>
    <n v="0"/>
    <n v="8306"/>
    <m/>
    <n v="0"/>
    <m/>
    <n v="0"/>
    <m/>
    <n v="0"/>
    <n v="22593590.500000022"/>
    <n v="0"/>
    <n v="8306"/>
    <n v="0"/>
    <n v="0"/>
    <n v="0"/>
    <n v="0"/>
    <s v=""/>
    <n v="8306"/>
    <s v="2018 (triag)"/>
    <n v="8306"/>
    <s v="2018 (triag)"/>
    <s v=""/>
    <n v="8306"/>
    <n v="8306"/>
    <s v="No change"/>
    <n v="3.5406206546388264E-2"/>
    <n v="8.9309654310665287E-4"/>
    <n v="6958.3829492645755"/>
    <n v="8328.2840190009792"/>
    <n v="0"/>
    <n v="4.1666879867051243"/>
    <n v="3.6762638501392648"/>
    <n v="3.6762638501392648"/>
    <x v="1"/>
  </r>
  <r>
    <s v="Mali"/>
    <x v="25"/>
    <n v="16514704"/>
    <x v="12"/>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05"/>
    <x v="13"/>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06"/>
    <x v="14"/>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07"/>
    <x v="15"/>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08"/>
    <x v="16"/>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09"/>
    <x v="17"/>
    <n v="0"/>
    <n v="17004032.499999996"/>
    <n v="0"/>
    <m/>
    <n v="0"/>
    <m/>
    <n v="0"/>
    <m/>
    <n v="0"/>
    <m/>
    <n v="0"/>
    <n v="19934298.000000004"/>
    <n v="0"/>
    <n v="0"/>
    <m/>
    <n v="0"/>
    <m/>
    <n v="0"/>
    <m/>
    <n v="0"/>
    <n v="22593590.500000022"/>
    <n v="0"/>
    <n v="0"/>
    <n v="0"/>
    <n v="0"/>
    <n v="0"/>
    <n v="0"/>
    <s v=""/>
    <n v="0"/>
    <s v=""/>
    <n v="0"/>
    <s v=""/>
    <s v=""/>
    <n v="0"/>
    <n v="0"/>
    <s v="No change"/>
    <n v="3.5406206546388264E-2"/>
    <n v="8.9309654310665287E-4"/>
    <n v="0"/>
    <n v="0"/>
    <n v="0"/>
    <n v="0"/>
    <n v="0"/>
    <n v="0"/>
    <x v="1"/>
  </r>
  <r>
    <s v="Mali"/>
    <x v="25"/>
    <n v="16514710"/>
    <x v="18"/>
    <n v="0"/>
    <n v="17004032.499999996"/>
    <n v="0"/>
    <m/>
    <n v="0"/>
    <m/>
    <n v="0"/>
    <m/>
    <n v="0"/>
    <m/>
    <n v="0"/>
    <n v="19934298.000000004"/>
    <n v="0"/>
    <n v="4"/>
    <m/>
    <n v="0"/>
    <m/>
    <n v="0"/>
    <m/>
    <n v="0"/>
    <n v="22593590.500000022"/>
    <n v="0"/>
    <n v="4"/>
    <n v="0"/>
    <n v="0"/>
    <n v="0"/>
    <n v="0"/>
    <s v=""/>
    <n v="4"/>
    <s v="2018 (triag)"/>
    <n v="4"/>
    <s v="2018 (triag)"/>
    <s v=""/>
    <n v="4"/>
    <n v="4"/>
    <s v="No change"/>
    <n v="3.5406206546388264E-2"/>
    <n v="8.9309654310665287E-4"/>
    <n v="3.3510151453236579"/>
    <n v="4.0107315285340617"/>
    <n v="0"/>
    <n v="2.0065918549025401E-3"/>
    <n v="1.770413604690231E-3"/>
    <n v="1.770413604690231E-3"/>
    <x v="1"/>
  </r>
  <r>
    <s v="Mozambique"/>
    <x v="26"/>
    <n v="24487616"/>
    <x v="0"/>
    <n v="1213"/>
    <n v="25251730.999999993"/>
    <n v="1204"/>
    <m/>
    <n v="0"/>
    <m/>
    <n v="0"/>
    <m/>
    <n v="0"/>
    <m/>
    <n v="1991"/>
    <n v="29423878.499999993"/>
    <n v="4787"/>
    <n v="4787"/>
    <m/>
    <n v="6632"/>
    <m/>
    <n v="6696"/>
    <m/>
    <n v="7329"/>
    <n v="32969518.500000007"/>
    <n v="6992"/>
    <n v="2205"/>
    <n v="1213"/>
    <n v="6632"/>
    <n v="7329"/>
    <n v="1204"/>
    <n v="2013"/>
    <n v="4787"/>
    <n v="2018"/>
    <n v="6992"/>
    <n v="2022"/>
    <s v=""/>
    <n v="6992"/>
    <n v="6992"/>
    <s v="Increasing"/>
    <n v="5.4585812874464734E-2"/>
    <n v="3.4026707504662967E-2"/>
    <n v="1678.3286457952765"/>
    <n v="2441.9762045946391"/>
    <n v="0.47679899647275681"/>
    <n v="1.6269099262355917"/>
    <n v="2.120746774024012"/>
    <n v="2.120746774024012"/>
    <x v="1"/>
  </r>
  <r>
    <s v="Mozambique"/>
    <x v="26"/>
    <n v="24487617"/>
    <x v="1"/>
    <n v="0"/>
    <n v="25251730.999999993"/>
    <n v="0"/>
    <m/>
    <n v="0"/>
    <m/>
    <n v="0"/>
    <m/>
    <n v="0"/>
    <m/>
    <n v="0"/>
    <n v="29423878.499999993"/>
    <n v="0"/>
    <n v="0"/>
    <m/>
    <n v="0"/>
    <m/>
    <n v="0"/>
    <m/>
    <n v="0"/>
    <n v="32969518.500000007"/>
    <n v="856"/>
    <n v="0"/>
    <n v="0"/>
    <n v="0"/>
    <n v="856"/>
    <n v="0"/>
    <s v=""/>
    <n v="0"/>
    <s v=""/>
    <n v="856"/>
    <n v="2022"/>
    <s v=""/>
    <n v="856"/>
    <n v="856"/>
    <s v="Increasing"/>
    <n v="5.4585812874464734E-2"/>
    <n v="3.4026707504662967E-2"/>
    <n v="0"/>
    <n v="0"/>
    <n v="0"/>
    <n v="0"/>
    <n v="0.25963375837593738"/>
    <n v="0.25963375837593738"/>
    <x v="1"/>
  </r>
  <r>
    <s v="Mozambique"/>
    <x v="26"/>
    <n v="24487618"/>
    <x v="2"/>
    <n v="85"/>
    <n v="25251730.999999993"/>
    <n v="0"/>
    <m/>
    <n v="0"/>
    <m/>
    <n v="0"/>
    <m/>
    <n v="0"/>
    <m/>
    <n v="0"/>
    <n v="29423878.499999993"/>
    <n v="0"/>
    <n v="0"/>
    <m/>
    <n v="0"/>
    <m/>
    <n v="0"/>
    <m/>
    <n v="0"/>
    <n v="32969518.500000007"/>
    <n v="6"/>
    <n v="0"/>
    <n v="85"/>
    <n v="0"/>
    <n v="6"/>
    <n v="85"/>
    <n v="2012"/>
    <n v="0"/>
    <s v=""/>
    <n v="6"/>
    <n v="2022"/>
    <s v=""/>
    <n v="6"/>
    <n v="6"/>
    <s v="Increasing"/>
    <n v="5.4585812874464734E-2"/>
    <n v="3.4026707504662967E-2"/>
    <n v="0"/>
    <n v="0"/>
    <n v="3.3661058721083326E-2"/>
    <n v="0"/>
    <n v="1.8198627923547014E-3"/>
    <n v="1.8198627923547014E-3"/>
    <x v="1"/>
  </r>
  <r>
    <s v="Mozambique"/>
    <x v="26"/>
    <n v="24487619"/>
    <x v="3"/>
    <n v="0"/>
    <n v="25251730.999999993"/>
    <n v="0"/>
    <m/>
    <n v="0"/>
    <m/>
    <n v="0"/>
    <m/>
    <n v="0"/>
    <m/>
    <n v="0"/>
    <n v="29423878.499999993"/>
    <n v="0"/>
    <n v="0"/>
    <m/>
    <n v="0"/>
    <m/>
    <n v="0"/>
    <m/>
    <n v="0"/>
    <n v="32969518.500000007"/>
    <n v="0"/>
    <n v="0"/>
    <n v="0"/>
    <n v="0"/>
    <n v="0"/>
    <n v="0"/>
    <s v=""/>
    <n v="0"/>
    <s v=""/>
    <n v="0"/>
    <s v=""/>
    <s v=""/>
    <n v="0"/>
    <n v="0"/>
    <s v="No change"/>
    <n v="5.4585812874464734E-2"/>
    <n v="3.4026707504662967E-2"/>
    <n v="0"/>
    <n v="0"/>
    <n v="0"/>
    <n v="0"/>
    <n v="0"/>
    <n v="0"/>
    <x v="1"/>
  </r>
  <r>
    <s v="Mozambique"/>
    <x v="26"/>
    <n v="24487620"/>
    <x v="4"/>
    <n v="0"/>
    <n v="25251730.999999993"/>
    <n v="0"/>
    <m/>
    <n v="0"/>
    <m/>
    <n v="0"/>
    <m/>
    <n v="0"/>
    <m/>
    <n v="2466"/>
    <n v="29423878.499999993"/>
    <n v="0"/>
    <n v="2466"/>
    <m/>
    <n v="2789"/>
    <m/>
    <n v="2954"/>
    <m/>
    <n v="3318"/>
    <n v="32969518.500000007"/>
    <n v="3337"/>
    <n v="2466"/>
    <n v="0"/>
    <n v="2789"/>
    <n v="3337"/>
    <n v="0"/>
    <s v=""/>
    <n v="2466"/>
    <n v="2017"/>
    <n v="3337"/>
    <n v="2022"/>
    <s v=""/>
    <n v="3337"/>
    <n v="3337"/>
    <s v="Increasing"/>
    <n v="5.4585812874464734E-2"/>
    <n v="3.4026707504662967E-2"/>
    <n v="1876.9879548894114"/>
    <n v="2731.0264492201272"/>
    <n v="0"/>
    <n v="0.83809481472675351"/>
    <n v="1.0121470230146064"/>
    <n v="1.0121470230146064"/>
    <x v="1"/>
  </r>
  <r>
    <s v="Mozambique"/>
    <x v="26"/>
    <n v="24487621"/>
    <x v="5"/>
    <n v="33"/>
    <n v="25251730.999999993"/>
    <n v="44"/>
    <m/>
    <n v="0"/>
    <m/>
    <n v="212"/>
    <m/>
    <n v="0"/>
    <m/>
    <n v="29"/>
    <n v="29423878.499999993"/>
    <n v="304"/>
    <n v="304"/>
    <m/>
    <n v="54"/>
    <m/>
    <n v="0"/>
    <m/>
    <n v="0"/>
    <n v="32969518.500000007"/>
    <n v="72"/>
    <n v="29"/>
    <n v="212"/>
    <n v="304"/>
    <n v="72"/>
    <n v="44"/>
    <n v="2013"/>
    <n v="304"/>
    <n v="2018"/>
    <n v="72"/>
    <n v="2022"/>
    <s v="Adjust"/>
    <n v="82.749502391069896"/>
    <n v="304"/>
    <s v="Decreasing"/>
    <n v="5.4585812874464734E-2"/>
    <n v="3.4026707504662967E-2"/>
    <n v="22.073256566014976"/>
    <n v="32.116693847276437"/>
    <n v="1.74245480438549E-2"/>
    <n v="0.10331744674652599"/>
    <n v="2.5098790081229082E-2"/>
    <n v="9.2206381479304877E-2"/>
    <x v="0"/>
  </r>
  <r>
    <s v="Mozambique"/>
    <x v="26"/>
    <n v="24487622"/>
    <x v="6"/>
    <n v="0"/>
    <n v="25251730.999999993"/>
    <n v="1908"/>
    <m/>
    <n v="0"/>
    <m/>
    <n v="0"/>
    <m/>
    <n v="0"/>
    <m/>
    <n v="0"/>
    <n v="29423878.499999993"/>
    <n v="0"/>
    <n v="5726"/>
    <m/>
    <n v="2055"/>
    <m/>
    <n v="2041"/>
    <m/>
    <n v="1912"/>
    <n v="32969518.500000007"/>
    <n v="1908"/>
    <n v="5726"/>
    <n v="1908"/>
    <n v="2055"/>
    <n v="2041"/>
    <n v="1908"/>
    <n v="2013"/>
    <n v="5726"/>
    <s v="2018 (triag)"/>
    <n v="1908"/>
    <n v="2022"/>
    <s v="Adjust"/>
    <n v="2192.8618133633522"/>
    <n v="5726"/>
    <s v="Decreasing"/>
    <n v="5.4585812874464734E-2"/>
    <n v="3.4026707504662967E-2"/>
    <n v="4358.32645162075"/>
    <n v="6341.3858265346507"/>
    <n v="0.75559176517443516"/>
    <n v="1.9460384870743677"/>
    <n v="0.66511793715257062"/>
    <n v="1.7367557248371701"/>
    <x v="0"/>
  </r>
  <r>
    <s v="Mozambique"/>
    <x v="26"/>
    <n v="24487623"/>
    <x v="7"/>
    <n v="0"/>
    <n v="25251730.999999993"/>
    <n v="0"/>
    <m/>
    <n v="0"/>
    <m/>
    <n v="0"/>
    <m/>
    <n v="0"/>
    <m/>
    <n v="0"/>
    <n v="29423878.499999993"/>
    <n v="0"/>
    <n v="0"/>
    <m/>
    <n v="0"/>
    <m/>
    <n v="0"/>
    <m/>
    <n v="0"/>
    <n v="32969518.500000007"/>
    <n v="0"/>
    <n v="0"/>
    <n v="0"/>
    <n v="0"/>
    <n v="0"/>
    <n v="0"/>
    <s v=""/>
    <n v="0"/>
    <s v=""/>
    <n v="0"/>
    <s v=""/>
    <s v=""/>
    <n v="0"/>
    <n v="0"/>
    <s v="No change"/>
    <n v="5.4585812874464734E-2"/>
    <n v="3.4026707504662967E-2"/>
    <n v="0"/>
    <n v="0"/>
    <n v="0"/>
    <n v="0"/>
    <n v="0"/>
    <n v="0"/>
    <x v="1"/>
  </r>
  <r>
    <s v="Mozambique"/>
    <x v="26"/>
    <n v="24487624"/>
    <x v="8"/>
    <n v="267"/>
    <n v="25251730.999999993"/>
    <n v="238"/>
    <m/>
    <n v="0"/>
    <m/>
    <n v="0"/>
    <m/>
    <n v="0"/>
    <m/>
    <n v="290"/>
    <n v="29423878.499999993"/>
    <n v="0"/>
    <n v="206"/>
    <m/>
    <n v="315"/>
    <m/>
    <n v="301"/>
    <m/>
    <n v="264"/>
    <n v="32969518.500000007"/>
    <n v="276"/>
    <n v="206"/>
    <n v="267"/>
    <n v="315"/>
    <n v="301"/>
    <n v="238"/>
    <n v="2013"/>
    <n v="206"/>
    <s v="2018 (triag)"/>
    <n v="276"/>
    <n v="2022"/>
    <s v=""/>
    <n v="276"/>
    <n v="276"/>
    <s v="Increasing"/>
    <n v="5.4585812874464734E-2"/>
    <n v="3.4026707504662967E-2"/>
    <n v="156.79623629652016"/>
    <n v="228.13927353582571"/>
    <n v="9.4250964419033315E-2"/>
    <n v="7.0011164571659054E-2"/>
    <n v="8.3713688448316267E-2"/>
    <n v="8.3713688448316267E-2"/>
    <x v="1"/>
  </r>
  <r>
    <s v="Mozambique"/>
    <x v="26"/>
    <n v="24487625"/>
    <x v="9"/>
    <n v="0"/>
    <n v="25251730.999999993"/>
    <n v="0"/>
    <m/>
    <n v="0"/>
    <m/>
    <n v="0"/>
    <m/>
    <n v="0"/>
    <m/>
    <n v="0"/>
    <n v="29423878.499999993"/>
    <n v="0"/>
    <n v="59"/>
    <m/>
    <n v="0"/>
    <m/>
    <n v="0"/>
    <m/>
    <n v="0"/>
    <n v="32969518.500000007"/>
    <n v="172"/>
    <n v="59"/>
    <n v="0"/>
    <n v="0"/>
    <n v="172"/>
    <n v="0"/>
    <s v=""/>
    <n v="59"/>
    <s v="2018 (triag)"/>
    <n v="172"/>
    <n v="2022"/>
    <s v=""/>
    <n v="172"/>
    <n v="172"/>
    <s v="Increasing"/>
    <n v="5.4585812874464734E-2"/>
    <n v="3.4026707504662967E-2"/>
    <n v="44.907659910168398"/>
    <n v="65.34085989618309"/>
    <n v="0"/>
    <n v="2.0051741309358662E-2"/>
    <n v="5.2169400047501438E-2"/>
    <n v="5.2169400047501438E-2"/>
    <x v="1"/>
  </r>
  <r>
    <s v="Mozambique"/>
    <x v="26"/>
    <n v="24487626"/>
    <x v="10"/>
    <n v="76"/>
    <n v="25251730.999999993"/>
    <n v="115"/>
    <m/>
    <n v="0"/>
    <m/>
    <n v="0"/>
    <m/>
    <n v="0"/>
    <m/>
    <n v="147"/>
    <n v="29423878.499999993"/>
    <n v="150"/>
    <n v="150"/>
    <m/>
    <n v="165"/>
    <m/>
    <n v="156"/>
    <m/>
    <n v="151"/>
    <n v="32969518.500000007"/>
    <n v="154"/>
    <n v="147"/>
    <n v="115"/>
    <n v="165"/>
    <n v="156"/>
    <n v="115"/>
    <n v="2013"/>
    <n v="150"/>
    <n v="2018"/>
    <n v="154"/>
    <n v="2022"/>
    <s v=""/>
    <n v="154"/>
    <n v="154"/>
    <s v="Increasing"/>
    <n v="5.4585812874464734E-2"/>
    <n v="3.4026707504662967E-2"/>
    <n v="111.88857638635177"/>
    <n v="162.7984136396426"/>
    <n v="4.5541432387348035E-2"/>
    <n v="5.0979003328877955E-2"/>
    <n v="4.6709811670437335E-2"/>
    <n v="4.6709811670437335E-2"/>
    <x v="1"/>
  </r>
  <r>
    <s v="Mozambique"/>
    <x v="26"/>
    <n v="24487627"/>
    <x v="11"/>
    <n v="0"/>
    <n v="25251730.999999993"/>
    <n v="0"/>
    <m/>
    <n v="0"/>
    <m/>
    <n v="0"/>
    <m/>
    <n v="0"/>
    <m/>
    <n v="34992"/>
    <n v="29423878.499999993"/>
    <n v="0"/>
    <n v="26735"/>
    <m/>
    <n v="399"/>
    <m/>
    <n v="8308"/>
    <m/>
    <n v="3530"/>
    <n v="32969518.500000007"/>
    <n v="696"/>
    <n v="26735"/>
    <n v="0"/>
    <n v="34992"/>
    <n v="8308"/>
    <n v="0"/>
    <s v=""/>
    <n v="26735"/>
    <s v="2018 (triag)"/>
    <n v="696"/>
    <n v="2022"/>
    <s v="Adjust"/>
    <n v="799.91185644700897"/>
    <n v="26735"/>
    <s v="Decreasing"/>
    <n v="5.4585812874464734E-2"/>
    <n v="3.4026707504662967E-2"/>
    <n v="20349.259113531392"/>
    <n v="29608.269310583983"/>
    <n v="0"/>
    <n v="9.0861576933170127"/>
    <n v="0.24262163745188114"/>
    <n v="8.1090052922671578"/>
    <x v="0"/>
  </r>
  <r>
    <s v="Mozambique"/>
    <x v="26"/>
    <n v="24487628"/>
    <x v="12"/>
    <n v="0"/>
    <n v="25251730.999999993"/>
    <n v="0"/>
    <m/>
    <n v="0"/>
    <m/>
    <n v="0"/>
    <m/>
    <n v="0"/>
    <m/>
    <n v="26735"/>
    <n v="29423878.499999993"/>
    <n v="0"/>
    <n v="0"/>
    <m/>
    <n v="16937"/>
    <m/>
    <n v="14416"/>
    <m/>
    <n v="10717"/>
    <n v="32969518.500000007"/>
    <n v="12261"/>
    <n v="0"/>
    <n v="0"/>
    <n v="26735"/>
    <n v="14416"/>
    <n v="0"/>
    <s v=""/>
    <n v="26735"/>
    <n v="2017"/>
    <n v="12261"/>
    <n v="2022"/>
    <s v="Adjust"/>
    <n v="14091.550678012611"/>
    <n v="26735"/>
    <s v="Decreasing"/>
    <n v="5.4585812874464734E-2"/>
    <n v="3.4026707504662967E-2"/>
    <n v="0"/>
    <n v="0"/>
    <n v="0"/>
    <n v="9.0861576933170127"/>
    <n v="4.2741147942493019"/>
    <n v="8.1090052922671578"/>
    <x v="0"/>
  </r>
  <r>
    <s v="Mozambique"/>
    <x v="26"/>
    <n v="24487629"/>
    <x v="13"/>
    <n v="1425"/>
    <n v="25251730.999999993"/>
    <n v="1465"/>
    <m/>
    <n v="0"/>
    <m/>
    <n v="0"/>
    <m/>
    <n v="0"/>
    <m/>
    <n v="1958"/>
    <n v="29423878.499999993"/>
    <n v="0"/>
    <n v="1951"/>
    <m/>
    <n v="0"/>
    <m/>
    <n v="0"/>
    <m/>
    <n v="301"/>
    <n v="32969518.500000007"/>
    <n v="2040"/>
    <n v="1951"/>
    <n v="1465"/>
    <n v="1958"/>
    <n v="2040"/>
    <n v="1465"/>
    <n v="2013"/>
    <n v="1951"/>
    <s v="2018 (triag)"/>
    <n v="2040"/>
    <n v="2022"/>
    <s v=""/>
    <n v="2040"/>
    <n v="2040"/>
    <s v="Increasing"/>
    <n v="5.4585812874464734E-2"/>
    <n v="3.4026707504662967E-2"/>
    <n v="1484.9973641481108"/>
    <n v="2160.6782653805631"/>
    <n v="0.58015824736925969"/>
    <n v="0.66306690329760587"/>
    <n v="0.61875334940059845"/>
    <n v="0.61875334940059845"/>
    <x v="1"/>
  </r>
  <r>
    <s v="Mozambique"/>
    <x v="26"/>
    <n v="24487630"/>
    <x v="14"/>
    <n v="0"/>
    <n v="25251730.999999993"/>
    <n v="0"/>
    <m/>
    <n v="0"/>
    <m/>
    <n v="0"/>
    <m/>
    <n v="0"/>
    <m/>
    <n v="6281"/>
    <n v="29423878.499999993"/>
    <n v="0"/>
    <n v="0"/>
    <m/>
    <n v="6665"/>
    <m/>
    <n v="0"/>
    <m/>
    <n v="0"/>
    <n v="32969518.500000007"/>
    <n v="6873"/>
    <n v="0"/>
    <n v="0"/>
    <n v="6665"/>
    <n v="6873"/>
    <n v="0"/>
    <s v=""/>
    <n v="6281"/>
    <n v="2017"/>
    <n v="6873"/>
    <n v="2022"/>
    <s v=""/>
    <n v="6873"/>
    <n v="6873"/>
    <s v="Increasing"/>
    <n v="5.4585812874464734E-2"/>
    <n v="3.4026707504662967E-2"/>
    <n v="0"/>
    <n v="0"/>
    <n v="0"/>
    <n v="2.1346607993912161"/>
    <n v="2.0846528286423105"/>
    <n v="2.0846528286423105"/>
    <x v="1"/>
  </r>
  <r>
    <s v="Mozambique"/>
    <x v="26"/>
    <n v="24487631"/>
    <x v="15"/>
    <n v="281"/>
    <n v="25251730.999999993"/>
    <n v="287"/>
    <m/>
    <n v="0"/>
    <m/>
    <n v="0"/>
    <m/>
    <n v="0"/>
    <m/>
    <n v="377"/>
    <n v="29423878.499999993"/>
    <n v="362"/>
    <n v="377"/>
    <m/>
    <n v="395"/>
    <m/>
    <n v="444"/>
    <m/>
    <n v="535"/>
    <n v="32969518.500000007"/>
    <n v="553"/>
    <n v="377"/>
    <n v="287"/>
    <n v="395"/>
    <n v="553"/>
    <n v="287"/>
    <n v="2013"/>
    <n v="377"/>
    <n v="2017"/>
    <n v="553"/>
    <n v="2022"/>
    <s v=""/>
    <n v="553"/>
    <n v="553"/>
    <s v="Increasing"/>
    <n v="5.4585812874464734E-2"/>
    <n v="3.4026707504662967E-2"/>
    <n v="286.95233535819466"/>
    <n v="417.51702001459364"/>
    <n v="0.11365557474059901"/>
    <n v="0.12812722836657991"/>
    <n v="0.16773068736202498"/>
    <n v="0.16773068736202498"/>
    <x v="1"/>
  </r>
  <r>
    <s v="Mozambique"/>
    <x v="26"/>
    <n v="24487632"/>
    <x v="16"/>
    <n v="0"/>
    <n v="25251730.999999993"/>
    <n v="0"/>
    <m/>
    <n v="0"/>
    <m/>
    <n v="0"/>
    <m/>
    <n v="0"/>
    <m/>
    <n v="287"/>
    <n v="29423878.499999993"/>
    <n v="338"/>
    <n v="338"/>
    <m/>
    <n v="422"/>
    <m/>
    <n v="554"/>
    <m/>
    <n v="552"/>
    <n v="32969518.500000007"/>
    <n v="342"/>
    <n v="0"/>
    <n v="0"/>
    <n v="422"/>
    <n v="554"/>
    <n v="0"/>
    <s v=""/>
    <n v="338"/>
    <n v="2018"/>
    <n v="342"/>
    <n v="2022"/>
    <s v=""/>
    <n v="342"/>
    <n v="342"/>
    <s v="Increasing"/>
    <n v="5.4585812874464734E-2"/>
    <n v="3.4026707504662967E-2"/>
    <n v="0"/>
    <n v="0"/>
    <n v="0"/>
    <n v="0.11487268750107164"/>
    <n v="0.10373217916421798"/>
    <n v="0.10373217916421798"/>
    <x v="1"/>
  </r>
  <r>
    <s v="Mozambique"/>
    <x v="26"/>
    <n v="24487633"/>
    <x v="17"/>
    <n v="0"/>
    <n v="25251730.999999993"/>
    <n v="0"/>
    <m/>
    <n v="0"/>
    <m/>
    <n v="0"/>
    <m/>
    <n v="0"/>
    <m/>
    <n v="2"/>
    <n v="29423878.499999993"/>
    <n v="3"/>
    <n v="3"/>
    <m/>
    <n v="2"/>
    <m/>
    <n v="0"/>
    <m/>
    <n v="0"/>
    <n v="32969518.500000007"/>
    <n v="0"/>
    <n v="0"/>
    <n v="0"/>
    <n v="3"/>
    <n v="0"/>
    <n v="0"/>
    <s v=""/>
    <n v="3"/>
    <n v="2018"/>
    <n v="2"/>
    <n v="2018"/>
    <s v="Adjust"/>
    <n v="2.2985972886408303"/>
    <n v="3"/>
    <s v="Decreasing"/>
    <n v="5.4585812874464734E-2"/>
    <n v="3.4026707504662967E-2"/>
    <n v="0"/>
    <n v="0"/>
    <n v="0"/>
    <n v="1.019580066577559E-3"/>
    <n v="6.9718861336747449E-4"/>
    <n v="9.0993139617735069E-4"/>
    <x v="1"/>
  </r>
  <r>
    <s v="Mozambique"/>
    <x v="26"/>
    <n v="24487634"/>
    <x v="18"/>
    <n v="0"/>
    <n v="25251730.999999993"/>
    <n v="0"/>
    <m/>
    <n v="0"/>
    <m/>
    <n v="0"/>
    <m/>
    <n v="0"/>
    <m/>
    <n v="0"/>
    <n v="29423878.499999993"/>
    <n v="0"/>
    <n v="0"/>
    <m/>
    <n v="0"/>
    <m/>
    <n v="0"/>
    <m/>
    <n v="0"/>
    <n v="32969518.500000007"/>
    <n v="99942"/>
    <n v="0"/>
    <n v="0"/>
    <n v="0"/>
    <n v="99942"/>
    <n v="0"/>
    <s v=""/>
    <n v="0"/>
    <s v=""/>
    <n v="99942"/>
    <n v="2022"/>
    <s v=""/>
    <n v="99942"/>
    <n v="99942"/>
    <s v="Increasing"/>
    <n v="5.4585812874464734E-2"/>
    <n v="3.4026707504662967E-2"/>
    <n v="0"/>
    <n v="0"/>
    <n v="0"/>
    <n v="0"/>
    <n v="30.313454532252262"/>
    <n v="30.313454532252262"/>
    <x v="1"/>
  </r>
  <r>
    <s v="Mauritania"/>
    <x v="27"/>
    <n v="3636118.5"/>
    <x v="0"/>
    <n v="0"/>
    <n v="3742958.9999999981"/>
    <n v="0"/>
    <m/>
    <n v="0"/>
    <m/>
    <n v="0"/>
    <m/>
    <n v="0"/>
    <m/>
    <n v="0"/>
    <n v="4270711.4999999972"/>
    <n v="0"/>
    <n v="500"/>
    <m/>
    <n v="0"/>
    <m/>
    <n v="0"/>
    <m/>
    <n v="0"/>
    <n v="4736138.9999999991"/>
    <n v="0"/>
    <n v="500"/>
    <n v="0"/>
    <n v="0"/>
    <n v="0"/>
    <n v="0"/>
    <s v=""/>
    <n v="500"/>
    <s v="2018 (triag)"/>
    <n v="500"/>
    <s v="2018 (triag)"/>
    <s v=""/>
    <n v="500"/>
    <n v="500"/>
    <s v="No change"/>
    <n v="5.6024318930811168E-2"/>
    <n v="5.4673730437993617E-2"/>
    <n v="377.84592389007258"/>
    <n v="589.11964163338166"/>
    <n v="0"/>
    <n v="1.1707651055333528"/>
    <n v="1.0557122584451177"/>
    <n v="1.0557122584451177"/>
    <x v="1"/>
  </r>
  <r>
    <s v="Mauritania"/>
    <x v="27"/>
    <n v="3636119.5"/>
    <x v="1"/>
    <n v="1172"/>
    <n v="3742958.9999999981"/>
    <n v="35"/>
    <m/>
    <n v="0"/>
    <m/>
    <n v="12"/>
    <m/>
    <n v="4"/>
    <m/>
    <n v="0"/>
    <n v="4270711.4999999972"/>
    <n v="4038"/>
    <n v="4038"/>
    <m/>
    <n v="0"/>
    <m/>
    <n v="0"/>
    <m/>
    <n v="0"/>
    <n v="4736138.9999999991"/>
    <n v="0"/>
    <n v="20"/>
    <n v="1172"/>
    <n v="4038"/>
    <n v="0"/>
    <n v="35"/>
    <n v="2013"/>
    <n v="4038"/>
    <n v="2018"/>
    <n v="4038"/>
    <n v="2018"/>
    <s v=""/>
    <n v="4038"/>
    <n v="4038"/>
    <s v="No change"/>
    <n v="5.6024318930811168E-2"/>
    <n v="5.4673730437993617E-2"/>
    <n v="15.113836955602903"/>
    <n v="23.564785665335268"/>
    <n v="9.3508905654590441E-2"/>
    <n v="9.4550989922873576"/>
    <n v="8.5259321992027708"/>
    <n v="8.5259321992027708"/>
    <x v="1"/>
  </r>
  <r>
    <s v="Mauritania"/>
    <x v="27"/>
    <n v="3636120.5"/>
    <x v="2"/>
    <n v="0"/>
    <n v="3742958.9999999981"/>
    <n v="209"/>
    <m/>
    <n v="0"/>
    <m/>
    <n v="53"/>
    <m/>
    <n v="0"/>
    <m/>
    <n v="0"/>
    <n v="4270711.4999999972"/>
    <n v="4745"/>
    <n v="4745"/>
    <m/>
    <n v="0"/>
    <m/>
    <n v="0"/>
    <m/>
    <n v="0"/>
    <n v="4736138.9999999991"/>
    <n v="0"/>
    <n v="5"/>
    <n v="209"/>
    <n v="4745"/>
    <n v="0"/>
    <n v="209"/>
    <n v="2013"/>
    <n v="4745"/>
    <n v="2018"/>
    <n v="4745"/>
    <n v="2018"/>
    <s v=""/>
    <n v="4745"/>
    <n v="4745"/>
    <s v="No change"/>
    <n v="5.6024318930811168E-2"/>
    <n v="5.4673730437993617E-2"/>
    <n v="3.7784592389007257"/>
    <n v="5.8911964163338171"/>
    <n v="0.55838175090884001"/>
    <n v="11.110560851511517"/>
    <n v="10.018709332644166"/>
    <n v="10.018709332644166"/>
    <x v="1"/>
  </r>
  <r>
    <s v="Mauritania"/>
    <x v="27"/>
    <n v="3636121.5"/>
    <x v="3"/>
    <n v="0"/>
    <n v="3742958.9999999981"/>
    <n v="0"/>
    <m/>
    <n v="0"/>
    <m/>
    <n v="0"/>
    <m/>
    <n v="0"/>
    <m/>
    <n v="0"/>
    <n v="4270711.4999999972"/>
    <n v="0"/>
    <n v="38"/>
    <m/>
    <n v="0"/>
    <m/>
    <n v="0"/>
    <m/>
    <n v="0"/>
    <n v="4736138.9999999991"/>
    <n v="0"/>
    <n v="38"/>
    <n v="0"/>
    <n v="0"/>
    <n v="0"/>
    <n v="0"/>
    <s v=""/>
    <n v="38"/>
    <s v="2018 (triag)"/>
    <n v="38"/>
    <s v="2018 (triag)"/>
    <s v=""/>
    <n v="38"/>
    <n v="38"/>
    <s v="No change"/>
    <n v="5.6024318930811168E-2"/>
    <n v="5.4673730437993617E-2"/>
    <n v="28.716290215645515"/>
    <n v="44.773092764137012"/>
    <n v="0"/>
    <n v="8.8978148020534803E-2"/>
    <n v="8.0234131641828937E-2"/>
    <n v="8.0234131641828937E-2"/>
    <x v="1"/>
  </r>
  <r>
    <s v="Mauritania"/>
    <x v="27"/>
    <n v="3636122.5"/>
    <x v="4"/>
    <n v="0"/>
    <n v="3742958.9999999981"/>
    <n v="0"/>
    <m/>
    <n v="0"/>
    <m/>
    <n v="0"/>
    <m/>
    <n v="0"/>
    <m/>
    <n v="0"/>
    <n v="4270711.4999999972"/>
    <n v="0"/>
    <n v="20"/>
    <m/>
    <n v="0"/>
    <m/>
    <n v="0"/>
    <m/>
    <n v="0"/>
    <n v="4736138.9999999991"/>
    <n v="0"/>
    <n v="20"/>
    <n v="0"/>
    <n v="0"/>
    <n v="0"/>
    <n v="0"/>
    <s v=""/>
    <n v="20"/>
    <s v="2018 (triag)"/>
    <n v="20"/>
    <s v="2018 (triag)"/>
    <s v=""/>
    <n v="20"/>
    <n v="20"/>
    <s v="No change"/>
    <n v="5.6024318930811168E-2"/>
    <n v="5.4673730437993617E-2"/>
    <n v="15.113836955602903"/>
    <n v="23.564785665335268"/>
    <n v="0"/>
    <n v="4.6830604221334109E-2"/>
    <n v="4.2228490337804708E-2"/>
    <n v="4.2228490337804708E-2"/>
    <x v="1"/>
  </r>
  <r>
    <s v="Mauritania"/>
    <x v="27"/>
    <n v="3636123.5"/>
    <x v="5"/>
    <n v="0"/>
    <n v="3742958.9999999981"/>
    <n v="0"/>
    <m/>
    <n v="0"/>
    <m/>
    <n v="0"/>
    <m/>
    <n v="0"/>
    <m/>
    <n v="0"/>
    <n v="4270711.4999999972"/>
    <n v="0"/>
    <n v="9"/>
    <m/>
    <n v="0"/>
    <m/>
    <n v="0"/>
    <m/>
    <n v="0"/>
    <n v="4736138.9999999991"/>
    <n v="0"/>
    <n v="9"/>
    <n v="0"/>
    <n v="0"/>
    <n v="0"/>
    <n v="0"/>
    <s v=""/>
    <n v="9"/>
    <s v="2018 (triag)"/>
    <n v="9"/>
    <s v="2018 (triag)"/>
    <s v=""/>
    <n v="9"/>
    <n v="9"/>
    <s v="No change"/>
    <n v="5.6024318930811168E-2"/>
    <n v="5.4673730437993617E-2"/>
    <n v="6.801226630021306"/>
    <n v="10.60415354940087"/>
    <n v="0"/>
    <n v="2.1073771899600351E-2"/>
    <n v="1.9002820652012118E-2"/>
    <n v="1.9002820652012118E-2"/>
    <x v="1"/>
  </r>
  <r>
    <s v="Mauritania"/>
    <x v="27"/>
    <n v="3636124.5"/>
    <x v="6"/>
    <n v="0"/>
    <n v="3742958.9999999981"/>
    <n v="0"/>
    <m/>
    <n v="0"/>
    <m/>
    <n v="0"/>
    <m/>
    <n v="0"/>
    <m/>
    <n v="0"/>
    <n v="4270711.4999999972"/>
    <n v="0"/>
    <n v="326"/>
    <m/>
    <n v="0"/>
    <m/>
    <n v="0"/>
    <m/>
    <n v="0"/>
    <n v="4736138.9999999991"/>
    <n v="0"/>
    <n v="326"/>
    <n v="0"/>
    <n v="0"/>
    <n v="0"/>
    <n v="0"/>
    <s v=""/>
    <n v="326"/>
    <s v="2018 (triag)"/>
    <n v="326"/>
    <s v="2018 (triag)"/>
    <s v=""/>
    <n v="326"/>
    <n v="326"/>
    <s v="No change"/>
    <n v="5.6024318930811168E-2"/>
    <n v="5.4673730437993617E-2"/>
    <n v="246.35554237632732"/>
    <n v="384.1060063449649"/>
    <n v="0"/>
    <n v="0.76333884880774605"/>
    <n v="0.68832439250621669"/>
    <n v="0.68832439250621669"/>
    <x v="1"/>
  </r>
  <r>
    <s v="Mauritania"/>
    <x v="27"/>
    <n v="3636125.5"/>
    <x v="7"/>
    <n v="0"/>
    <n v="3742958.9999999981"/>
    <n v="0"/>
    <m/>
    <n v="0"/>
    <m/>
    <n v="0"/>
    <m/>
    <n v="0"/>
    <m/>
    <n v="0"/>
    <n v="4270711.4999999972"/>
    <n v="0"/>
    <n v="0"/>
    <m/>
    <n v="0"/>
    <m/>
    <n v="0"/>
    <m/>
    <n v="0"/>
    <n v="4736138.9999999991"/>
    <n v="0"/>
    <n v="0"/>
    <n v="0"/>
    <n v="0"/>
    <n v="0"/>
    <n v="0"/>
    <s v=""/>
    <n v="0"/>
    <s v=""/>
    <n v="0"/>
    <s v=""/>
    <s v=""/>
    <n v="0"/>
    <n v="0"/>
    <s v="No change"/>
    <n v="5.6024318930811168E-2"/>
    <n v="5.4673730437993617E-2"/>
    <n v="0"/>
    <n v="0"/>
    <n v="0"/>
    <n v="0"/>
    <n v="0"/>
    <n v="0"/>
    <x v="1"/>
  </r>
  <r>
    <s v="Mauritania"/>
    <x v="27"/>
    <n v="3636126.5"/>
    <x v="8"/>
    <n v="0"/>
    <n v="3742958.9999999981"/>
    <n v="0"/>
    <m/>
    <n v="0"/>
    <m/>
    <n v="0"/>
    <m/>
    <n v="0"/>
    <m/>
    <n v="0"/>
    <n v="4270711.4999999972"/>
    <n v="0"/>
    <n v="0"/>
    <m/>
    <n v="0"/>
    <m/>
    <n v="0"/>
    <m/>
    <n v="0"/>
    <n v="4736138.9999999991"/>
    <n v="0"/>
    <n v="0"/>
    <n v="0"/>
    <n v="0"/>
    <n v="0"/>
    <n v="0"/>
    <s v=""/>
    <n v="0"/>
    <s v=""/>
    <n v="0"/>
    <s v=""/>
    <s v=""/>
    <n v="0"/>
    <n v="0"/>
    <s v="No change"/>
    <n v="5.6024318930811168E-2"/>
    <n v="5.4673730437993617E-2"/>
    <n v="0"/>
    <n v="0"/>
    <n v="0"/>
    <n v="0"/>
    <n v="0"/>
    <n v="0"/>
    <x v="1"/>
  </r>
  <r>
    <s v="Mauritania"/>
    <x v="27"/>
    <n v="3636127.5"/>
    <x v="9"/>
    <n v="0"/>
    <n v="3742958.9999999981"/>
    <n v="0"/>
    <m/>
    <n v="0"/>
    <m/>
    <n v="0"/>
    <m/>
    <n v="0"/>
    <m/>
    <n v="0"/>
    <n v="4270711.4999999972"/>
    <n v="0"/>
    <n v="15"/>
    <m/>
    <n v="0"/>
    <m/>
    <n v="0"/>
    <m/>
    <n v="0"/>
    <n v="4736138.9999999991"/>
    <n v="0"/>
    <n v="15"/>
    <n v="0"/>
    <n v="0"/>
    <n v="0"/>
    <n v="0"/>
    <s v=""/>
    <n v="15"/>
    <s v="2018 (triag)"/>
    <n v="15"/>
    <s v="2018 (triag)"/>
    <s v=""/>
    <n v="15"/>
    <n v="15"/>
    <s v="No change"/>
    <n v="5.6024318930811168E-2"/>
    <n v="5.4673730437993617E-2"/>
    <n v="11.335377716702178"/>
    <n v="17.673589249001452"/>
    <n v="0"/>
    <n v="3.512295316600058E-2"/>
    <n v="3.1671367753353531E-2"/>
    <n v="3.1671367753353531E-2"/>
    <x v="1"/>
  </r>
  <r>
    <s v="Mauritania"/>
    <x v="27"/>
    <n v="3636128.5"/>
    <x v="10"/>
    <n v="0"/>
    <n v="3742958.9999999981"/>
    <n v="0"/>
    <m/>
    <n v="0"/>
    <m/>
    <n v="0"/>
    <m/>
    <n v="0"/>
    <m/>
    <n v="0"/>
    <n v="4270711.4999999972"/>
    <n v="0"/>
    <n v="0"/>
    <m/>
    <n v="0"/>
    <m/>
    <n v="0"/>
    <m/>
    <n v="0"/>
    <n v="4736138.9999999991"/>
    <n v="0"/>
    <n v="0"/>
    <n v="0"/>
    <n v="0"/>
    <n v="0"/>
    <n v="0"/>
    <s v=""/>
    <n v="0"/>
    <s v=""/>
    <n v="0"/>
    <s v=""/>
    <s v=""/>
    <n v="0"/>
    <n v="0"/>
    <s v="No change"/>
    <n v="5.6024318930811168E-2"/>
    <n v="5.4673730437993617E-2"/>
    <n v="0"/>
    <n v="0"/>
    <n v="0"/>
    <n v="0"/>
    <n v="0"/>
    <n v="0"/>
    <x v="1"/>
  </r>
  <r>
    <s v="Mauritania"/>
    <x v="27"/>
    <n v="3636129.5"/>
    <x v="11"/>
    <n v="0"/>
    <n v="3742958.9999999981"/>
    <n v="0"/>
    <m/>
    <n v="0"/>
    <m/>
    <n v="0"/>
    <m/>
    <n v="0"/>
    <m/>
    <n v="0"/>
    <n v="4270711.4999999972"/>
    <n v="0"/>
    <n v="1532"/>
    <m/>
    <n v="0"/>
    <m/>
    <n v="0"/>
    <m/>
    <n v="0"/>
    <n v="4736138.9999999991"/>
    <n v="0"/>
    <n v="1532"/>
    <n v="0"/>
    <n v="0"/>
    <n v="0"/>
    <n v="0"/>
    <s v=""/>
    <n v="1532"/>
    <s v="2018 (triag)"/>
    <n v="1532"/>
    <s v="2018 (triag)"/>
    <s v=""/>
    <n v="1532"/>
    <n v="1532"/>
    <s v="No change"/>
    <n v="5.6024318930811168E-2"/>
    <n v="5.4673730437993617E-2"/>
    <n v="1157.7199107991823"/>
    <n v="1805.0625819646816"/>
    <n v="0"/>
    <n v="3.587224283354193"/>
    <n v="3.2347023598758406"/>
    <n v="3.2347023598758406"/>
    <x v="1"/>
  </r>
  <r>
    <s v="Mauritania"/>
    <x v="27"/>
    <n v="3636130.5"/>
    <x v="12"/>
    <n v="0"/>
    <n v="3742958.9999999981"/>
    <n v="0"/>
    <m/>
    <n v="0"/>
    <m/>
    <n v="0"/>
    <m/>
    <n v="0"/>
    <m/>
    <n v="0"/>
    <n v="4270711.4999999972"/>
    <n v="0"/>
    <n v="4"/>
    <m/>
    <n v="0"/>
    <m/>
    <n v="0"/>
    <m/>
    <n v="0"/>
    <n v="4736138.9999999991"/>
    <n v="0"/>
    <n v="4"/>
    <n v="0"/>
    <n v="0"/>
    <n v="0"/>
    <n v="0"/>
    <s v=""/>
    <n v="4"/>
    <s v="2018 (triag)"/>
    <n v="4"/>
    <s v="2018 (triag)"/>
    <s v=""/>
    <n v="4"/>
    <n v="4"/>
    <s v="No change"/>
    <n v="5.6024318930811168E-2"/>
    <n v="5.4673730437993617E-2"/>
    <n v="3.0227673911205803"/>
    <n v="4.7129571330670537"/>
    <n v="0"/>
    <n v="9.3661208442668217E-3"/>
    <n v="8.445698067560941E-3"/>
    <n v="8.445698067560941E-3"/>
    <x v="1"/>
  </r>
  <r>
    <s v="Mauritania"/>
    <x v="27"/>
    <n v="3636131.5"/>
    <x v="13"/>
    <n v="0"/>
    <n v="3742958.9999999981"/>
    <n v="0"/>
    <m/>
    <n v="0"/>
    <m/>
    <n v="0"/>
    <m/>
    <n v="0"/>
    <m/>
    <n v="0"/>
    <n v="4270711.4999999972"/>
    <n v="0"/>
    <n v="122"/>
    <m/>
    <n v="0"/>
    <m/>
    <n v="0"/>
    <m/>
    <n v="0"/>
    <n v="4736138.9999999991"/>
    <n v="0"/>
    <n v="122"/>
    <n v="0"/>
    <n v="0"/>
    <n v="0"/>
    <n v="0"/>
    <s v=""/>
    <n v="122"/>
    <s v="2018 (triag)"/>
    <n v="122"/>
    <s v="2018 (triag)"/>
    <s v=""/>
    <n v="122"/>
    <n v="122"/>
    <s v="No change"/>
    <n v="5.6024318930811168E-2"/>
    <n v="5.4673730437993617E-2"/>
    <n v="92.194405429177706"/>
    <n v="143.74519255854514"/>
    <n v="0"/>
    <n v="0.28566668575013809"/>
    <n v="0.2575937910606087"/>
    <n v="0.2575937910606087"/>
    <x v="1"/>
  </r>
  <r>
    <s v="Mauritania"/>
    <x v="27"/>
    <n v="3636132.5"/>
    <x v="14"/>
    <n v="0"/>
    <n v="3742958.9999999981"/>
    <n v="0"/>
    <m/>
    <n v="0"/>
    <m/>
    <n v="0"/>
    <m/>
    <n v="0"/>
    <m/>
    <n v="0"/>
    <n v="4270711.4999999972"/>
    <n v="0"/>
    <n v="65"/>
    <m/>
    <n v="0"/>
    <m/>
    <n v="0"/>
    <m/>
    <n v="0"/>
    <n v="4736138.9999999991"/>
    <n v="0"/>
    <n v="65"/>
    <n v="0"/>
    <n v="0"/>
    <n v="0"/>
    <n v="0"/>
    <s v=""/>
    <n v="65"/>
    <s v="2018 (triag)"/>
    <n v="65"/>
    <s v="2018 (triag)"/>
    <s v=""/>
    <n v="65"/>
    <n v="65"/>
    <s v="No change"/>
    <n v="5.6024318930811168E-2"/>
    <n v="5.4673730437993617E-2"/>
    <n v="49.119970105709434"/>
    <n v="76.585553412339621"/>
    <n v="0"/>
    <n v="0.15219946371933585"/>
    <n v="0.13724259359786528"/>
    <n v="0.13724259359786528"/>
    <x v="1"/>
  </r>
  <r>
    <s v="Mauritania"/>
    <x v="27"/>
    <n v="3636133.5"/>
    <x v="15"/>
    <n v="0"/>
    <n v="3742958.9999999981"/>
    <n v="0"/>
    <m/>
    <n v="0"/>
    <m/>
    <n v="0"/>
    <m/>
    <n v="0"/>
    <m/>
    <n v="0"/>
    <n v="4270711.4999999972"/>
    <n v="0"/>
    <n v="7"/>
    <m/>
    <n v="0"/>
    <m/>
    <n v="0"/>
    <m/>
    <n v="0"/>
    <n v="4736138.9999999991"/>
    <n v="0"/>
    <n v="7"/>
    <n v="0"/>
    <n v="0"/>
    <n v="0"/>
    <n v="0"/>
    <s v=""/>
    <n v="7"/>
    <s v="2018 (triag)"/>
    <n v="7"/>
    <s v="2018 (triag)"/>
    <s v=""/>
    <n v="7"/>
    <n v="7"/>
    <s v="No change"/>
    <n v="5.6024318930811168E-2"/>
    <n v="5.4673730437993617E-2"/>
    <n v="5.2898429344610163"/>
    <n v="8.2476749828673448"/>
    <n v="0"/>
    <n v="1.639071147746694E-2"/>
    <n v="1.4779971618231648E-2"/>
    <n v="1.4779971618231648E-2"/>
    <x v="1"/>
  </r>
  <r>
    <s v="Mauritania"/>
    <x v="27"/>
    <n v="3636134.5"/>
    <x v="16"/>
    <n v="0"/>
    <n v="3742958.9999999981"/>
    <n v="0"/>
    <m/>
    <n v="0"/>
    <m/>
    <n v="0"/>
    <m/>
    <n v="0"/>
    <m/>
    <n v="0"/>
    <n v="4270711.4999999972"/>
    <n v="0"/>
    <n v="0"/>
    <m/>
    <n v="0"/>
    <m/>
    <n v="0"/>
    <m/>
    <n v="0"/>
    <n v="4736138.9999999991"/>
    <n v="0"/>
    <n v="0"/>
    <n v="0"/>
    <n v="0"/>
    <n v="0"/>
    <n v="0"/>
    <s v=""/>
    <n v="0"/>
    <s v=""/>
    <n v="0"/>
    <s v=""/>
    <s v=""/>
    <n v="0"/>
    <n v="0"/>
    <s v="No change"/>
    <n v="5.6024318930811168E-2"/>
    <n v="5.4673730437993617E-2"/>
    <n v="0"/>
    <n v="0"/>
    <n v="0"/>
    <n v="0"/>
    <n v="0"/>
    <n v="0"/>
    <x v="1"/>
  </r>
  <r>
    <s v="Mauritania"/>
    <x v="27"/>
    <n v="3636135.5"/>
    <x v="17"/>
    <n v="0"/>
    <n v="3742958.9999999981"/>
    <n v="0"/>
    <m/>
    <n v="0"/>
    <m/>
    <n v="0"/>
    <m/>
    <n v="0"/>
    <m/>
    <n v="0"/>
    <n v="4270711.4999999972"/>
    <n v="0"/>
    <n v="0"/>
    <m/>
    <n v="0"/>
    <m/>
    <n v="0"/>
    <m/>
    <n v="0"/>
    <n v="4736138.9999999991"/>
    <n v="0"/>
    <n v="0"/>
    <n v="0"/>
    <n v="0"/>
    <n v="0"/>
    <n v="0"/>
    <s v=""/>
    <n v="0"/>
    <s v=""/>
    <n v="0"/>
    <s v=""/>
    <s v=""/>
    <n v="0"/>
    <n v="0"/>
    <s v="No change"/>
    <n v="5.6024318930811168E-2"/>
    <n v="5.4673730437993617E-2"/>
    <n v="0"/>
    <n v="0"/>
    <n v="0"/>
    <n v="0"/>
    <n v="0"/>
    <n v="0"/>
    <x v="1"/>
  </r>
  <r>
    <s v="Mauritania"/>
    <x v="27"/>
    <n v="3636136.5"/>
    <x v="18"/>
    <n v="0"/>
    <n v="3742958.9999999981"/>
    <n v="0"/>
    <m/>
    <n v="0"/>
    <m/>
    <n v="0"/>
    <m/>
    <n v="0"/>
    <m/>
    <n v="0"/>
    <n v="4270711.4999999972"/>
    <n v="0"/>
    <n v="42"/>
    <m/>
    <n v="0"/>
    <m/>
    <n v="0"/>
    <m/>
    <n v="0"/>
    <n v="4736138.9999999991"/>
    <n v="0"/>
    <n v="42"/>
    <n v="0"/>
    <n v="0"/>
    <n v="0"/>
    <n v="0"/>
    <s v=""/>
    <n v="42"/>
    <s v="2018 (triag)"/>
    <n v="42"/>
    <s v="2018 (triag)"/>
    <s v=""/>
    <n v="42"/>
    <n v="42"/>
    <s v="No change"/>
    <n v="5.6024318930811168E-2"/>
    <n v="5.4673730437993617E-2"/>
    <n v="31.739057606766096"/>
    <n v="49.486049897204062"/>
    <n v="0"/>
    <n v="9.8344268864801632E-2"/>
    <n v="8.8679829709389882E-2"/>
    <n v="8.8679829709389882E-2"/>
    <x v="1"/>
  </r>
  <r>
    <s v="Mauritius"/>
    <x v="28"/>
    <n v="1288749.5"/>
    <x v="0"/>
    <n v="0"/>
    <n v="1290691.4999999998"/>
    <n v="0"/>
    <m/>
    <n v="0"/>
    <m/>
    <n v="0"/>
    <m/>
    <n v="0"/>
    <m/>
    <n v="0"/>
    <n v="1295381.5000000005"/>
    <n v="180"/>
    <n v="180"/>
    <m/>
    <n v="0"/>
    <m/>
    <n v="163"/>
    <m/>
    <n v="0"/>
    <n v="1299468.9999999986"/>
    <n v="916"/>
    <n v="180"/>
    <n v="0"/>
    <n v="180"/>
    <n v="916"/>
    <n v="0"/>
    <s v=""/>
    <n v="180"/>
    <n v="2018"/>
    <n v="916"/>
    <n v="2022"/>
    <s v=""/>
    <n v="916"/>
    <n v="916"/>
    <s v="Increasing"/>
    <n v="7.4156136535132866E-2"/>
    <n v="5.4673730437993617E-2"/>
    <n v="124.23515341437476"/>
    <n v="212.08307098801743"/>
    <n v="0"/>
    <n v="1.3895520354428401"/>
    <n v="7.0490331050606132"/>
    <n v="7.0490331050606132"/>
    <x v="1"/>
  </r>
  <r>
    <s v="Mauritius"/>
    <x v="28"/>
    <n v="1288750.5"/>
    <x v="1"/>
    <n v="0"/>
    <n v="1290691.4999999998"/>
    <n v="0"/>
    <m/>
    <n v="0"/>
    <m/>
    <n v="0"/>
    <m/>
    <n v="202"/>
    <m/>
    <n v="61"/>
    <n v="1295381.5000000005"/>
    <n v="0"/>
    <n v="0"/>
    <m/>
    <n v="1"/>
    <m/>
    <n v="0"/>
    <m/>
    <n v="0"/>
    <n v="1299468.9999999986"/>
    <n v="0"/>
    <n v="0"/>
    <n v="0"/>
    <n v="202"/>
    <n v="0"/>
    <n v="0"/>
    <s v=""/>
    <n v="61"/>
    <n v="2017"/>
    <n v="1"/>
    <n v="2017"/>
    <s v="Adjust"/>
    <n v="1.1791996777225728"/>
    <n v="61"/>
    <s v="Decreasing"/>
    <n v="7.4156136535132866E-2"/>
    <n v="5.4673730437993617E-2"/>
    <n v="0"/>
    <n v="0"/>
    <n v="0"/>
    <n v="0.47090374534451801"/>
    <n v="9.0744733250471849E-3"/>
    <n v="0.46942251027150372"/>
    <x v="0"/>
  </r>
  <r>
    <s v="Mauritius"/>
    <x v="28"/>
    <n v="1288751.5"/>
    <x v="2"/>
    <n v="0"/>
    <n v="1290691.4999999998"/>
    <n v="0"/>
    <m/>
    <n v="0"/>
    <m/>
    <n v="0"/>
    <m/>
    <n v="1796"/>
    <m/>
    <n v="1843"/>
    <n v="1295381.5000000005"/>
    <n v="0"/>
    <n v="48"/>
    <m/>
    <n v="311"/>
    <m/>
    <n v="0"/>
    <m/>
    <n v="0"/>
    <n v="1299468.9999999986"/>
    <n v="0"/>
    <n v="48"/>
    <n v="0"/>
    <n v="1843"/>
    <n v="0"/>
    <n v="0"/>
    <s v=""/>
    <n v="48"/>
    <s v="2018 (triag)"/>
    <n v="311"/>
    <s v="2018 (triag)"/>
    <s v=""/>
    <n v="311"/>
    <n v="311"/>
    <s v="Increasing"/>
    <n v="7.4156136535132866E-2"/>
    <n v="5.4673730437993617E-2"/>
    <n v="33.129374243833269"/>
    <n v="56.555485596804644"/>
    <n v="0"/>
    <n v="0.370547209451424"/>
    <n v="2.3932852572858634"/>
    <n v="2.3932852572858634"/>
    <x v="1"/>
  </r>
  <r>
    <s v="Mauritius"/>
    <x v="28"/>
    <n v="1288752.5"/>
    <x v="3"/>
    <n v="0"/>
    <n v="1290691.4999999998"/>
    <n v="0"/>
    <m/>
    <n v="0"/>
    <m/>
    <n v="0"/>
    <m/>
    <n v="0"/>
    <m/>
    <n v="0"/>
    <n v="1295381.5000000005"/>
    <n v="0"/>
    <n v="1153"/>
    <m/>
    <n v="0"/>
    <m/>
    <n v="0"/>
    <m/>
    <n v="0"/>
    <n v="1299468.9999999986"/>
    <n v="0"/>
    <n v="1153"/>
    <n v="0"/>
    <n v="0"/>
    <n v="0"/>
    <n v="0"/>
    <s v=""/>
    <n v="1153"/>
    <s v="2018 (triag)"/>
    <n v="1153"/>
    <s v="2018 (triag)"/>
    <s v=""/>
    <n v="1153"/>
    <n v="1153"/>
    <s v="No change"/>
    <n v="7.4156136535132866E-2"/>
    <n v="5.4673730437993617E-2"/>
    <n v="795.79517714874498"/>
    <n v="1358.5098936065783"/>
    <n v="0"/>
    <n v="8.9008527603644154"/>
    <n v="8.8728549892302251"/>
    <n v="8.8728549892302251"/>
    <x v="1"/>
  </r>
  <r>
    <s v="Mauritius"/>
    <x v="28"/>
    <n v="1288753.5"/>
    <x v="4"/>
    <n v="0"/>
    <n v="1290691.4999999998"/>
    <n v="0"/>
    <m/>
    <n v="0"/>
    <m/>
    <n v="0"/>
    <m/>
    <n v="0"/>
    <m/>
    <n v="0"/>
    <n v="1295381.5000000005"/>
    <n v="0"/>
    <n v="315"/>
    <m/>
    <n v="0"/>
    <m/>
    <n v="0"/>
    <m/>
    <n v="0"/>
    <n v="1299468.9999999986"/>
    <n v="0"/>
    <n v="315"/>
    <n v="0"/>
    <n v="0"/>
    <n v="0"/>
    <n v="0"/>
    <s v=""/>
    <n v="315"/>
    <s v="2018 (triag)"/>
    <n v="315"/>
    <s v="2018 (triag)"/>
    <s v=""/>
    <n v="315"/>
    <n v="315"/>
    <s v="No change"/>
    <n v="7.4156136535132866E-2"/>
    <n v="5.4673730437993617E-2"/>
    <n v="217.41151847515582"/>
    <n v="371.14537422903049"/>
    <n v="0"/>
    <n v="2.4317160620249703"/>
    <n v="2.4240670612380928"/>
    <n v="2.4240670612380928"/>
    <x v="1"/>
  </r>
  <r>
    <s v="Mauritius"/>
    <x v="28"/>
    <n v="1288754.5"/>
    <x v="5"/>
    <n v="0"/>
    <n v="1290691.4999999998"/>
    <n v="0"/>
    <m/>
    <n v="0"/>
    <m/>
    <n v="0"/>
    <m/>
    <n v="0"/>
    <m/>
    <n v="0"/>
    <n v="1295381.5000000005"/>
    <n v="0"/>
    <n v="12"/>
    <m/>
    <n v="15"/>
    <m/>
    <n v="0"/>
    <m/>
    <n v="0"/>
    <n v="1299468.9999999986"/>
    <n v="0"/>
    <n v="12"/>
    <n v="0"/>
    <n v="15"/>
    <n v="0"/>
    <n v="0"/>
    <s v=""/>
    <n v="12"/>
    <s v="2018 (triag)"/>
    <n v="15"/>
    <s v="2018 (triag)"/>
    <s v=""/>
    <n v="15"/>
    <n v="15"/>
    <s v="Increasing"/>
    <n v="7.4156136535132866E-2"/>
    <n v="5.4673730437993617E-2"/>
    <n v="8.2823435609583171"/>
    <n v="14.138871399201161"/>
    <n v="0"/>
    <n v="9.2636802362855999E-2"/>
    <n v="0.11543176482086157"/>
    <n v="0.11543176482086157"/>
    <x v="1"/>
  </r>
  <r>
    <s v="Mauritius"/>
    <x v="28"/>
    <n v="1288755.5"/>
    <x v="6"/>
    <n v="0"/>
    <n v="1290691.4999999998"/>
    <n v="0"/>
    <m/>
    <n v="0"/>
    <m/>
    <n v="0"/>
    <m/>
    <n v="0"/>
    <m/>
    <n v="0"/>
    <n v="1295381.5000000005"/>
    <n v="291"/>
    <n v="291"/>
    <m/>
    <n v="0"/>
    <m/>
    <n v="0"/>
    <m/>
    <n v="0"/>
    <n v="1299468.9999999986"/>
    <n v="270"/>
    <n v="274"/>
    <n v="0"/>
    <n v="291"/>
    <n v="270"/>
    <n v="0"/>
    <s v=""/>
    <n v="291"/>
    <n v="2018"/>
    <n v="270"/>
    <n v="2022"/>
    <s v="Adjust"/>
    <n v="318.38391298509464"/>
    <n v="318.38391298509464"/>
    <s v="Increasing"/>
    <n v="7.4156136535132866E-2"/>
    <n v="5.4673730437993617E-2"/>
    <n v="189.11351130854825"/>
    <n v="322.83756361509319"/>
    <n v="0"/>
    <n v="2.2464424572992581"/>
    <n v="2.4501077977627399"/>
    <n v="2.4501077977627399"/>
    <x v="1"/>
  </r>
  <r>
    <s v="Mauritius"/>
    <x v="28"/>
    <n v="1288756.5"/>
    <x v="7"/>
    <n v="0"/>
    <n v="1290691.4999999998"/>
    <n v="0"/>
    <m/>
    <n v="0"/>
    <m/>
    <n v="0"/>
    <m/>
    <n v="0"/>
    <m/>
    <n v="0"/>
    <n v="1295381.5000000005"/>
    <n v="0"/>
    <n v="9"/>
    <m/>
    <n v="0"/>
    <m/>
    <n v="0"/>
    <m/>
    <n v="0"/>
    <n v="1299468.9999999986"/>
    <n v="0"/>
    <n v="9"/>
    <n v="0"/>
    <n v="0"/>
    <n v="0"/>
    <n v="0"/>
    <s v=""/>
    <n v="9"/>
    <s v="2018 (triag)"/>
    <n v="9"/>
    <s v="2018 (triag)"/>
    <s v=""/>
    <n v="9"/>
    <n v="9"/>
    <s v="No change"/>
    <n v="7.4156136535132866E-2"/>
    <n v="5.4673730437993617E-2"/>
    <n v="6.2117576707187379"/>
    <n v="10.60415354940087"/>
    <n v="0"/>
    <n v="6.9477601772142003E-2"/>
    <n v="6.9259058892516948E-2"/>
    <n v="6.9259058892516948E-2"/>
    <x v="1"/>
  </r>
  <r>
    <s v="Mauritius"/>
    <x v="28"/>
    <n v="1288757.5"/>
    <x v="8"/>
    <n v="0"/>
    <n v="1290691.4999999998"/>
    <n v="0"/>
    <m/>
    <n v="0"/>
    <m/>
    <n v="0"/>
    <m/>
    <n v="0"/>
    <m/>
    <n v="0"/>
    <n v="1295381.5000000005"/>
    <n v="0"/>
    <n v="213"/>
    <m/>
    <n v="0"/>
    <m/>
    <n v="0"/>
    <m/>
    <n v="0"/>
    <n v="1299468.9999999986"/>
    <n v="0"/>
    <n v="213"/>
    <n v="0"/>
    <n v="0"/>
    <n v="0"/>
    <n v="0"/>
    <s v=""/>
    <n v="213"/>
    <s v="2018 (triag)"/>
    <n v="213"/>
    <s v="2018 (triag)"/>
    <s v=""/>
    <n v="213"/>
    <n v="213"/>
    <s v="No change"/>
    <n v="7.4156136535132866E-2"/>
    <n v="5.4673730437993617E-2"/>
    <n v="147.01159820701014"/>
    <n v="250.9649673358206"/>
    <n v="0"/>
    <n v="1.644303241940694"/>
    <n v="1.6391310604562344"/>
    <n v="1.6391310604562344"/>
    <x v="1"/>
  </r>
  <r>
    <s v="Mauritius"/>
    <x v="28"/>
    <n v="1288758.5"/>
    <x v="9"/>
    <n v="0"/>
    <n v="1290691.4999999998"/>
    <n v="0"/>
    <m/>
    <n v="0"/>
    <m/>
    <n v="0"/>
    <m/>
    <n v="0"/>
    <m/>
    <n v="0"/>
    <n v="1295381.5000000005"/>
    <n v="0"/>
    <n v="416"/>
    <m/>
    <n v="0"/>
    <m/>
    <n v="0"/>
    <m/>
    <n v="0"/>
    <n v="1299468.9999999986"/>
    <n v="378"/>
    <n v="416"/>
    <n v="0"/>
    <n v="0"/>
    <n v="378"/>
    <n v="0"/>
    <s v=""/>
    <n v="416"/>
    <s v="2018 (triag)"/>
    <n v="378"/>
    <n v="2022"/>
    <s v="Adjust"/>
    <n v="445.73747817913255"/>
    <n v="445.73747817913255"/>
    <s v="Increasing"/>
    <n v="7.4156136535132866E-2"/>
    <n v="5.4673730437993617E-2"/>
    <n v="287.12124344655501"/>
    <n v="490.14754183897355"/>
    <n v="0"/>
    <n v="3.2114091485790084"/>
    <n v="3.4301509168678366"/>
    <n v="3.4301509168678366"/>
    <x v="1"/>
  </r>
  <r>
    <s v="Mauritius"/>
    <x v="28"/>
    <n v="1288759.5"/>
    <x v="10"/>
    <n v="0"/>
    <n v="1290691.4999999998"/>
    <n v="0"/>
    <m/>
    <n v="0"/>
    <m/>
    <n v="0"/>
    <m/>
    <n v="0"/>
    <m/>
    <n v="0"/>
    <n v="1295381.5000000005"/>
    <n v="0"/>
    <n v="0"/>
    <m/>
    <n v="0"/>
    <m/>
    <n v="0"/>
    <m/>
    <n v="0"/>
    <n v="1299468.9999999986"/>
    <n v="6"/>
    <n v="0"/>
    <n v="0"/>
    <n v="0"/>
    <n v="6"/>
    <n v="0"/>
    <s v=""/>
    <n v="0"/>
    <s v=""/>
    <n v="6"/>
    <n v="2022"/>
    <s v=""/>
    <n v="6"/>
    <n v="6"/>
    <s v="Increasing"/>
    <n v="7.4156136535132866E-2"/>
    <n v="5.4673730437993617E-2"/>
    <n v="0"/>
    <n v="0"/>
    <n v="0"/>
    <n v="0"/>
    <n v="4.6172705928344625E-2"/>
    <n v="4.6172705928344625E-2"/>
    <x v="1"/>
  </r>
  <r>
    <s v="Mauritius"/>
    <x v="28"/>
    <n v="1288760.5"/>
    <x v="11"/>
    <n v="0"/>
    <n v="1290691.4999999998"/>
    <n v="0"/>
    <m/>
    <n v="0"/>
    <m/>
    <n v="0"/>
    <m/>
    <n v="0"/>
    <m/>
    <n v="0"/>
    <n v="1295381.5000000005"/>
    <n v="0"/>
    <n v="3295"/>
    <m/>
    <n v="0"/>
    <m/>
    <n v="0"/>
    <m/>
    <n v="0"/>
    <n v="1299468.9999999986"/>
    <n v="0"/>
    <n v="3295"/>
    <n v="0"/>
    <n v="0"/>
    <n v="0"/>
    <n v="0"/>
    <s v=""/>
    <n v="3295"/>
    <s v="2018 (triag)"/>
    <n v="3295"/>
    <s v="2018 (triag)"/>
    <s v=""/>
    <n v="3295"/>
    <n v="3295"/>
    <s v="No change"/>
    <n v="7.4156136535132866E-2"/>
    <n v="5.4673730437993617E-2"/>
    <n v="2274.1935027798045"/>
    <n v="3882.2984383639855"/>
    <n v="0"/>
    <n v="25.436521982134213"/>
    <n v="25.356511005649256"/>
    <n v="25.356511005649256"/>
    <x v="1"/>
  </r>
  <r>
    <s v="Mauritius"/>
    <x v="28"/>
    <n v="1288761.5"/>
    <x v="12"/>
    <n v="0"/>
    <n v="1290691.4999999998"/>
    <n v="0"/>
    <m/>
    <n v="0"/>
    <m/>
    <n v="0"/>
    <m/>
    <n v="0"/>
    <m/>
    <n v="0"/>
    <n v="1295381.5000000005"/>
    <n v="0"/>
    <n v="0"/>
    <m/>
    <n v="0"/>
    <m/>
    <n v="0"/>
    <m/>
    <n v="0"/>
    <n v="1299468.9999999986"/>
    <n v="0"/>
    <n v="0"/>
    <n v="0"/>
    <n v="0"/>
    <n v="0"/>
    <n v="0"/>
    <s v=""/>
    <n v="0"/>
    <s v=""/>
    <n v="0"/>
    <s v=""/>
    <s v=""/>
    <n v="0"/>
    <n v="0"/>
    <s v="No change"/>
    <n v="7.4156136535132866E-2"/>
    <n v="5.4673730437993617E-2"/>
    <n v="0"/>
    <n v="0"/>
    <n v="0"/>
    <n v="0"/>
    <n v="0"/>
    <n v="0"/>
    <x v="1"/>
  </r>
  <r>
    <s v="Mauritius"/>
    <x v="28"/>
    <n v="1288762.5"/>
    <x v="13"/>
    <n v="0"/>
    <n v="1290691.4999999998"/>
    <n v="0"/>
    <m/>
    <n v="0"/>
    <m/>
    <n v="0"/>
    <m/>
    <n v="0"/>
    <m/>
    <n v="0"/>
    <n v="1295381.5000000005"/>
    <n v="0"/>
    <n v="291"/>
    <m/>
    <n v="0"/>
    <m/>
    <n v="0"/>
    <m/>
    <n v="0"/>
    <n v="1299468.9999999986"/>
    <n v="224"/>
    <n v="291"/>
    <n v="0"/>
    <n v="0"/>
    <n v="224"/>
    <n v="0"/>
    <s v=""/>
    <n v="291"/>
    <s v="2018 (triag)"/>
    <n v="224"/>
    <n v="2022"/>
    <s v="Adjust"/>
    <n v="264.14072780985634"/>
    <n v="291"/>
    <s v="Decreasing"/>
    <n v="7.4156136535132866E-2"/>
    <n v="5.4673730437993617E-2"/>
    <n v="200.8468313532392"/>
    <n v="342.86763143062814"/>
    <n v="0"/>
    <n v="2.2464424572992581"/>
    <n v="2.0326820248105699"/>
    <n v="2.2393762375247146"/>
    <x v="1"/>
  </r>
  <r>
    <s v="Mauritius"/>
    <x v="28"/>
    <n v="1288763.5"/>
    <x v="14"/>
    <n v="0"/>
    <n v="1290691.4999999998"/>
    <n v="0"/>
    <m/>
    <n v="0"/>
    <m/>
    <n v="0"/>
    <m/>
    <n v="0"/>
    <m/>
    <n v="0"/>
    <n v="1295381.5000000005"/>
    <n v="0"/>
    <n v="24"/>
    <m/>
    <n v="0"/>
    <m/>
    <n v="0"/>
    <m/>
    <n v="0"/>
    <n v="1299468.9999999986"/>
    <n v="0"/>
    <n v="24"/>
    <n v="0"/>
    <n v="0"/>
    <n v="0"/>
    <n v="0"/>
    <s v=""/>
    <n v="24"/>
    <s v="2018 (triag)"/>
    <n v="24"/>
    <s v="2018 (triag)"/>
    <s v=""/>
    <n v="24"/>
    <n v="24"/>
    <s v="No change"/>
    <n v="7.4156136535132866E-2"/>
    <n v="5.4673730437993617E-2"/>
    <n v="16.564687121916634"/>
    <n v="28.277742798402322"/>
    <n v="0"/>
    <n v="0.185273604725712"/>
    <n v="0.1846908237133785"/>
    <n v="0.1846908237133785"/>
    <x v="1"/>
  </r>
  <r>
    <s v="Mauritius"/>
    <x v="28"/>
    <n v="1288764.5"/>
    <x v="15"/>
    <n v="0"/>
    <n v="1290691.4999999998"/>
    <n v="0"/>
    <m/>
    <n v="0"/>
    <m/>
    <n v="0"/>
    <m/>
    <n v="0"/>
    <m/>
    <n v="0"/>
    <n v="1295381.5000000005"/>
    <n v="0"/>
    <n v="64"/>
    <m/>
    <n v="0"/>
    <m/>
    <n v="0"/>
    <m/>
    <n v="0"/>
    <n v="1299468.9999999986"/>
    <n v="0"/>
    <n v="64"/>
    <n v="0"/>
    <n v="0"/>
    <n v="0"/>
    <n v="0"/>
    <s v=""/>
    <n v="64"/>
    <s v="2018 (triag)"/>
    <n v="64"/>
    <s v="2018 (triag)"/>
    <s v=""/>
    <n v="64"/>
    <n v="64"/>
    <s v="No change"/>
    <n v="7.4156136535132866E-2"/>
    <n v="5.4673730437993617E-2"/>
    <n v="44.172498991777694"/>
    <n v="75.407314129072859"/>
    <n v="0"/>
    <n v="0.49406294593523203"/>
    <n v="0.492508863235676"/>
    <n v="0.492508863235676"/>
    <x v="1"/>
  </r>
  <r>
    <s v="Mauritius"/>
    <x v="28"/>
    <n v="1288765.5"/>
    <x v="16"/>
    <n v="0"/>
    <n v="1290691.4999999998"/>
    <n v="0"/>
    <m/>
    <n v="0"/>
    <m/>
    <n v="0"/>
    <m/>
    <n v="0"/>
    <m/>
    <n v="0"/>
    <n v="1295381.5000000005"/>
    <n v="0"/>
    <n v="0"/>
    <m/>
    <n v="0"/>
    <m/>
    <n v="0"/>
    <m/>
    <n v="0"/>
    <n v="1299468.9999999986"/>
    <n v="0"/>
    <n v="0"/>
    <n v="0"/>
    <n v="0"/>
    <n v="0"/>
    <n v="0"/>
    <s v=""/>
    <n v="0"/>
    <s v=""/>
    <n v="0"/>
    <s v=""/>
    <s v=""/>
    <n v="0"/>
    <n v="0"/>
    <s v="No change"/>
    <n v="7.4156136535132866E-2"/>
    <n v="5.4673730437993617E-2"/>
    <n v="0"/>
    <n v="0"/>
    <n v="0"/>
    <n v="0"/>
    <n v="0"/>
    <n v="0"/>
    <x v="1"/>
  </r>
  <r>
    <s v="Mauritius"/>
    <x v="28"/>
    <n v="1288766.5"/>
    <x v="17"/>
    <n v="0"/>
    <n v="1290691.4999999998"/>
    <n v="0"/>
    <m/>
    <n v="0"/>
    <m/>
    <n v="0"/>
    <m/>
    <n v="0"/>
    <m/>
    <n v="0"/>
    <n v="1295381.5000000005"/>
    <n v="0"/>
    <n v="0"/>
    <m/>
    <n v="0"/>
    <m/>
    <n v="0"/>
    <m/>
    <n v="0"/>
    <n v="1299468.9999999986"/>
    <n v="27"/>
    <n v="0"/>
    <n v="0"/>
    <n v="0"/>
    <n v="27"/>
    <n v="0"/>
    <s v=""/>
    <n v="0"/>
    <s v=""/>
    <n v="27"/>
    <n v="2022"/>
    <s v=""/>
    <n v="27"/>
    <n v="27"/>
    <s v="Increasing"/>
    <n v="7.4156136535132866E-2"/>
    <n v="5.4673730437993617E-2"/>
    <n v="0"/>
    <n v="0"/>
    <n v="0"/>
    <n v="0"/>
    <n v="0.20777717667755083"/>
    <n v="0.20777717667755083"/>
    <x v="1"/>
  </r>
  <r>
    <s v="Mauritius"/>
    <x v="28"/>
    <n v="1288767.5"/>
    <x v="18"/>
    <n v="0"/>
    <n v="1290691.4999999998"/>
    <n v="0"/>
    <m/>
    <n v="0"/>
    <m/>
    <n v="0"/>
    <m/>
    <n v="0"/>
    <m/>
    <n v="0"/>
    <n v="1295381.5000000005"/>
    <n v="0"/>
    <n v="5"/>
    <m/>
    <n v="0"/>
    <m/>
    <n v="0"/>
    <m/>
    <n v="0"/>
    <n v="1299468.9999999986"/>
    <n v="0"/>
    <n v="5"/>
    <n v="0"/>
    <n v="0"/>
    <n v="0"/>
    <n v="0"/>
    <s v=""/>
    <n v="5"/>
    <s v="2018 (triag)"/>
    <n v="5"/>
    <s v="2018 (triag)"/>
    <s v=""/>
    <n v="5"/>
    <n v="5"/>
    <s v="No change"/>
    <n v="7.4156136535132866E-2"/>
    <n v="5.4673730437993617E-2"/>
    <n v="3.450976483732632"/>
    <n v="5.8911964163338171"/>
    <n v="0"/>
    <n v="3.8598667651190001E-2"/>
    <n v="3.8477254940287191E-2"/>
    <n v="3.8477254940287191E-2"/>
    <x v="1"/>
  </r>
  <r>
    <s v="Malawi"/>
    <x v="29"/>
    <n v="15581255.5"/>
    <x v="0"/>
    <n v="0"/>
    <n v="16024775.499999996"/>
    <n v="0"/>
    <m/>
    <n v="0"/>
    <m/>
    <n v="0"/>
    <m/>
    <n v="0"/>
    <m/>
    <n v="0"/>
    <n v="18367882.999999985"/>
    <n v="10016"/>
    <n v="10016"/>
    <m/>
    <n v="0"/>
    <m/>
    <n v="0"/>
    <m/>
    <n v="0"/>
    <n v="20405316.500000019"/>
    <n v="10747"/>
    <n v="10016"/>
    <n v="0"/>
    <n v="10016"/>
    <n v="10747"/>
    <n v="0"/>
    <s v=""/>
    <n v="10016"/>
    <n v="2018"/>
    <n v="10747"/>
    <n v="2022"/>
    <s v=""/>
    <n v="10747"/>
    <n v="10747"/>
    <s v="Increasing"/>
    <n v="-0.13121558498618857"/>
    <n v="0.50042870775453441"/>
    <n v="19303.023453988262"/>
    <n v="44946.367139643909"/>
    <n v="0"/>
    <n v="5.4529964068259842"/>
    <n v="5.2667646689038072"/>
    <n v="5.2667646689038072"/>
    <x v="1"/>
  </r>
  <r>
    <s v="Malawi"/>
    <x v="29"/>
    <n v="15581256.5"/>
    <x v="1"/>
    <n v="0"/>
    <n v="16024775.499999996"/>
    <n v="0"/>
    <m/>
    <n v="0"/>
    <m/>
    <n v="0"/>
    <m/>
    <n v="0"/>
    <m/>
    <n v="0"/>
    <n v="18367882.999999985"/>
    <n v="0"/>
    <n v="25"/>
    <m/>
    <n v="0"/>
    <m/>
    <n v="9"/>
    <m/>
    <n v="0"/>
    <n v="20405316.500000019"/>
    <n v="0"/>
    <n v="25"/>
    <n v="0"/>
    <n v="0"/>
    <n v="9"/>
    <n v="0"/>
    <s v=""/>
    <n v="25"/>
    <s v="2018 (triag)"/>
    <n v="9"/>
    <n v="2020"/>
    <s v="Adjust"/>
    <n v="9.9719618239660672"/>
    <n v="25"/>
    <s v="Decreasing"/>
    <n v="-0.13121558498618857"/>
    <n v="0.50042870775453441"/>
    <n v="48.180469883157599"/>
    <n v="112.18641957778533"/>
    <n v="0"/>
    <n v="1.3610713874865177E-2"/>
    <n v="4.8869429807501677E-3"/>
    <n v="1.2251709009267255E-2"/>
    <x v="0"/>
  </r>
  <r>
    <s v="Malawi"/>
    <x v="29"/>
    <n v="15581257.5"/>
    <x v="2"/>
    <n v="0"/>
    <n v="16024775.499999996"/>
    <n v="0"/>
    <m/>
    <n v="0"/>
    <m/>
    <n v="0"/>
    <m/>
    <n v="0"/>
    <m/>
    <n v="0"/>
    <n v="18367882.999999985"/>
    <n v="0"/>
    <n v="35"/>
    <m/>
    <n v="0"/>
    <m/>
    <n v="0"/>
    <m/>
    <n v="0"/>
    <n v="20405316.500000019"/>
    <n v="0"/>
    <n v="35"/>
    <n v="0"/>
    <n v="0"/>
    <n v="0"/>
    <n v="0"/>
    <s v=""/>
    <n v="35"/>
    <s v="2018 (triag)"/>
    <n v="35"/>
    <s v="2018 (triag)"/>
    <s v=""/>
    <n v="35"/>
    <n v="35"/>
    <s v="No change"/>
    <n v="-0.13121558498618857"/>
    <n v="0.50042870775453441"/>
    <n v="67.452657836420642"/>
    <n v="157.06098740889945"/>
    <n v="0"/>
    <n v="1.9054999424811248E-2"/>
    <n v="1.7152392612974156E-2"/>
    <n v="1.7152392612974156E-2"/>
    <x v="1"/>
  </r>
  <r>
    <s v="Malawi"/>
    <x v="29"/>
    <n v="15581258.5"/>
    <x v="3"/>
    <n v="0"/>
    <n v="16024775.499999996"/>
    <n v="0"/>
    <m/>
    <n v="0"/>
    <m/>
    <n v="0"/>
    <m/>
    <n v="0"/>
    <m/>
    <n v="0"/>
    <n v="18367882.999999985"/>
    <n v="0"/>
    <n v="178"/>
    <m/>
    <n v="0"/>
    <m/>
    <n v="0"/>
    <m/>
    <n v="0"/>
    <n v="20405316.500000019"/>
    <n v="0"/>
    <n v="178"/>
    <n v="0"/>
    <n v="0"/>
    <n v="0"/>
    <n v="0"/>
    <s v=""/>
    <n v="178"/>
    <s v="2018 (triag)"/>
    <n v="178"/>
    <s v="2018 (triag)"/>
    <s v=""/>
    <n v="178"/>
    <n v="178"/>
    <s v="No change"/>
    <n v="-0.13121558498618857"/>
    <n v="0.50042870775453441"/>
    <n v="343.04494556808208"/>
    <n v="798.76730739383152"/>
    <n v="0"/>
    <n v="9.6908282789040054E-2"/>
    <n v="8.723216814598285E-2"/>
    <n v="8.723216814598285E-2"/>
    <x v="1"/>
  </r>
  <r>
    <s v="Malawi"/>
    <x v="29"/>
    <n v="15581259.5"/>
    <x v="4"/>
    <n v="0"/>
    <n v="16024775.499999996"/>
    <n v="0"/>
    <m/>
    <n v="0"/>
    <m/>
    <n v="0"/>
    <m/>
    <n v="0"/>
    <m/>
    <n v="0"/>
    <n v="18367882.999999985"/>
    <n v="0"/>
    <n v="178"/>
    <m/>
    <n v="0"/>
    <m/>
    <n v="2630"/>
    <m/>
    <n v="0"/>
    <n v="20405316.500000019"/>
    <n v="561"/>
    <n v="178"/>
    <n v="0"/>
    <n v="0"/>
    <n v="2630"/>
    <n v="0"/>
    <s v=""/>
    <n v="178"/>
    <s v="2018 (triag)"/>
    <n v="561"/>
    <n v="2022"/>
    <s v=""/>
    <n v="561"/>
    <n v="561"/>
    <s v="Increasing"/>
    <n v="-0.13121558498618857"/>
    <n v="0.50042870775453441"/>
    <n v="343.04494556808208"/>
    <n v="798.76730739383152"/>
    <n v="0"/>
    <n v="9.6908282789040054E-2"/>
    <n v="0.27492835016795719"/>
    <n v="0.27492835016795719"/>
    <x v="1"/>
  </r>
  <r>
    <s v="Malawi"/>
    <x v="29"/>
    <n v="15581260.5"/>
    <x v="5"/>
    <n v="0"/>
    <n v="16024775.499999996"/>
    <n v="0"/>
    <m/>
    <n v="0"/>
    <m/>
    <n v="0"/>
    <m/>
    <n v="0"/>
    <m/>
    <n v="0"/>
    <n v="18367882.999999985"/>
    <n v="0"/>
    <n v="0"/>
    <m/>
    <n v="0"/>
    <m/>
    <n v="0"/>
    <m/>
    <n v="0"/>
    <n v="20405316.500000019"/>
    <n v="12"/>
    <n v="0"/>
    <n v="0"/>
    <n v="0"/>
    <n v="12"/>
    <n v="0"/>
    <s v=""/>
    <n v="0"/>
    <s v=""/>
    <n v="12"/>
    <n v="2022"/>
    <s v=""/>
    <n v="12"/>
    <n v="12"/>
    <s v="Increasing"/>
    <n v="-0.13121558498618857"/>
    <n v="0.50042870775453441"/>
    <n v="0"/>
    <n v="0"/>
    <n v="0"/>
    <n v="0"/>
    <n v="5.8808203244482826E-3"/>
    <n v="5.8808203244482826E-3"/>
    <x v="1"/>
  </r>
  <r>
    <s v="Malawi"/>
    <x v="29"/>
    <n v="15581261.5"/>
    <x v="6"/>
    <n v="0"/>
    <n v="16024775.499999996"/>
    <n v="0"/>
    <m/>
    <n v="0"/>
    <m/>
    <n v="0"/>
    <m/>
    <n v="0"/>
    <m/>
    <n v="0"/>
    <n v="18367882.999999985"/>
    <n v="542"/>
    <n v="542"/>
    <m/>
    <n v="0"/>
    <m/>
    <n v="743"/>
    <m/>
    <n v="0"/>
    <n v="20405316.500000019"/>
    <n v="81"/>
    <n v="0"/>
    <n v="0"/>
    <n v="542"/>
    <n v="743"/>
    <n v="0"/>
    <s v=""/>
    <n v="542"/>
    <n v="2018"/>
    <n v="81"/>
    <n v="2022"/>
    <s v="Adjust"/>
    <n v="89.747656415694607"/>
    <n v="542"/>
    <s v="Decreasing"/>
    <n v="-0.13121558498618857"/>
    <n v="0.50042870775453441"/>
    <n v="0"/>
    <n v="0"/>
    <n v="0"/>
    <n v="0.29508027680707705"/>
    <n v="4.3982486826751509E-2"/>
    <n v="0.26561705132091407"/>
    <x v="0"/>
  </r>
  <r>
    <s v="Malawi"/>
    <x v="29"/>
    <n v="15581262.5"/>
    <x v="7"/>
    <n v="0"/>
    <n v="16024775.499999996"/>
    <n v="0"/>
    <m/>
    <n v="0"/>
    <m/>
    <n v="0"/>
    <m/>
    <n v="0"/>
    <m/>
    <n v="0"/>
    <n v="18367882.999999985"/>
    <n v="0"/>
    <n v="2804"/>
    <m/>
    <n v="0"/>
    <m/>
    <n v="1809"/>
    <m/>
    <n v="0"/>
    <n v="20405316.500000019"/>
    <n v="1661"/>
    <n v="2804"/>
    <n v="0"/>
    <n v="0"/>
    <n v="1809"/>
    <n v="0"/>
    <s v=""/>
    <n v="2804"/>
    <s v="2018 (triag)"/>
    <n v="1661"/>
    <n v="2022"/>
    <s v="Adjust"/>
    <n v="1840.3809544008486"/>
    <n v="2804"/>
    <s v="Decreasing"/>
    <n v="-0.13121558498618857"/>
    <n v="0.50042870775453441"/>
    <n v="5403.9215020949559"/>
    <n v="12582.828819844402"/>
    <n v="0"/>
    <n v="1.5265776682048782"/>
    <n v="0.90191247678066988"/>
    <n v="1.3741516824794153"/>
    <x v="0"/>
  </r>
  <r>
    <s v="Malawi"/>
    <x v="29"/>
    <n v="15581263.5"/>
    <x v="8"/>
    <n v="0"/>
    <n v="16024775.499999996"/>
    <n v="0"/>
    <m/>
    <n v="0"/>
    <m/>
    <n v="0"/>
    <m/>
    <n v="0"/>
    <m/>
    <n v="0"/>
    <n v="18367882.999999985"/>
    <n v="0"/>
    <n v="44"/>
    <m/>
    <n v="0"/>
    <m/>
    <n v="0"/>
    <m/>
    <n v="0"/>
    <n v="20405316.500000019"/>
    <n v="610"/>
    <n v="44"/>
    <n v="0"/>
    <n v="0"/>
    <n v="610"/>
    <n v="0"/>
    <s v=""/>
    <n v="44"/>
    <s v="2018 (triag)"/>
    <n v="610"/>
    <n v="2022"/>
    <s v=""/>
    <n v="610"/>
    <n v="610"/>
    <s v="Increasing"/>
    <n v="-0.13121558498618857"/>
    <n v="0.50042870775453441"/>
    <n v="84.797626994357373"/>
    <n v="197.44809845690216"/>
    <n v="0"/>
    <n v="2.3954856419762711E-2"/>
    <n v="0.29894169982612101"/>
    <n v="0.29894169982612101"/>
    <x v="1"/>
  </r>
  <r>
    <s v="Malawi"/>
    <x v="29"/>
    <n v="15581264.5"/>
    <x v="9"/>
    <n v="0"/>
    <n v="16024775.499999996"/>
    <n v="0"/>
    <m/>
    <n v="0"/>
    <m/>
    <n v="0"/>
    <m/>
    <n v="0"/>
    <m/>
    <n v="0"/>
    <n v="18367882.999999985"/>
    <n v="0"/>
    <n v="306"/>
    <m/>
    <n v="0"/>
    <m/>
    <n v="0"/>
    <m/>
    <n v="0"/>
    <n v="20405316.500000019"/>
    <n v="0"/>
    <n v="306"/>
    <n v="0"/>
    <n v="0"/>
    <n v="0"/>
    <n v="0"/>
    <s v=""/>
    <n v="306"/>
    <s v="2018 (triag)"/>
    <n v="306"/>
    <s v="2018 (triag)"/>
    <s v=""/>
    <n v="306"/>
    <n v="306"/>
    <s v="No change"/>
    <n v="-0.13121558498618857"/>
    <n v="0.50042870775453441"/>
    <n v="589.72895136984903"/>
    <n v="1373.1617756320923"/>
    <n v="0"/>
    <n v="0.16659513782834975"/>
    <n v="0.14996091827343119"/>
    <n v="0.14996091827343119"/>
    <x v="1"/>
  </r>
  <r>
    <s v="Malawi"/>
    <x v="29"/>
    <n v="15581265.5"/>
    <x v="10"/>
    <n v="0"/>
    <n v="16024775.499999996"/>
    <n v="0"/>
    <m/>
    <n v="0"/>
    <m/>
    <n v="0"/>
    <m/>
    <n v="0"/>
    <m/>
    <n v="0"/>
    <n v="18367882.999999985"/>
    <n v="0"/>
    <n v="13"/>
    <m/>
    <n v="0"/>
    <m/>
    <n v="91"/>
    <m/>
    <n v="0"/>
    <n v="20405316.500000019"/>
    <n v="73"/>
    <n v="13"/>
    <n v="0"/>
    <n v="0"/>
    <n v="91"/>
    <n v="0"/>
    <s v=""/>
    <n v="13"/>
    <s v="2018 (triag)"/>
    <n v="73"/>
    <n v="2022"/>
    <s v=""/>
    <n v="73"/>
    <n v="73"/>
    <s v="Increasing"/>
    <n v="-0.13121558498618857"/>
    <n v="0.50042870775453441"/>
    <n v="25.053844339241952"/>
    <n v="58.336938180448371"/>
    <n v="0"/>
    <n v="7.077571214929892E-3"/>
    <n v="3.5774990307060384E-2"/>
    <n v="3.5774990307060384E-2"/>
    <x v="1"/>
  </r>
  <r>
    <s v="Malawi"/>
    <x v="29"/>
    <n v="15581266.5"/>
    <x v="11"/>
    <n v="0"/>
    <n v="16024775.499999996"/>
    <n v="0"/>
    <m/>
    <n v="0"/>
    <m/>
    <n v="0"/>
    <m/>
    <n v="0"/>
    <m/>
    <n v="0"/>
    <n v="18367882.999999985"/>
    <n v="0"/>
    <n v="0"/>
    <m/>
    <n v="0"/>
    <m/>
    <n v="0"/>
    <m/>
    <n v="0"/>
    <n v="20405316.500000019"/>
    <n v="0"/>
    <n v="0"/>
    <n v="0"/>
    <n v="0"/>
    <n v="0"/>
    <n v="0"/>
    <s v=""/>
    <n v="0"/>
    <s v=""/>
    <n v="0"/>
    <s v=""/>
    <s v=""/>
    <n v="0"/>
    <n v="0"/>
    <s v="No change"/>
    <n v="-0.13121558498618857"/>
    <n v="0.50042870775453441"/>
    <n v="0"/>
    <n v="0"/>
    <n v="0"/>
    <n v="0"/>
    <n v="0"/>
    <n v="0"/>
    <x v="1"/>
  </r>
  <r>
    <s v="Malawi"/>
    <x v="29"/>
    <n v="15581267.5"/>
    <x v="12"/>
    <n v="0"/>
    <n v="16024775.499999996"/>
    <n v="0"/>
    <m/>
    <n v="0"/>
    <m/>
    <n v="0"/>
    <m/>
    <n v="0"/>
    <m/>
    <n v="0"/>
    <n v="18367882.999999985"/>
    <n v="0"/>
    <n v="0"/>
    <m/>
    <n v="0"/>
    <m/>
    <n v="0"/>
    <m/>
    <n v="0"/>
    <n v="20405316.500000019"/>
    <n v="11178"/>
    <n v="0"/>
    <n v="0"/>
    <n v="0"/>
    <n v="11178"/>
    <n v="0"/>
    <s v=""/>
    <n v="0"/>
    <s v=""/>
    <n v="11178"/>
    <n v="2022"/>
    <s v=""/>
    <n v="11178"/>
    <n v="11178"/>
    <s v="Increasing"/>
    <n v="-0.13121558498618857"/>
    <n v="0.50042870775453441"/>
    <n v="0"/>
    <n v="0"/>
    <n v="0"/>
    <n v="0"/>
    <n v="5.4779841322235754"/>
    <n v="5.4779841322235754"/>
    <x v="1"/>
  </r>
  <r>
    <s v="Malawi"/>
    <x v="29"/>
    <n v="15581268.5"/>
    <x v="13"/>
    <n v="0"/>
    <n v="16024775.499999996"/>
    <n v="0"/>
    <m/>
    <n v="0"/>
    <m/>
    <n v="0"/>
    <m/>
    <n v="397"/>
    <m/>
    <n v="0"/>
    <n v="18367882.999999985"/>
    <n v="0"/>
    <n v="542"/>
    <m/>
    <n v="0"/>
    <m/>
    <n v="282"/>
    <m/>
    <n v="0"/>
    <n v="20405316.500000019"/>
    <n v="189"/>
    <n v="542"/>
    <n v="0"/>
    <n v="397"/>
    <n v="282"/>
    <n v="0"/>
    <s v=""/>
    <n v="542"/>
    <s v="2018 (triag)"/>
    <n v="189"/>
    <n v="2022"/>
    <s v="Adjust"/>
    <n v="209.41119830328739"/>
    <n v="542"/>
    <s v="Decreasing"/>
    <n v="-0.13121558498618857"/>
    <n v="0.50042870775453441"/>
    <n v="1044.5525870668569"/>
    <n v="2432.2015764463858"/>
    <n v="0"/>
    <n v="0.29508027680707705"/>
    <n v="0.1026258025957535"/>
    <n v="0.26561705132091407"/>
    <x v="0"/>
  </r>
  <r>
    <s v="Malawi"/>
    <x v="29"/>
    <n v="15581269.5"/>
    <x v="14"/>
    <n v="0"/>
    <n v="16024775.499999996"/>
    <n v="0"/>
    <m/>
    <n v="0"/>
    <m/>
    <n v="0"/>
    <m/>
    <n v="1159"/>
    <m/>
    <n v="0"/>
    <n v="18367882.999999985"/>
    <n v="0"/>
    <n v="98"/>
    <m/>
    <n v="0"/>
    <m/>
    <n v="0"/>
    <m/>
    <n v="0"/>
    <n v="20405316.500000019"/>
    <n v="37"/>
    <n v="98"/>
    <n v="0"/>
    <n v="1159"/>
    <n v="37"/>
    <n v="0"/>
    <s v=""/>
    <n v="98"/>
    <s v="2018 (triag)"/>
    <n v="37"/>
    <n v="2022"/>
    <s v="Adjust"/>
    <n v="40.995843054082719"/>
    <n v="98"/>
    <s v="Decreasing"/>
    <n v="-0.13121558498618857"/>
    <n v="0.50042870775453441"/>
    <n v="188.8674419419778"/>
    <n v="439.77076474491849"/>
    <n v="0"/>
    <n v="5.3353998389471489E-2"/>
    <n v="2.0090765587528467E-2"/>
    <n v="4.8026699316327637E-2"/>
    <x v="0"/>
  </r>
  <r>
    <s v="Malawi"/>
    <x v="29"/>
    <n v="15581270.5"/>
    <x v="15"/>
    <n v="0"/>
    <n v="16024775.499999996"/>
    <n v="0"/>
    <m/>
    <n v="0"/>
    <m/>
    <n v="0"/>
    <m/>
    <n v="0"/>
    <m/>
    <n v="0"/>
    <n v="18367882.999999985"/>
    <n v="0"/>
    <n v="52"/>
    <m/>
    <n v="0"/>
    <m/>
    <n v="152"/>
    <m/>
    <n v="0"/>
    <n v="20405316.500000019"/>
    <n v="248"/>
    <n v="52"/>
    <n v="0"/>
    <n v="0"/>
    <n v="248"/>
    <n v="0"/>
    <s v=""/>
    <n v="52"/>
    <s v="2018 (triag)"/>
    <n v="248"/>
    <n v="2022"/>
    <s v=""/>
    <n v="248"/>
    <n v="248"/>
    <s v="Increasing"/>
    <n v="-0.13121558498618857"/>
    <n v="0.50042870775453441"/>
    <n v="100.21537735696781"/>
    <n v="233.34775272179348"/>
    <n v="0"/>
    <n v="2.8310284859719568E-2"/>
    <n v="0.12153695337193117"/>
    <n v="0.12153695337193117"/>
    <x v="1"/>
  </r>
  <r>
    <s v="Malawi"/>
    <x v="29"/>
    <n v="15581271.5"/>
    <x v="16"/>
    <n v="0"/>
    <n v="16024775.499999996"/>
    <n v="0"/>
    <m/>
    <n v="0"/>
    <m/>
    <n v="0"/>
    <m/>
    <n v="0"/>
    <m/>
    <n v="0"/>
    <n v="18367882.999999985"/>
    <n v="0"/>
    <n v="0"/>
    <m/>
    <n v="0"/>
    <m/>
    <n v="0"/>
    <m/>
    <n v="0"/>
    <n v="20405316.500000019"/>
    <n v="72"/>
    <n v="0"/>
    <n v="0"/>
    <n v="0"/>
    <n v="72"/>
    <n v="0"/>
    <s v=""/>
    <n v="0"/>
    <s v=""/>
    <n v="72"/>
    <n v="2022"/>
    <s v=""/>
    <n v="72"/>
    <n v="72"/>
    <s v="Increasing"/>
    <n v="-0.13121558498618857"/>
    <n v="0.50042870775453441"/>
    <n v="0"/>
    <n v="0"/>
    <n v="0"/>
    <n v="0"/>
    <n v="3.5284921946689696E-2"/>
    <n v="3.5284921946689696E-2"/>
    <x v="1"/>
  </r>
  <r>
    <s v="Malawi"/>
    <x v="29"/>
    <n v="15581272.5"/>
    <x v="17"/>
    <n v="0"/>
    <n v="16024775.499999996"/>
    <n v="0"/>
    <m/>
    <n v="0"/>
    <m/>
    <n v="0"/>
    <m/>
    <n v="0"/>
    <m/>
    <n v="0"/>
    <n v="18367882.999999985"/>
    <n v="0"/>
    <n v="0"/>
    <m/>
    <n v="0"/>
    <m/>
    <n v="0"/>
    <m/>
    <n v="0"/>
    <n v="20405316.500000019"/>
    <n v="0"/>
    <n v="0"/>
    <n v="0"/>
    <n v="0"/>
    <n v="0"/>
    <n v="0"/>
    <s v=""/>
    <n v="0"/>
    <s v=""/>
    <n v="0"/>
    <s v=""/>
    <s v=""/>
    <n v="0"/>
    <n v="0"/>
    <s v="No change"/>
    <n v="-0.13121558498618857"/>
    <n v="0.50042870775453441"/>
    <n v="0"/>
    <n v="0"/>
    <n v="0"/>
    <n v="0"/>
    <n v="0"/>
    <n v="0"/>
    <x v="1"/>
  </r>
  <r>
    <s v="Malawi"/>
    <x v="29"/>
    <n v="15581273.5"/>
    <x v="18"/>
    <n v="0"/>
    <n v="16024775.499999996"/>
    <n v="0"/>
    <m/>
    <n v="0"/>
    <m/>
    <n v="0"/>
    <m/>
    <n v="0"/>
    <m/>
    <n v="0"/>
    <n v="18367882.999999985"/>
    <n v="0"/>
    <n v="0"/>
    <m/>
    <n v="0"/>
    <m/>
    <n v="0"/>
    <m/>
    <n v="0"/>
    <n v="20405316.500000019"/>
    <n v="2"/>
    <n v="0"/>
    <n v="0"/>
    <n v="0"/>
    <n v="2"/>
    <n v="0"/>
    <s v=""/>
    <n v="0"/>
    <s v=""/>
    <n v="2"/>
    <n v="2022"/>
    <s v=""/>
    <n v="2"/>
    <n v="2"/>
    <s v="Increasing"/>
    <n v="-0.13121558498618857"/>
    <n v="0.50042870775453441"/>
    <n v="0"/>
    <n v="0"/>
    <n v="0"/>
    <n v="0"/>
    <n v="9.8013672074138036E-4"/>
    <n v="9.8013672074138036E-4"/>
    <x v="1"/>
  </r>
  <r>
    <s v="Namibia"/>
    <x v="30"/>
    <n v="2167475"/>
    <x v="0"/>
    <n v="0"/>
    <n v="2204510.0000000005"/>
    <n v="0"/>
    <m/>
    <n v="0"/>
    <m/>
    <n v="0"/>
    <m/>
    <n v="0"/>
    <m/>
    <n v="0"/>
    <n v="2405680.5000000005"/>
    <n v="2292"/>
    <n v="2292"/>
    <m/>
    <n v="0"/>
    <m/>
    <n v="0"/>
    <m/>
    <n v="0"/>
    <n v="2567012.4999999995"/>
    <n v="0"/>
    <n v="2292"/>
    <n v="0"/>
    <n v="2292"/>
    <n v="0"/>
    <n v="0"/>
    <s v=""/>
    <n v="2292"/>
    <n v="2018"/>
    <n v="2292"/>
    <n v="2018"/>
    <s v=""/>
    <n v="2292"/>
    <n v="2292"/>
    <s v="No change"/>
    <n v="6.763943333062894E-2"/>
    <n v="0.1043111029271564"/>
    <n v="1634.3213344262363"/>
    <n v="3134.1503218411849"/>
    <n v="0"/>
    <n v="9.5274497174500095"/>
    <n v="8.928667078948779"/>
    <n v="8.928667078948779"/>
    <x v="1"/>
  </r>
  <r>
    <s v="Namibia"/>
    <x v="30"/>
    <n v="2167476"/>
    <x v="1"/>
    <n v="0"/>
    <n v="2204510.0000000005"/>
    <n v="0"/>
    <m/>
    <n v="0"/>
    <m/>
    <n v="0"/>
    <m/>
    <n v="0"/>
    <m/>
    <n v="0"/>
    <n v="2405680.5000000005"/>
    <n v="0"/>
    <n v="33"/>
    <m/>
    <n v="0"/>
    <m/>
    <n v="0"/>
    <m/>
    <n v="0"/>
    <n v="2567012.4999999995"/>
    <n v="33"/>
    <n v="33"/>
    <n v="0"/>
    <n v="0"/>
    <n v="33"/>
    <n v="0"/>
    <s v=""/>
    <n v="33"/>
    <s v="2018 (triag)"/>
    <n v="33"/>
    <n v="2022"/>
    <s v=""/>
    <n v="33"/>
    <n v="33"/>
    <s v="No change"/>
    <n v="6.763943333062894E-2"/>
    <n v="0.1043111029271564"/>
    <n v="23.53080455325733"/>
    <n v="45.125200968917582"/>
    <n v="0"/>
    <n v="0.13717532315700273"/>
    <n v="0.12855410715763949"/>
    <n v="0.12855410715763949"/>
    <x v="1"/>
  </r>
  <r>
    <s v="Namibia"/>
    <x v="30"/>
    <n v="2167477"/>
    <x v="2"/>
    <n v="0"/>
    <n v="2204510.0000000005"/>
    <n v="0"/>
    <m/>
    <n v="0"/>
    <m/>
    <n v="0"/>
    <m/>
    <n v="0"/>
    <m/>
    <n v="0"/>
    <n v="2405680.5000000005"/>
    <n v="0"/>
    <n v="218"/>
    <m/>
    <n v="0"/>
    <m/>
    <n v="172"/>
    <m/>
    <n v="0"/>
    <n v="2567012.4999999995"/>
    <n v="0"/>
    <n v="218"/>
    <n v="0"/>
    <n v="0"/>
    <n v="172"/>
    <n v="0"/>
    <s v=""/>
    <n v="218"/>
    <s v="2018 (triag)"/>
    <n v="172"/>
    <n v="2020"/>
    <s v="Adjust"/>
    <n v="260.54243369734792"/>
    <n v="372"/>
    <s v="Increasing"/>
    <n v="6.763943333062894E-2"/>
    <n v="0.1043111029271564"/>
    <n v="155.44592098818478"/>
    <n v="298.0998124613343"/>
    <n v="0"/>
    <n v="0.90618849843110905"/>
    <n v="1.0149636345648803"/>
    <n v="1.4491553897770271"/>
    <x v="1"/>
  </r>
  <r>
    <s v="Namibia"/>
    <x v="30"/>
    <n v="2167478"/>
    <x v="3"/>
    <n v="0"/>
    <n v="2204510.0000000005"/>
    <n v="0"/>
    <m/>
    <n v="0"/>
    <m/>
    <n v="0"/>
    <m/>
    <n v="0"/>
    <m/>
    <n v="0"/>
    <n v="2405680.5000000005"/>
    <n v="0"/>
    <n v="0"/>
    <m/>
    <n v="0"/>
    <m/>
    <n v="0"/>
    <m/>
    <n v="0"/>
    <n v="2567012.4999999995"/>
    <n v="889"/>
    <n v="0"/>
    <n v="0"/>
    <n v="0"/>
    <n v="889"/>
    <n v="0"/>
    <s v=""/>
    <n v="0"/>
    <s v=""/>
    <n v="889"/>
    <n v="2022"/>
    <s v=""/>
    <n v="889"/>
    <n v="889"/>
    <s v="Increasing"/>
    <n v="6.763943333062894E-2"/>
    <n v="0.1043111029271564"/>
    <n v="0"/>
    <n v="0"/>
    <n v="0"/>
    <n v="0"/>
    <n v="3.4631697352467126"/>
    <n v="3.4631697352467126"/>
    <x v="1"/>
  </r>
  <r>
    <s v="Namibia"/>
    <x v="30"/>
    <n v="2167479"/>
    <x v="4"/>
    <n v="0"/>
    <n v="2204510.0000000005"/>
    <n v="0"/>
    <m/>
    <n v="0"/>
    <m/>
    <n v="0"/>
    <m/>
    <n v="0"/>
    <m/>
    <n v="0"/>
    <n v="2405680.5000000005"/>
    <n v="0"/>
    <n v="313"/>
    <m/>
    <n v="0"/>
    <m/>
    <n v="0"/>
    <m/>
    <n v="0"/>
    <n v="2567012.4999999995"/>
    <n v="51"/>
    <n v="313"/>
    <n v="0"/>
    <n v="0"/>
    <n v="51"/>
    <n v="0"/>
    <s v=""/>
    <n v="313"/>
    <s v="2018 (triag)"/>
    <n v="51"/>
    <n v="2022"/>
    <s v="Adjust"/>
    <n v="77.253861154446184"/>
    <n v="313"/>
    <s v="Decreasing"/>
    <n v="6.763943333062894E-2"/>
    <n v="0.1043111029271564"/>
    <n v="223.18611591422862"/>
    <n v="428.00569403852131"/>
    <n v="0"/>
    <n v="1.3010871560042987"/>
    <n v="0.30094851955121449"/>
    <n v="1.2193162284951868"/>
    <x v="0"/>
  </r>
  <r>
    <s v="Namibia"/>
    <x v="30"/>
    <n v="2167480"/>
    <x v="5"/>
    <n v="0"/>
    <n v="2204510.0000000005"/>
    <n v="0"/>
    <m/>
    <n v="0"/>
    <m/>
    <n v="0"/>
    <m/>
    <n v="0"/>
    <m/>
    <n v="0"/>
    <n v="2405680.5000000005"/>
    <n v="0"/>
    <n v="470"/>
    <m/>
    <n v="137"/>
    <m/>
    <n v="0"/>
    <m/>
    <n v="0"/>
    <n v="2567012.4999999995"/>
    <n v="10"/>
    <n v="470"/>
    <n v="0"/>
    <n v="137"/>
    <n v="10"/>
    <n v="0"/>
    <s v=""/>
    <n v="470"/>
    <s v="2018 (triag)"/>
    <n v="10"/>
    <n v="2022"/>
    <s v="Adjust"/>
    <n v="15.147815912636506"/>
    <n v="470"/>
    <s v="Decreasing"/>
    <n v="6.763943333062894E-2"/>
    <n v="0.1043111029271564"/>
    <n v="335.13570121305895"/>
    <n v="642.69225622397767"/>
    <n v="0"/>
    <n v="1.9537091479936755"/>
    <n v="5.9009513637493037E-2"/>
    <n v="1.8309221322451685"/>
    <x v="0"/>
  </r>
  <r>
    <s v="Namibia"/>
    <x v="30"/>
    <n v="2167481"/>
    <x v="6"/>
    <n v="0"/>
    <n v="2204510.0000000005"/>
    <n v="0"/>
    <m/>
    <n v="0"/>
    <m/>
    <n v="0"/>
    <m/>
    <n v="0"/>
    <m/>
    <n v="0"/>
    <n v="2405680.5000000005"/>
    <n v="0"/>
    <n v="1739"/>
    <m/>
    <n v="503"/>
    <m/>
    <n v="99"/>
    <m/>
    <n v="0"/>
    <n v="2567012.4999999995"/>
    <n v="64"/>
    <n v="1739"/>
    <n v="0"/>
    <n v="503"/>
    <n v="99"/>
    <n v="0"/>
    <s v=""/>
    <n v="1739"/>
    <s v="2018 (triag)"/>
    <n v="64"/>
    <n v="2022"/>
    <s v="Adjust"/>
    <n v="96.946021840873641"/>
    <n v="1739"/>
    <s v="Decreasing"/>
    <n v="6.763943333062894E-2"/>
    <n v="0.1043111029271564"/>
    <n v="1240.0020944883181"/>
    <n v="2377.9613480287176"/>
    <n v="0"/>
    <n v="7.2287238475765987"/>
    <n v="0.37766088727995545"/>
    <n v="6.7744118893071237"/>
    <x v="0"/>
  </r>
  <r>
    <s v="Namibia"/>
    <x v="30"/>
    <n v="2167482"/>
    <x v="7"/>
    <n v="0"/>
    <n v="2204510.0000000005"/>
    <n v="0"/>
    <m/>
    <n v="0"/>
    <m/>
    <n v="0"/>
    <m/>
    <n v="0"/>
    <m/>
    <n v="0"/>
    <n v="2405680.5000000005"/>
    <n v="3"/>
    <n v="21"/>
    <m/>
    <n v="3"/>
    <m/>
    <n v="3"/>
    <m/>
    <n v="3"/>
    <n v="2567012.4999999995"/>
    <n v="5"/>
    <n v="21"/>
    <n v="0"/>
    <n v="3"/>
    <n v="5"/>
    <n v="0"/>
    <s v=""/>
    <n v="21"/>
    <s v="2018 (triag)"/>
    <n v="5"/>
    <n v="2022"/>
    <s v="Adjust"/>
    <n v="7.5739079563182532"/>
    <n v="21"/>
    <s v="Decreasing"/>
    <n v="6.763943333062894E-2"/>
    <n v="0.1043111029271564"/>
    <n v="14.974148352072847"/>
    <n v="28.716036980220277"/>
    <n v="0"/>
    <n v="8.7293387463547201E-2"/>
    <n v="2.9504756818746519E-2"/>
    <n v="8.1807159100316038E-2"/>
    <x v="0"/>
  </r>
  <r>
    <s v="Namibia"/>
    <x v="30"/>
    <n v="2167483"/>
    <x v="8"/>
    <n v="0"/>
    <n v="2204510.0000000005"/>
    <n v="0"/>
    <m/>
    <n v="0"/>
    <m/>
    <n v="0"/>
    <m/>
    <n v="0"/>
    <m/>
    <n v="0"/>
    <n v="2405680.5000000005"/>
    <n v="0"/>
    <n v="303"/>
    <m/>
    <n v="291"/>
    <m/>
    <n v="0"/>
    <m/>
    <n v="0"/>
    <n v="2567012.4999999995"/>
    <n v="289"/>
    <n v="303"/>
    <n v="0"/>
    <n v="291"/>
    <n v="289"/>
    <n v="0"/>
    <s v=""/>
    <n v="303"/>
    <s v="2018 (triag)"/>
    <n v="289"/>
    <n v="2022"/>
    <s v="Adjust"/>
    <n v="437.77187987519505"/>
    <n v="437.77187987519505"/>
    <s v="Increasing"/>
    <n v="6.763943333062894E-2"/>
    <n v="0.1043111029271564"/>
    <n v="216.0555690799082"/>
    <n v="414.33139071460687"/>
    <n v="0"/>
    <n v="1.2595188762597525"/>
    <n v="1.7053749441235486"/>
    <n v="1.7053749441235486"/>
    <x v="1"/>
  </r>
  <r>
    <s v="Namibia"/>
    <x v="30"/>
    <n v="2167484"/>
    <x v="9"/>
    <n v="0"/>
    <n v="2204510.0000000005"/>
    <n v="0"/>
    <m/>
    <n v="0"/>
    <m/>
    <n v="0"/>
    <m/>
    <n v="0"/>
    <m/>
    <n v="0"/>
    <n v="2405680.5000000005"/>
    <n v="0"/>
    <n v="37"/>
    <m/>
    <n v="0"/>
    <m/>
    <n v="0"/>
    <m/>
    <n v="0"/>
    <n v="2567012.4999999995"/>
    <n v="0"/>
    <n v="37"/>
    <n v="0"/>
    <n v="0"/>
    <n v="0"/>
    <n v="0"/>
    <s v=""/>
    <n v="37"/>
    <s v="2018 (triag)"/>
    <n v="37"/>
    <s v="2018 (triag)"/>
    <s v=""/>
    <n v="37"/>
    <n v="37"/>
    <s v="No change"/>
    <n v="6.763943333062894E-2"/>
    <n v="0.1043111029271564"/>
    <n v="26.383023286985491"/>
    <n v="50.594922298483347"/>
    <n v="0"/>
    <n v="0.15380263505482125"/>
    <n v="0.14413642317674732"/>
    <n v="0.14413642317674732"/>
    <x v="1"/>
  </r>
  <r>
    <s v="Namibia"/>
    <x v="30"/>
    <n v="2167485"/>
    <x v="10"/>
    <n v="0"/>
    <n v="2204510.0000000005"/>
    <n v="0"/>
    <m/>
    <n v="0"/>
    <m/>
    <n v="0"/>
    <m/>
    <n v="0"/>
    <m/>
    <n v="0"/>
    <n v="2405680.5000000005"/>
    <n v="84"/>
    <n v="147"/>
    <m/>
    <n v="99"/>
    <m/>
    <n v="95"/>
    <m/>
    <n v="99"/>
    <n v="2567012.4999999995"/>
    <n v="107"/>
    <n v="147"/>
    <n v="0"/>
    <n v="99"/>
    <n v="107"/>
    <n v="0"/>
    <s v=""/>
    <n v="147"/>
    <s v="2018 (triag)"/>
    <n v="107"/>
    <n v="2022"/>
    <s v="Adjust"/>
    <n v="162.08163026521061"/>
    <n v="162.08163026521061"/>
    <s v="Increasing"/>
    <n v="6.763943333062894E-2"/>
    <n v="0.1043111029271564"/>
    <n v="104.81903846450993"/>
    <n v="201.01225886154197"/>
    <n v="0"/>
    <n v="0.6110537122448304"/>
    <n v="0.63140179592117551"/>
    <n v="0.63140179592117551"/>
    <x v="1"/>
  </r>
  <r>
    <s v="Namibia"/>
    <x v="30"/>
    <n v="2167486"/>
    <x v="11"/>
    <n v="0"/>
    <n v="2204510.0000000005"/>
    <n v="0"/>
    <m/>
    <n v="0"/>
    <m/>
    <n v="0"/>
    <m/>
    <n v="0"/>
    <m/>
    <n v="0"/>
    <n v="2405680.5000000005"/>
    <n v="0"/>
    <n v="2157"/>
    <m/>
    <n v="0"/>
    <m/>
    <n v="0"/>
    <m/>
    <n v="0"/>
    <n v="2567012.4999999995"/>
    <n v="0"/>
    <n v="2157"/>
    <n v="0"/>
    <n v="0"/>
    <n v="0"/>
    <n v="0"/>
    <s v=""/>
    <n v="2157"/>
    <s v="2018 (triag)"/>
    <n v="2157"/>
    <s v="2018 (triag)"/>
    <s v=""/>
    <n v="2157"/>
    <n v="2157"/>
    <s v="No change"/>
    <n v="6.763943333062894E-2"/>
    <n v="0.1043111029271564"/>
    <n v="1538.0589521629108"/>
    <n v="2949.5472269683401"/>
    <n v="0"/>
    <n v="8.9662779408986335"/>
    <n v="8.4027639133038914"/>
    <n v="8.4027639133038914"/>
    <x v="1"/>
  </r>
  <r>
    <s v="Namibia"/>
    <x v="30"/>
    <n v="2167487"/>
    <x v="12"/>
    <n v="0"/>
    <n v="2204510.0000000005"/>
    <n v="0"/>
    <m/>
    <n v="0"/>
    <m/>
    <n v="0"/>
    <m/>
    <n v="0"/>
    <m/>
    <n v="0"/>
    <n v="2405680.5000000005"/>
    <n v="0"/>
    <n v="0"/>
    <m/>
    <n v="0"/>
    <m/>
    <n v="0"/>
    <m/>
    <n v="0"/>
    <n v="2567012.4999999995"/>
    <n v="0"/>
    <n v="0"/>
    <n v="0"/>
    <n v="0"/>
    <n v="0"/>
    <n v="0"/>
    <s v=""/>
    <n v="0"/>
    <s v=""/>
    <n v="0"/>
    <s v=""/>
    <s v=""/>
    <n v="0"/>
    <n v="0"/>
    <s v="No change"/>
    <n v="6.763943333062894E-2"/>
    <n v="0.1043111029271564"/>
    <n v="0"/>
    <n v="0"/>
    <n v="0"/>
    <n v="0"/>
    <n v="0"/>
    <n v="0"/>
    <x v="1"/>
  </r>
  <r>
    <s v="Namibia"/>
    <x v="30"/>
    <n v="2167488"/>
    <x v="13"/>
    <n v="0"/>
    <n v="2204510.0000000005"/>
    <n v="0"/>
    <m/>
    <n v="0"/>
    <m/>
    <n v="0"/>
    <m/>
    <n v="0"/>
    <m/>
    <n v="0"/>
    <n v="2405680.5000000005"/>
    <n v="140"/>
    <n v="510"/>
    <m/>
    <n v="0"/>
    <m/>
    <n v="99"/>
    <m/>
    <n v="99"/>
    <n v="2567012.4999999995"/>
    <n v="1065"/>
    <n v="510"/>
    <n v="0"/>
    <n v="140"/>
    <n v="1065"/>
    <n v="0"/>
    <s v=""/>
    <n v="510"/>
    <s v="2018 (triag)"/>
    <n v="1065"/>
    <n v="2022"/>
    <s v=""/>
    <n v="1065"/>
    <n v="1065"/>
    <s v="Increasing"/>
    <n v="6.763943333062894E-2"/>
    <n v="0.1043111029271564"/>
    <n v="363.65788855034054"/>
    <n v="697.38946951963533"/>
    <n v="0"/>
    <n v="2.1199822669718604"/>
    <n v="4.1487916400874569"/>
    <n v="4.1487916400874569"/>
    <x v="1"/>
  </r>
  <r>
    <s v="Namibia"/>
    <x v="30"/>
    <n v="2167489"/>
    <x v="14"/>
    <n v="0"/>
    <n v="2204510.0000000005"/>
    <n v="0"/>
    <m/>
    <n v="0"/>
    <m/>
    <n v="0"/>
    <m/>
    <n v="0"/>
    <m/>
    <n v="0"/>
    <n v="2405680.5000000005"/>
    <n v="52"/>
    <n v="1053"/>
    <m/>
    <n v="53"/>
    <m/>
    <n v="54"/>
    <m/>
    <n v="63"/>
    <n v="2567012.4999999995"/>
    <n v="82"/>
    <n v="1053"/>
    <n v="0"/>
    <n v="53"/>
    <n v="82"/>
    <n v="0"/>
    <s v=""/>
    <n v="1053"/>
    <s v="2018 (triag)"/>
    <n v="82"/>
    <n v="2022"/>
    <s v="Adjust"/>
    <n v="124.21209048361935"/>
    <n v="1053"/>
    <s v="Decreasing"/>
    <n v="6.763943333062894E-2"/>
    <n v="0.1043111029271564"/>
    <n v="750.84658165393842"/>
    <n v="1439.9041400081883"/>
    <n v="0"/>
    <n v="4.3771398571007243"/>
    <n v="0.48387801182744283"/>
    <n v="4.102044692030133"/>
    <x v="0"/>
  </r>
  <r>
    <s v="Namibia"/>
    <x v="30"/>
    <n v="2167490"/>
    <x v="15"/>
    <n v="0"/>
    <n v="2204510.0000000005"/>
    <n v="0"/>
    <m/>
    <n v="0"/>
    <m/>
    <n v="0"/>
    <m/>
    <n v="0"/>
    <m/>
    <n v="0"/>
    <n v="2405680.5000000005"/>
    <n v="118"/>
    <n v="233"/>
    <m/>
    <n v="123"/>
    <m/>
    <n v="134"/>
    <m/>
    <n v="140"/>
    <n v="2567012.4999999995"/>
    <n v="155"/>
    <n v="233"/>
    <n v="0"/>
    <n v="123"/>
    <n v="155"/>
    <n v="0"/>
    <s v=""/>
    <n v="233"/>
    <s v="2018 (triag)"/>
    <n v="155"/>
    <n v="2022"/>
    <s v="Adjust"/>
    <n v="234.79114664586584"/>
    <n v="234.79114664586584"/>
    <s v="Increasing"/>
    <n v="6.763943333062894E-2"/>
    <n v="0.1043111029271564"/>
    <n v="166.14174123966538"/>
    <n v="318.61126744720593"/>
    <n v="0"/>
    <n v="0.96854091804792841"/>
    <n v="0.91464746138114195"/>
    <n v="0.91464746138114195"/>
    <x v="1"/>
  </r>
  <r>
    <s v="Namibia"/>
    <x v="30"/>
    <n v="2167491"/>
    <x v="16"/>
    <n v="0"/>
    <n v="2204510.0000000005"/>
    <n v="0"/>
    <m/>
    <n v="0"/>
    <m/>
    <n v="0"/>
    <m/>
    <n v="0"/>
    <m/>
    <n v="0"/>
    <n v="2405680.5000000005"/>
    <n v="0"/>
    <n v="509"/>
    <m/>
    <n v="0"/>
    <m/>
    <n v="0"/>
    <m/>
    <n v="0"/>
    <n v="2567012.4999999995"/>
    <n v="0"/>
    <n v="509"/>
    <n v="0"/>
    <n v="0"/>
    <n v="0"/>
    <n v="0"/>
    <s v=""/>
    <n v="509"/>
    <s v="2018 (triag)"/>
    <n v="509"/>
    <s v="2018 (triag)"/>
    <s v=""/>
    <n v="509"/>
    <n v="510"/>
    <s v="No change"/>
    <n v="6.763943333062894E-2"/>
    <n v="0.1043111029271564"/>
    <n v="362.94483386690854"/>
    <n v="696.02203918724388"/>
    <n v="0"/>
    <n v="2.115825438997406"/>
    <n v="1.9828497134314698"/>
    <n v="1.9867452924362468"/>
    <x v="1"/>
  </r>
  <r>
    <s v="Namibia"/>
    <x v="30"/>
    <n v="2167492"/>
    <x v="17"/>
    <n v="0"/>
    <n v="2204510.0000000005"/>
    <n v="0"/>
    <m/>
    <n v="0"/>
    <m/>
    <n v="0"/>
    <m/>
    <n v="0"/>
    <m/>
    <n v="0"/>
    <n v="2405680.5000000005"/>
    <n v="0"/>
    <n v="0"/>
    <m/>
    <n v="0"/>
    <m/>
    <n v="0"/>
    <m/>
    <n v="0"/>
    <n v="2567012.4999999995"/>
    <n v="29"/>
    <n v="0"/>
    <n v="0"/>
    <n v="0"/>
    <n v="29"/>
    <n v="0"/>
    <s v=""/>
    <n v="0"/>
    <s v=""/>
    <n v="29"/>
    <n v="2022"/>
    <s v=""/>
    <n v="29"/>
    <n v="29"/>
    <s v="Increasing"/>
    <n v="6.763943333062894E-2"/>
    <n v="0.1043111029271564"/>
    <n v="0"/>
    <n v="0"/>
    <n v="0"/>
    <n v="0"/>
    <n v="0.11297179113853167"/>
    <n v="0.11297179113853167"/>
    <x v="1"/>
  </r>
  <r>
    <s v="Namibia"/>
    <x v="30"/>
    <n v="2167493"/>
    <x v="18"/>
    <n v="0"/>
    <n v="2204510.0000000005"/>
    <n v="0"/>
    <m/>
    <n v="0"/>
    <m/>
    <n v="0"/>
    <m/>
    <n v="0"/>
    <m/>
    <n v="0"/>
    <n v="2405680.5000000005"/>
    <n v="0"/>
    <n v="8"/>
    <m/>
    <n v="0"/>
    <m/>
    <n v="0"/>
    <m/>
    <n v="0"/>
    <n v="2567012.4999999995"/>
    <n v="0"/>
    <n v="8"/>
    <n v="0"/>
    <n v="0"/>
    <n v="0"/>
    <n v="0"/>
    <s v=""/>
    <n v="8"/>
    <s v="2018 (triag)"/>
    <n v="8"/>
    <s v="2018 (triag)"/>
    <s v=""/>
    <n v="8"/>
    <n v="8"/>
    <s v="No change"/>
    <n v="6.763943333062894E-2"/>
    <n v="0.1043111029271564"/>
    <n v="5.7044374674563221"/>
    <n v="10.939442659131535"/>
    <n v="0"/>
    <n v="3.3254623795637026E-2"/>
    <n v="3.1164632038215637E-2"/>
    <n v="3.1164632038215637E-2"/>
    <x v="1"/>
  </r>
  <r>
    <s v="Niger"/>
    <x v="31"/>
    <n v="17954412"/>
    <x v="0"/>
    <n v="0"/>
    <n v="18653199"/>
    <n v="6560"/>
    <m/>
    <n v="0"/>
    <m/>
    <n v="0"/>
    <m/>
    <n v="0"/>
    <m/>
    <n v="0"/>
    <n v="22577057.999999996"/>
    <n v="0"/>
    <n v="55"/>
    <m/>
    <n v="0"/>
    <m/>
    <n v="21429"/>
    <m/>
    <n v="0"/>
    <n v="26207976.5"/>
    <n v="2239"/>
    <n v="55"/>
    <n v="6560"/>
    <n v="0"/>
    <n v="21429"/>
    <n v="6560"/>
    <n v="2013"/>
    <n v="55"/>
    <s v="2018 (triag)"/>
    <n v="2239"/>
    <n v="2022"/>
    <s v=""/>
    <n v="2239"/>
    <n v="2239"/>
    <s v="Increasing"/>
    <n v="7.2635719552709199E-2"/>
    <n v="2.4687803142194653E-2"/>
    <n v="38.250421792587133"/>
    <n v="59.228129804972276"/>
    <n v="3.5168230393081639"/>
    <n v="2.4361012847643838E-2"/>
    <n v="0.85432005786482601"/>
    <n v="0.85432005786482601"/>
    <x v="1"/>
  </r>
  <r>
    <s v="Niger"/>
    <x v="31"/>
    <n v="17954413"/>
    <x v="1"/>
    <n v="0"/>
    <n v="18653199"/>
    <n v="0"/>
    <m/>
    <n v="0"/>
    <m/>
    <n v="0"/>
    <m/>
    <n v="0"/>
    <m/>
    <n v="0"/>
    <n v="22577057.999999996"/>
    <n v="0"/>
    <n v="42"/>
    <m/>
    <n v="0"/>
    <m/>
    <n v="0"/>
    <m/>
    <n v="0"/>
    <n v="26207976.5"/>
    <n v="0"/>
    <n v="42"/>
    <n v="0"/>
    <n v="0"/>
    <n v="0"/>
    <n v="0"/>
    <s v=""/>
    <n v="42"/>
    <s v="2018 (triag)"/>
    <n v="42"/>
    <s v="2018 (triag)"/>
    <s v=""/>
    <n v="42"/>
    <n v="42"/>
    <s v="No change"/>
    <n v="7.2635719552709199E-2"/>
    <n v="2.4687803142194653E-2"/>
    <n v="29.209413005248354"/>
    <n v="45.22875366925156"/>
    <n v="0"/>
    <n v="1.8602955265473477E-2"/>
    <n v="1.6025655395409868E-2"/>
    <n v="1.6025655395409868E-2"/>
    <x v="1"/>
  </r>
  <r>
    <s v="Niger"/>
    <x v="31"/>
    <n v="17954414"/>
    <x v="2"/>
    <n v="0"/>
    <n v="18653199"/>
    <n v="0"/>
    <m/>
    <n v="0"/>
    <m/>
    <n v="0"/>
    <m/>
    <n v="0"/>
    <m/>
    <n v="0"/>
    <n v="22577057.999999996"/>
    <n v="0"/>
    <n v="101"/>
    <m/>
    <n v="0"/>
    <m/>
    <n v="0"/>
    <m/>
    <n v="0"/>
    <n v="26207976.5"/>
    <n v="0"/>
    <n v="101"/>
    <n v="0"/>
    <n v="0"/>
    <n v="0"/>
    <n v="0"/>
    <s v=""/>
    <n v="101"/>
    <s v="2018 (triag)"/>
    <n v="101"/>
    <s v="2018 (triag)"/>
    <s v=""/>
    <n v="101"/>
    <n v="101"/>
    <s v="No change"/>
    <n v="7.2635719552709199E-2"/>
    <n v="2.4687803142194653E-2"/>
    <n v="70.241683655478184"/>
    <n v="108.76438382367637"/>
    <n v="0"/>
    <n v="4.47356781384005E-2"/>
    <n v="3.8537885593723731E-2"/>
    <n v="3.8537885593723731E-2"/>
    <x v="1"/>
  </r>
  <r>
    <s v="Niger"/>
    <x v="31"/>
    <n v="17954415"/>
    <x v="3"/>
    <n v="0"/>
    <n v="18653199"/>
    <n v="0"/>
    <m/>
    <n v="0"/>
    <m/>
    <n v="0"/>
    <m/>
    <n v="0"/>
    <m/>
    <n v="0"/>
    <n v="22577057.999999996"/>
    <n v="95"/>
    <n v="152"/>
    <m/>
    <n v="0"/>
    <m/>
    <n v="0"/>
    <m/>
    <n v="0"/>
    <n v="26207976.5"/>
    <n v="0"/>
    <n v="152"/>
    <n v="0"/>
    <n v="95"/>
    <n v="0"/>
    <n v="0"/>
    <s v=""/>
    <n v="152"/>
    <s v="2018 (triag)"/>
    <n v="152"/>
    <s v="2018 (triag)"/>
    <s v=""/>
    <n v="152"/>
    <n v="152"/>
    <s v="No change"/>
    <n v="7.2635719552709199E-2"/>
    <n v="2.4687803142194653E-2"/>
    <n v="105.71025659042262"/>
    <n v="163.68501327919611"/>
    <n v="0"/>
    <n v="6.7324980960761158E-2"/>
    <n v="5.7997610002435709E-2"/>
    <n v="5.7997610002435709E-2"/>
    <x v="1"/>
  </r>
  <r>
    <s v="Niger"/>
    <x v="31"/>
    <n v="17954416"/>
    <x v="4"/>
    <n v="0"/>
    <n v="18653199"/>
    <n v="0"/>
    <m/>
    <n v="0"/>
    <m/>
    <n v="0"/>
    <m/>
    <n v="0"/>
    <m/>
    <n v="0"/>
    <n v="22577057.999999996"/>
    <n v="0"/>
    <n v="226"/>
    <m/>
    <n v="0"/>
    <m/>
    <n v="0"/>
    <m/>
    <n v="0"/>
    <n v="26207976.5"/>
    <n v="0"/>
    <n v="226"/>
    <n v="0"/>
    <n v="0"/>
    <n v="0"/>
    <n v="0"/>
    <s v=""/>
    <n v="226"/>
    <s v="2018 (triag)"/>
    <n v="226"/>
    <s v="2018 (triag)"/>
    <s v=""/>
    <n v="226"/>
    <n v="226"/>
    <s v="No change"/>
    <n v="7.2635719552709199E-2"/>
    <n v="2.4687803142194653E-2"/>
    <n v="157.17446045681257"/>
    <n v="243.37376974406791"/>
    <n v="0"/>
    <n v="0.10010161642850013"/>
    <n v="8.623328855625309E-2"/>
    <n v="8.623328855625309E-2"/>
    <x v="1"/>
  </r>
  <r>
    <s v="Niger"/>
    <x v="31"/>
    <n v="17954417"/>
    <x v="5"/>
    <n v="0"/>
    <n v="18653199"/>
    <n v="0"/>
    <m/>
    <n v="0"/>
    <m/>
    <n v="0"/>
    <m/>
    <n v="0"/>
    <m/>
    <n v="0"/>
    <n v="22577057.999999996"/>
    <n v="0"/>
    <n v="11"/>
    <m/>
    <n v="0"/>
    <m/>
    <n v="0"/>
    <m/>
    <n v="0"/>
    <n v="26207976.5"/>
    <n v="6"/>
    <n v="11"/>
    <n v="0"/>
    <n v="0"/>
    <n v="6"/>
    <n v="0"/>
    <s v=""/>
    <n v="11"/>
    <s v="2018 (triag)"/>
    <n v="6"/>
    <n v="2022"/>
    <s v="Adjust"/>
    <n v="6.895791865922491"/>
    <n v="11"/>
    <s v="Decreasing"/>
    <n v="7.2635719552709199E-2"/>
    <n v="2.4687803142194653E-2"/>
    <n v="7.6500843585174261"/>
    <n v="11.845625960994456"/>
    <n v="0"/>
    <n v="4.8722025695287679E-3"/>
    <n v="2.6311805743272441E-3"/>
    <n v="4.1971954607025845E-3"/>
    <x v="0"/>
  </r>
  <r>
    <s v="Niger"/>
    <x v="31"/>
    <n v="17954418"/>
    <x v="6"/>
    <n v="0"/>
    <n v="18653199"/>
    <n v="0"/>
    <m/>
    <n v="0"/>
    <m/>
    <n v="0"/>
    <m/>
    <n v="0"/>
    <m/>
    <n v="0"/>
    <n v="22577057.999999996"/>
    <n v="432"/>
    <n v="432"/>
    <m/>
    <n v="0"/>
    <m/>
    <n v="0"/>
    <m/>
    <n v="0"/>
    <n v="26207976.5"/>
    <n v="0"/>
    <n v="191"/>
    <n v="0"/>
    <n v="432"/>
    <n v="0"/>
    <n v="0"/>
    <s v=""/>
    <n v="432"/>
    <n v="2018"/>
    <n v="432"/>
    <n v="2018"/>
    <s v=""/>
    <n v="432"/>
    <n v="432"/>
    <s v="No change"/>
    <n v="7.2635719552709199E-2"/>
    <n v="2.4687803142194653E-2"/>
    <n v="132.83328295243894"/>
    <n v="205.68314168635828"/>
    <n v="0"/>
    <n v="0.19134468273058433"/>
    <n v="0.16483531263850149"/>
    <n v="0.16483531263850149"/>
    <x v="1"/>
  </r>
  <r>
    <s v="Niger"/>
    <x v="31"/>
    <n v="17954419"/>
    <x v="7"/>
    <n v="0"/>
    <n v="18653199"/>
    <n v="0"/>
    <m/>
    <n v="0"/>
    <m/>
    <n v="0"/>
    <m/>
    <n v="0"/>
    <m/>
    <n v="0"/>
    <n v="22577057.999999996"/>
    <n v="439"/>
    <n v="439"/>
    <m/>
    <n v="0"/>
    <m/>
    <n v="0"/>
    <m/>
    <n v="0"/>
    <n v="26207976.5"/>
    <n v="0"/>
    <n v="0"/>
    <n v="0"/>
    <n v="439"/>
    <n v="0"/>
    <n v="0"/>
    <s v=""/>
    <n v="439"/>
    <n v="2018"/>
    <n v="439"/>
    <n v="2018"/>
    <s v=""/>
    <n v="439"/>
    <n v="439"/>
    <s v="No change"/>
    <n v="7.2635719552709199E-2"/>
    <n v="2.4687803142194653E-2"/>
    <n v="0"/>
    <n v="0"/>
    <n v="0"/>
    <n v="0.19444517527482991"/>
    <n v="0.16750625520440313"/>
    <n v="0.16750625520440313"/>
    <x v="1"/>
  </r>
  <r>
    <s v="Niger"/>
    <x v="31"/>
    <n v="17954420"/>
    <x v="8"/>
    <n v="0"/>
    <n v="18653199"/>
    <n v="0"/>
    <m/>
    <n v="0"/>
    <m/>
    <n v="0"/>
    <m/>
    <n v="0"/>
    <m/>
    <n v="0"/>
    <n v="22577057.999999996"/>
    <n v="0"/>
    <n v="82"/>
    <m/>
    <n v="0"/>
    <m/>
    <n v="0"/>
    <m/>
    <n v="0"/>
    <n v="26207976.5"/>
    <n v="0"/>
    <n v="82"/>
    <n v="0"/>
    <n v="0"/>
    <n v="0"/>
    <n v="0"/>
    <s v=""/>
    <n v="82"/>
    <s v="2018 (triag)"/>
    <n v="82"/>
    <s v="2018 (triag)"/>
    <s v=""/>
    <n v="82"/>
    <n v="82"/>
    <s v="No change"/>
    <n v="7.2635719552709199E-2"/>
    <n v="2.4687803142194653E-2"/>
    <n v="57.027901581675358"/>
    <n v="88.303757163776851"/>
    <n v="0"/>
    <n v="3.6320055518305361E-2"/>
    <n v="3.1288184343419262E-2"/>
    <n v="3.1288184343419262E-2"/>
    <x v="1"/>
  </r>
  <r>
    <s v="Niger"/>
    <x v="31"/>
    <n v="17954421"/>
    <x v="9"/>
    <n v="0"/>
    <n v="18653199"/>
    <n v="0"/>
    <m/>
    <n v="0"/>
    <m/>
    <n v="0"/>
    <m/>
    <n v="0"/>
    <m/>
    <n v="0"/>
    <n v="22577057.999999996"/>
    <n v="0"/>
    <n v="22"/>
    <m/>
    <n v="0"/>
    <m/>
    <n v="0"/>
    <m/>
    <n v="0"/>
    <n v="26207976.5"/>
    <n v="0"/>
    <n v="22"/>
    <n v="0"/>
    <n v="0"/>
    <n v="0"/>
    <n v="0"/>
    <s v=""/>
    <n v="22"/>
    <s v="2018 (triag)"/>
    <n v="22"/>
    <s v="2018 (triag)"/>
    <s v=""/>
    <n v="22"/>
    <n v="22"/>
    <s v="No change"/>
    <n v="7.2635719552709199E-2"/>
    <n v="2.4687803142194653E-2"/>
    <n v="15.300168717034852"/>
    <n v="23.691251921988911"/>
    <n v="0"/>
    <n v="9.7444051390575357E-3"/>
    <n v="8.394390921405169E-3"/>
    <n v="8.394390921405169E-3"/>
    <x v="1"/>
  </r>
  <r>
    <s v="Niger"/>
    <x v="31"/>
    <n v="17954422"/>
    <x v="10"/>
    <n v="0"/>
    <n v="18653199"/>
    <n v="0"/>
    <m/>
    <n v="0"/>
    <m/>
    <n v="0"/>
    <m/>
    <n v="0"/>
    <m/>
    <n v="0"/>
    <n v="22577057.999999996"/>
    <n v="0"/>
    <n v="0"/>
    <m/>
    <n v="0"/>
    <m/>
    <n v="0"/>
    <m/>
    <n v="0"/>
    <n v="26207976.5"/>
    <n v="0"/>
    <n v="0"/>
    <n v="0"/>
    <n v="0"/>
    <n v="0"/>
    <n v="0"/>
    <s v=""/>
    <n v="0"/>
    <s v=""/>
    <n v="0"/>
    <s v=""/>
    <s v=""/>
    <n v="0"/>
    <n v="0"/>
    <s v="No change"/>
    <n v="7.2635719552709199E-2"/>
    <n v="2.4687803142194653E-2"/>
    <n v="0"/>
    <n v="0"/>
    <n v="0"/>
    <n v="0"/>
    <n v="0"/>
    <n v="0"/>
    <x v="1"/>
  </r>
  <r>
    <s v="Niger"/>
    <x v="31"/>
    <n v="17954423"/>
    <x v="11"/>
    <n v="0"/>
    <n v="18653199"/>
    <n v="0"/>
    <m/>
    <n v="0"/>
    <m/>
    <n v="0"/>
    <m/>
    <n v="0"/>
    <m/>
    <n v="0"/>
    <n v="22577057.999999996"/>
    <n v="0"/>
    <n v="542"/>
    <m/>
    <n v="0"/>
    <m/>
    <n v="0"/>
    <m/>
    <n v="0"/>
    <n v="26207976.5"/>
    <n v="0"/>
    <n v="542"/>
    <n v="0"/>
    <n v="0"/>
    <n v="0"/>
    <n v="0"/>
    <s v=""/>
    <n v="542"/>
    <s v="2018 (triag)"/>
    <n v="542"/>
    <s v="2018 (triag)"/>
    <s v=""/>
    <n v="542"/>
    <n v="542"/>
    <s v="No change"/>
    <n v="7.2635719552709199E-2"/>
    <n v="2.4687803142194653E-2"/>
    <n v="376.94052021058593"/>
    <n v="583.66629735081767"/>
    <n v="0"/>
    <n v="0.24006670842587199"/>
    <n v="0.20680726724552734"/>
    <n v="0.20680726724552734"/>
    <x v="1"/>
  </r>
  <r>
    <s v="Niger"/>
    <x v="31"/>
    <n v="17954424"/>
    <x v="12"/>
    <n v="0"/>
    <n v="18653199"/>
    <n v="0"/>
    <m/>
    <n v="0"/>
    <m/>
    <n v="0"/>
    <m/>
    <n v="0"/>
    <m/>
    <n v="0"/>
    <n v="22577057.999999996"/>
    <n v="249"/>
    <n v="462"/>
    <m/>
    <n v="0"/>
    <m/>
    <n v="0"/>
    <m/>
    <n v="0"/>
    <n v="26207976.5"/>
    <n v="0"/>
    <n v="462"/>
    <n v="0"/>
    <n v="249"/>
    <n v="0"/>
    <n v="0"/>
    <s v=""/>
    <n v="462"/>
    <s v="2018 (triag)"/>
    <n v="462"/>
    <s v="2018 (triag)"/>
    <s v=""/>
    <n v="462"/>
    <n v="462"/>
    <s v="No change"/>
    <n v="7.2635719552709199E-2"/>
    <n v="2.4687803142194653E-2"/>
    <n v="321.30354305773193"/>
    <n v="497.51629036176712"/>
    <n v="0"/>
    <n v="0.20463250792020823"/>
    <n v="0.17628220934950853"/>
    <n v="0.17628220934950853"/>
    <x v="1"/>
  </r>
  <r>
    <s v="Niger"/>
    <x v="31"/>
    <n v="17954425"/>
    <x v="13"/>
    <n v="0"/>
    <n v="18653199"/>
    <n v="0"/>
    <m/>
    <n v="0"/>
    <m/>
    <n v="0"/>
    <m/>
    <n v="0"/>
    <m/>
    <n v="0"/>
    <n v="22577057.999999996"/>
    <n v="0"/>
    <n v="432"/>
    <m/>
    <n v="0"/>
    <m/>
    <n v="0"/>
    <m/>
    <n v="0"/>
    <n v="26207976.5"/>
    <n v="418"/>
    <n v="432"/>
    <n v="0"/>
    <n v="0"/>
    <n v="418"/>
    <n v="0"/>
    <s v=""/>
    <n v="432"/>
    <s v="2018 (triag)"/>
    <n v="418"/>
    <n v="2022"/>
    <s v="Adjust"/>
    <n v="480.40683332593352"/>
    <n v="480.40683332593352"/>
    <s v="Increasing"/>
    <n v="7.2635719552709199E-2"/>
    <n v="2.4687803142194653E-2"/>
    <n v="300.43967662541166"/>
    <n v="465.21003774087313"/>
    <n v="0"/>
    <n v="0.19134468273058433"/>
    <n v="0.18330558001146463"/>
    <n v="0.18330558001146463"/>
    <x v="1"/>
  </r>
  <r>
    <s v="Niger"/>
    <x v="31"/>
    <n v="17954426"/>
    <x v="14"/>
    <n v="0"/>
    <n v="18653199"/>
    <n v="0"/>
    <m/>
    <n v="0"/>
    <m/>
    <n v="0"/>
    <m/>
    <n v="0"/>
    <m/>
    <n v="0"/>
    <n v="22577057.999999996"/>
    <n v="0"/>
    <n v="598"/>
    <m/>
    <n v="0"/>
    <m/>
    <n v="0"/>
    <m/>
    <n v="0"/>
    <n v="26207976.5"/>
    <n v="1592"/>
    <n v="598"/>
    <n v="0"/>
    <n v="0"/>
    <n v="1592"/>
    <n v="0"/>
    <s v=""/>
    <n v="598"/>
    <s v="2018 (triag)"/>
    <n v="1592"/>
    <n v="2022"/>
    <s v=""/>
    <n v="1592"/>
    <n v="1592"/>
    <s v="Increasing"/>
    <n v="7.2635719552709199E-2"/>
    <n v="2.4687803142194653E-2"/>
    <n v="415.88640421758373"/>
    <n v="643.9713022431531"/>
    <n v="0"/>
    <n v="0.26487064877983663"/>
    <n v="0.60744865213077404"/>
    <n v="0.60744865213077404"/>
    <x v="1"/>
  </r>
  <r>
    <s v="Niger"/>
    <x v="31"/>
    <n v="17954427"/>
    <x v="15"/>
    <n v="0"/>
    <n v="18653199"/>
    <n v="0"/>
    <m/>
    <n v="0"/>
    <m/>
    <n v="0"/>
    <m/>
    <n v="0"/>
    <m/>
    <n v="0"/>
    <n v="22577057.999999996"/>
    <n v="0"/>
    <n v="0"/>
    <m/>
    <n v="0"/>
    <m/>
    <n v="0"/>
    <m/>
    <n v="0"/>
    <n v="26207976.5"/>
    <n v="0"/>
    <n v="0"/>
    <n v="0"/>
    <n v="0"/>
    <n v="0"/>
    <n v="0"/>
    <s v=""/>
    <n v="0"/>
    <s v=""/>
    <n v="0"/>
    <s v=""/>
    <s v=""/>
    <n v="0"/>
    <n v="0"/>
    <s v="No change"/>
    <n v="7.2635719552709199E-2"/>
    <n v="2.4687803142194653E-2"/>
    <n v="0"/>
    <n v="0"/>
    <n v="0"/>
    <n v="0"/>
    <n v="0"/>
    <n v="0"/>
    <x v="1"/>
  </r>
  <r>
    <s v="Niger"/>
    <x v="31"/>
    <n v="17954428"/>
    <x v="16"/>
    <n v="0"/>
    <n v="18653199"/>
    <n v="0"/>
    <m/>
    <n v="0"/>
    <m/>
    <n v="0"/>
    <m/>
    <n v="0"/>
    <m/>
    <n v="0"/>
    <n v="22577057.999999996"/>
    <n v="0"/>
    <n v="0"/>
    <m/>
    <n v="0"/>
    <m/>
    <n v="0"/>
    <m/>
    <n v="0"/>
    <n v="26207976.5"/>
    <n v="0"/>
    <n v="0"/>
    <n v="0"/>
    <n v="0"/>
    <n v="0"/>
    <n v="0"/>
    <s v=""/>
    <n v="0"/>
    <s v=""/>
    <n v="0"/>
    <s v=""/>
    <s v=""/>
    <n v="0"/>
    <n v="0"/>
    <s v="No change"/>
    <n v="7.2635719552709199E-2"/>
    <n v="2.4687803142194653E-2"/>
    <n v="0"/>
    <n v="0"/>
    <n v="0"/>
    <n v="0"/>
    <n v="0"/>
    <n v="0"/>
    <x v="1"/>
  </r>
  <r>
    <s v="Niger"/>
    <x v="31"/>
    <n v="17954429"/>
    <x v="17"/>
    <n v="0"/>
    <n v="18653199"/>
    <n v="0"/>
    <m/>
    <n v="0"/>
    <m/>
    <n v="0"/>
    <m/>
    <n v="0"/>
    <m/>
    <n v="0"/>
    <n v="22577057.999999996"/>
    <n v="0"/>
    <n v="0"/>
    <m/>
    <n v="0"/>
    <m/>
    <n v="0"/>
    <m/>
    <n v="0"/>
    <n v="26207976.5"/>
    <n v="0"/>
    <n v="0"/>
    <n v="0"/>
    <n v="0"/>
    <n v="0"/>
    <n v="0"/>
    <s v=""/>
    <n v="0"/>
    <s v=""/>
    <n v="0"/>
    <s v=""/>
    <s v=""/>
    <n v="0"/>
    <n v="0"/>
    <s v="No change"/>
    <n v="7.2635719552709199E-2"/>
    <n v="2.4687803142194653E-2"/>
    <n v="0"/>
    <n v="0"/>
    <n v="0"/>
    <n v="0"/>
    <n v="0"/>
    <n v="0"/>
    <x v="1"/>
  </r>
  <r>
    <s v="Niger"/>
    <x v="31"/>
    <n v="17954430"/>
    <x v="18"/>
    <n v="0"/>
    <n v="18653199"/>
    <n v="0"/>
    <m/>
    <n v="0"/>
    <m/>
    <n v="0"/>
    <m/>
    <n v="0"/>
    <m/>
    <n v="0"/>
    <n v="22577057.999999996"/>
    <n v="0"/>
    <n v="0"/>
    <m/>
    <n v="0"/>
    <m/>
    <n v="0"/>
    <m/>
    <n v="0"/>
    <n v="26207976.5"/>
    <n v="0"/>
    <n v="0"/>
    <n v="0"/>
    <n v="0"/>
    <n v="0"/>
    <n v="0"/>
    <s v=""/>
    <n v="0"/>
    <s v=""/>
    <n v="0"/>
    <s v=""/>
    <s v=""/>
    <n v="0"/>
    <n v="0"/>
    <s v="No change"/>
    <n v="7.2635719552709199E-2"/>
    <n v="2.4687803142194653E-2"/>
    <n v="0"/>
    <n v="0"/>
    <n v="0"/>
    <n v="0"/>
    <n v="0"/>
    <n v="0"/>
    <x v="1"/>
  </r>
  <r>
    <s v="Nigeria"/>
    <x v="32"/>
    <n v="170075936.5"/>
    <x v="0"/>
    <n v="0"/>
    <n v="174726123.50000006"/>
    <n v="0"/>
    <m/>
    <n v="0"/>
    <m/>
    <n v="0"/>
    <m/>
    <n v="0"/>
    <m/>
    <n v="0"/>
    <n v="198387623.50000006"/>
    <n v="116454"/>
    <n v="116454"/>
    <m/>
    <n v="116454"/>
    <m/>
    <n v="0"/>
    <m/>
    <n v="7912"/>
    <n v="218541211.50000003"/>
    <n v="154477"/>
    <n v="116454"/>
    <n v="0"/>
    <n v="116454"/>
    <n v="154477"/>
    <n v="0"/>
    <s v=""/>
    <n v="116454"/>
    <n v="2018"/>
    <n v="154477"/>
    <n v="2022"/>
    <s v=""/>
    <n v="154477"/>
    <n v="154477"/>
    <s v="Increasing"/>
    <n v="3.0407746470616726E-2"/>
    <n v="4.0299906228893123E-2"/>
    <n v="100028.7468216541"/>
    <n v="131419.70594329564"/>
    <n v="0"/>
    <n v="5.8700234392393922"/>
    <n v="7.0685523769048926"/>
    <n v="7.0685523769048926"/>
    <x v="1"/>
  </r>
  <r>
    <s v="Nigeria"/>
    <x v="32"/>
    <n v="170075937.5"/>
    <x v="1"/>
    <n v="0"/>
    <n v="174726123.50000006"/>
    <n v="0"/>
    <m/>
    <n v="0"/>
    <m/>
    <n v="0"/>
    <m/>
    <n v="44"/>
    <m/>
    <n v="48"/>
    <n v="198387623.50000006"/>
    <n v="7"/>
    <n v="7"/>
    <m/>
    <n v="0"/>
    <m/>
    <n v="71"/>
    <m/>
    <n v="77"/>
    <n v="218541211.50000003"/>
    <n v="0"/>
    <n v="0"/>
    <n v="0"/>
    <n v="48"/>
    <n v="77"/>
    <n v="0"/>
    <s v=""/>
    <n v="7"/>
    <n v="2018"/>
    <n v="77"/>
    <n v="2021"/>
    <s v=""/>
    <n v="77"/>
    <n v="77"/>
    <s v="Increasing"/>
    <n v="3.0407746470616726E-2"/>
    <n v="4.0299906228893123E-2"/>
    <n v="0"/>
    <n v="0"/>
    <n v="0"/>
    <n v="3.5284459163855038E-4"/>
    <n v="3.5233629150079088E-3"/>
    <n v="3.5233629150079088E-3"/>
    <x v="1"/>
  </r>
  <r>
    <s v="Nigeria"/>
    <x v="32"/>
    <n v="170075938.5"/>
    <x v="2"/>
    <n v="0"/>
    <n v="174726123.50000006"/>
    <n v="0"/>
    <m/>
    <n v="0"/>
    <m/>
    <n v="0"/>
    <m/>
    <n v="311"/>
    <m/>
    <n v="0"/>
    <n v="198387623.50000006"/>
    <n v="0"/>
    <n v="14645"/>
    <m/>
    <n v="0"/>
    <m/>
    <n v="0"/>
    <m/>
    <n v="0"/>
    <n v="218541211.50000003"/>
    <n v="0"/>
    <n v="14645"/>
    <n v="0"/>
    <n v="311"/>
    <n v="0"/>
    <n v="0"/>
    <s v=""/>
    <n v="14645"/>
    <s v="2018 (triag)"/>
    <n v="14645"/>
    <s v="2018 (triag)"/>
    <s v=""/>
    <n v="14645"/>
    <n v="14645"/>
    <s v="No change"/>
    <n v="3.0407746470616726E-2"/>
    <n v="4.0299906228893123E-2"/>
    <n v="12579.396132405278"/>
    <n v="16527.054403795188"/>
    <n v="0"/>
    <n v="0.73820129207808149"/>
    <n v="0.6701253232505302"/>
    <n v="0.6701253232505302"/>
    <x v="1"/>
  </r>
  <r>
    <s v="Nigeria"/>
    <x v="32"/>
    <n v="170075939.5"/>
    <x v="3"/>
    <n v="0"/>
    <n v="174726123.50000006"/>
    <n v="0"/>
    <m/>
    <n v="0"/>
    <m/>
    <n v="0"/>
    <m/>
    <n v="0"/>
    <m/>
    <n v="0"/>
    <n v="198387623.50000006"/>
    <n v="0"/>
    <n v="0"/>
    <m/>
    <n v="0"/>
    <m/>
    <n v="0"/>
    <m/>
    <n v="0"/>
    <n v="218541211.50000003"/>
    <n v="0"/>
    <n v="0"/>
    <n v="0"/>
    <n v="0"/>
    <n v="0"/>
    <n v="0"/>
    <s v=""/>
    <n v="0"/>
    <s v=""/>
    <n v="0"/>
    <s v=""/>
    <s v=""/>
    <n v="0"/>
    <n v="0"/>
    <s v="No change"/>
    <n v="3.0407746470616726E-2"/>
    <n v="4.0299906228893123E-2"/>
    <n v="0"/>
    <n v="0"/>
    <n v="0"/>
    <n v="0"/>
    <n v="0"/>
    <n v="0"/>
    <x v="1"/>
  </r>
  <r>
    <s v="Nigeria"/>
    <x v="32"/>
    <n v="170075940.5"/>
    <x v="4"/>
    <n v="0"/>
    <n v="174726123.50000006"/>
    <n v="0"/>
    <m/>
    <n v="0"/>
    <m/>
    <n v="0"/>
    <m/>
    <n v="0"/>
    <m/>
    <n v="0"/>
    <n v="198387623.50000006"/>
    <n v="0"/>
    <n v="0"/>
    <m/>
    <n v="0"/>
    <m/>
    <n v="0"/>
    <m/>
    <n v="0"/>
    <n v="218541211.50000003"/>
    <n v="0"/>
    <n v="0"/>
    <n v="0"/>
    <n v="0"/>
    <n v="0"/>
    <n v="0"/>
    <s v=""/>
    <n v="0"/>
    <s v=""/>
    <n v="0"/>
    <s v=""/>
    <s v=""/>
    <n v="0"/>
    <n v="0"/>
    <s v="No change"/>
    <n v="3.0407746470616726E-2"/>
    <n v="4.0299906228893123E-2"/>
    <n v="0"/>
    <n v="0"/>
    <n v="0"/>
    <n v="0"/>
    <n v="0"/>
    <n v="0"/>
    <x v="1"/>
  </r>
  <r>
    <s v="Nigeria"/>
    <x v="32"/>
    <n v="170075941.5"/>
    <x v="5"/>
    <n v="0"/>
    <n v="174726123.50000006"/>
    <n v="0"/>
    <m/>
    <n v="0"/>
    <m/>
    <n v="0"/>
    <m/>
    <n v="0"/>
    <m/>
    <n v="0"/>
    <n v="198387623.50000006"/>
    <n v="6165"/>
    <n v="6165"/>
    <m/>
    <n v="7"/>
    <m/>
    <n v="0"/>
    <m/>
    <n v="48589"/>
    <n v="218541211.50000003"/>
    <n v="280"/>
    <n v="0"/>
    <n v="0"/>
    <n v="6165"/>
    <n v="48589"/>
    <n v="0"/>
    <s v=""/>
    <n v="6165"/>
    <n v="2018"/>
    <n v="280"/>
    <n v="2022"/>
    <s v="Adjust"/>
    <n v="321.80362040971625"/>
    <n v="6165"/>
    <s v="Decreasing"/>
    <n v="3.0407746470616726E-2"/>
    <n v="4.0299906228893123E-2"/>
    <n v="0"/>
    <n v="0"/>
    <n v="0"/>
    <n v="0.3107552724930947"/>
    <n v="1.4725077169699693E-2"/>
    <n v="0.28209782300030856"/>
    <x v="0"/>
  </r>
  <r>
    <s v="Nigeria"/>
    <x v="32"/>
    <n v="170075942.5"/>
    <x v="6"/>
    <n v="0"/>
    <n v="174726123.50000006"/>
    <n v="0"/>
    <m/>
    <n v="0"/>
    <m/>
    <n v="0"/>
    <m/>
    <n v="0"/>
    <m/>
    <n v="0"/>
    <n v="198387623.50000006"/>
    <n v="26677"/>
    <n v="26677"/>
    <m/>
    <n v="26677"/>
    <m/>
    <n v="0"/>
    <m/>
    <n v="37181"/>
    <n v="218541211.50000003"/>
    <n v="36833"/>
    <n v="0"/>
    <n v="0"/>
    <n v="26677"/>
    <n v="37181"/>
    <n v="0"/>
    <s v=""/>
    <n v="26677"/>
    <n v="2018"/>
    <n v="36833"/>
    <n v="2022"/>
    <s v=""/>
    <n v="36833"/>
    <n v="36833"/>
    <s v="Increasing"/>
    <n v="3.0407746470616726E-2"/>
    <n v="4.0299906228893123E-2"/>
    <n v="0"/>
    <n v="0"/>
    <n v="0"/>
    <n v="1.3446907387345155"/>
    <n v="1.6854029382920299"/>
    <n v="1.6854029382920299"/>
    <x v="1"/>
  </r>
  <r>
    <s v="Nigeria"/>
    <x v="32"/>
    <n v="170075943.5"/>
    <x v="7"/>
    <n v="0"/>
    <n v="174726123.50000006"/>
    <n v="0"/>
    <m/>
    <n v="0"/>
    <m/>
    <n v="0"/>
    <m/>
    <n v="0"/>
    <m/>
    <n v="0"/>
    <n v="198387623.50000006"/>
    <n v="0"/>
    <n v="0"/>
    <m/>
    <n v="0"/>
    <m/>
    <n v="0"/>
    <m/>
    <n v="0"/>
    <n v="218541211.50000003"/>
    <n v="0"/>
    <n v="0"/>
    <n v="0"/>
    <n v="0"/>
    <n v="0"/>
    <n v="0"/>
    <s v=""/>
    <n v="0"/>
    <s v=""/>
    <n v="0"/>
    <s v=""/>
    <s v=""/>
    <n v="0"/>
    <n v="0"/>
    <s v="No change"/>
    <n v="3.0407746470616726E-2"/>
    <n v="4.0299906228893123E-2"/>
    <n v="0"/>
    <n v="0"/>
    <n v="0"/>
    <n v="0"/>
    <n v="0"/>
    <n v="0"/>
    <x v="1"/>
  </r>
  <r>
    <s v="Nigeria"/>
    <x v="32"/>
    <n v="170075944.5"/>
    <x v="8"/>
    <n v="0"/>
    <n v="174726123.50000006"/>
    <n v="0"/>
    <m/>
    <n v="0"/>
    <m/>
    <n v="0"/>
    <m/>
    <n v="0"/>
    <m/>
    <n v="0"/>
    <n v="198387623.50000006"/>
    <n v="2578"/>
    <n v="2648"/>
    <m/>
    <n v="369"/>
    <m/>
    <n v="0"/>
    <m/>
    <n v="0"/>
    <n v="218541211.50000003"/>
    <n v="4262"/>
    <n v="2648"/>
    <n v="0"/>
    <n v="2578"/>
    <n v="4262"/>
    <n v="0"/>
    <s v=""/>
    <n v="2648"/>
    <s v="2018 (triag)"/>
    <n v="4262"/>
    <n v="2022"/>
    <s v=""/>
    <n v="4262"/>
    <n v="4262"/>
    <s v="Increasing"/>
    <n v="3.0407746470616726E-2"/>
    <n v="4.0299906228893123E-2"/>
    <n v="2274.5128684608521"/>
    <n v="2988.2990823659716"/>
    <n v="0"/>
    <n v="0.13347606837984019"/>
    <n v="0.19502042524368451"/>
    <n v="0.19502042524368451"/>
    <x v="1"/>
  </r>
  <r>
    <s v="Nigeria"/>
    <x v="32"/>
    <n v="170075945.5"/>
    <x v="9"/>
    <n v="0"/>
    <n v="174726123.50000006"/>
    <n v="0"/>
    <m/>
    <n v="0"/>
    <m/>
    <n v="0"/>
    <m/>
    <n v="0"/>
    <m/>
    <n v="0"/>
    <n v="198387623.50000006"/>
    <n v="0"/>
    <n v="34393"/>
    <m/>
    <n v="27247"/>
    <m/>
    <n v="0"/>
    <m/>
    <n v="0"/>
    <n v="218541211.50000003"/>
    <n v="0"/>
    <n v="34393"/>
    <n v="0"/>
    <n v="27247"/>
    <n v="0"/>
    <n v="0"/>
    <s v=""/>
    <n v="34393"/>
    <s v="2018 (triag)"/>
    <n v="27247"/>
    <s v="2018 (triag)"/>
    <s v="Adjust"/>
    <n v="31314.940161798353"/>
    <n v="34393"/>
    <s v="Decreasing"/>
    <n v="3.0407746470616726E-2"/>
    <n v="4.0299906228893123E-2"/>
    <n v="29542.039684657884"/>
    <n v="38812.904206877967"/>
    <n v="0"/>
    <n v="1.7336262914606662"/>
    <n v="1.4329077772957413"/>
    <n v="1.5737535160502207"/>
    <x v="1"/>
  </r>
  <r>
    <s v="Nigeria"/>
    <x v="32"/>
    <n v="170075946.5"/>
    <x v="10"/>
    <n v="0"/>
    <n v="174726123.50000006"/>
    <n v="0"/>
    <m/>
    <n v="0"/>
    <m/>
    <n v="0"/>
    <m/>
    <n v="0"/>
    <m/>
    <n v="0"/>
    <n v="198387623.50000006"/>
    <n v="4626"/>
    <n v="5371"/>
    <m/>
    <n v="4429"/>
    <m/>
    <n v="0"/>
    <m/>
    <n v="5485"/>
    <n v="218541211.50000003"/>
    <n v="5632"/>
    <n v="5371"/>
    <n v="0"/>
    <n v="4626"/>
    <n v="5632"/>
    <n v="0"/>
    <s v=""/>
    <n v="5371"/>
    <s v="2018 (triag)"/>
    <n v="5632"/>
    <n v="2022"/>
    <s v=""/>
    <n v="5632"/>
    <n v="5632"/>
    <s v="Increasing"/>
    <n v="3.0407746470616726E-2"/>
    <n v="4.0299906228893123E-2"/>
    <n v="4613.4473627278085"/>
    <n v="6061.2365450859643"/>
    <n v="0"/>
    <n v="0.27073261452723629"/>
    <n v="0.25770883035486419"/>
    <n v="0.25770883035486419"/>
    <x v="1"/>
  </r>
  <r>
    <s v="Nigeria"/>
    <x v="32"/>
    <n v="170075947.5"/>
    <x v="11"/>
    <n v="0"/>
    <n v="174726123.50000006"/>
    <n v="0"/>
    <m/>
    <n v="0"/>
    <m/>
    <n v="0"/>
    <m/>
    <n v="0"/>
    <m/>
    <n v="0"/>
    <n v="198387623.50000006"/>
    <n v="0"/>
    <n v="0"/>
    <m/>
    <n v="0"/>
    <m/>
    <n v="0"/>
    <m/>
    <n v="0"/>
    <n v="218541211.50000003"/>
    <n v="0"/>
    <n v="0"/>
    <n v="0"/>
    <n v="0"/>
    <n v="0"/>
    <n v="0"/>
    <s v=""/>
    <n v="0"/>
    <s v=""/>
    <n v="0"/>
    <s v=""/>
    <s v=""/>
    <n v="0"/>
    <n v="0"/>
    <s v="No change"/>
    <n v="3.0407746470616726E-2"/>
    <n v="4.0299906228893123E-2"/>
    <n v="0"/>
    <n v="0"/>
    <n v="0"/>
    <n v="0"/>
    <n v="0"/>
    <n v="0"/>
    <x v="1"/>
  </r>
  <r>
    <s v="Nigeria"/>
    <x v="32"/>
    <n v="170075948.5"/>
    <x v="12"/>
    <n v="0"/>
    <n v="174726123.50000006"/>
    <n v="0"/>
    <m/>
    <n v="0"/>
    <m/>
    <n v="0"/>
    <m/>
    <n v="0"/>
    <m/>
    <n v="0"/>
    <n v="198387623.50000006"/>
    <n v="0"/>
    <n v="3919"/>
    <m/>
    <n v="0"/>
    <m/>
    <n v="0"/>
    <m/>
    <n v="0"/>
    <n v="218541211.50000003"/>
    <n v="0"/>
    <n v="3919"/>
    <n v="0"/>
    <n v="0"/>
    <n v="0"/>
    <n v="0"/>
    <s v=""/>
    <n v="3919"/>
    <s v="2018 (triag)"/>
    <n v="3919"/>
    <s v="2018 (triag)"/>
    <s v=""/>
    <n v="3919"/>
    <n v="3919"/>
    <s v="No change"/>
    <n v="3.0407746470616726E-2"/>
    <n v="4.0299906228893123E-2"/>
    <n v="3366.2446871216307"/>
    <n v="4422.6375014321156"/>
    <n v="0"/>
    <n v="0.19754256494735412"/>
    <n v="0.17932544498592201"/>
    <n v="0.17932544498592201"/>
    <x v="1"/>
  </r>
  <r>
    <s v="Nigeria"/>
    <x v="32"/>
    <n v="170075949.5"/>
    <x v="13"/>
    <n v="0"/>
    <n v="174726123.50000006"/>
    <n v="0"/>
    <m/>
    <n v="0"/>
    <m/>
    <n v="0"/>
    <m/>
    <n v="0"/>
    <m/>
    <n v="0"/>
    <n v="198387623.50000006"/>
    <n v="29246"/>
    <n v="311269"/>
    <m/>
    <n v="29803"/>
    <m/>
    <n v="0"/>
    <m/>
    <n v="34554"/>
    <n v="218541211.50000003"/>
    <n v="38712"/>
    <n v="311269"/>
    <n v="0"/>
    <n v="29803"/>
    <n v="38712"/>
    <n v="0"/>
    <s v=""/>
    <n v="311269"/>
    <s v="2018 (triag)"/>
    <n v="38712"/>
    <n v="2022"/>
    <s v="Adjust"/>
    <n v="44491.649118931913"/>
    <n v="311269"/>
    <s v="Decreasing"/>
    <n v="3.0407746470616726E-2"/>
    <n v="4.0299906228893123E-2"/>
    <n v="267366.06724053662"/>
    <n v="351270.72019221057"/>
    <n v="0"/>
    <n v="15.689940456391419"/>
    <n v="2.0358470978336234"/>
    <n v="14.243034431059698"/>
    <x v="0"/>
  </r>
  <r>
    <s v="Nigeria"/>
    <x v="32"/>
    <n v="170075950.5"/>
    <x v="14"/>
    <n v="0"/>
    <n v="174726123.50000006"/>
    <n v="0"/>
    <m/>
    <n v="0"/>
    <m/>
    <n v="0"/>
    <m/>
    <n v="0"/>
    <m/>
    <n v="0"/>
    <n v="198387623.50000006"/>
    <n v="0"/>
    <n v="30"/>
    <m/>
    <n v="0"/>
    <m/>
    <n v="0"/>
    <m/>
    <n v="0"/>
    <n v="218541211.50000003"/>
    <n v="0"/>
    <n v="30"/>
    <n v="0"/>
    <n v="0"/>
    <n v="0"/>
    <n v="0"/>
    <s v=""/>
    <n v="30"/>
    <s v="2018 (triag)"/>
    <n v="30"/>
    <s v="2018 (triag)"/>
    <s v=""/>
    <n v="30"/>
    <n v="30"/>
    <s v="No change"/>
    <n v="3.0407746470616726E-2"/>
    <n v="4.0299906228893123E-2"/>
    <n v="25.768650322441676"/>
    <n v="33.855352141608442"/>
    <n v="0"/>
    <n v="1.5121911070223588E-3"/>
    <n v="1.3727387980550293E-3"/>
    <n v="1.3727387980550293E-3"/>
    <x v="1"/>
  </r>
  <r>
    <s v="Nigeria"/>
    <x v="32"/>
    <n v="170075951.5"/>
    <x v="15"/>
    <n v="0"/>
    <n v="174726123.50000006"/>
    <n v="0"/>
    <m/>
    <n v="0"/>
    <m/>
    <n v="0"/>
    <m/>
    <n v="0"/>
    <m/>
    <n v="0"/>
    <n v="198387623.50000006"/>
    <n v="5153"/>
    <n v="15823"/>
    <m/>
    <n v="5089"/>
    <m/>
    <n v="0"/>
    <m/>
    <n v="0"/>
    <n v="218541211.50000003"/>
    <n v="6479"/>
    <n v="15823"/>
    <n v="0"/>
    <n v="5153"/>
    <n v="6479"/>
    <n v="0"/>
    <s v=""/>
    <n v="15823"/>
    <s v="2018 (triag)"/>
    <n v="6479"/>
    <n v="2022"/>
    <s v="Adjust"/>
    <n v="7446.3059165519699"/>
    <n v="15823"/>
    <s v="Decreasing"/>
    <n v="3.0407746470616726E-2"/>
    <n v="4.0299906228893123E-2"/>
    <n v="13591.245135066489"/>
    <n v="17856.441231222347"/>
    <n v="0"/>
    <n v="0.79757999621382603"/>
    <n v="0.34072776779458686"/>
    <n v="0.72402820005415769"/>
    <x v="0"/>
  </r>
  <r>
    <s v="Nigeria"/>
    <x v="32"/>
    <n v="170075952.5"/>
    <x v="16"/>
    <n v="0"/>
    <n v="174726123.50000006"/>
    <n v="68565"/>
    <m/>
    <n v="0"/>
    <m/>
    <n v="0"/>
    <m/>
    <n v="0"/>
    <m/>
    <n v="0"/>
    <n v="198387623.50000006"/>
    <n v="0"/>
    <n v="0"/>
    <m/>
    <n v="0"/>
    <m/>
    <n v="0"/>
    <m/>
    <n v="0"/>
    <n v="218541211.50000003"/>
    <n v="0"/>
    <n v="0"/>
    <n v="68565"/>
    <n v="0"/>
    <n v="0"/>
    <n v="68565"/>
    <n v="2013"/>
    <n v="0"/>
    <s v=""/>
    <n v="0"/>
    <s v=""/>
    <s v=""/>
    <n v="0"/>
    <n v="0"/>
    <s v="No change"/>
    <n v="3.0407746470616726E-2"/>
    <n v="4.0299906228893123E-2"/>
    <n v="0"/>
    <n v="0"/>
    <n v="3.9241413147931468"/>
    <n v="0"/>
    <n v="0"/>
    <n v="0"/>
    <x v="1"/>
  </r>
  <r>
    <s v="Nigeria"/>
    <x v="32"/>
    <n v="170075953.5"/>
    <x v="17"/>
    <n v="0"/>
    <n v="174726123.50000006"/>
    <n v="0"/>
    <m/>
    <n v="0"/>
    <m/>
    <n v="0"/>
    <m/>
    <n v="0"/>
    <m/>
    <n v="0"/>
    <n v="198387623.50000006"/>
    <n v="56"/>
    <n v="56"/>
    <m/>
    <n v="79"/>
    <m/>
    <n v="0"/>
    <m/>
    <n v="0"/>
    <n v="218541211.50000003"/>
    <n v="168"/>
    <n v="0"/>
    <n v="0"/>
    <n v="79"/>
    <n v="168"/>
    <n v="0"/>
    <s v=""/>
    <n v="56"/>
    <n v="2018"/>
    <n v="168"/>
    <n v="2022"/>
    <s v=""/>
    <n v="168"/>
    <n v="168"/>
    <s v="Increasing"/>
    <n v="3.0407746470616726E-2"/>
    <n v="4.0299906228893123E-2"/>
    <n v="0"/>
    <n v="0"/>
    <n v="0"/>
    <n v="2.822756733108403E-3"/>
    <n v="7.6873372691081644E-3"/>
    <n v="7.6873372691081644E-3"/>
    <x v="1"/>
  </r>
  <r>
    <s v="Nigeria"/>
    <x v="32"/>
    <n v="170075954.5"/>
    <x v="18"/>
    <n v="0"/>
    <n v="174726123.50000006"/>
    <n v="262512"/>
    <m/>
    <n v="0"/>
    <m/>
    <n v="0"/>
    <m/>
    <n v="0"/>
    <m/>
    <n v="0"/>
    <n v="198387623.50000006"/>
    <n v="0"/>
    <n v="0"/>
    <m/>
    <n v="32"/>
    <m/>
    <n v="0"/>
    <m/>
    <n v="0"/>
    <n v="218541211.50000003"/>
    <n v="0"/>
    <n v="0"/>
    <n v="262512"/>
    <n v="32"/>
    <n v="0"/>
    <n v="262512"/>
    <n v="2013"/>
    <n v="32"/>
    <n v="2019"/>
    <n v="32"/>
    <n v="2019"/>
    <s v=""/>
    <n v="32"/>
    <n v="32"/>
    <s v="No change"/>
    <n v="3.0407746470616726E-2"/>
    <n v="4.0299906228893123E-2"/>
    <n v="0"/>
    <n v="0"/>
    <n v="15.024198714052046"/>
    <n v="1.6130038474905159E-3"/>
    <n v="1.4642547179253647E-3"/>
    <n v="1.4642547179253647E-3"/>
    <x v="1"/>
  </r>
  <r>
    <s v="Rwanda"/>
    <x v="33"/>
    <n v="10840339"/>
    <x v="0"/>
    <n v="0"/>
    <n v="11101349.499999996"/>
    <n v="0"/>
    <m/>
    <n v="0"/>
    <m/>
    <n v="0"/>
    <m/>
    <n v="0"/>
    <m/>
    <n v="0"/>
    <n v="12531807.499999998"/>
    <n v="45000"/>
    <n v="45000"/>
    <m/>
    <n v="0"/>
    <m/>
    <n v="58567"/>
    <m/>
    <n v="0"/>
    <n v="13776697.499999994"/>
    <n v="0"/>
    <n v="45000"/>
    <n v="0"/>
    <n v="45000"/>
    <n v="58567"/>
    <n v="0"/>
    <s v=""/>
    <n v="45000"/>
    <n v="2018"/>
    <n v="58567"/>
    <n v="2020"/>
    <s v=""/>
    <n v="58567"/>
    <n v="58567"/>
    <s v="Increasing"/>
    <n v="-1.4357349923836749E-2"/>
    <n v="0.17354491154631502"/>
    <n v="48349.178902623345"/>
    <n v="75739.303341807521"/>
    <n v="0"/>
    <n v="35.908626907969982"/>
    <n v="42.511639672715482"/>
    <n v="42.511639672715482"/>
    <x v="1"/>
  </r>
  <r>
    <s v="Rwanda"/>
    <x v="33"/>
    <n v="10840340"/>
    <x v="1"/>
    <n v="0"/>
    <n v="11101349.499999996"/>
    <n v="0"/>
    <m/>
    <n v="0"/>
    <m/>
    <n v="0"/>
    <m/>
    <n v="0"/>
    <m/>
    <n v="0"/>
    <n v="12531807.499999998"/>
    <n v="0"/>
    <n v="0"/>
    <m/>
    <n v="0"/>
    <m/>
    <n v="0"/>
    <m/>
    <n v="207"/>
    <n v="13776697.499999994"/>
    <n v="0"/>
    <n v="0"/>
    <n v="0"/>
    <n v="0"/>
    <n v="207"/>
    <n v="0"/>
    <s v=""/>
    <n v="0"/>
    <s v=""/>
    <n v="207"/>
    <n v="2021"/>
    <s v=""/>
    <n v="207"/>
    <n v="224"/>
    <s v="Increasing"/>
    <n v="-1.4357349923836749E-2"/>
    <n v="0.17354491154631502"/>
    <n v="0"/>
    <n v="0"/>
    <n v="0"/>
    <n v="0"/>
    <n v="0.15025371646579311"/>
    <n v="0.16259339366346695"/>
    <x v="1"/>
  </r>
  <r>
    <s v="Rwanda"/>
    <x v="33"/>
    <n v="10840341"/>
    <x v="2"/>
    <n v="0"/>
    <n v="11101349.499999996"/>
    <n v="0"/>
    <m/>
    <n v="0"/>
    <m/>
    <n v="0"/>
    <m/>
    <n v="0"/>
    <m/>
    <n v="0"/>
    <n v="12531807.499999998"/>
    <n v="0"/>
    <n v="0"/>
    <m/>
    <n v="0"/>
    <m/>
    <n v="0"/>
    <m/>
    <n v="226"/>
    <n v="13776697.499999994"/>
    <n v="0"/>
    <n v="0"/>
    <n v="0"/>
    <n v="0"/>
    <n v="226"/>
    <n v="0"/>
    <s v=""/>
    <n v="0"/>
    <s v=""/>
    <n v="226"/>
    <n v="2021"/>
    <s v=""/>
    <n v="226"/>
    <n v="226"/>
    <s v="Increasing"/>
    <n v="-1.4357349923836749E-2"/>
    <n v="0.17354491154631502"/>
    <n v="0"/>
    <n v="0"/>
    <n v="0"/>
    <n v="0"/>
    <n v="0.16404512039260505"/>
    <n v="0.16404512039260505"/>
    <x v="1"/>
  </r>
  <r>
    <s v="Rwanda"/>
    <x v="33"/>
    <n v="10840342"/>
    <x v="3"/>
    <n v="0"/>
    <n v="11101349.499999996"/>
    <n v="0"/>
    <m/>
    <n v="0"/>
    <m/>
    <n v="0"/>
    <m/>
    <n v="0"/>
    <m/>
    <n v="0"/>
    <n v="12531807.499999998"/>
    <n v="0"/>
    <n v="0"/>
    <m/>
    <n v="0"/>
    <m/>
    <n v="0"/>
    <m/>
    <n v="0"/>
    <n v="13776697.499999994"/>
    <n v="0"/>
    <n v="0"/>
    <n v="0"/>
    <n v="0"/>
    <n v="0"/>
    <n v="0"/>
    <s v=""/>
    <n v="0"/>
    <s v=""/>
    <n v="0"/>
    <s v=""/>
    <s v=""/>
    <n v="0"/>
    <n v="0"/>
    <s v="No change"/>
    <n v="-1.4357349923836749E-2"/>
    <n v="0.17354491154631502"/>
    <n v="0"/>
    <n v="0"/>
    <n v="0"/>
    <n v="0"/>
    <n v="0"/>
    <n v="0"/>
    <x v="1"/>
  </r>
  <r>
    <s v="Rwanda"/>
    <x v="33"/>
    <n v="10840343"/>
    <x v="4"/>
    <n v="0"/>
    <n v="11101349.499999996"/>
    <n v="0"/>
    <m/>
    <n v="0"/>
    <m/>
    <n v="0"/>
    <m/>
    <n v="0"/>
    <m/>
    <n v="0"/>
    <n v="12531807.499999998"/>
    <n v="0"/>
    <n v="0"/>
    <m/>
    <n v="0"/>
    <m/>
    <n v="0"/>
    <m/>
    <n v="0"/>
    <n v="13776697.499999994"/>
    <n v="0"/>
    <n v="0"/>
    <n v="0"/>
    <n v="0"/>
    <n v="0"/>
    <n v="0"/>
    <s v=""/>
    <n v="0"/>
    <s v=""/>
    <n v="0"/>
    <s v=""/>
    <s v=""/>
    <n v="0"/>
    <n v="0"/>
    <s v="No change"/>
    <n v="-1.4357349923836749E-2"/>
    <n v="0.17354491154631502"/>
    <n v="0"/>
    <n v="0"/>
    <n v="0"/>
    <n v="0"/>
    <n v="0"/>
    <n v="0"/>
    <x v="1"/>
  </r>
  <r>
    <s v="Rwanda"/>
    <x v="33"/>
    <n v="10840344"/>
    <x v="5"/>
    <n v="0"/>
    <n v="11101349.499999996"/>
    <n v="0"/>
    <m/>
    <n v="0"/>
    <m/>
    <n v="23"/>
    <m/>
    <n v="0"/>
    <m/>
    <n v="0"/>
    <n v="12531807.499999998"/>
    <n v="0"/>
    <n v="0"/>
    <m/>
    <n v="0"/>
    <m/>
    <n v="0"/>
    <m/>
    <n v="0"/>
    <n v="13776697.499999994"/>
    <n v="0"/>
    <n v="0"/>
    <n v="23"/>
    <n v="0"/>
    <n v="0"/>
    <n v="23"/>
    <n v="2015"/>
    <n v="0"/>
    <s v=""/>
    <n v="0"/>
    <s v=""/>
    <s v=""/>
    <n v="0"/>
    <n v="0"/>
    <s v="No change"/>
    <n v="-1.4357349923836749E-2"/>
    <n v="0.17354491154631502"/>
    <n v="0"/>
    <n v="0"/>
    <n v="2.0718201872664228E-2"/>
    <n v="0"/>
    <n v="0"/>
    <n v="0"/>
    <x v="1"/>
  </r>
  <r>
    <s v="Rwanda"/>
    <x v="33"/>
    <n v="10840345"/>
    <x v="6"/>
    <n v="0"/>
    <n v="11101349.499999996"/>
    <n v="0"/>
    <m/>
    <n v="0"/>
    <m/>
    <n v="0"/>
    <m/>
    <n v="0"/>
    <m/>
    <n v="0"/>
    <n v="12531807.499999998"/>
    <n v="1990"/>
    <n v="1990"/>
    <m/>
    <n v="0"/>
    <m/>
    <n v="0"/>
    <m/>
    <n v="0"/>
    <n v="13776697.499999994"/>
    <n v="0"/>
    <n v="321"/>
    <n v="0"/>
    <n v="1990"/>
    <n v="0"/>
    <n v="0"/>
    <s v=""/>
    <n v="1990"/>
    <n v="2018"/>
    <n v="1990"/>
    <n v="2018"/>
    <s v=""/>
    <n v="1990"/>
    <n v="1990"/>
    <s v="No change"/>
    <n v="-1.4357349923836749E-2"/>
    <n v="0.17354491154631502"/>
    <n v="344.89080950537988"/>
    <n v="540.27369717156034"/>
    <n v="0"/>
    <n v="1.587959278819117"/>
    <n v="1.4444680954924072"/>
    <n v="1.4444680954924072"/>
    <x v="1"/>
  </r>
  <r>
    <s v="Rwanda"/>
    <x v="33"/>
    <n v="10840346"/>
    <x v="7"/>
    <n v="0"/>
    <n v="11101349.499999996"/>
    <n v="0"/>
    <m/>
    <n v="0"/>
    <m/>
    <n v="0"/>
    <m/>
    <n v="0"/>
    <m/>
    <n v="0"/>
    <n v="12531807.499999998"/>
    <n v="0"/>
    <n v="0"/>
    <m/>
    <n v="0"/>
    <m/>
    <n v="0"/>
    <m/>
    <n v="0"/>
    <n v="13776697.499999994"/>
    <n v="0"/>
    <n v="0"/>
    <n v="0"/>
    <n v="0"/>
    <n v="0"/>
    <n v="0"/>
    <s v=""/>
    <n v="0"/>
    <s v=""/>
    <n v="0"/>
    <s v=""/>
    <s v=""/>
    <n v="0"/>
    <n v="0"/>
    <s v="No change"/>
    <n v="-1.4357349923836749E-2"/>
    <n v="0.17354491154631502"/>
    <n v="0"/>
    <n v="0"/>
    <n v="0"/>
    <n v="0"/>
    <n v="0"/>
    <n v="0"/>
    <x v="1"/>
  </r>
  <r>
    <s v="Rwanda"/>
    <x v="33"/>
    <n v="10840347"/>
    <x v="8"/>
    <n v="0"/>
    <n v="11101349.499999996"/>
    <n v="0"/>
    <m/>
    <n v="0"/>
    <m/>
    <n v="116"/>
    <m/>
    <n v="0"/>
    <m/>
    <n v="0"/>
    <n v="12531807.499999998"/>
    <n v="152"/>
    <n v="152"/>
    <m/>
    <n v="0"/>
    <m/>
    <n v="0"/>
    <m/>
    <n v="0"/>
    <n v="13776697.499999994"/>
    <n v="0"/>
    <n v="0"/>
    <n v="116"/>
    <n v="152"/>
    <n v="0"/>
    <n v="116"/>
    <n v="2015"/>
    <n v="152"/>
    <n v="2018"/>
    <n v="152"/>
    <n v="2018"/>
    <s v=""/>
    <n v="152"/>
    <n v="152"/>
    <s v="No change"/>
    <n v="-1.4357349923836749E-2"/>
    <n v="0.17354491154631502"/>
    <n v="0"/>
    <n v="0"/>
    <n v="0.10449180074908915"/>
    <n v="0.12129136200025417"/>
    <n v="0.11033123141449543"/>
    <n v="0.11033123141449543"/>
    <x v="1"/>
  </r>
  <r>
    <s v="Rwanda"/>
    <x v="33"/>
    <n v="10840348"/>
    <x v="9"/>
    <n v="0"/>
    <n v="11101349.499999996"/>
    <n v="0"/>
    <m/>
    <n v="0"/>
    <m/>
    <n v="0"/>
    <m/>
    <n v="0"/>
    <m/>
    <n v="0"/>
    <n v="12531807.499999998"/>
    <n v="0"/>
    <n v="0"/>
    <m/>
    <n v="0"/>
    <m/>
    <n v="0"/>
    <m/>
    <n v="0"/>
    <n v="13776697.499999994"/>
    <n v="0"/>
    <n v="0"/>
    <n v="0"/>
    <n v="0"/>
    <n v="0"/>
    <n v="0"/>
    <s v=""/>
    <n v="0"/>
    <s v=""/>
    <n v="0"/>
    <s v=""/>
    <s v=""/>
    <n v="0"/>
    <n v="0"/>
    <s v="No change"/>
    <n v="-1.4357349923836749E-2"/>
    <n v="0.17354491154631502"/>
    <n v="0"/>
    <n v="0"/>
    <n v="0"/>
    <n v="0"/>
    <n v="0"/>
    <n v="0"/>
    <x v="1"/>
  </r>
  <r>
    <s v="Rwanda"/>
    <x v="33"/>
    <n v="10840349"/>
    <x v="10"/>
    <n v="0"/>
    <n v="11101349.499999996"/>
    <n v="0"/>
    <m/>
    <n v="0"/>
    <m/>
    <n v="0"/>
    <m/>
    <n v="0"/>
    <m/>
    <n v="0"/>
    <n v="12531807.499999998"/>
    <n v="13"/>
    <n v="13"/>
    <m/>
    <n v="0"/>
    <m/>
    <n v="0"/>
    <m/>
    <n v="0"/>
    <n v="13776697.499999994"/>
    <n v="0"/>
    <n v="0"/>
    <n v="0"/>
    <n v="13"/>
    <n v="0"/>
    <n v="0"/>
    <s v=""/>
    <n v="13"/>
    <n v="2018"/>
    <n v="13"/>
    <n v="2018"/>
    <s v=""/>
    <n v="13"/>
    <n v="103"/>
    <s v="No change"/>
    <n v="-1.4357349923836749E-2"/>
    <n v="0.17354491154631502"/>
    <n v="0"/>
    <n v="0"/>
    <n v="0"/>
    <n v="1.0373603328969108E-2"/>
    <n v="9.4362237393976357E-3"/>
    <n v="7.4763926550612037E-2"/>
    <x v="1"/>
  </r>
  <r>
    <s v="Rwanda"/>
    <x v="33"/>
    <n v="10840350"/>
    <x v="11"/>
    <n v="0"/>
    <n v="11101349.499999996"/>
    <n v="0"/>
    <m/>
    <n v="0"/>
    <m/>
    <n v="0"/>
    <m/>
    <n v="0"/>
    <m/>
    <n v="0"/>
    <n v="12531807.499999998"/>
    <n v="0"/>
    <n v="0"/>
    <m/>
    <n v="0"/>
    <m/>
    <n v="0"/>
    <m/>
    <n v="0"/>
    <n v="13776697.499999994"/>
    <n v="0"/>
    <n v="0"/>
    <n v="0"/>
    <n v="0"/>
    <n v="0"/>
    <n v="0"/>
    <s v=""/>
    <n v="0"/>
    <s v=""/>
    <n v="0"/>
    <s v=""/>
    <s v=""/>
    <n v="0"/>
    <n v="0"/>
    <s v="No change"/>
    <n v="-1.4357349923836749E-2"/>
    <n v="0.17354491154631502"/>
    <n v="0"/>
    <n v="0"/>
    <n v="0"/>
    <n v="0"/>
    <n v="0"/>
    <n v="0"/>
    <x v="1"/>
  </r>
  <r>
    <s v="Rwanda"/>
    <x v="33"/>
    <n v="10840351"/>
    <x v="12"/>
    <n v="0"/>
    <n v="11101349.499999996"/>
    <n v="0"/>
    <m/>
    <n v="0"/>
    <m/>
    <n v="0"/>
    <m/>
    <n v="0"/>
    <m/>
    <n v="0"/>
    <n v="12531807.499999998"/>
    <n v="0"/>
    <n v="0"/>
    <m/>
    <n v="0"/>
    <m/>
    <n v="0"/>
    <m/>
    <n v="0"/>
    <n v="13776697.499999994"/>
    <n v="0"/>
    <n v="0"/>
    <n v="0"/>
    <n v="0"/>
    <n v="0"/>
    <n v="0"/>
    <s v=""/>
    <n v="0"/>
    <s v=""/>
    <n v="0"/>
    <s v=""/>
    <s v=""/>
    <n v="0"/>
    <n v="0"/>
    <s v="No change"/>
    <n v="-1.4357349923836749E-2"/>
    <n v="0.17354491154631502"/>
    <n v="0"/>
    <n v="0"/>
    <n v="0"/>
    <n v="0"/>
    <n v="0"/>
    <n v="0"/>
    <x v="1"/>
  </r>
  <r>
    <s v="Rwanda"/>
    <x v="33"/>
    <n v="10840352"/>
    <x v="13"/>
    <n v="0"/>
    <n v="11101349.499999996"/>
    <n v="0"/>
    <m/>
    <n v="0"/>
    <m/>
    <n v="1545"/>
    <m/>
    <n v="0"/>
    <m/>
    <n v="1990"/>
    <n v="12531807.499999998"/>
    <n v="0"/>
    <n v="1990"/>
    <m/>
    <n v="0"/>
    <m/>
    <n v="0"/>
    <m/>
    <n v="0"/>
    <n v="13776697.499999994"/>
    <n v="0"/>
    <n v="1990"/>
    <n v="1545"/>
    <n v="1990"/>
    <n v="0"/>
    <n v="1545"/>
    <n v="2015"/>
    <n v="1990"/>
    <n v="2017"/>
    <n v="1990"/>
    <n v="2017"/>
    <s v=""/>
    <n v="1990"/>
    <n v="1990"/>
    <s v="No change"/>
    <n v="-1.4357349923836749E-2"/>
    <n v="0.17354491154631502"/>
    <n v="2138.1081336937877"/>
    <n v="3349.3603033377103"/>
    <n v="1.3917226910115752"/>
    <n v="1.587959278819117"/>
    <n v="1.4444680954924072"/>
    <n v="1.4444680954924072"/>
    <x v="1"/>
  </r>
  <r>
    <s v="Rwanda"/>
    <x v="33"/>
    <n v="10840353"/>
    <x v="14"/>
    <n v="0"/>
    <n v="11101349.499999996"/>
    <n v="0"/>
    <m/>
    <n v="0"/>
    <m/>
    <n v="0"/>
    <m/>
    <n v="0"/>
    <m/>
    <n v="0"/>
    <n v="12531807.499999998"/>
    <n v="0"/>
    <n v="0"/>
    <m/>
    <n v="0"/>
    <m/>
    <n v="0"/>
    <m/>
    <n v="0"/>
    <n v="13776697.499999994"/>
    <n v="0"/>
    <n v="0"/>
    <n v="0"/>
    <n v="0"/>
    <n v="0"/>
    <n v="0"/>
    <s v=""/>
    <n v="0"/>
    <s v=""/>
    <n v="0"/>
    <s v=""/>
    <s v=""/>
    <n v="0"/>
    <n v="0"/>
    <s v="No change"/>
    <n v="-1.4357349923836749E-2"/>
    <n v="0.17354491154631502"/>
    <n v="0"/>
    <n v="0"/>
    <n v="0"/>
    <n v="0"/>
    <n v="0"/>
    <n v="0"/>
    <x v="1"/>
  </r>
  <r>
    <s v="Rwanda"/>
    <x v="33"/>
    <n v="10840354"/>
    <x v="15"/>
    <n v="0"/>
    <n v="11101349.499999996"/>
    <n v="0"/>
    <m/>
    <n v="0"/>
    <m/>
    <n v="125"/>
    <m/>
    <n v="0"/>
    <m/>
    <n v="182"/>
    <n v="12531807.499999998"/>
    <n v="225"/>
    <n v="225"/>
    <m/>
    <n v="0"/>
    <m/>
    <n v="0"/>
    <m/>
    <n v="0"/>
    <n v="13776697.499999994"/>
    <n v="0"/>
    <n v="182"/>
    <n v="125"/>
    <n v="225"/>
    <n v="0"/>
    <n v="125"/>
    <n v="2015"/>
    <n v="225"/>
    <n v="2018"/>
    <n v="225"/>
    <n v="2018"/>
    <s v=""/>
    <n v="225"/>
    <n v="225"/>
    <s v="No change"/>
    <n v="-1.4357349923836749E-2"/>
    <n v="0.17354491154631502"/>
    <n v="195.54556800616552"/>
    <n v="306.32340462686597"/>
    <n v="0.11259892322100123"/>
    <n v="0.17954313453984994"/>
    <n v="0.16331925702803599"/>
    <n v="0.16331925702803599"/>
    <x v="1"/>
  </r>
  <r>
    <s v="Rwanda"/>
    <x v="33"/>
    <n v="10840355"/>
    <x v="16"/>
    <n v="0"/>
    <n v="11101349.499999996"/>
    <n v="0"/>
    <m/>
    <n v="0"/>
    <m/>
    <n v="886"/>
    <m/>
    <n v="0"/>
    <m/>
    <n v="0"/>
    <n v="12531807.499999998"/>
    <n v="0"/>
    <n v="0"/>
    <m/>
    <n v="0"/>
    <m/>
    <n v="0"/>
    <m/>
    <n v="0"/>
    <n v="13776697.499999994"/>
    <n v="0"/>
    <n v="0"/>
    <n v="886"/>
    <n v="0"/>
    <n v="0"/>
    <n v="886"/>
    <n v="2015"/>
    <n v="0"/>
    <s v=""/>
    <n v="0"/>
    <s v=""/>
    <s v=""/>
    <n v="0"/>
    <n v="0"/>
    <s v="No change"/>
    <n v="-1.4357349923836749E-2"/>
    <n v="0.17354491154631502"/>
    <n v="0"/>
    <n v="0"/>
    <n v="0.7981011677904567"/>
    <n v="0"/>
    <n v="0"/>
    <n v="0"/>
    <x v="1"/>
  </r>
  <r>
    <s v="Rwanda"/>
    <x v="33"/>
    <n v="10840356"/>
    <x v="17"/>
    <n v="0"/>
    <n v="11101349.499999996"/>
    <n v="0"/>
    <m/>
    <n v="0"/>
    <m/>
    <n v="0"/>
    <m/>
    <n v="0"/>
    <m/>
    <n v="0"/>
    <n v="12531807.499999998"/>
    <n v="0"/>
    <n v="0"/>
    <m/>
    <n v="0"/>
    <m/>
    <n v="0"/>
    <m/>
    <n v="0"/>
    <n v="13776697.499999994"/>
    <n v="0"/>
    <n v="0"/>
    <n v="0"/>
    <n v="0"/>
    <n v="0"/>
    <n v="0"/>
    <s v=""/>
    <n v="0"/>
    <s v=""/>
    <n v="0"/>
    <s v=""/>
    <s v=""/>
    <n v="0"/>
    <n v="3"/>
    <s v="No change"/>
    <n v="-1.4357349923836749E-2"/>
    <n v="0.17354491154631502"/>
    <n v="0"/>
    <n v="0"/>
    <n v="0"/>
    <n v="0"/>
    <n v="0"/>
    <n v="2.1775900937071467E-3"/>
    <x v="1"/>
  </r>
  <r>
    <s v="Rwanda"/>
    <x v="33"/>
    <n v="10840357"/>
    <x v="18"/>
    <n v="0"/>
    <n v="11101349.499999996"/>
    <n v="0"/>
    <m/>
    <n v="0"/>
    <m/>
    <n v="0"/>
    <m/>
    <n v="0"/>
    <m/>
    <n v="0"/>
    <n v="12531807.499999998"/>
    <n v="0"/>
    <n v="0"/>
    <m/>
    <n v="0"/>
    <m/>
    <n v="0"/>
    <m/>
    <n v="0"/>
    <n v="13776697.499999994"/>
    <n v="0"/>
    <n v="0"/>
    <n v="0"/>
    <n v="0"/>
    <n v="0"/>
    <n v="0"/>
    <s v=""/>
    <n v="0"/>
    <s v=""/>
    <n v="0"/>
    <s v=""/>
    <s v=""/>
    <n v="0"/>
    <n v="0"/>
    <s v="No change"/>
    <n v="-1.4357349923836749E-2"/>
    <n v="0.17354491154631502"/>
    <n v="0"/>
    <n v="0"/>
    <n v="0"/>
    <n v="0"/>
    <n v="0"/>
    <n v="0"/>
    <x v="1"/>
  </r>
  <r>
    <s v="Senegal"/>
    <x v="34"/>
    <n v="13231838"/>
    <x v="0"/>
    <n v="0"/>
    <n v="13595565.499999993"/>
    <n v="0"/>
    <m/>
    <n v="0"/>
    <m/>
    <n v="770"/>
    <m/>
    <n v="5"/>
    <m/>
    <n v="5"/>
    <n v="15574908.999999998"/>
    <n v="17417"/>
    <n v="17417"/>
    <m/>
    <n v="1116"/>
    <m/>
    <n v="0"/>
    <m/>
    <n v="16443"/>
    <n v="17316449"/>
    <n v="18757"/>
    <n v="17417"/>
    <n v="770"/>
    <n v="17417"/>
    <n v="18757"/>
    <n v="770"/>
    <n v="2015"/>
    <n v="17417"/>
    <n v="2018"/>
    <n v="18757"/>
    <n v="2022"/>
    <s v=""/>
    <n v="18757"/>
    <n v="18757"/>
    <s v="Increasing"/>
    <n v="2.5918907427795013E-2"/>
    <n v="7.7050082831477074E-2"/>
    <n v="15299.990440750918"/>
    <n v="21946.265519138116"/>
    <n v="0.56636114180024388"/>
    <n v="11.182729863782834"/>
    <n v="10.831897463504209"/>
    <n v="10.831897463504209"/>
    <x v="1"/>
  </r>
  <r>
    <s v="Senegal"/>
    <x v="34"/>
    <n v="13231839"/>
    <x v="1"/>
    <n v="0"/>
    <n v="13595565.499999993"/>
    <n v="0"/>
    <m/>
    <n v="0"/>
    <m/>
    <n v="0"/>
    <m/>
    <n v="0"/>
    <m/>
    <n v="0"/>
    <n v="15574908.999999998"/>
    <n v="0"/>
    <n v="4"/>
    <m/>
    <n v="0"/>
    <m/>
    <n v="0"/>
    <m/>
    <n v="0"/>
    <n v="17316449"/>
    <n v="0"/>
    <n v="4"/>
    <n v="0"/>
    <n v="0"/>
    <n v="0"/>
    <n v="0"/>
    <s v=""/>
    <n v="4"/>
    <s v="2018 (triag)"/>
    <n v="4"/>
    <s v="2018 (triag)"/>
    <s v=""/>
    <n v="4"/>
    <n v="4"/>
    <s v="No change"/>
    <n v="2.5918907427795013E-2"/>
    <n v="7.7050082831477074E-2"/>
    <n v="3.5138061527819757"/>
    <n v="5.0401941824971273"/>
    <n v="0"/>
    <n v="2.5682333039634456E-3"/>
    <n v="2.3099424137131117E-3"/>
    <n v="2.3099424137131117E-3"/>
    <x v="1"/>
  </r>
  <r>
    <s v="Senegal"/>
    <x v="34"/>
    <n v="13231840"/>
    <x v="2"/>
    <n v="0"/>
    <n v="13595565.499999993"/>
    <n v="0"/>
    <m/>
    <n v="3518"/>
    <m/>
    <n v="0"/>
    <m/>
    <n v="0"/>
    <m/>
    <n v="0"/>
    <n v="15574908.999999998"/>
    <n v="1925"/>
    <n v="1925"/>
    <m/>
    <n v="0"/>
    <m/>
    <n v="2494"/>
    <m/>
    <n v="0"/>
    <n v="17316449"/>
    <n v="0"/>
    <n v="573"/>
    <n v="3518"/>
    <n v="1925"/>
    <n v="2494"/>
    <n v="3518"/>
    <n v="2014"/>
    <n v="1925"/>
    <n v="2018"/>
    <n v="2494"/>
    <n v="2020"/>
    <s v=""/>
    <n v="2494"/>
    <n v="2494"/>
    <s v="Increasing"/>
    <n v="2.5918907427795013E-2"/>
    <n v="7.7050082831477074E-2"/>
    <n v="503.35273138601804"/>
    <n v="722.00781664271346"/>
    <n v="2.5876084374717636"/>
    <n v="1.2359622775324082"/>
    <n v="1.4402490949501252"/>
    <n v="1.4402490949501252"/>
    <x v="1"/>
  </r>
  <r>
    <s v="Senegal"/>
    <x v="34"/>
    <n v="13231841"/>
    <x v="3"/>
    <n v="0"/>
    <n v="13595565.499999993"/>
    <n v="0"/>
    <m/>
    <n v="0"/>
    <m/>
    <n v="0"/>
    <m/>
    <n v="0"/>
    <m/>
    <n v="0"/>
    <n v="15574908.999999998"/>
    <n v="0"/>
    <n v="1670"/>
    <m/>
    <n v="15422"/>
    <m/>
    <n v="0"/>
    <m/>
    <n v="949"/>
    <n v="17316449"/>
    <n v="3378"/>
    <n v="1670"/>
    <n v="0"/>
    <n v="15422"/>
    <n v="3378"/>
    <n v="0"/>
    <s v=""/>
    <n v="1670"/>
    <s v="2018 (triag)"/>
    <n v="3378"/>
    <n v="2022"/>
    <s v=""/>
    <n v="3378"/>
    <n v="3378"/>
    <s v="Increasing"/>
    <n v="2.5918907427795013E-2"/>
    <n v="7.7050082831477074E-2"/>
    <n v="1467.0140687864748"/>
    <n v="2104.2810711925508"/>
    <n v="0"/>
    <n v="1.0722374044047385"/>
    <n v="1.9507463683807229"/>
    <n v="1.9507463683807229"/>
    <x v="1"/>
  </r>
  <r>
    <s v="Senegal"/>
    <x v="34"/>
    <n v="13231842"/>
    <x v="4"/>
    <n v="0"/>
    <n v="13595565.499999993"/>
    <n v="0"/>
    <m/>
    <n v="0"/>
    <m/>
    <n v="0"/>
    <m/>
    <n v="0"/>
    <m/>
    <n v="0"/>
    <n v="15574908.999999998"/>
    <n v="0"/>
    <n v="135"/>
    <m/>
    <n v="686"/>
    <m/>
    <n v="27"/>
    <m/>
    <n v="188"/>
    <n v="17316449"/>
    <n v="0"/>
    <n v="135"/>
    <n v="0"/>
    <n v="686"/>
    <n v="188"/>
    <n v="0"/>
    <s v=""/>
    <n v="135"/>
    <s v="2018 (triag)"/>
    <n v="188"/>
    <n v="2021"/>
    <s v=""/>
    <n v="188"/>
    <n v="188"/>
    <s v="Increasing"/>
    <n v="2.5918907427795013E-2"/>
    <n v="7.7050082831477074E-2"/>
    <n v="118.59095765639168"/>
    <n v="170.10655365927803"/>
    <n v="0"/>
    <n v="8.6677874008766295E-2"/>
    <n v="0.10856729344451625"/>
    <n v="0.10856729344451625"/>
    <x v="1"/>
  </r>
  <r>
    <s v="Senegal"/>
    <x v="34"/>
    <n v="13231843"/>
    <x v="5"/>
    <n v="0"/>
    <n v="13595565.499999993"/>
    <n v="0"/>
    <m/>
    <n v="0"/>
    <m/>
    <n v="0"/>
    <m/>
    <n v="57"/>
    <m/>
    <n v="0"/>
    <n v="15574908.999999998"/>
    <n v="0"/>
    <n v="100"/>
    <m/>
    <n v="22"/>
    <m/>
    <n v="13"/>
    <m/>
    <n v="98"/>
    <n v="17316449"/>
    <n v="15"/>
    <n v="100"/>
    <n v="0"/>
    <n v="57"/>
    <n v="98"/>
    <n v="0"/>
    <s v=""/>
    <n v="100"/>
    <s v="2018 (triag)"/>
    <n v="15"/>
    <n v="2022"/>
    <s v="Adjust"/>
    <n v="17.556185826093202"/>
    <n v="100"/>
    <s v="Decreasing"/>
    <n v="2.5918907427795013E-2"/>
    <n v="7.7050082831477074E-2"/>
    <n v="87.845153819549395"/>
    <n v="126.00485456242818"/>
    <n v="0"/>
    <n v="6.4205832599086146E-2"/>
    <n v="1.0138444565680414E-2"/>
    <n v="5.7748560342827791E-2"/>
    <x v="0"/>
  </r>
  <r>
    <s v="Senegal"/>
    <x v="34"/>
    <n v="13231844"/>
    <x v="6"/>
    <n v="0"/>
    <n v="13595565.499999993"/>
    <n v="0"/>
    <m/>
    <n v="0"/>
    <m/>
    <n v="0"/>
    <m/>
    <n v="0"/>
    <m/>
    <n v="37"/>
    <n v="15574908.999999998"/>
    <n v="328"/>
    <n v="1045"/>
    <m/>
    <n v="715"/>
    <m/>
    <n v="101"/>
    <m/>
    <n v="434"/>
    <n v="17316449"/>
    <n v="0"/>
    <n v="1045"/>
    <n v="0"/>
    <n v="715"/>
    <n v="434"/>
    <n v="0"/>
    <s v=""/>
    <n v="1045"/>
    <s v="2018 (triag)"/>
    <n v="434"/>
    <n v="2021"/>
    <s v="Adjust"/>
    <n v="507.95897656829663"/>
    <n v="1045"/>
    <s v="Decreasing"/>
    <n v="2.5918907427795013E-2"/>
    <n v="7.7050082831477074E-2"/>
    <n v="917.9818574142912"/>
    <n v="1316.7507301773744"/>
    <n v="0"/>
    <n v="0.67095095066045018"/>
    <n v="0.2933389961003533"/>
    <n v="0.60347245558255047"/>
    <x v="0"/>
  </r>
  <r>
    <s v="Senegal"/>
    <x v="34"/>
    <n v="13231845"/>
    <x v="7"/>
    <n v="0"/>
    <n v="13595565.499999993"/>
    <n v="0"/>
    <m/>
    <n v="0"/>
    <m/>
    <n v="0"/>
    <m/>
    <n v="0"/>
    <m/>
    <n v="0"/>
    <n v="15574908.999999998"/>
    <n v="0"/>
    <n v="2543"/>
    <m/>
    <n v="2112"/>
    <m/>
    <n v="1482"/>
    <m/>
    <n v="0"/>
    <n v="17316449"/>
    <n v="0"/>
    <n v="2543"/>
    <n v="0"/>
    <n v="2112"/>
    <n v="1482"/>
    <n v="0"/>
    <s v=""/>
    <n v="2543"/>
    <s v="2018 (triag)"/>
    <n v="1482"/>
    <n v="2020"/>
    <s v="Adjust"/>
    <n v="1734.5511596180083"/>
    <n v="2543"/>
    <s v="Decreasing"/>
    <n v="2.5918907427795013E-2"/>
    <n v="7.7050082831477074E-2"/>
    <n v="2233.9022616311408"/>
    <n v="3204.3034515225486"/>
    <n v="0"/>
    <n v="1.6327543229947605"/>
    <n v="1.0016783230892248"/>
    <n v="1.4685458895181107"/>
    <x v="1"/>
  </r>
  <r>
    <s v="Senegal"/>
    <x v="34"/>
    <n v="13231846"/>
    <x v="8"/>
    <n v="0"/>
    <n v="13595565.499999993"/>
    <n v="22"/>
    <m/>
    <n v="0"/>
    <m/>
    <n v="0"/>
    <m/>
    <n v="78"/>
    <m/>
    <n v="0"/>
    <n v="15574908.999999998"/>
    <n v="0"/>
    <n v="542"/>
    <m/>
    <n v="124"/>
    <m/>
    <n v="121"/>
    <m/>
    <n v="123"/>
    <n v="17316449"/>
    <n v="237"/>
    <n v="542"/>
    <n v="22"/>
    <n v="124"/>
    <n v="237"/>
    <n v="22"/>
    <n v="2013"/>
    <n v="542"/>
    <s v="2018 (triag)"/>
    <n v="237"/>
    <n v="2022"/>
    <s v="Adjust"/>
    <n v="277.3877360522726"/>
    <n v="542"/>
    <s v="Decreasing"/>
    <n v="2.5918907427795013E-2"/>
    <n v="7.7050082831477074E-2"/>
    <n v="476.1207337019577"/>
    <n v="682.9463117283608"/>
    <n v="1.6181746908578397E-2"/>
    <n v="0.34799561268704687"/>
    <n v="0.16018742413775053"/>
    <n v="0.31299719705812662"/>
    <x v="0"/>
  </r>
  <r>
    <s v="Senegal"/>
    <x v="34"/>
    <n v="13231847"/>
    <x v="9"/>
    <n v="0"/>
    <n v="13595565.499999993"/>
    <n v="0"/>
    <m/>
    <n v="0"/>
    <m/>
    <n v="0"/>
    <m/>
    <n v="0"/>
    <m/>
    <n v="0"/>
    <n v="15574908.999999998"/>
    <n v="0"/>
    <n v="17"/>
    <m/>
    <n v="123"/>
    <m/>
    <n v="0"/>
    <m/>
    <n v="2"/>
    <n v="17316449"/>
    <n v="0"/>
    <n v="17"/>
    <n v="0"/>
    <n v="123"/>
    <n v="2"/>
    <n v="0"/>
    <s v=""/>
    <n v="17"/>
    <s v="2018 (triag)"/>
    <n v="2"/>
    <n v="2021"/>
    <s v="Adjust"/>
    <n v="2.3408247768124268"/>
    <n v="17"/>
    <s v="Decreasing"/>
    <n v="2.5918907427795013E-2"/>
    <n v="7.7050082831477074E-2"/>
    <n v="14.933676149323396"/>
    <n v="21.420825275612792"/>
    <n v="0"/>
    <n v="1.0914991541844644E-2"/>
    <n v="1.3517926087573883E-3"/>
    <n v="9.8172552582807254E-3"/>
    <x v="0"/>
  </r>
  <r>
    <s v="Senegal"/>
    <x v="34"/>
    <n v="13231848"/>
    <x v="10"/>
    <n v="0"/>
    <n v="13595565.499999993"/>
    <n v="0"/>
    <m/>
    <n v="0"/>
    <m/>
    <n v="0"/>
    <m/>
    <n v="0"/>
    <m/>
    <n v="0"/>
    <n v="15574908.999999998"/>
    <n v="0"/>
    <n v="108"/>
    <m/>
    <n v="1"/>
    <m/>
    <n v="0"/>
    <m/>
    <n v="107"/>
    <n v="17316449"/>
    <n v="0"/>
    <n v="108"/>
    <n v="0"/>
    <n v="1"/>
    <n v="107"/>
    <n v="0"/>
    <s v=""/>
    <n v="108"/>
    <s v="2018 (triag)"/>
    <n v="107"/>
    <n v="2021"/>
    <s v="Adjust"/>
    <n v="125.23412555946484"/>
    <n v="125.23412555946484"/>
    <s v="Increasing"/>
    <n v="2.5918907427795013E-2"/>
    <n v="7.7050082831477074E-2"/>
    <n v="94.872766125113344"/>
    <n v="136.08524292742243"/>
    <n v="0"/>
    <n v="6.9342299207013028E-2"/>
    <n v="7.2320904568520278E-2"/>
    <n v="7.2320904568520278E-2"/>
    <x v="1"/>
  </r>
  <r>
    <s v="Senegal"/>
    <x v="34"/>
    <n v="13231849"/>
    <x v="11"/>
    <n v="0"/>
    <n v="13595565.499999993"/>
    <n v="0"/>
    <m/>
    <n v="0"/>
    <m/>
    <n v="0"/>
    <m/>
    <n v="0"/>
    <m/>
    <n v="0"/>
    <n v="15574908.999999998"/>
    <n v="0"/>
    <n v="5868"/>
    <m/>
    <n v="3647"/>
    <m/>
    <n v="0"/>
    <m/>
    <n v="16"/>
    <n v="17316449"/>
    <n v="0"/>
    <n v="5868"/>
    <n v="0"/>
    <n v="3647"/>
    <n v="16"/>
    <n v="0"/>
    <s v=""/>
    <n v="5868"/>
    <s v="2018 (triag)"/>
    <n v="16"/>
    <n v="2021"/>
    <s v="Adjust"/>
    <n v="18.726598214499415"/>
    <n v="5868"/>
    <s v="Decreasing"/>
    <n v="2.5918907427795013E-2"/>
    <n v="7.7050082831477074E-2"/>
    <n v="5154.7536261311579"/>
    <n v="7393.9648657232856"/>
    <n v="0"/>
    <n v="3.7675982569143747"/>
    <n v="1.0814340870059107E-2"/>
    <n v="3.3886855209171349"/>
    <x v="0"/>
  </r>
  <r>
    <s v="Senegal"/>
    <x v="34"/>
    <n v="13231850"/>
    <x v="12"/>
    <n v="0"/>
    <n v="13595565.499999993"/>
    <n v="0"/>
    <m/>
    <n v="0"/>
    <m/>
    <n v="0"/>
    <m/>
    <n v="0"/>
    <m/>
    <n v="0"/>
    <n v="15574908.999999998"/>
    <n v="0"/>
    <n v="0"/>
    <m/>
    <n v="1722"/>
    <m/>
    <n v="0"/>
    <m/>
    <n v="344"/>
    <n v="17316449"/>
    <n v="0"/>
    <n v="0"/>
    <n v="0"/>
    <n v="1722"/>
    <n v="344"/>
    <n v="0"/>
    <s v=""/>
    <n v="1722"/>
    <n v="2019"/>
    <n v="344"/>
    <n v="2021"/>
    <s v="Adjust"/>
    <n v="402.62186161173742"/>
    <n v="1722"/>
    <s v="Decreasing"/>
    <n v="2.5918907427795013E-2"/>
    <n v="7.7050082831477074E-2"/>
    <n v="0"/>
    <n v="0"/>
    <n v="0"/>
    <n v="1.1056244373562634"/>
    <n v="0.23250832870627078"/>
    <n v="0.99443020910349456"/>
    <x v="0"/>
  </r>
  <r>
    <s v="Senegal"/>
    <x v="34"/>
    <n v="13231851"/>
    <x v="13"/>
    <n v="0"/>
    <n v="13595565.499999993"/>
    <n v="546"/>
    <m/>
    <n v="0"/>
    <m/>
    <n v="0"/>
    <m/>
    <n v="37"/>
    <m/>
    <n v="0"/>
    <n v="15574908.999999998"/>
    <n v="0"/>
    <n v="328"/>
    <m/>
    <n v="0"/>
    <m/>
    <n v="323"/>
    <m/>
    <n v="14"/>
    <n v="17316449"/>
    <n v="252"/>
    <n v="328"/>
    <n v="546"/>
    <n v="37"/>
    <n v="323"/>
    <n v="546"/>
    <n v="2013"/>
    <n v="328"/>
    <s v="2018 (triag)"/>
    <n v="252"/>
    <n v="2022"/>
    <s v="Adjust"/>
    <n v="294.94392187836576"/>
    <n v="328"/>
    <s v="Decreasing"/>
    <n v="2.5918907427795013E-2"/>
    <n v="7.7050082831477074E-2"/>
    <n v="288.132104528122"/>
    <n v="413.29592296476443"/>
    <n v="0.40160153691290024"/>
    <n v="0.21059513092500254"/>
    <n v="0.17032586870343092"/>
    <n v="0.18941527792447516"/>
    <x v="1"/>
  </r>
  <r>
    <s v="Senegal"/>
    <x v="34"/>
    <n v="13231852"/>
    <x v="14"/>
    <n v="0"/>
    <n v="13595565.499999993"/>
    <n v="11"/>
    <m/>
    <n v="0"/>
    <m/>
    <n v="0"/>
    <m/>
    <n v="0"/>
    <m/>
    <n v="0"/>
    <n v="15574908.999999998"/>
    <n v="0"/>
    <n v="505"/>
    <m/>
    <n v="2352"/>
    <m/>
    <n v="662"/>
    <m/>
    <n v="917"/>
    <n v="17316449"/>
    <n v="1083"/>
    <n v="505"/>
    <n v="11"/>
    <n v="2352"/>
    <n v="1083"/>
    <n v="11"/>
    <n v="2013"/>
    <n v="505"/>
    <s v="2018 (triag)"/>
    <n v="1083"/>
    <n v="2022"/>
    <s v=""/>
    <n v="1083"/>
    <n v="1083"/>
    <s v="Increasing"/>
    <n v="2.5918907427795013E-2"/>
    <n v="7.7050082831477074E-2"/>
    <n v="443.61802678872442"/>
    <n v="636.32451554026227"/>
    <n v="8.0908734542891984E-3"/>
    <n v="0.324239454625385"/>
    <n v="0.62541690851282505"/>
    <n v="0.62541690851282505"/>
    <x v="1"/>
  </r>
  <r>
    <s v="Senegal"/>
    <x v="34"/>
    <n v="13231853"/>
    <x v="15"/>
    <n v="0"/>
    <n v="13595565.499999993"/>
    <n v="11"/>
    <m/>
    <n v="0"/>
    <m/>
    <n v="0"/>
    <m/>
    <n v="0"/>
    <m/>
    <n v="0"/>
    <n v="15574908.999999998"/>
    <n v="0"/>
    <n v="0"/>
    <m/>
    <n v="0"/>
    <m/>
    <n v="98"/>
    <m/>
    <n v="0"/>
    <n v="17316449"/>
    <n v="94"/>
    <n v="0"/>
    <n v="11"/>
    <n v="0"/>
    <n v="98"/>
    <n v="11"/>
    <n v="2013"/>
    <n v="0"/>
    <s v=""/>
    <n v="94"/>
    <n v="2022"/>
    <s v=""/>
    <n v="94"/>
    <n v="94"/>
    <s v="Increasing"/>
    <n v="2.5918907427795013E-2"/>
    <n v="7.7050082831477074E-2"/>
    <n v="0"/>
    <n v="0"/>
    <n v="8.0908734542891984E-3"/>
    <n v="0"/>
    <n v="5.4283646722258126E-2"/>
    <n v="5.4283646722258126E-2"/>
    <x v="1"/>
  </r>
  <r>
    <s v="Senegal"/>
    <x v="34"/>
    <n v="13231854"/>
    <x v="16"/>
    <n v="0"/>
    <n v="13595565.499999993"/>
    <n v="0"/>
    <m/>
    <n v="0"/>
    <m/>
    <n v="0"/>
    <m/>
    <n v="0"/>
    <m/>
    <n v="0"/>
    <n v="15574908.999999998"/>
    <n v="0"/>
    <n v="0"/>
    <m/>
    <n v="402"/>
    <m/>
    <n v="491"/>
    <m/>
    <n v="173"/>
    <n v="17316449"/>
    <n v="543"/>
    <n v="0"/>
    <n v="0"/>
    <n v="402"/>
    <n v="543"/>
    <n v="0"/>
    <s v=""/>
    <n v="402"/>
    <n v="2019"/>
    <n v="543"/>
    <n v="2022"/>
    <s v=""/>
    <n v="543"/>
    <n v="543"/>
    <s v="Increasing"/>
    <n v="2.5918907427795013E-2"/>
    <n v="7.7050082831477074E-2"/>
    <n v="0"/>
    <n v="0"/>
    <n v="0"/>
    <n v="0.25810744704832628"/>
    <n v="0.31357468266155492"/>
    <n v="0.31357468266155492"/>
    <x v="1"/>
  </r>
  <r>
    <s v="Senegal"/>
    <x v="34"/>
    <n v="13231855"/>
    <x v="17"/>
    <n v="0"/>
    <n v="13595565.499999993"/>
    <n v="0"/>
    <m/>
    <n v="0"/>
    <m/>
    <n v="0"/>
    <m/>
    <n v="0"/>
    <m/>
    <n v="0"/>
    <n v="15574908.999999998"/>
    <n v="0"/>
    <n v="0"/>
    <m/>
    <n v="2"/>
    <m/>
    <n v="1"/>
    <m/>
    <n v="0"/>
    <n v="17316449"/>
    <n v="0"/>
    <n v="0"/>
    <n v="0"/>
    <n v="2"/>
    <n v="1"/>
    <n v="0"/>
    <s v=""/>
    <n v="2"/>
    <n v="2019"/>
    <n v="1"/>
    <n v="2020"/>
    <s v="Adjust"/>
    <n v="1.1704123884062134"/>
    <n v="2"/>
    <s v="Decreasing"/>
    <n v="2.5918907427795013E-2"/>
    <n v="7.7050082831477074E-2"/>
    <n v="0"/>
    <n v="0"/>
    <n v="0"/>
    <n v="1.2841166519817228E-3"/>
    <n v="6.7589630437869417E-4"/>
    <n v="1.1549712068565558E-3"/>
    <x v="0"/>
  </r>
  <r>
    <s v="Senegal"/>
    <x v="34"/>
    <n v="13231856"/>
    <x v="18"/>
    <n v="0"/>
    <n v="13595565.499999993"/>
    <n v="54"/>
    <m/>
    <n v="0"/>
    <m/>
    <n v="0"/>
    <m/>
    <n v="0"/>
    <m/>
    <n v="0"/>
    <n v="15574908.999999998"/>
    <n v="0"/>
    <n v="0"/>
    <m/>
    <n v="0"/>
    <m/>
    <n v="0"/>
    <m/>
    <n v="0"/>
    <n v="17316449"/>
    <n v="0"/>
    <n v="0"/>
    <n v="54"/>
    <n v="0"/>
    <n v="0"/>
    <n v="54"/>
    <n v="2013"/>
    <n v="0"/>
    <s v=""/>
    <n v="0"/>
    <s v=""/>
    <s v=""/>
    <n v="0"/>
    <n v="0"/>
    <s v="No change"/>
    <n v="2.5918907427795013E-2"/>
    <n v="7.7050082831477074E-2"/>
    <n v="0"/>
    <n v="0"/>
    <n v="3.9718833321056066E-2"/>
    <n v="0"/>
    <n v="0"/>
    <n v="0"/>
    <x v="1"/>
  </r>
  <r>
    <s v="Sierra Leone"/>
    <x v="35"/>
    <n v="6788592.5"/>
    <x v="0"/>
    <n v="0"/>
    <n v="6964858.4999999972"/>
    <n v="0"/>
    <m/>
    <n v="0"/>
    <m/>
    <n v="0"/>
    <m/>
    <n v="14622"/>
    <m/>
    <n v="0"/>
    <n v="7861281"/>
    <n v="0"/>
    <n v="505"/>
    <m/>
    <n v="15000"/>
    <m/>
    <n v="13966"/>
    <m/>
    <n v="0"/>
    <n v="8605718.0000000056"/>
    <n v="0"/>
    <n v="505"/>
    <n v="0"/>
    <n v="15000"/>
    <n v="13966"/>
    <n v="0"/>
    <s v=""/>
    <n v="505"/>
    <s v="2018 (triag)"/>
    <n v="13966"/>
    <n v="2020"/>
    <s v=""/>
    <n v="13966"/>
    <n v="13966"/>
    <s v="Increasing"/>
    <n v="-0.11784850836422744"/>
    <n v="0.29117585098474064"/>
    <n v="910.32435593508387"/>
    <n v="1209.6495665580298"/>
    <n v="0"/>
    <n v="0.64238894399017155"/>
    <n v="16.228744655588287"/>
    <n v="16.228744655588287"/>
    <x v="1"/>
  </r>
  <r>
    <s v="Sierra Leone"/>
    <x v="35"/>
    <n v="6788593.5"/>
    <x v="1"/>
    <n v="0"/>
    <n v="6964858.4999999972"/>
    <n v="0"/>
    <m/>
    <n v="0"/>
    <m/>
    <n v="0"/>
    <m/>
    <n v="0"/>
    <m/>
    <n v="0"/>
    <n v="7861281"/>
    <n v="0"/>
    <n v="103"/>
    <m/>
    <n v="0"/>
    <m/>
    <n v="0"/>
    <m/>
    <n v="120"/>
    <n v="8605718.0000000056"/>
    <n v="120"/>
    <n v="103"/>
    <n v="0"/>
    <n v="0"/>
    <n v="120"/>
    <n v="0"/>
    <s v=""/>
    <n v="103"/>
    <s v="2018 (triag)"/>
    <n v="120"/>
    <n v="2021"/>
    <s v=""/>
    <n v="120"/>
    <n v="120"/>
    <s v="Increasing"/>
    <n v="-0.11784850836422744"/>
    <n v="0.29117585098474064"/>
    <n v="185.67011616101709"/>
    <n v="246.72060466431103"/>
    <n v="0"/>
    <n v="0.13102190342769837"/>
    <n v="0.13944217089149322"/>
    <n v="0.13944217089149322"/>
    <x v="1"/>
  </r>
  <r>
    <s v="Sierra Leone"/>
    <x v="35"/>
    <n v="6788594.5"/>
    <x v="2"/>
    <n v="0"/>
    <n v="6964858.4999999972"/>
    <n v="0"/>
    <m/>
    <n v="0"/>
    <m/>
    <n v="0"/>
    <m/>
    <n v="0"/>
    <m/>
    <n v="0"/>
    <n v="7861281"/>
    <n v="0"/>
    <n v="406"/>
    <m/>
    <n v="0"/>
    <m/>
    <n v="0"/>
    <m/>
    <n v="790"/>
    <n v="8605718.0000000056"/>
    <n v="0"/>
    <n v="406"/>
    <n v="0"/>
    <n v="0"/>
    <n v="790"/>
    <n v="0"/>
    <s v=""/>
    <n v="406"/>
    <s v="2018 (triag)"/>
    <n v="790"/>
    <n v="2021"/>
    <s v=""/>
    <n v="790"/>
    <n v="790"/>
    <s v="Increasing"/>
    <n v="-0.11784850836422744"/>
    <n v="0.29117585098474064"/>
    <n v="731.86472972206741"/>
    <n v="972.51034459912887"/>
    <n v="0"/>
    <n v="0.51645526982180134"/>
    <n v="0.91799429170233038"/>
    <n v="0.91799429170233038"/>
    <x v="1"/>
  </r>
  <r>
    <s v="Sierra Leone"/>
    <x v="35"/>
    <n v="6788595.5"/>
    <x v="3"/>
    <n v="0"/>
    <n v="6964858.4999999972"/>
    <n v="0"/>
    <m/>
    <n v="0"/>
    <m/>
    <n v="0"/>
    <m/>
    <n v="0"/>
    <m/>
    <n v="0"/>
    <n v="7861281"/>
    <n v="0"/>
    <n v="0"/>
    <m/>
    <n v="0"/>
    <m/>
    <n v="2251"/>
    <m/>
    <n v="0"/>
    <n v="8605718.0000000056"/>
    <n v="0"/>
    <n v="0"/>
    <n v="0"/>
    <n v="0"/>
    <n v="2251"/>
    <n v="0"/>
    <s v=""/>
    <n v="0"/>
    <s v=""/>
    <n v="2251"/>
    <n v="2020"/>
    <s v=""/>
    <n v="2251"/>
    <n v="2251"/>
    <s v="Increasing"/>
    <n v="-0.11784850836422744"/>
    <n v="0.29117585098474064"/>
    <n v="0"/>
    <n v="0"/>
    <n v="0"/>
    <n v="0"/>
    <n v="2.6157027223062603"/>
    <n v="2.6157027223062603"/>
    <x v="1"/>
  </r>
  <r>
    <s v="Sierra Leone"/>
    <x v="35"/>
    <n v="6788596.5"/>
    <x v="4"/>
    <n v="0"/>
    <n v="6964858.4999999972"/>
    <n v="0"/>
    <m/>
    <n v="0"/>
    <m/>
    <n v="0"/>
    <m/>
    <n v="0"/>
    <m/>
    <n v="0"/>
    <n v="7861281"/>
    <n v="0"/>
    <n v="0"/>
    <m/>
    <n v="93"/>
    <m/>
    <n v="487"/>
    <m/>
    <n v="0"/>
    <n v="8605718.0000000056"/>
    <n v="0"/>
    <n v="0"/>
    <n v="0"/>
    <n v="93"/>
    <n v="487"/>
    <n v="0"/>
    <s v=""/>
    <n v="93"/>
    <n v="2019"/>
    <n v="487"/>
    <n v="2020"/>
    <s v=""/>
    <n v="487"/>
    <n v="487"/>
    <s v="Increasing"/>
    <n v="-0.11784850836422744"/>
    <n v="0.29117585098474064"/>
    <n v="0"/>
    <n v="0"/>
    <n v="0"/>
    <n v="0.11830133027937813"/>
    <n v="0.56590281020130995"/>
    <n v="0.56590281020130995"/>
    <x v="1"/>
  </r>
  <r>
    <s v="Sierra Leone"/>
    <x v="35"/>
    <n v="6788597.5"/>
    <x v="5"/>
    <n v="0"/>
    <n v="6964858.4999999972"/>
    <n v="0"/>
    <m/>
    <n v="0"/>
    <m/>
    <n v="0"/>
    <m/>
    <n v="0"/>
    <m/>
    <n v="0"/>
    <n v="7861281"/>
    <n v="0"/>
    <n v="128"/>
    <m/>
    <n v="25"/>
    <m/>
    <n v="530"/>
    <m/>
    <n v="0"/>
    <n v="8605718.0000000056"/>
    <n v="13"/>
    <n v="128"/>
    <n v="0"/>
    <n v="25"/>
    <n v="530"/>
    <n v="0"/>
    <s v=""/>
    <n v="128"/>
    <s v="2018 (triag)"/>
    <n v="13"/>
    <n v="2022"/>
    <s v="Adjust"/>
    <n v="14.940882376165398"/>
    <n v="128"/>
    <s v="Decreasing"/>
    <n v="-0.11784850836422744"/>
    <n v="0.29117585098474064"/>
    <n v="230.73567833602124"/>
    <n v="306.60424657312439"/>
    <n v="0"/>
    <n v="0.16282333629849893"/>
    <n v="1.7361575613057956E-2"/>
    <n v="0.14873831561759276"/>
    <x v="0"/>
  </r>
  <r>
    <s v="Sierra Leone"/>
    <x v="35"/>
    <n v="6788598.5"/>
    <x v="6"/>
    <n v="0"/>
    <n v="6964858.4999999972"/>
    <n v="0"/>
    <m/>
    <n v="0"/>
    <m/>
    <n v="0"/>
    <m/>
    <n v="0"/>
    <m/>
    <n v="0"/>
    <n v="7861281"/>
    <n v="311"/>
    <n v="311"/>
    <m/>
    <n v="0"/>
    <m/>
    <n v="114"/>
    <m/>
    <n v="0"/>
    <n v="8605718.0000000056"/>
    <n v="20"/>
    <n v="0"/>
    <n v="0"/>
    <n v="311"/>
    <n v="114"/>
    <n v="0"/>
    <s v=""/>
    <n v="311"/>
    <n v="2018"/>
    <n v="20"/>
    <n v="2022"/>
    <s v="Adjust"/>
    <n v="22.985972886408305"/>
    <n v="311"/>
    <s v="Decreasing"/>
    <n v="-0.11784850836422744"/>
    <n v="0.29117585098474064"/>
    <n v="0"/>
    <n v="0"/>
    <n v="0"/>
    <n v="0.39560982491275914"/>
    <n v="2.6710116327781471E-2"/>
    <n v="0.3613876262271199"/>
    <x v="0"/>
  </r>
  <r>
    <s v="Sierra Leone"/>
    <x v="35"/>
    <n v="6788599.5"/>
    <x v="7"/>
    <n v="0"/>
    <n v="6964858.4999999972"/>
    <n v="0"/>
    <m/>
    <n v="0"/>
    <m/>
    <n v="0"/>
    <m/>
    <n v="0"/>
    <m/>
    <n v="0"/>
    <n v="7861281"/>
    <n v="0"/>
    <n v="0"/>
    <m/>
    <n v="0"/>
    <m/>
    <n v="0"/>
    <m/>
    <n v="0"/>
    <n v="8605718.0000000056"/>
    <n v="0"/>
    <n v="0"/>
    <n v="0"/>
    <n v="0"/>
    <n v="0"/>
    <n v="0"/>
    <s v=""/>
    <n v="0"/>
    <s v=""/>
    <n v="0"/>
    <s v=""/>
    <s v=""/>
    <n v="0"/>
    <n v="0"/>
    <s v="No change"/>
    <n v="-0.11784850836422744"/>
    <n v="0.29117585098474064"/>
    <n v="0"/>
    <n v="0"/>
    <n v="0"/>
    <n v="0"/>
    <n v="0"/>
    <n v="0"/>
    <x v="1"/>
  </r>
  <r>
    <s v="Sierra Leone"/>
    <x v="35"/>
    <n v="6788600.5"/>
    <x v="8"/>
    <n v="0"/>
    <n v="6964858.4999999972"/>
    <n v="0"/>
    <m/>
    <n v="0"/>
    <m/>
    <n v="0"/>
    <m/>
    <n v="0"/>
    <m/>
    <n v="0"/>
    <n v="7861281"/>
    <n v="0"/>
    <n v="22"/>
    <m/>
    <n v="36"/>
    <m/>
    <n v="0"/>
    <m/>
    <n v="0"/>
    <n v="8605718.0000000056"/>
    <n v="50"/>
    <n v="22"/>
    <n v="0"/>
    <n v="36"/>
    <n v="50"/>
    <n v="0"/>
    <s v=""/>
    <n v="22"/>
    <s v="2018 (triag)"/>
    <n v="50"/>
    <n v="2022"/>
    <s v=""/>
    <n v="50"/>
    <n v="50"/>
    <s v="Increasing"/>
    <n v="-0.11784850836422744"/>
    <n v="0.29117585098474064"/>
    <n v="39.657694714003654"/>
    <n v="52.697604879755751"/>
    <n v="0"/>
    <n v="2.7985260926304503E-2"/>
    <n v="5.8100904538122174E-2"/>
    <n v="5.8100904538122174E-2"/>
    <x v="1"/>
  </r>
  <r>
    <s v="Sierra Leone"/>
    <x v="35"/>
    <n v="6788601.5"/>
    <x v="9"/>
    <n v="0"/>
    <n v="6964858.4999999972"/>
    <n v="0"/>
    <m/>
    <n v="0"/>
    <m/>
    <n v="0"/>
    <m/>
    <n v="0"/>
    <m/>
    <n v="0"/>
    <n v="7861281"/>
    <n v="0"/>
    <n v="0"/>
    <m/>
    <n v="64"/>
    <m/>
    <n v="0"/>
    <m/>
    <n v="0"/>
    <n v="8605718.0000000056"/>
    <n v="195"/>
    <n v="0"/>
    <n v="0"/>
    <n v="64"/>
    <n v="195"/>
    <n v="0"/>
    <s v=""/>
    <n v="64"/>
    <n v="2019"/>
    <n v="195"/>
    <n v="2022"/>
    <s v=""/>
    <n v="195"/>
    <n v="195"/>
    <s v="Increasing"/>
    <n v="-0.11784850836422744"/>
    <n v="0.29117585098474064"/>
    <n v="0"/>
    <n v="0"/>
    <n v="0"/>
    <n v="8.1411668149249466E-2"/>
    <n v="0.22659352769867647"/>
    <n v="0.22659352769867647"/>
    <x v="1"/>
  </r>
  <r>
    <s v="Sierra Leone"/>
    <x v="35"/>
    <n v="6788602.5"/>
    <x v="10"/>
    <n v="0"/>
    <n v="6964858.4999999972"/>
    <n v="0"/>
    <m/>
    <n v="0"/>
    <m/>
    <n v="0"/>
    <m/>
    <n v="0"/>
    <m/>
    <n v="0"/>
    <n v="7861281"/>
    <n v="0"/>
    <n v="13"/>
    <m/>
    <n v="15"/>
    <m/>
    <n v="1"/>
    <m/>
    <n v="0"/>
    <n v="8605718.0000000056"/>
    <n v="2"/>
    <n v="13"/>
    <n v="0"/>
    <n v="15"/>
    <n v="2"/>
    <n v="0"/>
    <s v=""/>
    <n v="13"/>
    <s v="2018 (triag)"/>
    <n v="2"/>
    <n v="2022"/>
    <s v="Adjust"/>
    <n v="2.2985972886408303"/>
    <n v="13"/>
    <s v="Decreasing"/>
    <n v="-0.11784850836422744"/>
    <n v="0.29117585098474064"/>
    <n v="23.434092331002159"/>
    <n v="31.139493792582947"/>
    <n v="0"/>
    <n v="1.6536745092816298E-2"/>
    <n v="2.6710116327781472E-3"/>
    <n v="1.5106235179911765E-2"/>
    <x v="0"/>
  </r>
  <r>
    <s v="Sierra Leone"/>
    <x v="35"/>
    <n v="6788603.5"/>
    <x v="11"/>
    <n v="0"/>
    <n v="6964858.4999999972"/>
    <n v="0"/>
    <m/>
    <n v="0"/>
    <m/>
    <n v="0"/>
    <m/>
    <n v="0"/>
    <m/>
    <n v="0"/>
    <n v="7861281"/>
    <n v="0"/>
    <n v="0"/>
    <m/>
    <n v="0"/>
    <m/>
    <n v="0"/>
    <m/>
    <n v="0"/>
    <n v="8605718.0000000056"/>
    <n v="0"/>
    <n v="0"/>
    <n v="0"/>
    <n v="0"/>
    <n v="0"/>
    <n v="0"/>
    <s v=""/>
    <n v="0"/>
    <s v=""/>
    <n v="0"/>
    <s v=""/>
    <s v=""/>
    <n v="0"/>
    <n v="0"/>
    <s v="No change"/>
    <n v="-0.11784850836422744"/>
    <n v="0.29117585098474064"/>
    <n v="0"/>
    <n v="0"/>
    <n v="0"/>
    <n v="0"/>
    <n v="0"/>
    <n v="0"/>
    <x v="1"/>
  </r>
  <r>
    <s v="Sierra Leone"/>
    <x v="35"/>
    <n v="6788604.5"/>
    <x v="12"/>
    <n v="0"/>
    <n v="6964858.4999999972"/>
    <n v="0"/>
    <m/>
    <n v="0"/>
    <m/>
    <n v="0"/>
    <m/>
    <n v="0"/>
    <m/>
    <n v="0"/>
    <n v="7861281"/>
    <n v="0"/>
    <n v="0"/>
    <m/>
    <n v="0"/>
    <m/>
    <n v="0"/>
    <m/>
    <n v="0"/>
    <n v="8605718.0000000056"/>
    <n v="0"/>
    <n v="0"/>
    <n v="0"/>
    <n v="0"/>
    <n v="0"/>
    <n v="0"/>
    <s v=""/>
    <n v="0"/>
    <s v=""/>
    <n v="0"/>
    <s v=""/>
    <s v=""/>
    <n v="0"/>
    <n v="0"/>
    <s v="No change"/>
    <n v="-0.11784850836422744"/>
    <n v="0.29117585098474064"/>
    <n v="0"/>
    <n v="0"/>
    <n v="0"/>
    <n v="0"/>
    <n v="0"/>
    <n v="0"/>
    <x v="1"/>
  </r>
  <r>
    <s v="Sierra Leone"/>
    <x v="35"/>
    <n v="6788605.5"/>
    <x v="13"/>
    <n v="0"/>
    <n v="6964858.4999999972"/>
    <n v="0"/>
    <m/>
    <n v="0"/>
    <m/>
    <n v="0"/>
    <m/>
    <n v="0"/>
    <m/>
    <n v="0"/>
    <n v="7861281"/>
    <n v="0"/>
    <n v="311"/>
    <m/>
    <n v="342"/>
    <m/>
    <n v="0"/>
    <m/>
    <n v="0"/>
    <n v="8605718.0000000056"/>
    <n v="298"/>
    <n v="311"/>
    <n v="0"/>
    <n v="342"/>
    <n v="298"/>
    <n v="0"/>
    <s v=""/>
    <n v="311"/>
    <s v="2018 (triag)"/>
    <n v="298"/>
    <n v="2022"/>
    <s v="Adjust"/>
    <n v="342.49099600748372"/>
    <n v="342.49099600748372"/>
    <s v="Increasing"/>
    <n v="-0.11784850836422744"/>
    <n v="0.29117585098474064"/>
    <n v="560.61559345705166"/>
    <n v="744.9525053456382"/>
    <n v="0"/>
    <n v="0.39560982491275914"/>
    <n v="0.3979807332839439"/>
    <n v="0.3979807332839439"/>
    <x v="1"/>
  </r>
  <r>
    <s v="Sierra Leone"/>
    <x v="35"/>
    <n v="6788606.5"/>
    <x v="14"/>
    <n v="0"/>
    <n v="6964858.4999999972"/>
    <n v="0"/>
    <m/>
    <n v="0"/>
    <m/>
    <n v="0"/>
    <m/>
    <n v="0"/>
    <m/>
    <n v="0"/>
    <n v="7861281"/>
    <n v="0"/>
    <n v="0"/>
    <m/>
    <n v="319"/>
    <m/>
    <n v="650"/>
    <m/>
    <n v="0"/>
    <n v="8605718.0000000056"/>
    <n v="0"/>
    <n v="0"/>
    <n v="0"/>
    <n v="319"/>
    <n v="650"/>
    <n v="0"/>
    <s v=""/>
    <n v="319"/>
    <n v="2019"/>
    <n v="650"/>
    <n v="2020"/>
    <s v=""/>
    <n v="650"/>
    <n v="650"/>
    <s v="Increasing"/>
    <n v="-0.11784850836422744"/>
    <n v="0.29117585098474064"/>
    <n v="0"/>
    <n v="0"/>
    <n v="0"/>
    <n v="0.40578628343141532"/>
    <n v="0.75531175899558822"/>
    <n v="0.75531175899558822"/>
    <x v="1"/>
  </r>
  <r>
    <s v="Sierra Leone"/>
    <x v="35"/>
    <n v="6788607.5"/>
    <x v="15"/>
    <n v="0"/>
    <n v="6964858.4999999972"/>
    <n v="0"/>
    <m/>
    <n v="0"/>
    <m/>
    <n v="0"/>
    <m/>
    <n v="0"/>
    <m/>
    <n v="0"/>
    <n v="7861281"/>
    <n v="0"/>
    <n v="13"/>
    <m/>
    <n v="8"/>
    <m/>
    <n v="6"/>
    <m/>
    <n v="0"/>
    <n v="8605718.0000000056"/>
    <n v="6"/>
    <n v="13"/>
    <n v="0"/>
    <n v="8"/>
    <n v="6"/>
    <n v="0"/>
    <s v=""/>
    <n v="13"/>
    <s v="2018 (triag)"/>
    <n v="6"/>
    <n v="2020"/>
    <s v="Adjust"/>
    <n v="6.895791865922491"/>
    <n v="13"/>
    <s v="Decreasing"/>
    <n v="-0.11784850836422744"/>
    <n v="0.29117585098474064"/>
    <n v="23.434092331002159"/>
    <n v="31.139493792582947"/>
    <n v="0"/>
    <n v="1.6536745092816298E-2"/>
    <n v="8.013034898334442E-3"/>
    <n v="1.5106235179911765E-2"/>
    <x v="0"/>
  </r>
  <r>
    <s v="Sierra Leone"/>
    <x v="35"/>
    <n v="6788608.5"/>
    <x v="16"/>
    <n v="0"/>
    <n v="6964858.4999999972"/>
    <n v="0"/>
    <m/>
    <n v="1511"/>
    <m/>
    <n v="0"/>
    <m/>
    <n v="0"/>
    <m/>
    <n v="0"/>
    <n v="7861281"/>
    <n v="0"/>
    <n v="0"/>
    <m/>
    <n v="0"/>
    <m/>
    <n v="0"/>
    <m/>
    <n v="0"/>
    <n v="8605718.0000000056"/>
    <n v="0"/>
    <n v="0"/>
    <n v="1511"/>
    <n v="0"/>
    <n v="0"/>
    <n v="1511"/>
    <n v="2014"/>
    <n v="0"/>
    <s v=""/>
    <n v="0"/>
    <s v=""/>
    <s v=""/>
    <n v="0"/>
    <n v="0"/>
    <s v="No change"/>
    <n v="-0.11784850836422744"/>
    <n v="0.29117585098474064"/>
    <n v="0"/>
    <n v="0"/>
    <n v="2.169462595686618"/>
    <n v="0"/>
    <n v="0"/>
    <n v="0"/>
    <x v="1"/>
  </r>
  <r>
    <s v="Sierra Leone"/>
    <x v="35"/>
    <n v="6788609.5"/>
    <x v="17"/>
    <n v="0"/>
    <n v="6964858.4999999972"/>
    <n v="0"/>
    <m/>
    <n v="0"/>
    <m/>
    <n v="0"/>
    <m/>
    <n v="0"/>
    <m/>
    <n v="0"/>
    <n v="7861281"/>
    <n v="0"/>
    <n v="0"/>
    <m/>
    <n v="0"/>
    <m/>
    <n v="0"/>
    <m/>
    <n v="0"/>
    <n v="8605718.0000000056"/>
    <n v="0"/>
    <n v="0"/>
    <n v="0"/>
    <n v="0"/>
    <n v="0"/>
    <n v="0"/>
    <s v=""/>
    <n v="0"/>
    <s v=""/>
    <n v="0"/>
    <s v=""/>
    <s v=""/>
    <n v="0"/>
    <n v="0"/>
    <s v="No change"/>
    <n v="-0.11784850836422744"/>
    <n v="0.29117585098474064"/>
    <n v="0"/>
    <n v="0"/>
    <n v="0"/>
    <n v="0"/>
    <n v="0"/>
    <n v="0"/>
    <x v="1"/>
  </r>
  <r>
    <s v="Sierra Leone"/>
    <x v="35"/>
    <n v="6788610.5"/>
    <x v="18"/>
    <n v="0"/>
    <n v="6964858.4999999972"/>
    <n v="0"/>
    <m/>
    <n v="3046"/>
    <m/>
    <n v="0"/>
    <m/>
    <n v="0"/>
    <m/>
    <n v="0"/>
    <n v="7861281"/>
    <n v="0"/>
    <n v="0"/>
    <m/>
    <n v="0"/>
    <m/>
    <n v="0"/>
    <m/>
    <n v="0"/>
    <n v="8605718.0000000056"/>
    <n v="0"/>
    <n v="0"/>
    <n v="3046"/>
    <n v="0"/>
    <n v="0"/>
    <n v="3046"/>
    <n v="2014"/>
    <n v="0"/>
    <s v=""/>
    <n v="0"/>
    <s v=""/>
    <s v=""/>
    <n v="0"/>
    <n v="0"/>
    <s v="No change"/>
    <n v="-0.11784850836422744"/>
    <n v="0.29117585098474064"/>
    <n v="0"/>
    <n v="0"/>
    <n v="4.3733838957388746"/>
    <n v="0"/>
    <n v="0"/>
    <n v="0"/>
    <x v="1"/>
  </r>
  <r>
    <s v="South Sudan"/>
    <x v="36"/>
    <n v="10701609.5"/>
    <x v="0"/>
    <n v="0"/>
    <n v="11106031.000000004"/>
    <n v="0"/>
    <m/>
    <n v="0"/>
    <m/>
    <n v="0"/>
    <m/>
    <n v="0"/>
    <m/>
    <n v="0"/>
    <n v="10395329.5"/>
    <n v="1455"/>
    <n v="1455"/>
    <m/>
    <n v="850"/>
    <m/>
    <n v="2826"/>
    <m/>
    <n v="0"/>
    <n v="10913163.5"/>
    <n v="0"/>
    <n v="1455"/>
    <n v="0"/>
    <n v="1455"/>
    <n v="2826"/>
    <n v="0"/>
    <s v=""/>
    <n v="1455"/>
    <n v="2018"/>
    <n v="2826"/>
    <n v="2020"/>
    <s v=""/>
    <n v="2826"/>
    <n v="2826"/>
    <s v="Increasing"/>
    <n v="0.25992104989487319"/>
    <n v="5.4673730437993617E-2"/>
    <n v="396.69032167382431"/>
    <n v="1714.3381571531409"/>
    <n v="0"/>
    <n v="1.3996670331613827"/>
    <n v="2.5895332732804746"/>
    <n v="2.5895332732804746"/>
    <x v="1"/>
  </r>
  <r>
    <s v="South Sudan"/>
    <x v="36"/>
    <n v="10701610.5"/>
    <x v="1"/>
    <n v="0"/>
    <n v="11106031.000000004"/>
    <n v="0"/>
    <m/>
    <n v="0"/>
    <m/>
    <n v="0"/>
    <m/>
    <n v="0"/>
    <m/>
    <n v="0"/>
    <n v="10395329.5"/>
    <n v="0"/>
    <n v="22"/>
    <m/>
    <n v="0"/>
    <m/>
    <n v="0"/>
    <m/>
    <n v="0"/>
    <n v="10913163.5"/>
    <n v="0"/>
    <n v="22"/>
    <n v="0"/>
    <n v="0"/>
    <n v="0"/>
    <n v="0"/>
    <s v=""/>
    <n v="22"/>
    <s v="2018 (triag)"/>
    <n v="22"/>
    <s v="2018 (triag)"/>
    <s v=""/>
    <n v="22"/>
    <n v="22"/>
    <s v="No change"/>
    <n v="0.25992104989487319"/>
    <n v="5.4673730437993617E-2"/>
    <n v="5.9980667194667587"/>
    <n v="25.921264231868797"/>
    <n v="0"/>
    <n v="2.1163350329587917E-2"/>
    <n v="2.0159140839409215E-2"/>
    <n v="2.0159140839409215E-2"/>
    <x v="1"/>
  </r>
  <r>
    <s v="South Sudan"/>
    <x v="36"/>
    <n v="10701611.5"/>
    <x v="2"/>
    <n v="0"/>
    <n v="11106031.000000004"/>
    <n v="0"/>
    <m/>
    <n v="0"/>
    <m/>
    <n v="0"/>
    <m/>
    <n v="0"/>
    <m/>
    <n v="3435"/>
    <n v="10395329.5"/>
    <n v="0"/>
    <n v="250"/>
    <m/>
    <n v="0"/>
    <m/>
    <n v="0"/>
    <m/>
    <n v="0"/>
    <n v="10913163.5"/>
    <n v="0"/>
    <n v="250"/>
    <n v="0"/>
    <n v="3435"/>
    <n v="0"/>
    <n v="0"/>
    <s v=""/>
    <n v="250"/>
    <s v="2018 (triag)"/>
    <n v="250"/>
    <s v="2018 (triag)"/>
    <s v=""/>
    <n v="250"/>
    <n v="250"/>
    <s v="No change"/>
    <n v="0.25992104989487319"/>
    <n v="5.4673730437993617E-2"/>
    <n v="68.15984908484954"/>
    <n v="294.55982081669083"/>
    <n v="0"/>
    <n v="0.24049261738168087"/>
    <n v="0.22908114590237744"/>
    <n v="0.22908114590237744"/>
    <x v="1"/>
  </r>
  <r>
    <s v="South Sudan"/>
    <x v="36"/>
    <n v="10701612.5"/>
    <x v="3"/>
    <n v="0"/>
    <n v="11106031.000000004"/>
    <n v="0"/>
    <m/>
    <n v="0"/>
    <m/>
    <n v="0"/>
    <m/>
    <n v="0"/>
    <m/>
    <n v="0"/>
    <n v="10395329.5"/>
    <n v="0"/>
    <n v="0"/>
    <m/>
    <n v="5870"/>
    <m/>
    <n v="0"/>
    <m/>
    <n v="0"/>
    <n v="10913163.5"/>
    <n v="0"/>
    <n v="0"/>
    <n v="0"/>
    <n v="5870"/>
    <n v="0"/>
    <n v="0"/>
    <s v=""/>
    <n v="5870"/>
    <n v="2019"/>
    <n v="5870"/>
    <n v="2019"/>
    <s v=""/>
    <n v="5870"/>
    <n v="5870"/>
    <s v="No change"/>
    <n v="0.25992104989487319"/>
    <n v="5.4673730437993617E-2"/>
    <n v="0"/>
    <n v="0"/>
    <n v="0"/>
    <n v="5.6467666561218675"/>
    <n v="5.3788253057878226"/>
    <n v="5.3788253057878226"/>
    <x v="1"/>
  </r>
  <r>
    <s v="South Sudan"/>
    <x v="36"/>
    <n v="10701613.5"/>
    <x v="4"/>
    <n v="0"/>
    <n v="11106031.000000004"/>
    <n v="0"/>
    <m/>
    <n v="0"/>
    <m/>
    <n v="0"/>
    <m/>
    <n v="0"/>
    <m/>
    <n v="0"/>
    <n v="10395329.5"/>
    <n v="0"/>
    <n v="20"/>
    <m/>
    <n v="0"/>
    <m/>
    <n v="0"/>
    <m/>
    <n v="0"/>
    <n v="10913163.5"/>
    <n v="0"/>
    <n v="20"/>
    <n v="0"/>
    <n v="0"/>
    <n v="0"/>
    <n v="0"/>
    <s v=""/>
    <n v="20"/>
    <s v="2018 (triag)"/>
    <n v="20"/>
    <s v="2018 (triag)"/>
    <s v=""/>
    <n v="20"/>
    <n v="20"/>
    <s v="No change"/>
    <n v="0.25992104989487319"/>
    <n v="5.4673730437993617E-2"/>
    <n v="5.4527879267879626"/>
    <n v="23.564785665335268"/>
    <n v="0"/>
    <n v="1.9239409390534472E-2"/>
    <n v="1.8326491672190196E-2"/>
    <n v="1.8326491672190196E-2"/>
    <x v="1"/>
  </r>
  <r>
    <s v="South Sudan"/>
    <x v="36"/>
    <n v="10701614.5"/>
    <x v="5"/>
    <n v="0"/>
    <n v="11106031.000000004"/>
    <n v="0"/>
    <m/>
    <n v="0"/>
    <m/>
    <n v="0"/>
    <m/>
    <n v="0"/>
    <m/>
    <n v="0"/>
    <n v="10395329.5"/>
    <n v="2"/>
    <n v="21"/>
    <m/>
    <n v="0"/>
    <m/>
    <n v="0"/>
    <m/>
    <n v="0"/>
    <n v="10913163.5"/>
    <n v="0"/>
    <n v="21"/>
    <n v="0"/>
    <n v="2"/>
    <n v="0"/>
    <n v="0"/>
    <s v=""/>
    <n v="21"/>
    <s v="2018 (triag)"/>
    <n v="21"/>
    <s v="2018 (triag)"/>
    <s v=""/>
    <n v="21"/>
    <n v="21"/>
    <s v="No change"/>
    <n v="0.25992104989487319"/>
    <n v="5.4673730437993617E-2"/>
    <n v="5.7254273231273611"/>
    <n v="24.743024948602031"/>
    <n v="0"/>
    <n v="2.0201379860061194E-2"/>
    <n v="1.9242816255799704E-2"/>
    <n v="1.9242816255799704E-2"/>
    <x v="1"/>
  </r>
  <r>
    <s v="South Sudan"/>
    <x v="36"/>
    <n v="10701615.5"/>
    <x v="6"/>
    <n v="0"/>
    <n v="11106031.000000004"/>
    <n v="0"/>
    <m/>
    <n v="0"/>
    <m/>
    <n v="0"/>
    <m/>
    <n v="0"/>
    <m/>
    <n v="0"/>
    <n v="10395329.5"/>
    <n v="272"/>
    <n v="272"/>
    <m/>
    <n v="485"/>
    <m/>
    <n v="635"/>
    <m/>
    <n v="0"/>
    <n v="10913163.5"/>
    <n v="0"/>
    <n v="16"/>
    <n v="0"/>
    <n v="485"/>
    <n v="635"/>
    <n v="0"/>
    <s v=""/>
    <n v="272"/>
    <n v="2018"/>
    <n v="635"/>
    <n v="2020"/>
    <s v=""/>
    <n v="635"/>
    <n v="635"/>
    <s v="Increasing"/>
    <n v="0.25992104989487319"/>
    <n v="5.4673730437993617E-2"/>
    <n v="4.3622303414303705"/>
    <n v="18.851828532268215"/>
    <n v="0"/>
    <n v="0.26165596771126881"/>
    <n v="0.58186611059203874"/>
    <n v="0.58186611059203874"/>
    <x v="1"/>
  </r>
  <r>
    <s v="South Sudan"/>
    <x v="36"/>
    <n v="10701616.5"/>
    <x v="7"/>
    <n v="0"/>
    <n v="11106031.000000004"/>
    <n v="0"/>
    <m/>
    <n v="0"/>
    <m/>
    <n v="0"/>
    <m/>
    <n v="0"/>
    <m/>
    <n v="0"/>
    <n v="10395329.5"/>
    <n v="0"/>
    <n v="1306"/>
    <m/>
    <n v="0"/>
    <m/>
    <n v="0"/>
    <m/>
    <n v="0"/>
    <n v="10913163.5"/>
    <n v="0"/>
    <n v="1306"/>
    <n v="0"/>
    <n v="0"/>
    <n v="0"/>
    <n v="0"/>
    <s v=""/>
    <n v="1306"/>
    <s v="2018 (triag)"/>
    <n v="1306"/>
    <s v="2018 (triag)"/>
    <s v=""/>
    <n v="1306"/>
    <n v="1306"/>
    <s v="No change"/>
    <n v="0.25992104989487319"/>
    <n v="5.4673730437993617E-2"/>
    <n v="356.06705161925396"/>
    <n v="1538.7805039463931"/>
    <n v="0"/>
    <n v="1.2563334332019009"/>
    <n v="1.1967199061940197"/>
    <n v="1.1967199061940197"/>
    <x v="1"/>
  </r>
  <r>
    <s v="South Sudan"/>
    <x v="36"/>
    <n v="10701617.5"/>
    <x v="8"/>
    <n v="0"/>
    <n v="11106031.000000004"/>
    <n v="0"/>
    <m/>
    <n v="0"/>
    <m/>
    <n v="0"/>
    <m/>
    <n v="0"/>
    <m/>
    <n v="0"/>
    <n v="10395329.5"/>
    <n v="0"/>
    <n v="6"/>
    <m/>
    <n v="13"/>
    <m/>
    <n v="16"/>
    <m/>
    <n v="0"/>
    <n v="10913163.5"/>
    <n v="0"/>
    <n v="6"/>
    <n v="0"/>
    <n v="13"/>
    <n v="16"/>
    <n v="0"/>
    <s v=""/>
    <n v="6"/>
    <s v="2018 (triag)"/>
    <n v="16"/>
    <n v="2020"/>
    <s v=""/>
    <n v="16"/>
    <n v="16"/>
    <s v="Increasing"/>
    <n v="0.25992104989487319"/>
    <n v="5.4673730437993617E-2"/>
    <n v="1.6358363780363889"/>
    <n v="7.0694356996005805"/>
    <n v="0"/>
    <n v="5.7718228171603414E-3"/>
    <n v="1.4661193337752156E-2"/>
    <n v="1.4661193337752156E-2"/>
    <x v="1"/>
  </r>
  <r>
    <s v="South Sudan"/>
    <x v="36"/>
    <n v="10701618.5"/>
    <x v="9"/>
    <n v="0"/>
    <n v="11106031.000000004"/>
    <n v="0"/>
    <m/>
    <n v="0"/>
    <m/>
    <n v="0"/>
    <m/>
    <n v="0"/>
    <m/>
    <n v="0"/>
    <n v="10395329.5"/>
    <n v="0"/>
    <n v="57"/>
    <m/>
    <n v="850"/>
    <m/>
    <n v="1006"/>
    <m/>
    <n v="0"/>
    <n v="10913163.5"/>
    <n v="0"/>
    <n v="57"/>
    <n v="0"/>
    <n v="850"/>
    <n v="1006"/>
    <n v="0"/>
    <s v=""/>
    <n v="57"/>
    <s v="2018 (triag)"/>
    <n v="1006"/>
    <n v="2020"/>
    <s v=""/>
    <n v="1006"/>
    <n v="1006"/>
    <s v="Increasing"/>
    <n v="0.25992104989487319"/>
    <n v="5.4673730437993617E-2"/>
    <n v="15.540445591345694"/>
    <n v="67.159639146205521"/>
    <n v="0"/>
    <n v="5.4832316763023241E-2"/>
    <n v="0.92182253111116685"/>
    <n v="0.92182253111116685"/>
    <x v="1"/>
  </r>
  <r>
    <s v="South Sudan"/>
    <x v="36"/>
    <n v="10701619.5"/>
    <x v="10"/>
    <n v="0"/>
    <n v="11106031.000000004"/>
    <n v="0"/>
    <m/>
    <n v="0"/>
    <m/>
    <n v="0"/>
    <m/>
    <n v="0"/>
    <m/>
    <n v="0"/>
    <n v="10395329.5"/>
    <n v="0"/>
    <n v="7"/>
    <m/>
    <n v="13"/>
    <m/>
    <n v="24"/>
    <m/>
    <n v="0"/>
    <n v="10913163.5"/>
    <n v="0"/>
    <n v="7"/>
    <n v="0"/>
    <n v="13"/>
    <n v="24"/>
    <n v="0"/>
    <s v=""/>
    <n v="7"/>
    <s v="2018 (triag)"/>
    <n v="24"/>
    <n v="2020"/>
    <s v=""/>
    <n v="24"/>
    <n v="24"/>
    <s v="Increasing"/>
    <n v="0.25992104989487319"/>
    <n v="5.4673730437993617E-2"/>
    <n v="1.908475774375787"/>
    <n v="8.2476749828673448"/>
    <n v="0"/>
    <n v="6.7337932866870648E-3"/>
    <n v="2.1991790006628233E-2"/>
    <n v="2.1991790006628233E-2"/>
    <x v="1"/>
  </r>
  <r>
    <s v="South Sudan"/>
    <x v="36"/>
    <n v="10701620.5"/>
    <x v="11"/>
    <n v="0"/>
    <n v="11106031.000000004"/>
    <n v="0"/>
    <m/>
    <n v="0"/>
    <m/>
    <n v="0"/>
    <m/>
    <n v="0"/>
    <m/>
    <n v="0"/>
    <n v="10395329.5"/>
    <n v="0"/>
    <n v="0"/>
    <m/>
    <n v="0"/>
    <m/>
    <n v="0"/>
    <m/>
    <n v="0"/>
    <n v="10913163.5"/>
    <n v="0"/>
    <n v="0"/>
    <n v="0"/>
    <n v="0"/>
    <n v="0"/>
    <n v="0"/>
    <s v=""/>
    <n v="0"/>
    <s v=""/>
    <n v="0"/>
    <s v=""/>
    <s v=""/>
    <n v="0"/>
    <n v="0"/>
    <s v="No change"/>
    <n v="0.25992104989487319"/>
    <n v="5.4673730437993617E-2"/>
    <n v="0"/>
    <n v="0"/>
    <n v="0"/>
    <n v="0"/>
    <n v="0"/>
    <n v="0"/>
    <x v="1"/>
  </r>
  <r>
    <s v="South Sudan"/>
    <x v="36"/>
    <n v="10701621.5"/>
    <x v="12"/>
    <n v="0"/>
    <n v="11106031.000000004"/>
    <n v="0"/>
    <m/>
    <n v="0"/>
    <m/>
    <n v="0"/>
    <m/>
    <n v="0"/>
    <m/>
    <n v="0"/>
    <n v="10395329.5"/>
    <n v="0"/>
    <n v="0"/>
    <m/>
    <n v="0"/>
    <m/>
    <n v="0"/>
    <m/>
    <n v="0"/>
    <n v="10913163.5"/>
    <n v="0"/>
    <n v="0"/>
    <n v="0"/>
    <n v="0"/>
    <n v="0"/>
    <n v="0"/>
    <s v=""/>
    <n v="0"/>
    <s v=""/>
    <n v="0"/>
    <s v=""/>
    <s v=""/>
    <n v="0"/>
    <n v="0"/>
    <s v="No change"/>
    <n v="0.25992104989487319"/>
    <n v="5.4673730437993617E-2"/>
    <n v="0"/>
    <n v="0"/>
    <n v="0"/>
    <n v="0"/>
    <n v="0"/>
    <n v="0"/>
    <x v="1"/>
  </r>
  <r>
    <s v="South Sudan"/>
    <x v="36"/>
    <n v="10701622.5"/>
    <x v="13"/>
    <n v="0"/>
    <n v="11106031.000000004"/>
    <n v="0"/>
    <m/>
    <n v="0"/>
    <m/>
    <n v="0"/>
    <m/>
    <n v="0"/>
    <m/>
    <n v="0"/>
    <n v="10395329.5"/>
    <n v="0"/>
    <n v="272"/>
    <m/>
    <n v="0"/>
    <m/>
    <n v="0"/>
    <m/>
    <n v="0"/>
    <n v="10913163.5"/>
    <n v="0"/>
    <n v="272"/>
    <n v="0"/>
    <n v="0"/>
    <n v="0"/>
    <n v="0"/>
    <s v=""/>
    <n v="272"/>
    <s v="2018 (triag)"/>
    <n v="272"/>
    <s v="2018 (triag)"/>
    <s v=""/>
    <n v="272"/>
    <n v="272"/>
    <s v="No change"/>
    <n v="0.25992104989487319"/>
    <n v="5.4673730437993617E-2"/>
    <n v="74.157915804316289"/>
    <n v="320.48108504855963"/>
    <n v="0"/>
    <n v="0.26165596771126881"/>
    <n v="0.24924028674178664"/>
    <n v="0.24924028674178664"/>
    <x v="1"/>
  </r>
  <r>
    <s v="South Sudan"/>
    <x v="36"/>
    <n v="10701623.5"/>
    <x v="14"/>
    <n v="0"/>
    <n v="11106031.000000004"/>
    <n v="0"/>
    <m/>
    <n v="0"/>
    <m/>
    <n v="0"/>
    <m/>
    <n v="0"/>
    <m/>
    <n v="0"/>
    <n v="10395329.5"/>
    <n v="0"/>
    <n v="0"/>
    <m/>
    <n v="580"/>
    <m/>
    <n v="623"/>
    <m/>
    <n v="0"/>
    <n v="10913163.5"/>
    <n v="0"/>
    <n v="0"/>
    <n v="0"/>
    <n v="580"/>
    <n v="623"/>
    <n v="0"/>
    <s v=""/>
    <n v="580"/>
    <n v="2019"/>
    <n v="623"/>
    <n v="2020"/>
    <s v=""/>
    <n v="623"/>
    <n v="623"/>
    <s v="Increasing"/>
    <n v="0.25992104989487319"/>
    <n v="5.4673730437993617E-2"/>
    <n v="0"/>
    <n v="0"/>
    <n v="0"/>
    <n v="0.55794287232549966"/>
    <n v="0.57087021558872453"/>
    <n v="0.57087021558872453"/>
    <x v="1"/>
  </r>
  <r>
    <s v="South Sudan"/>
    <x v="36"/>
    <n v="10701624.5"/>
    <x v="15"/>
    <n v="0"/>
    <n v="11106031.000000004"/>
    <n v="0"/>
    <m/>
    <n v="0"/>
    <m/>
    <n v="0"/>
    <m/>
    <n v="0"/>
    <m/>
    <n v="0"/>
    <n v="10395329.5"/>
    <n v="0"/>
    <n v="9"/>
    <m/>
    <n v="11"/>
    <m/>
    <n v="17"/>
    <m/>
    <n v="0"/>
    <n v="10913163.5"/>
    <n v="0"/>
    <n v="9"/>
    <n v="0"/>
    <n v="11"/>
    <n v="17"/>
    <n v="0"/>
    <s v=""/>
    <n v="9"/>
    <s v="2018 (triag)"/>
    <n v="17"/>
    <n v="2020"/>
    <s v=""/>
    <n v="17"/>
    <n v="17"/>
    <s v="Increasing"/>
    <n v="0.25992104989487319"/>
    <n v="5.4673730437993617E-2"/>
    <n v="2.4537545670545833"/>
    <n v="10.60415354940087"/>
    <n v="0"/>
    <n v="8.6577342257405116E-3"/>
    <n v="1.5577517921361665E-2"/>
    <n v="1.5577517921361665E-2"/>
    <x v="1"/>
  </r>
  <r>
    <s v="South Sudan"/>
    <x v="36"/>
    <n v="10701625.5"/>
    <x v="16"/>
    <n v="0"/>
    <n v="11106031.000000004"/>
    <n v="0"/>
    <m/>
    <n v="0"/>
    <m/>
    <n v="0"/>
    <m/>
    <n v="0"/>
    <m/>
    <n v="0"/>
    <n v="10395329.5"/>
    <n v="0"/>
    <n v="0"/>
    <m/>
    <n v="0"/>
    <m/>
    <n v="0"/>
    <m/>
    <n v="0"/>
    <n v="10913163.5"/>
    <n v="0"/>
    <n v="0"/>
    <n v="0"/>
    <n v="0"/>
    <n v="0"/>
    <n v="0"/>
    <s v=""/>
    <n v="0"/>
    <s v=""/>
    <n v="0"/>
    <s v=""/>
    <s v=""/>
    <n v="0"/>
    <n v="0"/>
    <s v="No change"/>
    <n v="0.25992104989487319"/>
    <n v="5.4673730437993617E-2"/>
    <n v="0"/>
    <n v="0"/>
    <n v="0"/>
    <n v="0"/>
    <n v="0"/>
    <n v="0"/>
    <x v="1"/>
  </r>
  <r>
    <s v="South Sudan"/>
    <x v="36"/>
    <n v="10701626.5"/>
    <x v="17"/>
    <n v="0"/>
    <n v="11106031.000000004"/>
    <n v="0"/>
    <m/>
    <n v="0"/>
    <m/>
    <n v="0"/>
    <m/>
    <n v="0"/>
    <m/>
    <n v="0"/>
    <n v="10395329.5"/>
    <n v="0"/>
    <n v="0"/>
    <m/>
    <n v="0"/>
    <m/>
    <n v="0"/>
    <m/>
    <n v="0"/>
    <n v="10913163.5"/>
    <n v="0"/>
    <n v="0"/>
    <n v="0"/>
    <n v="0"/>
    <n v="0"/>
    <n v="0"/>
    <s v=""/>
    <n v="0"/>
    <s v=""/>
    <n v="0"/>
    <s v=""/>
    <s v=""/>
    <n v="0"/>
    <n v="0"/>
    <s v="No change"/>
    <n v="0.25992104989487319"/>
    <n v="5.4673730437993617E-2"/>
    <n v="0"/>
    <n v="0"/>
    <n v="0"/>
    <n v="0"/>
    <n v="0"/>
    <n v="0"/>
    <x v="1"/>
  </r>
  <r>
    <s v="South Sudan"/>
    <x v="36"/>
    <n v="10701627.5"/>
    <x v="18"/>
    <n v="0"/>
    <n v="11106031.000000004"/>
    <n v="0"/>
    <m/>
    <n v="0"/>
    <m/>
    <n v="0"/>
    <m/>
    <n v="0"/>
    <m/>
    <n v="0"/>
    <n v="10395329.5"/>
    <n v="0"/>
    <n v="0"/>
    <m/>
    <n v="0"/>
    <m/>
    <n v="0"/>
    <m/>
    <n v="0"/>
    <n v="10913163.5"/>
    <n v="0"/>
    <n v="0"/>
    <n v="0"/>
    <n v="0"/>
    <n v="0"/>
    <n v="0"/>
    <s v=""/>
    <n v="0"/>
    <s v=""/>
    <n v="0"/>
    <s v=""/>
    <s v=""/>
    <n v="0"/>
    <n v="0"/>
    <s v="No change"/>
    <n v="0.25992104989487319"/>
    <n v="5.4673730437993617E-2"/>
    <n v="0"/>
    <n v="0"/>
    <n v="0"/>
    <n v="0"/>
    <n v="0"/>
    <n v="0"/>
    <x v="1"/>
  </r>
  <r>
    <s v="Sao Tome and Principe"/>
    <x v="37"/>
    <n v="189929.5"/>
    <x v="0"/>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30.5"/>
    <x v="1"/>
    <n v="0"/>
    <n v="193756.99999999997"/>
    <n v="4"/>
    <m/>
    <n v="2217"/>
    <m/>
    <n v="0"/>
    <m/>
    <n v="0"/>
    <m/>
    <n v="61"/>
    <n v="211344"/>
    <n v="0"/>
    <n v="0"/>
    <m/>
    <n v="14"/>
    <m/>
    <n v="1344"/>
    <m/>
    <n v="44"/>
    <n v="227379.5"/>
    <n v="0"/>
    <n v="0"/>
    <n v="2217"/>
    <n v="61"/>
    <n v="1344"/>
    <n v="4"/>
    <n v="2013"/>
    <n v="61"/>
    <n v="2017"/>
    <n v="44"/>
    <n v="2021"/>
    <s v="Adjust"/>
    <n v="50.569140350098266"/>
    <n v="61"/>
    <s v="Decreasing"/>
    <n v="-0.16643545882510058"/>
    <n v="0.34338657876279233"/>
    <n v="0"/>
    <n v="0"/>
    <n v="0.20644415427571652"/>
    <n v="2.8862896509955331"/>
    <n v="2.223997341453309"/>
    <n v="2.6827396489129409"/>
    <x v="1"/>
  </r>
  <r>
    <s v="Sao Tome and Principe"/>
    <x v="37"/>
    <n v="189931.5"/>
    <x v="2"/>
    <n v="0"/>
    <n v="193756.99999999997"/>
    <n v="24"/>
    <m/>
    <n v="4286"/>
    <m/>
    <n v="0"/>
    <m/>
    <n v="0"/>
    <m/>
    <n v="548"/>
    <n v="211344"/>
    <n v="0"/>
    <n v="0"/>
    <m/>
    <n v="26"/>
    <m/>
    <n v="0"/>
    <m/>
    <n v="245"/>
    <n v="227379.5"/>
    <n v="0"/>
    <n v="0"/>
    <n v="4286"/>
    <n v="548"/>
    <n v="245"/>
    <n v="24"/>
    <n v="2013"/>
    <n v="548"/>
    <n v="2017"/>
    <n v="245"/>
    <n v="2021"/>
    <s v="Adjust"/>
    <n v="281.57816785850173"/>
    <n v="548"/>
    <s v="Decreasing"/>
    <n v="-0.16643545882510058"/>
    <n v="0.34338657876279233"/>
    <n v="0"/>
    <n v="0"/>
    <n v="1.2386649256542992"/>
    <n v="25.92929063517299"/>
    <n v="12.383621560365016"/>
    <n v="24.100677501709697"/>
    <x v="0"/>
  </r>
  <r>
    <s v="Sao Tome and Principe"/>
    <x v="37"/>
    <n v="189932.5"/>
    <x v="3"/>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33.5"/>
    <x v="4"/>
    <n v="0"/>
    <n v="193756.99999999997"/>
    <n v="0"/>
    <m/>
    <n v="0"/>
    <m/>
    <n v="0"/>
    <m/>
    <n v="0"/>
    <m/>
    <n v="0"/>
    <n v="211344"/>
    <n v="0"/>
    <n v="79"/>
    <m/>
    <n v="0"/>
    <m/>
    <n v="0"/>
    <m/>
    <n v="0"/>
    <n v="227379.5"/>
    <n v="0"/>
    <n v="79"/>
    <n v="0"/>
    <n v="0"/>
    <n v="0"/>
    <n v="0"/>
    <s v=""/>
    <n v="79"/>
    <s v="2018 (triag)"/>
    <n v="79"/>
    <s v="2018 (triag)"/>
    <s v=""/>
    <n v="79"/>
    <n v="79"/>
    <s v="No change"/>
    <n v="-0.16643545882510058"/>
    <n v="0.34338657876279233"/>
    <n v="181.56707535027212"/>
    <n v="221.31955088142104"/>
    <n v="0"/>
    <n v="3.7379816791581497"/>
    <n v="3.4743677420347923"/>
    <n v="3.4743677420347923"/>
    <x v="1"/>
  </r>
  <r>
    <s v="Sao Tome and Principe"/>
    <x v="37"/>
    <n v="189934.5"/>
    <x v="5"/>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35.5"/>
    <x v="6"/>
    <n v="0"/>
    <n v="193756.99999999997"/>
    <n v="0"/>
    <m/>
    <n v="0"/>
    <m/>
    <n v="0"/>
    <m/>
    <n v="0"/>
    <m/>
    <n v="0"/>
    <n v="211344"/>
    <n v="0"/>
    <n v="146"/>
    <m/>
    <n v="0"/>
    <m/>
    <n v="0"/>
    <m/>
    <n v="0"/>
    <n v="227379.5"/>
    <n v="0"/>
    <n v="146"/>
    <n v="0"/>
    <n v="0"/>
    <n v="0"/>
    <n v="0"/>
    <s v=""/>
    <n v="146"/>
    <s v="2018 (triag)"/>
    <n v="146"/>
    <s v="2018 (triag)"/>
    <s v=""/>
    <n v="146"/>
    <n v="146"/>
    <s v="No change"/>
    <n v="-0.16643545882510058"/>
    <n v="0.34338657876279233"/>
    <n v="335.5543417865789"/>
    <n v="409.02094213528443"/>
    <n v="0"/>
    <n v="6.908168672874555"/>
    <n v="6.4209834219883497"/>
    <n v="6.4209834219883497"/>
    <x v="1"/>
  </r>
  <r>
    <s v="Sao Tome and Principe"/>
    <x v="37"/>
    <n v="189936.5"/>
    <x v="7"/>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37.5"/>
    <x v="8"/>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38.5"/>
    <x v="9"/>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39.5"/>
    <x v="10"/>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40.5"/>
    <x v="11"/>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41.5"/>
    <x v="12"/>
    <n v="0"/>
    <n v="193756.99999999997"/>
    <n v="0"/>
    <m/>
    <n v="0"/>
    <m/>
    <n v="0"/>
    <m/>
    <n v="0"/>
    <m/>
    <n v="0"/>
    <n v="211344"/>
    <n v="0"/>
    <n v="271"/>
    <m/>
    <n v="0"/>
    <m/>
    <n v="0"/>
    <m/>
    <n v="0"/>
    <n v="227379.5"/>
    <n v="0"/>
    <n v="271"/>
    <n v="0"/>
    <n v="0"/>
    <n v="0"/>
    <n v="0"/>
    <s v=""/>
    <n v="271"/>
    <s v="2018 (triag)"/>
    <n v="271"/>
    <s v="2018 (triag)"/>
    <s v=""/>
    <n v="271"/>
    <n v="271"/>
    <s v="No change"/>
    <n v="-0.16643545882510058"/>
    <n v="0.34338657876279233"/>
    <n v="622.84401797371834"/>
    <n v="759.21010492234302"/>
    <n v="0"/>
    <n v="12.822696646226058"/>
    <n v="11.91840073533454"/>
    <n v="11.91840073533454"/>
    <x v="1"/>
  </r>
  <r>
    <s v="Sao Tome and Principe"/>
    <x v="37"/>
    <n v="189942.5"/>
    <x v="13"/>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43.5"/>
    <x v="14"/>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44.5"/>
    <x v="15"/>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45.5"/>
    <x v="16"/>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46.5"/>
    <x v="17"/>
    <n v="0"/>
    <n v="193756.99999999997"/>
    <n v="0"/>
    <m/>
    <n v="0"/>
    <m/>
    <n v="0"/>
    <m/>
    <n v="0"/>
    <m/>
    <n v="0"/>
    <n v="211344"/>
    <n v="0"/>
    <n v="0"/>
    <m/>
    <n v="0"/>
    <m/>
    <n v="0"/>
    <m/>
    <n v="0"/>
    <n v="227379.5"/>
    <n v="0"/>
    <n v="0"/>
    <n v="0"/>
    <n v="0"/>
    <n v="0"/>
    <n v="0"/>
    <s v=""/>
    <n v="0"/>
    <s v=""/>
    <n v="0"/>
    <s v=""/>
    <s v=""/>
    <n v="0"/>
    <n v="0"/>
    <s v="No change"/>
    <n v="-0.16643545882510058"/>
    <n v="0.34338657876279233"/>
    <n v="0"/>
    <n v="0"/>
    <n v="0"/>
    <n v="0"/>
    <n v="0"/>
    <n v="0"/>
    <x v="1"/>
  </r>
  <r>
    <s v="Sao Tome and Principe"/>
    <x v="37"/>
    <n v="189947.5"/>
    <x v="18"/>
    <n v="0"/>
    <n v="193756.99999999997"/>
    <n v="0"/>
    <m/>
    <n v="0"/>
    <m/>
    <n v="0"/>
    <m/>
    <n v="0"/>
    <m/>
    <n v="0"/>
    <n v="211344"/>
    <n v="0"/>
    <n v="0"/>
    <m/>
    <n v="0"/>
    <m/>
    <n v="0"/>
    <m/>
    <n v="0"/>
    <n v="227379.5"/>
    <n v="0"/>
    <n v="0"/>
    <n v="0"/>
    <n v="0"/>
    <n v="0"/>
    <n v="0"/>
    <s v=""/>
    <n v="0"/>
    <s v=""/>
    <n v="0"/>
    <s v=""/>
    <s v=""/>
    <n v="0"/>
    <n v="0"/>
    <s v="No change"/>
    <n v="-0.16643545882510058"/>
    <n v="0.34338657876279233"/>
    <n v="0"/>
    <n v="0"/>
    <n v="0"/>
    <n v="0"/>
    <n v="0"/>
    <n v="0"/>
    <x v="1"/>
  </r>
  <r>
    <s v="Eswatini"/>
    <x v="38"/>
    <n v="1111449"/>
    <x v="0"/>
    <n v="0"/>
    <n v="1118318.9999999998"/>
    <n v="0"/>
    <m/>
    <n v="0"/>
    <m/>
    <n v="0"/>
    <m/>
    <n v="0"/>
    <m/>
    <n v="0"/>
    <n v="1160427.5"/>
    <n v="6324"/>
    <n v="6324"/>
    <m/>
    <n v="0"/>
    <m/>
    <n v="5386"/>
    <m/>
    <n v="0"/>
    <n v="1201670.4999999995"/>
    <n v="3200"/>
    <n v="6324"/>
    <n v="0"/>
    <n v="6324"/>
    <n v="5386"/>
    <n v="0"/>
    <s v=""/>
    <n v="6324"/>
    <n v="2018"/>
    <n v="3200"/>
    <n v="2022"/>
    <s v="Adjust"/>
    <n v="4586.4308415089126"/>
    <n v="6324"/>
    <s v="Decreasing"/>
    <n v="-0.11185567778326533"/>
    <n v="0.45661638376408309"/>
    <n v="11063.266634907941"/>
    <n v="24883.403885705367"/>
    <n v="0"/>
    <n v="54.497157297633848"/>
    <n v="38.167125193710874"/>
    <n v="52.626739193481093"/>
    <x v="1"/>
  </r>
  <r>
    <s v="Eswatini"/>
    <x v="38"/>
    <n v="1111450"/>
    <x v="1"/>
    <n v="0"/>
    <n v="1118318.9999999998"/>
    <n v="0"/>
    <m/>
    <n v="0"/>
    <m/>
    <n v="15"/>
    <m/>
    <n v="0"/>
    <m/>
    <n v="0"/>
    <n v="1160427.5"/>
    <n v="31"/>
    <n v="31"/>
    <m/>
    <n v="0"/>
    <m/>
    <n v="0"/>
    <m/>
    <n v="0"/>
    <n v="1201670.4999999995"/>
    <n v="10"/>
    <n v="0"/>
    <n v="15"/>
    <n v="31"/>
    <n v="10"/>
    <n v="15"/>
    <n v="2015"/>
    <n v="31"/>
    <n v="2018"/>
    <n v="10"/>
    <n v="2022"/>
    <s v="Adjust"/>
    <n v="14.332596379715351"/>
    <n v="31"/>
    <s v="Decreasing"/>
    <n v="-0.11185567778326533"/>
    <n v="0.45661638376408309"/>
    <n v="0"/>
    <n v="0"/>
    <n v="0.13412988601642289"/>
    <n v="0.26714292792957767"/>
    <n v="0.11927226623034649"/>
    <n v="0.25797421173275048"/>
    <x v="0"/>
  </r>
  <r>
    <s v="Eswatini"/>
    <x v="38"/>
    <n v="1111451"/>
    <x v="2"/>
    <n v="4646"/>
    <n v="1118318.9999999998"/>
    <n v="0"/>
    <m/>
    <n v="234"/>
    <m/>
    <n v="428"/>
    <m/>
    <n v="0"/>
    <m/>
    <n v="0"/>
    <n v="1160427.5"/>
    <n v="275"/>
    <n v="275"/>
    <m/>
    <n v="0"/>
    <m/>
    <n v="0"/>
    <m/>
    <n v="0"/>
    <n v="1201670.4999999995"/>
    <n v="83"/>
    <n v="187"/>
    <n v="4646"/>
    <n v="275"/>
    <n v="83"/>
    <n v="4646"/>
    <n v="2012"/>
    <n v="275"/>
    <n v="2018"/>
    <n v="83"/>
    <n v="2022"/>
    <s v="Adjust"/>
    <n v="118.96054995163742"/>
    <n v="275"/>
    <s v="Decreasing"/>
    <n v="-0.11185567778326533"/>
    <n v="0.45661638376408309"/>
    <n v="327.13960479566492"/>
    <n v="735.79957726548139"/>
    <n v="41.544496695486714"/>
    <n v="2.3698162961494793"/>
    <n v="0.9899598097118758"/>
    <n v="2.2884809105324639"/>
    <x v="0"/>
  </r>
  <r>
    <s v="Eswatini"/>
    <x v="38"/>
    <n v="1111452"/>
    <x v="3"/>
    <n v="0"/>
    <n v="1118318.9999999998"/>
    <n v="0"/>
    <m/>
    <n v="0"/>
    <m/>
    <n v="0"/>
    <m/>
    <n v="0"/>
    <m/>
    <n v="0"/>
    <n v="1160427.5"/>
    <n v="0"/>
    <n v="927"/>
    <m/>
    <n v="0"/>
    <m/>
    <n v="0"/>
    <m/>
    <n v="0"/>
    <n v="1201670.4999999995"/>
    <n v="0"/>
    <n v="927"/>
    <n v="0"/>
    <n v="0"/>
    <n v="0"/>
    <n v="0"/>
    <s v=""/>
    <n v="927"/>
    <s v="2018 (triag)"/>
    <n v="927"/>
    <s v="2018 (triag)"/>
    <s v=""/>
    <n v="927"/>
    <n v="927"/>
    <s v="No change"/>
    <n v="-0.11185567778326533"/>
    <n v="0.45661638376408309"/>
    <n v="1621.7027467678149"/>
    <n v="3647.5198295459959"/>
    <n v="0"/>
    <n v="7.9884352964747904"/>
    <n v="7.7142611056857966"/>
    <n v="7.7142611056857966"/>
    <x v="1"/>
  </r>
  <r>
    <s v="Eswatini"/>
    <x v="38"/>
    <n v="1111453"/>
    <x v="4"/>
    <n v="0"/>
    <n v="1118318.9999999998"/>
    <n v="0"/>
    <m/>
    <n v="0"/>
    <m/>
    <n v="0"/>
    <m/>
    <n v="0"/>
    <m/>
    <n v="0"/>
    <n v="1160427.5"/>
    <n v="0"/>
    <n v="195"/>
    <m/>
    <n v="0"/>
    <m/>
    <n v="0"/>
    <m/>
    <n v="0"/>
    <n v="1201670.4999999995"/>
    <n v="0"/>
    <n v="195"/>
    <n v="0"/>
    <n v="0"/>
    <n v="0"/>
    <n v="0"/>
    <s v=""/>
    <n v="195"/>
    <s v="2018 (triag)"/>
    <n v="195"/>
    <s v="2018 (triag)"/>
    <s v=""/>
    <n v="195"/>
    <n v="195"/>
    <s v="No change"/>
    <n v="-0.11185567778326533"/>
    <n v="0.45661638376408309"/>
    <n v="341.13488200617462"/>
    <n v="767.27763404689233"/>
    <n v="0"/>
    <n v="1.6804151918150854"/>
    <n v="1.6227410092866561"/>
    <n v="1.6227410092866561"/>
    <x v="1"/>
  </r>
  <r>
    <s v="Eswatini"/>
    <x v="38"/>
    <n v="1111454"/>
    <x v="5"/>
    <n v="0"/>
    <n v="1118318.9999999998"/>
    <n v="0"/>
    <m/>
    <n v="0"/>
    <m/>
    <n v="0"/>
    <m/>
    <n v="0"/>
    <m/>
    <n v="0"/>
    <n v="1160427.5"/>
    <n v="0"/>
    <n v="0"/>
    <m/>
    <n v="3"/>
    <m/>
    <n v="0"/>
    <m/>
    <n v="0"/>
    <n v="1201670.4999999995"/>
    <n v="0"/>
    <n v="0"/>
    <n v="0"/>
    <n v="3"/>
    <n v="0"/>
    <n v="0"/>
    <s v=""/>
    <n v="3"/>
    <n v="2019"/>
    <n v="3"/>
    <n v="2019"/>
    <s v=""/>
    <n v="3"/>
    <n v="3"/>
    <s v="No change"/>
    <n v="-0.11185567778326533"/>
    <n v="0.45661638376408309"/>
    <n v="0"/>
    <n v="0"/>
    <n v="0"/>
    <n v="2.5852541412539776E-2"/>
    <n v="2.4965246296717786E-2"/>
    <n v="2.4965246296717786E-2"/>
    <x v="1"/>
  </r>
  <r>
    <s v="Eswatini"/>
    <x v="38"/>
    <n v="1111455"/>
    <x v="6"/>
    <n v="0"/>
    <n v="1118318.9999999998"/>
    <n v="0"/>
    <m/>
    <n v="0"/>
    <m/>
    <n v="0"/>
    <m/>
    <n v="0"/>
    <m/>
    <n v="0"/>
    <n v="1160427.5"/>
    <n v="370"/>
    <n v="370"/>
    <m/>
    <n v="0"/>
    <m/>
    <n v="0"/>
    <m/>
    <n v="0"/>
    <n v="1201670.4999999995"/>
    <n v="130"/>
    <n v="84"/>
    <n v="0"/>
    <n v="370"/>
    <n v="130"/>
    <n v="0"/>
    <s v=""/>
    <n v="370"/>
    <n v="2018"/>
    <n v="130"/>
    <n v="2022"/>
    <s v="Adjust"/>
    <n v="186.32375293629957"/>
    <n v="370"/>
    <s v="Decreasing"/>
    <n v="-0.11185567778326533"/>
    <n v="0.45661638376408309"/>
    <n v="146.95041071035214"/>
    <n v="330.51959620481517"/>
    <n v="0"/>
    <n v="3.1884801075465723"/>
    <n v="1.5505394609945042"/>
    <n v="3.0790470432618604"/>
    <x v="0"/>
  </r>
  <r>
    <s v="Eswatini"/>
    <x v="38"/>
    <n v="1111456"/>
    <x v="7"/>
    <n v="0"/>
    <n v="1118318.9999999998"/>
    <n v="0"/>
    <m/>
    <n v="0"/>
    <m/>
    <n v="0"/>
    <m/>
    <n v="0"/>
    <m/>
    <n v="0"/>
    <n v="1160427.5"/>
    <n v="0"/>
    <n v="28"/>
    <m/>
    <n v="0"/>
    <m/>
    <n v="30"/>
    <m/>
    <n v="0"/>
    <n v="1201670.4999999995"/>
    <n v="0"/>
    <n v="28"/>
    <n v="0"/>
    <n v="0"/>
    <n v="30"/>
    <n v="0"/>
    <s v=""/>
    <n v="28"/>
    <s v="2018 (triag)"/>
    <n v="30"/>
    <n v="2020"/>
    <s v=""/>
    <n v="30"/>
    <n v="30"/>
    <s v="Increasing"/>
    <n v="-0.11185567778326533"/>
    <n v="0.45661638376408309"/>
    <n v="48.983470236784051"/>
    <n v="110.17319873493838"/>
    <n v="0"/>
    <n v="0.24129038651703791"/>
    <n v="0.24965246296717788"/>
    <n v="0.24965246296717788"/>
    <x v="1"/>
  </r>
  <r>
    <s v="Eswatini"/>
    <x v="38"/>
    <n v="1111457"/>
    <x v="8"/>
    <n v="0"/>
    <n v="1118318.9999999998"/>
    <n v="0"/>
    <m/>
    <n v="0"/>
    <m/>
    <n v="0"/>
    <m/>
    <n v="0"/>
    <m/>
    <n v="0"/>
    <n v="1160427.5"/>
    <n v="0"/>
    <n v="47"/>
    <m/>
    <n v="0"/>
    <m/>
    <n v="53"/>
    <m/>
    <n v="0"/>
    <n v="1201670.4999999995"/>
    <n v="64"/>
    <n v="47"/>
    <n v="0"/>
    <n v="0"/>
    <n v="64"/>
    <n v="0"/>
    <s v=""/>
    <n v="47"/>
    <s v="2018 (triag)"/>
    <n v="64"/>
    <n v="2022"/>
    <s v=""/>
    <n v="64"/>
    <n v="64"/>
    <s v="Increasing"/>
    <n v="-0.11185567778326533"/>
    <n v="0.45661638376408309"/>
    <n v="82.222253611744662"/>
    <n v="184.93358359078942"/>
    <n v="0"/>
    <n v="0.40502314879645646"/>
    <n v="0.5325919209966461"/>
    <n v="0.5325919209966461"/>
    <x v="1"/>
  </r>
  <r>
    <s v="Eswatini"/>
    <x v="38"/>
    <n v="1111458"/>
    <x v="9"/>
    <n v="0"/>
    <n v="1118318.9999999998"/>
    <n v="0"/>
    <m/>
    <n v="0"/>
    <m/>
    <n v="0"/>
    <m/>
    <n v="0"/>
    <m/>
    <n v="0"/>
    <n v="1160427.5"/>
    <n v="0"/>
    <n v="2084"/>
    <m/>
    <n v="0"/>
    <m/>
    <n v="0"/>
    <m/>
    <n v="0"/>
    <n v="1201670.4999999995"/>
    <n v="0"/>
    <n v="2084"/>
    <n v="0"/>
    <n v="0"/>
    <n v="0"/>
    <n v="0"/>
    <s v=""/>
    <n v="2084"/>
    <s v="2018 (triag)"/>
    <n v="2084"/>
    <s v="2018 (triag)"/>
    <s v=""/>
    <n v="2084"/>
    <n v="2084"/>
    <s v="No change"/>
    <n v="-0.11185567778326533"/>
    <n v="0.45661638376408309"/>
    <n v="3645.7697133377842"/>
    <n v="8200.0337915575565"/>
    <n v="0"/>
    <n v="17.958898767910963"/>
    <n v="17.342524427453288"/>
    <n v="17.342524427453288"/>
    <x v="1"/>
  </r>
  <r>
    <s v="Eswatini"/>
    <x v="38"/>
    <n v="1111459"/>
    <x v="10"/>
    <n v="0"/>
    <n v="1118318.9999999998"/>
    <n v="0"/>
    <m/>
    <n v="0"/>
    <m/>
    <n v="0"/>
    <m/>
    <n v="0"/>
    <m/>
    <n v="0"/>
    <n v="1160427.5"/>
    <n v="0"/>
    <n v="12"/>
    <m/>
    <n v="0"/>
    <m/>
    <n v="6"/>
    <m/>
    <n v="0"/>
    <n v="1201670.4999999995"/>
    <n v="6"/>
    <n v="12"/>
    <n v="0"/>
    <n v="0"/>
    <n v="6"/>
    <n v="0"/>
    <s v=""/>
    <n v="12"/>
    <s v="2018 (triag)"/>
    <n v="6"/>
    <n v="2020"/>
    <s v="Adjust"/>
    <n v="8.5995578278292122"/>
    <n v="12"/>
    <s v="Decreasing"/>
    <n v="-0.11185567778326533"/>
    <n v="0.45661638376408309"/>
    <n v="20.992915815764594"/>
    <n v="47.217085172116448"/>
    <n v="0"/>
    <n v="0.10341016565015911"/>
    <n v="7.1563359738207891E-2"/>
    <n v="9.9860985186871143E-2"/>
    <x v="1"/>
  </r>
  <r>
    <s v="Eswatini"/>
    <x v="38"/>
    <n v="1111460"/>
    <x v="11"/>
    <n v="0"/>
    <n v="1118318.9999999998"/>
    <n v="0"/>
    <m/>
    <n v="0"/>
    <m/>
    <n v="0"/>
    <m/>
    <n v="0"/>
    <m/>
    <n v="0"/>
    <n v="1160427.5"/>
    <n v="0"/>
    <n v="1215"/>
    <m/>
    <n v="0"/>
    <m/>
    <n v="52"/>
    <m/>
    <n v="0"/>
    <n v="1201670.4999999995"/>
    <n v="0"/>
    <n v="1215"/>
    <n v="0"/>
    <n v="0"/>
    <n v="52"/>
    <n v="0"/>
    <s v=""/>
    <n v="1215"/>
    <s v="2018 (triag)"/>
    <n v="52"/>
    <n v="2020"/>
    <s v="Adjust"/>
    <n v="74.529501174519837"/>
    <n v="1215"/>
    <s v="Decreasing"/>
    <n v="-0.11185567778326533"/>
    <n v="0.45661638376408309"/>
    <n v="2125.532726346165"/>
    <n v="4780.7298736767907"/>
    <n v="0"/>
    <n v="10.470279272078608"/>
    <n v="0.62021578439780178"/>
    <n v="10.110924750170703"/>
    <x v="0"/>
  </r>
  <r>
    <s v="Eswatini"/>
    <x v="38"/>
    <n v="1111461"/>
    <x v="12"/>
    <n v="0"/>
    <n v="1118318.9999999998"/>
    <n v="0"/>
    <m/>
    <n v="0"/>
    <m/>
    <n v="0"/>
    <m/>
    <n v="0"/>
    <m/>
    <n v="0"/>
    <n v="1160427.5"/>
    <n v="0"/>
    <n v="85"/>
    <m/>
    <n v="0"/>
    <m/>
    <n v="1861"/>
    <m/>
    <n v="0"/>
    <n v="1201670.4999999995"/>
    <n v="0"/>
    <n v="85"/>
    <n v="0"/>
    <n v="0"/>
    <n v="1861"/>
    <n v="0"/>
    <s v=""/>
    <n v="85"/>
    <s v="2018 (triag)"/>
    <n v="1861"/>
    <n v="2020"/>
    <s v=""/>
    <n v="1861"/>
    <n v="1861"/>
    <s v="Increasing"/>
    <n v="-0.11185567778326533"/>
    <n v="0.45661638376408309"/>
    <n v="148.69982036166587"/>
    <n v="334.45435330249154"/>
    <n v="0"/>
    <n v="0.73248867335529366"/>
    <n v="15.4867744527306"/>
    <n v="15.4867744527306"/>
    <x v="1"/>
  </r>
  <r>
    <s v="Eswatini"/>
    <x v="38"/>
    <n v="1111462"/>
    <x v="13"/>
    <n v="0"/>
    <n v="1118318.9999999998"/>
    <n v="0"/>
    <m/>
    <n v="0"/>
    <m/>
    <n v="0"/>
    <m/>
    <n v="0"/>
    <m/>
    <n v="0"/>
    <n v="1160427.5"/>
    <n v="0"/>
    <n v="370"/>
    <m/>
    <n v="0"/>
    <m/>
    <n v="0"/>
    <m/>
    <n v="0"/>
    <n v="1201670.4999999995"/>
    <n v="249"/>
    <n v="370"/>
    <n v="0"/>
    <n v="0"/>
    <n v="249"/>
    <n v="0"/>
    <s v=""/>
    <n v="370"/>
    <s v="2018 (triag)"/>
    <n v="249"/>
    <n v="2022"/>
    <s v="Adjust"/>
    <n v="356.88164985491227"/>
    <n v="370"/>
    <s v="Decreasing"/>
    <n v="-0.11185567778326533"/>
    <n v="0.45661638376408309"/>
    <n v="647.28157098607494"/>
    <n v="1455.8601261402573"/>
    <n v="0"/>
    <n v="3.1884801075465723"/>
    <n v="2.9698794291356276"/>
    <n v="3.0790470432618604"/>
    <x v="1"/>
  </r>
  <r>
    <s v="Eswatini"/>
    <x v="38"/>
    <n v="1111463"/>
    <x v="14"/>
    <n v="0"/>
    <n v="1118318.9999999998"/>
    <n v="0"/>
    <m/>
    <n v="0"/>
    <m/>
    <n v="0"/>
    <m/>
    <n v="0"/>
    <m/>
    <n v="0"/>
    <n v="1160427.5"/>
    <n v="0"/>
    <n v="29"/>
    <m/>
    <n v="0"/>
    <m/>
    <n v="0"/>
    <m/>
    <n v="0"/>
    <n v="1201670.4999999995"/>
    <n v="0"/>
    <n v="29"/>
    <n v="0"/>
    <n v="0"/>
    <n v="0"/>
    <n v="0"/>
    <s v=""/>
    <n v="29"/>
    <s v="2018 (triag)"/>
    <n v="29"/>
    <s v="2018 (triag)"/>
    <s v=""/>
    <n v="29"/>
    <n v="29"/>
    <s v="No change"/>
    <n v="-0.11185567778326533"/>
    <n v="0.45661638376408309"/>
    <n v="50.73287988809777"/>
    <n v="114.10795583261475"/>
    <n v="0"/>
    <n v="0.24990790032121782"/>
    <n v="0.24133071420160526"/>
    <n v="0.24133071420160526"/>
    <x v="1"/>
  </r>
  <r>
    <s v="Eswatini"/>
    <x v="38"/>
    <n v="1111464"/>
    <x v="15"/>
    <n v="0"/>
    <n v="1118318.9999999998"/>
    <n v="0"/>
    <m/>
    <n v="0"/>
    <m/>
    <n v="0"/>
    <m/>
    <n v="0"/>
    <m/>
    <n v="0"/>
    <n v="1160427.5"/>
    <n v="0"/>
    <n v="29"/>
    <m/>
    <n v="0"/>
    <m/>
    <n v="15"/>
    <m/>
    <n v="0"/>
    <n v="1201670.4999999995"/>
    <n v="32"/>
    <n v="29"/>
    <n v="0"/>
    <n v="0"/>
    <n v="32"/>
    <n v="0"/>
    <s v=""/>
    <n v="29"/>
    <s v="2018 (triag)"/>
    <n v="32"/>
    <n v="2022"/>
    <s v=""/>
    <n v="32"/>
    <n v="32"/>
    <s v="Increasing"/>
    <n v="-0.11185567778326533"/>
    <n v="0.45661638376408309"/>
    <n v="50.73287988809777"/>
    <n v="114.10795583261475"/>
    <n v="0"/>
    <n v="0.24990790032121782"/>
    <n v="0.26629596049832305"/>
    <n v="0.26629596049832305"/>
    <x v="1"/>
  </r>
  <r>
    <s v="Eswatini"/>
    <x v="38"/>
    <n v="1111465"/>
    <x v="16"/>
    <n v="0"/>
    <n v="1118318.9999999998"/>
    <n v="0"/>
    <m/>
    <n v="0"/>
    <m/>
    <n v="0"/>
    <m/>
    <n v="0"/>
    <m/>
    <n v="0"/>
    <n v="1160427.5"/>
    <n v="0"/>
    <n v="0"/>
    <m/>
    <n v="0"/>
    <m/>
    <n v="38"/>
    <m/>
    <n v="0"/>
    <n v="1201670.4999999995"/>
    <n v="0"/>
    <n v="0"/>
    <n v="0"/>
    <n v="0"/>
    <n v="38"/>
    <n v="0"/>
    <s v=""/>
    <n v="0"/>
    <s v=""/>
    <n v="38"/>
    <n v="2020"/>
    <s v=""/>
    <n v="38"/>
    <n v="38"/>
    <s v="Increasing"/>
    <n v="-0.11185567778326533"/>
    <n v="0.45661638376408309"/>
    <n v="0"/>
    <n v="0"/>
    <n v="0"/>
    <n v="0"/>
    <n v="0.31622645309175862"/>
    <n v="0.31622645309175862"/>
    <x v="1"/>
  </r>
  <r>
    <s v="Eswatini"/>
    <x v="38"/>
    <n v="1111466"/>
    <x v="17"/>
    <n v="0"/>
    <n v="1118318.9999999998"/>
    <n v="0"/>
    <m/>
    <n v="0"/>
    <m/>
    <n v="0"/>
    <m/>
    <n v="0"/>
    <m/>
    <n v="0"/>
    <n v="1160427.5"/>
    <n v="0"/>
    <n v="0"/>
    <m/>
    <n v="0"/>
    <m/>
    <n v="7"/>
    <m/>
    <n v="0"/>
    <n v="1201670.4999999995"/>
    <n v="14"/>
    <n v="0"/>
    <n v="0"/>
    <n v="0"/>
    <n v="14"/>
    <n v="0"/>
    <s v=""/>
    <n v="0"/>
    <s v=""/>
    <n v="14"/>
    <n v="2022"/>
    <s v=""/>
    <n v="14"/>
    <n v="14"/>
    <s v="Increasing"/>
    <n v="-0.11185567778326533"/>
    <n v="0.45661638376408309"/>
    <n v="0"/>
    <n v="0"/>
    <n v="0"/>
    <n v="0"/>
    <n v="0.11650448271801633"/>
    <n v="0.11650448271801633"/>
    <x v="1"/>
  </r>
  <r>
    <s v="Eswatini"/>
    <x v="38"/>
    <n v="1111467"/>
    <x v="18"/>
    <n v="0"/>
    <n v="1118318.9999999998"/>
    <n v="0"/>
    <m/>
    <n v="0"/>
    <m/>
    <n v="0"/>
    <m/>
    <n v="0"/>
    <m/>
    <n v="0"/>
    <n v="1160427.5"/>
    <n v="0"/>
    <n v="7"/>
    <m/>
    <n v="0"/>
    <m/>
    <n v="0"/>
    <m/>
    <n v="0"/>
    <n v="1201670.4999999995"/>
    <n v="0"/>
    <n v="7"/>
    <n v="0"/>
    <n v="0"/>
    <n v="0"/>
    <n v="0"/>
    <s v=""/>
    <n v="7"/>
    <s v="2018 (triag)"/>
    <n v="7"/>
    <s v="2018 (triag)"/>
    <s v=""/>
    <n v="7"/>
    <n v="7"/>
    <s v="No change"/>
    <n v="-0.11185567778326533"/>
    <n v="0.45661638376408309"/>
    <n v="12.245867559196013"/>
    <n v="27.543299683734595"/>
    <n v="0"/>
    <n v="6.0322596629259477E-2"/>
    <n v="5.8252241359008167E-2"/>
    <n v="5.8252241359008167E-2"/>
    <x v="1"/>
  </r>
  <r>
    <s v="Seychelles"/>
    <x v="39"/>
    <n v="95314"/>
    <x v="0"/>
    <n v="0"/>
    <n v="96714"/>
    <n v="0"/>
    <m/>
    <n v="0"/>
    <m/>
    <n v="0"/>
    <m/>
    <n v="0"/>
    <m/>
    <n v="0"/>
    <n v="103101.00000000003"/>
    <n v="0"/>
    <n v="0"/>
    <m/>
    <n v="0"/>
    <m/>
    <n v="0"/>
    <m/>
    <n v="0"/>
    <n v="107118.5"/>
    <n v="0"/>
    <n v="0"/>
    <n v="0"/>
    <n v="0"/>
    <n v="0"/>
    <n v="0"/>
    <s v=""/>
    <n v="0"/>
    <s v=""/>
    <n v="0"/>
    <s v=""/>
    <s v=""/>
    <n v="0"/>
    <n v="0"/>
    <s v="No change"/>
    <n v="-6.1731500721997512E-2"/>
    <n v="0.10455737067903281"/>
    <n v="0"/>
    <n v="0"/>
    <n v="0"/>
    <n v="0"/>
    <n v="0"/>
    <n v="0"/>
    <x v="1"/>
  </r>
  <r>
    <s v="Seychelles"/>
    <x v="39"/>
    <n v="95315"/>
    <x v="1"/>
    <n v="0"/>
    <n v="96714"/>
    <n v="0"/>
    <m/>
    <n v="0"/>
    <m/>
    <n v="0"/>
    <m/>
    <n v="0"/>
    <m/>
    <n v="0"/>
    <n v="103101.00000000003"/>
    <n v="0"/>
    <n v="5"/>
    <m/>
    <n v="0"/>
    <m/>
    <n v="0"/>
    <m/>
    <n v="0"/>
    <n v="107118.5"/>
    <n v="0"/>
    <n v="5"/>
    <n v="0"/>
    <n v="0"/>
    <n v="0"/>
    <n v="0"/>
    <s v=""/>
    <n v="5"/>
    <s v="2018 (triag)"/>
    <n v="5"/>
    <s v="2018 (triag)"/>
    <s v=""/>
    <n v="5"/>
    <n v="5"/>
    <s v="No change"/>
    <n v="-6.1731500721997512E-2"/>
    <n v="0.10455737067903281"/>
    <n v="6.8079797446848174"/>
    <n v="6.8422048382860083"/>
    <n v="0"/>
    <n v="0.48496134858051798"/>
    <n v="0.46677277967858027"/>
    <n v="0.46677277967858027"/>
    <x v="1"/>
  </r>
  <r>
    <s v="Seychelles"/>
    <x v="39"/>
    <n v="95316"/>
    <x v="2"/>
    <n v="0"/>
    <n v="96714"/>
    <n v="0"/>
    <m/>
    <n v="0"/>
    <m/>
    <n v="0"/>
    <m/>
    <n v="0"/>
    <m/>
    <n v="0"/>
    <n v="103101.00000000003"/>
    <n v="0"/>
    <n v="50"/>
    <m/>
    <n v="0"/>
    <m/>
    <n v="0"/>
    <m/>
    <n v="0"/>
    <n v="107118.5"/>
    <n v="0"/>
    <n v="50"/>
    <n v="0"/>
    <n v="0"/>
    <n v="0"/>
    <n v="0"/>
    <s v=""/>
    <n v="50"/>
    <s v="2018 (triag)"/>
    <n v="50"/>
    <s v="2018 (triag)"/>
    <s v=""/>
    <n v="50"/>
    <n v="50"/>
    <s v="No change"/>
    <n v="-6.1731500721997512E-2"/>
    <n v="0.10455737067903281"/>
    <n v="68.079797446848175"/>
    <n v="68.422048382860083"/>
    <n v="0"/>
    <n v="4.8496134858051798"/>
    <n v="4.6677277967858029"/>
    <n v="4.6677277967858029"/>
    <x v="1"/>
  </r>
  <r>
    <s v="Seychelles"/>
    <x v="39"/>
    <n v="95317"/>
    <x v="3"/>
    <n v="0"/>
    <n v="96714"/>
    <n v="0"/>
    <m/>
    <n v="0"/>
    <m/>
    <n v="0"/>
    <m/>
    <n v="0"/>
    <m/>
    <n v="0"/>
    <n v="103101.00000000003"/>
    <n v="0"/>
    <n v="258"/>
    <m/>
    <n v="0"/>
    <m/>
    <n v="0"/>
    <m/>
    <n v="0"/>
    <n v="107118.5"/>
    <n v="0"/>
    <n v="258"/>
    <n v="0"/>
    <n v="0"/>
    <n v="0"/>
    <n v="0"/>
    <s v=""/>
    <n v="258"/>
    <s v="2018 (triag)"/>
    <n v="258"/>
    <s v="2018 (triag)"/>
    <s v=""/>
    <n v="258"/>
    <n v="258"/>
    <s v="No change"/>
    <n v="-6.1731500721997512E-2"/>
    <n v="0.10455737067903281"/>
    <n v="351.29175482573658"/>
    <n v="353.05776965555799"/>
    <n v="0"/>
    <n v="25.024005586754729"/>
    <n v="24.085475431414743"/>
    <n v="24.085475431414743"/>
    <x v="1"/>
  </r>
  <r>
    <s v="Seychelles"/>
    <x v="39"/>
    <n v="95318"/>
    <x v="4"/>
    <n v="0"/>
    <n v="96714"/>
    <n v="0"/>
    <m/>
    <n v="0"/>
    <m/>
    <n v="0"/>
    <m/>
    <n v="0"/>
    <m/>
    <n v="0"/>
    <n v="103101.00000000003"/>
    <n v="0"/>
    <n v="0"/>
    <m/>
    <n v="0"/>
    <m/>
    <n v="0"/>
    <m/>
    <n v="0"/>
    <n v="107118.5"/>
    <n v="0"/>
    <n v="0"/>
    <n v="0"/>
    <n v="0"/>
    <n v="0"/>
    <n v="0"/>
    <s v=""/>
    <n v="0"/>
    <s v=""/>
    <n v="0"/>
    <s v=""/>
    <s v=""/>
    <n v="0"/>
    <n v="0"/>
    <s v="No change"/>
    <n v="-6.1731500721997512E-2"/>
    <n v="0.10455737067903281"/>
    <n v="0"/>
    <n v="0"/>
    <n v="0"/>
    <n v="0"/>
    <n v="0"/>
    <n v="0"/>
    <x v="1"/>
  </r>
  <r>
    <s v="Seychelles"/>
    <x v="39"/>
    <n v="95319"/>
    <x v="5"/>
    <n v="0"/>
    <n v="96714"/>
    <n v="0"/>
    <m/>
    <n v="0"/>
    <m/>
    <n v="0"/>
    <m/>
    <n v="0"/>
    <m/>
    <n v="0"/>
    <n v="103101.00000000003"/>
    <n v="0"/>
    <n v="2"/>
    <m/>
    <n v="14"/>
    <m/>
    <n v="0"/>
    <m/>
    <n v="4"/>
    <n v="107118.5"/>
    <n v="11"/>
    <n v="2"/>
    <n v="0"/>
    <n v="14"/>
    <n v="11"/>
    <n v="0"/>
    <s v=""/>
    <n v="2"/>
    <s v="2018 (triag)"/>
    <n v="11"/>
    <n v="2022"/>
    <s v=""/>
    <n v="11"/>
    <n v="13"/>
    <s v="Increasing"/>
    <n v="-6.1731500721997512E-2"/>
    <n v="0.10455737067903281"/>
    <n v="2.7231918978739271"/>
    <n v="2.7368819353144032"/>
    <n v="0"/>
    <n v="0.1939845394322072"/>
    <n v="1.0269001152928765"/>
    <n v="1.2136092271643086"/>
    <x v="1"/>
  </r>
  <r>
    <s v="Seychelles"/>
    <x v="39"/>
    <n v="95320"/>
    <x v="6"/>
    <n v="0"/>
    <n v="96714"/>
    <n v="0"/>
    <m/>
    <n v="0"/>
    <m/>
    <n v="0"/>
    <m/>
    <n v="0"/>
    <m/>
    <n v="0"/>
    <n v="103101.00000000003"/>
    <n v="71"/>
    <n v="71"/>
    <m/>
    <n v="0"/>
    <m/>
    <n v="0"/>
    <m/>
    <n v="0"/>
    <n v="107118.5"/>
    <n v="0"/>
    <n v="70"/>
    <n v="0"/>
    <n v="71"/>
    <n v="0"/>
    <n v="0"/>
    <s v=""/>
    <n v="71"/>
    <n v="2018"/>
    <n v="71"/>
    <n v="2018"/>
    <s v=""/>
    <n v="71"/>
    <n v="71"/>
    <s v="No change"/>
    <n v="-6.1731500721997512E-2"/>
    <n v="0.10455737067903281"/>
    <n v="95.311716425587448"/>
    <n v="95.790867736004117"/>
    <n v="0"/>
    <n v="6.8864511498433556"/>
    <n v="6.62817347143584"/>
    <n v="6.62817347143584"/>
    <x v="1"/>
  </r>
  <r>
    <s v="Seychelles"/>
    <x v="39"/>
    <n v="95321"/>
    <x v="7"/>
    <n v="0"/>
    <n v="96714"/>
    <n v="0"/>
    <m/>
    <n v="0"/>
    <m/>
    <n v="0"/>
    <m/>
    <n v="0"/>
    <m/>
    <n v="0"/>
    <n v="103101.00000000003"/>
    <n v="0"/>
    <n v="0"/>
    <m/>
    <n v="0"/>
    <m/>
    <n v="0"/>
    <m/>
    <n v="0"/>
    <n v="107118.5"/>
    <n v="0"/>
    <n v="0"/>
    <n v="0"/>
    <n v="0"/>
    <n v="0"/>
    <n v="0"/>
    <s v=""/>
    <n v="0"/>
    <s v=""/>
    <n v="0"/>
    <s v=""/>
    <s v=""/>
    <n v="0"/>
    <n v="0"/>
    <s v="No change"/>
    <n v="-6.1731500721997512E-2"/>
    <n v="0.10455737067903281"/>
    <n v="0"/>
    <n v="0"/>
    <n v="0"/>
    <n v="0"/>
    <n v="0"/>
    <n v="0"/>
    <x v="1"/>
  </r>
  <r>
    <s v="Seychelles"/>
    <x v="39"/>
    <n v="95322"/>
    <x v="8"/>
    <n v="0"/>
    <n v="96714"/>
    <n v="0"/>
    <m/>
    <n v="0"/>
    <m/>
    <n v="0"/>
    <m/>
    <n v="0"/>
    <m/>
    <n v="0"/>
    <n v="103101.00000000003"/>
    <n v="0"/>
    <n v="7"/>
    <m/>
    <n v="0"/>
    <m/>
    <n v="0"/>
    <m/>
    <n v="0"/>
    <n v="107118.5"/>
    <n v="0"/>
    <n v="7"/>
    <n v="0"/>
    <n v="0"/>
    <n v="0"/>
    <n v="0"/>
    <s v=""/>
    <n v="7"/>
    <s v="2018 (triag)"/>
    <n v="7"/>
    <s v="2018 (triag)"/>
    <s v=""/>
    <n v="7"/>
    <n v="7"/>
    <s v="No change"/>
    <n v="-6.1731500721997512E-2"/>
    <n v="0.10455737067903281"/>
    <n v="9.5311716425587445"/>
    <n v="9.5790867736004106"/>
    <n v="0"/>
    <n v="0.67894588801272515"/>
    <n v="0.65348189155001235"/>
    <n v="0.65348189155001235"/>
    <x v="1"/>
  </r>
  <r>
    <s v="Seychelles"/>
    <x v="39"/>
    <n v="95323"/>
    <x v="9"/>
    <n v="0"/>
    <n v="96714"/>
    <n v="0"/>
    <m/>
    <n v="0"/>
    <m/>
    <n v="0"/>
    <m/>
    <n v="0"/>
    <m/>
    <n v="0"/>
    <n v="103101.00000000003"/>
    <n v="0"/>
    <n v="0"/>
    <m/>
    <n v="0"/>
    <m/>
    <n v="0"/>
    <m/>
    <n v="0"/>
    <n v="107118.5"/>
    <n v="0"/>
    <n v="0"/>
    <n v="0"/>
    <n v="0"/>
    <n v="0"/>
    <n v="0"/>
    <s v=""/>
    <n v="0"/>
    <s v=""/>
    <n v="0"/>
    <s v=""/>
    <s v=""/>
    <n v="0"/>
    <n v="0"/>
    <s v="No change"/>
    <n v="-6.1731500721997512E-2"/>
    <n v="0.10455737067903281"/>
    <n v="0"/>
    <n v="0"/>
    <n v="0"/>
    <n v="0"/>
    <n v="0"/>
    <n v="0"/>
    <x v="1"/>
  </r>
  <r>
    <s v="Seychelles"/>
    <x v="39"/>
    <n v="95324"/>
    <x v="10"/>
    <n v="0"/>
    <n v="96714"/>
    <n v="0"/>
    <m/>
    <n v="0"/>
    <m/>
    <n v="0"/>
    <m/>
    <n v="0"/>
    <m/>
    <n v="0"/>
    <n v="103101.00000000003"/>
    <n v="0"/>
    <n v="28"/>
    <m/>
    <n v="0"/>
    <m/>
    <n v="0"/>
    <m/>
    <n v="22"/>
    <n v="107118.5"/>
    <n v="0"/>
    <n v="28"/>
    <n v="0"/>
    <n v="0"/>
    <n v="22"/>
    <n v="0"/>
    <s v=""/>
    <n v="28"/>
    <s v="2018 (triag)"/>
    <n v="22"/>
    <n v="2021"/>
    <s v="Adjust"/>
    <n v="25.284570175049133"/>
    <n v="28"/>
    <s v="Decreasing"/>
    <n v="-6.1731500721997512E-2"/>
    <n v="0.10455737067903281"/>
    <n v="38.124686570234978"/>
    <n v="38.316347094401642"/>
    <n v="0"/>
    <n v="2.7157835520509006"/>
    <n v="2.3604298207171621"/>
    <n v="2.6139275662000494"/>
    <x v="1"/>
  </r>
  <r>
    <s v="Seychelles"/>
    <x v="39"/>
    <n v="95325"/>
    <x v="11"/>
    <n v="0"/>
    <n v="96714"/>
    <n v="0"/>
    <m/>
    <n v="0"/>
    <m/>
    <n v="0"/>
    <m/>
    <n v="0"/>
    <m/>
    <n v="0"/>
    <n v="103101.00000000003"/>
    <n v="0"/>
    <n v="0"/>
    <m/>
    <n v="0"/>
    <m/>
    <n v="0"/>
    <m/>
    <n v="0"/>
    <n v="107118.5"/>
    <n v="0"/>
    <n v="0"/>
    <n v="0"/>
    <n v="0"/>
    <n v="0"/>
    <n v="0"/>
    <s v=""/>
    <n v="0"/>
    <s v=""/>
    <n v="0"/>
    <s v=""/>
    <s v=""/>
    <n v="0"/>
    <n v="0"/>
    <s v="No change"/>
    <n v="-6.1731500721997512E-2"/>
    <n v="0.10455737067903281"/>
    <n v="0"/>
    <n v="0"/>
    <n v="0"/>
    <n v="0"/>
    <n v="0"/>
    <n v="0"/>
    <x v="1"/>
  </r>
  <r>
    <s v="Seychelles"/>
    <x v="39"/>
    <n v="95326"/>
    <x v="12"/>
    <n v="0"/>
    <n v="96714"/>
    <n v="0"/>
    <m/>
    <n v="0"/>
    <m/>
    <n v="0"/>
    <m/>
    <n v="0"/>
    <m/>
    <n v="0"/>
    <n v="103101.00000000003"/>
    <n v="0"/>
    <n v="0"/>
    <m/>
    <n v="0"/>
    <m/>
    <n v="0"/>
    <m/>
    <n v="0"/>
    <n v="107118.5"/>
    <n v="0"/>
    <n v="0"/>
    <n v="0"/>
    <n v="0"/>
    <n v="0"/>
    <n v="0"/>
    <s v=""/>
    <n v="0"/>
    <s v=""/>
    <n v="0"/>
    <s v=""/>
    <s v=""/>
    <n v="0"/>
    <n v="0"/>
    <s v="No change"/>
    <n v="-6.1731500721997512E-2"/>
    <n v="0.10455737067903281"/>
    <n v="0"/>
    <n v="0"/>
    <n v="0"/>
    <n v="0"/>
    <n v="0"/>
    <n v="0"/>
    <x v="1"/>
  </r>
  <r>
    <s v="Seychelles"/>
    <x v="39"/>
    <n v="95327"/>
    <x v="13"/>
    <n v="0"/>
    <n v="96714"/>
    <n v="0"/>
    <m/>
    <n v="0"/>
    <m/>
    <n v="0"/>
    <m/>
    <n v="0"/>
    <m/>
    <n v="0"/>
    <n v="103101.00000000003"/>
    <n v="0"/>
    <n v="71"/>
    <m/>
    <n v="0"/>
    <m/>
    <n v="0"/>
    <m/>
    <n v="0"/>
    <n v="107118.5"/>
    <n v="0"/>
    <n v="71"/>
    <n v="0"/>
    <n v="0"/>
    <n v="0"/>
    <n v="0"/>
    <s v=""/>
    <n v="71"/>
    <s v="2018 (triag)"/>
    <n v="71"/>
    <s v="2018 (triag)"/>
    <s v=""/>
    <n v="71"/>
    <n v="71"/>
    <s v="No change"/>
    <n v="-6.1731500721997512E-2"/>
    <n v="0.10455737067903281"/>
    <n v="96.673312374524414"/>
    <n v="97.15930870366131"/>
    <n v="0"/>
    <n v="6.8864511498433556"/>
    <n v="6.62817347143584"/>
    <n v="6.62817347143584"/>
    <x v="1"/>
  </r>
  <r>
    <s v="Seychelles"/>
    <x v="39"/>
    <n v="95328"/>
    <x v="14"/>
    <n v="0"/>
    <n v="96714"/>
    <n v="0"/>
    <m/>
    <n v="0"/>
    <m/>
    <n v="0"/>
    <m/>
    <n v="0"/>
    <m/>
    <n v="0"/>
    <n v="103101.00000000003"/>
    <n v="0"/>
    <n v="0"/>
    <m/>
    <n v="0"/>
    <m/>
    <n v="0"/>
    <m/>
    <n v="0"/>
    <n v="107118.5"/>
    <n v="0"/>
    <n v="0"/>
    <n v="0"/>
    <n v="0"/>
    <n v="0"/>
    <n v="0"/>
    <s v=""/>
    <n v="0"/>
    <s v=""/>
    <n v="0"/>
    <s v=""/>
    <s v=""/>
    <n v="0"/>
    <n v="0"/>
    <s v="No change"/>
    <n v="-6.1731500721997512E-2"/>
    <n v="0.10455737067903281"/>
    <n v="0"/>
    <n v="0"/>
    <n v="0"/>
    <n v="0"/>
    <n v="0"/>
    <n v="0"/>
    <x v="1"/>
  </r>
  <r>
    <s v="Seychelles"/>
    <x v="39"/>
    <n v="95329"/>
    <x v="15"/>
    <n v="0"/>
    <n v="96714"/>
    <n v="0"/>
    <m/>
    <n v="0"/>
    <m/>
    <n v="0"/>
    <m/>
    <n v="0"/>
    <m/>
    <n v="0"/>
    <n v="103101.00000000003"/>
    <n v="0"/>
    <n v="33"/>
    <m/>
    <n v="0"/>
    <m/>
    <n v="0"/>
    <m/>
    <n v="60"/>
    <n v="107118.5"/>
    <n v="0"/>
    <n v="33"/>
    <n v="0"/>
    <n v="0"/>
    <n v="60"/>
    <n v="0"/>
    <s v=""/>
    <n v="33"/>
    <s v="2018 (triag)"/>
    <n v="60"/>
    <n v="2021"/>
    <s v=""/>
    <n v="60"/>
    <n v="60"/>
    <s v="Increasing"/>
    <n v="-6.1731500721997512E-2"/>
    <n v="0.10455737067903281"/>
    <n v="44.9326663149198"/>
    <n v="45.158551932687651"/>
    <n v="0"/>
    <n v="3.2007449006314186"/>
    <n v="5.6012733561429631"/>
    <n v="5.6012733561429631"/>
    <x v="1"/>
  </r>
  <r>
    <s v="Seychelles"/>
    <x v="39"/>
    <n v="95330"/>
    <x v="16"/>
    <n v="0"/>
    <n v="96714"/>
    <n v="0"/>
    <m/>
    <n v="0"/>
    <m/>
    <n v="0"/>
    <m/>
    <n v="0"/>
    <m/>
    <n v="0"/>
    <n v="103101.00000000003"/>
    <n v="0"/>
    <n v="0"/>
    <m/>
    <n v="0"/>
    <m/>
    <n v="0"/>
    <m/>
    <n v="2"/>
    <n v="107118.5"/>
    <n v="0"/>
    <n v="0"/>
    <n v="0"/>
    <n v="0"/>
    <n v="2"/>
    <n v="0"/>
    <s v=""/>
    <n v="0"/>
    <s v=""/>
    <n v="2"/>
    <n v="2021"/>
    <s v=""/>
    <n v="2"/>
    <n v="2"/>
    <s v="Increasing"/>
    <n v="-6.1731500721997512E-2"/>
    <n v="0.10455737067903281"/>
    <n v="0"/>
    <n v="0"/>
    <n v="0"/>
    <n v="0"/>
    <n v="0.1867091118714321"/>
    <n v="0.1867091118714321"/>
    <x v="1"/>
  </r>
  <r>
    <s v="Seychelles"/>
    <x v="39"/>
    <n v="95331"/>
    <x v="17"/>
    <n v="0"/>
    <n v="96714"/>
    <n v="0"/>
    <m/>
    <n v="0"/>
    <m/>
    <n v="0"/>
    <m/>
    <n v="0"/>
    <m/>
    <n v="0"/>
    <n v="103101.00000000003"/>
    <n v="0"/>
    <n v="0"/>
    <m/>
    <n v="0"/>
    <m/>
    <n v="0"/>
    <m/>
    <n v="5"/>
    <n v="107118.5"/>
    <n v="5"/>
    <n v="0"/>
    <n v="0"/>
    <n v="0"/>
    <n v="5"/>
    <n v="0"/>
    <s v=""/>
    <n v="0"/>
    <s v=""/>
    <n v="5"/>
    <n v="2021"/>
    <s v=""/>
    <n v="5"/>
    <n v="5"/>
    <s v="Increasing"/>
    <n v="-6.1731500721997512E-2"/>
    <n v="0.10455737067903281"/>
    <n v="0"/>
    <n v="0"/>
    <n v="0"/>
    <n v="0"/>
    <n v="0.46677277967858027"/>
    <n v="0.46677277967858027"/>
    <x v="1"/>
  </r>
  <r>
    <s v="Seychelles"/>
    <x v="39"/>
    <n v="95332"/>
    <x v="18"/>
    <n v="0"/>
    <n v="96714"/>
    <n v="0"/>
    <m/>
    <n v="0"/>
    <m/>
    <n v="0"/>
    <m/>
    <n v="0"/>
    <m/>
    <n v="0"/>
    <n v="103101.00000000003"/>
    <n v="0"/>
    <n v="0"/>
    <m/>
    <n v="0"/>
    <m/>
    <n v="0"/>
    <m/>
    <n v="2"/>
    <n v="107118.5"/>
    <n v="0"/>
    <n v="0"/>
    <n v="0"/>
    <n v="0"/>
    <n v="2"/>
    <n v="0"/>
    <s v=""/>
    <n v="0"/>
    <s v=""/>
    <n v="2"/>
    <n v="2021"/>
    <s v=""/>
    <n v="2"/>
    <n v="2"/>
    <s v="Increasing"/>
    <n v="-6.1731500721997512E-2"/>
    <n v="0.10455737067903281"/>
    <n v="0"/>
    <n v="0"/>
    <n v="0"/>
    <n v="0"/>
    <n v="0.1867091118714321"/>
    <n v="0.1867091118714321"/>
    <x v="1"/>
  </r>
  <r>
    <s v="Chad"/>
    <x v="40"/>
    <n v="12754911"/>
    <x v="0"/>
    <n v="0"/>
    <n v="13216766.5"/>
    <n v="0"/>
    <m/>
    <n v="0"/>
    <m/>
    <n v="0"/>
    <m/>
    <n v="0"/>
    <m/>
    <n v="0"/>
    <n v="15604210"/>
    <n v="0"/>
    <n v="7"/>
    <m/>
    <n v="0"/>
    <m/>
    <n v="592"/>
    <m/>
    <n v="8077"/>
    <n v="17723314.500000004"/>
    <n v="0"/>
    <n v="7"/>
    <n v="0"/>
    <n v="0"/>
    <n v="8077"/>
    <n v="0"/>
    <s v=""/>
    <n v="7"/>
    <s v="2018 (triag)"/>
    <n v="8077"/>
    <n v="2021"/>
    <s v=""/>
    <n v="8077"/>
    <n v="8077"/>
    <s v="Increasing"/>
    <n v="-3.1578929217935259E-2"/>
    <n v="1.4876976840610734E-2"/>
    <n v="8.1972996998818672"/>
    <n v="7.3194931192912742"/>
    <n v="0"/>
    <n v="4.4859688507140061E-3"/>
    <n v="4.5572739794241075"/>
    <n v="4.5572739794241075"/>
    <x v="1"/>
  </r>
  <r>
    <s v="Chad"/>
    <x v="40"/>
    <n v="12754912"/>
    <x v="1"/>
    <n v="406"/>
    <n v="13216766.5"/>
    <n v="0"/>
    <m/>
    <n v="0"/>
    <m/>
    <n v="43"/>
    <m/>
    <n v="0"/>
    <m/>
    <n v="0"/>
    <n v="15604210"/>
    <n v="0"/>
    <n v="58"/>
    <m/>
    <n v="0"/>
    <m/>
    <n v="0"/>
    <m/>
    <n v="0"/>
    <n v="17723314.500000004"/>
    <n v="0"/>
    <n v="58"/>
    <n v="406"/>
    <n v="0"/>
    <n v="0"/>
    <n v="406"/>
    <n v="2012"/>
    <n v="58"/>
    <s v="2018 (triag)"/>
    <n v="58"/>
    <s v="2018 (triag)"/>
    <s v=""/>
    <n v="58"/>
    <n v="58"/>
    <s v="No change"/>
    <n v="-3.1578929217935259E-2"/>
    <n v="1.4876976840610734E-2"/>
    <n v="67.920483227592612"/>
    <n v="60.647228702699131"/>
    <n v="0.30718557371804972"/>
    <n v="3.7169456191630333E-2"/>
    <n v="3.2725255764095358E-2"/>
    <n v="3.2725255764095358E-2"/>
    <x v="1"/>
  </r>
  <r>
    <s v="Chad"/>
    <x v="40"/>
    <n v="12754913"/>
    <x v="2"/>
    <n v="1258"/>
    <n v="13216766.5"/>
    <n v="0"/>
    <m/>
    <n v="255"/>
    <m/>
    <n v="0"/>
    <m/>
    <n v="0"/>
    <m/>
    <n v="0"/>
    <n v="15604210"/>
    <n v="0"/>
    <n v="76"/>
    <m/>
    <n v="0"/>
    <m/>
    <n v="0"/>
    <m/>
    <n v="0"/>
    <n v="17723314.500000004"/>
    <n v="0"/>
    <n v="76"/>
    <n v="1258"/>
    <n v="0"/>
    <n v="0"/>
    <n v="1258"/>
    <n v="2012"/>
    <n v="76"/>
    <s v="2018 (triag)"/>
    <n v="76"/>
    <s v="2018 (triag)"/>
    <s v=""/>
    <n v="76"/>
    <n v="76"/>
    <s v="No change"/>
    <n v="-3.1578929217935259E-2"/>
    <n v="1.4876976840610734E-2"/>
    <n v="88.999253884431695"/>
    <n v="79.468782438019545"/>
    <n v="0.95182130969779943"/>
    <n v="4.8704804664894921E-2"/>
    <n v="4.2881369621918061E-2"/>
    <n v="4.2881369621918061E-2"/>
    <x v="1"/>
  </r>
  <r>
    <s v="Chad"/>
    <x v="40"/>
    <n v="12754914"/>
    <x v="3"/>
    <n v="0"/>
    <n v="13216766.5"/>
    <n v="0"/>
    <m/>
    <n v="0"/>
    <m/>
    <n v="0"/>
    <m/>
    <n v="0"/>
    <m/>
    <n v="0"/>
    <n v="15604210"/>
    <n v="0"/>
    <n v="738"/>
    <m/>
    <n v="208"/>
    <m/>
    <n v="0"/>
    <m/>
    <n v="0"/>
    <n v="17723314.500000004"/>
    <n v="0"/>
    <n v="738"/>
    <n v="0"/>
    <n v="208"/>
    <n v="0"/>
    <n v="0"/>
    <s v=""/>
    <n v="738"/>
    <s v="2018 (triag)"/>
    <n v="208"/>
    <s v="2018 (triag)"/>
    <s v="Adjust"/>
    <n v="240.20714655618852"/>
    <n v="738"/>
    <s v="Decreasing"/>
    <n v="-3.1578929217935259E-2"/>
    <n v="1.4876976840610734E-2"/>
    <n v="864.22959693040252"/>
    <n v="771.68370314813717"/>
    <n v="0"/>
    <n v="0.47294928740384806"/>
    <n v="0.13553172943818634"/>
    <n v="0.41640066817073063"/>
    <x v="0"/>
  </r>
  <r>
    <s v="Chad"/>
    <x v="40"/>
    <n v="12754915"/>
    <x v="4"/>
    <n v="0"/>
    <n v="13216766.5"/>
    <n v="0"/>
    <m/>
    <n v="0"/>
    <m/>
    <n v="0"/>
    <m/>
    <n v="0"/>
    <m/>
    <n v="0"/>
    <n v="15604210"/>
    <n v="0"/>
    <n v="732"/>
    <m/>
    <n v="109"/>
    <m/>
    <n v="0"/>
    <m/>
    <n v="371"/>
    <n v="17723314.500000004"/>
    <n v="0"/>
    <n v="732"/>
    <n v="0"/>
    <n v="109"/>
    <n v="371"/>
    <n v="0"/>
    <s v=""/>
    <n v="732"/>
    <s v="2018 (triag)"/>
    <n v="371"/>
    <n v="2021"/>
    <s v="Adjust"/>
    <n v="428.44640082858621"/>
    <n v="732"/>
    <s v="Decreasing"/>
    <n v="-3.1578929217935259E-2"/>
    <n v="1.4876976840610734E-2"/>
    <n v="857.20334004478946"/>
    <n v="765.40985190303036"/>
    <n v="0"/>
    <n v="0.46910417124609322"/>
    <n v="0.24174169048830349"/>
    <n v="0.41301529688478972"/>
    <x v="0"/>
  </r>
  <r>
    <s v="Chad"/>
    <x v="40"/>
    <n v="12754916"/>
    <x v="5"/>
    <n v="0"/>
    <n v="13216766.5"/>
    <n v="0"/>
    <m/>
    <n v="0"/>
    <m/>
    <n v="0"/>
    <m/>
    <n v="0"/>
    <m/>
    <n v="0"/>
    <n v="15604210"/>
    <n v="0"/>
    <n v="0"/>
    <m/>
    <n v="0"/>
    <m/>
    <n v="0"/>
    <m/>
    <n v="4"/>
    <n v="17723314.500000004"/>
    <n v="11"/>
    <n v="0"/>
    <n v="0"/>
    <n v="0"/>
    <n v="11"/>
    <n v="0"/>
    <s v=""/>
    <n v="0"/>
    <s v=""/>
    <n v="11"/>
    <n v="2022"/>
    <s v=""/>
    <n v="11"/>
    <n v="11"/>
    <s v="Increasing"/>
    <n v="-3.1578929217935259E-2"/>
    <n v="1.4876976840610734E-2"/>
    <n v="0"/>
    <n v="0"/>
    <n v="0"/>
    <n v="0"/>
    <n v="6.206514024224982E-3"/>
    <n v="6.206514024224982E-3"/>
    <x v="1"/>
  </r>
  <r>
    <s v="Chad"/>
    <x v="40"/>
    <n v="12754917"/>
    <x v="6"/>
    <n v="0"/>
    <n v="13216766.5"/>
    <n v="0"/>
    <m/>
    <n v="0"/>
    <m/>
    <n v="0"/>
    <m/>
    <n v="0"/>
    <m/>
    <n v="0"/>
    <n v="15604210"/>
    <n v="749"/>
    <n v="814"/>
    <m/>
    <n v="0"/>
    <m/>
    <n v="0"/>
    <m/>
    <n v="848"/>
    <n v="17723314.500000004"/>
    <n v="1028"/>
    <n v="814"/>
    <n v="0"/>
    <n v="749"/>
    <n v="1028"/>
    <n v="0"/>
    <s v=""/>
    <n v="814"/>
    <s v="2018 (triag)"/>
    <n v="1028"/>
    <n v="2022"/>
    <s v=""/>
    <n v="1028"/>
    <n v="1028"/>
    <s v="Increasing"/>
    <n v="-3.1578929217935259E-2"/>
    <n v="1.4876976840610734E-2"/>
    <n v="953.22885081483423"/>
    <n v="851.15248558615679"/>
    <n v="0"/>
    <n v="0.52165409206874302"/>
    <n v="0.58002694699120738"/>
    <n v="0.58002694699120738"/>
    <x v="1"/>
  </r>
  <r>
    <s v="Chad"/>
    <x v="40"/>
    <n v="12754918"/>
    <x v="7"/>
    <n v="0"/>
    <n v="13216766.5"/>
    <n v="0"/>
    <m/>
    <n v="0"/>
    <m/>
    <n v="0"/>
    <m/>
    <n v="0"/>
    <m/>
    <n v="0"/>
    <n v="15604210"/>
    <n v="0"/>
    <n v="42"/>
    <m/>
    <n v="0"/>
    <m/>
    <n v="0"/>
    <m/>
    <n v="104"/>
    <n v="17723314.500000004"/>
    <n v="104"/>
    <n v="42"/>
    <n v="0"/>
    <n v="0"/>
    <n v="104"/>
    <n v="0"/>
    <s v=""/>
    <n v="42"/>
    <s v="2018 (triag)"/>
    <n v="104"/>
    <n v="2021"/>
    <s v=""/>
    <n v="104"/>
    <n v="104"/>
    <s v="Increasing"/>
    <n v="-3.1578929217935259E-2"/>
    <n v="1.4876976840610734E-2"/>
    <n v="49.183798199291203"/>
    <n v="43.916958715747647"/>
    <n v="0"/>
    <n v="2.6915813104284037E-2"/>
    <n v="5.8679768956308921E-2"/>
    <n v="5.8679768956308921E-2"/>
    <x v="1"/>
  </r>
  <r>
    <s v="Chad"/>
    <x v="40"/>
    <n v="12754919"/>
    <x v="8"/>
    <n v="0"/>
    <n v="13216766.5"/>
    <n v="0"/>
    <m/>
    <n v="0"/>
    <m/>
    <n v="0"/>
    <m/>
    <n v="0"/>
    <m/>
    <n v="0"/>
    <n v="15604210"/>
    <n v="0"/>
    <n v="25"/>
    <m/>
    <n v="48"/>
    <m/>
    <n v="0"/>
    <m/>
    <n v="0"/>
    <n v="17723314.500000004"/>
    <n v="0"/>
    <n v="25"/>
    <n v="0"/>
    <n v="48"/>
    <n v="0"/>
    <n v="0"/>
    <s v=""/>
    <n v="25"/>
    <s v="2018 (triag)"/>
    <n v="48"/>
    <s v="2018 (triag)"/>
    <s v=""/>
    <n v="48"/>
    <n v="48"/>
    <s v="Increasing"/>
    <n v="-3.1578929217935259E-2"/>
    <n v="1.4876976840610734E-2"/>
    <n v="29.276070356720954"/>
    <n v="26.141046854611695"/>
    <n v="0"/>
    <n v="1.6021317323978594E-2"/>
    <n v="2.7082970287527194E-2"/>
    <n v="2.7082970287527194E-2"/>
    <x v="1"/>
  </r>
  <r>
    <s v="Chad"/>
    <x v="40"/>
    <n v="12754920"/>
    <x v="9"/>
    <n v="0"/>
    <n v="13216766.5"/>
    <n v="0"/>
    <m/>
    <n v="0"/>
    <m/>
    <n v="0"/>
    <m/>
    <n v="0"/>
    <m/>
    <n v="0"/>
    <n v="15604210"/>
    <n v="0"/>
    <n v="6"/>
    <m/>
    <n v="0"/>
    <m/>
    <n v="0"/>
    <m/>
    <n v="0"/>
    <n v="17723314.500000004"/>
    <n v="0"/>
    <n v="6"/>
    <n v="0"/>
    <n v="0"/>
    <n v="0"/>
    <n v="0"/>
    <s v=""/>
    <n v="6"/>
    <s v="2018 (triag)"/>
    <n v="6"/>
    <s v="2018 (triag)"/>
    <s v=""/>
    <n v="6"/>
    <n v="6"/>
    <s v="No change"/>
    <n v="-3.1578929217935259E-2"/>
    <n v="1.4876976840610734E-2"/>
    <n v="7.0262568856130283"/>
    <n v="6.2738512451068065"/>
    <n v="0"/>
    <n v="3.8451161577548621E-3"/>
    <n v="3.3853712859408993E-3"/>
    <n v="3.3853712859408993E-3"/>
    <x v="1"/>
  </r>
  <r>
    <s v="Chad"/>
    <x v="40"/>
    <n v="12754921"/>
    <x v="10"/>
    <n v="0"/>
    <n v="13216766.5"/>
    <n v="0"/>
    <m/>
    <n v="0"/>
    <m/>
    <n v="0"/>
    <m/>
    <n v="0"/>
    <m/>
    <n v="0"/>
    <n v="15604210"/>
    <n v="0"/>
    <n v="6"/>
    <m/>
    <n v="50"/>
    <m/>
    <n v="1"/>
    <m/>
    <n v="0"/>
    <n v="17723314.500000004"/>
    <n v="0"/>
    <n v="6"/>
    <n v="0"/>
    <n v="50"/>
    <n v="1"/>
    <n v="0"/>
    <s v=""/>
    <n v="6"/>
    <s v="2018 (triag)"/>
    <n v="1"/>
    <n v="2020"/>
    <s v="Adjust"/>
    <n v="1.1548420507509063"/>
    <n v="6"/>
    <s v="Decreasing"/>
    <n v="-3.1578929217935259E-2"/>
    <n v="1.4876976840610734E-2"/>
    <n v="7.0262568856130283"/>
    <n v="6.2738512451068065"/>
    <n v="0"/>
    <n v="3.8451161577548621E-3"/>
    <n v="6.5159485306820356E-4"/>
    <n v="3.3853712859408993E-3"/>
    <x v="0"/>
  </r>
  <r>
    <s v="Chad"/>
    <x v="40"/>
    <n v="12754922"/>
    <x v="11"/>
    <n v="0"/>
    <n v="13216766.5"/>
    <n v="0"/>
    <m/>
    <n v="0"/>
    <m/>
    <n v="0"/>
    <m/>
    <n v="0"/>
    <m/>
    <n v="0"/>
    <n v="15604210"/>
    <n v="0"/>
    <n v="436"/>
    <m/>
    <n v="6"/>
    <m/>
    <n v="0"/>
    <m/>
    <n v="0"/>
    <n v="17723314.500000004"/>
    <n v="0"/>
    <n v="436"/>
    <n v="0"/>
    <n v="6"/>
    <n v="0"/>
    <n v="0"/>
    <s v=""/>
    <n v="436"/>
    <s v="2018 (triag)"/>
    <n v="6"/>
    <s v="2018 (triag)"/>
    <s v="Adjust"/>
    <n v="6.9290523045054382"/>
    <n v="436"/>
    <s v="Decreasing"/>
    <n v="-3.1578929217935259E-2"/>
    <n v="1.4876976840610734E-2"/>
    <n v="510.57466702121343"/>
    <n v="455.89985714442793"/>
    <n v="0"/>
    <n v="0.27941177413018664"/>
    <n v="3.9095691184092207E-3"/>
    <n v="0.24600364677837203"/>
    <x v="0"/>
  </r>
  <r>
    <s v="Chad"/>
    <x v="40"/>
    <n v="12754923"/>
    <x v="12"/>
    <n v="0"/>
    <n v="13216766.5"/>
    <n v="0"/>
    <m/>
    <n v="0"/>
    <m/>
    <n v="0"/>
    <m/>
    <n v="0"/>
    <m/>
    <n v="0"/>
    <n v="15604210"/>
    <n v="0"/>
    <n v="90"/>
    <m/>
    <n v="791"/>
    <m/>
    <n v="0"/>
    <m/>
    <n v="0"/>
    <n v="17723314.500000004"/>
    <n v="0"/>
    <n v="90"/>
    <n v="0"/>
    <n v="791"/>
    <n v="0"/>
    <n v="0"/>
    <s v=""/>
    <n v="90"/>
    <s v="2018 (triag)"/>
    <n v="791"/>
    <s v="2018 (triag)"/>
    <s v=""/>
    <n v="791"/>
    <n v="791"/>
    <s v="Increasing"/>
    <n v="-3.1578929217935259E-2"/>
    <n v="1.4876976840610734E-2"/>
    <n v="105.39385328419543"/>
    <n v="94.107768676602092"/>
    <n v="0"/>
    <n v="5.7676742366322933E-2"/>
    <n v="0.44630478119654188"/>
    <n v="0.44630478119654188"/>
    <x v="1"/>
  </r>
  <r>
    <s v="Chad"/>
    <x v="40"/>
    <n v="12754924"/>
    <x v="13"/>
    <n v="0"/>
    <n v="13216766.5"/>
    <n v="0"/>
    <m/>
    <n v="0"/>
    <m/>
    <n v="0"/>
    <m/>
    <n v="0"/>
    <m/>
    <n v="0"/>
    <n v="15604210"/>
    <n v="0"/>
    <n v="749"/>
    <m/>
    <n v="0"/>
    <m/>
    <n v="0"/>
    <m/>
    <n v="848"/>
    <n v="17723314.500000004"/>
    <n v="1028"/>
    <n v="749"/>
    <n v="0"/>
    <n v="0"/>
    <n v="1028"/>
    <n v="0"/>
    <s v=""/>
    <n v="749"/>
    <s v="2018 (triag)"/>
    <n v="1028"/>
    <n v="2022"/>
    <s v=""/>
    <n v="1028"/>
    <n v="1028"/>
    <s v="Increasing"/>
    <n v="-3.1578929217935259E-2"/>
    <n v="1.4876976840610734E-2"/>
    <n v="877.1110678873597"/>
    <n v="783.18576376416638"/>
    <n v="0"/>
    <n v="0.47999866702639865"/>
    <n v="0.58002694699120738"/>
    <n v="0.58002694699120738"/>
    <x v="1"/>
  </r>
  <r>
    <s v="Chad"/>
    <x v="40"/>
    <n v="12754925"/>
    <x v="14"/>
    <n v="0"/>
    <n v="13216766.5"/>
    <n v="0"/>
    <m/>
    <n v="0"/>
    <m/>
    <n v="0"/>
    <m/>
    <n v="0"/>
    <m/>
    <n v="0"/>
    <n v="15604210"/>
    <n v="0"/>
    <n v="0"/>
    <m/>
    <n v="0"/>
    <m/>
    <n v="0"/>
    <m/>
    <n v="0"/>
    <n v="17723314.500000004"/>
    <n v="0"/>
    <n v="0"/>
    <n v="0"/>
    <n v="0"/>
    <n v="0"/>
    <n v="0"/>
    <s v=""/>
    <n v="0"/>
    <s v=""/>
    <n v="0"/>
    <s v=""/>
    <s v=""/>
    <n v="0"/>
    <n v="0"/>
    <s v="No change"/>
    <n v="-3.1578929217935259E-2"/>
    <n v="1.4876976840610734E-2"/>
    <n v="0"/>
    <n v="0"/>
    <n v="0"/>
    <n v="0"/>
    <n v="0"/>
    <n v="0"/>
    <x v="1"/>
  </r>
  <r>
    <s v="Chad"/>
    <x v="40"/>
    <n v="12754926"/>
    <x v="15"/>
    <n v="0"/>
    <n v="13216766.5"/>
    <n v="0"/>
    <m/>
    <n v="0"/>
    <m/>
    <n v="0"/>
    <m/>
    <n v="0"/>
    <m/>
    <n v="0"/>
    <n v="15604210"/>
    <n v="0"/>
    <n v="2"/>
    <m/>
    <n v="18"/>
    <m/>
    <n v="0"/>
    <m/>
    <n v="0"/>
    <n v="17723314.500000004"/>
    <n v="0"/>
    <n v="2"/>
    <n v="0"/>
    <n v="18"/>
    <n v="0"/>
    <n v="0"/>
    <s v=""/>
    <n v="2"/>
    <s v="2018 (triag)"/>
    <n v="18"/>
    <s v="2018 (triag)"/>
    <s v=""/>
    <n v="18"/>
    <n v="18"/>
    <s v="Increasing"/>
    <n v="-3.1578929217935259E-2"/>
    <n v="1.4876976840610734E-2"/>
    <n v="2.3420856285376761"/>
    <n v="2.0912837483689355"/>
    <n v="0"/>
    <n v="1.2817053859182875E-3"/>
    <n v="1.0156113857822698E-2"/>
    <n v="1.0156113857822698E-2"/>
    <x v="1"/>
  </r>
  <r>
    <s v="Chad"/>
    <x v="40"/>
    <n v="12754927"/>
    <x v="16"/>
    <n v="0"/>
    <n v="13216766.5"/>
    <n v="0"/>
    <m/>
    <n v="0"/>
    <m/>
    <n v="0"/>
    <m/>
    <n v="0"/>
    <m/>
    <n v="0"/>
    <n v="15604210"/>
    <n v="0"/>
    <n v="0"/>
    <m/>
    <n v="19"/>
    <m/>
    <n v="0"/>
    <m/>
    <n v="0"/>
    <n v="17723314.500000004"/>
    <n v="0"/>
    <n v="0"/>
    <n v="0"/>
    <n v="19"/>
    <n v="0"/>
    <n v="0"/>
    <s v=""/>
    <n v="19"/>
    <n v="2019"/>
    <n v="19"/>
    <n v="2019"/>
    <s v=""/>
    <n v="19"/>
    <n v="19"/>
    <s v="No change"/>
    <n v="-3.1578929217935259E-2"/>
    <n v="1.4876976840610734E-2"/>
    <n v="0"/>
    <n v="0"/>
    <n v="0"/>
    <n v="1.217620116622373E-2"/>
    <n v="1.0720342405479515E-2"/>
    <n v="1.0720342405479515E-2"/>
    <x v="1"/>
  </r>
  <r>
    <s v="Chad"/>
    <x v="40"/>
    <n v="12754928"/>
    <x v="17"/>
    <n v="0"/>
    <n v="13216766.5"/>
    <n v="0"/>
    <m/>
    <n v="0"/>
    <m/>
    <n v="0"/>
    <m/>
    <n v="0"/>
    <m/>
    <n v="0"/>
    <n v="15604210"/>
    <n v="0"/>
    <n v="0"/>
    <m/>
    <n v="0"/>
    <m/>
    <n v="0"/>
    <m/>
    <n v="0"/>
    <n v="17723314.500000004"/>
    <n v="0"/>
    <n v="0"/>
    <n v="0"/>
    <n v="0"/>
    <n v="0"/>
    <n v="0"/>
    <s v=""/>
    <n v="0"/>
    <s v=""/>
    <n v="0"/>
    <s v=""/>
    <s v=""/>
    <n v="0"/>
    <n v="0"/>
    <s v="No change"/>
    <n v="-3.1578929217935259E-2"/>
    <n v="1.4876976840610734E-2"/>
    <n v="0"/>
    <n v="0"/>
    <n v="0"/>
    <n v="0"/>
    <n v="0"/>
    <n v="0"/>
    <x v="1"/>
  </r>
  <r>
    <s v="Chad"/>
    <x v="40"/>
    <n v="12754929"/>
    <x v="18"/>
    <n v="0"/>
    <n v="13216766.5"/>
    <n v="0"/>
    <m/>
    <n v="0"/>
    <m/>
    <n v="0"/>
    <m/>
    <n v="0"/>
    <m/>
    <n v="0"/>
    <n v="15604210"/>
    <n v="0"/>
    <n v="0"/>
    <m/>
    <n v="0"/>
    <m/>
    <n v="0"/>
    <m/>
    <n v="0"/>
    <n v="17723314.500000004"/>
    <n v="21983"/>
    <n v="0"/>
    <n v="0"/>
    <n v="0"/>
    <n v="21983"/>
    <n v="0"/>
    <s v=""/>
    <n v="0"/>
    <s v=""/>
    <n v="21983"/>
    <n v="2022"/>
    <s v=""/>
    <n v="21983"/>
    <n v="21983"/>
    <s v="Increasing"/>
    <n v="-3.1578929217935259E-2"/>
    <n v="1.4876976840610734E-2"/>
    <n v="0"/>
    <n v="0"/>
    <n v="0"/>
    <n v="0"/>
    <n v="12.403436163139798"/>
    <n v="12.403436163139798"/>
    <x v="1"/>
  </r>
  <r>
    <s v="Togo"/>
    <x v="41"/>
    <n v="6926639.5"/>
    <x v="0"/>
    <n v="0"/>
    <n v="7106229"/>
    <n v="0"/>
    <m/>
    <n v="0"/>
    <m/>
    <n v="0"/>
    <m/>
    <n v="0"/>
    <m/>
    <n v="7545"/>
    <n v="8046679"/>
    <n v="7086"/>
    <n v="7500"/>
    <m/>
    <n v="0"/>
    <m/>
    <n v="7386"/>
    <m/>
    <n v="7500"/>
    <n v="8848698.5000000019"/>
    <n v="0"/>
    <n v="7500"/>
    <n v="0"/>
    <n v="7545"/>
    <n v="7500"/>
    <n v="0"/>
    <s v=""/>
    <n v="7500"/>
    <s v="2018 (triag)"/>
    <n v="7500"/>
    <n v="2021"/>
    <s v=""/>
    <n v="7500"/>
    <n v="7500"/>
    <s v="No change"/>
    <n v="-1.0198610590244073E-2"/>
    <n v="0.13933439758107946"/>
    <n v="7892.3668707759425"/>
    <n v="11391.941429502709"/>
    <n v="0"/>
    <n v="9.3206153743674882"/>
    <n v="8.4758227438758347"/>
    <n v="8.4758227438758347"/>
    <x v="1"/>
  </r>
  <r>
    <s v="Togo"/>
    <x v="41"/>
    <n v="6926640.5"/>
    <x v="1"/>
    <n v="0"/>
    <n v="7106229"/>
    <n v="0"/>
    <m/>
    <n v="0"/>
    <m/>
    <n v="0"/>
    <m/>
    <n v="0"/>
    <m/>
    <n v="0"/>
    <n v="8046679"/>
    <n v="0"/>
    <n v="12"/>
    <m/>
    <n v="0"/>
    <m/>
    <n v="0"/>
    <m/>
    <n v="0"/>
    <n v="8848698.5000000019"/>
    <n v="0"/>
    <n v="12"/>
    <n v="0"/>
    <n v="0"/>
    <n v="0"/>
    <n v="0"/>
    <s v=""/>
    <n v="12"/>
    <s v="2018 (triag)"/>
    <n v="12"/>
    <s v="2018 (triag)"/>
    <s v=""/>
    <n v="12"/>
    <n v="12"/>
    <s v="No change"/>
    <n v="-1.0198610590244073E-2"/>
    <n v="0.13933439758107946"/>
    <n v="12.627786993241507"/>
    <n v="18.227106287204336"/>
    <n v="0"/>
    <n v="1.491298459898798E-2"/>
    <n v="1.3561316390201335E-2"/>
    <n v="1.3561316390201335E-2"/>
    <x v="1"/>
  </r>
  <r>
    <s v="Togo"/>
    <x v="41"/>
    <n v="6926641.5"/>
    <x v="2"/>
    <n v="0"/>
    <n v="7106229"/>
    <n v="0"/>
    <m/>
    <n v="0"/>
    <m/>
    <n v="0"/>
    <m/>
    <n v="0"/>
    <m/>
    <n v="0"/>
    <n v="8046679"/>
    <n v="0"/>
    <n v="340"/>
    <m/>
    <n v="0"/>
    <m/>
    <n v="0"/>
    <m/>
    <n v="0"/>
    <n v="8848698.5000000019"/>
    <n v="0"/>
    <n v="340"/>
    <n v="0"/>
    <n v="0"/>
    <n v="0"/>
    <n v="0"/>
    <s v=""/>
    <n v="340"/>
    <s v="2018 (triag)"/>
    <n v="340"/>
    <s v="2018 (triag)"/>
    <s v=""/>
    <n v="340"/>
    <n v="340"/>
    <s v="No change"/>
    <n v="-1.0198610590244073E-2"/>
    <n v="0.13933439758107946"/>
    <n v="357.78729814184271"/>
    <n v="516.4346781374561"/>
    <n v="0"/>
    <n v="0.42253456363799274"/>
    <n v="0.3842372977223712"/>
    <n v="0.3842372977223712"/>
    <x v="1"/>
  </r>
  <r>
    <s v="Togo"/>
    <x v="41"/>
    <n v="6926642.5"/>
    <x v="3"/>
    <n v="0"/>
    <n v="7106229"/>
    <n v="0"/>
    <m/>
    <n v="0"/>
    <m/>
    <n v="0"/>
    <m/>
    <n v="2249"/>
    <m/>
    <n v="3474"/>
    <n v="8046679"/>
    <n v="3903"/>
    <n v="3903"/>
    <m/>
    <n v="3845"/>
    <m/>
    <n v="4622"/>
    <m/>
    <n v="2974"/>
    <n v="8848698.5000000019"/>
    <n v="0"/>
    <n v="3413"/>
    <n v="0"/>
    <n v="3903"/>
    <n v="4622"/>
    <n v="0"/>
    <s v=""/>
    <n v="3903"/>
    <n v="2018"/>
    <n v="2974"/>
    <n v="2021"/>
    <s v="Adjust"/>
    <n v="3595.1391245334239"/>
    <n v="3903"/>
    <s v="Decreasing"/>
    <n v="-1.0198610590244073E-2"/>
    <n v="0.13933439758107946"/>
    <n v="3591.5530839944386"/>
    <n v="5184.092813185699"/>
    <n v="0"/>
    <n v="4.8504482408208407"/>
    <n v="4.0629015945490998"/>
    <n v="4.4108181559129847"/>
    <x v="1"/>
  </r>
  <r>
    <s v="Togo"/>
    <x v="41"/>
    <n v="6926643.5"/>
    <x v="4"/>
    <n v="0"/>
    <n v="7106229"/>
    <n v="0"/>
    <m/>
    <n v="0"/>
    <m/>
    <n v="0"/>
    <m/>
    <n v="0"/>
    <m/>
    <n v="0"/>
    <n v="8046679"/>
    <n v="0"/>
    <n v="63"/>
    <m/>
    <n v="0"/>
    <m/>
    <n v="0"/>
    <m/>
    <n v="0"/>
    <n v="8848698.5000000019"/>
    <n v="1377"/>
    <n v="63"/>
    <n v="0"/>
    <n v="0"/>
    <n v="1377"/>
    <n v="0"/>
    <s v=""/>
    <n v="63"/>
    <s v="2018 (triag)"/>
    <n v="1377"/>
    <n v="2022"/>
    <s v=""/>
    <n v="1377"/>
    <n v="1377"/>
    <s v="Increasing"/>
    <n v="-1.0198610590244073E-2"/>
    <n v="0.13933439758107946"/>
    <n v="66.295881714517918"/>
    <n v="95.69230800782276"/>
    <n v="0"/>
    <n v="7.8293169144686897E-2"/>
    <n v="1.5561610557756034"/>
    <n v="1.5561610557756034"/>
    <x v="1"/>
  </r>
  <r>
    <s v="Togo"/>
    <x v="41"/>
    <n v="6926644.5"/>
    <x v="5"/>
    <n v="0"/>
    <n v="7106229"/>
    <n v="0"/>
    <m/>
    <n v="0"/>
    <m/>
    <n v="0"/>
    <m/>
    <n v="50"/>
    <m/>
    <n v="64"/>
    <n v="8046679"/>
    <n v="55"/>
    <n v="55"/>
    <m/>
    <n v="16"/>
    <m/>
    <n v="8"/>
    <m/>
    <n v="19"/>
    <n v="8848698.5000000019"/>
    <n v="19"/>
    <n v="2"/>
    <n v="0"/>
    <n v="64"/>
    <n v="19"/>
    <n v="0"/>
    <s v=""/>
    <n v="55"/>
    <n v="2018"/>
    <n v="19"/>
    <n v="2021"/>
    <s v="Adjust"/>
    <n v="22.968272819816764"/>
    <n v="55"/>
    <s v="Decreasing"/>
    <n v="-1.0198610590244073E-2"/>
    <n v="0.13933439758107946"/>
    <n v="2.1046311655402512"/>
    <n v="3.037851047867389"/>
    <n v="0"/>
    <n v="6.8351179412028243E-2"/>
    <n v="2.5956667887166409E-2"/>
    <n v="6.2156033455089459E-2"/>
    <x v="0"/>
  </r>
  <r>
    <s v="Togo"/>
    <x v="41"/>
    <n v="6926645.5"/>
    <x v="6"/>
    <n v="0"/>
    <n v="7106229"/>
    <n v="0"/>
    <m/>
    <n v="0"/>
    <m/>
    <n v="407"/>
    <m/>
    <n v="276"/>
    <m/>
    <n v="454"/>
    <n v="8046679"/>
    <n v="460"/>
    <n v="857"/>
    <m/>
    <n v="518"/>
    <m/>
    <n v="589"/>
    <m/>
    <n v="446"/>
    <n v="8848698.5000000019"/>
    <n v="0"/>
    <n v="857"/>
    <n v="407"/>
    <n v="518"/>
    <n v="589"/>
    <n v="407"/>
    <n v="2015"/>
    <n v="857"/>
    <s v="2018 (triag)"/>
    <n v="446"/>
    <n v="2021"/>
    <s v="Adjust"/>
    <n v="539.14998303359357"/>
    <n v="857"/>
    <s v="Decreasing"/>
    <n v="-1.0198610590244073E-2"/>
    <n v="0.13933439758107946"/>
    <n v="901.83445443399762"/>
    <n v="1301.7191740111762"/>
    <n v="0.57273696077061409"/>
    <n v="1.0650356501110583"/>
    <n v="0.60929862514085376"/>
    <n v="0.96850401220021209"/>
    <x v="0"/>
  </r>
  <r>
    <s v="Togo"/>
    <x v="41"/>
    <n v="6926646.5"/>
    <x v="7"/>
    <n v="0"/>
    <n v="7106229"/>
    <n v="0"/>
    <m/>
    <n v="0"/>
    <m/>
    <n v="0"/>
    <m/>
    <n v="0"/>
    <m/>
    <n v="0"/>
    <n v="8046679"/>
    <n v="0"/>
    <n v="1075"/>
    <m/>
    <n v="0"/>
    <m/>
    <n v="997"/>
    <m/>
    <n v="0"/>
    <n v="8848698.5000000019"/>
    <n v="595"/>
    <n v="1075"/>
    <n v="0"/>
    <n v="0"/>
    <n v="997"/>
    <n v="0"/>
    <s v=""/>
    <n v="1075"/>
    <s v="2018 (triag)"/>
    <n v="595"/>
    <n v="2022"/>
    <s v="Adjust"/>
    <n v="719.26959619952504"/>
    <n v="1075"/>
    <s v="Decreasing"/>
    <n v="-1.0198610590244073E-2"/>
    <n v="0.13933439758107946"/>
    <n v="1131.2392514778851"/>
    <n v="1632.8449382287215"/>
    <n v="0"/>
    <n v="1.3359548703260065"/>
    <n v="0.81285354699284296"/>
    <n v="1.2148679266222029"/>
    <x v="0"/>
  </r>
  <r>
    <s v="Togo"/>
    <x v="41"/>
    <n v="6926647.5"/>
    <x v="8"/>
    <n v="0"/>
    <n v="7106229"/>
    <n v="0"/>
    <m/>
    <n v="0"/>
    <m/>
    <n v="0"/>
    <m/>
    <n v="112"/>
    <m/>
    <n v="151"/>
    <n v="8046679"/>
    <n v="148"/>
    <n v="148"/>
    <m/>
    <n v="139"/>
    <m/>
    <n v="280"/>
    <m/>
    <n v="95"/>
    <n v="8848698.5000000019"/>
    <n v="0"/>
    <n v="23"/>
    <n v="0"/>
    <n v="151"/>
    <n v="280"/>
    <n v="0"/>
    <s v=""/>
    <n v="148"/>
    <n v="2018"/>
    <n v="95"/>
    <n v="2021"/>
    <s v="Adjust"/>
    <n v="114.84136409908382"/>
    <n v="148"/>
    <s v="Decreasing"/>
    <n v="-1.0198610590244073E-2"/>
    <n v="0.13933439758107946"/>
    <n v="24.203258403712891"/>
    <n v="34.935287050474976"/>
    <n v="0"/>
    <n v="0.1839268100541851"/>
    <n v="0.12978333943583206"/>
    <n v="0.16725623547914981"/>
    <x v="1"/>
  </r>
  <r>
    <s v="Togo"/>
    <x v="41"/>
    <n v="6926648.5"/>
    <x v="9"/>
    <n v="0"/>
    <n v="7106229"/>
    <n v="0"/>
    <m/>
    <n v="0"/>
    <m/>
    <n v="0"/>
    <m/>
    <n v="0"/>
    <m/>
    <n v="0"/>
    <n v="8046679"/>
    <n v="0"/>
    <n v="0"/>
    <m/>
    <n v="0"/>
    <m/>
    <n v="0"/>
    <m/>
    <n v="0"/>
    <n v="8848698.5000000019"/>
    <n v="0"/>
    <n v="0"/>
    <n v="0"/>
    <n v="0"/>
    <n v="0"/>
    <n v="0"/>
    <s v=""/>
    <n v="0"/>
    <s v=""/>
    <n v="0"/>
    <s v=""/>
    <s v=""/>
    <n v="0"/>
    <n v="0"/>
    <s v="No change"/>
    <n v="-1.0198610590244073E-2"/>
    <n v="0.13933439758107946"/>
    <n v="0"/>
    <n v="0"/>
    <n v="0"/>
    <n v="0"/>
    <n v="0"/>
    <n v="0"/>
    <x v="1"/>
  </r>
  <r>
    <s v="Togo"/>
    <x v="41"/>
    <n v="6926649.5"/>
    <x v="10"/>
    <n v="0"/>
    <n v="7106229"/>
    <n v="0"/>
    <m/>
    <n v="0"/>
    <m/>
    <n v="0"/>
    <m/>
    <n v="2"/>
    <m/>
    <n v="6"/>
    <n v="8046679"/>
    <n v="5"/>
    <n v="5"/>
    <m/>
    <n v="4"/>
    <m/>
    <n v="3"/>
    <m/>
    <n v="1"/>
    <n v="8848698.5000000019"/>
    <n v="2"/>
    <n v="2"/>
    <n v="0"/>
    <n v="6"/>
    <n v="3"/>
    <n v="0"/>
    <s v=""/>
    <n v="5"/>
    <n v="2018"/>
    <n v="2"/>
    <n v="2022"/>
    <s v="Adjust"/>
    <n v="2.4177129284017647"/>
    <n v="5"/>
    <s v="Decreasing"/>
    <n v="-1.0198610590244073E-2"/>
    <n v="0.13933439758107946"/>
    <n v="2.1046311655402512"/>
    <n v="3.037851047867389"/>
    <n v="0"/>
    <n v="6.213743582911658E-3"/>
    <n v="2.7322808302280431E-3"/>
    <n v="5.6505484959172231E-3"/>
    <x v="0"/>
  </r>
  <r>
    <s v="Togo"/>
    <x v="41"/>
    <n v="6926650.5"/>
    <x v="11"/>
    <n v="0"/>
    <n v="7106229"/>
    <n v="0"/>
    <m/>
    <n v="0"/>
    <m/>
    <n v="0"/>
    <m/>
    <n v="1340"/>
    <m/>
    <n v="1364"/>
    <n v="8046679"/>
    <n v="1353"/>
    <n v="4010"/>
    <m/>
    <n v="1353"/>
    <m/>
    <n v="2137"/>
    <m/>
    <n v="2139"/>
    <n v="8848698.5000000019"/>
    <n v="0"/>
    <n v="4010"/>
    <n v="0"/>
    <n v="1364"/>
    <n v="2139"/>
    <n v="0"/>
    <s v=""/>
    <n v="4010"/>
    <s v="2018 (triag)"/>
    <n v="2139"/>
    <n v="2021"/>
    <s v="Adjust"/>
    <n v="2585.7439769256871"/>
    <n v="4010"/>
    <s v="Decreasing"/>
    <n v="-1.0198610590244073E-2"/>
    <n v="0.13933439758107946"/>
    <n v="4219.7854869082039"/>
    <n v="6090.8913509741151"/>
    <n v="0"/>
    <n v="4.9834223534951496"/>
    <n v="2.922174347928892"/>
    <n v="4.5317398937256135"/>
    <x v="0"/>
  </r>
  <r>
    <s v="Togo"/>
    <x v="41"/>
    <n v="6926651.5"/>
    <x v="12"/>
    <n v="0"/>
    <n v="7106229"/>
    <n v="0"/>
    <m/>
    <n v="0"/>
    <m/>
    <n v="0"/>
    <m/>
    <n v="1264"/>
    <m/>
    <n v="1806"/>
    <n v="8046679"/>
    <n v="1554"/>
    <n v="1554"/>
    <m/>
    <n v="1948"/>
    <m/>
    <n v="1371"/>
    <m/>
    <n v="0"/>
    <n v="8848698.5000000019"/>
    <n v="0"/>
    <n v="360"/>
    <n v="0"/>
    <n v="1948"/>
    <n v="1371"/>
    <n v="0"/>
    <s v=""/>
    <n v="1554"/>
    <n v="2018"/>
    <n v="1371"/>
    <n v="2020"/>
    <s v="Adjust"/>
    <n v="1657.3422124194096"/>
    <n v="1657.3422124194096"/>
    <s v="Increasing"/>
    <n v="-1.0198610590244073E-2"/>
    <n v="0.13933439758107946"/>
    <n v="378.83360979724523"/>
    <n v="546.81318861612999"/>
    <n v="0"/>
    <n v="1.9312315055689435"/>
    <n v="1.8729785091213238"/>
    <n v="1.8729785091213238"/>
    <x v="1"/>
  </r>
  <r>
    <s v="Togo"/>
    <x v="41"/>
    <n v="6926652.5"/>
    <x v="13"/>
    <n v="0"/>
    <n v="7106229"/>
    <n v="0"/>
    <m/>
    <n v="0"/>
    <m/>
    <n v="0"/>
    <m/>
    <n v="129"/>
    <m/>
    <n v="201"/>
    <n v="8046679"/>
    <n v="183"/>
    <n v="615"/>
    <m/>
    <n v="195"/>
    <m/>
    <n v="338"/>
    <m/>
    <n v="149"/>
    <n v="8848698.5000000019"/>
    <n v="887"/>
    <n v="615"/>
    <n v="0"/>
    <n v="201"/>
    <n v="887"/>
    <n v="0"/>
    <s v=""/>
    <n v="615"/>
    <s v="2018 (triag)"/>
    <n v="887"/>
    <n v="2022"/>
    <s v=""/>
    <n v="887"/>
    <n v="887"/>
    <s v="Increasing"/>
    <n v="-1.0198610590244073E-2"/>
    <n v="0.13933439758107946"/>
    <n v="647.17408340362726"/>
    <n v="934.13919721922207"/>
    <n v="0"/>
    <n v="0.764290460698134"/>
    <n v="1.0024073031757155"/>
    <n v="1.0024073031757155"/>
    <x v="1"/>
  </r>
  <r>
    <s v="Togo"/>
    <x v="41"/>
    <n v="6926653.5"/>
    <x v="14"/>
    <n v="0"/>
    <n v="7106229"/>
    <n v="0"/>
    <m/>
    <n v="0"/>
    <m/>
    <n v="0"/>
    <m/>
    <n v="638"/>
    <m/>
    <n v="945"/>
    <n v="8046679"/>
    <n v="978"/>
    <n v="978"/>
    <m/>
    <n v="817"/>
    <m/>
    <n v="0"/>
    <m/>
    <n v="813"/>
    <n v="8848698.5000000019"/>
    <n v="390"/>
    <n v="0"/>
    <n v="0"/>
    <n v="978"/>
    <n v="813"/>
    <n v="0"/>
    <s v=""/>
    <n v="978"/>
    <n v="2018"/>
    <n v="390"/>
    <n v="2022"/>
    <s v="Adjust"/>
    <n v="471.45402103834408"/>
    <n v="978"/>
    <s v="Decreasing"/>
    <n v="-1.0198610590244073E-2"/>
    <n v="0.13933439758107946"/>
    <n v="0"/>
    <n v="0"/>
    <n v="0"/>
    <n v="1.2154082448175203"/>
    <n v="0.53279476189446839"/>
    <n v="1.1052472858014089"/>
    <x v="0"/>
  </r>
  <r>
    <s v="Togo"/>
    <x v="41"/>
    <n v="6926654.5"/>
    <x v="15"/>
    <n v="0"/>
    <n v="7106229"/>
    <n v="0"/>
    <m/>
    <n v="0"/>
    <m/>
    <n v="231"/>
    <m/>
    <n v="152"/>
    <m/>
    <n v="174"/>
    <n v="8046679"/>
    <n v="160"/>
    <n v="252"/>
    <m/>
    <n v="175"/>
    <m/>
    <n v="230"/>
    <m/>
    <n v="161"/>
    <n v="8848698.5000000019"/>
    <n v="183"/>
    <n v="252"/>
    <n v="231"/>
    <n v="175"/>
    <n v="230"/>
    <n v="231"/>
    <n v="2015"/>
    <n v="252"/>
    <s v="2018 (triag)"/>
    <n v="183"/>
    <n v="2022"/>
    <s v="Adjust"/>
    <n v="221.22073294876148"/>
    <n v="252"/>
    <s v="Decreasing"/>
    <n v="-1.0198610590244073E-2"/>
    <n v="0.13933439758107946"/>
    <n v="265.18352685807167"/>
    <n v="382.76923203129104"/>
    <n v="0.32506692368061879"/>
    <n v="0.31317267657874759"/>
    <n v="0.25000369596586597"/>
    <n v="0.28478764419422803"/>
    <x v="1"/>
  </r>
  <r>
    <s v="Togo"/>
    <x v="41"/>
    <n v="6926655.5"/>
    <x v="16"/>
    <n v="0"/>
    <n v="7106229"/>
    <n v="0"/>
    <m/>
    <n v="0"/>
    <m/>
    <n v="0"/>
    <m/>
    <n v="14"/>
    <m/>
    <n v="62"/>
    <n v="8046679"/>
    <n v="62"/>
    <n v="62"/>
    <m/>
    <n v="62"/>
    <m/>
    <n v="66"/>
    <m/>
    <n v="56"/>
    <n v="8848698.5000000019"/>
    <n v="0"/>
    <n v="0"/>
    <n v="0"/>
    <n v="62"/>
    <n v="66"/>
    <n v="0"/>
    <s v=""/>
    <n v="62"/>
    <n v="2017"/>
    <n v="56"/>
    <n v="2021"/>
    <s v="Adjust"/>
    <n v="67.695961995249405"/>
    <n v="67.695961995249405"/>
    <s v="Increasing"/>
    <n v="-1.0198610590244073E-2"/>
    <n v="0.13933439758107946"/>
    <n v="0"/>
    <n v="0"/>
    <n v="0"/>
    <n v="7.705042042810456E-2"/>
    <n v="7.6503863246385209E-2"/>
    <n v="7.6503863246385209E-2"/>
    <x v="1"/>
  </r>
  <r>
    <s v="Togo"/>
    <x v="41"/>
    <n v="6926656.5"/>
    <x v="17"/>
    <n v="0"/>
    <n v="7106229"/>
    <n v="0"/>
    <m/>
    <n v="0"/>
    <m/>
    <n v="0"/>
    <m/>
    <n v="9"/>
    <m/>
    <n v="21"/>
    <n v="8046679"/>
    <n v="25"/>
    <n v="25"/>
    <m/>
    <n v="35"/>
    <m/>
    <n v="83"/>
    <m/>
    <n v="33"/>
    <n v="8848698.5000000019"/>
    <n v="0"/>
    <n v="0"/>
    <n v="0"/>
    <n v="35"/>
    <n v="83"/>
    <n v="0"/>
    <s v=""/>
    <n v="25"/>
    <n v="2018"/>
    <n v="33"/>
    <n v="2021"/>
    <s v=""/>
    <n v="33"/>
    <n v="33"/>
    <s v="Increasing"/>
    <n v="-1.0198610590244073E-2"/>
    <n v="0.13933439758107946"/>
    <n v="0"/>
    <n v="0"/>
    <n v="0"/>
    <n v="3.1068717914558293E-2"/>
    <n v="3.7293620073053674E-2"/>
    <n v="3.7293620073053674E-2"/>
    <x v="1"/>
  </r>
  <r>
    <s v="Togo"/>
    <x v="41"/>
    <n v="6926657.5"/>
    <x v="18"/>
    <n v="0"/>
    <n v="7106229"/>
    <n v="0"/>
    <m/>
    <n v="0"/>
    <m/>
    <n v="0"/>
    <m/>
    <n v="0"/>
    <m/>
    <n v="0"/>
    <n v="8046679"/>
    <n v="0"/>
    <n v="987"/>
    <m/>
    <n v="0"/>
    <m/>
    <n v="0"/>
    <m/>
    <n v="0"/>
    <n v="8848698.5000000019"/>
    <n v="0"/>
    <n v="987"/>
    <n v="0"/>
    <n v="0"/>
    <n v="0"/>
    <n v="0"/>
    <s v=""/>
    <n v="987"/>
    <s v="2018 (triag)"/>
    <n v="987"/>
    <s v="2018 (triag)"/>
    <s v=""/>
    <n v="987"/>
    <n v="987"/>
    <s v="No change"/>
    <n v="-1.0198610590244073E-2"/>
    <n v="0.13933439758107946"/>
    <n v="1038.6354801941141"/>
    <n v="1499.1794921225564"/>
    <n v="0"/>
    <n v="1.2265929832667612"/>
    <n v="1.1154182730940598"/>
    <n v="1.1154182730940598"/>
    <x v="1"/>
  </r>
  <r>
    <s v="Tanzania"/>
    <x v="42"/>
    <n v="47786142.5"/>
    <x v="0"/>
    <n v="0"/>
    <n v="49253643.5"/>
    <n v="0"/>
    <m/>
    <n v="0"/>
    <m/>
    <n v="0"/>
    <m/>
    <n v="0"/>
    <m/>
    <n v="0"/>
    <n v="58090443.000000007"/>
    <n v="0"/>
    <n v="0"/>
    <m/>
    <n v="0"/>
    <m/>
    <n v="0"/>
    <m/>
    <n v="0"/>
    <n v="65497748.000000045"/>
    <n v="20737"/>
    <n v="0"/>
    <n v="0"/>
    <n v="0"/>
    <n v="20737"/>
    <n v="0"/>
    <s v=""/>
    <n v="0"/>
    <s v=""/>
    <n v="20737"/>
    <n v="2022"/>
    <s v=""/>
    <n v="20737"/>
    <n v="20737"/>
    <s v="Increasing"/>
    <n v="0.14011618556211447"/>
    <n v="5.4673730437993617E-2"/>
    <n v="0"/>
    <n v="0"/>
    <n v="0"/>
    <n v="0"/>
    <n v="3.166063053038096"/>
    <n v="3.166063053038096"/>
    <x v="1"/>
  </r>
  <r>
    <s v="Tanzania"/>
    <x v="42"/>
    <n v="47786143.5"/>
    <x v="1"/>
    <n v="0"/>
    <n v="49253643.5"/>
    <n v="0"/>
    <m/>
    <n v="0"/>
    <m/>
    <n v="0"/>
    <m/>
    <n v="0"/>
    <m/>
    <n v="49"/>
    <n v="58090443.000000007"/>
    <n v="855"/>
    <n v="855"/>
    <m/>
    <n v="0"/>
    <m/>
    <n v="0"/>
    <m/>
    <n v="0"/>
    <n v="65497748.000000045"/>
    <n v="65"/>
    <n v="148"/>
    <n v="0"/>
    <n v="855"/>
    <n v="65"/>
    <n v="0"/>
    <s v=""/>
    <n v="855"/>
    <n v="2018"/>
    <n v="65"/>
    <n v="2022"/>
    <s v="Adjust"/>
    <n v="84.207649746486481"/>
    <n v="855"/>
    <s v="Decreasing"/>
    <n v="0.14011618556211447"/>
    <n v="5.4673730437993617E-2"/>
    <n v="73.451942288537239"/>
    <n v="174.379413923481"/>
    <n v="0"/>
    <n v="0.14718427952081548"/>
    <n v="1.2856571762816399E-2"/>
    <n v="0.13053883928955839"/>
    <x v="0"/>
  </r>
  <r>
    <s v="Tanzania"/>
    <x v="42"/>
    <n v="47786144.5"/>
    <x v="2"/>
    <n v="3255"/>
    <n v="49253643.5"/>
    <n v="0"/>
    <m/>
    <n v="0"/>
    <m/>
    <n v="0"/>
    <m/>
    <n v="0"/>
    <m/>
    <n v="566"/>
    <n v="58090443.000000007"/>
    <n v="1905"/>
    <n v="1905"/>
    <m/>
    <n v="0"/>
    <m/>
    <n v="0"/>
    <m/>
    <n v="0"/>
    <n v="65497748.000000045"/>
    <n v="929"/>
    <n v="578"/>
    <n v="3255"/>
    <n v="1905"/>
    <n v="929"/>
    <n v="3255"/>
    <n v="2012"/>
    <n v="1905"/>
    <n v="2018"/>
    <n v="929"/>
    <n v="2022"/>
    <s v="Adjust"/>
    <n v="1203.5216402228605"/>
    <n v="1905"/>
    <s v="Decreasing"/>
    <n v="0.14011618556211447"/>
    <n v="5.4673730437993617E-2"/>
    <n v="286.8596124511792"/>
    <n v="681.02230572818928"/>
    <n v="0.66086481500602079"/>
    <n v="0.32793690349374677"/>
    <n v="0.18375007950240665"/>
    <n v="0.29084969455743709"/>
    <x v="0"/>
  </r>
  <r>
    <s v="Tanzania"/>
    <x v="42"/>
    <n v="47786145.5"/>
    <x v="3"/>
    <n v="0"/>
    <n v="49253643.5"/>
    <n v="0"/>
    <m/>
    <n v="0"/>
    <m/>
    <n v="0"/>
    <m/>
    <n v="0"/>
    <m/>
    <n v="0"/>
    <n v="58090443.000000007"/>
    <n v="0"/>
    <n v="25803"/>
    <m/>
    <n v="0"/>
    <m/>
    <n v="0"/>
    <m/>
    <n v="0"/>
    <n v="65497748.000000045"/>
    <n v="0"/>
    <n v="25803"/>
    <n v="0"/>
    <n v="0"/>
    <n v="0"/>
    <n v="0"/>
    <s v=""/>
    <n v="25803"/>
    <s v="2018 (triag)"/>
    <n v="25803"/>
    <s v="2018 (triag)"/>
    <s v=""/>
    <n v="25803"/>
    <n v="25803"/>
    <s v="No change"/>
    <n v="0.14011618556211447"/>
    <n v="5.4673730437993617E-2"/>
    <n v="12805.949100480582"/>
    <n v="30402.108226132295"/>
    <n v="0"/>
    <n v="4.4418666251176626"/>
    <n v="3.9395247604543568"/>
    <n v="3.9395247604543568"/>
    <x v="1"/>
  </r>
  <r>
    <s v="Tanzania"/>
    <x v="42"/>
    <n v="47786146.5"/>
    <x v="4"/>
    <n v="0"/>
    <n v="49253643.5"/>
    <n v="0"/>
    <m/>
    <n v="0"/>
    <m/>
    <n v="0"/>
    <m/>
    <n v="0"/>
    <m/>
    <n v="0"/>
    <n v="58090443.000000007"/>
    <n v="0"/>
    <n v="633"/>
    <m/>
    <n v="0"/>
    <m/>
    <n v="0"/>
    <m/>
    <n v="0"/>
    <n v="65497748.000000045"/>
    <n v="0"/>
    <n v="633"/>
    <n v="0"/>
    <n v="0"/>
    <n v="0"/>
    <n v="0"/>
    <s v=""/>
    <n v="633"/>
    <s v="2018 (triag)"/>
    <n v="633"/>
    <s v="2018 (triag)"/>
    <s v=""/>
    <n v="633"/>
    <n v="633"/>
    <s v="No change"/>
    <n v="0.14011618556211447"/>
    <n v="5.4673730437993617E-2"/>
    <n v="314.15594235570319"/>
    <n v="745.82546630786123"/>
    <n v="0"/>
    <n v="0.10896801045225286"/>
    <n v="9.6644544175778307E-2"/>
    <n v="9.6644544175778307E-2"/>
    <x v="1"/>
  </r>
  <r>
    <s v="Tanzania"/>
    <x v="42"/>
    <n v="47786147.5"/>
    <x v="5"/>
    <n v="60"/>
    <n v="49253643.5"/>
    <n v="0"/>
    <m/>
    <n v="0"/>
    <m/>
    <n v="0"/>
    <m/>
    <n v="0"/>
    <m/>
    <n v="0"/>
    <n v="58090443.000000007"/>
    <n v="89"/>
    <n v="89"/>
    <m/>
    <n v="0"/>
    <m/>
    <n v="0"/>
    <m/>
    <n v="0"/>
    <n v="65497748.000000045"/>
    <n v="12"/>
    <n v="73"/>
    <n v="60"/>
    <n v="89"/>
    <n v="12"/>
    <n v="60"/>
    <n v="2012"/>
    <n v="89"/>
    <n v="2018"/>
    <n v="12"/>
    <n v="2022"/>
    <s v="Adjust"/>
    <n v="15.546027645505195"/>
    <n v="89"/>
    <s v="Decreasing"/>
    <n v="0.14011618556211447"/>
    <n v="5.4673730437993617E-2"/>
    <n v="36.229674236913638"/>
    <n v="86.011467678473736"/>
    <n v="1.2181839907945084E-2"/>
    <n v="1.5320936698657986E-2"/>
    <n v="2.3735209408276424E-3"/>
    <n v="1.3588253446515434E-2"/>
    <x v="0"/>
  </r>
  <r>
    <s v="Tanzania"/>
    <x v="42"/>
    <n v="47786148.5"/>
    <x v="6"/>
    <n v="89"/>
    <n v="49253643.5"/>
    <n v="0"/>
    <m/>
    <n v="93"/>
    <m/>
    <n v="0"/>
    <m/>
    <n v="0"/>
    <m/>
    <n v="0"/>
    <n v="58090443.000000007"/>
    <n v="4361"/>
    <n v="4361"/>
    <m/>
    <n v="0"/>
    <m/>
    <n v="0"/>
    <m/>
    <n v="0"/>
    <n v="65497748.000000045"/>
    <n v="1198"/>
    <n v="3028"/>
    <n v="93"/>
    <n v="4361"/>
    <n v="1198"/>
    <n v="89"/>
    <n v="2012"/>
    <n v="4361"/>
    <n v="2018"/>
    <n v="1198"/>
    <n v="2022"/>
    <s v="Adjust"/>
    <n v="1552.0117599429354"/>
    <n v="4361"/>
    <s v="Decreasing"/>
    <n v="0.14011618556211447"/>
    <n v="5.4673730437993617E-2"/>
    <n v="1502.7870354708834"/>
    <n v="3567.7085497317598"/>
    <n v="1.8069729196785209E-2"/>
    <n v="0.7507258982342413"/>
    <n v="0.23695650725929299"/>
    <n v="0.66582441887925625"/>
    <x v="0"/>
  </r>
  <r>
    <s v="Tanzania"/>
    <x v="42"/>
    <n v="47786149.5"/>
    <x v="7"/>
    <n v="0"/>
    <n v="49253643.5"/>
    <n v="0"/>
    <m/>
    <n v="0"/>
    <m/>
    <n v="0"/>
    <m/>
    <n v="0"/>
    <m/>
    <n v="0"/>
    <n v="58090443.000000007"/>
    <n v="0"/>
    <n v="9250"/>
    <m/>
    <n v="0"/>
    <m/>
    <n v="0"/>
    <m/>
    <n v="0"/>
    <n v="65497748.000000045"/>
    <n v="2337"/>
    <n v="9250"/>
    <n v="0"/>
    <n v="0"/>
    <n v="2337"/>
    <n v="0"/>
    <s v=""/>
    <n v="9250"/>
    <s v="2018 (triag)"/>
    <n v="2337"/>
    <n v="2022"/>
    <s v="Adjust"/>
    <n v="3027.5888839621371"/>
    <n v="9250"/>
    <s v="Decreasing"/>
    <n v="0.14011618556211447"/>
    <n v="5.4673730437993617E-2"/>
    <n v="4590.7463930335771"/>
    <n v="10898.713370217562"/>
    <n v="0"/>
    <n v="1.5923445445234423"/>
    <n v="0.4622432032261834"/>
    <n v="1.4122622964075029"/>
    <x v="0"/>
  </r>
  <r>
    <s v="Tanzania"/>
    <x v="42"/>
    <n v="47786150.5"/>
    <x v="8"/>
    <n v="223"/>
    <n v="49253643.5"/>
    <n v="0"/>
    <m/>
    <n v="0"/>
    <m/>
    <n v="0"/>
    <m/>
    <n v="0"/>
    <m/>
    <n v="0"/>
    <n v="58090443.000000007"/>
    <n v="0"/>
    <n v="681"/>
    <m/>
    <n v="0"/>
    <m/>
    <n v="0"/>
    <m/>
    <n v="0"/>
    <n v="65497748.000000045"/>
    <n v="543"/>
    <n v="681"/>
    <n v="223"/>
    <n v="0"/>
    <n v="543"/>
    <n v="223"/>
    <n v="2012"/>
    <n v="681"/>
    <s v="2018 (triag)"/>
    <n v="543"/>
    <n v="2022"/>
    <s v="Adjust"/>
    <n v="703.45775095911006"/>
    <n v="703.45775095911006"/>
    <s v="Increasing"/>
    <n v="0.14011618556211447"/>
    <n v="5.4673730437993617E-2"/>
    <n v="337.9781939087423"/>
    <n v="802.38095190466584"/>
    <n v="4.5275838324529229E-2"/>
    <n v="0.11723098754815829"/>
    <n v="0.10740182257245083"/>
    <n v="0.10740182257245083"/>
    <x v="1"/>
  </r>
  <r>
    <s v="Tanzania"/>
    <x v="42"/>
    <n v="47786151.5"/>
    <x v="9"/>
    <n v="470"/>
    <n v="49253643.5"/>
    <n v="0"/>
    <m/>
    <n v="0"/>
    <m/>
    <n v="0"/>
    <m/>
    <n v="0"/>
    <m/>
    <n v="0"/>
    <n v="58090443.000000007"/>
    <n v="0"/>
    <n v="724"/>
    <m/>
    <n v="0"/>
    <m/>
    <n v="0"/>
    <m/>
    <n v="0"/>
    <n v="65497748.000000045"/>
    <n v="724"/>
    <n v="724"/>
    <n v="470"/>
    <n v="0"/>
    <n v="724"/>
    <n v="470"/>
    <n v="2012"/>
    <n v="724"/>
    <s v="2018 (triag)"/>
    <n v="724"/>
    <n v="2022"/>
    <s v=""/>
    <n v="724"/>
    <n v="724"/>
    <s v="No change"/>
    <n v="0.14011618556211447"/>
    <n v="5.4673730437993617E-2"/>
    <n v="359.31896092500648"/>
    <n v="853.04524108513669"/>
    <n v="9.5424412612236498E-2"/>
    <n v="0.12463323786324024"/>
    <n v="0.1105381516323278"/>
    <n v="0.1105381516323278"/>
    <x v="1"/>
  </r>
  <r>
    <s v="Tanzania"/>
    <x v="42"/>
    <n v="47786152.5"/>
    <x v="10"/>
    <n v="82"/>
    <n v="49253643.5"/>
    <n v="0"/>
    <m/>
    <n v="0"/>
    <m/>
    <n v="0"/>
    <m/>
    <n v="0"/>
    <m/>
    <n v="0"/>
    <n v="58090443.000000007"/>
    <n v="0"/>
    <n v="213"/>
    <m/>
    <n v="0"/>
    <m/>
    <n v="0"/>
    <m/>
    <n v="0"/>
    <n v="65497748.000000045"/>
    <n v="201"/>
    <n v="213"/>
    <n v="82"/>
    <n v="0"/>
    <n v="201"/>
    <n v="82"/>
    <n v="2012"/>
    <n v="213"/>
    <s v="2018 (triag)"/>
    <n v="201"/>
    <n v="2022"/>
    <s v="Adjust"/>
    <n v="260.39596306221205"/>
    <n v="260.39596306221205"/>
    <s v="Increasing"/>
    <n v="0.14011618556211447"/>
    <n v="5.4673730437993617E-2"/>
    <n v="105.71124126661103"/>
    <n v="250.9649673358206"/>
    <n v="1.6648514540858281E-2"/>
    <n v="3.6666960863080349E-2"/>
    <n v="3.975647575886302E-2"/>
    <n v="3.975647575886302E-2"/>
    <x v="1"/>
  </r>
  <r>
    <s v="Tanzania"/>
    <x v="42"/>
    <n v="47786153.5"/>
    <x v="11"/>
    <n v="0"/>
    <n v="49253643.5"/>
    <n v="0"/>
    <m/>
    <n v="0"/>
    <m/>
    <n v="0"/>
    <m/>
    <n v="0"/>
    <m/>
    <n v="0"/>
    <n v="58090443.000000007"/>
    <n v="0"/>
    <n v="0"/>
    <m/>
    <n v="0"/>
    <m/>
    <n v="0"/>
    <m/>
    <n v="0"/>
    <n v="65497748.000000045"/>
    <n v="0"/>
    <n v="0"/>
    <n v="0"/>
    <n v="0"/>
    <n v="0"/>
    <n v="0"/>
    <s v=""/>
    <n v="0"/>
    <s v=""/>
    <n v="0"/>
    <s v=""/>
    <s v=""/>
    <n v="0"/>
    <n v="0"/>
    <s v="No change"/>
    <n v="0.14011618556211447"/>
    <n v="5.4673730437993617E-2"/>
    <n v="0"/>
    <n v="0"/>
    <n v="0"/>
    <n v="0"/>
    <n v="0"/>
    <n v="0"/>
    <x v="1"/>
  </r>
  <r>
    <s v="Tanzania"/>
    <x v="42"/>
    <n v="47786154.5"/>
    <x v="12"/>
    <n v="0"/>
    <n v="49253643.5"/>
    <n v="0"/>
    <m/>
    <n v="0"/>
    <m/>
    <n v="0"/>
    <m/>
    <n v="0"/>
    <m/>
    <n v="0"/>
    <n v="58090443.000000007"/>
    <n v="0"/>
    <n v="3630"/>
    <m/>
    <n v="0"/>
    <m/>
    <n v="0"/>
    <m/>
    <n v="0"/>
    <n v="65497748.000000045"/>
    <n v="2"/>
    <n v="3630"/>
    <n v="0"/>
    <n v="0"/>
    <n v="2"/>
    <n v="0"/>
    <s v=""/>
    <n v="3630"/>
    <s v="2018 (triag)"/>
    <n v="2"/>
    <n v="2022"/>
    <s v="Adjust"/>
    <n v="2.5910046075841993"/>
    <n v="3630"/>
    <s v="Decreasing"/>
    <n v="0.14011618556211447"/>
    <n v="5.4673730437993617E-2"/>
    <n v="1801.5577736985822"/>
    <n v="4277.0085982583514"/>
    <n v="0"/>
    <n v="0.62488764287784815"/>
    <n v="3.9558682347127377E-4"/>
    <n v="0.55421752821180925"/>
    <x v="0"/>
  </r>
  <r>
    <s v="Tanzania"/>
    <x v="42"/>
    <n v="47786155.5"/>
    <x v="13"/>
    <n v="1997"/>
    <n v="49253643.5"/>
    <n v="0"/>
    <m/>
    <n v="2508"/>
    <m/>
    <n v="0"/>
    <m/>
    <n v="0"/>
    <m/>
    <n v="0"/>
    <n v="58090443.000000007"/>
    <n v="0"/>
    <n v="4361"/>
    <m/>
    <n v="0"/>
    <m/>
    <n v="0"/>
    <m/>
    <n v="0"/>
    <n v="65497748.000000045"/>
    <n v="4743"/>
    <n v="4361"/>
    <n v="2508"/>
    <n v="0"/>
    <n v="4743"/>
    <n v="1997"/>
    <n v="2012"/>
    <n v="4361"/>
    <s v="2018 (triag)"/>
    <n v="4743"/>
    <n v="2022"/>
    <s v=""/>
    <n v="4743"/>
    <n v="4743"/>
    <s v="Increasing"/>
    <n v="0.14011618556211447"/>
    <n v="5.4673730437993617E-2"/>
    <n v="2164.3508129750735"/>
    <n v="5138.3015143263556"/>
    <n v="0.40545223826943888"/>
    <n v="0.7507258982342413"/>
    <n v="0.7241470347957607"/>
    <n v="0.7241470347957607"/>
    <x v="1"/>
  </r>
  <r>
    <s v="Tanzania"/>
    <x v="42"/>
    <n v="47786156.5"/>
    <x v="14"/>
    <n v="8787"/>
    <n v="49253643.5"/>
    <n v="0"/>
    <m/>
    <n v="10536"/>
    <m/>
    <n v="0"/>
    <m/>
    <n v="0"/>
    <m/>
    <n v="0"/>
    <n v="58090443.000000007"/>
    <n v="0"/>
    <n v="1963"/>
    <m/>
    <n v="0"/>
    <m/>
    <n v="0"/>
    <m/>
    <n v="0"/>
    <n v="65497748.000000045"/>
    <n v="71119"/>
    <n v="1963"/>
    <n v="10536"/>
    <n v="0"/>
    <n v="71119"/>
    <n v="8787"/>
    <n v="2012"/>
    <n v="1963"/>
    <s v="2018 (triag)"/>
    <n v="71119"/>
    <n v="2022"/>
    <s v=""/>
    <n v="71119"/>
    <n v="71119"/>
    <s v="Increasing"/>
    <n v="0.14011618556211447"/>
    <n v="5.4673730437993617E-2"/>
    <n v="974.23082913782832"/>
    <n v="2312.8837130526567"/>
    <n v="1.7840304545185577"/>
    <n v="0.33792133415129916"/>
    <n v="10.858235919805969"/>
    <n v="10.858235919805969"/>
    <x v="1"/>
  </r>
  <r>
    <s v="Tanzania"/>
    <x v="42"/>
    <n v="47786157.5"/>
    <x v="15"/>
    <n v="130"/>
    <n v="49253643.5"/>
    <n v="0"/>
    <m/>
    <n v="0"/>
    <m/>
    <n v="0"/>
    <m/>
    <n v="0"/>
    <m/>
    <n v="0"/>
    <n v="58090443.000000007"/>
    <n v="0"/>
    <n v="103"/>
    <m/>
    <n v="0"/>
    <m/>
    <n v="0"/>
    <m/>
    <n v="0"/>
    <n v="65497748.000000045"/>
    <n v="1358"/>
    <n v="103"/>
    <n v="130"/>
    <n v="0"/>
    <n v="1358"/>
    <n v="130"/>
    <n v="2012"/>
    <n v="103"/>
    <s v="2018 (triag)"/>
    <n v="1358"/>
    <n v="2022"/>
    <s v=""/>
    <n v="1358"/>
    <n v="1358"/>
    <s v="Increasing"/>
    <n v="0.14011618556211447"/>
    <n v="5.4673730437993617E-2"/>
    <n v="51.118581457563074"/>
    <n v="121.35864617647663"/>
    <n v="2.6393986467214348E-2"/>
    <n v="1.7730971684963737E-2"/>
    <n v="0.20733537281312314"/>
    <n v="0.20733537281312314"/>
    <x v="1"/>
  </r>
  <r>
    <s v="Tanzania"/>
    <x v="42"/>
    <n v="47786158.5"/>
    <x v="16"/>
    <n v="0"/>
    <n v="49253643.5"/>
    <n v="0"/>
    <m/>
    <n v="0"/>
    <m/>
    <n v="0"/>
    <m/>
    <n v="0"/>
    <m/>
    <n v="0"/>
    <n v="58090443.000000007"/>
    <n v="0"/>
    <n v="0"/>
    <m/>
    <n v="0"/>
    <m/>
    <n v="0"/>
    <m/>
    <n v="0"/>
    <n v="65497748.000000045"/>
    <n v="0"/>
    <n v="0"/>
    <n v="0"/>
    <n v="0"/>
    <n v="0"/>
    <n v="0"/>
    <s v=""/>
    <n v="0"/>
    <s v=""/>
    <n v="0"/>
    <s v=""/>
    <s v=""/>
    <n v="0"/>
    <n v="0"/>
    <s v="No change"/>
    <n v="0.14011618556211447"/>
    <n v="5.4673730437993617E-2"/>
    <n v="0"/>
    <n v="0"/>
    <n v="0"/>
    <n v="0"/>
    <n v="0"/>
    <n v="0"/>
    <x v="1"/>
  </r>
  <r>
    <s v="Tanzania"/>
    <x v="42"/>
    <n v="47786159.5"/>
    <x v="17"/>
    <n v="0"/>
    <n v="49253643.5"/>
    <n v="0"/>
    <m/>
    <n v="0"/>
    <m/>
    <n v="0"/>
    <m/>
    <n v="0"/>
    <m/>
    <n v="0"/>
    <n v="58090443.000000007"/>
    <n v="0"/>
    <n v="2"/>
    <m/>
    <n v="0"/>
    <m/>
    <n v="0"/>
    <m/>
    <n v="0"/>
    <n v="65497748.000000045"/>
    <n v="2"/>
    <n v="2"/>
    <n v="0"/>
    <n v="0"/>
    <n v="2"/>
    <n v="0"/>
    <s v=""/>
    <n v="2"/>
    <s v="2018 (triag)"/>
    <n v="2"/>
    <n v="2022"/>
    <s v=""/>
    <n v="2"/>
    <n v="2"/>
    <s v="No change"/>
    <n v="0.14011618556211447"/>
    <n v="5.4673730437993617E-2"/>
    <n v="0.99259381470996266"/>
    <n v="2.3564785665335268"/>
    <n v="0"/>
    <n v="3.4429071232939293E-4"/>
    <n v="3.0535401003405473E-4"/>
    <n v="3.0535401003405473E-4"/>
    <x v="1"/>
  </r>
  <r>
    <s v="Tanzania"/>
    <x v="42"/>
    <n v="47786160.5"/>
    <x v="18"/>
    <n v="0"/>
    <n v="49253643.5"/>
    <n v="0"/>
    <m/>
    <n v="0"/>
    <m/>
    <n v="0"/>
    <m/>
    <n v="0"/>
    <m/>
    <n v="0"/>
    <n v="58090443.000000007"/>
    <n v="0"/>
    <n v="15200"/>
    <m/>
    <n v="0"/>
    <m/>
    <n v="0"/>
    <m/>
    <n v="0"/>
    <n v="65497748.000000045"/>
    <n v="4710"/>
    <n v="15200"/>
    <n v="0"/>
    <n v="0"/>
    <n v="4710"/>
    <n v="0"/>
    <s v=""/>
    <n v="15200"/>
    <s v="2018 (triag)"/>
    <n v="4710"/>
    <n v="2022"/>
    <s v="Adjust"/>
    <n v="6101.8158508607894"/>
    <n v="15200"/>
    <s v="Decreasing"/>
    <n v="0.14011618556211447"/>
    <n v="5.4673730437993617E-2"/>
    <n v="7543.7129917957163"/>
    <n v="17909.237105654804"/>
    <n v="0"/>
    <n v="2.6166094137033862"/>
    <n v="0.93160696927484976"/>
    <n v="2.3206904762588159"/>
    <x v="0"/>
  </r>
  <r>
    <s v="Uganda"/>
    <x v="43"/>
    <n v="34273300"/>
    <x v="0"/>
    <n v="0"/>
    <n v="35273569.999999993"/>
    <n v="0"/>
    <m/>
    <n v="0"/>
    <m/>
    <n v="179175"/>
    <m/>
    <n v="0"/>
    <m/>
    <n v="0"/>
    <n v="41515395.000000015"/>
    <n v="0"/>
    <n v="0"/>
    <m/>
    <n v="179000"/>
    <m/>
    <n v="0"/>
    <m/>
    <n v="0"/>
    <n v="47249584.999999978"/>
    <n v="0"/>
    <n v="0"/>
    <n v="179175"/>
    <n v="179000"/>
    <n v="0"/>
    <n v="179175"/>
    <n v="2015"/>
    <n v="179000"/>
    <n v="2019"/>
    <n v="179000"/>
    <n v="2019"/>
    <s v=""/>
    <n v="179000"/>
    <n v="179000"/>
    <s v="No change"/>
    <n v="4.7050173871553191E-2"/>
    <n v="5.4673730437993617E-2"/>
    <n v="0"/>
    <n v="0"/>
    <n v="50.795822481251555"/>
    <n v="43.116535444261082"/>
    <n v="37.883930620766314"/>
    <n v="37.883930620766314"/>
    <x v="1"/>
  </r>
  <r>
    <s v="Uganda"/>
    <x v="43"/>
    <n v="34273301"/>
    <x v="1"/>
    <n v="0"/>
    <n v="35273569.999999993"/>
    <n v="0"/>
    <m/>
    <n v="0"/>
    <m/>
    <n v="0"/>
    <m/>
    <n v="0"/>
    <m/>
    <n v="0"/>
    <n v="41515395.000000015"/>
    <n v="0"/>
    <n v="3"/>
    <m/>
    <n v="0"/>
    <m/>
    <n v="0"/>
    <m/>
    <n v="0"/>
    <n v="47249584.999999978"/>
    <n v="93"/>
    <n v="3"/>
    <n v="0"/>
    <n v="0"/>
    <n v="93"/>
    <n v="0"/>
    <s v=""/>
    <n v="3"/>
    <s v="2018 (triag)"/>
    <n v="93"/>
    <n v="2022"/>
    <s v=""/>
    <n v="93"/>
    <n v="93"/>
    <s v="Increasing"/>
    <n v="4.7050173871553191E-2"/>
    <n v="5.4673730437993617E-2"/>
    <n v="2.3711176335084017"/>
    <n v="3.5347178498002902"/>
    <n v="0"/>
    <n v="7.226234990658282E-4"/>
    <n v="1.9682712557157919E-2"/>
    <n v="1.9682712557157919E-2"/>
    <x v="1"/>
  </r>
  <r>
    <s v="Uganda"/>
    <x v="43"/>
    <n v="34273302"/>
    <x v="2"/>
    <n v="0"/>
    <n v="35273569.999999993"/>
    <n v="0"/>
    <m/>
    <n v="0"/>
    <m/>
    <n v="0"/>
    <m/>
    <n v="5112"/>
    <m/>
    <n v="0"/>
    <n v="41515395.000000015"/>
    <n v="0"/>
    <n v="16"/>
    <m/>
    <n v="0"/>
    <m/>
    <n v="0"/>
    <m/>
    <n v="0"/>
    <n v="47249584.999999978"/>
    <n v="426"/>
    <n v="16"/>
    <n v="0"/>
    <n v="5112"/>
    <n v="426"/>
    <n v="0"/>
    <s v=""/>
    <n v="16"/>
    <s v="2018 (triag)"/>
    <n v="426"/>
    <n v="2022"/>
    <s v=""/>
    <n v="426"/>
    <n v="426"/>
    <s v="Increasing"/>
    <n v="4.7050173871553191E-2"/>
    <n v="5.4673730437993617E-2"/>
    <n v="12.645960712044809"/>
    <n v="18.851828532268215"/>
    <n v="0"/>
    <n v="3.8539919950177507E-3"/>
    <n v="9.0159522036013698E-2"/>
    <n v="9.0159522036013698E-2"/>
    <x v="1"/>
  </r>
  <r>
    <s v="Uganda"/>
    <x v="43"/>
    <n v="34273303"/>
    <x v="3"/>
    <n v="0"/>
    <n v="35273569.999999993"/>
    <n v="0"/>
    <m/>
    <n v="0"/>
    <m/>
    <n v="0"/>
    <m/>
    <n v="0"/>
    <m/>
    <n v="0"/>
    <n v="41515395.000000015"/>
    <n v="0"/>
    <n v="527"/>
    <m/>
    <n v="0"/>
    <m/>
    <n v="0"/>
    <m/>
    <n v="0"/>
    <n v="47249584.999999978"/>
    <n v="0"/>
    <n v="527"/>
    <n v="0"/>
    <n v="0"/>
    <n v="0"/>
    <n v="0"/>
    <s v=""/>
    <n v="527"/>
    <s v="2018 (triag)"/>
    <n v="527"/>
    <s v="2018 (triag)"/>
    <s v=""/>
    <n v="527"/>
    <n v="527"/>
    <s v="No change"/>
    <n v="4.7050173871553191E-2"/>
    <n v="5.4673730437993617E-2"/>
    <n v="416.52633095297591"/>
    <n v="620.93210228158432"/>
    <n v="0"/>
    <n v="0.12694086133589716"/>
    <n v="0.11153537115722821"/>
    <n v="0.11153537115722821"/>
    <x v="1"/>
  </r>
  <r>
    <s v="Uganda"/>
    <x v="43"/>
    <n v="34273304"/>
    <x v="4"/>
    <n v="0"/>
    <n v="35273569.999999993"/>
    <n v="0"/>
    <m/>
    <n v="0"/>
    <m/>
    <n v="0"/>
    <m/>
    <n v="0"/>
    <m/>
    <n v="0"/>
    <n v="41515395.000000015"/>
    <n v="0"/>
    <n v="0"/>
    <m/>
    <n v="0"/>
    <m/>
    <n v="0"/>
    <m/>
    <n v="0"/>
    <n v="47249584.999999978"/>
    <n v="0"/>
    <n v="0"/>
    <n v="0"/>
    <n v="0"/>
    <n v="0"/>
    <n v="0"/>
    <s v=""/>
    <n v="0"/>
    <s v=""/>
    <n v="0"/>
    <s v=""/>
    <s v=""/>
    <n v="0"/>
    <n v="0"/>
    <s v="No change"/>
    <n v="4.7050173871553191E-2"/>
    <n v="5.4673730437993617E-2"/>
    <n v="0"/>
    <n v="0"/>
    <n v="0"/>
    <n v="0"/>
    <n v="0"/>
    <n v="0"/>
    <x v="1"/>
  </r>
  <r>
    <s v="Uganda"/>
    <x v="43"/>
    <n v="34273305"/>
    <x v="5"/>
    <n v="0"/>
    <n v="35273569.999999993"/>
    <n v="0"/>
    <m/>
    <n v="0"/>
    <m/>
    <n v="227"/>
    <m/>
    <n v="0"/>
    <m/>
    <n v="0"/>
    <n v="41515395.000000015"/>
    <n v="0"/>
    <n v="0"/>
    <m/>
    <n v="30"/>
    <m/>
    <n v="0"/>
    <m/>
    <n v="0"/>
    <n v="47249584.999999978"/>
    <n v="1282"/>
    <n v="0"/>
    <n v="227"/>
    <n v="30"/>
    <n v="1282"/>
    <n v="227"/>
    <n v="2015"/>
    <n v="30"/>
    <n v="2019"/>
    <n v="1282"/>
    <n v="2022"/>
    <s v=""/>
    <n v="1282"/>
    <n v="1282"/>
    <s v="Increasing"/>
    <n v="4.7050173871553191E-2"/>
    <n v="5.4673730437993617E-2"/>
    <n v="0"/>
    <n v="0"/>
    <n v="6.4354132570080103E-2"/>
    <n v="7.2262349906582818E-3"/>
    <n v="0.27132513439006939"/>
    <n v="0.27132513439006939"/>
    <x v="1"/>
  </r>
  <r>
    <s v="Uganda"/>
    <x v="43"/>
    <n v="34273306"/>
    <x v="6"/>
    <n v="0"/>
    <n v="35273569.999999993"/>
    <n v="0"/>
    <m/>
    <n v="0"/>
    <m/>
    <n v="0"/>
    <m/>
    <n v="0"/>
    <m/>
    <n v="0"/>
    <n v="41515395.000000015"/>
    <n v="3874"/>
    <n v="3874"/>
    <m/>
    <n v="0"/>
    <m/>
    <n v="0"/>
    <m/>
    <n v="0"/>
    <n v="47249584.999999978"/>
    <n v="3309"/>
    <n v="526"/>
    <n v="0"/>
    <n v="3874"/>
    <n v="3309"/>
    <n v="0"/>
    <s v=""/>
    <n v="3874"/>
    <n v="2018"/>
    <n v="3309"/>
    <n v="2022"/>
    <s v="Adjust"/>
    <n v="3771.8605231388328"/>
    <n v="3874"/>
    <s v="Decreasing"/>
    <n v="4.7050173871553191E-2"/>
    <n v="5.4673730437993617E-2"/>
    <n v="415.7359584084731"/>
    <n v="619.75386299831757"/>
    <n v="0"/>
    <n v="0.93314781179367279"/>
    <n v="0.79828437078099945"/>
    <n v="0.81990138114440625"/>
    <x v="1"/>
  </r>
  <r>
    <s v="Uganda"/>
    <x v="43"/>
    <n v="34273307"/>
    <x v="7"/>
    <n v="0"/>
    <n v="35273569.999999993"/>
    <n v="0"/>
    <m/>
    <n v="0"/>
    <m/>
    <n v="0"/>
    <m/>
    <n v="0"/>
    <m/>
    <n v="0"/>
    <n v="41515395.000000015"/>
    <n v="0"/>
    <n v="3505"/>
    <m/>
    <n v="0"/>
    <m/>
    <n v="0"/>
    <m/>
    <n v="0"/>
    <n v="47249584.999999978"/>
    <n v="14531"/>
    <n v="3505"/>
    <n v="0"/>
    <n v="0"/>
    <n v="14531"/>
    <n v="0"/>
    <s v=""/>
    <n v="3505"/>
    <s v="2018 (triag)"/>
    <n v="14531"/>
    <n v="2022"/>
    <s v=""/>
    <n v="14531"/>
    <n v="14531"/>
    <s v="Increasing"/>
    <n v="4.7050173871553191E-2"/>
    <n v="5.4673730437993617E-2"/>
    <n v="2770.2557684823159"/>
    <n v="4129.7286878500054"/>
    <n v="0"/>
    <n v="0.84426512140857601"/>
    <n v="3.075370926538298"/>
    <n v="3.075370926538298"/>
    <x v="1"/>
  </r>
  <r>
    <s v="Uganda"/>
    <x v="43"/>
    <n v="34273308"/>
    <x v="8"/>
    <n v="0"/>
    <n v="35273569.999999993"/>
    <n v="0"/>
    <m/>
    <n v="0"/>
    <m/>
    <n v="121"/>
    <m/>
    <n v="0"/>
    <m/>
    <n v="0"/>
    <n v="41515395.000000015"/>
    <n v="0"/>
    <n v="42"/>
    <m/>
    <n v="0"/>
    <m/>
    <n v="0"/>
    <m/>
    <n v="0"/>
    <n v="47249584.999999978"/>
    <n v="1249"/>
    <n v="42"/>
    <n v="121"/>
    <n v="0"/>
    <n v="1249"/>
    <n v="121"/>
    <n v="2015"/>
    <n v="42"/>
    <s v="2018 (triag)"/>
    <n v="1249"/>
    <n v="2022"/>
    <s v=""/>
    <n v="1249"/>
    <n v="1249"/>
    <s v="Increasing"/>
    <n v="4.7050173871553191E-2"/>
    <n v="5.4673730437993617E-2"/>
    <n v="33.195646869117624"/>
    <n v="49.486049897204062"/>
    <n v="3.4303304145284992E-2"/>
    <n v="1.0116728986921595E-2"/>
    <n v="0.26434094606333591"/>
    <n v="0.26434094606333591"/>
    <x v="1"/>
  </r>
  <r>
    <s v="Uganda"/>
    <x v="43"/>
    <n v="34273309"/>
    <x v="9"/>
    <n v="0"/>
    <n v="35273569.999999993"/>
    <n v="0"/>
    <m/>
    <n v="0"/>
    <m/>
    <n v="0"/>
    <m/>
    <n v="0"/>
    <m/>
    <n v="0"/>
    <n v="41515395.000000015"/>
    <n v="0"/>
    <n v="0"/>
    <m/>
    <n v="0"/>
    <m/>
    <n v="0"/>
    <m/>
    <n v="0"/>
    <n v="47249584.999999978"/>
    <n v="0"/>
    <n v="0"/>
    <n v="0"/>
    <n v="0"/>
    <n v="0"/>
    <n v="0"/>
    <s v=""/>
    <n v="0"/>
    <s v=""/>
    <n v="0"/>
    <s v=""/>
    <s v=""/>
    <n v="0"/>
    <n v="0"/>
    <s v="No change"/>
    <n v="4.7050173871553191E-2"/>
    <n v="5.4673730437993617E-2"/>
    <n v="0"/>
    <n v="0"/>
    <n v="0"/>
    <n v="0"/>
    <n v="0"/>
    <n v="0"/>
    <x v="1"/>
  </r>
  <r>
    <s v="Uganda"/>
    <x v="43"/>
    <n v="34273310"/>
    <x v="10"/>
    <n v="0"/>
    <n v="35273569.999999993"/>
    <n v="0"/>
    <m/>
    <n v="0"/>
    <m/>
    <n v="0"/>
    <m/>
    <n v="0"/>
    <m/>
    <n v="0"/>
    <n v="41515395.000000015"/>
    <n v="0"/>
    <n v="9"/>
    <m/>
    <n v="0"/>
    <m/>
    <n v="0"/>
    <m/>
    <n v="0"/>
    <n v="47249584.999999978"/>
    <n v="283"/>
    <n v="9"/>
    <n v="0"/>
    <n v="0"/>
    <n v="283"/>
    <n v="0"/>
    <s v=""/>
    <n v="9"/>
    <s v="2018 (triag)"/>
    <n v="283"/>
    <n v="2022"/>
    <s v=""/>
    <n v="283"/>
    <n v="283"/>
    <s v="Increasing"/>
    <n v="4.7050173871553191E-2"/>
    <n v="5.4673730437993617E-2"/>
    <n v="7.1133529005252045"/>
    <n v="10.60415354940087"/>
    <n v="0"/>
    <n v="2.1678704971974847E-3"/>
    <n v="5.9894705953502055E-2"/>
    <n v="5.9894705953502055E-2"/>
    <x v="1"/>
  </r>
  <r>
    <s v="Uganda"/>
    <x v="43"/>
    <n v="34273311"/>
    <x v="11"/>
    <n v="0"/>
    <n v="35273569.999999993"/>
    <n v="0"/>
    <m/>
    <n v="0"/>
    <m/>
    <n v="0"/>
    <m/>
    <n v="0"/>
    <m/>
    <n v="0"/>
    <n v="41515395.000000015"/>
    <n v="0"/>
    <n v="0"/>
    <m/>
    <n v="0"/>
    <m/>
    <n v="0"/>
    <m/>
    <n v="0"/>
    <n v="47249584.999999978"/>
    <n v="0"/>
    <n v="0"/>
    <n v="0"/>
    <n v="0"/>
    <n v="0"/>
    <n v="0"/>
    <s v=""/>
    <n v="0"/>
    <s v=""/>
    <n v="0"/>
    <s v=""/>
    <s v=""/>
    <n v="0"/>
    <n v="0"/>
    <s v="No change"/>
    <n v="4.7050173871553191E-2"/>
    <n v="5.4673730437993617E-2"/>
    <n v="0"/>
    <n v="0"/>
    <n v="0"/>
    <n v="0"/>
    <n v="0"/>
    <n v="0"/>
    <x v="1"/>
  </r>
  <r>
    <s v="Uganda"/>
    <x v="43"/>
    <n v="34273312"/>
    <x v="12"/>
    <n v="0"/>
    <n v="35273569.999999993"/>
    <n v="0"/>
    <m/>
    <n v="0"/>
    <m/>
    <n v="0"/>
    <m/>
    <n v="0"/>
    <m/>
    <n v="0"/>
    <n v="41515395.000000015"/>
    <n v="0"/>
    <n v="0"/>
    <m/>
    <n v="0"/>
    <m/>
    <n v="0"/>
    <m/>
    <n v="0"/>
    <n v="47249584.999999978"/>
    <n v="0"/>
    <n v="0"/>
    <n v="0"/>
    <n v="0"/>
    <n v="0"/>
    <n v="0"/>
    <s v=""/>
    <n v="0"/>
    <s v=""/>
    <n v="0"/>
    <s v=""/>
    <s v=""/>
    <n v="0"/>
    <n v="0"/>
    <s v="No change"/>
    <n v="4.7050173871553191E-2"/>
    <n v="5.4673730437993617E-2"/>
    <n v="0"/>
    <n v="0"/>
    <n v="0"/>
    <n v="0"/>
    <n v="0"/>
    <n v="0"/>
    <x v="1"/>
  </r>
  <r>
    <s v="Uganda"/>
    <x v="43"/>
    <n v="34273313"/>
    <x v="13"/>
    <n v="0"/>
    <n v="35273569.999999993"/>
    <n v="0"/>
    <m/>
    <n v="0"/>
    <m/>
    <n v="2447"/>
    <m/>
    <n v="0"/>
    <m/>
    <n v="0"/>
    <n v="41515395.000000015"/>
    <n v="0"/>
    <n v="3874"/>
    <m/>
    <n v="0"/>
    <m/>
    <n v="0"/>
    <m/>
    <n v="0"/>
    <n v="47249584.999999978"/>
    <n v="13380"/>
    <n v="3874"/>
    <n v="2447"/>
    <n v="0"/>
    <n v="13380"/>
    <n v="2447"/>
    <n v="2015"/>
    <n v="3874"/>
    <s v="2018 (triag)"/>
    <n v="13380"/>
    <n v="2022"/>
    <s v=""/>
    <n v="13380"/>
    <n v="13380"/>
    <s v="Increasing"/>
    <n v="4.7050173871553191E-2"/>
    <n v="5.4673730437993617E-2"/>
    <n v="3061.9032374038493"/>
    <n v="4564.4989833754416"/>
    <n v="0.69372053920258159"/>
    <n v="0.93314781179367279"/>
    <n v="2.8317709033846552"/>
    <n v="2.8317709033846552"/>
    <x v="1"/>
  </r>
  <r>
    <s v="Uganda"/>
    <x v="43"/>
    <n v="34273314"/>
    <x v="14"/>
    <n v="0"/>
    <n v="35273569.999999993"/>
    <n v="0"/>
    <m/>
    <n v="0"/>
    <m/>
    <n v="0"/>
    <m/>
    <n v="0"/>
    <m/>
    <n v="0"/>
    <n v="41515395.000000015"/>
    <n v="0"/>
    <n v="0"/>
    <m/>
    <n v="0"/>
    <m/>
    <n v="0"/>
    <m/>
    <n v="0"/>
    <n v="47249584.999999978"/>
    <n v="0"/>
    <n v="0"/>
    <n v="0"/>
    <n v="0"/>
    <n v="0"/>
    <n v="0"/>
    <s v=""/>
    <n v="0"/>
    <s v=""/>
    <n v="0"/>
    <s v=""/>
    <s v=""/>
    <n v="0"/>
    <n v="0"/>
    <s v="No change"/>
    <n v="4.7050173871553191E-2"/>
    <n v="5.4673730437993617E-2"/>
    <n v="0"/>
    <n v="0"/>
    <n v="0"/>
    <n v="0"/>
    <n v="0"/>
    <n v="0"/>
    <x v="1"/>
  </r>
  <r>
    <s v="Uganda"/>
    <x v="43"/>
    <n v="34273315"/>
    <x v="15"/>
    <n v="0"/>
    <n v="35273569.999999993"/>
    <n v="0"/>
    <m/>
    <n v="0"/>
    <m/>
    <n v="114"/>
    <m/>
    <n v="0"/>
    <m/>
    <n v="0"/>
    <n v="41515395.000000015"/>
    <n v="0"/>
    <n v="18"/>
    <m/>
    <n v="0"/>
    <m/>
    <n v="0"/>
    <m/>
    <n v="0"/>
    <n v="47249584.999999978"/>
    <n v="572"/>
    <n v="18"/>
    <n v="114"/>
    <n v="0"/>
    <n v="572"/>
    <n v="114"/>
    <n v="2015"/>
    <n v="18"/>
    <s v="2018 (triag)"/>
    <n v="572"/>
    <n v="2022"/>
    <s v=""/>
    <n v="572"/>
    <n v="572"/>
    <s v="Increasing"/>
    <n v="4.7050173871553191E-2"/>
    <n v="5.4673730437993617E-2"/>
    <n v="14.226705801050409"/>
    <n v="21.20830709880174"/>
    <n v="3.2318815475723045E-2"/>
    <n v="4.3357409943949694E-3"/>
    <n v="0.12105926433004656"/>
    <n v="0.12105926433004656"/>
    <x v="1"/>
  </r>
  <r>
    <s v="Uganda"/>
    <x v="43"/>
    <n v="34273316"/>
    <x v="16"/>
    <n v="6046"/>
    <n v="35273569.999999993"/>
    <n v="0"/>
    <m/>
    <n v="0"/>
    <m/>
    <n v="0"/>
    <m/>
    <n v="0"/>
    <m/>
    <n v="0"/>
    <n v="41515395.000000015"/>
    <n v="0"/>
    <n v="0"/>
    <m/>
    <n v="0"/>
    <m/>
    <n v="0"/>
    <m/>
    <n v="0"/>
    <n v="47249584.999999978"/>
    <n v="0"/>
    <n v="0"/>
    <n v="6046"/>
    <n v="0"/>
    <n v="0"/>
    <n v="6046"/>
    <n v="2012"/>
    <n v="0"/>
    <s v=""/>
    <n v="0"/>
    <s v=""/>
    <s v=""/>
    <n v="0"/>
    <n v="0"/>
    <s v="No change"/>
    <n v="4.7050173871553191E-2"/>
    <n v="5.4673730437993617E-2"/>
    <n v="0"/>
    <n v="0"/>
    <n v="1.7140312137387854"/>
    <n v="0"/>
    <n v="0"/>
    <n v="0"/>
    <x v="1"/>
  </r>
  <r>
    <s v="Uganda"/>
    <x v="43"/>
    <n v="34273317"/>
    <x v="17"/>
    <n v="0"/>
    <n v="35273569.999999993"/>
    <n v="0"/>
    <m/>
    <n v="0"/>
    <m/>
    <n v="0"/>
    <m/>
    <n v="0"/>
    <m/>
    <n v="0"/>
    <n v="41515395.000000015"/>
    <n v="0"/>
    <n v="0"/>
    <m/>
    <n v="0"/>
    <m/>
    <n v="0"/>
    <m/>
    <n v="0"/>
    <n v="47249584.999999978"/>
    <n v="29"/>
    <n v="0"/>
    <n v="0"/>
    <n v="0"/>
    <n v="29"/>
    <n v="0"/>
    <s v=""/>
    <n v="0"/>
    <s v=""/>
    <n v="29"/>
    <n v="2022"/>
    <s v=""/>
    <n v="29"/>
    <n v="29"/>
    <s v="Increasing"/>
    <n v="4.7050173871553191E-2"/>
    <n v="5.4673730437993617E-2"/>
    <n v="0"/>
    <n v="0"/>
    <n v="0"/>
    <n v="0"/>
    <n v="6.1376200447051579E-3"/>
    <n v="6.1376200447051579E-3"/>
    <x v="1"/>
  </r>
  <r>
    <s v="Uganda"/>
    <x v="43"/>
    <n v="34273318"/>
    <x v="18"/>
    <n v="19791"/>
    <n v="35273569.999999993"/>
    <n v="0"/>
    <m/>
    <n v="0"/>
    <m/>
    <n v="0"/>
    <m/>
    <n v="0"/>
    <m/>
    <n v="0"/>
    <n v="41515395.000000015"/>
    <n v="0"/>
    <n v="0"/>
    <m/>
    <n v="0"/>
    <m/>
    <n v="0"/>
    <m/>
    <n v="0"/>
    <n v="47249584.999999978"/>
    <n v="0"/>
    <n v="0"/>
    <n v="19791"/>
    <n v="0"/>
    <n v="0"/>
    <n v="19791"/>
    <n v="2012"/>
    <n v="0"/>
    <s v=""/>
    <n v="0"/>
    <s v=""/>
    <s v=""/>
    <n v="0"/>
    <n v="29"/>
    <s v="No change"/>
    <n v="4.7050173871553191E-2"/>
    <n v="5.4673730437993617E-2"/>
    <n v="0"/>
    <n v="0"/>
    <n v="5.6107164656143409"/>
    <n v="0"/>
    <n v="0"/>
    <n v="6.1376200447051579E-3"/>
    <x v="1"/>
  </r>
  <r>
    <s v="South Africa"/>
    <x v="44"/>
    <n v="53145038"/>
    <x v="0"/>
    <n v="0"/>
    <n v="53873616"/>
    <n v="0"/>
    <m/>
    <n v="0"/>
    <m/>
    <n v="0"/>
    <m/>
    <n v="0"/>
    <m/>
    <n v="0"/>
    <n v="57339635.000000015"/>
    <n v="54180"/>
    <n v="54180"/>
    <m/>
    <n v="0"/>
    <m/>
    <n v="0"/>
    <m/>
    <n v="0"/>
    <n v="59893885.5"/>
    <n v="63290"/>
    <n v="54180"/>
    <n v="0"/>
    <n v="54180"/>
    <n v="63290"/>
    <n v="0"/>
    <s v=""/>
    <n v="54180"/>
    <n v="2018"/>
    <n v="63290"/>
    <n v="2022"/>
    <s v=""/>
    <n v="63290"/>
    <n v="63290"/>
    <s v="Increasing"/>
    <n v="-1.4844947843777323E-3"/>
    <n v="5.4673730437993617E-2"/>
    <n v="54583.64580916016"/>
    <n v="63837.004367393245"/>
    <n v="0"/>
    <n v="9.448961438279122"/>
    <n v="10.567021904097372"/>
    <n v="10.567021904097372"/>
    <x v="1"/>
  </r>
  <r>
    <s v="South Africa"/>
    <x v="44"/>
    <n v="53145039"/>
    <x v="1"/>
    <n v="0"/>
    <n v="53873616"/>
    <n v="0"/>
    <m/>
    <n v="0"/>
    <m/>
    <n v="0"/>
    <m/>
    <n v="0"/>
    <m/>
    <n v="0"/>
    <n v="57339635.000000015"/>
    <n v="0"/>
    <n v="0"/>
    <m/>
    <n v="0"/>
    <m/>
    <n v="0"/>
    <m/>
    <n v="0"/>
    <n v="59893885.5"/>
    <n v="0"/>
    <n v="0"/>
    <n v="0"/>
    <n v="0"/>
    <n v="0"/>
    <n v="0"/>
    <s v=""/>
    <n v="0"/>
    <s v=""/>
    <n v="0"/>
    <s v=""/>
    <s v=""/>
    <n v="0"/>
    <n v="0"/>
    <s v="No change"/>
    <n v="-1.4844947843777323E-3"/>
    <n v="5.4673730437993617E-2"/>
    <n v="0"/>
    <n v="0"/>
    <n v="0"/>
    <n v="0"/>
    <n v="0"/>
    <n v="0"/>
    <x v="1"/>
  </r>
  <r>
    <s v="South Africa"/>
    <x v="44"/>
    <n v="53145040"/>
    <x v="2"/>
    <n v="0"/>
    <n v="53873616"/>
    <n v="0"/>
    <m/>
    <n v="0"/>
    <m/>
    <n v="0"/>
    <m/>
    <n v="0"/>
    <m/>
    <n v="0"/>
    <n v="57339635.000000015"/>
    <n v="0"/>
    <n v="3585"/>
    <m/>
    <n v="0"/>
    <m/>
    <n v="0"/>
    <m/>
    <n v="0"/>
    <n v="59893885.5"/>
    <n v="0"/>
    <n v="3585"/>
    <n v="0"/>
    <n v="0"/>
    <n v="0"/>
    <n v="0"/>
    <s v=""/>
    <n v="3585"/>
    <s v="2018 (triag)"/>
    <n v="3585"/>
    <s v="2018 (triag)"/>
    <s v=""/>
    <n v="3585"/>
    <n v="3585"/>
    <s v="No change"/>
    <n v="-1.4844947843777323E-3"/>
    <n v="5.4673730437993617E-2"/>
    <n v="3611.708568214086"/>
    <n v="4223.9878305113471"/>
    <n v="0"/>
    <n v="0.62522197778203492"/>
    <n v="0.59855859576851134"/>
    <n v="0.59855859576851134"/>
    <x v="1"/>
  </r>
  <r>
    <s v="South Africa"/>
    <x v="44"/>
    <n v="53145041"/>
    <x v="3"/>
    <n v="0"/>
    <n v="53873616"/>
    <n v="0"/>
    <m/>
    <n v="0"/>
    <m/>
    <n v="0"/>
    <m/>
    <n v="0"/>
    <m/>
    <n v="0"/>
    <n v="57339635.000000015"/>
    <n v="0"/>
    <n v="0"/>
    <m/>
    <n v="0"/>
    <m/>
    <n v="0"/>
    <m/>
    <n v="0"/>
    <n v="59893885.5"/>
    <n v="2857"/>
    <n v="0"/>
    <n v="0"/>
    <n v="0"/>
    <n v="2857"/>
    <n v="0"/>
    <s v=""/>
    <n v="0"/>
    <s v=""/>
    <n v="2857"/>
    <n v="2022"/>
    <s v=""/>
    <n v="2857"/>
    <n v="2857"/>
    <s v="Increasing"/>
    <n v="-1.4844947843777323E-3"/>
    <n v="5.4673730437993617E-2"/>
    <n v="0"/>
    <n v="0"/>
    <n v="0"/>
    <n v="0"/>
    <n v="0.47701029514941051"/>
    <n v="0.47701029514941051"/>
    <x v="1"/>
  </r>
  <r>
    <s v="South Africa"/>
    <x v="44"/>
    <n v="53145042"/>
    <x v="4"/>
    <n v="0"/>
    <n v="53873616"/>
    <n v="0"/>
    <m/>
    <n v="0"/>
    <m/>
    <n v="0"/>
    <m/>
    <n v="0"/>
    <m/>
    <n v="0"/>
    <n v="57339635.000000015"/>
    <n v="0"/>
    <n v="0"/>
    <m/>
    <n v="0"/>
    <m/>
    <n v="0"/>
    <m/>
    <n v="0"/>
    <n v="59893885.5"/>
    <n v="26692"/>
    <n v="0"/>
    <n v="0"/>
    <n v="0"/>
    <n v="26692"/>
    <n v="0"/>
    <s v=""/>
    <n v="0"/>
    <s v=""/>
    <n v="26692"/>
    <n v="2022"/>
    <s v=""/>
    <n v="26692"/>
    <n v="26692"/>
    <s v="Increasing"/>
    <n v="-1.4844947843777323E-3"/>
    <n v="5.4673730437993617E-2"/>
    <n v="0"/>
    <n v="0"/>
    <n v="0"/>
    <n v="0"/>
    <n v="4.4565484067651617"/>
    <n v="4.4565484067651617"/>
    <x v="1"/>
  </r>
  <r>
    <s v="South Africa"/>
    <x v="44"/>
    <n v="53145043"/>
    <x v="5"/>
    <n v="0"/>
    <n v="53873616"/>
    <n v="0"/>
    <m/>
    <n v="0"/>
    <m/>
    <n v="0"/>
    <m/>
    <n v="0"/>
    <m/>
    <n v="3330"/>
    <n v="57339635.000000015"/>
    <n v="0"/>
    <n v="0"/>
    <m/>
    <n v="0"/>
    <m/>
    <n v="0"/>
    <m/>
    <n v="0"/>
    <n v="59893885.5"/>
    <n v="329"/>
    <n v="0"/>
    <n v="0"/>
    <n v="3330"/>
    <n v="329"/>
    <n v="0"/>
    <s v=""/>
    <n v="3330"/>
    <n v="2017"/>
    <n v="329"/>
    <n v="2022"/>
    <s v="Adjust"/>
    <n v="482.20032365440028"/>
    <n v="3330"/>
    <s v="Decreasing"/>
    <n v="-1.4844947843777323E-3"/>
    <n v="5.4673730437993617E-2"/>
    <n v="0"/>
    <n v="0"/>
    <n v="0"/>
    <n v="0.5807501216218065"/>
    <n v="8.0509107002984512E-2"/>
    <n v="0.55598329816154601"/>
    <x v="0"/>
  </r>
  <r>
    <s v="South Africa"/>
    <x v="44"/>
    <n v="53145044"/>
    <x v="6"/>
    <n v="133"/>
    <n v="53873616"/>
    <n v="144"/>
    <m/>
    <n v="145"/>
    <m/>
    <n v="149"/>
    <m/>
    <n v="4802"/>
    <m/>
    <n v="5267"/>
    <n v="57339635.000000015"/>
    <n v="5455"/>
    <n v="8415"/>
    <m/>
    <n v="9939"/>
    <m/>
    <n v="0"/>
    <m/>
    <n v="6166"/>
    <n v="59893885.5"/>
    <n v="13"/>
    <n v="8415"/>
    <n v="149"/>
    <n v="9939"/>
    <n v="6166"/>
    <n v="144"/>
    <n v="2013"/>
    <n v="8415"/>
    <s v="2018 (triag)"/>
    <n v="13"/>
    <n v="2022"/>
    <s v="Adjust"/>
    <n v="19.053508229505177"/>
    <n v="8415"/>
    <s v="Decreasing"/>
    <n v="-1.4844947843777323E-3"/>
    <n v="5.4673730437993617E-2"/>
    <n v="8477.6924969376651"/>
    <n v="9914.8835686898146"/>
    <n v="2.6729224932664629E-2"/>
    <n v="1.467571253287538"/>
    <n v="3.181210915011546E-3"/>
    <n v="1.4049848210298528"/>
    <x v="0"/>
  </r>
  <r>
    <s v="South Africa"/>
    <x v="44"/>
    <n v="53145045"/>
    <x v="7"/>
    <n v="0"/>
    <n v="53873616"/>
    <n v="0"/>
    <m/>
    <n v="0"/>
    <m/>
    <n v="0"/>
    <m/>
    <n v="0"/>
    <m/>
    <n v="0"/>
    <n v="57339635.000000015"/>
    <n v="0"/>
    <n v="577"/>
    <m/>
    <n v="0"/>
    <m/>
    <n v="0"/>
    <m/>
    <n v="0"/>
    <n v="59893885.5"/>
    <n v="0"/>
    <n v="577"/>
    <n v="0"/>
    <n v="0"/>
    <n v="0"/>
    <n v="0"/>
    <s v=""/>
    <n v="577"/>
    <s v="2018 (triag)"/>
    <n v="577"/>
    <s v="2018 (triag)"/>
    <s v=""/>
    <n v="577"/>
    <n v="577"/>
    <s v="No change"/>
    <n v="-1.4844947843777323E-3"/>
    <n v="5.4673730437993617E-2"/>
    <n v="581.29870121604677"/>
    <n v="679.84406644492253"/>
    <n v="0"/>
    <n v="0.10062847452726197"/>
    <n v="9.6337045957721343E-2"/>
    <n v="9.6337045957721343E-2"/>
    <x v="1"/>
  </r>
  <r>
    <s v="South Africa"/>
    <x v="44"/>
    <n v="53145046"/>
    <x v="8"/>
    <n v="8095"/>
    <n v="53873616"/>
    <n v="8476"/>
    <m/>
    <n v="8924"/>
    <m/>
    <n v="9175"/>
    <m/>
    <n v="8484"/>
    <m/>
    <n v="8681"/>
    <n v="57339635.000000015"/>
    <n v="8878"/>
    <n v="8878"/>
    <m/>
    <n v="0"/>
    <m/>
    <n v="0"/>
    <m/>
    <n v="9281"/>
    <n v="59893885.5"/>
    <n v="0"/>
    <n v="8072"/>
    <n v="9175"/>
    <n v="8878"/>
    <n v="9281"/>
    <n v="8476"/>
    <n v="2013"/>
    <n v="8878"/>
    <n v="2018"/>
    <n v="9281"/>
    <n v="2021"/>
    <s v=""/>
    <n v="9281"/>
    <n v="9281"/>
    <s v="Increasing"/>
    <n v="-1.4844947843777323E-3"/>
    <n v="5.4673730437993617E-2"/>
    <n v="8132.1371164920783"/>
    <n v="9510.7474945293143"/>
    <n v="1.5733118786754541"/>
    <n v="1.5483181921196389"/>
    <n v="1.5495738709421347"/>
    <n v="1.5495738709421347"/>
    <x v="1"/>
  </r>
  <r>
    <s v="South Africa"/>
    <x v="44"/>
    <n v="53145047"/>
    <x v="9"/>
    <n v="0"/>
    <n v="53873616"/>
    <n v="0"/>
    <m/>
    <n v="0"/>
    <m/>
    <n v="0"/>
    <m/>
    <n v="0"/>
    <m/>
    <n v="0"/>
    <n v="57339635.000000015"/>
    <n v="0"/>
    <n v="0"/>
    <m/>
    <n v="0"/>
    <m/>
    <n v="0"/>
    <m/>
    <n v="0"/>
    <n v="59893885.5"/>
    <n v="0"/>
    <n v="0"/>
    <n v="0"/>
    <n v="0"/>
    <n v="0"/>
    <n v="0"/>
    <s v=""/>
    <n v="0"/>
    <s v=""/>
    <n v="0"/>
    <s v=""/>
    <s v=""/>
    <n v="0"/>
    <n v="0"/>
    <s v="No change"/>
    <n v="-1.4844947843777323E-3"/>
    <n v="5.4673730437993617E-2"/>
    <n v="0"/>
    <n v="0"/>
    <n v="0"/>
    <n v="0"/>
    <n v="0"/>
    <n v="0"/>
    <x v="1"/>
  </r>
  <r>
    <s v="South Africa"/>
    <x v="44"/>
    <n v="53145048"/>
    <x v="10"/>
    <n v="3453"/>
    <n v="53873616"/>
    <n v="3588"/>
    <m/>
    <n v="3705"/>
    <m/>
    <n v="3783"/>
    <m/>
    <n v="3725"/>
    <m/>
    <n v="3790"/>
    <n v="57339635.000000015"/>
    <n v="3848"/>
    <n v="3848"/>
    <m/>
    <n v="3830"/>
    <m/>
    <n v="0"/>
    <m/>
    <n v="4012"/>
    <n v="59893885.5"/>
    <n v="255"/>
    <n v="0"/>
    <n v="3783"/>
    <n v="3848"/>
    <n v="4012"/>
    <n v="3588"/>
    <n v="2013"/>
    <n v="3848"/>
    <n v="2018"/>
    <n v="255"/>
    <n v="2022"/>
    <s v="Adjust"/>
    <n v="373.74189219414001"/>
    <n v="3848"/>
    <s v="Decreasing"/>
    <n v="-1.4844947843777323E-3"/>
    <n v="5.4673730437993617E-2"/>
    <n v="0"/>
    <n v="0"/>
    <n v="0.66600318790556035"/>
    <n v="0.67108902942964299"/>
    <n v="6.2400675640611095E-2"/>
    <n v="0.64246958898667539"/>
    <x v="0"/>
  </r>
  <r>
    <s v="South Africa"/>
    <x v="44"/>
    <n v="53145049"/>
    <x v="11"/>
    <n v="0"/>
    <n v="53873616"/>
    <n v="0"/>
    <m/>
    <n v="0"/>
    <m/>
    <n v="0"/>
    <m/>
    <n v="0"/>
    <m/>
    <n v="0"/>
    <n v="57339635.000000015"/>
    <n v="0"/>
    <n v="0"/>
    <m/>
    <n v="0"/>
    <m/>
    <n v="0"/>
    <m/>
    <n v="0"/>
    <n v="59893885.5"/>
    <n v="15459"/>
    <n v="0"/>
    <n v="0"/>
    <n v="0"/>
    <n v="15459"/>
    <n v="0"/>
    <s v=""/>
    <n v="0"/>
    <s v=""/>
    <n v="15459"/>
    <n v="2022"/>
    <s v=""/>
    <n v="15459"/>
    <n v="15459"/>
    <s v="Increasing"/>
    <n v="-1.4844947843777323E-3"/>
    <n v="5.4673730437993617E-2"/>
    <n v="0"/>
    <n v="0"/>
    <n v="0"/>
    <n v="0"/>
    <n v="2.5810648066904927"/>
    <n v="2.5810648066904927"/>
    <x v="1"/>
  </r>
  <r>
    <s v="South Africa"/>
    <x v="44"/>
    <n v="53145050"/>
    <x v="12"/>
    <n v="0"/>
    <n v="53873616"/>
    <n v="0"/>
    <m/>
    <n v="0"/>
    <m/>
    <n v="0"/>
    <m/>
    <n v="0"/>
    <m/>
    <n v="0"/>
    <n v="57339635.000000015"/>
    <n v="0"/>
    <n v="15266"/>
    <m/>
    <n v="0"/>
    <m/>
    <n v="0"/>
    <m/>
    <n v="0"/>
    <n v="59893885.5"/>
    <n v="0"/>
    <n v="15266"/>
    <n v="0"/>
    <n v="0"/>
    <n v="0"/>
    <n v="0"/>
    <s v=""/>
    <n v="15266"/>
    <s v="2018 (triag)"/>
    <n v="15266"/>
    <s v="2018 (triag)"/>
    <s v=""/>
    <n v="15266"/>
    <n v="15266"/>
    <s v="No change"/>
    <n v="-1.4844947843777323E-3"/>
    <n v="5.4673730437993617E-2"/>
    <n v="15379.733055050554"/>
    <n v="17987.000898350409"/>
    <n v="0"/>
    <n v="2.6623817887923416"/>
    <n v="2.5488411500703188"/>
    <n v="2.5488411500703188"/>
    <x v="1"/>
  </r>
  <r>
    <s v="South Africa"/>
    <x v="44"/>
    <n v="53145051"/>
    <x v="13"/>
    <n v="171"/>
    <n v="53873616"/>
    <n v="273"/>
    <m/>
    <n v="326"/>
    <m/>
    <n v="453"/>
    <m/>
    <n v="5377"/>
    <m/>
    <n v="5525"/>
    <n v="57339635.000000015"/>
    <n v="5731"/>
    <n v="5731"/>
    <m/>
    <n v="0"/>
    <m/>
    <n v="0"/>
    <m/>
    <n v="6353"/>
    <n v="59893885.5"/>
    <n v="0"/>
    <n v="0"/>
    <n v="453"/>
    <n v="5731"/>
    <n v="6353"/>
    <n v="273"/>
    <n v="2013"/>
    <n v="5731"/>
    <n v="2018"/>
    <n v="6353"/>
    <n v="2021"/>
    <s v=""/>
    <n v="6353"/>
    <n v="6353"/>
    <s v="Increasing"/>
    <n v="-1.4844947843777323E-3"/>
    <n v="5.4673730437993617E-2"/>
    <n v="0"/>
    <n v="0"/>
    <n v="5.0674155601510021E-2"/>
    <n v="0.99948316727164355"/>
    <n v="1.060709277243334"/>
    <n v="1.060709277243334"/>
    <x v="1"/>
  </r>
  <r>
    <s v="South Africa"/>
    <x v="44"/>
    <n v="53145052"/>
    <x v="14"/>
    <n v="90"/>
    <n v="53873616"/>
    <n v="217"/>
    <m/>
    <n v="362"/>
    <m/>
    <n v="474"/>
    <m/>
    <n v="0"/>
    <m/>
    <n v="8919"/>
    <n v="57339635.000000015"/>
    <n v="0"/>
    <n v="0"/>
    <m/>
    <n v="0"/>
    <m/>
    <n v="0"/>
    <m/>
    <n v="3870"/>
    <n v="59893885.5"/>
    <n v="20327"/>
    <n v="0"/>
    <n v="474"/>
    <n v="8919"/>
    <n v="20327"/>
    <n v="217"/>
    <n v="2013"/>
    <n v="8919"/>
    <n v="2017"/>
    <n v="20327"/>
    <n v="2022"/>
    <s v=""/>
    <n v="20327"/>
    <n v="20327"/>
    <s v="Increasing"/>
    <n v="-1.4844947843777323E-3"/>
    <n v="5.4673730437993617E-2"/>
    <n v="0"/>
    <n v="0"/>
    <n v="4.0279457016584891E-2"/>
    <n v="1.5554685689924601"/>
    <n v="3.3938355861050291"/>
    <n v="3.3938355861050291"/>
    <x v="1"/>
  </r>
  <r>
    <s v="South Africa"/>
    <x v="44"/>
    <n v="53145053"/>
    <x v="15"/>
    <n v="7791"/>
    <n v="53873616"/>
    <n v="8185"/>
    <m/>
    <n v="8781"/>
    <m/>
    <n v="9289"/>
    <m/>
    <n v="7451"/>
    <m/>
    <n v="7704"/>
    <n v="57339635.000000015"/>
    <n v="7922"/>
    <n v="11975"/>
    <m/>
    <n v="8110"/>
    <m/>
    <n v="0"/>
    <m/>
    <n v="8509"/>
    <n v="59893885.5"/>
    <n v="1555"/>
    <n v="11975"/>
    <n v="9289"/>
    <n v="8110"/>
    <n v="8509"/>
    <n v="8185"/>
    <n v="2013"/>
    <n v="11975"/>
    <s v="2018 (triag)"/>
    <n v="1555"/>
    <n v="2022"/>
    <s v="Adjust"/>
    <n v="2279.0927151446576"/>
    <n v="11975"/>
    <s v="Decreasing"/>
    <n v="-1.4844947843777323E-3"/>
    <n v="5.4673730437993617E-2"/>
    <n v="12064.214812932685"/>
    <n v="14109.415417119491"/>
    <n v="1.5192965699573608"/>
    <n v="2.0884332451715113"/>
    <n v="0.38052176714176572"/>
    <n v="1.9993693680133675"/>
    <x v="0"/>
  </r>
  <r>
    <s v="South Africa"/>
    <x v="44"/>
    <n v="53145054"/>
    <x v="16"/>
    <n v="0"/>
    <n v="53873616"/>
    <n v="0"/>
    <m/>
    <n v="0"/>
    <m/>
    <n v="0"/>
    <m/>
    <n v="0"/>
    <m/>
    <n v="27694"/>
    <n v="57339635.000000015"/>
    <n v="0"/>
    <n v="0"/>
    <m/>
    <n v="0"/>
    <m/>
    <n v="0"/>
    <m/>
    <n v="0"/>
    <n v="59893885.5"/>
    <n v="15754"/>
    <n v="0"/>
    <n v="0"/>
    <n v="27694"/>
    <n v="15754"/>
    <n v="0"/>
    <s v=""/>
    <n v="27694"/>
    <n v="2017"/>
    <n v="15754"/>
    <n v="2022"/>
    <s v="Adjust"/>
    <n v="23089.920665201891"/>
    <n v="27694"/>
    <s v="Decreasing"/>
    <n v="-1.4844947843777323E-3"/>
    <n v="5.4673730437993617E-2"/>
    <n v="0"/>
    <n v="0"/>
    <n v="0"/>
    <n v="4.8298179784367292"/>
    <n v="3.8551382119301461"/>
    <n v="4.6238442820678252"/>
    <x v="1"/>
  </r>
  <r>
    <s v="South Africa"/>
    <x v="44"/>
    <n v="53145055"/>
    <x v="17"/>
    <n v="2285"/>
    <n v="53873616"/>
    <n v="2586"/>
    <m/>
    <n v="2746"/>
    <m/>
    <n v="2913"/>
    <m/>
    <n v="3140"/>
    <m/>
    <n v="3323"/>
    <n v="57339635.000000015"/>
    <n v="3512"/>
    <n v="3512"/>
    <m/>
    <n v="3676"/>
    <m/>
    <n v="0"/>
    <m/>
    <n v="4037"/>
    <n v="59893885.5"/>
    <n v="586"/>
    <n v="0"/>
    <n v="2913"/>
    <n v="3676"/>
    <n v="4037"/>
    <n v="2586"/>
    <n v="2013"/>
    <n v="3512"/>
    <n v="2018"/>
    <n v="586"/>
    <n v="2022"/>
    <s v="Adjust"/>
    <n v="858.87352480692573"/>
    <n v="3512"/>
    <s v="Decreasing"/>
    <n v="-1.4844947843777323E-3"/>
    <n v="5.4673730437993617E-2"/>
    <n v="0"/>
    <n v="0"/>
    <n v="0.48001233108243563"/>
    <n v="0.61249081895969504"/>
    <n v="0.14339919970744353"/>
    <n v="0.58637037331632125"/>
    <x v="0"/>
  </r>
  <r>
    <s v="South Africa"/>
    <x v="44"/>
    <n v="53145056"/>
    <x v="18"/>
    <n v="0"/>
    <n v="53873616"/>
    <n v="0"/>
    <m/>
    <n v="0"/>
    <m/>
    <n v="0"/>
    <m/>
    <n v="0"/>
    <m/>
    <n v="49732"/>
    <n v="57339635.000000015"/>
    <n v="0"/>
    <n v="0"/>
    <m/>
    <n v="0"/>
    <m/>
    <n v="0"/>
    <m/>
    <n v="0"/>
    <n v="59893885.5"/>
    <n v="9"/>
    <n v="0"/>
    <n v="0"/>
    <n v="49732"/>
    <n v="9"/>
    <n v="0"/>
    <s v=""/>
    <n v="49732"/>
    <n v="2017"/>
    <n v="9"/>
    <n v="2022"/>
    <s v="Adjust"/>
    <n v="13.190890312734354"/>
    <n v="49732"/>
    <s v="Decreasing"/>
    <n v="-1.4844947843777323E-3"/>
    <n v="5.4673730437993617E-2"/>
    <n v="0"/>
    <n v="0"/>
    <n v="0"/>
    <n v="8.6732327472959998"/>
    <n v="2.202376787315686E-3"/>
    <n v="8.3033517670180199"/>
    <x v="0"/>
  </r>
  <r>
    <s v="Zambia"/>
    <x v="45"/>
    <n v="14744663"/>
    <x v="0"/>
    <n v="0"/>
    <n v="15234975.999999991"/>
    <n v="0"/>
    <m/>
    <n v="0"/>
    <m/>
    <n v="0"/>
    <m/>
    <n v="0"/>
    <m/>
    <n v="0"/>
    <n v="17835892.999999981"/>
    <n v="1283"/>
    <n v="1283"/>
    <m/>
    <n v="1846"/>
    <m/>
    <n v="41669"/>
    <m/>
    <n v="0"/>
    <n v="20017675.000000004"/>
    <n v="2421"/>
    <n v="1262"/>
    <n v="0"/>
    <n v="1846"/>
    <n v="41669"/>
    <n v="0"/>
    <s v=""/>
    <n v="1283"/>
    <n v="2018"/>
    <n v="2421"/>
    <n v="2022"/>
    <s v=""/>
    <n v="2421"/>
    <n v="2421"/>
    <s v="Increasing"/>
    <n v="9.0528744101809888E-2"/>
    <n v="5.4673730437993617E-2"/>
    <n v="802.5621701473749"/>
    <n v="1486.9379754826555"/>
    <n v="0"/>
    <n v="0.71933600409018006"/>
    <n v="1.2094311652077474"/>
    <n v="1.2094311652077474"/>
    <x v="1"/>
  </r>
  <r>
    <s v="Zambia"/>
    <x v="45"/>
    <n v="14744664"/>
    <x v="1"/>
    <n v="0"/>
    <n v="15234975.999999991"/>
    <n v="0"/>
    <m/>
    <n v="0"/>
    <m/>
    <n v="0"/>
    <m/>
    <n v="0"/>
    <m/>
    <n v="66"/>
    <n v="17835892.999999981"/>
    <n v="0"/>
    <n v="404"/>
    <m/>
    <n v="0"/>
    <m/>
    <n v="0"/>
    <m/>
    <n v="0"/>
    <n v="20017675.000000004"/>
    <n v="774"/>
    <n v="404"/>
    <n v="0"/>
    <n v="66"/>
    <n v="774"/>
    <n v="0"/>
    <s v=""/>
    <n v="404"/>
    <s v="2018 (triag)"/>
    <n v="774"/>
    <n v="2022"/>
    <s v=""/>
    <n v="774"/>
    <n v="774"/>
    <s v="Increasing"/>
    <n v="9.0528744101809888E-2"/>
    <n v="5.4673730437993617E-2"/>
    <n v="256.92164559392984"/>
    <n v="476.0086704397724"/>
    <n v="0"/>
    <n v="0.22650954454593353"/>
    <n v="0.38665829073556235"/>
    <n v="0.38665829073556235"/>
    <x v="1"/>
  </r>
  <r>
    <s v="Zambia"/>
    <x v="45"/>
    <n v="14744665"/>
    <x v="2"/>
    <n v="0"/>
    <n v="15234975.999999991"/>
    <n v="0"/>
    <m/>
    <n v="0"/>
    <m/>
    <n v="0"/>
    <m/>
    <n v="0"/>
    <m/>
    <n v="0"/>
    <n v="17835892.999999981"/>
    <n v="0"/>
    <n v="2016"/>
    <m/>
    <n v="0"/>
    <m/>
    <n v="3330"/>
    <m/>
    <n v="0"/>
    <n v="20017675.000000004"/>
    <n v="4392"/>
    <n v="2016"/>
    <n v="0"/>
    <n v="0"/>
    <n v="4392"/>
    <n v="0"/>
    <s v=""/>
    <n v="2016"/>
    <s v="2018 (triag)"/>
    <n v="4392"/>
    <n v="2022"/>
    <s v=""/>
    <n v="4392"/>
    <n v="4392"/>
    <s v="Increasing"/>
    <n v="9.0528744101809888E-2"/>
    <n v="5.4673730437993617E-2"/>
    <n v="1282.0644493004024"/>
    <n v="2375.3303950657951"/>
    <n v="0"/>
    <n v="1.1303050539717872"/>
    <n v="2.1940609985924935"/>
    <n v="2.1940609985924935"/>
    <x v="1"/>
  </r>
  <r>
    <s v="Zambia"/>
    <x v="45"/>
    <n v="14744666"/>
    <x v="3"/>
    <n v="0"/>
    <n v="15234975.999999991"/>
    <n v="0"/>
    <m/>
    <n v="0"/>
    <m/>
    <n v="0"/>
    <m/>
    <n v="0"/>
    <m/>
    <n v="0"/>
    <n v="17835892.999999981"/>
    <n v="119"/>
    <n v="119"/>
    <m/>
    <n v="0"/>
    <m/>
    <n v="0"/>
    <m/>
    <n v="0"/>
    <n v="20017675.000000004"/>
    <n v="0"/>
    <n v="0"/>
    <n v="0"/>
    <n v="119"/>
    <n v="0"/>
    <n v="0"/>
    <s v=""/>
    <n v="119"/>
    <n v="2018"/>
    <n v="119"/>
    <n v="2018"/>
    <s v=""/>
    <n v="119"/>
    <n v="119"/>
    <s v="No change"/>
    <n v="9.0528744101809888E-2"/>
    <n v="5.4673730437993617E-2"/>
    <n v="0"/>
    <n v="0"/>
    <n v="0"/>
    <n v="6.6719395546945767E-2"/>
    <n v="5.944746330430481E-2"/>
    <n v="5.944746330430481E-2"/>
    <x v="1"/>
  </r>
  <r>
    <s v="Zambia"/>
    <x v="45"/>
    <n v="14744667"/>
    <x v="4"/>
    <n v="0"/>
    <n v="15234975.999999991"/>
    <n v="0"/>
    <m/>
    <n v="0"/>
    <m/>
    <n v="0"/>
    <m/>
    <n v="0"/>
    <m/>
    <n v="0"/>
    <n v="17835892.999999981"/>
    <n v="0"/>
    <n v="0"/>
    <m/>
    <n v="0"/>
    <m/>
    <n v="0"/>
    <m/>
    <n v="0"/>
    <n v="20017675.000000004"/>
    <n v="0"/>
    <n v="0"/>
    <n v="0"/>
    <n v="0"/>
    <n v="0"/>
    <n v="0"/>
    <s v=""/>
    <n v="0"/>
    <s v=""/>
    <n v="0"/>
    <s v=""/>
    <s v=""/>
    <n v="0"/>
    <n v="0"/>
    <s v="No change"/>
    <n v="9.0528744101809888E-2"/>
    <n v="5.4673730437993617E-2"/>
    <n v="0"/>
    <n v="0"/>
    <n v="0"/>
    <n v="0"/>
    <n v="0"/>
    <n v="0"/>
    <x v="1"/>
  </r>
  <r>
    <s v="Zambia"/>
    <x v="45"/>
    <n v="14744668"/>
    <x v="5"/>
    <n v="53"/>
    <n v="15234975.999999991"/>
    <n v="0"/>
    <m/>
    <n v="0"/>
    <m/>
    <n v="0"/>
    <m/>
    <n v="0"/>
    <m/>
    <n v="0"/>
    <n v="17835892.999999981"/>
    <n v="0"/>
    <n v="0"/>
    <m/>
    <n v="0"/>
    <m/>
    <n v="0"/>
    <m/>
    <n v="0"/>
    <n v="20017675.000000004"/>
    <n v="28"/>
    <n v="0"/>
    <n v="53"/>
    <n v="0"/>
    <n v="28"/>
    <n v="53"/>
    <n v="2012"/>
    <n v="0"/>
    <s v=""/>
    <n v="28"/>
    <n v="2022"/>
    <s v=""/>
    <n v="28"/>
    <n v="28"/>
    <s v="Increasing"/>
    <n v="9.0528744101809888E-2"/>
    <n v="5.4673730437993617E-2"/>
    <n v="0"/>
    <n v="0"/>
    <n v="3.4788371179580481E-2"/>
    <n v="0"/>
    <n v="1.3987638424542308E-2"/>
    <n v="1.3987638424542308E-2"/>
    <x v="1"/>
  </r>
  <r>
    <s v="Zambia"/>
    <x v="45"/>
    <n v="14744669"/>
    <x v="6"/>
    <n v="184"/>
    <n v="15234975.999999991"/>
    <n v="0"/>
    <m/>
    <n v="0"/>
    <m/>
    <n v="0"/>
    <m/>
    <n v="921"/>
    <m/>
    <n v="0"/>
    <n v="17835892.999999981"/>
    <n v="18"/>
    <n v="18"/>
    <m/>
    <n v="18"/>
    <m/>
    <n v="19"/>
    <m/>
    <n v="19"/>
    <n v="20017675.000000004"/>
    <n v="641"/>
    <n v="0"/>
    <n v="184"/>
    <n v="921"/>
    <n v="641"/>
    <n v="184"/>
    <n v="2012"/>
    <n v="18"/>
    <n v="2018"/>
    <n v="641"/>
    <n v="2022"/>
    <s v=""/>
    <n v="641"/>
    <n v="641"/>
    <s v="Increasing"/>
    <n v="9.0528744101809888E-2"/>
    <n v="5.4673730437993617E-2"/>
    <n v="0"/>
    <n v="0"/>
    <n v="0.12077472258571337"/>
    <n v="1.0092009410462385E-2"/>
    <n v="0.32021700821898641"/>
    <n v="0.32021700821898641"/>
    <x v="1"/>
  </r>
  <r>
    <s v="Zambia"/>
    <x v="45"/>
    <n v="14744670"/>
    <x v="7"/>
    <n v="0"/>
    <n v="15234975.999999991"/>
    <n v="0"/>
    <m/>
    <n v="0"/>
    <m/>
    <n v="0"/>
    <m/>
    <n v="0"/>
    <m/>
    <n v="0"/>
    <n v="17835892.999999981"/>
    <n v="0"/>
    <n v="2617"/>
    <m/>
    <n v="0"/>
    <m/>
    <n v="0"/>
    <m/>
    <n v="0"/>
    <n v="20017675.000000004"/>
    <n v="7144"/>
    <n v="2617"/>
    <n v="0"/>
    <n v="0"/>
    <n v="7144"/>
    <n v="0"/>
    <s v=""/>
    <n v="2617"/>
    <s v="2018 (triag)"/>
    <n v="7144"/>
    <n v="2022"/>
    <s v=""/>
    <n v="7144"/>
    <n v="7144"/>
    <s v="Increasing"/>
    <n v="9.0528744101809888E-2"/>
    <n v="5.4673730437993617E-2"/>
    <n v="1664.2671943547386"/>
    <n v="3083.4522043091197"/>
    <n v="0"/>
    <n v="1.4672660348433368"/>
    <n v="3.5688460323189375"/>
    <n v="3.5688460323189375"/>
    <x v="1"/>
  </r>
  <r>
    <s v="Zambia"/>
    <x v="45"/>
    <n v="14744671"/>
    <x v="8"/>
    <n v="500"/>
    <n v="15234975.999999991"/>
    <n v="0"/>
    <m/>
    <n v="0"/>
    <m/>
    <n v="0"/>
    <m/>
    <n v="419"/>
    <m/>
    <n v="0"/>
    <n v="17835892.999999981"/>
    <n v="761"/>
    <n v="761"/>
    <m/>
    <n v="929"/>
    <m/>
    <n v="1075"/>
    <m/>
    <n v="1375"/>
    <n v="20017675.000000004"/>
    <n v="2633"/>
    <n v="602"/>
    <n v="500"/>
    <n v="929"/>
    <n v="2633"/>
    <n v="500"/>
    <n v="2012"/>
    <n v="761"/>
    <n v="2018"/>
    <n v="2633"/>
    <n v="2022"/>
    <s v=""/>
    <n v="2633"/>
    <n v="2633"/>
    <s v="Increasing"/>
    <n v="9.0528744101809888E-2"/>
    <n v="5.4673730437993617E-2"/>
    <n v="382.83868972164794"/>
    <n v="709.30004852659158"/>
    <n v="0.32819218093943853"/>
    <n v="0.42666773118677087"/>
    <n v="1.3153375704221393"/>
    <n v="1.3153375704221393"/>
    <x v="1"/>
  </r>
  <r>
    <s v="Zambia"/>
    <x v="45"/>
    <n v="14744672"/>
    <x v="9"/>
    <n v="0"/>
    <n v="15234975.999999991"/>
    <n v="0"/>
    <m/>
    <n v="0"/>
    <m/>
    <n v="0"/>
    <m/>
    <n v="0"/>
    <m/>
    <n v="0"/>
    <n v="17835892.999999981"/>
    <n v="67"/>
    <n v="1232"/>
    <m/>
    <n v="0"/>
    <m/>
    <n v="0"/>
    <m/>
    <n v="0"/>
    <n v="20017675.000000004"/>
    <n v="0"/>
    <n v="1232"/>
    <n v="0"/>
    <n v="67"/>
    <n v="0"/>
    <n v="0"/>
    <s v=""/>
    <n v="1232"/>
    <s v="2018 (triag)"/>
    <n v="1232"/>
    <s v="2018 (triag)"/>
    <s v=""/>
    <n v="1232"/>
    <n v="1232"/>
    <s v="No change"/>
    <n v="9.0528744101809888E-2"/>
    <n v="5.4673730437993617E-2"/>
    <n v="783.48383012802367"/>
    <n v="1451.5907969846526"/>
    <n v="0"/>
    <n v="0.69074197742720322"/>
    <n v="0.61545609067986151"/>
    <n v="0.61545609067986151"/>
    <x v="1"/>
  </r>
  <r>
    <s v="Zambia"/>
    <x v="45"/>
    <n v="14744673"/>
    <x v="10"/>
    <n v="18"/>
    <n v="15234975.999999991"/>
    <n v="0"/>
    <m/>
    <n v="0"/>
    <m/>
    <n v="0"/>
    <m/>
    <n v="0"/>
    <m/>
    <n v="0"/>
    <n v="17835892.999999981"/>
    <n v="16"/>
    <n v="61"/>
    <m/>
    <n v="0"/>
    <m/>
    <n v="0"/>
    <m/>
    <n v="0"/>
    <n v="20017675.000000004"/>
    <n v="244"/>
    <n v="61"/>
    <n v="18"/>
    <n v="16"/>
    <n v="244"/>
    <n v="18"/>
    <n v="2012"/>
    <n v="61"/>
    <s v="2018 (triag)"/>
    <n v="244"/>
    <n v="2022"/>
    <s v=""/>
    <n v="244"/>
    <n v="244"/>
    <s v="Increasing"/>
    <n v="9.0528744101809888E-2"/>
    <n v="5.4673730437993617E-2"/>
    <n v="38.792624706014159"/>
    <n v="71.872596279272571"/>
    <n v="1.1814918513819786E-2"/>
    <n v="3.4200698557678086E-2"/>
    <n v="0.12189227769958297"/>
    <n v="0.12189227769958297"/>
    <x v="1"/>
  </r>
  <r>
    <s v="Zambia"/>
    <x v="45"/>
    <n v="14744674"/>
    <x v="11"/>
    <n v="0"/>
    <n v="15234975.999999991"/>
    <n v="0"/>
    <m/>
    <n v="0"/>
    <m/>
    <n v="0"/>
    <m/>
    <n v="0"/>
    <m/>
    <n v="0"/>
    <n v="17835892.999999981"/>
    <n v="0"/>
    <n v="17801"/>
    <m/>
    <n v="0"/>
    <m/>
    <n v="0"/>
    <m/>
    <n v="0"/>
    <n v="20017675.000000004"/>
    <n v="0"/>
    <n v="17801"/>
    <n v="0"/>
    <n v="0"/>
    <n v="0"/>
    <n v="0"/>
    <s v=""/>
    <n v="17801"/>
    <s v="2018 (triag)"/>
    <n v="17801"/>
    <s v="2018 (triag)"/>
    <s v=""/>
    <n v="17801"/>
    <n v="17801"/>
    <s v="No change"/>
    <n v="9.0528744101809888E-2"/>
    <n v="5.4673730437993617E-2"/>
    <n v="11320.451022815707"/>
    <n v="20973.837481431656"/>
    <n v="0"/>
    <n v="9.9804366397578299"/>
    <n v="8.8926411284027722"/>
    <n v="8.8926411284027722"/>
    <x v="1"/>
  </r>
  <r>
    <s v="Zambia"/>
    <x v="45"/>
    <n v="14744675"/>
    <x v="12"/>
    <n v="0"/>
    <n v="15234975.999999991"/>
    <n v="0"/>
    <m/>
    <n v="0"/>
    <m/>
    <n v="0"/>
    <m/>
    <n v="0"/>
    <m/>
    <n v="0"/>
    <n v="17835892.999999981"/>
    <n v="0"/>
    <n v="0"/>
    <m/>
    <n v="0"/>
    <m/>
    <n v="0"/>
    <m/>
    <n v="0"/>
    <n v="20017675.000000004"/>
    <n v="0"/>
    <n v="0"/>
    <n v="0"/>
    <n v="0"/>
    <n v="0"/>
    <n v="0"/>
    <s v=""/>
    <n v="0"/>
    <s v=""/>
    <n v="0"/>
    <s v=""/>
    <s v=""/>
    <n v="0"/>
    <n v="0"/>
    <s v="No change"/>
    <n v="9.0528744101809888E-2"/>
    <n v="5.4673730437993617E-2"/>
    <n v="0"/>
    <n v="0"/>
    <n v="0"/>
    <n v="0"/>
    <n v="0"/>
    <n v="0"/>
    <x v="1"/>
  </r>
  <r>
    <s v="Zambia"/>
    <x v="45"/>
    <n v="14744676"/>
    <x v="13"/>
    <n v="1126"/>
    <n v="15234975.999999991"/>
    <n v="0"/>
    <m/>
    <n v="0"/>
    <m/>
    <n v="0"/>
    <m/>
    <n v="0"/>
    <m/>
    <n v="0"/>
    <n v="17835892.999999981"/>
    <n v="1712"/>
    <n v="1712"/>
    <m/>
    <n v="2045"/>
    <m/>
    <n v="2506"/>
    <m/>
    <n v="3182"/>
    <n v="20017675.000000004"/>
    <n v="2235"/>
    <n v="1602"/>
    <n v="1126"/>
    <n v="2045"/>
    <n v="3182"/>
    <n v="1126"/>
    <n v="2012"/>
    <n v="1712"/>
    <n v="2018"/>
    <n v="2235"/>
    <n v="2022"/>
    <s v=""/>
    <n v="2235"/>
    <n v="2235"/>
    <s v="Increasing"/>
    <n v="9.0528744101809888E-2"/>
    <n v="5.4673730437993617E-2"/>
    <n v="1018.7833570333555"/>
    <n v="1887.5393317933549"/>
    <n v="0.73908879147561546"/>
    <n v="0.95986222837286683"/>
    <n v="1.1165132813875736"/>
    <n v="1.1165132813875736"/>
    <x v="1"/>
  </r>
  <r>
    <s v="Zambia"/>
    <x v="45"/>
    <n v="14744677"/>
    <x v="14"/>
    <n v="3141"/>
    <n v="15234975.999999991"/>
    <n v="0"/>
    <m/>
    <n v="0"/>
    <m/>
    <n v="0"/>
    <m/>
    <n v="1814"/>
    <m/>
    <n v="0"/>
    <n v="17835892.999999981"/>
    <n v="3616"/>
    <n v="3616"/>
    <m/>
    <n v="4562"/>
    <m/>
    <n v="5544"/>
    <m/>
    <n v="8281"/>
    <n v="20017675.000000004"/>
    <n v="970"/>
    <n v="0"/>
    <n v="3141"/>
    <n v="4562"/>
    <n v="8281"/>
    <n v="3141"/>
    <n v="2012"/>
    <n v="3616"/>
    <n v="2018"/>
    <n v="970"/>
    <n v="2022"/>
    <s v="Adjust"/>
    <n v="1114.8196849908027"/>
    <n v="3616"/>
    <s v="Decreasing"/>
    <n v="9.0528744101809888E-2"/>
    <n v="5.4673730437993617E-2"/>
    <n v="0"/>
    <n v="0"/>
    <n v="2.0617032806615527"/>
    <n v="2.0273725571239991"/>
    <n v="0.55691766650762509"/>
    <n v="1.8064035908266067"/>
    <x v="0"/>
  </r>
  <r>
    <s v="Zambia"/>
    <x v="45"/>
    <n v="14744678"/>
    <x v="15"/>
    <n v="485"/>
    <n v="15234975.999999991"/>
    <n v="0"/>
    <m/>
    <n v="0"/>
    <m/>
    <n v="0"/>
    <m/>
    <n v="432"/>
    <m/>
    <n v="0"/>
    <n v="17835892.999999981"/>
    <n v="739"/>
    <n v="739"/>
    <m/>
    <n v="864"/>
    <m/>
    <n v="1036"/>
    <m/>
    <n v="1324"/>
    <n v="20017675.000000004"/>
    <n v="1239"/>
    <n v="606"/>
    <n v="485"/>
    <n v="864"/>
    <n v="1324"/>
    <n v="485"/>
    <n v="2012"/>
    <n v="739"/>
    <n v="2018"/>
    <n v="1239"/>
    <n v="2022"/>
    <s v=""/>
    <n v="1239"/>
    <n v="1327"/>
    <s v="Increasing"/>
    <n v="9.0528744101809888E-2"/>
    <n v="5.4673730437993617E-2"/>
    <n v="385.38246839089476"/>
    <n v="714.01300565965857"/>
    <n v="0.31834641551125537"/>
    <n v="0.41433305301842793"/>
    <n v="0.61895300028599709"/>
    <n v="0.66291414962027295"/>
    <x v="1"/>
  </r>
  <r>
    <s v="Zambia"/>
    <x v="45"/>
    <n v="14744679"/>
    <x v="16"/>
    <n v="0"/>
    <n v="15234975.999999991"/>
    <n v="0"/>
    <m/>
    <n v="0"/>
    <m/>
    <n v="0"/>
    <m/>
    <n v="0"/>
    <m/>
    <n v="0"/>
    <n v="17835892.999999981"/>
    <n v="0"/>
    <n v="0"/>
    <m/>
    <n v="0"/>
    <m/>
    <n v="0"/>
    <m/>
    <n v="0"/>
    <n v="20017675.000000004"/>
    <n v="0"/>
    <n v="0"/>
    <n v="0"/>
    <n v="0"/>
    <n v="0"/>
    <n v="0"/>
    <s v=""/>
    <n v="0"/>
    <s v=""/>
    <n v="0"/>
    <s v=""/>
    <s v=""/>
    <n v="0"/>
    <n v="0"/>
    <s v="No change"/>
    <n v="9.0528744101809888E-2"/>
    <n v="5.4673730437993617E-2"/>
    <n v="0"/>
    <n v="0"/>
    <n v="0"/>
    <n v="0"/>
    <n v="0"/>
    <n v="0"/>
    <x v="1"/>
  </r>
  <r>
    <s v="Zambia"/>
    <x v="45"/>
    <n v="14744680"/>
    <x v="17"/>
    <n v="0"/>
    <n v="15234975.999999991"/>
    <n v="0"/>
    <m/>
    <n v="0"/>
    <m/>
    <n v="0"/>
    <m/>
    <n v="0"/>
    <m/>
    <n v="0"/>
    <n v="17835892.999999981"/>
    <n v="0"/>
    <n v="0"/>
    <m/>
    <n v="0"/>
    <m/>
    <n v="0"/>
    <m/>
    <n v="0"/>
    <n v="20017675.000000004"/>
    <n v="2"/>
    <n v="0"/>
    <n v="0"/>
    <n v="0"/>
    <n v="2"/>
    <n v="0"/>
    <s v=""/>
    <n v="0"/>
    <s v=""/>
    <n v="2"/>
    <n v="2022"/>
    <s v=""/>
    <n v="2"/>
    <n v="2"/>
    <s v="Increasing"/>
    <n v="9.0528744101809888E-2"/>
    <n v="5.4673730437993617E-2"/>
    <n v="0"/>
    <n v="0"/>
    <n v="0"/>
    <n v="0"/>
    <n v="9.9911703032445052E-4"/>
    <n v="9.9911703032445052E-4"/>
    <x v="1"/>
  </r>
  <r>
    <s v="Zambia"/>
    <x v="45"/>
    <n v="14744681"/>
    <x v="18"/>
    <n v="0"/>
    <n v="15234975.999999991"/>
    <n v="0"/>
    <m/>
    <n v="0"/>
    <m/>
    <n v="0"/>
    <m/>
    <n v="0"/>
    <m/>
    <n v="0"/>
    <n v="17835892.999999981"/>
    <n v="0"/>
    <n v="0"/>
    <m/>
    <n v="0"/>
    <m/>
    <n v="0"/>
    <m/>
    <n v="0"/>
    <n v="20017675.000000004"/>
    <n v="0"/>
    <n v="0"/>
    <n v="0"/>
    <n v="0"/>
    <n v="0"/>
    <n v="0"/>
    <s v=""/>
    <n v="0"/>
    <s v=""/>
    <n v="0"/>
    <s v=""/>
    <s v=""/>
    <n v="0"/>
    <n v="0"/>
    <s v="No change"/>
    <n v="9.0528744101809888E-2"/>
    <n v="5.4673730437993617E-2"/>
    <n v="0"/>
    <n v="0"/>
    <n v="0"/>
    <n v="0"/>
    <n v="0"/>
    <n v="0"/>
    <x v="1"/>
  </r>
  <r>
    <s v="Zimbabwe"/>
    <x v="46"/>
    <n v="13265336"/>
    <x v="0"/>
    <n v="0"/>
    <n v="13555421.500000011"/>
    <n v="0"/>
    <m/>
    <n v="0"/>
    <m/>
    <n v="11200"/>
    <m/>
    <n v="0"/>
    <m/>
    <n v="15000"/>
    <n v="15052184.000000007"/>
    <n v="15888"/>
    <n v="15888"/>
    <m/>
    <n v="0"/>
    <m/>
    <n v="0"/>
    <m/>
    <n v="0"/>
    <n v="16320536.999999996"/>
    <n v="19722"/>
    <n v="2143"/>
    <n v="11200"/>
    <n v="15888"/>
    <n v="19722"/>
    <n v="11200"/>
    <n v="2015"/>
    <n v="15888"/>
    <n v="2018"/>
    <n v="19722"/>
    <n v="2022"/>
    <s v=""/>
    <n v="19722"/>
    <n v="19722"/>
    <s v="Increasing"/>
    <n v="8.5173735635071912E-2"/>
    <n v="0.17704702295875174"/>
    <n v="1399.81213497868"/>
    <n v="3644.9687256954526"/>
    <n v="8.262376791455722"/>
    <n v="10.555278888432397"/>
    <n v="12.084161201313416"/>
    <n v="12.084161201313416"/>
    <x v="1"/>
  </r>
  <r>
    <s v="Zimbabwe"/>
    <x v="46"/>
    <n v="13265337"/>
    <x v="1"/>
    <n v="0"/>
    <n v="13555421.500000011"/>
    <n v="0"/>
    <m/>
    <n v="0"/>
    <m/>
    <n v="845"/>
    <m/>
    <n v="0"/>
    <m/>
    <n v="0"/>
    <n v="15052184.000000007"/>
    <n v="0"/>
    <n v="0"/>
    <m/>
    <n v="0"/>
    <m/>
    <n v="0"/>
    <m/>
    <n v="0"/>
    <n v="16320536.999999996"/>
    <n v="280"/>
    <n v="0"/>
    <n v="845"/>
    <n v="0"/>
    <n v="280"/>
    <n v="845"/>
    <n v="2015"/>
    <n v="0"/>
    <s v=""/>
    <n v="280"/>
    <n v="2022"/>
    <s v=""/>
    <n v="280"/>
    <n v="280"/>
    <s v="Increasing"/>
    <n v="8.5173735635071912E-2"/>
    <n v="0.17704702295875174"/>
    <n v="0"/>
    <n v="0"/>
    <n v="0.62336682042679326"/>
    <n v="0"/>
    <n v="0.17156298227196817"/>
    <n v="0.17156298227196817"/>
    <x v="1"/>
  </r>
  <r>
    <s v="Zimbabwe"/>
    <x v="46"/>
    <n v="13265338"/>
    <x v="2"/>
    <n v="0"/>
    <n v="13555421.500000011"/>
    <n v="0"/>
    <m/>
    <n v="0"/>
    <m/>
    <n v="1885"/>
    <m/>
    <n v="0"/>
    <m/>
    <n v="0"/>
    <n v="15052184.000000007"/>
    <n v="0"/>
    <n v="1644"/>
    <m/>
    <n v="0"/>
    <m/>
    <n v="91"/>
    <m/>
    <n v="0"/>
    <n v="16320536.999999996"/>
    <n v="2684"/>
    <n v="1644"/>
    <n v="1885"/>
    <n v="0"/>
    <n v="2684"/>
    <n v="1885"/>
    <n v="2015"/>
    <n v="1644"/>
    <s v="2018 (triag)"/>
    <n v="2684"/>
    <n v="2022"/>
    <s v=""/>
    <n v="2684"/>
    <n v="2684"/>
    <s v="Increasing"/>
    <n v="8.5173735635071912E-2"/>
    <n v="0.17704702295875174"/>
    <n v="1073.8642790037097"/>
    <n v="2796.2335907808324"/>
    <n v="1.3905875224905389"/>
    <n v="1.0922003079420231"/>
    <n v="1.644553730064152"/>
    <n v="1.644553730064152"/>
    <x v="1"/>
  </r>
  <r>
    <s v="Zimbabwe"/>
    <x v="46"/>
    <n v="13265339"/>
    <x v="3"/>
    <n v="0"/>
    <n v="13555421.500000011"/>
    <n v="0"/>
    <m/>
    <n v="0"/>
    <m/>
    <n v="0"/>
    <m/>
    <n v="551"/>
    <m/>
    <n v="607"/>
    <n v="15052184.000000007"/>
    <n v="2021"/>
    <n v="2115"/>
    <m/>
    <n v="0"/>
    <m/>
    <n v="0"/>
    <m/>
    <n v="0"/>
    <n v="16320536.999999996"/>
    <n v="0"/>
    <n v="2115"/>
    <n v="0"/>
    <n v="2021"/>
    <n v="0"/>
    <n v="0"/>
    <s v=""/>
    <n v="2115"/>
    <s v="2018 (triag)"/>
    <n v="2115"/>
    <s v="2018 (triag)"/>
    <s v=""/>
    <n v="2115"/>
    <n v="2115"/>
    <s v="No change"/>
    <n v="8.5173735635071912E-2"/>
    <n v="0.17704702295875174"/>
    <n v="1381.5224757255755"/>
    <n v="3597.3443093074575"/>
    <n v="0"/>
    <n v="1.405111710034902"/>
    <n v="1.2959132410900454"/>
    <n v="1.2959132410900454"/>
    <x v="1"/>
  </r>
  <r>
    <s v="Zimbabwe"/>
    <x v="46"/>
    <n v="13265340"/>
    <x v="4"/>
    <n v="0"/>
    <n v="13555421.500000011"/>
    <n v="0"/>
    <m/>
    <n v="229"/>
    <m/>
    <n v="270"/>
    <m/>
    <n v="257"/>
    <m/>
    <n v="451"/>
    <n v="15052184.000000007"/>
    <n v="414"/>
    <n v="414"/>
    <m/>
    <n v="0"/>
    <m/>
    <n v="0"/>
    <m/>
    <n v="0"/>
    <n v="16320536.999999996"/>
    <n v="0"/>
    <n v="327"/>
    <n v="270"/>
    <n v="451"/>
    <n v="0"/>
    <n v="229"/>
    <n v="2014"/>
    <n v="414"/>
    <n v="2018"/>
    <n v="414"/>
    <n v="2018"/>
    <s v=""/>
    <n v="414"/>
    <n v="414"/>
    <s v="No change"/>
    <n v="8.5173735635071912E-2"/>
    <n v="0.17704702295875174"/>
    <n v="213.59709199161381"/>
    <n v="556.18514853122394"/>
    <n v="0.16893609689672859"/>
    <n v="0.27504314324087442"/>
    <n v="0.25366812378783865"/>
    <n v="0.25366812378783865"/>
    <x v="1"/>
  </r>
  <r>
    <s v="Zimbabwe"/>
    <x v="46"/>
    <n v="13265341"/>
    <x v="5"/>
    <n v="27"/>
    <n v="13555421.500000011"/>
    <n v="26"/>
    <m/>
    <n v="26"/>
    <m/>
    <n v="0"/>
    <m/>
    <n v="17"/>
    <m/>
    <n v="0"/>
    <n v="15052184.000000007"/>
    <n v="40"/>
    <n v="40"/>
    <m/>
    <n v="25"/>
    <m/>
    <n v="0"/>
    <m/>
    <n v="0"/>
    <n v="16320536.999999996"/>
    <n v="318"/>
    <n v="10"/>
    <n v="27"/>
    <n v="40"/>
    <n v="318"/>
    <n v="26"/>
    <n v="2013"/>
    <n v="40"/>
    <n v="2018"/>
    <n v="318"/>
    <n v="2022"/>
    <s v=""/>
    <n v="318"/>
    <n v="318"/>
    <s v="Increasing"/>
    <n v="8.5173735635071912E-2"/>
    <n v="0.17704702295875174"/>
    <n v="6.5320211618230521"/>
    <n v="17.00872013856954"/>
    <n v="1.918051755159364E-2"/>
    <n v="2.6574216738248734E-2"/>
    <n v="0.194846529866021"/>
    <n v="0.194846529866021"/>
    <x v="1"/>
  </r>
  <r>
    <s v="Zimbabwe"/>
    <x v="46"/>
    <n v="13265342"/>
    <x v="6"/>
    <n v="352"/>
    <n v="13555421.500000011"/>
    <n v="343"/>
    <m/>
    <n v="0"/>
    <m/>
    <n v="0"/>
    <m/>
    <n v="0"/>
    <m/>
    <n v="0"/>
    <n v="15052184.000000007"/>
    <n v="644"/>
    <n v="644"/>
    <m/>
    <n v="0"/>
    <m/>
    <n v="0"/>
    <m/>
    <n v="0"/>
    <n v="16320536.999999996"/>
    <n v="757"/>
    <n v="368"/>
    <n v="352"/>
    <n v="644"/>
    <n v="757"/>
    <n v="343"/>
    <n v="2013"/>
    <n v="644"/>
    <n v="2018"/>
    <n v="757"/>
    <n v="2022"/>
    <s v=""/>
    <n v="757"/>
    <n v="757"/>
    <s v="Increasing"/>
    <n v="8.5173735635071912E-2"/>
    <n v="0.17704702295875174"/>
    <n v="240.37837875508831"/>
    <n v="625.92090109935907"/>
    <n v="0.25303528923833146"/>
    <n v="0.42784488948580462"/>
    <n v="0.46383277707099968"/>
    <n v="0.46383277707099968"/>
    <x v="1"/>
  </r>
  <r>
    <s v="Zimbabwe"/>
    <x v="46"/>
    <n v="13265343"/>
    <x v="7"/>
    <n v="0"/>
    <n v="13555421.500000011"/>
    <n v="0"/>
    <m/>
    <n v="0"/>
    <m/>
    <n v="0"/>
    <m/>
    <n v="0"/>
    <m/>
    <n v="0"/>
    <n v="15052184.000000007"/>
    <n v="164"/>
    <n v="164"/>
    <m/>
    <n v="0"/>
    <m/>
    <n v="0"/>
    <m/>
    <n v="0"/>
    <n v="16320536.999999996"/>
    <n v="0"/>
    <n v="76"/>
    <n v="0"/>
    <n v="164"/>
    <n v="0"/>
    <n v="0"/>
    <s v=""/>
    <n v="164"/>
    <n v="2018"/>
    <n v="164"/>
    <n v="2018"/>
    <s v=""/>
    <n v="164"/>
    <n v="164"/>
    <s v="No change"/>
    <n v="8.5173735635071912E-2"/>
    <n v="0.17704702295875174"/>
    <n v="49.643360829855197"/>
    <n v="129.26627305312851"/>
    <n v="0"/>
    <n v="0.10895428862681981"/>
    <n v="0.10048688961643851"/>
    <n v="0.10048688961643851"/>
    <x v="1"/>
  </r>
  <r>
    <s v="Zimbabwe"/>
    <x v="46"/>
    <n v="13265344"/>
    <x v="8"/>
    <n v="233"/>
    <n v="13555421.500000011"/>
    <n v="239"/>
    <m/>
    <n v="312"/>
    <m/>
    <n v="511"/>
    <m/>
    <n v="320"/>
    <m/>
    <n v="417"/>
    <n v="15052184.000000007"/>
    <n v="480"/>
    <n v="480"/>
    <m/>
    <n v="0"/>
    <m/>
    <n v="0"/>
    <m/>
    <n v="0"/>
    <n v="16320536.999999996"/>
    <n v="376"/>
    <n v="412"/>
    <n v="511"/>
    <n v="480"/>
    <n v="376"/>
    <n v="239"/>
    <n v="2013"/>
    <n v="480"/>
    <n v="2018"/>
    <n v="376"/>
    <n v="2022"/>
    <s v="Adjust"/>
    <n v="434.81572579045508"/>
    <n v="480"/>
    <s v="Decreasing"/>
    <n v="8.5173735635071912E-2"/>
    <n v="0.17704702295875174"/>
    <n v="269.11927186710972"/>
    <n v="700.75926970906505"/>
    <n v="0.17631321903195693"/>
    <n v="0.3188906008589848"/>
    <n v="0.2664224380548601"/>
    <n v="0.2941079696090883"/>
    <x v="1"/>
  </r>
  <r>
    <s v="Zimbabwe"/>
    <x v="46"/>
    <n v="13265345"/>
    <x v="9"/>
    <n v="0"/>
    <n v="13555421.500000011"/>
    <n v="0"/>
    <m/>
    <n v="0"/>
    <m/>
    <n v="0"/>
    <m/>
    <n v="678"/>
    <m/>
    <n v="605"/>
    <n v="15052184.000000007"/>
    <n v="703"/>
    <n v="718"/>
    <m/>
    <n v="0"/>
    <m/>
    <n v="0"/>
    <m/>
    <n v="0"/>
    <n v="16320536.999999996"/>
    <n v="0"/>
    <n v="718"/>
    <n v="0"/>
    <n v="703"/>
    <n v="0"/>
    <n v="0"/>
    <s v=""/>
    <n v="718"/>
    <s v="2018 (triag)"/>
    <n v="718"/>
    <s v="2018 (triag)"/>
    <s v=""/>
    <n v="718"/>
    <n v="718"/>
    <s v="No change"/>
    <n v="8.5173735635071912E-2"/>
    <n v="0.17704702295875174"/>
    <n v="468.99911941889513"/>
    <n v="1221.226105949293"/>
    <n v="0"/>
    <n v="0.47700719045156481"/>
    <n v="0.43993650454026123"/>
    <n v="0.43993650454026123"/>
    <x v="1"/>
  </r>
  <r>
    <s v="Zimbabwe"/>
    <x v="46"/>
    <n v="13265346"/>
    <x v="10"/>
    <n v="0"/>
    <n v="13555421.500000011"/>
    <n v="0"/>
    <m/>
    <n v="0"/>
    <m/>
    <n v="0"/>
    <m/>
    <n v="13"/>
    <m/>
    <n v="20"/>
    <n v="15052184.000000007"/>
    <n v="20"/>
    <n v="20"/>
    <m/>
    <n v="0"/>
    <m/>
    <n v="0"/>
    <m/>
    <n v="0"/>
    <n v="16320536.999999996"/>
    <n v="0"/>
    <n v="0"/>
    <n v="0"/>
    <n v="20"/>
    <n v="0"/>
    <n v="0"/>
    <s v=""/>
    <n v="20"/>
    <n v="2017"/>
    <n v="20"/>
    <n v="2017"/>
    <s v=""/>
    <n v="20"/>
    <n v="20"/>
    <s v="No change"/>
    <n v="8.5173735635071912E-2"/>
    <n v="0.17704702295875174"/>
    <n v="0"/>
    <n v="0"/>
    <n v="0"/>
    <n v="1.3287108369124367E-2"/>
    <n v="1.2254498733712012E-2"/>
    <n v="1.2254498733712012E-2"/>
    <x v="1"/>
  </r>
  <r>
    <s v="Zimbabwe"/>
    <x v="46"/>
    <n v="13265347"/>
    <x v="11"/>
    <n v="0"/>
    <n v="13555421.500000011"/>
    <n v="0"/>
    <m/>
    <n v="0"/>
    <m/>
    <n v="0"/>
    <m/>
    <n v="0"/>
    <m/>
    <n v="1733"/>
    <n v="15052184.000000007"/>
    <n v="0"/>
    <n v="9502"/>
    <m/>
    <n v="0"/>
    <m/>
    <n v="0"/>
    <m/>
    <n v="0"/>
    <n v="16320536.999999996"/>
    <n v="0"/>
    <n v="9502"/>
    <n v="0"/>
    <n v="1733"/>
    <n v="0"/>
    <n v="0"/>
    <s v=""/>
    <n v="9502"/>
    <s v="2018 (triag)"/>
    <n v="9502"/>
    <s v="2018 (triag)"/>
    <s v=""/>
    <n v="9502"/>
    <n v="9502"/>
    <s v="No change"/>
    <n v="8.5173735635071912E-2"/>
    <n v="0.17704702295875174"/>
    <n v="6206.7265079642639"/>
    <n v="16161.685875668776"/>
    <n v="0"/>
    <n v="6.3127051861709873"/>
    <n v="5.8221123483865771"/>
    <n v="5.8221123483865771"/>
    <x v="1"/>
  </r>
  <r>
    <s v="Zimbabwe"/>
    <x v="46"/>
    <n v="13265348"/>
    <x v="12"/>
    <n v="0"/>
    <n v="13555421.500000011"/>
    <n v="0"/>
    <m/>
    <n v="0"/>
    <m/>
    <n v="0"/>
    <m/>
    <n v="0"/>
    <m/>
    <n v="0"/>
    <n v="15052184.000000007"/>
    <n v="0"/>
    <n v="1122"/>
    <m/>
    <n v="0"/>
    <m/>
    <n v="0"/>
    <m/>
    <n v="0"/>
    <n v="16320536.999999996"/>
    <n v="0"/>
    <n v="1122"/>
    <n v="0"/>
    <n v="0"/>
    <n v="0"/>
    <n v="0"/>
    <s v=""/>
    <n v="1122"/>
    <s v="2018 (triag)"/>
    <n v="1122"/>
    <s v="2018 (triag)"/>
    <s v=""/>
    <n v="1122"/>
    <n v="1122"/>
    <s v="No change"/>
    <n v="8.5173735635071912E-2"/>
    <n v="0.17704702295875174"/>
    <n v="732.8927743565464"/>
    <n v="1908.3783995475023"/>
    <n v="0"/>
    <n v="0.74540677950787704"/>
    <n v="0.68747737896124395"/>
    <n v="0.68747737896124395"/>
    <x v="1"/>
  </r>
  <r>
    <s v="Zimbabwe"/>
    <x v="46"/>
    <n v="13265349"/>
    <x v="13"/>
    <n v="0"/>
    <n v="13555421.500000011"/>
    <n v="0"/>
    <m/>
    <n v="519"/>
    <m/>
    <n v="644"/>
    <m/>
    <n v="600"/>
    <m/>
    <n v="781"/>
    <n v="15052184.000000007"/>
    <n v="1126"/>
    <n v="1126"/>
    <m/>
    <n v="0"/>
    <m/>
    <n v="0"/>
    <m/>
    <n v="0"/>
    <n v="16320536.999999996"/>
    <n v="795"/>
    <n v="648"/>
    <n v="644"/>
    <n v="1126"/>
    <n v="795"/>
    <n v="519"/>
    <n v="2014"/>
    <n v="1126"/>
    <n v="2018"/>
    <n v="795"/>
    <n v="2022"/>
    <s v="Adjust"/>
    <n v="919.35771809418031"/>
    <n v="1126"/>
    <s v="Decreasing"/>
    <n v="8.5173735635071912E-2"/>
    <n v="0.17704702295875174"/>
    <n v="423.27497128613379"/>
    <n v="1102.1650649793062"/>
    <n v="0.38287263881834999"/>
    <n v="0.74806420118170192"/>
    <n v="0.56331339961067495"/>
    <n v="0.68992827870798634"/>
    <x v="1"/>
  </r>
  <r>
    <s v="Zimbabwe"/>
    <x v="46"/>
    <n v="13265350"/>
    <x v="14"/>
    <n v="0"/>
    <n v="13555421.500000011"/>
    <n v="0"/>
    <m/>
    <n v="145"/>
    <m/>
    <n v="0"/>
    <m/>
    <n v="130"/>
    <m/>
    <n v="174"/>
    <n v="15052184.000000007"/>
    <n v="0"/>
    <n v="1094"/>
    <m/>
    <n v="0"/>
    <m/>
    <n v="0"/>
    <m/>
    <n v="0"/>
    <n v="16320536.999999996"/>
    <n v="0"/>
    <n v="1094"/>
    <n v="145"/>
    <n v="174"/>
    <n v="0"/>
    <n v="145"/>
    <n v="2014"/>
    <n v="1094"/>
    <s v="2018 (triag)"/>
    <n v="1094"/>
    <s v="2018 (triag)"/>
    <s v=""/>
    <n v="1094"/>
    <n v="1094"/>
    <s v="No change"/>
    <n v="8.5173735635071912E-2"/>
    <n v="0.17704702295875174"/>
    <n v="714.60311510344184"/>
    <n v="1860.7539831595077"/>
    <n v="0.10696827096081069"/>
    <n v="0.72680482779110289"/>
    <n v="0.67032108073404706"/>
    <n v="0.67032108073404706"/>
    <x v="1"/>
  </r>
  <r>
    <s v="Zimbabwe"/>
    <x v="46"/>
    <n v="13265351"/>
    <x v="15"/>
    <n v="377"/>
    <n v="13555421.500000011"/>
    <n v="419"/>
    <m/>
    <n v="413"/>
    <m/>
    <n v="472"/>
    <m/>
    <n v="432"/>
    <m/>
    <n v="503"/>
    <n v="15052184.000000007"/>
    <n v="688"/>
    <n v="688"/>
    <m/>
    <n v="0"/>
    <m/>
    <n v="0"/>
    <m/>
    <n v="0"/>
    <n v="16320536.999999996"/>
    <n v="957"/>
    <n v="459"/>
    <n v="472"/>
    <n v="688"/>
    <n v="957"/>
    <n v="419"/>
    <n v="2013"/>
    <n v="688"/>
    <n v="2018"/>
    <n v="957"/>
    <n v="2022"/>
    <s v=""/>
    <n v="957"/>
    <n v="957"/>
    <s v="Increasing"/>
    <n v="8.5173735635071912E-2"/>
    <n v="0.17704702295875174"/>
    <n v="299.8197713276781"/>
    <n v="780.70025436034189"/>
    <n v="0.30910141746606673"/>
    <n v="0.45707652789787823"/>
    <n v="0.58637776440811984"/>
    <n v="0.58637776440811984"/>
    <x v="1"/>
  </r>
  <r>
    <s v="Zimbabwe"/>
    <x v="46"/>
    <n v="13265352"/>
    <x v="16"/>
    <n v="0"/>
    <n v="13555421.500000011"/>
    <n v="0"/>
    <m/>
    <n v="0"/>
    <m/>
    <n v="0"/>
    <m/>
    <n v="0"/>
    <m/>
    <n v="0"/>
    <n v="15052184.000000007"/>
    <n v="12"/>
    <n v="12"/>
    <m/>
    <n v="0"/>
    <m/>
    <n v="0"/>
    <m/>
    <n v="0"/>
    <n v="16320536.999999996"/>
    <n v="84"/>
    <n v="0"/>
    <n v="0"/>
    <n v="12"/>
    <n v="84"/>
    <n v="0"/>
    <s v=""/>
    <n v="12"/>
    <n v="2018"/>
    <n v="84"/>
    <n v="2022"/>
    <s v=""/>
    <n v="84"/>
    <n v="84"/>
    <s v="Increasing"/>
    <n v="8.5173735635071912E-2"/>
    <n v="0.17704702295875174"/>
    <n v="0"/>
    <n v="0"/>
    <n v="0"/>
    <n v="7.9722650214746199E-3"/>
    <n v="5.1468894681590452E-2"/>
    <n v="5.1468894681590452E-2"/>
    <x v="1"/>
  </r>
  <r>
    <s v="Zimbabwe"/>
    <x v="46"/>
    <n v="13265353"/>
    <x v="17"/>
    <n v="0"/>
    <n v="13555421.500000011"/>
    <n v="0"/>
    <m/>
    <n v="0"/>
    <m/>
    <n v="0"/>
    <m/>
    <n v="0"/>
    <m/>
    <n v="0"/>
    <n v="15052184.000000007"/>
    <n v="0"/>
    <n v="0"/>
    <m/>
    <n v="0"/>
    <m/>
    <n v="0"/>
    <m/>
    <n v="0"/>
    <n v="16320536.999999996"/>
    <n v="22"/>
    <n v="0"/>
    <n v="0"/>
    <n v="0"/>
    <n v="22"/>
    <n v="0"/>
    <s v=""/>
    <n v="0"/>
    <s v=""/>
    <n v="22"/>
    <n v="2022"/>
    <s v=""/>
    <n v="22"/>
    <n v="22"/>
    <s v="Increasing"/>
    <n v="8.5173735635071912E-2"/>
    <n v="0.17704702295875174"/>
    <n v="0"/>
    <n v="0"/>
    <n v="0"/>
    <n v="0"/>
    <n v="1.3479948607083214E-2"/>
    <n v="1.3479948607083214E-2"/>
    <x v="1"/>
  </r>
  <r>
    <s v="Zimbabwe"/>
    <x v="46"/>
    <n v="13265354"/>
    <x v="18"/>
    <n v="0"/>
    <n v="13555421.500000011"/>
    <n v="0"/>
    <m/>
    <n v="0"/>
    <m/>
    <n v="0"/>
    <m/>
    <n v="0"/>
    <m/>
    <n v="596"/>
    <n v="15052184.000000007"/>
    <n v="1215"/>
    <n v="1215"/>
    <m/>
    <n v="0"/>
    <m/>
    <n v="0"/>
    <m/>
    <n v="0"/>
    <n v="16320536.999999996"/>
    <n v="0"/>
    <n v="5"/>
    <n v="0"/>
    <n v="1215"/>
    <n v="0"/>
    <n v="0"/>
    <s v=""/>
    <n v="1215"/>
    <n v="2018"/>
    <n v="1215"/>
    <n v="2018"/>
    <s v=""/>
    <n v="1215"/>
    <n v="1215"/>
    <s v="No change"/>
    <n v="8.5173735635071912E-2"/>
    <n v="0.17704702295875174"/>
    <n v="3.2660105809115261"/>
    <n v="8.5043600692847701"/>
    <n v="0"/>
    <n v="0.80719183342430534"/>
    <n v="0.7444607980730048"/>
    <n v="0.7444607980730048"/>
    <x v="1"/>
  </r>
  <r>
    <s v="Angola"/>
    <x v="0"/>
    <n v="25188292.499999996"/>
    <x v="19"/>
    <n v="0"/>
    <n v="26147002.000000011"/>
    <n v="0"/>
    <n v="27128336.499999981"/>
    <n v="0"/>
    <n v="28127721.000000004"/>
    <n v="0"/>
    <n v="29154745.500000007"/>
    <n v="0"/>
    <n v="30208628.000000015"/>
    <n v="6400"/>
    <n v="31273533.000000004"/>
    <n v="6593"/>
    <n v="6593"/>
    <n v="32353587.999999993"/>
    <n v="0"/>
    <n v="33428485.999999974"/>
    <n v="0"/>
    <n v="34503773.49999997"/>
    <n v="0"/>
    <n v="35588987.00000003"/>
    <n v="8693"/>
    <n v="6593"/>
    <n v="0"/>
    <n v="6593"/>
    <n v="8693"/>
    <n v="0"/>
    <s v=""/>
    <n v="6593"/>
    <n v="2018"/>
    <n v="8693"/>
    <n v="2022"/>
    <s v=""/>
    <n v="8693"/>
    <n v="8693"/>
    <s v="Increasing"/>
    <m/>
    <m/>
    <m/>
    <m/>
    <n v="0"/>
    <n v="2.1081724281039813"/>
    <n v="2.4426095634584915"/>
    <n v="2.4426095634584915"/>
    <x v="1"/>
  </r>
  <r>
    <s v="Angola"/>
    <x v="0"/>
    <n v="25188292.499999996"/>
    <x v="20"/>
    <n v="0"/>
    <n v="26147002.000000011"/>
    <n v="0"/>
    <m/>
    <n v="0"/>
    <m/>
    <n v="0"/>
    <m/>
    <n v="0"/>
    <m/>
    <n v="0"/>
    <n v="31273533.000000004"/>
    <n v="3043"/>
    <n v="3043"/>
    <m/>
    <n v="0"/>
    <m/>
    <n v="0"/>
    <m/>
    <n v="0"/>
    <n v="35588987.00000003"/>
    <n v="4778"/>
    <n v="3043"/>
    <n v="0"/>
    <n v="3043"/>
    <n v="4778"/>
    <n v="0"/>
    <s v=""/>
    <n v="3043"/>
    <n v="2018"/>
    <n v="4778"/>
    <n v="2022"/>
    <s v=""/>
    <n v="4778"/>
    <n v="4778"/>
    <s v="Increasing"/>
    <m/>
    <m/>
    <m/>
    <m/>
    <n v="0"/>
    <n v="0.97302725598671558"/>
    <n v="1.3425501546306997"/>
    <n v="1.3425501546306997"/>
    <x v="1"/>
  </r>
  <r>
    <s v="Angola"/>
    <x v="0"/>
    <n v="25188292.499999996"/>
    <x v="21"/>
    <n v="0"/>
    <n v="26147002.000000011"/>
    <n v="0"/>
    <m/>
    <n v="0"/>
    <m/>
    <n v="0"/>
    <m/>
    <n v="0"/>
    <m/>
    <n v="0"/>
    <n v="31273533.000000004"/>
    <n v="3550"/>
    <n v="3550"/>
    <m/>
    <n v="0"/>
    <m/>
    <n v="0"/>
    <m/>
    <n v="0"/>
    <n v="35588987.00000003"/>
    <n v="3915"/>
    <n v="3550"/>
    <n v="0"/>
    <n v="3550"/>
    <n v="3915"/>
    <n v="0"/>
    <s v=""/>
    <n v="3550"/>
    <n v="2018"/>
    <n v="3915"/>
    <n v="2022"/>
    <s v=""/>
    <n v="3915"/>
    <n v="3915"/>
    <s v="Increasing"/>
    <m/>
    <m/>
    <m/>
    <m/>
    <n v="0"/>
    <n v="1.1351451721172658"/>
    <n v="1.1000594088277917"/>
    <n v="1.1000594088277917"/>
    <x v="1"/>
  </r>
  <r>
    <s v="Angola"/>
    <x v="0"/>
    <n v="25188292.499999996"/>
    <x v="22"/>
    <n v="0"/>
    <n v="26147002.000000011"/>
    <n v="0"/>
    <m/>
    <n v="0"/>
    <m/>
    <n v="0"/>
    <m/>
    <n v="0"/>
    <m/>
    <n v="0"/>
    <n v="31273533.000000004"/>
    <n v="12554"/>
    <n v="46082"/>
    <m/>
    <n v="0"/>
    <m/>
    <n v="0"/>
    <m/>
    <n v="0"/>
    <n v="35588987.00000003"/>
    <n v="44989"/>
    <n v="46082"/>
    <n v="0"/>
    <n v="12554"/>
    <n v="44989"/>
    <n v="0"/>
    <s v=""/>
    <n v="46082"/>
    <s v="2018 (triag)"/>
    <n v="44989"/>
    <n v="2022"/>
    <s v="Adjust"/>
    <n v="66717.353814379763"/>
    <n v="66717.353814379763"/>
    <s v="Increasing"/>
    <m/>
    <m/>
    <m/>
    <m/>
    <n v="0"/>
    <n v="14.735143611692351"/>
    <n v="18.746629066564807"/>
    <n v="18.746629066564807"/>
    <x v="1"/>
  </r>
  <r>
    <s v="Angola"/>
    <x v="0"/>
    <n v="25188292.499999996"/>
    <x v="23"/>
    <n v="0"/>
    <n v="26147002.000000011"/>
    <n v="0"/>
    <m/>
    <n v="0"/>
    <m/>
    <n v="0"/>
    <m/>
    <n v="0"/>
    <m/>
    <n v="0"/>
    <n v="31273533.000000004"/>
    <n v="9317"/>
    <n v="9317"/>
    <m/>
    <n v="0"/>
    <m/>
    <n v="0"/>
    <m/>
    <n v="0"/>
    <n v="35588987.00000003"/>
    <n v="6241"/>
    <n v="7221"/>
    <n v="0"/>
    <n v="9317"/>
    <n v="6241"/>
    <n v="0"/>
    <s v=""/>
    <n v="9317"/>
    <n v="2018"/>
    <n v="6241"/>
    <n v="2022"/>
    <s v="Adjust"/>
    <n v="9255.2180567592986"/>
    <n v="9317"/>
    <s v="Decreasing"/>
    <m/>
    <m/>
    <m/>
    <m/>
    <n v="0"/>
    <n v="2.97919649820185"/>
    <n v="2.6005848541739307"/>
    <n v="2.6179447029498175"/>
    <x v="1"/>
  </r>
  <r>
    <s v="Angola"/>
    <x v="0"/>
    <n v="25188292.499999996"/>
    <x v="24"/>
    <n v="0"/>
    <n v="26147002.000000011"/>
    <n v="0"/>
    <m/>
    <n v="0"/>
    <m/>
    <n v="0"/>
    <m/>
    <n v="0"/>
    <m/>
    <n v="0"/>
    <n v="31273533.000000004"/>
    <n v="3237"/>
    <n v="38861"/>
    <m/>
    <n v="0"/>
    <m/>
    <n v="0"/>
    <m/>
    <n v="0"/>
    <n v="35588987.00000003"/>
    <n v="37151"/>
    <n v="38861"/>
    <n v="0"/>
    <n v="3237"/>
    <n v="37151"/>
    <n v="0"/>
    <s v=""/>
    <n v="38861"/>
    <s v="2018 (triag)"/>
    <n v="37151"/>
    <n v="2022"/>
    <s v="Adjust"/>
    <n v="55093.832082465102"/>
    <n v="55093.832082465102"/>
    <s v="Increasing"/>
    <m/>
    <m/>
    <m/>
    <m/>
    <n v="0"/>
    <n v="12.426162403844808"/>
    <n v="15.480584508478719"/>
    <n v="15.480584508478719"/>
    <x v="1"/>
  </r>
  <r>
    <s v="Angola"/>
    <x v="0"/>
    <n v="25188292.499999996"/>
    <x v="25"/>
    <n v="0"/>
    <n v="26147002.000000011"/>
    <n v="30"/>
    <m/>
    <n v="0"/>
    <m/>
    <n v="0"/>
    <m/>
    <n v="0"/>
    <m/>
    <n v="0"/>
    <n v="31273533.000000004"/>
    <n v="0"/>
    <n v="1438"/>
    <m/>
    <n v="0"/>
    <m/>
    <n v="0"/>
    <m/>
    <n v="0"/>
    <n v="35588987.00000003"/>
    <n v="22"/>
    <n v="1438"/>
    <n v="30"/>
    <n v="0"/>
    <n v="22"/>
    <n v="30"/>
    <n v="2013"/>
    <n v="1438"/>
    <s v="2018 (triag)"/>
    <n v="22"/>
    <n v="2022"/>
    <s v="Adjust"/>
    <n v="32.625348061000572"/>
    <n v="1438"/>
    <s v="Decreasing"/>
    <m/>
    <m/>
    <m/>
    <m/>
    <n v="1.147359073900709E-2"/>
    <n v="0.45981373450834601"/>
    <n v="9.1672595404304561E-3"/>
    <n v="0.40405758107135747"/>
    <x v="0"/>
  </r>
  <r>
    <s v="Angola"/>
    <x v="0"/>
    <n v="25188292.499999996"/>
    <x v="26"/>
    <n v="0"/>
    <n v="26147002.000000011"/>
    <n v="30"/>
    <m/>
    <n v="0"/>
    <m/>
    <n v="0"/>
    <m/>
    <n v="0"/>
    <m/>
    <n v="0"/>
    <n v="31273533.000000004"/>
    <n v="0"/>
    <n v="769"/>
    <m/>
    <n v="0"/>
    <m/>
    <n v="0"/>
    <m/>
    <n v="0"/>
    <n v="35588987.00000003"/>
    <n v="2"/>
    <n v="769"/>
    <n v="30"/>
    <n v="0"/>
    <n v="2"/>
    <n v="30"/>
    <n v="2013"/>
    <n v="769"/>
    <s v="2018 (triag)"/>
    <n v="2"/>
    <n v="2022"/>
    <s v="Adjust"/>
    <n v="2.9659407328182339"/>
    <n v="769"/>
    <s v="Decreasing"/>
    <m/>
    <m/>
    <m/>
    <m/>
    <n v="1.147359073900709E-2"/>
    <n v="0.24589482742483873"/>
    <n v="8.3338723094822321E-4"/>
    <n v="0.2160780805590222"/>
    <x v="0"/>
  </r>
  <r>
    <s v="Angola"/>
    <x v="0"/>
    <n v="25188292.499999996"/>
    <x v="27"/>
    <n v="0"/>
    <n v="26147002.000000011"/>
    <n v="0"/>
    <m/>
    <n v="0"/>
    <m/>
    <n v="0"/>
    <m/>
    <n v="0"/>
    <m/>
    <n v="0"/>
    <n v="31273533.000000004"/>
    <n v="0"/>
    <n v="669"/>
    <m/>
    <n v="0"/>
    <m/>
    <n v="0"/>
    <m/>
    <n v="0"/>
    <n v="35588987.00000003"/>
    <n v="20"/>
    <n v="669"/>
    <n v="0"/>
    <n v="0"/>
    <n v="20"/>
    <n v="0"/>
    <s v=""/>
    <n v="669"/>
    <s v="2018 (triag)"/>
    <n v="20"/>
    <n v="2022"/>
    <s v="Adjust"/>
    <n v="29.65940732818234"/>
    <n v="669"/>
    <s v="Decreasing"/>
    <m/>
    <m/>
    <m/>
    <m/>
    <n v="0"/>
    <n v="0.2139189070835073"/>
    <n v="8.3338723094822341E-3"/>
    <n v="0.18797950051233531"/>
    <x v="0"/>
  </r>
  <r>
    <s v="Angola"/>
    <x v="0"/>
    <n v="25188292.499999996"/>
    <x v="28"/>
    <n v="0"/>
    <n v="26147002.000000011"/>
    <n v="0"/>
    <m/>
    <n v="0"/>
    <m/>
    <n v="0"/>
    <m/>
    <n v="0"/>
    <m/>
    <n v="0"/>
    <n v="31273533.000000004"/>
    <n v="2302"/>
    <n v="2302"/>
    <m/>
    <n v="0"/>
    <m/>
    <n v="0"/>
    <m/>
    <n v="0"/>
    <n v="35588987.00000003"/>
    <n v="967"/>
    <n v="697"/>
    <n v="0"/>
    <n v="2302"/>
    <n v="967"/>
    <n v="0"/>
    <s v=""/>
    <n v="2302"/>
    <n v="2018"/>
    <n v="967"/>
    <n v="2022"/>
    <s v="Adjust"/>
    <n v="1434.032344317616"/>
    <n v="2302"/>
    <s v="Decreasing"/>
    <m/>
    <m/>
    <m/>
    <m/>
    <n v="0"/>
    <n v="0.73608568625744963"/>
    <n v="0.40294272616346588"/>
    <n v="0.6468293126747322"/>
    <x v="0"/>
  </r>
  <r>
    <s v="Angola"/>
    <x v="0"/>
    <n v="25188292.499999996"/>
    <x v="29"/>
    <n v="0"/>
    <n v="26147002.000000011"/>
    <n v="0"/>
    <m/>
    <n v="0"/>
    <m/>
    <n v="0"/>
    <m/>
    <n v="0"/>
    <m/>
    <n v="0"/>
    <n v="31273533.000000004"/>
    <n v="0"/>
    <n v="1605"/>
    <m/>
    <n v="0"/>
    <m/>
    <n v="0"/>
    <m/>
    <n v="0"/>
    <n v="35588987.00000003"/>
    <n v="636"/>
    <n v="1605"/>
    <n v="0"/>
    <n v="0"/>
    <n v="636"/>
    <n v="0"/>
    <s v=""/>
    <n v="1605"/>
    <s v="2018 (triag)"/>
    <n v="636"/>
    <n v="2022"/>
    <s v="Adjust"/>
    <n v="943.1691530361984"/>
    <n v="1605"/>
    <s v="Decreasing"/>
    <m/>
    <m/>
    <m/>
    <m/>
    <n v="0"/>
    <n v="0.51321352147836952"/>
    <n v="0.26501713944153499"/>
    <n v="0.45098220974932463"/>
    <x v="0"/>
  </r>
  <r>
    <s v="Angola"/>
    <x v="0"/>
    <n v="25188292.499999996"/>
    <x v="30"/>
    <n v="0"/>
    <n v="26147002.000000011"/>
    <n v="0"/>
    <m/>
    <n v="0"/>
    <m/>
    <n v="0"/>
    <m/>
    <n v="0"/>
    <m/>
    <n v="0"/>
    <n v="31273533.000000004"/>
    <n v="1652"/>
    <n v="1652"/>
    <m/>
    <n v="0"/>
    <m/>
    <n v="0"/>
    <m/>
    <n v="0"/>
    <n v="35588987.00000003"/>
    <n v="171"/>
    <n v="856"/>
    <n v="0"/>
    <n v="1652"/>
    <n v="171"/>
    <n v="0"/>
    <s v=""/>
    <n v="1652"/>
    <n v="2018"/>
    <n v="171"/>
    <n v="2022"/>
    <s v="Adjust"/>
    <n v="253.58793265595901"/>
    <n v="1652"/>
    <s v="Decreasing"/>
    <m/>
    <m/>
    <m/>
    <m/>
    <n v="0"/>
    <n v="0.52824220403879529"/>
    <n v="7.125460824607309E-2"/>
    <n v="0.46418854237126744"/>
    <x v="0"/>
  </r>
  <r>
    <s v="Angola"/>
    <x v="0"/>
    <n v="25188292.499999996"/>
    <x v="31"/>
    <n v="0"/>
    <n v="26147002.000000011"/>
    <n v="0"/>
    <m/>
    <n v="0"/>
    <m/>
    <n v="0"/>
    <m/>
    <n v="0"/>
    <m/>
    <n v="0"/>
    <n v="31273533.000000004"/>
    <n v="0"/>
    <n v="796"/>
    <m/>
    <n v="0"/>
    <m/>
    <n v="0"/>
    <m/>
    <n v="0"/>
    <n v="35588987.00000003"/>
    <n v="0"/>
    <n v="796"/>
    <n v="0"/>
    <n v="0"/>
    <n v="0"/>
    <n v="0"/>
    <s v=""/>
    <n v="796"/>
    <s v="2018 (triag)"/>
    <n v="796"/>
    <s v="2018 (triag)"/>
    <s v=""/>
    <n v="796"/>
    <n v="796"/>
    <s v="No change"/>
    <m/>
    <m/>
    <m/>
    <m/>
    <n v="0"/>
    <n v="0.2545283259169982"/>
    <n v="0.22366469717162765"/>
    <n v="0.22366469717162765"/>
    <x v="1"/>
  </r>
  <r>
    <s v="Angola"/>
    <x v="0"/>
    <n v="25188292.499999996"/>
    <x v="32"/>
    <n v="0"/>
    <n v="26147002.000000011"/>
    <n v="0"/>
    <m/>
    <n v="0"/>
    <m/>
    <n v="0"/>
    <m/>
    <n v="0"/>
    <m/>
    <n v="0"/>
    <n v="31273533.000000004"/>
    <n v="0"/>
    <n v="0"/>
    <m/>
    <n v="0"/>
    <m/>
    <n v="0"/>
    <m/>
    <n v="0"/>
    <n v="35588987.00000003"/>
    <n v="767"/>
    <n v="0"/>
    <n v="0"/>
    <n v="0"/>
    <n v="767"/>
    <n v="0"/>
    <s v=""/>
    <n v="0"/>
    <s v=""/>
    <n v="767"/>
    <n v="2022"/>
    <s v=""/>
    <n v="767"/>
    <n v="767"/>
    <s v="Increasing"/>
    <m/>
    <m/>
    <m/>
    <m/>
    <n v="0"/>
    <n v="0"/>
    <n v="0.21551610895808845"/>
    <n v="0.21551610895808845"/>
    <x v="1"/>
  </r>
  <r>
    <s v="Burundi"/>
    <x v="1"/>
    <n v="9795479.0000000019"/>
    <x v="19"/>
    <n v="498"/>
    <n v="10149577.500000002"/>
    <n v="554"/>
    <n v="10494912.499999989"/>
    <n v="609"/>
    <n v="10727148.499999996"/>
    <n v="508"/>
    <n v="10903327.500000004"/>
    <n v="0"/>
    <n v="11155593.000000002"/>
    <n v="0"/>
    <n v="11493472.499999993"/>
    <n v="0"/>
    <n v="1084"/>
    <n v="11874838"/>
    <n v="0"/>
    <n v="12220226.500000007"/>
    <n v="852"/>
    <n v="12551212.999999998"/>
    <n v="812"/>
    <n v="12889576.499999994"/>
    <n v="0"/>
    <n v="1084"/>
    <n v="609"/>
    <n v="0"/>
    <n v="852"/>
    <n v="554"/>
    <n v="2013"/>
    <n v="1084"/>
    <s v="2018 (triag)"/>
    <n v="812"/>
    <n v="2021"/>
    <s v="Adjust"/>
    <n v="1014.8610394397346"/>
    <n v="1084"/>
    <s v="Decreasing"/>
    <m/>
    <m/>
    <m/>
    <m/>
    <n v="0.54583552862175777"/>
    <n v="0.9431440324062208"/>
    <n v="0.78735018131878509"/>
    <n v="0.84098961668756178"/>
    <x v="1"/>
  </r>
  <r>
    <s v="Burundi"/>
    <x v="1"/>
    <n v="9795480"/>
    <x v="20"/>
    <n v="475"/>
    <n v="10149577.500000002"/>
    <n v="486"/>
    <m/>
    <n v="556"/>
    <m/>
    <n v="467"/>
    <m/>
    <n v="0"/>
    <m/>
    <n v="0"/>
    <n v="11493472.499999993"/>
    <n v="0"/>
    <n v="889"/>
    <m/>
    <n v="0"/>
    <m/>
    <n v="0"/>
    <m/>
    <n v="725"/>
    <n v="12889576.499999994"/>
    <n v="0"/>
    <n v="889"/>
    <n v="556"/>
    <n v="0"/>
    <n v="725"/>
    <n v="486"/>
    <n v="2013"/>
    <n v="889"/>
    <s v="2018 (triag)"/>
    <n v="725"/>
    <n v="2021"/>
    <s v="Adjust"/>
    <n v="906.12592807119154"/>
    <n v="906.12592807119154"/>
    <s v="Increasing"/>
    <m/>
    <m/>
    <m/>
    <m/>
    <n v="0.47883766590284166"/>
    <n v="0.77348251366155929"/>
    <n v="0.70299123332034374"/>
    <n v="0.70299123332034374"/>
    <x v="1"/>
  </r>
  <r>
    <s v="Burundi"/>
    <x v="1"/>
    <n v="9795481"/>
    <x v="21"/>
    <n v="23"/>
    <n v="10149577.500000002"/>
    <n v="68"/>
    <m/>
    <n v="53"/>
    <m/>
    <n v="41"/>
    <m/>
    <n v="0"/>
    <m/>
    <n v="0"/>
    <n v="11493472.499999993"/>
    <n v="0"/>
    <n v="195"/>
    <m/>
    <n v="0"/>
    <m/>
    <n v="0"/>
    <m/>
    <n v="87"/>
    <n v="12889576.499999994"/>
    <n v="0"/>
    <n v="195"/>
    <n v="68"/>
    <n v="0"/>
    <n v="87"/>
    <n v="68"/>
    <n v="2013"/>
    <n v="195"/>
    <s v="2018 (triag)"/>
    <n v="87"/>
    <n v="2021"/>
    <s v="Adjust"/>
    <n v="108.73511136854299"/>
    <n v="195"/>
    <s v="Decreasing"/>
    <m/>
    <m/>
    <m/>
    <m/>
    <n v="6.6997862718916126E-2"/>
    <n v="0.16966151874466148"/>
    <n v="8.4358947998441236E-2"/>
    <n v="0.15128503252220901"/>
    <x v="0"/>
  </r>
  <r>
    <s v="Burundi"/>
    <x v="1"/>
    <n v="9795482"/>
    <x v="22"/>
    <n v="6486"/>
    <n v="10149577.500000002"/>
    <n v="6573"/>
    <m/>
    <n v="6819"/>
    <m/>
    <n v="6688"/>
    <m/>
    <n v="0"/>
    <m/>
    <n v="9071"/>
    <n v="11493472.499999993"/>
    <n v="9156"/>
    <n v="9156"/>
    <m/>
    <n v="7518"/>
    <m/>
    <n v="7713"/>
    <m/>
    <n v="9372"/>
    <n v="12889576.499999994"/>
    <n v="0"/>
    <n v="8996"/>
    <n v="6819"/>
    <n v="9156"/>
    <n v="9372"/>
    <n v="6573"/>
    <n v="2013"/>
    <n v="9156"/>
    <n v="2018"/>
    <n v="9372"/>
    <n v="2021"/>
    <s v=""/>
    <n v="9372"/>
    <n v="9372"/>
    <s v="Increasing"/>
    <m/>
    <m/>
    <m/>
    <m/>
    <n v="6.4761316419328772"/>
    <n v="7.9662608493647209"/>
    <n v="7.2709914092212449"/>
    <n v="7.2709914092212449"/>
    <x v="1"/>
  </r>
  <r>
    <s v="Burundi"/>
    <x v="1"/>
    <n v="9795483"/>
    <x v="23"/>
    <n v="2843"/>
    <n v="10149577.500000002"/>
    <n v="2568"/>
    <m/>
    <n v="2747"/>
    <m/>
    <n v="2616"/>
    <m/>
    <n v="0"/>
    <m/>
    <n v="9071"/>
    <n v="11493472.499999993"/>
    <n v="0"/>
    <n v="654"/>
    <m/>
    <n v="7518"/>
    <m/>
    <n v="0"/>
    <m/>
    <n v="9372"/>
    <n v="12889576.499999994"/>
    <n v="0"/>
    <n v="654"/>
    <n v="2843"/>
    <n v="9071"/>
    <n v="9372"/>
    <n v="2568"/>
    <n v="2013"/>
    <n v="5970"/>
    <n v="2018"/>
    <n v="9372"/>
    <n v="2021"/>
    <s v=""/>
    <n v="9372"/>
    <n v="9372"/>
    <s v="Increasing"/>
    <m/>
    <m/>
    <m/>
    <m/>
    <n v="2.5301545803261263"/>
    <n v="5.1942526507980977"/>
    <n v="7.2709914092212449"/>
    <n v="7.2709914092212449"/>
    <x v="1"/>
  </r>
  <r>
    <s v="Burundi"/>
    <x v="1"/>
    <n v="9795484"/>
    <x v="24"/>
    <n v="3643"/>
    <n v="10149577.500000002"/>
    <n v="4005"/>
    <m/>
    <n v="4072"/>
    <m/>
    <n v="4072"/>
    <m/>
    <n v="0"/>
    <m/>
    <n v="0"/>
    <n v="11493472.499999993"/>
    <n v="0"/>
    <n v="8342"/>
    <m/>
    <n v="0"/>
    <m/>
    <n v="0"/>
    <m/>
    <n v="0"/>
    <n v="12889576.499999994"/>
    <n v="0"/>
    <n v="8342"/>
    <n v="4072"/>
    <n v="0"/>
    <n v="0"/>
    <n v="4005"/>
    <n v="2013"/>
    <n v="8342"/>
    <s v="2018 (triag)"/>
    <n v="8342"/>
    <s v="2018 (triag)"/>
    <s v=""/>
    <n v="8342"/>
    <n v="8342"/>
    <s v="No change"/>
    <m/>
    <m/>
    <m/>
    <m/>
    <n v="3.9459770616067509"/>
    <n v="7.2580327659895696"/>
    <n v="6.4718961092321408"/>
    <n v="6.4718961092321408"/>
    <x v="1"/>
  </r>
  <r>
    <s v="Burundi"/>
    <x v="1"/>
    <n v="9795485"/>
    <x v="25"/>
    <n v="16"/>
    <n v="10149577.500000002"/>
    <n v="35"/>
    <m/>
    <n v="24"/>
    <m/>
    <n v="79"/>
    <m/>
    <n v="0"/>
    <m/>
    <n v="160"/>
    <n v="11493472.499999993"/>
    <n v="0"/>
    <n v="160"/>
    <m/>
    <n v="124"/>
    <m/>
    <n v="0"/>
    <m/>
    <n v="143"/>
    <n v="12889576.499999994"/>
    <n v="0"/>
    <n v="160"/>
    <n v="79"/>
    <n v="160"/>
    <n v="143"/>
    <n v="35"/>
    <n v="2013"/>
    <n v="160"/>
    <n v="2017"/>
    <n v="143"/>
    <n v="2021"/>
    <s v="Adjust"/>
    <n v="178.72552788162812"/>
    <n v="178.72552788162812"/>
    <s v="Increasing"/>
    <m/>
    <m/>
    <m/>
    <m/>
    <n v="3.4484194046500945E-2"/>
    <n v="0.13920945127767095"/>
    <n v="0.13865896050318505"/>
    <n v="0.13865896050318505"/>
    <x v="1"/>
  </r>
  <r>
    <s v="Burundi"/>
    <x v="1"/>
    <n v="9795486"/>
    <x v="26"/>
    <n v="16"/>
    <n v="10149577.500000002"/>
    <n v="35"/>
    <m/>
    <n v="24"/>
    <m/>
    <n v="79"/>
    <m/>
    <n v="0"/>
    <m/>
    <n v="160"/>
    <n v="11493472.499999993"/>
    <n v="0"/>
    <n v="41"/>
    <m/>
    <n v="124"/>
    <m/>
    <n v="0"/>
    <m/>
    <n v="143"/>
    <n v="12889576.499999994"/>
    <n v="0"/>
    <n v="41"/>
    <n v="79"/>
    <n v="160"/>
    <n v="143"/>
    <n v="35"/>
    <n v="2013"/>
    <n v="41"/>
    <s v="2018 (triag)"/>
    <n v="143"/>
    <n v="2021"/>
    <s v=""/>
    <n v="143"/>
    <n v="143"/>
    <s v="Increasing"/>
    <m/>
    <m/>
    <m/>
    <m/>
    <n v="3.4484194046500945E-2"/>
    <n v="3.5672421889903182E-2"/>
    <n v="0.11094235718295327"/>
    <n v="0.11094235718295327"/>
    <x v="1"/>
  </r>
  <r>
    <s v="Burundi"/>
    <x v="1"/>
    <n v="9795487"/>
    <x v="27"/>
    <n v="0"/>
    <n v="10149577.500000002"/>
    <n v="0"/>
    <m/>
    <n v="0"/>
    <m/>
    <n v="0"/>
    <m/>
    <n v="0"/>
    <m/>
    <n v="0"/>
    <n v="11493472.499999993"/>
    <n v="0"/>
    <n v="119"/>
    <m/>
    <n v="0"/>
    <m/>
    <n v="0"/>
    <m/>
    <n v="0"/>
    <n v="12889576.499999994"/>
    <n v="0"/>
    <n v="119"/>
    <n v="0"/>
    <n v="0"/>
    <n v="0"/>
    <n v="0"/>
    <s v=""/>
    <n v="119"/>
    <s v="2018 (triag)"/>
    <n v="119"/>
    <s v="2018 (triag)"/>
    <s v=""/>
    <n v="119"/>
    <n v="119"/>
    <s v="No change"/>
    <m/>
    <m/>
    <m/>
    <m/>
    <n v="0"/>
    <n v="0.10353702938776778"/>
    <n v="9.2322660872527537E-2"/>
    <n v="9.2322660872527537E-2"/>
    <x v="1"/>
  </r>
  <r>
    <s v="Burundi"/>
    <x v="1"/>
    <n v="9795488"/>
    <x v="28"/>
    <n v="4"/>
    <n v="10149577.500000002"/>
    <n v="0"/>
    <m/>
    <n v="0"/>
    <m/>
    <n v="0"/>
    <m/>
    <n v="0"/>
    <m/>
    <n v="0"/>
    <n v="11493472.499999993"/>
    <n v="119"/>
    <n v="119"/>
    <m/>
    <n v="0"/>
    <m/>
    <n v="0"/>
    <m/>
    <n v="99"/>
    <n v="12889576.499999994"/>
    <n v="0"/>
    <n v="119"/>
    <n v="4"/>
    <n v="119"/>
    <n v="99"/>
    <n v="4"/>
    <n v="2012"/>
    <n v="119"/>
    <n v="2018"/>
    <n v="99"/>
    <n v="2021"/>
    <s v="Adjust"/>
    <n v="123.73305776420409"/>
    <n v="123.73305776420409"/>
    <s v="Increasing"/>
    <m/>
    <m/>
    <m/>
    <m/>
    <n v="3.9410507481715366E-3"/>
    <n v="0.10353702938776778"/>
    <n v="9.5994664963743481E-2"/>
    <n v="9.5994664963743481E-2"/>
    <x v="1"/>
  </r>
  <r>
    <s v="Burundi"/>
    <x v="1"/>
    <n v="9795489"/>
    <x v="29"/>
    <n v="0"/>
    <n v="10149577.500000002"/>
    <n v="0"/>
    <m/>
    <n v="0"/>
    <m/>
    <n v="0"/>
    <m/>
    <n v="0"/>
    <m/>
    <n v="0"/>
    <n v="11493472.499999993"/>
    <n v="0"/>
    <n v="0"/>
    <m/>
    <n v="0"/>
    <m/>
    <n v="0"/>
    <m/>
    <n v="6"/>
    <n v="12889576.499999994"/>
    <n v="0"/>
    <n v="0"/>
    <n v="0"/>
    <n v="0"/>
    <n v="6"/>
    <n v="0"/>
    <s v=""/>
    <n v="0"/>
    <s v=""/>
    <n v="6"/>
    <n v="2021"/>
    <s v=""/>
    <n v="6"/>
    <n v="6"/>
    <s v="Increasing"/>
    <m/>
    <m/>
    <m/>
    <m/>
    <n v="0"/>
    <n v="0"/>
    <n v="4.6549240776064304E-3"/>
    <n v="4.6549240776064304E-3"/>
    <x v="1"/>
  </r>
  <r>
    <s v="Burundi"/>
    <x v="1"/>
    <n v="9795490"/>
    <x v="30"/>
    <n v="0"/>
    <n v="10149577.500000002"/>
    <n v="4"/>
    <m/>
    <n v="0"/>
    <m/>
    <n v="0"/>
    <m/>
    <n v="0"/>
    <m/>
    <n v="0"/>
    <n v="11493472.499999993"/>
    <n v="14"/>
    <n v="14"/>
    <m/>
    <n v="0"/>
    <m/>
    <n v="0"/>
    <m/>
    <n v="0"/>
    <n v="12889576.499999994"/>
    <n v="0"/>
    <n v="14"/>
    <n v="4"/>
    <n v="14"/>
    <n v="0"/>
    <n v="4"/>
    <n v="2013"/>
    <n v="14"/>
    <n v="2018"/>
    <n v="14"/>
    <n v="2018"/>
    <s v=""/>
    <n v="14"/>
    <n v="14"/>
    <s v="No change"/>
    <m/>
    <m/>
    <m/>
    <m/>
    <n v="3.9410507481715366E-3"/>
    <n v="1.2180826986796209E-2"/>
    <n v="1.0861489514415006E-2"/>
    <n v="1.0861489514415006E-2"/>
    <x v="1"/>
  </r>
  <r>
    <s v="Burundi"/>
    <x v="1"/>
    <n v="9795491"/>
    <x v="31"/>
    <n v="0"/>
    <n v="10149577.500000002"/>
    <n v="0"/>
    <m/>
    <n v="0"/>
    <m/>
    <n v="0"/>
    <m/>
    <n v="0"/>
    <m/>
    <n v="0"/>
    <n v="11493472.499999993"/>
    <n v="0"/>
    <n v="0"/>
    <m/>
    <n v="0"/>
    <m/>
    <n v="0"/>
    <m/>
    <n v="0"/>
    <n v="12889576.499999994"/>
    <n v="0"/>
    <n v="0"/>
    <n v="0"/>
    <n v="0"/>
    <n v="0"/>
    <n v="0"/>
    <s v=""/>
    <n v="0"/>
    <s v=""/>
    <n v="0"/>
    <s v=""/>
    <s v=""/>
    <n v="0"/>
    <n v="0"/>
    <s v="No change"/>
    <m/>
    <m/>
    <m/>
    <m/>
    <n v="0"/>
    <n v="0"/>
    <n v="0"/>
    <n v="0"/>
    <x v="1"/>
  </r>
  <r>
    <s v="Burundi"/>
    <x v="1"/>
    <n v="9795492"/>
    <x v="32"/>
    <n v="0"/>
    <n v="10149577.500000002"/>
    <n v="0"/>
    <m/>
    <n v="0"/>
    <m/>
    <n v="0"/>
    <m/>
    <n v="0"/>
    <m/>
    <n v="93"/>
    <n v="11493472.499999993"/>
    <n v="0"/>
    <n v="0"/>
    <m/>
    <n v="0"/>
    <m/>
    <n v="0"/>
    <m/>
    <n v="15"/>
    <n v="12889576.499999994"/>
    <n v="0"/>
    <n v="0"/>
    <n v="0"/>
    <n v="93"/>
    <n v="15"/>
    <n v="0"/>
    <s v=""/>
    <n v="93"/>
    <n v="2017"/>
    <n v="15"/>
    <n v="2021"/>
    <s v="Adjust"/>
    <n v="18.747432994576378"/>
    <n v="93"/>
    <s v="Decreasing"/>
    <m/>
    <m/>
    <m/>
    <m/>
    <n v="0"/>
    <n v="8.091549355514624E-2"/>
    <n v="1.4544646206627801E-2"/>
    <n v="7.2151323202899673E-2"/>
    <x v="0"/>
  </r>
  <r>
    <s v="Benin"/>
    <x v="2"/>
    <n v="10014078.499999996"/>
    <x v="19"/>
    <n v="0"/>
    <n v="10308730.499999994"/>
    <n v="0"/>
    <n v="10614844.000000013"/>
    <n v="0"/>
    <n v="10932783.499999994"/>
    <n v="0"/>
    <n v="11260084.499999996"/>
    <n v="523"/>
    <n v="11596778.499999991"/>
    <n v="0"/>
    <n v="11940683.499999996"/>
    <n v="908"/>
    <n v="908"/>
    <n v="12290444.000000004"/>
    <n v="763"/>
    <n v="12643123.000000002"/>
    <n v="0"/>
    <n v="12996895"/>
    <n v="2755"/>
    <n v="13352864"/>
    <n v="2608"/>
    <n v="710"/>
    <n v="0"/>
    <n v="908"/>
    <n v="2755"/>
    <n v="0"/>
    <s v=""/>
    <n v="908"/>
    <n v="2018"/>
    <n v="2608"/>
    <n v="2022"/>
    <s v=""/>
    <n v="2608"/>
    <n v="2608"/>
    <s v="Increasing"/>
    <m/>
    <m/>
    <m/>
    <m/>
    <n v="0"/>
    <n v="0.76042548150614686"/>
    <n v="1.953139041931379"/>
    <n v="1.953139041931379"/>
    <x v="1"/>
  </r>
  <r>
    <s v="Benin"/>
    <x v="2"/>
    <n v="10014079.5"/>
    <x v="20"/>
    <n v="0"/>
    <n v="10308730.499999994"/>
    <n v="0"/>
    <m/>
    <n v="0"/>
    <m/>
    <n v="0"/>
    <m/>
    <n v="0"/>
    <m/>
    <n v="0"/>
    <n v="11940683.499999996"/>
    <n v="346"/>
    <n v="391"/>
    <m/>
    <n v="202"/>
    <m/>
    <n v="0"/>
    <m/>
    <n v="1797"/>
    <n v="13352864"/>
    <n v="1753"/>
    <n v="391"/>
    <n v="0"/>
    <n v="346"/>
    <n v="1797"/>
    <n v="0"/>
    <s v=""/>
    <n v="391"/>
    <s v="2018 (triag)"/>
    <n v="1753"/>
    <n v="2022"/>
    <s v=""/>
    <n v="1753"/>
    <n v="1753"/>
    <s v="Increasing"/>
    <m/>
    <m/>
    <m/>
    <m/>
    <n v="0"/>
    <n v="0.32745194192610511"/>
    <n v="1.3128269710528018"/>
    <n v="1.3128269710528018"/>
    <x v="1"/>
  </r>
  <r>
    <s v="Benin"/>
    <x v="2"/>
    <n v="10014080.5"/>
    <x v="21"/>
    <n v="0"/>
    <n v="10308730.499999994"/>
    <n v="0"/>
    <m/>
    <n v="0"/>
    <m/>
    <n v="0"/>
    <m/>
    <n v="0"/>
    <m/>
    <n v="0"/>
    <n v="11940683.499999996"/>
    <n v="562"/>
    <n v="562"/>
    <m/>
    <n v="0"/>
    <m/>
    <n v="0"/>
    <m/>
    <n v="958"/>
    <n v="13352864"/>
    <n v="855"/>
    <n v="319"/>
    <n v="0"/>
    <n v="562"/>
    <n v="958"/>
    <n v="0"/>
    <s v=""/>
    <n v="562"/>
    <n v="2018"/>
    <n v="855"/>
    <n v="2022"/>
    <s v=""/>
    <n v="855"/>
    <n v="855"/>
    <s v="Increasing"/>
    <m/>
    <m/>
    <m/>
    <m/>
    <n v="0"/>
    <n v="0.47065982445644772"/>
    <n v="0.64031207087857711"/>
    <n v="0.64031207087857711"/>
    <x v="1"/>
  </r>
  <r>
    <s v="Benin"/>
    <x v="2"/>
    <n v="10014081.5"/>
    <x v="22"/>
    <n v="5138"/>
    <n v="10308730.499999994"/>
    <n v="4880"/>
    <m/>
    <n v="0"/>
    <m/>
    <n v="0"/>
    <m/>
    <n v="7224"/>
    <m/>
    <n v="0"/>
    <n v="11940683.499999996"/>
    <n v="3410"/>
    <n v="3410"/>
    <m/>
    <n v="2670"/>
    <m/>
    <n v="0"/>
    <m/>
    <n v="5484"/>
    <n v="13352864"/>
    <n v="5893"/>
    <n v="3260"/>
    <n v="5138"/>
    <n v="7224"/>
    <n v="5893"/>
    <n v="4880"/>
    <n v="2013"/>
    <n v="3410"/>
    <n v="2018"/>
    <n v="5893"/>
    <n v="2022"/>
    <s v=""/>
    <n v="5893"/>
    <n v="5893"/>
    <s v="Increasing"/>
    <m/>
    <m/>
    <m/>
    <m/>
    <n v="4.7338515639728893"/>
    <n v="2.8557829206343182"/>
    <n v="4.4132854195174911"/>
    <n v="4.4132854195174911"/>
    <x v="1"/>
  </r>
  <r>
    <s v="Benin"/>
    <x v="2"/>
    <n v="10014082.5"/>
    <x v="23"/>
    <n v="0"/>
    <n v="10308730.499999994"/>
    <n v="0"/>
    <m/>
    <n v="0"/>
    <m/>
    <n v="0"/>
    <m/>
    <n v="1577"/>
    <m/>
    <n v="0"/>
    <n v="11940683.499999996"/>
    <n v="3410"/>
    <n v="3410"/>
    <m/>
    <n v="0"/>
    <m/>
    <n v="0"/>
    <m/>
    <n v="5484"/>
    <n v="13352864"/>
    <n v="5893"/>
    <n v="1938"/>
    <n v="0"/>
    <n v="3410"/>
    <n v="5893"/>
    <n v="0"/>
    <s v=""/>
    <n v="3410"/>
    <n v="2018"/>
    <n v="5893"/>
    <n v="2022"/>
    <s v=""/>
    <n v="5893"/>
    <n v="5893"/>
    <s v="Increasing"/>
    <m/>
    <m/>
    <m/>
    <m/>
    <n v="0"/>
    <n v="2.8557829206343182"/>
    <n v="4.4132854195174911"/>
    <n v="4.4132854195174911"/>
    <x v="1"/>
  </r>
  <r>
    <s v="Benin"/>
    <x v="2"/>
    <n v="10014083.5"/>
    <x v="24"/>
    <n v="0"/>
    <n v="10308730.499999994"/>
    <n v="0"/>
    <m/>
    <n v="0"/>
    <m/>
    <n v="0"/>
    <m/>
    <n v="0"/>
    <m/>
    <n v="0"/>
    <n v="11940683.499999996"/>
    <n v="0"/>
    <n v="1322"/>
    <m/>
    <n v="0"/>
    <m/>
    <n v="0"/>
    <m/>
    <n v="0"/>
    <n v="13352864"/>
    <n v="0"/>
    <n v="1322"/>
    <n v="0"/>
    <n v="0"/>
    <n v="0"/>
    <n v="0"/>
    <s v=""/>
    <n v="1322"/>
    <s v="2018 (triag)"/>
    <n v="1322"/>
    <s v="2018 (triag)"/>
    <s v=""/>
    <n v="1322"/>
    <n v="1322"/>
    <s v="No change"/>
    <m/>
    <m/>
    <m/>
    <m/>
    <n v="0"/>
    <n v="1.1071393023690816"/>
    <n v="0.99004977508944902"/>
    <n v="0.99004977508944902"/>
    <x v="1"/>
  </r>
  <r>
    <s v="Benin"/>
    <x v="2"/>
    <n v="10014084.5"/>
    <x v="25"/>
    <n v="1480"/>
    <n v="10308730.499999994"/>
    <n v="943"/>
    <m/>
    <n v="0"/>
    <m/>
    <n v="0"/>
    <m/>
    <n v="1034"/>
    <m/>
    <n v="0"/>
    <n v="11940683.499999996"/>
    <n v="1055"/>
    <n v="1055"/>
    <m/>
    <n v="905"/>
    <m/>
    <n v="0"/>
    <m/>
    <n v="2086"/>
    <n v="13352864"/>
    <n v="2055"/>
    <n v="813"/>
    <n v="1480"/>
    <n v="1055"/>
    <n v="2086"/>
    <n v="943"/>
    <n v="2013"/>
    <n v="1055"/>
    <n v="2018"/>
    <n v="2055"/>
    <n v="2022"/>
    <s v=""/>
    <n v="2055"/>
    <n v="2055"/>
    <s v="Increasing"/>
    <m/>
    <m/>
    <m/>
    <m/>
    <n v="0.91475861164476124"/>
    <n v="0.88353401210240634"/>
    <n v="1.5389956791292114"/>
    <n v="1.5389956791292114"/>
    <x v="1"/>
  </r>
  <r>
    <s v="Benin"/>
    <x v="2"/>
    <n v="10014085.5"/>
    <x v="26"/>
    <n v="0"/>
    <n v="10308730.499999994"/>
    <n v="943"/>
    <m/>
    <n v="0"/>
    <m/>
    <n v="0"/>
    <m/>
    <n v="0"/>
    <m/>
    <n v="0"/>
    <n v="11940683.499999996"/>
    <n v="1055"/>
    <n v="1055"/>
    <m/>
    <n v="0"/>
    <m/>
    <n v="0"/>
    <m/>
    <n v="2086"/>
    <n v="13352864"/>
    <n v="2055"/>
    <n v="807"/>
    <n v="943"/>
    <n v="1055"/>
    <n v="2086"/>
    <n v="943"/>
    <n v="2013"/>
    <n v="1055"/>
    <n v="2018"/>
    <n v="2055"/>
    <n v="2022"/>
    <s v=""/>
    <n v="2055"/>
    <n v="2055"/>
    <s v="Increasing"/>
    <m/>
    <m/>
    <m/>
    <m/>
    <n v="0.91475861164476124"/>
    <n v="0.88353401210240634"/>
    <n v="1.5389956791292114"/>
    <n v="1.5389956791292114"/>
    <x v="1"/>
  </r>
  <r>
    <s v="Benin"/>
    <x v="2"/>
    <n v="10014086.5"/>
    <x v="27"/>
    <n v="0"/>
    <n v="10308730.499999994"/>
    <n v="0"/>
    <m/>
    <n v="0"/>
    <m/>
    <n v="0"/>
    <m/>
    <n v="0"/>
    <m/>
    <n v="0"/>
    <n v="11940683.499999996"/>
    <n v="0"/>
    <n v="6"/>
    <m/>
    <n v="0"/>
    <m/>
    <n v="0"/>
    <m/>
    <n v="0"/>
    <n v="13352864"/>
    <n v="0"/>
    <n v="6"/>
    <n v="0"/>
    <n v="0"/>
    <n v="0"/>
    <n v="0"/>
    <s v=""/>
    <n v="6"/>
    <s v="2018 (triag)"/>
    <n v="6"/>
    <s v="2018 (triag)"/>
    <s v=""/>
    <n v="6"/>
    <n v="6"/>
    <s v="No change"/>
    <m/>
    <m/>
    <m/>
    <m/>
    <n v="0"/>
    <n v="5.0248379835207942E-3"/>
    <n v="4.4934180412531726E-3"/>
    <n v="4.4934180412531726E-3"/>
    <x v="1"/>
  </r>
  <r>
    <s v="Benin"/>
    <x v="2"/>
    <n v="10014087.5"/>
    <x v="28"/>
    <n v="0"/>
    <n v="10308730.499999994"/>
    <n v="1330"/>
    <m/>
    <n v="0"/>
    <m/>
    <n v="0"/>
    <m/>
    <n v="13"/>
    <m/>
    <n v="0"/>
    <n v="11940683.499999996"/>
    <n v="306"/>
    <n v="306"/>
    <m/>
    <n v="0"/>
    <m/>
    <n v="0"/>
    <m/>
    <n v="403"/>
    <n v="13352864"/>
    <n v="382"/>
    <n v="14"/>
    <n v="1330"/>
    <n v="306"/>
    <n v="403"/>
    <n v="1330"/>
    <n v="2013"/>
    <n v="306"/>
    <n v="2018"/>
    <n v="382"/>
    <n v="2022"/>
    <s v=""/>
    <n v="382"/>
    <n v="382"/>
    <s v="Increasing"/>
    <m/>
    <m/>
    <m/>
    <m/>
    <n v="1.2901685614926113"/>
    <n v="0.2562667371595605"/>
    <n v="0.28608094862645195"/>
    <n v="0.28608094862645195"/>
    <x v="1"/>
  </r>
  <r>
    <s v="Benin"/>
    <x v="2"/>
    <n v="10014088.5"/>
    <x v="29"/>
    <n v="0"/>
    <n v="10308730.499999994"/>
    <n v="770"/>
    <m/>
    <n v="0"/>
    <m/>
    <n v="0"/>
    <m/>
    <n v="0"/>
    <m/>
    <n v="0"/>
    <n v="11940683.499999996"/>
    <n v="45"/>
    <n v="45"/>
    <m/>
    <n v="0"/>
    <m/>
    <n v="0"/>
    <m/>
    <n v="56"/>
    <n v="13352864"/>
    <n v="0"/>
    <n v="0"/>
    <n v="770"/>
    <n v="45"/>
    <n v="56"/>
    <n v="770"/>
    <n v="2013"/>
    <n v="45"/>
    <n v="2018"/>
    <n v="56"/>
    <n v="2021"/>
    <s v=""/>
    <n v="56"/>
    <n v="56"/>
    <s v="Increasing"/>
    <m/>
    <m/>
    <m/>
    <m/>
    <n v="0.74693969349572231"/>
    <n v="3.7686284876405955E-2"/>
    <n v="4.1938568385029608E-2"/>
    <n v="4.1938568385029608E-2"/>
    <x v="1"/>
  </r>
  <r>
    <s v="Benin"/>
    <x v="2"/>
    <n v="10014089.5"/>
    <x v="30"/>
    <n v="0"/>
    <n v="10308730.499999994"/>
    <n v="0"/>
    <m/>
    <n v="0"/>
    <m/>
    <n v="0"/>
    <m/>
    <n v="9"/>
    <m/>
    <n v="73"/>
    <n v="11940683.499999996"/>
    <n v="12"/>
    <n v="12"/>
    <m/>
    <n v="0"/>
    <m/>
    <n v="0"/>
    <m/>
    <n v="50"/>
    <n v="13352864"/>
    <n v="50"/>
    <n v="0"/>
    <n v="0"/>
    <n v="73"/>
    <n v="50"/>
    <n v="0"/>
    <s v=""/>
    <n v="12"/>
    <n v="2018"/>
    <n v="50"/>
    <n v="2021"/>
    <s v=""/>
    <n v="50"/>
    <n v="50"/>
    <s v="Increasing"/>
    <m/>
    <m/>
    <m/>
    <m/>
    <n v="0"/>
    <n v="1.0049675967041588E-2"/>
    <n v="3.7445150343776434E-2"/>
    <n v="3.7445150343776434E-2"/>
    <x v="1"/>
  </r>
  <r>
    <s v="Benin"/>
    <x v="2"/>
    <n v="10014090.5"/>
    <x v="31"/>
    <n v="0"/>
    <n v="10308730.499999994"/>
    <n v="0"/>
    <m/>
    <n v="0"/>
    <m/>
    <n v="0"/>
    <m/>
    <n v="0"/>
    <m/>
    <n v="33"/>
    <n v="11940683.499999996"/>
    <n v="0"/>
    <n v="0"/>
    <m/>
    <n v="0"/>
    <m/>
    <n v="0"/>
    <m/>
    <n v="6"/>
    <n v="13352864"/>
    <n v="0"/>
    <n v="0"/>
    <n v="0"/>
    <n v="33"/>
    <n v="6"/>
    <n v="0"/>
    <s v=""/>
    <n v="33"/>
    <n v="2017"/>
    <n v="6"/>
    <n v="2021"/>
    <s v="Adjust"/>
    <n v="7.4754468485418633"/>
    <n v="33"/>
    <s v="Decreasing"/>
    <m/>
    <m/>
    <m/>
    <m/>
    <n v="0"/>
    <n v="2.7636608909364369E-2"/>
    <n v="5.5983846226111966E-3"/>
    <n v="2.4713799226892447E-2"/>
    <x v="0"/>
  </r>
  <r>
    <s v="Benin"/>
    <x v="2"/>
    <n v="10014091.5"/>
    <x v="32"/>
    <n v="0"/>
    <n v="10308730.499999994"/>
    <n v="0"/>
    <m/>
    <n v="0"/>
    <m/>
    <n v="0"/>
    <m/>
    <n v="0"/>
    <m/>
    <n v="0"/>
    <n v="11940683.499999996"/>
    <n v="0"/>
    <n v="0"/>
    <m/>
    <n v="0"/>
    <m/>
    <n v="0"/>
    <m/>
    <n v="0"/>
    <n v="13352864"/>
    <n v="0"/>
    <n v="0"/>
    <n v="0"/>
    <n v="0"/>
    <n v="0"/>
    <n v="0"/>
    <s v=""/>
    <n v="0"/>
    <s v=""/>
    <n v="0"/>
    <s v=""/>
    <s v=""/>
    <n v="0"/>
    <n v="0"/>
    <s v="No change"/>
    <m/>
    <m/>
    <m/>
    <m/>
    <n v="0"/>
    <n v="0"/>
    <n v="0"/>
    <n v="0"/>
    <x v="1"/>
  </r>
  <r>
    <s v="Burkina Faso"/>
    <x v="3"/>
    <n v="17113732.499999996"/>
    <x v="19"/>
    <n v="787"/>
    <n v="17636407.5"/>
    <n v="803"/>
    <n v="18169842.499999996"/>
    <n v="857"/>
    <n v="18718019.499999996"/>
    <n v="1189"/>
    <n v="19275497.999999981"/>
    <n v="1202"/>
    <n v="19835858.500000007"/>
    <n v="1626"/>
    <n v="20392723"/>
    <n v="1684"/>
    <n v="1684"/>
    <n v="20951638.999999996"/>
    <n v="1910"/>
    <n v="21522625.999999993"/>
    <n v="2061"/>
    <n v="22100683.499999989"/>
    <n v="2221"/>
    <n v="22673762.000000007"/>
    <n v="3323"/>
    <n v="1626"/>
    <n v="1189"/>
    <n v="1910"/>
    <n v="3323"/>
    <n v="803"/>
    <n v="2013"/>
    <n v="1684"/>
    <n v="2018"/>
    <n v="3323"/>
    <n v="2022"/>
    <s v=""/>
    <n v="3323"/>
    <n v="3323"/>
    <s v="Increasing"/>
    <m/>
    <m/>
    <m/>
    <m/>
    <n v="0.45530814594752361"/>
    <n v="0.82578476645811349"/>
    <n v="1.4655706450477866"/>
    <n v="1.4655706450477866"/>
    <x v="1"/>
  </r>
  <r>
    <s v="Burkina Faso"/>
    <x v="3"/>
    <n v="17113733.5"/>
    <x v="20"/>
    <n v="0"/>
    <n v="17636407.5"/>
    <n v="0"/>
    <m/>
    <n v="0"/>
    <m/>
    <n v="0"/>
    <m/>
    <n v="0"/>
    <m/>
    <n v="888"/>
    <n v="20392723"/>
    <n v="732"/>
    <n v="888"/>
    <m/>
    <n v="1026"/>
    <m/>
    <n v="1088"/>
    <m/>
    <n v="1220"/>
    <n v="22673762.000000007"/>
    <n v="2372"/>
    <n v="888"/>
    <n v="0"/>
    <n v="1026"/>
    <n v="2372"/>
    <n v="0"/>
    <s v=""/>
    <n v="888"/>
    <n v="2017"/>
    <n v="2372"/>
    <n v="2022"/>
    <s v=""/>
    <n v="2372"/>
    <n v="2372"/>
    <s v="Increasing"/>
    <m/>
    <m/>
    <m/>
    <m/>
    <n v="0"/>
    <n v="0.43544944929620238"/>
    <n v="1.0461431146714864"/>
    <n v="1.0461431146714864"/>
    <x v="1"/>
  </r>
  <r>
    <s v="Burkina Faso"/>
    <x v="3"/>
    <n v="17113734.5"/>
    <x v="21"/>
    <n v="0"/>
    <n v="17636407.5"/>
    <n v="0"/>
    <m/>
    <n v="0"/>
    <m/>
    <n v="0"/>
    <m/>
    <n v="0"/>
    <m/>
    <n v="738"/>
    <n v="20392723"/>
    <n v="952"/>
    <n v="952"/>
    <m/>
    <n v="884"/>
    <m/>
    <n v="973"/>
    <m/>
    <n v="1001"/>
    <n v="22673762.000000007"/>
    <n v="951"/>
    <n v="738"/>
    <n v="0"/>
    <n v="952"/>
    <n v="1001"/>
    <n v="0"/>
    <s v=""/>
    <n v="952"/>
    <n v="2018"/>
    <n v="951"/>
    <n v="2022"/>
    <s v="Adjust"/>
    <n v="976.99387949059121"/>
    <n v="976.99387949059121"/>
    <s v="Increasing"/>
    <m/>
    <m/>
    <m/>
    <m/>
    <n v="0"/>
    <n v="0.46683319338962237"/>
    <n v="0.43089182972397383"/>
    <n v="0.43089182972397383"/>
    <x v="1"/>
  </r>
  <r>
    <s v="Burkina Faso"/>
    <x v="3"/>
    <n v="17113735.5"/>
    <x v="22"/>
    <n v="6008"/>
    <n v="17636407.5"/>
    <n v="6196"/>
    <m/>
    <n v="6358"/>
    <m/>
    <n v="9748"/>
    <m/>
    <n v="9701"/>
    <m/>
    <n v="10376"/>
    <n v="20392723"/>
    <n v="0"/>
    <n v="10325"/>
    <m/>
    <n v="11364"/>
    <m/>
    <n v="11874"/>
    <m/>
    <n v="12189"/>
    <n v="22673762.000000007"/>
    <n v="13961"/>
    <n v="10325"/>
    <n v="9748"/>
    <n v="11364"/>
    <n v="13961"/>
    <n v="6196"/>
    <n v="2013"/>
    <n v="10325"/>
    <s v="2018 (triag)"/>
    <n v="13961"/>
    <n v="2022"/>
    <s v=""/>
    <n v="13961"/>
    <n v="13961"/>
    <s v="Increasing"/>
    <m/>
    <m/>
    <m/>
    <m/>
    <n v="3.5131871385938434"/>
    <n v="5.0630805900712721"/>
    <n v="6.1573372782161142"/>
    <n v="6.1573372782161142"/>
    <x v="1"/>
  </r>
  <r>
    <s v="Burkina Faso"/>
    <x v="3"/>
    <n v="17113736.5"/>
    <x v="23"/>
    <n v="0"/>
    <n v="17636407.5"/>
    <n v="3489"/>
    <m/>
    <n v="3718"/>
    <m/>
    <n v="7096"/>
    <m/>
    <n v="7364"/>
    <m/>
    <n v="8259"/>
    <n v="20392723"/>
    <n v="0"/>
    <n v="8208"/>
    <m/>
    <n v="9471"/>
    <m/>
    <n v="10228"/>
    <m/>
    <n v="10703"/>
    <n v="22673762.000000007"/>
    <n v="13894"/>
    <n v="8208"/>
    <n v="7096"/>
    <n v="9471"/>
    <n v="13894"/>
    <n v="3489"/>
    <n v="2013"/>
    <n v="8208"/>
    <s v="2018 (triag)"/>
    <n v="13894"/>
    <n v="2022"/>
    <s v=""/>
    <n v="13894"/>
    <n v="13894"/>
    <s v="Increasing"/>
    <m/>
    <m/>
    <m/>
    <m/>
    <n v="1.978294048830523"/>
    <n v="4.0249651799811135"/>
    <n v="6.1277877045723574"/>
    <n v="6.1277877045723574"/>
    <x v="1"/>
  </r>
  <r>
    <s v="Burkina Faso"/>
    <x v="3"/>
    <n v="17113737.5"/>
    <x v="24"/>
    <n v="0"/>
    <n v="17636407.5"/>
    <n v="2707"/>
    <m/>
    <n v="2640"/>
    <m/>
    <n v="2652"/>
    <m/>
    <n v="2337"/>
    <m/>
    <n v="2117"/>
    <n v="20392723"/>
    <n v="0"/>
    <n v="2117"/>
    <m/>
    <n v="1893"/>
    <m/>
    <n v="1646"/>
    <m/>
    <n v="1486"/>
    <n v="22673762.000000007"/>
    <n v="67"/>
    <n v="2117"/>
    <n v="2707"/>
    <n v="2337"/>
    <n v="1646"/>
    <n v="2707"/>
    <n v="2013"/>
    <n v="2117"/>
    <n v="2017"/>
    <n v="67"/>
    <n v="2022"/>
    <s v="Adjust"/>
    <n v="68.831324843185712"/>
    <n v="2117"/>
    <s v="Decreasing"/>
    <m/>
    <m/>
    <m/>
    <m/>
    <n v="1.5348930897633206"/>
    <n v="1.0381154100901582"/>
    <n v="3.0357258245537588E-2"/>
    <n v="0.93367831946017577"/>
    <x v="0"/>
  </r>
  <r>
    <s v="Burkina Faso"/>
    <x v="3"/>
    <n v="17113738.5"/>
    <x v="25"/>
    <n v="4451"/>
    <n v="17636407.5"/>
    <n v="1591"/>
    <m/>
    <n v="1744"/>
    <m/>
    <n v="2383"/>
    <m/>
    <n v="2580"/>
    <m/>
    <n v="6569"/>
    <n v="20392723"/>
    <n v="0"/>
    <n v="6569"/>
    <m/>
    <n v="7477"/>
    <m/>
    <n v="7804"/>
    <m/>
    <n v="8052"/>
    <n v="22673762.000000007"/>
    <n v="9294"/>
    <n v="6569"/>
    <n v="4451"/>
    <n v="7477"/>
    <n v="9294"/>
    <n v="1591"/>
    <n v="2013"/>
    <n v="6569"/>
    <n v="2017"/>
    <n v="9294"/>
    <n v="2022"/>
    <s v=""/>
    <n v="9294"/>
    <n v="9294"/>
    <s v="Increasing"/>
    <m/>
    <m/>
    <m/>
    <m/>
    <n v="0.90211115840910339"/>
    <n v="3.2212471085886865"/>
    <n v="4.0990110066428311"/>
    <n v="4.0990110066428311"/>
    <x v="1"/>
  </r>
  <r>
    <s v="Burkina Faso"/>
    <x v="3"/>
    <n v="17113739.5"/>
    <x v="26"/>
    <n v="0"/>
    <n v="17636407.5"/>
    <n v="0"/>
    <m/>
    <n v="0"/>
    <m/>
    <n v="0"/>
    <m/>
    <n v="0"/>
    <m/>
    <n v="3583"/>
    <n v="20392723"/>
    <n v="0"/>
    <n v="3583"/>
    <m/>
    <n v="4420"/>
    <m/>
    <n v="4827"/>
    <m/>
    <n v="4986"/>
    <n v="22673762.000000007"/>
    <n v="5686"/>
    <n v="3583"/>
    <n v="0"/>
    <n v="4420"/>
    <n v="5686"/>
    <n v="0"/>
    <s v=""/>
    <n v="3583"/>
    <n v="2017"/>
    <n v="5686"/>
    <n v="2022"/>
    <s v=""/>
    <n v="5686"/>
    <n v="5686"/>
    <s v="Increasing"/>
    <m/>
    <m/>
    <m/>
    <m/>
    <n v="0"/>
    <n v="1.7569992982300597"/>
    <n v="2.5077444140059324"/>
    <n v="2.5077444140059324"/>
    <x v="1"/>
  </r>
  <r>
    <s v="Burkina Faso"/>
    <x v="3"/>
    <n v="17113740.5"/>
    <x v="27"/>
    <n v="0"/>
    <n v="17636407.5"/>
    <n v="0"/>
    <m/>
    <n v="0"/>
    <m/>
    <n v="0"/>
    <m/>
    <n v="0"/>
    <m/>
    <n v="2986"/>
    <n v="20392723"/>
    <n v="0"/>
    <n v="2986"/>
    <m/>
    <n v="3057"/>
    <m/>
    <n v="2977"/>
    <m/>
    <n v="3066"/>
    <n v="22673762.000000007"/>
    <n v="3608"/>
    <n v="2986"/>
    <n v="0"/>
    <n v="3057"/>
    <n v="3608"/>
    <n v="0"/>
    <s v=""/>
    <n v="2986"/>
    <n v="2017"/>
    <n v="3608"/>
    <n v="2022"/>
    <s v=""/>
    <n v="3608"/>
    <n v="3608"/>
    <s v="Increasing"/>
    <m/>
    <m/>
    <m/>
    <m/>
    <n v="0"/>
    <n v="1.4642478103586265"/>
    <n v="1.5912665926368985"/>
    <n v="1.5912665926368985"/>
    <x v="1"/>
  </r>
  <r>
    <s v="Burkina Faso"/>
    <x v="3"/>
    <n v="17113741.5"/>
    <x v="28"/>
    <n v="203"/>
    <n v="17636407.5"/>
    <n v="207"/>
    <m/>
    <n v="217"/>
    <m/>
    <n v="258"/>
    <m/>
    <n v="235"/>
    <m/>
    <n v="284"/>
    <n v="20392723"/>
    <n v="239"/>
    <n v="636"/>
    <m/>
    <n v="313"/>
    <m/>
    <n v="718"/>
    <m/>
    <n v="691"/>
    <n v="22673762.000000007"/>
    <n v="575"/>
    <n v="636"/>
    <n v="258"/>
    <n v="313"/>
    <n v="718"/>
    <n v="207"/>
    <n v="2013"/>
    <n v="636"/>
    <s v="2018 (triag)"/>
    <n v="575"/>
    <n v="2022"/>
    <s v="Adjust"/>
    <n v="590.71659380345943"/>
    <n v="636"/>
    <s v="Decreasing"/>
    <m/>
    <m/>
    <m/>
    <m/>
    <n v="0.11737084210602414"/>
    <n v="0.31187595692836118"/>
    <n v="0.26052870882364348"/>
    <n v="0.28050043040938677"/>
    <x v="1"/>
  </r>
  <r>
    <s v="Burkina Faso"/>
    <x v="3"/>
    <n v="17113742.5"/>
    <x v="29"/>
    <n v="148"/>
    <n v="17636407.5"/>
    <n v="0"/>
    <m/>
    <n v="0"/>
    <m/>
    <n v="0"/>
    <m/>
    <n v="0"/>
    <m/>
    <n v="156"/>
    <n v="20392723"/>
    <n v="0"/>
    <n v="156"/>
    <m/>
    <n v="192"/>
    <m/>
    <n v="203"/>
    <m/>
    <n v="203"/>
    <n v="22673762.000000007"/>
    <n v="210"/>
    <n v="156"/>
    <n v="148"/>
    <n v="192"/>
    <n v="210"/>
    <n v="148"/>
    <n v="2012"/>
    <n v="156"/>
    <n v="2017"/>
    <n v="210"/>
    <n v="2022"/>
    <s v=""/>
    <n v="210"/>
    <n v="210"/>
    <s v="Increasing"/>
    <m/>
    <m/>
    <m/>
    <m/>
    <n v="8.3917317061311947E-2"/>
    <n v="7.6497876227711231E-2"/>
    <n v="9.2618066644608837E-2"/>
    <n v="9.2618066644608837E-2"/>
    <x v="1"/>
  </r>
  <r>
    <s v="Burkina Faso"/>
    <x v="3"/>
    <n v="17113743.5"/>
    <x v="30"/>
    <n v="38"/>
    <n v="17636407.5"/>
    <n v="0"/>
    <m/>
    <n v="0"/>
    <m/>
    <n v="0"/>
    <m/>
    <n v="0"/>
    <m/>
    <n v="80"/>
    <n v="20392723"/>
    <n v="91"/>
    <n v="91"/>
    <m/>
    <n v="52"/>
    <m/>
    <n v="103"/>
    <m/>
    <n v="107"/>
    <n v="22673762.000000007"/>
    <n v="39"/>
    <n v="80"/>
    <n v="38"/>
    <n v="91"/>
    <n v="107"/>
    <n v="38"/>
    <n v="2012"/>
    <n v="91"/>
    <n v="2018"/>
    <n v="39"/>
    <n v="2022"/>
    <s v="Adjust"/>
    <n v="40.065995057973772"/>
    <n v="91"/>
    <s v="Decreasing"/>
    <m/>
    <m/>
    <m/>
    <m/>
    <n v="2.1546338164390905E-2"/>
    <n v="4.4623761132831549E-2"/>
    <n v="1.7670642859342778E-2"/>
    <n v="4.0134495545997163E-2"/>
    <x v="0"/>
  </r>
  <r>
    <s v="Burkina Faso"/>
    <x v="3"/>
    <n v="17113744.5"/>
    <x v="31"/>
    <n v="0"/>
    <n v="17636407.5"/>
    <n v="0"/>
    <m/>
    <n v="0"/>
    <m/>
    <n v="0"/>
    <m/>
    <n v="0"/>
    <m/>
    <n v="0"/>
    <n v="20392723"/>
    <n v="185"/>
    <n v="185"/>
    <m/>
    <n v="143"/>
    <m/>
    <n v="172"/>
    <m/>
    <n v="168"/>
    <n v="22673762.000000007"/>
    <n v="0"/>
    <n v="0"/>
    <n v="0"/>
    <n v="185"/>
    <n v="172"/>
    <n v="0"/>
    <s v=""/>
    <n v="185"/>
    <n v="2018"/>
    <n v="168"/>
    <n v="2021"/>
    <s v="Adjust"/>
    <n v="172.59197871127162"/>
    <n v="185"/>
    <s v="Decreasing"/>
    <m/>
    <m/>
    <m/>
    <m/>
    <n v="0"/>
    <n v="9.0718635270042161E-2"/>
    <n v="7.6119692317168877E-2"/>
    <n v="8.1592106329774455E-2"/>
    <x v="1"/>
  </r>
  <r>
    <s v="Burkina Faso"/>
    <x v="3"/>
    <n v="17113745.5"/>
    <x v="32"/>
    <n v="0"/>
    <n v="17636407.5"/>
    <n v="0"/>
    <m/>
    <n v="0"/>
    <m/>
    <n v="0"/>
    <m/>
    <n v="0"/>
    <m/>
    <n v="0"/>
    <n v="20392723"/>
    <n v="0"/>
    <n v="0"/>
    <m/>
    <n v="8"/>
    <m/>
    <n v="8"/>
    <m/>
    <n v="8"/>
    <n v="22673762.000000007"/>
    <n v="9"/>
    <n v="0"/>
    <n v="0"/>
    <n v="8"/>
    <n v="9"/>
    <n v="0"/>
    <s v=""/>
    <n v="8"/>
    <n v="2019"/>
    <n v="9"/>
    <n v="2022"/>
    <s v=""/>
    <n v="9"/>
    <n v="9"/>
    <s v="Increasing"/>
    <m/>
    <m/>
    <m/>
    <m/>
    <n v="0"/>
    <n v="3.922968011677499E-3"/>
    <n v="3.9693457133403789E-3"/>
    <n v="3.9693457133403789E-3"/>
    <x v="1"/>
  </r>
  <r>
    <s v="Botswana"/>
    <x v="4"/>
    <n v="2175425.5000000005"/>
    <x v="19"/>
    <n v="819"/>
    <n v="2217278.0000000009"/>
    <n v="0"/>
    <n v="2260375.5000000019"/>
    <n v="0"/>
    <n v="2305171.5000000005"/>
    <n v="0"/>
    <n v="2352415.5000000005"/>
    <n v="830"/>
    <n v="2401839.9999999986"/>
    <n v="0"/>
    <n v="2451408.4999999995"/>
    <n v="925"/>
    <n v="925"/>
    <n v="2499701.5"/>
    <n v="920"/>
    <n v="2546401.9999999986"/>
    <n v="1024"/>
    <n v="2588422.9999999981"/>
    <n v="1014"/>
    <n v="2630296.0000000019"/>
    <n v="992"/>
    <n v="853"/>
    <n v="819"/>
    <n v="925"/>
    <n v="1024"/>
    <n v="819"/>
    <n v="2012"/>
    <n v="925"/>
    <n v="2018"/>
    <n v="992"/>
    <n v="2022"/>
    <s v=""/>
    <n v="992"/>
    <n v="992"/>
    <s v="Increasing"/>
    <m/>
    <m/>
    <m/>
    <m/>
    <n v="3.6937181535197645"/>
    <n v="3.77334091808852"/>
    <n v="3.7714386517715091"/>
    <n v="3.7714386517715091"/>
    <x v="1"/>
  </r>
  <r>
    <s v="Botswana"/>
    <x v="4"/>
    <n v="2175426.5"/>
    <x v="20"/>
    <n v="0"/>
    <n v="2217278.0000000009"/>
    <n v="0"/>
    <m/>
    <n v="0"/>
    <m/>
    <n v="0"/>
    <m/>
    <n v="0"/>
    <m/>
    <n v="0"/>
    <n v="2451408.4999999995"/>
    <n v="807"/>
    <n v="815"/>
    <m/>
    <n v="813"/>
    <m/>
    <n v="902"/>
    <m/>
    <n v="900"/>
    <n v="2630296.0000000019"/>
    <n v="898"/>
    <n v="815"/>
    <n v="0"/>
    <n v="813"/>
    <n v="902"/>
    <n v="0"/>
    <s v=""/>
    <n v="815"/>
    <s v="2018 (triag)"/>
    <n v="898"/>
    <n v="2022"/>
    <s v=""/>
    <n v="898"/>
    <n v="898"/>
    <s v="Increasing"/>
    <m/>
    <m/>
    <m/>
    <m/>
    <n v="0"/>
    <n v="3.324619295396912"/>
    <n v="3.4140644246883216"/>
    <n v="3.4140644246883216"/>
    <x v="1"/>
  </r>
  <r>
    <s v="Botswana"/>
    <x v="4"/>
    <n v="2175427.5"/>
    <x v="21"/>
    <n v="0"/>
    <n v="2217278.0000000009"/>
    <n v="0"/>
    <m/>
    <n v="0"/>
    <m/>
    <n v="0"/>
    <m/>
    <n v="0"/>
    <m/>
    <n v="0"/>
    <n v="2451408.4999999995"/>
    <n v="118"/>
    <n v="118"/>
    <m/>
    <n v="107"/>
    <m/>
    <n v="122"/>
    <m/>
    <n v="114"/>
    <n v="2630296.0000000019"/>
    <n v="94"/>
    <n v="38"/>
    <n v="0"/>
    <n v="118"/>
    <n v="122"/>
    <n v="0"/>
    <s v=""/>
    <n v="118"/>
    <n v="2018"/>
    <n v="94"/>
    <n v="2022"/>
    <s v="Adjust"/>
    <n v="108.03407256611902"/>
    <n v="118"/>
    <s v="Decreasing"/>
    <m/>
    <m/>
    <m/>
    <m/>
    <n v="0"/>
    <n v="0.48135592252372472"/>
    <n v="0.41072971470176339"/>
    <n v="0.44861871059378838"/>
    <x v="1"/>
  </r>
  <r>
    <s v="Botswana"/>
    <x v="4"/>
    <n v="2175428.5"/>
    <x v="22"/>
    <n v="5816"/>
    <n v="2217278.0000000009"/>
    <n v="0"/>
    <m/>
    <n v="0"/>
    <m/>
    <n v="0"/>
    <m/>
    <n v="7427"/>
    <m/>
    <n v="0"/>
    <n v="2451408.4999999995"/>
    <n v="7645"/>
    <n v="7645"/>
    <m/>
    <n v="7763"/>
    <m/>
    <n v="7771"/>
    <m/>
    <n v="7886"/>
    <n v="2630296.0000000019"/>
    <n v="8028"/>
    <n v="6935"/>
    <n v="5816"/>
    <n v="7763"/>
    <n v="8028"/>
    <n v="5816"/>
    <n v="2012"/>
    <n v="7645"/>
    <n v="2018"/>
    <n v="8028"/>
    <n v="2022"/>
    <s v=""/>
    <n v="8028"/>
    <n v="8028"/>
    <s v="Increasing"/>
    <m/>
    <m/>
    <m/>
    <m/>
    <n v="26.230359927803359"/>
    <n v="31.186152777066741"/>
    <n v="30.521279734296041"/>
    <n v="30.521279734296041"/>
    <x v="1"/>
  </r>
  <r>
    <s v="Botswana"/>
    <x v="4"/>
    <n v="2175429.5"/>
    <x v="23"/>
    <n v="0"/>
    <n v="2217278.0000000009"/>
    <n v="0"/>
    <m/>
    <n v="0"/>
    <m/>
    <n v="0"/>
    <m/>
    <n v="0"/>
    <m/>
    <n v="0"/>
    <n v="2451408.4999999995"/>
    <n v="7645"/>
    <n v="7645"/>
    <m/>
    <n v="7763"/>
    <m/>
    <n v="7771"/>
    <m/>
    <n v="7886"/>
    <n v="2630296.0000000019"/>
    <n v="8028"/>
    <n v="6935"/>
    <n v="0"/>
    <n v="7763"/>
    <n v="8028"/>
    <n v="0"/>
    <s v=""/>
    <n v="7645"/>
    <n v="2018"/>
    <n v="8028"/>
    <n v="2022"/>
    <s v=""/>
    <n v="8028"/>
    <n v="8028"/>
    <s v="Increasing"/>
    <m/>
    <m/>
    <m/>
    <m/>
    <n v="0"/>
    <n v="31.186152777066741"/>
    <n v="30.521279734296041"/>
    <n v="30.521279734296041"/>
    <x v="1"/>
  </r>
  <r>
    <s v="Botswana"/>
    <x v="4"/>
    <n v="2175430.5"/>
    <x v="24"/>
    <n v="0"/>
    <n v="2217278.0000000009"/>
    <n v="0"/>
    <m/>
    <n v="0"/>
    <m/>
    <n v="0"/>
    <m/>
    <n v="0"/>
    <m/>
    <n v="0"/>
    <n v="2451408.4999999995"/>
    <n v="0"/>
    <n v="0"/>
    <m/>
    <n v="0"/>
    <m/>
    <n v="0"/>
    <m/>
    <n v="0"/>
    <n v="2630296.0000000019"/>
    <n v="0"/>
    <n v="0"/>
    <n v="0"/>
    <n v="0"/>
    <n v="0"/>
    <n v="0"/>
    <s v=""/>
    <n v="0"/>
    <s v=""/>
    <n v="0"/>
    <s v=""/>
    <s v=""/>
    <n v="0"/>
    <n v="0"/>
    <s v="No change"/>
    <m/>
    <m/>
    <m/>
    <m/>
    <n v="0"/>
    <n v="0"/>
    <n v="0"/>
    <n v="0"/>
    <x v="1"/>
  </r>
  <r>
    <s v="Botswana"/>
    <x v="4"/>
    <n v="2175431.5"/>
    <x v="25"/>
    <n v="0"/>
    <n v="2217278.0000000009"/>
    <n v="1501"/>
    <m/>
    <n v="0"/>
    <m/>
    <n v="0"/>
    <m/>
    <n v="1461"/>
    <m/>
    <n v="0"/>
    <n v="2451408.4999999995"/>
    <n v="0"/>
    <n v="0"/>
    <m/>
    <n v="0"/>
    <m/>
    <n v="0"/>
    <m/>
    <n v="0"/>
    <n v="2630296.0000000019"/>
    <n v="0"/>
    <n v="0"/>
    <n v="1501"/>
    <n v="1461"/>
    <n v="0"/>
    <n v="1501"/>
    <n v="2013"/>
    <n v="0"/>
    <s v=""/>
    <n v="0"/>
    <s v=""/>
    <s v=""/>
    <n v="0"/>
    <n v="0"/>
    <s v="No change"/>
    <m/>
    <m/>
    <m/>
    <m/>
    <n v="6.7695615975984937"/>
    <n v="0"/>
    <n v="0"/>
    <n v="0"/>
    <x v="1"/>
  </r>
  <r>
    <s v="Botswana"/>
    <x v="4"/>
    <n v="2175432.5"/>
    <x v="26"/>
    <n v="0"/>
    <n v="2217278.0000000009"/>
    <n v="1501"/>
    <m/>
    <n v="0"/>
    <m/>
    <n v="0"/>
    <m/>
    <n v="1461"/>
    <m/>
    <n v="0"/>
    <n v="2451408.4999999995"/>
    <n v="0"/>
    <n v="0"/>
    <m/>
    <n v="0"/>
    <m/>
    <n v="0"/>
    <m/>
    <n v="0"/>
    <n v="2630296.0000000019"/>
    <n v="0"/>
    <n v="0"/>
    <n v="1501"/>
    <n v="1461"/>
    <n v="0"/>
    <n v="1501"/>
    <n v="2013"/>
    <n v="0"/>
    <s v=""/>
    <n v="0"/>
    <s v=""/>
    <s v=""/>
    <n v="0"/>
    <n v="0"/>
    <s v="No change"/>
    <m/>
    <m/>
    <m/>
    <m/>
    <n v="6.7695615975984937"/>
    <n v="0"/>
    <n v="0"/>
    <n v="0"/>
    <x v="1"/>
  </r>
  <r>
    <s v="Botswana"/>
    <x v="4"/>
    <n v="2175433.5"/>
    <x v="27"/>
    <n v="0"/>
    <n v="2217278.0000000009"/>
    <n v="0"/>
    <m/>
    <n v="0"/>
    <m/>
    <n v="0"/>
    <m/>
    <n v="0"/>
    <m/>
    <n v="0"/>
    <n v="2451408.4999999995"/>
    <n v="0"/>
    <n v="0"/>
    <m/>
    <n v="0"/>
    <m/>
    <n v="0"/>
    <m/>
    <n v="0"/>
    <n v="2630296.0000000019"/>
    <n v="0"/>
    <n v="0"/>
    <n v="0"/>
    <n v="0"/>
    <n v="0"/>
    <n v="0"/>
    <s v=""/>
    <n v="0"/>
    <s v=""/>
    <n v="0"/>
    <s v=""/>
    <s v=""/>
    <n v="0"/>
    <n v="0"/>
    <s v="No change"/>
    <m/>
    <m/>
    <m/>
    <m/>
    <n v="0"/>
    <n v="0"/>
    <n v="0"/>
    <n v="0"/>
    <x v="1"/>
  </r>
  <r>
    <s v="Botswana"/>
    <x v="4"/>
    <n v="2175434.5"/>
    <x v="28"/>
    <n v="0"/>
    <n v="2217278.0000000009"/>
    <n v="0"/>
    <m/>
    <n v="0"/>
    <m/>
    <n v="0"/>
    <m/>
    <n v="0"/>
    <m/>
    <n v="0"/>
    <n v="2451408.4999999995"/>
    <n v="156"/>
    <n v="156"/>
    <m/>
    <n v="138"/>
    <m/>
    <n v="145"/>
    <m/>
    <n v="158"/>
    <n v="2630296.0000000019"/>
    <n v="125"/>
    <n v="149"/>
    <n v="0"/>
    <n v="156"/>
    <n v="158"/>
    <n v="0"/>
    <s v=""/>
    <n v="156"/>
    <n v="2018"/>
    <n v="125"/>
    <n v="2022"/>
    <s v="Adjust"/>
    <n v="143.6623305400519"/>
    <n v="156"/>
    <s v="Decreasing"/>
    <m/>
    <m/>
    <m/>
    <m/>
    <n v="0"/>
    <n v="0.63636884672628014"/>
    <n v="0.54618313125234497"/>
    <n v="0.59308914281890668"/>
    <x v="1"/>
  </r>
  <r>
    <s v="Botswana"/>
    <x v="4"/>
    <n v="2175435.5"/>
    <x v="29"/>
    <n v="0"/>
    <n v="2217278.0000000009"/>
    <n v="0"/>
    <m/>
    <n v="0"/>
    <m/>
    <n v="0"/>
    <m/>
    <n v="0"/>
    <m/>
    <n v="0"/>
    <n v="2451408.4999999995"/>
    <n v="435"/>
    <n v="435"/>
    <m/>
    <n v="408"/>
    <m/>
    <n v="435"/>
    <m/>
    <n v="413"/>
    <n v="2630296.0000000019"/>
    <n v="449"/>
    <n v="338"/>
    <n v="0"/>
    <n v="435"/>
    <n v="449"/>
    <n v="0"/>
    <s v=""/>
    <n v="435"/>
    <n v="2018"/>
    <n v="449"/>
    <n v="2022"/>
    <s v=""/>
    <n v="449"/>
    <n v="449"/>
    <s v="Increasing"/>
    <m/>
    <m/>
    <m/>
    <m/>
    <n v="0"/>
    <n v="1.7744900533713581"/>
    <n v="1.7070322123441608"/>
    <n v="1.7070322123441608"/>
    <x v="1"/>
  </r>
  <r>
    <s v="Botswana"/>
    <x v="4"/>
    <n v="2175436.5"/>
    <x v="30"/>
    <n v="55"/>
    <n v="2217278.0000000009"/>
    <n v="0"/>
    <m/>
    <n v="0"/>
    <m/>
    <n v="0"/>
    <m/>
    <n v="91"/>
    <m/>
    <n v="0"/>
    <n v="2451408.4999999995"/>
    <n v="96"/>
    <n v="96"/>
    <m/>
    <n v="88"/>
    <m/>
    <n v="89"/>
    <m/>
    <n v="89"/>
    <n v="2630296.0000000019"/>
    <n v="86"/>
    <n v="94"/>
    <n v="55"/>
    <n v="96"/>
    <n v="89"/>
    <n v="55"/>
    <n v="2012"/>
    <n v="96"/>
    <n v="2018"/>
    <n v="86"/>
    <n v="2022"/>
    <s v="Adjust"/>
    <n v="98.839683411555711"/>
    <n v="98.839683411555711"/>
    <s v="Increasing"/>
    <m/>
    <m/>
    <m/>
    <m/>
    <n v="0.24805189065151045"/>
    <n v="0.39161159798540318"/>
    <n v="0.37577399430161335"/>
    <n v="0.37577399430161335"/>
    <x v="1"/>
  </r>
  <r>
    <s v="Botswana"/>
    <x v="4"/>
    <n v="2175437.5"/>
    <x v="31"/>
    <n v="0"/>
    <n v="2217278.0000000009"/>
    <n v="0"/>
    <m/>
    <n v="0"/>
    <m/>
    <n v="0"/>
    <m/>
    <n v="0"/>
    <m/>
    <n v="0"/>
    <n v="2451408.4999999995"/>
    <n v="27"/>
    <n v="27"/>
    <m/>
    <n v="27"/>
    <m/>
    <n v="28"/>
    <m/>
    <n v="26"/>
    <n v="2630296.0000000019"/>
    <n v="24"/>
    <n v="0"/>
    <n v="0"/>
    <n v="27"/>
    <n v="28"/>
    <n v="0"/>
    <s v=""/>
    <n v="27"/>
    <n v="2018"/>
    <n v="24"/>
    <n v="2022"/>
    <s v="Adjust"/>
    <n v="27.583167463689964"/>
    <n v="27.583167463689964"/>
    <s v="Increasing"/>
    <m/>
    <m/>
    <m/>
    <m/>
    <n v="0"/>
    <n v="0.11014076193339464"/>
    <n v="0.10486716120045024"/>
    <n v="0.10486716120045024"/>
    <x v="1"/>
  </r>
  <r>
    <s v="Botswana"/>
    <x v="4"/>
    <n v="2175438.5"/>
    <x v="32"/>
    <n v="0"/>
    <n v="2217278.0000000009"/>
    <n v="0"/>
    <m/>
    <n v="0"/>
    <m/>
    <n v="0"/>
    <m/>
    <n v="0"/>
    <m/>
    <n v="0"/>
    <n v="2451408.4999999995"/>
    <n v="16"/>
    <n v="16"/>
    <m/>
    <n v="15"/>
    <m/>
    <n v="13"/>
    <m/>
    <n v="15"/>
    <n v="2630296.0000000019"/>
    <n v="17"/>
    <n v="0"/>
    <n v="0"/>
    <n v="16"/>
    <n v="17"/>
    <n v="0"/>
    <s v=""/>
    <n v="16"/>
    <n v="2018"/>
    <n v="17"/>
    <n v="2022"/>
    <s v=""/>
    <n v="17"/>
    <n v="17"/>
    <s v="Increasing"/>
    <m/>
    <m/>
    <m/>
    <m/>
    <n v="0"/>
    <n v="6.5268599664233859E-2"/>
    <n v="6.4631509153342398E-2"/>
    <n v="6.4631509153342398E-2"/>
    <x v="1"/>
  </r>
  <r>
    <s v="Central African Republic"/>
    <x v="5"/>
    <n v="4773305.4999999991"/>
    <x v="19"/>
    <n v="0"/>
    <n v="4802428.5000000102"/>
    <n v="0"/>
    <n v="4798734.5"/>
    <n v="0"/>
    <n v="4819332.9999999991"/>
    <n v="324"/>
    <n v="4904177.5000000019"/>
    <n v="0"/>
    <n v="4996741.0000000009"/>
    <n v="0"/>
    <n v="5094779.9999999991"/>
    <n v="335"/>
    <n v="335"/>
    <n v="5209324.4999999963"/>
    <n v="0"/>
    <n v="5343019.9999999991"/>
    <n v="0"/>
    <n v="5457154.4999999991"/>
    <n v="114"/>
    <n v="5579143.5000000047"/>
    <n v="0"/>
    <n v="335"/>
    <n v="324"/>
    <n v="335"/>
    <n v="114"/>
    <n v="324"/>
    <n v="2015"/>
    <n v="335"/>
    <n v="2018"/>
    <n v="114"/>
    <n v="2021"/>
    <s v="Adjust"/>
    <n v="146.38957816377172"/>
    <n v="335"/>
    <s v="Decreasing"/>
    <m/>
    <m/>
    <m/>
    <m/>
    <n v="0.67465866488173498"/>
    <n v="0.65753575227978456"/>
    <n v="0.2623871892948651"/>
    <n v="0.60045058887623115"/>
    <x v="0"/>
  </r>
  <r>
    <s v="Central African Republic"/>
    <x v="5"/>
    <n v="4773306.5"/>
    <x v="20"/>
    <n v="0"/>
    <n v="4802428.5000000102"/>
    <n v="0"/>
    <m/>
    <n v="0"/>
    <m/>
    <n v="0"/>
    <m/>
    <n v="0"/>
    <m/>
    <n v="0"/>
    <n v="5094779.9999999991"/>
    <n v="263"/>
    <n v="263"/>
    <m/>
    <n v="0"/>
    <m/>
    <n v="0"/>
    <m/>
    <n v="108"/>
    <n v="5579143.5000000047"/>
    <n v="0"/>
    <n v="263"/>
    <n v="0"/>
    <n v="263"/>
    <n v="108"/>
    <n v="0"/>
    <s v=""/>
    <n v="263"/>
    <n v="2018"/>
    <n v="108"/>
    <n v="2021"/>
    <s v="Adjust"/>
    <n v="138.6848635235732"/>
    <n v="263"/>
    <s v="Decreasing"/>
    <m/>
    <m/>
    <m/>
    <m/>
    <n v="0"/>
    <n v="0.5162146353718905"/>
    <n v="0.24857733722671424"/>
    <n v="0.47139852201327997"/>
    <x v="0"/>
  </r>
  <r>
    <s v="Central African Republic"/>
    <x v="5"/>
    <n v="4773307.5"/>
    <x v="21"/>
    <n v="0"/>
    <n v="4802428.5000000102"/>
    <n v="0"/>
    <m/>
    <n v="0"/>
    <m/>
    <n v="38"/>
    <m/>
    <n v="0"/>
    <m/>
    <n v="0"/>
    <n v="5094779.9999999991"/>
    <n v="72"/>
    <n v="72"/>
    <m/>
    <n v="0"/>
    <m/>
    <n v="0"/>
    <m/>
    <n v="4"/>
    <n v="5579143.5000000047"/>
    <n v="0"/>
    <n v="72"/>
    <n v="38"/>
    <n v="72"/>
    <n v="4"/>
    <n v="38"/>
    <n v="2015"/>
    <n v="72"/>
    <n v="2018"/>
    <n v="4"/>
    <n v="2021"/>
    <s v="Adjust"/>
    <n v="5.1364764267990077"/>
    <n v="72"/>
    <s v="Decreasing"/>
    <m/>
    <m/>
    <m/>
    <m/>
    <n v="7.9126633535512123E-2"/>
    <n v="0.14132111690789398"/>
    <n v="9.2065680454338616E-3"/>
    <n v="0.12905206686295118"/>
    <x v="0"/>
  </r>
  <r>
    <s v="Central African Republic"/>
    <x v="5"/>
    <n v="4773308.5"/>
    <x v="22"/>
    <n v="0"/>
    <n v="4802428.5000000102"/>
    <n v="0"/>
    <m/>
    <n v="0"/>
    <m/>
    <n v="322"/>
    <m/>
    <n v="0"/>
    <m/>
    <n v="0"/>
    <n v="5094779.9999999991"/>
    <n v="1195"/>
    <n v="1195"/>
    <m/>
    <n v="0"/>
    <m/>
    <n v="0"/>
    <m/>
    <n v="505"/>
    <n v="5579143.5000000047"/>
    <n v="0"/>
    <n v="751"/>
    <n v="322"/>
    <n v="1195"/>
    <n v="505"/>
    <n v="322"/>
    <n v="2015"/>
    <n v="1195"/>
    <n v="2018"/>
    <n v="505"/>
    <n v="2021"/>
    <s v="Adjust"/>
    <n v="648.48014888337468"/>
    <n v="1195"/>
    <s v="Decreasing"/>
    <m/>
    <m/>
    <m/>
    <m/>
    <n v="0.67049410522197117"/>
    <n v="2.3455379820129627"/>
    <n v="1.162329215736025"/>
    <n v="2.141905831961481"/>
    <x v="0"/>
  </r>
  <r>
    <s v="Central African Republic"/>
    <x v="5"/>
    <n v="4773309.5"/>
    <x v="23"/>
    <n v="0"/>
    <n v="4802428.5000000102"/>
    <n v="0"/>
    <m/>
    <n v="0"/>
    <m/>
    <n v="0"/>
    <m/>
    <n v="0"/>
    <m/>
    <n v="0"/>
    <n v="5094779.9999999991"/>
    <n v="0"/>
    <n v="426"/>
    <m/>
    <n v="0"/>
    <m/>
    <n v="0"/>
    <m/>
    <n v="249"/>
    <n v="5579143.5000000047"/>
    <n v="0"/>
    <n v="426"/>
    <n v="0"/>
    <n v="0"/>
    <n v="249"/>
    <n v="0"/>
    <s v=""/>
    <n v="426"/>
    <s v="2018 (triag)"/>
    <n v="249"/>
    <n v="2021"/>
    <s v="Adjust"/>
    <n v="319.74565756823824"/>
    <n v="426"/>
    <s v="Decreasing"/>
    <m/>
    <m/>
    <m/>
    <m/>
    <n v="0"/>
    <n v="0.83614994170503942"/>
    <n v="0.57310886082825796"/>
    <n v="0.76355806227246104"/>
    <x v="1"/>
  </r>
  <r>
    <s v="Central African Republic"/>
    <x v="5"/>
    <n v="4773310.5"/>
    <x v="24"/>
    <n v="0"/>
    <n v="4802428.5000000102"/>
    <n v="0"/>
    <m/>
    <n v="0"/>
    <m/>
    <n v="0"/>
    <m/>
    <n v="0"/>
    <m/>
    <n v="0"/>
    <n v="5094779.9999999991"/>
    <n v="0"/>
    <n v="325"/>
    <m/>
    <n v="0"/>
    <m/>
    <n v="0"/>
    <m/>
    <n v="1"/>
    <n v="5579143.5000000047"/>
    <n v="0"/>
    <n v="325"/>
    <n v="0"/>
    <n v="0"/>
    <n v="1"/>
    <n v="0"/>
    <s v=""/>
    <n v="325"/>
    <s v="2018 (triag)"/>
    <n v="1"/>
    <n v="2021"/>
    <s v="Adjust"/>
    <n v="1.2841191066997519"/>
    <n v="325"/>
    <s v="Decreasing"/>
    <m/>
    <m/>
    <m/>
    <m/>
    <n v="0"/>
    <n v="0.63790781937591035"/>
    <n v="2.3016420113584654E-3"/>
    <n v="0.58252669070082119"/>
    <x v="0"/>
  </r>
  <r>
    <s v="Central African Republic"/>
    <x v="5"/>
    <n v="4773311.5"/>
    <x v="25"/>
    <n v="0"/>
    <n v="4802428.5000000102"/>
    <n v="514"/>
    <m/>
    <n v="0"/>
    <m/>
    <n v="605"/>
    <m/>
    <n v="0"/>
    <m/>
    <n v="0"/>
    <n v="5094779.9999999991"/>
    <n v="0"/>
    <n v="444"/>
    <m/>
    <n v="0"/>
    <m/>
    <n v="0"/>
    <m/>
    <n v="537"/>
    <n v="5579143.5000000047"/>
    <n v="0"/>
    <n v="444"/>
    <n v="605"/>
    <n v="0"/>
    <n v="537"/>
    <n v="514"/>
    <n v="2013"/>
    <n v="444"/>
    <s v="2018 (triag)"/>
    <n v="537"/>
    <n v="2021"/>
    <s v=""/>
    <n v="537"/>
    <n v="537"/>
    <s v="Increasing"/>
    <m/>
    <m/>
    <m/>
    <m/>
    <n v="1.0702918325592956"/>
    <n v="0.87148022093201294"/>
    <n v="0.96251333201951084"/>
    <n v="0.96251333201951084"/>
    <x v="1"/>
  </r>
  <r>
    <s v="Central African Republic"/>
    <x v="5"/>
    <n v="4773312.5"/>
    <x v="26"/>
    <n v="0"/>
    <n v="4802428.5000000102"/>
    <n v="241"/>
    <m/>
    <n v="0"/>
    <m/>
    <n v="0"/>
    <m/>
    <n v="0"/>
    <m/>
    <n v="0"/>
    <n v="5094779.9999999991"/>
    <n v="0"/>
    <n v="276"/>
    <m/>
    <n v="0"/>
    <m/>
    <n v="0"/>
    <m/>
    <n v="130"/>
    <n v="5579143.5000000047"/>
    <n v="0"/>
    <n v="276"/>
    <n v="241"/>
    <n v="0"/>
    <n v="130"/>
    <n v="241"/>
    <n v="2013"/>
    <n v="276"/>
    <s v="2018 (triag)"/>
    <n v="130"/>
    <n v="2021"/>
    <s v="Adjust"/>
    <n v="166.93548387096774"/>
    <n v="276"/>
    <s v="Decreasing"/>
    <m/>
    <m/>
    <m/>
    <m/>
    <n v="0.50182943900153743"/>
    <n v="0.54173094814692691"/>
    <n v="0.2992134614766005"/>
    <n v="0.49469958964131283"/>
    <x v="0"/>
  </r>
  <r>
    <s v="Central African Republic"/>
    <x v="5"/>
    <n v="4773313.5"/>
    <x v="27"/>
    <n v="0"/>
    <n v="4802428.5000000102"/>
    <n v="273"/>
    <m/>
    <n v="0"/>
    <m/>
    <n v="0"/>
    <m/>
    <n v="0"/>
    <m/>
    <n v="0"/>
    <n v="5094779.9999999991"/>
    <n v="0"/>
    <n v="168"/>
    <m/>
    <n v="0"/>
    <m/>
    <n v="0"/>
    <m/>
    <n v="197"/>
    <n v="5579143.5000000047"/>
    <n v="0"/>
    <n v="168"/>
    <n v="273"/>
    <n v="0"/>
    <n v="197"/>
    <n v="273"/>
    <n v="2013"/>
    <n v="168"/>
    <s v="2018 (triag)"/>
    <n v="197"/>
    <n v="2021"/>
    <s v=""/>
    <n v="197"/>
    <n v="197"/>
    <s v="Increasing"/>
    <m/>
    <m/>
    <m/>
    <m/>
    <n v="0.56846239355775818"/>
    <n v="0.32974927278508598"/>
    <n v="0.35310079405557471"/>
    <n v="0.35310079405557471"/>
    <x v="1"/>
  </r>
  <r>
    <s v="Central African Republic"/>
    <x v="5"/>
    <n v="4773314.5"/>
    <x v="28"/>
    <n v="0"/>
    <n v="4802428.5000000102"/>
    <n v="0"/>
    <m/>
    <n v="0"/>
    <m/>
    <n v="20"/>
    <m/>
    <n v="0"/>
    <m/>
    <n v="0"/>
    <n v="5094779.9999999991"/>
    <n v="36"/>
    <n v="36"/>
    <m/>
    <n v="0"/>
    <m/>
    <n v="0"/>
    <m/>
    <n v="2"/>
    <n v="5579143.5000000047"/>
    <n v="0"/>
    <n v="36"/>
    <n v="20"/>
    <n v="36"/>
    <n v="2"/>
    <n v="20"/>
    <n v="2015"/>
    <n v="36"/>
    <n v="2018"/>
    <n v="2"/>
    <n v="2021"/>
    <s v="Adjust"/>
    <n v="2.5682382133995039"/>
    <n v="36"/>
    <s v="Decreasing"/>
    <m/>
    <m/>
    <m/>
    <m/>
    <n v="4.164559659763796E-2"/>
    <n v="7.0660558453946989E-2"/>
    <n v="4.6032840227169308E-3"/>
    <n v="6.4526033431475588E-2"/>
    <x v="0"/>
  </r>
  <r>
    <s v="Central African Republic"/>
    <x v="5"/>
    <n v="4773315.5"/>
    <x v="29"/>
    <n v="0"/>
    <n v="4802428.5000000102"/>
    <n v="0"/>
    <m/>
    <n v="0"/>
    <m/>
    <n v="0"/>
    <m/>
    <n v="0"/>
    <m/>
    <n v="0"/>
    <n v="5094779.9999999991"/>
    <n v="0"/>
    <n v="0"/>
    <m/>
    <n v="0"/>
    <m/>
    <n v="0"/>
    <m/>
    <n v="0"/>
    <n v="5579143.5000000047"/>
    <n v="0"/>
    <n v="0"/>
    <n v="0"/>
    <n v="0"/>
    <n v="0"/>
    <n v="0"/>
    <s v=""/>
    <n v="0"/>
    <s v=""/>
    <n v="0"/>
    <s v=""/>
    <s v=""/>
    <n v="0"/>
    <n v="0"/>
    <s v="No change"/>
    <m/>
    <m/>
    <m/>
    <m/>
    <n v="0"/>
    <n v="0"/>
    <n v="0"/>
    <n v="0"/>
    <x v="1"/>
  </r>
  <r>
    <s v="Central African Republic"/>
    <x v="5"/>
    <n v="4773316.5"/>
    <x v="30"/>
    <n v="0"/>
    <n v="4802428.5000000102"/>
    <n v="0"/>
    <m/>
    <n v="0"/>
    <m/>
    <n v="0"/>
    <m/>
    <n v="0"/>
    <m/>
    <n v="0"/>
    <n v="5094779.9999999991"/>
    <n v="10"/>
    <n v="10"/>
    <m/>
    <n v="0"/>
    <m/>
    <n v="0"/>
    <m/>
    <n v="2"/>
    <n v="5579143.5000000047"/>
    <n v="0"/>
    <n v="3"/>
    <n v="0"/>
    <n v="10"/>
    <n v="2"/>
    <n v="0"/>
    <s v=""/>
    <n v="10"/>
    <n v="2018"/>
    <n v="2"/>
    <n v="2021"/>
    <s v="Adjust"/>
    <n v="2.5682382133995039"/>
    <n v="10"/>
    <s v="Decreasing"/>
    <m/>
    <m/>
    <m/>
    <m/>
    <n v="0"/>
    <n v="1.9627932903874164E-2"/>
    <n v="4.6032840227169308E-3"/>
    <n v="1.7923898175409885E-2"/>
    <x v="0"/>
  </r>
  <r>
    <s v="Central African Republic"/>
    <x v="5"/>
    <n v="4773317.5"/>
    <x v="31"/>
    <n v="0"/>
    <n v="4802428.5000000102"/>
    <n v="0"/>
    <m/>
    <n v="0"/>
    <m/>
    <n v="0"/>
    <m/>
    <n v="0"/>
    <m/>
    <n v="0"/>
    <n v="5094779.9999999991"/>
    <n v="0"/>
    <n v="7"/>
    <m/>
    <n v="0"/>
    <m/>
    <n v="0"/>
    <m/>
    <n v="0"/>
    <n v="5579143.5000000047"/>
    <n v="0"/>
    <n v="7"/>
    <n v="0"/>
    <n v="0"/>
    <n v="0"/>
    <n v="0"/>
    <s v=""/>
    <n v="7"/>
    <s v="2018 (triag)"/>
    <n v="7"/>
    <s v="2018 (triag)"/>
    <s v=""/>
    <n v="7"/>
    <n v="7"/>
    <s v="No change"/>
    <m/>
    <m/>
    <m/>
    <m/>
    <n v="0"/>
    <n v="1.3739553032711916E-2"/>
    <n v="1.2546728722786919E-2"/>
    <n v="1.2546728722786919E-2"/>
    <x v="1"/>
  </r>
  <r>
    <s v="Central African Republic"/>
    <x v="5"/>
    <n v="4773318.5"/>
    <x v="32"/>
    <n v="0"/>
    <n v="4802428.5000000102"/>
    <n v="0"/>
    <m/>
    <n v="0"/>
    <m/>
    <n v="0"/>
    <m/>
    <n v="0"/>
    <m/>
    <n v="0"/>
    <n v="5094779.9999999991"/>
    <n v="0"/>
    <n v="0"/>
    <m/>
    <n v="0"/>
    <m/>
    <n v="0"/>
    <m/>
    <n v="0"/>
    <n v="5579143.5000000047"/>
    <n v="0"/>
    <n v="0"/>
    <n v="0"/>
    <n v="0"/>
    <n v="0"/>
    <n v="0"/>
    <s v=""/>
    <n v="0"/>
    <s v=""/>
    <n v="0"/>
    <s v=""/>
    <s v=""/>
    <n v="0"/>
    <n v="0"/>
    <s v="No change"/>
    <m/>
    <m/>
    <m/>
    <m/>
    <n v="0"/>
    <n v="0"/>
    <n v="0"/>
    <n v="0"/>
    <x v="1"/>
  </r>
  <r>
    <s v="Cote d'Ivoire"/>
    <x v="6"/>
    <n v="22010711.499999996"/>
    <x v="19"/>
    <n v="0"/>
    <n v="22469267.5"/>
    <n v="0"/>
    <n v="22995555.5"/>
    <n v="5240"/>
    <n v="23596741"/>
    <n v="0"/>
    <n v="24213621.500000015"/>
    <n v="0"/>
    <n v="24848015.5"/>
    <n v="0"/>
    <n v="25493988.499999996"/>
    <n v="5602"/>
    <n v="5602"/>
    <n v="26147550.999999996"/>
    <n v="4173"/>
    <n v="26811790.500000004"/>
    <n v="4435"/>
    <n v="27478249.000000004"/>
    <n v="4951"/>
    <n v="28160542.500000004"/>
    <n v="4930"/>
    <n v="5602"/>
    <n v="5240"/>
    <n v="5602"/>
    <n v="4951"/>
    <n v="5240"/>
    <n v="2014"/>
    <n v="5602"/>
    <n v="2018"/>
    <n v="4930"/>
    <n v="2022"/>
    <s v="Adjust"/>
    <n v="6327.5519796794806"/>
    <n v="6327.5519796794806"/>
    <s v="Increasing"/>
    <m/>
    <m/>
    <m/>
    <m/>
    <n v="2.3320742431857204"/>
    <n v="2.1973807668423482"/>
    <n v="2.2469567053544797"/>
    <n v="2.2469567053544797"/>
    <x v="1"/>
  </r>
  <r>
    <s v="Cote d'Ivoire"/>
    <x v="6"/>
    <n v="22010712.5"/>
    <x v="20"/>
    <n v="0"/>
    <n v="22469267.5"/>
    <n v="0"/>
    <m/>
    <n v="0"/>
    <m/>
    <n v="0"/>
    <m/>
    <n v="0"/>
    <m/>
    <n v="0"/>
    <n v="25493988.499999996"/>
    <n v="4246"/>
    <n v="4246"/>
    <m/>
    <n v="0"/>
    <m/>
    <n v="4435"/>
    <m/>
    <n v="4623"/>
    <n v="28160542.500000004"/>
    <n v="4412"/>
    <n v="4246"/>
    <n v="0"/>
    <n v="4246"/>
    <n v="4623"/>
    <n v="0"/>
    <s v=""/>
    <n v="4246"/>
    <n v="2018"/>
    <n v="4412"/>
    <n v="2022"/>
    <s v=""/>
    <n v="4412"/>
    <n v="4412"/>
    <s v="Increasing"/>
    <m/>
    <m/>
    <m/>
    <m/>
    <n v="0"/>
    <n v="1.6654906704770815"/>
    <n v="1.5667311806936957"/>
    <n v="1.5667311806936957"/>
    <x v="1"/>
  </r>
  <r>
    <s v="Cote d'Ivoire"/>
    <x v="6"/>
    <n v="22010713.5"/>
    <x v="21"/>
    <n v="0"/>
    <n v="22469267.5"/>
    <n v="0"/>
    <m/>
    <n v="0"/>
    <m/>
    <n v="0"/>
    <m/>
    <n v="0"/>
    <m/>
    <n v="0"/>
    <n v="25493988.499999996"/>
    <n v="1356"/>
    <n v="1356"/>
    <m/>
    <n v="0"/>
    <m/>
    <n v="0"/>
    <m/>
    <n v="328"/>
    <n v="28160542.500000004"/>
    <n v="518"/>
    <n v="1356"/>
    <n v="0"/>
    <n v="1356"/>
    <n v="518"/>
    <n v="0"/>
    <s v=""/>
    <n v="1356"/>
    <n v="2018"/>
    <n v="518"/>
    <n v="2022"/>
    <s v="Adjust"/>
    <n v="664.84217555252962"/>
    <n v="1356"/>
    <s v="Decreasing"/>
    <m/>
    <m/>
    <m/>
    <m/>
    <n v="0"/>
    <n v="0.53189009636526674"/>
    <n v="0.23608997431513601"/>
    <n v="0.48152481437458095"/>
    <x v="0"/>
  </r>
  <r>
    <s v="Cote d'Ivoire"/>
    <x v="6"/>
    <n v="22010714.5"/>
    <x v="22"/>
    <n v="0"/>
    <n v="22469267.5"/>
    <n v="8780"/>
    <m/>
    <n v="8868"/>
    <m/>
    <n v="10891"/>
    <m/>
    <n v="12132"/>
    <m/>
    <n v="13583"/>
    <n v="25493988.499999996"/>
    <n v="15163"/>
    <n v="15163"/>
    <m/>
    <n v="11259"/>
    <m/>
    <n v="13396"/>
    <m/>
    <n v="12887"/>
    <n v="28160542.500000004"/>
    <n v="14979"/>
    <n v="11730"/>
    <n v="10891"/>
    <n v="15163"/>
    <n v="14979"/>
    <n v="8780"/>
    <n v="2013"/>
    <n v="15163"/>
    <n v="2018"/>
    <n v="14979"/>
    <n v="2022"/>
    <s v="Adjust"/>
    <n v="19225.233489577877"/>
    <n v="19225.233489577877"/>
    <s v="Increasing"/>
    <m/>
    <m/>
    <m/>
    <m/>
    <n v="3.9075595143455391"/>
    <n v="5.9476766454178023"/>
    <n v="6.8270110526378796"/>
    <n v="6.8270110526378796"/>
    <x v="1"/>
  </r>
  <r>
    <s v="Cote d'Ivoire"/>
    <x v="6"/>
    <n v="22010715.5"/>
    <x v="23"/>
    <n v="0"/>
    <n v="22469267.5"/>
    <n v="7172"/>
    <m/>
    <n v="7245"/>
    <m/>
    <n v="8904"/>
    <m/>
    <n v="9805"/>
    <m/>
    <n v="10813"/>
    <n v="25493988.499999996"/>
    <n v="11568"/>
    <n v="11667"/>
    <m/>
    <n v="11259"/>
    <m/>
    <n v="13396"/>
    <m/>
    <n v="12887"/>
    <n v="28160542.500000004"/>
    <n v="14934"/>
    <n v="11667"/>
    <n v="8904"/>
    <n v="11568"/>
    <n v="14934"/>
    <n v="7172"/>
    <n v="2013"/>
    <n v="11667"/>
    <s v="2018 (triag)"/>
    <n v="14934"/>
    <n v="2022"/>
    <s v=""/>
    <n v="14934"/>
    <n v="14934"/>
    <s v="Increasing"/>
    <m/>
    <m/>
    <m/>
    <m/>
    <n v="3.1919153572763332"/>
    <n v="4.5763729751427489"/>
    <n v="5.303164880435097"/>
    <n v="5.303164880435097"/>
    <x v="1"/>
  </r>
  <r>
    <s v="Cote d'Ivoire"/>
    <x v="6"/>
    <n v="22010716.5"/>
    <x v="24"/>
    <n v="0"/>
    <n v="22469267.5"/>
    <n v="1608"/>
    <m/>
    <n v="1623"/>
    <m/>
    <n v="1987"/>
    <m/>
    <n v="2327"/>
    <m/>
    <n v="2770"/>
    <n v="25493988.499999996"/>
    <n v="3595"/>
    <n v="3595"/>
    <m/>
    <n v="0"/>
    <m/>
    <n v="0"/>
    <m/>
    <n v="0"/>
    <n v="28160542.500000004"/>
    <n v="0"/>
    <n v="63"/>
    <n v="1987"/>
    <n v="3595"/>
    <n v="0"/>
    <n v="1608"/>
    <n v="2013"/>
    <n v="3595"/>
    <n v="2018"/>
    <n v="3595"/>
    <n v="2018"/>
    <s v=""/>
    <n v="3595"/>
    <n v="3595"/>
    <s v="No change"/>
    <m/>
    <m/>
    <m/>
    <m/>
    <n v="0.7156441570692057"/>
    <n v="1.4101363543017211"/>
    <n v="1.276608928965058"/>
    <n v="1.276608928965058"/>
    <x v="1"/>
  </r>
  <r>
    <s v="Cote d'Ivoire"/>
    <x v="6"/>
    <n v="22010717.5"/>
    <x v="25"/>
    <n v="0"/>
    <n v="22469267.5"/>
    <n v="3851"/>
    <m/>
    <n v="5300"/>
    <m/>
    <n v="0"/>
    <m/>
    <n v="0"/>
    <m/>
    <n v="0"/>
    <n v="25493988.499999996"/>
    <n v="0"/>
    <n v="5460"/>
    <m/>
    <n v="5601"/>
    <m/>
    <n v="6345"/>
    <m/>
    <n v="7074"/>
    <n v="28160542.500000004"/>
    <n v="7425"/>
    <n v="5460"/>
    <n v="5300"/>
    <n v="5601"/>
    <n v="7425"/>
    <n v="3851"/>
    <n v="2013"/>
    <n v="5460"/>
    <s v="2018 (triag)"/>
    <n v="7425"/>
    <n v="2022"/>
    <s v=""/>
    <n v="7425"/>
    <n v="7425"/>
    <s v="Increasing"/>
    <m/>
    <m/>
    <m/>
    <m/>
    <n v="1.7138965478069101"/>
    <n v="2.1416813614707642"/>
    <n v="2.6366679548165664"/>
    <n v="2.6366679548165664"/>
    <x v="1"/>
  </r>
  <r>
    <s v="Cote d'Ivoire"/>
    <x v="6"/>
    <n v="22010718.5"/>
    <x v="26"/>
    <n v="0"/>
    <n v="22469267.5"/>
    <n v="2627"/>
    <m/>
    <n v="0"/>
    <m/>
    <n v="0"/>
    <m/>
    <n v="0"/>
    <m/>
    <n v="0"/>
    <n v="25493988.499999996"/>
    <n v="0"/>
    <n v="5456"/>
    <m/>
    <n v="5601"/>
    <m/>
    <n v="6345"/>
    <m/>
    <n v="7074"/>
    <n v="28160542.500000004"/>
    <n v="7421"/>
    <n v="5456"/>
    <n v="2627"/>
    <n v="5601"/>
    <n v="7421"/>
    <n v="2627"/>
    <n v="2013"/>
    <n v="5456"/>
    <s v="2018 (triag)"/>
    <n v="7421"/>
    <n v="2022"/>
    <s v=""/>
    <n v="7421"/>
    <n v="7421"/>
    <s v="Increasing"/>
    <m/>
    <m/>
    <m/>
    <m/>
    <n v="1.1691524879482609"/>
    <n v="2.1401123641363533"/>
    <n v="2.6352475276355203"/>
    <n v="2.6352475276355203"/>
    <x v="1"/>
  </r>
  <r>
    <s v="Cote d'Ivoire"/>
    <x v="6"/>
    <n v="22010719.5"/>
    <x v="27"/>
    <n v="0"/>
    <n v="22469267.5"/>
    <n v="1224"/>
    <m/>
    <n v="0"/>
    <m/>
    <n v="0"/>
    <m/>
    <n v="0"/>
    <m/>
    <n v="0"/>
    <n v="25493988.499999996"/>
    <n v="0"/>
    <n v="4"/>
    <m/>
    <n v="0"/>
    <m/>
    <n v="0"/>
    <m/>
    <n v="0"/>
    <n v="28160542.500000004"/>
    <n v="4"/>
    <n v="4"/>
    <n v="1224"/>
    <n v="0"/>
    <n v="4"/>
    <n v="1224"/>
    <n v="2013"/>
    <n v="4"/>
    <s v="2018 (triag)"/>
    <n v="4"/>
    <n v="2022"/>
    <s v=""/>
    <n v="4"/>
    <n v="4"/>
    <s v="No change"/>
    <m/>
    <m/>
    <m/>
    <m/>
    <n v="0.54474405985864915"/>
    <n v="1.5689973344108162E-3"/>
    <n v="1.4204271810459616E-3"/>
    <n v="1.4204271810459616E-3"/>
    <x v="1"/>
  </r>
  <r>
    <s v="Cote d'Ivoire"/>
    <x v="6"/>
    <n v="22010720.5"/>
    <x v="28"/>
    <n v="0"/>
    <n v="22469267.5"/>
    <n v="0"/>
    <m/>
    <n v="2430"/>
    <m/>
    <n v="0"/>
    <m/>
    <n v="0"/>
    <m/>
    <n v="0"/>
    <n v="25493988.499999996"/>
    <n v="2495"/>
    <n v="2495"/>
    <m/>
    <n v="944"/>
    <m/>
    <n v="1029"/>
    <m/>
    <n v="1117"/>
    <n v="28160542.500000004"/>
    <n v="1162"/>
    <n v="2278"/>
    <n v="2430"/>
    <n v="2495"/>
    <n v="1162"/>
    <n v="2430"/>
    <n v="2014"/>
    <n v="2495"/>
    <n v="2018"/>
    <n v="1162"/>
    <n v="2022"/>
    <s v="Adjust"/>
    <n v="1491.4027181313502"/>
    <n v="2495"/>
    <s v="Decreasing"/>
    <m/>
    <m/>
    <m/>
    <m/>
    <n v="1.0814771776605534"/>
    <n v="0.97866208733874671"/>
    <n v="0.52960723967989964"/>
    <n v="0.88599145417741854"/>
    <x v="0"/>
  </r>
  <r>
    <s v="Cote d'Ivoire"/>
    <x v="6"/>
    <n v="22010721.5"/>
    <x v="29"/>
    <n v="0"/>
    <n v="22469267.5"/>
    <n v="0"/>
    <m/>
    <n v="2310"/>
    <m/>
    <n v="0"/>
    <m/>
    <n v="0"/>
    <m/>
    <n v="0"/>
    <n v="25493988.499999996"/>
    <n v="0"/>
    <n v="217"/>
    <m/>
    <n v="0"/>
    <m/>
    <n v="0"/>
    <m/>
    <n v="215"/>
    <n v="28160542.500000004"/>
    <n v="200"/>
    <n v="217"/>
    <n v="2310"/>
    <n v="0"/>
    <n v="215"/>
    <n v="2310"/>
    <n v="2014"/>
    <n v="217"/>
    <s v="2018 (triag)"/>
    <n v="200"/>
    <n v="2022"/>
    <s v="Adjust"/>
    <n v="256.69582067665237"/>
    <n v="256.69582067665237"/>
    <s v="Increasing"/>
    <m/>
    <m/>
    <m/>
    <m/>
    <n v="1.0280708972822545"/>
    <n v="8.5118105391786783E-2"/>
    <n v="9.1154430237504247E-2"/>
    <n v="9.1154430237504247E-2"/>
    <x v="1"/>
  </r>
  <r>
    <s v="Cote d'Ivoire"/>
    <x v="6"/>
    <n v="22010722.5"/>
    <x v="30"/>
    <n v="0"/>
    <n v="22469267.5"/>
    <n v="0"/>
    <m/>
    <n v="490"/>
    <m/>
    <n v="0"/>
    <m/>
    <n v="0"/>
    <m/>
    <n v="0"/>
    <n v="25493988.499999996"/>
    <n v="506"/>
    <n v="506"/>
    <m/>
    <n v="373"/>
    <m/>
    <n v="397"/>
    <m/>
    <n v="416"/>
    <n v="28160542.500000004"/>
    <n v="418"/>
    <n v="506"/>
    <n v="490"/>
    <n v="506"/>
    <n v="418"/>
    <n v="490"/>
    <n v="2014"/>
    <n v="506"/>
    <n v="2018"/>
    <n v="418"/>
    <n v="2022"/>
    <s v="Adjust"/>
    <n v="536.49426521420344"/>
    <n v="536.49426521420344"/>
    <s v="Increasing"/>
    <m/>
    <m/>
    <m/>
    <m/>
    <n v="0.218075644878054"/>
    <n v="0.19847816280296826"/>
    <n v="0.19051275919638386"/>
    <n v="0.19051275919638386"/>
    <x v="1"/>
  </r>
  <r>
    <s v="Cote d'Ivoire"/>
    <x v="6"/>
    <n v="22010723.5"/>
    <x v="31"/>
    <n v="0"/>
    <n v="22469267.5"/>
    <n v="0"/>
    <m/>
    <n v="120"/>
    <m/>
    <n v="0"/>
    <m/>
    <n v="0"/>
    <m/>
    <n v="0"/>
    <n v="25493988.499999996"/>
    <n v="0"/>
    <n v="0"/>
    <m/>
    <n v="0"/>
    <m/>
    <n v="0"/>
    <m/>
    <n v="0"/>
    <n v="28160542.500000004"/>
    <n v="28"/>
    <n v="0"/>
    <n v="120"/>
    <n v="0"/>
    <n v="28"/>
    <n v="120"/>
    <n v="2014"/>
    <n v="0"/>
    <s v=""/>
    <n v="28"/>
    <n v="2022"/>
    <s v=""/>
    <n v="28"/>
    <n v="28"/>
    <s v="Increasing"/>
    <m/>
    <m/>
    <m/>
    <m/>
    <n v="5.3406280378298934E-2"/>
    <n v="0"/>
    <n v="9.9429902673217312E-3"/>
    <n v="9.9429902673217312E-3"/>
    <x v="1"/>
  </r>
  <r>
    <s v="Cote d'Ivoire"/>
    <x v="6"/>
    <n v="22010724.5"/>
    <x v="32"/>
    <n v="0"/>
    <n v="22469267.5"/>
    <n v="0"/>
    <m/>
    <n v="0"/>
    <m/>
    <n v="0"/>
    <m/>
    <n v="0"/>
    <m/>
    <n v="0"/>
    <n v="25493988.499999996"/>
    <n v="0"/>
    <n v="0"/>
    <m/>
    <n v="0"/>
    <m/>
    <n v="0"/>
    <m/>
    <n v="0"/>
    <n v="28160542.500000004"/>
    <n v="0"/>
    <n v="0"/>
    <n v="0"/>
    <n v="0"/>
    <n v="0"/>
    <n v="0"/>
    <s v=""/>
    <n v="0"/>
    <s v=""/>
    <n v="0"/>
    <s v=""/>
    <s v=""/>
    <n v="0"/>
    <n v="0"/>
    <s v="No change"/>
    <m/>
    <m/>
    <m/>
    <m/>
    <n v="0"/>
    <n v="0"/>
    <n v="0"/>
    <n v="0"/>
    <x v="1"/>
  </r>
  <r>
    <s v="Cameroon"/>
    <x v="7"/>
    <n v="21032684.000000004"/>
    <x v="19"/>
    <n v="0"/>
    <n v="21632850.000000004"/>
    <n v="1842"/>
    <n v="22299584.999999989"/>
    <n v="0"/>
    <n v="23012646.5"/>
    <n v="0"/>
    <n v="23711630.000000004"/>
    <n v="0"/>
    <n v="24393181.5"/>
    <n v="0"/>
    <n v="25076746.500000015"/>
    <n v="3259"/>
    <n v="3259"/>
    <n v="25782340.999999996"/>
    <n v="0"/>
    <n v="26491086.500000011"/>
    <n v="2562"/>
    <n v="27198627.999999985"/>
    <n v="3378"/>
    <n v="27914536.499999989"/>
    <n v="3759"/>
    <n v="3259"/>
    <n v="1842"/>
    <n v="3259"/>
    <n v="3759"/>
    <n v="1842"/>
    <n v="2013"/>
    <n v="3259"/>
    <n v="2018"/>
    <n v="3759"/>
    <n v="2022"/>
    <s v=""/>
    <n v="3759"/>
    <n v="3759"/>
    <s v="Increasing"/>
    <m/>
    <m/>
    <m/>
    <m/>
    <n v="0.85148281433098261"/>
    <n v="1.2996103780847321"/>
    <n v="1.3466102150755759"/>
    <n v="1.3466102150755759"/>
    <x v="1"/>
  </r>
  <r>
    <s v="Cameroon"/>
    <x v="7"/>
    <n v="21032685"/>
    <x v="20"/>
    <n v="0"/>
    <n v="21632850.000000004"/>
    <n v="0"/>
    <m/>
    <n v="0"/>
    <m/>
    <n v="0"/>
    <m/>
    <n v="0"/>
    <m/>
    <n v="0"/>
    <n v="25076746.500000015"/>
    <n v="2400"/>
    <n v="2400"/>
    <m/>
    <n v="0"/>
    <m/>
    <n v="1643"/>
    <m/>
    <n v="2477"/>
    <n v="27914536.499999989"/>
    <n v="2467"/>
    <n v="2400"/>
    <n v="0"/>
    <n v="2400"/>
    <n v="2477"/>
    <n v="0"/>
    <s v=""/>
    <n v="2400"/>
    <n v="2018"/>
    <n v="2467"/>
    <n v="2022"/>
    <s v=""/>
    <n v="2467"/>
    <n v="2467"/>
    <s v="Increasing"/>
    <m/>
    <m/>
    <m/>
    <m/>
    <n v="0"/>
    <n v="0.95706195379053605"/>
    <n v="0.88376892806369933"/>
    <n v="0.88376892806369933"/>
    <x v="1"/>
  </r>
  <r>
    <s v="Cameroon"/>
    <x v="7"/>
    <n v="21032686"/>
    <x v="21"/>
    <n v="0"/>
    <n v="21632850.000000004"/>
    <n v="0"/>
    <m/>
    <n v="0"/>
    <m/>
    <n v="0"/>
    <m/>
    <n v="0"/>
    <m/>
    <n v="0"/>
    <n v="25076746.500000015"/>
    <n v="859"/>
    <n v="859"/>
    <m/>
    <n v="0"/>
    <m/>
    <n v="919"/>
    <m/>
    <n v="897"/>
    <n v="27914536.499999989"/>
    <n v="1289"/>
    <n v="859"/>
    <n v="0"/>
    <n v="859"/>
    <n v="1289"/>
    <n v="0"/>
    <s v=""/>
    <n v="859"/>
    <n v="2018"/>
    <n v="1289"/>
    <n v="2022"/>
    <s v=""/>
    <n v="1289"/>
    <n v="1289"/>
    <s v="Increasing"/>
    <m/>
    <m/>
    <m/>
    <m/>
    <n v="0"/>
    <n v="0.34254842429419602"/>
    <n v="0.461766578141106"/>
    <n v="0.461766578141106"/>
    <x v="1"/>
  </r>
  <r>
    <s v="Cameroon"/>
    <x v="7"/>
    <n v="21032687"/>
    <x v="22"/>
    <n v="0"/>
    <n v="21632850.000000004"/>
    <n v="18954"/>
    <m/>
    <n v="0"/>
    <m/>
    <n v="0"/>
    <m/>
    <n v="0"/>
    <m/>
    <n v="0"/>
    <n v="25076746.500000015"/>
    <n v="9156"/>
    <n v="9925"/>
    <m/>
    <n v="0"/>
    <m/>
    <n v="11478"/>
    <m/>
    <n v="4543"/>
    <n v="27914536.499999989"/>
    <n v="16473"/>
    <n v="9925"/>
    <n v="18954"/>
    <n v="9156"/>
    <n v="16473"/>
    <n v="18954"/>
    <n v="2013"/>
    <n v="9925"/>
    <s v="2018 (triag)"/>
    <n v="16473"/>
    <n v="2022"/>
    <s v=""/>
    <n v="16473"/>
    <n v="16473"/>
    <s v="Increasing"/>
    <m/>
    <m/>
    <m/>
    <m/>
    <n v="8.7616749526761364"/>
    <n v="3.957849954737946"/>
    <n v="5.9012264094014268"/>
    <n v="5.9012264094014268"/>
    <x v="1"/>
  </r>
  <r>
    <s v="Cameroon"/>
    <x v="7"/>
    <n v="21032688"/>
    <x v="23"/>
    <n v="0"/>
    <n v="21632850.000000004"/>
    <n v="0"/>
    <m/>
    <n v="0"/>
    <m/>
    <n v="0"/>
    <m/>
    <n v="0"/>
    <m/>
    <n v="0"/>
    <n v="25076746.500000015"/>
    <n v="0"/>
    <n v="9925"/>
    <m/>
    <n v="0"/>
    <m/>
    <n v="8841"/>
    <m/>
    <n v="3519"/>
    <n v="27914536.499999989"/>
    <n v="11485"/>
    <n v="9925"/>
    <n v="0"/>
    <n v="0"/>
    <n v="11485"/>
    <n v="0"/>
    <s v=""/>
    <n v="9925"/>
    <s v="2018 (triag)"/>
    <n v="11485"/>
    <n v="2022"/>
    <s v=""/>
    <n v="11485"/>
    <n v="11485"/>
    <s v="Increasing"/>
    <m/>
    <m/>
    <m/>
    <m/>
    <n v="0"/>
    <n v="3.957849954737946"/>
    <n v="4.114343793600157"/>
    <n v="4.114343793600157"/>
    <x v="1"/>
  </r>
  <r>
    <s v="Cameroon"/>
    <x v="7"/>
    <n v="21032689"/>
    <x v="24"/>
    <n v="0"/>
    <n v="21632850.000000004"/>
    <n v="0"/>
    <m/>
    <n v="0"/>
    <m/>
    <n v="0"/>
    <m/>
    <n v="0"/>
    <m/>
    <n v="0"/>
    <n v="25076746.500000015"/>
    <n v="0"/>
    <n v="0"/>
    <m/>
    <n v="0"/>
    <m/>
    <n v="1202"/>
    <m/>
    <n v="43"/>
    <n v="27914536.499999989"/>
    <n v="4925"/>
    <n v="0"/>
    <n v="0"/>
    <n v="0"/>
    <n v="4925"/>
    <n v="0"/>
    <s v=""/>
    <n v="0"/>
    <s v=""/>
    <n v="4925"/>
    <n v="2022"/>
    <s v=""/>
    <n v="4925"/>
    <n v="4925"/>
    <s v="Increasing"/>
    <m/>
    <m/>
    <m/>
    <m/>
    <n v="0"/>
    <n v="0"/>
    <n v="1.7643137295150868"/>
    <n v="1.7643137295150868"/>
    <x v="1"/>
  </r>
  <r>
    <s v="Cameroon"/>
    <x v="7"/>
    <n v="21032690"/>
    <x v="25"/>
    <n v="0"/>
    <n v="21632850.000000004"/>
    <n v="127"/>
    <m/>
    <n v="0"/>
    <m/>
    <n v="0"/>
    <m/>
    <n v="0"/>
    <m/>
    <n v="0"/>
    <n v="25076746.500000015"/>
    <n v="0"/>
    <n v="690"/>
    <m/>
    <n v="0"/>
    <m/>
    <n v="1258"/>
    <m/>
    <n v="704"/>
    <n v="27914536.499999989"/>
    <n v="1674"/>
    <n v="690"/>
    <n v="127"/>
    <n v="0"/>
    <n v="1674"/>
    <n v="127"/>
    <n v="2013"/>
    <n v="690"/>
    <s v="2018 (triag)"/>
    <n v="1674"/>
    <n v="2022"/>
    <s v=""/>
    <n v="1674"/>
    <n v="1674"/>
    <s v="Increasing"/>
    <m/>
    <m/>
    <m/>
    <m/>
    <n v="5.870701271445971E-2"/>
    <n v="0.27515531171477908"/>
    <n v="0.59968754989000106"/>
    <n v="0.59968754989000106"/>
    <x v="1"/>
  </r>
  <r>
    <s v="Cameroon"/>
    <x v="7"/>
    <n v="21032691"/>
    <x v="26"/>
    <n v="0"/>
    <n v="21632850.000000004"/>
    <n v="127"/>
    <m/>
    <n v="0"/>
    <m/>
    <n v="0"/>
    <m/>
    <n v="0"/>
    <m/>
    <n v="0"/>
    <n v="25076746.500000015"/>
    <n v="0"/>
    <n v="690"/>
    <m/>
    <n v="0"/>
    <m/>
    <n v="998"/>
    <m/>
    <n v="704"/>
    <n v="27914536.499999989"/>
    <n v="1578"/>
    <n v="690"/>
    <n v="127"/>
    <n v="0"/>
    <n v="1578"/>
    <n v="127"/>
    <n v="2013"/>
    <n v="690"/>
    <s v="2018 (triag)"/>
    <n v="1578"/>
    <n v="2022"/>
    <s v=""/>
    <n v="1578"/>
    <n v="1578"/>
    <s v="Increasing"/>
    <m/>
    <m/>
    <m/>
    <m/>
    <n v="5.870701271445971E-2"/>
    <n v="0.27515531171477908"/>
    <n v="0.56529686602534157"/>
    <n v="0.56529686602534157"/>
    <x v="1"/>
  </r>
  <r>
    <s v="Cameroon"/>
    <x v="7"/>
    <n v="21032692"/>
    <x v="27"/>
    <n v="0"/>
    <n v="21632850.000000004"/>
    <n v="0"/>
    <m/>
    <n v="0"/>
    <m/>
    <n v="0"/>
    <m/>
    <n v="0"/>
    <m/>
    <n v="0"/>
    <n v="25076746.500000015"/>
    <n v="0"/>
    <n v="0"/>
    <m/>
    <n v="0"/>
    <m/>
    <n v="239"/>
    <m/>
    <n v="0"/>
    <n v="27914536.499999989"/>
    <n v="77"/>
    <n v="0"/>
    <n v="0"/>
    <n v="0"/>
    <n v="239"/>
    <n v="0"/>
    <s v=""/>
    <n v="0"/>
    <s v=""/>
    <n v="77"/>
    <n v="2022"/>
    <s v=""/>
    <n v="77"/>
    <n v="77"/>
    <s v="Increasing"/>
    <m/>
    <m/>
    <m/>
    <m/>
    <n v="0"/>
    <n v="0"/>
    <n v="2.7584194349779025E-2"/>
    <n v="2.7584194349779025E-2"/>
    <x v="1"/>
  </r>
  <r>
    <s v="Cameroon"/>
    <x v="7"/>
    <n v="21032693"/>
    <x v="28"/>
    <n v="0"/>
    <n v="21632850.000000004"/>
    <n v="0"/>
    <m/>
    <n v="0"/>
    <m/>
    <n v="0"/>
    <m/>
    <n v="199"/>
    <m/>
    <n v="0"/>
    <n v="25076746.500000015"/>
    <n v="14"/>
    <n v="350"/>
    <m/>
    <n v="0"/>
    <m/>
    <n v="337"/>
    <m/>
    <n v="264"/>
    <n v="27914536.499999989"/>
    <n v="602"/>
    <n v="350"/>
    <n v="0"/>
    <n v="199"/>
    <n v="602"/>
    <n v="162"/>
    <n v="2013"/>
    <n v="350"/>
    <s v="2018 (triag)"/>
    <n v="602"/>
    <n v="2022"/>
    <s v=""/>
    <n v="602"/>
    <n v="602"/>
    <s v="Increasing"/>
    <m/>
    <m/>
    <m/>
    <m/>
    <n v="7.4886110706633646E-2"/>
    <n v="0.13957153492778651"/>
    <n v="0.21565824673463599"/>
    <n v="0.21565824673463599"/>
    <x v="1"/>
  </r>
  <r>
    <s v="Cameroon"/>
    <x v="7"/>
    <n v="21032694"/>
    <x v="29"/>
    <n v="0"/>
    <n v="21632850.000000004"/>
    <n v="0"/>
    <m/>
    <n v="0"/>
    <m/>
    <n v="0"/>
    <m/>
    <n v="0"/>
    <m/>
    <n v="0"/>
    <n v="25076746.500000015"/>
    <n v="0"/>
    <n v="0"/>
    <m/>
    <n v="0"/>
    <m/>
    <n v="54"/>
    <m/>
    <n v="324"/>
    <n v="27914536.499999989"/>
    <n v="369"/>
    <n v="0"/>
    <n v="0"/>
    <n v="0"/>
    <n v="369"/>
    <n v="1178"/>
    <n v="2013"/>
    <n v="0"/>
    <s v=""/>
    <n v="369"/>
    <n v="2022"/>
    <s v=""/>
    <n v="369"/>
    <n v="369"/>
    <s v="Increasing"/>
    <m/>
    <m/>
    <m/>
    <m/>
    <n v="0.54454221242231138"/>
    <n v="0"/>
    <n v="0.13218919110478519"/>
    <n v="0.13218919110478519"/>
    <x v="1"/>
  </r>
  <r>
    <s v="Cameroon"/>
    <x v="7"/>
    <n v="21032695"/>
    <x v="30"/>
    <n v="0"/>
    <n v="21632850.000000004"/>
    <n v="0"/>
    <m/>
    <n v="0"/>
    <m/>
    <n v="0"/>
    <m/>
    <n v="88"/>
    <m/>
    <n v="0"/>
    <n v="25076746.500000015"/>
    <n v="0"/>
    <n v="308"/>
    <m/>
    <n v="300"/>
    <m/>
    <n v="179"/>
    <m/>
    <n v="133"/>
    <n v="27914536.499999989"/>
    <n v="317"/>
    <n v="308"/>
    <n v="0"/>
    <n v="300"/>
    <n v="317"/>
    <n v="58"/>
    <n v="2013"/>
    <n v="308"/>
    <s v="2018 (triag)"/>
    <n v="317"/>
    <n v="2022"/>
    <s v=""/>
    <n v="317"/>
    <n v="317"/>
    <s v="Increasing"/>
    <m/>
    <m/>
    <m/>
    <m/>
    <n v="2.681107667274538E-2"/>
    <n v="0.12282295073645212"/>
    <n v="0.11356090401142793"/>
    <n v="0.11356090401142793"/>
    <x v="1"/>
  </r>
  <r>
    <s v="Cameroon"/>
    <x v="7"/>
    <n v="21032696"/>
    <x v="31"/>
    <n v="0"/>
    <n v="21632850.000000004"/>
    <n v="0"/>
    <m/>
    <n v="0"/>
    <m/>
    <n v="0"/>
    <m/>
    <n v="0"/>
    <m/>
    <n v="0"/>
    <n v="25076746.500000015"/>
    <n v="0"/>
    <n v="0"/>
    <m/>
    <n v="0"/>
    <m/>
    <n v="45"/>
    <m/>
    <n v="97"/>
    <n v="27914536.499999989"/>
    <n v="88"/>
    <n v="0"/>
    <n v="0"/>
    <n v="0"/>
    <n v="97"/>
    <n v="0"/>
    <s v=""/>
    <n v="0"/>
    <s v=""/>
    <n v="88"/>
    <n v="2022"/>
    <s v=""/>
    <n v="88"/>
    <n v="88"/>
    <s v="Increasing"/>
    <m/>
    <m/>
    <m/>
    <m/>
    <n v="0"/>
    <n v="0"/>
    <n v="3.1524793542604596E-2"/>
    <n v="3.1524793542604596E-2"/>
    <x v="1"/>
  </r>
  <r>
    <s v="Cameroon"/>
    <x v="7"/>
    <n v="21032697"/>
    <x v="32"/>
    <n v="0"/>
    <n v="21632850.000000004"/>
    <n v="0"/>
    <m/>
    <n v="0"/>
    <m/>
    <n v="0"/>
    <m/>
    <n v="0"/>
    <m/>
    <n v="0"/>
    <n v="25076746.500000015"/>
    <n v="0"/>
    <n v="0"/>
    <m/>
    <n v="0"/>
    <m/>
    <n v="6"/>
    <m/>
    <n v="44"/>
    <n v="27914536.499999989"/>
    <n v="32"/>
    <n v="0"/>
    <n v="0"/>
    <n v="0"/>
    <n v="44"/>
    <n v="0"/>
    <s v=""/>
    <n v="0"/>
    <s v=""/>
    <n v="32"/>
    <n v="2022"/>
    <s v=""/>
    <n v="32"/>
    <n v="32"/>
    <s v="Increasing"/>
    <m/>
    <m/>
    <m/>
    <m/>
    <n v="0"/>
    <n v="0"/>
    <n v="1.1463561288219853E-2"/>
    <n v="1.1463561288219853E-2"/>
    <x v="1"/>
  </r>
  <r>
    <s v="DRC"/>
    <x v="8"/>
    <n v="70997869.50000006"/>
    <x v="19"/>
    <n v="0"/>
    <n v="73460021"/>
    <n v="6418"/>
    <n v="76035588.49999994"/>
    <n v="0"/>
    <n v="78656903.50000006"/>
    <n v="0"/>
    <n v="81430976.499999985"/>
    <n v="0"/>
    <n v="84283273.000000045"/>
    <n v="0"/>
    <n v="87087354.999999985"/>
    <n v="0"/>
    <n v="31546"/>
    <n v="89906890.500000015"/>
    <n v="15016"/>
    <n v="92853164.500000015"/>
    <n v="0"/>
    <n v="95894118.499999985"/>
    <n v="16989"/>
    <n v="99010212"/>
    <n v="18493"/>
    <n v="31546"/>
    <n v="6418"/>
    <n v="15016"/>
    <n v="18493"/>
    <n v="6418"/>
    <n v="2013"/>
    <n v="31546"/>
    <s v="2018 (triag)"/>
    <n v="18493"/>
    <n v="2022"/>
    <s v="Adjust"/>
    <n v="21289.958719118578"/>
    <n v="31546"/>
    <s v="Decreasing"/>
    <m/>
    <m/>
    <m/>
    <m/>
    <n v="0.87367249731660168"/>
    <n v="3.6223398907912641"/>
    <n v="2.1502790761743422"/>
    <n v="3.186135991709623"/>
    <x v="0"/>
  </r>
  <r>
    <s v="DRC"/>
    <x v="8"/>
    <n v="70997870.500000104"/>
    <x v="20"/>
    <n v="0"/>
    <n v="73460021"/>
    <n v="0"/>
    <m/>
    <n v="0"/>
    <m/>
    <n v="0"/>
    <m/>
    <n v="0"/>
    <m/>
    <n v="0"/>
    <n v="87087354.999999985"/>
    <n v="0"/>
    <n v="30768"/>
    <m/>
    <n v="15016"/>
    <m/>
    <n v="0"/>
    <m/>
    <n v="16989"/>
    <n v="99010212"/>
    <n v="18493"/>
    <n v="30768"/>
    <n v="0"/>
    <n v="15016"/>
    <n v="18493"/>
    <n v="0"/>
    <s v=""/>
    <n v="30768"/>
    <s v="2018 (triag)"/>
    <n v="18493"/>
    <n v="2022"/>
    <s v="Adjust"/>
    <n v="21289.958719118578"/>
    <n v="30768"/>
    <s v="Decreasing"/>
    <m/>
    <m/>
    <m/>
    <m/>
    <n v="0"/>
    <n v="3.5330043035524508"/>
    <n v="2.1502790761743422"/>
    <n v="3.1075582385380609"/>
    <x v="1"/>
  </r>
  <r>
    <s v="DRC"/>
    <x v="8"/>
    <n v="70997871.500000104"/>
    <x v="21"/>
    <n v="0"/>
    <n v="73460021"/>
    <n v="0"/>
    <m/>
    <n v="0"/>
    <m/>
    <n v="0"/>
    <m/>
    <n v="0"/>
    <m/>
    <n v="0"/>
    <n v="87087354.999999985"/>
    <n v="0"/>
    <n v="778"/>
    <m/>
    <n v="0"/>
    <m/>
    <n v="0"/>
    <m/>
    <n v="0"/>
    <n v="99010212"/>
    <n v="0"/>
    <n v="778"/>
    <n v="0"/>
    <n v="0"/>
    <n v="0"/>
    <n v="0"/>
    <s v=""/>
    <n v="778"/>
    <s v="2018 (triag)"/>
    <n v="778"/>
    <s v="2018 (triag)"/>
    <s v=""/>
    <n v="778"/>
    <n v="778"/>
    <s v="No change"/>
    <m/>
    <m/>
    <m/>
    <m/>
    <n v="0"/>
    <n v="8.9335587238813269E-2"/>
    <n v="7.8577753171561737E-2"/>
    <n v="7.8577753171561737E-2"/>
    <x v="1"/>
  </r>
  <r>
    <s v="DRC"/>
    <x v="8"/>
    <n v="70997872.500000104"/>
    <x v="22"/>
    <n v="0"/>
    <n v="73460021"/>
    <n v="59813"/>
    <m/>
    <n v="0"/>
    <m/>
    <n v="72270"/>
    <m/>
    <n v="44897"/>
    <m/>
    <n v="73046"/>
    <n v="87087354.999999985"/>
    <n v="93326"/>
    <n v="103785"/>
    <m/>
    <n v="93964"/>
    <m/>
    <n v="0"/>
    <m/>
    <n v="101752"/>
    <n v="99010212"/>
    <n v="115316"/>
    <n v="103785"/>
    <n v="72270"/>
    <n v="93964"/>
    <n v="115316"/>
    <n v="59813"/>
    <n v="2013"/>
    <n v="103785"/>
    <s v="2018 (triag)"/>
    <n v="115316"/>
    <n v="2022"/>
    <s v=""/>
    <n v="115316"/>
    <n v="115316"/>
    <s v="Increasing"/>
    <m/>
    <m/>
    <m/>
    <m/>
    <n v="8.1422519604234793"/>
    <n v="11.917344372211099"/>
    <n v="11.646879414822383"/>
    <n v="11.646879414822383"/>
    <x v="1"/>
  </r>
  <r>
    <s v="DRC"/>
    <x v="8"/>
    <n v="70997873.500000104"/>
    <x v="23"/>
    <n v="0"/>
    <n v="73460021"/>
    <n v="0"/>
    <m/>
    <n v="0"/>
    <m/>
    <n v="27373"/>
    <m/>
    <n v="0"/>
    <m/>
    <n v="29514"/>
    <n v="87087354.999999985"/>
    <n v="36980"/>
    <n v="51019"/>
    <m/>
    <n v="93964"/>
    <m/>
    <n v="0"/>
    <m/>
    <n v="101752"/>
    <n v="99010212"/>
    <n v="115316"/>
    <n v="51019"/>
    <n v="27373"/>
    <n v="93964"/>
    <n v="115316"/>
    <n v="27373"/>
    <n v="2015"/>
    <n v="51019"/>
    <s v="2018 (triag)"/>
    <n v="115316"/>
    <n v="2022"/>
    <s v=""/>
    <n v="115316"/>
    <n v="115316"/>
    <s v="Increasing"/>
    <m/>
    <m/>
    <m/>
    <m/>
    <n v="3.7262445106025766"/>
    <n v="5.8583705981195555"/>
    <n v="11.646879414822383"/>
    <n v="11.646879414822383"/>
    <x v="1"/>
  </r>
  <r>
    <s v="DRC"/>
    <x v="8"/>
    <n v="70997874.500000104"/>
    <x v="24"/>
    <n v="0"/>
    <n v="73460021"/>
    <n v="0"/>
    <m/>
    <n v="0"/>
    <m/>
    <n v="17611"/>
    <m/>
    <n v="0"/>
    <m/>
    <n v="14251"/>
    <n v="87087354.999999985"/>
    <n v="14398"/>
    <n v="52766"/>
    <m/>
    <n v="0"/>
    <m/>
    <n v="0"/>
    <m/>
    <n v="0"/>
    <n v="99010212"/>
    <n v="0"/>
    <n v="52766"/>
    <n v="17611"/>
    <n v="14398"/>
    <n v="0"/>
    <n v="17611"/>
    <n v="2015"/>
    <n v="52766"/>
    <s v="2018 (triag)"/>
    <n v="52766"/>
    <s v="2018 (triag)"/>
    <s v=""/>
    <n v="52766"/>
    <n v="52766"/>
    <s v="No change"/>
    <m/>
    <m/>
    <m/>
    <m/>
    <n v="2.3973584216644861"/>
    <n v="6.0589737740915437"/>
    <n v="5.3293492594481062"/>
    <n v="5.3293492594481062"/>
    <x v="1"/>
  </r>
  <r>
    <s v="DRC"/>
    <x v="8"/>
    <n v="70997875.500000104"/>
    <x v="25"/>
    <n v="0"/>
    <n v="73460021"/>
    <n v="1555"/>
    <m/>
    <n v="0"/>
    <m/>
    <n v="0"/>
    <m/>
    <n v="1793"/>
    <m/>
    <n v="0"/>
    <n v="87087354.999999985"/>
    <n v="0"/>
    <n v="3642"/>
    <m/>
    <n v="3149"/>
    <m/>
    <n v="0"/>
    <m/>
    <n v="2093"/>
    <n v="99010212"/>
    <n v="2640"/>
    <n v="3642"/>
    <n v="1555"/>
    <n v="3149"/>
    <n v="2640"/>
    <n v="1555"/>
    <n v="2013"/>
    <n v="3642"/>
    <s v="2018 (triag)"/>
    <n v="2640"/>
    <n v="2022"/>
    <s v="Adjust"/>
    <n v="3039.2846492442031"/>
    <n v="3642"/>
    <s v="Decreasing"/>
    <m/>
    <m/>
    <m/>
    <m/>
    <n v="0.21167976524264812"/>
    <n v="0.41820078242128272"/>
    <n v="0.30696678532959842"/>
    <n v="0.36784084453833915"/>
    <x v="1"/>
  </r>
  <r>
    <s v="DRC"/>
    <x v="8"/>
    <n v="70997876.500000104"/>
    <x v="26"/>
    <n v="0"/>
    <n v="73460021"/>
    <n v="0"/>
    <m/>
    <n v="0"/>
    <m/>
    <n v="0"/>
    <m/>
    <n v="40"/>
    <m/>
    <n v="0"/>
    <n v="87087354.999999985"/>
    <n v="0"/>
    <n v="1990"/>
    <m/>
    <n v="3149"/>
    <m/>
    <n v="0"/>
    <m/>
    <n v="2093"/>
    <n v="99010212"/>
    <n v="2640"/>
    <n v="1990"/>
    <n v="0"/>
    <n v="3149"/>
    <n v="2640"/>
    <n v="0"/>
    <s v=""/>
    <n v="1990"/>
    <s v="2018 (triag)"/>
    <n v="2640"/>
    <n v="2022"/>
    <s v=""/>
    <n v="2640"/>
    <n v="2640"/>
    <s v="Increasing"/>
    <m/>
    <m/>
    <m/>
    <m/>
    <n v="0"/>
    <n v="0.22850619357999796"/>
    <n v="0.26663916243306296"/>
    <n v="0.26663916243306296"/>
    <x v="1"/>
  </r>
  <r>
    <s v="DRC"/>
    <x v="8"/>
    <n v="70997877.500000104"/>
    <x v="27"/>
    <n v="0"/>
    <n v="73460021"/>
    <n v="1555"/>
    <m/>
    <n v="0"/>
    <m/>
    <n v="0"/>
    <m/>
    <n v="1753"/>
    <m/>
    <n v="0"/>
    <n v="87087354.999999985"/>
    <n v="0"/>
    <n v="1652"/>
    <m/>
    <n v="0"/>
    <m/>
    <n v="0"/>
    <m/>
    <n v="0"/>
    <n v="99010212"/>
    <n v="0"/>
    <n v="1652"/>
    <n v="1555"/>
    <n v="1753"/>
    <n v="0"/>
    <n v="1555"/>
    <n v="2013"/>
    <n v="1652"/>
    <s v="2018 (triag)"/>
    <n v="1652"/>
    <s v="2018 (triag)"/>
    <s v=""/>
    <n v="1652"/>
    <n v="1652"/>
    <s v="No change"/>
    <m/>
    <m/>
    <m/>
    <m/>
    <n v="0.21167976524264812"/>
    <n v="0.18969458884128473"/>
    <n v="0.16685147588614394"/>
    <n v="0.16685147588614394"/>
    <x v="1"/>
  </r>
  <r>
    <s v="DRC"/>
    <x v="8"/>
    <n v="70997878.500000104"/>
    <x v="28"/>
    <n v="0"/>
    <n v="73460021"/>
    <n v="283"/>
    <m/>
    <n v="0"/>
    <m/>
    <n v="0"/>
    <m/>
    <n v="404"/>
    <m/>
    <n v="0"/>
    <n v="87087354.999999985"/>
    <n v="1687"/>
    <n v="1687"/>
    <m/>
    <n v="584"/>
    <m/>
    <n v="0"/>
    <m/>
    <n v="682"/>
    <n v="99010212"/>
    <n v="806"/>
    <n v="1461"/>
    <n v="283"/>
    <n v="1687"/>
    <n v="806"/>
    <n v="283"/>
    <n v="2013"/>
    <n v="1687"/>
    <n v="2018"/>
    <n v="806"/>
    <n v="2022"/>
    <s v="Adjust"/>
    <n v="927.90281336773774"/>
    <n v="1687"/>
    <s v="Decreasing"/>
    <m/>
    <m/>
    <m/>
    <m/>
    <n v="3.8524355989498014E-2"/>
    <n v="0.19371354199470178"/>
    <n v="9.3717889763506174E-2"/>
    <n v="0.17038646478203684"/>
    <x v="0"/>
  </r>
  <r>
    <s v="DRC"/>
    <x v="8"/>
    <n v="70997879.500000104"/>
    <x v="29"/>
    <n v="0"/>
    <n v="73460021"/>
    <n v="0"/>
    <m/>
    <n v="0"/>
    <m/>
    <n v="0"/>
    <m/>
    <n v="0"/>
    <m/>
    <n v="0"/>
    <n v="87087354.999999985"/>
    <n v="0"/>
    <n v="226"/>
    <m/>
    <n v="188"/>
    <m/>
    <n v="0"/>
    <m/>
    <n v="313"/>
    <n v="99010212"/>
    <n v="378"/>
    <n v="226"/>
    <n v="0"/>
    <n v="188"/>
    <n v="378"/>
    <n v="0"/>
    <s v=""/>
    <n v="226"/>
    <s v="2018 (triag)"/>
    <n v="378"/>
    <n v="2022"/>
    <s v=""/>
    <n v="378"/>
    <n v="378"/>
    <s v="Increasing"/>
    <m/>
    <m/>
    <m/>
    <m/>
    <n v="0"/>
    <n v="2.5950954647778662E-2"/>
    <n v="3.8177880075643107E-2"/>
    <n v="3.8177880075643107E-2"/>
    <x v="1"/>
  </r>
  <r>
    <s v="DRC"/>
    <x v="8"/>
    <n v="70997880.500000104"/>
    <x v="30"/>
    <n v="0"/>
    <n v="73460021"/>
    <n v="0"/>
    <m/>
    <n v="0"/>
    <m/>
    <n v="0"/>
    <m/>
    <n v="147"/>
    <m/>
    <n v="0"/>
    <n v="87087354.999999985"/>
    <n v="404"/>
    <n v="404"/>
    <m/>
    <n v="422"/>
    <m/>
    <n v="0"/>
    <m/>
    <n v="268"/>
    <n v="99010212"/>
    <n v="392"/>
    <n v="404"/>
    <n v="0"/>
    <n v="422"/>
    <n v="392"/>
    <n v="0"/>
    <s v=""/>
    <n v="404"/>
    <n v="2018"/>
    <n v="392"/>
    <n v="2022"/>
    <s v="Adjust"/>
    <n v="451.28772064535138"/>
    <n v="451.28772064535138"/>
    <s v="Increasing"/>
    <m/>
    <m/>
    <m/>
    <m/>
    <n v="0"/>
    <n v="4.6390202113728227E-2"/>
    <n v="4.5579916609546439E-2"/>
    <n v="4.5579916609546439E-2"/>
    <x v="1"/>
  </r>
  <r>
    <s v="DRC"/>
    <x v="8"/>
    <n v="70997881.500000104"/>
    <x v="31"/>
    <n v="0"/>
    <n v="73460021"/>
    <n v="0"/>
    <m/>
    <n v="0"/>
    <m/>
    <n v="0"/>
    <m/>
    <n v="0"/>
    <m/>
    <n v="0"/>
    <n v="87087354.999999985"/>
    <n v="0"/>
    <n v="0"/>
    <m/>
    <n v="0"/>
    <m/>
    <n v="0"/>
    <m/>
    <n v="0"/>
    <n v="99010212"/>
    <n v="0"/>
    <n v="0"/>
    <n v="0"/>
    <n v="0"/>
    <n v="0"/>
    <n v="0"/>
    <s v=""/>
    <n v="0"/>
    <s v=""/>
    <n v="0"/>
    <s v=""/>
    <s v=""/>
    <n v="0"/>
    <n v="0"/>
    <s v="No change"/>
    <m/>
    <m/>
    <m/>
    <m/>
    <n v="0"/>
    <n v="0"/>
    <n v="0"/>
    <n v="0"/>
    <x v="1"/>
  </r>
  <r>
    <s v="DRC"/>
    <x v="8"/>
    <n v="70997882.500000104"/>
    <x v="32"/>
    <n v="0"/>
    <n v="73460021"/>
    <n v="0"/>
    <m/>
    <n v="0"/>
    <m/>
    <n v="0"/>
    <m/>
    <n v="0"/>
    <m/>
    <n v="0"/>
    <n v="87087354.999999985"/>
    <n v="0"/>
    <n v="0"/>
    <m/>
    <n v="0"/>
    <m/>
    <n v="0"/>
    <m/>
    <n v="0"/>
    <n v="99010212"/>
    <n v="0"/>
    <n v="0"/>
    <n v="0"/>
    <n v="0"/>
    <n v="0"/>
    <n v="0"/>
    <s v=""/>
    <n v="0"/>
    <s v=""/>
    <n v="0"/>
    <s v=""/>
    <s v=""/>
    <n v="0"/>
    <n v="0"/>
    <s v="No change"/>
    <m/>
    <m/>
    <m/>
    <m/>
    <n v="0"/>
    <n v="0"/>
    <n v="0"/>
    <n v="0"/>
    <x v="1"/>
  </r>
  <r>
    <s v="Congo"/>
    <x v="9"/>
    <n v="4713256.5000000028"/>
    <x v="19"/>
    <n v="0"/>
    <n v="4828066.5000000028"/>
    <n v="0"/>
    <n v="4944861.5000000019"/>
    <n v="0"/>
    <n v="5064386.0000000019"/>
    <n v="0"/>
    <n v="5186823.4999999981"/>
    <n v="530"/>
    <n v="5312339.5000000009"/>
    <n v="0"/>
    <n v="5441061.9999999972"/>
    <n v="544"/>
    <n v="544"/>
    <n v="5570732.4999999953"/>
    <n v="0"/>
    <n v="5702174"/>
    <n v="0"/>
    <n v="5835806.0000000009"/>
    <n v="0"/>
    <n v="5970424.0000000009"/>
    <n v="1042"/>
    <n v="544"/>
    <n v="0"/>
    <n v="544"/>
    <n v="1042"/>
    <n v="0"/>
    <s v=""/>
    <n v="544"/>
    <n v="2018"/>
    <n v="1042"/>
    <n v="2022"/>
    <s v=""/>
    <n v="1042"/>
    <n v="1042"/>
    <s v="Increasing"/>
    <m/>
    <m/>
    <m/>
    <m/>
    <n v="0"/>
    <n v="0.99980481751540462"/>
    <n v="1.7452696826892025"/>
    <n v="1.7452696826892025"/>
    <x v="1"/>
  </r>
  <r>
    <s v="Congo"/>
    <x v="9"/>
    <n v="4713257.5"/>
    <x v="20"/>
    <n v="0"/>
    <n v="4828066.5000000028"/>
    <n v="0"/>
    <m/>
    <n v="0"/>
    <m/>
    <n v="0"/>
    <m/>
    <n v="269"/>
    <m/>
    <n v="0"/>
    <n v="5441061.9999999972"/>
    <n v="269"/>
    <n v="269"/>
    <m/>
    <n v="0"/>
    <m/>
    <n v="0"/>
    <m/>
    <n v="0"/>
    <n v="5970424.0000000009"/>
    <n v="787"/>
    <n v="269"/>
    <n v="0"/>
    <n v="269"/>
    <n v="787"/>
    <n v="0"/>
    <s v=""/>
    <n v="269"/>
    <n v="2016"/>
    <n v="787"/>
    <n v="2022"/>
    <s v=""/>
    <n v="787"/>
    <n v="787"/>
    <s v="Increasing"/>
    <m/>
    <m/>
    <m/>
    <m/>
    <n v="0"/>
    <n v="0.49438877924934532"/>
    <n v="1.3181643380771615"/>
    <n v="1.3181643380771615"/>
    <x v="1"/>
  </r>
  <r>
    <s v="Congo"/>
    <x v="9"/>
    <n v="4713258.5"/>
    <x v="21"/>
    <n v="0"/>
    <n v="4828066.5000000028"/>
    <n v="0"/>
    <m/>
    <n v="0"/>
    <m/>
    <n v="0"/>
    <m/>
    <n v="261"/>
    <m/>
    <n v="0"/>
    <n v="5441061.9999999972"/>
    <n v="275"/>
    <n v="275"/>
    <m/>
    <n v="0"/>
    <m/>
    <n v="0"/>
    <m/>
    <n v="0"/>
    <n v="5970424.0000000009"/>
    <n v="255"/>
    <n v="275"/>
    <n v="0"/>
    <n v="275"/>
    <n v="255"/>
    <n v="0"/>
    <s v=""/>
    <n v="275"/>
    <n v="2018"/>
    <n v="255"/>
    <n v="2022"/>
    <s v="Adjust"/>
    <n v="293.07115430170586"/>
    <n v="293.07115430170586"/>
    <s v="Increasing"/>
    <m/>
    <m/>
    <m/>
    <m/>
    <n v="0"/>
    <n v="0.5054160382660593"/>
    <n v="0.49087159354462234"/>
    <n v="0.49087159354462234"/>
    <x v="1"/>
  </r>
  <r>
    <s v="Congo"/>
    <x v="9"/>
    <n v="4713259.5"/>
    <x v="22"/>
    <n v="0"/>
    <n v="4828066.5000000028"/>
    <n v="3289"/>
    <m/>
    <n v="3458"/>
    <m/>
    <n v="3852"/>
    <m/>
    <n v="3717"/>
    <m/>
    <n v="0"/>
    <n v="5441061.9999999972"/>
    <n v="5081"/>
    <n v="5081"/>
    <m/>
    <n v="0"/>
    <m/>
    <n v="0"/>
    <m/>
    <n v="0"/>
    <n v="5970424.0000000009"/>
    <n v="5573"/>
    <n v="4012"/>
    <n v="3852"/>
    <n v="5081"/>
    <n v="5573"/>
    <n v="3289"/>
    <n v="2013"/>
    <n v="5081"/>
    <n v="2018"/>
    <n v="5573"/>
    <n v="2022"/>
    <s v=""/>
    <n v="5573"/>
    <n v="5573"/>
    <s v="Increasing"/>
    <m/>
    <m/>
    <m/>
    <m/>
    <n v="6.8122508254598362"/>
    <n v="9.3382505106539906"/>
    <n v="9.3343454334231524"/>
    <n v="9.3343454334231524"/>
    <x v="1"/>
  </r>
  <r>
    <s v="Congo"/>
    <x v="9"/>
    <n v="4713260.5"/>
    <x v="23"/>
    <n v="0"/>
    <n v="4828066.5000000028"/>
    <n v="0"/>
    <m/>
    <n v="0"/>
    <m/>
    <n v="1934"/>
    <m/>
    <n v="1870"/>
    <m/>
    <n v="0"/>
    <n v="5441061.9999999972"/>
    <n v="0"/>
    <n v="2707"/>
    <m/>
    <n v="0"/>
    <m/>
    <n v="0"/>
    <m/>
    <n v="0"/>
    <n v="5970424.0000000009"/>
    <n v="5573"/>
    <n v="2707"/>
    <n v="1934"/>
    <n v="1870"/>
    <n v="5573"/>
    <n v="1934"/>
    <n v="2015"/>
    <n v="2707"/>
    <s v="2018 (triag)"/>
    <n v="5573"/>
    <n v="2022"/>
    <s v=""/>
    <n v="5573"/>
    <n v="5573"/>
    <s v="Increasing"/>
    <m/>
    <m/>
    <m/>
    <m/>
    <n v="4.0057443285008585"/>
    <n v="4.9751316930408098"/>
    <n v="9.3343454334231524"/>
    <n v="9.3343454334231524"/>
    <x v="1"/>
  </r>
  <r>
    <s v="Congo"/>
    <x v="9"/>
    <n v="4713261.5"/>
    <x v="24"/>
    <n v="0"/>
    <n v="4828066.5000000028"/>
    <n v="0"/>
    <m/>
    <n v="0"/>
    <m/>
    <n v="1918"/>
    <m/>
    <n v="1847"/>
    <m/>
    <n v="0"/>
    <n v="5441061.9999999972"/>
    <n v="0"/>
    <n v="1305"/>
    <m/>
    <n v="0"/>
    <m/>
    <n v="0"/>
    <m/>
    <n v="0"/>
    <n v="5970424.0000000009"/>
    <n v="0"/>
    <n v="1305"/>
    <n v="1918"/>
    <n v="1847"/>
    <n v="0"/>
    <n v="1918"/>
    <n v="2015"/>
    <n v="1305"/>
    <s v="2018 (triag)"/>
    <n v="1305"/>
    <s v="2018 (triag)"/>
    <s v=""/>
    <n v="1305"/>
    <n v="1305"/>
    <s v="No change"/>
    <m/>
    <m/>
    <m/>
    <m/>
    <n v="3.9726047683891657"/>
    <n v="2.3984288361352997"/>
    <n v="2.185774410661621"/>
    <n v="2.185774410661621"/>
    <x v="1"/>
  </r>
  <r>
    <s v="Congo"/>
    <x v="9"/>
    <n v="4713262.5"/>
    <x v="25"/>
    <n v="0"/>
    <n v="4828066.5000000028"/>
    <n v="1282"/>
    <m/>
    <n v="0"/>
    <m/>
    <n v="0"/>
    <m/>
    <n v="921"/>
    <m/>
    <n v="0"/>
    <n v="5441061.9999999972"/>
    <n v="0"/>
    <n v="1069"/>
    <m/>
    <n v="0"/>
    <m/>
    <n v="0"/>
    <m/>
    <n v="0"/>
    <n v="5970424.0000000009"/>
    <n v="907"/>
    <n v="1069"/>
    <n v="1282"/>
    <n v="921"/>
    <n v="907"/>
    <n v="1282"/>
    <n v="2013"/>
    <n v="1069"/>
    <s v="2018 (triag)"/>
    <n v="907"/>
    <n v="2022"/>
    <s v="Adjust"/>
    <n v="1042.4138703986166"/>
    <n v="1069"/>
    <s v="Decreasing"/>
    <m/>
    <m/>
    <m/>
    <m/>
    <n v="2.6553072539493798"/>
    <n v="1.9646899814778815"/>
    <n v="1.7459628837057743"/>
    <n v="1.7904926015304772"/>
    <x v="1"/>
  </r>
  <r>
    <s v="Congo"/>
    <x v="9"/>
    <n v="4713263.5"/>
    <x v="26"/>
    <n v="0"/>
    <n v="4828066.5000000028"/>
    <n v="1215"/>
    <m/>
    <n v="0"/>
    <m/>
    <n v="0"/>
    <m/>
    <n v="0"/>
    <m/>
    <n v="0"/>
    <n v="5441061.9999999972"/>
    <n v="0"/>
    <n v="921"/>
    <m/>
    <n v="0"/>
    <m/>
    <n v="0"/>
    <m/>
    <n v="0"/>
    <n v="5970424.0000000009"/>
    <n v="907"/>
    <n v="921"/>
    <n v="1215"/>
    <n v="0"/>
    <n v="907"/>
    <n v="1215"/>
    <n v="2013"/>
    <n v="921"/>
    <s v="2018 (triag)"/>
    <n v="907"/>
    <n v="2022"/>
    <s v="Adjust"/>
    <n v="1042.4138703986166"/>
    <n v="1042.4138703986166"/>
    <s v="Increasing"/>
    <m/>
    <m/>
    <m/>
    <m/>
    <n v="2.5165353459816662"/>
    <n v="1.6926842590656024"/>
    <n v="1.7459628837057743"/>
    <n v="1.7459628837057743"/>
    <x v="1"/>
  </r>
  <r>
    <s v="Congo"/>
    <x v="9"/>
    <n v="4713264.5"/>
    <x v="27"/>
    <n v="0"/>
    <n v="4828066.5000000028"/>
    <n v="67"/>
    <m/>
    <n v="0"/>
    <m/>
    <n v="0"/>
    <m/>
    <n v="0"/>
    <m/>
    <n v="0"/>
    <n v="5441061.9999999972"/>
    <n v="0"/>
    <n v="148"/>
    <m/>
    <n v="0"/>
    <m/>
    <n v="0"/>
    <m/>
    <n v="0"/>
    <n v="5970424.0000000009"/>
    <n v="0"/>
    <n v="148"/>
    <n v="67"/>
    <n v="0"/>
    <n v="0"/>
    <n v="67"/>
    <n v="2013"/>
    <n v="148"/>
    <s v="2018 (triag)"/>
    <n v="148"/>
    <s v="2018 (triag)"/>
    <s v=""/>
    <n v="148"/>
    <n v="148"/>
    <s v="No change"/>
    <m/>
    <m/>
    <m/>
    <m/>
    <n v="0.1387719079677133"/>
    <n v="0.27200572241227922"/>
    <n v="0.24788859216698844"/>
    <n v="0.24788859216698844"/>
    <x v="1"/>
  </r>
  <r>
    <s v="Congo"/>
    <x v="9"/>
    <n v="4713265.5"/>
    <x v="28"/>
    <n v="0"/>
    <n v="4828066.5000000028"/>
    <n v="0"/>
    <m/>
    <n v="0"/>
    <m/>
    <n v="0"/>
    <m/>
    <n v="73"/>
    <m/>
    <n v="0"/>
    <n v="5441061.9999999972"/>
    <n v="157"/>
    <n v="157"/>
    <m/>
    <n v="0"/>
    <m/>
    <n v="0"/>
    <m/>
    <n v="0"/>
    <n v="5970424.0000000009"/>
    <n v="28"/>
    <n v="73"/>
    <n v="0"/>
    <n v="157"/>
    <n v="28"/>
    <n v="0"/>
    <s v=""/>
    <n v="157"/>
    <n v="2018"/>
    <n v="28"/>
    <n v="2022"/>
    <s v="Adjust"/>
    <n v="32.180362040971623"/>
    <n v="157"/>
    <s v="Decreasing"/>
    <m/>
    <m/>
    <m/>
    <m/>
    <n v="0"/>
    <n v="0.28854661093735023"/>
    <n v="5.3899625957840876E-2"/>
    <n v="0.26296289844741338"/>
    <x v="0"/>
  </r>
  <r>
    <s v="Congo"/>
    <x v="9"/>
    <n v="4713266.5"/>
    <x v="29"/>
    <n v="0"/>
    <n v="4828066.5000000028"/>
    <n v="0"/>
    <m/>
    <n v="0"/>
    <m/>
    <n v="0"/>
    <m/>
    <n v="0"/>
    <m/>
    <n v="0"/>
    <n v="5441061.9999999972"/>
    <n v="0"/>
    <n v="84"/>
    <m/>
    <n v="0"/>
    <m/>
    <n v="0"/>
    <m/>
    <n v="0"/>
    <n v="5970424.0000000009"/>
    <n v="80"/>
    <n v="84"/>
    <n v="0"/>
    <n v="0"/>
    <n v="80"/>
    <n v="0"/>
    <s v=""/>
    <n v="84"/>
    <s v="2018 (triag)"/>
    <n v="80"/>
    <n v="2022"/>
    <s v="Adjust"/>
    <n v="91.943891545633221"/>
    <n v="91.943891545633221"/>
    <s v="Increasing"/>
    <m/>
    <m/>
    <m/>
    <m/>
    <n v="0"/>
    <n v="0.15438162623399632"/>
    <n v="0.15399893130811684"/>
    <n v="0.15399893130811684"/>
    <x v="1"/>
  </r>
  <r>
    <s v="Congo"/>
    <x v="9"/>
    <n v="4713267.5"/>
    <x v="30"/>
    <n v="0"/>
    <n v="4828066.5000000028"/>
    <n v="0"/>
    <m/>
    <n v="0"/>
    <m/>
    <n v="0"/>
    <m/>
    <n v="27"/>
    <m/>
    <n v="0"/>
    <n v="5441061.9999999972"/>
    <n v="27"/>
    <n v="27"/>
    <m/>
    <n v="0"/>
    <m/>
    <n v="0"/>
    <m/>
    <n v="0"/>
    <n v="5970424.0000000009"/>
    <n v="9"/>
    <n v="27"/>
    <n v="0"/>
    <n v="27"/>
    <n v="9"/>
    <n v="0"/>
    <s v=""/>
    <n v="27"/>
    <n v="2016"/>
    <n v="9"/>
    <n v="2022"/>
    <s v="Adjust"/>
    <n v="10.343687798883737"/>
    <n v="27"/>
    <s v="Decreasing"/>
    <m/>
    <m/>
    <m/>
    <m/>
    <n v="0"/>
    <n v="4.9622665575213103E-2"/>
    <n v="1.732487977216314E-2"/>
    <n v="4.5222918841274919E-2"/>
    <x v="0"/>
  </r>
  <r>
    <s v="Congo"/>
    <x v="9"/>
    <n v="4713268.5"/>
    <x v="31"/>
    <n v="0"/>
    <n v="4828066.5000000028"/>
    <n v="0"/>
    <m/>
    <n v="0"/>
    <m/>
    <n v="0"/>
    <m/>
    <n v="0"/>
    <m/>
    <n v="0"/>
    <n v="5441061.9999999972"/>
    <n v="0"/>
    <n v="0"/>
    <m/>
    <n v="0"/>
    <m/>
    <n v="0"/>
    <m/>
    <n v="0"/>
    <n v="5970424.0000000009"/>
    <n v="0"/>
    <n v="0"/>
    <n v="0"/>
    <n v="0"/>
    <n v="0"/>
    <n v="0"/>
    <s v=""/>
    <n v="0"/>
    <s v=""/>
    <n v="0"/>
    <s v=""/>
    <s v=""/>
    <n v="0"/>
    <n v="0"/>
    <s v="No change"/>
    <m/>
    <m/>
    <m/>
    <m/>
    <n v="0"/>
    <n v="0"/>
    <n v="0"/>
    <n v="0"/>
    <x v="1"/>
  </r>
  <r>
    <s v="Congo"/>
    <x v="9"/>
    <n v="4713269.5"/>
    <x v="32"/>
    <n v="0"/>
    <n v="4828066.5000000028"/>
    <n v="0"/>
    <m/>
    <n v="0"/>
    <m/>
    <n v="0"/>
    <m/>
    <n v="67"/>
    <m/>
    <n v="0"/>
    <n v="5441061.9999999972"/>
    <n v="0"/>
    <n v="0"/>
    <m/>
    <n v="0"/>
    <m/>
    <n v="0"/>
    <m/>
    <n v="0"/>
    <n v="5970424.0000000009"/>
    <n v="0"/>
    <n v="0"/>
    <n v="0"/>
    <n v="67"/>
    <n v="0"/>
    <n v="0"/>
    <s v=""/>
    <n v="0"/>
    <s v=""/>
    <n v="0"/>
    <s v=""/>
    <s v=""/>
    <n v="0"/>
    <n v="0"/>
    <s v="No change"/>
    <m/>
    <m/>
    <m/>
    <m/>
    <n v="0"/>
    <n v="0"/>
    <n v="0"/>
    <n v="0"/>
    <x v="1"/>
  </r>
  <r>
    <s v="Comoros"/>
    <x v="10"/>
    <n v="684552.49999999988"/>
    <x v="19"/>
    <n v="123"/>
    <n v="699392.50000000035"/>
    <n v="0"/>
    <n v="714612.00000000012"/>
    <n v="0"/>
    <n v="730215.49999999953"/>
    <n v="0"/>
    <n v="746232.00000000012"/>
    <n v="216"/>
    <n v="761663.99999999977"/>
    <n v="0"/>
    <n v="776313.5000000007"/>
    <n v="220"/>
    <n v="220"/>
    <n v="790986.00000000023"/>
    <n v="0"/>
    <n v="806166.00000000023"/>
    <n v="354"/>
    <n v="821625.49999999988"/>
    <n v="0"/>
    <n v="836773.49999999977"/>
    <n v="0"/>
    <n v="220"/>
    <n v="123"/>
    <n v="220"/>
    <n v="354"/>
    <n v="123"/>
    <n v="2012"/>
    <n v="220"/>
    <n v="2018"/>
    <n v="354"/>
    <n v="2020"/>
    <s v=""/>
    <n v="354"/>
    <n v="354"/>
    <s v="Increasing"/>
    <m/>
    <m/>
    <m/>
    <m/>
    <n v="1.7586691307098652"/>
    <n v="2.8339066627077822"/>
    <n v="4.2305355033351333"/>
    <n v="4.2305355033351333"/>
    <x v="1"/>
  </r>
  <r>
    <s v="Comoros"/>
    <x v="10"/>
    <n v="684553.5"/>
    <x v="20"/>
    <n v="0"/>
    <n v="699392.50000000035"/>
    <n v="0"/>
    <m/>
    <n v="0"/>
    <m/>
    <n v="0"/>
    <m/>
    <n v="216"/>
    <m/>
    <n v="0"/>
    <n v="776313.5000000007"/>
    <n v="130"/>
    <n v="130"/>
    <m/>
    <n v="0"/>
    <m/>
    <n v="241"/>
    <m/>
    <n v="0"/>
    <n v="836773.49999999977"/>
    <n v="0"/>
    <n v="130"/>
    <n v="0"/>
    <n v="216"/>
    <n v="241"/>
    <n v="0"/>
    <s v=""/>
    <n v="130"/>
    <n v="2018"/>
    <n v="241"/>
    <n v="2020"/>
    <s v=""/>
    <n v="241"/>
    <n v="241"/>
    <s v="Increasing"/>
    <m/>
    <m/>
    <m/>
    <m/>
    <n v="0"/>
    <n v="1.6745812097818713"/>
    <n v="2.8801103285417149"/>
    <n v="2.8801103285417149"/>
    <x v="1"/>
  </r>
  <r>
    <s v="Comoros"/>
    <x v="10"/>
    <n v="684554.5"/>
    <x v="21"/>
    <n v="0"/>
    <n v="699392.50000000035"/>
    <n v="0"/>
    <m/>
    <n v="0"/>
    <m/>
    <n v="0"/>
    <m/>
    <n v="0"/>
    <m/>
    <n v="0"/>
    <n v="776313.5000000007"/>
    <n v="90"/>
    <n v="90"/>
    <m/>
    <n v="0"/>
    <m/>
    <n v="113"/>
    <m/>
    <n v="0"/>
    <n v="836773.49999999977"/>
    <n v="0"/>
    <n v="90"/>
    <n v="0"/>
    <n v="90"/>
    <n v="113"/>
    <n v="0"/>
    <s v=""/>
    <n v="90"/>
    <n v="2018"/>
    <n v="113"/>
    <n v="2020"/>
    <s v=""/>
    <n v="113"/>
    <n v="113"/>
    <s v="Increasing"/>
    <m/>
    <m/>
    <m/>
    <m/>
    <n v="0"/>
    <n v="1.1593254529259109"/>
    <n v="1.3504251747934182"/>
    <n v="1.3504251747934182"/>
    <x v="1"/>
  </r>
  <r>
    <s v="Comoros"/>
    <x v="10"/>
    <n v="684555.5"/>
    <x v="22"/>
    <n v="0"/>
    <n v="699392.50000000035"/>
    <n v="0"/>
    <m/>
    <n v="0"/>
    <m/>
    <n v="0"/>
    <m/>
    <n v="0"/>
    <m/>
    <n v="0"/>
    <n v="776313.5000000007"/>
    <n v="679"/>
    <n v="747"/>
    <m/>
    <n v="0"/>
    <m/>
    <n v="683"/>
    <m/>
    <n v="0"/>
    <n v="836773.49999999977"/>
    <n v="0"/>
    <n v="747"/>
    <n v="0"/>
    <n v="679"/>
    <n v="683"/>
    <n v="0"/>
    <s v=""/>
    <n v="747"/>
    <s v="2018 (triag)"/>
    <n v="683"/>
    <n v="2020"/>
    <s v="Adjust"/>
    <n v="784.97097407084357"/>
    <n v="784.97097407084357"/>
    <s v="Increasing"/>
    <m/>
    <m/>
    <m/>
    <m/>
    <n v="0"/>
    <n v="9.622401259285061"/>
    <n v="9.3809253528086618"/>
    <n v="9.3809253528086618"/>
    <x v="1"/>
  </r>
  <r>
    <s v="Comoros"/>
    <x v="10"/>
    <n v="684556.5"/>
    <x v="23"/>
    <n v="0"/>
    <n v="699392.50000000035"/>
    <n v="0"/>
    <m/>
    <n v="0"/>
    <m/>
    <n v="0"/>
    <m/>
    <n v="0"/>
    <m/>
    <n v="0"/>
    <n v="776313.5000000007"/>
    <n v="679"/>
    <n v="679"/>
    <m/>
    <n v="0"/>
    <m/>
    <n v="683"/>
    <m/>
    <n v="0"/>
    <n v="836773.49999999977"/>
    <n v="0"/>
    <n v="676"/>
    <n v="0"/>
    <n v="679"/>
    <n v="683"/>
    <n v="0"/>
    <s v=""/>
    <n v="679"/>
    <n v="2018"/>
    <n v="683"/>
    <n v="2020"/>
    <s v=""/>
    <n v="683"/>
    <n v="683"/>
    <s v="Increasing"/>
    <m/>
    <m/>
    <m/>
    <m/>
    <n v="0"/>
    <n v="8.7464664726299279"/>
    <n v="8.1623043750788025"/>
    <n v="8.1623043750788025"/>
    <x v="1"/>
  </r>
  <r>
    <s v="Comoros"/>
    <x v="10"/>
    <n v="684557.5"/>
    <x v="24"/>
    <n v="0"/>
    <n v="699392.50000000035"/>
    <n v="0"/>
    <m/>
    <n v="0"/>
    <m/>
    <n v="0"/>
    <m/>
    <n v="0"/>
    <m/>
    <n v="0"/>
    <n v="776313.5000000007"/>
    <n v="0"/>
    <n v="71"/>
    <m/>
    <n v="0"/>
    <m/>
    <n v="0"/>
    <m/>
    <n v="0"/>
    <n v="836773.49999999977"/>
    <n v="0"/>
    <n v="71"/>
    <n v="0"/>
    <n v="0"/>
    <n v="0"/>
    <n v="0"/>
    <s v=""/>
    <n v="71"/>
    <s v="2018 (triag)"/>
    <n v="71"/>
    <s v="2018 (triag)"/>
    <s v=""/>
    <n v="71"/>
    <n v="71"/>
    <s v="No change"/>
    <m/>
    <m/>
    <m/>
    <m/>
    <n v="0"/>
    <n v="0.91457896841932973"/>
    <n v="0.84849723371975838"/>
    <n v="0.84849723371975838"/>
    <x v="1"/>
  </r>
  <r>
    <s v="Comoros"/>
    <x v="10"/>
    <n v="684558.5"/>
    <x v="25"/>
    <n v="667"/>
    <n v="699392.50000000035"/>
    <n v="295"/>
    <m/>
    <n v="0"/>
    <m/>
    <n v="0"/>
    <m/>
    <n v="500"/>
    <m/>
    <n v="0"/>
    <n v="776313.5000000007"/>
    <n v="484"/>
    <n v="487"/>
    <m/>
    <n v="0"/>
    <m/>
    <n v="586"/>
    <m/>
    <n v="0"/>
    <n v="836773.49999999977"/>
    <n v="0"/>
    <n v="487"/>
    <n v="667"/>
    <n v="500"/>
    <n v="586"/>
    <n v="295"/>
    <n v="2013"/>
    <n v="487"/>
    <s v="2018 (triag)"/>
    <n v="586"/>
    <n v="2020"/>
    <s v=""/>
    <n v="586"/>
    <n v="586"/>
    <s v="Increasing"/>
    <m/>
    <m/>
    <m/>
    <m/>
    <n v="4.2179462891008965"/>
    <n v="6.2732388397213183"/>
    <n v="7.0030898445039211"/>
    <n v="7.0030898445039211"/>
    <x v="1"/>
  </r>
  <r>
    <s v="Comoros"/>
    <x v="10"/>
    <n v="684559.5"/>
    <x v="26"/>
    <n v="0"/>
    <n v="699392.50000000035"/>
    <n v="284"/>
    <m/>
    <n v="0"/>
    <m/>
    <n v="0"/>
    <m/>
    <n v="475"/>
    <m/>
    <n v="0"/>
    <n v="776313.5000000007"/>
    <n v="484"/>
    <n v="487"/>
    <m/>
    <n v="0"/>
    <m/>
    <n v="586"/>
    <m/>
    <n v="0"/>
    <n v="836773.49999999977"/>
    <n v="0"/>
    <n v="487"/>
    <n v="284"/>
    <n v="484"/>
    <n v="586"/>
    <n v="284"/>
    <n v="2013"/>
    <n v="487"/>
    <s v="2018 (triag)"/>
    <n v="586"/>
    <n v="2020"/>
    <s v=""/>
    <n v="586"/>
    <n v="586"/>
    <s v="Increasing"/>
    <m/>
    <m/>
    <m/>
    <m/>
    <n v="4.0606669359479817"/>
    <n v="6.2732388397213183"/>
    <n v="7.0030898445039211"/>
    <n v="7.0030898445039211"/>
    <x v="1"/>
  </r>
  <r>
    <s v="Comoros"/>
    <x v="10"/>
    <n v="684560.5"/>
    <x v="27"/>
    <n v="0"/>
    <n v="699392.50000000035"/>
    <n v="11"/>
    <m/>
    <n v="0"/>
    <m/>
    <n v="0"/>
    <m/>
    <n v="25"/>
    <m/>
    <n v="0"/>
    <n v="776313.5000000007"/>
    <n v="0"/>
    <n v="0"/>
    <m/>
    <n v="0"/>
    <m/>
    <n v="0"/>
    <m/>
    <n v="0"/>
    <n v="836773.49999999977"/>
    <n v="0"/>
    <n v="0"/>
    <n v="11"/>
    <n v="25"/>
    <n v="0"/>
    <n v="11"/>
    <n v="2013"/>
    <n v="0"/>
    <s v=""/>
    <n v="0"/>
    <s v=""/>
    <s v=""/>
    <n v="0"/>
    <n v="0"/>
    <s v="No change"/>
    <m/>
    <m/>
    <m/>
    <m/>
    <n v="0.15727935315291477"/>
    <n v="0"/>
    <n v="0"/>
    <n v="0"/>
    <x v="1"/>
  </r>
  <r>
    <s v="Comoros"/>
    <x v="10"/>
    <n v="684561.5"/>
    <x v="28"/>
    <n v="16"/>
    <n v="699392.50000000035"/>
    <n v="0"/>
    <m/>
    <n v="0"/>
    <m/>
    <n v="0"/>
    <m/>
    <n v="0"/>
    <m/>
    <n v="0"/>
    <n v="776313.5000000007"/>
    <n v="36"/>
    <n v="36"/>
    <m/>
    <n v="0"/>
    <m/>
    <n v="35"/>
    <m/>
    <n v="0"/>
    <n v="836773.49999999977"/>
    <n v="0"/>
    <n v="36"/>
    <n v="16"/>
    <n v="36"/>
    <n v="35"/>
    <n v="16"/>
    <n v="2012"/>
    <n v="36"/>
    <n v="2018"/>
    <n v="35"/>
    <n v="2020"/>
    <s v="Adjust"/>
    <n v="40.225452551214531"/>
    <n v="40.225452551214531"/>
    <s v="Increasing"/>
    <m/>
    <m/>
    <m/>
    <m/>
    <n v="0.22876996822242149"/>
    <n v="0.46373018117036441"/>
    <n v="0.48072091851874543"/>
    <n v="0.48072091851874543"/>
    <x v="1"/>
  </r>
  <r>
    <s v="Comoros"/>
    <x v="10"/>
    <n v="684562.5"/>
    <x v="29"/>
    <n v="0"/>
    <n v="699392.50000000035"/>
    <n v="0"/>
    <m/>
    <n v="0"/>
    <m/>
    <n v="0"/>
    <m/>
    <n v="0"/>
    <m/>
    <n v="0"/>
    <n v="776313.5000000007"/>
    <n v="19"/>
    <n v="19"/>
    <m/>
    <n v="0"/>
    <m/>
    <n v="71"/>
    <m/>
    <n v="0"/>
    <n v="836773.49999999977"/>
    <n v="0"/>
    <n v="19"/>
    <n v="0"/>
    <n v="19"/>
    <n v="71"/>
    <n v="0"/>
    <s v=""/>
    <n v="19"/>
    <n v="2018"/>
    <n v="71"/>
    <n v="2020"/>
    <s v=""/>
    <n v="71"/>
    <n v="71"/>
    <s v="Increasing"/>
    <m/>
    <m/>
    <m/>
    <m/>
    <n v="0"/>
    <n v="0.24474648450658121"/>
    <n v="0.84849723371975838"/>
    <n v="0.84849723371975838"/>
    <x v="1"/>
  </r>
  <r>
    <s v="Comoros"/>
    <x v="10"/>
    <n v="684563.5"/>
    <x v="30"/>
    <n v="18"/>
    <n v="699392.50000000035"/>
    <n v="0"/>
    <m/>
    <n v="0"/>
    <m/>
    <n v="0"/>
    <m/>
    <n v="0"/>
    <m/>
    <n v="0"/>
    <n v="776313.5000000007"/>
    <n v="32"/>
    <n v="32"/>
    <m/>
    <n v="0"/>
    <m/>
    <n v="32"/>
    <m/>
    <n v="0"/>
    <n v="836773.49999999977"/>
    <n v="0"/>
    <n v="32"/>
    <n v="18"/>
    <n v="32"/>
    <n v="32"/>
    <n v="18"/>
    <n v="2012"/>
    <n v="32"/>
    <n v="2018"/>
    <n v="32"/>
    <n v="2020"/>
    <s v=""/>
    <n v="32"/>
    <n v="32"/>
    <s v="No change"/>
    <m/>
    <m/>
    <m/>
    <m/>
    <n v="0.25736621425022416"/>
    <n v="0.41220460548476834"/>
    <n v="0.38242128843707418"/>
    <n v="0.38242128843707418"/>
    <x v="1"/>
  </r>
  <r>
    <s v="Comoros"/>
    <x v="10"/>
    <n v="684564.5"/>
    <x v="31"/>
    <n v="0"/>
    <n v="699392.50000000035"/>
    <n v="0"/>
    <m/>
    <n v="0"/>
    <m/>
    <n v="0"/>
    <m/>
    <n v="0"/>
    <m/>
    <n v="0"/>
    <n v="776313.5000000007"/>
    <n v="0"/>
    <n v="0"/>
    <m/>
    <n v="0"/>
    <m/>
    <n v="0"/>
    <m/>
    <n v="0"/>
    <n v="836773.49999999977"/>
    <n v="0"/>
    <n v="0"/>
    <n v="0"/>
    <n v="0"/>
    <n v="0"/>
    <n v="0"/>
    <s v=""/>
    <n v="0"/>
    <s v=""/>
    <n v="0"/>
    <s v=""/>
    <s v=""/>
    <n v="0"/>
    <n v="0"/>
    <s v="No change"/>
    <m/>
    <m/>
    <m/>
    <m/>
    <n v="0"/>
    <n v="0"/>
    <n v="0"/>
    <n v="0"/>
    <x v="1"/>
  </r>
  <r>
    <s v="Comoros"/>
    <x v="10"/>
    <n v="684565.5"/>
    <x v="32"/>
    <n v="0"/>
    <n v="699392.50000000035"/>
    <n v="0"/>
    <m/>
    <n v="0"/>
    <m/>
    <n v="0"/>
    <m/>
    <n v="0"/>
    <m/>
    <n v="0"/>
    <n v="776313.5000000007"/>
    <n v="0"/>
    <n v="0"/>
    <m/>
    <n v="0"/>
    <m/>
    <n v="0"/>
    <m/>
    <n v="0"/>
    <n v="836773.49999999977"/>
    <n v="0"/>
    <n v="0"/>
    <n v="0"/>
    <n v="0"/>
    <n v="0"/>
    <n v="0"/>
    <s v=""/>
    <n v="0"/>
    <s v=""/>
    <n v="0"/>
    <s v=""/>
    <s v=""/>
    <n v="0"/>
    <n v="0"/>
    <s v="No change"/>
    <m/>
    <m/>
    <m/>
    <m/>
    <n v="0"/>
    <n v="0"/>
    <n v="0"/>
    <n v="0"/>
    <x v="1"/>
  </r>
  <r>
    <s v="Cape-Verde"/>
    <x v="11"/>
    <n v="533864.00000000012"/>
    <x v="19"/>
    <n v="260"/>
    <n v="539939.99999999988"/>
    <n v="308"/>
    <n v="546076"/>
    <n v="0"/>
    <n v="552166.00000000012"/>
    <n v="410"/>
    <n v="558394.50000000035"/>
    <n v="408"/>
    <n v="564954.00000000035"/>
    <n v="0"/>
    <n v="571201.5"/>
    <n v="452"/>
    <n v="452"/>
    <n v="577030.49999999965"/>
    <n v="0"/>
    <n v="582640.00000000023"/>
    <n v="0"/>
    <n v="587925"/>
    <n v="0"/>
    <n v="593149.50000000012"/>
    <n v="2644"/>
    <n v="452"/>
    <n v="410"/>
    <n v="452"/>
    <n v="2644"/>
    <n v="308"/>
    <n v="2013"/>
    <n v="452"/>
    <n v="2018"/>
    <n v="2644"/>
    <n v="2022"/>
    <s v=""/>
    <n v="2644"/>
    <n v="2644"/>
    <s v="Increasing"/>
    <m/>
    <m/>
    <m/>
    <m/>
    <n v="5.7043375189835919"/>
    <n v="7.913144485790041"/>
    <n v="44.57560867875636"/>
    <n v="44.57560867875636"/>
    <x v="1"/>
  </r>
  <r>
    <s v="Cape-Verde"/>
    <x v="11"/>
    <n v="533865"/>
    <x v="20"/>
    <n v="0"/>
    <n v="539939.99999999988"/>
    <n v="0"/>
    <m/>
    <n v="0"/>
    <m/>
    <n v="0"/>
    <m/>
    <n v="0"/>
    <m/>
    <n v="0"/>
    <n v="571201.5"/>
    <n v="165"/>
    <n v="165"/>
    <m/>
    <n v="0"/>
    <m/>
    <n v="0"/>
    <m/>
    <n v="0"/>
    <n v="593149.50000000012"/>
    <n v="187"/>
    <n v="165"/>
    <n v="0"/>
    <n v="165"/>
    <n v="187"/>
    <n v="0"/>
    <s v=""/>
    <n v="165"/>
    <n v="2018"/>
    <n v="187"/>
    <n v="2022"/>
    <s v=""/>
    <n v="187"/>
    <n v="187"/>
    <s v="Increasing"/>
    <m/>
    <m/>
    <m/>
    <m/>
    <n v="0"/>
    <n v="2.8886478764499044"/>
    <n v="3.1526621871888953"/>
    <n v="3.1526621871888953"/>
    <x v="1"/>
  </r>
  <r>
    <s v="Cape-Verde"/>
    <x v="11"/>
    <n v="533866"/>
    <x v="21"/>
    <n v="0"/>
    <n v="539939.99999999988"/>
    <n v="0"/>
    <m/>
    <n v="0"/>
    <m/>
    <n v="0"/>
    <m/>
    <n v="0"/>
    <m/>
    <n v="0"/>
    <n v="571201.5"/>
    <n v="287"/>
    <n v="287"/>
    <m/>
    <n v="0"/>
    <m/>
    <n v="0"/>
    <m/>
    <n v="0"/>
    <n v="593149.50000000012"/>
    <n v="108"/>
    <n v="287"/>
    <n v="0"/>
    <n v="287"/>
    <n v="108"/>
    <n v="0"/>
    <s v=""/>
    <n v="287"/>
    <n v="2018"/>
    <n v="108"/>
    <n v="2022"/>
    <s v="Adjust"/>
    <n v="134.29007633587787"/>
    <n v="287"/>
    <s v="Decreasing"/>
    <m/>
    <m/>
    <m/>
    <m/>
    <n v="0"/>
    <n v="5.0244966093401366"/>
    <n v="2.2640173571060558"/>
    <n v="4.8385777953112994"/>
    <x v="0"/>
  </r>
  <r>
    <s v="Cape-Verde"/>
    <x v="11"/>
    <n v="533867"/>
    <x v="22"/>
    <n v="551"/>
    <n v="539939.99999999988"/>
    <n v="403"/>
    <m/>
    <n v="476"/>
    <m/>
    <n v="498"/>
    <m/>
    <n v="612"/>
    <m/>
    <n v="688"/>
    <n v="571201.5"/>
    <n v="706"/>
    <n v="768"/>
    <m/>
    <n v="0"/>
    <m/>
    <n v="0"/>
    <m/>
    <n v="0"/>
    <n v="593149.50000000012"/>
    <n v="941"/>
    <n v="768"/>
    <n v="551"/>
    <n v="706"/>
    <n v="941"/>
    <n v="403"/>
    <n v="2013"/>
    <n v="768"/>
    <s v="2018 (triag)"/>
    <n v="941"/>
    <n v="2022"/>
    <s v=""/>
    <n v="941"/>
    <n v="941"/>
    <s v="Increasing"/>
    <m/>
    <m/>
    <m/>
    <m/>
    <n v="7.4637922732155442"/>
    <n v="13.445342843112282"/>
    <n v="15.86446587243182"/>
    <n v="15.86446587243182"/>
    <x v="1"/>
  </r>
  <r>
    <s v="Cape-Verde"/>
    <x v="11"/>
    <n v="533868"/>
    <x v="23"/>
    <n v="0"/>
    <n v="539939.99999999988"/>
    <n v="0"/>
    <m/>
    <n v="0"/>
    <m/>
    <n v="0"/>
    <m/>
    <n v="0"/>
    <m/>
    <n v="0"/>
    <n v="571201.5"/>
    <n v="0"/>
    <n v="243"/>
    <m/>
    <n v="0"/>
    <m/>
    <n v="0"/>
    <m/>
    <n v="0"/>
    <n v="593149.50000000012"/>
    <n v="846"/>
    <n v="243"/>
    <n v="0"/>
    <n v="0"/>
    <n v="846"/>
    <n v="0"/>
    <s v=""/>
    <n v="243"/>
    <s v="2018 (triag)"/>
    <n v="846"/>
    <n v="2022"/>
    <s v=""/>
    <n v="846"/>
    <n v="846"/>
    <s v="Increasing"/>
    <m/>
    <m/>
    <m/>
    <m/>
    <n v="0"/>
    <n v="4.2541905089534957"/>
    <n v="14.262846044715538"/>
    <n v="14.262846044715538"/>
    <x v="1"/>
  </r>
  <r>
    <s v="Cape-Verde"/>
    <x v="11"/>
    <n v="533869"/>
    <x v="24"/>
    <n v="0"/>
    <n v="539939.99999999988"/>
    <n v="0"/>
    <m/>
    <n v="0"/>
    <m/>
    <n v="0"/>
    <m/>
    <n v="0"/>
    <m/>
    <n v="0"/>
    <n v="571201.5"/>
    <n v="0"/>
    <n v="525"/>
    <m/>
    <n v="0"/>
    <m/>
    <n v="0"/>
    <m/>
    <n v="0"/>
    <n v="593149.50000000012"/>
    <n v="95"/>
    <n v="525"/>
    <n v="0"/>
    <n v="0"/>
    <n v="95"/>
    <n v="0"/>
    <s v=""/>
    <n v="525"/>
    <s v="2018 (triag)"/>
    <n v="95"/>
    <n v="2022"/>
    <s v="Adjust"/>
    <n v="118.12553011026294"/>
    <n v="525"/>
    <s v="Decreasing"/>
    <m/>
    <m/>
    <m/>
    <m/>
    <n v="0"/>
    <n v="9.1911523341587866"/>
    <n v="1.9914967493062528"/>
    <n v="8.8510569426426198"/>
    <x v="0"/>
  </r>
  <r>
    <s v="Cape-Verde"/>
    <x v="11"/>
    <n v="533870"/>
    <x v="25"/>
    <n v="0"/>
    <n v="539939.99999999988"/>
    <n v="0"/>
    <m/>
    <n v="0"/>
    <m/>
    <n v="0"/>
    <m/>
    <n v="0"/>
    <m/>
    <n v="0"/>
    <n v="571201.5"/>
    <n v="0"/>
    <n v="27"/>
    <m/>
    <n v="0"/>
    <m/>
    <n v="0"/>
    <m/>
    <n v="0"/>
    <n v="593149.50000000012"/>
    <n v="0"/>
    <n v="27"/>
    <n v="0"/>
    <n v="0"/>
    <n v="0"/>
    <n v="0"/>
    <s v=""/>
    <n v="27"/>
    <s v="2018 (triag)"/>
    <n v="27"/>
    <s v="2018 (triag)"/>
    <s v=""/>
    <n v="27"/>
    <n v="27"/>
    <s v="No change"/>
    <m/>
    <m/>
    <m/>
    <m/>
    <n v="0"/>
    <n v="0.47268783432816613"/>
    <n v="0.45519721419304904"/>
    <n v="0.45519721419304904"/>
    <x v="1"/>
  </r>
  <r>
    <s v="Cape-Verde"/>
    <x v="11"/>
    <n v="533871"/>
    <x v="26"/>
    <n v="0"/>
    <n v="539939.99999999988"/>
    <n v="0"/>
    <m/>
    <n v="0"/>
    <m/>
    <n v="0"/>
    <m/>
    <n v="0"/>
    <m/>
    <n v="0"/>
    <n v="571201.5"/>
    <n v="0"/>
    <n v="7"/>
    <m/>
    <n v="0"/>
    <m/>
    <n v="0"/>
    <m/>
    <n v="0"/>
    <n v="593149.50000000012"/>
    <n v="0"/>
    <n v="7"/>
    <n v="0"/>
    <n v="0"/>
    <n v="0"/>
    <n v="0"/>
    <s v=""/>
    <n v="7"/>
    <s v="2018 (triag)"/>
    <n v="7"/>
    <s v="2018 (triag)"/>
    <s v=""/>
    <n v="7"/>
    <n v="7"/>
    <s v="No change"/>
    <m/>
    <m/>
    <m/>
    <m/>
    <n v="0"/>
    <n v="0.12254869778878381"/>
    <n v="0.11801409256856828"/>
    <n v="0.11801409256856828"/>
    <x v="1"/>
  </r>
  <r>
    <s v="Cape-Verde"/>
    <x v="11"/>
    <n v="533872"/>
    <x v="27"/>
    <n v="0"/>
    <n v="539939.99999999988"/>
    <n v="0"/>
    <m/>
    <n v="0"/>
    <m/>
    <n v="0"/>
    <m/>
    <n v="0"/>
    <m/>
    <n v="0"/>
    <n v="571201.5"/>
    <n v="0"/>
    <n v="20"/>
    <m/>
    <n v="0"/>
    <m/>
    <n v="0"/>
    <m/>
    <n v="0"/>
    <n v="593149.50000000012"/>
    <n v="0"/>
    <n v="20"/>
    <n v="0"/>
    <n v="0"/>
    <n v="0"/>
    <n v="0"/>
    <s v=""/>
    <n v="20"/>
    <s v="2018 (triag)"/>
    <n v="20"/>
    <s v="2018 (triag)"/>
    <s v=""/>
    <n v="20"/>
    <n v="20"/>
    <s v="No change"/>
    <m/>
    <m/>
    <m/>
    <m/>
    <n v="0"/>
    <n v="0.35013913653938233"/>
    <n v="0.33718312162448077"/>
    <n v="0.33718312162448077"/>
    <x v="1"/>
  </r>
  <r>
    <s v="Cape-Verde"/>
    <x v="11"/>
    <n v="533873"/>
    <x v="28"/>
    <n v="0"/>
    <n v="539939.99999999988"/>
    <n v="0"/>
    <m/>
    <n v="0"/>
    <m/>
    <n v="0"/>
    <m/>
    <n v="4"/>
    <m/>
    <n v="0"/>
    <n v="571201.5"/>
    <n v="172"/>
    <n v="172"/>
    <m/>
    <n v="0"/>
    <m/>
    <n v="0"/>
    <m/>
    <n v="0"/>
    <n v="593149.50000000012"/>
    <n v="23"/>
    <n v="80"/>
    <n v="0"/>
    <n v="172"/>
    <n v="23"/>
    <n v="0"/>
    <s v=""/>
    <n v="172"/>
    <n v="2018"/>
    <n v="23"/>
    <n v="2022"/>
    <s v="Adjust"/>
    <n v="28.59881255301103"/>
    <n v="172"/>
    <s v="Decreasing"/>
    <m/>
    <m/>
    <m/>
    <m/>
    <n v="0"/>
    <n v="3.0111965742386881"/>
    <n v="0.48215184456888233"/>
    <n v="2.8997748459705348"/>
    <x v="0"/>
  </r>
  <r>
    <s v="Cape-Verde"/>
    <x v="11"/>
    <n v="533874"/>
    <x v="29"/>
    <n v="0"/>
    <n v="539939.99999999988"/>
    <n v="0"/>
    <m/>
    <n v="0"/>
    <m/>
    <n v="0"/>
    <m/>
    <n v="0"/>
    <m/>
    <n v="0"/>
    <n v="571201.5"/>
    <n v="0"/>
    <n v="92"/>
    <m/>
    <n v="0"/>
    <m/>
    <n v="0"/>
    <m/>
    <n v="0"/>
    <n v="593149.50000000012"/>
    <n v="6"/>
    <n v="92"/>
    <n v="0"/>
    <n v="0"/>
    <n v="6"/>
    <n v="0"/>
    <s v=""/>
    <n v="92"/>
    <s v="2018 (triag)"/>
    <n v="6"/>
    <n v="2022"/>
    <s v="Adjust"/>
    <n v="7.4605597964376598"/>
    <n v="92"/>
    <s v="Decreasing"/>
    <m/>
    <m/>
    <m/>
    <m/>
    <n v="0"/>
    <n v="1.6106400280811588"/>
    <n v="0.12577874206144757"/>
    <n v="1.5510423594726115"/>
    <x v="0"/>
  </r>
  <r>
    <s v="Cape-Verde"/>
    <x v="11"/>
    <n v="533875"/>
    <x v="30"/>
    <n v="0"/>
    <n v="539939.99999999988"/>
    <n v="0"/>
    <m/>
    <n v="0"/>
    <m/>
    <n v="0"/>
    <m/>
    <n v="4"/>
    <m/>
    <n v="0"/>
    <n v="571201.5"/>
    <n v="81"/>
    <n v="81"/>
    <m/>
    <n v="120"/>
    <m/>
    <n v="0"/>
    <m/>
    <n v="0"/>
    <n v="593149.50000000012"/>
    <n v="10"/>
    <n v="81"/>
    <n v="0"/>
    <n v="120"/>
    <n v="10"/>
    <n v="0"/>
    <s v=""/>
    <n v="81"/>
    <n v="2018"/>
    <n v="10"/>
    <n v="2022"/>
    <s v="Adjust"/>
    <n v="12.434266327396099"/>
    <n v="81"/>
    <s v="Decreasing"/>
    <m/>
    <m/>
    <m/>
    <m/>
    <n v="0"/>
    <n v="1.4180635029844986"/>
    <n v="0.20963123676907924"/>
    <n v="1.3655916425791472"/>
    <x v="0"/>
  </r>
  <r>
    <s v="Cape-Verde"/>
    <x v="11"/>
    <n v="533876"/>
    <x v="31"/>
    <n v="0"/>
    <n v="539939.99999999988"/>
    <n v="0"/>
    <m/>
    <n v="0"/>
    <m/>
    <n v="0"/>
    <m/>
    <n v="0"/>
    <m/>
    <n v="0"/>
    <n v="571201.5"/>
    <n v="0"/>
    <n v="0"/>
    <m/>
    <n v="74"/>
    <m/>
    <n v="0"/>
    <m/>
    <n v="0"/>
    <n v="593149.50000000012"/>
    <n v="0"/>
    <n v="0"/>
    <n v="0"/>
    <n v="74"/>
    <n v="0"/>
    <n v="0"/>
    <s v=""/>
    <n v="74"/>
    <n v="2019"/>
    <n v="74"/>
    <n v="2019"/>
    <s v=""/>
    <n v="74"/>
    <n v="74"/>
    <s v="No change"/>
    <m/>
    <m/>
    <m/>
    <m/>
    <n v="0"/>
    <n v="1.2955148051957146"/>
    <n v="1.2475775500105788"/>
    <n v="1.2475775500105788"/>
    <x v="1"/>
  </r>
  <r>
    <s v="Cape-Verde"/>
    <x v="11"/>
    <n v="533877"/>
    <x v="32"/>
    <n v="0"/>
    <n v="539939.99999999988"/>
    <n v="0"/>
    <m/>
    <n v="0"/>
    <m/>
    <n v="0"/>
    <m/>
    <n v="0"/>
    <m/>
    <n v="0"/>
    <n v="571201.5"/>
    <n v="0"/>
    <n v="0"/>
    <m/>
    <n v="0"/>
    <m/>
    <n v="0"/>
    <m/>
    <n v="0"/>
    <n v="593149.50000000012"/>
    <n v="0"/>
    <n v="0"/>
    <n v="0"/>
    <n v="0"/>
    <n v="0"/>
    <n v="0"/>
    <s v=""/>
    <n v="0"/>
    <s v=""/>
    <n v="0"/>
    <s v=""/>
    <s v=""/>
    <n v="0"/>
    <n v="0"/>
    <s v="No change"/>
    <m/>
    <m/>
    <m/>
    <m/>
    <n v="0"/>
    <n v="0"/>
    <n v="0"/>
    <n v="0"/>
    <x v="1"/>
  </r>
  <r>
    <s v="Algeria"/>
    <x v="12"/>
    <n v="37260562.50000003"/>
    <x v="19"/>
    <n v="0"/>
    <n v="38000626.500000022"/>
    <n v="0"/>
    <n v="38760167.5"/>
    <n v="0"/>
    <n v="39543154.499999985"/>
    <n v="0"/>
    <n v="40339328.5"/>
    <n v="74309"/>
    <n v="41136545.999999985"/>
    <n v="0"/>
    <n v="41927007.000000007"/>
    <n v="72604"/>
    <n v="73168"/>
    <n v="42705368.50000003"/>
    <n v="42140"/>
    <n v="43451665.999999985"/>
    <n v="0"/>
    <n v="44177968.500000007"/>
    <n v="0"/>
    <n v="44903225.000000007"/>
    <n v="0"/>
    <n v="73168"/>
    <n v="0"/>
    <n v="74309"/>
    <n v="0"/>
    <n v="0"/>
    <s v=""/>
    <n v="73168"/>
    <s v="2018 (triag)"/>
    <n v="42140"/>
    <s v="2018 (triag)"/>
    <s v="Adjust"/>
    <n v="48033.824348850052"/>
    <n v="73168"/>
    <s v="Decreasing"/>
    <m/>
    <m/>
    <m/>
    <m/>
    <n v="0"/>
    <n v="17.451281461612556"/>
    <n v="10.697188085900299"/>
    <n v="16.294597993796657"/>
    <x v="0"/>
  </r>
  <r>
    <s v="Algeria"/>
    <x v="12"/>
    <n v="37260563.5"/>
    <x v="20"/>
    <n v="0"/>
    <n v="38000626.500000022"/>
    <n v="0"/>
    <m/>
    <n v="0"/>
    <m/>
    <n v="0"/>
    <m/>
    <n v="0"/>
    <m/>
    <n v="0"/>
    <n v="41927007.000000007"/>
    <n v="32774"/>
    <n v="34077"/>
    <m/>
    <n v="27560"/>
    <m/>
    <n v="0"/>
    <m/>
    <n v="0"/>
    <n v="44903225.000000007"/>
    <n v="0"/>
    <n v="34077"/>
    <n v="0"/>
    <n v="32774"/>
    <n v="0"/>
    <n v="0"/>
    <s v=""/>
    <n v="34077"/>
    <s v="2018 (triag)"/>
    <n v="27560"/>
    <s v="2018 (triag)"/>
    <s v="Adjust"/>
    <n v="31414.622663842132"/>
    <n v="34077"/>
    <s v="Decreasing"/>
    <m/>
    <m/>
    <m/>
    <m/>
    <n v="0"/>
    <n v="8.1276967850340451"/>
    <n v="6.9960727016471811"/>
    <n v="7.588987205261982"/>
    <x v="1"/>
  </r>
  <r>
    <s v="Algeria"/>
    <x v="12"/>
    <n v="37260564.5"/>
    <x v="21"/>
    <n v="0"/>
    <n v="38000626.500000022"/>
    <n v="0"/>
    <m/>
    <n v="0"/>
    <m/>
    <n v="0"/>
    <m/>
    <n v="0"/>
    <m/>
    <n v="0"/>
    <n v="41927007.000000007"/>
    <n v="39830"/>
    <n v="39830"/>
    <m/>
    <n v="14580"/>
    <m/>
    <n v="0"/>
    <m/>
    <n v="0"/>
    <n v="44903225.000000007"/>
    <n v="0"/>
    <n v="39091"/>
    <n v="0"/>
    <n v="39830"/>
    <n v="0"/>
    <n v="0"/>
    <s v=""/>
    <n v="39830"/>
    <n v="2018"/>
    <n v="14580"/>
    <n v="2018"/>
    <s v="Adjust"/>
    <n v="16619.20168500792"/>
    <n v="39830"/>
    <s v="Decreasing"/>
    <m/>
    <m/>
    <m/>
    <m/>
    <n v="0"/>
    <n v="9.499843382572001"/>
    <n v="3.701115384253117"/>
    <n v="8.8701869409157119"/>
    <x v="0"/>
  </r>
  <r>
    <s v="Algeria"/>
    <x v="12"/>
    <n v="37260565.5"/>
    <x v="22"/>
    <n v="0"/>
    <n v="38000626.500000022"/>
    <n v="0"/>
    <m/>
    <n v="0"/>
    <m/>
    <n v="0"/>
    <m/>
    <n v="90958"/>
    <m/>
    <n v="92000"/>
    <n v="41927007.000000007"/>
    <n v="56411"/>
    <n v="57705"/>
    <m/>
    <n v="4425"/>
    <m/>
    <n v="0"/>
    <m/>
    <n v="0"/>
    <n v="44903225.000000007"/>
    <n v="0"/>
    <n v="57705"/>
    <n v="0"/>
    <n v="92000"/>
    <n v="0"/>
    <n v="0"/>
    <s v=""/>
    <n v="57705"/>
    <s v="2018 (triag)"/>
    <n v="4425"/>
    <s v="2018 (triag)"/>
    <s v="Adjust"/>
    <n v="5043.8935155116633"/>
    <n v="57705"/>
    <s v="Decreasing"/>
    <m/>
    <m/>
    <m/>
    <m/>
    <n v="0"/>
    <n v="13.763205181805606"/>
    <n v="1.1232809036570675"/>
    <n v="12.850970058386674"/>
    <x v="0"/>
  </r>
  <r>
    <s v="Algeria"/>
    <x v="12"/>
    <n v="37260566.5"/>
    <x v="23"/>
    <n v="0"/>
    <n v="38000626.500000022"/>
    <n v="0"/>
    <m/>
    <n v="0"/>
    <m/>
    <n v="0"/>
    <m/>
    <n v="0"/>
    <m/>
    <n v="0"/>
    <n v="41927007.000000007"/>
    <n v="45173"/>
    <n v="47676"/>
    <m/>
    <n v="4425"/>
    <m/>
    <n v="0"/>
    <m/>
    <n v="0"/>
    <n v="44903225.000000007"/>
    <n v="0"/>
    <n v="47676"/>
    <n v="0"/>
    <n v="45173"/>
    <n v="0"/>
    <n v="0"/>
    <s v=""/>
    <n v="47676"/>
    <s v="2018 (triag)"/>
    <n v="4425"/>
    <s v="2018 (triag)"/>
    <s v="Adjust"/>
    <n v="5043.8935155116633"/>
    <n v="47676"/>
    <s v="Decreasing"/>
    <m/>
    <m/>
    <m/>
    <m/>
    <n v="0"/>
    <n v="11.371190888965671"/>
    <n v="1.1232809036570675"/>
    <n v="10.617500190687862"/>
    <x v="0"/>
  </r>
  <r>
    <s v="Algeria"/>
    <x v="12"/>
    <n v="37260567.5"/>
    <x v="24"/>
    <n v="0"/>
    <n v="38000626.500000022"/>
    <n v="0"/>
    <m/>
    <n v="0"/>
    <m/>
    <n v="0"/>
    <m/>
    <n v="0"/>
    <m/>
    <n v="0"/>
    <n v="41927007.000000007"/>
    <n v="11238"/>
    <n v="11238"/>
    <m/>
    <n v="0"/>
    <m/>
    <n v="0"/>
    <m/>
    <n v="0"/>
    <n v="44903225.000000007"/>
    <n v="0"/>
    <n v="10029"/>
    <n v="0"/>
    <n v="11238"/>
    <n v="0"/>
    <n v="0"/>
    <s v=""/>
    <n v="11238"/>
    <n v="2018"/>
    <n v="11238"/>
    <n v="2018"/>
    <s v=""/>
    <n v="11238"/>
    <n v="11238"/>
    <s v="No change"/>
    <m/>
    <m/>
    <m/>
    <m/>
    <n v="0"/>
    <n v="2.6803725818062802"/>
    <n v="2.5027155621895751"/>
    <n v="2.5027155621895751"/>
    <x v="1"/>
  </r>
  <r>
    <s v="Algeria"/>
    <x v="12"/>
    <n v="37260568.5"/>
    <x v="25"/>
    <n v="0"/>
    <n v="38000626.500000022"/>
    <n v="0"/>
    <m/>
    <n v="11139"/>
    <m/>
    <n v="0"/>
    <m/>
    <n v="0"/>
    <m/>
    <n v="0"/>
    <n v="41927007.000000007"/>
    <n v="8948"/>
    <n v="8948"/>
    <m/>
    <n v="9070"/>
    <m/>
    <n v="0"/>
    <m/>
    <n v="0"/>
    <n v="44903225.000000007"/>
    <n v="0"/>
    <n v="8620"/>
    <n v="11139"/>
    <n v="9070"/>
    <n v="0"/>
    <n v="11139"/>
    <n v="2014"/>
    <n v="8948"/>
    <n v="2018"/>
    <n v="9070"/>
    <n v="2018"/>
    <s v=""/>
    <n v="9070"/>
    <n v="9070"/>
    <s v="Increasing"/>
    <m/>
    <m/>
    <m/>
    <m/>
    <n v="2.931267462129866"/>
    <n v="2.1341852520023665"/>
    <n v="2.019899461564286"/>
    <n v="2.019899461564286"/>
    <x v="1"/>
  </r>
  <r>
    <s v="Algeria"/>
    <x v="12"/>
    <n v="37260569.5"/>
    <x v="26"/>
    <n v="0"/>
    <n v="38000626.500000022"/>
    <n v="0"/>
    <m/>
    <n v="9404"/>
    <m/>
    <n v="0"/>
    <m/>
    <n v="0"/>
    <m/>
    <n v="0"/>
    <n v="41927007.000000007"/>
    <n v="8739"/>
    <n v="8739"/>
    <m/>
    <n v="9070"/>
    <m/>
    <n v="0"/>
    <m/>
    <n v="0"/>
    <n v="44903225.000000007"/>
    <n v="0"/>
    <n v="8582"/>
    <n v="9404"/>
    <n v="9070"/>
    <n v="0"/>
    <n v="9404"/>
    <n v="2014"/>
    <n v="8739"/>
    <n v="2018"/>
    <n v="9070"/>
    <n v="2018"/>
    <s v=""/>
    <n v="9070"/>
    <n v="9070"/>
    <s v="Increasing"/>
    <m/>
    <m/>
    <m/>
    <m/>
    <n v="2.4746960421823556"/>
    <n v="2.0843367140420965"/>
    <n v="2.019899461564286"/>
    <n v="2.019899461564286"/>
    <x v="1"/>
  </r>
  <r>
    <s v="Algeria"/>
    <x v="12"/>
    <n v="37260570.5"/>
    <x v="27"/>
    <n v="0"/>
    <n v="38000626.500000022"/>
    <n v="0"/>
    <m/>
    <n v="1735"/>
    <m/>
    <n v="0"/>
    <m/>
    <n v="0"/>
    <m/>
    <n v="0"/>
    <n v="41927007.000000007"/>
    <n v="209"/>
    <n v="209"/>
    <m/>
    <n v="0"/>
    <m/>
    <n v="0"/>
    <m/>
    <n v="0"/>
    <n v="44903225.000000007"/>
    <n v="0"/>
    <n v="38"/>
    <n v="1735"/>
    <n v="209"/>
    <n v="0"/>
    <n v="1735"/>
    <n v="2014"/>
    <n v="209"/>
    <n v="2018"/>
    <n v="209"/>
    <n v="2018"/>
    <s v=""/>
    <n v="209"/>
    <n v="209"/>
    <s v="No change"/>
    <m/>
    <m/>
    <m/>
    <m/>
    <n v="0.45657141994751033"/>
    <n v="4.9848537960269848E-2"/>
    <n v="4.6544541065814307E-2"/>
    <n v="4.6544541065814307E-2"/>
    <x v="1"/>
  </r>
  <r>
    <s v="Algeria"/>
    <x v="12"/>
    <n v="37260571.5"/>
    <x v="28"/>
    <n v="0"/>
    <n v="38000626.500000022"/>
    <n v="0"/>
    <m/>
    <n v="0"/>
    <m/>
    <n v="0"/>
    <m/>
    <n v="0"/>
    <m/>
    <n v="0"/>
    <n v="41927007.000000007"/>
    <n v="18807"/>
    <n v="18807"/>
    <m/>
    <n v="2156"/>
    <m/>
    <n v="0"/>
    <m/>
    <n v="0"/>
    <n v="44903225.000000007"/>
    <n v="0"/>
    <n v="12570"/>
    <n v="0"/>
    <n v="18807"/>
    <n v="0"/>
    <n v="0"/>
    <s v=""/>
    <n v="18807"/>
    <n v="2018"/>
    <n v="2156"/>
    <n v="2018"/>
    <s v="Adjust"/>
    <n v="2457.5445015690725"/>
    <n v="18807"/>
    <s v="Decreasing"/>
    <m/>
    <m/>
    <m/>
    <m/>
    <n v="0"/>
    <n v="4.485652887171268"/>
    <n v="0.54729799509257349"/>
    <n v="4.188340592463013"/>
    <x v="0"/>
  </r>
  <r>
    <s v="Algeria"/>
    <x v="12"/>
    <n v="37260572.5"/>
    <x v="29"/>
    <n v="0"/>
    <n v="38000626.500000022"/>
    <n v="0"/>
    <m/>
    <n v="0"/>
    <m/>
    <n v="0"/>
    <m/>
    <n v="0"/>
    <m/>
    <n v="0"/>
    <n v="41927007.000000007"/>
    <n v="880"/>
    <n v="1536"/>
    <m/>
    <n v="0"/>
    <m/>
    <n v="0"/>
    <m/>
    <n v="0"/>
    <n v="44903225.000000007"/>
    <n v="0"/>
    <n v="1536"/>
    <n v="0"/>
    <n v="880"/>
    <n v="0"/>
    <n v="0"/>
    <s v=""/>
    <n v="1536"/>
    <s v="2018 (triag)"/>
    <n v="1536"/>
    <s v="2018 (triag)"/>
    <s v=""/>
    <n v="1536"/>
    <n v="1536"/>
    <s v="No change"/>
    <m/>
    <m/>
    <m/>
    <m/>
    <n v="0"/>
    <n v="0.36635097754533247"/>
    <n v="0.34206897166072142"/>
    <n v="0.34206897166072142"/>
    <x v="1"/>
  </r>
  <r>
    <s v="Algeria"/>
    <x v="12"/>
    <n v="37260573.5"/>
    <x v="30"/>
    <n v="0"/>
    <n v="38000626.500000022"/>
    <n v="0"/>
    <m/>
    <n v="0"/>
    <m/>
    <n v="0"/>
    <m/>
    <n v="0"/>
    <m/>
    <n v="14263"/>
    <n v="41927007.000000007"/>
    <n v="15437"/>
    <n v="15437"/>
    <m/>
    <n v="7018"/>
    <m/>
    <n v="0"/>
    <m/>
    <n v="0"/>
    <n v="44903225.000000007"/>
    <n v="0"/>
    <n v="12774"/>
    <n v="0"/>
    <n v="15437"/>
    <n v="0"/>
    <n v="0"/>
    <s v=""/>
    <n v="15437"/>
    <n v="2018"/>
    <n v="7018"/>
    <n v="2018"/>
    <s v="Adjust"/>
    <n v="7999.5581224544294"/>
    <n v="15437"/>
    <s v="Decreasing"/>
    <m/>
    <m/>
    <m/>
    <m/>
    <n v="0"/>
    <n v="3.6818750262807924"/>
    <n v="1.7815108207605195"/>
    <n v="3.437837705420935"/>
    <x v="0"/>
  </r>
  <r>
    <s v="Algeria"/>
    <x v="12"/>
    <n v="37260574.5"/>
    <x v="31"/>
    <n v="0"/>
    <n v="38000626.500000022"/>
    <n v="0"/>
    <m/>
    <n v="0"/>
    <m/>
    <n v="0"/>
    <m/>
    <n v="0"/>
    <m/>
    <n v="0"/>
    <n v="41927007.000000007"/>
    <n v="46"/>
    <n v="46"/>
    <m/>
    <n v="0"/>
    <m/>
    <n v="0"/>
    <m/>
    <n v="0"/>
    <n v="44903225.000000007"/>
    <n v="0"/>
    <n v="7"/>
    <n v="0"/>
    <n v="46"/>
    <n v="0"/>
    <n v="0"/>
    <s v=""/>
    <n v="46"/>
    <n v="2018"/>
    <n v="46"/>
    <n v="2018"/>
    <s v=""/>
    <n v="46"/>
    <n v="46"/>
    <s v="No change"/>
    <m/>
    <m/>
    <m/>
    <m/>
    <n v="0"/>
    <n v="1.0971448546279489E-2"/>
    <n v="1.0244253057547647E-2"/>
    <n v="1.0244253057547647E-2"/>
    <x v="1"/>
  </r>
  <r>
    <s v="Algeria"/>
    <x v="12"/>
    <n v="37260575.5"/>
    <x v="32"/>
    <n v="0"/>
    <n v="38000626.500000022"/>
    <n v="0"/>
    <m/>
    <n v="0"/>
    <m/>
    <n v="0"/>
    <m/>
    <n v="0"/>
    <m/>
    <n v="0"/>
    <n v="41927007.000000007"/>
    <n v="4403"/>
    <n v="4403"/>
    <m/>
    <n v="0"/>
    <m/>
    <n v="0"/>
    <m/>
    <n v="0"/>
    <n v="44903225.000000007"/>
    <n v="0"/>
    <n v="0"/>
    <n v="0"/>
    <n v="4403"/>
    <n v="0"/>
    <n v="0"/>
    <s v=""/>
    <n v="4403"/>
    <n v="2018"/>
    <n v="4403"/>
    <n v="2018"/>
    <s v=""/>
    <n v="4403"/>
    <n v="4403"/>
    <s v="No change"/>
    <m/>
    <m/>
    <m/>
    <m/>
    <n v="0"/>
    <n v="1.0501584336797518"/>
    <n v="0.98055317853004975"/>
    <n v="0.98055317853004975"/>
    <x v="1"/>
  </r>
  <r>
    <s v="Eritrea"/>
    <x v="13"/>
    <n v="3252595.9999999991"/>
    <x v="19"/>
    <n v="153"/>
    <n v="3296367"/>
    <n v="172"/>
    <n v="3323425.0000000009"/>
    <n v="204"/>
    <n v="3340005.9999999991"/>
    <n v="212"/>
    <n v="3365287.5000000014"/>
    <n v="226"/>
    <n v="3396933.0000000019"/>
    <n v="224"/>
    <n v="3445374.4999999986"/>
    <n v="280"/>
    <n v="280"/>
    <n v="3498818.0000000014"/>
    <n v="248"/>
    <n v="3555867.9999999991"/>
    <n v="291"/>
    <n v="3620312.0000000023"/>
    <n v="286"/>
    <n v="3684031.5000000019"/>
    <n v="260"/>
    <n v="280"/>
    <n v="212"/>
    <n v="280"/>
    <n v="291"/>
    <n v="172"/>
    <n v="2013"/>
    <n v="280"/>
    <n v="2018"/>
    <n v="260"/>
    <n v="2022"/>
    <s v="Adjust"/>
    <n v="298.81764752330793"/>
    <n v="298.81764752330793"/>
    <s v="Increasing"/>
    <m/>
    <m/>
    <m/>
    <m/>
    <n v="0.52178656078039853"/>
    <n v="0.81268378807586839"/>
    <n v="0.81111588628736697"/>
    <n v="0.81111588628736697"/>
    <x v="1"/>
  </r>
  <r>
    <s v="Eritrea"/>
    <x v="13"/>
    <n v="3252597"/>
    <x v="20"/>
    <n v="0"/>
    <n v="3296367"/>
    <n v="0"/>
    <m/>
    <n v="0"/>
    <m/>
    <n v="0"/>
    <m/>
    <n v="0"/>
    <m/>
    <n v="0"/>
    <n v="3445374.4999999986"/>
    <n v="160"/>
    <n v="160"/>
    <m/>
    <n v="0"/>
    <m/>
    <n v="0"/>
    <m/>
    <n v="276"/>
    <n v="3684031.5000000019"/>
    <n v="260"/>
    <n v="160"/>
    <n v="0"/>
    <n v="160"/>
    <n v="276"/>
    <n v="0"/>
    <s v=""/>
    <n v="160"/>
    <n v="2018"/>
    <n v="260"/>
    <n v="2022"/>
    <s v=""/>
    <n v="260"/>
    <n v="260"/>
    <s v="Increasing"/>
    <m/>
    <m/>
    <m/>
    <m/>
    <n v="0"/>
    <n v="0.4643907360433534"/>
    <n v="0.7057485800542147"/>
    <n v="0.7057485800542147"/>
    <x v="1"/>
  </r>
  <r>
    <s v="Eritrea"/>
    <x v="13"/>
    <n v="3252598"/>
    <x v="21"/>
    <n v="0"/>
    <n v="3296367"/>
    <n v="0"/>
    <m/>
    <n v="0"/>
    <m/>
    <n v="0"/>
    <m/>
    <n v="0"/>
    <m/>
    <n v="0"/>
    <n v="3445374.4999999986"/>
    <n v="120"/>
    <n v="120"/>
    <m/>
    <n v="0"/>
    <m/>
    <n v="0"/>
    <m/>
    <n v="10"/>
    <n v="3684031.5000000019"/>
    <n v="0"/>
    <n v="120"/>
    <n v="0"/>
    <n v="120"/>
    <n v="10"/>
    <n v="0"/>
    <s v=""/>
    <n v="120"/>
    <n v="2018"/>
    <n v="10"/>
    <n v="2021"/>
    <s v="Adjust"/>
    <n v="11.492986443204153"/>
    <n v="120"/>
    <s v="Decreasing"/>
    <m/>
    <m/>
    <m/>
    <m/>
    <n v="0"/>
    <n v="0.34829305203251504"/>
    <n v="3.1196764857206426E-2"/>
    <n v="0.32573011387117601"/>
    <x v="0"/>
  </r>
  <r>
    <s v="Eritrea"/>
    <x v="13"/>
    <n v="3252599"/>
    <x v="22"/>
    <n v="0"/>
    <n v="3296367"/>
    <n v="4262"/>
    <m/>
    <n v="4132"/>
    <m/>
    <n v="3962"/>
    <m/>
    <n v="4484"/>
    <m/>
    <n v="4528"/>
    <n v="3445374.4999999986"/>
    <n v="4971"/>
    <n v="4971"/>
    <m/>
    <n v="0"/>
    <m/>
    <n v="0"/>
    <m/>
    <n v="4681"/>
    <n v="3684031.5000000019"/>
    <n v="5007"/>
    <n v="3939"/>
    <n v="4262"/>
    <n v="4971"/>
    <n v="5007"/>
    <n v="4262"/>
    <n v="2013"/>
    <n v="4971"/>
    <n v="2018"/>
    <n v="5007"/>
    <n v="2022"/>
    <s v=""/>
    <n v="5007"/>
    <n v="5007"/>
    <s v="Increasing"/>
    <m/>
    <m/>
    <m/>
    <m/>
    <n v="12.929385593291038"/>
    <n v="14.428039680446936"/>
    <n v="13.591089001274819"/>
    <n v="13.591089001274819"/>
    <x v="1"/>
  </r>
  <r>
    <s v="Eritrea"/>
    <x v="13"/>
    <n v="3252600"/>
    <x v="23"/>
    <n v="0"/>
    <n v="3296367"/>
    <n v="1395"/>
    <m/>
    <n v="1397"/>
    <m/>
    <n v="1304"/>
    <m/>
    <n v="1505"/>
    <m/>
    <n v="1629"/>
    <n v="3445374.4999999986"/>
    <n v="2058"/>
    <n v="2058"/>
    <m/>
    <n v="0"/>
    <m/>
    <n v="0"/>
    <m/>
    <n v="1449"/>
    <n v="3684031.5000000019"/>
    <n v="1447"/>
    <n v="1442"/>
    <n v="1397"/>
    <n v="2058"/>
    <n v="1449"/>
    <n v="1395"/>
    <n v="2013"/>
    <n v="2058"/>
    <n v="2018"/>
    <n v="1447"/>
    <n v="2022"/>
    <s v="Adjust"/>
    <n v="1663.0351383316408"/>
    <n v="2058"/>
    <s v="Decreasing"/>
    <m/>
    <m/>
    <m/>
    <m/>
    <n v="4.2319316993526508"/>
    <n v="5.9732258423576328"/>
    <n v="4.5141718748377695"/>
    <n v="5.586271452890669"/>
    <x v="1"/>
  </r>
  <r>
    <s v="Eritrea"/>
    <x v="13"/>
    <n v="3252601"/>
    <x v="24"/>
    <n v="0"/>
    <n v="3296367"/>
    <n v="2867"/>
    <m/>
    <n v="2735"/>
    <m/>
    <n v="2658"/>
    <m/>
    <n v="2979"/>
    <m/>
    <n v="2899"/>
    <n v="3445374.4999999986"/>
    <n v="2913"/>
    <n v="2913"/>
    <m/>
    <n v="0"/>
    <m/>
    <n v="0"/>
    <m/>
    <n v="3050"/>
    <n v="3684031.5000000019"/>
    <n v="3372"/>
    <n v="2497"/>
    <n v="2867"/>
    <n v="2979"/>
    <n v="3372"/>
    <n v="2867"/>
    <n v="2013"/>
    <n v="2913"/>
    <n v="2018"/>
    <n v="3372"/>
    <n v="2022"/>
    <s v=""/>
    <n v="3372"/>
    <n v="3372"/>
    <s v="Increasing"/>
    <m/>
    <m/>
    <m/>
    <m/>
    <n v="8.6974538939383876"/>
    <n v="8.4548138380893025"/>
    <n v="9.1530161997800459"/>
    <n v="9.1530161997800459"/>
    <x v="1"/>
  </r>
  <r>
    <s v="Eritrea"/>
    <x v="13"/>
    <n v="3252602"/>
    <x v="25"/>
    <n v="0"/>
    <n v="3296367"/>
    <n v="0"/>
    <m/>
    <n v="0"/>
    <m/>
    <n v="0"/>
    <m/>
    <n v="376"/>
    <m/>
    <n v="0"/>
    <n v="3445374.4999999986"/>
    <n v="0"/>
    <n v="45"/>
    <m/>
    <n v="0"/>
    <m/>
    <n v="0"/>
    <m/>
    <n v="67"/>
    <n v="3684031.5000000019"/>
    <n v="67"/>
    <n v="45"/>
    <n v="0"/>
    <n v="376"/>
    <n v="67"/>
    <n v="0"/>
    <s v=""/>
    <n v="45"/>
    <s v="2018 (triag)"/>
    <n v="67"/>
    <n v="2021"/>
    <s v=""/>
    <n v="67"/>
    <n v="67"/>
    <s v="Increasing"/>
    <m/>
    <m/>
    <m/>
    <m/>
    <n v="0"/>
    <n v="0.13060989451219315"/>
    <n v="0.18186598024473993"/>
    <n v="0.18186598024473993"/>
    <x v="1"/>
  </r>
  <r>
    <s v="Eritrea"/>
    <x v="13"/>
    <n v="3252603"/>
    <x v="26"/>
    <n v="0"/>
    <n v="3296367"/>
    <n v="0"/>
    <m/>
    <n v="0"/>
    <m/>
    <n v="0"/>
    <m/>
    <n v="376"/>
    <m/>
    <n v="0"/>
    <n v="3445374.4999999986"/>
    <n v="0"/>
    <n v="45"/>
    <m/>
    <n v="0"/>
    <m/>
    <n v="0"/>
    <m/>
    <n v="67"/>
    <n v="3684031.5000000019"/>
    <n v="67"/>
    <n v="45"/>
    <n v="0"/>
    <n v="376"/>
    <n v="67"/>
    <n v="0"/>
    <s v=""/>
    <n v="45"/>
    <s v="2018 (triag)"/>
    <n v="67"/>
    <n v="2021"/>
    <s v=""/>
    <n v="67"/>
    <n v="67"/>
    <s v="Increasing"/>
    <m/>
    <m/>
    <m/>
    <m/>
    <n v="0"/>
    <n v="0.13060989451219315"/>
    <n v="0.18186598024473993"/>
    <n v="0.18186598024473993"/>
    <x v="1"/>
  </r>
  <r>
    <s v="Eritrea"/>
    <x v="13"/>
    <n v="3252604"/>
    <x v="27"/>
    <n v="0"/>
    <n v="3296367"/>
    <n v="0"/>
    <m/>
    <n v="0"/>
    <m/>
    <n v="0"/>
    <m/>
    <n v="0"/>
    <m/>
    <n v="0"/>
    <n v="3445374.4999999986"/>
    <n v="0"/>
    <n v="0"/>
    <m/>
    <n v="0"/>
    <m/>
    <n v="0"/>
    <m/>
    <n v="0"/>
    <n v="3684031.5000000019"/>
    <n v="0"/>
    <n v="0"/>
    <n v="0"/>
    <n v="0"/>
    <n v="0"/>
    <n v="0"/>
    <s v=""/>
    <n v="0"/>
    <s v=""/>
    <n v="0"/>
    <s v=""/>
    <s v=""/>
    <n v="0"/>
    <n v="0"/>
    <s v="No change"/>
    <m/>
    <m/>
    <m/>
    <m/>
    <n v="0"/>
    <n v="0"/>
    <n v="0"/>
    <n v="0"/>
    <x v="1"/>
  </r>
  <r>
    <s v="Eritrea"/>
    <x v="13"/>
    <n v="3252605"/>
    <x v="28"/>
    <n v="0"/>
    <n v="3296367"/>
    <n v="0"/>
    <m/>
    <n v="0"/>
    <m/>
    <n v="0"/>
    <m/>
    <n v="0"/>
    <m/>
    <n v="0"/>
    <n v="3445374.4999999986"/>
    <n v="451"/>
    <n v="451"/>
    <m/>
    <n v="0"/>
    <m/>
    <n v="0"/>
    <m/>
    <n v="208"/>
    <n v="3684031.5000000019"/>
    <n v="199"/>
    <n v="151"/>
    <n v="0"/>
    <n v="451"/>
    <n v="208"/>
    <n v="0"/>
    <s v=""/>
    <n v="451"/>
    <n v="2018"/>
    <n v="199"/>
    <n v="2022"/>
    <s v="Adjust"/>
    <n v="228.71043021976263"/>
    <n v="451"/>
    <s v="Decreasing"/>
    <m/>
    <m/>
    <m/>
    <m/>
    <n v="0"/>
    <n v="1.3090013872222024"/>
    <n v="0.62081562065840779"/>
    <n v="1.2242023446325032"/>
    <x v="0"/>
  </r>
  <r>
    <s v="Eritrea"/>
    <x v="13"/>
    <n v="3252606"/>
    <x v="29"/>
    <n v="0"/>
    <n v="3296367"/>
    <n v="0"/>
    <m/>
    <n v="0"/>
    <m/>
    <n v="0"/>
    <m/>
    <n v="0"/>
    <m/>
    <n v="0"/>
    <n v="3445374.4999999986"/>
    <n v="0"/>
    <n v="300"/>
    <m/>
    <n v="0"/>
    <m/>
    <n v="0"/>
    <m/>
    <n v="280"/>
    <n v="3684031.5000000019"/>
    <n v="288"/>
    <n v="300"/>
    <n v="0"/>
    <n v="0"/>
    <n v="288"/>
    <n v="0"/>
    <s v=""/>
    <n v="300"/>
    <s v="2018 (triag)"/>
    <n v="288"/>
    <n v="2022"/>
    <s v="Adjust"/>
    <n v="330.99800956427958"/>
    <n v="330.99800956427958"/>
    <s v="Increasing"/>
    <m/>
    <m/>
    <m/>
    <m/>
    <n v="0"/>
    <n v="0.87073263008128765"/>
    <n v="0.89846682788754495"/>
    <n v="0.89846682788754495"/>
    <x v="1"/>
  </r>
  <r>
    <s v="Eritrea"/>
    <x v="13"/>
    <n v="3252607"/>
    <x v="30"/>
    <n v="0"/>
    <n v="3296367"/>
    <n v="0"/>
    <m/>
    <n v="0"/>
    <m/>
    <n v="0"/>
    <m/>
    <n v="0"/>
    <m/>
    <n v="0"/>
    <n v="3445374.4999999986"/>
    <n v="186"/>
    <n v="186"/>
    <m/>
    <n v="0"/>
    <m/>
    <n v="0"/>
    <m/>
    <n v="60"/>
    <n v="3684031.5000000019"/>
    <n v="58"/>
    <n v="22"/>
    <n v="0"/>
    <n v="186"/>
    <n v="60"/>
    <n v="0"/>
    <s v=""/>
    <n v="186"/>
    <n v="2018"/>
    <n v="58"/>
    <n v="2022"/>
    <s v="Adjust"/>
    <n v="66.659321370584081"/>
    <n v="186"/>
    <s v="Decreasing"/>
    <m/>
    <m/>
    <m/>
    <m/>
    <n v="0"/>
    <n v="0.53985423065039828"/>
    <n v="0.18094123617179722"/>
    <n v="0.50488167650032278"/>
    <x v="0"/>
  </r>
  <r>
    <s v="Eritrea"/>
    <x v="13"/>
    <n v="3252608"/>
    <x v="31"/>
    <n v="0"/>
    <n v="3296367"/>
    <n v="0"/>
    <m/>
    <n v="0"/>
    <m/>
    <n v="0"/>
    <m/>
    <n v="0"/>
    <m/>
    <n v="0"/>
    <n v="3445374.4999999986"/>
    <n v="0"/>
    <n v="164"/>
    <m/>
    <n v="0"/>
    <m/>
    <n v="0"/>
    <m/>
    <n v="154"/>
    <n v="3684031.5000000019"/>
    <n v="157"/>
    <n v="164"/>
    <n v="0"/>
    <n v="0"/>
    <n v="157"/>
    <n v="0"/>
    <s v=""/>
    <n v="164"/>
    <s v="2018 (triag)"/>
    <n v="157"/>
    <n v="2022"/>
    <s v="Adjust"/>
    <n v="180.43988715830517"/>
    <n v="180.43988715830517"/>
    <s v="Increasing"/>
    <m/>
    <m/>
    <m/>
    <m/>
    <n v="0"/>
    <n v="0.4760005044444372"/>
    <n v="0.48978920825814082"/>
    <n v="0.48978920825814082"/>
    <x v="1"/>
  </r>
  <r>
    <s v="Eritrea"/>
    <x v="13"/>
    <n v="3252609"/>
    <x v="32"/>
    <n v="0"/>
    <n v="3296367"/>
    <n v="0"/>
    <m/>
    <n v="0"/>
    <m/>
    <n v="0"/>
    <m/>
    <n v="0"/>
    <m/>
    <n v="0"/>
    <n v="3445374.4999999986"/>
    <n v="0"/>
    <n v="0"/>
    <m/>
    <n v="0"/>
    <m/>
    <n v="0"/>
    <m/>
    <n v="7"/>
    <n v="3684031.5000000019"/>
    <n v="7"/>
    <n v="0"/>
    <n v="0"/>
    <n v="0"/>
    <n v="7"/>
    <n v="0"/>
    <s v=""/>
    <n v="0"/>
    <s v=""/>
    <n v="7"/>
    <n v="2021"/>
    <s v=""/>
    <n v="7"/>
    <n v="7"/>
    <s v="Increasing"/>
    <m/>
    <m/>
    <m/>
    <m/>
    <n v="0"/>
    <n v="0"/>
    <n v="1.9000923309151936E-2"/>
    <n v="1.9000923309151936E-2"/>
    <x v="1"/>
  </r>
  <r>
    <s v="Ethiopia"/>
    <x v="14"/>
    <n v="94451279.50000006"/>
    <x v="19"/>
    <n v="0"/>
    <n v="97084366.00000003"/>
    <n v="0"/>
    <n v="99746766.49999994"/>
    <n v="0"/>
    <n v="102471895.49999996"/>
    <n v="0"/>
    <n v="105293228.50000003"/>
    <n v="0"/>
    <n v="108197949.49999994"/>
    <n v="0"/>
    <n v="111129438.00000001"/>
    <n v="8395"/>
    <n v="11263"/>
    <n v="114120593.49999996"/>
    <n v="5867"/>
    <n v="117190910.99999994"/>
    <n v="12174"/>
    <n v="120283026.00000006"/>
    <n v="12174"/>
    <n v="123379924.50000004"/>
    <n v="23741"/>
    <n v="11263"/>
    <n v="0"/>
    <n v="8395"/>
    <n v="23741"/>
    <n v="0"/>
    <s v=""/>
    <n v="11263"/>
    <s v="2018 (triag)"/>
    <n v="23741"/>
    <n v="2022"/>
    <s v=""/>
    <n v="23741"/>
    <n v="23741"/>
    <s v="Increasing"/>
    <m/>
    <m/>
    <m/>
    <m/>
    <n v="0"/>
    <n v="1.0135028308160794"/>
    <n v="1.9242190409996556"/>
    <n v="1.9242190409996556"/>
    <x v="1"/>
  </r>
  <r>
    <s v="Ethiopia"/>
    <x v="14"/>
    <n v="94451280.500000104"/>
    <x v="20"/>
    <n v="0"/>
    <n v="97084366.00000003"/>
    <n v="0"/>
    <m/>
    <n v="0"/>
    <m/>
    <n v="0"/>
    <m/>
    <n v="0"/>
    <m/>
    <n v="0"/>
    <n v="111129438.00000001"/>
    <n v="5867"/>
    <n v="5867"/>
    <m/>
    <n v="5867"/>
    <m/>
    <n v="9361"/>
    <m/>
    <n v="9361"/>
    <n v="123379924.50000004"/>
    <n v="8860"/>
    <n v="5867"/>
    <n v="0"/>
    <n v="5867"/>
    <n v="9361"/>
    <n v="0"/>
    <s v=""/>
    <n v="5867"/>
    <n v="2018"/>
    <n v="8860"/>
    <n v="2022"/>
    <s v=""/>
    <n v="8860"/>
    <n v="8860"/>
    <s v="Increasing"/>
    <m/>
    <m/>
    <m/>
    <m/>
    <n v="0"/>
    <n v="0.52794292003888288"/>
    <n v="0.71810710177570236"/>
    <n v="0.71810710177570236"/>
    <x v="1"/>
  </r>
  <r>
    <s v="Ethiopia"/>
    <x v="14"/>
    <n v="94451281.500000104"/>
    <x v="21"/>
    <n v="0"/>
    <n v="97084366.00000003"/>
    <n v="0"/>
    <m/>
    <n v="0"/>
    <m/>
    <n v="0"/>
    <m/>
    <n v="0"/>
    <m/>
    <n v="0"/>
    <n v="111129438.00000001"/>
    <n v="2528"/>
    <n v="5396"/>
    <m/>
    <n v="0"/>
    <m/>
    <n v="2813"/>
    <m/>
    <n v="2813"/>
    <n v="123379924.50000004"/>
    <n v="4467"/>
    <n v="5396"/>
    <n v="0"/>
    <n v="2528"/>
    <n v="4467"/>
    <n v="0"/>
    <s v=""/>
    <n v="5396"/>
    <s v="2018 (triag)"/>
    <n v="4467"/>
    <n v="2022"/>
    <s v="Adjust"/>
    <n v="4560.2238523992301"/>
    <n v="5396"/>
    <s v="Decreasing"/>
    <m/>
    <m/>
    <m/>
    <m/>
    <n v="0"/>
    <n v="0.48555991077719651"/>
    <n v="0.36960825441251005"/>
    <n v="0.43734829810177084"/>
    <x v="1"/>
  </r>
  <r>
    <s v="Ethiopia"/>
    <x v="14"/>
    <n v="94451282.500000104"/>
    <x v="22"/>
    <n v="0"/>
    <n v="97084366.00000003"/>
    <n v="0"/>
    <m/>
    <n v="0"/>
    <m/>
    <n v="0"/>
    <m/>
    <n v="0"/>
    <m/>
    <n v="88164"/>
    <n v="111129438.00000001"/>
    <n v="61772"/>
    <n v="61772"/>
    <m/>
    <n v="0"/>
    <m/>
    <n v="69824"/>
    <m/>
    <n v="69824"/>
    <n v="123379924.50000004"/>
    <n v="131262"/>
    <n v="61772"/>
    <n v="0"/>
    <n v="88164"/>
    <n v="131262"/>
    <n v="0"/>
    <s v=""/>
    <n v="61772"/>
    <n v="2018"/>
    <n v="131262"/>
    <n v="2022"/>
    <s v=""/>
    <n v="131262"/>
    <n v="131262"/>
    <s v="Increasing"/>
    <m/>
    <m/>
    <m/>
    <m/>
    <n v="0"/>
    <n v="5.5585631594753488"/>
    <n v="10.638845868316279"/>
    <n v="10.638845868316279"/>
    <x v="1"/>
  </r>
  <r>
    <s v="Ethiopia"/>
    <x v="14"/>
    <n v="94451283.500000104"/>
    <x v="23"/>
    <n v="0"/>
    <n v="97084366.00000003"/>
    <n v="0"/>
    <m/>
    <n v="0"/>
    <m/>
    <n v="0"/>
    <m/>
    <n v="0"/>
    <m/>
    <n v="0"/>
    <n v="111129438.00000001"/>
    <n v="61772"/>
    <n v="61772"/>
    <m/>
    <n v="0"/>
    <m/>
    <n v="69824"/>
    <m/>
    <n v="69824"/>
    <n v="123379924.50000004"/>
    <n v="70246"/>
    <n v="61772"/>
    <n v="0"/>
    <n v="61772"/>
    <n v="70246"/>
    <n v="0"/>
    <s v=""/>
    <n v="61772"/>
    <n v="2018"/>
    <n v="70246"/>
    <n v="2022"/>
    <s v=""/>
    <n v="70246"/>
    <n v="70246"/>
    <s v="Increasing"/>
    <m/>
    <m/>
    <m/>
    <m/>
    <n v="0"/>
    <n v="5.5585631594753488"/>
    <n v="5.6934708206925491"/>
    <n v="5.6934708206925491"/>
    <x v="1"/>
  </r>
  <r>
    <s v="Ethiopia"/>
    <x v="14"/>
    <n v="94451284.500000104"/>
    <x v="24"/>
    <n v="0"/>
    <n v="97084366.00000003"/>
    <n v="0"/>
    <m/>
    <n v="0"/>
    <m/>
    <n v="0"/>
    <m/>
    <n v="0"/>
    <m/>
    <n v="0"/>
    <n v="111129438.00000001"/>
    <n v="0"/>
    <n v="0"/>
    <m/>
    <n v="0"/>
    <m/>
    <n v="0"/>
    <m/>
    <n v="0"/>
    <n v="123379924.50000004"/>
    <n v="0"/>
    <n v="0"/>
    <n v="0"/>
    <n v="0"/>
    <n v="0"/>
    <n v="0"/>
    <s v=""/>
    <n v="0"/>
    <s v=""/>
    <n v="0"/>
    <s v=""/>
    <s v=""/>
    <n v="0"/>
    <n v="0"/>
    <s v="No change"/>
    <m/>
    <m/>
    <m/>
    <m/>
    <n v="0"/>
    <n v="0"/>
    <n v="0"/>
    <n v="0"/>
    <x v="1"/>
  </r>
  <r>
    <s v="Ethiopia"/>
    <x v="14"/>
    <n v="94451285.500000104"/>
    <x v="25"/>
    <n v="0"/>
    <n v="97084366.00000003"/>
    <n v="6925"/>
    <m/>
    <n v="0"/>
    <m/>
    <n v="0"/>
    <m/>
    <n v="12069"/>
    <m/>
    <n v="0"/>
    <n v="111129438.00000001"/>
    <n v="16159"/>
    <n v="16161"/>
    <m/>
    <n v="0"/>
    <m/>
    <n v="20355"/>
    <m/>
    <n v="20355"/>
    <n v="123379924.50000004"/>
    <n v="34541"/>
    <n v="16161"/>
    <n v="6925"/>
    <n v="16159"/>
    <n v="34541"/>
    <n v="6925"/>
    <n v="2013"/>
    <n v="16161"/>
    <s v="2018 (triag)"/>
    <n v="34541"/>
    <n v="2022"/>
    <s v=""/>
    <n v="34541"/>
    <n v="34541"/>
    <s v="Increasing"/>
    <m/>
    <m/>
    <m/>
    <m/>
    <n v="0.71329713375271953"/>
    <n v="1.4542501330745503"/>
    <n v="2.7995640409068323"/>
    <n v="2.7995640409068323"/>
    <x v="1"/>
  </r>
  <r>
    <s v="Ethiopia"/>
    <x v="14"/>
    <n v="94451286.500000104"/>
    <x v="26"/>
    <n v="0"/>
    <n v="97084366.00000003"/>
    <n v="6925"/>
    <m/>
    <n v="0"/>
    <m/>
    <n v="0"/>
    <m/>
    <n v="12069"/>
    <m/>
    <n v="0"/>
    <n v="111129438.00000001"/>
    <n v="16159"/>
    <n v="16159"/>
    <m/>
    <n v="0"/>
    <m/>
    <n v="20355"/>
    <m/>
    <n v="20355"/>
    <n v="123379924.50000004"/>
    <n v="21993"/>
    <n v="16159"/>
    <n v="6925"/>
    <n v="16159"/>
    <n v="21993"/>
    <n v="6925"/>
    <n v="2013"/>
    <n v="16159"/>
    <n v="2018"/>
    <n v="21993"/>
    <n v="2022"/>
    <s v=""/>
    <n v="21993"/>
    <n v="21993"/>
    <s v="Increasing"/>
    <m/>
    <m/>
    <m/>
    <m/>
    <n v="0.71329713375271953"/>
    <n v="1.4540701627592141"/>
    <n v="1.7825428317554199"/>
    <n v="1.7825428317554199"/>
    <x v="1"/>
  </r>
  <r>
    <s v="Ethiopia"/>
    <x v="14"/>
    <n v="94451287.500000104"/>
    <x v="27"/>
    <n v="0"/>
    <n v="97084366.00000003"/>
    <n v="0"/>
    <m/>
    <n v="0"/>
    <m/>
    <n v="0"/>
    <m/>
    <n v="0"/>
    <m/>
    <n v="0"/>
    <n v="111129438.00000001"/>
    <n v="0"/>
    <n v="2"/>
    <m/>
    <n v="0"/>
    <m/>
    <n v="0"/>
    <m/>
    <n v="0"/>
    <n v="123379924.50000004"/>
    <n v="0"/>
    <n v="2"/>
    <n v="0"/>
    <n v="0"/>
    <n v="0"/>
    <n v="0"/>
    <s v=""/>
    <n v="2"/>
    <s v="2018 (triag)"/>
    <n v="2"/>
    <s v="2018 (triag)"/>
    <s v=""/>
    <n v="2"/>
    <n v="2"/>
    <s v="No change"/>
    <m/>
    <m/>
    <m/>
    <m/>
    <n v="0"/>
    <n v="1.7997031533624778E-4"/>
    <n v="1.6210092590873641E-4"/>
    <n v="1.6210092590873641E-4"/>
    <x v="1"/>
  </r>
  <r>
    <s v="Ethiopia"/>
    <x v="14"/>
    <n v="94451288.500000104"/>
    <x v="28"/>
    <n v="0"/>
    <n v="97084366.00000003"/>
    <n v="0"/>
    <m/>
    <n v="0"/>
    <m/>
    <n v="0"/>
    <m/>
    <n v="0"/>
    <m/>
    <n v="0"/>
    <n v="111129438.00000001"/>
    <n v="10752"/>
    <n v="10752"/>
    <m/>
    <n v="0"/>
    <m/>
    <n v="5394"/>
    <m/>
    <n v="15498"/>
    <n v="123379924.50000004"/>
    <n v="22344"/>
    <n v="3907"/>
    <n v="0"/>
    <n v="10752"/>
    <n v="22344"/>
    <n v="0"/>
    <s v=""/>
    <n v="10752"/>
    <n v="2018"/>
    <n v="22344"/>
    <n v="2022"/>
    <s v=""/>
    <n v="22344"/>
    <n v="22344"/>
    <s v="Increasing"/>
    <m/>
    <m/>
    <m/>
    <m/>
    <n v="0"/>
    <n v="0.96752041524766808"/>
    <n v="1.8109915442524032"/>
    <n v="1.8109915442524032"/>
    <x v="1"/>
  </r>
  <r>
    <s v="Ethiopia"/>
    <x v="14"/>
    <n v="94451289.500000104"/>
    <x v="29"/>
    <n v="0"/>
    <n v="97084366.00000003"/>
    <n v="0"/>
    <m/>
    <n v="0"/>
    <m/>
    <n v="0"/>
    <m/>
    <n v="0"/>
    <m/>
    <n v="0"/>
    <n v="111129438.00000001"/>
    <n v="0"/>
    <n v="6845"/>
    <m/>
    <n v="0"/>
    <m/>
    <n v="10104"/>
    <m/>
    <n v="0"/>
    <n v="123379924.50000004"/>
    <n v="13620"/>
    <n v="6845"/>
    <n v="0"/>
    <n v="0"/>
    <n v="13620"/>
    <n v="0"/>
    <s v=""/>
    <n v="6845"/>
    <s v="2018 (triag)"/>
    <n v="13620"/>
    <n v="2022"/>
    <s v=""/>
    <n v="13620"/>
    <n v="13620"/>
    <s v="Increasing"/>
    <m/>
    <m/>
    <m/>
    <m/>
    <n v="0"/>
    <n v="0.61594840423830799"/>
    <n v="1.1039073054384949"/>
    <n v="1.1039073054384949"/>
    <x v="1"/>
  </r>
  <r>
    <s v="Ethiopia"/>
    <x v="14"/>
    <n v="94451290.500000104"/>
    <x v="30"/>
    <n v="0"/>
    <n v="97084366.00000003"/>
    <n v="0"/>
    <m/>
    <n v="0"/>
    <m/>
    <n v="0"/>
    <m/>
    <n v="0"/>
    <m/>
    <n v="0"/>
    <n v="111129438.00000001"/>
    <n v="1889"/>
    <n v="1889"/>
    <m/>
    <n v="52"/>
    <m/>
    <n v="228"/>
    <m/>
    <n v="0"/>
    <n v="123379924.50000004"/>
    <n v="3522"/>
    <n v="1745"/>
    <n v="0"/>
    <n v="1889"/>
    <n v="3522"/>
    <n v="0"/>
    <s v=""/>
    <n v="1889"/>
    <n v="2018"/>
    <n v="3522"/>
    <n v="2022"/>
    <s v=""/>
    <n v="3522"/>
    <n v="3522"/>
    <s v="Increasing"/>
    <m/>
    <m/>
    <m/>
    <m/>
    <n v="0"/>
    <n v="0.16998196283508604"/>
    <n v="0.28545973052528484"/>
    <n v="0.28545973052528484"/>
    <x v="1"/>
  </r>
  <r>
    <s v="Ethiopia"/>
    <x v="14"/>
    <n v="94451291.500000104"/>
    <x v="31"/>
    <n v="0"/>
    <n v="97084366.00000003"/>
    <n v="0"/>
    <m/>
    <n v="0"/>
    <m/>
    <n v="0"/>
    <m/>
    <n v="0"/>
    <m/>
    <n v="0"/>
    <n v="111129438.00000001"/>
    <n v="0"/>
    <n v="144"/>
    <m/>
    <n v="0"/>
    <m/>
    <n v="110"/>
    <m/>
    <n v="0"/>
    <n v="123379924.50000004"/>
    <n v="195"/>
    <n v="144"/>
    <n v="0"/>
    <n v="0"/>
    <n v="195"/>
    <n v="0"/>
    <s v=""/>
    <n v="144"/>
    <s v="2018 (triag)"/>
    <n v="195"/>
    <n v="2022"/>
    <s v=""/>
    <n v="195"/>
    <n v="195"/>
    <s v="Increasing"/>
    <m/>
    <m/>
    <m/>
    <m/>
    <n v="0"/>
    <n v="1.295786270420984E-2"/>
    <n v="1.5804840276101802E-2"/>
    <n v="1.5804840276101802E-2"/>
    <x v="1"/>
  </r>
  <r>
    <s v="Ethiopia"/>
    <x v="14"/>
    <n v="94451292.500000104"/>
    <x v="32"/>
    <n v="0"/>
    <n v="97084366.00000003"/>
    <n v="0"/>
    <m/>
    <n v="0"/>
    <m/>
    <n v="0"/>
    <m/>
    <n v="0"/>
    <m/>
    <n v="0"/>
    <n v="111129438.00000001"/>
    <n v="0"/>
    <n v="0"/>
    <m/>
    <n v="0"/>
    <m/>
    <n v="0"/>
    <m/>
    <n v="0"/>
    <n v="123379924.50000004"/>
    <n v="0"/>
    <n v="0"/>
    <n v="0"/>
    <n v="0"/>
    <n v="0"/>
    <n v="0"/>
    <s v=""/>
    <n v="0"/>
    <s v=""/>
    <n v="0"/>
    <s v=""/>
    <s v=""/>
    <n v="0"/>
    <n v="0"/>
    <s v="No change"/>
    <m/>
    <m/>
    <m/>
    <m/>
    <n v="0"/>
    <n v="0"/>
    <n v="0"/>
    <n v="0"/>
    <x v="1"/>
  </r>
  <r>
    <s v="Gabon"/>
    <x v="15"/>
    <n v="1836705"/>
    <x v="19"/>
    <n v="0"/>
    <n v="1902226.5000000007"/>
    <n v="0"/>
    <n v="1966855.5"/>
    <n v="0"/>
    <n v="2028517.0000000007"/>
    <n v="0"/>
    <n v="2086205.5000000009"/>
    <n v="715"/>
    <n v="2140215.5000000005"/>
    <n v="1408"/>
    <n v="2192011.5"/>
    <n v="1368"/>
    <n v="1368"/>
    <n v="2242785.5000000005"/>
    <n v="1368"/>
    <n v="2292572.9999999981"/>
    <n v="1362"/>
    <n v="2341178.9999999986"/>
    <n v="0"/>
    <n v="2388992.5000000005"/>
    <n v="1139"/>
    <n v="1368"/>
    <n v="0"/>
    <n v="1408"/>
    <n v="1362"/>
    <n v="0"/>
    <s v=""/>
    <n v="1368"/>
    <n v="2018"/>
    <n v="1139"/>
    <n v="2022"/>
    <s v="Adjust"/>
    <n v="1265.3898201501661"/>
    <n v="1368"/>
    <s v="Decreasing"/>
    <m/>
    <m/>
    <m/>
    <m/>
    <n v="0"/>
    <n v="6.2408431707589127"/>
    <n v="5.2967509113158195"/>
    <n v="5.7262632678838452"/>
    <x v="1"/>
  </r>
  <r>
    <s v="Gabon"/>
    <x v="15"/>
    <n v="1836706"/>
    <x v="20"/>
    <n v="0"/>
    <n v="1902226.5000000007"/>
    <n v="0"/>
    <m/>
    <n v="0"/>
    <m/>
    <n v="0"/>
    <m/>
    <n v="0"/>
    <m/>
    <n v="570"/>
    <n v="2192011.5"/>
    <n v="570"/>
    <n v="570"/>
    <m/>
    <n v="516"/>
    <m/>
    <n v="526"/>
    <m/>
    <n v="0"/>
    <n v="2388992.5000000005"/>
    <n v="612"/>
    <n v="570"/>
    <n v="0"/>
    <n v="570"/>
    <n v="612"/>
    <n v="0"/>
    <s v=""/>
    <n v="570"/>
    <n v="2017"/>
    <n v="612"/>
    <n v="2022"/>
    <s v=""/>
    <n v="612"/>
    <n v="612"/>
    <s v="Increasing"/>
    <m/>
    <m/>
    <m/>
    <m/>
    <n v="0"/>
    <n v="2.6003513211495468"/>
    <n v="2.5617493566848784"/>
    <n v="2.5617493566848784"/>
    <x v="1"/>
  </r>
  <r>
    <s v="Gabon"/>
    <x v="15"/>
    <n v="1836707"/>
    <x v="21"/>
    <n v="0"/>
    <n v="1902226.5000000007"/>
    <n v="0"/>
    <m/>
    <n v="0"/>
    <m/>
    <n v="0"/>
    <m/>
    <n v="0"/>
    <m/>
    <n v="838"/>
    <n v="2192011.5"/>
    <n v="798"/>
    <n v="798"/>
    <m/>
    <n v="851"/>
    <m/>
    <n v="835"/>
    <m/>
    <n v="0"/>
    <n v="2388992.5000000005"/>
    <n v="527"/>
    <n v="798"/>
    <n v="0"/>
    <n v="851"/>
    <n v="835"/>
    <n v="0"/>
    <s v=""/>
    <n v="798"/>
    <n v="2018"/>
    <n v="527"/>
    <n v="2022"/>
    <s v="Adjust"/>
    <n v="585.47887200977834"/>
    <n v="798"/>
    <s v="Decreasing"/>
    <m/>
    <m/>
    <m/>
    <m/>
    <n v="0"/>
    <n v="3.6404918496093654"/>
    <n v="2.450735496280454"/>
    <n v="3.3403202395989098"/>
    <x v="1"/>
  </r>
  <r>
    <s v="Gabon"/>
    <x v="15"/>
    <n v="1836708"/>
    <x v="22"/>
    <n v="0"/>
    <n v="1902226.5000000007"/>
    <n v="0"/>
    <m/>
    <n v="0"/>
    <m/>
    <n v="0"/>
    <m/>
    <n v="4596"/>
    <m/>
    <n v="5350"/>
    <n v="2192011.5"/>
    <n v="6085"/>
    <n v="6085"/>
    <m/>
    <n v="4711"/>
    <m/>
    <n v="5481"/>
    <m/>
    <n v="0"/>
    <n v="2388992.5000000005"/>
    <n v="4277"/>
    <n v="5352"/>
    <n v="0"/>
    <n v="6085"/>
    <n v="5481"/>
    <n v="0"/>
    <s v=""/>
    <n v="6085"/>
    <n v="2018"/>
    <n v="4277"/>
    <n v="2022"/>
    <s v="Adjust"/>
    <n v="4751.5998777719578"/>
    <n v="6085"/>
    <s v="Decreasing"/>
    <m/>
    <m/>
    <m/>
    <m/>
    <n v="0"/>
    <n v="27.75989085823683"/>
    <n v="19.889555441350097"/>
    <n v="25.470988293182163"/>
    <x v="1"/>
  </r>
  <r>
    <s v="Gabon"/>
    <x v="15"/>
    <n v="1836709"/>
    <x v="23"/>
    <n v="0"/>
    <n v="1902226.5000000007"/>
    <n v="0"/>
    <m/>
    <n v="0"/>
    <m/>
    <n v="0"/>
    <m/>
    <n v="0"/>
    <m/>
    <n v="1077"/>
    <n v="2192011.5"/>
    <n v="0"/>
    <n v="1077"/>
    <m/>
    <n v="3301"/>
    <m/>
    <n v="4844"/>
    <m/>
    <n v="0"/>
    <n v="2388992.5000000005"/>
    <n v="992"/>
    <n v="1077"/>
    <n v="0"/>
    <n v="3301"/>
    <n v="4844"/>
    <n v="0"/>
    <s v=""/>
    <n v="1077"/>
    <n v="2017"/>
    <n v="992"/>
    <n v="2022"/>
    <s v="Adjust"/>
    <n v="1102.0778767242884"/>
    <n v="1102.0778767242884"/>
    <s v="Increasing"/>
    <m/>
    <m/>
    <m/>
    <m/>
    <n v="0"/>
    <n v="4.9132953910141435"/>
    <n v="4.6131491694690885"/>
    <n v="4.6131491694690885"/>
    <x v="1"/>
  </r>
  <r>
    <s v="Gabon"/>
    <x v="15"/>
    <n v="1836710"/>
    <x v="24"/>
    <n v="0"/>
    <n v="1902226.5000000007"/>
    <n v="0"/>
    <m/>
    <n v="0"/>
    <m/>
    <n v="0"/>
    <m/>
    <n v="0"/>
    <m/>
    <n v="0"/>
    <n v="2192011.5"/>
    <n v="0"/>
    <n v="4275"/>
    <m/>
    <n v="1408"/>
    <m/>
    <n v="635"/>
    <m/>
    <n v="0"/>
    <n v="2388992.5000000005"/>
    <n v="3201"/>
    <n v="4275"/>
    <n v="0"/>
    <n v="1408"/>
    <n v="3201"/>
    <n v="0"/>
    <s v=""/>
    <n v="4275"/>
    <s v="2018 (triag)"/>
    <n v="3201"/>
    <n v="2022"/>
    <s v="Adjust"/>
    <n v="3556.2008905185962"/>
    <n v="4275"/>
    <s v="Decreasing"/>
    <m/>
    <m/>
    <m/>
    <m/>
    <n v="0"/>
    <n v="19.502634908621602"/>
    <n v="14.885776705111445"/>
    <n v="17.894572712137016"/>
    <x v="1"/>
  </r>
  <r>
    <s v="Gabon"/>
    <x v="15"/>
    <n v="1836711"/>
    <x v="25"/>
    <n v="0"/>
    <n v="1902226.5000000007"/>
    <n v="437"/>
    <m/>
    <n v="0"/>
    <m/>
    <n v="0"/>
    <m/>
    <n v="513"/>
    <m/>
    <n v="733"/>
    <n v="2192011.5"/>
    <n v="0"/>
    <n v="733"/>
    <m/>
    <n v="607"/>
    <m/>
    <n v="662"/>
    <m/>
    <n v="0"/>
    <n v="2388992.5000000005"/>
    <n v="920"/>
    <n v="733"/>
    <n v="437"/>
    <n v="733"/>
    <n v="920"/>
    <n v="437"/>
    <n v="2013"/>
    <n v="733"/>
    <n v="2017"/>
    <n v="920"/>
    <n v="2022"/>
    <s v=""/>
    <n v="920"/>
    <n v="920"/>
    <s v="Increasing"/>
    <m/>
    <m/>
    <m/>
    <m/>
    <n v="2.2973079178531046"/>
    <n v="3.3439605586010841"/>
    <n v="3.8509957649511239"/>
    <n v="3.8509957649511239"/>
    <x v="1"/>
  </r>
  <r>
    <s v="Gabon"/>
    <x v="15"/>
    <n v="1836712"/>
    <x v="26"/>
    <n v="0"/>
    <n v="1902226.5000000007"/>
    <n v="437"/>
    <m/>
    <n v="0"/>
    <m/>
    <n v="0"/>
    <m/>
    <n v="0"/>
    <m/>
    <n v="109"/>
    <n v="2192011.5"/>
    <n v="0"/>
    <n v="107"/>
    <m/>
    <n v="607"/>
    <m/>
    <n v="662"/>
    <m/>
    <n v="0"/>
    <n v="2388992.5000000005"/>
    <n v="867"/>
    <n v="107"/>
    <n v="437"/>
    <n v="607"/>
    <n v="867"/>
    <n v="437"/>
    <n v="2013"/>
    <n v="107"/>
    <s v="2018 (triag)"/>
    <n v="867"/>
    <n v="2022"/>
    <s v=""/>
    <n v="867"/>
    <n v="867"/>
    <s v="Increasing"/>
    <m/>
    <m/>
    <m/>
    <m/>
    <n v="2.2973079178531046"/>
    <n v="0.48813612519824828"/>
    <n v="3.6291449219702439"/>
    <n v="3.6291449219702439"/>
    <x v="1"/>
  </r>
  <r>
    <s v="Gabon"/>
    <x v="15"/>
    <n v="1836713"/>
    <x v="27"/>
    <n v="0"/>
    <n v="1902226.5000000007"/>
    <n v="0"/>
    <m/>
    <n v="0"/>
    <m/>
    <n v="0"/>
    <m/>
    <n v="0"/>
    <m/>
    <n v="0"/>
    <n v="2192011.5"/>
    <n v="0"/>
    <n v="626"/>
    <m/>
    <n v="0"/>
    <m/>
    <n v="0"/>
    <m/>
    <n v="0"/>
    <n v="2388992.5000000005"/>
    <n v="43"/>
    <n v="626"/>
    <n v="0"/>
    <n v="0"/>
    <n v="43"/>
    <n v="0"/>
    <s v=""/>
    <n v="626"/>
    <s v="2018 (triag)"/>
    <n v="43"/>
    <n v="2022"/>
    <s v="Adjust"/>
    <n v="47.77152086607299"/>
    <n v="626"/>
    <s v="Decreasing"/>
    <m/>
    <m/>
    <m/>
    <m/>
    <n v="0"/>
    <n v="2.8558244334028355"/>
    <n v="0.19996513537013191"/>
    <n v="2.6203514661515257"/>
    <x v="0"/>
  </r>
  <r>
    <s v="Gabon"/>
    <x v="15"/>
    <n v="1836714"/>
    <x v="28"/>
    <n v="0"/>
    <n v="1902226.5000000007"/>
    <n v="0"/>
    <m/>
    <n v="0"/>
    <m/>
    <n v="0"/>
    <m/>
    <n v="46"/>
    <m/>
    <n v="121"/>
    <n v="2192011.5"/>
    <n v="227"/>
    <n v="227"/>
    <m/>
    <n v="140"/>
    <m/>
    <n v="139"/>
    <m/>
    <n v="0"/>
    <n v="2388992.5000000005"/>
    <n v="168"/>
    <n v="121"/>
    <n v="0"/>
    <n v="227"/>
    <n v="168"/>
    <n v="0"/>
    <s v=""/>
    <n v="227"/>
    <n v="2018"/>
    <n v="168"/>
    <n v="2022"/>
    <s v="Adjust"/>
    <n v="186.64222105814565"/>
    <n v="227"/>
    <s v="Decreasing"/>
    <m/>
    <m/>
    <m/>
    <m/>
    <n v="0"/>
    <n v="1.0355785085981528"/>
    <n v="0.78125913353912002"/>
    <n v="0.95019134635207081"/>
    <x v="1"/>
  </r>
  <r>
    <s v="Gabon"/>
    <x v="15"/>
    <n v="1836715"/>
    <x v="29"/>
    <n v="0"/>
    <n v="1902226.5000000007"/>
    <n v="0"/>
    <m/>
    <n v="0"/>
    <m/>
    <n v="0"/>
    <m/>
    <n v="72"/>
    <m/>
    <n v="106"/>
    <n v="2192011.5"/>
    <n v="0"/>
    <n v="106"/>
    <m/>
    <n v="179"/>
    <m/>
    <n v="179"/>
    <m/>
    <n v="0"/>
    <n v="2388992.5000000005"/>
    <n v="233"/>
    <n v="106"/>
    <n v="0"/>
    <n v="179"/>
    <n v="233"/>
    <n v="0"/>
    <s v=""/>
    <n v="106"/>
    <n v="2017"/>
    <n v="233"/>
    <n v="2022"/>
    <s v=""/>
    <n v="233"/>
    <n v="233"/>
    <s v="Increasing"/>
    <m/>
    <m/>
    <m/>
    <m/>
    <n v="0"/>
    <n v="0.4835741053365824"/>
    <n v="0.97530653612349116"/>
    <n v="0.97530653612349116"/>
    <x v="1"/>
  </r>
  <r>
    <s v="Gabon"/>
    <x v="15"/>
    <n v="1836716"/>
    <x v="30"/>
    <n v="0"/>
    <n v="1902226.5000000007"/>
    <n v="0"/>
    <m/>
    <n v="0"/>
    <m/>
    <n v="0"/>
    <m/>
    <n v="0"/>
    <m/>
    <n v="37"/>
    <n v="2192011.5"/>
    <n v="40"/>
    <n v="40"/>
    <m/>
    <n v="34"/>
    <m/>
    <n v="34"/>
    <m/>
    <n v="0"/>
    <n v="2388992.5000000005"/>
    <n v="44"/>
    <n v="37"/>
    <n v="0"/>
    <n v="40"/>
    <n v="44"/>
    <n v="0"/>
    <s v=""/>
    <n v="40"/>
    <n v="2018"/>
    <n v="44"/>
    <n v="2022"/>
    <s v=""/>
    <n v="44"/>
    <n v="44"/>
    <s v="Increasing"/>
    <m/>
    <m/>
    <m/>
    <m/>
    <n v="0"/>
    <n v="0.18248079446663487"/>
    <n v="0.18417805832374942"/>
    <n v="0.18417805832374942"/>
    <x v="1"/>
  </r>
  <r>
    <s v="Gabon"/>
    <x v="15"/>
    <n v="1836717"/>
    <x v="31"/>
    <n v="0"/>
    <n v="1902226.5000000007"/>
    <n v="0"/>
    <m/>
    <n v="0"/>
    <m/>
    <n v="0"/>
    <m/>
    <n v="0"/>
    <m/>
    <n v="3"/>
    <n v="2192011.5"/>
    <n v="0"/>
    <n v="3"/>
    <m/>
    <n v="32"/>
    <m/>
    <n v="32"/>
    <m/>
    <n v="0"/>
    <n v="2388992.5000000005"/>
    <n v="67"/>
    <n v="3"/>
    <n v="0"/>
    <n v="32"/>
    <n v="67"/>
    <n v="0"/>
    <s v=""/>
    <n v="3"/>
    <n v="2017"/>
    <n v="67"/>
    <n v="2022"/>
    <s v=""/>
    <n v="67"/>
    <n v="67"/>
    <s v="Increasing"/>
    <m/>
    <m/>
    <m/>
    <m/>
    <n v="0"/>
    <n v="1.3686059584997615E-2"/>
    <n v="0.28045295244752749"/>
    <n v="0.28045295244752749"/>
    <x v="1"/>
  </r>
  <r>
    <s v="Gabon"/>
    <x v="15"/>
    <n v="1836718"/>
    <x v="32"/>
    <n v="0"/>
    <n v="1902226.5000000007"/>
    <n v="0"/>
    <m/>
    <n v="0"/>
    <m/>
    <n v="0"/>
    <m/>
    <n v="0"/>
    <m/>
    <n v="41"/>
    <n v="2192011.5"/>
    <n v="0"/>
    <n v="0"/>
    <m/>
    <n v="85"/>
    <m/>
    <n v="86"/>
    <m/>
    <n v="0"/>
    <n v="2388992.5000000005"/>
    <n v="175"/>
    <n v="0"/>
    <n v="0"/>
    <n v="85"/>
    <n v="175"/>
    <n v="0"/>
    <s v=""/>
    <n v="41"/>
    <n v="2017"/>
    <n v="175"/>
    <n v="2022"/>
    <s v=""/>
    <n v="175"/>
    <n v="175"/>
    <s v="Increasing"/>
    <m/>
    <m/>
    <m/>
    <m/>
    <n v="0"/>
    <n v="0.18704281432830075"/>
    <n v="0.73252636833309426"/>
    <n v="0.73252636833309426"/>
    <x v="1"/>
  </r>
  <r>
    <s v="Ghana"/>
    <x v="16"/>
    <n v="26858761.999999993"/>
    <x v="19"/>
    <n v="2486"/>
    <n v="27525596.999999989"/>
    <n v="2730"/>
    <n v="28196358.499999996"/>
    <n v="3016"/>
    <n v="28870939.000000007"/>
    <n v="3263"/>
    <n v="29554302.499999993"/>
    <n v="3618"/>
    <n v="30222261.500000004"/>
    <n v="2679"/>
    <n v="30870640.5"/>
    <n v="4406"/>
    <n v="4406"/>
    <n v="31522289.999999996"/>
    <n v="3236"/>
    <n v="32180401.499999981"/>
    <n v="5285"/>
    <n v="32833031.499999996"/>
    <n v="4169"/>
    <n v="33475870.500000011"/>
    <n v="4726"/>
    <n v="4406"/>
    <n v="3263"/>
    <n v="4406"/>
    <n v="5285"/>
    <n v="2730"/>
    <n v="2013"/>
    <n v="4406"/>
    <n v="2018"/>
    <n v="4726"/>
    <n v="2022"/>
    <s v=""/>
    <n v="4726"/>
    <n v="4726"/>
    <s v="Increasing"/>
    <m/>
    <m/>
    <m/>
    <m/>
    <n v="0.99180410146962517"/>
    <n v="1.4272460592451912"/>
    <n v="1.411763138467153"/>
    <n v="1.411763138467153"/>
    <x v="1"/>
  </r>
  <r>
    <s v="Ghana"/>
    <x v="16"/>
    <n v="26858763"/>
    <x v="20"/>
    <n v="0"/>
    <n v="27525596.999999989"/>
    <n v="0"/>
    <m/>
    <n v="0"/>
    <m/>
    <n v="0"/>
    <m/>
    <n v="0"/>
    <m/>
    <n v="1757"/>
    <n v="30870640.5"/>
    <n v="3316"/>
    <n v="3316"/>
    <m/>
    <n v="2181"/>
    <m/>
    <n v="0"/>
    <m/>
    <n v="3034"/>
    <n v="33475870.500000011"/>
    <n v="3344"/>
    <n v="3316"/>
    <n v="0"/>
    <n v="3316"/>
    <n v="3344"/>
    <n v="0"/>
    <s v=""/>
    <n v="3316"/>
    <n v="2018"/>
    <n v="3344"/>
    <n v="2022"/>
    <s v=""/>
    <n v="3344"/>
    <n v="3344"/>
    <s v="Increasing"/>
    <m/>
    <m/>
    <m/>
    <m/>
    <n v="0"/>
    <n v="1.074159766785532"/>
    <n v="0.99892846699834104"/>
    <n v="0.99892846699834104"/>
    <x v="1"/>
  </r>
  <r>
    <s v="Ghana"/>
    <x v="16"/>
    <n v="26858764"/>
    <x v="21"/>
    <n v="0"/>
    <n v="27525596.999999989"/>
    <n v="0"/>
    <m/>
    <n v="0"/>
    <m/>
    <n v="0"/>
    <m/>
    <n v="0"/>
    <m/>
    <n v="861"/>
    <n v="30870640.5"/>
    <n v="1090"/>
    <n v="1090"/>
    <m/>
    <n v="1055"/>
    <m/>
    <n v="0"/>
    <m/>
    <n v="1135"/>
    <n v="33475870.500000011"/>
    <n v="1382"/>
    <n v="1090"/>
    <n v="0"/>
    <n v="1090"/>
    <n v="1382"/>
    <n v="0"/>
    <s v=""/>
    <n v="1090"/>
    <n v="2018"/>
    <n v="1382"/>
    <n v="2022"/>
    <s v=""/>
    <n v="1382"/>
    <n v="1382"/>
    <s v="Increasing"/>
    <m/>
    <m/>
    <m/>
    <m/>
    <n v="0"/>
    <n v="0.35308629245965922"/>
    <n v="0.41283467146881198"/>
    <n v="0.41283467146881198"/>
    <x v="1"/>
  </r>
  <r>
    <s v="Ghana"/>
    <x v="16"/>
    <n v="26858765"/>
    <x v="22"/>
    <n v="0"/>
    <n v="27525596.999999989"/>
    <n v="0"/>
    <m/>
    <n v="37404"/>
    <m/>
    <n v="48939"/>
    <m/>
    <n v="52605"/>
    <m/>
    <n v="58608"/>
    <n v="30870640.5"/>
    <n v="125024"/>
    <n v="125024"/>
    <m/>
    <n v="69789"/>
    <m/>
    <n v="95789"/>
    <m/>
    <n v="93144"/>
    <n v="33475870.500000011"/>
    <n v="102943"/>
    <n v="42827"/>
    <n v="48939"/>
    <n v="125024"/>
    <n v="102943"/>
    <n v="37404"/>
    <n v="2014"/>
    <n v="125024"/>
    <n v="2018"/>
    <n v="102943"/>
    <n v="2022"/>
    <s v="Adjust"/>
    <n v="124204.27697797566"/>
    <n v="125024"/>
    <s v="Decreasing"/>
    <m/>
    <m/>
    <m/>
    <m/>
    <n v="13.588806084750864"/>
    <n v="40.499321677501314"/>
    <n v="37.102627989308182"/>
    <n v="37.347497804426013"/>
    <x v="1"/>
  </r>
  <r>
    <s v="Ghana"/>
    <x v="16"/>
    <n v="26858766"/>
    <x v="23"/>
    <n v="0"/>
    <n v="27525596.999999989"/>
    <n v="0"/>
    <m/>
    <n v="15412"/>
    <m/>
    <n v="0"/>
    <m/>
    <n v="0"/>
    <m/>
    <n v="21927"/>
    <n v="30870640.5"/>
    <n v="60530"/>
    <n v="60530"/>
    <m/>
    <n v="25959"/>
    <m/>
    <n v="0"/>
    <m/>
    <n v="41308"/>
    <n v="33475870.500000011"/>
    <n v="46459"/>
    <n v="22303"/>
    <n v="15412"/>
    <n v="60530"/>
    <n v="46459"/>
    <n v="15412"/>
    <n v="2014"/>
    <n v="60530"/>
    <n v="2018"/>
    <n v="46459"/>
    <n v="2022"/>
    <s v="Adjust"/>
    <n v="56054.384505209397"/>
    <n v="60530"/>
    <s v="Decreasing"/>
    <m/>
    <m/>
    <m/>
    <m/>
    <n v="5.5991519457325509"/>
    <n v="19.607626864755204"/>
    <n v="16.744713032991744"/>
    <n v="18.081680654129659"/>
    <x v="1"/>
  </r>
  <r>
    <s v="Ghana"/>
    <x v="16"/>
    <n v="26858767"/>
    <x v="24"/>
    <n v="0"/>
    <n v="27525596.999999989"/>
    <n v="0"/>
    <m/>
    <n v="21992"/>
    <m/>
    <n v="0"/>
    <m/>
    <n v="0"/>
    <m/>
    <n v="36681"/>
    <n v="30870640.5"/>
    <n v="64494"/>
    <n v="64494"/>
    <m/>
    <n v="43830"/>
    <m/>
    <n v="0"/>
    <m/>
    <n v="51836"/>
    <n v="33475870.500000011"/>
    <n v="56484"/>
    <n v="20524"/>
    <n v="21992"/>
    <n v="64494"/>
    <n v="56484"/>
    <n v="21992"/>
    <n v="2014"/>
    <n v="64494"/>
    <n v="2018"/>
    <n v="56484"/>
    <n v="2022"/>
    <s v="Adjust"/>
    <n v="68149.892472766252"/>
    <n v="68149.892472766252"/>
    <s v="Increasing"/>
    <m/>
    <m/>
    <m/>
    <m/>
    <n v="7.989654139018314"/>
    <n v="20.89169481274611"/>
    <n v="20.357914956316442"/>
    <n v="20.357914956316442"/>
    <x v="1"/>
  </r>
  <r>
    <s v="Ghana"/>
    <x v="16"/>
    <n v="26858768"/>
    <x v="25"/>
    <n v="0"/>
    <n v="27525596.999999989"/>
    <n v="11287"/>
    <m/>
    <n v="0"/>
    <m/>
    <n v="6808"/>
    <m/>
    <n v="7662"/>
    <m/>
    <n v="9554"/>
    <n v="30870640.5"/>
    <n v="10489"/>
    <n v="10625"/>
    <m/>
    <n v="12673"/>
    <m/>
    <n v="16700"/>
    <m/>
    <n v="19141"/>
    <n v="33475870.500000011"/>
    <n v="23882"/>
    <n v="10625"/>
    <n v="11287"/>
    <n v="12673"/>
    <n v="23882"/>
    <n v="11287"/>
    <n v="2013"/>
    <n v="10625"/>
    <s v="2018 (triag)"/>
    <n v="23882"/>
    <n v="2022"/>
    <s v=""/>
    <n v="23882"/>
    <n v="23882"/>
    <s v="Increasing"/>
    <m/>
    <m/>
    <m/>
    <m/>
    <n v="4.1005468473581175"/>
    <n v="3.441781520535669"/>
    <n v="7.1340937945138698"/>
    <n v="7.1340937945138698"/>
    <x v="1"/>
  </r>
  <r>
    <s v="Ghana"/>
    <x v="16"/>
    <n v="26858769"/>
    <x v="26"/>
    <n v="0"/>
    <n v="27525596.999999989"/>
    <n v="4185"/>
    <m/>
    <n v="0"/>
    <m/>
    <n v="0"/>
    <m/>
    <n v="0"/>
    <m/>
    <n v="9554"/>
    <n v="30870640.5"/>
    <n v="10489"/>
    <n v="10625"/>
    <m/>
    <n v="12673"/>
    <m/>
    <n v="0"/>
    <m/>
    <n v="19141"/>
    <n v="33475870.500000011"/>
    <n v="23882"/>
    <n v="10625"/>
    <n v="4185"/>
    <n v="12673"/>
    <n v="23882"/>
    <n v="4185"/>
    <n v="2013"/>
    <n v="10625"/>
    <s v="2018 (triag)"/>
    <n v="23882"/>
    <n v="2022"/>
    <s v=""/>
    <n v="23882"/>
    <n v="23882"/>
    <s v="Increasing"/>
    <m/>
    <m/>
    <m/>
    <m/>
    <n v="1.5204029907144254"/>
    <n v="3.441781520535669"/>
    <n v="7.1340937945138698"/>
    <n v="7.1340937945138698"/>
    <x v="1"/>
  </r>
  <r>
    <s v="Ghana"/>
    <x v="16"/>
    <n v="26858770"/>
    <x v="27"/>
    <n v="0"/>
    <n v="27525596.999999989"/>
    <n v="0"/>
    <m/>
    <n v="0"/>
    <m/>
    <n v="0"/>
    <m/>
    <n v="0"/>
    <m/>
    <n v="0"/>
    <n v="30870640.5"/>
    <n v="0"/>
    <n v="0"/>
    <m/>
    <n v="0"/>
    <m/>
    <n v="0"/>
    <m/>
    <n v="0"/>
    <n v="33475870.500000011"/>
    <n v="0"/>
    <n v="0"/>
    <n v="0"/>
    <n v="0"/>
    <n v="0"/>
    <n v="0"/>
    <s v=""/>
    <n v="0"/>
    <s v=""/>
    <n v="0"/>
    <s v=""/>
    <s v=""/>
    <n v="0"/>
    <n v="0"/>
    <s v="No change"/>
    <m/>
    <m/>
    <m/>
    <m/>
    <n v="0"/>
    <n v="0"/>
    <n v="0"/>
    <n v="0"/>
    <x v="1"/>
  </r>
  <r>
    <s v="Ghana"/>
    <x v="16"/>
    <n v="26858771"/>
    <x v="28"/>
    <n v="0"/>
    <n v="27525596.999999989"/>
    <n v="0"/>
    <m/>
    <n v="0"/>
    <m/>
    <n v="0"/>
    <m/>
    <n v="570"/>
    <m/>
    <n v="718"/>
    <n v="30870640.5"/>
    <n v="918"/>
    <n v="918"/>
    <m/>
    <n v="1138"/>
    <m/>
    <n v="1388"/>
    <m/>
    <n v="1035"/>
    <n v="33475870.500000011"/>
    <n v="5736"/>
    <n v="775"/>
    <n v="0"/>
    <n v="1138"/>
    <n v="5736"/>
    <n v="0"/>
    <s v=""/>
    <n v="918"/>
    <n v="2018"/>
    <n v="5736"/>
    <n v="2022"/>
    <s v=""/>
    <n v="5736"/>
    <n v="5736"/>
    <s v="Increasing"/>
    <m/>
    <m/>
    <m/>
    <m/>
    <n v="0"/>
    <n v="0.29736992337428181"/>
    <n v="1.7134729924349534"/>
    <n v="1.7134729924349534"/>
    <x v="1"/>
  </r>
  <r>
    <s v="Ghana"/>
    <x v="16"/>
    <n v="26858772"/>
    <x v="29"/>
    <n v="0"/>
    <n v="27525596.999999989"/>
    <n v="0"/>
    <m/>
    <n v="0"/>
    <m/>
    <n v="0"/>
    <m/>
    <n v="0"/>
    <m/>
    <n v="821"/>
    <n v="30870640.5"/>
    <n v="0"/>
    <n v="1352"/>
    <m/>
    <n v="0"/>
    <m/>
    <n v="0"/>
    <m/>
    <n v="1096"/>
    <n v="33475870.500000011"/>
    <n v="1507"/>
    <n v="1352"/>
    <n v="0"/>
    <n v="821"/>
    <n v="1507"/>
    <n v="0"/>
    <s v=""/>
    <n v="1352"/>
    <s v="2018 (triag)"/>
    <n v="1507"/>
    <n v="2022"/>
    <s v=""/>
    <n v="1507"/>
    <n v="1507"/>
    <s v="Increasing"/>
    <m/>
    <m/>
    <m/>
    <m/>
    <n v="0"/>
    <n v="0.43795657560133877"/>
    <n v="0.45017499993017346"/>
    <n v="0.45017499993017346"/>
    <x v="1"/>
  </r>
  <r>
    <s v="Ghana"/>
    <x v="16"/>
    <n v="26858773"/>
    <x v="30"/>
    <n v="0"/>
    <n v="27525596.999999989"/>
    <n v="0"/>
    <m/>
    <n v="0"/>
    <m/>
    <n v="0"/>
    <m/>
    <n v="400"/>
    <m/>
    <n v="0"/>
    <n v="30870640.5"/>
    <n v="713"/>
    <n v="713"/>
    <m/>
    <n v="0"/>
    <m/>
    <n v="0"/>
    <m/>
    <n v="0"/>
    <n v="33475870.500000011"/>
    <n v="202"/>
    <n v="486"/>
    <n v="0"/>
    <n v="713"/>
    <n v="202"/>
    <n v="0"/>
    <s v=""/>
    <n v="713"/>
    <n v="2018"/>
    <n v="202"/>
    <n v="2022"/>
    <s v="Adjust"/>
    <n v="243.71996104204348"/>
    <n v="713"/>
    <s v="Decreasing"/>
    <m/>
    <m/>
    <m/>
    <m/>
    <n v="0"/>
    <n v="0.2309637858015936"/>
    <n v="7.280466718320093E-2"/>
    <n v="0.21298923354360561"/>
    <x v="0"/>
  </r>
  <r>
    <s v="Ghana"/>
    <x v="16"/>
    <n v="26858774"/>
    <x v="31"/>
    <n v="0"/>
    <n v="27525596.999999989"/>
    <n v="0"/>
    <m/>
    <n v="0"/>
    <m/>
    <n v="0"/>
    <m/>
    <n v="516"/>
    <m/>
    <n v="46"/>
    <n v="30870640.5"/>
    <n v="0"/>
    <n v="227"/>
    <m/>
    <n v="0"/>
    <m/>
    <n v="0"/>
    <m/>
    <n v="396"/>
    <n v="33475870.500000011"/>
    <n v="488"/>
    <n v="227"/>
    <n v="0"/>
    <n v="516"/>
    <n v="488"/>
    <n v="0"/>
    <s v=""/>
    <n v="227"/>
    <s v="2018 (triag)"/>
    <n v="488"/>
    <n v="2022"/>
    <s v=""/>
    <n v="488"/>
    <n v="488"/>
    <s v="Increasing"/>
    <m/>
    <m/>
    <m/>
    <m/>
    <n v="0"/>
    <n v="7.3532649897562058E-2"/>
    <n v="0.14577664231315504"/>
    <n v="0.14577664231315504"/>
    <x v="1"/>
  </r>
  <r>
    <s v="Ghana"/>
    <x v="16"/>
    <n v="26858775"/>
    <x v="32"/>
    <n v="0"/>
    <n v="27525596.999999989"/>
    <n v="0"/>
    <m/>
    <n v="0"/>
    <m/>
    <n v="0"/>
    <m/>
    <n v="0"/>
    <m/>
    <n v="0"/>
    <n v="30870640.5"/>
    <n v="0"/>
    <n v="0"/>
    <m/>
    <n v="0"/>
    <m/>
    <n v="0"/>
    <m/>
    <n v="48"/>
    <n v="33475870.500000011"/>
    <n v="65"/>
    <n v="0"/>
    <n v="0"/>
    <n v="0"/>
    <n v="65"/>
    <n v="0"/>
    <s v=""/>
    <n v="0"/>
    <s v=""/>
    <n v="65"/>
    <n v="2022"/>
    <s v=""/>
    <n v="65"/>
    <n v="65"/>
    <s v="Increasing"/>
    <m/>
    <m/>
    <m/>
    <m/>
    <n v="0"/>
    <n v="0"/>
    <n v="1.9416970799907944E-2"/>
    <n v="1.9416970799907944E-2"/>
    <x v="1"/>
  </r>
  <r>
    <s v="Guinea"/>
    <x v="17"/>
    <n v="10788692"/>
    <x v="19"/>
    <n v="0"/>
    <n v="11055430.000000004"/>
    <n v="0"/>
    <n v="11333365.500000002"/>
    <n v="1844"/>
    <n v="11625998.500000007"/>
    <n v="977"/>
    <n v="11930984.999999998"/>
    <n v="977"/>
    <n v="12240788.500000004"/>
    <n v="0"/>
    <n v="12554864.499999998"/>
    <n v="2787"/>
    <n v="2787"/>
    <n v="12877538.499999994"/>
    <n v="0"/>
    <n v="13205152.499999998"/>
    <n v="0"/>
    <n v="13531906.000000004"/>
    <n v="0"/>
    <n v="13859340.500000006"/>
    <n v="297"/>
    <n v="2787"/>
    <n v="1844"/>
    <n v="2787"/>
    <n v="297"/>
    <n v="1844"/>
    <n v="2014"/>
    <n v="2787"/>
    <n v="2018"/>
    <n v="297"/>
    <n v="2022"/>
    <s v="Adjust"/>
    <n v="341.34169736316329"/>
    <n v="2787"/>
    <s v="Decreasing"/>
    <m/>
    <m/>
    <m/>
    <m/>
    <n v="1.667958641138336"/>
    <n v="2.2198566937938682"/>
    <n v="0.24629000013612709"/>
    <n v="2.0109181962879106"/>
    <x v="0"/>
  </r>
  <r>
    <s v="Guinea"/>
    <x v="17"/>
    <n v="10788693"/>
    <x v="20"/>
    <n v="0"/>
    <n v="11055430.000000004"/>
    <n v="0"/>
    <m/>
    <n v="0"/>
    <m/>
    <n v="0"/>
    <m/>
    <n v="0"/>
    <m/>
    <n v="0"/>
    <n v="12554864.499999998"/>
    <n v="2649"/>
    <n v="2649"/>
    <m/>
    <n v="0"/>
    <m/>
    <n v="0"/>
    <m/>
    <n v="0"/>
    <n v="13859340.500000006"/>
    <n v="0"/>
    <n v="2649"/>
    <n v="0"/>
    <n v="2649"/>
    <n v="0"/>
    <n v="0"/>
    <s v=""/>
    <n v="2649"/>
    <n v="2018"/>
    <n v="2649"/>
    <n v="2018"/>
    <s v=""/>
    <n v="2649"/>
    <n v="2649"/>
    <s v="No change"/>
    <m/>
    <m/>
    <m/>
    <m/>
    <n v="0"/>
    <n v="2.1099391395263569"/>
    <n v="1.9113463587967976"/>
    <n v="1.9113463587967976"/>
    <x v="1"/>
  </r>
  <r>
    <s v="Guinea"/>
    <x v="17"/>
    <n v="10788694"/>
    <x v="21"/>
    <n v="0"/>
    <n v="11055430.000000004"/>
    <n v="0"/>
    <m/>
    <n v="0"/>
    <m/>
    <n v="0"/>
    <m/>
    <n v="0"/>
    <m/>
    <n v="0"/>
    <n v="12554864.499999998"/>
    <n v="138"/>
    <n v="138"/>
    <m/>
    <n v="0"/>
    <m/>
    <n v="0"/>
    <m/>
    <n v="0"/>
    <n v="13859340.500000006"/>
    <n v="296"/>
    <n v="138"/>
    <n v="0"/>
    <n v="138"/>
    <n v="296"/>
    <n v="0"/>
    <s v=""/>
    <n v="138"/>
    <n v="2018"/>
    <n v="296"/>
    <n v="2022"/>
    <s v=""/>
    <n v="296"/>
    <n v="296"/>
    <s v="Increasing"/>
    <m/>
    <m/>
    <m/>
    <m/>
    <n v="0"/>
    <n v="0.10991755426751122"/>
    <n v="0.21357437606789434"/>
    <n v="0.21357437606789434"/>
    <x v="1"/>
  </r>
  <r>
    <s v="Guinea"/>
    <x v="17"/>
    <n v="10788695"/>
    <x v="22"/>
    <n v="0"/>
    <n v="11055430.000000004"/>
    <n v="0"/>
    <m/>
    <n v="5789"/>
    <m/>
    <n v="4389"/>
    <m/>
    <n v="1010"/>
    <m/>
    <n v="0"/>
    <n v="12554864.499999998"/>
    <n v="7195"/>
    <n v="7195"/>
    <m/>
    <n v="0"/>
    <m/>
    <n v="0"/>
    <m/>
    <n v="0"/>
    <n v="13859340.500000006"/>
    <n v="4367"/>
    <n v="6329"/>
    <n v="5789"/>
    <n v="7195"/>
    <n v="4367"/>
    <n v="5789"/>
    <n v="2014"/>
    <n v="7195"/>
    <n v="2018"/>
    <n v="4367"/>
    <n v="2022"/>
    <s v="Adjust"/>
    <n v="5018.9871797472533"/>
    <n v="7195"/>
    <s v="Decreasing"/>
    <m/>
    <m/>
    <m/>
    <m/>
    <n v="5.2363408750270208"/>
    <n v="5.7308463982227771"/>
    <n v="3.6213751871867581"/>
    <n v="5.191444715569256"/>
    <x v="1"/>
  </r>
  <r>
    <s v="Guinea"/>
    <x v="17"/>
    <n v="10788696"/>
    <x v="23"/>
    <n v="0"/>
    <n v="11055430.000000004"/>
    <n v="0"/>
    <m/>
    <n v="1505"/>
    <m/>
    <n v="913"/>
    <m/>
    <n v="0"/>
    <m/>
    <n v="0"/>
    <n v="12554864.499999998"/>
    <n v="0"/>
    <n v="2344"/>
    <m/>
    <n v="0"/>
    <m/>
    <n v="0"/>
    <m/>
    <n v="0"/>
    <n v="13859340.500000006"/>
    <n v="1687"/>
    <n v="2344"/>
    <n v="1505"/>
    <n v="0"/>
    <n v="1687"/>
    <n v="1505"/>
    <n v="2014"/>
    <n v="2344"/>
    <s v="2018 (triag)"/>
    <n v="1687"/>
    <n v="2022"/>
    <s v="Adjust"/>
    <n v="1938.8668129685404"/>
    <n v="2344"/>
    <s v="Decreasing"/>
    <m/>
    <m/>
    <m/>
    <m/>
    <n v="1.3613219929030345"/>
    <n v="1.8670054145148283"/>
    <n v="1.3989603711435907"/>
    <n v="1.6912781672403525"/>
    <x v="1"/>
  </r>
  <r>
    <s v="Guinea"/>
    <x v="17"/>
    <n v="10788697"/>
    <x v="24"/>
    <n v="0"/>
    <n v="11055430.000000004"/>
    <n v="0"/>
    <m/>
    <n v="4284"/>
    <m/>
    <n v="3476"/>
    <m/>
    <n v="0"/>
    <m/>
    <n v="0"/>
    <n v="12554864.499999998"/>
    <n v="0"/>
    <n v="3985"/>
    <m/>
    <n v="0"/>
    <m/>
    <n v="0"/>
    <m/>
    <n v="0"/>
    <n v="13859340.500000006"/>
    <n v="2680"/>
    <n v="3985"/>
    <n v="4284"/>
    <n v="0"/>
    <n v="2680"/>
    <n v="4284"/>
    <n v="2014"/>
    <n v="3985"/>
    <s v="2018 (triag)"/>
    <n v="2680"/>
    <n v="2022"/>
    <s v="Adjust"/>
    <n v="3080.1203667787127"/>
    <n v="3985"/>
    <s v="Decreasing"/>
    <m/>
    <m/>
    <m/>
    <m/>
    <n v="3.8750188821239866"/>
    <n v="3.1740685054784943"/>
    <n v="2.2224148160431669"/>
    <n v="2.8753171913194557"/>
    <x v="1"/>
  </r>
  <r>
    <s v="Guinea"/>
    <x v="17"/>
    <n v="10788698"/>
    <x v="25"/>
    <n v="0"/>
    <n v="11055430.000000004"/>
    <n v="500"/>
    <m/>
    <n v="500"/>
    <m/>
    <n v="376"/>
    <m/>
    <n v="443"/>
    <m/>
    <n v="0"/>
    <n v="12554864.499999998"/>
    <n v="0"/>
    <n v="866"/>
    <m/>
    <n v="0"/>
    <m/>
    <n v="0"/>
    <m/>
    <n v="0"/>
    <n v="13859340.500000006"/>
    <n v="777"/>
    <n v="866"/>
    <n v="500"/>
    <n v="443"/>
    <n v="777"/>
    <n v="500"/>
    <n v="2013"/>
    <n v="866"/>
    <s v="2018 (triag)"/>
    <n v="777"/>
    <n v="2022"/>
    <s v="Adjust"/>
    <n v="893.00504663696256"/>
    <n v="893.00504663696256"/>
    <s v="Increasing"/>
    <m/>
    <m/>
    <m/>
    <m/>
    <n v="0.45226644282492839"/>
    <n v="0.68977247822945453"/>
    <n v="0.64433444480057489"/>
    <n v="0.64433444480057489"/>
    <x v="1"/>
  </r>
  <r>
    <s v="Guinea"/>
    <x v="17"/>
    <n v="10788699"/>
    <x v="26"/>
    <n v="0"/>
    <n v="11055430.000000004"/>
    <n v="500"/>
    <m/>
    <n v="0"/>
    <m/>
    <n v="376"/>
    <m/>
    <n v="0"/>
    <m/>
    <n v="0"/>
    <n v="12554864.499999998"/>
    <n v="0"/>
    <n v="866"/>
    <m/>
    <n v="0"/>
    <m/>
    <n v="0"/>
    <m/>
    <n v="0"/>
    <n v="13859340.500000006"/>
    <n v="777"/>
    <n v="866"/>
    <n v="500"/>
    <n v="0"/>
    <n v="777"/>
    <n v="500"/>
    <n v="2013"/>
    <n v="866"/>
    <s v="2018 (triag)"/>
    <n v="777"/>
    <n v="2022"/>
    <s v="Adjust"/>
    <n v="893.00504663696256"/>
    <n v="893.00504663696256"/>
    <s v="Increasing"/>
    <m/>
    <m/>
    <m/>
    <m/>
    <n v="0.45226644282492839"/>
    <n v="0.68977247822945453"/>
    <n v="0.64433444480057489"/>
    <n v="0.64433444480057489"/>
    <x v="1"/>
  </r>
  <r>
    <s v="Guinea"/>
    <x v="17"/>
    <n v="10788700"/>
    <x v="27"/>
    <n v="0"/>
    <n v="11055430.000000004"/>
    <n v="0"/>
    <m/>
    <n v="0"/>
    <m/>
    <n v="0"/>
    <m/>
    <n v="0"/>
    <m/>
    <n v="0"/>
    <n v="12554864.499999998"/>
    <n v="0"/>
    <n v="0"/>
    <m/>
    <n v="0"/>
    <m/>
    <n v="0"/>
    <m/>
    <n v="0"/>
    <n v="13859340.500000006"/>
    <n v="0"/>
    <n v="0"/>
    <n v="0"/>
    <n v="0"/>
    <n v="0"/>
    <n v="0"/>
    <s v=""/>
    <n v="0"/>
    <s v=""/>
    <n v="0"/>
    <s v=""/>
    <s v=""/>
    <n v="0"/>
    <n v="0"/>
    <s v="No change"/>
    <m/>
    <m/>
    <m/>
    <m/>
    <n v="0"/>
    <n v="0"/>
    <n v="0"/>
    <n v="0"/>
    <x v="1"/>
  </r>
  <r>
    <s v="Guinea"/>
    <x v="17"/>
    <n v="10788701"/>
    <x v="28"/>
    <n v="0"/>
    <n v="11055430.000000004"/>
    <n v="0"/>
    <m/>
    <n v="0"/>
    <m/>
    <n v="142"/>
    <m/>
    <n v="107"/>
    <m/>
    <n v="0"/>
    <n v="12554864.499999998"/>
    <n v="255"/>
    <n v="255"/>
    <m/>
    <n v="0"/>
    <m/>
    <n v="0"/>
    <m/>
    <n v="0"/>
    <n v="13859340.500000006"/>
    <n v="0"/>
    <n v="255"/>
    <n v="142"/>
    <n v="255"/>
    <n v="0"/>
    <n v="142"/>
    <n v="2015"/>
    <n v="255"/>
    <n v="2018"/>
    <n v="255"/>
    <n v="2018"/>
    <s v=""/>
    <n v="255"/>
    <n v="255"/>
    <s v="No change"/>
    <m/>
    <m/>
    <m/>
    <m/>
    <n v="0.12844366976227967"/>
    <n v="0.20310852418996639"/>
    <n v="0.18399143884227384"/>
    <n v="0.18399143884227384"/>
    <x v="1"/>
  </r>
  <r>
    <s v="Guinea"/>
    <x v="17"/>
    <n v="10788702"/>
    <x v="29"/>
    <n v="0"/>
    <n v="11055430.000000004"/>
    <n v="0"/>
    <m/>
    <n v="0"/>
    <m/>
    <n v="0"/>
    <m/>
    <n v="0"/>
    <m/>
    <n v="0"/>
    <n v="12554864.499999998"/>
    <n v="0"/>
    <n v="0"/>
    <m/>
    <n v="0"/>
    <m/>
    <n v="0"/>
    <m/>
    <n v="0"/>
    <n v="13859340.500000006"/>
    <n v="0"/>
    <n v="0"/>
    <n v="0"/>
    <n v="0"/>
    <n v="0"/>
    <n v="0"/>
    <s v=""/>
    <n v="0"/>
    <s v=""/>
    <n v="0"/>
    <s v=""/>
    <s v=""/>
    <n v="0"/>
    <n v="0"/>
    <s v="No change"/>
    <m/>
    <m/>
    <m/>
    <m/>
    <n v="0"/>
    <n v="0"/>
    <n v="0"/>
    <n v="0"/>
    <x v="1"/>
  </r>
  <r>
    <s v="Guinea"/>
    <x v="17"/>
    <n v="10788703"/>
    <x v="30"/>
    <n v="0"/>
    <n v="11055430.000000004"/>
    <n v="0"/>
    <m/>
    <n v="0"/>
    <m/>
    <n v="0"/>
    <m/>
    <n v="50"/>
    <m/>
    <n v="0"/>
    <n v="12554864.499999998"/>
    <n v="73"/>
    <n v="73"/>
    <m/>
    <n v="0"/>
    <m/>
    <n v="0"/>
    <m/>
    <n v="0"/>
    <n v="13859340.500000006"/>
    <n v="34"/>
    <n v="73"/>
    <n v="0"/>
    <n v="73"/>
    <n v="34"/>
    <n v="0"/>
    <s v=""/>
    <n v="73"/>
    <n v="2018"/>
    <n v="34"/>
    <n v="2022"/>
    <s v="Adjust"/>
    <n v="39.076153906894113"/>
    <n v="73"/>
    <s v="Decreasing"/>
    <m/>
    <m/>
    <m/>
    <m/>
    <n v="0"/>
    <n v="5.8144793199480578E-2"/>
    <n v="2.8194814830398388E-2"/>
    <n v="5.2672058962690158E-2"/>
    <x v="0"/>
  </r>
  <r>
    <s v="Guinea"/>
    <x v="17"/>
    <n v="10788704"/>
    <x v="31"/>
    <n v="0"/>
    <n v="11055430.000000004"/>
    <n v="0"/>
    <m/>
    <n v="0"/>
    <m/>
    <n v="0"/>
    <m/>
    <n v="0"/>
    <m/>
    <n v="0"/>
    <n v="12554864.499999998"/>
    <n v="0"/>
    <n v="0"/>
    <m/>
    <n v="0"/>
    <m/>
    <n v="0"/>
    <m/>
    <n v="0"/>
    <n v="13859340.500000006"/>
    <n v="50"/>
    <n v="0"/>
    <n v="0"/>
    <n v="0"/>
    <n v="50"/>
    <n v="0"/>
    <s v=""/>
    <n v="0"/>
    <s v=""/>
    <n v="50"/>
    <n v="2022"/>
    <s v=""/>
    <n v="50"/>
    <n v="50"/>
    <s v="Increasing"/>
    <m/>
    <m/>
    <m/>
    <m/>
    <n v="0"/>
    <n v="0"/>
    <n v="3.6076752714171344E-2"/>
    <n v="3.6076752714171344E-2"/>
    <x v="1"/>
  </r>
  <r>
    <s v="Guinea"/>
    <x v="17"/>
    <n v="10788705"/>
    <x v="32"/>
    <n v="0"/>
    <n v="11055430.000000004"/>
    <n v="0"/>
    <m/>
    <n v="0"/>
    <m/>
    <n v="0"/>
    <m/>
    <n v="0"/>
    <m/>
    <n v="0"/>
    <n v="12554864.499999998"/>
    <n v="0"/>
    <n v="0"/>
    <m/>
    <n v="0"/>
    <m/>
    <n v="0"/>
    <m/>
    <n v="0"/>
    <n v="13859340.500000006"/>
    <n v="0"/>
    <n v="0"/>
    <n v="0"/>
    <n v="0"/>
    <n v="0"/>
    <n v="0"/>
    <s v=""/>
    <n v="0"/>
    <s v=""/>
    <n v="0"/>
    <s v=""/>
    <s v=""/>
    <n v="0"/>
    <n v="0"/>
    <s v="No change"/>
    <m/>
    <m/>
    <m/>
    <m/>
    <n v="0"/>
    <n v="0"/>
    <n v="0"/>
    <n v="0"/>
    <x v="1"/>
  </r>
  <r>
    <s v="Gambia"/>
    <x v="18"/>
    <n v="2061013.9999999993"/>
    <x v="19"/>
    <n v="0"/>
    <n v="2124869.5"/>
    <n v="0"/>
    <n v="2189019"/>
    <n v="0"/>
    <n v="2253133.5000000009"/>
    <n v="213"/>
    <n v="2317205.5"/>
    <n v="0"/>
    <n v="2381181.5"/>
    <n v="232"/>
    <n v="2444915.5000000014"/>
    <n v="298"/>
    <n v="298"/>
    <n v="2508883.5000000009"/>
    <n v="188"/>
    <n v="2573994.9999999995"/>
    <n v="196"/>
    <n v="2639915.5000000005"/>
    <n v="269"/>
    <n v="2705991.9999999995"/>
    <n v="0"/>
    <n v="298"/>
    <n v="213"/>
    <n v="298"/>
    <n v="269"/>
    <n v="213"/>
    <n v="2015"/>
    <n v="298"/>
    <n v="2018"/>
    <n v="269"/>
    <n v="2021"/>
    <s v="Adjust"/>
    <n v="273.86722731906218"/>
    <n v="298"/>
    <s v="Decreasing"/>
    <m/>
    <m/>
    <m/>
    <m/>
    <n v="1.0024145012199572"/>
    <n v="1.2188560299936739"/>
    <n v="1.0120770028849391"/>
    <n v="1.1012597228668823"/>
    <x v="1"/>
  </r>
  <r>
    <s v="Gambia"/>
    <x v="18"/>
    <n v="2061015"/>
    <x v="20"/>
    <n v="0"/>
    <n v="2124869.5"/>
    <n v="0"/>
    <m/>
    <n v="0"/>
    <m/>
    <n v="0"/>
    <m/>
    <n v="0"/>
    <m/>
    <n v="152"/>
    <n v="2444915.5000000014"/>
    <n v="181"/>
    <n v="181"/>
    <m/>
    <n v="107"/>
    <m/>
    <n v="122"/>
    <m/>
    <n v="156"/>
    <n v="2705991.9999999995"/>
    <n v="0"/>
    <n v="181"/>
    <n v="0"/>
    <n v="181"/>
    <n v="156"/>
    <n v="0"/>
    <s v=""/>
    <n v="181"/>
    <n v="2018"/>
    <n v="156"/>
    <n v="2021"/>
    <s v="Adjust"/>
    <n v="158.82262996941895"/>
    <n v="181"/>
    <s v="Decreasing"/>
    <m/>
    <m/>
    <m/>
    <m/>
    <n v="0"/>
    <n v="0.74031188398944625"/>
    <n v="0.58692941431245538"/>
    <n v="0.66888593905673055"/>
    <x v="1"/>
  </r>
  <r>
    <s v="Gambia"/>
    <x v="18"/>
    <n v="2061016"/>
    <x v="21"/>
    <n v="0"/>
    <n v="2124869.5"/>
    <n v="0"/>
    <m/>
    <n v="0"/>
    <m/>
    <n v="0"/>
    <m/>
    <n v="0"/>
    <m/>
    <n v="80"/>
    <n v="2444915.5000000014"/>
    <n v="117"/>
    <n v="117"/>
    <m/>
    <n v="81"/>
    <m/>
    <n v="74"/>
    <m/>
    <n v="113"/>
    <n v="2705991.9999999995"/>
    <n v="0"/>
    <n v="117"/>
    <n v="0"/>
    <n v="117"/>
    <n v="113"/>
    <n v="0"/>
    <s v=""/>
    <n v="117"/>
    <n v="2018"/>
    <n v="113"/>
    <n v="2021"/>
    <s v="Adjust"/>
    <n v="115.04459734964323"/>
    <n v="117"/>
    <s v="Decreasing"/>
    <m/>
    <m/>
    <m/>
    <m/>
    <n v="0"/>
    <n v="0.47854414600422768"/>
    <n v="0.42514758857248375"/>
    <n v="0.43237378381015179"/>
    <x v="1"/>
  </r>
  <r>
    <s v="Gambia"/>
    <x v="18"/>
    <n v="2061017"/>
    <x v="22"/>
    <n v="2386"/>
    <n v="2124869.5"/>
    <n v="0"/>
    <m/>
    <n v="0"/>
    <m/>
    <n v="2372"/>
    <m/>
    <n v="0"/>
    <m/>
    <n v="1127"/>
    <n v="2444915.5000000014"/>
    <n v="1498"/>
    <n v="1498"/>
    <m/>
    <n v="749"/>
    <m/>
    <n v="1229"/>
    <m/>
    <n v="1404"/>
    <n v="2705991.9999999995"/>
    <n v="0"/>
    <n v="1178"/>
    <n v="2386"/>
    <n v="1498"/>
    <n v="1404"/>
    <n v="2386"/>
    <n v="2012"/>
    <n v="1498"/>
    <n v="2018"/>
    <n v="1404"/>
    <n v="2021"/>
    <s v="Adjust"/>
    <n v="1429.4036697247707"/>
    <n v="1498"/>
    <s v="Decreasing"/>
    <m/>
    <m/>
    <m/>
    <m/>
    <n v="11.228924882210414"/>
    <n v="6.1270011172165217"/>
    <n v="5.282364728812099"/>
    <n v="5.5358626337402335"/>
    <x v="1"/>
  </r>
  <r>
    <s v="Gambia"/>
    <x v="18"/>
    <n v="2061018"/>
    <x v="23"/>
    <n v="0"/>
    <n v="2124869.5"/>
    <n v="0"/>
    <m/>
    <n v="0"/>
    <m/>
    <n v="0"/>
    <m/>
    <n v="0"/>
    <m/>
    <n v="248"/>
    <n v="2444915.5000000014"/>
    <n v="0"/>
    <n v="1178"/>
    <m/>
    <n v="320"/>
    <m/>
    <n v="703"/>
    <m/>
    <n v="908"/>
    <n v="2705991.9999999995"/>
    <n v="0"/>
    <n v="1178"/>
    <n v="0"/>
    <n v="320"/>
    <n v="908"/>
    <n v="0"/>
    <s v=""/>
    <n v="1178"/>
    <s v="2018 (triag)"/>
    <n v="908"/>
    <n v="2021"/>
    <s v="Adjust"/>
    <n v="924.42915392456678"/>
    <n v="1178"/>
    <s v="Decreasing"/>
    <m/>
    <m/>
    <m/>
    <m/>
    <n v="0"/>
    <n v="4.8181624272904289"/>
    <n v="3.4162301807417275"/>
    <n v="4.3533018575073399"/>
    <x v="1"/>
  </r>
  <r>
    <s v="Gambia"/>
    <x v="18"/>
    <n v="2061019"/>
    <x v="24"/>
    <n v="0"/>
    <n v="2124869.5"/>
    <n v="0"/>
    <m/>
    <n v="0"/>
    <m/>
    <n v="0"/>
    <m/>
    <n v="0"/>
    <m/>
    <n v="879"/>
    <n v="2444915.5000000014"/>
    <n v="0"/>
    <n v="0"/>
    <m/>
    <n v="391"/>
    <m/>
    <n v="484"/>
    <m/>
    <n v="449"/>
    <n v="2705991.9999999995"/>
    <n v="0"/>
    <n v="0"/>
    <n v="0"/>
    <n v="879"/>
    <n v="484"/>
    <n v="0"/>
    <s v=""/>
    <n v="879"/>
    <n v="2017"/>
    <n v="449"/>
    <n v="2021"/>
    <s v="Adjust"/>
    <n v="457.12410805300715"/>
    <n v="879"/>
    <s v="Decreasing"/>
    <m/>
    <m/>
    <m/>
    <m/>
    <n v="0"/>
    <n v="3.5952162763907363"/>
    <n v="1.6893032501685417"/>
    <n v="3.2483466322147301"/>
    <x v="0"/>
  </r>
  <r>
    <s v="Gambia"/>
    <x v="18"/>
    <n v="2061020"/>
    <x v="25"/>
    <n v="0"/>
    <n v="2124869.5"/>
    <n v="259"/>
    <m/>
    <n v="0"/>
    <m/>
    <n v="850"/>
    <m/>
    <n v="0"/>
    <m/>
    <n v="422"/>
    <n v="2444915.5000000014"/>
    <n v="0"/>
    <n v="320"/>
    <m/>
    <n v="341"/>
    <m/>
    <n v="540"/>
    <m/>
    <n v="379"/>
    <n v="2705991.9999999995"/>
    <n v="0"/>
    <n v="320"/>
    <n v="850"/>
    <n v="422"/>
    <n v="540"/>
    <n v="259"/>
    <n v="2013"/>
    <n v="320"/>
    <s v="2018 (triag)"/>
    <n v="379"/>
    <n v="2021"/>
    <s v=""/>
    <n v="379"/>
    <n v="379"/>
    <s v="Increasing"/>
    <m/>
    <m/>
    <m/>
    <m/>
    <n v="1.2188983841125303"/>
    <n v="1.3088386899260929"/>
    <n v="1.4005954193508334"/>
    <n v="1.4005954193508334"/>
    <x v="1"/>
  </r>
  <r>
    <s v="Gambia"/>
    <x v="18"/>
    <n v="2061021"/>
    <x v="26"/>
    <n v="0"/>
    <n v="2124869.5"/>
    <n v="79"/>
    <m/>
    <n v="0"/>
    <m/>
    <n v="0"/>
    <m/>
    <n v="0"/>
    <m/>
    <n v="81"/>
    <n v="2444915.5000000014"/>
    <n v="0"/>
    <n v="320"/>
    <m/>
    <n v="89"/>
    <m/>
    <n v="128"/>
    <m/>
    <n v="101"/>
    <n v="2705991.9999999995"/>
    <n v="0"/>
    <n v="320"/>
    <n v="79"/>
    <n v="89"/>
    <n v="128"/>
    <n v="79"/>
    <n v="2013"/>
    <n v="320"/>
    <s v="2018 (triag)"/>
    <n v="101"/>
    <n v="2021"/>
    <s v="Adjust"/>
    <n v="102.82747196738023"/>
    <n v="320"/>
    <s v="Decreasing"/>
    <m/>
    <m/>
    <m/>
    <m/>
    <n v="0.37178753801115788"/>
    <n v="1.3088386899260929"/>
    <n v="0.37999917208691031"/>
    <n v="1.1825607762328938"/>
    <x v="0"/>
  </r>
  <r>
    <s v="Gambia"/>
    <x v="18"/>
    <n v="2061022"/>
    <x v="27"/>
    <n v="0"/>
    <n v="2124869.5"/>
    <n v="180"/>
    <m/>
    <n v="0"/>
    <m/>
    <n v="0"/>
    <m/>
    <n v="0"/>
    <m/>
    <n v="341"/>
    <n v="2444915.5000000014"/>
    <n v="0"/>
    <n v="0"/>
    <m/>
    <n v="252"/>
    <m/>
    <n v="412"/>
    <m/>
    <n v="278"/>
    <n v="2705991.9999999995"/>
    <n v="0"/>
    <n v="0"/>
    <n v="180"/>
    <n v="341"/>
    <n v="412"/>
    <n v="180"/>
    <n v="2013"/>
    <n v="341"/>
    <n v="2017"/>
    <n v="278"/>
    <n v="2021"/>
    <s v="Adjust"/>
    <n v="283.03007135575945"/>
    <n v="341"/>
    <s v="Decreasing"/>
    <m/>
    <m/>
    <m/>
    <m/>
    <n v="0.84711084610137233"/>
    <n v="1.3947312289524927"/>
    <n v="1.0459383152491193"/>
    <n v="1.2601663271731773"/>
    <x v="1"/>
  </r>
  <r>
    <s v="Gambia"/>
    <x v="18"/>
    <n v="2061023"/>
    <x v="28"/>
    <n v="0"/>
    <n v="2124869.5"/>
    <n v="0"/>
    <m/>
    <n v="0"/>
    <m/>
    <n v="5"/>
    <m/>
    <n v="0"/>
    <m/>
    <n v="0"/>
    <n v="2444915.5000000014"/>
    <n v="2"/>
    <n v="78"/>
    <m/>
    <n v="2"/>
    <m/>
    <n v="0"/>
    <m/>
    <n v="4"/>
    <n v="2705991.9999999995"/>
    <n v="0"/>
    <n v="78"/>
    <n v="5"/>
    <n v="2"/>
    <n v="4"/>
    <n v="5"/>
    <n v="2015"/>
    <n v="78"/>
    <s v="2018 (triag)"/>
    <n v="4"/>
    <n v="2021"/>
    <s v="Adjust"/>
    <n v="4.0723751274209992"/>
    <n v="78"/>
    <s v="Decreasing"/>
    <m/>
    <m/>
    <m/>
    <m/>
    <n v="2.3530856836149232E-2"/>
    <n v="0.31902943066948514"/>
    <n v="1.5049472161857832E-2"/>
    <n v="0.28824918920676784"/>
    <x v="0"/>
  </r>
  <r>
    <s v="Gambia"/>
    <x v="18"/>
    <n v="2061024"/>
    <x v="29"/>
    <n v="0"/>
    <n v="2124869.5"/>
    <n v="0"/>
    <m/>
    <n v="0"/>
    <m/>
    <n v="99"/>
    <m/>
    <n v="0"/>
    <m/>
    <n v="74"/>
    <n v="2444915.5000000014"/>
    <n v="76"/>
    <n v="76"/>
    <m/>
    <n v="81"/>
    <m/>
    <n v="81"/>
    <m/>
    <n v="94"/>
    <n v="2705991.9999999995"/>
    <n v="0"/>
    <n v="1"/>
    <n v="99"/>
    <n v="81"/>
    <n v="94"/>
    <n v="99"/>
    <n v="2015"/>
    <n v="76"/>
    <n v="2018"/>
    <n v="94"/>
    <n v="2021"/>
    <s v=""/>
    <n v="94"/>
    <n v="94"/>
    <s v="Increasing"/>
    <m/>
    <m/>
    <m/>
    <m/>
    <n v="0.46591096535575477"/>
    <n v="0.31084918885744706"/>
    <n v="0.34737722801841253"/>
    <n v="0.34737722801841253"/>
    <x v="1"/>
  </r>
  <r>
    <s v="Gambia"/>
    <x v="18"/>
    <n v="2061025"/>
    <x v="30"/>
    <n v="0"/>
    <n v="2124869.5"/>
    <n v="0"/>
    <m/>
    <n v="0"/>
    <m/>
    <n v="17"/>
    <m/>
    <n v="0"/>
    <m/>
    <n v="0"/>
    <n v="2444915.5000000014"/>
    <n v="4"/>
    <n v="4"/>
    <m/>
    <n v="12"/>
    <m/>
    <n v="8"/>
    <m/>
    <n v="9"/>
    <n v="2705991.9999999995"/>
    <n v="0"/>
    <n v="0"/>
    <n v="17"/>
    <n v="12"/>
    <n v="9"/>
    <n v="17"/>
    <n v="2015"/>
    <n v="4"/>
    <n v="2018"/>
    <n v="9"/>
    <n v="2021"/>
    <s v=""/>
    <n v="9"/>
    <n v="9"/>
    <s v="Increasing"/>
    <m/>
    <m/>
    <m/>
    <m/>
    <n v="8.0004913242907386E-2"/>
    <n v="1.6360483624076161E-2"/>
    <n v="3.3259521831550135E-2"/>
    <n v="3.3259521831550135E-2"/>
    <x v="1"/>
  </r>
  <r>
    <s v="Gambia"/>
    <x v="18"/>
    <n v="2061026"/>
    <x v="31"/>
    <n v="0"/>
    <n v="2124869.5"/>
    <n v="0"/>
    <m/>
    <n v="0"/>
    <m/>
    <n v="0"/>
    <m/>
    <n v="0"/>
    <m/>
    <n v="0"/>
    <n v="2444915.5000000014"/>
    <n v="10"/>
    <n v="10"/>
    <m/>
    <n v="6"/>
    <m/>
    <n v="17"/>
    <m/>
    <n v="16"/>
    <n v="2705991.9999999995"/>
    <n v="0"/>
    <n v="3"/>
    <n v="0"/>
    <n v="10"/>
    <n v="17"/>
    <n v="0"/>
    <s v=""/>
    <n v="10"/>
    <n v="2018"/>
    <n v="16"/>
    <n v="2021"/>
    <s v=""/>
    <n v="16"/>
    <n v="16"/>
    <s v="Increasing"/>
    <m/>
    <m/>
    <m/>
    <m/>
    <n v="0"/>
    <n v="4.0901209060190402E-2"/>
    <n v="5.9128038811644683E-2"/>
    <n v="5.9128038811644683E-2"/>
    <x v="1"/>
  </r>
  <r>
    <s v="Gambia"/>
    <x v="18"/>
    <n v="2061027"/>
    <x v="32"/>
    <n v="0"/>
    <n v="2124869.5"/>
    <n v="0"/>
    <m/>
    <n v="0"/>
    <m/>
    <n v="0"/>
    <m/>
    <n v="0"/>
    <m/>
    <n v="0"/>
    <n v="2444915.5000000014"/>
    <n v="0"/>
    <n v="0"/>
    <m/>
    <n v="0"/>
    <m/>
    <n v="0"/>
    <m/>
    <n v="0"/>
    <n v="2705991.9999999995"/>
    <n v="0"/>
    <n v="0"/>
    <n v="0"/>
    <n v="0"/>
    <n v="0"/>
    <n v="0"/>
    <s v=""/>
    <n v="0"/>
    <s v=""/>
    <n v="0"/>
    <s v=""/>
    <s v=""/>
    <n v="0"/>
    <n v="0"/>
    <s v="No change"/>
    <m/>
    <m/>
    <m/>
    <m/>
    <n v="0"/>
    <n v="0"/>
    <n v="0"/>
    <n v="0"/>
    <x v="1"/>
  </r>
  <r>
    <s v="Guinea-Bissau"/>
    <x v="19"/>
    <n v="1652717.4999999998"/>
    <x v="19"/>
    <n v="0"/>
    <n v="1697752.4999999995"/>
    <n v="0"/>
    <n v="1743309.0000000002"/>
    <n v="0"/>
    <n v="1788919.0000000005"/>
    <n v="354"/>
    <n v="1834551.4999999995"/>
    <n v="183"/>
    <n v="1879826.5000000005"/>
    <n v="0"/>
    <n v="1924954.4999999988"/>
    <n v="578"/>
    <n v="578"/>
    <n v="1970456.5"/>
    <n v="0"/>
    <n v="2015827.9999999998"/>
    <n v="385"/>
    <n v="2060720.9999999991"/>
    <n v="453"/>
    <n v="2105565.4999999991"/>
    <n v="438"/>
    <n v="318"/>
    <n v="354"/>
    <n v="578"/>
    <n v="453"/>
    <n v="354"/>
    <n v="2015"/>
    <n v="578"/>
    <n v="2018"/>
    <n v="438"/>
    <n v="2022"/>
    <s v="Adjust"/>
    <n v="530.87376425855507"/>
    <n v="578"/>
    <s v="Decreasing"/>
    <m/>
    <m/>
    <m/>
    <m/>
    <n v="2.0851095786930078"/>
    <n v="3.0026683747589895"/>
    <n v="2.5212882917133439"/>
    <n v="2.7451057684978228"/>
    <x v="1"/>
  </r>
  <r>
    <s v="Guinea-Bissau"/>
    <x v="19"/>
    <n v="1652718.5"/>
    <x v="20"/>
    <n v="0"/>
    <n v="1697752.4999999995"/>
    <n v="0"/>
    <m/>
    <n v="0"/>
    <m/>
    <n v="0"/>
    <m/>
    <n v="169"/>
    <m/>
    <n v="0"/>
    <n v="1924954.4999999988"/>
    <n v="544"/>
    <n v="544"/>
    <m/>
    <n v="0"/>
    <m/>
    <n v="375"/>
    <m/>
    <n v="444"/>
    <n v="2105565.4999999991"/>
    <n v="428"/>
    <n v="290"/>
    <n v="0"/>
    <n v="544"/>
    <n v="444"/>
    <n v="0"/>
    <s v=""/>
    <n v="544"/>
    <n v="2018"/>
    <n v="428"/>
    <n v="2022"/>
    <s v="Adjust"/>
    <n v="518.75335868187574"/>
    <n v="544"/>
    <s v="Decreasing"/>
    <m/>
    <m/>
    <m/>
    <m/>
    <n v="0"/>
    <n v="2.8260408233025784"/>
    <n v="2.4637246320851856"/>
    <n v="2.583628958586186"/>
    <x v="1"/>
  </r>
  <r>
    <s v="Guinea-Bissau"/>
    <x v="19"/>
    <n v="1652719.5"/>
    <x v="21"/>
    <n v="0"/>
    <n v="1697752.4999999995"/>
    <n v="0"/>
    <m/>
    <n v="0"/>
    <m/>
    <n v="0"/>
    <m/>
    <n v="14"/>
    <m/>
    <n v="0"/>
    <n v="1924954.4999999988"/>
    <n v="34"/>
    <n v="34"/>
    <m/>
    <n v="0"/>
    <m/>
    <n v="10"/>
    <m/>
    <n v="9"/>
    <n v="2105565.4999999991"/>
    <n v="10"/>
    <n v="28"/>
    <n v="0"/>
    <n v="34"/>
    <n v="10"/>
    <n v="0"/>
    <s v=""/>
    <n v="34"/>
    <n v="2018"/>
    <n v="10"/>
    <n v="2020"/>
    <s v="Adjust"/>
    <n v="12.120405576679341"/>
    <n v="34"/>
    <s v="Decreasing"/>
    <m/>
    <m/>
    <m/>
    <m/>
    <n v="0"/>
    <n v="0.17662755145641115"/>
    <n v="5.7563659628158542E-2"/>
    <n v="0.16147680991163663"/>
    <x v="0"/>
  </r>
  <r>
    <s v="Guinea-Bissau"/>
    <x v="19"/>
    <n v="1652720.5"/>
    <x v="22"/>
    <n v="0"/>
    <n v="1697752.4999999995"/>
    <n v="727"/>
    <m/>
    <n v="885"/>
    <m/>
    <n v="964"/>
    <m/>
    <n v="918"/>
    <m/>
    <n v="0"/>
    <n v="1924954.4999999988"/>
    <n v="744"/>
    <n v="1264"/>
    <m/>
    <n v="0"/>
    <m/>
    <n v="1371"/>
    <m/>
    <n v="1956"/>
    <n v="2105565.4999999991"/>
    <n v="1879"/>
    <n v="1264"/>
    <n v="964"/>
    <n v="918"/>
    <n v="1956"/>
    <n v="727"/>
    <n v="2013"/>
    <n v="1264"/>
    <s v="2018 (triag)"/>
    <n v="1879"/>
    <n v="2022"/>
    <s v=""/>
    <n v="1879"/>
    <n v="1879"/>
    <s v="Increasing"/>
    <m/>
    <m/>
    <m/>
    <m/>
    <n v="4.2821318183893133"/>
    <n v="6.5663889717912856"/>
    <n v="8.9239684065872122"/>
    <n v="8.9239684065872122"/>
    <x v="1"/>
  </r>
  <r>
    <s v="Guinea-Bissau"/>
    <x v="19"/>
    <n v="1652721.5"/>
    <x v="23"/>
    <n v="0"/>
    <n v="1697752.4999999995"/>
    <n v="474"/>
    <m/>
    <n v="707"/>
    <m/>
    <n v="852"/>
    <m/>
    <n v="865"/>
    <m/>
    <n v="0"/>
    <n v="1924954.4999999988"/>
    <n v="744"/>
    <n v="1210"/>
    <m/>
    <n v="0"/>
    <m/>
    <n v="341"/>
    <m/>
    <n v="1003"/>
    <n v="2105565.4999999991"/>
    <n v="987"/>
    <n v="1210"/>
    <n v="852"/>
    <n v="865"/>
    <n v="1003"/>
    <n v="474"/>
    <n v="2013"/>
    <n v="1210"/>
    <s v="2018 (triag)"/>
    <n v="987"/>
    <n v="2022"/>
    <s v="Adjust"/>
    <n v="1196.2840304182509"/>
    <n v="1210"/>
    <s v="Decreasing"/>
    <m/>
    <m/>
    <m/>
    <m/>
    <n v="2.7919263850296208"/>
    <n v="6.2858628606546318"/>
    <n v="5.6815332052992487"/>
    <n v="5.7466747056788332"/>
    <x v="1"/>
  </r>
  <r>
    <s v="Guinea-Bissau"/>
    <x v="19"/>
    <n v="1652722.5"/>
    <x v="24"/>
    <n v="0"/>
    <n v="1697752.4999999995"/>
    <n v="253"/>
    <m/>
    <n v="178"/>
    <m/>
    <n v="112"/>
    <m/>
    <n v="53"/>
    <m/>
    <n v="0"/>
    <n v="1924954.4999999988"/>
    <n v="0"/>
    <n v="54"/>
    <m/>
    <n v="0"/>
    <m/>
    <n v="1016"/>
    <m/>
    <n v="951"/>
    <n v="2105565.4999999991"/>
    <n v="889"/>
    <n v="54"/>
    <n v="253"/>
    <n v="53"/>
    <n v="1016"/>
    <n v="253"/>
    <n v="2013"/>
    <n v="54"/>
    <s v="2018 (triag)"/>
    <n v="889"/>
    <n v="2022"/>
    <s v=""/>
    <n v="889"/>
    <n v="889"/>
    <s v="Increasing"/>
    <m/>
    <m/>
    <m/>
    <m/>
    <n v="1.4902054333596921"/>
    <n v="0.28052611113665299"/>
    <n v="4.2221436473954403"/>
    <n v="4.2221436473954403"/>
    <x v="1"/>
  </r>
  <r>
    <s v="Guinea-Bissau"/>
    <x v="19"/>
    <n v="1652723.5"/>
    <x v="25"/>
    <n v="0"/>
    <n v="1697752.4999999995"/>
    <n v="153"/>
    <m/>
    <n v="0"/>
    <m/>
    <n v="0"/>
    <m/>
    <n v="125"/>
    <m/>
    <n v="0"/>
    <n v="1924954.4999999988"/>
    <n v="0"/>
    <n v="157"/>
    <m/>
    <n v="0"/>
    <m/>
    <n v="185"/>
    <m/>
    <n v="213"/>
    <n v="2105565.4999999991"/>
    <n v="197"/>
    <n v="157"/>
    <n v="153"/>
    <n v="125"/>
    <n v="213"/>
    <n v="153"/>
    <n v="2013"/>
    <n v="157"/>
    <s v="2018 (triag)"/>
    <n v="197"/>
    <n v="2022"/>
    <s v=""/>
    <n v="197"/>
    <n v="197"/>
    <s v="Increasing"/>
    <m/>
    <m/>
    <m/>
    <m/>
    <n v="0.9011914280791814"/>
    <n v="0.81560369348989858"/>
    <n v="0.93561563389977698"/>
    <n v="0.93561563389977698"/>
    <x v="1"/>
  </r>
  <r>
    <s v="Guinea-Bissau"/>
    <x v="19"/>
    <n v="1652724.5"/>
    <x v="26"/>
    <n v="0"/>
    <n v="1697752.4999999995"/>
    <n v="148"/>
    <m/>
    <n v="0"/>
    <m/>
    <n v="0"/>
    <m/>
    <n v="125"/>
    <m/>
    <n v="0"/>
    <n v="1924954.4999999988"/>
    <n v="0"/>
    <n v="156"/>
    <m/>
    <n v="0"/>
    <m/>
    <n v="18"/>
    <m/>
    <n v="213"/>
    <n v="2105565.4999999991"/>
    <n v="26"/>
    <n v="156"/>
    <n v="148"/>
    <n v="125"/>
    <n v="213"/>
    <n v="148"/>
    <n v="2013"/>
    <n v="156"/>
    <s v="2018 (triag)"/>
    <n v="26"/>
    <n v="2022"/>
    <s v="Adjust"/>
    <n v="31.513054499366284"/>
    <n v="156"/>
    <s v="Decreasing"/>
    <m/>
    <m/>
    <m/>
    <m/>
    <n v="0.87174072781515588"/>
    <n v="0.81040876550588647"/>
    <n v="0.14966551503321221"/>
    <n v="0.74089359841809754"/>
    <x v="0"/>
  </r>
  <r>
    <s v="Guinea-Bissau"/>
    <x v="19"/>
    <n v="1652725.5"/>
    <x v="27"/>
    <n v="0"/>
    <n v="1697752.4999999995"/>
    <n v="5"/>
    <m/>
    <n v="0"/>
    <m/>
    <n v="0"/>
    <m/>
    <n v="0"/>
    <m/>
    <n v="0"/>
    <n v="1924954.4999999988"/>
    <n v="0"/>
    <n v="1"/>
    <m/>
    <n v="0"/>
    <m/>
    <n v="167"/>
    <m/>
    <n v="0"/>
    <n v="2105565.4999999991"/>
    <n v="171"/>
    <n v="1"/>
    <n v="5"/>
    <n v="0"/>
    <n v="171"/>
    <n v="5"/>
    <n v="2013"/>
    <n v="1"/>
    <s v="2018 (triag)"/>
    <n v="171"/>
    <n v="2022"/>
    <s v=""/>
    <n v="171"/>
    <n v="171"/>
    <s v="Increasing"/>
    <m/>
    <m/>
    <m/>
    <m/>
    <n v="2.9450700264025537E-2"/>
    <n v="5.1949279840120925E-3"/>
    <n v="0.81213336749676068"/>
    <n v="0.81213336749676068"/>
    <x v="1"/>
  </r>
  <r>
    <s v="Guinea-Bissau"/>
    <x v="19"/>
    <n v="1652726.5"/>
    <x v="28"/>
    <n v="0"/>
    <n v="1697752.4999999995"/>
    <n v="0"/>
    <m/>
    <n v="0"/>
    <m/>
    <n v="0"/>
    <m/>
    <n v="5"/>
    <m/>
    <n v="0"/>
    <n v="1924954.4999999988"/>
    <n v="11"/>
    <n v="13"/>
    <m/>
    <n v="0"/>
    <m/>
    <n v="13"/>
    <m/>
    <n v="2"/>
    <n v="2105565.4999999991"/>
    <n v="2"/>
    <n v="13"/>
    <n v="0"/>
    <n v="11"/>
    <n v="13"/>
    <n v="0"/>
    <s v=""/>
    <n v="13"/>
    <s v="2018 (triag)"/>
    <n v="2"/>
    <n v="2021"/>
    <s v="Adjust"/>
    <n v="2.4240811153358681"/>
    <n v="13"/>
    <s v="Decreasing"/>
    <m/>
    <m/>
    <m/>
    <m/>
    <n v="0"/>
    <n v="6.7534063792157206E-2"/>
    <n v="1.1512731925631708E-2"/>
    <n v="6.1741133201508126E-2"/>
    <x v="0"/>
  </r>
  <r>
    <s v="Guinea-Bissau"/>
    <x v="19"/>
    <n v="1652727.5"/>
    <x v="29"/>
    <n v="0"/>
    <n v="1697752.4999999995"/>
    <n v="0"/>
    <m/>
    <n v="0"/>
    <m/>
    <n v="0"/>
    <m/>
    <n v="35"/>
    <m/>
    <n v="0"/>
    <n v="1924954.4999999988"/>
    <n v="18"/>
    <n v="69"/>
    <m/>
    <n v="0"/>
    <m/>
    <n v="73"/>
    <m/>
    <n v="76"/>
    <n v="2105565.4999999991"/>
    <n v="80"/>
    <n v="69"/>
    <n v="0"/>
    <n v="35"/>
    <n v="80"/>
    <n v="0"/>
    <s v=""/>
    <n v="69"/>
    <s v="2018 (triag)"/>
    <n v="80"/>
    <n v="2022"/>
    <s v=""/>
    <n v="80"/>
    <n v="80"/>
    <s v="Increasing"/>
    <m/>
    <m/>
    <m/>
    <m/>
    <n v="0"/>
    <n v="0.35845003089683442"/>
    <n v="0.37994543508620388"/>
    <n v="0.37994543508620388"/>
    <x v="1"/>
  </r>
  <r>
    <s v="Guinea-Bissau"/>
    <x v="19"/>
    <n v="1652728.5"/>
    <x v="30"/>
    <n v="0"/>
    <n v="1697752.4999999995"/>
    <n v="0"/>
    <m/>
    <n v="0"/>
    <m/>
    <n v="0"/>
    <m/>
    <n v="7"/>
    <m/>
    <n v="0"/>
    <n v="1924954.4999999988"/>
    <n v="0"/>
    <n v="8"/>
    <m/>
    <n v="0"/>
    <m/>
    <n v="5"/>
    <m/>
    <n v="2"/>
    <n v="2105565.4999999991"/>
    <n v="20"/>
    <n v="8"/>
    <n v="0"/>
    <n v="7"/>
    <n v="20"/>
    <n v="0"/>
    <s v=""/>
    <n v="8"/>
    <s v="2018 (triag)"/>
    <n v="20"/>
    <n v="2022"/>
    <s v=""/>
    <n v="20"/>
    <n v="20"/>
    <s v="Increasing"/>
    <m/>
    <m/>
    <m/>
    <m/>
    <n v="0"/>
    <n v="4.155942387209674E-2"/>
    <n v="9.4986358771550969E-2"/>
    <n v="9.4986358771550969E-2"/>
    <x v="1"/>
  </r>
  <r>
    <s v="Guinea-Bissau"/>
    <x v="19"/>
    <n v="1652729.5"/>
    <x v="31"/>
    <n v="0"/>
    <n v="1697752.4999999995"/>
    <n v="0"/>
    <m/>
    <n v="0"/>
    <m/>
    <n v="0"/>
    <m/>
    <n v="8"/>
    <m/>
    <n v="0"/>
    <n v="1924954.4999999988"/>
    <n v="8"/>
    <n v="8"/>
    <m/>
    <n v="0"/>
    <m/>
    <n v="0"/>
    <m/>
    <n v="21"/>
    <n v="2105565.4999999991"/>
    <n v="2"/>
    <n v="8"/>
    <n v="0"/>
    <n v="8"/>
    <n v="21"/>
    <n v="0"/>
    <s v=""/>
    <n v="8"/>
    <n v="2016"/>
    <n v="2"/>
    <n v="2022"/>
    <s v="Adjust"/>
    <n v="2.4240811153358681"/>
    <n v="8"/>
    <s v="Decreasing"/>
    <m/>
    <m/>
    <m/>
    <m/>
    <n v="0"/>
    <n v="4.155942387209674E-2"/>
    <n v="1.1512731925631708E-2"/>
    <n v="3.7994543508620388E-2"/>
    <x v="0"/>
  </r>
  <r>
    <s v="Guinea-Bissau"/>
    <x v="19"/>
    <n v="1652730.5"/>
    <x v="32"/>
    <n v="0"/>
    <n v="1697752.4999999995"/>
    <n v="0"/>
    <m/>
    <n v="0"/>
    <m/>
    <n v="0"/>
    <m/>
    <n v="0"/>
    <m/>
    <n v="0"/>
    <n v="1924954.4999999988"/>
    <n v="2"/>
    <n v="2"/>
    <m/>
    <n v="0"/>
    <m/>
    <n v="11"/>
    <m/>
    <n v="12"/>
    <n v="2105565.4999999991"/>
    <n v="11"/>
    <n v="0"/>
    <n v="0"/>
    <n v="2"/>
    <n v="12"/>
    <n v="0"/>
    <s v=""/>
    <n v="2"/>
    <n v="2018"/>
    <n v="11"/>
    <n v="2020"/>
    <s v=""/>
    <n v="11"/>
    <n v="11"/>
    <s v="Increasing"/>
    <m/>
    <m/>
    <m/>
    <m/>
    <n v="0"/>
    <n v="1.0389855968024185E-2"/>
    <n v="5.2242497324353029E-2"/>
    <n v="5.2242497324353029E-2"/>
    <x v="1"/>
  </r>
  <r>
    <s v="Equatorial Guinea"/>
    <x v="20"/>
    <n v="1193635.4999999998"/>
    <x v="19"/>
    <n v="0"/>
    <n v="1243941.0000000002"/>
    <n v="0"/>
    <n v="1295183.0000000005"/>
    <n v="0"/>
    <n v="1346973.0000000005"/>
    <n v="0"/>
    <n v="1398926.5"/>
    <n v="0"/>
    <n v="1450694.0000000005"/>
    <n v="507"/>
    <n v="1502091.5000000002"/>
    <n v="0"/>
    <n v="246"/>
    <n v="1553030.5000000002"/>
    <n v="0"/>
    <n v="1596048.5000000009"/>
    <n v="0"/>
    <n v="1634465.5000000002"/>
    <n v="0"/>
    <n v="1674908"/>
    <n v="239"/>
    <n v="246"/>
    <n v="0"/>
    <n v="507"/>
    <n v="239"/>
    <n v="0"/>
    <s v=""/>
    <n v="246"/>
    <s v="2018 (triag)"/>
    <n v="239"/>
    <n v="2022"/>
    <s v="Adjust"/>
    <n v="274.68237599257924"/>
    <n v="274.68237599257924"/>
    <s v="Increasing"/>
    <m/>
    <m/>
    <m/>
    <m/>
    <n v="0"/>
    <n v="1.637716477325116"/>
    <n v="1.6399848588255548"/>
    <n v="1.6399848588255548"/>
    <x v="1"/>
  </r>
  <r>
    <s v="Equatorial Guinea"/>
    <x v="20"/>
    <n v="1193636.5"/>
    <x v="20"/>
    <n v="0"/>
    <n v="1243941.0000000002"/>
    <n v="0"/>
    <m/>
    <n v="0"/>
    <m/>
    <n v="0"/>
    <m/>
    <n v="0"/>
    <m/>
    <n v="0"/>
    <n v="1502091.5000000002"/>
    <n v="0"/>
    <n v="246"/>
    <m/>
    <n v="0"/>
    <m/>
    <n v="0"/>
    <m/>
    <n v="0"/>
    <n v="1674908"/>
    <n v="182"/>
    <n v="246"/>
    <n v="0"/>
    <n v="0"/>
    <n v="182"/>
    <n v="0"/>
    <s v=""/>
    <n v="246"/>
    <s v="2018 (triag)"/>
    <n v="182"/>
    <n v="2022"/>
    <s v="Adjust"/>
    <n v="209.17235326631555"/>
    <n v="246"/>
    <s v="Decreasing"/>
    <m/>
    <m/>
    <m/>
    <m/>
    <n v="0"/>
    <n v="1.637716477325116"/>
    <n v="1.2488587627876608"/>
    <n v="1.4687373873669478"/>
    <x v="1"/>
  </r>
  <r>
    <s v="Equatorial Guinea"/>
    <x v="20"/>
    <n v="1193637.5"/>
    <x v="21"/>
    <n v="0"/>
    <n v="1243941.0000000002"/>
    <n v="0"/>
    <m/>
    <n v="0"/>
    <m/>
    <n v="0"/>
    <m/>
    <n v="0"/>
    <m/>
    <n v="0"/>
    <n v="1502091.5000000002"/>
    <n v="0"/>
    <n v="0"/>
    <m/>
    <n v="0"/>
    <m/>
    <n v="0"/>
    <m/>
    <n v="0"/>
    <n v="1674908"/>
    <n v="57"/>
    <n v="0"/>
    <n v="0"/>
    <n v="0"/>
    <n v="57"/>
    <n v="0"/>
    <s v=""/>
    <n v="0"/>
    <s v=""/>
    <n v="57"/>
    <n v="2022"/>
    <s v=""/>
    <n v="57"/>
    <n v="57"/>
    <s v="Increasing"/>
    <m/>
    <m/>
    <m/>
    <m/>
    <n v="0"/>
    <n v="0"/>
    <n v="0.3403171995118538"/>
    <n v="0.3403171995118538"/>
    <x v="1"/>
  </r>
  <r>
    <s v="Equatorial Guinea"/>
    <x v="20"/>
    <n v="1193638.5"/>
    <x v="22"/>
    <n v="0"/>
    <n v="1243941.0000000002"/>
    <n v="0"/>
    <m/>
    <n v="0"/>
    <m/>
    <n v="0"/>
    <m/>
    <n v="0"/>
    <m/>
    <n v="634"/>
    <n v="1502091.5000000002"/>
    <n v="0"/>
    <n v="355"/>
    <m/>
    <n v="0"/>
    <m/>
    <n v="0"/>
    <m/>
    <n v="0"/>
    <n v="1674908"/>
    <n v="1375"/>
    <n v="355"/>
    <n v="0"/>
    <n v="634"/>
    <n v="1375"/>
    <n v="0"/>
    <s v=""/>
    <n v="355"/>
    <s v="2018 (triag)"/>
    <n v="1375"/>
    <n v="2022"/>
    <s v=""/>
    <n v="1375"/>
    <n v="1375"/>
    <s v="Increasing"/>
    <m/>
    <m/>
    <m/>
    <m/>
    <n v="0"/>
    <n v="2.3633713392293343"/>
    <n v="8.2094061285754201"/>
    <n v="8.2094061285754201"/>
    <x v="1"/>
  </r>
  <r>
    <s v="Equatorial Guinea"/>
    <x v="20"/>
    <n v="1193639.5"/>
    <x v="23"/>
    <n v="0"/>
    <n v="1243941.0000000002"/>
    <n v="0"/>
    <m/>
    <n v="0"/>
    <m/>
    <n v="0"/>
    <m/>
    <n v="0"/>
    <m/>
    <n v="0"/>
    <n v="1502091.5000000002"/>
    <n v="0"/>
    <n v="72"/>
    <m/>
    <n v="0"/>
    <m/>
    <n v="0"/>
    <m/>
    <n v="0"/>
    <n v="1674908"/>
    <n v="297"/>
    <n v="72"/>
    <n v="0"/>
    <n v="0"/>
    <n v="297"/>
    <n v="0"/>
    <s v=""/>
    <n v="72"/>
    <s v="2018 (triag)"/>
    <n v="297"/>
    <n v="2022"/>
    <s v=""/>
    <n v="297"/>
    <n v="297"/>
    <s v="Increasing"/>
    <m/>
    <m/>
    <m/>
    <m/>
    <n v="0"/>
    <n v="0.47933165190003396"/>
    <n v="1.7732317237722908"/>
    <n v="1.7732317237722908"/>
    <x v="1"/>
  </r>
  <r>
    <s v="Equatorial Guinea"/>
    <x v="20"/>
    <n v="1193640.5"/>
    <x v="24"/>
    <n v="0"/>
    <n v="1243941.0000000002"/>
    <n v="0"/>
    <m/>
    <n v="0"/>
    <m/>
    <n v="0"/>
    <m/>
    <n v="0"/>
    <m/>
    <n v="0"/>
    <n v="1502091.5000000002"/>
    <n v="0"/>
    <n v="283"/>
    <m/>
    <n v="0"/>
    <m/>
    <n v="0"/>
    <m/>
    <n v="0"/>
    <n v="1674908"/>
    <n v="0"/>
    <n v="283"/>
    <n v="0"/>
    <n v="0"/>
    <n v="0"/>
    <n v="0"/>
    <s v=""/>
    <n v="283"/>
    <s v="2018 (triag)"/>
    <n v="283"/>
    <s v="2018 (triag)"/>
    <s v=""/>
    <n v="283"/>
    <n v="283"/>
    <s v="No change"/>
    <m/>
    <m/>
    <m/>
    <m/>
    <n v="0"/>
    <n v="1.8840396873293002"/>
    <n v="1.689645043190432"/>
    <n v="1.689645043190432"/>
    <x v="1"/>
  </r>
  <r>
    <s v="Equatorial Guinea"/>
    <x v="20"/>
    <n v="1193641.5"/>
    <x v="25"/>
    <n v="0"/>
    <n v="1243941.0000000002"/>
    <n v="0"/>
    <m/>
    <n v="0"/>
    <m/>
    <n v="0"/>
    <m/>
    <n v="0"/>
    <m/>
    <n v="0"/>
    <n v="1502091.5000000002"/>
    <n v="0"/>
    <n v="51"/>
    <m/>
    <n v="0"/>
    <m/>
    <n v="0"/>
    <m/>
    <n v="0"/>
    <n v="1674908"/>
    <n v="23"/>
    <n v="51"/>
    <n v="0"/>
    <n v="0"/>
    <n v="23"/>
    <n v="0"/>
    <s v=""/>
    <n v="51"/>
    <s v="2018 (triag)"/>
    <n v="23"/>
    <n v="2022"/>
    <s v="Adjust"/>
    <n v="26.43386881936955"/>
    <n v="51"/>
    <s v="Decreasing"/>
    <m/>
    <m/>
    <m/>
    <m/>
    <n v="0"/>
    <n v="0.33952658676252406"/>
    <n v="0.15782281068195717"/>
    <n v="0.30449433640534285"/>
    <x v="0"/>
  </r>
  <r>
    <s v="Equatorial Guinea"/>
    <x v="20"/>
    <n v="1193642.5"/>
    <x v="26"/>
    <n v="0"/>
    <n v="1243941.0000000002"/>
    <n v="0"/>
    <m/>
    <n v="0"/>
    <m/>
    <n v="0"/>
    <m/>
    <n v="0"/>
    <m/>
    <n v="0"/>
    <n v="1502091.5000000002"/>
    <n v="0"/>
    <n v="51"/>
    <m/>
    <n v="0"/>
    <m/>
    <n v="0"/>
    <m/>
    <n v="0"/>
    <n v="1674908"/>
    <n v="23"/>
    <n v="51"/>
    <n v="0"/>
    <n v="0"/>
    <n v="23"/>
    <n v="0"/>
    <s v=""/>
    <n v="51"/>
    <s v="2018 (triag)"/>
    <n v="23"/>
    <n v="2022"/>
    <s v="Adjust"/>
    <n v="26.43386881936955"/>
    <n v="51"/>
    <s v="Decreasing"/>
    <m/>
    <m/>
    <m/>
    <m/>
    <n v="0"/>
    <n v="0.33952658676252406"/>
    <n v="0.15782281068195717"/>
    <n v="0.30449433640534285"/>
    <x v="0"/>
  </r>
  <r>
    <s v="Equatorial Guinea"/>
    <x v="20"/>
    <n v="1193643.5"/>
    <x v="27"/>
    <n v="0"/>
    <n v="1243941.0000000002"/>
    <n v="0"/>
    <m/>
    <n v="0"/>
    <m/>
    <n v="0"/>
    <m/>
    <n v="0"/>
    <m/>
    <n v="0"/>
    <n v="1502091.5000000002"/>
    <n v="0"/>
    <n v="0"/>
    <m/>
    <n v="0"/>
    <m/>
    <n v="0"/>
    <m/>
    <n v="0"/>
    <n v="1674908"/>
    <n v="0"/>
    <n v="0"/>
    <n v="0"/>
    <n v="0"/>
    <n v="0"/>
    <n v="0"/>
    <s v=""/>
    <n v="0"/>
    <s v=""/>
    <n v="0"/>
    <s v=""/>
    <s v=""/>
    <n v="0"/>
    <n v="0"/>
    <s v="No change"/>
    <m/>
    <m/>
    <m/>
    <m/>
    <n v="0"/>
    <n v="0"/>
    <n v="0"/>
    <n v="0"/>
    <x v="1"/>
  </r>
  <r>
    <s v="Equatorial Guinea"/>
    <x v="20"/>
    <n v="1193644.5"/>
    <x v="28"/>
    <n v="0"/>
    <n v="1243941.0000000002"/>
    <n v="0"/>
    <m/>
    <n v="0"/>
    <m/>
    <n v="0"/>
    <m/>
    <n v="0"/>
    <m/>
    <n v="0"/>
    <n v="1502091.5000000002"/>
    <n v="10"/>
    <n v="10"/>
    <m/>
    <n v="0"/>
    <m/>
    <n v="0"/>
    <m/>
    <n v="0"/>
    <n v="1674908"/>
    <n v="14"/>
    <n v="10"/>
    <n v="0"/>
    <n v="10"/>
    <n v="14"/>
    <n v="0"/>
    <s v=""/>
    <n v="10"/>
    <n v="2018"/>
    <n v="14"/>
    <n v="2022"/>
    <s v=""/>
    <n v="14"/>
    <n v="14"/>
    <s v="Increasing"/>
    <m/>
    <m/>
    <m/>
    <m/>
    <n v="0"/>
    <n v="6.6573840541671384E-2"/>
    <n v="8.3586680581858822E-2"/>
    <n v="8.3586680581858822E-2"/>
    <x v="1"/>
  </r>
  <r>
    <s v="Equatorial Guinea"/>
    <x v="20"/>
    <n v="1193645.5"/>
    <x v="29"/>
    <n v="0"/>
    <n v="1243941.0000000002"/>
    <n v="0"/>
    <m/>
    <n v="0"/>
    <m/>
    <n v="0"/>
    <m/>
    <n v="0"/>
    <m/>
    <n v="0"/>
    <n v="1502091.5000000002"/>
    <n v="0"/>
    <n v="0"/>
    <m/>
    <n v="0"/>
    <m/>
    <n v="0"/>
    <m/>
    <n v="0"/>
    <n v="1674908"/>
    <n v="91"/>
    <n v="0"/>
    <n v="0"/>
    <n v="0"/>
    <n v="91"/>
    <n v="0"/>
    <s v=""/>
    <n v="0"/>
    <s v=""/>
    <n v="91"/>
    <n v="2022"/>
    <s v=""/>
    <n v="91"/>
    <n v="91"/>
    <s v="Increasing"/>
    <m/>
    <m/>
    <m/>
    <m/>
    <n v="0"/>
    <n v="0"/>
    <n v="0.54331342378208236"/>
    <n v="0.54331342378208236"/>
    <x v="1"/>
  </r>
  <r>
    <s v="Equatorial Guinea"/>
    <x v="20"/>
    <n v="1193646.5"/>
    <x v="30"/>
    <n v="0"/>
    <n v="1243941.0000000002"/>
    <n v="0"/>
    <m/>
    <n v="0"/>
    <m/>
    <n v="0"/>
    <m/>
    <n v="0"/>
    <m/>
    <n v="0"/>
    <n v="1502091.5000000002"/>
    <n v="0"/>
    <n v="0"/>
    <m/>
    <n v="0"/>
    <m/>
    <n v="0"/>
    <m/>
    <n v="0"/>
    <n v="1674908"/>
    <n v="0"/>
    <n v="0"/>
    <n v="0"/>
    <n v="0"/>
    <n v="0"/>
    <n v="0"/>
    <s v=""/>
    <n v="0"/>
    <s v=""/>
    <n v="0"/>
    <s v=""/>
    <s v=""/>
    <n v="0"/>
    <n v="0"/>
    <s v="No change"/>
    <m/>
    <m/>
    <m/>
    <m/>
    <n v="0"/>
    <n v="0"/>
    <n v="0"/>
    <n v="0"/>
    <x v="1"/>
  </r>
  <r>
    <s v="Equatorial Guinea"/>
    <x v="20"/>
    <n v="1193647.5"/>
    <x v="31"/>
    <n v="0"/>
    <n v="1243941.0000000002"/>
    <n v="0"/>
    <m/>
    <n v="0"/>
    <m/>
    <n v="0"/>
    <m/>
    <n v="0"/>
    <m/>
    <n v="0"/>
    <n v="1502091.5000000002"/>
    <n v="0"/>
    <n v="0"/>
    <m/>
    <n v="0"/>
    <m/>
    <n v="0"/>
    <m/>
    <n v="0"/>
    <n v="1674908"/>
    <n v="0"/>
    <n v="0"/>
    <n v="0"/>
    <n v="0"/>
    <n v="0"/>
    <n v="0"/>
    <s v=""/>
    <n v="0"/>
    <s v=""/>
    <n v="0"/>
    <s v=""/>
    <s v=""/>
    <n v="0"/>
    <n v="0"/>
    <s v="No change"/>
    <m/>
    <m/>
    <m/>
    <m/>
    <n v="0"/>
    <n v="0"/>
    <n v="0"/>
    <n v="0"/>
    <x v="1"/>
  </r>
  <r>
    <s v="Equatorial Guinea"/>
    <x v="20"/>
    <n v="1193648.5"/>
    <x v="32"/>
    <n v="0"/>
    <n v="1243941.0000000002"/>
    <n v="0"/>
    <m/>
    <n v="0"/>
    <m/>
    <n v="0"/>
    <m/>
    <n v="0"/>
    <m/>
    <n v="0"/>
    <n v="1502091.5000000002"/>
    <n v="0"/>
    <n v="0"/>
    <m/>
    <n v="0"/>
    <m/>
    <n v="0"/>
    <m/>
    <n v="0"/>
    <n v="1674908"/>
    <n v="0"/>
    <n v="0"/>
    <n v="0"/>
    <n v="0"/>
    <n v="0"/>
    <n v="0"/>
    <s v=""/>
    <n v="0"/>
    <s v=""/>
    <n v="0"/>
    <s v=""/>
    <s v=""/>
    <n v="0"/>
    <n v="0"/>
    <s v="No change"/>
    <m/>
    <m/>
    <m/>
    <m/>
    <n v="0"/>
    <n v="0"/>
    <n v="0"/>
    <n v="0"/>
    <x v="1"/>
  </r>
  <r>
    <s v="Kenya"/>
    <x v="21"/>
    <n v="43725806.500000007"/>
    <x v="19"/>
    <n v="8092"/>
    <n v="44792368.000000007"/>
    <n v="8682"/>
    <n v="45831863.500000007"/>
    <n v="9149"/>
    <n v="46851488.499999993"/>
    <n v="0"/>
    <n v="47894670"/>
    <n v="0"/>
    <n v="48948137.000000037"/>
    <n v="0"/>
    <n v="49953303.999999993"/>
    <n v="8042"/>
    <n v="8042"/>
    <n v="50951450"/>
    <n v="0"/>
    <n v="51985779.999999993"/>
    <n v="0"/>
    <n v="53005614.000000022"/>
    <n v="5203"/>
    <n v="54027486.999999985"/>
    <n v="12792"/>
    <n v="8042"/>
    <n v="9149"/>
    <n v="8042"/>
    <n v="12792"/>
    <n v="8682"/>
    <n v="2013"/>
    <n v="8042"/>
    <n v="2018"/>
    <n v="12792"/>
    <n v="2022"/>
    <s v=""/>
    <n v="12792"/>
    <n v="12792"/>
    <s v="Increasing"/>
    <m/>
    <m/>
    <m/>
    <m/>
    <n v="1.9382766278398138"/>
    <n v="1.6099035210964225"/>
    <n v="2.3676836940426274"/>
    <n v="2.3676836940426274"/>
    <x v="1"/>
  </r>
  <r>
    <s v="Kenya"/>
    <x v="21"/>
    <n v="43725807.5"/>
    <x v="20"/>
    <n v="0"/>
    <n v="44792368.000000007"/>
    <n v="0"/>
    <m/>
    <n v="0"/>
    <m/>
    <n v="0"/>
    <m/>
    <n v="0"/>
    <m/>
    <n v="0"/>
    <n v="49953303.999999993"/>
    <n v="5602"/>
    <n v="5602"/>
    <m/>
    <n v="0"/>
    <m/>
    <n v="0"/>
    <m/>
    <n v="3252"/>
    <n v="54027486.999999985"/>
    <n v="3544"/>
    <n v="5602"/>
    <n v="0"/>
    <n v="5602"/>
    <n v="3544"/>
    <n v="0"/>
    <s v=""/>
    <n v="5602"/>
    <n v="2018"/>
    <n v="3544"/>
    <n v="2022"/>
    <s v="Adjust"/>
    <n v="4073.1143954715512"/>
    <n v="5602"/>
    <s v="Decreasing"/>
    <m/>
    <m/>
    <m/>
    <m/>
    <n v="0"/>
    <n v="1.1214473421017359"/>
    <n v="0.75389669622641386"/>
    <n v="1.0368796164811445"/>
    <x v="1"/>
  </r>
  <r>
    <s v="Kenya"/>
    <x v="21"/>
    <n v="43725808.5"/>
    <x v="21"/>
    <n v="0"/>
    <n v="44792368.000000007"/>
    <n v="0"/>
    <m/>
    <n v="0"/>
    <m/>
    <n v="0"/>
    <m/>
    <n v="0"/>
    <m/>
    <n v="0"/>
    <n v="49953303.999999993"/>
    <n v="2440"/>
    <n v="2440"/>
    <m/>
    <n v="0"/>
    <m/>
    <n v="0"/>
    <m/>
    <n v="1951"/>
    <n v="54027486.999999985"/>
    <n v="1973"/>
    <n v="2440"/>
    <n v="0"/>
    <n v="2440"/>
    <n v="1973"/>
    <n v="0"/>
    <s v=""/>
    <n v="2440"/>
    <n v="2018"/>
    <n v="1973"/>
    <n v="2022"/>
    <s v="Adjust"/>
    <n v="2267.5662252441793"/>
    <n v="2440"/>
    <s v="Decreasing"/>
    <m/>
    <m/>
    <m/>
    <m/>
    <n v="0"/>
    <n v="0.4884561789946868"/>
    <n v="0.41970603319828292"/>
    <n v="0.45162196790681763"/>
    <x v="1"/>
  </r>
  <r>
    <s v="Kenya"/>
    <x v="21"/>
    <n v="43725809.5"/>
    <x v="22"/>
    <n v="61769"/>
    <n v="44792368.000000007"/>
    <n v="40292"/>
    <m/>
    <n v="43311"/>
    <m/>
    <n v="41413"/>
    <m/>
    <n v="48737"/>
    <m/>
    <n v="53168"/>
    <n v="49953303.999999993"/>
    <n v="59901"/>
    <n v="59901"/>
    <m/>
    <n v="0"/>
    <m/>
    <n v="0"/>
    <m/>
    <n v="34588"/>
    <n v="54027486.999999985"/>
    <n v="109659"/>
    <n v="59901"/>
    <n v="61769"/>
    <n v="59901"/>
    <n v="109659"/>
    <n v="40292"/>
    <n v="2013"/>
    <n v="59901"/>
    <n v="2018"/>
    <n v="109659"/>
    <n v="2022"/>
    <s v=""/>
    <n v="109659"/>
    <n v="109659"/>
    <s v="Increasing"/>
    <m/>
    <m/>
    <m/>
    <m/>
    <n v="8.9952824106106632"/>
    <n v="11.991399007360956"/>
    <n v="20.296890728972834"/>
    <n v="20.296890728972834"/>
    <x v="1"/>
  </r>
  <r>
    <s v="Kenya"/>
    <x v="21"/>
    <n v="43725810.5"/>
    <x v="23"/>
    <n v="0"/>
    <n v="44792368.000000007"/>
    <n v="28300"/>
    <m/>
    <n v="31167"/>
    <m/>
    <n v="32514"/>
    <m/>
    <n v="38300"/>
    <m/>
    <n v="41583"/>
    <n v="49953303.999999993"/>
    <n v="46703"/>
    <n v="46703"/>
    <m/>
    <n v="0"/>
    <m/>
    <n v="0"/>
    <m/>
    <n v="34588"/>
    <n v="54027486.999999985"/>
    <n v="34634"/>
    <n v="46703"/>
    <n v="32514"/>
    <n v="46703"/>
    <n v="34634"/>
    <n v="28300"/>
    <n v="2013"/>
    <n v="46703"/>
    <n v="2018"/>
    <n v="34634"/>
    <n v="2022"/>
    <s v="Adjust"/>
    <n v="39804.809247393256"/>
    <n v="46703"/>
    <s v="Decreasing"/>
    <m/>
    <m/>
    <m/>
    <m/>
    <n v="6.3180406090608994"/>
    <n v="9.3493315277003521"/>
    <n v="7.3675107723209976"/>
    <n v="8.644303593095124"/>
    <x v="1"/>
  </r>
  <r>
    <s v="Kenya"/>
    <x v="21"/>
    <n v="43725811.5"/>
    <x v="24"/>
    <n v="0"/>
    <n v="44792368.000000007"/>
    <n v="11992"/>
    <m/>
    <n v="12144"/>
    <m/>
    <n v="8899"/>
    <m/>
    <n v="10437"/>
    <m/>
    <n v="11585"/>
    <n v="49953303.999999993"/>
    <n v="13198"/>
    <n v="13198"/>
    <m/>
    <n v="0"/>
    <m/>
    <n v="0"/>
    <m/>
    <n v="0"/>
    <n v="54027486.999999985"/>
    <n v="0"/>
    <n v="13198"/>
    <n v="12144"/>
    <n v="13198"/>
    <n v="0"/>
    <n v="11992"/>
    <n v="2013"/>
    <n v="13198"/>
    <n v="2018"/>
    <n v="13198"/>
    <n v="2018"/>
    <s v=""/>
    <n v="13198"/>
    <n v="13198"/>
    <s v="No change"/>
    <m/>
    <m/>
    <m/>
    <m/>
    <n v="2.6772418015497634"/>
    <n v="2.642067479660605"/>
    <n v="2.4428306280467948"/>
    <n v="2.4428306280467948"/>
    <x v="1"/>
  </r>
  <r>
    <s v="Kenya"/>
    <x v="21"/>
    <n v="43725812.5"/>
    <x v="25"/>
    <n v="0"/>
    <n v="44792368.000000007"/>
    <n v="0"/>
    <m/>
    <n v="0"/>
    <m/>
    <n v="0"/>
    <m/>
    <n v="2092"/>
    <m/>
    <n v="0"/>
    <n v="49953303.999999993"/>
    <n v="0"/>
    <n v="0"/>
    <m/>
    <n v="0"/>
    <m/>
    <n v="0"/>
    <m/>
    <n v="0"/>
    <n v="54027486.999999985"/>
    <n v="137"/>
    <n v="0"/>
    <n v="0"/>
    <n v="2092"/>
    <n v="137"/>
    <n v="0"/>
    <s v=""/>
    <n v="0"/>
    <s v=""/>
    <n v="137"/>
    <n v="2022"/>
    <s v=""/>
    <n v="137"/>
    <n v="137"/>
    <s v="Increasing"/>
    <m/>
    <m/>
    <m/>
    <m/>
    <n v="0"/>
    <n v="0"/>
    <n v="2.5357462952145089E-2"/>
    <n v="2.5357462952145089E-2"/>
    <x v="1"/>
  </r>
  <r>
    <s v="Kenya"/>
    <x v="21"/>
    <n v="43725813.5"/>
    <x v="26"/>
    <n v="0"/>
    <n v="44792368.000000007"/>
    <n v="0"/>
    <m/>
    <n v="0"/>
    <m/>
    <n v="0"/>
    <m/>
    <n v="2092"/>
    <m/>
    <n v="0"/>
    <n v="49953303.999999993"/>
    <n v="0"/>
    <n v="0"/>
    <m/>
    <n v="0"/>
    <m/>
    <n v="0"/>
    <m/>
    <n v="0"/>
    <n v="54027486.999999985"/>
    <n v="137"/>
    <n v="0"/>
    <n v="0"/>
    <n v="2092"/>
    <n v="137"/>
    <n v="0"/>
    <s v=""/>
    <n v="0"/>
    <s v=""/>
    <n v="137"/>
    <n v="2022"/>
    <s v=""/>
    <n v="137"/>
    <n v="137"/>
    <s v="Increasing"/>
    <m/>
    <m/>
    <m/>
    <m/>
    <n v="0"/>
    <n v="0"/>
    <n v="2.5357462952145089E-2"/>
    <n v="2.5357462952145089E-2"/>
    <x v="1"/>
  </r>
  <r>
    <s v="Kenya"/>
    <x v="21"/>
    <n v="43725814.5"/>
    <x v="27"/>
    <n v="0"/>
    <n v="44792368.000000007"/>
    <n v="0"/>
    <m/>
    <n v="0"/>
    <m/>
    <n v="0"/>
    <m/>
    <n v="0"/>
    <m/>
    <n v="0"/>
    <n v="49953303.999999993"/>
    <n v="0"/>
    <n v="0"/>
    <m/>
    <n v="0"/>
    <m/>
    <n v="0"/>
    <m/>
    <n v="0"/>
    <n v="54027486.999999985"/>
    <n v="0"/>
    <n v="0"/>
    <n v="0"/>
    <n v="0"/>
    <n v="0"/>
    <n v="0"/>
    <s v=""/>
    <n v="0"/>
    <s v=""/>
    <n v="0"/>
    <s v=""/>
    <s v=""/>
    <n v="0"/>
    <n v="0"/>
    <s v="No change"/>
    <m/>
    <m/>
    <m/>
    <m/>
    <n v="0"/>
    <n v="0"/>
    <n v="0"/>
    <n v="0"/>
    <x v="1"/>
  </r>
  <r>
    <s v="Kenya"/>
    <x v="21"/>
    <n v="43725815.5"/>
    <x v="28"/>
    <n v="2076"/>
    <n v="44792368.000000007"/>
    <n v="2202"/>
    <m/>
    <n v="2355"/>
    <m/>
    <n v="0"/>
    <m/>
    <n v="0"/>
    <m/>
    <n v="0"/>
    <n v="49953303.999999993"/>
    <n v="964"/>
    <n v="964"/>
    <m/>
    <n v="0"/>
    <m/>
    <n v="0"/>
    <m/>
    <n v="1137"/>
    <n v="54027486.999999985"/>
    <n v="1337"/>
    <n v="964"/>
    <n v="2355"/>
    <n v="964"/>
    <n v="1337"/>
    <n v="2202"/>
    <n v="2013"/>
    <n v="964"/>
    <n v="2018"/>
    <n v="1337"/>
    <n v="2022"/>
    <s v=""/>
    <n v="1337"/>
    <n v="1337"/>
    <s v="Increasing"/>
    <m/>
    <m/>
    <m/>
    <m/>
    <n v="0.49160160498770678"/>
    <n v="0.19298022809462215"/>
    <n v="0.24746662749648163"/>
    <n v="0.24746662749648163"/>
    <x v="1"/>
  </r>
  <r>
    <s v="Kenya"/>
    <x v="21"/>
    <n v="43725816.5"/>
    <x v="29"/>
    <n v="0"/>
    <n v="44792368.000000007"/>
    <n v="0"/>
    <m/>
    <n v="0"/>
    <m/>
    <n v="0"/>
    <m/>
    <n v="0"/>
    <m/>
    <n v="0"/>
    <n v="49953303.999999993"/>
    <n v="1331"/>
    <n v="1331"/>
    <m/>
    <n v="0"/>
    <m/>
    <n v="0"/>
    <m/>
    <n v="1780"/>
    <n v="54027486.999999985"/>
    <n v="6240"/>
    <n v="1331"/>
    <n v="0"/>
    <n v="1331"/>
    <n v="6240"/>
    <n v="0"/>
    <s v=""/>
    <n v="1331"/>
    <n v="2018"/>
    <n v="6240"/>
    <n v="2022"/>
    <s v=""/>
    <n v="6240"/>
    <n v="6240"/>
    <s v="Increasing"/>
    <m/>
    <m/>
    <m/>
    <m/>
    <n v="0"/>
    <n v="0.26644884190242957"/>
    <n v="1.1549676556305499"/>
    <n v="1.1549676556305499"/>
    <x v="1"/>
  </r>
  <r>
    <s v="Kenya"/>
    <x v="21"/>
    <n v="43725817.5"/>
    <x v="30"/>
    <n v="985"/>
    <n v="44792368.000000007"/>
    <n v="1045"/>
    <m/>
    <n v="1090"/>
    <m/>
    <n v="0"/>
    <m/>
    <n v="0"/>
    <m/>
    <n v="0"/>
    <n v="49953303.999999993"/>
    <n v="841"/>
    <n v="1300"/>
    <m/>
    <n v="1300"/>
    <m/>
    <n v="0"/>
    <m/>
    <n v="0"/>
    <n v="54027486.999999985"/>
    <n v="1344"/>
    <n v="1300"/>
    <n v="1090"/>
    <n v="1300"/>
    <n v="1344"/>
    <n v="1045"/>
    <n v="2013"/>
    <n v="1300"/>
    <s v="2018 (triag)"/>
    <n v="1344"/>
    <n v="2022"/>
    <s v=""/>
    <n v="1344"/>
    <n v="1344"/>
    <s v="Increasing"/>
    <m/>
    <m/>
    <m/>
    <m/>
    <n v="0.2332986726667364"/>
    <n v="0.26024304618569377"/>
    <n v="0.24876226428965692"/>
    <n v="0.24876226428965692"/>
    <x v="1"/>
  </r>
  <r>
    <s v="Kenya"/>
    <x v="21"/>
    <n v="43725818.5"/>
    <x v="31"/>
    <n v="0"/>
    <n v="44792368.000000007"/>
    <n v="0"/>
    <m/>
    <n v="0"/>
    <m/>
    <n v="0"/>
    <m/>
    <n v="0"/>
    <m/>
    <n v="0"/>
    <n v="49953303.999999993"/>
    <n v="0"/>
    <n v="464"/>
    <m/>
    <n v="464"/>
    <m/>
    <n v="0"/>
    <m/>
    <n v="246"/>
    <n v="54027486.999999985"/>
    <n v="987"/>
    <n v="464"/>
    <n v="0"/>
    <n v="464"/>
    <n v="987"/>
    <n v="0"/>
    <s v=""/>
    <n v="464"/>
    <s v="2018 (triag)"/>
    <n v="987"/>
    <n v="2022"/>
    <s v=""/>
    <n v="987"/>
    <n v="987"/>
    <s v="Increasing"/>
    <m/>
    <m/>
    <m/>
    <m/>
    <n v="0"/>
    <n v="9.2886748792432236E-2"/>
    <n v="0.1826847878377168"/>
    <n v="0.1826847878377168"/>
    <x v="1"/>
  </r>
  <r>
    <s v="Kenya"/>
    <x v="21"/>
    <n v="43725819.5"/>
    <x v="32"/>
    <n v="0"/>
    <n v="44792368.000000007"/>
    <n v="0"/>
    <m/>
    <n v="0"/>
    <m/>
    <n v="0"/>
    <m/>
    <n v="0"/>
    <m/>
    <n v="0"/>
    <n v="49953303.999999993"/>
    <n v="0"/>
    <n v="0"/>
    <m/>
    <n v="0"/>
    <m/>
    <n v="0"/>
    <m/>
    <n v="0"/>
    <n v="54027486.999999985"/>
    <n v="0"/>
    <n v="0"/>
    <n v="0"/>
    <n v="0"/>
    <n v="0"/>
    <n v="0"/>
    <s v=""/>
    <n v="0"/>
    <s v=""/>
    <n v="0"/>
    <s v=""/>
    <s v=""/>
    <n v="0"/>
    <n v="0"/>
    <s v="No change"/>
    <m/>
    <m/>
    <m/>
    <m/>
    <n v="0"/>
    <n v="0"/>
    <n v="0"/>
    <n v="0"/>
    <x v="1"/>
  </r>
  <r>
    <s v="Liberia"/>
    <x v="22"/>
    <n v="4331740.4999999991"/>
    <x v="19"/>
    <n v="0"/>
    <n v="4427312.4999999991"/>
    <n v="0"/>
    <n v="4519397.9999999981"/>
    <n v="0"/>
    <n v="4612328.9999999972"/>
    <n v="168"/>
    <n v="4706097.5000000009"/>
    <n v="234"/>
    <n v="4796630.9999999963"/>
    <n v="248"/>
    <n v="4889391"/>
    <n v="693"/>
    <n v="693"/>
    <n v="4985289.0000000075"/>
    <n v="732"/>
    <n v="5087584.5000000019"/>
    <n v="777"/>
    <n v="5193415.5000000019"/>
    <n v="887"/>
    <n v="5302681.0000000028"/>
    <n v="954"/>
    <n v="246"/>
    <n v="168"/>
    <n v="732"/>
    <n v="954"/>
    <n v="168"/>
    <n v="2015"/>
    <n v="693"/>
    <n v="2018"/>
    <n v="954"/>
    <n v="2022"/>
    <s v=""/>
    <n v="954"/>
    <n v="954"/>
    <s v="Increasing"/>
    <m/>
    <m/>
    <m/>
    <m/>
    <n v="0.37946271016559152"/>
    <n v="1.4173544312573898"/>
    <n v="1.7990899320551237"/>
    <n v="1.7990899320551237"/>
    <x v="1"/>
  </r>
  <r>
    <s v="Liberia"/>
    <x v="22"/>
    <n v="4331741.5"/>
    <x v="20"/>
    <n v="0"/>
    <n v="4427312.4999999991"/>
    <n v="0"/>
    <m/>
    <n v="0"/>
    <m/>
    <n v="0"/>
    <m/>
    <n v="0"/>
    <m/>
    <n v="0"/>
    <n v="4889391"/>
    <n v="672"/>
    <n v="672"/>
    <m/>
    <n v="697"/>
    <m/>
    <n v="725"/>
    <m/>
    <n v="800"/>
    <n v="5302681.0000000028"/>
    <n v="840"/>
    <n v="234"/>
    <n v="0"/>
    <n v="697"/>
    <n v="840"/>
    <n v="0"/>
    <s v=""/>
    <n v="672"/>
    <n v="2018"/>
    <n v="840"/>
    <n v="2022"/>
    <s v=""/>
    <n v="840"/>
    <n v="840"/>
    <s v="Increasing"/>
    <m/>
    <m/>
    <m/>
    <m/>
    <n v="0"/>
    <n v="1.3744042969768628"/>
    <n v="1.5841043426900459"/>
    <n v="1.5841043426900459"/>
    <x v="1"/>
  </r>
  <r>
    <s v="Liberia"/>
    <x v="22"/>
    <n v="4331742.5"/>
    <x v="21"/>
    <n v="0"/>
    <n v="4427312.4999999991"/>
    <n v="0"/>
    <m/>
    <n v="0"/>
    <m/>
    <n v="0"/>
    <m/>
    <n v="0"/>
    <m/>
    <n v="0"/>
    <n v="4889391"/>
    <n v="21"/>
    <n v="21"/>
    <m/>
    <n v="35"/>
    <m/>
    <n v="52"/>
    <m/>
    <n v="87"/>
    <n v="5302681.0000000028"/>
    <n v="114"/>
    <n v="12"/>
    <n v="0"/>
    <n v="35"/>
    <n v="114"/>
    <n v="0"/>
    <s v=""/>
    <n v="21"/>
    <n v="2018"/>
    <n v="114"/>
    <n v="2022"/>
    <s v=""/>
    <n v="114"/>
    <n v="114"/>
    <s v="Increasing"/>
    <m/>
    <m/>
    <m/>
    <m/>
    <n v="0"/>
    <n v="4.2950134280526964E-2"/>
    <n v="0.21498558936507767"/>
    <n v="0.21498558936507767"/>
    <x v="1"/>
  </r>
  <r>
    <s v="Liberia"/>
    <x v="22"/>
    <n v="4331743.5"/>
    <x v="22"/>
    <n v="0"/>
    <n v="4427312.4999999991"/>
    <n v="0"/>
    <m/>
    <n v="0"/>
    <m/>
    <n v="0"/>
    <m/>
    <n v="0"/>
    <m/>
    <n v="0"/>
    <n v="4889391"/>
    <n v="2263"/>
    <n v="8488"/>
    <m/>
    <n v="1978"/>
    <m/>
    <n v="2416"/>
    <m/>
    <n v="1761"/>
    <n v="5302681.0000000028"/>
    <n v="3440"/>
    <n v="8488"/>
    <n v="0"/>
    <n v="2263"/>
    <n v="3440"/>
    <n v="0"/>
    <s v=""/>
    <n v="8488"/>
    <s v="2018 (triag)"/>
    <n v="3440"/>
    <n v="2022"/>
    <s v="Adjust"/>
    <n v="4423.7952883834278"/>
    <n v="8488"/>
    <s v="Decreasing"/>
    <m/>
    <m/>
    <m/>
    <m/>
    <n v="0"/>
    <n v="17.360035227291089"/>
    <n v="8.3425634851189905"/>
    <n v="16.006997215182274"/>
    <x v="0"/>
  </r>
  <r>
    <s v="Liberia"/>
    <x v="22"/>
    <n v="4331744.5"/>
    <x v="23"/>
    <n v="0"/>
    <n v="4427312.4999999991"/>
    <n v="0"/>
    <m/>
    <n v="0"/>
    <m/>
    <n v="0"/>
    <m/>
    <n v="0"/>
    <m/>
    <n v="0"/>
    <n v="4889391"/>
    <n v="2263"/>
    <n v="4887"/>
    <m/>
    <n v="1978"/>
    <m/>
    <n v="2416"/>
    <m/>
    <n v="1761"/>
    <n v="5302681.0000000028"/>
    <n v="2017"/>
    <n v="4887"/>
    <n v="0"/>
    <n v="2263"/>
    <n v="2416"/>
    <n v="0"/>
    <s v=""/>
    <n v="4887"/>
    <s v="2018 (triag)"/>
    <n v="2017"/>
    <n v="2022"/>
    <s v="Adjust"/>
    <n v="2593.8357839155155"/>
    <n v="4887"/>
    <s v="Decreasing"/>
    <m/>
    <m/>
    <m/>
    <m/>
    <n v="0"/>
    <n v="9.9951098204254887"/>
    <n v="4.891555392292152"/>
    <n v="9.2160927651503037"/>
    <x v="0"/>
  </r>
  <r>
    <s v="Liberia"/>
    <x v="22"/>
    <n v="4331745.5"/>
    <x v="24"/>
    <n v="0"/>
    <n v="4427312.4999999991"/>
    <n v="0"/>
    <m/>
    <n v="0"/>
    <m/>
    <n v="0"/>
    <m/>
    <n v="0"/>
    <m/>
    <n v="0"/>
    <n v="4889391"/>
    <n v="0"/>
    <n v="3601"/>
    <m/>
    <n v="0"/>
    <m/>
    <n v="0"/>
    <m/>
    <n v="0"/>
    <n v="5302681.0000000028"/>
    <n v="1423"/>
    <n v="3601"/>
    <n v="0"/>
    <n v="0"/>
    <n v="1423"/>
    <n v="0"/>
    <s v=""/>
    <n v="3601"/>
    <s v="2018 (triag)"/>
    <n v="1423"/>
    <n v="2022"/>
    <s v="Adjust"/>
    <n v="1829.9595044679122"/>
    <n v="3601"/>
    <s v="Decreasing"/>
    <m/>
    <m/>
    <m/>
    <m/>
    <n v="0"/>
    <n v="7.3649254068655994"/>
    <n v="3.451008092826839"/>
    <n v="6.7909044500319711"/>
    <x v="0"/>
  </r>
  <r>
    <s v="Liberia"/>
    <x v="22"/>
    <n v="4331746.5"/>
    <x v="25"/>
    <n v="0"/>
    <n v="4427312.4999999991"/>
    <n v="806"/>
    <m/>
    <n v="0"/>
    <m/>
    <n v="0"/>
    <m/>
    <n v="0"/>
    <m/>
    <n v="0"/>
    <n v="4889391"/>
    <n v="892"/>
    <n v="927"/>
    <m/>
    <n v="767"/>
    <m/>
    <n v="872"/>
    <m/>
    <n v="795"/>
    <n v="5302681.0000000028"/>
    <n v="769"/>
    <n v="927"/>
    <n v="806"/>
    <n v="892"/>
    <n v="872"/>
    <n v="806"/>
    <n v="2013"/>
    <n v="927"/>
    <s v="2018 (triag)"/>
    <n v="769"/>
    <n v="2022"/>
    <s v="Adjust"/>
    <n v="988.92400487408611"/>
    <n v="988.92400487408611"/>
    <s v="Increasing"/>
    <m/>
    <m/>
    <m/>
    <m/>
    <n v="1.8205175261515878"/>
    <n v="1.8959416418118331"/>
    <n v="1.864950965132705"/>
    <n v="1.864950965132705"/>
    <x v="1"/>
  </r>
  <r>
    <s v="Liberia"/>
    <x v="22"/>
    <n v="4331747.5"/>
    <x v="26"/>
    <n v="0"/>
    <n v="4427312.4999999991"/>
    <n v="806"/>
    <m/>
    <n v="0"/>
    <m/>
    <n v="0"/>
    <m/>
    <n v="0"/>
    <m/>
    <n v="0"/>
    <n v="4889391"/>
    <n v="892"/>
    <n v="927"/>
    <m/>
    <n v="767"/>
    <m/>
    <n v="872"/>
    <m/>
    <n v="795"/>
    <n v="5302681.0000000028"/>
    <n v="769"/>
    <n v="927"/>
    <n v="806"/>
    <n v="892"/>
    <n v="872"/>
    <n v="806"/>
    <n v="2013"/>
    <n v="927"/>
    <s v="2018 (triag)"/>
    <n v="769"/>
    <n v="2022"/>
    <s v="Adjust"/>
    <n v="988.92400487408611"/>
    <n v="988.92400487408611"/>
    <s v="Increasing"/>
    <m/>
    <m/>
    <m/>
    <m/>
    <n v="1.8205175261515878"/>
    <n v="1.8959416418118331"/>
    <n v="1.864950965132705"/>
    <n v="1.864950965132705"/>
    <x v="1"/>
  </r>
  <r>
    <s v="Liberia"/>
    <x v="22"/>
    <n v="4331748.5"/>
    <x v="27"/>
    <n v="0"/>
    <n v="4427312.4999999991"/>
    <n v="0"/>
    <m/>
    <n v="0"/>
    <m/>
    <n v="0"/>
    <m/>
    <n v="0"/>
    <m/>
    <n v="0"/>
    <n v="4889391"/>
    <n v="0"/>
    <n v="0"/>
    <m/>
    <n v="0"/>
    <m/>
    <n v="0"/>
    <m/>
    <n v="0"/>
    <n v="5302681.0000000028"/>
    <n v="0"/>
    <n v="0"/>
    <n v="0"/>
    <n v="0"/>
    <n v="0"/>
    <n v="0"/>
    <s v=""/>
    <n v="0"/>
    <s v=""/>
    <n v="0"/>
    <s v=""/>
    <s v=""/>
    <n v="0"/>
    <n v="0"/>
    <s v="No change"/>
    <m/>
    <m/>
    <m/>
    <m/>
    <n v="0"/>
    <n v="0"/>
    <n v="0"/>
    <n v="0"/>
    <x v="1"/>
  </r>
  <r>
    <s v="Liberia"/>
    <x v="22"/>
    <n v="4331749.5"/>
    <x v="28"/>
    <n v="0"/>
    <n v="4427312.4999999991"/>
    <n v="0"/>
    <m/>
    <n v="0"/>
    <m/>
    <n v="0"/>
    <m/>
    <n v="0"/>
    <m/>
    <n v="0"/>
    <n v="4889391"/>
    <n v="93"/>
    <n v="109"/>
    <m/>
    <n v="54"/>
    <m/>
    <n v="127"/>
    <m/>
    <n v="124"/>
    <n v="5302681.0000000028"/>
    <n v="170"/>
    <n v="109"/>
    <n v="0"/>
    <n v="93"/>
    <n v="170"/>
    <n v="0"/>
    <s v=""/>
    <n v="109"/>
    <s v="2018 (triag)"/>
    <n v="170"/>
    <n v="2022"/>
    <s v=""/>
    <n v="170"/>
    <n v="170"/>
    <s v="Increasing"/>
    <m/>
    <m/>
    <m/>
    <m/>
    <n v="0"/>
    <n v="0.22293164936083043"/>
    <n v="0.32059254554441408"/>
    <n v="0.32059254554441408"/>
    <x v="1"/>
  </r>
  <r>
    <s v="Liberia"/>
    <x v="22"/>
    <n v="4331750.5"/>
    <x v="29"/>
    <n v="0"/>
    <n v="4427312.4999999991"/>
    <n v="0"/>
    <m/>
    <n v="0"/>
    <m/>
    <n v="0"/>
    <m/>
    <n v="0"/>
    <m/>
    <n v="0"/>
    <n v="4889391"/>
    <n v="0"/>
    <n v="962"/>
    <m/>
    <n v="201"/>
    <m/>
    <n v="486"/>
    <m/>
    <n v="472"/>
    <n v="5302681.0000000028"/>
    <n v="447"/>
    <n v="962"/>
    <n v="0"/>
    <n v="201"/>
    <n v="486"/>
    <n v="0"/>
    <s v=""/>
    <n v="962"/>
    <s v="2018 (triag)"/>
    <n v="447"/>
    <n v="2022"/>
    <s v="Adjust"/>
    <n v="574.83619008935818"/>
    <n v="962"/>
    <s v="Decreasing"/>
    <m/>
    <m/>
    <m/>
    <m/>
    <n v="0"/>
    <n v="1.9675251989460447"/>
    <n v="1.0840482203047062"/>
    <n v="1.8141766400807431"/>
    <x v="0"/>
  </r>
  <r>
    <s v="Liberia"/>
    <x v="22"/>
    <n v="4331751.5"/>
    <x v="30"/>
    <n v="0"/>
    <n v="4427312.4999999991"/>
    <n v="0"/>
    <m/>
    <n v="0"/>
    <m/>
    <n v="0"/>
    <m/>
    <n v="0"/>
    <m/>
    <n v="0"/>
    <n v="4889391"/>
    <n v="3"/>
    <n v="14"/>
    <m/>
    <n v="4"/>
    <m/>
    <n v="6"/>
    <m/>
    <n v="6"/>
    <n v="5302681.0000000028"/>
    <n v="6"/>
    <n v="14"/>
    <n v="0"/>
    <n v="4"/>
    <n v="6"/>
    <n v="0"/>
    <s v=""/>
    <n v="14"/>
    <s v="2018 (triag)"/>
    <n v="6"/>
    <n v="2020"/>
    <s v="Adjust"/>
    <n v="7.715922014622258"/>
    <n v="14"/>
    <s v="Decreasing"/>
    <m/>
    <m/>
    <m/>
    <m/>
    <n v="0"/>
    <n v="2.8633422853684642E-2"/>
    <n v="1.4550982822881961E-2"/>
    <n v="2.6401739044834099E-2"/>
    <x v="0"/>
  </r>
  <r>
    <s v="Liberia"/>
    <x v="22"/>
    <n v="4331752.5"/>
    <x v="31"/>
    <n v="0"/>
    <n v="4427312.4999999991"/>
    <n v="0"/>
    <m/>
    <n v="0"/>
    <m/>
    <n v="0"/>
    <m/>
    <n v="0"/>
    <m/>
    <n v="0"/>
    <n v="4889391"/>
    <n v="0"/>
    <n v="10"/>
    <m/>
    <n v="0"/>
    <m/>
    <n v="0"/>
    <m/>
    <n v="0"/>
    <n v="5302681.0000000028"/>
    <n v="0"/>
    <n v="10"/>
    <n v="0"/>
    <n v="0"/>
    <n v="0"/>
    <n v="0"/>
    <s v=""/>
    <n v="10"/>
    <s v="2018 (triag)"/>
    <n v="10"/>
    <s v="2018 (triag)"/>
    <s v=""/>
    <n v="10"/>
    <n v="10"/>
    <s v="No change"/>
    <m/>
    <m/>
    <m/>
    <m/>
    <n v="0"/>
    <n v="2.045244489548903E-2"/>
    <n v="1.8858385032024357E-2"/>
    <n v="1.8858385032024357E-2"/>
    <x v="1"/>
  </r>
  <r>
    <s v="Liberia"/>
    <x v="22"/>
    <n v="4331753.5"/>
    <x v="32"/>
    <n v="0"/>
    <n v="4427312.4999999991"/>
    <n v="0"/>
    <m/>
    <n v="0"/>
    <m/>
    <n v="0"/>
    <m/>
    <n v="0"/>
    <m/>
    <n v="0"/>
    <n v="4889391"/>
    <n v="0"/>
    <n v="0"/>
    <m/>
    <n v="0"/>
    <m/>
    <n v="0"/>
    <m/>
    <n v="0"/>
    <n v="5302681.0000000028"/>
    <n v="0"/>
    <n v="0"/>
    <n v="0"/>
    <n v="0"/>
    <n v="0"/>
    <n v="0"/>
    <s v=""/>
    <n v="0"/>
    <s v=""/>
    <n v="0"/>
    <s v=""/>
    <s v=""/>
    <n v="0"/>
    <n v="0"/>
    <s v="No change"/>
    <m/>
    <m/>
    <m/>
    <m/>
    <n v="0"/>
    <n v="0"/>
    <n v="0"/>
    <n v="0"/>
    <x v="1"/>
  </r>
  <r>
    <s v="Lesotho"/>
    <x v="23"/>
    <n v="2054717.9999999998"/>
    <x v="19"/>
    <n v="0"/>
    <n v="2073938.4999999998"/>
    <n v="0"/>
    <n v="2095242.4999999993"/>
    <n v="0"/>
    <n v="2118520.5000000019"/>
    <n v="0"/>
    <n v="2143872.0000000023"/>
    <n v="0"/>
    <n v="2170616.9999999995"/>
    <n v="0"/>
    <n v="2198017"/>
    <n v="998"/>
    <n v="998"/>
    <n v="2225701.4999999995"/>
    <n v="0"/>
    <n v="2254100.0000000005"/>
    <n v="0"/>
    <n v="2281454.5000000014"/>
    <n v="420"/>
    <n v="2305825.5000000019"/>
    <n v="420"/>
    <n v="998"/>
    <n v="0"/>
    <n v="998"/>
    <n v="420"/>
    <n v="0"/>
    <s v=""/>
    <n v="998"/>
    <n v="2018"/>
    <n v="420"/>
    <n v="2022"/>
    <s v="Adjust"/>
    <n v="536.60977859778598"/>
    <n v="998"/>
    <s v="Decreasing"/>
    <m/>
    <m/>
    <m/>
    <m/>
    <n v="0"/>
    <n v="4.5404562385095293"/>
    <n v="2.3271916222532258"/>
    <n v="4.3281679381202052"/>
    <x v="0"/>
  </r>
  <r>
    <s v="Lesotho"/>
    <x v="23"/>
    <n v="2054719"/>
    <x v="20"/>
    <n v="0"/>
    <n v="2073938.4999999998"/>
    <n v="0"/>
    <m/>
    <n v="0"/>
    <m/>
    <n v="0"/>
    <m/>
    <n v="0"/>
    <m/>
    <n v="0"/>
    <n v="2198017"/>
    <n v="815"/>
    <n v="815"/>
    <m/>
    <n v="0"/>
    <m/>
    <n v="0"/>
    <m/>
    <n v="0"/>
    <n v="2305825.5000000019"/>
    <n v="281"/>
    <n v="815"/>
    <n v="0"/>
    <n v="815"/>
    <n v="281"/>
    <n v="0"/>
    <s v=""/>
    <n v="815"/>
    <n v="2018"/>
    <n v="281"/>
    <n v="2022"/>
    <s v="Adjust"/>
    <n v="359.01749472851873"/>
    <n v="815"/>
    <s v="Decreasing"/>
    <m/>
    <m/>
    <m/>
    <m/>
    <n v="0"/>
    <n v="3.7078876096044753"/>
    <n v="1.5570020139360869"/>
    <n v="3.5345259214107889"/>
    <x v="0"/>
  </r>
  <r>
    <s v="Lesotho"/>
    <x v="23"/>
    <n v="2054720"/>
    <x v="21"/>
    <n v="0"/>
    <n v="2073938.4999999998"/>
    <n v="0"/>
    <m/>
    <n v="0"/>
    <m/>
    <n v="0"/>
    <m/>
    <n v="0"/>
    <m/>
    <n v="0"/>
    <n v="2198017"/>
    <n v="183"/>
    <n v="183"/>
    <m/>
    <n v="0"/>
    <m/>
    <n v="0"/>
    <m/>
    <n v="0"/>
    <n v="2305825.5000000019"/>
    <n v="66"/>
    <n v="183"/>
    <n v="0"/>
    <n v="183"/>
    <n v="66"/>
    <n v="0"/>
    <s v=""/>
    <n v="183"/>
    <n v="2018"/>
    <n v="66"/>
    <n v="2022"/>
    <s v="Adjust"/>
    <n v="84.324393779652084"/>
    <n v="183"/>
    <s v="Decreasing"/>
    <m/>
    <m/>
    <m/>
    <m/>
    <n v="0"/>
    <n v="0.83256862890505401"/>
    <n v="0.36570154063979265"/>
    <n v="0.79364201670941648"/>
    <x v="0"/>
  </r>
  <r>
    <s v="Lesotho"/>
    <x v="23"/>
    <n v="2054721"/>
    <x v="22"/>
    <n v="0"/>
    <n v="2073938.4999999998"/>
    <n v="0"/>
    <m/>
    <n v="0"/>
    <m/>
    <n v="0"/>
    <m/>
    <n v="0"/>
    <m/>
    <n v="0"/>
    <n v="2198017"/>
    <n v="6866"/>
    <n v="6866"/>
    <m/>
    <n v="0"/>
    <m/>
    <n v="0"/>
    <m/>
    <n v="0"/>
    <n v="2305825.5000000019"/>
    <n v="967"/>
    <n v="967"/>
    <n v="0"/>
    <n v="6866"/>
    <n v="967"/>
    <n v="0"/>
    <s v=""/>
    <n v="6866"/>
    <n v="2018"/>
    <n v="967"/>
    <n v="2022"/>
    <s v="Adjust"/>
    <n v="1235.4801331049025"/>
    <n v="6866"/>
    <s v="Decreasing"/>
    <m/>
    <m/>
    <m/>
    <m/>
    <n v="0"/>
    <n v="31.237247027661752"/>
    <n v="5.358081663616356"/>
    <n v="29.776754572277888"/>
    <x v="0"/>
  </r>
  <r>
    <s v="Lesotho"/>
    <x v="23"/>
    <n v="2054722"/>
    <x v="23"/>
    <n v="0"/>
    <n v="2073938.4999999998"/>
    <n v="0"/>
    <m/>
    <n v="0"/>
    <m/>
    <n v="0"/>
    <m/>
    <n v="0"/>
    <m/>
    <n v="0"/>
    <n v="2198017"/>
    <n v="4686"/>
    <n v="4686"/>
    <m/>
    <n v="0"/>
    <m/>
    <n v="0"/>
    <m/>
    <n v="0"/>
    <n v="2305825.5000000019"/>
    <n v="0"/>
    <n v="0"/>
    <n v="0"/>
    <n v="4686"/>
    <n v="0"/>
    <n v="0"/>
    <s v=""/>
    <n v="4686"/>
    <n v="2018"/>
    <n v="4686"/>
    <n v="2018"/>
    <s v=""/>
    <n v="4686"/>
    <n v="4686"/>
    <s v="No change"/>
    <m/>
    <m/>
    <m/>
    <m/>
    <n v="0"/>
    <n v="21.319216366388432"/>
    <n v="20.322439837706696"/>
    <n v="20.322439837706696"/>
    <x v="1"/>
  </r>
  <r>
    <s v="Lesotho"/>
    <x v="23"/>
    <n v="2054723"/>
    <x v="24"/>
    <n v="0"/>
    <n v="2073938.4999999998"/>
    <n v="0"/>
    <m/>
    <n v="0"/>
    <m/>
    <n v="0"/>
    <m/>
    <n v="0"/>
    <m/>
    <n v="0"/>
    <n v="2198017"/>
    <n v="2180"/>
    <n v="2180"/>
    <m/>
    <n v="0"/>
    <m/>
    <n v="0"/>
    <m/>
    <n v="0"/>
    <n v="2305825.5000000019"/>
    <n v="0"/>
    <n v="967"/>
    <n v="0"/>
    <n v="2180"/>
    <n v="0"/>
    <n v="0"/>
    <s v=""/>
    <n v="2180"/>
    <n v="2018"/>
    <n v="2180"/>
    <n v="2018"/>
    <s v=""/>
    <n v="2180"/>
    <n v="2180"/>
    <s v="No change"/>
    <m/>
    <m/>
    <m/>
    <m/>
    <n v="0"/>
    <n v="9.9180306612733204"/>
    <n v="9.4543147345711898"/>
    <n v="9.4543147345711898"/>
    <x v="1"/>
  </r>
  <r>
    <s v="Lesotho"/>
    <x v="23"/>
    <n v="2054724"/>
    <x v="25"/>
    <n v="0"/>
    <n v="2073938.4999999998"/>
    <n v="0"/>
    <m/>
    <n v="0"/>
    <m/>
    <n v="0"/>
    <m/>
    <n v="0"/>
    <m/>
    <n v="0"/>
    <n v="2198017"/>
    <n v="0"/>
    <n v="2779"/>
    <m/>
    <n v="0"/>
    <m/>
    <n v="0"/>
    <m/>
    <n v="0"/>
    <n v="2305825.5000000019"/>
    <n v="2779"/>
    <n v="2779"/>
    <n v="0"/>
    <n v="0"/>
    <n v="2779"/>
    <n v="0"/>
    <s v=""/>
    <n v="2779"/>
    <s v="2018 (triag)"/>
    <n v="2779"/>
    <n v="2022"/>
    <s v=""/>
    <n v="2779"/>
    <n v="2779"/>
    <s v="No change"/>
    <m/>
    <m/>
    <m/>
    <m/>
    <n v="0"/>
    <n v="12.64321431544888"/>
    <n v="12.052082865767586"/>
    <n v="12.052082865767586"/>
    <x v="1"/>
  </r>
  <r>
    <s v="Lesotho"/>
    <x v="23"/>
    <n v="2054725"/>
    <x v="26"/>
    <n v="0"/>
    <n v="2073938.4999999998"/>
    <n v="0"/>
    <m/>
    <n v="0"/>
    <m/>
    <n v="0"/>
    <m/>
    <n v="0"/>
    <m/>
    <n v="0"/>
    <n v="2198017"/>
    <n v="0"/>
    <n v="2779"/>
    <m/>
    <n v="0"/>
    <m/>
    <n v="0"/>
    <m/>
    <n v="0"/>
    <n v="2305825.5000000019"/>
    <n v="0"/>
    <n v="2779"/>
    <n v="0"/>
    <n v="0"/>
    <n v="0"/>
    <n v="0"/>
    <s v=""/>
    <n v="2779"/>
    <s v="2018 (triag)"/>
    <n v="2779"/>
    <s v="2018 (triag)"/>
    <s v=""/>
    <n v="2779"/>
    <n v="2779"/>
    <s v="No change"/>
    <m/>
    <m/>
    <m/>
    <m/>
    <n v="0"/>
    <n v="12.64321431544888"/>
    <n v="12.052082865767586"/>
    <n v="12.052082865767586"/>
    <x v="1"/>
  </r>
  <r>
    <s v="Lesotho"/>
    <x v="23"/>
    <n v="2054726"/>
    <x v="27"/>
    <n v="0"/>
    <n v="2073938.4999999998"/>
    <n v="0"/>
    <m/>
    <n v="0"/>
    <m/>
    <n v="0"/>
    <m/>
    <n v="0"/>
    <m/>
    <n v="0"/>
    <n v="2198017"/>
    <n v="0"/>
    <n v="0"/>
    <m/>
    <n v="0"/>
    <m/>
    <n v="0"/>
    <m/>
    <n v="0"/>
    <n v="2305825.5000000019"/>
    <n v="0"/>
    <n v="0"/>
    <n v="0"/>
    <n v="0"/>
    <n v="0"/>
    <n v="0"/>
    <s v=""/>
    <n v="0"/>
    <s v=""/>
    <n v="0"/>
    <s v=""/>
    <s v=""/>
    <n v="0"/>
    <n v="0"/>
    <s v="No change"/>
    <m/>
    <m/>
    <m/>
    <m/>
    <n v="0"/>
    <n v="0"/>
    <n v="0"/>
    <n v="0"/>
    <x v="1"/>
  </r>
  <r>
    <s v="Lesotho"/>
    <x v="23"/>
    <n v="2054727"/>
    <x v="28"/>
    <n v="0"/>
    <n v="2073938.4999999998"/>
    <n v="0"/>
    <m/>
    <n v="0"/>
    <m/>
    <n v="0"/>
    <m/>
    <n v="0"/>
    <m/>
    <n v="0"/>
    <n v="2198017"/>
    <n v="398"/>
    <n v="398"/>
    <m/>
    <n v="0"/>
    <m/>
    <n v="0"/>
    <m/>
    <n v="0"/>
    <n v="2305825.5000000019"/>
    <n v="201"/>
    <n v="97"/>
    <n v="0"/>
    <n v="398"/>
    <n v="201"/>
    <n v="0"/>
    <s v=""/>
    <n v="398"/>
    <n v="2018"/>
    <n v="201"/>
    <n v="2022"/>
    <s v="Adjust"/>
    <n v="256.80610832894047"/>
    <n v="398"/>
    <s v="Decreasing"/>
    <m/>
    <m/>
    <m/>
    <m/>
    <n v="0"/>
    <n v="1.8107230289847622"/>
    <n v="1.1137274192211868"/>
    <n v="1.7260629653024466"/>
    <x v="0"/>
  </r>
  <r>
    <s v="Lesotho"/>
    <x v="23"/>
    <n v="2054728"/>
    <x v="29"/>
    <n v="0"/>
    <n v="2073938.4999999998"/>
    <n v="0"/>
    <m/>
    <n v="0"/>
    <m/>
    <n v="0"/>
    <m/>
    <n v="0"/>
    <m/>
    <n v="0"/>
    <n v="2198017"/>
    <n v="0"/>
    <n v="301"/>
    <m/>
    <n v="0"/>
    <m/>
    <n v="0"/>
    <m/>
    <n v="0"/>
    <n v="2305825.5000000019"/>
    <n v="347"/>
    <n v="301"/>
    <n v="0"/>
    <n v="0"/>
    <n v="347"/>
    <n v="0"/>
    <s v=""/>
    <n v="301"/>
    <s v="2018 (triag)"/>
    <n v="347"/>
    <n v="2022"/>
    <s v=""/>
    <n v="347"/>
    <n v="347"/>
    <s v="Increasing"/>
    <m/>
    <m/>
    <m/>
    <m/>
    <n v="0"/>
    <n v="1.3694161601115915"/>
    <n v="1.5048840426129373"/>
    <n v="1.5048840426129373"/>
    <x v="1"/>
  </r>
  <r>
    <s v="Lesotho"/>
    <x v="23"/>
    <n v="2054729"/>
    <x v="30"/>
    <n v="0"/>
    <n v="2073938.4999999998"/>
    <n v="0"/>
    <m/>
    <n v="0"/>
    <m/>
    <n v="0"/>
    <m/>
    <n v="0"/>
    <m/>
    <n v="0"/>
    <n v="2198017"/>
    <n v="159"/>
    <n v="159"/>
    <m/>
    <n v="37"/>
    <m/>
    <n v="0"/>
    <m/>
    <n v="0"/>
    <n v="2305825.5000000019"/>
    <n v="66"/>
    <n v="39"/>
    <n v="0"/>
    <n v="159"/>
    <n v="66"/>
    <n v="0"/>
    <s v=""/>
    <n v="159"/>
    <n v="2018"/>
    <n v="66"/>
    <n v="2022"/>
    <s v="Adjust"/>
    <n v="84.324393779652084"/>
    <n v="159"/>
    <s v="Decreasing"/>
    <m/>
    <m/>
    <m/>
    <m/>
    <n v="0"/>
    <n v="0.7233793005240633"/>
    <n v="0.36570154063979265"/>
    <n v="0.68955781779670611"/>
    <x v="0"/>
  </r>
  <r>
    <s v="Lesotho"/>
    <x v="23"/>
    <n v="2054730"/>
    <x v="31"/>
    <n v="0"/>
    <n v="2073938.4999999998"/>
    <n v="0"/>
    <m/>
    <n v="0"/>
    <m/>
    <n v="0"/>
    <m/>
    <n v="0"/>
    <m/>
    <n v="0"/>
    <n v="2198017"/>
    <n v="0"/>
    <n v="120"/>
    <m/>
    <n v="47"/>
    <m/>
    <n v="0"/>
    <m/>
    <n v="0"/>
    <n v="2305825.5000000019"/>
    <n v="49"/>
    <n v="120"/>
    <n v="0"/>
    <n v="47"/>
    <n v="49"/>
    <n v="0"/>
    <s v=""/>
    <n v="120"/>
    <s v="2018 (triag)"/>
    <n v="49"/>
    <n v="2022"/>
    <s v="Adjust"/>
    <n v="62.6044741697417"/>
    <n v="120"/>
    <s v="Decreasing"/>
    <m/>
    <m/>
    <m/>
    <m/>
    <n v="0"/>
    <n v="0.54594664190495346"/>
    <n v="0.27150568926287633"/>
    <n v="0.52042099456355173"/>
    <x v="0"/>
  </r>
  <r>
    <s v="Lesotho"/>
    <x v="23"/>
    <n v="2054731"/>
    <x v="32"/>
    <n v="0"/>
    <n v="2073938.4999999998"/>
    <n v="0"/>
    <m/>
    <n v="0"/>
    <m/>
    <n v="0"/>
    <m/>
    <n v="0"/>
    <m/>
    <n v="0"/>
    <n v="2198017"/>
    <n v="0"/>
    <n v="0"/>
    <m/>
    <n v="0"/>
    <m/>
    <n v="0"/>
    <m/>
    <n v="0"/>
    <n v="2305825.5000000019"/>
    <n v="0"/>
    <n v="0"/>
    <n v="0"/>
    <n v="0"/>
    <n v="0"/>
    <n v="0"/>
    <s v=""/>
    <n v="0"/>
    <s v=""/>
    <n v="0"/>
    <s v=""/>
    <s v=""/>
    <n v="0"/>
    <n v="0"/>
    <s v="No change"/>
    <m/>
    <m/>
    <m/>
    <m/>
    <n v="0"/>
    <n v="0"/>
    <n v="0"/>
    <n v="0"/>
    <x v="1"/>
  </r>
  <r>
    <s v="Madagascar"/>
    <x v="24"/>
    <n v="22966240"/>
    <x v="19"/>
    <n v="3188"/>
    <n v="23588073.5"/>
    <n v="3523"/>
    <n v="24215975.500000019"/>
    <n v="4275"/>
    <n v="24850912.500000015"/>
    <n v="0"/>
    <n v="25501940.499999996"/>
    <n v="0"/>
    <n v="26169542.000000015"/>
    <n v="0"/>
    <n v="26846541"/>
    <n v="0"/>
    <n v="5230"/>
    <n v="27533134.000000015"/>
    <n v="0"/>
    <n v="28225176.500000007"/>
    <n v="0"/>
    <n v="28915652.500000004"/>
    <n v="0"/>
    <n v="29611714.000000004"/>
    <n v="0"/>
    <n v="5230"/>
    <n v="4275"/>
    <n v="0"/>
    <n v="0"/>
    <n v="3523"/>
    <n v="2013"/>
    <n v="5230"/>
    <s v="2018 (triag)"/>
    <n v="5230"/>
    <s v="2018 (triag)"/>
    <s v=""/>
    <n v="5230"/>
    <n v="5230"/>
    <s v="No change"/>
    <m/>
    <m/>
    <m/>
    <m/>
    <n v="1.4935513915538714"/>
    <n v="1.9481094417340394"/>
    <n v="1.766192932972404"/>
    <n v="1.766192932972404"/>
    <x v="1"/>
  </r>
  <r>
    <s v="Madagascar"/>
    <x v="24"/>
    <n v="22966241"/>
    <x v="20"/>
    <n v="0"/>
    <n v="23588073.5"/>
    <n v="3028"/>
    <m/>
    <n v="0"/>
    <m/>
    <n v="0"/>
    <m/>
    <n v="0"/>
    <m/>
    <n v="0"/>
    <n v="26846541"/>
    <n v="0"/>
    <n v="4593"/>
    <m/>
    <n v="0"/>
    <m/>
    <n v="0"/>
    <m/>
    <n v="0"/>
    <n v="29611714.000000004"/>
    <n v="0"/>
    <n v="4593"/>
    <n v="3028"/>
    <n v="0"/>
    <n v="0"/>
    <n v="3028"/>
    <n v="2013"/>
    <n v="4593"/>
    <s v="2018 (triag)"/>
    <n v="4593"/>
    <s v="2018 (triag)"/>
    <s v=""/>
    <n v="4593"/>
    <n v="4593"/>
    <s v="No change"/>
    <m/>
    <m/>
    <m/>
    <m/>
    <n v="1.2836995780939888"/>
    <n v="1.7108349265553429"/>
    <n v="1.5510753615950768"/>
    <n v="1.5510753615950768"/>
    <x v="1"/>
  </r>
  <r>
    <s v="Madagascar"/>
    <x v="24"/>
    <n v="22966242"/>
    <x v="21"/>
    <n v="0"/>
    <n v="23588073.5"/>
    <n v="495"/>
    <m/>
    <n v="0"/>
    <m/>
    <n v="0"/>
    <m/>
    <n v="0"/>
    <m/>
    <n v="0"/>
    <n v="26846541"/>
    <n v="0"/>
    <n v="637"/>
    <m/>
    <n v="0"/>
    <m/>
    <n v="0"/>
    <m/>
    <n v="0"/>
    <n v="29611714.000000004"/>
    <n v="0"/>
    <n v="637"/>
    <n v="495"/>
    <n v="0"/>
    <n v="0"/>
    <n v="495"/>
    <n v="2013"/>
    <n v="637"/>
    <s v="2018 (triag)"/>
    <n v="637"/>
    <s v="2018 (triag)"/>
    <s v=""/>
    <n v="637"/>
    <n v="637"/>
    <s v="No change"/>
    <m/>
    <m/>
    <m/>
    <m/>
    <n v="0.2098518134598826"/>
    <n v="0.23727451517869658"/>
    <n v="0.2151175713773272"/>
    <n v="0.2151175713773272"/>
    <x v="1"/>
  </r>
  <r>
    <s v="Madagascar"/>
    <x v="24"/>
    <n v="22966243"/>
    <x v="22"/>
    <n v="3383"/>
    <n v="23588073.5"/>
    <n v="3438"/>
    <m/>
    <n v="0"/>
    <m/>
    <n v="0"/>
    <m/>
    <n v="0"/>
    <m/>
    <n v="0"/>
    <n v="26846541"/>
    <n v="3833"/>
    <n v="4560"/>
    <m/>
    <n v="0"/>
    <m/>
    <n v="0"/>
    <m/>
    <n v="0"/>
    <n v="29611714.000000004"/>
    <n v="0"/>
    <n v="4560"/>
    <n v="3438"/>
    <n v="3833"/>
    <n v="0"/>
    <n v="3438"/>
    <n v="2013"/>
    <n v="4560"/>
    <s v="2018 (triag)"/>
    <n v="4560"/>
    <s v="2018 (triag)"/>
    <s v=""/>
    <n v="4560"/>
    <n v="4560"/>
    <s v="No change"/>
    <m/>
    <m/>
    <m/>
    <m/>
    <n v="1.4575162316668209"/>
    <n v="1.6985428402117055"/>
    <n v="1.5399311232034727"/>
    <n v="1.5399311232034727"/>
    <x v="1"/>
  </r>
  <r>
    <s v="Madagascar"/>
    <x v="24"/>
    <n v="22966244"/>
    <x v="23"/>
    <n v="0"/>
    <n v="23588073.5"/>
    <n v="0"/>
    <m/>
    <n v="0"/>
    <m/>
    <n v="0"/>
    <m/>
    <n v="0"/>
    <m/>
    <n v="0"/>
    <n v="26846541"/>
    <n v="3833"/>
    <n v="4560"/>
    <m/>
    <n v="0"/>
    <m/>
    <n v="0"/>
    <m/>
    <n v="0"/>
    <n v="29611714.000000004"/>
    <n v="0"/>
    <n v="4560"/>
    <n v="0"/>
    <n v="3833"/>
    <n v="0"/>
    <n v="0"/>
    <s v=""/>
    <n v="4560"/>
    <s v="2018 (triag)"/>
    <n v="4560"/>
    <s v="2018 (triag)"/>
    <s v=""/>
    <n v="4560"/>
    <n v="4560"/>
    <s v="No change"/>
    <m/>
    <m/>
    <m/>
    <m/>
    <n v="0"/>
    <n v="1.6985428402117055"/>
    <n v="1.5399311232034727"/>
    <n v="1.5399311232034727"/>
    <x v="1"/>
  </r>
  <r>
    <s v="Madagascar"/>
    <x v="24"/>
    <n v="22966245"/>
    <x v="24"/>
    <n v="0"/>
    <n v="23588073.5"/>
    <n v="0"/>
    <m/>
    <n v="0"/>
    <m/>
    <n v="0"/>
    <m/>
    <n v="0"/>
    <m/>
    <n v="0"/>
    <n v="26846541"/>
    <n v="0"/>
    <n v="0"/>
    <m/>
    <n v="0"/>
    <m/>
    <n v="0"/>
    <m/>
    <n v="0"/>
    <n v="29611714.000000004"/>
    <n v="0"/>
    <n v="0"/>
    <n v="0"/>
    <n v="0"/>
    <n v="0"/>
    <n v="0"/>
    <s v=""/>
    <n v="0"/>
    <s v=""/>
    <n v="0"/>
    <s v=""/>
    <s v=""/>
    <n v="0"/>
    <n v="0"/>
    <s v="No change"/>
    <m/>
    <m/>
    <m/>
    <m/>
    <n v="0"/>
    <n v="0"/>
    <n v="0"/>
    <n v="0"/>
    <x v="1"/>
  </r>
  <r>
    <s v="Madagascar"/>
    <x v="24"/>
    <n v="22966246"/>
    <x v="25"/>
    <n v="1475"/>
    <n v="23588073.5"/>
    <n v="3400"/>
    <m/>
    <n v="0"/>
    <m/>
    <n v="0"/>
    <m/>
    <n v="1583"/>
    <m/>
    <n v="2931"/>
    <n v="26846541"/>
    <n v="3994"/>
    <n v="3994"/>
    <m/>
    <n v="0"/>
    <m/>
    <n v="0"/>
    <m/>
    <n v="0"/>
    <n v="29611714.000000004"/>
    <n v="0"/>
    <n v="3164"/>
    <n v="3400"/>
    <n v="3994"/>
    <n v="0"/>
    <n v="3400"/>
    <n v="2013"/>
    <n v="3994"/>
    <n v="2018"/>
    <n v="3994"/>
    <n v="2018"/>
    <s v=""/>
    <n v="3994"/>
    <n v="3994"/>
    <s v="No change"/>
    <m/>
    <m/>
    <m/>
    <m/>
    <n v="1.441406395482022"/>
    <n v="1.4877149350450771"/>
    <n v="1.3487905495777783"/>
    <n v="1.3487905495777783"/>
    <x v="1"/>
  </r>
  <r>
    <s v="Madagascar"/>
    <x v="24"/>
    <n v="22966247"/>
    <x v="26"/>
    <n v="0"/>
    <n v="23588073.5"/>
    <n v="3400"/>
    <m/>
    <n v="0"/>
    <m/>
    <n v="0"/>
    <m/>
    <n v="1583"/>
    <m/>
    <n v="2931"/>
    <n v="26846541"/>
    <n v="3994"/>
    <n v="3994"/>
    <m/>
    <n v="0"/>
    <m/>
    <n v="0"/>
    <m/>
    <n v="0"/>
    <n v="29611714.000000004"/>
    <n v="0"/>
    <n v="3164"/>
    <n v="3400"/>
    <n v="3994"/>
    <n v="0"/>
    <n v="3400"/>
    <n v="2013"/>
    <n v="3994"/>
    <n v="2018"/>
    <n v="3994"/>
    <n v="2018"/>
    <s v=""/>
    <n v="3994"/>
    <n v="3994"/>
    <s v="No change"/>
    <m/>
    <m/>
    <m/>
    <m/>
    <n v="1.441406395482022"/>
    <n v="1.4877149350450771"/>
    <n v="1.3487905495777783"/>
    <n v="1.3487905495777783"/>
    <x v="1"/>
  </r>
  <r>
    <s v="Madagascar"/>
    <x v="24"/>
    <n v="22966248"/>
    <x v="27"/>
    <n v="0"/>
    <n v="23588073.5"/>
    <n v="0"/>
    <m/>
    <n v="0"/>
    <m/>
    <n v="0"/>
    <m/>
    <n v="0"/>
    <m/>
    <n v="0"/>
    <n v="26846541"/>
    <n v="0"/>
    <n v="0"/>
    <m/>
    <n v="0"/>
    <m/>
    <n v="0"/>
    <m/>
    <n v="0"/>
    <n v="29611714.000000004"/>
    <n v="0"/>
    <n v="0"/>
    <n v="0"/>
    <n v="0"/>
    <n v="0"/>
    <n v="0"/>
    <s v=""/>
    <n v="0"/>
    <s v=""/>
    <n v="0"/>
    <s v=""/>
    <s v=""/>
    <n v="0"/>
    <n v="0"/>
    <s v="No change"/>
    <m/>
    <m/>
    <m/>
    <m/>
    <n v="0"/>
    <n v="0"/>
    <n v="0"/>
    <n v="0"/>
    <x v="1"/>
  </r>
  <r>
    <s v="Madagascar"/>
    <x v="24"/>
    <n v="22966249"/>
    <x v="28"/>
    <n v="6"/>
    <n v="23588073.5"/>
    <n v="17"/>
    <m/>
    <n v="0"/>
    <m/>
    <n v="0"/>
    <m/>
    <n v="4"/>
    <m/>
    <n v="0"/>
    <n v="26846541"/>
    <n v="27"/>
    <n v="319"/>
    <m/>
    <n v="0"/>
    <m/>
    <n v="0"/>
    <m/>
    <n v="0"/>
    <n v="29611714.000000004"/>
    <n v="27"/>
    <n v="319"/>
    <n v="17"/>
    <n v="27"/>
    <n v="27"/>
    <n v="17"/>
    <n v="2013"/>
    <n v="319"/>
    <s v="2018 (triag)"/>
    <n v="27"/>
    <n v="2022"/>
    <s v="Adjust"/>
    <n v="30.094339949726965"/>
    <n v="319"/>
    <s v="Decreasing"/>
    <m/>
    <m/>
    <m/>
    <m/>
    <n v="7.2070319774101095E-3"/>
    <n v="0.11882350132182765"/>
    <n v="1.0162984807203988E-2"/>
    <n v="0.10772763778550609"/>
    <x v="0"/>
  </r>
  <r>
    <s v="Madagascar"/>
    <x v="24"/>
    <n v="22966250"/>
    <x v="29"/>
    <n v="0"/>
    <n v="23588073.5"/>
    <n v="0"/>
    <m/>
    <n v="0"/>
    <m/>
    <n v="0"/>
    <m/>
    <n v="0"/>
    <m/>
    <n v="0"/>
    <n v="26846541"/>
    <n v="0"/>
    <n v="10"/>
    <m/>
    <n v="0"/>
    <m/>
    <n v="0"/>
    <m/>
    <n v="0"/>
    <n v="29611714.000000004"/>
    <n v="0"/>
    <n v="10"/>
    <n v="0"/>
    <n v="0"/>
    <n v="0"/>
    <n v="0"/>
    <s v=""/>
    <n v="10"/>
    <s v="2018 (triag)"/>
    <n v="10"/>
    <s v="2018 (triag)"/>
    <s v=""/>
    <n v="10"/>
    <n v="10"/>
    <s v="No change"/>
    <m/>
    <m/>
    <m/>
    <m/>
    <n v="0"/>
    <n v="3.7248746495870733E-3"/>
    <n v="3.3770419368497205E-3"/>
    <n v="3.3770419368497205E-3"/>
    <x v="1"/>
  </r>
  <r>
    <s v="Madagascar"/>
    <x v="24"/>
    <n v="22966251"/>
    <x v="30"/>
    <n v="181"/>
    <n v="23588073.5"/>
    <n v="111"/>
    <m/>
    <n v="0"/>
    <m/>
    <n v="0"/>
    <m/>
    <n v="0"/>
    <m/>
    <n v="0"/>
    <n v="26846541"/>
    <n v="225"/>
    <n v="372"/>
    <m/>
    <n v="0"/>
    <m/>
    <n v="0"/>
    <m/>
    <n v="0"/>
    <n v="29611714.000000004"/>
    <n v="225"/>
    <n v="372"/>
    <n v="181"/>
    <n v="225"/>
    <n v="225"/>
    <n v="111"/>
    <n v="2013"/>
    <n v="372"/>
    <s v="2018 (triag)"/>
    <n v="225"/>
    <n v="2022"/>
    <s v="Adjust"/>
    <n v="250.78616624772471"/>
    <n v="372"/>
    <s v="Decreasing"/>
    <m/>
    <m/>
    <m/>
    <m/>
    <n v="4.7057679381913069E-2"/>
    <n v="0.13856533696463913"/>
    <n v="8.4691540060033224E-2"/>
    <n v="0.12562596005080962"/>
    <x v="0"/>
  </r>
  <r>
    <s v="Madagascar"/>
    <x v="24"/>
    <n v="22966252"/>
    <x v="31"/>
    <n v="0"/>
    <n v="23588073.5"/>
    <n v="0"/>
    <m/>
    <n v="0"/>
    <m/>
    <n v="0"/>
    <m/>
    <n v="0"/>
    <m/>
    <n v="0"/>
    <n v="26846541"/>
    <n v="0"/>
    <n v="184"/>
    <m/>
    <n v="21"/>
    <m/>
    <n v="0"/>
    <m/>
    <n v="0"/>
    <n v="29611714.000000004"/>
    <n v="0"/>
    <n v="184"/>
    <n v="0"/>
    <n v="21"/>
    <n v="0"/>
    <n v="0"/>
    <s v=""/>
    <n v="184"/>
    <s v="2018 (triag)"/>
    <n v="21"/>
    <s v="2018 (triag)"/>
    <s v="Adjust"/>
    <n v="23.406708849787638"/>
    <n v="184"/>
    <s v="Decreasing"/>
    <m/>
    <m/>
    <m/>
    <m/>
    <n v="0"/>
    <n v="6.8537693552402149E-2"/>
    <n v="7.9045437389364329E-3"/>
    <n v="6.2137571638034857E-2"/>
    <x v="0"/>
  </r>
  <r>
    <s v="Madagascar"/>
    <x v="24"/>
    <n v="22966253"/>
    <x v="32"/>
    <n v="0"/>
    <n v="23588073.5"/>
    <n v="0"/>
    <m/>
    <n v="0"/>
    <m/>
    <n v="0"/>
    <m/>
    <n v="0"/>
    <m/>
    <n v="0"/>
    <n v="26846541"/>
    <n v="0"/>
    <n v="0"/>
    <m/>
    <n v="0"/>
    <m/>
    <n v="0"/>
    <m/>
    <n v="0"/>
    <n v="29611714.000000004"/>
    <n v="0"/>
    <n v="0"/>
    <n v="0"/>
    <n v="0"/>
    <n v="0"/>
    <n v="0"/>
    <s v=""/>
    <n v="0"/>
    <s v=""/>
    <n v="0"/>
    <s v=""/>
    <s v=""/>
    <n v="0"/>
    <n v="0"/>
    <s v="No change"/>
    <m/>
    <m/>
    <m/>
    <m/>
    <n v="0"/>
    <n v="0"/>
    <n v="0"/>
    <n v="0"/>
    <x v="1"/>
  </r>
  <r>
    <s v="Mali"/>
    <x v="25"/>
    <n v="16514686.999999991"/>
    <x v="19"/>
    <n v="1704"/>
    <n v="17004032.499999996"/>
    <n v="1971"/>
    <n v="17551814.000000004"/>
    <n v="1750"/>
    <n v="18112906.500000004"/>
    <n v="1750"/>
    <n v="18700106"/>
    <n v="2247"/>
    <n v="19311354.499999996"/>
    <n v="2247"/>
    <n v="19934298.000000004"/>
    <n v="2454"/>
    <n v="2866"/>
    <n v="20567423.999999989"/>
    <n v="0"/>
    <n v="21224040.000000004"/>
    <n v="0"/>
    <n v="21904982.999999996"/>
    <n v="0"/>
    <n v="22593590.500000022"/>
    <n v="4402"/>
    <n v="2866"/>
    <n v="1971"/>
    <n v="2454"/>
    <n v="4402"/>
    <n v="1971"/>
    <n v="2013"/>
    <n v="2866"/>
    <s v="2018 (triag)"/>
    <n v="4402"/>
    <n v="2022"/>
    <s v=""/>
    <n v="4402"/>
    <n v="4402"/>
    <s v="Increasing"/>
    <m/>
    <m/>
    <m/>
    <m/>
    <n v="1.1591368106359479"/>
    <n v="1.4377230640376699"/>
    <n v="1.9483401719615994"/>
    <n v="1.9483401719615994"/>
    <x v="1"/>
  </r>
  <r>
    <s v="Mali"/>
    <x v="25"/>
    <n v="16514688"/>
    <x v="20"/>
    <n v="0"/>
    <n v="17004032.499999996"/>
    <n v="0"/>
    <m/>
    <n v="0"/>
    <m/>
    <n v="0"/>
    <m/>
    <n v="0"/>
    <m/>
    <n v="0"/>
    <n v="19934298.000000004"/>
    <n v="1417"/>
    <n v="2151"/>
    <m/>
    <n v="0"/>
    <m/>
    <n v="0"/>
    <m/>
    <n v="0"/>
    <n v="22593590.500000022"/>
    <n v="3557"/>
    <n v="2151"/>
    <n v="0"/>
    <n v="1417"/>
    <n v="3557"/>
    <n v="0"/>
    <s v=""/>
    <n v="2151"/>
    <s v="2018 (triag)"/>
    <n v="3557"/>
    <n v="2022"/>
    <s v=""/>
    <n v="3557"/>
    <n v="3557"/>
    <s v="Increasing"/>
    <m/>
    <m/>
    <m/>
    <m/>
    <n v="0"/>
    <n v="1.0790447699738408"/>
    <n v="1.5743402979707879"/>
    <n v="1.5743402979707879"/>
    <x v="1"/>
  </r>
  <r>
    <s v="Mali"/>
    <x v="25"/>
    <n v="16514689"/>
    <x v="21"/>
    <n v="0"/>
    <n v="17004032.499999996"/>
    <n v="0"/>
    <m/>
    <n v="0"/>
    <m/>
    <n v="0"/>
    <m/>
    <n v="0"/>
    <m/>
    <n v="0"/>
    <n v="19934298.000000004"/>
    <n v="1037"/>
    <n v="1037"/>
    <m/>
    <n v="0"/>
    <m/>
    <n v="0"/>
    <m/>
    <n v="0"/>
    <n v="22593590.500000022"/>
    <n v="845"/>
    <n v="715"/>
    <n v="0"/>
    <n v="1037"/>
    <n v="845"/>
    <n v="0"/>
    <s v=""/>
    <n v="1037"/>
    <n v="2018"/>
    <n v="845"/>
    <n v="2022"/>
    <s v="Adjust"/>
    <n v="995.95103054567016"/>
    <n v="1037"/>
    <s v="Decreasing"/>
    <m/>
    <m/>
    <m/>
    <m/>
    <n v="0"/>
    <n v="0.52020893838348348"/>
    <n v="0.44081131352082759"/>
    <n v="0.45897972701594242"/>
    <x v="1"/>
  </r>
  <r>
    <s v="Mali"/>
    <x v="25"/>
    <n v="16514690"/>
    <x v="22"/>
    <n v="4257"/>
    <n v="17004032.499999996"/>
    <n v="0"/>
    <m/>
    <n v="0"/>
    <m/>
    <n v="0"/>
    <m/>
    <n v="4765"/>
    <m/>
    <n v="0"/>
    <n v="19934298.000000004"/>
    <n v="5174"/>
    <n v="5225"/>
    <m/>
    <n v="0"/>
    <m/>
    <n v="0"/>
    <m/>
    <n v="0"/>
    <n v="22593590.500000022"/>
    <n v="6327"/>
    <n v="5225"/>
    <n v="4257"/>
    <n v="5174"/>
    <n v="6327"/>
    <n v="4257"/>
    <n v="2012"/>
    <n v="5225"/>
    <s v="2018 (triag)"/>
    <n v="6327"/>
    <n v="2022"/>
    <s v=""/>
    <n v="6327"/>
    <n v="6327"/>
    <s v="Increasing"/>
    <m/>
    <m/>
    <m/>
    <m/>
    <n v="2.5035237964876864"/>
    <n v="2.621110610466443"/>
    <n v="2.800351719218773"/>
    <n v="2.800351719218773"/>
    <x v="1"/>
  </r>
  <r>
    <s v="Mali"/>
    <x v="25"/>
    <n v="16514691"/>
    <x v="23"/>
    <n v="0"/>
    <n v="17004032.499999996"/>
    <n v="0"/>
    <m/>
    <n v="0"/>
    <m/>
    <n v="0"/>
    <m/>
    <n v="4765"/>
    <m/>
    <n v="0"/>
    <n v="19934298.000000004"/>
    <n v="5174"/>
    <n v="5174"/>
    <m/>
    <n v="0"/>
    <m/>
    <n v="0"/>
    <m/>
    <n v="0"/>
    <n v="22593590.500000022"/>
    <n v="0"/>
    <n v="2255"/>
    <n v="0"/>
    <n v="5174"/>
    <n v="0"/>
    <n v="0"/>
    <s v=""/>
    <n v="5174"/>
    <n v="2018"/>
    <n v="5174"/>
    <n v="2018"/>
    <s v=""/>
    <n v="5174"/>
    <n v="5174"/>
    <s v="No change"/>
    <m/>
    <m/>
    <m/>
    <m/>
    <n v="0"/>
    <n v="2.5955265643164354"/>
    <n v="2.2900299976668137"/>
    <n v="2.2900299976668137"/>
    <x v="1"/>
  </r>
  <r>
    <s v="Mali"/>
    <x v="25"/>
    <n v="16514692"/>
    <x v="24"/>
    <n v="0"/>
    <n v="17004032.499999996"/>
    <n v="0"/>
    <m/>
    <n v="0"/>
    <m/>
    <n v="0"/>
    <m/>
    <n v="0"/>
    <m/>
    <n v="0"/>
    <n v="19934298.000000004"/>
    <n v="0"/>
    <n v="2970"/>
    <m/>
    <n v="0"/>
    <m/>
    <n v="0"/>
    <m/>
    <n v="0"/>
    <n v="22593590.500000022"/>
    <n v="6327"/>
    <n v="2970"/>
    <n v="0"/>
    <n v="0"/>
    <n v="6327"/>
    <n v="0"/>
    <s v=""/>
    <n v="2970"/>
    <s v="2018 (triag)"/>
    <n v="6327"/>
    <n v="2022"/>
    <s v=""/>
    <n v="6327"/>
    <n v="6327"/>
    <s v="Increasing"/>
    <m/>
    <m/>
    <m/>
    <m/>
    <n v="0"/>
    <n v="1.4898944522651358"/>
    <n v="2.800351719218773"/>
    <n v="2.800351719218773"/>
    <x v="1"/>
  </r>
  <r>
    <s v="Mali"/>
    <x v="25"/>
    <n v="16514693"/>
    <x v="25"/>
    <n v="1770"/>
    <n v="17004032.499999996"/>
    <n v="1961"/>
    <m/>
    <n v="0"/>
    <m/>
    <n v="0"/>
    <m/>
    <n v="2657"/>
    <m/>
    <n v="0"/>
    <n v="19934298.000000004"/>
    <n v="3235"/>
    <n v="3235"/>
    <m/>
    <n v="0"/>
    <m/>
    <n v="0"/>
    <m/>
    <n v="0"/>
    <n v="22593590.500000022"/>
    <n v="1629"/>
    <n v="3169"/>
    <n v="1961"/>
    <n v="3235"/>
    <n v="1629"/>
    <n v="1961"/>
    <n v="2013"/>
    <n v="3235"/>
    <n v="2018"/>
    <n v="1629"/>
    <n v="2022"/>
    <s v="Adjust"/>
    <n v="1920.0050044483985"/>
    <n v="3235"/>
    <s v="Decreasing"/>
    <m/>
    <m/>
    <m/>
    <m/>
    <n v="1.1532558526925896"/>
    <n v="1.6228311626524292"/>
    <n v="0.84980074523719307"/>
    <n v="1.4318220027932245"/>
    <x v="0"/>
  </r>
  <r>
    <s v="Mali"/>
    <x v="25"/>
    <n v="16514694"/>
    <x v="26"/>
    <n v="0"/>
    <n v="17004032.499999996"/>
    <n v="686"/>
    <m/>
    <n v="0"/>
    <m/>
    <n v="0"/>
    <m/>
    <n v="2657"/>
    <m/>
    <n v="0"/>
    <n v="19934298.000000004"/>
    <n v="3235"/>
    <n v="3235"/>
    <m/>
    <n v="0"/>
    <m/>
    <n v="0"/>
    <m/>
    <n v="0"/>
    <n v="22593590.500000022"/>
    <n v="1629"/>
    <n v="1527"/>
    <n v="686"/>
    <n v="3235"/>
    <n v="1629"/>
    <n v="686"/>
    <n v="2013"/>
    <n v="3235"/>
    <n v="2018"/>
    <n v="1629"/>
    <n v="2022"/>
    <s v="Adjust"/>
    <n v="1920.0050044483985"/>
    <n v="3235"/>
    <s v="Decreasing"/>
    <m/>
    <m/>
    <m/>
    <m/>
    <n v="0.40343371491438879"/>
    <n v="1.6228311626524292"/>
    <n v="0.84980074523719307"/>
    <n v="1.4318220027932245"/>
    <x v="0"/>
  </r>
  <r>
    <s v="Mali"/>
    <x v="25"/>
    <n v="16514695"/>
    <x v="27"/>
    <n v="0"/>
    <n v="17004032.499999996"/>
    <n v="1275"/>
    <m/>
    <n v="0"/>
    <m/>
    <n v="0"/>
    <m/>
    <n v="0"/>
    <m/>
    <n v="0"/>
    <n v="19934298.000000004"/>
    <n v="0"/>
    <n v="1642"/>
    <m/>
    <n v="0"/>
    <m/>
    <n v="0"/>
    <m/>
    <n v="0"/>
    <n v="22593590.500000022"/>
    <n v="0"/>
    <n v="1642"/>
    <n v="1275"/>
    <n v="0"/>
    <n v="0"/>
    <n v="1275"/>
    <n v="2013"/>
    <n v="1642"/>
    <s v="2018 (triag)"/>
    <n v="1642"/>
    <s v="2018 (triag)"/>
    <s v=""/>
    <n v="1642"/>
    <n v="1642"/>
    <s v="No change"/>
    <m/>
    <m/>
    <m/>
    <m/>
    <n v="0.74982213777820073"/>
    <n v="0.82370595643749267"/>
    <n v="0.72675478472533983"/>
    <n v="0.72675478472533983"/>
    <x v="1"/>
  </r>
  <r>
    <s v="Mali"/>
    <x v="25"/>
    <n v="16514696"/>
    <x v="28"/>
    <n v="0"/>
    <n v="17004032.499999996"/>
    <n v="0"/>
    <m/>
    <n v="0"/>
    <m/>
    <n v="0"/>
    <m/>
    <n v="194"/>
    <m/>
    <n v="0"/>
    <n v="19934298.000000004"/>
    <n v="182"/>
    <n v="1340"/>
    <m/>
    <n v="0"/>
    <m/>
    <n v="0"/>
    <m/>
    <n v="0"/>
    <n v="22593590.500000022"/>
    <n v="1721"/>
    <n v="1340"/>
    <n v="0"/>
    <n v="194"/>
    <n v="1721"/>
    <n v="0"/>
    <s v=""/>
    <n v="1340"/>
    <s v="2018 (triag)"/>
    <n v="1721"/>
    <n v="2022"/>
    <s v=""/>
    <n v="1721"/>
    <n v="1721"/>
    <s v="Increasing"/>
    <m/>
    <m/>
    <m/>
    <m/>
    <n v="0"/>
    <n v="0.67220827139235084"/>
    <n v="0.7617204534179719"/>
    <n v="0.7617204534179719"/>
    <x v="1"/>
  </r>
  <r>
    <s v="Mali"/>
    <x v="25"/>
    <n v="16514697"/>
    <x v="29"/>
    <n v="0"/>
    <n v="17004032.499999996"/>
    <n v="0"/>
    <m/>
    <n v="0"/>
    <m/>
    <n v="0"/>
    <m/>
    <n v="0"/>
    <m/>
    <n v="0"/>
    <n v="19934298.000000004"/>
    <n v="0"/>
    <n v="84"/>
    <m/>
    <n v="0"/>
    <m/>
    <n v="0"/>
    <m/>
    <n v="0"/>
    <n v="22593590.500000022"/>
    <n v="0"/>
    <n v="84"/>
    <n v="0"/>
    <n v="0"/>
    <n v="0"/>
    <n v="0"/>
    <s v=""/>
    <n v="84"/>
    <s v="2018 (triag)"/>
    <n v="84"/>
    <s v="2018 (triag)"/>
    <s v=""/>
    <n v="84"/>
    <n v="84"/>
    <s v="No change"/>
    <m/>
    <m/>
    <m/>
    <m/>
    <n v="0"/>
    <n v="4.213842895295334E-2"/>
    <n v="3.7178685698494855E-2"/>
    <n v="3.7178685698494855E-2"/>
    <x v="1"/>
  </r>
  <r>
    <s v="Mali"/>
    <x v="25"/>
    <n v="16514698"/>
    <x v="30"/>
    <n v="0"/>
    <n v="17004032.499999996"/>
    <n v="0"/>
    <m/>
    <n v="0"/>
    <m/>
    <n v="0"/>
    <m/>
    <n v="107"/>
    <m/>
    <n v="0"/>
    <n v="19934298.000000004"/>
    <n v="30"/>
    <n v="30"/>
    <m/>
    <n v="0"/>
    <m/>
    <n v="0"/>
    <m/>
    <n v="0"/>
    <n v="22593590.500000022"/>
    <n v="0"/>
    <n v="30"/>
    <n v="0"/>
    <n v="107"/>
    <n v="0"/>
    <n v="0"/>
    <s v=""/>
    <n v="30"/>
    <n v="2018"/>
    <n v="30"/>
    <n v="2018"/>
    <s v=""/>
    <n v="30"/>
    <n v="30"/>
    <s v="No change"/>
    <m/>
    <m/>
    <m/>
    <m/>
    <n v="0"/>
    <n v="1.5049438911769049E-2"/>
    <n v="1.3278102035176733E-2"/>
    <n v="1.3278102035176733E-2"/>
    <x v="1"/>
  </r>
  <r>
    <s v="Mali"/>
    <x v="25"/>
    <n v="16514699"/>
    <x v="31"/>
    <n v="0"/>
    <n v="17004032.499999996"/>
    <n v="0"/>
    <m/>
    <n v="0"/>
    <m/>
    <n v="0"/>
    <m/>
    <n v="0"/>
    <m/>
    <n v="53"/>
    <n v="19934298.000000004"/>
    <n v="53"/>
    <n v="53"/>
    <m/>
    <n v="0"/>
    <m/>
    <n v="0"/>
    <m/>
    <n v="0"/>
    <n v="22593590.500000022"/>
    <n v="0"/>
    <n v="0"/>
    <n v="0"/>
    <n v="53"/>
    <n v="0"/>
    <n v="0"/>
    <s v=""/>
    <n v="53"/>
    <n v="2017"/>
    <n v="53"/>
    <n v="2017"/>
    <s v=""/>
    <n v="53"/>
    <n v="53"/>
    <s v="No change"/>
    <m/>
    <m/>
    <m/>
    <m/>
    <n v="0"/>
    <n v="2.6587342077458654E-2"/>
    <n v="2.3457980262145562E-2"/>
    <n v="2.3457980262145562E-2"/>
    <x v="1"/>
  </r>
  <r>
    <s v="Mali"/>
    <x v="25"/>
    <n v="16514700"/>
    <x v="32"/>
    <n v="0"/>
    <n v="17004032.499999996"/>
    <n v="0"/>
    <m/>
    <n v="0"/>
    <m/>
    <n v="0"/>
    <m/>
    <n v="0"/>
    <m/>
    <n v="0"/>
    <n v="19934298.000000004"/>
    <n v="0"/>
    <n v="0"/>
    <m/>
    <n v="0"/>
    <m/>
    <n v="0"/>
    <m/>
    <n v="0"/>
    <n v="22593590.500000022"/>
    <n v="0"/>
    <n v="0"/>
    <n v="0"/>
    <n v="0"/>
    <n v="0"/>
    <n v="0"/>
    <s v=""/>
    <n v="0"/>
    <s v=""/>
    <n v="0"/>
    <s v=""/>
    <s v=""/>
    <n v="0"/>
    <n v="0"/>
    <s v="No change"/>
    <m/>
    <m/>
    <m/>
    <m/>
    <n v="0"/>
    <n v="0"/>
    <n v="0"/>
    <n v="0"/>
    <x v="1"/>
  </r>
  <r>
    <s v="Mozambique"/>
    <x v="26"/>
    <n v="24487610.999999996"/>
    <x v="19"/>
    <n v="1358"/>
    <n v="25251730.999999993"/>
    <n v="1452"/>
    <n v="26038704.499999993"/>
    <n v="0"/>
    <n v="26843245.5"/>
    <n v="0"/>
    <n v="27696492.499999989"/>
    <n v="0"/>
    <n v="28569441.000000015"/>
    <n v="2180"/>
    <n v="29423878.499999993"/>
    <n v="2473"/>
    <n v="2473"/>
    <n v="30285595.000000004"/>
    <n v="2570"/>
    <n v="31178238.999999996"/>
    <n v="2573"/>
    <n v="32077072.000000011"/>
    <n v="2611"/>
    <n v="32969518.500000007"/>
    <n v="5719"/>
    <n v="2180"/>
    <n v="1452"/>
    <n v="2570"/>
    <n v="5719"/>
    <n v="1452"/>
    <n v="2013"/>
    <n v="2473"/>
    <n v="2018"/>
    <n v="5719"/>
    <n v="2022"/>
    <s v=""/>
    <n v="5719"/>
    <n v="5719"/>
    <s v="Increasing"/>
    <m/>
    <m/>
    <m/>
    <m/>
    <n v="0.57501008544721166"/>
    <n v="0.84047383488210115"/>
    <n v="1.734632551579423"/>
    <n v="1.734632551579423"/>
    <x v="1"/>
  </r>
  <r>
    <s v="Mozambique"/>
    <x v="26"/>
    <n v="24487612"/>
    <x v="20"/>
    <n v="0"/>
    <n v="25251730.999999993"/>
    <n v="0"/>
    <m/>
    <n v="0"/>
    <m/>
    <n v="0"/>
    <m/>
    <n v="0"/>
    <m/>
    <n v="1555"/>
    <n v="29423878.499999993"/>
    <n v="1695"/>
    <n v="1695"/>
    <m/>
    <n v="1715"/>
    <m/>
    <n v="1655"/>
    <m/>
    <n v="1807"/>
    <n v="32969518.500000007"/>
    <n v="1933"/>
    <n v="1555"/>
    <n v="0"/>
    <n v="1715"/>
    <n v="1933"/>
    <n v="0"/>
    <s v=""/>
    <n v="1695"/>
    <n v="2018"/>
    <n v="1933"/>
    <n v="2022"/>
    <s v=""/>
    <n v="1933"/>
    <n v="1933"/>
    <s v="Increasing"/>
    <m/>
    <m/>
    <m/>
    <m/>
    <n v="0"/>
    <n v="0.57606273761632087"/>
    <n v="0.58629912960360631"/>
    <n v="0.58629912960360631"/>
    <x v="1"/>
  </r>
  <r>
    <s v="Mozambique"/>
    <x v="26"/>
    <n v="24487613"/>
    <x v="21"/>
    <n v="0"/>
    <n v="25251730.999999993"/>
    <n v="0"/>
    <m/>
    <n v="0"/>
    <m/>
    <n v="0"/>
    <m/>
    <n v="0"/>
    <m/>
    <n v="625"/>
    <n v="29423878.499999993"/>
    <n v="778"/>
    <n v="778"/>
    <m/>
    <n v="855"/>
    <m/>
    <n v="918"/>
    <m/>
    <n v="804"/>
    <n v="32969518.500000007"/>
    <n v="756"/>
    <n v="625"/>
    <n v="0"/>
    <n v="855"/>
    <n v="918"/>
    <n v="0"/>
    <s v=""/>
    <n v="778"/>
    <n v="2018"/>
    <n v="756"/>
    <n v="2022"/>
    <s v="Adjust"/>
    <n v="868.86977510623387"/>
    <n v="868.86977510623387"/>
    <s v="Increasing"/>
    <m/>
    <m/>
    <m/>
    <m/>
    <n v="0"/>
    <n v="0.26441109726578033"/>
    <n v="0.26353729585290536"/>
    <n v="0.26353729585290536"/>
    <x v="1"/>
  </r>
  <r>
    <s v="Mozambique"/>
    <x v="26"/>
    <n v="24487614"/>
    <x v="22"/>
    <n v="5826"/>
    <n v="25251730.999999993"/>
    <n v="6432"/>
    <m/>
    <n v="6348"/>
    <m/>
    <n v="6927"/>
    <m/>
    <n v="7660"/>
    <m/>
    <n v="7961"/>
    <n v="29423878.499999993"/>
    <n v="8153"/>
    <n v="8153"/>
    <m/>
    <n v="8179"/>
    <m/>
    <n v="8831"/>
    <m/>
    <n v="10928"/>
    <n v="32969518.500000007"/>
    <n v="17168"/>
    <n v="7961"/>
    <n v="6927"/>
    <n v="8179"/>
    <n v="17168"/>
    <n v="6432"/>
    <n v="2013"/>
    <n v="8153"/>
    <n v="2018"/>
    <n v="17168"/>
    <n v="2022"/>
    <s v=""/>
    <n v="17168"/>
    <n v="17168"/>
    <s v="Increasing"/>
    <m/>
    <m/>
    <m/>
    <m/>
    <n v="2.5471521140471527"/>
    <n v="2.7708787609356129"/>
    <n v="5.2072340698575852"/>
    <n v="5.2072340698575852"/>
    <x v="1"/>
  </r>
  <r>
    <s v="Mozambique"/>
    <x v="26"/>
    <n v="24487615"/>
    <x v="23"/>
    <n v="0"/>
    <n v="25251730.999999993"/>
    <n v="0"/>
    <m/>
    <n v="0"/>
    <m/>
    <n v="0"/>
    <m/>
    <n v="0"/>
    <m/>
    <n v="0"/>
    <n v="29423878.499999993"/>
    <n v="0"/>
    <n v="7961"/>
    <m/>
    <n v="7802"/>
    <m/>
    <n v="7215"/>
    <m/>
    <n v="2147"/>
    <n v="32969518.500000007"/>
    <n v="1792"/>
    <n v="7961"/>
    <n v="0"/>
    <n v="7802"/>
    <n v="7215"/>
    <n v="0"/>
    <s v=""/>
    <n v="7961"/>
    <s v="2018 (triag)"/>
    <n v="1792"/>
    <n v="2022"/>
    <s v="Adjust"/>
    <n v="2059.5431706221839"/>
    <n v="7961"/>
    <s v="Decreasing"/>
    <m/>
    <m/>
    <m/>
    <m/>
    <n v="0"/>
    <n v="2.7056256366746489"/>
    <n v="0.62468099757725715"/>
    <n v="2.4146546149892965"/>
    <x v="0"/>
  </r>
  <r>
    <s v="Mozambique"/>
    <x v="26"/>
    <n v="24487616"/>
    <x v="24"/>
    <n v="0"/>
    <n v="25251730.999999993"/>
    <n v="0"/>
    <m/>
    <n v="0"/>
    <m/>
    <n v="0"/>
    <m/>
    <n v="0"/>
    <m/>
    <n v="0"/>
    <n v="29423878.499999993"/>
    <n v="0"/>
    <n v="0"/>
    <m/>
    <n v="377"/>
    <m/>
    <n v="1616"/>
    <m/>
    <n v="8781"/>
    <n v="32969518.500000007"/>
    <n v="7983"/>
    <n v="0"/>
    <n v="0"/>
    <n v="377"/>
    <n v="8781"/>
    <n v="0"/>
    <s v=""/>
    <n v="377"/>
    <n v="2019"/>
    <n v="7983"/>
    <n v="2022"/>
    <s v=""/>
    <n v="7983"/>
    <n v="7983"/>
    <s v="Increasing"/>
    <m/>
    <m/>
    <m/>
    <m/>
    <n v="0"/>
    <n v="0.12812722836657991"/>
    <n v="2.4213274452279303"/>
    <n v="2.4213274452279303"/>
    <x v="1"/>
  </r>
  <r>
    <s v="Mozambique"/>
    <x v="26"/>
    <n v="24487617"/>
    <x v="25"/>
    <n v="4261"/>
    <n v="25251730.999999993"/>
    <n v="4265"/>
    <m/>
    <n v="4649"/>
    <m/>
    <n v="5158"/>
    <m/>
    <n v="5705"/>
    <m/>
    <n v="5820"/>
    <n v="29423878.499999993"/>
    <n v="6021"/>
    <n v="6021"/>
    <m/>
    <n v="6175"/>
    <m/>
    <n v="6324"/>
    <m/>
    <n v="7278"/>
    <n v="32969518.500000007"/>
    <n v="13384"/>
    <n v="5820"/>
    <n v="5158"/>
    <n v="6175"/>
    <n v="13384"/>
    <n v="4265"/>
    <n v="2013"/>
    <n v="6021"/>
    <n v="2018"/>
    <n v="13384"/>
    <n v="2022"/>
    <s v=""/>
    <n v="13384"/>
    <n v="13384"/>
    <s v="Increasing"/>
    <m/>
    <m/>
    <m/>
    <m/>
    <n v="1.6889931228872987"/>
    <n v="2.0462971936211609"/>
    <n v="4.0595072688125535"/>
    <n v="4.0595072688125535"/>
    <x v="1"/>
  </r>
  <r>
    <s v="Mozambique"/>
    <x v="26"/>
    <n v="24487618"/>
    <x v="26"/>
    <n v="0"/>
    <n v="25251730.999999993"/>
    <n v="3545"/>
    <m/>
    <n v="0"/>
    <m/>
    <n v="0"/>
    <m/>
    <n v="5148"/>
    <m/>
    <n v="5384"/>
    <n v="29423878.499999993"/>
    <n v="6021"/>
    <n v="6021"/>
    <m/>
    <n v="5889"/>
    <m/>
    <n v="5049"/>
    <m/>
    <n v="42"/>
    <n v="32969518.500000007"/>
    <n v="38"/>
    <n v="5820"/>
    <n v="3545"/>
    <n v="6021"/>
    <n v="5049"/>
    <n v="3545"/>
    <n v="2013"/>
    <n v="6021"/>
    <n v="2018"/>
    <n v="38"/>
    <n v="2022"/>
    <s v="Adjust"/>
    <n v="43.673348484175776"/>
    <n v="6021"/>
    <s v="Decreasing"/>
    <m/>
    <m/>
    <m/>
    <m/>
    <n v="1.4038641548969459"/>
    <n v="2.0462971936211609"/>
    <n v="1.3246583653982015E-2"/>
    <n v="1.8262323121279429"/>
    <x v="0"/>
  </r>
  <r>
    <s v="Mozambique"/>
    <x v="26"/>
    <n v="24487619"/>
    <x v="27"/>
    <n v="0"/>
    <n v="25251730.999999993"/>
    <n v="720"/>
    <m/>
    <n v="0"/>
    <m/>
    <n v="0"/>
    <m/>
    <n v="557"/>
    <m/>
    <n v="436"/>
    <n v="29423878.499999993"/>
    <n v="0"/>
    <n v="0"/>
    <m/>
    <n v="286"/>
    <m/>
    <n v="1275"/>
    <m/>
    <n v="7236"/>
    <n v="32969518.500000007"/>
    <n v="7082"/>
    <n v="0"/>
    <n v="720"/>
    <n v="557"/>
    <n v="7236"/>
    <n v="720"/>
    <n v="2013"/>
    <n v="436"/>
    <n v="2017"/>
    <n v="7082"/>
    <n v="2022"/>
    <s v=""/>
    <n v="7082"/>
    <n v="7082"/>
    <s v="Increasing"/>
    <m/>
    <m/>
    <m/>
    <m/>
    <n v="0.28512896799035292"/>
    <n v="0.14817896967593858"/>
    <n v="2.1480447159093328"/>
    <n v="2.1480447159093328"/>
    <x v="1"/>
  </r>
  <r>
    <s v="Mozambique"/>
    <x v="26"/>
    <n v="24487620"/>
    <x v="28"/>
    <n v="72"/>
    <n v="25251730.999999993"/>
    <n v="103"/>
    <m/>
    <n v="0"/>
    <m/>
    <n v="194"/>
    <m/>
    <n v="0"/>
    <m/>
    <n v="255"/>
    <n v="29423878.499999993"/>
    <n v="305"/>
    <n v="305"/>
    <m/>
    <n v="385"/>
    <m/>
    <n v="423"/>
    <m/>
    <n v="406"/>
    <n v="32969518.500000007"/>
    <n v="498"/>
    <n v="259"/>
    <n v="194"/>
    <n v="385"/>
    <n v="498"/>
    <n v="103"/>
    <n v="2013"/>
    <n v="305"/>
    <n v="2018"/>
    <n v="498"/>
    <n v="2022"/>
    <s v=""/>
    <n v="498"/>
    <n v="498"/>
    <s v="Increasing"/>
    <m/>
    <m/>
    <m/>
    <m/>
    <n v="4.0789282920842149E-2"/>
    <n v="0.1036573067687185"/>
    <n v="0.15104861176544021"/>
    <n v="0.15104861176544021"/>
    <x v="1"/>
  </r>
  <r>
    <s v="Mozambique"/>
    <x v="26"/>
    <n v="24487621"/>
    <x v="29"/>
    <n v="1390"/>
    <n v="25251730.999999993"/>
    <n v="1388"/>
    <m/>
    <n v="0"/>
    <m/>
    <n v="0"/>
    <m/>
    <n v="0"/>
    <m/>
    <n v="2055"/>
    <n v="29423878.499999993"/>
    <n v="1887"/>
    <n v="2051"/>
    <m/>
    <n v="2261"/>
    <m/>
    <n v="2358"/>
    <m/>
    <n v="3039"/>
    <n v="32969518.500000007"/>
    <n v="3299"/>
    <n v="2051"/>
    <n v="1390"/>
    <n v="2261"/>
    <n v="3299"/>
    <n v="1388"/>
    <n v="2013"/>
    <n v="2051"/>
    <s v="2018 (triag)"/>
    <n v="3299"/>
    <n v="2022"/>
    <s v=""/>
    <n v="3299"/>
    <n v="3299"/>
    <s v="Increasing"/>
    <m/>
    <m/>
    <m/>
    <m/>
    <n v="0.5496652882925136"/>
    <n v="0.69705290551685783"/>
    <n v="1.0006212253296933"/>
    <n v="1.0006212253296933"/>
    <x v="1"/>
  </r>
  <r>
    <s v="Mozambique"/>
    <x v="26"/>
    <n v="24487622"/>
    <x v="30"/>
    <n v="69"/>
    <n v="25251730.999999993"/>
    <n v="136"/>
    <m/>
    <n v="0"/>
    <m/>
    <n v="189"/>
    <m/>
    <n v="0"/>
    <m/>
    <n v="217"/>
    <n v="29423878.499999993"/>
    <n v="255"/>
    <n v="255"/>
    <m/>
    <n v="288"/>
    <m/>
    <n v="277"/>
    <m/>
    <n v="355"/>
    <n v="32969518.500000007"/>
    <n v="348"/>
    <n v="205"/>
    <n v="189"/>
    <n v="288"/>
    <n v="355"/>
    <n v="136"/>
    <n v="2013"/>
    <n v="255"/>
    <n v="2018"/>
    <n v="348"/>
    <n v="2022"/>
    <s v=""/>
    <n v="348"/>
    <n v="348"/>
    <s v="Increasing"/>
    <m/>
    <m/>
    <m/>
    <m/>
    <n v="5.3857693953733327E-2"/>
    <n v="8.6664305659092514E-2"/>
    <n v="0.10555204195657268"/>
    <n v="0.10555204195657268"/>
    <x v="1"/>
  </r>
  <r>
    <s v="Mozambique"/>
    <x v="26"/>
    <n v="24487623"/>
    <x v="31"/>
    <n v="305"/>
    <n v="25251730.999999993"/>
    <n v="238"/>
    <m/>
    <n v="0"/>
    <m/>
    <n v="45"/>
    <m/>
    <n v="0"/>
    <m/>
    <n v="319"/>
    <n v="29423878.499999993"/>
    <n v="39"/>
    <n v="340"/>
    <m/>
    <n v="305"/>
    <m/>
    <n v="318"/>
    <m/>
    <n v="340"/>
    <n v="32969518.500000007"/>
    <n v="341"/>
    <n v="340"/>
    <n v="305"/>
    <n v="319"/>
    <n v="341"/>
    <n v="238"/>
    <n v="2013"/>
    <n v="340"/>
    <s v="2018 (triag)"/>
    <n v="341"/>
    <n v="2022"/>
    <s v=""/>
    <n v="341"/>
    <n v="341"/>
    <s v="Increasing"/>
    <m/>
    <m/>
    <m/>
    <m/>
    <n v="9.4250964419033315E-2"/>
    <n v="0.11555240754545669"/>
    <n v="0.10342886869882553"/>
    <n v="0.10342886869882553"/>
    <x v="1"/>
  </r>
  <r>
    <s v="Mozambique"/>
    <x v="26"/>
    <n v="24487624"/>
    <x v="32"/>
    <n v="0"/>
    <n v="25251730.999999993"/>
    <n v="0"/>
    <m/>
    <n v="0"/>
    <m/>
    <n v="0"/>
    <m/>
    <n v="0"/>
    <m/>
    <n v="219"/>
    <n v="29423878.499999993"/>
    <n v="608"/>
    <n v="608"/>
    <m/>
    <n v="393"/>
    <m/>
    <n v="530"/>
    <m/>
    <n v="610"/>
    <n v="32969518.500000007"/>
    <n v="655"/>
    <n v="0"/>
    <n v="0"/>
    <n v="608"/>
    <n v="655"/>
    <n v="0"/>
    <s v=""/>
    <n v="608"/>
    <n v="2018"/>
    <n v="655"/>
    <n v="2022"/>
    <s v=""/>
    <n v="655"/>
    <n v="655"/>
    <s v="Increasing"/>
    <m/>
    <m/>
    <m/>
    <m/>
    <n v="0"/>
    <n v="0.20663489349305197"/>
    <n v="0.19866835483205492"/>
    <n v="0.19866835483205492"/>
    <x v="1"/>
  </r>
  <r>
    <s v="Mauritania"/>
    <x v="27"/>
    <n v="3636113.5000000009"/>
    <x v="19"/>
    <n v="0"/>
    <n v="3742958.9999999981"/>
    <n v="0"/>
    <n v="3843173.9999999991"/>
    <n v="622"/>
    <n v="3946219.4999999991"/>
    <n v="692"/>
    <n v="4051890.5000000014"/>
    <n v="0"/>
    <n v="4160014.4999999995"/>
    <n v="791"/>
    <n v="4270711.4999999972"/>
    <n v="850"/>
    <n v="1626"/>
    <n v="4383848.5000000009"/>
    <n v="897"/>
    <n v="4498603.4999999953"/>
    <n v="934"/>
    <n v="4614974"/>
    <n v="1035"/>
    <n v="4736138.9999999991"/>
    <n v="1118"/>
    <n v="1626"/>
    <n v="692"/>
    <n v="897"/>
    <n v="1118"/>
    <n v="622"/>
    <n v="2014"/>
    <n v="1626"/>
    <s v="2018 (triag)"/>
    <n v="1118"/>
    <n v="2022"/>
    <s v="Adjust"/>
    <n v="1273.0346943092873"/>
    <n v="1626"/>
    <s v="Decreasing"/>
    <m/>
    <m/>
    <m/>
    <m/>
    <n v="1.6617868376330072"/>
    <n v="3.8073281231944631"/>
    <n v="2.6879166644164951"/>
    <n v="3.4331762644635226"/>
    <x v="1"/>
  </r>
  <r>
    <s v="Mauritania"/>
    <x v="27"/>
    <n v="3636114.5"/>
    <x v="20"/>
    <n v="0"/>
    <n v="3742958.9999999981"/>
    <n v="0"/>
    <m/>
    <n v="0"/>
    <m/>
    <n v="0"/>
    <m/>
    <n v="0"/>
    <m/>
    <n v="0"/>
    <n v="4270711.4999999972"/>
    <n v="487"/>
    <n v="808"/>
    <m/>
    <n v="533"/>
    <m/>
    <n v="532"/>
    <m/>
    <n v="597"/>
    <n v="4736138.9999999991"/>
    <n v="616"/>
    <n v="808"/>
    <n v="0"/>
    <n v="533"/>
    <n v="616"/>
    <n v="0"/>
    <s v=""/>
    <n v="808"/>
    <s v="2018 (triag)"/>
    <n v="616"/>
    <n v="2022"/>
    <s v="Adjust"/>
    <n v="701.42162047810461"/>
    <n v="808"/>
    <s v="Decreasing"/>
    <m/>
    <m/>
    <m/>
    <m/>
    <n v="0"/>
    <n v="1.891956410541898"/>
    <n v="1.480998806154348"/>
    <n v="1.7060310096473101"/>
    <x v="1"/>
  </r>
  <r>
    <s v="Mauritania"/>
    <x v="27"/>
    <n v="3636115.5"/>
    <x v="21"/>
    <n v="0"/>
    <n v="3742958.9999999981"/>
    <n v="0"/>
    <m/>
    <n v="0"/>
    <m/>
    <n v="0"/>
    <m/>
    <n v="0"/>
    <m/>
    <n v="0"/>
    <n v="4270711.4999999972"/>
    <n v="363"/>
    <n v="818"/>
    <m/>
    <n v="364"/>
    <m/>
    <n v="402"/>
    <m/>
    <n v="438"/>
    <n v="4736138.9999999991"/>
    <n v="502"/>
    <n v="818"/>
    <n v="0"/>
    <n v="364"/>
    <n v="502"/>
    <n v="0"/>
    <s v=""/>
    <n v="818"/>
    <s v="2018 (triag)"/>
    <n v="502"/>
    <n v="2022"/>
    <s v="Adjust"/>
    <n v="571.61307383118265"/>
    <n v="818"/>
    <s v="Decreasing"/>
    <m/>
    <m/>
    <m/>
    <m/>
    <n v="0"/>
    <n v="1.9153717126525651"/>
    <n v="1.2069178582621471"/>
    <n v="1.7271452548162125"/>
    <x v="1"/>
  </r>
  <r>
    <s v="Mauritania"/>
    <x v="27"/>
    <n v="3636116.5"/>
    <x v="22"/>
    <n v="0"/>
    <n v="3742958.9999999981"/>
    <n v="0"/>
    <m/>
    <n v="3846"/>
    <m/>
    <n v="4137"/>
    <m/>
    <n v="0"/>
    <m/>
    <n v="4571"/>
    <n v="4270711.4999999972"/>
    <n v="4066"/>
    <n v="4066"/>
    <m/>
    <n v="4369"/>
    <m/>
    <n v="4290"/>
    <m/>
    <n v="6156"/>
    <n v="4736138.9999999991"/>
    <n v="6503"/>
    <n v="4017"/>
    <n v="4137"/>
    <n v="4571"/>
    <n v="6503"/>
    <n v="3846"/>
    <n v="2014"/>
    <n v="4066"/>
    <n v="2018"/>
    <n v="6503"/>
    <n v="2022"/>
    <s v=""/>
    <n v="6503"/>
    <n v="6503"/>
    <s v="Increasing"/>
    <m/>
    <m/>
    <m/>
    <m/>
    <n v="10.275292889930139"/>
    <n v="9.5206618381972241"/>
    <n v="13.7305936333372"/>
    <n v="13.7305936333372"/>
    <x v="1"/>
  </r>
  <r>
    <s v="Mauritania"/>
    <x v="27"/>
    <n v="3636117.5"/>
    <x v="23"/>
    <n v="0"/>
    <n v="3742958.9999999981"/>
    <n v="0"/>
    <m/>
    <n v="0"/>
    <m/>
    <n v="0"/>
    <m/>
    <n v="0"/>
    <m/>
    <n v="0"/>
    <n v="4270711.4999999972"/>
    <n v="461"/>
    <n v="4011"/>
    <m/>
    <n v="550"/>
    <m/>
    <n v="526"/>
    <m/>
    <n v="646"/>
    <n v="4736138.9999999991"/>
    <n v="663"/>
    <n v="4011"/>
    <n v="0"/>
    <n v="550"/>
    <n v="663"/>
    <n v="0"/>
    <s v=""/>
    <n v="4011"/>
    <s v="2018 (triag)"/>
    <n v="663"/>
    <n v="2022"/>
    <s v="Adjust"/>
    <n v="754.93917918341447"/>
    <n v="4011"/>
    <s v="Decreasing"/>
    <m/>
    <m/>
    <m/>
    <m/>
    <n v="0"/>
    <n v="9.391877676588555"/>
    <n v="1.5939970916888517"/>
    <n v="8.4689237372467332"/>
    <x v="0"/>
  </r>
  <r>
    <s v="Mauritania"/>
    <x v="27"/>
    <n v="3636118.5"/>
    <x v="24"/>
    <n v="0"/>
    <n v="3742958.9999999981"/>
    <n v="0"/>
    <m/>
    <n v="0"/>
    <m/>
    <n v="0"/>
    <m/>
    <n v="0"/>
    <m/>
    <n v="0"/>
    <n v="4270711.4999999972"/>
    <n v="0"/>
    <n v="6"/>
    <m/>
    <n v="0"/>
    <m/>
    <n v="0"/>
    <m/>
    <n v="0"/>
    <n v="4736138.9999999991"/>
    <n v="0"/>
    <n v="6"/>
    <n v="0"/>
    <n v="0"/>
    <n v="0"/>
    <n v="0"/>
    <s v=""/>
    <n v="6"/>
    <s v="2018 (triag)"/>
    <n v="6"/>
    <s v="2018 (triag)"/>
    <s v=""/>
    <n v="6"/>
    <n v="6"/>
    <s v="No change"/>
    <m/>
    <m/>
    <m/>
    <m/>
    <n v="0"/>
    <n v="1.4049181266400233E-2"/>
    <n v="1.2668547101341411E-2"/>
    <n v="1.2668547101341411E-2"/>
    <x v="1"/>
  </r>
  <r>
    <s v="Mauritania"/>
    <x v="27"/>
    <n v="3636119.5"/>
    <x v="25"/>
    <n v="0"/>
    <n v="3742958.9999999981"/>
    <n v="368"/>
    <m/>
    <n v="0"/>
    <m/>
    <n v="0"/>
    <m/>
    <n v="0"/>
    <m/>
    <n v="0"/>
    <n v="4270711.4999999972"/>
    <n v="671"/>
    <n v="855"/>
    <m/>
    <n v="932"/>
    <m/>
    <n v="1027"/>
    <m/>
    <n v="1252"/>
    <n v="4736138.9999999991"/>
    <n v="1340"/>
    <n v="855"/>
    <n v="368"/>
    <n v="932"/>
    <n v="1340"/>
    <n v="368"/>
    <n v="2013"/>
    <n v="855"/>
    <s v="2018 (triag)"/>
    <n v="1340"/>
    <n v="2022"/>
    <s v=""/>
    <n v="1340"/>
    <n v="1340"/>
    <s v="Increasing"/>
    <m/>
    <m/>
    <m/>
    <m/>
    <n v="0.98317935088255093"/>
    <n v="2.0020083304620333"/>
    <n v="2.8293088526329151"/>
    <n v="2.8293088526329151"/>
    <x v="1"/>
  </r>
  <r>
    <s v="Mauritania"/>
    <x v="27"/>
    <n v="3636120.5"/>
    <x v="26"/>
    <n v="0"/>
    <n v="3742958.9999999981"/>
    <n v="368"/>
    <m/>
    <n v="0"/>
    <m/>
    <n v="0"/>
    <m/>
    <n v="0"/>
    <m/>
    <n v="0"/>
    <n v="4270711.4999999972"/>
    <n v="671"/>
    <n v="854"/>
    <m/>
    <n v="932"/>
    <m/>
    <n v="1027"/>
    <m/>
    <n v="1252"/>
    <n v="4736138.9999999991"/>
    <n v="1340"/>
    <n v="854"/>
    <n v="368"/>
    <n v="932"/>
    <n v="1340"/>
    <n v="368"/>
    <n v="2013"/>
    <n v="854"/>
    <s v="2018 (triag)"/>
    <n v="1340"/>
    <n v="2022"/>
    <s v=""/>
    <n v="1340"/>
    <n v="1340"/>
    <s v="Increasing"/>
    <m/>
    <m/>
    <m/>
    <m/>
    <n v="0.98317935088255093"/>
    <n v="1.9996668002509665"/>
    <n v="2.8293088526329151"/>
    <n v="2.8293088526329151"/>
    <x v="1"/>
  </r>
  <r>
    <s v="Mauritania"/>
    <x v="27"/>
    <n v="3636121.5"/>
    <x v="27"/>
    <n v="0"/>
    <n v="3742958.9999999981"/>
    <n v="0"/>
    <m/>
    <n v="0"/>
    <m/>
    <n v="0"/>
    <m/>
    <n v="0"/>
    <m/>
    <n v="0"/>
    <n v="4270711.4999999972"/>
    <n v="0"/>
    <n v="1"/>
    <m/>
    <n v="0"/>
    <m/>
    <n v="0"/>
    <m/>
    <n v="0"/>
    <n v="4736138.9999999991"/>
    <n v="0"/>
    <n v="1"/>
    <n v="0"/>
    <n v="0"/>
    <n v="0"/>
    <n v="0"/>
    <s v=""/>
    <n v="1"/>
    <s v="2018 (triag)"/>
    <n v="1"/>
    <s v="2018 (triag)"/>
    <s v=""/>
    <n v="1"/>
    <n v="1"/>
    <s v="No change"/>
    <m/>
    <m/>
    <m/>
    <m/>
    <n v="0"/>
    <n v="2.3415302110667054E-3"/>
    <n v="2.1114245168902352E-3"/>
    <n v="2.1114245168902352E-3"/>
    <x v="1"/>
  </r>
  <r>
    <s v="Mauritania"/>
    <x v="27"/>
    <n v="3636122.5"/>
    <x v="28"/>
    <n v="0"/>
    <n v="3742958.9999999981"/>
    <n v="0"/>
    <m/>
    <n v="0"/>
    <m/>
    <n v="0"/>
    <m/>
    <n v="0"/>
    <m/>
    <n v="0"/>
    <n v="4270711.4999999972"/>
    <n v="78"/>
    <n v="87"/>
    <m/>
    <n v="74"/>
    <m/>
    <n v="76"/>
    <m/>
    <n v="75"/>
    <n v="4736138.9999999991"/>
    <n v="85"/>
    <n v="87"/>
    <n v="0"/>
    <n v="78"/>
    <n v="85"/>
    <n v="0"/>
    <s v=""/>
    <n v="87"/>
    <s v="2018 (triag)"/>
    <n v="85"/>
    <n v="2022"/>
    <s v="Adjust"/>
    <n v="96.787074254283908"/>
    <n v="96.787074254283908"/>
    <s v="Increasing"/>
    <m/>
    <m/>
    <m/>
    <m/>
    <n v="0"/>
    <n v="0.20371312836280339"/>
    <n v="0.20435860149857071"/>
    <n v="0.20435860149857071"/>
    <x v="1"/>
  </r>
  <r>
    <s v="Mauritania"/>
    <x v="27"/>
    <n v="3636123.5"/>
    <x v="29"/>
    <n v="0"/>
    <n v="3742958.9999999981"/>
    <n v="0"/>
    <m/>
    <n v="0"/>
    <m/>
    <n v="0"/>
    <m/>
    <n v="0"/>
    <m/>
    <n v="0"/>
    <n v="4270711.4999999972"/>
    <n v="0"/>
    <n v="13"/>
    <m/>
    <n v="0"/>
    <m/>
    <n v="0"/>
    <m/>
    <n v="0"/>
    <n v="4736138.9999999991"/>
    <n v="0"/>
    <n v="13"/>
    <n v="0"/>
    <n v="0"/>
    <n v="0"/>
    <n v="0"/>
    <s v=""/>
    <n v="13"/>
    <s v="2018 (triag)"/>
    <n v="13"/>
    <s v="2018 (triag)"/>
    <s v=""/>
    <n v="13"/>
    <n v="13"/>
    <s v="No change"/>
    <m/>
    <m/>
    <m/>
    <m/>
    <n v="0"/>
    <n v="3.0439892743867172E-2"/>
    <n v="2.7448518719573059E-2"/>
    <n v="2.7448518719573059E-2"/>
    <x v="1"/>
  </r>
  <r>
    <s v="Mauritania"/>
    <x v="27"/>
    <n v="3636124.5"/>
    <x v="30"/>
    <n v="0"/>
    <n v="3742958.9999999981"/>
    <n v="0"/>
    <m/>
    <n v="0"/>
    <m/>
    <n v="0"/>
    <m/>
    <n v="0"/>
    <m/>
    <n v="0"/>
    <n v="4270711.4999999972"/>
    <n v="112"/>
    <n v="151"/>
    <m/>
    <n v="118"/>
    <m/>
    <n v="117"/>
    <m/>
    <n v="121"/>
    <n v="4736138.9999999991"/>
    <n v="131"/>
    <n v="151"/>
    <n v="0"/>
    <n v="118"/>
    <n v="131"/>
    <n v="0"/>
    <s v=""/>
    <n v="151"/>
    <s v="2018 (triag)"/>
    <n v="131"/>
    <n v="2022"/>
    <s v="Adjust"/>
    <n v="149.16596149777874"/>
    <n v="151"/>
    <s v="Decreasing"/>
    <m/>
    <m/>
    <m/>
    <m/>
    <n v="0"/>
    <n v="0.35357106187107251"/>
    <n v="0.31495266819191492"/>
    <n v="0.31882510205042552"/>
    <x v="1"/>
  </r>
  <r>
    <s v="Mauritania"/>
    <x v="27"/>
    <n v="3636125.5"/>
    <x v="31"/>
    <n v="0"/>
    <n v="3742958.9999999981"/>
    <n v="0"/>
    <m/>
    <n v="0"/>
    <m/>
    <n v="0"/>
    <m/>
    <n v="0"/>
    <m/>
    <n v="0"/>
    <n v="4270711.4999999972"/>
    <n v="0"/>
    <n v="0"/>
    <m/>
    <n v="0"/>
    <m/>
    <n v="0"/>
    <m/>
    <n v="0"/>
    <n v="4736138.9999999991"/>
    <n v="0"/>
    <n v="0"/>
    <n v="0"/>
    <n v="0"/>
    <n v="0"/>
    <n v="0"/>
    <s v=""/>
    <n v="0"/>
    <s v=""/>
    <n v="0"/>
    <s v=""/>
    <s v=""/>
    <n v="0"/>
    <n v="0"/>
    <s v="No change"/>
    <m/>
    <m/>
    <m/>
    <m/>
    <n v="0"/>
    <n v="0"/>
    <n v="0"/>
    <n v="0"/>
    <x v="1"/>
  </r>
  <r>
    <s v="Mauritania"/>
    <x v="27"/>
    <n v="3636126.5"/>
    <x v="32"/>
    <n v="0"/>
    <n v="3742958.9999999981"/>
    <n v="0"/>
    <m/>
    <n v="0"/>
    <m/>
    <n v="0"/>
    <m/>
    <n v="0"/>
    <m/>
    <n v="0"/>
    <n v="4270711.4999999972"/>
    <n v="0"/>
    <n v="0"/>
    <m/>
    <n v="0"/>
    <m/>
    <n v="0"/>
    <m/>
    <n v="0"/>
    <n v="4736138.9999999991"/>
    <n v="0"/>
    <n v="0"/>
    <n v="0"/>
    <n v="0"/>
    <n v="0"/>
    <n v="0"/>
    <s v=""/>
    <n v="0"/>
    <s v=""/>
    <n v="0"/>
    <s v=""/>
    <s v=""/>
    <n v="0"/>
    <n v="0"/>
    <s v="No change"/>
    <m/>
    <m/>
    <m/>
    <m/>
    <n v="0"/>
    <n v="0"/>
    <n v="0"/>
    <n v="0"/>
    <x v="1"/>
  </r>
  <r>
    <s v="Mauritius"/>
    <x v="28"/>
    <n v="1288744.5000000005"/>
    <x v="19"/>
    <n v="1722"/>
    <n v="1290691.4999999998"/>
    <n v="2046"/>
    <n v="1292113.5000000002"/>
    <n v="2429"/>
    <n v="1293153"/>
    <n v="2550"/>
    <n v="1293911.0000000005"/>
    <n v="2769"/>
    <n v="1294740.5000000002"/>
    <n v="2927"/>
    <n v="1295381.5000000005"/>
    <n v="2395"/>
    <n v="2395"/>
    <n v="1296279.0000000002"/>
    <n v="3290"/>
    <n v="1297827.5"/>
    <n v="3450"/>
    <n v="1298914.4999999995"/>
    <n v="0"/>
    <n v="1299468.9999999986"/>
    <n v="1555"/>
    <n v="2395"/>
    <n v="2550"/>
    <n v="3290"/>
    <n v="3450"/>
    <n v="2046"/>
    <n v="2013"/>
    <n v="2395"/>
    <n v="2018"/>
    <n v="1555"/>
    <n v="2022"/>
    <s v="Adjust"/>
    <n v="1833.6554988586008"/>
    <n v="2395"/>
    <s v="Decreasing"/>
    <m/>
    <m/>
    <m/>
    <m/>
    <n v="15.851967724278035"/>
    <n v="18.48876180492001"/>
    <n v="14.110806020448374"/>
    <n v="18.430605116397565"/>
    <x v="1"/>
  </r>
  <r>
    <s v="Mauritius"/>
    <x v="28"/>
    <n v="1288745.5"/>
    <x v="20"/>
    <n v="0"/>
    <n v="1290691.4999999998"/>
    <n v="0"/>
    <m/>
    <n v="0"/>
    <m/>
    <n v="0"/>
    <m/>
    <n v="0"/>
    <m/>
    <n v="0"/>
    <n v="1295381.5000000005"/>
    <n v="1188"/>
    <n v="1188"/>
    <m/>
    <n v="0"/>
    <m/>
    <n v="0"/>
    <m/>
    <n v="0"/>
    <n v="1299468.9999999986"/>
    <n v="1207"/>
    <n v="1188"/>
    <n v="0"/>
    <n v="1188"/>
    <n v="1207"/>
    <n v="0"/>
    <s v=""/>
    <n v="1188"/>
    <n v="2018"/>
    <n v="1207"/>
    <n v="2022"/>
    <s v=""/>
    <n v="1207"/>
    <n v="1207"/>
    <s v="Increasing"/>
    <m/>
    <m/>
    <m/>
    <m/>
    <n v="0"/>
    <n v="9.171043433922744"/>
    <n v="9.2884093425853269"/>
    <n v="9.2884093425853269"/>
    <x v="1"/>
  </r>
  <r>
    <s v="Mauritius"/>
    <x v="28"/>
    <n v="1288746.5"/>
    <x v="21"/>
    <n v="0"/>
    <n v="1290691.4999999998"/>
    <n v="0"/>
    <m/>
    <n v="0"/>
    <m/>
    <n v="0"/>
    <m/>
    <n v="0"/>
    <m/>
    <n v="0"/>
    <n v="1295381.5000000005"/>
    <n v="1207"/>
    <n v="1207"/>
    <m/>
    <n v="0"/>
    <m/>
    <n v="0"/>
    <m/>
    <n v="0"/>
    <n v="1299468.9999999986"/>
    <n v="348"/>
    <n v="1207"/>
    <n v="0"/>
    <n v="1207"/>
    <n v="348"/>
    <n v="0"/>
    <s v=""/>
    <n v="1207"/>
    <n v="2018"/>
    <n v="348"/>
    <n v="2022"/>
    <s v="Adjust"/>
    <n v="410.36148784745535"/>
    <n v="1207"/>
    <s v="Decreasing"/>
    <m/>
    <m/>
    <m/>
    <m/>
    <n v="0"/>
    <n v="9.317718370997266"/>
    <n v="3.1579167171164206"/>
    <n v="9.2884093425853269"/>
    <x v="0"/>
  </r>
  <r>
    <s v="Mauritius"/>
    <x v="28"/>
    <n v="1288747.5"/>
    <x v="22"/>
    <n v="3737"/>
    <n v="1290691.4999999998"/>
    <n v="3963"/>
    <m/>
    <n v="4125"/>
    <m/>
    <n v="4261"/>
    <m/>
    <n v="4134"/>
    <m/>
    <n v="4445"/>
    <n v="1295381.5000000005"/>
    <n v="4986"/>
    <n v="4986"/>
    <m/>
    <n v="0"/>
    <m/>
    <n v="0"/>
    <m/>
    <n v="0"/>
    <n v="1299468.9999999986"/>
    <n v="3900"/>
    <n v="4419"/>
    <n v="4261"/>
    <n v="4986"/>
    <n v="3900"/>
    <n v="3963"/>
    <n v="2013"/>
    <n v="4986"/>
    <n v="2018"/>
    <n v="3900"/>
    <n v="2022"/>
    <s v="Adjust"/>
    <n v="4598.8787431180344"/>
    <n v="4986"/>
    <s v="Decreasing"/>
    <m/>
    <m/>
    <m/>
    <m/>
    <n v="30.704471207875784"/>
    <n v="38.49059138176667"/>
    <n v="35.390445967684023"/>
    <n v="38.369518626454386"/>
    <x v="1"/>
  </r>
  <r>
    <s v="Mauritius"/>
    <x v="28"/>
    <n v="1288748.5"/>
    <x v="23"/>
    <n v="0"/>
    <n v="1290691.4999999998"/>
    <n v="0"/>
    <m/>
    <n v="0"/>
    <m/>
    <n v="0"/>
    <m/>
    <n v="0"/>
    <m/>
    <n v="0"/>
    <n v="1295381.5000000005"/>
    <n v="0"/>
    <n v="4419"/>
    <m/>
    <n v="0"/>
    <m/>
    <n v="0"/>
    <m/>
    <n v="0"/>
    <n v="1299468.9999999986"/>
    <n v="3715"/>
    <n v="4419"/>
    <n v="0"/>
    <n v="0"/>
    <n v="3715"/>
    <n v="0"/>
    <s v=""/>
    <n v="4419"/>
    <s v="2018 (triag)"/>
    <n v="3715"/>
    <n v="2022"/>
    <s v="Adjust"/>
    <n v="4380.7268027393584"/>
    <n v="4419"/>
    <s v="Decreasing"/>
    <m/>
    <m/>
    <m/>
    <m/>
    <n v="0"/>
    <n v="34.113502470121723"/>
    <n v="33.711668402550302"/>
    <n v="34.006197916225815"/>
    <x v="1"/>
  </r>
  <r>
    <s v="Mauritius"/>
    <x v="28"/>
    <n v="1288749.5"/>
    <x v="24"/>
    <n v="0"/>
    <n v="1290691.4999999998"/>
    <n v="0"/>
    <m/>
    <n v="0"/>
    <m/>
    <n v="0"/>
    <m/>
    <n v="0"/>
    <m/>
    <n v="0"/>
    <n v="1295381.5000000005"/>
    <n v="0"/>
    <n v="0"/>
    <m/>
    <n v="0"/>
    <m/>
    <n v="0"/>
    <m/>
    <n v="0"/>
    <n v="1299468.9999999986"/>
    <n v="185"/>
    <n v="0"/>
    <n v="0"/>
    <n v="0"/>
    <n v="185"/>
    <n v="0"/>
    <s v=""/>
    <n v="0"/>
    <s v=""/>
    <n v="185"/>
    <n v="2022"/>
    <s v=""/>
    <n v="185"/>
    <n v="185"/>
    <s v="Increasing"/>
    <m/>
    <m/>
    <m/>
    <m/>
    <n v="0"/>
    <n v="0"/>
    <n v="1.4236584327906261"/>
    <n v="1.4236584327906261"/>
    <x v="1"/>
  </r>
  <r>
    <s v="Mauritius"/>
    <x v="28"/>
    <n v="1288750.5"/>
    <x v="25"/>
    <n v="0"/>
    <n v="1290691.4999999998"/>
    <n v="0"/>
    <m/>
    <n v="0"/>
    <m/>
    <n v="0"/>
    <m/>
    <n v="0"/>
    <m/>
    <n v="0"/>
    <n v="1295381.5000000005"/>
    <n v="0"/>
    <n v="567"/>
    <m/>
    <n v="0"/>
    <m/>
    <n v="0"/>
    <m/>
    <n v="0"/>
    <n v="1299468.9999999986"/>
    <n v="0"/>
    <n v="567"/>
    <n v="0"/>
    <n v="0"/>
    <n v="0"/>
    <n v="0"/>
    <s v=""/>
    <n v="567"/>
    <s v="2018 (triag)"/>
    <n v="567"/>
    <s v="2018 (triag)"/>
    <s v=""/>
    <n v="567"/>
    <n v="567"/>
    <s v="No change"/>
    <m/>
    <m/>
    <m/>
    <m/>
    <n v="0"/>
    <n v="4.3770889116449458"/>
    <n v="4.3633207102285674"/>
    <n v="4.3633207102285674"/>
    <x v="1"/>
  </r>
  <r>
    <s v="Mauritius"/>
    <x v="28"/>
    <n v="1288751.5"/>
    <x v="26"/>
    <n v="0"/>
    <n v="1290691.4999999998"/>
    <n v="0"/>
    <m/>
    <n v="0"/>
    <m/>
    <n v="0"/>
    <m/>
    <n v="0"/>
    <m/>
    <n v="0"/>
    <n v="1295381.5000000005"/>
    <n v="0"/>
    <n v="567"/>
    <m/>
    <n v="0"/>
    <m/>
    <n v="0"/>
    <m/>
    <n v="0"/>
    <n v="1299468.9999999986"/>
    <n v="0"/>
    <n v="567"/>
    <n v="0"/>
    <n v="0"/>
    <n v="0"/>
    <n v="0"/>
    <s v=""/>
    <n v="567"/>
    <s v="2018 (triag)"/>
    <n v="567"/>
    <s v="2018 (triag)"/>
    <s v=""/>
    <n v="567"/>
    <n v="567"/>
    <s v="No change"/>
    <m/>
    <m/>
    <m/>
    <m/>
    <n v="0"/>
    <n v="4.3770889116449458"/>
    <n v="4.3633207102285674"/>
    <n v="4.3633207102285674"/>
    <x v="1"/>
  </r>
  <r>
    <s v="Mauritius"/>
    <x v="28"/>
    <n v="1288752.5"/>
    <x v="27"/>
    <n v="0"/>
    <n v="1290691.4999999998"/>
    <n v="0"/>
    <m/>
    <n v="0"/>
    <m/>
    <n v="0"/>
    <m/>
    <n v="0"/>
    <m/>
    <n v="0"/>
    <n v="1295381.5000000005"/>
    <n v="0"/>
    <n v="0"/>
    <m/>
    <n v="0"/>
    <m/>
    <n v="0"/>
    <m/>
    <n v="0"/>
    <n v="1299468.9999999986"/>
    <n v="0"/>
    <n v="0"/>
    <n v="0"/>
    <n v="0"/>
    <n v="0"/>
    <n v="0"/>
    <s v=""/>
    <n v="0"/>
    <s v=""/>
    <n v="0"/>
    <s v=""/>
    <s v=""/>
    <n v="0"/>
    <n v="0"/>
    <s v="No change"/>
    <m/>
    <m/>
    <m/>
    <m/>
    <n v="0"/>
    <n v="0"/>
    <n v="0"/>
    <n v="0"/>
    <x v="1"/>
  </r>
  <r>
    <s v="Mauritius"/>
    <x v="28"/>
    <n v="1288753.5"/>
    <x v="28"/>
    <n v="432"/>
    <n v="1290691.4999999998"/>
    <n v="460"/>
    <m/>
    <n v="494"/>
    <m/>
    <n v="497"/>
    <m/>
    <n v="514"/>
    <m/>
    <n v="531"/>
    <n v="1295381.5000000005"/>
    <n v="748"/>
    <n v="748"/>
    <m/>
    <n v="0"/>
    <m/>
    <n v="0"/>
    <m/>
    <n v="0"/>
    <n v="1299468.9999999986"/>
    <n v="35"/>
    <n v="531"/>
    <n v="497"/>
    <n v="748"/>
    <n v="35"/>
    <n v="460"/>
    <n v="2013"/>
    <n v="748"/>
    <n v="2018"/>
    <n v="35"/>
    <n v="2022"/>
    <s v="Adjust"/>
    <n v="41.271988720290047"/>
    <n v="748"/>
    <s v="Decreasing"/>
    <m/>
    <m/>
    <m/>
    <m/>
    <n v="3.5639810132785414"/>
    <n v="5.7743606806180248"/>
    <n v="0.31760656637665147"/>
    <n v="5.7561973390669632"/>
    <x v="0"/>
  </r>
  <r>
    <s v="Mauritius"/>
    <x v="28"/>
    <n v="1288754.5"/>
    <x v="29"/>
    <n v="0"/>
    <n v="1290691.4999999998"/>
    <n v="0"/>
    <m/>
    <n v="0"/>
    <m/>
    <n v="0"/>
    <m/>
    <n v="0"/>
    <m/>
    <n v="0"/>
    <n v="1295381.5000000005"/>
    <n v="0"/>
    <n v="217"/>
    <m/>
    <n v="0"/>
    <m/>
    <n v="0"/>
    <m/>
    <n v="0"/>
    <n v="1299468.9999999986"/>
    <n v="314"/>
    <n v="217"/>
    <n v="0"/>
    <n v="0"/>
    <n v="314"/>
    <n v="0"/>
    <s v=""/>
    <n v="217"/>
    <s v="2018 (triag)"/>
    <n v="314"/>
    <n v="2022"/>
    <s v=""/>
    <n v="314"/>
    <n v="314"/>
    <s v="Increasing"/>
    <m/>
    <m/>
    <m/>
    <m/>
    <n v="0"/>
    <n v="1.6751821760616461"/>
    <n v="2.4163716102500357"/>
    <n v="2.4163716102500357"/>
    <x v="1"/>
  </r>
  <r>
    <s v="Mauritius"/>
    <x v="28"/>
    <n v="1288755.5"/>
    <x v="30"/>
    <n v="301"/>
    <n v="1290691.4999999998"/>
    <n v="351"/>
    <m/>
    <n v="366"/>
    <m/>
    <n v="380"/>
    <m/>
    <n v="385"/>
    <m/>
    <n v="401"/>
    <n v="1295381.5000000005"/>
    <n v="466"/>
    <n v="466"/>
    <m/>
    <n v="351"/>
    <m/>
    <n v="0"/>
    <m/>
    <n v="0"/>
    <n v="1299468.9999999986"/>
    <n v="0"/>
    <n v="401"/>
    <n v="380"/>
    <n v="466"/>
    <n v="0"/>
    <n v="351"/>
    <n v="2013"/>
    <n v="466"/>
    <n v="2018"/>
    <n v="351"/>
    <n v="2018"/>
    <s v="Adjust"/>
    <n v="413.89908688062309"/>
    <n v="466"/>
    <s v="Decreasing"/>
    <m/>
    <m/>
    <m/>
    <m/>
    <n v="2.7194724688277567"/>
    <n v="3.5973958250909082"/>
    <n v="3.1851401370915622"/>
    <n v="3.5860801604347659"/>
    <x v="1"/>
  </r>
  <r>
    <s v="Mauritius"/>
    <x v="28"/>
    <n v="1288756.5"/>
    <x v="31"/>
    <n v="0"/>
    <n v="1290691.4999999998"/>
    <n v="0"/>
    <m/>
    <n v="0"/>
    <m/>
    <n v="0"/>
    <m/>
    <n v="0"/>
    <m/>
    <n v="0"/>
    <n v="1295381.5000000005"/>
    <n v="0"/>
    <n v="65"/>
    <m/>
    <n v="0"/>
    <m/>
    <n v="0"/>
    <m/>
    <n v="0"/>
    <n v="1299468.9999999986"/>
    <n v="78"/>
    <n v="65"/>
    <n v="0"/>
    <n v="0"/>
    <n v="78"/>
    <n v="0"/>
    <s v=""/>
    <n v="65"/>
    <s v="2018 (triag)"/>
    <n v="78"/>
    <n v="2022"/>
    <s v=""/>
    <n v="78"/>
    <n v="78"/>
    <s v="Increasing"/>
    <m/>
    <m/>
    <m/>
    <m/>
    <n v="0"/>
    <n v="0.50178267946547006"/>
    <n v="0.60024517706848013"/>
    <n v="0.60024517706848013"/>
    <x v="1"/>
  </r>
  <r>
    <s v="Mauritius"/>
    <x v="28"/>
    <n v="1288757.5"/>
    <x v="32"/>
    <n v="0"/>
    <n v="1290691.4999999998"/>
    <n v="0"/>
    <m/>
    <n v="0"/>
    <m/>
    <n v="0"/>
    <m/>
    <n v="0"/>
    <m/>
    <n v="0"/>
    <n v="1295381.5000000005"/>
    <n v="0"/>
    <n v="0"/>
    <m/>
    <n v="0"/>
    <m/>
    <n v="0"/>
    <m/>
    <n v="0"/>
    <n v="1299468.9999999986"/>
    <n v="16"/>
    <n v="0"/>
    <n v="0"/>
    <n v="0"/>
    <n v="16"/>
    <n v="0"/>
    <s v=""/>
    <n v="0"/>
    <s v=""/>
    <n v="16"/>
    <n v="2022"/>
    <s v=""/>
    <n v="16"/>
    <n v="16"/>
    <s v="Increasing"/>
    <m/>
    <m/>
    <m/>
    <m/>
    <n v="0"/>
    <n v="0"/>
    <n v="0.123127215808919"/>
    <n v="0.123127215808919"/>
    <x v="1"/>
  </r>
  <r>
    <s v="Malawi"/>
    <x v="29"/>
    <n v="15581250.5"/>
    <x v="19"/>
    <n v="0"/>
    <n v="16024775.499999996"/>
    <n v="200"/>
    <n v="16477966.500000002"/>
    <n v="0"/>
    <n v="16938941.500000004"/>
    <n v="0"/>
    <n v="17405623.5"/>
    <n v="539"/>
    <n v="17881167.000000004"/>
    <n v="0"/>
    <n v="18367882.999999985"/>
    <n v="2760"/>
    <n v="2760"/>
    <n v="18867336.499999993"/>
    <n v="0"/>
    <n v="19377061.499999985"/>
    <n v="958"/>
    <n v="19889742.000000011"/>
    <n v="0"/>
    <n v="20405316.500000019"/>
    <n v="996"/>
    <n v="2760"/>
    <n v="200"/>
    <n v="2760"/>
    <n v="996"/>
    <n v="200"/>
    <n v="2013"/>
    <n v="2760"/>
    <n v="2018"/>
    <n v="996"/>
    <n v="2022"/>
    <s v="Adjust"/>
    <n v="1103.5637751855782"/>
    <n v="2760"/>
    <s v="Decreasing"/>
    <m/>
    <m/>
    <m/>
    <m/>
    <n v="0.12480674066229511"/>
    <n v="1.5026228117851155"/>
    <n v="0.54082168986968526"/>
    <n v="1.3525886746231051"/>
    <x v="0"/>
  </r>
  <r>
    <s v="Malawi"/>
    <x v="29"/>
    <n v="15581251.5"/>
    <x v="20"/>
    <n v="0"/>
    <n v="16024775.499999996"/>
    <n v="0"/>
    <m/>
    <n v="0"/>
    <m/>
    <n v="0"/>
    <m/>
    <n v="255"/>
    <m/>
    <n v="0"/>
    <n v="18367882.999999985"/>
    <n v="2582"/>
    <n v="2582"/>
    <m/>
    <n v="0"/>
    <m/>
    <n v="639"/>
    <m/>
    <n v="0"/>
    <n v="20405316.500000019"/>
    <n v="843"/>
    <n v="2582"/>
    <n v="0"/>
    <n v="2582"/>
    <n v="843"/>
    <n v="0"/>
    <s v=""/>
    <n v="2582"/>
    <n v="2018"/>
    <n v="843"/>
    <n v="2022"/>
    <s v="Adjust"/>
    <n v="934.04042417815492"/>
    <n v="2582"/>
    <s v="Decreasing"/>
    <m/>
    <m/>
    <m/>
    <m/>
    <n v="0"/>
    <n v="1.4057145289960755"/>
    <n v="0.45774365919693238"/>
    <n v="1.2653565064771222"/>
    <x v="0"/>
  </r>
  <r>
    <s v="Malawi"/>
    <x v="29"/>
    <n v="15581252.5"/>
    <x v="21"/>
    <n v="0"/>
    <n v="16024775.499999996"/>
    <n v="32"/>
    <m/>
    <n v="0"/>
    <m/>
    <n v="0"/>
    <m/>
    <n v="0"/>
    <m/>
    <n v="0"/>
    <n v="18367882.999999985"/>
    <n v="178"/>
    <n v="178"/>
    <m/>
    <n v="0"/>
    <m/>
    <n v="319"/>
    <m/>
    <n v="0"/>
    <n v="20405316.500000019"/>
    <n v="141"/>
    <n v="178"/>
    <n v="32"/>
    <n v="178"/>
    <n v="319"/>
    <n v="32"/>
    <n v="2013"/>
    <n v="178"/>
    <n v="2018"/>
    <n v="141"/>
    <n v="2022"/>
    <s v="Adjust"/>
    <n v="156.22740190880171"/>
    <n v="178"/>
    <s v="Decreasing"/>
    <m/>
    <m/>
    <m/>
    <m/>
    <n v="1.9969078505967217E-2"/>
    <n v="9.6908282789040054E-2"/>
    <n v="7.6562106698419286E-2"/>
    <n v="8.723216814598285E-2"/>
    <x v="1"/>
  </r>
  <r>
    <s v="Malawi"/>
    <x v="29"/>
    <n v="15581253.5"/>
    <x v="22"/>
    <n v="0"/>
    <n v="16024775.499999996"/>
    <n v="3545"/>
    <m/>
    <n v="0"/>
    <m/>
    <n v="0"/>
    <m/>
    <n v="4573"/>
    <m/>
    <n v="0"/>
    <n v="18367882.999999985"/>
    <n v="7957"/>
    <n v="7957"/>
    <m/>
    <n v="0"/>
    <m/>
    <n v="13564"/>
    <m/>
    <n v="0"/>
    <n v="20405316.500000019"/>
    <n v="9592"/>
    <n v="6025"/>
    <n v="3545"/>
    <n v="7957"/>
    <n v="13564"/>
    <n v="3545"/>
    <n v="2013"/>
    <n v="7957"/>
    <n v="2018"/>
    <n v="9592"/>
    <n v="2022"/>
    <s v=""/>
    <n v="9592"/>
    <n v="9592"/>
    <s v="Increasing"/>
    <m/>
    <m/>
    <m/>
    <m/>
    <n v="2.2121994782391807"/>
    <n v="4.3320180120920888"/>
    <n v="4.7007357126756606"/>
    <n v="4.7007357126756606"/>
    <x v="1"/>
  </r>
  <r>
    <s v="Malawi"/>
    <x v="29"/>
    <n v="15581254.5"/>
    <x v="23"/>
    <n v="0"/>
    <n v="16024775.499999996"/>
    <n v="0"/>
    <m/>
    <n v="0"/>
    <m/>
    <n v="0"/>
    <m/>
    <n v="0"/>
    <m/>
    <n v="0"/>
    <n v="18367882.999999985"/>
    <n v="1633"/>
    <n v="1633"/>
    <m/>
    <n v="0"/>
    <m/>
    <n v="7483"/>
    <m/>
    <n v="0"/>
    <n v="20405316.500000019"/>
    <n v="2891"/>
    <n v="1549"/>
    <n v="0"/>
    <n v="1633"/>
    <n v="7483"/>
    <n v="0"/>
    <s v=""/>
    <n v="1633"/>
    <n v="2018"/>
    <n v="2891"/>
    <n v="2022"/>
    <s v=""/>
    <n v="2891"/>
    <n v="2891"/>
    <s v="Increasing"/>
    <m/>
    <m/>
    <m/>
    <m/>
    <n v="0"/>
    <n v="0.88905183030619328"/>
    <n v="1.4167876298316653"/>
    <n v="1.4167876298316653"/>
    <x v="1"/>
  </r>
  <r>
    <s v="Malawi"/>
    <x v="29"/>
    <n v="15581255.5"/>
    <x v="24"/>
    <n v="0"/>
    <n v="16024775.499999996"/>
    <n v="0"/>
    <m/>
    <n v="0"/>
    <m/>
    <n v="0"/>
    <m/>
    <n v="0"/>
    <m/>
    <n v="0"/>
    <n v="18367882.999999985"/>
    <n v="6324"/>
    <n v="6324"/>
    <m/>
    <n v="0"/>
    <m/>
    <n v="6004"/>
    <m/>
    <n v="0"/>
    <n v="20405316.500000019"/>
    <n v="6474"/>
    <n v="4476"/>
    <n v="0"/>
    <n v="6324"/>
    <n v="6474"/>
    <n v="0"/>
    <s v=""/>
    <n v="6324"/>
    <n v="2018"/>
    <n v="6474"/>
    <n v="2022"/>
    <s v=""/>
    <n v="6474"/>
    <n v="6474"/>
    <s v="Increasing"/>
    <m/>
    <m/>
    <m/>
    <m/>
    <n v="0"/>
    <n v="3.442966181785895"/>
    <n v="3.1727025650398484"/>
    <n v="3.1727025650398484"/>
    <x v="1"/>
  </r>
  <r>
    <s v="Malawi"/>
    <x v="29"/>
    <n v="15581256.5"/>
    <x v="25"/>
    <n v="0"/>
    <n v="16024775.499999996"/>
    <n v="48"/>
    <m/>
    <n v="0"/>
    <m/>
    <n v="0"/>
    <m/>
    <n v="568"/>
    <m/>
    <n v="0"/>
    <n v="18367882.999999985"/>
    <n v="0"/>
    <n v="0"/>
    <m/>
    <n v="0"/>
    <m/>
    <n v="0"/>
    <m/>
    <n v="0"/>
    <n v="20405316.500000019"/>
    <n v="616"/>
    <n v="0"/>
    <n v="48"/>
    <n v="568"/>
    <n v="616"/>
    <n v="48"/>
    <n v="2013"/>
    <n v="0"/>
    <s v=""/>
    <n v="616"/>
    <n v="2022"/>
    <s v=""/>
    <n v="616"/>
    <n v="616"/>
    <s v="Increasing"/>
    <m/>
    <m/>
    <m/>
    <m/>
    <n v="2.9953617758950828E-2"/>
    <n v="0"/>
    <n v="0.30188210998834514"/>
    <n v="0.30188210998834514"/>
    <x v="1"/>
  </r>
  <r>
    <s v="Malawi"/>
    <x v="29"/>
    <n v="15581257.5"/>
    <x v="26"/>
    <n v="0"/>
    <n v="16024775.499999996"/>
    <n v="0"/>
    <m/>
    <n v="0"/>
    <m/>
    <n v="0"/>
    <m/>
    <n v="0"/>
    <m/>
    <n v="0"/>
    <n v="18367882.999999985"/>
    <n v="0"/>
    <n v="0"/>
    <m/>
    <n v="0"/>
    <m/>
    <n v="0"/>
    <m/>
    <n v="0"/>
    <n v="20405316.500000019"/>
    <n v="0"/>
    <n v="0"/>
    <n v="0"/>
    <n v="0"/>
    <n v="0"/>
    <n v="0"/>
    <s v=""/>
    <n v="0"/>
    <s v=""/>
    <n v="0"/>
    <s v=""/>
    <s v=""/>
    <n v="0"/>
    <n v="0"/>
    <s v="No change"/>
    <m/>
    <m/>
    <m/>
    <m/>
    <n v="0"/>
    <n v="0"/>
    <n v="0"/>
    <n v="0"/>
    <x v="1"/>
  </r>
  <r>
    <s v="Malawi"/>
    <x v="29"/>
    <n v="15581258.5"/>
    <x v="27"/>
    <n v="0"/>
    <n v="16024775.499999996"/>
    <n v="48"/>
    <m/>
    <n v="0"/>
    <m/>
    <n v="0"/>
    <m/>
    <n v="568"/>
    <m/>
    <n v="0"/>
    <n v="18367882.999999985"/>
    <n v="0"/>
    <n v="0"/>
    <m/>
    <n v="0"/>
    <m/>
    <n v="0"/>
    <m/>
    <n v="0"/>
    <n v="20405316.500000019"/>
    <n v="0"/>
    <n v="0"/>
    <n v="48"/>
    <n v="568"/>
    <n v="0"/>
    <n v="48"/>
    <n v="2013"/>
    <n v="0"/>
    <s v=""/>
    <n v="0"/>
    <s v=""/>
    <s v=""/>
    <n v="0"/>
    <n v="0"/>
    <s v="No change"/>
    <m/>
    <m/>
    <m/>
    <m/>
    <n v="2.9953617758950828E-2"/>
    <n v="0"/>
    <n v="0"/>
    <n v="0"/>
    <x v="1"/>
  </r>
  <r>
    <s v="Malawi"/>
    <x v="29"/>
    <n v="15581259.5"/>
    <x v="28"/>
    <n v="0"/>
    <n v="16024775.499999996"/>
    <n v="170"/>
    <m/>
    <n v="0"/>
    <m/>
    <n v="0"/>
    <m/>
    <n v="0"/>
    <m/>
    <n v="0"/>
    <n v="18367882.999999985"/>
    <n v="387"/>
    <n v="387"/>
    <m/>
    <n v="0"/>
    <m/>
    <n v="151"/>
    <m/>
    <n v="0"/>
    <n v="20405316.500000019"/>
    <n v="111"/>
    <n v="111"/>
    <n v="170"/>
    <n v="387"/>
    <n v="151"/>
    <n v="170"/>
    <n v="2013"/>
    <n v="387"/>
    <n v="2018"/>
    <n v="111"/>
    <n v="2022"/>
    <s v="Adjust"/>
    <n v="122.98752916224815"/>
    <n v="387"/>
    <s v="Decreasing"/>
    <m/>
    <m/>
    <m/>
    <m/>
    <n v="0.10608572956295084"/>
    <n v="0.21069385078291294"/>
    <n v="6.0272296762585401E-2"/>
    <n v="0.18965645546345711"/>
    <x v="0"/>
  </r>
  <r>
    <s v="Malawi"/>
    <x v="29"/>
    <n v="15581260.5"/>
    <x v="29"/>
    <n v="0"/>
    <n v="16024775.499999996"/>
    <n v="0"/>
    <m/>
    <n v="0"/>
    <m/>
    <n v="0"/>
    <m/>
    <n v="218"/>
    <m/>
    <n v="0"/>
    <n v="18367882.999999985"/>
    <n v="234"/>
    <n v="276"/>
    <m/>
    <n v="0"/>
    <m/>
    <n v="600"/>
    <m/>
    <n v="0"/>
    <n v="20405316.500000019"/>
    <n v="710"/>
    <n v="276"/>
    <n v="0"/>
    <n v="234"/>
    <n v="710"/>
    <n v="0"/>
    <s v=""/>
    <n v="276"/>
    <s v="2018 (triag)"/>
    <n v="710"/>
    <n v="2022"/>
    <s v=""/>
    <n v="710"/>
    <n v="710"/>
    <s v="Increasing"/>
    <m/>
    <m/>
    <m/>
    <m/>
    <n v="0"/>
    <n v="0.15026228117851154"/>
    <n v="0.34794853586319002"/>
    <n v="0.34794853586319002"/>
    <x v="1"/>
  </r>
  <r>
    <s v="Malawi"/>
    <x v="29"/>
    <n v="15581261.5"/>
    <x v="30"/>
    <n v="0"/>
    <n v="16024775.499999996"/>
    <n v="0"/>
    <m/>
    <n v="0"/>
    <m/>
    <n v="0"/>
    <m/>
    <n v="0"/>
    <m/>
    <n v="0"/>
    <n v="18367882.999999985"/>
    <n v="112"/>
    <n v="112"/>
    <m/>
    <n v="0"/>
    <m/>
    <n v="149"/>
    <m/>
    <n v="0"/>
    <n v="20405316.500000019"/>
    <n v="91"/>
    <n v="36"/>
    <n v="0"/>
    <n v="112"/>
    <n v="149"/>
    <n v="0"/>
    <s v=""/>
    <n v="112"/>
    <n v="2018"/>
    <n v="91"/>
    <n v="2022"/>
    <s v="Adjust"/>
    <n v="100.82761399787913"/>
    <n v="112"/>
    <s v="Decreasing"/>
    <m/>
    <m/>
    <m/>
    <m/>
    <n v="0"/>
    <n v="6.0975998159395993E-2"/>
    <n v="4.9412423472029475E-2"/>
    <n v="5.4887656361517302E-2"/>
    <x v="1"/>
  </r>
  <r>
    <s v="Malawi"/>
    <x v="29"/>
    <n v="15581262.5"/>
    <x v="31"/>
    <n v="0"/>
    <n v="16024775.499999996"/>
    <n v="0"/>
    <m/>
    <n v="0"/>
    <m/>
    <n v="0"/>
    <m/>
    <n v="0"/>
    <m/>
    <n v="0"/>
    <n v="18367882.999999985"/>
    <n v="0"/>
    <n v="76"/>
    <m/>
    <n v="0"/>
    <m/>
    <n v="204"/>
    <m/>
    <n v="0"/>
    <n v="20405316.500000019"/>
    <n v="173"/>
    <n v="76"/>
    <n v="0"/>
    <n v="0"/>
    <n v="204"/>
    <n v="0"/>
    <s v=""/>
    <n v="76"/>
    <s v="2018 (triag)"/>
    <n v="173"/>
    <n v="2022"/>
    <s v=""/>
    <n v="173"/>
    <n v="173"/>
    <s v="Increasing"/>
    <m/>
    <m/>
    <m/>
    <m/>
    <n v="0"/>
    <n v="4.1376570179590136E-2"/>
    <n v="8.478182634412941E-2"/>
    <n v="8.478182634412941E-2"/>
    <x v="1"/>
  </r>
  <r>
    <s v="Malawi"/>
    <x v="29"/>
    <n v="15581263.5"/>
    <x v="32"/>
    <n v="0"/>
    <n v="16024775.499999996"/>
    <n v="0"/>
    <m/>
    <n v="0"/>
    <m/>
    <n v="0"/>
    <m/>
    <n v="0"/>
    <m/>
    <n v="0"/>
    <n v="18367882.999999985"/>
    <n v="0"/>
    <n v="0"/>
    <m/>
    <n v="0"/>
    <m/>
    <n v="0"/>
    <m/>
    <n v="0"/>
    <n v="20405316.500000019"/>
    <n v="11"/>
    <n v="0"/>
    <n v="0"/>
    <n v="0"/>
    <n v="11"/>
    <n v="0"/>
    <s v=""/>
    <n v="0"/>
    <s v=""/>
    <n v="11"/>
    <n v="2022"/>
    <s v=""/>
    <n v="11"/>
    <n v="11"/>
    <s v="Increasing"/>
    <m/>
    <m/>
    <m/>
    <m/>
    <n v="0"/>
    <n v="0"/>
    <n v="5.3907519640775921E-3"/>
    <n v="5.3907519640775921E-3"/>
    <x v="1"/>
  </r>
  <r>
    <s v="Namibia"/>
    <x v="30"/>
    <n v="2167470.0000000023"/>
    <x v="19"/>
    <n v="0"/>
    <n v="2204510.0000000005"/>
    <n v="0"/>
    <n v="2243000.9999999991"/>
    <n v="0"/>
    <n v="2282703.9999999995"/>
    <n v="0"/>
    <n v="2323352"/>
    <n v="0"/>
    <n v="2364533.5000000009"/>
    <n v="1421"/>
    <n v="2405680.5000000005"/>
    <n v="806"/>
    <n v="1445"/>
    <n v="2446644.4999999977"/>
    <n v="900"/>
    <n v="2489097.9999999991"/>
    <n v="1036"/>
    <n v="2530150.5000000014"/>
    <n v="1181"/>
    <n v="2567012.4999999995"/>
    <n v="1597"/>
    <n v="1445"/>
    <n v="0"/>
    <n v="1421"/>
    <n v="1597"/>
    <n v="0"/>
    <s v=""/>
    <n v="1445"/>
    <s v="2018 (triag)"/>
    <n v="1597"/>
    <n v="2022"/>
    <s v=""/>
    <n v="1597"/>
    <n v="1597"/>
    <s v="Increasing"/>
    <m/>
    <m/>
    <m/>
    <m/>
    <n v="0"/>
    <n v="6.0066164230869381"/>
    <n v="6.2212396706287967"/>
    <n v="6.2212396706287967"/>
    <x v="1"/>
  </r>
  <r>
    <s v="Namibia"/>
    <x v="30"/>
    <n v="2167471"/>
    <x v="20"/>
    <n v="0"/>
    <n v="2204510.0000000005"/>
    <n v="0"/>
    <m/>
    <n v="0"/>
    <m/>
    <n v="0"/>
    <m/>
    <n v="0"/>
    <m/>
    <n v="0"/>
    <n v="2405680.5000000005"/>
    <n v="806"/>
    <n v="1044"/>
    <m/>
    <n v="900"/>
    <m/>
    <n v="1036"/>
    <m/>
    <n v="1181"/>
    <n v="2567012.4999999995"/>
    <n v="1336"/>
    <n v="1044"/>
    <n v="0"/>
    <n v="900"/>
    <n v="1336"/>
    <n v="0"/>
    <s v=""/>
    <n v="1044"/>
    <s v="2018 (triag)"/>
    <n v="1336"/>
    <n v="2022"/>
    <s v=""/>
    <n v="1336"/>
    <n v="1336"/>
    <s v="Increasing"/>
    <m/>
    <m/>
    <m/>
    <m/>
    <n v="0"/>
    <n v="4.3397284053306322"/>
    <n v="5.2044935503820113"/>
    <n v="5.2044935503820113"/>
    <x v="1"/>
  </r>
  <r>
    <s v="Namibia"/>
    <x v="30"/>
    <n v="2167472"/>
    <x v="21"/>
    <n v="0"/>
    <n v="2204510.0000000005"/>
    <n v="0"/>
    <m/>
    <n v="0"/>
    <m/>
    <n v="0"/>
    <m/>
    <n v="0"/>
    <m/>
    <n v="0"/>
    <n v="2405680.5000000005"/>
    <n v="0"/>
    <n v="401"/>
    <m/>
    <n v="0"/>
    <m/>
    <n v="0"/>
    <m/>
    <n v="0"/>
    <n v="2567012.4999999995"/>
    <n v="58"/>
    <n v="401"/>
    <n v="0"/>
    <n v="0"/>
    <n v="58"/>
    <n v="0"/>
    <s v=""/>
    <n v="401"/>
    <s v="2018 (triag)"/>
    <n v="58"/>
    <n v="2022"/>
    <s v="Adjust"/>
    <n v="87.857332293291734"/>
    <n v="401"/>
    <s v="Decreasing"/>
    <m/>
    <m/>
    <m/>
    <m/>
    <n v="0"/>
    <n v="1.6668880177563061"/>
    <n v="0.34225517909745962"/>
    <n v="1.5621271809155588"/>
    <x v="0"/>
  </r>
  <r>
    <s v="Namibia"/>
    <x v="30"/>
    <n v="2167473"/>
    <x v="22"/>
    <n v="0"/>
    <n v="2204510.0000000005"/>
    <n v="4110"/>
    <m/>
    <n v="4212"/>
    <m/>
    <n v="4365"/>
    <m/>
    <n v="4816"/>
    <m/>
    <n v="4853"/>
    <n v="2405680.5000000005"/>
    <n v="5307"/>
    <n v="12956"/>
    <m/>
    <n v="5903"/>
    <m/>
    <n v="6440"/>
    <m/>
    <n v="7166"/>
    <n v="2567012.4999999995"/>
    <n v="10271"/>
    <n v="12956"/>
    <n v="4365"/>
    <n v="5903"/>
    <n v="10271"/>
    <n v="4110"/>
    <n v="2013"/>
    <n v="12956"/>
    <s v="2018 (triag)"/>
    <n v="10271"/>
    <n v="2022"/>
    <s v="Adjust"/>
    <n v="15558.321723868956"/>
    <n v="15558.321723868956"/>
    <s v="Increasing"/>
    <m/>
    <m/>
    <m/>
    <m/>
    <n v="18.643598804269427"/>
    <n v="53.855863237034164"/>
    <n v="60.6086714570691"/>
    <n v="60.6086714570691"/>
    <x v="1"/>
  </r>
  <r>
    <s v="Namibia"/>
    <x v="30"/>
    <n v="2167474"/>
    <x v="23"/>
    <n v="0"/>
    <n v="2204510.0000000005"/>
    <n v="2042"/>
    <m/>
    <n v="2094"/>
    <m/>
    <n v="2176"/>
    <m/>
    <n v="2358"/>
    <m/>
    <n v="2314"/>
    <n v="2405680.5000000005"/>
    <n v="5263"/>
    <n v="8719"/>
    <m/>
    <n v="5859"/>
    <m/>
    <n v="6396"/>
    <m/>
    <n v="7121"/>
    <n v="2567012.4999999995"/>
    <n v="8560"/>
    <n v="8719"/>
    <n v="2176"/>
    <n v="5859"/>
    <n v="8560"/>
    <n v="2042"/>
    <n v="2013"/>
    <n v="8719"/>
    <s v="2018 (triag)"/>
    <n v="8560"/>
    <n v="2022"/>
    <s v="Adjust"/>
    <n v="12966.53042121685"/>
    <n v="12966.53042121685"/>
    <s v="Increasing"/>
    <m/>
    <m/>
    <m/>
    <m/>
    <n v="9.2628293815859291"/>
    <n v="36.243383109269907"/>
    <n v="50.512143673694041"/>
    <n v="50.512143673694041"/>
    <x v="1"/>
  </r>
  <r>
    <s v="Namibia"/>
    <x v="30"/>
    <n v="2167475"/>
    <x v="24"/>
    <n v="0"/>
    <n v="2204510.0000000005"/>
    <n v="2068"/>
    <m/>
    <n v="2118"/>
    <m/>
    <n v="2189"/>
    <m/>
    <n v="2458"/>
    <m/>
    <n v="2539"/>
    <n v="2405680.5000000005"/>
    <n v="44"/>
    <n v="4237"/>
    <m/>
    <n v="44"/>
    <m/>
    <n v="44"/>
    <m/>
    <n v="45"/>
    <n v="2567012.4999999995"/>
    <n v="45"/>
    <n v="4237"/>
    <n v="2189"/>
    <n v="2539"/>
    <n v="45"/>
    <n v="2068"/>
    <n v="2013"/>
    <n v="4237"/>
    <s v="2018 (triag)"/>
    <n v="45"/>
    <n v="2021"/>
    <s v="Adjust"/>
    <n v="68.165171606864277"/>
    <n v="4237"/>
    <s v="Decreasing"/>
    <m/>
    <m/>
    <m/>
    <m/>
    <n v="9.3807694226834961"/>
    <n v="17.612480127764261"/>
    <n v="0.26554281136871866"/>
    <n v="16.505568243239956"/>
    <x v="0"/>
  </r>
  <r>
    <s v="Namibia"/>
    <x v="30"/>
    <n v="2167476"/>
    <x v="25"/>
    <n v="0"/>
    <n v="2204510.0000000005"/>
    <n v="0"/>
    <m/>
    <n v="0"/>
    <m/>
    <n v="0"/>
    <m/>
    <n v="0"/>
    <m/>
    <n v="0"/>
    <n v="2405680.5000000005"/>
    <n v="5"/>
    <n v="5"/>
    <m/>
    <n v="5"/>
    <m/>
    <n v="5"/>
    <m/>
    <n v="6"/>
    <n v="2567012.4999999995"/>
    <n v="17"/>
    <n v="0"/>
    <n v="0"/>
    <n v="5"/>
    <n v="17"/>
    <n v="0"/>
    <s v=""/>
    <n v="5"/>
    <n v="2018"/>
    <n v="17"/>
    <n v="2022"/>
    <s v=""/>
    <n v="17"/>
    <n v="17"/>
    <s v="Increasing"/>
    <m/>
    <m/>
    <m/>
    <m/>
    <n v="0"/>
    <n v="2.0784139872273143E-2"/>
    <n v="6.6224843081208226E-2"/>
    <n v="6.6224843081208226E-2"/>
    <x v="1"/>
  </r>
  <r>
    <s v="Namibia"/>
    <x v="30"/>
    <n v="2167477"/>
    <x v="26"/>
    <n v="0"/>
    <n v="2204510.0000000005"/>
    <n v="0"/>
    <m/>
    <n v="0"/>
    <m/>
    <n v="0"/>
    <m/>
    <n v="0"/>
    <m/>
    <n v="0"/>
    <n v="2405680.5000000005"/>
    <n v="5"/>
    <n v="5"/>
    <m/>
    <n v="5"/>
    <m/>
    <n v="5"/>
    <m/>
    <n v="6"/>
    <n v="2567012.4999999995"/>
    <n v="7"/>
    <n v="0"/>
    <n v="0"/>
    <n v="5"/>
    <n v="7"/>
    <n v="0"/>
    <s v=""/>
    <n v="5"/>
    <n v="2018"/>
    <n v="7"/>
    <n v="2022"/>
    <s v=""/>
    <n v="7"/>
    <n v="7"/>
    <s v="Increasing"/>
    <m/>
    <m/>
    <m/>
    <m/>
    <n v="0"/>
    <n v="2.0784139872273143E-2"/>
    <n v="2.726905303343868E-2"/>
    <n v="2.726905303343868E-2"/>
    <x v="1"/>
  </r>
  <r>
    <s v="Namibia"/>
    <x v="30"/>
    <n v="2167478"/>
    <x v="27"/>
    <n v="0"/>
    <n v="2204510.0000000005"/>
    <n v="0"/>
    <m/>
    <n v="0"/>
    <m/>
    <n v="0"/>
    <m/>
    <n v="0"/>
    <m/>
    <n v="0"/>
    <n v="2405680.5000000005"/>
    <n v="0"/>
    <n v="0"/>
    <m/>
    <n v="0"/>
    <m/>
    <n v="0"/>
    <m/>
    <n v="0"/>
    <n v="2567012.4999999995"/>
    <n v="0"/>
    <n v="0"/>
    <n v="0"/>
    <n v="0"/>
    <n v="0"/>
    <n v="0"/>
    <s v=""/>
    <n v="0"/>
    <s v=""/>
    <n v="0"/>
    <s v=""/>
    <s v=""/>
    <n v="0"/>
    <n v="0"/>
    <s v="No change"/>
    <m/>
    <m/>
    <m/>
    <m/>
    <n v="0"/>
    <n v="0"/>
    <n v="0"/>
    <n v="0"/>
    <x v="1"/>
  </r>
  <r>
    <s v="Namibia"/>
    <x v="30"/>
    <n v="2167479"/>
    <x v="28"/>
    <n v="0"/>
    <n v="2204510.0000000005"/>
    <n v="0"/>
    <m/>
    <n v="0"/>
    <m/>
    <n v="0"/>
    <m/>
    <n v="0"/>
    <m/>
    <n v="0"/>
    <n v="2405680.5000000005"/>
    <n v="464"/>
    <n v="598"/>
    <m/>
    <n v="514"/>
    <m/>
    <n v="546"/>
    <m/>
    <n v="603"/>
    <n v="2567012.4999999995"/>
    <n v="655"/>
    <n v="598"/>
    <n v="0"/>
    <n v="514"/>
    <n v="655"/>
    <n v="0"/>
    <s v=""/>
    <n v="598"/>
    <s v="2018 (triag)"/>
    <n v="655"/>
    <n v="2022"/>
    <s v=""/>
    <n v="655"/>
    <n v="655"/>
    <s v="Increasing"/>
    <m/>
    <m/>
    <m/>
    <m/>
    <n v="0"/>
    <n v="2.4857831287238681"/>
    <n v="2.5516042481289052"/>
    <n v="2.5516042481289052"/>
    <x v="1"/>
  </r>
  <r>
    <s v="Namibia"/>
    <x v="30"/>
    <n v="2167480"/>
    <x v="29"/>
    <n v="0"/>
    <n v="2204510.0000000005"/>
    <n v="0"/>
    <m/>
    <n v="0"/>
    <m/>
    <n v="0"/>
    <m/>
    <n v="0"/>
    <m/>
    <n v="0"/>
    <n v="2405680.5000000005"/>
    <n v="226"/>
    <n v="309"/>
    <m/>
    <n v="300"/>
    <m/>
    <n v="338"/>
    <m/>
    <n v="372"/>
    <n v="2567012.4999999995"/>
    <n v="402"/>
    <n v="309"/>
    <n v="0"/>
    <n v="300"/>
    <n v="402"/>
    <n v="0"/>
    <s v=""/>
    <n v="309"/>
    <s v="2018 (triag)"/>
    <n v="402"/>
    <n v="2022"/>
    <s v=""/>
    <n v="402"/>
    <n v="402"/>
    <s v="Increasing"/>
    <m/>
    <m/>
    <m/>
    <m/>
    <n v="0"/>
    <n v="1.2844598441064803"/>
    <n v="1.5660227599203358"/>
    <n v="1.5660227599203358"/>
    <x v="1"/>
  </r>
  <r>
    <s v="Namibia"/>
    <x v="30"/>
    <n v="2167481"/>
    <x v="30"/>
    <n v="0"/>
    <n v="2204510.0000000005"/>
    <n v="0"/>
    <m/>
    <n v="68"/>
    <m/>
    <n v="0"/>
    <m/>
    <n v="0"/>
    <m/>
    <n v="0"/>
    <n v="2405680.5000000005"/>
    <n v="87"/>
    <n v="181"/>
    <m/>
    <n v="117"/>
    <m/>
    <n v="138"/>
    <m/>
    <n v="161"/>
    <n v="2567012.4999999995"/>
    <n v="224"/>
    <n v="181"/>
    <n v="68"/>
    <n v="117"/>
    <n v="224"/>
    <n v="68"/>
    <n v="2014"/>
    <n v="181"/>
    <s v="2018 (triag)"/>
    <n v="224"/>
    <n v="2022"/>
    <s v=""/>
    <n v="224"/>
    <n v="224"/>
    <s v="Increasing"/>
    <m/>
    <m/>
    <m/>
    <m/>
    <n v="0.30845856902440899"/>
    <n v="0.75238586337628777"/>
    <n v="0.87260969707003777"/>
    <n v="0.87260969707003777"/>
    <x v="1"/>
  </r>
  <r>
    <s v="Namibia"/>
    <x v="30"/>
    <n v="2167482"/>
    <x v="31"/>
    <n v="0"/>
    <n v="2204510.0000000005"/>
    <n v="0"/>
    <m/>
    <n v="0"/>
    <m/>
    <n v="0"/>
    <m/>
    <n v="0"/>
    <m/>
    <n v="0"/>
    <n v="2405680.5000000005"/>
    <n v="41"/>
    <n v="108"/>
    <m/>
    <n v="43"/>
    <m/>
    <n v="43"/>
    <m/>
    <n v="48"/>
    <n v="2567012.4999999995"/>
    <n v="104"/>
    <n v="108"/>
    <n v="0"/>
    <n v="43"/>
    <n v="104"/>
    <n v="0"/>
    <s v=""/>
    <n v="108"/>
    <s v="2018 (triag)"/>
    <n v="104"/>
    <n v="2022"/>
    <s v="Adjust"/>
    <n v="157.53728549141965"/>
    <n v="157.53728549141965"/>
    <s v="Increasing"/>
    <m/>
    <m/>
    <m/>
    <m/>
    <n v="0"/>
    <n v="0.44893742124109987"/>
    <n v="0.61369894182992757"/>
    <n v="0.61369894182992757"/>
    <x v="1"/>
  </r>
  <r>
    <s v="Namibia"/>
    <x v="30"/>
    <n v="2167483"/>
    <x v="32"/>
    <n v="0"/>
    <n v="2204510.0000000005"/>
    <n v="0"/>
    <m/>
    <n v="0"/>
    <m/>
    <n v="0"/>
    <m/>
    <n v="0"/>
    <m/>
    <n v="0"/>
    <n v="2405680.5000000005"/>
    <n v="0"/>
    <n v="0"/>
    <m/>
    <n v="0"/>
    <m/>
    <n v="0"/>
    <m/>
    <n v="0"/>
    <n v="2567012.4999999995"/>
    <n v="13"/>
    <n v="0"/>
    <n v="0"/>
    <n v="0"/>
    <n v="13"/>
    <n v="0"/>
    <s v=""/>
    <n v="0"/>
    <s v=""/>
    <n v="13"/>
    <n v="2022"/>
    <s v=""/>
    <n v="13"/>
    <n v="13"/>
    <s v="Increasing"/>
    <m/>
    <m/>
    <m/>
    <m/>
    <n v="0"/>
    <n v="0"/>
    <n v="5.0642527062100408E-2"/>
    <n v="5.0642527062100408E-2"/>
    <x v="1"/>
  </r>
  <r>
    <s v="Niger"/>
    <x v="31"/>
    <n v="17954407.000000004"/>
    <x v="19"/>
    <n v="952"/>
    <n v="18653199"/>
    <n v="946"/>
    <n v="19372013.999999993"/>
    <n v="523"/>
    <n v="20128123.999999989"/>
    <n v="634"/>
    <n v="20921743.000000011"/>
    <n v="681"/>
    <n v="21737922.000000011"/>
    <n v="472"/>
    <n v="22577057.999999996"/>
    <n v="818"/>
    <n v="1065"/>
    <n v="23443392.999999978"/>
    <n v="888"/>
    <n v="24333638.499999985"/>
    <n v="835"/>
    <n v="25252721.999999989"/>
    <n v="0"/>
    <n v="26207976.5"/>
    <n v="614"/>
    <n v="1065"/>
    <n v="952"/>
    <n v="888"/>
    <n v="835"/>
    <n v="946"/>
    <n v="2013"/>
    <n v="1065"/>
    <s v="2018 (triag)"/>
    <n v="614"/>
    <n v="2022"/>
    <s v="Adjust"/>
    <n v="705.66936761273496"/>
    <n v="1065"/>
    <s v="Decreasing"/>
    <m/>
    <m/>
    <m/>
    <m/>
    <n v="0.50715161511974438"/>
    <n v="0.47171779423164883"/>
    <n v="0.2692574787728213"/>
    <n v="0.40636483324075018"/>
    <x v="0"/>
  </r>
  <r>
    <s v="Niger"/>
    <x v="31"/>
    <n v="17954408"/>
    <x v="20"/>
    <n v="0"/>
    <n v="18653199"/>
    <n v="0"/>
    <m/>
    <n v="0"/>
    <m/>
    <n v="0"/>
    <m/>
    <n v="0"/>
    <m/>
    <n v="0"/>
    <n v="22577057.999999996"/>
    <n v="0"/>
    <n v="1065"/>
    <m/>
    <n v="0"/>
    <m/>
    <n v="0"/>
    <m/>
    <n v="0"/>
    <n v="26207976.5"/>
    <n v="316"/>
    <n v="1065"/>
    <n v="0"/>
    <n v="0"/>
    <n v="316"/>
    <n v="0"/>
    <s v=""/>
    <n v="1065"/>
    <s v="2018 (triag)"/>
    <n v="316"/>
    <n v="2022"/>
    <s v="Adjust"/>
    <n v="363.17837160525119"/>
    <n v="1065"/>
    <s v="Decreasing"/>
    <m/>
    <m/>
    <m/>
    <m/>
    <n v="0"/>
    <n v="0.47171779423164883"/>
    <n v="0.13857551024790149"/>
    <n v="0.40636483324075018"/>
    <x v="0"/>
  </r>
  <r>
    <s v="Niger"/>
    <x v="31"/>
    <n v="17954409"/>
    <x v="21"/>
    <n v="0"/>
    <n v="18653199"/>
    <n v="0"/>
    <m/>
    <n v="0"/>
    <m/>
    <n v="0"/>
    <m/>
    <n v="0"/>
    <m/>
    <n v="0"/>
    <n v="22577057.999999996"/>
    <n v="0"/>
    <n v="0"/>
    <m/>
    <n v="0"/>
    <m/>
    <n v="0"/>
    <m/>
    <n v="0"/>
    <n v="26207976.5"/>
    <n v="298"/>
    <n v="0"/>
    <n v="0"/>
    <n v="0"/>
    <n v="298"/>
    <n v="0"/>
    <s v=""/>
    <n v="0"/>
    <s v=""/>
    <n v="298"/>
    <n v="2022"/>
    <s v=""/>
    <n v="298"/>
    <n v="298"/>
    <s v="Increasing"/>
    <m/>
    <m/>
    <m/>
    <m/>
    <n v="0"/>
    <n v="0"/>
    <n v="0.11370584066267"/>
    <n v="0.11370584066267"/>
    <x v="1"/>
  </r>
  <r>
    <s v="Niger"/>
    <x v="31"/>
    <n v="17954410"/>
    <x v="22"/>
    <n v="0"/>
    <n v="18653199"/>
    <n v="3533"/>
    <m/>
    <n v="4940"/>
    <m/>
    <n v="3253"/>
    <m/>
    <n v="4746"/>
    <m/>
    <n v="0"/>
    <n v="22577057.999999996"/>
    <n v="4107"/>
    <n v="4107"/>
    <m/>
    <n v="0"/>
    <m/>
    <n v="0"/>
    <m/>
    <n v="0"/>
    <n v="26207976.5"/>
    <n v="4565"/>
    <n v="3581"/>
    <n v="4940"/>
    <n v="4746"/>
    <n v="4565"/>
    <n v="3533"/>
    <n v="2013"/>
    <n v="4107"/>
    <n v="2018"/>
    <n v="4565"/>
    <n v="2022"/>
    <s v=""/>
    <n v="4565"/>
    <n v="4565"/>
    <s v="Increasing"/>
    <m/>
    <m/>
    <m/>
    <m/>
    <n v="1.894045091139595"/>
    <n v="1.8191032684595134"/>
    <n v="1.7418361161915725"/>
    <n v="1.7418361161915725"/>
    <x v="1"/>
  </r>
  <r>
    <s v="Niger"/>
    <x v="31"/>
    <n v="17954411"/>
    <x v="23"/>
    <n v="0"/>
    <n v="18653199"/>
    <n v="0"/>
    <m/>
    <n v="0"/>
    <m/>
    <n v="0"/>
    <m/>
    <n v="0"/>
    <m/>
    <n v="0"/>
    <n v="22577057.999999996"/>
    <n v="2398"/>
    <n v="2398"/>
    <m/>
    <n v="0"/>
    <m/>
    <n v="0"/>
    <m/>
    <n v="0"/>
    <n v="26207976.5"/>
    <n v="4565"/>
    <n v="2118"/>
    <n v="0"/>
    <n v="2398"/>
    <n v="4565"/>
    <n v="0"/>
    <s v=""/>
    <n v="2398"/>
    <n v="2018"/>
    <n v="4565"/>
    <n v="2022"/>
    <s v=""/>
    <n v="4565"/>
    <n v="4565"/>
    <s v="Increasing"/>
    <m/>
    <m/>
    <m/>
    <m/>
    <n v="0"/>
    <n v="1.0621401601572713"/>
    <n v="1.7418361161915725"/>
    <n v="1.7418361161915725"/>
    <x v="1"/>
  </r>
  <r>
    <s v="Niger"/>
    <x v="31"/>
    <n v="17954412"/>
    <x v="24"/>
    <n v="0"/>
    <n v="18653199"/>
    <n v="0"/>
    <m/>
    <n v="0"/>
    <m/>
    <n v="0"/>
    <m/>
    <n v="0"/>
    <m/>
    <n v="0"/>
    <n v="22577057.999999996"/>
    <n v="1709"/>
    <n v="1709"/>
    <m/>
    <n v="0"/>
    <m/>
    <n v="0"/>
    <m/>
    <n v="0"/>
    <n v="26207976.5"/>
    <n v="0"/>
    <n v="1463"/>
    <n v="0"/>
    <n v="1709"/>
    <n v="0"/>
    <n v="0"/>
    <s v=""/>
    <n v="1709"/>
    <n v="2018"/>
    <n v="1709"/>
    <n v="2018"/>
    <s v=""/>
    <n v="1709"/>
    <n v="1709"/>
    <s v="No change"/>
    <m/>
    <m/>
    <m/>
    <m/>
    <n v="0"/>
    <n v="0.75696310830224212"/>
    <n v="0.6520915493037015"/>
    <n v="0.6520915493037015"/>
    <x v="1"/>
  </r>
  <r>
    <s v="Niger"/>
    <x v="31"/>
    <n v="17954413"/>
    <x v="25"/>
    <n v="894"/>
    <n v="18653199"/>
    <n v="917"/>
    <m/>
    <n v="959"/>
    <m/>
    <n v="824"/>
    <m/>
    <n v="856"/>
    <m/>
    <n v="0"/>
    <n v="22577057.999999996"/>
    <n v="906"/>
    <n v="906"/>
    <m/>
    <n v="0"/>
    <m/>
    <n v="0"/>
    <m/>
    <n v="0"/>
    <n v="26207976.5"/>
    <n v="718"/>
    <n v="902"/>
    <n v="959"/>
    <n v="906"/>
    <n v="718"/>
    <n v="917"/>
    <n v="2013"/>
    <n v="906"/>
    <n v="2018"/>
    <n v="718"/>
    <n v="2022"/>
    <s v="Adjust"/>
    <n v="825.19642662205808"/>
    <n v="906"/>
    <s v="Decreasing"/>
    <m/>
    <m/>
    <m/>
    <m/>
    <n v="0.49160468400085156"/>
    <n v="0.40129232072664212"/>
    <n v="0.31486460872782684"/>
    <n v="0.34569628067241287"/>
    <x v="1"/>
  </r>
  <r>
    <s v="Niger"/>
    <x v="31"/>
    <n v="17954414"/>
    <x v="26"/>
    <n v="0"/>
    <n v="18653199"/>
    <n v="829"/>
    <m/>
    <n v="947"/>
    <m/>
    <n v="817"/>
    <m/>
    <n v="851"/>
    <m/>
    <n v="0"/>
    <n v="22577057.999999996"/>
    <n v="903"/>
    <n v="903"/>
    <m/>
    <n v="0"/>
    <m/>
    <n v="0"/>
    <m/>
    <n v="0"/>
    <n v="26207976.5"/>
    <n v="718"/>
    <n v="896"/>
    <n v="947"/>
    <n v="903"/>
    <n v="718"/>
    <n v="829"/>
    <n v="2013"/>
    <n v="903"/>
    <n v="2018"/>
    <n v="718"/>
    <n v="2022"/>
    <s v="Adjust"/>
    <n v="825.19642662205808"/>
    <n v="903"/>
    <s v="Decreasing"/>
    <m/>
    <m/>
    <m/>
    <m/>
    <n v="0.4444277895711079"/>
    <n v="0.39996353820767971"/>
    <n v="0.31486460872782684"/>
    <n v="0.34455159100131216"/>
    <x v="1"/>
  </r>
  <r>
    <s v="Niger"/>
    <x v="31"/>
    <n v="17954415"/>
    <x v="27"/>
    <n v="0"/>
    <n v="18653199"/>
    <n v="0"/>
    <m/>
    <n v="12"/>
    <m/>
    <n v="7"/>
    <m/>
    <n v="5"/>
    <m/>
    <n v="0"/>
    <n v="22577057.999999996"/>
    <n v="3"/>
    <n v="6"/>
    <m/>
    <n v="0"/>
    <m/>
    <n v="0"/>
    <m/>
    <n v="0"/>
    <n v="26207976.5"/>
    <n v="0"/>
    <n v="6"/>
    <n v="12"/>
    <n v="5"/>
    <n v="0"/>
    <n v="12"/>
    <n v="2014"/>
    <n v="6"/>
    <s v="2018 (triag)"/>
    <n v="6"/>
    <s v="2018 (triag)"/>
    <s v=""/>
    <n v="6"/>
    <n v="6"/>
    <s v="No change"/>
    <m/>
    <m/>
    <m/>
    <m/>
    <n v="6.4332128767832265E-3"/>
    <n v="2.6575650379247824E-3"/>
    <n v="2.2893793422014094E-3"/>
    <n v="2.2893793422014094E-3"/>
    <x v="1"/>
  </r>
  <r>
    <s v="Niger"/>
    <x v="31"/>
    <n v="17954416"/>
    <x v="28"/>
    <n v="53"/>
    <n v="18653199"/>
    <n v="51"/>
    <m/>
    <n v="0"/>
    <m/>
    <n v="50"/>
    <m/>
    <n v="24"/>
    <m/>
    <n v="0"/>
    <n v="22577057.999999996"/>
    <n v="60"/>
    <n v="60"/>
    <m/>
    <n v="0"/>
    <m/>
    <n v="0"/>
    <m/>
    <n v="0"/>
    <n v="26207976.5"/>
    <n v="43"/>
    <n v="60"/>
    <n v="53"/>
    <n v="60"/>
    <n v="43"/>
    <n v="51"/>
    <n v="2013"/>
    <n v="60"/>
    <n v="2018"/>
    <n v="43"/>
    <n v="2022"/>
    <s v="Adjust"/>
    <n v="49.419841705777856"/>
    <n v="60"/>
    <s v="Decreasing"/>
    <m/>
    <m/>
    <m/>
    <m/>
    <n v="2.7341154726328712E-2"/>
    <n v="2.6575650379247823E-2"/>
    <n v="1.8856794116011915E-2"/>
    <n v="2.2893793422014096E-2"/>
    <x v="1"/>
  </r>
  <r>
    <s v="Niger"/>
    <x v="31"/>
    <n v="17954417"/>
    <x v="29"/>
    <n v="0"/>
    <n v="18653199"/>
    <n v="0"/>
    <m/>
    <n v="0"/>
    <m/>
    <n v="0"/>
    <m/>
    <n v="0"/>
    <m/>
    <n v="0"/>
    <n v="22577057.999999996"/>
    <n v="0"/>
    <n v="0"/>
    <m/>
    <n v="0"/>
    <m/>
    <n v="0"/>
    <m/>
    <n v="0"/>
    <n v="26207976.5"/>
    <n v="4"/>
    <n v="0"/>
    <n v="0"/>
    <n v="0"/>
    <n v="4"/>
    <n v="0"/>
    <s v=""/>
    <n v="0"/>
    <s v=""/>
    <n v="4"/>
    <n v="2022"/>
    <s v=""/>
    <n v="4"/>
    <n v="4"/>
    <s v="Increasing"/>
    <m/>
    <m/>
    <m/>
    <m/>
    <n v="0"/>
    <n v="0"/>
    <n v="1.5262528948009398E-3"/>
    <n v="1.5262528948009398E-3"/>
    <x v="1"/>
  </r>
  <r>
    <s v="Niger"/>
    <x v="31"/>
    <n v="17954418"/>
    <x v="30"/>
    <n v="0"/>
    <n v="18653199"/>
    <n v="30"/>
    <m/>
    <n v="21"/>
    <m/>
    <n v="30"/>
    <m/>
    <n v="18"/>
    <m/>
    <n v="0"/>
    <n v="22577057.999999996"/>
    <n v="30"/>
    <n v="30"/>
    <m/>
    <n v="0"/>
    <m/>
    <n v="0"/>
    <m/>
    <n v="0"/>
    <n v="26207976.5"/>
    <n v="24"/>
    <n v="30"/>
    <n v="30"/>
    <n v="30"/>
    <n v="24"/>
    <n v="30"/>
    <n v="2013"/>
    <n v="30"/>
    <n v="2018"/>
    <n v="24"/>
    <n v="2022"/>
    <s v="Adjust"/>
    <n v="27.583167463689964"/>
    <n v="30"/>
    <s v="Decreasing"/>
    <m/>
    <m/>
    <m/>
    <m/>
    <n v="1.6083032191958065E-2"/>
    <n v="1.3287825189623912E-2"/>
    <n v="1.0524722297308976E-2"/>
    <n v="1.1446896711007048E-2"/>
    <x v="1"/>
  </r>
  <r>
    <s v="Niger"/>
    <x v="31"/>
    <n v="17954419"/>
    <x v="31"/>
    <n v="0"/>
    <n v="18653199"/>
    <n v="0"/>
    <m/>
    <n v="0"/>
    <m/>
    <n v="0"/>
    <m/>
    <n v="0"/>
    <m/>
    <n v="0"/>
    <n v="22577057.999999996"/>
    <n v="0"/>
    <n v="0"/>
    <m/>
    <n v="0"/>
    <m/>
    <n v="0"/>
    <m/>
    <n v="0"/>
    <n v="26207976.5"/>
    <n v="0"/>
    <n v="0"/>
    <n v="0"/>
    <n v="0"/>
    <n v="0"/>
    <n v="0"/>
    <s v=""/>
    <n v="0"/>
    <s v=""/>
    <n v="0"/>
    <s v=""/>
    <s v=""/>
    <n v="0"/>
    <n v="0"/>
    <s v="No change"/>
    <m/>
    <m/>
    <m/>
    <m/>
    <n v="0"/>
    <n v="0"/>
    <n v="0"/>
    <n v="0"/>
    <x v="1"/>
  </r>
  <r>
    <s v="Niger"/>
    <x v="31"/>
    <n v="17954420"/>
    <x v="32"/>
    <n v="0"/>
    <n v="18653199"/>
    <n v="0"/>
    <m/>
    <n v="0"/>
    <m/>
    <n v="0"/>
    <m/>
    <n v="0"/>
    <m/>
    <n v="0"/>
    <n v="22577057.999999996"/>
    <n v="0"/>
    <n v="0"/>
    <m/>
    <n v="0"/>
    <m/>
    <n v="0"/>
    <m/>
    <n v="0"/>
    <n v="26207976.5"/>
    <n v="0"/>
    <n v="0"/>
    <n v="0"/>
    <n v="0"/>
    <n v="0"/>
    <n v="0"/>
    <s v=""/>
    <n v="0"/>
    <s v=""/>
    <n v="0"/>
    <s v=""/>
    <s v=""/>
    <n v="0"/>
    <n v="0"/>
    <s v="No change"/>
    <m/>
    <m/>
    <m/>
    <m/>
    <n v="0"/>
    <n v="0"/>
    <n v="0"/>
    <n v="0"/>
    <x v="1"/>
  </r>
  <r>
    <s v="Nigeria"/>
    <x v="32"/>
    <n v="170075931.5"/>
    <x v="19"/>
    <n v="0"/>
    <n v="174726123.50000006"/>
    <n v="65759"/>
    <n v="179379016.5"/>
    <n v="0"/>
    <n v="183995784.49999991"/>
    <n v="0"/>
    <n v="188666930.99999988"/>
    <n v="83565"/>
    <n v="193495906.50000003"/>
    <n v="0"/>
    <n v="198387623.50000006"/>
    <n v="74543"/>
    <n v="83907"/>
    <n v="203304491.50000006"/>
    <n v="74543"/>
    <n v="208327404.49999994"/>
    <n v="0"/>
    <n v="213401322.49999997"/>
    <n v="84277"/>
    <n v="218541211.50000003"/>
    <n v="86181"/>
    <n v="83907"/>
    <n v="65759"/>
    <n v="83565"/>
    <n v="86181"/>
    <n v="65759"/>
    <n v="2013"/>
    <n v="83907"/>
    <s v="2018 (triag)"/>
    <n v="86181"/>
    <n v="2022"/>
    <s v=""/>
    <n v="86181"/>
    <n v="86181"/>
    <s v="Increasing"/>
    <m/>
    <m/>
    <m/>
    <m/>
    <n v="3.7635471263688842"/>
    <n v="4.229447307230835"/>
    <n v="3.943466745172683"/>
    <n v="3.943466745172683"/>
    <x v="1"/>
  </r>
  <r>
    <s v="Nigeria"/>
    <x v="32"/>
    <n v="170075932.5"/>
    <x v="20"/>
    <n v="0"/>
    <n v="174726123.50000006"/>
    <n v="0"/>
    <m/>
    <n v="0"/>
    <m/>
    <n v="0"/>
    <m/>
    <n v="0"/>
    <m/>
    <n v="0"/>
    <n v="198387623.50000006"/>
    <n v="71508"/>
    <n v="74543"/>
    <m/>
    <n v="0"/>
    <m/>
    <n v="0"/>
    <m/>
    <n v="84277"/>
    <n v="218541211.50000003"/>
    <n v="85719"/>
    <n v="74543"/>
    <n v="0"/>
    <n v="71508"/>
    <n v="85719"/>
    <n v="0"/>
    <s v=""/>
    <n v="74543"/>
    <s v="2018 (triag)"/>
    <n v="85719"/>
    <n v="2022"/>
    <s v=""/>
    <n v="85719"/>
    <n v="85719"/>
    <s v="Increasing"/>
    <m/>
    <m/>
    <m/>
    <m/>
    <n v="0"/>
    <n v="3.757442056358923"/>
    <n v="3.9223265676826355"/>
    <n v="3.9223265676826355"/>
    <x v="1"/>
  </r>
  <r>
    <s v="Nigeria"/>
    <x v="32"/>
    <n v="170075933.5"/>
    <x v="21"/>
    <n v="0"/>
    <n v="174726123.50000006"/>
    <n v="0"/>
    <m/>
    <n v="0"/>
    <m/>
    <n v="0"/>
    <m/>
    <n v="0"/>
    <m/>
    <n v="0"/>
    <n v="198387623.50000006"/>
    <n v="3035"/>
    <n v="9364"/>
    <m/>
    <n v="0"/>
    <m/>
    <n v="0"/>
    <m/>
    <n v="0"/>
    <n v="218541211.50000003"/>
    <n v="462"/>
    <n v="9364"/>
    <n v="0"/>
    <n v="3035"/>
    <n v="462"/>
    <n v="0"/>
    <s v=""/>
    <n v="9364"/>
    <s v="2018 (triag)"/>
    <n v="462"/>
    <n v="2022"/>
    <s v="Adjust"/>
    <n v="530.9759736760318"/>
    <n v="9364"/>
    <s v="Decreasing"/>
    <m/>
    <m/>
    <m/>
    <m/>
    <n v="0"/>
    <n v="0.47200525087191225"/>
    <n v="2.4296377330004493E-2"/>
    <n v="0.42847753683290984"/>
    <x v="0"/>
  </r>
  <r>
    <s v="Nigeria"/>
    <x v="32"/>
    <n v="170075934.5"/>
    <x v="22"/>
    <n v="0"/>
    <n v="174726123.50000006"/>
    <n v="74920"/>
    <m/>
    <n v="0"/>
    <m/>
    <n v="0"/>
    <m/>
    <n v="185101"/>
    <m/>
    <n v="0"/>
    <n v="198387623.50000006"/>
    <n v="110105"/>
    <n v="180709"/>
    <m/>
    <n v="180709"/>
    <m/>
    <n v="0"/>
    <m/>
    <n v="201735"/>
    <n v="218541211.50000003"/>
    <n v="220681"/>
    <n v="180709"/>
    <n v="74920"/>
    <n v="185101"/>
    <n v="220681"/>
    <n v="74920"/>
    <n v="2013"/>
    <n v="180709"/>
    <s v="2018 (triag)"/>
    <n v="220681"/>
    <n v="2022"/>
    <s v=""/>
    <n v="220681"/>
    <n v="220681"/>
    <s v="Increasing"/>
    <m/>
    <m/>
    <m/>
    <m/>
    <n v="4.2878533844425375"/>
    <n v="9.1088847586301149"/>
    <n v="10.097912356452731"/>
    <n v="10.097912356452731"/>
    <x v="1"/>
  </r>
  <r>
    <s v="Nigeria"/>
    <x v="32"/>
    <n v="170075935.5"/>
    <x v="23"/>
    <n v="0"/>
    <n v="174726123.50000006"/>
    <n v="0"/>
    <m/>
    <n v="0"/>
    <m/>
    <n v="0"/>
    <m/>
    <n v="0"/>
    <m/>
    <n v="0"/>
    <n v="198387623.50000006"/>
    <n v="110105"/>
    <n v="180709"/>
    <m/>
    <n v="180709"/>
    <m/>
    <n v="0"/>
    <m/>
    <n v="201735"/>
    <n v="218541211.50000003"/>
    <n v="220681"/>
    <n v="180709"/>
    <n v="0"/>
    <n v="180709"/>
    <n v="220681"/>
    <n v="0"/>
    <s v=""/>
    <n v="180709"/>
    <s v="2018 (triag)"/>
    <n v="220681"/>
    <n v="2022"/>
    <s v=""/>
    <n v="220681"/>
    <n v="220681"/>
    <s v="Increasing"/>
    <m/>
    <m/>
    <m/>
    <m/>
    <n v="0"/>
    <n v="9.1088847586301149"/>
    <n v="10.097912356452731"/>
    <n v="10.097912356452731"/>
    <x v="1"/>
  </r>
  <r>
    <s v="Nigeria"/>
    <x v="32"/>
    <n v="170075936.5"/>
    <x v="24"/>
    <n v="0"/>
    <n v="174726123.50000006"/>
    <n v="0"/>
    <m/>
    <n v="0"/>
    <m/>
    <n v="0"/>
    <m/>
    <n v="0"/>
    <m/>
    <n v="0"/>
    <n v="198387623.50000006"/>
    <n v="0"/>
    <n v="0"/>
    <m/>
    <n v="0"/>
    <m/>
    <n v="0"/>
    <m/>
    <n v="0"/>
    <n v="218541211.50000003"/>
    <n v="0"/>
    <n v="0"/>
    <n v="0"/>
    <n v="0"/>
    <n v="0"/>
    <n v="0"/>
    <s v=""/>
    <n v="0"/>
    <s v=""/>
    <n v="0"/>
    <s v=""/>
    <s v=""/>
    <n v="0"/>
    <n v="0"/>
    <s v="No change"/>
    <m/>
    <m/>
    <m/>
    <m/>
    <n v="0"/>
    <n v="0"/>
    <n v="0"/>
    <n v="0"/>
    <x v="1"/>
  </r>
  <r>
    <s v="Nigeria"/>
    <x v="32"/>
    <n v="170075937.5"/>
    <x v="25"/>
    <n v="0"/>
    <n v="174726123.50000006"/>
    <n v="101275"/>
    <m/>
    <n v="0"/>
    <m/>
    <n v="0"/>
    <m/>
    <n v="141275"/>
    <m/>
    <n v="0"/>
    <n v="198387623.50000006"/>
    <n v="71237"/>
    <n v="120870"/>
    <m/>
    <n v="120870"/>
    <m/>
    <n v="0"/>
    <m/>
    <n v="131922"/>
    <n v="218541211.50000003"/>
    <n v="146787"/>
    <n v="120870"/>
    <n v="101275"/>
    <n v="141275"/>
    <n v="146787"/>
    <n v="101275"/>
    <n v="2013"/>
    <n v="120870"/>
    <s v="2018 (triag)"/>
    <n v="146787"/>
    <n v="2022"/>
    <s v=""/>
    <n v="146787"/>
    <n v="146787"/>
    <s v="Increasing"/>
    <m/>
    <m/>
    <m/>
    <m/>
    <n v="5.7962139817060594"/>
    <n v="6.0926179701930829"/>
    <n v="6.7166736650034533"/>
    <n v="6.7166736650034533"/>
    <x v="1"/>
  </r>
  <r>
    <s v="Nigeria"/>
    <x v="32"/>
    <n v="170075938.5"/>
    <x v="26"/>
    <n v="0"/>
    <n v="174726123.50000006"/>
    <n v="101275"/>
    <m/>
    <n v="0"/>
    <m/>
    <n v="0"/>
    <m/>
    <n v="0"/>
    <m/>
    <n v="0"/>
    <n v="198387623.50000006"/>
    <n v="71237"/>
    <n v="120870"/>
    <m/>
    <n v="120870"/>
    <m/>
    <n v="0"/>
    <m/>
    <n v="131922"/>
    <n v="218541211.50000003"/>
    <n v="146787"/>
    <n v="120870"/>
    <n v="101275"/>
    <n v="120870"/>
    <n v="146787"/>
    <n v="101275"/>
    <n v="2013"/>
    <n v="120870"/>
    <s v="2018 (triag)"/>
    <n v="146787"/>
    <n v="2022"/>
    <s v=""/>
    <n v="146787"/>
    <n v="146787"/>
    <s v="Increasing"/>
    <m/>
    <m/>
    <m/>
    <m/>
    <n v="5.7962139817060594"/>
    <n v="6.0926179701930829"/>
    <n v="6.7166736650034533"/>
    <n v="6.7166736650034533"/>
    <x v="1"/>
  </r>
  <r>
    <s v="Nigeria"/>
    <x v="32"/>
    <n v="170075939.5"/>
    <x v="27"/>
    <n v="0"/>
    <n v="174726123.50000006"/>
    <n v="0"/>
    <m/>
    <n v="0"/>
    <m/>
    <n v="0"/>
    <m/>
    <n v="0"/>
    <m/>
    <n v="0"/>
    <n v="198387623.50000006"/>
    <n v="0"/>
    <n v="0"/>
    <m/>
    <n v="0"/>
    <m/>
    <n v="0"/>
    <m/>
    <n v="0"/>
    <n v="218541211.50000003"/>
    <n v="0"/>
    <n v="0"/>
    <n v="0"/>
    <n v="0"/>
    <n v="0"/>
    <n v="0"/>
    <s v=""/>
    <n v="0"/>
    <s v=""/>
    <n v="0"/>
    <s v=""/>
    <s v=""/>
    <n v="0"/>
    <n v="0"/>
    <s v="No change"/>
    <m/>
    <m/>
    <m/>
    <m/>
    <n v="0"/>
    <n v="0"/>
    <n v="0"/>
    <n v="0"/>
    <x v="1"/>
  </r>
  <r>
    <s v="Nigeria"/>
    <x v="32"/>
    <n v="170075940.5"/>
    <x v="28"/>
    <n v="0"/>
    <n v="174726123.50000006"/>
    <n v="0"/>
    <m/>
    <n v="0"/>
    <m/>
    <n v="20035"/>
    <m/>
    <n v="0"/>
    <m/>
    <n v="0"/>
    <n v="198387623.50000006"/>
    <n v="24668"/>
    <n v="24668"/>
    <m/>
    <n v="24668"/>
    <m/>
    <n v="0"/>
    <m/>
    <n v="17331"/>
    <n v="218541211.50000003"/>
    <n v="18277"/>
    <n v="24668"/>
    <n v="20035"/>
    <n v="24668"/>
    <n v="18277"/>
    <n v="20035"/>
    <n v="2015"/>
    <n v="24668"/>
    <n v="2018"/>
    <n v="18277"/>
    <n v="2022"/>
    <s v="Adjust"/>
    <n v="21005.731322244228"/>
    <n v="24668"/>
    <s v="Decreasing"/>
    <m/>
    <m/>
    <m/>
    <m/>
    <n v="1.1466516625374563"/>
    <n v="1.2434243409342516"/>
    <n v="0.96117941225214742"/>
    <n v="1.1287573556807156"/>
    <x v="1"/>
  </r>
  <r>
    <s v="Nigeria"/>
    <x v="32"/>
    <n v="170075941.5"/>
    <x v="29"/>
    <n v="0"/>
    <n v="174726123.50000006"/>
    <n v="0"/>
    <m/>
    <n v="0"/>
    <m/>
    <n v="0"/>
    <m/>
    <n v="0"/>
    <m/>
    <n v="0"/>
    <n v="198387623.50000006"/>
    <n v="5793"/>
    <n v="5793"/>
    <m/>
    <n v="5793"/>
    <m/>
    <n v="0"/>
    <m/>
    <n v="0"/>
    <n v="218541211.50000003"/>
    <n v="2326"/>
    <n v="0"/>
    <n v="0"/>
    <n v="5793"/>
    <n v="2326"/>
    <n v="0"/>
    <s v=""/>
    <n v="5793"/>
    <n v="2018"/>
    <n v="2326"/>
    <n v="2022"/>
    <s v="Adjust"/>
    <n v="2673.2686466892856"/>
    <n v="5793"/>
    <s v="Decreasing"/>
    <m/>
    <m/>
    <m/>
    <m/>
    <n v="0"/>
    <n v="0.29200410276601746"/>
    <n v="0.12232331963114816"/>
    <n v="0.26507586190442617"/>
    <x v="0"/>
  </r>
  <r>
    <s v="Nigeria"/>
    <x v="32"/>
    <n v="170075942.5"/>
    <x v="30"/>
    <n v="0"/>
    <n v="174726123.50000006"/>
    <n v="0"/>
    <m/>
    <n v="0"/>
    <m/>
    <n v="0"/>
    <m/>
    <n v="4081"/>
    <m/>
    <n v="0"/>
    <n v="198387623.50000006"/>
    <n v="4358"/>
    <n v="4358"/>
    <m/>
    <n v="4358"/>
    <m/>
    <n v="0"/>
    <m/>
    <n v="4358"/>
    <n v="218541211.50000003"/>
    <n v="5048"/>
    <n v="4358"/>
    <n v="0"/>
    <n v="4358"/>
    <n v="5048"/>
    <n v="0"/>
    <s v=""/>
    <n v="4358"/>
    <n v="2018"/>
    <n v="5048"/>
    <n v="2022"/>
    <s v=""/>
    <n v="5048"/>
    <n v="5048"/>
    <s v="Increasing"/>
    <m/>
    <m/>
    <m/>
    <m/>
    <n v="0"/>
    <n v="0.21967096148011464"/>
    <n v="0.23098618175272628"/>
    <n v="0.23098618175272628"/>
    <x v="1"/>
  </r>
  <r>
    <s v="Nigeria"/>
    <x v="32"/>
    <n v="170075943.5"/>
    <x v="31"/>
    <n v="0"/>
    <n v="174726123.50000006"/>
    <n v="0"/>
    <m/>
    <n v="0"/>
    <m/>
    <n v="0"/>
    <m/>
    <n v="0"/>
    <m/>
    <n v="0"/>
    <n v="198387623.50000006"/>
    <n v="19269"/>
    <n v="21129"/>
    <m/>
    <n v="6165"/>
    <m/>
    <n v="0"/>
    <m/>
    <n v="11781"/>
    <n v="218541211.50000003"/>
    <n v="0"/>
    <n v="21129"/>
    <n v="0"/>
    <n v="19269"/>
    <n v="11781"/>
    <n v="0"/>
    <s v=""/>
    <n v="21129"/>
    <s v="2018 (triag)"/>
    <n v="11781"/>
    <n v="2021"/>
    <s v="Adjust"/>
    <n v="13539.887328738811"/>
    <n v="21129"/>
    <s v="Decreasing"/>
    <m/>
    <m/>
    <m/>
    <m/>
    <n v="0"/>
    <n v="1.0650361966758473"/>
    <n v="0.61955762191511465"/>
    <n v="0.96681993547015721"/>
    <x v="0"/>
  </r>
  <r>
    <s v="Nigeria"/>
    <x v="32"/>
    <n v="170075944.5"/>
    <x v="32"/>
    <n v="0"/>
    <n v="174726123.50000006"/>
    <n v="0"/>
    <m/>
    <n v="0"/>
    <m/>
    <n v="0"/>
    <m/>
    <n v="0"/>
    <m/>
    <n v="0"/>
    <n v="198387623.50000006"/>
    <n v="0"/>
    <n v="0"/>
    <m/>
    <n v="267"/>
    <m/>
    <n v="0"/>
    <m/>
    <n v="0"/>
    <n v="218541211.50000003"/>
    <n v="0"/>
    <n v="0"/>
    <n v="0"/>
    <n v="267"/>
    <n v="0"/>
    <n v="0"/>
    <s v=""/>
    <n v="267"/>
    <n v="2019"/>
    <n v="267"/>
    <n v="2019"/>
    <s v=""/>
    <n v="267"/>
    <n v="267"/>
    <s v="No change"/>
    <m/>
    <m/>
    <m/>
    <m/>
    <n v="0"/>
    <n v="1.3458500852498993E-2"/>
    <n v="1.2217375302689761E-2"/>
    <n v="1.2217375302689761E-2"/>
    <x v="1"/>
  </r>
  <r>
    <s v="Rwanda"/>
    <x v="33"/>
    <n v="10840333.999999994"/>
    <x v="19"/>
    <n v="0"/>
    <n v="11101349.499999996"/>
    <n v="1104"/>
    <n v="11368451.500000004"/>
    <n v="1008"/>
    <n v="11642959"/>
    <n v="1284"/>
    <n v="11930899.500000007"/>
    <n v="1431"/>
    <n v="12230339"/>
    <n v="1648"/>
    <n v="12531807.499999998"/>
    <n v="1648"/>
    <n v="1648"/>
    <n v="12835028"/>
    <n v="1492"/>
    <n v="13146361.500000002"/>
    <n v="0"/>
    <n v="13461887.499999998"/>
    <n v="0"/>
    <n v="13776697.499999994"/>
    <n v="1648"/>
    <n v="1350"/>
    <n v="1284"/>
    <n v="1648"/>
    <n v="1648"/>
    <n v="1104"/>
    <n v="2013"/>
    <n v="1648"/>
    <n v="2017"/>
    <n v="1648"/>
    <n v="2022"/>
    <s v=""/>
    <n v="1648"/>
    <n v="1648"/>
    <s v="No change"/>
    <m/>
    <m/>
    <m/>
    <m/>
    <n v="0.99447368988788287"/>
    <n v="1.3150537143185452"/>
    <n v="1.1962228248097926"/>
    <n v="1.1962228248097926"/>
    <x v="1"/>
  </r>
  <r>
    <s v="Rwanda"/>
    <x v="33"/>
    <n v="10840335"/>
    <x v="20"/>
    <n v="0"/>
    <n v="11101349.499999996"/>
    <n v="609"/>
    <m/>
    <n v="834"/>
    <m/>
    <n v="1042"/>
    <m/>
    <n v="1107"/>
    <m/>
    <n v="1114"/>
    <n v="12531807.499999998"/>
    <n v="1114"/>
    <n v="1114"/>
    <m/>
    <n v="0"/>
    <m/>
    <n v="0"/>
    <m/>
    <n v="0"/>
    <n v="13776697.499999994"/>
    <n v="0"/>
    <n v="783"/>
    <n v="1042"/>
    <n v="1114"/>
    <n v="0"/>
    <n v="609"/>
    <n v="2013"/>
    <n v="1114"/>
    <n v="2017"/>
    <n v="1114"/>
    <n v="2017"/>
    <s v=""/>
    <n v="1114"/>
    <n v="1114"/>
    <s v="No change"/>
    <m/>
    <m/>
    <m/>
    <m/>
    <n v="0.54858195393271802"/>
    <n v="0.88893800834396808"/>
    <n v="0.80861178812992041"/>
    <n v="0.80861178812992041"/>
    <x v="1"/>
  </r>
  <r>
    <s v="Rwanda"/>
    <x v="33"/>
    <n v="10840336"/>
    <x v="21"/>
    <n v="0"/>
    <n v="11101349.499999996"/>
    <n v="495"/>
    <m/>
    <n v="174"/>
    <m/>
    <n v="242"/>
    <m/>
    <n v="324"/>
    <m/>
    <n v="534"/>
    <n v="12531807.499999998"/>
    <n v="534"/>
    <n v="567"/>
    <m/>
    <n v="0"/>
    <m/>
    <n v="0"/>
    <m/>
    <n v="0"/>
    <n v="13776697.499999994"/>
    <n v="0"/>
    <n v="567"/>
    <n v="495"/>
    <n v="534"/>
    <n v="0"/>
    <n v="495"/>
    <n v="2013"/>
    <n v="567"/>
    <s v="2018 (triag)"/>
    <n v="567"/>
    <s v="2018 (triag)"/>
    <s v=""/>
    <n v="567"/>
    <n v="567"/>
    <s v="No change"/>
    <m/>
    <m/>
    <m/>
    <m/>
    <n v="0.4458917359551649"/>
    <n v="0.45244869904042179"/>
    <n v="0.41156452771065072"/>
    <n v="0.41156452771065072"/>
    <x v="1"/>
  </r>
  <r>
    <s v="Rwanda"/>
    <x v="33"/>
    <n v="10840337"/>
    <x v="22"/>
    <n v="0"/>
    <n v="11101349.499999996"/>
    <n v="0"/>
    <m/>
    <n v="9625"/>
    <m/>
    <n v="10367"/>
    <m/>
    <n v="11281"/>
    <m/>
    <n v="0"/>
    <n v="12531807.499999998"/>
    <n v="13345"/>
    <n v="13345"/>
    <m/>
    <n v="10409"/>
    <m/>
    <n v="0"/>
    <m/>
    <n v="0"/>
    <n v="13776697.499999994"/>
    <n v="13060"/>
    <n v="9551"/>
    <n v="10367"/>
    <n v="13345"/>
    <n v="13060"/>
    <n v="9625"/>
    <n v="2014"/>
    <n v="13345"/>
    <n v="2018"/>
    <n v="13060"/>
    <n v="2022"/>
    <s v="Adjust"/>
    <n v="13501.239749316621"/>
    <n v="13501.239749316621"/>
    <s v="Increasing"/>
    <m/>
    <m/>
    <m/>
    <m/>
    <n v="8.6701170880170952"/>
    <n v="10.648902801930211"/>
    <n v="9.8000553102923451"/>
    <n v="9.8000553102923451"/>
    <x v="1"/>
  </r>
  <r>
    <s v="Rwanda"/>
    <x v="33"/>
    <n v="10840338"/>
    <x v="23"/>
    <n v="0"/>
    <n v="11101349.499999996"/>
    <n v="0"/>
    <m/>
    <n v="0"/>
    <m/>
    <n v="0"/>
    <m/>
    <n v="0"/>
    <m/>
    <n v="0"/>
    <n v="12531807.499999998"/>
    <n v="0"/>
    <n v="9551"/>
    <m/>
    <n v="0"/>
    <m/>
    <n v="0"/>
    <m/>
    <n v="0"/>
    <n v="13776697.499999994"/>
    <n v="0"/>
    <n v="9551"/>
    <n v="0"/>
    <n v="0"/>
    <n v="0"/>
    <n v="0"/>
    <s v=""/>
    <n v="9551"/>
    <s v="2018 (triag)"/>
    <n v="9551"/>
    <s v="2018 (triag)"/>
    <s v=""/>
    <n v="9551"/>
    <n v="9551"/>
    <s v="No change"/>
    <m/>
    <m/>
    <m/>
    <m/>
    <n v="0"/>
    <n v="7.6214065688449182"/>
    <n v="6.9327209949989861"/>
    <n v="6.9327209949989861"/>
    <x v="1"/>
  </r>
  <r>
    <s v="Rwanda"/>
    <x v="33"/>
    <n v="10840339"/>
    <x v="24"/>
    <n v="0"/>
    <n v="11101349.499999996"/>
    <n v="0"/>
    <m/>
    <n v="0"/>
    <m/>
    <n v="0"/>
    <m/>
    <n v="0"/>
    <m/>
    <n v="0"/>
    <n v="12531807.499999998"/>
    <n v="0"/>
    <n v="0"/>
    <m/>
    <n v="0"/>
    <m/>
    <n v="0"/>
    <m/>
    <n v="0"/>
    <n v="13776697.499999994"/>
    <n v="0"/>
    <n v="0"/>
    <n v="0"/>
    <n v="0"/>
    <n v="0"/>
    <n v="0"/>
    <s v=""/>
    <n v="0"/>
    <s v=""/>
    <n v="0"/>
    <s v=""/>
    <s v=""/>
    <n v="0"/>
    <n v="0"/>
    <s v="No change"/>
    <m/>
    <m/>
    <m/>
    <m/>
    <n v="0"/>
    <n v="0"/>
    <n v="0"/>
    <n v="0"/>
    <x v="1"/>
  </r>
  <r>
    <s v="Rwanda"/>
    <x v="33"/>
    <n v="10840340"/>
    <x v="25"/>
    <n v="0"/>
    <n v="11101349.499999996"/>
    <n v="622"/>
    <m/>
    <n v="692"/>
    <m/>
    <n v="868"/>
    <m/>
    <n v="1070"/>
    <m/>
    <n v="2144"/>
    <n v="12531807.499999998"/>
    <n v="1471"/>
    <n v="1471"/>
    <m/>
    <n v="1561"/>
    <m/>
    <n v="0"/>
    <m/>
    <n v="0"/>
    <n v="13776697.499999994"/>
    <n v="1990"/>
    <n v="1207"/>
    <n v="868"/>
    <n v="2144"/>
    <n v="1990"/>
    <n v="622"/>
    <n v="2013"/>
    <n v="1471"/>
    <n v="2018"/>
    <n v="1990"/>
    <n v="2022"/>
    <s v=""/>
    <n v="1990"/>
    <n v="1990"/>
    <s v="Increasing"/>
    <m/>
    <m/>
    <m/>
    <m/>
    <n v="0.56029224194770211"/>
    <n v="1.1738131151471967"/>
    <n v="1.4444680954924072"/>
    <n v="1.4444680954924072"/>
    <x v="1"/>
  </r>
  <r>
    <s v="Rwanda"/>
    <x v="33"/>
    <n v="10840341"/>
    <x v="26"/>
    <n v="0"/>
    <n v="11101349.499999996"/>
    <n v="622"/>
    <m/>
    <n v="0"/>
    <m/>
    <n v="0"/>
    <m/>
    <n v="0"/>
    <m/>
    <n v="0"/>
    <n v="12531807.499999998"/>
    <n v="0"/>
    <n v="1207"/>
    <m/>
    <n v="0"/>
    <m/>
    <n v="0"/>
    <m/>
    <n v="0"/>
    <n v="13776697.499999994"/>
    <n v="0"/>
    <n v="1207"/>
    <n v="622"/>
    <n v="0"/>
    <n v="0"/>
    <n v="622"/>
    <n v="2013"/>
    <n v="1207"/>
    <s v="2018 (triag)"/>
    <n v="1207"/>
    <s v="2018 (triag)"/>
    <s v=""/>
    <n v="1207"/>
    <n v="1207"/>
    <s v="No change"/>
    <m/>
    <m/>
    <m/>
    <m/>
    <n v="0.56029224194770211"/>
    <n v="0.96314917062043937"/>
    <n v="0.87611708103484198"/>
    <n v="0.87611708103484198"/>
    <x v="1"/>
  </r>
  <r>
    <s v="Rwanda"/>
    <x v="33"/>
    <n v="10840342"/>
    <x v="27"/>
    <n v="0"/>
    <n v="11101349.499999996"/>
    <n v="0"/>
    <m/>
    <n v="0"/>
    <m/>
    <n v="0"/>
    <m/>
    <n v="0"/>
    <m/>
    <n v="879"/>
    <n v="12531807.499999998"/>
    <n v="0"/>
    <n v="0"/>
    <m/>
    <n v="0"/>
    <m/>
    <n v="0"/>
    <m/>
    <n v="0"/>
    <n v="13776697.499999994"/>
    <n v="0"/>
    <n v="0"/>
    <n v="0"/>
    <n v="879"/>
    <n v="0"/>
    <n v="0"/>
    <s v=""/>
    <n v="879"/>
    <n v="2017"/>
    <n v="879"/>
    <n v="2017"/>
    <s v=""/>
    <n v="879"/>
    <n v="879"/>
    <s v="No change"/>
    <m/>
    <m/>
    <m/>
    <m/>
    <n v="0"/>
    <n v="0.70141517893568039"/>
    <n v="0.63803389745619399"/>
    <n v="0.63803389745619399"/>
    <x v="1"/>
  </r>
  <r>
    <s v="Rwanda"/>
    <x v="33"/>
    <n v="10840343"/>
    <x v="28"/>
    <n v="0"/>
    <n v="11101349.499999996"/>
    <n v="0"/>
    <m/>
    <n v="0"/>
    <m/>
    <n v="114"/>
    <m/>
    <n v="0"/>
    <m/>
    <n v="879"/>
    <n v="12531807.499999998"/>
    <n v="886"/>
    <n v="886"/>
    <m/>
    <n v="0"/>
    <m/>
    <n v="0"/>
    <m/>
    <n v="0"/>
    <n v="13776697.499999994"/>
    <n v="0"/>
    <n v="167"/>
    <n v="114"/>
    <n v="886"/>
    <n v="0"/>
    <n v="114"/>
    <n v="2015"/>
    <n v="886"/>
    <n v="2018"/>
    <n v="886"/>
    <n v="2018"/>
    <s v=""/>
    <n v="886"/>
    <n v="886"/>
    <s v="No change"/>
    <m/>
    <m/>
    <m/>
    <m/>
    <n v="0.10269021797755312"/>
    <n v="0.70700096534358681"/>
    <n v="0.64311494100817734"/>
    <n v="0.64311494100817734"/>
    <x v="1"/>
  </r>
  <r>
    <s v="Rwanda"/>
    <x v="33"/>
    <n v="10840344"/>
    <x v="29"/>
    <n v="0"/>
    <n v="11101349.499999996"/>
    <n v="0"/>
    <m/>
    <n v="0"/>
    <m/>
    <n v="0"/>
    <m/>
    <n v="0"/>
    <m/>
    <n v="201"/>
    <n v="12531807.499999998"/>
    <n v="0"/>
    <n v="0"/>
    <m/>
    <n v="0"/>
    <m/>
    <n v="0"/>
    <m/>
    <n v="0"/>
    <n v="13776697.499999994"/>
    <n v="0"/>
    <n v="0"/>
    <n v="0"/>
    <n v="201"/>
    <n v="0"/>
    <n v="0"/>
    <s v=""/>
    <n v="201"/>
    <n v="2017"/>
    <n v="201"/>
    <n v="2017"/>
    <s v=""/>
    <n v="201"/>
    <n v="201"/>
    <s v="No change"/>
    <m/>
    <m/>
    <m/>
    <m/>
    <n v="0"/>
    <n v="0.16039186685559925"/>
    <n v="0.14589853627837882"/>
    <n v="0.14589853627837882"/>
    <x v="1"/>
  </r>
  <r>
    <s v="Rwanda"/>
    <x v="33"/>
    <n v="10840345"/>
    <x v="30"/>
    <n v="0"/>
    <n v="11101349.499999996"/>
    <n v="0"/>
    <m/>
    <n v="0"/>
    <m/>
    <n v="127"/>
    <m/>
    <n v="0"/>
    <m/>
    <n v="236"/>
    <n v="12531807.499999998"/>
    <n v="228"/>
    <n v="228"/>
    <m/>
    <n v="0"/>
    <m/>
    <n v="0"/>
    <m/>
    <n v="0"/>
    <n v="13776697.499999994"/>
    <n v="236"/>
    <n v="228"/>
    <n v="127"/>
    <n v="236"/>
    <n v="236"/>
    <n v="127"/>
    <n v="2015"/>
    <n v="228"/>
    <n v="2018"/>
    <n v="236"/>
    <n v="2022"/>
    <s v=""/>
    <n v="236"/>
    <n v="236"/>
    <s v="Increasing"/>
    <m/>
    <m/>
    <m/>
    <m/>
    <n v="0.11440050599253725"/>
    <n v="0.18193704300038124"/>
    <n v="0.17130375403829554"/>
    <n v="0.17130375403829554"/>
    <x v="1"/>
  </r>
  <r>
    <s v="Rwanda"/>
    <x v="33"/>
    <n v="10840346"/>
    <x v="31"/>
    <n v="0"/>
    <n v="11101349.499999996"/>
    <n v="0"/>
    <m/>
    <n v="0"/>
    <m/>
    <n v="0"/>
    <m/>
    <n v="0"/>
    <m/>
    <n v="0"/>
    <n v="12531807.499999998"/>
    <n v="0"/>
    <n v="0"/>
    <m/>
    <n v="0"/>
    <m/>
    <n v="0"/>
    <m/>
    <n v="0"/>
    <n v="13776697.499999994"/>
    <n v="0"/>
    <n v="0"/>
    <n v="0"/>
    <n v="0"/>
    <n v="0"/>
    <n v="0"/>
    <s v=""/>
    <n v="0"/>
    <s v=""/>
    <n v="0"/>
    <s v=""/>
    <s v=""/>
    <n v="0"/>
    <n v="0"/>
    <s v="No change"/>
    <m/>
    <m/>
    <m/>
    <m/>
    <n v="0"/>
    <n v="0"/>
    <n v="0"/>
    <n v="0"/>
    <x v="1"/>
  </r>
  <r>
    <s v="Rwanda"/>
    <x v="33"/>
    <n v="10840347"/>
    <x v="32"/>
    <n v="0"/>
    <n v="11101349.499999996"/>
    <n v="0"/>
    <m/>
    <n v="0"/>
    <m/>
    <n v="0"/>
    <m/>
    <n v="0"/>
    <m/>
    <n v="0"/>
    <n v="12531807.499999998"/>
    <n v="310"/>
    <n v="310"/>
    <m/>
    <n v="0"/>
    <m/>
    <n v="0"/>
    <m/>
    <n v="0"/>
    <n v="13776697.499999994"/>
    <n v="0"/>
    <n v="0"/>
    <n v="0"/>
    <n v="310"/>
    <n v="0"/>
    <n v="0"/>
    <s v=""/>
    <n v="310"/>
    <n v="2018"/>
    <n v="310"/>
    <n v="2018"/>
    <s v=""/>
    <n v="310"/>
    <n v="310"/>
    <s v="No change"/>
    <m/>
    <m/>
    <m/>
    <m/>
    <n v="0"/>
    <n v="0.24737054092157101"/>
    <n v="0.22501764301640514"/>
    <n v="0.22501764301640514"/>
    <x v="1"/>
  </r>
  <r>
    <s v="Senegal"/>
    <x v="34"/>
    <n v="13231833.000000002"/>
    <x v="19"/>
    <n v="0"/>
    <n v="13595565.499999993"/>
    <n v="0"/>
    <n v="13970307.499999993"/>
    <n v="0"/>
    <n v="14356180.500000004"/>
    <n v="0"/>
    <n v="14751356.499999994"/>
    <n v="1154"/>
    <n v="15157793.000000006"/>
    <n v="1066"/>
    <n v="15574908.999999998"/>
    <n v="0"/>
    <n v="2883"/>
    <n v="16000781.500000006"/>
    <n v="1435"/>
    <n v="16436119.999999993"/>
    <n v="1384"/>
    <n v="16876719.999999996"/>
    <n v="1707"/>
    <n v="17316449"/>
    <n v="2188"/>
    <n v="2883"/>
    <n v="0"/>
    <n v="1435"/>
    <n v="2188"/>
    <n v="0"/>
    <s v=""/>
    <n v="2883"/>
    <s v="2018 (triag)"/>
    <n v="2188"/>
    <n v="2022"/>
    <s v="Adjust"/>
    <n v="2560.8623058327948"/>
    <n v="2883"/>
    <s v="Decreasing"/>
    <m/>
    <m/>
    <m/>
    <m/>
    <n v="0"/>
    <n v="1.8510541538316534"/>
    <n v="1.4788611139805827"/>
    <n v="1.6648909946837254"/>
    <x v="1"/>
  </r>
  <r>
    <s v="Senegal"/>
    <x v="34"/>
    <n v="13231834"/>
    <x v="20"/>
    <n v="0"/>
    <n v="13595565.499999993"/>
    <n v="0"/>
    <m/>
    <n v="0"/>
    <m/>
    <n v="0"/>
    <m/>
    <n v="267"/>
    <m/>
    <n v="0"/>
    <n v="15574908.999999998"/>
    <n v="0"/>
    <n v="676"/>
    <m/>
    <n v="353"/>
    <m/>
    <n v="308"/>
    <m/>
    <n v="487"/>
    <n v="17316449"/>
    <n v="703"/>
    <n v="676"/>
    <n v="0"/>
    <n v="353"/>
    <n v="703"/>
    <n v="0"/>
    <s v=""/>
    <n v="676"/>
    <s v="2018 (triag)"/>
    <n v="703"/>
    <n v="2022"/>
    <s v=""/>
    <n v="703"/>
    <n v="703"/>
    <s v="Increasing"/>
    <m/>
    <m/>
    <m/>
    <m/>
    <n v="0"/>
    <n v="0.43403142836982234"/>
    <n v="0.40597237921007939"/>
    <n v="0.40597237921007939"/>
    <x v="1"/>
  </r>
  <r>
    <s v="Senegal"/>
    <x v="34"/>
    <n v="13231835"/>
    <x v="21"/>
    <n v="0"/>
    <n v="13595565.499999993"/>
    <n v="0"/>
    <m/>
    <n v="0"/>
    <m/>
    <n v="0"/>
    <m/>
    <n v="887"/>
    <m/>
    <n v="0"/>
    <n v="15574908.999999998"/>
    <n v="0"/>
    <n v="2207"/>
    <m/>
    <n v="1082"/>
    <m/>
    <n v="1076"/>
    <m/>
    <n v="1220"/>
    <n v="17316449"/>
    <n v="1485"/>
    <n v="2207"/>
    <n v="0"/>
    <n v="1082"/>
    <n v="1485"/>
    <n v="0"/>
    <s v=""/>
    <n v="2207"/>
    <s v="2018 (triag)"/>
    <n v="1485"/>
    <n v="2022"/>
    <s v="Adjust"/>
    <n v="1738.0623967832269"/>
    <n v="2207"/>
    <s v="Decreasing"/>
    <m/>
    <m/>
    <m/>
    <m/>
    <n v="0"/>
    <n v="1.4170227254618311"/>
    <n v="1.0037060120023606"/>
    <n v="1.2745107267662095"/>
    <x v="1"/>
  </r>
  <r>
    <s v="Senegal"/>
    <x v="34"/>
    <n v="13231836"/>
    <x v="22"/>
    <n v="0"/>
    <n v="13595565.499999993"/>
    <n v="0"/>
    <m/>
    <n v="0"/>
    <m/>
    <n v="1682"/>
    <m/>
    <n v="2490"/>
    <m/>
    <n v="2820"/>
    <n v="15574908.999999998"/>
    <n v="0"/>
    <n v="4577"/>
    <m/>
    <n v="6151"/>
    <m/>
    <n v="3800"/>
    <m/>
    <n v="6477"/>
    <n v="17316449"/>
    <n v="4737"/>
    <n v="4577"/>
    <n v="1682"/>
    <n v="6151"/>
    <n v="6477"/>
    <n v="1682"/>
    <n v="2015"/>
    <n v="4577"/>
    <s v="2018 (triag)"/>
    <n v="4737"/>
    <n v="2022"/>
    <s v=""/>
    <n v="4737"/>
    <n v="4737"/>
    <s v="Increasing"/>
    <m/>
    <m/>
    <m/>
    <m/>
    <n v="1.2371681045558576"/>
    <n v="2.9387009580601728"/>
    <n v="2.7355493034397527"/>
    <n v="2.7355493034397527"/>
    <x v="1"/>
  </r>
  <r>
    <s v="Senegal"/>
    <x v="34"/>
    <n v="13231837"/>
    <x v="23"/>
    <n v="0"/>
    <n v="13595565.499999993"/>
    <n v="0"/>
    <m/>
    <n v="0"/>
    <m/>
    <n v="1020"/>
    <m/>
    <n v="1445"/>
    <m/>
    <n v="1727"/>
    <n v="15574908.999999998"/>
    <n v="0"/>
    <n v="3231"/>
    <m/>
    <n v="3093"/>
    <m/>
    <n v="3295"/>
    <m/>
    <n v="2523"/>
    <n v="17316449"/>
    <n v="2769"/>
    <n v="3231"/>
    <n v="1020"/>
    <n v="3093"/>
    <n v="3295"/>
    <n v="1020"/>
    <n v="2015"/>
    <n v="3231"/>
    <s v="2018 (triag)"/>
    <n v="2769"/>
    <n v="2022"/>
    <s v="Adjust"/>
    <n v="3240.8719034968049"/>
    <n v="3240.8719034968049"/>
    <s v="Increasing"/>
    <m/>
    <m/>
    <m/>
    <m/>
    <n v="0.75024462939772574"/>
    <n v="2.074490451276473"/>
    <n v="1.8715568668246041"/>
    <n v="1.8715568668246041"/>
    <x v="1"/>
  </r>
  <r>
    <s v="Senegal"/>
    <x v="34"/>
    <n v="13231838"/>
    <x v="24"/>
    <n v="0"/>
    <n v="13595565.499999993"/>
    <n v="0"/>
    <m/>
    <n v="0"/>
    <m/>
    <n v="662"/>
    <m/>
    <n v="1045"/>
    <m/>
    <n v="1093"/>
    <n v="15574908.999999998"/>
    <n v="0"/>
    <n v="1346"/>
    <m/>
    <n v="3058"/>
    <m/>
    <n v="483"/>
    <m/>
    <n v="2173"/>
    <n v="17316449"/>
    <n v="1968"/>
    <n v="1346"/>
    <n v="662"/>
    <n v="3058"/>
    <n v="2173"/>
    <n v="662"/>
    <n v="2015"/>
    <n v="1346"/>
    <s v="2018 (triag)"/>
    <n v="1968"/>
    <n v="2022"/>
    <s v=""/>
    <n v="1968"/>
    <n v="1968"/>
    <s v="Increasing"/>
    <m/>
    <m/>
    <m/>
    <m/>
    <n v="0.48692347515813178"/>
    <n v="0.86421050678369948"/>
    <n v="1.136491667546851"/>
    <n v="1.136491667546851"/>
    <x v="1"/>
  </r>
  <r>
    <s v="Senegal"/>
    <x v="34"/>
    <n v="13231839"/>
    <x v="25"/>
    <n v="0"/>
    <n v="13595565.499999993"/>
    <n v="3946"/>
    <m/>
    <n v="0"/>
    <m/>
    <n v="1116"/>
    <m/>
    <n v="2002"/>
    <m/>
    <n v="2002"/>
    <n v="15574908.999999998"/>
    <n v="0"/>
    <n v="3015"/>
    <m/>
    <n v="2656"/>
    <m/>
    <n v="2061"/>
    <m/>
    <n v="2739"/>
    <n v="17316449"/>
    <n v="2803"/>
    <n v="3015"/>
    <n v="3946"/>
    <n v="2656"/>
    <n v="2803"/>
    <n v="3946"/>
    <n v="2013"/>
    <n v="3015"/>
    <s v="2018 (triag)"/>
    <n v="2803"/>
    <n v="2022"/>
    <s v="Adjust"/>
    <n v="3280.6659247026164"/>
    <n v="3280.6659247026164"/>
    <s v="Increasing"/>
    <m/>
    <m/>
    <m/>
    <m/>
    <n v="2.9024169682386525"/>
    <n v="1.9358058528624471"/>
    <n v="1.8945373411734798"/>
    <n v="1.8945373411734798"/>
    <x v="1"/>
  </r>
  <r>
    <s v="Senegal"/>
    <x v="34"/>
    <n v="13231840"/>
    <x v="26"/>
    <n v="0"/>
    <n v="13595565.499999993"/>
    <n v="3946"/>
    <m/>
    <n v="0"/>
    <m/>
    <n v="0"/>
    <m/>
    <n v="0"/>
    <m/>
    <n v="0"/>
    <n v="15574908.999999998"/>
    <n v="0"/>
    <n v="3015"/>
    <m/>
    <n v="2196"/>
    <m/>
    <n v="1969"/>
    <m/>
    <n v="2710"/>
    <n v="17316449"/>
    <n v="2803"/>
    <n v="3015"/>
    <n v="3946"/>
    <n v="2196"/>
    <n v="2803"/>
    <n v="3946"/>
    <n v="2013"/>
    <n v="3015"/>
    <s v="2018 (triag)"/>
    <n v="2803"/>
    <n v="2022"/>
    <s v="Adjust"/>
    <n v="3280.6659247026164"/>
    <n v="3280.6659247026164"/>
    <s v="Increasing"/>
    <m/>
    <m/>
    <m/>
    <m/>
    <n v="2.9024169682386525"/>
    <n v="1.9358058528624471"/>
    <n v="1.8945373411734798"/>
    <n v="1.8945373411734798"/>
    <x v="1"/>
  </r>
  <r>
    <s v="Senegal"/>
    <x v="34"/>
    <n v="13231841"/>
    <x v="27"/>
    <n v="0"/>
    <n v="13595565.499999993"/>
    <n v="0"/>
    <m/>
    <n v="0"/>
    <m/>
    <n v="0"/>
    <m/>
    <n v="0"/>
    <m/>
    <n v="0"/>
    <n v="15574908.999999998"/>
    <n v="0"/>
    <n v="0"/>
    <m/>
    <n v="460"/>
    <m/>
    <n v="92"/>
    <m/>
    <n v="29"/>
    <n v="17316449"/>
    <n v="0"/>
    <n v="0"/>
    <n v="0"/>
    <n v="460"/>
    <n v="92"/>
    <n v="0"/>
    <s v=""/>
    <n v="460"/>
    <n v="2019"/>
    <n v="29"/>
    <n v="2021"/>
    <s v="Adjust"/>
    <n v="33.941959263780191"/>
    <n v="460"/>
    <s v="Decreasing"/>
    <m/>
    <m/>
    <m/>
    <m/>
    <n v="0"/>
    <n v="0.29534682995579625"/>
    <n v="1.960099282698213E-2"/>
    <n v="0.26564337757700784"/>
    <x v="0"/>
  </r>
  <r>
    <s v="Senegal"/>
    <x v="34"/>
    <n v="13231842"/>
    <x v="28"/>
    <n v="0"/>
    <n v="13595565.499999993"/>
    <n v="0"/>
    <m/>
    <n v="0"/>
    <m/>
    <n v="143"/>
    <m/>
    <n v="170"/>
    <m/>
    <n v="170"/>
    <n v="15574908.999999998"/>
    <n v="0"/>
    <n v="162"/>
    <m/>
    <n v="188"/>
    <m/>
    <n v="212"/>
    <m/>
    <n v="293"/>
    <n v="17316449"/>
    <n v="352"/>
    <n v="162"/>
    <n v="143"/>
    <n v="188"/>
    <n v="352"/>
    <n v="143"/>
    <n v="2015"/>
    <n v="162"/>
    <s v="2018 (triag)"/>
    <n v="352"/>
    <n v="2022"/>
    <s v=""/>
    <n v="352"/>
    <n v="352"/>
    <s v="Increasing"/>
    <m/>
    <m/>
    <m/>
    <m/>
    <n v="0.10518135490575958"/>
    <n v="0.10401344881051955"/>
    <n v="0.20327493240675384"/>
    <n v="0.20327493240675384"/>
    <x v="1"/>
  </r>
  <r>
    <s v="Senegal"/>
    <x v="34"/>
    <n v="13231843"/>
    <x v="29"/>
    <n v="0"/>
    <n v="13595565.499999993"/>
    <n v="371"/>
    <m/>
    <n v="0"/>
    <m/>
    <n v="0"/>
    <m/>
    <n v="0"/>
    <m/>
    <n v="0"/>
    <n v="15574908.999999998"/>
    <n v="0"/>
    <n v="53"/>
    <m/>
    <n v="45"/>
    <m/>
    <n v="48"/>
    <m/>
    <n v="40"/>
    <n v="17316449"/>
    <n v="57"/>
    <n v="53"/>
    <n v="371"/>
    <n v="45"/>
    <n v="57"/>
    <n v="371"/>
    <n v="2013"/>
    <n v="53"/>
    <s v="2018 (triag)"/>
    <n v="57"/>
    <n v="2022"/>
    <s v=""/>
    <n v="57"/>
    <n v="57"/>
    <s v="Increasing"/>
    <m/>
    <m/>
    <m/>
    <m/>
    <n v="0.27288309559466301"/>
    <n v="3.4029091277515654E-2"/>
    <n v="3.2916679395411839E-2"/>
    <n v="3.2916679395411839E-2"/>
    <x v="1"/>
  </r>
  <r>
    <s v="Senegal"/>
    <x v="34"/>
    <n v="13231844"/>
    <x v="30"/>
    <n v="0"/>
    <n v="13595565.499999993"/>
    <n v="54"/>
    <m/>
    <n v="0"/>
    <m/>
    <n v="0"/>
    <m/>
    <n v="121"/>
    <m/>
    <n v="121"/>
    <n v="15574908.999999998"/>
    <n v="0"/>
    <n v="136"/>
    <m/>
    <n v="219"/>
    <m/>
    <n v="134"/>
    <m/>
    <n v="176"/>
    <n v="17316449"/>
    <n v="223"/>
    <n v="136"/>
    <n v="54"/>
    <n v="219"/>
    <n v="223"/>
    <n v="54"/>
    <n v="2013"/>
    <n v="136"/>
    <s v="2018 (triag)"/>
    <n v="223"/>
    <n v="2022"/>
    <s v=""/>
    <n v="223"/>
    <n v="223"/>
    <s v="Increasing"/>
    <m/>
    <m/>
    <m/>
    <m/>
    <n v="3.9718833321056066E-2"/>
    <n v="8.7319932334757155E-2"/>
    <n v="0.12877928956450599"/>
    <n v="0.12877928956450599"/>
    <x v="1"/>
  </r>
  <r>
    <s v="Senegal"/>
    <x v="34"/>
    <n v="13231845"/>
    <x v="31"/>
    <n v="0"/>
    <n v="13595565.499999993"/>
    <n v="0"/>
    <m/>
    <n v="0"/>
    <m/>
    <n v="0"/>
    <m/>
    <n v="0"/>
    <m/>
    <n v="57"/>
    <n v="15574908.999999998"/>
    <n v="0"/>
    <n v="100"/>
    <m/>
    <n v="0"/>
    <m/>
    <n v="0"/>
    <m/>
    <n v="28"/>
    <n v="17316449"/>
    <n v="64"/>
    <n v="100"/>
    <n v="0"/>
    <n v="57"/>
    <n v="64"/>
    <n v="0"/>
    <s v=""/>
    <n v="100"/>
    <s v="2018 (triag)"/>
    <n v="64"/>
    <n v="2022"/>
    <s v="Adjust"/>
    <n v="74.906392857997659"/>
    <n v="100"/>
    <s v="Decreasing"/>
    <m/>
    <m/>
    <m/>
    <m/>
    <n v="0"/>
    <n v="6.4205832599086146E-2"/>
    <n v="4.3257363480236427E-2"/>
    <n v="5.7748560342827791E-2"/>
    <x v="1"/>
  </r>
  <r>
    <s v="Senegal"/>
    <x v="34"/>
    <n v="13231846"/>
    <x v="32"/>
    <n v="0"/>
    <n v="13595565.499999993"/>
    <n v="0"/>
    <m/>
    <n v="0"/>
    <m/>
    <n v="0"/>
    <m/>
    <n v="0"/>
    <m/>
    <n v="0"/>
    <n v="15574908.999999998"/>
    <n v="0"/>
    <n v="0"/>
    <m/>
    <n v="16"/>
    <m/>
    <n v="2"/>
    <m/>
    <n v="0"/>
    <n v="17316449"/>
    <n v="14"/>
    <n v="0"/>
    <n v="0"/>
    <n v="16"/>
    <n v="14"/>
    <n v="0"/>
    <s v=""/>
    <n v="16"/>
    <n v="2019"/>
    <n v="14"/>
    <n v="2022"/>
    <s v="Adjust"/>
    <n v="16.385773437686989"/>
    <n v="16.385773437686989"/>
    <s v="Increasing"/>
    <m/>
    <m/>
    <m/>
    <m/>
    <n v="0"/>
    <n v="1.0272933215853782E-2"/>
    <n v="9.4625482613017193E-3"/>
    <n v="9.4625482613017193E-3"/>
    <x v="1"/>
  </r>
  <r>
    <s v="Sierra Leone"/>
    <x v="35"/>
    <n v="6788587.5000000037"/>
    <x v="19"/>
    <n v="0"/>
    <n v="6964858.4999999972"/>
    <n v="0"/>
    <n v="7140688.0000000028"/>
    <n v="0"/>
    <n v="7314773"/>
    <n v="0"/>
    <n v="7493912.9999999981"/>
    <n v="0"/>
    <n v="7677565.5000000019"/>
    <n v="0"/>
    <n v="7861281"/>
    <n v="566"/>
    <n v="566"/>
    <n v="8046828.5"/>
    <n v="256"/>
    <n v="8233970.4999999991"/>
    <n v="576"/>
    <n v="8420641.0000000037"/>
    <n v="0"/>
    <n v="8605718.0000000056"/>
    <n v="1106"/>
    <n v="281"/>
    <n v="0"/>
    <n v="566"/>
    <n v="1106"/>
    <n v="0"/>
    <s v=""/>
    <n v="566"/>
    <n v="2018"/>
    <n v="1106"/>
    <n v="2022"/>
    <s v=""/>
    <n v="1106"/>
    <n v="1106"/>
    <s v="Increasing"/>
    <m/>
    <m/>
    <m/>
    <m/>
    <n v="0"/>
    <n v="0.71998444019492502"/>
    <n v="1.2851920083832624"/>
    <n v="1.2851920083832624"/>
    <x v="1"/>
  </r>
  <r>
    <s v="Sierra Leone"/>
    <x v="35"/>
    <n v="6788588.5"/>
    <x v="20"/>
    <n v="0"/>
    <n v="6964858.4999999972"/>
    <n v="0"/>
    <m/>
    <n v="0"/>
    <m/>
    <n v="0"/>
    <m/>
    <n v="0"/>
    <m/>
    <n v="0"/>
    <n v="7861281"/>
    <n v="500"/>
    <n v="500"/>
    <m/>
    <n v="231"/>
    <m/>
    <n v="515"/>
    <m/>
    <n v="0"/>
    <n v="8605718.0000000056"/>
    <n v="338"/>
    <n v="234"/>
    <n v="0"/>
    <n v="500"/>
    <n v="515"/>
    <n v="0"/>
    <s v=""/>
    <n v="500"/>
    <n v="2018"/>
    <n v="338"/>
    <n v="2022"/>
    <s v="Adjust"/>
    <n v="388.46294178030035"/>
    <n v="500"/>
    <s v="Decreasing"/>
    <m/>
    <m/>
    <m/>
    <m/>
    <n v="0"/>
    <n v="0.63602865741601144"/>
    <n v="0.45140096593950685"/>
    <n v="0.58100904538122178"/>
    <x v="1"/>
  </r>
  <r>
    <s v="Sierra Leone"/>
    <x v="35"/>
    <n v="6788589.5"/>
    <x v="21"/>
    <n v="0"/>
    <n v="6964858.4999999972"/>
    <n v="0"/>
    <m/>
    <n v="0"/>
    <m/>
    <n v="0"/>
    <m/>
    <n v="0"/>
    <m/>
    <n v="0"/>
    <n v="7861281"/>
    <n v="66"/>
    <n v="66"/>
    <m/>
    <n v="25"/>
    <m/>
    <n v="61"/>
    <m/>
    <n v="0"/>
    <n v="8605718.0000000056"/>
    <n v="28"/>
    <n v="47"/>
    <n v="0"/>
    <n v="66"/>
    <n v="61"/>
    <n v="0"/>
    <s v=""/>
    <n v="66"/>
    <n v="2018"/>
    <n v="28"/>
    <n v="2022"/>
    <s v="Adjust"/>
    <n v="32.180362040971623"/>
    <n v="66"/>
    <s v="Decreasing"/>
    <m/>
    <m/>
    <m/>
    <m/>
    <n v="0"/>
    <n v="8.395578277891351E-2"/>
    <n v="3.7394162858894055E-2"/>
    <n v="7.6693193990321262E-2"/>
    <x v="0"/>
  </r>
  <r>
    <s v="Sierra Leone"/>
    <x v="35"/>
    <n v="6788590.5"/>
    <x v="22"/>
    <n v="0"/>
    <n v="6964858.4999999972"/>
    <n v="6106"/>
    <m/>
    <n v="6108"/>
    <m/>
    <n v="5873"/>
    <m/>
    <n v="5160"/>
    <m/>
    <n v="5980"/>
    <n v="7861281"/>
    <n v="5757"/>
    <n v="5757"/>
    <m/>
    <n v="4311"/>
    <m/>
    <n v="1040"/>
    <m/>
    <n v="0"/>
    <n v="8605718.0000000056"/>
    <n v="15666"/>
    <n v="5302"/>
    <n v="6108"/>
    <n v="5980"/>
    <n v="15666"/>
    <n v="6106"/>
    <n v="2013"/>
    <n v="5757"/>
    <n v="2018"/>
    <n v="15666"/>
    <n v="2022"/>
    <s v=""/>
    <n v="15666"/>
    <n v="15666"/>
    <s v="Increasing"/>
    <m/>
    <m/>
    <m/>
    <m/>
    <n v="8.7668687023577032"/>
    <n v="7.323233961487956"/>
    <n v="18.204175409884439"/>
    <n v="18.204175409884439"/>
    <x v="1"/>
  </r>
  <r>
    <s v="Sierra Leone"/>
    <x v="35"/>
    <n v="6788591.5"/>
    <x v="23"/>
    <n v="0"/>
    <n v="6964858.4999999972"/>
    <n v="634"/>
    <m/>
    <n v="634"/>
    <m/>
    <n v="766"/>
    <m/>
    <n v="755"/>
    <m/>
    <n v="964"/>
    <n v="7861281"/>
    <n v="868"/>
    <n v="868"/>
    <m/>
    <n v="819"/>
    <m/>
    <n v="1040"/>
    <m/>
    <n v="0"/>
    <n v="8605718.0000000056"/>
    <n v="1449"/>
    <n v="580"/>
    <n v="766"/>
    <n v="964"/>
    <n v="1449"/>
    <n v="634"/>
    <n v="2013"/>
    <n v="868"/>
    <n v="2018"/>
    <n v="1449"/>
    <n v="2022"/>
    <s v=""/>
    <n v="1449"/>
    <n v="1449"/>
    <s v="Increasing"/>
    <m/>
    <m/>
    <m/>
    <m/>
    <n v="0.91028410699226736"/>
    <n v="1.104145749274196"/>
    <n v="1.6837642135147806"/>
    <n v="1.6837642135147806"/>
    <x v="1"/>
  </r>
  <r>
    <s v="Sierra Leone"/>
    <x v="35"/>
    <n v="6788592.5"/>
    <x v="24"/>
    <n v="0"/>
    <n v="6964858.4999999972"/>
    <n v="2707"/>
    <m/>
    <n v="2707"/>
    <m/>
    <n v="2605"/>
    <m/>
    <n v="2090"/>
    <m/>
    <n v="2690"/>
    <n v="7861281"/>
    <n v="2545"/>
    <n v="4722"/>
    <m/>
    <n v="3492"/>
    <m/>
    <n v="0"/>
    <m/>
    <n v="0"/>
    <n v="8605718.0000000056"/>
    <n v="5907"/>
    <n v="4722"/>
    <n v="2707"/>
    <n v="3492"/>
    <n v="5907"/>
    <n v="2707"/>
    <n v="2013"/>
    <n v="4722"/>
    <s v="2018 (triag)"/>
    <n v="5907"/>
    <n v="2022"/>
    <s v=""/>
    <n v="5907"/>
    <n v="5907"/>
    <s v="Increasing"/>
    <m/>
    <m/>
    <m/>
    <m/>
    <n v="3.8866546965742392"/>
    <n v="6.0066546406368122"/>
    <n v="6.8640408621337539"/>
    <n v="6.8640408621337539"/>
    <x v="1"/>
  </r>
  <r>
    <s v="Sierra Leone"/>
    <x v="35"/>
    <n v="6788593.5"/>
    <x v="25"/>
    <n v="0"/>
    <n v="6964858.4999999972"/>
    <n v="2187"/>
    <m/>
    <n v="585"/>
    <m/>
    <n v="0"/>
    <m/>
    <n v="313"/>
    <m/>
    <n v="0"/>
    <n v="7861281"/>
    <n v="0"/>
    <n v="391"/>
    <m/>
    <n v="2373"/>
    <m/>
    <n v="639"/>
    <m/>
    <n v="0"/>
    <n v="8605718.0000000056"/>
    <n v="2271"/>
    <n v="391"/>
    <n v="2187"/>
    <n v="2373"/>
    <n v="2271"/>
    <n v="2187"/>
    <n v="2013"/>
    <n v="391"/>
    <s v="2018 (triag)"/>
    <n v="2271"/>
    <n v="2022"/>
    <s v=""/>
    <n v="2271"/>
    <n v="2271"/>
    <s v="Increasing"/>
    <m/>
    <m/>
    <m/>
    <m/>
    <n v="3.140049435318752"/>
    <n v="0.49737441009932098"/>
    <n v="2.6389430841215091"/>
    <n v="2.6389430841215091"/>
    <x v="1"/>
  </r>
  <r>
    <s v="Sierra Leone"/>
    <x v="35"/>
    <n v="6788594.5"/>
    <x v="26"/>
    <n v="0"/>
    <n v="6964858.4999999972"/>
    <n v="286"/>
    <m/>
    <n v="0"/>
    <m/>
    <n v="0"/>
    <m/>
    <n v="0"/>
    <m/>
    <n v="0"/>
    <n v="7861281"/>
    <n v="0"/>
    <n v="287"/>
    <m/>
    <n v="422"/>
    <m/>
    <n v="530"/>
    <m/>
    <n v="0"/>
    <n v="8605718.0000000056"/>
    <n v="184"/>
    <n v="287"/>
    <n v="286"/>
    <n v="422"/>
    <n v="530"/>
    <n v="286"/>
    <n v="2013"/>
    <n v="287"/>
    <s v="2018 (triag)"/>
    <n v="184"/>
    <n v="2022"/>
    <s v="Adjust"/>
    <n v="211.4709505549564"/>
    <n v="287"/>
    <s v="Decreasing"/>
    <m/>
    <m/>
    <m/>
    <m/>
    <n v="0.41063289369051809"/>
    <n v="0.36508044935679057"/>
    <n v="0.24573307021558952"/>
    <n v="0.33349919204882128"/>
    <x v="1"/>
  </r>
  <r>
    <s v="Sierra Leone"/>
    <x v="35"/>
    <n v="6788595.5"/>
    <x v="27"/>
    <n v="0"/>
    <n v="6964858.4999999972"/>
    <n v="1901"/>
    <m/>
    <n v="0"/>
    <m/>
    <n v="0"/>
    <m/>
    <n v="0"/>
    <m/>
    <n v="0"/>
    <n v="7861281"/>
    <n v="0"/>
    <n v="104"/>
    <m/>
    <n v="1951"/>
    <m/>
    <n v="109"/>
    <m/>
    <n v="0"/>
    <n v="8605718.0000000056"/>
    <n v="2087"/>
    <n v="104"/>
    <n v="1901"/>
    <n v="1951"/>
    <n v="2087"/>
    <n v="1901"/>
    <n v="2013"/>
    <n v="104"/>
    <s v="2018 (triag)"/>
    <n v="2087"/>
    <n v="2022"/>
    <s v=""/>
    <n v="2087"/>
    <n v="2087"/>
    <s v="Increasing"/>
    <m/>
    <m/>
    <m/>
    <m/>
    <n v="2.7294165416282339"/>
    <n v="0.13229396074253039"/>
    <n v="2.4251317554212197"/>
    <n v="2.4251317554212197"/>
    <x v="1"/>
  </r>
  <r>
    <s v="Sierra Leone"/>
    <x v="35"/>
    <n v="6788596.5"/>
    <x v="28"/>
    <n v="0"/>
    <n v="6964858.4999999972"/>
    <n v="0"/>
    <m/>
    <n v="0"/>
    <m/>
    <n v="0"/>
    <m/>
    <n v="82"/>
    <m/>
    <n v="0"/>
    <n v="7861281"/>
    <n v="156"/>
    <n v="156"/>
    <m/>
    <n v="164"/>
    <m/>
    <n v="193"/>
    <m/>
    <n v="0"/>
    <n v="8605718.0000000056"/>
    <n v="193"/>
    <n v="135"/>
    <n v="0"/>
    <n v="164"/>
    <n v="193"/>
    <n v="0"/>
    <s v=""/>
    <n v="156"/>
    <n v="2018"/>
    <n v="193"/>
    <n v="2020"/>
    <s v=""/>
    <n v="193"/>
    <n v="193"/>
    <s v="Increasing"/>
    <m/>
    <m/>
    <m/>
    <m/>
    <n v="0"/>
    <n v="0.19844094111379557"/>
    <n v="0.22426949151715159"/>
    <n v="0.22426949151715159"/>
    <x v="1"/>
  </r>
  <r>
    <s v="Sierra Leone"/>
    <x v="35"/>
    <n v="6788597.5"/>
    <x v="29"/>
    <n v="0"/>
    <n v="6964858.4999999972"/>
    <n v="0"/>
    <m/>
    <n v="0"/>
    <m/>
    <n v="0"/>
    <m/>
    <n v="0"/>
    <m/>
    <n v="0"/>
    <n v="7861281"/>
    <n v="0"/>
    <n v="21"/>
    <m/>
    <n v="213"/>
    <m/>
    <n v="332"/>
    <m/>
    <n v="0"/>
    <n v="8605718.0000000056"/>
    <n v="857"/>
    <n v="21"/>
    <n v="0"/>
    <n v="213"/>
    <n v="857"/>
    <n v="0"/>
    <s v=""/>
    <n v="21"/>
    <s v="2018 (triag)"/>
    <n v="857"/>
    <n v="2022"/>
    <s v=""/>
    <n v="857"/>
    <n v="857"/>
    <s v="Increasing"/>
    <m/>
    <m/>
    <m/>
    <m/>
    <n v="0"/>
    <n v="2.6713203611472482E-2"/>
    <n v="0.99584950378341408"/>
    <n v="0.99584950378341408"/>
    <x v="1"/>
  </r>
  <r>
    <s v="Sierra Leone"/>
    <x v="35"/>
    <n v="6788598.5"/>
    <x v="30"/>
    <n v="0"/>
    <n v="6964858.4999999972"/>
    <n v="0"/>
    <m/>
    <n v="0"/>
    <m/>
    <n v="0"/>
    <m/>
    <n v="53"/>
    <m/>
    <n v="0"/>
    <n v="7861281"/>
    <n v="15"/>
    <n v="15"/>
    <m/>
    <n v="7"/>
    <m/>
    <n v="15"/>
    <m/>
    <n v="0"/>
    <n v="8605718.0000000056"/>
    <n v="15"/>
    <n v="9"/>
    <n v="0"/>
    <n v="53"/>
    <n v="15"/>
    <n v="0"/>
    <s v=""/>
    <n v="15"/>
    <n v="2018"/>
    <n v="15"/>
    <n v="2020"/>
    <s v=""/>
    <n v="15"/>
    <n v="15"/>
    <s v="No change"/>
    <m/>
    <m/>
    <m/>
    <m/>
    <n v="0"/>
    <n v="1.9080859722480345E-2"/>
    <n v="1.7430271361436652E-2"/>
    <n v="1.7430271361436652E-2"/>
    <x v="1"/>
  </r>
  <r>
    <s v="Sierra Leone"/>
    <x v="35"/>
    <n v="6788599.5"/>
    <x v="31"/>
    <n v="0"/>
    <n v="6964858.4999999972"/>
    <n v="0"/>
    <m/>
    <n v="0"/>
    <m/>
    <n v="0"/>
    <m/>
    <n v="0"/>
    <m/>
    <n v="0"/>
    <n v="7861281"/>
    <n v="0"/>
    <n v="414"/>
    <m/>
    <n v="140"/>
    <m/>
    <n v="66"/>
    <m/>
    <n v="0"/>
    <n v="8605718.0000000056"/>
    <n v="126"/>
    <n v="414"/>
    <n v="0"/>
    <n v="140"/>
    <n v="126"/>
    <n v="0"/>
    <s v=""/>
    <n v="414"/>
    <s v="2018 (triag)"/>
    <n v="126"/>
    <n v="2022"/>
    <s v="Adjust"/>
    <n v="144.81162918437232"/>
    <n v="414"/>
    <s v="Decreasing"/>
    <m/>
    <m/>
    <m/>
    <m/>
    <n v="0"/>
    <n v="0.52663172834045746"/>
    <n v="0.16827373286502328"/>
    <n v="0.4810754895756516"/>
    <x v="0"/>
  </r>
  <r>
    <s v="Sierra Leone"/>
    <x v="35"/>
    <n v="6788600.5"/>
    <x v="32"/>
    <n v="0"/>
    <n v="6964858.4999999972"/>
    <n v="0"/>
    <m/>
    <n v="0"/>
    <m/>
    <n v="0"/>
    <m/>
    <n v="0"/>
    <m/>
    <n v="0"/>
    <n v="7861281"/>
    <n v="0"/>
    <n v="0"/>
    <m/>
    <n v="0"/>
    <m/>
    <n v="0"/>
    <m/>
    <n v="0"/>
    <n v="8605718.0000000056"/>
    <n v="0"/>
    <n v="0"/>
    <n v="0"/>
    <n v="0"/>
    <n v="0"/>
    <n v="0"/>
    <s v=""/>
    <n v="0"/>
    <s v=""/>
    <n v="0"/>
    <s v=""/>
    <s v=""/>
    <n v="0"/>
    <n v="0"/>
    <s v="No change"/>
    <m/>
    <m/>
    <m/>
    <m/>
    <n v="0"/>
    <n v="0"/>
    <n v="0"/>
    <n v="0"/>
    <x v="1"/>
  </r>
  <r>
    <s v="South Sudan"/>
    <x v="36"/>
    <n v="10701604.500000004"/>
    <x v="19"/>
    <n v="0"/>
    <n v="11106031.000000004"/>
    <n v="0"/>
    <n v="11213284.499999998"/>
    <n v="0"/>
    <n v="11194299.499999998"/>
    <n v="0"/>
    <n v="11066105"/>
    <n v="0"/>
    <n v="10658225.499999994"/>
    <n v="0"/>
    <n v="10395329.5"/>
    <n v="411"/>
    <n v="411"/>
    <n v="10447665.999999998"/>
    <n v="342"/>
    <n v="10606227.000000002"/>
    <n v="456"/>
    <n v="10748272.499999998"/>
    <n v="0"/>
    <n v="10913163.5"/>
    <n v="0"/>
    <n v="411"/>
    <n v="0"/>
    <n v="411"/>
    <n v="456"/>
    <n v="0"/>
    <s v=""/>
    <n v="411"/>
    <n v="2018"/>
    <n v="456"/>
    <n v="2020"/>
    <s v=""/>
    <n v="456"/>
    <n v="456"/>
    <s v="Increasing"/>
    <m/>
    <m/>
    <m/>
    <m/>
    <n v="0"/>
    <n v="0.39536986297548338"/>
    <n v="0.41784401012593642"/>
    <n v="0.41784401012593642"/>
    <x v="1"/>
  </r>
  <r>
    <s v="South Sudan"/>
    <x v="36"/>
    <n v="10701605.5"/>
    <x v="20"/>
    <n v="0"/>
    <n v="11106031.000000004"/>
    <n v="0"/>
    <m/>
    <n v="0"/>
    <m/>
    <n v="0"/>
    <m/>
    <n v="0"/>
    <m/>
    <n v="0"/>
    <n v="10395329.5"/>
    <n v="338"/>
    <n v="338"/>
    <m/>
    <n v="274"/>
    <m/>
    <n v="383"/>
    <m/>
    <n v="0"/>
    <n v="10913163.5"/>
    <n v="0"/>
    <n v="338"/>
    <n v="0"/>
    <n v="338"/>
    <n v="383"/>
    <n v="0"/>
    <s v=""/>
    <n v="338"/>
    <n v="2018"/>
    <n v="383"/>
    <n v="2020"/>
    <s v=""/>
    <n v="383"/>
    <n v="383"/>
    <s v="Increasing"/>
    <m/>
    <m/>
    <m/>
    <m/>
    <n v="0"/>
    <n v="0.32514601870003257"/>
    <n v="0.35095231552244222"/>
    <n v="0.35095231552244222"/>
    <x v="1"/>
  </r>
  <r>
    <s v="South Sudan"/>
    <x v="36"/>
    <n v="10701606.5"/>
    <x v="21"/>
    <n v="0"/>
    <n v="11106031.000000004"/>
    <n v="0"/>
    <m/>
    <n v="0"/>
    <m/>
    <n v="0"/>
    <m/>
    <n v="0"/>
    <m/>
    <n v="0"/>
    <n v="10395329.5"/>
    <n v="73"/>
    <n v="73"/>
    <m/>
    <n v="68"/>
    <m/>
    <n v="73"/>
    <m/>
    <n v="0"/>
    <n v="10913163.5"/>
    <n v="0"/>
    <n v="73"/>
    <n v="0"/>
    <n v="73"/>
    <n v="73"/>
    <n v="0"/>
    <s v=""/>
    <n v="73"/>
    <n v="2018"/>
    <n v="73"/>
    <n v="2020"/>
    <s v=""/>
    <n v="73"/>
    <n v="73"/>
    <s v="No change"/>
    <m/>
    <m/>
    <m/>
    <m/>
    <n v="0"/>
    <n v="7.0223844275450822E-2"/>
    <n v="6.6891694603494214E-2"/>
    <n v="6.6891694603494214E-2"/>
    <x v="1"/>
  </r>
  <r>
    <s v="South Sudan"/>
    <x v="36"/>
    <n v="10701607.5"/>
    <x v="22"/>
    <n v="0"/>
    <n v="11106031.000000004"/>
    <n v="0"/>
    <m/>
    <n v="0"/>
    <m/>
    <n v="0"/>
    <m/>
    <n v="0"/>
    <m/>
    <n v="0"/>
    <n v="10395329.5"/>
    <n v="3726"/>
    <n v="3726"/>
    <m/>
    <n v="3714"/>
    <m/>
    <n v="4530"/>
    <m/>
    <n v="0"/>
    <n v="10913163.5"/>
    <n v="0"/>
    <n v="2014"/>
    <n v="0"/>
    <n v="3726"/>
    <n v="4530"/>
    <n v="0"/>
    <s v=""/>
    <n v="3726"/>
    <n v="2018"/>
    <n v="4530"/>
    <n v="2020"/>
    <s v=""/>
    <n v="4530"/>
    <n v="4530"/>
    <s v="Increasing"/>
    <m/>
    <m/>
    <m/>
    <m/>
    <n v="0"/>
    <n v="3.5843019694565719"/>
    <n v="4.150950363751079"/>
    <n v="4.150950363751079"/>
    <x v="1"/>
  </r>
  <r>
    <s v="South Sudan"/>
    <x v="36"/>
    <n v="10701608.5"/>
    <x v="23"/>
    <n v="0"/>
    <n v="11106031.000000004"/>
    <n v="0"/>
    <m/>
    <n v="0"/>
    <m/>
    <n v="0"/>
    <m/>
    <n v="0"/>
    <m/>
    <n v="0"/>
    <n v="10395329.5"/>
    <n v="0"/>
    <n v="2014"/>
    <m/>
    <n v="502"/>
    <m/>
    <n v="596"/>
    <m/>
    <n v="0"/>
    <n v="10913163.5"/>
    <n v="0"/>
    <n v="2014"/>
    <n v="0"/>
    <n v="502"/>
    <n v="596"/>
    <n v="0"/>
    <s v=""/>
    <n v="2014"/>
    <s v="2018 (triag)"/>
    <n v="596"/>
    <n v="2020"/>
    <s v="Adjust"/>
    <n v="684.98199201496743"/>
    <n v="2014"/>
    <s v="Decreasing"/>
    <m/>
    <m/>
    <m/>
    <m/>
    <n v="0"/>
    <n v="1.9374085256268212"/>
    <n v="0.62766583861312764"/>
    <n v="1.8454777113895526"/>
    <x v="0"/>
  </r>
  <r>
    <s v="South Sudan"/>
    <x v="36"/>
    <n v="10701609.5"/>
    <x v="24"/>
    <n v="0"/>
    <n v="11106031.000000004"/>
    <n v="0"/>
    <m/>
    <n v="0"/>
    <m/>
    <n v="0"/>
    <m/>
    <n v="0"/>
    <m/>
    <n v="0"/>
    <n v="10395329.5"/>
    <n v="0"/>
    <n v="0"/>
    <m/>
    <n v="3212"/>
    <m/>
    <n v="3934"/>
    <m/>
    <n v="0"/>
    <n v="10913163.5"/>
    <n v="0"/>
    <n v="0"/>
    <n v="0"/>
    <n v="3212"/>
    <n v="3934"/>
    <n v="0"/>
    <s v=""/>
    <n v="3212"/>
    <n v="2019"/>
    <n v="3934"/>
    <n v="2020"/>
    <s v=""/>
    <n v="3934"/>
    <n v="3934"/>
    <s v="Increasing"/>
    <m/>
    <m/>
    <m/>
    <m/>
    <n v="0"/>
    <n v="3.089849148119836"/>
    <n v="3.6048209119198114"/>
    <n v="3.6048209119198114"/>
    <x v="1"/>
  </r>
  <r>
    <s v="South Sudan"/>
    <x v="36"/>
    <n v="10701610.5"/>
    <x v="25"/>
    <n v="0"/>
    <n v="11106031.000000004"/>
    <n v="0"/>
    <m/>
    <n v="0"/>
    <m/>
    <n v="0"/>
    <m/>
    <n v="0"/>
    <m/>
    <n v="0"/>
    <n v="10395329.5"/>
    <n v="0"/>
    <n v="1712"/>
    <m/>
    <n v="2380"/>
    <m/>
    <n v="3020"/>
    <m/>
    <n v="0"/>
    <n v="10913163.5"/>
    <n v="0"/>
    <n v="1712"/>
    <n v="0"/>
    <n v="2380"/>
    <n v="3020"/>
    <n v="0"/>
    <s v=""/>
    <n v="1712"/>
    <s v="2018 (triag)"/>
    <n v="3020"/>
    <n v="2020"/>
    <s v=""/>
    <n v="3020"/>
    <n v="3020"/>
    <s v="Increasing"/>
    <m/>
    <m/>
    <m/>
    <m/>
    <n v="0"/>
    <n v="1.6468934438297507"/>
    <n v="2.7673002425007196"/>
    <n v="2.7673002425007196"/>
    <x v="1"/>
  </r>
  <r>
    <s v="South Sudan"/>
    <x v="36"/>
    <n v="10701611.5"/>
    <x v="26"/>
    <n v="0"/>
    <n v="11106031.000000004"/>
    <n v="0"/>
    <m/>
    <n v="0"/>
    <m/>
    <n v="0"/>
    <m/>
    <n v="0"/>
    <m/>
    <n v="0"/>
    <n v="10395329.5"/>
    <n v="0"/>
    <n v="1112"/>
    <m/>
    <n v="380"/>
    <m/>
    <n v="456"/>
    <m/>
    <n v="0"/>
    <n v="10913163.5"/>
    <n v="0"/>
    <n v="1112"/>
    <n v="0"/>
    <n v="380"/>
    <n v="456"/>
    <n v="0"/>
    <s v=""/>
    <n v="1112"/>
    <s v="2018 (triag)"/>
    <n v="456"/>
    <n v="2020"/>
    <s v="Adjust"/>
    <n v="524.08018181010937"/>
    <n v="1112"/>
    <s v="Decreasing"/>
    <m/>
    <m/>
    <m/>
    <m/>
    <n v="0"/>
    <n v="1.0697111621137165"/>
    <n v="0.48022755437514469"/>
    <n v="1.0189529369737749"/>
    <x v="0"/>
  </r>
  <r>
    <s v="South Sudan"/>
    <x v="36"/>
    <n v="10701612.5"/>
    <x v="27"/>
    <n v="0"/>
    <n v="11106031.000000004"/>
    <n v="0"/>
    <m/>
    <n v="0"/>
    <m/>
    <n v="0"/>
    <m/>
    <n v="0"/>
    <m/>
    <n v="0"/>
    <n v="10395329.5"/>
    <n v="0"/>
    <n v="600"/>
    <m/>
    <n v="2000"/>
    <m/>
    <n v="2564"/>
    <m/>
    <n v="0"/>
    <n v="10913163.5"/>
    <n v="0"/>
    <n v="600"/>
    <n v="0"/>
    <n v="2000"/>
    <n v="2564"/>
    <n v="0"/>
    <s v=""/>
    <n v="600"/>
    <s v="2018 (triag)"/>
    <n v="2564"/>
    <n v="2020"/>
    <s v=""/>
    <n v="2564"/>
    <n v="2564"/>
    <s v="Increasing"/>
    <m/>
    <m/>
    <m/>
    <m/>
    <n v="0"/>
    <n v="0.57718228171603414"/>
    <n v="2.349456232374783"/>
    <n v="2.349456232374783"/>
    <x v="1"/>
  </r>
  <r>
    <s v="South Sudan"/>
    <x v="36"/>
    <n v="10701613.5"/>
    <x v="28"/>
    <n v="0"/>
    <n v="11106031.000000004"/>
    <n v="0"/>
    <m/>
    <n v="0"/>
    <m/>
    <n v="0"/>
    <m/>
    <n v="0"/>
    <m/>
    <n v="0"/>
    <n v="10395329.5"/>
    <n v="360"/>
    <n v="360"/>
    <m/>
    <n v="98"/>
    <m/>
    <n v="139"/>
    <m/>
    <n v="0"/>
    <n v="10913163.5"/>
    <n v="0"/>
    <n v="210"/>
    <n v="0"/>
    <n v="360"/>
    <n v="139"/>
    <n v="0"/>
    <s v=""/>
    <n v="360"/>
    <n v="2018"/>
    <n v="139"/>
    <n v="2020"/>
    <s v="Adjust"/>
    <n v="159.7525115605377"/>
    <n v="360"/>
    <s v="Decreasing"/>
    <m/>
    <m/>
    <m/>
    <m/>
    <n v="0"/>
    <n v="0.34630936902962045"/>
    <n v="0.1463851536362831"/>
    <n v="0.32987685009942352"/>
    <x v="0"/>
  </r>
  <r>
    <s v="South Sudan"/>
    <x v="36"/>
    <n v="10701614.5"/>
    <x v="29"/>
    <n v="0"/>
    <n v="11106031.000000004"/>
    <n v="0"/>
    <m/>
    <n v="0"/>
    <m/>
    <n v="0"/>
    <m/>
    <n v="0"/>
    <m/>
    <n v="0"/>
    <n v="10395329.5"/>
    <n v="0"/>
    <n v="150"/>
    <m/>
    <n v="253"/>
    <m/>
    <n v="291"/>
    <m/>
    <n v="0"/>
    <n v="10913163.5"/>
    <n v="0"/>
    <n v="150"/>
    <n v="0"/>
    <n v="253"/>
    <n v="291"/>
    <n v="0"/>
    <s v=""/>
    <n v="150"/>
    <s v="2018 (triag)"/>
    <n v="291"/>
    <n v="2020"/>
    <s v=""/>
    <n v="291"/>
    <n v="291"/>
    <s v="Increasing"/>
    <m/>
    <m/>
    <m/>
    <m/>
    <n v="0"/>
    <n v="0.14429557042900854"/>
    <n v="0.26665045383036734"/>
    <n v="0.26665045383036734"/>
    <x v="1"/>
  </r>
  <r>
    <s v="South Sudan"/>
    <x v="36"/>
    <n v="10701615.5"/>
    <x v="30"/>
    <n v="0"/>
    <n v="11106031.000000004"/>
    <n v="0"/>
    <m/>
    <n v="0"/>
    <m/>
    <n v="0"/>
    <m/>
    <n v="0"/>
    <m/>
    <n v="0"/>
    <n v="10395329.5"/>
    <n v="32"/>
    <n v="32"/>
    <m/>
    <n v="20"/>
    <m/>
    <n v="28"/>
    <m/>
    <n v="0"/>
    <n v="10913163.5"/>
    <n v="0"/>
    <n v="20"/>
    <n v="0"/>
    <n v="32"/>
    <n v="28"/>
    <n v="0"/>
    <s v=""/>
    <n v="32"/>
    <n v="2018"/>
    <n v="28"/>
    <n v="2020"/>
    <s v="Adjust"/>
    <n v="32.180362040971623"/>
    <n v="32.180362040971623"/>
    <s v="Increasing"/>
    <m/>
    <m/>
    <m/>
    <m/>
    <n v="0"/>
    <n v="3.0783055024855153E-2"/>
    <n v="2.9487656847596595E-2"/>
    <n v="2.9487656847596595E-2"/>
    <x v="1"/>
  </r>
  <r>
    <s v="South Sudan"/>
    <x v="36"/>
    <n v="10701616.5"/>
    <x v="31"/>
    <n v="0"/>
    <n v="11106031.000000004"/>
    <n v="0"/>
    <m/>
    <n v="0"/>
    <m/>
    <n v="0"/>
    <m/>
    <n v="0"/>
    <m/>
    <n v="0"/>
    <n v="10395329.5"/>
    <n v="22"/>
    <n v="22"/>
    <m/>
    <n v="96"/>
    <m/>
    <n v="128"/>
    <m/>
    <n v="0"/>
    <n v="10913163.5"/>
    <n v="0"/>
    <n v="12"/>
    <n v="0"/>
    <n v="96"/>
    <n v="128"/>
    <n v="0"/>
    <s v=""/>
    <n v="22"/>
    <n v="2018"/>
    <n v="128"/>
    <n v="2020"/>
    <s v=""/>
    <n v="128"/>
    <n v="128"/>
    <s v="Increasing"/>
    <m/>
    <m/>
    <m/>
    <m/>
    <n v="0"/>
    <n v="2.1163350329587917E-2"/>
    <n v="0.11728954670201724"/>
    <n v="0.11728954670201724"/>
    <x v="1"/>
  </r>
  <r>
    <s v="South Sudan"/>
    <x v="36"/>
    <n v="10701617.5"/>
    <x v="32"/>
    <n v="0"/>
    <n v="11106031.000000004"/>
    <n v="0"/>
    <m/>
    <n v="0"/>
    <m/>
    <n v="0"/>
    <m/>
    <n v="0"/>
    <m/>
    <n v="0"/>
    <n v="10395329.5"/>
    <n v="0"/>
    <n v="0"/>
    <m/>
    <n v="0"/>
    <m/>
    <n v="0"/>
    <m/>
    <n v="0"/>
    <n v="10913163.5"/>
    <n v="0"/>
    <n v="0"/>
    <n v="0"/>
    <n v="0"/>
    <n v="0"/>
    <n v="0"/>
    <s v=""/>
    <n v="0"/>
    <s v=""/>
    <n v="0"/>
    <s v=""/>
    <s v=""/>
    <n v="0"/>
    <n v="0"/>
    <s v="No change"/>
    <m/>
    <m/>
    <m/>
    <m/>
    <n v="0"/>
    <n v="0"/>
    <n v="0"/>
    <n v="0"/>
    <x v="1"/>
  </r>
  <r>
    <s v="Sao Tome and Principe"/>
    <x v="37"/>
    <n v="189924.5"/>
    <x v="19"/>
    <n v="0"/>
    <n v="193756.99999999997"/>
    <n v="0"/>
    <n v="197496.99999999994"/>
    <n v="0"/>
    <n v="201123.50000000012"/>
    <n v="63"/>
    <n v="204632.49999999985"/>
    <n v="0"/>
    <n v="208036.50000000012"/>
    <n v="0"/>
    <n v="211344"/>
    <n v="0"/>
    <n v="60"/>
    <n v="214599.00000000006"/>
    <n v="105"/>
    <n v="218640.99999999997"/>
    <n v="0"/>
    <n v="223107.49999999991"/>
    <n v="0"/>
    <n v="227379.5"/>
    <n v="0"/>
    <n v="60"/>
    <n v="63"/>
    <n v="105"/>
    <n v="0"/>
    <n v="63"/>
    <n v="2015"/>
    <n v="60"/>
    <s v="2018 (triag)"/>
    <n v="105"/>
    <s v="2018 (triag)"/>
    <s v=""/>
    <n v="105"/>
    <n v="105"/>
    <s v="Increasing"/>
    <m/>
    <m/>
    <m/>
    <m/>
    <n v="3.2514954298425351"/>
    <n v="2.8389734272087215"/>
    <n v="4.6178305432107996"/>
    <n v="4.6178305432107996"/>
    <x v="1"/>
  </r>
  <r>
    <s v="Sao Tome and Principe"/>
    <x v="37"/>
    <n v="189925.5"/>
    <x v="20"/>
    <n v="0"/>
    <n v="193756.99999999997"/>
    <n v="0"/>
    <m/>
    <n v="0"/>
    <m/>
    <n v="0"/>
    <m/>
    <n v="0"/>
    <m/>
    <n v="0"/>
    <n v="211344"/>
    <n v="0"/>
    <n v="40"/>
    <m/>
    <n v="0"/>
    <m/>
    <n v="0"/>
    <m/>
    <n v="0"/>
    <n v="227379.5"/>
    <n v="0"/>
    <n v="40"/>
    <n v="0"/>
    <n v="0"/>
    <n v="0"/>
    <n v="0"/>
    <s v=""/>
    <n v="40"/>
    <s v="2018 (triag)"/>
    <n v="40"/>
    <s v="2018 (triag)"/>
    <s v=""/>
    <n v="40"/>
    <n v="40"/>
    <s v="No change"/>
    <m/>
    <m/>
    <m/>
    <m/>
    <n v="0"/>
    <n v="1.8926489514724809"/>
    <n v="1.7591735402707809"/>
    <n v="1.7591735402707809"/>
    <x v="1"/>
  </r>
  <r>
    <s v="Sao Tome and Principe"/>
    <x v="37"/>
    <n v="189926.5"/>
    <x v="21"/>
    <n v="0"/>
    <n v="193756.99999999997"/>
    <n v="0"/>
    <m/>
    <n v="0"/>
    <m/>
    <n v="0"/>
    <m/>
    <n v="0"/>
    <m/>
    <n v="0"/>
    <n v="211344"/>
    <n v="0"/>
    <n v="20"/>
    <m/>
    <n v="0"/>
    <m/>
    <n v="0"/>
    <m/>
    <n v="0"/>
    <n v="227379.5"/>
    <n v="0"/>
    <n v="20"/>
    <n v="0"/>
    <n v="0"/>
    <n v="0"/>
    <n v="0"/>
    <s v=""/>
    <n v="20"/>
    <s v="2018 (triag)"/>
    <n v="20"/>
    <s v="2018 (triag)"/>
    <s v=""/>
    <n v="20"/>
    <n v="20"/>
    <s v="No change"/>
    <m/>
    <m/>
    <m/>
    <m/>
    <n v="0"/>
    <n v="0.94632447573624046"/>
    <n v="0.87958677013539044"/>
    <n v="0.87958677013539044"/>
    <x v="1"/>
  </r>
  <r>
    <s v="Sao Tome and Principe"/>
    <x v="37"/>
    <n v="189927.5"/>
    <x v="22"/>
    <n v="0"/>
    <n v="193756.99999999997"/>
    <n v="0"/>
    <m/>
    <n v="0"/>
    <m/>
    <n v="442"/>
    <m/>
    <n v="0"/>
    <m/>
    <n v="0"/>
    <n v="211344"/>
    <n v="406"/>
    <n v="406"/>
    <m/>
    <n v="440"/>
    <m/>
    <n v="0"/>
    <m/>
    <n v="0"/>
    <n v="227379.5"/>
    <n v="0"/>
    <n v="206"/>
    <n v="442"/>
    <n v="440"/>
    <n v="0"/>
    <n v="442"/>
    <n v="2015"/>
    <n v="406"/>
    <n v="2018"/>
    <n v="440"/>
    <n v="2018"/>
    <s v=""/>
    <n v="440"/>
    <n v="440"/>
    <s v="Increasing"/>
    <m/>
    <m/>
    <m/>
    <m/>
    <n v="22.812079047466675"/>
    <n v="19.21038685744568"/>
    <n v="19.350908942978588"/>
    <n v="19.350908942978588"/>
    <x v="1"/>
  </r>
  <r>
    <s v="Sao Tome and Principe"/>
    <x v="37"/>
    <n v="189928.5"/>
    <x v="23"/>
    <n v="0"/>
    <n v="193756.99999999997"/>
    <n v="0"/>
    <m/>
    <n v="0"/>
    <m/>
    <n v="0"/>
    <m/>
    <n v="0"/>
    <m/>
    <n v="0"/>
    <n v="211344"/>
    <n v="0"/>
    <n v="206"/>
    <m/>
    <n v="0"/>
    <m/>
    <n v="0"/>
    <m/>
    <n v="0"/>
    <n v="227379.5"/>
    <n v="0"/>
    <n v="206"/>
    <n v="0"/>
    <n v="0"/>
    <n v="0"/>
    <n v="0"/>
    <s v=""/>
    <n v="206"/>
    <s v="2018 (triag)"/>
    <n v="206"/>
    <s v="2018 (triag)"/>
    <s v=""/>
    <n v="206"/>
    <n v="206"/>
    <s v="No change"/>
    <m/>
    <m/>
    <m/>
    <m/>
    <n v="0"/>
    <n v="9.747142100083277"/>
    <n v="9.0597437323945211"/>
    <n v="9.0597437323945211"/>
    <x v="1"/>
  </r>
  <r>
    <s v="Sao Tome and Principe"/>
    <x v="37"/>
    <n v="189929.5"/>
    <x v="24"/>
    <n v="0"/>
    <n v="193756.99999999997"/>
    <n v="0"/>
    <m/>
    <n v="0"/>
    <m/>
    <n v="0"/>
    <m/>
    <n v="0"/>
    <m/>
    <n v="0"/>
    <n v="211344"/>
    <n v="0"/>
    <n v="0"/>
    <m/>
    <n v="0"/>
    <m/>
    <n v="0"/>
    <m/>
    <n v="0"/>
    <n v="227379.5"/>
    <n v="0"/>
    <n v="0"/>
    <n v="0"/>
    <n v="0"/>
    <n v="0"/>
    <n v="0"/>
    <s v=""/>
    <n v="0"/>
    <s v=""/>
    <n v="0"/>
    <s v=""/>
    <s v=""/>
    <n v="0"/>
    <n v="0"/>
    <s v="No change"/>
    <m/>
    <m/>
    <m/>
    <m/>
    <n v="0"/>
    <n v="0"/>
    <n v="0"/>
    <n v="0"/>
    <x v="1"/>
  </r>
  <r>
    <s v="Sao Tome and Principe"/>
    <x v="37"/>
    <n v="189930.5"/>
    <x v="25"/>
    <n v="0"/>
    <n v="193756.99999999997"/>
    <n v="31"/>
    <m/>
    <n v="0"/>
    <m/>
    <n v="0"/>
    <m/>
    <n v="0"/>
    <m/>
    <n v="0"/>
    <n v="211344"/>
    <n v="0"/>
    <n v="50"/>
    <m/>
    <n v="22"/>
    <m/>
    <n v="0"/>
    <m/>
    <n v="0"/>
    <n v="227379.5"/>
    <n v="0"/>
    <n v="50"/>
    <n v="31"/>
    <n v="22"/>
    <n v="0"/>
    <n v="31"/>
    <n v="2013"/>
    <n v="50"/>
    <s v="2018 (triag)"/>
    <n v="22"/>
    <s v="2018 (triag)"/>
    <s v="Adjust"/>
    <n v="25.284570175049133"/>
    <n v="50"/>
    <s v="Decreasing"/>
    <m/>
    <m/>
    <m/>
    <m/>
    <n v="1.599942195636803"/>
    <n v="2.3658111893406013"/>
    <n v="1.1119986707266545"/>
    <n v="2.198966925338476"/>
    <x v="0"/>
  </r>
  <r>
    <s v="Sao Tome and Principe"/>
    <x v="37"/>
    <n v="189931.5"/>
    <x v="26"/>
    <n v="0"/>
    <n v="193756.99999999997"/>
    <n v="31"/>
    <m/>
    <n v="0"/>
    <m/>
    <n v="0"/>
    <m/>
    <n v="0"/>
    <m/>
    <n v="0"/>
    <n v="211344"/>
    <n v="0"/>
    <n v="50"/>
    <m/>
    <n v="0"/>
    <m/>
    <n v="0"/>
    <m/>
    <n v="0"/>
    <n v="227379.5"/>
    <n v="0"/>
    <n v="50"/>
    <n v="31"/>
    <n v="0"/>
    <n v="0"/>
    <n v="31"/>
    <n v="2013"/>
    <n v="50"/>
    <s v="2018 (triag)"/>
    <n v="50"/>
    <s v="2018 (triag)"/>
    <s v=""/>
    <n v="50"/>
    <n v="50"/>
    <s v="No change"/>
    <m/>
    <m/>
    <m/>
    <m/>
    <n v="1.599942195636803"/>
    <n v="2.3658111893406013"/>
    <n v="2.198966925338476"/>
    <n v="2.198966925338476"/>
    <x v="1"/>
  </r>
  <r>
    <s v="Sao Tome and Principe"/>
    <x v="37"/>
    <n v="189932.5"/>
    <x v="27"/>
    <n v="0"/>
    <n v="193756.99999999997"/>
    <n v="0"/>
    <m/>
    <n v="0"/>
    <m/>
    <n v="0"/>
    <m/>
    <n v="0"/>
    <m/>
    <n v="0"/>
    <n v="211344"/>
    <n v="0"/>
    <n v="0"/>
    <m/>
    <n v="0"/>
    <m/>
    <n v="0"/>
    <m/>
    <n v="0"/>
    <n v="227379.5"/>
    <n v="0"/>
    <n v="0"/>
    <n v="0"/>
    <n v="0"/>
    <n v="0"/>
    <n v="0"/>
    <s v=""/>
    <n v="0"/>
    <s v=""/>
    <n v="0"/>
    <s v=""/>
    <s v=""/>
    <n v="0"/>
    <n v="0"/>
    <s v="No change"/>
    <m/>
    <m/>
    <m/>
    <m/>
    <n v="0"/>
    <n v="0"/>
    <n v="0"/>
    <n v="0"/>
    <x v="1"/>
  </r>
  <r>
    <s v="Sao Tome and Principe"/>
    <x v="37"/>
    <n v="189933.5"/>
    <x v="28"/>
    <n v="0"/>
    <n v="193756.99999999997"/>
    <n v="0"/>
    <m/>
    <n v="0"/>
    <m/>
    <n v="0"/>
    <m/>
    <n v="0"/>
    <m/>
    <n v="0"/>
    <n v="211344"/>
    <n v="0"/>
    <n v="0"/>
    <m/>
    <n v="37"/>
    <m/>
    <n v="0"/>
    <m/>
    <n v="0"/>
    <n v="227379.5"/>
    <n v="0"/>
    <n v="0"/>
    <n v="0"/>
    <n v="37"/>
    <n v="0"/>
    <n v="0"/>
    <s v=""/>
    <n v="37"/>
    <n v="2019"/>
    <n v="37"/>
    <n v="2019"/>
    <s v=""/>
    <n v="37"/>
    <n v="37"/>
    <s v="No change"/>
    <m/>
    <m/>
    <m/>
    <m/>
    <n v="0"/>
    <n v="1.7507002801120448"/>
    <n v="1.6272355247504722"/>
    <n v="1.6272355247504722"/>
    <x v="1"/>
  </r>
  <r>
    <s v="Sao Tome and Principe"/>
    <x v="37"/>
    <n v="189934.5"/>
    <x v="29"/>
    <n v="0"/>
    <n v="193756.99999999997"/>
    <n v="0"/>
    <m/>
    <n v="0"/>
    <m/>
    <n v="0"/>
    <m/>
    <n v="0"/>
    <m/>
    <n v="0"/>
    <n v="211344"/>
    <n v="0"/>
    <n v="0"/>
    <m/>
    <n v="0"/>
    <m/>
    <n v="0"/>
    <m/>
    <n v="0"/>
    <n v="227379.5"/>
    <n v="0"/>
    <n v="0"/>
    <n v="0"/>
    <n v="0"/>
    <n v="0"/>
    <n v="0"/>
    <s v=""/>
    <n v="0"/>
    <s v=""/>
    <n v="0"/>
    <s v=""/>
    <s v=""/>
    <n v="0"/>
    <n v="0"/>
    <s v="No change"/>
    <m/>
    <m/>
    <m/>
    <m/>
    <n v="0"/>
    <n v="0"/>
    <n v="0"/>
    <n v="0"/>
    <x v="1"/>
  </r>
  <r>
    <s v="Sao Tome and Principe"/>
    <x v="37"/>
    <n v="189935.5"/>
    <x v="30"/>
    <n v="0"/>
    <n v="193756.99999999997"/>
    <n v="0"/>
    <m/>
    <n v="0"/>
    <m/>
    <n v="0"/>
    <m/>
    <n v="0"/>
    <m/>
    <n v="0"/>
    <n v="211344"/>
    <n v="0"/>
    <n v="0"/>
    <m/>
    <n v="6"/>
    <m/>
    <n v="0"/>
    <m/>
    <n v="0"/>
    <n v="227379.5"/>
    <n v="0"/>
    <n v="0"/>
    <n v="0"/>
    <n v="6"/>
    <n v="0"/>
    <n v="0"/>
    <s v=""/>
    <n v="6"/>
    <n v="2019"/>
    <n v="6"/>
    <n v="2019"/>
    <s v=""/>
    <n v="6"/>
    <n v="6"/>
    <s v="No change"/>
    <m/>
    <m/>
    <m/>
    <m/>
    <n v="0"/>
    <n v="0.28389734272087214"/>
    <n v="0.26387603104061713"/>
    <n v="0.26387603104061713"/>
    <x v="1"/>
  </r>
  <r>
    <s v="Sao Tome and Principe"/>
    <x v="37"/>
    <n v="189936.5"/>
    <x v="31"/>
    <n v="0"/>
    <n v="193756.99999999997"/>
    <n v="0"/>
    <m/>
    <n v="0"/>
    <m/>
    <n v="0"/>
    <m/>
    <n v="0"/>
    <m/>
    <n v="0"/>
    <n v="211344"/>
    <n v="0"/>
    <n v="0"/>
    <m/>
    <n v="0"/>
    <m/>
    <n v="0"/>
    <m/>
    <n v="0"/>
    <n v="227379.5"/>
    <n v="0"/>
    <n v="0"/>
    <n v="0"/>
    <n v="0"/>
    <n v="0"/>
    <n v="0"/>
    <s v=""/>
    <n v="0"/>
    <s v=""/>
    <n v="0"/>
    <s v=""/>
    <s v=""/>
    <n v="0"/>
    <n v="0"/>
    <s v="No change"/>
    <m/>
    <m/>
    <m/>
    <m/>
    <n v="0"/>
    <n v="0"/>
    <n v="0"/>
    <n v="0"/>
    <x v="1"/>
  </r>
  <r>
    <s v="Sao Tome and Principe"/>
    <x v="37"/>
    <n v="189937.5"/>
    <x v="32"/>
    <n v="0"/>
    <n v="193756.99999999997"/>
    <n v="0"/>
    <m/>
    <n v="0"/>
    <m/>
    <n v="0"/>
    <m/>
    <n v="0"/>
    <m/>
    <n v="0"/>
    <n v="211344"/>
    <n v="0"/>
    <n v="0"/>
    <m/>
    <n v="0"/>
    <m/>
    <n v="0"/>
    <m/>
    <n v="0"/>
    <n v="227379.5"/>
    <n v="0"/>
    <n v="0"/>
    <n v="0"/>
    <n v="0"/>
    <n v="0"/>
    <n v="0"/>
    <s v=""/>
    <n v="0"/>
    <s v=""/>
    <n v="0"/>
    <s v=""/>
    <s v=""/>
    <n v="0"/>
    <n v="0"/>
    <s v="No change"/>
    <m/>
    <m/>
    <m/>
    <m/>
    <n v="0"/>
    <n v="0"/>
    <n v="0"/>
    <n v="0"/>
    <x v="1"/>
  </r>
  <r>
    <s v="Eswatini"/>
    <x v="38"/>
    <n v="1111443.9999999998"/>
    <x v="19"/>
    <n v="0"/>
    <n v="1118318.9999999998"/>
    <n v="0"/>
    <n v="1125865.0000000005"/>
    <n v="0"/>
    <n v="1133935.9999999998"/>
    <n v="0"/>
    <n v="1142524"/>
    <n v="107"/>
    <n v="1151390.5000000002"/>
    <n v="208"/>
    <n v="1160427.5"/>
    <n v="278"/>
    <n v="278"/>
    <n v="1169612.9999999998"/>
    <n v="0"/>
    <n v="1180654.9999999998"/>
    <n v="165"/>
    <n v="1192271.0000000002"/>
    <n v="0"/>
    <n v="1201670.4999999995"/>
    <n v="687"/>
    <n v="278"/>
    <n v="0"/>
    <n v="278"/>
    <n v="687"/>
    <n v="0"/>
    <s v=""/>
    <n v="278"/>
    <n v="2018"/>
    <n v="687"/>
    <n v="2022"/>
    <s v=""/>
    <n v="687"/>
    <n v="687"/>
    <s v="Increasing"/>
    <m/>
    <m/>
    <m/>
    <m/>
    <n v="0"/>
    <n v="2.395668837562019"/>
    <n v="5.7170414019483733"/>
    <n v="5.7170414019483733"/>
    <x v="1"/>
  </r>
  <r>
    <s v="Eswatini"/>
    <x v="38"/>
    <n v="1111445"/>
    <x v="20"/>
    <n v="0"/>
    <n v="1118318.9999999998"/>
    <n v="0"/>
    <m/>
    <n v="0"/>
    <m/>
    <n v="0"/>
    <m/>
    <n v="0"/>
    <m/>
    <n v="0"/>
    <n v="1160427.5"/>
    <n v="211"/>
    <n v="211"/>
    <m/>
    <n v="0"/>
    <m/>
    <n v="136"/>
    <m/>
    <n v="0"/>
    <n v="1201670.4999999995"/>
    <n v="623"/>
    <n v="211"/>
    <n v="0"/>
    <n v="211"/>
    <n v="623"/>
    <n v="0"/>
    <s v=""/>
    <n v="211"/>
    <n v="2018"/>
    <n v="623"/>
    <n v="2022"/>
    <s v=""/>
    <n v="623"/>
    <n v="623"/>
    <s v="Increasing"/>
    <m/>
    <m/>
    <m/>
    <m/>
    <n v="0"/>
    <n v="1.8182954126819642"/>
    <n v="5.1844494809517272"/>
    <n v="5.1844494809517272"/>
    <x v="1"/>
  </r>
  <r>
    <s v="Eswatini"/>
    <x v="38"/>
    <n v="1111446"/>
    <x v="21"/>
    <n v="0"/>
    <n v="1118318.9999999998"/>
    <n v="0"/>
    <m/>
    <n v="0"/>
    <m/>
    <n v="0"/>
    <m/>
    <n v="0"/>
    <m/>
    <n v="0"/>
    <n v="1160427.5"/>
    <n v="67"/>
    <n v="67"/>
    <m/>
    <n v="0"/>
    <m/>
    <n v="29"/>
    <m/>
    <n v="0"/>
    <n v="1201670.4999999995"/>
    <m/>
    <n v="67"/>
    <n v="0"/>
    <n v="67"/>
    <n v="29"/>
    <n v="0"/>
    <s v=""/>
    <n v="67"/>
    <n v="2018"/>
    <n v="29"/>
    <n v="2020"/>
    <s v="Adjust"/>
    <n v="41.564529501174519"/>
    <n v="67"/>
    <s v="Decreasing"/>
    <m/>
    <m/>
    <m/>
    <m/>
    <n v="0"/>
    <n v="0.57737342488005494"/>
    <n v="0.3458895720680048"/>
    <n v="0.55755716729336391"/>
    <x v="0"/>
  </r>
  <r>
    <s v="Eswatini"/>
    <x v="38"/>
    <n v="1111447"/>
    <x v="22"/>
    <n v="0"/>
    <n v="1118318.9999999998"/>
    <n v="3735"/>
    <m/>
    <n v="3847"/>
    <m/>
    <n v="3976"/>
    <m/>
    <n v="4200"/>
    <m/>
    <n v="4431"/>
    <n v="1160427.5"/>
    <n v="4706"/>
    <n v="4706"/>
    <m/>
    <n v="0"/>
    <m/>
    <n v="2917"/>
    <m/>
    <n v="0"/>
    <n v="1201670.4999999995"/>
    <n v="5242"/>
    <n v="2204"/>
    <n v="3976"/>
    <n v="4706"/>
    <n v="5242"/>
    <n v="3735"/>
    <n v="2013"/>
    <n v="4706"/>
    <n v="2018"/>
    <n v="5242"/>
    <n v="2022"/>
    <s v=""/>
    <n v="5242"/>
    <n v="5242"/>
    <s v="Increasing"/>
    <m/>
    <m/>
    <m/>
    <m/>
    <n v="33.398341618089297"/>
    <n v="40.554019962470726"/>
    <n v="43.622607029131544"/>
    <n v="43.622607029131544"/>
    <x v="1"/>
  </r>
  <r>
    <s v="Eswatini"/>
    <x v="38"/>
    <n v="1111448"/>
    <x v="23"/>
    <n v="0"/>
    <n v="1118318.9999999998"/>
    <n v="2926"/>
    <m/>
    <n v="3002"/>
    <m/>
    <n v="3081"/>
    <m/>
    <n v="3257"/>
    <m/>
    <n v="3438"/>
    <n v="1160427.5"/>
    <n v="3677"/>
    <n v="3677"/>
    <m/>
    <n v="0"/>
    <m/>
    <n v="2523"/>
    <m/>
    <n v="0"/>
    <n v="1201670.4999999995"/>
    <n v="3144"/>
    <n v="1749"/>
    <n v="3081"/>
    <n v="3677"/>
    <n v="3144"/>
    <n v="2926"/>
    <n v="2013"/>
    <n v="3677"/>
    <n v="2018"/>
    <n v="3144"/>
    <n v="2022"/>
    <s v="Adjust"/>
    <n v="4506.1683017825071"/>
    <n v="4506.1683017825071"/>
    <s v="Increasing"/>
    <m/>
    <m/>
    <m/>
    <m/>
    <n v="26.16426976560356"/>
    <n v="31.686598257969585"/>
    <n v="37.499200502820941"/>
    <n v="37.499200502820941"/>
    <x v="1"/>
  </r>
  <r>
    <s v="Eswatini"/>
    <x v="38"/>
    <n v="1111449"/>
    <x v="24"/>
    <n v="0"/>
    <n v="1118318.9999999998"/>
    <n v="809"/>
    <m/>
    <n v="845"/>
    <m/>
    <n v="895"/>
    <m/>
    <n v="943"/>
    <m/>
    <n v="993"/>
    <n v="1160427.5"/>
    <n v="1029"/>
    <n v="1029"/>
    <m/>
    <n v="0"/>
    <m/>
    <n v="394"/>
    <m/>
    <n v="0"/>
    <n v="1201670.4999999995"/>
    <n v="680"/>
    <n v="455"/>
    <n v="895"/>
    <n v="1029"/>
    <n v="680"/>
    <n v="809"/>
    <n v="2013"/>
    <n v="1029"/>
    <n v="2018"/>
    <n v="680"/>
    <n v="2022"/>
    <s v="Adjust"/>
    <n v="974.61655382064396"/>
    <n v="1029"/>
    <s v="Decreasing"/>
    <m/>
    <m/>
    <m/>
    <m/>
    <n v="7.2340718524857417"/>
    <n v="8.8674217045011421"/>
    <n v="8.1105141036635615"/>
    <n v="8.5630794797742009"/>
    <x v="1"/>
  </r>
  <r>
    <s v="Eswatini"/>
    <x v="38"/>
    <n v="1111450"/>
    <x v="25"/>
    <n v="0"/>
    <n v="1118318.9999999998"/>
    <n v="0"/>
    <m/>
    <n v="0"/>
    <m/>
    <n v="0"/>
    <m/>
    <n v="0"/>
    <m/>
    <n v="0"/>
    <n v="1160427.5"/>
    <n v="0"/>
    <n v="14"/>
    <m/>
    <n v="0"/>
    <m/>
    <n v="0"/>
    <m/>
    <n v="0"/>
    <n v="1201670.4999999995"/>
    <n v="0"/>
    <n v="14"/>
    <n v="0"/>
    <n v="0"/>
    <n v="0"/>
    <n v="0"/>
    <s v=""/>
    <n v="14"/>
    <s v="2018 (triag)"/>
    <n v="14"/>
    <s v="2018 (triag)"/>
    <s v=""/>
    <n v="14"/>
    <n v="14"/>
    <s v="No change"/>
    <m/>
    <m/>
    <m/>
    <m/>
    <n v="0"/>
    <n v="0.12064519325851895"/>
    <n v="0.11650448271801633"/>
    <n v="0.11650448271801633"/>
    <x v="1"/>
  </r>
  <r>
    <s v="Eswatini"/>
    <x v="38"/>
    <n v="1111451"/>
    <x v="26"/>
    <n v="0"/>
    <n v="1118318.9999999998"/>
    <n v="0"/>
    <m/>
    <n v="0"/>
    <m/>
    <n v="0"/>
    <m/>
    <n v="0"/>
    <m/>
    <n v="0"/>
    <n v="1160427.5"/>
    <n v="0"/>
    <n v="14"/>
    <m/>
    <n v="0"/>
    <m/>
    <n v="0"/>
    <m/>
    <n v="0"/>
    <n v="1201670.4999999995"/>
    <n v="0"/>
    <n v="14"/>
    <n v="0"/>
    <n v="0"/>
    <n v="0"/>
    <n v="0"/>
    <s v=""/>
    <n v="14"/>
    <s v="2018 (triag)"/>
    <n v="14"/>
    <s v="2018 (triag)"/>
    <s v=""/>
    <n v="14"/>
    <n v="14"/>
    <s v="No change"/>
    <m/>
    <m/>
    <m/>
    <m/>
    <n v="0"/>
    <n v="0.12064519325851895"/>
    <n v="0.11650448271801633"/>
    <n v="0.11650448271801633"/>
    <x v="1"/>
  </r>
  <r>
    <s v="Eswatini"/>
    <x v="38"/>
    <n v="1111452"/>
    <x v="27"/>
    <n v="0"/>
    <n v="1118318.9999999998"/>
    <n v="0"/>
    <m/>
    <n v="0"/>
    <m/>
    <n v="0"/>
    <m/>
    <n v="0"/>
    <m/>
    <n v="0"/>
    <n v="1160427.5"/>
    <n v="0"/>
    <n v="0"/>
    <m/>
    <n v="0"/>
    <m/>
    <n v="0"/>
    <m/>
    <n v="0"/>
    <n v="1201670.4999999995"/>
    <n v="0"/>
    <n v="0"/>
    <n v="0"/>
    <n v="0"/>
    <n v="0"/>
    <n v="0"/>
    <s v=""/>
    <n v="0"/>
    <s v=""/>
    <n v="0"/>
    <s v=""/>
    <s v=""/>
    <n v="0"/>
    <n v="0"/>
    <s v="No change"/>
    <m/>
    <m/>
    <m/>
    <m/>
    <n v="0"/>
    <n v="0"/>
    <n v="0"/>
    <n v="0"/>
    <x v="1"/>
  </r>
  <r>
    <s v="Eswatini"/>
    <x v="38"/>
    <n v="1111453"/>
    <x v="28"/>
    <n v="0"/>
    <n v="1118318.9999999998"/>
    <n v="0"/>
    <m/>
    <n v="0"/>
    <m/>
    <n v="0"/>
    <m/>
    <n v="0"/>
    <m/>
    <n v="0"/>
    <n v="1160427.5"/>
    <n v="281"/>
    <n v="281"/>
    <m/>
    <n v="0"/>
    <m/>
    <n v="48"/>
    <m/>
    <n v="0"/>
    <n v="1201670.4999999995"/>
    <n v="42"/>
    <n v="110"/>
    <n v="0"/>
    <n v="281"/>
    <n v="48"/>
    <n v="0"/>
    <s v=""/>
    <n v="281"/>
    <n v="2018"/>
    <n v="42"/>
    <n v="2022"/>
    <s v="Adjust"/>
    <n v="60.196904794804482"/>
    <n v="281"/>
    <s v="Decreasing"/>
    <m/>
    <m/>
    <m/>
    <m/>
    <n v="0"/>
    <n v="2.4215213789745591"/>
    <n v="0.5009435181674553"/>
    <n v="2.3384114031258996"/>
    <x v="0"/>
  </r>
  <r>
    <s v="Eswatini"/>
    <x v="38"/>
    <n v="1111454"/>
    <x v="29"/>
    <n v="0"/>
    <n v="1118318.9999999998"/>
    <n v="0"/>
    <m/>
    <n v="0"/>
    <m/>
    <n v="0"/>
    <m/>
    <n v="0"/>
    <m/>
    <n v="0"/>
    <n v="1160427.5"/>
    <n v="0"/>
    <n v="171"/>
    <m/>
    <n v="0"/>
    <m/>
    <n v="80"/>
    <m/>
    <n v="0"/>
    <n v="1201670.4999999995"/>
    <n v="0"/>
    <n v="171"/>
    <n v="0"/>
    <n v="0"/>
    <n v="80"/>
    <n v="0"/>
    <s v=""/>
    <n v="171"/>
    <s v="2018 (triag)"/>
    <n v="80"/>
    <n v="2020"/>
    <s v="Adjust"/>
    <n v="114.66077103772281"/>
    <n v="171"/>
    <s v="Decreasing"/>
    <m/>
    <m/>
    <m/>
    <m/>
    <n v="0"/>
    <n v="1.4735948605147673"/>
    <n v="0.95417812984277195"/>
    <n v="1.4230190389129138"/>
    <x v="0"/>
  </r>
  <r>
    <s v="Eswatini"/>
    <x v="38"/>
    <n v="1111455"/>
    <x v="30"/>
    <n v="0"/>
    <n v="1118318.9999999998"/>
    <n v="0"/>
    <m/>
    <n v="0"/>
    <m/>
    <n v="0"/>
    <m/>
    <n v="0"/>
    <m/>
    <n v="0"/>
    <n v="1160427.5"/>
    <n v="74"/>
    <n v="74"/>
    <m/>
    <n v="14"/>
    <m/>
    <n v="22"/>
    <m/>
    <n v="0"/>
    <n v="1201670.4999999995"/>
    <n v="35"/>
    <n v="28"/>
    <n v="0"/>
    <n v="74"/>
    <n v="35"/>
    <n v="0"/>
    <s v=""/>
    <n v="74"/>
    <n v="2018"/>
    <n v="35"/>
    <n v="2022"/>
    <s v="Adjust"/>
    <n v="50.164087329003735"/>
    <n v="74"/>
    <s v="Decreasing"/>
    <m/>
    <m/>
    <m/>
    <m/>
    <n v="0"/>
    <n v="0.63769602150931448"/>
    <n v="0.41745293180621268"/>
    <n v="0.6158094086523721"/>
    <x v="0"/>
  </r>
  <r>
    <s v="Eswatini"/>
    <x v="38"/>
    <n v="1111456"/>
    <x v="31"/>
    <n v="0"/>
    <n v="1118318.9999999998"/>
    <n v="0"/>
    <m/>
    <n v="0"/>
    <m/>
    <n v="0"/>
    <m/>
    <n v="0"/>
    <m/>
    <n v="0"/>
    <n v="1160427.5"/>
    <n v="0"/>
    <n v="46"/>
    <m/>
    <n v="19"/>
    <m/>
    <n v="28"/>
    <m/>
    <n v="0"/>
    <n v="1201670.4999999995"/>
    <n v="0"/>
    <n v="46"/>
    <n v="0"/>
    <n v="19"/>
    <n v="28"/>
    <n v="0"/>
    <s v=""/>
    <n v="46"/>
    <s v="2018 (triag)"/>
    <n v="28"/>
    <n v="2020"/>
    <s v="Adjust"/>
    <n v="40.131269863202988"/>
    <n v="46"/>
    <s v="Decreasing"/>
    <m/>
    <m/>
    <m/>
    <m/>
    <n v="0"/>
    <n v="0.39640563499227655"/>
    <n v="0.33396234544497017"/>
    <n v="0.38280044321633938"/>
    <x v="1"/>
  </r>
  <r>
    <s v="Eswatini"/>
    <x v="38"/>
    <n v="1111457"/>
    <x v="32"/>
    <n v="0"/>
    <n v="1118318.9999999998"/>
    <n v="0"/>
    <m/>
    <n v="0"/>
    <m/>
    <n v="0"/>
    <m/>
    <n v="0"/>
    <m/>
    <n v="0"/>
    <n v="1160427.5"/>
    <n v="0"/>
    <n v="0"/>
    <m/>
    <n v="0"/>
    <m/>
    <n v="12"/>
    <m/>
    <n v="0"/>
    <n v="1201670.4999999995"/>
    <n v="0"/>
    <n v="0"/>
    <n v="0"/>
    <n v="0"/>
    <n v="12"/>
    <n v="0"/>
    <s v=""/>
    <n v="0"/>
    <s v=""/>
    <n v="12"/>
    <n v="2020"/>
    <s v=""/>
    <n v="12"/>
    <n v="12"/>
    <s v="Increasing"/>
    <m/>
    <m/>
    <m/>
    <m/>
    <n v="0"/>
    <n v="0"/>
    <n v="9.9860985186871143E-2"/>
    <n v="9.9860985186871143E-2"/>
    <x v="1"/>
  </r>
  <r>
    <s v="Seychelles"/>
    <x v="39"/>
    <n v="95308.999999999985"/>
    <x v="19"/>
    <n v="93"/>
    <n v="96714"/>
    <n v="0"/>
    <n v="98000.999999999927"/>
    <n v="0"/>
    <n v="99239.999999999971"/>
    <n v="0"/>
    <n v="100508.49999999997"/>
    <n v="203"/>
    <n v="101810.50000000001"/>
    <n v="0"/>
    <n v="103101.00000000003"/>
    <n v="240"/>
    <n v="240"/>
    <n v="104372.49999999997"/>
    <n v="220"/>
    <n v="105529.99999999997"/>
    <n v="0"/>
    <n v="106470.49999999996"/>
    <n v="0"/>
    <n v="107118.5"/>
    <n v="828"/>
    <n v="240"/>
    <n v="93"/>
    <n v="240"/>
    <n v="828"/>
    <n v="93"/>
    <n v="2012"/>
    <n v="240"/>
    <n v="2018"/>
    <n v="828"/>
    <n v="2022"/>
    <s v=""/>
    <n v="828"/>
    <n v="828"/>
    <s v="Increasing"/>
    <m/>
    <m/>
    <m/>
    <m/>
    <n v="9.6159811402692483"/>
    <n v="23.278144731864863"/>
    <n v="77.297572314772893"/>
    <n v="77.297572314772893"/>
    <x v="1"/>
  </r>
  <r>
    <s v="Seychelles"/>
    <x v="39"/>
    <n v="95310"/>
    <x v="20"/>
    <n v="0"/>
    <n v="96714"/>
    <n v="0"/>
    <m/>
    <n v="0"/>
    <m/>
    <n v="0"/>
    <m/>
    <n v="82"/>
    <m/>
    <n v="0"/>
    <n v="103101.00000000003"/>
    <n v="125"/>
    <n v="125"/>
    <m/>
    <n v="0"/>
    <m/>
    <n v="0"/>
    <m/>
    <n v="0"/>
    <n v="107118.5"/>
    <n v="125"/>
    <n v="125"/>
    <n v="0"/>
    <n v="125"/>
    <n v="125"/>
    <n v="0"/>
    <s v=""/>
    <n v="125"/>
    <n v="2018"/>
    <n v="125"/>
    <n v="2022"/>
    <s v=""/>
    <n v="125"/>
    <n v="125"/>
    <s v="No change"/>
    <m/>
    <m/>
    <m/>
    <m/>
    <n v="0"/>
    <n v="12.124033714512949"/>
    <n v="11.669319491964506"/>
    <n v="11.669319491964506"/>
    <x v="1"/>
  </r>
  <r>
    <s v="Seychelles"/>
    <x v="39"/>
    <n v="95311"/>
    <x v="21"/>
    <n v="0"/>
    <n v="96714"/>
    <n v="0"/>
    <m/>
    <n v="0"/>
    <m/>
    <n v="0"/>
    <m/>
    <n v="121"/>
    <m/>
    <n v="0"/>
    <n v="103101.00000000003"/>
    <n v="115"/>
    <n v="115"/>
    <m/>
    <n v="0"/>
    <m/>
    <n v="0"/>
    <m/>
    <n v="0"/>
    <n v="107118.5"/>
    <n v="346"/>
    <n v="115"/>
    <n v="0"/>
    <n v="121"/>
    <n v="346"/>
    <n v="0"/>
    <s v=""/>
    <n v="115"/>
    <n v="2018"/>
    <n v="346"/>
    <n v="2022"/>
    <s v=""/>
    <n v="346"/>
    <n v="346"/>
    <s v="Increasing"/>
    <m/>
    <m/>
    <m/>
    <m/>
    <n v="0"/>
    <n v="11.154111017351914"/>
    <n v="32.300676353757751"/>
    <n v="32.300676353757751"/>
    <x v="1"/>
  </r>
  <r>
    <s v="Seychelles"/>
    <x v="39"/>
    <n v="95312"/>
    <x v="22"/>
    <n v="419"/>
    <n v="96714"/>
    <n v="0"/>
    <m/>
    <n v="0"/>
    <m/>
    <n v="0"/>
    <m/>
    <n v="684"/>
    <m/>
    <n v="0"/>
    <n v="103101.00000000003"/>
    <n v="951"/>
    <n v="1272"/>
    <m/>
    <n v="0"/>
    <m/>
    <n v="0"/>
    <m/>
    <n v="0"/>
    <n v="107118.5"/>
    <n v="1277"/>
    <n v="1272"/>
    <n v="419"/>
    <n v="951"/>
    <n v="1277"/>
    <n v="419"/>
    <n v="2012"/>
    <n v="1272"/>
    <s v="2018 (triag)"/>
    <n v="1277"/>
    <n v="2022"/>
    <s v=""/>
    <n v="1277"/>
    <n v="1277"/>
    <s v="Increasing"/>
    <m/>
    <m/>
    <m/>
    <m/>
    <n v="43.323613954546396"/>
    <n v="123.37416707888377"/>
    <n v="119.21376792990939"/>
    <n v="119.21376792990939"/>
    <x v="1"/>
  </r>
  <r>
    <s v="Seychelles"/>
    <x v="39"/>
    <n v="95313"/>
    <x v="23"/>
    <n v="0"/>
    <n v="96714"/>
    <n v="0"/>
    <m/>
    <n v="0"/>
    <m/>
    <n v="0"/>
    <m/>
    <n v="0"/>
    <m/>
    <n v="0"/>
    <n v="103101.00000000003"/>
    <n v="951"/>
    <n v="1272"/>
    <m/>
    <n v="0"/>
    <m/>
    <n v="0"/>
    <m/>
    <n v="0"/>
    <n v="107118.5"/>
    <n v="623"/>
    <n v="1272"/>
    <n v="0"/>
    <n v="951"/>
    <n v="623"/>
    <n v="0"/>
    <s v=""/>
    <n v="1272"/>
    <s v="2018 (triag)"/>
    <n v="623"/>
    <n v="2022"/>
    <s v="Adjust"/>
    <n v="716.01305541161867"/>
    <n v="1272"/>
    <s v="Decreasing"/>
    <m/>
    <m/>
    <m/>
    <m/>
    <n v="0"/>
    <n v="123.37416707888377"/>
    <n v="66.843080832126915"/>
    <n v="118.74699515023082"/>
    <x v="0"/>
  </r>
  <r>
    <s v="Seychelles"/>
    <x v="39"/>
    <n v="95314"/>
    <x v="24"/>
    <n v="0"/>
    <n v="96714"/>
    <n v="0"/>
    <m/>
    <n v="0"/>
    <m/>
    <n v="0"/>
    <m/>
    <n v="0"/>
    <m/>
    <n v="0"/>
    <n v="103101.00000000003"/>
    <n v="0"/>
    <n v="0"/>
    <m/>
    <n v="0"/>
    <m/>
    <n v="0"/>
    <m/>
    <n v="0"/>
    <n v="107118.5"/>
    <n v="0"/>
    <n v="0"/>
    <n v="0"/>
    <n v="0"/>
    <n v="0"/>
    <n v="0"/>
    <s v=""/>
    <n v="0"/>
    <s v=""/>
    <n v="0"/>
    <s v=""/>
    <s v=""/>
    <n v="0"/>
    <n v="0"/>
    <s v="No change"/>
    <m/>
    <m/>
    <m/>
    <m/>
    <n v="0"/>
    <n v="0"/>
    <n v="0"/>
    <n v="0"/>
    <x v="1"/>
  </r>
  <r>
    <s v="Seychelles"/>
    <x v="39"/>
    <n v="95315"/>
    <x v="25"/>
    <n v="0"/>
    <n v="96714"/>
    <n v="0"/>
    <m/>
    <n v="0"/>
    <m/>
    <n v="0"/>
    <m/>
    <n v="89"/>
    <m/>
    <n v="0"/>
    <n v="103101.00000000003"/>
    <n v="158"/>
    <n v="158"/>
    <m/>
    <n v="0"/>
    <m/>
    <n v="0"/>
    <m/>
    <n v="0"/>
    <n v="107118.5"/>
    <n v="156"/>
    <n v="5"/>
    <n v="0"/>
    <n v="158"/>
    <n v="156"/>
    <n v="0"/>
    <s v=""/>
    <n v="158"/>
    <n v="2018"/>
    <n v="156"/>
    <n v="2022"/>
    <s v="Adjust"/>
    <n v="179.29058851398477"/>
    <n v="179.29058851398477"/>
    <s v="Increasing"/>
    <m/>
    <m/>
    <m/>
    <m/>
    <n v="0"/>
    <n v="15.324778615144369"/>
    <n v="16.737593274176241"/>
    <n v="16.737593274176241"/>
    <x v="1"/>
  </r>
  <r>
    <s v="Seychelles"/>
    <x v="39"/>
    <n v="95316"/>
    <x v="26"/>
    <n v="0"/>
    <n v="96714"/>
    <n v="0"/>
    <m/>
    <n v="0"/>
    <m/>
    <n v="0"/>
    <m/>
    <n v="0"/>
    <m/>
    <n v="0"/>
    <n v="103101.00000000003"/>
    <n v="158"/>
    <n v="158"/>
    <m/>
    <n v="0"/>
    <m/>
    <n v="0"/>
    <m/>
    <n v="0"/>
    <n v="107118.5"/>
    <n v="156"/>
    <n v="5"/>
    <n v="0"/>
    <n v="158"/>
    <n v="156"/>
    <n v="0"/>
    <s v=""/>
    <n v="158"/>
    <n v="2018"/>
    <n v="156"/>
    <n v="2022"/>
    <s v="Adjust"/>
    <n v="179.29058851398477"/>
    <n v="179.29058851398477"/>
    <s v="Increasing"/>
    <m/>
    <m/>
    <m/>
    <m/>
    <n v="0"/>
    <n v="15.324778615144369"/>
    <n v="16.737593274176241"/>
    <n v="16.737593274176241"/>
    <x v="1"/>
  </r>
  <r>
    <s v="Seychelles"/>
    <x v="39"/>
    <n v="95317"/>
    <x v="27"/>
    <n v="0"/>
    <n v="96714"/>
    <n v="0"/>
    <m/>
    <n v="0"/>
    <m/>
    <n v="0"/>
    <m/>
    <n v="0"/>
    <m/>
    <n v="0"/>
    <n v="103101.00000000003"/>
    <n v="0"/>
    <n v="0"/>
    <m/>
    <n v="0"/>
    <m/>
    <n v="0"/>
    <m/>
    <n v="0"/>
    <n v="107118.5"/>
    <n v="0"/>
    <n v="0"/>
    <n v="0"/>
    <n v="0"/>
    <n v="0"/>
    <n v="0"/>
    <s v=""/>
    <n v="0"/>
    <s v=""/>
    <n v="0"/>
    <s v=""/>
    <s v=""/>
    <n v="0"/>
    <n v="0"/>
    <s v="No change"/>
    <m/>
    <m/>
    <m/>
    <m/>
    <n v="0"/>
    <n v="0"/>
    <n v="0"/>
    <n v="0"/>
    <x v="1"/>
  </r>
  <r>
    <s v="Seychelles"/>
    <x v="39"/>
    <n v="95318"/>
    <x v="28"/>
    <n v="4"/>
    <n v="96714"/>
    <n v="0"/>
    <m/>
    <n v="0"/>
    <m/>
    <n v="0"/>
    <m/>
    <n v="45"/>
    <m/>
    <n v="0"/>
    <n v="103101.00000000003"/>
    <n v="124"/>
    <n v="124"/>
    <m/>
    <n v="0"/>
    <m/>
    <n v="0"/>
    <m/>
    <n v="0"/>
    <n v="107118.5"/>
    <n v="61"/>
    <n v="61"/>
    <n v="4"/>
    <n v="124"/>
    <n v="61"/>
    <n v="4"/>
    <n v="2012"/>
    <n v="124"/>
    <n v="2018"/>
    <n v="61"/>
    <n v="2022"/>
    <s v="Adjust"/>
    <n v="70.107217303545326"/>
    <n v="124"/>
    <s v="Decreasing"/>
    <m/>
    <m/>
    <m/>
    <m/>
    <n v="0.41359058667824722"/>
    <n v="12.027041444796847"/>
    <n v="6.5448281392612229"/>
    <n v="11.575964936028791"/>
    <x v="0"/>
  </r>
  <r>
    <s v="Seychelles"/>
    <x v="39"/>
    <n v="95319"/>
    <x v="29"/>
    <n v="0"/>
    <n v="96714"/>
    <n v="0"/>
    <m/>
    <n v="0"/>
    <m/>
    <n v="0"/>
    <m/>
    <n v="64"/>
    <m/>
    <n v="0"/>
    <n v="103101.00000000003"/>
    <n v="0"/>
    <n v="63"/>
    <m/>
    <n v="0"/>
    <m/>
    <n v="0"/>
    <m/>
    <n v="0"/>
    <n v="107118.5"/>
    <n v="0"/>
    <n v="63"/>
    <n v="0"/>
    <n v="64"/>
    <n v="0"/>
    <n v="0"/>
    <s v=""/>
    <n v="63"/>
    <s v="2018 (triag)"/>
    <n v="63"/>
    <s v="2018 (triag)"/>
    <s v=""/>
    <n v="63"/>
    <n v="63"/>
    <s v="No change"/>
    <m/>
    <m/>
    <m/>
    <m/>
    <n v="0"/>
    <n v="6.1105129921145265"/>
    <n v="5.8813370239501115"/>
    <n v="5.8813370239501115"/>
    <x v="1"/>
  </r>
  <r>
    <s v="Seychelles"/>
    <x v="39"/>
    <n v="95320"/>
    <x v="30"/>
    <n v="14"/>
    <n v="96714"/>
    <n v="0"/>
    <m/>
    <n v="0"/>
    <m/>
    <n v="0"/>
    <m/>
    <n v="34"/>
    <m/>
    <n v="0"/>
    <n v="103101.00000000003"/>
    <n v="0"/>
    <n v="38"/>
    <m/>
    <n v="42"/>
    <m/>
    <n v="0"/>
    <m/>
    <n v="0"/>
    <n v="107118.5"/>
    <n v="44"/>
    <n v="38"/>
    <n v="14"/>
    <n v="42"/>
    <n v="44"/>
    <n v="14"/>
    <n v="2012"/>
    <n v="38"/>
    <s v="2018 (triag)"/>
    <n v="44"/>
    <n v="2022"/>
    <s v=""/>
    <n v="44"/>
    <n v="44"/>
    <s v="Increasing"/>
    <m/>
    <m/>
    <m/>
    <m/>
    <n v="1.4475670533738652"/>
    <n v="3.6857062492119366"/>
    <n v="4.107600461171506"/>
    <n v="4.107600461171506"/>
    <x v="1"/>
  </r>
  <r>
    <s v="Seychelles"/>
    <x v="39"/>
    <n v="95321"/>
    <x v="31"/>
    <n v="0"/>
    <n v="96714"/>
    <n v="0"/>
    <m/>
    <n v="0"/>
    <m/>
    <n v="0"/>
    <m/>
    <n v="0"/>
    <m/>
    <n v="0"/>
    <n v="103101.00000000003"/>
    <n v="0"/>
    <n v="125"/>
    <m/>
    <n v="37"/>
    <m/>
    <n v="0"/>
    <m/>
    <n v="0"/>
    <n v="107118.5"/>
    <n v="114"/>
    <n v="125"/>
    <n v="0"/>
    <n v="37"/>
    <n v="114"/>
    <n v="0"/>
    <s v=""/>
    <n v="125"/>
    <s v="2018 (triag)"/>
    <n v="114"/>
    <n v="2022"/>
    <s v="Adjust"/>
    <n v="131.02004545252734"/>
    <n v="131.02004545252734"/>
    <s v="Increasing"/>
    <m/>
    <m/>
    <m/>
    <m/>
    <n v="0"/>
    <n v="12.124033714512949"/>
    <n v="12.231318161898024"/>
    <n v="12.231318161898024"/>
    <x v="1"/>
  </r>
  <r>
    <s v="Seychelles"/>
    <x v="39"/>
    <n v="95322"/>
    <x v="32"/>
    <n v="0"/>
    <n v="96714"/>
    <n v="0"/>
    <m/>
    <n v="0"/>
    <m/>
    <n v="0"/>
    <m/>
    <n v="0"/>
    <m/>
    <n v="0"/>
    <n v="103101.00000000003"/>
    <n v="0"/>
    <n v="0"/>
    <m/>
    <n v="0"/>
    <m/>
    <n v="0"/>
    <m/>
    <n v="6"/>
    <n v="107118.5"/>
    <n v="27"/>
    <n v="0"/>
    <n v="0"/>
    <n v="0"/>
    <n v="27"/>
    <n v="0"/>
    <s v=""/>
    <n v="0"/>
    <s v=""/>
    <n v="27"/>
    <n v="2022"/>
    <s v=""/>
    <n v="27"/>
    <n v="27"/>
    <s v="Increasing"/>
    <m/>
    <m/>
    <m/>
    <m/>
    <n v="0"/>
    <n v="0"/>
    <n v="2.5205730102643336"/>
    <n v="2.5205730102643336"/>
    <x v="1"/>
  </r>
  <r>
    <s v="Chad"/>
    <x v="40"/>
    <n v="12754906"/>
    <x v="19"/>
    <n v="528"/>
    <n v="13216766.5"/>
    <n v="573"/>
    <n v="13697125.5"/>
    <n v="608"/>
    <n v="14140274"/>
    <n v="696"/>
    <n v="14592585.000000004"/>
    <n v="540"/>
    <n v="15085884.000000006"/>
    <n v="651"/>
    <n v="15604210"/>
    <n v="803"/>
    <n v="803"/>
    <n v="16126866"/>
    <n v="859"/>
    <n v="16644701.499999996"/>
    <n v="1003"/>
    <n v="17179739.999999996"/>
    <n v="1000"/>
    <n v="17723314.500000004"/>
    <n v="1507"/>
    <n v="803"/>
    <n v="696"/>
    <n v="859"/>
    <n v="1507"/>
    <n v="573"/>
    <n v="2013"/>
    <n v="803"/>
    <n v="2018"/>
    <n v="1507"/>
    <n v="2022"/>
    <s v=""/>
    <n v="1507"/>
    <n v="1507"/>
    <s v="Increasing"/>
    <m/>
    <m/>
    <m/>
    <m/>
    <n v="0.43354023088778937"/>
    <n v="0.51460471244619244"/>
    <n v="0.85029242131882254"/>
    <n v="0.85029242131882254"/>
    <x v="1"/>
  </r>
  <r>
    <s v="Chad"/>
    <x v="40"/>
    <n v="12754907"/>
    <x v="20"/>
    <n v="0"/>
    <n v="13216766.5"/>
    <n v="0"/>
    <m/>
    <n v="0"/>
    <m/>
    <n v="0"/>
    <m/>
    <n v="0"/>
    <m/>
    <n v="0"/>
    <n v="15604210"/>
    <n v="646"/>
    <n v="646"/>
    <m/>
    <n v="642"/>
    <m/>
    <n v="784"/>
    <m/>
    <n v="740"/>
    <n v="17723314.500000004"/>
    <n v="1197"/>
    <n v="646"/>
    <n v="0"/>
    <n v="646"/>
    <n v="1197"/>
    <n v="0"/>
    <s v=""/>
    <n v="646"/>
    <n v="2018"/>
    <n v="1197"/>
    <n v="2022"/>
    <s v=""/>
    <n v="1197"/>
    <n v="1197"/>
    <s v="Increasing"/>
    <m/>
    <m/>
    <m/>
    <m/>
    <n v="0"/>
    <n v="0.41399083965160682"/>
    <n v="0.67538157154520939"/>
    <n v="0.67538157154520939"/>
    <x v="1"/>
  </r>
  <r>
    <s v="Chad"/>
    <x v="40"/>
    <n v="12754908"/>
    <x v="21"/>
    <n v="0"/>
    <n v="13216766.5"/>
    <n v="0"/>
    <m/>
    <n v="0"/>
    <m/>
    <n v="0"/>
    <m/>
    <n v="0"/>
    <m/>
    <n v="0"/>
    <n v="15604210"/>
    <n v="157"/>
    <n v="157"/>
    <m/>
    <n v="202"/>
    <m/>
    <n v="219"/>
    <m/>
    <n v="260"/>
    <n v="17723314.500000004"/>
    <n v="310"/>
    <n v="157"/>
    <n v="0"/>
    <n v="202"/>
    <n v="310"/>
    <n v="0"/>
    <s v=""/>
    <n v="157"/>
    <n v="2018"/>
    <n v="310"/>
    <n v="2022"/>
    <s v=""/>
    <n v="310"/>
    <n v="310"/>
    <s v="Increasing"/>
    <m/>
    <m/>
    <m/>
    <m/>
    <n v="0"/>
    <n v="0.10061387279458556"/>
    <n v="0.17491084977361313"/>
    <n v="0.17491084977361313"/>
    <x v="1"/>
  </r>
  <r>
    <s v="Chad"/>
    <x v="40"/>
    <n v="12754909"/>
    <x v="22"/>
    <n v="3141"/>
    <n v="13216766.5"/>
    <n v="3606"/>
    <m/>
    <n v="3606"/>
    <m/>
    <n v="3563"/>
    <m/>
    <n v="3106"/>
    <m/>
    <n v="3487"/>
    <n v="15604210"/>
    <n v="4799"/>
    <n v="4799"/>
    <m/>
    <n v="0"/>
    <m/>
    <n v="2623"/>
    <m/>
    <n v="2677"/>
    <n v="17723314.500000004"/>
    <n v="2933"/>
    <n v="3863"/>
    <n v="3606"/>
    <n v="4799"/>
    <n v="2933"/>
    <n v="3606"/>
    <n v="2013"/>
    <n v="4799"/>
    <n v="2018"/>
    <n v="2933"/>
    <n v="2022"/>
    <s v="Adjust"/>
    <n v="3387.151734852408"/>
    <n v="4799"/>
    <s v="Decreasing"/>
    <m/>
    <m/>
    <m/>
    <m/>
    <n v="2.7283526572100674"/>
    <n v="3.0754520735109305"/>
    <n v="1.9111277040490406"/>
    <n v="2.7077328002050627"/>
    <x v="1"/>
  </r>
  <r>
    <s v="Chad"/>
    <x v="40"/>
    <n v="12754910"/>
    <x v="23"/>
    <n v="0"/>
    <n v="13216766.5"/>
    <n v="0"/>
    <m/>
    <n v="0"/>
    <m/>
    <n v="0"/>
    <m/>
    <n v="0"/>
    <m/>
    <n v="0"/>
    <n v="15604210"/>
    <n v="0"/>
    <n v="1787"/>
    <m/>
    <n v="0"/>
    <m/>
    <n v="1528"/>
    <m/>
    <n v="1537"/>
    <n v="17723314.500000004"/>
    <n v="1668"/>
    <n v="1787"/>
    <n v="0"/>
    <n v="0"/>
    <n v="1668"/>
    <n v="0"/>
    <s v=""/>
    <n v="1787"/>
    <s v="2018 (triag)"/>
    <n v="1668"/>
    <n v="2022"/>
    <s v="Adjust"/>
    <n v="1926.2765406525116"/>
    <n v="1926.2765406525116"/>
    <s v="Increasing"/>
    <m/>
    <m/>
    <m/>
    <m/>
    <n v="0"/>
    <n v="1.1452037623179898"/>
    <n v="1.0868602149177633"/>
    <n v="1.0868602149177633"/>
    <x v="1"/>
  </r>
  <r>
    <s v="Chad"/>
    <x v="40"/>
    <n v="12754911"/>
    <x v="24"/>
    <n v="0"/>
    <n v="13216766.5"/>
    <n v="0"/>
    <m/>
    <n v="0"/>
    <m/>
    <n v="0"/>
    <m/>
    <n v="0"/>
    <m/>
    <n v="0"/>
    <n v="15604210"/>
    <n v="0"/>
    <n v="2076"/>
    <m/>
    <n v="0"/>
    <m/>
    <n v="827"/>
    <m/>
    <n v="1140"/>
    <n v="17723314.500000004"/>
    <n v="1265"/>
    <n v="2076"/>
    <n v="0"/>
    <n v="0"/>
    <n v="1265"/>
    <n v="0"/>
    <s v=""/>
    <n v="2076"/>
    <s v="2018 (triag)"/>
    <n v="1265"/>
    <n v="2022"/>
    <s v="Adjust"/>
    <n v="1460.8751941998964"/>
    <n v="2076"/>
    <s v="Decreasing"/>
    <m/>
    <m/>
    <m/>
    <m/>
    <n v="0"/>
    <n v="1.3304101905831824"/>
    <n v="0.82426748913127734"/>
    <n v="1.1713384649355512"/>
    <x v="1"/>
  </r>
  <r>
    <s v="Chad"/>
    <x v="40"/>
    <n v="12754912"/>
    <x v="25"/>
    <n v="416"/>
    <n v="13216766.5"/>
    <n v="451"/>
    <m/>
    <n v="0"/>
    <m/>
    <n v="0"/>
    <m/>
    <n v="0"/>
    <m/>
    <n v="0"/>
    <n v="15604210"/>
    <n v="0"/>
    <n v="936"/>
    <m/>
    <n v="589"/>
    <m/>
    <n v="710"/>
    <m/>
    <n v="721"/>
    <n v="17723314.500000004"/>
    <n v="783"/>
    <n v="936"/>
    <n v="451"/>
    <n v="589"/>
    <n v="783"/>
    <n v="451"/>
    <n v="2013"/>
    <n v="936"/>
    <s v="2018 (triag)"/>
    <n v="783"/>
    <n v="2022"/>
    <s v="Adjust"/>
    <n v="904.24132573795964"/>
    <n v="936"/>
    <s v="Decreasing"/>
    <m/>
    <m/>
    <m/>
    <m/>
    <n v="0.3412332358296562"/>
    <n v="0.5998381206097585"/>
    <n v="0.51019876995240343"/>
    <n v="0.52811792060678031"/>
    <x v="1"/>
  </r>
  <r>
    <s v="Chad"/>
    <x v="40"/>
    <n v="12754913"/>
    <x v="26"/>
    <n v="0"/>
    <n v="13216766.5"/>
    <n v="0"/>
    <m/>
    <n v="0"/>
    <m/>
    <n v="0"/>
    <m/>
    <n v="0"/>
    <m/>
    <n v="0"/>
    <n v="15604210"/>
    <n v="0"/>
    <n v="744"/>
    <m/>
    <n v="0"/>
    <m/>
    <n v="710"/>
    <m/>
    <n v="617"/>
    <n v="17723314.500000004"/>
    <n v="657"/>
    <n v="744"/>
    <n v="0"/>
    <n v="0"/>
    <n v="710"/>
    <n v="0"/>
    <s v=""/>
    <n v="744"/>
    <s v="2018 (triag)"/>
    <n v="657"/>
    <n v="2022"/>
    <s v="Adjust"/>
    <n v="758.73122734334538"/>
    <n v="758.73122734334538"/>
    <s v="Increasing"/>
    <m/>
    <m/>
    <m/>
    <m/>
    <n v="0"/>
    <n v="0.47679440356160291"/>
    <n v="0.42809781846580963"/>
    <n v="0.42809781846580963"/>
    <x v="1"/>
  </r>
  <r>
    <s v="Chad"/>
    <x v="40"/>
    <n v="12754914"/>
    <x v="27"/>
    <n v="0"/>
    <n v="13216766.5"/>
    <n v="0"/>
    <m/>
    <n v="0"/>
    <m/>
    <n v="0"/>
    <m/>
    <n v="0"/>
    <m/>
    <n v="0"/>
    <n v="15604210"/>
    <n v="0"/>
    <n v="192"/>
    <m/>
    <n v="0"/>
    <m/>
    <n v="0"/>
    <m/>
    <n v="104"/>
    <n v="17723314.500000004"/>
    <n v="126"/>
    <n v="192"/>
    <n v="0"/>
    <n v="0"/>
    <n v="126"/>
    <n v="0"/>
    <s v=""/>
    <n v="192"/>
    <s v="2018 (triag)"/>
    <n v="126"/>
    <n v="2022"/>
    <s v="Adjust"/>
    <n v="145.5100983946142"/>
    <n v="192"/>
    <s v="Decreasing"/>
    <m/>
    <m/>
    <m/>
    <m/>
    <n v="0"/>
    <n v="0.12304371704815559"/>
    <n v="8.2100951486593646E-2"/>
    <n v="0.10833188115010878"/>
    <x v="1"/>
  </r>
  <r>
    <s v="Chad"/>
    <x v="40"/>
    <n v="12754915"/>
    <x v="28"/>
    <n v="68"/>
    <n v="13216766.5"/>
    <n v="72"/>
    <m/>
    <n v="78"/>
    <m/>
    <n v="79"/>
    <m/>
    <n v="0"/>
    <m/>
    <n v="71"/>
    <n v="15604210"/>
    <n v="269"/>
    <n v="269"/>
    <m/>
    <n v="52"/>
    <m/>
    <n v="54"/>
    <m/>
    <n v="142"/>
    <n v="17723314.500000004"/>
    <n v="163"/>
    <n v="98"/>
    <n v="79"/>
    <n v="269"/>
    <n v="163"/>
    <n v="72"/>
    <n v="2013"/>
    <n v="269"/>
    <n v="2018"/>
    <n v="163"/>
    <n v="2022"/>
    <s v="Adjust"/>
    <n v="188.23925427239772"/>
    <n v="269"/>
    <s v="Decreasing"/>
    <m/>
    <m/>
    <m/>
    <m/>
    <n v="5.4476259378570396E-2"/>
    <n v="0.17238937440600965"/>
    <n v="0.10620996105011717"/>
    <n v="0.15177747931968366"/>
    <x v="1"/>
  </r>
  <r>
    <s v="Chad"/>
    <x v="40"/>
    <n v="12754916"/>
    <x v="29"/>
    <n v="0"/>
    <n v="13216766.5"/>
    <n v="0"/>
    <m/>
    <n v="0"/>
    <m/>
    <n v="0"/>
    <m/>
    <n v="0"/>
    <m/>
    <n v="0"/>
    <n v="15604210"/>
    <n v="0"/>
    <n v="171"/>
    <m/>
    <n v="136"/>
    <m/>
    <n v="0"/>
    <m/>
    <n v="277"/>
    <n v="17723314.500000004"/>
    <n v="320"/>
    <n v="171"/>
    <n v="0"/>
    <n v="136"/>
    <n v="320"/>
    <n v="0"/>
    <s v=""/>
    <n v="171"/>
    <s v="2018 (triag)"/>
    <n v="320"/>
    <n v="2022"/>
    <s v=""/>
    <n v="320"/>
    <n v="320"/>
    <s v="Increasing"/>
    <m/>
    <m/>
    <m/>
    <m/>
    <n v="0"/>
    <n v="0.10958581049601357"/>
    <n v="0.1805531352501813"/>
    <n v="0.1805531352501813"/>
    <x v="1"/>
  </r>
  <r>
    <s v="Chad"/>
    <x v="40"/>
    <n v="12754917"/>
    <x v="30"/>
    <n v="0"/>
    <n v="13216766.5"/>
    <n v="0"/>
    <m/>
    <n v="0"/>
    <m/>
    <n v="0"/>
    <m/>
    <n v="0"/>
    <m/>
    <n v="0"/>
    <n v="15604210"/>
    <n v="3"/>
    <n v="3"/>
    <m/>
    <n v="0"/>
    <m/>
    <n v="0"/>
    <m/>
    <n v="19"/>
    <n v="17723314.500000004"/>
    <n v="21"/>
    <n v="3"/>
    <n v="0"/>
    <n v="3"/>
    <n v="21"/>
    <n v="0"/>
    <s v=""/>
    <n v="3"/>
    <n v="2018"/>
    <n v="21"/>
    <n v="2022"/>
    <s v=""/>
    <n v="21"/>
    <n v="21"/>
    <s v="Increasing"/>
    <m/>
    <m/>
    <m/>
    <m/>
    <n v="0"/>
    <n v="1.9225580788774311E-3"/>
    <n v="1.1848799500793148E-2"/>
    <n v="1.1848799500793148E-2"/>
    <x v="1"/>
  </r>
  <r>
    <s v="Chad"/>
    <x v="40"/>
    <n v="12754918"/>
    <x v="31"/>
    <n v="0"/>
    <n v="13216766.5"/>
    <n v="0"/>
    <m/>
    <n v="0"/>
    <m/>
    <n v="0"/>
    <m/>
    <n v="0"/>
    <m/>
    <n v="0"/>
    <n v="15604210"/>
    <n v="0"/>
    <n v="0"/>
    <m/>
    <n v="11"/>
    <m/>
    <n v="0"/>
    <m/>
    <n v="11"/>
    <n v="17723314.500000004"/>
    <n v="0"/>
    <n v="0"/>
    <n v="0"/>
    <n v="11"/>
    <n v="11"/>
    <n v="0"/>
    <s v=""/>
    <n v="11"/>
    <n v="2019"/>
    <n v="11"/>
    <n v="2021"/>
    <s v=""/>
    <n v="11"/>
    <n v="11"/>
    <s v="No change"/>
    <m/>
    <m/>
    <m/>
    <m/>
    <n v="0"/>
    <n v="7.0493796225505811E-3"/>
    <n v="6.206514024224982E-3"/>
    <n v="6.206514024224982E-3"/>
    <x v="1"/>
  </r>
  <r>
    <s v="Chad"/>
    <x v="40"/>
    <n v="12754919"/>
    <x v="32"/>
    <n v="0"/>
    <n v="13216766.5"/>
    <n v="0"/>
    <m/>
    <n v="0"/>
    <m/>
    <n v="0"/>
    <m/>
    <n v="0"/>
    <m/>
    <n v="0"/>
    <n v="15604210"/>
    <n v="0"/>
    <n v="0"/>
    <m/>
    <n v="0"/>
    <m/>
    <n v="0"/>
    <m/>
    <n v="0"/>
    <n v="17723314.500000004"/>
    <n v="0"/>
    <n v="0"/>
    <n v="0"/>
    <n v="0"/>
    <n v="0"/>
    <n v="0"/>
    <s v=""/>
    <n v="0"/>
    <s v=""/>
    <n v="0"/>
    <s v=""/>
    <s v=""/>
    <n v="0"/>
    <n v="0"/>
    <s v="No change"/>
    <m/>
    <m/>
    <m/>
    <m/>
    <n v="0"/>
    <n v="0"/>
    <n v="0"/>
    <n v="0"/>
    <x v="1"/>
  </r>
  <r>
    <s v="Togo"/>
    <x v="41"/>
    <n v="6926634.5000000009"/>
    <x v="19"/>
    <n v="0"/>
    <n v="7106229"/>
    <n v="0"/>
    <n v="7288383.0000000009"/>
    <n v="0"/>
    <n v="7473228.5"/>
    <n v="361"/>
    <n v="7661353.5000000019"/>
    <n v="347"/>
    <n v="7852795.0000000037"/>
    <n v="583"/>
    <n v="8046679"/>
    <n v="611"/>
    <n v="611"/>
    <n v="8243094.5000000047"/>
    <n v="627"/>
    <n v="8442580"/>
    <n v="685"/>
    <n v="8644828.9999999981"/>
    <n v="506"/>
    <n v="8848698.5000000019"/>
    <n v="730"/>
    <n v="584"/>
    <n v="361"/>
    <n v="627"/>
    <n v="730"/>
    <n v="361"/>
    <n v="2015"/>
    <n v="611"/>
    <n v="2018"/>
    <n v="730"/>
    <n v="2022"/>
    <s v=""/>
    <n v="730"/>
    <n v="730"/>
    <s v="Increasing"/>
    <m/>
    <m/>
    <m/>
    <m/>
    <n v="0.5080050192584562"/>
    <n v="0.75931946583180465"/>
    <n v="0.82498008040391457"/>
    <n v="0.82498008040391457"/>
    <x v="1"/>
  </r>
  <r>
    <s v="Togo"/>
    <x v="41"/>
    <n v="6926635.5"/>
    <x v="20"/>
    <n v="0"/>
    <n v="7106229"/>
    <n v="0"/>
    <m/>
    <n v="0"/>
    <m/>
    <n v="97"/>
    <m/>
    <n v="0"/>
    <m/>
    <n v="230"/>
    <n v="8046679"/>
    <n v="219"/>
    <n v="230"/>
    <m/>
    <n v="230"/>
    <m/>
    <n v="354"/>
    <m/>
    <n v="149"/>
    <n v="8848698.5000000019"/>
    <n v="331"/>
    <n v="230"/>
    <n v="97"/>
    <n v="230"/>
    <n v="354"/>
    <n v="97"/>
    <n v="2015"/>
    <n v="230"/>
    <n v="2017"/>
    <n v="331"/>
    <n v="2022"/>
    <s v=""/>
    <n v="331"/>
    <n v="331"/>
    <s v="Increasing"/>
    <m/>
    <m/>
    <m/>
    <m/>
    <n v="0.13649996362346331"/>
    <n v="0.28583220481393629"/>
    <n v="0.37406631042972016"/>
    <n v="0.37406631042972016"/>
    <x v="1"/>
  </r>
  <r>
    <s v="Togo"/>
    <x v="41"/>
    <n v="6926636.5"/>
    <x v="21"/>
    <n v="0"/>
    <n v="7106229"/>
    <n v="0"/>
    <m/>
    <n v="0"/>
    <m/>
    <n v="264"/>
    <m/>
    <n v="0"/>
    <m/>
    <n v="353"/>
    <n v="8046679"/>
    <n v="392"/>
    <n v="392"/>
    <m/>
    <n v="397"/>
    <m/>
    <n v="331"/>
    <m/>
    <n v="357"/>
    <n v="8848698.5000000019"/>
    <n v="399"/>
    <n v="354"/>
    <n v="264"/>
    <n v="397"/>
    <n v="399"/>
    <n v="264"/>
    <n v="2015"/>
    <n v="392"/>
    <n v="2018"/>
    <n v="399"/>
    <n v="2022"/>
    <s v=""/>
    <n v="399"/>
    <n v="399"/>
    <s v="Increasing"/>
    <m/>
    <m/>
    <m/>
    <m/>
    <n v="0.37150505563499292"/>
    <n v="0.48715749690027399"/>
    <n v="0.45091376997419441"/>
    <n v="0.45091376997419441"/>
    <x v="1"/>
  </r>
  <r>
    <s v="Togo"/>
    <x v="41"/>
    <n v="6926637.5"/>
    <x v="22"/>
    <n v="0"/>
    <n v="7106229"/>
    <n v="0"/>
    <m/>
    <n v="0"/>
    <m/>
    <n v="1341"/>
    <m/>
    <n v="1419"/>
    <m/>
    <n v="1966"/>
    <n v="8046679"/>
    <n v="1951"/>
    <n v="1966"/>
    <m/>
    <n v="2134"/>
    <m/>
    <n v="2455"/>
    <m/>
    <n v="1946"/>
    <n v="8848698.5000000019"/>
    <n v="2630"/>
    <n v="1966"/>
    <n v="1341"/>
    <n v="2134"/>
    <n v="2630"/>
    <n v="1341"/>
    <n v="2015"/>
    <n v="1966"/>
    <n v="2017"/>
    <n v="2630"/>
    <n v="2022"/>
    <s v=""/>
    <n v="2630"/>
    <n v="2630"/>
    <s v="Increasing"/>
    <m/>
    <m/>
    <m/>
    <m/>
    <n v="1.8870768166913845"/>
    <n v="2.443243976800864"/>
    <n v="2.9721885088524593"/>
    <n v="2.9721885088524593"/>
    <x v="1"/>
  </r>
  <r>
    <s v="Togo"/>
    <x v="41"/>
    <n v="6926638.5"/>
    <x v="23"/>
    <n v="0"/>
    <n v="7106229"/>
    <n v="0"/>
    <m/>
    <n v="0"/>
    <m/>
    <n v="0"/>
    <m/>
    <n v="920"/>
    <m/>
    <n v="1204"/>
    <n v="8046679"/>
    <n v="1026"/>
    <n v="1204"/>
    <m/>
    <n v="1235"/>
    <m/>
    <n v="1553"/>
    <m/>
    <n v="1187"/>
    <n v="8848698.5000000019"/>
    <n v="1699"/>
    <n v="1204"/>
    <n v="0"/>
    <n v="1235"/>
    <n v="1699"/>
    <n v="0"/>
    <s v=""/>
    <n v="1204"/>
    <n v="2017"/>
    <n v="1699"/>
    <n v="2022"/>
    <s v=""/>
    <n v="1699"/>
    <n v="1699"/>
    <s v="Increasing"/>
    <m/>
    <m/>
    <m/>
    <m/>
    <n v="0"/>
    <n v="1.4962694547651274"/>
    <n v="1.9200563789126726"/>
    <n v="1.9200563789126726"/>
    <x v="1"/>
  </r>
  <r>
    <s v="Togo"/>
    <x v="41"/>
    <n v="6926639.5"/>
    <x v="24"/>
    <n v="0"/>
    <n v="7106229"/>
    <n v="0"/>
    <m/>
    <n v="0"/>
    <m/>
    <n v="0"/>
    <m/>
    <n v="499"/>
    <m/>
    <n v="762"/>
    <n v="8046679"/>
    <n v="925"/>
    <n v="925"/>
    <m/>
    <n v="899"/>
    <m/>
    <n v="902"/>
    <m/>
    <n v="759"/>
    <n v="8848698.5000000019"/>
    <n v="931"/>
    <n v="762"/>
    <n v="0"/>
    <n v="925"/>
    <n v="931"/>
    <n v="0"/>
    <s v=""/>
    <n v="925"/>
    <n v="2018"/>
    <n v="931"/>
    <n v="2022"/>
    <s v=""/>
    <n v="931"/>
    <n v="931"/>
    <s v="Increasing"/>
    <m/>
    <m/>
    <m/>
    <m/>
    <n v="0"/>
    <n v="1.1495425628386569"/>
    <n v="1.052132129939787"/>
    <n v="1.052132129939787"/>
    <x v="1"/>
  </r>
  <r>
    <s v="Togo"/>
    <x v="41"/>
    <n v="6926640.5"/>
    <x v="25"/>
    <n v="0"/>
    <n v="7106229"/>
    <n v="795"/>
    <m/>
    <n v="0"/>
    <m/>
    <n v="869"/>
    <m/>
    <n v="961"/>
    <m/>
    <n v="1268"/>
    <n v="8046679"/>
    <n v="1285"/>
    <n v="1285"/>
    <m/>
    <n v="1619"/>
    <m/>
    <n v="1743"/>
    <m/>
    <n v="1482"/>
    <n v="8848698.5000000019"/>
    <n v="1864"/>
    <n v="1268"/>
    <n v="869"/>
    <n v="1619"/>
    <n v="1864"/>
    <n v="795"/>
    <n v="2013"/>
    <n v="1285"/>
    <n v="2018"/>
    <n v="1864"/>
    <n v="2022"/>
    <s v=""/>
    <n v="1864"/>
    <n v="1864"/>
    <s v="Increasing"/>
    <m/>
    <m/>
    <m/>
    <m/>
    <n v="1.1187368152644672"/>
    <n v="1.5969321008082962"/>
    <n v="2.1065244792779407"/>
    <n v="2.1065244792779407"/>
    <x v="1"/>
  </r>
  <r>
    <s v="Togo"/>
    <x v="41"/>
    <n v="6926641.5"/>
    <x v="26"/>
    <n v="0"/>
    <n v="7106229"/>
    <n v="396"/>
    <m/>
    <n v="0"/>
    <m/>
    <n v="0"/>
    <m/>
    <n v="459"/>
    <m/>
    <n v="654"/>
    <n v="8046679"/>
    <n v="655"/>
    <n v="655"/>
    <m/>
    <n v="785"/>
    <m/>
    <n v="934"/>
    <m/>
    <n v="773"/>
    <n v="8848698.5000000019"/>
    <n v="1043"/>
    <n v="654"/>
    <n v="396"/>
    <n v="785"/>
    <n v="1043"/>
    <n v="396"/>
    <n v="2013"/>
    <n v="655"/>
    <n v="2018"/>
    <n v="1043"/>
    <n v="2022"/>
    <s v=""/>
    <n v="1043"/>
    <n v="1043"/>
    <s v="Increasing"/>
    <m/>
    <m/>
    <m/>
    <m/>
    <n v="0.55725758345248932"/>
    <n v="0.81400040936142726"/>
    <n v="1.1787044162483327"/>
    <n v="1.1787044162483327"/>
    <x v="1"/>
  </r>
  <r>
    <s v="Togo"/>
    <x v="41"/>
    <n v="6926642.5"/>
    <x v="27"/>
    <n v="0"/>
    <n v="7106229"/>
    <n v="399"/>
    <m/>
    <n v="0"/>
    <m/>
    <n v="0"/>
    <m/>
    <n v="502"/>
    <m/>
    <n v="614"/>
    <n v="8046679"/>
    <n v="630"/>
    <n v="630"/>
    <m/>
    <n v="834"/>
    <m/>
    <n v="809"/>
    <m/>
    <n v="709"/>
    <n v="8848698.5000000019"/>
    <n v="821"/>
    <n v="614"/>
    <n v="399"/>
    <n v="834"/>
    <n v="821"/>
    <n v="399"/>
    <n v="2013"/>
    <n v="630"/>
    <n v="2018"/>
    <n v="821"/>
    <n v="2022"/>
    <s v=""/>
    <n v="821"/>
    <n v="821"/>
    <s v="Increasing"/>
    <m/>
    <m/>
    <m/>
    <m/>
    <n v="0.5614792318119779"/>
    <n v="0.78293169144686892"/>
    <n v="0.92782006302960807"/>
    <n v="0.92782006302960807"/>
    <x v="1"/>
  </r>
  <r>
    <s v="Togo"/>
    <x v="41"/>
    <n v="6926643.5"/>
    <x v="28"/>
    <n v="0"/>
    <n v="7106229"/>
    <n v="0"/>
    <m/>
    <n v="0"/>
    <m/>
    <n v="17"/>
    <m/>
    <n v="13"/>
    <m/>
    <n v="218"/>
    <n v="8046679"/>
    <n v="213"/>
    <n v="226"/>
    <m/>
    <n v="222"/>
    <m/>
    <n v="232"/>
    <m/>
    <n v="21"/>
    <n v="8848698.5000000019"/>
    <n v="255"/>
    <n v="226"/>
    <n v="17"/>
    <n v="222"/>
    <n v="255"/>
    <n v="17"/>
    <n v="2015"/>
    <n v="226"/>
    <s v="2018 (triag)"/>
    <n v="255"/>
    <n v="2022"/>
    <s v=""/>
    <n v="255"/>
    <n v="255"/>
    <s v="Increasing"/>
    <m/>
    <m/>
    <m/>
    <m/>
    <n v="2.3922674037101816E-2"/>
    <n v="0.28086120994760694"/>
    <n v="0.28817797329177841"/>
    <n v="0.28817797329177841"/>
    <x v="1"/>
  </r>
  <r>
    <s v="Togo"/>
    <x v="41"/>
    <n v="6926644.5"/>
    <x v="29"/>
    <n v="0"/>
    <n v="7106229"/>
    <n v="0"/>
    <m/>
    <n v="0"/>
    <m/>
    <n v="0"/>
    <m/>
    <n v="1"/>
    <m/>
    <n v="3"/>
    <n v="8046679"/>
    <n v="3"/>
    <n v="3"/>
    <m/>
    <n v="32"/>
    <m/>
    <n v="49"/>
    <m/>
    <n v="44"/>
    <n v="8848698.5000000019"/>
    <n v="73"/>
    <n v="0"/>
    <n v="0"/>
    <n v="32"/>
    <n v="73"/>
    <n v="0"/>
    <s v=""/>
    <n v="3"/>
    <n v="2017"/>
    <n v="73"/>
    <n v="2022"/>
    <s v=""/>
    <n v="73"/>
    <n v="73"/>
    <s v="Increasing"/>
    <m/>
    <m/>
    <m/>
    <m/>
    <n v="0"/>
    <n v="3.7282461497469949E-3"/>
    <n v="8.2498008040391466E-2"/>
    <n v="8.2498008040391466E-2"/>
    <x v="1"/>
  </r>
  <r>
    <s v="Togo"/>
    <x v="41"/>
    <n v="6926645.5"/>
    <x v="30"/>
    <n v="0"/>
    <n v="7106229"/>
    <n v="0"/>
    <m/>
    <n v="0"/>
    <m/>
    <n v="18"/>
    <m/>
    <n v="0"/>
    <m/>
    <n v="57"/>
    <n v="8046679"/>
    <n v="21"/>
    <n v="21"/>
    <m/>
    <n v="0"/>
    <m/>
    <n v="0"/>
    <m/>
    <n v="13"/>
    <n v="8848698.5000000019"/>
    <n v="18"/>
    <n v="21"/>
    <n v="18"/>
    <n v="57"/>
    <n v="18"/>
    <n v="18"/>
    <n v="2015"/>
    <n v="21"/>
    <n v="2018"/>
    <n v="18"/>
    <n v="2022"/>
    <s v="Adjust"/>
    <n v="21.759416355615883"/>
    <n v="21.759416355615883"/>
    <s v="Increasing"/>
    <m/>
    <m/>
    <m/>
    <m/>
    <n v="2.5329890156931333E-2"/>
    <n v="2.6097723048228966E-2"/>
    <n v="2.4590527472052391E-2"/>
    <n v="2.4590527472052391E-2"/>
    <x v="1"/>
  </r>
  <r>
    <s v="Togo"/>
    <x v="41"/>
    <n v="6926646.5"/>
    <x v="31"/>
    <n v="0"/>
    <n v="7106229"/>
    <n v="0"/>
    <m/>
    <n v="0"/>
    <m/>
    <n v="0"/>
    <m/>
    <n v="0"/>
    <m/>
    <n v="0"/>
    <n v="8046679"/>
    <n v="0"/>
    <n v="0"/>
    <m/>
    <n v="25"/>
    <m/>
    <n v="0"/>
    <m/>
    <n v="0"/>
    <n v="8848698.5000000019"/>
    <n v="1"/>
    <n v="0"/>
    <n v="0"/>
    <n v="25"/>
    <n v="1"/>
    <n v="0"/>
    <s v=""/>
    <n v="25"/>
    <n v="2019"/>
    <n v="1"/>
    <n v="2022"/>
    <s v="Adjust"/>
    <n v="1.2088564642008823"/>
    <n v="25"/>
    <s v="Decreasing"/>
    <m/>
    <m/>
    <m/>
    <m/>
    <n v="0"/>
    <n v="3.1068717914558293E-2"/>
    <n v="1.3661404151140216E-3"/>
    <n v="2.8252742479586115E-2"/>
    <x v="0"/>
  </r>
  <r>
    <s v="Togo"/>
    <x v="41"/>
    <n v="6926647.5"/>
    <x v="32"/>
    <n v="0"/>
    <n v="7106229"/>
    <n v="0"/>
    <m/>
    <n v="0"/>
    <m/>
    <n v="0"/>
    <m/>
    <n v="33"/>
    <m/>
    <n v="57"/>
    <n v="8046679"/>
    <n v="62"/>
    <n v="62"/>
    <m/>
    <n v="61"/>
    <m/>
    <n v="65"/>
    <m/>
    <n v="69"/>
    <n v="8848698.5000000019"/>
    <n v="0"/>
    <n v="0"/>
    <n v="0"/>
    <n v="62"/>
    <n v="69"/>
    <n v="0"/>
    <s v=""/>
    <n v="62"/>
    <n v="2018"/>
    <n v="69"/>
    <n v="2021"/>
    <s v=""/>
    <n v="69"/>
    <n v="69"/>
    <s v="Increasing"/>
    <m/>
    <m/>
    <m/>
    <m/>
    <n v="0"/>
    <n v="7.705042042810456E-2"/>
    <n v="7.7977569243657674E-2"/>
    <n v="7.7977569243657674E-2"/>
    <x v="1"/>
  </r>
  <r>
    <s v="Tanzania"/>
    <x v="42"/>
    <n v="47786137.499999993"/>
    <x v="19"/>
    <n v="1481"/>
    <n v="49253643.5"/>
    <n v="0"/>
    <n v="50814551.500000022"/>
    <n v="3015"/>
    <n v="52542823.5"/>
    <n v="0"/>
    <n v="54401801.500000007"/>
    <n v="0"/>
    <n v="56267032.000000007"/>
    <n v="0"/>
    <n v="58090443.000000007"/>
    <n v="2885"/>
    <n v="2885"/>
    <n v="59872579"/>
    <n v="0"/>
    <n v="61704517.99999997"/>
    <n v="0"/>
    <n v="63588333.999999993"/>
    <n v="0"/>
    <n v="65497748.000000045"/>
    <n v="8693"/>
    <n v="2885"/>
    <n v="3015"/>
    <n v="2885"/>
    <n v="8693"/>
    <n v="1481"/>
    <n v="2012"/>
    <n v="2885"/>
    <n v="2018"/>
    <n v="8693"/>
    <n v="2022"/>
    <s v=""/>
    <n v="8693"/>
    <n v="8693"/>
    <s v="Increasing"/>
    <m/>
    <m/>
    <m/>
    <m/>
    <n v="0.30068841506111116"/>
    <n v="0.49663935253514929"/>
    <n v="1.3272212046130187"/>
    <n v="1.3272212046130187"/>
    <x v="1"/>
  </r>
  <r>
    <s v="Tanzania"/>
    <x v="42"/>
    <n v="47786138.5"/>
    <x v="20"/>
    <n v="0"/>
    <n v="49253643.5"/>
    <n v="0"/>
    <m/>
    <n v="0"/>
    <m/>
    <n v="0"/>
    <m/>
    <n v="0"/>
    <m/>
    <n v="0"/>
    <n v="58090443.000000007"/>
    <n v="2434"/>
    <n v="2434"/>
    <m/>
    <n v="0"/>
    <m/>
    <n v="0"/>
    <m/>
    <n v="0"/>
    <n v="65497748.000000045"/>
    <n v="6701"/>
    <n v="2434"/>
    <n v="0"/>
    <n v="2434"/>
    <n v="6701"/>
    <n v="0"/>
    <s v=""/>
    <n v="2434"/>
    <n v="2018"/>
    <n v="6701"/>
    <n v="2022"/>
    <s v=""/>
    <n v="6701"/>
    <n v="6701"/>
    <s v="Increasing"/>
    <m/>
    <m/>
    <m/>
    <m/>
    <n v="0"/>
    <n v="0.41900179690487122"/>
    <n v="1.0230886106191004"/>
    <n v="1.0230886106191004"/>
    <x v="1"/>
  </r>
  <r>
    <s v="Tanzania"/>
    <x v="42"/>
    <n v="47786139.5"/>
    <x v="21"/>
    <n v="0"/>
    <n v="49253643.5"/>
    <n v="0"/>
    <m/>
    <n v="929"/>
    <m/>
    <n v="0"/>
    <m/>
    <n v="0"/>
    <m/>
    <n v="0"/>
    <n v="58090443.000000007"/>
    <n v="451"/>
    <n v="451"/>
    <m/>
    <n v="0"/>
    <m/>
    <n v="0"/>
    <m/>
    <n v="0"/>
    <n v="65497748.000000045"/>
    <n v="1992"/>
    <n v="451"/>
    <n v="929"/>
    <n v="451"/>
    <n v="1992"/>
    <n v="929"/>
    <n v="2014"/>
    <n v="451"/>
    <n v="2018"/>
    <n v="1992"/>
    <n v="2022"/>
    <s v=""/>
    <n v="1992"/>
    <n v="1992"/>
    <s v="Increasing"/>
    <m/>
    <m/>
    <m/>
    <m/>
    <n v="0.18861548790801638"/>
    <n v="7.7637555630278104E-2"/>
    <n v="0.30413259399391851"/>
    <n v="0.30413259399391851"/>
    <x v="1"/>
  </r>
  <r>
    <s v="Tanzania"/>
    <x v="42"/>
    <n v="47786140.5"/>
    <x v="22"/>
    <n v="20800"/>
    <n v="49253643.5"/>
    <n v="0"/>
    <m/>
    <n v="21552"/>
    <m/>
    <n v="0"/>
    <m/>
    <n v="0"/>
    <m/>
    <n v="31940"/>
    <n v="58090443.000000007"/>
    <n v="31940"/>
    <n v="31940"/>
    <m/>
    <n v="0"/>
    <m/>
    <n v="0"/>
    <m/>
    <n v="0"/>
    <n v="65497748.000000045"/>
    <n v="0"/>
    <n v="31940"/>
    <n v="21552"/>
    <n v="31940"/>
    <n v="0"/>
    <n v="20800"/>
    <n v="2012"/>
    <n v="31940"/>
    <n v="2017"/>
    <n v="31940"/>
    <n v="2017"/>
    <s v=""/>
    <n v="31940"/>
    <n v="31940"/>
    <s v="No change"/>
    <m/>
    <m/>
    <m/>
    <m/>
    <n v="4.2230378347542956"/>
    <n v="5.4983226759004049"/>
    <n v="4.8765035402438537"/>
    <n v="4.8765035402438537"/>
    <x v="1"/>
  </r>
  <r>
    <s v="Tanzania"/>
    <x v="42"/>
    <n v="47786141.5"/>
    <x v="23"/>
    <n v="0"/>
    <n v="49253643.5"/>
    <n v="0"/>
    <m/>
    <n v="0"/>
    <m/>
    <n v="0"/>
    <m/>
    <n v="0"/>
    <m/>
    <n v="10589"/>
    <n v="58090443.000000007"/>
    <n v="0"/>
    <n v="10589"/>
    <m/>
    <n v="0"/>
    <m/>
    <n v="0"/>
    <m/>
    <n v="0"/>
    <n v="65497748.000000045"/>
    <n v="0"/>
    <n v="10589"/>
    <n v="0"/>
    <n v="10589"/>
    <n v="0"/>
    <n v="0"/>
    <s v=""/>
    <n v="10589"/>
    <n v="2017"/>
    <n v="10589"/>
    <n v="2017"/>
    <s v=""/>
    <n v="10589"/>
    <n v="10589"/>
    <s v="No change"/>
    <m/>
    <m/>
    <m/>
    <m/>
    <n v="0"/>
    <n v="1.8228471764279708"/>
    <n v="1.6166968061253026"/>
    <n v="1.6166968061253026"/>
    <x v="1"/>
  </r>
  <r>
    <s v="Tanzania"/>
    <x v="42"/>
    <n v="47786142.5"/>
    <x v="24"/>
    <n v="0"/>
    <n v="49253643.5"/>
    <n v="0"/>
    <m/>
    <n v="0"/>
    <m/>
    <n v="0"/>
    <m/>
    <n v="0"/>
    <m/>
    <n v="21351"/>
    <n v="58090443.000000007"/>
    <n v="0"/>
    <n v="21351"/>
    <m/>
    <n v="0"/>
    <m/>
    <n v="0"/>
    <m/>
    <n v="0"/>
    <n v="65497748.000000045"/>
    <n v="0"/>
    <n v="21351"/>
    <n v="0"/>
    <n v="21351"/>
    <n v="0"/>
    <n v="0"/>
    <s v=""/>
    <n v="21351"/>
    <n v="2017"/>
    <n v="21351"/>
    <n v="2017"/>
    <s v=""/>
    <n v="21351"/>
    <n v="21351"/>
    <s v="No change"/>
    <m/>
    <m/>
    <m/>
    <m/>
    <n v="0"/>
    <n v="3.6754754994724341"/>
    <n v="3.259806734118551"/>
    <n v="3.259806734118551"/>
    <x v="1"/>
  </r>
  <r>
    <s v="Tanzania"/>
    <x v="42"/>
    <n v="47786143.5"/>
    <x v="25"/>
    <n v="0"/>
    <n v="49253643.5"/>
    <n v="0"/>
    <m/>
    <n v="0"/>
    <m/>
    <n v="0"/>
    <m/>
    <n v="0"/>
    <m/>
    <n v="0"/>
    <n v="58090443.000000007"/>
    <n v="0"/>
    <n v="0"/>
    <m/>
    <n v="0"/>
    <m/>
    <n v="0"/>
    <m/>
    <n v="0"/>
    <n v="65497748.000000045"/>
    <n v="0"/>
    <n v="0"/>
    <n v="0"/>
    <n v="0"/>
    <n v="0"/>
    <n v="0"/>
    <s v=""/>
    <n v="0"/>
    <s v=""/>
    <n v="0"/>
    <s v=""/>
    <s v=""/>
    <n v="0"/>
    <n v="0"/>
    <s v="No change"/>
    <m/>
    <m/>
    <m/>
    <m/>
    <n v="0"/>
    <n v="0"/>
    <n v="0"/>
    <n v="0"/>
    <x v="1"/>
  </r>
  <r>
    <s v="Tanzania"/>
    <x v="42"/>
    <n v="47786144.5"/>
    <x v="26"/>
    <n v="0"/>
    <n v="49253643.5"/>
    <n v="0"/>
    <m/>
    <n v="0"/>
    <m/>
    <n v="0"/>
    <m/>
    <n v="0"/>
    <m/>
    <n v="0"/>
    <n v="58090443.000000007"/>
    <n v="0"/>
    <n v="0"/>
    <m/>
    <n v="0"/>
    <m/>
    <n v="0"/>
    <m/>
    <n v="0"/>
    <n v="65497748.000000045"/>
    <n v="0"/>
    <n v="0"/>
    <n v="0"/>
    <n v="0"/>
    <n v="0"/>
    <n v="0"/>
    <s v=""/>
    <n v="0"/>
    <s v=""/>
    <n v="0"/>
    <s v=""/>
    <s v=""/>
    <n v="0"/>
    <n v="0"/>
    <s v="No change"/>
    <m/>
    <m/>
    <m/>
    <m/>
    <n v="0"/>
    <n v="0"/>
    <n v="0"/>
    <n v="0"/>
    <x v="1"/>
  </r>
  <r>
    <s v="Tanzania"/>
    <x v="42"/>
    <n v="47786145.5"/>
    <x v="27"/>
    <n v="0"/>
    <n v="49253643.5"/>
    <n v="0"/>
    <m/>
    <n v="0"/>
    <m/>
    <n v="0"/>
    <m/>
    <n v="0"/>
    <m/>
    <n v="0"/>
    <n v="58090443.000000007"/>
    <n v="0"/>
    <n v="0"/>
    <m/>
    <n v="0"/>
    <m/>
    <n v="0"/>
    <m/>
    <n v="0"/>
    <n v="65497748.000000045"/>
    <n v="0"/>
    <n v="0"/>
    <n v="0"/>
    <n v="0"/>
    <n v="0"/>
    <n v="0"/>
    <s v=""/>
    <n v="0"/>
    <s v=""/>
    <n v="0"/>
    <s v=""/>
    <s v=""/>
    <n v="0"/>
    <n v="0"/>
    <s v="No change"/>
    <m/>
    <m/>
    <m/>
    <m/>
    <n v="0"/>
    <n v="0"/>
    <n v="0"/>
    <n v="0"/>
    <x v="1"/>
  </r>
  <r>
    <s v="Tanzania"/>
    <x v="42"/>
    <n v="47786146.5"/>
    <x v="28"/>
    <n v="339"/>
    <n v="49253643.5"/>
    <n v="0"/>
    <m/>
    <n v="707"/>
    <m/>
    <n v="0"/>
    <m/>
    <n v="0"/>
    <m/>
    <n v="0"/>
    <n v="58090443.000000007"/>
    <n v="1845"/>
    <n v="1845"/>
    <m/>
    <n v="0"/>
    <m/>
    <n v="0"/>
    <m/>
    <n v="0"/>
    <n v="65497748.000000045"/>
    <n v="1746"/>
    <n v="599"/>
    <n v="707"/>
    <n v="1845"/>
    <n v="1746"/>
    <n v="339"/>
    <n v="2012"/>
    <n v="1845"/>
    <n v="2018"/>
    <n v="1746"/>
    <n v="2022"/>
    <s v="Adjust"/>
    <n v="2261.9470224210058"/>
    <n v="2261.9470224210058"/>
    <s v="Increasing"/>
    <m/>
    <m/>
    <m/>
    <m/>
    <n v="6.8827395479889725E-2"/>
    <n v="0.31760818212386499"/>
    <n v="0.34534729689042198"/>
    <n v="0.34534729689042198"/>
    <x v="1"/>
  </r>
  <r>
    <s v="Tanzania"/>
    <x v="42"/>
    <n v="47786147.5"/>
    <x v="29"/>
    <n v="317"/>
    <n v="49253643.5"/>
    <n v="0"/>
    <m/>
    <n v="1132"/>
    <m/>
    <n v="0"/>
    <m/>
    <n v="0"/>
    <m/>
    <n v="0"/>
    <n v="58090443.000000007"/>
    <n v="0"/>
    <n v="1246"/>
    <m/>
    <n v="0"/>
    <m/>
    <n v="0"/>
    <m/>
    <n v="0"/>
    <n v="65497748.000000045"/>
    <n v="5583"/>
    <n v="1246"/>
    <n v="1132"/>
    <n v="0"/>
    <n v="5583"/>
    <n v="317"/>
    <n v="2012"/>
    <n v="1246"/>
    <s v="2018 (triag)"/>
    <n v="5583"/>
    <n v="2022"/>
    <s v=""/>
    <n v="5583"/>
    <n v="5583"/>
    <s v="Increasing"/>
    <m/>
    <m/>
    <m/>
    <m/>
    <n v="6.4360720846976527E-2"/>
    <n v="0.2144931137812118"/>
    <n v="0.85239571901006372"/>
    <n v="0.85239571901006372"/>
    <x v="1"/>
  </r>
  <r>
    <s v="Tanzania"/>
    <x v="42"/>
    <n v="47786148.5"/>
    <x v="30"/>
    <n v="99"/>
    <n v="49253643.5"/>
    <n v="0"/>
    <m/>
    <n v="104"/>
    <m/>
    <n v="0"/>
    <m/>
    <n v="0"/>
    <m/>
    <n v="0"/>
    <n v="58090443.000000007"/>
    <n v="682"/>
    <n v="682"/>
    <m/>
    <n v="0"/>
    <m/>
    <n v="0"/>
    <m/>
    <n v="0"/>
    <n v="65497748.000000045"/>
    <n v="583"/>
    <n v="94"/>
    <n v="104"/>
    <n v="682"/>
    <n v="583"/>
    <n v="99"/>
    <n v="2012"/>
    <n v="682"/>
    <n v="2018"/>
    <n v="583"/>
    <n v="2022"/>
    <s v="Adjust"/>
    <n v="755.27784311079404"/>
    <n v="755.27784311079404"/>
    <s v="Increasing"/>
    <m/>
    <m/>
    <m/>
    <m/>
    <n v="2.010003584810939E-2"/>
    <n v="0.11740313290432298"/>
    <n v="0.11531355904187629"/>
    <n v="0.11531355904187629"/>
    <x v="1"/>
  </r>
  <r>
    <s v="Tanzania"/>
    <x v="42"/>
    <n v="47786149.5"/>
    <x v="31"/>
    <n v="366"/>
    <n v="49253643.5"/>
    <n v="0"/>
    <m/>
    <n v="933"/>
    <m/>
    <n v="0"/>
    <m/>
    <n v="0"/>
    <m/>
    <n v="0"/>
    <n v="58090443.000000007"/>
    <n v="768"/>
    <n v="768"/>
    <m/>
    <n v="0"/>
    <m/>
    <n v="0"/>
    <m/>
    <n v="0"/>
    <n v="65497748.000000045"/>
    <n v="449"/>
    <n v="588"/>
    <n v="933"/>
    <n v="768"/>
    <n v="449"/>
    <n v="366"/>
    <n v="2012"/>
    <n v="768"/>
    <n v="2018"/>
    <n v="449"/>
    <n v="2022"/>
    <s v="Adjust"/>
    <n v="581.68053440265271"/>
    <n v="768"/>
    <s v="Decreasing"/>
    <m/>
    <m/>
    <m/>
    <m/>
    <n v="7.4309223438465008E-2"/>
    <n v="0.13220763353448689"/>
    <n v="8.8809241869300962E-2"/>
    <n v="0.117255939853077"/>
    <x v="1"/>
  </r>
  <r>
    <s v="Tanzania"/>
    <x v="42"/>
    <n v="47786150.5"/>
    <x v="32"/>
    <n v="0"/>
    <n v="49253643.5"/>
    <n v="0"/>
    <m/>
    <n v="0"/>
    <m/>
    <n v="0"/>
    <m/>
    <n v="0"/>
    <m/>
    <n v="0"/>
    <n v="58090443.000000007"/>
    <n v="0"/>
    <n v="0"/>
    <m/>
    <n v="0"/>
    <m/>
    <n v="0"/>
    <m/>
    <n v="0"/>
    <n v="65497748.000000045"/>
    <n v="0"/>
    <n v="0"/>
    <n v="0"/>
    <n v="0"/>
    <n v="0"/>
    <n v="0"/>
    <s v=""/>
    <n v="0"/>
    <s v=""/>
    <n v="0"/>
    <s v=""/>
    <s v=""/>
    <n v="0"/>
    <n v="0"/>
    <s v="No change"/>
    <m/>
    <m/>
    <m/>
    <m/>
    <n v="0"/>
    <n v="0"/>
    <n v="0"/>
    <n v="0"/>
    <x v="1"/>
  </r>
  <r>
    <s v="Uganda"/>
    <x v="43"/>
    <n v="34273295.000000015"/>
    <x v="19"/>
    <n v="3370"/>
    <n v="35273569.999999993"/>
    <n v="0"/>
    <n v="36336539.50000003"/>
    <n v="0"/>
    <n v="37477355.999999978"/>
    <n v="3645"/>
    <n v="38748298.999999978"/>
    <n v="0"/>
    <n v="40127084.999999978"/>
    <n v="6918"/>
    <n v="41515395.000000015"/>
    <n v="0"/>
    <n v="17186"/>
    <n v="42949080.000000015"/>
    <n v="0"/>
    <n v="44404611.000000007"/>
    <n v="7031"/>
    <n v="45853778.000000022"/>
    <n v="0"/>
    <n v="47249584.999999978"/>
    <n v="7941"/>
    <n v="17186"/>
    <n v="3645"/>
    <n v="6918"/>
    <n v="7941"/>
    <n v="3370"/>
    <n v="2012"/>
    <n v="17186"/>
    <s v="2018 (triag)"/>
    <n v="7941"/>
    <n v="2022"/>
    <s v="Adjust"/>
    <n v="9051.7813279678066"/>
    <n v="17186"/>
    <s v="Decreasing"/>
    <m/>
    <m/>
    <m/>
    <m/>
    <n v="0.95538954520339181"/>
    <n v="4.139669151648441"/>
    <n v="1.9157377420283819"/>
    <n v="3.6372806237345805"/>
    <x v="0"/>
  </r>
  <r>
    <s v="Uganda"/>
    <x v="43"/>
    <n v="34273296"/>
    <x v="20"/>
    <n v="0"/>
    <n v="35273569.999999993"/>
    <n v="0"/>
    <m/>
    <n v="0"/>
    <m/>
    <n v="0"/>
    <m/>
    <n v="0"/>
    <m/>
    <n v="0"/>
    <n v="41515395.000000015"/>
    <n v="0"/>
    <n v="17007"/>
    <m/>
    <n v="0"/>
    <m/>
    <n v="0"/>
    <m/>
    <n v="0"/>
    <n v="47249584.999999978"/>
    <n v="6369"/>
    <n v="17007"/>
    <n v="0"/>
    <n v="0"/>
    <n v="6369"/>
    <n v="0"/>
    <s v=""/>
    <n v="17007"/>
    <s v="2018 (triag)"/>
    <n v="6369"/>
    <n v="2022"/>
    <s v="Adjust"/>
    <n v="7259.8911066398387"/>
    <n v="17007"/>
    <s v="Decreasing"/>
    <m/>
    <m/>
    <m/>
    <m/>
    <n v="0"/>
    <n v="4.0965526162041801"/>
    <n v="1.5364983854651511"/>
    <n v="3.5993966931138144"/>
    <x v="0"/>
  </r>
  <r>
    <s v="Uganda"/>
    <x v="43"/>
    <n v="34273297"/>
    <x v="21"/>
    <n v="0"/>
    <n v="35273569.999999993"/>
    <n v="0"/>
    <m/>
    <n v="0"/>
    <m/>
    <n v="0"/>
    <m/>
    <n v="0"/>
    <m/>
    <n v="0"/>
    <n v="41515395.000000015"/>
    <n v="0"/>
    <n v="179"/>
    <m/>
    <n v="0"/>
    <m/>
    <n v="0"/>
    <m/>
    <n v="0"/>
    <n v="47249584.999999978"/>
    <n v="1572"/>
    <n v="179"/>
    <n v="0"/>
    <n v="0"/>
    <n v="1572"/>
    <n v="0"/>
    <s v=""/>
    <n v="179"/>
    <s v="2018 (triag)"/>
    <n v="1572"/>
    <n v="2022"/>
    <s v=""/>
    <n v="1572"/>
    <n v="1572"/>
    <s v="Increasing"/>
    <m/>
    <m/>
    <m/>
    <m/>
    <n v="0"/>
    <n v="4.3116535444261084E-2"/>
    <n v="0.33270133483712094"/>
    <n v="0.33270133483712094"/>
    <x v="1"/>
  </r>
  <r>
    <s v="Uganda"/>
    <x v="43"/>
    <n v="34273298"/>
    <x v="22"/>
    <n v="40816"/>
    <n v="35273569.999999993"/>
    <n v="40149"/>
    <m/>
    <n v="45388"/>
    <m/>
    <n v="50681"/>
    <m/>
    <n v="55228"/>
    <m/>
    <n v="60456"/>
    <n v="41515395.000000015"/>
    <n v="52907"/>
    <n v="52907"/>
    <m/>
    <n v="0"/>
    <m/>
    <n v="51327"/>
    <m/>
    <n v="0"/>
    <n v="47249584.999999978"/>
    <n v="74197"/>
    <n v="16407"/>
    <n v="50681"/>
    <n v="60456"/>
    <n v="74197"/>
    <n v="40149"/>
    <n v="2013"/>
    <n v="52907"/>
    <n v="2018"/>
    <n v="74197"/>
    <n v="2022"/>
    <s v=""/>
    <n v="74197"/>
    <n v="74197"/>
    <s v="Increasing"/>
    <m/>
    <m/>
    <m/>
    <m/>
    <n v="11.382176513463198"/>
    <n v="12.743947155025257"/>
    <n v="15.703206705413399"/>
    <n v="15.703206705413399"/>
    <x v="1"/>
  </r>
  <r>
    <s v="Uganda"/>
    <x v="43"/>
    <n v="34273299"/>
    <x v="23"/>
    <n v="0"/>
    <n v="35273569.999999993"/>
    <n v="14303"/>
    <m/>
    <n v="15406"/>
    <m/>
    <n v="16701"/>
    <m/>
    <n v="15597"/>
    <m/>
    <n v="15448"/>
    <n v="41515395.000000015"/>
    <n v="5026"/>
    <n v="5026"/>
    <m/>
    <n v="0"/>
    <m/>
    <n v="0"/>
    <m/>
    <n v="0"/>
    <n v="47249584.999999978"/>
    <n v="0"/>
    <n v="0"/>
    <n v="16701"/>
    <n v="15597"/>
    <n v="0"/>
    <n v="14303"/>
    <n v="2013"/>
    <n v="5026"/>
    <n v="2018"/>
    <n v="5026"/>
    <n v="2018"/>
    <s v=""/>
    <n v="5026"/>
    <n v="5026"/>
    <s v="No change"/>
    <m/>
    <m/>
    <m/>
    <m/>
    <n v="4.0548773486777785"/>
    <n v="1.2106352354349508"/>
    <n v="1.063713046368556"/>
    <n v="1.063713046368556"/>
    <x v="1"/>
  </r>
  <r>
    <s v="Uganda"/>
    <x v="43"/>
    <n v="34273300"/>
    <x v="24"/>
    <n v="0"/>
    <n v="35273569.999999993"/>
    <n v="25846"/>
    <m/>
    <n v="29982"/>
    <m/>
    <n v="33980"/>
    <m/>
    <n v="39631"/>
    <m/>
    <n v="45008"/>
    <n v="41515395.000000015"/>
    <n v="47881"/>
    <n v="47881"/>
    <m/>
    <n v="0"/>
    <m/>
    <n v="0"/>
    <m/>
    <n v="0"/>
    <n v="47249584.999999978"/>
    <n v="21425"/>
    <n v="16407"/>
    <n v="33980"/>
    <n v="47881"/>
    <n v="21425"/>
    <n v="25846"/>
    <n v="2013"/>
    <n v="47881"/>
    <n v="2018"/>
    <n v="21425"/>
    <n v="2022"/>
    <s v="Adjust"/>
    <n v="24421.913480885312"/>
    <n v="47881"/>
    <s v="Decreasing"/>
    <m/>
    <m/>
    <m/>
    <m/>
    <n v="7.32729916478542"/>
    <n v="11.533311919590307"/>
    <n v="5.1687043348391999"/>
    <n v="10.133633977949229"/>
    <x v="0"/>
  </r>
  <r>
    <s v="Uganda"/>
    <x v="43"/>
    <n v="34273301"/>
    <x v="25"/>
    <n v="0"/>
    <n v="35273569.999999993"/>
    <n v="7000"/>
    <m/>
    <n v="0"/>
    <m/>
    <n v="8815"/>
    <m/>
    <n v="9802"/>
    <m/>
    <n v="0"/>
    <n v="41515395.000000015"/>
    <n v="0"/>
    <n v="7237"/>
    <m/>
    <n v="0"/>
    <m/>
    <n v="23546"/>
    <m/>
    <n v="0"/>
    <n v="47249584.999999978"/>
    <n v="32957"/>
    <n v="7237"/>
    <n v="8815"/>
    <n v="9802"/>
    <n v="32957"/>
    <n v="7000"/>
    <n v="2013"/>
    <n v="7237"/>
    <s v="2018 (triag)"/>
    <n v="32957"/>
    <n v="2022"/>
    <s v=""/>
    <n v="32957"/>
    <n v="32957"/>
    <s v="Increasing"/>
    <m/>
    <m/>
    <m/>
    <m/>
    <n v="1.9844886695619415"/>
    <n v="1.7432087542464663"/>
    <n v="6.9750877177016513"/>
    <n v="6.9750877177016513"/>
    <x v="1"/>
  </r>
  <r>
    <s v="Uganda"/>
    <x v="43"/>
    <n v="34273302"/>
    <x v="26"/>
    <n v="0"/>
    <n v="35273569.999999993"/>
    <n v="7000"/>
    <m/>
    <n v="0"/>
    <m/>
    <n v="0"/>
    <m/>
    <n v="9802"/>
    <m/>
    <n v="0"/>
    <n v="41515395.000000015"/>
    <n v="0"/>
    <n v="0"/>
    <m/>
    <n v="0"/>
    <m/>
    <n v="0"/>
    <m/>
    <n v="0"/>
    <n v="47249584.999999978"/>
    <n v="0"/>
    <n v="0"/>
    <n v="7000"/>
    <n v="9802"/>
    <n v="0"/>
    <n v="7000"/>
    <n v="2013"/>
    <n v="0"/>
    <s v=""/>
    <n v="0"/>
    <s v=""/>
    <s v=""/>
    <n v="0"/>
    <n v="0"/>
    <s v="No change"/>
    <m/>
    <m/>
    <m/>
    <m/>
    <n v="1.9844886695619415"/>
    <n v="0"/>
    <n v="0"/>
    <n v="0"/>
    <x v="1"/>
  </r>
  <r>
    <s v="Uganda"/>
    <x v="43"/>
    <n v="34273303"/>
    <x v="27"/>
    <n v="0"/>
    <n v="35273569.999999993"/>
    <n v="0"/>
    <m/>
    <n v="0"/>
    <m/>
    <n v="0"/>
    <m/>
    <n v="0"/>
    <m/>
    <n v="0"/>
    <n v="41515395.000000015"/>
    <n v="0"/>
    <n v="7237"/>
    <m/>
    <n v="0"/>
    <m/>
    <n v="0"/>
    <m/>
    <n v="0"/>
    <n v="47249584.999999978"/>
    <n v="8698"/>
    <n v="7237"/>
    <n v="0"/>
    <n v="0"/>
    <n v="8698"/>
    <n v="0"/>
    <s v=""/>
    <n v="7237"/>
    <s v="2018 (triag)"/>
    <n v="8698"/>
    <n v="2022"/>
    <s v=""/>
    <n v="8698"/>
    <n v="8698"/>
    <s v="Increasing"/>
    <m/>
    <m/>
    <m/>
    <m/>
    <n v="0"/>
    <n v="1.7432087542464663"/>
    <n v="1.8408627292705331"/>
    <n v="1.8408627292705331"/>
    <x v="1"/>
  </r>
  <r>
    <s v="Uganda"/>
    <x v="43"/>
    <n v="34273304"/>
    <x v="28"/>
    <n v="550"/>
    <n v="35273569.999999993"/>
    <n v="0"/>
    <m/>
    <n v="0"/>
    <m/>
    <n v="45"/>
    <m/>
    <n v="0"/>
    <m/>
    <n v="0"/>
    <n v="41515395.000000015"/>
    <n v="324"/>
    <n v="324"/>
    <m/>
    <n v="0"/>
    <m/>
    <n v="1717"/>
    <m/>
    <n v="0"/>
    <n v="47249584.999999978"/>
    <n v="1712"/>
    <n v="90"/>
    <n v="550"/>
    <n v="324"/>
    <n v="1717"/>
    <n v="550"/>
    <n v="2012"/>
    <n v="324"/>
    <n v="2018"/>
    <n v="1712"/>
    <n v="2022"/>
    <s v=""/>
    <n v="1712"/>
    <n v="1712"/>
    <s v="Increasing"/>
    <m/>
    <m/>
    <m/>
    <m/>
    <n v="0.15592410975129542"/>
    <n v="7.8043337899109444E-2"/>
    <n v="0.36233122470811135"/>
    <n v="0.36233122470811135"/>
    <x v="1"/>
  </r>
  <r>
    <s v="Uganda"/>
    <x v="43"/>
    <n v="34273305"/>
    <x v="29"/>
    <n v="650"/>
    <n v="35273569.999999993"/>
    <n v="0"/>
    <m/>
    <n v="0"/>
    <m/>
    <n v="0"/>
    <m/>
    <n v="0"/>
    <m/>
    <n v="0"/>
    <n v="41515395.000000015"/>
    <n v="0"/>
    <n v="234"/>
    <m/>
    <n v="0"/>
    <m/>
    <n v="0"/>
    <m/>
    <n v="0"/>
    <n v="47249584.999999978"/>
    <n v="1820"/>
    <n v="234"/>
    <n v="650"/>
    <n v="0"/>
    <n v="1820"/>
    <n v="650"/>
    <n v="2012"/>
    <n v="234"/>
    <s v="2018 (triag)"/>
    <n v="1820"/>
    <n v="2022"/>
    <s v=""/>
    <n v="1820"/>
    <n v="1820"/>
    <s v="Increasing"/>
    <m/>
    <m/>
    <m/>
    <m/>
    <n v="0.18427394788789458"/>
    <n v="5.6364632927134603E-2"/>
    <n v="0.3851885683228754"/>
    <n v="0.3851885683228754"/>
    <x v="1"/>
  </r>
  <r>
    <s v="Uganda"/>
    <x v="43"/>
    <n v="34273306"/>
    <x v="30"/>
    <n v="0"/>
    <n v="35273569.999999993"/>
    <n v="0"/>
    <m/>
    <n v="0"/>
    <m/>
    <n v="276"/>
    <m/>
    <n v="0"/>
    <m/>
    <n v="0"/>
    <n v="41515395.000000015"/>
    <n v="26"/>
    <n v="26"/>
    <m/>
    <n v="310"/>
    <m/>
    <n v="255"/>
    <m/>
    <n v="0"/>
    <n v="47249584.999999978"/>
    <n v="504"/>
    <n v="0"/>
    <n v="276"/>
    <n v="310"/>
    <n v="504"/>
    <n v="276"/>
    <n v="2015"/>
    <n v="26"/>
    <n v="2018"/>
    <n v="504"/>
    <n v="2022"/>
    <s v=""/>
    <n v="504"/>
    <n v="504"/>
    <s v="Increasing"/>
    <m/>
    <m/>
    <m/>
    <m/>
    <n v="7.8245553257013697E-2"/>
    <n v="6.2627369919038443E-3"/>
    <n v="0.10666760353556549"/>
    <n v="0.10666760353556549"/>
    <x v="1"/>
  </r>
  <r>
    <s v="Uganda"/>
    <x v="43"/>
    <n v="34273307"/>
    <x v="31"/>
    <n v="0"/>
    <n v="35273569.999999993"/>
    <n v="0"/>
    <m/>
    <n v="0"/>
    <m/>
    <n v="0"/>
    <m/>
    <n v="0"/>
    <m/>
    <n v="0"/>
    <n v="41515395.000000015"/>
    <n v="0"/>
    <n v="26"/>
    <m/>
    <n v="900"/>
    <m/>
    <n v="0"/>
    <m/>
    <n v="0"/>
    <n v="47249584.999999978"/>
    <n v="1084"/>
    <n v="26"/>
    <n v="0"/>
    <n v="900"/>
    <n v="1084"/>
    <n v="0"/>
    <s v=""/>
    <n v="26"/>
    <s v="2018 (triag)"/>
    <n v="1084"/>
    <n v="2022"/>
    <s v=""/>
    <n v="1084"/>
    <n v="1084"/>
    <s v="Increasing"/>
    <m/>
    <m/>
    <m/>
    <m/>
    <n v="0"/>
    <n v="6.2627369919038443E-3"/>
    <n v="0.22942000442966864"/>
    <n v="0.22942000442966864"/>
    <x v="1"/>
  </r>
  <r>
    <s v="Uganda"/>
    <x v="43"/>
    <n v="34273308"/>
    <x v="32"/>
    <n v="0"/>
    <n v="35273569.999999993"/>
    <n v="0"/>
    <m/>
    <n v="0"/>
    <m/>
    <n v="0"/>
    <m/>
    <n v="0"/>
    <m/>
    <n v="0"/>
    <n v="41515395.000000015"/>
    <n v="0"/>
    <n v="0"/>
    <m/>
    <n v="0"/>
    <m/>
    <n v="0"/>
    <m/>
    <n v="0"/>
    <n v="47249584.999999978"/>
    <n v="0"/>
    <n v="0"/>
    <n v="0"/>
    <n v="0"/>
    <n v="0"/>
    <n v="0"/>
    <s v=""/>
    <n v="0"/>
    <s v=""/>
    <n v="0"/>
    <s v=""/>
    <s v=""/>
    <n v="0"/>
    <n v="0"/>
    <s v="No change"/>
    <m/>
    <m/>
    <m/>
    <m/>
    <n v="0"/>
    <n v="0"/>
    <n v="0"/>
    <n v="0"/>
    <x v="1"/>
  </r>
  <r>
    <s v="South Africa"/>
    <x v="44"/>
    <n v="53145033.000000007"/>
    <x v="19"/>
    <n v="0"/>
    <n v="53873616"/>
    <n v="0"/>
    <n v="54729550.99999997"/>
    <n v="0"/>
    <n v="55876503.999999993"/>
    <n v="0"/>
    <n v="56422273.499999985"/>
    <n v="43141"/>
    <n v="56641209.500000007"/>
    <n v="44653"/>
    <n v="57339635.000000015"/>
    <n v="43503"/>
    <n v="43503"/>
    <n v="58087054.999999985"/>
    <n v="46393"/>
    <n v="58801926.500000022"/>
    <n v="0"/>
    <n v="59392255"/>
    <n v="48021"/>
    <n v="59893885.5"/>
    <n v="0"/>
    <n v="43503"/>
    <n v="0"/>
    <n v="46393"/>
    <n v="48021"/>
    <n v="0"/>
    <s v=""/>
    <n v="43503"/>
    <n v="2018"/>
    <n v="48021"/>
    <n v="2021"/>
    <s v=""/>
    <n v="48021"/>
    <n v="48021"/>
    <s v="Increasing"/>
    <m/>
    <m/>
    <m/>
    <m/>
    <n v="0"/>
    <n v="7.5868986609349687"/>
    <n v="8.0176798681728538"/>
    <n v="8.0176798681728538"/>
    <x v="1"/>
  </r>
  <r>
    <s v="South Africa"/>
    <x v="44"/>
    <n v="53145034"/>
    <x v="20"/>
    <n v="0"/>
    <n v="53873616"/>
    <n v="0"/>
    <m/>
    <n v="0"/>
    <m/>
    <n v="0"/>
    <m/>
    <n v="0"/>
    <m/>
    <n v="0"/>
    <n v="57339635.000000015"/>
    <n v="29311"/>
    <n v="29311"/>
    <m/>
    <n v="0"/>
    <m/>
    <n v="0"/>
    <m/>
    <n v="0"/>
    <n v="59893885.5"/>
    <n v="0"/>
    <n v="29311"/>
    <n v="0"/>
    <n v="29311"/>
    <n v="0"/>
    <n v="0"/>
    <s v=""/>
    <n v="29311"/>
    <n v="2018"/>
    <n v="29311"/>
    <n v="2018"/>
    <s v=""/>
    <n v="29311"/>
    <n v="29311"/>
    <s v="No change"/>
    <m/>
    <m/>
    <m/>
    <m/>
    <n v="0"/>
    <n v="5.1118218663233543"/>
    <n v="4.8938217574814047"/>
    <n v="4.8938217574814047"/>
    <x v="1"/>
  </r>
  <r>
    <s v="South Africa"/>
    <x v="44"/>
    <n v="53145035"/>
    <x v="21"/>
    <n v="0"/>
    <n v="53873616"/>
    <n v="0"/>
    <m/>
    <n v="0"/>
    <m/>
    <n v="0"/>
    <m/>
    <n v="0"/>
    <m/>
    <n v="0"/>
    <n v="57339635.000000015"/>
    <n v="14192"/>
    <n v="14192"/>
    <m/>
    <n v="0"/>
    <m/>
    <n v="0"/>
    <m/>
    <n v="0"/>
    <n v="59893885.5"/>
    <n v="0"/>
    <n v="14192"/>
    <n v="0"/>
    <n v="14192"/>
    <n v="0"/>
    <n v="0"/>
    <s v=""/>
    <n v="14192"/>
    <n v="2018"/>
    <n v="14192"/>
    <n v="2018"/>
    <s v=""/>
    <n v="14192"/>
    <n v="14192"/>
    <s v="No change"/>
    <m/>
    <m/>
    <m/>
    <m/>
    <n v="0"/>
    <n v="2.4750767946116148"/>
    <n v="2.3695240142668652"/>
    <n v="2.3695240142668652"/>
    <x v="1"/>
  </r>
  <r>
    <s v="South Africa"/>
    <x v="44"/>
    <n v="53145036"/>
    <x v="22"/>
    <n v="58722"/>
    <n v="53873616"/>
    <n v="0"/>
    <m/>
    <n v="0"/>
    <m/>
    <n v="0"/>
    <m/>
    <n v="0"/>
    <m/>
    <n v="0"/>
    <n v="57339635.000000015"/>
    <n v="70552"/>
    <n v="287458"/>
    <m/>
    <n v="64638"/>
    <m/>
    <n v="61028"/>
    <m/>
    <n v="0"/>
    <n v="59893885.5"/>
    <n v="271047"/>
    <n v="287458"/>
    <n v="58722"/>
    <n v="70552"/>
    <n v="271047"/>
    <n v="58722"/>
    <n v="2012"/>
    <n v="287458"/>
    <s v="2018 (triag)"/>
    <n v="271047"/>
    <n v="2022"/>
    <s v="Adjust"/>
    <n v="397261.24962174537"/>
    <n v="397261.24962174537"/>
    <s v="Increasing"/>
    <m/>
    <m/>
    <m/>
    <m/>
    <n v="10.899955183999529"/>
    <n v="50.132513051399776"/>
    <n v="66.327513452394967"/>
    <n v="66.327513452394967"/>
    <x v="1"/>
  </r>
  <r>
    <s v="South Africa"/>
    <x v="44"/>
    <n v="53145037"/>
    <x v="23"/>
    <n v="0"/>
    <n v="53873616"/>
    <n v="0"/>
    <m/>
    <n v="0"/>
    <m/>
    <n v="0"/>
    <m/>
    <n v="0"/>
    <m/>
    <n v="0"/>
    <n v="57339635.000000015"/>
    <n v="0"/>
    <n v="140598"/>
    <m/>
    <n v="0"/>
    <m/>
    <n v="0"/>
    <m/>
    <n v="0"/>
    <n v="59893885.5"/>
    <n v="0"/>
    <n v="140598"/>
    <n v="0"/>
    <n v="0"/>
    <n v="0"/>
    <n v="0"/>
    <s v=""/>
    <n v="140598"/>
    <s v="2018 (triag)"/>
    <n v="140598"/>
    <s v="2018 (triag)"/>
    <s v=""/>
    <n v="140598"/>
    <n v="140598"/>
    <s v="No change"/>
    <m/>
    <m/>
    <m/>
    <m/>
    <n v="0"/>
    <n v="24.520211891826651"/>
    <n v="23.474516442918034"/>
    <n v="23.474516442918034"/>
    <x v="1"/>
  </r>
  <r>
    <s v="South Africa"/>
    <x v="44"/>
    <n v="53145038"/>
    <x v="24"/>
    <n v="0"/>
    <n v="53873616"/>
    <n v="0"/>
    <m/>
    <n v="0"/>
    <m/>
    <n v="0"/>
    <m/>
    <n v="0"/>
    <m/>
    <n v="0"/>
    <n v="57339635.000000015"/>
    <n v="0"/>
    <n v="146860"/>
    <m/>
    <n v="0"/>
    <m/>
    <n v="0"/>
    <m/>
    <n v="0"/>
    <n v="59893885.5"/>
    <n v="0"/>
    <n v="146860"/>
    <n v="0"/>
    <n v="0"/>
    <n v="0"/>
    <n v="0"/>
    <s v=""/>
    <n v="146860"/>
    <s v="2018 (triag)"/>
    <n v="146860"/>
    <s v="2018 (triag)"/>
    <s v=""/>
    <n v="146860"/>
    <n v="146860"/>
    <s v="No change"/>
    <m/>
    <m/>
    <m/>
    <m/>
    <n v="0"/>
    <n v="25.612301159573121"/>
    <n v="24.520032182583979"/>
    <n v="24.520032182583979"/>
    <x v="1"/>
  </r>
  <r>
    <s v="South Africa"/>
    <x v="44"/>
    <n v="53145039"/>
    <x v="25"/>
    <n v="0"/>
    <n v="53873616"/>
    <n v="0"/>
    <m/>
    <n v="0"/>
    <m/>
    <n v="0"/>
    <m/>
    <n v="1284"/>
    <m/>
    <n v="0"/>
    <n v="57339635.000000015"/>
    <n v="0"/>
    <n v="0"/>
    <m/>
    <n v="0"/>
    <m/>
    <n v="0"/>
    <m/>
    <n v="0"/>
    <n v="59893885.5"/>
    <n v="0"/>
    <n v="0"/>
    <n v="0"/>
    <n v="1284"/>
    <n v="0"/>
    <n v="0"/>
    <s v=""/>
    <n v="0"/>
    <s v=""/>
    <n v="0"/>
    <s v=""/>
    <s v=""/>
    <n v="0"/>
    <n v="0"/>
    <s v="No change"/>
    <m/>
    <m/>
    <m/>
    <m/>
    <n v="0"/>
    <n v="0"/>
    <n v="0"/>
    <n v="0"/>
    <x v="1"/>
  </r>
  <r>
    <s v="South Africa"/>
    <x v="44"/>
    <n v="53145040"/>
    <x v="26"/>
    <n v="0"/>
    <n v="53873616"/>
    <n v="0"/>
    <m/>
    <n v="0"/>
    <m/>
    <n v="0"/>
    <m/>
    <n v="1284"/>
    <m/>
    <n v="0"/>
    <n v="57339635.000000015"/>
    <n v="0"/>
    <n v="0"/>
    <m/>
    <n v="0"/>
    <m/>
    <n v="0"/>
    <m/>
    <n v="0"/>
    <n v="59893885.5"/>
    <n v="0"/>
    <n v="0"/>
    <n v="0"/>
    <n v="1284"/>
    <n v="0"/>
    <n v="0"/>
    <s v=""/>
    <n v="0"/>
    <s v=""/>
    <n v="0"/>
    <s v=""/>
    <s v=""/>
    <n v="0"/>
    <n v="0"/>
    <s v="No change"/>
    <m/>
    <m/>
    <m/>
    <m/>
    <n v="0"/>
    <n v="0"/>
    <n v="0"/>
    <n v="0"/>
    <x v="1"/>
  </r>
  <r>
    <s v="South Africa"/>
    <x v="44"/>
    <n v="53145041"/>
    <x v="27"/>
    <n v="0"/>
    <n v="53873616"/>
    <n v="0"/>
    <m/>
    <n v="0"/>
    <m/>
    <n v="0"/>
    <m/>
    <n v="0"/>
    <m/>
    <n v="0"/>
    <n v="57339635.000000015"/>
    <n v="0"/>
    <n v="0"/>
    <m/>
    <n v="0"/>
    <m/>
    <n v="0"/>
    <m/>
    <n v="0"/>
    <n v="59893885.5"/>
    <n v="0"/>
    <n v="0"/>
    <n v="0"/>
    <n v="0"/>
    <n v="0"/>
    <n v="0"/>
    <s v=""/>
    <n v="0"/>
    <s v=""/>
    <n v="0"/>
    <s v=""/>
    <s v=""/>
    <n v="0"/>
    <n v="0"/>
    <s v="No change"/>
    <m/>
    <m/>
    <m/>
    <m/>
    <n v="0"/>
    <n v="0"/>
    <n v="0"/>
    <n v="0"/>
    <x v="1"/>
  </r>
  <r>
    <s v="South Africa"/>
    <x v="44"/>
    <n v="53145042"/>
    <x v="28"/>
    <n v="13642"/>
    <n v="53873616"/>
    <n v="0"/>
    <m/>
    <n v="14994"/>
    <m/>
    <n v="15784"/>
    <m/>
    <n v="15267"/>
    <m/>
    <n v="0"/>
    <n v="57339635.000000015"/>
    <n v="0"/>
    <n v="14412"/>
    <m/>
    <n v="0"/>
    <m/>
    <n v="0"/>
    <m/>
    <n v="0"/>
    <n v="59893885.5"/>
    <n v="17703"/>
    <n v="14412"/>
    <n v="15784"/>
    <n v="15267"/>
    <n v="17703"/>
    <n v="13642"/>
    <n v="2012"/>
    <n v="14412"/>
    <s v="2018 (triag)"/>
    <n v="17703"/>
    <n v="2022"/>
    <s v=""/>
    <n v="17703"/>
    <n v="17703"/>
    <s v="Increasing"/>
    <m/>
    <m/>
    <m/>
    <m/>
    <n v="2.5322228231347976"/>
    <n v="2.513444670514557"/>
    <n v="2.9557274256317867"/>
    <n v="2.9557274256317867"/>
    <x v="1"/>
  </r>
  <r>
    <s v="South Africa"/>
    <x v="44"/>
    <n v="53145043"/>
    <x v="29"/>
    <n v="7320"/>
    <n v="53873616"/>
    <n v="0"/>
    <m/>
    <n v="17491"/>
    <m/>
    <n v="18477"/>
    <m/>
    <n v="21713"/>
    <m/>
    <n v="11741"/>
    <n v="57339635.000000015"/>
    <n v="0"/>
    <n v="1783"/>
    <m/>
    <n v="0"/>
    <m/>
    <n v="0"/>
    <m/>
    <n v="0"/>
    <n v="59893885.5"/>
    <n v="0"/>
    <n v="1783"/>
    <n v="18477"/>
    <n v="21713"/>
    <n v="0"/>
    <n v="7320"/>
    <n v="2012"/>
    <n v="1783"/>
    <s v="2018 (triag)"/>
    <n v="1783"/>
    <s v="2018 (triag)"/>
    <s v=""/>
    <n v="1783"/>
    <n v="1783"/>
    <s v="No change"/>
    <m/>
    <m/>
    <m/>
    <m/>
    <n v="1.3587356007437852"/>
    <n v="0.31095419424975401"/>
    <n v="0.29769315934595691"/>
    <n v="0.29769315934595691"/>
    <x v="1"/>
  </r>
  <r>
    <s v="South Africa"/>
    <x v="44"/>
    <n v="53145044"/>
    <x v="30"/>
    <n v="5554"/>
    <n v="53873616"/>
    <n v="5770"/>
    <m/>
    <n v="5817"/>
    <m/>
    <n v="5985"/>
    <m/>
    <n v="6158"/>
    <m/>
    <n v="6314"/>
    <n v="57339635.000000015"/>
    <n v="6433"/>
    <n v="6433"/>
    <m/>
    <n v="6365"/>
    <m/>
    <n v="0"/>
    <m/>
    <n v="6586"/>
    <n v="59893885.5"/>
    <n v="1348"/>
    <n v="6155"/>
    <n v="5985"/>
    <n v="6433"/>
    <n v="6586"/>
    <n v="5770"/>
    <n v="2013"/>
    <n v="6433"/>
    <n v="2018"/>
    <n v="1348"/>
    <n v="2022"/>
    <s v="Adjust"/>
    <n v="1975.7022379517678"/>
    <n v="6433"/>
    <s v="Decreasing"/>
    <m/>
    <m/>
    <m/>
    <m/>
    <n v="1.0710251934824646"/>
    <n v="1.1219115712892136"/>
    <n v="0.32986710103350497"/>
    <n v="1.074066233355323"/>
    <x v="0"/>
  </r>
  <r>
    <s v="South Africa"/>
    <x v="44"/>
    <n v="53145045"/>
    <x v="31"/>
    <n v="4104"/>
    <n v="53873616"/>
    <n v="4625"/>
    <m/>
    <n v="4687"/>
    <m/>
    <n v="4785"/>
    <m/>
    <n v="5484"/>
    <m/>
    <n v="6948"/>
    <n v="57339635.000000015"/>
    <n v="0"/>
    <n v="661"/>
    <m/>
    <n v="0"/>
    <m/>
    <n v="0"/>
    <m/>
    <n v="6165"/>
    <n v="59893885.5"/>
    <n v="1550"/>
    <n v="661"/>
    <n v="4785"/>
    <n v="6948"/>
    <n v="6165"/>
    <n v="4625"/>
    <n v="2013"/>
    <n v="661"/>
    <s v="2018 (triag)"/>
    <n v="1550"/>
    <n v="2022"/>
    <s v=""/>
    <n v="1550"/>
    <n v="1550"/>
    <s v="Increasing"/>
    <m/>
    <m/>
    <m/>
    <m/>
    <n v="0.85849073134426324"/>
    <n v="0.11527802714474897"/>
    <n v="0.25879102466978871"/>
    <n v="0.25879102466978871"/>
    <x v="1"/>
  </r>
  <r>
    <s v="South Africa"/>
    <x v="44"/>
    <n v="53145046"/>
    <x v="32"/>
    <n v="0"/>
    <n v="53873616"/>
    <n v="0"/>
    <m/>
    <n v="0"/>
    <m/>
    <n v="0"/>
    <m/>
    <n v="8190"/>
    <m/>
    <n v="8453"/>
    <n v="57339635.000000015"/>
    <n v="8565"/>
    <n v="8565"/>
    <m/>
    <n v="8742"/>
    <m/>
    <n v="0"/>
    <m/>
    <n v="9125"/>
    <n v="59893885.5"/>
    <n v="723"/>
    <n v="0"/>
    <n v="0"/>
    <n v="8742"/>
    <n v="9125"/>
    <n v="0"/>
    <s v=""/>
    <n v="8565"/>
    <n v="2018"/>
    <n v="723"/>
    <n v="2022"/>
    <s v="Adjust"/>
    <n v="1059.6681884563263"/>
    <n v="8565"/>
    <s v="Decreasing"/>
    <m/>
    <m/>
    <m/>
    <m/>
    <n v="0"/>
    <n v="1.4937311686759076"/>
    <n v="0.17692426858102675"/>
    <n v="1.4300291137398324"/>
    <x v="0"/>
  </r>
  <r>
    <s v="Zambia"/>
    <x v="45"/>
    <n v="14744657.999999998"/>
    <x v="19"/>
    <n v="0"/>
    <n v="15234975.999999991"/>
    <n v="0"/>
    <n v="15737792.999999998"/>
    <n v="0"/>
    <n v="16248229.999999996"/>
    <n v="0"/>
    <n v="16767760.499999996"/>
    <n v="1514"/>
    <n v="17298053.500000004"/>
    <n v="0"/>
    <n v="17835892.999999981"/>
    <n v="4021"/>
    <n v="4021"/>
    <n v="18380476.500000004"/>
    <n v="4386"/>
    <n v="18927715.000000022"/>
    <n v="4818"/>
    <n v="19473124.999999996"/>
    <n v="5773"/>
    <n v="20017675.000000004"/>
    <n v="6531"/>
    <n v="2026"/>
    <n v="0"/>
    <n v="4386"/>
    <n v="6531"/>
    <n v="0"/>
    <s v=""/>
    <n v="4021"/>
    <n v="2018"/>
    <n v="6531"/>
    <n v="2022"/>
    <s v=""/>
    <n v="6531"/>
    <n v="6531"/>
    <s v="Increasing"/>
    <m/>
    <m/>
    <m/>
    <m/>
    <n v="0"/>
    <n v="2.2544427688594029"/>
    <n v="3.2626166625244934"/>
    <n v="3.2626166625244934"/>
    <x v="1"/>
  </r>
  <r>
    <s v="Zambia"/>
    <x v="45"/>
    <n v="14744659"/>
    <x v="20"/>
    <n v="0"/>
    <n v="15234975.999999991"/>
    <n v="0"/>
    <m/>
    <n v="0"/>
    <m/>
    <n v="0"/>
    <m/>
    <n v="0"/>
    <m/>
    <n v="0"/>
    <n v="17835892.999999981"/>
    <n v="0"/>
    <n v="1701"/>
    <m/>
    <n v="0"/>
    <m/>
    <n v="0"/>
    <m/>
    <n v="0"/>
    <n v="20017675.000000004"/>
    <n v="4709"/>
    <n v="1701"/>
    <n v="0"/>
    <n v="0"/>
    <n v="4709"/>
    <n v="0"/>
    <s v=""/>
    <n v="1701"/>
    <s v="2018 (triag)"/>
    <n v="4709"/>
    <n v="2022"/>
    <s v=""/>
    <n v="4709"/>
    <n v="4709"/>
    <s v="Increasing"/>
    <m/>
    <m/>
    <m/>
    <m/>
    <n v="0"/>
    <n v="0.95369488928869539"/>
    <n v="2.3524210478989187"/>
    <n v="2.3524210478989187"/>
    <x v="1"/>
  </r>
  <r>
    <s v="Zambia"/>
    <x v="45"/>
    <n v="14744660"/>
    <x v="21"/>
    <n v="0"/>
    <n v="15234975.999999991"/>
    <n v="0"/>
    <m/>
    <n v="0"/>
    <m/>
    <n v="0"/>
    <m/>
    <n v="0"/>
    <m/>
    <n v="0"/>
    <n v="17835892.999999981"/>
    <n v="0"/>
    <n v="325"/>
    <m/>
    <n v="0"/>
    <m/>
    <n v="0"/>
    <m/>
    <n v="0"/>
    <n v="20017675.000000004"/>
    <n v="534"/>
    <n v="325"/>
    <n v="0"/>
    <n v="0"/>
    <n v="534"/>
    <n v="0"/>
    <s v=""/>
    <n v="325"/>
    <s v="2018 (triag)"/>
    <n v="534"/>
    <n v="2022"/>
    <s v=""/>
    <n v="534"/>
    <n v="534"/>
    <s v="Increasing"/>
    <m/>
    <m/>
    <m/>
    <m/>
    <n v="0"/>
    <n v="0.18221683657779308"/>
    <n v="0.26676424709662833"/>
    <n v="0.26676424709662833"/>
    <x v="1"/>
  </r>
  <r>
    <s v="Zambia"/>
    <x v="45"/>
    <n v="14744661"/>
    <x v="22"/>
    <n v="0"/>
    <n v="15234975.999999991"/>
    <n v="0"/>
    <m/>
    <n v="0"/>
    <m/>
    <n v="0"/>
    <m/>
    <n v="0"/>
    <m/>
    <n v="15691"/>
    <n v="17835892.999999981"/>
    <n v="20746"/>
    <n v="20746"/>
    <m/>
    <n v="23035"/>
    <m/>
    <n v="27674"/>
    <m/>
    <n v="32542"/>
    <n v="20017675.000000004"/>
    <n v="49975"/>
    <n v="14516"/>
    <n v="0"/>
    <n v="23035"/>
    <n v="49975"/>
    <n v="0"/>
    <s v=""/>
    <n v="20746"/>
    <n v="2018"/>
    <n v="49975"/>
    <n v="2022"/>
    <s v=""/>
    <n v="49975"/>
    <n v="49975"/>
    <s v="Increasing"/>
    <m/>
    <m/>
    <m/>
    <m/>
    <n v="0"/>
    <n v="11.63160151274737"/>
    <n v="24.965436795232208"/>
    <n v="24.965436795232208"/>
    <x v="1"/>
  </r>
  <r>
    <s v="Zambia"/>
    <x v="45"/>
    <n v="14744662"/>
    <x v="23"/>
    <n v="0"/>
    <n v="15234975.999999991"/>
    <n v="0"/>
    <m/>
    <n v="0"/>
    <m/>
    <n v="0"/>
    <m/>
    <n v="0"/>
    <m/>
    <n v="15691"/>
    <n v="17835892.999999981"/>
    <n v="20746"/>
    <n v="20746"/>
    <m/>
    <n v="23035"/>
    <m/>
    <n v="27674"/>
    <m/>
    <n v="32542"/>
    <n v="20017675.000000004"/>
    <n v="33779"/>
    <n v="14516"/>
    <n v="0"/>
    <n v="23035"/>
    <n v="33779"/>
    <n v="0"/>
    <s v=""/>
    <n v="20746"/>
    <n v="2018"/>
    <n v="33779"/>
    <n v="2022"/>
    <s v=""/>
    <n v="33779"/>
    <n v="33779"/>
    <s v="Increasing"/>
    <m/>
    <m/>
    <m/>
    <m/>
    <n v="0"/>
    <n v="11.63160151274737"/>
    <n v="16.874587083664807"/>
    <n v="16.874587083664807"/>
    <x v="1"/>
  </r>
  <r>
    <s v="Zambia"/>
    <x v="45"/>
    <n v="14744663"/>
    <x v="24"/>
    <n v="0"/>
    <n v="15234975.999999991"/>
    <n v="0"/>
    <m/>
    <n v="0"/>
    <m/>
    <n v="0"/>
    <m/>
    <n v="0"/>
    <m/>
    <n v="0"/>
    <n v="17835892.999999981"/>
    <n v="0"/>
    <n v="0"/>
    <m/>
    <n v="0"/>
    <m/>
    <n v="0"/>
    <m/>
    <n v="0"/>
    <n v="20017675.000000004"/>
    <n v="0"/>
    <n v="0"/>
    <n v="0"/>
    <n v="0"/>
    <n v="0"/>
    <n v="0"/>
    <s v=""/>
    <n v="0"/>
    <s v=""/>
    <n v="0"/>
    <s v=""/>
    <s v=""/>
    <n v="0"/>
    <n v="0"/>
    <s v="No change"/>
    <m/>
    <m/>
    <m/>
    <m/>
    <n v="0"/>
    <n v="0"/>
    <n v="0"/>
    <n v="0"/>
    <x v="1"/>
  </r>
  <r>
    <s v="Zambia"/>
    <x v="45"/>
    <n v="14744664"/>
    <x v="25"/>
    <n v="0"/>
    <n v="15234975.999999991"/>
    <n v="2773"/>
    <m/>
    <n v="0"/>
    <m/>
    <n v="0"/>
    <m/>
    <n v="3333"/>
    <m/>
    <n v="0"/>
    <n v="17835892.999999981"/>
    <n v="2137"/>
    <n v="3432"/>
    <m/>
    <n v="3223"/>
    <m/>
    <n v="3312"/>
    <m/>
    <n v="3746"/>
    <n v="20017675.000000004"/>
    <n v="9202"/>
    <n v="3432"/>
    <n v="2773"/>
    <n v="3333"/>
    <n v="9202"/>
    <n v="2773"/>
    <n v="2013"/>
    <n v="3432"/>
    <s v="2018 (triag)"/>
    <n v="9202"/>
    <n v="2022"/>
    <s v=""/>
    <n v="9202"/>
    <n v="9202"/>
    <s v="Increasing"/>
    <m/>
    <m/>
    <m/>
    <m/>
    <n v="1.8201538354901259"/>
    <n v="1.9242097942614949"/>
    <n v="4.5969374565227969"/>
    <n v="4.5969374565227969"/>
    <x v="1"/>
  </r>
  <r>
    <s v="Zambia"/>
    <x v="45"/>
    <n v="14744665"/>
    <x v="26"/>
    <n v="0"/>
    <n v="15234975.999999991"/>
    <n v="2773"/>
    <m/>
    <n v="0"/>
    <m/>
    <n v="0"/>
    <m/>
    <n v="192"/>
    <m/>
    <n v="0"/>
    <n v="17835892.999999981"/>
    <n v="2137"/>
    <n v="3432"/>
    <m/>
    <n v="3223"/>
    <m/>
    <n v="3312"/>
    <m/>
    <n v="3746"/>
    <n v="20017675.000000004"/>
    <n v="9202"/>
    <n v="3432"/>
    <n v="2773"/>
    <n v="3223"/>
    <n v="9202"/>
    <n v="2773"/>
    <n v="2013"/>
    <n v="3432"/>
    <s v="2018 (triag)"/>
    <n v="9202"/>
    <n v="2022"/>
    <s v=""/>
    <n v="9202"/>
    <n v="9202"/>
    <s v="Increasing"/>
    <m/>
    <m/>
    <m/>
    <m/>
    <n v="1.8201538354901259"/>
    <n v="1.9242097942614949"/>
    <n v="4.5969374565227969"/>
    <n v="4.5969374565227969"/>
    <x v="1"/>
  </r>
  <r>
    <s v="Zambia"/>
    <x v="45"/>
    <n v="14744666"/>
    <x v="27"/>
    <n v="0"/>
    <n v="15234975.999999991"/>
    <n v="0"/>
    <m/>
    <n v="0"/>
    <m/>
    <n v="0"/>
    <m/>
    <n v="0"/>
    <m/>
    <n v="0"/>
    <n v="17835892.999999981"/>
    <n v="0"/>
    <n v="0"/>
    <m/>
    <n v="0"/>
    <m/>
    <n v="0"/>
    <m/>
    <n v="0"/>
    <n v="20017675.000000004"/>
    <n v="0"/>
    <n v="0"/>
    <n v="0"/>
    <n v="0"/>
    <n v="0"/>
    <n v="0"/>
    <s v=""/>
    <n v="0"/>
    <s v=""/>
    <n v="0"/>
    <s v=""/>
    <s v=""/>
    <n v="0"/>
    <n v="0"/>
    <s v="No change"/>
    <m/>
    <m/>
    <m/>
    <m/>
    <n v="0"/>
    <n v="0"/>
    <n v="0"/>
    <n v="0"/>
    <x v="1"/>
  </r>
  <r>
    <s v="Zambia"/>
    <x v="45"/>
    <n v="14744667"/>
    <x v="28"/>
    <n v="409"/>
    <n v="15234975.999999991"/>
    <n v="0"/>
    <m/>
    <n v="0"/>
    <m/>
    <n v="0"/>
    <m/>
    <n v="1159"/>
    <m/>
    <n v="0"/>
    <n v="17835892.999999981"/>
    <n v="727"/>
    <n v="727"/>
    <m/>
    <n v="856"/>
    <m/>
    <n v="1082"/>
    <m/>
    <n v="1376"/>
    <n v="20017675.000000004"/>
    <n v="1425"/>
    <n v="424"/>
    <n v="409"/>
    <n v="1159"/>
    <n v="1425"/>
    <n v="409"/>
    <n v="2012"/>
    <n v="727"/>
    <n v="2018"/>
    <n v="1425"/>
    <n v="2022"/>
    <s v=""/>
    <n v="1425"/>
    <n v="1425"/>
    <s v="Increasing"/>
    <m/>
    <m/>
    <m/>
    <m/>
    <n v="0.26846120400846069"/>
    <n v="0.40760504674478637"/>
    <n v="0.71187088410617105"/>
    <n v="0.71187088410617105"/>
    <x v="1"/>
  </r>
  <r>
    <s v="Zambia"/>
    <x v="45"/>
    <n v="14744668"/>
    <x v="29"/>
    <n v="814"/>
    <n v="15234975.999999991"/>
    <n v="0"/>
    <m/>
    <n v="0"/>
    <m/>
    <n v="0"/>
    <m/>
    <n v="0"/>
    <m/>
    <n v="0"/>
    <n v="17835892.999999981"/>
    <n v="1132"/>
    <n v="1284"/>
    <m/>
    <n v="1312"/>
    <m/>
    <n v="1544"/>
    <m/>
    <n v="1944"/>
    <n v="20017675.000000004"/>
    <n v="1800"/>
    <n v="1284"/>
    <n v="814"/>
    <n v="1312"/>
    <n v="1944"/>
    <n v="814"/>
    <n v="2012"/>
    <n v="1284"/>
    <s v="2018 (triag)"/>
    <n v="1800"/>
    <n v="2022"/>
    <s v=""/>
    <n v="1800"/>
    <n v="1800"/>
    <s v="Increasing"/>
    <m/>
    <m/>
    <m/>
    <m/>
    <n v="0.53429687056940589"/>
    <n v="0.71989667127965018"/>
    <n v="0.89920532729200553"/>
    <n v="0.89920532729200553"/>
    <x v="1"/>
  </r>
  <r>
    <s v="Zambia"/>
    <x v="45"/>
    <n v="14744669"/>
    <x v="30"/>
    <n v="0"/>
    <n v="15234975.999999991"/>
    <n v="0"/>
    <m/>
    <n v="0"/>
    <m/>
    <n v="0"/>
    <m/>
    <n v="312"/>
    <m/>
    <n v="0"/>
    <n v="17835892.999999981"/>
    <n v="160"/>
    <n v="160"/>
    <m/>
    <n v="180"/>
    <m/>
    <n v="205"/>
    <m/>
    <n v="269"/>
    <n v="20017675.000000004"/>
    <n v="306"/>
    <n v="43"/>
    <n v="0"/>
    <n v="312"/>
    <n v="306"/>
    <n v="0"/>
    <s v=""/>
    <n v="160"/>
    <n v="2018"/>
    <n v="306"/>
    <n v="2022"/>
    <s v=""/>
    <n v="306"/>
    <n v="306"/>
    <s v="Increasing"/>
    <m/>
    <m/>
    <m/>
    <m/>
    <n v="0"/>
    <n v="8.9706750315221198E-2"/>
    <n v="0.15286490563964095"/>
    <n v="0.15286490563964095"/>
    <x v="1"/>
  </r>
  <r>
    <s v="Zambia"/>
    <x v="45"/>
    <n v="14744670"/>
    <x v="31"/>
    <n v="282"/>
    <n v="15234975.999999991"/>
    <n v="0"/>
    <m/>
    <n v="0"/>
    <m/>
    <n v="0"/>
    <m/>
    <n v="0"/>
    <m/>
    <n v="0"/>
    <n v="17835892.999999981"/>
    <n v="353"/>
    <n v="412"/>
    <m/>
    <n v="390"/>
    <m/>
    <n v="453"/>
    <m/>
    <n v="499"/>
    <n v="20017675.000000004"/>
    <n v="743"/>
    <n v="412"/>
    <n v="282"/>
    <n v="390"/>
    <n v="743"/>
    <n v="282"/>
    <n v="2012"/>
    <n v="412"/>
    <s v="2018 (triag)"/>
    <n v="743"/>
    <n v="2022"/>
    <s v=""/>
    <n v="743"/>
    <n v="743"/>
    <s v="Increasing"/>
    <m/>
    <m/>
    <m/>
    <m/>
    <n v="0.18510039004984333"/>
    <n v="0.23099488206169461"/>
    <n v="0.37117197676553337"/>
    <n v="0.37117197676553337"/>
    <x v="1"/>
  </r>
  <r>
    <s v="Zambia"/>
    <x v="45"/>
    <n v="14744671"/>
    <x v="32"/>
    <n v="0"/>
    <n v="15234975.999999991"/>
    <n v="0"/>
    <m/>
    <n v="0"/>
    <m/>
    <n v="0"/>
    <m/>
    <n v="0"/>
    <m/>
    <n v="0"/>
    <n v="17835892.999999981"/>
    <n v="0"/>
    <n v="0"/>
    <m/>
    <n v="0"/>
    <m/>
    <n v="0"/>
    <m/>
    <n v="0"/>
    <n v="20017675.000000004"/>
    <n v="4"/>
    <n v="0"/>
    <n v="0"/>
    <n v="0"/>
    <n v="4"/>
    <n v="0"/>
    <s v=""/>
    <n v="0"/>
    <s v=""/>
    <n v="4"/>
    <n v="2022"/>
    <s v=""/>
    <n v="4"/>
    <n v="4"/>
    <s v="Increasing"/>
    <m/>
    <m/>
    <m/>
    <m/>
    <n v="0"/>
    <n v="0"/>
    <n v="1.998234060648901E-3"/>
    <n v="1.998234060648901E-3"/>
    <x v="1"/>
  </r>
  <r>
    <s v="Zimbabwe"/>
    <x v="46"/>
    <n v="13265331.000000002"/>
    <x v="19"/>
    <n v="1059"/>
    <n v="13555421.500000011"/>
    <n v="1114"/>
    <n v="13855753.000000004"/>
    <n v="1685"/>
    <n v="14154937"/>
    <n v="2508"/>
    <n v="14452704.499999994"/>
    <n v="2508"/>
    <n v="14751100.999999998"/>
    <n v="2646"/>
    <n v="15052184.000000007"/>
    <n v="3026"/>
    <n v="3026"/>
    <n v="15354607.5"/>
    <n v="0"/>
    <n v="15669665.999999998"/>
    <n v="2957"/>
    <n v="15993524.000000002"/>
    <n v="0"/>
    <n v="16320536.999999996"/>
    <n v="2708"/>
    <n v="1959"/>
    <n v="2508"/>
    <n v="3026"/>
    <n v="2957"/>
    <n v="1114"/>
    <n v="2013"/>
    <n v="3026"/>
    <n v="2018"/>
    <n v="2708"/>
    <n v="2022"/>
    <s v="Adjust"/>
    <n v="3131.5983655333839"/>
    <n v="3131.5983655333839"/>
    <s v="Increasing"/>
    <m/>
    <m/>
    <m/>
    <m/>
    <n v="0.82181140586443524"/>
    <n v="2.010339496248517"/>
    <n v="1.9188084102461731"/>
    <n v="1.9188084102461731"/>
    <x v="1"/>
  </r>
  <r>
    <s v="Zimbabwe"/>
    <x v="46"/>
    <n v="13265332"/>
    <x v="20"/>
    <n v="0"/>
    <n v="13555421.500000011"/>
    <n v="0"/>
    <m/>
    <n v="1458"/>
    <m/>
    <n v="1754"/>
    <m/>
    <n v="1754"/>
    <m/>
    <n v="1754"/>
    <n v="15052184.000000007"/>
    <n v="1863"/>
    <n v="1863"/>
    <m/>
    <n v="0"/>
    <m/>
    <n v="0"/>
    <m/>
    <n v="0"/>
    <n v="16320536.999999996"/>
    <n v="2032"/>
    <n v="1715"/>
    <n v="1754"/>
    <n v="1863"/>
    <n v="2032"/>
    <n v="1458"/>
    <n v="2014"/>
    <n v="1863"/>
    <n v="2018"/>
    <n v="2032"/>
    <n v="2022"/>
    <s v=""/>
    <n v="2032"/>
    <n v="2032"/>
    <s v="Increasing"/>
    <m/>
    <m/>
    <m/>
    <m/>
    <n v="1.0755844073162895"/>
    <n v="1.2376941445839349"/>
    <n v="1.2450570713451405"/>
    <n v="1.2450570713451405"/>
    <x v="1"/>
  </r>
  <r>
    <s v="Zimbabwe"/>
    <x v="46"/>
    <n v="13265333"/>
    <x v="21"/>
    <n v="0"/>
    <n v="13555421.500000011"/>
    <n v="0"/>
    <m/>
    <n v="227"/>
    <m/>
    <n v="446"/>
    <m/>
    <n v="446"/>
    <m/>
    <n v="446"/>
    <n v="15052184.000000007"/>
    <n v="619"/>
    <n v="619"/>
    <m/>
    <n v="0"/>
    <m/>
    <n v="0"/>
    <m/>
    <n v="0"/>
    <n v="16320536.999999996"/>
    <n v="676"/>
    <n v="244"/>
    <n v="446"/>
    <n v="619"/>
    <n v="676"/>
    <n v="227"/>
    <n v="2014"/>
    <n v="619"/>
    <n v="2018"/>
    <n v="676"/>
    <n v="2022"/>
    <s v=""/>
    <n v="676"/>
    <n v="676"/>
    <s v="Increasing"/>
    <m/>
    <m/>
    <m/>
    <m/>
    <n v="0.16746067246968294"/>
    <n v="0.41123600402439919"/>
    <n v="0.41420205719946601"/>
    <n v="0.41420205719946601"/>
    <x v="1"/>
  </r>
  <r>
    <s v="Zimbabwe"/>
    <x v="46"/>
    <n v="13265334"/>
    <x v="22"/>
    <n v="15536"/>
    <n v="13555421.500000011"/>
    <n v="18722"/>
    <m/>
    <n v="20885"/>
    <m/>
    <n v="19099"/>
    <m/>
    <n v="19642"/>
    <m/>
    <n v="28170"/>
    <n v="15052184.000000007"/>
    <n v="27874"/>
    <n v="27874"/>
    <m/>
    <n v="0"/>
    <m/>
    <n v="22499"/>
    <m/>
    <n v="0"/>
    <n v="16320536.999999996"/>
    <n v="46537"/>
    <n v="25835"/>
    <n v="20885"/>
    <n v="28170"/>
    <n v="46537"/>
    <n v="18722"/>
    <n v="2013"/>
    <n v="27874"/>
    <n v="2018"/>
    <n v="46537"/>
    <n v="2022"/>
    <s v=""/>
    <n v="46537"/>
    <n v="46537"/>
    <s v="Increasing"/>
    <m/>
    <m/>
    <m/>
    <m/>
    <n v="13.811448061574467"/>
    <n v="18.518242934048633"/>
    <n v="28.514380378537798"/>
    <n v="28.514380378537798"/>
    <x v="1"/>
  </r>
  <r>
    <s v="Zimbabwe"/>
    <x v="46"/>
    <n v="13265335"/>
    <x v="23"/>
    <n v="0"/>
    <n v="13555421.500000011"/>
    <n v="0"/>
    <m/>
    <n v="18315"/>
    <m/>
    <n v="16781"/>
    <m/>
    <n v="17054"/>
    <m/>
    <n v="18810"/>
    <n v="15052184.000000007"/>
    <n v="14822"/>
    <n v="19171"/>
    <m/>
    <n v="0"/>
    <m/>
    <n v="0"/>
    <m/>
    <n v="0"/>
    <n v="16320536.999999996"/>
    <n v="32182"/>
    <n v="19171"/>
    <n v="18315"/>
    <n v="18810"/>
    <n v="32182"/>
    <n v="18315"/>
    <n v="2014"/>
    <n v="19171"/>
    <s v="2018 (triag)"/>
    <n v="32182"/>
    <n v="2022"/>
    <s v=""/>
    <n v="32182"/>
    <n v="32182"/>
    <s v="Increasing"/>
    <m/>
    <m/>
    <m/>
    <m/>
    <n v="13.511199190670673"/>
    <n v="12.736357727224163"/>
    <n v="19.718713912416"/>
    <n v="19.718713912416"/>
    <x v="1"/>
  </r>
  <r>
    <s v="Zimbabwe"/>
    <x v="46"/>
    <n v="13265336"/>
    <x v="24"/>
    <n v="0"/>
    <n v="13555421.500000011"/>
    <n v="0"/>
    <m/>
    <n v="2570"/>
    <m/>
    <n v="2318"/>
    <m/>
    <n v="2588"/>
    <m/>
    <n v="9360"/>
    <n v="15052184.000000007"/>
    <n v="13052"/>
    <n v="13052"/>
    <m/>
    <n v="0"/>
    <m/>
    <n v="0"/>
    <m/>
    <n v="0"/>
    <n v="16320536.999999996"/>
    <n v="0"/>
    <n v="6664"/>
    <n v="2570"/>
    <n v="13052"/>
    <n v="0"/>
    <n v="2570"/>
    <n v="2014"/>
    <n v="13052"/>
    <n v="2018"/>
    <n v="13052"/>
    <n v="2018"/>
    <s v=""/>
    <n v="13052"/>
    <n v="13052"/>
    <s v="No change"/>
    <m/>
    <m/>
    <m/>
    <m/>
    <n v="1.8959203887536791"/>
    <n v="8.6711669216905616"/>
    <n v="7.9972858736204593"/>
    <n v="7.9972858736204593"/>
    <x v="1"/>
  </r>
  <r>
    <s v="Zimbabwe"/>
    <x v="46"/>
    <n v="13265337"/>
    <x v="25"/>
    <n v="0"/>
    <n v="13555421.500000011"/>
    <n v="0"/>
    <m/>
    <n v="0"/>
    <m/>
    <n v="0"/>
    <m/>
    <n v="0"/>
    <m/>
    <n v="8806"/>
    <n v="15052184.000000007"/>
    <n v="0"/>
    <n v="854"/>
    <m/>
    <n v="0"/>
    <m/>
    <n v="9293"/>
    <m/>
    <n v="0"/>
    <n v="16320536.999999996"/>
    <n v="9601"/>
    <n v="854"/>
    <n v="0"/>
    <n v="8806"/>
    <n v="9601"/>
    <n v="0"/>
    <s v=""/>
    <n v="854"/>
    <s v="2018 (triag)"/>
    <n v="9601"/>
    <n v="2022"/>
    <s v=""/>
    <n v="9601"/>
    <n v="9601"/>
    <s v="Increasing"/>
    <m/>
    <m/>
    <m/>
    <m/>
    <n v="0"/>
    <n v="0.56735952736161055"/>
    <n v="5.8827721171184519"/>
    <n v="5.8827721171184519"/>
    <x v="1"/>
  </r>
  <r>
    <s v="Zimbabwe"/>
    <x v="46"/>
    <n v="13265338"/>
    <x v="26"/>
    <n v="0"/>
    <n v="13555421.500000011"/>
    <n v="0"/>
    <m/>
    <n v="0"/>
    <m/>
    <n v="0"/>
    <m/>
    <n v="0"/>
    <m/>
    <n v="0"/>
    <n v="15052184.000000007"/>
    <n v="0"/>
    <n v="845"/>
    <m/>
    <n v="0"/>
    <m/>
    <n v="0"/>
    <m/>
    <n v="0"/>
    <n v="16320536.999999996"/>
    <n v="2796"/>
    <n v="845"/>
    <n v="0"/>
    <n v="0"/>
    <n v="2796"/>
    <n v="0"/>
    <s v=""/>
    <n v="845"/>
    <s v="2018 (triag)"/>
    <n v="2796"/>
    <n v="2022"/>
    <s v=""/>
    <n v="2796"/>
    <n v="2796"/>
    <s v="Increasing"/>
    <m/>
    <m/>
    <m/>
    <m/>
    <n v="0"/>
    <n v="0.56138032859550457"/>
    <n v="1.7131789229729393"/>
    <n v="1.7131789229729393"/>
    <x v="1"/>
  </r>
  <r>
    <s v="Zimbabwe"/>
    <x v="46"/>
    <n v="13265339"/>
    <x v="27"/>
    <n v="0"/>
    <n v="13555421.500000011"/>
    <n v="0"/>
    <m/>
    <n v="0"/>
    <m/>
    <n v="0"/>
    <m/>
    <n v="0"/>
    <m/>
    <n v="0"/>
    <n v="15052184.000000007"/>
    <n v="0"/>
    <n v="9"/>
    <m/>
    <n v="0"/>
    <m/>
    <n v="0"/>
    <m/>
    <n v="0"/>
    <n v="16320536.999999996"/>
    <n v="0"/>
    <n v="9"/>
    <n v="0"/>
    <n v="0"/>
    <n v="0"/>
    <n v="0"/>
    <s v=""/>
    <n v="9"/>
    <s v="2018 (triag)"/>
    <n v="9"/>
    <s v="2018 (triag)"/>
    <s v=""/>
    <n v="9"/>
    <n v="9"/>
    <s v="No change"/>
    <m/>
    <m/>
    <m/>
    <m/>
    <n v="0"/>
    <n v="5.9791987661059658E-3"/>
    <n v="5.5145244301704052E-3"/>
    <n v="5.5145244301704052E-3"/>
    <x v="1"/>
  </r>
  <r>
    <s v="Zimbabwe"/>
    <x v="46"/>
    <n v="13265340"/>
    <x v="28"/>
    <n v="378"/>
    <n v="13555421.500000011"/>
    <n v="394"/>
    <m/>
    <n v="193"/>
    <m/>
    <n v="141"/>
    <m/>
    <n v="219"/>
    <m/>
    <n v="272"/>
    <n v="15052184.000000007"/>
    <n v="1397"/>
    <n v="1397"/>
    <m/>
    <n v="0"/>
    <m/>
    <n v="1600"/>
    <m/>
    <n v="0"/>
    <n v="16320536.999999996"/>
    <n v="1902"/>
    <n v="223"/>
    <n v="394"/>
    <n v="1397"/>
    <n v="1902"/>
    <n v="394"/>
    <n v="2013"/>
    <n v="1397"/>
    <n v="2018"/>
    <n v="1902"/>
    <n v="2022"/>
    <s v=""/>
    <n v="1902"/>
    <n v="1902"/>
    <s v="Increasing"/>
    <m/>
    <m/>
    <m/>
    <m/>
    <n v="0.29065861212799593"/>
    <n v="0.92810451958333706"/>
    <n v="1.1654028295760124"/>
    <n v="1.1654028295760124"/>
    <x v="1"/>
  </r>
  <r>
    <s v="Zimbabwe"/>
    <x v="46"/>
    <n v="13265341"/>
    <x v="29"/>
    <n v="0"/>
    <n v="13555421.500000011"/>
    <n v="0"/>
    <m/>
    <n v="511"/>
    <m/>
    <n v="443"/>
    <m/>
    <n v="540"/>
    <m/>
    <n v="726"/>
    <n v="15052184.000000007"/>
    <n v="1827"/>
    <n v="1827"/>
    <m/>
    <n v="0"/>
    <m/>
    <n v="0"/>
    <m/>
    <n v="0"/>
    <n v="16320536.999999996"/>
    <n v="588"/>
    <n v="553"/>
    <n v="511"/>
    <n v="1827"/>
    <n v="588"/>
    <n v="511"/>
    <n v="2014"/>
    <n v="1827"/>
    <n v="2018"/>
    <n v="588"/>
    <n v="2022"/>
    <s v="Adjust"/>
    <n v="679.97778394890315"/>
    <n v="1827"/>
    <s v="Decreasing"/>
    <m/>
    <m/>
    <m/>
    <m/>
    <n v="0.37697094111016732"/>
    <n v="1.213777349519511"/>
    <n v="0.41663934461770669"/>
    <n v="1.1194484593245924"/>
    <x v="0"/>
  </r>
  <r>
    <s v="Zimbabwe"/>
    <x v="46"/>
    <n v="13265342"/>
    <x v="30"/>
    <n v="233"/>
    <n v="13555421.500000011"/>
    <n v="236"/>
    <m/>
    <n v="107"/>
    <m/>
    <n v="66"/>
    <m/>
    <n v="136"/>
    <m/>
    <n v="109"/>
    <n v="15052184.000000007"/>
    <n v="104"/>
    <n v="142"/>
    <m/>
    <n v="248"/>
    <m/>
    <n v="234"/>
    <m/>
    <n v="0"/>
    <n v="16320536.999999996"/>
    <n v="201"/>
    <n v="142"/>
    <n v="236"/>
    <n v="248"/>
    <n v="234"/>
    <n v="236"/>
    <n v="2013"/>
    <n v="142"/>
    <s v="2018 (triag)"/>
    <n v="201"/>
    <n v="2022"/>
    <s v=""/>
    <n v="201"/>
    <n v="201"/>
    <s v="Increasing"/>
    <m/>
    <m/>
    <m/>
    <m/>
    <n v="0.17410008239138841"/>
    <n v="9.4338469420783014E-2"/>
    <n v="0.12315771227380573"/>
    <n v="0.12315771227380573"/>
    <x v="1"/>
  </r>
  <r>
    <s v="Zimbabwe"/>
    <x v="46"/>
    <n v="13265343"/>
    <x v="31"/>
    <n v="0"/>
    <n v="13555421.500000011"/>
    <n v="0"/>
    <m/>
    <n v="171"/>
    <m/>
    <n v="261"/>
    <m/>
    <n v="157"/>
    <m/>
    <n v="276"/>
    <n v="15052184.000000007"/>
    <n v="508"/>
    <n v="508"/>
    <m/>
    <n v="329"/>
    <m/>
    <n v="0"/>
    <m/>
    <n v="0"/>
    <n v="16320536.999999996"/>
    <n v="178"/>
    <n v="205"/>
    <n v="261"/>
    <n v="508"/>
    <n v="178"/>
    <n v="171"/>
    <n v="2014"/>
    <n v="508"/>
    <n v="2018"/>
    <n v="178"/>
    <n v="2022"/>
    <s v="Adjust"/>
    <n v="205.84361486888565"/>
    <n v="508"/>
    <s v="Decreasing"/>
    <m/>
    <m/>
    <m/>
    <m/>
    <n v="0.12614878851240433"/>
    <n v="0.33749255257575894"/>
    <n v="0.12612551588767312"/>
    <n v="0.31126426783628514"/>
    <x v="0"/>
  </r>
  <r>
    <s v="Zimbabwe"/>
    <x v="46"/>
    <n v="13265344"/>
    <x v="32"/>
    <n v="0"/>
    <n v="13555421.500000011"/>
    <n v="0"/>
    <m/>
    <n v="0"/>
    <m/>
    <n v="0"/>
    <m/>
    <n v="0"/>
    <m/>
    <n v="0"/>
    <n v="15052184.000000007"/>
    <n v="0"/>
    <n v="0"/>
    <m/>
    <n v="0"/>
    <m/>
    <n v="0"/>
    <m/>
    <n v="0"/>
    <n v="16320536.999999996"/>
    <n v="39"/>
    <n v="0"/>
    <n v="0"/>
    <n v="0"/>
    <n v="39"/>
    <n v="0"/>
    <s v=""/>
    <n v="0"/>
    <s v=""/>
    <n v="39"/>
    <n v="2022"/>
    <s v=""/>
    <n v="39"/>
    <n v="39"/>
    <s v="Increasing"/>
    <m/>
    <m/>
    <m/>
    <m/>
    <n v="0"/>
    <n v="0"/>
    <n v="2.3896272530738425E-2"/>
    <n v="2.3896272530738425E-2"/>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8">
  <r>
    <x v="0"/>
    <x v="0"/>
    <n v="25188292.499999996"/>
    <x v="0"/>
    <n v="0"/>
    <n v="26147002.000000011"/>
    <n v="0"/>
    <n v="27128336.499999981"/>
    <n v="0"/>
    <n v="28127721.000000004"/>
    <n v="0"/>
    <n v="29154745.500000007"/>
    <n v="0"/>
    <n v="30208628.000000015"/>
    <n v="12800"/>
    <n v="31273533.000000004"/>
    <n v="13186"/>
    <n v="13186"/>
    <n v="32353587.999999993"/>
    <n v="0"/>
    <n v="33428485.999999974"/>
    <n v="0"/>
    <n v="34503773.49999997"/>
    <n v="0"/>
    <n v="35588987.00000003"/>
    <n v="21301"/>
    <n v="6593"/>
    <n v="0"/>
    <n v="13186"/>
    <n v="21301"/>
    <n v="0"/>
    <s v=""/>
    <n v="13186"/>
    <n v="2018"/>
    <n v="21301"/>
    <n v="2022"/>
    <x v="0"/>
    <n v="21301"/>
    <n v="21301"/>
    <s v="Increasing"/>
    <n v="0.3113441654036182"/>
    <n v="5.4673730437993617E-2"/>
    <n v="1389.9776294789715"/>
    <n v="7768.1315945777715"/>
    <n v="0"/>
    <n v="4.2163448562079626"/>
    <n v="5.9852785357447749"/>
  </r>
  <r>
    <x v="0"/>
    <x v="0"/>
    <n v="25188292.499999996"/>
    <x v="1"/>
    <n v="0"/>
    <n v="26147002.000000011"/>
    <n v="0"/>
    <m/>
    <n v="0"/>
    <m/>
    <n v="0"/>
    <m/>
    <n v="0"/>
    <m/>
    <n v="0"/>
    <n v="31273533.000000004"/>
    <n v="25108"/>
    <n v="46082"/>
    <m/>
    <n v="0"/>
    <m/>
    <n v="0"/>
    <m/>
    <n v="0"/>
    <n v="35588987.00000003"/>
    <n v="89978"/>
    <n v="46082"/>
    <n v="0"/>
    <n v="25108"/>
    <n v="89978"/>
    <n v="0"/>
    <s v=""/>
    <n v="46082"/>
    <s v="2018 (triag)"/>
    <n v="89978"/>
    <n v="2022"/>
    <x v="0"/>
    <n v="89978"/>
    <n v="89978"/>
    <s v="Increasing"/>
    <n v="0.3113441654036182"/>
    <n v="5.4673730437993617E-2"/>
    <n v="9715.296393394503"/>
    <n v="54295.62265149899"/>
    <n v="0"/>
    <n v="14.735143611692351"/>
    <n v="25.282540354407931"/>
  </r>
  <r>
    <x v="0"/>
    <x v="0"/>
    <n v="25188292.499999996"/>
    <x v="2"/>
    <n v="0"/>
    <n v="26147002.000000011"/>
    <n v="60"/>
    <m/>
    <n v="0"/>
    <m/>
    <n v="0"/>
    <m/>
    <n v="0"/>
    <m/>
    <n v="0"/>
    <n v="31273533.000000004"/>
    <n v="0"/>
    <n v="1438"/>
    <m/>
    <n v="0"/>
    <m/>
    <n v="0"/>
    <m/>
    <n v="0"/>
    <n v="35588987.00000003"/>
    <n v="44"/>
    <n v="1438"/>
    <n v="60"/>
    <n v="0"/>
    <n v="44"/>
    <n v="60"/>
    <n v="2013"/>
    <n v="1438"/>
    <s v="2018 (triag)"/>
    <n v="44"/>
    <n v="2022"/>
    <x v="1"/>
    <n v="65.250696122001145"/>
    <n v="1438"/>
    <s v="Decreasing"/>
    <n v="0.3113441654036182"/>
    <n v="5.4673730437993617E-2"/>
    <n v="303.16818310189001"/>
    <n v="1694.3080893376057"/>
    <n v="2.2947181478014181E-2"/>
    <n v="0.45981373450834601"/>
    <n v="0.40405758107135747"/>
  </r>
  <r>
    <x v="0"/>
    <x v="0"/>
    <n v="25188292.499999996"/>
    <x v="3"/>
    <n v="751"/>
    <n v="26147002.000000011"/>
    <n v="0"/>
    <m/>
    <n v="0"/>
    <m/>
    <n v="2781"/>
    <m/>
    <n v="884"/>
    <m/>
    <n v="0"/>
    <n v="31273533.000000004"/>
    <n v="260"/>
    <n v="2302"/>
    <m/>
    <n v="0"/>
    <m/>
    <n v="525"/>
    <m/>
    <n v="0"/>
    <n v="35588987.00000003"/>
    <n v="430"/>
    <n v="2302"/>
    <n v="2781"/>
    <n v="884"/>
    <n v="525"/>
    <n v="751"/>
    <n v="2012"/>
    <n v="2302"/>
    <s v="2018 (triag)"/>
    <n v="430"/>
    <n v="2022"/>
    <x v="1"/>
    <n v="637.67725755592028"/>
    <n v="2302"/>
    <s v="Decreasing"/>
    <n v="0.3113441654036182"/>
    <n v="5.4673730437993617E-2"/>
    <n v="485.32208449273355"/>
    <n v="2712.3068300800892"/>
    <n v="0.2872222214998108"/>
    <n v="0.73608568625744963"/>
    <n v="0.6468293126747322"/>
  </r>
  <r>
    <x v="0"/>
    <x v="0"/>
    <n v="25188292.499999996"/>
    <x v="4"/>
    <n v="353"/>
    <n v="26147002.000000011"/>
    <n v="0"/>
    <m/>
    <n v="0"/>
    <m/>
    <n v="595"/>
    <m/>
    <n v="181"/>
    <m/>
    <n v="0"/>
    <n v="31273533.000000004"/>
    <n v="134"/>
    <n v="1652"/>
    <m/>
    <n v="0"/>
    <m/>
    <n v="81"/>
    <m/>
    <n v="0"/>
    <n v="35588987.00000003"/>
    <n v="156"/>
    <n v="1652"/>
    <n v="595"/>
    <n v="181"/>
    <n v="156"/>
    <n v="353"/>
    <n v="2012"/>
    <n v="1652"/>
    <s v="2018 (triag)"/>
    <n v="156"/>
    <n v="2022"/>
    <x v="1"/>
    <n v="231.34337715982224"/>
    <n v="1652"/>
    <s v="Decreasing"/>
    <n v="0.3113441654036182"/>
    <n v="5.4673730437993617E-2"/>
    <n v="348.28500590008508"/>
    <n v="1946.4512959566932"/>
    <n v="0.1350059176956501"/>
    <n v="0.52824220403879529"/>
    <n v="0.46418854237126744"/>
  </r>
  <r>
    <x v="0"/>
    <x v="0"/>
    <n v="25188292.499999996"/>
    <x v="5"/>
    <n v="0"/>
    <n v="26147002.000000011"/>
    <n v="0"/>
    <m/>
    <n v="0"/>
    <m/>
    <n v="0"/>
    <m/>
    <n v="0"/>
    <m/>
    <n v="0"/>
    <n v="31273533.000000004"/>
    <n v="1680"/>
    <n v="1680"/>
    <m/>
    <n v="0"/>
    <m/>
    <n v="2652"/>
    <m/>
    <n v="0"/>
    <n v="35588987.00000003"/>
    <n v="5"/>
    <n v="1680"/>
    <n v="0"/>
    <n v="1680"/>
    <n v="2652"/>
    <n v="0"/>
    <s v=""/>
    <n v="1680"/>
    <n v="2018"/>
    <n v="5"/>
    <n v="2022"/>
    <x v="1"/>
    <n v="7.414851832045585"/>
    <n v="1680"/>
    <s v="Decreasing"/>
    <n v="0.3113441654036182"/>
    <n v="5.4673730437993617E-2"/>
    <n v="354.18814159330685"/>
    <n v="1979.4419958881626"/>
    <n v="0"/>
    <n v="0.53719546173436805"/>
    <n v="0.47205614478433977"/>
  </r>
  <r>
    <x v="0"/>
    <x v="0"/>
    <n v="25188292.499999996"/>
    <x v="6"/>
    <n v="85"/>
    <n v="26147002.000000011"/>
    <n v="0"/>
    <m/>
    <n v="0"/>
    <m/>
    <n v="870"/>
    <m/>
    <n v="32"/>
    <m/>
    <n v="0"/>
    <n v="31273533.000000004"/>
    <n v="4"/>
    <n v="4"/>
    <m/>
    <n v="0"/>
    <m/>
    <n v="57"/>
    <m/>
    <n v="0"/>
    <n v="35588987.00000003"/>
    <n v="197"/>
    <n v="0"/>
    <n v="870"/>
    <n v="32"/>
    <n v="197"/>
    <n v="85"/>
    <n v="2012"/>
    <n v="4"/>
    <n v="2018"/>
    <n v="197"/>
    <n v="2022"/>
    <x v="0"/>
    <n v="197"/>
    <n v="197"/>
    <s v="Increasing"/>
    <n v="0.3113441654036182"/>
    <n v="5.4673730437993617E-2"/>
    <n v="0"/>
    <n v="0"/>
    <n v="3.2508507093853424E-2"/>
    <n v="1.2790368136532573E-3"/>
    <n v="5.5354202691973178E-2"/>
  </r>
  <r>
    <x v="0"/>
    <x v="0"/>
    <n v="25188292.499999996"/>
    <x v="7"/>
    <n v="517"/>
    <n v="26147002.000000011"/>
    <n v="0"/>
    <m/>
    <n v="0"/>
    <m/>
    <n v="0"/>
    <m/>
    <n v="177"/>
    <m/>
    <n v="0"/>
    <n v="31273533.000000004"/>
    <n v="411"/>
    <n v="657"/>
    <m/>
    <n v="0"/>
    <m/>
    <n v="236"/>
    <m/>
    <n v="0"/>
    <n v="35588987.00000003"/>
    <n v="10"/>
    <n v="657"/>
    <n v="517"/>
    <n v="411"/>
    <n v="236"/>
    <n v="517"/>
    <n v="2012"/>
    <n v="657"/>
    <s v="2018 (triag)"/>
    <n v="10"/>
    <n v="2022"/>
    <x v="1"/>
    <n v="14.82970366409117"/>
    <n v="657"/>
    <s v="Decreasing"/>
    <n v="0.3113441654036182"/>
    <n v="5.4673730437993617E-2"/>
    <n v="138.51286251595391"/>
    <n v="774.10320910626353"/>
    <n v="0.19772821373555552"/>
    <n v="0.21008179664254753"/>
    <n v="0.18460767090673288"/>
  </r>
  <r>
    <x v="0"/>
    <x v="0"/>
    <n v="25188292.499999996"/>
    <x v="8"/>
    <n v="0"/>
    <n v="26147002.000000011"/>
    <n v="0"/>
    <m/>
    <n v="0"/>
    <m/>
    <n v="0"/>
    <m/>
    <n v="0"/>
    <m/>
    <n v="0"/>
    <n v="31273533.000000004"/>
    <n v="0"/>
    <n v="0"/>
    <m/>
    <n v="0"/>
    <m/>
    <n v="0"/>
    <m/>
    <n v="0"/>
    <n v="35588987.00000003"/>
    <n v="0"/>
    <n v="0"/>
    <n v="0"/>
    <n v="0"/>
    <n v="0"/>
    <n v="0"/>
    <s v=""/>
    <n v="0"/>
    <s v=""/>
    <n v="0"/>
    <s v=""/>
    <x v="0"/>
    <n v="0"/>
    <n v="0"/>
    <s v="No change"/>
    <n v="0.3113441654036182"/>
    <n v="5.4673730437993617E-2"/>
    <n v="0"/>
    <n v="0"/>
    <n v="0"/>
    <n v="0"/>
    <n v="0"/>
  </r>
  <r>
    <x v="0"/>
    <x v="0"/>
    <n v="25188292.499999996"/>
    <x v="9"/>
    <n v="0"/>
    <n v="26147002.000000011"/>
    <n v="0"/>
    <m/>
    <n v="0"/>
    <m/>
    <n v="0"/>
    <m/>
    <n v="0"/>
    <m/>
    <n v="0"/>
    <n v="31273533.000000004"/>
    <n v="0"/>
    <n v="328"/>
    <m/>
    <n v="0"/>
    <m/>
    <n v="0"/>
    <m/>
    <n v="0"/>
    <n v="35588987.00000003"/>
    <n v="2072"/>
    <n v="328"/>
    <n v="0"/>
    <n v="0"/>
    <n v="2072"/>
    <n v="0"/>
    <s v=""/>
    <n v="328"/>
    <s v="2018 (triag)"/>
    <n v="2072"/>
    <n v="2022"/>
    <x v="0"/>
    <n v="2072"/>
    <n v="2072"/>
    <s v="Increasing"/>
    <n v="0.3113441654036182"/>
    <n v="5.4673730437993617E-2"/>
    <n v="69.151018120597996"/>
    <n v="386.46248491149839"/>
    <n v="0"/>
    <n v="0.10488101871956711"/>
    <n v="0.58220257856735236"/>
  </r>
  <r>
    <x v="0"/>
    <x v="0"/>
    <n v="25188292.499999996"/>
    <x v="10"/>
    <n v="0"/>
    <n v="26147002.000000011"/>
    <n v="0"/>
    <m/>
    <n v="0"/>
    <m/>
    <n v="0"/>
    <m/>
    <n v="0"/>
    <m/>
    <n v="0"/>
    <n v="31273533.000000004"/>
    <n v="0"/>
    <n v="75"/>
    <m/>
    <n v="0"/>
    <m/>
    <n v="0"/>
    <m/>
    <n v="0"/>
    <n v="35588987.00000003"/>
    <n v="0"/>
    <n v="75"/>
    <n v="0"/>
    <n v="0"/>
    <n v="0"/>
    <n v="0"/>
    <s v=""/>
    <n v="75"/>
    <s v="2018 (triag)"/>
    <n v="75"/>
    <s v="2018 (triag)"/>
    <x v="0"/>
    <n v="75"/>
    <n v="75"/>
    <s v="No change"/>
    <n v="0.3113441654036182"/>
    <n v="5.4673730437993617E-2"/>
    <n v="15.811970606844055"/>
    <n v="88.367946245007261"/>
    <n v="0"/>
    <n v="2.3981940255998577E-2"/>
    <n v="2.107393503501517E-2"/>
  </r>
  <r>
    <x v="0"/>
    <x v="0"/>
    <n v="25188292.499999996"/>
    <x v="11"/>
    <n v="0"/>
    <n v="26147002.000000011"/>
    <n v="0"/>
    <m/>
    <n v="0"/>
    <m/>
    <n v="0"/>
    <m/>
    <n v="0"/>
    <m/>
    <n v="0"/>
    <n v="31273533.000000004"/>
    <n v="98"/>
    <n v="468"/>
    <m/>
    <n v="0"/>
    <m/>
    <n v="0"/>
    <m/>
    <n v="0"/>
    <n v="35588987.00000003"/>
    <n v="9"/>
    <n v="468"/>
    <n v="0"/>
    <n v="98"/>
    <n v="9"/>
    <n v="0"/>
    <s v=""/>
    <n v="468"/>
    <s v="2018 (triag)"/>
    <n v="9"/>
    <n v="2022"/>
    <x v="1"/>
    <n v="13.346733297682052"/>
    <n v="468"/>
    <s v="Decreasing"/>
    <n v="0.3113441654036182"/>
    <n v="5.4673730437993617E-2"/>
    <n v="98.666696586706905"/>
    <n v="551.41598456884526"/>
    <n v="0"/>
    <n v="0.14964730719743111"/>
    <n v="0.13150135461849466"/>
  </r>
  <r>
    <x v="0"/>
    <x v="0"/>
    <n v="25188292.499999996"/>
    <x v="12"/>
    <n v="0"/>
    <n v="26147002.000000011"/>
    <n v="0"/>
    <m/>
    <n v="0"/>
    <s v="  "/>
    <n v="0"/>
    <m/>
    <n v="0"/>
    <m/>
    <n v="0"/>
    <n v="31273533.000000004"/>
    <n v="0"/>
    <n v="134"/>
    <m/>
    <n v="0"/>
    <m/>
    <n v="0"/>
    <m/>
    <n v="0"/>
    <n v="35588987.00000003"/>
    <n v="0"/>
    <n v="134"/>
    <n v="0"/>
    <n v="0"/>
    <n v="0"/>
    <n v="0"/>
    <s v=""/>
    <n v="134"/>
    <s v="2018 (triag)"/>
    <n v="134"/>
    <s v="2018 (triag)"/>
    <x v="0"/>
    <n v="134"/>
    <n v="134"/>
    <s v="No change"/>
    <n v="0.3113441654036182"/>
    <n v="5.4673730437993617E-2"/>
    <n v="28.25072081756138"/>
    <n v="157.88406395774629"/>
    <n v="0"/>
    <n v="4.284773325738412E-2"/>
    <n v="3.7652097262560434E-2"/>
  </r>
  <r>
    <x v="0"/>
    <x v="0"/>
    <n v="25188292.499999996"/>
    <x v="13"/>
    <n v="0"/>
    <n v="26147002.000000011"/>
    <n v="0"/>
    <m/>
    <n v="0"/>
    <m/>
    <n v="0"/>
    <m/>
    <n v="0"/>
    <m/>
    <n v="0"/>
    <n v="31273533.000000004"/>
    <n v="0"/>
    <n v="789"/>
    <m/>
    <n v="0"/>
    <m/>
    <n v="0"/>
    <m/>
    <n v="0"/>
    <n v="35588987.00000003"/>
    <n v="107"/>
    <n v="789"/>
    <n v="0"/>
    <n v="0"/>
    <n v="107"/>
    <n v="0"/>
    <s v=""/>
    <n v="789"/>
    <s v="2018 (triag)"/>
    <n v="107"/>
    <n v="2022"/>
    <x v="1"/>
    <n v="158.67782920577551"/>
    <n v="789"/>
    <s v="Decreasing"/>
    <n v="0.3113441654036182"/>
    <n v="5.4673730437993617E-2"/>
    <n v="166.34193078399946"/>
    <n v="929.63079449747636"/>
    <n v="0"/>
    <n v="0.25229001149310504"/>
    <n v="0.22169779656835958"/>
  </r>
  <r>
    <x v="0"/>
    <x v="0"/>
    <n v="25188292.499999996"/>
    <x v="14"/>
    <n v="0"/>
    <n v="26147002.000000011"/>
    <n v="0"/>
    <m/>
    <n v="0"/>
    <m/>
    <n v="0"/>
    <m/>
    <n v="0"/>
    <m/>
    <n v="0"/>
    <n v="31273533.000000004"/>
    <n v="0"/>
    <n v="190"/>
    <m/>
    <n v="0"/>
    <m/>
    <n v="0"/>
    <m/>
    <n v="0"/>
    <n v="35588987.00000003"/>
    <n v="117"/>
    <n v="190"/>
    <n v="0"/>
    <n v="0"/>
    <n v="117"/>
    <n v="0"/>
    <s v=""/>
    <n v="190"/>
    <s v="2018 (triag)"/>
    <n v="117"/>
    <n v="2022"/>
    <x v="1"/>
    <n v="173.50753286986668"/>
    <n v="190"/>
    <s v="Decreasing"/>
    <n v="0.3113441654036182"/>
    <n v="5.4673730437993617E-2"/>
    <n v="40.056992204004942"/>
    <n v="223.86546382068505"/>
    <n v="0"/>
    <n v="6.0754248648529727E-2"/>
    <n v="5.3387302088705096E-2"/>
  </r>
  <r>
    <x v="0"/>
    <x v="0"/>
    <n v="25188292.499999996"/>
    <x v="15"/>
    <n v="0"/>
    <n v="26147002.000000011"/>
    <n v="0"/>
    <m/>
    <n v="0"/>
    <m/>
    <n v="0"/>
    <m/>
    <n v="0"/>
    <m/>
    <n v="0"/>
    <n v="31273533.000000004"/>
    <n v="0"/>
    <n v="56"/>
    <m/>
    <n v="0"/>
    <m/>
    <n v="0"/>
    <m/>
    <n v="0"/>
    <n v="35588987.00000003"/>
    <n v="6"/>
    <n v="56"/>
    <n v="0"/>
    <n v="0"/>
    <n v="6"/>
    <n v="0"/>
    <s v=""/>
    <n v="56"/>
    <s v="2018 (triag)"/>
    <n v="6"/>
    <n v="2022"/>
    <x v="1"/>
    <n v="8.8978221984547012"/>
    <n v="56"/>
    <s v="Decreasing"/>
    <n v="0.3113441654036182"/>
    <n v="5.4673730437993617E-2"/>
    <n v="11.80627138644356"/>
    <n v="65.981399862938758"/>
    <n v="0"/>
    <n v="1.7906515391145603E-2"/>
    <n v="1.5735204826144659E-2"/>
  </r>
  <r>
    <x v="0"/>
    <x v="0"/>
    <n v="25188292.499999996"/>
    <x v="16"/>
    <n v="0"/>
    <n v="26147002.000000011"/>
    <n v="0"/>
    <m/>
    <n v="0"/>
    <m/>
    <n v="0"/>
    <m/>
    <n v="0"/>
    <m/>
    <n v="0"/>
    <n v="31273533.000000004"/>
    <n v="0"/>
    <n v="28324"/>
    <m/>
    <n v="0"/>
    <m/>
    <n v="0"/>
    <m/>
    <n v="0"/>
    <n v="35588987.00000003"/>
    <n v="0"/>
    <n v="28324"/>
    <n v="0"/>
    <n v="0"/>
    <n v="0"/>
    <n v="0"/>
    <s v=""/>
    <n v="28324"/>
    <s v="2018 (triag)"/>
    <n v="28324"/>
    <s v="2018 (triag)"/>
    <x v="0"/>
    <n v="28324"/>
    <n v="28324"/>
    <s v="No change"/>
    <n v="0.3113441654036182"/>
    <n v="5.4673730437993617E-2"/>
    <n v="5971.4434062433465"/>
    <n v="33372.449459247808"/>
    <n v="0"/>
    <n v="9.056859677478716"/>
    <n v="7.9586418124235951"/>
  </r>
  <r>
    <x v="0"/>
    <x v="0"/>
    <n v="25188292.499999996"/>
    <x v="17"/>
    <n v="0"/>
    <n v="26147002.000000011"/>
    <n v="0"/>
    <m/>
    <n v="0"/>
    <m/>
    <n v="0"/>
    <m/>
    <n v="0"/>
    <m/>
    <n v="0"/>
    <n v="31273533.000000004"/>
    <n v="0"/>
    <n v="0"/>
    <m/>
    <n v="0"/>
    <m/>
    <n v="0"/>
    <m/>
    <n v="0"/>
    <n v="35588987.00000003"/>
    <n v="8431"/>
    <n v="0"/>
    <n v="0"/>
    <n v="0"/>
    <n v="8431"/>
    <n v="0"/>
    <s v=""/>
    <n v="0"/>
    <s v=""/>
    <n v="8431"/>
    <n v="2022"/>
    <x v="0"/>
    <n v="8431"/>
    <n v="8431"/>
    <s v="Increasing"/>
    <n v="0.3113441654036182"/>
    <n v="5.4673730437993617E-2"/>
    <n v="0"/>
    <n v="0"/>
    <n v="0"/>
    <n v="0"/>
    <n v="2.3689912837361717"/>
  </r>
  <r>
    <x v="0"/>
    <x v="0"/>
    <n v="25188292.499999996"/>
    <x v="18"/>
    <n v="0"/>
    <n v="26147002.000000011"/>
    <n v="0"/>
    <m/>
    <n v="0"/>
    <m/>
    <n v="0"/>
    <m/>
    <n v="0"/>
    <m/>
    <n v="0"/>
    <n v="31273533.000000004"/>
    <n v="0"/>
    <n v="98"/>
    <m/>
    <n v="0"/>
    <m/>
    <n v="0"/>
    <m/>
    <n v="0"/>
    <n v="35588987.00000003"/>
    <n v="12"/>
    <n v="98"/>
    <n v="0"/>
    <n v="0"/>
    <n v="12"/>
    <n v="0"/>
    <s v=""/>
    <n v="98"/>
    <s v="2018 (triag)"/>
    <n v="12"/>
    <n v="2022"/>
    <x v="1"/>
    <n v="17.795644396909402"/>
    <n v="98"/>
    <s v="Decreasing"/>
    <n v="0.3113441654036182"/>
    <n v="5.4673730437993617E-2"/>
    <n v="20.660974926276232"/>
    <n v="115.46744976014281"/>
    <n v="0"/>
    <n v="3.1336401934504807E-2"/>
    <n v="2.7536608445753154E-2"/>
  </r>
  <r>
    <x v="0"/>
    <x v="0"/>
    <n v="25188292.499999996"/>
    <x v="19"/>
    <n v="0"/>
    <n v="26147002.000000011"/>
    <n v="0"/>
    <m/>
    <n v="0"/>
    <m/>
    <n v="0"/>
    <m/>
    <n v="0"/>
    <m/>
    <n v="0"/>
    <n v="31273533.000000004"/>
    <n v="0"/>
    <n v="56"/>
    <m/>
    <n v="0"/>
    <m/>
    <n v="0"/>
    <m/>
    <n v="0"/>
    <n v="35588987.00000003"/>
    <n v="0"/>
    <n v="56"/>
    <n v="0"/>
    <n v="0"/>
    <n v="0"/>
    <n v="0"/>
    <s v=""/>
    <n v="56"/>
    <s v="2018 (triag)"/>
    <n v="56"/>
    <s v="2018 (triag)"/>
    <x v="0"/>
    <n v="56"/>
    <n v="56"/>
    <s v="No change"/>
    <n v="0.3113441654036182"/>
    <n v="5.4673730437993617E-2"/>
    <n v="11.80627138644356"/>
    <n v="65.981399862938758"/>
    <n v="0"/>
    <n v="1.7906515391145603E-2"/>
    <n v="1.5735204826144659E-2"/>
  </r>
  <r>
    <x v="0"/>
    <x v="0"/>
    <n v="25188292.499999996"/>
    <x v="20"/>
    <n v="0"/>
    <n v="26147002.000000011"/>
    <n v="0"/>
    <m/>
    <n v="0"/>
    <m/>
    <n v="0"/>
    <m/>
    <n v="0"/>
    <m/>
    <n v="0"/>
    <n v="31273533.000000004"/>
    <n v="0"/>
    <n v="1156"/>
    <m/>
    <n v="0"/>
    <m/>
    <n v="0"/>
    <m/>
    <n v="0"/>
    <n v="35588987.00000003"/>
    <n v="1195"/>
    <n v="1156"/>
    <n v="0"/>
    <n v="0"/>
    <n v="1195"/>
    <n v="0"/>
    <s v=""/>
    <n v="1156"/>
    <s v="2018 (triag)"/>
    <n v="1195"/>
    <n v="2022"/>
    <x v="0"/>
    <n v="1195"/>
    <n v="1195"/>
    <s v="Increasing"/>
    <n v="0.3113441654036182"/>
    <n v="5.4673730437993617E-2"/>
    <n v="243.71517362015638"/>
    <n v="1362.0446114563786"/>
    <n v="0"/>
    <n v="0.3696416391457914"/>
    <n v="0.33577803155790836"/>
  </r>
  <r>
    <x v="0"/>
    <x v="0"/>
    <n v="25188292.499999996"/>
    <x v="21"/>
    <n v="0"/>
    <n v="26147002.000000011"/>
    <n v="0"/>
    <m/>
    <n v="0"/>
    <m/>
    <n v="0"/>
    <m/>
    <n v="0"/>
    <m/>
    <n v="0"/>
    <n v="31273533.000000004"/>
    <n v="0"/>
    <n v="0"/>
    <m/>
    <n v="0"/>
    <m/>
    <n v="0"/>
    <m/>
    <n v="0"/>
    <n v="35588987.00000003"/>
    <n v="41"/>
    <n v="0"/>
    <n v="0"/>
    <n v="0"/>
    <n v="41"/>
    <n v="0"/>
    <s v=""/>
    <n v="0"/>
    <s v=""/>
    <n v="41"/>
    <n v="2022"/>
    <x v="0"/>
    <n v="41"/>
    <n v="41"/>
    <s v="Increasing"/>
    <n v="0.3113441654036182"/>
    <n v="5.4673730437993617E-2"/>
    <n v="0"/>
    <n v="0"/>
    <n v="0"/>
    <n v="0"/>
    <n v="1.1520417819141626E-2"/>
  </r>
  <r>
    <x v="0"/>
    <x v="0"/>
    <n v="25188292.499999996"/>
    <x v="22"/>
    <n v="0"/>
    <n v="26147002.000000011"/>
    <n v="0"/>
    <m/>
    <n v="0"/>
    <m/>
    <n v="0"/>
    <m/>
    <n v="0"/>
    <m/>
    <n v="0"/>
    <n v="31273533.000000004"/>
    <n v="0"/>
    <n v="0"/>
    <m/>
    <n v="0"/>
    <m/>
    <n v="0"/>
    <m/>
    <n v="0"/>
    <n v="35588987.00000003"/>
    <n v="1"/>
    <n v="0"/>
    <n v="0"/>
    <n v="0"/>
    <n v="1"/>
    <n v="0"/>
    <s v=""/>
    <n v="0"/>
    <s v=""/>
    <n v="1"/>
    <n v="2022"/>
    <x v="0"/>
    <n v="1"/>
    <n v="1"/>
    <s v="Increasing"/>
    <n v="0.3113441654036182"/>
    <n v="5.4673730437993617E-2"/>
    <n v="0"/>
    <n v="0"/>
    <n v="0"/>
    <n v="0"/>
    <n v="2.8098580046686893E-4"/>
  </r>
  <r>
    <x v="0"/>
    <x v="0"/>
    <n v="25188292.499999996"/>
    <x v="23"/>
    <n v="0"/>
    <n v="26147002.000000011"/>
    <n v="0"/>
    <m/>
    <n v="0"/>
    <m/>
    <n v="0"/>
    <m/>
    <n v="0"/>
    <m/>
    <n v="0"/>
    <n v="31273533.000000004"/>
    <n v="0"/>
    <n v="16380"/>
    <m/>
    <n v="0"/>
    <m/>
    <n v="0"/>
    <m/>
    <n v="0"/>
    <n v="35588987.00000003"/>
    <n v="0"/>
    <n v="16380"/>
    <n v="0"/>
    <n v="0"/>
    <n v="0"/>
    <n v="0"/>
    <s v=""/>
    <n v="16380"/>
    <s v="2018 (triag)"/>
    <n v="16380"/>
    <s v="2018 (triag)"/>
    <x v="0"/>
    <n v="16380"/>
    <n v="16380"/>
    <s v="No change"/>
    <n v="0.3113441654036182"/>
    <n v="5.4673730437993617E-2"/>
    <n v="3453.3343805347417"/>
    <n v="19299.559459909586"/>
    <n v="0"/>
    <n v="5.237655751910089"/>
    <n v="4.6025474116473131"/>
  </r>
  <r>
    <x v="1"/>
    <x v="1"/>
    <n v="9795479.0000000019"/>
    <x v="0"/>
    <n v="996"/>
    <n v="10149577.500000002"/>
    <n v="1108"/>
    <n v="10494912.499999989"/>
    <n v="1218"/>
    <n v="10727148.499999996"/>
    <n v="1016"/>
    <n v="10903327.500000004"/>
    <n v="0"/>
    <n v="11155593.000000002"/>
    <n v="0"/>
    <n v="11493472.499999993"/>
    <n v="45"/>
    <n v="1084"/>
    <n v="11874838"/>
    <n v="0"/>
    <n v="12220226.500000007"/>
    <n v="1704"/>
    <n v="12551212.999999998"/>
    <n v="1816"/>
    <n v="12889576.499999994"/>
    <n v="0"/>
    <n v="1084"/>
    <n v="1218"/>
    <n v="45"/>
    <n v="1816"/>
    <n v="1108"/>
    <n v="2013"/>
    <n v="1084"/>
    <s v="2018 (triag)"/>
    <n v="1816"/>
    <n v="2021"/>
    <x v="0"/>
    <n v="1816"/>
    <n v="1816"/>
    <s v="Increasing"/>
    <n v="0.1019276516404819"/>
    <n v="4.0873218672115019E-3"/>
    <n v="651.17272122305417"/>
    <n v="1097.3737976670657"/>
    <n v="1.0916710572435155"/>
    <n v="0.9431440324062208"/>
    <n v="1.4088903541555464"/>
  </r>
  <r>
    <x v="1"/>
    <x v="1"/>
    <n v="9795479.0000000019"/>
    <x v="1"/>
    <n v="12972"/>
    <n v="10149577.500000002"/>
    <n v="13146"/>
    <m/>
    <n v="13638"/>
    <m/>
    <n v="13376"/>
    <m/>
    <n v="0"/>
    <m/>
    <n v="18142"/>
    <n v="11493472.499999993"/>
    <n v="18312"/>
    <n v="18312"/>
    <m/>
    <n v="15036"/>
    <m/>
    <n v="15426"/>
    <m/>
    <n v="18744"/>
    <n v="12889576.499999994"/>
    <n v="0"/>
    <n v="8996"/>
    <n v="13638"/>
    <n v="18312"/>
    <n v="18744"/>
    <n v="13146"/>
    <n v="2013"/>
    <n v="18312"/>
    <n v="2018"/>
    <n v="18744"/>
    <n v="2021"/>
    <x v="0"/>
    <n v="18744"/>
    <n v="18744"/>
    <s v="Increasing"/>
    <n v="0.1019276516404819"/>
    <n v="4.0873218672115019E-3"/>
    <n v="5404.0127307404018"/>
    <n v="9106.9877156945786"/>
    <n v="12.952263283865754"/>
    <n v="15.932521698729442"/>
    <n v="14.54198281844249"/>
  </r>
  <r>
    <x v="1"/>
    <x v="1"/>
    <n v="9795479.0000000019"/>
    <x v="2"/>
    <n v="32"/>
    <n v="10149577.500000002"/>
    <n v="70"/>
    <m/>
    <n v="48"/>
    <m/>
    <n v="158"/>
    <m/>
    <n v="0"/>
    <m/>
    <n v="320"/>
    <n v="11493472.499999993"/>
    <n v="0"/>
    <n v="160"/>
    <m/>
    <n v="248"/>
    <m/>
    <n v="0"/>
    <m/>
    <n v="286"/>
    <n v="12889576.499999994"/>
    <n v="0"/>
    <n v="160"/>
    <n v="158"/>
    <n v="320"/>
    <n v="286"/>
    <n v="70"/>
    <n v="2013"/>
    <n v="160"/>
    <s v="2018 (triag)"/>
    <n v="286"/>
    <n v="2021"/>
    <x v="0"/>
    <n v="286"/>
    <n v="286"/>
    <s v="Increasing"/>
    <n v="0.1019276516404819"/>
    <n v="4.0873218672115019E-3"/>
    <n v="96.114054793070721"/>
    <n v="161.97399227558165"/>
    <n v="6.8968388093001889E-2"/>
    <n v="0.13920945127767095"/>
    <n v="0.22188471436590654"/>
  </r>
  <r>
    <x v="1"/>
    <x v="1"/>
    <n v="9795479.0000000019"/>
    <x v="3"/>
    <n v="546"/>
    <n v="10149577.500000002"/>
    <n v="0"/>
    <m/>
    <n v="0"/>
    <m/>
    <n v="0"/>
    <m/>
    <n v="188"/>
    <m/>
    <n v="944"/>
    <n v="11493472.499999993"/>
    <n v="0"/>
    <n v="119"/>
    <m/>
    <n v="83"/>
    <m/>
    <n v="1138"/>
    <m/>
    <n v="0"/>
    <n v="12889576.499999994"/>
    <n v="0"/>
    <n v="119"/>
    <n v="546"/>
    <n v="944"/>
    <n v="1138"/>
    <n v="546"/>
    <n v="2012"/>
    <n v="119"/>
    <s v="2018 (triag)"/>
    <n v="1138"/>
    <n v="2020"/>
    <x v="0"/>
    <n v="1138"/>
    <n v="1138"/>
    <s v="Increasing"/>
    <n v="0.1019276516404819"/>
    <n v="4.0873218672115019E-3"/>
    <n v="71.484828252346347"/>
    <n v="120.46815675496386"/>
    <n v="0.53795342712541472"/>
    <n v="0.10353702938776778"/>
    <n v="0.88288393338601967"/>
  </r>
  <r>
    <x v="1"/>
    <x v="1"/>
    <n v="9795479.0000000019"/>
    <x v="4"/>
    <n v="115"/>
    <n v="10149577.500000002"/>
    <n v="0"/>
    <m/>
    <n v="194"/>
    <m/>
    <n v="300"/>
    <m/>
    <n v="11"/>
    <m/>
    <n v="373"/>
    <n v="11493472.499999993"/>
    <n v="0"/>
    <n v="14"/>
    <m/>
    <n v="18"/>
    <m/>
    <n v="0"/>
    <m/>
    <n v="0"/>
    <n v="12889576.499999994"/>
    <n v="0"/>
    <n v="14"/>
    <n v="300"/>
    <n v="373"/>
    <n v="0"/>
    <n v="115"/>
    <n v="2012"/>
    <n v="14"/>
    <s v="2018 (triag)"/>
    <n v="18"/>
    <s v="2018 (triag)"/>
    <x v="0"/>
    <n v="18"/>
    <n v="18"/>
    <s v="Increasing"/>
    <n v="0.1019276516404819"/>
    <n v="4.0873218672115019E-3"/>
    <n v="8.4099797943936885"/>
    <n v="14.172724324113394"/>
    <n v="0.11330520900993167"/>
    <n v="1.2180826986796209E-2"/>
    <n v="1.3964772232819292E-2"/>
  </r>
  <r>
    <x v="1"/>
    <x v="1"/>
    <n v="9795479.0000000019"/>
    <x v="5"/>
    <n v="0"/>
    <n v="10149577.500000002"/>
    <n v="0"/>
    <m/>
    <n v="0"/>
    <m/>
    <n v="0"/>
    <m/>
    <n v="0"/>
    <m/>
    <n v="0"/>
    <n v="11493472.499999993"/>
    <n v="11845"/>
    <n v="11845"/>
    <m/>
    <n v="0"/>
    <m/>
    <n v="11845"/>
    <m/>
    <n v="0"/>
    <n v="12889576.499999994"/>
    <n v="0"/>
    <n v="11845"/>
    <n v="0"/>
    <n v="11845"/>
    <n v="11845"/>
    <n v="0"/>
    <s v=""/>
    <n v="11845"/>
    <n v="2018"/>
    <n v="11845"/>
    <n v="2020"/>
    <x v="0"/>
    <n v="11845"/>
    <n v="11845"/>
    <s v="No change"/>
    <n v="0.1019276516404819"/>
    <n v="4.0873218672115019E-3"/>
    <n v="7115.4436188995169"/>
    <n v="11991.137115651654"/>
    <n v="0"/>
    <n v="10.305849689900079"/>
    <n v="9.1895959498746951"/>
  </r>
  <r>
    <x v="1"/>
    <x v="1"/>
    <n v="9795479.0000000019"/>
    <x v="6"/>
    <n v="44"/>
    <n v="10149577.500000002"/>
    <n v="0"/>
    <m/>
    <n v="0"/>
    <m/>
    <n v="0"/>
    <m/>
    <n v="42"/>
    <m/>
    <n v="0"/>
    <n v="11493472.499999993"/>
    <n v="0"/>
    <n v="10"/>
    <m/>
    <n v="0"/>
    <m/>
    <n v="0"/>
    <m/>
    <n v="0"/>
    <n v="12889576.499999994"/>
    <n v="0"/>
    <n v="10"/>
    <n v="44"/>
    <n v="42"/>
    <n v="0"/>
    <n v="44"/>
    <n v="2012"/>
    <n v="10"/>
    <s v="2018 (triag)"/>
    <n v="10"/>
    <s v="2018 (triag)"/>
    <x v="0"/>
    <n v="10"/>
    <n v="10"/>
    <s v="No change"/>
    <n v="0.1019276516404819"/>
    <n v="4.0873218672115019E-3"/>
    <n v="6.0071284245669201"/>
    <n v="10.123374517223853"/>
    <n v="4.33515582298869E-2"/>
    <n v="8.7005907048544346E-3"/>
    <n v="7.7582067960107175E-3"/>
  </r>
  <r>
    <x v="1"/>
    <x v="1"/>
    <n v="9795479.0000000019"/>
    <x v="7"/>
    <n v="0"/>
    <n v="10149577.500000002"/>
    <n v="0"/>
    <m/>
    <n v="0"/>
    <m/>
    <n v="0"/>
    <m/>
    <n v="96"/>
    <m/>
    <n v="0"/>
    <n v="11493472.499999993"/>
    <n v="0"/>
    <n v="372"/>
    <m/>
    <n v="149"/>
    <m/>
    <n v="0"/>
    <m/>
    <n v="0"/>
    <n v="12889576.499999994"/>
    <n v="0"/>
    <n v="372"/>
    <n v="0"/>
    <n v="149"/>
    <n v="0"/>
    <n v="0"/>
    <s v=""/>
    <n v="372"/>
    <s v="2018 (triag)"/>
    <n v="149"/>
    <s v="2018 (triag)"/>
    <x v="1"/>
    <n v="186.22450107945869"/>
    <n v="372"/>
    <s v="Decreasing"/>
    <n v="0.1019276516404819"/>
    <n v="4.0873218672115019E-3"/>
    <n v="223.46517739388943"/>
    <n v="376.58953204072736"/>
    <n v="0"/>
    <n v="0.32366197422058496"/>
    <n v="0.28860529281159869"/>
  </r>
  <r>
    <x v="1"/>
    <x v="1"/>
    <n v="9795479.0000000019"/>
    <x v="8"/>
    <n v="0"/>
    <n v="10149577.500000002"/>
    <n v="0"/>
    <m/>
    <n v="0"/>
    <m/>
    <n v="0"/>
    <m/>
    <n v="0"/>
    <m/>
    <n v="0"/>
    <n v="11493472.499999993"/>
    <n v="0"/>
    <n v="8664"/>
    <m/>
    <n v="0"/>
    <m/>
    <n v="0"/>
    <m/>
    <n v="0"/>
    <n v="12889576.499999994"/>
    <n v="0"/>
    <n v="8664"/>
    <n v="0"/>
    <n v="0"/>
    <n v="0"/>
    <n v="0"/>
    <s v=""/>
    <n v="8664"/>
    <s v="2018 (triag)"/>
    <n v="8664"/>
    <s v="2018 (triag)"/>
    <x v="0"/>
    <n v="8664"/>
    <n v="8664"/>
    <s v="No change"/>
    <n v="0.1019276516404819"/>
    <n v="4.0873218672115019E-3"/>
    <n v="5204.5760670447798"/>
    <n v="8770.8916817227455"/>
    <n v="0"/>
    <n v="7.5381917866858821"/>
    <n v="6.721710368063686"/>
  </r>
  <r>
    <x v="1"/>
    <x v="1"/>
    <n v="9795479.0000000019"/>
    <x v="9"/>
    <n v="0"/>
    <n v="10149577.500000002"/>
    <n v="0"/>
    <m/>
    <n v="0"/>
    <m/>
    <n v="0"/>
    <m/>
    <n v="0"/>
    <m/>
    <n v="0"/>
    <n v="11493472.499999993"/>
    <n v="0"/>
    <n v="1383"/>
    <m/>
    <n v="0"/>
    <m/>
    <n v="0"/>
    <m/>
    <n v="0"/>
    <n v="12889576.499999994"/>
    <n v="0"/>
    <n v="1383"/>
    <n v="0"/>
    <n v="0"/>
    <n v="0"/>
    <n v="0"/>
    <s v=""/>
    <n v="1383"/>
    <s v="2018 (triag)"/>
    <n v="1383"/>
    <s v="2018 (triag)"/>
    <x v="0"/>
    <n v="1383"/>
    <n v="1383"/>
    <s v="No change"/>
    <n v="0.1019276516404819"/>
    <n v="4.0873218672115019E-3"/>
    <n v="830.78586111760512"/>
    <n v="1400.062695732059"/>
    <n v="0"/>
    <n v="1.2032916944813683"/>
    <n v="1.0729599998882824"/>
  </r>
  <r>
    <x v="1"/>
    <x v="1"/>
    <n v="9795479.0000000019"/>
    <x v="10"/>
    <n v="0"/>
    <n v="10149577.500000002"/>
    <n v="0"/>
    <m/>
    <n v="0"/>
    <m/>
    <n v="0"/>
    <m/>
    <n v="0"/>
    <m/>
    <n v="0"/>
    <n v="11493472.499999993"/>
    <n v="0"/>
    <n v="0"/>
    <m/>
    <n v="0"/>
    <m/>
    <n v="0"/>
    <m/>
    <n v="0"/>
    <n v="12889576.499999994"/>
    <n v="0"/>
    <n v="0"/>
    <n v="0"/>
    <n v="0"/>
    <n v="0"/>
    <n v="0"/>
    <s v=""/>
    <n v="0"/>
    <s v=""/>
    <n v="0"/>
    <s v=""/>
    <x v="0"/>
    <n v="0"/>
    <n v="0"/>
    <s v="No change"/>
    <n v="0.1019276516404819"/>
    <n v="4.0873218672115019E-3"/>
    <n v="0"/>
    <n v="0"/>
    <n v="0"/>
    <n v="0"/>
    <n v="0"/>
  </r>
  <r>
    <x v="1"/>
    <x v="1"/>
    <n v="9795479.0000000019"/>
    <x v="11"/>
    <n v="0"/>
    <n v="10149577.500000002"/>
    <n v="0"/>
    <m/>
    <n v="0"/>
    <m/>
    <n v="0"/>
    <m/>
    <n v="0"/>
    <m/>
    <n v="1073"/>
    <n v="11493472.499999993"/>
    <n v="1071"/>
    <n v="1071"/>
    <m/>
    <n v="0"/>
    <m/>
    <n v="0"/>
    <m/>
    <n v="0"/>
    <n v="12889576.499999994"/>
    <n v="0"/>
    <n v="155"/>
    <n v="0"/>
    <n v="1073"/>
    <n v="0"/>
    <n v="0"/>
    <s v=""/>
    <n v="1071"/>
    <n v="2018"/>
    <n v="1071"/>
    <n v="2018"/>
    <x v="0"/>
    <n v="1071"/>
    <n v="1071"/>
    <s v="No change"/>
    <n v="0.1019276516404819"/>
    <n v="4.0873218672115019E-3"/>
    <n v="93.110490580787271"/>
    <n v="156.91230501696973"/>
    <n v="0"/>
    <n v="0.93183326448991"/>
    <n v="0.8309039478527479"/>
  </r>
  <r>
    <x v="1"/>
    <x v="1"/>
    <n v="9795479.0000000019"/>
    <x v="12"/>
    <n v="0"/>
    <n v="10149577.500000002"/>
    <n v="0"/>
    <m/>
    <n v="0"/>
    <m/>
    <n v="0"/>
    <m/>
    <n v="0"/>
    <m/>
    <n v="0"/>
    <n v="11493472.499999993"/>
    <n v="0"/>
    <n v="0"/>
    <m/>
    <n v="0"/>
    <m/>
    <n v="0"/>
    <m/>
    <n v="0"/>
    <n v="12889576.499999994"/>
    <n v="0"/>
    <n v="0"/>
    <n v="0"/>
    <n v="0"/>
    <n v="0"/>
    <n v="0"/>
    <s v=""/>
    <n v="0"/>
    <s v=""/>
    <n v="0"/>
    <s v=""/>
    <x v="0"/>
    <n v="0"/>
    <n v="0"/>
    <s v="No change"/>
    <n v="0.1019276516404819"/>
    <n v="4.0873218672115019E-3"/>
    <n v="0"/>
    <n v="0"/>
    <n v="0"/>
    <n v="0"/>
    <n v="0"/>
  </r>
  <r>
    <x v="1"/>
    <x v="1"/>
    <n v="9795479.0000000019"/>
    <x v="13"/>
    <n v="0"/>
    <n v="10149577.500000002"/>
    <n v="0"/>
    <m/>
    <n v="0"/>
    <m/>
    <n v="0"/>
    <m/>
    <n v="0"/>
    <m/>
    <n v="0"/>
    <n v="11493472.499999993"/>
    <n v="0"/>
    <n v="86"/>
    <m/>
    <n v="0"/>
    <m/>
    <n v="0"/>
    <m/>
    <n v="81"/>
    <n v="12889576.499999994"/>
    <n v="0"/>
    <n v="86"/>
    <n v="0"/>
    <n v="0"/>
    <n v="81"/>
    <n v="0"/>
    <s v=""/>
    <n v="86"/>
    <s v="2018 (triag)"/>
    <n v="81"/>
    <n v="2021"/>
    <x v="1"/>
    <n v="101.23613817071244"/>
    <n v="101.23613817071244"/>
    <s v="Increasing"/>
    <n v="0.1019276516404819"/>
    <n v="4.0873218672115019E-3"/>
    <n v="51.661304451275512"/>
    <n v="87.061020848125139"/>
    <n v="0"/>
    <n v="7.4825080061748137E-2"/>
    <n v="7.8541089515790127E-2"/>
  </r>
  <r>
    <x v="1"/>
    <x v="1"/>
    <n v="9795479.0000000019"/>
    <x v="14"/>
    <n v="0"/>
    <n v="10149577.500000002"/>
    <n v="0"/>
    <m/>
    <n v="0"/>
    <m/>
    <n v="0"/>
    <m/>
    <n v="0"/>
    <m/>
    <n v="0"/>
    <n v="11493472.499999993"/>
    <n v="0"/>
    <n v="108"/>
    <m/>
    <n v="0"/>
    <m/>
    <n v="0"/>
    <m/>
    <n v="0"/>
    <n v="12889576.499999994"/>
    <n v="0"/>
    <n v="108"/>
    <n v="0"/>
    <n v="0"/>
    <n v="0"/>
    <n v="0"/>
    <s v=""/>
    <n v="108"/>
    <s v="2018 (triag)"/>
    <n v="108"/>
    <s v="2018 (triag)"/>
    <x v="0"/>
    <n v="108"/>
    <n v="108"/>
    <s v="No change"/>
    <n v="0.1019276516404819"/>
    <n v="4.0873218672115019E-3"/>
    <n v="64.876986985322745"/>
    <n v="109.33244478601762"/>
    <n v="0"/>
    <n v="9.3966379612427903E-2"/>
    <n v="8.3788633396915752E-2"/>
  </r>
  <r>
    <x v="1"/>
    <x v="1"/>
    <n v="9795479.0000000019"/>
    <x v="15"/>
    <n v="0"/>
    <n v="10149577.500000002"/>
    <n v="0"/>
    <m/>
    <n v="0"/>
    <m/>
    <n v="0"/>
    <m/>
    <n v="0"/>
    <m/>
    <n v="0"/>
    <n v="11493472.499999993"/>
    <n v="0"/>
    <n v="0"/>
    <m/>
    <n v="0"/>
    <m/>
    <n v="0"/>
    <m/>
    <n v="0"/>
    <n v="12889576.499999994"/>
    <n v="0"/>
    <n v="0"/>
    <n v="0"/>
    <n v="0"/>
    <n v="0"/>
    <n v="0"/>
    <s v=""/>
    <n v="0"/>
    <s v=""/>
    <n v="0"/>
    <s v=""/>
    <x v="0"/>
    <n v="0"/>
    <n v="0"/>
    <s v="No change"/>
    <n v="0.1019276516404819"/>
    <n v="4.0873218672115019E-3"/>
    <n v="0"/>
    <n v="0"/>
    <n v="0"/>
    <n v="0"/>
    <n v="0"/>
  </r>
  <r>
    <x v="1"/>
    <x v="1"/>
    <n v="9795479.0000000019"/>
    <x v="16"/>
    <n v="0"/>
    <n v="10149577.500000002"/>
    <n v="0"/>
    <m/>
    <n v="0"/>
    <m/>
    <n v="0"/>
    <m/>
    <n v="0"/>
    <m/>
    <n v="2946"/>
    <n v="11493472.499999993"/>
    <n v="0"/>
    <n v="2906"/>
    <m/>
    <n v="0"/>
    <m/>
    <n v="0"/>
    <m/>
    <n v="7805"/>
    <n v="12889576.499999994"/>
    <n v="0"/>
    <n v="2906"/>
    <n v="0"/>
    <n v="2946"/>
    <n v="7805"/>
    <n v="0"/>
    <s v=""/>
    <n v="2906"/>
    <s v="2018 (triag)"/>
    <n v="7805"/>
    <n v="2021"/>
    <x v="0"/>
    <n v="7805"/>
    <n v="7805"/>
    <s v="Increasing"/>
    <n v="0.1019276516404819"/>
    <n v="4.0873218672115019E-3"/>
    <n v="1745.6715201791471"/>
    <n v="2941.8526347052516"/>
    <n v="0"/>
    <n v="2.5283916588306989"/>
    <n v="6.055280404286365"/>
  </r>
  <r>
    <x v="1"/>
    <x v="1"/>
    <n v="9795479.0000000019"/>
    <x v="17"/>
    <n v="0"/>
    <n v="10149577.500000002"/>
    <n v="0"/>
    <m/>
    <n v="0"/>
    <m/>
    <n v="0"/>
    <m/>
    <n v="0"/>
    <m/>
    <n v="9003"/>
    <n v="11493472.499999993"/>
    <n v="0"/>
    <n v="0"/>
    <m/>
    <n v="0"/>
    <m/>
    <n v="0"/>
    <m/>
    <n v="0"/>
    <n v="12889576.499999994"/>
    <n v="0"/>
    <n v="0"/>
    <n v="0"/>
    <n v="9003"/>
    <n v="0"/>
    <n v="0"/>
    <s v=""/>
    <n v="9003"/>
    <n v="2017"/>
    <n v="9003"/>
    <n v="2017"/>
    <x v="0"/>
    <n v="9003"/>
    <n v="9003"/>
    <s v="No change"/>
    <n v="0.1019276516404819"/>
    <n v="4.0873218672115019E-3"/>
    <n v="0"/>
    <n v="0"/>
    <n v="0"/>
    <n v="7.8331418115804476"/>
    <n v="6.9847135784484493"/>
  </r>
  <r>
    <x v="1"/>
    <x v="1"/>
    <n v="9795479.0000000019"/>
    <x v="18"/>
    <n v="0"/>
    <n v="10149577.500000002"/>
    <n v="0"/>
    <m/>
    <n v="0"/>
    <m/>
    <n v="0"/>
    <m/>
    <n v="0"/>
    <m/>
    <n v="0"/>
    <n v="11493472.499999993"/>
    <n v="0"/>
    <n v="1071"/>
    <m/>
    <n v="0"/>
    <m/>
    <n v="0"/>
    <m/>
    <n v="729"/>
    <n v="12889576.499999994"/>
    <n v="0"/>
    <n v="1071"/>
    <n v="0"/>
    <n v="0"/>
    <n v="729"/>
    <n v="0"/>
    <s v=""/>
    <n v="1071"/>
    <s v="2018 (triag)"/>
    <n v="729"/>
    <n v="2021"/>
    <x v="1"/>
    <n v="911.12524353641197"/>
    <n v="1071"/>
    <s v="Decreasing"/>
    <n v="0.1019276516404819"/>
    <n v="4.0873218672115019E-3"/>
    <n v="643.36345427111712"/>
    <n v="1084.2134107946747"/>
    <n v="0"/>
    <n v="0.93183326448991"/>
    <n v="0.8309039478527479"/>
  </r>
  <r>
    <x v="1"/>
    <x v="1"/>
    <n v="9795479.0000000019"/>
    <x v="19"/>
    <n v="0"/>
    <n v="10149577.500000002"/>
    <n v="0"/>
    <m/>
    <n v="0"/>
    <m/>
    <n v="0"/>
    <m/>
    <n v="0"/>
    <m/>
    <n v="0"/>
    <n v="11493472.499999993"/>
    <n v="0"/>
    <n v="0"/>
    <m/>
    <n v="0"/>
    <m/>
    <n v="0"/>
    <m/>
    <n v="0"/>
    <n v="12889576.499999994"/>
    <n v="0"/>
    <n v="0"/>
    <n v="0"/>
    <n v="0"/>
    <n v="0"/>
    <n v="0"/>
    <s v=""/>
    <n v="0"/>
    <s v=""/>
    <n v="0"/>
    <s v=""/>
    <x v="0"/>
    <n v="0"/>
    <n v="0"/>
    <s v="No change"/>
    <n v="0.1019276516404819"/>
    <n v="4.0873218672115019E-3"/>
    <n v="0"/>
    <n v="0"/>
    <n v="0"/>
    <n v="0"/>
    <n v="0"/>
  </r>
  <r>
    <x v="1"/>
    <x v="1"/>
    <n v="9795479.0000000019"/>
    <x v="20"/>
    <n v="0"/>
    <n v="10149577.500000002"/>
    <n v="0"/>
    <m/>
    <n v="0"/>
    <m/>
    <n v="0"/>
    <m/>
    <n v="0"/>
    <m/>
    <n v="0"/>
    <n v="11493472.499999993"/>
    <n v="0"/>
    <n v="9"/>
    <m/>
    <n v="0"/>
    <m/>
    <n v="0"/>
    <m/>
    <n v="0"/>
    <n v="12889576.499999994"/>
    <n v="0"/>
    <n v="9"/>
    <n v="0"/>
    <n v="0"/>
    <n v="0"/>
    <n v="0"/>
    <s v=""/>
    <n v="9"/>
    <s v="2018 (triag)"/>
    <n v="9"/>
    <s v="2018 (triag)"/>
    <x v="0"/>
    <n v="9"/>
    <n v="9"/>
    <s v="No change"/>
    <n v="0.1019276516404819"/>
    <n v="4.0873218672115019E-3"/>
    <n v="5.4064155821102284"/>
    <n v="9.111037065501467"/>
    <n v="0"/>
    <n v="7.8305316343689913E-3"/>
    <n v="6.982386116409646E-3"/>
  </r>
  <r>
    <x v="1"/>
    <x v="1"/>
    <n v="9795479.0000000019"/>
    <x v="21"/>
    <n v="0"/>
    <n v="10149577.500000002"/>
    <n v="0"/>
    <m/>
    <n v="0"/>
    <m/>
    <n v="0"/>
    <m/>
    <n v="0"/>
    <m/>
    <n v="0"/>
    <n v="11493472.499999993"/>
    <n v="0"/>
    <n v="0"/>
    <m/>
    <n v="0"/>
    <m/>
    <n v="0"/>
    <m/>
    <n v="0"/>
    <n v="12889576.499999994"/>
    <n v="0"/>
    <n v="0"/>
    <n v="0"/>
    <n v="0"/>
    <n v="0"/>
    <n v="0"/>
    <s v=""/>
    <n v="0"/>
    <s v=""/>
    <n v="0"/>
    <s v=""/>
    <x v="0"/>
    <n v="0"/>
    <n v="0"/>
    <s v="No change"/>
    <n v="0.1019276516404819"/>
    <n v="4.0873218672115019E-3"/>
    <n v="0"/>
    <n v="0"/>
    <n v="0"/>
    <n v="0"/>
    <n v="0"/>
  </r>
  <r>
    <x v="1"/>
    <x v="1"/>
    <n v="9795479.0000000019"/>
    <x v="22"/>
    <n v="0"/>
    <n v="10149577.500000002"/>
    <n v="0"/>
    <m/>
    <n v="0"/>
    <m/>
    <n v="0"/>
    <m/>
    <n v="0"/>
    <m/>
    <n v="0"/>
    <n v="11493472.499999993"/>
    <n v="0"/>
    <n v="0"/>
    <m/>
    <n v="0"/>
    <m/>
    <n v="0"/>
    <m/>
    <n v="5"/>
    <n v="12889576.499999994"/>
    <n v="0"/>
    <n v="0"/>
    <n v="0"/>
    <n v="0"/>
    <n v="5"/>
    <n v="0"/>
    <s v=""/>
    <n v="0"/>
    <s v=""/>
    <n v="5"/>
    <n v="2021"/>
    <x v="0"/>
    <n v="5"/>
    <n v="5"/>
    <s v="Increasing"/>
    <n v="0.1019276516404819"/>
    <n v="4.0873218672115019E-3"/>
    <n v="0"/>
    <n v="0"/>
    <n v="0"/>
    <n v="0"/>
    <n v="3.8791033980053588E-3"/>
  </r>
  <r>
    <x v="1"/>
    <x v="1"/>
    <n v="9795479.0000000019"/>
    <x v="23"/>
    <n v="0"/>
    <n v="10149577.500000002"/>
    <n v="0"/>
    <m/>
    <n v="0"/>
    <m/>
    <n v="0"/>
    <m/>
    <n v="0"/>
    <m/>
    <n v="0"/>
    <n v="11493472.499999993"/>
    <n v="0"/>
    <n v="1000"/>
    <m/>
    <n v="0"/>
    <m/>
    <n v="0"/>
    <m/>
    <n v="0"/>
    <n v="12889576.499999994"/>
    <n v="0"/>
    <n v="1000"/>
    <n v="0"/>
    <n v="0"/>
    <n v="0"/>
    <n v="0"/>
    <s v=""/>
    <n v="1000"/>
    <s v="2018 (triag)"/>
    <n v="1000"/>
    <s v="2018 (triag)"/>
    <x v="0"/>
    <n v="1000"/>
    <n v="1000"/>
    <s v="No change"/>
    <n v="0.1019276516404819"/>
    <n v="4.0873218672115019E-3"/>
    <n v="600.71284245669199"/>
    <n v="1012.3374517223854"/>
    <n v="0"/>
    <n v="0.87005907048544351"/>
    <n v="0.77582067960107182"/>
  </r>
  <r>
    <x v="2"/>
    <x v="2"/>
    <n v="10014078.499999996"/>
    <x v="0"/>
    <n v="26"/>
    <n v="10308730.499999994"/>
    <n v="0"/>
    <n v="10614844.000000013"/>
    <n v="191"/>
    <n v="10932783.499999994"/>
    <n v="0"/>
    <n v="11260084.499999996"/>
    <n v="1046"/>
    <n v="11596778.499999991"/>
    <n v="0"/>
    <n v="11940683.499999996"/>
    <n v="2300"/>
    <n v="2300"/>
    <n v="12290444.000000004"/>
    <n v="1842"/>
    <n v="12643123.000000002"/>
    <n v="0"/>
    <n v="12996895"/>
    <n v="5861"/>
    <n v="13352864"/>
    <n v="5567"/>
    <n v="710"/>
    <n v="191"/>
    <n v="2300"/>
    <n v="5861"/>
    <n v="26"/>
    <n v="2012"/>
    <n v="2300"/>
    <n v="2018"/>
    <n v="5567"/>
    <n v="2022"/>
    <x v="0"/>
    <n v="5567"/>
    <n v="5567"/>
    <s v="Increasing"/>
    <n v="5.0912180313375632E-2"/>
    <n v="-3.8361793441239245E-2"/>
    <n v="550.43235448080054"/>
    <n v="632.81592983829069"/>
    <n v="2.5221340299855559E-2"/>
    <n v="1.9261878936829711"/>
    <n v="4.1691430392760687"/>
  </r>
  <r>
    <x v="2"/>
    <x v="2"/>
    <n v="10014078.499999996"/>
    <x v="1"/>
    <n v="10276"/>
    <n v="10308730.499999994"/>
    <n v="9760"/>
    <m/>
    <n v="0"/>
    <m/>
    <n v="0"/>
    <m/>
    <n v="14448"/>
    <m/>
    <n v="0"/>
    <n v="11940683.499999996"/>
    <n v="6820"/>
    <n v="6820"/>
    <m/>
    <n v="5340"/>
    <m/>
    <n v="0"/>
    <m/>
    <n v="10968"/>
    <n v="13352864"/>
    <n v="11786"/>
    <n v="3260"/>
    <n v="10276"/>
    <n v="14448"/>
    <n v="11786"/>
    <n v="9760"/>
    <n v="2013"/>
    <n v="6820"/>
    <n v="2018"/>
    <n v="11786"/>
    <n v="2022"/>
    <x v="0"/>
    <n v="11786"/>
    <n v="11786"/>
    <s v="Increasing"/>
    <n v="5.0912180313375632E-2"/>
    <n v="-3.8361793441239245E-2"/>
    <n v="2527.3372895879011"/>
    <n v="2905.6055370039821"/>
    <n v="9.4677031279457786"/>
    <n v="5.7115658412686363"/>
    <n v="8.8265708390349822"/>
  </r>
  <r>
    <x v="2"/>
    <x v="2"/>
    <n v="10014078.499999996"/>
    <x v="2"/>
    <n v="2960"/>
    <n v="10308730.499999994"/>
    <n v="1886"/>
    <m/>
    <n v="0"/>
    <m/>
    <n v="0"/>
    <m/>
    <n v="2068"/>
    <m/>
    <n v="0"/>
    <n v="11940683.499999996"/>
    <n v="2110"/>
    <n v="2110"/>
    <m/>
    <n v="1810"/>
    <m/>
    <n v="0"/>
    <m/>
    <n v="4172"/>
    <n v="13352864"/>
    <n v="4110"/>
    <n v="813"/>
    <n v="2960"/>
    <n v="2110"/>
    <n v="4172"/>
    <n v="1886"/>
    <n v="2013"/>
    <n v="2110"/>
    <n v="2018"/>
    <n v="4110"/>
    <n v="2022"/>
    <x v="0"/>
    <n v="4110"/>
    <n v="4110"/>
    <s v="Increasing"/>
    <n v="5.0912180313375632E-2"/>
    <n v="-3.8361793441239245E-2"/>
    <n v="630.28380872238142"/>
    <n v="724.61880416694407"/>
    <n v="1.8295172232895225"/>
    <n v="1.7670680242048127"/>
    <n v="3.0779913582584228"/>
  </r>
  <r>
    <x v="2"/>
    <x v="2"/>
    <n v="10014078.499999996"/>
    <x v="3"/>
    <n v="0"/>
    <n v="10308730.499999994"/>
    <n v="0"/>
    <m/>
    <n v="1717"/>
    <m/>
    <n v="2626"/>
    <m/>
    <n v="1600"/>
    <m/>
    <n v="0"/>
    <n v="11940683.499999996"/>
    <n v="281"/>
    <n v="281"/>
    <m/>
    <n v="106"/>
    <m/>
    <n v="0"/>
    <m/>
    <n v="505"/>
    <n v="13352864"/>
    <n v="0"/>
    <n v="14"/>
    <n v="2626"/>
    <n v="1600"/>
    <n v="505"/>
    <n v="1717"/>
    <n v="2014"/>
    <n v="281"/>
    <n v="2018"/>
    <n v="505"/>
    <n v="2021"/>
    <x v="0"/>
    <n v="505"/>
    <n v="505"/>
    <s v="Increasing"/>
    <n v="5.0912180313375632E-2"/>
    <n v="-3.8361793441239245E-2"/>
    <n v="10.85359572215663"/>
    <n v="12.478060588360661"/>
    <n v="1.6655785113404613"/>
    <n v="0.23532991222822386"/>
    <n v="0.37819601847214201"/>
  </r>
  <r>
    <x v="2"/>
    <x v="2"/>
    <n v="10014078.499999996"/>
    <x v="4"/>
    <n v="0"/>
    <n v="10308730.499999994"/>
    <n v="0"/>
    <m/>
    <n v="255"/>
    <m/>
    <n v="658"/>
    <m/>
    <n v="234"/>
    <m/>
    <n v="0"/>
    <n v="11940683.499999996"/>
    <n v="0"/>
    <n v="0"/>
    <m/>
    <n v="32"/>
    <m/>
    <n v="0"/>
    <m/>
    <n v="195"/>
    <n v="13352864"/>
    <n v="0"/>
    <n v="0"/>
    <n v="658"/>
    <n v="234"/>
    <n v="195"/>
    <n v="255"/>
    <n v="2014"/>
    <n v="32"/>
    <n v="2019"/>
    <n v="195"/>
    <n v="2021"/>
    <x v="0"/>
    <n v="195"/>
    <n v="195"/>
    <s v="Increasing"/>
    <n v="5.0912180313375632E-2"/>
    <n v="-3.8361793441239245E-2"/>
    <n v="0"/>
    <n v="0"/>
    <n v="0.24736314524858335"/>
    <n v="2.6799135912110902E-2"/>
    <n v="0.14603608634072809"/>
  </r>
  <r>
    <x v="2"/>
    <x v="2"/>
    <n v="10014078.499999996"/>
    <x v="5"/>
    <n v="0"/>
    <n v="10308730.499999994"/>
    <n v="0"/>
    <m/>
    <n v="0"/>
    <m/>
    <n v="0"/>
    <m/>
    <n v="0"/>
    <m/>
    <n v="0"/>
    <n v="11940683.499999996"/>
    <n v="0"/>
    <n v="0"/>
    <m/>
    <n v="0"/>
    <m/>
    <n v="0"/>
    <m/>
    <n v="21"/>
    <n v="13352864"/>
    <n v="21"/>
    <n v="0"/>
    <n v="0"/>
    <n v="0"/>
    <n v="21"/>
    <n v="0"/>
    <s v=""/>
    <n v="0"/>
    <s v=""/>
    <n v="21"/>
    <n v="2021"/>
    <x v="0"/>
    <n v="21"/>
    <n v="21"/>
    <s v="Increasing"/>
    <n v="5.0912180313375632E-2"/>
    <n v="-3.8361793441239245E-2"/>
    <n v="0"/>
    <n v="0"/>
    <n v="0"/>
    <n v="0"/>
    <n v="1.5726963144386104E-2"/>
  </r>
  <r>
    <x v="2"/>
    <x v="2"/>
    <n v="10014078.499999996"/>
    <x v="6"/>
    <n v="0"/>
    <n v="10308730.499999994"/>
    <n v="0"/>
    <m/>
    <n v="0"/>
    <m/>
    <n v="0"/>
    <m/>
    <n v="0"/>
    <m/>
    <n v="0"/>
    <n v="11940683.499999996"/>
    <n v="8"/>
    <n v="8"/>
    <m/>
    <n v="0"/>
    <m/>
    <n v="0"/>
    <m/>
    <n v="21"/>
    <n v="13352864"/>
    <n v="0"/>
    <n v="0"/>
    <n v="0"/>
    <n v="8"/>
    <n v="21"/>
    <n v="0"/>
    <s v=""/>
    <n v="8"/>
    <n v="2018"/>
    <n v="21"/>
    <n v="2021"/>
    <x v="0"/>
    <n v="21"/>
    <n v="21"/>
    <s v="Increasing"/>
    <n v="5.0912180313375632E-2"/>
    <n v="-3.8361793441239245E-2"/>
    <n v="0"/>
    <n v="0"/>
    <n v="0"/>
    <n v="6.6997839780277256E-3"/>
    <n v="1.5726963144386104E-2"/>
  </r>
  <r>
    <x v="2"/>
    <x v="2"/>
    <n v="10014078.499999996"/>
    <x v="7"/>
    <n v="0"/>
    <n v="10308730.499999994"/>
    <n v="0"/>
    <m/>
    <n v="0"/>
    <m/>
    <n v="3830"/>
    <m/>
    <n v="0"/>
    <m/>
    <n v="0"/>
    <n v="11940683.499999996"/>
    <n v="429"/>
    <n v="619"/>
    <m/>
    <n v="0"/>
    <m/>
    <n v="0"/>
    <m/>
    <n v="1570"/>
    <n v="13352864"/>
    <n v="0"/>
    <n v="619"/>
    <n v="3830"/>
    <n v="429"/>
    <n v="1570"/>
    <n v="3830"/>
    <n v="2015"/>
    <n v="619"/>
    <s v="2018 (triag)"/>
    <n v="1570"/>
    <n v="2021"/>
    <x v="0"/>
    <n v="1570"/>
    <n v="1570"/>
    <s v="Increasing"/>
    <n v="5.0912180313375632E-2"/>
    <n v="-3.8361793441239245E-2"/>
    <n v="479.88398228678244"/>
    <n v="551.70853601394629"/>
    <n v="3.7152974364787226"/>
    <n v="0.51839578529989527"/>
    <n v="1.1757777207945801"/>
  </r>
  <r>
    <x v="2"/>
    <x v="2"/>
    <n v="10014078.499999996"/>
    <x v="8"/>
    <n v="0"/>
    <n v="10308730.499999994"/>
    <n v="0"/>
    <m/>
    <n v="0"/>
    <m/>
    <n v="0"/>
    <m/>
    <n v="0"/>
    <m/>
    <n v="0"/>
    <n v="11940683.499999996"/>
    <n v="0"/>
    <n v="2623"/>
    <m/>
    <n v="0"/>
    <m/>
    <n v="0"/>
    <m/>
    <n v="6809"/>
    <n v="13352864"/>
    <n v="0"/>
    <n v="2623"/>
    <n v="0"/>
    <n v="0"/>
    <n v="6809"/>
    <n v="0"/>
    <s v=""/>
    <n v="2623"/>
    <s v="2018 (triag)"/>
    <n v="6809"/>
    <n v="2021"/>
    <x v="0"/>
    <n v="6809"/>
    <n v="6809"/>
    <s v="Increasing"/>
    <n v="5.0912180313375632E-2"/>
    <n v="-3.8361793441239245E-2"/>
    <n v="2033.4986842297742"/>
    <n v="2337.8537802335723"/>
    <n v="0"/>
    <n v="2.1966916717958407"/>
    <n v="5.0992805738154754"/>
  </r>
  <r>
    <x v="2"/>
    <x v="2"/>
    <n v="10014078.499999996"/>
    <x v="9"/>
    <n v="0"/>
    <n v="10308730.499999994"/>
    <n v="0"/>
    <m/>
    <n v="0"/>
    <m/>
    <n v="0"/>
    <m/>
    <n v="0"/>
    <m/>
    <n v="0"/>
    <n v="11940683.499999996"/>
    <n v="0"/>
    <n v="0"/>
    <m/>
    <n v="0"/>
    <m/>
    <n v="0"/>
    <m/>
    <n v="0"/>
    <n v="13352864"/>
    <n v="0"/>
    <n v="0"/>
    <n v="0"/>
    <n v="0"/>
    <n v="0"/>
    <n v="0"/>
    <s v=""/>
    <n v="0"/>
    <s v=""/>
    <n v="0"/>
    <s v=""/>
    <x v="0"/>
    <n v="0"/>
    <n v="0"/>
    <s v="No change"/>
    <n v="5.0912180313375632E-2"/>
    <n v="-3.8361793441239245E-2"/>
    <n v="0"/>
    <n v="0"/>
    <n v="0"/>
    <n v="0"/>
    <n v="0"/>
  </r>
  <r>
    <x v="2"/>
    <x v="2"/>
    <n v="10014078.499999996"/>
    <x v="10"/>
    <n v="0"/>
    <n v="10308730.499999994"/>
    <n v="0"/>
    <m/>
    <n v="0"/>
    <m/>
    <n v="0"/>
    <m/>
    <n v="0"/>
    <m/>
    <n v="15"/>
    <n v="11940683.499999996"/>
    <n v="0"/>
    <n v="0"/>
    <m/>
    <n v="0"/>
    <m/>
    <n v="0"/>
    <m/>
    <n v="0"/>
    <n v="13352864"/>
    <n v="0"/>
    <n v="0"/>
    <n v="0"/>
    <n v="15"/>
    <n v="0"/>
    <n v="0"/>
    <s v=""/>
    <n v="15"/>
    <n v="2017"/>
    <n v="15"/>
    <n v="2017"/>
    <x v="0"/>
    <n v="15"/>
    <n v="15"/>
    <s v="No change"/>
    <n v="5.0912180313375632E-2"/>
    <n v="-3.8361793441239245E-2"/>
    <n v="0"/>
    <n v="0"/>
    <n v="0"/>
    <n v="1.2562094958801985E-2"/>
    <n v="1.123354510313293E-2"/>
  </r>
  <r>
    <x v="2"/>
    <x v="2"/>
    <n v="10014078.499999996"/>
    <x v="11"/>
    <n v="0"/>
    <n v="10308730.499999994"/>
    <n v="0"/>
    <m/>
    <n v="0"/>
    <m/>
    <n v="0"/>
    <m/>
    <n v="0"/>
    <m/>
    <n v="0"/>
    <n v="11940683.499999996"/>
    <n v="668"/>
    <n v="668"/>
    <m/>
    <n v="0"/>
    <m/>
    <n v="0"/>
    <m/>
    <n v="0"/>
    <n v="13352864"/>
    <n v="0"/>
    <n v="0"/>
    <n v="0"/>
    <n v="668"/>
    <n v="0"/>
    <n v="0"/>
    <s v=""/>
    <n v="668"/>
    <n v="2018"/>
    <n v="668"/>
    <n v="2018"/>
    <x v="0"/>
    <n v="668"/>
    <n v="668"/>
    <s v="No change"/>
    <n v="5.0912180313375632E-2"/>
    <n v="-3.8361793441239245E-2"/>
    <n v="0"/>
    <n v="0"/>
    <n v="0"/>
    <n v="0.5594319621653151"/>
    <n v="0.50026720859285323"/>
  </r>
  <r>
    <x v="2"/>
    <x v="2"/>
    <n v="10014078.499999996"/>
    <x v="12"/>
    <n v="0"/>
    <n v="10308730.499999994"/>
    <n v="0"/>
    <m/>
    <n v="0"/>
    <m/>
    <n v="0"/>
    <m/>
    <n v="0"/>
    <m/>
    <n v="0"/>
    <n v="11940683.499999996"/>
    <n v="0"/>
    <n v="0"/>
    <m/>
    <n v="0"/>
    <m/>
    <n v="0"/>
    <m/>
    <n v="0"/>
    <n v="13352864"/>
    <n v="0"/>
    <n v="0"/>
    <n v="0"/>
    <n v="0"/>
    <n v="0"/>
    <n v="0"/>
    <s v=""/>
    <n v="0"/>
    <s v=""/>
    <n v="0"/>
    <s v=""/>
    <x v="0"/>
    <n v="0"/>
    <n v="0"/>
    <s v="No change"/>
    <n v="5.0912180313375632E-2"/>
    <n v="-3.8361793441239245E-2"/>
    <n v="0"/>
    <n v="0"/>
    <n v="0"/>
    <n v="0"/>
    <n v="0"/>
  </r>
  <r>
    <x v="2"/>
    <x v="2"/>
    <n v="10014078.499999996"/>
    <x v="13"/>
    <n v="241"/>
    <n v="10308730.499999994"/>
    <n v="206"/>
    <m/>
    <n v="0"/>
    <m/>
    <n v="0"/>
    <m/>
    <n v="234"/>
    <m/>
    <n v="0"/>
    <n v="11940683.499999996"/>
    <n v="137"/>
    <n v="137"/>
    <m/>
    <n v="92"/>
    <m/>
    <n v="0"/>
    <m/>
    <n v="352"/>
    <n v="13352864"/>
    <n v="0"/>
    <n v="54"/>
    <n v="241"/>
    <n v="234"/>
    <n v="352"/>
    <n v="206"/>
    <n v="2013"/>
    <n v="137"/>
    <n v="2018"/>
    <n v="352"/>
    <n v="2021"/>
    <x v="0"/>
    <n v="352"/>
    <n v="352"/>
    <s v="Increasing"/>
    <n v="5.0912180313375632E-2"/>
    <n v="-3.8361793441239245E-2"/>
    <n v="41.863869214032718"/>
    <n v="48.129662269391119"/>
    <n v="0.19983061929885557"/>
    <n v="0.1147338006237248"/>
    <n v="0.26361385842018609"/>
  </r>
  <r>
    <x v="2"/>
    <x v="2"/>
    <n v="10014078.499999996"/>
    <x v="14"/>
    <n v="0"/>
    <n v="10308730.499999994"/>
    <n v="0"/>
    <m/>
    <n v="0"/>
    <m/>
    <n v="0"/>
    <m/>
    <n v="0"/>
    <m/>
    <n v="0"/>
    <n v="11940683.499999996"/>
    <n v="0"/>
    <n v="0"/>
    <m/>
    <n v="0"/>
    <m/>
    <n v="0"/>
    <m/>
    <n v="0"/>
    <n v="13352864"/>
    <n v="0"/>
    <n v="0"/>
    <n v="0"/>
    <n v="0"/>
    <n v="0"/>
    <n v="0"/>
    <s v=""/>
    <n v="0"/>
    <s v=""/>
    <n v="0"/>
    <s v=""/>
    <x v="0"/>
    <n v="0"/>
    <n v="0"/>
    <s v="No change"/>
    <n v="5.0912180313375632E-2"/>
    <n v="-3.8361793441239245E-2"/>
    <n v="0"/>
    <n v="0"/>
    <n v="0"/>
    <n v="0"/>
    <n v="0"/>
  </r>
  <r>
    <x v="2"/>
    <x v="2"/>
    <n v="10014078.499999996"/>
    <x v="15"/>
    <n v="0"/>
    <n v="10308730.499999994"/>
    <n v="0"/>
    <m/>
    <n v="0"/>
    <m/>
    <n v="0"/>
    <m/>
    <n v="0"/>
    <m/>
    <n v="0"/>
    <n v="11940683.499999996"/>
    <n v="0"/>
    <n v="0"/>
    <m/>
    <n v="0"/>
    <m/>
    <n v="0"/>
    <m/>
    <n v="0"/>
    <n v="13352864"/>
    <n v="0"/>
    <n v="0"/>
    <n v="0"/>
    <n v="0"/>
    <n v="0"/>
    <n v="0"/>
    <s v=""/>
    <n v="0"/>
    <s v=""/>
    <n v="0"/>
    <s v=""/>
    <x v="0"/>
    <n v="0"/>
    <n v="0"/>
    <s v="No change"/>
    <n v="5.0912180313375632E-2"/>
    <n v="-3.8361793441239245E-2"/>
    <n v="0"/>
    <n v="0"/>
    <n v="0"/>
    <n v="0"/>
    <n v="0"/>
  </r>
  <r>
    <x v="2"/>
    <x v="2"/>
    <n v="10014078.499999996"/>
    <x v="16"/>
    <n v="0"/>
    <n v="10308730.499999994"/>
    <n v="0"/>
    <m/>
    <n v="0"/>
    <m/>
    <n v="0"/>
    <m/>
    <n v="0"/>
    <m/>
    <n v="0"/>
    <n v="11940683.499999996"/>
    <n v="0"/>
    <n v="156"/>
    <m/>
    <n v="0"/>
    <m/>
    <n v="0"/>
    <m/>
    <n v="0"/>
    <n v="13352864"/>
    <n v="0"/>
    <n v="156"/>
    <n v="0"/>
    <n v="0"/>
    <n v="0"/>
    <n v="0"/>
    <s v=""/>
    <n v="156"/>
    <s v="2018 (triag)"/>
    <n v="156"/>
    <s v="2018 (triag)"/>
    <x v="0"/>
    <n v="156"/>
    <n v="156"/>
    <s v="No change"/>
    <n v="5.0912180313375632E-2"/>
    <n v="-3.8361793441239245E-2"/>
    <n v="120.94006661831673"/>
    <n v="139.04124655601879"/>
    <n v="0"/>
    <n v="0.13064578757154066"/>
    <n v="0.11682886907258248"/>
  </r>
  <r>
    <x v="2"/>
    <x v="2"/>
    <n v="10014078.499999996"/>
    <x v="17"/>
    <n v="0"/>
    <n v="10308730.499999994"/>
    <n v="0"/>
    <m/>
    <n v="0"/>
    <m/>
    <n v="0"/>
    <m/>
    <n v="0"/>
    <m/>
    <n v="0"/>
    <n v="11940683.499999996"/>
    <n v="0"/>
    <n v="1994"/>
    <m/>
    <n v="0"/>
    <m/>
    <n v="0"/>
    <m/>
    <n v="0"/>
    <n v="13352864"/>
    <n v="0"/>
    <n v="1994"/>
    <n v="0"/>
    <n v="0"/>
    <n v="0"/>
    <n v="0"/>
    <s v=""/>
    <n v="1994"/>
    <s v="2018 (triag)"/>
    <n v="1994"/>
    <s v="2018 (triag)"/>
    <x v="0"/>
    <n v="1994"/>
    <n v="1994"/>
    <s v="No change"/>
    <n v="5.0912180313375632E-2"/>
    <n v="-3.8361793441239245E-2"/>
    <n v="1545.8621335700229"/>
    <n v="1777.2323437993684"/>
    <n v="0"/>
    <n v="1.6699211565234107"/>
    <n v="1.4933125957098043"/>
  </r>
  <r>
    <x v="2"/>
    <x v="2"/>
    <n v="10014078.499999996"/>
    <x v="18"/>
    <n v="845"/>
    <n v="10308730.499999994"/>
    <n v="830"/>
    <m/>
    <n v="0"/>
    <m/>
    <n v="0"/>
    <m/>
    <n v="1166"/>
    <m/>
    <n v="0"/>
    <n v="11940683.499999996"/>
    <n v="0"/>
    <n v="241"/>
    <m/>
    <n v="0"/>
    <m/>
    <n v="0"/>
    <m/>
    <n v="1744"/>
    <n v="13352864"/>
    <n v="1602"/>
    <n v="241"/>
    <n v="845"/>
    <n v="1166"/>
    <n v="1744"/>
    <n v="830"/>
    <n v="2013"/>
    <n v="241"/>
    <s v="2018 (triag)"/>
    <n v="1602"/>
    <n v="2022"/>
    <x v="0"/>
    <n v="1602"/>
    <n v="1602"/>
    <s v="Increasing"/>
    <n v="5.0912180313375632E-2"/>
    <n v="-3.8361793441239245E-2"/>
    <n v="186.83689778855342"/>
    <n v="214.8009001282085"/>
    <n v="0.80514278649538895"/>
    <n v="0.20183099233808524"/>
    <n v="1.1997426170145971"/>
  </r>
  <r>
    <x v="2"/>
    <x v="2"/>
    <n v="10014078.499999996"/>
    <x v="19"/>
    <n v="0"/>
    <n v="10308730.499999994"/>
    <n v="0"/>
    <m/>
    <n v="0"/>
    <m/>
    <n v="0"/>
    <m/>
    <n v="0"/>
    <m/>
    <n v="0"/>
    <n v="11940683.499999996"/>
    <n v="5086"/>
    <n v="5086"/>
    <m/>
    <n v="0"/>
    <m/>
    <n v="0"/>
    <m/>
    <n v="382"/>
    <n v="13352864"/>
    <n v="382"/>
    <n v="146"/>
    <n v="0"/>
    <n v="5086"/>
    <n v="382"/>
    <n v="0"/>
    <s v=""/>
    <n v="5086"/>
    <n v="2018"/>
    <n v="382"/>
    <n v="2021"/>
    <x v="1"/>
    <n v="475.9367826904986"/>
    <n v="5086"/>
    <s v="Decreasing"/>
    <n v="5.0912180313375632E-2"/>
    <n v="-3.8361793441239245E-2"/>
    <n v="113.18749824534771"/>
    <n v="130.12834613576118"/>
    <n v="0"/>
    <n v="4.2593876640311263"/>
    <n v="3.8089206929689392"/>
  </r>
  <r>
    <x v="2"/>
    <x v="2"/>
    <n v="10014078.499999996"/>
    <x v="20"/>
    <n v="0"/>
    <n v="10308730.499999994"/>
    <n v="0"/>
    <m/>
    <n v="0"/>
    <m/>
    <n v="0"/>
    <m/>
    <n v="0"/>
    <m/>
    <n v="0"/>
    <n v="11940683.499999996"/>
    <n v="58"/>
    <n v="58"/>
    <m/>
    <n v="0"/>
    <m/>
    <n v="0"/>
    <m/>
    <n v="187"/>
    <n v="13352864"/>
    <n v="187"/>
    <n v="0"/>
    <n v="0"/>
    <n v="58"/>
    <n v="187"/>
    <n v="0"/>
    <s v=""/>
    <n v="58"/>
    <n v="2018"/>
    <n v="187"/>
    <n v="2021"/>
    <x v="0"/>
    <n v="187"/>
    <n v="187"/>
    <s v="Increasing"/>
    <n v="5.0912180313375632E-2"/>
    <n v="-3.8361793441239245E-2"/>
    <n v="0"/>
    <n v="0"/>
    <n v="0"/>
    <n v="4.8573433840701008E-2"/>
    <n v="0.14004486228572388"/>
  </r>
  <r>
    <x v="2"/>
    <x v="2"/>
    <n v="10014078.499999996"/>
    <x v="21"/>
    <n v="0"/>
    <n v="10308730.499999994"/>
    <n v="0"/>
    <m/>
    <n v="0"/>
    <m/>
    <n v="0"/>
    <m/>
    <n v="0"/>
    <m/>
    <n v="0"/>
    <n v="11940683.499999996"/>
    <n v="102"/>
    <n v="102"/>
    <m/>
    <n v="0"/>
    <m/>
    <n v="0"/>
    <m/>
    <n v="0"/>
    <n v="13352864"/>
    <n v="0"/>
    <n v="0"/>
    <n v="0"/>
    <n v="102"/>
    <n v="0"/>
    <n v="0"/>
    <s v=""/>
    <n v="102"/>
    <n v="2018"/>
    <n v="102"/>
    <n v="2018"/>
    <x v="0"/>
    <n v="102"/>
    <n v="102"/>
    <s v="No change"/>
    <n v="5.0912180313375632E-2"/>
    <n v="-3.8361793441239245E-2"/>
    <n v="0"/>
    <n v="0"/>
    <n v="0"/>
    <n v="8.5422245719853504E-2"/>
    <n v="7.6388106701303929E-2"/>
  </r>
  <r>
    <x v="2"/>
    <x v="2"/>
    <n v="10014078.499999996"/>
    <x v="22"/>
    <n v="0"/>
    <n v="10308730.499999994"/>
    <n v="0"/>
    <m/>
    <n v="0"/>
    <m/>
    <n v="0"/>
    <m/>
    <n v="0"/>
    <m/>
    <n v="0"/>
    <n v="11940683.499999996"/>
    <n v="0"/>
    <n v="0"/>
    <m/>
    <n v="0"/>
    <m/>
    <n v="0"/>
    <m/>
    <n v="0"/>
    <n v="13352864"/>
    <n v="0"/>
    <n v="0"/>
    <n v="0"/>
    <n v="0"/>
    <n v="0"/>
    <n v="0"/>
    <s v=""/>
    <n v="0"/>
    <s v=""/>
    <n v="0"/>
    <s v=""/>
    <x v="0"/>
    <n v="0"/>
    <n v="0"/>
    <s v="No change"/>
    <n v="5.0912180313375632E-2"/>
    <n v="-3.8361793441239245E-2"/>
    <n v="0"/>
    <n v="0"/>
    <n v="0"/>
    <n v="0"/>
    <n v="0"/>
  </r>
  <r>
    <x v="2"/>
    <x v="2"/>
    <n v="10014078.499999996"/>
    <x v="23"/>
    <n v="0"/>
    <n v="10308730.499999994"/>
    <n v="10200"/>
    <m/>
    <n v="0"/>
    <m/>
    <n v="0"/>
    <m/>
    <n v="0"/>
    <m/>
    <n v="0"/>
    <n v="11940683.499999996"/>
    <n v="0"/>
    <n v="0"/>
    <m/>
    <n v="0"/>
    <m/>
    <n v="0"/>
    <m/>
    <n v="0"/>
    <n v="13352864"/>
    <n v="0"/>
    <n v="0"/>
    <n v="10200"/>
    <n v="0"/>
    <n v="0"/>
    <n v="10200"/>
    <n v="2013"/>
    <n v="0"/>
    <s v=""/>
    <n v="0"/>
    <s v=""/>
    <x v="0"/>
    <n v="0"/>
    <n v="0"/>
    <s v="No change"/>
    <n v="5.0912180313375632E-2"/>
    <n v="-3.8361793441239245E-2"/>
    <n v="0"/>
    <n v="0"/>
    <n v="9.8945258099433353"/>
    <n v="0"/>
    <n v="0"/>
  </r>
  <r>
    <x v="3"/>
    <x v="3"/>
    <n v="17113732.499999996"/>
    <x v="0"/>
    <n v="1574"/>
    <n v="17636407.5"/>
    <n v="1606"/>
    <n v="18169842.499999996"/>
    <n v="1818"/>
    <n v="18718019.499999996"/>
    <n v="2378"/>
    <n v="19275497.999999981"/>
    <n v="2404"/>
    <n v="19835858.500000007"/>
    <n v="3990"/>
    <n v="20392723"/>
    <n v="3368"/>
    <n v="3368"/>
    <n v="20951638.999999996"/>
    <n v="5397"/>
    <n v="21522625.999999993"/>
    <n v="4360"/>
    <n v="22100683.499999989"/>
    <n v="4684"/>
    <n v="22673762.000000007"/>
    <n v="7587"/>
    <n v="1626"/>
    <n v="2378"/>
    <n v="5397"/>
    <n v="7587"/>
    <n v="1606"/>
    <n v="2013"/>
    <n v="3368"/>
    <n v="2018"/>
    <n v="7587"/>
    <n v="2022"/>
    <x v="0"/>
    <n v="7587"/>
    <n v="7587"/>
    <s v="Increasing"/>
    <n v="0.11672257510323925"/>
    <n v="5.6053037042871567E-2"/>
    <n v="907.11153563743585"/>
    <n v="1923.7609963466409"/>
    <n v="0.91061629189504723"/>
    <n v="1.651569532916227"/>
    <n v="3.3461584363459393"/>
  </r>
  <r>
    <x v="3"/>
    <x v="3"/>
    <n v="17113732.499999996"/>
    <x v="1"/>
    <n v="12016"/>
    <n v="17636407.5"/>
    <n v="12392"/>
    <m/>
    <n v="12716"/>
    <m/>
    <n v="19496"/>
    <m/>
    <n v="19402"/>
    <m/>
    <n v="20752"/>
    <n v="20392723"/>
    <n v="0"/>
    <n v="10325"/>
    <m/>
    <n v="22728"/>
    <m/>
    <n v="23748"/>
    <m/>
    <n v="24378"/>
    <n v="22673762.000000007"/>
    <n v="27922"/>
    <n v="10325"/>
    <n v="19496"/>
    <n v="22728"/>
    <n v="27922"/>
    <n v="12392"/>
    <n v="2013"/>
    <n v="10325"/>
    <s v="2018 (triag)"/>
    <n v="27922"/>
    <n v="2022"/>
    <x v="0"/>
    <n v="27922"/>
    <n v="27922"/>
    <s v="Increasing"/>
    <n v="0.11672257510323925"/>
    <n v="5.6053037042871567E-2"/>
    <n v="5760.1024633803963"/>
    <n v="12215.76401431677"/>
    <n v="7.0263742771876867"/>
    <n v="5.0630805900712721"/>
    <n v="12.314674556432228"/>
  </r>
  <r>
    <x v="3"/>
    <x v="3"/>
    <n v="17113732.499999996"/>
    <x v="2"/>
    <n v="8902"/>
    <n v="17636407.5"/>
    <n v="3182"/>
    <m/>
    <n v="3488"/>
    <m/>
    <n v="4766"/>
    <m/>
    <n v="5160"/>
    <m/>
    <n v="13138"/>
    <n v="20392723"/>
    <n v="0"/>
    <n v="6569"/>
    <m/>
    <n v="14954"/>
    <m/>
    <n v="15608"/>
    <m/>
    <n v="16104"/>
    <n v="22673762.000000007"/>
    <n v="18588"/>
    <n v="6569"/>
    <n v="8902"/>
    <n v="14954"/>
    <n v="18588"/>
    <n v="3182"/>
    <n v="2013"/>
    <n v="6569"/>
    <s v="2018 (triag)"/>
    <n v="18588"/>
    <n v="2022"/>
    <x v="0"/>
    <n v="18588"/>
    <n v="18588"/>
    <s v="Increasing"/>
    <n v="0.11672257510323925"/>
    <n v="5.6053037042871567E-2"/>
    <n v="3664.7082888083123"/>
    <n v="7771.9471002466698"/>
    <n v="1.8042223168182068"/>
    <n v="3.2212471085886865"/>
    <n v="8.1980220132856623"/>
  </r>
  <r>
    <x v="3"/>
    <x v="3"/>
    <n v="17113732.499999996"/>
    <x v="3"/>
    <n v="785"/>
    <n v="17636407.5"/>
    <n v="0"/>
    <m/>
    <n v="0"/>
    <m/>
    <n v="1184"/>
    <m/>
    <n v="17091"/>
    <m/>
    <n v="20603"/>
    <n v="20392723"/>
    <n v="401"/>
    <n v="792"/>
    <m/>
    <n v="85"/>
    <m/>
    <n v="0"/>
    <m/>
    <n v="232"/>
    <n v="22673762.000000007"/>
    <n v="0"/>
    <n v="792"/>
    <n v="1184"/>
    <n v="20603"/>
    <n v="232"/>
    <n v="785"/>
    <n v="2012"/>
    <n v="792"/>
    <s v="2018 (triag)"/>
    <n v="232"/>
    <n v="2021"/>
    <x v="1"/>
    <n v="238.34130393461319"/>
    <n v="792"/>
    <s v="Decreasing"/>
    <n v="0.11672257510323925"/>
    <n v="5.6053037042871567E-2"/>
    <n v="441.84030518133403"/>
    <n v="937.03487644928634"/>
    <n v="0.44510198576439108"/>
    <n v="0.38837383315607238"/>
    <n v="0.34930242277395335"/>
  </r>
  <r>
    <x v="3"/>
    <x v="3"/>
    <n v="17113732.499999996"/>
    <x v="4"/>
    <n v="39"/>
    <n v="17636407.5"/>
    <n v="0"/>
    <m/>
    <n v="0"/>
    <m/>
    <n v="392"/>
    <m/>
    <n v="466"/>
    <m/>
    <n v="5048"/>
    <n v="20392723"/>
    <n v="111"/>
    <n v="111"/>
    <m/>
    <n v="131"/>
    <m/>
    <n v="0"/>
    <m/>
    <n v="80"/>
    <n v="22673762.000000007"/>
    <n v="0"/>
    <n v="80"/>
    <n v="392"/>
    <n v="5048"/>
    <n v="80"/>
    <n v="39"/>
    <n v="2012"/>
    <n v="111"/>
    <n v="2018"/>
    <n v="80"/>
    <n v="2021"/>
    <x v="1"/>
    <n v="82.186656529176958"/>
    <n v="111"/>
    <s v="Decreasing"/>
    <n v="0.11672257510323925"/>
    <n v="5.6053037042871567E-2"/>
    <n v="44.63033385670041"/>
    <n v="94.64998752012994"/>
    <n v="2.2113347063453824E-2"/>
    <n v="5.4431181162025298E-2"/>
    <n v="4.8955263797864669E-2"/>
  </r>
  <r>
    <x v="3"/>
    <x v="3"/>
    <n v="17113732.499999996"/>
    <x v="5"/>
    <n v="2099"/>
    <n v="17636407.5"/>
    <n v="0"/>
    <m/>
    <n v="0"/>
    <m/>
    <n v="0"/>
    <m/>
    <n v="0"/>
    <m/>
    <n v="2749"/>
    <n v="20392723"/>
    <n v="0"/>
    <n v="2749"/>
    <m/>
    <n v="2979"/>
    <m/>
    <n v="2923"/>
    <m/>
    <n v="2947"/>
    <n v="22673762.000000007"/>
    <n v="3145"/>
    <n v="2749"/>
    <n v="2099"/>
    <n v="2979"/>
    <n v="3145"/>
    <n v="2099"/>
    <n v="2012"/>
    <n v="2749"/>
    <n v="2017"/>
    <n v="3145"/>
    <n v="2022"/>
    <x v="0"/>
    <n v="3145"/>
    <n v="3145"/>
    <s v="Increasing"/>
    <n v="0.11672257510323925"/>
    <n v="5.6053037042871567E-2"/>
    <n v="1533.6098471508678"/>
    <n v="3252.4101961604651"/>
    <n v="1.190151679133066"/>
    <n v="1.3480298830126805"/>
    <n v="1.3870658076061657"/>
  </r>
  <r>
    <x v="3"/>
    <x v="3"/>
    <n v="17113732.499999996"/>
    <x v="6"/>
    <n v="128"/>
    <n v="17636407.5"/>
    <n v="0"/>
    <m/>
    <n v="0"/>
    <m/>
    <n v="1688"/>
    <m/>
    <n v="940"/>
    <m/>
    <n v="0"/>
    <n v="20392723"/>
    <n v="0"/>
    <n v="19"/>
    <m/>
    <n v="0"/>
    <m/>
    <n v="0"/>
    <m/>
    <n v="15"/>
    <n v="22673762.000000007"/>
    <n v="0"/>
    <n v="19"/>
    <n v="1688"/>
    <n v="940"/>
    <n v="15"/>
    <n v="128"/>
    <n v="2012"/>
    <n v="19"/>
    <s v="2018 (triag)"/>
    <n v="15"/>
    <n v="2021"/>
    <x v="1"/>
    <n v="15.409998099220681"/>
    <n v="19"/>
    <s v="Decreasing"/>
    <n v="0.11672257510323925"/>
    <n v="5.6053037042871567E-2"/>
    <n v="10.599704290966347"/>
    <n v="22.47937203603086"/>
    <n v="7.2577139080053574E-2"/>
    <n v="9.3170490277340607E-3"/>
    <n v="8.3797298392741335E-3"/>
  </r>
  <r>
    <x v="3"/>
    <x v="3"/>
    <n v="17113732.499999996"/>
    <x v="7"/>
    <n v="1791"/>
    <n v="17636407.5"/>
    <n v="0"/>
    <m/>
    <n v="0"/>
    <m/>
    <n v="718"/>
    <m/>
    <n v="2367"/>
    <m/>
    <n v="20392"/>
    <n v="20392723"/>
    <n v="157"/>
    <n v="160"/>
    <m/>
    <n v="0"/>
    <m/>
    <n v="0"/>
    <m/>
    <n v="31"/>
    <n v="22673762.000000007"/>
    <n v="0"/>
    <n v="160"/>
    <n v="1791"/>
    <n v="20392"/>
    <n v="31"/>
    <n v="1791"/>
    <n v="2012"/>
    <n v="160"/>
    <s v="2018 (triag)"/>
    <n v="31"/>
    <n v="2021"/>
    <x v="1"/>
    <n v="31.847329405056072"/>
    <n v="160"/>
    <s v="Decreasing"/>
    <n v="0.11672257510323925"/>
    <n v="5.6053037042871567E-2"/>
    <n v="89.260667713400821"/>
    <n v="189.29997504025988"/>
    <n v="1.0155129382216872"/>
    <n v="7.8459360233549977E-2"/>
    <n v="7.0566146014940059E-2"/>
  </r>
  <r>
    <x v="3"/>
    <x v="3"/>
    <n v="17113732.499999996"/>
    <x v="8"/>
    <n v="0"/>
    <n v="17636407.5"/>
    <n v="0"/>
    <m/>
    <n v="0"/>
    <m/>
    <n v="0"/>
    <m/>
    <n v="0"/>
    <m/>
    <n v="0"/>
    <n v="20392723"/>
    <n v="0"/>
    <n v="1224"/>
    <m/>
    <n v="0"/>
    <m/>
    <n v="68"/>
    <m/>
    <n v="0"/>
    <n v="22673762.000000007"/>
    <n v="886"/>
    <n v="1224"/>
    <n v="0"/>
    <n v="0"/>
    <n v="886"/>
    <n v="0"/>
    <s v=""/>
    <n v="1224"/>
    <s v="2018 (triag)"/>
    <n v="886"/>
    <n v="2022"/>
    <x v="1"/>
    <n v="910.21722106063487"/>
    <n v="1224"/>
    <s v="Decreasing"/>
    <n v="0.11672257510323925"/>
    <n v="5.6053037042871567E-2"/>
    <n v="682.8441080075163"/>
    <n v="1448.1448090579881"/>
    <n v="0"/>
    <n v="0.60021410578665735"/>
    <n v="0.53983101701429148"/>
  </r>
  <r>
    <x v="3"/>
    <x v="3"/>
    <n v="17113732.499999996"/>
    <x v="9"/>
    <n v="0"/>
    <n v="17636407.5"/>
    <n v="0"/>
    <m/>
    <n v="0"/>
    <m/>
    <n v="0"/>
    <m/>
    <n v="0"/>
    <m/>
    <n v="0"/>
    <n v="20392723"/>
    <n v="0"/>
    <n v="653"/>
    <m/>
    <n v="0"/>
    <m/>
    <n v="0"/>
    <m/>
    <n v="0"/>
    <n v="22673762.000000007"/>
    <n v="0"/>
    <n v="653"/>
    <n v="0"/>
    <n v="0"/>
    <n v="0"/>
    <n v="0"/>
    <s v=""/>
    <n v="653"/>
    <s v="2018 (triag)"/>
    <n v="653"/>
    <s v="2018 (triag)"/>
    <x v="0"/>
    <n v="653"/>
    <n v="653"/>
    <s v="No change"/>
    <n v="0.11672257510323925"/>
    <n v="5.6053037042871567E-2"/>
    <n v="364.29510010531709"/>
    <n v="772.58052313306064"/>
    <n v="0"/>
    <n v="0.32021226395317587"/>
    <n v="0.28799808342347416"/>
  </r>
  <r>
    <x v="3"/>
    <x v="3"/>
    <n v="17113732.499999996"/>
    <x v="10"/>
    <n v="0"/>
    <n v="17636407.5"/>
    <n v="0"/>
    <m/>
    <n v="0"/>
    <m/>
    <n v="0"/>
    <m/>
    <n v="0"/>
    <m/>
    <n v="3"/>
    <n v="20392723"/>
    <n v="2"/>
    <n v="3"/>
    <m/>
    <n v="143"/>
    <m/>
    <n v="0"/>
    <m/>
    <n v="0"/>
    <n v="22673762.000000007"/>
    <n v="14"/>
    <n v="3"/>
    <n v="0"/>
    <n v="143"/>
    <n v="14"/>
    <n v="0"/>
    <s v=""/>
    <n v="3"/>
    <n v="2017"/>
    <n v="14"/>
    <n v="2022"/>
    <x v="0"/>
    <n v="14"/>
    <n v="14"/>
    <s v="Increasing"/>
    <n v="0.11672257510323925"/>
    <n v="5.6053037042871567E-2"/>
    <n v="1.6736375196262654"/>
    <n v="3.5493745320048724"/>
    <n v="0"/>
    <n v="1.471113004379062E-3"/>
    <n v="6.1745377763072554E-3"/>
  </r>
  <r>
    <x v="3"/>
    <x v="3"/>
    <n v="17113732.499999996"/>
    <x v="11"/>
    <n v="0"/>
    <n v="17636407.5"/>
    <n v="0"/>
    <m/>
    <n v="0"/>
    <m/>
    <n v="0"/>
    <m/>
    <n v="0"/>
    <m/>
    <n v="699"/>
    <n v="20392723"/>
    <n v="648"/>
    <n v="648"/>
    <m/>
    <n v="800"/>
    <m/>
    <n v="906"/>
    <m/>
    <n v="899"/>
    <n v="22673762.000000007"/>
    <n v="0"/>
    <n v="2"/>
    <n v="0"/>
    <n v="800"/>
    <n v="906"/>
    <n v="0"/>
    <s v=""/>
    <n v="648"/>
    <n v="2018"/>
    <n v="899"/>
    <n v="2021"/>
    <x v="0"/>
    <n v="899"/>
    <n v="899"/>
    <s v="Increasing"/>
    <n v="0.11672257510323925"/>
    <n v="5.6053037042871567E-2"/>
    <n v="1.1157583464175103"/>
    <n v="2.3662496880032484"/>
    <n v="0"/>
    <n v="0.31776040894587743"/>
    <n v="0.39649353292144451"/>
  </r>
  <r>
    <x v="3"/>
    <x v="3"/>
    <n v="17113732.499999996"/>
    <x v="12"/>
    <n v="0"/>
    <n v="17636407.5"/>
    <n v="0"/>
    <m/>
    <n v="0"/>
    <m/>
    <n v="0"/>
    <m/>
    <n v="0"/>
    <m/>
    <n v="0"/>
    <n v="20392723"/>
    <n v="0"/>
    <n v="0"/>
    <m/>
    <n v="0"/>
    <m/>
    <n v="0"/>
    <m/>
    <n v="8"/>
    <n v="22673762.000000007"/>
    <n v="0"/>
    <n v="0"/>
    <n v="0"/>
    <n v="0"/>
    <n v="8"/>
    <n v="0"/>
    <s v=""/>
    <n v="0"/>
    <s v=""/>
    <n v="8"/>
    <n v="2021"/>
    <x v="0"/>
    <n v="8"/>
    <n v="8"/>
    <s v="Increasing"/>
    <n v="0.11672257510323925"/>
    <n v="5.6053037042871567E-2"/>
    <n v="0"/>
    <n v="0"/>
    <n v="0"/>
    <n v="0"/>
    <n v="3.5283073007470033E-3"/>
  </r>
  <r>
    <x v="3"/>
    <x v="3"/>
    <n v="17113732.499999996"/>
    <x v="13"/>
    <n v="109"/>
    <n v="17636407.5"/>
    <n v="0"/>
    <m/>
    <n v="0"/>
    <m/>
    <n v="0"/>
    <m/>
    <n v="0"/>
    <m/>
    <n v="0"/>
    <n v="20392723"/>
    <n v="0"/>
    <n v="128"/>
    <m/>
    <n v="191"/>
    <m/>
    <n v="274"/>
    <m/>
    <n v="209"/>
    <n v="22673762.000000007"/>
    <n v="0"/>
    <n v="128"/>
    <n v="109"/>
    <n v="191"/>
    <n v="274"/>
    <n v="109"/>
    <n v="2012"/>
    <n v="128"/>
    <s v="2018 (triag)"/>
    <n v="209"/>
    <n v="2021"/>
    <x v="0"/>
    <n v="209"/>
    <n v="209"/>
    <s v="Increasing"/>
    <n v="0.11672257510323925"/>
    <n v="5.6053037042871567E-2"/>
    <n v="71.408534170720657"/>
    <n v="151.4399800322079"/>
    <n v="6.1803969997858123E-2"/>
    <n v="6.2767488186839984E-2"/>
    <n v="9.2177028232015457E-2"/>
  </r>
  <r>
    <x v="3"/>
    <x v="3"/>
    <n v="17113732.499999996"/>
    <x v="14"/>
    <n v="0"/>
    <n v="17636407.5"/>
    <n v="0"/>
    <m/>
    <n v="0"/>
    <m/>
    <n v="0"/>
    <m/>
    <n v="0"/>
    <m/>
    <n v="0"/>
    <n v="20392723"/>
    <n v="0"/>
    <n v="4"/>
    <m/>
    <n v="0"/>
    <m/>
    <n v="0"/>
    <m/>
    <n v="0"/>
    <n v="22673762.000000007"/>
    <n v="44"/>
    <n v="4"/>
    <n v="0"/>
    <n v="0"/>
    <n v="44"/>
    <n v="0"/>
    <s v=""/>
    <n v="4"/>
    <s v="2018 (triag)"/>
    <n v="44"/>
    <n v="2022"/>
    <x v="0"/>
    <n v="44"/>
    <n v="44"/>
    <s v="Increasing"/>
    <n v="0.11672257510323925"/>
    <n v="5.6053037042871567E-2"/>
    <n v="2.2315166928350205"/>
    <n v="4.7324993760064968"/>
    <n v="0"/>
    <n v="1.9614840058387495E-3"/>
    <n v="1.9405690154108517E-2"/>
  </r>
  <r>
    <x v="3"/>
    <x v="3"/>
    <n v="17113732.499999996"/>
    <x v="15"/>
    <n v="0"/>
    <n v="17636407.5"/>
    <n v="0"/>
    <m/>
    <n v="0"/>
    <m/>
    <n v="0"/>
    <m/>
    <n v="0"/>
    <m/>
    <n v="3"/>
    <n v="20392723"/>
    <n v="0"/>
    <n v="3"/>
    <m/>
    <n v="0"/>
    <m/>
    <n v="3"/>
    <m/>
    <n v="3"/>
    <n v="22673762.000000007"/>
    <n v="2"/>
    <n v="3"/>
    <n v="0"/>
    <n v="3"/>
    <n v="3"/>
    <n v="0"/>
    <s v=""/>
    <n v="3"/>
    <n v="2017"/>
    <n v="2"/>
    <n v="2022"/>
    <x v="1"/>
    <n v="2.0546664132294241"/>
    <n v="3"/>
    <s v="Decreasing"/>
    <n v="0.11672257510323925"/>
    <n v="5.6053037042871567E-2"/>
    <n v="1.6736375196262654"/>
    <n v="3.5493745320048724"/>
    <n v="0"/>
    <n v="1.471113004379062E-3"/>
    <n v="1.3231152377801262E-3"/>
  </r>
  <r>
    <x v="3"/>
    <x v="3"/>
    <n v="17113732.499999996"/>
    <x v="16"/>
    <n v="0"/>
    <n v="17636407.5"/>
    <n v="0"/>
    <m/>
    <n v="0"/>
    <m/>
    <n v="0"/>
    <m/>
    <n v="0"/>
    <m/>
    <n v="0"/>
    <n v="20392723"/>
    <n v="0"/>
    <n v="871"/>
    <m/>
    <n v="22"/>
    <m/>
    <n v="0"/>
    <m/>
    <n v="0"/>
    <n v="22673762.000000007"/>
    <n v="0"/>
    <n v="871"/>
    <n v="0"/>
    <n v="22"/>
    <n v="0"/>
    <n v="0"/>
    <s v=""/>
    <n v="871"/>
    <s v="2018 (triag)"/>
    <n v="22"/>
    <s v="2018 (triag)"/>
    <x v="1"/>
    <n v="22.601330545523666"/>
    <n v="871"/>
    <s v="Decreasing"/>
    <n v="0.11672257510323925"/>
    <n v="5.6053037042871567E-2"/>
    <n v="485.91275986482572"/>
    <n v="1030.5017391254146"/>
    <n v="0"/>
    <n v="0.42711314227138769"/>
    <n v="0.38414445736882996"/>
  </r>
  <r>
    <x v="3"/>
    <x v="3"/>
    <n v="17113732.499999996"/>
    <x v="17"/>
    <n v="0"/>
    <n v="17636407.5"/>
    <n v="0"/>
    <m/>
    <n v="0"/>
    <m/>
    <n v="0"/>
    <m/>
    <n v="0"/>
    <m/>
    <n v="0"/>
    <n v="20392723"/>
    <n v="0"/>
    <n v="44"/>
    <m/>
    <n v="2079"/>
    <m/>
    <n v="0"/>
    <m/>
    <n v="0"/>
    <n v="22673762.000000007"/>
    <n v="0"/>
    <n v="44"/>
    <n v="0"/>
    <n v="2079"/>
    <n v="0"/>
    <n v="0"/>
    <s v=""/>
    <n v="44"/>
    <s v="2018 (triag)"/>
    <n v="2079"/>
    <s v="2018 (triag)"/>
    <x v="0"/>
    <n v="2079"/>
    <n v="2079"/>
    <s v="Increasing"/>
    <n v="0.11672257510323925"/>
    <n v="5.6053037042871567E-2"/>
    <n v="24.546683621185224"/>
    <n v="52.057493136071464"/>
    <n v="0"/>
    <n v="2.1576324064226243E-2"/>
    <n v="0.91691885978162746"/>
  </r>
  <r>
    <x v="3"/>
    <x v="3"/>
    <n v="17113732.499999996"/>
    <x v="18"/>
    <n v="458"/>
    <n v="17636407.5"/>
    <n v="0"/>
    <m/>
    <n v="0"/>
    <m/>
    <n v="0"/>
    <m/>
    <n v="0"/>
    <m/>
    <n v="0"/>
    <n v="20392723"/>
    <n v="0"/>
    <n v="699"/>
    <m/>
    <n v="0"/>
    <m/>
    <n v="0"/>
    <m/>
    <n v="0"/>
    <n v="22673762.000000007"/>
    <n v="0"/>
    <n v="699"/>
    <n v="458"/>
    <n v="0"/>
    <n v="0"/>
    <n v="458"/>
    <n v="2012"/>
    <n v="699"/>
    <s v="2018 (triag)"/>
    <n v="699"/>
    <s v="2018 (triag)"/>
    <x v="0"/>
    <n v="699"/>
    <n v="699"/>
    <s v="No change"/>
    <n v="0.11672257510323925"/>
    <n v="5.6053037042871567E-2"/>
    <n v="389.95754207291981"/>
    <n v="827.00426595713532"/>
    <n v="0.25969007577081671"/>
    <n v="0.34276933002032145"/>
    <n v="0.3082858504027694"/>
  </r>
  <r>
    <x v="3"/>
    <x v="3"/>
    <n v="17113732.499999996"/>
    <x v="19"/>
    <n v="0"/>
    <n v="17636407.5"/>
    <n v="0"/>
    <m/>
    <n v="0"/>
    <m/>
    <n v="0"/>
    <m/>
    <n v="0"/>
    <m/>
    <n v="0"/>
    <n v="20392723"/>
    <n v="0"/>
    <n v="0"/>
    <m/>
    <n v="0"/>
    <m/>
    <n v="0"/>
    <m/>
    <n v="0"/>
    <n v="22673762.000000007"/>
    <n v="1698"/>
    <n v="0"/>
    <n v="0"/>
    <n v="0"/>
    <n v="1698"/>
    <n v="0"/>
    <s v=""/>
    <n v="0"/>
    <s v=""/>
    <n v="1698"/>
    <n v="2022"/>
    <x v="0"/>
    <n v="1698"/>
    <n v="1698"/>
    <s v="Increasing"/>
    <n v="0.11672257510323925"/>
    <n v="5.6053037042871567E-2"/>
    <n v="0"/>
    <n v="0"/>
    <n v="0"/>
    <n v="0"/>
    <n v="0.74888322458355139"/>
  </r>
  <r>
    <x v="3"/>
    <x v="3"/>
    <n v="17113732.499999996"/>
    <x v="20"/>
    <n v="0"/>
    <n v="17636407.5"/>
    <n v="0"/>
    <m/>
    <n v="0"/>
    <m/>
    <n v="0"/>
    <m/>
    <n v="0"/>
    <m/>
    <n v="18"/>
    <n v="20392723"/>
    <n v="0"/>
    <n v="18"/>
    <m/>
    <n v="0"/>
    <m/>
    <n v="22"/>
    <m/>
    <n v="47"/>
    <n v="22673762.000000007"/>
    <n v="0"/>
    <n v="18"/>
    <n v="0"/>
    <n v="18"/>
    <n v="47"/>
    <n v="0"/>
    <s v=""/>
    <n v="18"/>
    <n v="2017"/>
    <n v="47"/>
    <n v="2021"/>
    <x v="0"/>
    <n v="47"/>
    <n v="47"/>
    <s v="Increasing"/>
    <n v="0.11672257510323925"/>
    <n v="5.6053037042871567E-2"/>
    <n v="10.041825117757591"/>
    <n v="21.296247192029234"/>
    <n v="0"/>
    <n v="8.8266780262743726E-3"/>
    <n v="2.0728805391888643E-2"/>
  </r>
  <r>
    <x v="3"/>
    <x v="3"/>
    <n v="17113732.499999996"/>
    <x v="21"/>
    <n v="0"/>
    <n v="17636407.5"/>
    <n v="0"/>
    <m/>
    <n v="0"/>
    <m/>
    <n v="0"/>
    <m/>
    <n v="0"/>
    <m/>
    <n v="0"/>
    <n v="20392723"/>
    <n v="0"/>
    <n v="0"/>
    <m/>
    <n v="34"/>
    <m/>
    <n v="0"/>
    <m/>
    <n v="0"/>
    <n v="22673762.000000007"/>
    <n v="39"/>
    <n v="0"/>
    <n v="0"/>
    <n v="34"/>
    <n v="39"/>
    <n v="0"/>
    <s v=""/>
    <n v="34"/>
    <n v="2019"/>
    <n v="39"/>
    <n v="2022"/>
    <x v="0"/>
    <n v="39"/>
    <n v="39"/>
    <s v="Increasing"/>
    <n v="0.11672257510323925"/>
    <n v="5.6053037042871567E-2"/>
    <n v="0"/>
    <n v="0"/>
    <n v="0"/>
    <n v="1.6672614049629369E-2"/>
    <n v="1.7200498091141641E-2"/>
  </r>
  <r>
    <x v="3"/>
    <x v="3"/>
    <n v="17113732.499999996"/>
    <x v="22"/>
    <n v="0"/>
    <n v="17636407.5"/>
    <n v="0"/>
    <m/>
    <n v="0"/>
    <m/>
    <n v="0"/>
    <m/>
    <n v="0"/>
    <m/>
    <n v="0"/>
    <n v="20392723"/>
    <n v="0"/>
    <n v="0"/>
    <m/>
    <n v="0"/>
    <m/>
    <n v="0"/>
    <m/>
    <n v="0"/>
    <n v="22673762.000000007"/>
    <n v="0"/>
    <n v="0"/>
    <n v="0"/>
    <n v="0"/>
    <n v="0"/>
    <n v="0"/>
    <s v=""/>
    <n v="0"/>
    <s v=""/>
    <n v="0"/>
    <s v=""/>
    <x v="0"/>
    <n v="0"/>
    <n v="0"/>
    <s v="No change"/>
    <n v="0.11672257510323925"/>
    <n v="5.6053037042871567E-2"/>
    <n v="0"/>
    <n v="0"/>
    <n v="0"/>
    <n v="0"/>
    <n v="0"/>
  </r>
  <r>
    <x v="3"/>
    <x v="3"/>
    <n v="17113732.499999996"/>
    <x v="23"/>
    <n v="0"/>
    <n v="17636407.5"/>
    <n v="0"/>
    <m/>
    <n v="0"/>
    <m/>
    <n v="0"/>
    <m/>
    <n v="0"/>
    <m/>
    <n v="336"/>
    <n v="20392723"/>
    <n v="0"/>
    <n v="336"/>
    <m/>
    <n v="336"/>
    <m/>
    <n v="0"/>
    <m/>
    <n v="50"/>
    <n v="22673762.000000007"/>
    <n v="0"/>
    <n v="336"/>
    <n v="0"/>
    <n v="336"/>
    <n v="50"/>
    <n v="0"/>
    <s v=""/>
    <n v="336"/>
    <n v="2017"/>
    <n v="50"/>
    <n v="2021"/>
    <x v="1"/>
    <n v="51.366660330735606"/>
    <n v="336"/>
    <s v="Decreasing"/>
    <n v="0.11672257510323925"/>
    <n v="5.6053037042871567E-2"/>
    <n v="187.4474021981417"/>
    <n v="397.52994758454571"/>
    <n v="0"/>
    <n v="0.16476465649045496"/>
    <n v="0.14818890663137413"/>
  </r>
  <r>
    <x v="4"/>
    <x v="4"/>
    <n v="2175425.5000000005"/>
    <x v="0"/>
    <n v="1638"/>
    <n v="2217278.0000000009"/>
    <n v="0"/>
    <n v="2260375.5000000019"/>
    <n v="76"/>
    <n v="2305171.5000000005"/>
    <n v="0"/>
    <n v="2352415.5000000005"/>
    <n v="1671"/>
    <n v="2401839.9999999986"/>
    <n v="0"/>
    <n v="2451408.4999999995"/>
    <n v="1850"/>
    <n v="1850"/>
    <n v="2499701.5"/>
    <n v="1840"/>
    <n v="2546401.9999999986"/>
    <n v="2048"/>
    <n v="2588422.9999999981"/>
    <n v="2028"/>
    <n v="2630296.0000000019"/>
    <n v="1984"/>
    <n v="853"/>
    <n v="1638"/>
    <n v="1850"/>
    <n v="2048"/>
    <n v="1638"/>
    <n v="2012"/>
    <n v="1850"/>
    <n v="2018"/>
    <n v="1984"/>
    <n v="2022"/>
    <x v="0"/>
    <n v="1984"/>
    <n v="1984"/>
    <s v="Increasing"/>
    <n v="6.0410507639565125E-2"/>
    <n v="0.33177029268299996"/>
    <n v="630.62223672458776"/>
    <n v="2307.8472106400291"/>
    <n v="7.387436307039529"/>
    <n v="7.54668183617704"/>
    <n v="7.5428773035430181"/>
  </r>
  <r>
    <x v="4"/>
    <x v="4"/>
    <n v="2175426.5"/>
    <x v="1"/>
    <n v="11632"/>
    <n v="2217278.0000000009"/>
    <n v="0"/>
    <m/>
    <n v="0"/>
    <m/>
    <n v="0"/>
    <m/>
    <n v="14854"/>
    <m/>
    <n v="0"/>
    <n v="2451408.4999999995"/>
    <n v="15290"/>
    <n v="15290"/>
    <m/>
    <n v="15526"/>
    <m/>
    <n v="15542"/>
    <m/>
    <n v="15772"/>
    <n v="2630296.0000000019"/>
    <n v="16056"/>
    <n v="6935"/>
    <n v="11632"/>
    <n v="15526"/>
    <n v="16056"/>
    <n v="11632"/>
    <n v="2012"/>
    <n v="15290"/>
    <n v="2018"/>
    <n v="16056"/>
    <n v="2022"/>
    <x v="0"/>
    <n v="16056"/>
    <n v="16056"/>
    <s v="Increasing"/>
    <n v="6.0410507639565125E-2"/>
    <n v="0.33177029268299996"/>
    <n v="5127.0401074853644"/>
    <n v="18763.09543468769"/>
    <n v="52.460719855606719"/>
    <n v="62.372305554133483"/>
    <n v="61.042559468592081"/>
  </r>
  <r>
    <x v="4"/>
    <x v="4"/>
    <n v="2175427.5"/>
    <x v="2"/>
    <n v="0"/>
    <n v="2217278.0000000009"/>
    <n v="3002"/>
    <m/>
    <n v="0"/>
    <m/>
    <n v="0"/>
    <m/>
    <n v="2922"/>
    <m/>
    <n v="0"/>
    <n v="2451408.4999999995"/>
    <n v="0"/>
    <n v="0"/>
    <m/>
    <n v="0"/>
    <m/>
    <n v="0"/>
    <m/>
    <n v="0"/>
    <n v="2630296.0000000019"/>
    <n v="0"/>
    <n v="0"/>
    <n v="3002"/>
    <n v="2922"/>
    <n v="0"/>
    <n v="3002"/>
    <n v="2013"/>
    <n v="0"/>
    <s v=""/>
    <n v="0"/>
    <s v=""/>
    <x v="0"/>
    <n v="0"/>
    <n v="0"/>
    <s v="No change"/>
    <n v="6.0410507639565125E-2"/>
    <n v="0.33177029268299996"/>
    <n v="0"/>
    <n v="0"/>
    <n v="13.539123195196987"/>
    <n v="0"/>
    <n v="0"/>
  </r>
  <r>
    <x v="4"/>
    <x v="4"/>
    <n v="2175428.5"/>
    <x v="3"/>
    <n v="37"/>
    <n v="2217278.0000000009"/>
    <n v="772"/>
    <m/>
    <n v="0"/>
    <m/>
    <n v="30461"/>
    <m/>
    <n v="319"/>
    <m/>
    <n v="74"/>
    <n v="2451408.4999999995"/>
    <n v="0"/>
    <n v="487"/>
    <m/>
    <n v="0"/>
    <m/>
    <n v="2156"/>
    <m/>
    <n v="0"/>
    <n v="2630296.0000000019"/>
    <n v="0"/>
    <n v="487"/>
    <n v="30461"/>
    <n v="319"/>
    <n v="2156"/>
    <n v="772"/>
    <n v="2013"/>
    <n v="487"/>
    <s v="2018 (triag)"/>
    <n v="2156"/>
    <n v="2020"/>
    <x v="0"/>
    <n v="2156"/>
    <n v="2156"/>
    <s v="Increasing"/>
    <n v="6.0410507639565125E-2"/>
    <n v="0.33177029268299996"/>
    <n v="360.03872131872714"/>
    <n v="1317.6103066608371"/>
    <n v="3.4817465378721102"/>
    <n v="1.9866130022801181"/>
    <n v="8.196796102035659"/>
  </r>
  <r>
    <x v="4"/>
    <x v="4"/>
    <n v="2175429.5"/>
    <x v="4"/>
    <n v="6"/>
    <n v="2217278.0000000009"/>
    <n v="422"/>
    <m/>
    <n v="52"/>
    <m/>
    <n v="10523"/>
    <m/>
    <n v="66"/>
    <m/>
    <n v="118"/>
    <n v="2451408.4999999995"/>
    <n v="33"/>
    <n v="94"/>
    <m/>
    <n v="84"/>
    <m/>
    <n v="7018"/>
    <m/>
    <n v="0"/>
    <n v="2630296.0000000019"/>
    <n v="0"/>
    <n v="94"/>
    <n v="10523"/>
    <n v="118"/>
    <n v="7018"/>
    <n v="422"/>
    <n v="2013"/>
    <n v="94"/>
    <s v="2018 (triag)"/>
    <n v="7018"/>
    <n v="2020"/>
    <x v="0"/>
    <n v="7018"/>
    <n v="7018"/>
    <s v="Increasing"/>
    <n v="6.0410507639565125E-2"/>
    <n v="0.33177029268299996"/>
    <n v="69.494126907516119"/>
    <n v="254.32313927334434"/>
    <n v="1.9032345064534073"/>
    <n v="0.38345302302737394"/>
    <n v="26.681407719891581"/>
  </r>
  <r>
    <x v="4"/>
    <x v="4"/>
    <n v="2175430.5"/>
    <x v="5"/>
    <n v="166"/>
    <n v="2217278.0000000009"/>
    <n v="0"/>
    <m/>
    <n v="0"/>
    <m/>
    <n v="0"/>
    <m/>
    <n v="0"/>
    <m/>
    <n v="0"/>
    <n v="2451408.4999999995"/>
    <n v="0"/>
    <n v="0"/>
    <m/>
    <n v="0"/>
    <m/>
    <n v="0"/>
    <m/>
    <n v="0"/>
    <n v="2630296.0000000019"/>
    <n v="0"/>
    <n v="0"/>
    <n v="166"/>
    <n v="0"/>
    <n v="0"/>
    <n v="166"/>
    <n v="2012"/>
    <n v="0"/>
    <s v=""/>
    <n v="0"/>
    <s v=""/>
    <x v="0"/>
    <n v="0"/>
    <n v="0"/>
    <s v="No change"/>
    <n v="6.0410507639565125E-2"/>
    <n v="0.33177029268299996"/>
    <n v="0"/>
    <n v="0"/>
    <n v="0.74866570633001328"/>
    <n v="0"/>
    <n v="0"/>
  </r>
  <r>
    <x v="4"/>
    <x v="4"/>
    <n v="2175431.5"/>
    <x v="6"/>
    <n v="0"/>
    <n v="2217278.0000000009"/>
    <n v="668"/>
    <m/>
    <n v="0"/>
    <m/>
    <n v="0"/>
    <m/>
    <n v="13"/>
    <m/>
    <n v="0"/>
    <n v="2451408.4999999995"/>
    <n v="0"/>
    <n v="0"/>
    <m/>
    <n v="0"/>
    <m/>
    <n v="0"/>
    <m/>
    <n v="0"/>
    <n v="2630296.0000000019"/>
    <n v="0"/>
    <n v="0"/>
    <n v="668"/>
    <n v="13"/>
    <n v="0"/>
    <n v="668"/>
    <n v="2013"/>
    <n v="0"/>
    <s v=""/>
    <n v="0"/>
    <s v=""/>
    <x v="0"/>
    <n v="0"/>
    <n v="0"/>
    <s v="No change"/>
    <n v="6.0410507639565125E-2"/>
    <n v="0.33177029268299996"/>
    <n v="0"/>
    <n v="0"/>
    <n v="3.0127029628219812"/>
    <n v="0"/>
    <n v="0"/>
  </r>
  <r>
    <x v="4"/>
    <x v="4"/>
    <n v="2175432.5"/>
    <x v="7"/>
    <n v="0"/>
    <n v="2217278.0000000009"/>
    <n v="166"/>
    <m/>
    <n v="0"/>
    <m/>
    <n v="14743"/>
    <m/>
    <n v="208"/>
    <m/>
    <n v="0"/>
    <n v="2451408.4999999995"/>
    <n v="0"/>
    <n v="99"/>
    <m/>
    <n v="0"/>
    <m/>
    <n v="0"/>
    <m/>
    <n v="0"/>
    <n v="2630296.0000000019"/>
    <n v="0"/>
    <n v="99"/>
    <n v="14743"/>
    <n v="208"/>
    <n v="0"/>
    <n v="166"/>
    <n v="2013"/>
    <n v="99"/>
    <s v="2018 (triag)"/>
    <n v="99"/>
    <s v="2018 (triag)"/>
    <x v="0"/>
    <n v="99"/>
    <n v="99"/>
    <s v="No change"/>
    <n v="6.0410507639565125E-2"/>
    <n v="0.33177029268299996"/>
    <n v="73.190623019618045"/>
    <n v="267.85096583043713"/>
    <n v="0.74866570633001328"/>
    <n v="0.40384946042244702"/>
    <n v="0.37638349448122921"/>
  </r>
  <r>
    <x v="4"/>
    <x v="4"/>
    <n v="2175433.5"/>
    <x v="8"/>
    <n v="0"/>
    <n v="2217278.0000000009"/>
    <n v="0"/>
    <m/>
    <n v="0"/>
    <m/>
    <n v="0"/>
    <m/>
    <n v="0"/>
    <m/>
    <n v="0"/>
    <n v="2451408.4999999995"/>
    <n v="1563"/>
    <n v="1622"/>
    <m/>
    <n v="1421"/>
    <m/>
    <n v="1423"/>
    <m/>
    <n v="1519"/>
    <n v="2630296.0000000019"/>
    <n v="1563"/>
    <n v="1622"/>
    <n v="0"/>
    <n v="1563"/>
    <n v="1563"/>
    <n v="0"/>
    <s v=""/>
    <n v="1622"/>
    <s v="2018 (triag)"/>
    <n v="1563"/>
    <n v="2022"/>
    <x v="1"/>
    <n v="1796.3537810728089"/>
    <n v="1796.3537810728089"/>
    <s v="Increasing"/>
    <n v="6.0410507639565125E-2"/>
    <n v="0.33177029268299996"/>
    <n v="1199.1433387658633"/>
    <n v="4388.4269351208986"/>
    <n v="0"/>
    <n v="6.6166042909617078"/>
    <n v="6.829473873179321"/>
  </r>
  <r>
    <x v="4"/>
    <x v="4"/>
    <n v="2175434.5"/>
    <x v="9"/>
    <n v="0"/>
    <n v="2217278.0000000009"/>
    <n v="0"/>
    <m/>
    <n v="0"/>
    <m/>
    <n v="0"/>
    <m/>
    <n v="0"/>
    <m/>
    <n v="0"/>
    <n v="2451408.4999999995"/>
    <n v="156"/>
    <n v="156"/>
    <m/>
    <n v="131"/>
    <m/>
    <n v="125"/>
    <m/>
    <n v="147"/>
    <n v="2630296.0000000019"/>
    <n v="159"/>
    <n v="0"/>
    <n v="0"/>
    <n v="156"/>
    <n v="159"/>
    <n v="0"/>
    <s v=""/>
    <n v="156"/>
    <n v="2018"/>
    <n v="159"/>
    <n v="2022"/>
    <x v="0"/>
    <n v="159"/>
    <n v="159"/>
    <s v="Increasing"/>
    <n v="6.0410507639565125E-2"/>
    <n v="0.33177029268299996"/>
    <n v="0"/>
    <n v="0"/>
    <n v="0"/>
    <n v="0.63636884672628014"/>
    <n v="0.6044947032577318"/>
  </r>
  <r>
    <x v="4"/>
    <x v="4"/>
    <n v="2175435.5"/>
    <x v="10"/>
    <n v="0"/>
    <n v="2217278.0000000009"/>
    <n v="0"/>
    <m/>
    <n v="0"/>
    <m/>
    <n v="0"/>
    <m/>
    <n v="0"/>
    <m/>
    <n v="0"/>
    <n v="2451408.4999999995"/>
    <n v="27"/>
    <n v="27"/>
    <m/>
    <n v="33"/>
    <m/>
    <n v="33"/>
    <m/>
    <n v="35"/>
    <n v="2630296.0000000019"/>
    <n v="33"/>
    <n v="0"/>
    <n v="0"/>
    <n v="33"/>
    <n v="35"/>
    <n v="0"/>
    <s v=""/>
    <n v="27"/>
    <n v="2018"/>
    <n v="33"/>
    <n v="2020"/>
    <x v="0"/>
    <n v="33"/>
    <n v="33"/>
    <s v="Increasing"/>
    <n v="6.0410507639565125E-2"/>
    <n v="0.33177029268299996"/>
    <n v="0"/>
    <n v="0"/>
    <n v="0"/>
    <n v="0.11014076193339464"/>
    <n v="0.12546116482707642"/>
  </r>
  <r>
    <x v="4"/>
    <x v="4"/>
    <n v="2175436.5"/>
    <x v="11"/>
    <n v="0"/>
    <n v="2217278.0000000009"/>
    <n v="0"/>
    <m/>
    <n v="0"/>
    <m/>
    <n v="0"/>
    <m/>
    <n v="0"/>
    <m/>
    <n v="0"/>
    <n v="2451408.4999999995"/>
    <n v="160"/>
    <n v="160"/>
    <m/>
    <n v="156"/>
    <m/>
    <n v="167"/>
    <m/>
    <n v="161"/>
    <n v="2630296.0000000019"/>
    <n v="191"/>
    <n v="0"/>
    <n v="0"/>
    <n v="160"/>
    <n v="191"/>
    <n v="0"/>
    <s v=""/>
    <n v="160"/>
    <n v="2018"/>
    <n v="191"/>
    <n v="2022"/>
    <x v="0"/>
    <n v="191"/>
    <n v="191"/>
    <s v="Increasing"/>
    <n v="6.0410507639565125E-2"/>
    <n v="0.33177029268299996"/>
    <n v="0"/>
    <n v="0"/>
    <n v="0"/>
    <n v="0.65268599664233862"/>
    <n v="0.72615401460519979"/>
  </r>
  <r>
    <x v="4"/>
    <x v="4"/>
    <n v="2175437.5"/>
    <x v="12"/>
    <n v="0"/>
    <n v="2217278.0000000009"/>
    <n v="0"/>
    <m/>
    <n v="0"/>
    <m/>
    <n v="0"/>
    <m/>
    <n v="0"/>
    <m/>
    <n v="0"/>
    <n v="2451408.4999999995"/>
    <n v="63"/>
    <n v="63"/>
    <m/>
    <n v="64"/>
    <m/>
    <n v="67"/>
    <m/>
    <n v="66"/>
    <n v="2630296.0000000019"/>
    <n v="63"/>
    <n v="0"/>
    <n v="0"/>
    <n v="64"/>
    <n v="67"/>
    <n v="0"/>
    <s v=""/>
    <n v="63"/>
    <n v="2018"/>
    <n v="63"/>
    <n v="2022"/>
    <x v="0"/>
    <n v="63"/>
    <n v="63"/>
    <s v="No change"/>
    <n v="6.0410507639565125E-2"/>
    <n v="0.33177029268299996"/>
    <n v="0"/>
    <n v="0"/>
    <n v="0"/>
    <n v="0.25699511117792084"/>
    <n v="0.23951676921532769"/>
  </r>
  <r>
    <x v="4"/>
    <x v="4"/>
    <n v="2175438.5"/>
    <x v="13"/>
    <n v="0"/>
    <n v="2217278.0000000009"/>
    <n v="0"/>
    <m/>
    <n v="0"/>
    <m/>
    <n v="0"/>
    <m/>
    <n v="0"/>
    <m/>
    <n v="0"/>
    <n v="2451408.4999999995"/>
    <n v="134"/>
    <n v="134"/>
    <m/>
    <n v="116"/>
    <m/>
    <n v="117"/>
    <m/>
    <n v="123"/>
    <n v="2630296.0000000019"/>
    <n v="82"/>
    <n v="78"/>
    <n v="0"/>
    <n v="134"/>
    <n v="123"/>
    <n v="0"/>
    <s v=""/>
    <n v="134"/>
    <n v="2018"/>
    <n v="82"/>
    <n v="2022"/>
    <x v="1"/>
    <n v="94.242488834274042"/>
    <n v="134"/>
    <s v="Decreasing"/>
    <n v="6.0410507639565125E-2"/>
    <n v="0.33177029268299996"/>
    <n v="57.665339348789971"/>
    <n v="211.03409429064743"/>
    <n v="0"/>
    <n v="0.54662452218795854"/>
    <n v="0.50944836626752243"/>
  </r>
  <r>
    <x v="4"/>
    <x v="4"/>
    <n v="2175439.5"/>
    <x v="14"/>
    <n v="0"/>
    <n v="2217278.0000000009"/>
    <n v="0"/>
    <m/>
    <n v="0"/>
    <m/>
    <n v="0"/>
    <m/>
    <n v="0"/>
    <m/>
    <n v="0"/>
    <n v="2451408.4999999995"/>
    <n v="73"/>
    <n v="73"/>
    <m/>
    <n v="110"/>
    <m/>
    <n v="63"/>
    <m/>
    <n v="62"/>
    <n v="2630296.0000000019"/>
    <n v="74"/>
    <n v="62"/>
    <n v="0"/>
    <n v="110"/>
    <n v="74"/>
    <n v="0"/>
    <s v=""/>
    <n v="73"/>
    <n v="2018"/>
    <n v="74"/>
    <n v="2022"/>
    <x v="0"/>
    <n v="74"/>
    <n v="74"/>
    <s v="Increasing"/>
    <n v="6.0410507639565125E-2"/>
    <n v="0.33177029268299996"/>
    <n v="45.836551790063822"/>
    <n v="167.74504930795052"/>
    <n v="0"/>
    <n v="0.29778798596806699"/>
    <n v="0.28133715749101984"/>
  </r>
  <r>
    <x v="4"/>
    <x v="4"/>
    <n v="2175440.5"/>
    <x v="15"/>
    <n v="0"/>
    <n v="2217278.0000000009"/>
    <n v="0"/>
    <m/>
    <n v="0"/>
    <m/>
    <n v="0"/>
    <m/>
    <n v="0"/>
    <m/>
    <n v="0"/>
    <n v="2451408.4999999995"/>
    <n v="5"/>
    <n v="5"/>
    <m/>
    <n v="3"/>
    <m/>
    <n v="3"/>
    <m/>
    <n v="6"/>
    <n v="2630296.0000000019"/>
    <n v="4"/>
    <n v="1"/>
    <n v="0"/>
    <n v="5"/>
    <n v="6"/>
    <n v="0"/>
    <s v=""/>
    <n v="5"/>
    <n v="2018"/>
    <n v="4"/>
    <n v="2022"/>
    <x v="1"/>
    <n v="4.5971945772816607"/>
    <n v="5"/>
    <s v="Decreasing"/>
    <n v="6.0410507639565125E-2"/>
    <n v="0.33177029268299996"/>
    <n v="0.73929922242038426"/>
    <n v="2.7055653114185567"/>
    <n v="0"/>
    <n v="2.0396437395073082E-2"/>
    <n v="1.9009267398041881E-2"/>
  </r>
  <r>
    <x v="4"/>
    <x v="4"/>
    <n v="2175441.5"/>
    <x v="16"/>
    <n v="0"/>
    <n v="2217278.0000000009"/>
    <n v="0"/>
    <m/>
    <n v="0"/>
    <m/>
    <n v="0"/>
    <m/>
    <n v="0"/>
    <m/>
    <n v="0"/>
    <n v="2451408.4999999995"/>
    <n v="1248"/>
    <n v="1248"/>
    <m/>
    <n v="1376"/>
    <m/>
    <n v="1221"/>
    <m/>
    <n v="1355"/>
    <n v="2630296.0000000019"/>
    <n v="1579"/>
    <n v="0"/>
    <n v="0"/>
    <n v="1376"/>
    <n v="1579"/>
    <n v="0"/>
    <s v=""/>
    <n v="1248"/>
    <n v="2018"/>
    <n v="1579"/>
    <n v="2022"/>
    <x v="0"/>
    <n v="1579"/>
    <n v="1579"/>
    <s v="Increasing"/>
    <n v="6.0410507639565125E-2"/>
    <n v="0.33177029268299996"/>
    <n v="0"/>
    <n v="0"/>
    <n v="0"/>
    <n v="5.0909507738102411"/>
    <n v="6.0031266443016253"/>
  </r>
  <r>
    <x v="4"/>
    <x v="4"/>
    <n v="2175442.5"/>
    <x v="17"/>
    <n v="0"/>
    <n v="2217278.0000000009"/>
    <n v="0"/>
    <m/>
    <n v="0"/>
    <m/>
    <n v="0"/>
    <m/>
    <n v="0"/>
    <m/>
    <n v="0"/>
    <n v="2451408.4999999995"/>
    <n v="3342"/>
    <n v="3342"/>
    <m/>
    <n v="3956"/>
    <m/>
    <n v="3691"/>
    <m/>
    <n v="3629"/>
    <n v="2630296.0000000019"/>
    <n v="3204"/>
    <n v="20"/>
    <n v="0"/>
    <n v="3956"/>
    <n v="3691"/>
    <n v="0"/>
    <s v=""/>
    <n v="3342"/>
    <n v="2018"/>
    <n v="3204"/>
    <n v="2022"/>
    <x v="1"/>
    <n v="3682.3528564026101"/>
    <n v="3682.3528564026101"/>
    <s v="Increasing"/>
    <n v="6.0410507639565125E-2"/>
    <n v="0.33177029268299996"/>
    <n v="14.785984448407685"/>
    <n v="54.111306228371134"/>
    <n v="0"/>
    <n v="13.632978754866848"/>
    <n v="13.999766020260106"/>
  </r>
  <r>
    <x v="4"/>
    <x v="4"/>
    <n v="2175443.5"/>
    <x v="18"/>
    <n v="0"/>
    <n v="2217278.0000000009"/>
    <n v="0"/>
    <m/>
    <n v="0"/>
    <m/>
    <n v="0"/>
    <m/>
    <n v="0"/>
    <m/>
    <n v="0"/>
    <n v="2451408.4999999995"/>
    <n v="318"/>
    <n v="460"/>
    <m/>
    <n v="330"/>
    <m/>
    <n v="338"/>
    <m/>
    <n v="337"/>
    <n v="2630296.0000000019"/>
    <n v="318"/>
    <n v="460"/>
    <n v="0"/>
    <n v="330"/>
    <n v="338"/>
    <n v="0"/>
    <s v=""/>
    <n v="460"/>
    <s v="2018 (triag)"/>
    <n v="318"/>
    <n v="2022"/>
    <x v="1"/>
    <n v="365.47696889389204"/>
    <n v="460"/>
    <s v="Decreasing"/>
    <n v="6.0410507639565125E-2"/>
    <n v="0.33177029268299996"/>
    <n v="340.07764231337677"/>
    <n v="1244.5600432525362"/>
    <n v="0"/>
    <n v="1.8764722403467236"/>
    <n v="1.748852600619853"/>
  </r>
  <r>
    <x v="4"/>
    <x v="4"/>
    <n v="2175444.5"/>
    <x v="19"/>
    <n v="0"/>
    <n v="2217278.0000000009"/>
    <n v="0"/>
    <m/>
    <n v="0"/>
    <m/>
    <n v="0"/>
    <m/>
    <n v="0"/>
    <m/>
    <n v="0"/>
    <n v="2451408.4999999995"/>
    <n v="10"/>
    <n v="58"/>
    <m/>
    <n v="10"/>
    <m/>
    <n v="10"/>
    <m/>
    <n v="11"/>
    <n v="2630296.0000000019"/>
    <n v="6"/>
    <n v="58"/>
    <n v="0"/>
    <n v="10"/>
    <n v="11"/>
    <n v="0"/>
    <s v=""/>
    <n v="58"/>
    <s v="2018 (triag)"/>
    <n v="6"/>
    <n v="2022"/>
    <x v="1"/>
    <n v="6.895791865922491"/>
    <n v="58"/>
    <s v="Decreasing"/>
    <n v="6.0410507639565125E-2"/>
    <n v="0.33177029268299996"/>
    <n v="42.879354900382289"/>
    <n v="156.92278806227628"/>
    <n v="0"/>
    <n v="0.23659867378284774"/>
    <n v="0.22050750181728582"/>
  </r>
  <r>
    <x v="4"/>
    <x v="4"/>
    <n v="2175445.5"/>
    <x v="20"/>
    <n v="0"/>
    <n v="2217278.0000000009"/>
    <n v="0"/>
    <m/>
    <n v="0"/>
    <m/>
    <n v="0"/>
    <m/>
    <n v="0"/>
    <m/>
    <n v="0"/>
    <n v="2451408.4999999995"/>
    <n v="42"/>
    <n v="42"/>
    <m/>
    <n v="38"/>
    <m/>
    <n v="66"/>
    <m/>
    <n v="42"/>
    <n v="2630296.0000000019"/>
    <n v="30"/>
    <n v="38"/>
    <n v="0"/>
    <n v="42"/>
    <n v="66"/>
    <n v="0"/>
    <s v=""/>
    <n v="42"/>
    <n v="2018"/>
    <n v="30"/>
    <n v="2022"/>
    <x v="1"/>
    <n v="34.478959329612458"/>
    <n v="42"/>
    <s v="Decreasing"/>
    <n v="6.0410507639565125E-2"/>
    <n v="0.33177029268299996"/>
    <n v="28.0933704519746"/>
    <n v="102.81148183390516"/>
    <n v="0"/>
    <n v="0.1713300741186139"/>
    <n v="0.15967784614355179"/>
  </r>
  <r>
    <x v="4"/>
    <x v="4"/>
    <n v="2175446.5"/>
    <x v="21"/>
    <n v="0"/>
    <n v="2217278.0000000009"/>
    <n v="0"/>
    <m/>
    <n v="0"/>
    <m/>
    <n v="0"/>
    <m/>
    <n v="0"/>
    <m/>
    <n v="0"/>
    <n v="2451408.4999999995"/>
    <n v="0"/>
    <n v="0"/>
    <m/>
    <n v="0"/>
    <m/>
    <n v="0"/>
    <m/>
    <n v="0"/>
    <n v="2630296.0000000019"/>
    <n v="0"/>
    <n v="0"/>
    <n v="0"/>
    <n v="0"/>
    <n v="0"/>
    <n v="0"/>
    <s v=""/>
    <n v="0"/>
    <s v=""/>
    <n v="0"/>
    <s v=""/>
    <x v="0"/>
    <n v="0"/>
    <n v="0"/>
    <s v="No change"/>
    <n v="6.0410507639565125E-2"/>
    <n v="0.33177029268299996"/>
    <n v="0"/>
    <n v="0"/>
    <n v="0"/>
    <n v="0"/>
    <n v="0"/>
  </r>
  <r>
    <x v="4"/>
    <x v="4"/>
    <n v="2175447.5"/>
    <x v="22"/>
    <n v="0"/>
    <n v="2217278.0000000009"/>
    <n v="0"/>
    <m/>
    <n v="0"/>
    <m/>
    <n v="0"/>
    <m/>
    <n v="0"/>
    <m/>
    <n v="0"/>
    <n v="2451408.4999999995"/>
    <n v="9"/>
    <n v="9"/>
    <m/>
    <n v="8"/>
    <m/>
    <n v="7"/>
    <m/>
    <n v="8"/>
    <n v="2630296.0000000019"/>
    <n v="11"/>
    <n v="0"/>
    <n v="0"/>
    <n v="9"/>
    <n v="11"/>
    <n v="0"/>
    <s v=""/>
    <n v="9"/>
    <n v="2018"/>
    <n v="11"/>
    <n v="2022"/>
    <x v="0"/>
    <n v="11"/>
    <n v="11"/>
    <s v="Increasing"/>
    <n v="6.0410507639565125E-2"/>
    <n v="0.33177029268299996"/>
    <n v="0"/>
    <n v="0"/>
    <n v="0"/>
    <n v="3.6713587311131543E-2"/>
    <n v="4.1820388275692136E-2"/>
  </r>
  <r>
    <x v="4"/>
    <x v="4"/>
    <n v="2175448.5"/>
    <x v="23"/>
    <n v="0"/>
    <n v="2217278.0000000009"/>
    <n v="0"/>
    <m/>
    <n v="0"/>
    <m/>
    <n v="0"/>
    <m/>
    <n v="0"/>
    <m/>
    <n v="0"/>
    <n v="2451408.4999999995"/>
    <n v="0"/>
    <n v="0"/>
    <m/>
    <n v="0"/>
    <m/>
    <n v="0"/>
    <m/>
    <n v="0"/>
    <n v="2630296.0000000019"/>
    <n v="0"/>
    <n v="0"/>
    <n v="0"/>
    <n v="0"/>
    <n v="0"/>
    <n v="0"/>
    <s v=""/>
    <n v="0"/>
    <s v=""/>
    <n v="0"/>
    <s v=""/>
    <x v="0"/>
    <n v="0"/>
    <n v="0"/>
    <s v="No change"/>
    <n v="6.0410507639565125E-2"/>
    <n v="0.33177029268299996"/>
    <n v="0"/>
    <n v="0"/>
    <n v="0"/>
    <n v="0"/>
    <n v="0"/>
  </r>
  <r>
    <x v="5"/>
    <x v="5"/>
    <n v="4773305.4999999991"/>
    <x v="0"/>
    <n v="0"/>
    <n v="4802428.5000000065"/>
    <n v="0"/>
    <n v="4798734.5"/>
    <n v="17"/>
    <n v="4819332.9999999991"/>
    <n v="648"/>
    <n v="4904177.5000000019"/>
    <n v="0"/>
    <n v="4996741.0000000009"/>
    <n v="0"/>
    <n v="5094779.9999999991"/>
    <n v="670"/>
    <n v="670"/>
    <n v="5209324.4999999963"/>
    <n v="0"/>
    <n v="5343019.9999999991"/>
    <n v="0"/>
    <n v="5457154.4999999991"/>
    <n v="561"/>
    <n v="5579143.5000000047"/>
    <n v="0"/>
    <n v="335"/>
    <n v="648"/>
    <n v="670"/>
    <n v="561"/>
    <n v="17"/>
    <n v="2014"/>
    <n v="670"/>
    <n v="2018"/>
    <n v="561"/>
    <n v="2021"/>
    <x v="1"/>
    <n v="720.39081885856081"/>
    <n v="720.39081885856081"/>
    <s v="Increasing"/>
    <n v="1.405403127486049E-2"/>
    <n v="5.4673730437993617E-2"/>
    <n v="312.26755720106013"/>
    <n v="394.71015989436575"/>
    <n v="3.5398757107992292E-2"/>
    <n v="1.3150715045595691"/>
    <n v="1.2912211683720991"/>
  </r>
  <r>
    <x v="5"/>
    <x v="5"/>
    <n v="4773306.5"/>
    <x v="1"/>
    <n v="0"/>
    <n v="4802428.5000000065"/>
    <n v="0"/>
    <m/>
    <n v="0"/>
    <m/>
    <n v="644"/>
    <m/>
    <n v="0"/>
    <m/>
    <n v="0"/>
    <n v="5094779.9999999991"/>
    <n v="2390"/>
    <n v="2390"/>
    <m/>
    <n v="0"/>
    <m/>
    <n v="0"/>
    <m/>
    <n v="1010"/>
    <n v="5579143.5000000047"/>
    <n v="0"/>
    <n v="751"/>
    <n v="644"/>
    <n v="2390"/>
    <n v="1010"/>
    <n v="644"/>
    <n v="2015"/>
    <n v="2390"/>
    <n v="2018"/>
    <n v="1010"/>
    <n v="2021"/>
    <x v="1"/>
    <n v="1296.9602977667494"/>
    <n v="2390"/>
    <s v="Decreasing"/>
    <n v="1.405403127486049E-2"/>
    <n v="5.4673730437993617E-2"/>
    <n v="700.03861330745121"/>
    <n v="884.85770173333935"/>
    <n v="1.3409882104439435"/>
    <n v="4.6910759640259254"/>
    <n v="4.283811663922962"/>
  </r>
  <r>
    <x v="5"/>
    <x v="5"/>
    <n v="4773307.5"/>
    <x v="2"/>
    <n v="0"/>
    <n v="4802428.5000000065"/>
    <n v="1028"/>
    <m/>
    <n v="0"/>
    <m/>
    <n v="1210"/>
    <m/>
    <n v="0"/>
    <m/>
    <n v="0"/>
    <n v="5094779.9999999991"/>
    <n v="0"/>
    <n v="444"/>
    <m/>
    <n v="0"/>
    <m/>
    <n v="0"/>
    <m/>
    <n v="1074"/>
    <n v="5579143.5000000047"/>
    <n v="0"/>
    <n v="444"/>
    <n v="1210"/>
    <n v="0"/>
    <n v="1074"/>
    <n v="1028"/>
    <n v="2013"/>
    <n v="444"/>
    <s v="2018 (triag)"/>
    <n v="1074"/>
    <n v="2021"/>
    <x v="0"/>
    <n v="1074"/>
    <n v="1074"/>
    <s v="Increasing"/>
    <n v="1.405403127486049E-2"/>
    <n v="5.4673730437993617E-2"/>
    <n v="413.87103103662895"/>
    <n v="523.13824177044296"/>
    <n v="2.140583665118593"/>
    <n v="0.87148022093201294"/>
    <n v="1.9250266640390217"/>
  </r>
  <r>
    <x v="5"/>
    <x v="5"/>
    <n v="4773308.5"/>
    <x v="3"/>
    <n v="1603"/>
    <n v="4802428.5000000065"/>
    <n v="382"/>
    <m/>
    <n v="574"/>
    <m/>
    <n v="0"/>
    <m/>
    <n v="29"/>
    <m/>
    <n v="971"/>
    <n v="5094779.9999999991"/>
    <n v="483"/>
    <n v="483"/>
    <m/>
    <n v="1362"/>
    <m/>
    <n v="105"/>
    <m/>
    <n v="0"/>
    <n v="5579143.5000000047"/>
    <n v="2695"/>
    <n v="36"/>
    <n v="1603"/>
    <n v="1362"/>
    <n v="2695"/>
    <n v="382"/>
    <n v="2013"/>
    <n v="483"/>
    <n v="2018"/>
    <n v="2695"/>
    <n v="2022"/>
    <x v="0"/>
    <n v="2695"/>
    <n v="2695"/>
    <s v="Increasing"/>
    <n v="1.405403127486049E-2"/>
    <n v="5.4673730437993617E-2"/>
    <n v="33.557110624591537"/>
    <n v="42.416614197603479"/>
    <n v="0.79543089501488562"/>
    <n v="0.94802915925712217"/>
    <n v="4.830490558272964"/>
  </r>
  <r>
    <x v="5"/>
    <x v="5"/>
    <n v="4773309.5"/>
    <x v="4"/>
    <n v="171"/>
    <n v="4802428.5000000065"/>
    <n v="50"/>
    <m/>
    <n v="110"/>
    <m/>
    <n v="0"/>
    <m/>
    <n v="10"/>
    <m/>
    <n v="405"/>
    <n v="5094779.9999999991"/>
    <n v="21"/>
    <n v="21"/>
    <m/>
    <n v="446"/>
    <m/>
    <n v="0"/>
    <m/>
    <n v="0"/>
    <n v="5579143.5000000047"/>
    <n v="488"/>
    <n v="10"/>
    <n v="171"/>
    <n v="446"/>
    <n v="488"/>
    <n v="50"/>
    <n v="2013"/>
    <n v="21"/>
    <n v="2018"/>
    <n v="488"/>
    <n v="2022"/>
    <x v="0"/>
    <n v="488"/>
    <n v="488"/>
    <s v="Increasing"/>
    <n v="1.405403127486049E-2"/>
    <n v="5.4673730437993617E-2"/>
    <n v="9.3214196179420927"/>
    <n v="11.782392832667634"/>
    <n v="0.10411399149409498"/>
    <n v="4.1218659098135747E-2"/>
    <n v="0.87468623096000231"/>
  </r>
  <r>
    <x v="5"/>
    <x v="5"/>
    <n v="4773310.5"/>
    <x v="5"/>
    <n v="0"/>
    <n v="4802428.5000000065"/>
    <n v="0"/>
    <m/>
    <n v="0"/>
    <m/>
    <n v="0"/>
    <m/>
    <n v="0"/>
    <m/>
    <n v="0"/>
    <n v="5094779.9999999991"/>
    <n v="115"/>
    <n v="115"/>
    <m/>
    <n v="0"/>
    <m/>
    <n v="0"/>
    <m/>
    <n v="1595"/>
    <n v="5579143.5000000047"/>
    <n v="0"/>
    <n v="115"/>
    <n v="0"/>
    <n v="115"/>
    <n v="1595"/>
    <n v="0"/>
    <s v=""/>
    <n v="115"/>
    <n v="2018"/>
    <n v="1595"/>
    <n v="2021"/>
    <x v="0"/>
    <n v="1595"/>
    <n v="1595"/>
    <s v="Increasing"/>
    <n v="1.405403127486049E-2"/>
    <n v="5.4673730437993617E-2"/>
    <n v="107.19632560633407"/>
    <n v="135.49751757567779"/>
    <n v="0"/>
    <n v="0.22572122839455289"/>
    <n v="2.8588617589778766"/>
  </r>
  <r>
    <x v="5"/>
    <x v="5"/>
    <n v="4773311.5"/>
    <x v="6"/>
    <n v="15"/>
    <n v="4802428.5000000065"/>
    <n v="44"/>
    <m/>
    <n v="44"/>
    <m/>
    <n v="0"/>
    <m/>
    <n v="11"/>
    <m/>
    <n v="55"/>
    <n v="5094779.9999999991"/>
    <n v="77"/>
    <n v="77"/>
    <m/>
    <n v="0"/>
    <m/>
    <n v="0"/>
    <m/>
    <n v="0"/>
    <n v="5579143.5000000047"/>
    <n v="1634"/>
    <n v="0"/>
    <n v="44"/>
    <n v="77"/>
    <n v="1634"/>
    <n v="44"/>
    <n v="2013"/>
    <n v="77"/>
    <n v="2018"/>
    <n v="1634"/>
    <n v="2022"/>
    <x v="0"/>
    <n v="1634"/>
    <n v="1634"/>
    <s v="Increasing"/>
    <n v="1.405403127486049E-2"/>
    <n v="5.4673730437993617E-2"/>
    <n v="0"/>
    <n v="0"/>
    <n v="9.1620312514803584E-2"/>
    <n v="0.15113508335983106"/>
    <n v="2.9287649618619751"/>
  </r>
  <r>
    <x v="5"/>
    <x v="5"/>
    <n v="4773312.5"/>
    <x v="7"/>
    <n v="11"/>
    <n v="4802428.5000000065"/>
    <n v="257"/>
    <m/>
    <n v="0"/>
    <m/>
    <n v="0"/>
    <m/>
    <n v="0"/>
    <m/>
    <n v="669"/>
    <n v="5094779.9999999991"/>
    <n v="0"/>
    <n v="105"/>
    <m/>
    <n v="0"/>
    <m/>
    <n v="0"/>
    <m/>
    <n v="0"/>
    <n v="5579143.5000000047"/>
    <n v="47"/>
    <n v="105"/>
    <n v="257"/>
    <n v="669"/>
    <n v="47"/>
    <n v="257"/>
    <n v="2013"/>
    <n v="105"/>
    <s v="2018 (triag)"/>
    <n v="47"/>
    <n v="2022"/>
    <x v="1"/>
    <n v="60.353598014888341"/>
    <n v="105"/>
    <s v="Decreasing"/>
    <n v="1.405403127486049E-2"/>
    <n v="5.4673730437993617E-2"/>
    <n v="97.874905988391973"/>
    <n v="123.71512474301016"/>
    <n v="0.53514591627964825"/>
    <n v="0.20609329549067873"/>
    <n v="0.18820093084180378"/>
  </r>
  <r>
    <x v="5"/>
    <x v="5"/>
    <n v="4773313.5"/>
    <x v="8"/>
    <n v="0"/>
    <n v="4802428.5000000065"/>
    <n v="0"/>
    <m/>
    <n v="0"/>
    <m/>
    <n v="0"/>
    <m/>
    <n v="0"/>
    <m/>
    <n v="0"/>
    <n v="5094779.9999999991"/>
    <n v="0"/>
    <n v="79"/>
    <m/>
    <n v="0"/>
    <m/>
    <n v="0"/>
    <m/>
    <n v="308"/>
    <n v="5579143.5000000047"/>
    <n v="0"/>
    <n v="79"/>
    <n v="0"/>
    <n v="0"/>
    <n v="308"/>
    <n v="0"/>
    <s v=""/>
    <n v="79"/>
    <s v="2018 (triag)"/>
    <n v="308"/>
    <n v="2021"/>
    <x v="0"/>
    <n v="308"/>
    <n v="308"/>
    <s v="Increasing"/>
    <n v="1.405403127486049E-2"/>
    <n v="5.4673730437993617E-2"/>
    <n v="73.639214981742541"/>
    <n v="93.080903378074311"/>
    <n v="0"/>
    <n v="0.15506066994060591"/>
    <n v="0.5520560638026244"/>
  </r>
  <r>
    <x v="5"/>
    <x v="5"/>
    <n v="4773314.5"/>
    <x v="9"/>
    <n v="0"/>
    <n v="4802428.5000000065"/>
    <n v="0"/>
    <m/>
    <n v="0"/>
    <m/>
    <n v="0"/>
    <m/>
    <n v="0"/>
    <m/>
    <n v="0"/>
    <n v="5094779.9999999991"/>
    <n v="0"/>
    <n v="22"/>
    <m/>
    <n v="0"/>
    <m/>
    <n v="0"/>
    <m/>
    <n v="0"/>
    <n v="5579143.5000000047"/>
    <n v="0"/>
    <n v="22"/>
    <n v="0"/>
    <n v="0"/>
    <n v="0"/>
    <n v="0"/>
    <s v=""/>
    <n v="22"/>
    <s v="2018 (triag)"/>
    <n v="22"/>
    <s v="2018 (triag)"/>
    <x v="0"/>
    <n v="22"/>
    <n v="22"/>
    <s v="No change"/>
    <n v="1.405403127486049E-2"/>
    <n v="5.4673730437993617E-2"/>
    <n v="20.507123159472606"/>
    <n v="25.921264231868797"/>
    <n v="0"/>
    <n v="4.318145238852316E-2"/>
    <n v="3.9432575985901747E-2"/>
  </r>
  <r>
    <x v="5"/>
    <x v="5"/>
    <n v="4773315.5"/>
    <x v="10"/>
    <n v="0"/>
    <n v="4802428.5000000065"/>
    <n v="0"/>
    <m/>
    <n v="0"/>
    <m/>
    <n v="0"/>
    <m/>
    <n v="0"/>
    <m/>
    <n v="0"/>
    <n v="5094779.9999999991"/>
    <n v="1"/>
    <n v="1"/>
    <m/>
    <n v="0"/>
    <m/>
    <n v="0"/>
    <m/>
    <n v="0"/>
    <n v="5579143.5000000047"/>
    <n v="0"/>
    <n v="0"/>
    <n v="0"/>
    <n v="1"/>
    <n v="0"/>
    <n v="0"/>
    <s v=""/>
    <n v="1"/>
    <n v="2018"/>
    <n v="1"/>
    <n v="2018"/>
    <x v="0"/>
    <n v="1"/>
    <n v="1"/>
    <s v="No change"/>
    <n v="1.405403127486049E-2"/>
    <n v="5.4673730437993617E-2"/>
    <n v="0"/>
    <n v="0"/>
    <n v="0"/>
    <n v="1.9627932903874164E-3"/>
    <n v="1.7923898175409884E-3"/>
  </r>
  <r>
    <x v="5"/>
    <x v="5"/>
    <n v="4773316.5"/>
    <x v="11"/>
    <n v="0"/>
    <n v="4802428.5000000065"/>
    <n v="0"/>
    <m/>
    <n v="0"/>
    <m/>
    <n v="0"/>
    <m/>
    <n v="0"/>
    <m/>
    <n v="0"/>
    <n v="5094779.9999999991"/>
    <n v="112"/>
    <n v="112"/>
    <m/>
    <n v="0"/>
    <m/>
    <n v="0"/>
    <m/>
    <n v="0"/>
    <n v="5579143.5000000047"/>
    <n v="0"/>
    <n v="3"/>
    <n v="0"/>
    <n v="112"/>
    <n v="0"/>
    <n v="0"/>
    <s v=""/>
    <n v="112"/>
    <n v="2018"/>
    <n v="112"/>
    <n v="2018"/>
    <x v="0"/>
    <n v="112"/>
    <n v="112"/>
    <s v="No change"/>
    <n v="1.405403127486049E-2"/>
    <n v="5.4673730437993617E-2"/>
    <n v="2.7964258853826278"/>
    <n v="3.5347178498002902"/>
    <n v="0"/>
    <n v="0.21983284852339066"/>
    <n v="0.2007476595645907"/>
  </r>
  <r>
    <x v="5"/>
    <x v="5"/>
    <n v="4773317.5"/>
    <x v="12"/>
    <n v="0"/>
    <n v="4802428.5000000065"/>
    <n v="0"/>
    <m/>
    <n v="0"/>
    <m/>
    <n v="0"/>
    <m/>
    <n v="0"/>
    <m/>
    <n v="0"/>
    <n v="5094779.9999999991"/>
    <n v="0"/>
    <n v="104"/>
    <m/>
    <n v="0"/>
    <m/>
    <n v="0"/>
    <m/>
    <n v="0"/>
    <n v="5579143.5000000047"/>
    <n v="0"/>
    <n v="104"/>
    <n v="0"/>
    <n v="0"/>
    <n v="0"/>
    <n v="0"/>
    <s v=""/>
    <n v="104"/>
    <s v="2018 (triag)"/>
    <n v="104"/>
    <s v="2018 (triag)"/>
    <x v="0"/>
    <n v="104"/>
    <n v="104"/>
    <s v="No change"/>
    <n v="1.405403127486049E-2"/>
    <n v="5.4673730437993617E-2"/>
    <n v="96.942764026597771"/>
    <n v="122.53688545974339"/>
    <n v="0"/>
    <n v="0.2041305022002913"/>
    <n v="0.1864085410242628"/>
  </r>
  <r>
    <x v="5"/>
    <x v="5"/>
    <n v="4773318.5"/>
    <x v="13"/>
    <n v="0"/>
    <n v="4802428.5000000065"/>
    <n v="0"/>
    <m/>
    <n v="0"/>
    <m/>
    <n v="0"/>
    <m/>
    <n v="0"/>
    <m/>
    <n v="0"/>
    <n v="5094779.9999999991"/>
    <n v="0"/>
    <n v="3"/>
    <m/>
    <n v="0"/>
    <m/>
    <n v="0"/>
    <m/>
    <n v="0"/>
    <n v="5579143.5000000047"/>
    <n v="0"/>
    <n v="3"/>
    <n v="0"/>
    <n v="0"/>
    <n v="0"/>
    <n v="0"/>
    <s v=""/>
    <n v="3"/>
    <s v="2018 (triag)"/>
    <n v="3"/>
    <s v="2018 (triag)"/>
    <x v="0"/>
    <n v="3"/>
    <n v="3"/>
    <s v="No change"/>
    <n v="1.405403127486049E-2"/>
    <n v="5.4673730437993617E-2"/>
    <n v="2.7964258853826278"/>
    <n v="3.5347178498002902"/>
    <n v="0"/>
    <n v="5.8883798711622491E-3"/>
    <n v="5.3771694526229654E-3"/>
  </r>
  <r>
    <x v="5"/>
    <x v="5"/>
    <n v="4773319.5"/>
    <x v="14"/>
    <n v="0"/>
    <n v="4802428.5000000065"/>
    <n v="0"/>
    <m/>
    <n v="0"/>
    <m/>
    <n v="0"/>
    <m/>
    <n v="0"/>
    <m/>
    <n v="0"/>
    <n v="5094779.9999999991"/>
    <n v="0"/>
    <n v="20"/>
    <m/>
    <n v="0"/>
    <m/>
    <n v="0"/>
    <m/>
    <n v="0"/>
    <n v="5579143.5000000047"/>
    <n v="0"/>
    <n v="20"/>
    <n v="0"/>
    <n v="0"/>
    <n v="0"/>
    <n v="0"/>
    <s v=""/>
    <n v="20"/>
    <s v="2018 (triag)"/>
    <n v="20"/>
    <s v="2018 (triag)"/>
    <x v="0"/>
    <n v="20"/>
    <n v="20"/>
    <s v="No change"/>
    <n v="1.405403127486049E-2"/>
    <n v="5.4673730437993617E-2"/>
    <n v="18.642839235884185"/>
    <n v="23.564785665335268"/>
    <n v="0"/>
    <n v="3.9255865807748327E-2"/>
    <n v="3.584779635081977E-2"/>
  </r>
  <r>
    <x v="5"/>
    <x v="5"/>
    <n v="4773320.5"/>
    <x v="15"/>
    <n v="0"/>
    <n v="4802428.5000000065"/>
    <n v="0"/>
    <m/>
    <n v="0"/>
    <m/>
    <n v="0"/>
    <m/>
    <n v="0"/>
    <m/>
    <n v="0"/>
    <n v="5094779.9999999991"/>
    <n v="0"/>
    <n v="0"/>
    <m/>
    <n v="0"/>
    <m/>
    <n v="0"/>
    <m/>
    <n v="0"/>
    <n v="5579143.5000000047"/>
    <n v="0"/>
    <n v="0"/>
    <n v="0"/>
    <n v="0"/>
    <n v="0"/>
    <n v="0"/>
    <s v=""/>
    <n v="0"/>
    <s v=""/>
    <n v="0"/>
    <s v=""/>
    <x v="0"/>
    <n v="0"/>
    <n v="0"/>
    <s v="No change"/>
    <n v="1.405403127486049E-2"/>
    <n v="5.4673730437993617E-2"/>
    <n v="0"/>
    <n v="0"/>
    <n v="0"/>
    <n v="0"/>
    <n v="0"/>
  </r>
  <r>
    <x v="5"/>
    <x v="5"/>
    <n v="4773321.5"/>
    <x v="16"/>
    <n v="0"/>
    <n v="4802428.5000000065"/>
    <n v="0"/>
    <m/>
    <n v="0"/>
    <m/>
    <n v="0"/>
    <m/>
    <n v="0"/>
    <m/>
    <n v="0"/>
    <n v="5094779.9999999991"/>
    <n v="0"/>
    <n v="65"/>
    <m/>
    <n v="0"/>
    <m/>
    <n v="0"/>
    <m/>
    <n v="0"/>
    <n v="5579143.5000000047"/>
    <n v="0"/>
    <n v="65"/>
    <n v="0"/>
    <n v="0"/>
    <n v="0"/>
    <n v="0"/>
    <s v=""/>
    <n v="65"/>
    <s v="2018 (triag)"/>
    <n v="65"/>
    <s v="2018 (triag)"/>
    <x v="0"/>
    <n v="65"/>
    <n v="65"/>
    <s v="No change"/>
    <n v="1.405403127486049E-2"/>
    <n v="5.4673730437993617E-2"/>
    <n v="60.589227516623602"/>
    <n v="76.585553412339621"/>
    <n v="0"/>
    <n v="0.12758156387518207"/>
    <n v="0.11650533814016426"/>
  </r>
  <r>
    <x v="5"/>
    <x v="5"/>
    <n v="4773322.5"/>
    <x v="17"/>
    <n v="0"/>
    <n v="4802428.5000000065"/>
    <n v="0"/>
    <m/>
    <n v="0"/>
    <m/>
    <n v="0"/>
    <m/>
    <n v="0"/>
    <m/>
    <n v="0"/>
    <n v="5094779.9999999991"/>
    <n v="0"/>
    <n v="14"/>
    <m/>
    <n v="0"/>
    <m/>
    <n v="0"/>
    <m/>
    <n v="0"/>
    <n v="5579143.5000000047"/>
    <n v="0"/>
    <n v="14"/>
    <n v="0"/>
    <n v="0"/>
    <n v="0"/>
    <n v="0"/>
    <s v=""/>
    <n v="14"/>
    <s v="2018 (triag)"/>
    <n v="14"/>
    <s v="2018 (triag)"/>
    <x v="0"/>
    <n v="14"/>
    <n v="14"/>
    <s v="No change"/>
    <n v="1.405403127486049E-2"/>
    <n v="5.4673730437993617E-2"/>
    <n v="13.04998746511893"/>
    <n v="16.49534996573469"/>
    <n v="0"/>
    <n v="2.7479106065423833E-2"/>
    <n v="2.5093457445573838E-2"/>
  </r>
  <r>
    <x v="5"/>
    <x v="5"/>
    <n v="4773323.5"/>
    <x v="18"/>
    <n v="0"/>
    <n v="4802428.5000000065"/>
    <n v="0"/>
    <m/>
    <n v="0"/>
    <m/>
    <n v="0"/>
    <m/>
    <n v="0"/>
    <m/>
    <n v="0"/>
    <n v="5094779.9999999991"/>
    <n v="0"/>
    <n v="112"/>
    <m/>
    <n v="0"/>
    <m/>
    <n v="0"/>
    <m/>
    <n v="47"/>
    <n v="5579143.5000000047"/>
    <n v="0"/>
    <n v="112"/>
    <n v="0"/>
    <n v="0"/>
    <n v="47"/>
    <n v="0"/>
    <s v=""/>
    <n v="112"/>
    <s v="2018 (triag)"/>
    <n v="47"/>
    <n v="2021"/>
    <x v="1"/>
    <n v="60.353598014888341"/>
    <n v="112"/>
    <s v="Decreasing"/>
    <n v="1.405403127486049E-2"/>
    <n v="5.4673730437993617E-2"/>
    <n v="104.39989972095144"/>
    <n v="131.96279972587752"/>
    <n v="0"/>
    <n v="0.21983284852339066"/>
    <n v="0.2007476595645907"/>
  </r>
  <r>
    <x v="5"/>
    <x v="5"/>
    <n v="4773324.5"/>
    <x v="19"/>
    <n v="0"/>
    <n v="4802428.5000000065"/>
    <n v="0"/>
    <m/>
    <n v="0"/>
    <m/>
    <n v="0"/>
    <m/>
    <n v="0"/>
    <m/>
    <n v="0"/>
    <n v="5094779.9999999991"/>
    <n v="0"/>
    <n v="200"/>
    <m/>
    <n v="0"/>
    <m/>
    <n v="0"/>
    <m/>
    <n v="0"/>
    <n v="5579143.5000000047"/>
    <n v="0"/>
    <n v="200"/>
    <n v="0"/>
    <n v="0"/>
    <n v="0"/>
    <n v="0"/>
    <s v=""/>
    <n v="200"/>
    <s v="2018 (triag)"/>
    <n v="200"/>
    <s v="2018 (triag)"/>
    <x v="0"/>
    <n v="200"/>
    <n v="200"/>
    <s v="No change"/>
    <n v="1.405403127486049E-2"/>
    <n v="5.4673730437993617E-2"/>
    <n v="186.42839235884188"/>
    <n v="235.64785665335268"/>
    <n v="0"/>
    <n v="0.3925586580774833"/>
    <n v="0.35847796350819766"/>
  </r>
  <r>
    <x v="5"/>
    <x v="5"/>
    <n v="4773325.5"/>
    <x v="20"/>
    <n v="0"/>
    <n v="4802428.5000000065"/>
    <n v="0"/>
    <m/>
    <n v="0"/>
    <m/>
    <n v="0"/>
    <m/>
    <n v="0"/>
    <m/>
    <n v="0"/>
    <n v="5094779.9999999991"/>
    <n v="0"/>
    <n v="0"/>
    <m/>
    <n v="0"/>
    <m/>
    <n v="0"/>
    <m/>
    <n v="155"/>
    <n v="5579143.5000000047"/>
    <n v="0"/>
    <n v="0"/>
    <n v="0"/>
    <n v="0"/>
    <n v="155"/>
    <n v="0"/>
    <s v=""/>
    <n v="0"/>
    <s v=""/>
    <n v="155"/>
    <n v="2021"/>
    <x v="0"/>
    <n v="155"/>
    <n v="155"/>
    <s v="Increasing"/>
    <n v="1.405403127486049E-2"/>
    <n v="5.4673730437993617E-2"/>
    <n v="0"/>
    <n v="0"/>
    <n v="0"/>
    <n v="0"/>
    <n v="0.27782042171885318"/>
  </r>
  <r>
    <x v="5"/>
    <x v="5"/>
    <n v="4773326.5"/>
    <x v="21"/>
    <n v="0"/>
    <n v="4802428.5000000065"/>
    <n v="0"/>
    <m/>
    <n v="0"/>
    <m/>
    <n v="83"/>
    <m/>
    <n v="0"/>
    <m/>
    <n v="0"/>
    <n v="5094779.9999999991"/>
    <n v="0"/>
    <n v="0"/>
    <m/>
    <n v="0"/>
    <m/>
    <n v="0"/>
    <m/>
    <n v="0"/>
    <n v="5579143.5000000047"/>
    <n v="0"/>
    <n v="0"/>
    <n v="83"/>
    <n v="0"/>
    <n v="0"/>
    <n v="83"/>
    <n v="2015"/>
    <n v="0"/>
    <s v=""/>
    <n v="0"/>
    <s v=""/>
    <x v="0"/>
    <n v="0"/>
    <n v="0"/>
    <s v="No change"/>
    <n v="1.405403127486049E-2"/>
    <n v="5.4673730437993617E-2"/>
    <n v="0"/>
    <n v="0"/>
    <n v="0.17282922588019767"/>
    <n v="0"/>
    <n v="0"/>
  </r>
  <r>
    <x v="5"/>
    <x v="5"/>
    <n v="4773327.5"/>
    <x v="22"/>
    <n v="0"/>
    <n v="4802428.5000000065"/>
    <n v="0"/>
    <m/>
    <n v="0"/>
    <m/>
    <n v="0"/>
    <m/>
    <n v="0"/>
    <m/>
    <n v="0"/>
    <n v="5094779.9999999991"/>
    <n v="0"/>
    <n v="0"/>
    <m/>
    <n v="0"/>
    <m/>
    <n v="0"/>
    <m/>
    <n v="0"/>
    <n v="5579143.5000000047"/>
    <n v="0"/>
    <n v="0"/>
    <n v="0"/>
    <n v="0"/>
    <n v="0"/>
    <n v="0"/>
    <s v=""/>
    <n v="0"/>
    <s v=""/>
    <n v="0"/>
    <s v=""/>
    <x v="0"/>
    <n v="0"/>
    <n v="0"/>
    <s v="No change"/>
    <n v="1.405403127486049E-2"/>
    <n v="5.4673730437993617E-2"/>
    <n v="0"/>
    <n v="0"/>
    <n v="0"/>
    <n v="0"/>
    <n v="0"/>
  </r>
  <r>
    <x v="5"/>
    <x v="5"/>
    <n v="4773328.5"/>
    <x v="23"/>
    <n v="0"/>
    <n v="4802428.5000000065"/>
    <n v="0"/>
    <m/>
    <n v="0"/>
    <m/>
    <n v="0"/>
    <m/>
    <n v="0"/>
    <m/>
    <n v="0"/>
    <n v="5094779.9999999991"/>
    <n v="0"/>
    <n v="0"/>
    <m/>
    <n v="0"/>
    <m/>
    <n v="0"/>
    <m/>
    <n v="0"/>
    <n v="5579143.5000000047"/>
    <n v="0"/>
    <n v="0"/>
    <n v="0"/>
    <n v="0"/>
    <n v="0"/>
    <n v="0"/>
    <s v=""/>
    <n v="0"/>
    <s v=""/>
    <n v="0"/>
    <s v=""/>
    <x v="0"/>
    <n v="0"/>
    <n v="0"/>
    <s v="No change"/>
    <n v="1.405403127486049E-2"/>
    <n v="5.4673730437993617E-2"/>
    <n v="0"/>
    <n v="0"/>
    <n v="0"/>
    <n v="0"/>
    <n v="0"/>
  </r>
  <r>
    <x v="6"/>
    <x v="6"/>
    <n v="22010711.499999996"/>
    <x v="0"/>
    <n v="0"/>
    <n v="22469267.5"/>
    <n v="0"/>
    <n v="22995555.5"/>
    <n v="11036"/>
    <n v="23596741"/>
    <n v="0"/>
    <n v="24213621.500000015"/>
    <n v="0"/>
    <n v="24848015.5"/>
    <n v="0"/>
    <n v="25493988.499999996"/>
    <n v="11204"/>
    <n v="11204"/>
    <n v="26147550.999999996"/>
    <n v="8346"/>
    <n v="26811790.500000004"/>
    <n v="8870"/>
    <n v="27478249.000000004"/>
    <n v="9902"/>
    <n v="28160542.500000004"/>
    <n v="9860"/>
    <n v="5602"/>
    <n v="11036"/>
    <n v="11204"/>
    <n v="9902"/>
    <n v="11036"/>
    <n v="2014"/>
    <n v="11204"/>
    <n v="2018"/>
    <n v="9860"/>
    <n v="2022"/>
    <x v="1"/>
    <n v="12655.103959358961"/>
    <n v="12655.103959358961"/>
    <s v="Increasing"/>
    <n v="6.6569375282258259E-2"/>
    <n v="5.4673730437993617E-2"/>
    <n v="4015.9615190217469"/>
    <n v="6600.4964648604091"/>
    <n v="4.9115975854575584"/>
    <n v="4.3947615336846964"/>
    <n v="4.4939134107089593"/>
  </r>
  <r>
    <x v="6"/>
    <x v="6"/>
    <n v="22010712.5"/>
    <x v="1"/>
    <n v="0"/>
    <n v="22469267.5"/>
    <n v="17560"/>
    <m/>
    <n v="17736"/>
    <m/>
    <n v="21782"/>
    <m/>
    <n v="24264"/>
    <m/>
    <n v="27166"/>
    <n v="25493988.499999996"/>
    <n v="30326"/>
    <n v="30326"/>
    <m/>
    <n v="22518"/>
    <m/>
    <n v="26792"/>
    <m/>
    <n v="25774"/>
    <n v="28160542.500000004"/>
    <n v="29958"/>
    <n v="11730"/>
    <n v="21782"/>
    <n v="30326"/>
    <n v="29958"/>
    <n v="17560"/>
    <n v="2013"/>
    <n v="30326"/>
    <n v="2018"/>
    <n v="29958"/>
    <n v="2022"/>
    <x v="1"/>
    <n v="38450.466979155754"/>
    <n v="38450.466979155754"/>
    <s v="Increasing"/>
    <n v="6.6569375282258259E-2"/>
    <n v="5.4673730437993617E-2"/>
    <n v="8409.0018954168318"/>
    <n v="13820.746792719136"/>
    <n v="7.8151190286910781"/>
    <n v="11.895353290835605"/>
    <n v="13.654022105275759"/>
  </r>
  <r>
    <x v="6"/>
    <x v="6"/>
    <n v="22010713.5"/>
    <x v="2"/>
    <n v="0"/>
    <n v="22469267.5"/>
    <n v="7702"/>
    <m/>
    <n v="10600"/>
    <m/>
    <n v="0"/>
    <m/>
    <n v="0"/>
    <m/>
    <n v="0"/>
    <n v="25493988.499999996"/>
    <n v="0"/>
    <n v="5460"/>
    <m/>
    <n v="11202"/>
    <m/>
    <n v="12690"/>
    <m/>
    <n v="14148"/>
    <n v="28160542.500000004"/>
    <n v="14850"/>
    <n v="5460"/>
    <n v="10600"/>
    <n v="11202"/>
    <n v="14850"/>
    <n v="7702"/>
    <n v="2013"/>
    <n v="5460"/>
    <s v="2018 (triag)"/>
    <n v="14850"/>
    <n v="2022"/>
    <x v="0"/>
    <n v="14850"/>
    <n v="14850"/>
    <s v="Increasing"/>
    <n v="6.6569375282258259E-2"/>
    <n v="5.4673730437993617E-2"/>
    <n v="3914.1645651300851"/>
    <n v="6433.1864866365286"/>
    <n v="3.4277930956138203"/>
    <n v="2.1416813614707642"/>
    <n v="5.2733359096331327"/>
  </r>
  <r>
    <x v="6"/>
    <x v="6"/>
    <n v="22010714.5"/>
    <x v="3"/>
    <n v="0"/>
    <n v="22469267.5"/>
    <n v="255"/>
    <m/>
    <n v="0"/>
    <m/>
    <n v="0"/>
    <m/>
    <n v="0"/>
    <m/>
    <n v="0"/>
    <n v="25493988.499999996"/>
    <n v="2646"/>
    <n v="2646"/>
    <m/>
    <n v="814"/>
    <m/>
    <n v="0"/>
    <m/>
    <n v="233"/>
    <n v="28160542.500000004"/>
    <n v="0"/>
    <n v="2495"/>
    <n v="255"/>
    <n v="2646"/>
    <n v="233"/>
    <n v="255"/>
    <n v="2013"/>
    <n v="2646"/>
    <n v="2018"/>
    <n v="233"/>
    <n v="2021"/>
    <x v="1"/>
    <n v="299.05063108830001"/>
    <n v="2646"/>
    <s v="Decreasing"/>
    <n v="6.6569375282258259E-2"/>
    <n v="5.4673730437993617E-2"/>
    <n v="1788.6154926739125"/>
    <n v="2939.7070117505746"/>
    <n v="0.11348834580388524"/>
    <n v="1.0378917367127549"/>
    <n v="0.93961258026190353"/>
  </r>
  <r>
    <x v="6"/>
    <x v="6"/>
    <n v="22010715.5"/>
    <x v="4"/>
    <n v="1764"/>
    <n v="22469267.5"/>
    <n v="4"/>
    <m/>
    <n v="21"/>
    <m/>
    <n v="0"/>
    <m/>
    <n v="0"/>
    <m/>
    <n v="351"/>
    <n v="25493988.499999996"/>
    <n v="593"/>
    <n v="593"/>
    <m/>
    <n v="160"/>
    <m/>
    <n v="0"/>
    <m/>
    <n v="219"/>
    <n v="28160542.500000004"/>
    <n v="79"/>
    <n v="506"/>
    <n v="1764"/>
    <n v="593"/>
    <n v="219"/>
    <n v="4"/>
    <n v="2013"/>
    <n v="593"/>
    <n v="2018"/>
    <n v="79"/>
    <n v="2022"/>
    <x v="1"/>
    <n v="101.39484916727768"/>
    <n v="593"/>
    <s v="Decreasing"/>
    <n v="6.6569375282258259E-2"/>
    <n v="5.4673730437993617E-2"/>
    <n v="362.74125823366722"/>
    <n v="596.18907733298227"/>
    <n v="1.7802093459432979E-3"/>
    <n v="0.23260385482640353"/>
    <n v="0.21057832959006381"/>
  </r>
  <r>
    <x v="6"/>
    <x v="6"/>
    <n v="22010716.5"/>
    <x v="5"/>
    <n v="0"/>
    <n v="22469267.5"/>
    <n v="0"/>
    <m/>
    <n v="0"/>
    <m/>
    <n v="0"/>
    <m/>
    <n v="0"/>
    <m/>
    <n v="0"/>
    <n v="25493988.499999996"/>
    <n v="14556"/>
    <n v="14556"/>
    <m/>
    <n v="0"/>
    <m/>
    <n v="0"/>
    <m/>
    <n v="0"/>
    <n v="28160542.500000004"/>
    <n v="0"/>
    <n v="14556"/>
    <n v="0"/>
    <n v="14556"/>
    <n v="0"/>
    <n v="0"/>
    <s v=""/>
    <n v="14556"/>
    <n v="2018"/>
    <n v="14556"/>
    <n v="2018"/>
    <x v="0"/>
    <n v="14556"/>
    <n v="14556"/>
    <s v="No change"/>
    <n v="6.6569375282258259E-2"/>
    <n v="5.4673730437993617E-2"/>
    <n v="10434.904653852293"/>
    <n v="17150.451007231008"/>
    <n v="0"/>
    <n v="5.709581299920961"/>
    <n v="5.1689345118262544"/>
  </r>
  <r>
    <x v="6"/>
    <x v="6"/>
    <n v="22010717.5"/>
    <x v="6"/>
    <n v="0"/>
    <n v="22469267.5"/>
    <n v="0"/>
    <m/>
    <n v="0"/>
    <m/>
    <n v="0"/>
    <m/>
    <n v="0"/>
    <m/>
    <n v="0"/>
    <n v="25493988.499999996"/>
    <n v="745"/>
    <n v="745"/>
    <m/>
    <n v="29"/>
    <m/>
    <n v="0"/>
    <m/>
    <n v="7"/>
    <n v="28160542.500000004"/>
    <n v="0"/>
    <n v="25"/>
    <n v="0"/>
    <n v="745"/>
    <n v="7"/>
    <n v="0"/>
    <s v=""/>
    <n v="745"/>
    <n v="2018"/>
    <n v="7"/>
    <n v="2021"/>
    <x v="1"/>
    <n v="8.9843537236828332"/>
    <n v="745"/>
    <s v="Decreasing"/>
    <n v="6.6569375282258259E-2"/>
    <n v="5.4673730437993617E-2"/>
    <n v="17.921998924588301"/>
    <n v="29.455982081669084"/>
    <n v="0"/>
    <n v="0.29222575353401453"/>
    <n v="0.26455456246981035"/>
  </r>
  <r>
    <x v="6"/>
    <x v="6"/>
    <n v="22010718.5"/>
    <x v="7"/>
    <n v="0"/>
    <n v="22469267.5"/>
    <n v="0"/>
    <m/>
    <n v="0"/>
    <m/>
    <n v="0"/>
    <m/>
    <n v="0"/>
    <m/>
    <n v="0"/>
    <n v="25493988.499999996"/>
    <n v="0"/>
    <n v="1425"/>
    <m/>
    <n v="148"/>
    <m/>
    <n v="0"/>
    <m/>
    <n v="835"/>
    <n v="28160542.500000004"/>
    <n v="0"/>
    <n v="1425"/>
    <n v="0"/>
    <n v="148"/>
    <n v="835"/>
    <n v="0"/>
    <s v=""/>
    <n v="1425"/>
    <s v="2018 (triag)"/>
    <n v="835"/>
    <n v="2021"/>
    <x v="1"/>
    <n v="1071.7050513250235"/>
    <n v="1425"/>
    <s v="Decreasing"/>
    <n v="6.6569375282258259E-2"/>
    <n v="5.4673730437993617E-2"/>
    <n v="1021.5539387015332"/>
    <n v="1678.990978655138"/>
    <n v="0"/>
    <n v="0.55895530038385333"/>
    <n v="0.50602718324762386"/>
  </r>
  <r>
    <x v="6"/>
    <x v="6"/>
    <n v="22010719.5"/>
    <x v="8"/>
    <n v="0"/>
    <n v="22469267.5"/>
    <n v="0"/>
    <m/>
    <n v="0"/>
    <m/>
    <n v="0"/>
    <m/>
    <n v="0"/>
    <m/>
    <n v="0"/>
    <n v="25493988.499999996"/>
    <n v="0"/>
    <n v="3640"/>
    <m/>
    <n v="4168"/>
    <m/>
    <n v="0"/>
    <m/>
    <n v="4221"/>
    <n v="28160542.500000004"/>
    <n v="4140"/>
    <n v="3640"/>
    <n v="0"/>
    <n v="4168"/>
    <n v="4221"/>
    <n v="0"/>
    <s v=""/>
    <n v="3640"/>
    <s v="2018 (triag)"/>
    <n v="4140"/>
    <n v="2022"/>
    <x v="0"/>
    <n v="4140"/>
    <n v="4140"/>
    <s v="Increasing"/>
    <n v="6.6569375282258259E-2"/>
    <n v="5.4673730437993617E-2"/>
    <n v="2609.4430434200567"/>
    <n v="4288.7909910910184"/>
    <n v="0"/>
    <n v="1.4277875743138428"/>
    <n v="1.4701421323825703"/>
  </r>
  <r>
    <x v="6"/>
    <x v="6"/>
    <n v="22010720.5"/>
    <x v="9"/>
    <n v="0"/>
    <n v="22469267.5"/>
    <n v="0"/>
    <m/>
    <n v="0"/>
    <m/>
    <n v="0"/>
    <m/>
    <n v="0"/>
    <m/>
    <n v="0"/>
    <n v="25493988.499999996"/>
    <n v="0"/>
    <n v="91"/>
    <m/>
    <n v="0"/>
    <m/>
    <n v="0"/>
    <m/>
    <n v="0"/>
    <n v="28160542.500000004"/>
    <n v="0"/>
    <n v="91"/>
    <n v="0"/>
    <n v="0"/>
    <n v="0"/>
    <n v="0"/>
    <s v=""/>
    <n v="91"/>
    <s v="2018 (triag)"/>
    <n v="91"/>
    <s v="2018 (triag)"/>
    <x v="0"/>
    <n v="91"/>
    <n v="91"/>
    <s v="No change"/>
    <n v="6.6569375282258259E-2"/>
    <n v="5.4673730437993617E-2"/>
    <n v="65.236076085501423"/>
    <n v="107.21977477727548"/>
    <n v="0"/>
    <n v="3.5694689357846074E-2"/>
    <n v="3.2314718368795625E-2"/>
  </r>
  <r>
    <x v="6"/>
    <x v="6"/>
    <n v="22010721.5"/>
    <x v="10"/>
    <n v="0"/>
    <n v="22469267.5"/>
    <n v="0"/>
    <m/>
    <n v="190"/>
    <m/>
    <n v="0"/>
    <m/>
    <n v="0"/>
    <m/>
    <n v="0"/>
    <n v="25493988.499999996"/>
    <n v="0"/>
    <n v="0"/>
    <m/>
    <n v="40"/>
    <m/>
    <n v="0"/>
    <m/>
    <n v="0"/>
    <n v="28160542.500000004"/>
    <n v="0"/>
    <n v="0"/>
    <n v="190"/>
    <n v="40"/>
    <n v="0"/>
    <n v="190"/>
    <n v="2014"/>
    <n v="40"/>
    <n v="2019"/>
    <n v="40"/>
    <n v="2019"/>
    <x v="0"/>
    <n v="40"/>
    <n v="40"/>
    <s v="No change"/>
    <n v="6.6569375282258259E-2"/>
    <n v="5.4673730437993617E-2"/>
    <n v="0"/>
    <n v="0"/>
    <n v="8.4559943932306647E-2"/>
    <n v="1.5689973344108165E-2"/>
    <n v="1.4204271810459615E-2"/>
  </r>
  <r>
    <x v="6"/>
    <x v="6"/>
    <n v="22010722.5"/>
    <x v="11"/>
    <n v="0"/>
    <n v="22469267.5"/>
    <n v="0"/>
    <m/>
    <n v="2380"/>
    <m/>
    <n v="0"/>
    <m/>
    <n v="0"/>
    <m/>
    <n v="0"/>
    <n v="25493988.499999996"/>
    <n v="0"/>
    <n v="497"/>
    <m/>
    <n v="0"/>
    <m/>
    <n v="0"/>
    <m/>
    <n v="0"/>
    <n v="28160542.500000004"/>
    <n v="0"/>
    <n v="497"/>
    <n v="2380"/>
    <n v="0"/>
    <n v="0"/>
    <n v="2380"/>
    <n v="2014"/>
    <n v="497"/>
    <s v="2018 (triag)"/>
    <n v="497"/>
    <s v="2018 (triag)"/>
    <x v="0"/>
    <n v="497"/>
    <n v="497"/>
    <s v="No change"/>
    <n v="6.6569375282258259E-2"/>
    <n v="5.4673730437993617E-2"/>
    <n v="356.28933862081544"/>
    <n v="585.58492378358142"/>
    <n v="1.0592245608362623"/>
    <n v="0.19494791880054393"/>
    <n v="0.17648807724496071"/>
  </r>
  <r>
    <x v="6"/>
    <x v="6"/>
    <n v="22010723.5"/>
    <x v="12"/>
    <n v="0"/>
    <n v="22469267.5"/>
    <n v="0"/>
    <m/>
    <n v="0"/>
    <m/>
    <n v="0"/>
    <m/>
    <n v="0"/>
    <m/>
    <n v="0"/>
    <n v="25493988.499999996"/>
    <n v="0"/>
    <n v="242"/>
    <m/>
    <n v="0"/>
    <m/>
    <n v="0"/>
    <m/>
    <n v="0"/>
    <n v="28160542.500000004"/>
    <n v="0"/>
    <n v="242"/>
    <n v="0"/>
    <n v="0"/>
    <n v="0"/>
    <n v="0"/>
    <s v=""/>
    <n v="242"/>
    <s v="2018 (triag)"/>
    <n v="242"/>
    <s v="2018 (triag)"/>
    <x v="0"/>
    <n v="242"/>
    <n v="242"/>
    <s v="No change"/>
    <n v="6.6569375282258259E-2"/>
    <n v="5.4673730437993617E-2"/>
    <n v="173.48494959001476"/>
    <n v="285.13390655055673"/>
    <n v="0"/>
    <n v="9.4924338731854394E-2"/>
    <n v="8.5935844453280674E-2"/>
  </r>
  <r>
    <x v="6"/>
    <x v="6"/>
    <n v="22010724.5"/>
    <x v="13"/>
    <n v="0"/>
    <n v="22469267.5"/>
    <n v="0"/>
    <m/>
    <n v="820"/>
    <m/>
    <n v="0"/>
    <m/>
    <n v="0"/>
    <m/>
    <n v="0"/>
    <n v="25493988.499999996"/>
    <n v="0"/>
    <n v="3103"/>
    <m/>
    <n v="0"/>
    <m/>
    <n v="0"/>
    <m/>
    <n v="0"/>
    <n v="28160542.500000004"/>
    <n v="0"/>
    <n v="3103"/>
    <n v="820"/>
    <n v="0"/>
    <n v="0"/>
    <n v="820"/>
    <n v="2014"/>
    <n v="3103"/>
    <s v="2018 (triag)"/>
    <n v="3103"/>
    <s v="2018 (triag)"/>
    <x v="0"/>
    <n v="3103"/>
    <n v="3103"/>
    <s v="No change"/>
    <n v="6.6569375282258259E-2"/>
    <n v="5.4673730437993617E-2"/>
    <n v="2224.4785065198998"/>
    <n v="3656.0764959767671"/>
    <n v="0.36494291591837608"/>
    <n v="1.2171496821691907"/>
    <n v="1.1018963856964046"/>
  </r>
  <r>
    <x v="6"/>
    <x v="6"/>
    <n v="22010725.5"/>
    <x v="14"/>
    <n v="0"/>
    <n v="22469267.5"/>
    <n v="0"/>
    <m/>
    <n v="0"/>
    <m/>
    <n v="0"/>
    <m/>
    <n v="0"/>
    <m/>
    <n v="0"/>
    <n v="25493988.499999996"/>
    <n v="0"/>
    <n v="123"/>
    <m/>
    <n v="0"/>
    <m/>
    <n v="0"/>
    <m/>
    <n v="0"/>
    <n v="28160542.500000004"/>
    <n v="0"/>
    <n v="123"/>
    <n v="0"/>
    <n v="0"/>
    <n v="0"/>
    <n v="0"/>
    <s v=""/>
    <n v="123"/>
    <s v="2018 (triag)"/>
    <n v="123"/>
    <s v="2018 (triag)"/>
    <x v="0"/>
    <n v="123"/>
    <n v="123"/>
    <s v="No change"/>
    <n v="6.6569375282258259E-2"/>
    <n v="5.4673730437993617E-2"/>
    <n v="88.176234708974448"/>
    <n v="144.92343184181189"/>
    <n v="0"/>
    <n v="4.82466680331326E-2"/>
    <n v="4.3678135817163316E-2"/>
  </r>
  <r>
    <x v="6"/>
    <x v="6"/>
    <n v="22010726.5"/>
    <x v="15"/>
    <n v="0"/>
    <n v="22469267.5"/>
    <n v="0"/>
    <m/>
    <n v="70"/>
    <m/>
    <n v="0"/>
    <m/>
    <n v="0"/>
    <m/>
    <n v="0"/>
    <n v="25493988.499999996"/>
    <n v="0"/>
    <n v="700"/>
    <m/>
    <n v="0"/>
    <m/>
    <n v="0"/>
    <m/>
    <n v="0"/>
    <n v="28160542.500000004"/>
    <n v="0"/>
    <n v="700"/>
    <n v="70"/>
    <n v="0"/>
    <n v="0"/>
    <n v="70"/>
    <n v="2014"/>
    <n v="700"/>
    <s v="2018 (triag)"/>
    <n v="700"/>
    <s v="2018 (triag)"/>
    <x v="0"/>
    <n v="700"/>
    <n v="700"/>
    <s v="No change"/>
    <n v="6.6569375282258259E-2"/>
    <n v="5.4673730437993617E-2"/>
    <n v="501.81596988847247"/>
    <n v="824.76749828673439"/>
    <n v="3.1153663554007713E-2"/>
    <n v="0.27457453352189287"/>
    <n v="0.24857475668304327"/>
  </r>
  <r>
    <x v="6"/>
    <x v="6"/>
    <n v="22010727.5"/>
    <x v="16"/>
    <n v="0"/>
    <n v="22469267.5"/>
    <n v="0"/>
    <m/>
    <n v="0"/>
    <m/>
    <n v="0"/>
    <m/>
    <n v="0"/>
    <m/>
    <n v="0"/>
    <n v="25493988.499999996"/>
    <n v="0"/>
    <n v="139"/>
    <m/>
    <n v="0"/>
    <m/>
    <n v="0"/>
    <m/>
    <n v="0"/>
    <n v="28160542.500000004"/>
    <n v="0"/>
    <n v="139"/>
    <n v="0"/>
    <n v="0"/>
    <n v="0"/>
    <n v="0"/>
    <s v=""/>
    <n v="139"/>
    <s v="2018 (triag)"/>
    <n v="139"/>
    <s v="2018 (triag)"/>
    <x v="0"/>
    <n v="139"/>
    <n v="139"/>
    <s v="No change"/>
    <n v="6.6569375282258259E-2"/>
    <n v="5.4673730437993617E-2"/>
    <n v="99.64631402071096"/>
    <n v="163.77526037408012"/>
    <n v="0"/>
    <n v="5.452265737077587E-2"/>
    <n v="4.9359844541347161E-2"/>
  </r>
  <r>
    <x v="6"/>
    <x v="6"/>
    <n v="22010728.5"/>
    <x v="17"/>
    <n v="0"/>
    <n v="22469267.5"/>
    <n v="0"/>
    <m/>
    <n v="0"/>
    <m/>
    <n v="0"/>
    <m/>
    <n v="0"/>
    <m/>
    <n v="0"/>
    <n v="25493988.499999996"/>
    <n v="0"/>
    <n v="14"/>
    <m/>
    <n v="3470"/>
    <m/>
    <n v="0"/>
    <m/>
    <n v="0"/>
    <n v="28160542.500000004"/>
    <n v="0"/>
    <n v="14"/>
    <n v="0"/>
    <n v="3470"/>
    <n v="0"/>
    <n v="0"/>
    <s v=""/>
    <n v="14"/>
    <s v="2018 (triag)"/>
    <n v="3470"/>
    <s v="2018 (triag)"/>
    <x v="0"/>
    <n v="3470"/>
    <n v="3470"/>
    <s v="Increasing"/>
    <n v="6.6569375282258259E-2"/>
    <n v="5.4673730437993617E-2"/>
    <n v="10.03631939776945"/>
    <n v="16.49534996573469"/>
    <n v="0"/>
    <n v="5.4914906704378571E-3"/>
    <n v="1.2322205795573717"/>
  </r>
  <r>
    <x v="6"/>
    <x v="6"/>
    <n v="22010729.5"/>
    <x v="18"/>
    <n v="0"/>
    <n v="22469267.5"/>
    <n v="0"/>
    <m/>
    <n v="1600"/>
    <m/>
    <n v="0"/>
    <m/>
    <n v="0"/>
    <m/>
    <n v="0"/>
    <n v="25493988.499999996"/>
    <n v="0"/>
    <n v="0"/>
    <m/>
    <n v="0"/>
    <m/>
    <n v="0"/>
    <m/>
    <n v="0"/>
    <n v="28160542.500000004"/>
    <n v="0"/>
    <n v="0"/>
    <n v="1600"/>
    <n v="0"/>
    <n v="0"/>
    <n v="1600"/>
    <n v="2014"/>
    <n v="0"/>
    <s v=""/>
    <n v="0"/>
    <s v=""/>
    <x v="0"/>
    <n v="0"/>
    <n v="0"/>
    <s v="No change"/>
    <n v="6.6569375282258259E-2"/>
    <n v="5.4673730437993617E-2"/>
    <n v="0"/>
    <n v="0"/>
    <n v="0.7120837383773192"/>
    <n v="0"/>
    <n v="0"/>
  </r>
  <r>
    <x v="6"/>
    <x v="6"/>
    <n v="22010730.5"/>
    <x v="19"/>
    <n v="0"/>
    <n v="22469267.5"/>
    <n v="0"/>
    <m/>
    <n v="0"/>
    <m/>
    <n v="0"/>
    <m/>
    <n v="0"/>
    <m/>
    <n v="0"/>
    <n v="25493988.499999996"/>
    <n v="0"/>
    <n v="21440"/>
    <m/>
    <n v="0"/>
    <m/>
    <n v="3734"/>
    <m/>
    <n v="3480"/>
    <n v="28160542.500000004"/>
    <n v="3896"/>
    <n v="21440"/>
    <n v="0"/>
    <n v="0"/>
    <n v="3896"/>
    <n v="0"/>
    <s v=""/>
    <n v="21440"/>
    <s v="2018 (triag)"/>
    <n v="3896"/>
    <n v="2022"/>
    <x v="1"/>
    <n v="5000.434586781188"/>
    <n v="21440"/>
    <s v="Decreasing"/>
    <n v="6.6569375282258259E-2"/>
    <n v="5.4673730437993617E-2"/>
    <n v="15369.906277726928"/>
    <n v="25261.450233239408"/>
    <n v="0"/>
    <n v="8.4098257124419753"/>
    <n v="7.6134896904063538"/>
  </r>
  <r>
    <x v="6"/>
    <x v="6"/>
    <n v="22010731.5"/>
    <x v="20"/>
    <n v="0"/>
    <n v="22469267.5"/>
    <n v="0"/>
    <m/>
    <n v="60"/>
    <m/>
    <n v="0"/>
    <m/>
    <n v="0"/>
    <m/>
    <n v="0"/>
    <n v="25493988.499999996"/>
    <n v="0"/>
    <n v="151"/>
    <m/>
    <n v="0"/>
    <m/>
    <n v="0"/>
    <m/>
    <n v="97"/>
    <n v="28160542.500000004"/>
    <n v="95"/>
    <n v="151"/>
    <n v="60"/>
    <n v="0"/>
    <n v="97"/>
    <n v="60"/>
    <n v="2014"/>
    <n v="151"/>
    <s v="2018 (triag)"/>
    <n v="95"/>
    <n v="2022"/>
    <x v="1"/>
    <n v="121.93051482140987"/>
    <n v="151"/>
    <s v="Decreasing"/>
    <n v="6.6569375282258259E-2"/>
    <n v="5.4673730437993617E-2"/>
    <n v="108.24887350451334"/>
    <n v="177.91413177328127"/>
    <n v="2.6703140189149467E-2"/>
    <n v="5.922964937400832E-2"/>
    <n v="5.3621126084485049E-2"/>
  </r>
  <r>
    <x v="6"/>
    <x v="6"/>
    <n v="22010732.5"/>
    <x v="21"/>
    <n v="0"/>
    <n v="22469267.5"/>
    <n v="0"/>
    <m/>
    <n v="0"/>
    <m/>
    <n v="0"/>
    <m/>
    <n v="0"/>
    <m/>
    <n v="0"/>
    <n v="25493988.499999996"/>
    <n v="0"/>
    <n v="0"/>
    <m/>
    <n v="0"/>
    <m/>
    <n v="0"/>
    <m/>
    <n v="0"/>
    <n v="28160542.500000004"/>
    <n v="0"/>
    <n v="0"/>
    <n v="0"/>
    <n v="0"/>
    <n v="0"/>
    <n v="0"/>
    <s v=""/>
    <n v="0"/>
    <s v=""/>
    <n v="0"/>
    <s v=""/>
    <x v="0"/>
    <n v="0"/>
    <n v="0"/>
    <s v="No change"/>
    <n v="6.6569375282258259E-2"/>
    <n v="5.4673730437993617E-2"/>
    <n v="0"/>
    <n v="0"/>
    <n v="0"/>
    <n v="0"/>
    <n v="0"/>
  </r>
  <r>
    <x v="6"/>
    <x v="6"/>
    <n v="22010733.5"/>
    <x v="22"/>
    <n v="0"/>
    <n v="22469267.5"/>
    <n v="0"/>
    <m/>
    <n v="0"/>
    <m/>
    <n v="0"/>
    <m/>
    <n v="0"/>
    <m/>
    <n v="0"/>
    <n v="25493988.499999996"/>
    <n v="0"/>
    <n v="0"/>
    <m/>
    <n v="0"/>
    <m/>
    <n v="0"/>
    <m/>
    <n v="0"/>
    <n v="28160542.500000004"/>
    <n v="0"/>
    <n v="0"/>
    <n v="0"/>
    <n v="0"/>
    <n v="0"/>
    <n v="0"/>
    <s v=""/>
    <n v="0"/>
    <s v=""/>
    <n v="0"/>
    <s v=""/>
    <x v="0"/>
    <n v="0"/>
    <n v="0"/>
    <s v="No change"/>
    <n v="6.6569375282258259E-2"/>
    <n v="5.4673730437993617E-2"/>
    <n v="0"/>
    <n v="0"/>
    <n v="0"/>
    <n v="0"/>
    <n v="0"/>
  </r>
  <r>
    <x v="6"/>
    <x v="6"/>
    <n v="22010734.5"/>
    <x v="23"/>
    <n v="0"/>
    <n v="22469267.5"/>
    <n v="0"/>
    <m/>
    <n v="0"/>
    <m/>
    <n v="0"/>
    <m/>
    <n v="0"/>
    <m/>
    <n v="0"/>
    <n v="25493988.499999996"/>
    <n v="0"/>
    <n v="4437"/>
    <m/>
    <n v="0"/>
    <m/>
    <n v="0"/>
    <m/>
    <n v="0"/>
    <n v="28160542.500000004"/>
    <n v="0"/>
    <n v="4437"/>
    <n v="0"/>
    <n v="0"/>
    <n v="0"/>
    <n v="0"/>
    <s v=""/>
    <n v="4437"/>
    <s v="2018 (triag)"/>
    <n v="4437"/>
    <s v="2018 (triag)"/>
    <x v="0"/>
    <n v="4437"/>
    <n v="4437"/>
    <s v="No change"/>
    <n v="6.6569375282258259E-2"/>
    <n v="5.4673730437993617E-2"/>
    <n v="3180.7963691359319"/>
    <n v="5227.8476998546294"/>
    <n v="0"/>
    <n v="1.7404102931951979"/>
    <n v="1.5756088505752328"/>
  </r>
  <r>
    <x v="7"/>
    <x v="7"/>
    <n v="21032684.000000004"/>
    <x v="0"/>
    <n v="0"/>
    <n v="21632850.000000004"/>
    <n v="0"/>
    <n v="22299584.999999989"/>
    <n v="0"/>
    <n v="23012646.5"/>
    <n v="0"/>
    <n v="23711630.000000004"/>
    <n v="0"/>
    <n v="24393181.5"/>
    <n v="0"/>
    <n v="25076746.500000015"/>
    <n v="6518"/>
    <n v="6518"/>
    <n v="25782340.999999996"/>
    <n v="0"/>
    <n v="26491086.500000011"/>
    <n v="5930"/>
    <n v="27198627.999999985"/>
    <n v="7653"/>
    <n v="27914536.499999989"/>
    <n v="8865"/>
    <n v="3259"/>
    <n v="0"/>
    <n v="6518"/>
    <n v="8865"/>
    <n v="1842"/>
    <n v="2013"/>
    <n v="6518"/>
    <n v="2018"/>
    <n v="8865"/>
    <n v="2022"/>
    <x v="0"/>
    <n v="8865"/>
    <n v="8865"/>
    <s v="Increasing"/>
    <n v="-1.4958984742070136E-2"/>
    <n v="0.1904674530041961"/>
    <n v="3512.1041245922065"/>
    <n v="5770.869479572214"/>
    <n v="0.85148281433098261"/>
    <n v="2.5992207561694642"/>
    <n v="3.1757647131271565"/>
  </r>
  <r>
    <x v="7"/>
    <x v="7"/>
    <n v="21032685"/>
    <x v="1"/>
    <n v="0"/>
    <n v="21632850.000000004"/>
    <n v="0"/>
    <m/>
    <n v="0"/>
    <m/>
    <n v="0"/>
    <m/>
    <n v="0"/>
    <m/>
    <n v="0"/>
    <n v="25076746.500000015"/>
    <n v="18312"/>
    <n v="18312"/>
    <m/>
    <n v="0"/>
    <m/>
    <n v="23436"/>
    <m/>
    <n v="9254"/>
    <n v="27914536.499999989"/>
    <n v="32946"/>
    <n v="9925"/>
    <n v="0"/>
    <n v="18312"/>
    <n v="32946"/>
    <n v="18954"/>
    <n v="2013"/>
    <n v="18312"/>
    <n v="2018"/>
    <n v="32946"/>
    <n v="2022"/>
    <x v="0"/>
    <n v="32946"/>
    <n v="32946"/>
    <s v="Increasing"/>
    <n v="-1.4958984742070136E-2"/>
    <n v="0.1904674530041961"/>
    <n v="10695.806516286484"/>
    <n v="17574.679222078623"/>
    <n v="8.7616749526761364"/>
    <n v="7.3023827074217902"/>
    <n v="11.802452818802854"/>
  </r>
  <r>
    <x v="7"/>
    <x v="7"/>
    <n v="21032686"/>
    <x v="2"/>
    <n v="0"/>
    <n v="21632850.000000004"/>
    <n v="254"/>
    <m/>
    <n v="0"/>
    <m/>
    <n v="0"/>
    <m/>
    <n v="0"/>
    <m/>
    <n v="0"/>
    <n v="25076746.500000015"/>
    <n v="0"/>
    <n v="690"/>
    <m/>
    <n v="0"/>
    <m/>
    <n v="2516"/>
    <m/>
    <n v="1408"/>
    <n v="27914536.499999989"/>
    <n v="3348"/>
    <n v="690"/>
    <n v="254"/>
    <n v="0"/>
    <n v="3348"/>
    <n v="254"/>
    <n v="2013"/>
    <n v="690"/>
    <s v="2018 (triag)"/>
    <n v="3348"/>
    <n v="2022"/>
    <x v="0"/>
    <n v="3348"/>
    <n v="3348"/>
    <s v="Increasing"/>
    <n v="-1.4958984742070136E-2"/>
    <n v="0.1904674530041961"/>
    <n v="743.58755629598727"/>
    <n v="1221.8164899984131"/>
    <n v="0.11741402542891942"/>
    <n v="0.27515531171477908"/>
    <n v="1.1993750997800021"/>
  </r>
  <r>
    <x v="7"/>
    <x v="7"/>
    <n v="21032687"/>
    <x v="3"/>
    <n v="0"/>
    <n v="21632850.000000004"/>
    <n v="239"/>
    <m/>
    <n v="36"/>
    <m/>
    <n v="0"/>
    <m/>
    <n v="1687"/>
    <m/>
    <n v="10752"/>
    <n v="25076746.500000015"/>
    <n v="30461"/>
    <n v="30461"/>
    <m/>
    <n v="227"/>
    <m/>
    <n v="78"/>
    <m/>
    <n v="281"/>
    <n v="27914536.499999989"/>
    <n v="398"/>
    <n v="350"/>
    <n v="239"/>
    <n v="30461"/>
    <n v="398"/>
    <n v="1340"/>
    <n v="2013"/>
    <n v="30461"/>
    <n v="2018"/>
    <n v="398"/>
    <n v="2022"/>
    <x v="1"/>
    <n v="589.64951499967879"/>
    <n v="30461"/>
    <s v="Decreasing"/>
    <n v="-1.4958984742070136E-2"/>
    <n v="0.1904674530041961"/>
    <n v="377.18209377332687"/>
    <n v="619.76198768035442"/>
    <n v="0.61942832312894502"/>
    <n v="12.1471100726723"/>
    <n v="10.912235637514531"/>
  </r>
  <r>
    <x v="7"/>
    <x v="7"/>
    <n v="21032688"/>
    <x v="4"/>
    <n v="0"/>
    <n v="21632850.000000004"/>
    <n v="276"/>
    <m/>
    <n v="10"/>
    <m/>
    <n v="0"/>
    <m/>
    <n v="404"/>
    <m/>
    <n v="1889"/>
    <n v="25076746.500000015"/>
    <n v="23627"/>
    <n v="23627"/>
    <m/>
    <n v="40"/>
    <m/>
    <n v="112"/>
    <m/>
    <n v="74"/>
    <n v="27914536.499999989"/>
    <n v="159"/>
    <n v="308"/>
    <n v="276"/>
    <n v="23627"/>
    <n v="159"/>
    <n v="276"/>
    <n v="2013"/>
    <n v="23627"/>
    <n v="2018"/>
    <n v="159"/>
    <n v="2022"/>
    <x v="1"/>
    <n v="235.56349971092695"/>
    <n v="23627"/>
    <s v="Decreasing"/>
    <n v="-1.4958984742070136E-2"/>
    <n v="0.1904674530041961"/>
    <n v="331.92024252052767"/>
    <n v="545.39054915871191"/>
    <n v="0.12758374416685733"/>
    <n v="9.4218761592537472"/>
    <n v="8.4640488298990775"/>
  </r>
  <r>
    <x v="7"/>
    <x v="7"/>
    <n v="21032689"/>
    <x v="5"/>
    <n v="0"/>
    <n v="21632850.000000004"/>
    <n v="0"/>
    <m/>
    <n v="0"/>
    <m/>
    <n v="0"/>
    <m/>
    <n v="0"/>
    <m/>
    <n v="0"/>
    <n v="25076746.500000015"/>
    <n v="0"/>
    <n v="0"/>
    <m/>
    <n v="0"/>
    <m/>
    <n v="154"/>
    <m/>
    <n v="0"/>
    <n v="27914536.499999989"/>
    <n v="310"/>
    <n v="0"/>
    <n v="0"/>
    <n v="0"/>
    <n v="310"/>
    <n v="0"/>
    <s v=""/>
    <n v="0"/>
    <s v=""/>
    <n v="310"/>
    <n v="2022"/>
    <x v="0"/>
    <n v="310"/>
    <n v="310"/>
    <s v="Increasing"/>
    <n v="-1.4958984742070136E-2"/>
    <n v="0.1904674530041961"/>
    <n v="0"/>
    <n v="0"/>
    <n v="0"/>
    <n v="0"/>
    <n v="0.11105324997962983"/>
  </r>
  <r>
    <x v="7"/>
    <x v="7"/>
    <n v="21032690"/>
    <x v="6"/>
    <n v="0"/>
    <n v="21632850.000000004"/>
    <n v="0"/>
    <m/>
    <n v="0"/>
    <m/>
    <n v="0"/>
    <m/>
    <n v="0"/>
    <m/>
    <n v="0"/>
    <n v="25076746.500000015"/>
    <n v="0"/>
    <n v="38"/>
    <m/>
    <n v="0"/>
    <m/>
    <n v="0"/>
    <m/>
    <n v="0"/>
    <n v="27914536.499999989"/>
    <n v="0"/>
    <n v="38"/>
    <n v="0"/>
    <n v="0"/>
    <n v="0"/>
    <n v="0"/>
    <s v=""/>
    <n v="38"/>
    <s v="2018 (triag)"/>
    <n v="38"/>
    <s v="2018 (triag)"/>
    <x v="0"/>
    <n v="38"/>
    <n v="38"/>
    <s v="No change"/>
    <n v="-1.4958984742070136E-2"/>
    <n v="0.1904674530041961"/>
    <n v="40.951198752532633"/>
    <n v="67.2884443767242"/>
    <n v="0"/>
    <n v="1.515348093501682E-2"/>
    <n v="1.3612979029761076E-2"/>
  </r>
  <r>
    <x v="7"/>
    <x v="7"/>
    <n v="21032691"/>
    <x v="7"/>
    <n v="0"/>
    <n v="21632850.000000004"/>
    <n v="0"/>
    <m/>
    <n v="0"/>
    <m/>
    <n v="0"/>
    <m/>
    <n v="0"/>
    <m/>
    <n v="0"/>
    <n v="25076746.500000015"/>
    <n v="0"/>
    <n v="238"/>
    <m/>
    <n v="0"/>
    <m/>
    <n v="5"/>
    <m/>
    <n v="0"/>
    <n v="27914536.499999989"/>
    <n v="0"/>
    <n v="238"/>
    <n v="0"/>
    <n v="0"/>
    <n v="5"/>
    <n v="0"/>
    <s v=""/>
    <n v="238"/>
    <s v="2018 (triag)"/>
    <n v="5"/>
    <n v="2020"/>
    <x v="1"/>
    <n v="7.4076572236140548"/>
    <n v="238"/>
    <s v="Decreasing"/>
    <n v="-1.4958984742070136E-2"/>
    <n v="0.1904674530041961"/>
    <n v="256.48382376586227"/>
    <n v="421.43815162264099"/>
    <n v="0"/>
    <n v="9.4908643750894819E-2"/>
    <n v="8.5260237081135157E-2"/>
  </r>
  <r>
    <x v="7"/>
    <x v="7"/>
    <n v="21032692"/>
    <x v="8"/>
    <n v="0"/>
    <n v="21632850.000000004"/>
    <n v="0"/>
    <m/>
    <n v="0"/>
    <m/>
    <n v="0"/>
    <m/>
    <n v="0"/>
    <m/>
    <n v="0"/>
    <n v="25076746.500000015"/>
    <n v="0"/>
    <n v="10717"/>
    <m/>
    <n v="0"/>
    <m/>
    <n v="5390"/>
    <m/>
    <n v="0"/>
    <n v="27914536.499999989"/>
    <n v="146"/>
    <n v="10717"/>
    <n v="0"/>
    <n v="0"/>
    <n v="5390"/>
    <n v="0"/>
    <s v=""/>
    <n v="10717"/>
    <s v="2018 (triag)"/>
    <n v="146"/>
    <n v="2022"/>
    <x v="1"/>
    <n v="216.3035909295304"/>
    <n v="10717"/>
    <s v="Decreasing"/>
    <n v="-1.4958984742070136E-2"/>
    <n v="0.1904674530041961"/>
    <n v="11549.31571133927"/>
    <n v="18977.112062772452"/>
    <n v="0"/>
    <n v="4.2736803994888231"/>
    <n v="3.8392183226828802"/>
  </r>
  <r>
    <x v="7"/>
    <x v="7"/>
    <n v="21032693"/>
    <x v="9"/>
    <n v="0"/>
    <n v="21632850.000000004"/>
    <n v="0"/>
    <m/>
    <n v="0"/>
    <m/>
    <n v="0"/>
    <m/>
    <n v="0"/>
    <m/>
    <n v="0"/>
    <n v="25076746.500000015"/>
    <n v="0"/>
    <n v="250"/>
    <m/>
    <n v="0"/>
    <m/>
    <n v="21"/>
    <m/>
    <n v="4216"/>
    <n v="27914536.499999989"/>
    <n v="1195"/>
    <n v="250"/>
    <n v="0"/>
    <n v="0"/>
    <n v="4216"/>
    <n v="0"/>
    <s v=""/>
    <n v="250"/>
    <s v="2018 (triag)"/>
    <n v="1195"/>
    <n v="2022"/>
    <x v="0"/>
    <n v="1195"/>
    <n v="1195"/>
    <s v="Increasing"/>
    <n v="-1.4958984742070136E-2"/>
    <n v="0.1904674530041961"/>
    <n v="269.41578126666207"/>
    <n v="442.68713405739601"/>
    <n v="0"/>
    <n v="9.96939535198475E-2"/>
    <n v="0.42809236685696017"/>
  </r>
  <r>
    <x v="7"/>
    <x v="7"/>
    <n v="21032694"/>
    <x v="10"/>
    <n v="0"/>
    <n v="21632850.000000004"/>
    <n v="0"/>
    <m/>
    <n v="0"/>
    <m/>
    <n v="0"/>
    <m/>
    <n v="0"/>
    <m/>
    <n v="0"/>
    <n v="25076746.500000015"/>
    <n v="0"/>
    <n v="0"/>
    <m/>
    <n v="0"/>
    <m/>
    <n v="31"/>
    <m/>
    <n v="3"/>
    <n v="27914536.499999989"/>
    <n v="19"/>
    <n v="0"/>
    <n v="0"/>
    <n v="0"/>
    <n v="31"/>
    <n v="0"/>
    <s v=""/>
    <n v="0"/>
    <s v=""/>
    <n v="19"/>
    <n v="2022"/>
    <x v="0"/>
    <n v="19"/>
    <n v="19"/>
    <s v="Increasing"/>
    <n v="-1.4958984742070136E-2"/>
    <n v="0.1904674530041961"/>
    <n v="0"/>
    <n v="0"/>
    <n v="0"/>
    <n v="0"/>
    <n v="6.8064895148805381E-3"/>
  </r>
  <r>
    <x v="7"/>
    <x v="7"/>
    <n v="21032695"/>
    <x v="11"/>
    <n v="0"/>
    <n v="21632850.000000004"/>
    <n v="0"/>
    <m/>
    <n v="0"/>
    <m/>
    <n v="0"/>
    <m/>
    <n v="0"/>
    <m/>
    <n v="0"/>
    <n v="25076746.500000015"/>
    <n v="241"/>
    <n v="241"/>
    <m/>
    <n v="0"/>
    <m/>
    <n v="112"/>
    <m/>
    <n v="2247"/>
    <n v="27914536.499999989"/>
    <n v="293"/>
    <n v="0"/>
    <n v="0"/>
    <n v="241"/>
    <n v="2247"/>
    <n v="0"/>
    <s v=""/>
    <n v="241"/>
    <n v="2018"/>
    <n v="293"/>
    <n v="2022"/>
    <x v="0"/>
    <n v="293"/>
    <n v="293"/>
    <s v="Increasing"/>
    <n v="-1.4958984742070136E-2"/>
    <n v="0.1904674530041961"/>
    <n v="0"/>
    <n v="0"/>
    <n v="0"/>
    <n v="9.6104971193132993E-2"/>
    <n v="0.10496323304526303"/>
  </r>
  <r>
    <x v="7"/>
    <x v="7"/>
    <n v="21032696"/>
    <x v="12"/>
    <n v="0"/>
    <n v="21632850.000000004"/>
    <n v="0"/>
    <m/>
    <n v="0"/>
    <m/>
    <n v="0"/>
    <m/>
    <n v="0"/>
    <m/>
    <n v="0"/>
    <n v="25076746.500000015"/>
    <n v="0"/>
    <n v="0"/>
    <m/>
    <n v="0"/>
    <m/>
    <n v="6"/>
    <m/>
    <n v="0"/>
    <n v="27914536.499999989"/>
    <n v="118"/>
    <n v="0"/>
    <n v="0"/>
    <n v="0"/>
    <n v="118"/>
    <n v="0"/>
    <s v=""/>
    <n v="0"/>
    <s v=""/>
    <n v="118"/>
    <n v="2022"/>
    <x v="0"/>
    <n v="118"/>
    <n v="118"/>
    <s v="Increasing"/>
    <n v="-1.4958984742070136E-2"/>
    <n v="0.1904674530041961"/>
    <n v="0"/>
    <n v="0"/>
    <n v="0"/>
    <n v="0"/>
    <n v="4.2271882250310713E-2"/>
  </r>
  <r>
    <x v="7"/>
    <x v="7"/>
    <n v="21032697"/>
    <x v="13"/>
    <n v="0"/>
    <n v="21632850.000000004"/>
    <n v="0"/>
    <m/>
    <n v="0"/>
    <m/>
    <n v="0"/>
    <m/>
    <n v="0"/>
    <m/>
    <n v="0"/>
    <n v="25076746.500000015"/>
    <n v="0"/>
    <n v="124"/>
    <m/>
    <n v="0"/>
    <m/>
    <n v="73"/>
    <m/>
    <n v="267"/>
    <n v="27914536.499999989"/>
    <n v="4864"/>
    <n v="124"/>
    <n v="0"/>
    <n v="0"/>
    <n v="4864"/>
    <n v="0"/>
    <s v=""/>
    <n v="124"/>
    <s v="2018 (triag)"/>
    <n v="4864"/>
    <n v="2022"/>
    <x v="0"/>
    <n v="4864"/>
    <n v="4864"/>
    <s v="Increasing"/>
    <n v="-1.4958984742070136E-2"/>
    <n v="0.1904674530041961"/>
    <n v="133.6302275082644"/>
    <n v="219.57281849246843"/>
    <n v="0"/>
    <n v="4.9448200945844359E-2"/>
    <n v="1.7424613158094178"/>
  </r>
  <r>
    <x v="7"/>
    <x v="7"/>
    <n v="21032698"/>
    <x v="14"/>
    <n v="0"/>
    <n v="21632850.000000004"/>
    <n v="0"/>
    <m/>
    <n v="0"/>
    <m/>
    <n v="0"/>
    <m/>
    <n v="0"/>
    <m/>
    <n v="0"/>
    <n v="25076746.500000015"/>
    <n v="0"/>
    <n v="0"/>
    <m/>
    <n v="0"/>
    <m/>
    <n v="4"/>
    <m/>
    <n v="0"/>
    <n v="27914536.499999989"/>
    <n v="85"/>
    <n v="0"/>
    <n v="0"/>
    <n v="0"/>
    <n v="85"/>
    <n v="0"/>
    <s v=""/>
    <n v="0"/>
    <s v=""/>
    <n v="85"/>
    <n v="2022"/>
    <x v="0"/>
    <n v="85"/>
    <n v="85"/>
    <s v="Increasing"/>
    <n v="-1.4958984742070136E-2"/>
    <n v="0.1904674530041961"/>
    <n v="0"/>
    <n v="0"/>
    <n v="0"/>
    <n v="0"/>
    <n v="3.0450084671833987E-2"/>
  </r>
  <r>
    <x v="7"/>
    <x v="7"/>
    <n v="21032699"/>
    <x v="15"/>
    <n v="0"/>
    <n v="21632850.000000004"/>
    <n v="0"/>
    <m/>
    <n v="0"/>
    <m/>
    <n v="0"/>
    <m/>
    <n v="0"/>
    <m/>
    <n v="0"/>
    <n v="25076746.500000015"/>
    <n v="0"/>
    <n v="0"/>
    <m/>
    <n v="0"/>
    <m/>
    <n v="207"/>
    <m/>
    <n v="0"/>
    <n v="27914536.499999989"/>
    <n v="10"/>
    <n v="0"/>
    <n v="0"/>
    <n v="0"/>
    <n v="207"/>
    <n v="0"/>
    <s v=""/>
    <n v="0"/>
    <s v=""/>
    <n v="10"/>
    <n v="2022"/>
    <x v="0"/>
    <n v="10"/>
    <n v="10"/>
    <s v="Increasing"/>
    <n v="-1.4958984742070136E-2"/>
    <n v="0.1904674530041961"/>
    <n v="0"/>
    <n v="0"/>
    <n v="0"/>
    <n v="0"/>
    <n v="3.5823629025687042E-3"/>
  </r>
  <r>
    <x v="7"/>
    <x v="7"/>
    <n v="21032700"/>
    <x v="16"/>
    <n v="0"/>
    <n v="21632850.000000004"/>
    <n v="0"/>
    <m/>
    <n v="0"/>
    <m/>
    <n v="0"/>
    <m/>
    <n v="0"/>
    <m/>
    <n v="0"/>
    <n v="25076746.500000015"/>
    <n v="0"/>
    <n v="0"/>
    <m/>
    <n v="0"/>
    <m/>
    <n v="1406"/>
    <m/>
    <n v="0"/>
    <n v="27914536.499999989"/>
    <n v="5"/>
    <n v="0"/>
    <n v="0"/>
    <n v="0"/>
    <n v="1406"/>
    <n v="0"/>
    <s v=""/>
    <n v="0"/>
    <s v=""/>
    <n v="5"/>
    <n v="2022"/>
    <x v="0"/>
    <n v="5"/>
    <n v="5"/>
    <s v="Increasing"/>
    <n v="-1.4958984742070136E-2"/>
    <n v="0.1904674530041961"/>
    <n v="0"/>
    <n v="0"/>
    <n v="0"/>
    <n v="0"/>
    <n v="1.7911814512843521E-3"/>
  </r>
  <r>
    <x v="7"/>
    <x v="7"/>
    <n v="21032701"/>
    <x v="17"/>
    <n v="0"/>
    <n v="21632850.000000004"/>
    <n v="0"/>
    <m/>
    <n v="0"/>
    <m/>
    <n v="0"/>
    <m/>
    <n v="0"/>
    <m/>
    <n v="0"/>
    <n v="25076746.500000015"/>
    <n v="0"/>
    <n v="0"/>
    <m/>
    <n v="0"/>
    <m/>
    <n v="152"/>
    <m/>
    <n v="0"/>
    <n v="27914536.499999989"/>
    <n v="74"/>
    <n v="0"/>
    <n v="0"/>
    <n v="0"/>
    <n v="152"/>
    <n v="0"/>
    <s v=""/>
    <n v="0"/>
    <s v=""/>
    <n v="74"/>
    <n v="2022"/>
    <x v="0"/>
    <n v="74"/>
    <n v="74"/>
    <s v="Increasing"/>
    <n v="-1.4958984742070136E-2"/>
    <n v="0.1904674530041961"/>
    <n v="0"/>
    <n v="0"/>
    <n v="0"/>
    <n v="0"/>
    <n v="2.6509485479008412E-2"/>
  </r>
  <r>
    <x v="7"/>
    <x v="7"/>
    <n v="21032702"/>
    <x v="18"/>
    <n v="0"/>
    <n v="21632850.000000004"/>
    <n v="0"/>
    <m/>
    <n v="0"/>
    <m/>
    <n v="0"/>
    <m/>
    <n v="0"/>
    <m/>
    <n v="0"/>
    <n v="25076746.500000015"/>
    <n v="0"/>
    <n v="5235"/>
    <m/>
    <n v="0"/>
    <m/>
    <n v="48"/>
    <m/>
    <n v="249"/>
    <n v="27914536.499999989"/>
    <n v="161"/>
    <n v="5235"/>
    <n v="0"/>
    <n v="0"/>
    <n v="249"/>
    <n v="0"/>
    <s v=""/>
    <n v="5235"/>
    <s v="2018 (triag)"/>
    <n v="161"/>
    <n v="2022"/>
    <x v="1"/>
    <n v="238.52656260037256"/>
    <n v="5235"/>
    <s v="Decreasing"/>
    <n v="-1.4958984742070136E-2"/>
    <n v="0.1904674530041961"/>
    <n v="5641.5664597239038"/>
    <n v="9269.8685871618727"/>
    <n v="0"/>
    <n v="2.0875913867056068"/>
    <n v="1.8753669794947168"/>
  </r>
  <r>
    <x v="7"/>
    <x v="7"/>
    <n v="21032703"/>
    <x v="19"/>
    <n v="0"/>
    <n v="21632850.000000004"/>
    <n v="0"/>
    <m/>
    <n v="0"/>
    <m/>
    <n v="0"/>
    <m/>
    <n v="0"/>
    <m/>
    <n v="0"/>
    <n v="25076746.500000015"/>
    <n v="0"/>
    <n v="0"/>
    <m/>
    <n v="0"/>
    <m/>
    <n v="2098"/>
    <m/>
    <n v="0"/>
    <n v="27914536.499999989"/>
    <n v="34"/>
    <n v="0"/>
    <n v="0"/>
    <n v="0"/>
    <n v="2098"/>
    <n v="0"/>
    <s v=""/>
    <n v="0"/>
    <s v=""/>
    <n v="34"/>
    <n v="2022"/>
    <x v="0"/>
    <n v="34"/>
    <n v="34"/>
    <s v="Increasing"/>
    <n v="-1.4958984742070136E-2"/>
    <n v="0.1904674530041961"/>
    <n v="0"/>
    <n v="0"/>
    <n v="0"/>
    <n v="0"/>
    <n v="1.2180033868733595E-2"/>
  </r>
  <r>
    <x v="7"/>
    <x v="7"/>
    <n v="21032704"/>
    <x v="20"/>
    <n v="0"/>
    <n v="21632850.000000004"/>
    <n v="0"/>
    <m/>
    <n v="0"/>
    <m/>
    <n v="0"/>
    <m/>
    <n v="0"/>
    <m/>
    <n v="0"/>
    <n v="25076746.500000015"/>
    <n v="0"/>
    <n v="0"/>
    <m/>
    <n v="0"/>
    <m/>
    <n v="69"/>
    <m/>
    <n v="21"/>
    <n v="27914536.499999989"/>
    <n v="191"/>
    <n v="0"/>
    <n v="0"/>
    <n v="0"/>
    <n v="191"/>
    <n v="0"/>
    <s v=""/>
    <n v="0"/>
    <s v=""/>
    <n v="191"/>
    <n v="2022"/>
    <x v="0"/>
    <n v="191"/>
    <n v="191"/>
    <s v="Increasing"/>
    <n v="-1.4958984742070136E-2"/>
    <n v="0.1904674530041961"/>
    <n v="0"/>
    <n v="0"/>
    <n v="0"/>
    <n v="0"/>
    <n v="6.8423131439062257E-2"/>
  </r>
  <r>
    <x v="7"/>
    <x v="7"/>
    <n v="21032705"/>
    <x v="21"/>
    <n v="0"/>
    <n v="21632850.000000004"/>
    <n v="0"/>
    <m/>
    <n v="0"/>
    <m/>
    <n v="0"/>
    <m/>
    <n v="0"/>
    <m/>
    <n v="0"/>
    <n v="25076746.500000015"/>
    <n v="0"/>
    <n v="0"/>
    <m/>
    <n v="0"/>
    <m/>
    <n v="64"/>
    <m/>
    <n v="584"/>
    <n v="27914536.499999989"/>
    <n v="606"/>
    <n v="0"/>
    <n v="0"/>
    <n v="0"/>
    <n v="606"/>
    <n v="0"/>
    <s v=""/>
    <n v="0"/>
    <s v=""/>
    <n v="606"/>
    <n v="2022"/>
    <x v="0"/>
    <n v="606"/>
    <n v="606"/>
    <s v="Increasing"/>
    <n v="-1.4958984742070136E-2"/>
    <n v="0.1904674530041961"/>
    <n v="0"/>
    <n v="0"/>
    <n v="0"/>
    <n v="0"/>
    <n v="0.21709119189566348"/>
  </r>
  <r>
    <x v="7"/>
    <x v="7"/>
    <n v="21032706"/>
    <x v="22"/>
    <n v="0"/>
    <n v="21632850.000000004"/>
    <n v="0"/>
    <m/>
    <n v="0"/>
    <m/>
    <n v="0"/>
    <m/>
    <n v="0"/>
    <m/>
    <n v="0"/>
    <n v="25076746.500000015"/>
    <n v="0"/>
    <n v="0"/>
    <m/>
    <n v="0"/>
    <m/>
    <n v="2"/>
    <m/>
    <n v="0"/>
    <n v="27914536.499999989"/>
    <n v="0"/>
    <n v="0"/>
    <n v="0"/>
    <n v="0"/>
    <n v="2"/>
    <n v="0"/>
    <s v=""/>
    <n v="0"/>
    <s v=""/>
    <n v="2"/>
    <n v="2020"/>
    <x v="0"/>
    <n v="2"/>
    <n v="2"/>
    <s v="Increasing"/>
    <n v="-1.4958984742070136E-2"/>
    <n v="0.1904674530041961"/>
    <n v="0"/>
    <n v="0"/>
    <n v="0"/>
    <n v="0"/>
    <n v="7.1647258051374082E-4"/>
  </r>
  <r>
    <x v="7"/>
    <x v="7"/>
    <n v="21032707"/>
    <x v="23"/>
    <n v="0"/>
    <n v="21632850.000000004"/>
    <n v="0"/>
    <m/>
    <n v="0"/>
    <m/>
    <n v="0"/>
    <m/>
    <n v="0"/>
    <m/>
    <n v="0"/>
    <n v="25076746.500000015"/>
    <n v="0"/>
    <n v="0"/>
    <m/>
    <n v="0"/>
    <m/>
    <n v="7"/>
    <m/>
    <n v="0"/>
    <n v="27914536.499999989"/>
    <n v="16"/>
    <n v="0"/>
    <n v="0"/>
    <n v="0"/>
    <n v="16"/>
    <n v="0"/>
    <s v=""/>
    <n v="0"/>
    <s v=""/>
    <n v="16"/>
    <n v="2022"/>
    <x v="0"/>
    <n v="16"/>
    <n v="16"/>
    <s v="Increasing"/>
    <n v="-1.4958984742070136E-2"/>
    <n v="0.1904674530041961"/>
    <n v="0"/>
    <n v="0"/>
    <n v="0"/>
    <n v="0"/>
    <n v="5.7317806441099265E-3"/>
  </r>
  <r>
    <x v="8"/>
    <x v="8"/>
    <n v="70997869.50000006"/>
    <x v="0"/>
    <n v="0"/>
    <n v="73460021"/>
    <n v="12836"/>
    <n v="76035588.49999994"/>
    <n v="0"/>
    <n v="78656903.50000006"/>
    <n v="0"/>
    <n v="81430976.499999985"/>
    <n v="200"/>
    <n v="84283273.000000045"/>
    <n v="0"/>
    <n v="87087354.999999985"/>
    <n v="0"/>
    <n v="31546"/>
    <n v="89906890.500000015"/>
    <n v="30032"/>
    <n v="92853164.500000015"/>
    <n v="0"/>
    <n v="95894118.499999985"/>
    <n v="33978"/>
    <n v="99010212"/>
    <n v="36986"/>
    <n v="31546"/>
    <n v="12836"/>
    <n v="30032"/>
    <n v="36986"/>
    <n v="12836"/>
    <n v="2013"/>
    <n v="31546"/>
    <s v="2018 (triag)"/>
    <n v="36986"/>
    <n v="2022"/>
    <x v="0"/>
    <n v="36986"/>
    <n v="36986"/>
    <s v="Increasing"/>
    <n v="0.14126140610967886"/>
    <n v="5.4673730437993617E-2"/>
    <n v="15566.789511659323"/>
    <n v="37168.73642993332"/>
    <n v="1.7473449946332034"/>
    <n v="3.6223398907912641"/>
    <n v="3.7355742658141162"/>
  </r>
  <r>
    <x v="8"/>
    <x v="8"/>
    <n v="70997870.500000104"/>
    <x v="1"/>
    <n v="0"/>
    <n v="73460021"/>
    <n v="119626"/>
    <m/>
    <n v="0"/>
    <m/>
    <n v="144540"/>
    <m/>
    <n v="89794"/>
    <m/>
    <n v="146092"/>
    <n v="87087354.999999985"/>
    <n v="186652"/>
    <n v="186652"/>
    <m/>
    <n v="187928"/>
    <m/>
    <n v="0"/>
    <m/>
    <n v="203504"/>
    <n v="99010212"/>
    <n v="230632"/>
    <n v="103785"/>
    <n v="144540"/>
    <n v="187928"/>
    <n v="230632"/>
    <n v="119626"/>
    <n v="2013"/>
    <n v="186652"/>
    <n v="2018"/>
    <n v="230632"/>
    <n v="2022"/>
    <x v="0"/>
    <n v="230632"/>
    <n v="230632"/>
    <s v="Increasing"/>
    <n v="0.14126140610967886"/>
    <n v="5.4673730437993617E-2"/>
    <n v="51214.076252696468"/>
    <n v="122283.56401384104"/>
    <n v="16.284503920846959"/>
    <n v="21.43273268547426"/>
    <n v="23.293758829644766"/>
  </r>
  <r>
    <x v="8"/>
    <x v="8"/>
    <n v="70997871.500000104"/>
    <x v="2"/>
    <n v="0"/>
    <n v="73460021"/>
    <n v="3110"/>
    <m/>
    <n v="0"/>
    <m/>
    <n v="0"/>
    <m/>
    <n v="3586"/>
    <m/>
    <n v="0"/>
    <n v="87087354.999999985"/>
    <n v="0"/>
    <n v="3642"/>
    <m/>
    <n v="6298"/>
    <m/>
    <n v="0"/>
    <m/>
    <n v="4186"/>
    <n v="99010212"/>
    <n v="5280"/>
    <n v="3642"/>
    <n v="3110"/>
    <n v="6298"/>
    <n v="5280"/>
    <n v="3110"/>
    <n v="2013"/>
    <n v="3642"/>
    <s v="2018 (triag)"/>
    <n v="5280"/>
    <n v="2022"/>
    <x v="0"/>
    <n v="5280"/>
    <n v="5280"/>
    <s v="Increasing"/>
    <n v="0.14126140610967886"/>
    <n v="5.4673730437993617E-2"/>
    <n v="1797.1929056445588"/>
    <n v="4291.1474696575524"/>
    <n v="0.42335953048529623"/>
    <n v="0.41820078242128272"/>
    <n v="0.53327832486612592"/>
  </r>
  <r>
    <x v="8"/>
    <x v="8"/>
    <n v="70997872.500000104"/>
    <x v="3"/>
    <n v="409"/>
    <n v="73460021"/>
    <n v="35"/>
    <m/>
    <n v="177"/>
    <m/>
    <n v="3609"/>
    <m/>
    <n v="0"/>
    <m/>
    <n v="108"/>
    <n v="87087354.999999985"/>
    <n v="47"/>
    <n v="1687"/>
    <m/>
    <n v="3532"/>
    <m/>
    <n v="2439"/>
    <m/>
    <n v="2490"/>
    <n v="99010212"/>
    <n v="487"/>
    <n v="1687"/>
    <n v="3609"/>
    <n v="3532"/>
    <n v="2490"/>
    <n v="35"/>
    <n v="2013"/>
    <n v="1687"/>
    <s v="2018 (triag)"/>
    <n v="487"/>
    <n v="2022"/>
    <x v="1"/>
    <n v="560.65591825072988"/>
    <n v="1687"/>
    <s v="Decreasing"/>
    <n v="0.14126140610967886"/>
    <n v="5.4673730437993617E-2"/>
    <n v="832.47238655199635"/>
    <n v="1987.6896708710299"/>
    <n v="4.7644963237895074E-3"/>
    <n v="0.19371354199470178"/>
    <n v="0.17038646478203684"/>
  </r>
  <r>
    <x v="8"/>
    <x v="8"/>
    <n v="70997873.500000104"/>
    <x v="4"/>
    <n v="287"/>
    <n v="73460021"/>
    <n v="44"/>
    <m/>
    <n v="132"/>
    <m/>
    <n v="2898"/>
    <m/>
    <n v="0"/>
    <m/>
    <n v="9"/>
    <n v="87087354.999999985"/>
    <n v="24"/>
    <n v="404"/>
    <m/>
    <n v="1440"/>
    <m/>
    <n v="1004"/>
    <m/>
    <n v="2881"/>
    <n v="99010212"/>
    <n v="215"/>
    <n v="404"/>
    <n v="2898"/>
    <n v="1440"/>
    <n v="2881"/>
    <n v="44"/>
    <n v="2013"/>
    <n v="404"/>
    <s v="2018 (triag)"/>
    <n v="215"/>
    <n v="2022"/>
    <x v="1"/>
    <n v="247.51749984375138"/>
    <n v="404"/>
    <s v="Decreasing"/>
    <n v="0.14126140610967886"/>
    <n v="5.4673730437993617E-2"/>
    <n v="199.3591251730922"/>
    <n v="476.0086704397724"/>
    <n v="5.9896525213353809E-3"/>
    <n v="4.6390202113728227E-2"/>
    <n v="4.0803871826877815E-2"/>
  </r>
  <r>
    <x v="8"/>
    <x v="8"/>
    <n v="70997874.500000104"/>
    <x v="5"/>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75.500000104"/>
    <x v="6"/>
    <n v="19"/>
    <n v="73460021"/>
    <n v="0"/>
    <m/>
    <n v="361"/>
    <m/>
    <n v="2192"/>
    <m/>
    <n v="0"/>
    <m/>
    <n v="0"/>
    <n v="87087354.999999985"/>
    <n v="119"/>
    <n v="535"/>
    <m/>
    <n v="0"/>
    <m/>
    <n v="776"/>
    <m/>
    <n v="91"/>
    <n v="99010212"/>
    <n v="0"/>
    <n v="535"/>
    <n v="2192"/>
    <n v="119"/>
    <n v="776"/>
    <n v="19"/>
    <n v="2012"/>
    <n v="535"/>
    <s v="2018 (triag)"/>
    <n v="91"/>
    <n v="2021"/>
    <x v="1"/>
    <n v="104.76322086409942"/>
    <n v="535"/>
    <s v="Decreasing"/>
    <n v="0.14126140610967886"/>
    <n v="5.4673730437993617E-2"/>
    <n v="264.0028019000107"/>
    <n v="630.35801654771842"/>
    <n v="2.5864408614857323E-3"/>
    <n v="6.1432569630803471E-2"/>
    <n v="5.4034830265791166E-2"/>
  </r>
  <r>
    <x v="8"/>
    <x v="8"/>
    <n v="70997876.500000104"/>
    <x v="7"/>
    <n v="634"/>
    <n v="73460021"/>
    <n v="0"/>
    <m/>
    <n v="163"/>
    <m/>
    <n v="1168"/>
    <m/>
    <n v="0"/>
    <m/>
    <n v="0"/>
    <n v="87087354.999999985"/>
    <n v="136"/>
    <n v="167"/>
    <m/>
    <n v="4362"/>
    <m/>
    <n v="3788"/>
    <m/>
    <n v="2684"/>
    <n v="99010212"/>
    <n v="233"/>
    <n v="167"/>
    <n v="1168"/>
    <n v="4362"/>
    <n v="3788"/>
    <n v="634"/>
    <n v="2012"/>
    <n v="167"/>
    <s v="2018 (triag)"/>
    <n v="233"/>
    <n v="2022"/>
    <x v="0"/>
    <n v="233"/>
    <n v="233"/>
    <s v="Increasing"/>
    <n v="0.14126140610967886"/>
    <n v="5.4673730437993617E-2"/>
    <n v="82.408351247293055"/>
    <n v="196.7659603055495"/>
    <n v="8.6305447693787077E-2"/>
    <n v="1.9176147903447065E-2"/>
    <n v="2.3532926078372603E-2"/>
  </r>
  <r>
    <x v="8"/>
    <x v="8"/>
    <n v="70997877.500000104"/>
    <x v="8"/>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78.500000104"/>
    <x v="9"/>
    <n v="0"/>
    <n v="73460021"/>
    <n v="0"/>
    <m/>
    <n v="0"/>
    <m/>
    <n v="0"/>
    <m/>
    <n v="0"/>
    <m/>
    <n v="0"/>
    <n v="87087354.999999985"/>
    <n v="0"/>
    <n v="2651"/>
    <m/>
    <n v="3342"/>
    <m/>
    <n v="0"/>
    <m/>
    <n v="3724"/>
    <n v="99010212"/>
    <n v="4695"/>
    <n v="2651"/>
    <n v="0"/>
    <n v="3342"/>
    <n v="4695"/>
    <n v="0"/>
    <s v=""/>
    <n v="2651"/>
    <s v="2018 (triag)"/>
    <n v="4695"/>
    <n v="2022"/>
    <x v="0"/>
    <n v="4695"/>
    <n v="4695"/>
    <s v="Increasing"/>
    <n v="0.14126140610967886"/>
    <n v="5.4673730437993617E-2"/>
    <n v="1308.1708931531371"/>
    <n v="3123.51233994019"/>
    <n v="0"/>
    <n v="0.30440699456310283"/>
    <n v="0.47419351046334496"/>
  </r>
  <r>
    <x v="8"/>
    <x v="8"/>
    <n v="70997879.500000104"/>
    <x v="10"/>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80.500000104"/>
    <x v="11"/>
    <n v="0"/>
    <n v="73460021"/>
    <n v="2126"/>
    <m/>
    <n v="0"/>
    <m/>
    <n v="0"/>
    <m/>
    <n v="0"/>
    <m/>
    <n v="0"/>
    <n v="87087354.999999985"/>
    <n v="2934"/>
    <n v="2934"/>
    <m/>
    <n v="0"/>
    <m/>
    <n v="0"/>
    <m/>
    <n v="0"/>
    <n v="99010212"/>
    <n v="0"/>
    <n v="0"/>
    <n v="2126"/>
    <n v="2934"/>
    <n v="0"/>
    <n v="2126"/>
    <n v="2013"/>
    <n v="2934"/>
    <n v="2018"/>
    <n v="2934"/>
    <n v="2018"/>
    <x v="0"/>
    <n v="2934"/>
    <n v="2934"/>
    <s v="No change"/>
    <n v="0.14126140610967886"/>
    <n v="5.4673730437993617E-2"/>
    <n v="0"/>
    <n v="0"/>
    <n v="0.28940911955361409"/>
    <n v="0.33690310148930352"/>
    <n v="0.29633306915856317"/>
  </r>
  <r>
    <x v="8"/>
    <x v="8"/>
    <n v="70997881.500000104"/>
    <x v="12"/>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82.500000104"/>
    <x v="13"/>
    <n v="0"/>
    <n v="73460021"/>
    <n v="287"/>
    <m/>
    <n v="0"/>
    <m/>
    <n v="0"/>
    <m/>
    <n v="0"/>
    <m/>
    <n v="0"/>
    <n v="87087354.999999985"/>
    <n v="0"/>
    <n v="338"/>
    <m/>
    <n v="0"/>
    <m/>
    <n v="0"/>
    <m/>
    <n v="439"/>
    <n v="99010212"/>
    <n v="528"/>
    <n v="338"/>
    <n v="287"/>
    <n v="0"/>
    <n v="528"/>
    <n v="287"/>
    <n v="2013"/>
    <n v="338"/>
    <s v="2018 (triag)"/>
    <n v="528"/>
    <n v="2022"/>
    <x v="0"/>
    <n v="528"/>
    <n v="528"/>
    <s v="Increasing"/>
    <n v="0.14126140610967886"/>
    <n v="5.4673730437993617E-2"/>
    <n v="166.79055521907219"/>
    <n v="398.24487774416605"/>
    <n v="3.9068869855073962E-2"/>
    <n v="3.8811604738713222E-2"/>
    <n v="5.3327832486612596E-2"/>
  </r>
  <r>
    <x v="8"/>
    <x v="8"/>
    <n v="70997883.500000104"/>
    <x v="14"/>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84.500000104"/>
    <x v="15"/>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85.500000104"/>
    <x v="16"/>
    <n v="0"/>
    <n v="73460021"/>
    <n v="0"/>
    <m/>
    <n v="0"/>
    <m/>
    <n v="0"/>
    <m/>
    <n v="0"/>
    <m/>
    <n v="0"/>
    <n v="87087354.999999985"/>
    <n v="0"/>
    <n v="74310"/>
    <m/>
    <n v="1939"/>
    <m/>
    <n v="0"/>
    <m/>
    <n v="1785"/>
    <n v="99010212"/>
    <n v="1803"/>
    <n v="74310"/>
    <n v="0"/>
    <n v="1939"/>
    <n v="1803"/>
    <n v="0"/>
    <s v=""/>
    <n v="74310"/>
    <s v="2018 (triag)"/>
    <n v="1803"/>
    <n v="2022"/>
    <x v="1"/>
    <n v="2075.6932661315523"/>
    <n v="74310"/>
    <s v="Decreasing"/>
    <n v="0.14126140610967886"/>
    <n v="5.4673730437993617E-2"/>
    <n v="36669.248989139807"/>
    <n v="87554.961139553183"/>
    <n v="0"/>
    <n v="8.5328116808691696"/>
    <n v="7.5052864243942841"/>
  </r>
  <r>
    <x v="8"/>
    <x v="8"/>
    <n v="70997886.500000104"/>
    <x v="17"/>
    <n v="0"/>
    <n v="73460021"/>
    <n v="0"/>
    <m/>
    <n v="0"/>
    <m/>
    <n v="0"/>
    <m/>
    <n v="0"/>
    <m/>
    <n v="0"/>
    <n v="87087354.999999985"/>
    <n v="0"/>
    <n v="1608"/>
    <m/>
    <n v="0"/>
    <m/>
    <n v="0"/>
    <m/>
    <n v="0"/>
    <n v="99010212"/>
    <n v="0"/>
    <n v="1608"/>
    <n v="0"/>
    <n v="0"/>
    <n v="0"/>
    <n v="0"/>
    <s v=""/>
    <n v="1608"/>
    <s v="2018 (triag)"/>
    <n v="1608"/>
    <s v="2018 (triag)"/>
    <x v="0"/>
    <n v="1608"/>
    <n v="1608"/>
    <s v="No change"/>
    <n v="0.14126140610967886"/>
    <n v="5.4673730437993617E-2"/>
    <n v="793.48879524339668"/>
    <n v="1894.6087674929556"/>
    <n v="0"/>
    <n v="0.18464219059127474"/>
    <n v="0.16240748984559289"/>
  </r>
  <r>
    <x v="8"/>
    <x v="8"/>
    <n v="70997887.500000104"/>
    <x v="18"/>
    <n v="0"/>
    <n v="73460021"/>
    <n v="0"/>
    <m/>
    <n v="0"/>
    <m/>
    <n v="0"/>
    <m/>
    <n v="0"/>
    <m/>
    <n v="0"/>
    <n v="87087354.999999985"/>
    <n v="0"/>
    <n v="2934"/>
    <m/>
    <n v="0"/>
    <m/>
    <n v="0"/>
    <m/>
    <n v="0"/>
    <n v="99010212"/>
    <n v="0"/>
    <n v="2934"/>
    <n v="0"/>
    <n v="0"/>
    <n v="0"/>
    <n v="0"/>
    <s v=""/>
    <n v="2934"/>
    <s v="2018 (triag)"/>
    <n v="2934"/>
    <s v="2018 (triag)"/>
    <x v="0"/>
    <n v="2934"/>
    <n v="2934"/>
    <s v="No change"/>
    <n v="0.14126140610967886"/>
    <n v="5.4673730437993617E-2"/>
    <n v="1447.820973410526"/>
    <n v="3456.9540571046837"/>
    <n v="0"/>
    <n v="0.33690310148930352"/>
    <n v="0.29633306915856317"/>
  </r>
  <r>
    <x v="8"/>
    <x v="8"/>
    <n v="70997888.500000104"/>
    <x v="19"/>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89.500000104"/>
    <x v="20"/>
    <n v="0"/>
    <n v="73460021"/>
    <n v="0"/>
    <m/>
    <n v="0"/>
    <m/>
    <n v="0"/>
    <m/>
    <n v="0"/>
    <m/>
    <n v="0"/>
    <n v="87087354.999999985"/>
    <n v="0"/>
    <n v="395"/>
    <m/>
    <n v="496"/>
    <m/>
    <n v="0"/>
    <m/>
    <n v="680"/>
    <n v="99010212"/>
    <n v="793"/>
    <n v="395"/>
    <n v="0"/>
    <n v="496"/>
    <n v="793"/>
    <n v="0"/>
    <s v=""/>
    <n v="395"/>
    <s v="2018 (triag)"/>
    <n v="793"/>
    <n v="2022"/>
    <x v="0"/>
    <n v="793"/>
    <n v="793"/>
    <s v="Increasing"/>
    <n v="0.14126140610967886"/>
    <n v="5.4673730437993617E-2"/>
    <n v="194.91795654299855"/>
    <n v="465.40451689037155"/>
    <n v="0"/>
    <n v="4.5356757017135277E-2"/>
    <n v="8.009274841265869E-2"/>
  </r>
  <r>
    <x v="8"/>
    <x v="8"/>
    <n v="70997890.500000104"/>
    <x v="21"/>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91.500000104"/>
    <x v="22"/>
    <n v="0"/>
    <n v="73460021"/>
    <n v="0"/>
    <m/>
    <n v="0"/>
    <m/>
    <n v="0"/>
    <m/>
    <n v="0"/>
    <m/>
    <n v="0"/>
    <n v="87087354.999999985"/>
    <n v="0"/>
    <n v="0"/>
    <m/>
    <n v="0"/>
    <m/>
    <n v="0"/>
    <m/>
    <n v="0"/>
    <n v="99010212"/>
    <n v="0"/>
    <n v="0"/>
    <n v="0"/>
    <n v="0"/>
    <n v="0"/>
    <n v="0"/>
    <s v=""/>
    <n v="0"/>
    <s v=""/>
    <n v="0"/>
    <s v=""/>
    <x v="0"/>
    <n v="0"/>
    <n v="0"/>
    <s v="No change"/>
    <n v="0.14126140610967886"/>
    <n v="5.4673730437993617E-2"/>
    <n v="0"/>
    <n v="0"/>
    <n v="0"/>
    <n v="0"/>
    <n v="0"/>
  </r>
  <r>
    <x v="8"/>
    <x v="8"/>
    <n v="70997892.500000104"/>
    <x v="23"/>
    <n v="0"/>
    <n v="73460021"/>
    <n v="0"/>
    <m/>
    <n v="0"/>
    <m/>
    <n v="0"/>
    <m/>
    <n v="0"/>
    <m/>
    <n v="0"/>
    <n v="87087354.999999985"/>
    <n v="0"/>
    <n v="0"/>
    <m/>
    <n v="0"/>
    <m/>
    <n v="0"/>
    <m/>
    <n v="0"/>
    <n v="99010212"/>
    <n v="0"/>
    <n v="0"/>
    <n v="0"/>
    <n v="0"/>
    <n v="0"/>
    <n v="0"/>
    <s v=""/>
    <n v="0"/>
    <s v=""/>
    <n v="0"/>
    <s v=""/>
    <x v="0"/>
    <n v="0"/>
    <n v="0"/>
    <s v="No change"/>
    <n v="0.14126140610967886"/>
    <n v="5.4673730437993617E-2"/>
    <n v="0"/>
    <n v="0"/>
    <n v="0"/>
    <n v="0"/>
    <n v="0"/>
  </r>
  <r>
    <x v="9"/>
    <x v="9"/>
    <n v="4713256.5000000028"/>
    <x v="0"/>
    <n v="0"/>
    <n v="4828066.5000000028"/>
    <n v="0"/>
    <n v="4944861.5000000019"/>
    <n v="0"/>
    <n v="5064386.0000000019"/>
    <n v="0"/>
    <n v="5186823.4999999981"/>
    <n v="1060"/>
    <n v="5312339.5000000009"/>
    <n v="0"/>
    <n v="5441061.9999999972"/>
    <n v="1088"/>
    <n v="1088"/>
    <n v="5570732.4999999953"/>
    <n v="0"/>
    <n v="5702174"/>
    <n v="0"/>
    <n v="5835806.0000000009"/>
    <n v="0"/>
    <n v="5970424.0000000009"/>
    <n v="2339"/>
    <n v="544"/>
    <n v="0"/>
    <n v="1088"/>
    <n v="2339"/>
    <n v="0"/>
    <s v=""/>
    <n v="1088"/>
    <n v="2018"/>
    <n v="2339"/>
    <n v="2022"/>
    <x v="0"/>
    <n v="2339"/>
    <n v="2339"/>
    <s v="Increasing"/>
    <n v="9.0847270748923847E-3"/>
    <n v="5.4673730437993617E-2"/>
    <n v="519.84235985058569"/>
    <n v="640.96217009711927"/>
    <n v="0"/>
    <n v="1.9996096350308092"/>
    <n v="3.9176447099904457"/>
  </r>
  <r>
    <x v="9"/>
    <x v="9"/>
    <n v="4713257.5"/>
    <x v="1"/>
    <n v="0"/>
    <n v="4828066.5000000028"/>
    <n v="6578"/>
    <m/>
    <n v="6916"/>
    <m/>
    <n v="7704"/>
    <m/>
    <n v="7434"/>
    <m/>
    <n v="0"/>
    <n v="5441061.9999999972"/>
    <n v="10162"/>
    <n v="10162"/>
    <m/>
    <n v="0"/>
    <m/>
    <n v="0"/>
    <m/>
    <n v="0"/>
    <n v="5970424.0000000009"/>
    <n v="11146"/>
    <n v="4012"/>
    <n v="7704"/>
    <n v="10162"/>
    <n v="11146"/>
    <n v="6578"/>
    <n v="2013"/>
    <n v="10162"/>
    <n v="2018"/>
    <n v="11146"/>
    <n v="2022"/>
    <x v="0"/>
    <n v="11146"/>
    <n v="11146"/>
    <s v="Increasing"/>
    <n v="9.0847270748923847E-3"/>
    <n v="5.4673730437993617E-2"/>
    <n v="3833.8374038980696"/>
    <n v="4727.0960044662552"/>
    <n v="13.624501650919672"/>
    <n v="18.676501021307981"/>
    <n v="18.668690866846305"/>
  </r>
  <r>
    <x v="9"/>
    <x v="9"/>
    <n v="4713258.5"/>
    <x v="2"/>
    <n v="0"/>
    <n v="4828066.5000000028"/>
    <n v="2564"/>
    <m/>
    <n v="0"/>
    <m/>
    <n v="0"/>
    <m/>
    <n v="1842"/>
    <m/>
    <n v="0"/>
    <n v="5441061.9999999972"/>
    <n v="0"/>
    <n v="1069"/>
    <m/>
    <n v="0"/>
    <m/>
    <n v="0"/>
    <m/>
    <n v="0"/>
    <n v="5970424.0000000009"/>
    <n v="1814"/>
    <n v="1069"/>
    <n v="2564"/>
    <n v="1842"/>
    <n v="1814"/>
    <n v="2564"/>
    <n v="2013"/>
    <n v="1069"/>
    <s v="2018 (triag)"/>
    <n v="1814"/>
    <n v="2022"/>
    <x v="0"/>
    <n v="1814"/>
    <n v="1814"/>
    <s v="Increasing"/>
    <n v="9.0847270748923847E-3"/>
    <n v="5.4673730437993617E-2"/>
    <n v="1021.5284608093311"/>
    <n v="1259.5377938121701"/>
    <n v="5.3106145078987597"/>
    <n v="1.9646899814778815"/>
    <n v="3.0383101769656555"/>
  </r>
  <r>
    <x v="9"/>
    <x v="9"/>
    <n v="4713259.5"/>
    <x v="3"/>
    <n v="704"/>
    <n v="4828066.5000000028"/>
    <n v="0"/>
    <m/>
    <n v="0"/>
    <m/>
    <n v="0"/>
    <m/>
    <n v="1839"/>
    <m/>
    <n v="207"/>
    <n v="5441061.9999999972"/>
    <n v="0"/>
    <n v="157"/>
    <m/>
    <n v="0"/>
    <m/>
    <n v="283"/>
    <m/>
    <n v="0"/>
    <n v="5970424.0000000009"/>
    <n v="0"/>
    <n v="157"/>
    <n v="704"/>
    <n v="1839"/>
    <n v="283"/>
    <n v="704"/>
    <n v="2012"/>
    <n v="157"/>
    <s v="2018 (triag)"/>
    <n v="283"/>
    <n v="2020"/>
    <x v="0"/>
    <n v="283"/>
    <n v="283"/>
    <s v="Increasing"/>
    <n v="9.0847270748923847E-3"/>
    <n v="5.4673730437993617E-2"/>
    <n v="150.02803400099626"/>
    <n v="184.98356747288184"/>
    <n v="1.45814064491448"/>
    <n v="0.28854661093735023"/>
    <n v="0.47400318637336303"/>
  </r>
  <r>
    <x v="9"/>
    <x v="9"/>
    <n v="4713260.5"/>
    <x v="4"/>
    <n v="278"/>
    <n v="4828066.5000000028"/>
    <n v="0"/>
    <m/>
    <n v="0"/>
    <m/>
    <n v="0"/>
    <m/>
    <n v="1037"/>
    <m/>
    <n v="0"/>
    <n v="5441061.9999999972"/>
    <n v="0"/>
    <n v="27"/>
    <m/>
    <n v="0"/>
    <m/>
    <n v="0"/>
    <m/>
    <n v="0"/>
    <n v="5970424.0000000009"/>
    <n v="0"/>
    <n v="27"/>
    <n v="278"/>
    <n v="1037"/>
    <n v="0"/>
    <n v="278"/>
    <n v="2012"/>
    <n v="27"/>
    <s v="2018 (triag)"/>
    <n v="27"/>
    <s v="2018 (triag)"/>
    <x v="0"/>
    <n v="27"/>
    <n v="27"/>
    <s v="No change"/>
    <n v="9.0847270748923847E-3"/>
    <n v="5.4673730437993617E-2"/>
    <n v="25.800999477878335"/>
    <n v="31.812460648202613"/>
    <n v="0.57579985694066116"/>
    <n v="4.9622665575213103E-2"/>
    <n v="4.5222918841274919E-2"/>
  </r>
  <r>
    <x v="9"/>
    <x v="9"/>
    <n v="4713261.5"/>
    <x v="5"/>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62.5"/>
    <x v="6"/>
    <n v="819"/>
    <n v="4828066.5000000028"/>
    <n v="0"/>
    <m/>
    <n v="0"/>
    <m/>
    <n v="0"/>
    <m/>
    <n v="0"/>
    <m/>
    <n v="0"/>
    <n v="5441061.9999999972"/>
    <n v="0"/>
    <n v="0"/>
    <m/>
    <n v="0"/>
    <m/>
    <n v="582"/>
    <m/>
    <n v="0"/>
    <n v="5970424.0000000009"/>
    <n v="0"/>
    <n v="0"/>
    <n v="819"/>
    <n v="0"/>
    <n v="582"/>
    <n v="819"/>
    <n v="2012"/>
    <n v="0"/>
    <s v=""/>
    <n v="582"/>
    <n v="2020"/>
    <x v="0"/>
    <n v="582"/>
    <n v="582"/>
    <s v="Increasing"/>
    <n v="9.0847270748923847E-3"/>
    <n v="5.4673730437993617E-2"/>
    <n v="0"/>
    <n v="0"/>
    <n v="1.6963312332172713"/>
    <n v="0"/>
    <n v="0.9748051394674816"/>
  </r>
  <r>
    <x v="9"/>
    <x v="9"/>
    <n v="4713263.5"/>
    <x v="7"/>
    <n v="4104"/>
    <n v="4828066.5000000028"/>
    <n v="0"/>
    <m/>
    <n v="0"/>
    <m/>
    <n v="0"/>
    <m/>
    <n v="2324"/>
    <m/>
    <n v="0"/>
    <n v="5441061.9999999972"/>
    <n v="0"/>
    <n v="374"/>
    <m/>
    <n v="0"/>
    <m/>
    <n v="0"/>
    <m/>
    <n v="0"/>
    <n v="5970424.0000000009"/>
    <n v="0"/>
    <n v="374"/>
    <n v="4104"/>
    <n v="2324"/>
    <n v="0"/>
    <n v="4104"/>
    <n v="2012"/>
    <n v="374"/>
    <s v="2018 (triag)"/>
    <n v="374"/>
    <s v="2018 (triag)"/>
    <x v="0"/>
    <n v="374"/>
    <n v="374"/>
    <s v="No change"/>
    <n v="9.0847270748923847E-3"/>
    <n v="5.4673730437993617E-2"/>
    <n v="357.39162239727767"/>
    <n v="440.6614919417695"/>
    <n v="8.5002971686491833"/>
    <n v="0.68736581204184066"/>
    <n v="0.62642117209766002"/>
  </r>
  <r>
    <x v="9"/>
    <x v="9"/>
    <n v="4713264.5"/>
    <x v="8"/>
    <n v="0"/>
    <n v="4828066.5000000028"/>
    <n v="0"/>
    <m/>
    <n v="0"/>
    <m/>
    <n v="0"/>
    <m/>
    <n v="565"/>
    <m/>
    <n v="0"/>
    <n v="5441061.9999999972"/>
    <n v="0"/>
    <n v="850"/>
    <m/>
    <n v="0"/>
    <m/>
    <n v="0"/>
    <m/>
    <n v="0"/>
    <n v="5970424.0000000009"/>
    <n v="0"/>
    <n v="850"/>
    <n v="0"/>
    <n v="565"/>
    <n v="0"/>
    <n v="0"/>
    <s v=""/>
    <n v="850"/>
    <s v="2018 (triag)"/>
    <n v="850"/>
    <s v="2018 (triag)"/>
    <x v="0"/>
    <n v="850"/>
    <n v="850"/>
    <s v="No change"/>
    <n v="9.0847270748923847E-3"/>
    <n v="5.4673730437993617E-2"/>
    <n v="812.25368726654017"/>
    <n v="1001.5033907767489"/>
    <n v="0"/>
    <n v="1.5621950273678198"/>
    <n v="1.4236844820401362"/>
  </r>
  <r>
    <x v="9"/>
    <x v="9"/>
    <n v="4713265.5"/>
    <x v="9"/>
    <n v="0"/>
    <n v="4828066.5000000028"/>
    <n v="0"/>
    <m/>
    <n v="0"/>
    <m/>
    <n v="0"/>
    <m/>
    <n v="0"/>
    <m/>
    <n v="0"/>
    <n v="5441061.9999999972"/>
    <n v="0"/>
    <n v="790"/>
    <m/>
    <n v="0"/>
    <m/>
    <n v="0"/>
    <m/>
    <n v="0"/>
    <n v="5970424.0000000009"/>
    <n v="0"/>
    <n v="790"/>
    <n v="0"/>
    <n v="0"/>
    <n v="0"/>
    <n v="0"/>
    <s v=""/>
    <n v="790"/>
    <s v="2018 (triag)"/>
    <n v="790"/>
    <s v="2018 (triag)"/>
    <x v="0"/>
    <n v="790"/>
    <n v="790"/>
    <s v="No change"/>
    <n v="9.0847270748923847E-3"/>
    <n v="5.4673730437993617E-2"/>
    <n v="754.91813287125501"/>
    <n v="930.80903378074311"/>
    <n v="0"/>
    <n v="1.4519224372006796"/>
    <n v="1.3231891068373032"/>
  </r>
  <r>
    <x v="9"/>
    <x v="9"/>
    <n v="4713266.5"/>
    <x v="10"/>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67.5"/>
    <x v="11"/>
    <n v="0"/>
    <n v="4828066.5000000028"/>
    <n v="0"/>
    <m/>
    <n v="0"/>
    <m/>
    <n v="0"/>
    <m/>
    <n v="0"/>
    <m/>
    <n v="0"/>
    <n v="5441061.9999999972"/>
    <n v="320"/>
    <n v="320"/>
    <m/>
    <n v="0"/>
    <m/>
    <n v="0"/>
    <m/>
    <n v="0"/>
    <n v="5970424.0000000009"/>
    <n v="0"/>
    <n v="216"/>
    <n v="0"/>
    <n v="320"/>
    <n v="0"/>
    <n v="0"/>
    <s v=""/>
    <n v="320"/>
    <n v="2018"/>
    <n v="320"/>
    <n v="2018"/>
    <x v="0"/>
    <n v="320"/>
    <n v="320"/>
    <s v="No change"/>
    <n v="9.0847270748923847E-3"/>
    <n v="5.4673730437993617E-2"/>
    <n v="206.40799582302668"/>
    <n v="254.4996851856209"/>
    <n v="0"/>
    <n v="0.58812048089141455"/>
    <n v="0.53597533441511014"/>
  </r>
  <r>
    <x v="9"/>
    <x v="9"/>
    <n v="4713268.5"/>
    <x v="12"/>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69.5"/>
    <x v="13"/>
    <n v="0"/>
    <n v="4828066.5000000028"/>
    <n v="0"/>
    <m/>
    <n v="0"/>
    <m/>
    <n v="0"/>
    <m/>
    <n v="0"/>
    <m/>
    <n v="0"/>
    <n v="5441061.9999999972"/>
    <n v="0"/>
    <n v="97"/>
    <m/>
    <n v="0"/>
    <m/>
    <n v="0"/>
    <m/>
    <n v="0"/>
    <n v="5970424.0000000009"/>
    <n v="0"/>
    <n v="97"/>
    <n v="0"/>
    <n v="0"/>
    <n v="0"/>
    <n v="0"/>
    <s v=""/>
    <n v="97"/>
    <s v="2018 (triag)"/>
    <n v="97"/>
    <s v="2018 (triag)"/>
    <x v="0"/>
    <n v="97"/>
    <n v="97"/>
    <s v="No change"/>
    <n v="9.0847270748923847E-3"/>
    <n v="5.4673730437993617E-2"/>
    <n v="92.692479605711057"/>
    <n v="114.28921047687605"/>
    <n v="0"/>
    <n v="0.17827402077021001"/>
    <n v="0.16246752324458025"/>
  </r>
  <r>
    <x v="9"/>
    <x v="9"/>
    <n v="4713270.5"/>
    <x v="14"/>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71.5"/>
    <x v="15"/>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72.5"/>
    <x v="16"/>
    <n v="0"/>
    <n v="4828066.5000000028"/>
    <n v="0"/>
    <m/>
    <n v="0"/>
    <m/>
    <n v="0"/>
    <m/>
    <n v="0"/>
    <m/>
    <n v="0"/>
    <n v="5441061.9999999972"/>
    <n v="0"/>
    <n v="111"/>
    <m/>
    <n v="0"/>
    <m/>
    <n v="0"/>
    <m/>
    <n v="0"/>
    <n v="5970424.0000000009"/>
    <n v="0"/>
    <n v="111"/>
    <n v="0"/>
    <n v="0"/>
    <n v="0"/>
    <n v="0"/>
    <s v=""/>
    <n v="111"/>
    <s v="2018 (triag)"/>
    <n v="111"/>
    <s v="2018 (triag)"/>
    <x v="0"/>
    <n v="111"/>
    <n v="111"/>
    <s v="No change"/>
    <n v="9.0847270748923847E-3"/>
    <n v="5.4673730437993617E-2"/>
    <n v="106.0707756312776"/>
    <n v="130.78456044261074"/>
    <n v="0"/>
    <n v="0.2040042918092094"/>
    <n v="0.18591644412524133"/>
  </r>
  <r>
    <x v="9"/>
    <x v="9"/>
    <n v="4713273.5"/>
    <x v="17"/>
    <n v="0"/>
    <n v="4828066.5000000028"/>
    <n v="0"/>
    <m/>
    <n v="0"/>
    <m/>
    <n v="0"/>
    <m/>
    <n v="0"/>
    <m/>
    <n v="0"/>
    <n v="5441061.9999999972"/>
    <n v="0"/>
    <n v="445"/>
    <m/>
    <n v="0"/>
    <m/>
    <n v="0"/>
    <m/>
    <n v="0"/>
    <n v="5970424.0000000009"/>
    <n v="0"/>
    <n v="445"/>
    <n v="0"/>
    <n v="0"/>
    <n v="0"/>
    <n v="0"/>
    <s v=""/>
    <n v="445"/>
    <s v="2018 (triag)"/>
    <n v="445"/>
    <s v="2018 (triag)"/>
    <x v="0"/>
    <n v="445"/>
    <n v="445"/>
    <s v="No change"/>
    <n v="9.0847270748923847E-3"/>
    <n v="5.4673730437993617E-2"/>
    <n v="425.23869509836516"/>
    <n v="524.31648105370971"/>
    <n v="0"/>
    <n v="0.81785504373962326"/>
    <n v="0.74534069942101255"/>
  </r>
  <r>
    <x v="9"/>
    <x v="9"/>
    <n v="4713274.5"/>
    <x v="18"/>
    <n v="0"/>
    <n v="4828066.5000000028"/>
    <n v="0"/>
    <m/>
    <n v="0"/>
    <m/>
    <n v="0"/>
    <m/>
    <n v="0"/>
    <m/>
    <n v="0"/>
    <n v="5441061.9999999972"/>
    <n v="0"/>
    <n v="320"/>
    <m/>
    <n v="0"/>
    <m/>
    <n v="0"/>
    <m/>
    <n v="0"/>
    <n v="5970424.0000000009"/>
    <n v="777"/>
    <n v="320"/>
    <n v="0"/>
    <n v="0"/>
    <n v="777"/>
    <n v="0"/>
    <s v=""/>
    <n v="320"/>
    <s v="2018 (triag)"/>
    <n v="777"/>
    <n v="2022"/>
    <x v="0"/>
    <n v="777"/>
    <n v="777"/>
    <s v="Increasing"/>
    <n v="9.0847270748923847E-3"/>
    <n v="5.4673730437993617E-2"/>
    <n v="305.78962344152103"/>
    <n v="377.03657064536429"/>
    <n v="0"/>
    <n v="0.58812048089141455"/>
    <n v="1.3014151088766892"/>
  </r>
  <r>
    <x v="9"/>
    <x v="9"/>
    <n v="4713275.5"/>
    <x v="19"/>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76.5"/>
    <x v="20"/>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77.5"/>
    <x v="21"/>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78.5"/>
    <x v="22"/>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9"/>
    <x v="9"/>
    <n v="4713279.5"/>
    <x v="23"/>
    <n v="0"/>
    <n v="4828066.5000000028"/>
    <n v="0"/>
    <m/>
    <n v="0"/>
    <m/>
    <n v="0"/>
    <m/>
    <n v="0"/>
    <m/>
    <n v="0"/>
    <n v="5441061.9999999972"/>
    <n v="0"/>
    <n v="0"/>
    <m/>
    <n v="0"/>
    <m/>
    <n v="0"/>
    <m/>
    <n v="0"/>
    <n v="5970424.0000000009"/>
    <n v="0"/>
    <n v="0"/>
    <n v="0"/>
    <n v="0"/>
    <n v="0"/>
    <n v="0"/>
    <s v=""/>
    <n v="0"/>
    <s v=""/>
    <n v="0"/>
    <s v=""/>
    <x v="0"/>
    <n v="0"/>
    <n v="0"/>
    <s v="No change"/>
    <n v="9.0847270748923847E-3"/>
    <n v="5.4673730437993617E-2"/>
    <n v="0"/>
    <n v="0"/>
    <n v="0"/>
    <n v="0"/>
    <n v="0"/>
  </r>
  <r>
    <x v="10"/>
    <x v="10"/>
    <n v="684552.49999999988"/>
    <x v="0"/>
    <n v="246"/>
    <n v="699392.50000000035"/>
    <n v="0"/>
    <n v="714612.00000000012"/>
    <n v="0"/>
    <n v="730215.49999999953"/>
    <n v="0"/>
    <n v="746232.00000000012"/>
    <n v="440"/>
    <n v="761663.99999999977"/>
    <n v="0"/>
    <n v="776313.5000000007"/>
    <n v="440"/>
    <n v="440"/>
    <n v="790986.00000000023"/>
    <n v="0"/>
    <n v="806166.00000000023"/>
    <n v="708"/>
    <n v="821625.49999999988"/>
    <n v="0"/>
    <n v="836773.49999999977"/>
    <n v="0"/>
    <n v="220"/>
    <n v="246"/>
    <n v="440"/>
    <n v="708"/>
    <n v="246"/>
    <n v="2012"/>
    <n v="440"/>
    <n v="2016"/>
    <n v="708"/>
    <n v="2020"/>
    <x v="0"/>
    <n v="708"/>
    <n v="708"/>
    <s v="Increasing"/>
    <n v="0.22761760688079957"/>
    <n v="5.4673730437993617E-2"/>
    <n v="70.494839739037275"/>
    <n v="259.21264231868793"/>
    <n v="3.5173382614197304"/>
    <n v="5.6678133254155645"/>
    <n v="8.4610710066702666"/>
  </r>
  <r>
    <x v="10"/>
    <x v="10"/>
    <n v="684553.5"/>
    <x v="1"/>
    <n v="0"/>
    <n v="699392.50000000035"/>
    <n v="0"/>
    <m/>
    <n v="0"/>
    <m/>
    <n v="0"/>
    <m/>
    <n v="0"/>
    <m/>
    <n v="0"/>
    <n v="776313.5000000007"/>
    <n v="1358"/>
    <n v="1358"/>
    <m/>
    <n v="0"/>
    <m/>
    <n v="1366"/>
    <m/>
    <n v="0"/>
    <n v="836773.49999999977"/>
    <n v="0"/>
    <n v="747"/>
    <n v="0"/>
    <n v="1358"/>
    <n v="1366"/>
    <n v="0"/>
    <s v=""/>
    <n v="1358"/>
    <n v="2018"/>
    <n v="1366"/>
    <n v="2020"/>
    <x v="0"/>
    <n v="1366"/>
    <n v="1366"/>
    <s v="Increasing"/>
    <n v="0.22761760688079957"/>
    <n v="5.4673730437993617E-2"/>
    <n v="239.36202402300387"/>
    <n v="880.14474460027225"/>
    <n v="0"/>
    <n v="17.492932945259856"/>
    <n v="16.324608750157605"/>
  </r>
  <r>
    <x v="10"/>
    <x v="10"/>
    <n v="684554.5"/>
    <x v="2"/>
    <n v="1334"/>
    <n v="699392.50000000035"/>
    <n v="590"/>
    <m/>
    <n v="0"/>
    <m/>
    <n v="0"/>
    <m/>
    <n v="1000"/>
    <m/>
    <n v="0"/>
    <n v="776313.5000000007"/>
    <n v="968"/>
    <n v="968"/>
    <m/>
    <n v="0"/>
    <m/>
    <n v="1172"/>
    <m/>
    <n v="0"/>
    <n v="836773.49999999977"/>
    <n v="0"/>
    <n v="487"/>
    <n v="1334"/>
    <n v="1000"/>
    <n v="1172"/>
    <n v="590"/>
    <n v="2013"/>
    <n v="968"/>
    <n v="2018"/>
    <n v="1172"/>
    <n v="2020"/>
    <x v="0"/>
    <n v="1172"/>
    <n v="1172"/>
    <s v="Increasing"/>
    <n v="0.22761760688079957"/>
    <n v="5.4673730437993617E-2"/>
    <n v="156.04994069505071"/>
    <n v="573.80253095091382"/>
    <n v="8.4358925782017931"/>
    <n v="12.469189315914242"/>
    <n v="14.006179689007842"/>
  </r>
  <r>
    <x v="10"/>
    <x v="10"/>
    <n v="684555.5"/>
    <x v="3"/>
    <n v="0"/>
    <n v="699392.50000000035"/>
    <n v="6"/>
    <m/>
    <n v="0"/>
    <m/>
    <n v="0"/>
    <m/>
    <n v="432"/>
    <m/>
    <n v="1462"/>
    <n v="776313.5000000007"/>
    <n v="0"/>
    <n v="55"/>
    <m/>
    <n v="0"/>
    <m/>
    <n v="0"/>
    <m/>
    <n v="4"/>
    <n v="836773.49999999977"/>
    <n v="0"/>
    <n v="55"/>
    <n v="6"/>
    <n v="1462"/>
    <n v="4"/>
    <n v="6"/>
    <n v="2013"/>
    <n v="55"/>
    <s v="2018 (triag)"/>
    <n v="4"/>
    <n v="2021"/>
    <x v="1"/>
    <n v="4.5971945772816607"/>
    <n v="55"/>
    <s v="Decreasing"/>
    <n v="0.22761760688079957"/>
    <n v="5.4673730437993617E-2"/>
    <n v="17.623709934759319"/>
    <n v="64.803160579671982"/>
    <n v="8.5788738083408062E-2"/>
    <n v="0.70847666567694556"/>
    <n v="0.65728658950122121"/>
  </r>
  <r>
    <x v="10"/>
    <x v="10"/>
    <n v="684556.5"/>
    <x v="4"/>
    <n v="0"/>
    <n v="699392.50000000035"/>
    <n v="181"/>
    <m/>
    <n v="0"/>
    <m/>
    <n v="0"/>
    <m/>
    <n v="301"/>
    <m/>
    <n v="374"/>
    <n v="776313.5000000007"/>
    <n v="0"/>
    <n v="32"/>
    <m/>
    <n v="0"/>
    <m/>
    <n v="0"/>
    <m/>
    <n v="14"/>
    <n v="836773.49999999977"/>
    <n v="0"/>
    <n v="32"/>
    <n v="181"/>
    <n v="374"/>
    <n v="14"/>
    <n v="181"/>
    <n v="2013"/>
    <n v="32"/>
    <s v="2018 (triag)"/>
    <n v="14"/>
    <n v="2021"/>
    <x v="1"/>
    <n v="16.090181020485812"/>
    <n v="32"/>
    <s v="Decreasing"/>
    <n v="0.22761760688079957"/>
    <n v="5.4673730437993617E-2"/>
    <n v="10.253794871132696"/>
    <n v="37.703657064536429"/>
    <n v="2.5879602655161431"/>
    <n v="0.41220460548476834"/>
    <n v="0.38242128843707418"/>
  </r>
  <r>
    <x v="10"/>
    <x v="10"/>
    <n v="684557.5"/>
    <x v="5"/>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58.5"/>
    <x v="6"/>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59.5"/>
    <x v="7"/>
    <n v="0"/>
    <n v="699392.50000000035"/>
    <n v="755"/>
    <m/>
    <n v="0"/>
    <m/>
    <n v="0"/>
    <m/>
    <n v="0"/>
    <m/>
    <n v="0"/>
    <n v="776313.5000000007"/>
    <n v="0"/>
    <n v="389"/>
    <m/>
    <n v="0"/>
    <m/>
    <n v="0"/>
    <m/>
    <n v="0"/>
    <n v="836773.49999999977"/>
    <n v="0"/>
    <n v="389"/>
    <n v="755"/>
    <n v="0"/>
    <n v="0"/>
    <n v="755"/>
    <n v="2013"/>
    <n v="389"/>
    <s v="2018 (triag)"/>
    <n v="389"/>
    <s v="2018 (triag)"/>
    <x v="0"/>
    <n v="389"/>
    <n v="389"/>
    <s v="No change"/>
    <n v="0.22761760688079957"/>
    <n v="5.4673730437993617E-2"/>
    <n v="124.64769390220683"/>
    <n v="458.33508119077095"/>
    <n v="10.795082875495513"/>
    <n v="5.0108622354242156"/>
    <n v="4.6488087875631834"/>
  </r>
  <r>
    <x v="10"/>
    <x v="10"/>
    <n v="684560.5"/>
    <x v="8"/>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61.5"/>
    <x v="9"/>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62.5"/>
    <x v="10"/>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63.5"/>
    <x v="11"/>
    <n v="0"/>
    <n v="699392.50000000035"/>
    <n v="0"/>
    <m/>
    <n v="0"/>
    <m/>
    <n v="0"/>
    <m/>
    <n v="0"/>
    <m/>
    <n v="0"/>
    <n v="776313.5000000007"/>
    <n v="0"/>
    <n v="161"/>
    <m/>
    <n v="0"/>
    <m/>
    <n v="0"/>
    <m/>
    <n v="0"/>
    <n v="836773.49999999977"/>
    <n v="0"/>
    <n v="161"/>
    <n v="0"/>
    <n v="0"/>
    <n v="0"/>
    <n v="0"/>
    <s v=""/>
    <n v="161"/>
    <s v="2018 (triag)"/>
    <n v="161"/>
    <s v="2018 (triag)"/>
    <x v="0"/>
    <n v="161"/>
    <n v="161"/>
    <s v="No change"/>
    <n v="0.22761760688079957"/>
    <n v="5.4673730437993617E-2"/>
    <n v="51.589405445386376"/>
    <n v="189.69652460594892"/>
    <n v="0"/>
    <n v="2.0739044213452407"/>
    <n v="1.9240571074490294"/>
  </r>
  <r>
    <x v="10"/>
    <x v="10"/>
    <n v="684564.5"/>
    <x v="12"/>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65.5"/>
    <x v="13"/>
    <n v="0"/>
    <n v="699392.50000000035"/>
    <n v="0"/>
    <m/>
    <n v="0"/>
    <m/>
    <n v="0"/>
    <m/>
    <n v="0"/>
    <m/>
    <n v="0"/>
    <n v="776313.5000000007"/>
    <n v="0"/>
    <n v="498"/>
    <m/>
    <n v="0"/>
    <m/>
    <n v="25"/>
    <m/>
    <n v="0"/>
    <n v="836773.49999999977"/>
    <n v="0"/>
    <n v="498"/>
    <n v="0"/>
    <n v="0"/>
    <n v="25"/>
    <n v="0"/>
    <s v=""/>
    <n v="498"/>
    <s v="2018 (triag)"/>
    <n v="25"/>
    <n v="2020"/>
    <x v="1"/>
    <n v="28.732466108010378"/>
    <n v="498"/>
    <s v="Decreasing"/>
    <n v="0.22761760688079957"/>
    <n v="5.4673730437993617E-2"/>
    <n v="159.57468268200256"/>
    <n v="586.76316306684816"/>
    <n v="0"/>
    <n v="6.4149341728567073"/>
    <n v="5.9514313013019668"/>
  </r>
  <r>
    <x v="10"/>
    <x v="10"/>
    <n v="684566.5"/>
    <x v="14"/>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67.5"/>
    <x v="15"/>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68.5"/>
    <x v="16"/>
    <n v="0"/>
    <n v="699392.50000000035"/>
    <n v="0"/>
    <m/>
    <n v="0"/>
    <m/>
    <n v="0"/>
    <m/>
    <n v="0"/>
    <m/>
    <n v="0"/>
    <n v="776313.5000000007"/>
    <n v="0"/>
    <n v="44"/>
    <m/>
    <n v="0"/>
    <m/>
    <n v="0"/>
    <m/>
    <n v="0"/>
    <n v="836773.49999999977"/>
    <n v="0"/>
    <n v="44"/>
    <n v="0"/>
    <n v="0"/>
    <n v="0"/>
    <n v="0"/>
    <s v=""/>
    <n v="44"/>
    <s v="2018 (triag)"/>
    <n v="44"/>
    <s v="2018 (triag)"/>
    <x v="0"/>
    <n v="44"/>
    <n v="44"/>
    <s v="No change"/>
    <n v="0.22761760688079957"/>
    <n v="5.4673730437993617E-2"/>
    <n v="14.098967947807456"/>
    <n v="51.842528463737594"/>
    <n v="0"/>
    <n v="0.56678133254155649"/>
    <n v="0.52582927160097703"/>
  </r>
  <r>
    <x v="10"/>
    <x v="10"/>
    <n v="684569.5"/>
    <x v="17"/>
    <n v="0"/>
    <n v="699392.50000000035"/>
    <n v="0"/>
    <m/>
    <n v="0"/>
    <m/>
    <n v="0"/>
    <m/>
    <n v="0"/>
    <m/>
    <n v="0"/>
    <n v="776313.5000000007"/>
    <n v="0"/>
    <n v="115"/>
    <m/>
    <n v="0"/>
    <m/>
    <n v="0"/>
    <m/>
    <n v="0"/>
    <n v="836773.49999999977"/>
    <n v="0"/>
    <n v="115"/>
    <n v="0"/>
    <n v="0"/>
    <n v="0"/>
    <n v="0"/>
    <s v=""/>
    <n v="115"/>
    <s v="2018 (triag)"/>
    <n v="115"/>
    <s v="2018 (triag)"/>
    <x v="0"/>
    <n v="115"/>
    <n v="115"/>
    <s v="No change"/>
    <n v="0.22761760688079957"/>
    <n v="5.4673730437993617E-2"/>
    <n v="36.849575318133127"/>
    <n v="135.49751757567779"/>
    <n v="0"/>
    <n v="1.4813603009608862"/>
    <n v="1.3743265053207354"/>
  </r>
  <r>
    <x v="10"/>
    <x v="10"/>
    <n v="684570.5"/>
    <x v="18"/>
    <n v="86"/>
    <n v="699392.50000000035"/>
    <n v="0"/>
    <m/>
    <n v="0"/>
    <m/>
    <n v="0"/>
    <m/>
    <n v="0"/>
    <m/>
    <n v="0"/>
    <n v="776313.5000000007"/>
    <n v="8"/>
    <n v="8"/>
    <m/>
    <n v="0"/>
    <m/>
    <n v="16"/>
    <m/>
    <n v="0"/>
    <n v="836773.49999999977"/>
    <n v="0"/>
    <n v="8"/>
    <n v="86"/>
    <n v="8"/>
    <n v="16"/>
    <n v="86"/>
    <n v="2012"/>
    <n v="8"/>
    <n v="2018"/>
    <n v="16"/>
    <n v="2020"/>
    <x v="0"/>
    <n v="16"/>
    <n v="16"/>
    <s v="Increasing"/>
    <n v="0.22761760688079957"/>
    <n v="5.4673730437993617E-2"/>
    <n v="2.563448717783174"/>
    <n v="9.4259142661341073"/>
    <n v="1.2296385791955156"/>
    <n v="0.10305115137119208"/>
    <n v="0.19121064421853709"/>
  </r>
  <r>
    <x v="10"/>
    <x v="10"/>
    <n v="684571.5"/>
    <x v="19"/>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72.5"/>
    <x v="20"/>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73.5"/>
    <x v="21"/>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74.5"/>
    <x v="22"/>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0"/>
    <x v="10"/>
    <n v="684575.5"/>
    <x v="23"/>
    <n v="0"/>
    <n v="699392.50000000035"/>
    <n v="0"/>
    <m/>
    <n v="0"/>
    <m/>
    <n v="0"/>
    <m/>
    <n v="0"/>
    <m/>
    <n v="0"/>
    <n v="776313.5000000007"/>
    <n v="0"/>
    <n v="0"/>
    <m/>
    <n v="0"/>
    <m/>
    <n v="0"/>
    <m/>
    <n v="0"/>
    <n v="836773.49999999977"/>
    <n v="0"/>
    <n v="0"/>
    <n v="0"/>
    <n v="0"/>
    <n v="0"/>
    <n v="0"/>
    <s v=""/>
    <n v="0"/>
    <s v=""/>
    <n v="0"/>
    <s v=""/>
    <x v="0"/>
    <n v="0"/>
    <n v="0"/>
    <s v="No change"/>
    <n v="0.22761760688079957"/>
    <n v="5.4673730437993617E-2"/>
    <n v="0"/>
    <n v="0"/>
    <n v="0"/>
    <n v="0"/>
    <n v="0"/>
  </r>
  <r>
    <x v="11"/>
    <x v="11"/>
    <n v="533864.00000000012"/>
    <x v="0"/>
    <n v="520"/>
    <n v="539939.99999999988"/>
    <n v="616"/>
    <n v="546076"/>
    <n v="0"/>
    <n v="552166.00000000012"/>
    <n v="820"/>
    <n v="558394.50000000035"/>
    <n v="816"/>
    <n v="564954.00000000035"/>
    <n v="0"/>
    <n v="571201.5"/>
    <n v="916"/>
    <n v="916"/>
    <n v="577030.49999999965"/>
    <n v="0"/>
    <n v="582640.00000000023"/>
    <n v="0"/>
    <n v="587925"/>
    <n v="0"/>
    <n v="593149.50000000012"/>
    <n v="5532"/>
    <n v="452"/>
    <n v="820"/>
    <n v="916"/>
    <n v="5532"/>
    <n v="616"/>
    <n v="2013"/>
    <n v="916"/>
    <n v="2018"/>
    <n v="5532"/>
    <n v="2022"/>
    <x v="0"/>
    <n v="5532"/>
    <n v="5532"/>
    <s v="Increasing"/>
    <n v="0.12998282689096063"/>
    <n v="5.4673730437993617E-2"/>
    <n v="235.98495320272337"/>
    <n v="532.56415603657706"/>
    <n v="11.408675037967184"/>
    <n v="16.036372453503709"/>
    <n v="93.264851441331388"/>
  </r>
  <r>
    <x v="11"/>
    <x v="11"/>
    <n v="533865"/>
    <x v="1"/>
    <n v="1102"/>
    <n v="539939.99999999988"/>
    <n v="806"/>
    <m/>
    <n v="952"/>
    <m/>
    <n v="996"/>
    <m/>
    <n v="1224"/>
    <m/>
    <n v="1376"/>
    <n v="571201.5"/>
    <n v="1412"/>
    <n v="1412"/>
    <m/>
    <n v="0"/>
    <m/>
    <n v="0"/>
    <m/>
    <n v="0"/>
    <n v="593149.50000000012"/>
    <n v="1882"/>
    <n v="768"/>
    <n v="1102"/>
    <n v="1412"/>
    <n v="1882"/>
    <n v="806"/>
    <n v="2013"/>
    <n v="1412"/>
    <n v="2018"/>
    <n v="1882"/>
    <n v="2022"/>
    <x v="0"/>
    <n v="1882"/>
    <n v="1882"/>
    <s v="Increasing"/>
    <n v="0.12998282689096063"/>
    <n v="5.4673730437993617E-2"/>
    <n v="400.96558420285743"/>
    <n v="904.8877695488743"/>
    <n v="14.927584546431088"/>
    <n v="24.719823039680392"/>
    <n v="31.72893174486364"/>
  </r>
  <r>
    <x v="11"/>
    <x v="11"/>
    <n v="533866"/>
    <x v="2"/>
    <n v="0"/>
    <n v="539939.99999999988"/>
    <n v="0"/>
    <m/>
    <n v="0"/>
    <m/>
    <n v="0"/>
    <m/>
    <n v="0"/>
    <m/>
    <n v="0"/>
    <n v="571201.5"/>
    <n v="0"/>
    <n v="27"/>
    <m/>
    <n v="0"/>
    <m/>
    <n v="0"/>
    <m/>
    <n v="0"/>
    <n v="593149.50000000012"/>
    <n v="0"/>
    <n v="27"/>
    <n v="0"/>
    <n v="0"/>
    <n v="0"/>
    <n v="0"/>
    <s v=""/>
    <n v="27"/>
    <s v="2018 (triag)"/>
    <n v="27"/>
    <s v="2018 (triag)"/>
    <x v="0"/>
    <n v="27"/>
    <n v="27"/>
    <s v="No change"/>
    <n v="0.12998282689096063"/>
    <n v="5.4673730437993617E-2"/>
    <n v="14.096446319631706"/>
    <n v="31.812460648202613"/>
    <n v="0"/>
    <n v="0.47268783432816613"/>
    <n v="0.45519721419304904"/>
  </r>
  <r>
    <x v="11"/>
    <x v="11"/>
    <n v="533867"/>
    <x v="3"/>
    <n v="377"/>
    <n v="539939.99999999988"/>
    <n v="0"/>
    <m/>
    <n v="351"/>
    <m/>
    <n v="0"/>
    <m/>
    <n v="0"/>
    <m/>
    <n v="0"/>
    <n v="571201.5"/>
    <n v="2168"/>
    <n v="2168"/>
    <m/>
    <n v="0"/>
    <m/>
    <n v="0"/>
    <m/>
    <n v="254"/>
    <n v="593149.50000000012"/>
    <n v="0"/>
    <n v="172"/>
    <n v="377"/>
    <n v="2168"/>
    <n v="254"/>
    <n v="377"/>
    <n v="2012"/>
    <n v="2168"/>
    <n v="2018"/>
    <n v="254"/>
    <n v="2021"/>
    <x v="1"/>
    <n v="315.83036471586092"/>
    <n v="2168"/>
    <s v="Decreasing"/>
    <n v="0.12998282689096063"/>
    <n v="5.4673730437993617E-2"/>
    <n v="89.799583962098268"/>
    <n v="202.6571567218833"/>
    <n v="6.9822572878467994"/>
    <n v="37.955082400869046"/>
    <n v="36.550650384093714"/>
  </r>
  <r>
    <x v="11"/>
    <x v="11"/>
    <n v="533868"/>
    <x v="4"/>
    <n v="147"/>
    <n v="539939.99999999988"/>
    <n v="6365"/>
    <m/>
    <n v="116"/>
    <m/>
    <n v="0"/>
    <m/>
    <n v="0"/>
    <m/>
    <n v="1210"/>
    <n v="571201.5"/>
    <n v="570"/>
    <n v="570"/>
    <m/>
    <n v="577"/>
    <m/>
    <n v="0"/>
    <m/>
    <n v="25"/>
    <n v="593149.50000000012"/>
    <n v="0"/>
    <n v="81"/>
    <n v="6365"/>
    <n v="1210"/>
    <n v="25"/>
    <n v="6365"/>
    <n v="2013"/>
    <n v="570"/>
    <n v="2018"/>
    <n v="25"/>
    <n v="2021"/>
    <x v="1"/>
    <n v="31.085665818490249"/>
    <n v="570"/>
    <s v="Decreasing"/>
    <n v="0.12998282689096063"/>
    <n v="5.4673730437993617E-2"/>
    <n v="42.289338958895115"/>
    <n v="95.437381944607836"/>
    <n v="117.88346853354079"/>
    <n v="9.9789653913723964"/>
    <n v="9.6097189662977023"/>
  </r>
  <r>
    <x v="11"/>
    <x v="11"/>
    <n v="533869"/>
    <x v="5"/>
    <n v="0"/>
    <n v="539939.99999999988"/>
    <n v="0"/>
    <m/>
    <n v="0"/>
    <m/>
    <n v="0"/>
    <m/>
    <n v="0"/>
    <m/>
    <n v="0"/>
    <n v="571201.5"/>
    <n v="117"/>
    <n v="117"/>
    <m/>
    <n v="0"/>
    <m/>
    <n v="0"/>
    <m/>
    <n v="0"/>
    <n v="593149.50000000012"/>
    <n v="155"/>
    <n v="117"/>
    <n v="0"/>
    <n v="117"/>
    <n v="155"/>
    <n v="0"/>
    <s v=""/>
    <n v="117"/>
    <n v="2018"/>
    <n v="155"/>
    <n v="2022"/>
    <x v="0"/>
    <n v="155"/>
    <n v="155"/>
    <s v="Increasing"/>
    <n v="0.12998282689096063"/>
    <n v="5.4673730437993617E-2"/>
    <n v="61.084600718404062"/>
    <n v="137.85399614221132"/>
    <n v="0"/>
    <n v="2.0483139487553865"/>
    <n v="2.613169192589726"/>
  </r>
  <r>
    <x v="11"/>
    <x v="11"/>
    <n v="533870"/>
    <x v="6"/>
    <n v="130"/>
    <n v="539939.99999999988"/>
    <n v="3781"/>
    <m/>
    <n v="168"/>
    <m/>
    <n v="0"/>
    <m/>
    <n v="0"/>
    <m/>
    <n v="0"/>
    <n v="571201.5"/>
    <n v="0"/>
    <n v="18"/>
    <m/>
    <n v="0"/>
    <m/>
    <n v="0"/>
    <m/>
    <n v="6"/>
    <n v="593149.50000000012"/>
    <n v="0"/>
    <n v="18"/>
    <n v="3781"/>
    <n v="0"/>
    <n v="6"/>
    <n v="3781"/>
    <n v="2013"/>
    <n v="18"/>
    <s v="2018 (triag)"/>
    <n v="6"/>
    <n v="2021"/>
    <x v="1"/>
    <n v="7.4605597964376598"/>
    <n v="18"/>
    <s v="Decreasing"/>
    <n v="0.12998282689096063"/>
    <n v="5.4673730437993617E-2"/>
    <n v="9.3976308797544696"/>
    <n v="21.20830709880174"/>
    <n v="70.026299218431689"/>
    <n v="0.31512522288544409"/>
    <n v="0.30346480946203269"/>
  </r>
  <r>
    <x v="11"/>
    <x v="11"/>
    <n v="533871"/>
    <x v="7"/>
    <n v="121"/>
    <n v="539939.99999999988"/>
    <n v="3881"/>
    <m/>
    <n v="8"/>
    <m/>
    <n v="0"/>
    <m/>
    <n v="0"/>
    <m/>
    <n v="0"/>
    <n v="571201.5"/>
    <n v="3207"/>
    <n v="3207"/>
    <m/>
    <n v="0"/>
    <m/>
    <n v="0"/>
    <m/>
    <n v="353"/>
    <n v="593149.50000000012"/>
    <n v="0"/>
    <n v="1"/>
    <n v="3881"/>
    <n v="3207"/>
    <n v="353"/>
    <n v="3881"/>
    <n v="2013"/>
    <n v="3207"/>
    <n v="2018"/>
    <n v="353"/>
    <n v="2021"/>
    <x v="1"/>
    <n v="438.92960135708233"/>
    <n v="3207"/>
    <s v="Decreasing"/>
    <n v="0.12998282689096063"/>
    <n v="5.4673730437993617E-2"/>
    <n v="0.52209060443080391"/>
    <n v="1.1782392832667634"/>
    <n v="71.878356854465324"/>
    <n v="56.144810544089957"/>
    <n v="54.067313552485494"/>
  </r>
  <r>
    <x v="11"/>
    <x v="11"/>
    <n v="533872"/>
    <x v="8"/>
    <n v="0"/>
    <n v="539939.99999999988"/>
    <n v="0"/>
    <m/>
    <n v="0"/>
    <m/>
    <n v="0"/>
    <m/>
    <n v="0"/>
    <m/>
    <n v="0"/>
    <n v="571201.5"/>
    <n v="0"/>
    <n v="149"/>
    <m/>
    <n v="0"/>
    <m/>
    <n v="0"/>
    <m/>
    <n v="0"/>
    <n v="593149.50000000012"/>
    <n v="0"/>
    <n v="149"/>
    <n v="0"/>
    <n v="0"/>
    <n v="0"/>
    <n v="0"/>
    <s v=""/>
    <n v="149"/>
    <s v="2018 (triag)"/>
    <n v="149"/>
    <s v="2018 (triag)"/>
    <x v="0"/>
    <n v="149"/>
    <n v="149"/>
    <s v="No change"/>
    <n v="0.12998282689096063"/>
    <n v="5.4673730437993617E-2"/>
    <n v="77.79150006018979"/>
    <n v="175.55765320674774"/>
    <n v="0"/>
    <n v="2.6085365672183984"/>
    <n v="2.5120142561023817"/>
  </r>
  <r>
    <x v="11"/>
    <x v="11"/>
    <n v="533873"/>
    <x v="9"/>
    <n v="0"/>
    <n v="539939.99999999988"/>
    <n v="0"/>
    <m/>
    <n v="0"/>
    <m/>
    <n v="0"/>
    <m/>
    <n v="0"/>
    <m/>
    <n v="0"/>
    <n v="571201.5"/>
    <n v="0"/>
    <n v="61"/>
    <m/>
    <n v="0"/>
    <m/>
    <n v="0"/>
    <m/>
    <n v="0"/>
    <n v="593149.50000000012"/>
    <n v="0"/>
    <n v="61"/>
    <n v="0"/>
    <n v="0"/>
    <n v="0"/>
    <n v="0"/>
    <s v=""/>
    <n v="61"/>
    <s v="2018 (triag)"/>
    <n v="61"/>
    <s v="2018 (triag)"/>
    <x v="0"/>
    <n v="61"/>
    <n v="61"/>
    <s v="No change"/>
    <n v="0.12998282689096063"/>
    <n v="5.4673730437993617E-2"/>
    <n v="31.84752687027904"/>
    <n v="71.872596279272571"/>
    <n v="0"/>
    <n v="1.0679243664451161"/>
    <n v="1.0284085209546663"/>
  </r>
  <r>
    <x v="11"/>
    <x v="11"/>
    <n v="533874"/>
    <x v="10"/>
    <n v="0"/>
    <n v="539939.99999999988"/>
    <n v="0"/>
    <m/>
    <n v="0"/>
    <m/>
    <n v="0"/>
    <m/>
    <n v="0"/>
    <m/>
    <n v="0"/>
    <n v="571201.5"/>
    <n v="0"/>
    <n v="20"/>
    <m/>
    <n v="20"/>
    <m/>
    <n v="0"/>
    <m/>
    <n v="0"/>
    <n v="593149.50000000012"/>
    <n v="0"/>
    <n v="20"/>
    <n v="0"/>
    <n v="20"/>
    <n v="0"/>
    <n v="0"/>
    <s v=""/>
    <n v="20"/>
    <s v="2018 (triag)"/>
    <n v="20"/>
    <s v="2018 (triag)"/>
    <x v="0"/>
    <n v="20"/>
    <n v="20"/>
    <s v="No change"/>
    <n v="0.12998282689096063"/>
    <n v="5.4673730437993617E-2"/>
    <n v="10.441812088616079"/>
    <n v="23.564785665335268"/>
    <n v="0"/>
    <n v="0.35013913653938233"/>
    <n v="0.33718312162448077"/>
  </r>
  <r>
    <x v="11"/>
    <x v="11"/>
    <n v="533875"/>
    <x v="11"/>
    <n v="0"/>
    <n v="539939.99999999988"/>
    <n v="0"/>
    <m/>
    <n v="0"/>
    <m/>
    <n v="0"/>
    <m/>
    <n v="0"/>
    <m/>
    <n v="0"/>
    <n v="571201.5"/>
    <n v="65"/>
    <n v="65"/>
    <m/>
    <n v="0"/>
    <m/>
    <n v="0"/>
    <m/>
    <n v="0"/>
    <n v="593149.50000000012"/>
    <n v="0"/>
    <n v="11"/>
    <n v="0"/>
    <n v="65"/>
    <n v="0"/>
    <n v="0"/>
    <s v=""/>
    <n v="65"/>
    <n v="2018"/>
    <n v="65"/>
    <n v="2018"/>
    <x v="0"/>
    <n v="65"/>
    <n v="65"/>
    <s v="No change"/>
    <n v="0.12998282689096063"/>
    <n v="5.4673730437993617E-2"/>
    <n v="5.7429966487388429"/>
    <n v="12.960632115934398"/>
    <n v="0"/>
    <n v="1.1379521937529926"/>
    <n v="1.0958451452795626"/>
  </r>
  <r>
    <x v="11"/>
    <x v="11"/>
    <n v="533876"/>
    <x v="12"/>
    <n v="0"/>
    <n v="539939.99999999988"/>
    <n v="0"/>
    <m/>
    <n v="0"/>
    <m/>
    <n v="0"/>
    <m/>
    <n v="0"/>
    <m/>
    <n v="0"/>
    <n v="571201.5"/>
    <n v="0"/>
    <n v="3"/>
    <m/>
    <n v="0"/>
    <m/>
    <n v="0"/>
    <m/>
    <n v="0"/>
    <n v="593149.50000000012"/>
    <n v="0"/>
    <n v="3"/>
    <n v="0"/>
    <n v="0"/>
    <n v="0"/>
    <n v="0"/>
    <s v=""/>
    <n v="3"/>
    <s v="2018 (triag)"/>
    <n v="3"/>
    <s v="2018 (triag)"/>
    <x v="0"/>
    <n v="3"/>
    <n v="3"/>
    <s v="No change"/>
    <n v="0.12998282689096063"/>
    <n v="5.4673730437993617E-2"/>
    <n v="1.5662718132924118"/>
    <n v="3.5347178498002902"/>
    <n v="0"/>
    <n v="5.2520870480907353E-2"/>
    <n v="5.0577468243672118E-2"/>
  </r>
  <r>
    <x v="11"/>
    <x v="11"/>
    <n v="533877"/>
    <x v="13"/>
    <n v="0"/>
    <n v="539939.99999999988"/>
    <n v="0"/>
    <m/>
    <n v="0"/>
    <m/>
    <n v="0"/>
    <m/>
    <n v="0"/>
    <m/>
    <n v="0"/>
    <n v="571201.5"/>
    <n v="0"/>
    <n v="27"/>
    <m/>
    <n v="0"/>
    <m/>
    <n v="0"/>
    <m/>
    <n v="0"/>
    <n v="593149.50000000012"/>
    <n v="0"/>
    <n v="27"/>
    <n v="0"/>
    <n v="0"/>
    <n v="0"/>
    <n v="0"/>
    <s v=""/>
    <n v="27"/>
    <s v="2018 (triag)"/>
    <n v="27"/>
    <s v="2018 (triag)"/>
    <x v="0"/>
    <n v="27"/>
    <n v="27"/>
    <s v="No change"/>
    <n v="0.12998282689096063"/>
    <n v="5.4673730437993617E-2"/>
    <n v="14.096446319631706"/>
    <n v="31.812460648202613"/>
    <n v="0"/>
    <n v="0.47268783432816613"/>
    <n v="0.45519721419304904"/>
  </r>
  <r>
    <x v="11"/>
    <x v="11"/>
    <n v="533878"/>
    <x v="14"/>
    <n v="0"/>
    <n v="539939.99999999988"/>
    <n v="0"/>
    <m/>
    <n v="0"/>
    <m/>
    <n v="0"/>
    <m/>
    <n v="0"/>
    <m/>
    <n v="0"/>
    <n v="571201.5"/>
    <n v="0"/>
    <n v="14"/>
    <m/>
    <n v="0"/>
    <m/>
    <n v="0"/>
    <m/>
    <n v="0"/>
    <n v="593149.50000000012"/>
    <n v="0"/>
    <n v="14"/>
    <n v="0"/>
    <n v="0"/>
    <n v="0"/>
    <n v="0"/>
    <s v=""/>
    <n v="14"/>
    <s v="2018 (triag)"/>
    <n v="14"/>
    <s v="2018 (triag)"/>
    <x v="0"/>
    <n v="14"/>
    <n v="14"/>
    <s v="No change"/>
    <n v="0.12998282689096063"/>
    <n v="5.4673730437993617E-2"/>
    <n v="7.3092684620312545"/>
    <n v="16.49534996573469"/>
    <n v="0"/>
    <n v="0.24509739557756763"/>
    <n v="0.23602818513713655"/>
  </r>
  <r>
    <x v="11"/>
    <x v="11"/>
    <n v="533879"/>
    <x v="15"/>
    <n v="0"/>
    <n v="539939.99999999988"/>
    <n v="0"/>
    <m/>
    <n v="0"/>
    <m/>
    <n v="0"/>
    <m/>
    <n v="0"/>
    <m/>
    <n v="0"/>
    <n v="571201.5"/>
    <n v="0"/>
    <n v="40"/>
    <m/>
    <n v="0"/>
    <m/>
    <n v="0"/>
    <m/>
    <n v="0"/>
    <n v="593149.50000000012"/>
    <n v="4"/>
    <n v="40"/>
    <n v="0"/>
    <n v="0"/>
    <n v="4"/>
    <n v="0"/>
    <s v=""/>
    <n v="40"/>
    <s v="2018 (triag)"/>
    <n v="4"/>
    <n v="2022"/>
    <x v="1"/>
    <n v="4.9737065309584398"/>
    <n v="40"/>
    <s v="Decreasing"/>
    <n v="0.12998282689096063"/>
    <n v="5.4673730437993617E-2"/>
    <n v="20.883624177232157"/>
    <n v="47.129571330670537"/>
    <n v="0"/>
    <n v="0.70027827307876467"/>
    <n v="0.67436624324896155"/>
  </r>
  <r>
    <x v="11"/>
    <x v="11"/>
    <n v="533880"/>
    <x v="16"/>
    <n v="0"/>
    <n v="539939.99999999988"/>
    <n v="0"/>
    <m/>
    <n v="0"/>
    <m/>
    <n v="0"/>
    <m/>
    <n v="0"/>
    <m/>
    <n v="0"/>
    <n v="571201.5"/>
    <n v="0"/>
    <n v="1357"/>
    <m/>
    <n v="0"/>
    <m/>
    <n v="0"/>
    <m/>
    <n v="0"/>
    <n v="593149.50000000012"/>
    <n v="0"/>
    <n v="1357"/>
    <n v="0"/>
    <n v="0"/>
    <n v="0"/>
    <n v="0"/>
    <s v=""/>
    <n v="1357"/>
    <s v="2018 (triag)"/>
    <n v="1357"/>
    <s v="2018 (triag)"/>
    <x v="0"/>
    <n v="1357"/>
    <n v="1357"/>
    <s v="No change"/>
    <n v="0.12998282689096063"/>
    <n v="5.4673730437993617E-2"/>
    <n v="708.47695021260097"/>
    <n v="1598.8707073929979"/>
    <n v="0"/>
    <n v="23.756940414197093"/>
    <n v="22.877874802221022"/>
  </r>
  <r>
    <x v="11"/>
    <x v="11"/>
    <n v="533881"/>
    <x v="17"/>
    <n v="0"/>
    <n v="539939.99999999988"/>
    <n v="0"/>
    <m/>
    <n v="0"/>
    <m/>
    <n v="0"/>
    <m/>
    <n v="0"/>
    <m/>
    <n v="0"/>
    <n v="571201.5"/>
    <n v="0"/>
    <n v="95"/>
    <m/>
    <n v="0"/>
    <m/>
    <n v="0"/>
    <m/>
    <n v="0"/>
    <n v="593149.50000000012"/>
    <n v="0"/>
    <n v="95"/>
    <n v="0"/>
    <n v="0"/>
    <n v="0"/>
    <n v="0"/>
    <s v=""/>
    <n v="95"/>
    <s v="2018 (triag)"/>
    <n v="95"/>
    <s v="2018 (triag)"/>
    <x v="0"/>
    <n v="95"/>
    <n v="95"/>
    <s v="No change"/>
    <n v="0.12998282689096063"/>
    <n v="5.4673730437993617E-2"/>
    <n v="49.598607420926371"/>
    <n v="111.93273191034253"/>
    <n v="0"/>
    <n v="1.6631608985620661"/>
    <n v="1.6016198277162836"/>
  </r>
  <r>
    <x v="11"/>
    <x v="11"/>
    <n v="533882"/>
    <x v="18"/>
    <n v="0"/>
    <n v="539939.99999999988"/>
    <n v="0"/>
    <m/>
    <n v="0"/>
    <m/>
    <n v="0"/>
    <m/>
    <n v="0"/>
    <m/>
    <n v="0"/>
    <n v="571201.5"/>
    <n v="0"/>
    <n v="65"/>
    <m/>
    <n v="0"/>
    <m/>
    <n v="0"/>
    <m/>
    <n v="0"/>
    <n v="593149.50000000012"/>
    <n v="0"/>
    <n v="65"/>
    <n v="0"/>
    <n v="0"/>
    <n v="0"/>
    <n v="0"/>
    <s v=""/>
    <n v="65"/>
    <s v="2018 (triag)"/>
    <n v="65"/>
    <s v="2018 (triag)"/>
    <x v="0"/>
    <n v="65"/>
    <n v="65"/>
    <s v="No change"/>
    <n v="0.12998282689096063"/>
    <n v="5.4673730437993617E-2"/>
    <n v="33.935889288002258"/>
    <n v="76.585553412339621"/>
    <n v="0"/>
    <n v="1.1379521937529926"/>
    <n v="1.0958451452795626"/>
  </r>
  <r>
    <x v="11"/>
    <x v="11"/>
    <n v="533883"/>
    <x v="19"/>
    <n v="0"/>
    <n v="539939.99999999988"/>
    <n v="0"/>
    <m/>
    <n v="0"/>
    <m/>
    <n v="0"/>
    <m/>
    <n v="0"/>
    <m/>
    <n v="0"/>
    <n v="571201.5"/>
    <n v="0"/>
    <n v="0"/>
    <m/>
    <n v="0"/>
    <m/>
    <n v="0"/>
    <m/>
    <n v="0"/>
    <n v="593149.50000000012"/>
    <n v="0"/>
    <n v="0"/>
    <n v="0"/>
    <n v="0"/>
    <n v="0"/>
    <n v="0"/>
    <s v=""/>
    <n v="0"/>
    <s v=""/>
    <n v="0"/>
    <s v=""/>
    <x v="0"/>
    <n v="0"/>
    <n v="0"/>
    <s v="No change"/>
    <n v="0.12998282689096063"/>
    <n v="5.4673730437993617E-2"/>
    <n v="0"/>
    <n v="0"/>
    <n v="0"/>
    <n v="0"/>
    <n v="0"/>
  </r>
  <r>
    <x v="11"/>
    <x v="11"/>
    <n v="533884"/>
    <x v="20"/>
    <n v="0"/>
    <n v="539939.99999999988"/>
    <n v="0"/>
    <m/>
    <n v="0"/>
    <m/>
    <n v="0"/>
    <m/>
    <n v="0"/>
    <m/>
    <n v="0"/>
    <n v="571201.5"/>
    <n v="0"/>
    <n v="58"/>
    <m/>
    <n v="0"/>
    <m/>
    <n v="0"/>
    <m/>
    <n v="0"/>
    <n v="593149.50000000012"/>
    <n v="10"/>
    <n v="58"/>
    <n v="0"/>
    <n v="0"/>
    <n v="10"/>
    <n v="0"/>
    <s v=""/>
    <n v="58"/>
    <s v="2018 (triag)"/>
    <n v="10"/>
    <n v="2022"/>
    <x v="1"/>
    <n v="12.434266327396099"/>
    <n v="58"/>
    <s v="Decreasing"/>
    <n v="0.12998282689096063"/>
    <n v="5.4673730437993617E-2"/>
    <n v="30.281255056986627"/>
    <n v="68.337878429472283"/>
    <n v="0"/>
    <n v="1.0154034959642089"/>
    <n v="0.97783105271099424"/>
  </r>
  <r>
    <x v="11"/>
    <x v="11"/>
    <n v="533885"/>
    <x v="21"/>
    <n v="0"/>
    <n v="539939.99999999988"/>
    <n v="0"/>
    <m/>
    <n v="0"/>
    <m/>
    <n v="0"/>
    <m/>
    <n v="0"/>
    <m/>
    <n v="0"/>
    <n v="571201.5"/>
    <n v="0"/>
    <n v="0"/>
    <m/>
    <n v="0"/>
    <m/>
    <n v="0"/>
    <m/>
    <n v="0"/>
    <n v="593149.50000000012"/>
    <n v="0"/>
    <n v="0"/>
    <n v="0"/>
    <n v="0"/>
    <n v="0"/>
    <n v="0"/>
    <s v=""/>
    <n v="0"/>
    <s v=""/>
    <n v="0"/>
    <s v=""/>
    <x v="0"/>
    <n v="0"/>
    <n v="0"/>
    <s v="No change"/>
    <n v="0.12998282689096063"/>
    <n v="5.4673730437993617E-2"/>
    <n v="0"/>
    <n v="0"/>
    <n v="0"/>
    <n v="0"/>
    <n v="0"/>
  </r>
  <r>
    <x v="11"/>
    <x v="11"/>
    <n v="533886"/>
    <x v="22"/>
    <n v="0"/>
    <n v="539939.99999999988"/>
    <n v="0"/>
    <m/>
    <n v="0"/>
    <m/>
    <n v="0"/>
    <m/>
    <n v="0"/>
    <m/>
    <n v="0"/>
    <n v="571201.5"/>
    <n v="0"/>
    <n v="0"/>
    <m/>
    <n v="0"/>
    <m/>
    <n v="0"/>
    <m/>
    <n v="0"/>
    <n v="593149.50000000012"/>
    <n v="0"/>
    <n v="0"/>
    <n v="0"/>
    <n v="0"/>
    <n v="0"/>
    <n v="0"/>
    <s v=""/>
    <n v="0"/>
    <s v=""/>
    <n v="0"/>
    <s v=""/>
    <x v="0"/>
    <n v="0"/>
    <n v="0"/>
    <s v="No change"/>
    <n v="0.12998282689096063"/>
    <n v="5.4673730437993617E-2"/>
    <n v="0"/>
    <n v="0"/>
    <n v="0"/>
    <n v="0"/>
    <n v="0"/>
  </r>
  <r>
    <x v="11"/>
    <x v="11"/>
    <n v="533887"/>
    <x v="23"/>
    <n v="0"/>
    <n v="539939.99999999988"/>
    <n v="0"/>
    <m/>
    <n v="0"/>
    <m/>
    <n v="0"/>
    <m/>
    <n v="0"/>
    <m/>
    <n v="0"/>
    <n v="571201.5"/>
    <n v="0"/>
    <n v="1"/>
    <m/>
    <n v="0"/>
    <m/>
    <n v="0"/>
    <m/>
    <n v="0"/>
    <n v="593149.50000000012"/>
    <n v="0"/>
    <n v="1"/>
    <n v="0"/>
    <n v="0"/>
    <n v="0"/>
    <n v="0"/>
    <s v=""/>
    <n v="1"/>
    <s v="2018 (triag)"/>
    <n v="1"/>
    <s v="2018 (triag)"/>
    <x v="0"/>
    <n v="1"/>
    <n v="1"/>
    <s v="No change"/>
    <n v="0.12998282689096063"/>
    <n v="5.4673730437993617E-2"/>
    <n v="0.52209060443080391"/>
    <n v="1.1782392832667634"/>
    <n v="0"/>
    <n v="1.7506956826969115E-2"/>
    <n v="1.6859156081224038E-2"/>
  </r>
  <r>
    <x v="12"/>
    <x v="12"/>
    <n v="37260562.50000003"/>
    <x v="0"/>
    <n v="0"/>
    <n v="38000626.500000022"/>
    <n v="4628"/>
    <n v="38760167.5"/>
    <n v="612"/>
    <n v="39543154.499999985"/>
    <n v="0"/>
    <n v="40339328.5"/>
    <n v="148618"/>
    <n v="41136545.999999985"/>
    <n v="0"/>
    <n v="41927007.000000007"/>
    <n v="185038"/>
    <n v="185038"/>
    <n v="42705368.50000003"/>
    <n v="84280"/>
    <n v="43451665.999999985"/>
    <n v="0"/>
    <n v="44177968.500000007"/>
    <n v="0"/>
    <n v="44903225.000000007"/>
    <n v="0"/>
    <n v="73168"/>
    <n v="4628"/>
    <n v="185038"/>
    <n v="0"/>
    <n v="4628"/>
    <n v="2013"/>
    <n v="185038"/>
    <n v="2018"/>
    <n v="84280"/>
    <n v="2018"/>
    <x v="1"/>
    <n v="96067.648697700104"/>
    <n v="185038"/>
    <s v="Decreasing"/>
    <n v="-5.6467842638671772E-2"/>
    <n v="0.17775588866414749"/>
    <n v="97037.488198034029"/>
    <n v="124714.33885802898"/>
    <n v="1.2178746579349151"/>
    <n v="44.133367306662258"/>
    <n v="41.208176027445681"/>
  </r>
  <r>
    <x v="12"/>
    <x v="12"/>
    <n v="37260563.5"/>
    <x v="1"/>
    <n v="0"/>
    <n v="38000626.500000022"/>
    <n v="0"/>
    <m/>
    <n v="0"/>
    <m/>
    <n v="0"/>
    <m/>
    <n v="181916"/>
    <m/>
    <n v="184000"/>
    <n v="41927007.000000007"/>
    <n v="112822"/>
    <n v="112822"/>
    <m/>
    <n v="8850"/>
    <m/>
    <n v="0"/>
    <m/>
    <n v="0"/>
    <n v="44903225.000000007"/>
    <n v="0"/>
    <n v="57705"/>
    <n v="0"/>
    <n v="184000"/>
    <n v="0"/>
    <n v="0"/>
    <s v=""/>
    <n v="112822"/>
    <n v="2018"/>
    <n v="8850"/>
    <n v="2018"/>
    <x v="1"/>
    <n v="10087.787031023327"/>
    <n v="112822"/>
    <s v="Decreasing"/>
    <n v="-5.6467842638671772E-2"/>
    <n v="0.17775588866414749"/>
    <n v="76530.016625677265"/>
    <n v="98357.764648515222"/>
    <n v="0"/>
    <n v="26.909147128007486"/>
    <n v="25.125589531709579"/>
  </r>
  <r>
    <x v="12"/>
    <x v="12"/>
    <n v="37260564.5"/>
    <x v="2"/>
    <n v="0"/>
    <n v="38000626.500000022"/>
    <n v="0"/>
    <m/>
    <n v="22278"/>
    <m/>
    <n v="0"/>
    <m/>
    <n v="0"/>
    <m/>
    <n v="0"/>
    <n v="41927007.000000007"/>
    <n v="17896"/>
    <n v="17896"/>
    <m/>
    <n v="18140"/>
    <m/>
    <n v="0"/>
    <m/>
    <n v="0"/>
    <n v="44903225.000000007"/>
    <n v="0"/>
    <n v="8620"/>
    <n v="22278"/>
    <n v="18140"/>
    <n v="0"/>
    <n v="22278"/>
    <n v="2014"/>
    <n v="17896"/>
    <n v="2018"/>
    <n v="18140"/>
    <n v="2018"/>
    <x v="0"/>
    <n v="18140"/>
    <n v="18140"/>
    <s v="Increasing"/>
    <n v="-5.6467842638671772E-2"/>
    <n v="0.17775588866414749"/>
    <n v="11432.089824336505"/>
    <n v="14692.729074953666"/>
    <n v="5.862534924259732"/>
    <n v="4.2683705040047331"/>
    <n v="4.039798923128572"/>
  </r>
  <r>
    <x v="12"/>
    <x v="12"/>
    <n v="37260565.5"/>
    <x v="3"/>
    <n v="391"/>
    <n v="38000626.500000022"/>
    <n v="54"/>
    <m/>
    <n v="1029"/>
    <m/>
    <n v="0"/>
    <m/>
    <n v="81"/>
    <m/>
    <n v="1388"/>
    <n v="41927007.000000007"/>
    <n v="0"/>
    <n v="14106"/>
    <m/>
    <n v="86"/>
    <m/>
    <n v="0"/>
    <m/>
    <n v="613"/>
    <n v="44903225.000000007"/>
    <n v="0"/>
    <n v="14106"/>
    <n v="1029"/>
    <n v="1388"/>
    <n v="613"/>
    <n v="54"/>
    <n v="2013"/>
    <n v="14106"/>
    <s v="2018 (triag)"/>
    <n v="613"/>
    <n v="2021"/>
    <x v="1"/>
    <n v="698.73598305280211"/>
    <n v="14106"/>
    <s v="Decreasing"/>
    <n v="-5.6467842638671772E-2"/>
    <n v="0.17775588866414749"/>
    <n v="18707.779473560411"/>
    <n v="24043.57730061443"/>
    <n v="1.4210292032948449E-2"/>
    <n v="3.3644185476917055"/>
    <n v="3.1414224702123281"/>
  </r>
  <r>
    <x v="12"/>
    <x v="12"/>
    <n v="37260566.5"/>
    <x v="4"/>
    <n v="224"/>
    <n v="38000626.500000022"/>
    <n v="0"/>
    <m/>
    <n v="397"/>
    <m/>
    <n v="0"/>
    <m/>
    <n v="25"/>
    <m/>
    <n v="0"/>
    <n v="41927007.000000007"/>
    <n v="0"/>
    <n v="12781"/>
    <m/>
    <n v="5"/>
    <m/>
    <n v="0"/>
    <m/>
    <n v="6"/>
    <n v="44903225.000000007"/>
    <n v="0"/>
    <n v="12781"/>
    <n v="397"/>
    <n v="25"/>
    <n v="6"/>
    <n v="224"/>
    <n v="2012"/>
    <n v="12781"/>
    <s v="2018 (triag)"/>
    <n v="6"/>
    <n v="2021"/>
    <x v="1"/>
    <n v="6.8391776481514075"/>
    <n v="12781"/>
    <s v="Decreasing"/>
    <n v="-5.6467842638671772E-2"/>
    <n v="0.17775588866414749"/>
    <n v="16950.526687336991"/>
    <n v="21785.12416554325"/>
    <n v="5.8946396581119491E-2"/>
    <n v="3.0483931276086551"/>
    <n v="2.846343441924271"/>
  </r>
  <r>
    <x v="12"/>
    <x v="12"/>
    <n v="37260567.5"/>
    <x v="5"/>
    <n v="0"/>
    <n v="38000626.500000022"/>
    <n v="0"/>
    <m/>
    <n v="0"/>
    <m/>
    <n v="0"/>
    <m/>
    <n v="0"/>
    <m/>
    <n v="0"/>
    <n v="41927007.000000007"/>
    <n v="0"/>
    <n v="0"/>
    <m/>
    <n v="0"/>
    <m/>
    <n v="0"/>
    <m/>
    <n v="0"/>
    <n v="44903225.000000007"/>
    <n v="0"/>
    <n v="0"/>
    <n v="0"/>
    <n v="0"/>
    <n v="0"/>
    <n v="0"/>
    <s v=""/>
    <n v="0"/>
    <s v=""/>
    <n v="0"/>
    <s v=""/>
    <x v="0"/>
    <n v="0"/>
    <n v="0"/>
    <s v="No change"/>
    <n v="-5.6467842638671772E-2"/>
    <n v="0.17775588866414749"/>
    <n v="0"/>
    <n v="0"/>
    <n v="0"/>
    <n v="0"/>
    <n v="0"/>
  </r>
  <r>
    <x v="12"/>
    <x v="12"/>
    <n v="37260568.5"/>
    <x v="6"/>
    <n v="20"/>
    <n v="38000626.500000022"/>
    <n v="1"/>
    <m/>
    <n v="0"/>
    <m/>
    <n v="0"/>
    <m/>
    <n v="0"/>
    <m/>
    <n v="0"/>
    <n v="41927007.000000007"/>
    <n v="0"/>
    <n v="381"/>
    <m/>
    <n v="7"/>
    <m/>
    <n v="0"/>
    <m/>
    <n v="0"/>
    <n v="44903225.000000007"/>
    <n v="0"/>
    <n v="381"/>
    <n v="20"/>
    <n v="7"/>
    <n v="0"/>
    <n v="1"/>
    <n v="2013"/>
    <n v="381"/>
    <s v="2018 (triag)"/>
    <n v="7"/>
    <s v="2018 (triag)"/>
    <x v="1"/>
    <n v="7.9790405895099754"/>
    <n v="381"/>
    <s v="Decreasing"/>
    <n v="-5.6467842638671772E-2"/>
    <n v="0.17775588866414749"/>
    <n v="505.29306532160189"/>
    <n v="649.41180714122345"/>
    <n v="2.6315355616571203E-4"/>
    <n v="9.0872215133314893E-2"/>
    <n v="8.4849139454905506E-2"/>
  </r>
  <r>
    <x v="12"/>
    <x v="12"/>
    <n v="37260569.5"/>
    <x v="7"/>
    <n v="199"/>
    <n v="38000626.500000022"/>
    <n v="0"/>
    <m/>
    <n v="0"/>
    <m/>
    <n v="0"/>
    <m/>
    <n v="304"/>
    <m/>
    <n v="0"/>
    <n v="41927007.000000007"/>
    <n v="0"/>
    <n v="1249"/>
    <m/>
    <n v="20"/>
    <m/>
    <n v="0"/>
    <m/>
    <n v="0"/>
    <n v="44903225.000000007"/>
    <n v="0"/>
    <n v="1249"/>
    <n v="199"/>
    <n v="304"/>
    <n v="0"/>
    <n v="199"/>
    <n v="2012"/>
    <n v="1249"/>
    <s v="2018 (triag)"/>
    <n v="20"/>
    <s v="2018 (triag)"/>
    <x v="1"/>
    <n v="22.797258827171358"/>
    <n v="1249"/>
    <s v="Decreasing"/>
    <n v="-5.6467842638671772E-2"/>
    <n v="0.17775588866414749"/>
    <n v="1656.4594188626791"/>
    <n v="2128.9116722293652"/>
    <n v="5.2367557676976692E-2"/>
    <n v="0.29789867900658873"/>
    <n v="0.2781537406277611"/>
  </r>
  <r>
    <x v="12"/>
    <x v="12"/>
    <n v="37260570.5"/>
    <x v="8"/>
    <n v="0"/>
    <n v="38000626.500000022"/>
    <n v="0"/>
    <m/>
    <n v="0"/>
    <m/>
    <n v="0"/>
    <m/>
    <n v="0"/>
    <m/>
    <n v="0"/>
    <n v="41927007.000000007"/>
    <n v="42507"/>
    <n v="42507"/>
    <m/>
    <n v="0"/>
    <m/>
    <n v="0"/>
    <m/>
    <n v="0"/>
    <n v="44903225.000000007"/>
    <n v="0"/>
    <n v="41461"/>
    <n v="0"/>
    <n v="42507"/>
    <n v="0"/>
    <n v="0"/>
    <s v=""/>
    <n v="42507"/>
    <n v="2018"/>
    <n v="42507"/>
    <n v="2018"/>
    <x v="0"/>
    <n v="42507"/>
    <n v="42507"/>
    <s v="No change"/>
    <n v="-5.6467842638671772E-2"/>
    <n v="0.17775588866414749"/>
    <n v="54986.760580837101"/>
    <n v="70669.981459008573"/>
    <n v="0"/>
    <n v="10.138333986015265"/>
    <n v="9.4663579286343005"/>
  </r>
  <r>
    <x v="12"/>
    <x v="12"/>
    <n v="37260571.5"/>
    <x v="9"/>
    <n v="0"/>
    <n v="38000626.500000022"/>
    <n v="0"/>
    <m/>
    <n v="0"/>
    <m/>
    <n v="0"/>
    <m/>
    <n v="0"/>
    <m/>
    <n v="0"/>
    <n v="41927007.000000007"/>
    <n v="900"/>
    <n v="10838"/>
    <m/>
    <n v="0"/>
    <m/>
    <n v="0"/>
    <m/>
    <n v="0"/>
    <n v="44903225.000000007"/>
    <n v="0"/>
    <n v="10838"/>
    <n v="0"/>
    <n v="900"/>
    <n v="0"/>
    <n v="0"/>
    <s v=""/>
    <n v="10838"/>
    <s v="2018 (triag)"/>
    <n v="10838"/>
    <s v="2018 (triag)"/>
    <x v="0"/>
    <n v="10838"/>
    <n v="10838"/>
    <s v="No change"/>
    <n v="-5.6467842638671772E-2"/>
    <n v="0.17775588866414749"/>
    <n v="14373.664677048611"/>
    <n v="18473.294398416219"/>
    <n v="0"/>
    <n v="2.5849686814038497"/>
    <n v="2.4136351008195955"/>
  </r>
  <r>
    <x v="12"/>
    <x v="12"/>
    <n v="37260572.5"/>
    <x v="10"/>
    <n v="0"/>
    <n v="38000626.500000022"/>
    <n v="0"/>
    <m/>
    <n v="0"/>
    <m/>
    <n v="0"/>
    <m/>
    <n v="0"/>
    <m/>
    <n v="521"/>
    <n v="41927007.000000007"/>
    <n v="836"/>
    <n v="836"/>
    <m/>
    <n v="0"/>
    <m/>
    <n v="0"/>
    <m/>
    <n v="0"/>
    <n v="44903225.000000007"/>
    <n v="0"/>
    <n v="663"/>
    <n v="0"/>
    <n v="836"/>
    <n v="0"/>
    <n v="0"/>
    <s v=""/>
    <n v="836"/>
    <n v="2018"/>
    <n v="836"/>
    <n v="2018"/>
    <x v="0"/>
    <n v="836"/>
    <n v="836"/>
    <s v="No change"/>
    <n v="-5.6467842638671772E-2"/>
    <n v="0.17775588866414749"/>
    <n v="879.28950737066157"/>
    <n v="1130.0788140016566"/>
    <n v="0"/>
    <n v="0.19939415184107939"/>
    <n v="0.18617816426325723"/>
  </r>
  <r>
    <x v="12"/>
    <x v="12"/>
    <n v="37260573.5"/>
    <x v="11"/>
    <n v="0"/>
    <n v="38000626.500000022"/>
    <n v="0"/>
    <m/>
    <n v="0"/>
    <m/>
    <n v="0"/>
    <m/>
    <n v="0"/>
    <m/>
    <n v="0"/>
    <n v="41927007.000000007"/>
    <n v="136"/>
    <n v="136"/>
    <m/>
    <n v="0"/>
    <m/>
    <n v="0"/>
    <m/>
    <n v="0"/>
    <n v="44903225.000000007"/>
    <n v="0"/>
    <n v="0"/>
    <n v="0"/>
    <n v="136"/>
    <n v="0"/>
    <n v="0"/>
    <s v=""/>
    <n v="136"/>
    <n v="2018"/>
    <n v="136"/>
    <n v="2018"/>
    <x v="0"/>
    <n v="136"/>
    <n v="136"/>
    <s v="No change"/>
    <n v="-5.6467842638671772E-2"/>
    <n v="0.17775588866414749"/>
    <n v="0"/>
    <n v="0"/>
    <n v="0"/>
    <n v="3.243732613682631E-2"/>
    <n v="3.0287356865793043E-2"/>
  </r>
  <r>
    <x v="12"/>
    <x v="12"/>
    <n v="37260574.5"/>
    <x v="12"/>
    <n v="0"/>
    <n v="38000626.500000022"/>
    <n v="0"/>
    <m/>
    <n v="0"/>
    <m/>
    <n v="0"/>
    <m/>
    <n v="0"/>
    <m/>
    <n v="0"/>
    <n v="41927007.000000007"/>
    <n v="2148"/>
    <n v="2227"/>
    <m/>
    <n v="0"/>
    <m/>
    <n v="0"/>
    <m/>
    <n v="0"/>
    <n v="44903225.000000007"/>
    <n v="0"/>
    <n v="2227"/>
    <n v="0"/>
    <n v="2148"/>
    <n v="0"/>
    <n v="0"/>
    <s v=""/>
    <n v="2227"/>
    <s v="2018 (triag)"/>
    <n v="2227"/>
    <s v="2018 (triag)"/>
    <x v="0"/>
    <n v="2227"/>
    <n v="2227"/>
    <s v="No change"/>
    <n v="-5.6467842638671772E-2"/>
    <n v="0.17775588866414749"/>
    <n v="2953.5109093732476"/>
    <n v="3795.9057598517184"/>
    <n v="0"/>
    <n v="0.53116121549053086"/>
    <n v="0.49595546867736107"/>
  </r>
  <r>
    <x v="12"/>
    <x v="12"/>
    <n v="37260575.5"/>
    <x v="13"/>
    <n v="0"/>
    <n v="38000626.500000022"/>
    <n v="0"/>
    <m/>
    <n v="0"/>
    <m/>
    <n v="0"/>
    <m/>
    <n v="0"/>
    <m/>
    <n v="0"/>
    <n v="41927007.000000007"/>
    <n v="6245"/>
    <n v="6245"/>
    <m/>
    <n v="0"/>
    <m/>
    <n v="0"/>
    <m/>
    <n v="0"/>
    <n v="44903225.000000007"/>
    <n v="0"/>
    <n v="6176"/>
    <n v="0"/>
    <n v="6245"/>
    <n v="0"/>
    <n v="0"/>
    <s v=""/>
    <n v="6245"/>
    <n v="2018"/>
    <n v="6245"/>
    <n v="2018"/>
    <x v="0"/>
    <n v="6245"/>
    <n v="6245"/>
    <s v="No change"/>
    <n v="-5.6467842638671772E-2"/>
    <n v="0.17775588866414749"/>
    <n v="8190.7873265779872"/>
    <n v="10526.948348829912"/>
    <n v="0"/>
    <n v="1.4894933950329436"/>
    <n v="1.3907687031388054"/>
  </r>
  <r>
    <x v="12"/>
    <x v="12"/>
    <n v="37260576.5"/>
    <x v="14"/>
    <n v="0"/>
    <n v="38000626.500000022"/>
    <n v="0"/>
    <m/>
    <n v="0"/>
    <m/>
    <n v="0"/>
    <m/>
    <n v="0"/>
    <m/>
    <n v="0"/>
    <n v="41927007.000000007"/>
    <n v="0"/>
    <n v="610"/>
    <m/>
    <n v="0"/>
    <m/>
    <n v="0"/>
    <m/>
    <n v="0"/>
    <n v="44903225.000000007"/>
    <n v="0"/>
    <n v="610"/>
    <n v="0"/>
    <n v="0"/>
    <n v="0"/>
    <n v="0"/>
    <s v=""/>
    <n v="610"/>
    <s v="2018 (triag)"/>
    <n v="610"/>
    <s v="2018 (triag)"/>
    <x v="0"/>
    <n v="610"/>
    <n v="610"/>
    <s v="No change"/>
    <n v="-5.6467842638671772E-2"/>
    <n v="0.17775588866414749"/>
    <n v="808.99939592172473"/>
    <n v="1039.7406885988094"/>
    <n v="0"/>
    <n v="0.14549094811370625"/>
    <n v="0.1358477035892188"/>
  </r>
  <r>
    <x v="12"/>
    <x v="12"/>
    <n v="37260577.5"/>
    <x v="15"/>
    <n v="0"/>
    <n v="38000626.500000022"/>
    <n v="0"/>
    <m/>
    <n v="0"/>
    <m/>
    <n v="0"/>
    <m/>
    <n v="0"/>
    <m/>
    <n v="0"/>
    <n v="41927007.000000007"/>
    <n v="1533"/>
    <n v="1533"/>
    <m/>
    <n v="0"/>
    <m/>
    <n v="0"/>
    <m/>
    <n v="0"/>
    <n v="44903225.000000007"/>
    <n v="0"/>
    <n v="1218"/>
    <n v="0"/>
    <n v="1533"/>
    <n v="0"/>
    <n v="0"/>
    <s v=""/>
    <n v="1533"/>
    <n v="2018"/>
    <n v="1533"/>
    <n v="2018"/>
    <x v="0"/>
    <n v="1533"/>
    <n v="1533"/>
    <s v="No change"/>
    <n v="-5.6467842638671772E-2"/>
    <n v="0.17775588866414749"/>
    <n v="1615.3463348076407"/>
    <n v="2076.07239133336"/>
    <n v="0"/>
    <n v="0.36563544829231426"/>
    <n v="0.34140086820044657"/>
  </r>
  <r>
    <x v="12"/>
    <x v="12"/>
    <n v="37260578.5"/>
    <x v="16"/>
    <n v="0"/>
    <n v="38000626.500000022"/>
    <n v="0"/>
    <m/>
    <n v="0"/>
    <m/>
    <n v="0"/>
    <m/>
    <n v="0"/>
    <m/>
    <n v="0"/>
    <n v="41927007.000000007"/>
    <n v="6184"/>
    <n v="76532"/>
    <m/>
    <n v="0"/>
    <m/>
    <n v="0"/>
    <m/>
    <n v="0"/>
    <n v="44903225.000000007"/>
    <n v="0"/>
    <n v="76532"/>
    <n v="0"/>
    <n v="6184"/>
    <n v="0"/>
    <n v="0"/>
    <s v=""/>
    <n v="76532"/>
    <s v="2018 (triag)"/>
    <n v="76532"/>
    <s v="2018 (triag)"/>
    <x v="0"/>
    <n v="76532"/>
    <n v="76532"/>
    <s v="No change"/>
    <n v="-5.6467842638671772E-2"/>
    <n v="0.17775588866414749"/>
    <n v="101498.92093226466"/>
    <n v="130448.25308171159"/>
    <n v="0"/>
    <n v="18.253628263996994"/>
    <n v="17.043764673918183"/>
  </r>
  <r>
    <x v="12"/>
    <x v="12"/>
    <n v="37260579.5"/>
    <x v="17"/>
    <n v="0"/>
    <n v="38000626.500000022"/>
    <n v="0"/>
    <m/>
    <n v="0"/>
    <m/>
    <n v="0"/>
    <m/>
    <n v="0"/>
    <m/>
    <n v="0"/>
    <n v="41927007.000000007"/>
    <n v="75033"/>
    <n v="75033"/>
    <m/>
    <n v="0"/>
    <m/>
    <n v="0"/>
    <m/>
    <n v="0"/>
    <n v="44903225.000000007"/>
    <n v="0"/>
    <n v="5104"/>
    <n v="0"/>
    <n v="75033"/>
    <n v="0"/>
    <n v="0"/>
    <s v=""/>
    <n v="75033"/>
    <n v="2018"/>
    <n v="75033"/>
    <n v="2018"/>
    <x v="0"/>
    <n v="75033"/>
    <n v="75033"/>
    <s v="No change"/>
    <n v="-5.6467842638671772E-2"/>
    <n v="0.17775588866414749"/>
    <n v="6769.0703553843987"/>
    <n v="8699.7319255874136"/>
    <n v="0"/>
    <n v="17.896102147238889"/>
    <n v="16.709935644934188"/>
  </r>
  <r>
    <x v="12"/>
    <x v="12"/>
    <n v="37260580.5"/>
    <x v="18"/>
    <n v="0"/>
    <n v="38000626.500000022"/>
    <n v="0"/>
    <m/>
    <n v="0"/>
    <m/>
    <n v="0"/>
    <m/>
    <n v="0"/>
    <m/>
    <n v="0"/>
    <n v="41927007.000000007"/>
    <n v="15238"/>
    <n v="15238"/>
    <m/>
    <n v="0"/>
    <m/>
    <n v="0"/>
    <m/>
    <n v="0"/>
    <n v="44903225.000000007"/>
    <n v="0"/>
    <n v="14548"/>
    <n v="0"/>
    <n v="15238"/>
    <n v="0"/>
    <n v="0"/>
    <s v=""/>
    <n v="15238"/>
    <n v="2018"/>
    <n v="15238"/>
    <n v="2018"/>
    <x v="0"/>
    <n v="15238"/>
    <n v="15238"/>
    <s v="No change"/>
    <n v="-5.6467842638671772E-2"/>
    <n v="0.17775588866414749"/>
    <n v="19293.972478474185"/>
    <n v="24796.963176615536"/>
    <n v="0"/>
    <n v="3.6344115858305837"/>
    <n v="3.3935201758893703"/>
  </r>
  <r>
    <x v="12"/>
    <x v="12"/>
    <n v="37260581.5"/>
    <x v="19"/>
    <n v="0"/>
    <n v="38000626.500000022"/>
    <n v="0"/>
    <m/>
    <n v="0"/>
    <m/>
    <n v="0"/>
    <m/>
    <n v="0"/>
    <m/>
    <n v="0"/>
    <n v="41927007.000000007"/>
    <n v="365"/>
    <n v="365"/>
    <m/>
    <n v="128823"/>
    <m/>
    <n v="0"/>
    <m/>
    <n v="0"/>
    <n v="44903225.000000007"/>
    <n v="0"/>
    <n v="279"/>
    <n v="0"/>
    <n v="128823"/>
    <n v="0"/>
    <n v="0"/>
    <s v=""/>
    <n v="365"/>
    <n v="2018"/>
    <n v="128823"/>
    <n v="2018"/>
    <x v="0"/>
    <n v="128823"/>
    <n v="128823"/>
    <s v="Increasing"/>
    <n v="-5.6467842638671772E-2"/>
    <n v="0.17775588866414749"/>
    <n v="370.01775649534625"/>
    <n v="475.55352806404557"/>
    <n v="0"/>
    <n v="8.7056059117217671E-2"/>
    <n v="28.689030687662186"/>
  </r>
  <r>
    <x v="12"/>
    <x v="12"/>
    <n v="37260582.5"/>
    <x v="20"/>
    <n v="0"/>
    <n v="38000626.500000022"/>
    <n v="0"/>
    <m/>
    <n v="0"/>
    <m/>
    <n v="0"/>
    <m/>
    <n v="0"/>
    <m/>
    <n v="0"/>
    <n v="41927007.000000007"/>
    <n v="1971"/>
    <n v="1971"/>
    <m/>
    <n v="0"/>
    <m/>
    <n v="0"/>
    <m/>
    <n v="0"/>
    <n v="44903225.000000007"/>
    <n v="0"/>
    <n v="1827"/>
    <n v="0"/>
    <n v="1971"/>
    <n v="0"/>
    <n v="0"/>
    <s v=""/>
    <n v="1971"/>
    <n v="2018"/>
    <n v="1971"/>
    <n v="2018"/>
    <x v="0"/>
    <n v="1971"/>
    <n v="1971"/>
    <s v="No change"/>
    <n v="-5.6467842638671772E-2"/>
    <n v="0.17775588866414749"/>
    <n v="2423.0195022114608"/>
    <n v="3114.1085870000402"/>
    <n v="0"/>
    <n v="0.47010271923297547"/>
    <n v="0.43894397340057417"/>
  </r>
  <r>
    <x v="12"/>
    <x v="12"/>
    <n v="37260583.5"/>
    <x v="21"/>
    <n v="0"/>
    <n v="38000626.500000022"/>
    <n v="0"/>
    <m/>
    <n v="0"/>
    <m/>
    <n v="0"/>
    <m/>
    <n v="0"/>
    <m/>
    <n v="0"/>
    <n v="41927007.000000007"/>
    <n v="0"/>
    <n v="0"/>
    <m/>
    <n v="0"/>
    <m/>
    <n v="0"/>
    <m/>
    <n v="0"/>
    <n v="44903225.000000007"/>
    <n v="0"/>
    <n v="0"/>
    <n v="0"/>
    <n v="0"/>
    <n v="0"/>
    <n v="0"/>
    <s v=""/>
    <n v="0"/>
    <s v=""/>
    <n v="0"/>
    <s v=""/>
    <x v="0"/>
    <n v="0"/>
    <n v="0"/>
    <s v="No change"/>
    <n v="-5.6467842638671772E-2"/>
    <n v="0.17775588866414749"/>
    <n v="0"/>
    <n v="0"/>
    <n v="0"/>
    <n v="0"/>
    <n v="0"/>
  </r>
  <r>
    <x v="12"/>
    <x v="12"/>
    <n v="37260584.5"/>
    <x v="22"/>
    <n v="0"/>
    <n v="38000626.500000022"/>
    <n v="0"/>
    <m/>
    <n v="0"/>
    <m/>
    <n v="0"/>
    <m/>
    <n v="0"/>
    <m/>
    <n v="0"/>
    <n v="41927007.000000007"/>
    <n v="0"/>
    <n v="0"/>
    <m/>
    <n v="0"/>
    <m/>
    <n v="0"/>
    <m/>
    <n v="0"/>
    <n v="44903225.000000007"/>
    <n v="0"/>
    <n v="0"/>
    <n v="0"/>
    <n v="0"/>
    <n v="0"/>
    <n v="0"/>
    <s v=""/>
    <n v="0"/>
    <s v=""/>
    <n v="0"/>
    <s v=""/>
    <x v="0"/>
    <n v="0"/>
    <n v="0"/>
    <s v="No change"/>
    <n v="-5.6467842638671772E-2"/>
    <n v="0.17775588866414749"/>
    <n v="0"/>
    <n v="0"/>
    <n v="0"/>
    <n v="0"/>
    <n v="0"/>
  </r>
  <r>
    <x v="12"/>
    <x v="12"/>
    <n v="37260585.5"/>
    <x v="23"/>
    <n v="0"/>
    <n v="38000626.500000022"/>
    <n v="0"/>
    <m/>
    <n v="0"/>
    <m/>
    <n v="0"/>
    <m/>
    <n v="0"/>
    <m/>
    <n v="0"/>
    <n v="41927007.000000007"/>
    <n v="0"/>
    <n v="1"/>
    <m/>
    <n v="0"/>
    <m/>
    <n v="0"/>
    <m/>
    <n v="0"/>
    <n v="44903225.000000007"/>
    <n v="0"/>
    <n v="1"/>
    <n v="0"/>
    <n v="0"/>
    <n v="0"/>
    <n v="0"/>
    <s v=""/>
    <n v="1"/>
    <s v="2018 (triag)"/>
    <n v="1"/>
    <s v="2018 (triag)"/>
    <x v="0"/>
    <n v="1"/>
    <n v="1"/>
    <s v="No change"/>
    <n v="-5.6467842638671772E-2"/>
    <n v="0.17775588866414749"/>
    <n v="1.3262285179044668"/>
    <n v="1.7044929321291955"/>
    <n v="0"/>
    <n v="2.3850975100607583E-4"/>
    <n v="2.2270115342494883E-4"/>
  </r>
  <r>
    <x v="13"/>
    <x v="13"/>
    <n v="3252595.9999999991"/>
    <x v="0"/>
    <n v="389"/>
    <n v="3296367"/>
    <n v="427"/>
    <n v="3323425.0000000009"/>
    <n v="484"/>
    <n v="3340005.9999999991"/>
    <n v="497"/>
    <n v="3365287.5000000014"/>
    <n v="537"/>
    <n v="3396933.0000000019"/>
    <n v="529"/>
    <n v="3445374.4999999986"/>
    <n v="639"/>
    <n v="639"/>
    <n v="3498818.0000000014"/>
    <n v="576"/>
    <n v="3555867.9999999991"/>
    <n v="662"/>
    <n v="3620312.0000000023"/>
    <n v="636"/>
    <n v="3684031.5000000019"/>
    <n v="584"/>
    <n v="280"/>
    <n v="497"/>
    <n v="639"/>
    <n v="662"/>
    <n v="427"/>
    <n v="2013"/>
    <n v="639"/>
    <n v="2018"/>
    <n v="584"/>
    <n v="2022"/>
    <x v="1"/>
    <n v="671.19040828312245"/>
    <n v="671.19040828312245"/>
    <s v="Increasing"/>
    <n v="-2.2233181875670249E-2"/>
    <n v="0.11702326021234755"/>
    <n v="312.92248638793529"/>
    <n v="397.76420652673733"/>
    <n v="1.2953654735652917"/>
    <n v="1.8546605020731426"/>
    <n v="1.8218910676608551"/>
  </r>
  <r>
    <x v="13"/>
    <x v="13"/>
    <n v="3252597"/>
    <x v="1"/>
    <n v="0"/>
    <n v="3296367"/>
    <n v="8524"/>
    <m/>
    <n v="8264"/>
    <m/>
    <n v="7924"/>
    <m/>
    <n v="8968"/>
    <m/>
    <n v="9056"/>
    <n v="3445374.4999999986"/>
    <n v="9942"/>
    <n v="9942"/>
    <m/>
    <n v="0"/>
    <m/>
    <n v="0"/>
    <m/>
    <n v="9362"/>
    <n v="3684031.5000000019"/>
    <n v="10014"/>
    <n v="3939"/>
    <n v="8524"/>
    <n v="9942"/>
    <n v="10014"/>
    <n v="8524"/>
    <n v="2013"/>
    <n v="9942"/>
    <n v="2018"/>
    <n v="10014"/>
    <n v="2022"/>
    <x v="0"/>
    <n v="10014"/>
    <n v="10014"/>
    <s v="Increasing"/>
    <n v="-2.2233181875670249E-2"/>
    <n v="0.11702326021234755"/>
    <n v="4402.1488352931328"/>
    <n v="5595.6900339600661"/>
    <n v="25.858771186582075"/>
    <n v="28.856079360893872"/>
    <n v="27.182178002549637"/>
  </r>
  <r>
    <x v="13"/>
    <x v="13"/>
    <n v="3252598"/>
    <x v="2"/>
    <n v="0"/>
    <n v="3296367"/>
    <n v="0"/>
    <m/>
    <n v="0"/>
    <m/>
    <n v="0"/>
    <m/>
    <n v="752"/>
    <m/>
    <n v="0"/>
    <n v="3445374.4999999986"/>
    <n v="0"/>
    <n v="45"/>
    <m/>
    <n v="0"/>
    <m/>
    <n v="0"/>
    <m/>
    <n v="134"/>
    <n v="3684031.5000000019"/>
    <n v="134"/>
    <n v="45"/>
    <n v="0"/>
    <n v="752"/>
    <n v="134"/>
    <n v="0"/>
    <s v=""/>
    <n v="45"/>
    <s v="2018 (triag)"/>
    <n v="134"/>
    <n v="2021"/>
    <x v="0"/>
    <n v="134"/>
    <n v="134"/>
    <s v="Increasing"/>
    <n v="-2.2233181875670249E-2"/>
    <n v="0.11702326021234755"/>
    <n v="50.29111388377531"/>
    <n v="63.926390334654215"/>
    <n v="0"/>
    <n v="0.13060989451219315"/>
    <n v="0.36373196048947987"/>
  </r>
  <r>
    <x v="13"/>
    <x v="13"/>
    <n v="3252599"/>
    <x v="3"/>
    <n v="0"/>
    <n v="3296367"/>
    <n v="0"/>
    <m/>
    <n v="0"/>
    <m/>
    <n v="0"/>
    <m/>
    <n v="0"/>
    <m/>
    <n v="0"/>
    <n v="3445374.4999999986"/>
    <n v="0"/>
    <n v="451"/>
    <m/>
    <n v="0"/>
    <m/>
    <n v="0"/>
    <m/>
    <n v="0"/>
    <n v="3684031.5000000019"/>
    <n v="0"/>
    <n v="451"/>
    <n v="0"/>
    <n v="0"/>
    <n v="0"/>
    <n v="0"/>
    <s v=""/>
    <n v="451"/>
    <s v="2018 (triag)"/>
    <n v="451"/>
    <s v="2018 (triag)"/>
    <x v="0"/>
    <n v="451"/>
    <n v="451"/>
    <s v="No change"/>
    <n v="-2.2233181875670249E-2"/>
    <n v="0.11702326021234755"/>
    <n v="504.02871914628145"/>
    <n v="640.68448979842333"/>
    <n v="0"/>
    <n v="1.3090013872222024"/>
    <n v="1.2242023446325032"/>
  </r>
  <r>
    <x v="13"/>
    <x v="13"/>
    <n v="3252600"/>
    <x v="4"/>
    <n v="0"/>
    <n v="3296367"/>
    <n v="0"/>
    <m/>
    <n v="0"/>
    <m/>
    <n v="0"/>
    <m/>
    <n v="0"/>
    <m/>
    <n v="0"/>
    <n v="3445374.4999999986"/>
    <n v="0"/>
    <n v="186"/>
    <m/>
    <n v="0"/>
    <m/>
    <n v="0"/>
    <m/>
    <n v="0"/>
    <n v="3684031.5000000019"/>
    <n v="55"/>
    <n v="186"/>
    <n v="0"/>
    <n v="0"/>
    <n v="55"/>
    <n v="0"/>
    <s v=""/>
    <n v="186"/>
    <s v="2018 (triag)"/>
    <n v="55"/>
    <n v="2022"/>
    <x v="1"/>
    <n v="63.211425437622836"/>
    <n v="186"/>
    <s v="Decreasing"/>
    <n v="-2.2233181875670249E-2"/>
    <n v="0.11702326021234755"/>
    <n v="207.86993738627129"/>
    <n v="264.2290800499041"/>
    <n v="0"/>
    <n v="0.53985423065039828"/>
    <n v="0.50488167650032278"/>
  </r>
  <r>
    <x v="13"/>
    <x v="13"/>
    <n v="3252601"/>
    <x v="5"/>
    <n v="0"/>
    <n v="3296367"/>
    <n v="0"/>
    <m/>
    <n v="0"/>
    <m/>
    <n v="0"/>
    <m/>
    <n v="0"/>
    <m/>
    <n v="0"/>
    <n v="3445374.4999999986"/>
    <n v="243"/>
    <n v="243"/>
    <m/>
    <n v="0"/>
    <m/>
    <n v="6000"/>
    <m/>
    <n v="2626"/>
    <n v="3684031.5000000019"/>
    <n v="2626"/>
    <n v="243"/>
    <n v="0"/>
    <n v="243"/>
    <n v="6000"/>
    <n v="0"/>
    <s v=""/>
    <n v="243"/>
    <n v="2018"/>
    <n v="2626"/>
    <n v="2021"/>
    <x v="0"/>
    <n v="2626"/>
    <n v="2626"/>
    <s v="Increasing"/>
    <n v="-2.2233181875670249E-2"/>
    <n v="0.11702326021234755"/>
    <n v="271.57201497238668"/>
    <n v="345.20250780713275"/>
    <n v="0"/>
    <n v="0.70529343036584291"/>
    <n v="7.1280606585475681"/>
  </r>
  <r>
    <x v="13"/>
    <x v="13"/>
    <n v="3252602"/>
    <x v="6"/>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3"/>
    <x v="13"/>
    <n v="3252603"/>
    <x v="7"/>
    <n v="0"/>
    <n v="3296367"/>
    <n v="0"/>
    <m/>
    <n v="0"/>
    <m/>
    <n v="0"/>
    <m/>
    <n v="0"/>
    <m/>
    <n v="0"/>
    <n v="3445374.4999999986"/>
    <n v="0"/>
    <n v="243"/>
    <m/>
    <n v="0"/>
    <m/>
    <n v="0"/>
    <m/>
    <n v="0"/>
    <n v="3684031.5000000019"/>
    <n v="0"/>
    <n v="243"/>
    <n v="0"/>
    <n v="0"/>
    <n v="0"/>
    <n v="0"/>
    <s v=""/>
    <n v="243"/>
    <s v="2018 (triag)"/>
    <n v="243"/>
    <s v="2018 (triag)"/>
    <x v="0"/>
    <n v="243"/>
    <n v="243"/>
    <s v="No change"/>
    <n v="-2.2233181875670249E-2"/>
    <n v="0.11702326021234755"/>
    <n v="271.57201497238668"/>
    <n v="345.20250780713275"/>
    <n v="0"/>
    <n v="0.70529343036584291"/>
    <n v="0.65960348058913143"/>
  </r>
  <r>
    <x v="13"/>
    <x v="13"/>
    <n v="3252604"/>
    <x v="8"/>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3"/>
    <x v="13"/>
    <n v="3252605"/>
    <x v="9"/>
    <n v="0"/>
    <n v="3296367"/>
    <n v="0"/>
    <m/>
    <n v="0"/>
    <m/>
    <n v="0"/>
    <m/>
    <n v="0"/>
    <m/>
    <n v="0"/>
    <n v="3445374.4999999986"/>
    <n v="0"/>
    <n v="0"/>
    <m/>
    <n v="0"/>
    <m/>
    <n v="0"/>
    <m/>
    <n v="0"/>
    <n v="3684031.5000000019"/>
    <n v="381"/>
    <n v="0"/>
    <n v="0"/>
    <n v="0"/>
    <n v="381"/>
    <n v="0"/>
    <s v=""/>
    <n v="0"/>
    <s v=""/>
    <n v="381"/>
    <n v="2022"/>
    <x v="0"/>
    <n v="381"/>
    <n v="381"/>
    <s v="Increasing"/>
    <n v="-2.2233181875670249E-2"/>
    <n v="0.11702326021234755"/>
    <n v="0"/>
    <n v="0"/>
    <n v="0"/>
    <n v="0"/>
    <n v="1.0341931115409839"/>
  </r>
  <r>
    <x v="13"/>
    <x v="13"/>
    <n v="3252606"/>
    <x v="10"/>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3"/>
    <x v="13"/>
    <n v="3252607"/>
    <x v="11"/>
    <n v="0"/>
    <n v="3296367"/>
    <n v="0"/>
    <m/>
    <n v="0"/>
    <m/>
    <n v="0"/>
    <m/>
    <n v="0"/>
    <m/>
    <n v="0"/>
    <n v="3445374.4999999986"/>
    <n v="549"/>
    <n v="549"/>
    <m/>
    <n v="0"/>
    <m/>
    <n v="0"/>
    <m/>
    <n v="298"/>
    <n v="3684031.5000000019"/>
    <n v="296"/>
    <n v="0"/>
    <n v="0"/>
    <n v="549"/>
    <n v="298"/>
    <n v="0"/>
    <s v=""/>
    <n v="549"/>
    <n v="2018"/>
    <n v="296"/>
    <n v="2022"/>
    <x v="1"/>
    <n v="340.19239871884287"/>
    <n v="549"/>
    <s v="Decreasing"/>
    <n v="-2.2233181875670249E-2"/>
    <n v="0.11702326021234755"/>
    <n v="0"/>
    <n v="0"/>
    <n v="0"/>
    <n v="1.5934407130487562"/>
    <n v="1.4902152709606302"/>
  </r>
  <r>
    <x v="13"/>
    <x v="13"/>
    <n v="3252608"/>
    <x v="12"/>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3"/>
    <x v="13"/>
    <n v="3252609"/>
    <x v="13"/>
    <n v="0"/>
    <n v="3296367"/>
    <n v="0"/>
    <m/>
    <n v="0"/>
    <m/>
    <n v="0"/>
    <m/>
    <n v="0"/>
    <m/>
    <n v="0"/>
    <n v="3445374.4999999986"/>
    <n v="0"/>
    <n v="113"/>
    <m/>
    <n v="0"/>
    <m/>
    <n v="0"/>
    <m/>
    <n v="137"/>
    <n v="3684031.5000000019"/>
    <n v="141"/>
    <n v="113"/>
    <n v="0"/>
    <n v="0"/>
    <n v="141"/>
    <n v="0"/>
    <s v=""/>
    <n v="113"/>
    <s v="2018 (triag)"/>
    <n v="141"/>
    <n v="2022"/>
    <x v="0"/>
    <n v="141"/>
    <n v="141"/>
    <s v="Increasing"/>
    <n v="-2.2233181875670249E-2"/>
    <n v="0.11702326021234755"/>
    <n v="126.28657486370246"/>
    <n v="160.52626906257615"/>
    <n v="0"/>
    <n v="0.32797595733061835"/>
    <n v="0.3827328837986318"/>
  </r>
  <r>
    <x v="13"/>
    <x v="13"/>
    <n v="3252610"/>
    <x v="14"/>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3"/>
    <x v="13"/>
    <n v="3252611"/>
    <x v="15"/>
    <n v="0"/>
    <n v="3296367"/>
    <n v="0"/>
    <m/>
    <n v="0"/>
    <m/>
    <n v="0"/>
    <m/>
    <n v="0"/>
    <m/>
    <n v="0"/>
    <n v="3445374.4999999986"/>
    <n v="0"/>
    <n v="86"/>
    <m/>
    <n v="0"/>
    <m/>
    <n v="0"/>
    <m/>
    <n v="99"/>
    <n v="3684031.5000000019"/>
    <n v="96"/>
    <n v="86"/>
    <n v="0"/>
    <n v="0"/>
    <n v="99"/>
    <n v="0"/>
    <s v=""/>
    <n v="86"/>
    <s v="2018 (triag)"/>
    <n v="96"/>
    <n v="2022"/>
    <x v="0"/>
    <n v="96"/>
    <n v="96"/>
    <s v="Increasing"/>
    <n v="-2.2233181875670249E-2"/>
    <n v="0.11702326021234755"/>
    <n v="96.111906533437264"/>
    <n v="122.17043486178362"/>
    <n v="0"/>
    <n v="0.24961002062330245"/>
    <n v="0.26058409109694081"/>
  </r>
  <r>
    <x v="13"/>
    <x v="13"/>
    <n v="3252612"/>
    <x v="16"/>
    <n v="0"/>
    <n v="3296367"/>
    <n v="0"/>
    <m/>
    <n v="0"/>
    <m/>
    <n v="0"/>
    <m/>
    <n v="0"/>
    <m/>
    <n v="0"/>
    <n v="3445374.4999999986"/>
    <n v="0"/>
    <n v="3563"/>
    <m/>
    <n v="0"/>
    <m/>
    <n v="0"/>
    <m/>
    <n v="0"/>
    <n v="3684031.5000000019"/>
    <n v="0"/>
    <n v="3563"/>
    <n v="0"/>
    <n v="0"/>
    <n v="0"/>
    <n v="0"/>
    <s v=""/>
    <n v="3563"/>
    <s v="2018 (triag)"/>
    <n v="3563"/>
    <s v="2018 (triag)"/>
    <x v="0"/>
    <n v="3563"/>
    <n v="3563"/>
    <s v="No change"/>
    <n v="-2.2233181875670249E-2"/>
    <n v="0.11702326021234755"/>
    <n v="3981.9386392864762"/>
    <n v="5061.549528052733"/>
    <n v="0"/>
    <n v="10.341401203265425"/>
    <n v="9.6714699643583337"/>
  </r>
  <r>
    <x v="13"/>
    <x v="13"/>
    <n v="3252613"/>
    <x v="17"/>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3"/>
    <x v="13"/>
    <n v="3252614"/>
    <x v="18"/>
    <n v="0"/>
    <n v="3296367"/>
    <n v="0"/>
    <m/>
    <n v="0"/>
    <m/>
    <n v="0"/>
    <m/>
    <n v="0"/>
    <m/>
    <n v="0"/>
    <n v="3445374.4999999986"/>
    <n v="0"/>
    <n v="549"/>
    <m/>
    <n v="0"/>
    <m/>
    <n v="0"/>
    <m/>
    <n v="267"/>
    <n v="3684031.5000000019"/>
    <n v="267"/>
    <n v="549"/>
    <n v="0"/>
    <n v="0"/>
    <n v="267"/>
    <n v="0"/>
    <s v=""/>
    <n v="549"/>
    <s v="2018 (triag)"/>
    <n v="267"/>
    <n v="2021"/>
    <x v="1"/>
    <n v="306.86273803355084"/>
    <n v="549"/>
    <s v="Decreasing"/>
    <n v="-2.2233181875670249E-2"/>
    <n v="0.11702326021234755"/>
    <n v="613.55158938205886"/>
    <n v="779.90196208278144"/>
    <n v="0"/>
    <n v="1.5934407130487562"/>
    <n v="1.4902152709606302"/>
  </r>
  <r>
    <x v="13"/>
    <x v="13"/>
    <n v="3252615"/>
    <x v="19"/>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3"/>
    <x v="13"/>
    <n v="3252616"/>
    <x v="20"/>
    <n v="0"/>
    <n v="3296367"/>
    <n v="0"/>
    <m/>
    <n v="0"/>
    <m/>
    <n v="0"/>
    <m/>
    <n v="0"/>
    <m/>
    <n v="0"/>
    <n v="3445374.4999999986"/>
    <n v="0"/>
    <n v="137"/>
    <m/>
    <n v="0"/>
    <m/>
    <n v="0"/>
    <m/>
    <n v="131"/>
    <n v="3684031.5000000019"/>
    <n v="130"/>
    <n v="137"/>
    <n v="0"/>
    <n v="0"/>
    <n v="131"/>
    <n v="0"/>
    <s v=""/>
    <n v="137"/>
    <s v="2018 (triag)"/>
    <n v="130"/>
    <n v="2022"/>
    <x v="1"/>
    <n v="149.40882376165396"/>
    <n v="149.40882376165396"/>
    <s v="Increasing"/>
    <n v="-2.2233181875670249E-2"/>
    <n v="0.11702326021234755"/>
    <n v="153.10850226838261"/>
    <n v="194.62034390772507"/>
    <n v="0"/>
    <n v="0.39763456773712136"/>
    <n v="0.40555794314368349"/>
  </r>
  <r>
    <x v="13"/>
    <x v="13"/>
    <n v="3252617"/>
    <x v="21"/>
    <n v="0"/>
    <n v="3296367"/>
    <n v="0"/>
    <m/>
    <n v="0"/>
    <m/>
    <n v="0"/>
    <m/>
    <n v="0"/>
    <m/>
    <n v="0"/>
    <n v="3445374.4999999986"/>
    <n v="0"/>
    <n v="0"/>
    <m/>
    <n v="0"/>
    <m/>
    <n v="0"/>
    <m/>
    <n v="6"/>
    <n v="3684031.5000000019"/>
    <n v="6"/>
    <n v="0"/>
    <n v="0"/>
    <n v="0"/>
    <n v="6"/>
    <n v="0"/>
    <s v=""/>
    <n v="0"/>
    <s v=""/>
    <n v="6"/>
    <n v="2021"/>
    <x v="0"/>
    <n v="6"/>
    <n v="6"/>
    <s v="Increasing"/>
    <n v="-2.2233181875670249E-2"/>
    <n v="0.11702326021234755"/>
    <n v="0"/>
    <n v="0"/>
    <n v="0"/>
    <n v="0"/>
    <n v="1.62865056935588E-2"/>
  </r>
  <r>
    <x v="13"/>
    <x v="13"/>
    <n v="3252618"/>
    <x v="22"/>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3"/>
    <x v="13"/>
    <n v="3252619"/>
    <x v="23"/>
    <n v="0"/>
    <n v="3296367"/>
    <n v="0"/>
    <m/>
    <n v="0"/>
    <m/>
    <n v="0"/>
    <m/>
    <n v="0"/>
    <m/>
    <n v="0"/>
    <n v="3445374.4999999986"/>
    <n v="0"/>
    <n v="0"/>
    <m/>
    <n v="0"/>
    <m/>
    <n v="0"/>
    <m/>
    <n v="0"/>
    <n v="3684031.5000000019"/>
    <n v="0"/>
    <n v="0"/>
    <n v="0"/>
    <n v="0"/>
    <n v="0"/>
    <n v="0"/>
    <s v=""/>
    <n v="0"/>
    <s v=""/>
    <n v="0"/>
    <s v=""/>
    <x v="0"/>
    <n v="0"/>
    <n v="0"/>
    <s v="No change"/>
    <n v="-2.2233181875670249E-2"/>
    <n v="0.11702326021234755"/>
    <n v="0"/>
    <n v="0"/>
    <n v="0"/>
    <n v="0"/>
    <n v="0"/>
  </r>
  <r>
    <x v="14"/>
    <x v="14"/>
    <n v="94451279.50000006"/>
    <x v="0"/>
    <n v="0"/>
    <n v="97084366.00000003"/>
    <n v="0"/>
    <n v="99746766.49999994"/>
    <n v="0"/>
    <n v="102471895.49999996"/>
    <n v="0"/>
    <n v="105293228.50000003"/>
    <n v="296"/>
    <n v="108197949.49999994"/>
    <n v="0"/>
    <n v="111129438.00000001"/>
    <n v="17026"/>
    <n v="17026"/>
    <n v="114120593.49999996"/>
    <n v="11734"/>
    <n v="117190910.99999994"/>
    <n v="27155"/>
    <n v="120283026.00000006"/>
    <n v="25424"/>
    <n v="123379924.50000004"/>
    <n v="35754"/>
    <n v="11263"/>
    <n v="0"/>
    <n v="17026"/>
    <n v="35754"/>
    <n v="0"/>
    <s v=""/>
    <n v="17026"/>
    <n v="2018"/>
    <n v="35754"/>
    <n v="2022"/>
    <x v="0"/>
    <n v="35754"/>
    <n v="35754"/>
    <s v="Increasing"/>
    <n v="-4.0290808124875621E-2"/>
    <n v="7.5715887821594663E-2"/>
    <n v="13776.676556035554"/>
    <n v="14135.235906422564"/>
    <n v="0"/>
    <n v="1.5320872944574775"/>
    <n v="2.8978782524704809"/>
  </r>
  <r>
    <x v="14"/>
    <x v="14"/>
    <n v="94451280.500000104"/>
    <x v="1"/>
    <n v="0"/>
    <n v="97084366.00000003"/>
    <n v="0"/>
    <m/>
    <n v="0"/>
    <m/>
    <n v="0"/>
    <m/>
    <n v="0"/>
    <m/>
    <n v="176328"/>
    <n v="111129438.00000001"/>
    <n v="123544"/>
    <n v="123544"/>
    <m/>
    <n v="0"/>
    <m/>
    <n v="139648"/>
    <m/>
    <n v="139648"/>
    <n v="123379924.50000004"/>
    <n v="140492"/>
    <n v="61772"/>
    <n v="0"/>
    <n v="176328"/>
    <n v="140492"/>
    <n v="0"/>
    <s v=""/>
    <n v="123544"/>
    <n v="2018"/>
    <n v="140492"/>
    <n v="2022"/>
    <x v="0"/>
    <n v="140492"/>
    <n v="140492"/>
    <s v="Increasing"/>
    <n v="-4.0290808124875621E-2"/>
    <n v="7.5715887821594663E-2"/>
    <n v="75558.276144848467"/>
    <n v="77524.797337435375"/>
    <n v="0"/>
    <n v="11.117126318950698"/>
    <n v="11.386941641385098"/>
  </r>
  <r>
    <x v="14"/>
    <x v="14"/>
    <n v="94451281.500000104"/>
    <x v="2"/>
    <n v="0"/>
    <n v="97084366.00000003"/>
    <n v="13850"/>
    <m/>
    <n v="0"/>
    <m/>
    <n v="0"/>
    <m/>
    <n v="24138"/>
    <m/>
    <n v="0"/>
    <n v="111129438.00000001"/>
    <n v="32318"/>
    <n v="32318"/>
    <m/>
    <n v="0"/>
    <m/>
    <n v="40710"/>
    <m/>
    <n v="40710"/>
    <n v="123379924.50000004"/>
    <n v="43986"/>
    <n v="16161"/>
    <n v="13850"/>
    <n v="32318"/>
    <n v="43986"/>
    <n v="13850"/>
    <n v="2013"/>
    <n v="32318"/>
    <n v="2018"/>
    <n v="43986"/>
    <n v="2022"/>
    <x v="0"/>
    <n v="43986"/>
    <n v="43986"/>
    <s v="Increasing"/>
    <n v="-4.0290808124875621E-2"/>
    <n v="7.5715887821594663E-2"/>
    <n v="19767.812289984071"/>
    <n v="20282.300229396704"/>
    <n v="1.4265942675054391"/>
    <n v="2.9081403255184282"/>
    <n v="3.5650856635108399"/>
  </r>
  <r>
    <x v="14"/>
    <x v="14"/>
    <n v="94451282.500000104"/>
    <x v="3"/>
    <n v="328"/>
    <n v="97084366.00000003"/>
    <n v="0"/>
    <m/>
    <n v="7329"/>
    <m/>
    <n v="894"/>
    <m/>
    <n v="2"/>
    <m/>
    <n v="0"/>
    <n v="111129438.00000001"/>
    <n v="995"/>
    <n v="10752"/>
    <m/>
    <n v="15498"/>
    <m/>
    <n v="17331"/>
    <m/>
    <n v="0"/>
    <n v="123379924.50000004"/>
    <n v="75"/>
    <n v="10752"/>
    <n v="7329"/>
    <n v="15498"/>
    <n v="17331"/>
    <n v="328"/>
    <n v="2012"/>
    <n v="10752"/>
    <s v="2018 (triag)"/>
    <n v="75"/>
    <n v="2022"/>
    <x v="1"/>
    <n v="76.565209073190573"/>
    <n v="35964"/>
    <s v="Decreasing"/>
    <n v="-4.0290808124875621E-2"/>
    <n v="7.5715887821594663E-2"/>
    <n v="13151.631566234066"/>
    <n v="13493.923152433224"/>
    <n v="3.3785048356807512E-2"/>
    <n v="0.96752041524766808"/>
    <n v="2.9148988496908981"/>
  </r>
  <r>
    <x v="14"/>
    <x v="14"/>
    <n v="94451283.500000104"/>
    <x v="4"/>
    <n v="19"/>
    <n v="97084366.00000003"/>
    <n v="0"/>
    <m/>
    <n v="1032"/>
    <m/>
    <n v="275"/>
    <m/>
    <n v="2"/>
    <m/>
    <n v="0"/>
    <n v="111129438.00000001"/>
    <n v="268"/>
    <n v="1889"/>
    <m/>
    <n v="0"/>
    <m/>
    <n v="16139"/>
    <m/>
    <n v="0"/>
    <n v="123379924.50000004"/>
    <n v="121"/>
    <n v="1889"/>
    <n v="1032"/>
    <n v="268"/>
    <n v="16139"/>
    <n v="19"/>
    <n v="2012"/>
    <n v="1889"/>
    <s v="2018 (triag)"/>
    <n v="121"/>
    <n v="2022"/>
    <x v="1"/>
    <n v="123.52520397141411"/>
    <n v="1889"/>
    <s v="Decreasing"/>
    <n v="-4.0290808124875621E-2"/>
    <n v="7.5715887821594663E-2"/>
    <n v="2310.587056232901"/>
    <n v="2370.7236639645052"/>
    <n v="1.957060727985801E-3"/>
    <n v="0.16998196283508604"/>
    <n v="0.15310432452080155"/>
  </r>
  <r>
    <x v="14"/>
    <x v="14"/>
    <n v="94451284.500000104"/>
    <x v="5"/>
    <n v="0"/>
    <n v="97084366.00000003"/>
    <n v="0"/>
    <m/>
    <n v="0"/>
    <m/>
    <n v="0"/>
    <m/>
    <n v="0"/>
    <m/>
    <n v="0"/>
    <n v="111129438.00000001"/>
    <n v="37259"/>
    <n v="37259"/>
    <m/>
    <n v="0"/>
    <m/>
    <n v="42630"/>
    <m/>
    <n v="42630"/>
    <n v="123379924.50000004"/>
    <n v="41101"/>
    <n v="37259"/>
    <n v="0"/>
    <n v="37259"/>
    <n v="42630"/>
    <n v="0"/>
    <s v=""/>
    <n v="37259"/>
    <n v="2018"/>
    <n v="41101"/>
    <n v="2022"/>
    <x v="0"/>
    <n v="41101"/>
    <n v="41101"/>
    <s v="Increasing"/>
    <n v="-4.0290808124875621E-2"/>
    <n v="7.5715887821594663E-2"/>
    <n v="45574.464334664714"/>
    <n v="46760.610373559291"/>
    <n v="0"/>
    <n v="3.352756989556628"/>
    <n v="3.3312550778874876"/>
  </r>
  <r>
    <x v="14"/>
    <x v="14"/>
    <n v="94451285.500000104"/>
    <x v="6"/>
    <n v="50"/>
    <n v="97084366.00000003"/>
    <n v="0"/>
    <m/>
    <n v="0"/>
    <m/>
    <n v="35"/>
    <m/>
    <n v="0"/>
    <m/>
    <n v="0"/>
    <n v="111129438.00000001"/>
    <n v="1385"/>
    <n v="1385"/>
    <m/>
    <n v="0"/>
    <m/>
    <n v="0"/>
    <m/>
    <n v="0"/>
    <n v="123379924.50000004"/>
    <n v="0"/>
    <n v="147"/>
    <n v="50"/>
    <n v="1385"/>
    <n v="0"/>
    <n v="50"/>
    <n v="2012"/>
    <n v="1385"/>
    <n v="2018"/>
    <n v="1385"/>
    <n v="2018"/>
    <x v="0"/>
    <n v="1385"/>
    <n v="1385"/>
    <s v="No change"/>
    <n v="-4.0290808124875621E-2"/>
    <n v="7.5715887821594663E-2"/>
    <n v="179.80746281960637"/>
    <n v="184.48723059967298"/>
    <n v="5.1501598104889499E-3"/>
    <n v="0.12462944337035159"/>
    <n v="0.11225489119179996"/>
  </r>
  <r>
    <x v="14"/>
    <x v="14"/>
    <n v="94451286.500000104"/>
    <x v="7"/>
    <n v="461"/>
    <n v="97084366.00000003"/>
    <n v="0"/>
    <m/>
    <n v="2970"/>
    <m/>
    <n v="0"/>
    <m/>
    <n v="64"/>
    <m/>
    <n v="0"/>
    <n v="111129438.00000001"/>
    <n v="665"/>
    <n v="2662"/>
    <m/>
    <n v="0"/>
    <m/>
    <n v="1234"/>
    <m/>
    <n v="0"/>
    <n v="123379924.50000004"/>
    <n v="5410"/>
    <n v="2662"/>
    <n v="2970"/>
    <n v="665"/>
    <n v="5410"/>
    <n v="461"/>
    <n v="2012"/>
    <n v="2662"/>
    <s v="2018 (triag)"/>
    <n v="5410"/>
    <n v="2022"/>
    <x v="0"/>
    <n v="5410"/>
    <n v="8932"/>
    <s v="Increasing"/>
    <n v="-4.0290808124875621E-2"/>
    <n v="7.5715887821594663E-2"/>
    <n v="3256.1052110598102"/>
    <n v="3340.8503935804729"/>
    <n v="4.748447345270812E-2"/>
    <n v="0.2395404897125458"/>
    <n v="0.72394273510841678"/>
  </r>
  <r>
    <x v="14"/>
    <x v="14"/>
    <n v="94451287.500000104"/>
    <x v="8"/>
    <n v="0"/>
    <n v="97084366.00000003"/>
    <n v="0"/>
    <m/>
    <n v="0"/>
    <m/>
    <n v="0"/>
    <m/>
    <n v="0"/>
    <m/>
    <n v="0"/>
    <n v="111129438.00000001"/>
    <n v="0"/>
    <n v="0"/>
    <m/>
    <n v="0"/>
    <m/>
    <n v="0"/>
    <m/>
    <n v="0"/>
    <n v="123379924.50000004"/>
    <n v="0"/>
    <n v="0"/>
    <n v="0"/>
    <n v="0"/>
    <n v="0"/>
    <n v="0"/>
    <s v=""/>
    <n v="0"/>
    <s v=""/>
    <n v="0"/>
    <s v=""/>
    <x v="0"/>
    <n v="0"/>
    <n v="0"/>
    <s v="No change"/>
    <n v="-4.0290808124875621E-2"/>
    <n v="7.5715887821594663E-2"/>
    <n v="0"/>
    <n v="0"/>
    <n v="0"/>
    <n v="0"/>
    <n v="0"/>
  </r>
  <r>
    <x v="14"/>
    <x v="14"/>
    <n v="94451288.500000104"/>
    <x v="9"/>
    <n v="0"/>
    <n v="97084366.00000003"/>
    <n v="0"/>
    <m/>
    <n v="0"/>
    <m/>
    <n v="0"/>
    <m/>
    <n v="0"/>
    <m/>
    <n v="0"/>
    <n v="111129438.00000001"/>
    <n v="0"/>
    <n v="4365"/>
    <m/>
    <n v="0"/>
    <m/>
    <n v="0"/>
    <m/>
    <n v="0"/>
    <n v="123379924.50000004"/>
    <n v="0"/>
    <n v="4365"/>
    <n v="0"/>
    <n v="0"/>
    <n v="0"/>
    <n v="0"/>
    <s v=""/>
    <n v="4365"/>
    <s v="2018 (triag)"/>
    <n v="4365"/>
    <s v="2018 (triag)"/>
    <x v="0"/>
    <n v="4365"/>
    <n v="4365"/>
    <s v="No change"/>
    <n v="-4.0290808124875621E-2"/>
    <n v="7.5715887821594663E-2"/>
    <n v="5339.1807837250462"/>
    <n v="5478.1412351535555"/>
    <n v="0"/>
    <n v="0.39278521322136078"/>
    <n v="0.35378527079581723"/>
  </r>
  <r>
    <x v="14"/>
    <x v="14"/>
    <n v="94451289.500000104"/>
    <x v="10"/>
    <n v="0"/>
    <n v="97084366.00000003"/>
    <n v="0"/>
    <m/>
    <n v="0"/>
    <m/>
    <n v="0"/>
    <m/>
    <n v="0"/>
    <m/>
    <n v="0"/>
    <n v="111129438.00000001"/>
    <n v="0"/>
    <n v="52"/>
    <m/>
    <n v="0"/>
    <m/>
    <n v="22"/>
    <m/>
    <n v="17"/>
    <n v="123379924.50000004"/>
    <n v="130"/>
    <n v="52"/>
    <n v="0"/>
    <n v="0"/>
    <n v="130"/>
    <n v="0"/>
    <s v=""/>
    <n v="52"/>
    <s v="2018 (triag)"/>
    <n v="130"/>
    <n v="2022"/>
    <x v="0"/>
    <n v="130"/>
    <n v="130"/>
    <s v="Increasing"/>
    <n v="-4.0290808124875621E-2"/>
    <n v="7.5715887821594663E-2"/>
    <n v="63.605360997411772"/>
    <n v="65.260789055666635"/>
    <n v="0"/>
    <n v="4.6792281987424423E-3"/>
    <n v="1.0536560184067867E-2"/>
  </r>
  <r>
    <x v="14"/>
    <x v="14"/>
    <n v="94451290.500000104"/>
    <x v="11"/>
    <n v="0"/>
    <n v="97084366.00000003"/>
    <n v="0"/>
    <m/>
    <n v="0"/>
    <m/>
    <n v="0"/>
    <m/>
    <n v="0"/>
    <m/>
    <n v="0"/>
    <n v="111129438.00000001"/>
    <n v="10450"/>
    <n v="10450"/>
    <m/>
    <n v="0"/>
    <m/>
    <n v="8005"/>
    <m/>
    <n v="0"/>
    <n v="123379924.50000004"/>
    <n v="23757"/>
    <n v="672"/>
    <n v="0"/>
    <n v="10450"/>
    <n v="23757"/>
    <n v="0"/>
    <s v=""/>
    <n v="10450"/>
    <n v="2018"/>
    <n v="23757"/>
    <n v="2022"/>
    <x v="0"/>
    <n v="23757"/>
    <n v="23757"/>
    <s v="Increasing"/>
    <n v="-4.0290808124875621E-2"/>
    <n v="7.5715887821594663E-2"/>
    <n v="821.97697288962911"/>
    <n v="843.37019702707653"/>
    <n v="0"/>
    <n v="0.94034489763189466"/>
    <n v="1.9255158484069255"/>
  </r>
  <r>
    <x v="14"/>
    <x v="14"/>
    <n v="94451291.500000104"/>
    <x v="12"/>
    <n v="0"/>
    <n v="97084366.00000003"/>
    <n v="0"/>
    <m/>
    <n v="0"/>
    <m/>
    <n v="0"/>
    <m/>
    <n v="0"/>
    <m/>
    <n v="0"/>
    <n v="111129438.00000001"/>
    <n v="0"/>
    <n v="11536"/>
    <m/>
    <n v="0"/>
    <m/>
    <n v="0"/>
    <m/>
    <n v="0"/>
    <n v="123379924.50000004"/>
    <n v="0"/>
    <n v="11536"/>
    <n v="0"/>
    <n v="0"/>
    <n v="0"/>
    <n v="0"/>
    <s v=""/>
    <n v="11536"/>
    <s v="2018 (triag)"/>
    <n v="11536"/>
    <s v="2018 (triag)"/>
    <x v="0"/>
    <n v="11536"/>
    <n v="11536"/>
    <s v="No change"/>
    <n v="-4.0290808124875621E-2"/>
    <n v="7.5715887821594663E-2"/>
    <n v="14110.604701271966"/>
    <n v="14477.855048964815"/>
    <n v="0"/>
    <n v="1.0380687788594771"/>
    <n v="0.93499814064159159"/>
  </r>
  <r>
    <x v="14"/>
    <x v="14"/>
    <n v="94451292.500000104"/>
    <x v="13"/>
    <n v="0"/>
    <n v="97084366.00000003"/>
    <n v="0"/>
    <m/>
    <n v="0"/>
    <m/>
    <n v="0"/>
    <m/>
    <n v="0"/>
    <m/>
    <n v="0"/>
    <n v="111129438.00000001"/>
    <n v="0"/>
    <n v="1041"/>
    <m/>
    <n v="0"/>
    <m/>
    <n v="0"/>
    <m/>
    <n v="0"/>
    <n v="123379924.50000004"/>
    <n v="2513"/>
    <n v="1041"/>
    <n v="0"/>
    <n v="0"/>
    <n v="2513"/>
    <n v="0"/>
    <s v=""/>
    <n v="1041"/>
    <s v="2018 (triag)"/>
    <n v="2513"/>
    <n v="2022"/>
    <x v="0"/>
    <n v="2513"/>
    <n v="2513"/>
    <s v="Increasing"/>
    <n v="-4.0290808124875621E-2"/>
    <n v="7.5715887821594663E-2"/>
    <n v="1273.3303999674165"/>
    <n v="1306.4707962874802"/>
    <n v="0"/>
    <n v="9.3674549132516965E-2"/>
    <n v="0.20367981340432731"/>
  </r>
  <r>
    <x v="14"/>
    <x v="14"/>
    <n v="94451293.500000104"/>
    <x v="14"/>
    <n v="0"/>
    <n v="97084366.00000003"/>
    <n v="0"/>
    <m/>
    <n v="0"/>
    <m/>
    <n v="0"/>
    <m/>
    <n v="0"/>
    <m/>
    <n v="0"/>
    <n v="111129438.00000001"/>
    <n v="0"/>
    <n v="2953"/>
    <m/>
    <n v="0"/>
    <m/>
    <n v="0"/>
    <m/>
    <n v="0"/>
    <n v="123379924.50000004"/>
    <n v="0"/>
    <n v="2953"/>
    <n v="0"/>
    <n v="0"/>
    <n v="0"/>
    <n v="0"/>
    <s v=""/>
    <n v="2953"/>
    <s v="2018 (triag)"/>
    <n v="2953"/>
    <s v="2018 (triag)"/>
    <x v="0"/>
    <n v="2953"/>
    <n v="2953"/>
    <s v="No change"/>
    <n v="-4.0290808124875621E-2"/>
    <n v="7.5715887821594663E-2"/>
    <n v="3612.0505966414803"/>
    <n v="3706.0598092573764"/>
    <n v="0"/>
    <n v="0.26572617059396986"/>
    <n v="0.23934201710424932"/>
  </r>
  <r>
    <x v="14"/>
    <x v="14"/>
    <n v="94451294.500000104"/>
    <x v="15"/>
    <n v="0"/>
    <n v="97084366.00000003"/>
    <n v="0"/>
    <m/>
    <n v="0"/>
    <m/>
    <n v="0"/>
    <m/>
    <n v="0"/>
    <m/>
    <n v="0"/>
    <n v="111129438.00000001"/>
    <n v="0"/>
    <n v="330"/>
    <m/>
    <n v="0"/>
    <m/>
    <n v="654"/>
    <m/>
    <n v="567"/>
    <n v="123379924.50000004"/>
    <n v="674"/>
    <n v="330"/>
    <n v="0"/>
    <n v="0"/>
    <n v="674"/>
    <n v="0"/>
    <s v=""/>
    <n v="330"/>
    <s v="2018 (triag)"/>
    <n v="674"/>
    <n v="2022"/>
    <x v="0"/>
    <n v="674"/>
    <n v="674"/>
    <s v="Increasing"/>
    <n v="-4.0290808124875621E-2"/>
    <n v="7.5715887821594663E-2"/>
    <n v="403.64940632972855"/>
    <n v="414.15500746865365"/>
    <n v="0"/>
    <n v="2.9695102030480883E-2"/>
    <n v="5.4628012031244171E-2"/>
  </r>
  <r>
    <x v="14"/>
    <x v="14"/>
    <n v="94451295.500000104"/>
    <x v="16"/>
    <n v="0"/>
    <n v="97084366.00000003"/>
    <n v="0"/>
    <m/>
    <n v="0"/>
    <m/>
    <n v="0"/>
    <m/>
    <n v="0"/>
    <m/>
    <n v="0"/>
    <n v="111129438.00000001"/>
    <n v="0"/>
    <n v="73174"/>
    <m/>
    <n v="0"/>
    <m/>
    <n v="0"/>
    <m/>
    <n v="0"/>
    <n v="123379924.50000004"/>
    <n v="0"/>
    <n v="73174"/>
    <n v="0"/>
    <n v="0"/>
    <n v="0"/>
    <n v="0"/>
    <s v=""/>
    <n v="73174"/>
    <s v="2018 (triag)"/>
    <n v="73174"/>
    <s v="2018 (triag)"/>
    <x v="0"/>
    <n v="73174"/>
    <n v="73174"/>
    <s v="No change"/>
    <n v="-4.0290808124875621E-2"/>
    <n v="7.5715887821594663E-2"/>
    <n v="89504.974723550171"/>
    <n v="91834.480353064428"/>
    <n v="0"/>
    <n v="6.5845739272072974"/>
    <n v="5.930786576222939"/>
  </r>
  <r>
    <x v="14"/>
    <x v="14"/>
    <n v="94451296.500000104"/>
    <x v="17"/>
    <n v="0"/>
    <n v="97084366.00000003"/>
    <n v="0"/>
    <m/>
    <n v="0"/>
    <m/>
    <n v="0"/>
    <m/>
    <n v="0"/>
    <m/>
    <n v="0"/>
    <n v="111129438.00000001"/>
    <n v="0"/>
    <n v="2872"/>
    <m/>
    <n v="0"/>
    <m/>
    <n v="0"/>
    <m/>
    <n v="0"/>
    <n v="123379924.50000004"/>
    <n v="0"/>
    <n v="2872"/>
    <n v="0"/>
    <n v="0"/>
    <n v="0"/>
    <n v="0"/>
    <s v=""/>
    <n v="2872"/>
    <s v="2018 (triag)"/>
    <n v="2872"/>
    <s v="2018 (triag)"/>
    <x v="0"/>
    <n v="2872"/>
    <n v="2872"/>
    <s v="No change"/>
    <n v="-4.0290808124875621E-2"/>
    <n v="7.5715887821594663E-2"/>
    <n v="3512.9730150878195"/>
    <n v="3604.4035801514342"/>
    <n v="0"/>
    <n v="0.25843737282285184"/>
    <n v="0.2327769296049455"/>
  </r>
  <r>
    <x v="14"/>
    <x v="14"/>
    <n v="94451297.500000104"/>
    <x v="18"/>
    <n v="0"/>
    <n v="97084366.00000003"/>
    <n v="0"/>
    <m/>
    <n v="0"/>
    <m/>
    <n v="0"/>
    <m/>
    <n v="0"/>
    <m/>
    <n v="0"/>
    <n v="111129438.00000001"/>
    <n v="0"/>
    <n v="10450"/>
    <m/>
    <n v="0"/>
    <m/>
    <n v="4752"/>
    <m/>
    <n v="0"/>
    <n v="123379924.50000004"/>
    <n v="13915"/>
    <n v="10450"/>
    <n v="0"/>
    <n v="0"/>
    <n v="13915"/>
    <n v="0"/>
    <s v=""/>
    <n v="10450"/>
    <s v="2018 (triag)"/>
    <n v="13915"/>
    <n v="2022"/>
    <x v="0"/>
    <n v="13915"/>
    <n v="13915"/>
    <s v="Increasing"/>
    <n v="-4.0290808124875621E-2"/>
    <n v="7.5715887821594663E-2"/>
    <n v="12782.231200441405"/>
    <n v="13114.9085698407"/>
    <n v="0"/>
    <n v="0.94034489763189466"/>
    <n v="1.1278171920100335"/>
  </r>
  <r>
    <x v="14"/>
    <x v="14"/>
    <n v="94451298.500000104"/>
    <x v="19"/>
    <n v="0"/>
    <n v="97084366.00000003"/>
    <n v="0"/>
    <m/>
    <n v="0"/>
    <m/>
    <n v="0"/>
    <m/>
    <n v="0"/>
    <m/>
    <n v="0"/>
    <n v="111129438.00000001"/>
    <n v="0"/>
    <n v="1285"/>
    <m/>
    <n v="0"/>
    <m/>
    <n v="1234"/>
    <m/>
    <n v="0"/>
    <n v="123379924.50000004"/>
    <n v="1205"/>
    <n v="1285"/>
    <n v="0"/>
    <n v="0"/>
    <n v="1234"/>
    <n v="0"/>
    <s v=""/>
    <n v="1285"/>
    <s v="2018 (triag)"/>
    <n v="1205"/>
    <n v="2022"/>
    <x v="1"/>
    <n v="1230.1476924425951"/>
    <n v="1285"/>
    <s v="Decreasing"/>
    <n v="-4.0290808124875621E-2"/>
    <n v="7.5715887821594663E-2"/>
    <n v="1571.7863246475795"/>
    <n v="1612.6944987794545"/>
    <n v="0"/>
    <n v="0.1156309276035392"/>
    <n v="0.10414984489636314"/>
  </r>
  <r>
    <x v="14"/>
    <x v="14"/>
    <n v="94451299.500000104"/>
    <x v="20"/>
    <n v="0"/>
    <n v="97084366.00000003"/>
    <n v="0"/>
    <m/>
    <n v="0"/>
    <m/>
    <n v="0"/>
    <m/>
    <n v="0"/>
    <m/>
    <n v="0"/>
    <n v="111129438.00000001"/>
    <n v="0"/>
    <n v="258"/>
    <m/>
    <n v="0"/>
    <m/>
    <n v="249"/>
    <m/>
    <n v="0"/>
    <n v="123379924.50000004"/>
    <n v="3275"/>
    <n v="258"/>
    <n v="0"/>
    <n v="0"/>
    <n v="3275"/>
    <n v="0"/>
    <s v=""/>
    <n v="258"/>
    <s v="2018 (triag)"/>
    <n v="3275"/>
    <n v="2022"/>
    <x v="0"/>
    <n v="3275"/>
    <n v="3275"/>
    <s v="Increasing"/>
    <n v="-4.0290808124875621E-2"/>
    <n v="7.5715887821594663E-2"/>
    <n v="315.58044494869688"/>
    <n v="323.79391493003834"/>
    <n v="0"/>
    <n v="2.3216170678375964E-2"/>
    <n v="0.26544026617555588"/>
  </r>
  <r>
    <x v="14"/>
    <x v="14"/>
    <n v="94451300.500000104"/>
    <x v="21"/>
    <n v="0"/>
    <n v="97084366.00000003"/>
    <n v="0"/>
    <m/>
    <n v="0"/>
    <m/>
    <n v="0"/>
    <m/>
    <n v="0"/>
    <m/>
    <n v="0"/>
    <n v="111129438.00000001"/>
    <n v="0"/>
    <n v="0"/>
    <m/>
    <n v="0"/>
    <m/>
    <n v="0"/>
    <m/>
    <n v="0"/>
    <n v="123379924.50000004"/>
    <n v="0"/>
    <n v="0"/>
    <n v="0"/>
    <n v="0"/>
    <n v="0"/>
    <n v="0"/>
    <s v=""/>
    <n v="0"/>
    <s v=""/>
    <n v="0"/>
    <s v=""/>
    <x v="0"/>
    <n v="0"/>
    <n v="0"/>
    <s v="No change"/>
    <n v="-4.0290808124875621E-2"/>
    <n v="7.5715887821594663E-2"/>
    <n v="0"/>
    <n v="0"/>
    <n v="0"/>
    <n v="0"/>
    <n v="0"/>
  </r>
  <r>
    <x v="14"/>
    <x v="14"/>
    <n v="94451301.500000104"/>
    <x v="22"/>
    <n v="0"/>
    <n v="97084366.00000003"/>
    <n v="0"/>
    <m/>
    <n v="0"/>
    <m/>
    <n v="0"/>
    <m/>
    <n v="0"/>
    <m/>
    <n v="0"/>
    <n v="111129438.00000001"/>
    <n v="0"/>
    <n v="0"/>
    <m/>
    <n v="0"/>
    <m/>
    <n v="4"/>
    <m/>
    <n v="0"/>
    <n v="123379924.50000004"/>
    <n v="0"/>
    <n v="0"/>
    <n v="0"/>
    <n v="0"/>
    <n v="4"/>
    <n v="0"/>
    <s v=""/>
    <n v="0"/>
    <s v=""/>
    <n v="4"/>
    <n v="2020"/>
    <x v="0"/>
    <n v="4"/>
    <n v="4"/>
    <s v="Increasing"/>
    <n v="-4.0290808124875621E-2"/>
    <n v="7.5715887821594663E-2"/>
    <n v="0"/>
    <n v="0"/>
    <n v="0"/>
    <n v="0"/>
    <n v="3.2420185181747282E-4"/>
  </r>
  <r>
    <x v="14"/>
    <x v="14"/>
    <n v="94451302.500000104"/>
    <x v="23"/>
    <n v="0"/>
    <n v="97084366.00000003"/>
    <n v="0"/>
    <m/>
    <n v="0"/>
    <m/>
    <n v="0"/>
    <m/>
    <n v="0"/>
    <m/>
    <n v="0"/>
    <n v="111129438.00000001"/>
    <n v="0"/>
    <n v="0"/>
    <m/>
    <n v="0"/>
    <m/>
    <n v="0"/>
    <m/>
    <n v="0"/>
    <n v="123379924.50000004"/>
    <n v="0"/>
    <n v="0"/>
    <n v="0"/>
    <n v="0"/>
    <n v="0"/>
    <n v="0"/>
    <s v=""/>
    <n v="0"/>
    <s v=""/>
    <n v="0"/>
    <s v=""/>
    <x v="0"/>
    <n v="0"/>
    <n v="0"/>
    <s v="No change"/>
    <n v="-4.0290808124875621E-2"/>
    <n v="7.5715887821594663E-2"/>
    <n v="0"/>
    <n v="0"/>
    <n v="0"/>
    <n v="0"/>
    <n v="0"/>
  </r>
  <r>
    <x v="15"/>
    <x v="15"/>
    <n v="1836705"/>
    <x v="0"/>
    <n v="0"/>
    <n v="1902226.5000000007"/>
    <n v="0"/>
    <n v="1966855.5"/>
    <n v="0"/>
    <n v="2028517.0000000007"/>
    <n v="0"/>
    <n v="2086205.5000000009"/>
    <n v="1430"/>
    <n v="2140215.5000000005"/>
    <n v="3543"/>
    <n v="2192011.5"/>
    <n v="2736"/>
    <n v="2736"/>
    <n v="2242785.5000000005"/>
    <n v="3587"/>
    <n v="2292572.9999999981"/>
    <n v="3559"/>
    <n v="2341178.9999999986"/>
    <n v="0"/>
    <n v="2388992.5000000005"/>
    <n v="2832"/>
    <n v="1368"/>
    <n v="0"/>
    <n v="3587"/>
    <n v="3559"/>
    <n v="0"/>
    <s v=""/>
    <n v="2736"/>
    <n v="2018"/>
    <n v="2832"/>
    <n v="2022"/>
    <x v="0"/>
    <n v="2832"/>
    <n v="2832"/>
    <s v="Increasing"/>
    <n v="0.2599900753182236"/>
    <n v="5.4673730437993617E-2"/>
    <n v="372.84199410220009"/>
    <n v="1611.8313395089324"/>
    <n v="0"/>
    <n v="12.481686341517825"/>
    <n v="11.854369572110416"/>
  </r>
  <r>
    <x v="15"/>
    <x v="15"/>
    <n v="1836706"/>
    <x v="1"/>
    <n v="0"/>
    <n v="1902226.5000000007"/>
    <n v="0"/>
    <m/>
    <n v="0"/>
    <m/>
    <n v="0"/>
    <m/>
    <n v="9192"/>
    <m/>
    <n v="10700"/>
    <n v="2192011.5"/>
    <n v="12170"/>
    <n v="12170"/>
    <m/>
    <n v="10179"/>
    <m/>
    <n v="10963"/>
    <m/>
    <n v="0"/>
    <n v="2388992.5000000005"/>
    <n v="8554"/>
    <n v="5352"/>
    <n v="0"/>
    <n v="12170"/>
    <n v="10963"/>
    <n v="0"/>
    <s v=""/>
    <n v="12170"/>
    <n v="2018"/>
    <n v="8554"/>
    <n v="2022"/>
    <x v="1"/>
    <n v="9503.1997555439157"/>
    <n v="12170"/>
    <s v="Decreasing"/>
    <n v="0.2599900753182236"/>
    <n v="5.4673730437993617E-2"/>
    <n v="1458.66253832966"/>
    <n v="6305.9366440437179"/>
    <n v="0"/>
    <n v="55.519781716473659"/>
    <n v="50.941976586364326"/>
  </r>
  <r>
    <x v="15"/>
    <x v="15"/>
    <n v="1836707"/>
    <x v="2"/>
    <n v="0"/>
    <n v="1902226.5000000007"/>
    <n v="874"/>
    <m/>
    <n v="0"/>
    <m/>
    <n v="0"/>
    <m/>
    <n v="1026"/>
    <m/>
    <n v="1466"/>
    <n v="2192011.5"/>
    <n v="0"/>
    <n v="733"/>
    <m/>
    <n v="1214"/>
    <m/>
    <n v="1324"/>
    <m/>
    <n v="0"/>
    <n v="2388992.5000000005"/>
    <n v="1840"/>
    <n v="733"/>
    <n v="874"/>
    <n v="1466"/>
    <n v="1840"/>
    <n v="874"/>
    <n v="2013"/>
    <n v="733"/>
    <s v="2018 (triag)"/>
    <n v="1840"/>
    <n v="2022"/>
    <x v="0"/>
    <n v="1840"/>
    <n v="1840"/>
    <s v="Increasing"/>
    <n v="0.2599900753182236"/>
    <n v="5.4673730437993617E-2"/>
    <n v="199.77571760008234"/>
    <n v="863.64939463453754"/>
    <n v="4.5946158357062092"/>
    <n v="3.3439605586010841"/>
    <n v="7.7019915299022479"/>
  </r>
  <r>
    <x v="15"/>
    <x v="15"/>
    <n v="1836708"/>
    <x v="3"/>
    <n v="0"/>
    <n v="1902226.5000000007"/>
    <n v="98"/>
    <m/>
    <n v="2131"/>
    <m/>
    <n v="0"/>
    <m/>
    <n v="78"/>
    <m/>
    <n v="2917"/>
    <n v="2192011.5"/>
    <n v="596"/>
    <n v="596"/>
    <m/>
    <n v="0"/>
    <m/>
    <n v="0"/>
    <m/>
    <n v="0"/>
    <n v="2388992.5000000005"/>
    <n v="0"/>
    <n v="227"/>
    <n v="2131"/>
    <n v="2917"/>
    <n v="0"/>
    <n v="98"/>
    <n v="2013"/>
    <n v="596"/>
    <n v="2018"/>
    <n v="596"/>
    <n v="2018"/>
    <x v="0"/>
    <n v="596"/>
    <n v="596"/>
    <s v="No change"/>
    <n v="0.2599900753182236"/>
    <n v="5.4673730437993617E-2"/>
    <n v="61.867787033040514"/>
    <n v="267.46031730155528"/>
    <n v="0.51518575732174887"/>
    <n v="2.7189638375528595"/>
    <n v="2.4947755172944239"/>
  </r>
  <r>
    <x v="15"/>
    <x v="15"/>
    <n v="1836709"/>
    <x v="4"/>
    <n v="0"/>
    <n v="1902226.5000000007"/>
    <n v="25"/>
    <m/>
    <n v="396"/>
    <m/>
    <n v="0"/>
    <m/>
    <n v="23"/>
    <m/>
    <n v="246"/>
    <n v="2192011.5"/>
    <n v="6"/>
    <n v="40"/>
    <m/>
    <n v="0"/>
    <m/>
    <n v="0"/>
    <m/>
    <n v="0"/>
    <n v="2388992.5000000005"/>
    <n v="0"/>
    <n v="40"/>
    <n v="396"/>
    <n v="246"/>
    <n v="0"/>
    <n v="25"/>
    <n v="2013"/>
    <n v="40"/>
    <s v="2018 (triag)"/>
    <n v="40"/>
    <s v="2018 (triag)"/>
    <x v="0"/>
    <n v="40"/>
    <n v="40"/>
    <s v="No change"/>
    <n v="0.2599900753182236"/>
    <n v="5.4673730437993617E-2"/>
    <n v="10.901812693046786"/>
    <n v="47.129571330670537"/>
    <n v="0.13142493809228287"/>
    <n v="0.18248079446663487"/>
    <n v="0.16743459847613582"/>
  </r>
  <r>
    <x v="15"/>
    <x v="15"/>
    <n v="1836710"/>
    <x v="5"/>
    <n v="0"/>
    <n v="1902226.5000000007"/>
    <n v="0"/>
    <m/>
    <n v="0"/>
    <m/>
    <n v="0"/>
    <m/>
    <n v="0"/>
    <m/>
    <n v="0"/>
    <n v="2192011.5"/>
    <n v="0"/>
    <n v="0"/>
    <m/>
    <n v="117"/>
    <m/>
    <n v="110"/>
    <m/>
    <n v="0"/>
    <n v="2388992.5000000005"/>
    <n v="98"/>
    <n v="0"/>
    <n v="0"/>
    <n v="117"/>
    <n v="110"/>
    <n v="0"/>
    <s v=""/>
    <n v="117"/>
    <n v="2019"/>
    <n v="98"/>
    <n v="2022"/>
    <x v="1"/>
    <n v="108.87462895058496"/>
    <n v="117"/>
    <s v="Decreasing"/>
    <n v="0.2599900753182236"/>
    <n v="5.4673730437993617E-2"/>
    <n v="0"/>
    <n v="0"/>
    <n v="0"/>
    <n v="0.53375632381490701"/>
    <n v="0.4897462005426973"/>
  </r>
  <r>
    <x v="15"/>
    <x v="15"/>
    <n v="1836711"/>
    <x v="6"/>
    <n v="0"/>
    <n v="1902226.5000000007"/>
    <n v="0"/>
    <m/>
    <n v="999"/>
    <m/>
    <n v="0"/>
    <m/>
    <n v="4"/>
    <m/>
    <n v="1985"/>
    <n v="2192011.5"/>
    <n v="0"/>
    <n v="6"/>
    <m/>
    <n v="0"/>
    <m/>
    <n v="0"/>
    <m/>
    <n v="0"/>
    <n v="2388992.5000000005"/>
    <n v="0"/>
    <n v="6"/>
    <n v="999"/>
    <n v="1985"/>
    <n v="0"/>
    <n v="999"/>
    <n v="2014"/>
    <n v="6"/>
    <s v="2018 (triag)"/>
    <n v="6"/>
    <s v="2018 (triag)"/>
    <x v="0"/>
    <n v="6"/>
    <n v="6"/>
    <s v="No change"/>
    <n v="0.2599900753182236"/>
    <n v="5.4673730437993617E-2"/>
    <n v="1.6352719039570178"/>
    <n v="7.0694356996005805"/>
    <n v="5.2517405261676231"/>
    <n v="2.737211916999523E-2"/>
    <n v="2.5115189771420375E-2"/>
  </r>
  <r>
    <x v="15"/>
    <x v="15"/>
    <n v="1836712"/>
    <x v="7"/>
    <n v="0"/>
    <n v="1902226.5000000007"/>
    <n v="296"/>
    <m/>
    <n v="6"/>
    <m/>
    <n v="0"/>
    <m/>
    <n v="29"/>
    <m/>
    <n v="5029"/>
    <n v="2192011.5"/>
    <n v="0"/>
    <n v="312"/>
    <m/>
    <n v="0"/>
    <m/>
    <n v="0"/>
    <m/>
    <n v="0"/>
    <n v="2388992.5000000005"/>
    <n v="0"/>
    <n v="312"/>
    <n v="296"/>
    <n v="5029"/>
    <n v="0"/>
    <n v="296"/>
    <n v="2013"/>
    <n v="312"/>
    <s v="2018 (triag)"/>
    <n v="312"/>
    <s v="2018 (triag)"/>
    <x v="0"/>
    <n v="312"/>
    <n v="312"/>
    <s v="No change"/>
    <n v="0.2599900753182236"/>
    <n v="5.4673730437993617E-2"/>
    <n v="85.034139005764928"/>
    <n v="367.61065637923019"/>
    <n v="1.5560712670126291"/>
    <n v="1.4233501968397519"/>
    <n v="1.3059898681138595"/>
  </r>
  <r>
    <x v="15"/>
    <x v="15"/>
    <n v="1836713"/>
    <x v="8"/>
    <n v="0"/>
    <n v="1902226.5000000007"/>
    <n v="0"/>
    <m/>
    <n v="0"/>
    <m/>
    <n v="0"/>
    <m/>
    <n v="0"/>
    <m/>
    <n v="0"/>
    <n v="2192011.5"/>
    <n v="0"/>
    <n v="86"/>
    <m/>
    <n v="40"/>
    <m/>
    <n v="18"/>
    <m/>
    <n v="0"/>
    <n v="2388992.5000000005"/>
    <n v="70"/>
    <n v="86"/>
    <n v="0"/>
    <n v="40"/>
    <n v="70"/>
    <n v="0"/>
    <s v=""/>
    <n v="86"/>
    <s v="2018 (triag)"/>
    <n v="70"/>
    <n v="2022"/>
    <x v="1"/>
    <n v="77.767592107560688"/>
    <n v="86"/>
    <s v="Decreasing"/>
    <n v="0.2599900753182236"/>
    <n v="5.4673730437993617E-2"/>
    <n v="23.438897290050591"/>
    <n v="101.32857836094165"/>
    <n v="0"/>
    <n v="0.39233370810326496"/>
    <n v="0.35998438672369204"/>
  </r>
  <r>
    <x v="15"/>
    <x v="15"/>
    <n v="1836714"/>
    <x v="9"/>
    <n v="0"/>
    <n v="1902226.5000000007"/>
    <n v="0"/>
    <m/>
    <n v="0"/>
    <m/>
    <n v="0"/>
    <m/>
    <n v="0"/>
    <m/>
    <n v="0"/>
    <n v="2192011.5"/>
    <n v="0"/>
    <n v="318"/>
    <m/>
    <n v="344"/>
    <m/>
    <n v="390"/>
    <m/>
    <n v="0"/>
    <n v="2388992.5000000005"/>
    <n v="0"/>
    <n v="318"/>
    <n v="0"/>
    <n v="344"/>
    <n v="390"/>
    <n v="0"/>
    <s v=""/>
    <n v="318"/>
    <s v="2018 (triag)"/>
    <n v="390"/>
    <n v="2020"/>
    <x v="0"/>
    <n v="390"/>
    <n v="390"/>
    <s v="Increasing"/>
    <n v="0.2599900753182236"/>
    <n v="5.4673730437993617E-2"/>
    <n v="86.669410909721947"/>
    <n v="374.68009207883074"/>
    <n v="0"/>
    <n v="1.4507223160097471"/>
    <n v="1.6324873351423244"/>
  </r>
  <r>
    <x v="15"/>
    <x v="15"/>
    <n v="1836715"/>
    <x v="10"/>
    <n v="0"/>
    <n v="1902226.5000000007"/>
    <n v="0"/>
    <m/>
    <n v="0"/>
    <m/>
    <n v="0"/>
    <m/>
    <n v="33"/>
    <m/>
    <n v="46"/>
    <n v="2192011.5"/>
    <n v="0"/>
    <n v="46"/>
    <m/>
    <n v="9"/>
    <m/>
    <n v="9"/>
    <m/>
    <n v="0"/>
    <n v="2388992.5000000005"/>
    <n v="17"/>
    <n v="46"/>
    <n v="0"/>
    <n v="46"/>
    <n v="17"/>
    <n v="0"/>
    <s v=""/>
    <n v="46"/>
    <n v="2017"/>
    <n v="17"/>
    <n v="2022"/>
    <x v="1"/>
    <n v="18.88641522612188"/>
    <n v="46"/>
    <s v="Decreasing"/>
    <n v="0.2599900753182236"/>
    <n v="5.4673730437993617E-2"/>
    <n v="12.537084597003805"/>
    <n v="54.199007030271119"/>
    <n v="0"/>
    <n v="0.20985291363663011"/>
    <n v="0.1925497882475562"/>
  </r>
  <r>
    <x v="15"/>
    <x v="15"/>
    <n v="1836716"/>
    <x v="11"/>
    <n v="0"/>
    <n v="1902226.5000000007"/>
    <n v="0"/>
    <m/>
    <n v="0"/>
    <m/>
    <n v="0"/>
    <m/>
    <n v="0"/>
    <m/>
    <n v="0"/>
    <n v="2192011.5"/>
    <n v="439"/>
    <n v="439"/>
    <m/>
    <n v="454"/>
    <m/>
    <n v="469"/>
    <m/>
    <n v="0"/>
    <n v="2388992.5000000005"/>
    <n v="231"/>
    <n v="83"/>
    <n v="0"/>
    <n v="454"/>
    <n v="469"/>
    <n v="0"/>
    <s v=""/>
    <n v="439"/>
    <n v="2018"/>
    <n v="231"/>
    <n v="2022"/>
    <x v="1"/>
    <n v="256.63305395495024"/>
    <n v="439"/>
    <s v="Decreasing"/>
    <n v="0.2599900753182236"/>
    <n v="5.4673730437993617E-2"/>
    <n v="22.621261338072081"/>
    <n v="97.793860511141361"/>
    <n v="0"/>
    <n v="2.0027267192713176"/>
    <n v="1.8375947182755907"/>
  </r>
  <r>
    <x v="15"/>
    <x v="15"/>
    <n v="1836717"/>
    <x v="12"/>
    <n v="0"/>
    <n v="1902226.5000000007"/>
    <n v="0"/>
    <m/>
    <n v="0"/>
    <m/>
    <n v="0"/>
    <m/>
    <n v="0"/>
    <m/>
    <n v="18"/>
    <n v="2192011.5"/>
    <n v="0"/>
    <n v="18"/>
    <m/>
    <n v="14"/>
    <m/>
    <n v="14"/>
    <m/>
    <n v="0"/>
    <n v="2388992.5000000005"/>
    <n v="0"/>
    <n v="18"/>
    <n v="0"/>
    <n v="18"/>
    <n v="14"/>
    <n v="0"/>
    <s v=""/>
    <n v="18"/>
    <n v="2017"/>
    <n v="14"/>
    <n v="2020"/>
    <x v="1"/>
    <n v="15.553518421512138"/>
    <n v="18"/>
    <s v="Decreasing"/>
    <n v="0.2599900753182236"/>
    <n v="5.4673730437993617E-2"/>
    <n v="4.9058157118710541"/>
    <n v="21.20830709880174"/>
    <n v="0"/>
    <n v="8.2116357509985693E-2"/>
    <n v="7.5345569314261118E-2"/>
  </r>
  <r>
    <x v="15"/>
    <x v="15"/>
    <n v="1836718"/>
    <x v="13"/>
    <n v="0"/>
    <n v="1902226.5000000007"/>
    <n v="0"/>
    <m/>
    <n v="0"/>
    <m/>
    <n v="0"/>
    <m/>
    <n v="66"/>
    <m/>
    <n v="93"/>
    <n v="2192011.5"/>
    <n v="0"/>
    <n v="93"/>
    <m/>
    <n v="78"/>
    <m/>
    <n v="82"/>
    <m/>
    <n v="0"/>
    <n v="2388992.5000000005"/>
    <n v="478"/>
    <n v="93"/>
    <n v="0"/>
    <n v="93"/>
    <n v="478"/>
    <n v="0"/>
    <s v=""/>
    <n v="93"/>
    <n v="2017"/>
    <n v="478"/>
    <n v="2022"/>
    <x v="0"/>
    <n v="478"/>
    <n v="478"/>
    <s v="Increasing"/>
    <n v="0.2599900753182236"/>
    <n v="5.4673730437993617E-2"/>
    <n v="25.346714511333779"/>
    <n v="109.576253343809"/>
    <n v="0"/>
    <n v="0.42426784713492605"/>
    <n v="2.000843451789823"/>
  </r>
  <r>
    <x v="15"/>
    <x v="15"/>
    <n v="1836719"/>
    <x v="14"/>
    <n v="0"/>
    <n v="1902226.5000000007"/>
    <n v="0"/>
    <m/>
    <n v="0"/>
    <m/>
    <n v="0"/>
    <m/>
    <n v="0"/>
    <m/>
    <n v="32"/>
    <n v="2192011.5"/>
    <n v="0"/>
    <n v="127"/>
    <m/>
    <n v="1"/>
    <m/>
    <n v="0"/>
    <m/>
    <n v="0"/>
    <n v="2388992.5000000005"/>
    <n v="0"/>
    <n v="127"/>
    <n v="0"/>
    <n v="32"/>
    <n v="0"/>
    <n v="0"/>
    <s v=""/>
    <n v="127"/>
    <s v="2018 (triag)"/>
    <n v="1"/>
    <s v="2018 (triag)"/>
    <x v="1"/>
    <n v="1.1109656015365812"/>
    <n v="127"/>
    <s v="Decreasing"/>
    <n v="0.2599900753182236"/>
    <n v="5.4673730437993617E-2"/>
    <n v="34.613255300423546"/>
    <n v="149.63638897487894"/>
    <n v="0"/>
    <n v="0.57937652243156568"/>
    <n v="0.5316048501617312"/>
  </r>
  <r>
    <x v="15"/>
    <x v="15"/>
    <n v="1836720"/>
    <x v="15"/>
    <n v="0"/>
    <n v="1902226.5000000007"/>
    <n v="0"/>
    <m/>
    <n v="0"/>
    <m/>
    <n v="0"/>
    <m/>
    <n v="0"/>
    <m/>
    <n v="5"/>
    <n v="2192011.5"/>
    <n v="0"/>
    <n v="5"/>
    <m/>
    <n v="9"/>
    <m/>
    <n v="9"/>
    <m/>
    <n v="0"/>
    <n v="2388992.5000000005"/>
    <n v="0"/>
    <n v="5"/>
    <n v="0"/>
    <n v="9"/>
    <n v="9"/>
    <n v="0"/>
    <s v=""/>
    <n v="5"/>
    <n v="2017"/>
    <n v="9"/>
    <n v="2020"/>
    <x v="0"/>
    <n v="9"/>
    <n v="9"/>
    <s v="Increasing"/>
    <n v="0.2599900753182236"/>
    <n v="5.4673730437993617E-2"/>
    <n v="1.3627265866308482"/>
    <n v="5.8911964163338171"/>
    <n v="0"/>
    <n v="2.2810099308329359E-2"/>
    <n v="3.7672784657130559E-2"/>
  </r>
  <r>
    <x v="15"/>
    <x v="15"/>
    <n v="1836721"/>
    <x v="16"/>
    <n v="0"/>
    <n v="1902226.5000000007"/>
    <n v="0"/>
    <m/>
    <n v="0"/>
    <m/>
    <n v="0"/>
    <m/>
    <n v="0"/>
    <m/>
    <n v="0"/>
    <n v="2192011.5"/>
    <n v="0"/>
    <n v="1939"/>
    <m/>
    <n v="942"/>
    <m/>
    <n v="947"/>
    <m/>
    <n v="0"/>
    <n v="2388992.5000000005"/>
    <n v="0"/>
    <n v="1939"/>
    <n v="0"/>
    <n v="942"/>
    <n v="947"/>
    <n v="0"/>
    <s v=""/>
    <n v="1939"/>
    <s v="2018 (triag)"/>
    <n v="947"/>
    <n v="2020"/>
    <x v="1"/>
    <n v="1052.0844246551424"/>
    <n v="1939"/>
    <s v="Decreasing"/>
    <n v="0.2599900753182236"/>
    <n v="5.4673730437993617E-2"/>
    <n v="528.46537029544299"/>
    <n v="2284.6059702542543"/>
    <n v="0"/>
    <n v="8.8457565117701247"/>
    <n v="8.1163921611306851"/>
  </r>
  <r>
    <x v="15"/>
    <x v="15"/>
    <n v="1836722"/>
    <x v="17"/>
    <n v="0"/>
    <n v="1902226.5000000007"/>
    <n v="0"/>
    <m/>
    <n v="0"/>
    <m/>
    <n v="0"/>
    <m/>
    <n v="0"/>
    <m/>
    <n v="0"/>
    <n v="2192011.5"/>
    <n v="0"/>
    <n v="62"/>
    <m/>
    <n v="2595"/>
    <m/>
    <n v="2714"/>
    <m/>
    <n v="0"/>
    <n v="2388992.5000000005"/>
    <n v="0"/>
    <n v="62"/>
    <n v="0"/>
    <n v="2595"/>
    <n v="2714"/>
    <n v="0"/>
    <s v=""/>
    <n v="62"/>
    <s v="2018 (triag)"/>
    <n v="2714"/>
    <n v="2020"/>
    <x v="0"/>
    <n v="2714"/>
    <n v="2714"/>
    <s v="Increasing"/>
    <n v="0.2599900753182236"/>
    <n v="5.4673730437993617E-2"/>
    <n v="16.897809674222518"/>
    <n v="73.050835562539334"/>
    <n v="0"/>
    <n v="0.28284523142328405"/>
    <n v="11.360437506605816"/>
  </r>
  <r>
    <x v="15"/>
    <x v="15"/>
    <n v="1836723"/>
    <x v="18"/>
    <n v="0"/>
    <n v="1902226.5000000007"/>
    <n v="0"/>
    <m/>
    <n v="0"/>
    <m/>
    <n v="0"/>
    <m/>
    <n v="287"/>
    <m/>
    <n v="442"/>
    <n v="2192011.5"/>
    <n v="0"/>
    <n v="439"/>
    <m/>
    <n v="72"/>
    <m/>
    <n v="74"/>
    <m/>
    <n v="0"/>
    <n v="2388992.5000000005"/>
    <n v="228"/>
    <n v="439"/>
    <n v="0"/>
    <n v="442"/>
    <n v="228"/>
    <n v="0"/>
    <s v=""/>
    <n v="439"/>
    <s v="2018 (triag)"/>
    <n v="228"/>
    <n v="2022"/>
    <x v="1"/>
    <n v="253.30015715034051"/>
    <n v="439"/>
    <s v="Decreasing"/>
    <n v="0.2599900753182236"/>
    <n v="5.4673730437993617E-2"/>
    <n v="119.64739430618847"/>
    <n v="517.2470453541091"/>
    <n v="0"/>
    <n v="2.0027267192713176"/>
    <n v="1.8375947182755907"/>
  </r>
  <r>
    <x v="15"/>
    <x v="15"/>
    <n v="1836724"/>
    <x v="19"/>
    <n v="0"/>
    <n v="1902226.5000000007"/>
    <n v="0"/>
    <m/>
    <n v="0"/>
    <m/>
    <n v="0"/>
    <m/>
    <n v="0"/>
    <m/>
    <n v="58"/>
    <n v="2192011.5"/>
    <n v="0"/>
    <n v="58"/>
    <m/>
    <n v="703"/>
    <m/>
    <n v="615"/>
    <m/>
    <n v="0"/>
    <n v="2388992.5000000005"/>
    <n v="84"/>
    <n v="58"/>
    <n v="0"/>
    <n v="703"/>
    <n v="615"/>
    <n v="0"/>
    <s v=""/>
    <n v="58"/>
    <n v="2017"/>
    <n v="84"/>
    <n v="2022"/>
    <x v="0"/>
    <n v="84"/>
    <n v="84"/>
    <s v="Increasing"/>
    <n v="0.2599900753182236"/>
    <n v="5.4673730437993617E-2"/>
    <n v="15.807628404917839"/>
    <n v="68.337878429472283"/>
    <n v="0"/>
    <n v="0.26459715197662054"/>
    <n v="0.35161265679988524"/>
  </r>
  <r>
    <x v="15"/>
    <x v="15"/>
    <n v="1836725"/>
    <x v="20"/>
    <n v="0"/>
    <n v="1902226.5000000007"/>
    <n v="0"/>
    <m/>
    <n v="0"/>
    <m/>
    <n v="0"/>
    <m/>
    <n v="0"/>
    <m/>
    <n v="43"/>
    <n v="2192011.5"/>
    <n v="0"/>
    <n v="43"/>
    <m/>
    <n v="43"/>
    <m/>
    <n v="32"/>
    <m/>
    <n v="0"/>
    <n v="2388992.5000000005"/>
    <n v="2"/>
    <n v="43"/>
    <n v="0"/>
    <n v="43"/>
    <n v="32"/>
    <n v="0"/>
    <s v=""/>
    <n v="43"/>
    <n v="2017"/>
    <n v="2"/>
    <n v="2022"/>
    <x v="1"/>
    <n v="2.2219312030731624"/>
    <n v="43"/>
    <s v="Decreasing"/>
    <n v="0.2599900753182236"/>
    <n v="5.4673730437993617E-2"/>
    <n v="11.719448645025295"/>
    <n v="50.664289180470824"/>
    <n v="0"/>
    <n v="0.19616685405163248"/>
    <n v="0.17999219336184602"/>
  </r>
  <r>
    <x v="15"/>
    <x v="15"/>
    <n v="1836726"/>
    <x v="21"/>
    <n v="0"/>
    <n v="1902226.5000000007"/>
    <n v="0"/>
    <m/>
    <n v="0"/>
    <m/>
    <n v="0"/>
    <m/>
    <n v="0"/>
    <m/>
    <n v="0"/>
    <n v="2192011.5"/>
    <n v="0"/>
    <n v="0"/>
    <m/>
    <n v="119"/>
    <m/>
    <n v="115"/>
    <m/>
    <n v="0"/>
    <n v="2388992.5000000005"/>
    <n v="0"/>
    <n v="0"/>
    <n v="0"/>
    <n v="119"/>
    <n v="115"/>
    <n v="0"/>
    <s v=""/>
    <n v="119"/>
    <n v="2019"/>
    <n v="115"/>
    <n v="2020"/>
    <x v="1"/>
    <n v="127.76104417670683"/>
    <n v="127.76104417670683"/>
    <s v="Increasing"/>
    <n v="0.2599900753182236"/>
    <n v="5.4673730437993617E-2"/>
    <n v="0"/>
    <n v="0"/>
    <n v="0"/>
    <n v="0.54288036353823876"/>
    <n v="0.534790478315469"/>
  </r>
  <r>
    <x v="15"/>
    <x v="15"/>
    <n v="1836727"/>
    <x v="22"/>
    <n v="0"/>
    <n v="1902226.5000000007"/>
    <n v="0"/>
    <m/>
    <n v="0"/>
    <m/>
    <n v="0"/>
    <m/>
    <n v="0"/>
    <m/>
    <n v="2"/>
    <n v="2192011.5"/>
    <n v="0"/>
    <n v="0"/>
    <m/>
    <n v="1"/>
    <m/>
    <n v="0"/>
    <m/>
    <n v="0"/>
    <n v="2388992.5000000005"/>
    <n v="0"/>
    <n v="0"/>
    <n v="0"/>
    <n v="2"/>
    <n v="0"/>
    <n v="0"/>
    <s v=""/>
    <n v="2"/>
    <n v="2017"/>
    <n v="1"/>
    <n v="2017"/>
    <x v="1"/>
    <n v="1.1109656015365812"/>
    <n v="2"/>
    <s v="Decreasing"/>
    <n v="0.2599900753182236"/>
    <n v="5.4673730437993617E-2"/>
    <n v="0"/>
    <n v="0"/>
    <n v="0"/>
    <n v="9.1240397233317439E-3"/>
    <n v="8.3717299238067911E-3"/>
  </r>
  <r>
    <x v="15"/>
    <x v="15"/>
    <n v="1836728"/>
    <x v="23"/>
    <n v="0"/>
    <n v="1902226.5000000007"/>
    <n v="0"/>
    <m/>
    <n v="0"/>
    <m/>
    <n v="0"/>
    <m/>
    <n v="0"/>
    <m/>
    <n v="99"/>
    <n v="2192011.5"/>
    <n v="0"/>
    <n v="99"/>
    <m/>
    <n v="117"/>
    <m/>
    <n v="112"/>
    <m/>
    <n v="0"/>
    <n v="2388992.5000000005"/>
    <n v="0"/>
    <n v="99"/>
    <n v="0"/>
    <n v="117"/>
    <n v="112"/>
    <n v="0"/>
    <s v=""/>
    <n v="99"/>
    <n v="2017"/>
    <n v="112"/>
    <n v="2020"/>
    <x v="0"/>
    <n v="112"/>
    <n v="112"/>
    <s v="Increasing"/>
    <n v="0.2599900753182236"/>
    <n v="5.4673730437993617E-2"/>
    <n v="26.981986415290795"/>
    <n v="116.64568904340958"/>
    <n v="0"/>
    <n v="0.45163996630492131"/>
    <n v="0.46881687573318032"/>
  </r>
  <r>
    <x v="16"/>
    <x v="16"/>
    <n v="26858761.999999993"/>
    <x v="0"/>
    <n v="4972"/>
    <n v="27525596.999999989"/>
    <n v="5460"/>
    <n v="28196358.499999996"/>
    <n v="6032"/>
    <n v="28870939.000000007"/>
    <n v="6526"/>
    <n v="29554302.499999993"/>
    <n v="7236"/>
    <n v="30222261.500000004"/>
    <n v="5358"/>
    <n v="30870640.5"/>
    <n v="8812"/>
    <n v="8812"/>
    <n v="31522289.999999996"/>
    <n v="6634"/>
    <n v="32180401.499999981"/>
    <n v="10570"/>
    <n v="32833031.499999996"/>
    <n v="8338"/>
    <n v="33475870.500000011"/>
    <n v="9452"/>
    <n v="4406"/>
    <n v="6526"/>
    <n v="8812"/>
    <n v="10570"/>
    <n v="5460"/>
    <n v="2013"/>
    <n v="8812"/>
    <n v="2018"/>
    <n v="9452"/>
    <n v="2022"/>
    <x v="0"/>
    <n v="9452"/>
    <n v="9452"/>
    <s v="Increasing"/>
    <n v="2.6327637949120408E-2"/>
    <n v="6.0316928868946684E-2"/>
    <n v="3862.555683787652"/>
    <n v="5279.9574289509956"/>
    <n v="1.9836082029392503"/>
    <n v="2.8544921184903824"/>
    <n v="2.8235262769343059"/>
  </r>
  <r>
    <x v="16"/>
    <x v="16"/>
    <n v="26858763"/>
    <x v="1"/>
    <n v="0"/>
    <n v="27525596.999999989"/>
    <n v="0"/>
    <m/>
    <n v="74808"/>
    <m/>
    <n v="97878"/>
    <m/>
    <n v="105210"/>
    <m/>
    <n v="117216"/>
    <n v="30870640.5"/>
    <n v="250048"/>
    <n v="250048"/>
    <m/>
    <n v="139578"/>
    <m/>
    <n v="191578"/>
    <m/>
    <n v="186288"/>
    <n v="33475870.500000011"/>
    <n v="205886"/>
    <n v="42827"/>
    <n v="97878"/>
    <n v="250048"/>
    <n v="205886"/>
    <n v="74808"/>
    <n v="2014"/>
    <n v="250048"/>
    <n v="2018"/>
    <n v="205886"/>
    <n v="2022"/>
    <x v="1"/>
    <n v="248408.55395595133"/>
    <n v="250048"/>
    <s v="Decreasing"/>
    <n v="2.6327637949120408E-2"/>
    <n v="6.0316928868946684E-2"/>
    <n v="37544.637373938669"/>
    <n v="51322.001091621496"/>
    <n v="27.177612169501728"/>
    <n v="80.998643355002628"/>
    <n v="74.694995608852025"/>
  </r>
  <r>
    <x v="16"/>
    <x v="16"/>
    <n v="26858764"/>
    <x v="2"/>
    <n v="0"/>
    <n v="27525596.999999989"/>
    <n v="22574"/>
    <m/>
    <n v="0"/>
    <m/>
    <n v="13616"/>
    <m/>
    <n v="15324"/>
    <m/>
    <n v="19108"/>
    <n v="30870640.5"/>
    <n v="20978"/>
    <n v="20978"/>
    <m/>
    <n v="25346"/>
    <m/>
    <n v="33400"/>
    <m/>
    <n v="38282"/>
    <n v="33475870.500000011"/>
    <n v="47764"/>
    <n v="10625"/>
    <n v="22574"/>
    <n v="25346"/>
    <n v="47764"/>
    <n v="22574"/>
    <n v="2013"/>
    <n v="20978"/>
    <n v="2018"/>
    <n v="47764"/>
    <n v="2022"/>
    <x v="0"/>
    <n v="47764"/>
    <n v="47764"/>
    <s v="Increasing"/>
    <n v="2.6327637949120408E-2"/>
    <n v="6.0316928868946684E-2"/>
    <n v="9314.492542043532"/>
    <n v="12732.534653337343"/>
    <n v="8.2010936947162349"/>
    <n v="6.7954534341456245"/>
    <n v="14.26818758902774"/>
  </r>
  <r>
    <x v="16"/>
    <x v="16"/>
    <n v="26858765"/>
    <x v="3"/>
    <n v="451"/>
    <n v="27525596.999999989"/>
    <n v="216"/>
    <m/>
    <n v="55"/>
    <m/>
    <n v="1845"/>
    <m/>
    <n v="440"/>
    <m/>
    <n v="0"/>
    <n v="30870640.5"/>
    <n v="0"/>
    <n v="2127"/>
    <m/>
    <n v="0"/>
    <m/>
    <n v="0"/>
    <m/>
    <n v="0"/>
    <n v="33475870.500000011"/>
    <n v="5736"/>
    <n v="2127"/>
    <n v="1845"/>
    <n v="440"/>
    <n v="5736"/>
    <n v="216"/>
    <n v="2013"/>
    <n v="2127"/>
    <s v="2018 (triag)"/>
    <n v="5736"/>
    <n v="2022"/>
    <x v="0"/>
    <n v="5736"/>
    <n v="5736"/>
    <s v="Increasing"/>
    <n v="2.6327637949120408E-2"/>
    <n v="6.0316928868946684E-2"/>
    <n v="1864.6518246519145"/>
    <n v="2548.9036430728024"/>
    <n v="7.847241242397035E-2"/>
    <n v="0.68900416886394045"/>
    <n v="1.7134729924349534"/>
  </r>
  <r>
    <x v="16"/>
    <x v="16"/>
    <n v="26858766"/>
    <x v="4"/>
    <n v="186"/>
    <n v="27525596.999999989"/>
    <n v="21"/>
    <m/>
    <n v="32"/>
    <m/>
    <n v="1450"/>
    <m/>
    <n v="80"/>
    <m/>
    <n v="0"/>
    <n v="30870640.5"/>
    <n v="0"/>
    <n v="713"/>
    <m/>
    <n v="0"/>
    <m/>
    <n v="0"/>
    <m/>
    <n v="0"/>
    <n v="33475870.500000011"/>
    <n v="202"/>
    <n v="713"/>
    <n v="1450"/>
    <n v="80"/>
    <n v="202"/>
    <n v="21"/>
    <n v="2013"/>
    <n v="713"/>
    <s v="2018 (triag)"/>
    <n v="202"/>
    <n v="2022"/>
    <x v="1"/>
    <n v="243.71996104204348"/>
    <n v="713"/>
    <s v="Decreasing"/>
    <n v="2.6327637949120408E-2"/>
    <n v="6.0316928868946684E-2"/>
    <n v="625.05724070372128"/>
    <n v="854.42797250160243"/>
    <n v="7.6292623189971173E-3"/>
    <n v="0.2309637858015936"/>
    <n v="0.21298923354360561"/>
  </r>
  <r>
    <x v="16"/>
    <x v="16"/>
    <n v="26858767"/>
    <x v="5"/>
    <n v="0"/>
    <n v="27525596.999999989"/>
    <n v="5293"/>
    <m/>
    <n v="0"/>
    <m/>
    <n v="0"/>
    <m/>
    <n v="0"/>
    <m/>
    <n v="15456"/>
    <n v="30870640.5"/>
    <n v="15820"/>
    <n v="15820"/>
    <m/>
    <n v="0"/>
    <m/>
    <n v="0"/>
    <m/>
    <n v="0"/>
    <n v="33475870.500000011"/>
    <n v="0"/>
    <n v="15820"/>
    <n v="5293"/>
    <n v="15820"/>
    <n v="0"/>
    <n v="5293"/>
    <n v="2013"/>
    <n v="15820"/>
    <n v="2018"/>
    <n v="15820"/>
    <n v="2018"/>
    <x v="0"/>
    <n v="15820"/>
    <n v="15820"/>
    <s v="No change"/>
    <n v="2.6327637949120408E-2"/>
    <n v="6.0316928868946684E-2"/>
    <n v="13868.731483776815"/>
    <n v="18957.995126192636"/>
    <n v="1.92293740259294"/>
    <n v="5.1246102263411091"/>
    <n v="4.7257919700699027"/>
  </r>
  <r>
    <x v="16"/>
    <x v="16"/>
    <n v="26858768"/>
    <x v="6"/>
    <n v="0"/>
    <n v="27525596.999999989"/>
    <n v="4"/>
    <m/>
    <n v="0"/>
    <m/>
    <n v="0"/>
    <m/>
    <n v="19"/>
    <m/>
    <n v="0"/>
    <n v="30870640.5"/>
    <n v="0"/>
    <n v="0"/>
    <m/>
    <n v="0"/>
    <m/>
    <n v="0"/>
    <m/>
    <n v="0"/>
    <n v="33475870.500000011"/>
    <n v="3321"/>
    <n v="0"/>
    <n v="4"/>
    <n v="19"/>
    <n v="3321"/>
    <n v="4"/>
    <n v="2013"/>
    <n v="0"/>
    <s v=""/>
    <n v="3321"/>
    <n v="2022"/>
    <x v="0"/>
    <n v="3321"/>
    <n v="3321"/>
    <s v="Increasing"/>
    <n v="2.6327637949120408E-2"/>
    <n v="6.0316928868946684E-2"/>
    <n v="0"/>
    <n v="0"/>
    <n v="1.4531928226661176E-3"/>
    <n v="0"/>
    <n v="0.99205784656145057"/>
  </r>
  <r>
    <x v="16"/>
    <x v="16"/>
    <n v="26858769"/>
    <x v="7"/>
    <n v="0"/>
    <n v="27525596.999999989"/>
    <n v="351"/>
    <m/>
    <n v="0"/>
    <m/>
    <n v="0"/>
    <m/>
    <n v="160"/>
    <m/>
    <n v="0"/>
    <n v="30870640.5"/>
    <n v="0"/>
    <n v="47"/>
    <m/>
    <n v="0"/>
    <m/>
    <n v="0"/>
    <m/>
    <n v="0"/>
    <n v="33475870.500000011"/>
    <n v="4778"/>
    <n v="47"/>
    <n v="351"/>
    <n v="160"/>
    <n v="4778"/>
    <n v="351"/>
    <n v="2013"/>
    <n v="47"/>
    <s v="2018 (triag)"/>
    <n v="4778"/>
    <n v="2022"/>
    <x v="0"/>
    <n v="4778"/>
    <n v="4778"/>
    <s v="Increasing"/>
    <n v="2.6327637949120408E-2"/>
    <n v="6.0316928868946684E-2"/>
    <n v="41.202931715392566"/>
    <n v="56.32274152535107"/>
    <n v="0.1275176701889518"/>
    <n v="1.5224821784957782E-2"/>
    <n v="1.4272967151070795"/>
  </r>
  <r>
    <x v="16"/>
    <x v="16"/>
    <n v="26858770"/>
    <x v="8"/>
    <n v="0"/>
    <n v="27525596.999999989"/>
    <n v="0"/>
    <m/>
    <n v="0"/>
    <m/>
    <n v="0"/>
    <m/>
    <n v="0"/>
    <m/>
    <n v="0"/>
    <n v="30870640.5"/>
    <n v="0"/>
    <n v="4059"/>
    <m/>
    <n v="0"/>
    <m/>
    <n v="0"/>
    <m/>
    <n v="3453"/>
    <n v="33475870.500000011"/>
    <n v="3602"/>
    <n v="4059"/>
    <n v="0"/>
    <n v="0"/>
    <n v="3602"/>
    <n v="0"/>
    <s v=""/>
    <n v="4059"/>
    <s v="2018 (triag)"/>
    <n v="3602"/>
    <n v="2022"/>
    <x v="1"/>
    <n v="4345.9371270962411"/>
    <n v="4345.9371270962411"/>
    <s v="Increasing"/>
    <n v="2.6327637949120408E-2"/>
    <n v="6.0316928868946684E-2"/>
    <n v="3558.3553155910299"/>
    <n v="4864.1278266255313"/>
    <n v="0"/>
    <n v="1.3148415239392264"/>
    <n v="1.2982297583855928"/>
  </r>
  <r>
    <x v="16"/>
    <x v="16"/>
    <n v="26858771"/>
    <x v="9"/>
    <n v="0"/>
    <n v="27525596.999999989"/>
    <n v="0"/>
    <m/>
    <n v="0"/>
    <m/>
    <n v="0"/>
    <m/>
    <n v="0"/>
    <m/>
    <n v="0"/>
    <n v="30870640.5"/>
    <n v="0"/>
    <n v="1033"/>
    <m/>
    <n v="0"/>
    <m/>
    <n v="0"/>
    <m/>
    <n v="0"/>
    <n v="33475870.500000011"/>
    <n v="0"/>
    <n v="1033"/>
    <n v="0"/>
    <n v="0"/>
    <n v="0"/>
    <n v="0"/>
    <s v=""/>
    <n v="1033"/>
    <s v="2018 (triag)"/>
    <n v="1033"/>
    <s v="2018 (triag)"/>
    <x v="0"/>
    <n v="1033"/>
    <n v="1033"/>
    <s v="No change"/>
    <n v="2.6327637949120408E-2"/>
    <n v="6.0316928868946684E-2"/>
    <n v="905.58783961703227"/>
    <n v="1237.9019573550565"/>
    <n v="0"/>
    <n v="0.33462214689066783"/>
    <n v="0.30858047440469089"/>
  </r>
  <r>
    <x v="16"/>
    <x v="16"/>
    <n v="26858772"/>
    <x v="10"/>
    <n v="0"/>
    <n v="27525596.999999989"/>
    <n v="0"/>
    <m/>
    <n v="0"/>
    <m/>
    <n v="0"/>
    <m/>
    <n v="30"/>
    <m/>
    <n v="167"/>
    <n v="30870640.5"/>
    <n v="0"/>
    <n v="0"/>
    <m/>
    <n v="0"/>
    <m/>
    <n v="0"/>
    <m/>
    <n v="0"/>
    <n v="33475870.500000011"/>
    <n v="1550"/>
    <n v="0"/>
    <n v="0"/>
    <n v="167"/>
    <n v="1550"/>
    <n v="0"/>
    <s v=""/>
    <n v="167"/>
    <n v="2017"/>
    <n v="1550"/>
    <n v="2022"/>
    <x v="0"/>
    <n v="1550"/>
    <n v="1550"/>
    <s v="Increasing"/>
    <n v="2.6327637949120408E-2"/>
    <n v="6.0316928868946684E-2"/>
    <n v="0"/>
    <n v="0"/>
    <n v="0"/>
    <n v="5.4096707193360627E-2"/>
    <n v="0.46302007292088176"/>
  </r>
  <r>
    <x v="16"/>
    <x v="16"/>
    <n v="26858773"/>
    <x v="11"/>
    <n v="0"/>
    <n v="27525596.999999989"/>
    <n v="0"/>
    <m/>
    <n v="0"/>
    <m/>
    <n v="0"/>
    <m/>
    <n v="0"/>
    <m/>
    <n v="0"/>
    <n v="30870640.5"/>
    <n v="1563"/>
    <n v="1563"/>
    <m/>
    <n v="0"/>
    <m/>
    <n v="0"/>
    <m/>
    <n v="1759"/>
    <n v="33475870.500000011"/>
    <n v="4227"/>
    <n v="398"/>
    <n v="0"/>
    <n v="1563"/>
    <n v="4227"/>
    <n v="0"/>
    <s v=""/>
    <n v="1563"/>
    <n v="2018"/>
    <n v="4227"/>
    <n v="2022"/>
    <x v="0"/>
    <n v="4227"/>
    <n v="4227"/>
    <s v="Increasing"/>
    <n v="2.6327637949120408E-2"/>
    <n v="6.0316928868946684E-2"/>
    <n v="348.90993239843067"/>
    <n v="476.9457686614835"/>
    <n v="0"/>
    <n v="0.50630630744444705"/>
    <n v="1.2627005472493982"/>
  </r>
  <r>
    <x v="16"/>
    <x v="16"/>
    <n v="26858774"/>
    <x v="12"/>
    <n v="0"/>
    <n v="27525596.999999989"/>
    <n v="0"/>
    <m/>
    <n v="0"/>
    <m/>
    <n v="0"/>
    <m/>
    <n v="0"/>
    <m/>
    <n v="240"/>
    <n v="30870640.5"/>
    <n v="0"/>
    <n v="1671"/>
    <m/>
    <n v="0"/>
    <m/>
    <n v="0"/>
    <m/>
    <n v="2352"/>
    <n v="33475870.500000011"/>
    <n v="2471"/>
    <n v="1671"/>
    <n v="0"/>
    <n v="240"/>
    <n v="2471"/>
    <n v="0"/>
    <s v=""/>
    <n v="1671"/>
    <s v="2018 (triag)"/>
    <n v="2471"/>
    <n v="2022"/>
    <x v="0"/>
    <n v="2471"/>
    <n v="2471"/>
    <s v="Increasing"/>
    <n v="2.6327637949120408E-2"/>
    <n v="6.0316928868946684E-2"/>
    <n v="1464.8957212004464"/>
    <n v="2002.4532146566305"/>
    <n v="0"/>
    <n v="0.5412910043120096"/>
    <n v="0.73814361302419285"/>
  </r>
  <r>
    <x v="16"/>
    <x v="16"/>
    <n v="26858775"/>
    <x v="13"/>
    <n v="0"/>
    <n v="27525596.999999989"/>
    <n v="0"/>
    <m/>
    <n v="0"/>
    <m/>
    <n v="0"/>
    <m/>
    <n v="0"/>
    <m/>
    <n v="0"/>
    <n v="30870640.5"/>
    <n v="0"/>
    <n v="1476"/>
    <m/>
    <n v="0"/>
    <m/>
    <n v="0"/>
    <m/>
    <n v="1673"/>
    <n v="33475870.500000011"/>
    <n v="2703"/>
    <n v="1476"/>
    <n v="0"/>
    <n v="0"/>
    <n v="2703"/>
    <n v="0"/>
    <s v=""/>
    <n v="1476"/>
    <s v="2018 (triag)"/>
    <n v="2703"/>
    <n v="2022"/>
    <x v="0"/>
    <n v="2703"/>
    <n v="2703"/>
    <s v="Increasing"/>
    <n v="2.6327637949120408E-2"/>
    <n v="6.0316928868946684E-2"/>
    <n v="1293.9473874876473"/>
    <n v="1768.7737551365569"/>
    <n v="0"/>
    <n v="0.47812419052335503"/>
    <n v="0.80744726264847966"/>
  </r>
  <r>
    <x v="16"/>
    <x v="16"/>
    <n v="26858776"/>
    <x v="14"/>
    <n v="0"/>
    <n v="27525596.999999989"/>
    <n v="0"/>
    <m/>
    <n v="0"/>
    <m/>
    <n v="0"/>
    <m/>
    <n v="0"/>
    <m/>
    <n v="0"/>
    <n v="30870640.5"/>
    <n v="0"/>
    <n v="3883"/>
    <m/>
    <n v="0"/>
    <m/>
    <n v="0"/>
    <m/>
    <n v="3238"/>
    <n v="33475870.500000011"/>
    <n v="3555"/>
    <n v="3883"/>
    <n v="0"/>
    <n v="0"/>
    <n v="3555"/>
    <n v="0"/>
    <s v=""/>
    <n v="3883"/>
    <s v="2018 (triag)"/>
    <n v="3555"/>
    <n v="2022"/>
    <x v="1"/>
    <n v="4289.2300074478444"/>
    <n v="4289.2300074478444"/>
    <s v="Increasing"/>
    <n v="2.6327637949120408E-2"/>
    <n v="6.0316928868946684E-2"/>
    <n v="3404.0634861887092"/>
    <n v="4653.2171349561322"/>
    <n v="0"/>
    <n v="1.2578294253402356"/>
    <n v="1.2812900585954421"/>
  </r>
  <r>
    <x v="16"/>
    <x v="16"/>
    <n v="26858777"/>
    <x v="15"/>
    <n v="0"/>
    <n v="27525596.999999989"/>
    <n v="0"/>
    <m/>
    <n v="0"/>
    <m/>
    <n v="0"/>
    <m/>
    <n v="0"/>
    <m/>
    <n v="133"/>
    <n v="30870640.5"/>
    <n v="0"/>
    <n v="143"/>
    <m/>
    <n v="0"/>
    <m/>
    <n v="0"/>
    <m/>
    <n v="235"/>
    <n v="33475870.500000011"/>
    <n v="309"/>
    <n v="143"/>
    <n v="0"/>
    <n v="133"/>
    <n v="309"/>
    <n v="0"/>
    <s v=""/>
    <n v="143"/>
    <s v="2018 (triag)"/>
    <n v="309"/>
    <n v="2022"/>
    <x v="0"/>
    <n v="309"/>
    <n v="309"/>
    <s v="Increasing"/>
    <n v="2.6327637949120408E-2"/>
    <n v="6.0316928868946684E-2"/>
    <n v="125.36211138938589"/>
    <n v="171.3649369813873"/>
    <n v="0"/>
    <n v="4.6322330111680063E-2"/>
    <n v="9.2305291956485458E-2"/>
  </r>
  <r>
    <x v="16"/>
    <x v="16"/>
    <n v="26858778"/>
    <x v="16"/>
    <n v="0"/>
    <n v="27525596.999999989"/>
    <n v="0"/>
    <m/>
    <n v="0"/>
    <m/>
    <n v="0"/>
    <m/>
    <n v="0"/>
    <m/>
    <n v="0"/>
    <n v="30870640.5"/>
    <n v="0"/>
    <n v="23627"/>
    <m/>
    <n v="0"/>
    <m/>
    <n v="0"/>
    <m/>
    <n v="0"/>
    <n v="33475870.500000011"/>
    <n v="0"/>
    <n v="23627"/>
    <n v="0"/>
    <n v="0"/>
    <n v="0"/>
    <n v="0"/>
    <s v=""/>
    <n v="23627"/>
    <s v="2018 (triag)"/>
    <n v="23627"/>
    <s v="2018 (triag)"/>
    <x v="0"/>
    <n v="23627"/>
    <n v="23627"/>
    <s v="No change"/>
    <n v="2.6327637949120408E-2"/>
    <n v="6.0316928868946684E-2"/>
    <n v="20712.801439140003"/>
    <n v="28313.562000414247"/>
    <n v="0"/>
    <n v="7.6535503045361173"/>
    <n v="7.0579195244526929"/>
  </r>
  <r>
    <x v="16"/>
    <x v="16"/>
    <n v="26858779"/>
    <x v="17"/>
    <n v="0"/>
    <n v="27525596.999999989"/>
    <n v="0"/>
    <m/>
    <n v="0"/>
    <m/>
    <n v="0"/>
    <m/>
    <n v="0"/>
    <m/>
    <n v="0"/>
    <n v="30870640.5"/>
    <n v="0"/>
    <n v="1877"/>
    <m/>
    <n v="0"/>
    <m/>
    <n v="0"/>
    <m/>
    <n v="0"/>
    <n v="33475870.500000011"/>
    <n v="0"/>
    <n v="1877"/>
    <n v="0"/>
    <n v="0"/>
    <n v="0"/>
    <n v="0"/>
    <s v=""/>
    <n v="1877"/>
    <s v="2018 (triag)"/>
    <n v="1877"/>
    <s v="2018 (triag)"/>
    <x v="0"/>
    <n v="1877"/>
    <n v="1877"/>
    <s v="No change"/>
    <n v="2.6327637949120408E-2"/>
    <n v="6.0316928868946684E-2"/>
    <n v="1645.4872942508903"/>
    <n v="2249.3145924060418"/>
    <n v="0"/>
    <n v="0.60802107426310126"/>
    <n v="0.56070237217580332"/>
  </r>
  <r>
    <x v="16"/>
    <x v="16"/>
    <n v="26858780"/>
    <x v="18"/>
    <n v="0"/>
    <n v="27525596.999999989"/>
    <n v="3987"/>
    <m/>
    <n v="0"/>
    <m/>
    <n v="0"/>
    <m/>
    <n v="0"/>
    <m/>
    <n v="0"/>
    <n v="30870640.5"/>
    <n v="0"/>
    <n v="1563"/>
    <m/>
    <n v="0"/>
    <m/>
    <n v="0"/>
    <m/>
    <n v="6276"/>
    <n v="33475870.500000011"/>
    <n v="3748"/>
    <n v="1563"/>
    <n v="3987"/>
    <n v="0"/>
    <n v="6276"/>
    <n v="3987"/>
    <n v="2013"/>
    <n v="1563"/>
    <s v="2018 (triag)"/>
    <n v="3748"/>
    <n v="2022"/>
    <x v="0"/>
    <n v="3748"/>
    <n v="3748"/>
    <s v="Increasing"/>
    <n v="2.6327637949120408E-2"/>
    <n v="6.0316928868946684E-2"/>
    <n v="1370.2166440672038"/>
    <n v="1873.0307447685898"/>
    <n v="1.4484699459924526"/>
    <n v="0.50630630744444705"/>
    <n v="1.1196124085854613"/>
  </r>
  <r>
    <x v="16"/>
    <x v="16"/>
    <n v="26858781"/>
    <x v="19"/>
    <n v="0"/>
    <n v="27525596.999999989"/>
    <n v="0"/>
    <m/>
    <n v="0"/>
    <m/>
    <n v="0"/>
    <m/>
    <n v="0"/>
    <m/>
    <n v="0"/>
    <n v="30870640.5"/>
    <n v="0"/>
    <n v="2116"/>
    <m/>
    <n v="0"/>
    <m/>
    <n v="0"/>
    <m/>
    <n v="0"/>
    <n v="33475870.500000011"/>
    <n v="2656"/>
    <n v="2116"/>
    <n v="0"/>
    <n v="0"/>
    <n v="2656"/>
    <n v="0"/>
    <s v=""/>
    <n v="2116"/>
    <s v="2018 (triag)"/>
    <n v="2656"/>
    <n v="2022"/>
    <x v="0"/>
    <n v="2656"/>
    <n v="2656"/>
    <s v="Increasing"/>
    <n v="2.6327637949120408E-2"/>
    <n v="6.0316928868946684E-2"/>
    <n v="1855.0085853142696"/>
    <n v="2535.7217248434649"/>
    <n v="0"/>
    <n v="0.68544091270150354"/>
    <n v="0.79340729914700769"/>
  </r>
  <r>
    <x v="16"/>
    <x v="16"/>
    <n v="26858782"/>
    <x v="20"/>
    <n v="0"/>
    <n v="27525596.999999989"/>
    <n v="0"/>
    <m/>
    <n v="0"/>
    <m/>
    <n v="0"/>
    <m/>
    <n v="0"/>
    <m/>
    <n v="324"/>
    <n v="30870640.5"/>
    <n v="0"/>
    <n v="304"/>
    <m/>
    <n v="0"/>
    <m/>
    <n v="0"/>
    <m/>
    <n v="308"/>
    <n v="33475870.500000011"/>
    <n v="381"/>
    <n v="304"/>
    <n v="0"/>
    <n v="324"/>
    <n v="381"/>
    <n v="0"/>
    <s v=""/>
    <n v="304"/>
    <s v="2018 (triag)"/>
    <n v="381"/>
    <n v="2022"/>
    <x v="0"/>
    <n v="381"/>
    <n v="381"/>
    <s v="Increasing"/>
    <n v="2.6327637949120408E-2"/>
    <n v="6.0316928868946684E-2"/>
    <n v="266.50406896764554"/>
    <n v="364.30028561078137"/>
    <n v="0"/>
    <n v="9.8475443034620552E-2"/>
    <n v="0.11381332115022964"/>
  </r>
  <r>
    <x v="16"/>
    <x v="16"/>
    <n v="26858783"/>
    <x v="21"/>
    <n v="0"/>
    <n v="27525596.999999989"/>
    <n v="6118"/>
    <m/>
    <n v="0"/>
    <m/>
    <n v="0"/>
    <m/>
    <n v="0"/>
    <m/>
    <n v="0"/>
    <n v="30870640.5"/>
    <n v="0"/>
    <n v="0"/>
    <m/>
    <n v="0"/>
    <m/>
    <n v="0"/>
    <m/>
    <n v="0"/>
    <n v="33475870.500000011"/>
    <n v="0"/>
    <n v="0"/>
    <n v="6118"/>
    <n v="0"/>
    <n v="0"/>
    <n v="6118"/>
    <n v="2013"/>
    <n v="0"/>
    <s v=""/>
    <n v="0"/>
    <s v=""/>
    <x v="0"/>
    <n v="0"/>
    <n v="0"/>
    <s v="No change"/>
    <n v="2.6327637949120408E-2"/>
    <n v="6.0316928868946684E-2"/>
    <n v="0"/>
    <n v="0"/>
    <n v="2.2226584222678269"/>
    <n v="0"/>
    <n v="0"/>
  </r>
  <r>
    <x v="16"/>
    <x v="16"/>
    <n v="26858784"/>
    <x v="22"/>
    <n v="0"/>
    <n v="27525596.999999989"/>
    <n v="0"/>
    <m/>
    <n v="0"/>
    <m/>
    <n v="0"/>
    <m/>
    <n v="0"/>
    <m/>
    <n v="0"/>
    <n v="30870640.5"/>
    <n v="0"/>
    <n v="0"/>
    <m/>
    <n v="0"/>
    <m/>
    <n v="0"/>
    <m/>
    <n v="9"/>
    <n v="33475870.500000011"/>
    <n v="30"/>
    <n v="0"/>
    <n v="0"/>
    <n v="0"/>
    <n v="30"/>
    <n v="0"/>
    <s v=""/>
    <n v="0"/>
    <s v=""/>
    <n v="30"/>
    <n v="2022"/>
    <x v="0"/>
    <n v="30"/>
    <n v="30"/>
    <s v="Increasing"/>
    <n v="2.6327637949120408E-2"/>
    <n v="6.0316928868946684E-2"/>
    <n v="0"/>
    <n v="0"/>
    <n v="0"/>
    <n v="0"/>
    <n v="8.9616788307267433E-3"/>
  </r>
  <r>
    <x v="16"/>
    <x v="16"/>
    <n v="26858785"/>
    <x v="23"/>
    <n v="0"/>
    <n v="27525596.999999989"/>
    <n v="8638"/>
    <m/>
    <n v="0"/>
    <m/>
    <n v="0"/>
    <m/>
    <n v="0"/>
    <m/>
    <n v="0"/>
    <n v="30870640.5"/>
    <n v="0"/>
    <n v="3468"/>
    <m/>
    <n v="0"/>
    <m/>
    <n v="0"/>
    <m/>
    <n v="7"/>
    <n v="33475870.500000011"/>
    <n v="0"/>
    <n v="3468"/>
    <n v="8638"/>
    <n v="0"/>
    <n v="7"/>
    <n v="8638"/>
    <n v="2013"/>
    <n v="3468"/>
    <s v="2018 (triag)"/>
    <n v="7"/>
    <n v="2021"/>
    <x v="1"/>
    <n v="8.4457412242292307"/>
    <n v="3468"/>
    <s v="Decreasing"/>
    <n v="2.6327637949120408E-2"/>
    <n v="6.0316928868946684E-2"/>
    <n v="3040.2503657230086"/>
    <n v="4155.8993108493087"/>
    <n v="3.1381699005474806"/>
    <n v="1.1233974883028424"/>
    <n v="1.0359700728320116"/>
  </r>
  <r>
    <x v="17"/>
    <x v="17"/>
    <n v="10788692"/>
    <x v="0"/>
    <n v="0"/>
    <n v="11055430.000000004"/>
    <n v="0"/>
    <n v="11333365.500000002"/>
    <n v="3688"/>
    <n v="11625998.500000007"/>
    <n v="1954"/>
    <n v="11930984.999999998"/>
    <n v="1954"/>
    <n v="12240788.500000004"/>
    <n v="0"/>
    <n v="12554864.499999998"/>
    <n v="5574"/>
    <n v="5574"/>
    <n v="12877538.499999994"/>
    <n v="0"/>
    <n v="13205152.499999998"/>
    <n v="0"/>
    <n v="13531906.000000004"/>
    <n v="0"/>
    <n v="13859340.500000006"/>
    <n v="856"/>
    <n v="2787"/>
    <n v="3688"/>
    <n v="5574"/>
    <n v="856"/>
    <n v="3688"/>
    <n v="2014"/>
    <n v="5574"/>
    <n v="2018"/>
    <n v="856"/>
    <n v="2022"/>
    <x v="1"/>
    <n v="983.79963953827541"/>
    <n v="5574"/>
    <s v="Decreasing"/>
    <n v="4.588291307733483E-2"/>
    <n v="5.4673730437993617E-2"/>
    <n v="2215.6618957250757"/>
    <n v="3283.7528824644696"/>
    <n v="3.3359172822766721"/>
    <n v="4.4397133875877364"/>
    <n v="4.0218363925758212"/>
  </r>
  <r>
    <x v="17"/>
    <x v="17"/>
    <n v="10788693"/>
    <x v="1"/>
    <n v="0"/>
    <n v="11055430.000000004"/>
    <n v="0"/>
    <m/>
    <n v="11578"/>
    <m/>
    <n v="8778"/>
    <m/>
    <n v="2020"/>
    <m/>
    <n v="0"/>
    <n v="12554864.499999998"/>
    <n v="14390"/>
    <n v="14390"/>
    <m/>
    <n v="0"/>
    <m/>
    <n v="0"/>
    <m/>
    <n v="0"/>
    <n v="13859340.500000006"/>
    <n v="8734"/>
    <n v="6329"/>
    <n v="11578"/>
    <n v="14390"/>
    <n v="8734"/>
    <n v="11578"/>
    <n v="2014"/>
    <n v="14390"/>
    <n v="2018"/>
    <n v="8734"/>
    <n v="2022"/>
    <x v="1"/>
    <n v="10037.974359494507"/>
    <n v="14390"/>
    <s v="Decreasing"/>
    <n v="4.588291307733483E-2"/>
    <n v="5.4673730437993617E-2"/>
    <n v="5031.5479505001813"/>
    <n v="7457.0764237953454"/>
    <n v="10.472681750054042"/>
    <n v="11.461692796445554"/>
    <n v="10.382889431138512"/>
  </r>
  <r>
    <x v="17"/>
    <x v="17"/>
    <n v="10788694"/>
    <x v="2"/>
    <n v="0"/>
    <n v="11055430.000000004"/>
    <n v="1000"/>
    <m/>
    <n v="1000"/>
    <m/>
    <n v="752"/>
    <m/>
    <n v="886"/>
    <m/>
    <n v="0"/>
    <n v="12554864.499999998"/>
    <n v="0"/>
    <n v="866"/>
    <m/>
    <n v="0"/>
    <m/>
    <n v="0"/>
    <m/>
    <n v="0"/>
    <n v="13859340.500000006"/>
    <n v="1554"/>
    <n v="866"/>
    <n v="1000"/>
    <n v="886"/>
    <n v="1554"/>
    <n v="1000"/>
    <n v="2013"/>
    <n v="866"/>
    <s v="2018 (triag)"/>
    <n v="1554"/>
    <n v="2022"/>
    <x v="0"/>
    <n v="1554"/>
    <n v="1554"/>
    <s v="Increasing"/>
    <n v="4.588291307733483E-2"/>
    <n v="5.4673730437993617E-2"/>
    <n v="688.46903541367624"/>
    <n v="1020.3552193090171"/>
    <n v="0.90453288564985679"/>
    <n v="0.68977247822945453"/>
    <n v="1.1212654743564452"/>
  </r>
  <r>
    <x v="17"/>
    <x v="17"/>
    <n v="10788695"/>
    <x v="3"/>
    <n v="0"/>
    <n v="11055430.000000004"/>
    <n v="0"/>
    <m/>
    <n v="0"/>
    <m/>
    <n v="0"/>
    <m/>
    <n v="0"/>
    <m/>
    <n v="0"/>
    <n v="12554864.499999998"/>
    <n v="0"/>
    <n v="255"/>
    <m/>
    <n v="0"/>
    <m/>
    <n v="0"/>
    <m/>
    <n v="0"/>
    <n v="13859340.500000006"/>
    <n v="71"/>
    <n v="255"/>
    <n v="0"/>
    <n v="0"/>
    <n v="71"/>
    <n v="0"/>
    <s v=""/>
    <n v="255"/>
    <s v="2018 (triag)"/>
    <n v="71"/>
    <n v="2022"/>
    <x v="1"/>
    <n v="81.600203746749472"/>
    <n v="255"/>
    <s v="Decreasing"/>
    <n v="4.588291307733483E-2"/>
    <n v="5.4673730437993617E-2"/>
    <n v="202.72471597053976"/>
    <n v="300.45101723302469"/>
    <n v="0"/>
    <n v="0.20310852418996639"/>
    <n v="0.18399143884227384"/>
  </r>
  <r>
    <x v="17"/>
    <x v="17"/>
    <n v="10788696"/>
    <x v="4"/>
    <n v="0"/>
    <n v="11055430.000000004"/>
    <n v="0"/>
    <m/>
    <n v="0"/>
    <m/>
    <n v="14263"/>
    <m/>
    <n v="0"/>
    <m/>
    <n v="106"/>
    <n v="12554864.499999998"/>
    <n v="0"/>
    <n v="73"/>
    <m/>
    <n v="0"/>
    <m/>
    <n v="0"/>
    <m/>
    <n v="0"/>
    <n v="13859340.500000006"/>
    <n v="0"/>
    <n v="73"/>
    <n v="14263"/>
    <n v="106"/>
    <n v="0"/>
    <n v="14263"/>
    <n v="2015"/>
    <n v="73"/>
    <s v="2018 (triag)"/>
    <n v="73"/>
    <s v="2018 (triag)"/>
    <x v="0"/>
    <n v="73"/>
    <n v="73"/>
    <s v="No change"/>
    <n v="4.588291307733483E-2"/>
    <n v="5.4673730437993617E-2"/>
    <n v="58.034918689605497"/>
    <n v="86.011467678473736"/>
    <n v="12.901352548023908"/>
    <n v="5.8144793199480578E-2"/>
    <n v="5.2672058962690158E-2"/>
  </r>
  <r>
    <x v="17"/>
    <x v="17"/>
    <n v="10788697"/>
    <x v="5"/>
    <n v="0"/>
    <n v="11055430.000000004"/>
    <n v="0"/>
    <m/>
    <n v="0"/>
    <m/>
    <n v="6700"/>
    <m/>
    <n v="6700"/>
    <m/>
    <n v="0"/>
    <n v="12554864.499999998"/>
    <n v="16567"/>
    <n v="16567"/>
    <m/>
    <n v="0"/>
    <m/>
    <n v="0"/>
    <m/>
    <n v="0"/>
    <n v="13859340.500000006"/>
    <n v="0"/>
    <n v="16567"/>
    <n v="6700"/>
    <n v="16567"/>
    <n v="0"/>
    <n v="6700"/>
    <n v="2015"/>
    <n v="16567"/>
    <n v="2018"/>
    <n v="16567"/>
    <n v="2018"/>
    <x v="0"/>
    <n v="16567"/>
    <n v="16567"/>
    <s v="No change"/>
    <n v="4.588291307733483E-2"/>
    <n v="5.4673730437993617E-2"/>
    <n v="13170.746546995812"/>
    <n v="19519.890205880471"/>
    <n v="6.0603703338540411"/>
    <n v="13.195682040216365"/>
    <n v="11.953671244313533"/>
  </r>
  <r>
    <x v="17"/>
    <x v="17"/>
    <n v="10788698"/>
    <x v="6"/>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7"/>
    <x v="17"/>
    <n v="10788699"/>
    <x v="7"/>
    <n v="0"/>
    <n v="11055430.000000004"/>
    <n v="0"/>
    <m/>
    <n v="0"/>
    <m/>
    <n v="0"/>
    <m/>
    <n v="0"/>
    <m/>
    <n v="0"/>
    <n v="12554864.499999998"/>
    <n v="0"/>
    <n v="0"/>
    <m/>
    <n v="363"/>
    <m/>
    <n v="0"/>
    <m/>
    <n v="0"/>
    <n v="13859340.500000006"/>
    <n v="0"/>
    <n v="0"/>
    <n v="0"/>
    <n v="363"/>
    <n v="0"/>
    <n v="0"/>
    <s v=""/>
    <n v="363"/>
    <n v="2019"/>
    <n v="363"/>
    <n v="2019"/>
    <x v="0"/>
    <n v="363"/>
    <n v="363"/>
    <s v="No change"/>
    <n v="4.588291307733483E-2"/>
    <n v="5.4673730437993617E-2"/>
    <n v="0"/>
    <n v="0"/>
    <n v="0"/>
    <n v="0.28913095796454041"/>
    <n v="0.26191722470488393"/>
  </r>
  <r>
    <x v="17"/>
    <x v="17"/>
    <n v="10788700"/>
    <x v="8"/>
    <n v="0"/>
    <n v="11055430.000000004"/>
    <n v="0"/>
    <m/>
    <n v="0"/>
    <m/>
    <n v="0"/>
    <m/>
    <n v="0"/>
    <m/>
    <n v="0"/>
    <n v="12554864.499999998"/>
    <n v="0"/>
    <n v="1"/>
    <m/>
    <n v="0"/>
    <m/>
    <n v="0"/>
    <m/>
    <n v="0"/>
    <n v="13859340.500000006"/>
    <n v="0"/>
    <n v="1"/>
    <n v="0"/>
    <n v="0"/>
    <n v="0"/>
    <n v="0"/>
    <s v=""/>
    <n v="1"/>
    <s v="2018 (triag)"/>
    <n v="1"/>
    <s v="2018 (triag)"/>
    <x v="0"/>
    <n v="1"/>
    <n v="1"/>
    <s v="No change"/>
    <n v="4.588291307733483E-2"/>
    <n v="5.4673730437993617E-2"/>
    <n v="0.7949988861589794"/>
    <n v="1.1782392832667634"/>
    <n v="0"/>
    <n v="7.9650401643124077E-4"/>
    <n v="7.2153505428342686E-4"/>
  </r>
  <r>
    <x v="17"/>
    <x v="17"/>
    <n v="10788701"/>
    <x v="9"/>
    <n v="0"/>
    <n v="11055430.000000004"/>
    <n v="0"/>
    <m/>
    <n v="0"/>
    <m/>
    <n v="0"/>
    <m/>
    <n v="0"/>
    <m/>
    <n v="0"/>
    <n v="12554864.499999998"/>
    <n v="0"/>
    <n v="189"/>
    <m/>
    <n v="0"/>
    <m/>
    <n v="0"/>
    <m/>
    <n v="0"/>
    <n v="13859340.500000006"/>
    <n v="0"/>
    <n v="189"/>
    <n v="0"/>
    <n v="0"/>
    <n v="0"/>
    <n v="0"/>
    <s v=""/>
    <n v="189"/>
    <s v="2018 (triag)"/>
    <n v="189"/>
    <s v="2018 (triag)"/>
    <x v="0"/>
    <n v="189"/>
    <n v="189"/>
    <s v="No change"/>
    <n v="4.588291307733483E-2"/>
    <n v="5.4673730437993617E-2"/>
    <n v="150.25478948404711"/>
    <n v="222.68722453741827"/>
    <n v="0"/>
    <n v="0.1505392591055045"/>
    <n v="0.13637012525956768"/>
  </r>
  <r>
    <x v="17"/>
    <x v="17"/>
    <n v="10788702"/>
    <x v="10"/>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7"/>
    <x v="17"/>
    <n v="10788703"/>
    <x v="11"/>
    <n v="0"/>
    <n v="11055430.000000004"/>
    <n v="0"/>
    <m/>
    <n v="0"/>
    <m/>
    <n v="0"/>
    <m/>
    <n v="0"/>
    <m/>
    <n v="0"/>
    <n v="12554864.499999998"/>
    <n v="181"/>
    <n v="181"/>
    <m/>
    <n v="0"/>
    <m/>
    <n v="0"/>
    <m/>
    <n v="0"/>
    <n v="13859340.500000006"/>
    <n v="0"/>
    <n v="0"/>
    <n v="0"/>
    <n v="181"/>
    <n v="0"/>
    <n v="0"/>
    <s v=""/>
    <n v="181"/>
    <n v="2018"/>
    <n v="181"/>
    <n v="2018"/>
    <x v="0"/>
    <n v="181"/>
    <n v="181"/>
    <s v="No change"/>
    <n v="4.588291307733483E-2"/>
    <n v="5.4673730437993617E-2"/>
    <n v="0"/>
    <n v="0"/>
    <n v="0"/>
    <n v="0.14416722697405457"/>
    <n v="0.13059784482530026"/>
  </r>
  <r>
    <x v="17"/>
    <x v="17"/>
    <n v="10788704"/>
    <x v="12"/>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7"/>
    <x v="17"/>
    <n v="10788705"/>
    <x v="13"/>
    <n v="0"/>
    <n v="11055430.000000004"/>
    <n v="0"/>
    <m/>
    <n v="0"/>
    <m/>
    <n v="0"/>
    <m/>
    <n v="8"/>
    <m/>
    <n v="0"/>
    <n v="12554864.499999998"/>
    <n v="0"/>
    <n v="0"/>
    <m/>
    <n v="0"/>
    <m/>
    <n v="0"/>
    <m/>
    <n v="0"/>
    <n v="13859340.500000006"/>
    <n v="0"/>
    <n v="0"/>
    <n v="0"/>
    <n v="8"/>
    <n v="0"/>
    <n v="0"/>
    <s v=""/>
    <n v="0"/>
    <s v=""/>
    <n v="0"/>
    <s v=""/>
    <x v="0"/>
    <n v="0"/>
    <n v="0"/>
    <s v="No change"/>
    <n v="4.588291307733483E-2"/>
    <n v="5.4673730437993617E-2"/>
    <n v="0"/>
    <n v="0"/>
    <n v="0"/>
    <n v="0"/>
    <n v="0"/>
  </r>
  <r>
    <x v="17"/>
    <x v="17"/>
    <n v="10788706"/>
    <x v="14"/>
    <n v="0"/>
    <n v="11055430.000000004"/>
    <n v="0"/>
    <m/>
    <n v="0"/>
    <m/>
    <n v="0"/>
    <m/>
    <n v="0"/>
    <m/>
    <n v="0"/>
    <n v="12554864.499999998"/>
    <n v="0"/>
    <n v="66"/>
    <m/>
    <n v="0"/>
    <m/>
    <n v="0"/>
    <m/>
    <n v="0"/>
    <n v="13859340.500000006"/>
    <n v="0"/>
    <n v="66"/>
    <n v="0"/>
    <n v="0"/>
    <n v="0"/>
    <n v="0"/>
    <s v=""/>
    <n v="66"/>
    <s v="2018 (triag)"/>
    <n v="66"/>
    <s v="2018 (triag)"/>
    <x v="0"/>
    <n v="66"/>
    <n v="66"/>
    <s v="No change"/>
    <n v="4.588291307733483E-2"/>
    <n v="5.4673730437993617E-2"/>
    <n v="52.469926486492646"/>
    <n v="77.763792695606384"/>
    <n v="0"/>
    <n v="5.2569265084461893E-2"/>
    <n v="4.7621313582706173E-2"/>
  </r>
  <r>
    <x v="17"/>
    <x v="17"/>
    <n v="10788707"/>
    <x v="15"/>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7"/>
    <x v="17"/>
    <n v="10788708"/>
    <x v="16"/>
    <n v="0"/>
    <n v="11055430.000000004"/>
    <n v="0"/>
    <m/>
    <n v="0"/>
    <m/>
    <n v="0"/>
    <m/>
    <n v="0"/>
    <m/>
    <n v="0"/>
    <n v="12554864.499999998"/>
    <n v="0"/>
    <n v="481"/>
    <m/>
    <n v="0"/>
    <m/>
    <n v="0"/>
    <m/>
    <n v="0"/>
    <n v="13859340.500000006"/>
    <n v="0"/>
    <n v="481"/>
    <n v="0"/>
    <n v="0"/>
    <n v="0"/>
    <n v="0"/>
    <s v=""/>
    <n v="481"/>
    <s v="2018 (triag)"/>
    <n v="481"/>
    <s v="2018 (triag)"/>
    <x v="0"/>
    <n v="481"/>
    <n v="481"/>
    <s v="No change"/>
    <n v="4.588291307733483E-2"/>
    <n v="5.4673730437993617E-2"/>
    <n v="382.3944642424691"/>
    <n v="566.73309525131322"/>
    <n v="0"/>
    <n v="0.38311843190342681"/>
    <n v="0.34705836111032828"/>
  </r>
  <r>
    <x v="17"/>
    <x v="17"/>
    <n v="10788709"/>
    <x v="17"/>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7"/>
    <x v="17"/>
    <n v="10788710"/>
    <x v="18"/>
    <n v="0"/>
    <n v="11055430.000000004"/>
    <n v="0"/>
    <m/>
    <n v="0"/>
    <m/>
    <n v="0"/>
    <m/>
    <n v="209"/>
    <m/>
    <n v="0"/>
    <n v="12554864.499999998"/>
    <n v="0"/>
    <n v="181"/>
    <m/>
    <n v="0"/>
    <m/>
    <n v="0"/>
    <m/>
    <n v="0"/>
    <n v="13859340.500000006"/>
    <n v="0"/>
    <n v="181"/>
    <n v="0"/>
    <n v="209"/>
    <n v="0"/>
    <n v="0"/>
    <s v=""/>
    <n v="181"/>
    <s v="2018 (triag)"/>
    <n v="181"/>
    <s v="2018 (triag)"/>
    <x v="0"/>
    <n v="181"/>
    <n v="181"/>
    <s v="No change"/>
    <n v="4.588291307733483E-2"/>
    <n v="5.4673730437993617E-2"/>
    <n v="143.89479839477528"/>
    <n v="213.26131027128417"/>
    <n v="0"/>
    <n v="0.14416722697405457"/>
    <n v="0.13059784482530026"/>
  </r>
  <r>
    <x v="17"/>
    <x v="17"/>
    <n v="10788711"/>
    <x v="19"/>
    <n v="0"/>
    <n v="11055430.000000004"/>
    <n v="0"/>
    <m/>
    <n v="0"/>
    <m/>
    <n v="0"/>
    <m/>
    <n v="0"/>
    <m/>
    <n v="0"/>
    <n v="12554864.499999998"/>
    <n v="0"/>
    <n v="62"/>
    <m/>
    <n v="0"/>
    <m/>
    <n v="0"/>
    <m/>
    <n v="0"/>
    <n v="13859340.500000006"/>
    <n v="0"/>
    <n v="62"/>
    <n v="0"/>
    <n v="0"/>
    <n v="0"/>
    <n v="0"/>
    <s v=""/>
    <n v="62"/>
    <s v="2018 (triag)"/>
    <n v="62"/>
    <s v="2018 (triag)"/>
    <x v="0"/>
    <n v="62"/>
    <n v="62"/>
    <s v="No change"/>
    <n v="4.588291307733483E-2"/>
    <n v="5.4673730437993617E-2"/>
    <n v="49.289930941856724"/>
    <n v="73.050835562539334"/>
    <n v="0"/>
    <n v="4.9383249018736926E-2"/>
    <n v="4.4735173365572464E-2"/>
  </r>
  <r>
    <x v="17"/>
    <x v="17"/>
    <n v="10788712"/>
    <x v="20"/>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7"/>
    <x v="17"/>
    <n v="10788713"/>
    <x v="21"/>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7"/>
    <x v="17"/>
    <n v="10788714"/>
    <x v="22"/>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7"/>
    <x v="17"/>
    <n v="10788715"/>
    <x v="23"/>
    <n v="0"/>
    <n v="11055430.000000004"/>
    <n v="0"/>
    <m/>
    <n v="0"/>
    <m/>
    <n v="0"/>
    <m/>
    <n v="0"/>
    <m/>
    <n v="0"/>
    <n v="12554864.499999998"/>
    <n v="0"/>
    <n v="0"/>
    <m/>
    <n v="0"/>
    <m/>
    <n v="0"/>
    <m/>
    <n v="0"/>
    <n v="13859340.500000006"/>
    <n v="0"/>
    <n v="0"/>
    <n v="0"/>
    <n v="0"/>
    <n v="0"/>
    <n v="0"/>
    <s v=""/>
    <n v="0"/>
    <s v=""/>
    <n v="0"/>
    <s v=""/>
    <x v="0"/>
    <n v="0"/>
    <n v="0"/>
    <s v="No change"/>
    <n v="4.588291307733483E-2"/>
    <n v="5.4673730437993617E-2"/>
    <n v="0"/>
    <n v="0"/>
    <n v="0"/>
    <n v="0"/>
    <n v="0"/>
  </r>
  <r>
    <x v="18"/>
    <x v="18"/>
    <n v="2061013.9999999993"/>
    <x v="0"/>
    <n v="0"/>
    <n v="2124869.5"/>
    <n v="0"/>
    <n v="2189019"/>
    <n v="0"/>
    <n v="2253133.5000000009"/>
    <n v="426"/>
    <n v="2317205.5"/>
    <n v="1"/>
    <n v="2381181.5"/>
    <n v="464"/>
    <n v="2444915.5000000014"/>
    <n v="596"/>
    <n v="596"/>
    <n v="2508883.5000000009"/>
    <n v="457"/>
    <n v="2573994.9999999995"/>
    <n v="466"/>
    <n v="2639915.5000000005"/>
    <n v="651"/>
    <n v="2705991.9999999995"/>
    <n v="0"/>
    <n v="298"/>
    <n v="426"/>
    <n v="596"/>
    <n v="651"/>
    <n v="426"/>
    <n v="2015"/>
    <n v="596"/>
    <n v="2018"/>
    <n v="651"/>
    <n v="2021"/>
    <x v="0"/>
    <n v="651"/>
    <n v="651"/>
    <s v="Increasing"/>
    <n v="-0.22530855667613492"/>
    <n v="0.45056501122921166"/>
    <n v="919.32184192321949"/>
    <n v="1151.4629233704627"/>
    <n v="2.0048290024399145"/>
    <n v="2.4377120599873479"/>
    <n v="2.4057720791487931"/>
  </r>
  <r>
    <x v="18"/>
    <x v="18"/>
    <n v="2061015"/>
    <x v="1"/>
    <n v="4772"/>
    <n v="2124869.5"/>
    <n v="0"/>
    <m/>
    <n v="0"/>
    <m/>
    <n v="4744"/>
    <m/>
    <n v="0"/>
    <m/>
    <n v="2648"/>
    <n v="2444915.5000000014"/>
    <n v="2996"/>
    <n v="2996"/>
    <m/>
    <n v="1498"/>
    <m/>
    <n v="2458"/>
    <m/>
    <n v="2808"/>
    <n v="2705991.9999999995"/>
    <n v="0"/>
    <n v="1178"/>
    <n v="4772"/>
    <n v="2996"/>
    <n v="2808"/>
    <n v="4772"/>
    <n v="2012"/>
    <n v="2996"/>
    <n v="2018"/>
    <n v="2808"/>
    <n v="2021"/>
    <x v="1"/>
    <n v="2858.8073394495414"/>
    <n v="2996"/>
    <s v="Decreasing"/>
    <n v="-0.22530855667613492"/>
    <n v="0.45056501122921166"/>
    <n v="3634.0977509582299"/>
    <n v="4551.7561199006877"/>
    <n v="22.457849764420828"/>
    <n v="12.254002234433043"/>
    <n v="11.071725267480467"/>
  </r>
  <r>
    <x v="18"/>
    <x v="18"/>
    <n v="2061016"/>
    <x v="2"/>
    <n v="0"/>
    <n v="2124869.5"/>
    <n v="518"/>
    <m/>
    <n v="0"/>
    <m/>
    <n v="1700"/>
    <m/>
    <n v="0"/>
    <m/>
    <n v="844"/>
    <n v="2444915.5000000014"/>
    <n v="0"/>
    <n v="320"/>
    <m/>
    <n v="682"/>
    <m/>
    <n v="1080"/>
    <m/>
    <n v="758"/>
    <n v="2705991.9999999995"/>
    <n v="0"/>
    <n v="320"/>
    <n v="1700"/>
    <n v="844"/>
    <n v="1080"/>
    <n v="518"/>
    <n v="2013"/>
    <n v="320"/>
    <s v="2018 (triag)"/>
    <n v="758"/>
    <n v="2021"/>
    <x v="0"/>
    <n v="758"/>
    <n v="758"/>
    <s v="Increasing"/>
    <n v="-0.22530855667613492"/>
    <n v="0.45056501122921166"/>
    <n v="987.19123964909465"/>
    <n v="1236.4702532837182"/>
    <n v="2.4377967682250605"/>
    <n v="1.3088386899260929"/>
    <n v="2.8011908387016669"/>
  </r>
  <r>
    <x v="18"/>
    <x v="18"/>
    <n v="2061017"/>
    <x v="3"/>
    <n v="886"/>
    <n v="2124869.5"/>
    <n v="0"/>
    <m/>
    <n v="124"/>
    <m/>
    <n v="156"/>
    <m/>
    <n v="0"/>
    <m/>
    <n v="360"/>
    <n v="2444915.5000000014"/>
    <n v="157"/>
    <n v="157"/>
    <m/>
    <n v="60"/>
    <m/>
    <n v="324"/>
    <m/>
    <n v="1859"/>
    <n v="2705991.9999999995"/>
    <n v="3224"/>
    <n v="79"/>
    <n v="886"/>
    <n v="360"/>
    <n v="3224"/>
    <n v="886"/>
    <n v="2012"/>
    <n v="157"/>
    <n v="2018"/>
    <n v="3224"/>
    <n v="2022"/>
    <x v="0"/>
    <n v="3224"/>
    <n v="3224"/>
    <s v="Increasing"/>
    <n v="-0.22530855667613492"/>
    <n v="0.45056501122921166"/>
    <n v="243.71283728837025"/>
    <n v="305.25359377941794"/>
    <n v="4.1696678313656435"/>
    <n v="0.64214898224498929"/>
    <n v="11.914299820546404"/>
  </r>
  <r>
    <x v="18"/>
    <x v="18"/>
    <n v="2061018"/>
    <x v="4"/>
    <n v="228"/>
    <n v="2124869.5"/>
    <n v="0"/>
    <m/>
    <n v="0"/>
    <m/>
    <n v="15"/>
    <m/>
    <n v="6433"/>
    <m/>
    <n v="54"/>
    <n v="2444915.5000000014"/>
    <n v="27"/>
    <n v="27"/>
    <m/>
    <n v="30"/>
    <m/>
    <n v="26"/>
    <m/>
    <n v="513"/>
    <n v="2705991.9999999995"/>
    <n v="612"/>
    <n v="3"/>
    <n v="228"/>
    <n v="6433"/>
    <n v="612"/>
    <n v="228"/>
    <n v="2012"/>
    <n v="27"/>
    <n v="2018"/>
    <n v="612"/>
    <n v="2022"/>
    <x v="0"/>
    <n v="612"/>
    <n v="612"/>
    <s v="Increasing"/>
    <n v="-0.22530855667613492"/>
    <n v="0.45056501122921166"/>
    <n v="9.254917871710262"/>
    <n v="11.591908624534859"/>
    <n v="1.073007071728405"/>
    <n v="0.11043326446251409"/>
    <n v="2.2616474845454091"/>
  </r>
  <r>
    <x v="18"/>
    <x v="18"/>
    <n v="2061019"/>
    <x v="5"/>
    <n v="0"/>
    <n v="2124869.5"/>
    <n v="0"/>
    <m/>
    <n v="0"/>
    <m/>
    <n v="0"/>
    <m/>
    <n v="0"/>
    <m/>
    <n v="0"/>
    <n v="2444915.5000000014"/>
    <n v="1553"/>
    <n v="1553"/>
    <m/>
    <n v="0"/>
    <m/>
    <n v="0"/>
    <m/>
    <n v="0"/>
    <n v="2705991.9999999995"/>
    <n v="0"/>
    <n v="1553"/>
    <n v="0"/>
    <n v="1553"/>
    <n v="0"/>
    <n v="0"/>
    <s v=""/>
    <n v="1553"/>
    <n v="2018"/>
    <n v="1553"/>
    <n v="2018"/>
    <x v="0"/>
    <n v="1553"/>
    <n v="1553"/>
    <s v="No change"/>
    <n v="-0.22530855667613492"/>
    <n v="0.45056501122921166"/>
    <n v="4790.9624849220127"/>
    <n v="6000.7446979675451"/>
    <n v="0"/>
    <n v="6.3519577670475691"/>
    <n v="5.7391152671552623"/>
  </r>
  <r>
    <x v="18"/>
    <x v="18"/>
    <n v="2061020"/>
    <x v="6"/>
    <n v="0"/>
    <n v="2124869.5"/>
    <n v="0"/>
    <m/>
    <n v="0"/>
    <m/>
    <n v="0"/>
    <m/>
    <n v="3652"/>
    <m/>
    <n v="0"/>
    <n v="2444915.5000000014"/>
    <n v="0"/>
    <n v="0"/>
    <m/>
    <n v="0"/>
    <m/>
    <n v="0"/>
    <m/>
    <n v="1"/>
    <n v="2705991.9999999995"/>
    <n v="59"/>
    <n v="0"/>
    <n v="0"/>
    <n v="3652"/>
    <n v="59"/>
    <n v="0"/>
    <s v=""/>
    <n v="0"/>
    <s v=""/>
    <n v="59"/>
    <n v="2022"/>
    <x v="0"/>
    <n v="59"/>
    <n v="59"/>
    <s v="Increasing"/>
    <n v="-0.22530855667613492"/>
    <n v="0.45056501122921166"/>
    <n v="0"/>
    <n v="0"/>
    <n v="0"/>
    <n v="0"/>
    <n v="0.21803464311793977"/>
  </r>
  <r>
    <x v="18"/>
    <x v="18"/>
    <n v="2061021"/>
    <x v="7"/>
    <n v="0"/>
    <n v="2124869.5"/>
    <n v="0"/>
    <m/>
    <n v="0"/>
    <m/>
    <n v="0"/>
    <m/>
    <n v="3831"/>
    <m/>
    <n v="0"/>
    <n v="2444915.5000000014"/>
    <n v="0"/>
    <n v="316"/>
    <m/>
    <n v="0"/>
    <m/>
    <n v="0"/>
    <m/>
    <n v="2742"/>
    <n v="2705991.9999999995"/>
    <n v="2305"/>
    <n v="316"/>
    <n v="0"/>
    <n v="3831"/>
    <n v="2742"/>
    <n v="0"/>
    <s v=""/>
    <n v="316"/>
    <s v="2018 (triag)"/>
    <n v="2305"/>
    <n v="2022"/>
    <x v="0"/>
    <n v="2305"/>
    <n v="2305"/>
    <s v="Increasing"/>
    <n v="-0.22530855667613492"/>
    <n v="0.45056501122921166"/>
    <n v="974.85134915348101"/>
    <n v="1221.0143751176718"/>
    <n v="0"/>
    <n v="1.2924782063020166"/>
    <n v="8.5181330913025626"/>
  </r>
  <r>
    <x v="18"/>
    <x v="18"/>
    <n v="2061022"/>
    <x v="8"/>
    <n v="0"/>
    <n v="2124869.5"/>
    <n v="0"/>
    <m/>
    <n v="0"/>
    <m/>
    <n v="0"/>
    <m/>
    <n v="0"/>
    <m/>
    <n v="0"/>
    <n v="2444915.5000000014"/>
    <n v="0"/>
    <n v="0"/>
    <m/>
    <n v="0"/>
    <m/>
    <n v="0"/>
    <m/>
    <n v="0"/>
    <n v="2705991.9999999995"/>
    <n v="0"/>
    <n v="0"/>
    <n v="0"/>
    <n v="0"/>
    <n v="0"/>
    <n v="0"/>
    <s v=""/>
    <n v="0"/>
    <s v=""/>
    <n v="0"/>
    <s v=""/>
    <x v="0"/>
    <n v="0"/>
    <n v="0"/>
    <s v="No change"/>
    <n v="-0.22530855667613492"/>
    <n v="0.45056501122921166"/>
    <n v="0"/>
    <n v="0"/>
    <n v="0"/>
    <n v="0"/>
    <n v="0"/>
  </r>
  <r>
    <x v="18"/>
    <x v="18"/>
    <n v="2061023"/>
    <x v="9"/>
    <n v="0"/>
    <n v="2124869.5"/>
    <n v="0"/>
    <m/>
    <n v="0"/>
    <m/>
    <n v="0"/>
    <m/>
    <n v="0"/>
    <m/>
    <n v="0"/>
    <n v="2444915.5000000014"/>
    <n v="0"/>
    <n v="0"/>
    <m/>
    <n v="246"/>
    <m/>
    <n v="479"/>
    <m/>
    <n v="522"/>
    <n v="2705991.9999999995"/>
    <n v="0"/>
    <n v="0"/>
    <n v="0"/>
    <n v="246"/>
    <n v="522"/>
    <n v="0"/>
    <s v=""/>
    <n v="246"/>
    <n v="2019"/>
    <n v="522"/>
    <n v="2021"/>
    <x v="0"/>
    <n v="522"/>
    <n v="522"/>
    <s v="Increasing"/>
    <n v="-0.22530855667613492"/>
    <n v="0.45056501122921166"/>
    <n v="0"/>
    <n v="0"/>
    <n v="0"/>
    <n v="1.0061697428806839"/>
    <n v="1.9290522662299079"/>
  </r>
  <r>
    <x v="18"/>
    <x v="18"/>
    <n v="2061024"/>
    <x v="10"/>
    <n v="0"/>
    <n v="2124869.5"/>
    <n v="0"/>
    <m/>
    <n v="0"/>
    <m/>
    <n v="3"/>
    <m/>
    <n v="0"/>
    <m/>
    <n v="0"/>
    <n v="2444915.5000000014"/>
    <n v="7"/>
    <n v="7"/>
    <m/>
    <n v="95"/>
    <m/>
    <n v="4"/>
    <m/>
    <n v="6"/>
    <n v="2705991.9999999995"/>
    <n v="0"/>
    <n v="0"/>
    <n v="3"/>
    <n v="95"/>
    <n v="6"/>
    <n v="3"/>
    <n v="2015"/>
    <n v="7"/>
    <n v="2018"/>
    <n v="6"/>
    <n v="2021"/>
    <x v="1"/>
    <n v="6.1085626911314987"/>
    <n v="7"/>
    <s v="Decreasing"/>
    <n v="-0.22530855667613492"/>
    <n v="0.45056501122921166"/>
    <n v="0"/>
    <n v="0"/>
    <n v="1.4118514101689539E-2"/>
    <n v="2.8630846342133282E-2"/>
    <n v="2.5868516980094552E-2"/>
  </r>
  <r>
    <x v="18"/>
    <x v="18"/>
    <n v="2061025"/>
    <x v="11"/>
    <n v="0"/>
    <n v="2124869.5"/>
    <n v="0"/>
    <m/>
    <n v="0"/>
    <m/>
    <n v="11"/>
    <m/>
    <n v="0"/>
    <m/>
    <n v="0"/>
    <n v="2444915.5000000014"/>
    <n v="138"/>
    <n v="138"/>
    <m/>
    <n v="22"/>
    <m/>
    <n v="13"/>
    <m/>
    <n v="18"/>
    <n v="2705991.9999999995"/>
    <n v="0"/>
    <n v="0"/>
    <n v="11"/>
    <n v="138"/>
    <n v="18"/>
    <n v="11"/>
    <n v="2015"/>
    <n v="138"/>
    <n v="2018"/>
    <n v="18"/>
    <n v="2021"/>
    <x v="1"/>
    <n v="18.325688073394495"/>
    <n v="138"/>
    <s v="Decreasing"/>
    <n v="-0.22530855667613492"/>
    <n v="0.45056501122921166"/>
    <n v="0"/>
    <n v="0"/>
    <n v="5.1767885039528311E-2"/>
    <n v="0.56443668503062749"/>
    <n v="0.50997933475043544"/>
  </r>
  <r>
    <x v="18"/>
    <x v="18"/>
    <n v="2061026"/>
    <x v="12"/>
    <n v="0"/>
    <n v="2124869.5"/>
    <n v="0"/>
    <m/>
    <n v="0"/>
    <m/>
    <n v="0"/>
    <m/>
    <n v="0"/>
    <m/>
    <n v="0"/>
    <n v="2444915.5000000014"/>
    <n v="0"/>
    <n v="0"/>
    <m/>
    <n v="0"/>
    <m/>
    <n v="0"/>
    <m/>
    <n v="0"/>
    <n v="2705991.9999999995"/>
    <n v="0"/>
    <n v="0"/>
    <n v="0"/>
    <n v="0"/>
    <n v="0"/>
    <n v="0"/>
    <s v=""/>
    <n v="0"/>
    <s v=""/>
    <n v="0"/>
    <s v=""/>
    <x v="0"/>
    <n v="0"/>
    <n v="0"/>
    <s v="No change"/>
    <n v="-0.22530855667613492"/>
    <n v="0.45056501122921166"/>
    <n v="0"/>
    <n v="0"/>
    <n v="0"/>
    <n v="0"/>
    <n v="0"/>
  </r>
  <r>
    <x v="18"/>
    <x v="18"/>
    <n v="2061027"/>
    <x v="13"/>
    <n v="0"/>
    <n v="2124869.5"/>
    <n v="0"/>
    <m/>
    <n v="0"/>
    <m/>
    <n v="32"/>
    <m/>
    <n v="0"/>
    <m/>
    <n v="0"/>
    <n v="2444915.5000000014"/>
    <n v="0"/>
    <n v="0"/>
    <m/>
    <n v="149"/>
    <m/>
    <n v="173"/>
    <m/>
    <n v="172"/>
    <n v="2705991.9999999995"/>
    <n v="0"/>
    <n v="0"/>
    <n v="32"/>
    <n v="149"/>
    <n v="173"/>
    <n v="32"/>
    <n v="2015"/>
    <n v="149"/>
    <n v="2019"/>
    <n v="172"/>
    <n v="2021"/>
    <x v="0"/>
    <n v="172"/>
    <n v="172"/>
    <s v="Increasing"/>
    <n v="-0.22530855667613492"/>
    <n v="0.45056501122921166"/>
    <n v="0"/>
    <n v="0"/>
    <n v="0.15059748375135509"/>
    <n v="0.60942801499683696"/>
    <n v="0.63562641722518043"/>
  </r>
  <r>
    <x v="18"/>
    <x v="18"/>
    <n v="2061028"/>
    <x v="14"/>
    <n v="0"/>
    <n v="2124869.5"/>
    <n v="0"/>
    <m/>
    <n v="0"/>
    <m/>
    <n v="0"/>
    <m/>
    <n v="0"/>
    <m/>
    <n v="0"/>
    <n v="2444915.5000000014"/>
    <n v="0"/>
    <n v="0"/>
    <m/>
    <n v="0"/>
    <m/>
    <n v="0"/>
    <m/>
    <n v="0"/>
    <n v="2705991.9999999995"/>
    <n v="0"/>
    <n v="0"/>
    <n v="0"/>
    <n v="0"/>
    <n v="0"/>
    <n v="0"/>
    <s v=""/>
    <n v="0"/>
    <s v=""/>
    <n v="0"/>
    <s v=""/>
    <x v="0"/>
    <n v="0"/>
    <n v="0"/>
    <s v="No change"/>
    <n v="-0.22530855667613492"/>
    <n v="0.45056501122921166"/>
    <n v="0"/>
    <n v="0"/>
    <n v="0"/>
    <n v="0"/>
    <n v="0"/>
  </r>
  <r>
    <x v="18"/>
    <x v="18"/>
    <n v="2061029"/>
    <x v="15"/>
    <n v="0"/>
    <n v="2124869.5"/>
    <n v="0"/>
    <m/>
    <n v="0"/>
    <m/>
    <n v="17"/>
    <m/>
    <n v="0"/>
    <m/>
    <n v="0"/>
    <n v="2444915.5000000014"/>
    <n v="0"/>
    <n v="0"/>
    <m/>
    <n v="16"/>
    <m/>
    <n v="20"/>
    <m/>
    <n v="18"/>
    <n v="2705991.9999999995"/>
    <n v="0"/>
    <n v="0"/>
    <n v="17"/>
    <n v="16"/>
    <n v="20"/>
    <n v="17"/>
    <n v="2015"/>
    <n v="16"/>
    <n v="2019"/>
    <n v="18"/>
    <n v="2021"/>
    <x v="0"/>
    <n v="18"/>
    <n v="18"/>
    <s v="Increasing"/>
    <n v="-0.22530855667613492"/>
    <n v="0.45056501122921166"/>
    <n v="0"/>
    <n v="0"/>
    <n v="8.0004913242907386E-2"/>
    <n v="6.5441934496304643E-2"/>
    <n v="6.6519043663100269E-2"/>
  </r>
  <r>
    <x v="18"/>
    <x v="18"/>
    <n v="2061030"/>
    <x v="16"/>
    <n v="0"/>
    <n v="2124869.5"/>
    <n v="0"/>
    <m/>
    <n v="0"/>
    <m/>
    <n v="0"/>
    <m/>
    <n v="0"/>
    <m/>
    <n v="0"/>
    <n v="2444915.5000000014"/>
    <n v="0"/>
    <n v="0"/>
    <m/>
    <n v="0"/>
    <m/>
    <n v="0"/>
    <m/>
    <n v="0"/>
    <n v="2705991.9999999995"/>
    <n v="0"/>
    <n v="0"/>
    <n v="0"/>
    <n v="0"/>
    <n v="0"/>
    <n v="0"/>
    <s v=""/>
    <n v="0"/>
    <s v=""/>
    <n v="0"/>
    <s v=""/>
    <x v="0"/>
    <n v="0"/>
    <n v="0"/>
    <s v="No change"/>
    <n v="-0.22530855667613492"/>
    <n v="0.45056501122921166"/>
    <n v="0"/>
    <n v="0"/>
    <n v="0"/>
    <n v="0"/>
    <n v="0"/>
  </r>
  <r>
    <x v="18"/>
    <x v="18"/>
    <n v="2061031"/>
    <x v="17"/>
    <n v="0"/>
    <n v="2124869.5"/>
    <n v="0"/>
    <m/>
    <n v="0"/>
    <m/>
    <n v="0"/>
    <m/>
    <n v="0"/>
    <m/>
    <n v="0"/>
    <n v="2444915.5000000014"/>
    <n v="0"/>
    <n v="0"/>
    <m/>
    <n v="0"/>
    <m/>
    <n v="2253"/>
    <m/>
    <n v="2193"/>
    <n v="2705991.9999999995"/>
    <n v="0"/>
    <n v="0"/>
    <n v="0"/>
    <n v="0"/>
    <n v="2253"/>
    <n v="0"/>
    <s v=""/>
    <n v="0"/>
    <s v=""/>
    <n v="2193"/>
    <n v="2021"/>
    <x v="0"/>
    <n v="2193"/>
    <n v="2193"/>
    <s v="Increasing"/>
    <n v="-0.22530855667613492"/>
    <n v="0.45056501122921166"/>
    <n v="0"/>
    <n v="0"/>
    <n v="0"/>
    <n v="0"/>
    <n v="8.1042368196210504"/>
  </r>
  <r>
    <x v="18"/>
    <x v="18"/>
    <n v="2061032"/>
    <x v="18"/>
    <n v="0"/>
    <n v="2124869.5"/>
    <n v="0"/>
    <m/>
    <n v="0"/>
    <m/>
    <n v="141"/>
    <m/>
    <n v="0"/>
    <m/>
    <n v="0"/>
    <n v="2444915.5000000014"/>
    <n v="0"/>
    <n v="138"/>
    <m/>
    <n v="0"/>
    <m/>
    <n v="0"/>
    <m/>
    <n v="0"/>
    <n v="2705991.9999999995"/>
    <n v="0"/>
    <n v="138"/>
    <n v="141"/>
    <n v="0"/>
    <n v="0"/>
    <n v="141"/>
    <n v="2015"/>
    <n v="138"/>
    <s v="2018 (triag)"/>
    <n v="138"/>
    <s v="2018 (triag)"/>
    <x v="0"/>
    <n v="138"/>
    <n v="138"/>
    <s v="No change"/>
    <n v="-0.22530855667613492"/>
    <n v="0.45056501122921166"/>
    <n v="425.72622209867211"/>
    <n v="533.22779672860349"/>
    <n v="0.66357016277940839"/>
    <n v="0.56443668503062749"/>
    <n v="0.50997933475043544"/>
  </r>
  <r>
    <x v="18"/>
    <x v="18"/>
    <n v="2061033"/>
    <x v="19"/>
    <n v="0"/>
    <n v="2124869.5"/>
    <n v="0"/>
    <m/>
    <n v="0"/>
    <m/>
    <n v="0"/>
    <m/>
    <n v="0"/>
    <m/>
    <n v="0"/>
    <n v="2444915.5000000014"/>
    <n v="0"/>
    <n v="39"/>
    <m/>
    <n v="0"/>
    <m/>
    <n v="0"/>
    <m/>
    <n v="0"/>
    <n v="2705991.9999999995"/>
    <n v="0"/>
    <n v="39"/>
    <n v="0"/>
    <n v="0"/>
    <n v="0"/>
    <n v="0"/>
    <s v=""/>
    <n v="39"/>
    <s v="2018 (triag)"/>
    <n v="39"/>
    <s v="2018 (triag)"/>
    <x v="0"/>
    <n v="39"/>
    <n v="39"/>
    <s v="No change"/>
    <n v="-0.22530855667613492"/>
    <n v="0.45056501122921166"/>
    <n v="120.31393233223342"/>
    <n v="150.69481211895317"/>
    <n v="0"/>
    <n v="0.15951471533474257"/>
    <n v="0.14412459460338392"/>
  </r>
  <r>
    <x v="18"/>
    <x v="18"/>
    <n v="2061034"/>
    <x v="20"/>
    <n v="0"/>
    <n v="2124869.5"/>
    <n v="0"/>
    <m/>
    <n v="0"/>
    <m/>
    <n v="20"/>
    <m/>
    <n v="0"/>
    <m/>
    <n v="0"/>
    <n v="2444915.5000000014"/>
    <n v="0"/>
    <n v="0"/>
    <m/>
    <n v="23"/>
    <m/>
    <n v="32"/>
    <m/>
    <n v="24"/>
    <n v="2705991.9999999995"/>
    <n v="0"/>
    <n v="0"/>
    <n v="20"/>
    <n v="23"/>
    <n v="32"/>
    <n v="20"/>
    <n v="2015"/>
    <n v="23"/>
    <n v="2019"/>
    <n v="24"/>
    <n v="2021"/>
    <x v="0"/>
    <n v="24"/>
    <n v="24"/>
    <s v="Increasing"/>
    <n v="-0.22530855667613492"/>
    <n v="0.45056501122921166"/>
    <n v="0"/>
    <n v="0"/>
    <n v="9.412342734459693E-2"/>
    <n v="9.4072780838437925E-2"/>
    <n v="8.8692058217467035E-2"/>
  </r>
  <r>
    <x v="18"/>
    <x v="18"/>
    <n v="2061035"/>
    <x v="21"/>
    <n v="127"/>
    <n v="2124869.5"/>
    <n v="0"/>
    <m/>
    <n v="0"/>
    <m/>
    <n v="0"/>
    <m/>
    <n v="0"/>
    <m/>
    <n v="0"/>
    <n v="2444915.5000000014"/>
    <n v="0"/>
    <n v="0"/>
    <m/>
    <n v="0"/>
    <m/>
    <n v="0"/>
    <m/>
    <n v="0"/>
    <n v="2705991.9999999995"/>
    <n v="0"/>
    <n v="0"/>
    <n v="127"/>
    <n v="0"/>
    <n v="0"/>
    <n v="127"/>
    <n v="2012"/>
    <n v="0"/>
    <s v=""/>
    <n v="0"/>
    <s v=""/>
    <x v="0"/>
    <n v="0"/>
    <n v="0"/>
    <s v="No change"/>
    <n v="-0.22530855667613492"/>
    <n v="0.45056501122921166"/>
    <n v="0"/>
    <n v="0"/>
    <n v="0.59768376363819053"/>
    <n v="0"/>
    <n v="0"/>
  </r>
  <r>
    <x v="18"/>
    <x v="18"/>
    <n v="2061036"/>
    <x v="22"/>
    <n v="0"/>
    <n v="2124869.5"/>
    <n v="0"/>
    <m/>
    <n v="0"/>
    <m/>
    <n v="0"/>
    <m/>
    <n v="0"/>
    <m/>
    <n v="0"/>
    <n v="2444915.5000000014"/>
    <n v="0"/>
    <n v="0"/>
    <m/>
    <n v="0"/>
    <m/>
    <n v="0"/>
    <m/>
    <n v="0"/>
    <n v="2705991.9999999995"/>
    <n v="0"/>
    <n v="0"/>
    <n v="0"/>
    <n v="0"/>
    <n v="0"/>
    <n v="0"/>
    <s v=""/>
    <n v="0"/>
    <s v=""/>
    <n v="0"/>
    <s v=""/>
    <x v="0"/>
    <n v="0"/>
    <n v="0"/>
    <s v="No change"/>
    <n v="-0.22530855667613492"/>
    <n v="0.45056501122921166"/>
    <n v="0"/>
    <n v="0"/>
    <n v="0"/>
    <n v="0"/>
    <n v="0"/>
  </r>
  <r>
    <x v="18"/>
    <x v="18"/>
    <n v="2061037"/>
    <x v="23"/>
    <n v="656"/>
    <n v="2124869.5"/>
    <n v="0"/>
    <m/>
    <n v="0"/>
    <m/>
    <n v="0"/>
    <m/>
    <n v="0"/>
    <m/>
    <n v="0"/>
    <n v="2444915.5000000014"/>
    <n v="0"/>
    <n v="0"/>
    <m/>
    <n v="0"/>
    <m/>
    <n v="0"/>
    <m/>
    <n v="0"/>
    <n v="2705991.9999999995"/>
    <n v="0"/>
    <n v="0"/>
    <n v="656"/>
    <n v="0"/>
    <n v="0"/>
    <n v="656"/>
    <n v="2012"/>
    <n v="0"/>
    <s v=""/>
    <n v="0"/>
    <s v=""/>
    <x v="0"/>
    <n v="0"/>
    <n v="0"/>
    <s v="No change"/>
    <n v="-0.22530855667613492"/>
    <n v="0.45056501122921166"/>
    <n v="0"/>
    <n v="0"/>
    <n v="3.0872484169027792"/>
    <n v="0"/>
    <n v="0"/>
  </r>
  <r>
    <x v="19"/>
    <x v="19"/>
    <n v="1652717.4999999998"/>
    <x v="0"/>
    <n v="0"/>
    <n v="1697752.4999999995"/>
    <n v="0"/>
    <n v="1743309.0000000002"/>
    <n v="0"/>
    <n v="1788919.0000000005"/>
    <n v="708"/>
    <n v="1834551.4999999995"/>
    <n v="388"/>
    <n v="1879826.5000000005"/>
    <n v="0"/>
    <n v="1924954.4999999988"/>
    <n v="1181"/>
    <n v="1181"/>
    <n v="1970456.5"/>
    <n v="0"/>
    <n v="2015827.9999999998"/>
    <n v="781"/>
    <n v="2060720.9999999991"/>
    <n v="916"/>
    <n v="2105565.4999999991"/>
    <n v="885"/>
    <n v="318"/>
    <n v="708"/>
    <n v="1181"/>
    <n v="916"/>
    <n v="708"/>
    <n v="2015"/>
    <n v="1181"/>
    <n v="2018"/>
    <n v="885"/>
    <n v="2022"/>
    <x v="1"/>
    <n v="1072.6558935361215"/>
    <n v="1181"/>
    <s v="Decreasing"/>
    <n v="3.0374199904759536E-2"/>
    <n v="4.6424158096915802E-2"/>
    <n v="273.19351309593634"/>
    <n v="365.5210453214055"/>
    <n v="4.1702191573860157"/>
    <n v="6.1352099491182814"/>
    <n v="5.6089444854600847"/>
  </r>
  <r>
    <x v="19"/>
    <x v="19"/>
    <n v="1652718.5"/>
    <x v="1"/>
    <n v="0"/>
    <n v="1697752.4999999995"/>
    <n v="1468"/>
    <m/>
    <n v="1899"/>
    <m/>
    <n v="2098"/>
    <m/>
    <n v="2006"/>
    <m/>
    <n v="0"/>
    <n v="1924954.4999999988"/>
    <n v="1488"/>
    <n v="1488"/>
    <m/>
    <n v="0"/>
    <m/>
    <n v="2782"/>
    <m/>
    <n v="3912"/>
    <n v="2105565.4999999991"/>
    <n v="3758"/>
    <n v="1264"/>
    <n v="2098"/>
    <n v="2006"/>
    <n v="3912"/>
    <n v="1468"/>
    <n v="2013"/>
    <n v="1488"/>
    <n v="2018"/>
    <n v="3758"/>
    <n v="2022"/>
    <x v="0"/>
    <n v="3758"/>
    <n v="3758"/>
    <s v="Increasing"/>
    <n v="3.0374199904759536E-2"/>
    <n v="4.6424158096915802E-2"/>
    <n v="1085.9012596014577"/>
    <n v="1452.8886832901148"/>
    <n v="8.6467255975178965"/>
    <n v="7.7300528402099937"/>
    <n v="17.847936813174424"/>
  </r>
  <r>
    <x v="19"/>
    <x v="19"/>
    <n v="1652719.5"/>
    <x v="2"/>
    <n v="0"/>
    <n v="1697752.4999999995"/>
    <n v="306"/>
    <m/>
    <n v="0"/>
    <m/>
    <n v="0"/>
    <m/>
    <n v="250"/>
    <m/>
    <n v="0"/>
    <n v="1924954.4999999988"/>
    <n v="0"/>
    <n v="157"/>
    <m/>
    <n v="0"/>
    <m/>
    <n v="370"/>
    <m/>
    <n v="426"/>
    <n v="2105565.4999999991"/>
    <n v="394"/>
    <n v="157"/>
    <n v="306"/>
    <n v="250"/>
    <n v="426"/>
    <n v="306"/>
    <n v="2013"/>
    <n v="157"/>
    <s v="2018 (triag)"/>
    <n v="394"/>
    <n v="2022"/>
    <x v="0"/>
    <n v="394"/>
    <n v="394"/>
    <s v="Increasing"/>
    <n v="3.0374199904759536E-2"/>
    <n v="4.6424158096915802E-2"/>
    <n v="134.87855835239625"/>
    <n v="180.46164816182596"/>
    <n v="1.8023828561583628"/>
    <n v="0.81560369348989858"/>
    <n v="1.871231267799554"/>
  </r>
  <r>
    <x v="19"/>
    <x v="19"/>
    <n v="1652720.5"/>
    <x v="3"/>
    <n v="0"/>
    <n v="1697752.4999999995"/>
    <n v="0"/>
    <m/>
    <n v="74"/>
    <m/>
    <n v="1539"/>
    <m/>
    <n v="0"/>
    <m/>
    <n v="0"/>
    <n v="1924954.4999999988"/>
    <n v="0"/>
    <n v="82"/>
    <m/>
    <n v="0"/>
    <m/>
    <n v="0"/>
    <m/>
    <n v="0"/>
    <n v="2105565.4999999991"/>
    <n v="0"/>
    <n v="82"/>
    <n v="1539"/>
    <n v="0"/>
    <n v="0"/>
    <n v="74"/>
    <n v="2014"/>
    <n v="82"/>
    <s v="2018 (triag)"/>
    <n v="82"/>
    <s v="2018 (triag)"/>
    <x v="0"/>
    <n v="82"/>
    <n v="82"/>
    <s v="No change"/>
    <n v="3.0374199904759536E-2"/>
    <n v="4.6424158096915802E-2"/>
    <n v="70.446126018448993"/>
    <n v="94.253854453947326"/>
    <n v="0.43587036390757794"/>
    <n v="0.42598409468899162"/>
    <n v="0.38944407096335892"/>
  </r>
  <r>
    <x v="19"/>
    <x v="19"/>
    <n v="1652721.5"/>
    <x v="4"/>
    <n v="0"/>
    <n v="1697752.4999999995"/>
    <n v="0"/>
    <m/>
    <n v="0"/>
    <m/>
    <n v="46"/>
    <m/>
    <n v="0"/>
    <m/>
    <n v="0"/>
    <n v="1924954.4999999988"/>
    <n v="0"/>
    <n v="16"/>
    <m/>
    <n v="0"/>
    <m/>
    <n v="0"/>
    <m/>
    <n v="0"/>
    <n v="2105565.4999999991"/>
    <n v="53"/>
    <n v="16"/>
    <n v="46"/>
    <n v="0"/>
    <n v="53"/>
    <n v="46"/>
    <n v="2015"/>
    <n v="16"/>
    <s v="2018 (triag)"/>
    <n v="53"/>
    <n v="2022"/>
    <x v="0"/>
    <n v="53"/>
    <n v="53"/>
    <s v="Increasing"/>
    <n v="3.0374199904759536E-2"/>
    <n v="4.6424158096915802E-2"/>
    <n v="13.745585564575414"/>
    <n v="18.390995991014112"/>
    <n v="0.27094644242903493"/>
    <n v="8.311884774419348E-2"/>
    <n v="0.25171385074461006"/>
  </r>
  <r>
    <x v="19"/>
    <x v="19"/>
    <n v="1652722.5"/>
    <x v="5"/>
    <n v="0"/>
    <n v="1697752.4999999995"/>
    <n v="0"/>
    <m/>
    <n v="0"/>
    <m/>
    <n v="0"/>
    <m/>
    <n v="0"/>
    <m/>
    <n v="0"/>
    <n v="1924954.4999999988"/>
    <n v="3481"/>
    <n v="4057"/>
    <m/>
    <n v="0"/>
    <m/>
    <n v="3711"/>
    <m/>
    <n v="0"/>
    <n v="2105565.4999999991"/>
    <n v="3975"/>
    <n v="4057"/>
    <n v="0"/>
    <n v="3481"/>
    <n v="3975"/>
    <n v="0"/>
    <s v=""/>
    <n v="4057"/>
    <s v="2018 (triag)"/>
    <n v="3975"/>
    <n v="2022"/>
    <x v="1"/>
    <n v="4817.861216730038"/>
    <n v="4817.861216730038"/>
    <s v="Increasing"/>
    <n v="3.0374199904759536E-2"/>
    <n v="4.6424158096915802E-2"/>
    <n v="3485.3650397176534"/>
    <n v="4663.2669209715159"/>
    <n v="0"/>
    <n v="21.07582283113706"/>
    <n v="22.881554702193021"/>
  </r>
  <r>
    <x v="19"/>
    <x v="19"/>
    <n v="1652723.5"/>
    <x v="6"/>
    <n v="0"/>
    <n v="1697752.4999999995"/>
    <n v="0"/>
    <m/>
    <n v="0"/>
    <m/>
    <n v="496"/>
    <m/>
    <n v="0"/>
    <m/>
    <n v="0"/>
    <n v="1924954.4999999988"/>
    <n v="0"/>
    <n v="0"/>
    <m/>
    <n v="0"/>
    <m/>
    <n v="0"/>
    <m/>
    <n v="0"/>
    <n v="2105565.4999999991"/>
    <n v="0"/>
    <n v="0"/>
    <n v="496"/>
    <n v="0"/>
    <n v="0"/>
    <n v="496"/>
    <n v="2015"/>
    <n v="0"/>
    <s v=""/>
    <n v="0"/>
    <s v=""/>
    <x v="0"/>
    <n v="0"/>
    <n v="0"/>
    <s v="No change"/>
    <n v="3.0374199904759536E-2"/>
    <n v="4.6424158096915802E-2"/>
    <n v="0"/>
    <n v="0"/>
    <n v="2.921509466191333"/>
    <n v="0"/>
    <n v="0"/>
  </r>
  <r>
    <x v="19"/>
    <x v="19"/>
    <n v="1652724.5"/>
    <x v="7"/>
    <n v="0"/>
    <n v="1697752.4999999995"/>
    <n v="0"/>
    <m/>
    <n v="0"/>
    <m/>
    <n v="0"/>
    <m/>
    <n v="0"/>
    <m/>
    <n v="0"/>
    <n v="1924954.4999999988"/>
    <n v="0"/>
    <n v="3"/>
    <m/>
    <n v="0"/>
    <m/>
    <n v="0"/>
    <m/>
    <n v="0"/>
    <n v="2105565.4999999991"/>
    <n v="0"/>
    <n v="3"/>
    <n v="0"/>
    <n v="0"/>
    <n v="0"/>
    <n v="0"/>
    <s v=""/>
    <n v="3"/>
    <s v="2018 (triag)"/>
    <n v="3"/>
    <s v="2018 (triag)"/>
    <x v="0"/>
    <n v="3"/>
    <n v="3"/>
    <s v="No change"/>
    <n v="3.0374199904759536E-2"/>
    <n v="4.6424158096915802E-2"/>
    <n v="2.5772972933578902"/>
    <n v="3.4483117483151462"/>
    <n v="0"/>
    <n v="1.5584783952036278E-2"/>
    <n v="1.4247953815732644E-2"/>
  </r>
  <r>
    <x v="19"/>
    <x v="19"/>
    <n v="1652725.5"/>
    <x v="8"/>
    <n v="0"/>
    <n v="1697752.4999999995"/>
    <n v="0"/>
    <m/>
    <n v="0"/>
    <m/>
    <n v="0"/>
    <m/>
    <n v="0"/>
    <m/>
    <n v="0"/>
    <n v="1924954.4999999988"/>
    <n v="0"/>
    <n v="0"/>
    <m/>
    <n v="0"/>
    <m/>
    <n v="0"/>
    <m/>
    <n v="0"/>
    <n v="2105565.4999999991"/>
    <n v="0"/>
    <n v="0"/>
    <n v="0"/>
    <n v="0"/>
    <n v="0"/>
    <n v="0"/>
    <s v=""/>
    <n v="0"/>
    <s v=""/>
    <n v="0"/>
    <s v=""/>
    <x v="0"/>
    <n v="0"/>
    <n v="0"/>
    <s v="No change"/>
    <n v="3.0374199904759536E-2"/>
    <n v="4.6424158096915802E-2"/>
    <n v="0"/>
    <n v="0"/>
    <n v="0"/>
    <n v="0"/>
    <n v="0"/>
  </r>
  <r>
    <x v="19"/>
    <x v="19"/>
    <n v="1652726.5"/>
    <x v="9"/>
    <n v="0"/>
    <n v="1697752.4999999995"/>
    <n v="0"/>
    <m/>
    <n v="0"/>
    <m/>
    <n v="0"/>
    <m/>
    <n v="0"/>
    <m/>
    <n v="0"/>
    <n v="1924954.4999999988"/>
    <n v="0"/>
    <n v="130"/>
    <m/>
    <n v="0"/>
    <m/>
    <n v="0"/>
    <m/>
    <n v="0"/>
    <n v="2105565.4999999991"/>
    <n v="0"/>
    <n v="130"/>
    <n v="0"/>
    <n v="0"/>
    <n v="0"/>
    <n v="0"/>
    <s v=""/>
    <n v="130"/>
    <s v="2018 (triag)"/>
    <n v="130"/>
    <s v="2018 (triag)"/>
    <x v="0"/>
    <n v="130"/>
    <n v="130"/>
    <s v="No change"/>
    <n v="3.0374199904759536E-2"/>
    <n v="4.6424158096915802E-2"/>
    <n v="111.68288271217524"/>
    <n v="149.42684242698965"/>
    <n v="0"/>
    <n v="0.67534063792157206"/>
    <n v="0.61741133201508125"/>
  </r>
  <r>
    <x v="19"/>
    <x v="19"/>
    <n v="1652727.5"/>
    <x v="10"/>
    <n v="0"/>
    <n v="1697752.4999999995"/>
    <n v="0"/>
    <m/>
    <n v="0"/>
    <m/>
    <n v="0"/>
    <m/>
    <n v="4"/>
    <m/>
    <n v="0"/>
    <n v="1924954.4999999988"/>
    <n v="0"/>
    <n v="5"/>
    <m/>
    <n v="0"/>
    <m/>
    <n v="8"/>
    <m/>
    <n v="3"/>
    <n v="2105565.4999999991"/>
    <n v="2"/>
    <n v="5"/>
    <n v="0"/>
    <n v="4"/>
    <n v="8"/>
    <n v="0"/>
    <s v=""/>
    <n v="5"/>
    <s v="2018 (triag)"/>
    <n v="2"/>
    <n v="2022"/>
    <x v="1"/>
    <n v="2.4240811153358681"/>
    <n v="5"/>
    <s v="Decreasing"/>
    <n v="3.0374199904759536E-2"/>
    <n v="4.6424158096915802E-2"/>
    <n v="4.2954954889298174"/>
    <n v="5.7471862471919097"/>
    <n v="0"/>
    <n v="2.5974639920060463E-2"/>
    <n v="2.3746589692887742E-2"/>
  </r>
  <r>
    <x v="19"/>
    <x v="19"/>
    <n v="1652728.5"/>
    <x v="11"/>
    <n v="0"/>
    <n v="1697752.4999999995"/>
    <n v="0"/>
    <m/>
    <n v="0"/>
    <m/>
    <n v="0"/>
    <m/>
    <n v="158"/>
    <m/>
    <n v="0"/>
    <n v="1924954.4999999988"/>
    <n v="53"/>
    <n v="53"/>
    <m/>
    <n v="0"/>
    <m/>
    <n v="285"/>
    <m/>
    <n v="200"/>
    <n v="2105565.4999999991"/>
    <n v="1"/>
    <n v="0"/>
    <n v="0"/>
    <n v="158"/>
    <n v="285"/>
    <n v="0"/>
    <s v=""/>
    <n v="53"/>
    <n v="2018"/>
    <n v="1"/>
    <n v="2022"/>
    <x v="1"/>
    <n v="1.2120405576679341"/>
    <n v="53"/>
    <s v="Decreasing"/>
    <n v="3.0374199904759536E-2"/>
    <n v="4.6424158096915802E-2"/>
    <n v="0"/>
    <n v="0"/>
    <n v="0"/>
    <n v="0.27533118315264093"/>
    <n v="0.25171385074461006"/>
  </r>
  <r>
    <x v="19"/>
    <x v="19"/>
    <n v="1652729.5"/>
    <x v="12"/>
    <n v="0"/>
    <n v="1697752.4999999995"/>
    <n v="0"/>
    <m/>
    <n v="0"/>
    <m/>
    <n v="0"/>
    <m/>
    <n v="0"/>
    <m/>
    <n v="0"/>
    <n v="1924954.4999999988"/>
    <n v="0"/>
    <n v="0"/>
    <m/>
    <n v="0"/>
    <m/>
    <n v="0"/>
    <m/>
    <n v="0"/>
    <n v="2105565.4999999991"/>
    <n v="0"/>
    <n v="0"/>
    <n v="0"/>
    <n v="0"/>
    <n v="0"/>
    <n v="0"/>
    <s v=""/>
    <n v="0"/>
    <s v=""/>
    <n v="0"/>
    <s v=""/>
    <x v="0"/>
    <n v="0"/>
    <n v="0"/>
    <s v="No change"/>
    <n v="3.0374199904759536E-2"/>
    <n v="4.6424158096915802E-2"/>
    <n v="0"/>
    <n v="0"/>
    <n v="0"/>
    <n v="0"/>
    <n v="0"/>
  </r>
  <r>
    <x v="19"/>
    <x v="19"/>
    <n v="1652730.5"/>
    <x v="13"/>
    <n v="0"/>
    <n v="1697752.4999999995"/>
    <n v="0"/>
    <m/>
    <n v="0"/>
    <m/>
    <n v="0"/>
    <m/>
    <n v="0"/>
    <m/>
    <n v="0"/>
    <n v="1924954.4999999988"/>
    <n v="17"/>
    <n v="17"/>
    <m/>
    <n v="0"/>
    <m/>
    <n v="3"/>
    <m/>
    <n v="2"/>
    <n v="2105565.4999999991"/>
    <n v="51"/>
    <n v="12"/>
    <n v="0"/>
    <n v="17"/>
    <n v="51"/>
    <n v="0"/>
    <s v=""/>
    <n v="17"/>
    <n v="2018"/>
    <n v="51"/>
    <n v="2022"/>
    <x v="0"/>
    <n v="51"/>
    <n v="51"/>
    <s v="Increasing"/>
    <n v="3.0374199904759536E-2"/>
    <n v="4.6424158096915802E-2"/>
    <n v="10.309189173431561"/>
    <n v="13.793246993260585"/>
    <n v="0"/>
    <n v="8.8313775728205576E-2"/>
    <n v="0.24221521486745495"/>
  </r>
  <r>
    <x v="19"/>
    <x v="19"/>
    <n v="1652731.5"/>
    <x v="14"/>
    <n v="0"/>
    <n v="1697752.4999999995"/>
    <n v="0"/>
    <m/>
    <n v="0"/>
    <m/>
    <n v="0"/>
    <m/>
    <n v="0"/>
    <m/>
    <n v="0"/>
    <n v="1924954.4999999988"/>
    <n v="1"/>
    <n v="24"/>
    <m/>
    <n v="0"/>
    <m/>
    <n v="0"/>
    <m/>
    <n v="0"/>
    <n v="2105565.4999999991"/>
    <n v="0"/>
    <n v="24"/>
    <n v="0"/>
    <n v="1"/>
    <n v="0"/>
    <n v="0"/>
    <s v=""/>
    <n v="24"/>
    <s v="2018 (triag)"/>
    <n v="24"/>
    <s v="2018 (triag)"/>
    <x v="0"/>
    <n v="24"/>
    <n v="24"/>
    <s v="No change"/>
    <n v="3.0374199904759536E-2"/>
    <n v="4.6424158096915802E-2"/>
    <n v="20.618378346863121"/>
    <n v="27.58649398652117"/>
    <n v="0"/>
    <n v="0.12467827161629022"/>
    <n v="0.11398363052586115"/>
  </r>
  <r>
    <x v="19"/>
    <x v="19"/>
    <n v="1652732.5"/>
    <x v="15"/>
    <n v="0"/>
    <n v="1697752.4999999995"/>
    <n v="0"/>
    <m/>
    <n v="0"/>
    <m/>
    <n v="0"/>
    <m/>
    <n v="0"/>
    <m/>
    <n v="0"/>
    <n v="1924954.4999999988"/>
    <n v="1"/>
    <n v="16"/>
    <m/>
    <n v="0"/>
    <m/>
    <n v="9"/>
    <m/>
    <n v="10"/>
    <n v="2105565.4999999991"/>
    <n v="0"/>
    <n v="16"/>
    <n v="0"/>
    <n v="1"/>
    <n v="10"/>
    <n v="0"/>
    <s v=""/>
    <n v="16"/>
    <s v="2018 (triag)"/>
    <n v="10"/>
    <n v="2021"/>
    <x v="1"/>
    <n v="12.120405576679341"/>
    <n v="16"/>
    <s v="Decreasing"/>
    <n v="3.0374199904759536E-2"/>
    <n v="4.6424158096915802E-2"/>
    <n v="13.745585564575414"/>
    <n v="18.390995991014112"/>
    <n v="0"/>
    <n v="8.311884774419348E-2"/>
    <n v="7.5989087017240775E-2"/>
  </r>
  <r>
    <x v="19"/>
    <x v="19"/>
    <n v="1652733.5"/>
    <x v="16"/>
    <n v="0"/>
    <n v="1697752.4999999995"/>
    <n v="0"/>
    <m/>
    <n v="0"/>
    <m/>
    <n v="0"/>
    <m/>
    <n v="0"/>
    <m/>
    <n v="0"/>
    <n v="1924954.4999999988"/>
    <n v="0"/>
    <n v="481"/>
    <m/>
    <n v="0"/>
    <m/>
    <n v="149"/>
    <m/>
    <n v="0"/>
    <n v="2105565.4999999991"/>
    <n v="10"/>
    <n v="481"/>
    <n v="0"/>
    <n v="0"/>
    <n v="149"/>
    <n v="0"/>
    <s v=""/>
    <n v="481"/>
    <s v="2018 (triag)"/>
    <n v="10"/>
    <n v="2022"/>
    <x v="1"/>
    <n v="12.120405576679341"/>
    <n v="481"/>
    <s v="Decreasing"/>
    <n v="3.0374199904759536E-2"/>
    <n v="4.6424158096915802E-2"/>
    <n v="413.22666603504837"/>
    <n v="552.87931697986176"/>
    <n v="0"/>
    <n v="2.4987603603098165"/>
    <n v="2.2844219284558007"/>
  </r>
  <r>
    <x v="19"/>
    <x v="19"/>
    <n v="1652734.5"/>
    <x v="17"/>
    <n v="0"/>
    <n v="1697752.4999999995"/>
    <n v="0"/>
    <m/>
    <n v="0"/>
    <m/>
    <n v="0"/>
    <m/>
    <n v="0"/>
    <m/>
    <n v="0"/>
    <n v="1924954.4999999988"/>
    <n v="0"/>
    <n v="69"/>
    <m/>
    <n v="0"/>
    <m/>
    <n v="115"/>
    <m/>
    <n v="86"/>
    <n v="2105565.4999999991"/>
    <n v="64"/>
    <n v="69"/>
    <n v="0"/>
    <n v="0"/>
    <n v="115"/>
    <n v="0"/>
    <s v=""/>
    <n v="69"/>
    <s v="2018 (triag)"/>
    <n v="64"/>
    <n v="2022"/>
    <x v="1"/>
    <n v="77.57059569074778"/>
    <n v="77.57059569074778"/>
    <s v="Increasing"/>
    <n v="3.0374199904759536E-2"/>
    <n v="4.6424158096915802E-2"/>
    <n v="59.277837747231473"/>
    <n v="79.311170211248353"/>
    <n v="0"/>
    <n v="0.35845003089683442"/>
    <n v="0.36840742162021467"/>
  </r>
  <r>
    <x v="19"/>
    <x v="19"/>
    <n v="1652735.5"/>
    <x v="18"/>
    <n v="0"/>
    <n v="1697752.4999999995"/>
    <n v="0"/>
    <m/>
    <n v="0"/>
    <m/>
    <n v="0"/>
    <m/>
    <n v="16"/>
    <m/>
    <n v="0"/>
    <n v="1924954.4999999988"/>
    <n v="0"/>
    <n v="172"/>
    <m/>
    <n v="0"/>
    <m/>
    <n v="1"/>
    <m/>
    <n v="1"/>
    <n v="2105565.4999999991"/>
    <n v="197"/>
    <n v="172"/>
    <n v="0"/>
    <n v="16"/>
    <n v="197"/>
    <n v="0"/>
    <s v=""/>
    <n v="172"/>
    <s v="2018 (triag)"/>
    <n v="197"/>
    <n v="2022"/>
    <x v="0"/>
    <n v="197"/>
    <n v="197"/>
    <s v="Increasing"/>
    <n v="3.0374199904759536E-2"/>
    <n v="4.6424158096915802E-2"/>
    <n v="147.7650448191857"/>
    <n v="197.70320690340171"/>
    <n v="0"/>
    <n v="0.89352761325008001"/>
    <n v="0.93561563389977698"/>
  </r>
  <r>
    <x v="19"/>
    <x v="19"/>
    <n v="1652736.5"/>
    <x v="19"/>
    <n v="0"/>
    <n v="1697752.4999999995"/>
    <n v="0"/>
    <m/>
    <n v="0"/>
    <m/>
    <n v="0"/>
    <m/>
    <n v="11"/>
    <m/>
    <n v="0"/>
    <n v="1924954.4999999988"/>
    <n v="0"/>
    <n v="8"/>
    <m/>
    <n v="0"/>
    <m/>
    <n v="2"/>
    <m/>
    <n v="0"/>
    <n v="2105565.4999999991"/>
    <n v="0"/>
    <n v="8"/>
    <n v="0"/>
    <n v="11"/>
    <n v="2"/>
    <n v="0"/>
    <s v=""/>
    <n v="8"/>
    <s v="2018 (triag)"/>
    <n v="2"/>
    <n v="2020"/>
    <x v="1"/>
    <n v="2.4240811153358681"/>
    <n v="8"/>
    <s v="Decreasing"/>
    <n v="3.0374199904759536E-2"/>
    <n v="4.6424158096915802E-2"/>
    <n v="6.8727927822877071"/>
    <n v="9.1954979955070559"/>
    <n v="0"/>
    <n v="4.155942387209674E-2"/>
    <n v="3.7994543508620388E-2"/>
  </r>
  <r>
    <x v="19"/>
    <x v="19"/>
    <n v="1652737.5"/>
    <x v="20"/>
    <n v="0"/>
    <n v="1697752.4999999995"/>
    <n v="0"/>
    <m/>
    <n v="0"/>
    <m/>
    <n v="0"/>
    <m/>
    <n v="0"/>
    <m/>
    <n v="0"/>
    <n v="1924954.4999999988"/>
    <n v="15"/>
    <n v="15"/>
    <m/>
    <n v="0"/>
    <m/>
    <n v="4"/>
    <m/>
    <n v="6"/>
    <n v="2105565.4999999991"/>
    <n v="5"/>
    <n v="13"/>
    <n v="0"/>
    <n v="15"/>
    <n v="6"/>
    <n v="0"/>
    <s v=""/>
    <n v="15"/>
    <n v="2018"/>
    <n v="5"/>
    <n v="2022"/>
    <x v="1"/>
    <n v="6.0602027883396703"/>
    <n v="15"/>
    <s v="Decreasing"/>
    <n v="3.0374199904759536E-2"/>
    <n v="4.6424158096915802E-2"/>
    <n v="11.168288271217524"/>
    <n v="14.942684242698967"/>
    <n v="0"/>
    <n v="7.7923919760181398E-2"/>
    <n v="7.1239769078663223E-2"/>
  </r>
  <r>
    <x v="19"/>
    <x v="19"/>
    <n v="1652738.5"/>
    <x v="21"/>
    <n v="0"/>
    <n v="1697752.4999999995"/>
    <n v="0"/>
    <m/>
    <n v="0"/>
    <m/>
    <n v="0"/>
    <m/>
    <n v="0"/>
    <m/>
    <n v="0"/>
    <n v="1924954.4999999988"/>
    <n v="53"/>
    <n v="53"/>
    <m/>
    <n v="0"/>
    <m/>
    <n v="61"/>
    <m/>
    <n v="16"/>
    <n v="2105565.4999999991"/>
    <n v="68"/>
    <n v="0"/>
    <n v="0"/>
    <n v="53"/>
    <n v="68"/>
    <n v="0"/>
    <s v=""/>
    <n v="53"/>
    <n v="2018"/>
    <n v="68"/>
    <n v="2022"/>
    <x v="0"/>
    <n v="68"/>
    <n v="68"/>
    <s v="Increasing"/>
    <n v="3.0374199904759536E-2"/>
    <n v="4.6424158096915802E-2"/>
    <n v="0"/>
    <n v="0"/>
    <n v="0"/>
    <n v="0.27533118315264093"/>
    <n v="0.32295361982327325"/>
  </r>
  <r>
    <x v="19"/>
    <x v="19"/>
    <n v="1652739.5"/>
    <x v="22"/>
    <n v="0"/>
    <n v="1697752.4999999995"/>
    <n v="0"/>
    <m/>
    <n v="0"/>
    <m/>
    <n v="0"/>
    <m/>
    <n v="0"/>
    <m/>
    <n v="0"/>
    <n v="1924954.4999999988"/>
    <n v="0"/>
    <n v="0"/>
    <m/>
    <n v="0"/>
    <m/>
    <n v="0"/>
    <m/>
    <n v="0"/>
    <n v="2105565.4999999991"/>
    <n v="0"/>
    <n v="0"/>
    <n v="0"/>
    <n v="0"/>
    <n v="0"/>
    <n v="0"/>
    <s v=""/>
    <n v="0"/>
    <s v=""/>
    <n v="0"/>
    <s v=""/>
    <x v="0"/>
    <n v="0"/>
    <n v="0"/>
    <s v="No change"/>
    <n v="3.0374199904759536E-2"/>
    <n v="4.6424158096915802E-2"/>
    <n v="0"/>
    <n v="0"/>
    <n v="0"/>
    <n v="0"/>
    <n v="0"/>
  </r>
  <r>
    <x v="19"/>
    <x v="19"/>
    <n v="1652740.5"/>
    <x v="23"/>
    <n v="0"/>
    <n v="1697752.4999999995"/>
    <n v="0"/>
    <m/>
    <n v="0"/>
    <m/>
    <n v="0"/>
    <m/>
    <n v="0"/>
    <m/>
    <n v="0"/>
    <n v="1924954.4999999988"/>
    <n v="0"/>
    <n v="1063"/>
    <m/>
    <n v="0"/>
    <m/>
    <n v="0"/>
    <m/>
    <n v="0"/>
    <n v="2105565.4999999991"/>
    <n v="0"/>
    <n v="1063"/>
    <n v="0"/>
    <n v="0"/>
    <n v="0"/>
    <n v="0"/>
    <s v=""/>
    <n v="1063"/>
    <s v="2018 (triag)"/>
    <n v="1063"/>
    <s v="2018 (triag)"/>
    <x v="0"/>
    <n v="1063"/>
    <n v="1063"/>
    <s v="No change"/>
    <n v="3.0374199904759536E-2"/>
    <n v="4.6424158096915802E-2"/>
    <n v="913.22234094647911"/>
    <n v="1221.8517961530001"/>
    <n v="0"/>
    <n v="5.5222084470048545"/>
    <n v="5.0485249687079339"/>
  </r>
  <r>
    <x v="20"/>
    <x v="20"/>
    <n v="1193635.4999999998"/>
    <x v="0"/>
    <n v="0"/>
    <n v="1243941.0000000002"/>
    <n v="0"/>
    <n v="1295183.0000000005"/>
    <n v="0"/>
    <n v="1346973.0000000005"/>
    <n v="0"/>
    <n v="1398926.5"/>
    <n v="0"/>
    <n v="1450694.0000000005"/>
    <n v="1014"/>
    <n v="1502091.5000000002"/>
    <n v="0"/>
    <n v="246"/>
    <n v="1553030.5000000002"/>
    <n v="0"/>
    <n v="1596048.5000000009"/>
    <n v="0"/>
    <n v="1634465.5000000002"/>
    <n v="0"/>
    <n v="1674908"/>
    <n v="478"/>
    <n v="246"/>
    <n v="0"/>
    <n v="1014"/>
    <n v="478"/>
    <n v="0"/>
    <s v=""/>
    <n v="246"/>
    <s v="2018 (triag)"/>
    <n v="478"/>
    <n v="2022"/>
    <x v="0"/>
    <n v="478"/>
    <n v="478"/>
    <s v="Increasing"/>
    <n v="8.5981075235392446E-2"/>
    <n v="0.24963048725605397"/>
    <n v="160.04038021810092"/>
    <n v="520.20501718983803"/>
    <n v="0"/>
    <n v="1.637716477325116"/>
    <n v="2.8538880941520368"/>
  </r>
  <r>
    <x v="20"/>
    <x v="20"/>
    <n v="1193636.5"/>
    <x v="1"/>
    <n v="0"/>
    <n v="1243941.0000000002"/>
    <n v="0"/>
    <m/>
    <n v="0"/>
    <m/>
    <n v="0"/>
    <m/>
    <n v="0"/>
    <m/>
    <n v="1268"/>
    <n v="1502091.5000000002"/>
    <n v="0"/>
    <n v="355"/>
    <m/>
    <n v="0"/>
    <m/>
    <n v="0"/>
    <m/>
    <n v="0"/>
    <n v="1674908"/>
    <n v="2750"/>
    <n v="355"/>
    <n v="0"/>
    <n v="1268"/>
    <n v="2750"/>
    <n v="0"/>
    <s v=""/>
    <n v="355"/>
    <s v="2018 (triag)"/>
    <n v="2750"/>
    <n v="2022"/>
    <x v="0"/>
    <n v="2750"/>
    <n v="2750"/>
    <s v="Increasing"/>
    <n v="8.5981075235392446E-2"/>
    <n v="0.24963048725605397"/>
    <n v="230.95258120904808"/>
    <n v="750.70236220484753"/>
    <n v="0"/>
    <n v="2.3633713392293343"/>
    <n v="16.41881225715084"/>
  </r>
  <r>
    <x v="20"/>
    <x v="20"/>
    <n v="1193637.5"/>
    <x v="2"/>
    <n v="0"/>
    <n v="1243941.0000000002"/>
    <n v="0"/>
    <m/>
    <n v="0"/>
    <m/>
    <n v="0"/>
    <m/>
    <n v="0"/>
    <m/>
    <n v="0"/>
    <n v="1502091.5000000002"/>
    <n v="0"/>
    <n v="51"/>
    <m/>
    <n v="0"/>
    <m/>
    <n v="0"/>
    <m/>
    <n v="0"/>
    <n v="1674908"/>
    <n v="46"/>
    <n v="51"/>
    <n v="0"/>
    <n v="0"/>
    <n v="46"/>
    <n v="0"/>
    <s v=""/>
    <n v="51"/>
    <s v="2018 (triag)"/>
    <n v="46"/>
    <n v="2022"/>
    <x v="1"/>
    <n v="52.867737638739101"/>
    <n v="52.867737638739101"/>
    <s v="Increasing"/>
    <n v="8.5981075235392446E-2"/>
    <n v="0.24963048725605397"/>
    <n v="33.179103215947755"/>
    <n v="107.84738161252739"/>
    <n v="0"/>
    <n v="0.33952658676252406"/>
    <n v="0.31564562136391433"/>
  </r>
  <r>
    <x v="20"/>
    <x v="20"/>
    <n v="1193638.5"/>
    <x v="3"/>
    <n v="918"/>
    <n v="1243941.0000000002"/>
    <n v="255"/>
    <m/>
    <n v="29"/>
    <m/>
    <n v="2295"/>
    <m/>
    <n v="93"/>
    <m/>
    <n v="27"/>
    <n v="1502091.5000000002"/>
    <n v="621"/>
    <n v="621"/>
    <m/>
    <n v="182"/>
    <m/>
    <n v="748"/>
    <m/>
    <n v="2192"/>
    <n v="1674908"/>
    <n v="690"/>
    <n v="10"/>
    <n v="2295"/>
    <n v="621"/>
    <n v="2192"/>
    <n v="255"/>
    <n v="2013"/>
    <n v="621"/>
    <n v="2018"/>
    <n v="690"/>
    <n v="2022"/>
    <x v="0"/>
    <n v="690"/>
    <n v="690"/>
    <s v="Increasing"/>
    <n v="8.5981075235392446E-2"/>
    <n v="0.24963048725605397"/>
    <n v="6.5057065129309315"/>
    <n v="21.146545414221055"/>
    <n v="2.0499364519699887"/>
    <n v="4.1342354976377926"/>
    <n v="4.1196292572487563"/>
  </r>
  <r>
    <x v="20"/>
    <x v="20"/>
    <n v="1193639.5"/>
    <x v="4"/>
    <n v="713"/>
    <n v="1243941.0000000002"/>
    <n v="73"/>
    <m/>
    <n v="8"/>
    <m/>
    <n v="841"/>
    <m/>
    <n v="3"/>
    <m/>
    <n v="225"/>
    <n v="1502091.5000000002"/>
    <n v="112"/>
    <n v="112"/>
    <m/>
    <n v="83"/>
    <m/>
    <n v="466"/>
    <m/>
    <n v="294"/>
    <n v="1674908"/>
    <n v="128"/>
    <n v="0"/>
    <n v="841"/>
    <n v="225"/>
    <n v="466"/>
    <n v="73"/>
    <n v="2013"/>
    <n v="112"/>
    <n v="2018"/>
    <n v="128"/>
    <n v="2022"/>
    <x v="0"/>
    <n v="128"/>
    <n v="128"/>
    <s v="Increasing"/>
    <n v="8.5981075235392446E-2"/>
    <n v="0.24963048725605397"/>
    <n v="0"/>
    <n v="0"/>
    <n v="0.58684455291689863"/>
    <n v="0.7456270140667195"/>
    <n v="0.7642210796055664"/>
  </r>
  <r>
    <x v="20"/>
    <x v="20"/>
    <n v="1193640.5"/>
    <x v="5"/>
    <n v="0"/>
    <n v="1243941.0000000002"/>
    <n v="0"/>
    <m/>
    <n v="0"/>
    <m/>
    <n v="0"/>
    <m/>
    <n v="0"/>
    <m/>
    <n v="0"/>
    <n v="1502091.5000000002"/>
    <n v="0"/>
    <n v="0"/>
    <m/>
    <n v="0"/>
    <m/>
    <n v="0"/>
    <m/>
    <n v="0"/>
    <n v="1674908"/>
    <n v="146"/>
    <n v="0"/>
    <n v="0"/>
    <n v="0"/>
    <n v="146"/>
    <n v="0"/>
    <s v=""/>
    <n v="0"/>
    <s v=""/>
    <n v="146"/>
    <n v="2022"/>
    <x v="0"/>
    <n v="146"/>
    <n v="146"/>
    <s v="Increasing"/>
    <n v="8.5981075235392446E-2"/>
    <n v="0.24963048725605397"/>
    <n v="0"/>
    <n v="0"/>
    <n v="0"/>
    <n v="0"/>
    <n v="0.87168966892509914"/>
  </r>
  <r>
    <x v="20"/>
    <x v="20"/>
    <n v="1193641.5"/>
    <x v="6"/>
    <n v="0"/>
    <n v="1243941.0000000002"/>
    <n v="0"/>
    <m/>
    <n v="5"/>
    <m/>
    <n v="1147"/>
    <m/>
    <n v="0"/>
    <m/>
    <n v="0"/>
    <n v="1502091.5000000002"/>
    <n v="0"/>
    <n v="0"/>
    <m/>
    <n v="6"/>
    <m/>
    <n v="0"/>
    <m/>
    <n v="620"/>
    <n v="1674908"/>
    <n v="25"/>
    <n v="0"/>
    <n v="1147"/>
    <n v="6"/>
    <n v="620"/>
    <n v="5"/>
    <n v="2014"/>
    <n v="6"/>
    <n v="2019"/>
    <n v="25"/>
    <n v="2022"/>
    <x v="0"/>
    <n v="25"/>
    <n v="25"/>
    <s v="Increasing"/>
    <n v="8.5981075235392446E-2"/>
    <n v="0.24963048725605397"/>
    <n v="0"/>
    <n v="0"/>
    <n v="4.0194832391568402E-2"/>
    <n v="3.994430432500283E-2"/>
    <n v="0.1492619296104622"/>
  </r>
  <r>
    <x v="20"/>
    <x v="20"/>
    <n v="1193642.5"/>
    <x v="7"/>
    <n v="0"/>
    <n v="1243941.0000000002"/>
    <n v="0"/>
    <m/>
    <n v="1"/>
    <m/>
    <n v="5310"/>
    <m/>
    <n v="0"/>
    <m/>
    <n v="0"/>
    <n v="1502091.5000000002"/>
    <n v="0"/>
    <n v="0"/>
    <m/>
    <n v="0"/>
    <m/>
    <n v="0"/>
    <m/>
    <n v="0"/>
    <n v="1674908"/>
    <n v="134"/>
    <n v="0"/>
    <n v="5310"/>
    <n v="0"/>
    <n v="134"/>
    <n v="1"/>
    <n v="2014"/>
    <n v="0"/>
    <s v=""/>
    <n v="134"/>
    <n v="2022"/>
    <x v="0"/>
    <n v="134"/>
    <n v="134"/>
    <s v="Increasing"/>
    <n v="8.5981075235392446E-2"/>
    <n v="0.24963048725605397"/>
    <n v="0"/>
    <n v="0"/>
    <n v="8.0389664783136802E-3"/>
    <n v="0"/>
    <n v="0.80004394271207735"/>
  </r>
  <r>
    <x v="20"/>
    <x v="20"/>
    <n v="1193643.5"/>
    <x v="8"/>
    <n v="0"/>
    <n v="1243941.0000000002"/>
    <n v="0"/>
    <m/>
    <n v="0"/>
    <m/>
    <n v="0"/>
    <m/>
    <n v="0"/>
    <m/>
    <n v="0"/>
    <n v="1502091.5000000002"/>
    <n v="0"/>
    <n v="1847"/>
    <m/>
    <n v="0"/>
    <m/>
    <n v="0"/>
    <m/>
    <n v="0"/>
    <n v="1674908"/>
    <n v="0"/>
    <n v="1847"/>
    <n v="0"/>
    <n v="0"/>
    <n v="0"/>
    <n v="0"/>
    <s v=""/>
    <n v="1847"/>
    <s v="2018 (triag)"/>
    <n v="1847"/>
    <s v="2018 (triag)"/>
    <x v="0"/>
    <n v="1847"/>
    <n v="1847"/>
    <s v="No change"/>
    <n v="8.5981075235392446E-2"/>
    <n v="0.24963048725605397"/>
    <n v="1201.603992938343"/>
    <n v="3905.7669380066291"/>
    <n v="0"/>
    <n v="12.296188348046705"/>
    <n v="11.027471359620947"/>
  </r>
  <r>
    <x v="20"/>
    <x v="20"/>
    <n v="1193644.5"/>
    <x v="9"/>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45.5"/>
    <x v="10"/>
    <n v="0"/>
    <n v="1243941.0000000002"/>
    <n v="0"/>
    <m/>
    <n v="0"/>
    <m/>
    <n v="0"/>
    <m/>
    <n v="0"/>
    <m/>
    <n v="0"/>
    <n v="1502091.5000000002"/>
    <n v="0"/>
    <n v="5"/>
    <m/>
    <n v="0"/>
    <m/>
    <n v="0"/>
    <m/>
    <n v="0"/>
    <n v="1674908"/>
    <n v="0"/>
    <n v="5"/>
    <n v="0"/>
    <n v="0"/>
    <n v="0"/>
    <n v="0"/>
    <s v=""/>
    <n v="5"/>
    <s v="2018 (triag)"/>
    <n v="5"/>
    <s v="2018 (triag)"/>
    <x v="0"/>
    <n v="5"/>
    <n v="5"/>
    <s v="No change"/>
    <n v="8.5981075235392446E-2"/>
    <n v="0.24963048725605397"/>
    <n v="3.2528532564654657"/>
    <n v="10.573272707110528"/>
    <n v="0"/>
    <n v="3.3286920270835692E-2"/>
    <n v="2.9852385922092436E-2"/>
  </r>
  <r>
    <x v="20"/>
    <x v="20"/>
    <n v="1193646.5"/>
    <x v="11"/>
    <n v="0"/>
    <n v="1243941.0000000002"/>
    <n v="0"/>
    <m/>
    <n v="0"/>
    <m/>
    <n v="0"/>
    <m/>
    <n v="0"/>
    <m/>
    <n v="0"/>
    <n v="1502091.5000000002"/>
    <n v="2"/>
    <n v="134"/>
    <m/>
    <n v="0"/>
    <m/>
    <n v="0"/>
    <m/>
    <n v="0"/>
    <n v="1674908"/>
    <n v="0"/>
    <n v="134"/>
    <n v="0"/>
    <n v="2"/>
    <n v="0"/>
    <n v="0"/>
    <s v=""/>
    <n v="134"/>
    <s v="2018 (triag)"/>
    <n v="134"/>
    <s v="2018 (triag)"/>
    <x v="0"/>
    <n v="134"/>
    <n v="134"/>
    <s v="No change"/>
    <n v="8.5981075235392446E-2"/>
    <n v="0.24963048725605397"/>
    <n v="87.176467273274483"/>
    <n v="283.36370855056214"/>
    <n v="0"/>
    <n v="0.89208946325839655"/>
    <n v="0.80004394271207735"/>
  </r>
  <r>
    <x v="20"/>
    <x v="20"/>
    <n v="1193647.5"/>
    <x v="12"/>
    <n v="0"/>
    <n v="1243941.0000000002"/>
    <n v="0"/>
    <m/>
    <n v="0"/>
    <m/>
    <n v="0"/>
    <m/>
    <n v="0"/>
    <m/>
    <n v="0"/>
    <n v="1502091.5000000002"/>
    <n v="0"/>
    <n v="0"/>
    <m/>
    <n v="0"/>
    <m/>
    <n v="0"/>
    <m/>
    <n v="0"/>
    <n v="1674908"/>
    <n v="282"/>
    <n v="0"/>
    <n v="0"/>
    <n v="0"/>
    <n v="282"/>
    <n v="0"/>
    <s v=""/>
    <n v="0"/>
    <s v=""/>
    <n v="282"/>
    <n v="2022"/>
    <x v="0"/>
    <n v="282"/>
    <n v="282"/>
    <s v="Increasing"/>
    <n v="8.5981075235392446E-2"/>
    <n v="0.24963048725605397"/>
    <n v="0"/>
    <n v="0"/>
    <n v="0"/>
    <n v="0"/>
    <n v="1.6836745660060135"/>
  </r>
  <r>
    <x v="20"/>
    <x v="20"/>
    <n v="1193648.5"/>
    <x v="13"/>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49.5"/>
    <x v="14"/>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50.5"/>
    <x v="15"/>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51.5"/>
    <x v="16"/>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52.5"/>
    <x v="17"/>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53.5"/>
    <x v="18"/>
    <n v="0"/>
    <n v="1243941.0000000002"/>
    <n v="0"/>
    <m/>
    <n v="0"/>
    <m/>
    <n v="0"/>
    <m/>
    <n v="0"/>
    <m/>
    <n v="0"/>
    <n v="1502091.5000000002"/>
    <n v="0"/>
    <n v="2"/>
    <m/>
    <n v="0"/>
    <m/>
    <n v="0"/>
    <m/>
    <n v="0"/>
    <n v="1674908"/>
    <n v="228"/>
    <n v="2"/>
    <n v="0"/>
    <n v="0"/>
    <n v="228"/>
    <n v="0"/>
    <s v=""/>
    <n v="2"/>
    <s v="2018 (triag)"/>
    <n v="228"/>
    <n v="2022"/>
    <x v="0"/>
    <n v="228"/>
    <n v="228"/>
    <s v="Increasing"/>
    <n v="8.5981075235392446E-2"/>
    <n v="0.24963048725605397"/>
    <n v="1.3011413025861864"/>
    <n v="4.2293090828442113"/>
    <n v="0"/>
    <n v="1.3314768108334277E-2"/>
    <n v="1.3612687980474152"/>
  </r>
  <r>
    <x v="20"/>
    <x v="20"/>
    <n v="1193654.5"/>
    <x v="19"/>
    <n v="0"/>
    <n v="1243941.0000000002"/>
    <n v="0"/>
    <m/>
    <n v="0"/>
    <m/>
    <n v="0"/>
    <m/>
    <n v="0"/>
    <m/>
    <n v="0"/>
    <n v="1502091.5000000002"/>
    <n v="0"/>
    <n v="0"/>
    <m/>
    <n v="0"/>
    <m/>
    <n v="0"/>
    <m/>
    <n v="0"/>
    <n v="1674908"/>
    <n v="101"/>
    <n v="0"/>
    <n v="0"/>
    <n v="0"/>
    <n v="101"/>
    <n v="0"/>
    <s v=""/>
    <n v="0"/>
    <s v=""/>
    <n v="101"/>
    <n v="2022"/>
    <x v="0"/>
    <n v="101"/>
    <n v="101"/>
    <s v="Increasing"/>
    <n v="8.5981075235392446E-2"/>
    <n v="0.24963048725605397"/>
    <n v="0"/>
    <n v="0"/>
    <n v="0"/>
    <n v="0"/>
    <n v="0.60301819562626724"/>
  </r>
  <r>
    <x v="20"/>
    <x v="20"/>
    <n v="1193655.5"/>
    <x v="20"/>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56.5"/>
    <x v="21"/>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57.5"/>
    <x v="22"/>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0"/>
    <x v="20"/>
    <n v="1193658.5"/>
    <x v="23"/>
    <n v="0"/>
    <n v="1243941.0000000002"/>
    <n v="0"/>
    <m/>
    <n v="0"/>
    <m/>
    <n v="0"/>
    <m/>
    <n v="0"/>
    <m/>
    <n v="0"/>
    <n v="1502091.5000000002"/>
    <n v="0"/>
    <n v="0"/>
    <m/>
    <n v="0"/>
    <m/>
    <n v="0"/>
    <m/>
    <n v="0"/>
    <n v="1674908"/>
    <n v="0"/>
    <n v="0"/>
    <n v="0"/>
    <n v="0"/>
    <n v="0"/>
    <n v="0"/>
    <s v=""/>
    <n v="0"/>
    <s v=""/>
    <n v="0"/>
    <s v=""/>
    <x v="0"/>
    <n v="0"/>
    <n v="0"/>
    <s v="No change"/>
    <n v="8.5981075235392446E-2"/>
    <n v="0.24963048725605397"/>
    <n v="0"/>
    <n v="0"/>
    <n v="0"/>
    <n v="0"/>
    <n v="0"/>
  </r>
  <r>
    <x v="21"/>
    <x v="21"/>
    <n v="43725806.500000007"/>
    <x v="0"/>
    <n v="16184"/>
    <n v="44792368.000000007"/>
    <n v="17493"/>
    <n v="45831863.500000007"/>
    <n v="18971"/>
    <n v="46851488.499999993"/>
    <n v="0"/>
    <n v="47894670"/>
    <n v="380"/>
    <n v="48948137.000000037"/>
    <n v="0"/>
    <n v="49953303.999999993"/>
    <n v="20964"/>
    <n v="20964"/>
    <n v="50951450"/>
    <n v="0"/>
    <n v="51985779.999999993"/>
    <n v="0"/>
    <n v="53005614.000000022"/>
    <n v="12377"/>
    <n v="54027486.999999985"/>
    <n v="13340"/>
    <n v="8042"/>
    <n v="18971"/>
    <n v="20964"/>
    <n v="13340"/>
    <n v="17493"/>
    <n v="2013"/>
    <n v="20964"/>
    <n v="2018"/>
    <n v="13340"/>
    <n v="2022"/>
    <x v="1"/>
    <n v="15331.643915234339"/>
    <n v="20964"/>
    <s v="Decreasing"/>
    <n v="7.1554687899516578E-2"/>
    <n v="7.1815970063989321E-2"/>
    <n v="5623.2195243350361"/>
    <n v="9975.4364745630501"/>
    <n v="3.9053528047456649"/>
    <n v="4.1967194001822188"/>
    <n v="3.8802471045895595"/>
  </r>
  <r>
    <x v="21"/>
    <x v="21"/>
    <n v="43725807.5"/>
    <x v="1"/>
    <n v="123538"/>
    <n v="44792368.000000007"/>
    <n v="80584"/>
    <m/>
    <n v="86622"/>
    <m/>
    <n v="82826"/>
    <m/>
    <n v="97474"/>
    <m/>
    <n v="106336"/>
    <n v="49953303.999999993"/>
    <n v="119802"/>
    <n v="119802"/>
    <m/>
    <n v="0"/>
    <m/>
    <n v="0"/>
    <m/>
    <n v="109659"/>
    <n v="54027486.999999985"/>
    <n v="69268"/>
    <n v="76000"/>
    <n v="123538"/>
    <n v="119802"/>
    <n v="109659"/>
    <n v="80584"/>
    <n v="2013"/>
    <n v="119802"/>
    <n v="2018"/>
    <n v="69268"/>
    <n v="2022"/>
    <x v="1"/>
    <n v="79609.618494786511"/>
    <n v="119802"/>
    <s v="Decreasing"/>
    <n v="7.1554687899516578E-2"/>
    <n v="7.1815970063989321E-2"/>
    <n v="53141.592122539507"/>
    <n v="94271.719978462046"/>
    <n v="17.990564821221326"/>
    <n v="23.982798014721912"/>
    <n v="22.174268442283839"/>
  </r>
  <r>
    <x v="21"/>
    <x v="21"/>
    <n v="43725808.5"/>
    <x v="2"/>
    <n v="0"/>
    <n v="44792368.000000007"/>
    <n v="0"/>
    <m/>
    <n v="0"/>
    <m/>
    <n v="0"/>
    <m/>
    <n v="4184"/>
    <m/>
    <n v="0"/>
    <n v="49953303.999999993"/>
    <n v="0"/>
    <n v="0"/>
    <m/>
    <n v="0"/>
    <m/>
    <n v="0"/>
    <m/>
    <n v="0"/>
    <n v="54027486.999999985"/>
    <n v="274"/>
    <n v="0"/>
    <n v="0"/>
    <n v="4184"/>
    <n v="274"/>
    <n v="0"/>
    <s v=""/>
    <n v="0"/>
    <s v=""/>
    <n v="274"/>
    <n v="2022"/>
    <x v="0"/>
    <n v="274"/>
    <n v="274"/>
    <s v="Increasing"/>
    <n v="7.1554687899516578E-2"/>
    <n v="7.1815970063989321E-2"/>
    <n v="0"/>
    <n v="0"/>
    <n v="0"/>
    <n v="0"/>
    <n v="5.0714925904290178E-2"/>
  </r>
  <r>
    <x v="21"/>
    <x v="21"/>
    <n v="43725809.5"/>
    <x v="3"/>
    <n v="531"/>
    <n v="44792368.000000007"/>
    <n v="2310"/>
    <m/>
    <n v="0"/>
    <m/>
    <n v="1080"/>
    <m/>
    <n v="170"/>
    <m/>
    <n v="0"/>
    <n v="49953303.999999993"/>
    <n v="0"/>
    <n v="2295"/>
    <m/>
    <n v="11741"/>
    <m/>
    <n v="0"/>
    <m/>
    <n v="0"/>
    <n v="54027486.999999985"/>
    <n v="1337"/>
    <n v="2295"/>
    <n v="2310"/>
    <n v="11741"/>
    <n v="1337"/>
    <n v="8406"/>
    <n v="2013"/>
    <n v="13638"/>
    <n v="2018"/>
    <n v="1337"/>
    <n v="2022"/>
    <x v="1"/>
    <n v="1536.6122874563951"/>
    <n v="15498"/>
    <s v="Decreasing"/>
    <n v="7.1554687899516578E-2"/>
    <n v="7.1815970063989321E-2"/>
    <n v="1604.7362358056339"/>
    <n v="2846.757859875926"/>
    <n v="1.8766589879775943"/>
    <n v="2.7301497414465321"/>
    <n v="2.8685398600901064"/>
  </r>
  <r>
    <x v="21"/>
    <x v="21"/>
    <n v="43725810.5"/>
    <x v="4"/>
    <n v="401"/>
    <n v="44792368.000000007"/>
    <n v="536"/>
    <m/>
    <n v="0"/>
    <m/>
    <n v="236"/>
    <m/>
    <n v="178"/>
    <m/>
    <n v="0"/>
    <n v="49953303.999999993"/>
    <n v="0"/>
    <n v="1257"/>
    <m/>
    <n v="13262"/>
    <m/>
    <n v="0"/>
    <m/>
    <n v="0"/>
    <n v="54027486.999999985"/>
    <n v="1344"/>
    <n v="1257"/>
    <n v="536"/>
    <n v="13262"/>
    <n v="1344"/>
    <n v="1045"/>
    <n v="2013"/>
    <n v="1257"/>
    <s v="2018 (triag)"/>
    <n v="1344"/>
    <n v="2022"/>
    <x v="0"/>
    <n v="1344"/>
    <n v="1344"/>
    <s v="Increasing"/>
    <n v="7.1554687899516578E-2"/>
    <n v="7.1815970063989321E-2"/>
    <n v="878.9339644477916"/>
    <n v="1559.2046317490367"/>
    <n v="0.2332986726667364"/>
    <n v="0.25163500696570545"/>
    <n v="0.24876226428965692"/>
  </r>
  <r>
    <x v="21"/>
    <x v="21"/>
    <n v="43725811.5"/>
    <x v="5"/>
    <n v="0"/>
    <n v="44792368.000000007"/>
    <n v="0"/>
    <m/>
    <n v="0"/>
    <m/>
    <n v="0"/>
    <m/>
    <n v="0"/>
    <m/>
    <n v="0"/>
    <n v="49953303.999999993"/>
    <n v="58079"/>
    <n v="58079"/>
    <m/>
    <n v="0"/>
    <m/>
    <n v="91653"/>
    <m/>
    <n v="86490"/>
    <n v="54027486.999999985"/>
    <n v="86423"/>
    <n v="58079"/>
    <n v="0"/>
    <n v="58079"/>
    <n v="91653"/>
    <n v="0"/>
    <s v=""/>
    <n v="58079"/>
    <n v="2018"/>
    <n v="86423"/>
    <n v="2022"/>
    <x v="0"/>
    <n v="86423"/>
    <n v="86423"/>
    <s v="Increasing"/>
    <n v="7.1554687899516578E-2"/>
    <n v="7.1815970063989321E-2"/>
    <n v="40610.664853749629"/>
    <n v="72042.20032406706"/>
    <n v="0"/>
    <n v="11.626658368783776"/>
    <n v="15.996116939512664"/>
  </r>
  <r>
    <x v="21"/>
    <x v="21"/>
    <n v="43725812.5"/>
    <x v="6"/>
    <n v="0"/>
    <n v="44792368.000000007"/>
    <n v="211"/>
    <m/>
    <n v="0"/>
    <m/>
    <n v="0"/>
    <m/>
    <n v="0"/>
    <m/>
    <n v="0"/>
    <n v="49953303.999999993"/>
    <n v="0"/>
    <n v="1147"/>
    <m/>
    <n v="3877"/>
    <m/>
    <n v="0"/>
    <m/>
    <n v="0"/>
    <n v="54027486.999999985"/>
    <n v="10071"/>
    <n v="1147"/>
    <n v="211"/>
    <n v="3877"/>
    <n v="10071"/>
    <n v="211"/>
    <n v="2013"/>
    <n v="1147"/>
    <s v="2018 (triag)"/>
    <n v="10071"/>
    <n v="2022"/>
    <x v="0"/>
    <n v="10071"/>
    <n v="10071"/>
    <s v="Increasing"/>
    <n v="7.1554687899516578E-2"/>
    <n v="7.1815970063989321E-2"/>
    <n v="802.01850216516857"/>
    <n v="1422.7587212538942"/>
    <n v="4.7106239170030033E-2"/>
    <n v="0.22961444151922367"/>
    <n v="1.8640511634383443"/>
  </r>
  <r>
    <x v="21"/>
    <x v="21"/>
    <n v="43725813.5"/>
    <x v="7"/>
    <n v="0"/>
    <n v="44792368.000000007"/>
    <n v="0"/>
    <m/>
    <n v="0"/>
    <m/>
    <n v="201"/>
    <m/>
    <n v="146"/>
    <m/>
    <n v="0"/>
    <n v="49953303.999999993"/>
    <n v="0"/>
    <n v="5310"/>
    <m/>
    <n v="3730"/>
    <m/>
    <n v="0"/>
    <m/>
    <n v="0"/>
    <n v="54027486.999999985"/>
    <n v="553"/>
    <n v="5310"/>
    <n v="201"/>
    <n v="3730"/>
    <n v="553"/>
    <n v="201"/>
    <n v="2015"/>
    <n v="5310"/>
    <s v="2018 (triag)"/>
    <n v="553"/>
    <n v="2022"/>
    <x v="1"/>
    <n v="635.56215030918963"/>
    <n v="5310"/>
    <s v="Decreasing"/>
    <n v="7.1554687899516578E-2"/>
    <n v="7.1815970063989321E-2"/>
    <n v="3712.9191338247997"/>
    <n v="6586.6162248109667"/>
    <n v="4.4873715986616283E-2"/>
    <n v="1.0629927501892569"/>
    <n v="0.98283305310868918"/>
  </r>
  <r>
    <x v="21"/>
    <x v="21"/>
    <n v="43725814.5"/>
    <x v="8"/>
    <n v="0"/>
    <n v="44792368.000000007"/>
    <n v="0"/>
    <m/>
    <n v="0"/>
    <m/>
    <n v="0"/>
    <m/>
    <n v="0"/>
    <m/>
    <n v="0"/>
    <n v="49953303.999999993"/>
    <n v="0"/>
    <n v="0"/>
    <m/>
    <n v="0"/>
    <m/>
    <n v="0"/>
    <m/>
    <n v="0"/>
    <n v="54027486.999999985"/>
    <n v="0"/>
    <n v="0"/>
    <n v="0"/>
    <n v="0"/>
    <n v="0"/>
    <n v="0"/>
    <s v=""/>
    <n v="0"/>
    <s v=""/>
    <n v="0"/>
    <s v=""/>
    <x v="0"/>
    <n v="0"/>
    <n v="0"/>
    <s v="No change"/>
    <n v="7.1554687899516578E-2"/>
    <n v="7.1815970063989321E-2"/>
    <n v="0"/>
    <n v="0"/>
    <n v="0"/>
    <n v="0"/>
    <n v="0"/>
  </r>
  <r>
    <x v="21"/>
    <x v="21"/>
    <n v="43725815.5"/>
    <x v="9"/>
    <n v="0"/>
    <n v="44792368.000000007"/>
    <n v="0"/>
    <m/>
    <n v="0"/>
    <m/>
    <n v="0"/>
    <m/>
    <n v="0"/>
    <m/>
    <n v="0"/>
    <n v="49953303.999999993"/>
    <n v="0"/>
    <n v="0"/>
    <m/>
    <n v="0"/>
    <m/>
    <n v="0"/>
    <m/>
    <n v="0"/>
    <n v="54027486.999999985"/>
    <n v="0"/>
    <n v="0"/>
    <n v="0"/>
    <n v="0"/>
    <n v="0"/>
    <n v="0"/>
    <s v=""/>
    <n v="0"/>
    <s v=""/>
    <n v="0"/>
    <s v=""/>
    <x v="0"/>
    <n v="0"/>
    <n v="0"/>
    <s v="No change"/>
    <n v="7.1554687899516578E-2"/>
    <n v="7.1815970063989321E-2"/>
    <n v="0"/>
    <n v="0"/>
    <n v="0"/>
    <n v="0"/>
    <n v="0"/>
  </r>
  <r>
    <x v="21"/>
    <x v="21"/>
    <n v="43725816.5"/>
    <x v="10"/>
    <n v="0"/>
    <n v="44792368.000000007"/>
    <n v="0"/>
    <m/>
    <n v="0"/>
    <m/>
    <n v="0"/>
    <m/>
    <n v="0"/>
    <m/>
    <n v="0"/>
    <n v="49953303.999999993"/>
    <n v="0"/>
    <n v="468"/>
    <m/>
    <n v="468"/>
    <m/>
    <n v="0"/>
    <m/>
    <n v="261"/>
    <n v="54027486.999999985"/>
    <n v="987"/>
    <n v="468"/>
    <n v="0"/>
    <n v="468"/>
    <n v="987"/>
    <n v="0"/>
    <s v=""/>
    <n v="468"/>
    <s v="2018 (triag)"/>
    <n v="987"/>
    <n v="2022"/>
    <x v="0"/>
    <n v="987"/>
    <n v="287"/>
    <s v="Increasing"/>
    <n v="7.1554687899516578E-2"/>
    <n v="7.1815970063989321E-2"/>
    <n v="327.24033043879592"/>
    <n v="580.51532828842414"/>
    <n v="0"/>
    <n v="9.3687496626849762E-2"/>
    <n v="5.3121108520187157E-2"/>
  </r>
  <r>
    <x v="21"/>
    <x v="21"/>
    <n v="43725817.5"/>
    <x v="11"/>
    <n v="0"/>
    <n v="44792368.000000007"/>
    <n v="0"/>
    <m/>
    <n v="0"/>
    <m/>
    <n v="0"/>
    <m/>
    <n v="0"/>
    <m/>
    <n v="0"/>
    <n v="49953303.999999993"/>
    <n v="0"/>
    <n v="0"/>
    <m/>
    <n v="0"/>
    <m/>
    <n v="0"/>
    <m/>
    <n v="5019"/>
    <n v="54027486.999999985"/>
    <n v="10000"/>
    <n v="0"/>
    <n v="0"/>
    <n v="0"/>
    <n v="10000"/>
    <n v="0"/>
    <s v=""/>
    <n v="0"/>
    <s v=""/>
    <n v="10000"/>
    <n v="2022"/>
    <x v="0"/>
    <n v="10000"/>
    <n v="10000"/>
    <s v="Increasing"/>
    <n v="7.1554687899516578E-2"/>
    <n v="7.1815970063989321E-2"/>
    <n v="0"/>
    <n v="0"/>
    <n v="0"/>
    <n v="0"/>
    <n v="1.8509097045361378"/>
  </r>
  <r>
    <x v="21"/>
    <x v="21"/>
    <n v="43725818.5"/>
    <x v="12"/>
    <n v="0"/>
    <n v="44792368.000000007"/>
    <n v="0"/>
    <m/>
    <n v="0"/>
    <m/>
    <n v="0"/>
    <m/>
    <n v="0"/>
    <m/>
    <n v="0"/>
    <n v="49953303.999999993"/>
    <n v="0"/>
    <n v="0"/>
    <m/>
    <n v="0"/>
    <m/>
    <n v="0"/>
    <m/>
    <n v="0"/>
    <n v="54027486.999999985"/>
    <n v="0"/>
    <n v="0"/>
    <n v="0"/>
    <n v="0"/>
    <n v="0"/>
    <n v="0"/>
    <s v=""/>
    <n v="0"/>
    <s v=""/>
    <n v="0"/>
    <s v=""/>
    <x v="0"/>
    <n v="0"/>
    <n v="0"/>
    <s v="No change"/>
    <n v="7.1554687899516578E-2"/>
    <n v="7.1815970063989321E-2"/>
    <n v="0"/>
    <n v="0"/>
    <n v="0"/>
    <n v="0"/>
    <n v="0"/>
  </r>
  <r>
    <x v="21"/>
    <x v="21"/>
    <n v="43725819.5"/>
    <x v="13"/>
    <n v="0"/>
    <n v="44792368.000000007"/>
    <n v="0"/>
    <m/>
    <n v="0"/>
    <m/>
    <n v="0"/>
    <m/>
    <n v="0"/>
    <m/>
    <n v="0"/>
    <n v="49953303.999999993"/>
    <n v="430"/>
    <n v="430"/>
    <m/>
    <n v="0"/>
    <m/>
    <n v="0"/>
    <m/>
    <n v="717"/>
    <n v="54027486.999999985"/>
    <n v="0"/>
    <n v="430"/>
    <n v="0"/>
    <n v="430"/>
    <n v="717"/>
    <n v="0"/>
    <s v=""/>
    <n v="430"/>
    <n v="2018"/>
    <n v="717"/>
    <n v="2021"/>
    <x v="0"/>
    <n v="717"/>
    <n v="717"/>
    <s v="Increasing"/>
    <n v="7.1554687899516578E-2"/>
    <n v="7.1815970063989321E-2"/>
    <n v="300.66953437752613"/>
    <n v="533.37946829919315"/>
    <n v="0"/>
    <n v="8.6080392199883324E-2"/>
    <n v="0.13271022581524108"/>
  </r>
  <r>
    <x v="21"/>
    <x v="21"/>
    <n v="43725820.5"/>
    <x v="14"/>
    <n v="0"/>
    <n v="44792368.000000007"/>
    <n v="0"/>
    <m/>
    <n v="0"/>
    <m/>
    <n v="0"/>
    <m/>
    <n v="0"/>
    <m/>
    <n v="0"/>
    <n v="49953303.999999993"/>
    <n v="714"/>
    <n v="2419"/>
    <m/>
    <n v="0"/>
    <m/>
    <n v="0"/>
    <m/>
    <n v="0"/>
    <n v="54027486.999999985"/>
    <n v="0"/>
    <n v="2419"/>
    <n v="0"/>
    <n v="714"/>
    <n v="0"/>
    <n v="0"/>
    <s v=""/>
    <n v="2419"/>
    <s v="2018 (triag)"/>
    <n v="2419"/>
    <s v="2018 (triag)"/>
    <x v="0"/>
    <n v="2419"/>
    <n v="2419"/>
    <s v="No change"/>
    <n v="7.1554687899516578E-2"/>
    <n v="7.1815970063989321E-2"/>
    <n v="1691.4409387424089"/>
    <n v="3000.5696135249959"/>
    <n v="0"/>
    <n v="0.48425225286399481"/>
    <n v="0.44773505752729176"/>
  </r>
  <r>
    <x v="21"/>
    <x v="21"/>
    <n v="43725821.5"/>
    <x v="15"/>
    <n v="0"/>
    <n v="44792368.000000007"/>
    <n v="0"/>
    <m/>
    <n v="0"/>
    <m/>
    <n v="0"/>
    <m/>
    <n v="0"/>
    <m/>
    <n v="0"/>
    <n v="49953303.999999993"/>
    <n v="0"/>
    <n v="0"/>
    <m/>
    <n v="0"/>
    <m/>
    <n v="0"/>
    <m/>
    <n v="0"/>
    <n v="54027486.999999985"/>
    <n v="0"/>
    <n v="0"/>
    <n v="0"/>
    <n v="0"/>
    <n v="0"/>
    <n v="0"/>
    <s v=""/>
    <n v="0"/>
    <s v=""/>
    <n v="0"/>
    <s v=""/>
    <x v="0"/>
    <n v="0"/>
    <n v="0"/>
    <s v="No change"/>
    <n v="7.1554687899516578E-2"/>
    <n v="7.1815970063989321E-2"/>
    <n v="0"/>
    <n v="0"/>
    <n v="0"/>
    <n v="0"/>
    <n v="0"/>
  </r>
  <r>
    <x v="21"/>
    <x v="21"/>
    <n v="43725822.5"/>
    <x v="16"/>
    <n v="0"/>
    <n v="44792368.000000007"/>
    <n v="0"/>
    <m/>
    <n v="0"/>
    <m/>
    <n v="0"/>
    <m/>
    <n v="0"/>
    <m/>
    <n v="0"/>
    <n v="49953303.999999993"/>
    <n v="0"/>
    <n v="2759"/>
    <m/>
    <n v="0"/>
    <m/>
    <n v="0"/>
    <m/>
    <n v="3295"/>
    <n v="54027486.999999985"/>
    <n v="0"/>
    <n v="2759"/>
    <n v="0"/>
    <n v="0"/>
    <n v="3295"/>
    <n v="0"/>
    <s v=""/>
    <n v="2759"/>
    <s v="2018 (triag)"/>
    <n v="3295"/>
    <n v="2021"/>
    <x v="0"/>
    <n v="3295"/>
    <n v="3295"/>
    <s v="Increasing"/>
    <n v="7.1554687899516578E-2"/>
    <n v="7.1815970063989321E-2"/>
    <n v="1929.1796403432434"/>
    <n v="3422.3115186917998"/>
    <n v="0"/>
    <n v="0.55231581878948399"/>
    <n v="0.60987474764465743"/>
  </r>
  <r>
    <x v="21"/>
    <x v="21"/>
    <n v="43725823.5"/>
    <x v="17"/>
    <n v="0"/>
    <n v="44792368.000000007"/>
    <n v="0"/>
    <m/>
    <n v="0"/>
    <m/>
    <n v="0"/>
    <m/>
    <n v="0"/>
    <m/>
    <n v="0"/>
    <n v="49953303.999999993"/>
    <n v="0"/>
    <n v="0"/>
    <m/>
    <n v="0"/>
    <m/>
    <n v="0"/>
    <m/>
    <n v="11129"/>
    <n v="54027486.999999985"/>
    <n v="0"/>
    <n v="0"/>
    <n v="0"/>
    <n v="0"/>
    <n v="11129"/>
    <n v="0"/>
    <s v=""/>
    <n v="0"/>
    <s v=""/>
    <n v="11129"/>
    <n v="2021"/>
    <x v="0"/>
    <n v="11129"/>
    <n v="11129"/>
    <s v="Increasing"/>
    <n v="7.1554687899516578E-2"/>
    <n v="7.1815970063989321E-2"/>
    <n v="0"/>
    <n v="0"/>
    <n v="0"/>
    <n v="0"/>
    <n v="2.059877410178268"/>
  </r>
  <r>
    <x v="21"/>
    <x v="21"/>
    <n v="43725824.5"/>
    <x v="18"/>
    <n v="0"/>
    <n v="44792368.000000007"/>
    <n v="0"/>
    <m/>
    <n v="0"/>
    <m/>
    <n v="0"/>
    <m/>
    <n v="0"/>
    <m/>
    <n v="0"/>
    <n v="49953303.999999993"/>
    <n v="0"/>
    <n v="0"/>
    <m/>
    <n v="0"/>
    <m/>
    <n v="0"/>
    <m/>
    <n v="0"/>
    <n v="54027486.999999985"/>
    <n v="1200"/>
    <n v="0"/>
    <n v="0"/>
    <n v="0"/>
    <n v="1200"/>
    <n v="0"/>
    <s v=""/>
    <n v="0"/>
    <s v=""/>
    <n v="1200"/>
    <n v="2022"/>
    <x v="0"/>
    <n v="1200"/>
    <n v="1200"/>
    <s v="Increasing"/>
    <n v="7.1554687899516578E-2"/>
    <n v="7.1815970063989321E-2"/>
    <n v="0"/>
    <n v="0"/>
    <n v="0"/>
    <n v="0"/>
    <n v="0.22210916454433655"/>
  </r>
  <r>
    <x v="21"/>
    <x v="21"/>
    <n v="43725825.5"/>
    <x v="19"/>
    <n v="0"/>
    <n v="44792368.000000007"/>
    <n v="13216"/>
    <m/>
    <n v="0"/>
    <m/>
    <n v="0"/>
    <m/>
    <n v="0"/>
    <m/>
    <n v="0"/>
    <n v="49953303.999999993"/>
    <n v="21942"/>
    <n v="21942"/>
    <m/>
    <n v="0"/>
    <m/>
    <n v="0"/>
    <m/>
    <n v="8087"/>
    <n v="54027486.999999985"/>
    <n v="25400"/>
    <n v="21942"/>
    <n v="13216"/>
    <n v="21942"/>
    <n v="25400"/>
    <n v="13216"/>
    <n v="2013"/>
    <n v="21942"/>
    <n v="2018"/>
    <n v="25400"/>
    <n v="2022"/>
    <x v="0"/>
    <n v="25400"/>
    <n v="25400"/>
    <s v="Increasing"/>
    <n v="7.1554687899516578E-2"/>
    <n v="7.1815970063989321E-2"/>
    <n v="15342.537030957394"/>
    <n v="27217.237891676501"/>
    <n v="2.9505026391996059"/>
    <n v="4.392502245697302"/>
    <n v="4.7013106495217905"/>
  </r>
  <r>
    <x v="21"/>
    <x v="21"/>
    <n v="43725826.5"/>
    <x v="20"/>
    <n v="0"/>
    <n v="44792368.000000007"/>
    <n v="0"/>
    <m/>
    <n v="0"/>
    <m/>
    <n v="0"/>
    <m/>
    <n v="0"/>
    <m/>
    <n v="0"/>
    <n v="49953303.999999993"/>
    <n v="0"/>
    <n v="0"/>
    <m/>
    <n v="0"/>
    <m/>
    <n v="0"/>
    <m/>
    <n v="718"/>
    <n v="54027486.999999985"/>
    <n v="631"/>
    <n v="0"/>
    <n v="0"/>
    <n v="0"/>
    <n v="718"/>
    <n v="0"/>
    <s v=""/>
    <n v="0"/>
    <s v=""/>
    <n v="631"/>
    <n v="2022"/>
    <x v="0"/>
    <n v="631"/>
    <n v="631"/>
    <s v="Increasing"/>
    <n v="7.1554687899516578E-2"/>
    <n v="7.1815970063989321E-2"/>
    <n v="0"/>
    <n v="0"/>
    <n v="0"/>
    <n v="0"/>
    <n v="0.1167924023562303"/>
  </r>
  <r>
    <x v="21"/>
    <x v="21"/>
    <n v="43725827.5"/>
    <x v="21"/>
    <n v="0"/>
    <n v="44792368.000000007"/>
    <n v="0"/>
    <m/>
    <n v="0"/>
    <m/>
    <n v="0"/>
    <m/>
    <n v="0"/>
    <m/>
    <n v="0"/>
    <n v="49953303.999999993"/>
    <n v="0"/>
    <n v="0"/>
    <m/>
    <n v="0"/>
    <m/>
    <n v="0"/>
    <m/>
    <n v="749"/>
    <n v="54027486.999999985"/>
    <n v="642"/>
    <n v="0"/>
    <n v="0"/>
    <n v="0"/>
    <n v="749"/>
    <n v="0"/>
    <s v=""/>
    <n v="0"/>
    <s v=""/>
    <n v="642"/>
    <n v="2022"/>
    <x v="0"/>
    <n v="642"/>
    <n v="642"/>
    <s v="Increasing"/>
    <n v="7.1554687899516578E-2"/>
    <n v="7.1815970063989321E-2"/>
    <n v="0"/>
    <n v="0"/>
    <n v="0"/>
    <n v="0"/>
    <n v="0.11882840303122005"/>
  </r>
  <r>
    <x v="21"/>
    <x v="21"/>
    <n v="43725828.5"/>
    <x v="22"/>
    <n v="0"/>
    <n v="44792368.000000007"/>
    <n v="0"/>
    <m/>
    <n v="0"/>
    <m/>
    <n v="0"/>
    <m/>
    <n v="0"/>
    <m/>
    <n v="0"/>
    <n v="49953303.999999993"/>
    <n v="0"/>
    <n v="0"/>
    <m/>
    <n v="0"/>
    <m/>
    <n v="0"/>
    <m/>
    <n v="0"/>
    <n v="54027486.999999985"/>
    <n v="0"/>
    <n v="0"/>
    <n v="0"/>
    <n v="0"/>
    <n v="0"/>
    <n v="0"/>
    <s v=""/>
    <n v="0"/>
    <s v=""/>
    <n v="0"/>
    <s v=""/>
    <x v="0"/>
    <n v="0"/>
    <n v="0"/>
    <s v="No change"/>
    <n v="7.1554687899516578E-2"/>
    <n v="7.1815970063989321E-2"/>
    <n v="0"/>
    <n v="0"/>
    <n v="0"/>
    <n v="0"/>
    <n v="0"/>
  </r>
  <r>
    <x v="21"/>
    <x v="21"/>
    <n v="43725829.5"/>
    <x v="23"/>
    <n v="0"/>
    <n v="44792368.000000007"/>
    <n v="0"/>
    <m/>
    <n v="0"/>
    <m/>
    <n v="0"/>
    <m/>
    <n v="0"/>
    <m/>
    <n v="0"/>
    <n v="49953303.999999993"/>
    <n v="0"/>
    <n v="0"/>
    <m/>
    <n v="0"/>
    <m/>
    <n v="0"/>
    <m/>
    <n v="0"/>
    <n v="54027486.999999985"/>
    <n v="0"/>
    <n v="0"/>
    <n v="0"/>
    <n v="0"/>
    <n v="0"/>
    <n v="0"/>
    <s v=""/>
    <n v="0"/>
    <s v=""/>
    <n v="0"/>
    <s v=""/>
    <x v="0"/>
    <n v="0"/>
    <n v="0"/>
    <s v="No change"/>
    <n v="7.1554687899516578E-2"/>
    <n v="7.1815970063989321E-2"/>
    <n v="0"/>
    <n v="0"/>
    <n v="0"/>
    <n v="0"/>
    <n v="0"/>
  </r>
  <r>
    <x v="22"/>
    <x v="22"/>
    <n v="4331740.4999999991"/>
    <x v="0"/>
    <n v="0"/>
    <n v="4427312.4999999991"/>
    <n v="0"/>
    <n v="4519397.9999999981"/>
    <n v="0"/>
    <n v="4612328.9999999972"/>
    <n v="336"/>
    <n v="4706097.5000000009"/>
    <n v="468"/>
    <n v="4796630.9999999963"/>
    <n v="496"/>
    <n v="4889391"/>
    <n v="1407"/>
    <n v="1407"/>
    <n v="4985289.0000000075"/>
    <n v="1508"/>
    <n v="5087584.5000000019"/>
    <n v="1611"/>
    <n v="5193415.5000000019"/>
    <n v="1861"/>
    <n v="5302681.0000000028"/>
    <n v="2025"/>
    <n v="246"/>
    <n v="336"/>
    <n v="1508"/>
    <n v="2025"/>
    <n v="336"/>
    <n v="2015"/>
    <n v="1407"/>
    <n v="2018"/>
    <n v="2025"/>
    <n v="2022"/>
    <x v="0"/>
    <n v="2025"/>
    <n v="2025"/>
    <s v="Increasing"/>
    <n v="0.14269498586031326"/>
    <n v="5.4673730437993617E-2"/>
    <n v="120.52492844904253"/>
    <n v="289.84686368362378"/>
    <n v="0.75892542033118304"/>
    <n v="2.8776589967953066"/>
    <n v="3.8188229689849322"/>
  </r>
  <r>
    <x v="22"/>
    <x v="22"/>
    <n v="4331741.5"/>
    <x v="1"/>
    <n v="0"/>
    <n v="4427312.4999999991"/>
    <n v="0"/>
    <m/>
    <n v="0"/>
    <m/>
    <n v="0"/>
    <m/>
    <n v="0"/>
    <m/>
    <n v="0"/>
    <n v="4889391"/>
    <n v="4526"/>
    <n v="8488"/>
    <m/>
    <n v="3956"/>
    <m/>
    <n v="4832"/>
    <m/>
    <n v="3522"/>
    <n v="5302681.0000000028"/>
    <n v="6880"/>
    <n v="8488"/>
    <n v="0"/>
    <n v="4526"/>
    <n v="6880"/>
    <n v="0"/>
    <s v=""/>
    <n v="8488"/>
    <s v="2018 (triag)"/>
    <n v="6880"/>
    <n v="2022"/>
    <x v="1"/>
    <n v="8847.5905767668555"/>
    <n v="8847.5905767668555"/>
    <s v="Increasing"/>
    <n v="0.14269498586031326"/>
    <n v="5.4673730437993617E-2"/>
    <n v="4158.5999702255003"/>
    <n v="10000.895036368287"/>
    <n v="0"/>
    <n v="17.360035227291089"/>
    <n v="16.685126970237981"/>
  </r>
  <r>
    <x v="22"/>
    <x v="22"/>
    <n v="4331742.5"/>
    <x v="2"/>
    <n v="0"/>
    <n v="4427312.4999999991"/>
    <n v="1612"/>
    <m/>
    <n v="0"/>
    <m/>
    <n v="0"/>
    <m/>
    <n v="0"/>
    <m/>
    <n v="0"/>
    <n v="4889391"/>
    <n v="1784"/>
    <n v="1784"/>
    <m/>
    <n v="1534"/>
    <m/>
    <n v="1744"/>
    <m/>
    <n v="1590"/>
    <n v="5302681.0000000028"/>
    <n v="1538"/>
    <n v="927"/>
    <n v="1612"/>
    <n v="1784"/>
    <n v="1744"/>
    <n v="1612"/>
    <n v="2013"/>
    <n v="1784"/>
    <n v="2018"/>
    <n v="1538"/>
    <n v="2022"/>
    <x v="1"/>
    <n v="1977.8480097481722"/>
    <n v="1977.8480097481722"/>
    <s v="Increasing"/>
    <n v="0.14269498586031326"/>
    <n v="5.4673730437993617E-2"/>
    <n v="454.1732059848066"/>
    <n v="1092.2278155882898"/>
    <n v="3.6410350523031756"/>
    <n v="3.648716169355243"/>
    <n v="3.7299019302654099"/>
  </r>
  <r>
    <x v="22"/>
    <x v="22"/>
    <n v="4331743.5"/>
    <x v="3"/>
    <n v="0"/>
    <n v="4427312.4999999991"/>
    <n v="0"/>
    <m/>
    <n v="998"/>
    <m/>
    <n v="0"/>
    <m/>
    <n v="221"/>
    <m/>
    <n v="0"/>
    <n v="4889391"/>
    <n v="0"/>
    <n v="1071"/>
    <m/>
    <n v="235"/>
    <m/>
    <n v="0"/>
    <m/>
    <n v="0"/>
    <n v="5302681.0000000028"/>
    <n v="404"/>
    <n v="1071"/>
    <n v="998"/>
    <n v="235"/>
    <n v="404"/>
    <n v="998"/>
    <n v="2014"/>
    <n v="1071"/>
    <s v="2018 (triag)"/>
    <n v="404"/>
    <n v="2022"/>
    <x v="1"/>
    <n v="519.53874898456536"/>
    <n v="1071"/>
    <s v="Decreasing"/>
    <n v="0.14269498586031326"/>
    <n v="5.4673730437993617E-2"/>
    <n v="524.72438361351442"/>
    <n v="1261.8942723787036"/>
    <n v="2.2541891949122639"/>
    <n v="2.1904568483068751"/>
    <n v="2.0197330369298085"/>
  </r>
  <r>
    <x v="22"/>
    <x v="22"/>
    <n v="4331744.5"/>
    <x v="4"/>
    <n v="0"/>
    <n v="4427312.4999999991"/>
    <n v="0"/>
    <m/>
    <n v="385"/>
    <m/>
    <n v="0"/>
    <m/>
    <n v="57"/>
    <m/>
    <n v="0"/>
    <n v="4889391"/>
    <n v="0"/>
    <n v="24"/>
    <m/>
    <n v="0"/>
    <m/>
    <n v="0"/>
    <m/>
    <n v="0"/>
    <n v="5302681.0000000028"/>
    <n v="147"/>
    <n v="24"/>
    <n v="385"/>
    <n v="57"/>
    <n v="147"/>
    <n v="385"/>
    <n v="2014"/>
    <n v="24"/>
    <s v="2018 (triag)"/>
    <n v="147"/>
    <n v="2022"/>
    <x v="0"/>
    <n v="147"/>
    <n v="147"/>
    <s v="Increasing"/>
    <n v="0.14269498586031326"/>
    <n v="5.4673730437993617E-2"/>
    <n v="11.758529604784638"/>
    <n v="28.277742798402322"/>
    <n v="0.8696020441294805"/>
    <n v="4.9085867749173673E-2"/>
    <n v="0.27721825997075805"/>
  </r>
  <r>
    <x v="22"/>
    <x v="22"/>
    <n v="4331745.5"/>
    <x v="5"/>
    <n v="0"/>
    <n v="4427312.4999999991"/>
    <n v="0"/>
    <m/>
    <n v="0"/>
    <m/>
    <n v="0"/>
    <m/>
    <n v="0"/>
    <m/>
    <n v="0"/>
    <n v="4889391"/>
    <n v="3391"/>
    <n v="3391"/>
    <m/>
    <n v="0"/>
    <m/>
    <n v="12625"/>
    <m/>
    <n v="0"/>
    <n v="5302681.0000000028"/>
    <n v="0"/>
    <n v="3391"/>
    <n v="0"/>
    <n v="3391"/>
    <n v="12625"/>
    <n v="0"/>
    <s v=""/>
    <n v="3391"/>
    <n v="2018"/>
    <n v="12625"/>
    <n v="2020"/>
    <x v="0"/>
    <n v="12625"/>
    <n v="12625"/>
    <s v="Increasing"/>
    <n v="0.14269498586031326"/>
    <n v="5.4673730437993617E-2"/>
    <n v="1661.3822454093627"/>
    <n v="3995.4094095575947"/>
    <n v="0"/>
    <n v="6.9354240640603297"/>
    <n v="23.808711102930751"/>
  </r>
  <r>
    <x v="22"/>
    <x v="22"/>
    <n v="4331746.5"/>
    <x v="6"/>
    <n v="0"/>
    <n v="4427312.4999999991"/>
    <n v="0"/>
    <m/>
    <n v="0"/>
    <m/>
    <n v="0"/>
    <m/>
    <n v="8"/>
    <m/>
    <n v="0"/>
    <n v="4889391"/>
    <n v="0"/>
    <n v="0"/>
    <m/>
    <n v="0"/>
    <m/>
    <n v="0"/>
    <m/>
    <n v="0"/>
    <n v="5302681.0000000028"/>
    <n v="0"/>
    <n v="0"/>
    <n v="0"/>
    <n v="8"/>
    <n v="0"/>
    <n v="0"/>
    <s v=""/>
    <n v="0"/>
    <s v=""/>
    <n v="0"/>
    <s v=""/>
    <x v="0"/>
    <n v="0"/>
    <n v="0"/>
    <s v="No change"/>
    <n v="0.14269498586031326"/>
    <n v="5.4673730437993617E-2"/>
    <n v="0"/>
    <n v="0"/>
    <n v="0"/>
    <n v="0"/>
    <n v="0"/>
  </r>
  <r>
    <x v="22"/>
    <x v="22"/>
    <n v="4331747.5"/>
    <x v="7"/>
    <n v="0"/>
    <n v="4427312.4999999991"/>
    <n v="0"/>
    <m/>
    <n v="2036"/>
    <m/>
    <n v="0"/>
    <m/>
    <n v="344"/>
    <m/>
    <n v="0"/>
    <n v="4889391"/>
    <n v="0"/>
    <n v="285"/>
    <m/>
    <n v="0"/>
    <m/>
    <n v="0"/>
    <m/>
    <n v="0"/>
    <n v="5302681.0000000028"/>
    <n v="0"/>
    <n v="285"/>
    <n v="2036"/>
    <n v="344"/>
    <n v="0"/>
    <n v="2036"/>
    <n v="2014"/>
    <n v="285"/>
    <s v="2018 (triag)"/>
    <n v="285"/>
    <s v="2018 (triag)"/>
    <x v="0"/>
    <n v="285"/>
    <n v="285"/>
    <s v="No change"/>
    <n v="0.14269498586031326"/>
    <n v="5.4673730437993617E-2"/>
    <n v="139.63253905681756"/>
    <n v="335.79819573102759"/>
    <n v="4.5987266541496687"/>
    <n v="0.58289467952143736"/>
    <n v="0.53746397341269414"/>
  </r>
  <r>
    <x v="22"/>
    <x v="22"/>
    <n v="4331748.5"/>
    <x v="8"/>
    <n v="0"/>
    <n v="4427312.4999999991"/>
    <n v="0"/>
    <m/>
    <n v="0"/>
    <m/>
    <n v="0"/>
    <m/>
    <n v="0"/>
    <m/>
    <n v="0"/>
    <n v="4889391"/>
    <n v="0"/>
    <n v="148"/>
    <m/>
    <n v="0"/>
    <m/>
    <n v="0"/>
    <m/>
    <n v="0"/>
    <n v="5302681.0000000028"/>
    <n v="0"/>
    <n v="148"/>
    <n v="0"/>
    <n v="0"/>
    <n v="0"/>
    <n v="0"/>
    <s v=""/>
    <n v="148"/>
    <s v="2018 (triag)"/>
    <n v="148"/>
    <s v="2018 (triag)"/>
    <x v="0"/>
    <n v="148"/>
    <n v="148"/>
    <s v="No change"/>
    <n v="0.14269498586031326"/>
    <n v="5.4673730437993617E-2"/>
    <n v="72.51093256283859"/>
    <n v="174.379413923481"/>
    <n v="0"/>
    <n v="0.30269618445323765"/>
    <n v="0.2791040984739605"/>
  </r>
  <r>
    <x v="22"/>
    <x v="22"/>
    <n v="4331749.5"/>
    <x v="9"/>
    <n v="0"/>
    <n v="4427312.4999999991"/>
    <n v="0"/>
    <m/>
    <n v="0"/>
    <m/>
    <n v="0"/>
    <m/>
    <n v="0"/>
    <m/>
    <n v="0"/>
    <n v="4889391"/>
    <n v="0"/>
    <n v="1404"/>
    <m/>
    <n v="0"/>
    <m/>
    <n v="0"/>
    <m/>
    <n v="0"/>
    <n v="5302681.0000000028"/>
    <n v="0"/>
    <n v="1404"/>
    <n v="0"/>
    <n v="0"/>
    <n v="0"/>
    <n v="0"/>
    <s v=""/>
    <n v="1404"/>
    <s v="2018 (triag)"/>
    <n v="1404"/>
    <s v="2018 (triag)"/>
    <x v="0"/>
    <n v="1404"/>
    <n v="1404"/>
    <s v="No change"/>
    <n v="0.14269498586031326"/>
    <n v="5.4673730437993617E-2"/>
    <n v="687.87398187990129"/>
    <n v="1654.2479537065358"/>
    <n v="0"/>
    <n v="2.8715232633266599"/>
    <n v="2.6477172584962196"/>
  </r>
  <r>
    <x v="22"/>
    <x v="22"/>
    <n v="4331750.5"/>
    <x v="10"/>
    <n v="0"/>
    <n v="4427312.4999999991"/>
    <n v="0"/>
    <m/>
    <n v="0"/>
    <m/>
    <n v="0"/>
    <m/>
    <n v="0"/>
    <m/>
    <n v="0"/>
    <n v="4889391"/>
    <n v="0"/>
    <n v="0"/>
    <m/>
    <n v="0"/>
    <m/>
    <n v="0"/>
    <m/>
    <n v="0"/>
    <n v="5302681.0000000028"/>
    <n v="0"/>
    <n v="0"/>
    <n v="0"/>
    <n v="0"/>
    <n v="0"/>
    <n v="0"/>
    <s v=""/>
    <n v="0"/>
    <s v=""/>
    <n v="0"/>
    <s v=""/>
    <x v="0"/>
    <n v="0"/>
    <n v="0"/>
    <s v="No change"/>
    <n v="0.14269498586031326"/>
    <n v="5.4673730437993617E-2"/>
    <n v="0"/>
    <n v="0"/>
    <n v="0"/>
    <n v="0"/>
    <n v="0"/>
  </r>
  <r>
    <x v="22"/>
    <x v="22"/>
    <n v="4331751.5"/>
    <x v="11"/>
    <n v="0"/>
    <n v="4427312.4999999991"/>
    <n v="0"/>
    <m/>
    <n v="0"/>
    <m/>
    <n v="0"/>
    <m/>
    <n v="0"/>
    <m/>
    <n v="0"/>
    <n v="4889391"/>
    <n v="0"/>
    <n v="115"/>
    <m/>
    <n v="0"/>
    <m/>
    <n v="0"/>
    <m/>
    <n v="0"/>
    <n v="5302681.0000000028"/>
    <n v="0"/>
    <n v="115"/>
    <n v="0"/>
    <n v="0"/>
    <n v="0"/>
    <n v="0"/>
    <s v=""/>
    <n v="115"/>
    <s v="2018 (triag)"/>
    <n v="115"/>
    <s v="2018 (triag)"/>
    <x v="0"/>
    <n v="115"/>
    <n v="115"/>
    <s v="No change"/>
    <n v="0.14269498586031326"/>
    <n v="5.4673730437993617E-2"/>
    <n v="56.342954356259717"/>
    <n v="135.49751757567779"/>
    <n v="0"/>
    <n v="0.23520311629812385"/>
    <n v="0.21687142786828009"/>
  </r>
  <r>
    <x v="22"/>
    <x v="22"/>
    <n v="4331752.5"/>
    <x v="12"/>
    <n v="0"/>
    <n v="4427312.4999999991"/>
    <n v="0"/>
    <m/>
    <n v="0"/>
    <m/>
    <n v="0"/>
    <m/>
    <n v="0"/>
    <m/>
    <n v="0"/>
    <n v="4889391"/>
    <n v="0"/>
    <n v="527"/>
    <m/>
    <n v="0"/>
    <m/>
    <n v="0"/>
    <m/>
    <n v="0"/>
    <n v="5302681.0000000028"/>
    <n v="0"/>
    <n v="527"/>
    <n v="0"/>
    <n v="0"/>
    <n v="0"/>
    <n v="0"/>
    <s v=""/>
    <n v="527"/>
    <s v="2018 (triag)"/>
    <n v="527"/>
    <s v="2018 (triag)"/>
    <x v="0"/>
    <n v="527"/>
    <n v="527"/>
    <s v="No change"/>
    <n v="0.14269498586031326"/>
    <n v="5.4673730437993617E-2"/>
    <n v="258.19771257172931"/>
    <n v="620.93210228158432"/>
    <n v="0"/>
    <n v="1.0778438459922719"/>
    <n v="0.99383689118768359"/>
  </r>
  <r>
    <x v="22"/>
    <x v="22"/>
    <n v="4331753.5"/>
    <x v="13"/>
    <n v="0"/>
    <n v="4427312.4999999991"/>
    <n v="0"/>
    <m/>
    <n v="0"/>
    <m/>
    <n v="0"/>
    <m/>
    <n v="0"/>
    <m/>
    <n v="0"/>
    <n v="4889391"/>
    <n v="0"/>
    <n v="9"/>
    <m/>
    <n v="0"/>
    <m/>
    <n v="0"/>
    <m/>
    <n v="0"/>
    <n v="5302681.0000000028"/>
    <n v="0"/>
    <n v="9"/>
    <n v="0"/>
    <n v="0"/>
    <n v="0"/>
    <n v="0"/>
    <s v=""/>
    <n v="9"/>
    <s v="2018 (triag)"/>
    <n v="9"/>
    <s v="2018 (triag)"/>
    <x v="0"/>
    <n v="9"/>
    <n v="9"/>
    <s v="No change"/>
    <n v="0.14269498586031326"/>
    <n v="5.4673730437993617E-2"/>
    <n v="4.4094486017942387"/>
    <n v="10.60415354940087"/>
    <n v="0"/>
    <n v="1.8407200405940127E-2"/>
    <n v="1.6972546528821922E-2"/>
  </r>
  <r>
    <x v="22"/>
    <x v="22"/>
    <n v="4331754.5"/>
    <x v="14"/>
    <n v="0"/>
    <n v="4427312.4999999991"/>
    <n v="0"/>
    <m/>
    <n v="0"/>
    <m/>
    <n v="0"/>
    <m/>
    <n v="0"/>
    <m/>
    <n v="0"/>
    <n v="4889391"/>
    <n v="0"/>
    <n v="65"/>
    <m/>
    <n v="0"/>
    <m/>
    <n v="0"/>
    <m/>
    <n v="0"/>
    <n v="5302681.0000000028"/>
    <n v="0"/>
    <n v="65"/>
    <n v="0"/>
    <n v="0"/>
    <n v="0"/>
    <n v="0"/>
    <s v=""/>
    <n v="65"/>
    <s v="2018 (triag)"/>
    <n v="65"/>
    <s v="2018 (triag)"/>
    <x v="0"/>
    <n v="65"/>
    <n v="65"/>
    <s v="No change"/>
    <n v="0.14269498586031326"/>
    <n v="5.4673730437993617E-2"/>
    <n v="31.84601767962506"/>
    <n v="76.585553412339621"/>
    <n v="0"/>
    <n v="0.1329408918206787"/>
    <n v="0.12257950270815832"/>
  </r>
  <r>
    <x v="22"/>
    <x v="22"/>
    <n v="4331755.5"/>
    <x v="15"/>
    <n v="0"/>
    <n v="4427312.4999999991"/>
    <n v="0"/>
    <m/>
    <n v="0"/>
    <m/>
    <n v="0"/>
    <m/>
    <n v="0"/>
    <m/>
    <n v="0"/>
    <n v="4889391"/>
    <n v="0"/>
    <n v="5"/>
    <m/>
    <n v="0"/>
    <m/>
    <n v="0"/>
    <m/>
    <n v="0"/>
    <n v="5302681.0000000028"/>
    <n v="0"/>
    <n v="5"/>
    <n v="0"/>
    <n v="0"/>
    <n v="0"/>
    <n v="0"/>
    <s v=""/>
    <n v="5"/>
    <s v="2018 (triag)"/>
    <n v="5"/>
    <s v="2018 (triag)"/>
    <x v="0"/>
    <n v="5"/>
    <n v="5"/>
    <s v="No change"/>
    <n v="0.14269498586031326"/>
    <n v="5.4673730437993617E-2"/>
    <n v="2.4496936676634662"/>
    <n v="5.8911964163338171"/>
    <n v="0"/>
    <n v="1.0226222447744515E-2"/>
    <n v="9.4291925160121786E-3"/>
  </r>
  <r>
    <x v="22"/>
    <x v="22"/>
    <n v="4331756.5"/>
    <x v="16"/>
    <n v="0"/>
    <n v="4427312.4999999991"/>
    <n v="0"/>
    <m/>
    <n v="0"/>
    <m/>
    <n v="0"/>
    <m/>
    <n v="0"/>
    <m/>
    <n v="0"/>
    <n v="4889391"/>
    <n v="0"/>
    <n v="4311"/>
    <m/>
    <n v="0"/>
    <m/>
    <n v="0"/>
    <m/>
    <n v="0"/>
    <n v="5302681.0000000028"/>
    <n v="0"/>
    <n v="4311"/>
    <n v="0"/>
    <n v="0"/>
    <n v="0"/>
    <n v="0"/>
    <s v=""/>
    <n v="4311"/>
    <s v="2018 (triag)"/>
    <n v="4311"/>
    <s v="2018 (triag)"/>
    <x v="0"/>
    <n v="4311"/>
    <n v="4311"/>
    <s v="No change"/>
    <n v="0.14269498586031326"/>
    <n v="5.4673730437993617E-2"/>
    <n v="2112.1258802594407"/>
    <n v="5079.3895501630168"/>
    <n v="0"/>
    <n v="8.8170489944453205"/>
    <n v="8.1298497873056998"/>
  </r>
  <r>
    <x v="22"/>
    <x v="22"/>
    <n v="4331757.5"/>
    <x v="17"/>
    <n v="0"/>
    <n v="4427312.4999999991"/>
    <n v="0"/>
    <m/>
    <n v="0"/>
    <m/>
    <n v="0"/>
    <m/>
    <n v="0"/>
    <m/>
    <n v="0"/>
    <n v="4889391"/>
    <n v="0"/>
    <n v="3601"/>
    <m/>
    <n v="0"/>
    <m/>
    <n v="0"/>
    <m/>
    <n v="0"/>
    <n v="5302681.0000000028"/>
    <n v="0"/>
    <n v="3601"/>
    <n v="0"/>
    <n v="0"/>
    <n v="0"/>
    <n v="0"/>
    <s v=""/>
    <n v="3601"/>
    <s v="2018 (triag)"/>
    <n v="3601"/>
    <s v="2018 (triag)"/>
    <x v="0"/>
    <n v="3601"/>
    <n v="3601"/>
    <s v="No change"/>
    <n v="0.14269498586031326"/>
    <n v="5.4673730437993617E-2"/>
    <n v="1764.2693794512284"/>
    <n v="4242.839659043615"/>
    <n v="0"/>
    <n v="7.3649254068655994"/>
    <n v="6.7909044500319711"/>
  </r>
  <r>
    <x v="22"/>
    <x v="22"/>
    <n v="4331758.5"/>
    <x v="18"/>
    <n v="0"/>
    <n v="4427312.4999999991"/>
    <n v="0"/>
    <m/>
    <n v="0"/>
    <m/>
    <n v="0"/>
    <m/>
    <n v="0"/>
    <m/>
    <n v="0"/>
    <n v="4889391"/>
    <n v="0"/>
    <n v="0"/>
    <m/>
    <n v="0"/>
    <m/>
    <n v="0"/>
    <m/>
    <n v="0"/>
    <n v="5302681.0000000028"/>
    <n v="0"/>
    <n v="0"/>
    <n v="0"/>
    <n v="0"/>
    <n v="0"/>
    <n v="0"/>
    <s v=""/>
    <n v="0"/>
    <s v=""/>
    <n v="0"/>
    <s v=""/>
    <x v="0"/>
    <n v="0"/>
    <n v="0"/>
    <s v="No change"/>
    <n v="0.14269498586031326"/>
    <n v="5.4673730437993617E-2"/>
    <n v="0"/>
    <n v="0"/>
    <n v="0"/>
    <n v="0"/>
    <n v="0"/>
  </r>
  <r>
    <x v="22"/>
    <x v="22"/>
    <n v="4331759.5"/>
    <x v="19"/>
    <n v="0"/>
    <n v="4427312.4999999991"/>
    <n v="0"/>
    <m/>
    <n v="0"/>
    <m/>
    <n v="0"/>
    <m/>
    <n v="0"/>
    <m/>
    <n v="0"/>
    <n v="4889391"/>
    <n v="0"/>
    <n v="0"/>
    <m/>
    <n v="0"/>
    <m/>
    <n v="0"/>
    <m/>
    <n v="0"/>
    <n v="5302681.0000000028"/>
    <n v="0"/>
    <n v="0"/>
    <n v="0"/>
    <n v="0"/>
    <n v="0"/>
    <n v="0"/>
    <s v=""/>
    <n v="0"/>
    <s v=""/>
    <n v="0"/>
    <s v=""/>
    <x v="0"/>
    <n v="0"/>
    <n v="0"/>
    <s v="No change"/>
    <n v="0.14269498586031326"/>
    <n v="5.4673730437993617E-2"/>
    <n v="0"/>
    <n v="0"/>
    <n v="0"/>
    <n v="0"/>
    <n v="0"/>
  </r>
  <r>
    <x v="22"/>
    <x v="22"/>
    <n v="4331760.5"/>
    <x v="20"/>
    <n v="0"/>
    <n v="4427312.4999999991"/>
    <n v="0"/>
    <m/>
    <n v="0"/>
    <m/>
    <n v="0"/>
    <m/>
    <n v="0"/>
    <m/>
    <n v="0"/>
    <n v="4889391"/>
    <n v="0"/>
    <n v="3"/>
    <m/>
    <n v="0"/>
    <m/>
    <n v="0"/>
    <m/>
    <n v="0"/>
    <n v="5302681.0000000028"/>
    <n v="0"/>
    <n v="3"/>
    <n v="0"/>
    <n v="0"/>
    <n v="0"/>
    <n v="0"/>
    <s v=""/>
    <n v="3"/>
    <s v="2018 (triag)"/>
    <n v="3"/>
    <s v="2018 (triag)"/>
    <x v="0"/>
    <n v="3"/>
    <n v="3"/>
    <s v="No change"/>
    <n v="0.14269498586031326"/>
    <n v="5.4673730437993617E-2"/>
    <n v="1.4698162005980797"/>
    <n v="3.5347178498002902"/>
    <n v="0"/>
    <n v="6.1357334686467091E-3"/>
    <n v="5.657515509607307E-3"/>
  </r>
  <r>
    <x v="22"/>
    <x v="22"/>
    <n v="4331761.5"/>
    <x v="21"/>
    <n v="0"/>
    <n v="4427312.4999999991"/>
    <n v="0"/>
    <m/>
    <n v="0"/>
    <m/>
    <n v="0"/>
    <m/>
    <n v="0"/>
    <m/>
    <n v="0"/>
    <n v="4889391"/>
    <n v="0"/>
    <n v="0"/>
    <m/>
    <n v="0"/>
    <m/>
    <n v="0"/>
    <m/>
    <n v="0"/>
    <n v="5302681.0000000028"/>
    <n v="0"/>
    <n v="0"/>
    <n v="0"/>
    <n v="0"/>
    <n v="0"/>
    <n v="0"/>
    <s v=""/>
    <n v="0"/>
    <s v=""/>
    <n v="0"/>
    <s v=""/>
    <x v="0"/>
    <n v="0"/>
    <n v="0"/>
    <s v="No change"/>
    <n v="0.14269498586031326"/>
    <n v="5.4673730437993617E-2"/>
    <n v="0"/>
    <n v="0"/>
    <n v="0"/>
    <n v="0"/>
    <n v="0"/>
  </r>
  <r>
    <x v="22"/>
    <x v="22"/>
    <n v="4331762.5"/>
    <x v="22"/>
    <n v="0"/>
    <n v="4427312.4999999991"/>
    <n v="0"/>
    <m/>
    <n v="0"/>
    <m/>
    <n v="0"/>
    <m/>
    <n v="0"/>
    <m/>
    <n v="0"/>
    <n v="4889391"/>
    <n v="0"/>
    <n v="0"/>
    <m/>
    <n v="0"/>
    <m/>
    <n v="0"/>
    <m/>
    <n v="0"/>
    <n v="5302681.0000000028"/>
    <n v="0"/>
    <n v="0"/>
    <n v="0"/>
    <n v="0"/>
    <n v="0"/>
    <n v="0"/>
    <s v=""/>
    <n v="0"/>
    <s v=""/>
    <n v="0"/>
    <s v=""/>
    <x v="0"/>
    <n v="0"/>
    <n v="0"/>
    <s v="No change"/>
    <n v="0.14269498586031326"/>
    <n v="5.4673730437993617E-2"/>
    <n v="0"/>
    <n v="0"/>
    <n v="0"/>
    <n v="0"/>
    <n v="0"/>
  </r>
  <r>
    <x v="22"/>
    <x v="22"/>
    <n v="4331763.5"/>
    <x v="23"/>
    <n v="0"/>
    <n v="4427312.4999999991"/>
    <n v="0"/>
    <m/>
    <n v="0"/>
    <m/>
    <n v="0"/>
    <m/>
    <n v="0"/>
    <m/>
    <n v="0"/>
    <n v="4889391"/>
    <n v="0"/>
    <n v="0"/>
    <m/>
    <n v="0"/>
    <m/>
    <n v="0"/>
    <m/>
    <n v="0"/>
    <n v="5302681.0000000028"/>
    <n v="0"/>
    <n v="0"/>
    <n v="0"/>
    <n v="0"/>
    <n v="0"/>
    <n v="0"/>
    <s v=""/>
    <n v="0"/>
    <s v=""/>
    <n v="0"/>
    <s v=""/>
    <x v="0"/>
    <n v="0"/>
    <n v="0"/>
    <s v="No change"/>
    <n v="0.14269498586031326"/>
    <n v="5.4673730437993617E-2"/>
    <n v="0"/>
    <n v="0"/>
    <n v="0"/>
    <n v="0"/>
    <n v="0"/>
  </r>
  <r>
    <x v="23"/>
    <x v="23"/>
    <n v="2054717.9999999998"/>
    <x v="0"/>
    <n v="0"/>
    <n v="2073938.4999999998"/>
    <n v="0"/>
    <n v="2095242.4999999993"/>
    <n v="0"/>
    <n v="2118520.5000000019"/>
    <n v="0"/>
    <n v="2143872.0000000023"/>
    <n v="0"/>
    <n v="2170616.9999999995"/>
    <n v="0"/>
    <n v="2198017"/>
    <n v="1996"/>
    <n v="1996"/>
    <n v="2225701.4999999995"/>
    <n v="0"/>
    <n v="2254100.0000000005"/>
    <n v="0"/>
    <n v="2281454.5000000014"/>
    <n v="420"/>
    <n v="2305825.5000000019"/>
    <n v="748"/>
    <n v="998"/>
    <n v="0"/>
    <n v="1996"/>
    <n v="748"/>
    <n v="0"/>
    <s v=""/>
    <n v="1996"/>
    <n v="2018"/>
    <n v="748"/>
    <n v="2022"/>
    <x v="1"/>
    <n v="955.676462836057"/>
    <n v="1996"/>
    <s v="Decreasing"/>
    <n v="-2.9414192821425544E-2"/>
    <n v="0.35384209356504925"/>
    <n v="1156.1192951663259"/>
    <n v="2884.9982057163861"/>
    <n v="0"/>
    <n v="9.0809124770190586"/>
    <n v="8.6563358762404103"/>
  </r>
  <r>
    <x v="23"/>
    <x v="23"/>
    <n v="2054719"/>
    <x v="1"/>
    <n v="0"/>
    <n v="2073938.4999999998"/>
    <n v="3746"/>
    <m/>
    <n v="0"/>
    <m/>
    <n v="0"/>
    <m/>
    <n v="0"/>
    <m/>
    <n v="0"/>
    <n v="2198017"/>
    <n v="13732"/>
    <n v="13732"/>
    <m/>
    <n v="0"/>
    <m/>
    <n v="0"/>
    <m/>
    <n v="2779"/>
    <n v="2305825.5000000019"/>
    <n v="0"/>
    <n v="967"/>
    <n v="3746"/>
    <n v="13732"/>
    <n v="2779"/>
    <n v="3746"/>
    <n v="2013"/>
    <n v="13732"/>
    <n v="2018"/>
    <n v="2779"/>
    <n v="2021"/>
    <x v="1"/>
    <n v="3550.5680350553507"/>
    <n v="13732"/>
    <s v="Decreasing"/>
    <n v="-2.9414192821425544E-2"/>
    <n v="0.35384209356504925"/>
    <n v="1120.2077739737847"/>
    <n v="2795.3840329937329"/>
    <n v="18.062252087031514"/>
    <n v="62.474494055323504"/>
    <n v="59.553509144555775"/>
  </r>
  <r>
    <x v="23"/>
    <x v="23"/>
    <n v="2054720"/>
    <x v="2"/>
    <n v="0"/>
    <n v="2073938.4999999998"/>
    <n v="0"/>
    <m/>
    <n v="0"/>
    <m/>
    <n v="0"/>
    <m/>
    <n v="0"/>
    <m/>
    <n v="0"/>
    <n v="2198017"/>
    <n v="0"/>
    <n v="2779"/>
    <m/>
    <n v="0"/>
    <m/>
    <n v="0"/>
    <m/>
    <n v="967"/>
    <n v="2305825.5000000019"/>
    <n v="0"/>
    <n v="2779"/>
    <n v="0"/>
    <n v="0"/>
    <n v="967"/>
    <n v="0"/>
    <s v=""/>
    <n v="2779"/>
    <s v="2018 (triag)"/>
    <n v="967"/>
    <n v="2021"/>
    <x v="1"/>
    <n v="1235.4801331049025"/>
    <n v="2779"/>
    <s v="Decreasing"/>
    <n v="-2.9414192821425544E-2"/>
    <n v="0.35384209356504925"/>
    <n v="3219.2941094861922"/>
    <n v="8033.476967621079"/>
    <n v="0"/>
    <n v="12.64321431544888"/>
    <n v="12.052082865767586"/>
  </r>
  <r>
    <x v="23"/>
    <x v="23"/>
    <n v="2054721"/>
    <x v="3"/>
    <n v="0"/>
    <n v="2073938.4999999998"/>
    <n v="318"/>
    <m/>
    <n v="76"/>
    <m/>
    <n v="128"/>
    <m/>
    <n v="0"/>
    <m/>
    <n v="0"/>
    <n v="2198017"/>
    <n v="0"/>
    <n v="398"/>
    <m/>
    <n v="0"/>
    <m/>
    <n v="580"/>
    <m/>
    <n v="97"/>
    <n v="2305825.5000000019"/>
    <n v="0"/>
    <n v="398"/>
    <n v="318"/>
    <n v="0"/>
    <n v="580"/>
    <n v="318"/>
    <n v="2013"/>
    <n v="398"/>
    <s v="2018 (triag)"/>
    <n v="97"/>
    <n v="2021"/>
    <x v="1"/>
    <n v="123.93130600948868"/>
    <n v="398"/>
    <s v="Decreasing"/>
    <n v="-2.9414192821425544E-2"/>
    <n v="0.35384209356504925"/>
    <n v="461.05759466552877"/>
    <n v="1150.5303465682582"/>
    <n v="1.5333145124602299"/>
    <n v="1.8107230289847622"/>
    <n v="1.7260629653024466"/>
  </r>
  <r>
    <x v="23"/>
    <x v="23"/>
    <n v="2054722"/>
    <x v="4"/>
    <n v="0"/>
    <n v="2073938.4999999998"/>
    <n v="66"/>
    <m/>
    <n v="117"/>
    <m/>
    <n v="50"/>
    <m/>
    <n v="0"/>
    <m/>
    <n v="0"/>
    <n v="2198017"/>
    <n v="0"/>
    <n v="159"/>
    <m/>
    <n v="0"/>
    <m/>
    <n v="117"/>
    <m/>
    <n v="25"/>
    <n v="2305825.5000000019"/>
    <n v="0"/>
    <n v="159"/>
    <n v="117"/>
    <n v="0"/>
    <n v="117"/>
    <n v="66"/>
    <n v="2013"/>
    <n v="159"/>
    <s v="2018 (triag)"/>
    <n v="25"/>
    <n v="2021"/>
    <x v="1"/>
    <n v="31.941058249868213"/>
    <n v="159"/>
    <s v="Decreasing"/>
    <n v="-2.9414192821425544E-2"/>
    <n v="0.35384209356504925"/>
    <n v="184.19135063271122"/>
    <n v="459.6339826742539"/>
    <n v="0.31823508749174584"/>
    <n v="0.7233793005240633"/>
    <n v="0.68955781779670611"/>
  </r>
  <r>
    <x v="23"/>
    <x v="23"/>
    <n v="2054723"/>
    <x v="5"/>
    <n v="0"/>
    <n v="2073938.4999999998"/>
    <n v="0"/>
    <m/>
    <n v="0"/>
    <m/>
    <n v="0"/>
    <m/>
    <n v="0"/>
    <m/>
    <n v="0"/>
    <n v="2198017"/>
    <n v="14508"/>
    <n v="14508"/>
    <m/>
    <n v="0"/>
    <m/>
    <n v="0"/>
    <m/>
    <n v="14508"/>
    <n v="2305825.5000000019"/>
    <n v="14508"/>
    <n v="14508"/>
    <n v="0"/>
    <n v="14508"/>
    <n v="14508"/>
    <n v="0"/>
    <s v=""/>
    <n v="14508"/>
    <n v="2018"/>
    <n v="14508"/>
    <n v="2021"/>
    <x v="0"/>
    <n v="14508"/>
    <n v="14508"/>
    <s v="No change"/>
    <n v="-2.9414192821425544E-2"/>
    <n v="0.35384209356504925"/>
    <n v="16806.591918109276"/>
    <n v="41939.432834201732"/>
    <n v="0"/>
    <n v="66.004949006308863"/>
    <n v="62.918898242733405"/>
  </r>
  <r>
    <x v="23"/>
    <x v="23"/>
    <n v="2054724"/>
    <x v="6"/>
    <n v="0"/>
    <n v="2073938.4999999998"/>
    <n v="11"/>
    <m/>
    <n v="0"/>
    <m/>
    <n v="16"/>
    <m/>
    <n v="0"/>
    <m/>
    <n v="0"/>
    <n v="2198017"/>
    <n v="0"/>
    <n v="29"/>
    <m/>
    <n v="0"/>
    <m/>
    <n v="43"/>
    <m/>
    <n v="0"/>
    <n v="2305825.5000000019"/>
    <n v="0"/>
    <n v="29"/>
    <n v="16"/>
    <n v="0"/>
    <n v="43"/>
    <n v="11"/>
    <n v="2013"/>
    <n v="29"/>
    <s v="2018 (triag)"/>
    <n v="43"/>
    <n v="2020"/>
    <x v="0"/>
    <n v="43"/>
    <n v="43"/>
    <s v="Increasing"/>
    <n v="-2.9414192821425544E-2"/>
    <n v="0.35384209356504925"/>
    <n v="33.59464885753853"/>
    <n v="83.832613192159513"/>
    <n v="5.3039181248624299E-2"/>
    <n v="0.13193710512703041"/>
    <n v="0.18648418971860606"/>
  </r>
  <r>
    <x v="23"/>
    <x v="23"/>
    <n v="2054725"/>
    <x v="7"/>
    <n v="0"/>
    <n v="2073938.4999999998"/>
    <n v="205"/>
    <m/>
    <n v="0"/>
    <m/>
    <n v="142"/>
    <m/>
    <n v="0"/>
    <m/>
    <n v="0"/>
    <n v="2198017"/>
    <n v="0"/>
    <n v="144"/>
    <m/>
    <n v="0"/>
    <m/>
    <n v="0"/>
    <m/>
    <n v="144"/>
    <n v="2305825.5000000019"/>
    <n v="144"/>
    <n v="144"/>
    <n v="205"/>
    <n v="0"/>
    <n v="144"/>
    <n v="205"/>
    <n v="2013"/>
    <n v="144"/>
    <s v="2018 (triag)"/>
    <n v="144"/>
    <n v="2021"/>
    <x v="0"/>
    <n v="144"/>
    <n v="144"/>
    <s v="No change"/>
    <n v="-2.9414192821425544E-2"/>
    <n v="0.35384209356504925"/>
    <n v="166.81480812019132"/>
    <n v="416.27228619555069"/>
    <n v="0.98845746872436202"/>
    <n v="0.65513597028594406"/>
    <n v="0.6245051934762621"/>
  </r>
  <r>
    <x v="23"/>
    <x v="23"/>
    <n v="2054726"/>
    <x v="8"/>
    <n v="0"/>
    <n v="2073938.4999999998"/>
    <n v="0"/>
    <m/>
    <n v="0"/>
    <m/>
    <n v="0"/>
    <m/>
    <n v="0"/>
    <m/>
    <n v="0"/>
    <n v="2198017"/>
    <n v="0"/>
    <n v="849"/>
    <m/>
    <n v="0"/>
    <m/>
    <n v="0"/>
    <m/>
    <n v="0"/>
    <n v="2305825.5000000019"/>
    <n v="0"/>
    <n v="849"/>
    <n v="0"/>
    <n v="0"/>
    <n v="0"/>
    <n v="0"/>
    <s v=""/>
    <n v="849"/>
    <s v="2018 (triag)"/>
    <n v="849"/>
    <s v="2018 (triag)"/>
    <x v="0"/>
    <n v="849"/>
    <n v="849"/>
    <s v="No change"/>
    <n v="-2.9414192821425544E-2"/>
    <n v="0.35384209356504925"/>
    <n v="983.51230620862793"/>
    <n v="2454.272020694601"/>
    <n v="0"/>
    <n v="3.8625724914775454"/>
    <n v="3.6819785365371289"/>
  </r>
  <r>
    <x v="23"/>
    <x v="23"/>
    <n v="2054727"/>
    <x v="9"/>
    <n v="0"/>
    <n v="2073938.4999999998"/>
    <n v="0"/>
    <m/>
    <n v="0"/>
    <m/>
    <n v="0"/>
    <m/>
    <n v="0"/>
    <m/>
    <n v="0"/>
    <n v="2198017"/>
    <n v="0"/>
    <n v="110"/>
    <m/>
    <n v="0"/>
    <m/>
    <n v="0"/>
    <m/>
    <n v="0"/>
    <n v="2305825.5000000019"/>
    <n v="33"/>
    <n v="110"/>
    <n v="0"/>
    <n v="0"/>
    <n v="33"/>
    <n v="0"/>
    <s v=""/>
    <n v="110"/>
    <s v="2018 (triag)"/>
    <n v="33"/>
    <n v="2022"/>
    <x v="1"/>
    <n v="42.162196889826042"/>
    <n v="110"/>
    <s v="Decreasing"/>
    <n v="-2.9414192821425544E-2"/>
    <n v="0.35384209356504925"/>
    <n v="127.42797842514614"/>
    <n v="317.98577417715677"/>
    <n v="0"/>
    <n v="0.500451088412874"/>
    <n v="0.47705257834992243"/>
  </r>
  <r>
    <x v="23"/>
    <x v="23"/>
    <n v="2054728"/>
    <x v="10"/>
    <n v="0"/>
    <n v="2073938.4999999998"/>
    <n v="0"/>
    <m/>
    <n v="0"/>
    <m/>
    <n v="0"/>
    <m/>
    <n v="0"/>
    <m/>
    <n v="0"/>
    <n v="2198017"/>
    <n v="0"/>
    <n v="10"/>
    <m/>
    <n v="6"/>
    <m/>
    <n v="0"/>
    <m/>
    <n v="13"/>
    <n v="2305825.5000000019"/>
    <n v="13"/>
    <n v="10"/>
    <n v="0"/>
    <n v="6"/>
    <n v="13"/>
    <n v="0"/>
    <s v=""/>
    <n v="10"/>
    <s v="2018 (triag)"/>
    <n v="13"/>
    <n v="2021"/>
    <x v="0"/>
    <n v="13"/>
    <n v="13"/>
    <s v="Increasing"/>
    <n v="-2.9414192821425544E-2"/>
    <n v="0.35384209356504925"/>
    <n v="11.584361675013286"/>
    <n v="28.907797652468798"/>
    <n v="0"/>
    <n v="4.5495553492079455E-2"/>
    <n v="5.6378941077718105E-2"/>
  </r>
  <r>
    <x v="23"/>
    <x v="23"/>
    <n v="2054729"/>
    <x v="11"/>
    <n v="0"/>
    <n v="2073938.4999999998"/>
    <n v="0"/>
    <m/>
    <n v="0"/>
    <m/>
    <n v="0"/>
    <m/>
    <n v="0"/>
    <m/>
    <n v="0"/>
    <n v="2198017"/>
    <n v="205"/>
    <n v="416"/>
    <m/>
    <n v="0"/>
    <m/>
    <n v="0"/>
    <m/>
    <m/>
    <n v="2305825.5000000019"/>
    <n v="0"/>
    <n v="416"/>
    <n v="0"/>
    <n v="205"/>
    <n v="0"/>
    <n v="0"/>
    <s v=""/>
    <n v="416"/>
    <s v="2018 (triag)"/>
    <n v="416"/>
    <s v="2018 (triag)"/>
    <x v="0"/>
    <n v="416"/>
    <n v="416"/>
    <s v="No change"/>
    <n v="-2.9414192821425544E-2"/>
    <n v="0.35384209356504925"/>
    <n v="481.90944568055266"/>
    <n v="1202.5643823427019"/>
    <n v="0"/>
    <n v="1.8926150252705052"/>
    <n v="1.8041261144869793"/>
  </r>
  <r>
    <x v="23"/>
    <x v="23"/>
    <n v="2054730"/>
    <x v="12"/>
    <n v="0"/>
    <n v="2073938.4999999998"/>
    <n v="0"/>
    <m/>
    <n v="0"/>
    <m/>
    <n v="0"/>
    <m/>
    <n v="0"/>
    <m/>
    <n v="0"/>
    <n v="2198017"/>
    <n v="0"/>
    <n v="71"/>
    <m/>
    <n v="0"/>
    <m/>
    <n v="0"/>
    <m/>
    <n v="0"/>
    <n v="2305825.5000000019"/>
    <n v="5"/>
    <n v="71"/>
    <n v="0"/>
    <n v="0"/>
    <n v="5"/>
    <n v="0"/>
    <s v=""/>
    <n v="71"/>
    <s v="2018 (triag)"/>
    <n v="5"/>
    <n v="2022"/>
    <x v="1"/>
    <n v="6.388211649973643"/>
    <n v="71"/>
    <s v="Decreasing"/>
    <n v="-2.9414192821425544E-2"/>
    <n v="0.35384209356504925"/>
    <n v="82.248967892594322"/>
    <n v="205.24536333252846"/>
    <n v="0"/>
    <n v="0.32301842979376411"/>
    <n v="0.30791575511676811"/>
  </r>
  <r>
    <x v="23"/>
    <x v="23"/>
    <n v="2054731"/>
    <x v="13"/>
    <n v="0"/>
    <n v="2073938.4999999998"/>
    <n v="0"/>
    <m/>
    <n v="0"/>
    <m/>
    <n v="0"/>
    <m/>
    <n v="0"/>
    <m/>
    <n v="0"/>
    <n v="2198017"/>
    <n v="0"/>
    <n v="41"/>
    <m/>
    <n v="0"/>
    <m/>
    <n v="0"/>
    <m/>
    <n v="41"/>
    <n v="2305825.5000000019"/>
    <n v="76"/>
    <n v="41"/>
    <n v="0"/>
    <n v="0"/>
    <n v="76"/>
    <n v="0"/>
    <s v=""/>
    <n v="41"/>
    <s v="2018 (triag)"/>
    <n v="76"/>
    <n v="2022"/>
    <x v="0"/>
    <n v="76"/>
    <n v="76"/>
    <s v="Increasing"/>
    <n v="-2.9414192821425544E-2"/>
    <n v="0.35384209356504925"/>
    <n v="47.495882867554471"/>
    <n v="118.52197037512208"/>
    <n v="0"/>
    <n v="0.18653176931752574"/>
    <n v="0.32959996322358276"/>
  </r>
  <r>
    <x v="23"/>
    <x v="23"/>
    <n v="2054732"/>
    <x v="14"/>
    <n v="0"/>
    <n v="2073938.4999999998"/>
    <n v="0"/>
    <m/>
    <n v="0"/>
    <m/>
    <n v="0"/>
    <m/>
    <n v="0"/>
    <m/>
    <n v="0"/>
    <n v="2198017"/>
    <n v="0"/>
    <n v="349"/>
    <m/>
    <n v="0"/>
    <m/>
    <n v="0"/>
    <m/>
    <n v="0"/>
    <n v="2305825.5000000019"/>
    <n v="0"/>
    <n v="349"/>
    <n v="0"/>
    <n v="0"/>
    <n v="0"/>
    <n v="0"/>
    <s v=""/>
    <n v="349"/>
    <s v="2018 (triag)"/>
    <n v="349"/>
    <s v="2018 (triag)"/>
    <x v="0"/>
    <n v="349"/>
    <n v="349"/>
    <s v="No change"/>
    <n v="-2.9414192821425544E-2"/>
    <n v="0.35384209356504925"/>
    <n v="404.29422245796366"/>
    <n v="1008.8821380711611"/>
    <n v="0"/>
    <n v="1.5877948168735729"/>
    <n v="1.5135577258556629"/>
  </r>
  <r>
    <x v="23"/>
    <x v="23"/>
    <n v="2054733"/>
    <x v="15"/>
    <n v="0"/>
    <n v="2073938.4999999998"/>
    <n v="0"/>
    <m/>
    <n v="0"/>
    <m/>
    <n v="0"/>
    <m/>
    <n v="0"/>
    <m/>
    <n v="0"/>
    <n v="2198017"/>
    <n v="0"/>
    <n v="8"/>
    <m/>
    <n v="0"/>
    <m/>
    <n v="0"/>
    <m/>
    <n v="13"/>
    <n v="2305825.5000000019"/>
    <n v="13"/>
    <n v="8"/>
    <n v="0"/>
    <n v="0"/>
    <n v="13"/>
    <n v="0"/>
    <s v=""/>
    <n v="8"/>
    <s v="2018 (triag)"/>
    <n v="13"/>
    <n v="2021"/>
    <x v="0"/>
    <n v="13"/>
    <n v="13"/>
    <s v="Increasing"/>
    <n v="-2.9414192821425544E-2"/>
    <n v="0.35384209356504925"/>
    <n v="9.2674893400106289"/>
    <n v="23.126238121975039"/>
    <n v="0"/>
    <n v="3.639644279366356E-2"/>
    <n v="5.6378941077718105E-2"/>
  </r>
  <r>
    <x v="23"/>
    <x v="23"/>
    <n v="2054734"/>
    <x v="16"/>
    <n v="0"/>
    <n v="2073938.4999999998"/>
    <n v="0"/>
    <m/>
    <n v="0"/>
    <m/>
    <n v="0"/>
    <m/>
    <n v="0"/>
    <m/>
    <n v="0"/>
    <n v="2198017"/>
    <n v="0"/>
    <n v="2130"/>
    <m/>
    <n v="0"/>
    <m/>
    <n v="0"/>
    <m/>
    <n v="0"/>
    <n v="2305825.5000000019"/>
    <n v="620"/>
    <n v="2130"/>
    <n v="0"/>
    <n v="0"/>
    <n v="620"/>
    <n v="0"/>
    <s v=""/>
    <n v="2130"/>
    <s v="2018 (triag)"/>
    <n v="620"/>
    <n v="2022"/>
    <x v="1"/>
    <n v="792.13824459673174"/>
    <n v="2130"/>
    <s v="Decreasing"/>
    <n v="-2.9414192821425544E-2"/>
    <n v="0.35384209356504925"/>
    <n v="2467.4690367778298"/>
    <n v="6157.3608999758544"/>
    <n v="0"/>
    <n v="9.6905528938129226"/>
    <n v="9.237472653503044"/>
  </r>
  <r>
    <x v="23"/>
    <x v="23"/>
    <n v="2054735"/>
    <x v="17"/>
    <n v="0"/>
    <n v="2073938.4999999998"/>
    <n v="0"/>
    <m/>
    <n v="0"/>
    <m/>
    <n v="0"/>
    <m/>
    <n v="0"/>
    <m/>
    <n v="0"/>
    <n v="2198017"/>
    <n v="0"/>
    <n v="58"/>
    <m/>
    <n v="0"/>
    <m/>
    <n v="0"/>
    <m/>
    <n v="0"/>
    <n v="2305825.5000000019"/>
    <n v="0"/>
    <n v="58"/>
    <n v="0"/>
    <n v="0"/>
    <n v="0"/>
    <n v="0"/>
    <s v=""/>
    <n v="58"/>
    <s v="2018 (triag)"/>
    <n v="58"/>
    <s v="2018 (triag)"/>
    <x v="0"/>
    <n v="58"/>
    <n v="58"/>
    <s v="No change"/>
    <n v="-2.9414192821425544E-2"/>
    <n v="0.35384209356504925"/>
    <n v="67.189297715077061"/>
    <n v="167.66522638431903"/>
    <n v="0"/>
    <n v="0.26387421025406083"/>
    <n v="0.25153681403905004"/>
  </r>
  <r>
    <x v="23"/>
    <x v="23"/>
    <n v="2054736"/>
    <x v="18"/>
    <n v="0"/>
    <n v="2073938.4999999998"/>
    <n v="0"/>
    <m/>
    <n v="0"/>
    <m/>
    <n v="0"/>
    <m/>
    <n v="0"/>
    <m/>
    <n v="0"/>
    <n v="2198017"/>
    <n v="0"/>
    <n v="205"/>
    <m/>
    <n v="0"/>
    <m/>
    <n v="0"/>
    <m/>
    <n v="273"/>
    <n v="2305825.5000000019"/>
    <n v="273"/>
    <n v="205"/>
    <n v="0"/>
    <n v="0"/>
    <n v="273"/>
    <n v="0"/>
    <s v=""/>
    <n v="205"/>
    <s v="2018 (triag)"/>
    <n v="273"/>
    <n v="2021"/>
    <x v="0"/>
    <n v="273"/>
    <n v="273"/>
    <s v="Increasing"/>
    <n v="-2.9414192821425544E-2"/>
    <n v="0.35384209356504925"/>
    <n v="237.47941433777234"/>
    <n v="592.60985187561039"/>
    <n v="0"/>
    <n v="0.93265884658762876"/>
    <n v="1.1839577626320803"/>
  </r>
  <r>
    <x v="23"/>
    <x v="23"/>
    <n v="2054737"/>
    <x v="19"/>
    <n v="0"/>
    <n v="2073938.4999999998"/>
    <n v="0"/>
    <m/>
    <n v="0"/>
    <m/>
    <n v="0"/>
    <m/>
    <n v="0"/>
    <m/>
    <n v="0"/>
    <n v="2198017"/>
    <n v="0"/>
    <n v="4"/>
    <m/>
    <n v="0"/>
    <m/>
    <n v="0"/>
    <m/>
    <n v="0"/>
    <n v="2305825.5000000019"/>
    <n v="2"/>
    <n v="4"/>
    <n v="0"/>
    <n v="0"/>
    <n v="2"/>
    <n v="0"/>
    <s v=""/>
    <n v="4"/>
    <s v="2018 (triag)"/>
    <n v="2"/>
    <n v="2022"/>
    <x v="1"/>
    <n v="2.5552846599894572"/>
    <n v="4"/>
    <s v="Decreasing"/>
    <n v="-2.9414192821425544E-2"/>
    <n v="0.35384209356504925"/>
    <n v="4.6337446700053144"/>
    <n v="11.563119060987519"/>
    <n v="0"/>
    <n v="1.819822139683178E-2"/>
    <n v="1.7347366485451727E-2"/>
  </r>
  <r>
    <x v="23"/>
    <x v="23"/>
    <n v="2054738"/>
    <x v="20"/>
    <n v="0"/>
    <n v="2073938.4999999998"/>
    <n v="0"/>
    <m/>
    <n v="0"/>
    <m/>
    <n v="0"/>
    <m/>
    <n v="0"/>
    <m/>
    <n v="0"/>
    <n v="2198017"/>
    <n v="0"/>
    <n v="22"/>
    <m/>
    <n v="0"/>
    <m/>
    <n v="0"/>
    <m/>
    <n v="22"/>
    <n v="2305825.5000000019"/>
    <n v="7"/>
    <n v="22"/>
    <n v="0"/>
    <n v="0"/>
    <n v="22"/>
    <n v="0"/>
    <s v=""/>
    <n v="22"/>
    <s v="2018 (triag)"/>
    <n v="7"/>
    <n v="2022"/>
    <x v="1"/>
    <n v="8.9434963099631002"/>
    <n v="22"/>
    <s v="Decreasing"/>
    <n v="-2.9414192821425544E-2"/>
    <n v="0.35384209356504925"/>
    <n v="25.485595685029228"/>
    <n v="63.597154835431354"/>
    <n v="0"/>
    <n v="0.1000902176825748"/>
    <n v="9.5410515669984486E-2"/>
  </r>
  <r>
    <x v="23"/>
    <x v="23"/>
    <n v="2054739"/>
    <x v="21"/>
    <n v="0"/>
    <n v="2073938.4999999998"/>
    <n v="0"/>
    <m/>
    <n v="0"/>
    <m/>
    <n v="0"/>
    <m/>
    <n v="0"/>
    <m/>
    <n v="0"/>
    <n v="2198017"/>
    <n v="0"/>
    <n v="0"/>
    <m/>
    <n v="0"/>
    <m/>
    <n v="0"/>
    <m/>
    <n v="0"/>
    <n v="2305825.5000000019"/>
    <n v="0"/>
    <n v="0"/>
    <n v="0"/>
    <n v="0"/>
    <n v="0"/>
    <n v="0"/>
    <s v=""/>
    <n v="0"/>
    <s v=""/>
    <n v="0"/>
    <s v=""/>
    <x v="0"/>
    <n v="0"/>
    <n v="0"/>
    <s v="No change"/>
    <n v="-2.9414192821425544E-2"/>
    <n v="0.35384209356504925"/>
    <n v="0"/>
    <n v="0"/>
    <n v="0"/>
    <n v="0"/>
    <n v="0"/>
  </r>
  <r>
    <x v="23"/>
    <x v="23"/>
    <n v="2054740"/>
    <x v="22"/>
    <n v="0"/>
    <n v="2073938.4999999998"/>
    <n v="0"/>
    <m/>
    <n v="0"/>
    <m/>
    <n v="0"/>
    <m/>
    <n v="0"/>
    <m/>
    <n v="0"/>
    <n v="2198017"/>
    <n v="0"/>
    <n v="0"/>
    <m/>
    <n v="0"/>
    <m/>
    <n v="0"/>
    <m/>
    <n v="0"/>
    <n v="2305825.5000000019"/>
    <n v="0"/>
    <n v="0"/>
    <n v="0"/>
    <n v="0"/>
    <n v="0"/>
    <n v="0"/>
    <s v=""/>
    <n v="0"/>
    <s v=""/>
    <n v="0"/>
    <s v=""/>
    <x v="0"/>
    <n v="0"/>
    <n v="0"/>
    <s v="No change"/>
    <n v="-2.9414192821425544E-2"/>
    <n v="0.35384209356504925"/>
    <n v="0"/>
    <n v="0"/>
    <n v="0"/>
    <n v="0"/>
    <n v="0"/>
  </r>
  <r>
    <x v="23"/>
    <x v="23"/>
    <n v="2054741"/>
    <x v="23"/>
    <n v="0"/>
    <n v="2073938.4999999998"/>
    <n v="0"/>
    <m/>
    <n v="0"/>
    <m/>
    <n v="0"/>
    <m/>
    <n v="0"/>
    <m/>
    <n v="0"/>
    <n v="2198017"/>
    <n v="0"/>
    <n v="6097"/>
    <m/>
    <n v="0"/>
    <m/>
    <n v="0"/>
    <m/>
    <n v="0"/>
    <n v="2305825.5000000019"/>
    <n v="0"/>
    <n v="6097"/>
    <n v="0"/>
    <n v="0"/>
    <n v="0"/>
    <n v="0"/>
    <s v=""/>
    <n v="6097"/>
    <s v="2018 (triag)"/>
    <n v="6097"/>
    <s v="2018 (triag)"/>
    <x v="0"/>
    <n v="6097"/>
    <n v="6097"/>
    <s v="No change"/>
    <n v="-2.9414192821425544E-2"/>
    <n v="0.35384209356504925"/>
    <n v="7062.9853132556"/>
    <n v="17625.084228710228"/>
    <n v="0"/>
    <n v="27.738638964120842"/>
    <n v="26.441723365449793"/>
  </r>
  <r>
    <x v="24"/>
    <x v="24"/>
    <n v="22966240"/>
    <x v="0"/>
    <n v="6376"/>
    <n v="23588073.5"/>
    <n v="7046"/>
    <n v="24215975.500000019"/>
    <n v="8550"/>
    <n v="24850912.500000015"/>
    <n v="0"/>
    <n v="25501940.499999996"/>
    <n v="35"/>
    <n v="26169542.000000015"/>
    <n v="0"/>
    <n v="26846541"/>
    <n v="0"/>
    <n v="5230"/>
    <n v="27533134.000000015"/>
    <n v="0"/>
    <n v="28225176.500000007"/>
    <n v="0"/>
    <n v="28915652.500000004"/>
    <n v="0"/>
    <n v="29611714.000000004"/>
    <n v="0"/>
    <n v="5230"/>
    <n v="8550"/>
    <n v="35"/>
    <n v="0"/>
    <n v="7046"/>
    <n v="2013"/>
    <n v="5230"/>
    <s v="2018 (triag)"/>
    <n v="5230"/>
    <s v="2018 (triag)"/>
    <x v="0"/>
    <n v="5230"/>
    <n v="5230"/>
    <s v="No change"/>
    <n v="4.1448317953169944E-2"/>
    <n v="6.6454487825566844E-3"/>
    <n v="4251.0656314164698"/>
    <n v="5335.3133853476238"/>
    <n v="2.9871027831077428"/>
    <n v="1.9481094417340394"/>
    <n v="1.766192932972404"/>
  </r>
  <r>
    <x v="24"/>
    <x v="24"/>
    <n v="22966241"/>
    <x v="1"/>
    <n v="6766"/>
    <n v="23588073.5"/>
    <n v="6876"/>
    <m/>
    <n v="0"/>
    <m/>
    <n v="0"/>
    <m/>
    <n v="0"/>
    <m/>
    <n v="0"/>
    <n v="26846541"/>
    <n v="7666"/>
    <n v="7666"/>
    <m/>
    <n v="0"/>
    <m/>
    <n v="0"/>
    <m/>
    <n v="0"/>
    <n v="29611714.000000004"/>
    <n v="0"/>
    <n v="4560"/>
    <n v="6876"/>
    <n v="7666"/>
    <n v="0"/>
    <n v="6876"/>
    <n v="2013"/>
    <n v="7666"/>
    <n v="2018"/>
    <n v="7666"/>
    <n v="2018"/>
    <x v="0"/>
    <n v="7666"/>
    <n v="7666"/>
    <s v="No change"/>
    <n v="4.1448317953169944E-2"/>
    <n v="6.6454487825566844E-3"/>
    <n v="3706.47404957153"/>
    <n v="4651.8219956376988"/>
    <n v="2.9150324633336417"/>
    <n v="2.8554889063734503"/>
    <n v="2.5888403487889957"/>
  </r>
  <r>
    <x v="24"/>
    <x v="24"/>
    <n v="22966242"/>
    <x v="2"/>
    <n v="2950"/>
    <n v="23588073.5"/>
    <n v="6800"/>
    <m/>
    <n v="0"/>
    <m/>
    <n v="0"/>
    <m/>
    <n v="3166"/>
    <m/>
    <n v="5862"/>
    <n v="26846541"/>
    <n v="7988"/>
    <n v="7988"/>
    <m/>
    <n v="0"/>
    <m/>
    <n v="0"/>
    <m/>
    <n v="0"/>
    <n v="29611714.000000004"/>
    <n v="0"/>
    <n v="3164"/>
    <n v="6800"/>
    <n v="7988"/>
    <n v="0"/>
    <n v="6800"/>
    <n v="2013"/>
    <n v="7988"/>
    <n v="2018"/>
    <n v="7988"/>
    <n v="2018"/>
    <x v="0"/>
    <n v="7988"/>
    <n v="7988"/>
    <s v="No change"/>
    <n v="4.1448317953169944E-2"/>
    <n v="6.6454487825566844E-3"/>
    <n v="2571.7727835184915"/>
    <n v="3227.7115776749297"/>
    <n v="2.882812790964044"/>
    <n v="2.9754298700901542"/>
    <n v="2.6975810991555567"/>
  </r>
  <r>
    <x v="24"/>
    <x v="24"/>
    <n v="22966243"/>
    <x v="3"/>
    <n v="0"/>
    <n v="23588073.5"/>
    <n v="0"/>
    <m/>
    <n v="118"/>
    <m/>
    <n v="0"/>
    <m/>
    <n v="0"/>
    <m/>
    <n v="0"/>
    <n v="26846541"/>
    <n v="0"/>
    <n v="329"/>
    <m/>
    <n v="0"/>
    <m/>
    <n v="13"/>
    <m/>
    <n v="0"/>
    <n v="29611714.000000004"/>
    <n v="0"/>
    <n v="329"/>
    <n v="118"/>
    <n v="0"/>
    <n v="13"/>
    <n v="118"/>
    <n v="2014"/>
    <n v="329"/>
    <s v="2018 (triag)"/>
    <n v="13"/>
    <n v="2020"/>
    <x v="1"/>
    <n v="14.489867383201872"/>
    <n v="329"/>
    <s v="Decreasing"/>
    <n v="4.1448317953169944E-2"/>
    <n v="6.6454487825566844E-3"/>
    <n v="267.41885138355997"/>
    <n v="335.62487643964977"/>
    <n v="5.0025280784376056E-2"/>
    <n v="0.12254837597141471"/>
    <n v="0.11110467972235581"/>
  </r>
  <r>
    <x v="24"/>
    <x v="24"/>
    <n v="22966244"/>
    <x v="4"/>
    <n v="0"/>
    <n v="23588073.5"/>
    <n v="4081"/>
    <m/>
    <n v="0"/>
    <m/>
    <n v="0"/>
    <m/>
    <n v="0"/>
    <m/>
    <n v="0"/>
    <n v="26846541"/>
    <n v="0"/>
    <n v="556"/>
    <m/>
    <n v="0"/>
    <m/>
    <n v="9"/>
    <m/>
    <n v="91"/>
    <n v="29611714.000000004"/>
    <n v="0"/>
    <n v="556"/>
    <n v="4081"/>
    <n v="0"/>
    <n v="91"/>
    <n v="4081"/>
    <n v="2013"/>
    <n v="556"/>
    <s v="2018 (triag)"/>
    <n v="91"/>
    <n v="2021"/>
    <x v="1"/>
    <n v="101.4290716824131"/>
    <n v="556"/>
    <s v="Decreasing"/>
    <n v="4.1448317953169944E-2"/>
    <n v="6.6454487825566844E-3"/>
    <n v="451.92973060565146"/>
    <n v="567.19583981898256"/>
    <n v="1.730111617635921"/>
    <n v="0.20710303051704129"/>
    <n v="0.18776353168884446"/>
  </r>
  <r>
    <x v="24"/>
    <x v="24"/>
    <n v="22966245"/>
    <x v="5"/>
    <n v="0"/>
    <n v="23588073.5"/>
    <n v="0"/>
    <m/>
    <n v="0"/>
    <m/>
    <n v="0"/>
    <m/>
    <n v="0"/>
    <m/>
    <n v="0"/>
    <n v="26846541"/>
    <n v="35000"/>
    <n v="35000"/>
    <m/>
    <n v="38338"/>
    <m/>
    <n v="41616"/>
    <m/>
    <n v="41616"/>
    <n v="29611714.000000004"/>
    <n v="0"/>
    <n v="35000"/>
    <n v="0"/>
    <n v="38338"/>
    <n v="41616"/>
    <n v="0"/>
    <s v=""/>
    <n v="35000"/>
    <n v="2018"/>
    <n v="41616"/>
    <n v="2020"/>
    <x v="0"/>
    <n v="41616"/>
    <n v="41616"/>
    <s v="Increasing"/>
    <n v="4.1448317953169944E-2"/>
    <n v="6.6454487825566844E-3"/>
    <n v="28448.813976974463"/>
    <n v="35704.774089324441"/>
    <n v="0"/>
    <n v="13.037061273554757"/>
    <n v="14.053897724393797"/>
  </r>
  <r>
    <x v="24"/>
    <x v="24"/>
    <n v="22966246"/>
    <x v="6"/>
    <n v="0"/>
    <n v="23588073.5"/>
    <n v="0"/>
    <m/>
    <n v="0"/>
    <m/>
    <n v="0"/>
    <m/>
    <n v="0"/>
    <m/>
    <n v="0"/>
    <n v="26846541"/>
    <n v="0"/>
    <n v="414"/>
    <m/>
    <n v="0"/>
    <m/>
    <n v="0"/>
    <m/>
    <n v="0"/>
    <n v="29611714.000000004"/>
    <n v="0"/>
    <n v="414"/>
    <n v="0"/>
    <n v="0"/>
    <n v="0"/>
    <n v="0"/>
    <s v=""/>
    <n v="414"/>
    <s v="2018 (triag)"/>
    <n v="414"/>
    <s v="2018 (triag)"/>
    <x v="0"/>
    <n v="414"/>
    <n v="414"/>
    <s v="No change"/>
    <n v="4.1448317953169944E-2"/>
    <n v="6.6454487825566844E-3"/>
    <n v="336.50882818478362"/>
    <n v="422.33647065658056"/>
    <n v="0"/>
    <n v="0.15420981049290483"/>
    <n v="0.13980953618557843"/>
  </r>
  <r>
    <x v="24"/>
    <x v="24"/>
    <n v="22966247"/>
    <x v="7"/>
    <n v="0"/>
    <n v="23588073.5"/>
    <n v="0"/>
    <m/>
    <n v="174"/>
    <m/>
    <n v="0"/>
    <m/>
    <n v="0"/>
    <m/>
    <n v="0"/>
    <n v="26846541"/>
    <n v="0"/>
    <n v="15"/>
    <m/>
    <n v="0"/>
    <m/>
    <n v="254"/>
    <m/>
    <n v="0"/>
    <n v="29611714.000000004"/>
    <n v="0"/>
    <n v="15"/>
    <n v="174"/>
    <n v="0"/>
    <n v="254"/>
    <n v="174"/>
    <n v="2014"/>
    <n v="15"/>
    <s v="2018 (triag)"/>
    <n v="254"/>
    <n v="2020"/>
    <x v="0"/>
    <n v="254"/>
    <n v="254"/>
    <s v="Increasing"/>
    <n v="4.1448317953169944E-2"/>
    <n v="6.6454487825566844E-3"/>
    <n v="12.19234884727477"/>
    <n v="15.302046038281903"/>
    <n v="7.376609200407995E-2"/>
    <n v="5.5873119743806102E-3"/>
    <n v="8.5776865195982904E-2"/>
  </r>
  <r>
    <x v="24"/>
    <x v="24"/>
    <n v="22966248"/>
    <x v="8"/>
    <n v="0"/>
    <n v="23588073.5"/>
    <n v="0"/>
    <m/>
    <n v="0"/>
    <m/>
    <n v="0"/>
    <m/>
    <n v="0"/>
    <m/>
    <n v="0"/>
    <n v="26846541"/>
    <n v="0"/>
    <n v="311"/>
    <m/>
    <n v="0"/>
    <m/>
    <n v="0"/>
    <m/>
    <n v="0"/>
    <n v="29611714.000000004"/>
    <n v="0"/>
    <n v="311"/>
    <n v="0"/>
    <n v="0"/>
    <n v="0"/>
    <n v="0"/>
    <s v=""/>
    <n v="311"/>
    <s v="2018 (triag)"/>
    <n v="311"/>
    <s v="2018 (triag)"/>
    <x v="0"/>
    <n v="311"/>
    <n v="311"/>
    <s v="No change"/>
    <n v="4.1448317953169944E-2"/>
    <n v="6.6454487825566844E-3"/>
    <n v="252.78803276683024"/>
    <n v="317.26242119371148"/>
    <n v="0"/>
    <n v="0.11584360160215798"/>
    <n v="0.10502600423602632"/>
  </r>
  <r>
    <x v="24"/>
    <x v="24"/>
    <n v="22966249"/>
    <x v="9"/>
    <n v="0"/>
    <n v="23588073.5"/>
    <n v="0"/>
    <m/>
    <n v="0"/>
    <m/>
    <n v="0"/>
    <m/>
    <n v="0"/>
    <m/>
    <n v="0"/>
    <n v="26846541"/>
    <n v="0"/>
    <n v="411"/>
    <m/>
    <n v="0"/>
    <m/>
    <n v="0"/>
    <m/>
    <n v="0"/>
    <n v="29611714.000000004"/>
    <n v="0"/>
    <n v="411"/>
    <n v="0"/>
    <n v="0"/>
    <n v="0"/>
    <n v="0"/>
    <s v=""/>
    <n v="411"/>
    <s v="2018 (triag)"/>
    <n v="411"/>
    <s v="2018 (triag)"/>
    <x v="0"/>
    <n v="411"/>
    <n v="411"/>
    <s v="No change"/>
    <n v="4.1448317953169944E-2"/>
    <n v="6.6454487825566844E-3"/>
    <n v="334.07035841532871"/>
    <n v="419.27606144892417"/>
    <n v="0"/>
    <n v="0.15309234809802871"/>
    <n v="0.13879642360452352"/>
  </r>
  <r>
    <x v="24"/>
    <x v="24"/>
    <n v="22966250"/>
    <x v="10"/>
    <n v="0"/>
    <n v="23588073.5"/>
    <n v="0"/>
    <m/>
    <n v="0"/>
    <m/>
    <n v="0"/>
    <m/>
    <n v="0"/>
    <m/>
    <n v="0"/>
    <n v="26846541"/>
    <n v="0"/>
    <n v="52"/>
    <m/>
    <n v="12"/>
    <m/>
    <n v="0"/>
    <m/>
    <n v="0"/>
    <n v="29611714.000000004"/>
    <n v="0"/>
    <n v="52"/>
    <n v="0"/>
    <n v="12"/>
    <n v="0"/>
    <n v="0"/>
    <s v=""/>
    <n v="52"/>
    <s v="2018 (triag)"/>
    <n v="12"/>
    <s v="2018 (triag)"/>
    <x v="1"/>
    <n v="13.375262199878652"/>
    <n v="52"/>
    <s v="Decreasing"/>
    <n v="4.1448317953169944E-2"/>
    <n v="6.6454487825566844E-3"/>
    <n v="42.2668093372192"/>
    <n v="53.047092932710598"/>
    <n v="0"/>
    <n v="1.9369348177852783E-2"/>
    <n v="1.7560618071618548E-2"/>
  </r>
  <r>
    <x v="24"/>
    <x v="24"/>
    <n v="22966251"/>
    <x v="11"/>
    <n v="0"/>
    <n v="23588073.5"/>
    <n v="0"/>
    <m/>
    <n v="0"/>
    <m/>
    <n v="0"/>
    <m/>
    <n v="0"/>
    <m/>
    <n v="0"/>
    <n v="26846541"/>
    <n v="306"/>
    <n v="306"/>
    <m/>
    <n v="0"/>
    <m/>
    <n v="0"/>
    <m/>
    <n v="0"/>
    <n v="29611714.000000004"/>
    <n v="0"/>
    <n v="0"/>
    <n v="0"/>
    <n v="306"/>
    <n v="0"/>
    <n v="0"/>
    <s v=""/>
    <n v="306"/>
    <n v="2018"/>
    <n v="306"/>
    <n v="2018"/>
    <x v="0"/>
    <n v="306"/>
    <n v="306"/>
    <s v="No change"/>
    <n v="4.1448317953169944E-2"/>
    <n v="6.6454487825566844E-3"/>
    <n v="0"/>
    <n v="0"/>
    <n v="0"/>
    <n v="0.11398116427736445"/>
    <n v="0.10333748326760145"/>
  </r>
  <r>
    <x v="24"/>
    <x v="24"/>
    <n v="22966252"/>
    <x v="12"/>
    <n v="0"/>
    <n v="23588073.5"/>
    <n v="0"/>
    <m/>
    <n v="0"/>
    <m/>
    <n v="0"/>
    <m/>
    <n v="0"/>
    <m/>
    <n v="0"/>
    <n v="26846541"/>
    <n v="0"/>
    <n v="0"/>
    <m/>
    <n v="0"/>
    <m/>
    <n v="0"/>
    <m/>
    <n v="0"/>
    <n v="29611714.000000004"/>
    <n v="0"/>
    <n v="0"/>
    <n v="0"/>
    <n v="0"/>
    <n v="0"/>
    <n v="0"/>
    <s v=""/>
    <n v="0"/>
    <s v=""/>
    <n v="0"/>
    <s v=""/>
    <x v="0"/>
    <n v="0"/>
    <n v="0"/>
    <s v="No change"/>
    <n v="4.1448317953169944E-2"/>
    <n v="6.6454487825566844E-3"/>
    <n v="0"/>
    <n v="0"/>
    <n v="0"/>
    <n v="0"/>
    <n v="0"/>
  </r>
  <r>
    <x v="24"/>
    <x v="24"/>
    <n v="22966253"/>
    <x v="13"/>
    <n v="0"/>
    <n v="23588073.5"/>
    <n v="0"/>
    <m/>
    <n v="0"/>
    <m/>
    <n v="0"/>
    <m/>
    <n v="0"/>
    <m/>
    <n v="0"/>
    <n v="26846541"/>
    <n v="0"/>
    <n v="214"/>
    <m/>
    <n v="0"/>
    <m/>
    <n v="0"/>
    <m/>
    <n v="0"/>
    <n v="29611714.000000004"/>
    <n v="0"/>
    <n v="214"/>
    <n v="0"/>
    <n v="0"/>
    <n v="0"/>
    <n v="0"/>
    <s v=""/>
    <n v="214"/>
    <s v="2018 (triag)"/>
    <n v="214"/>
    <s v="2018 (triag)"/>
    <x v="0"/>
    <n v="214"/>
    <n v="214"/>
    <s v="No change"/>
    <n v="4.1448317953169944E-2"/>
    <n v="6.6454487825566844E-3"/>
    <n v="173.94417688778671"/>
    <n v="218.30919014615515"/>
    <n v="0"/>
    <n v="7.9712317501163366E-2"/>
    <n v="7.2268697448584024E-2"/>
  </r>
  <r>
    <x v="24"/>
    <x v="24"/>
    <n v="22966254"/>
    <x v="14"/>
    <n v="0"/>
    <n v="23588073.5"/>
    <n v="0"/>
    <m/>
    <n v="0"/>
    <m/>
    <n v="0"/>
    <m/>
    <n v="0"/>
    <m/>
    <n v="0"/>
    <n v="26846541"/>
    <n v="0"/>
    <n v="11"/>
    <m/>
    <n v="0"/>
    <m/>
    <n v="0"/>
    <m/>
    <n v="0"/>
    <n v="29611714.000000004"/>
    <n v="0"/>
    <n v="11"/>
    <n v="0"/>
    <n v="0"/>
    <n v="0"/>
    <n v="0"/>
    <s v=""/>
    <n v="11"/>
    <s v="2018 (triag)"/>
    <n v="11"/>
    <s v="2018 (triag)"/>
    <x v="0"/>
    <n v="11"/>
    <n v="11"/>
    <s v="No change"/>
    <n v="4.1448317953169944E-2"/>
    <n v="6.6454487825566844E-3"/>
    <n v="8.9410558213348317"/>
    <n v="11.221500428073396"/>
    <n v="0"/>
    <n v="4.0973621145457811E-3"/>
    <n v="3.7147461305346925E-3"/>
  </r>
  <r>
    <x v="24"/>
    <x v="24"/>
    <n v="22966255"/>
    <x v="15"/>
    <n v="0"/>
    <n v="23588073.5"/>
    <n v="0"/>
    <m/>
    <n v="0"/>
    <m/>
    <n v="0"/>
    <m/>
    <n v="0"/>
    <m/>
    <n v="0"/>
    <n v="26846541"/>
    <n v="0"/>
    <n v="56"/>
    <m/>
    <n v="0"/>
    <m/>
    <n v="0"/>
    <m/>
    <n v="0"/>
    <n v="29611714.000000004"/>
    <n v="0"/>
    <n v="56"/>
    <n v="0"/>
    <n v="0"/>
    <n v="0"/>
    <n v="0"/>
    <s v=""/>
    <n v="56"/>
    <s v="2018 (triag)"/>
    <n v="56"/>
    <s v="2018 (triag)"/>
    <x v="0"/>
    <n v="56"/>
    <n v="56"/>
    <s v="No change"/>
    <n v="4.1448317953169944E-2"/>
    <n v="6.6454487825566844E-3"/>
    <n v="45.518102363159137"/>
    <n v="57.127638542919108"/>
    <n v="0"/>
    <n v="2.0859298037687612E-2"/>
    <n v="1.8911434846358436E-2"/>
  </r>
  <r>
    <x v="24"/>
    <x v="24"/>
    <n v="22966256"/>
    <x v="16"/>
    <n v="0"/>
    <n v="23588073.5"/>
    <n v="0"/>
    <m/>
    <n v="0"/>
    <m/>
    <n v="0"/>
    <m/>
    <n v="0"/>
    <m/>
    <n v="0"/>
    <n v="26846541"/>
    <n v="0"/>
    <n v="6355"/>
    <m/>
    <n v="0"/>
    <m/>
    <n v="0"/>
    <m/>
    <n v="0"/>
    <n v="29611714.000000004"/>
    <n v="0"/>
    <n v="6355"/>
    <n v="0"/>
    <n v="0"/>
    <n v="0"/>
    <n v="0"/>
    <s v=""/>
    <n v="6355"/>
    <s v="2018 (triag)"/>
    <n v="6355"/>
    <s v="2018 (triag)"/>
    <x v="0"/>
    <n v="6355"/>
    <n v="6355"/>
    <s v="No change"/>
    <n v="4.1448317953169944E-2"/>
    <n v="6.6454487825566844E-3"/>
    <n v="5165.4917949620776"/>
    <n v="6482.9668382187665"/>
    <n v="0"/>
    <n v="2.367157839812585"/>
    <n v="2.1461101508679974"/>
  </r>
  <r>
    <x v="24"/>
    <x v="24"/>
    <n v="22966257"/>
    <x v="17"/>
    <n v="0"/>
    <n v="23588073.5"/>
    <n v="0"/>
    <m/>
    <n v="0"/>
    <m/>
    <n v="0"/>
    <m/>
    <n v="0"/>
    <m/>
    <n v="0"/>
    <n v="26846541"/>
    <n v="0"/>
    <n v="0"/>
    <m/>
    <n v="0"/>
    <m/>
    <n v="0"/>
    <m/>
    <n v="0"/>
    <n v="29611714.000000004"/>
    <n v="0"/>
    <n v="0"/>
    <n v="0"/>
    <n v="0"/>
    <n v="0"/>
    <n v="0"/>
    <s v=""/>
    <n v="0"/>
    <s v=""/>
    <n v="0"/>
    <s v=""/>
    <x v="0"/>
    <n v="0"/>
    <n v="0"/>
    <s v="No change"/>
    <n v="4.1448317953169944E-2"/>
    <n v="6.6454487825566844E-3"/>
    <n v="0"/>
    <n v="0"/>
    <n v="0"/>
    <n v="0"/>
    <n v="0"/>
  </r>
  <r>
    <x v="24"/>
    <x v="24"/>
    <n v="22966258"/>
    <x v="18"/>
    <n v="0"/>
    <n v="23588073.5"/>
    <n v="0"/>
    <m/>
    <n v="0"/>
    <m/>
    <n v="0"/>
    <m/>
    <n v="0"/>
    <m/>
    <n v="0"/>
    <n v="26846541"/>
    <n v="0"/>
    <n v="306"/>
    <m/>
    <n v="0"/>
    <m/>
    <n v="0"/>
    <m/>
    <n v="0"/>
    <n v="29611714.000000004"/>
    <n v="0"/>
    <n v="306"/>
    <n v="0"/>
    <n v="0"/>
    <n v="0"/>
    <n v="0"/>
    <s v=""/>
    <n v="306"/>
    <s v="2018 (triag)"/>
    <n v="306"/>
    <s v="2018 (triag)"/>
    <x v="0"/>
    <n v="306"/>
    <n v="306"/>
    <s v="No change"/>
    <n v="4.1448317953169944E-2"/>
    <n v="6.6454487825566844E-3"/>
    <n v="248.72391648440529"/>
    <n v="312.1617391809508"/>
    <n v="0"/>
    <n v="0.11398116427736445"/>
    <n v="0.10333748326760145"/>
  </r>
  <r>
    <x v="24"/>
    <x v="24"/>
    <n v="22966259"/>
    <x v="19"/>
    <n v="0"/>
    <n v="23588073.5"/>
    <n v="0"/>
    <m/>
    <n v="0"/>
    <m/>
    <n v="0"/>
    <m/>
    <n v="0"/>
    <m/>
    <n v="0"/>
    <n v="26846541"/>
    <n v="0"/>
    <n v="0"/>
    <m/>
    <n v="0"/>
    <m/>
    <n v="0"/>
    <m/>
    <n v="0"/>
    <n v="29611714.000000004"/>
    <n v="0"/>
    <n v="0"/>
    <n v="0"/>
    <n v="0"/>
    <n v="0"/>
    <n v="0"/>
    <s v=""/>
    <n v="0"/>
    <s v=""/>
    <n v="0"/>
    <s v=""/>
    <x v="0"/>
    <n v="0"/>
    <n v="0"/>
    <s v="No change"/>
    <n v="4.1448317953169944E-2"/>
    <n v="6.6454487825566844E-3"/>
    <n v="0"/>
    <n v="0"/>
    <n v="0"/>
    <n v="0"/>
    <n v="0"/>
  </r>
  <r>
    <x v="24"/>
    <x v="24"/>
    <n v="22966260"/>
    <x v="20"/>
    <n v="0"/>
    <n v="23588073.5"/>
    <n v="0"/>
    <m/>
    <n v="0"/>
    <m/>
    <n v="0"/>
    <m/>
    <n v="0"/>
    <m/>
    <n v="0"/>
    <n v="26846541"/>
    <n v="0"/>
    <n v="99"/>
    <m/>
    <n v="0"/>
    <m/>
    <n v="0"/>
    <m/>
    <n v="0"/>
    <n v="29611714.000000004"/>
    <n v="0"/>
    <n v="99"/>
    <n v="0"/>
    <n v="0"/>
    <n v="0"/>
    <n v="0"/>
    <s v=""/>
    <n v="99"/>
    <s v="2018 (triag)"/>
    <n v="99"/>
    <s v="2018 (triag)"/>
    <x v="0"/>
    <n v="99"/>
    <n v="99"/>
    <s v="No change"/>
    <n v="4.1448317953169944E-2"/>
    <n v="6.6454487825566844E-3"/>
    <n v="80.469502392013482"/>
    <n v="100.99350385266057"/>
    <n v="0"/>
    <n v="3.6876259030912024E-2"/>
    <n v="3.3432715174812236E-2"/>
  </r>
  <r>
    <x v="24"/>
    <x v="24"/>
    <n v="22966261"/>
    <x v="21"/>
    <n v="0"/>
    <n v="23588073.5"/>
    <n v="0"/>
    <m/>
    <n v="0"/>
    <m/>
    <n v="0"/>
    <m/>
    <n v="0"/>
    <m/>
    <n v="0"/>
    <n v="26846541"/>
    <n v="0"/>
    <n v="0"/>
    <m/>
    <n v="0"/>
    <m/>
    <n v="0"/>
    <m/>
    <n v="0"/>
    <n v="29611714.000000004"/>
    <n v="0"/>
    <n v="0"/>
    <n v="0"/>
    <n v="0"/>
    <n v="0"/>
    <n v="0"/>
    <s v=""/>
    <n v="0"/>
    <s v=""/>
    <n v="0"/>
    <s v=""/>
    <x v="0"/>
    <n v="0"/>
    <n v="0"/>
    <s v="No change"/>
    <n v="4.1448317953169944E-2"/>
    <n v="6.6454487825566844E-3"/>
    <n v="0"/>
    <n v="0"/>
    <n v="0"/>
    <n v="0"/>
    <n v="0"/>
  </r>
  <r>
    <x v="24"/>
    <x v="24"/>
    <n v="22966262"/>
    <x v="22"/>
    <n v="0"/>
    <n v="23588073.5"/>
    <n v="0"/>
    <m/>
    <n v="0"/>
    <m/>
    <n v="0"/>
    <m/>
    <n v="0"/>
    <m/>
    <n v="0"/>
    <n v="26846541"/>
    <n v="0"/>
    <n v="0"/>
    <m/>
    <n v="0"/>
    <m/>
    <n v="0"/>
    <m/>
    <n v="0"/>
    <n v="29611714.000000004"/>
    <n v="0"/>
    <n v="0"/>
    <n v="0"/>
    <n v="0"/>
    <n v="0"/>
    <n v="0"/>
    <s v=""/>
    <n v="0"/>
    <s v=""/>
    <n v="0"/>
    <s v=""/>
    <x v="0"/>
    <n v="0"/>
    <n v="0"/>
    <s v="No change"/>
    <n v="4.1448317953169944E-2"/>
    <n v="6.6454487825566844E-3"/>
    <n v="0"/>
    <n v="0"/>
    <n v="0"/>
    <n v="0"/>
    <n v="0"/>
  </r>
  <r>
    <x v="24"/>
    <x v="24"/>
    <n v="22966263"/>
    <x v="23"/>
    <n v="0"/>
    <n v="23588073.5"/>
    <n v="0"/>
    <m/>
    <n v="0"/>
    <m/>
    <n v="0"/>
    <m/>
    <n v="0"/>
    <m/>
    <n v="0"/>
    <n v="26846541"/>
    <n v="0"/>
    <n v="602"/>
    <m/>
    <n v="0"/>
    <m/>
    <n v="0"/>
    <m/>
    <n v="0"/>
    <n v="29611714.000000004"/>
    <n v="0"/>
    <n v="602"/>
    <n v="0"/>
    <n v="0"/>
    <n v="0"/>
    <n v="0"/>
    <s v=""/>
    <n v="602"/>
    <s v="2018 (triag)"/>
    <n v="602"/>
    <s v="2018 (triag)"/>
    <x v="0"/>
    <n v="602"/>
    <n v="602"/>
    <s v="No change"/>
    <n v="4.1448317953169944E-2"/>
    <n v="6.6454487825566844E-3"/>
    <n v="489.31960040396075"/>
    <n v="614.12211433638038"/>
    <n v="0"/>
    <n v="0.22423745390514183"/>
    <n v="0.20329792459835319"/>
  </r>
  <r>
    <x v="25"/>
    <x v="25"/>
    <n v="16514686.999999991"/>
    <x v="0"/>
    <n v="3525"/>
    <n v="17004032.499999996"/>
    <n v="4063"/>
    <n v="17551814.000000004"/>
    <n v="3576"/>
    <n v="18112906.500000004"/>
    <n v="3583"/>
    <n v="18700106"/>
    <n v="4570"/>
    <n v="19311354.499999996"/>
    <n v="4576"/>
    <n v="19934298.000000004"/>
    <n v="5155"/>
    <n v="5155"/>
    <n v="20567423.999999989"/>
    <n v="0"/>
    <n v="21224040.000000004"/>
    <n v="0"/>
    <n v="21904982.999999996"/>
    <n v="0"/>
    <n v="22593590.500000022"/>
    <n v="8998"/>
    <n v="2866"/>
    <n v="4063"/>
    <n v="5155"/>
    <n v="8998"/>
    <n v="4063"/>
    <n v="2013"/>
    <n v="5155"/>
    <n v="2018"/>
    <n v="8998"/>
    <n v="2022"/>
    <x v="0"/>
    <n v="8998"/>
    <n v="8998"/>
    <s v="Increasing"/>
    <n v="3.5406206546388264E-2"/>
    <n v="8.9309654310665287E-4"/>
    <n v="2401.0023516244009"/>
    <n v="2873.689140194655"/>
    <n v="2.3894332123865332"/>
    <n v="2.5859952530056485"/>
    <n v="3.9825454037506747"/>
  </r>
  <r>
    <x v="25"/>
    <x v="25"/>
    <n v="16514688"/>
    <x v="1"/>
    <n v="8514"/>
    <n v="17004032.499999996"/>
    <n v="0"/>
    <m/>
    <n v="0"/>
    <m/>
    <n v="0"/>
    <m/>
    <n v="9530"/>
    <m/>
    <n v="0"/>
    <n v="19934298.000000004"/>
    <n v="11986"/>
    <n v="11986"/>
    <m/>
    <n v="0"/>
    <m/>
    <n v="0"/>
    <m/>
    <n v="0"/>
    <n v="22593590.500000022"/>
    <n v="12654"/>
    <n v="5225"/>
    <n v="8514"/>
    <n v="11986"/>
    <n v="12654"/>
    <n v="8514"/>
    <n v="2012"/>
    <n v="11986"/>
    <n v="2018"/>
    <n v="12654"/>
    <n v="2022"/>
    <x v="0"/>
    <n v="12654"/>
    <n v="12654"/>
    <s v="Increasing"/>
    <n v="3.5406206546388264E-2"/>
    <n v="8.9309654310665287E-4"/>
    <n v="4377.2635335790283"/>
    <n v="5239.0180591476183"/>
    <n v="5.0070475929753728"/>
    <n v="6.0127524932154612"/>
    <n v="5.600703438437546"/>
  </r>
  <r>
    <x v="25"/>
    <x v="25"/>
    <n v="16514689"/>
    <x v="2"/>
    <n v="3540"/>
    <n v="17004032.499999996"/>
    <n v="3922"/>
    <m/>
    <n v="0"/>
    <m/>
    <n v="0"/>
    <m/>
    <n v="5314"/>
    <m/>
    <n v="0"/>
    <n v="19934298.000000004"/>
    <n v="6470"/>
    <n v="6470"/>
    <m/>
    <n v="0"/>
    <m/>
    <n v="0"/>
    <m/>
    <n v="0"/>
    <n v="22593590.500000022"/>
    <n v="3258"/>
    <n v="3169"/>
    <n v="3922"/>
    <n v="6470"/>
    <n v="3258"/>
    <n v="3922"/>
    <n v="2013"/>
    <n v="6470"/>
    <n v="2018"/>
    <n v="3258"/>
    <n v="2022"/>
    <x v="1"/>
    <n v="3840.010008896797"/>
    <n v="6470"/>
    <s v="Decreasing"/>
    <n v="3.5406206546388264E-2"/>
    <n v="8.9309654310665287E-4"/>
    <n v="2654.8417488826681"/>
    <n v="3177.5020534811106"/>
    <n v="2.3065117053851791"/>
    <n v="3.2456623253048584"/>
    <n v="2.8636440055864489"/>
  </r>
  <r>
    <x v="25"/>
    <x v="25"/>
    <n v="16514690"/>
    <x v="3"/>
    <n v="4"/>
    <n v="17004032.499999996"/>
    <n v="218"/>
    <m/>
    <n v="194"/>
    <m/>
    <n v="514"/>
    <m/>
    <n v="0"/>
    <m/>
    <n v="0"/>
    <n v="19934298.000000004"/>
    <n v="0"/>
    <n v="1424"/>
    <m/>
    <n v="170"/>
    <m/>
    <n v="109"/>
    <m/>
    <n v="82"/>
    <n v="22593590.500000022"/>
    <n v="36980"/>
    <n v="1424"/>
    <n v="514"/>
    <n v="170"/>
    <n v="36980"/>
    <n v="218"/>
    <n v="2013"/>
    <n v="1424"/>
    <s v="2018 (triag)"/>
    <n v="36980"/>
    <n v="2022"/>
    <x v="0"/>
    <n v="36980"/>
    <n v="36980"/>
    <s v="Increasing"/>
    <n v="3.5406206546388264E-2"/>
    <n v="8.9309654310665287E-4"/>
    <n v="1192.9613917352222"/>
    <n v="1427.8204241581259"/>
    <n v="0.12820488316521392"/>
    <n v="0.71434670034530423"/>
    <n v="16.367473775361187"/>
  </r>
  <r>
    <x v="25"/>
    <x v="25"/>
    <n v="16514691"/>
    <x v="4"/>
    <n v="0"/>
    <n v="17004032.499999996"/>
    <n v="0"/>
    <m/>
    <n v="107"/>
    <m/>
    <n v="385"/>
    <m/>
    <n v="0"/>
    <m/>
    <n v="0"/>
    <n v="19934298.000000004"/>
    <n v="0"/>
    <n v="30"/>
    <m/>
    <n v="121"/>
    <m/>
    <n v="34"/>
    <m/>
    <n v="53"/>
    <n v="22593590.500000022"/>
    <n v="11642"/>
    <n v="30"/>
    <n v="385"/>
    <n v="121"/>
    <n v="11642"/>
    <n v="107"/>
    <n v="2014"/>
    <n v="30"/>
    <s v="2018 (triag)"/>
    <n v="11642"/>
    <n v="2022"/>
    <x v="0"/>
    <n v="11642"/>
    <n v="11642"/>
    <s v="Increasing"/>
    <n v="3.5406206546388264E-2"/>
    <n v="8.9309654310665287E-4"/>
    <n v="25.132613589927434"/>
    <n v="30.080486464005464"/>
    <n v="6.2926249993935271E-2"/>
    <n v="1.5049438911769049E-2"/>
    <n v="5.1527887964509178"/>
  </r>
  <r>
    <x v="25"/>
    <x v="25"/>
    <n v="16514692"/>
    <x v="5"/>
    <n v="0"/>
    <n v="17004032.499999996"/>
    <n v="0"/>
    <m/>
    <n v="0"/>
    <m/>
    <n v="0"/>
    <m/>
    <n v="0"/>
    <m/>
    <n v="0"/>
    <n v="19934298.000000004"/>
    <n v="1152"/>
    <n v="1152"/>
    <m/>
    <n v="0"/>
    <m/>
    <n v="3303"/>
    <m/>
    <n v="0"/>
    <n v="22593590.500000022"/>
    <n v="0"/>
    <n v="1152"/>
    <n v="0"/>
    <n v="1152"/>
    <n v="3303"/>
    <n v="0"/>
    <s v=""/>
    <n v="1152"/>
    <n v="2018"/>
    <n v="3303"/>
    <n v="2020"/>
    <x v="0"/>
    <n v="3303"/>
    <n v="3303"/>
    <s v="Increasing"/>
    <n v="3.5406206546388264E-2"/>
    <n v="8.9309654310665287E-4"/>
    <n v="965.09236185321345"/>
    <n v="1155.0906802178097"/>
    <n v="0"/>
    <n v="0.57789845421193153"/>
    <n v="1.4619190340729584"/>
  </r>
  <r>
    <x v="25"/>
    <x v="25"/>
    <n v="16514693"/>
    <x v="6"/>
    <n v="0"/>
    <n v="17004032.499999996"/>
    <n v="0"/>
    <m/>
    <n v="0"/>
    <m/>
    <n v="0"/>
    <m/>
    <n v="0"/>
    <m/>
    <n v="0"/>
    <n v="19934298.000000004"/>
    <n v="0"/>
    <n v="7"/>
    <m/>
    <n v="0"/>
    <m/>
    <n v="0"/>
    <m/>
    <n v="0"/>
    <n v="22593590.500000022"/>
    <n v="3342"/>
    <n v="7"/>
    <n v="0"/>
    <n v="0"/>
    <n v="3342"/>
    <n v="0"/>
    <s v=""/>
    <n v="7"/>
    <s v="2018 (triag)"/>
    <n v="3342"/>
    <n v="2022"/>
    <x v="0"/>
    <n v="3342"/>
    <n v="3342"/>
    <s v="Increasing"/>
    <n v="3.5406206546388264E-2"/>
    <n v="8.9309654310665287E-4"/>
    <n v="5.8642765043164014"/>
    <n v="7.0187801749346077"/>
    <n v="0"/>
    <n v="3.5115357460794448E-3"/>
    <n v="1.4791805667186881"/>
  </r>
  <r>
    <x v="25"/>
    <x v="25"/>
    <n v="16514694"/>
    <x v="7"/>
    <n v="0"/>
    <n v="17004032.499999996"/>
    <n v="0"/>
    <m/>
    <n v="0"/>
    <m/>
    <n v="0"/>
    <m/>
    <n v="0"/>
    <m/>
    <n v="0"/>
    <n v="19934298.000000004"/>
    <n v="0"/>
    <n v="78"/>
    <m/>
    <n v="146"/>
    <m/>
    <n v="0"/>
    <m/>
    <n v="0"/>
    <n v="22593590.500000022"/>
    <n v="3642"/>
    <n v="78"/>
    <n v="0"/>
    <n v="146"/>
    <n v="3642"/>
    <n v="0"/>
    <s v=""/>
    <n v="78"/>
    <s v="2018 (triag)"/>
    <n v="3642"/>
    <n v="2022"/>
    <x v="0"/>
    <n v="3642"/>
    <n v="3642"/>
    <s v="Increasing"/>
    <n v="3.5406206546388264E-2"/>
    <n v="8.9309654310665287E-4"/>
    <n v="65.344795333811319"/>
    <n v="78.209264806414197"/>
    <n v="0"/>
    <n v="3.912854117059953E-2"/>
    <n v="1.6119615870704553"/>
  </r>
  <r>
    <x v="25"/>
    <x v="25"/>
    <n v="16514695"/>
    <x v="8"/>
    <n v="0"/>
    <n v="17004032.499999996"/>
    <n v="0"/>
    <m/>
    <n v="0"/>
    <m/>
    <n v="0"/>
    <m/>
    <n v="0"/>
    <m/>
    <n v="0"/>
    <n v="19934298.000000004"/>
    <n v="0"/>
    <n v="2153"/>
    <m/>
    <n v="0"/>
    <m/>
    <n v="0"/>
    <m/>
    <n v="0"/>
    <n v="22593590.500000022"/>
    <n v="0"/>
    <n v="2153"/>
    <n v="0"/>
    <n v="0"/>
    <n v="0"/>
    <n v="0"/>
    <s v=""/>
    <n v="2153"/>
    <s v="2018 (triag)"/>
    <n v="2153"/>
    <s v="2018 (triag)"/>
    <x v="0"/>
    <n v="2153"/>
    <n v="2153"/>
    <s v="No change"/>
    <n v="3.5406206546388264E-2"/>
    <n v="8.9309654310665287E-4"/>
    <n v="1803.6839019704587"/>
    <n v="2158.7762452334587"/>
    <n v="0"/>
    <n v="1.0800480659012921"/>
    <n v="0.9529251227245169"/>
  </r>
  <r>
    <x v="25"/>
    <x v="25"/>
    <n v="16514696"/>
    <x v="9"/>
    <n v="0"/>
    <n v="17004032.499999996"/>
    <n v="0"/>
    <m/>
    <n v="0"/>
    <m/>
    <n v="0"/>
    <m/>
    <n v="0"/>
    <m/>
    <n v="0"/>
    <n v="19934298.000000004"/>
    <n v="13"/>
    <n v="25"/>
    <m/>
    <n v="0"/>
    <m/>
    <n v="0"/>
    <m/>
    <n v="0"/>
    <n v="22593590.500000022"/>
    <n v="0"/>
    <n v="25"/>
    <n v="0"/>
    <n v="13"/>
    <n v="0"/>
    <n v="0"/>
    <s v=""/>
    <n v="25"/>
    <s v="2018 (triag)"/>
    <n v="25"/>
    <s v="2018 (triag)"/>
    <x v="0"/>
    <n v="25"/>
    <n v="25"/>
    <s v="No change"/>
    <n v="3.5406206546388264E-2"/>
    <n v="8.9309654310665287E-4"/>
    <n v="20.943844658272862"/>
    <n v="25.067072053337885"/>
    <n v="0"/>
    <n v="1.2541199093140875E-2"/>
    <n v="1.1065085029313944E-2"/>
  </r>
  <r>
    <x v="25"/>
    <x v="25"/>
    <n v="16514697"/>
    <x v="10"/>
    <n v="0"/>
    <n v="17004032.499999996"/>
    <n v="0"/>
    <m/>
    <n v="0"/>
    <m/>
    <n v="0"/>
    <m/>
    <n v="0"/>
    <m/>
    <n v="0"/>
    <n v="19934298.000000004"/>
    <n v="15"/>
    <n v="15"/>
    <m/>
    <n v="0"/>
    <m/>
    <n v="0"/>
    <m/>
    <n v="0"/>
    <n v="22593590.500000022"/>
    <n v="0"/>
    <n v="0"/>
    <n v="0"/>
    <n v="15"/>
    <n v="0"/>
    <n v="0"/>
    <s v=""/>
    <n v="15"/>
    <n v="2018"/>
    <n v="15"/>
    <n v="2018"/>
    <x v="0"/>
    <n v="15"/>
    <n v="15"/>
    <s v="No change"/>
    <n v="3.5406206546388264E-2"/>
    <n v="8.9309654310665287E-4"/>
    <n v="0"/>
    <n v="0"/>
    <n v="0"/>
    <n v="7.5247194558845246E-3"/>
    <n v="6.6390510175883665E-3"/>
  </r>
  <r>
    <x v="25"/>
    <x v="25"/>
    <n v="16514698"/>
    <x v="11"/>
    <n v="0"/>
    <n v="17004032.499999996"/>
    <n v="0"/>
    <m/>
    <n v="0"/>
    <m/>
    <n v="0"/>
    <m/>
    <n v="0"/>
    <m/>
    <n v="0"/>
    <n v="19934298.000000004"/>
    <n v="0"/>
    <n v="1496"/>
    <m/>
    <n v="0"/>
    <m/>
    <n v="0"/>
    <m/>
    <n v="0"/>
    <n v="22593590.500000022"/>
    <n v="0"/>
    <n v="1496"/>
    <n v="0"/>
    <n v="0"/>
    <n v="0"/>
    <n v="0"/>
    <s v=""/>
    <n v="1496"/>
    <s v="2018 (triag)"/>
    <n v="1496"/>
    <s v="2018 (triag)"/>
    <x v="0"/>
    <n v="1496"/>
    <n v="1496"/>
    <s v="No change"/>
    <n v="3.5406206546388264E-2"/>
    <n v="8.9309654310665287E-4"/>
    <n v="1253.279664351048"/>
    <n v="1500.0135916717391"/>
    <n v="0"/>
    <n v="0.75046535373354994"/>
    <n v="0.66213468815414644"/>
  </r>
  <r>
    <x v="25"/>
    <x v="25"/>
    <n v="16514699"/>
    <x v="12"/>
    <n v="0"/>
    <n v="17004032.499999996"/>
    <n v="0"/>
    <m/>
    <n v="0"/>
    <m/>
    <n v="0"/>
    <m/>
    <n v="0"/>
    <m/>
    <n v="0"/>
    <n v="19934298.000000004"/>
    <n v="1022"/>
    <n v="1041"/>
    <m/>
    <n v="0"/>
    <m/>
    <n v="0"/>
    <m/>
    <n v="0"/>
    <n v="22593590.500000022"/>
    <n v="1481"/>
    <n v="1041"/>
    <n v="0"/>
    <n v="1022"/>
    <n v="1481"/>
    <n v="0"/>
    <s v=""/>
    <n v="1041"/>
    <s v="2018 (triag)"/>
    <n v="1481"/>
    <n v="2022"/>
    <x v="0"/>
    <n v="1481"/>
    <n v="1481"/>
    <s v="Increasing"/>
    <n v="3.5406206546388264E-2"/>
    <n v="8.9309654310665287E-4"/>
    <n v="872.10169157048188"/>
    <n v="1043.7928803009895"/>
    <n v="0"/>
    <n v="0.52221553023838607"/>
    <n v="0.65549563713655801"/>
  </r>
  <r>
    <x v="25"/>
    <x v="25"/>
    <n v="16514700"/>
    <x v="13"/>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01"/>
    <x v="14"/>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02"/>
    <x v="15"/>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03"/>
    <x v="16"/>
    <n v="0"/>
    <n v="17004032.499999996"/>
    <n v="0"/>
    <m/>
    <n v="0"/>
    <m/>
    <n v="0"/>
    <m/>
    <n v="0"/>
    <m/>
    <n v="0"/>
    <n v="19934298.000000004"/>
    <n v="0"/>
    <n v="8306"/>
    <m/>
    <n v="0"/>
    <m/>
    <n v="0"/>
    <m/>
    <n v="0"/>
    <n v="22593590.500000022"/>
    <n v="0"/>
    <n v="8306"/>
    <n v="0"/>
    <n v="0"/>
    <n v="0"/>
    <n v="0"/>
    <s v=""/>
    <n v="8306"/>
    <s v="2018 (triag)"/>
    <n v="8306"/>
    <s v="2018 (triag)"/>
    <x v="0"/>
    <n v="8306"/>
    <n v="8306"/>
    <s v="No change"/>
    <n v="3.5406206546388264E-2"/>
    <n v="8.9309654310665287E-4"/>
    <n v="6958.3829492645755"/>
    <n v="8328.2840190009792"/>
    <n v="0"/>
    <n v="4.1666879867051243"/>
    <n v="3.6762638501392648"/>
  </r>
  <r>
    <x v="25"/>
    <x v="25"/>
    <n v="16514704"/>
    <x v="17"/>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05"/>
    <x v="18"/>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06"/>
    <x v="19"/>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07"/>
    <x v="20"/>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08"/>
    <x v="21"/>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09"/>
    <x v="22"/>
    <n v="0"/>
    <n v="17004032.499999996"/>
    <n v="0"/>
    <m/>
    <n v="0"/>
    <m/>
    <n v="0"/>
    <m/>
    <n v="0"/>
    <m/>
    <n v="0"/>
    <n v="19934298.000000004"/>
    <n v="0"/>
    <n v="0"/>
    <m/>
    <n v="0"/>
    <m/>
    <n v="0"/>
    <m/>
    <n v="0"/>
    <n v="22593590.500000022"/>
    <n v="0"/>
    <n v="0"/>
    <n v="0"/>
    <n v="0"/>
    <n v="0"/>
    <n v="0"/>
    <s v=""/>
    <n v="0"/>
    <s v=""/>
    <n v="0"/>
    <s v=""/>
    <x v="0"/>
    <n v="0"/>
    <n v="0"/>
    <s v="No change"/>
    <n v="3.5406206546388264E-2"/>
    <n v="8.9309654310665287E-4"/>
    <n v="0"/>
    <n v="0"/>
    <n v="0"/>
    <n v="0"/>
    <n v="0"/>
  </r>
  <r>
    <x v="25"/>
    <x v="25"/>
    <n v="16514710"/>
    <x v="23"/>
    <n v="0"/>
    <n v="17004032.499999996"/>
    <n v="0"/>
    <m/>
    <n v="0"/>
    <m/>
    <n v="0"/>
    <m/>
    <n v="0"/>
    <m/>
    <n v="0"/>
    <n v="19934298.000000004"/>
    <n v="0"/>
    <n v="4"/>
    <m/>
    <n v="0"/>
    <m/>
    <n v="0"/>
    <m/>
    <n v="0"/>
    <n v="22593590.500000022"/>
    <n v="0"/>
    <n v="4"/>
    <n v="0"/>
    <n v="0"/>
    <n v="0"/>
    <n v="0"/>
    <s v=""/>
    <n v="4"/>
    <s v="2018 (triag)"/>
    <n v="4"/>
    <s v="2018 (triag)"/>
    <x v="0"/>
    <n v="4"/>
    <n v="4"/>
    <s v="No change"/>
    <n v="3.5406206546388264E-2"/>
    <n v="8.9309654310665287E-4"/>
    <n v="3.3510151453236579"/>
    <n v="4.0107315285340617"/>
    <n v="0"/>
    <n v="2.0065918549025401E-3"/>
    <n v="1.770413604690231E-3"/>
  </r>
  <r>
    <x v="26"/>
    <x v="26"/>
    <n v="24487610.999999996"/>
    <x v="0"/>
    <n v="2716"/>
    <n v="25251730.999999993"/>
    <n v="2904"/>
    <n v="26038704.499999993"/>
    <n v="0"/>
    <n v="26843245.5"/>
    <n v="38"/>
    <n v="27696492.499999989"/>
    <n v="57"/>
    <n v="28569441.000000015"/>
    <n v="4985"/>
    <n v="29423878.499999993"/>
    <n v="5147"/>
    <n v="5147"/>
    <n v="30285595.000000004"/>
    <n v="5993"/>
    <n v="31178238.999999996"/>
    <n v="6064"/>
    <n v="32077072.000000011"/>
    <n v="6016"/>
    <n v="32969518.500000007"/>
    <n v="6140"/>
    <n v="2180"/>
    <n v="2904"/>
    <n v="5993"/>
    <n v="6140"/>
    <n v="2904"/>
    <n v="2013"/>
    <n v="5147"/>
    <n v="2018"/>
    <n v="6140"/>
    <n v="2022"/>
    <x v="0"/>
    <n v="6140"/>
    <n v="6140"/>
    <s v="Increasing"/>
    <n v="5.4585812874464734E-2"/>
    <n v="3.4026707504662967E-2"/>
    <n v="1659.2999763418154"/>
    <n v="2414.2893995538839"/>
    <n v="1.1500201708944233"/>
    <n v="1.7492595342248987"/>
    <n v="1.8623262575096444"/>
  </r>
  <r>
    <x v="26"/>
    <x v="26"/>
    <n v="24487612"/>
    <x v="1"/>
    <n v="11652"/>
    <n v="25251730.999999993"/>
    <n v="12864"/>
    <m/>
    <n v="12696"/>
    <m/>
    <n v="13854"/>
    <m/>
    <n v="15320"/>
    <m/>
    <n v="15922"/>
    <n v="29423878.499999993"/>
    <n v="16306"/>
    <n v="16306"/>
    <m/>
    <n v="16358"/>
    <m/>
    <n v="17662"/>
    <m/>
    <n v="21856"/>
    <n v="32969518.500000007"/>
    <n v="19550"/>
    <n v="7961"/>
    <n v="13854"/>
    <n v="16358"/>
    <n v="21856"/>
    <n v="12864"/>
    <n v="2013"/>
    <n v="16306"/>
    <n v="2018"/>
    <n v="19550"/>
    <n v="2022"/>
    <x v="0"/>
    <n v="19550"/>
    <n v="19550"/>
    <s v="Increasing"/>
    <n v="5.4585812874464734E-2"/>
    <n v="3.4026707504662967E-2"/>
    <n v="6059.4895007601799"/>
    <n v="8816.586197178196"/>
    <n v="5.0943042280943054"/>
    <n v="5.5417575218712258"/>
    <n v="5.9297195984224018"/>
  </r>
  <r>
    <x v="26"/>
    <x v="26"/>
    <n v="24487613"/>
    <x v="2"/>
    <n v="8522"/>
    <n v="25251730.999999993"/>
    <n v="8530"/>
    <m/>
    <n v="9298"/>
    <m/>
    <n v="10316"/>
    <m/>
    <n v="11410"/>
    <m/>
    <n v="11640"/>
    <n v="29423878.499999993"/>
    <n v="12042"/>
    <n v="12042"/>
    <m/>
    <n v="12350"/>
    <m/>
    <n v="12648"/>
    <m/>
    <n v="14556"/>
    <n v="32969518.500000007"/>
    <n v="14240"/>
    <n v="5820"/>
    <n v="10316"/>
    <n v="12350"/>
    <n v="14556"/>
    <n v="8530"/>
    <n v="2013"/>
    <n v="12042"/>
    <n v="2018"/>
    <n v="14240"/>
    <n v="2022"/>
    <x v="0"/>
    <n v="14240"/>
    <n v="14240"/>
    <s v="Increasing"/>
    <n v="5.4585812874464734E-2"/>
    <n v="3.4026707504662967E-2"/>
    <n v="4429.8742487657637"/>
    <n v="6445.4882134878917"/>
    <n v="3.3779862457745975"/>
    <n v="4.0925943872423218"/>
    <n v="4.3191410271884916"/>
  </r>
  <r>
    <x v="26"/>
    <x v="26"/>
    <n v="24487614"/>
    <x v="3"/>
    <n v="20"/>
    <n v="25251730.999999993"/>
    <n v="0"/>
    <m/>
    <n v="0"/>
    <m/>
    <n v="0"/>
    <m/>
    <n v="20035"/>
    <m/>
    <n v="0"/>
    <n v="29423878.499999993"/>
    <n v="0"/>
    <n v="2310"/>
    <m/>
    <n v="0"/>
    <m/>
    <n v="0"/>
    <m/>
    <n v="0"/>
    <n v="32969518.500000007"/>
    <n v="0"/>
    <n v="2310"/>
    <n v="20"/>
    <n v="20035"/>
    <n v="0"/>
    <n v="20"/>
    <n v="2012"/>
    <n v="2310"/>
    <s v="2018 (triag)"/>
    <n v="2310"/>
    <s v="2018 (triag)"/>
    <x v="0"/>
    <n v="2310"/>
    <n v="3660"/>
    <s v="No change"/>
    <n v="5.4585812874464734E-2"/>
    <n v="3.4026707504662967E-2"/>
    <n v="1758.2490574998135"/>
    <n v="2558.2607857658127"/>
    <n v="7.9202491108431358E-3"/>
    <n v="0.78507665126472048"/>
    <n v="1.1101163033363679"/>
  </r>
  <r>
    <x v="26"/>
    <x v="26"/>
    <n v="24487615"/>
    <x v="4"/>
    <n v="0"/>
    <n v="25251730.999999993"/>
    <n v="0"/>
    <m/>
    <n v="0"/>
    <m/>
    <n v="0"/>
    <m/>
    <n v="0"/>
    <m/>
    <n v="0"/>
    <n v="29423878.499999993"/>
    <n v="0"/>
    <n v="545"/>
    <m/>
    <n v="0"/>
    <m/>
    <n v="0"/>
    <m/>
    <n v="0"/>
    <n v="32969518.500000007"/>
    <n v="0"/>
    <n v="545"/>
    <n v="0"/>
    <n v="0"/>
    <n v="0"/>
    <n v="0"/>
    <s v=""/>
    <n v="545"/>
    <s v="2018 (triag)"/>
    <n v="545"/>
    <s v="2018 (triag)"/>
    <x v="0"/>
    <n v="545"/>
    <n v="545"/>
    <s v="No change"/>
    <n v="5.4585812874464734E-2"/>
    <n v="3.4026707504662967E-2"/>
    <n v="414.82499408545385"/>
    <n v="603.57234988847097"/>
    <n v="0"/>
    <n v="0.18522371209492322"/>
    <n v="0.16530420363888537"/>
  </r>
  <r>
    <x v="26"/>
    <x v="26"/>
    <n v="24487616"/>
    <x v="5"/>
    <n v="1213"/>
    <n v="25251730.999999993"/>
    <n v="1204"/>
    <m/>
    <n v="0"/>
    <m/>
    <n v="0"/>
    <m/>
    <n v="0"/>
    <m/>
    <n v="1991"/>
    <n v="29423878.499999993"/>
    <n v="4787"/>
    <n v="4787"/>
    <m/>
    <n v="6632"/>
    <m/>
    <n v="6696"/>
    <m/>
    <n v="7329"/>
    <n v="32969518.500000007"/>
    <n v="6992"/>
    <n v="2205"/>
    <n v="1213"/>
    <n v="6632"/>
    <n v="7329"/>
    <n v="1204"/>
    <n v="2013"/>
    <n v="4787"/>
    <n v="2018"/>
    <n v="6992"/>
    <n v="2022"/>
    <x v="0"/>
    <n v="6992"/>
    <n v="6992"/>
    <s v="Increasing"/>
    <n v="5.4585812874464734E-2"/>
    <n v="3.4026707504662967E-2"/>
    <n v="1678.3286457952765"/>
    <n v="2441.9762045946391"/>
    <n v="0.47679899647275681"/>
    <n v="1.6269099262355917"/>
    <n v="2.120746774024012"/>
  </r>
  <r>
    <x v="26"/>
    <x v="26"/>
    <n v="24487617"/>
    <x v="6"/>
    <n v="0"/>
    <n v="25251730.999999993"/>
    <n v="0"/>
    <m/>
    <n v="0"/>
    <m/>
    <n v="0"/>
    <m/>
    <n v="0"/>
    <m/>
    <n v="0"/>
    <n v="29423878.499999993"/>
    <n v="0"/>
    <n v="0"/>
    <m/>
    <n v="0"/>
    <m/>
    <n v="0"/>
    <m/>
    <n v="0"/>
    <n v="32969518.500000007"/>
    <n v="856"/>
    <n v="0"/>
    <n v="0"/>
    <n v="0"/>
    <n v="856"/>
    <n v="0"/>
    <s v=""/>
    <n v="0"/>
    <s v=""/>
    <n v="856"/>
    <n v="2022"/>
    <x v="0"/>
    <n v="856"/>
    <n v="856"/>
    <s v="Increasing"/>
    <n v="5.4585812874464734E-2"/>
    <n v="3.4026707504662967E-2"/>
    <n v="0"/>
    <n v="0"/>
    <n v="0"/>
    <n v="0"/>
    <n v="0.25963375837593738"/>
  </r>
  <r>
    <x v="26"/>
    <x v="26"/>
    <n v="24487618"/>
    <x v="7"/>
    <n v="85"/>
    <n v="25251730.999999993"/>
    <n v="0"/>
    <m/>
    <n v="0"/>
    <m/>
    <n v="0"/>
    <m/>
    <n v="0"/>
    <m/>
    <n v="0"/>
    <n v="29423878.499999993"/>
    <n v="0"/>
    <n v="0"/>
    <m/>
    <n v="0"/>
    <m/>
    <n v="0"/>
    <m/>
    <n v="0"/>
    <n v="32969518.500000007"/>
    <n v="6"/>
    <n v="0"/>
    <n v="85"/>
    <n v="0"/>
    <n v="6"/>
    <n v="85"/>
    <n v="2012"/>
    <n v="0"/>
    <s v=""/>
    <n v="6"/>
    <n v="2022"/>
    <x v="0"/>
    <n v="6"/>
    <n v="6"/>
    <s v="Increasing"/>
    <n v="5.4585812874464734E-2"/>
    <n v="3.4026707504662967E-2"/>
    <n v="0"/>
    <n v="0"/>
    <n v="3.3661058721083326E-2"/>
    <n v="0"/>
    <n v="1.8198627923547014E-3"/>
  </r>
  <r>
    <x v="26"/>
    <x v="26"/>
    <n v="24487619"/>
    <x v="8"/>
    <n v="0"/>
    <n v="25251730.999999993"/>
    <n v="0"/>
    <m/>
    <n v="0"/>
    <m/>
    <n v="0"/>
    <m/>
    <n v="0"/>
    <m/>
    <n v="0"/>
    <n v="29423878.499999993"/>
    <n v="0"/>
    <n v="0"/>
    <m/>
    <n v="0"/>
    <m/>
    <n v="0"/>
    <m/>
    <n v="0"/>
    <n v="32969518.500000007"/>
    <n v="0"/>
    <n v="0"/>
    <n v="0"/>
    <n v="0"/>
    <n v="0"/>
    <n v="0"/>
    <s v=""/>
    <n v="0"/>
    <s v=""/>
    <n v="0"/>
    <s v=""/>
    <x v="0"/>
    <n v="0"/>
    <n v="0"/>
    <s v="No change"/>
    <n v="5.4585812874464734E-2"/>
    <n v="3.4026707504662967E-2"/>
    <n v="0"/>
    <n v="0"/>
    <n v="0"/>
    <n v="0"/>
    <n v="0"/>
  </r>
  <r>
    <x v="26"/>
    <x v="26"/>
    <n v="24487620"/>
    <x v="9"/>
    <n v="0"/>
    <n v="25251730.999999993"/>
    <n v="0"/>
    <m/>
    <n v="0"/>
    <m/>
    <n v="0"/>
    <m/>
    <n v="0"/>
    <m/>
    <n v="2466"/>
    <n v="29423878.499999993"/>
    <n v="0"/>
    <n v="2466"/>
    <m/>
    <n v="2789"/>
    <m/>
    <n v="2954"/>
    <m/>
    <n v="3318"/>
    <n v="32969518.500000007"/>
    <n v="3337"/>
    <n v="2466"/>
    <n v="0"/>
    <n v="2789"/>
    <n v="3337"/>
    <n v="0"/>
    <s v=""/>
    <n v="2466"/>
    <n v="2017"/>
    <n v="3337"/>
    <n v="2022"/>
    <x v="0"/>
    <n v="3337"/>
    <n v="3337"/>
    <s v="Increasing"/>
    <n v="5.4585812874464734E-2"/>
    <n v="3.4026707504662967E-2"/>
    <n v="1876.9879548894114"/>
    <n v="2731.0264492201272"/>
    <n v="0"/>
    <n v="0.83809481472675351"/>
    <n v="1.0121470230146064"/>
  </r>
  <r>
    <x v="26"/>
    <x v="26"/>
    <n v="24487621"/>
    <x v="10"/>
    <n v="33"/>
    <n v="25251730.999999993"/>
    <n v="44"/>
    <m/>
    <n v="0"/>
    <m/>
    <n v="212"/>
    <m/>
    <n v="0"/>
    <m/>
    <n v="29"/>
    <n v="29423878.499999993"/>
    <n v="304"/>
    <n v="304"/>
    <m/>
    <n v="54"/>
    <m/>
    <n v="0"/>
    <m/>
    <n v="0"/>
    <n v="32969518.500000007"/>
    <n v="72"/>
    <n v="29"/>
    <n v="212"/>
    <n v="304"/>
    <n v="72"/>
    <n v="44"/>
    <n v="2013"/>
    <n v="304"/>
    <n v="2018"/>
    <n v="72"/>
    <n v="2022"/>
    <x v="1"/>
    <n v="82.749502391069896"/>
    <n v="304"/>
    <s v="Decreasing"/>
    <n v="5.4585812874464734E-2"/>
    <n v="3.4026707504662967E-2"/>
    <n v="22.073256566014976"/>
    <n v="32.116693847276437"/>
    <n v="1.74245480438549E-2"/>
    <n v="0.10331744674652599"/>
    <n v="9.2206381479304877E-2"/>
  </r>
  <r>
    <x v="26"/>
    <x v="26"/>
    <n v="24487622"/>
    <x v="11"/>
    <n v="0"/>
    <n v="25251730.999999993"/>
    <n v="1908"/>
    <m/>
    <n v="0"/>
    <m/>
    <n v="0"/>
    <m/>
    <n v="0"/>
    <m/>
    <n v="0"/>
    <n v="29423878.499999993"/>
    <n v="0"/>
    <n v="5726"/>
    <m/>
    <n v="2055"/>
    <m/>
    <n v="2041"/>
    <m/>
    <n v="1912"/>
    <n v="32969518.500000007"/>
    <n v="1908"/>
    <n v="5726"/>
    <n v="1908"/>
    <n v="2055"/>
    <n v="2041"/>
    <n v="1908"/>
    <n v="2013"/>
    <n v="5726"/>
    <s v="2018 (triag)"/>
    <n v="1908"/>
    <n v="2022"/>
    <x v="1"/>
    <n v="2192.8618133633522"/>
    <n v="5726"/>
    <s v="Decreasing"/>
    <n v="5.4585812874464734E-2"/>
    <n v="3.4026707504662967E-2"/>
    <n v="4358.32645162075"/>
    <n v="6341.3858265346507"/>
    <n v="0.75559176517443516"/>
    <n v="1.9460384870743677"/>
    <n v="1.7367557248371701"/>
  </r>
  <r>
    <x v="26"/>
    <x v="26"/>
    <n v="24487623"/>
    <x v="12"/>
    <n v="0"/>
    <n v="25251730.999999993"/>
    <n v="0"/>
    <m/>
    <n v="0"/>
    <m/>
    <n v="0"/>
    <m/>
    <n v="0"/>
    <m/>
    <n v="0"/>
    <n v="29423878.499999993"/>
    <n v="0"/>
    <n v="0"/>
    <m/>
    <n v="0"/>
    <m/>
    <n v="0"/>
    <m/>
    <n v="0"/>
    <n v="32969518.500000007"/>
    <n v="0"/>
    <n v="0"/>
    <n v="0"/>
    <n v="0"/>
    <n v="0"/>
    <n v="0"/>
    <s v=""/>
    <n v="0"/>
    <s v=""/>
    <n v="0"/>
    <s v=""/>
    <x v="0"/>
    <n v="0"/>
    <n v="0"/>
    <s v="No change"/>
    <n v="5.4585812874464734E-2"/>
    <n v="3.4026707504662967E-2"/>
    <n v="0"/>
    <n v="0"/>
    <n v="0"/>
    <n v="0"/>
    <n v="0"/>
  </r>
  <r>
    <x v="26"/>
    <x v="26"/>
    <n v="24487624"/>
    <x v="13"/>
    <n v="267"/>
    <n v="25251730.999999993"/>
    <n v="238"/>
    <m/>
    <n v="0"/>
    <m/>
    <n v="0"/>
    <m/>
    <n v="0"/>
    <m/>
    <n v="290"/>
    <n v="29423878.499999993"/>
    <n v="0"/>
    <n v="206"/>
    <m/>
    <n v="315"/>
    <m/>
    <n v="301"/>
    <m/>
    <n v="264"/>
    <n v="32969518.500000007"/>
    <n v="276"/>
    <n v="206"/>
    <n v="267"/>
    <n v="315"/>
    <n v="301"/>
    <n v="238"/>
    <n v="2013"/>
    <n v="206"/>
    <s v="2018 (triag)"/>
    <n v="276"/>
    <n v="2022"/>
    <x v="0"/>
    <n v="276"/>
    <n v="276"/>
    <s v="Increasing"/>
    <n v="5.4585812874464734E-2"/>
    <n v="3.4026707504662967E-2"/>
    <n v="156.79623629652016"/>
    <n v="228.13927353582571"/>
    <n v="9.4250964419033315E-2"/>
    <n v="7.0011164571659054E-2"/>
    <n v="8.3713688448316267E-2"/>
  </r>
  <r>
    <x v="26"/>
    <x v="26"/>
    <n v="24487625"/>
    <x v="14"/>
    <n v="0"/>
    <n v="25251730.999999993"/>
    <n v="0"/>
    <m/>
    <n v="0"/>
    <m/>
    <n v="0"/>
    <m/>
    <n v="0"/>
    <m/>
    <n v="0"/>
    <n v="29423878.499999993"/>
    <n v="0"/>
    <n v="59"/>
    <m/>
    <n v="0"/>
    <m/>
    <n v="0"/>
    <m/>
    <n v="0"/>
    <n v="32969518.500000007"/>
    <n v="172"/>
    <n v="59"/>
    <n v="0"/>
    <n v="0"/>
    <n v="172"/>
    <n v="0"/>
    <s v=""/>
    <n v="59"/>
    <s v="2018 (triag)"/>
    <n v="172"/>
    <n v="2022"/>
    <x v="0"/>
    <n v="172"/>
    <n v="172"/>
    <s v="Increasing"/>
    <n v="5.4585812874464734E-2"/>
    <n v="3.4026707504662967E-2"/>
    <n v="44.907659910168398"/>
    <n v="65.34085989618309"/>
    <n v="0"/>
    <n v="2.0051741309358662E-2"/>
    <n v="5.2169400047501438E-2"/>
  </r>
  <r>
    <x v="26"/>
    <x v="26"/>
    <n v="24487626"/>
    <x v="15"/>
    <n v="76"/>
    <n v="25251730.999999993"/>
    <n v="115"/>
    <m/>
    <n v="0"/>
    <m/>
    <n v="0"/>
    <m/>
    <n v="0"/>
    <m/>
    <n v="147"/>
    <n v="29423878.499999993"/>
    <n v="150"/>
    <n v="150"/>
    <m/>
    <n v="165"/>
    <m/>
    <n v="156"/>
    <m/>
    <n v="151"/>
    <n v="32969518.500000007"/>
    <n v="154"/>
    <n v="147"/>
    <n v="115"/>
    <n v="165"/>
    <n v="156"/>
    <n v="115"/>
    <n v="2013"/>
    <n v="150"/>
    <n v="2018"/>
    <n v="154"/>
    <n v="2022"/>
    <x v="0"/>
    <n v="154"/>
    <n v="154"/>
    <s v="Increasing"/>
    <n v="5.4585812874464734E-2"/>
    <n v="3.4026707504662967E-2"/>
    <n v="111.88857638635177"/>
    <n v="162.7984136396426"/>
    <n v="4.5541432387348035E-2"/>
    <n v="5.0979003328877955E-2"/>
    <n v="4.6709811670437335E-2"/>
  </r>
  <r>
    <x v="26"/>
    <x v="26"/>
    <n v="24487627"/>
    <x v="16"/>
    <n v="0"/>
    <n v="25251730.999999993"/>
    <n v="0"/>
    <m/>
    <n v="0"/>
    <m/>
    <n v="0"/>
    <m/>
    <n v="0"/>
    <m/>
    <n v="34992"/>
    <n v="29423878.499999993"/>
    <n v="0"/>
    <n v="26735"/>
    <m/>
    <n v="399"/>
    <m/>
    <n v="8308"/>
    <m/>
    <n v="3530"/>
    <n v="32969518.500000007"/>
    <n v="696"/>
    <n v="26735"/>
    <n v="0"/>
    <n v="34992"/>
    <n v="8308"/>
    <n v="0"/>
    <s v=""/>
    <n v="26735"/>
    <s v="2018 (triag)"/>
    <n v="696"/>
    <n v="2022"/>
    <x v="1"/>
    <n v="799.91185644700897"/>
    <n v="26735"/>
    <s v="Decreasing"/>
    <n v="5.4585812874464734E-2"/>
    <n v="3.4026707504662967E-2"/>
    <n v="20349.259113531392"/>
    <n v="29608.269310583983"/>
    <n v="0"/>
    <n v="9.0861576933170127"/>
    <n v="8.1090052922671578"/>
  </r>
  <r>
    <x v="26"/>
    <x v="26"/>
    <n v="24487628"/>
    <x v="17"/>
    <n v="0"/>
    <n v="25251730.999999993"/>
    <n v="0"/>
    <m/>
    <n v="0"/>
    <m/>
    <n v="0"/>
    <m/>
    <n v="0"/>
    <m/>
    <n v="26735"/>
    <n v="29423878.499999993"/>
    <n v="0"/>
    <n v="0"/>
    <m/>
    <n v="16937"/>
    <m/>
    <n v="14416"/>
    <m/>
    <n v="10717"/>
    <n v="32969518.500000007"/>
    <n v="12261"/>
    <n v="0"/>
    <n v="0"/>
    <n v="26735"/>
    <n v="14416"/>
    <n v="0"/>
    <s v=""/>
    <n v="26735"/>
    <n v="2017"/>
    <n v="12261"/>
    <n v="2022"/>
    <x v="1"/>
    <n v="14091.550678012611"/>
    <n v="26735"/>
    <s v="Decreasing"/>
    <n v="5.4585812874464734E-2"/>
    <n v="3.4026707504662967E-2"/>
    <n v="0"/>
    <n v="0"/>
    <n v="0"/>
    <n v="9.0861576933170127"/>
    <n v="8.1090052922671578"/>
  </r>
  <r>
    <x v="26"/>
    <x v="26"/>
    <n v="24487629"/>
    <x v="18"/>
    <n v="1425"/>
    <n v="25251730.999999993"/>
    <n v="1465"/>
    <m/>
    <n v="0"/>
    <m/>
    <n v="0"/>
    <m/>
    <n v="0"/>
    <m/>
    <n v="1958"/>
    <n v="29423878.499999993"/>
    <n v="0"/>
    <n v="1951"/>
    <m/>
    <n v="0"/>
    <m/>
    <n v="0"/>
    <m/>
    <n v="301"/>
    <n v="32969518.500000007"/>
    <n v="2040"/>
    <n v="1951"/>
    <n v="1465"/>
    <n v="1958"/>
    <n v="2040"/>
    <n v="1465"/>
    <n v="2013"/>
    <n v="1951"/>
    <s v="2018 (triag)"/>
    <n v="2040"/>
    <n v="2022"/>
    <x v="0"/>
    <n v="2040"/>
    <n v="2040"/>
    <s v="Increasing"/>
    <n v="5.4585812874464734E-2"/>
    <n v="3.4026707504662967E-2"/>
    <n v="1484.9973641481108"/>
    <n v="2160.6782653805631"/>
    <n v="0.58015824736925969"/>
    <n v="0.66306690329760587"/>
    <n v="0.61875334940059845"/>
  </r>
  <r>
    <x v="26"/>
    <x v="26"/>
    <n v="24487630"/>
    <x v="19"/>
    <n v="0"/>
    <n v="25251730.999999993"/>
    <n v="0"/>
    <m/>
    <n v="0"/>
    <m/>
    <n v="0"/>
    <m/>
    <n v="0"/>
    <m/>
    <n v="6281"/>
    <n v="29423878.499999993"/>
    <n v="0"/>
    <n v="0"/>
    <m/>
    <n v="6665"/>
    <m/>
    <n v="0"/>
    <m/>
    <n v="0"/>
    <n v="32969518.500000007"/>
    <n v="6873"/>
    <n v="0"/>
    <n v="0"/>
    <n v="6665"/>
    <n v="6873"/>
    <n v="0"/>
    <s v=""/>
    <n v="6281"/>
    <n v="2017"/>
    <n v="6873"/>
    <n v="2022"/>
    <x v="0"/>
    <n v="6873"/>
    <n v="6873"/>
    <s v="Increasing"/>
    <n v="5.4585812874464734E-2"/>
    <n v="3.4026707504662967E-2"/>
    <n v="0"/>
    <n v="0"/>
    <n v="0"/>
    <n v="2.1346607993912161"/>
    <n v="2.0846528286423105"/>
  </r>
  <r>
    <x v="26"/>
    <x v="26"/>
    <n v="24487631"/>
    <x v="20"/>
    <n v="281"/>
    <n v="25251730.999999993"/>
    <n v="287"/>
    <m/>
    <n v="0"/>
    <m/>
    <n v="0"/>
    <m/>
    <n v="0"/>
    <m/>
    <n v="377"/>
    <n v="29423878.499999993"/>
    <n v="362"/>
    <n v="377"/>
    <m/>
    <n v="395"/>
    <m/>
    <n v="444"/>
    <m/>
    <n v="535"/>
    <n v="32969518.500000007"/>
    <n v="553"/>
    <n v="377"/>
    <n v="287"/>
    <n v="395"/>
    <n v="553"/>
    <n v="287"/>
    <n v="2013"/>
    <n v="377"/>
    <n v="2017"/>
    <n v="553"/>
    <n v="2022"/>
    <x v="0"/>
    <n v="553"/>
    <n v="553"/>
    <s v="Increasing"/>
    <n v="5.4585812874464734E-2"/>
    <n v="3.4026707504662967E-2"/>
    <n v="286.95233535819466"/>
    <n v="417.51702001459364"/>
    <n v="0.11365557474059901"/>
    <n v="0.12812722836657991"/>
    <n v="0.16773068736202498"/>
  </r>
  <r>
    <x v="26"/>
    <x v="26"/>
    <n v="24487632"/>
    <x v="21"/>
    <n v="0"/>
    <n v="25251730.999999993"/>
    <n v="0"/>
    <m/>
    <n v="0"/>
    <m/>
    <n v="0"/>
    <m/>
    <n v="0"/>
    <m/>
    <n v="287"/>
    <n v="29423878.499999993"/>
    <n v="338"/>
    <n v="338"/>
    <m/>
    <n v="422"/>
    <m/>
    <n v="554"/>
    <m/>
    <n v="552"/>
    <n v="32969518.500000007"/>
    <n v="342"/>
    <n v="0"/>
    <n v="0"/>
    <n v="422"/>
    <n v="554"/>
    <n v="0"/>
    <s v=""/>
    <n v="338"/>
    <n v="2018"/>
    <n v="342"/>
    <n v="2022"/>
    <x v="0"/>
    <n v="342"/>
    <n v="342"/>
    <s v="Increasing"/>
    <n v="5.4585812874464734E-2"/>
    <n v="3.4026707504662967E-2"/>
    <n v="0"/>
    <n v="0"/>
    <n v="0"/>
    <n v="0.11487268750107164"/>
    <n v="0.10373217916421798"/>
  </r>
  <r>
    <x v="26"/>
    <x v="26"/>
    <n v="24487633"/>
    <x v="22"/>
    <n v="0"/>
    <n v="25251730.999999993"/>
    <n v="0"/>
    <m/>
    <n v="0"/>
    <m/>
    <n v="0"/>
    <m/>
    <n v="0"/>
    <m/>
    <n v="2"/>
    <n v="29423878.499999993"/>
    <n v="3"/>
    <n v="3"/>
    <m/>
    <n v="2"/>
    <m/>
    <n v="0"/>
    <m/>
    <n v="0"/>
    <n v="32969518.500000007"/>
    <n v="0"/>
    <n v="0"/>
    <n v="0"/>
    <n v="3"/>
    <n v="0"/>
    <n v="0"/>
    <s v=""/>
    <n v="3"/>
    <n v="2018"/>
    <n v="2"/>
    <n v="2018"/>
    <x v="1"/>
    <n v="2.2985972886408303"/>
    <n v="3"/>
    <s v="Decreasing"/>
    <n v="5.4585812874464734E-2"/>
    <n v="3.4026707504662967E-2"/>
    <n v="0"/>
    <n v="0"/>
    <n v="0"/>
    <n v="1.019580066577559E-3"/>
    <n v="9.0993139617735069E-4"/>
  </r>
  <r>
    <x v="26"/>
    <x v="26"/>
    <n v="24487634"/>
    <x v="23"/>
    <n v="0"/>
    <n v="25251730.999999993"/>
    <n v="0"/>
    <m/>
    <n v="0"/>
    <m/>
    <n v="0"/>
    <m/>
    <n v="0"/>
    <m/>
    <n v="0"/>
    <n v="29423878.499999993"/>
    <n v="0"/>
    <n v="0"/>
    <m/>
    <n v="0"/>
    <m/>
    <n v="0"/>
    <m/>
    <n v="0"/>
    <n v="32969518.500000007"/>
    <n v="99942"/>
    <n v="0"/>
    <n v="0"/>
    <n v="0"/>
    <n v="99942"/>
    <n v="0"/>
    <s v=""/>
    <n v="0"/>
    <s v=""/>
    <n v="99942"/>
    <n v="2022"/>
    <x v="0"/>
    <n v="99942"/>
    <n v="99942"/>
    <s v="Increasing"/>
    <n v="5.4585812874464734E-2"/>
    <n v="3.4026707504662967E-2"/>
    <n v="0"/>
    <n v="0"/>
    <n v="0"/>
    <n v="0"/>
    <n v="30.313454532252262"/>
  </r>
  <r>
    <x v="27"/>
    <x v="27"/>
    <n v="3636113.5000000009"/>
    <x v="0"/>
    <n v="0"/>
    <n v="3742958.9999999981"/>
    <n v="0"/>
    <n v="3843173.9999999991"/>
    <n v="1244"/>
    <n v="3946219.4999999991"/>
    <n v="1384"/>
    <n v="4051890.5000000014"/>
    <n v="0"/>
    <n v="4160014.4999999995"/>
    <n v="1582"/>
    <n v="4270711.4999999972"/>
    <n v="1700"/>
    <n v="1700"/>
    <n v="4383848.5000000009"/>
    <n v="1794"/>
    <n v="4498603.4999999953"/>
    <n v="1868"/>
    <n v="4614974"/>
    <n v="2070"/>
    <n v="4736138.9999999991"/>
    <n v="2236"/>
    <n v="1626"/>
    <n v="1384"/>
    <n v="1794"/>
    <n v="2236"/>
    <n v="1244"/>
    <n v="2014"/>
    <n v="1700"/>
    <n v="2018"/>
    <n v="2236"/>
    <n v="2022"/>
    <x v="0"/>
    <n v="2236"/>
    <n v="2236"/>
    <s v="Increasing"/>
    <n v="5.6024318930811168E-2"/>
    <n v="5.4673730437993617E-2"/>
    <n v="1228.754944490516"/>
    <n v="1915.8170745917573"/>
    <n v="3.3235736752660143"/>
    <n v="3.9806013588133995"/>
    <n v="4.7211452197665658"/>
  </r>
  <r>
    <x v="27"/>
    <x v="27"/>
    <n v="3636114.5"/>
    <x v="1"/>
    <n v="0"/>
    <n v="3742958.9999999981"/>
    <n v="0"/>
    <m/>
    <n v="7692"/>
    <m/>
    <n v="8274"/>
    <m/>
    <n v="0"/>
    <m/>
    <n v="9142"/>
    <n v="4270711.4999999972"/>
    <n v="8223"/>
    <n v="8223"/>
    <m/>
    <n v="8738"/>
    <m/>
    <n v="8580"/>
    <m/>
    <n v="12312"/>
    <n v="4736138.9999999991"/>
    <n v="13006"/>
    <n v="4017"/>
    <n v="8274"/>
    <n v="9142"/>
    <n v="13006"/>
    <n v="7692"/>
    <n v="2014"/>
    <n v="8223"/>
    <n v="2018"/>
    <n v="13006"/>
    <n v="2022"/>
    <x v="0"/>
    <n v="13006"/>
    <n v="13006"/>
    <s v="Increasing"/>
    <n v="5.6024318930811168E-2"/>
    <n v="5.4673730437993617E-2"/>
    <n v="3035.614152532843"/>
    <n v="4732.9872008825887"/>
    <n v="20.550585779860278"/>
    <n v="19.254402925601518"/>
    <n v="27.461187266674401"/>
  </r>
  <r>
    <x v="27"/>
    <x v="27"/>
    <n v="3636115.5"/>
    <x v="2"/>
    <n v="0"/>
    <n v="3742958.9999999981"/>
    <n v="736"/>
    <m/>
    <n v="0"/>
    <m/>
    <n v="0"/>
    <m/>
    <n v="0"/>
    <m/>
    <n v="0"/>
    <n v="4270711.4999999972"/>
    <n v="1342"/>
    <n v="1342"/>
    <m/>
    <n v="1864"/>
    <m/>
    <n v="2054"/>
    <m/>
    <n v="2504"/>
    <n v="4736138.9999999991"/>
    <n v="2680"/>
    <n v="855"/>
    <n v="736"/>
    <n v="1864"/>
    <n v="2680"/>
    <n v="736"/>
    <n v="2013"/>
    <n v="1342"/>
    <n v="2018"/>
    <n v="2680"/>
    <n v="2022"/>
    <x v="0"/>
    <n v="2680"/>
    <n v="2680"/>
    <s v="Increasing"/>
    <n v="5.6024318930811168E-2"/>
    <n v="5.4673730437993617E-2"/>
    <n v="646.11652985202409"/>
    <n v="1007.3945871930828"/>
    <n v="1.9663587017651019"/>
    <n v="3.1423335432515187"/>
    <n v="5.6586177052658302"/>
  </r>
  <r>
    <x v="27"/>
    <x v="27"/>
    <n v="3636116.5"/>
    <x v="3"/>
    <n v="3445"/>
    <n v="3742958.9999999981"/>
    <n v="975"/>
    <m/>
    <n v="0"/>
    <m/>
    <n v="333"/>
    <m/>
    <n v="0"/>
    <m/>
    <n v="0"/>
    <n v="4270711.4999999972"/>
    <n v="0"/>
    <n v="100"/>
    <m/>
    <n v="0"/>
    <m/>
    <n v="0"/>
    <m/>
    <n v="0"/>
    <n v="4736138.9999999991"/>
    <n v="0"/>
    <n v="100"/>
    <n v="3445"/>
    <n v="0"/>
    <n v="0"/>
    <n v="975"/>
    <n v="2013"/>
    <n v="100"/>
    <s v="2018 (triag)"/>
    <n v="100"/>
    <s v="2018 (triag)"/>
    <x v="0"/>
    <n v="100"/>
    <n v="100"/>
    <s v="No change"/>
    <n v="5.6024318930811168E-2"/>
    <n v="5.4673730437993617E-2"/>
    <n v="75.569184778014517"/>
    <n v="117.82392832667634"/>
    <n v="2.6048909432350196"/>
    <n v="0.23415302110667055"/>
    <n v="0.21114245168902351"/>
  </r>
  <r>
    <x v="27"/>
    <x v="27"/>
    <n v="3636117.5"/>
    <x v="4"/>
    <n v="695"/>
    <n v="3742958.9999999981"/>
    <n v="209"/>
    <m/>
    <n v="0"/>
    <m/>
    <n v="204"/>
    <m/>
    <n v="0"/>
    <m/>
    <n v="0"/>
    <n v="4270711.4999999972"/>
    <n v="12751"/>
    <n v="12751"/>
    <m/>
    <n v="0"/>
    <m/>
    <n v="0"/>
    <m/>
    <n v="0"/>
    <n v="4736138.9999999991"/>
    <n v="0"/>
    <n v="151"/>
    <n v="695"/>
    <n v="12751"/>
    <n v="0"/>
    <n v="209"/>
    <n v="2013"/>
    <n v="12751"/>
    <n v="2018"/>
    <n v="12751"/>
    <n v="2018"/>
    <x v="0"/>
    <n v="12751"/>
    <n v="12751"/>
    <s v="No change"/>
    <n v="5.6024318930811168E-2"/>
    <n v="5.4673730437993617E-2"/>
    <n v="114.10946901480192"/>
    <n v="177.91413177328127"/>
    <n v="0.55838175090884001"/>
    <n v="29.856851721311561"/>
    <n v="26.92277401486739"/>
  </r>
  <r>
    <x v="27"/>
    <x v="27"/>
    <n v="3636118.5"/>
    <x v="5"/>
    <n v="0"/>
    <n v="3742958.9999999981"/>
    <n v="0"/>
    <m/>
    <n v="0"/>
    <m/>
    <n v="0"/>
    <m/>
    <n v="0"/>
    <m/>
    <n v="0"/>
    <n v="4270711.4999999972"/>
    <n v="0"/>
    <n v="500"/>
    <m/>
    <n v="0"/>
    <m/>
    <n v="0"/>
    <m/>
    <n v="0"/>
    <n v="4736138.9999999991"/>
    <n v="0"/>
    <n v="500"/>
    <n v="0"/>
    <n v="0"/>
    <n v="0"/>
    <n v="0"/>
    <s v=""/>
    <n v="500"/>
    <s v="2018 (triag)"/>
    <n v="500"/>
    <s v="2018 (triag)"/>
    <x v="0"/>
    <n v="500"/>
    <n v="500"/>
    <s v="No change"/>
    <n v="5.6024318930811168E-2"/>
    <n v="5.4673730437993617E-2"/>
    <n v="377.84592389007258"/>
    <n v="589.11964163338166"/>
    <n v="0"/>
    <n v="1.1707651055333528"/>
    <n v="1.0557122584451177"/>
  </r>
  <r>
    <x v="27"/>
    <x v="27"/>
    <n v="3636119.5"/>
    <x v="6"/>
    <n v="1172"/>
    <n v="3742958.9999999981"/>
    <n v="35"/>
    <m/>
    <n v="0"/>
    <m/>
    <n v="12"/>
    <m/>
    <n v="4"/>
    <m/>
    <n v="0"/>
    <n v="4270711.4999999972"/>
    <n v="4038"/>
    <n v="4038"/>
    <m/>
    <n v="0"/>
    <m/>
    <n v="0"/>
    <m/>
    <n v="0"/>
    <n v="4736138.9999999991"/>
    <n v="0"/>
    <n v="20"/>
    <n v="1172"/>
    <n v="4038"/>
    <n v="0"/>
    <n v="35"/>
    <n v="2013"/>
    <n v="4038"/>
    <n v="2018"/>
    <n v="4038"/>
    <n v="2018"/>
    <x v="0"/>
    <n v="4038"/>
    <n v="4038"/>
    <s v="No change"/>
    <n v="5.6024318930811168E-2"/>
    <n v="5.4673730437993617E-2"/>
    <n v="15.113836955602903"/>
    <n v="23.564785665335268"/>
    <n v="9.3508905654590441E-2"/>
    <n v="9.4550989922873576"/>
    <n v="8.5259321992027708"/>
  </r>
  <r>
    <x v="27"/>
    <x v="27"/>
    <n v="3636120.5"/>
    <x v="7"/>
    <n v="0"/>
    <n v="3742958.9999999981"/>
    <n v="209"/>
    <m/>
    <n v="0"/>
    <m/>
    <n v="53"/>
    <m/>
    <n v="0"/>
    <m/>
    <n v="0"/>
    <n v="4270711.4999999972"/>
    <n v="4745"/>
    <n v="4745"/>
    <m/>
    <n v="0"/>
    <m/>
    <n v="0"/>
    <m/>
    <n v="0"/>
    <n v="4736138.9999999991"/>
    <n v="0"/>
    <n v="5"/>
    <n v="209"/>
    <n v="4745"/>
    <n v="0"/>
    <n v="209"/>
    <n v="2013"/>
    <n v="4745"/>
    <n v="2018"/>
    <n v="4745"/>
    <n v="2018"/>
    <x v="0"/>
    <n v="4745"/>
    <n v="4745"/>
    <s v="No change"/>
    <n v="5.6024318930811168E-2"/>
    <n v="5.4673730437993617E-2"/>
    <n v="3.7784592389007257"/>
    <n v="5.8911964163338171"/>
    <n v="0.55838175090884001"/>
    <n v="11.110560851511517"/>
    <n v="10.018709332644166"/>
  </r>
  <r>
    <x v="27"/>
    <x v="27"/>
    <n v="3636121.5"/>
    <x v="8"/>
    <n v="0"/>
    <n v="3742958.9999999981"/>
    <n v="0"/>
    <m/>
    <n v="0"/>
    <m/>
    <n v="0"/>
    <m/>
    <n v="0"/>
    <m/>
    <n v="0"/>
    <n v="4270711.4999999972"/>
    <n v="0"/>
    <n v="38"/>
    <m/>
    <n v="0"/>
    <m/>
    <n v="0"/>
    <m/>
    <n v="0"/>
    <n v="4736138.9999999991"/>
    <n v="0"/>
    <n v="38"/>
    <n v="0"/>
    <n v="0"/>
    <n v="0"/>
    <n v="0"/>
    <s v=""/>
    <n v="38"/>
    <s v="2018 (triag)"/>
    <n v="38"/>
    <s v="2018 (triag)"/>
    <x v="0"/>
    <n v="38"/>
    <n v="38"/>
    <s v="No change"/>
    <n v="5.6024318930811168E-2"/>
    <n v="5.4673730437993617E-2"/>
    <n v="28.716290215645515"/>
    <n v="44.773092764137012"/>
    <n v="0"/>
    <n v="8.8978148020534803E-2"/>
    <n v="8.0234131641828937E-2"/>
  </r>
  <r>
    <x v="27"/>
    <x v="27"/>
    <n v="3636122.5"/>
    <x v="9"/>
    <n v="0"/>
    <n v="3742958.9999999981"/>
    <n v="0"/>
    <m/>
    <n v="0"/>
    <m/>
    <n v="0"/>
    <m/>
    <n v="0"/>
    <m/>
    <n v="0"/>
    <n v="4270711.4999999972"/>
    <n v="0"/>
    <n v="20"/>
    <m/>
    <n v="0"/>
    <m/>
    <n v="0"/>
    <m/>
    <n v="0"/>
    <n v="4736138.9999999991"/>
    <n v="0"/>
    <n v="20"/>
    <n v="0"/>
    <n v="0"/>
    <n v="0"/>
    <n v="0"/>
    <s v=""/>
    <n v="20"/>
    <s v="2018 (triag)"/>
    <n v="20"/>
    <s v="2018 (triag)"/>
    <x v="0"/>
    <n v="20"/>
    <n v="20"/>
    <s v="No change"/>
    <n v="5.6024318930811168E-2"/>
    <n v="5.4673730437993617E-2"/>
    <n v="15.113836955602903"/>
    <n v="23.564785665335268"/>
    <n v="0"/>
    <n v="4.6830604221334109E-2"/>
    <n v="4.2228490337804708E-2"/>
  </r>
  <r>
    <x v="27"/>
    <x v="27"/>
    <n v="3636123.5"/>
    <x v="10"/>
    <n v="0"/>
    <n v="3742958.9999999981"/>
    <n v="0"/>
    <m/>
    <n v="0"/>
    <m/>
    <n v="0"/>
    <m/>
    <n v="0"/>
    <m/>
    <n v="0"/>
    <n v="4270711.4999999972"/>
    <n v="0"/>
    <n v="9"/>
    <m/>
    <n v="0"/>
    <m/>
    <n v="0"/>
    <m/>
    <n v="0"/>
    <n v="4736138.9999999991"/>
    <n v="0"/>
    <n v="9"/>
    <n v="0"/>
    <n v="0"/>
    <n v="0"/>
    <n v="0"/>
    <s v=""/>
    <n v="9"/>
    <s v="2018 (triag)"/>
    <n v="9"/>
    <s v="2018 (triag)"/>
    <x v="0"/>
    <n v="9"/>
    <n v="9"/>
    <s v="No change"/>
    <n v="5.6024318930811168E-2"/>
    <n v="5.4673730437993617E-2"/>
    <n v="6.801226630021306"/>
    <n v="10.60415354940087"/>
    <n v="0"/>
    <n v="2.1073771899600351E-2"/>
    <n v="1.9002820652012118E-2"/>
  </r>
  <r>
    <x v="27"/>
    <x v="27"/>
    <n v="3636124.5"/>
    <x v="11"/>
    <n v="0"/>
    <n v="3742958.9999999981"/>
    <n v="0"/>
    <m/>
    <n v="0"/>
    <m/>
    <n v="0"/>
    <m/>
    <n v="0"/>
    <m/>
    <n v="0"/>
    <n v="4270711.4999999972"/>
    <n v="0"/>
    <n v="326"/>
    <m/>
    <n v="0"/>
    <m/>
    <n v="0"/>
    <m/>
    <n v="0"/>
    <n v="4736138.9999999991"/>
    <n v="0"/>
    <n v="326"/>
    <n v="0"/>
    <n v="0"/>
    <n v="0"/>
    <n v="0"/>
    <s v=""/>
    <n v="326"/>
    <s v="2018 (triag)"/>
    <n v="326"/>
    <s v="2018 (triag)"/>
    <x v="0"/>
    <n v="326"/>
    <n v="326"/>
    <s v="No change"/>
    <n v="5.6024318930811168E-2"/>
    <n v="5.4673730437993617E-2"/>
    <n v="246.35554237632732"/>
    <n v="384.1060063449649"/>
    <n v="0"/>
    <n v="0.76333884880774605"/>
    <n v="0.68832439250621669"/>
  </r>
  <r>
    <x v="27"/>
    <x v="27"/>
    <n v="3636125.5"/>
    <x v="12"/>
    <n v="0"/>
    <n v="3742958.9999999981"/>
    <n v="0"/>
    <m/>
    <n v="0"/>
    <m/>
    <n v="0"/>
    <m/>
    <n v="0"/>
    <m/>
    <n v="0"/>
    <n v="4270711.4999999972"/>
    <n v="0"/>
    <n v="0"/>
    <m/>
    <n v="0"/>
    <m/>
    <n v="0"/>
    <m/>
    <n v="0"/>
    <n v="4736138.9999999991"/>
    <n v="0"/>
    <n v="0"/>
    <n v="0"/>
    <n v="0"/>
    <n v="0"/>
    <n v="0"/>
    <s v=""/>
    <n v="0"/>
    <s v=""/>
    <n v="0"/>
    <s v=""/>
    <x v="0"/>
    <n v="0"/>
    <n v="0"/>
    <s v="No change"/>
    <n v="5.6024318930811168E-2"/>
    <n v="5.4673730437993617E-2"/>
    <n v="0"/>
    <n v="0"/>
    <n v="0"/>
    <n v="0"/>
    <n v="0"/>
  </r>
  <r>
    <x v="27"/>
    <x v="27"/>
    <n v="3636126.5"/>
    <x v="13"/>
    <n v="0"/>
    <n v="3742958.9999999981"/>
    <n v="0"/>
    <m/>
    <n v="0"/>
    <m/>
    <n v="0"/>
    <m/>
    <n v="0"/>
    <m/>
    <n v="0"/>
    <n v="4270711.4999999972"/>
    <n v="0"/>
    <n v="0"/>
    <m/>
    <n v="0"/>
    <m/>
    <n v="0"/>
    <m/>
    <n v="0"/>
    <n v="4736138.9999999991"/>
    <n v="0"/>
    <n v="0"/>
    <n v="0"/>
    <n v="0"/>
    <n v="0"/>
    <n v="0"/>
    <s v=""/>
    <n v="0"/>
    <s v=""/>
    <n v="0"/>
    <s v=""/>
    <x v="0"/>
    <n v="0"/>
    <n v="0"/>
    <s v="No change"/>
    <n v="5.6024318930811168E-2"/>
    <n v="5.4673730437993617E-2"/>
    <n v="0"/>
    <n v="0"/>
    <n v="0"/>
    <n v="0"/>
    <n v="0"/>
  </r>
  <r>
    <x v="27"/>
    <x v="27"/>
    <n v="3636127.5"/>
    <x v="14"/>
    <n v="0"/>
    <n v="3742958.9999999981"/>
    <n v="0"/>
    <m/>
    <n v="0"/>
    <m/>
    <n v="0"/>
    <m/>
    <n v="0"/>
    <m/>
    <n v="0"/>
    <n v="4270711.4999999972"/>
    <n v="0"/>
    <n v="15"/>
    <m/>
    <n v="0"/>
    <m/>
    <n v="0"/>
    <m/>
    <n v="0"/>
    <n v="4736138.9999999991"/>
    <n v="0"/>
    <n v="15"/>
    <n v="0"/>
    <n v="0"/>
    <n v="0"/>
    <n v="0"/>
    <s v=""/>
    <n v="15"/>
    <s v="2018 (triag)"/>
    <n v="15"/>
    <s v="2018 (triag)"/>
    <x v="0"/>
    <n v="15"/>
    <n v="15"/>
    <s v="No change"/>
    <n v="5.6024318930811168E-2"/>
    <n v="5.4673730437993617E-2"/>
    <n v="11.335377716702178"/>
    <n v="17.673589249001452"/>
    <n v="0"/>
    <n v="3.512295316600058E-2"/>
    <n v="3.1671367753353531E-2"/>
  </r>
  <r>
    <x v="27"/>
    <x v="27"/>
    <n v="3636128.5"/>
    <x v="15"/>
    <n v="0"/>
    <n v="3742958.9999999981"/>
    <n v="0"/>
    <m/>
    <n v="0"/>
    <m/>
    <n v="0"/>
    <m/>
    <n v="0"/>
    <m/>
    <n v="0"/>
    <n v="4270711.4999999972"/>
    <n v="0"/>
    <n v="0"/>
    <m/>
    <n v="0"/>
    <m/>
    <n v="0"/>
    <m/>
    <n v="0"/>
    <n v="4736138.9999999991"/>
    <n v="0"/>
    <n v="0"/>
    <n v="0"/>
    <n v="0"/>
    <n v="0"/>
    <n v="0"/>
    <s v=""/>
    <n v="0"/>
    <s v=""/>
    <n v="0"/>
    <s v=""/>
    <x v="0"/>
    <n v="0"/>
    <n v="0"/>
    <s v="No change"/>
    <n v="5.6024318930811168E-2"/>
    <n v="5.4673730437993617E-2"/>
    <n v="0"/>
    <n v="0"/>
    <n v="0"/>
    <n v="0"/>
    <n v="0"/>
  </r>
  <r>
    <x v="27"/>
    <x v="27"/>
    <n v="3636129.5"/>
    <x v="16"/>
    <n v="0"/>
    <n v="3742958.9999999981"/>
    <n v="0"/>
    <m/>
    <n v="0"/>
    <m/>
    <n v="0"/>
    <m/>
    <n v="0"/>
    <m/>
    <n v="0"/>
    <n v="4270711.4999999972"/>
    <n v="0"/>
    <n v="1532"/>
    <m/>
    <n v="0"/>
    <m/>
    <n v="0"/>
    <m/>
    <n v="0"/>
    <n v="4736138.9999999991"/>
    <n v="0"/>
    <n v="1532"/>
    <n v="0"/>
    <n v="0"/>
    <n v="0"/>
    <n v="0"/>
    <s v=""/>
    <n v="1532"/>
    <s v="2018 (triag)"/>
    <n v="1532"/>
    <s v="2018 (triag)"/>
    <x v="0"/>
    <n v="1532"/>
    <n v="1532"/>
    <s v="No change"/>
    <n v="5.6024318930811168E-2"/>
    <n v="5.4673730437993617E-2"/>
    <n v="1157.7199107991823"/>
    <n v="1805.0625819646816"/>
    <n v="0"/>
    <n v="3.587224283354193"/>
    <n v="3.2347023598758406"/>
  </r>
  <r>
    <x v="27"/>
    <x v="27"/>
    <n v="3636130.5"/>
    <x v="17"/>
    <n v="0"/>
    <n v="3742958.9999999981"/>
    <n v="0"/>
    <m/>
    <n v="0"/>
    <m/>
    <n v="0"/>
    <m/>
    <n v="0"/>
    <m/>
    <n v="0"/>
    <n v="4270711.4999999972"/>
    <n v="0"/>
    <n v="4"/>
    <m/>
    <n v="0"/>
    <m/>
    <n v="0"/>
    <m/>
    <n v="0"/>
    <n v="4736138.9999999991"/>
    <n v="0"/>
    <n v="4"/>
    <n v="0"/>
    <n v="0"/>
    <n v="0"/>
    <n v="0"/>
    <s v=""/>
    <n v="4"/>
    <s v="2018 (triag)"/>
    <n v="4"/>
    <s v="2018 (triag)"/>
    <x v="0"/>
    <n v="4"/>
    <n v="4"/>
    <s v="No change"/>
    <n v="5.6024318930811168E-2"/>
    <n v="5.4673730437993617E-2"/>
    <n v="3.0227673911205803"/>
    <n v="4.7129571330670537"/>
    <n v="0"/>
    <n v="9.3661208442668217E-3"/>
    <n v="8.445698067560941E-3"/>
  </r>
  <r>
    <x v="27"/>
    <x v="27"/>
    <n v="3636131.5"/>
    <x v="18"/>
    <n v="0"/>
    <n v="3742958.9999999981"/>
    <n v="0"/>
    <m/>
    <n v="0"/>
    <m/>
    <n v="0"/>
    <m/>
    <n v="0"/>
    <m/>
    <n v="0"/>
    <n v="4270711.4999999972"/>
    <n v="0"/>
    <n v="122"/>
    <m/>
    <n v="0"/>
    <m/>
    <n v="0"/>
    <m/>
    <n v="0"/>
    <n v="4736138.9999999991"/>
    <n v="0"/>
    <n v="122"/>
    <n v="0"/>
    <n v="0"/>
    <n v="0"/>
    <n v="0"/>
    <s v=""/>
    <n v="122"/>
    <s v="2018 (triag)"/>
    <n v="122"/>
    <s v="2018 (triag)"/>
    <x v="0"/>
    <n v="122"/>
    <n v="122"/>
    <s v="No change"/>
    <n v="5.6024318930811168E-2"/>
    <n v="5.4673730437993617E-2"/>
    <n v="92.194405429177706"/>
    <n v="143.74519255854514"/>
    <n v="0"/>
    <n v="0.28566668575013809"/>
    <n v="0.2575937910606087"/>
  </r>
  <r>
    <x v="27"/>
    <x v="27"/>
    <n v="3636132.5"/>
    <x v="19"/>
    <n v="0"/>
    <n v="3742958.9999999981"/>
    <n v="0"/>
    <m/>
    <n v="0"/>
    <m/>
    <n v="0"/>
    <m/>
    <n v="0"/>
    <m/>
    <n v="0"/>
    <n v="4270711.4999999972"/>
    <n v="0"/>
    <n v="65"/>
    <m/>
    <n v="0"/>
    <m/>
    <n v="0"/>
    <m/>
    <n v="0"/>
    <n v="4736138.9999999991"/>
    <n v="0"/>
    <n v="65"/>
    <n v="0"/>
    <n v="0"/>
    <n v="0"/>
    <n v="0"/>
    <s v=""/>
    <n v="65"/>
    <s v="2018 (triag)"/>
    <n v="65"/>
    <s v="2018 (triag)"/>
    <x v="0"/>
    <n v="65"/>
    <n v="65"/>
    <s v="No change"/>
    <n v="5.6024318930811168E-2"/>
    <n v="5.4673730437993617E-2"/>
    <n v="49.119970105709434"/>
    <n v="76.585553412339621"/>
    <n v="0"/>
    <n v="0.15219946371933585"/>
    <n v="0.13724259359786528"/>
  </r>
  <r>
    <x v="27"/>
    <x v="27"/>
    <n v="3636133.5"/>
    <x v="20"/>
    <n v="0"/>
    <n v="3742958.9999999981"/>
    <n v="0"/>
    <m/>
    <n v="0"/>
    <m/>
    <n v="0"/>
    <m/>
    <n v="0"/>
    <m/>
    <n v="0"/>
    <n v="4270711.4999999972"/>
    <n v="0"/>
    <n v="7"/>
    <m/>
    <n v="0"/>
    <m/>
    <n v="0"/>
    <m/>
    <n v="0"/>
    <n v="4736138.9999999991"/>
    <n v="0"/>
    <n v="7"/>
    <n v="0"/>
    <n v="0"/>
    <n v="0"/>
    <n v="0"/>
    <s v=""/>
    <n v="7"/>
    <s v="2018 (triag)"/>
    <n v="7"/>
    <s v="2018 (triag)"/>
    <x v="0"/>
    <n v="7"/>
    <n v="7"/>
    <s v="No change"/>
    <n v="5.6024318930811168E-2"/>
    <n v="5.4673730437993617E-2"/>
    <n v="5.2898429344610163"/>
    <n v="8.2476749828673448"/>
    <n v="0"/>
    <n v="1.639071147746694E-2"/>
    <n v="1.4779971618231648E-2"/>
  </r>
  <r>
    <x v="27"/>
    <x v="27"/>
    <n v="3636134.5"/>
    <x v="21"/>
    <n v="0"/>
    <n v="3742958.9999999981"/>
    <n v="0"/>
    <m/>
    <n v="0"/>
    <m/>
    <n v="0"/>
    <m/>
    <n v="0"/>
    <m/>
    <n v="0"/>
    <n v="4270711.4999999972"/>
    <n v="0"/>
    <n v="0"/>
    <m/>
    <n v="0"/>
    <m/>
    <n v="0"/>
    <m/>
    <n v="0"/>
    <n v="4736138.9999999991"/>
    <n v="0"/>
    <n v="0"/>
    <n v="0"/>
    <n v="0"/>
    <n v="0"/>
    <n v="0"/>
    <s v=""/>
    <n v="0"/>
    <s v=""/>
    <n v="0"/>
    <s v=""/>
    <x v="0"/>
    <n v="0"/>
    <n v="0"/>
    <s v="No change"/>
    <n v="5.6024318930811168E-2"/>
    <n v="5.4673730437993617E-2"/>
    <n v="0"/>
    <n v="0"/>
    <n v="0"/>
    <n v="0"/>
    <n v="0"/>
  </r>
  <r>
    <x v="27"/>
    <x v="27"/>
    <n v="3636135.5"/>
    <x v="22"/>
    <n v="0"/>
    <n v="3742958.9999999981"/>
    <n v="0"/>
    <m/>
    <n v="0"/>
    <m/>
    <n v="0"/>
    <m/>
    <n v="0"/>
    <m/>
    <n v="0"/>
    <n v="4270711.4999999972"/>
    <n v="0"/>
    <n v="0"/>
    <m/>
    <n v="0"/>
    <m/>
    <n v="0"/>
    <m/>
    <n v="0"/>
    <n v="4736138.9999999991"/>
    <n v="0"/>
    <n v="0"/>
    <n v="0"/>
    <n v="0"/>
    <n v="0"/>
    <n v="0"/>
    <s v=""/>
    <n v="0"/>
    <s v=""/>
    <n v="0"/>
    <s v=""/>
    <x v="0"/>
    <n v="0"/>
    <n v="0"/>
    <s v="No change"/>
    <n v="5.6024318930811168E-2"/>
    <n v="5.4673730437993617E-2"/>
    <n v="0"/>
    <n v="0"/>
    <n v="0"/>
    <n v="0"/>
    <n v="0"/>
  </r>
  <r>
    <x v="27"/>
    <x v="27"/>
    <n v="3636136.5"/>
    <x v="23"/>
    <n v="0"/>
    <n v="3742958.9999999981"/>
    <n v="0"/>
    <m/>
    <n v="0"/>
    <m/>
    <n v="0"/>
    <m/>
    <n v="0"/>
    <m/>
    <n v="0"/>
    <n v="4270711.4999999972"/>
    <n v="0"/>
    <n v="42"/>
    <m/>
    <n v="0"/>
    <m/>
    <n v="0"/>
    <m/>
    <n v="0"/>
    <n v="4736138.9999999991"/>
    <n v="0"/>
    <n v="42"/>
    <n v="0"/>
    <n v="0"/>
    <n v="0"/>
    <n v="0"/>
    <s v=""/>
    <n v="42"/>
    <s v="2018 (triag)"/>
    <n v="42"/>
    <s v="2018 (triag)"/>
    <x v="0"/>
    <n v="42"/>
    <n v="42"/>
    <s v="No change"/>
    <n v="5.6024318930811168E-2"/>
    <n v="5.4673730437993617E-2"/>
    <n v="31.739057606766096"/>
    <n v="49.486049897204062"/>
    <n v="0"/>
    <n v="9.8344268864801632E-2"/>
    <n v="8.8679829709389882E-2"/>
  </r>
  <r>
    <x v="28"/>
    <x v="28"/>
    <n v="1288744.5000000005"/>
    <x v="0"/>
    <n v="3444"/>
    <n v="1290691.4999999998"/>
    <n v="4092"/>
    <n v="1292113.5000000002"/>
    <n v="4858"/>
    <n v="1293153"/>
    <n v="5100"/>
    <n v="1293911.0000000005"/>
    <n v="5538"/>
    <n v="1294740.5000000002"/>
    <n v="5854"/>
    <n v="1295381.5000000005"/>
    <n v="4790"/>
    <n v="4790"/>
    <n v="1296279.0000000002"/>
    <n v="6580"/>
    <n v="1297827.5"/>
    <n v="7101"/>
    <n v="1298914.4999999995"/>
    <n v="0"/>
    <n v="1299468.9999999986"/>
    <n v="3224"/>
    <n v="2395"/>
    <n v="5100"/>
    <n v="6580"/>
    <n v="7101"/>
    <n v="4092"/>
    <n v="2013"/>
    <n v="4790"/>
    <n v="2018"/>
    <n v="3224"/>
    <n v="2022"/>
    <x v="1"/>
    <n v="3801.7397609775749"/>
    <n v="4790"/>
    <s v="Decreasing"/>
    <n v="7.4156136535132866E-2"/>
    <n v="5.4673730437993617E-2"/>
    <n v="1653.0177357079308"/>
    <n v="2821.8830834238984"/>
    <n v="31.70393544855607"/>
    <n v="36.97752360984002"/>
    <n v="36.861210232795131"/>
  </r>
  <r>
    <x v="28"/>
    <x v="28"/>
    <n v="1288745.5"/>
    <x v="1"/>
    <n v="7474"/>
    <n v="1290691.4999999998"/>
    <n v="7926"/>
    <m/>
    <n v="8250"/>
    <m/>
    <n v="8522"/>
    <m/>
    <n v="8268"/>
    <m/>
    <n v="8890"/>
    <n v="1295381.5000000005"/>
    <n v="9972"/>
    <n v="9972"/>
    <m/>
    <n v="0"/>
    <m/>
    <n v="0"/>
    <m/>
    <n v="0"/>
    <n v="1299468.9999999986"/>
    <n v="7800"/>
    <n v="4419"/>
    <n v="8522"/>
    <n v="9972"/>
    <n v="7800"/>
    <n v="7926"/>
    <n v="2013"/>
    <n v="9972"/>
    <n v="2018"/>
    <n v="7800"/>
    <n v="2022"/>
    <x v="1"/>
    <n v="9197.7574862360689"/>
    <n v="9972"/>
    <s v="Decreasing"/>
    <n v="7.4156136535132866E-2"/>
    <n v="5.4673730437993617E-2"/>
    <n v="3049.9730163229001"/>
    <n v="5206.6393927558274"/>
    <n v="61.408942415751568"/>
    <n v="76.98118276353334"/>
    <n v="76.739037252908773"/>
  </r>
  <r>
    <x v="28"/>
    <x v="28"/>
    <n v="1288746.5"/>
    <x v="2"/>
    <n v="0"/>
    <n v="1290691.4999999998"/>
    <n v="0"/>
    <m/>
    <n v="0"/>
    <m/>
    <n v="0"/>
    <m/>
    <n v="0"/>
    <m/>
    <n v="0"/>
    <n v="1295381.5000000005"/>
    <n v="0"/>
    <n v="567"/>
    <m/>
    <n v="0"/>
    <m/>
    <n v="0"/>
    <m/>
    <n v="0"/>
    <n v="1299468.9999999986"/>
    <n v="0"/>
    <n v="567"/>
    <n v="0"/>
    <n v="0"/>
    <n v="0"/>
    <n v="0"/>
    <s v=""/>
    <n v="567"/>
    <s v="2018 (triag)"/>
    <n v="567"/>
    <s v="2018 (triag)"/>
    <x v="0"/>
    <n v="567"/>
    <n v="567"/>
    <s v="No change"/>
    <n v="7.4156136535132866E-2"/>
    <n v="5.4673730437993617E-2"/>
    <n v="391.3407332552805"/>
    <n v="668.06167361225482"/>
    <n v="0"/>
    <n v="4.3770889116449458"/>
    <n v="4.3633207102285674"/>
  </r>
  <r>
    <x v="28"/>
    <x v="28"/>
    <n v="1288747.5"/>
    <x v="3"/>
    <n v="0"/>
    <n v="1290691.4999999998"/>
    <n v="73"/>
    <m/>
    <n v="24"/>
    <m/>
    <n v="0"/>
    <m/>
    <n v="1159"/>
    <m/>
    <n v="759"/>
    <n v="1295381.5000000005"/>
    <n v="0"/>
    <n v="748"/>
    <m/>
    <n v="14"/>
    <m/>
    <n v="0"/>
    <m/>
    <n v="0"/>
    <n v="1299468.9999999986"/>
    <n v="258"/>
    <n v="748"/>
    <n v="73"/>
    <n v="1159"/>
    <n v="258"/>
    <n v="73"/>
    <n v="2013"/>
    <n v="748"/>
    <s v="2018 (triag)"/>
    <n v="258"/>
    <n v="2022"/>
    <x v="1"/>
    <n v="304.2335168524238"/>
    <n v="748"/>
    <s v="Decreasing"/>
    <n v="7.4156136535132866E-2"/>
    <n v="5.4673730437993617E-2"/>
    <n v="516.26608196640177"/>
    <n v="881.322983883539"/>
    <n v="0.56558829123768162"/>
    <n v="5.7743606806180248"/>
    <n v="5.7561973390669632"/>
  </r>
  <r>
    <x v="28"/>
    <x v="28"/>
    <n v="1288748.5"/>
    <x v="4"/>
    <n v="0"/>
    <n v="1290691.4999999998"/>
    <n v="27"/>
    <m/>
    <n v="18"/>
    <m/>
    <n v="0"/>
    <m/>
    <n v="312"/>
    <m/>
    <n v="293"/>
    <n v="1295381.5000000005"/>
    <n v="0"/>
    <n v="466"/>
    <m/>
    <n v="0"/>
    <m/>
    <n v="0"/>
    <m/>
    <n v="0"/>
    <n v="1299468.9999999986"/>
    <n v="0"/>
    <n v="466"/>
    <n v="27"/>
    <n v="312"/>
    <n v="0"/>
    <n v="27"/>
    <n v="2013"/>
    <n v="466"/>
    <s v="2018 (triag)"/>
    <n v="466"/>
    <s v="2018 (triag)"/>
    <x v="0"/>
    <n v="466"/>
    <n v="466"/>
    <s v="No change"/>
    <n v="7.4156136535132866E-2"/>
    <n v="5.4673730437993617E-2"/>
    <n v="321.63100828388133"/>
    <n v="549.05950600231176"/>
    <n v="0.20919018990982743"/>
    <n v="3.5973958250909082"/>
    <n v="3.5860801604347659"/>
  </r>
  <r>
    <x v="28"/>
    <x v="28"/>
    <n v="1288749.5"/>
    <x v="5"/>
    <n v="0"/>
    <n v="1290691.4999999998"/>
    <n v="0"/>
    <m/>
    <n v="0"/>
    <m/>
    <n v="0"/>
    <m/>
    <n v="0"/>
    <m/>
    <n v="0"/>
    <n v="1295381.5000000005"/>
    <n v="180"/>
    <n v="180"/>
    <m/>
    <n v="0"/>
    <m/>
    <n v="163"/>
    <m/>
    <n v="0"/>
    <n v="1299468.9999999986"/>
    <n v="916"/>
    <n v="180"/>
    <n v="0"/>
    <n v="180"/>
    <n v="916"/>
    <n v="0"/>
    <s v=""/>
    <n v="180"/>
    <n v="2018"/>
    <n v="916"/>
    <n v="2022"/>
    <x v="0"/>
    <n v="916"/>
    <n v="916"/>
    <s v="Increasing"/>
    <n v="7.4156136535132866E-2"/>
    <n v="5.4673730437993617E-2"/>
    <n v="124.23515341437476"/>
    <n v="212.08307098801743"/>
    <n v="0"/>
    <n v="1.3895520354428401"/>
    <n v="7.0490331050606132"/>
  </r>
  <r>
    <x v="28"/>
    <x v="28"/>
    <n v="1288750.5"/>
    <x v="6"/>
    <n v="0"/>
    <n v="1290691.4999999998"/>
    <n v="0"/>
    <m/>
    <n v="0"/>
    <m/>
    <n v="0"/>
    <m/>
    <n v="202"/>
    <m/>
    <n v="61"/>
    <n v="1295381.5000000005"/>
    <n v="0"/>
    <n v="0"/>
    <m/>
    <n v="1"/>
    <m/>
    <n v="0"/>
    <m/>
    <n v="0"/>
    <n v="1299468.9999999986"/>
    <n v="0"/>
    <n v="0"/>
    <n v="0"/>
    <n v="202"/>
    <n v="0"/>
    <n v="0"/>
    <s v=""/>
    <n v="61"/>
    <n v="2017"/>
    <n v="1"/>
    <n v="2017"/>
    <x v="1"/>
    <n v="1.1791996777225728"/>
    <n v="61"/>
    <s v="Decreasing"/>
    <n v="7.4156136535132866E-2"/>
    <n v="5.4673730437993617E-2"/>
    <n v="0"/>
    <n v="0"/>
    <n v="0"/>
    <n v="0.47090374534451801"/>
    <n v="0.46942251027150372"/>
  </r>
  <r>
    <x v="28"/>
    <x v="28"/>
    <n v="1288751.5"/>
    <x v="7"/>
    <n v="0"/>
    <n v="1290691.4999999998"/>
    <n v="0"/>
    <m/>
    <n v="0"/>
    <m/>
    <n v="0"/>
    <m/>
    <n v="1796"/>
    <m/>
    <n v="1843"/>
    <n v="1295381.5000000005"/>
    <n v="0"/>
    <n v="48"/>
    <m/>
    <n v="311"/>
    <m/>
    <n v="0"/>
    <m/>
    <n v="0"/>
    <n v="1299468.9999999986"/>
    <n v="0"/>
    <n v="48"/>
    <n v="0"/>
    <n v="1843"/>
    <n v="0"/>
    <n v="0"/>
    <s v=""/>
    <n v="48"/>
    <s v="2018 (triag)"/>
    <n v="311"/>
    <s v="2018 (triag)"/>
    <x v="0"/>
    <n v="311"/>
    <n v="311"/>
    <s v="Increasing"/>
    <n v="7.4156136535132866E-2"/>
    <n v="5.4673730437993617E-2"/>
    <n v="33.129374243833269"/>
    <n v="56.555485596804644"/>
    <n v="0"/>
    <n v="0.370547209451424"/>
    <n v="2.3932852572858634"/>
  </r>
  <r>
    <x v="28"/>
    <x v="28"/>
    <n v="1288752.5"/>
    <x v="8"/>
    <n v="0"/>
    <n v="1290691.4999999998"/>
    <n v="0"/>
    <m/>
    <n v="0"/>
    <m/>
    <n v="0"/>
    <m/>
    <n v="0"/>
    <m/>
    <n v="0"/>
    <n v="1295381.5000000005"/>
    <n v="0"/>
    <n v="1153"/>
    <m/>
    <n v="0"/>
    <m/>
    <n v="0"/>
    <m/>
    <n v="0"/>
    <n v="1299468.9999999986"/>
    <n v="0"/>
    <n v="1153"/>
    <n v="0"/>
    <n v="0"/>
    <n v="0"/>
    <n v="0"/>
    <s v=""/>
    <n v="1153"/>
    <s v="2018 (triag)"/>
    <n v="1153"/>
    <s v="2018 (triag)"/>
    <x v="0"/>
    <n v="1153"/>
    <n v="1153"/>
    <s v="No change"/>
    <n v="7.4156136535132866E-2"/>
    <n v="5.4673730437993617E-2"/>
    <n v="795.79517714874498"/>
    <n v="1358.5098936065783"/>
    <n v="0"/>
    <n v="8.9008527603644154"/>
    <n v="8.8728549892302251"/>
  </r>
  <r>
    <x v="28"/>
    <x v="28"/>
    <n v="1288753.5"/>
    <x v="9"/>
    <n v="0"/>
    <n v="1290691.4999999998"/>
    <n v="0"/>
    <m/>
    <n v="0"/>
    <m/>
    <n v="0"/>
    <m/>
    <n v="0"/>
    <m/>
    <n v="0"/>
    <n v="1295381.5000000005"/>
    <n v="0"/>
    <n v="315"/>
    <m/>
    <n v="0"/>
    <m/>
    <n v="0"/>
    <m/>
    <n v="0"/>
    <n v="1299468.9999999986"/>
    <n v="0"/>
    <n v="315"/>
    <n v="0"/>
    <n v="0"/>
    <n v="0"/>
    <n v="0"/>
    <s v=""/>
    <n v="315"/>
    <s v="2018 (triag)"/>
    <n v="315"/>
    <s v="2018 (triag)"/>
    <x v="0"/>
    <n v="315"/>
    <n v="315"/>
    <s v="No change"/>
    <n v="7.4156136535132866E-2"/>
    <n v="5.4673730437993617E-2"/>
    <n v="217.41151847515582"/>
    <n v="371.14537422903049"/>
    <n v="0"/>
    <n v="2.4317160620249703"/>
    <n v="2.4240670612380928"/>
  </r>
  <r>
    <x v="28"/>
    <x v="28"/>
    <n v="1288754.5"/>
    <x v="10"/>
    <n v="0"/>
    <n v="1290691.4999999998"/>
    <n v="0"/>
    <m/>
    <n v="0"/>
    <m/>
    <n v="0"/>
    <m/>
    <n v="0"/>
    <m/>
    <n v="0"/>
    <n v="1295381.5000000005"/>
    <n v="0"/>
    <n v="12"/>
    <m/>
    <n v="15"/>
    <m/>
    <n v="0"/>
    <m/>
    <n v="0"/>
    <n v="1299468.9999999986"/>
    <n v="0"/>
    <n v="12"/>
    <n v="0"/>
    <n v="15"/>
    <n v="0"/>
    <n v="0"/>
    <s v=""/>
    <n v="12"/>
    <s v="2018 (triag)"/>
    <n v="15"/>
    <s v="2018 (triag)"/>
    <x v="0"/>
    <n v="15"/>
    <n v="15"/>
    <s v="Increasing"/>
    <n v="7.4156136535132866E-2"/>
    <n v="5.4673730437993617E-2"/>
    <n v="8.2823435609583171"/>
    <n v="14.138871399201161"/>
    <n v="0"/>
    <n v="9.2636802362855999E-2"/>
    <n v="0.11543176482086157"/>
  </r>
  <r>
    <x v="28"/>
    <x v="28"/>
    <n v="1288755.5"/>
    <x v="11"/>
    <n v="0"/>
    <n v="1290691.4999999998"/>
    <n v="0"/>
    <m/>
    <n v="0"/>
    <m/>
    <n v="0"/>
    <m/>
    <n v="0"/>
    <m/>
    <n v="0"/>
    <n v="1295381.5000000005"/>
    <n v="291"/>
    <n v="291"/>
    <m/>
    <n v="0"/>
    <m/>
    <n v="0"/>
    <m/>
    <n v="0"/>
    <n v="1299468.9999999986"/>
    <n v="270"/>
    <n v="274"/>
    <n v="0"/>
    <n v="291"/>
    <n v="270"/>
    <n v="0"/>
    <s v=""/>
    <n v="291"/>
    <n v="2018"/>
    <n v="270"/>
    <n v="2022"/>
    <x v="1"/>
    <n v="318.38391298509464"/>
    <n v="318.38391298509464"/>
    <s v="Increasing"/>
    <n v="7.4156136535132866E-2"/>
    <n v="5.4673730437993617E-2"/>
    <n v="189.11351130854825"/>
    <n v="322.83756361509319"/>
    <n v="0"/>
    <n v="2.2464424572992581"/>
    <n v="2.4501077977627399"/>
  </r>
  <r>
    <x v="28"/>
    <x v="28"/>
    <n v="1288756.5"/>
    <x v="12"/>
    <n v="0"/>
    <n v="1290691.4999999998"/>
    <n v="0"/>
    <m/>
    <n v="0"/>
    <m/>
    <n v="0"/>
    <m/>
    <n v="0"/>
    <m/>
    <n v="0"/>
    <n v="1295381.5000000005"/>
    <n v="0"/>
    <n v="9"/>
    <m/>
    <n v="0"/>
    <m/>
    <n v="0"/>
    <m/>
    <n v="0"/>
    <n v="1299468.9999999986"/>
    <n v="0"/>
    <n v="9"/>
    <n v="0"/>
    <n v="0"/>
    <n v="0"/>
    <n v="0"/>
    <s v=""/>
    <n v="9"/>
    <s v="2018 (triag)"/>
    <n v="9"/>
    <s v="2018 (triag)"/>
    <x v="0"/>
    <n v="9"/>
    <n v="9"/>
    <s v="No change"/>
    <n v="7.4156136535132866E-2"/>
    <n v="5.4673730437993617E-2"/>
    <n v="6.2117576707187379"/>
    <n v="10.60415354940087"/>
    <n v="0"/>
    <n v="6.9477601772142003E-2"/>
    <n v="6.9259058892516948E-2"/>
  </r>
  <r>
    <x v="28"/>
    <x v="28"/>
    <n v="1288757.5"/>
    <x v="13"/>
    <n v="0"/>
    <n v="1290691.4999999998"/>
    <n v="0"/>
    <m/>
    <n v="0"/>
    <m/>
    <n v="0"/>
    <m/>
    <n v="0"/>
    <m/>
    <n v="0"/>
    <n v="1295381.5000000005"/>
    <n v="0"/>
    <n v="213"/>
    <m/>
    <n v="0"/>
    <m/>
    <n v="0"/>
    <m/>
    <n v="0"/>
    <n v="1299468.9999999986"/>
    <n v="0"/>
    <n v="213"/>
    <n v="0"/>
    <n v="0"/>
    <n v="0"/>
    <n v="0"/>
    <s v=""/>
    <n v="213"/>
    <s v="2018 (triag)"/>
    <n v="213"/>
    <s v="2018 (triag)"/>
    <x v="0"/>
    <n v="213"/>
    <n v="213"/>
    <s v="No change"/>
    <n v="7.4156136535132866E-2"/>
    <n v="5.4673730437993617E-2"/>
    <n v="147.01159820701014"/>
    <n v="250.9649673358206"/>
    <n v="0"/>
    <n v="1.644303241940694"/>
    <n v="1.6391310604562344"/>
  </r>
  <r>
    <x v="28"/>
    <x v="28"/>
    <n v="1288758.5"/>
    <x v="14"/>
    <n v="0"/>
    <n v="1290691.4999999998"/>
    <n v="0"/>
    <m/>
    <n v="0"/>
    <m/>
    <n v="0"/>
    <m/>
    <n v="0"/>
    <m/>
    <n v="0"/>
    <n v="1295381.5000000005"/>
    <n v="0"/>
    <n v="416"/>
    <m/>
    <n v="0"/>
    <m/>
    <n v="0"/>
    <m/>
    <n v="0"/>
    <n v="1299468.9999999986"/>
    <n v="378"/>
    <n v="416"/>
    <n v="0"/>
    <n v="0"/>
    <n v="378"/>
    <n v="0"/>
    <s v=""/>
    <n v="416"/>
    <s v="2018 (triag)"/>
    <n v="378"/>
    <n v="2022"/>
    <x v="1"/>
    <n v="445.73747817913255"/>
    <n v="445.73747817913255"/>
    <s v="Increasing"/>
    <n v="7.4156136535132866E-2"/>
    <n v="5.4673730437993617E-2"/>
    <n v="287.12124344655501"/>
    <n v="490.14754183897355"/>
    <n v="0"/>
    <n v="3.2114091485790084"/>
    <n v="3.4301509168678366"/>
  </r>
  <r>
    <x v="28"/>
    <x v="28"/>
    <n v="1288759.5"/>
    <x v="15"/>
    <n v="0"/>
    <n v="1290691.4999999998"/>
    <n v="0"/>
    <m/>
    <n v="0"/>
    <m/>
    <n v="0"/>
    <m/>
    <n v="0"/>
    <m/>
    <n v="0"/>
    <n v="1295381.5000000005"/>
    <n v="0"/>
    <n v="0"/>
    <m/>
    <n v="0"/>
    <m/>
    <n v="0"/>
    <m/>
    <n v="0"/>
    <n v="1299468.9999999986"/>
    <n v="6"/>
    <n v="0"/>
    <n v="0"/>
    <n v="0"/>
    <n v="6"/>
    <n v="0"/>
    <s v=""/>
    <n v="0"/>
    <s v=""/>
    <n v="6"/>
    <n v="2022"/>
    <x v="0"/>
    <n v="6"/>
    <n v="6"/>
    <s v="Increasing"/>
    <n v="7.4156136535132866E-2"/>
    <n v="5.4673730437993617E-2"/>
    <n v="0"/>
    <n v="0"/>
    <n v="0"/>
    <n v="0"/>
    <n v="4.6172705928344625E-2"/>
  </r>
  <r>
    <x v="28"/>
    <x v="28"/>
    <n v="1288760.5"/>
    <x v="16"/>
    <n v="0"/>
    <n v="1290691.4999999998"/>
    <n v="0"/>
    <m/>
    <n v="0"/>
    <m/>
    <n v="0"/>
    <m/>
    <n v="0"/>
    <m/>
    <n v="0"/>
    <n v="1295381.5000000005"/>
    <n v="0"/>
    <n v="3295"/>
    <m/>
    <n v="0"/>
    <m/>
    <n v="0"/>
    <m/>
    <n v="0"/>
    <n v="1299468.9999999986"/>
    <n v="0"/>
    <n v="3295"/>
    <n v="0"/>
    <n v="0"/>
    <n v="0"/>
    <n v="0"/>
    <s v=""/>
    <n v="3295"/>
    <s v="2018 (triag)"/>
    <n v="3295"/>
    <s v="2018 (triag)"/>
    <x v="0"/>
    <n v="3295"/>
    <n v="3295"/>
    <s v="No change"/>
    <n v="7.4156136535132866E-2"/>
    <n v="5.4673730437993617E-2"/>
    <n v="2274.1935027798045"/>
    <n v="3882.2984383639855"/>
    <n v="0"/>
    <n v="25.436521982134213"/>
    <n v="25.356511005649256"/>
  </r>
  <r>
    <x v="28"/>
    <x v="28"/>
    <n v="1288761.5"/>
    <x v="17"/>
    <n v="0"/>
    <n v="1290691.4999999998"/>
    <n v="0"/>
    <m/>
    <n v="0"/>
    <m/>
    <n v="0"/>
    <m/>
    <n v="0"/>
    <m/>
    <n v="0"/>
    <n v="1295381.5000000005"/>
    <n v="0"/>
    <n v="0"/>
    <m/>
    <n v="0"/>
    <m/>
    <n v="0"/>
    <m/>
    <n v="0"/>
    <n v="1299468.9999999986"/>
    <n v="0"/>
    <n v="0"/>
    <n v="0"/>
    <n v="0"/>
    <n v="0"/>
    <n v="0"/>
    <s v=""/>
    <n v="0"/>
    <s v=""/>
    <n v="0"/>
    <s v=""/>
    <x v="0"/>
    <n v="0"/>
    <n v="0"/>
    <s v="No change"/>
    <n v="7.4156136535132866E-2"/>
    <n v="5.4673730437993617E-2"/>
    <n v="0"/>
    <n v="0"/>
    <n v="0"/>
    <n v="0"/>
    <n v="0"/>
  </r>
  <r>
    <x v="28"/>
    <x v="28"/>
    <n v="1288762.5"/>
    <x v="18"/>
    <n v="0"/>
    <n v="1290691.4999999998"/>
    <n v="0"/>
    <m/>
    <n v="0"/>
    <m/>
    <n v="0"/>
    <m/>
    <n v="0"/>
    <m/>
    <n v="0"/>
    <n v="1295381.5000000005"/>
    <n v="0"/>
    <n v="291"/>
    <m/>
    <n v="0"/>
    <m/>
    <n v="0"/>
    <m/>
    <n v="0"/>
    <n v="1299468.9999999986"/>
    <n v="224"/>
    <n v="291"/>
    <n v="0"/>
    <n v="0"/>
    <n v="224"/>
    <n v="0"/>
    <s v=""/>
    <n v="291"/>
    <s v="2018 (triag)"/>
    <n v="224"/>
    <n v="2022"/>
    <x v="1"/>
    <n v="264.14072780985634"/>
    <n v="291"/>
    <s v="Decreasing"/>
    <n v="7.4156136535132866E-2"/>
    <n v="5.4673730437993617E-2"/>
    <n v="200.8468313532392"/>
    <n v="342.86763143062814"/>
    <n v="0"/>
    <n v="2.2464424572992581"/>
    <n v="2.2393762375247146"/>
  </r>
  <r>
    <x v="28"/>
    <x v="28"/>
    <n v="1288763.5"/>
    <x v="19"/>
    <n v="0"/>
    <n v="1290691.4999999998"/>
    <n v="0"/>
    <m/>
    <n v="0"/>
    <m/>
    <n v="0"/>
    <m/>
    <n v="0"/>
    <m/>
    <n v="0"/>
    <n v="1295381.5000000005"/>
    <n v="0"/>
    <n v="24"/>
    <m/>
    <n v="0"/>
    <m/>
    <n v="0"/>
    <m/>
    <n v="0"/>
    <n v="1299468.9999999986"/>
    <n v="0"/>
    <n v="24"/>
    <n v="0"/>
    <n v="0"/>
    <n v="0"/>
    <n v="0"/>
    <s v=""/>
    <n v="24"/>
    <s v="2018 (triag)"/>
    <n v="24"/>
    <s v="2018 (triag)"/>
    <x v="0"/>
    <n v="24"/>
    <n v="24"/>
    <s v="No change"/>
    <n v="7.4156136535132866E-2"/>
    <n v="5.4673730437993617E-2"/>
    <n v="16.564687121916634"/>
    <n v="28.277742798402322"/>
    <n v="0"/>
    <n v="0.185273604725712"/>
    <n v="0.1846908237133785"/>
  </r>
  <r>
    <x v="28"/>
    <x v="28"/>
    <n v="1288764.5"/>
    <x v="20"/>
    <n v="0"/>
    <n v="1290691.4999999998"/>
    <n v="0"/>
    <m/>
    <n v="0"/>
    <m/>
    <n v="0"/>
    <m/>
    <n v="0"/>
    <m/>
    <n v="0"/>
    <n v="1295381.5000000005"/>
    <n v="0"/>
    <n v="64"/>
    <m/>
    <n v="0"/>
    <m/>
    <n v="0"/>
    <m/>
    <n v="0"/>
    <n v="1299468.9999999986"/>
    <n v="0"/>
    <n v="64"/>
    <n v="0"/>
    <n v="0"/>
    <n v="0"/>
    <n v="0"/>
    <s v=""/>
    <n v="64"/>
    <s v="2018 (triag)"/>
    <n v="64"/>
    <s v="2018 (triag)"/>
    <x v="0"/>
    <n v="64"/>
    <n v="64"/>
    <s v="No change"/>
    <n v="7.4156136535132866E-2"/>
    <n v="5.4673730437993617E-2"/>
    <n v="44.172498991777694"/>
    <n v="75.407314129072859"/>
    <n v="0"/>
    <n v="0.49406294593523203"/>
    <n v="0.492508863235676"/>
  </r>
  <r>
    <x v="28"/>
    <x v="28"/>
    <n v="1288765.5"/>
    <x v="21"/>
    <n v="0"/>
    <n v="1290691.4999999998"/>
    <n v="0"/>
    <m/>
    <n v="0"/>
    <m/>
    <n v="0"/>
    <m/>
    <n v="0"/>
    <m/>
    <n v="0"/>
    <n v="1295381.5000000005"/>
    <n v="0"/>
    <n v="0"/>
    <m/>
    <n v="0"/>
    <m/>
    <n v="0"/>
    <m/>
    <n v="0"/>
    <n v="1299468.9999999986"/>
    <n v="0"/>
    <n v="0"/>
    <n v="0"/>
    <n v="0"/>
    <n v="0"/>
    <n v="0"/>
    <s v=""/>
    <n v="0"/>
    <s v=""/>
    <n v="0"/>
    <s v=""/>
    <x v="0"/>
    <n v="0"/>
    <n v="0"/>
    <s v="No change"/>
    <n v="7.4156136535132866E-2"/>
    <n v="5.4673730437993617E-2"/>
    <n v="0"/>
    <n v="0"/>
    <n v="0"/>
    <n v="0"/>
    <n v="0"/>
  </r>
  <r>
    <x v="28"/>
    <x v="28"/>
    <n v="1288766.5"/>
    <x v="22"/>
    <n v="0"/>
    <n v="1290691.4999999998"/>
    <n v="0"/>
    <m/>
    <n v="0"/>
    <m/>
    <n v="0"/>
    <m/>
    <n v="0"/>
    <m/>
    <n v="0"/>
    <n v="1295381.5000000005"/>
    <n v="0"/>
    <n v="0"/>
    <m/>
    <n v="0"/>
    <m/>
    <n v="0"/>
    <m/>
    <n v="0"/>
    <n v="1299468.9999999986"/>
    <n v="27"/>
    <n v="0"/>
    <n v="0"/>
    <n v="0"/>
    <n v="27"/>
    <n v="0"/>
    <s v=""/>
    <n v="0"/>
    <s v=""/>
    <n v="27"/>
    <n v="2022"/>
    <x v="0"/>
    <n v="27"/>
    <n v="27"/>
    <s v="Increasing"/>
    <n v="7.4156136535132866E-2"/>
    <n v="5.4673730437993617E-2"/>
    <n v="0"/>
    <n v="0"/>
    <n v="0"/>
    <n v="0"/>
    <n v="0.20777717667755083"/>
  </r>
  <r>
    <x v="28"/>
    <x v="28"/>
    <n v="1288767.5"/>
    <x v="23"/>
    <n v="0"/>
    <n v="1290691.4999999998"/>
    <n v="0"/>
    <m/>
    <n v="0"/>
    <m/>
    <n v="0"/>
    <m/>
    <n v="0"/>
    <m/>
    <n v="0"/>
    <n v="1295381.5000000005"/>
    <n v="0"/>
    <n v="5"/>
    <m/>
    <n v="0"/>
    <m/>
    <n v="0"/>
    <m/>
    <n v="0"/>
    <n v="1299468.9999999986"/>
    <n v="0"/>
    <n v="5"/>
    <n v="0"/>
    <n v="0"/>
    <n v="0"/>
    <n v="0"/>
    <s v=""/>
    <n v="5"/>
    <s v="2018 (triag)"/>
    <n v="5"/>
    <s v="2018 (triag)"/>
    <x v="0"/>
    <n v="5"/>
    <n v="5"/>
    <s v="No change"/>
    <n v="7.4156136535132866E-2"/>
    <n v="5.4673730437993617E-2"/>
    <n v="3.450976483732632"/>
    <n v="5.8911964163338171"/>
    <n v="0"/>
    <n v="3.8598667651190001E-2"/>
    <n v="3.8477254940287191E-2"/>
  </r>
  <r>
    <x v="29"/>
    <x v="29"/>
    <n v="15581250.5"/>
    <x v="0"/>
    <n v="0"/>
    <n v="16024775.499999996"/>
    <n v="400"/>
    <n v="16477966.500000002"/>
    <n v="68"/>
    <n v="16938941.500000004"/>
    <n v="0"/>
    <n v="17405623.5"/>
    <n v="1093"/>
    <n v="17881167.000000004"/>
    <n v="11"/>
    <n v="18367882.999999985"/>
    <n v="5520"/>
    <n v="5520"/>
    <n v="18867336.499999993"/>
    <n v="0"/>
    <n v="19377061.499999985"/>
    <n v="2265"/>
    <n v="19889742.000000011"/>
    <n v="0"/>
    <n v="20405316.500000019"/>
    <n v="2121"/>
    <n v="2760"/>
    <n v="400"/>
    <n v="5520"/>
    <n v="2265"/>
    <n v="400"/>
    <n v="2013"/>
    <n v="5520"/>
    <n v="2018"/>
    <n v="2121"/>
    <n v="2022"/>
    <x v="1"/>
    <n v="2350.0590031813363"/>
    <n v="5520"/>
    <s v="Decreasing"/>
    <n v="-0.13121558498618857"/>
    <n v="0.50042870775453441"/>
    <n v="5319.1238751005985"/>
    <n v="12385.380721387499"/>
    <n v="0.24961348132459021"/>
    <n v="3.005245623570231"/>
    <n v="2.7051773492462101"/>
  </r>
  <r>
    <x v="29"/>
    <x v="29"/>
    <n v="15581251.5"/>
    <x v="1"/>
    <n v="0"/>
    <n v="16024775.499999996"/>
    <n v="7090"/>
    <m/>
    <n v="0"/>
    <m/>
    <n v="0"/>
    <m/>
    <n v="9146"/>
    <m/>
    <n v="0"/>
    <n v="18367882.999999985"/>
    <n v="15914"/>
    <n v="15914"/>
    <m/>
    <n v="0"/>
    <m/>
    <n v="32965"/>
    <m/>
    <n v="0"/>
    <n v="20405316.500000019"/>
    <n v="19184"/>
    <n v="6025"/>
    <n v="7090"/>
    <n v="15914"/>
    <n v="32965"/>
    <n v="7090"/>
    <n v="2013"/>
    <n v="15914"/>
    <n v="2018"/>
    <n v="19184"/>
    <n v="2022"/>
    <x v="0"/>
    <n v="19184"/>
    <n v="19184"/>
    <s v="Increasing"/>
    <n v="-0.13121558498618857"/>
    <n v="0.50042870775453441"/>
    <n v="11611.493241840981"/>
    <n v="27036.927118246262"/>
    <n v="4.4243989564783615"/>
    <n v="8.6640360241841776"/>
    <n v="9.4014714253513212"/>
  </r>
  <r>
    <x v="29"/>
    <x v="29"/>
    <n v="15581252.5"/>
    <x v="2"/>
    <n v="0"/>
    <n v="16024775.499999996"/>
    <n v="96"/>
    <m/>
    <n v="0"/>
    <m/>
    <n v="0"/>
    <m/>
    <n v="1136"/>
    <m/>
    <n v="0"/>
    <n v="18367882.999999985"/>
    <n v="0"/>
    <n v="0"/>
    <m/>
    <n v="0"/>
    <m/>
    <n v="0"/>
    <m/>
    <n v="0"/>
    <n v="20405316.500000019"/>
    <n v="1232"/>
    <n v="0"/>
    <n v="96"/>
    <n v="1136"/>
    <n v="1232"/>
    <n v="96"/>
    <n v="2013"/>
    <n v="0"/>
    <s v=""/>
    <n v="1232"/>
    <n v="2022"/>
    <x v="0"/>
    <n v="1232"/>
    <n v="1232"/>
    <s v="Increasing"/>
    <n v="-0.13121558498618857"/>
    <n v="0.50042870775453441"/>
    <n v="0"/>
    <n v="0"/>
    <n v="5.9907235517901655E-2"/>
    <n v="0"/>
    <n v="0.60376421997669028"/>
  </r>
  <r>
    <x v="29"/>
    <x v="29"/>
    <n v="15581253.5"/>
    <x v="3"/>
    <n v="4"/>
    <n v="16024775.499999996"/>
    <n v="199"/>
    <m/>
    <n v="0"/>
    <m/>
    <n v="0"/>
    <m/>
    <n v="0"/>
    <m/>
    <n v="0"/>
    <n v="18367882.999999985"/>
    <n v="570"/>
    <n v="570"/>
    <m/>
    <n v="107"/>
    <m/>
    <n v="40"/>
    <m/>
    <n v="0"/>
    <n v="20405316.500000019"/>
    <n v="0"/>
    <n v="387"/>
    <n v="199"/>
    <n v="570"/>
    <n v="40"/>
    <n v="199"/>
    <n v="2013"/>
    <n v="570"/>
    <n v="2018"/>
    <n v="40"/>
    <n v="2020"/>
    <x v="1"/>
    <n v="44.319830328738078"/>
    <n v="570"/>
    <s v="Decreasing"/>
    <n v="-0.13121558498618857"/>
    <n v="0.50042870775453441"/>
    <n v="745.83367379127969"/>
    <n v="1736.6457750641168"/>
    <n v="0.12418270695898363"/>
    <n v="0.310324276346926"/>
    <n v="0.27933896541129344"/>
  </r>
  <r>
    <x v="29"/>
    <x v="29"/>
    <n v="15581254.5"/>
    <x v="4"/>
    <n v="4"/>
    <n v="16024775.499999996"/>
    <n v="88"/>
    <m/>
    <n v="0"/>
    <m/>
    <n v="0"/>
    <m/>
    <n v="0"/>
    <m/>
    <n v="0"/>
    <n v="18367882.999999985"/>
    <n v="916"/>
    <n v="916"/>
    <m/>
    <n v="50"/>
    <m/>
    <n v="15"/>
    <m/>
    <n v="0"/>
    <n v="20405316.500000019"/>
    <n v="0"/>
    <n v="112"/>
    <n v="88"/>
    <n v="916"/>
    <n v="15"/>
    <n v="88"/>
    <n v="2013"/>
    <n v="916"/>
    <n v="2018"/>
    <n v="15"/>
    <n v="2020"/>
    <x v="1"/>
    <n v="16.619936373276779"/>
    <n v="916"/>
    <s v="Decreasing"/>
    <n v="-0.13121558498618857"/>
    <n v="0.50042870775453441"/>
    <n v="215.84850507654605"/>
    <n v="502.59515970847826"/>
    <n v="5.4914965891409852E-2"/>
    <n v="0.49869655637506005"/>
    <n v="0.44890261809955223"/>
  </r>
  <r>
    <x v="29"/>
    <x v="29"/>
    <n v="15581255.5"/>
    <x v="5"/>
    <n v="0"/>
    <n v="16024775.499999996"/>
    <n v="0"/>
    <m/>
    <n v="0"/>
    <m/>
    <n v="0"/>
    <m/>
    <n v="0"/>
    <m/>
    <n v="0"/>
    <n v="18367882.999999985"/>
    <n v="10016"/>
    <n v="10016"/>
    <m/>
    <n v="0"/>
    <m/>
    <n v="0"/>
    <m/>
    <n v="0"/>
    <n v="20405316.500000019"/>
    <n v="10747"/>
    <n v="10016"/>
    <n v="0"/>
    <n v="10016"/>
    <n v="10747"/>
    <n v="0"/>
    <s v=""/>
    <n v="10016"/>
    <n v="2018"/>
    <n v="10747"/>
    <n v="2022"/>
    <x v="0"/>
    <n v="10747"/>
    <n v="10747"/>
    <s v="Increasing"/>
    <n v="-0.13121558498618857"/>
    <n v="0.50042870775453441"/>
    <n v="19303.023453988262"/>
    <n v="44946.367139643909"/>
    <n v="0"/>
    <n v="5.4529964068259842"/>
    <n v="5.2667646689038072"/>
  </r>
  <r>
    <x v="29"/>
    <x v="29"/>
    <n v="15581256.5"/>
    <x v="6"/>
    <n v="0"/>
    <n v="16024775.499999996"/>
    <n v="0"/>
    <m/>
    <n v="0"/>
    <m/>
    <n v="0"/>
    <m/>
    <n v="0"/>
    <m/>
    <n v="0"/>
    <n v="18367882.999999985"/>
    <n v="0"/>
    <n v="25"/>
    <m/>
    <n v="0"/>
    <m/>
    <n v="9"/>
    <m/>
    <n v="0"/>
    <n v="20405316.500000019"/>
    <n v="0"/>
    <n v="25"/>
    <n v="0"/>
    <n v="0"/>
    <n v="9"/>
    <n v="0"/>
    <s v=""/>
    <n v="25"/>
    <s v="2018 (triag)"/>
    <n v="9"/>
    <n v="2020"/>
    <x v="1"/>
    <n v="9.9719618239660672"/>
    <n v="25"/>
    <s v="Decreasing"/>
    <n v="-0.13121558498618857"/>
    <n v="0.50042870775453441"/>
    <n v="48.180469883157599"/>
    <n v="112.18641957778533"/>
    <n v="0"/>
    <n v="1.3610713874865177E-2"/>
    <n v="1.2251709009267255E-2"/>
  </r>
  <r>
    <x v="29"/>
    <x v="29"/>
    <n v="15581257.5"/>
    <x v="7"/>
    <n v="0"/>
    <n v="16024775.499999996"/>
    <n v="0"/>
    <m/>
    <n v="0"/>
    <m/>
    <n v="0"/>
    <m/>
    <n v="0"/>
    <m/>
    <n v="0"/>
    <n v="18367882.999999985"/>
    <n v="0"/>
    <n v="35"/>
    <m/>
    <n v="0"/>
    <m/>
    <n v="0"/>
    <m/>
    <n v="0"/>
    <n v="20405316.500000019"/>
    <n v="0"/>
    <n v="35"/>
    <n v="0"/>
    <n v="0"/>
    <n v="0"/>
    <n v="0"/>
    <s v=""/>
    <n v="35"/>
    <s v="2018 (triag)"/>
    <n v="35"/>
    <s v="2018 (triag)"/>
    <x v="0"/>
    <n v="35"/>
    <n v="35"/>
    <s v="No change"/>
    <n v="-0.13121558498618857"/>
    <n v="0.50042870775453441"/>
    <n v="67.452657836420642"/>
    <n v="157.06098740889945"/>
    <n v="0"/>
    <n v="1.9054999424811248E-2"/>
    <n v="1.7152392612974156E-2"/>
  </r>
  <r>
    <x v="29"/>
    <x v="29"/>
    <n v="15581258.5"/>
    <x v="8"/>
    <n v="0"/>
    <n v="16024775.499999996"/>
    <n v="0"/>
    <m/>
    <n v="0"/>
    <m/>
    <n v="0"/>
    <m/>
    <n v="0"/>
    <m/>
    <n v="0"/>
    <n v="18367882.999999985"/>
    <n v="0"/>
    <n v="178"/>
    <m/>
    <n v="0"/>
    <m/>
    <n v="0"/>
    <m/>
    <n v="0"/>
    <n v="20405316.500000019"/>
    <n v="0"/>
    <n v="178"/>
    <n v="0"/>
    <n v="0"/>
    <n v="0"/>
    <n v="0"/>
    <s v=""/>
    <n v="178"/>
    <s v="2018 (triag)"/>
    <n v="178"/>
    <s v="2018 (triag)"/>
    <x v="0"/>
    <n v="178"/>
    <n v="178"/>
    <s v="No change"/>
    <n v="-0.13121558498618857"/>
    <n v="0.50042870775453441"/>
    <n v="343.04494556808208"/>
    <n v="798.76730739383152"/>
    <n v="0"/>
    <n v="9.6908282789040054E-2"/>
    <n v="8.723216814598285E-2"/>
  </r>
  <r>
    <x v="29"/>
    <x v="29"/>
    <n v="15581259.5"/>
    <x v="9"/>
    <n v="0"/>
    <n v="16024775.499999996"/>
    <n v="0"/>
    <m/>
    <n v="0"/>
    <m/>
    <n v="0"/>
    <m/>
    <n v="0"/>
    <m/>
    <n v="0"/>
    <n v="18367882.999999985"/>
    <n v="0"/>
    <n v="178"/>
    <m/>
    <n v="0"/>
    <m/>
    <n v="2630"/>
    <m/>
    <n v="0"/>
    <n v="20405316.500000019"/>
    <n v="561"/>
    <n v="178"/>
    <n v="0"/>
    <n v="0"/>
    <n v="2630"/>
    <n v="0"/>
    <s v=""/>
    <n v="178"/>
    <s v="2018 (triag)"/>
    <n v="561"/>
    <n v="2022"/>
    <x v="0"/>
    <n v="561"/>
    <n v="561"/>
    <s v="Increasing"/>
    <n v="-0.13121558498618857"/>
    <n v="0.50042870775453441"/>
    <n v="343.04494556808208"/>
    <n v="798.76730739383152"/>
    <n v="0"/>
    <n v="9.6908282789040054E-2"/>
    <n v="0.27492835016795719"/>
  </r>
  <r>
    <x v="29"/>
    <x v="29"/>
    <n v="15581260.5"/>
    <x v="10"/>
    <n v="0"/>
    <n v="16024775.499999996"/>
    <n v="0"/>
    <m/>
    <n v="0"/>
    <m/>
    <n v="0"/>
    <m/>
    <n v="0"/>
    <m/>
    <n v="0"/>
    <n v="18367882.999999985"/>
    <n v="0"/>
    <n v="0"/>
    <m/>
    <n v="0"/>
    <m/>
    <n v="0"/>
    <m/>
    <n v="0"/>
    <n v="20405316.500000019"/>
    <n v="12"/>
    <n v="0"/>
    <n v="0"/>
    <n v="0"/>
    <n v="12"/>
    <n v="0"/>
    <s v=""/>
    <n v="0"/>
    <s v=""/>
    <n v="12"/>
    <n v="2022"/>
    <x v="0"/>
    <n v="12"/>
    <n v="12"/>
    <s v="Increasing"/>
    <n v="-0.13121558498618857"/>
    <n v="0.50042870775453441"/>
    <n v="0"/>
    <n v="0"/>
    <n v="0"/>
    <n v="0"/>
    <n v="5.8808203244482826E-3"/>
  </r>
  <r>
    <x v="29"/>
    <x v="29"/>
    <n v="15581261.5"/>
    <x v="11"/>
    <n v="0"/>
    <n v="16024775.499999996"/>
    <n v="0"/>
    <m/>
    <n v="0"/>
    <m/>
    <n v="0"/>
    <m/>
    <n v="0"/>
    <m/>
    <n v="0"/>
    <n v="18367882.999999985"/>
    <n v="542"/>
    <n v="542"/>
    <m/>
    <n v="0"/>
    <m/>
    <n v="743"/>
    <m/>
    <n v="0"/>
    <n v="20405316.500000019"/>
    <n v="81"/>
    <n v="0"/>
    <n v="0"/>
    <n v="542"/>
    <n v="743"/>
    <n v="0"/>
    <s v=""/>
    <n v="542"/>
    <n v="2018"/>
    <n v="81"/>
    <n v="2022"/>
    <x v="1"/>
    <n v="89.747656415694607"/>
    <n v="542"/>
    <s v="Decreasing"/>
    <n v="-0.13121558498618857"/>
    <n v="0.50042870775453441"/>
    <n v="0"/>
    <n v="0"/>
    <n v="0"/>
    <n v="0.29508027680707705"/>
    <n v="0.26561705132091407"/>
  </r>
  <r>
    <x v="29"/>
    <x v="29"/>
    <n v="15581262.5"/>
    <x v="12"/>
    <n v="0"/>
    <n v="16024775.499999996"/>
    <n v="0"/>
    <m/>
    <n v="0"/>
    <m/>
    <n v="0"/>
    <m/>
    <n v="0"/>
    <m/>
    <n v="0"/>
    <n v="18367882.999999985"/>
    <n v="0"/>
    <n v="2804"/>
    <m/>
    <n v="0"/>
    <m/>
    <n v="1809"/>
    <m/>
    <n v="0"/>
    <n v="20405316.500000019"/>
    <n v="1661"/>
    <n v="2804"/>
    <n v="0"/>
    <n v="0"/>
    <n v="1809"/>
    <n v="0"/>
    <s v=""/>
    <n v="2804"/>
    <s v="2018 (triag)"/>
    <n v="1661"/>
    <n v="2022"/>
    <x v="1"/>
    <n v="1840.3809544008486"/>
    <n v="2804"/>
    <s v="Decreasing"/>
    <n v="-0.13121558498618857"/>
    <n v="0.50042870775453441"/>
    <n v="5403.9215020949559"/>
    <n v="12582.828819844402"/>
    <n v="0"/>
    <n v="1.5265776682048782"/>
    <n v="1.3741516824794153"/>
  </r>
  <r>
    <x v="29"/>
    <x v="29"/>
    <n v="15581263.5"/>
    <x v="13"/>
    <n v="0"/>
    <n v="16024775.499999996"/>
    <n v="0"/>
    <m/>
    <n v="0"/>
    <m/>
    <n v="0"/>
    <m/>
    <n v="0"/>
    <m/>
    <n v="0"/>
    <n v="18367882.999999985"/>
    <n v="0"/>
    <n v="44"/>
    <m/>
    <n v="0"/>
    <m/>
    <n v="0"/>
    <m/>
    <n v="0"/>
    <n v="20405316.500000019"/>
    <n v="610"/>
    <n v="44"/>
    <n v="0"/>
    <n v="0"/>
    <n v="610"/>
    <n v="0"/>
    <s v=""/>
    <n v="44"/>
    <s v="2018 (triag)"/>
    <n v="610"/>
    <n v="2022"/>
    <x v="0"/>
    <n v="610"/>
    <n v="610"/>
    <s v="Increasing"/>
    <n v="-0.13121558498618857"/>
    <n v="0.50042870775453441"/>
    <n v="84.797626994357373"/>
    <n v="197.44809845690216"/>
    <n v="0"/>
    <n v="2.3954856419762711E-2"/>
    <n v="0.29894169982612101"/>
  </r>
  <r>
    <x v="29"/>
    <x v="29"/>
    <n v="15581264.5"/>
    <x v="14"/>
    <n v="0"/>
    <n v="16024775.499999996"/>
    <n v="0"/>
    <m/>
    <n v="0"/>
    <m/>
    <n v="0"/>
    <m/>
    <n v="0"/>
    <m/>
    <n v="0"/>
    <n v="18367882.999999985"/>
    <n v="0"/>
    <n v="306"/>
    <m/>
    <n v="0"/>
    <m/>
    <n v="0"/>
    <m/>
    <n v="0"/>
    <n v="20405316.500000019"/>
    <n v="0"/>
    <n v="306"/>
    <n v="0"/>
    <n v="0"/>
    <n v="0"/>
    <n v="0"/>
    <s v=""/>
    <n v="306"/>
    <s v="2018 (triag)"/>
    <n v="306"/>
    <s v="2018 (triag)"/>
    <x v="0"/>
    <n v="306"/>
    <n v="306"/>
    <s v="No change"/>
    <n v="-0.13121558498618857"/>
    <n v="0.50042870775453441"/>
    <n v="589.72895136984903"/>
    <n v="1373.1617756320923"/>
    <n v="0"/>
    <n v="0.16659513782834975"/>
    <n v="0.14996091827343119"/>
  </r>
  <r>
    <x v="29"/>
    <x v="29"/>
    <n v="15581265.5"/>
    <x v="15"/>
    <n v="0"/>
    <n v="16024775.499999996"/>
    <n v="0"/>
    <m/>
    <n v="0"/>
    <m/>
    <n v="0"/>
    <m/>
    <n v="0"/>
    <m/>
    <n v="0"/>
    <n v="18367882.999999985"/>
    <n v="0"/>
    <n v="13"/>
    <m/>
    <n v="0"/>
    <m/>
    <n v="91"/>
    <m/>
    <n v="0"/>
    <n v="20405316.500000019"/>
    <n v="73"/>
    <n v="13"/>
    <n v="0"/>
    <n v="0"/>
    <n v="91"/>
    <n v="0"/>
    <s v=""/>
    <n v="13"/>
    <s v="2018 (triag)"/>
    <n v="73"/>
    <n v="2022"/>
    <x v="0"/>
    <n v="73"/>
    <n v="73"/>
    <s v="Increasing"/>
    <n v="-0.13121558498618857"/>
    <n v="0.50042870775453441"/>
    <n v="25.053844339241952"/>
    <n v="58.336938180448371"/>
    <n v="0"/>
    <n v="7.077571214929892E-3"/>
    <n v="3.5774990307060384E-2"/>
  </r>
  <r>
    <x v="29"/>
    <x v="29"/>
    <n v="15581266.5"/>
    <x v="16"/>
    <n v="0"/>
    <n v="16024775.499999996"/>
    <n v="0"/>
    <m/>
    <n v="0"/>
    <m/>
    <n v="0"/>
    <m/>
    <n v="0"/>
    <m/>
    <n v="0"/>
    <n v="18367882.999999985"/>
    <n v="0"/>
    <n v="0"/>
    <m/>
    <n v="0"/>
    <m/>
    <n v="0"/>
    <m/>
    <n v="0"/>
    <n v="20405316.500000019"/>
    <n v="0"/>
    <n v="0"/>
    <n v="0"/>
    <n v="0"/>
    <n v="0"/>
    <n v="0"/>
    <s v=""/>
    <n v="0"/>
    <s v=""/>
    <n v="0"/>
    <s v=""/>
    <x v="0"/>
    <n v="0"/>
    <n v="0"/>
    <s v="No change"/>
    <n v="-0.13121558498618857"/>
    <n v="0.50042870775453441"/>
    <n v="0"/>
    <n v="0"/>
    <n v="0"/>
    <n v="0"/>
    <n v="0"/>
  </r>
  <r>
    <x v="29"/>
    <x v="29"/>
    <n v="15581267.5"/>
    <x v="17"/>
    <n v="0"/>
    <n v="16024775.499999996"/>
    <n v="0"/>
    <m/>
    <n v="0"/>
    <m/>
    <n v="0"/>
    <m/>
    <n v="0"/>
    <m/>
    <n v="0"/>
    <n v="18367882.999999985"/>
    <n v="0"/>
    <n v="0"/>
    <m/>
    <n v="0"/>
    <m/>
    <n v="0"/>
    <m/>
    <n v="0"/>
    <n v="20405316.500000019"/>
    <n v="11178"/>
    <n v="0"/>
    <n v="0"/>
    <n v="0"/>
    <n v="11178"/>
    <n v="0"/>
    <s v=""/>
    <n v="0"/>
    <s v=""/>
    <n v="11178"/>
    <n v="2022"/>
    <x v="0"/>
    <n v="11178"/>
    <n v="11178"/>
    <s v="Increasing"/>
    <n v="-0.13121558498618857"/>
    <n v="0.50042870775453441"/>
    <n v="0"/>
    <n v="0"/>
    <n v="0"/>
    <n v="0"/>
    <n v="5.4779841322235754"/>
  </r>
  <r>
    <x v="29"/>
    <x v="29"/>
    <n v="15581268.5"/>
    <x v="18"/>
    <n v="0"/>
    <n v="16024775.499999996"/>
    <n v="0"/>
    <m/>
    <n v="0"/>
    <m/>
    <n v="0"/>
    <m/>
    <n v="397"/>
    <m/>
    <n v="0"/>
    <n v="18367882.999999985"/>
    <n v="0"/>
    <n v="542"/>
    <m/>
    <n v="0"/>
    <m/>
    <n v="282"/>
    <m/>
    <n v="0"/>
    <n v="20405316.500000019"/>
    <n v="189"/>
    <n v="542"/>
    <n v="0"/>
    <n v="397"/>
    <n v="282"/>
    <n v="0"/>
    <s v=""/>
    <n v="542"/>
    <s v="2018 (triag)"/>
    <n v="189"/>
    <n v="2022"/>
    <x v="1"/>
    <n v="209.41119830328739"/>
    <n v="542"/>
    <s v="Decreasing"/>
    <n v="-0.13121558498618857"/>
    <n v="0.50042870775453441"/>
    <n v="1044.5525870668569"/>
    <n v="2432.2015764463858"/>
    <n v="0"/>
    <n v="0.29508027680707705"/>
    <n v="0.26561705132091407"/>
  </r>
  <r>
    <x v="29"/>
    <x v="29"/>
    <n v="15581269.5"/>
    <x v="19"/>
    <n v="0"/>
    <n v="16024775.499999996"/>
    <n v="0"/>
    <m/>
    <n v="0"/>
    <m/>
    <n v="0"/>
    <m/>
    <n v="1159"/>
    <m/>
    <n v="0"/>
    <n v="18367882.999999985"/>
    <n v="0"/>
    <n v="98"/>
    <m/>
    <n v="0"/>
    <m/>
    <n v="0"/>
    <m/>
    <n v="0"/>
    <n v="20405316.500000019"/>
    <n v="37"/>
    <n v="98"/>
    <n v="0"/>
    <n v="1159"/>
    <n v="37"/>
    <n v="0"/>
    <s v=""/>
    <n v="98"/>
    <s v="2018 (triag)"/>
    <n v="37"/>
    <n v="2022"/>
    <x v="1"/>
    <n v="40.995843054082719"/>
    <n v="98"/>
    <s v="Decreasing"/>
    <n v="-0.13121558498618857"/>
    <n v="0.50042870775453441"/>
    <n v="188.8674419419778"/>
    <n v="439.77076474491849"/>
    <n v="0"/>
    <n v="5.3353998389471489E-2"/>
    <n v="4.8026699316327637E-2"/>
  </r>
  <r>
    <x v="29"/>
    <x v="29"/>
    <n v="15581270.5"/>
    <x v="20"/>
    <n v="0"/>
    <n v="16024775.499999996"/>
    <n v="0"/>
    <m/>
    <n v="0"/>
    <m/>
    <n v="0"/>
    <m/>
    <n v="0"/>
    <m/>
    <n v="0"/>
    <n v="18367882.999999985"/>
    <n v="0"/>
    <n v="52"/>
    <m/>
    <n v="0"/>
    <m/>
    <n v="152"/>
    <m/>
    <n v="0"/>
    <n v="20405316.500000019"/>
    <n v="248"/>
    <n v="52"/>
    <n v="0"/>
    <n v="0"/>
    <n v="248"/>
    <n v="0"/>
    <s v=""/>
    <n v="52"/>
    <s v="2018 (triag)"/>
    <n v="248"/>
    <n v="2022"/>
    <x v="0"/>
    <n v="248"/>
    <n v="248"/>
    <s v="Increasing"/>
    <n v="-0.13121558498618857"/>
    <n v="0.50042870775453441"/>
    <n v="100.21537735696781"/>
    <n v="233.34775272179348"/>
    <n v="0"/>
    <n v="2.8310284859719568E-2"/>
    <n v="0.12153695337193117"/>
  </r>
  <r>
    <x v="29"/>
    <x v="29"/>
    <n v="15581271.5"/>
    <x v="21"/>
    <n v="0"/>
    <n v="16024775.499999996"/>
    <n v="0"/>
    <m/>
    <n v="0"/>
    <m/>
    <n v="0"/>
    <m/>
    <n v="0"/>
    <m/>
    <n v="0"/>
    <n v="18367882.999999985"/>
    <n v="0"/>
    <n v="0"/>
    <m/>
    <n v="0"/>
    <m/>
    <n v="0"/>
    <m/>
    <n v="0"/>
    <n v="20405316.500000019"/>
    <n v="72"/>
    <n v="0"/>
    <n v="0"/>
    <n v="0"/>
    <n v="72"/>
    <n v="0"/>
    <s v=""/>
    <n v="0"/>
    <s v=""/>
    <n v="72"/>
    <n v="2022"/>
    <x v="0"/>
    <n v="72"/>
    <n v="72"/>
    <s v="Increasing"/>
    <n v="-0.13121558498618857"/>
    <n v="0.50042870775453441"/>
    <n v="0"/>
    <n v="0"/>
    <n v="0"/>
    <n v="0"/>
    <n v="3.5284921946689696E-2"/>
  </r>
  <r>
    <x v="29"/>
    <x v="29"/>
    <n v="15581272.5"/>
    <x v="22"/>
    <n v="0"/>
    <n v="16024775.499999996"/>
    <n v="0"/>
    <m/>
    <n v="0"/>
    <m/>
    <n v="0"/>
    <m/>
    <n v="0"/>
    <m/>
    <n v="0"/>
    <n v="18367882.999999985"/>
    <n v="0"/>
    <n v="0"/>
    <m/>
    <n v="0"/>
    <m/>
    <n v="0"/>
    <m/>
    <n v="0"/>
    <n v="20405316.500000019"/>
    <n v="0"/>
    <n v="0"/>
    <n v="0"/>
    <n v="0"/>
    <n v="0"/>
    <n v="0"/>
    <s v=""/>
    <n v="0"/>
    <s v=""/>
    <n v="0"/>
    <s v=""/>
    <x v="0"/>
    <n v="0"/>
    <n v="0"/>
    <s v="No change"/>
    <n v="-0.13121558498618857"/>
    <n v="0.50042870775453441"/>
    <n v="0"/>
    <n v="0"/>
    <n v="0"/>
    <n v="0"/>
    <n v="0"/>
  </r>
  <r>
    <x v="29"/>
    <x v="29"/>
    <n v="15581273.5"/>
    <x v="23"/>
    <n v="0"/>
    <n v="16024775.499999996"/>
    <n v="0"/>
    <m/>
    <n v="0"/>
    <m/>
    <n v="0"/>
    <m/>
    <n v="0"/>
    <m/>
    <n v="0"/>
    <n v="18367882.999999985"/>
    <n v="0"/>
    <n v="0"/>
    <m/>
    <n v="0"/>
    <m/>
    <n v="0"/>
    <m/>
    <n v="0"/>
    <n v="20405316.500000019"/>
    <n v="2"/>
    <n v="0"/>
    <n v="0"/>
    <n v="0"/>
    <n v="2"/>
    <n v="0"/>
    <s v=""/>
    <n v="0"/>
    <s v=""/>
    <n v="2"/>
    <n v="2022"/>
    <x v="0"/>
    <n v="2"/>
    <n v="2"/>
    <s v="Increasing"/>
    <n v="-0.13121558498618857"/>
    <n v="0.50042870775453441"/>
    <n v="0"/>
    <n v="0"/>
    <n v="0"/>
    <n v="0"/>
    <n v="9.8013672074138036E-4"/>
  </r>
  <r>
    <x v="30"/>
    <x v="30"/>
    <n v="2167470.0000000023"/>
    <x v="0"/>
    <n v="0"/>
    <n v="2204510.0000000005"/>
    <n v="113"/>
    <n v="2243000.9999999991"/>
    <n v="24"/>
    <n v="2282703.9999999995"/>
    <n v="0"/>
    <n v="2323352"/>
    <n v="0"/>
    <n v="2364533.5000000009"/>
    <n v="2842"/>
    <n v="2405680.5000000005"/>
    <n v="1726"/>
    <n v="1726"/>
    <n v="2446644.4999999977"/>
    <n v="1931"/>
    <n v="2489097.9999999991"/>
    <n v="2230"/>
    <n v="2530150.5000000014"/>
    <n v="2549"/>
    <n v="2567012.4999999995"/>
    <n v="3012"/>
    <n v="1445"/>
    <n v="113"/>
    <n v="2842"/>
    <n v="3012"/>
    <n v="113"/>
    <n v="2013"/>
    <n v="1726"/>
    <n v="2018"/>
    <n v="3012"/>
    <n v="2022"/>
    <x v="0"/>
    <n v="3012"/>
    <n v="3012"/>
    <s v="Increasing"/>
    <n v="6.763943333062894E-2"/>
    <n v="0.1043111029271564"/>
    <n v="1030.3640175592982"/>
    <n v="1975.9368303056335"/>
    <n v="0.51258556323173843"/>
    <n v="7.1746850839086891"/>
    <n v="11.733483962388187"/>
  </r>
  <r>
    <x v="30"/>
    <x v="30"/>
    <n v="2167471"/>
    <x v="1"/>
    <n v="0"/>
    <n v="2204510.0000000005"/>
    <n v="8220"/>
    <m/>
    <n v="8424"/>
    <m/>
    <n v="8730"/>
    <m/>
    <n v="9632"/>
    <m/>
    <n v="9706"/>
    <n v="2405680.5000000005"/>
    <n v="10614"/>
    <n v="12956"/>
    <m/>
    <n v="11806"/>
    <m/>
    <n v="12880"/>
    <m/>
    <n v="14332"/>
    <n v="2567012.4999999995"/>
    <n v="17210"/>
    <n v="12956"/>
    <n v="8730"/>
    <n v="11806"/>
    <n v="17210"/>
    <n v="8220"/>
    <n v="2013"/>
    <n v="12956"/>
    <s v="2018 (triag)"/>
    <n v="17210"/>
    <n v="2022"/>
    <x v="0"/>
    <n v="17210"/>
    <n v="17210"/>
    <s v="Increasing"/>
    <n v="6.763943333062894E-2"/>
    <n v="0.1043111029271564"/>
    <n v="9238.3364785455142"/>
    <n v="17716.427386463522"/>
    <n v="37.287197608538854"/>
    <n v="53.855863237034164"/>
    <n v="67.042914672211381"/>
  </r>
  <r>
    <x v="30"/>
    <x v="30"/>
    <n v="2167472"/>
    <x v="2"/>
    <n v="0"/>
    <n v="2204510.0000000005"/>
    <n v="0"/>
    <m/>
    <n v="0"/>
    <m/>
    <n v="0"/>
    <m/>
    <n v="0"/>
    <m/>
    <n v="0"/>
    <n v="2405680.5000000005"/>
    <n v="10"/>
    <n v="10"/>
    <m/>
    <n v="10"/>
    <m/>
    <n v="10"/>
    <m/>
    <n v="12"/>
    <n v="2567012.4999999995"/>
    <n v="14"/>
    <n v="0"/>
    <n v="0"/>
    <n v="10"/>
    <n v="14"/>
    <n v="0"/>
    <s v=""/>
    <n v="10"/>
    <n v="2018"/>
    <n v="14"/>
    <n v="2022"/>
    <x v="0"/>
    <n v="14"/>
    <n v="17"/>
    <s v="Increasing"/>
    <n v="6.763943333062894E-2"/>
    <n v="0.1043111029271564"/>
    <n v="0"/>
    <n v="0"/>
    <n v="0"/>
    <n v="4.1568279744546285E-2"/>
    <n v="6.6224843081208226E-2"/>
  </r>
  <r>
    <x v="30"/>
    <x v="30"/>
    <n v="2167473"/>
    <x v="3"/>
    <n v="0"/>
    <n v="2204510.0000000005"/>
    <n v="0"/>
    <m/>
    <n v="0"/>
    <m/>
    <n v="0"/>
    <m/>
    <n v="0"/>
    <m/>
    <n v="79"/>
    <n v="2405680.5000000005"/>
    <n v="0"/>
    <n v="907"/>
    <m/>
    <n v="0"/>
    <m/>
    <n v="104"/>
    <m/>
    <n v="0"/>
    <n v="2567012.4999999995"/>
    <n v="142"/>
    <n v="907"/>
    <n v="0"/>
    <n v="79"/>
    <n v="142"/>
    <n v="0"/>
    <s v=""/>
    <n v="907"/>
    <s v="2018 (triag)"/>
    <n v="142"/>
    <n v="2022"/>
    <x v="1"/>
    <n v="215.09898595943838"/>
    <n v="907"/>
    <s v="Decreasing"/>
    <n v="6.763943333062894E-2"/>
    <n v="0.1043111029271564"/>
    <n v="646.74059787286058"/>
    <n v="1240.2593114790377"/>
    <n v="0"/>
    <n v="3.7702429728303479"/>
    <n v="3.5332901573326976"/>
  </r>
  <r>
    <x v="30"/>
    <x v="30"/>
    <n v="2167474"/>
    <x v="4"/>
    <n v="0"/>
    <n v="2204510.0000000005"/>
    <n v="0"/>
    <m/>
    <n v="0"/>
    <m/>
    <n v="0"/>
    <m/>
    <n v="0"/>
    <m/>
    <n v="0"/>
    <n v="2405680.5000000005"/>
    <n v="0"/>
    <n v="289"/>
    <m/>
    <n v="0"/>
    <m/>
    <n v="17"/>
    <m/>
    <n v="0"/>
    <n v="2567012.4999999995"/>
    <n v="0"/>
    <n v="289"/>
    <n v="0"/>
    <n v="0"/>
    <n v="17"/>
    <n v="0"/>
    <s v=""/>
    <n v="289"/>
    <s v="2018 (triag)"/>
    <n v="17"/>
    <n v="2020"/>
    <x v="1"/>
    <n v="25.751287051482059"/>
    <n v="328"/>
    <s v="Decreasing"/>
    <n v="6.763943333062894E-2"/>
    <n v="0.1043111029271564"/>
    <n v="206.07280351185963"/>
    <n v="395.18736606112668"/>
    <n v="0"/>
    <n v="1.2013232846173876"/>
    <n v="1.2777499135668411"/>
  </r>
  <r>
    <x v="30"/>
    <x v="30"/>
    <n v="2167475"/>
    <x v="5"/>
    <n v="0"/>
    <n v="2204510.0000000005"/>
    <n v="0"/>
    <m/>
    <n v="0"/>
    <m/>
    <n v="0"/>
    <m/>
    <n v="0"/>
    <m/>
    <n v="0"/>
    <n v="2405680.5000000005"/>
    <n v="2292"/>
    <n v="2292"/>
    <m/>
    <n v="0"/>
    <m/>
    <n v="0"/>
    <m/>
    <n v="0"/>
    <n v="2567012.4999999995"/>
    <n v="0"/>
    <n v="2292"/>
    <n v="0"/>
    <n v="2292"/>
    <n v="0"/>
    <n v="0"/>
    <s v=""/>
    <n v="2292"/>
    <n v="2018"/>
    <n v="2292"/>
    <n v="2018"/>
    <x v="0"/>
    <n v="2292"/>
    <n v="2292"/>
    <s v="No change"/>
    <n v="6.763943333062894E-2"/>
    <n v="0.1043111029271564"/>
    <n v="1634.3213344262363"/>
    <n v="3134.1503218411849"/>
    <n v="0"/>
    <n v="9.5274497174500095"/>
    <n v="8.928667078948779"/>
  </r>
  <r>
    <x v="30"/>
    <x v="30"/>
    <n v="2167476"/>
    <x v="6"/>
    <n v="0"/>
    <n v="2204510.0000000005"/>
    <n v="0"/>
    <m/>
    <n v="0"/>
    <m/>
    <n v="0"/>
    <m/>
    <n v="0"/>
    <m/>
    <n v="0"/>
    <n v="2405680.5000000005"/>
    <n v="0"/>
    <n v="33"/>
    <m/>
    <n v="0"/>
    <m/>
    <n v="0"/>
    <m/>
    <n v="0"/>
    <n v="2567012.4999999995"/>
    <n v="33"/>
    <n v="33"/>
    <n v="0"/>
    <n v="0"/>
    <n v="33"/>
    <n v="0"/>
    <s v=""/>
    <n v="33"/>
    <s v="2018 (triag)"/>
    <n v="33"/>
    <n v="2022"/>
    <x v="0"/>
    <n v="33"/>
    <n v="33"/>
    <s v="No change"/>
    <n v="6.763943333062894E-2"/>
    <n v="0.1043111029271564"/>
    <n v="23.53080455325733"/>
    <n v="45.125200968917582"/>
    <n v="0"/>
    <n v="0.13717532315700273"/>
    <n v="0.12855410715763949"/>
  </r>
  <r>
    <x v="30"/>
    <x v="30"/>
    <n v="2167477"/>
    <x v="7"/>
    <n v="0"/>
    <n v="2204510.0000000005"/>
    <n v="0"/>
    <m/>
    <n v="0"/>
    <m/>
    <n v="0"/>
    <m/>
    <n v="0"/>
    <m/>
    <n v="0"/>
    <n v="2405680.5000000005"/>
    <n v="0"/>
    <n v="218"/>
    <m/>
    <n v="0"/>
    <m/>
    <n v="172"/>
    <m/>
    <n v="0"/>
    <n v="2567012.4999999995"/>
    <n v="0"/>
    <n v="218"/>
    <n v="0"/>
    <n v="0"/>
    <n v="172"/>
    <n v="0"/>
    <s v=""/>
    <n v="218"/>
    <s v="2018 (triag)"/>
    <n v="172"/>
    <n v="2020"/>
    <x v="1"/>
    <n v="260.54243369734792"/>
    <n v="372"/>
    <s v="Increasing"/>
    <n v="6.763943333062894E-2"/>
    <n v="0.1043111029271564"/>
    <n v="155.44592098818478"/>
    <n v="298.0998124613343"/>
    <n v="0"/>
    <n v="0.90618849843110905"/>
    <n v="1.4491553897770271"/>
  </r>
  <r>
    <x v="30"/>
    <x v="30"/>
    <n v="2167478"/>
    <x v="8"/>
    <n v="0"/>
    <n v="2204510.0000000005"/>
    <n v="0"/>
    <m/>
    <n v="0"/>
    <m/>
    <n v="0"/>
    <m/>
    <n v="0"/>
    <m/>
    <n v="0"/>
    <n v="2405680.5000000005"/>
    <n v="0"/>
    <n v="0"/>
    <m/>
    <n v="0"/>
    <m/>
    <n v="0"/>
    <m/>
    <n v="0"/>
    <n v="2567012.4999999995"/>
    <n v="889"/>
    <n v="0"/>
    <n v="0"/>
    <n v="0"/>
    <n v="889"/>
    <n v="0"/>
    <s v=""/>
    <n v="0"/>
    <s v=""/>
    <n v="889"/>
    <n v="2022"/>
    <x v="0"/>
    <n v="889"/>
    <n v="889"/>
    <s v="Increasing"/>
    <n v="6.763943333062894E-2"/>
    <n v="0.1043111029271564"/>
    <n v="0"/>
    <n v="0"/>
    <n v="0"/>
    <n v="0"/>
    <n v="3.4631697352467126"/>
  </r>
  <r>
    <x v="30"/>
    <x v="30"/>
    <n v="2167479"/>
    <x v="9"/>
    <n v="0"/>
    <n v="2204510.0000000005"/>
    <n v="0"/>
    <m/>
    <n v="0"/>
    <m/>
    <n v="0"/>
    <m/>
    <n v="0"/>
    <m/>
    <n v="0"/>
    <n v="2405680.5000000005"/>
    <n v="0"/>
    <n v="313"/>
    <m/>
    <n v="0"/>
    <m/>
    <n v="0"/>
    <m/>
    <n v="0"/>
    <n v="2567012.4999999995"/>
    <n v="51"/>
    <n v="313"/>
    <n v="0"/>
    <n v="0"/>
    <n v="51"/>
    <n v="0"/>
    <s v=""/>
    <n v="313"/>
    <s v="2018 (triag)"/>
    <n v="51"/>
    <n v="2022"/>
    <x v="1"/>
    <n v="77.253861154446184"/>
    <n v="313"/>
    <s v="Decreasing"/>
    <n v="6.763943333062894E-2"/>
    <n v="0.1043111029271564"/>
    <n v="223.18611591422862"/>
    <n v="428.00569403852131"/>
    <n v="0"/>
    <n v="1.3010871560042987"/>
    <n v="1.2193162284951868"/>
  </r>
  <r>
    <x v="30"/>
    <x v="30"/>
    <n v="2167480"/>
    <x v="10"/>
    <n v="0"/>
    <n v="2204510.0000000005"/>
    <n v="0"/>
    <m/>
    <n v="0"/>
    <m/>
    <n v="0"/>
    <m/>
    <n v="0"/>
    <m/>
    <n v="0"/>
    <n v="2405680.5000000005"/>
    <n v="0"/>
    <n v="470"/>
    <m/>
    <n v="137"/>
    <m/>
    <n v="0"/>
    <m/>
    <n v="0"/>
    <n v="2567012.4999999995"/>
    <n v="10"/>
    <n v="470"/>
    <n v="0"/>
    <n v="137"/>
    <n v="10"/>
    <n v="0"/>
    <s v=""/>
    <n v="470"/>
    <s v="2018 (triag)"/>
    <n v="10"/>
    <n v="2022"/>
    <x v="1"/>
    <n v="15.147815912636506"/>
    <n v="470"/>
    <s v="Decreasing"/>
    <n v="6.763943333062894E-2"/>
    <n v="0.1043111029271564"/>
    <n v="335.13570121305895"/>
    <n v="642.69225622397767"/>
    <n v="0"/>
    <n v="1.9537091479936755"/>
    <n v="1.8309221322451685"/>
  </r>
  <r>
    <x v="30"/>
    <x v="30"/>
    <n v="2167481"/>
    <x v="11"/>
    <n v="0"/>
    <n v="2204510.0000000005"/>
    <n v="0"/>
    <m/>
    <n v="0"/>
    <m/>
    <n v="0"/>
    <m/>
    <n v="0"/>
    <m/>
    <n v="0"/>
    <n v="2405680.5000000005"/>
    <n v="0"/>
    <n v="1739"/>
    <m/>
    <n v="503"/>
    <m/>
    <n v="99"/>
    <m/>
    <n v="0"/>
    <n v="2567012.4999999995"/>
    <n v="64"/>
    <n v="1739"/>
    <n v="0"/>
    <n v="503"/>
    <n v="99"/>
    <n v="0"/>
    <s v=""/>
    <n v="1739"/>
    <s v="2018 (triag)"/>
    <n v="64"/>
    <n v="2022"/>
    <x v="1"/>
    <n v="96.946021840873641"/>
    <n v="1739"/>
    <s v="Decreasing"/>
    <n v="6.763943333062894E-2"/>
    <n v="0.1043111029271564"/>
    <n v="1240.0020944883181"/>
    <n v="2377.9613480287176"/>
    <n v="0"/>
    <n v="7.2287238475765987"/>
    <n v="6.7744118893071237"/>
  </r>
  <r>
    <x v="30"/>
    <x v="30"/>
    <n v="2167482"/>
    <x v="12"/>
    <n v="0"/>
    <n v="2204510.0000000005"/>
    <n v="0"/>
    <m/>
    <n v="0"/>
    <m/>
    <n v="0"/>
    <m/>
    <n v="0"/>
    <m/>
    <n v="0"/>
    <n v="2405680.5000000005"/>
    <n v="3"/>
    <n v="21"/>
    <m/>
    <n v="3"/>
    <m/>
    <n v="3"/>
    <m/>
    <n v="3"/>
    <n v="2567012.4999999995"/>
    <n v="5"/>
    <n v="21"/>
    <n v="0"/>
    <n v="3"/>
    <n v="5"/>
    <n v="0"/>
    <s v=""/>
    <n v="21"/>
    <s v="2018 (triag)"/>
    <n v="5"/>
    <n v="2022"/>
    <x v="1"/>
    <n v="7.5739079563182532"/>
    <n v="21"/>
    <s v="Decreasing"/>
    <n v="6.763943333062894E-2"/>
    <n v="0.1043111029271564"/>
    <n v="14.974148352072847"/>
    <n v="28.716036980220277"/>
    <n v="0"/>
    <n v="8.7293387463547201E-2"/>
    <n v="8.1807159100316038E-2"/>
  </r>
  <r>
    <x v="30"/>
    <x v="30"/>
    <n v="2167483"/>
    <x v="13"/>
    <n v="0"/>
    <n v="2204510.0000000005"/>
    <n v="0"/>
    <m/>
    <n v="0"/>
    <m/>
    <n v="0"/>
    <m/>
    <n v="0"/>
    <m/>
    <n v="0"/>
    <n v="2405680.5000000005"/>
    <n v="0"/>
    <n v="303"/>
    <m/>
    <n v="291"/>
    <m/>
    <n v="0"/>
    <m/>
    <n v="0"/>
    <n v="2567012.4999999995"/>
    <n v="289"/>
    <n v="303"/>
    <n v="0"/>
    <n v="291"/>
    <n v="289"/>
    <n v="0"/>
    <s v=""/>
    <n v="303"/>
    <s v="2018 (triag)"/>
    <n v="289"/>
    <n v="2022"/>
    <x v="1"/>
    <n v="437.77187987519505"/>
    <n v="437.77187987519505"/>
    <s v="Increasing"/>
    <n v="6.763943333062894E-2"/>
    <n v="0.1043111029271564"/>
    <n v="216.0555690799082"/>
    <n v="414.33139071460687"/>
    <n v="0"/>
    <n v="1.2595188762597525"/>
    <n v="1.7053749441235486"/>
  </r>
  <r>
    <x v="30"/>
    <x v="30"/>
    <n v="2167484"/>
    <x v="14"/>
    <n v="0"/>
    <n v="2204510.0000000005"/>
    <n v="0"/>
    <m/>
    <n v="0"/>
    <m/>
    <n v="0"/>
    <m/>
    <n v="0"/>
    <m/>
    <n v="0"/>
    <n v="2405680.5000000005"/>
    <n v="0"/>
    <n v="37"/>
    <m/>
    <n v="0"/>
    <m/>
    <n v="0"/>
    <m/>
    <n v="0"/>
    <n v="2567012.4999999995"/>
    <n v="0"/>
    <n v="37"/>
    <n v="0"/>
    <n v="0"/>
    <n v="0"/>
    <n v="0"/>
    <s v=""/>
    <n v="37"/>
    <s v="2018 (triag)"/>
    <n v="37"/>
    <s v="2018 (triag)"/>
    <x v="0"/>
    <n v="37"/>
    <n v="37"/>
    <s v="No change"/>
    <n v="6.763943333062894E-2"/>
    <n v="0.1043111029271564"/>
    <n v="26.383023286985491"/>
    <n v="50.594922298483347"/>
    <n v="0"/>
    <n v="0.15380263505482125"/>
    <n v="0.14413642317674732"/>
  </r>
  <r>
    <x v="30"/>
    <x v="30"/>
    <n v="2167485"/>
    <x v="15"/>
    <n v="0"/>
    <n v="2204510.0000000005"/>
    <n v="0"/>
    <m/>
    <n v="0"/>
    <m/>
    <n v="0"/>
    <m/>
    <n v="0"/>
    <m/>
    <n v="0"/>
    <n v="2405680.5000000005"/>
    <n v="84"/>
    <n v="147"/>
    <m/>
    <n v="99"/>
    <m/>
    <n v="95"/>
    <m/>
    <n v="99"/>
    <n v="2567012.4999999995"/>
    <n v="107"/>
    <n v="147"/>
    <n v="0"/>
    <n v="99"/>
    <n v="107"/>
    <n v="0"/>
    <s v=""/>
    <n v="147"/>
    <s v="2018 (triag)"/>
    <n v="107"/>
    <n v="2022"/>
    <x v="1"/>
    <n v="162.08163026521061"/>
    <n v="162.08163026521061"/>
    <s v="Increasing"/>
    <n v="6.763943333062894E-2"/>
    <n v="0.1043111029271564"/>
    <n v="104.81903846450993"/>
    <n v="201.01225886154197"/>
    <n v="0"/>
    <n v="0.6110537122448304"/>
    <n v="0.63140179592117551"/>
  </r>
  <r>
    <x v="30"/>
    <x v="30"/>
    <n v="2167486"/>
    <x v="16"/>
    <n v="0"/>
    <n v="2204510.0000000005"/>
    <n v="0"/>
    <m/>
    <n v="0"/>
    <m/>
    <n v="0"/>
    <m/>
    <n v="0"/>
    <m/>
    <n v="0"/>
    <n v="2405680.5000000005"/>
    <n v="0"/>
    <n v="2157"/>
    <m/>
    <n v="0"/>
    <m/>
    <n v="0"/>
    <m/>
    <n v="0"/>
    <n v="2567012.4999999995"/>
    <n v="0"/>
    <n v="2157"/>
    <n v="0"/>
    <n v="0"/>
    <n v="0"/>
    <n v="0"/>
    <s v=""/>
    <n v="2157"/>
    <s v="2018 (triag)"/>
    <n v="2157"/>
    <s v="2018 (triag)"/>
    <x v="0"/>
    <n v="2157"/>
    <n v="2157"/>
    <s v="No change"/>
    <n v="6.763943333062894E-2"/>
    <n v="0.1043111029271564"/>
    <n v="1538.0589521629108"/>
    <n v="2949.5472269683401"/>
    <n v="0"/>
    <n v="8.9662779408986335"/>
    <n v="8.4027639133038914"/>
  </r>
  <r>
    <x v="30"/>
    <x v="30"/>
    <n v="2167487"/>
    <x v="17"/>
    <n v="0"/>
    <n v="2204510.0000000005"/>
    <n v="0"/>
    <m/>
    <n v="0"/>
    <m/>
    <n v="0"/>
    <m/>
    <n v="0"/>
    <m/>
    <n v="0"/>
    <n v="2405680.5000000005"/>
    <n v="0"/>
    <n v="0"/>
    <m/>
    <n v="0"/>
    <m/>
    <n v="0"/>
    <m/>
    <n v="0"/>
    <n v="2567012.4999999995"/>
    <n v="0"/>
    <n v="0"/>
    <n v="0"/>
    <n v="0"/>
    <n v="0"/>
    <n v="0"/>
    <s v=""/>
    <n v="0"/>
    <s v=""/>
    <n v="0"/>
    <s v=""/>
    <x v="0"/>
    <n v="0"/>
    <n v="0"/>
    <s v="No change"/>
    <n v="6.763943333062894E-2"/>
    <n v="0.1043111029271564"/>
    <n v="0"/>
    <n v="0"/>
    <n v="0"/>
    <n v="0"/>
    <n v="0"/>
  </r>
  <r>
    <x v="30"/>
    <x v="30"/>
    <n v="2167488"/>
    <x v="18"/>
    <n v="0"/>
    <n v="2204510.0000000005"/>
    <n v="0"/>
    <m/>
    <n v="0"/>
    <m/>
    <n v="0"/>
    <m/>
    <n v="0"/>
    <m/>
    <n v="0"/>
    <n v="2405680.5000000005"/>
    <n v="140"/>
    <n v="510"/>
    <m/>
    <n v="0"/>
    <m/>
    <n v="99"/>
    <m/>
    <n v="99"/>
    <n v="2567012.4999999995"/>
    <n v="1065"/>
    <n v="510"/>
    <n v="0"/>
    <n v="140"/>
    <n v="1065"/>
    <n v="0"/>
    <s v=""/>
    <n v="510"/>
    <s v="2018 (triag)"/>
    <n v="1065"/>
    <n v="2022"/>
    <x v="0"/>
    <n v="1065"/>
    <n v="1065"/>
    <s v="Increasing"/>
    <n v="6.763943333062894E-2"/>
    <n v="0.1043111029271564"/>
    <n v="363.65788855034054"/>
    <n v="697.38946951963533"/>
    <n v="0"/>
    <n v="2.1199822669718604"/>
    <n v="4.1487916400874569"/>
  </r>
  <r>
    <x v="30"/>
    <x v="30"/>
    <n v="2167489"/>
    <x v="19"/>
    <n v="0"/>
    <n v="2204510.0000000005"/>
    <n v="0"/>
    <m/>
    <n v="0"/>
    <m/>
    <n v="0"/>
    <m/>
    <n v="0"/>
    <m/>
    <n v="0"/>
    <n v="2405680.5000000005"/>
    <n v="52"/>
    <n v="1053"/>
    <m/>
    <n v="53"/>
    <m/>
    <n v="54"/>
    <m/>
    <n v="63"/>
    <n v="2567012.4999999995"/>
    <n v="82"/>
    <n v="1053"/>
    <n v="0"/>
    <n v="53"/>
    <n v="82"/>
    <n v="0"/>
    <s v=""/>
    <n v="1053"/>
    <s v="2018 (triag)"/>
    <n v="82"/>
    <n v="2022"/>
    <x v="1"/>
    <n v="124.21209048361935"/>
    <n v="1053"/>
    <s v="Decreasing"/>
    <n v="6.763943333062894E-2"/>
    <n v="0.1043111029271564"/>
    <n v="750.84658165393842"/>
    <n v="1439.9041400081883"/>
    <n v="0"/>
    <n v="4.3771398571007243"/>
    <n v="4.102044692030133"/>
  </r>
  <r>
    <x v="30"/>
    <x v="30"/>
    <n v="2167490"/>
    <x v="20"/>
    <n v="0"/>
    <n v="2204510.0000000005"/>
    <n v="0"/>
    <m/>
    <n v="0"/>
    <m/>
    <n v="0"/>
    <m/>
    <n v="0"/>
    <m/>
    <n v="0"/>
    <n v="2405680.5000000005"/>
    <n v="118"/>
    <n v="233"/>
    <m/>
    <n v="123"/>
    <m/>
    <n v="134"/>
    <m/>
    <n v="140"/>
    <n v="2567012.4999999995"/>
    <n v="155"/>
    <n v="233"/>
    <n v="0"/>
    <n v="123"/>
    <n v="155"/>
    <n v="0"/>
    <s v=""/>
    <n v="233"/>
    <s v="2018 (triag)"/>
    <n v="155"/>
    <n v="2022"/>
    <x v="1"/>
    <n v="234.79114664586584"/>
    <n v="234.79114664586584"/>
    <s v="Increasing"/>
    <n v="6.763943333062894E-2"/>
    <n v="0.1043111029271564"/>
    <n v="166.14174123966538"/>
    <n v="318.61126744720593"/>
    <n v="0"/>
    <n v="0.96854091804792841"/>
    <n v="0.91464746138114195"/>
  </r>
  <r>
    <x v="30"/>
    <x v="30"/>
    <n v="2167491"/>
    <x v="21"/>
    <n v="0"/>
    <n v="2204510.0000000005"/>
    <n v="0"/>
    <m/>
    <n v="0"/>
    <m/>
    <n v="0"/>
    <m/>
    <n v="0"/>
    <m/>
    <n v="0"/>
    <n v="2405680.5000000005"/>
    <n v="0"/>
    <n v="509"/>
    <m/>
    <n v="0"/>
    <m/>
    <n v="0"/>
    <m/>
    <n v="0"/>
    <n v="2567012.4999999995"/>
    <n v="0"/>
    <n v="509"/>
    <n v="0"/>
    <n v="0"/>
    <n v="0"/>
    <n v="0"/>
    <s v=""/>
    <n v="509"/>
    <s v="2018 (triag)"/>
    <n v="509"/>
    <s v="2018 (triag)"/>
    <x v="0"/>
    <n v="509"/>
    <n v="510"/>
    <s v="No change"/>
    <n v="6.763943333062894E-2"/>
    <n v="0.1043111029271564"/>
    <n v="362.94483386690854"/>
    <n v="696.02203918724388"/>
    <n v="0"/>
    <n v="2.115825438997406"/>
    <n v="1.9867452924362468"/>
  </r>
  <r>
    <x v="30"/>
    <x v="30"/>
    <n v="2167492"/>
    <x v="22"/>
    <n v="0"/>
    <n v="2204510.0000000005"/>
    <n v="0"/>
    <m/>
    <n v="0"/>
    <m/>
    <n v="0"/>
    <m/>
    <n v="0"/>
    <m/>
    <n v="0"/>
    <n v="2405680.5000000005"/>
    <n v="0"/>
    <n v="0"/>
    <m/>
    <n v="0"/>
    <m/>
    <n v="0"/>
    <m/>
    <n v="0"/>
    <n v="2567012.4999999995"/>
    <n v="29"/>
    <n v="0"/>
    <n v="0"/>
    <n v="0"/>
    <n v="29"/>
    <n v="0"/>
    <s v=""/>
    <n v="0"/>
    <s v=""/>
    <n v="29"/>
    <n v="2022"/>
    <x v="0"/>
    <n v="29"/>
    <n v="29"/>
    <s v="Increasing"/>
    <n v="6.763943333062894E-2"/>
    <n v="0.1043111029271564"/>
    <n v="0"/>
    <n v="0"/>
    <n v="0"/>
    <n v="0"/>
    <n v="0.11297179113853167"/>
  </r>
  <r>
    <x v="30"/>
    <x v="30"/>
    <n v="2167493"/>
    <x v="23"/>
    <n v="0"/>
    <n v="2204510.0000000005"/>
    <n v="0"/>
    <m/>
    <n v="0"/>
    <m/>
    <n v="0"/>
    <m/>
    <n v="0"/>
    <m/>
    <n v="0"/>
    <n v="2405680.5000000005"/>
    <n v="0"/>
    <n v="8"/>
    <m/>
    <n v="0"/>
    <m/>
    <n v="0"/>
    <m/>
    <n v="0"/>
    <n v="2567012.4999999995"/>
    <n v="0"/>
    <n v="8"/>
    <n v="0"/>
    <n v="0"/>
    <n v="0"/>
    <n v="0"/>
    <s v=""/>
    <n v="8"/>
    <s v="2018 (triag)"/>
    <n v="8"/>
    <s v="2018 (triag)"/>
    <x v="0"/>
    <n v="8"/>
    <n v="8"/>
    <s v="No change"/>
    <n v="6.763943333062894E-2"/>
    <n v="0.1043111029271564"/>
    <n v="5.7044374674563221"/>
    <n v="10.939442659131535"/>
    <n v="0"/>
    <n v="3.3254623795637026E-2"/>
    <n v="3.1164632038215637E-2"/>
  </r>
  <r>
    <x v="31"/>
    <x v="31"/>
    <n v="17954407.000000004"/>
    <x v="0"/>
    <n v="1904"/>
    <n v="18653199"/>
    <n v="1892"/>
    <n v="19372013.999999993"/>
    <n v="1119"/>
    <n v="20128123.999999989"/>
    <n v="1268"/>
    <n v="20921743.000000011"/>
    <n v="1362"/>
    <n v="21737922.000000011"/>
    <n v="950"/>
    <n v="22577057.999999996"/>
    <n v="1745"/>
    <n v="1745"/>
    <n v="23443392.999999978"/>
    <n v="1776"/>
    <n v="24333638.499999985"/>
    <n v="1670"/>
    <n v="25252721.999999989"/>
    <n v="0"/>
    <n v="26207976.5"/>
    <n v="1415"/>
    <n v="1065"/>
    <n v="1904"/>
    <n v="1776"/>
    <n v="1670"/>
    <n v="1892"/>
    <n v="2013"/>
    <n v="1745"/>
    <n v="2018"/>
    <n v="1415"/>
    <n v="2022"/>
    <x v="1"/>
    <n v="1626.2575817133875"/>
    <n v="1745"/>
    <s v="Decreasing"/>
    <n v="7.2635719552709199E-2"/>
    <n v="2.4687803142194653E-2"/>
    <n v="740.66725834736894"/>
    <n v="1146.871968041736"/>
    <n v="1.0143032302394888"/>
    <n v="0.77290849852979082"/>
    <n v="0.66582782535690999"/>
  </r>
  <r>
    <x v="31"/>
    <x v="31"/>
    <n v="17954408"/>
    <x v="1"/>
    <n v="0"/>
    <n v="18653199"/>
    <n v="6578"/>
    <m/>
    <n v="9880"/>
    <m/>
    <n v="6506"/>
    <m/>
    <n v="9492"/>
    <m/>
    <n v="0"/>
    <n v="22577057.999999996"/>
    <n v="8251"/>
    <n v="8251"/>
    <m/>
    <n v="0"/>
    <m/>
    <n v="0"/>
    <m/>
    <n v="0"/>
    <n v="26207976.5"/>
    <n v="9130"/>
    <n v="3581"/>
    <n v="9880"/>
    <n v="9492"/>
    <n v="9130"/>
    <n v="6578"/>
    <n v="2013"/>
    <n v="8251"/>
    <n v="2018"/>
    <n v="9130"/>
    <n v="2022"/>
    <x v="0"/>
    <n v="9130"/>
    <n v="9130"/>
    <s v="Increasing"/>
    <n v="7.2635719552709199E-2"/>
    <n v="2.4687803142194653E-2"/>
    <n v="2490.4501898046274"/>
    <n v="3856.2896878473766"/>
    <n v="3.5264728586233387"/>
    <n v="3.6545948546528964"/>
    <n v="3.4836722323831451"/>
  </r>
  <r>
    <x v="31"/>
    <x v="31"/>
    <n v="17954409"/>
    <x v="2"/>
    <n v="1788"/>
    <n v="18653199"/>
    <n v="1672"/>
    <m/>
    <n v="1918"/>
    <m/>
    <n v="1648"/>
    <m/>
    <n v="1712"/>
    <m/>
    <n v="0"/>
    <n v="22577057.999999996"/>
    <n v="1812"/>
    <n v="1812"/>
    <m/>
    <n v="0"/>
    <m/>
    <n v="0"/>
    <m/>
    <n v="0"/>
    <n v="26207976.5"/>
    <n v="1436"/>
    <n v="902"/>
    <n v="1918"/>
    <n v="1812"/>
    <n v="1436"/>
    <n v="1672"/>
    <n v="2013"/>
    <n v="1812"/>
    <n v="2018"/>
    <n v="1436"/>
    <n v="2022"/>
    <x v="1"/>
    <n v="1650.3928532441162"/>
    <n v="1812"/>
    <s v="Decreasing"/>
    <n v="7.2635719552709199E-2"/>
    <n v="2.4687803142194653E-2"/>
    <n v="627.30691739842894"/>
    <n v="971.34132880154539"/>
    <n v="0.89636099416512949"/>
    <n v="0.80258464145328423"/>
    <n v="0.69139256134482574"/>
  </r>
  <r>
    <x v="31"/>
    <x v="31"/>
    <n v="17954410"/>
    <x v="3"/>
    <n v="0"/>
    <n v="18653199"/>
    <n v="0"/>
    <m/>
    <n v="0"/>
    <m/>
    <n v="0"/>
    <m/>
    <n v="0"/>
    <m/>
    <n v="0"/>
    <n v="22577057.999999996"/>
    <n v="2100"/>
    <n v="2100"/>
    <m/>
    <n v="0"/>
    <m/>
    <n v="0"/>
    <m/>
    <n v="0"/>
    <n v="26207976.5"/>
    <n v="0"/>
    <n v="60"/>
    <n v="0"/>
    <n v="2100"/>
    <n v="0"/>
    <n v="0"/>
    <s v=""/>
    <n v="2100"/>
    <n v="2018"/>
    <n v="2100"/>
    <n v="2018"/>
    <x v="0"/>
    <n v="2100"/>
    <n v="2100"/>
    <s v="No change"/>
    <n v="7.2635719552709199E-2"/>
    <n v="2.4687803142194653E-2"/>
    <n v="41.727732864640508"/>
    <n v="64.612505241787943"/>
    <n v="0"/>
    <n v="0.93014776327367377"/>
    <n v="0.8012827697704934"/>
  </r>
  <r>
    <x v="31"/>
    <x v="31"/>
    <n v="17954411"/>
    <x v="4"/>
    <n v="0"/>
    <n v="18653199"/>
    <n v="0"/>
    <m/>
    <n v="0"/>
    <m/>
    <n v="0"/>
    <m/>
    <n v="0"/>
    <m/>
    <n v="0"/>
    <n v="22577057.999999996"/>
    <n v="0"/>
    <n v="30"/>
    <m/>
    <n v="0"/>
    <m/>
    <n v="4"/>
    <m/>
    <n v="0"/>
    <n v="26207976.5"/>
    <n v="0"/>
    <n v="30"/>
    <n v="0"/>
    <n v="0"/>
    <n v="4"/>
    <n v="0"/>
    <s v=""/>
    <n v="30"/>
    <s v="2018 (triag)"/>
    <n v="4"/>
    <n v="2020"/>
    <x v="1"/>
    <n v="4.5971945772816607"/>
    <n v="30"/>
    <s v="Decreasing"/>
    <n v="7.2635719552709199E-2"/>
    <n v="2.4687803142194653E-2"/>
    <n v="20.863866432320254"/>
    <n v="32.306252620893972"/>
    <n v="0"/>
    <n v="1.3287825189623912E-2"/>
    <n v="1.1446896711007048E-2"/>
  </r>
  <r>
    <x v="31"/>
    <x v="31"/>
    <n v="17954412"/>
    <x v="5"/>
    <n v="0"/>
    <n v="18653199"/>
    <n v="6560"/>
    <m/>
    <n v="0"/>
    <m/>
    <n v="0"/>
    <m/>
    <n v="0"/>
    <m/>
    <n v="0"/>
    <n v="22577057.999999996"/>
    <n v="0"/>
    <n v="55"/>
    <m/>
    <n v="0"/>
    <m/>
    <n v="21429"/>
    <m/>
    <n v="0"/>
    <n v="26207976.5"/>
    <n v="2239"/>
    <n v="55"/>
    <n v="6560"/>
    <n v="0"/>
    <n v="21429"/>
    <n v="6560"/>
    <n v="2013"/>
    <n v="55"/>
    <s v="2018 (triag)"/>
    <n v="2239"/>
    <n v="2022"/>
    <x v="0"/>
    <n v="2239"/>
    <n v="2239"/>
    <s v="Increasing"/>
    <n v="7.2635719552709199E-2"/>
    <n v="2.4687803142194653E-2"/>
    <n v="38.250421792587133"/>
    <n v="59.228129804972276"/>
    <n v="3.5168230393081639"/>
    <n v="2.4361012847643838E-2"/>
    <n v="0.85432005786482601"/>
  </r>
  <r>
    <x v="31"/>
    <x v="31"/>
    <n v="17954413"/>
    <x v="6"/>
    <n v="0"/>
    <n v="18653199"/>
    <n v="0"/>
    <m/>
    <n v="0"/>
    <m/>
    <n v="0"/>
    <m/>
    <n v="0"/>
    <m/>
    <n v="0"/>
    <n v="22577057.999999996"/>
    <n v="0"/>
    <n v="42"/>
    <m/>
    <n v="0"/>
    <m/>
    <n v="0"/>
    <m/>
    <n v="0"/>
    <n v="26207976.5"/>
    <n v="0"/>
    <n v="42"/>
    <n v="0"/>
    <n v="0"/>
    <n v="0"/>
    <n v="0"/>
    <s v=""/>
    <n v="42"/>
    <s v="2018 (triag)"/>
    <n v="42"/>
    <s v="2018 (triag)"/>
    <x v="0"/>
    <n v="42"/>
    <n v="42"/>
    <s v="No change"/>
    <n v="7.2635719552709199E-2"/>
    <n v="2.4687803142194653E-2"/>
    <n v="29.209413005248354"/>
    <n v="45.22875366925156"/>
    <n v="0"/>
    <n v="1.8602955265473477E-2"/>
    <n v="1.6025655395409868E-2"/>
  </r>
  <r>
    <x v="31"/>
    <x v="31"/>
    <n v="17954414"/>
    <x v="7"/>
    <n v="0"/>
    <n v="18653199"/>
    <n v="0"/>
    <m/>
    <n v="0"/>
    <m/>
    <n v="0"/>
    <m/>
    <n v="0"/>
    <m/>
    <n v="0"/>
    <n v="22577057.999999996"/>
    <n v="0"/>
    <n v="101"/>
    <m/>
    <n v="0"/>
    <m/>
    <n v="0"/>
    <m/>
    <n v="0"/>
    <n v="26207976.5"/>
    <n v="0"/>
    <n v="101"/>
    <n v="0"/>
    <n v="0"/>
    <n v="0"/>
    <n v="0"/>
    <s v=""/>
    <n v="101"/>
    <s v="2018 (triag)"/>
    <n v="101"/>
    <s v="2018 (triag)"/>
    <x v="0"/>
    <n v="101"/>
    <n v="101"/>
    <s v="No change"/>
    <n v="7.2635719552709199E-2"/>
    <n v="2.4687803142194653E-2"/>
    <n v="70.241683655478184"/>
    <n v="108.76438382367637"/>
    <n v="0"/>
    <n v="4.47356781384005E-2"/>
    <n v="3.8537885593723731E-2"/>
  </r>
  <r>
    <x v="31"/>
    <x v="31"/>
    <n v="17954415"/>
    <x v="8"/>
    <n v="0"/>
    <n v="18653199"/>
    <n v="0"/>
    <m/>
    <n v="0"/>
    <m/>
    <n v="0"/>
    <m/>
    <n v="0"/>
    <m/>
    <n v="0"/>
    <n v="22577057.999999996"/>
    <n v="95"/>
    <n v="152"/>
    <m/>
    <n v="0"/>
    <m/>
    <n v="0"/>
    <m/>
    <n v="0"/>
    <n v="26207976.5"/>
    <n v="0"/>
    <n v="152"/>
    <n v="0"/>
    <n v="95"/>
    <n v="0"/>
    <n v="0"/>
    <s v=""/>
    <n v="152"/>
    <s v="2018 (triag)"/>
    <n v="152"/>
    <s v="2018 (triag)"/>
    <x v="0"/>
    <n v="152"/>
    <n v="152"/>
    <s v="No change"/>
    <n v="7.2635719552709199E-2"/>
    <n v="2.4687803142194653E-2"/>
    <n v="105.71025659042262"/>
    <n v="163.68501327919611"/>
    <n v="0"/>
    <n v="6.7324980960761158E-2"/>
    <n v="5.7997610002435709E-2"/>
  </r>
  <r>
    <x v="31"/>
    <x v="31"/>
    <n v="17954416"/>
    <x v="9"/>
    <n v="0"/>
    <n v="18653199"/>
    <n v="0"/>
    <m/>
    <n v="0"/>
    <m/>
    <n v="0"/>
    <m/>
    <n v="0"/>
    <m/>
    <n v="0"/>
    <n v="22577057.999999996"/>
    <n v="0"/>
    <n v="226"/>
    <m/>
    <n v="0"/>
    <m/>
    <n v="0"/>
    <m/>
    <n v="0"/>
    <n v="26207976.5"/>
    <n v="0"/>
    <n v="226"/>
    <n v="0"/>
    <n v="0"/>
    <n v="0"/>
    <n v="0"/>
    <s v=""/>
    <n v="226"/>
    <s v="2018 (triag)"/>
    <n v="226"/>
    <s v="2018 (triag)"/>
    <x v="0"/>
    <n v="226"/>
    <n v="226"/>
    <s v="No change"/>
    <n v="7.2635719552709199E-2"/>
    <n v="2.4687803142194653E-2"/>
    <n v="157.17446045681257"/>
    <n v="243.37376974406791"/>
    <n v="0"/>
    <n v="0.10010161642850013"/>
    <n v="8.623328855625309E-2"/>
  </r>
  <r>
    <x v="31"/>
    <x v="31"/>
    <n v="17954417"/>
    <x v="10"/>
    <n v="0"/>
    <n v="18653199"/>
    <n v="0"/>
    <m/>
    <n v="0"/>
    <m/>
    <n v="0"/>
    <m/>
    <n v="0"/>
    <m/>
    <n v="0"/>
    <n v="22577057.999999996"/>
    <n v="0"/>
    <n v="11"/>
    <m/>
    <n v="0"/>
    <m/>
    <n v="0"/>
    <m/>
    <n v="0"/>
    <n v="26207976.5"/>
    <n v="6"/>
    <n v="11"/>
    <n v="0"/>
    <n v="0"/>
    <n v="6"/>
    <n v="0"/>
    <s v=""/>
    <n v="11"/>
    <s v="2018 (triag)"/>
    <n v="6"/>
    <n v="2022"/>
    <x v="1"/>
    <n v="6.895791865922491"/>
    <n v="11"/>
    <s v="Decreasing"/>
    <n v="7.2635719552709199E-2"/>
    <n v="2.4687803142194653E-2"/>
    <n v="7.6500843585174261"/>
    <n v="11.845625960994456"/>
    <n v="0"/>
    <n v="4.8722025695287679E-3"/>
    <n v="4.1971954607025845E-3"/>
  </r>
  <r>
    <x v="31"/>
    <x v="31"/>
    <n v="17954418"/>
    <x v="11"/>
    <n v="0"/>
    <n v="18653199"/>
    <n v="0"/>
    <m/>
    <n v="0"/>
    <m/>
    <n v="0"/>
    <m/>
    <n v="0"/>
    <m/>
    <n v="0"/>
    <n v="22577057.999999996"/>
    <n v="432"/>
    <n v="432"/>
    <m/>
    <n v="0"/>
    <m/>
    <n v="0"/>
    <m/>
    <n v="0"/>
    <n v="26207976.5"/>
    <n v="0"/>
    <n v="191"/>
    <n v="0"/>
    <n v="432"/>
    <n v="0"/>
    <n v="0"/>
    <s v=""/>
    <n v="432"/>
    <n v="2018"/>
    <n v="432"/>
    <n v="2018"/>
    <x v="0"/>
    <n v="432"/>
    <n v="432"/>
    <s v="No change"/>
    <n v="7.2635719552709199E-2"/>
    <n v="2.4687803142194653E-2"/>
    <n v="132.83328295243894"/>
    <n v="205.68314168635828"/>
    <n v="0"/>
    <n v="0.19134468273058433"/>
    <n v="0.16483531263850149"/>
  </r>
  <r>
    <x v="31"/>
    <x v="31"/>
    <n v="17954419"/>
    <x v="12"/>
    <n v="0"/>
    <n v="18653199"/>
    <n v="0"/>
    <m/>
    <n v="0"/>
    <m/>
    <n v="0"/>
    <m/>
    <n v="0"/>
    <m/>
    <n v="0"/>
    <n v="22577057.999999996"/>
    <n v="439"/>
    <n v="439"/>
    <m/>
    <n v="0"/>
    <m/>
    <n v="0"/>
    <m/>
    <n v="0"/>
    <n v="26207976.5"/>
    <n v="0"/>
    <n v="0"/>
    <n v="0"/>
    <n v="439"/>
    <n v="0"/>
    <n v="0"/>
    <s v=""/>
    <n v="439"/>
    <n v="2018"/>
    <n v="439"/>
    <n v="2018"/>
    <x v="0"/>
    <n v="439"/>
    <n v="439"/>
    <s v="No change"/>
    <n v="7.2635719552709199E-2"/>
    <n v="2.4687803142194653E-2"/>
    <n v="0"/>
    <n v="0"/>
    <n v="0"/>
    <n v="0.19444517527482991"/>
    <n v="0.16750625520440313"/>
  </r>
  <r>
    <x v="31"/>
    <x v="31"/>
    <n v="17954420"/>
    <x v="13"/>
    <n v="0"/>
    <n v="18653199"/>
    <n v="0"/>
    <m/>
    <n v="0"/>
    <m/>
    <n v="0"/>
    <m/>
    <n v="0"/>
    <m/>
    <n v="0"/>
    <n v="22577057.999999996"/>
    <n v="0"/>
    <n v="82"/>
    <m/>
    <n v="0"/>
    <m/>
    <n v="0"/>
    <m/>
    <n v="0"/>
    <n v="26207976.5"/>
    <n v="0"/>
    <n v="82"/>
    <n v="0"/>
    <n v="0"/>
    <n v="0"/>
    <n v="0"/>
    <s v=""/>
    <n v="82"/>
    <s v="2018 (triag)"/>
    <n v="82"/>
    <s v="2018 (triag)"/>
    <x v="0"/>
    <n v="82"/>
    <n v="82"/>
    <s v="No change"/>
    <n v="7.2635719552709199E-2"/>
    <n v="2.4687803142194653E-2"/>
    <n v="57.027901581675358"/>
    <n v="88.303757163776851"/>
    <n v="0"/>
    <n v="3.6320055518305361E-2"/>
    <n v="3.1288184343419262E-2"/>
  </r>
  <r>
    <x v="31"/>
    <x v="31"/>
    <n v="17954421"/>
    <x v="14"/>
    <n v="0"/>
    <n v="18653199"/>
    <n v="0"/>
    <m/>
    <n v="0"/>
    <m/>
    <n v="0"/>
    <m/>
    <n v="0"/>
    <m/>
    <n v="0"/>
    <n v="22577057.999999996"/>
    <n v="0"/>
    <n v="22"/>
    <m/>
    <n v="0"/>
    <m/>
    <n v="0"/>
    <m/>
    <n v="0"/>
    <n v="26207976.5"/>
    <n v="0"/>
    <n v="22"/>
    <n v="0"/>
    <n v="0"/>
    <n v="0"/>
    <n v="0"/>
    <s v=""/>
    <n v="22"/>
    <s v="2018 (triag)"/>
    <n v="22"/>
    <s v="2018 (triag)"/>
    <x v="0"/>
    <n v="22"/>
    <n v="22"/>
    <s v="No change"/>
    <n v="7.2635719552709199E-2"/>
    <n v="2.4687803142194653E-2"/>
    <n v="15.300168717034852"/>
    <n v="23.691251921988911"/>
    <n v="0"/>
    <n v="9.7444051390575357E-3"/>
    <n v="8.394390921405169E-3"/>
  </r>
  <r>
    <x v="31"/>
    <x v="31"/>
    <n v="17954422"/>
    <x v="15"/>
    <n v="0"/>
    <n v="18653199"/>
    <n v="0"/>
    <m/>
    <n v="0"/>
    <m/>
    <n v="0"/>
    <m/>
    <n v="0"/>
    <m/>
    <n v="0"/>
    <n v="22577057.999999996"/>
    <n v="0"/>
    <n v="0"/>
    <m/>
    <n v="0"/>
    <m/>
    <n v="0"/>
    <m/>
    <n v="0"/>
    <n v="26207976.5"/>
    <n v="0"/>
    <n v="0"/>
    <n v="0"/>
    <n v="0"/>
    <n v="0"/>
    <n v="0"/>
    <s v=""/>
    <n v="0"/>
    <s v=""/>
    <n v="0"/>
    <s v=""/>
    <x v="0"/>
    <n v="0"/>
    <n v="0"/>
    <s v="No change"/>
    <n v="7.2635719552709199E-2"/>
    <n v="2.4687803142194653E-2"/>
    <n v="0"/>
    <n v="0"/>
    <n v="0"/>
    <n v="0"/>
    <n v="0"/>
  </r>
  <r>
    <x v="31"/>
    <x v="31"/>
    <n v="17954423"/>
    <x v="16"/>
    <n v="0"/>
    <n v="18653199"/>
    <n v="0"/>
    <m/>
    <n v="0"/>
    <m/>
    <n v="0"/>
    <m/>
    <n v="0"/>
    <m/>
    <n v="0"/>
    <n v="22577057.999999996"/>
    <n v="0"/>
    <n v="542"/>
    <m/>
    <n v="0"/>
    <m/>
    <n v="0"/>
    <m/>
    <n v="0"/>
    <n v="26207976.5"/>
    <n v="0"/>
    <n v="542"/>
    <n v="0"/>
    <n v="0"/>
    <n v="0"/>
    <n v="0"/>
    <s v=""/>
    <n v="542"/>
    <s v="2018 (triag)"/>
    <n v="542"/>
    <s v="2018 (triag)"/>
    <x v="0"/>
    <n v="542"/>
    <n v="542"/>
    <s v="No change"/>
    <n v="7.2635719552709199E-2"/>
    <n v="2.4687803142194653E-2"/>
    <n v="376.94052021058593"/>
    <n v="583.66629735081767"/>
    <n v="0"/>
    <n v="0.24006670842587199"/>
    <n v="0.20680726724552734"/>
  </r>
  <r>
    <x v="31"/>
    <x v="31"/>
    <n v="17954424"/>
    <x v="17"/>
    <n v="0"/>
    <n v="18653199"/>
    <n v="0"/>
    <m/>
    <n v="0"/>
    <m/>
    <n v="0"/>
    <m/>
    <n v="0"/>
    <m/>
    <n v="0"/>
    <n v="22577057.999999996"/>
    <n v="249"/>
    <n v="462"/>
    <m/>
    <n v="0"/>
    <m/>
    <n v="0"/>
    <m/>
    <n v="0"/>
    <n v="26207976.5"/>
    <n v="0"/>
    <n v="462"/>
    <n v="0"/>
    <n v="249"/>
    <n v="0"/>
    <n v="0"/>
    <s v=""/>
    <n v="462"/>
    <s v="2018 (triag)"/>
    <n v="462"/>
    <s v="2018 (triag)"/>
    <x v="0"/>
    <n v="462"/>
    <n v="462"/>
    <s v="No change"/>
    <n v="7.2635719552709199E-2"/>
    <n v="2.4687803142194653E-2"/>
    <n v="321.30354305773193"/>
    <n v="497.51629036176712"/>
    <n v="0"/>
    <n v="0.20463250792020823"/>
    <n v="0.17628220934950853"/>
  </r>
  <r>
    <x v="31"/>
    <x v="31"/>
    <n v="17954425"/>
    <x v="18"/>
    <n v="0"/>
    <n v="18653199"/>
    <n v="0"/>
    <m/>
    <n v="0"/>
    <m/>
    <n v="0"/>
    <m/>
    <n v="0"/>
    <m/>
    <n v="0"/>
    <n v="22577057.999999996"/>
    <n v="0"/>
    <n v="432"/>
    <m/>
    <n v="0"/>
    <m/>
    <n v="0"/>
    <m/>
    <n v="0"/>
    <n v="26207976.5"/>
    <n v="418"/>
    <n v="432"/>
    <n v="0"/>
    <n v="0"/>
    <n v="418"/>
    <n v="0"/>
    <s v=""/>
    <n v="432"/>
    <s v="2018 (triag)"/>
    <n v="418"/>
    <n v="2022"/>
    <x v="1"/>
    <n v="480.40683332593352"/>
    <n v="480.40683332593352"/>
    <s v="Increasing"/>
    <n v="7.2635719552709199E-2"/>
    <n v="2.4687803142194653E-2"/>
    <n v="300.43967662541166"/>
    <n v="465.21003774087313"/>
    <n v="0"/>
    <n v="0.19134468273058433"/>
    <n v="0.18330558001146463"/>
  </r>
  <r>
    <x v="31"/>
    <x v="31"/>
    <n v="17954426"/>
    <x v="19"/>
    <n v="0"/>
    <n v="18653199"/>
    <n v="0"/>
    <m/>
    <n v="0"/>
    <m/>
    <n v="0"/>
    <m/>
    <n v="0"/>
    <m/>
    <n v="0"/>
    <n v="22577057.999999996"/>
    <n v="0"/>
    <n v="598"/>
    <m/>
    <n v="0"/>
    <m/>
    <n v="0"/>
    <m/>
    <n v="0"/>
    <n v="26207976.5"/>
    <n v="1592"/>
    <n v="598"/>
    <n v="0"/>
    <n v="0"/>
    <n v="1592"/>
    <n v="0"/>
    <s v=""/>
    <n v="598"/>
    <s v="2018 (triag)"/>
    <n v="1592"/>
    <n v="2022"/>
    <x v="0"/>
    <n v="1592"/>
    <n v="1592"/>
    <s v="Increasing"/>
    <n v="7.2635719552709199E-2"/>
    <n v="2.4687803142194653E-2"/>
    <n v="415.88640421758373"/>
    <n v="643.9713022431531"/>
    <n v="0"/>
    <n v="0.26487064877983663"/>
    <n v="0.60744865213077404"/>
  </r>
  <r>
    <x v="31"/>
    <x v="31"/>
    <n v="17954427"/>
    <x v="20"/>
    <n v="0"/>
    <n v="18653199"/>
    <n v="0"/>
    <m/>
    <n v="0"/>
    <m/>
    <n v="0"/>
    <m/>
    <n v="0"/>
    <m/>
    <n v="0"/>
    <n v="22577057.999999996"/>
    <n v="0"/>
    <n v="0"/>
    <m/>
    <n v="0"/>
    <m/>
    <n v="0"/>
    <m/>
    <n v="0"/>
    <n v="26207976.5"/>
    <n v="0"/>
    <n v="0"/>
    <n v="0"/>
    <n v="0"/>
    <n v="0"/>
    <n v="0"/>
    <s v=""/>
    <n v="0"/>
    <s v=""/>
    <n v="0"/>
    <s v=""/>
    <x v="0"/>
    <n v="0"/>
    <n v="0"/>
    <s v="No change"/>
    <n v="7.2635719552709199E-2"/>
    <n v="2.4687803142194653E-2"/>
    <n v="0"/>
    <n v="0"/>
    <n v="0"/>
    <n v="0"/>
    <n v="0"/>
  </r>
  <r>
    <x v="31"/>
    <x v="31"/>
    <n v="17954428"/>
    <x v="21"/>
    <n v="0"/>
    <n v="18653199"/>
    <n v="0"/>
    <m/>
    <n v="0"/>
    <m/>
    <n v="0"/>
    <m/>
    <n v="0"/>
    <m/>
    <n v="0"/>
    <n v="22577057.999999996"/>
    <n v="0"/>
    <n v="0"/>
    <m/>
    <n v="0"/>
    <m/>
    <n v="0"/>
    <m/>
    <n v="0"/>
    <n v="26207976.5"/>
    <n v="0"/>
    <n v="0"/>
    <n v="0"/>
    <n v="0"/>
    <n v="0"/>
    <n v="0"/>
    <s v=""/>
    <n v="0"/>
    <s v=""/>
    <n v="0"/>
    <s v=""/>
    <x v="0"/>
    <n v="0"/>
    <n v="0"/>
    <s v="No change"/>
    <n v="7.2635719552709199E-2"/>
    <n v="2.4687803142194653E-2"/>
    <n v="0"/>
    <n v="0"/>
    <n v="0"/>
    <n v="0"/>
    <n v="0"/>
  </r>
  <r>
    <x v="31"/>
    <x v="31"/>
    <n v="17954429"/>
    <x v="22"/>
    <n v="0"/>
    <n v="18653199"/>
    <n v="0"/>
    <m/>
    <n v="0"/>
    <m/>
    <n v="0"/>
    <m/>
    <n v="0"/>
    <m/>
    <n v="0"/>
    <n v="22577057.999999996"/>
    <n v="0"/>
    <n v="0"/>
    <m/>
    <n v="0"/>
    <m/>
    <n v="0"/>
    <m/>
    <n v="0"/>
    <n v="26207976.5"/>
    <n v="0"/>
    <n v="0"/>
    <n v="0"/>
    <n v="0"/>
    <n v="0"/>
    <n v="0"/>
    <s v=""/>
    <n v="0"/>
    <s v=""/>
    <n v="0"/>
    <s v=""/>
    <x v="0"/>
    <n v="0"/>
    <n v="0"/>
    <s v="No change"/>
    <n v="7.2635719552709199E-2"/>
    <n v="2.4687803142194653E-2"/>
    <n v="0"/>
    <n v="0"/>
    <n v="0"/>
    <n v="0"/>
    <n v="0"/>
  </r>
  <r>
    <x v="31"/>
    <x v="31"/>
    <n v="17954430"/>
    <x v="23"/>
    <n v="0"/>
    <n v="18653199"/>
    <n v="0"/>
    <m/>
    <n v="0"/>
    <m/>
    <n v="0"/>
    <m/>
    <n v="0"/>
    <m/>
    <n v="0"/>
    <n v="22577057.999999996"/>
    <n v="0"/>
    <n v="0"/>
    <m/>
    <n v="0"/>
    <m/>
    <n v="0"/>
    <m/>
    <n v="0"/>
    <n v="26207976.5"/>
    <n v="0"/>
    <n v="0"/>
    <n v="0"/>
    <n v="0"/>
    <n v="0"/>
    <n v="0"/>
    <s v=""/>
    <n v="0"/>
    <s v=""/>
    <n v="0"/>
    <s v=""/>
    <x v="0"/>
    <n v="0"/>
    <n v="0"/>
    <s v="No change"/>
    <n v="7.2635719552709199E-2"/>
    <n v="2.4687803142194653E-2"/>
    <n v="0"/>
    <n v="0"/>
    <n v="0"/>
    <n v="0"/>
    <n v="0"/>
  </r>
  <r>
    <x v="32"/>
    <x v="32"/>
    <n v="170075931.5"/>
    <x v="0"/>
    <n v="144"/>
    <n v="174726123.50000006"/>
    <n v="131518"/>
    <n v="179379016.5"/>
    <n v="2281"/>
    <n v="183995784.49999991"/>
    <n v="0"/>
    <n v="188666930.99999988"/>
    <n v="167130"/>
    <n v="193495906.50000003"/>
    <n v="0"/>
    <n v="198387623.50000006"/>
    <n v="149976"/>
    <n v="149976"/>
    <n v="203304491.50000006"/>
    <n v="159688"/>
    <n v="208327404.49999994"/>
    <n v="0"/>
    <n v="213401322.49999997"/>
    <n v="168695"/>
    <n v="218541211.50000003"/>
    <n v="172576"/>
    <n v="83907"/>
    <n v="131518"/>
    <n v="167130"/>
    <n v="172576"/>
    <n v="131518"/>
    <n v="2013"/>
    <n v="149976"/>
    <n v="2018"/>
    <n v="172576"/>
    <n v="2022"/>
    <x v="0"/>
    <n v="172576"/>
    <n v="172576"/>
    <s v="Increasing"/>
    <n v="3.0407746470616726E-2"/>
    <n v="4.0299906228893123E-2"/>
    <n v="72072.338086837117"/>
    <n v="94690.034404864651"/>
    <n v="7.5270942527377684"/>
    <n v="7.5597457822261758"/>
    <n v="7.8967256937714918"/>
  </r>
  <r>
    <x v="32"/>
    <x v="32"/>
    <n v="170075932.5"/>
    <x v="1"/>
    <n v="0"/>
    <n v="174726123.50000006"/>
    <n v="149840"/>
    <m/>
    <n v="0"/>
    <m/>
    <n v="0"/>
    <m/>
    <n v="370202"/>
    <m/>
    <n v="0"/>
    <n v="198387623.50000006"/>
    <n v="220210"/>
    <n v="220210"/>
    <m/>
    <n v="361418"/>
    <m/>
    <n v="0"/>
    <m/>
    <n v="535392"/>
    <n v="218541211.50000003"/>
    <n v="441362"/>
    <n v="180709"/>
    <n v="149840"/>
    <n v="370202"/>
    <n v="535392"/>
    <n v="149840"/>
    <n v="2013"/>
    <n v="220210"/>
    <n v="2018"/>
    <n v="441362"/>
    <n v="2022"/>
    <x v="0"/>
    <n v="441362"/>
    <n v="441362"/>
    <s v="Increasing"/>
    <n v="3.0407746470616726E-2"/>
    <n v="4.0299906228893123E-2"/>
    <n v="155220.90103727044"/>
    <n v="203932.22767193065"/>
    <n v="8.575706768885075"/>
    <n v="11.099986789246454"/>
    <n v="20.195824712905463"/>
  </r>
  <r>
    <x v="32"/>
    <x v="32"/>
    <n v="170075933.5"/>
    <x v="2"/>
    <n v="0"/>
    <n v="174726123.50000006"/>
    <n v="202550"/>
    <m/>
    <n v="0"/>
    <m/>
    <n v="0"/>
    <m/>
    <n v="282550"/>
    <m/>
    <n v="0"/>
    <n v="198387623.50000006"/>
    <n v="142474"/>
    <n v="142474"/>
    <m/>
    <n v="241740"/>
    <m/>
    <n v="0"/>
    <m/>
    <n v="263844"/>
    <n v="218541211.50000003"/>
    <n v="293574"/>
    <n v="120870"/>
    <n v="202550"/>
    <n v="282550"/>
    <n v="293574"/>
    <n v="202550"/>
    <n v="2013"/>
    <n v="142474"/>
    <n v="2018"/>
    <n v="293574"/>
    <n v="2022"/>
    <x v="0"/>
    <n v="293574"/>
    <n v="293574"/>
    <s v="Increasing"/>
    <n v="3.0407746470616726E-2"/>
    <n v="4.0299906228893123E-2"/>
    <n v="103821.89214911751"/>
    <n v="136403.2137785404"/>
    <n v="11.592427963412119"/>
    <n v="7.1815971927301181"/>
    <n v="13.433347330006907"/>
  </r>
  <r>
    <x v="32"/>
    <x v="32"/>
    <n v="170075934.5"/>
    <x v="3"/>
    <n v="0"/>
    <n v="174726123.50000006"/>
    <n v="0"/>
    <m/>
    <n v="0"/>
    <m/>
    <n v="0"/>
    <m/>
    <n v="459"/>
    <m/>
    <n v="571"/>
    <n v="198387623.50000006"/>
    <n v="105"/>
    <n v="24668"/>
    <m/>
    <n v="0"/>
    <m/>
    <n v="588"/>
    <m/>
    <n v="419"/>
    <n v="218541211.50000003"/>
    <n v="1332"/>
    <n v="24668"/>
    <n v="0"/>
    <n v="571"/>
    <n v="1332"/>
    <n v="0"/>
    <s v=""/>
    <n v="24668"/>
    <s v="2018 (triag)"/>
    <n v="1332"/>
    <n v="2022"/>
    <x v="1"/>
    <n v="1530.8657942347929"/>
    <n v="24668"/>
    <s v="Decreasing"/>
    <n v="3.0407746470616726E-2"/>
    <n v="4.0299906228893123E-2"/>
    <n v="21188.702205133042"/>
    <n v="27838.127554306568"/>
    <n v="0"/>
    <n v="1.2434243409342516"/>
    <n v="1.1287573556807156"/>
  </r>
  <r>
    <x v="32"/>
    <x v="32"/>
    <n v="170075935.5"/>
    <x v="4"/>
    <n v="0"/>
    <n v="174726123.50000006"/>
    <n v="0"/>
    <m/>
    <n v="0"/>
    <m/>
    <n v="0"/>
    <m/>
    <n v="56"/>
    <m/>
    <n v="115"/>
    <n v="198387623.50000006"/>
    <n v="0"/>
    <n v="25487"/>
    <m/>
    <n v="0"/>
    <m/>
    <n v="230"/>
    <m/>
    <n v="30"/>
    <n v="218541211.50000003"/>
    <n v="416"/>
    <n v="25487"/>
    <n v="0"/>
    <n v="115"/>
    <n v="416"/>
    <n v="0"/>
    <s v=""/>
    <n v="25487"/>
    <s v="2018 (triag)"/>
    <n v="416"/>
    <n v="2022"/>
    <x v="1"/>
    <n v="478.10823603729273"/>
    <n v="25487"/>
    <s v="Decreasing"/>
    <n v="3.0407746470616726E-2"/>
    <n v="4.0299906228893123E-2"/>
    <n v="21892.186358935698"/>
    <n v="28762.378667772478"/>
    <n v="0"/>
    <n v="1.2847071581559619"/>
    <n v="1.1662331248676179"/>
  </r>
  <r>
    <x v="32"/>
    <x v="32"/>
    <n v="170075936.5"/>
    <x v="5"/>
    <n v="0"/>
    <n v="174726123.50000006"/>
    <n v="0"/>
    <m/>
    <n v="0"/>
    <m/>
    <n v="0"/>
    <m/>
    <n v="0"/>
    <m/>
    <n v="0"/>
    <n v="198387623.50000006"/>
    <n v="116454"/>
    <n v="116454"/>
    <m/>
    <n v="116454"/>
    <m/>
    <n v="0"/>
    <m/>
    <n v="7912"/>
    <n v="218541211.50000003"/>
    <n v="154477"/>
    <n v="116454"/>
    <n v="0"/>
    <n v="116454"/>
    <n v="154477"/>
    <n v="0"/>
    <s v=""/>
    <n v="116454"/>
    <n v="2018"/>
    <n v="154477"/>
    <n v="2022"/>
    <x v="0"/>
    <n v="154477"/>
    <n v="154477"/>
    <s v="Increasing"/>
    <n v="3.0407746470616726E-2"/>
    <n v="4.0299906228893123E-2"/>
    <n v="100028.7468216541"/>
    <n v="131419.70594329564"/>
    <n v="0"/>
    <n v="5.8700234392393922"/>
    <n v="7.0685523769048926"/>
  </r>
  <r>
    <x v="32"/>
    <x v="32"/>
    <n v="170075937.5"/>
    <x v="6"/>
    <n v="0"/>
    <n v="174726123.50000006"/>
    <n v="0"/>
    <m/>
    <n v="0"/>
    <m/>
    <n v="0"/>
    <m/>
    <n v="44"/>
    <m/>
    <n v="48"/>
    <n v="198387623.50000006"/>
    <n v="7"/>
    <n v="7"/>
    <m/>
    <n v="0"/>
    <m/>
    <n v="71"/>
    <m/>
    <n v="77"/>
    <n v="218541211.50000003"/>
    <n v="0"/>
    <n v="0"/>
    <n v="0"/>
    <n v="48"/>
    <n v="77"/>
    <n v="0"/>
    <s v=""/>
    <n v="7"/>
    <n v="2018"/>
    <n v="77"/>
    <n v="2021"/>
    <x v="0"/>
    <n v="77"/>
    <n v="77"/>
    <s v="Increasing"/>
    <n v="3.0407746470616726E-2"/>
    <n v="4.0299906228893123E-2"/>
    <n v="0"/>
    <n v="0"/>
    <n v="0"/>
    <n v="3.5284459163855038E-4"/>
    <n v="3.5233629150079088E-3"/>
  </r>
  <r>
    <x v="32"/>
    <x v="32"/>
    <n v="170075938.5"/>
    <x v="7"/>
    <n v="0"/>
    <n v="174726123.50000006"/>
    <n v="0"/>
    <m/>
    <n v="0"/>
    <m/>
    <n v="0"/>
    <m/>
    <n v="311"/>
    <m/>
    <n v="0"/>
    <n v="198387623.50000006"/>
    <n v="0"/>
    <n v="14645"/>
    <m/>
    <n v="0"/>
    <m/>
    <n v="0"/>
    <m/>
    <n v="0"/>
    <n v="218541211.50000003"/>
    <n v="0"/>
    <n v="14645"/>
    <n v="0"/>
    <n v="311"/>
    <n v="0"/>
    <n v="0"/>
    <s v=""/>
    <n v="14645"/>
    <s v="2018 (triag)"/>
    <n v="14645"/>
    <s v="2018 (triag)"/>
    <x v="0"/>
    <n v="14645"/>
    <n v="14645"/>
    <s v="No change"/>
    <n v="3.0407746470616726E-2"/>
    <n v="4.0299906228893123E-2"/>
    <n v="12579.396132405278"/>
    <n v="16527.054403795188"/>
    <n v="0"/>
    <n v="0.73820129207808149"/>
    <n v="0.6701253232505302"/>
  </r>
  <r>
    <x v="32"/>
    <x v="32"/>
    <n v="170075939.5"/>
    <x v="8"/>
    <n v="0"/>
    <n v="174726123.50000006"/>
    <n v="0"/>
    <m/>
    <n v="0"/>
    <m/>
    <n v="0"/>
    <m/>
    <n v="0"/>
    <m/>
    <n v="0"/>
    <n v="198387623.50000006"/>
    <n v="0"/>
    <n v="0"/>
    <m/>
    <n v="0"/>
    <m/>
    <n v="0"/>
    <m/>
    <n v="0"/>
    <n v="218541211.50000003"/>
    <n v="0"/>
    <n v="0"/>
    <n v="0"/>
    <n v="0"/>
    <n v="0"/>
    <n v="0"/>
    <s v=""/>
    <n v="0"/>
    <s v=""/>
    <n v="0"/>
    <s v=""/>
    <x v="0"/>
    <n v="0"/>
    <n v="0"/>
    <s v="No change"/>
    <n v="3.0407746470616726E-2"/>
    <n v="4.0299906228893123E-2"/>
    <n v="0"/>
    <n v="0"/>
    <n v="0"/>
    <n v="0"/>
    <n v="0"/>
  </r>
  <r>
    <x v="32"/>
    <x v="32"/>
    <n v="170075940.5"/>
    <x v="9"/>
    <n v="0"/>
    <n v="174726123.50000006"/>
    <n v="0"/>
    <m/>
    <n v="0"/>
    <m/>
    <n v="0"/>
    <m/>
    <n v="0"/>
    <m/>
    <n v="0"/>
    <n v="198387623.50000006"/>
    <n v="0"/>
    <n v="0"/>
    <m/>
    <n v="0"/>
    <m/>
    <n v="0"/>
    <m/>
    <n v="0"/>
    <n v="218541211.50000003"/>
    <n v="0"/>
    <n v="0"/>
    <n v="0"/>
    <n v="0"/>
    <n v="0"/>
    <n v="0"/>
    <s v=""/>
    <n v="0"/>
    <s v=""/>
    <n v="0"/>
    <s v=""/>
    <x v="0"/>
    <n v="0"/>
    <n v="0"/>
    <s v="No change"/>
    <n v="3.0407746470616726E-2"/>
    <n v="4.0299906228893123E-2"/>
    <n v="0"/>
    <n v="0"/>
    <n v="0"/>
    <n v="0"/>
    <n v="0"/>
  </r>
  <r>
    <x v="32"/>
    <x v="32"/>
    <n v="170075941.5"/>
    <x v="10"/>
    <n v="0"/>
    <n v="174726123.50000006"/>
    <n v="0"/>
    <m/>
    <n v="0"/>
    <m/>
    <n v="0"/>
    <m/>
    <n v="0"/>
    <m/>
    <n v="0"/>
    <n v="198387623.50000006"/>
    <n v="6165"/>
    <n v="6165"/>
    <m/>
    <n v="7"/>
    <m/>
    <n v="0"/>
    <m/>
    <n v="48589"/>
    <n v="218541211.50000003"/>
    <n v="280"/>
    <n v="0"/>
    <n v="0"/>
    <n v="6165"/>
    <n v="48589"/>
    <n v="0"/>
    <s v=""/>
    <n v="6165"/>
    <n v="2018"/>
    <n v="280"/>
    <n v="2022"/>
    <x v="1"/>
    <n v="321.80362040971625"/>
    <n v="6165"/>
    <s v="Decreasing"/>
    <n v="3.0407746470616726E-2"/>
    <n v="4.0299906228893123E-2"/>
    <n v="0"/>
    <n v="0"/>
    <n v="0"/>
    <n v="0.3107552724930947"/>
    <n v="0.28209782300030856"/>
  </r>
  <r>
    <x v="32"/>
    <x v="32"/>
    <n v="170075942.5"/>
    <x v="11"/>
    <n v="0"/>
    <n v="174726123.50000006"/>
    <n v="0"/>
    <m/>
    <n v="0"/>
    <m/>
    <n v="0"/>
    <m/>
    <n v="0"/>
    <m/>
    <n v="0"/>
    <n v="198387623.50000006"/>
    <n v="26677"/>
    <n v="26677"/>
    <m/>
    <n v="26677"/>
    <m/>
    <n v="0"/>
    <m/>
    <n v="37181"/>
    <n v="218541211.50000003"/>
    <n v="36833"/>
    <n v="0"/>
    <n v="0"/>
    <n v="26677"/>
    <n v="37181"/>
    <n v="0"/>
    <s v=""/>
    <n v="26677"/>
    <n v="2018"/>
    <n v="36833"/>
    <n v="2022"/>
    <x v="0"/>
    <n v="36833"/>
    <n v="36833"/>
    <s v="Increasing"/>
    <n v="3.0407746470616726E-2"/>
    <n v="4.0299906228893123E-2"/>
    <n v="0"/>
    <n v="0"/>
    <n v="0"/>
    <n v="1.3446907387345155"/>
    <n v="1.6854029382920299"/>
  </r>
  <r>
    <x v="32"/>
    <x v="32"/>
    <n v="170075943.5"/>
    <x v="12"/>
    <n v="0"/>
    <n v="174726123.50000006"/>
    <n v="0"/>
    <m/>
    <n v="0"/>
    <m/>
    <n v="0"/>
    <m/>
    <n v="0"/>
    <m/>
    <n v="0"/>
    <n v="198387623.50000006"/>
    <n v="0"/>
    <n v="0"/>
    <m/>
    <n v="0"/>
    <m/>
    <n v="0"/>
    <m/>
    <n v="0"/>
    <n v="218541211.50000003"/>
    <n v="0"/>
    <n v="0"/>
    <n v="0"/>
    <n v="0"/>
    <n v="0"/>
    <n v="0"/>
    <s v=""/>
    <n v="0"/>
    <s v=""/>
    <n v="0"/>
    <s v=""/>
    <x v="0"/>
    <n v="0"/>
    <n v="0"/>
    <s v="No change"/>
    <n v="3.0407746470616726E-2"/>
    <n v="4.0299906228893123E-2"/>
    <n v="0"/>
    <n v="0"/>
    <n v="0"/>
    <n v="0"/>
    <n v="0"/>
  </r>
  <r>
    <x v="32"/>
    <x v="32"/>
    <n v="170075944.5"/>
    <x v="13"/>
    <n v="0"/>
    <n v="174726123.50000006"/>
    <n v="0"/>
    <m/>
    <n v="0"/>
    <m/>
    <n v="0"/>
    <m/>
    <n v="0"/>
    <m/>
    <n v="0"/>
    <n v="198387623.50000006"/>
    <n v="2578"/>
    <n v="2648"/>
    <m/>
    <n v="369"/>
    <m/>
    <n v="0"/>
    <m/>
    <n v="0"/>
    <n v="218541211.50000003"/>
    <n v="4262"/>
    <n v="2648"/>
    <n v="0"/>
    <n v="2578"/>
    <n v="4262"/>
    <n v="0"/>
    <s v=""/>
    <n v="2648"/>
    <s v="2018 (triag)"/>
    <n v="4262"/>
    <n v="2022"/>
    <x v="0"/>
    <n v="4262"/>
    <n v="4262"/>
    <s v="Increasing"/>
    <n v="3.0407746470616726E-2"/>
    <n v="4.0299906228893123E-2"/>
    <n v="2274.5128684608521"/>
    <n v="2988.2990823659716"/>
    <n v="0"/>
    <n v="0.13347606837984019"/>
    <n v="0.19502042524368451"/>
  </r>
  <r>
    <x v="32"/>
    <x v="32"/>
    <n v="170075945.5"/>
    <x v="14"/>
    <n v="0"/>
    <n v="174726123.50000006"/>
    <n v="0"/>
    <m/>
    <n v="0"/>
    <m/>
    <n v="0"/>
    <m/>
    <n v="0"/>
    <m/>
    <n v="0"/>
    <n v="198387623.50000006"/>
    <n v="0"/>
    <n v="34393"/>
    <m/>
    <n v="27247"/>
    <m/>
    <n v="0"/>
    <m/>
    <n v="0"/>
    <n v="218541211.50000003"/>
    <n v="0"/>
    <n v="34393"/>
    <n v="0"/>
    <n v="27247"/>
    <n v="0"/>
    <n v="0"/>
    <s v=""/>
    <n v="34393"/>
    <s v="2018 (triag)"/>
    <n v="27247"/>
    <s v="2018 (triag)"/>
    <x v="1"/>
    <n v="31314.940161798353"/>
    <n v="34393"/>
    <s v="Decreasing"/>
    <n v="3.0407746470616726E-2"/>
    <n v="4.0299906228893123E-2"/>
    <n v="29542.039684657884"/>
    <n v="38812.904206877967"/>
    <n v="0"/>
    <n v="1.7336262914606662"/>
    <n v="1.5737535160502207"/>
  </r>
  <r>
    <x v="32"/>
    <x v="32"/>
    <n v="170075946.5"/>
    <x v="15"/>
    <n v="0"/>
    <n v="174726123.50000006"/>
    <n v="0"/>
    <m/>
    <n v="0"/>
    <m/>
    <n v="0"/>
    <m/>
    <n v="0"/>
    <m/>
    <n v="0"/>
    <n v="198387623.50000006"/>
    <n v="4626"/>
    <n v="5371"/>
    <m/>
    <n v="4429"/>
    <m/>
    <n v="0"/>
    <m/>
    <n v="5485"/>
    <n v="218541211.50000003"/>
    <n v="5632"/>
    <n v="5371"/>
    <n v="0"/>
    <n v="4626"/>
    <n v="5632"/>
    <n v="0"/>
    <s v=""/>
    <n v="5371"/>
    <s v="2018 (triag)"/>
    <n v="5632"/>
    <n v="2022"/>
    <x v="0"/>
    <n v="5632"/>
    <n v="5632"/>
    <s v="Increasing"/>
    <n v="3.0407746470616726E-2"/>
    <n v="4.0299906228893123E-2"/>
    <n v="4613.4473627278085"/>
    <n v="6061.2365450859643"/>
    <n v="0"/>
    <n v="0.27073261452723629"/>
    <n v="0.25770883035486419"/>
  </r>
  <r>
    <x v="32"/>
    <x v="32"/>
    <n v="170075947.5"/>
    <x v="16"/>
    <n v="0"/>
    <n v="174726123.50000006"/>
    <n v="0"/>
    <m/>
    <n v="0"/>
    <m/>
    <n v="0"/>
    <m/>
    <n v="0"/>
    <m/>
    <n v="0"/>
    <n v="198387623.50000006"/>
    <n v="0"/>
    <n v="0"/>
    <m/>
    <n v="0"/>
    <m/>
    <n v="0"/>
    <m/>
    <n v="0"/>
    <n v="218541211.50000003"/>
    <n v="0"/>
    <n v="0"/>
    <n v="0"/>
    <n v="0"/>
    <n v="0"/>
    <n v="0"/>
    <s v=""/>
    <n v="0"/>
    <s v=""/>
    <n v="0"/>
    <s v=""/>
    <x v="0"/>
    <n v="0"/>
    <n v="0"/>
    <s v="No change"/>
    <n v="3.0407746470616726E-2"/>
    <n v="4.0299906228893123E-2"/>
    <n v="0"/>
    <n v="0"/>
    <n v="0"/>
    <n v="0"/>
    <n v="0"/>
  </r>
  <r>
    <x v="32"/>
    <x v="32"/>
    <n v="170075948.5"/>
    <x v="17"/>
    <n v="0"/>
    <n v="174726123.50000006"/>
    <n v="0"/>
    <m/>
    <n v="0"/>
    <m/>
    <n v="0"/>
    <m/>
    <n v="0"/>
    <m/>
    <n v="0"/>
    <n v="198387623.50000006"/>
    <n v="0"/>
    <n v="3919"/>
    <m/>
    <n v="0"/>
    <m/>
    <n v="0"/>
    <m/>
    <n v="0"/>
    <n v="218541211.50000003"/>
    <n v="0"/>
    <n v="3919"/>
    <n v="0"/>
    <n v="0"/>
    <n v="0"/>
    <n v="0"/>
    <s v=""/>
    <n v="3919"/>
    <s v="2018 (triag)"/>
    <n v="3919"/>
    <s v="2018 (triag)"/>
    <x v="0"/>
    <n v="3919"/>
    <n v="3919"/>
    <s v="No change"/>
    <n v="3.0407746470616726E-2"/>
    <n v="4.0299906228893123E-2"/>
    <n v="3366.2446871216307"/>
    <n v="4422.6375014321156"/>
    <n v="0"/>
    <n v="0.19754256494735412"/>
    <n v="0.17932544498592201"/>
  </r>
  <r>
    <x v="32"/>
    <x v="32"/>
    <n v="170075949.5"/>
    <x v="18"/>
    <n v="0"/>
    <n v="174726123.50000006"/>
    <n v="0"/>
    <m/>
    <n v="0"/>
    <m/>
    <n v="0"/>
    <m/>
    <n v="0"/>
    <m/>
    <n v="0"/>
    <n v="198387623.50000006"/>
    <n v="29246"/>
    <n v="311269"/>
    <m/>
    <n v="29803"/>
    <m/>
    <n v="0"/>
    <m/>
    <n v="34554"/>
    <n v="218541211.50000003"/>
    <n v="38712"/>
    <n v="311269"/>
    <n v="0"/>
    <n v="29803"/>
    <n v="38712"/>
    <n v="0"/>
    <s v=""/>
    <n v="311269"/>
    <s v="2018 (triag)"/>
    <n v="38712"/>
    <n v="2022"/>
    <x v="1"/>
    <n v="44491.649118931913"/>
    <n v="311269"/>
    <s v="Decreasing"/>
    <n v="3.0407746470616726E-2"/>
    <n v="4.0299906228893123E-2"/>
    <n v="267366.06724053662"/>
    <n v="351270.72019221057"/>
    <n v="0"/>
    <n v="15.689940456391419"/>
    <n v="14.243034431059698"/>
  </r>
  <r>
    <x v="32"/>
    <x v="32"/>
    <n v="170075950.5"/>
    <x v="19"/>
    <n v="0"/>
    <n v="174726123.50000006"/>
    <n v="0"/>
    <m/>
    <n v="0"/>
    <m/>
    <n v="0"/>
    <m/>
    <n v="0"/>
    <m/>
    <n v="0"/>
    <n v="198387623.50000006"/>
    <n v="0"/>
    <n v="30"/>
    <m/>
    <n v="0"/>
    <m/>
    <n v="0"/>
    <m/>
    <n v="0"/>
    <n v="218541211.50000003"/>
    <n v="0"/>
    <n v="30"/>
    <n v="0"/>
    <n v="0"/>
    <n v="0"/>
    <n v="0"/>
    <s v=""/>
    <n v="30"/>
    <s v="2018 (triag)"/>
    <n v="30"/>
    <s v="2018 (triag)"/>
    <x v="0"/>
    <n v="30"/>
    <n v="30"/>
    <s v="No change"/>
    <n v="3.0407746470616726E-2"/>
    <n v="4.0299906228893123E-2"/>
    <n v="25.768650322441676"/>
    <n v="33.855352141608442"/>
    <n v="0"/>
    <n v="1.5121911070223588E-3"/>
    <n v="1.3727387980550293E-3"/>
  </r>
  <r>
    <x v="32"/>
    <x v="32"/>
    <n v="170075951.5"/>
    <x v="20"/>
    <n v="0"/>
    <n v="174726123.50000006"/>
    <n v="0"/>
    <m/>
    <n v="0"/>
    <m/>
    <n v="0"/>
    <m/>
    <n v="0"/>
    <m/>
    <n v="0"/>
    <n v="198387623.50000006"/>
    <n v="5153"/>
    <n v="15823"/>
    <m/>
    <n v="5089"/>
    <m/>
    <n v="0"/>
    <m/>
    <n v="0"/>
    <n v="218541211.50000003"/>
    <n v="6479"/>
    <n v="15823"/>
    <n v="0"/>
    <n v="5153"/>
    <n v="6479"/>
    <n v="0"/>
    <s v=""/>
    <n v="15823"/>
    <s v="2018 (triag)"/>
    <n v="6479"/>
    <n v="2022"/>
    <x v="1"/>
    <n v="7446.3059165519699"/>
    <n v="15823"/>
    <s v="Decreasing"/>
    <n v="3.0407746470616726E-2"/>
    <n v="4.0299906228893123E-2"/>
    <n v="13591.245135066489"/>
    <n v="17856.441231222347"/>
    <n v="0"/>
    <n v="0.79757999621382603"/>
    <n v="0.72402820005415769"/>
  </r>
  <r>
    <x v="32"/>
    <x v="32"/>
    <n v="170075952.5"/>
    <x v="21"/>
    <n v="0"/>
    <n v="174726123.50000006"/>
    <n v="68565"/>
    <m/>
    <n v="0"/>
    <m/>
    <n v="0"/>
    <m/>
    <n v="0"/>
    <m/>
    <n v="0"/>
    <n v="198387623.50000006"/>
    <n v="0"/>
    <n v="0"/>
    <m/>
    <n v="0"/>
    <m/>
    <n v="0"/>
    <m/>
    <n v="0"/>
    <n v="218541211.50000003"/>
    <n v="0"/>
    <n v="0"/>
    <n v="68565"/>
    <n v="0"/>
    <n v="0"/>
    <n v="68565"/>
    <n v="2013"/>
    <n v="0"/>
    <s v=""/>
    <n v="0"/>
    <s v=""/>
    <x v="0"/>
    <n v="0"/>
    <n v="0"/>
    <s v="No change"/>
    <n v="3.0407746470616726E-2"/>
    <n v="4.0299906228893123E-2"/>
    <n v="0"/>
    <n v="0"/>
    <n v="3.9241413147931468"/>
    <n v="0"/>
    <n v="0"/>
  </r>
  <r>
    <x v="32"/>
    <x v="32"/>
    <n v="170075953.5"/>
    <x v="22"/>
    <n v="0"/>
    <n v="174726123.50000006"/>
    <n v="0"/>
    <m/>
    <n v="0"/>
    <m/>
    <n v="0"/>
    <m/>
    <n v="0"/>
    <m/>
    <n v="0"/>
    <n v="198387623.50000006"/>
    <n v="56"/>
    <n v="56"/>
    <m/>
    <n v="79"/>
    <m/>
    <n v="0"/>
    <m/>
    <n v="0"/>
    <n v="218541211.50000003"/>
    <n v="168"/>
    <n v="0"/>
    <n v="0"/>
    <n v="79"/>
    <n v="168"/>
    <n v="0"/>
    <s v=""/>
    <n v="56"/>
    <n v="2018"/>
    <n v="168"/>
    <n v="2022"/>
    <x v="0"/>
    <n v="168"/>
    <n v="168"/>
    <s v="Increasing"/>
    <n v="3.0407746470616726E-2"/>
    <n v="4.0299906228893123E-2"/>
    <n v="0"/>
    <n v="0"/>
    <n v="0"/>
    <n v="2.822756733108403E-3"/>
    <n v="7.6873372691081644E-3"/>
  </r>
  <r>
    <x v="32"/>
    <x v="32"/>
    <n v="170075954.5"/>
    <x v="23"/>
    <n v="0"/>
    <n v="174726123.50000006"/>
    <n v="262512"/>
    <m/>
    <n v="0"/>
    <m/>
    <n v="0"/>
    <m/>
    <n v="0"/>
    <m/>
    <n v="0"/>
    <n v="198387623.50000006"/>
    <n v="0"/>
    <n v="0"/>
    <m/>
    <n v="32"/>
    <m/>
    <n v="0"/>
    <m/>
    <n v="0"/>
    <n v="218541211.50000003"/>
    <n v="0"/>
    <n v="0"/>
    <n v="262512"/>
    <n v="32"/>
    <n v="0"/>
    <n v="262512"/>
    <n v="2013"/>
    <n v="32"/>
    <n v="2019"/>
    <n v="32"/>
    <n v="2019"/>
    <x v="0"/>
    <n v="32"/>
    <n v="32"/>
    <s v="No change"/>
    <n v="3.0407746470616726E-2"/>
    <n v="4.0299906228893123E-2"/>
    <n v="0"/>
    <n v="0"/>
    <n v="15.024198714052046"/>
    <n v="1.6130038474905159E-3"/>
    <n v="1.4642547179253647E-3"/>
  </r>
  <r>
    <x v="33"/>
    <x v="33"/>
    <n v="10840333.999999994"/>
    <x v="0"/>
    <n v="0"/>
    <n v="11101349.499999996"/>
    <n v="2208"/>
    <n v="11368451.500000004"/>
    <n v="2098"/>
    <n v="11642959"/>
    <n v="2568"/>
    <n v="11930899.500000007"/>
    <n v="2918"/>
    <n v="12230339"/>
    <n v="3830"/>
    <n v="12531807.499999998"/>
    <n v="3296"/>
    <n v="3296"/>
    <n v="12835028"/>
    <n v="2984"/>
    <n v="13146361.500000002"/>
    <n v="0"/>
    <n v="13461887.499999998"/>
    <n v="0"/>
    <n v="13776697.499999994"/>
    <n v="0"/>
    <n v="1350"/>
    <n v="2568"/>
    <n v="3830"/>
    <n v="0"/>
    <n v="2208"/>
    <n v="2013"/>
    <n v="3296"/>
    <n v="2018"/>
    <n v="2984"/>
    <n v="2018"/>
    <x v="1"/>
    <n v="3084.8161877458497"/>
    <n v="3296"/>
    <s v="Decreasing"/>
    <n v="-1.4357349923836749E-2"/>
    <n v="0.17354491154631502"/>
    <n v="1450.4753670787004"/>
    <n v="2272.1791002542254"/>
    <n v="1.9889473797757657"/>
    <n v="2.6301074286370905"/>
    <n v="2.3924456496195852"/>
  </r>
  <r>
    <x v="33"/>
    <x v="33"/>
    <n v="10840335"/>
    <x v="1"/>
    <n v="0"/>
    <n v="11101349.499999996"/>
    <n v="0"/>
    <m/>
    <n v="19250"/>
    <m/>
    <n v="20734"/>
    <m/>
    <n v="22562"/>
    <m/>
    <n v="1290"/>
    <n v="12531807.499999998"/>
    <n v="26690"/>
    <n v="26690"/>
    <m/>
    <n v="20818"/>
    <m/>
    <n v="0"/>
    <m/>
    <n v="0"/>
    <n v="13776697.499999994"/>
    <n v="0"/>
    <n v="9551"/>
    <n v="20734"/>
    <n v="26690"/>
    <n v="0"/>
    <n v="19250"/>
    <n v="2014"/>
    <n v="26690"/>
    <n v="2018"/>
    <n v="20818"/>
    <n v="2018"/>
    <x v="1"/>
    <n v="21521.348323221548"/>
    <n v="26690"/>
    <s v="Decreasing"/>
    <n v="-1.4357349923836749E-2"/>
    <n v="0.17354491154631502"/>
    <n v="10261.844615532345"/>
    <n v="16075.246360391191"/>
    <n v="17.34023417603419"/>
    <n v="21.297805603860422"/>
    <n v="19.373293200347913"/>
  </r>
  <r>
    <x v="33"/>
    <x v="33"/>
    <n v="10840336"/>
    <x v="2"/>
    <n v="0"/>
    <n v="11101349.499999996"/>
    <n v="1244"/>
    <m/>
    <n v="1384"/>
    <m/>
    <n v="1736"/>
    <m/>
    <n v="2140"/>
    <m/>
    <n v="4288"/>
    <n v="12531807.499999998"/>
    <n v="2942"/>
    <n v="2942"/>
    <m/>
    <n v="3122"/>
    <m/>
    <n v="0"/>
    <m/>
    <n v="0"/>
    <n v="13776697.499999994"/>
    <n v="0"/>
    <n v="1207"/>
    <n v="1736"/>
    <n v="4288"/>
    <n v="0"/>
    <n v="1244"/>
    <n v="2013"/>
    <n v="2942"/>
    <n v="2018"/>
    <n v="3122"/>
    <n v="2018"/>
    <x v="0"/>
    <n v="3122"/>
    <n v="3122"/>
    <s v="Increasing"/>
    <n v="-1.4357349923836749E-2"/>
    <n v="0.17354491154631502"/>
    <n v="1296.8324207881417"/>
    <n v="2031.4964251902595"/>
    <n v="1.1205844838954042"/>
    <n v="2.3476262302943933"/>
    <n v="2.2661454241845704"/>
  </r>
  <r>
    <x v="33"/>
    <x v="33"/>
    <n v="10840337"/>
    <x v="3"/>
    <n v="0"/>
    <n v="11101349.499999996"/>
    <n v="0"/>
    <m/>
    <n v="0"/>
    <m/>
    <n v="0"/>
    <m/>
    <n v="0"/>
    <m/>
    <n v="0"/>
    <n v="12531807.499999998"/>
    <n v="497"/>
    <n v="497"/>
    <m/>
    <n v="194"/>
    <m/>
    <n v="0"/>
    <m/>
    <n v="114"/>
    <n v="13776697.499999994"/>
    <n v="143"/>
    <n v="167"/>
    <n v="0"/>
    <n v="497"/>
    <n v="143"/>
    <n v="0"/>
    <s v=""/>
    <n v="497"/>
    <n v="2018"/>
    <n v="143"/>
    <n v="2022"/>
    <x v="1"/>
    <n v="147.83133875591705"/>
    <n v="898"/>
    <s v="Decreasing"/>
    <n v="-1.4357349923836749E-2"/>
    <n v="0.17354491154631502"/>
    <n v="179.42917503862441"/>
    <n v="281.0769701795968"/>
    <n v="0"/>
    <n v="0.39659083496135739"/>
    <n v="0.65182530138300587"/>
  </r>
  <r>
    <x v="33"/>
    <x v="33"/>
    <n v="10840338"/>
    <x v="4"/>
    <n v="0"/>
    <n v="11101349.499999996"/>
    <n v="0"/>
    <m/>
    <n v="0"/>
    <m/>
    <n v="0"/>
    <m/>
    <n v="0"/>
    <m/>
    <n v="0"/>
    <n v="12531807.499999998"/>
    <n v="380"/>
    <n v="380"/>
    <m/>
    <n v="234"/>
    <m/>
    <n v="0"/>
    <m/>
    <n v="127"/>
    <n v="13776697.499999994"/>
    <n v="0"/>
    <n v="228"/>
    <n v="0"/>
    <n v="380"/>
    <n v="127"/>
    <n v="0"/>
    <s v=""/>
    <n v="380"/>
    <n v="2018"/>
    <n v="127"/>
    <n v="2021"/>
    <x v="1"/>
    <n v="131.29076938462563"/>
    <n v="380"/>
    <s v="Decreasing"/>
    <n v="-1.4357349923836749E-2"/>
    <n v="0.17354491154631502"/>
    <n v="244.96917310662494"/>
    <n v="383.74580359849142"/>
    <n v="0"/>
    <n v="0.30322840500063541"/>
    <n v="0.27582807853623859"/>
  </r>
  <r>
    <x v="33"/>
    <x v="33"/>
    <n v="10840339"/>
    <x v="5"/>
    <n v="0"/>
    <n v="11101349.499999996"/>
    <n v="0"/>
    <m/>
    <n v="0"/>
    <m/>
    <n v="0"/>
    <m/>
    <n v="0"/>
    <m/>
    <n v="0"/>
    <n v="12531807.499999998"/>
    <n v="45000"/>
    <n v="45000"/>
    <m/>
    <n v="0"/>
    <m/>
    <n v="58567"/>
    <m/>
    <n v="0"/>
    <n v="13776697.499999994"/>
    <n v="0"/>
    <n v="45000"/>
    <n v="0"/>
    <n v="45000"/>
    <n v="58567"/>
    <n v="0"/>
    <s v=""/>
    <n v="45000"/>
    <n v="2018"/>
    <n v="58567"/>
    <n v="2020"/>
    <x v="0"/>
    <n v="58567"/>
    <n v="58567"/>
    <s v="Increasing"/>
    <n v="-1.4357349923836749E-2"/>
    <n v="0.17354491154631502"/>
    <n v="48349.178902623345"/>
    <n v="75739.303341807521"/>
    <n v="0"/>
    <n v="35.908626907969982"/>
    <n v="42.511639672715482"/>
  </r>
  <r>
    <x v="33"/>
    <x v="33"/>
    <n v="10840340"/>
    <x v="6"/>
    <n v="0"/>
    <n v="11101349.499999996"/>
    <n v="0"/>
    <m/>
    <n v="0"/>
    <m/>
    <n v="0"/>
    <m/>
    <n v="0"/>
    <m/>
    <n v="0"/>
    <n v="12531807.499999998"/>
    <n v="0"/>
    <n v="0"/>
    <m/>
    <n v="0"/>
    <m/>
    <n v="0"/>
    <m/>
    <n v="207"/>
    <n v="13776697.499999994"/>
    <n v="0"/>
    <n v="0"/>
    <n v="0"/>
    <n v="0"/>
    <n v="207"/>
    <n v="0"/>
    <s v=""/>
    <n v="0"/>
    <s v=""/>
    <n v="207"/>
    <n v="2021"/>
    <x v="0"/>
    <n v="207"/>
    <n v="224"/>
    <s v="Increasing"/>
    <n v="-1.4357349923836749E-2"/>
    <n v="0.17354491154631502"/>
    <n v="0"/>
    <n v="0"/>
    <n v="0"/>
    <n v="0"/>
    <n v="0.16259339366346695"/>
  </r>
  <r>
    <x v="33"/>
    <x v="33"/>
    <n v="10840341"/>
    <x v="7"/>
    <n v="0"/>
    <n v="11101349.499999996"/>
    <n v="0"/>
    <m/>
    <n v="0"/>
    <m/>
    <n v="0"/>
    <m/>
    <n v="0"/>
    <m/>
    <n v="0"/>
    <n v="12531807.499999998"/>
    <n v="0"/>
    <n v="0"/>
    <m/>
    <n v="0"/>
    <m/>
    <n v="0"/>
    <m/>
    <n v="226"/>
    <n v="13776697.499999994"/>
    <n v="0"/>
    <n v="0"/>
    <n v="0"/>
    <n v="0"/>
    <n v="226"/>
    <n v="0"/>
    <s v=""/>
    <n v="0"/>
    <s v=""/>
    <n v="226"/>
    <n v="2021"/>
    <x v="0"/>
    <n v="226"/>
    <n v="226"/>
    <s v="Increasing"/>
    <n v="-1.4357349923836749E-2"/>
    <n v="0.17354491154631502"/>
    <n v="0"/>
    <n v="0"/>
    <n v="0"/>
    <n v="0"/>
    <n v="0.16404512039260505"/>
  </r>
  <r>
    <x v="33"/>
    <x v="33"/>
    <n v="10840342"/>
    <x v="8"/>
    <n v="0"/>
    <n v="11101349.499999996"/>
    <n v="0"/>
    <m/>
    <n v="0"/>
    <m/>
    <n v="0"/>
    <m/>
    <n v="0"/>
    <m/>
    <n v="0"/>
    <n v="12531807.499999998"/>
    <n v="0"/>
    <n v="0"/>
    <m/>
    <n v="0"/>
    <m/>
    <n v="0"/>
    <m/>
    <n v="0"/>
    <n v="13776697.499999994"/>
    <n v="0"/>
    <n v="0"/>
    <n v="0"/>
    <n v="0"/>
    <n v="0"/>
    <n v="0"/>
    <s v=""/>
    <n v="0"/>
    <s v=""/>
    <n v="0"/>
    <s v=""/>
    <x v="0"/>
    <n v="0"/>
    <n v="0"/>
    <s v="No change"/>
    <n v="-1.4357349923836749E-2"/>
    <n v="0.17354491154631502"/>
    <n v="0"/>
    <n v="0"/>
    <n v="0"/>
    <n v="0"/>
    <n v="0"/>
  </r>
  <r>
    <x v="33"/>
    <x v="33"/>
    <n v="10840343"/>
    <x v="9"/>
    <n v="0"/>
    <n v="11101349.499999996"/>
    <n v="0"/>
    <m/>
    <n v="0"/>
    <m/>
    <n v="0"/>
    <m/>
    <n v="0"/>
    <m/>
    <n v="0"/>
    <n v="12531807.499999998"/>
    <n v="0"/>
    <n v="0"/>
    <m/>
    <n v="0"/>
    <m/>
    <n v="0"/>
    <m/>
    <n v="0"/>
    <n v="13776697.499999994"/>
    <n v="0"/>
    <n v="0"/>
    <n v="0"/>
    <n v="0"/>
    <n v="0"/>
    <n v="0"/>
    <s v=""/>
    <n v="0"/>
    <s v=""/>
    <n v="0"/>
    <s v=""/>
    <x v="0"/>
    <n v="0"/>
    <n v="0"/>
    <s v="No change"/>
    <n v="-1.4357349923836749E-2"/>
    <n v="0.17354491154631502"/>
    <n v="0"/>
    <n v="0"/>
    <n v="0"/>
    <n v="0"/>
    <n v="0"/>
  </r>
  <r>
    <x v="33"/>
    <x v="33"/>
    <n v="10840344"/>
    <x v="10"/>
    <n v="0"/>
    <n v="11101349.499999996"/>
    <n v="0"/>
    <m/>
    <n v="0"/>
    <m/>
    <n v="23"/>
    <m/>
    <n v="0"/>
    <m/>
    <n v="0"/>
    <n v="12531807.499999998"/>
    <n v="0"/>
    <n v="0"/>
    <m/>
    <n v="0"/>
    <m/>
    <n v="0"/>
    <m/>
    <n v="0"/>
    <n v="13776697.499999994"/>
    <n v="0"/>
    <n v="0"/>
    <n v="23"/>
    <n v="0"/>
    <n v="0"/>
    <n v="23"/>
    <n v="2015"/>
    <n v="0"/>
    <s v=""/>
    <n v="0"/>
    <s v=""/>
    <x v="0"/>
    <n v="0"/>
    <n v="0"/>
    <s v="No change"/>
    <n v="-1.4357349923836749E-2"/>
    <n v="0.17354491154631502"/>
    <n v="0"/>
    <n v="0"/>
    <n v="2.0718201872664228E-2"/>
    <n v="0"/>
    <n v="0"/>
  </r>
  <r>
    <x v="33"/>
    <x v="33"/>
    <n v="10840345"/>
    <x v="11"/>
    <n v="0"/>
    <n v="11101349.499999996"/>
    <n v="0"/>
    <m/>
    <n v="0"/>
    <m/>
    <n v="0"/>
    <m/>
    <n v="0"/>
    <m/>
    <n v="0"/>
    <n v="12531807.499999998"/>
    <n v="1990"/>
    <n v="1990"/>
    <m/>
    <n v="0"/>
    <m/>
    <n v="0"/>
    <m/>
    <n v="0"/>
    <n v="13776697.499999994"/>
    <n v="0"/>
    <n v="321"/>
    <n v="0"/>
    <n v="1990"/>
    <n v="0"/>
    <n v="0"/>
    <s v=""/>
    <n v="1990"/>
    <n v="2018"/>
    <n v="1990"/>
    <n v="2018"/>
    <x v="0"/>
    <n v="1990"/>
    <n v="1990"/>
    <s v="No change"/>
    <n v="-1.4357349923836749E-2"/>
    <n v="0.17354491154631502"/>
    <n v="344.89080950537988"/>
    <n v="540.27369717156034"/>
    <n v="0"/>
    <n v="1.587959278819117"/>
    <n v="1.4444680954924072"/>
  </r>
  <r>
    <x v="33"/>
    <x v="33"/>
    <n v="10840346"/>
    <x v="12"/>
    <n v="0"/>
    <n v="11101349.499999996"/>
    <n v="0"/>
    <m/>
    <n v="0"/>
    <m/>
    <n v="0"/>
    <m/>
    <n v="0"/>
    <m/>
    <n v="0"/>
    <n v="12531807.499999998"/>
    <n v="0"/>
    <n v="0"/>
    <m/>
    <n v="0"/>
    <m/>
    <n v="0"/>
    <m/>
    <n v="0"/>
    <n v="13776697.499999994"/>
    <n v="0"/>
    <n v="0"/>
    <n v="0"/>
    <n v="0"/>
    <n v="0"/>
    <n v="0"/>
    <s v=""/>
    <n v="0"/>
    <s v=""/>
    <n v="0"/>
    <s v=""/>
    <x v="0"/>
    <n v="0"/>
    <n v="0"/>
    <s v="No change"/>
    <n v="-1.4357349923836749E-2"/>
    <n v="0.17354491154631502"/>
    <n v="0"/>
    <n v="0"/>
    <n v="0"/>
    <n v="0"/>
    <n v="0"/>
  </r>
  <r>
    <x v="33"/>
    <x v="33"/>
    <n v="10840347"/>
    <x v="13"/>
    <n v="0"/>
    <n v="11101349.499999996"/>
    <n v="0"/>
    <m/>
    <n v="0"/>
    <m/>
    <n v="116"/>
    <m/>
    <n v="0"/>
    <m/>
    <n v="0"/>
    <n v="12531807.499999998"/>
    <n v="152"/>
    <n v="152"/>
    <m/>
    <n v="0"/>
    <m/>
    <n v="0"/>
    <m/>
    <n v="0"/>
    <n v="13776697.499999994"/>
    <n v="0"/>
    <n v="0"/>
    <n v="116"/>
    <n v="152"/>
    <n v="0"/>
    <n v="116"/>
    <n v="2015"/>
    <n v="152"/>
    <n v="2018"/>
    <n v="152"/>
    <n v="2018"/>
    <x v="0"/>
    <n v="152"/>
    <n v="152"/>
    <s v="No change"/>
    <n v="-1.4357349923836749E-2"/>
    <n v="0.17354491154631502"/>
    <n v="0"/>
    <n v="0"/>
    <n v="0.10449180074908915"/>
    <n v="0.12129136200025417"/>
    <n v="0.11033123141449543"/>
  </r>
  <r>
    <x v="33"/>
    <x v="33"/>
    <n v="10840348"/>
    <x v="14"/>
    <n v="0"/>
    <n v="11101349.499999996"/>
    <n v="0"/>
    <m/>
    <n v="0"/>
    <m/>
    <n v="0"/>
    <m/>
    <n v="0"/>
    <m/>
    <n v="0"/>
    <n v="12531807.499999998"/>
    <n v="0"/>
    <n v="0"/>
    <m/>
    <n v="0"/>
    <m/>
    <n v="0"/>
    <m/>
    <n v="0"/>
    <n v="13776697.499999994"/>
    <n v="0"/>
    <n v="0"/>
    <n v="0"/>
    <n v="0"/>
    <n v="0"/>
    <n v="0"/>
    <s v=""/>
    <n v="0"/>
    <s v=""/>
    <n v="0"/>
    <s v=""/>
    <x v="0"/>
    <n v="0"/>
    <n v="0"/>
    <s v="No change"/>
    <n v="-1.4357349923836749E-2"/>
    <n v="0.17354491154631502"/>
    <n v="0"/>
    <n v="0"/>
    <n v="0"/>
    <n v="0"/>
    <n v="0"/>
  </r>
  <r>
    <x v="33"/>
    <x v="33"/>
    <n v="10840349"/>
    <x v="15"/>
    <n v="0"/>
    <n v="11101349.499999996"/>
    <n v="0"/>
    <m/>
    <n v="0"/>
    <m/>
    <n v="0"/>
    <m/>
    <n v="0"/>
    <m/>
    <n v="0"/>
    <n v="12531807.499999998"/>
    <n v="13"/>
    <n v="13"/>
    <m/>
    <n v="0"/>
    <m/>
    <n v="0"/>
    <m/>
    <n v="0"/>
    <n v="13776697.499999994"/>
    <n v="0"/>
    <n v="0"/>
    <n v="0"/>
    <n v="13"/>
    <n v="0"/>
    <n v="0"/>
    <s v=""/>
    <n v="13"/>
    <n v="2018"/>
    <n v="13"/>
    <n v="2018"/>
    <x v="0"/>
    <n v="13"/>
    <n v="103"/>
    <s v="No change"/>
    <n v="-1.4357349923836749E-2"/>
    <n v="0.17354491154631502"/>
    <n v="0"/>
    <n v="0"/>
    <n v="0"/>
    <n v="1.0373603328969108E-2"/>
    <n v="7.4763926550612037E-2"/>
  </r>
  <r>
    <x v="33"/>
    <x v="33"/>
    <n v="10840350"/>
    <x v="16"/>
    <n v="0"/>
    <n v="11101349.499999996"/>
    <n v="0"/>
    <m/>
    <n v="0"/>
    <m/>
    <n v="0"/>
    <m/>
    <n v="0"/>
    <m/>
    <n v="0"/>
    <n v="12531807.499999998"/>
    <n v="0"/>
    <n v="0"/>
    <m/>
    <n v="0"/>
    <m/>
    <n v="0"/>
    <m/>
    <n v="0"/>
    <n v="13776697.499999994"/>
    <n v="0"/>
    <n v="0"/>
    <n v="0"/>
    <n v="0"/>
    <n v="0"/>
    <n v="0"/>
    <s v=""/>
    <n v="0"/>
    <s v=""/>
    <n v="0"/>
    <s v=""/>
    <x v="0"/>
    <n v="0"/>
    <n v="0"/>
    <s v="No change"/>
    <n v="-1.4357349923836749E-2"/>
    <n v="0.17354491154631502"/>
    <n v="0"/>
    <n v="0"/>
    <n v="0"/>
    <n v="0"/>
    <n v="0"/>
  </r>
  <r>
    <x v="33"/>
    <x v="33"/>
    <n v="10840351"/>
    <x v="17"/>
    <n v="0"/>
    <n v="11101349.499999996"/>
    <n v="0"/>
    <m/>
    <n v="0"/>
    <m/>
    <n v="0"/>
    <m/>
    <n v="0"/>
    <m/>
    <n v="0"/>
    <n v="12531807.499999998"/>
    <n v="0"/>
    <n v="0"/>
    <m/>
    <n v="0"/>
    <m/>
    <n v="0"/>
    <m/>
    <n v="0"/>
    <n v="13776697.499999994"/>
    <n v="0"/>
    <n v="0"/>
    <n v="0"/>
    <n v="0"/>
    <n v="0"/>
    <n v="0"/>
    <s v=""/>
    <n v="0"/>
    <s v=""/>
    <n v="0"/>
    <s v=""/>
    <x v="0"/>
    <n v="0"/>
    <n v="0"/>
    <s v="No change"/>
    <n v="-1.4357349923836749E-2"/>
    <n v="0.17354491154631502"/>
    <n v="0"/>
    <n v="0"/>
    <n v="0"/>
    <n v="0"/>
    <n v="0"/>
  </r>
  <r>
    <x v="33"/>
    <x v="33"/>
    <n v="10840352"/>
    <x v="18"/>
    <n v="0"/>
    <n v="11101349.499999996"/>
    <n v="0"/>
    <m/>
    <n v="0"/>
    <m/>
    <n v="1545"/>
    <m/>
    <n v="0"/>
    <m/>
    <n v="1990"/>
    <n v="12531807.499999998"/>
    <n v="0"/>
    <n v="1990"/>
    <m/>
    <n v="0"/>
    <m/>
    <n v="0"/>
    <m/>
    <n v="0"/>
    <n v="13776697.499999994"/>
    <n v="0"/>
    <n v="1990"/>
    <n v="1545"/>
    <n v="1990"/>
    <n v="0"/>
    <n v="1545"/>
    <n v="2015"/>
    <n v="1990"/>
    <n v="2017"/>
    <n v="1990"/>
    <n v="2017"/>
    <x v="0"/>
    <n v="1990"/>
    <n v="1990"/>
    <s v="No change"/>
    <n v="-1.4357349923836749E-2"/>
    <n v="0.17354491154631502"/>
    <n v="2138.1081336937877"/>
    <n v="3349.3603033377103"/>
    <n v="1.3917226910115752"/>
    <n v="1.587959278819117"/>
    <n v="1.4444680954924072"/>
  </r>
  <r>
    <x v="33"/>
    <x v="33"/>
    <n v="10840353"/>
    <x v="19"/>
    <n v="0"/>
    <n v="11101349.499999996"/>
    <n v="0"/>
    <m/>
    <n v="0"/>
    <m/>
    <n v="0"/>
    <m/>
    <n v="0"/>
    <m/>
    <n v="0"/>
    <n v="12531807.499999998"/>
    <n v="0"/>
    <n v="0"/>
    <m/>
    <n v="0"/>
    <m/>
    <n v="0"/>
    <m/>
    <n v="0"/>
    <n v="13776697.499999994"/>
    <n v="0"/>
    <n v="0"/>
    <n v="0"/>
    <n v="0"/>
    <n v="0"/>
    <n v="0"/>
    <s v=""/>
    <n v="0"/>
    <s v=""/>
    <n v="0"/>
    <s v=""/>
    <x v="0"/>
    <n v="0"/>
    <n v="0"/>
    <s v="No change"/>
    <n v="-1.4357349923836749E-2"/>
    <n v="0.17354491154631502"/>
    <n v="0"/>
    <n v="0"/>
    <n v="0"/>
    <n v="0"/>
    <n v="0"/>
  </r>
  <r>
    <x v="33"/>
    <x v="33"/>
    <n v="10840354"/>
    <x v="20"/>
    <n v="0"/>
    <n v="11101349.499999996"/>
    <n v="0"/>
    <m/>
    <n v="0"/>
    <m/>
    <n v="125"/>
    <m/>
    <n v="0"/>
    <m/>
    <n v="182"/>
    <n v="12531807.499999998"/>
    <n v="225"/>
    <n v="225"/>
    <m/>
    <n v="0"/>
    <m/>
    <n v="0"/>
    <m/>
    <n v="0"/>
    <n v="13776697.499999994"/>
    <n v="0"/>
    <n v="182"/>
    <n v="125"/>
    <n v="225"/>
    <n v="0"/>
    <n v="125"/>
    <n v="2015"/>
    <n v="225"/>
    <n v="2018"/>
    <n v="225"/>
    <n v="2018"/>
    <x v="0"/>
    <n v="225"/>
    <n v="225"/>
    <s v="No change"/>
    <n v="-1.4357349923836749E-2"/>
    <n v="0.17354491154631502"/>
    <n v="195.54556800616552"/>
    <n v="306.32340462686597"/>
    <n v="0.11259892322100123"/>
    <n v="0.17954313453984994"/>
    <n v="0.16331925702803599"/>
  </r>
  <r>
    <x v="33"/>
    <x v="33"/>
    <n v="10840355"/>
    <x v="21"/>
    <n v="0"/>
    <n v="11101349.499999996"/>
    <n v="0"/>
    <m/>
    <n v="0"/>
    <m/>
    <n v="886"/>
    <m/>
    <n v="0"/>
    <m/>
    <n v="0"/>
    <n v="12531807.499999998"/>
    <n v="0"/>
    <n v="0"/>
    <m/>
    <n v="0"/>
    <m/>
    <n v="0"/>
    <m/>
    <n v="0"/>
    <n v="13776697.499999994"/>
    <n v="0"/>
    <n v="0"/>
    <n v="886"/>
    <n v="0"/>
    <n v="0"/>
    <n v="886"/>
    <n v="2015"/>
    <n v="0"/>
    <s v=""/>
    <n v="0"/>
    <s v=""/>
    <x v="0"/>
    <n v="0"/>
    <n v="0"/>
    <s v="No change"/>
    <n v="-1.4357349923836749E-2"/>
    <n v="0.17354491154631502"/>
    <n v="0"/>
    <n v="0"/>
    <n v="0.7981011677904567"/>
    <n v="0"/>
    <n v="0"/>
  </r>
  <r>
    <x v="33"/>
    <x v="33"/>
    <n v="10840356"/>
    <x v="22"/>
    <n v="0"/>
    <n v="11101349.499999996"/>
    <n v="0"/>
    <m/>
    <n v="0"/>
    <m/>
    <n v="0"/>
    <m/>
    <n v="0"/>
    <m/>
    <n v="0"/>
    <n v="12531807.499999998"/>
    <n v="0"/>
    <n v="0"/>
    <m/>
    <n v="0"/>
    <m/>
    <n v="0"/>
    <m/>
    <n v="0"/>
    <n v="13776697.499999994"/>
    <n v="0"/>
    <n v="0"/>
    <n v="0"/>
    <n v="0"/>
    <n v="0"/>
    <n v="0"/>
    <s v=""/>
    <n v="0"/>
    <s v=""/>
    <n v="0"/>
    <s v=""/>
    <x v="0"/>
    <n v="0"/>
    <n v="3"/>
    <s v="No change"/>
    <n v="-1.4357349923836749E-2"/>
    <n v="0.17354491154631502"/>
    <n v="0"/>
    <n v="0"/>
    <n v="0"/>
    <n v="0"/>
    <n v="2.1775900937071467E-3"/>
  </r>
  <r>
    <x v="33"/>
    <x v="33"/>
    <n v="10840357"/>
    <x v="23"/>
    <n v="0"/>
    <n v="11101349.499999996"/>
    <n v="0"/>
    <m/>
    <n v="0"/>
    <m/>
    <n v="0"/>
    <m/>
    <n v="0"/>
    <m/>
    <n v="0"/>
    <n v="12531807.499999998"/>
    <n v="0"/>
    <n v="0"/>
    <m/>
    <n v="0"/>
    <m/>
    <n v="0"/>
    <m/>
    <n v="0"/>
    <n v="13776697.499999994"/>
    <n v="0"/>
    <n v="0"/>
    <n v="0"/>
    <n v="0"/>
    <n v="0"/>
    <n v="0"/>
    <s v=""/>
    <n v="0"/>
    <s v=""/>
    <n v="0"/>
    <s v=""/>
    <x v="0"/>
    <n v="0"/>
    <n v="0"/>
    <s v="No change"/>
    <n v="-1.4357349923836749E-2"/>
    <n v="0.17354491154631502"/>
    <n v="0"/>
    <n v="0"/>
    <n v="0"/>
    <n v="0"/>
    <n v="0"/>
  </r>
  <r>
    <x v="34"/>
    <x v="34"/>
    <n v="13231833.000000002"/>
    <x v="0"/>
    <n v="0"/>
    <n v="13595565.499999993"/>
    <n v="42"/>
    <n v="13970307.499999993"/>
    <n v="0"/>
    <n v="14356180.500000004"/>
    <n v="72"/>
    <n v="14751356.499999994"/>
    <n v="3195"/>
    <n v="15157793.000000006"/>
    <n v="2132"/>
    <n v="15574908.999999998"/>
    <n v="0"/>
    <n v="2883"/>
    <n v="16000781.500000006"/>
    <n v="5952"/>
    <n v="16436119.999999993"/>
    <n v="3606"/>
    <n v="16876719.999999996"/>
    <n v="4634"/>
    <n v="17316449"/>
    <n v="4876"/>
    <n v="2883"/>
    <n v="72"/>
    <n v="5952"/>
    <n v="4876"/>
    <n v="42"/>
    <n v="2013"/>
    <n v="2883"/>
    <s v="2018 (triag)"/>
    <n v="4876"/>
    <n v="2022"/>
    <x v="0"/>
    <n v="4876"/>
    <n v="4876"/>
    <s v="Increasing"/>
    <n v="2.5918907427795013E-2"/>
    <n v="7.7050082831477074E-2"/>
    <n v="2532.5757846176089"/>
    <n v="3632.7199570348043"/>
    <n v="3.0892425916376941E-2"/>
    <n v="1.8510541538316534"/>
    <n v="2.815819802316283"/>
  </r>
  <r>
    <x v="34"/>
    <x v="34"/>
    <n v="13231834"/>
    <x v="1"/>
    <n v="0"/>
    <n v="13595565.499999993"/>
    <n v="0"/>
    <m/>
    <n v="0"/>
    <m/>
    <n v="3364"/>
    <m/>
    <n v="4980"/>
    <m/>
    <n v="5640"/>
    <n v="15574908.999999998"/>
    <n v="0"/>
    <n v="4577"/>
    <m/>
    <n v="14883"/>
    <m/>
    <n v="7600"/>
    <m/>
    <n v="12954"/>
    <n v="17316449"/>
    <n v="9474"/>
    <n v="4577"/>
    <n v="3364"/>
    <n v="14883"/>
    <n v="12954"/>
    <n v="3364"/>
    <n v="2015"/>
    <n v="4577"/>
    <s v="2018 (triag)"/>
    <n v="9474"/>
    <n v="2022"/>
    <x v="0"/>
    <n v="9474"/>
    <n v="9474"/>
    <s v="Increasing"/>
    <n v="2.5918907427795013E-2"/>
    <n v="7.7050082831477074E-2"/>
    <n v="4020.6726903207755"/>
    <n v="5767.2421933223377"/>
    <n v="2.4743362091117151"/>
    <n v="2.9387009580601728"/>
    <n v="5.4710986068795053"/>
  </r>
  <r>
    <x v="34"/>
    <x v="34"/>
    <n v="13231835"/>
    <x v="2"/>
    <n v="0"/>
    <n v="13595565.499999993"/>
    <n v="7892"/>
    <m/>
    <n v="0"/>
    <m/>
    <n v="2232"/>
    <m/>
    <n v="4004"/>
    <m/>
    <n v="4004"/>
    <n v="15574908.999999998"/>
    <n v="0"/>
    <n v="3015"/>
    <m/>
    <n v="5312"/>
    <m/>
    <n v="4122"/>
    <m/>
    <n v="5478"/>
    <n v="17316449"/>
    <n v="5606"/>
    <n v="3015"/>
    <n v="7892"/>
    <n v="5312"/>
    <n v="5606"/>
    <n v="7892"/>
    <n v="2013"/>
    <n v="3015"/>
    <s v="2018 (triag)"/>
    <n v="5606"/>
    <n v="2022"/>
    <x v="0"/>
    <n v="5606"/>
    <n v="5606"/>
    <s v="Increasing"/>
    <n v="2.5918907427795013E-2"/>
    <n v="7.7050082831477074E-2"/>
    <n v="2648.5313876594141"/>
    <n v="3799.0463650572096"/>
    <n v="5.8048339364773049"/>
    <n v="1.9358058528624471"/>
    <n v="3.237384292818926"/>
  </r>
  <r>
    <x v="34"/>
    <x v="34"/>
    <n v="13231836"/>
    <x v="3"/>
    <n v="0"/>
    <n v="13595565.499999993"/>
    <n v="0"/>
    <m/>
    <n v="34261"/>
    <m/>
    <n v="0"/>
    <m/>
    <n v="0"/>
    <m/>
    <n v="50"/>
    <n v="15574908.999999998"/>
    <n v="45"/>
    <n v="215"/>
    <m/>
    <n v="0"/>
    <m/>
    <n v="584"/>
    <m/>
    <n v="0"/>
    <n v="17316449"/>
    <n v="17"/>
    <n v="215"/>
    <n v="34261"/>
    <n v="50"/>
    <n v="584"/>
    <n v="34261"/>
    <n v="2014"/>
    <n v="215"/>
    <s v="2018 (triag)"/>
    <n v="17"/>
    <n v="2022"/>
    <x v="1"/>
    <n v="19.897010602905628"/>
    <n v="215"/>
    <s v="Decreasing"/>
    <n v="2.5918907427795013E-2"/>
    <n v="7.7050082831477074E-2"/>
    <n v="188.8670807120312"/>
    <n v="270.91043730922058"/>
    <n v="25.200128674309294"/>
    <n v="0.13804254008803521"/>
    <n v="0.12415940473707976"/>
  </r>
  <r>
    <x v="34"/>
    <x v="34"/>
    <n v="13231837"/>
    <x v="4"/>
    <n v="0"/>
    <n v="13595565.499999993"/>
    <n v="0"/>
    <m/>
    <n v="10770"/>
    <m/>
    <n v="0"/>
    <m/>
    <n v="0"/>
    <m/>
    <n v="30"/>
    <n v="15574908.999999998"/>
    <n v="276"/>
    <n v="276"/>
    <m/>
    <n v="0"/>
    <m/>
    <n v="327"/>
    <m/>
    <n v="0"/>
    <n v="17316449"/>
    <n v="18"/>
    <n v="236"/>
    <n v="10770"/>
    <n v="276"/>
    <n v="327"/>
    <n v="10770"/>
    <n v="2014"/>
    <n v="276"/>
    <n v="2018"/>
    <n v="18"/>
    <n v="2022"/>
    <x v="1"/>
    <n v="21.06742299131184"/>
    <n v="276"/>
    <s v="Decreasing"/>
    <n v="2.5918907427795013E-2"/>
    <n v="7.7050082831477074E-2"/>
    <n v="207.31456301413655"/>
    <n v="297.37145676733053"/>
    <n v="7.9217006456995156"/>
    <n v="0.17720809797347775"/>
    <n v="0.15938602654620471"/>
  </r>
  <r>
    <x v="34"/>
    <x v="34"/>
    <n v="13231838"/>
    <x v="5"/>
    <n v="0"/>
    <n v="13595565.499999993"/>
    <n v="0"/>
    <m/>
    <n v="0"/>
    <m/>
    <n v="770"/>
    <m/>
    <n v="5"/>
    <m/>
    <n v="5"/>
    <n v="15574908.999999998"/>
    <n v="17417"/>
    <n v="17417"/>
    <m/>
    <n v="1116"/>
    <m/>
    <n v="0"/>
    <m/>
    <n v="16443"/>
    <n v="17316449"/>
    <n v="18757"/>
    <n v="17417"/>
    <n v="770"/>
    <n v="17417"/>
    <n v="18757"/>
    <n v="770"/>
    <n v="2015"/>
    <n v="17417"/>
    <n v="2018"/>
    <n v="18757"/>
    <n v="2022"/>
    <x v="0"/>
    <n v="18757"/>
    <n v="18757"/>
    <s v="Increasing"/>
    <n v="2.5918907427795013E-2"/>
    <n v="7.7050082831477074E-2"/>
    <n v="15299.990440750918"/>
    <n v="21946.265519138116"/>
    <n v="0.56636114180024388"/>
    <n v="11.182729863782834"/>
    <n v="10.831897463504209"/>
  </r>
  <r>
    <x v="34"/>
    <x v="34"/>
    <n v="13231839"/>
    <x v="6"/>
    <n v="0"/>
    <n v="13595565.499999993"/>
    <n v="0"/>
    <m/>
    <n v="0"/>
    <m/>
    <n v="0"/>
    <m/>
    <n v="0"/>
    <m/>
    <n v="0"/>
    <n v="15574908.999999998"/>
    <n v="0"/>
    <n v="4"/>
    <m/>
    <n v="0"/>
    <m/>
    <n v="0"/>
    <m/>
    <n v="0"/>
    <n v="17316449"/>
    <n v="0"/>
    <n v="4"/>
    <n v="0"/>
    <n v="0"/>
    <n v="0"/>
    <n v="0"/>
    <s v=""/>
    <n v="4"/>
    <s v="2018 (triag)"/>
    <n v="4"/>
    <s v="2018 (triag)"/>
    <x v="0"/>
    <n v="4"/>
    <n v="4"/>
    <s v="No change"/>
    <n v="2.5918907427795013E-2"/>
    <n v="7.7050082831477074E-2"/>
    <n v="3.5138061527819757"/>
    <n v="5.0401941824971273"/>
    <n v="0"/>
    <n v="2.5682333039634456E-3"/>
    <n v="2.3099424137131117E-3"/>
  </r>
  <r>
    <x v="34"/>
    <x v="34"/>
    <n v="13231840"/>
    <x v="7"/>
    <n v="0"/>
    <n v="13595565.499999993"/>
    <n v="0"/>
    <m/>
    <n v="3518"/>
    <m/>
    <n v="0"/>
    <m/>
    <n v="0"/>
    <m/>
    <n v="0"/>
    <n v="15574908.999999998"/>
    <n v="1925"/>
    <n v="1925"/>
    <m/>
    <n v="0"/>
    <m/>
    <n v="2494"/>
    <m/>
    <n v="0"/>
    <n v="17316449"/>
    <n v="0"/>
    <n v="573"/>
    <n v="3518"/>
    <n v="1925"/>
    <n v="2494"/>
    <n v="3518"/>
    <n v="2014"/>
    <n v="1925"/>
    <n v="2018"/>
    <n v="2494"/>
    <n v="2020"/>
    <x v="0"/>
    <n v="2494"/>
    <n v="2494"/>
    <s v="Increasing"/>
    <n v="2.5918907427795013E-2"/>
    <n v="7.7050082831477074E-2"/>
    <n v="503.35273138601804"/>
    <n v="722.00781664271346"/>
    <n v="2.5876084374717636"/>
    <n v="1.2359622775324082"/>
    <n v="1.4402490949501252"/>
  </r>
  <r>
    <x v="34"/>
    <x v="34"/>
    <n v="13231841"/>
    <x v="8"/>
    <n v="0"/>
    <n v="13595565.499999993"/>
    <n v="0"/>
    <m/>
    <n v="0"/>
    <m/>
    <n v="0"/>
    <m/>
    <n v="0"/>
    <m/>
    <n v="0"/>
    <n v="15574908.999999998"/>
    <n v="0"/>
    <n v="1670"/>
    <m/>
    <n v="15422"/>
    <m/>
    <n v="0"/>
    <m/>
    <n v="949"/>
    <n v="17316449"/>
    <n v="3378"/>
    <n v="1670"/>
    <n v="0"/>
    <n v="15422"/>
    <n v="3378"/>
    <n v="0"/>
    <s v=""/>
    <n v="1670"/>
    <s v="2018 (triag)"/>
    <n v="3378"/>
    <n v="2022"/>
    <x v="0"/>
    <n v="3378"/>
    <n v="3378"/>
    <s v="Increasing"/>
    <n v="2.5918907427795013E-2"/>
    <n v="7.7050082831477074E-2"/>
    <n v="1467.0140687864748"/>
    <n v="2104.2810711925508"/>
    <n v="0"/>
    <n v="1.0722374044047385"/>
    <n v="1.9507463683807229"/>
  </r>
  <r>
    <x v="34"/>
    <x v="34"/>
    <n v="13231842"/>
    <x v="9"/>
    <n v="0"/>
    <n v="13595565.499999993"/>
    <n v="0"/>
    <m/>
    <n v="0"/>
    <m/>
    <n v="0"/>
    <m/>
    <n v="0"/>
    <m/>
    <n v="0"/>
    <n v="15574908.999999998"/>
    <n v="0"/>
    <n v="135"/>
    <m/>
    <n v="686"/>
    <m/>
    <n v="27"/>
    <m/>
    <n v="188"/>
    <n v="17316449"/>
    <n v="0"/>
    <n v="135"/>
    <n v="0"/>
    <n v="686"/>
    <n v="188"/>
    <n v="0"/>
    <s v=""/>
    <n v="135"/>
    <s v="2018 (triag)"/>
    <n v="188"/>
    <n v="2021"/>
    <x v="0"/>
    <n v="188"/>
    <n v="188"/>
    <s v="Increasing"/>
    <n v="2.5918907427795013E-2"/>
    <n v="7.7050082831477074E-2"/>
    <n v="118.59095765639168"/>
    <n v="170.10655365927803"/>
    <n v="0"/>
    <n v="8.6677874008766295E-2"/>
    <n v="0.10856729344451625"/>
  </r>
  <r>
    <x v="34"/>
    <x v="34"/>
    <n v="13231843"/>
    <x v="10"/>
    <n v="0"/>
    <n v="13595565.499999993"/>
    <n v="0"/>
    <m/>
    <n v="0"/>
    <m/>
    <n v="0"/>
    <m/>
    <n v="57"/>
    <m/>
    <n v="0"/>
    <n v="15574908.999999998"/>
    <n v="0"/>
    <n v="100"/>
    <m/>
    <n v="22"/>
    <m/>
    <n v="13"/>
    <m/>
    <n v="98"/>
    <n v="17316449"/>
    <n v="15"/>
    <n v="100"/>
    <n v="0"/>
    <n v="57"/>
    <n v="98"/>
    <n v="0"/>
    <s v=""/>
    <n v="100"/>
    <s v="2018 (triag)"/>
    <n v="15"/>
    <n v="2022"/>
    <x v="1"/>
    <n v="17.556185826093202"/>
    <n v="100"/>
    <s v="Decreasing"/>
    <n v="2.5918907427795013E-2"/>
    <n v="7.7050082831477074E-2"/>
    <n v="87.845153819549395"/>
    <n v="126.00485456242818"/>
    <n v="0"/>
    <n v="6.4205832599086146E-2"/>
    <n v="5.7748560342827791E-2"/>
  </r>
  <r>
    <x v="34"/>
    <x v="34"/>
    <n v="13231844"/>
    <x v="11"/>
    <n v="0"/>
    <n v="13595565.499999993"/>
    <n v="0"/>
    <m/>
    <n v="0"/>
    <m/>
    <n v="0"/>
    <m/>
    <n v="0"/>
    <m/>
    <n v="37"/>
    <n v="15574908.999999998"/>
    <n v="328"/>
    <n v="1045"/>
    <m/>
    <n v="715"/>
    <m/>
    <n v="101"/>
    <m/>
    <n v="434"/>
    <n v="17316449"/>
    <n v="0"/>
    <n v="1045"/>
    <n v="0"/>
    <n v="715"/>
    <n v="434"/>
    <n v="0"/>
    <s v=""/>
    <n v="1045"/>
    <s v="2018 (triag)"/>
    <n v="434"/>
    <n v="2021"/>
    <x v="1"/>
    <n v="507.95897656829663"/>
    <n v="1045"/>
    <s v="Decreasing"/>
    <n v="2.5918907427795013E-2"/>
    <n v="7.7050082831477074E-2"/>
    <n v="917.9818574142912"/>
    <n v="1316.7507301773744"/>
    <n v="0"/>
    <n v="0.67095095066045018"/>
    <n v="0.60347245558255047"/>
  </r>
  <r>
    <x v="34"/>
    <x v="34"/>
    <n v="13231845"/>
    <x v="12"/>
    <n v="0"/>
    <n v="13595565.499999993"/>
    <n v="0"/>
    <m/>
    <n v="0"/>
    <m/>
    <n v="0"/>
    <m/>
    <n v="0"/>
    <m/>
    <n v="0"/>
    <n v="15574908.999999998"/>
    <n v="0"/>
    <n v="2543"/>
    <m/>
    <n v="2112"/>
    <m/>
    <n v="1482"/>
    <m/>
    <n v="0"/>
    <n v="17316449"/>
    <n v="0"/>
    <n v="2543"/>
    <n v="0"/>
    <n v="2112"/>
    <n v="1482"/>
    <n v="0"/>
    <s v=""/>
    <n v="2543"/>
    <s v="2018 (triag)"/>
    <n v="1482"/>
    <n v="2020"/>
    <x v="1"/>
    <n v="1734.5511596180083"/>
    <n v="2543"/>
    <s v="Decreasing"/>
    <n v="2.5918907427795013E-2"/>
    <n v="7.7050082831477074E-2"/>
    <n v="2233.9022616311408"/>
    <n v="3204.3034515225486"/>
    <n v="0"/>
    <n v="1.6327543229947605"/>
    <n v="1.4685458895181107"/>
  </r>
  <r>
    <x v="34"/>
    <x v="34"/>
    <n v="13231846"/>
    <x v="13"/>
    <n v="0"/>
    <n v="13595565.499999993"/>
    <n v="22"/>
    <m/>
    <n v="0"/>
    <m/>
    <n v="0"/>
    <m/>
    <n v="78"/>
    <m/>
    <n v="0"/>
    <n v="15574908.999999998"/>
    <n v="0"/>
    <n v="542"/>
    <m/>
    <n v="124"/>
    <m/>
    <n v="121"/>
    <m/>
    <n v="123"/>
    <n v="17316449"/>
    <n v="237"/>
    <n v="542"/>
    <n v="22"/>
    <n v="124"/>
    <n v="237"/>
    <n v="22"/>
    <n v="2013"/>
    <n v="542"/>
    <s v="2018 (triag)"/>
    <n v="237"/>
    <n v="2022"/>
    <x v="1"/>
    <n v="277.3877360522726"/>
    <n v="542"/>
    <s v="Decreasing"/>
    <n v="2.5918907427795013E-2"/>
    <n v="7.7050082831477074E-2"/>
    <n v="476.1207337019577"/>
    <n v="682.9463117283608"/>
    <n v="1.6181746908578397E-2"/>
    <n v="0.34799561268704687"/>
    <n v="0.31299719705812662"/>
  </r>
  <r>
    <x v="34"/>
    <x v="34"/>
    <n v="13231847"/>
    <x v="14"/>
    <n v="0"/>
    <n v="13595565.499999993"/>
    <n v="0"/>
    <m/>
    <n v="0"/>
    <m/>
    <n v="0"/>
    <m/>
    <n v="0"/>
    <m/>
    <n v="0"/>
    <n v="15574908.999999998"/>
    <n v="0"/>
    <n v="17"/>
    <m/>
    <n v="123"/>
    <m/>
    <n v="0"/>
    <m/>
    <n v="2"/>
    <n v="17316449"/>
    <n v="0"/>
    <n v="17"/>
    <n v="0"/>
    <n v="123"/>
    <n v="2"/>
    <n v="0"/>
    <s v=""/>
    <n v="17"/>
    <s v="2018 (triag)"/>
    <n v="2"/>
    <n v="2021"/>
    <x v="1"/>
    <n v="2.3408247768124268"/>
    <n v="17"/>
    <s v="Decreasing"/>
    <n v="2.5918907427795013E-2"/>
    <n v="7.7050082831477074E-2"/>
    <n v="14.933676149323396"/>
    <n v="21.420825275612792"/>
    <n v="0"/>
    <n v="1.0914991541844644E-2"/>
    <n v="9.8172552582807254E-3"/>
  </r>
  <r>
    <x v="34"/>
    <x v="34"/>
    <n v="13231848"/>
    <x v="15"/>
    <n v="0"/>
    <n v="13595565.499999993"/>
    <n v="0"/>
    <m/>
    <n v="0"/>
    <m/>
    <n v="0"/>
    <m/>
    <n v="0"/>
    <m/>
    <n v="0"/>
    <n v="15574908.999999998"/>
    <n v="0"/>
    <n v="108"/>
    <m/>
    <n v="1"/>
    <m/>
    <n v="0"/>
    <m/>
    <n v="107"/>
    <n v="17316449"/>
    <n v="0"/>
    <n v="108"/>
    <n v="0"/>
    <n v="1"/>
    <n v="107"/>
    <n v="0"/>
    <s v=""/>
    <n v="108"/>
    <s v="2018 (triag)"/>
    <n v="107"/>
    <n v="2021"/>
    <x v="1"/>
    <n v="125.23412555946484"/>
    <n v="125.23412555946484"/>
    <s v="Increasing"/>
    <n v="2.5918907427795013E-2"/>
    <n v="7.7050082831477074E-2"/>
    <n v="94.872766125113344"/>
    <n v="136.08524292742243"/>
    <n v="0"/>
    <n v="6.9342299207013028E-2"/>
    <n v="7.2320904568520278E-2"/>
  </r>
  <r>
    <x v="34"/>
    <x v="34"/>
    <n v="13231849"/>
    <x v="16"/>
    <n v="0"/>
    <n v="13595565.499999993"/>
    <n v="0"/>
    <m/>
    <n v="0"/>
    <m/>
    <n v="0"/>
    <m/>
    <n v="0"/>
    <m/>
    <n v="0"/>
    <n v="15574908.999999998"/>
    <n v="0"/>
    <n v="5868"/>
    <m/>
    <n v="3647"/>
    <m/>
    <n v="0"/>
    <m/>
    <n v="16"/>
    <n v="17316449"/>
    <n v="0"/>
    <n v="5868"/>
    <n v="0"/>
    <n v="3647"/>
    <n v="16"/>
    <n v="0"/>
    <s v=""/>
    <n v="5868"/>
    <s v="2018 (triag)"/>
    <n v="16"/>
    <n v="2021"/>
    <x v="1"/>
    <n v="18.726598214499415"/>
    <n v="5868"/>
    <s v="Decreasing"/>
    <n v="2.5918907427795013E-2"/>
    <n v="7.7050082831477074E-2"/>
    <n v="5154.7536261311579"/>
    <n v="7393.9648657232856"/>
    <n v="0"/>
    <n v="3.7675982569143747"/>
    <n v="3.3886855209171349"/>
  </r>
  <r>
    <x v="34"/>
    <x v="34"/>
    <n v="13231850"/>
    <x v="17"/>
    <n v="0"/>
    <n v="13595565.499999993"/>
    <n v="0"/>
    <m/>
    <n v="0"/>
    <m/>
    <n v="0"/>
    <m/>
    <n v="0"/>
    <m/>
    <n v="0"/>
    <n v="15574908.999999998"/>
    <n v="0"/>
    <n v="0"/>
    <m/>
    <n v="1722"/>
    <m/>
    <n v="0"/>
    <m/>
    <n v="344"/>
    <n v="17316449"/>
    <n v="0"/>
    <n v="0"/>
    <n v="0"/>
    <n v="1722"/>
    <n v="344"/>
    <n v="0"/>
    <s v=""/>
    <n v="1722"/>
    <n v="2019"/>
    <n v="344"/>
    <n v="2021"/>
    <x v="1"/>
    <n v="402.62186161173742"/>
    <n v="1722"/>
    <s v="Decreasing"/>
    <n v="2.5918907427795013E-2"/>
    <n v="7.7050082831477074E-2"/>
    <n v="0"/>
    <n v="0"/>
    <n v="0"/>
    <n v="1.1056244373562634"/>
    <n v="0.99443020910349456"/>
  </r>
  <r>
    <x v="34"/>
    <x v="34"/>
    <n v="13231851"/>
    <x v="18"/>
    <n v="0"/>
    <n v="13595565.499999993"/>
    <n v="546"/>
    <m/>
    <n v="0"/>
    <m/>
    <n v="0"/>
    <m/>
    <n v="37"/>
    <m/>
    <n v="0"/>
    <n v="15574908.999999998"/>
    <n v="0"/>
    <n v="328"/>
    <m/>
    <n v="0"/>
    <m/>
    <n v="323"/>
    <m/>
    <n v="14"/>
    <n v="17316449"/>
    <n v="252"/>
    <n v="328"/>
    <n v="546"/>
    <n v="37"/>
    <n v="323"/>
    <n v="546"/>
    <n v="2013"/>
    <n v="328"/>
    <s v="2018 (triag)"/>
    <n v="252"/>
    <n v="2022"/>
    <x v="1"/>
    <n v="294.94392187836576"/>
    <n v="328"/>
    <s v="Decreasing"/>
    <n v="2.5918907427795013E-2"/>
    <n v="7.7050082831477074E-2"/>
    <n v="288.132104528122"/>
    <n v="413.29592296476443"/>
    <n v="0.40160153691290024"/>
    <n v="0.21059513092500254"/>
    <n v="0.18941527792447516"/>
  </r>
  <r>
    <x v="34"/>
    <x v="34"/>
    <n v="13231852"/>
    <x v="19"/>
    <n v="0"/>
    <n v="13595565.499999993"/>
    <n v="11"/>
    <m/>
    <n v="0"/>
    <m/>
    <n v="0"/>
    <m/>
    <n v="0"/>
    <m/>
    <n v="0"/>
    <n v="15574908.999999998"/>
    <n v="0"/>
    <n v="505"/>
    <m/>
    <n v="2352"/>
    <m/>
    <n v="662"/>
    <m/>
    <n v="917"/>
    <n v="17316449"/>
    <n v="1083"/>
    <n v="505"/>
    <n v="11"/>
    <n v="2352"/>
    <n v="1083"/>
    <n v="11"/>
    <n v="2013"/>
    <n v="505"/>
    <s v="2018 (triag)"/>
    <n v="1083"/>
    <n v="2022"/>
    <x v="0"/>
    <n v="1083"/>
    <n v="1083"/>
    <s v="Increasing"/>
    <n v="2.5918907427795013E-2"/>
    <n v="7.7050082831477074E-2"/>
    <n v="443.61802678872442"/>
    <n v="636.32451554026227"/>
    <n v="8.0908734542891984E-3"/>
    <n v="0.324239454625385"/>
    <n v="0.62541690851282505"/>
  </r>
  <r>
    <x v="34"/>
    <x v="34"/>
    <n v="13231853"/>
    <x v="20"/>
    <n v="0"/>
    <n v="13595565.499999993"/>
    <n v="11"/>
    <m/>
    <n v="0"/>
    <m/>
    <n v="0"/>
    <m/>
    <n v="0"/>
    <m/>
    <n v="0"/>
    <n v="15574908.999999998"/>
    <n v="0"/>
    <n v="0"/>
    <m/>
    <n v="0"/>
    <m/>
    <n v="98"/>
    <m/>
    <n v="0"/>
    <n v="17316449"/>
    <n v="94"/>
    <n v="0"/>
    <n v="11"/>
    <n v="0"/>
    <n v="98"/>
    <n v="11"/>
    <n v="2013"/>
    <n v="0"/>
    <s v=""/>
    <n v="94"/>
    <n v="2022"/>
    <x v="0"/>
    <n v="94"/>
    <n v="94"/>
    <s v="Increasing"/>
    <n v="2.5918907427795013E-2"/>
    <n v="7.7050082831477074E-2"/>
    <n v="0"/>
    <n v="0"/>
    <n v="8.0908734542891984E-3"/>
    <n v="0"/>
    <n v="5.4283646722258126E-2"/>
  </r>
  <r>
    <x v="34"/>
    <x v="34"/>
    <n v="13231854"/>
    <x v="21"/>
    <n v="0"/>
    <n v="13595565.499999993"/>
    <n v="0"/>
    <m/>
    <n v="0"/>
    <m/>
    <n v="0"/>
    <m/>
    <n v="0"/>
    <m/>
    <n v="0"/>
    <n v="15574908.999999998"/>
    <n v="0"/>
    <n v="0"/>
    <m/>
    <n v="402"/>
    <m/>
    <n v="491"/>
    <m/>
    <n v="173"/>
    <n v="17316449"/>
    <n v="543"/>
    <n v="0"/>
    <n v="0"/>
    <n v="402"/>
    <n v="543"/>
    <n v="0"/>
    <s v=""/>
    <n v="402"/>
    <n v="2019"/>
    <n v="543"/>
    <n v="2022"/>
    <x v="0"/>
    <n v="543"/>
    <n v="543"/>
    <s v="Increasing"/>
    <n v="2.5918907427795013E-2"/>
    <n v="7.7050082831477074E-2"/>
    <n v="0"/>
    <n v="0"/>
    <n v="0"/>
    <n v="0.25810744704832628"/>
    <n v="0.31357468266155492"/>
  </r>
  <r>
    <x v="34"/>
    <x v="34"/>
    <n v="13231855"/>
    <x v="22"/>
    <n v="0"/>
    <n v="13595565.499999993"/>
    <n v="0"/>
    <m/>
    <n v="0"/>
    <m/>
    <n v="0"/>
    <m/>
    <n v="0"/>
    <m/>
    <n v="0"/>
    <n v="15574908.999999998"/>
    <n v="0"/>
    <n v="0"/>
    <m/>
    <n v="2"/>
    <m/>
    <n v="1"/>
    <m/>
    <n v="0"/>
    <n v="17316449"/>
    <n v="0"/>
    <n v="0"/>
    <n v="0"/>
    <n v="2"/>
    <n v="1"/>
    <n v="0"/>
    <s v=""/>
    <n v="2"/>
    <n v="2019"/>
    <n v="1"/>
    <n v="2020"/>
    <x v="1"/>
    <n v="1.1704123884062134"/>
    <n v="2"/>
    <s v="Decreasing"/>
    <n v="2.5918907427795013E-2"/>
    <n v="7.7050082831477074E-2"/>
    <n v="0"/>
    <n v="0"/>
    <n v="0"/>
    <n v="1.2841166519817228E-3"/>
    <n v="1.1549712068565558E-3"/>
  </r>
  <r>
    <x v="34"/>
    <x v="34"/>
    <n v="13231856"/>
    <x v="23"/>
    <n v="0"/>
    <n v="13595565.499999993"/>
    <n v="54"/>
    <m/>
    <n v="0"/>
    <m/>
    <n v="0"/>
    <m/>
    <n v="0"/>
    <m/>
    <n v="0"/>
    <n v="15574908.999999998"/>
    <n v="0"/>
    <n v="0"/>
    <m/>
    <n v="0"/>
    <m/>
    <n v="0"/>
    <m/>
    <n v="0"/>
    <n v="17316449"/>
    <n v="0"/>
    <n v="0"/>
    <n v="54"/>
    <n v="0"/>
    <n v="0"/>
    <n v="54"/>
    <n v="2013"/>
    <n v="0"/>
    <s v=""/>
    <n v="0"/>
    <s v=""/>
    <x v="0"/>
    <n v="0"/>
    <n v="0"/>
    <s v="No change"/>
    <n v="2.5918907427795013E-2"/>
    <n v="7.7050082831477074E-2"/>
    <n v="0"/>
    <n v="0"/>
    <n v="3.9718833321056066E-2"/>
    <n v="0"/>
    <n v="0"/>
  </r>
  <r>
    <x v="35"/>
    <x v="35"/>
    <n v="6788587.5000000037"/>
    <x v="0"/>
    <n v="8"/>
    <n v="6964858.4999999972"/>
    <n v="0"/>
    <n v="7140688.0000000028"/>
    <n v="1"/>
    <n v="7314773"/>
    <n v="0"/>
    <n v="7493912.9999999981"/>
    <n v="0"/>
    <n v="7677565.5000000019"/>
    <n v="0"/>
    <n v="7861281"/>
    <n v="1132"/>
    <n v="1132"/>
    <n v="8046828.5"/>
    <n v="538"/>
    <n v="8233970.4999999991"/>
    <n v="1152"/>
    <n v="8420641.0000000037"/>
    <n v="0"/>
    <n v="8605718.0000000056"/>
    <n v="753"/>
    <n v="281"/>
    <n v="8"/>
    <n v="1132"/>
    <n v="1152"/>
    <n v="8"/>
    <n v="2012"/>
    <n v="1132"/>
    <n v="2018"/>
    <n v="753"/>
    <n v="2022"/>
    <x v="1"/>
    <n v="865.4218791732726"/>
    <n v="1132"/>
    <s v="Decreasing"/>
    <n v="-0.11784850836422744"/>
    <n v="0.29117585098474064"/>
    <n v="506.53691884704665"/>
    <n v="673.09213505506216"/>
    <n v="1.1486234788545961E-2"/>
    <n v="1.43996888038985"/>
    <n v="1.3154044787430861"/>
  </r>
  <r>
    <x v="35"/>
    <x v="35"/>
    <n v="6788588.5"/>
    <x v="1"/>
    <n v="0"/>
    <n v="6964858.4999999972"/>
    <n v="12212"/>
    <m/>
    <n v="12216"/>
    <m/>
    <n v="11746"/>
    <m/>
    <n v="10320"/>
    <m/>
    <n v="11960"/>
    <n v="7861281"/>
    <n v="11514"/>
    <n v="11514"/>
    <m/>
    <n v="8622"/>
    <m/>
    <n v="2080"/>
    <m/>
    <n v="0"/>
    <n v="8605718.0000000056"/>
    <n v="14712"/>
    <n v="5302"/>
    <n v="12216"/>
    <n v="11960"/>
    <n v="14712"/>
    <n v="12212"/>
    <n v="2013"/>
    <n v="11514"/>
    <n v="2018"/>
    <n v="14712"/>
    <n v="2022"/>
    <x v="0"/>
    <n v="14712"/>
    <n v="15666"/>
    <s v="Increasing"/>
    <n v="-0.11784850836422744"/>
    <n v="0.29117585098474064"/>
    <n v="9557.50442607488"/>
    <n v="12700.122776021137"/>
    <n v="17.533737404715406"/>
    <n v="14.646467922975912"/>
    <n v="18.204175409884439"/>
  </r>
  <r>
    <x v="35"/>
    <x v="35"/>
    <n v="6788589.5"/>
    <x v="2"/>
    <n v="0"/>
    <n v="6964858.4999999972"/>
    <n v="4374"/>
    <m/>
    <n v="1170"/>
    <m/>
    <n v="0"/>
    <m/>
    <n v="626"/>
    <m/>
    <n v="0"/>
    <n v="7861281"/>
    <n v="0"/>
    <n v="391"/>
    <m/>
    <n v="4746"/>
    <m/>
    <n v="1278"/>
    <m/>
    <n v="0"/>
    <n v="8605718.0000000056"/>
    <n v="4542"/>
    <n v="391"/>
    <n v="4374"/>
    <n v="4746"/>
    <n v="4542"/>
    <n v="4374"/>
    <n v="2013"/>
    <n v="391"/>
    <s v="2018 (triag)"/>
    <n v="4542"/>
    <n v="2022"/>
    <x v="0"/>
    <n v="4542"/>
    <n v="4542"/>
    <s v="Increasing"/>
    <n v="-0.11784850836422744"/>
    <n v="0.29117585098474064"/>
    <n v="704.8253924170649"/>
    <n v="936.58015945384091"/>
    <n v="6.280098870637504"/>
    <n v="0.49737441009932098"/>
    <n v="5.2778861682430183"/>
  </r>
  <r>
    <x v="35"/>
    <x v="35"/>
    <n v="6788590.5"/>
    <x v="3"/>
    <n v="0"/>
    <n v="6964858.4999999972"/>
    <n v="0"/>
    <m/>
    <n v="0"/>
    <m/>
    <n v="0"/>
    <m/>
    <n v="0"/>
    <m/>
    <n v="0"/>
    <n v="7861281"/>
    <n v="0"/>
    <n v="156"/>
    <m/>
    <n v="0"/>
    <m/>
    <n v="78"/>
    <m/>
    <n v="4740"/>
    <n v="8605718.0000000056"/>
    <n v="0"/>
    <n v="156"/>
    <n v="0"/>
    <n v="0"/>
    <n v="4740"/>
    <n v="0"/>
    <s v=""/>
    <n v="156"/>
    <s v="2018 (triag)"/>
    <n v="4740"/>
    <n v="2021"/>
    <x v="0"/>
    <n v="4740"/>
    <n v="4740"/>
    <s v="Increasing"/>
    <n v="-0.11784850836422744"/>
    <n v="0.29117585098474064"/>
    <n v="281.20910797202589"/>
    <n v="373.67392551099533"/>
    <n v="0"/>
    <n v="0.19844094111379557"/>
    <n v="5.507965750213982"/>
  </r>
  <r>
    <x v="35"/>
    <x v="35"/>
    <n v="6788591.5"/>
    <x v="4"/>
    <n v="0"/>
    <n v="6964858.4999999972"/>
    <n v="0"/>
    <m/>
    <n v="0"/>
    <m/>
    <n v="0"/>
    <m/>
    <n v="0"/>
    <m/>
    <n v="0"/>
    <n v="7861281"/>
    <n v="0"/>
    <n v="423"/>
    <m/>
    <n v="0"/>
    <m/>
    <n v="0"/>
    <m/>
    <n v="610"/>
    <n v="8605718.0000000056"/>
    <n v="0"/>
    <n v="423"/>
    <n v="0"/>
    <n v="0"/>
    <n v="610"/>
    <n v="0"/>
    <s v=""/>
    <n v="423"/>
    <s v="2018 (triag)"/>
    <n v="610"/>
    <n v="2021"/>
    <x v="0"/>
    <n v="610"/>
    <n v="610"/>
    <s v="Increasing"/>
    <n v="-0.11784850836422744"/>
    <n v="0.29117585098474064"/>
    <n v="762.50931200107027"/>
    <n v="1013.231221097122"/>
    <n v="0"/>
    <n v="0.53808024417394573"/>
    <n v="0.70883103536509051"/>
  </r>
  <r>
    <x v="35"/>
    <x v="35"/>
    <n v="6788592.5"/>
    <x v="5"/>
    <n v="0"/>
    <n v="6964858.4999999972"/>
    <n v="0"/>
    <m/>
    <n v="0"/>
    <m/>
    <n v="0"/>
    <m/>
    <n v="14622"/>
    <m/>
    <n v="0"/>
    <n v="7861281"/>
    <n v="0"/>
    <n v="505"/>
    <m/>
    <n v="15000"/>
    <m/>
    <n v="13966"/>
    <m/>
    <n v="0"/>
    <n v="8605718.0000000056"/>
    <n v="0"/>
    <n v="505"/>
    <n v="0"/>
    <n v="15000"/>
    <n v="13966"/>
    <n v="0"/>
    <s v=""/>
    <n v="505"/>
    <s v="2018 (triag)"/>
    <n v="13966"/>
    <n v="2020"/>
    <x v="0"/>
    <n v="13966"/>
    <n v="13966"/>
    <s v="Increasing"/>
    <n v="-0.11784850836422744"/>
    <n v="0.29117585098474064"/>
    <n v="910.32435593508387"/>
    <n v="1209.6495665580298"/>
    <n v="0"/>
    <n v="0.64238894399017155"/>
    <n v="16.228744655588287"/>
  </r>
  <r>
    <x v="35"/>
    <x v="35"/>
    <n v="6788593.5"/>
    <x v="6"/>
    <n v="0"/>
    <n v="6964858.4999999972"/>
    <n v="0"/>
    <m/>
    <n v="0"/>
    <m/>
    <n v="0"/>
    <m/>
    <n v="0"/>
    <m/>
    <n v="0"/>
    <n v="7861281"/>
    <n v="0"/>
    <n v="103"/>
    <m/>
    <n v="0"/>
    <m/>
    <n v="0"/>
    <m/>
    <n v="120"/>
    <n v="8605718.0000000056"/>
    <n v="120"/>
    <n v="103"/>
    <n v="0"/>
    <n v="0"/>
    <n v="120"/>
    <n v="0"/>
    <s v=""/>
    <n v="103"/>
    <s v="2018 (triag)"/>
    <n v="120"/>
    <n v="2021"/>
    <x v="0"/>
    <n v="120"/>
    <n v="120"/>
    <s v="Increasing"/>
    <n v="-0.11784850836422744"/>
    <n v="0.29117585098474064"/>
    <n v="185.67011616101709"/>
    <n v="246.72060466431103"/>
    <n v="0"/>
    <n v="0.13102190342769837"/>
    <n v="0.13944217089149322"/>
  </r>
  <r>
    <x v="35"/>
    <x v="35"/>
    <n v="6788594.5"/>
    <x v="7"/>
    <n v="0"/>
    <n v="6964858.4999999972"/>
    <n v="0"/>
    <m/>
    <n v="0"/>
    <m/>
    <n v="0"/>
    <m/>
    <n v="0"/>
    <m/>
    <n v="0"/>
    <n v="7861281"/>
    <n v="0"/>
    <n v="406"/>
    <m/>
    <n v="0"/>
    <m/>
    <n v="0"/>
    <m/>
    <n v="790"/>
    <n v="8605718.0000000056"/>
    <n v="0"/>
    <n v="406"/>
    <n v="0"/>
    <n v="0"/>
    <n v="790"/>
    <n v="0"/>
    <s v=""/>
    <n v="406"/>
    <s v="2018 (triag)"/>
    <n v="790"/>
    <n v="2021"/>
    <x v="0"/>
    <n v="790"/>
    <n v="790"/>
    <s v="Increasing"/>
    <n v="-0.11784850836422744"/>
    <n v="0.29117585098474064"/>
    <n v="731.86472972206741"/>
    <n v="972.51034459912887"/>
    <n v="0"/>
    <n v="0.51645526982180134"/>
    <n v="0.91799429170233038"/>
  </r>
  <r>
    <x v="35"/>
    <x v="35"/>
    <n v="6788595.5"/>
    <x v="8"/>
    <n v="0"/>
    <n v="6964858.4999999972"/>
    <n v="0"/>
    <m/>
    <n v="0"/>
    <m/>
    <n v="0"/>
    <m/>
    <n v="0"/>
    <m/>
    <n v="0"/>
    <n v="7861281"/>
    <n v="0"/>
    <n v="0"/>
    <m/>
    <n v="0"/>
    <m/>
    <n v="2251"/>
    <m/>
    <n v="0"/>
    <n v="8605718.0000000056"/>
    <n v="0"/>
    <n v="0"/>
    <n v="0"/>
    <n v="0"/>
    <n v="2251"/>
    <n v="0"/>
    <s v=""/>
    <n v="0"/>
    <s v=""/>
    <n v="2251"/>
    <n v="2020"/>
    <x v="0"/>
    <n v="2251"/>
    <n v="2251"/>
    <s v="Increasing"/>
    <n v="-0.11784850836422744"/>
    <n v="0.29117585098474064"/>
    <n v="0"/>
    <n v="0"/>
    <n v="0"/>
    <n v="0"/>
    <n v="2.6157027223062603"/>
  </r>
  <r>
    <x v="35"/>
    <x v="35"/>
    <n v="6788596.5"/>
    <x v="9"/>
    <n v="0"/>
    <n v="6964858.4999999972"/>
    <n v="0"/>
    <m/>
    <n v="0"/>
    <m/>
    <n v="0"/>
    <m/>
    <n v="0"/>
    <m/>
    <n v="0"/>
    <n v="7861281"/>
    <n v="0"/>
    <n v="0"/>
    <m/>
    <n v="93"/>
    <m/>
    <n v="487"/>
    <m/>
    <n v="0"/>
    <n v="8605718.0000000056"/>
    <n v="0"/>
    <n v="0"/>
    <n v="0"/>
    <n v="93"/>
    <n v="487"/>
    <n v="0"/>
    <s v=""/>
    <n v="93"/>
    <n v="2019"/>
    <n v="487"/>
    <n v="2020"/>
    <x v="0"/>
    <n v="487"/>
    <n v="487"/>
    <s v="Increasing"/>
    <n v="-0.11784850836422744"/>
    <n v="0.29117585098474064"/>
    <n v="0"/>
    <n v="0"/>
    <n v="0"/>
    <n v="0.11830133027937813"/>
    <n v="0.56590281020130995"/>
  </r>
  <r>
    <x v="35"/>
    <x v="35"/>
    <n v="6788597.5"/>
    <x v="10"/>
    <n v="0"/>
    <n v="6964858.4999999972"/>
    <n v="0"/>
    <m/>
    <n v="0"/>
    <m/>
    <n v="0"/>
    <m/>
    <n v="0"/>
    <m/>
    <n v="0"/>
    <n v="7861281"/>
    <n v="0"/>
    <n v="128"/>
    <m/>
    <n v="25"/>
    <m/>
    <n v="530"/>
    <m/>
    <n v="0"/>
    <n v="8605718.0000000056"/>
    <n v="13"/>
    <n v="128"/>
    <n v="0"/>
    <n v="25"/>
    <n v="530"/>
    <n v="0"/>
    <s v=""/>
    <n v="128"/>
    <s v="2018 (triag)"/>
    <n v="13"/>
    <n v="2022"/>
    <x v="1"/>
    <n v="14.940882376165398"/>
    <n v="128"/>
    <s v="Decreasing"/>
    <n v="-0.11784850836422744"/>
    <n v="0.29117585098474064"/>
    <n v="230.73567833602124"/>
    <n v="306.60424657312439"/>
    <n v="0"/>
    <n v="0.16282333629849893"/>
    <n v="0.14873831561759276"/>
  </r>
  <r>
    <x v="35"/>
    <x v="35"/>
    <n v="6788598.5"/>
    <x v="11"/>
    <n v="0"/>
    <n v="6964858.4999999972"/>
    <n v="0"/>
    <m/>
    <n v="0"/>
    <m/>
    <n v="0"/>
    <m/>
    <n v="0"/>
    <m/>
    <n v="0"/>
    <n v="7861281"/>
    <n v="311"/>
    <n v="311"/>
    <m/>
    <n v="0"/>
    <m/>
    <n v="114"/>
    <m/>
    <n v="0"/>
    <n v="8605718.0000000056"/>
    <n v="20"/>
    <n v="0"/>
    <n v="0"/>
    <n v="311"/>
    <n v="114"/>
    <n v="0"/>
    <s v=""/>
    <n v="311"/>
    <n v="2018"/>
    <n v="20"/>
    <n v="2022"/>
    <x v="1"/>
    <n v="22.985972886408305"/>
    <n v="311"/>
    <s v="Decreasing"/>
    <n v="-0.11784850836422744"/>
    <n v="0.29117585098474064"/>
    <n v="0"/>
    <n v="0"/>
    <n v="0"/>
    <n v="0.39560982491275914"/>
    <n v="0.3613876262271199"/>
  </r>
  <r>
    <x v="35"/>
    <x v="35"/>
    <n v="6788599.5"/>
    <x v="12"/>
    <n v="0"/>
    <n v="6964858.4999999972"/>
    <n v="0"/>
    <m/>
    <n v="0"/>
    <m/>
    <n v="0"/>
    <m/>
    <n v="0"/>
    <m/>
    <n v="0"/>
    <n v="7861281"/>
    <n v="0"/>
    <n v="0"/>
    <m/>
    <n v="0"/>
    <m/>
    <n v="0"/>
    <m/>
    <n v="0"/>
    <n v="8605718.0000000056"/>
    <n v="0"/>
    <n v="0"/>
    <n v="0"/>
    <n v="0"/>
    <n v="0"/>
    <n v="0"/>
    <s v=""/>
    <n v="0"/>
    <s v=""/>
    <n v="0"/>
    <s v=""/>
    <x v="0"/>
    <n v="0"/>
    <n v="0"/>
    <s v="No change"/>
    <n v="-0.11784850836422744"/>
    <n v="0.29117585098474064"/>
    <n v="0"/>
    <n v="0"/>
    <n v="0"/>
    <n v="0"/>
    <n v="0"/>
  </r>
  <r>
    <x v="35"/>
    <x v="35"/>
    <n v="6788600.5"/>
    <x v="13"/>
    <n v="0"/>
    <n v="6964858.4999999972"/>
    <n v="0"/>
    <m/>
    <n v="0"/>
    <m/>
    <n v="0"/>
    <m/>
    <n v="0"/>
    <m/>
    <n v="0"/>
    <n v="7861281"/>
    <n v="0"/>
    <n v="22"/>
    <m/>
    <n v="36"/>
    <m/>
    <n v="0"/>
    <m/>
    <n v="0"/>
    <n v="8605718.0000000056"/>
    <n v="50"/>
    <n v="22"/>
    <n v="0"/>
    <n v="36"/>
    <n v="50"/>
    <n v="0"/>
    <s v=""/>
    <n v="22"/>
    <s v="2018 (triag)"/>
    <n v="50"/>
    <n v="2022"/>
    <x v="0"/>
    <n v="50"/>
    <n v="50"/>
    <s v="Increasing"/>
    <n v="-0.11784850836422744"/>
    <n v="0.29117585098474064"/>
    <n v="39.657694714003654"/>
    <n v="52.697604879755751"/>
    <n v="0"/>
    <n v="2.7985260926304503E-2"/>
    <n v="5.8100904538122174E-2"/>
  </r>
  <r>
    <x v="35"/>
    <x v="35"/>
    <n v="6788601.5"/>
    <x v="14"/>
    <n v="0"/>
    <n v="6964858.4999999972"/>
    <n v="0"/>
    <m/>
    <n v="0"/>
    <m/>
    <n v="0"/>
    <m/>
    <n v="0"/>
    <m/>
    <n v="0"/>
    <n v="7861281"/>
    <n v="0"/>
    <n v="0"/>
    <m/>
    <n v="64"/>
    <m/>
    <n v="0"/>
    <m/>
    <n v="0"/>
    <n v="8605718.0000000056"/>
    <n v="195"/>
    <n v="0"/>
    <n v="0"/>
    <n v="64"/>
    <n v="195"/>
    <n v="0"/>
    <s v=""/>
    <n v="64"/>
    <n v="2019"/>
    <n v="195"/>
    <n v="2022"/>
    <x v="0"/>
    <n v="195"/>
    <n v="195"/>
    <s v="Increasing"/>
    <n v="-0.11784850836422744"/>
    <n v="0.29117585098474064"/>
    <n v="0"/>
    <n v="0"/>
    <n v="0"/>
    <n v="8.1411668149249466E-2"/>
    <n v="0.22659352769867647"/>
  </r>
  <r>
    <x v="35"/>
    <x v="35"/>
    <n v="6788602.5"/>
    <x v="15"/>
    <n v="0"/>
    <n v="6964858.4999999972"/>
    <n v="0"/>
    <m/>
    <n v="0"/>
    <m/>
    <n v="0"/>
    <m/>
    <n v="0"/>
    <m/>
    <n v="0"/>
    <n v="7861281"/>
    <n v="0"/>
    <n v="13"/>
    <m/>
    <n v="15"/>
    <m/>
    <n v="1"/>
    <m/>
    <n v="0"/>
    <n v="8605718.0000000056"/>
    <n v="2"/>
    <n v="13"/>
    <n v="0"/>
    <n v="15"/>
    <n v="2"/>
    <n v="0"/>
    <s v=""/>
    <n v="13"/>
    <s v="2018 (triag)"/>
    <n v="2"/>
    <n v="2022"/>
    <x v="1"/>
    <n v="2.2985972886408303"/>
    <n v="13"/>
    <s v="Decreasing"/>
    <n v="-0.11784850836422744"/>
    <n v="0.29117585098474064"/>
    <n v="23.434092331002159"/>
    <n v="31.139493792582947"/>
    <n v="0"/>
    <n v="1.6536745092816298E-2"/>
    <n v="1.5106235179911765E-2"/>
  </r>
  <r>
    <x v="35"/>
    <x v="35"/>
    <n v="6788603.5"/>
    <x v="16"/>
    <n v="0"/>
    <n v="6964858.4999999972"/>
    <n v="0"/>
    <m/>
    <n v="0"/>
    <m/>
    <n v="0"/>
    <m/>
    <n v="0"/>
    <m/>
    <n v="0"/>
    <n v="7861281"/>
    <n v="0"/>
    <n v="0"/>
    <m/>
    <n v="0"/>
    <m/>
    <n v="0"/>
    <m/>
    <n v="0"/>
    <n v="8605718.0000000056"/>
    <n v="0"/>
    <n v="0"/>
    <n v="0"/>
    <n v="0"/>
    <n v="0"/>
    <n v="0"/>
    <s v=""/>
    <n v="0"/>
    <s v=""/>
    <n v="0"/>
    <s v=""/>
    <x v="0"/>
    <n v="0"/>
    <n v="0"/>
    <s v="No change"/>
    <n v="-0.11784850836422744"/>
    <n v="0.29117585098474064"/>
    <n v="0"/>
    <n v="0"/>
    <n v="0"/>
    <n v="0"/>
    <n v="0"/>
  </r>
  <r>
    <x v="35"/>
    <x v="35"/>
    <n v="6788604.5"/>
    <x v="17"/>
    <n v="0"/>
    <n v="6964858.4999999972"/>
    <n v="0"/>
    <m/>
    <n v="0"/>
    <m/>
    <n v="0"/>
    <m/>
    <n v="0"/>
    <m/>
    <n v="0"/>
    <n v="7861281"/>
    <n v="0"/>
    <n v="0"/>
    <m/>
    <n v="0"/>
    <m/>
    <n v="0"/>
    <m/>
    <n v="0"/>
    <n v="8605718.0000000056"/>
    <n v="0"/>
    <n v="0"/>
    <n v="0"/>
    <n v="0"/>
    <n v="0"/>
    <n v="0"/>
    <s v=""/>
    <n v="0"/>
    <s v=""/>
    <n v="0"/>
    <s v=""/>
    <x v="0"/>
    <n v="0"/>
    <n v="0"/>
    <s v="No change"/>
    <n v="-0.11784850836422744"/>
    <n v="0.29117585098474064"/>
    <n v="0"/>
    <n v="0"/>
    <n v="0"/>
    <n v="0"/>
    <n v="0"/>
  </r>
  <r>
    <x v="35"/>
    <x v="35"/>
    <n v="6788605.5"/>
    <x v="18"/>
    <n v="0"/>
    <n v="6964858.4999999972"/>
    <n v="0"/>
    <m/>
    <n v="0"/>
    <m/>
    <n v="0"/>
    <m/>
    <n v="0"/>
    <m/>
    <n v="0"/>
    <n v="7861281"/>
    <n v="0"/>
    <n v="311"/>
    <m/>
    <n v="342"/>
    <m/>
    <n v="0"/>
    <m/>
    <n v="0"/>
    <n v="8605718.0000000056"/>
    <n v="298"/>
    <n v="311"/>
    <n v="0"/>
    <n v="342"/>
    <n v="298"/>
    <n v="0"/>
    <s v=""/>
    <n v="311"/>
    <s v="2018 (triag)"/>
    <n v="298"/>
    <n v="2022"/>
    <x v="1"/>
    <n v="342.49099600748372"/>
    <n v="342.49099600748372"/>
    <s v="Increasing"/>
    <n v="-0.11784850836422744"/>
    <n v="0.29117585098474064"/>
    <n v="560.61559345705166"/>
    <n v="744.9525053456382"/>
    <n v="0"/>
    <n v="0.39560982491275914"/>
    <n v="0.3979807332839439"/>
  </r>
  <r>
    <x v="35"/>
    <x v="35"/>
    <n v="6788606.5"/>
    <x v="19"/>
    <n v="0"/>
    <n v="6964858.4999999972"/>
    <n v="0"/>
    <m/>
    <n v="0"/>
    <m/>
    <n v="0"/>
    <m/>
    <n v="0"/>
    <m/>
    <n v="0"/>
    <n v="7861281"/>
    <n v="0"/>
    <n v="0"/>
    <m/>
    <n v="319"/>
    <m/>
    <n v="650"/>
    <m/>
    <n v="0"/>
    <n v="8605718.0000000056"/>
    <n v="0"/>
    <n v="0"/>
    <n v="0"/>
    <n v="319"/>
    <n v="650"/>
    <n v="0"/>
    <s v=""/>
    <n v="319"/>
    <n v="2019"/>
    <n v="650"/>
    <n v="2020"/>
    <x v="0"/>
    <n v="650"/>
    <n v="650"/>
    <s v="Increasing"/>
    <n v="-0.11784850836422744"/>
    <n v="0.29117585098474064"/>
    <n v="0"/>
    <n v="0"/>
    <n v="0"/>
    <n v="0.40578628343141532"/>
    <n v="0.75531175899558822"/>
  </r>
  <r>
    <x v="35"/>
    <x v="35"/>
    <n v="6788607.5"/>
    <x v="20"/>
    <n v="0"/>
    <n v="6964858.4999999972"/>
    <n v="0"/>
    <m/>
    <n v="0"/>
    <m/>
    <n v="0"/>
    <m/>
    <n v="0"/>
    <m/>
    <n v="0"/>
    <n v="7861281"/>
    <n v="0"/>
    <n v="13"/>
    <m/>
    <n v="8"/>
    <m/>
    <n v="6"/>
    <m/>
    <n v="0"/>
    <n v="8605718.0000000056"/>
    <n v="6"/>
    <n v="13"/>
    <n v="0"/>
    <n v="8"/>
    <n v="6"/>
    <n v="0"/>
    <s v=""/>
    <n v="13"/>
    <s v="2018 (triag)"/>
    <n v="6"/>
    <n v="2020"/>
    <x v="1"/>
    <n v="6.895791865922491"/>
    <n v="13"/>
    <s v="Decreasing"/>
    <n v="-0.11784850836422744"/>
    <n v="0.29117585098474064"/>
    <n v="23.434092331002159"/>
    <n v="31.139493792582947"/>
    <n v="0"/>
    <n v="1.6536745092816298E-2"/>
    <n v="1.5106235179911765E-2"/>
  </r>
  <r>
    <x v="35"/>
    <x v="35"/>
    <n v="6788608.5"/>
    <x v="21"/>
    <n v="0"/>
    <n v="6964858.4999999972"/>
    <n v="0"/>
    <m/>
    <n v="1511"/>
    <m/>
    <n v="0"/>
    <m/>
    <n v="0"/>
    <m/>
    <n v="0"/>
    <n v="7861281"/>
    <n v="0"/>
    <n v="0"/>
    <m/>
    <n v="0"/>
    <m/>
    <n v="0"/>
    <m/>
    <n v="0"/>
    <n v="8605718.0000000056"/>
    <n v="0"/>
    <n v="0"/>
    <n v="1511"/>
    <n v="0"/>
    <n v="0"/>
    <n v="1511"/>
    <n v="2014"/>
    <n v="0"/>
    <s v=""/>
    <n v="0"/>
    <s v=""/>
    <x v="0"/>
    <n v="0"/>
    <n v="0"/>
    <s v="No change"/>
    <n v="-0.11784850836422744"/>
    <n v="0.29117585098474064"/>
    <n v="0"/>
    <n v="0"/>
    <n v="2.169462595686618"/>
    <n v="0"/>
    <n v="0"/>
  </r>
  <r>
    <x v="35"/>
    <x v="35"/>
    <n v="6788609.5"/>
    <x v="22"/>
    <n v="0"/>
    <n v="6964858.4999999972"/>
    <n v="0"/>
    <m/>
    <n v="0"/>
    <m/>
    <n v="0"/>
    <m/>
    <n v="0"/>
    <m/>
    <n v="0"/>
    <n v="7861281"/>
    <n v="0"/>
    <n v="0"/>
    <m/>
    <n v="0"/>
    <m/>
    <n v="0"/>
    <m/>
    <n v="0"/>
    <n v="8605718.0000000056"/>
    <n v="0"/>
    <n v="0"/>
    <n v="0"/>
    <n v="0"/>
    <n v="0"/>
    <n v="0"/>
    <s v=""/>
    <n v="0"/>
    <s v=""/>
    <n v="0"/>
    <s v=""/>
    <x v="0"/>
    <n v="0"/>
    <n v="0"/>
    <s v="No change"/>
    <n v="-0.11784850836422744"/>
    <n v="0.29117585098474064"/>
    <n v="0"/>
    <n v="0"/>
    <n v="0"/>
    <n v="0"/>
    <n v="0"/>
  </r>
  <r>
    <x v="35"/>
    <x v="35"/>
    <n v="6788610.5"/>
    <x v="23"/>
    <n v="0"/>
    <n v="6964858.4999999972"/>
    <n v="0"/>
    <m/>
    <n v="3046"/>
    <m/>
    <n v="0"/>
    <m/>
    <n v="0"/>
    <m/>
    <n v="0"/>
    <n v="7861281"/>
    <n v="0"/>
    <n v="0"/>
    <m/>
    <n v="0"/>
    <m/>
    <n v="0"/>
    <m/>
    <n v="0"/>
    <n v="8605718.0000000056"/>
    <n v="0"/>
    <n v="0"/>
    <n v="3046"/>
    <n v="0"/>
    <n v="0"/>
    <n v="3046"/>
    <n v="2014"/>
    <n v="0"/>
    <s v=""/>
    <n v="0"/>
    <s v=""/>
    <x v="0"/>
    <n v="0"/>
    <n v="0"/>
    <s v="No change"/>
    <n v="-0.11784850836422744"/>
    <n v="0.29117585098474064"/>
    <n v="0"/>
    <n v="0"/>
    <n v="4.3733838957388746"/>
    <n v="0"/>
    <n v="0"/>
  </r>
  <r>
    <x v="36"/>
    <x v="36"/>
    <n v="10701604.500000004"/>
    <x v="0"/>
    <n v="0"/>
    <n v="11106031.000000004"/>
    <n v="32"/>
    <n v="11213284.499999998"/>
    <n v="0"/>
    <n v="11194299.499999998"/>
    <n v="0"/>
    <n v="11066105"/>
    <n v="0"/>
    <n v="10658225.499999994"/>
    <n v="1"/>
    <n v="10395329.5"/>
    <n v="822"/>
    <n v="822"/>
    <n v="10447665.999999998"/>
    <n v="747"/>
    <n v="10606227.000000002"/>
    <n v="995"/>
    <n v="10748272.499999998"/>
    <n v="0"/>
    <n v="10913163.5"/>
    <n v="0"/>
    <n v="411"/>
    <n v="32"/>
    <n v="822"/>
    <n v="995"/>
    <n v="32"/>
    <n v="2013"/>
    <n v="822"/>
    <n v="2018"/>
    <n v="995"/>
    <n v="2020"/>
    <x v="0"/>
    <n v="995"/>
    <n v="995"/>
    <s v="Increasing"/>
    <n v="0.25992104989487319"/>
    <n v="5.4673730437993617E-2"/>
    <n v="112.05479189549264"/>
    <n v="484.25634542263975"/>
    <n v="2.881317367113417E-2"/>
    <n v="0.79073972595096675"/>
    <n v="0.91174296069146221"/>
  </r>
  <r>
    <x v="36"/>
    <x v="36"/>
    <n v="10701605.5"/>
    <x v="1"/>
    <n v="0"/>
    <n v="11106031.000000004"/>
    <n v="0"/>
    <m/>
    <n v="0"/>
    <m/>
    <n v="0"/>
    <m/>
    <n v="0"/>
    <m/>
    <n v="0"/>
    <n v="10395329.5"/>
    <n v="7452"/>
    <n v="7452"/>
    <m/>
    <n v="7428"/>
    <m/>
    <n v="9060"/>
    <m/>
    <n v="0"/>
    <n v="10913163.5"/>
    <n v="0"/>
    <n v="2014"/>
    <n v="0"/>
    <n v="7452"/>
    <n v="9060"/>
    <n v="0"/>
    <s v=""/>
    <n v="7452"/>
    <n v="2018"/>
    <n v="9060"/>
    <n v="2020"/>
    <x v="0"/>
    <n v="9060"/>
    <n v="9060"/>
    <s v="Increasing"/>
    <n v="0.25992104989487319"/>
    <n v="5.4673730437993617E-2"/>
    <n v="549.09574422754781"/>
    <n v="2372.9739164992616"/>
    <n v="0"/>
    <n v="7.1686039389131437"/>
    <n v="8.3019007275021579"/>
  </r>
  <r>
    <x v="36"/>
    <x v="36"/>
    <n v="10701606.5"/>
    <x v="2"/>
    <n v="0"/>
    <n v="11106031.000000004"/>
    <n v="0"/>
    <m/>
    <n v="0"/>
    <m/>
    <n v="0"/>
    <m/>
    <n v="0"/>
    <m/>
    <n v="0"/>
    <n v="10395329.5"/>
    <n v="0"/>
    <n v="1712"/>
    <m/>
    <n v="4760"/>
    <m/>
    <n v="6040"/>
    <m/>
    <n v="0"/>
    <n v="10913163.5"/>
    <n v="0"/>
    <n v="1712"/>
    <n v="0"/>
    <n v="4760"/>
    <n v="6040"/>
    <n v="0"/>
    <s v=""/>
    <n v="1712"/>
    <s v="2018 (triag)"/>
    <n v="6040"/>
    <n v="2020"/>
    <x v="0"/>
    <n v="6040"/>
    <n v="6040"/>
    <s v="Increasing"/>
    <n v="0.25992104989487319"/>
    <n v="5.4673730437993617E-2"/>
    <n v="466.75864653304961"/>
    <n v="2017.145652952699"/>
    <n v="0"/>
    <n v="1.6468934438297507"/>
    <n v="5.5346004850014392"/>
  </r>
  <r>
    <x v="36"/>
    <x v="36"/>
    <n v="10701607.5"/>
    <x v="3"/>
    <n v="0"/>
    <n v="11106031.000000004"/>
    <n v="0"/>
    <m/>
    <n v="0"/>
    <m/>
    <n v="0"/>
    <m/>
    <n v="0"/>
    <m/>
    <n v="32485"/>
    <n v="10395329.5"/>
    <n v="0"/>
    <n v="360"/>
    <m/>
    <n v="0"/>
    <m/>
    <n v="0"/>
    <m/>
    <n v="0"/>
    <n v="10913163.5"/>
    <n v="0"/>
    <n v="360"/>
    <n v="0"/>
    <n v="32485"/>
    <n v="0"/>
    <n v="0"/>
    <s v=""/>
    <n v="360"/>
    <s v="2018 (triag)"/>
    <n v="360"/>
    <s v="2018 (triag)"/>
    <x v="0"/>
    <n v="360"/>
    <n v="360"/>
    <s v="No change"/>
    <n v="0.25992104989487319"/>
    <n v="5.4673730437993617E-2"/>
    <n v="98.150182682183328"/>
    <n v="424.16614197603485"/>
    <n v="0"/>
    <n v="0.34630936902962045"/>
    <n v="0.32987685009942352"/>
  </r>
  <r>
    <x v="36"/>
    <x v="36"/>
    <n v="10701608.5"/>
    <x v="4"/>
    <n v="68"/>
    <n v="11106031.000000004"/>
    <n v="0"/>
    <m/>
    <n v="0"/>
    <m/>
    <n v="0"/>
    <m/>
    <n v="0"/>
    <m/>
    <n v="10504"/>
    <n v="10395329.5"/>
    <n v="0"/>
    <n v="32"/>
    <m/>
    <n v="0"/>
    <m/>
    <n v="21"/>
    <m/>
    <n v="0"/>
    <n v="10913163.5"/>
    <n v="0"/>
    <n v="32"/>
    <n v="68"/>
    <n v="10504"/>
    <n v="21"/>
    <n v="68"/>
    <n v="2012"/>
    <n v="32"/>
    <s v="2018 (triag)"/>
    <n v="21"/>
    <n v="2020"/>
    <x v="1"/>
    <n v="24.135271530728719"/>
    <n v="32"/>
    <s v="Decreasing"/>
    <n v="0.25992104989487319"/>
    <n v="5.4673730437993617E-2"/>
    <n v="8.7244606828607409"/>
    <n v="37.703657064536429"/>
    <n v="6.1227994051160112E-2"/>
    <n v="3.0783055024855153E-2"/>
    <n v="2.9322386675504311E-2"/>
  </r>
  <r>
    <x v="36"/>
    <x v="36"/>
    <n v="10701609.5"/>
    <x v="5"/>
    <n v="0"/>
    <n v="11106031.000000004"/>
    <n v="0"/>
    <m/>
    <n v="0"/>
    <m/>
    <n v="0"/>
    <m/>
    <n v="0"/>
    <m/>
    <n v="0"/>
    <n v="10395329.5"/>
    <n v="1455"/>
    <n v="1455"/>
    <m/>
    <n v="850"/>
    <m/>
    <n v="2826"/>
    <m/>
    <n v="0"/>
    <n v="10913163.5"/>
    <n v="0"/>
    <n v="1455"/>
    <n v="0"/>
    <n v="1455"/>
    <n v="2826"/>
    <n v="0"/>
    <s v=""/>
    <n v="1455"/>
    <n v="2018"/>
    <n v="2826"/>
    <n v="2020"/>
    <x v="0"/>
    <n v="2826"/>
    <n v="2826"/>
    <s v="Increasing"/>
    <n v="0.25992104989487319"/>
    <n v="5.4673730437993617E-2"/>
    <n v="396.69032167382431"/>
    <n v="1714.3381571531409"/>
    <n v="0"/>
    <n v="1.3996670331613827"/>
    <n v="2.5895332732804746"/>
  </r>
  <r>
    <x v="36"/>
    <x v="36"/>
    <n v="10701610.5"/>
    <x v="6"/>
    <n v="0"/>
    <n v="11106031.000000004"/>
    <n v="0"/>
    <m/>
    <n v="0"/>
    <m/>
    <n v="0"/>
    <m/>
    <n v="0"/>
    <m/>
    <n v="0"/>
    <n v="10395329.5"/>
    <n v="0"/>
    <n v="22"/>
    <m/>
    <n v="0"/>
    <m/>
    <n v="0"/>
    <m/>
    <n v="0"/>
    <n v="10913163.5"/>
    <n v="0"/>
    <n v="22"/>
    <n v="0"/>
    <n v="0"/>
    <n v="0"/>
    <n v="0"/>
    <s v=""/>
    <n v="22"/>
    <s v="2018 (triag)"/>
    <n v="22"/>
    <s v="2018 (triag)"/>
    <x v="0"/>
    <n v="22"/>
    <n v="22"/>
    <s v="No change"/>
    <n v="0.25992104989487319"/>
    <n v="5.4673730437993617E-2"/>
    <n v="5.9980667194667587"/>
    <n v="25.921264231868797"/>
    <n v="0"/>
    <n v="2.1163350329587917E-2"/>
    <n v="2.0159140839409215E-2"/>
  </r>
  <r>
    <x v="36"/>
    <x v="36"/>
    <n v="10701611.5"/>
    <x v="7"/>
    <n v="0"/>
    <n v="11106031.000000004"/>
    <n v="0"/>
    <m/>
    <n v="0"/>
    <m/>
    <n v="0"/>
    <m/>
    <n v="0"/>
    <m/>
    <n v="3435"/>
    <n v="10395329.5"/>
    <n v="0"/>
    <n v="250"/>
    <m/>
    <n v="0"/>
    <m/>
    <n v="0"/>
    <m/>
    <n v="0"/>
    <n v="10913163.5"/>
    <n v="0"/>
    <n v="250"/>
    <n v="0"/>
    <n v="3435"/>
    <n v="0"/>
    <n v="0"/>
    <s v=""/>
    <n v="250"/>
    <s v="2018 (triag)"/>
    <n v="250"/>
    <s v="2018 (triag)"/>
    <x v="0"/>
    <n v="250"/>
    <n v="250"/>
    <s v="No change"/>
    <n v="0.25992104989487319"/>
    <n v="5.4673730437993617E-2"/>
    <n v="68.15984908484954"/>
    <n v="294.55982081669083"/>
    <n v="0"/>
    <n v="0.24049261738168087"/>
    <n v="0.22908114590237744"/>
  </r>
  <r>
    <x v="36"/>
    <x v="36"/>
    <n v="10701612.5"/>
    <x v="8"/>
    <n v="0"/>
    <n v="11106031.000000004"/>
    <n v="0"/>
    <m/>
    <n v="0"/>
    <m/>
    <n v="0"/>
    <m/>
    <n v="0"/>
    <m/>
    <n v="0"/>
    <n v="10395329.5"/>
    <n v="0"/>
    <n v="0"/>
    <m/>
    <n v="5870"/>
    <m/>
    <n v="0"/>
    <m/>
    <n v="0"/>
    <n v="10913163.5"/>
    <n v="0"/>
    <n v="0"/>
    <n v="0"/>
    <n v="5870"/>
    <n v="0"/>
    <n v="0"/>
    <s v=""/>
    <n v="5870"/>
    <n v="2019"/>
    <n v="5870"/>
    <n v="2019"/>
    <x v="0"/>
    <n v="5870"/>
    <n v="5870"/>
    <s v="No change"/>
    <n v="0.25992104989487319"/>
    <n v="5.4673730437993617E-2"/>
    <n v="0"/>
    <n v="0"/>
    <n v="0"/>
    <n v="5.6467666561218675"/>
    <n v="5.3788253057878226"/>
  </r>
  <r>
    <x v="36"/>
    <x v="36"/>
    <n v="10701613.5"/>
    <x v="9"/>
    <n v="0"/>
    <n v="11106031.000000004"/>
    <n v="0"/>
    <m/>
    <n v="0"/>
    <m/>
    <n v="0"/>
    <m/>
    <n v="0"/>
    <m/>
    <n v="0"/>
    <n v="10395329.5"/>
    <n v="0"/>
    <n v="20"/>
    <m/>
    <n v="0"/>
    <m/>
    <n v="0"/>
    <m/>
    <n v="0"/>
    <n v="10913163.5"/>
    <n v="0"/>
    <n v="20"/>
    <n v="0"/>
    <n v="0"/>
    <n v="0"/>
    <n v="0"/>
    <s v=""/>
    <n v="20"/>
    <s v="2018 (triag)"/>
    <n v="20"/>
    <s v="2018 (triag)"/>
    <x v="0"/>
    <n v="20"/>
    <n v="20"/>
    <s v="No change"/>
    <n v="0.25992104989487319"/>
    <n v="5.4673730437993617E-2"/>
    <n v="5.4527879267879626"/>
    <n v="23.564785665335268"/>
    <n v="0"/>
    <n v="1.9239409390534472E-2"/>
    <n v="1.8326491672190196E-2"/>
  </r>
  <r>
    <x v="36"/>
    <x v="36"/>
    <n v="10701614.5"/>
    <x v="10"/>
    <n v="0"/>
    <n v="11106031.000000004"/>
    <n v="0"/>
    <m/>
    <n v="0"/>
    <m/>
    <n v="0"/>
    <m/>
    <n v="0"/>
    <m/>
    <n v="0"/>
    <n v="10395329.5"/>
    <n v="2"/>
    <n v="21"/>
    <m/>
    <n v="0"/>
    <m/>
    <n v="0"/>
    <m/>
    <n v="0"/>
    <n v="10913163.5"/>
    <n v="0"/>
    <n v="21"/>
    <n v="0"/>
    <n v="2"/>
    <n v="0"/>
    <n v="0"/>
    <s v=""/>
    <n v="21"/>
    <s v="2018 (triag)"/>
    <n v="21"/>
    <s v="2018 (triag)"/>
    <x v="0"/>
    <n v="21"/>
    <n v="21"/>
    <s v="No change"/>
    <n v="0.25992104989487319"/>
    <n v="5.4673730437993617E-2"/>
    <n v="5.7254273231273611"/>
    <n v="24.743024948602031"/>
    <n v="0"/>
    <n v="2.0201379860061194E-2"/>
    <n v="1.9242816255799704E-2"/>
  </r>
  <r>
    <x v="36"/>
    <x v="36"/>
    <n v="10701615.5"/>
    <x v="11"/>
    <n v="0"/>
    <n v="11106031.000000004"/>
    <n v="0"/>
    <m/>
    <n v="0"/>
    <m/>
    <n v="0"/>
    <m/>
    <n v="0"/>
    <m/>
    <n v="0"/>
    <n v="10395329.5"/>
    <n v="272"/>
    <n v="272"/>
    <m/>
    <n v="485"/>
    <m/>
    <n v="635"/>
    <m/>
    <n v="0"/>
    <n v="10913163.5"/>
    <n v="0"/>
    <n v="16"/>
    <n v="0"/>
    <n v="485"/>
    <n v="635"/>
    <n v="0"/>
    <s v=""/>
    <n v="272"/>
    <n v="2018"/>
    <n v="635"/>
    <n v="2020"/>
    <x v="0"/>
    <n v="635"/>
    <n v="635"/>
    <s v="Increasing"/>
    <n v="0.25992104989487319"/>
    <n v="5.4673730437993617E-2"/>
    <n v="4.3622303414303705"/>
    <n v="18.851828532268215"/>
    <n v="0"/>
    <n v="0.26165596771126881"/>
    <n v="0.58186611059203874"/>
  </r>
  <r>
    <x v="36"/>
    <x v="36"/>
    <n v="10701616.5"/>
    <x v="12"/>
    <n v="0"/>
    <n v="11106031.000000004"/>
    <n v="0"/>
    <m/>
    <n v="0"/>
    <m/>
    <n v="0"/>
    <m/>
    <n v="0"/>
    <m/>
    <n v="0"/>
    <n v="10395329.5"/>
    <n v="0"/>
    <n v="1306"/>
    <m/>
    <n v="0"/>
    <m/>
    <n v="0"/>
    <m/>
    <n v="0"/>
    <n v="10913163.5"/>
    <n v="0"/>
    <n v="1306"/>
    <n v="0"/>
    <n v="0"/>
    <n v="0"/>
    <n v="0"/>
    <s v=""/>
    <n v="1306"/>
    <s v="2018 (triag)"/>
    <n v="1306"/>
    <s v="2018 (triag)"/>
    <x v="0"/>
    <n v="1306"/>
    <n v="1306"/>
    <s v="No change"/>
    <n v="0.25992104989487319"/>
    <n v="5.4673730437993617E-2"/>
    <n v="356.06705161925396"/>
    <n v="1538.7805039463931"/>
    <n v="0"/>
    <n v="1.2563334332019009"/>
    <n v="1.1967199061940197"/>
  </r>
  <r>
    <x v="36"/>
    <x v="36"/>
    <n v="10701617.5"/>
    <x v="13"/>
    <n v="0"/>
    <n v="11106031.000000004"/>
    <n v="0"/>
    <m/>
    <n v="0"/>
    <m/>
    <n v="0"/>
    <m/>
    <n v="0"/>
    <m/>
    <n v="0"/>
    <n v="10395329.5"/>
    <n v="0"/>
    <n v="6"/>
    <m/>
    <n v="13"/>
    <m/>
    <n v="16"/>
    <m/>
    <n v="0"/>
    <n v="10913163.5"/>
    <n v="0"/>
    <n v="6"/>
    <n v="0"/>
    <n v="13"/>
    <n v="16"/>
    <n v="0"/>
    <s v=""/>
    <n v="6"/>
    <s v="2018 (triag)"/>
    <n v="16"/>
    <n v="2020"/>
    <x v="0"/>
    <n v="16"/>
    <n v="16"/>
    <s v="Increasing"/>
    <n v="0.25992104989487319"/>
    <n v="5.4673730437993617E-2"/>
    <n v="1.6358363780363889"/>
    <n v="7.0694356996005805"/>
    <n v="0"/>
    <n v="5.7718228171603414E-3"/>
    <n v="1.4661193337752156E-2"/>
  </r>
  <r>
    <x v="36"/>
    <x v="36"/>
    <n v="10701618.5"/>
    <x v="14"/>
    <n v="0"/>
    <n v="11106031.000000004"/>
    <n v="0"/>
    <m/>
    <n v="0"/>
    <m/>
    <n v="0"/>
    <m/>
    <n v="0"/>
    <m/>
    <n v="0"/>
    <n v="10395329.5"/>
    <n v="0"/>
    <n v="57"/>
    <m/>
    <n v="850"/>
    <m/>
    <n v="1006"/>
    <m/>
    <n v="0"/>
    <n v="10913163.5"/>
    <n v="0"/>
    <n v="57"/>
    <n v="0"/>
    <n v="850"/>
    <n v="1006"/>
    <n v="0"/>
    <s v=""/>
    <n v="57"/>
    <s v="2018 (triag)"/>
    <n v="1006"/>
    <n v="2020"/>
    <x v="0"/>
    <n v="1006"/>
    <n v="1006"/>
    <s v="Increasing"/>
    <n v="0.25992104989487319"/>
    <n v="5.4673730437993617E-2"/>
    <n v="15.540445591345694"/>
    <n v="67.159639146205521"/>
    <n v="0"/>
    <n v="5.4832316763023241E-2"/>
    <n v="0.92182253111116685"/>
  </r>
  <r>
    <x v="36"/>
    <x v="36"/>
    <n v="10701619.5"/>
    <x v="15"/>
    <n v="0"/>
    <n v="11106031.000000004"/>
    <n v="0"/>
    <m/>
    <n v="0"/>
    <m/>
    <n v="0"/>
    <m/>
    <n v="0"/>
    <m/>
    <n v="0"/>
    <n v="10395329.5"/>
    <n v="0"/>
    <n v="7"/>
    <m/>
    <n v="13"/>
    <m/>
    <n v="24"/>
    <m/>
    <n v="0"/>
    <n v="10913163.5"/>
    <n v="0"/>
    <n v="7"/>
    <n v="0"/>
    <n v="13"/>
    <n v="24"/>
    <n v="0"/>
    <s v=""/>
    <n v="7"/>
    <s v="2018 (triag)"/>
    <n v="24"/>
    <n v="2020"/>
    <x v="0"/>
    <n v="24"/>
    <n v="24"/>
    <s v="Increasing"/>
    <n v="0.25992104989487319"/>
    <n v="5.4673730437993617E-2"/>
    <n v="1.908475774375787"/>
    <n v="8.2476749828673448"/>
    <n v="0"/>
    <n v="6.7337932866870648E-3"/>
    <n v="2.1991790006628233E-2"/>
  </r>
  <r>
    <x v="36"/>
    <x v="36"/>
    <n v="10701620.5"/>
    <x v="16"/>
    <n v="0"/>
    <n v="11106031.000000004"/>
    <n v="0"/>
    <m/>
    <n v="0"/>
    <m/>
    <n v="0"/>
    <m/>
    <n v="0"/>
    <m/>
    <n v="0"/>
    <n v="10395329.5"/>
    <n v="0"/>
    <n v="0"/>
    <m/>
    <n v="0"/>
    <m/>
    <n v="0"/>
    <m/>
    <n v="0"/>
    <n v="10913163.5"/>
    <n v="0"/>
    <n v="0"/>
    <n v="0"/>
    <n v="0"/>
    <n v="0"/>
    <n v="0"/>
    <s v=""/>
    <n v="0"/>
    <s v=""/>
    <n v="0"/>
    <s v=""/>
    <x v="0"/>
    <n v="0"/>
    <n v="0"/>
    <s v="No change"/>
    <n v="0.25992104989487319"/>
    <n v="5.4673730437993617E-2"/>
    <n v="0"/>
    <n v="0"/>
    <n v="0"/>
    <n v="0"/>
    <n v="0"/>
  </r>
  <r>
    <x v="36"/>
    <x v="36"/>
    <n v="10701621.5"/>
    <x v="17"/>
    <n v="0"/>
    <n v="11106031.000000004"/>
    <n v="0"/>
    <m/>
    <n v="0"/>
    <m/>
    <n v="0"/>
    <m/>
    <n v="0"/>
    <m/>
    <n v="0"/>
    <n v="10395329.5"/>
    <n v="0"/>
    <n v="0"/>
    <m/>
    <n v="0"/>
    <m/>
    <n v="0"/>
    <m/>
    <n v="0"/>
    <n v="10913163.5"/>
    <n v="0"/>
    <n v="0"/>
    <n v="0"/>
    <n v="0"/>
    <n v="0"/>
    <n v="0"/>
    <s v=""/>
    <n v="0"/>
    <s v=""/>
    <n v="0"/>
    <s v=""/>
    <x v="0"/>
    <n v="0"/>
    <n v="0"/>
    <s v="No change"/>
    <n v="0.25992104989487319"/>
    <n v="5.4673730437993617E-2"/>
    <n v="0"/>
    <n v="0"/>
    <n v="0"/>
    <n v="0"/>
    <n v="0"/>
  </r>
  <r>
    <x v="36"/>
    <x v="36"/>
    <n v="10701622.5"/>
    <x v="18"/>
    <n v="0"/>
    <n v="11106031.000000004"/>
    <n v="0"/>
    <m/>
    <n v="0"/>
    <m/>
    <n v="0"/>
    <m/>
    <n v="0"/>
    <m/>
    <n v="0"/>
    <n v="10395329.5"/>
    <n v="0"/>
    <n v="272"/>
    <m/>
    <n v="0"/>
    <m/>
    <n v="0"/>
    <m/>
    <n v="0"/>
    <n v="10913163.5"/>
    <n v="0"/>
    <n v="272"/>
    <n v="0"/>
    <n v="0"/>
    <n v="0"/>
    <n v="0"/>
    <s v=""/>
    <n v="272"/>
    <s v="2018 (triag)"/>
    <n v="272"/>
    <s v="2018 (triag)"/>
    <x v="0"/>
    <n v="272"/>
    <n v="272"/>
    <s v="No change"/>
    <n v="0.25992104989487319"/>
    <n v="5.4673730437993617E-2"/>
    <n v="74.157915804316289"/>
    <n v="320.48108504855963"/>
    <n v="0"/>
    <n v="0.26165596771126881"/>
    <n v="0.24924028674178664"/>
  </r>
  <r>
    <x v="36"/>
    <x v="36"/>
    <n v="10701623.5"/>
    <x v="19"/>
    <n v="0"/>
    <n v="11106031.000000004"/>
    <n v="0"/>
    <m/>
    <n v="0"/>
    <m/>
    <n v="0"/>
    <m/>
    <n v="0"/>
    <m/>
    <n v="0"/>
    <n v="10395329.5"/>
    <n v="0"/>
    <n v="0"/>
    <m/>
    <n v="580"/>
    <m/>
    <n v="623"/>
    <m/>
    <n v="0"/>
    <n v="10913163.5"/>
    <n v="0"/>
    <n v="0"/>
    <n v="0"/>
    <n v="580"/>
    <n v="623"/>
    <n v="0"/>
    <s v=""/>
    <n v="580"/>
    <n v="2019"/>
    <n v="623"/>
    <n v="2020"/>
    <x v="0"/>
    <n v="623"/>
    <n v="623"/>
    <s v="Increasing"/>
    <n v="0.25992104989487319"/>
    <n v="5.4673730437993617E-2"/>
    <n v="0"/>
    <n v="0"/>
    <n v="0"/>
    <n v="0.55794287232549966"/>
    <n v="0.57087021558872453"/>
  </r>
  <r>
    <x v="36"/>
    <x v="36"/>
    <n v="10701624.5"/>
    <x v="20"/>
    <n v="0"/>
    <n v="11106031.000000004"/>
    <n v="0"/>
    <m/>
    <n v="0"/>
    <m/>
    <n v="0"/>
    <m/>
    <n v="0"/>
    <m/>
    <n v="0"/>
    <n v="10395329.5"/>
    <n v="0"/>
    <n v="9"/>
    <m/>
    <n v="11"/>
    <m/>
    <n v="17"/>
    <m/>
    <n v="0"/>
    <n v="10913163.5"/>
    <n v="0"/>
    <n v="9"/>
    <n v="0"/>
    <n v="11"/>
    <n v="17"/>
    <n v="0"/>
    <s v=""/>
    <n v="9"/>
    <s v="2018 (triag)"/>
    <n v="17"/>
    <n v="2020"/>
    <x v="0"/>
    <n v="17"/>
    <n v="17"/>
    <s v="Increasing"/>
    <n v="0.25992104989487319"/>
    <n v="5.4673730437993617E-2"/>
    <n v="2.4537545670545833"/>
    <n v="10.60415354940087"/>
    <n v="0"/>
    <n v="8.6577342257405116E-3"/>
    <n v="1.5577517921361665E-2"/>
  </r>
  <r>
    <x v="36"/>
    <x v="36"/>
    <n v="10701625.5"/>
    <x v="21"/>
    <n v="0"/>
    <n v="11106031.000000004"/>
    <n v="0"/>
    <m/>
    <n v="0"/>
    <m/>
    <n v="0"/>
    <m/>
    <n v="0"/>
    <m/>
    <n v="0"/>
    <n v="10395329.5"/>
    <n v="0"/>
    <n v="0"/>
    <m/>
    <n v="0"/>
    <m/>
    <n v="0"/>
    <m/>
    <n v="0"/>
    <n v="10913163.5"/>
    <n v="0"/>
    <n v="0"/>
    <n v="0"/>
    <n v="0"/>
    <n v="0"/>
    <n v="0"/>
    <s v=""/>
    <n v="0"/>
    <s v=""/>
    <n v="0"/>
    <s v=""/>
    <x v="0"/>
    <n v="0"/>
    <n v="0"/>
    <s v="No change"/>
    <n v="0.25992104989487319"/>
    <n v="5.4673730437993617E-2"/>
    <n v="0"/>
    <n v="0"/>
    <n v="0"/>
    <n v="0"/>
    <n v="0"/>
  </r>
  <r>
    <x v="36"/>
    <x v="36"/>
    <n v="10701626.5"/>
    <x v="22"/>
    <n v="0"/>
    <n v="11106031.000000004"/>
    <n v="0"/>
    <m/>
    <n v="0"/>
    <m/>
    <n v="0"/>
    <m/>
    <n v="0"/>
    <m/>
    <n v="0"/>
    <n v="10395329.5"/>
    <n v="0"/>
    <n v="0"/>
    <m/>
    <n v="0"/>
    <m/>
    <n v="0"/>
    <m/>
    <n v="0"/>
    <n v="10913163.5"/>
    <n v="0"/>
    <n v="0"/>
    <n v="0"/>
    <n v="0"/>
    <n v="0"/>
    <n v="0"/>
    <s v=""/>
    <n v="0"/>
    <s v=""/>
    <n v="0"/>
    <s v=""/>
    <x v="0"/>
    <n v="0"/>
    <n v="0"/>
    <s v="No change"/>
    <n v="0.25992104989487319"/>
    <n v="5.4673730437993617E-2"/>
    <n v="0"/>
    <n v="0"/>
    <n v="0"/>
    <n v="0"/>
    <n v="0"/>
  </r>
  <r>
    <x v="36"/>
    <x v="36"/>
    <n v="10701627.5"/>
    <x v="23"/>
    <n v="0"/>
    <n v="11106031.000000004"/>
    <n v="0"/>
    <m/>
    <n v="0"/>
    <m/>
    <n v="0"/>
    <m/>
    <n v="0"/>
    <m/>
    <n v="0"/>
    <n v="10395329.5"/>
    <n v="0"/>
    <n v="0"/>
    <m/>
    <n v="0"/>
    <m/>
    <n v="0"/>
    <m/>
    <n v="0"/>
    <n v="10913163.5"/>
    <n v="0"/>
    <n v="0"/>
    <n v="0"/>
    <n v="0"/>
    <n v="0"/>
    <n v="0"/>
    <s v=""/>
    <n v="0"/>
    <s v=""/>
    <n v="0"/>
    <s v=""/>
    <x v="0"/>
    <n v="0"/>
    <n v="0"/>
    <s v="No change"/>
    <n v="0.25992104989487319"/>
    <n v="5.4673730437993617E-2"/>
    <n v="0"/>
    <n v="0"/>
    <n v="0"/>
    <n v="0"/>
    <n v="0"/>
  </r>
  <r>
    <x v="37"/>
    <x v="37"/>
    <n v="189924.5"/>
    <x v="0"/>
    <n v="0"/>
    <n v="193756.99999999997"/>
    <n v="0"/>
    <n v="197496.99999999994"/>
    <n v="0"/>
    <n v="201123.50000000012"/>
    <n v="126"/>
    <n v="204632.49999999985"/>
    <n v="0"/>
    <n v="208036.50000000012"/>
    <n v="0"/>
    <n v="211344"/>
    <n v="0"/>
    <n v="60"/>
    <n v="214599.00000000006"/>
    <n v="213"/>
    <n v="218640.99999999997"/>
    <n v="0"/>
    <n v="223107.49999999991"/>
    <n v="0"/>
    <n v="227379.5"/>
    <n v="0"/>
    <n v="60"/>
    <n v="126"/>
    <n v="213"/>
    <n v="0"/>
    <n v="126"/>
    <n v="2015"/>
    <n v="60"/>
    <s v="2018 (triag)"/>
    <n v="213"/>
    <s v="2018 (triag)"/>
    <x v="0"/>
    <n v="213"/>
    <n v="213"/>
    <s v="Increasing"/>
    <n v="-0.16643545882510058"/>
    <n v="0.34338657876279233"/>
    <n v="137.89904456982694"/>
    <n v="168.09079813778811"/>
    <n v="6.5029908596850703"/>
    <n v="2.8389734272087215"/>
    <n v="9.3675991019419076"/>
  </r>
  <r>
    <x v="37"/>
    <x v="37"/>
    <n v="189925.5"/>
    <x v="1"/>
    <n v="0"/>
    <n v="193756.99999999997"/>
    <n v="0"/>
    <m/>
    <n v="0"/>
    <m/>
    <n v="884"/>
    <m/>
    <n v="0"/>
    <m/>
    <n v="0"/>
    <n v="211344"/>
    <n v="812"/>
    <n v="812"/>
    <m/>
    <n v="880"/>
    <m/>
    <n v="0"/>
    <m/>
    <n v="0"/>
    <n v="227379.5"/>
    <n v="0"/>
    <n v="206"/>
    <n v="884"/>
    <n v="880"/>
    <n v="0"/>
    <n v="884"/>
    <n v="2015"/>
    <n v="812"/>
    <n v="2018"/>
    <n v="880"/>
    <n v="2018"/>
    <x v="0"/>
    <n v="880"/>
    <n v="880"/>
    <s v="Increasing"/>
    <n v="-0.16643545882510058"/>
    <n v="0.34338657876279233"/>
    <n v="473.45338635640582"/>
    <n v="577.11174027307254"/>
    <n v="45.62415809493335"/>
    <n v="38.420773714891361"/>
    <n v="38.701817885957176"/>
  </r>
  <r>
    <x v="37"/>
    <x v="37"/>
    <n v="189926.5"/>
    <x v="2"/>
    <n v="0"/>
    <n v="193756.99999999997"/>
    <n v="62"/>
    <m/>
    <n v="0"/>
    <m/>
    <n v="0"/>
    <m/>
    <n v="0"/>
    <m/>
    <n v="0"/>
    <n v="211344"/>
    <n v="0"/>
    <n v="50"/>
    <m/>
    <n v="44"/>
    <m/>
    <n v="0"/>
    <m/>
    <n v="0"/>
    <n v="227379.5"/>
    <n v="0"/>
    <n v="50"/>
    <n v="62"/>
    <n v="44"/>
    <n v="0"/>
    <n v="62"/>
    <n v="2013"/>
    <n v="50"/>
    <s v="2018 (triag)"/>
    <n v="44"/>
    <s v="2018 (triag)"/>
    <x v="1"/>
    <n v="50.569140350098266"/>
    <n v="50.569140350098266"/>
    <s v="Increasing"/>
    <n v="-0.16643545882510058"/>
    <n v="0.34338657876279233"/>
    <n v="114.91587047485578"/>
    <n v="140.07566511482344"/>
    <n v="3.1998843912736059"/>
    <n v="2.3658111893406013"/>
    <n v="2.223997341453309"/>
  </r>
  <r>
    <x v="37"/>
    <x v="37"/>
    <n v="189927.5"/>
    <x v="3"/>
    <n v="0"/>
    <n v="193756.99999999997"/>
    <n v="82"/>
    <m/>
    <n v="2683"/>
    <m/>
    <n v="617"/>
    <m/>
    <n v="27"/>
    <m/>
    <n v="821"/>
    <n v="211344"/>
    <n v="1721"/>
    <n v="1721"/>
    <m/>
    <n v="349"/>
    <m/>
    <n v="3797"/>
    <m/>
    <n v="1057"/>
    <n v="227379.5"/>
    <n v="0"/>
    <n v="0"/>
    <n v="2683"/>
    <n v="1721"/>
    <n v="3797"/>
    <n v="82"/>
    <n v="2013"/>
    <n v="1721"/>
    <n v="2018"/>
    <n v="1057"/>
    <n v="2021"/>
    <x v="1"/>
    <n v="1214.8086670466789"/>
    <n v="1721"/>
    <s v="Decreasing"/>
    <n v="-0.16643545882510058"/>
    <n v="0.34338657876279233"/>
    <n v="0"/>
    <n v="0"/>
    <n v="4.2321051626521884"/>
    <n v="81.431221137103492"/>
    <n v="75.688441570150346"/>
  </r>
  <r>
    <x v="37"/>
    <x v="37"/>
    <n v="189928.5"/>
    <x v="4"/>
    <n v="84"/>
    <n v="193756.99999999997"/>
    <n v="22"/>
    <m/>
    <n v="528"/>
    <m/>
    <n v="6"/>
    <m/>
    <n v="225"/>
    <m/>
    <n v="264"/>
    <n v="211344"/>
    <n v="0"/>
    <n v="0"/>
    <m/>
    <n v="78"/>
    <m/>
    <n v="689"/>
    <m/>
    <n v="256"/>
    <n v="227379.5"/>
    <n v="0"/>
    <n v="0"/>
    <n v="528"/>
    <n v="264"/>
    <n v="689"/>
    <n v="22"/>
    <n v="2013"/>
    <n v="264"/>
    <n v="2017"/>
    <n v="256"/>
    <n v="2021"/>
    <x v="1"/>
    <n v="294.22045294602628"/>
    <n v="294.22045294602628"/>
    <s v="Increasing"/>
    <n v="-0.16643545882510058"/>
    <n v="0.34338657876279233"/>
    <n v="0"/>
    <n v="0"/>
    <n v="1.135442848516441"/>
    <n v="12.491483079718375"/>
    <n v="12.939620895728345"/>
  </r>
  <r>
    <x v="37"/>
    <x v="37"/>
    <n v="189929.5"/>
    <x v="5"/>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30.5"/>
    <x v="6"/>
    <n v="0"/>
    <n v="193756.99999999997"/>
    <n v="4"/>
    <m/>
    <n v="2217"/>
    <m/>
    <n v="0"/>
    <m/>
    <n v="0"/>
    <m/>
    <n v="61"/>
    <n v="211344"/>
    <n v="0"/>
    <n v="0"/>
    <m/>
    <n v="14"/>
    <m/>
    <n v="1344"/>
    <m/>
    <n v="44"/>
    <n v="227379.5"/>
    <n v="0"/>
    <n v="0"/>
    <n v="2217"/>
    <n v="61"/>
    <n v="1344"/>
    <n v="4"/>
    <n v="2013"/>
    <n v="61"/>
    <n v="2017"/>
    <n v="44"/>
    <n v="2021"/>
    <x v="1"/>
    <n v="50.569140350098266"/>
    <n v="61"/>
    <s v="Decreasing"/>
    <n v="-0.16643545882510058"/>
    <n v="0.34338657876279233"/>
    <n v="0"/>
    <n v="0"/>
    <n v="0.20644415427571652"/>
    <n v="2.8862896509955331"/>
    <n v="2.6827396489129409"/>
  </r>
  <r>
    <x v="37"/>
    <x v="37"/>
    <n v="189931.5"/>
    <x v="7"/>
    <n v="0"/>
    <n v="193756.99999999997"/>
    <n v="24"/>
    <m/>
    <n v="4286"/>
    <m/>
    <n v="0"/>
    <m/>
    <n v="0"/>
    <m/>
    <n v="548"/>
    <n v="211344"/>
    <n v="0"/>
    <n v="0"/>
    <m/>
    <n v="26"/>
    <m/>
    <n v="0"/>
    <m/>
    <n v="245"/>
    <n v="227379.5"/>
    <n v="0"/>
    <n v="0"/>
    <n v="4286"/>
    <n v="548"/>
    <n v="245"/>
    <n v="24"/>
    <n v="2013"/>
    <n v="548"/>
    <n v="2017"/>
    <n v="245"/>
    <n v="2021"/>
    <x v="1"/>
    <n v="281.57816785850173"/>
    <n v="548"/>
    <s v="Decreasing"/>
    <n v="-0.16643545882510058"/>
    <n v="0.34338657876279233"/>
    <n v="0"/>
    <n v="0"/>
    <n v="1.2386649256542992"/>
    <n v="25.92929063517299"/>
    <n v="24.100677501709697"/>
  </r>
  <r>
    <x v="37"/>
    <x v="37"/>
    <n v="189932.5"/>
    <x v="8"/>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33.5"/>
    <x v="9"/>
    <n v="0"/>
    <n v="193756.99999999997"/>
    <n v="0"/>
    <m/>
    <n v="0"/>
    <m/>
    <n v="0"/>
    <m/>
    <n v="0"/>
    <m/>
    <n v="0"/>
    <n v="211344"/>
    <n v="0"/>
    <n v="79"/>
    <m/>
    <n v="0"/>
    <m/>
    <n v="0"/>
    <m/>
    <n v="0"/>
    <n v="227379.5"/>
    <n v="0"/>
    <n v="79"/>
    <n v="0"/>
    <n v="0"/>
    <n v="0"/>
    <n v="0"/>
    <s v=""/>
    <n v="79"/>
    <s v="2018 (triag)"/>
    <n v="79"/>
    <s v="2018 (triag)"/>
    <x v="0"/>
    <n v="79"/>
    <n v="79"/>
    <s v="No change"/>
    <n v="-0.16643545882510058"/>
    <n v="0.34338657876279233"/>
    <n v="181.56707535027212"/>
    <n v="221.31955088142104"/>
    <n v="0"/>
    <n v="3.7379816791581497"/>
    <n v="3.4743677420347923"/>
  </r>
  <r>
    <x v="37"/>
    <x v="37"/>
    <n v="189934.5"/>
    <x v="10"/>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35.5"/>
    <x v="11"/>
    <n v="0"/>
    <n v="193756.99999999997"/>
    <n v="0"/>
    <m/>
    <n v="0"/>
    <m/>
    <n v="0"/>
    <m/>
    <n v="0"/>
    <m/>
    <n v="0"/>
    <n v="211344"/>
    <n v="0"/>
    <n v="146"/>
    <m/>
    <n v="0"/>
    <m/>
    <n v="0"/>
    <m/>
    <n v="0"/>
    <n v="227379.5"/>
    <n v="0"/>
    <n v="146"/>
    <n v="0"/>
    <n v="0"/>
    <n v="0"/>
    <n v="0"/>
    <s v=""/>
    <n v="146"/>
    <s v="2018 (triag)"/>
    <n v="146"/>
    <s v="2018 (triag)"/>
    <x v="0"/>
    <n v="146"/>
    <n v="146"/>
    <s v="No change"/>
    <n v="-0.16643545882510058"/>
    <n v="0.34338657876279233"/>
    <n v="335.5543417865789"/>
    <n v="409.02094213528443"/>
    <n v="0"/>
    <n v="6.908168672874555"/>
    <n v="6.4209834219883497"/>
  </r>
  <r>
    <x v="37"/>
    <x v="37"/>
    <n v="189936.5"/>
    <x v="12"/>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37.5"/>
    <x v="13"/>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38.5"/>
    <x v="14"/>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39.5"/>
    <x v="15"/>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40.5"/>
    <x v="16"/>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41.5"/>
    <x v="17"/>
    <n v="0"/>
    <n v="193756.99999999997"/>
    <n v="0"/>
    <m/>
    <n v="0"/>
    <m/>
    <n v="0"/>
    <m/>
    <n v="0"/>
    <m/>
    <n v="0"/>
    <n v="211344"/>
    <n v="0"/>
    <n v="271"/>
    <m/>
    <n v="0"/>
    <m/>
    <n v="0"/>
    <m/>
    <n v="0"/>
    <n v="227379.5"/>
    <n v="0"/>
    <n v="271"/>
    <n v="0"/>
    <n v="0"/>
    <n v="0"/>
    <n v="0"/>
    <s v=""/>
    <n v="271"/>
    <s v="2018 (triag)"/>
    <n v="271"/>
    <s v="2018 (triag)"/>
    <x v="0"/>
    <n v="271"/>
    <n v="271"/>
    <s v="No change"/>
    <n v="-0.16643545882510058"/>
    <n v="0.34338657876279233"/>
    <n v="622.84401797371834"/>
    <n v="759.21010492234302"/>
    <n v="0"/>
    <n v="12.822696646226058"/>
    <n v="11.91840073533454"/>
  </r>
  <r>
    <x v="37"/>
    <x v="37"/>
    <n v="189942.5"/>
    <x v="18"/>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43.5"/>
    <x v="19"/>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44.5"/>
    <x v="20"/>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45.5"/>
    <x v="21"/>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46.5"/>
    <x v="22"/>
    <n v="0"/>
    <n v="193756.99999999997"/>
    <n v="0"/>
    <m/>
    <n v="0"/>
    <m/>
    <n v="0"/>
    <m/>
    <n v="0"/>
    <m/>
    <n v="0"/>
    <n v="211344"/>
    <n v="0"/>
    <n v="0"/>
    <m/>
    <n v="0"/>
    <m/>
    <n v="0"/>
    <m/>
    <n v="0"/>
    <n v="227379.5"/>
    <n v="0"/>
    <n v="0"/>
    <n v="0"/>
    <n v="0"/>
    <n v="0"/>
    <n v="0"/>
    <s v=""/>
    <n v="0"/>
    <s v=""/>
    <n v="0"/>
    <s v=""/>
    <x v="0"/>
    <n v="0"/>
    <n v="0"/>
    <s v="No change"/>
    <n v="-0.16643545882510058"/>
    <n v="0.34338657876279233"/>
    <n v="0"/>
    <n v="0"/>
    <n v="0"/>
    <n v="0"/>
    <n v="0"/>
  </r>
  <r>
    <x v="37"/>
    <x v="37"/>
    <n v="189947.5"/>
    <x v="23"/>
    <n v="0"/>
    <n v="193756.99999999997"/>
    <n v="0"/>
    <m/>
    <n v="0"/>
    <m/>
    <n v="0"/>
    <m/>
    <n v="0"/>
    <m/>
    <n v="0"/>
    <n v="211344"/>
    <n v="0"/>
    <n v="0"/>
    <m/>
    <n v="0"/>
    <m/>
    <n v="0"/>
    <m/>
    <n v="0"/>
    <n v="227379.5"/>
    <n v="0"/>
    <n v="0"/>
    <n v="0"/>
    <n v="0"/>
    <n v="0"/>
    <n v="0"/>
    <s v=""/>
    <n v="0"/>
    <s v=""/>
    <n v="0"/>
    <s v=""/>
    <x v="0"/>
    <n v="0"/>
    <n v="0"/>
    <s v="No change"/>
    <n v="-0.16643545882510058"/>
    <n v="0.34338657876279233"/>
    <n v="0"/>
    <n v="0"/>
    <n v="0"/>
    <n v="0"/>
    <n v="0"/>
  </r>
  <r>
    <x v="38"/>
    <x v="38"/>
    <n v="1111443.9999999998"/>
    <x v="0"/>
    <n v="0"/>
    <n v="1118318.9999999998"/>
    <n v="0"/>
    <n v="1125865.0000000005"/>
    <n v="0"/>
    <n v="1133935.9999999998"/>
    <n v="0"/>
    <n v="1142524"/>
    <n v="220"/>
    <n v="1151390.5000000002"/>
    <n v="425"/>
    <n v="1160427.5"/>
    <n v="556"/>
    <n v="556"/>
    <n v="1169612.9999999998"/>
    <n v="0"/>
    <n v="1180654.9999999998"/>
    <n v="330"/>
    <n v="1192271.0000000002"/>
    <n v="0"/>
    <n v="1201670.4999999995"/>
    <n v="687"/>
    <n v="278"/>
    <n v="0"/>
    <n v="556"/>
    <n v="687"/>
    <n v="0"/>
    <s v=""/>
    <n v="556"/>
    <n v="2018"/>
    <n v="687"/>
    <n v="2022"/>
    <x v="0"/>
    <n v="687"/>
    <n v="687"/>
    <s v="Increasing"/>
    <n v="-0.11185567778326533"/>
    <n v="0.45661638376408309"/>
    <n v="486.33588306521307"/>
    <n v="1093.862473154031"/>
    <n v="0"/>
    <n v="4.791337675124038"/>
    <n v="5.7170414019483733"/>
  </r>
  <r>
    <x v="38"/>
    <x v="38"/>
    <n v="1111445"/>
    <x v="1"/>
    <n v="0"/>
    <n v="1118318.9999999998"/>
    <n v="7470"/>
    <m/>
    <n v="7694"/>
    <m/>
    <n v="7952"/>
    <m/>
    <n v="8400"/>
    <m/>
    <n v="8862"/>
    <n v="1160427.5"/>
    <n v="9412"/>
    <n v="9412"/>
    <m/>
    <n v="0"/>
    <m/>
    <n v="6881"/>
    <m/>
    <n v="0"/>
    <n v="1201670.4999999995"/>
    <n v="5242"/>
    <n v="2204"/>
    <n v="7952"/>
    <n v="9412"/>
    <n v="6881"/>
    <n v="7470"/>
    <n v="2013"/>
    <n v="9412"/>
    <n v="2018"/>
    <n v="5242"/>
    <n v="2022"/>
    <x v="1"/>
    <n v="7513.1470222467879"/>
    <n v="9412"/>
    <s v="Decreasing"/>
    <n v="-0.11185567778326533"/>
    <n v="0.45661638376408309"/>
    <n v="3855.6988714954305"/>
    <n v="8672.2046432787211"/>
    <n v="66.796683236178595"/>
    <n v="81.108039924941451"/>
    <n v="78.324299381569276"/>
  </r>
  <r>
    <x v="38"/>
    <x v="38"/>
    <n v="1111446"/>
    <x v="2"/>
    <n v="0"/>
    <n v="1118318.9999999998"/>
    <n v="0"/>
    <m/>
    <n v="0"/>
    <m/>
    <n v="0"/>
    <m/>
    <n v="0"/>
    <m/>
    <n v="0"/>
    <n v="1160427.5"/>
    <n v="0"/>
    <n v="14"/>
    <m/>
    <n v="0"/>
    <m/>
    <n v="0"/>
    <m/>
    <n v="0"/>
    <n v="1201670.4999999995"/>
    <n v="0"/>
    <n v="14"/>
    <n v="0"/>
    <n v="0"/>
    <n v="0"/>
    <n v="0"/>
    <s v=""/>
    <n v="14"/>
    <s v="2018 (triag)"/>
    <n v="14"/>
    <s v="2018 (triag)"/>
    <x v="0"/>
    <n v="14"/>
    <n v="14"/>
    <s v="No change"/>
    <n v="-0.11185567778326533"/>
    <n v="0.45661638376408309"/>
    <n v="24.491735118392025"/>
    <n v="55.086599367469191"/>
    <n v="0"/>
    <n v="0.12064519325851895"/>
    <n v="0.11650448271801633"/>
  </r>
  <r>
    <x v="38"/>
    <x v="38"/>
    <n v="1111447"/>
    <x v="3"/>
    <n v="3320"/>
    <n v="1118318.9999999998"/>
    <n v="0"/>
    <m/>
    <n v="488"/>
    <m/>
    <n v="65"/>
    <m/>
    <n v="0"/>
    <m/>
    <n v="0"/>
    <n v="1160427.5"/>
    <n v="921"/>
    <n v="921"/>
    <m/>
    <n v="0"/>
    <m/>
    <n v="0"/>
    <m/>
    <n v="0"/>
    <n v="1201670.4999999995"/>
    <n v="42"/>
    <n v="281"/>
    <n v="3320"/>
    <n v="921"/>
    <n v="42"/>
    <n v="3320"/>
    <n v="2012"/>
    <n v="921"/>
    <n v="2018"/>
    <n v="42"/>
    <n v="2022"/>
    <x v="1"/>
    <n v="60.196904794804482"/>
    <n v="921"/>
    <s v="Decreasing"/>
    <n v="-0.11185567778326533"/>
    <n v="0.45661638376408309"/>
    <n v="491.58411201915425"/>
    <n v="1105.6667444470602"/>
    <n v="29.687414771634934"/>
    <n v="7.9367302136497111"/>
    <n v="7.6643306130923605"/>
  </r>
  <r>
    <x v="38"/>
    <x v="38"/>
    <n v="1111448"/>
    <x v="4"/>
    <n v="768"/>
    <n v="1118318.9999999998"/>
    <n v="0"/>
    <m/>
    <n v="214"/>
    <m/>
    <n v="13"/>
    <m/>
    <n v="0"/>
    <m/>
    <n v="0"/>
    <n v="1160427.5"/>
    <n v="275"/>
    <n v="275"/>
    <m/>
    <n v="0"/>
    <m/>
    <n v="0"/>
    <m/>
    <n v="0"/>
    <n v="1201670.4999999995"/>
    <n v="35"/>
    <n v="74"/>
    <n v="768"/>
    <n v="275"/>
    <n v="35"/>
    <n v="768"/>
    <n v="2012"/>
    <n v="275"/>
    <n v="2018"/>
    <n v="35"/>
    <n v="2022"/>
    <x v="1"/>
    <n v="50.164087329003735"/>
    <n v="275"/>
    <s v="Decreasing"/>
    <n v="-0.11185567778326533"/>
    <n v="0.45661638376408309"/>
    <n v="129.45631419721499"/>
    <n v="291.17202522805144"/>
    <n v="6.8674501640408518"/>
    <n v="2.3698162961494793"/>
    <n v="2.2884809105324639"/>
  </r>
  <r>
    <x v="38"/>
    <x v="38"/>
    <n v="1111449"/>
    <x v="5"/>
    <n v="0"/>
    <n v="1118318.9999999998"/>
    <n v="0"/>
    <m/>
    <n v="0"/>
    <m/>
    <n v="0"/>
    <m/>
    <n v="0"/>
    <m/>
    <n v="0"/>
    <n v="1160427.5"/>
    <n v="6324"/>
    <n v="6324"/>
    <m/>
    <n v="0"/>
    <m/>
    <n v="5386"/>
    <m/>
    <n v="0"/>
    <n v="1201670.4999999995"/>
    <n v="3200"/>
    <n v="6324"/>
    <n v="0"/>
    <n v="6324"/>
    <n v="5386"/>
    <n v="0"/>
    <s v=""/>
    <n v="6324"/>
    <n v="2018"/>
    <n v="3200"/>
    <n v="2022"/>
    <x v="1"/>
    <n v="4586.4308415089126"/>
    <n v="6324"/>
    <s v="Decreasing"/>
    <n v="-0.11185567778326533"/>
    <n v="0.45661638376408309"/>
    <n v="11063.266634907941"/>
    <n v="24883.403885705367"/>
    <n v="0"/>
    <n v="54.497157297633848"/>
    <n v="52.626739193481093"/>
  </r>
  <r>
    <x v="38"/>
    <x v="38"/>
    <n v="1111450"/>
    <x v="6"/>
    <n v="0"/>
    <n v="1118318.9999999998"/>
    <n v="0"/>
    <m/>
    <n v="0"/>
    <m/>
    <n v="15"/>
    <m/>
    <n v="0"/>
    <m/>
    <n v="0"/>
    <n v="1160427.5"/>
    <n v="31"/>
    <n v="31"/>
    <m/>
    <n v="0"/>
    <m/>
    <n v="0"/>
    <m/>
    <n v="0"/>
    <n v="1201670.4999999995"/>
    <n v="10"/>
    <n v="0"/>
    <n v="15"/>
    <n v="31"/>
    <n v="10"/>
    <n v="15"/>
    <n v="2015"/>
    <n v="31"/>
    <n v="2018"/>
    <n v="10"/>
    <n v="2022"/>
    <x v="1"/>
    <n v="14.332596379715351"/>
    <n v="31"/>
    <s v="Decreasing"/>
    <n v="-0.11185567778326533"/>
    <n v="0.45661638376408309"/>
    <n v="0"/>
    <n v="0"/>
    <n v="0.13412988601642289"/>
    <n v="0.26714292792957767"/>
    <n v="0.25797421173275048"/>
  </r>
  <r>
    <x v="38"/>
    <x v="38"/>
    <n v="1111451"/>
    <x v="7"/>
    <n v="4646"/>
    <n v="1118318.9999999998"/>
    <n v="0"/>
    <m/>
    <n v="234"/>
    <m/>
    <n v="428"/>
    <m/>
    <n v="0"/>
    <m/>
    <n v="0"/>
    <n v="1160427.5"/>
    <n v="275"/>
    <n v="275"/>
    <m/>
    <n v="0"/>
    <m/>
    <n v="0"/>
    <m/>
    <n v="0"/>
    <n v="1201670.4999999995"/>
    <n v="83"/>
    <n v="187"/>
    <n v="4646"/>
    <n v="275"/>
    <n v="83"/>
    <n v="4646"/>
    <n v="2012"/>
    <n v="275"/>
    <n v="2018"/>
    <n v="83"/>
    <n v="2022"/>
    <x v="1"/>
    <n v="118.96054995163742"/>
    <n v="275"/>
    <s v="Decreasing"/>
    <n v="-0.11185567778326533"/>
    <n v="0.45661638376408309"/>
    <n v="327.13960479566492"/>
    <n v="735.79957726548139"/>
    <n v="41.544496695486714"/>
    <n v="2.3698162961494793"/>
    <n v="2.2884809105324639"/>
  </r>
  <r>
    <x v="38"/>
    <x v="38"/>
    <n v="1111452"/>
    <x v="8"/>
    <n v="0"/>
    <n v="1118318.9999999998"/>
    <n v="0"/>
    <m/>
    <n v="0"/>
    <m/>
    <n v="0"/>
    <m/>
    <n v="0"/>
    <m/>
    <n v="0"/>
    <n v="1160427.5"/>
    <n v="0"/>
    <n v="927"/>
    <m/>
    <n v="0"/>
    <m/>
    <n v="0"/>
    <m/>
    <n v="0"/>
    <n v="1201670.4999999995"/>
    <n v="0"/>
    <n v="927"/>
    <n v="0"/>
    <n v="0"/>
    <n v="0"/>
    <n v="0"/>
    <s v=""/>
    <n v="927"/>
    <s v="2018 (triag)"/>
    <n v="927"/>
    <s v="2018 (triag)"/>
    <x v="0"/>
    <n v="927"/>
    <n v="927"/>
    <s v="No change"/>
    <n v="-0.11185567778326533"/>
    <n v="0.45661638376408309"/>
    <n v="1621.7027467678149"/>
    <n v="3647.5198295459959"/>
    <n v="0"/>
    <n v="7.9884352964747904"/>
    <n v="7.7142611056857966"/>
  </r>
  <r>
    <x v="38"/>
    <x v="38"/>
    <n v="1111453"/>
    <x v="9"/>
    <n v="0"/>
    <n v="1118318.9999999998"/>
    <n v="0"/>
    <m/>
    <n v="0"/>
    <m/>
    <n v="0"/>
    <m/>
    <n v="0"/>
    <m/>
    <n v="0"/>
    <n v="1160427.5"/>
    <n v="0"/>
    <n v="195"/>
    <m/>
    <n v="0"/>
    <m/>
    <n v="0"/>
    <m/>
    <n v="0"/>
    <n v="1201670.4999999995"/>
    <n v="0"/>
    <n v="195"/>
    <n v="0"/>
    <n v="0"/>
    <n v="0"/>
    <n v="0"/>
    <s v=""/>
    <n v="195"/>
    <s v="2018 (triag)"/>
    <n v="195"/>
    <s v="2018 (triag)"/>
    <x v="0"/>
    <n v="195"/>
    <n v="195"/>
    <s v="No change"/>
    <n v="-0.11185567778326533"/>
    <n v="0.45661638376408309"/>
    <n v="341.13488200617462"/>
    <n v="767.27763404689233"/>
    <n v="0"/>
    <n v="1.6804151918150854"/>
    <n v="1.6227410092866561"/>
  </r>
  <r>
    <x v="38"/>
    <x v="38"/>
    <n v="1111454"/>
    <x v="10"/>
    <n v="0"/>
    <n v="1118318.9999999998"/>
    <n v="0"/>
    <m/>
    <n v="0"/>
    <m/>
    <n v="0"/>
    <m/>
    <n v="0"/>
    <m/>
    <n v="0"/>
    <n v="1160427.5"/>
    <n v="0"/>
    <n v="0"/>
    <m/>
    <n v="3"/>
    <m/>
    <n v="0"/>
    <m/>
    <n v="0"/>
    <n v="1201670.4999999995"/>
    <n v="0"/>
    <n v="0"/>
    <n v="0"/>
    <n v="3"/>
    <n v="0"/>
    <n v="0"/>
    <s v=""/>
    <n v="3"/>
    <n v="2019"/>
    <n v="3"/>
    <n v="2019"/>
    <x v="0"/>
    <n v="3"/>
    <n v="3"/>
    <s v="No change"/>
    <n v="-0.11185567778326533"/>
    <n v="0.45661638376408309"/>
    <n v="0"/>
    <n v="0"/>
    <n v="0"/>
    <n v="2.5852541412539776E-2"/>
    <n v="2.4965246296717786E-2"/>
  </r>
  <r>
    <x v="38"/>
    <x v="38"/>
    <n v="1111455"/>
    <x v="11"/>
    <n v="0"/>
    <n v="1118318.9999999998"/>
    <n v="0"/>
    <m/>
    <n v="0"/>
    <m/>
    <n v="0"/>
    <m/>
    <n v="0"/>
    <m/>
    <n v="0"/>
    <n v="1160427.5"/>
    <n v="370"/>
    <n v="370"/>
    <m/>
    <n v="0"/>
    <m/>
    <n v="0"/>
    <m/>
    <n v="0"/>
    <n v="1201670.4999999995"/>
    <n v="130"/>
    <n v="84"/>
    <n v="0"/>
    <n v="370"/>
    <n v="130"/>
    <n v="0"/>
    <s v=""/>
    <n v="370"/>
    <n v="2018"/>
    <n v="130"/>
    <n v="2022"/>
    <x v="1"/>
    <n v="186.32375293629957"/>
    <n v="370"/>
    <s v="Decreasing"/>
    <n v="-0.11185567778326533"/>
    <n v="0.45661638376408309"/>
    <n v="146.95041071035214"/>
    <n v="330.51959620481517"/>
    <n v="0"/>
    <n v="3.1884801075465723"/>
    <n v="3.0790470432618604"/>
  </r>
  <r>
    <x v="38"/>
    <x v="38"/>
    <n v="1111456"/>
    <x v="12"/>
    <n v="0"/>
    <n v="1118318.9999999998"/>
    <n v="0"/>
    <m/>
    <n v="0"/>
    <m/>
    <n v="0"/>
    <m/>
    <n v="0"/>
    <m/>
    <n v="0"/>
    <n v="1160427.5"/>
    <n v="0"/>
    <n v="28"/>
    <m/>
    <n v="0"/>
    <m/>
    <n v="30"/>
    <m/>
    <n v="0"/>
    <n v="1201670.4999999995"/>
    <n v="0"/>
    <n v="28"/>
    <n v="0"/>
    <n v="0"/>
    <n v="30"/>
    <n v="0"/>
    <s v=""/>
    <n v="28"/>
    <s v="2018 (triag)"/>
    <n v="30"/>
    <n v="2020"/>
    <x v="0"/>
    <n v="30"/>
    <n v="30"/>
    <s v="Increasing"/>
    <n v="-0.11185567778326533"/>
    <n v="0.45661638376408309"/>
    <n v="48.983470236784051"/>
    <n v="110.17319873493838"/>
    <n v="0"/>
    <n v="0.24129038651703791"/>
    <n v="0.24965246296717788"/>
  </r>
  <r>
    <x v="38"/>
    <x v="38"/>
    <n v="1111457"/>
    <x v="13"/>
    <n v="0"/>
    <n v="1118318.9999999998"/>
    <n v="0"/>
    <m/>
    <n v="0"/>
    <m/>
    <n v="0"/>
    <m/>
    <n v="0"/>
    <m/>
    <n v="0"/>
    <n v="1160427.5"/>
    <n v="0"/>
    <n v="47"/>
    <m/>
    <n v="0"/>
    <m/>
    <n v="53"/>
    <m/>
    <n v="0"/>
    <n v="1201670.4999999995"/>
    <n v="64"/>
    <n v="47"/>
    <n v="0"/>
    <n v="0"/>
    <n v="64"/>
    <n v="0"/>
    <s v=""/>
    <n v="47"/>
    <s v="2018 (triag)"/>
    <n v="64"/>
    <n v="2022"/>
    <x v="0"/>
    <n v="64"/>
    <n v="64"/>
    <s v="Increasing"/>
    <n v="-0.11185567778326533"/>
    <n v="0.45661638376408309"/>
    <n v="82.222253611744662"/>
    <n v="184.93358359078942"/>
    <n v="0"/>
    <n v="0.40502314879645646"/>
    <n v="0.5325919209966461"/>
  </r>
  <r>
    <x v="38"/>
    <x v="38"/>
    <n v="1111458"/>
    <x v="14"/>
    <n v="0"/>
    <n v="1118318.9999999998"/>
    <n v="0"/>
    <m/>
    <n v="0"/>
    <m/>
    <n v="0"/>
    <m/>
    <n v="0"/>
    <m/>
    <n v="0"/>
    <n v="1160427.5"/>
    <n v="0"/>
    <n v="2084"/>
    <m/>
    <n v="0"/>
    <m/>
    <n v="0"/>
    <m/>
    <n v="0"/>
    <n v="1201670.4999999995"/>
    <n v="0"/>
    <n v="2084"/>
    <n v="0"/>
    <n v="0"/>
    <n v="0"/>
    <n v="0"/>
    <s v=""/>
    <n v="2084"/>
    <s v="2018 (triag)"/>
    <n v="2084"/>
    <s v="2018 (triag)"/>
    <x v="0"/>
    <n v="2084"/>
    <n v="2084"/>
    <s v="No change"/>
    <n v="-0.11185567778326533"/>
    <n v="0.45661638376408309"/>
    <n v="3645.7697133377842"/>
    <n v="8200.0337915575565"/>
    <n v="0"/>
    <n v="17.958898767910963"/>
    <n v="17.342524427453288"/>
  </r>
  <r>
    <x v="38"/>
    <x v="38"/>
    <n v="1111459"/>
    <x v="15"/>
    <n v="0"/>
    <n v="1118318.9999999998"/>
    <n v="0"/>
    <m/>
    <n v="0"/>
    <m/>
    <n v="0"/>
    <m/>
    <n v="0"/>
    <m/>
    <n v="0"/>
    <n v="1160427.5"/>
    <n v="0"/>
    <n v="12"/>
    <m/>
    <n v="0"/>
    <m/>
    <n v="6"/>
    <m/>
    <n v="0"/>
    <n v="1201670.4999999995"/>
    <n v="6"/>
    <n v="12"/>
    <n v="0"/>
    <n v="0"/>
    <n v="6"/>
    <n v="0"/>
    <s v=""/>
    <n v="12"/>
    <s v="2018 (triag)"/>
    <n v="6"/>
    <n v="2020"/>
    <x v="1"/>
    <n v="8.5995578278292122"/>
    <n v="12"/>
    <s v="Decreasing"/>
    <n v="-0.11185567778326533"/>
    <n v="0.45661638376408309"/>
    <n v="20.992915815764594"/>
    <n v="47.217085172116448"/>
    <n v="0"/>
    <n v="0.10341016565015911"/>
    <n v="9.9860985186871143E-2"/>
  </r>
  <r>
    <x v="38"/>
    <x v="38"/>
    <n v="1111460"/>
    <x v="16"/>
    <n v="0"/>
    <n v="1118318.9999999998"/>
    <n v="0"/>
    <m/>
    <n v="0"/>
    <m/>
    <n v="0"/>
    <m/>
    <n v="0"/>
    <m/>
    <n v="0"/>
    <n v="1160427.5"/>
    <n v="0"/>
    <n v="1215"/>
    <m/>
    <n v="0"/>
    <m/>
    <n v="52"/>
    <m/>
    <n v="0"/>
    <n v="1201670.4999999995"/>
    <n v="0"/>
    <n v="1215"/>
    <n v="0"/>
    <n v="0"/>
    <n v="52"/>
    <n v="0"/>
    <s v=""/>
    <n v="1215"/>
    <s v="2018 (triag)"/>
    <n v="52"/>
    <n v="2020"/>
    <x v="1"/>
    <n v="74.529501174519837"/>
    <n v="1215"/>
    <s v="Decreasing"/>
    <n v="-0.11185567778326533"/>
    <n v="0.45661638376408309"/>
    <n v="2125.532726346165"/>
    <n v="4780.7298736767907"/>
    <n v="0"/>
    <n v="10.470279272078608"/>
    <n v="10.110924750170703"/>
  </r>
  <r>
    <x v="38"/>
    <x v="38"/>
    <n v="1111461"/>
    <x v="17"/>
    <n v="0"/>
    <n v="1118318.9999999998"/>
    <n v="0"/>
    <m/>
    <n v="0"/>
    <m/>
    <n v="0"/>
    <m/>
    <n v="0"/>
    <m/>
    <n v="0"/>
    <n v="1160427.5"/>
    <n v="0"/>
    <n v="85"/>
    <m/>
    <n v="0"/>
    <m/>
    <n v="1861"/>
    <m/>
    <n v="0"/>
    <n v="1201670.4999999995"/>
    <n v="0"/>
    <n v="85"/>
    <n v="0"/>
    <n v="0"/>
    <n v="1861"/>
    <n v="0"/>
    <s v=""/>
    <n v="85"/>
    <s v="2018 (triag)"/>
    <n v="1861"/>
    <n v="2020"/>
    <x v="0"/>
    <n v="1861"/>
    <n v="1861"/>
    <s v="Increasing"/>
    <n v="-0.11185567778326533"/>
    <n v="0.45661638376408309"/>
    <n v="148.69982036166587"/>
    <n v="334.45435330249154"/>
    <n v="0"/>
    <n v="0.73248867335529366"/>
    <n v="15.4867744527306"/>
  </r>
  <r>
    <x v="38"/>
    <x v="38"/>
    <n v="1111462"/>
    <x v="18"/>
    <n v="0"/>
    <n v="1118318.9999999998"/>
    <n v="0"/>
    <m/>
    <n v="0"/>
    <m/>
    <n v="0"/>
    <m/>
    <n v="0"/>
    <m/>
    <n v="0"/>
    <n v="1160427.5"/>
    <n v="0"/>
    <n v="370"/>
    <m/>
    <n v="0"/>
    <m/>
    <n v="0"/>
    <m/>
    <n v="0"/>
    <n v="1201670.4999999995"/>
    <n v="249"/>
    <n v="370"/>
    <n v="0"/>
    <n v="0"/>
    <n v="249"/>
    <n v="0"/>
    <s v=""/>
    <n v="370"/>
    <s v="2018 (triag)"/>
    <n v="249"/>
    <n v="2022"/>
    <x v="1"/>
    <n v="356.88164985491227"/>
    <n v="370"/>
    <s v="Decreasing"/>
    <n v="-0.11185567778326533"/>
    <n v="0.45661638376408309"/>
    <n v="647.28157098607494"/>
    <n v="1455.8601261402573"/>
    <n v="0"/>
    <n v="3.1884801075465723"/>
    <n v="3.0790470432618604"/>
  </r>
  <r>
    <x v="38"/>
    <x v="38"/>
    <n v="1111463"/>
    <x v="19"/>
    <n v="0"/>
    <n v="1118318.9999999998"/>
    <n v="0"/>
    <m/>
    <n v="0"/>
    <m/>
    <n v="0"/>
    <m/>
    <n v="0"/>
    <m/>
    <n v="0"/>
    <n v="1160427.5"/>
    <n v="0"/>
    <n v="29"/>
    <m/>
    <n v="0"/>
    <m/>
    <n v="0"/>
    <m/>
    <n v="0"/>
    <n v="1201670.4999999995"/>
    <n v="0"/>
    <n v="29"/>
    <n v="0"/>
    <n v="0"/>
    <n v="0"/>
    <n v="0"/>
    <s v=""/>
    <n v="29"/>
    <s v="2018 (triag)"/>
    <n v="29"/>
    <s v="2018 (triag)"/>
    <x v="0"/>
    <n v="29"/>
    <n v="29"/>
    <s v="No change"/>
    <n v="-0.11185567778326533"/>
    <n v="0.45661638376408309"/>
    <n v="50.73287988809777"/>
    <n v="114.10795583261475"/>
    <n v="0"/>
    <n v="0.24990790032121782"/>
    <n v="0.24133071420160526"/>
  </r>
  <r>
    <x v="38"/>
    <x v="38"/>
    <n v="1111464"/>
    <x v="20"/>
    <n v="0"/>
    <n v="1118318.9999999998"/>
    <n v="0"/>
    <m/>
    <n v="0"/>
    <m/>
    <n v="0"/>
    <m/>
    <n v="0"/>
    <m/>
    <n v="0"/>
    <n v="1160427.5"/>
    <n v="0"/>
    <n v="29"/>
    <m/>
    <n v="0"/>
    <m/>
    <n v="15"/>
    <m/>
    <n v="0"/>
    <n v="1201670.4999999995"/>
    <n v="32"/>
    <n v="29"/>
    <n v="0"/>
    <n v="0"/>
    <n v="32"/>
    <n v="0"/>
    <s v=""/>
    <n v="29"/>
    <s v="2018 (triag)"/>
    <n v="32"/>
    <n v="2022"/>
    <x v="0"/>
    <n v="32"/>
    <n v="32"/>
    <s v="Increasing"/>
    <n v="-0.11185567778326533"/>
    <n v="0.45661638376408309"/>
    <n v="50.73287988809777"/>
    <n v="114.10795583261475"/>
    <n v="0"/>
    <n v="0.24990790032121782"/>
    <n v="0.26629596049832305"/>
  </r>
  <r>
    <x v="38"/>
    <x v="38"/>
    <n v="1111465"/>
    <x v="21"/>
    <n v="0"/>
    <n v="1118318.9999999998"/>
    <n v="0"/>
    <m/>
    <n v="0"/>
    <m/>
    <n v="0"/>
    <m/>
    <n v="0"/>
    <m/>
    <n v="0"/>
    <n v="1160427.5"/>
    <n v="0"/>
    <n v="0"/>
    <m/>
    <n v="0"/>
    <m/>
    <n v="38"/>
    <m/>
    <n v="0"/>
    <n v="1201670.4999999995"/>
    <n v="0"/>
    <n v="0"/>
    <n v="0"/>
    <n v="0"/>
    <n v="38"/>
    <n v="0"/>
    <s v=""/>
    <n v="0"/>
    <s v=""/>
    <n v="38"/>
    <n v="2020"/>
    <x v="0"/>
    <n v="38"/>
    <n v="38"/>
    <s v="Increasing"/>
    <n v="-0.11185567778326533"/>
    <n v="0.45661638376408309"/>
    <n v="0"/>
    <n v="0"/>
    <n v="0"/>
    <n v="0"/>
    <n v="0.31622645309175862"/>
  </r>
  <r>
    <x v="38"/>
    <x v="38"/>
    <n v="1111466"/>
    <x v="22"/>
    <n v="0"/>
    <n v="1118318.9999999998"/>
    <n v="0"/>
    <m/>
    <n v="0"/>
    <m/>
    <n v="0"/>
    <m/>
    <n v="0"/>
    <m/>
    <n v="0"/>
    <n v="1160427.5"/>
    <n v="0"/>
    <n v="0"/>
    <m/>
    <n v="0"/>
    <m/>
    <n v="7"/>
    <m/>
    <n v="0"/>
    <n v="1201670.4999999995"/>
    <n v="14"/>
    <n v="0"/>
    <n v="0"/>
    <n v="0"/>
    <n v="14"/>
    <n v="0"/>
    <s v=""/>
    <n v="0"/>
    <s v=""/>
    <n v="14"/>
    <n v="2022"/>
    <x v="0"/>
    <n v="14"/>
    <n v="14"/>
    <s v="Increasing"/>
    <n v="-0.11185567778326533"/>
    <n v="0.45661638376408309"/>
    <n v="0"/>
    <n v="0"/>
    <n v="0"/>
    <n v="0"/>
    <n v="0.11650448271801633"/>
  </r>
  <r>
    <x v="38"/>
    <x v="38"/>
    <n v="1111467"/>
    <x v="23"/>
    <n v="0"/>
    <n v="1118318.9999999998"/>
    <n v="0"/>
    <m/>
    <n v="0"/>
    <m/>
    <n v="0"/>
    <m/>
    <n v="0"/>
    <m/>
    <n v="0"/>
    <n v="1160427.5"/>
    <n v="0"/>
    <n v="7"/>
    <m/>
    <n v="0"/>
    <m/>
    <n v="0"/>
    <m/>
    <n v="0"/>
    <n v="1201670.4999999995"/>
    <n v="0"/>
    <n v="7"/>
    <n v="0"/>
    <n v="0"/>
    <n v="0"/>
    <n v="0"/>
    <s v=""/>
    <n v="7"/>
    <s v="2018 (triag)"/>
    <n v="7"/>
    <s v="2018 (triag)"/>
    <x v="0"/>
    <n v="7"/>
    <n v="7"/>
    <s v="No change"/>
    <n v="-0.11185567778326533"/>
    <n v="0.45661638376408309"/>
    <n v="12.245867559196013"/>
    <n v="27.543299683734595"/>
    <n v="0"/>
    <n v="6.0322596629259477E-2"/>
    <n v="5.8252241359008167E-2"/>
  </r>
  <r>
    <x v="39"/>
    <x v="39"/>
    <n v="95308.999999999985"/>
    <x v="0"/>
    <n v="186"/>
    <n v="96714"/>
    <n v="0"/>
    <n v="98000.999999999927"/>
    <n v="0"/>
    <n v="99239.999999999971"/>
    <n v="4"/>
    <n v="100508.49999999997"/>
    <n v="410"/>
    <n v="101810.50000000001"/>
    <n v="39"/>
    <n v="103101.00000000003"/>
    <n v="537"/>
    <n v="537"/>
    <n v="104372.49999999997"/>
    <n v="479"/>
    <n v="105529.99999999997"/>
    <n v="0"/>
    <n v="106470.49999999996"/>
    <n v="0"/>
    <n v="107118.5"/>
    <n v="923"/>
    <n v="240"/>
    <n v="186"/>
    <n v="537"/>
    <n v="923"/>
    <n v="186"/>
    <n v="2012"/>
    <n v="537"/>
    <n v="2018"/>
    <n v="923"/>
    <n v="2022"/>
    <x v="0"/>
    <n v="923"/>
    <n v="923"/>
    <s v="Increasing"/>
    <n v="-6.1731500721997512E-2"/>
    <n v="0.10455737067903281"/>
    <n v="326.78302774487128"/>
    <n v="328.4258322377284"/>
    <n v="19.231962280538497"/>
    <n v="52.084848837547632"/>
    <n v="86.166255128665924"/>
  </r>
  <r>
    <x v="39"/>
    <x v="39"/>
    <n v="95310"/>
    <x v="1"/>
    <n v="838"/>
    <n v="96714"/>
    <n v="0"/>
    <m/>
    <n v="0"/>
    <m/>
    <n v="0"/>
    <m/>
    <n v="1368"/>
    <m/>
    <n v="0"/>
    <n v="103101.00000000003"/>
    <n v="2223"/>
    <n v="2223"/>
    <m/>
    <n v="0"/>
    <m/>
    <n v="0"/>
    <m/>
    <n v="0"/>
    <n v="107118.5"/>
    <n v="1246"/>
    <n v="1272"/>
    <n v="838"/>
    <n v="2223"/>
    <n v="1246"/>
    <n v="838"/>
    <n v="2012"/>
    <n v="2223"/>
    <n v="2018"/>
    <n v="1246"/>
    <n v="2022"/>
    <x v="1"/>
    <n v="1432.0261108232373"/>
    <n v="2223"/>
    <s v="Decreasing"/>
    <n v="-6.1731500721997512E-2"/>
    <n v="0.10455737067903281"/>
    <n v="1731.9500470478176"/>
    <n v="1740.6569108599604"/>
    <n v="86.647227909092791"/>
    <n v="215.61381557889831"/>
    <n v="207.52717784509679"/>
  </r>
  <r>
    <x v="39"/>
    <x v="39"/>
    <n v="95311"/>
    <x v="2"/>
    <n v="0"/>
    <n v="96714"/>
    <n v="0"/>
    <m/>
    <n v="0"/>
    <m/>
    <n v="0"/>
    <m/>
    <n v="178"/>
    <m/>
    <n v="0"/>
    <n v="103101.00000000003"/>
    <n v="316"/>
    <n v="316"/>
    <m/>
    <n v="0"/>
    <m/>
    <n v="0"/>
    <m/>
    <n v="0"/>
    <n v="107118.5"/>
    <n v="312"/>
    <n v="5"/>
    <n v="0"/>
    <n v="316"/>
    <n v="312"/>
    <n v="0"/>
    <s v=""/>
    <n v="316"/>
    <n v="2018"/>
    <n v="312"/>
    <n v="2022"/>
    <x v="1"/>
    <n v="358.58117702796955"/>
    <n v="358.58117702796955"/>
    <s v="Increasing"/>
    <n v="-6.1731500721997512E-2"/>
    <n v="0.10455737067903281"/>
    <n v="6.8079797446848174"/>
    <n v="6.8422048382860083"/>
    <n v="0"/>
    <n v="30.649557230288739"/>
    <n v="33.475186548352482"/>
  </r>
  <r>
    <x v="39"/>
    <x v="39"/>
    <n v="95312"/>
    <x v="3"/>
    <n v="0"/>
    <n v="96714"/>
    <n v="0"/>
    <m/>
    <n v="217"/>
    <m/>
    <n v="0"/>
    <m/>
    <n v="0"/>
    <m/>
    <n v="0"/>
    <n v="103101.00000000003"/>
    <n v="0"/>
    <n v="124"/>
    <m/>
    <n v="0"/>
    <m/>
    <n v="0"/>
    <m/>
    <n v="0"/>
    <n v="107118.5"/>
    <n v="0"/>
    <n v="124"/>
    <n v="217"/>
    <n v="0"/>
    <n v="0"/>
    <n v="217"/>
    <n v="2014"/>
    <n v="124"/>
    <s v="2018 (triag)"/>
    <n v="124"/>
    <s v="2018 (triag)"/>
    <x v="0"/>
    <n v="124"/>
    <n v="124"/>
    <s v="No change"/>
    <n v="-6.1731500721997512E-2"/>
    <n v="0.10455737067903281"/>
    <n v="168.83789766818347"/>
    <n v="169.686679989493"/>
    <n v="22.437289327294909"/>
    <n v="12.027041444796847"/>
    <n v="11.575964936028791"/>
  </r>
  <r>
    <x v="39"/>
    <x v="39"/>
    <n v="95313"/>
    <x v="4"/>
    <n v="0"/>
    <n v="96714"/>
    <n v="0"/>
    <m/>
    <n v="0"/>
    <m/>
    <n v="0"/>
    <m/>
    <n v="0"/>
    <m/>
    <n v="0"/>
    <n v="103101.00000000003"/>
    <n v="0"/>
    <n v="163"/>
    <m/>
    <n v="0"/>
    <m/>
    <n v="0"/>
    <m/>
    <n v="0"/>
    <n v="107118.5"/>
    <n v="0"/>
    <n v="163"/>
    <n v="0"/>
    <n v="0"/>
    <n v="0"/>
    <n v="0"/>
    <s v=""/>
    <n v="163"/>
    <s v="2018 (triag)"/>
    <n v="163"/>
    <s v="2018 (triag)"/>
    <x v="0"/>
    <n v="163"/>
    <n v="163"/>
    <s v="No change"/>
    <n v="-6.1731500721997512E-2"/>
    <n v="0.10455737067903281"/>
    <n v="221.94013967672507"/>
    <n v="223.05587772812385"/>
    <n v="0"/>
    <n v="15.809739963724887"/>
    <n v="15.216792617521717"/>
  </r>
  <r>
    <x v="39"/>
    <x v="39"/>
    <n v="95314"/>
    <x v="5"/>
    <n v="0"/>
    <n v="96714"/>
    <n v="0"/>
    <m/>
    <n v="0"/>
    <m/>
    <n v="0"/>
    <m/>
    <n v="0"/>
    <m/>
    <n v="0"/>
    <n v="103101.00000000003"/>
    <n v="0"/>
    <n v="0"/>
    <m/>
    <n v="0"/>
    <m/>
    <n v="0"/>
    <m/>
    <n v="0"/>
    <n v="107118.5"/>
    <n v="0"/>
    <n v="0"/>
    <n v="0"/>
    <n v="0"/>
    <n v="0"/>
    <n v="0"/>
    <s v=""/>
    <n v="0"/>
    <s v=""/>
    <n v="0"/>
    <s v=""/>
    <x v="0"/>
    <n v="0"/>
    <n v="0"/>
    <s v="No change"/>
    <n v="-6.1731500721997512E-2"/>
    <n v="0.10455737067903281"/>
    <n v="0"/>
    <n v="0"/>
    <n v="0"/>
    <n v="0"/>
    <n v="0"/>
  </r>
  <r>
    <x v="39"/>
    <x v="39"/>
    <n v="95315"/>
    <x v="6"/>
    <n v="0"/>
    <n v="96714"/>
    <n v="0"/>
    <m/>
    <n v="0"/>
    <m/>
    <n v="0"/>
    <m/>
    <n v="0"/>
    <m/>
    <n v="0"/>
    <n v="103101.00000000003"/>
    <n v="0"/>
    <n v="5"/>
    <m/>
    <n v="0"/>
    <m/>
    <n v="0"/>
    <m/>
    <n v="0"/>
    <n v="107118.5"/>
    <n v="0"/>
    <n v="5"/>
    <n v="0"/>
    <n v="0"/>
    <n v="0"/>
    <n v="0"/>
    <s v=""/>
    <n v="5"/>
    <s v="2018 (triag)"/>
    <n v="5"/>
    <s v="2018 (triag)"/>
    <x v="0"/>
    <n v="5"/>
    <n v="5"/>
    <s v="No change"/>
    <n v="-6.1731500721997512E-2"/>
    <n v="0.10455737067903281"/>
    <n v="6.8079797446848174"/>
    <n v="6.8422048382860083"/>
    <n v="0"/>
    <n v="0.48496134858051798"/>
    <n v="0.46677277967858027"/>
  </r>
  <r>
    <x v="39"/>
    <x v="39"/>
    <n v="95316"/>
    <x v="7"/>
    <n v="0"/>
    <n v="96714"/>
    <n v="0"/>
    <m/>
    <n v="0"/>
    <m/>
    <n v="0"/>
    <m/>
    <n v="0"/>
    <m/>
    <n v="0"/>
    <n v="103101.00000000003"/>
    <n v="0"/>
    <n v="50"/>
    <m/>
    <n v="0"/>
    <m/>
    <n v="0"/>
    <m/>
    <n v="0"/>
    <n v="107118.5"/>
    <n v="0"/>
    <n v="50"/>
    <n v="0"/>
    <n v="0"/>
    <n v="0"/>
    <n v="0"/>
    <s v=""/>
    <n v="50"/>
    <s v="2018 (triag)"/>
    <n v="50"/>
    <s v="2018 (triag)"/>
    <x v="0"/>
    <n v="50"/>
    <n v="50"/>
    <s v="No change"/>
    <n v="-6.1731500721997512E-2"/>
    <n v="0.10455737067903281"/>
    <n v="68.079797446848175"/>
    <n v="68.422048382860083"/>
    <n v="0"/>
    <n v="4.8496134858051798"/>
    <n v="4.6677277967858029"/>
  </r>
  <r>
    <x v="39"/>
    <x v="39"/>
    <n v="95317"/>
    <x v="8"/>
    <n v="0"/>
    <n v="96714"/>
    <n v="0"/>
    <m/>
    <n v="0"/>
    <m/>
    <n v="0"/>
    <m/>
    <n v="0"/>
    <m/>
    <n v="0"/>
    <n v="103101.00000000003"/>
    <n v="0"/>
    <n v="258"/>
    <m/>
    <n v="0"/>
    <m/>
    <n v="0"/>
    <m/>
    <n v="0"/>
    <n v="107118.5"/>
    <n v="0"/>
    <n v="258"/>
    <n v="0"/>
    <n v="0"/>
    <n v="0"/>
    <n v="0"/>
    <s v=""/>
    <n v="258"/>
    <s v="2018 (triag)"/>
    <n v="258"/>
    <s v="2018 (triag)"/>
    <x v="0"/>
    <n v="258"/>
    <n v="258"/>
    <s v="No change"/>
    <n v="-6.1731500721997512E-2"/>
    <n v="0.10455737067903281"/>
    <n v="351.29175482573658"/>
    <n v="353.05776965555799"/>
    <n v="0"/>
    <n v="25.024005586754729"/>
    <n v="24.085475431414743"/>
  </r>
  <r>
    <x v="39"/>
    <x v="39"/>
    <n v="95318"/>
    <x v="9"/>
    <n v="0"/>
    <n v="96714"/>
    <n v="0"/>
    <m/>
    <n v="0"/>
    <m/>
    <n v="0"/>
    <m/>
    <n v="0"/>
    <m/>
    <n v="0"/>
    <n v="103101.00000000003"/>
    <n v="0"/>
    <n v="0"/>
    <m/>
    <n v="0"/>
    <m/>
    <n v="0"/>
    <m/>
    <n v="0"/>
    <n v="107118.5"/>
    <n v="0"/>
    <n v="0"/>
    <n v="0"/>
    <n v="0"/>
    <n v="0"/>
    <n v="0"/>
    <s v=""/>
    <n v="0"/>
    <s v=""/>
    <n v="0"/>
    <s v=""/>
    <x v="0"/>
    <n v="0"/>
    <n v="0"/>
    <s v="No change"/>
    <n v="-6.1731500721997512E-2"/>
    <n v="0.10455737067903281"/>
    <n v="0"/>
    <n v="0"/>
    <n v="0"/>
    <n v="0"/>
    <n v="0"/>
  </r>
  <r>
    <x v="39"/>
    <x v="39"/>
    <n v="95319"/>
    <x v="10"/>
    <n v="0"/>
    <n v="96714"/>
    <n v="0"/>
    <m/>
    <n v="0"/>
    <m/>
    <n v="0"/>
    <m/>
    <n v="0"/>
    <m/>
    <n v="0"/>
    <n v="103101.00000000003"/>
    <n v="0"/>
    <n v="2"/>
    <m/>
    <n v="14"/>
    <m/>
    <n v="0"/>
    <m/>
    <n v="4"/>
    <n v="107118.5"/>
    <n v="11"/>
    <n v="2"/>
    <n v="0"/>
    <n v="14"/>
    <n v="11"/>
    <n v="0"/>
    <s v=""/>
    <n v="2"/>
    <s v="2018 (triag)"/>
    <n v="11"/>
    <n v="2022"/>
    <x v="0"/>
    <n v="11"/>
    <n v="13"/>
    <s v="Increasing"/>
    <n v="-6.1731500721997512E-2"/>
    <n v="0.10455737067903281"/>
    <n v="2.7231918978739271"/>
    <n v="2.7368819353144032"/>
    <n v="0"/>
    <n v="0.1939845394322072"/>
    <n v="1.2136092271643086"/>
  </r>
  <r>
    <x v="39"/>
    <x v="39"/>
    <n v="95320"/>
    <x v="11"/>
    <n v="0"/>
    <n v="96714"/>
    <n v="0"/>
    <m/>
    <n v="0"/>
    <m/>
    <n v="0"/>
    <m/>
    <n v="0"/>
    <m/>
    <n v="0"/>
    <n v="103101.00000000003"/>
    <n v="71"/>
    <n v="71"/>
    <m/>
    <n v="0"/>
    <m/>
    <n v="0"/>
    <m/>
    <n v="0"/>
    <n v="107118.5"/>
    <n v="0"/>
    <n v="70"/>
    <n v="0"/>
    <n v="71"/>
    <n v="0"/>
    <n v="0"/>
    <s v=""/>
    <n v="71"/>
    <n v="2018"/>
    <n v="71"/>
    <n v="2018"/>
    <x v="0"/>
    <n v="71"/>
    <n v="71"/>
    <s v="No change"/>
    <n v="-6.1731500721997512E-2"/>
    <n v="0.10455737067903281"/>
    <n v="95.311716425587448"/>
    <n v="95.790867736004117"/>
    <n v="0"/>
    <n v="6.8864511498433556"/>
    <n v="6.62817347143584"/>
  </r>
  <r>
    <x v="39"/>
    <x v="39"/>
    <n v="95321"/>
    <x v="12"/>
    <n v="0"/>
    <n v="96714"/>
    <n v="0"/>
    <m/>
    <n v="0"/>
    <m/>
    <n v="0"/>
    <m/>
    <n v="0"/>
    <m/>
    <n v="0"/>
    <n v="103101.00000000003"/>
    <n v="0"/>
    <n v="0"/>
    <m/>
    <n v="0"/>
    <m/>
    <n v="0"/>
    <m/>
    <n v="0"/>
    <n v="107118.5"/>
    <n v="0"/>
    <n v="0"/>
    <n v="0"/>
    <n v="0"/>
    <n v="0"/>
    <n v="0"/>
    <s v=""/>
    <n v="0"/>
    <s v=""/>
    <n v="0"/>
    <s v=""/>
    <x v="0"/>
    <n v="0"/>
    <n v="0"/>
    <s v="No change"/>
    <n v="-6.1731500721997512E-2"/>
    <n v="0.10455737067903281"/>
    <n v="0"/>
    <n v="0"/>
    <n v="0"/>
    <n v="0"/>
    <n v="0"/>
  </r>
  <r>
    <x v="39"/>
    <x v="39"/>
    <n v="95322"/>
    <x v="13"/>
    <n v="0"/>
    <n v="96714"/>
    <n v="0"/>
    <m/>
    <n v="0"/>
    <m/>
    <n v="0"/>
    <m/>
    <n v="0"/>
    <m/>
    <n v="0"/>
    <n v="103101.00000000003"/>
    <n v="0"/>
    <n v="7"/>
    <m/>
    <n v="0"/>
    <m/>
    <n v="0"/>
    <m/>
    <n v="0"/>
    <n v="107118.5"/>
    <n v="0"/>
    <n v="7"/>
    <n v="0"/>
    <n v="0"/>
    <n v="0"/>
    <n v="0"/>
    <s v=""/>
    <n v="7"/>
    <s v="2018 (triag)"/>
    <n v="7"/>
    <s v="2018 (triag)"/>
    <x v="0"/>
    <n v="7"/>
    <n v="7"/>
    <s v="No change"/>
    <n v="-6.1731500721997512E-2"/>
    <n v="0.10455737067903281"/>
    <n v="9.5311716425587445"/>
    <n v="9.5790867736004106"/>
    <n v="0"/>
    <n v="0.67894588801272515"/>
    <n v="0.65348189155001235"/>
  </r>
  <r>
    <x v="39"/>
    <x v="39"/>
    <n v="95323"/>
    <x v="14"/>
    <n v="0"/>
    <n v="96714"/>
    <n v="0"/>
    <m/>
    <n v="0"/>
    <m/>
    <n v="0"/>
    <m/>
    <n v="0"/>
    <m/>
    <n v="0"/>
    <n v="103101.00000000003"/>
    <n v="0"/>
    <n v="0"/>
    <m/>
    <n v="0"/>
    <m/>
    <n v="0"/>
    <m/>
    <n v="0"/>
    <n v="107118.5"/>
    <n v="0"/>
    <n v="0"/>
    <n v="0"/>
    <n v="0"/>
    <n v="0"/>
    <n v="0"/>
    <s v=""/>
    <n v="0"/>
    <s v=""/>
    <n v="0"/>
    <s v=""/>
    <x v="0"/>
    <n v="0"/>
    <n v="0"/>
    <s v="No change"/>
    <n v="-6.1731500721997512E-2"/>
    <n v="0.10455737067903281"/>
    <n v="0"/>
    <n v="0"/>
    <n v="0"/>
    <n v="0"/>
    <n v="0"/>
  </r>
  <r>
    <x v="39"/>
    <x v="39"/>
    <n v="95324"/>
    <x v="15"/>
    <n v="0"/>
    <n v="96714"/>
    <n v="0"/>
    <m/>
    <n v="0"/>
    <m/>
    <n v="0"/>
    <m/>
    <n v="0"/>
    <m/>
    <n v="0"/>
    <n v="103101.00000000003"/>
    <n v="0"/>
    <n v="28"/>
    <m/>
    <n v="0"/>
    <m/>
    <n v="0"/>
    <m/>
    <n v="22"/>
    <n v="107118.5"/>
    <n v="0"/>
    <n v="28"/>
    <n v="0"/>
    <n v="0"/>
    <n v="22"/>
    <n v="0"/>
    <s v=""/>
    <n v="28"/>
    <s v="2018 (triag)"/>
    <n v="22"/>
    <n v="2021"/>
    <x v="1"/>
    <n v="25.284570175049133"/>
    <n v="28"/>
    <s v="Decreasing"/>
    <n v="-6.1731500721997512E-2"/>
    <n v="0.10455737067903281"/>
    <n v="38.124686570234978"/>
    <n v="38.316347094401642"/>
    <n v="0"/>
    <n v="2.7157835520509006"/>
    <n v="2.6139275662000494"/>
  </r>
  <r>
    <x v="39"/>
    <x v="39"/>
    <n v="95325"/>
    <x v="16"/>
    <n v="0"/>
    <n v="96714"/>
    <n v="0"/>
    <m/>
    <n v="0"/>
    <m/>
    <n v="0"/>
    <m/>
    <n v="0"/>
    <m/>
    <n v="0"/>
    <n v="103101.00000000003"/>
    <n v="0"/>
    <n v="0"/>
    <m/>
    <n v="0"/>
    <m/>
    <n v="0"/>
    <m/>
    <n v="0"/>
    <n v="107118.5"/>
    <n v="0"/>
    <n v="0"/>
    <n v="0"/>
    <n v="0"/>
    <n v="0"/>
    <n v="0"/>
    <s v=""/>
    <n v="0"/>
    <s v=""/>
    <n v="0"/>
    <s v=""/>
    <x v="0"/>
    <n v="0"/>
    <n v="0"/>
    <s v="No change"/>
    <n v="-6.1731500721997512E-2"/>
    <n v="0.10455737067903281"/>
    <n v="0"/>
    <n v="0"/>
    <n v="0"/>
    <n v="0"/>
    <n v="0"/>
  </r>
  <r>
    <x v="39"/>
    <x v="39"/>
    <n v="95326"/>
    <x v="17"/>
    <n v="0"/>
    <n v="96714"/>
    <n v="0"/>
    <m/>
    <n v="0"/>
    <m/>
    <n v="0"/>
    <m/>
    <n v="0"/>
    <m/>
    <n v="0"/>
    <n v="103101.00000000003"/>
    <n v="0"/>
    <n v="0"/>
    <m/>
    <n v="0"/>
    <m/>
    <n v="0"/>
    <m/>
    <n v="0"/>
    <n v="107118.5"/>
    <n v="0"/>
    <n v="0"/>
    <n v="0"/>
    <n v="0"/>
    <n v="0"/>
    <n v="0"/>
    <s v=""/>
    <n v="0"/>
    <s v=""/>
    <n v="0"/>
    <s v=""/>
    <x v="0"/>
    <n v="0"/>
    <n v="0"/>
    <s v="No change"/>
    <n v="-6.1731500721997512E-2"/>
    <n v="0.10455737067903281"/>
    <n v="0"/>
    <n v="0"/>
    <n v="0"/>
    <n v="0"/>
    <n v="0"/>
  </r>
  <r>
    <x v="39"/>
    <x v="39"/>
    <n v="95327"/>
    <x v="18"/>
    <n v="0"/>
    <n v="96714"/>
    <n v="0"/>
    <m/>
    <n v="0"/>
    <m/>
    <n v="0"/>
    <m/>
    <n v="0"/>
    <m/>
    <n v="0"/>
    <n v="103101.00000000003"/>
    <n v="0"/>
    <n v="71"/>
    <m/>
    <n v="0"/>
    <m/>
    <n v="0"/>
    <m/>
    <n v="0"/>
    <n v="107118.5"/>
    <n v="0"/>
    <n v="71"/>
    <n v="0"/>
    <n v="0"/>
    <n v="0"/>
    <n v="0"/>
    <s v=""/>
    <n v="71"/>
    <s v="2018 (triag)"/>
    <n v="71"/>
    <s v="2018 (triag)"/>
    <x v="0"/>
    <n v="71"/>
    <n v="71"/>
    <s v="No change"/>
    <n v="-6.1731500721997512E-2"/>
    <n v="0.10455737067903281"/>
    <n v="96.673312374524414"/>
    <n v="97.15930870366131"/>
    <n v="0"/>
    <n v="6.8864511498433556"/>
    <n v="6.62817347143584"/>
  </r>
  <r>
    <x v="39"/>
    <x v="39"/>
    <n v="95328"/>
    <x v="19"/>
    <n v="0"/>
    <n v="96714"/>
    <n v="0"/>
    <m/>
    <n v="0"/>
    <m/>
    <n v="0"/>
    <m/>
    <n v="0"/>
    <m/>
    <n v="0"/>
    <n v="103101.00000000003"/>
    <n v="0"/>
    <n v="0"/>
    <m/>
    <n v="0"/>
    <m/>
    <n v="0"/>
    <m/>
    <n v="0"/>
    <n v="107118.5"/>
    <n v="0"/>
    <n v="0"/>
    <n v="0"/>
    <n v="0"/>
    <n v="0"/>
    <n v="0"/>
    <s v=""/>
    <n v="0"/>
    <s v=""/>
    <n v="0"/>
    <s v=""/>
    <x v="0"/>
    <n v="0"/>
    <n v="0"/>
    <s v="No change"/>
    <n v="-6.1731500721997512E-2"/>
    <n v="0.10455737067903281"/>
    <n v="0"/>
    <n v="0"/>
    <n v="0"/>
    <n v="0"/>
    <n v="0"/>
  </r>
  <r>
    <x v="39"/>
    <x v="39"/>
    <n v="95329"/>
    <x v="20"/>
    <n v="0"/>
    <n v="96714"/>
    <n v="0"/>
    <m/>
    <n v="0"/>
    <m/>
    <n v="0"/>
    <m/>
    <n v="0"/>
    <m/>
    <n v="0"/>
    <n v="103101.00000000003"/>
    <n v="0"/>
    <n v="33"/>
    <m/>
    <n v="0"/>
    <m/>
    <n v="0"/>
    <m/>
    <n v="60"/>
    <n v="107118.5"/>
    <n v="0"/>
    <n v="33"/>
    <n v="0"/>
    <n v="0"/>
    <n v="60"/>
    <n v="0"/>
    <s v=""/>
    <n v="33"/>
    <s v="2018 (triag)"/>
    <n v="60"/>
    <n v="2021"/>
    <x v="0"/>
    <n v="60"/>
    <n v="60"/>
    <s v="Increasing"/>
    <n v="-6.1731500721997512E-2"/>
    <n v="0.10455737067903281"/>
    <n v="44.9326663149198"/>
    <n v="45.158551932687651"/>
    <n v="0"/>
    <n v="3.2007449006314186"/>
    <n v="5.6012733561429631"/>
  </r>
  <r>
    <x v="39"/>
    <x v="39"/>
    <n v="95330"/>
    <x v="21"/>
    <n v="0"/>
    <n v="96714"/>
    <n v="0"/>
    <m/>
    <n v="0"/>
    <m/>
    <n v="0"/>
    <m/>
    <n v="0"/>
    <m/>
    <n v="0"/>
    <n v="103101.00000000003"/>
    <n v="0"/>
    <n v="0"/>
    <m/>
    <n v="0"/>
    <m/>
    <n v="0"/>
    <m/>
    <n v="2"/>
    <n v="107118.5"/>
    <n v="0"/>
    <n v="0"/>
    <n v="0"/>
    <n v="0"/>
    <n v="2"/>
    <n v="0"/>
    <s v=""/>
    <n v="0"/>
    <s v=""/>
    <n v="2"/>
    <n v="2021"/>
    <x v="0"/>
    <n v="2"/>
    <n v="2"/>
    <s v="Increasing"/>
    <n v="-6.1731500721997512E-2"/>
    <n v="0.10455737067903281"/>
    <n v="0"/>
    <n v="0"/>
    <n v="0"/>
    <n v="0"/>
    <n v="0.1867091118714321"/>
  </r>
  <r>
    <x v="39"/>
    <x v="39"/>
    <n v="95331"/>
    <x v="22"/>
    <n v="0"/>
    <n v="96714"/>
    <n v="0"/>
    <m/>
    <n v="0"/>
    <m/>
    <n v="0"/>
    <m/>
    <n v="0"/>
    <m/>
    <n v="0"/>
    <n v="103101.00000000003"/>
    <n v="0"/>
    <n v="0"/>
    <m/>
    <n v="0"/>
    <m/>
    <n v="0"/>
    <m/>
    <n v="5"/>
    <n v="107118.5"/>
    <n v="5"/>
    <n v="0"/>
    <n v="0"/>
    <n v="0"/>
    <n v="5"/>
    <n v="0"/>
    <s v=""/>
    <n v="0"/>
    <s v=""/>
    <n v="5"/>
    <n v="2021"/>
    <x v="0"/>
    <n v="5"/>
    <n v="5"/>
    <s v="Increasing"/>
    <n v="-6.1731500721997512E-2"/>
    <n v="0.10455737067903281"/>
    <n v="0"/>
    <n v="0"/>
    <n v="0"/>
    <n v="0"/>
    <n v="0.46677277967858027"/>
  </r>
  <r>
    <x v="39"/>
    <x v="39"/>
    <n v="95332"/>
    <x v="23"/>
    <n v="0"/>
    <n v="96714"/>
    <n v="0"/>
    <m/>
    <n v="0"/>
    <m/>
    <n v="0"/>
    <m/>
    <n v="0"/>
    <m/>
    <n v="0"/>
    <n v="103101.00000000003"/>
    <n v="0"/>
    <n v="0"/>
    <m/>
    <n v="0"/>
    <m/>
    <n v="0"/>
    <m/>
    <n v="2"/>
    <n v="107118.5"/>
    <n v="0"/>
    <n v="0"/>
    <n v="0"/>
    <n v="0"/>
    <n v="2"/>
    <n v="0"/>
    <s v=""/>
    <n v="0"/>
    <s v=""/>
    <n v="2"/>
    <n v="2021"/>
    <x v="0"/>
    <n v="2"/>
    <n v="2"/>
    <s v="Increasing"/>
    <n v="-6.1731500721997512E-2"/>
    <n v="0.10455737067903281"/>
    <n v="0"/>
    <n v="0"/>
    <n v="0"/>
    <n v="0"/>
    <n v="0.1867091118714321"/>
  </r>
  <r>
    <x v="40"/>
    <x v="40"/>
    <n v="12754906"/>
    <x v="0"/>
    <n v="1056"/>
    <n v="13216766.5"/>
    <n v="1146"/>
    <n v="13697125.5"/>
    <n v="1216"/>
    <n v="14140274"/>
    <n v="1392"/>
    <n v="14592585.000000004"/>
    <n v="1080"/>
    <n v="15085884.000000006"/>
    <n v="1302"/>
    <n v="15604210"/>
    <n v="1606"/>
    <n v="1606"/>
    <n v="16126866"/>
    <n v="1905"/>
    <n v="16644701.499999996"/>
    <n v="2023"/>
    <n v="17179739.999999996"/>
    <n v="2260"/>
    <n v="17723314.500000004"/>
    <n v="3311"/>
    <n v="803"/>
    <n v="1392"/>
    <n v="1905"/>
    <n v="3311"/>
    <n v="1146"/>
    <n v="2013"/>
    <n v="1606"/>
    <n v="2018"/>
    <n v="3311"/>
    <n v="2022"/>
    <x v="0"/>
    <n v="3311"/>
    <n v="3311"/>
    <s v="Increasing"/>
    <n v="-3.1578929217935259E-2"/>
    <n v="1.4876976840610734E-2"/>
    <n v="940.34737985787706"/>
    <n v="839.65042497012757"/>
    <n v="0.86708046177557874"/>
    <n v="1.0292094248923849"/>
    <n v="1.8681607212917197"/>
  </r>
  <r>
    <x v="40"/>
    <x v="40"/>
    <n v="12754907"/>
    <x v="1"/>
    <n v="6282"/>
    <n v="13216766.5"/>
    <n v="7212"/>
    <m/>
    <n v="7212"/>
    <m/>
    <n v="7126"/>
    <m/>
    <n v="6212"/>
    <m/>
    <n v="6974"/>
    <n v="15604210"/>
    <n v="9598"/>
    <n v="9598"/>
    <m/>
    <n v="0"/>
    <m/>
    <n v="5246"/>
    <m/>
    <n v="5354"/>
    <n v="17723314.500000004"/>
    <n v="5866"/>
    <n v="3863"/>
    <n v="7212"/>
    <n v="9598"/>
    <n v="5866"/>
    <n v="7212"/>
    <n v="2013"/>
    <n v="9598"/>
    <n v="2018"/>
    <n v="5866"/>
    <n v="2022"/>
    <x v="1"/>
    <n v="6774.3034697048161"/>
    <n v="9598"/>
    <s v="Decreasing"/>
    <n v="-3.1578929217935259E-2"/>
    <n v="1.4876976840610734E-2"/>
    <n v="4523.7383915205219"/>
    <n v="4039.314559974599"/>
    <n v="5.4567053144201347"/>
    <n v="6.1509041470218611"/>
    <n v="5.4154656004101254"/>
  </r>
  <r>
    <x v="40"/>
    <x v="40"/>
    <n v="12754908"/>
    <x v="2"/>
    <n v="832"/>
    <n v="13216766.5"/>
    <n v="902"/>
    <m/>
    <n v="0"/>
    <m/>
    <n v="0"/>
    <m/>
    <n v="0"/>
    <m/>
    <n v="0"/>
    <n v="15604210"/>
    <n v="0"/>
    <n v="936"/>
    <m/>
    <n v="1178"/>
    <m/>
    <n v="1420"/>
    <m/>
    <n v="1442"/>
    <n v="17723314.500000004"/>
    <n v="1566"/>
    <n v="936"/>
    <n v="902"/>
    <n v="1178"/>
    <n v="1566"/>
    <n v="902"/>
    <n v="2013"/>
    <n v="936"/>
    <s v="2018 (triag)"/>
    <n v="1566"/>
    <n v="2022"/>
    <x v="0"/>
    <n v="1566"/>
    <n v="1566"/>
    <s v="Increasing"/>
    <n v="-3.1578929217935259E-2"/>
    <n v="1.4876976840610734E-2"/>
    <n v="1096.0960741556326"/>
    <n v="978.72079423666185"/>
    <n v="0.6824664716593124"/>
    <n v="0.5998381206097585"/>
    <n v="0.8835819056305747"/>
  </r>
  <r>
    <x v="40"/>
    <x v="40"/>
    <n v="12754909"/>
    <x v="3"/>
    <n v="19687"/>
    <n v="13216766.5"/>
    <n v="2302"/>
    <m/>
    <n v="351"/>
    <m/>
    <n v="591"/>
    <m/>
    <n v="119"/>
    <m/>
    <n v="172"/>
    <n v="15604210"/>
    <n v="14"/>
    <n v="269"/>
    <m/>
    <n v="269"/>
    <m/>
    <n v="2495"/>
    <m/>
    <n v="10"/>
    <n v="17723314.500000004"/>
    <n v="78"/>
    <n v="269"/>
    <n v="19687"/>
    <n v="269"/>
    <n v="2495"/>
    <n v="2302"/>
    <n v="2013"/>
    <n v="269"/>
    <s v="2018 (triag)"/>
    <n v="78"/>
    <n v="2022"/>
    <x v="1"/>
    <n v="90.077679958570684"/>
    <n v="269"/>
    <s v="Decreasing"/>
    <n v="-3.1578929217935259E-2"/>
    <n v="1.4876976840610734E-2"/>
    <n v="315.01051703831746"/>
    <n v="281.27766415562184"/>
    <n v="1.74172707068707"/>
    <n v="0.17238937440600965"/>
    <n v="0.15177747931968366"/>
  </r>
  <r>
    <x v="40"/>
    <x v="40"/>
    <n v="12754910"/>
    <x v="4"/>
    <n v="15483"/>
    <n v="13216766.5"/>
    <n v="1652"/>
    <m/>
    <n v="12"/>
    <m/>
    <n v="123"/>
    <m/>
    <n v="14"/>
    <m/>
    <n v="81"/>
    <n v="15604210"/>
    <n v="0"/>
    <n v="3"/>
    <m/>
    <n v="3"/>
    <m/>
    <n v="506"/>
    <m/>
    <n v="0"/>
    <n v="17723314.500000004"/>
    <n v="14"/>
    <n v="3"/>
    <n v="15483"/>
    <n v="81"/>
    <n v="506"/>
    <n v="1652"/>
    <n v="2013"/>
    <n v="3"/>
    <s v="2018 (triag)"/>
    <n v="14"/>
    <n v="2022"/>
    <x v="0"/>
    <n v="14"/>
    <n v="14"/>
    <s v="Increasing"/>
    <n v="-3.1578929217935259E-2"/>
    <n v="1.4876976840610734E-2"/>
    <n v="3.5131284428065142"/>
    <n v="3.1369256225534032"/>
    <n v="1.249927506852754"/>
    <n v="1.9225580788774311E-3"/>
    <n v="7.8991996671954317E-3"/>
  </r>
  <r>
    <x v="40"/>
    <x v="40"/>
    <n v="12754911"/>
    <x v="5"/>
    <n v="0"/>
    <n v="13216766.5"/>
    <n v="0"/>
    <m/>
    <n v="0"/>
    <m/>
    <n v="0"/>
    <m/>
    <n v="0"/>
    <m/>
    <n v="0"/>
    <n v="15604210"/>
    <n v="0"/>
    <n v="7"/>
    <m/>
    <n v="0"/>
    <m/>
    <n v="592"/>
    <m/>
    <n v="8077"/>
    <n v="17723314.500000004"/>
    <n v="0"/>
    <n v="7"/>
    <n v="0"/>
    <n v="0"/>
    <n v="8077"/>
    <n v="0"/>
    <s v=""/>
    <n v="7"/>
    <s v="2018 (triag)"/>
    <n v="8077"/>
    <n v="2021"/>
    <x v="0"/>
    <n v="8077"/>
    <n v="8077"/>
    <s v="Increasing"/>
    <n v="-3.1578929217935259E-2"/>
    <n v="1.4876976840610734E-2"/>
    <n v="8.1972996998818672"/>
    <n v="7.3194931192912742"/>
    <n v="0"/>
    <n v="4.4859688507140061E-3"/>
    <n v="4.5572739794241075"/>
  </r>
  <r>
    <x v="40"/>
    <x v="40"/>
    <n v="12754912"/>
    <x v="6"/>
    <n v="406"/>
    <n v="13216766.5"/>
    <n v="0"/>
    <m/>
    <n v="0"/>
    <m/>
    <n v="43"/>
    <m/>
    <n v="0"/>
    <m/>
    <n v="0"/>
    <n v="15604210"/>
    <n v="0"/>
    <n v="58"/>
    <m/>
    <n v="0"/>
    <m/>
    <n v="0"/>
    <m/>
    <n v="0"/>
    <n v="17723314.500000004"/>
    <n v="0"/>
    <n v="58"/>
    <n v="406"/>
    <n v="0"/>
    <n v="0"/>
    <n v="406"/>
    <n v="2012"/>
    <n v="58"/>
    <s v="2018 (triag)"/>
    <n v="58"/>
    <s v="2018 (triag)"/>
    <x v="0"/>
    <n v="58"/>
    <n v="58"/>
    <s v="No change"/>
    <n v="-3.1578929217935259E-2"/>
    <n v="1.4876976840610734E-2"/>
    <n v="67.920483227592612"/>
    <n v="60.647228702699131"/>
    <n v="0.30718557371804972"/>
    <n v="3.7169456191630333E-2"/>
    <n v="3.2725255764095358E-2"/>
  </r>
  <r>
    <x v="40"/>
    <x v="40"/>
    <n v="12754913"/>
    <x v="7"/>
    <n v="1258"/>
    <n v="13216766.5"/>
    <n v="0"/>
    <m/>
    <n v="255"/>
    <m/>
    <n v="0"/>
    <m/>
    <n v="0"/>
    <m/>
    <n v="0"/>
    <n v="15604210"/>
    <n v="0"/>
    <n v="76"/>
    <m/>
    <n v="0"/>
    <m/>
    <n v="0"/>
    <m/>
    <n v="0"/>
    <n v="17723314.500000004"/>
    <n v="0"/>
    <n v="76"/>
    <n v="1258"/>
    <n v="0"/>
    <n v="0"/>
    <n v="1258"/>
    <n v="2012"/>
    <n v="76"/>
    <s v="2018 (triag)"/>
    <n v="76"/>
    <s v="2018 (triag)"/>
    <x v="0"/>
    <n v="76"/>
    <n v="76"/>
    <s v="No change"/>
    <n v="-3.1578929217935259E-2"/>
    <n v="1.4876976840610734E-2"/>
    <n v="88.999253884431695"/>
    <n v="79.468782438019545"/>
    <n v="0.95182130969779943"/>
    <n v="4.8704804664894921E-2"/>
    <n v="4.2881369621918061E-2"/>
  </r>
  <r>
    <x v="40"/>
    <x v="40"/>
    <n v="12754914"/>
    <x v="8"/>
    <n v="0"/>
    <n v="13216766.5"/>
    <n v="0"/>
    <m/>
    <n v="0"/>
    <m/>
    <n v="0"/>
    <m/>
    <n v="0"/>
    <m/>
    <n v="0"/>
    <n v="15604210"/>
    <n v="0"/>
    <n v="738"/>
    <m/>
    <n v="208"/>
    <m/>
    <n v="0"/>
    <m/>
    <n v="0"/>
    <n v="17723314.500000004"/>
    <n v="0"/>
    <n v="738"/>
    <n v="0"/>
    <n v="208"/>
    <n v="0"/>
    <n v="0"/>
    <s v=""/>
    <n v="738"/>
    <s v="2018 (triag)"/>
    <n v="208"/>
    <s v="2018 (triag)"/>
    <x v="1"/>
    <n v="240.20714655618852"/>
    <n v="738"/>
    <s v="Decreasing"/>
    <n v="-3.1578929217935259E-2"/>
    <n v="1.4876976840610734E-2"/>
    <n v="864.22959693040252"/>
    <n v="771.68370314813717"/>
    <n v="0"/>
    <n v="0.47294928740384806"/>
    <n v="0.41640066817073063"/>
  </r>
  <r>
    <x v="40"/>
    <x v="40"/>
    <n v="12754915"/>
    <x v="9"/>
    <n v="0"/>
    <n v="13216766.5"/>
    <n v="0"/>
    <m/>
    <n v="0"/>
    <m/>
    <n v="0"/>
    <m/>
    <n v="0"/>
    <m/>
    <n v="0"/>
    <n v="15604210"/>
    <n v="0"/>
    <n v="732"/>
    <m/>
    <n v="109"/>
    <m/>
    <n v="0"/>
    <m/>
    <n v="371"/>
    <n v="17723314.500000004"/>
    <n v="0"/>
    <n v="732"/>
    <n v="0"/>
    <n v="109"/>
    <n v="371"/>
    <n v="0"/>
    <s v=""/>
    <n v="732"/>
    <s v="2018 (triag)"/>
    <n v="371"/>
    <n v="2021"/>
    <x v="1"/>
    <n v="428.44640082858621"/>
    <n v="732"/>
    <s v="Decreasing"/>
    <n v="-3.1578929217935259E-2"/>
    <n v="1.4876976840610734E-2"/>
    <n v="857.20334004478946"/>
    <n v="765.40985190303036"/>
    <n v="0"/>
    <n v="0.46910417124609322"/>
    <n v="0.41301529688478972"/>
  </r>
  <r>
    <x v="40"/>
    <x v="40"/>
    <n v="12754916"/>
    <x v="10"/>
    <n v="0"/>
    <n v="13216766.5"/>
    <n v="0"/>
    <m/>
    <n v="0"/>
    <m/>
    <n v="0"/>
    <m/>
    <n v="0"/>
    <m/>
    <n v="0"/>
    <n v="15604210"/>
    <n v="0"/>
    <n v="0"/>
    <m/>
    <n v="0"/>
    <m/>
    <n v="0"/>
    <m/>
    <n v="4"/>
    <n v="17723314.500000004"/>
    <n v="11"/>
    <n v="0"/>
    <n v="0"/>
    <n v="0"/>
    <n v="11"/>
    <n v="0"/>
    <s v=""/>
    <n v="0"/>
    <s v=""/>
    <n v="11"/>
    <n v="2022"/>
    <x v="0"/>
    <n v="11"/>
    <n v="11"/>
    <s v="Increasing"/>
    <n v="-3.1578929217935259E-2"/>
    <n v="1.4876976840610734E-2"/>
    <n v="0"/>
    <n v="0"/>
    <n v="0"/>
    <n v="0"/>
    <n v="6.206514024224982E-3"/>
  </r>
  <r>
    <x v="40"/>
    <x v="40"/>
    <n v="12754917"/>
    <x v="11"/>
    <n v="0"/>
    <n v="13216766.5"/>
    <n v="0"/>
    <m/>
    <n v="0"/>
    <m/>
    <n v="0"/>
    <m/>
    <n v="0"/>
    <m/>
    <n v="0"/>
    <n v="15604210"/>
    <n v="749"/>
    <n v="814"/>
    <m/>
    <n v="0"/>
    <m/>
    <n v="0"/>
    <m/>
    <n v="848"/>
    <n v="17723314.500000004"/>
    <n v="1028"/>
    <n v="814"/>
    <n v="0"/>
    <n v="749"/>
    <n v="1028"/>
    <n v="0"/>
    <s v=""/>
    <n v="814"/>
    <s v="2018 (triag)"/>
    <n v="1028"/>
    <n v="2022"/>
    <x v="0"/>
    <n v="1028"/>
    <n v="1028"/>
    <s v="Increasing"/>
    <n v="-3.1578929217935259E-2"/>
    <n v="1.4876976840610734E-2"/>
    <n v="953.22885081483423"/>
    <n v="851.15248558615679"/>
    <n v="0"/>
    <n v="0.52165409206874302"/>
    <n v="0.58002694699120738"/>
  </r>
  <r>
    <x v="40"/>
    <x v="40"/>
    <n v="12754918"/>
    <x v="12"/>
    <n v="0"/>
    <n v="13216766.5"/>
    <n v="0"/>
    <m/>
    <n v="0"/>
    <m/>
    <n v="0"/>
    <m/>
    <n v="0"/>
    <m/>
    <n v="0"/>
    <n v="15604210"/>
    <n v="0"/>
    <n v="42"/>
    <m/>
    <n v="0"/>
    <m/>
    <n v="0"/>
    <m/>
    <n v="104"/>
    <n v="17723314.500000004"/>
    <n v="104"/>
    <n v="42"/>
    <n v="0"/>
    <n v="0"/>
    <n v="104"/>
    <n v="0"/>
    <s v=""/>
    <n v="42"/>
    <s v="2018 (triag)"/>
    <n v="104"/>
    <n v="2021"/>
    <x v="0"/>
    <n v="104"/>
    <n v="104"/>
    <s v="Increasing"/>
    <n v="-3.1578929217935259E-2"/>
    <n v="1.4876976840610734E-2"/>
    <n v="49.183798199291203"/>
    <n v="43.916958715747647"/>
    <n v="0"/>
    <n v="2.6915813104284037E-2"/>
    <n v="5.8679768956308921E-2"/>
  </r>
  <r>
    <x v="40"/>
    <x v="40"/>
    <n v="12754919"/>
    <x v="13"/>
    <n v="0"/>
    <n v="13216766.5"/>
    <n v="0"/>
    <m/>
    <n v="0"/>
    <m/>
    <n v="0"/>
    <m/>
    <n v="0"/>
    <m/>
    <n v="0"/>
    <n v="15604210"/>
    <n v="0"/>
    <n v="25"/>
    <m/>
    <n v="48"/>
    <m/>
    <n v="0"/>
    <m/>
    <n v="0"/>
    <n v="17723314.500000004"/>
    <n v="0"/>
    <n v="25"/>
    <n v="0"/>
    <n v="48"/>
    <n v="0"/>
    <n v="0"/>
    <s v=""/>
    <n v="25"/>
    <s v="2018 (triag)"/>
    <n v="48"/>
    <s v="2018 (triag)"/>
    <x v="0"/>
    <n v="48"/>
    <n v="48"/>
    <s v="Increasing"/>
    <n v="-3.1578929217935259E-2"/>
    <n v="1.4876976840610734E-2"/>
    <n v="29.276070356720954"/>
    <n v="26.141046854611695"/>
    <n v="0"/>
    <n v="1.6021317323978594E-2"/>
    <n v="2.7082970287527194E-2"/>
  </r>
  <r>
    <x v="40"/>
    <x v="40"/>
    <n v="12754920"/>
    <x v="14"/>
    <n v="0"/>
    <n v="13216766.5"/>
    <n v="0"/>
    <m/>
    <n v="0"/>
    <m/>
    <n v="0"/>
    <m/>
    <n v="0"/>
    <m/>
    <n v="0"/>
    <n v="15604210"/>
    <n v="0"/>
    <n v="6"/>
    <m/>
    <n v="0"/>
    <m/>
    <n v="0"/>
    <m/>
    <n v="0"/>
    <n v="17723314.500000004"/>
    <n v="0"/>
    <n v="6"/>
    <n v="0"/>
    <n v="0"/>
    <n v="0"/>
    <n v="0"/>
    <s v=""/>
    <n v="6"/>
    <s v="2018 (triag)"/>
    <n v="6"/>
    <s v="2018 (triag)"/>
    <x v="0"/>
    <n v="6"/>
    <n v="6"/>
    <s v="No change"/>
    <n v="-3.1578929217935259E-2"/>
    <n v="1.4876976840610734E-2"/>
    <n v="7.0262568856130283"/>
    <n v="6.2738512451068065"/>
    <n v="0"/>
    <n v="3.8451161577548621E-3"/>
    <n v="3.3853712859408993E-3"/>
  </r>
  <r>
    <x v="40"/>
    <x v="40"/>
    <n v="12754921"/>
    <x v="15"/>
    <n v="0"/>
    <n v="13216766.5"/>
    <n v="0"/>
    <m/>
    <n v="0"/>
    <m/>
    <n v="0"/>
    <m/>
    <n v="0"/>
    <m/>
    <n v="0"/>
    <n v="15604210"/>
    <n v="0"/>
    <n v="6"/>
    <m/>
    <n v="50"/>
    <m/>
    <n v="1"/>
    <m/>
    <n v="0"/>
    <n v="17723314.500000004"/>
    <n v="0"/>
    <n v="6"/>
    <n v="0"/>
    <n v="50"/>
    <n v="1"/>
    <n v="0"/>
    <s v=""/>
    <n v="6"/>
    <s v="2018 (triag)"/>
    <n v="1"/>
    <n v="2020"/>
    <x v="1"/>
    <n v="1.1548420507509063"/>
    <n v="6"/>
    <s v="Decreasing"/>
    <n v="-3.1578929217935259E-2"/>
    <n v="1.4876976840610734E-2"/>
    <n v="7.0262568856130283"/>
    <n v="6.2738512451068065"/>
    <n v="0"/>
    <n v="3.8451161577548621E-3"/>
    <n v="3.3853712859408993E-3"/>
  </r>
  <r>
    <x v="40"/>
    <x v="40"/>
    <n v="12754922"/>
    <x v="16"/>
    <n v="0"/>
    <n v="13216766.5"/>
    <n v="0"/>
    <m/>
    <n v="0"/>
    <m/>
    <n v="0"/>
    <m/>
    <n v="0"/>
    <m/>
    <n v="0"/>
    <n v="15604210"/>
    <n v="0"/>
    <n v="436"/>
    <m/>
    <n v="6"/>
    <m/>
    <n v="0"/>
    <m/>
    <n v="0"/>
    <n v="17723314.500000004"/>
    <n v="0"/>
    <n v="436"/>
    <n v="0"/>
    <n v="6"/>
    <n v="0"/>
    <n v="0"/>
    <s v=""/>
    <n v="436"/>
    <s v="2018 (triag)"/>
    <n v="6"/>
    <s v="2018 (triag)"/>
    <x v="1"/>
    <n v="6.9290523045054382"/>
    <n v="436"/>
    <s v="Decreasing"/>
    <n v="-3.1578929217935259E-2"/>
    <n v="1.4876976840610734E-2"/>
    <n v="510.57466702121343"/>
    <n v="455.89985714442793"/>
    <n v="0"/>
    <n v="0.27941177413018664"/>
    <n v="0.24600364677837203"/>
  </r>
  <r>
    <x v="40"/>
    <x v="40"/>
    <n v="12754923"/>
    <x v="17"/>
    <n v="0"/>
    <n v="13216766.5"/>
    <n v="0"/>
    <m/>
    <n v="0"/>
    <m/>
    <n v="0"/>
    <m/>
    <n v="0"/>
    <m/>
    <n v="0"/>
    <n v="15604210"/>
    <n v="0"/>
    <n v="90"/>
    <m/>
    <n v="791"/>
    <m/>
    <n v="0"/>
    <m/>
    <n v="0"/>
    <n v="17723314.500000004"/>
    <n v="0"/>
    <n v="90"/>
    <n v="0"/>
    <n v="791"/>
    <n v="0"/>
    <n v="0"/>
    <s v=""/>
    <n v="90"/>
    <s v="2018 (triag)"/>
    <n v="791"/>
    <s v="2018 (triag)"/>
    <x v="0"/>
    <n v="791"/>
    <n v="791"/>
    <s v="Increasing"/>
    <n v="-3.1578929217935259E-2"/>
    <n v="1.4876976840610734E-2"/>
    <n v="105.39385328419543"/>
    <n v="94.107768676602092"/>
    <n v="0"/>
    <n v="5.7676742366322933E-2"/>
    <n v="0.44630478119654188"/>
  </r>
  <r>
    <x v="40"/>
    <x v="40"/>
    <n v="12754924"/>
    <x v="18"/>
    <n v="0"/>
    <n v="13216766.5"/>
    <n v="0"/>
    <m/>
    <n v="0"/>
    <m/>
    <n v="0"/>
    <m/>
    <n v="0"/>
    <m/>
    <n v="0"/>
    <n v="15604210"/>
    <n v="0"/>
    <n v="749"/>
    <m/>
    <n v="0"/>
    <m/>
    <n v="0"/>
    <m/>
    <n v="848"/>
    <n v="17723314.500000004"/>
    <n v="1028"/>
    <n v="749"/>
    <n v="0"/>
    <n v="0"/>
    <n v="1028"/>
    <n v="0"/>
    <s v=""/>
    <n v="749"/>
    <s v="2018 (triag)"/>
    <n v="1028"/>
    <n v="2022"/>
    <x v="0"/>
    <n v="1028"/>
    <n v="1028"/>
    <s v="Increasing"/>
    <n v="-3.1578929217935259E-2"/>
    <n v="1.4876976840610734E-2"/>
    <n v="877.1110678873597"/>
    <n v="783.18576376416638"/>
    <n v="0"/>
    <n v="0.47999866702639865"/>
    <n v="0.58002694699120738"/>
  </r>
  <r>
    <x v="40"/>
    <x v="40"/>
    <n v="12754925"/>
    <x v="19"/>
    <n v="0"/>
    <n v="13216766.5"/>
    <n v="0"/>
    <m/>
    <n v="0"/>
    <m/>
    <n v="0"/>
    <m/>
    <n v="0"/>
    <m/>
    <n v="0"/>
    <n v="15604210"/>
    <n v="0"/>
    <n v="0"/>
    <m/>
    <n v="0"/>
    <m/>
    <n v="0"/>
    <m/>
    <n v="0"/>
    <n v="17723314.500000004"/>
    <n v="0"/>
    <n v="0"/>
    <n v="0"/>
    <n v="0"/>
    <n v="0"/>
    <n v="0"/>
    <s v=""/>
    <n v="0"/>
    <s v=""/>
    <n v="0"/>
    <s v=""/>
    <x v="0"/>
    <n v="0"/>
    <n v="0"/>
    <s v="No change"/>
    <n v="-3.1578929217935259E-2"/>
    <n v="1.4876976840610734E-2"/>
    <n v="0"/>
    <n v="0"/>
    <n v="0"/>
    <n v="0"/>
    <n v="0"/>
  </r>
  <r>
    <x v="40"/>
    <x v="40"/>
    <n v="12754926"/>
    <x v="20"/>
    <n v="0"/>
    <n v="13216766.5"/>
    <n v="0"/>
    <m/>
    <n v="0"/>
    <m/>
    <n v="0"/>
    <m/>
    <n v="0"/>
    <m/>
    <n v="0"/>
    <n v="15604210"/>
    <n v="0"/>
    <n v="2"/>
    <m/>
    <n v="18"/>
    <m/>
    <n v="0"/>
    <m/>
    <n v="0"/>
    <n v="17723314.500000004"/>
    <n v="0"/>
    <n v="2"/>
    <n v="0"/>
    <n v="18"/>
    <n v="0"/>
    <n v="0"/>
    <s v=""/>
    <n v="2"/>
    <s v="2018 (triag)"/>
    <n v="18"/>
    <s v="2018 (triag)"/>
    <x v="0"/>
    <n v="18"/>
    <n v="18"/>
    <s v="Increasing"/>
    <n v="-3.1578929217935259E-2"/>
    <n v="1.4876976840610734E-2"/>
    <n v="2.3420856285376761"/>
    <n v="2.0912837483689355"/>
    <n v="0"/>
    <n v="1.2817053859182875E-3"/>
    <n v="1.0156113857822698E-2"/>
  </r>
  <r>
    <x v="40"/>
    <x v="40"/>
    <n v="12754927"/>
    <x v="21"/>
    <n v="0"/>
    <n v="13216766.5"/>
    <n v="0"/>
    <m/>
    <n v="0"/>
    <m/>
    <n v="0"/>
    <m/>
    <n v="0"/>
    <m/>
    <n v="0"/>
    <n v="15604210"/>
    <n v="0"/>
    <n v="0"/>
    <m/>
    <n v="19"/>
    <m/>
    <n v="0"/>
    <m/>
    <n v="0"/>
    <n v="17723314.500000004"/>
    <n v="0"/>
    <n v="0"/>
    <n v="0"/>
    <n v="19"/>
    <n v="0"/>
    <n v="0"/>
    <s v=""/>
    <n v="19"/>
    <n v="2019"/>
    <n v="19"/>
    <n v="2019"/>
    <x v="0"/>
    <n v="19"/>
    <n v="19"/>
    <s v="No change"/>
    <n v="-3.1578929217935259E-2"/>
    <n v="1.4876976840610734E-2"/>
    <n v="0"/>
    <n v="0"/>
    <n v="0"/>
    <n v="1.217620116622373E-2"/>
    <n v="1.0720342405479515E-2"/>
  </r>
  <r>
    <x v="40"/>
    <x v="40"/>
    <n v="12754928"/>
    <x v="22"/>
    <n v="0"/>
    <n v="13216766.5"/>
    <n v="0"/>
    <m/>
    <n v="0"/>
    <m/>
    <n v="0"/>
    <m/>
    <n v="0"/>
    <m/>
    <n v="0"/>
    <n v="15604210"/>
    <n v="0"/>
    <n v="0"/>
    <m/>
    <n v="0"/>
    <m/>
    <n v="0"/>
    <m/>
    <n v="0"/>
    <n v="17723314.500000004"/>
    <n v="0"/>
    <n v="0"/>
    <n v="0"/>
    <n v="0"/>
    <n v="0"/>
    <n v="0"/>
    <s v=""/>
    <n v="0"/>
    <s v=""/>
    <n v="0"/>
    <s v=""/>
    <x v="0"/>
    <n v="0"/>
    <n v="0"/>
    <s v="No change"/>
    <n v="-3.1578929217935259E-2"/>
    <n v="1.4876976840610734E-2"/>
    <n v="0"/>
    <n v="0"/>
    <n v="0"/>
    <n v="0"/>
    <n v="0"/>
  </r>
  <r>
    <x v="40"/>
    <x v="40"/>
    <n v="12754929"/>
    <x v="23"/>
    <n v="0"/>
    <n v="13216766.5"/>
    <n v="0"/>
    <m/>
    <n v="0"/>
    <m/>
    <n v="0"/>
    <m/>
    <n v="0"/>
    <m/>
    <n v="0"/>
    <n v="15604210"/>
    <n v="0"/>
    <n v="0"/>
    <m/>
    <n v="0"/>
    <m/>
    <n v="0"/>
    <m/>
    <n v="0"/>
    <n v="17723314.500000004"/>
    <n v="21983"/>
    <n v="0"/>
    <n v="0"/>
    <n v="0"/>
    <n v="21983"/>
    <n v="0"/>
    <s v=""/>
    <n v="0"/>
    <s v=""/>
    <n v="21983"/>
    <n v="2022"/>
    <x v="0"/>
    <n v="21983"/>
    <n v="21983"/>
    <s v="Increasing"/>
    <n v="-3.1578929217935259E-2"/>
    <n v="1.4876976840610734E-2"/>
    <n v="0"/>
    <n v="0"/>
    <n v="0"/>
    <n v="0"/>
    <n v="12.403436163139798"/>
  </r>
  <r>
    <x v="41"/>
    <x v="41"/>
    <n v="6926634.5000000009"/>
    <x v="0"/>
    <n v="49"/>
    <n v="7106229"/>
    <n v="53"/>
    <n v="7288383.0000000009"/>
    <n v="0"/>
    <n v="7473228.5"/>
    <n v="722"/>
    <n v="7661353.5000000019"/>
    <n v="964"/>
    <n v="7852795.0000000037"/>
    <n v="1490"/>
    <n v="8046679"/>
    <n v="1633"/>
    <n v="1633"/>
    <n v="8243094.5000000047"/>
    <n v="1651"/>
    <n v="8442580"/>
    <n v="1619"/>
    <n v="8644828.9999999981"/>
    <n v="1369"/>
    <n v="8848698.5000000019"/>
    <n v="1641"/>
    <n v="584"/>
    <n v="722"/>
    <n v="1651"/>
    <n v="1641"/>
    <n v="53"/>
    <n v="2013"/>
    <n v="1633"/>
    <n v="2018"/>
    <n v="1641"/>
    <n v="2022"/>
    <x v="0"/>
    <n v="1641"/>
    <n v="1641"/>
    <s v="Increasing"/>
    <n v="-1.0198610590244073E-2"/>
    <n v="0.13933439758107946"/>
    <n v="614.55230033775331"/>
    <n v="887.05250597727763"/>
    <n v="7.4582454350964486E-2"/>
    <n v="2.0294086541789476"/>
    <n v="1.8545100163600328"/>
  </r>
  <r>
    <x v="41"/>
    <x v="41"/>
    <n v="6926635.5"/>
    <x v="1"/>
    <n v="0"/>
    <n v="7106229"/>
    <n v="0"/>
    <m/>
    <n v="0"/>
    <m/>
    <n v="2682"/>
    <m/>
    <n v="2838"/>
    <m/>
    <n v="3932"/>
    <n v="8046679"/>
    <n v="3902"/>
    <n v="3902"/>
    <m/>
    <n v="4268"/>
    <m/>
    <n v="4910"/>
    <m/>
    <n v="3892"/>
    <n v="8848698.5000000019"/>
    <n v="5260"/>
    <n v="1966"/>
    <n v="2682"/>
    <n v="4268"/>
    <n v="5260"/>
    <n v="2682"/>
    <n v="2015"/>
    <n v="3902"/>
    <n v="2018"/>
    <n v="5260"/>
    <n v="2022"/>
    <x v="0"/>
    <n v="5260"/>
    <n v="5260"/>
    <s v="Increasing"/>
    <n v="-1.0198610590244073E-2"/>
    <n v="0.13933439758107946"/>
    <n v="2068.8524357260671"/>
    <n v="2986.2075800536436"/>
    <n v="3.774153633382769"/>
    <n v="4.8492054921042582"/>
    <n v="5.9443770177049187"/>
  </r>
  <r>
    <x v="41"/>
    <x v="41"/>
    <n v="6926636.5"/>
    <x v="2"/>
    <n v="0"/>
    <n v="7106229"/>
    <n v="1590"/>
    <m/>
    <n v="0"/>
    <m/>
    <n v="1738"/>
    <m/>
    <n v="1922"/>
    <m/>
    <n v="2536"/>
    <n v="8046679"/>
    <n v="2570"/>
    <n v="2570"/>
    <m/>
    <n v="3238"/>
    <m/>
    <n v="3486"/>
    <m/>
    <n v="2964"/>
    <n v="8848698.5000000019"/>
    <n v="3728"/>
    <n v="1268"/>
    <n v="1738"/>
    <n v="3238"/>
    <n v="3728"/>
    <n v="1590"/>
    <n v="2013"/>
    <n v="2570"/>
    <n v="2018"/>
    <n v="3728"/>
    <n v="2022"/>
    <x v="0"/>
    <n v="3728"/>
    <n v="3728"/>
    <s v="Increasing"/>
    <n v="-1.0198610590244073E-2"/>
    <n v="0.13933439758107946"/>
    <n v="1334.3361589525193"/>
    <n v="1925.9975643479247"/>
    <n v="2.2374736305289344"/>
    <n v="3.1938642016165923"/>
    <n v="4.2130489585558815"/>
  </r>
  <r>
    <x v="41"/>
    <x v="41"/>
    <n v="6926637.5"/>
    <x v="3"/>
    <n v="4"/>
    <n v="7106229"/>
    <n v="0"/>
    <m/>
    <n v="0"/>
    <m/>
    <n v="68"/>
    <m/>
    <n v="0"/>
    <m/>
    <n v="0"/>
    <n v="8046679"/>
    <n v="0"/>
    <n v="226"/>
    <m/>
    <n v="0"/>
    <m/>
    <n v="0"/>
    <m/>
    <n v="0"/>
    <n v="8848698.5000000019"/>
    <n v="2076"/>
    <n v="226"/>
    <n v="68"/>
    <n v="0"/>
    <n v="2076"/>
    <n v="4"/>
    <n v="2012"/>
    <n v="226"/>
    <s v="2018 (triag)"/>
    <n v="2076"/>
    <n v="2022"/>
    <x v="0"/>
    <n v="2076"/>
    <n v="2076"/>
    <s v="Increasing"/>
    <n v="-1.0198610590244073E-2"/>
    <n v="0.13933439758107946"/>
    <n v="237.82332170604838"/>
    <n v="343.27716840901496"/>
    <n v="5.6288644793180747E-3"/>
    <n v="0.28086120994760694"/>
    <n v="2.3461077355048312"/>
  </r>
  <r>
    <x v="41"/>
    <x v="41"/>
    <n v="6926638.5"/>
    <x v="4"/>
    <n v="0"/>
    <n v="7106229"/>
    <n v="0"/>
    <m/>
    <n v="0"/>
    <m/>
    <n v="0"/>
    <m/>
    <n v="0"/>
    <m/>
    <n v="0"/>
    <n v="8046679"/>
    <n v="0"/>
    <n v="21"/>
    <m/>
    <n v="0"/>
    <m/>
    <n v="0"/>
    <m/>
    <n v="0"/>
    <n v="8848698.5000000019"/>
    <n v="985"/>
    <n v="21"/>
    <n v="0"/>
    <n v="0"/>
    <n v="985"/>
    <n v="0"/>
    <s v=""/>
    <n v="21"/>
    <s v="2018 (triag)"/>
    <n v="985"/>
    <n v="2022"/>
    <x v="0"/>
    <n v="985"/>
    <n v="985"/>
    <s v="Increasing"/>
    <n v="-1.0198610590244073E-2"/>
    <n v="0.13933439758107946"/>
    <n v="22.098627238172639"/>
    <n v="31.897436002607584"/>
    <n v="0"/>
    <n v="2.6097723048228966E-2"/>
    <n v="1.1131580536956929"/>
  </r>
  <r>
    <x v="41"/>
    <x v="41"/>
    <n v="6926639.5"/>
    <x v="5"/>
    <n v="0"/>
    <n v="7106229"/>
    <n v="0"/>
    <m/>
    <n v="0"/>
    <m/>
    <n v="0"/>
    <m/>
    <n v="0"/>
    <m/>
    <n v="7545"/>
    <n v="8046679"/>
    <n v="7086"/>
    <n v="7500"/>
    <m/>
    <n v="0"/>
    <m/>
    <n v="7386"/>
    <m/>
    <n v="7500"/>
    <n v="8848698.5000000019"/>
    <n v="0"/>
    <n v="7500"/>
    <n v="0"/>
    <n v="7545"/>
    <n v="7500"/>
    <n v="0"/>
    <s v=""/>
    <n v="7500"/>
    <s v="2018 (triag)"/>
    <n v="7500"/>
    <n v="2021"/>
    <x v="0"/>
    <n v="7500"/>
    <n v="7500"/>
    <s v="No change"/>
    <n v="-1.0198610590244073E-2"/>
    <n v="0.13933439758107946"/>
    <n v="7892.3668707759425"/>
    <n v="11391.941429502709"/>
    <n v="0"/>
    <n v="9.3206153743674882"/>
    <n v="8.4758227438758347"/>
  </r>
  <r>
    <x v="41"/>
    <x v="41"/>
    <n v="6926640.5"/>
    <x v="6"/>
    <n v="0"/>
    <n v="7106229"/>
    <n v="0"/>
    <m/>
    <n v="0"/>
    <m/>
    <n v="0"/>
    <m/>
    <n v="0"/>
    <m/>
    <n v="0"/>
    <n v="8046679"/>
    <n v="0"/>
    <n v="12"/>
    <m/>
    <n v="0"/>
    <m/>
    <n v="0"/>
    <m/>
    <n v="0"/>
    <n v="8848698.5000000019"/>
    <n v="0"/>
    <n v="12"/>
    <n v="0"/>
    <n v="0"/>
    <n v="0"/>
    <n v="0"/>
    <s v=""/>
    <n v="12"/>
    <s v="2018 (triag)"/>
    <n v="12"/>
    <s v="2018 (triag)"/>
    <x v="0"/>
    <n v="12"/>
    <n v="12"/>
    <s v="No change"/>
    <n v="-1.0198610590244073E-2"/>
    <n v="0.13933439758107946"/>
    <n v="12.627786993241507"/>
    <n v="18.227106287204336"/>
    <n v="0"/>
    <n v="1.491298459898798E-2"/>
    <n v="1.3561316390201335E-2"/>
  </r>
  <r>
    <x v="41"/>
    <x v="41"/>
    <n v="6926641.5"/>
    <x v="7"/>
    <n v="0"/>
    <n v="7106229"/>
    <n v="0"/>
    <m/>
    <n v="0"/>
    <m/>
    <n v="0"/>
    <m/>
    <n v="0"/>
    <m/>
    <n v="0"/>
    <n v="8046679"/>
    <n v="0"/>
    <n v="340"/>
    <m/>
    <n v="0"/>
    <m/>
    <n v="0"/>
    <m/>
    <n v="0"/>
    <n v="8848698.5000000019"/>
    <n v="0"/>
    <n v="340"/>
    <n v="0"/>
    <n v="0"/>
    <n v="0"/>
    <n v="0"/>
    <s v=""/>
    <n v="340"/>
    <s v="2018 (triag)"/>
    <n v="340"/>
    <s v="2018 (triag)"/>
    <x v="0"/>
    <n v="340"/>
    <n v="340"/>
    <s v="No change"/>
    <n v="-1.0198610590244073E-2"/>
    <n v="0.13933439758107946"/>
    <n v="357.78729814184271"/>
    <n v="516.4346781374561"/>
    <n v="0"/>
    <n v="0.42253456363799274"/>
    <n v="0.3842372977223712"/>
  </r>
  <r>
    <x v="41"/>
    <x v="41"/>
    <n v="6926642.5"/>
    <x v="8"/>
    <n v="0"/>
    <n v="7106229"/>
    <n v="0"/>
    <m/>
    <n v="0"/>
    <m/>
    <n v="0"/>
    <m/>
    <n v="2249"/>
    <m/>
    <n v="3474"/>
    <n v="8046679"/>
    <n v="3903"/>
    <n v="3903"/>
    <m/>
    <n v="3845"/>
    <m/>
    <n v="4622"/>
    <m/>
    <n v="2974"/>
    <n v="8848698.5000000019"/>
    <n v="0"/>
    <n v="3413"/>
    <n v="0"/>
    <n v="3903"/>
    <n v="4622"/>
    <n v="0"/>
    <s v=""/>
    <n v="3903"/>
    <n v="2018"/>
    <n v="2974"/>
    <n v="2021"/>
    <x v="1"/>
    <n v="3595.1391245334239"/>
    <n v="3903"/>
    <s v="Decreasing"/>
    <n v="-1.0198610590244073E-2"/>
    <n v="0.13933439758107946"/>
    <n v="3591.5530839944386"/>
    <n v="5184.092813185699"/>
    <n v="0"/>
    <n v="4.8504482408208407"/>
    <n v="4.4108181559129847"/>
  </r>
  <r>
    <x v="41"/>
    <x v="41"/>
    <n v="6926643.5"/>
    <x v="9"/>
    <n v="0"/>
    <n v="7106229"/>
    <n v="0"/>
    <m/>
    <n v="0"/>
    <m/>
    <n v="0"/>
    <m/>
    <n v="0"/>
    <m/>
    <n v="0"/>
    <n v="8046679"/>
    <n v="0"/>
    <n v="63"/>
    <m/>
    <n v="0"/>
    <m/>
    <n v="0"/>
    <m/>
    <n v="0"/>
    <n v="8848698.5000000019"/>
    <n v="1377"/>
    <n v="63"/>
    <n v="0"/>
    <n v="0"/>
    <n v="1377"/>
    <n v="0"/>
    <s v=""/>
    <n v="63"/>
    <s v="2018 (triag)"/>
    <n v="1377"/>
    <n v="2022"/>
    <x v="0"/>
    <n v="1377"/>
    <n v="1377"/>
    <s v="Increasing"/>
    <n v="-1.0198610590244073E-2"/>
    <n v="0.13933439758107946"/>
    <n v="66.295881714517918"/>
    <n v="95.69230800782276"/>
    <n v="0"/>
    <n v="7.8293169144686897E-2"/>
    <n v="1.5561610557756034"/>
  </r>
  <r>
    <x v="41"/>
    <x v="41"/>
    <n v="6926644.5"/>
    <x v="10"/>
    <n v="0"/>
    <n v="7106229"/>
    <n v="0"/>
    <m/>
    <n v="0"/>
    <m/>
    <n v="0"/>
    <m/>
    <n v="50"/>
    <m/>
    <n v="64"/>
    <n v="8046679"/>
    <n v="55"/>
    <n v="55"/>
    <m/>
    <n v="16"/>
    <m/>
    <n v="8"/>
    <m/>
    <n v="19"/>
    <n v="8848698.5000000019"/>
    <n v="19"/>
    <n v="2"/>
    <n v="0"/>
    <n v="64"/>
    <n v="19"/>
    <n v="0"/>
    <s v=""/>
    <n v="55"/>
    <n v="2018"/>
    <n v="19"/>
    <n v="2021"/>
    <x v="1"/>
    <n v="22.968272819816764"/>
    <n v="55"/>
    <s v="Decreasing"/>
    <n v="-1.0198610590244073E-2"/>
    <n v="0.13933439758107946"/>
    <n v="2.1046311655402512"/>
    <n v="3.037851047867389"/>
    <n v="0"/>
    <n v="6.8351179412028243E-2"/>
    <n v="6.2156033455089459E-2"/>
  </r>
  <r>
    <x v="41"/>
    <x v="41"/>
    <n v="6926645.5"/>
    <x v="11"/>
    <n v="0"/>
    <n v="7106229"/>
    <n v="0"/>
    <m/>
    <n v="0"/>
    <m/>
    <n v="407"/>
    <m/>
    <n v="276"/>
    <m/>
    <n v="454"/>
    <n v="8046679"/>
    <n v="460"/>
    <n v="857"/>
    <m/>
    <n v="518"/>
    <m/>
    <n v="589"/>
    <m/>
    <n v="446"/>
    <n v="8848698.5000000019"/>
    <n v="0"/>
    <n v="857"/>
    <n v="407"/>
    <n v="518"/>
    <n v="589"/>
    <n v="407"/>
    <n v="2015"/>
    <n v="857"/>
    <s v="2018 (triag)"/>
    <n v="446"/>
    <n v="2021"/>
    <x v="1"/>
    <n v="539.14998303359357"/>
    <n v="857"/>
    <s v="Decreasing"/>
    <n v="-1.0198610590244073E-2"/>
    <n v="0.13933439758107946"/>
    <n v="901.83445443399762"/>
    <n v="1301.7191740111762"/>
    <n v="0.57273696077061409"/>
    <n v="1.0650356501110583"/>
    <n v="0.96850401220021209"/>
  </r>
  <r>
    <x v="41"/>
    <x v="41"/>
    <n v="6926646.5"/>
    <x v="12"/>
    <n v="0"/>
    <n v="7106229"/>
    <n v="0"/>
    <m/>
    <n v="0"/>
    <m/>
    <n v="0"/>
    <m/>
    <n v="0"/>
    <m/>
    <n v="0"/>
    <n v="8046679"/>
    <n v="0"/>
    <n v="1075"/>
    <m/>
    <n v="0"/>
    <m/>
    <n v="997"/>
    <m/>
    <n v="0"/>
    <n v="8848698.5000000019"/>
    <n v="595"/>
    <n v="1075"/>
    <n v="0"/>
    <n v="0"/>
    <n v="997"/>
    <n v="0"/>
    <s v=""/>
    <n v="1075"/>
    <s v="2018 (triag)"/>
    <n v="595"/>
    <n v="2022"/>
    <x v="1"/>
    <n v="719.26959619952504"/>
    <n v="1075"/>
    <s v="Decreasing"/>
    <n v="-1.0198610590244073E-2"/>
    <n v="0.13933439758107946"/>
    <n v="1131.2392514778851"/>
    <n v="1632.8449382287215"/>
    <n v="0"/>
    <n v="1.3359548703260065"/>
    <n v="1.2148679266222029"/>
  </r>
  <r>
    <x v="41"/>
    <x v="41"/>
    <n v="6926647.5"/>
    <x v="13"/>
    <n v="0"/>
    <n v="7106229"/>
    <n v="0"/>
    <m/>
    <n v="0"/>
    <m/>
    <n v="0"/>
    <m/>
    <n v="112"/>
    <m/>
    <n v="151"/>
    <n v="8046679"/>
    <n v="148"/>
    <n v="148"/>
    <m/>
    <n v="139"/>
    <m/>
    <n v="280"/>
    <m/>
    <n v="95"/>
    <n v="8848698.5000000019"/>
    <n v="0"/>
    <n v="23"/>
    <n v="0"/>
    <n v="151"/>
    <n v="280"/>
    <n v="0"/>
    <s v=""/>
    <n v="148"/>
    <n v="2018"/>
    <n v="95"/>
    <n v="2021"/>
    <x v="1"/>
    <n v="114.84136409908382"/>
    <n v="148"/>
    <s v="Decreasing"/>
    <n v="-1.0198610590244073E-2"/>
    <n v="0.13933439758107946"/>
    <n v="24.203258403712891"/>
    <n v="34.935287050474976"/>
    <n v="0"/>
    <n v="0.1839268100541851"/>
    <n v="0.16725623547914981"/>
  </r>
  <r>
    <x v="41"/>
    <x v="41"/>
    <n v="6926648.5"/>
    <x v="14"/>
    <n v="0"/>
    <n v="7106229"/>
    <n v="0"/>
    <m/>
    <n v="0"/>
    <m/>
    <n v="0"/>
    <m/>
    <n v="0"/>
    <m/>
    <n v="0"/>
    <n v="8046679"/>
    <n v="0"/>
    <n v="0"/>
    <m/>
    <n v="0"/>
    <m/>
    <n v="0"/>
    <m/>
    <n v="0"/>
    <n v="8848698.5000000019"/>
    <n v="0"/>
    <n v="0"/>
    <n v="0"/>
    <n v="0"/>
    <n v="0"/>
    <n v="0"/>
    <s v=""/>
    <n v="0"/>
    <s v=""/>
    <n v="0"/>
    <s v=""/>
    <x v="0"/>
    <n v="0"/>
    <n v="0"/>
    <s v="No change"/>
    <n v="-1.0198610590244073E-2"/>
    <n v="0.13933439758107946"/>
    <n v="0"/>
    <n v="0"/>
    <n v="0"/>
    <n v="0"/>
    <n v="0"/>
  </r>
  <r>
    <x v="41"/>
    <x v="41"/>
    <n v="6926649.5"/>
    <x v="15"/>
    <n v="0"/>
    <n v="7106229"/>
    <n v="0"/>
    <m/>
    <n v="0"/>
    <m/>
    <n v="0"/>
    <m/>
    <n v="2"/>
    <m/>
    <n v="6"/>
    <n v="8046679"/>
    <n v="5"/>
    <n v="5"/>
    <m/>
    <n v="4"/>
    <m/>
    <n v="3"/>
    <m/>
    <n v="1"/>
    <n v="8848698.5000000019"/>
    <n v="2"/>
    <n v="2"/>
    <n v="0"/>
    <n v="6"/>
    <n v="3"/>
    <n v="0"/>
    <s v=""/>
    <n v="5"/>
    <n v="2018"/>
    <n v="2"/>
    <n v="2022"/>
    <x v="1"/>
    <n v="2.4177129284017647"/>
    <n v="5"/>
    <s v="Decreasing"/>
    <n v="-1.0198610590244073E-2"/>
    <n v="0.13933439758107946"/>
    <n v="2.1046311655402512"/>
    <n v="3.037851047867389"/>
    <n v="0"/>
    <n v="6.213743582911658E-3"/>
    <n v="5.6505484959172231E-3"/>
  </r>
  <r>
    <x v="41"/>
    <x v="41"/>
    <n v="6926650.5"/>
    <x v="16"/>
    <n v="0"/>
    <n v="7106229"/>
    <n v="0"/>
    <m/>
    <n v="0"/>
    <m/>
    <n v="0"/>
    <m/>
    <n v="1340"/>
    <m/>
    <n v="1364"/>
    <n v="8046679"/>
    <n v="1353"/>
    <n v="4010"/>
    <m/>
    <n v="1353"/>
    <m/>
    <n v="2137"/>
    <m/>
    <n v="2139"/>
    <n v="8848698.5000000019"/>
    <n v="0"/>
    <n v="4010"/>
    <n v="0"/>
    <n v="1364"/>
    <n v="2139"/>
    <n v="0"/>
    <s v=""/>
    <n v="4010"/>
    <s v="2018 (triag)"/>
    <n v="2139"/>
    <n v="2021"/>
    <x v="1"/>
    <n v="2585.7439769256871"/>
    <n v="4010"/>
    <s v="Decreasing"/>
    <n v="-1.0198610590244073E-2"/>
    <n v="0.13933439758107946"/>
    <n v="4219.7854869082039"/>
    <n v="6090.8913509741151"/>
    <n v="0"/>
    <n v="4.9834223534951496"/>
    <n v="4.5317398937256135"/>
  </r>
  <r>
    <x v="41"/>
    <x v="41"/>
    <n v="6926651.5"/>
    <x v="17"/>
    <n v="0"/>
    <n v="7106229"/>
    <n v="0"/>
    <m/>
    <n v="0"/>
    <m/>
    <n v="0"/>
    <m/>
    <n v="1264"/>
    <m/>
    <n v="1806"/>
    <n v="8046679"/>
    <n v="1554"/>
    <n v="1554"/>
    <m/>
    <n v="1948"/>
    <m/>
    <n v="1371"/>
    <m/>
    <n v="0"/>
    <n v="8848698.5000000019"/>
    <n v="0"/>
    <n v="360"/>
    <n v="0"/>
    <n v="1948"/>
    <n v="1371"/>
    <n v="0"/>
    <s v=""/>
    <n v="1554"/>
    <n v="2018"/>
    <n v="1371"/>
    <n v="2020"/>
    <x v="1"/>
    <n v="1657.3422124194096"/>
    <n v="1657.3422124194096"/>
    <s v="Increasing"/>
    <n v="-1.0198610590244073E-2"/>
    <n v="0.13933439758107946"/>
    <n v="378.83360979724523"/>
    <n v="546.81318861612999"/>
    <n v="0"/>
    <n v="1.9312315055689435"/>
    <n v="1.8729785091213238"/>
  </r>
  <r>
    <x v="41"/>
    <x v="41"/>
    <n v="6926652.5"/>
    <x v="18"/>
    <n v="0"/>
    <n v="7106229"/>
    <n v="0"/>
    <m/>
    <n v="0"/>
    <m/>
    <n v="0"/>
    <m/>
    <n v="129"/>
    <m/>
    <n v="201"/>
    <n v="8046679"/>
    <n v="183"/>
    <n v="615"/>
    <m/>
    <n v="195"/>
    <m/>
    <n v="338"/>
    <m/>
    <n v="149"/>
    <n v="8848698.5000000019"/>
    <n v="887"/>
    <n v="615"/>
    <n v="0"/>
    <n v="201"/>
    <n v="887"/>
    <n v="0"/>
    <s v=""/>
    <n v="615"/>
    <s v="2018 (triag)"/>
    <n v="887"/>
    <n v="2022"/>
    <x v="0"/>
    <n v="887"/>
    <n v="887"/>
    <s v="Increasing"/>
    <n v="-1.0198610590244073E-2"/>
    <n v="0.13933439758107946"/>
    <n v="647.17408340362726"/>
    <n v="934.13919721922207"/>
    <n v="0"/>
    <n v="0.764290460698134"/>
    <n v="1.0024073031757155"/>
  </r>
  <r>
    <x v="41"/>
    <x v="41"/>
    <n v="6926653.5"/>
    <x v="19"/>
    <n v="0"/>
    <n v="7106229"/>
    <n v="0"/>
    <m/>
    <n v="0"/>
    <m/>
    <n v="0"/>
    <m/>
    <n v="638"/>
    <m/>
    <n v="945"/>
    <n v="8046679"/>
    <n v="978"/>
    <n v="978"/>
    <m/>
    <n v="817"/>
    <m/>
    <n v="0"/>
    <m/>
    <n v="813"/>
    <n v="8848698.5000000019"/>
    <n v="390"/>
    <n v="0"/>
    <n v="0"/>
    <n v="978"/>
    <n v="813"/>
    <n v="0"/>
    <s v=""/>
    <n v="978"/>
    <n v="2018"/>
    <n v="390"/>
    <n v="2022"/>
    <x v="1"/>
    <n v="471.45402103834408"/>
    <n v="978"/>
    <s v="Decreasing"/>
    <n v="-1.0198610590244073E-2"/>
    <n v="0.13933439758107946"/>
    <n v="0"/>
    <n v="0"/>
    <n v="0"/>
    <n v="1.2154082448175203"/>
    <n v="1.1052472858014089"/>
  </r>
  <r>
    <x v="41"/>
    <x v="41"/>
    <n v="6926654.5"/>
    <x v="20"/>
    <n v="0"/>
    <n v="7106229"/>
    <n v="0"/>
    <m/>
    <n v="0"/>
    <m/>
    <n v="231"/>
    <m/>
    <n v="152"/>
    <m/>
    <n v="174"/>
    <n v="8046679"/>
    <n v="160"/>
    <n v="252"/>
    <m/>
    <n v="175"/>
    <m/>
    <n v="230"/>
    <m/>
    <n v="161"/>
    <n v="8848698.5000000019"/>
    <n v="183"/>
    <n v="252"/>
    <n v="231"/>
    <n v="175"/>
    <n v="230"/>
    <n v="231"/>
    <n v="2015"/>
    <n v="252"/>
    <s v="2018 (triag)"/>
    <n v="183"/>
    <n v="2022"/>
    <x v="1"/>
    <n v="221.22073294876148"/>
    <n v="252"/>
    <s v="Decreasing"/>
    <n v="-1.0198610590244073E-2"/>
    <n v="0.13933439758107946"/>
    <n v="265.18352685807167"/>
    <n v="382.76923203129104"/>
    <n v="0.32506692368061879"/>
    <n v="0.31317267657874759"/>
    <n v="0.28478764419422803"/>
  </r>
  <r>
    <x v="41"/>
    <x v="41"/>
    <n v="6926655.5"/>
    <x v="21"/>
    <n v="0"/>
    <n v="7106229"/>
    <n v="0"/>
    <m/>
    <n v="0"/>
    <m/>
    <n v="0"/>
    <m/>
    <n v="14"/>
    <m/>
    <n v="62"/>
    <n v="8046679"/>
    <n v="62"/>
    <n v="62"/>
    <m/>
    <n v="62"/>
    <m/>
    <n v="66"/>
    <m/>
    <n v="56"/>
    <n v="8848698.5000000019"/>
    <n v="0"/>
    <n v="0"/>
    <n v="0"/>
    <n v="62"/>
    <n v="66"/>
    <n v="0"/>
    <s v=""/>
    <n v="62"/>
    <n v="2017"/>
    <n v="56"/>
    <n v="2021"/>
    <x v="1"/>
    <n v="67.695961995249405"/>
    <n v="67.695961995249405"/>
    <s v="Increasing"/>
    <n v="-1.0198610590244073E-2"/>
    <n v="0.13933439758107946"/>
    <n v="0"/>
    <n v="0"/>
    <n v="0"/>
    <n v="7.705042042810456E-2"/>
    <n v="7.6503863246385209E-2"/>
  </r>
  <r>
    <x v="41"/>
    <x v="41"/>
    <n v="6926656.5"/>
    <x v="22"/>
    <n v="0"/>
    <n v="7106229"/>
    <n v="0"/>
    <m/>
    <n v="0"/>
    <m/>
    <n v="0"/>
    <m/>
    <n v="9"/>
    <m/>
    <n v="21"/>
    <n v="8046679"/>
    <n v="25"/>
    <n v="25"/>
    <m/>
    <n v="35"/>
    <m/>
    <n v="83"/>
    <m/>
    <n v="33"/>
    <n v="8848698.5000000019"/>
    <n v="0"/>
    <n v="0"/>
    <n v="0"/>
    <n v="35"/>
    <n v="83"/>
    <n v="0"/>
    <s v=""/>
    <n v="25"/>
    <n v="2018"/>
    <n v="33"/>
    <n v="2021"/>
    <x v="0"/>
    <n v="33"/>
    <n v="33"/>
    <s v="Increasing"/>
    <n v="-1.0198610590244073E-2"/>
    <n v="0.13933439758107946"/>
    <n v="0"/>
    <n v="0"/>
    <n v="0"/>
    <n v="3.1068717914558293E-2"/>
    <n v="3.7293620073053674E-2"/>
  </r>
  <r>
    <x v="41"/>
    <x v="41"/>
    <n v="6926657.5"/>
    <x v="23"/>
    <n v="0"/>
    <n v="7106229"/>
    <n v="0"/>
    <m/>
    <n v="0"/>
    <m/>
    <n v="0"/>
    <m/>
    <n v="0"/>
    <m/>
    <n v="0"/>
    <n v="8046679"/>
    <n v="0"/>
    <n v="987"/>
    <m/>
    <n v="0"/>
    <m/>
    <n v="0"/>
    <m/>
    <n v="0"/>
    <n v="8848698.5000000019"/>
    <n v="0"/>
    <n v="987"/>
    <n v="0"/>
    <n v="0"/>
    <n v="0"/>
    <n v="0"/>
    <s v=""/>
    <n v="987"/>
    <s v="2018 (triag)"/>
    <n v="987"/>
    <s v="2018 (triag)"/>
    <x v="0"/>
    <n v="987"/>
    <n v="987"/>
    <s v="No change"/>
    <n v="-1.0198610590244073E-2"/>
    <n v="0.13933439758107946"/>
    <n v="1038.6354801941141"/>
    <n v="1499.1794921225564"/>
    <n v="0"/>
    <n v="1.2265929832667612"/>
    <n v="1.1154182730940598"/>
  </r>
  <r>
    <x v="42"/>
    <x v="42"/>
    <n v="47786137.499999993"/>
    <x v="0"/>
    <n v="2962"/>
    <n v="49253643.5"/>
    <n v="0"/>
    <n v="50814551.500000022"/>
    <n v="6036"/>
    <n v="52542823.5"/>
    <n v="0"/>
    <n v="54401801.500000007"/>
    <n v="67"/>
    <n v="56267032.000000007"/>
    <n v="0"/>
    <n v="58090443.000000007"/>
    <n v="5770"/>
    <n v="5770"/>
    <n v="59872579"/>
    <n v="0"/>
    <n v="61704517.99999997"/>
    <n v="0"/>
    <n v="63588333.999999993"/>
    <n v="0"/>
    <n v="65497748.000000045"/>
    <n v="17386"/>
    <n v="2885"/>
    <n v="6036"/>
    <n v="5770"/>
    <n v="17386"/>
    <n v="2962"/>
    <n v="2012"/>
    <n v="5770"/>
    <n v="2018"/>
    <n v="17386"/>
    <n v="2022"/>
    <x v="0"/>
    <n v="17386"/>
    <n v="17386"/>
    <s v="Increasing"/>
    <n v="0.14011618556211447"/>
    <n v="5.4673730437993617E-2"/>
    <n v="1431.8165777191211"/>
    <n v="3399.2203322246123"/>
    <n v="0.60137683012222232"/>
    <n v="0.99327870507029858"/>
    <n v="2.6544424092260375"/>
  </r>
  <r>
    <x v="42"/>
    <x v="42"/>
    <n v="47786138.5"/>
    <x v="1"/>
    <n v="41600"/>
    <n v="49253643.5"/>
    <n v="0"/>
    <m/>
    <n v="43104"/>
    <m/>
    <n v="0"/>
    <m/>
    <n v="0"/>
    <m/>
    <n v="63880"/>
    <n v="58090443.000000007"/>
    <n v="63880"/>
    <n v="63880"/>
    <m/>
    <n v="0"/>
    <m/>
    <n v="0"/>
    <m/>
    <n v="0"/>
    <n v="65497748.000000045"/>
    <n v="0"/>
    <n v="31940"/>
    <n v="43104"/>
    <n v="63880"/>
    <n v="0"/>
    <n v="41600"/>
    <n v="2012"/>
    <n v="63880"/>
    <n v="2017"/>
    <n v="63880"/>
    <n v="2017"/>
    <x v="0"/>
    <n v="63880"/>
    <n v="63880"/>
    <s v="No change"/>
    <n v="0.14011618556211447"/>
    <n v="5.4673730437993617E-2"/>
    <n v="15851.723220918104"/>
    <n v="37632.962707540421"/>
    <n v="8.4460756695085912"/>
    <n v="10.99664535180081"/>
    <n v="9.7530070804877074"/>
  </r>
  <r>
    <x v="42"/>
    <x v="42"/>
    <n v="47786139.5"/>
    <x v="2"/>
    <n v="0"/>
    <n v="49253643.5"/>
    <n v="0"/>
    <m/>
    <n v="0"/>
    <m/>
    <n v="0"/>
    <m/>
    <n v="0"/>
    <m/>
    <n v="0"/>
    <n v="58090443.000000007"/>
    <n v="0"/>
    <n v="0"/>
    <m/>
    <n v="0"/>
    <m/>
    <n v="0"/>
    <m/>
    <n v="0"/>
    <n v="65497748.000000045"/>
    <n v="0"/>
    <n v="0"/>
    <n v="0"/>
    <n v="0"/>
    <n v="0"/>
    <n v="0"/>
    <s v=""/>
    <n v="0"/>
    <s v=""/>
    <n v="0"/>
    <s v=""/>
    <x v="0"/>
    <n v="0"/>
    <n v="0"/>
    <s v="No change"/>
    <n v="0.14011618556211447"/>
    <n v="5.4673730437993617E-2"/>
    <n v="0"/>
    <n v="0"/>
    <n v="0"/>
    <n v="0"/>
    <n v="0"/>
  </r>
  <r>
    <x v="42"/>
    <x v="42"/>
    <n v="47786140.5"/>
    <x v="3"/>
    <n v="20962"/>
    <n v="49253643.5"/>
    <n v="0"/>
    <m/>
    <n v="0"/>
    <m/>
    <n v="53"/>
    <m/>
    <n v="1200"/>
    <m/>
    <n v="1223"/>
    <n v="58090443.000000007"/>
    <n v="378"/>
    <n v="1845"/>
    <m/>
    <n v="0"/>
    <m/>
    <n v="0"/>
    <m/>
    <n v="16"/>
    <n v="65497748.000000045"/>
    <n v="656"/>
    <n v="1845"/>
    <n v="20962"/>
    <n v="1223"/>
    <n v="656"/>
    <n v="20962"/>
    <n v="2012"/>
    <n v="1845"/>
    <s v="2018 (triag)"/>
    <n v="656"/>
    <n v="2022"/>
    <x v="1"/>
    <n v="849.84951128761736"/>
    <n v="1845"/>
    <s v="Decreasing"/>
    <n v="0.14011618556211447"/>
    <n v="5.4673730437993617E-2"/>
    <n v="915.66779406994056"/>
    <n v="2173.8514776271786"/>
    <n v="4.255928802505748"/>
    <n v="0.31760818212386499"/>
    <n v="0.28168907425641548"/>
  </r>
  <r>
    <x v="42"/>
    <x v="42"/>
    <n v="47786141.5"/>
    <x v="4"/>
    <n v="9658"/>
    <n v="49253643.5"/>
    <n v="0"/>
    <m/>
    <n v="0"/>
    <m/>
    <n v="0"/>
    <m/>
    <n v="0"/>
    <m/>
    <n v="282"/>
    <n v="58090443.000000007"/>
    <n v="233"/>
    <n v="682"/>
    <m/>
    <n v="0"/>
    <m/>
    <n v="0"/>
    <m/>
    <n v="18"/>
    <n v="65497748.000000045"/>
    <n v="465"/>
    <n v="682"/>
    <n v="9658"/>
    <n v="282"/>
    <n v="465"/>
    <n v="9658"/>
    <n v="2012"/>
    <n v="682"/>
    <s v="2018 (triag)"/>
    <n v="465"/>
    <n v="2022"/>
    <x v="1"/>
    <n v="602.40857126332628"/>
    <n v="682"/>
    <s v="Decreasing"/>
    <n v="0.14011618556211447"/>
    <n v="5.4673730437993617E-2"/>
    <n v="338.47449081609727"/>
    <n v="803.5591911879327"/>
    <n v="1.9608701638488937"/>
    <n v="0.11740313290432298"/>
    <n v="0.10412571742161265"/>
  </r>
  <r>
    <x v="42"/>
    <x v="42"/>
    <n v="47786142.5"/>
    <x v="5"/>
    <n v="0"/>
    <n v="49253643.5"/>
    <n v="0"/>
    <m/>
    <n v="0"/>
    <m/>
    <n v="0"/>
    <m/>
    <n v="0"/>
    <m/>
    <n v="0"/>
    <n v="58090443.000000007"/>
    <n v="0"/>
    <n v="0"/>
    <m/>
    <n v="0"/>
    <m/>
    <n v="0"/>
    <m/>
    <n v="0"/>
    <n v="65497748.000000045"/>
    <n v="20737"/>
    <n v="0"/>
    <n v="0"/>
    <n v="0"/>
    <n v="20737"/>
    <n v="0"/>
    <s v=""/>
    <n v="0"/>
    <s v=""/>
    <n v="20737"/>
    <n v="2022"/>
    <x v="0"/>
    <n v="20737"/>
    <n v="20737"/>
    <s v="Increasing"/>
    <n v="0.14011618556211447"/>
    <n v="5.4673730437993617E-2"/>
    <n v="0"/>
    <n v="0"/>
    <n v="0"/>
    <n v="0"/>
    <n v="3.166063053038096"/>
  </r>
  <r>
    <x v="42"/>
    <x v="42"/>
    <n v="47786143.5"/>
    <x v="6"/>
    <n v="0"/>
    <n v="49253643.5"/>
    <n v="0"/>
    <m/>
    <n v="0"/>
    <m/>
    <n v="0"/>
    <m/>
    <n v="0"/>
    <m/>
    <n v="49"/>
    <n v="58090443.000000007"/>
    <n v="855"/>
    <n v="855"/>
    <m/>
    <n v="0"/>
    <m/>
    <n v="0"/>
    <m/>
    <n v="0"/>
    <n v="65497748.000000045"/>
    <n v="65"/>
    <n v="148"/>
    <n v="0"/>
    <n v="855"/>
    <n v="65"/>
    <n v="0"/>
    <s v=""/>
    <n v="855"/>
    <n v="2018"/>
    <n v="65"/>
    <n v="2022"/>
    <x v="1"/>
    <n v="84.207649746486481"/>
    <n v="855"/>
    <s v="Decreasing"/>
    <n v="0.14011618556211447"/>
    <n v="5.4673730437993617E-2"/>
    <n v="73.451942288537239"/>
    <n v="174.379413923481"/>
    <n v="0"/>
    <n v="0.14718427952081548"/>
    <n v="0.13053883928955839"/>
  </r>
  <r>
    <x v="42"/>
    <x v="42"/>
    <n v="47786144.5"/>
    <x v="7"/>
    <n v="3255"/>
    <n v="49253643.5"/>
    <n v="0"/>
    <m/>
    <n v="0"/>
    <m/>
    <n v="0"/>
    <m/>
    <n v="0"/>
    <m/>
    <n v="566"/>
    <n v="58090443.000000007"/>
    <n v="1905"/>
    <n v="1905"/>
    <m/>
    <n v="0"/>
    <m/>
    <n v="0"/>
    <m/>
    <n v="0"/>
    <n v="65497748.000000045"/>
    <n v="929"/>
    <n v="578"/>
    <n v="3255"/>
    <n v="1905"/>
    <n v="929"/>
    <n v="3255"/>
    <n v="2012"/>
    <n v="1905"/>
    <n v="2018"/>
    <n v="929"/>
    <n v="2022"/>
    <x v="1"/>
    <n v="1203.5216402228605"/>
    <n v="1905"/>
    <s v="Decreasing"/>
    <n v="0.14011618556211447"/>
    <n v="5.4673730437993617E-2"/>
    <n v="286.8596124511792"/>
    <n v="681.02230572818928"/>
    <n v="0.66086481500602079"/>
    <n v="0.32793690349374677"/>
    <n v="0.29084969455743709"/>
  </r>
  <r>
    <x v="42"/>
    <x v="42"/>
    <n v="47786145.5"/>
    <x v="8"/>
    <n v="0"/>
    <n v="49253643.5"/>
    <n v="0"/>
    <m/>
    <n v="0"/>
    <m/>
    <n v="0"/>
    <m/>
    <n v="0"/>
    <m/>
    <n v="0"/>
    <n v="58090443.000000007"/>
    <n v="0"/>
    <n v="25803"/>
    <m/>
    <n v="0"/>
    <m/>
    <n v="0"/>
    <m/>
    <n v="0"/>
    <n v="65497748.000000045"/>
    <n v="0"/>
    <n v="25803"/>
    <n v="0"/>
    <n v="0"/>
    <n v="0"/>
    <n v="0"/>
    <s v=""/>
    <n v="25803"/>
    <s v="2018 (triag)"/>
    <n v="25803"/>
    <s v="2018 (triag)"/>
    <x v="0"/>
    <n v="25803"/>
    <n v="25803"/>
    <s v="No change"/>
    <n v="0.14011618556211447"/>
    <n v="5.4673730437993617E-2"/>
    <n v="12805.949100480582"/>
    <n v="30402.108226132295"/>
    <n v="0"/>
    <n v="4.4418666251176626"/>
    <n v="3.9395247604543568"/>
  </r>
  <r>
    <x v="42"/>
    <x v="42"/>
    <n v="47786146.5"/>
    <x v="9"/>
    <n v="0"/>
    <n v="49253643.5"/>
    <n v="0"/>
    <m/>
    <n v="0"/>
    <m/>
    <n v="0"/>
    <m/>
    <n v="0"/>
    <m/>
    <n v="0"/>
    <n v="58090443.000000007"/>
    <n v="0"/>
    <n v="633"/>
    <m/>
    <n v="0"/>
    <m/>
    <n v="0"/>
    <m/>
    <n v="0"/>
    <n v="65497748.000000045"/>
    <n v="0"/>
    <n v="633"/>
    <n v="0"/>
    <n v="0"/>
    <n v="0"/>
    <n v="0"/>
    <s v=""/>
    <n v="633"/>
    <s v="2018 (triag)"/>
    <n v="633"/>
    <s v="2018 (triag)"/>
    <x v="0"/>
    <n v="633"/>
    <n v="633"/>
    <s v="No change"/>
    <n v="0.14011618556211447"/>
    <n v="5.4673730437993617E-2"/>
    <n v="314.15594235570319"/>
    <n v="745.82546630786123"/>
    <n v="0"/>
    <n v="0.10896801045225286"/>
    <n v="9.6644544175778307E-2"/>
  </r>
  <r>
    <x v="42"/>
    <x v="42"/>
    <n v="47786147.5"/>
    <x v="10"/>
    <n v="60"/>
    <n v="49253643.5"/>
    <n v="0"/>
    <m/>
    <n v="0"/>
    <m/>
    <n v="0"/>
    <m/>
    <n v="0"/>
    <m/>
    <n v="0"/>
    <n v="58090443.000000007"/>
    <n v="89"/>
    <n v="89"/>
    <m/>
    <n v="0"/>
    <m/>
    <n v="0"/>
    <m/>
    <n v="0"/>
    <n v="65497748.000000045"/>
    <n v="12"/>
    <n v="73"/>
    <n v="60"/>
    <n v="89"/>
    <n v="12"/>
    <n v="60"/>
    <n v="2012"/>
    <n v="89"/>
    <n v="2018"/>
    <n v="12"/>
    <n v="2022"/>
    <x v="1"/>
    <n v="15.546027645505195"/>
    <n v="89"/>
    <s v="Decreasing"/>
    <n v="0.14011618556211447"/>
    <n v="5.4673730437993617E-2"/>
    <n v="36.229674236913638"/>
    <n v="86.011467678473736"/>
    <n v="1.2181839907945084E-2"/>
    <n v="1.5320936698657986E-2"/>
    <n v="1.3588253446515434E-2"/>
  </r>
  <r>
    <x v="42"/>
    <x v="42"/>
    <n v="47786148.5"/>
    <x v="11"/>
    <n v="89"/>
    <n v="49253643.5"/>
    <n v="0"/>
    <m/>
    <n v="93"/>
    <m/>
    <n v="0"/>
    <m/>
    <n v="0"/>
    <m/>
    <n v="0"/>
    <n v="58090443.000000007"/>
    <n v="4361"/>
    <n v="4361"/>
    <m/>
    <n v="0"/>
    <m/>
    <n v="0"/>
    <m/>
    <n v="0"/>
    <n v="65497748.000000045"/>
    <n v="1198"/>
    <n v="3028"/>
    <n v="93"/>
    <n v="4361"/>
    <n v="1198"/>
    <n v="89"/>
    <n v="2012"/>
    <n v="4361"/>
    <n v="2018"/>
    <n v="1198"/>
    <n v="2022"/>
    <x v="1"/>
    <n v="1552.0117599429354"/>
    <n v="4361"/>
    <s v="Decreasing"/>
    <n v="0.14011618556211447"/>
    <n v="5.4673730437993617E-2"/>
    <n v="1502.7870354708834"/>
    <n v="3567.7085497317598"/>
    <n v="1.8069729196785209E-2"/>
    <n v="0.7507258982342413"/>
    <n v="0.66582441887925625"/>
  </r>
  <r>
    <x v="42"/>
    <x v="42"/>
    <n v="47786149.5"/>
    <x v="12"/>
    <n v="0"/>
    <n v="49253643.5"/>
    <n v="0"/>
    <m/>
    <n v="0"/>
    <m/>
    <n v="0"/>
    <m/>
    <n v="0"/>
    <m/>
    <n v="0"/>
    <n v="58090443.000000007"/>
    <n v="0"/>
    <n v="9250"/>
    <m/>
    <n v="0"/>
    <m/>
    <n v="0"/>
    <m/>
    <n v="0"/>
    <n v="65497748.000000045"/>
    <n v="2337"/>
    <n v="9250"/>
    <n v="0"/>
    <n v="0"/>
    <n v="2337"/>
    <n v="0"/>
    <s v=""/>
    <n v="9250"/>
    <s v="2018 (triag)"/>
    <n v="2337"/>
    <n v="2022"/>
    <x v="1"/>
    <n v="3027.5888839621371"/>
    <n v="9250"/>
    <s v="Decreasing"/>
    <n v="0.14011618556211447"/>
    <n v="5.4673730437993617E-2"/>
    <n v="4590.7463930335771"/>
    <n v="10898.713370217562"/>
    <n v="0"/>
    <n v="1.5923445445234423"/>
    <n v="1.4122622964075029"/>
  </r>
  <r>
    <x v="42"/>
    <x v="42"/>
    <n v="47786150.5"/>
    <x v="13"/>
    <n v="223"/>
    <n v="49253643.5"/>
    <n v="0"/>
    <m/>
    <n v="0"/>
    <m/>
    <n v="0"/>
    <m/>
    <n v="0"/>
    <m/>
    <n v="0"/>
    <n v="58090443.000000007"/>
    <n v="0"/>
    <n v="681"/>
    <m/>
    <n v="0"/>
    <m/>
    <n v="0"/>
    <m/>
    <n v="0"/>
    <n v="65497748.000000045"/>
    <n v="543"/>
    <n v="681"/>
    <n v="223"/>
    <n v="0"/>
    <n v="543"/>
    <n v="223"/>
    <n v="2012"/>
    <n v="681"/>
    <s v="2018 (triag)"/>
    <n v="543"/>
    <n v="2022"/>
    <x v="1"/>
    <n v="703.45775095911006"/>
    <n v="703.45775095911006"/>
    <s v="Increasing"/>
    <n v="0.14011618556211447"/>
    <n v="5.4673730437993617E-2"/>
    <n v="337.9781939087423"/>
    <n v="802.38095190466584"/>
    <n v="4.5275838324529229E-2"/>
    <n v="0.11723098754815829"/>
    <n v="0.10740182257245083"/>
  </r>
  <r>
    <x v="42"/>
    <x v="42"/>
    <n v="47786151.5"/>
    <x v="14"/>
    <n v="470"/>
    <n v="49253643.5"/>
    <n v="0"/>
    <m/>
    <n v="0"/>
    <m/>
    <n v="0"/>
    <m/>
    <n v="0"/>
    <m/>
    <n v="0"/>
    <n v="58090443.000000007"/>
    <n v="0"/>
    <n v="724"/>
    <m/>
    <n v="0"/>
    <m/>
    <n v="0"/>
    <m/>
    <n v="0"/>
    <n v="65497748.000000045"/>
    <n v="724"/>
    <n v="724"/>
    <n v="470"/>
    <n v="0"/>
    <n v="724"/>
    <n v="470"/>
    <n v="2012"/>
    <n v="724"/>
    <s v="2018 (triag)"/>
    <n v="724"/>
    <n v="2022"/>
    <x v="0"/>
    <n v="724"/>
    <n v="724"/>
    <s v="No change"/>
    <n v="0.14011618556211447"/>
    <n v="5.4673730437993617E-2"/>
    <n v="359.31896092500648"/>
    <n v="853.04524108513669"/>
    <n v="9.5424412612236498E-2"/>
    <n v="0.12463323786324024"/>
    <n v="0.1105381516323278"/>
  </r>
  <r>
    <x v="42"/>
    <x v="42"/>
    <n v="47786152.5"/>
    <x v="15"/>
    <n v="82"/>
    <n v="49253643.5"/>
    <n v="0"/>
    <m/>
    <n v="0"/>
    <m/>
    <n v="0"/>
    <m/>
    <n v="0"/>
    <m/>
    <n v="0"/>
    <n v="58090443.000000007"/>
    <n v="0"/>
    <n v="213"/>
    <m/>
    <n v="0"/>
    <m/>
    <n v="0"/>
    <m/>
    <n v="0"/>
    <n v="65497748.000000045"/>
    <n v="201"/>
    <n v="213"/>
    <n v="82"/>
    <n v="0"/>
    <n v="201"/>
    <n v="82"/>
    <n v="2012"/>
    <n v="213"/>
    <s v="2018 (triag)"/>
    <n v="201"/>
    <n v="2022"/>
    <x v="1"/>
    <n v="260.39596306221205"/>
    <n v="260.39596306221205"/>
    <s v="Increasing"/>
    <n v="0.14011618556211447"/>
    <n v="5.4673730437993617E-2"/>
    <n v="105.71124126661103"/>
    <n v="250.9649673358206"/>
    <n v="1.6648514540858281E-2"/>
    <n v="3.6666960863080349E-2"/>
    <n v="3.975647575886302E-2"/>
  </r>
  <r>
    <x v="42"/>
    <x v="42"/>
    <n v="47786153.5"/>
    <x v="16"/>
    <n v="0"/>
    <n v="49253643.5"/>
    <n v="0"/>
    <m/>
    <n v="0"/>
    <m/>
    <n v="0"/>
    <m/>
    <n v="0"/>
    <m/>
    <n v="0"/>
    <n v="58090443.000000007"/>
    <n v="0"/>
    <n v="0"/>
    <m/>
    <n v="0"/>
    <m/>
    <n v="0"/>
    <m/>
    <n v="0"/>
    <n v="65497748.000000045"/>
    <n v="0"/>
    <n v="0"/>
    <n v="0"/>
    <n v="0"/>
    <n v="0"/>
    <n v="0"/>
    <s v=""/>
    <n v="0"/>
    <s v=""/>
    <n v="0"/>
    <s v=""/>
    <x v="0"/>
    <n v="0"/>
    <n v="0"/>
    <s v="No change"/>
    <n v="0.14011618556211447"/>
    <n v="5.4673730437993617E-2"/>
    <n v="0"/>
    <n v="0"/>
    <n v="0"/>
    <n v="0"/>
    <n v="0"/>
  </r>
  <r>
    <x v="42"/>
    <x v="42"/>
    <n v="47786154.5"/>
    <x v="17"/>
    <n v="0"/>
    <n v="49253643.5"/>
    <n v="0"/>
    <m/>
    <n v="0"/>
    <m/>
    <n v="0"/>
    <m/>
    <n v="0"/>
    <m/>
    <n v="0"/>
    <n v="58090443.000000007"/>
    <n v="0"/>
    <n v="3630"/>
    <m/>
    <n v="0"/>
    <m/>
    <n v="0"/>
    <m/>
    <n v="0"/>
    <n v="65497748.000000045"/>
    <n v="2"/>
    <n v="3630"/>
    <n v="0"/>
    <n v="0"/>
    <n v="2"/>
    <n v="0"/>
    <s v=""/>
    <n v="3630"/>
    <s v="2018 (triag)"/>
    <n v="2"/>
    <n v="2022"/>
    <x v="1"/>
    <n v="2.5910046075841993"/>
    <n v="3630"/>
    <s v="Decreasing"/>
    <n v="0.14011618556211447"/>
    <n v="5.4673730437993617E-2"/>
    <n v="1801.5577736985822"/>
    <n v="4277.0085982583514"/>
    <n v="0"/>
    <n v="0.62488764287784815"/>
    <n v="0.55421752821180925"/>
  </r>
  <r>
    <x v="42"/>
    <x v="42"/>
    <n v="47786155.5"/>
    <x v="18"/>
    <n v="1997"/>
    <n v="49253643.5"/>
    <n v="0"/>
    <m/>
    <n v="2508"/>
    <m/>
    <n v="0"/>
    <m/>
    <n v="0"/>
    <m/>
    <n v="0"/>
    <n v="58090443.000000007"/>
    <n v="0"/>
    <n v="4361"/>
    <m/>
    <n v="0"/>
    <m/>
    <n v="0"/>
    <m/>
    <n v="0"/>
    <n v="65497748.000000045"/>
    <n v="4743"/>
    <n v="4361"/>
    <n v="2508"/>
    <n v="0"/>
    <n v="4743"/>
    <n v="1997"/>
    <n v="2012"/>
    <n v="4361"/>
    <s v="2018 (triag)"/>
    <n v="4743"/>
    <n v="2022"/>
    <x v="0"/>
    <n v="4743"/>
    <n v="4743"/>
    <s v="Increasing"/>
    <n v="0.14011618556211447"/>
    <n v="5.4673730437993617E-2"/>
    <n v="2164.3508129750735"/>
    <n v="5138.3015143263556"/>
    <n v="0.40545223826943888"/>
    <n v="0.7507258982342413"/>
    <n v="0.7241470347957607"/>
  </r>
  <r>
    <x v="42"/>
    <x v="42"/>
    <n v="47786156.5"/>
    <x v="19"/>
    <n v="8787"/>
    <n v="49253643.5"/>
    <n v="0"/>
    <m/>
    <n v="10536"/>
    <m/>
    <n v="0"/>
    <m/>
    <n v="0"/>
    <m/>
    <n v="0"/>
    <n v="58090443.000000007"/>
    <n v="0"/>
    <n v="1963"/>
    <m/>
    <n v="0"/>
    <m/>
    <n v="0"/>
    <m/>
    <n v="0"/>
    <n v="65497748.000000045"/>
    <n v="71119"/>
    <n v="1963"/>
    <n v="10536"/>
    <n v="0"/>
    <n v="71119"/>
    <n v="8787"/>
    <n v="2012"/>
    <n v="1963"/>
    <s v="2018 (triag)"/>
    <n v="71119"/>
    <n v="2022"/>
    <x v="0"/>
    <n v="71119"/>
    <n v="71119"/>
    <s v="Increasing"/>
    <n v="0.14011618556211447"/>
    <n v="5.4673730437993617E-2"/>
    <n v="974.23082913782832"/>
    <n v="2312.8837130526567"/>
    <n v="1.7840304545185577"/>
    <n v="0.33792133415129916"/>
    <n v="10.858235919805969"/>
  </r>
  <r>
    <x v="42"/>
    <x v="42"/>
    <n v="47786157.5"/>
    <x v="20"/>
    <n v="130"/>
    <n v="49253643.5"/>
    <n v="0"/>
    <m/>
    <n v="0"/>
    <m/>
    <n v="0"/>
    <m/>
    <n v="0"/>
    <m/>
    <n v="0"/>
    <n v="58090443.000000007"/>
    <n v="0"/>
    <n v="103"/>
    <m/>
    <n v="0"/>
    <m/>
    <n v="0"/>
    <m/>
    <n v="0"/>
    <n v="65497748.000000045"/>
    <n v="1358"/>
    <n v="103"/>
    <n v="130"/>
    <n v="0"/>
    <n v="1358"/>
    <n v="130"/>
    <n v="2012"/>
    <n v="103"/>
    <s v="2018 (triag)"/>
    <n v="1358"/>
    <n v="2022"/>
    <x v="0"/>
    <n v="1358"/>
    <n v="1358"/>
    <s v="Increasing"/>
    <n v="0.14011618556211447"/>
    <n v="5.4673730437993617E-2"/>
    <n v="51.118581457563074"/>
    <n v="121.35864617647663"/>
    <n v="2.6393986467214348E-2"/>
    <n v="1.7730971684963737E-2"/>
    <n v="0.20733537281312314"/>
  </r>
  <r>
    <x v="42"/>
    <x v="42"/>
    <n v="47786158.5"/>
    <x v="21"/>
    <n v="0"/>
    <n v="49253643.5"/>
    <n v="0"/>
    <m/>
    <n v="0"/>
    <m/>
    <n v="0"/>
    <m/>
    <n v="0"/>
    <m/>
    <n v="0"/>
    <n v="58090443.000000007"/>
    <n v="0"/>
    <n v="0"/>
    <m/>
    <n v="0"/>
    <m/>
    <n v="0"/>
    <m/>
    <n v="0"/>
    <n v="65497748.000000045"/>
    <n v="0"/>
    <n v="0"/>
    <n v="0"/>
    <n v="0"/>
    <n v="0"/>
    <n v="0"/>
    <s v=""/>
    <n v="0"/>
    <s v=""/>
    <n v="0"/>
    <s v=""/>
    <x v="0"/>
    <n v="0"/>
    <n v="0"/>
    <s v="No change"/>
    <n v="0.14011618556211447"/>
    <n v="5.4673730437993617E-2"/>
    <n v="0"/>
    <n v="0"/>
    <n v="0"/>
    <n v="0"/>
    <n v="0"/>
  </r>
  <r>
    <x v="42"/>
    <x v="42"/>
    <n v="47786159.5"/>
    <x v="22"/>
    <n v="0"/>
    <n v="49253643.5"/>
    <n v="0"/>
    <m/>
    <n v="0"/>
    <m/>
    <n v="0"/>
    <m/>
    <n v="0"/>
    <m/>
    <n v="0"/>
    <n v="58090443.000000007"/>
    <n v="0"/>
    <n v="2"/>
    <m/>
    <n v="0"/>
    <m/>
    <n v="0"/>
    <m/>
    <n v="0"/>
    <n v="65497748.000000045"/>
    <n v="2"/>
    <n v="2"/>
    <n v="0"/>
    <n v="0"/>
    <n v="2"/>
    <n v="0"/>
    <s v=""/>
    <n v="2"/>
    <s v="2018 (triag)"/>
    <n v="2"/>
    <n v="2022"/>
    <x v="0"/>
    <n v="2"/>
    <n v="2"/>
    <s v="No change"/>
    <n v="0.14011618556211447"/>
    <n v="5.4673730437993617E-2"/>
    <n v="0.99259381470996266"/>
    <n v="2.3564785665335268"/>
    <n v="0"/>
    <n v="3.4429071232939293E-4"/>
    <n v="3.0535401003405473E-4"/>
  </r>
  <r>
    <x v="42"/>
    <x v="42"/>
    <n v="47786160.5"/>
    <x v="23"/>
    <n v="0"/>
    <n v="49253643.5"/>
    <n v="0"/>
    <m/>
    <n v="0"/>
    <m/>
    <n v="0"/>
    <m/>
    <n v="0"/>
    <m/>
    <n v="0"/>
    <n v="58090443.000000007"/>
    <n v="0"/>
    <n v="15200"/>
    <m/>
    <n v="0"/>
    <m/>
    <n v="0"/>
    <m/>
    <n v="0"/>
    <n v="65497748.000000045"/>
    <n v="4710"/>
    <n v="15200"/>
    <n v="0"/>
    <n v="0"/>
    <n v="4710"/>
    <n v="0"/>
    <s v=""/>
    <n v="15200"/>
    <s v="2018 (triag)"/>
    <n v="4710"/>
    <n v="2022"/>
    <x v="1"/>
    <n v="6101.8158508607894"/>
    <n v="15200"/>
    <s v="Decreasing"/>
    <n v="0.14011618556211447"/>
    <n v="5.4673730437993617E-2"/>
    <n v="7543.7129917957163"/>
    <n v="17909.237105654804"/>
    <n v="0"/>
    <n v="2.6166094137033862"/>
    <n v="2.3206904762588159"/>
  </r>
  <r>
    <x v="43"/>
    <x v="43"/>
    <n v="34273295.000000015"/>
    <x v="0"/>
    <n v="6740"/>
    <n v="35273569.999999993"/>
    <n v="0"/>
    <n v="36336539.50000003"/>
    <n v="0"/>
    <n v="37477355.999999978"/>
    <n v="7290"/>
    <n v="38748298.999999978"/>
    <n v="42"/>
    <n v="40127084.999999978"/>
    <n v="13836"/>
    <n v="41515395.000000015"/>
    <n v="0"/>
    <n v="17186"/>
    <n v="42949080.000000015"/>
    <n v="0"/>
    <n v="44404611.000000007"/>
    <n v="14062"/>
    <n v="45853778.000000022"/>
    <n v="0"/>
    <n v="47249584.999999978"/>
    <n v="17454"/>
    <n v="17186"/>
    <n v="7290"/>
    <n v="13836"/>
    <n v="17454"/>
    <n v="6740"/>
    <n v="2012"/>
    <n v="17186"/>
    <s v="2018 (triag)"/>
    <n v="17454"/>
    <n v="2022"/>
    <x v="0"/>
    <n v="17454"/>
    <n v="17454"/>
    <s v="Increasing"/>
    <n v="4.7050173871553191E-2"/>
    <n v="5.4673730437993617E-2"/>
    <n v="13583.342549825131"/>
    <n v="20249.220322222594"/>
    <n v="1.9107790904067836"/>
    <n v="4.139669151648441"/>
    <n v="3.6940006986304765"/>
  </r>
  <r>
    <x v="43"/>
    <x v="43"/>
    <n v="34273296"/>
    <x v="1"/>
    <n v="81632"/>
    <n v="35273569.999999993"/>
    <n v="80298"/>
    <m/>
    <n v="90776"/>
    <m/>
    <n v="101362"/>
    <m/>
    <n v="110456"/>
    <m/>
    <n v="120912"/>
    <n v="41515395.000000015"/>
    <n v="105814"/>
    <n v="105814"/>
    <m/>
    <n v="0"/>
    <m/>
    <n v="102654"/>
    <m/>
    <n v="0"/>
    <n v="47249584.999999978"/>
    <n v="148394"/>
    <n v="16407"/>
    <n v="101362"/>
    <n v="120912"/>
    <n v="148394"/>
    <n v="80298"/>
    <n v="2013"/>
    <n v="105814"/>
    <n v="2018"/>
    <n v="148394"/>
    <n v="2022"/>
    <x v="0"/>
    <n v="148394"/>
    <n v="148394"/>
    <s v="Increasing"/>
    <n v="4.7050173871553191E-2"/>
    <n v="5.4673730437993617E-2"/>
    <n v="12967.642337657449"/>
    <n v="19331.371920557787"/>
    <n v="22.764353026926397"/>
    <n v="25.487894310050514"/>
    <n v="31.406413410826797"/>
  </r>
  <r>
    <x v="43"/>
    <x v="43"/>
    <n v="34273297"/>
    <x v="2"/>
    <n v="0"/>
    <n v="35273569.999999993"/>
    <n v="14000"/>
    <m/>
    <n v="0"/>
    <m/>
    <n v="17630"/>
    <m/>
    <n v="19604"/>
    <m/>
    <n v="0"/>
    <n v="41515395.000000015"/>
    <n v="0"/>
    <n v="7237"/>
    <m/>
    <n v="0"/>
    <m/>
    <n v="47092"/>
    <m/>
    <n v="0"/>
    <n v="47249584.999999978"/>
    <n v="65914"/>
    <n v="7237"/>
    <n v="17630"/>
    <n v="19604"/>
    <n v="65914"/>
    <n v="14000"/>
    <n v="2013"/>
    <n v="7237"/>
    <s v="2018 (triag)"/>
    <n v="65914"/>
    <n v="2022"/>
    <x v="0"/>
    <n v="65914"/>
    <n v="65914"/>
    <s v="Increasing"/>
    <n v="4.7050173871553191E-2"/>
    <n v="5.4673730437993617E-2"/>
    <n v="5719.9261045667672"/>
    <n v="8526.9176930015674"/>
    <n v="3.968977339123883"/>
    <n v="1.7432087542464663"/>
    <n v="13.950175435403303"/>
  </r>
  <r>
    <x v="43"/>
    <x v="43"/>
    <n v="34273298"/>
    <x v="3"/>
    <n v="72"/>
    <n v="35273569.999999993"/>
    <n v="0"/>
    <m/>
    <n v="0"/>
    <m/>
    <n v="0"/>
    <m/>
    <n v="0"/>
    <m/>
    <n v="0"/>
    <n v="41515395.000000015"/>
    <n v="0"/>
    <n v="324"/>
    <m/>
    <n v="2202"/>
    <m/>
    <n v="0"/>
    <m/>
    <n v="17"/>
    <n v="47249584.999999978"/>
    <n v="170"/>
    <n v="324"/>
    <n v="72"/>
    <n v="2202"/>
    <n v="170"/>
    <n v="72"/>
    <n v="2012"/>
    <n v="324"/>
    <s v="2018 (triag)"/>
    <n v="170"/>
    <n v="2022"/>
    <x v="1"/>
    <n v="193.77947686116701"/>
    <n v="3459"/>
    <s v="Decreasing"/>
    <n v="4.7050173871553191E-2"/>
    <n v="5.4673730437993617E-2"/>
    <n v="256.08070441890737"/>
    <n v="381.74952777843134"/>
    <n v="2.0411883458351397E-2"/>
    <n v="7.8043337899109444E-2"/>
    <n v="0.73206992188397035"/>
  </r>
  <r>
    <x v="43"/>
    <x v="43"/>
    <n v="34273299"/>
    <x v="4"/>
    <n v="0"/>
    <n v="35273569.999999993"/>
    <n v="0"/>
    <m/>
    <n v="0"/>
    <m/>
    <n v="0"/>
    <m/>
    <n v="0"/>
    <m/>
    <n v="0"/>
    <n v="41515395.000000015"/>
    <n v="0"/>
    <n v="26"/>
    <m/>
    <n v="1045"/>
    <m/>
    <n v="0"/>
    <m/>
    <n v="111"/>
    <n v="47249584.999999978"/>
    <n v="0"/>
    <n v="26"/>
    <n v="0"/>
    <n v="1045"/>
    <n v="111"/>
    <n v="0"/>
    <s v=""/>
    <n v="26"/>
    <s v="2018 (triag)"/>
    <n v="111"/>
    <n v="2021"/>
    <x v="0"/>
    <n v="111"/>
    <n v="1588"/>
    <s v="Increasing"/>
    <n v="4.7050173871553191E-2"/>
    <n v="5.4673730437993617E-2"/>
    <n v="20.549686157072813"/>
    <n v="30.634221364935847"/>
    <n v="0"/>
    <n v="6.2627369919038443E-3"/>
    <n v="0.33608760796523413"/>
  </r>
  <r>
    <x v="43"/>
    <x v="43"/>
    <n v="34273300"/>
    <x v="5"/>
    <n v="0"/>
    <n v="35273569.999999993"/>
    <n v="0"/>
    <m/>
    <n v="0"/>
    <m/>
    <n v="179175"/>
    <m/>
    <n v="0"/>
    <m/>
    <n v="0"/>
    <n v="41515395.000000015"/>
    <n v="0"/>
    <n v="0"/>
    <m/>
    <n v="179000"/>
    <m/>
    <n v="0"/>
    <m/>
    <n v="0"/>
    <n v="47249584.999999978"/>
    <n v="0"/>
    <n v="0"/>
    <n v="179175"/>
    <n v="179000"/>
    <n v="0"/>
    <n v="179175"/>
    <n v="2015"/>
    <n v="179000"/>
    <n v="2019"/>
    <n v="179000"/>
    <n v="2019"/>
    <x v="0"/>
    <n v="179000"/>
    <n v="179000"/>
    <s v="No change"/>
    <n v="4.7050173871553191E-2"/>
    <n v="5.4673730437993617E-2"/>
    <n v="0"/>
    <n v="0"/>
    <n v="50.795822481251555"/>
    <n v="43.116535444261082"/>
    <n v="37.883930620766314"/>
  </r>
  <r>
    <x v="43"/>
    <x v="43"/>
    <n v="34273301"/>
    <x v="6"/>
    <n v="0"/>
    <n v="35273569.999999993"/>
    <n v="0"/>
    <m/>
    <n v="0"/>
    <m/>
    <n v="0"/>
    <m/>
    <n v="0"/>
    <m/>
    <n v="0"/>
    <n v="41515395.000000015"/>
    <n v="0"/>
    <n v="3"/>
    <m/>
    <n v="0"/>
    <m/>
    <n v="0"/>
    <m/>
    <n v="0"/>
    <n v="47249584.999999978"/>
    <n v="93"/>
    <n v="3"/>
    <n v="0"/>
    <n v="0"/>
    <n v="93"/>
    <n v="0"/>
    <s v=""/>
    <n v="3"/>
    <s v="2018 (triag)"/>
    <n v="93"/>
    <n v="2022"/>
    <x v="0"/>
    <n v="93"/>
    <n v="93"/>
    <s v="Increasing"/>
    <n v="4.7050173871553191E-2"/>
    <n v="5.4673730437993617E-2"/>
    <n v="2.3711176335084017"/>
    <n v="3.5347178498002902"/>
    <n v="0"/>
    <n v="7.226234990658282E-4"/>
    <n v="1.9682712557157919E-2"/>
  </r>
  <r>
    <x v="43"/>
    <x v="43"/>
    <n v="34273302"/>
    <x v="7"/>
    <n v="0"/>
    <n v="35273569.999999993"/>
    <n v="0"/>
    <m/>
    <n v="0"/>
    <m/>
    <n v="0"/>
    <m/>
    <n v="5112"/>
    <m/>
    <n v="0"/>
    <n v="41515395.000000015"/>
    <n v="0"/>
    <n v="16"/>
    <m/>
    <n v="0"/>
    <m/>
    <n v="0"/>
    <m/>
    <n v="0"/>
    <n v="47249584.999999978"/>
    <n v="426"/>
    <n v="16"/>
    <n v="0"/>
    <n v="5112"/>
    <n v="426"/>
    <n v="0"/>
    <s v=""/>
    <n v="16"/>
    <s v="2018 (triag)"/>
    <n v="426"/>
    <n v="2022"/>
    <x v="0"/>
    <n v="426"/>
    <n v="426"/>
    <s v="Increasing"/>
    <n v="4.7050173871553191E-2"/>
    <n v="5.4673730437993617E-2"/>
    <n v="12.645960712044809"/>
    <n v="18.851828532268215"/>
    <n v="0"/>
    <n v="3.8539919950177507E-3"/>
    <n v="9.0159522036013698E-2"/>
  </r>
  <r>
    <x v="43"/>
    <x v="43"/>
    <n v="34273303"/>
    <x v="8"/>
    <n v="0"/>
    <n v="35273569.999999993"/>
    <n v="0"/>
    <m/>
    <n v="0"/>
    <m/>
    <n v="0"/>
    <m/>
    <n v="0"/>
    <m/>
    <n v="0"/>
    <n v="41515395.000000015"/>
    <n v="0"/>
    <n v="527"/>
    <m/>
    <n v="0"/>
    <m/>
    <n v="0"/>
    <m/>
    <n v="0"/>
    <n v="47249584.999999978"/>
    <n v="0"/>
    <n v="527"/>
    <n v="0"/>
    <n v="0"/>
    <n v="0"/>
    <n v="0"/>
    <s v=""/>
    <n v="527"/>
    <s v="2018 (triag)"/>
    <n v="527"/>
    <s v="2018 (triag)"/>
    <x v="0"/>
    <n v="527"/>
    <n v="527"/>
    <s v="No change"/>
    <n v="4.7050173871553191E-2"/>
    <n v="5.4673730437993617E-2"/>
    <n v="416.52633095297591"/>
    <n v="620.93210228158432"/>
    <n v="0"/>
    <n v="0.12694086133589716"/>
    <n v="0.11153537115722821"/>
  </r>
  <r>
    <x v="43"/>
    <x v="43"/>
    <n v="34273304"/>
    <x v="9"/>
    <n v="0"/>
    <n v="35273569.999999993"/>
    <n v="0"/>
    <m/>
    <n v="0"/>
    <m/>
    <n v="0"/>
    <m/>
    <n v="0"/>
    <m/>
    <n v="0"/>
    <n v="41515395.000000015"/>
    <n v="0"/>
    <n v="0"/>
    <m/>
    <n v="0"/>
    <m/>
    <n v="0"/>
    <m/>
    <n v="0"/>
    <n v="47249584.999999978"/>
    <n v="0"/>
    <n v="0"/>
    <n v="0"/>
    <n v="0"/>
    <n v="0"/>
    <n v="0"/>
    <s v=""/>
    <n v="0"/>
    <s v=""/>
    <n v="0"/>
    <s v=""/>
    <x v="0"/>
    <n v="0"/>
    <n v="0"/>
    <s v="No change"/>
    <n v="4.7050173871553191E-2"/>
    <n v="5.4673730437993617E-2"/>
    <n v="0"/>
    <n v="0"/>
    <n v="0"/>
    <n v="0"/>
    <n v="0"/>
  </r>
  <r>
    <x v="43"/>
    <x v="43"/>
    <n v="34273305"/>
    <x v="10"/>
    <n v="0"/>
    <n v="35273569.999999993"/>
    <n v="0"/>
    <m/>
    <n v="0"/>
    <m/>
    <n v="227"/>
    <m/>
    <n v="0"/>
    <m/>
    <n v="0"/>
    <n v="41515395.000000015"/>
    <n v="0"/>
    <n v="0"/>
    <m/>
    <n v="30"/>
    <m/>
    <n v="0"/>
    <m/>
    <n v="0"/>
    <n v="47249584.999999978"/>
    <n v="1282"/>
    <n v="0"/>
    <n v="227"/>
    <n v="30"/>
    <n v="1282"/>
    <n v="227"/>
    <n v="2015"/>
    <n v="30"/>
    <n v="2019"/>
    <n v="1282"/>
    <n v="2022"/>
    <x v="0"/>
    <n v="1282"/>
    <n v="1282"/>
    <s v="Increasing"/>
    <n v="4.7050173871553191E-2"/>
    <n v="5.4673730437993617E-2"/>
    <n v="0"/>
    <n v="0"/>
    <n v="6.4354132570080103E-2"/>
    <n v="7.2262349906582818E-3"/>
    <n v="0.27132513439006939"/>
  </r>
  <r>
    <x v="43"/>
    <x v="43"/>
    <n v="34273306"/>
    <x v="11"/>
    <n v="0"/>
    <n v="35273569.999999993"/>
    <n v="0"/>
    <m/>
    <n v="0"/>
    <m/>
    <n v="0"/>
    <m/>
    <n v="0"/>
    <m/>
    <n v="0"/>
    <n v="41515395.000000015"/>
    <n v="3874"/>
    <n v="3874"/>
    <m/>
    <n v="0"/>
    <m/>
    <n v="0"/>
    <m/>
    <n v="0"/>
    <n v="47249584.999999978"/>
    <n v="3309"/>
    <n v="526"/>
    <n v="0"/>
    <n v="3874"/>
    <n v="3309"/>
    <n v="0"/>
    <s v=""/>
    <n v="3874"/>
    <n v="2018"/>
    <n v="3309"/>
    <n v="2022"/>
    <x v="1"/>
    <n v="3771.8605231388328"/>
    <n v="3874"/>
    <s v="Decreasing"/>
    <n v="4.7050173871553191E-2"/>
    <n v="5.4673730437993617E-2"/>
    <n v="415.7359584084731"/>
    <n v="619.75386299831757"/>
    <n v="0"/>
    <n v="0.93314781179367279"/>
    <n v="0.81990138114440625"/>
  </r>
  <r>
    <x v="43"/>
    <x v="43"/>
    <n v="34273307"/>
    <x v="12"/>
    <n v="0"/>
    <n v="35273569.999999993"/>
    <n v="0"/>
    <m/>
    <n v="0"/>
    <m/>
    <n v="0"/>
    <m/>
    <n v="0"/>
    <m/>
    <n v="0"/>
    <n v="41515395.000000015"/>
    <n v="0"/>
    <n v="3505"/>
    <m/>
    <n v="0"/>
    <m/>
    <n v="0"/>
    <m/>
    <n v="0"/>
    <n v="47249584.999999978"/>
    <n v="14531"/>
    <n v="3505"/>
    <n v="0"/>
    <n v="0"/>
    <n v="14531"/>
    <n v="0"/>
    <s v=""/>
    <n v="3505"/>
    <s v="2018 (triag)"/>
    <n v="14531"/>
    <n v="2022"/>
    <x v="0"/>
    <n v="14531"/>
    <n v="14531"/>
    <s v="Increasing"/>
    <n v="4.7050173871553191E-2"/>
    <n v="5.4673730437993617E-2"/>
    <n v="2770.2557684823159"/>
    <n v="4129.7286878500054"/>
    <n v="0"/>
    <n v="0.84426512140857601"/>
    <n v="3.075370926538298"/>
  </r>
  <r>
    <x v="43"/>
    <x v="43"/>
    <n v="34273308"/>
    <x v="13"/>
    <n v="0"/>
    <n v="35273569.999999993"/>
    <n v="0"/>
    <m/>
    <n v="0"/>
    <m/>
    <n v="121"/>
    <m/>
    <n v="0"/>
    <m/>
    <n v="0"/>
    <n v="41515395.000000015"/>
    <n v="0"/>
    <n v="42"/>
    <m/>
    <n v="0"/>
    <m/>
    <n v="0"/>
    <m/>
    <n v="0"/>
    <n v="47249584.999999978"/>
    <n v="1249"/>
    <n v="42"/>
    <n v="121"/>
    <n v="0"/>
    <n v="1249"/>
    <n v="121"/>
    <n v="2015"/>
    <n v="42"/>
    <s v="2018 (triag)"/>
    <n v="1249"/>
    <n v="2022"/>
    <x v="0"/>
    <n v="1249"/>
    <n v="1249"/>
    <s v="Increasing"/>
    <n v="4.7050173871553191E-2"/>
    <n v="5.4673730437993617E-2"/>
    <n v="33.195646869117624"/>
    <n v="49.486049897204062"/>
    <n v="3.4303304145284992E-2"/>
    <n v="1.0116728986921595E-2"/>
    <n v="0.26434094606333591"/>
  </r>
  <r>
    <x v="43"/>
    <x v="43"/>
    <n v="34273309"/>
    <x v="14"/>
    <n v="0"/>
    <n v="35273569.999999993"/>
    <n v="0"/>
    <m/>
    <n v="0"/>
    <m/>
    <n v="0"/>
    <m/>
    <n v="0"/>
    <m/>
    <n v="0"/>
    <n v="41515395.000000015"/>
    <n v="0"/>
    <n v="0"/>
    <m/>
    <n v="0"/>
    <m/>
    <n v="0"/>
    <m/>
    <n v="0"/>
    <n v="47249584.999999978"/>
    <n v="0"/>
    <n v="0"/>
    <n v="0"/>
    <n v="0"/>
    <n v="0"/>
    <n v="0"/>
    <s v=""/>
    <n v="0"/>
    <s v=""/>
    <n v="0"/>
    <s v=""/>
    <x v="0"/>
    <n v="0"/>
    <n v="0"/>
    <s v="No change"/>
    <n v="4.7050173871553191E-2"/>
    <n v="5.4673730437993617E-2"/>
    <n v="0"/>
    <n v="0"/>
    <n v="0"/>
    <n v="0"/>
    <n v="0"/>
  </r>
  <r>
    <x v="43"/>
    <x v="43"/>
    <n v="34273310"/>
    <x v="15"/>
    <n v="0"/>
    <n v="35273569.999999993"/>
    <n v="0"/>
    <m/>
    <n v="0"/>
    <m/>
    <n v="0"/>
    <m/>
    <n v="0"/>
    <m/>
    <n v="0"/>
    <n v="41515395.000000015"/>
    <n v="0"/>
    <n v="9"/>
    <m/>
    <n v="0"/>
    <m/>
    <n v="0"/>
    <m/>
    <n v="0"/>
    <n v="47249584.999999978"/>
    <n v="283"/>
    <n v="9"/>
    <n v="0"/>
    <n v="0"/>
    <n v="283"/>
    <n v="0"/>
    <s v=""/>
    <n v="9"/>
    <s v="2018 (triag)"/>
    <n v="283"/>
    <n v="2022"/>
    <x v="0"/>
    <n v="283"/>
    <n v="283"/>
    <s v="Increasing"/>
    <n v="4.7050173871553191E-2"/>
    <n v="5.4673730437993617E-2"/>
    <n v="7.1133529005252045"/>
    <n v="10.60415354940087"/>
    <n v="0"/>
    <n v="2.1678704971974847E-3"/>
    <n v="5.9894705953502055E-2"/>
  </r>
  <r>
    <x v="43"/>
    <x v="43"/>
    <n v="34273311"/>
    <x v="16"/>
    <n v="0"/>
    <n v="35273569.999999993"/>
    <n v="0"/>
    <m/>
    <n v="0"/>
    <m/>
    <n v="0"/>
    <m/>
    <n v="0"/>
    <m/>
    <n v="0"/>
    <n v="41515395.000000015"/>
    <n v="0"/>
    <n v="0"/>
    <m/>
    <n v="0"/>
    <m/>
    <n v="0"/>
    <m/>
    <n v="0"/>
    <n v="47249584.999999978"/>
    <n v="0"/>
    <n v="0"/>
    <n v="0"/>
    <n v="0"/>
    <n v="0"/>
    <n v="0"/>
    <s v=""/>
    <n v="0"/>
    <s v=""/>
    <n v="0"/>
    <s v=""/>
    <x v="0"/>
    <n v="0"/>
    <n v="0"/>
    <s v="No change"/>
    <n v="4.7050173871553191E-2"/>
    <n v="5.4673730437993617E-2"/>
    <n v="0"/>
    <n v="0"/>
    <n v="0"/>
    <n v="0"/>
    <n v="0"/>
  </r>
  <r>
    <x v="43"/>
    <x v="43"/>
    <n v="34273312"/>
    <x v="17"/>
    <n v="0"/>
    <n v="35273569.999999993"/>
    <n v="0"/>
    <m/>
    <n v="0"/>
    <m/>
    <n v="0"/>
    <m/>
    <n v="0"/>
    <m/>
    <n v="0"/>
    <n v="41515395.000000015"/>
    <n v="0"/>
    <n v="0"/>
    <m/>
    <n v="0"/>
    <m/>
    <n v="0"/>
    <m/>
    <n v="0"/>
    <n v="47249584.999999978"/>
    <n v="0"/>
    <n v="0"/>
    <n v="0"/>
    <n v="0"/>
    <n v="0"/>
    <n v="0"/>
    <s v=""/>
    <n v="0"/>
    <s v=""/>
    <n v="0"/>
    <s v=""/>
    <x v="0"/>
    <n v="0"/>
    <n v="0"/>
    <s v="No change"/>
    <n v="4.7050173871553191E-2"/>
    <n v="5.4673730437993617E-2"/>
    <n v="0"/>
    <n v="0"/>
    <n v="0"/>
    <n v="0"/>
    <n v="0"/>
  </r>
  <r>
    <x v="43"/>
    <x v="43"/>
    <n v="34273313"/>
    <x v="18"/>
    <n v="0"/>
    <n v="35273569.999999993"/>
    <n v="0"/>
    <m/>
    <n v="0"/>
    <m/>
    <n v="2447"/>
    <m/>
    <n v="0"/>
    <m/>
    <n v="0"/>
    <n v="41515395.000000015"/>
    <n v="0"/>
    <n v="3874"/>
    <m/>
    <n v="0"/>
    <m/>
    <n v="0"/>
    <m/>
    <n v="0"/>
    <n v="47249584.999999978"/>
    <n v="13380"/>
    <n v="3874"/>
    <n v="2447"/>
    <n v="0"/>
    <n v="13380"/>
    <n v="2447"/>
    <n v="2015"/>
    <n v="3874"/>
    <s v="2018 (triag)"/>
    <n v="13380"/>
    <n v="2022"/>
    <x v="0"/>
    <n v="13380"/>
    <n v="13380"/>
    <s v="Increasing"/>
    <n v="4.7050173871553191E-2"/>
    <n v="5.4673730437993617E-2"/>
    <n v="3061.9032374038493"/>
    <n v="4564.4989833754416"/>
    <n v="0.69372053920258159"/>
    <n v="0.93314781179367279"/>
    <n v="2.8317709033846552"/>
  </r>
  <r>
    <x v="43"/>
    <x v="43"/>
    <n v="34273314"/>
    <x v="19"/>
    <n v="0"/>
    <n v="35273569.999999993"/>
    <n v="0"/>
    <m/>
    <n v="0"/>
    <m/>
    <n v="0"/>
    <m/>
    <n v="0"/>
    <m/>
    <n v="0"/>
    <n v="41515395.000000015"/>
    <n v="0"/>
    <n v="0"/>
    <m/>
    <n v="0"/>
    <m/>
    <n v="0"/>
    <m/>
    <n v="0"/>
    <n v="47249584.999999978"/>
    <n v="0"/>
    <n v="0"/>
    <n v="0"/>
    <n v="0"/>
    <n v="0"/>
    <n v="0"/>
    <s v=""/>
    <n v="0"/>
    <s v=""/>
    <n v="0"/>
    <s v=""/>
    <x v="0"/>
    <n v="0"/>
    <n v="0"/>
    <s v="No change"/>
    <n v="4.7050173871553191E-2"/>
    <n v="5.4673730437993617E-2"/>
    <n v="0"/>
    <n v="0"/>
    <n v="0"/>
    <n v="0"/>
    <n v="0"/>
  </r>
  <r>
    <x v="43"/>
    <x v="43"/>
    <n v="34273315"/>
    <x v="20"/>
    <n v="0"/>
    <n v="35273569.999999993"/>
    <n v="0"/>
    <m/>
    <n v="0"/>
    <m/>
    <n v="114"/>
    <m/>
    <n v="0"/>
    <m/>
    <n v="0"/>
    <n v="41515395.000000015"/>
    <n v="0"/>
    <n v="18"/>
    <m/>
    <n v="0"/>
    <m/>
    <n v="0"/>
    <m/>
    <n v="0"/>
    <n v="47249584.999999978"/>
    <n v="572"/>
    <n v="18"/>
    <n v="114"/>
    <n v="0"/>
    <n v="572"/>
    <n v="114"/>
    <n v="2015"/>
    <n v="18"/>
    <s v="2018 (triag)"/>
    <n v="572"/>
    <n v="2022"/>
    <x v="0"/>
    <n v="572"/>
    <n v="572"/>
    <s v="Increasing"/>
    <n v="4.7050173871553191E-2"/>
    <n v="5.4673730437993617E-2"/>
    <n v="14.226705801050409"/>
    <n v="21.20830709880174"/>
    <n v="3.2318815475723045E-2"/>
    <n v="4.3357409943949694E-3"/>
    <n v="0.12105926433004656"/>
  </r>
  <r>
    <x v="43"/>
    <x v="43"/>
    <n v="34273316"/>
    <x v="21"/>
    <n v="6046"/>
    <n v="35273569.999999993"/>
    <n v="0"/>
    <m/>
    <n v="0"/>
    <m/>
    <n v="0"/>
    <m/>
    <n v="0"/>
    <m/>
    <n v="0"/>
    <n v="41515395.000000015"/>
    <n v="0"/>
    <n v="0"/>
    <m/>
    <n v="0"/>
    <m/>
    <n v="0"/>
    <m/>
    <n v="0"/>
    <n v="47249584.999999978"/>
    <n v="0"/>
    <n v="0"/>
    <n v="6046"/>
    <n v="0"/>
    <n v="0"/>
    <n v="6046"/>
    <n v="2012"/>
    <n v="0"/>
    <s v=""/>
    <n v="0"/>
    <s v=""/>
    <x v="0"/>
    <n v="0"/>
    <n v="0"/>
    <s v="No change"/>
    <n v="4.7050173871553191E-2"/>
    <n v="5.4673730437993617E-2"/>
    <n v="0"/>
    <n v="0"/>
    <n v="1.7140312137387854"/>
    <n v="0"/>
    <n v="0"/>
  </r>
  <r>
    <x v="43"/>
    <x v="43"/>
    <n v="34273317"/>
    <x v="22"/>
    <n v="0"/>
    <n v="35273569.999999993"/>
    <n v="0"/>
    <m/>
    <n v="0"/>
    <m/>
    <n v="0"/>
    <m/>
    <n v="0"/>
    <m/>
    <n v="0"/>
    <n v="41515395.000000015"/>
    <n v="0"/>
    <n v="0"/>
    <m/>
    <n v="0"/>
    <m/>
    <n v="0"/>
    <m/>
    <n v="0"/>
    <n v="47249584.999999978"/>
    <n v="29"/>
    <n v="0"/>
    <n v="0"/>
    <n v="0"/>
    <n v="29"/>
    <n v="0"/>
    <s v=""/>
    <n v="0"/>
    <s v=""/>
    <n v="29"/>
    <n v="2022"/>
    <x v="0"/>
    <n v="29"/>
    <n v="29"/>
    <s v="Increasing"/>
    <n v="4.7050173871553191E-2"/>
    <n v="5.4673730437993617E-2"/>
    <n v="0"/>
    <n v="0"/>
    <n v="0"/>
    <n v="0"/>
    <n v="6.1376200447051579E-3"/>
  </r>
  <r>
    <x v="43"/>
    <x v="43"/>
    <n v="34273318"/>
    <x v="23"/>
    <n v="19791"/>
    <n v="35273569.999999993"/>
    <n v="0"/>
    <m/>
    <n v="0"/>
    <m/>
    <n v="0"/>
    <m/>
    <n v="0"/>
    <m/>
    <n v="0"/>
    <n v="41515395.000000015"/>
    <n v="0"/>
    <n v="0"/>
    <m/>
    <n v="0"/>
    <m/>
    <n v="0"/>
    <m/>
    <n v="0"/>
    <n v="47249584.999999978"/>
    <n v="0"/>
    <n v="0"/>
    <n v="19791"/>
    <n v="0"/>
    <n v="0"/>
    <n v="19791"/>
    <n v="2012"/>
    <n v="0"/>
    <s v=""/>
    <n v="0"/>
    <s v=""/>
    <x v="0"/>
    <n v="0"/>
    <n v="29"/>
    <s v="No change"/>
    <n v="4.7050173871553191E-2"/>
    <n v="5.4673730437993617E-2"/>
    <n v="0"/>
    <n v="0"/>
    <n v="5.6107164656143409"/>
    <n v="0"/>
    <n v="6.1376200447051579E-3"/>
  </r>
  <r>
    <x v="44"/>
    <x v="44"/>
    <n v="53145033.000000007"/>
    <x v="0"/>
    <n v="0"/>
    <n v="53873616"/>
    <n v="0"/>
    <n v="54729550.99999997"/>
    <n v="5084"/>
    <n v="55876503.999999993"/>
    <n v="1143"/>
    <n v="56422273.499999985"/>
    <n v="87529"/>
    <n v="56641209.500000007"/>
    <n v="89306"/>
    <n v="57339635.000000015"/>
    <n v="87006"/>
    <n v="87006"/>
    <n v="58087054.999999985"/>
    <n v="92786"/>
    <n v="58801926.500000022"/>
    <n v="0"/>
    <n v="59392255"/>
    <n v="99093"/>
    <n v="59893885.5"/>
    <n v="0"/>
    <n v="43503"/>
    <n v="5084"/>
    <n v="92786"/>
    <n v="99093"/>
    <n v="5084"/>
    <n v="2014"/>
    <n v="87006"/>
    <n v="2018"/>
    <n v="99093"/>
    <n v="2021"/>
    <x v="0"/>
    <n v="99093"/>
    <n v="99093"/>
    <s v="Increasing"/>
    <n v="-1.4844947843777323E-3"/>
    <n v="5.4673730437993617E-2"/>
    <n v="43827.10121144139"/>
    <n v="51256.943539954009"/>
    <n v="0.94369013581713168"/>
    <n v="15.173797321869937"/>
    <n v="16.544760650066692"/>
  </r>
  <r>
    <x v="44"/>
    <x v="44"/>
    <n v="53145034"/>
    <x v="1"/>
    <n v="117444"/>
    <n v="53873616"/>
    <n v="0"/>
    <m/>
    <n v="0"/>
    <m/>
    <n v="0"/>
    <m/>
    <n v="0"/>
    <m/>
    <n v="0"/>
    <n v="57339635.000000015"/>
    <n v="141104"/>
    <n v="287458"/>
    <m/>
    <n v="129276"/>
    <m/>
    <n v="122056"/>
    <m/>
    <n v="0"/>
    <n v="59893885.5"/>
    <n v="271047"/>
    <n v="287458"/>
    <n v="117444"/>
    <n v="141104"/>
    <n v="271047"/>
    <n v="117444"/>
    <n v="2012"/>
    <n v="287458"/>
    <s v="2018 (triag)"/>
    <n v="271047"/>
    <n v="2022"/>
    <x v="1"/>
    <n v="397261.24962174537"/>
    <n v="397261.24962174537"/>
    <s v="Increasing"/>
    <n v="-1.4844947843777323E-3"/>
    <n v="5.4673730437993617E-2"/>
    <n v="289599.58761553268"/>
    <n v="338694.30788929726"/>
    <n v="21.799910367999058"/>
    <n v="50.132513051399776"/>
    <n v="66.327513452394967"/>
  </r>
  <r>
    <x v="44"/>
    <x v="44"/>
    <n v="53145035"/>
    <x v="2"/>
    <n v="0"/>
    <n v="53873616"/>
    <n v="0"/>
    <m/>
    <n v="0"/>
    <m/>
    <n v="0"/>
    <m/>
    <n v="2568"/>
    <m/>
    <n v="0"/>
    <n v="57339635.000000015"/>
    <n v="0"/>
    <n v="0"/>
    <m/>
    <n v="0"/>
    <m/>
    <n v="0"/>
    <m/>
    <n v="0"/>
    <n v="59893885.5"/>
    <n v="0"/>
    <n v="0"/>
    <n v="0"/>
    <n v="2568"/>
    <n v="0"/>
    <n v="0"/>
    <s v=""/>
    <n v="0"/>
    <s v=""/>
    <n v="0"/>
    <s v=""/>
    <x v="0"/>
    <n v="0"/>
    <n v="0"/>
    <s v="No change"/>
    <n v="-1.4844947843777323E-3"/>
    <n v="5.4673730437993617E-2"/>
    <n v="0"/>
    <n v="0"/>
    <n v="0"/>
    <n v="0"/>
    <n v="0"/>
  </r>
  <r>
    <x v="44"/>
    <x v="44"/>
    <n v="53145036"/>
    <x v="3"/>
    <n v="0"/>
    <n v="53873616"/>
    <n v="0"/>
    <m/>
    <n v="0"/>
    <m/>
    <n v="0"/>
    <m/>
    <n v="2355"/>
    <m/>
    <n v="0"/>
    <n v="57339635.000000015"/>
    <n v="0"/>
    <n v="16195"/>
    <m/>
    <n v="0"/>
    <m/>
    <n v="0"/>
    <m/>
    <n v="494"/>
    <n v="59893885.5"/>
    <n v="17703"/>
    <n v="16195"/>
    <n v="0"/>
    <n v="2355"/>
    <n v="17703"/>
    <n v="0"/>
    <s v=""/>
    <n v="16195"/>
    <s v="2018 (triag)"/>
    <n v="17703"/>
    <n v="2022"/>
    <x v="0"/>
    <n v="17703"/>
    <n v="17703"/>
    <s v="Increasing"/>
    <n v="-1.4844947843777323E-3"/>
    <n v="5.4673730437993617E-2"/>
    <n v="16315.654187511052"/>
    <n v="19081.585192505234"/>
    <n v="0"/>
    <n v="2.8243988647643112"/>
    <n v="2.9557274256317867"/>
  </r>
  <r>
    <x v="44"/>
    <x v="44"/>
    <n v="53145037"/>
    <x v="4"/>
    <n v="0"/>
    <n v="53873616"/>
    <n v="0"/>
    <m/>
    <n v="0"/>
    <m/>
    <n v="0"/>
    <m/>
    <n v="1090"/>
    <m/>
    <n v="0"/>
    <n v="57339635.000000015"/>
    <n v="0"/>
    <n v="6816"/>
    <m/>
    <n v="0"/>
    <m/>
    <n v="0"/>
    <m/>
    <n v="366"/>
    <n v="59893885.5"/>
    <n v="0"/>
    <n v="6816"/>
    <n v="0"/>
    <n v="1090"/>
    <n v="366"/>
    <n v="0"/>
    <s v=""/>
    <n v="6816"/>
    <s v="2018 (triag)"/>
    <n v="366"/>
    <n v="2021"/>
    <x v="1"/>
    <n v="536.42953938453036"/>
    <n v="6816"/>
    <s v="Decreasing"/>
    <n v="-1.4844947843777323E-3"/>
    <n v="5.4673730437993617E-2"/>
    <n v="6866.7798050061947"/>
    <n v="8030.8789547462593"/>
    <n v="0"/>
    <n v="1.1887065552475173"/>
    <n v="1.1380126607414709"/>
  </r>
  <r>
    <x v="44"/>
    <x v="44"/>
    <n v="53145038"/>
    <x v="5"/>
    <n v="0"/>
    <n v="53873616"/>
    <n v="0"/>
    <m/>
    <n v="0"/>
    <m/>
    <n v="0"/>
    <m/>
    <n v="0"/>
    <m/>
    <n v="0"/>
    <n v="57339635.000000015"/>
    <n v="54180"/>
    <n v="54180"/>
    <m/>
    <n v="0"/>
    <m/>
    <n v="0"/>
    <m/>
    <n v="0"/>
    <n v="59893885.5"/>
    <n v="63290"/>
    <n v="54180"/>
    <n v="0"/>
    <n v="54180"/>
    <n v="63290"/>
    <n v="0"/>
    <s v=""/>
    <n v="54180"/>
    <n v="2018"/>
    <n v="63290"/>
    <n v="2022"/>
    <x v="0"/>
    <n v="63290"/>
    <n v="63290"/>
    <s v="Increasing"/>
    <n v="-1.4844947843777323E-3"/>
    <n v="5.4673730437993617E-2"/>
    <n v="54583.64580916016"/>
    <n v="63837.004367393245"/>
    <n v="0"/>
    <n v="9.448961438279122"/>
    <n v="10.567021904097372"/>
  </r>
  <r>
    <x v="44"/>
    <x v="44"/>
    <n v="53145039"/>
    <x v="6"/>
    <n v="0"/>
    <n v="53873616"/>
    <n v="0"/>
    <m/>
    <n v="0"/>
    <m/>
    <n v="0"/>
    <m/>
    <n v="0"/>
    <m/>
    <n v="0"/>
    <n v="57339635.000000015"/>
    <n v="0"/>
    <n v="0"/>
    <m/>
    <n v="0"/>
    <m/>
    <n v="0"/>
    <m/>
    <n v="0"/>
    <n v="59893885.5"/>
    <n v="0"/>
    <n v="0"/>
    <n v="0"/>
    <n v="0"/>
    <n v="0"/>
    <n v="0"/>
    <s v=""/>
    <n v="0"/>
    <s v=""/>
    <n v="0"/>
    <s v=""/>
    <x v="0"/>
    <n v="0"/>
    <n v="0"/>
    <s v="No change"/>
    <n v="-1.4844947843777323E-3"/>
    <n v="5.4673730437993617E-2"/>
    <n v="0"/>
    <n v="0"/>
    <n v="0"/>
    <n v="0"/>
    <n v="0"/>
  </r>
  <r>
    <x v="44"/>
    <x v="44"/>
    <n v="53145040"/>
    <x v="7"/>
    <n v="0"/>
    <n v="53873616"/>
    <n v="0"/>
    <m/>
    <n v="0"/>
    <m/>
    <n v="0"/>
    <m/>
    <n v="0"/>
    <m/>
    <n v="0"/>
    <n v="57339635.000000015"/>
    <n v="0"/>
    <n v="3585"/>
    <m/>
    <n v="0"/>
    <m/>
    <n v="0"/>
    <m/>
    <n v="0"/>
    <n v="59893885.5"/>
    <n v="0"/>
    <n v="3585"/>
    <n v="0"/>
    <n v="0"/>
    <n v="0"/>
    <n v="0"/>
    <s v=""/>
    <n v="3585"/>
    <s v="2018 (triag)"/>
    <n v="3585"/>
    <s v="2018 (triag)"/>
    <x v="0"/>
    <n v="3585"/>
    <n v="3585"/>
    <s v="No change"/>
    <n v="-1.4844947843777323E-3"/>
    <n v="5.4673730437993617E-2"/>
    <n v="3611.708568214086"/>
    <n v="4223.9878305113471"/>
    <n v="0"/>
    <n v="0.62522197778203492"/>
    <n v="0.59855859576851134"/>
  </r>
  <r>
    <x v="44"/>
    <x v="44"/>
    <n v="53145041"/>
    <x v="8"/>
    <n v="0"/>
    <n v="53873616"/>
    <n v="0"/>
    <m/>
    <n v="0"/>
    <m/>
    <n v="0"/>
    <m/>
    <n v="0"/>
    <m/>
    <n v="0"/>
    <n v="57339635.000000015"/>
    <n v="0"/>
    <n v="0"/>
    <m/>
    <n v="0"/>
    <m/>
    <n v="0"/>
    <m/>
    <n v="0"/>
    <n v="59893885.5"/>
    <n v="2857"/>
    <n v="0"/>
    <n v="0"/>
    <n v="0"/>
    <n v="2857"/>
    <n v="0"/>
    <s v=""/>
    <n v="0"/>
    <s v=""/>
    <n v="2857"/>
    <n v="2022"/>
    <x v="0"/>
    <n v="2857"/>
    <n v="2857"/>
    <s v="Increasing"/>
    <n v="-1.4844947843777323E-3"/>
    <n v="5.4673730437993617E-2"/>
    <n v="0"/>
    <n v="0"/>
    <n v="0"/>
    <n v="0"/>
    <n v="0.47701029514941051"/>
  </r>
  <r>
    <x v="44"/>
    <x v="44"/>
    <n v="53145042"/>
    <x v="9"/>
    <n v="0"/>
    <n v="53873616"/>
    <n v="0"/>
    <m/>
    <n v="0"/>
    <m/>
    <n v="0"/>
    <m/>
    <n v="0"/>
    <m/>
    <n v="0"/>
    <n v="57339635.000000015"/>
    <n v="0"/>
    <n v="0"/>
    <m/>
    <n v="0"/>
    <m/>
    <n v="0"/>
    <m/>
    <n v="0"/>
    <n v="59893885.5"/>
    <n v="26692"/>
    <n v="0"/>
    <n v="0"/>
    <n v="0"/>
    <n v="26692"/>
    <n v="0"/>
    <s v=""/>
    <n v="0"/>
    <s v=""/>
    <n v="26692"/>
    <n v="2022"/>
    <x v="0"/>
    <n v="26692"/>
    <n v="26692"/>
    <s v="Increasing"/>
    <n v="-1.4844947843777323E-3"/>
    <n v="5.4673730437993617E-2"/>
    <n v="0"/>
    <n v="0"/>
    <n v="0"/>
    <n v="0"/>
    <n v="4.4565484067651617"/>
  </r>
  <r>
    <x v="44"/>
    <x v="44"/>
    <n v="53145043"/>
    <x v="10"/>
    <n v="0"/>
    <n v="53873616"/>
    <n v="0"/>
    <m/>
    <n v="0"/>
    <m/>
    <n v="0"/>
    <m/>
    <n v="0"/>
    <m/>
    <n v="3330"/>
    <n v="57339635.000000015"/>
    <n v="0"/>
    <n v="0"/>
    <m/>
    <n v="0"/>
    <m/>
    <n v="0"/>
    <m/>
    <n v="0"/>
    <n v="59893885.5"/>
    <n v="329"/>
    <n v="0"/>
    <n v="0"/>
    <n v="3330"/>
    <n v="329"/>
    <n v="0"/>
    <s v=""/>
    <n v="3330"/>
    <n v="2017"/>
    <n v="329"/>
    <n v="2022"/>
    <x v="1"/>
    <n v="482.20032365440028"/>
    <n v="3330"/>
    <s v="Decreasing"/>
    <n v="-1.4844947843777323E-3"/>
    <n v="5.4673730437993617E-2"/>
    <n v="0"/>
    <n v="0"/>
    <n v="0"/>
    <n v="0.5807501216218065"/>
    <n v="0.55598329816154601"/>
  </r>
  <r>
    <x v="44"/>
    <x v="44"/>
    <n v="53145044"/>
    <x v="11"/>
    <n v="133"/>
    <n v="53873616"/>
    <n v="144"/>
    <m/>
    <n v="145"/>
    <m/>
    <n v="149"/>
    <m/>
    <n v="4802"/>
    <m/>
    <n v="5267"/>
    <n v="57339635.000000015"/>
    <n v="5455"/>
    <n v="8415"/>
    <m/>
    <n v="9939"/>
    <m/>
    <n v="0"/>
    <m/>
    <n v="6166"/>
    <n v="59893885.5"/>
    <n v="13"/>
    <n v="8415"/>
    <n v="149"/>
    <n v="9939"/>
    <n v="6166"/>
    <n v="144"/>
    <n v="2013"/>
    <n v="8415"/>
    <s v="2018 (triag)"/>
    <n v="13"/>
    <n v="2022"/>
    <x v="1"/>
    <n v="19.053508229505177"/>
    <n v="8415"/>
    <s v="Decreasing"/>
    <n v="-1.4844947843777323E-3"/>
    <n v="5.4673730437993617E-2"/>
    <n v="8477.6924969376651"/>
    <n v="9914.8835686898146"/>
    <n v="2.6729224932664629E-2"/>
    <n v="1.467571253287538"/>
    <n v="1.4049848210298528"/>
  </r>
  <r>
    <x v="44"/>
    <x v="44"/>
    <n v="53145045"/>
    <x v="12"/>
    <n v="0"/>
    <n v="53873616"/>
    <n v="0"/>
    <m/>
    <n v="0"/>
    <m/>
    <n v="0"/>
    <m/>
    <n v="0"/>
    <m/>
    <n v="0"/>
    <n v="57339635.000000015"/>
    <n v="0"/>
    <n v="577"/>
    <m/>
    <n v="0"/>
    <m/>
    <n v="0"/>
    <m/>
    <n v="0"/>
    <n v="59893885.5"/>
    <n v="0"/>
    <n v="577"/>
    <n v="0"/>
    <n v="0"/>
    <n v="0"/>
    <n v="0"/>
    <s v=""/>
    <n v="577"/>
    <s v="2018 (triag)"/>
    <n v="577"/>
    <s v="2018 (triag)"/>
    <x v="0"/>
    <n v="577"/>
    <n v="577"/>
    <s v="No change"/>
    <n v="-1.4844947843777323E-3"/>
    <n v="5.4673730437993617E-2"/>
    <n v="581.29870121604677"/>
    <n v="679.84406644492253"/>
    <n v="0"/>
    <n v="0.10062847452726197"/>
    <n v="9.6337045957721343E-2"/>
  </r>
  <r>
    <x v="44"/>
    <x v="44"/>
    <n v="53145046"/>
    <x v="13"/>
    <n v="8095"/>
    <n v="53873616"/>
    <n v="8476"/>
    <m/>
    <n v="8924"/>
    <m/>
    <n v="9175"/>
    <m/>
    <n v="8484"/>
    <m/>
    <n v="8681"/>
    <n v="57339635.000000015"/>
    <n v="8878"/>
    <n v="8878"/>
    <m/>
    <n v="0"/>
    <m/>
    <n v="0"/>
    <m/>
    <n v="9281"/>
    <n v="59893885.5"/>
    <n v="0"/>
    <n v="8072"/>
    <n v="9175"/>
    <n v="8878"/>
    <n v="9281"/>
    <n v="8476"/>
    <n v="2013"/>
    <n v="8878"/>
    <n v="2018"/>
    <n v="9281"/>
    <n v="2021"/>
    <x v="0"/>
    <n v="9281"/>
    <n v="9281"/>
    <s v="Increasing"/>
    <n v="-1.4844947843777323E-3"/>
    <n v="5.4673730437993617E-2"/>
    <n v="8132.1371164920783"/>
    <n v="9510.7474945293143"/>
    <n v="1.5733118786754541"/>
    <n v="1.5483181921196389"/>
    <n v="1.5495738709421347"/>
  </r>
  <r>
    <x v="44"/>
    <x v="44"/>
    <n v="53145047"/>
    <x v="14"/>
    <n v="0"/>
    <n v="53873616"/>
    <n v="0"/>
    <m/>
    <n v="0"/>
    <m/>
    <n v="0"/>
    <m/>
    <n v="0"/>
    <m/>
    <n v="0"/>
    <n v="57339635.000000015"/>
    <n v="0"/>
    <n v="0"/>
    <m/>
    <n v="0"/>
    <m/>
    <n v="0"/>
    <m/>
    <n v="0"/>
    <n v="59893885.5"/>
    <n v="0"/>
    <n v="0"/>
    <n v="0"/>
    <n v="0"/>
    <n v="0"/>
    <n v="0"/>
    <s v=""/>
    <n v="0"/>
    <s v=""/>
    <n v="0"/>
    <s v=""/>
    <x v="0"/>
    <n v="0"/>
    <n v="0"/>
    <s v="No change"/>
    <n v="-1.4844947843777323E-3"/>
    <n v="5.4673730437993617E-2"/>
    <n v="0"/>
    <n v="0"/>
    <n v="0"/>
    <n v="0"/>
    <n v="0"/>
  </r>
  <r>
    <x v="44"/>
    <x v="44"/>
    <n v="53145048"/>
    <x v="15"/>
    <n v="3453"/>
    <n v="53873616"/>
    <n v="3588"/>
    <m/>
    <n v="3705"/>
    <m/>
    <n v="3783"/>
    <m/>
    <n v="3725"/>
    <m/>
    <n v="3790"/>
    <n v="57339635.000000015"/>
    <n v="3848"/>
    <n v="3848"/>
    <m/>
    <n v="3830"/>
    <m/>
    <n v="0"/>
    <m/>
    <n v="4012"/>
    <n v="59893885.5"/>
    <n v="255"/>
    <n v="0"/>
    <n v="3783"/>
    <n v="3848"/>
    <n v="4012"/>
    <n v="3588"/>
    <n v="2013"/>
    <n v="3848"/>
    <n v="2018"/>
    <n v="255"/>
    <n v="2022"/>
    <x v="1"/>
    <n v="373.74189219414001"/>
    <n v="3848"/>
    <s v="Decreasing"/>
    <n v="-1.4844947843777323E-3"/>
    <n v="5.4673730437993617E-2"/>
    <n v="0"/>
    <n v="0"/>
    <n v="0.66600318790556035"/>
    <n v="0.67108902942964299"/>
    <n v="0.64246958898667539"/>
  </r>
  <r>
    <x v="44"/>
    <x v="44"/>
    <n v="53145049"/>
    <x v="16"/>
    <n v="0"/>
    <n v="53873616"/>
    <n v="0"/>
    <m/>
    <n v="0"/>
    <m/>
    <n v="0"/>
    <m/>
    <n v="0"/>
    <m/>
    <n v="0"/>
    <n v="57339635.000000015"/>
    <n v="0"/>
    <n v="0"/>
    <m/>
    <n v="0"/>
    <m/>
    <n v="0"/>
    <m/>
    <n v="0"/>
    <n v="59893885.5"/>
    <n v="15459"/>
    <n v="0"/>
    <n v="0"/>
    <n v="0"/>
    <n v="15459"/>
    <n v="0"/>
    <s v=""/>
    <n v="0"/>
    <s v=""/>
    <n v="15459"/>
    <n v="2022"/>
    <x v="0"/>
    <n v="15459"/>
    <n v="15459"/>
    <s v="Increasing"/>
    <n v="-1.4844947843777323E-3"/>
    <n v="5.4673730437993617E-2"/>
    <n v="0"/>
    <n v="0"/>
    <n v="0"/>
    <n v="0"/>
    <n v="2.5810648066904927"/>
  </r>
  <r>
    <x v="44"/>
    <x v="44"/>
    <n v="53145050"/>
    <x v="17"/>
    <n v="0"/>
    <n v="53873616"/>
    <n v="0"/>
    <m/>
    <n v="0"/>
    <m/>
    <n v="0"/>
    <m/>
    <n v="0"/>
    <m/>
    <n v="0"/>
    <n v="57339635.000000015"/>
    <n v="0"/>
    <n v="15266"/>
    <m/>
    <n v="0"/>
    <m/>
    <n v="0"/>
    <m/>
    <n v="0"/>
    <n v="59893885.5"/>
    <n v="0"/>
    <n v="15266"/>
    <n v="0"/>
    <n v="0"/>
    <n v="0"/>
    <n v="0"/>
    <s v=""/>
    <n v="15266"/>
    <s v="2018 (triag)"/>
    <n v="15266"/>
    <s v="2018 (triag)"/>
    <x v="0"/>
    <n v="15266"/>
    <n v="15266"/>
    <s v="No change"/>
    <n v="-1.4844947843777323E-3"/>
    <n v="5.4673730437993617E-2"/>
    <n v="15379.733055050554"/>
    <n v="17987.000898350409"/>
    <n v="0"/>
    <n v="2.6623817887923416"/>
    <n v="2.5488411500703188"/>
  </r>
  <r>
    <x v="44"/>
    <x v="44"/>
    <n v="53145051"/>
    <x v="18"/>
    <n v="171"/>
    <n v="53873616"/>
    <n v="273"/>
    <m/>
    <n v="326"/>
    <m/>
    <n v="453"/>
    <m/>
    <n v="5377"/>
    <m/>
    <n v="5525"/>
    <n v="57339635.000000015"/>
    <n v="5731"/>
    <n v="5731"/>
    <m/>
    <n v="0"/>
    <m/>
    <n v="0"/>
    <m/>
    <n v="6353"/>
    <n v="59893885.5"/>
    <n v="0"/>
    <n v="0"/>
    <n v="453"/>
    <n v="5731"/>
    <n v="6353"/>
    <n v="273"/>
    <n v="2013"/>
    <n v="5731"/>
    <n v="2018"/>
    <n v="6353"/>
    <n v="2021"/>
    <x v="0"/>
    <n v="6353"/>
    <n v="6353"/>
    <s v="Increasing"/>
    <n v="-1.4844947843777323E-3"/>
    <n v="5.4673730437993617E-2"/>
    <n v="0"/>
    <n v="0"/>
    <n v="5.0674155601510021E-2"/>
    <n v="0.99948316727164355"/>
    <n v="1.060709277243334"/>
  </r>
  <r>
    <x v="44"/>
    <x v="44"/>
    <n v="53145052"/>
    <x v="19"/>
    <n v="90"/>
    <n v="53873616"/>
    <n v="217"/>
    <m/>
    <n v="362"/>
    <m/>
    <n v="474"/>
    <m/>
    <n v="0"/>
    <m/>
    <n v="8919"/>
    <n v="57339635.000000015"/>
    <n v="0"/>
    <n v="0"/>
    <m/>
    <n v="0"/>
    <m/>
    <n v="0"/>
    <m/>
    <n v="3870"/>
    <n v="59893885.5"/>
    <n v="20327"/>
    <n v="0"/>
    <n v="474"/>
    <n v="8919"/>
    <n v="20327"/>
    <n v="217"/>
    <n v="2013"/>
    <n v="8919"/>
    <n v="2017"/>
    <n v="20327"/>
    <n v="2022"/>
    <x v="0"/>
    <n v="20327"/>
    <n v="20327"/>
    <s v="Increasing"/>
    <n v="-1.4844947843777323E-3"/>
    <n v="5.4673730437993617E-2"/>
    <n v="0"/>
    <n v="0"/>
    <n v="4.0279457016584891E-2"/>
    <n v="1.5554685689924601"/>
    <n v="3.3938355861050291"/>
  </r>
  <r>
    <x v="44"/>
    <x v="44"/>
    <n v="53145053"/>
    <x v="20"/>
    <n v="7791"/>
    <n v="53873616"/>
    <n v="8185"/>
    <m/>
    <n v="8781"/>
    <m/>
    <n v="9289"/>
    <m/>
    <n v="7451"/>
    <m/>
    <n v="7704"/>
    <n v="57339635.000000015"/>
    <n v="7922"/>
    <n v="11975"/>
    <m/>
    <n v="8110"/>
    <m/>
    <n v="0"/>
    <m/>
    <n v="8509"/>
    <n v="59893885.5"/>
    <n v="1555"/>
    <n v="11975"/>
    <n v="9289"/>
    <n v="8110"/>
    <n v="8509"/>
    <n v="8185"/>
    <n v="2013"/>
    <n v="11975"/>
    <s v="2018 (triag)"/>
    <n v="1555"/>
    <n v="2022"/>
    <x v="1"/>
    <n v="2279.0927151446576"/>
    <n v="11975"/>
    <s v="Decreasing"/>
    <n v="-1.4844947843777323E-3"/>
    <n v="5.4673730437993617E-2"/>
    <n v="12064.214812932685"/>
    <n v="14109.415417119491"/>
    <n v="1.5192965699573608"/>
    <n v="2.0884332451715113"/>
    <n v="1.9993693680133675"/>
  </r>
  <r>
    <x v="44"/>
    <x v="44"/>
    <n v="53145054"/>
    <x v="21"/>
    <n v="0"/>
    <n v="53873616"/>
    <n v="0"/>
    <m/>
    <n v="0"/>
    <m/>
    <n v="0"/>
    <m/>
    <n v="0"/>
    <m/>
    <n v="27694"/>
    <n v="57339635.000000015"/>
    <n v="0"/>
    <n v="0"/>
    <m/>
    <n v="0"/>
    <m/>
    <n v="0"/>
    <m/>
    <n v="0"/>
    <n v="59893885.5"/>
    <n v="15754"/>
    <n v="0"/>
    <n v="0"/>
    <n v="27694"/>
    <n v="15754"/>
    <n v="0"/>
    <s v=""/>
    <n v="27694"/>
    <n v="2017"/>
    <n v="15754"/>
    <n v="2022"/>
    <x v="1"/>
    <n v="23089.920665201891"/>
    <n v="27694"/>
    <s v="Decreasing"/>
    <n v="-1.4844947843777323E-3"/>
    <n v="5.4673730437993617E-2"/>
    <n v="0"/>
    <n v="0"/>
    <n v="0"/>
    <n v="4.8298179784367292"/>
    <n v="4.6238442820678252"/>
  </r>
  <r>
    <x v="44"/>
    <x v="44"/>
    <n v="53145055"/>
    <x v="22"/>
    <n v="2285"/>
    <n v="53873616"/>
    <n v="2586"/>
    <m/>
    <n v="2746"/>
    <m/>
    <n v="2913"/>
    <m/>
    <n v="3140"/>
    <m/>
    <n v="3323"/>
    <n v="57339635.000000015"/>
    <n v="3512"/>
    <n v="3512"/>
    <m/>
    <n v="3676"/>
    <m/>
    <n v="0"/>
    <m/>
    <n v="4037"/>
    <n v="59893885.5"/>
    <n v="586"/>
    <n v="0"/>
    <n v="2913"/>
    <n v="3676"/>
    <n v="4037"/>
    <n v="2586"/>
    <n v="2013"/>
    <n v="3512"/>
    <n v="2018"/>
    <n v="586"/>
    <n v="2022"/>
    <x v="1"/>
    <n v="858.87352480692573"/>
    <n v="3512"/>
    <s v="Decreasing"/>
    <n v="-1.4844947843777323E-3"/>
    <n v="5.4673730437993617E-2"/>
    <n v="0"/>
    <n v="0"/>
    <n v="0.48001233108243563"/>
    <n v="0.61249081895969504"/>
    <n v="0.58637037331632125"/>
  </r>
  <r>
    <x v="44"/>
    <x v="44"/>
    <n v="53145056"/>
    <x v="23"/>
    <n v="0"/>
    <n v="53873616"/>
    <n v="0"/>
    <m/>
    <n v="0"/>
    <m/>
    <n v="0"/>
    <m/>
    <n v="0"/>
    <m/>
    <n v="49732"/>
    <n v="57339635.000000015"/>
    <n v="0"/>
    <n v="0"/>
    <m/>
    <n v="0"/>
    <m/>
    <n v="0"/>
    <m/>
    <n v="0"/>
    <n v="59893885.5"/>
    <n v="9"/>
    <n v="0"/>
    <n v="0"/>
    <n v="49732"/>
    <n v="9"/>
    <n v="0"/>
    <s v=""/>
    <n v="49732"/>
    <n v="2017"/>
    <n v="9"/>
    <n v="2022"/>
    <x v="1"/>
    <n v="13.190890312734354"/>
    <n v="49732"/>
    <s v="Decreasing"/>
    <n v="-1.4844947843777323E-3"/>
    <n v="5.4673730437993617E-2"/>
    <n v="0"/>
    <n v="0"/>
    <n v="0"/>
    <n v="8.6732327472959998"/>
    <n v="8.3033517670180199"/>
  </r>
  <r>
    <x v="45"/>
    <x v="45"/>
    <n v="14744657.999999998"/>
    <x v="0"/>
    <n v="156"/>
    <n v="15234975.999999991"/>
    <n v="0"/>
    <n v="15737792.999999998"/>
    <n v="0"/>
    <n v="16248229.999999996"/>
    <n v="0"/>
    <n v="16767760.499999996"/>
    <n v="3074"/>
    <n v="17298053.500000004"/>
    <n v="0"/>
    <n v="17835892.999999981"/>
    <n v="8042"/>
    <n v="8042"/>
    <n v="18380476.500000004"/>
    <n v="8772"/>
    <n v="18927715.000000022"/>
    <n v="9636"/>
    <n v="19473124.999999996"/>
    <n v="11546"/>
    <n v="20017675.000000004"/>
    <n v="11020"/>
    <n v="2026"/>
    <n v="156"/>
    <n v="8772"/>
    <n v="11546"/>
    <n v="156"/>
    <n v="2012"/>
    <n v="8042"/>
    <n v="2018"/>
    <n v="11020"/>
    <n v="2022"/>
    <x v="0"/>
    <n v="11020"/>
    <n v="11020"/>
    <s v="Increasing"/>
    <n v="9.0528744101809888E-2"/>
    <n v="5.4673730437993617E-2"/>
    <n v="1288.4238959735194"/>
    <n v="2387.1127878984626"/>
    <n v="0.10239596045310481"/>
    <n v="4.5088855377188057"/>
    <n v="5.5051348370877227"/>
  </r>
  <r>
    <x v="45"/>
    <x v="45"/>
    <n v="14744659"/>
    <x v="1"/>
    <n v="0"/>
    <n v="15234975.999999991"/>
    <n v="0"/>
    <m/>
    <n v="0"/>
    <m/>
    <n v="0"/>
    <m/>
    <n v="0"/>
    <m/>
    <n v="31382"/>
    <n v="17835892.999999981"/>
    <n v="41492"/>
    <n v="41492"/>
    <m/>
    <n v="46070"/>
    <m/>
    <n v="55348"/>
    <m/>
    <n v="65084"/>
    <n v="20017675.000000004"/>
    <n v="67558"/>
    <n v="14516"/>
    <n v="0"/>
    <n v="46070"/>
    <n v="67558"/>
    <n v="0"/>
    <s v=""/>
    <n v="41492"/>
    <n v="2018"/>
    <n v="67558"/>
    <n v="2022"/>
    <x v="0"/>
    <n v="67558"/>
    <n v="67558"/>
    <s v="Increasing"/>
    <n v="9.0528744101809888E-2"/>
    <n v="5.4673730437993617E-2"/>
    <n v="9231.372790696747"/>
    <n v="17103.321435900336"/>
    <n v="0"/>
    <n v="23.26320302549474"/>
    <n v="33.749174167329613"/>
  </r>
  <r>
    <x v="45"/>
    <x v="45"/>
    <n v="14744660"/>
    <x v="2"/>
    <n v="0"/>
    <n v="15234975.999999991"/>
    <n v="5546"/>
    <m/>
    <n v="0"/>
    <m/>
    <n v="0"/>
    <m/>
    <n v="6666"/>
    <m/>
    <n v="0"/>
    <n v="17835892.999999981"/>
    <n v="4274"/>
    <n v="4274"/>
    <m/>
    <n v="6446"/>
    <m/>
    <n v="6624"/>
    <m/>
    <n v="7492"/>
    <n v="20017675.000000004"/>
    <n v="18404"/>
    <n v="3432"/>
    <n v="5546"/>
    <n v="6666"/>
    <n v="18404"/>
    <n v="5546"/>
    <n v="2013"/>
    <n v="4274"/>
    <n v="2018"/>
    <n v="18404"/>
    <n v="2022"/>
    <x v="0"/>
    <n v="18404"/>
    <n v="18404"/>
    <s v="Increasing"/>
    <n v="9.0528744101809888E-2"/>
    <n v="5.4673730437993617E-2"/>
    <n v="2182.5620982137802"/>
    <n v="4043.7172201715321"/>
    <n v="3.6403076709802518"/>
    <n v="2.3962915677953465"/>
    <n v="9.1938749130455939"/>
  </r>
  <r>
    <x v="45"/>
    <x v="45"/>
    <n v="14744661"/>
    <x v="3"/>
    <n v="0"/>
    <n v="15234975.999999991"/>
    <n v="460"/>
    <m/>
    <n v="1491"/>
    <m/>
    <n v="0"/>
    <m/>
    <n v="0"/>
    <m/>
    <n v="371"/>
    <n v="17835892.999999981"/>
    <n v="0"/>
    <n v="1708"/>
    <m/>
    <n v="0"/>
    <m/>
    <n v="0"/>
    <m/>
    <n v="0"/>
    <n v="20017675.000000004"/>
    <n v="0"/>
    <n v="1708"/>
    <n v="1491"/>
    <n v="371"/>
    <n v="0"/>
    <n v="460"/>
    <n v="2013"/>
    <n v="1708"/>
    <s v="2018 (triag)"/>
    <n v="1708"/>
    <s v="2018 (triag)"/>
    <x v="0"/>
    <n v="1708"/>
    <n v="3047"/>
    <s v="No change"/>
    <n v="9.0528744101809888E-2"/>
    <n v="5.4673730437993617E-2"/>
    <n v="1086.1934917683966"/>
    <n v="2012.4326958196318"/>
    <n v="0.30193680646428345"/>
    <n v="0.95761955961498635"/>
    <n v="1.5221547956993005"/>
  </r>
  <r>
    <x v="45"/>
    <x v="45"/>
    <n v="14744662"/>
    <x v="4"/>
    <n v="0"/>
    <n v="15234975.999999991"/>
    <n v="351"/>
    <m/>
    <n v="374"/>
    <m/>
    <n v="0"/>
    <m/>
    <n v="0"/>
    <m/>
    <n v="54"/>
    <n v="17835892.999999981"/>
    <n v="0"/>
    <n v="455"/>
    <m/>
    <n v="0"/>
    <m/>
    <n v="10395"/>
    <m/>
    <n v="0"/>
    <n v="20017675.000000004"/>
    <n v="0"/>
    <n v="455"/>
    <n v="374"/>
    <n v="54"/>
    <n v="10395"/>
    <n v="351"/>
    <n v="2013"/>
    <n v="455"/>
    <s v="2018 (triag)"/>
    <n v="10395"/>
    <n v="2020"/>
    <x v="0"/>
    <n v="10395"/>
    <n v="10395"/>
    <s v="Increasing"/>
    <n v="9.0528744101809888E-2"/>
    <n v="5.4673730437993617E-2"/>
    <n v="289.35482362682694"/>
    <n v="536.09887388637731"/>
    <n v="0.23039091101948583"/>
    <n v="0.25510357120891031"/>
    <n v="5.192910765111332"/>
  </r>
  <r>
    <x v="45"/>
    <x v="45"/>
    <n v="14744663"/>
    <x v="5"/>
    <n v="0"/>
    <n v="15234975.999999991"/>
    <n v="0"/>
    <m/>
    <n v="0"/>
    <m/>
    <n v="0"/>
    <m/>
    <n v="0"/>
    <m/>
    <n v="0"/>
    <n v="17835892.999999981"/>
    <n v="1283"/>
    <n v="1283"/>
    <m/>
    <n v="1846"/>
    <m/>
    <n v="41669"/>
    <m/>
    <n v="0"/>
    <n v="20017675.000000004"/>
    <n v="2421"/>
    <n v="1262"/>
    <n v="0"/>
    <n v="1846"/>
    <n v="41669"/>
    <n v="0"/>
    <s v=""/>
    <n v="1283"/>
    <n v="2018"/>
    <n v="2421"/>
    <n v="2022"/>
    <x v="0"/>
    <n v="2421"/>
    <n v="2421"/>
    <s v="Increasing"/>
    <n v="9.0528744101809888E-2"/>
    <n v="5.4673730437993617E-2"/>
    <n v="802.5621701473749"/>
    <n v="1486.9379754826555"/>
    <n v="0"/>
    <n v="0.71933600409018006"/>
    <n v="1.2094311652077474"/>
  </r>
  <r>
    <x v="45"/>
    <x v="45"/>
    <n v="14744664"/>
    <x v="6"/>
    <n v="0"/>
    <n v="15234975.999999991"/>
    <n v="0"/>
    <m/>
    <n v="0"/>
    <m/>
    <n v="0"/>
    <m/>
    <n v="0"/>
    <m/>
    <n v="66"/>
    <n v="17835892.999999981"/>
    <n v="0"/>
    <n v="404"/>
    <m/>
    <n v="0"/>
    <m/>
    <n v="0"/>
    <m/>
    <n v="0"/>
    <n v="20017675.000000004"/>
    <n v="774"/>
    <n v="404"/>
    <n v="0"/>
    <n v="66"/>
    <n v="774"/>
    <n v="0"/>
    <s v=""/>
    <n v="404"/>
    <s v="2018 (triag)"/>
    <n v="774"/>
    <n v="2022"/>
    <x v="0"/>
    <n v="774"/>
    <n v="774"/>
    <s v="Increasing"/>
    <n v="9.0528744101809888E-2"/>
    <n v="5.4673730437993617E-2"/>
    <n v="256.92164559392984"/>
    <n v="476.0086704397724"/>
    <n v="0"/>
    <n v="0.22650954454593353"/>
    <n v="0.38665829073556235"/>
  </r>
  <r>
    <x v="45"/>
    <x v="45"/>
    <n v="14744665"/>
    <x v="7"/>
    <n v="0"/>
    <n v="15234975.999999991"/>
    <n v="0"/>
    <m/>
    <n v="0"/>
    <m/>
    <n v="0"/>
    <m/>
    <n v="0"/>
    <m/>
    <n v="0"/>
    <n v="17835892.999999981"/>
    <n v="0"/>
    <n v="2016"/>
    <m/>
    <n v="0"/>
    <m/>
    <n v="3330"/>
    <m/>
    <n v="0"/>
    <n v="20017675.000000004"/>
    <n v="4392"/>
    <n v="2016"/>
    <n v="0"/>
    <n v="0"/>
    <n v="4392"/>
    <n v="0"/>
    <s v=""/>
    <n v="2016"/>
    <s v="2018 (triag)"/>
    <n v="4392"/>
    <n v="2022"/>
    <x v="0"/>
    <n v="4392"/>
    <n v="4392"/>
    <s v="Increasing"/>
    <n v="9.0528744101809888E-2"/>
    <n v="5.4673730437993617E-2"/>
    <n v="1282.0644493004024"/>
    <n v="2375.3303950657951"/>
    <n v="0"/>
    <n v="1.1303050539717872"/>
    <n v="2.1940609985924935"/>
  </r>
  <r>
    <x v="45"/>
    <x v="45"/>
    <n v="14744666"/>
    <x v="8"/>
    <n v="0"/>
    <n v="15234975.999999991"/>
    <n v="0"/>
    <m/>
    <n v="0"/>
    <m/>
    <n v="0"/>
    <m/>
    <n v="0"/>
    <m/>
    <n v="0"/>
    <n v="17835892.999999981"/>
    <n v="119"/>
    <n v="119"/>
    <m/>
    <n v="0"/>
    <m/>
    <n v="0"/>
    <m/>
    <n v="0"/>
    <n v="20017675.000000004"/>
    <n v="0"/>
    <n v="0"/>
    <n v="0"/>
    <n v="119"/>
    <n v="0"/>
    <n v="0"/>
    <s v=""/>
    <n v="119"/>
    <n v="2018"/>
    <n v="119"/>
    <n v="2018"/>
    <x v="0"/>
    <n v="119"/>
    <n v="119"/>
    <s v="No change"/>
    <n v="9.0528744101809888E-2"/>
    <n v="5.4673730437993617E-2"/>
    <n v="0"/>
    <n v="0"/>
    <n v="0"/>
    <n v="6.6719395546945767E-2"/>
    <n v="5.944746330430481E-2"/>
  </r>
  <r>
    <x v="45"/>
    <x v="45"/>
    <n v="14744667"/>
    <x v="9"/>
    <n v="0"/>
    <n v="15234975.999999991"/>
    <n v="0"/>
    <m/>
    <n v="0"/>
    <m/>
    <n v="0"/>
    <m/>
    <n v="0"/>
    <m/>
    <n v="0"/>
    <n v="17835892.999999981"/>
    <n v="0"/>
    <n v="0"/>
    <m/>
    <n v="0"/>
    <m/>
    <n v="0"/>
    <m/>
    <n v="0"/>
    <n v="20017675.000000004"/>
    <n v="0"/>
    <n v="0"/>
    <n v="0"/>
    <n v="0"/>
    <n v="0"/>
    <n v="0"/>
    <s v=""/>
    <n v="0"/>
    <s v=""/>
    <n v="0"/>
    <s v=""/>
    <x v="0"/>
    <n v="0"/>
    <n v="0"/>
    <s v="No change"/>
    <n v="9.0528744101809888E-2"/>
    <n v="5.4673730437993617E-2"/>
    <n v="0"/>
    <n v="0"/>
    <n v="0"/>
    <n v="0"/>
    <n v="0"/>
  </r>
  <r>
    <x v="45"/>
    <x v="45"/>
    <n v="14744668"/>
    <x v="10"/>
    <n v="53"/>
    <n v="15234975.999999991"/>
    <n v="0"/>
    <m/>
    <n v="0"/>
    <m/>
    <n v="0"/>
    <m/>
    <n v="0"/>
    <m/>
    <n v="0"/>
    <n v="17835892.999999981"/>
    <n v="0"/>
    <n v="0"/>
    <m/>
    <n v="0"/>
    <m/>
    <n v="0"/>
    <m/>
    <n v="0"/>
    <n v="20017675.000000004"/>
    <n v="28"/>
    <n v="0"/>
    <n v="53"/>
    <n v="0"/>
    <n v="28"/>
    <n v="53"/>
    <n v="2012"/>
    <n v="0"/>
    <s v=""/>
    <n v="28"/>
    <n v="2022"/>
    <x v="0"/>
    <n v="28"/>
    <n v="28"/>
    <s v="Increasing"/>
    <n v="9.0528744101809888E-2"/>
    <n v="5.4673730437993617E-2"/>
    <n v="0"/>
    <n v="0"/>
    <n v="3.4788371179580481E-2"/>
    <n v="0"/>
    <n v="1.3987638424542308E-2"/>
  </r>
  <r>
    <x v="45"/>
    <x v="45"/>
    <n v="14744669"/>
    <x v="11"/>
    <n v="184"/>
    <n v="15234975.999999991"/>
    <n v="0"/>
    <m/>
    <n v="0"/>
    <m/>
    <n v="0"/>
    <m/>
    <n v="921"/>
    <m/>
    <n v="0"/>
    <n v="17835892.999999981"/>
    <n v="18"/>
    <n v="18"/>
    <m/>
    <n v="18"/>
    <m/>
    <n v="19"/>
    <m/>
    <n v="19"/>
    <n v="20017675.000000004"/>
    <n v="641"/>
    <n v="0"/>
    <n v="184"/>
    <n v="921"/>
    <n v="641"/>
    <n v="184"/>
    <n v="2012"/>
    <n v="18"/>
    <n v="2018"/>
    <n v="641"/>
    <n v="2022"/>
    <x v="0"/>
    <n v="641"/>
    <n v="641"/>
    <s v="Increasing"/>
    <n v="9.0528744101809888E-2"/>
    <n v="5.4673730437993617E-2"/>
    <n v="0"/>
    <n v="0"/>
    <n v="0.12077472258571337"/>
    <n v="1.0092009410462385E-2"/>
    <n v="0.32021700821898641"/>
  </r>
  <r>
    <x v="45"/>
    <x v="45"/>
    <n v="14744670"/>
    <x v="12"/>
    <n v="0"/>
    <n v="15234975.999999991"/>
    <n v="0"/>
    <m/>
    <n v="0"/>
    <m/>
    <n v="0"/>
    <m/>
    <n v="0"/>
    <m/>
    <n v="0"/>
    <n v="17835892.999999981"/>
    <n v="0"/>
    <n v="2617"/>
    <m/>
    <n v="0"/>
    <m/>
    <n v="0"/>
    <m/>
    <n v="0"/>
    <n v="20017675.000000004"/>
    <n v="7144"/>
    <n v="2617"/>
    <n v="0"/>
    <n v="0"/>
    <n v="7144"/>
    <n v="0"/>
    <s v=""/>
    <n v="2617"/>
    <s v="2018 (triag)"/>
    <n v="7144"/>
    <n v="2022"/>
    <x v="0"/>
    <n v="7144"/>
    <n v="7144"/>
    <s v="Increasing"/>
    <n v="9.0528744101809888E-2"/>
    <n v="5.4673730437993617E-2"/>
    <n v="1664.2671943547386"/>
    <n v="3083.4522043091197"/>
    <n v="0"/>
    <n v="1.4672660348433368"/>
    <n v="3.5688460323189375"/>
  </r>
  <r>
    <x v="45"/>
    <x v="45"/>
    <n v="14744671"/>
    <x v="13"/>
    <n v="500"/>
    <n v="15234975.999999991"/>
    <n v="0"/>
    <m/>
    <n v="0"/>
    <m/>
    <n v="0"/>
    <m/>
    <n v="419"/>
    <m/>
    <n v="0"/>
    <n v="17835892.999999981"/>
    <n v="761"/>
    <n v="761"/>
    <m/>
    <n v="929"/>
    <m/>
    <n v="1075"/>
    <m/>
    <n v="1375"/>
    <n v="20017675.000000004"/>
    <n v="2633"/>
    <n v="602"/>
    <n v="500"/>
    <n v="929"/>
    <n v="2633"/>
    <n v="500"/>
    <n v="2012"/>
    <n v="761"/>
    <n v="2018"/>
    <n v="2633"/>
    <n v="2022"/>
    <x v="0"/>
    <n v="2633"/>
    <n v="2633"/>
    <s v="Increasing"/>
    <n v="9.0528744101809888E-2"/>
    <n v="5.4673730437993617E-2"/>
    <n v="382.83868972164794"/>
    <n v="709.30004852659158"/>
    <n v="0.32819218093943853"/>
    <n v="0.42666773118677087"/>
    <n v="1.3153375704221393"/>
  </r>
  <r>
    <x v="45"/>
    <x v="45"/>
    <n v="14744672"/>
    <x v="14"/>
    <n v="0"/>
    <n v="15234975.999999991"/>
    <n v="0"/>
    <m/>
    <n v="0"/>
    <m/>
    <n v="0"/>
    <m/>
    <n v="0"/>
    <m/>
    <n v="0"/>
    <n v="17835892.999999981"/>
    <n v="67"/>
    <n v="1232"/>
    <m/>
    <n v="0"/>
    <m/>
    <n v="0"/>
    <m/>
    <n v="0"/>
    <n v="20017675.000000004"/>
    <n v="0"/>
    <n v="1232"/>
    <n v="0"/>
    <n v="67"/>
    <n v="0"/>
    <n v="0"/>
    <s v=""/>
    <n v="1232"/>
    <s v="2018 (triag)"/>
    <n v="1232"/>
    <s v="2018 (triag)"/>
    <x v="0"/>
    <n v="1232"/>
    <n v="1232"/>
    <s v="No change"/>
    <n v="9.0528744101809888E-2"/>
    <n v="5.4673730437993617E-2"/>
    <n v="783.48383012802367"/>
    <n v="1451.5907969846526"/>
    <n v="0"/>
    <n v="0.69074197742720322"/>
    <n v="0.61545609067986151"/>
  </r>
  <r>
    <x v="45"/>
    <x v="45"/>
    <n v="14744673"/>
    <x v="15"/>
    <n v="18"/>
    <n v="15234975.999999991"/>
    <n v="0"/>
    <m/>
    <n v="0"/>
    <m/>
    <n v="0"/>
    <m/>
    <n v="0"/>
    <m/>
    <n v="0"/>
    <n v="17835892.999999981"/>
    <n v="16"/>
    <n v="61"/>
    <m/>
    <n v="0"/>
    <m/>
    <n v="0"/>
    <m/>
    <n v="0"/>
    <n v="20017675.000000004"/>
    <n v="244"/>
    <n v="61"/>
    <n v="18"/>
    <n v="16"/>
    <n v="244"/>
    <n v="18"/>
    <n v="2012"/>
    <n v="61"/>
    <s v="2018 (triag)"/>
    <n v="244"/>
    <n v="2022"/>
    <x v="0"/>
    <n v="244"/>
    <n v="244"/>
    <s v="Increasing"/>
    <n v="9.0528744101809888E-2"/>
    <n v="5.4673730437993617E-2"/>
    <n v="38.792624706014159"/>
    <n v="71.872596279272571"/>
    <n v="1.1814918513819786E-2"/>
    <n v="3.4200698557678086E-2"/>
    <n v="0.12189227769958297"/>
  </r>
  <r>
    <x v="45"/>
    <x v="45"/>
    <n v="14744674"/>
    <x v="16"/>
    <n v="0"/>
    <n v="15234975.999999991"/>
    <n v="0"/>
    <m/>
    <n v="0"/>
    <m/>
    <n v="0"/>
    <m/>
    <n v="0"/>
    <m/>
    <n v="0"/>
    <n v="17835892.999999981"/>
    <n v="0"/>
    <n v="17801"/>
    <m/>
    <n v="0"/>
    <m/>
    <n v="0"/>
    <m/>
    <n v="0"/>
    <n v="20017675.000000004"/>
    <n v="0"/>
    <n v="17801"/>
    <n v="0"/>
    <n v="0"/>
    <n v="0"/>
    <n v="0"/>
    <s v=""/>
    <n v="17801"/>
    <s v="2018 (triag)"/>
    <n v="17801"/>
    <s v="2018 (triag)"/>
    <x v="0"/>
    <n v="17801"/>
    <n v="17801"/>
    <s v="No change"/>
    <n v="9.0528744101809888E-2"/>
    <n v="5.4673730437993617E-2"/>
    <n v="11320.451022815707"/>
    <n v="20973.837481431656"/>
    <n v="0"/>
    <n v="9.9804366397578299"/>
    <n v="8.8926411284027722"/>
  </r>
  <r>
    <x v="45"/>
    <x v="45"/>
    <n v="14744675"/>
    <x v="17"/>
    <n v="0"/>
    <n v="15234975.999999991"/>
    <n v="0"/>
    <m/>
    <n v="0"/>
    <m/>
    <n v="0"/>
    <m/>
    <n v="0"/>
    <m/>
    <n v="0"/>
    <n v="17835892.999999981"/>
    <n v="0"/>
    <n v="0"/>
    <m/>
    <n v="0"/>
    <m/>
    <n v="0"/>
    <m/>
    <n v="0"/>
    <n v="20017675.000000004"/>
    <n v="0"/>
    <n v="0"/>
    <n v="0"/>
    <n v="0"/>
    <n v="0"/>
    <n v="0"/>
    <s v=""/>
    <n v="0"/>
    <s v=""/>
    <n v="0"/>
    <s v=""/>
    <x v="0"/>
    <n v="0"/>
    <n v="0"/>
    <s v="No change"/>
    <n v="9.0528744101809888E-2"/>
    <n v="5.4673730437993617E-2"/>
    <n v="0"/>
    <n v="0"/>
    <n v="0"/>
    <n v="0"/>
    <n v="0"/>
  </r>
  <r>
    <x v="45"/>
    <x v="45"/>
    <n v="14744676"/>
    <x v="18"/>
    <n v="1126"/>
    <n v="15234975.999999991"/>
    <n v="0"/>
    <m/>
    <n v="0"/>
    <m/>
    <n v="0"/>
    <m/>
    <n v="0"/>
    <m/>
    <n v="0"/>
    <n v="17835892.999999981"/>
    <n v="1712"/>
    <n v="1712"/>
    <m/>
    <n v="2045"/>
    <m/>
    <n v="2506"/>
    <m/>
    <n v="3182"/>
    <n v="20017675.000000004"/>
    <n v="2235"/>
    <n v="1602"/>
    <n v="1126"/>
    <n v="2045"/>
    <n v="3182"/>
    <n v="1126"/>
    <n v="2012"/>
    <n v="1712"/>
    <n v="2018"/>
    <n v="2235"/>
    <n v="2022"/>
    <x v="0"/>
    <n v="2235"/>
    <n v="2235"/>
    <s v="Increasing"/>
    <n v="9.0528744101809888E-2"/>
    <n v="5.4673730437993617E-2"/>
    <n v="1018.7833570333555"/>
    <n v="1887.5393317933549"/>
    <n v="0.73908879147561546"/>
    <n v="0.95986222837286683"/>
    <n v="1.1165132813875736"/>
  </r>
  <r>
    <x v="45"/>
    <x v="45"/>
    <n v="14744677"/>
    <x v="19"/>
    <n v="3141"/>
    <n v="15234975.999999991"/>
    <n v="0"/>
    <m/>
    <n v="0"/>
    <m/>
    <n v="0"/>
    <m/>
    <n v="1814"/>
    <m/>
    <n v="0"/>
    <n v="17835892.999999981"/>
    <n v="3616"/>
    <n v="3616"/>
    <m/>
    <n v="4562"/>
    <m/>
    <n v="5544"/>
    <m/>
    <n v="8281"/>
    <n v="20017675.000000004"/>
    <n v="970"/>
    <n v="0"/>
    <n v="3141"/>
    <n v="4562"/>
    <n v="8281"/>
    <n v="3141"/>
    <n v="2012"/>
    <n v="3616"/>
    <n v="2018"/>
    <n v="970"/>
    <n v="2022"/>
    <x v="1"/>
    <n v="1114.8196849908027"/>
    <n v="3616"/>
    <s v="Decreasing"/>
    <n v="9.0528744101809888E-2"/>
    <n v="5.4673730437993617E-2"/>
    <n v="0"/>
    <n v="0"/>
    <n v="2.0617032806615527"/>
    <n v="2.0273725571239991"/>
    <n v="1.8064035908266067"/>
  </r>
  <r>
    <x v="45"/>
    <x v="45"/>
    <n v="14744678"/>
    <x v="20"/>
    <n v="485"/>
    <n v="15234975.999999991"/>
    <n v="0"/>
    <m/>
    <n v="0"/>
    <m/>
    <n v="0"/>
    <m/>
    <n v="432"/>
    <m/>
    <n v="0"/>
    <n v="17835892.999999981"/>
    <n v="739"/>
    <n v="739"/>
    <m/>
    <n v="864"/>
    <m/>
    <n v="1036"/>
    <m/>
    <n v="1324"/>
    <n v="20017675.000000004"/>
    <n v="1239"/>
    <n v="606"/>
    <n v="485"/>
    <n v="864"/>
    <n v="1324"/>
    <n v="485"/>
    <n v="2012"/>
    <n v="739"/>
    <n v="2018"/>
    <n v="1239"/>
    <n v="2022"/>
    <x v="0"/>
    <n v="1239"/>
    <n v="1327"/>
    <s v="Increasing"/>
    <n v="9.0528744101809888E-2"/>
    <n v="5.4673730437993617E-2"/>
    <n v="385.38246839089476"/>
    <n v="714.01300565965857"/>
    <n v="0.31834641551125537"/>
    <n v="0.41433305301842793"/>
    <n v="0.66291414962027295"/>
  </r>
  <r>
    <x v="45"/>
    <x v="45"/>
    <n v="14744679"/>
    <x v="21"/>
    <n v="0"/>
    <n v="15234975.999999991"/>
    <n v="0"/>
    <m/>
    <n v="0"/>
    <m/>
    <n v="0"/>
    <m/>
    <n v="0"/>
    <m/>
    <n v="0"/>
    <n v="17835892.999999981"/>
    <n v="0"/>
    <n v="0"/>
    <m/>
    <n v="0"/>
    <m/>
    <n v="0"/>
    <m/>
    <n v="0"/>
    <n v="20017675.000000004"/>
    <n v="0"/>
    <n v="0"/>
    <n v="0"/>
    <n v="0"/>
    <n v="0"/>
    <n v="0"/>
    <s v=""/>
    <n v="0"/>
    <s v=""/>
    <n v="0"/>
    <s v=""/>
    <x v="0"/>
    <n v="0"/>
    <n v="0"/>
    <s v="No change"/>
    <n v="9.0528744101809888E-2"/>
    <n v="5.4673730437993617E-2"/>
    <n v="0"/>
    <n v="0"/>
    <n v="0"/>
    <n v="0"/>
    <n v="0"/>
  </r>
  <r>
    <x v="45"/>
    <x v="45"/>
    <n v="14744680"/>
    <x v="22"/>
    <n v="0"/>
    <n v="15234975.999999991"/>
    <n v="0"/>
    <m/>
    <n v="0"/>
    <m/>
    <n v="0"/>
    <m/>
    <n v="0"/>
    <m/>
    <n v="0"/>
    <n v="17835892.999999981"/>
    <n v="0"/>
    <n v="0"/>
    <m/>
    <n v="0"/>
    <m/>
    <n v="0"/>
    <m/>
    <n v="0"/>
    <n v="20017675.000000004"/>
    <n v="2"/>
    <n v="0"/>
    <n v="0"/>
    <n v="0"/>
    <n v="2"/>
    <n v="0"/>
    <s v=""/>
    <n v="0"/>
    <s v=""/>
    <n v="2"/>
    <n v="2022"/>
    <x v="0"/>
    <n v="2"/>
    <n v="2"/>
    <s v="Increasing"/>
    <n v="9.0528744101809888E-2"/>
    <n v="5.4673730437993617E-2"/>
    <n v="0"/>
    <n v="0"/>
    <n v="0"/>
    <n v="0"/>
    <n v="9.9911703032445052E-4"/>
  </r>
  <r>
    <x v="45"/>
    <x v="45"/>
    <n v="14744681"/>
    <x v="23"/>
    <n v="0"/>
    <n v="15234975.999999991"/>
    <n v="0"/>
    <m/>
    <n v="0"/>
    <m/>
    <n v="0"/>
    <m/>
    <n v="0"/>
    <m/>
    <n v="0"/>
    <n v="17835892.999999981"/>
    <n v="0"/>
    <n v="0"/>
    <m/>
    <n v="0"/>
    <m/>
    <n v="0"/>
    <m/>
    <n v="0"/>
    <n v="20017675.000000004"/>
    <n v="0"/>
    <n v="0"/>
    <n v="0"/>
    <n v="0"/>
    <n v="0"/>
    <n v="0"/>
    <s v=""/>
    <n v="0"/>
    <s v=""/>
    <n v="0"/>
    <s v=""/>
    <x v="0"/>
    <n v="0"/>
    <n v="0"/>
    <s v="No change"/>
    <n v="9.0528744101809888E-2"/>
    <n v="5.4673730437993617E-2"/>
    <n v="0"/>
    <n v="0"/>
    <n v="0"/>
    <n v="0"/>
    <n v="0"/>
  </r>
  <r>
    <x v="46"/>
    <x v="46"/>
    <n v="13265331.000000002"/>
    <x v="0"/>
    <n v="2118"/>
    <n v="13555421.500000011"/>
    <n v="2228"/>
    <n v="13855753.000000004"/>
    <n v="3561"/>
    <n v="14154937"/>
    <n v="5462"/>
    <n v="14452704.499999994"/>
    <n v="5458"/>
    <n v="14751100.999999998"/>
    <n v="5734"/>
    <n v="15052184.000000007"/>
    <n v="6665"/>
    <n v="6665"/>
    <n v="15354607.5"/>
    <n v="0"/>
    <n v="15669665.999999998"/>
    <n v="5914"/>
    <n v="15993524.000000002"/>
    <n v="0"/>
    <n v="16320536.999999996"/>
    <n v="2703"/>
    <n v="1959"/>
    <n v="5462"/>
    <n v="6665"/>
    <n v="5914"/>
    <n v="2228"/>
    <n v="2013"/>
    <n v="6665"/>
    <n v="2018"/>
    <n v="2703"/>
    <n v="2022"/>
    <x v="1"/>
    <n v="3125.8162415202128"/>
    <n v="6665"/>
    <s v="Decreasing"/>
    <n v="8.5173735635071912E-2"/>
    <n v="0.17704702295875174"/>
    <n v="1279.6229456011358"/>
    <n v="3332.008275145773"/>
    <n v="1.6436228117288705"/>
    <n v="4.4279288640106955"/>
    <n v="4.0838117030095278"/>
  </r>
  <r>
    <x v="46"/>
    <x v="46"/>
    <n v="13265332"/>
    <x v="1"/>
    <n v="31072"/>
    <n v="13555421.500000011"/>
    <n v="37444"/>
    <m/>
    <n v="44810"/>
    <m/>
    <n v="41532"/>
    <m/>
    <n v="42747"/>
    <m/>
    <n v="59965"/>
    <n v="15052184.000000007"/>
    <n v="67752"/>
    <n v="67752"/>
    <m/>
    <n v="0"/>
    <m/>
    <n v="44998"/>
    <m/>
    <n v="0"/>
    <n v="16320536.999999996"/>
    <n v="46537"/>
    <n v="25835"/>
    <n v="44810"/>
    <n v="67752"/>
    <n v="46537"/>
    <n v="37444"/>
    <n v="2013"/>
    <n v="67752"/>
    <n v="2018"/>
    <n v="46537"/>
    <n v="2022"/>
    <x v="1"/>
    <n v="53816.54104018725"/>
    <n v="67752"/>
    <s v="Decreasing"/>
    <n v="8.5173735635071912E-2"/>
    <n v="0.17704702295875174"/>
    <n v="16875.476671569853"/>
    <n v="43942.028477994405"/>
    <n v="27.622896123148934"/>
    <n v="45.01140831124571"/>
    <n v="41.513339910322813"/>
  </r>
  <r>
    <x v="46"/>
    <x v="46"/>
    <n v="13265333"/>
    <x v="2"/>
    <n v="0"/>
    <n v="13555421.500000011"/>
    <n v="0"/>
    <m/>
    <n v="0"/>
    <m/>
    <n v="0"/>
    <m/>
    <n v="0"/>
    <m/>
    <n v="17612"/>
    <n v="15052184.000000007"/>
    <n v="0"/>
    <n v="854"/>
    <m/>
    <n v="0"/>
    <m/>
    <n v="18586"/>
    <m/>
    <n v="0"/>
    <n v="16320536.999999996"/>
    <n v="9601"/>
    <n v="854"/>
    <n v="0"/>
    <n v="17612"/>
    <n v="18586"/>
    <n v="0"/>
    <s v=""/>
    <n v="854"/>
    <s v="2018 (triag)"/>
    <n v="9601"/>
    <n v="2022"/>
    <x v="0"/>
    <n v="9601"/>
    <n v="9601"/>
    <s v="Increasing"/>
    <n v="8.5173735635071912E-2"/>
    <n v="0.17704702295875174"/>
    <n v="557.83460721968868"/>
    <n v="1452.5446998338386"/>
    <n v="0"/>
    <n v="0.56735952736161055"/>
    <n v="5.8827721171184519"/>
  </r>
  <r>
    <x v="46"/>
    <x v="46"/>
    <n v="13265334"/>
    <x v="3"/>
    <n v="51"/>
    <n v="13555421.500000011"/>
    <n v="0"/>
    <m/>
    <n v="0"/>
    <m/>
    <n v="394"/>
    <m/>
    <n v="0"/>
    <m/>
    <n v="0"/>
    <n v="15052184.000000007"/>
    <n v="0"/>
    <n v="776"/>
    <m/>
    <n v="0"/>
    <m/>
    <n v="351"/>
    <m/>
    <n v="0"/>
    <n v="16320536.999999996"/>
    <n v="0"/>
    <n v="776"/>
    <n v="394"/>
    <n v="0"/>
    <n v="351"/>
    <n v="51"/>
    <n v="2012"/>
    <n v="776"/>
    <s v="2018 (triag)"/>
    <n v="351"/>
    <n v="2020"/>
    <x v="1"/>
    <n v="405.90510572460033"/>
    <n v="776"/>
    <s v="Decreasing"/>
    <n v="8.5173735635071912E-2"/>
    <n v="0.17704702295875174"/>
    <n v="506.88484215746882"/>
    <n v="1319.8766827529962"/>
    <n v="3.7623322889664447E-2"/>
    <n v="0.51553980472202543"/>
    <n v="0.47547455086802609"/>
  </r>
  <r>
    <x v="46"/>
    <x v="46"/>
    <n v="13265335"/>
    <x v="4"/>
    <n v="30"/>
    <n v="13555421.500000011"/>
    <n v="0"/>
    <m/>
    <n v="0"/>
    <m/>
    <n v="236"/>
    <m/>
    <n v="0"/>
    <m/>
    <n v="0"/>
    <n v="15052184.000000007"/>
    <n v="0"/>
    <n v="347"/>
    <m/>
    <n v="0"/>
    <m/>
    <n v="38"/>
    <m/>
    <n v="0"/>
    <n v="16320536.999999996"/>
    <n v="201"/>
    <n v="347"/>
    <n v="236"/>
    <n v="0"/>
    <n v="201"/>
    <n v="30"/>
    <n v="2012"/>
    <n v="347"/>
    <s v="2018 (triag)"/>
    <n v="201"/>
    <n v="2022"/>
    <x v="1"/>
    <n v="232.44138532947198"/>
    <n v="514"/>
    <s v="Decreasing"/>
    <n v="8.5173735635071912E-2"/>
    <n v="0.17704702295875174"/>
    <n v="226.66113431525991"/>
    <n v="590.20258880836298"/>
    <n v="2.2131366405684968E-2"/>
    <n v="0.23053133020430777"/>
    <n v="0.31494061745639873"/>
  </r>
  <r>
    <x v="46"/>
    <x v="46"/>
    <n v="13265336"/>
    <x v="5"/>
    <n v="0"/>
    <n v="13555421.500000011"/>
    <n v="0"/>
    <m/>
    <n v="0"/>
    <m/>
    <n v="11200"/>
    <m/>
    <n v="0"/>
    <m/>
    <n v="15000"/>
    <n v="15052184.000000007"/>
    <n v="15888"/>
    <n v="15888"/>
    <m/>
    <n v="0"/>
    <m/>
    <n v="0"/>
    <m/>
    <n v="0"/>
    <n v="16320536.999999996"/>
    <n v="19722"/>
    <n v="2143"/>
    <n v="11200"/>
    <n v="15888"/>
    <n v="19722"/>
    <n v="11200"/>
    <n v="2015"/>
    <n v="15888"/>
    <n v="2018"/>
    <n v="19722"/>
    <n v="2022"/>
    <x v="0"/>
    <n v="19722"/>
    <n v="19722"/>
    <s v="Increasing"/>
    <n v="8.5173735635071912E-2"/>
    <n v="0.17704702295875174"/>
    <n v="1399.81213497868"/>
    <n v="3644.9687256954526"/>
    <n v="8.262376791455722"/>
    <n v="10.555278888432397"/>
    <n v="12.084161201313416"/>
  </r>
  <r>
    <x v="46"/>
    <x v="46"/>
    <n v="13265337"/>
    <x v="6"/>
    <n v="0"/>
    <n v="13555421.500000011"/>
    <n v="0"/>
    <m/>
    <n v="0"/>
    <m/>
    <n v="845"/>
    <m/>
    <n v="0"/>
    <m/>
    <n v="0"/>
    <n v="15052184.000000007"/>
    <n v="0"/>
    <n v="0"/>
    <m/>
    <n v="0"/>
    <m/>
    <n v="0"/>
    <m/>
    <n v="0"/>
    <n v="16320536.999999996"/>
    <n v="280"/>
    <n v="0"/>
    <n v="845"/>
    <n v="0"/>
    <n v="280"/>
    <n v="845"/>
    <n v="2015"/>
    <n v="0"/>
    <s v=""/>
    <n v="280"/>
    <n v="2022"/>
    <x v="0"/>
    <n v="280"/>
    <n v="280"/>
    <s v="Increasing"/>
    <n v="8.5173735635071912E-2"/>
    <n v="0.17704702295875174"/>
    <n v="0"/>
    <n v="0"/>
    <n v="0.62336682042679326"/>
    <n v="0"/>
    <n v="0.17156298227196817"/>
  </r>
  <r>
    <x v="46"/>
    <x v="46"/>
    <n v="13265338"/>
    <x v="7"/>
    <n v="0"/>
    <n v="13555421.500000011"/>
    <n v="0"/>
    <m/>
    <n v="0"/>
    <m/>
    <n v="1885"/>
    <m/>
    <n v="0"/>
    <m/>
    <n v="0"/>
    <n v="15052184.000000007"/>
    <n v="0"/>
    <n v="1644"/>
    <m/>
    <n v="0"/>
    <m/>
    <n v="91"/>
    <m/>
    <n v="0"/>
    <n v="16320536.999999996"/>
    <n v="2684"/>
    <n v="1644"/>
    <n v="1885"/>
    <n v="0"/>
    <n v="2684"/>
    <n v="1885"/>
    <n v="2015"/>
    <n v="1644"/>
    <s v="2018 (triag)"/>
    <n v="2684"/>
    <n v="2022"/>
    <x v="0"/>
    <n v="2684"/>
    <n v="2684"/>
    <s v="Increasing"/>
    <n v="8.5173735635071912E-2"/>
    <n v="0.17704702295875174"/>
    <n v="1073.8642790037097"/>
    <n v="2796.2335907808324"/>
    <n v="1.3905875224905389"/>
    <n v="1.0922003079420231"/>
    <n v="1.644553730064152"/>
  </r>
  <r>
    <x v="46"/>
    <x v="46"/>
    <n v="13265339"/>
    <x v="8"/>
    <n v="0"/>
    <n v="13555421.500000011"/>
    <n v="0"/>
    <m/>
    <n v="0"/>
    <m/>
    <n v="0"/>
    <m/>
    <n v="551"/>
    <m/>
    <n v="607"/>
    <n v="15052184.000000007"/>
    <n v="2021"/>
    <n v="2115"/>
    <m/>
    <n v="0"/>
    <m/>
    <n v="0"/>
    <m/>
    <n v="0"/>
    <n v="16320536.999999996"/>
    <n v="0"/>
    <n v="2115"/>
    <n v="0"/>
    <n v="2021"/>
    <n v="0"/>
    <n v="0"/>
    <s v=""/>
    <n v="2115"/>
    <s v="2018 (triag)"/>
    <n v="2115"/>
    <s v="2018 (triag)"/>
    <x v="0"/>
    <n v="2115"/>
    <n v="2115"/>
    <s v="No change"/>
    <n v="8.5173735635071912E-2"/>
    <n v="0.17704702295875174"/>
    <n v="1381.5224757255755"/>
    <n v="3597.3443093074575"/>
    <n v="0"/>
    <n v="1.405111710034902"/>
    <n v="1.2959132410900454"/>
  </r>
  <r>
    <x v="46"/>
    <x v="46"/>
    <n v="13265340"/>
    <x v="9"/>
    <n v="0"/>
    <n v="13555421.500000011"/>
    <n v="0"/>
    <m/>
    <n v="229"/>
    <m/>
    <n v="270"/>
    <m/>
    <n v="257"/>
    <m/>
    <n v="451"/>
    <n v="15052184.000000007"/>
    <n v="414"/>
    <n v="414"/>
    <m/>
    <n v="0"/>
    <m/>
    <n v="0"/>
    <m/>
    <n v="0"/>
    <n v="16320536.999999996"/>
    <n v="0"/>
    <n v="327"/>
    <n v="270"/>
    <n v="451"/>
    <n v="0"/>
    <n v="229"/>
    <n v="2014"/>
    <n v="414"/>
    <n v="2018"/>
    <n v="414"/>
    <n v="2018"/>
    <x v="0"/>
    <n v="414"/>
    <n v="414"/>
    <s v="No change"/>
    <n v="8.5173735635071912E-2"/>
    <n v="0.17704702295875174"/>
    <n v="213.59709199161381"/>
    <n v="556.18514853122394"/>
    <n v="0.16893609689672859"/>
    <n v="0.27504314324087442"/>
    <n v="0.25366812378783865"/>
  </r>
  <r>
    <x v="46"/>
    <x v="46"/>
    <n v="13265341"/>
    <x v="10"/>
    <n v="27"/>
    <n v="13555421.500000011"/>
    <n v="26"/>
    <m/>
    <n v="26"/>
    <m/>
    <n v="0"/>
    <m/>
    <n v="17"/>
    <m/>
    <n v="0"/>
    <n v="15052184.000000007"/>
    <n v="40"/>
    <n v="40"/>
    <m/>
    <n v="25"/>
    <m/>
    <n v="0"/>
    <m/>
    <n v="0"/>
    <n v="16320536.999999996"/>
    <n v="318"/>
    <n v="10"/>
    <n v="27"/>
    <n v="40"/>
    <n v="318"/>
    <n v="26"/>
    <n v="2013"/>
    <n v="40"/>
    <n v="2018"/>
    <n v="318"/>
    <n v="2022"/>
    <x v="0"/>
    <n v="318"/>
    <n v="318"/>
    <s v="Increasing"/>
    <n v="8.5173735635071912E-2"/>
    <n v="0.17704702295875174"/>
    <n v="6.5320211618230521"/>
    <n v="17.00872013856954"/>
    <n v="1.918051755159364E-2"/>
    <n v="2.6574216738248734E-2"/>
    <n v="0.194846529866021"/>
  </r>
  <r>
    <x v="46"/>
    <x v="46"/>
    <n v="13265342"/>
    <x v="11"/>
    <n v="352"/>
    <n v="13555421.500000011"/>
    <n v="343"/>
    <m/>
    <n v="0"/>
    <m/>
    <n v="0"/>
    <m/>
    <n v="0"/>
    <m/>
    <n v="0"/>
    <n v="15052184.000000007"/>
    <n v="644"/>
    <n v="644"/>
    <m/>
    <n v="0"/>
    <m/>
    <n v="0"/>
    <m/>
    <n v="0"/>
    <n v="16320536.999999996"/>
    <n v="757"/>
    <n v="368"/>
    <n v="352"/>
    <n v="644"/>
    <n v="757"/>
    <n v="343"/>
    <n v="2013"/>
    <n v="644"/>
    <n v="2018"/>
    <n v="757"/>
    <n v="2022"/>
    <x v="0"/>
    <n v="757"/>
    <n v="757"/>
    <s v="Increasing"/>
    <n v="8.5173735635071912E-2"/>
    <n v="0.17704702295875174"/>
    <n v="240.37837875508831"/>
    <n v="625.92090109935907"/>
    <n v="0.25303528923833146"/>
    <n v="0.42784488948580462"/>
    <n v="0.46383277707099968"/>
  </r>
  <r>
    <x v="46"/>
    <x v="46"/>
    <n v="13265343"/>
    <x v="12"/>
    <n v="0"/>
    <n v="13555421.500000011"/>
    <n v="0"/>
    <m/>
    <n v="0"/>
    <m/>
    <n v="0"/>
    <m/>
    <n v="0"/>
    <m/>
    <n v="0"/>
    <n v="15052184.000000007"/>
    <n v="164"/>
    <n v="164"/>
    <m/>
    <n v="0"/>
    <m/>
    <n v="0"/>
    <m/>
    <n v="0"/>
    <n v="16320536.999999996"/>
    <n v="0"/>
    <n v="76"/>
    <n v="0"/>
    <n v="164"/>
    <n v="0"/>
    <n v="0"/>
    <s v=""/>
    <n v="164"/>
    <n v="2018"/>
    <n v="164"/>
    <n v="2018"/>
    <x v="0"/>
    <n v="164"/>
    <n v="164"/>
    <s v="No change"/>
    <n v="8.5173735635071912E-2"/>
    <n v="0.17704702295875174"/>
    <n v="49.643360829855197"/>
    <n v="129.26627305312851"/>
    <n v="0"/>
    <n v="0.10895428862681981"/>
    <n v="0.10048688961643851"/>
  </r>
  <r>
    <x v="46"/>
    <x v="46"/>
    <n v="13265344"/>
    <x v="13"/>
    <n v="233"/>
    <n v="13555421.500000011"/>
    <n v="239"/>
    <m/>
    <n v="312"/>
    <m/>
    <n v="511"/>
    <m/>
    <n v="320"/>
    <m/>
    <n v="417"/>
    <n v="15052184.000000007"/>
    <n v="480"/>
    <n v="480"/>
    <m/>
    <n v="0"/>
    <m/>
    <n v="0"/>
    <m/>
    <n v="0"/>
    <n v="16320536.999999996"/>
    <n v="376"/>
    <n v="412"/>
    <n v="511"/>
    <n v="480"/>
    <n v="376"/>
    <n v="239"/>
    <n v="2013"/>
    <n v="480"/>
    <n v="2018"/>
    <n v="376"/>
    <n v="2022"/>
    <x v="1"/>
    <n v="434.81572579045508"/>
    <n v="480"/>
    <s v="Decreasing"/>
    <n v="8.5173735635071912E-2"/>
    <n v="0.17704702295875174"/>
    <n v="269.11927186710972"/>
    <n v="700.75926970906505"/>
    <n v="0.17631321903195693"/>
    <n v="0.3188906008589848"/>
    <n v="0.2941079696090883"/>
  </r>
  <r>
    <x v="46"/>
    <x v="46"/>
    <n v="13265345"/>
    <x v="14"/>
    <n v="0"/>
    <n v="13555421.500000011"/>
    <n v="0"/>
    <m/>
    <n v="0"/>
    <m/>
    <n v="0"/>
    <m/>
    <n v="678"/>
    <m/>
    <n v="605"/>
    <n v="15052184.000000007"/>
    <n v="703"/>
    <n v="718"/>
    <m/>
    <n v="0"/>
    <m/>
    <n v="0"/>
    <m/>
    <n v="0"/>
    <n v="16320536.999999996"/>
    <n v="0"/>
    <n v="718"/>
    <n v="0"/>
    <n v="703"/>
    <n v="0"/>
    <n v="0"/>
    <s v=""/>
    <n v="718"/>
    <s v="2018 (triag)"/>
    <n v="718"/>
    <s v="2018 (triag)"/>
    <x v="0"/>
    <n v="718"/>
    <n v="718"/>
    <s v="No change"/>
    <n v="8.5173735635071912E-2"/>
    <n v="0.17704702295875174"/>
    <n v="468.99911941889513"/>
    <n v="1221.226105949293"/>
    <n v="0"/>
    <n v="0.47700719045156481"/>
    <n v="0.43993650454026123"/>
  </r>
  <r>
    <x v="46"/>
    <x v="46"/>
    <n v="13265346"/>
    <x v="15"/>
    <n v="0"/>
    <n v="13555421.500000011"/>
    <n v="0"/>
    <m/>
    <n v="0"/>
    <m/>
    <n v="0"/>
    <m/>
    <n v="13"/>
    <m/>
    <n v="20"/>
    <n v="15052184.000000007"/>
    <n v="20"/>
    <n v="20"/>
    <m/>
    <n v="0"/>
    <m/>
    <n v="0"/>
    <m/>
    <n v="0"/>
    <n v="16320536.999999996"/>
    <n v="0"/>
    <n v="0"/>
    <n v="0"/>
    <n v="20"/>
    <n v="0"/>
    <n v="0"/>
    <s v=""/>
    <n v="20"/>
    <n v="2017"/>
    <n v="20"/>
    <n v="2017"/>
    <x v="0"/>
    <n v="20"/>
    <n v="20"/>
    <s v="No change"/>
    <n v="8.5173735635071912E-2"/>
    <n v="0.17704702295875174"/>
    <n v="0"/>
    <n v="0"/>
    <n v="0"/>
    <n v="1.3287108369124367E-2"/>
    <n v="1.2254498733712012E-2"/>
  </r>
  <r>
    <x v="46"/>
    <x v="46"/>
    <n v="13265347"/>
    <x v="16"/>
    <n v="0"/>
    <n v="13555421.500000011"/>
    <n v="0"/>
    <m/>
    <n v="0"/>
    <m/>
    <n v="0"/>
    <m/>
    <n v="0"/>
    <m/>
    <n v="1733"/>
    <n v="15052184.000000007"/>
    <n v="0"/>
    <n v="9502"/>
    <m/>
    <n v="0"/>
    <m/>
    <n v="0"/>
    <m/>
    <n v="0"/>
    <n v="16320536.999999996"/>
    <n v="0"/>
    <n v="9502"/>
    <n v="0"/>
    <n v="1733"/>
    <n v="0"/>
    <n v="0"/>
    <s v=""/>
    <n v="9502"/>
    <s v="2018 (triag)"/>
    <n v="9502"/>
    <s v="2018 (triag)"/>
    <x v="0"/>
    <n v="9502"/>
    <n v="9502"/>
    <s v="No change"/>
    <n v="8.5173735635071912E-2"/>
    <n v="0.17704702295875174"/>
    <n v="6206.7265079642639"/>
    <n v="16161.685875668776"/>
    <n v="0"/>
    <n v="6.3127051861709873"/>
    <n v="5.8221123483865771"/>
  </r>
  <r>
    <x v="46"/>
    <x v="46"/>
    <n v="13265348"/>
    <x v="17"/>
    <n v="0"/>
    <n v="13555421.500000011"/>
    <n v="0"/>
    <m/>
    <n v="0"/>
    <m/>
    <n v="0"/>
    <m/>
    <n v="0"/>
    <m/>
    <n v="0"/>
    <n v="15052184.000000007"/>
    <n v="0"/>
    <n v="1122"/>
    <m/>
    <n v="0"/>
    <m/>
    <n v="0"/>
    <m/>
    <n v="0"/>
    <n v="16320536.999999996"/>
    <n v="0"/>
    <n v="1122"/>
    <n v="0"/>
    <n v="0"/>
    <n v="0"/>
    <n v="0"/>
    <s v=""/>
    <n v="1122"/>
    <s v="2018 (triag)"/>
    <n v="1122"/>
    <s v="2018 (triag)"/>
    <x v="0"/>
    <n v="1122"/>
    <n v="1122"/>
    <s v="No change"/>
    <n v="8.5173735635071912E-2"/>
    <n v="0.17704702295875174"/>
    <n v="732.8927743565464"/>
    <n v="1908.3783995475023"/>
    <n v="0"/>
    <n v="0.74540677950787704"/>
    <n v="0.68747737896124395"/>
  </r>
  <r>
    <x v="46"/>
    <x v="46"/>
    <n v="13265349"/>
    <x v="18"/>
    <n v="0"/>
    <n v="13555421.500000011"/>
    <n v="0"/>
    <m/>
    <n v="519"/>
    <m/>
    <n v="644"/>
    <m/>
    <n v="600"/>
    <m/>
    <n v="781"/>
    <n v="15052184.000000007"/>
    <n v="1126"/>
    <n v="1126"/>
    <m/>
    <n v="0"/>
    <m/>
    <n v="0"/>
    <m/>
    <n v="0"/>
    <n v="16320536.999999996"/>
    <n v="795"/>
    <n v="648"/>
    <n v="644"/>
    <n v="1126"/>
    <n v="795"/>
    <n v="519"/>
    <n v="2014"/>
    <n v="1126"/>
    <n v="2018"/>
    <n v="795"/>
    <n v="2022"/>
    <x v="1"/>
    <n v="919.35771809418031"/>
    <n v="1126"/>
    <s v="Decreasing"/>
    <n v="8.5173735635071912E-2"/>
    <n v="0.17704702295875174"/>
    <n v="423.27497128613379"/>
    <n v="1102.1650649793062"/>
    <n v="0.38287263881834999"/>
    <n v="0.74806420118170192"/>
    <n v="0.68992827870798634"/>
  </r>
  <r>
    <x v="46"/>
    <x v="46"/>
    <n v="13265350"/>
    <x v="19"/>
    <n v="0"/>
    <n v="13555421.500000011"/>
    <n v="0"/>
    <m/>
    <n v="145"/>
    <m/>
    <n v="0"/>
    <m/>
    <n v="130"/>
    <m/>
    <n v="174"/>
    <n v="15052184.000000007"/>
    <n v="0"/>
    <n v="1094"/>
    <m/>
    <n v="0"/>
    <m/>
    <n v="0"/>
    <m/>
    <n v="0"/>
    <n v="16320536.999999996"/>
    <n v="0"/>
    <n v="1094"/>
    <n v="145"/>
    <n v="174"/>
    <n v="0"/>
    <n v="145"/>
    <n v="2014"/>
    <n v="1094"/>
    <s v="2018 (triag)"/>
    <n v="1094"/>
    <s v="2018 (triag)"/>
    <x v="0"/>
    <n v="1094"/>
    <n v="1094"/>
    <s v="No change"/>
    <n v="8.5173735635071912E-2"/>
    <n v="0.17704702295875174"/>
    <n v="714.60311510344184"/>
    <n v="1860.7539831595077"/>
    <n v="0.10696827096081069"/>
    <n v="0.72680482779110289"/>
    <n v="0.67032108073404706"/>
  </r>
  <r>
    <x v="46"/>
    <x v="46"/>
    <n v="13265351"/>
    <x v="20"/>
    <n v="377"/>
    <n v="13555421.500000011"/>
    <n v="419"/>
    <m/>
    <n v="413"/>
    <m/>
    <n v="472"/>
    <m/>
    <n v="432"/>
    <m/>
    <n v="503"/>
    <n v="15052184.000000007"/>
    <n v="688"/>
    <n v="688"/>
    <m/>
    <n v="0"/>
    <m/>
    <n v="0"/>
    <m/>
    <n v="0"/>
    <n v="16320536.999999996"/>
    <n v="957"/>
    <n v="459"/>
    <n v="472"/>
    <n v="688"/>
    <n v="957"/>
    <n v="419"/>
    <n v="2013"/>
    <n v="688"/>
    <n v="2018"/>
    <n v="957"/>
    <n v="2022"/>
    <x v="0"/>
    <n v="957"/>
    <n v="957"/>
    <s v="Increasing"/>
    <n v="8.5173735635071912E-2"/>
    <n v="0.17704702295875174"/>
    <n v="299.8197713276781"/>
    <n v="780.70025436034189"/>
    <n v="0.30910141746606673"/>
    <n v="0.45707652789787823"/>
    <n v="0.58637776440811984"/>
  </r>
  <r>
    <x v="46"/>
    <x v="46"/>
    <n v="13265352"/>
    <x v="21"/>
    <n v="0"/>
    <n v="13555421.500000011"/>
    <n v="0"/>
    <m/>
    <n v="0"/>
    <m/>
    <n v="0"/>
    <m/>
    <n v="0"/>
    <m/>
    <n v="0"/>
    <n v="15052184.000000007"/>
    <n v="12"/>
    <n v="12"/>
    <m/>
    <n v="0"/>
    <m/>
    <n v="0"/>
    <m/>
    <n v="0"/>
    <n v="16320536.999999996"/>
    <n v="84"/>
    <n v="0"/>
    <n v="0"/>
    <n v="12"/>
    <n v="84"/>
    <n v="0"/>
    <s v=""/>
    <n v="12"/>
    <n v="2018"/>
    <n v="84"/>
    <n v="2022"/>
    <x v="0"/>
    <n v="84"/>
    <n v="84"/>
    <s v="Increasing"/>
    <n v="8.5173735635071912E-2"/>
    <n v="0.17704702295875174"/>
    <n v="0"/>
    <n v="0"/>
    <n v="0"/>
    <n v="7.9722650214746199E-3"/>
    <n v="5.1468894681590452E-2"/>
  </r>
  <r>
    <x v="46"/>
    <x v="46"/>
    <n v="13265353"/>
    <x v="22"/>
    <n v="0"/>
    <n v="13555421.500000011"/>
    <n v="0"/>
    <m/>
    <n v="0"/>
    <m/>
    <n v="0"/>
    <m/>
    <n v="0"/>
    <m/>
    <n v="0"/>
    <n v="15052184.000000007"/>
    <n v="0"/>
    <n v="0"/>
    <m/>
    <n v="0"/>
    <m/>
    <n v="0"/>
    <m/>
    <n v="0"/>
    <n v="16320536.999999996"/>
    <n v="22"/>
    <n v="0"/>
    <n v="0"/>
    <n v="0"/>
    <n v="22"/>
    <n v="0"/>
    <s v=""/>
    <n v="0"/>
    <s v=""/>
    <n v="22"/>
    <n v="2022"/>
    <x v="0"/>
    <n v="22"/>
    <n v="22"/>
    <s v="Increasing"/>
    <n v="8.5173735635071912E-2"/>
    <n v="0.17704702295875174"/>
    <n v="0"/>
    <n v="0"/>
    <n v="0"/>
    <n v="0"/>
    <n v="1.3479948607083214E-2"/>
  </r>
  <r>
    <x v="46"/>
    <x v="46"/>
    <n v="13265354"/>
    <x v="23"/>
    <n v="0"/>
    <n v="13555421.500000011"/>
    <n v="0"/>
    <m/>
    <n v="0"/>
    <m/>
    <n v="0"/>
    <m/>
    <n v="0"/>
    <m/>
    <n v="596"/>
    <n v="15052184.000000007"/>
    <n v="1215"/>
    <n v="1215"/>
    <m/>
    <n v="0"/>
    <m/>
    <n v="0"/>
    <m/>
    <n v="0"/>
    <n v="16320536.999999996"/>
    <n v="0"/>
    <n v="5"/>
    <n v="0"/>
    <n v="1215"/>
    <n v="0"/>
    <n v="0"/>
    <s v=""/>
    <n v="1215"/>
    <n v="2018"/>
    <n v="1215"/>
    <n v="2018"/>
    <x v="0"/>
    <n v="1215"/>
    <n v="1215"/>
    <s v="No change"/>
    <n v="8.5173735635071912E-2"/>
    <n v="0.17704702295875174"/>
    <n v="3.2660105809115261"/>
    <n v="8.5043600692847701"/>
    <n v="0"/>
    <n v="0.80719183342430534"/>
    <n v="0.744460798073004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1">
  <r>
    <x v="0"/>
    <s v="AGO"/>
    <n v="25188292.499999996"/>
    <x v="0"/>
    <n v="0"/>
    <n v="26147002.000000011"/>
    <n v="0"/>
    <m/>
    <n v="0"/>
    <m/>
    <n v="0"/>
    <m/>
    <n v="0"/>
    <m/>
    <n v="0"/>
    <n v="31273533.000000004"/>
    <n v="1680"/>
    <n v="1680"/>
    <m/>
    <n v="0"/>
    <m/>
    <n v="2652"/>
    <m/>
    <n v="0"/>
    <n v="35588987.00000003"/>
    <n v="5"/>
    <n v="1680"/>
    <n v="0"/>
    <n v="1680"/>
    <n v="2652"/>
    <x v="0"/>
    <s v=""/>
    <n v="1680"/>
    <n v="2018"/>
    <n v="5"/>
    <n v="2022"/>
    <x v="0"/>
    <n v="7.414851832045585"/>
    <n v="1680"/>
    <s v="Decreasing"/>
    <n v="0.3113441654036182"/>
    <n v="5.4673730437993617E-2"/>
    <n v="354.18814159330685"/>
    <n v="1979.4419958881626"/>
    <x v="0"/>
    <n v="0.53719546173436805"/>
    <n v="2.0834680773705585E-3"/>
  </r>
  <r>
    <x v="0"/>
    <s v="AGO"/>
    <n v="25188292.499999996"/>
    <x v="1"/>
    <n v="85"/>
    <n v="26147002.000000011"/>
    <n v="0"/>
    <m/>
    <n v="0"/>
    <m/>
    <n v="870"/>
    <m/>
    <n v="32"/>
    <m/>
    <n v="0"/>
    <n v="31273533.000000004"/>
    <n v="4"/>
    <n v="4"/>
    <m/>
    <n v="0"/>
    <m/>
    <n v="57"/>
    <m/>
    <n v="0"/>
    <n v="35588987.00000003"/>
    <n v="197"/>
    <n v="0"/>
    <n v="870"/>
    <n v="32"/>
    <n v="197"/>
    <x v="1"/>
    <n v="2012"/>
    <n v="4"/>
    <n v="2018"/>
    <n v="197"/>
    <n v="2022"/>
    <x v="1"/>
    <n v="197"/>
    <n v="197"/>
    <s v="Increasing"/>
    <n v="0.3113441654036182"/>
    <n v="5.4673730437993617E-2"/>
    <n v="0"/>
    <n v="0"/>
    <x v="1"/>
    <n v="1.2790368136532573E-3"/>
    <n v="5.5354202691973178E-2"/>
  </r>
  <r>
    <x v="0"/>
    <s v="AGO"/>
    <n v="25188292.499999996"/>
    <x v="2"/>
    <n v="517"/>
    <n v="26147002.000000011"/>
    <n v="0"/>
    <m/>
    <n v="0"/>
    <m/>
    <n v="0"/>
    <m/>
    <n v="177"/>
    <m/>
    <n v="0"/>
    <n v="31273533.000000004"/>
    <n v="411"/>
    <n v="657"/>
    <m/>
    <n v="0"/>
    <m/>
    <n v="236"/>
    <m/>
    <n v="0"/>
    <n v="35588987.00000003"/>
    <n v="10"/>
    <n v="657"/>
    <n v="517"/>
    <n v="411"/>
    <n v="236"/>
    <x v="2"/>
    <n v="2012"/>
    <n v="657"/>
    <s v="2018 (triag)"/>
    <n v="10"/>
    <n v="2022"/>
    <x v="0"/>
    <n v="14.82970366409117"/>
    <n v="657"/>
    <s v="Decreasing"/>
    <n v="0.3113441654036182"/>
    <n v="5.4673730437993617E-2"/>
    <n v="138.51286251595391"/>
    <n v="774.10320910626353"/>
    <x v="2"/>
    <n v="0.21008179664254753"/>
    <n v="4.166936154741117E-3"/>
  </r>
  <r>
    <x v="0"/>
    <s v="AGO"/>
    <n v="25188292.499999996"/>
    <x v="3"/>
    <n v="0"/>
    <n v="26147002.000000011"/>
    <n v="0"/>
    <m/>
    <n v="0"/>
    <m/>
    <n v="0"/>
    <m/>
    <n v="0"/>
    <m/>
    <n v="0"/>
    <n v="31273533.000000004"/>
    <n v="0"/>
    <n v="0"/>
    <m/>
    <n v="0"/>
    <m/>
    <n v="0"/>
    <m/>
    <n v="0"/>
    <n v="35588987.00000003"/>
    <n v="0"/>
    <n v="0"/>
    <n v="0"/>
    <n v="0"/>
    <n v="0"/>
    <x v="0"/>
    <s v=""/>
    <m/>
    <s v=""/>
    <n v="0"/>
    <s v=""/>
    <x v="1"/>
    <m/>
    <n v="0"/>
    <s v="No change"/>
    <n v="0.3113441654036182"/>
    <n v="5.4673730437993617E-2"/>
    <n v="0"/>
    <n v="0"/>
    <x v="0"/>
    <n v="0"/>
    <n v="0"/>
  </r>
  <r>
    <x v="0"/>
    <s v="AGO"/>
    <n v="25188292.499999996"/>
    <x v="4"/>
    <n v="0"/>
    <n v="26147002.000000011"/>
    <n v="0"/>
    <m/>
    <n v="0"/>
    <m/>
    <n v="0"/>
    <m/>
    <n v="0"/>
    <m/>
    <n v="0"/>
    <n v="31273533.000000004"/>
    <n v="0"/>
    <n v="328"/>
    <m/>
    <n v="0"/>
    <m/>
    <n v="0"/>
    <m/>
    <n v="0"/>
    <n v="35588987.00000003"/>
    <n v="2072"/>
    <n v="328"/>
    <n v="0"/>
    <n v="0"/>
    <n v="2072"/>
    <x v="0"/>
    <s v=""/>
    <n v="328"/>
    <s v="2018 (triag)"/>
    <n v="2072"/>
    <n v="2022"/>
    <x v="1"/>
    <n v="2072"/>
    <n v="2072"/>
    <s v="Increasing"/>
    <n v="0.3113441654036182"/>
    <n v="5.4673730437993617E-2"/>
    <n v="69.151018120597996"/>
    <n v="386.46248491149839"/>
    <x v="0"/>
    <n v="0.10488101871956711"/>
    <n v="0.58220257856735236"/>
  </r>
  <r>
    <x v="0"/>
    <s v="AGO"/>
    <n v="25188292.499999996"/>
    <x v="5"/>
    <n v="0"/>
    <n v="26147002.000000011"/>
    <n v="0"/>
    <m/>
    <n v="0"/>
    <m/>
    <n v="0"/>
    <m/>
    <n v="0"/>
    <m/>
    <n v="0"/>
    <n v="31273533.000000004"/>
    <n v="0"/>
    <n v="75"/>
    <m/>
    <n v="0"/>
    <m/>
    <n v="0"/>
    <m/>
    <n v="0"/>
    <n v="35588987.00000003"/>
    <n v="0"/>
    <n v="75"/>
    <n v="0"/>
    <n v="0"/>
    <n v="0"/>
    <x v="0"/>
    <s v=""/>
    <n v="75"/>
    <s v="2018 (triag)"/>
    <n v="75"/>
    <s v="2018 (triag)"/>
    <x v="1"/>
    <n v="75"/>
    <n v="75"/>
    <s v="No change"/>
    <n v="0.3113441654036182"/>
    <n v="5.4673730437993617E-2"/>
    <n v="15.811970606844055"/>
    <n v="88.367946245007261"/>
    <x v="0"/>
    <n v="2.3981940255998577E-2"/>
    <n v="2.107393503501517E-2"/>
  </r>
  <r>
    <x v="0"/>
    <s v="AGO"/>
    <n v="25188292.499999996"/>
    <x v="6"/>
    <n v="0"/>
    <n v="26147002.000000011"/>
    <n v="0"/>
    <m/>
    <n v="0"/>
    <m/>
    <n v="0"/>
    <m/>
    <n v="0"/>
    <m/>
    <n v="0"/>
    <n v="31273533.000000004"/>
    <n v="98"/>
    <n v="468"/>
    <m/>
    <n v="0"/>
    <m/>
    <n v="0"/>
    <m/>
    <n v="0"/>
    <n v="35588987.00000003"/>
    <n v="9"/>
    <n v="468"/>
    <n v="0"/>
    <n v="98"/>
    <n v="9"/>
    <x v="0"/>
    <s v=""/>
    <n v="468"/>
    <s v="2018 (triag)"/>
    <n v="9"/>
    <n v="2022"/>
    <x v="0"/>
    <n v="13.346733297682052"/>
    <n v="468"/>
    <s v="Decreasing"/>
    <n v="0.3113441654036182"/>
    <n v="5.4673730437993617E-2"/>
    <n v="98.666696586706905"/>
    <n v="551.41598456884526"/>
    <x v="0"/>
    <n v="0.14964730719743111"/>
    <n v="3.7502425392670047E-3"/>
  </r>
  <r>
    <x v="0"/>
    <s v="AGO"/>
    <n v="25188292.499999996"/>
    <x v="7"/>
    <n v="0"/>
    <n v="26147002.000000011"/>
    <n v="0"/>
    <m/>
    <n v="0"/>
    <s v="  "/>
    <n v="0"/>
    <m/>
    <n v="0"/>
    <m/>
    <n v="0"/>
    <n v="31273533.000000004"/>
    <n v="0"/>
    <n v="134"/>
    <m/>
    <n v="0"/>
    <m/>
    <n v="0"/>
    <m/>
    <n v="0"/>
    <n v="35588987.00000003"/>
    <n v="0"/>
    <n v="134"/>
    <n v="0"/>
    <n v="0"/>
    <n v="0"/>
    <x v="0"/>
    <s v=""/>
    <n v="134"/>
    <s v="2018 (triag)"/>
    <n v="134"/>
    <s v="2018 (triag)"/>
    <x v="1"/>
    <n v="134"/>
    <n v="134"/>
    <s v="No change"/>
    <n v="0.3113441654036182"/>
    <n v="5.4673730437993617E-2"/>
    <n v="28.25072081756138"/>
    <n v="157.88406395774629"/>
    <x v="0"/>
    <n v="4.284773325738412E-2"/>
    <n v="3.7652097262560434E-2"/>
  </r>
  <r>
    <x v="0"/>
    <s v="AGO"/>
    <n v="25188292.499999996"/>
    <x v="8"/>
    <n v="0"/>
    <n v="26147002.000000011"/>
    <n v="0"/>
    <m/>
    <n v="0"/>
    <m/>
    <n v="0"/>
    <m/>
    <n v="0"/>
    <m/>
    <n v="0"/>
    <n v="31273533.000000004"/>
    <n v="0"/>
    <n v="789"/>
    <m/>
    <n v="0"/>
    <m/>
    <n v="0"/>
    <m/>
    <n v="0"/>
    <n v="35588987.00000003"/>
    <n v="107"/>
    <n v="789"/>
    <n v="0"/>
    <n v="0"/>
    <n v="107"/>
    <x v="0"/>
    <s v=""/>
    <n v="789"/>
    <s v="2018 (triag)"/>
    <n v="107"/>
    <n v="2022"/>
    <x v="0"/>
    <n v="158.67782920577551"/>
    <n v="789"/>
    <s v="Decreasing"/>
    <n v="0.3113441654036182"/>
    <n v="5.4673730437993617E-2"/>
    <n v="166.34193078399946"/>
    <n v="929.63079449747636"/>
    <x v="0"/>
    <n v="0.25229001149310504"/>
    <n v="4.4586216855729943E-2"/>
  </r>
  <r>
    <x v="0"/>
    <s v="AGO"/>
    <n v="25188292.499999996"/>
    <x v="9"/>
    <n v="0"/>
    <n v="26147002.000000011"/>
    <n v="0"/>
    <m/>
    <n v="0"/>
    <m/>
    <n v="0"/>
    <m/>
    <n v="0"/>
    <m/>
    <n v="0"/>
    <n v="31273533.000000004"/>
    <n v="0"/>
    <n v="190"/>
    <m/>
    <n v="0"/>
    <m/>
    <n v="0"/>
    <m/>
    <n v="0"/>
    <n v="35588987.00000003"/>
    <n v="117"/>
    <n v="190"/>
    <n v="0"/>
    <n v="0"/>
    <n v="117"/>
    <x v="0"/>
    <s v=""/>
    <n v="190"/>
    <s v="2018 (triag)"/>
    <n v="117"/>
    <n v="2022"/>
    <x v="0"/>
    <n v="173.50753286986668"/>
    <n v="190"/>
    <s v="Decreasing"/>
    <n v="0.3113441654036182"/>
    <n v="5.4673730437993617E-2"/>
    <n v="40.056992204004942"/>
    <n v="223.86546382068505"/>
    <x v="0"/>
    <n v="6.0754248648529727E-2"/>
    <n v="4.8753153010471055E-2"/>
  </r>
  <r>
    <x v="0"/>
    <s v="AGO"/>
    <n v="25188292.499999996"/>
    <x v="10"/>
    <n v="0"/>
    <n v="26147002.000000011"/>
    <n v="0"/>
    <m/>
    <n v="0"/>
    <m/>
    <n v="0"/>
    <m/>
    <n v="0"/>
    <m/>
    <n v="0"/>
    <n v="31273533.000000004"/>
    <n v="0"/>
    <n v="56"/>
    <m/>
    <n v="0"/>
    <m/>
    <n v="0"/>
    <m/>
    <n v="0"/>
    <n v="35588987.00000003"/>
    <n v="6"/>
    <n v="56"/>
    <n v="0"/>
    <n v="0"/>
    <n v="6"/>
    <x v="0"/>
    <s v=""/>
    <n v="56"/>
    <s v="2018 (triag)"/>
    <n v="6"/>
    <n v="2022"/>
    <x v="0"/>
    <n v="8.8978221984547012"/>
    <n v="56"/>
    <s v="Decreasing"/>
    <n v="0.3113441654036182"/>
    <n v="5.4673730437993617E-2"/>
    <n v="11.80627138644356"/>
    <n v="65.981399862938758"/>
    <x v="0"/>
    <n v="1.7906515391145603E-2"/>
    <n v="2.5001616928446695E-3"/>
  </r>
  <r>
    <x v="0"/>
    <s v="AGO"/>
    <n v="25188292.499999996"/>
    <x v="11"/>
    <n v="0"/>
    <n v="26147002.000000011"/>
    <n v="0"/>
    <m/>
    <n v="0"/>
    <m/>
    <n v="0"/>
    <m/>
    <n v="0"/>
    <m/>
    <n v="0"/>
    <n v="31273533.000000004"/>
    <n v="0"/>
    <n v="28324"/>
    <m/>
    <n v="0"/>
    <m/>
    <n v="0"/>
    <m/>
    <n v="0"/>
    <n v="35588987.00000003"/>
    <n v="0"/>
    <n v="28324"/>
    <n v="0"/>
    <n v="0"/>
    <n v="0"/>
    <x v="0"/>
    <s v=""/>
    <n v="28324"/>
    <s v="2018 (triag)"/>
    <n v="28324"/>
    <s v="2018 (triag)"/>
    <x v="1"/>
    <n v="28324"/>
    <n v="28324"/>
    <s v="No change"/>
    <n v="0.3113441654036182"/>
    <n v="5.4673730437993617E-2"/>
    <n v="5971.4434062433465"/>
    <n v="33372.449459247808"/>
    <x v="0"/>
    <n v="9.056859677478716"/>
    <n v="7.9586418124235951"/>
  </r>
  <r>
    <x v="0"/>
    <s v="AGO"/>
    <n v="25188292.499999996"/>
    <x v="12"/>
    <n v="0"/>
    <n v="26147002.000000011"/>
    <n v="0"/>
    <m/>
    <n v="0"/>
    <m/>
    <n v="0"/>
    <m/>
    <n v="0"/>
    <m/>
    <n v="0"/>
    <n v="31273533.000000004"/>
    <n v="0"/>
    <n v="0"/>
    <m/>
    <n v="0"/>
    <m/>
    <n v="0"/>
    <m/>
    <n v="0"/>
    <n v="35588987.00000003"/>
    <n v="8431"/>
    <n v="0"/>
    <n v="0"/>
    <n v="0"/>
    <n v="8431"/>
    <x v="0"/>
    <s v=""/>
    <m/>
    <s v=""/>
    <n v="8431"/>
    <n v="2022"/>
    <x v="1"/>
    <n v="8431"/>
    <n v="8431"/>
    <s v="Increasing"/>
    <n v="0.3113441654036182"/>
    <n v="5.4673730437993617E-2"/>
    <n v="0"/>
    <n v="0"/>
    <x v="0"/>
    <n v="0"/>
    <n v="2.3689912837361717"/>
  </r>
  <r>
    <x v="0"/>
    <s v="AGO"/>
    <n v="25188292.499999996"/>
    <x v="13"/>
    <n v="0"/>
    <n v="26147002.000000011"/>
    <n v="0"/>
    <m/>
    <n v="0"/>
    <m/>
    <n v="0"/>
    <m/>
    <n v="0"/>
    <m/>
    <n v="0"/>
    <n v="31273533.000000004"/>
    <n v="0"/>
    <n v="98"/>
    <m/>
    <n v="0"/>
    <m/>
    <n v="0"/>
    <m/>
    <n v="0"/>
    <n v="35588987.00000003"/>
    <n v="12"/>
    <n v="98"/>
    <n v="0"/>
    <n v="0"/>
    <n v="12"/>
    <x v="0"/>
    <s v=""/>
    <n v="98"/>
    <s v="2018 (triag)"/>
    <n v="12"/>
    <n v="2022"/>
    <x v="0"/>
    <n v="17.795644396909402"/>
    <n v="98"/>
    <s v="Decreasing"/>
    <n v="0.3113441654036182"/>
    <n v="5.4673730437993617E-2"/>
    <n v="20.660974926276232"/>
    <n v="115.46744976014281"/>
    <x v="0"/>
    <n v="3.1336401934504807E-2"/>
    <n v="5.0003233856893391E-3"/>
  </r>
  <r>
    <x v="0"/>
    <s v="AGO"/>
    <n v="25188292.499999996"/>
    <x v="14"/>
    <n v="0"/>
    <n v="26147002.000000011"/>
    <n v="0"/>
    <m/>
    <n v="0"/>
    <m/>
    <n v="0"/>
    <m/>
    <n v="0"/>
    <m/>
    <n v="0"/>
    <n v="31273533.000000004"/>
    <n v="0"/>
    <n v="56"/>
    <m/>
    <n v="0"/>
    <m/>
    <n v="0"/>
    <m/>
    <n v="0"/>
    <n v="35588987.00000003"/>
    <n v="0"/>
    <n v="56"/>
    <n v="0"/>
    <n v="0"/>
    <n v="0"/>
    <x v="0"/>
    <s v=""/>
    <n v="56"/>
    <s v="2018 (triag)"/>
    <n v="56"/>
    <s v="2018 (triag)"/>
    <x v="1"/>
    <n v="56"/>
    <n v="56"/>
    <s v="No change"/>
    <n v="0.3113441654036182"/>
    <n v="5.4673730437993617E-2"/>
    <n v="11.80627138644356"/>
    <n v="65.981399862938758"/>
    <x v="0"/>
    <n v="1.7906515391145603E-2"/>
    <n v="1.5735204826144659E-2"/>
  </r>
  <r>
    <x v="0"/>
    <s v="AGO"/>
    <n v="25188292.499999996"/>
    <x v="15"/>
    <n v="0"/>
    <n v="26147002.000000011"/>
    <n v="0"/>
    <m/>
    <n v="0"/>
    <m/>
    <n v="0"/>
    <m/>
    <n v="0"/>
    <m/>
    <n v="0"/>
    <n v="31273533.000000004"/>
    <n v="0"/>
    <n v="1156"/>
    <m/>
    <n v="0"/>
    <m/>
    <n v="0"/>
    <m/>
    <n v="0"/>
    <n v="35588987.00000003"/>
    <n v="1195"/>
    <n v="1156"/>
    <n v="0"/>
    <n v="0"/>
    <n v="1195"/>
    <x v="0"/>
    <s v=""/>
    <n v="1156"/>
    <s v="2018 (triag)"/>
    <n v="1195"/>
    <n v="2022"/>
    <x v="1"/>
    <n v="1195"/>
    <n v="1195"/>
    <s v="Increasing"/>
    <n v="0.3113441654036182"/>
    <n v="5.4673730437993617E-2"/>
    <n v="243.71517362015638"/>
    <n v="1362.0446114563786"/>
    <x v="0"/>
    <n v="0.3696416391457914"/>
    <n v="0.33577803155790836"/>
  </r>
  <r>
    <x v="0"/>
    <s v="AGO"/>
    <n v="25188292.499999996"/>
    <x v="16"/>
    <n v="0"/>
    <n v="26147002.000000011"/>
    <n v="0"/>
    <m/>
    <n v="0"/>
    <m/>
    <n v="0"/>
    <m/>
    <n v="0"/>
    <m/>
    <n v="0"/>
    <n v="31273533.000000004"/>
    <n v="0"/>
    <n v="0"/>
    <m/>
    <n v="0"/>
    <m/>
    <n v="0"/>
    <m/>
    <n v="0"/>
    <n v="35588987.00000003"/>
    <n v="41"/>
    <n v="0"/>
    <n v="0"/>
    <n v="0"/>
    <n v="41"/>
    <x v="0"/>
    <s v=""/>
    <m/>
    <s v=""/>
    <n v="41"/>
    <n v="2022"/>
    <x v="1"/>
    <n v="41"/>
    <n v="41"/>
    <s v="Increasing"/>
    <n v="0.3113441654036182"/>
    <n v="5.4673730437993617E-2"/>
    <n v="0"/>
    <n v="0"/>
    <x v="0"/>
    <n v="0"/>
    <n v="1.1520417819141626E-2"/>
  </r>
  <r>
    <x v="0"/>
    <s v="AGO"/>
    <n v="25188292.499999996"/>
    <x v="17"/>
    <n v="0"/>
    <n v="26147002.000000011"/>
    <n v="0"/>
    <m/>
    <n v="0"/>
    <m/>
    <n v="0"/>
    <m/>
    <n v="0"/>
    <m/>
    <n v="0"/>
    <n v="31273533.000000004"/>
    <n v="0"/>
    <n v="0"/>
    <m/>
    <n v="0"/>
    <m/>
    <n v="0"/>
    <m/>
    <n v="0"/>
    <n v="35588987.00000003"/>
    <n v="1"/>
    <n v="0"/>
    <n v="0"/>
    <n v="0"/>
    <n v="1"/>
    <x v="0"/>
    <s v=""/>
    <m/>
    <s v=""/>
    <n v="1"/>
    <n v="2022"/>
    <x v="1"/>
    <n v="1"/>
    <n v="1"/>
    <s v="Increasing"/>
    <n v="0.3113441654036182"/>
    <n v="5.4673730437993617E-2"/>
    <n v="0"/>
    <n v="0"/>
    <x v="0"/>
    <n v="0"/>
    <n v="2.8098580046686893E-4"/>
  </r>
  <r>
    <x v="0"/>
    <s v="AGO"/>
    <n v="25188292.499999996"/>
    <x v="18"/>
    <n v="0"/>
    <n v="26147002.000000011"/>
    <n v="0"/>
    <m/>
    <n v="0"/>
    <m/>
    <n v="0"/>
    <m/>
    <n v="0"/>
    <m/>
    <n v="0"/>
    <n v="31273533.000000004"/>
    <n v="0"/>
    <n v="16380"/>
    <m/>
    <n v="0"/>
    <m/>
    <n v="0"/>
    <m/>
    <n v="0"/>
    <n v="35588987.00000003"/>
    <n v="0"/>
    <n v="16380"/>
    <n v="0"/>
    <n v="0"/>
    <n v="0"/>
    <x v="0"/>
    <s v=""/>
    <n v="16380"/>
    <s v="2018 (triag)"/>
    <n v="16380"/>
    <s v="2018 (triag)"/>
    <x v="1"/>
    <n v="16380"/>
    <n v="16380"/>
    <s v="No change"/>
    <n v="0.3113441654036182"/>
    <n v="5.4673730437993617E-2"/>
    <n v="3453.3343805347417"/>
    <n v="19299.559459909586"/>
    <x v="0"/>
    <n v="5.237655751910089"/>
    <n v="4.6025474116473131"/>
  </r>
  <r>
    <x v="1"/>
    <s v="BDI"/>
    <n v="9795479.0000000019"/>
    <x v="0"/>
    <n v="0"/>
    <n v="10149577.500000002"/>
    <n v="0"/>
    <m/>
    <n v="0"/>
    <m/>
    <n v="0"/>
    <m/>
    <n v="0"/>
    <m/>
    <n v="0"/>
    <n v="11493472.499999993"/>
    <n v="11845"/>
    <n v="11845"/>
    <m/>
    <n v="0"/>
    <m/>
    <n v="11845"/>
    <m/>
    <n v="0"/>
    <n v="12889576.499999994"/>
    <n v="0"/>
    <n v="11845"/>
    <n v="0"/>
    <n v="11845"/>
    <n v="11845"/>
    <x v="0"/>
    <s v=""/>
    <n v="11845"/>
    <n v="2018"/>
    <n v="11845"/>
    <n v="2020"/>
    <x v="1"/>
    <n v="11845"/>
    <n v="11845"/>
    <s v="No change"/>
    <n v="0.1019276516404819"/>
    <n v="4.0873218672115019E-3"/>
    <n v="7115.4436188995169"/>
    <n v="11991.137115651654"/>
    <x v="0"/>
    <n v="10.305849689900079"/>
    <n v="9.1895959498746951"/>
  </r>
  <r>
    <x v="1"/>
    <s v="BDI"/>
    <n v="9795479.0000000019"/>
    <x v="1"/>
    <n v="44"/>
    <n v="10149577.500000002"/>
    <n v="0"/>
    <m/>
    <n v="0"/>
    <m/>
    <n v="0"/>
    <m/>
    <n v="42"/>
    <m/>
    <n v="0"/>
    <n v="11493472.499999993"/>
    <n v="0"/>
    <n v="10"/>
    <m/>
    <n v="0"/>
    <m/>
    <n v="0"/>
    <m/>
    <n v="0"/>
    <n v="12889576.499999994"/>
    <n v="0"/>
    <n v="10"/>
    <n v="44"/>
    <n v="42"/>
    <n v="0"/>
    <x v="3"/>
    <n v="2012"/>
    <n v="10"/>
    <s v="2018 (triag)"/>
    <n v="10"/>
    <s v="2018 (triag)"/>
    <x v="1"/>
    <n v="10"/>
    <n v="10"/>
    <s v="No change"/>
    <n v="0.1019276516404819"/>
    <n v="4.0873218672115019E-3"/>
    <n v="6.0071284245669201"/>
    <n v="10.123374517223853"/>
    <x v="3"/>
    <n v="8.7005907048544346E-3"/>
    <n v="7.7582067960107175E-3"/>
  </r>
  <r>
    <x v="1"/>
    <s v="BDI"/>
    <n v="9795479.0000000019"/>
    <x v="2"/>
    <n v="0"/>
    <n v="10149577.500000002"/>
    <n v="0"/>
    <m/>
    <n v="0"/>
    <m/>
    <n v="0"/>
    <m/>
    <n v="96"/>
    <m/>
    <n v="0"/>
    <n v="11493472.499999993"/>
    <n v="0"/>
    <n v="372"/>
    <m/>
    <n v="149"/>
    <m/>
    <n v="0"/>
    <m/>
    <n v="0"/>
    <n v="12889576.499999994"/>
    <n v="0"/>
    <n v="372"/>
    <n v="0"/>
    <n v="149"/>
    <n v="0"/>
    <x v="0"/>
    <s v=""/>
    <n v="372"/>
    <s v="2018 (triag)"/>
    <n v="149"/>
    <s v="2018 (triag)"/>
    <x v="0"/>
    <n v="186.22450107945869"/>
    <n v="372"/>
    <s v="Decreasing"/>
    <n v="0.1019276516404819"/>
    <n v="4.0873218672115019E-3"/>
    <n v="223.46517739388943"/>
    <n v="376.58953204072736"/>
    <x v="0"/>
    <n v="0.32366197422058496"/>
    <n v="0.14447681898583617"/>
  </r>
  <r>
    <x v="1"/>
    <s v="BDI"/>
    <n v="9795479.0000000019"/>
    <x v="3"/>
    <n v="0"/>
    <n v="10149577.500000002"/>
    <n v="0"/>
    <m/>
    <n v="0"/>
    <m/>
    <n v="0"/>
    <m/>
    <n v="0"/>
    <m/>
    <n v="0"/>
    <n v="11493472.499999993"/>
    <n v="0"/>
    <n v="8664"/>
    <m/>
    <n v="0"/>
    <m/>
    <n v="0"/>
    <m/>
    <n v="0"/>
    <n v="12889576.499999994"/>
    <n v="0"/>
    <n v="8664"/>
    <n v="0"/>
    <n v="0"/>
    <n v="0"/>
    <x v="0"/>
    <s v=""/>
    <n v="8664"/>
    <s v="2018 (triag)"/>
    <n v="8664"/>
    <s v="2018 (triag)"/>
    <x v="1"/>
    <n v="8664"/>
    <n v="8664"/>
    <s v="No change"/>
    <n v="0.1019276516404819"/>
    <n v="4.0873218672115019E-3"/>
    <n v="5204.5760670447798"/>
    <n v="8770.8916817227455"/>
    <x v="0"/>
    <n v="7.5381917866858821"/>
    <n v="6.721710368063686"/>
  </r>
  <r>
    <x v="1"/>
    <s v="BDI"/>
    <n v="9795479.0000000019"/>
    <x v="4"/>
    <n v="0"/>
    <n v="10149577.500000002"/>
    <n v="0"/>
    <m/>
    <n v="0"/>
    <m/>
    <n v="0"/>
    <m/>
    <n v="0"/>
    <m/>
    <n v="0"/>
    <n v="11493472.499999993"/>
    <n v="0"/>
    <n v="1383"/>
    <m/>
    <n v="0"/>
    <m/>
    <n v="0"/>
    <m/>
    <n v="0"/>
    <n v="12889576.499999994"/>
    <n v="0"/>
    <n v="1383"/>
    <n v="0"/>
    <n v="0"/>
    <n v="0"/>
    <x v="0"/>
    <s v=""/>
    <n v="1383"/>
    <s v="2018 (triag)"/>
    <n v="1383"/>
    <s v="2018 (triag)"/>
    <x v="1"/>
    <n v="1383"/>
    <n v="1383"/>
    <s v="No change"/>
    <n v="0.1019276516404819"/>
    <n v="4.0873218672115019E-3"/>
    <n v="830.78586111760512"/>
    <n v="1400.062695732059"/>
    <x v="0"/>
    <n v="1.2032916944813683"/>
    <n v="1.0729599998882824"/>
  </r>
  <r>
    <x v="1"/>
    <s v="BDI"/>
    <n v="9795479.0000000019"/>
    <x v="5"/>
    <n v="0"/>
    <n v="10149577.500000002"/>
    <n v="0"/>
    <m/>
    <n v="0"/>
    <m/>
    <n v="0"/>
    <m/>
    <n v="0"/>
    <m/>
    <n v="0"/>
    <n v="11493472.499999993"/>
    <n v="0"/>
    <n v="0"/>
    <m/>
    <n v="0"/>
    <m/>
    <n v="0"/>
    <m/>
    <n v="0"/>
    <n v="12889576.499999994"/>
    <n v="0"/>
    <n v="0"/>
    <n v="0"/>
    <n v="0"/>
    <n v="0"/>
    <x v="0"/>
    <s v=""/>
    <m/>
    <s v=""/>
    <n v="0"/>
    <s v=""/>
    <x v="1"/>
    <m/>
    <n v="0"/>
    <s v="No change"/>
    <n v="0.1019276516404819"/>
    <n v="4.0873218672115019E-3"/>
    <n v="0"/>
    <n v="0"/>
    <x v="0"/>
    <n v="0"/>
    <n v="0"/>
  </r>
  <r>
    <x v="1"/>
    <s v="BDI"/>
    <n v="9795479.0000000019"/>
    <x v="6"/>
    <n v="0"/>
    <n v="10149577.500000002"/>
    <n v="0"/>
    <m/>
    <n v="0"/>
    <m/>
    <n v="0"/>
    <m/>
    <n v="0"/>
    <m/>
    <n v="1073"/>
    <n v="11493472.499999993"/>
    <n v="1071"/>
    <n v="1071"/>
    <m/>
    <n v="0"/>
    <m/>
    <n v="0"/>
    <m/>
    <n v="0"/>
    <n v="12889576.499999994"/>
    <n v="0"/>
    <n v="155"/>
    <n v="0"/>
    <n v="1073"/>
    <n v="0"/>
    <x v="0"/>
    <s v=""/>
    <n v="1071"/>
    <n v="2018"/>
    <n v="1071"/>
    <n v="2018"/>
    <x v="1"/>
    <n v="1071"/>
    <n v="1071"/>
    <s v="No change"/>
    <n v="0.1019276516404819"/>
    <n v="4.0873218672115019E-3"/>
    <n v="93.110490580787271"/>
    <n v="156.91230501696973"/>
    <x v="0"/>
    <n v="0.93183326448991"/>
    <n v="0.8309039478527479"/>
  </r>
  <r>
    <x v="1"/>
    <s v="BDI"/>
    <n v="9795479.0000000019"/>
    <x v="7"/>
    <n v="0"/>
    <n v="10149577.500000002"/>
    <n v="0"/>
    <m/>
    <n v="0"/>
    <m/>
    <n v="0"/>
    <m/>
    <n v="0"/>
    <m/>
    <n v="0"/>
    <n v="11493472.499999993"/>
    <n v="0"/>
    <n v="0"/>
    <m/>
    <n v="0"/>
    <m/>
    <n v="0"/>
    <m/>
    <n v="0"/>
    <n v="12889576.499999994"/>
    <n v="0"/>
    <n v="0"/>
    <n v="0"/>
    <n v="0"/>
    <n v="0"/>
    <x v="0"/>
    <s v=""/>
    <m/>
    <s v=""/>
    <n v="0"/>
    <s v=""/>
    <x v="1"/>
    <m/>
    <n v="0"/>
    <s v="No change"/>
    <n v="0.1019276516404819"/>
    <n v="4.0873218672115019E-3"/>
    <n v="0"/>
    <n v="0"/>
    <x v="0"/>
    <n v="0"/>
    <n v="0"/>
  </r>
  <r>
    <x v="1"/>
    <s v="BDI"/>
    <n v="9795479.0000000019"/>
    <x v="8"/>
    <n v="0"/>
    <n v="10149577.500000002"/>
    <n v="0"/>
    <m/>
    <n v="0"/>
    <m/>
    <n v="0"/>
    <m/>
    <n v="0"/>
    <m/>
    <n v="0"/>
    <n v="11493472.499999993"/>
    <n v="0"/>
    <n v="86"/>
    <m/>
    <n v="0"/>
    <m/>
    <n v="0"/>
    <m/>
    <n v="81"/>
    <n v="12889576.499999994"/>
    <n v="0"/>
    <n v="86"/>
    <n v="0"/>
    <n v="0"/>
    <n v="81"/>
    <x v="0"/>
    <s v=""/>
    <n v="86"/>
    <s v="2018 (triag)"/>
    <n v="81"/>
    <n v="2021"/>
    <x v="0"/>
    <n v="101.23613817071244"/>
    <n v="101.23613817071244"/>
    <s v="Increasing"/>
    <n v="0.1019276516404819"/>
    <n v="4.0873218672115019E-3"/>
    <n v="51.661304451275512"/>
    <n v="87.061020848125139"/>
    <x v="0"/>
    <n v="7.4825080061748137E-2"/>
    <n v="7.8541089515790127E-2"/>
  </r>
  <r>
    <x v="1"/>
    <s v="BDI"/>
    <n v="9795479.0000000019"/>
    <x v="9"/>
    <n v="0"/>
    <n v="10149577.500000002"/>
    <n v="0"/>
    <m/>
    <n v="0"/>
    <m/>
    <n v="0"/>
    <m/>
    <n v="0"/>
    <m/>
    <n v="0"/>
    <n v="11493472.499999993"/>
    <n v="0"/>
    <n v="108"/>
    <m/>
    <n v="0"/>
    <m/>
    <n v="0"/>
    <m/>
    <n v="0"/>
    <n v="12889576.499999994"/>
    <n v="0"/>
    <n v="108"/>
    <n v="0"/>
    <n v="0"/>
    <n v="0"/>
    <x v="0"/>
    <s v=""/>
    <n v="108"/>
    <s v="2018 (triag)"/>
    <n v="108"/>
    <s v="2018 (triag)"/>
    <x v="1"/>
    <n v="108"/>
    <n v="108"/>
    <s v="No change"/>
    <n v="0.1019276516404819"/>
    <n v="4.0873218672115019E-3"/>
    <n v="64.876986985322745"/>
    <n v="109.33244478601762"/>
    <x v="0"/>
    <n v="9.3966379612427903E-2"/>
    <n v="8.3788633396915752E-2"/>
  </r>
  <r>
    <x v="1"/>
    <s v="BDI"/>
    <n v="9795479.0000000019"/>
    <x v="10"/>
    <n v="0"/>
    <n v="10149577.500000002"/>
    <n v="0"/>
    <m/>
    <n v="0"/>
    <m/>
    <n v="0"/>
    <m/>
    <n v="0"/>
    <m/>
    <n v="0"/>
    <n v="11493472.499999993"/>
    <n v="0"/>
    <n v="0"/>
    <m/>
    <n v="0"/>
    <m/>
    <n v="0"/>
    <m/>
    <n v="0"/>
    <n v="12889576.499999994"/>
    <n v="0"/>
    <n v="0"/>
    <n v="0"/>
    <n v="0"/>
    <n v="0"/>
    <x v="0"/>
    <s v=""/>
    <m/>
    <s v=""/>
    <n v="0"/>
    <s v=""/>
    <x v="1"/>
    <m/>
    <n v="0"/>
    <s v="No change"/>
    <n v="0.1019276516404819"/>
    <n v="4.0873218672115019E-3"/>
    <n v="0"/>
    <n v="0"/>
    <x v="0"/>
    <n v="0"/>
    <n v="0"/>
  </r>
  <r>
    <x v="1"/>
    <s v="BDI"/>
    <n v="9795479.0000000019"/>
    <x v="11"/>
    <n v="0"/>
    <n v="10149577.500000002"/>
    <n v="0"/>
    <m/>
    <n v="0"/>
    <m/>
    <n v="0"/>
    <m/>
    <n v="0"/>
    <m/>
    <n v="2946"/>
    <n v="11493472.499999993"/>
    <n v="0"/>
    <n v="2906"/>
    <m/>
    <n v="0"/>
    <m/>
    <n v="0"/>
    <m/>
    <n v="7805"/>
    <n v="12889576.499999994"/>
    <n v="0"/>
    <n v="2906"/>
    <n v="0"/>
    <n v="2946"/>
    <n v="7805"/>
    <x v="0"/>
    <s v=""/>
    <n v="2906"/>
    <s v="2018 (triag)"/>
    <n v="7805"/>
    <n v="2021"/>
    <x v="1"/>
    <n v="7805"/>
    <n v="7805"/>
    <s v="Increasing"/>
    <n v="0.1019276516404819"/>
    <n v="4.0873218672115019E-3"/>
    <n v="1745.6715201791471"/>
    <n v="2941.8526347052516"/>
    <x v="0"/>
    <n v="2.5283916588306989"/>
    <n v="6.055280404286365"/>
  </r>
  <r>
    <x v="1"/>
    <s v="BDI"/>
    <n v="9795479.0000000019"/>
    <x v="12"/>
    <n v="0"/>
    <n v="10149577.500000002"/>
    <n v="0"/>
    <m/>
    <n v="0"/>
    <m/>
    <n v="0"/>
    <m/>
    <n v="0"/>
    <m/>
    <n v="9003"/>
    <n v="11493472.499999993"/>
    <n v="0"/>
    <n v="0"/>
    <m/>
    <n v="0"/>
    <m/>
    <n v="0"/>
    <m/>
    <n v="0"/>
    <n v="12889576.499999994"/>
    <n v="0"/>
    <n v="0"/>
    <n v="0"/>
    <n v="9003"/>
    <n v="0"/>
    <x v="0"/>
    <s v=""/>
    <n v="9003"/>
    <n v="2017"/>
    <n v="9003"/>
    <n v="2017"/>
    <x v="1"/>
    <n v="9003"/>
    <n v="9003"/>
    <s v="No change"/>
    <n v="0.1019276516404819"/>
    <n v="4.0873218672115019E-3"/>
    <n v="0"/>
    <n v="0"/>
    <x v="0"/>
    <n v="7.8331418115804476"/>
    <n v="6.9847135784484493"/>
  </r>
  <r>
    <x v="1"/>
    <s v="BDI"/>
    <n v="9795479.0000000019"/>
    <x v="13"/>
    <n v="0"/>
    <n v="10149577.500000002"/>
    <n v="0"/>
    <m/>
    <n v="0"/>
    <m/>
    <n v="0"/>
    <m/>
    <n v="0"/>
    <m/>
    <n v="0"/>
    <n v="11493472.499999993"/>
    <n v="0"/>
    <n v="1071"/>
    <m/>
    <n v="0"/>
    <m/>
    <n v="0"/>
    <m/>
    <n v="729"/>
    <n v="12889576.499999994"/>
    <n v="0"/>
    <n v="1071"/>
    <n v="0"/>
    <n v="0"/>
    <n v="729"/>
    <x v="0"/>
    <s v=""/>
    <n v="1071"/>
    <s v="2018 (triag)"/>
    <n v="729"/>
    <n v="2021"/>
    <x v="0"/>
    <n v="911.12524353641197"/>
    <n v="1071"/>
    <s v="Decreasing"/>
    <n v="0.1019276516404819"/>
    <n v="4.0873218672115019E-3"/>
    <n v="643.36345427111712"/>
    <n v="1084.2134107946747"/>
    <x v="0"/>
    <n v="0.93183326448991"/>
    <n v="0.70686980564211122"/>
  </r>
  <r>
    <x v="1"/>
    <s v="BDI"/>
    <n v="9795479.0000000019"/>
    <x v="14"/>
    <n v="0"/>
    <n v="10149577.500000002"/>
    <n v="0"/>
    <m/>
    <n v="0"/>
    <m/>
    <n v="0"/>
    <m/>
    <n v="0"/>
    <m/>
    <n v="0"/>
    <n v="11493472.499999993"/>
    <n v="0"/>
    <n v="0"/>
    <m/>
    <n v="0"/>
    <m/>
    <n v="0"/>
    <m/>
    <n v="0"/>
    <n v="12889576.499999994"/>
    <n v="0"/>
    <n v="0"/>
    <n v="0"/>
    <n v="0"/>
    <n v="0"/>
    <x v="0"/>
    <s v=""/>
    <m/>
    <s v=""/>
    <n v="0"/>
    <s v=""/>
    <x v="1"/>
    <m/>
    <n v="0"/>
    <s v="No change"/>
    <n v="0.1019276516404819"/>
    <n v="4.0873218672115019E-3"/>
    <n v="0"/>
    <n v="0"/>
    <x v="0"/>
    <n v="0"/>
    <n v="0"/>
  </r>
  <r>
    <x v="1"/>
    <s v="BDI"/>
    <n v="9795479.0000000019"/>
    <x v="15"/>
    <n v="0"/>
    <n v="10149577.500000002"/>
    <n v="0"/>
    <m/>
    <n v="0"/>
    <m/>
    <n v="0"/>
    <m/>
    <n v="0"/>
    <m/>
    <n v="0"/>
    <n v="11493472.499999993"/>
    <n v="0"/>
    <n v="9"/>
    <m/>
    <n v="0"/>
    <m/>
    <n v="0"/>
    <m/>
    <n v="0"/>
    <n v="12889576.499999994"/>
    <n v="0"/>
    <n v="9"/>
    <n v="0"/>
    <n v="0"/>
    <n v="0"/>
    <x v="0"/>
    <s v=""/>
    <n v="9"/>
    <s v="2018 (triag)"/>
    <n v="9"/>
    <s v="2018 (triag)"/>
    <x v="1"/>
    <n v="9"/>
    <n v="9"/>
    <s v="No change"/>
    <n v="0.1019276516404819"/>
    <n v="4.0873218672115019E-3"/>
    <n v="5.4064155821102284"/>
    <n v="9.111037065501467"/>
    <x v="0"/>
    <n v="7.8305316343689913E-3"/>
    <n v="6.982386116409646E-3"/>
  </r>
  <r>
    <x v="1"/>
    <s v="BDI"/>
    <n v="9795479.0000000019"/>
    <x v="16"/>
    <n v="0"/>
    <n v="10149577.500000002"/>
    <n v="0"/>
    <m/>
    <n v="0"/>
    <m/>
    <n v="0"/>
    <m/>
    <n v="0"/>
    <m/>
    <n v="0"/>
    <n v="11493472.499999993"/>
    <n v="0"/>
    <n v="0"/>
    <m/>
    <n v="0"/>
    <m/>
    <n v="0"/>
    <m/>
    <n v="0"/>
    <n v="12889576.499999994"/>
    <n v="0"/>
    <n v="0"/>
    <n v="0"/>
    <n v="0"/>
    <n v="0"/>
    <x v="0"/>
    <s v=""/>
    <m/>
    <s v=""/>
    <n v="0"/>
    <s v=""/>
    <x v="1"/>
    <m/>
    <n v="0"/>
    <s v="No change"/>
    <n v="0.1019276516404819"/>
    <n v="4.0873218672115019E-3"/>
    <n v="0"/>
    <n v="0"/>
    <x v="0"/>
    <n v="0"/>
    <n v="0"/>
  </r>
  <r>
    <x v="1"/>
    <s v="BDI"/>
    <n v="9795479.0000000019"/>
    <x v="17"/>
    <n v="0"/>
    <n v="10149577.500000002"/>
    <n v="0"/>
    <m/>
    <n v="0"/>
    <m/>
    <n v="0"/>
    <m/>
    <n v="0"/>
    <m/>
    <n v="0"/>
    <n v="11493472.499999993"/>
    <n v="0"/>
    <n v="0"/>
    <m/>
    <n v="0"/>
    <m/>
    <n v="0"/>
    <m/>
    <n v="5"/>
    <n v="12889576.499999994"/>
    <n v="0"/>
    <n v="0"/>
    <n v="0"/>
    <n v="0"/>
    <n v="5"/>
    <x v="0"/>
    <s v=""/>
    <m/>
    <s v=""/>
    <n v="5"/>
    <n v="2021"/>
    <x v="1"/>
    <n v="5"/>
    <n v="5"/>
    <s v="Increasing"/>
    <n v="0.1019276516404819"/>
    <n v="4.0873218672115019E-3"/>
    <n v="0"/>
    <n v="0"/>
    <x v="0"/>
    <n v="0"/>
    <n v="3.8791033980053588E-3"/>
  </r>
  <r>
    <x v="1"/>
    <s v="BDI"/>
    <n v="9795479.0000000019"/>
    <x v="18"/>
    <n v="0"/>
    <n v="10149577.500000002"/>
    <n v="0"/>
    <m/>
    <n v="0"/>
    <m/>
    <n v="0"/>
    <m/>
    <n v="0"/>
    <m/>
    <n v="0"/>
    <n v="11493472.499999993"/>
    <n v="0"/>
    <n v="1000"/>
    <m/>
    <n v="0"/>
    <m/>
    <n v="0"/>
    <m/>
    <n v="0"/>
    <n v="12889576.499999994"/>
    <n v="0"/>
    <n v="1000"/>
    <n v="0"/>
    <n v="0"/>
    <n v="0"/>
    <x v="0"/>
    <s v=""/>
    <n v="1000"/>
    <s v="2018 (triag)"/>
    <n v="1000"/>
    <s v="2018 (triag)"/>
    <x v="1"/>
    <n v="1000"/>
    <n v="1000"/>
    <s v="No change"/>
    <n v="0.1019276516404819"/>
    <n v="4.0873218672115019E-3"/>
    <n v="600.71284245669199"/>
    <n v="1012.3374517223854"/>
    <x v="0"/>
    <n v="0.87005907048544351"/>
    <n v="0.77582067960107182"/>
  </r>
  <r>
    <x v="2"/>
    <s v="BEN"/>
    <n v="10014078.499999996"/>
    <x v="0"/>
    <n v="0"/>
    <n v="10308730.499999994"/>
    <n v="0"/>
    <m/>
    <n v="0"/>
    <m/>
    <n v="0"/>
    <m/>
    <n v="0"/>
    <m/>
    <n v="0"/>
    <n v="11940683.499999996"/>
    <n v="0"/>
    <n v="0"/>
    <m/>
    <n v="0"/>
    <m/>
    <n v="0"/>
    <m/>
    <n v="21"/>
    <n v="13352864"/>
    <n v="21"/>
    <n v="0"/>
    <n v="0"/>
    <n v="0"/>
    <n v="21"/>
    <x v="0"/>
    <s v=""/>
    <m/>
    <s v=""/>
    <n v="21"/>
    <n v="2021"/>
    <x v="1"/>
    <n v="21"/>
    <n v="21"/>
    <s v="Increasing"/>
    <n v="5.0912180313375632E-2"/>
    <n v="-3.8361793441239245E-2"/>
    <n v="0"/>
    <n v="0"/>
    <x v="0"/>
    <n v="0"/>
    <n v="1.5726963144386104E-2"/>
  </r>
  <r>
    <x v="2"/>
    <s v="BEN"/>
    <n v="10014078.499999996"/>
    <x v="1"/>
    <n v="0"/>
    <n v="10308730.499999994"/>
    <n v="0"/>
    <m/>
    <n v="0"/>
    <m/>
    <n v="0"/>
    <m/>
    <n v="0"/>
    <m/>
    <n v="0"/>
    <n v="11940683.499999996"/>
    <n v="8"/>
    <n v="8"/>
    <m/>
    <n v="0"/>
    <m/>
    <n v="0"/>
    <m/>
    <n v="21"/>
    <n v="13352864"/>
    <n v="0"/>
    <n v="0"/>
    <n v="0"/>
    <n v="8"/>
    <n v="21"/>
    <x v="0"/>
    <s v=""/>
    <n v="8"/>
    <n v="2018"/>
    <n v="21"/>
    <n v="2021"/>
    <x v="1"/>
    <n v="21"/>
    <n v="21"/>
    <s v="Increasing"/>
    <n v="5.0912180313375632E-2"/>
    <n v="-3.8361793441239245E-2"/>
    <n v="0"/>
    <n v="0"/>
    <x v="0"/>
    <n v="6.6997839780277256E-3"/>
    <n v="1.5726963144386104E-2"/>
  </r>
  <r>
    <x v="2"/>
    <s v="BEN"/>
    <n v="10014078.499999996"/>
    <x v="2"/>
    <n v="0"/>
    <n v="10308730.499999994"/>
    <n v="0"/>
    <m/>
    <n v="0"/>
    <m/>
    <n v="3830"/>
    <m/>
    <n v="0"/>
    <m/>
    <n v="0"/>
    <n v="11940683.499999996"/>
    <n v="429"/>
    <n v="619"/>
    <m/>
    <n v="0"/>
    <m/>
    <n v="0"/>
    <m/>
    <n v="1570"/>
    <n v="13352864"/>
    <n v="0"/>
    <n v="619"/>
    <n v="3830"/>
    <n v="429"/>
    <n v="1570"/>
    <x v="4"/>
    <n v="2015"/>
    <n v="619"/>
    <s v="2018 (triag)"/>
    <n v="1570"/>
    <n v="2021"/>
    <x v="1"/>
    <n v="1570"/>
    <n v="1570"/>
    <s v="Increasing"/>
    <n v="5.0912180313375632E-2"/>
    <n v="-3.8361793441239245E-2"/>
    <n v="479.88398228678244"/>
    <n v="551.70853601394629"/>
    <x v="4"/>
    <n v="0.51839578529989527"/>
    <n v="1.1757777207945801"/>
  </r>
  <r>
    <x v="2"/>
    <s v="BEN"/>
    <n v="10014078.499999996"/>
    <x v="3"/>
    <n v="0"/>
    <n v="10308730.499999994"/>
    <n v="0"/>
    <m/>
    <n v="0"/>
    <m/>
    <n v="0"/>
    <m/>
    <n v="0"/>
    <m/>
    <n v="0"/>
    <n v="11940683.499999996"/>
    <n v="0"/>
    <n v="2623"/>
    <m/>
    <n v="0"/>
    <m/>
    <n v="0"/>
    <m/>
    <n v="6809"/>
    <n v="13352864"/>
    <n v="0"/>
    <n v="2623"/>
    <n v="0"/>
    <n v="0"/>
    <n v="6809"/>
    <x v="0"/>
    <s v=""/>
    <n v="2623"/>
    <s v="2018 (triag)"/>
    <n v="6809"/>
    <n v="2021"/>
    <x v="1"/>
    <n v="6809"/>
    <n v="6809"/>
    <s v="Increasing"/>
    <n v="5.0912180313375632E-2"/>
    <n v="-3.8361793441239245E-2"/>
    <n v="2033.4986842297742"/>
    <n v="2337.8537802335723"/>
    <x v="0"/>
    <n v="2.1966916717958407"/>
    <n v="5.0992805738154754"/>
  </r>
  <r>
    <x v="2"/>
    <s v="BEN"/>
    <n v="10014078.499999996"/>
    <x v="4"/>
    <n v="0"/>
    <n v="10308730.499999994"/>
    <n v="0"/>
    <m/>
    <n v="0"/>
    <m/>
    <n v="0"/>
    <m/>
    <n v="0"/>
    <m/>
    <n v="0"/>
    <n v="11940683.499999996"/>
    <n v="0"/>
    <n v="0"/>
    <m/>
    <n v="0"/>
    <m/>
    <n v="0"/>
    <m/>
    <n v="0"/>
    <n v="13352864"/>
    <n v="0"/>
    <n v="0"/>
    <n v="0"/>
    <n v="0"/>
    <n v="0"/>
    <x v="0"/>
    <s v=""/>
    <m/>
    <s v=""/>
    <n v="0"/>
    <s v=""/>
    <x v="1"/>
    <m/>
    <n v="0"/>
    <s v="No change"/>
    <n v="5.0912180313375632E-2"/>
    <n v="-3.8361793441239245E-2"/>
    <n v="0"/>
    <n v="0"/>
    <x v="0"/>
    <n v="0"/>
    <n v="0"/>
  </r>
  <r>
    <x v="2"/>
    <s v="BEN"/>
    <n v="10014078.499999996"/>
    <x v="5"/>
    <n v="0"/>
    <n v="10308730.499999994"/>
    <n v="0"/>
    <m/>
    <n v="0"/>
    <m/>
    <n v="0"/>
    <m/>
    <n v="0"/>
    <m/>
    <n v="15"/>
    <n v="11940683.499999996"/>
    <n v="0"/>
    <n v="0"/>
    <m/>
    <n v="0"/>
    <m/>
    <n v="0"/>
    <m/>
    <n v="0"/>
    <n v="13352864"/>
    <n v="0"/>
    <n v="0"/>
    <n v="0"/>
    <n v="15"/>
    <n v="0"/>
    <x v="0"/>
    <s v=""/>
    <n v="15"/>
    <n v="2017"/>
    <n v="15"/>
    <n v="2017"/>
    <x v="1"/>
    <n v="15"/>
    <n v="15"/>
    <s v="No change"/>
    <n v="5.0912180313375632E-2"/>
    <n v="-3.8361793441239245E-2"/>
    <n v="0"/>
    <n v="0"/>
    <x v="0"/>
    <n v="1.2562094958801985E-2"/>
    <n v="1.123354510313293E-2"/>
  </r>
  <r>
    <x v="2"/>
    <s v="BEN"/>
    <n v="10014078.499999996"/>
    <x v="6"/>
    <n v="0"/>
    <n v="10308730.499999994"/>
    <n v="0"/>
    <m/>
    <n v="0"/>
    <m/>
    <n v="0"/>
    <m/>
    <n v="0"/>
    <m/>
    <n v="0"/>
    <n v="11940683.499999996"/>
    <n v="668"/>
    <n v="668"/>
    <m/>
    <n v="0"/>
    <m/>
    <n v="0"/>
    <m/>
    <n v="0"/>
    <n v="13352864"/>
    <n v="0"/>
    <n v="0"/>
    <n v="0"/>
    <n v="668"/>
    <n v="0"/>
    <x v="0"/>
    <s v=""/>
    <n v="668"/>
    <n v="2018"/>
    <n v="668"/>
    <n v="2018"/>
    <x v="1"/>
    <n v="668"/>
    <n v="668"/>
    <s v="No change"/>
    <n v="5.0912180313375632E-2"/>
    <n v="-3.8361793441239245E-2"/>
    <n v="0"/>
    <n v="0"/>
    <x v="0"/>
    <n v="0.5594319621653151"/>
    <n v="0.50026720859285323"/>
  </r>
  <r>
    <x v="2"/>
    <s v="BEN"/>
    <n v="10014078.499999996"/>
    <x v="7"/>
    <n v="0"/>
    <n v="10308730.499999994"/>
    <n v="0"/>
    <m/>
    <n v="0"/>
    <m/>
    <n v="0"/>
    <m/>
    <n v="0"/>
    <m/>
    <n v="0"/>
    <n v="11940683.499999996"/>
    <n v="0"/>
    <n v="0"/>
    <m/>
    <n v="0"/>
    <m/>
    <n v="0"/>
    <m/>
    <n v="0"/>
    <n v="13352864"/>
    <n v="0"/>
    <n v="0"/>
    <n v="0"/>
    <n v="0"/>
    <n v="0"/>
    <x v="0"/>
    <s v=""/>
    <m/>
    <s v=""/>
    <n v="0"/>
    <s v=""/>
    <x v="1"/>
    <m/>
    <n v="0"/>
    <s v="No change"/>
    <n v="5.0912180313375632E-2"/>
    <n v="-3.8361793441239245E-2"/>
    <n v="0"/>
    <n v="0"/>
    <x v="0"/>
    <n v="0"/>
    <n v="0"/>
  </r>
  <r>
    <x v="2"/>
    <s v="BEN"/>
    <n v="10014078.499999996"/>
    <x v="8"/>
    <n v="241"/>
    <n v="10308730.499999994"/>
    <n v="206"/>
    <m/>
    <n v="0"/>
    <m/>
    <n v="0"/>
    <m/>
    <n v="234"/>
    <m/>
    <n v="0"/>
    <n v="11940683.499999996"/>
    <n v="137"/>
    <n v="137"/>
    <m/>
    <n v="92"/>
    <m/>
    <n v="0"/>
    <m/>
    <n v="352"/>
    <n v="13352864"/>
    <n v="0"/>
    <n v="54"/>
    <n v="241"/>
    <n v="234"/>
    <n v="352"/>
    <x v="5"/>
    <n v="2013"/>
    <n v="137"/>
    <n v="2018"/>
    <n v="352"/>
    <n v="2021"/>
    <x v="1"/>
    <n v="352"/>
    <n v="352"/>
    <s v="Increasing"/>
    <n v="5.0912180313375632E-2"/>
    <n v="-3.8361793441239245E-2"/>
    <n v="41.863869214032718"/>
    <n v="48.129662269391119"/>
    <x v="5"/>
    <n v="0.1147338006237248"/>
    <n v="0.26361385842018609"/>
  </r>
  <r>
    <x v="2"/>
    <s v="BEN"/>
    <n v="10014078.499999996"/>
    <x v="9"/>
    <n v="0"/>
    <n v="10308730.499999994"/>
    <n v="0"/>
    <m/>
    <n v="0"/>
    <m/>
    <n v="0"/>
    <m/>
    <n v="0"/>
    <m/>
    <n v="0"/>
    <n v="11940683.499999996"/>
    <n v="0"/>
    <n v="0"/>
    <m/>
    <n v="0"/>
    <m/>
    <n v="0"/>
    <m/>
    <n v="0"/>
    <n v="13352864"/>
    <n v="0"/>
    <n v="0"/>
    <n v="0"/>
    <n v="0"/>
    <n v="0"/>
    <x v="0"/>
    <s v=""/>
    <m/>
    <s v=""/>
    <n v="0"/>
    <s v=""/>
    <x v="1"/>
    <m/>
    <n v="0"/>
    <s v="No change"/>
    <n v="5.0912180313375632E-2"/>
    <n v="-3.8361793441239245E-2"/>
    <n v="0"/>
    <n v="0"/>
    <x v="0"/>
    <n v="0"/>
    <n v="0"/>
  </r>
  <r>
    <x v="2"/>
    <s v="BEN"/>
    <n v="10014078.499999996"/>
    <x v="10"/>
    <n v="0"/>
    <n v="10308730.499999994"/>
    <n v="0"/>
    <m/>
    <n v="0"/>
    <m/>
    <n v="0"/>
    <m/>
    <n v="0"/>
    <m/>
    <n v="0"/>
    <n v="11940683.499999996"/>
    <n v="0"/>
    <n v="0"/>
    <m/>
    <n v="0"/>
    <m/>
    <n v="0"/>
    <m/>
    <n v="0"/>
    <n v="13352864"/>
    <n v="0"/>
    <n v="0"/>
    <n v="0"/>
    <n v="0"/>
    <n v="0"/>
    <x v="0"/>
    <s v=""/>
    <m/>
    <s v=""/>
    <n v="0"/>
    <s v=""/>
    <x v="1"/>
    <m/>
    <n v="0"/>
    <s v="No change"/>
    <n v="5.0912180313375632E-2"/>
    <n v="-3.8361793441239245E-2"/>
    <n v="0"/>
    <n v="0"/>
    <x v="0"/>
    <n v="0"/>
    <n v="0"/>
  </r>
  <r>
    <x v="2"/>
    <s v="BEN"/>
    <n v="10014078.499999996"/>
    <x v="11"/>
    <n v="0"/>
    <n v="10308730.499999994"/>
    <n v="0"/>
    <m/>
    <n v="0"/>
    <m/>
    <n v="0"/>
    <m/>
    <n v="0"/>
    <m/>
    <n v="0"/>
    <n v="11940683.499999996"/>
    <n v="0"/>
    <n v="156"/>
    <m/>
    <n v="0"/>
    <m/>
    <n v="0"/>
    <m/>
    <n v="0"/>
    <n v="13352864"/>
    <n v="0"/>
    <n v="156"/>
    <n v="0"/>
    <n v="0"/>
    <n v="0"/>
    <x v="0"/>
    <s v=""/>
    <n v="156"/>
    <s v="2018 (triag)"/>
    <n v="156"/>
    <s v="2018 (triag)"/>
    <x v="1"/>
    <n v="156"/>
    <n v="156"/>
    <s v="No change"/>
    <n v="5.0912180313375632E-2"/>
    <n v="-3.8361793441239245E-2"/>
    <n v="120.94006661831673"/>
    <n v="139.04124655601879"/>
    <x v="0"/>
    <n v="0.13064578757154066"/>
    <n v="0.11682886907258248"/>
  </r>
  <r>
    <x v="2"/>
    <s v="BEN"/>
    <n v="10014078.499999996"/>
    <x v="12"/>
    <n v="0"/>
    <n v="10308730.499999994"/>
    <n v="0"/>
    <m/>
    <n v="0"/>
    <m/>
    <n v="0"/>
    <m/>
    <n v="0"/>
    <m/>
    <n v="0"/>
    <n v="11940683.499999996"/>
    <n v="0"/>
    <n v="1994"/>
    <m/>
    <n v="0"/>
    <m/>
    <n v="0"/>
    <m/>
    <n v="0"/>
    <n v="13352864"/>
    <n v="0"/>
    <n v="1994"/>
    <n v="0"/>
    <n v="0"/>
    <n v="0"/>
    <x v="0"/>
    <s v=""/>
    <n v="1994"/>
    <s v="2018 (triag)"/>
    <n v="1994"/>
    <s v="2018 (triag)"/>
    <x v="1"/>
    <n v="1994"/>
    <n v="1994"/>
    <s v="No change"/>
    <n v="5.0912180313375632E-2"/>
    <n v="-3.8361793441239245E-2"/>
    <n v="1545.8621335700229"/>
    <n v="1777.2323437993684"/>
    <x v="0"/>
    <n v="1.6699211565234107"/>
    <n v="1.4933125957098043"/>
  </r>
  <r>
    <x v="2"/>
    <s v="BEN"/>
    <n v="10014078.499999996"/>
    <x v="13"/>
    <n v="845"/>
    <n v="10308730.499999994"/>
    <n v="830"/>
    <m/>
    <n v="0"/>
    <m/>
    <n v="0"/>
    <m/>
    <n v="1166"/>
    <m/>
    <n v="0"/>
    <n v="11940683.499999996"/>
    <n v="0"/>
    <n v="241"/>
    <m/>
    <n v="0"/>
    <m/>
    <n v="0"/>
    <m/>
    <n v="1744"/>
    <n v="13352864"/>
    <n v="1602"/>
    <n v="241"/>
    <n v="845"/>
    <n v="1166"/>
    <n v="1744"/>
    <x v="6"/>
    <n v="2013"/>
    <n v="241"/>
    <s v="2018 (triag)"/>
    <n v="1602"/>
    <n v="2022"/>
    <x v="1"/>
    <n v="1602"/>
    <n v="1602"/>
    <s v="Increasing"/>
    <n v="5.0912180313375632E-2"/>
    <n v="-3.8361793441239245E-2"/>
    <n v="186.83689778855342"/>
    <n v="214.8009001282085"/>
    <x v="6"/>
    <n v="0.20183099233808524"/>
    <n v="1.1997426170145971"/>
  </r>
  <r>
    <x v="2"/>
    <s v="BEN"/>
    <n v="10014078.499999996"/>
    <x v="14"/>
    <n v="0"/>
    <n v="10308730.499999994"/>
    <n v="0"/>
    <m/>
    <n v="0"/>
    <m/>
    <n v="0"/>
    <m/>
    <n v="0"/>
    <m/>
    <n v="0"/>
    <n v="11940683.499999996"/>
    <n v="5086"/>
    <n v="5086"/>
    <m/>
    <n v="0"/>
    <m/>
    <n v="0"/>
    <m/>
    <n v="382"/>
    <n v="13352864"/>
    <n v="382"/>
    <n v="146"/>
    <n v="0"/>
    <n v="5086"/>
    <n v="382"/>
    <x v="0"/>
    <s v=""/>
    <n v="5086"/>
    <n v="2018"/>
    <n v="382"/>
    <n v="2021"/>
    <x v="0"/>
    <n v="475.9367826904986"/>
    <n v="5086"/>
    <s v="Decreasing"/>
    <n v="5.0912180313375632E-2"/>
    <n v="-3.8361793441239245E-2"/>
    <n v="113.18749824534771"/>
    <n v="130.12834613576118"/>
    <x v="0"/>
    <n v="4.2593876640311263"/>
    <n v="0.35643048763957952"/>
  </r>
  <r>
    <x v="2"/>
    <s v="BEN"/>
    <n v="10014078.499999996"/>
    <x v="15"/>
    <n v="0"/>
    <n v="10308730.499999994"/>
    <n v="0"/>
    <m/>
    <n v="0"/>
    <m/>
    <n v="0"/>
    <m/>
    <n v="0"/>
    <m/>
    <n v="0"/>
    <n v="11940683.499999996"/>
    <n v="58"/>
    <n v="58"/>
    <m/>
    <n v="0"/>
    <m/>
    <n v="0"/>
    <m/>
    <n v="187"/>
    <n v="13352864"/>
    <n v="187"/>
    <n v="0"/>
    <n v="0"/>
    <n v="58"/>
    <n v="187"/>
    <x v="0"/>
    <s v=""/>
    <n v="58"/>
    <n v="2018"/>
    <n v="187"/>
    <n v="2021"/>
    <x v="1"/>
    <n v="187"/>
    <n v="187"/>
    <s v="Increasing"/>
    <n v="5.0912180313375632E-2"/>
    <n v="-3.8361793441239245E-2"/>
    <n v="0"/>
    <n v="0"/>
    <x v="0"/>
    <n v="4.8573433840701008E-2"/>
    <n v="0.14004486228572388"/>
  </r>
  <r>
    <x v="2"/>
    <s v="BEN"/>
    <n v="10014078.499999996"/>
    <x v="16"/>
    <n v="0"/>
    <n v="10308730.499999994"/>
    <n v="0"/>
    <m/>
    <n v="0"/>
    <m/>
    <n v="0"/>
    <m/>
    <n v="0"/>
    <m/>
    <n v="0"/>
    <n v="11940683.499999996"/>
    <n v="102"/>
    <n v="102"/>
    <m/>
    <n v="0"/>
    <m/>
    <n v="0"/>
    <m/>
    <n v="0"/>
    <n v="13352864"/>
    <n v="0"/>
    <n v="0"/>
    <n v="0"/>
    <n v="102"/>
    <n v="0"/>
    <x v="0"/>
    <s v=""/>
    <n v="102"/>
    <n v="2018"/>
    <n v="102"/>
    <n v="2018"/>
    <x v="1"/>
    <n v="102"/>
    <n v="102"/>
    <s v="No change"/>
    <n v="5.0912180313375632E-2"/>
    <n v="-3.8361793441239245E-2"/>
    <n v="0"/>
    <n v="0"/>
    <x v="0"/>
    <n v="8.5422245719853504E-2"/>
    <n v="7.6388106701303929E-2"/>
  </r>
  <r>
    <x v="2"/>
    <s v="BEN"/>
    <n v="10014078.499999996"/>
    <x v="17"/>
    <n v="0"/>
    <n v="10308730.499999994"/>
    <n v="0"/>
    <m/>
    <n v="0"/>
    <m/>
    <n v="0"/>
    <m/>
    <n v="0"/>
    <m/>
    <n v="0"/>
    <n v="11940683.499999996"/>
    <n v="0"/>
    <n v="0"/>
    <m/>
    <n v="0"/>
    <m/>
    <n v="0"/>
    <m/>
    <n v="0"/>
    <n v="13352864"/>
    <n v="0"/>
    <n v="0"/>
    <n v="0"/>
    <n v="0"/>
    <n v="0"/>
    <x v="0"/>
    <s v=""/>
    <m/>
    <s v=""/>
    <n v="0"/>
    <s v=""/>
    <x v="1"/>
    <m/>
    <n v="0"/>
    <s v="No change"/>
    <n v="5.0912180313375632E-2"/>
    <n v="-3.8361793441239245E-2"/>
    <n v="0"/>
    <n v="0"/>
    <x v="0"/>
    <n v="0"/>
    <n v="0"/>
  </r>
  <r>
    <x v="2"/>
    <s v="BEN"/>
    <n v="10014078.499999996"/>
    <x v="18"/>
    <n v="0"/>
    <n v="10308730.499999994"/>
    <n v="10200"/>
    <m/>
    <n v="0"/>
    <m/>
    <n v="0"/>
    <m/>
    <n v="0"/>
    <m/>
    <n v="0"/>
    <n v="11940683.499999996"/>
    <n v="0"/>
    <n v="0"/>
    <m/>
    <n v="0"/>
    <m/>
    <n v="0"/>
    <m/>
    <n v="0"/>
    <n v="13352864"/>
    <n v="0"/>
    <n v="0"/>
    <n v="10200"/>
    <n v="0"/>
    <n v="0"/>
    <x v="7"/>
    <n v="2013"/>
    <m/>
    <s v=""/>
    <n v="0"/>
    <s v=""/>
    <x v="1"/>
    <m/>
    <n v="0"/>
    <s v="No change"/>
    <n v="5.0912180313375632E-2"/>
    <n v="-3.8361793441239245E-2"/>
    <n v="0"/>
    <n v="0"/>
    <x v="7"/>
    <n v="0"/>
    <n v="0"/>
  </r>
  <r>
    <x v="3"/>
    <s v="BFA"/>
    <n v="17113732.499999996"/>
    <x v="0"/>
    <n v="2099"/>
    <n v="17636407.5"/>
    <n v="0"/>
    <m/>
    <n v="0"/>
    <m/>
    <n v="0"/>
    <m/>
    <n v="0"/>
    <m/>
    <n v="2749"/>
    <n v="20392723"/>
    <n v="0"/>
    <n v="2749"/>
    <m/>
    <n v="2979"/>
    <m/>
    <n v="2923"/>
    <m/>
    <n v="2947"/>
    <n v="22673762.000000007"/>
    <n v="3145"/>
    <n v="2749"/>
    <n v="2099"/>
    <n v="2979"/>
    <n v="3145"/>
    <x v="8"/>
    <n v="2012"/>
    <n v="2749"/>
    <n v="2017"/>
    <n v="3145"/>
    <n v="2022"/>
    <x v="1"/>
    <n v="3145"/>
    <n v="3145"/>
    <s v="Increasing"/>
    <n v="0.11672257510323925"/>
    <n v="5.6053037042871567E-2"/>
    <n v="1533.6098471508678"/>
    <n v="3252.4101961604651"/>
    <x v="8"/>
    <n v="1.3480298830126805"/>
    <n v="1.3870658076061657"/>
  </r>
  <r>
    <x v="3"/>
    <s v="BFA"/>
    <n v="17113732.499999996"/>
    <x v="1"/>
    <n v="128"/>
    <n v="17636407.5"/>
    <n v="0"/>
    <m/>
    <n v="0"/>
    <m/>
    <n v="1688"/>
    <m/>
    <n v="940"/>
    <m/>
    <n v="0"/>
    <n v="20392723"/>
    <n v="0"/>
    <n v="19"/>
    <m/>
    <n v="0"/>
    <m/>
    <n v="0"/>
    <m/>
    <n v="15"/>
    <n v="22673762.000000007"/>
    <n v="0"/>
    <n v="19"/>
    <n v="1688"/>
    <n v="940"/>
    <n v="15"/>
    <x v="9"/>
    <n v="2012"/>
    <n v="19"/>
    <s v="2018 (triag)"/>
    <n v="15"/>
    <n v="2021"/>
    <x v="0"/>
    <n v="15.409998099220681"/>
    <n v="19"/>
    <s v="Decreasing"/>
    <n v="0.11672257510323925"/>
    <n v="5.6053037042871567E-2"/>
    <n v="10.599704290966347"/>
    <n v="22.47937203603086"/>
    <x v="9"/>
    <n v="9.3170490277340607E-3"/>
    <n v="6.7964010997472214E-3"/>
  </r>
  <r>
    <x v="3"/>
    <s v="BFA"/>
    <n v="17113732.499999996"/>
    <x v="2"/>
    <n v="1791"/>
    <n v="17636407.5"/>
    <n v="0"/>
    <m/>
    <n v="0"/>
    <m/>
    <n v="718"/>
    <m/>
    <n v="2367"/>
    <m/>
    <n v="20392"/>
    <n v="20392723"/>
    <n v="157"/>
    <n v="160"/>
    <m/>
    <n v="0"/>
    <m/>
    <n v="0"/>
    <m/>
    <n v="31"/>
    <n v="22673762.000000007"/>
    <n v="0"/>
    <n v="160"/>
    <n v="1791"/>
    <n v="20392"/>
    <n v="31"/>
    <x v="10"/>
    <n v="2012"/>
    <n v="160"/>
    <s v="2018 (triag)"/>
    <n v="31"/>
    <n v="2021"/>
    <x v="0"/>
    <n v="31.847329405056072"/>
    <n v="160"/>
    <s v="Decreasing"/>
    <n v="0.11672257510323925"/>
    <n v="5.6053037042871567E-2"/>
    <n v="89.260667713400821"/>
    <n v="189.29997504025988"/>
    <x v="10"/>
    <n v="7.8459360233549977E-2"/>
    <n v="1.4045895606144257E-2"/>
  </r>
  <r>
    <x v="3"/>
    <s v="BFA"/>
    <n v="17113732.499999996"/>
    <x v="3"/>
    <n v="0"/>
    <n v="17636407.5"/>
    <n v="0"/>
    <m/>
    <n v="0"/>
    <m/>
    <n v="0"/>
    <m/>
    <n v="0"/>
    <m/>
    <n v="0"/>
    <n v="20392723"/>
    <n v="0"/>
    <n v="1224"/>
    <m/>
    <n v="0"/>
    <m/>
    <n v="68"/>
    <m/>
    <n v="0"/>
    <n v="22673762.000000007"/>
    <n v="886"/>
    <n v="1224"/>
    <n v="0"/>
    <n v="0"/>
    <n v="886"/>
    <x v="0"/>
    <s v=""/>
    <n v="1224"/>
    <s v="2018 (triag)"/>
    <n v="886"/>
    <n v="2022"/>
    <x v="0"/>
    <n v="910.21722106063487"/>
    <n v="1224"/>
    <s v="Decreasing"/>
    <n v="0.11672257510323925"/>
    <n v="5.6053037042871567E-2"/>
    <n v="682.8441080075163"/>
    <n v="1448.1448090579881"/>
    <x v="0"/>
    <n v="0.60021410578665735"/>
    <n v="0.40144075829173581"/>
  </r>
  <r>
    <x v="3"/>
    <s v="BFA"/>
    <n v="17113732.499999996"/>
    <x v="4"/>
    <n v="0"/>
    <n v="17636407.5"/>
    <n v="0"/>
    <m/>
    <n v="0"/>
    <m/>
    <n v="0"/>
    <m/>
    <n v="0"/>
    <m/>
    <n v="0"/>
    <n v="20392723"/>
    <n v="0"/>
    <n v="653"/>
    <m/>
    <n v="0"/>
    <m/>
    <n v="0"/>
    <m/>
    <n v="0"/>
    <n v="22673762.000000007"/>
    <n v="0"/>
    <n v="653"/>
    <n v="0"/>
    <n v="0"/>
    <n v="0"/>
    <x v="0"/>
    <s v=""/>
    <n v="653"/>
    <s v="2018 (triag)"/>
    <n v="653"/>
    <s v="2018 (triag)"/>
    <x v="1"/>
    <n v="653"/>
    <n v="653"/>
    <s v="No change"/>
    <n v="0.11672257510323925"/>
    <n v="5.6053037042871567E-2"/>
    <n v="364.29510010531709"/>
    <n v="772.58052313306064"/>
    <x v="0"/>
    <n v="0.32021226395317587"/>
    <n v="0.28799808342347416"/>
  </r>
  <r>
    <x v="3"/>
    <s v="BFA"/>
    <n v="17113732.499999996"/>
    <x v="5"/>
    <n v="0"/>
    <n v="17636407.5"/>
    <n v="0"/>
    <m/>
    <n v="0"/>
    <m/>
    <n v="0"/>
    <m/>
    <n v="0"/>
    <m/>
    <n v="3"/>
    <n v="20392723"/>
    <n v="2"/>
    <n v="3"/>
    <m/>
    <n v="143"/>
    <m/>
    <n v="0"/>
    <m/>
    <n v="0"/>
    <n v="22673762.000000007"/>
    <n v="14"/>
    <n v="3"/>
    <n v="0"/>
    <n v="143"/>
    <n v="14"/>
    <x v="0"/>
    <s v=""/>
    <n v="3"/>
    <n v="2017"/>
    <n v="14"/>
    <n v="2022"/>
    <x v="1"/>
    <n v="14"/>
    <n v="14"/>
    <s v="Increasing"/>
    <n v="0.11672257510323925"/>
    <n v="5.6053037042871567E-2"/>
    <n v="1.6736375196262654"/>
    <n v="3.5493745320048724"/>
    <x v="0"/>
    <n v="1.471113004379062E-3"/>
    <n v="6.1745377763072554E-3"/>
  </r>
  <r>
    <x v="3"/>
    <s v="BFA"/>
    <n v="17113732.499999996"/>
    <x v="6"/>
    <n v="0"/>
    <n v="17636407.5"/>
    <n v="0"/>
    <m/>
    <n v="0"/>
    <m/>
    <n v="0"/>
    <m/>
    <n v="0"/>
    <m/>
    <n v="699"/>
    <n v="20392723"/>
    <n v="648"/>
    <n v="648"/>
    <m/>
    <n v="800"/>
    <m/>
    <n v="906"/>
    <m/>
    <n v="899"/>
    <n v="22673762.000000007"/>
    <n v="0"/>
    <n v="2"/>
    <n v="0"/>
    <n v="800"/>
    <n v="906"/>
    <x v="0"/>
    <s v=""/>
    <n v="648"/>
    <n v="2018"/>
    <n v="899"/>
    <n v="2021"/>
    <x v="1"/>
    <n v="899"/>
    <n v="899"/>
    <s v="Increasing"/>
    <n v="0.11672257510323925"/>
    <n v="5.6053037042871567E-2"/>
    <n v="1.1157583464175103"/>
    <n v="2.3662496880032484"/>
    <x v="0"/>
    <n v="0.31776040894587743"/>
    <n v="0.39649353292144451"/>
  </r>
  <r>
    <x v="3"/>
    <s v="BFA"/>
    <n v="17113732.499999996"/>
    <x v="7"/>
    <n v="0"/>
    <n v="17636407.5"/>
    <n v="0"/>
    <m/>
    <n v="0"/>
    <m/>
    <n v="0"/>
    <m/>
    <n v="0"/>
    <m/>
    <n v="0"/>
    <n v="20392723"/>
    <n v="0"/>
    <n v="0"/>
    <m/>
    <n v="0"/>
    <m/>
    <n v="0"/>
    <m/>
    <n v="8"/>
    <n v="22673762.000000007"/>
    <n v="0"/>
    <n v="0"/>
    <n v="0"/>
    <n v="0"/>
    <n v="8"/>
    <x v="0"/>
    <s v=""/>
    <m/>
    <s v=""/>
    <n v="8"/>
    <n v="2021"/>
    <x v="1"/>
    <n v="8"/>
    <n v="8"/>
    <s v="Increasing"/>
    <n v="0.11672257510323925"/>
    <n v="5.6053037042871567E-2"/>
    <n v="0"/>
    <n v="0"/>
    <x v="0"/>
    <n v="0"/>
    <n v="3.5283073007470033E-3"/>
  </r>
  <r>
    <x v="3"/>
    <s v="BFA"/>
    <n v="17113732.499999996"/>
    <x v="8"/>
    <n v="109"/>
    <n v="17636407.5"/>
    <n v="0"/>
    <m/>
    <n v="0"/>
    <m/>
    <n v="0"/>
    <m/>
    <n v="0"/>
    <m/>
    <n v="0"/>
    <n v="20392723"/>
    <n v="0"/>
    <n v="128"/>
    <m/>
    <n v="191"/>
    <m/>
    <n v="274"/>
    <m/>
    <n v="209"/>
    <n v="22673762.000000007"/>
    <n v="0"/>
    <n v="128"/>
    <n v="109"/>
    <n v="191"/>
    <n v="274"/>
    <x v="11"/>
    <n v="2012"/>
    <n v="128"/>
    <s v="2018 (triag)"/>
    <n v="209"/>
    <n v="2021"/>
    <x v="1"/>
    <n v="209"/>
    <n v="209"/>
    <s v="Increasing"/>
    <n v="0.11672257510323925"/>
    <n v="5.6053037042871567E-2"/>
    <n v="71.408534170720657"/>
    <n v="151.4399800322079"/>
    <x v="11"/>
    <n v="6.2767488186839984E-2"/>
    <n v="9.2177028232015457E-2"/>
  </r>
  <r>
    <x v="3"/>
    <s v="BFA"/>
    <n v="17113732.499999996"/>
    <x v="9"/>
    <n v="0"/>
    <n v="17636407.5"/>
    <n v="0"/>
    <m/>
    <n v="0"/>
    <m/>
    <n v="0"/>
    <m/>
    <n v="0"/>
    <m/>
    <n v="0"/>
    <n v="20392723"/>
    <n v="0"/>
    <n v="4"/>
    <m/>
    <n v="0"/>
    <m/>
    <n v="0"/>
    <m/>
    <n v="0"/>
    <n v="22673762.000000007"/>
    <n v="44"/>
    <n v="4"/>
    <n v="0"/>
    <n v="0"/>
    <n v="44"/>
    <x v="0"/>
    <s v=""/>
    <n v="4"/>
    <s v="2018 (triag)"/>
    <n v="44"/>
    <n v="2022"/>
    <x v="1"/>
    <n v="44"/>
    <n v="44"/>
    <s v="Increasing"/>
    <n v="0.11672257510323925"/>
    <n v="5.6053037042871567E-2"/>
    <n v="2.2315166928350205"/>
    <n v="4.7324993760064968"/>
    <x v="0"/>
    <n v="1.9614840058387495E-3"/>
    <n v="1.9405690154108517E-2"/>
  </r>
  <r>
    <x v="3"/>
    <s v="BFA"/>
    <n v="17113732.499999996"/>
    <x v="10"/>
    <n v="0"/>
    <n v="17636407.5"/>
    <n v="0"/>
    <m/>
    <n v="0"/>
    <m/>
    <n v="0"/>
    <m/>
    <n v="0"/>
    <m/>
    <n v="3"/>
    <n v="20392723"/>
    <n v="0"/>
    <n v="3"/>
    <m/>
    <n v="0"/>
    <m/>
    <n v="3"/>
    <m/>
    <n v="3"/>
    <n v="22673762.000000007"/>
    <n v="2"/>
    <n v="3"/>
    <n v="0"/>
    <n v="3"/>
    <n v="3"/>
    <x v="0"/>
    <s v=""/>
    <n v="3"/>
    <n v="2017"/>
    <n v="2"/>
    <n v="2022"/>
    <x v="0"/>
    <n v="2.0546664132294241"/>
    <n v="3"/>
    <s v="Decreasing"/>
    <n v="0.11672257510323925"/>
    <n v="5.6053037042871567E-2"/>
    <n v="1.6736375196262654"/>
    <n v="3.5493745320048724"/>
    <x v="0"/>
    <n v="1.471113004379062E-3"/>
    <n v="9.0618681329962948E-4"/>
  </r>
  <r>
    <x v="3"/>
    <s v="BFA"/>
    <n v="17113732.499999996"/>
    <x v="11"/>
    <n v="0"/>
    <n v="17636407.5"/>
    <n v="0"/>
    <m/>
    <n v="0"/>
    <m/>
    <n v="0"/>
    <m/>
    <n v="0"/>
    <m/>
    <n v="0"/>
    <n v="20392723"/>
    <n v="0"/>
    <n v="871"/>
    <m/>
    <n v="22"/>
    <m/>
    <n v="0"/>
    <m/>
    <n v="0"/>
    <n v="22673762.000000007"/>
    <n v="0"/>
    <n v="871"/>
    <n v="0"/>
    <n v="22"/>
    <n v="0"/>
    <x v="0"/>
    <s v=""/>
    <n v="871"/>
    <s v="2018 (triag)"/>
    <n v="22"/>
    <s v="2018 (triag)"/>
    <x v="0"/>
    <n v="22.601330545523666"/>
    <n v="871"/>
    <s v="Decreasing"/>
    <n v="0.11672257510323925"/>
    <n v="5.6053037042871567E-2"/>
    <n v="485.91275986482572"/>
    <n v="1030.5017391254146"/>
    <x v="0"/>
    <n v="0.42711314227138769"/>
    <n v="9.9680549462959258E-3"/>
  </r>
  <r>
    <x v="3"/>
    <s v="BFA"/>
    <n v="17113732.499999996"/>
    <x v="12"/>
    <n v="0"/>
    <n v="17636407.5"/>
    <n v="0"/>
    <m/>
    <n v="0"/>
    <m/>
    <n v="0"/>
    <m/>
    <n v="0"/>
    <m/>
    <n v="0"/>
    <n v="20392723"/>
    <n v="0"/>
    <n v="44"/>
    <m/>
    <n v="2079"/>
    <m/>
    <n v="0"/>
    <m/>
    <n v="0"/>
    <n v="22673762.000000007"/>
    <n v="0"/>
    <n v="44"/>
    <n v="0"/>
    <n v="2079"/>
    <n v="0"/>
    <x v="0"/>
    <s v=""/>
    <n v="44"/>
    <s v="2018 (triag)"/>
    <n v="2079"/>
    <s v="2018 (triag)"/>
    <x v="1"/>
    <n v="2079"/>
    <n v="2079"/>
    <s v="Increasing"/>
    <n v="0.11672257510323925"/>
    <n v="5.6053037042871567E-2"/>
    <n v="24.546683621185224"/>
    <n v="52.057493136071464"/>
    <x v="0"/>
    <n v="2.1576324064226243E-2"/>
    <n v="0.91691885978162746"/>
  </r>
  <r>
    <x v="3"/>
    <s v="BFA"/>
    <n v="17113732.499999996"/>
    <x v="13"/>
    <n v="458"/>
    <n v="17636407.5"/>
    <n v="0"/>
    <m/>
    <n v="0"/>
    <m/>
    <n v="0"/>
    <m/>
    <n v="0"/>
    <m/>
    <n v="0"/>
    <n v="20392723"/>
    <n v="0"/>
    <n v="699"/>
    <m/>
    <n v="0"/>
    <m/>
    <n v="0"/>
    <m/>
    <n v="0"/>
    <n v="22673762.000000007"/>
    <n v="0"/>
    <n v="699"/>
    <n v="458"/>
    <n v="0"/>
    <n v="0"/>
    <x v="12"/>
    <n v="2012"/>
    <n v="699"/>
    <s v="2018 (triag)"/>
    <n v="699"/>
    <s v="2018 (triag)"/>
    <x v="1"/>
    <n v="699"/>
    <n v="699"/>
    <s v="No change"/>
    <n v="0.11672257510323925"/>
    <n v="5.6053037042871567E-2"/>
    <n v="389.95754207291981"/>
    <n v="827.00426595713532"/>
    <x v="12"/>
    <n v="0.34276933002032145"/>
    <n v="0.3082858504027694"/>
  </r>
  <r>
    <x v="3"/>
    <s v="BFA"/>
    <n v="17113732.499999996"/>
    <x v="14"/>
    <n v="0"/>
    <n v="17636407.5"/>
    <n v="0"/>
    <m/>
    <n v="0"/>
    <m/>
    <n v="0"/>
    <m/>
    <n v="0"/>
    <m/>
    <n v="0"/>
    <n v="20392723"/>
    <n v="0"/>
    <n v="0"/>
    <m/>
    <n v="0"/>
    <m/>
    <n v="0"/>
    <m/>
    <n v="0"/>
    <n v="22673762.000000007"/>
    <n v="1698"/>
    <n v="0"/>
    <n v="0"/>
    <n v="0"/>
    <n v="1698"/>
    <x v="0"/>
    <s v=""/>
    <m/>
    <s v=""/>
    <n v="1698"/>
    <n v="2022"/>
    <x v="1"/>
    <n v="1698"/>
    <n v="1698"/>
    <s v="Increasing"/>
    <n v="0.11672257510323925"/>
    <n v="5.6053037042871567E-2"/>
    <n v="0"/>
    <n v="0"/>
    <x v="0"/>
    <n v="0"/>
    <n v="0.74888322458355139"/>
  </r>
  <r>
    <x v="3"/>
    <s v="BFA"/>
    <n v="17113732.499999996"/>
    <x v="15"/>
    <n v="0"/>
    <n v="17636407.5"/>
    <n v="0"/>
    <m/>
    <n v="0"/>
    <m/>
    <n v="0"/>
    <m/>
    <n v="0"/>
    <m/>
    <n v="18"/>
    <n v="20392723"/>
    <n v="0"/>
    <n v="18"/>
    <m/>
    <n v="0"/>
    <m/>
    <n v="22"/>
    <m/>
    <n v="47"/>
    <n v="22673762.000000007"/>
    <n v="0"/>
    <n v="18"/>
    <n v="0"/>
    <n v="18"/>
    <n v="47"/>
    <x v="0"/>
    <s v=""/>
    <n v="18"/>
    <n v="2017"/>
    <n v="47"/>
    <n v="2021"/>
    <x v="1"/>
    <n v="47"/>
    <n v="47"/>
    <s v="Increasing"/>
    <n v="0.11672257510323925"/>
    <n v="5.6053037042871567E-2"/>
    <n v="10.041825117757591"/>
    <n v="21.296247192029234"/>
    <x v="0"/>
    <n v="8.8266780262743726E-3"/>
    <n v="2.0728805391888643E-2"/>
  </r>
  <r>
    <x v="3"/>
    <s v="BFA"/>
    <n v="17113732.499999996"/>
    <x v="16"/>
    <n v="0"/>
    <n v="17636407.5"/>
    <n v="0"/>
    <m/>
    <n v="0"/>
    <m/>
    <n v="0"/>
    <m/>
    <n v="0"/>
    <m/>
    <n v="0"/>
    <n v="20392723"/>
    <n v="0"/>
    <n v="0"/>
    <m/>
    <n v="34"/>
    <m/>
    <n v="0"/>
    <m/>
    <n v="0"/>
    <n v="22673762.000000007"/>
    <n v="39"/>
    <n v="0"/>
    <n v="0"/>
    <n v="34"/>
    <n v="39"/>
    <x v="0"/>
    <s v=""/>
    <n v="34"/>
    <n v="2019"/>
    <n v="39"/>
    <n v="2022"/>
    <x v="1"/>
    <n v="39"/>
    <n v="39"/>
    <s v="Increasing"/>
    <n v="0.11672257510323925"/>
    <n v="5.6053037042871567E-2"/>
    <n v="0"/>
    <n v="0"/>
    <x v="0"/>
    <n v="1.6672614049629369E-2"/>
    <n v="1.7200498091141641E-2"/>
  </r>
  <r>
    <x v="3"/>
    <s v="BFA"/>
    <n v="17113732.499999996"/>
    <x v="17"/>
    <n v="0"/>
    <n v="17636407.5"/>
    <n v="0"/>
    <m/>
    <n v="0"/>
    <m/>
    <n v="0"/>
    <m/>
    <n v="0"/>
    <m/>
    <n v="0"/>
    <n v="20392723"/>
    <n v="0"/>
    <n v="0"/>
    <m/>
    <n v="0"/>
    <m/>
    <n v="0"/>
    <m/>
    <n v="0"/>
    <n v="22673762.000000007"/>
    <n v="0"/>
    <n v="0"/>
    <n v="0"/>
    <n v="0"/>
    <n v="0"/>
    <x v="0"/>
    <s v=""/>
    <m/>
    <s v=""/>
    <n v="0"/>
    <s v=""/>
    <x v="1"/>
    <m/>
    <n v="0"/>
    <s v="No change"/>
    <n v="0.11672257510323925"/>
    <n v="5.6053037042871567E-2"/>
    <n v="0"/>
    <n v="0"/>
    <x v="0"/>
    <n v="0"/>
    <n v="0"/>
  </r>
  <r>
    <x v="3"/>
    <s v="BFA"/>
    <n v="17113732.499999996"/>
    <x v="18"/>
    <n v="0"/>
    <n v="17636407.5"/>
    <n v="0"/>
    <m/>
    <n v="0"/>
    <m/>
    <n v="0"/>
    <m/>
    <n v="0"/>
    <m/>
    <n v="336"/>
    <n v="20392723"/>
    <n v="0"/>
    <n v="336"/>
    <m/>
    <n v="336"/>
    <m/>
    <n v="0"/>
    <m/>
    <n v="50"/>
    <n v="22673762.000000007"/>
    <n v="0"/>
    <n v="336"/>
    <n v="0"/>
    <n v="336"/>
    <n v="50"/>
    <x v="0"/>
    <s v=""/>
    <n v="336"/>
    <n v="2017"/>
    <n v="50"/>
    <n v="2021"/>
    <x v="0"/>
    <n v="51.366660330735606"/>
    <n v="336"/>
    <s v="Decreasing"/>
    <n v="0.11672257510323925"/>
    <n v="5.6053037042871567E-2"/>
    <n v="187.4474021981417"/>
    <n v="397.52994758454571"/>
    <x v="0"/>
    <n v="0.16476465649045496"/>
    <n v="2.2654670332490738E-2"/>
  </r>
  <r>
    <x v="4"/>
    <s v="BWA"/>
    <n v="2175430.5"/>
    <x v="0"/>
    <n v="166"/>
    <n v="2217278.0000000009"/>
    <n v="0"/>
    <m/>
    <n v="0"/>
    <m/>
    <n v="0"/>
    <m/>
    <n v="0"/>
    <m/>
    <n v="0"/>
    <n v="2451408.4999999995"/>
    <n v="0"/>
    <n v="0"/>
    <m/>
    <n v="0"/>
    <m/>
    <n v="0"/>
    <m/>
    <n v="0"/>
    <n v="2630296.0000000019"/>
    <n v="0"/>
    <n v="0"/>
    <n v="166"/>
    <n v="0"/>
    <n v="0"/>
    <x v="13"/>
    <n v="2012"/>
    <m/>
    <s v=""/>
    <n v="0"/>
    <s v=""/>
    <x v="1"/>
    <m/>
    <n v="0"/>
    <s v="No change"/>
    <n v="6.0410507639565125E-2"/>
    <n v="0.33177029268299996"/>
    <n v="0"/>
    <n v="0"/>
    <x v="13"/>
    <n v="0"/>
    <n v="0"/>
  </r>
  <r>
    <x v="4"/>
    <s v="BWA"/>
    <n v="2175431.5"/>
    <x v="1"/>
    <n v="0"/>
    <n v="2217278.0000000009"/>
    <n v="668"/>
    <m/>
    <n v="0"/>
    <m/>
    <n v="0"/>
    <m/>
    <n v="13"/>
    <m/>
    <n v="0"/>
    <n v="2451408.4999999995"/>
    <n v="0"/>
    <n v="0"/>
    <m/>
    <n v="0"/>
    <m/>
    <n v="0"/>
    <m/>
    <n v="0"/>
    <n v="2630296.0000000019"/>
    <n v="0"/>
    <n v="0"/>
    <n v="668"/>
    <n v="13"/>
    <n v="0"/>
    <x v="14"/>
    <n v="2013"/>
    <m/>
    <s v=""/>
    <n v="0"/>
    <s v=""/>
    <x v="1"/>
    <m/>
    <n v="0"/>
    <s v="No change"/>
    <n v="6.0410507639565125E-2"/>
    <n v="0.33177029268299996"/>
    <n v="0"/>
    <n v="0"/>
    <x v="14"/>
    <n v="0"/>
    <n v="0"/>
  </r>
  <r>
    <x v="4"/>
    <s v="BWA"/>
    <n v="2175432.5"/>
    <x v="2"/>
    <n v="0"/>
    <n v="2217278.0000000009"/>
    <n v="166"/>
    <m/>
    <n v="0"/>
    <m/>
    <n v="14743"/>
    <m/>
    <n v="208"/>
    <m/>
    <n v="0"/>
    <n v="2451408.4999999995"/>
    <n v="0"/>
    <n v="99"/>
    <m/>
    <n v="0"/>
    <m/>
    <n v="0"/>
    <m/>
    <n v="0"/>
    <n v="2630296.0000000019"/>
    <n v="0"/>
    <n v="99"/>
    <n v="14743"/>
    <n v="208"/>
    <n v="0"/>
    <x v="13"/>
    <n v="2013"/>
    <n v="99"/>
    <s v="2018 (triag)"/>
    <n v="99"/>
    <s v="2018 (triag)"/>
    <x v="1"/>
    <n v="99"/>
    <n v="99"/>
    <s v="No change"/>
    <n v="6.0410507639565125E-2"/>
    <n v="0.33177029268299996"/>
    <n v="73.190623019618045"/>
    <n v="267.85096583043713"/>
    <x v="13"/>
    <n v="0.40384946042244702"/>
    <n v="0.37638349448122921"/>
  </r>
  <r>
    <x v="4"/>
    <s v="BWA"/>
    <n v="2175433.5"/>
    <x v="3"/>
    <n v="0"/>
    <n v="2217278.0000000009"/>
    <n v="0"/>
    <m/>
    <n v="0"/>
    <m/>
    <n v="0"/>
    <m/>
    <n v="0"/>
    <m/>
    <n v="0"/>
    <n v="2451408.4999999995"/>
    <n v="1563"/>
    <n v="1622"/>
    <m/>
    <n v="1421"/>
    <m/>
    <n v="1423"/>
    <m/>
    <n v="1519"/>
    <n v="2630296.0000000019"/>
    <n v="1563"/>
    <n v="1622"/>
    <n v="0"/>
    <n v="1563"/>
    <n v="1563"/>
    <x v="0"/>
    <s v=""/>
    <n v="1622"/>
    <s v="2018 (triag)"/>
    <n v="1563"/>
    <n v="2022"/>
    <x v="0"/>
    <n v="1796.3537810728089"/>
    <n v="1796.3537810728089"/>
    <s v="Increasing"/>
    <n v="6.0410507639565125E-2"/>
    <n v="0.33177029268299996"/>
    <n v="1199.1433387658633"/>
    <n v="4388.4269351208986"/>
    <x v="0"/>
    <n v="6.6166042909617078"/>
    <n v="6.829473873179321"/>
  </r>
  <r>
    <x v="4"/>
    <s v="BWA"/>
    <n v="2175434.5"/>
    <x v="4"/>
    <n v="0"/>
    <n v="2217278.0000000009"/>
    <n v="0"/>
    <m/>
    <n v="0"/>
    <m/>
    <n v="0"/>
    <m/>
    <n v="0"/>
    <m/>
    <n v="0"/>
    <n v="2451408.4999999995"/>
    <n v="156"/>
    <n v="156"/>
    <m/>
    <n v="131"/>
    <m/>
    <n v="125"/>
    <m/>
    <n v="147"/>
    <n v="2630296.0000000019"/>
    <n v="159"/>
    <n v="0"/>
    <n v="0"/>
    <n v="156"/>
    <n v="159"/>
    <x v="0"/>
    <s v=""/>
    <n v="156"/>
    <n v="2018"/>
    <n v="159"/>
    <n v="2022"/>
    <x v="1"/>
    <n v="159"/>
    <n v="159"/>
    <s v="Increasing"/>
    <n v="6.0410507639565125E-2"/>
    <n v="0.33177029268299996"/>
    <n v="0"/>
    <n v="0"/>
    <x v="0"/>
    <n v="0.63636884672628014"/>
    <n v="0.6044947032577318"/>
  </r>
  <r>
    <x v="4"/>
    <s v="BWA"/>
    <n v="2175435.5"/>
    <x v="5"/>
    <n v="0"/>
    <n v="2217278.0000000009"/>
    <n v="0"/>
    <m/>
    <n v="0"/>
    <m/>
    <n v="0"/>
    <m/>
    <n v="0"/>
    <m/>
    <n v="0"/>
    <n v="2451408.4999999995"/>
    <n v="27"/>
    <n v="27"/>
    <m/>
    <n v="33"/>
    <m/>
    <n v="33"/>
    <m/>
    <n v="35"/>
    <n v="2630296.0000000019"/>
    <n v="33"/>
    <n v="0"/>
    <n v="0"/>
    <n v="33"/>
    <n v="35"/>
    <x v="0"/>
    <s v=""/>
    <n v="27"/>
    <n v="2018"/>
    <n v="33"/>
    <n v="2020"/>
    <x v="1"/>
    <n v="33"/>
    <n v="33"/>
    <s v="Increasing"/>
    <n v="6.0410507639565125E-2"/>
    <n v="0.33177029268299996"/>
    <n v="0"/>
    <n v="0"/>
    <x v="0"/>
    <n v="0.11014076193339464"/>
    <n v="0.12546116482707642"/>
  </r>
  <r>
    <x v="4"/>
    <s v="BWA"/>
    <n v="2175436.5"/>
    <x v="6"/>
    <n v="0"/>
    <n v="2217278.0000000009"/>
    <n v="0"/>
    <m/>
    <n v="0"/>
    <m/>
    <n v="0"/>
    <m/>
    <n v="0"/>
    <m/>
    <n v="0"/>
    <n v="2451408.4999999995"/>
    <n v="160"/>
    <n v="160"/>
    <m/>
    <n v="156"/>
    <m/>
    <n v="167"/>
    <m/>
    <n v="161"/>
    <n v="2630296.0000000019"/>
    <n v="191"/>
    <n v="0"/>
    <n v="0"/>
    <n v="160"/>
    <n v="191"/>
    <x v="0"/>
    <s v=""/>
    <n v="160"/>
    <n v="2018"/>
    <n v="191"/>
    <n v="2022"/>
    <x v="1"/>
    <n v="191"/>
    <n v="191"/>
    <s v="Increasing"/>
    <n v="6.0410507639565125E-2"/>
    <n v="0.33177029268299996"/>
    <n v="0"/>
    <n v="0"/>
    <x v="0"/>
    <n v="0.65268599664233862"/>
    <n v="0.72615401460519979"/>
  </r>
  <r>
    <x v="4"/>
    <s v="BWA"/>
    <n v="2175437.5"/>
    <x v="7"/>
    <n v="0"/>
    <n v="2217278.0000000009"/>
    <n v="0"/>
    <m/>
    <n v="0"/>
    <m/>
    <n v="0"/>
    <m/>
    <n v="0"/>
    <m/>
    <n v="0"/>
    <n v="2451408.4999999995"/>
    <n v="63"/>
    <n v="63"/>
    <m/>
    <n v="64"/>
    <m/>
    <n v="67"/>
    <m/>
    <n v="66"/>
    <n v="2630296.0000000019"/>
    <n v="63"/>
    <n v="0"/>
    <n v="0"/>
    <n v="64"/>
    <n v="67"/>
    <x v="0"/>
    <s v=""/>
    <n v="63"/>
    <n v="2018"/>
    <n v="63"/>
    <n v="2022"/>
    <x v="1"/>
    <n v="63"/>
    <n v="63"/>
    <s v="No change"/>
    <n v="6.0410507639565125E-2"/>
    <n v="0.33177029268299996"/>
    <n v="0"/>
    <n v="0"/>
    <x v="0"/>
    <n v="0.25699511117792084"/>
    <n v="0.23951676921532769"/>
  </r>
  <r>
    <x v="4"/>
    <s v="BWA"/>
    <n v="2175438.5"/>
    <x v="8"/>
    <n v="0"/>
    <n v="2217278.0000000009"/>
    <n v="0"/>
    <m/>
    <n v="0"/>
    <m/>
    <n v="0"/>
    <m/>
    <n v="0"/>
    <m/>
    <n v="0"/>
    <n v="2451408.4999999995"/>
    <n v="134"/>
    <n v="134"/>
    <m/>
    <n v="116"/>
    <m/>
    <n v="117"/>
    <m/>
    <n v="123"/>
    <n v="2630296.0000000019"/>
    <n v="82"/>
    <n v="78"/>
    <n v="0"/>
    <n v="134"/>
    <n v="123"/>
    <x v="0"/>
    <s v=""/>
    <n v="134"/>
    <n v="2018"/>
    <n v="82"/>
    <n v="2022"/>
    <x v="0"/>
    <n v="94.242488834274042"/>
    <n v="134"/>
    <s v="Decreasing"/>
    <n v="6.0410507639565125E-2"/>
    <n v="0.33177029268299996"/>
    <n v="57.665339348789971"/>
    <n v="211.03409429064743"/>
    <x v="0"/>
    <n v="0.54662452218795854"/>
    <n v="0.35829613410153827"/>
  </r>
  <r>
    <x v="4"/>
    <s v="BWA"/>
    <n v="2175439.5"/>
    <x v="9"/>
    <n v="0"/>
    <n v="2217278.0000000009"/>
    <n v="0"/>
    <m/>
    <n v="0"/>
    <m/>
    <n v="0"/>
    <m/>
    <n v="0"/>
    <m/>
    <n v="0"/>
    <n v="2451408.4999999995"/>
    <n v="73"/>
    <n v="73"/>
    <m/>
    <n v="110"/>
    <m/>
    <n v="63"/>
    <m/>
    <n v="62"/>
    <n v="2630296.0000000019"/>
    <n v="74"/>
    <n v="62"/>
    <n v="0"/>
    <n v="110"/>
    <n v="74"/>
    <x v="0"/>
    <s v=""/>
    <n v="73"/>
    <n v="2018"/>
    <n v="74"/>
    <n v="2022"/>
    <x v="1"/>
    <n v="74"/>
    <n v="74"/>
    <s v="Increasing"/>
    <n v="6.0410507639565125E-2"/>
    <n v="0.33177029268299996"/>
    <n v="45.836551790063822"/>
    <n v="167.74504930795052"/>
    <x v="0"/>
    <n v="0.29778798596806699"/>
    <n v="0.28133715749101984"/>
  </r>
  <r>
    <x v="4"/>
    <s v="BWA"/>
    <n v="2175440.5"/>
    <x v="10"/>
    <n v="0"/>
    <n v="2217278.0000000009"/>
    <n v="0"/>
    <m/>
    <n v="0"/>
    <m/>
    <n v="0"/>
    <m/>
    <n v="0"/>
    <m/>
    <n v="0"/>
    <n v="2451408.4999999995"/>
    <n v="5"/>
    <n v="5"/>
    <m/>
    <n v="3"/>
    <m/>
    <n v="3"/>
    <m/>
    <n v="6"/>
    <n v="2630296.0000000019"/>
    <n v="4"/>
    <n v="1"/>
    <n v="0"/>
    <n v="5"/>
    <n v="6"/>
    <x v="0"/>
    <s v=""/>
    <n v="5"/>
    <n v="2018"/>
    <n v="4"/>
    <n v="2022"/>
    <x v="0"/>
    <n v="4.5971945772816607"/>
    <n v="5"/>
    <s v="Decreasing"/>
    <n v="6.0410507639565125E-2"/>
    <n v="0.33177029268299996"/>
    <n v="0.73929922242038426"/>
    <n v="2.7055653114185567"/>
    <x v="0"/>
    <n v="2.0396437395073082E-2"/>
    <n v="1.7477860200075041E-2"/>
  </r>
  <r>
    <x v="4"/>
    <s v="BWA"/>
    <n v="2175441.5"/>
    <x v="11"/>
    <n v="0"/>
    <n v="2217278.0000000009"/>
    <n v="0"/>
    <m/>
    <n v="0"/>
    <m/>
    <n v="0"/>
    <m/>
    <n v="0"/>
    <m/>
    <n v="0"/>
    <n v="2451408.4999999995"/>
    <n v="1248"/>
    <n v="1248"/>
    <m/>
    <n v="1376"/>
    <m/>
    <n v="1221"/>
    <m/>
    <n v="1355"/>
    <n v="2630296.0000000019"/>
    <n v="1579"/>
    <n v="0"/>
    <n v="0"/>
    <n v="1376"/>
    <n v="1579"/>
    <x v="0"/>
    <s v=""/>
    <n v="1248"/>
    <n v="2018"/>
    <n v="1579"/>
    <n v="2022"/>
    <x v="1"/>
    <n v="1579"/>
    <n v="1579"/>
    <s v="Increasing"/>
    <n v="6.0410507639565125E-2"/>
    <n v="0.33177029268299996"/>
    <n v="0"/>
    <n v="0"/>
    <x v="0"/>
    <n v="5.0909507738102411"/>
    <n v="6.0031266443016253"/>
  </r>
  <r>
    <x v="4"/>
    <s v="BWA"/>
    <n v="2175442.5"/>
    <x v="12"/>
    <n v="0"/>
    <n v="2217278.0000000009"/>
    <n v="0"/>
    <m/>
    <n v="0"/>
    <m/>
    <n v="0"/>
    <m/>
    <n v="0"/>
    <m/>
    <n v="0"/>
    <n v="2451408.4999999995"/>
    <n v="3342"/>
    <n v="3342"/>
    <m/>
    <n v="3956"/>
    <m/>
    <n v="3691"/>
    <m/>
    <n v="3629"/>
    <n v="2630296.0000000019"/>
    <n v="3204"/>
    <n v="20"/>
    <n v="0"/>
    <n v="3956"/>
    <n v="3691"/>
    <x v="0"/>
    <s v=""/>
    <n v="3342"/>
    <n v="2018"/>
    <n v="3204"/>
    <n v="2022"/>
    <x v="0"/>
    <n v="3682.3528564026101"/>
    <n v="3682.3528564026101"/>
    <s v="Increasing"/>
    <n v="6.0410507639565125E-2"/>
    <n v="0.33177029268299996"/>
    <n v="14.785984448407685"/>
    <n v="54.111306228371134"/>
    <x v="0"/>
    <n v="13.632978754866848"/>
    <n v="13.999766020260106"/>
  </r>
  <r>
    <x v="4"/>
    <s v="BWA"/>
    <n v="2175443.5"/>
    <x v="13"/>
    <n v="0"/>
    <n v="2217278.0000000009"/>
    <n v="0"/>
    <m/>
    <n v="0"/>
    <m/>
    <n v="0"/>
    <m/>
    <n v="0"/>
    <m/>
    <n v="0"/>
    <n v="2451408.4999999995"/>
    <n v="318"/>
    <n v="460"/>
    <m/>
    <n v="330"/>
    <m/>
    <n v="338"/>
    <m/>
    <n v="337"/>
    <n v="2630296.0000000019"/>
    <n v="318"/>
    <n v="460"/>
    <n v="0"/>
    <n v="330"/>
    <n v="338"/>
    <x v="0"/>
    <s v=""/>
    <n v="460"/>
    <s v="2018 (triag)"/>
    <n v="318"/>
    <n v="2022"/>
    <x v="0"/>
    <n v="365.47696889389204"/>
    <n v="460"/>
    <s v="Decreasing"/>
    <n v="6.0410507639565125E-2"/>
    <n v="0.33177029268299996"/>
    <n v="340.07764231337677"/>
    <n v="1244.5600432525362"/>
    <x v="0"/>
    <n v="1.8764722403467236"/>
    <n v="1.3894898859059657"/>
  </r>
  <r>
    <x v="4"/>
    <s v="BWA"/>
    <n v="2175444.5"/>
    <x v="14"/>
    <n v="0"/>
    <n v="2217278.0000000009"/>
    <n v="0"/>
    <m/>
    <n v="0"/>
    <m/>
    <n v="0"/>
    <m/>
    <n v="0"/>
    <m/>
    <n v="0"/>
    <n v="2451408.4999999995"/>
    <n v="10"/>
    <n v="58"/>
    <m/>
    <n v="10"/>
    <m/>
    <n v="10"/>
    <m/>
    <n v="11"/>
    <n v="2630296.0000000019"/>
    <n v="6"/>
    <n v="58"/>
    <n v="0"/>
    <n v="10"/>
    <n v="11"/>
    <x v="0"/>
    <s v=""/>
    <n v="58"/>
    <s v="2018 (triag)"/>
    <n v="6"/>
    <n v="2022"/>
    <x v="0"/>
    <n v="6.895791865922491"/>
    <n v="58"/>
    <s v="Decreasing"/>
    <n v="6.0410507639565125E-2"/>
    <n v="0.33177029268299996"/>
    <n v="42.879354900382289"/>
    <n v="156.92278806227628"/>
    <x v="0"/>
    <n v="0.23659867378284774"/>
    <n v="2.621679030011256E-2"/>
  </r>
  <r>
    <x v="4"/>
    <s v="BWA"/>
    <n v="2175445.5"/>
    <x v="15"/>
    <n v="0"/>
    <n v="2217278.0000000009"/>
    <n v="0"/>
    <m/>
    <n v="0"/>
    <m/>
    <n v="0"/>
    <m/>
    <n v="0"/>
    <m/>
    <n v="0"/>
    <n v="2451408.4999999995"/>
    <n v="42"/>
    <n v="42"/>
    <m/>
    <n v="38"/>
    <m/>
    <n v="66"/>
    <m/>
    <n v="42"/>
    <n v="2630296.0000000019"/>
    <n v="30"/>
    <n v="38"/>
    <n v="0"/>
    <n v="42"/>
    <n v="66"/>
    <x v="0"/>
    <s v=""/>
    <n v="42"/>
    <n v="2018"/>
    <n v="30"/>
    <n v="2022"/>
    <x v="0"/>
    <n v="34.478959329612458"/>
    <n v="42"/>
    <s v="Decreasing"/>
    <n v="6.0410507639565125E-2"/>
    <n v="0.33177029268299996"/>
    <n v="28.0933704519746"/>
    <n v="102.81148183390516"/>
    <x v="0"/>
    <n v="0.1713300741186139"/>
    <n v="0.13108395150056282"/>
  </r>
  <r>
    <x v="4"/>
    <s v="BWA"/>
    <n v="2175446.5"/>
    <x v="16"/>
    <n v="0"/>
    <n v="2217278.0000000009"/>
    <n v="0"/>
    <m/>
    <n v="0"/>
    <m/>
    <n v="0"/>
    <m/>
    <n v="0"/>
    <m/>
    <n v="0"/>
    <n v="2451408.4999999995"/>
    <n v="0"/>
    <n v="0"/>
    <m/>
    <n v="0"/>
    <m/>
    <n v="0"/>
    <m/>
    <n v="0"/>
    <n v="2630296.0000000019"/>
    <n v="0"/>
    <n v="0"/>
    <n v="0"/>
    <n v="0"/>
    <n v="0"/>
    <x v="0"/>
    <s v=""/>
    <m/>
    <s v=""/>
    <n v="0"/>
    <s v=""/>
    <x v="1"/>
    <m/>
    <n v="0"/>
    <s v="No change"/>
    <n v="6.0410507639565125E-2"/>
    <n v="0.33177029268299996"/>
    <n v="0"/>
    <n v="0"/>
    <x v="0"/>
    <n v="0"/>
    <n v="0"/>
  </r>
  <r>
    <x v="4"/>
    <s v="BWA"/>
    <n v="2175447.5"/>
    <x v="17"/>
    <n v="0"/>
    <n v="2217278.0000000009"/>
    <n v="0"/>
    <m/>
    <n v="0"/>
    <m/>
    <n v="0"/>
    <m/>
    <n v="0"/>
    <m/>
    <n v="0"/>
    <n v="2451408.4999999995"/>
    <n v="9"/>
    <n v="9"/>
    <m/>
    <n v="8"/>
    <m/>
    <n v="7"/>
    <m/>
    <n v="8"/>
    <n v="2630296.0000000019"/>
    <n v="11"/>
    <n v="0"/>
    <n v="0"/>
    <n v="9"/>
    <n v="11"/>
    <x v="0"/>
    <s v=""/>
    <n v="9"/>
    <n v="2018"/>
    <n v="11"/>
    <n v="2022"/>
    <x v="1"/>
    <n v="11"/>
    <n v="11"/>
    <s v="Increasing"/>
    <n v="6.0410507639565125E-2"/>
    <n v="0.33177029268299996"/>
    <n v="0"/>
    <n v="0"/>
    <x v="0"/>
    <n v="3.6713587311131543E-2"/>
    <n v="4.1820388275692136E-2"/>
  </r>
  <r>
    <x v="4"/>
    <s v="BWA"/>
    <n v="2175448.5"/>
    <x v="18"/>
    <n v="0"/>
    <n v="2217278.0000000009"/>
    <n v="0"/>
    <m/>
    <n v="0"/>
    <m/>
    <n v="0"/>
    <m/>
    <n v="0"/>
    <m/>
    <n v="0"/>
    <n v="2451408.4999999995"/>
    <n v="0"/>
    <n v="0"/>
    <m/>
    <n v="0"/>
    <m/>
    <n v="0"/>
    <m/>
    <n v="0"/>
    <n v="2630296.0000000019"/>
    <n v="0"/>
    <n v="0"/>
    <n v="0"/>
    <n v="0"/>
    <n v="0"/>
    <x v="0"/>
    <s v=""/>
    <m/>
    <s v=""/>
    <n v="0"/>
    <s v=""/>
    <x v="1"/>
    <m/>
    <n v="0"/>
    <s v="No change"/>
    <n v="6.0410507639565125E-2"/>
    <n v="0.33177029268299996"/>
    <n v="0"/>
    <n v="0"/>
    <x v="0"/>
    <n v="0"/>
    <n v="0"/>
  </r>
  <r>
    <x v="5"/>
    <s v="CAF"/>
    <n v="4773310.5"/>
    <x v="0"/>
    <n v="0"/>
    <n v="4802428.5000000065"/>
    <n v="0"/>
    <m/>
    <n v="0"/>
    <m/>
    <n v="0"/>
    <m/>
    <n v="0"/>
    <m/>
    <n v="0"/>
    <n v="5094779.9999999991"/>
    <n v="115"/>
    <n v="115"/>
    <m/>
    <n v="0"/>
    <m/>
    <n v="0"/>
    <m/>
    <n v="1595"/>
    <n v="5579143.5000000047"/>
    <n v="0"/>
    <n v="115"/>
    <n v="0"/>
    <n v="115"/>
    <n v="1595"/>
    <x v="0"/>
    <s v=""/>
    <n v="115"/>
    <n v="2018"/>
    <n v="1595"/>
    <n v="2021"/>
    <x v="1"/>
    <n v="1595"/>
    <n v="1595"/>
    <s v="Increasing"/>
    <n v="1.405403127486049E-2"/>
    <n v="5.4673730437993617E-2"/>
    <n v="107.19632560633407"/>
    <n v="135.49751757567779"/>
    <x v="0"/>
    <n v="0.22572122839455289"/>
    <n v="2.8588617589778766"/>
  </r>
  <r>
    <x v="5"/>
    <s v="CAF"/>
    <n v="4773311.5"/>
    <x v="1"/>
    <n v="15"/>
    <n v="4802428.5000000065"/>
    <n v="44"/>
    <m/>
    <n v="44"/>
    <m/>
    <n v="0"/>
    <m/>
    <n v="11"/>
    <m/>
    <n v="55"/>
    <n v="5094779.9999999991"/>
    <n v="77"/>
    <n v="77"/>
    <m/>
    <n v="0"/>
    <m/>
    <n v="0"/>
    <m/>
    <n v="0"/>
    <n v="5579143.5000000047"/>
    <n v="1634"/>
    <n v="0"/>
    <n v="44"/>
    <n v="77"/>
    <n v="1634"/>
    <x v="3"/>
    <n v="2013"/>
    <n v="77"/>
    <n v="2018"/>
    <n v="1634"/>
    <n v="2022"/>
    <x v="1"/>
    <n v="1634"/>
    <n v="1634"/>
    <s v="Increasing"/>
    <n v="1.405403127486049E-2"/>
    <n v="5.4673730437993617E-2"/>
    <n v="0"/>
    <n v="0"/>
    <x v="15"/>
    <n v="0.15113508335983106"/>
    <n v="2.9287649618619751"/>
  </r>
  <r>
    <x v="5"/>
    <s v="CAF"/>
    <n v="4773312.5"/>
    <x v="2"/>
    <n v="11"/>
    <n v="4802428.5000000065"/>
    <n v="257"/>
    <m/>
    <n v="0"/>
    <m/>
    <n v="0"/>
    <m/>
    <n v="0"/>
    <m/>
    <n v="669"/>
    <n v="5094779.9999999991"/>
    <n v="0"/>
    <n v="105"/>
    <m/>
    <n v="0"/>
    <m/>
    <n v="0"/>
    <m/>
    <n v="0"/>
    <n v="5579143.5000000047"/>
    <n v="47"/>
    <n v="105"/>
    <n v="257"/>
    <n v="669"/>
    <n v="47"/>
    <x v="15"/>
    <n v="2013"/>
    <n v="105"/>
    <s v="2018 (triag)"/>
    <n v="47"/>
    <n v="2022"/>
    <x v="0"/>
    <n v="60.353598014888341"/>
    <n v="105"/>
    <s v="Decreasing"/>
    <n v="1.405403127486049E-2"/>
    <n v="5.4673730437993617E-2"/>
    <n v="97.874905988391973"/>
    <n v="123.71512474301016"/>
    <x v="16"/>
    <n v="0.20609329549067873"/>
    <n v="0.10817717453384788"/>
  </r>
  <r>
    <x v="5"/>
    <s v="CAF"/>
    <n v="4773313.5"/>
    <x v="3"/>
    <n v="0"/>
    <n v="4802428.5000000065"/>
    <n v="0"/>
    <m/>
    <n v="0"/>
    <m/>
    <n v="0"/>
    <m/>
    <n v="0"/>
    <m/>
    <n v="0"/>
    <n v="5094779.9999999991"/>
    <n v="0"/>
    <n v="79"/>
    <m/>
    <n v="0"/>
    <m/>
    <n v="0"/>
    <m/>
    <n v="308"/>
    <n v="5579143.5000000047"/>
    <n v="0"/>
    <n v="79"/>
    <n v="0"/>
    <n v="0"/>
    <n v="308"/>
    <x v="0"/>
    <s v=""/>
    <n v="79"/>
    <s v="2018 (triag)"/>
    <n v="308"/>
    <n v="2021"/>
    <x v="1"/>
    <n v="308"/>
    <n v="308"/>
    <s v="Increasing"/>
    <n v="1.405403127486049E-2"/>
    <n v="5.4673730437993617E-2"/>
    <n v="73.639214981742541"/>
    <n v="93.080903378074311"/>
    <x v="0"/>
    <n v="0.15506066994060591"/>
    <n v="0.5520560638026244"/>
  </r>
  <r>
    <x v="5"/>
    <s v="CAF"/>
    <n v="4773314.5"/>
    <x v="4"/>
    <n v="0"/>
    <n v="4802428.5000000065"/>
    <n v="0"/>
    <m/>
    <n v="0"/>
    <m/>
    <n v="0"/>
    <m/>
    <n v="0"/>
    <m/>
    <n v="0"/>
    <n v="5094779.9999999991"/>
    <n v="0"/>
    <n v="22"/>
    <m/>
    <n v="0"/>
    <m/>
    <n v="0"/>
    <m/>
    <n v="0"/>
    <n v="5579143.5000000047"/>
    <n v="0"/>
    <n v="22"/>
    <n v="0"/>
    <n v="0"/>
    <n v="0"/>
    <x v="0"/>
    <s v=""/>
    <n v="22"/>
    <s v="2018 (triag)"/>
    <n v="22"/>
    <s v="2018 (triag)"/>
    <x v="1"/>
    <n v="22"/>
    <n v="22"/>
    <s v="No change"/>
    <n v="1.405403127486049E-2"/>
    <n v="5.4673730437993617E-2"/>
    <n v="20.507123159472606"/>
    <n v="25.921264231868797"/>
    <x v="0"/>
    <n v="4.318145238852316E-2"/>
    <n v="3.9432575985901747E-2"/>
  </r>
  <r>
    <x v="5"/>
    <s v="CAF"/>
    <n v="4773315.5"/>
    <x v="5"/>
    <n v="0"/>
    <n v="4802428.5000000065"/>
    <n v="0"/>
    <m/>
    <n v="0"/>
    <m/>
    <n v="0"/>
    <m/>
    <n v="0"/>
    <m/>
    <n v="0"/>
    <n v="5094779.9999999991"/>
    <n v="1"/>
    <n v="1"/>
    <m/>
    <n v="0"/>
    <m/>
    <n v="0"/>
    <m/>
    <n v="0"/>
    <n v="5579143.5000000047"/>
    <n v="0"/>
    <n v="0"/>
    <n v="0"/>
    <n v="1"/>
    <n v="0"/>
    <x v="0"/>
    <s v=""/>
    <n v="1"/>
    <n v="2018"/>
    <n v="1"/>
    <n v="2018"/>
    <x v="1"/>
    <n v="1"/>
    <n v="1"/>
    <s v="No change"/>
    <n v="1.405403127486049E-2"/>
    <n v="5.4673730437993617E-2"/>
    <n v="0"/>
    <n v="0"/>
    <x v="0"/>
    <n v="1.9627932903874164E-3"/>
    <n v="1.7923898175409884E-3"/>
  </r>
  <r>
    <x v="5"/>
    <s v="CAF"/>
    <n v="4773316.5"/>
    <x v="6"/>
    <n v="0"/>
    <n v="4802428.5000000065"/>
    <n v="0"/>
    <m/>
    <n v="0"/>
    <m/>
    <n v="0"/>
    <m/>
    <n v="0"/>
    <m/>
    <n v="0"/>
    <n v="5094779.9999999991"/>
    <n v="112"/>
    <n v="112"/>
    <m/>
    <n v="0"/>
    <m/>
    <n v="0"/>
    <m/>
    <n v="0"/>
    <n v="5579143.5000000047"/>
    <n v="0"/>
    <n v="3"/>
    <n v="0"/>
    <n v="112"/>
    <n v="0"/>
    <x v="0"/>
    <s v=""/>
    <n v="112"/>
    <n v="2018"/>
    <n v="112"/>
    <n v="2018"/>
    <x v="1"/>
    <n v="112"/>
    <n v="112"/>
    <s v="No change"/>
    <n v="1.405403127486049E-2"/>
    <n v="5.4673730437993617E-2"/>
    <n v="2.7964258853826278"/>
    <n v="3.5347178498002902"/>
    <x v="0"/>
    <n v="0.21983284852339066"/>
    <n v="0.2007476595645907"/>
  </r>
  <r>
    <x v="5"/>
    <s v="CAF"/>
    <n v="4773317.5"/>
    <x v="7"/>
    <n v="0"/>
    <n v="4802428.5000000065"/>
    <n v="0"/>
    <m/>
    <n v="0"/>
    <m/>
    <n v="0"/>
    <m/>
    <n v="0"/>
    <m/>
    <n v="0"/>
    <n v="5094779.9999999991"/>
    <n v="0"/>
    <n v="104"/>
    <m/>
    <n v="0"/>
    <m/>
    <n v="0"/>
    <m/>
    <n v="0"/>
    <n v="5579143.5000000047"/>
    <n v="0"/>
    <n v="104"/>
    <n v="0"/>
    <n v="0"/>
    <n v="0"/>
    <x v="0"/>
    <s v=""/>
    <n v="104"/>
    <s v="2018 (triag)"/>
    <n v="104"/>
    <s v="2018 (triag)"/>
    <x v="1"/>
    <n v="104"/>
    <n v="104"/>
    <s v="No change"/>
    <n v="1.405403127486049E-2"/>
    <n v="5.4673730437993617E-2"/>
    <n v="96.942764026597771"/>
    <n v="122.53688545974339"/>
    <x v="0"/>
    <n v="0.2041305022002913"/>
    <n v="0.1864085410242628"/>
  </r>
  <r>
    <x v="5"/>
    <s v="CAF"/>
    <n v="4773318.5"/>
    <x v="8"/>
    <n v="0"/>
    <n v="4802428.5000000065"/>
    <n v="0"/>
    <m/>
    <n v="0"/>
    <m/>
    <n v="0"/>
    <m/>
    <n v="0"/>
    <m/>
    <n v="0"/>
    <n v="5094779.9999999991"/>
    <n v="0"/>
    <n v="3"/>
    <m/>
    <n v="0"/>
    <m/>
    <n v="0"/>
    <m/>
    <n v="0"/>
    <n v="5579143.5000000047"/>
    <n v="0"/>
    <n v="3"/>
    <n v="0"/>
    <n v="0"/>
    <n v="0"/>
    <x v="0"/>
    <s v=""/>
    <n v="3"/>
    <s v="2018 (triag)"/>
    <n v="3"/>
    <s v="2018 (triag)"/>
    <x v="1"/>
    <n v="3"/>
    <n v="3"/>
    <s v="No change"/>
    <n v="1.405403127486049E-2"/>
    <n v="5.4673730437993617E-2"/>
    <n v="2.7964258853826278"/>
    <n v="3.5347178498002902"/>
    <x v="0"/>
    <n v="5.8883798711622491E-3"/>
    <n v="5.3771694526229654E-3"/>
  </r>
  <r>
    <x v="5"/>
    <s v="CAF"/>
    <n v="4773319.5"/>
    <x v="9"/>
    <n v="0"/>
    <n v="4802428.5000000065"/>
    <n v="0"/>
    <m/>
    <n v="0"/>
    <m/>
    <n v="0"/>
    <m/>
    <n v="0"/>
    <m/>
    <n v="0"/>
    <n v="5094779.9999999991"/>
    <n v="0"/>
    <n v="20"/>
    <m/>
    <n v="0"/>
    <m/>
    <n v="0"/>
    <m/>
    <n v="0"/>
    <n v="5579143.5000000047"/>
    <n v="0"/>
    <n v="20"/>
    <n v="0"/>
    <n v="0"/>
    <n v="0"/>
    <x v="0"/>
    <s v=""/>
    <n v="20"/>
    <s v="2018 (triag)"/>
    <n v="20"/>
    <s v="2018 (triag)"/>
    <x v="1"/>
    <n v="20"/>
    <n v="20"/>
    <s v="No change"/>
    <n v="1.405403127486049E-2"/>
    <n v="5.4673730437993617E-2"/>
    <n v="18.642839235884185"/>
    <n v="23.564785665335268"/>
    <x v="0"/>
    <n v="3.9255865807748327E-2"/>
    <n v="3.584779635081977E-2"/>
  </r>
  <r>
    <x v="5"/>
    <s v="CAF"/>
    <n v="4773320.5"/>
    <x v="10"/>
    <n v="0"/>
    <n v="4802428.5000000065"/>
    <n v="0"/>
    <m/>
    <n v="0"/>
    <m/>
    <n v="0"/>
    <m/>
    <n v="0"/>
    <m/>
    <n v="0"/>
    <n v="5094779.9999999991"/>
    <n v="0"/>
    <n v="0"/>
    <m/>
    <n v="0"/>
    <m/>
    <n v="0"/>
    <m/>
    <n v="0"/>
    <n v="5579143.5000000047"/>
    <n v="0"/>
    <n v="0"/>
    <n v="0"/>
    <n v="0"/>
    <n v="0"/>
    <x v="0"/>
    <s v=""/>
    <m/>
    <s v=""/>
    <n v="0"/>
    <s v=""/>
    <x v="1"/>
    <m/>
    <n v="0"/>
    <s v="No change"/>
    <n v="1.405403127486049E-2"/>
    <n v="5.4673730437993617E-2"/>
    <n v="0"/>
    <n v="0"/>
    <x v="0"/>
    <n v="0"/>
    <n v="0"/>
  </r>
  <r>
    <x v="5"/>
    <s v="CAF"/>
    <n v="4773321.5"/>
    <x v="11"/>
    <n v="0"/>
    <n v="4802428.5000000065"/>
    <n v="0"/>
    <m/>
    <n v="0"/>
    <m/>
    <n v="0"/>
    <m/>
    <n v="0"/>
    <m/>
    <n v="0"/>
    <n v="5094779.9999999991"/>
    <n v="0"/>
    <n v="65"/>
    <m/>
    <n v="0"/>
    <m/>
    <n v="0"/>
    <m/>
    <n v="0"/>
    <n v="5579143.5000000047"/>
    <n v="0"/>
    <n v="65"/>
    <n v="0"/>
    <n v="0"/>
    <n v="0"/>
    <x v="0"/>
    <s v=""/>
    <n v="65"/>
    <s v="2018 (triag)"/>
    <n v="65"/>
    <s v="2018 (triag)"/>
    <x v="1"/>
    <n v="65"/>
    <n v="65"/>
    <s v="No change"/>
    <n v="1.405403127486049E-2"/>
    <n v="5.4673730437993617E-2"/>
    <n v="60.589227516623602"/>
    <n v="76.585553412339621"/>
    <x v="0"/>
    <n v="0.12758156387518207"/>
    <n v="0.11650533814016426"/>
  </r>
  <r>
    <x v="5"/>
    <s v="CAF"/>
    <n v="4773322.5"/>
    <x v="12"/>
    <n v="0"/>
    <n v="4802428.5000000065"/>
    <n v="0"/>
    <m/>
    <n v="0"/>
    <m/>
    <n v="0"/>
    <m/>
    <n v="0"/>
    <m/>
    <n v="0"/>
    <n v="5094779.9999999991"/>
    <n v="0"/>
    <n v="14"/>
    <m/>
    <n v="0"/>
    <m/>
    <n v="0"/>
    <m/>
    <n v="0"/>
    <n v="5579143.5000000047"/>
    <n v="0"/>
    <n v="14"/>
    <n v="0"/>
    <n v="0"/>
    <n v="0"/>
    <x v="0"/>
    <s v=""/>
    <n v="14"/>
    <s v="2018 (triag)"/>
    <n v="14"/>
    <s v="2018 (triag)"/>
    <x v="1"/>
    <n v="14"/>
    <n v="14"/>
    <s v="No change"/>
    <n v="1.405403127486049E-2"/>
    <n v="5.4673730437993617E-2"/>
    <n v="13.04998746511893"/>
    <n v="16.49534996573469"/>
    <x v="0"/>
    <n v="2.7479106065423833E-2"/>
    <n v="2.5093457445573838E-2"/>
  </r>
  <r>
    <x v="5"/>
    <s v="CAF"/>
    <n v="4773323.5"/>
    <x v="13"/>
    <n v="0"/>
    <n v="4802428.5000000065"/>
    <n v="0"/>
    <m/>
    <n v="0"/>
    <m/>
    <n v="0"/>
    <m/>
    <n v="0"/>
    <m/>
    <n v="0"/>
    <n v="5094779.9999999991"/>
    <n v="0"/>
    <n v="112"/>
    <m/>
    <n v="0"/>
    <m/>
    <n v="0"/>
    <m/>
    <n v="47"/>
    <n v="5579143.5000000047"/>
    <n v="0"/>
    <n v="112"/>
    <n v="0"/>
    <n v="0"/>
    <n v="47"/>
    <x v="0"/>
    <s v=""/>
    <n v="112"/>
    <s v="2018 (triag)"/>
    <n v="47"/>
    <n v="2021"/>
    <x v="0"/>
    <n v="60.353598014888341"/>
    <n v="112"/>
    <s v="Decreasing"/>
    <n v="1.405403127486049E-2"/>
    <n v="5.4673730437993617E-2"/>
    <n v="104.39989972095144"/>
    <n v="131.96279972587752"/>
    <x v="0"/>
    <n v="0.21983284852339066"/>
    <n v="0.10817717453384788"/>
  </r>
  <r>
    <x v="5"/>
    <s v="CAF"/>
    <n v="4773324.5"/>
    <x v="14"/>
    <n v="0"/>
    <n v="4802428.5000000065"/>
    <n v="0"/>
    <m/>
    <n v="0"/>
    <m/>
    <n v="0"/>
    <m/>
    <n v="0"/>
    <m/>
    <n v="0"/>
    <n v="5094779.9999999991"/>
    <n v="0"/>
    <n v="200"/>
    <m/>
    <n v="0"/>
    <m/>
    <n v="0"/>
    <m/>
    <n v="0"/>
    <n v="5579143.5000000047"/>
    <n v="0"/>
    <n v="200"/>
    <n v="0"/>
    <n v="0"/>
    <n v="0"/>
    <x v="0"/>
    <s v=""/>
    <n v="200"/>
    <s v="2018 (triag)"/>
    <n v="200"/>
    <s v="2018 (triag)"/>
    <x v="1"/>
    <n v="200"/>
    <n v="200"/>
    <s v="No change"/>
    <n v="1.405403127486049E-2"/>
    <n v="5.4673730437993617E-2"/>
    <n v="186.42839235884188"/>
    <n v="235.64785665335268"/>
    <x v="0"/>
    <n v="0.3925586580774833"/>
    <n v="0.35847796350819766"/>
  </r>
  <r>
    <x v="5"/>
    <s v="CAF"/>
    <n v="4773325.5"/>
    <x v="15"/>
    <n v="0"/>
    <n v="4802428.5000000065"/>
    <n v="0"/>
    <m/>
    <n v="0"/>
    <m/>
    <n v="0"/>
    <m/>
    <n v="0"/>
    <m/>
    <n v="0"/>
    <n v="5094779.9999999991"/>
    <n v="0"/>
    <n v="0"/>
    <m/>
    <n v="0"/>
    <m/>
    <n v="0"/>
    <m/>
    <n v="155"/>
    <n v="5579143.5000000047"/>
    <n v="0"/>
    <n v="0"/>
    <n v="0"/>
    <n v="0"/>
    <n v="155"/>
    <x v="0"/>
    <s v=""/>
    <m/>
    <s v=""/>
    <n v="155"/>
    <n v="2021"/>
    <x v="1"/>
    <n v="155"/>
    <n v="155"/>
    <s v="Increasing"/>
    <n v="1.405403127486049E-2"/>
    <n v="5.4673730437993617E-2"/>
    <n v="0"/>
    <n v="0"/>
    <x v="0"/>
    <n v="0"/>
    <n v="0.27782042171885318"/>
  </r>
  <r>
    <x v="5"/>
    <s v="CAF"/>
    <n v="4773326.5"/>
    <x v="16"/>
    <n v="0"/>
    <n v="4802428.5000000065"/>
    <n v="0"/>
    <m/>
    <n v="0"/>
    <m/>
    <n v="83"/>
    <m/>
    <n v="0"/>
    <m/>
    <n v="0"/>
    <n v="5094779.9999999991"/>
    <n v="0"/>
    <n v="0"/>
    <m/>
    <n v="0"/>
    <m/>
    <n v="0"/>
    <m/>
    <n v="0"/>
    <n v="5579143.5000000047"/>
    <n v="0"/>
    <n v="0"/>
    <n v="83"/>
    <n v="0"/>
    <n v="0"/>
    <x v="16"/>
    <n v="2015"/>
    <m/>
    <s v=""/>
    <n v="0"/>
    <s v=""/>
    <x v="1"/>
    <m/>
    <n v="0"/>
    <s v="No change"/>
    <n v="1.405403127486049E-2"/>
    <n v="5.4673730437993617E-2"/>
    <n v="0"/>
    <n v="0"/>
    <x v="17"/>
    <n v="0"/>
    <n v="0"/>
  </r>
  <r>
    <x v="5"/>
    <s v="CAF"/>
    <n v="4773327.5"/>
    <x v="17"/>
    <n v="0"/>
    <n v="4802428.5000000065"/>
    <n v="0"/>
    <m/>
    <n v="0"/>
    <m/>
    <n v="0"/>
    <m/>
    <n v="0"/>
    <m/>
    <n v="0"/>
    <n v="5094779.9999999991"/>
    <n v="0"/>
    <n v="0"/>
    <m/>
    <n v="0"/>
    <m/>
    <n v="0"/>
    <m/>
    <n v="0"/>
    <n v="5579143.5000000047"/>
    <n v="0"/>
    <n v="0"/>
    <n v="0"/>
    <n v="0"/>
    <n v="0"/>
    <x v="0"/>
    <s v=""/>
    <m/>
    <s v=""/>
    <n v="0"/>
    <s v=""/>
    <x v="1"/>
    <m/>
    <n v="0"/>
    <s v="No change"/>
    <n v="1.405403127486049E-2"/>
    <n v="5.4673730437993617E-2"/>
    <n v="0"/>
    <n v="0"/>
    <x v="0"/>
    <n v="0"/>
    <n v="0"/>
  </r>
  <r>
    <x v="5"/>
    <s v="CAF"/>
    <n v="4773328.5"/>
    <x v="18"/>
    <n v="0"/>
    <n v="4802428.5000000065"/>
    <n v="0"/>
    <m/>
    <n v="0"/>
    <m/>
    <n v="0"/>
    <m/>
    <n v="0"/>
    <m/>
    <n v="0"/>
    <n v="5094779.9999999991"/>
    <n v="0"/>
    <n v="0"/>
    <m/>
    <n v="0"/>
    <m/>
    <n v="0"/>
    <m/>
    <n v="0"/>
    <n v="5579143.5000000047"/>
    <n v="0"/>
    <n v="0"/>
    <n v="0"/>
    <n v="0"/>
    <n v="0"/>
    <x v="0"/>
    <s v=""/>
    <m/>
    <s v=""/>
    <n v="0"/>
    <s v=""/>
    <x v="1"/>
    <m/>
    <n v="0"/>
    <s v="No change"/>
    <n v="1.405403127486049E-2"/>
    <n v="5.4673730437993617E-2"/>
    <n v="0"/>
    <n v="0"/>
    <x v="0"/>
    <n v="0"/>
    <n v="0"/>
  </r>
  <r>
    <x v="6"/>
    <s v="CIV"/>
    <n v="22010716.5"/>
    <x v="0"/>
    <n v="0"/>
    <n v="22469267.5"/>
    <n v="0"/>
    <m/>
    <n v="0"/>
    <m/>
    <n v="0"/>
    <m/>
    <n v="0"/>
    <m/>
    <n v="0"/>
    <n v="25493988.499999996"/>
    <n v="14556"/>
    <n v="14556"/>
    <m/>
    <n v="0"/>
    <m/>
    <n v="0"/>
    <m/>
    <n v="0"/>
    <n v="28160542.500000004"/>
    <n v="0"/>
    <n v="14556"/>
    <n v="0"/>
    <n v="14556"/>
    <n v="0"/>
    <x v="0"/>
    <s v=""/>
    <n v="14556"/>
    <n v="2018"/>
    <n v="14556"/>
    <n v="2018"/>
    <x v="1"/>
    <n v="14556"/>
    <n v="14556"/>
    <s v="No change"/>
    <n v="6.6569375282258259E-2"/>
    <n v="5.4673730437993617E-2"/>
    <n v="10434.904653852293"/>
    <n v="17150.451007231008"/>
    <x v="0"/>
    <n v="5.709581299920961"/>
    <n v="5.1689345118262544"/>
  </r>
  <r>
    <x v="6"/>
    <s v="CIV"/>
    <n v="22010717.5"/>
    <x v="1"/>
    <n v="0"/>
    <n v="22469267.5"/>
    <n v="0"/>
    <m/>
    <n v="0"/>
    <m/>
    <n v="0"/>
    <m/>
    <n v="0"/>
    <m/>
    <n v="0"/>
    <n v="25493988.499999996"/>
    <n v="745"/>
    <n v="745"/>
    <m/>
    <n v="29"/>
    <m/>
    <n v="0"/>
    <m/>
    <n v="7"/>
    <n v="28160542.500000004"/>
    <n v="0"/>
    <n v="25"/>
    <n v="0"/>
    <n v="745"/>
    <n v="7"/>
    <x v="0"/>
    <s v=""/>
    <n v="745"/>
    <n v="2018"/>
    <n v="7"/>
    <n v="2021"/>
    <x v="0"/>
    <n v="8.9843537236828332"/>
    <n v="745"/>
    <s v="Decreasing"/>
    <n v="6.6569375282258259E-2"/>
    <n v="5.4673730437993617E-2"/>
    <n v="17.921998924588301"/>
    <n v="29.455982081669084"/>
    <x v="0"/>
    <n v="0.29222575353401453"/>
    <n v="3.1904050583126484E-3"/>
  </r>
  <r>
    <x v="6"/>
    <s v="CIV"/>
    <n v="22010718.5"/>
    <x v="2"/>
    <n v="0"/>
    <n v="22469267.5"/>
    <n v="0"/>
    <m/>
    <n v="0"/>
    <m/>
    <n v="0"/>
    <m/>
    <n v="0"/>
    <m/>
    <n v="0"/>
    <n v="25493988.499999996"/>
    <n v="0"/>
    <n v="1425"/>
    <m/>
    <n v="148"/>
    <m/>
    <n v="0"/>
    <m/>
    <n v="835"/>
    <n v="28160542.500000004"/>
    <n v="0"/>
    <n v="1425"/>
    <n v="0"/>
    <n v="148"/>
    <n v="835"/>
    <x v="0"/>
    <s v=""/>
    <n v="1425"/>
    <s v="2018 (triag)"/>
    <n v="835"/>
    <n v="2021"/>
    <x v="0"/>
    <n v="1071.7050513250235"/>
    <n v="1425"/>
    <s v="Decreasing"/>
    <n v="6.6569375282258259E-2"/>
    <n v="5.4673730437993617E-2"/>
    <n v="1021.5539387015332"/>
    <n v="1678.990978655138"/>
    <x v="0"/>
    <n v="0.55895530038385333"/>
    <n v="0.38056974624158019"/>
  </r>
  <r>
    <x v="6"/>
    <s v="CIV"/>
    <n v="22010719.5"/>
    <x v="3"/>
    <n v="0"/>
    <n v="22469267.5"/>
    <n v="0"/>
    <m/>
    <n v="0"/>
    <m/>
    <n v="0"/>
    <m/>
    <n v="0"/>
    <m/>
    <n v="0"/>
    <n v="25493988.499999996"/>
    <n v="0"/>
    <n v="3640"/>
    <m/>
    <n v="4168"/>
    <m/>
    <n v="0"/>
    <m/>
    <n v="4221"/>
    <n v="28160542.500000004"/>
    <n v="4140"/>
    <n v="3640"/>
    <n v="0"/>
    <n v="4168"/>
    <n v="4221"/>
    <x v="0"/>
    <s v=""/>
    <n v="3640"/>
    <s v="2018 (triag)"/>
    <n v="4140"/>
    <n v="2022"/>
    <x v="1"/>
    <n v="4140"/>
    <n v="4140"/>
    <s v="Increasing"/>
    <n v="6.6569375282258259E-2"/>
    <n v="5.4673730437993617E-2"/>
    <n v="2609.4430434200567"/>
    <n v="4288.7909910910184"/>
    <x v="0"/>
    <n v="1.4277875743138428"/>
    <n v="1.4701421323825703"/>
  </r>
  <r>
    <x v="6"/>
    <s v="CIV"/>
    <n v="22010720.5"/>
    <x v="4"/>
    <n v="0"/>
    <n v="22469267.5"/>
    <n v="0"/>
    <m/>
    <n v="0"/>
    <m/>
    <n v="0"/>
    <m/>
    <n v="0"/>
    <m/>
    <n v="0"/>
    <n v="25493988.499999996"/>
    <n v="0"/>
    <n v="91"/>
    <m/>
    <n v="0"/>
    <m/>
    <n v="0"/>
    <m/>
    <n v="0"/>
    <n v="28160542.500000004"/>
    <n v="0"/>
    <n v="91"/>
    <n v="0"/>
    <n v="0"/>
    <n v="0"/>
    <x v="0"/>
    <s v=""/>
    <n v="91"/>
    <s v="2018 (triag)"/>
    <n v="91"/>
    <s v="2018 (triag)"/>
    <x v="1"/>
    <n v="91"/>
    <n v="91"/>
    <s v="No change"/>
    <n v="6.6569375282258259E-2"/>
    <n v="5.4673730437993617E-2"/>
    <n v="65.236076085501423"/>
    <n v="107.21977477727548"/>
    <x v="0"/>
    <n v="3.5694689357846074E-2"/>
    <n v="3.2314718368795625E-2"/>
  </r>
  <r>
    <x v="6"/>
    <s v="CIV"/>
    <n v="22010721.5"/>
    <x v="5"/>
    <n v="0"/>
    <n v="22469267.5"/>
    <n v="0"/>
    <m/>
    <n v="190"/>
    <m/>
    <n v="0"/>
    <m/>
    <n v="0"/>
    <m/>
    <n v="0"/>
    <n v="25493988.499999996"/>
    <n v="0"/>
    <n v="0"/>
    <m/>
    <n v="40"/>
    <m/>
    <n v="0"/>
    <m/>
    <n v="0"/>
    <n v="28160542.500000004"/>
    <n v="0"/>
    <n v="0"/>
    <n v="190"/>
    <n v="40"/>
    <n v="0"/>
    <x v="17"/>
    <n v="2014"/>
    <n v="40"/>
    <n v="2019"/>
    <n v="40"/>
    <n v="2019"/>
    <x v="1"/>
    <n v="40"/>
    <n v="40"/>
    <s v="No change"/>
    <n v="6.6569375282258259E-2"/>
    <n v="5.4673730437993617E-2"/>
    <n v="0"/>
    <n v="0"/>
    <x v="18"/>
    <n v="1.5689973344108165E-2"/>
    <n v="1.4204271810459615E-2"/>
  </r>
  <r>
    <x v="6"/>
    <s v="CIV"/>
    <n v="22010722.5"/>
    <x v="6"/>
    <n v="0"/>
    <n v="22469267.5"/>
    <n v="0"/>
    <m/>
    <n v="2380"/>
    <m/>
    <n v="0"/>
    <m/>
    <n v="0"/>
    <m/>
    <n v="0"/>
    <n v="25493988.499999996"/>
    <n v="0"/>
    <n v="497"/>
    <m/>
    <n v="0"/>
    <m/>
    <n v="0"/>
    <m/>
    <n v="0"/>
    <n v="28160542.500000004"/>
    <n v="0"/>
    <n v="497"/>
    <n v="2380"/>
    <n v="0"/>
    <n v="0"/>
    <x v="18"/>
    <n v="2014"/>
    <n v="497"/>
    <s v="2018 (triag)"/>
    <n v="497"/>
    <s v="2018 (triag)"/>
    <x v="1"/>
    <n v="497"/>
    <n v="497"/>
    <s v="No change"/>
    <n v="6.6569375282258259E-2"/>
    <n v="5.4673730437993617E-2"/>
    <n v="356.28933862081544"/>
    <n v="585.58492378358142"/>
    <x v="19"/>
    <n v="0.19494791880054393"/>
    <n v="0.17648807724496071"/>
  </r>
  <r>
    <x v="6"/>
    <s v="CIV"/>
    <n v="22010723.5"/>
    <x v="7"/>
    <n v="0"/>
    <n v="22469267.5"/>
    <n v="0"/>
    <m/>
    <n v="0"/>
    <m/>
    <n v="0"/>
    <m/>
    <n v="0"/>
    <m/>
    <n v="0"/>
    <n v="25493988.499999996"/>
    <n v="0"/>
    <n v="242"/>
    <m/>
    <n v="0"/>
    <m/>
    <n v="0"/>
    <m/>
    <n v="0"/>
    <n v="28160542.500000004"/>
    <n v="0"/>
    <n v="242"/>
    <n v="0"/>
    <n v="0"/>
    <n v="0"/>
    <x v="0"/>
    <s v=""/>
    <n v="242"/>
    <s v="2018 (triag)"/>
    <n v="242"/>
    <s v="2018 (triag)"/>
    <x v="1"/>
    <n v="242"/>
    <n v="242"/>
    <s v="No change"/>
    <n v="6.6569375282258259E-2"/>
    <n v="5.4673730437993617E-2"/>
    <n v="173.48494959001476"/>
    <n v="285.13390655055673"/>
    <x v="0"/>
    <n v="9.4924338731854394E-2"/>
    <n v="8.5935844453280674E-2"/>
  </r>
  <r>
    <x v="6"/>
    <s v="CIV"/>
    <n v="22010724.5"/>
    <x v="8"/>
    <n v="0"/>
    <n v="22469267.5"/>
    <n v="0"/>
    <m/>
    <n v="820"/>
    <m/>
    <n v="0"/>
    <m/>
    <n v="0"/>
    <m/>
    <n v="0"/>
    <n v="25493988.499999996"/>
    <n v="0"/>
    <n v="3103"/>
    <m/>
    <n v="0"/>
    <m/>
    <n v="0"/>
    <m/>
    <n v="0"/>
    <n v="28160542.500000004"/>
    <n v="0"/>
    <n v="3103"/>
    <n v="820"/>
    <n v="0"/>
    <n v="0"/>
    <x v="19"/>
    <n v="2014"/>
    <n v="3103"/>
    <s v="2018 (triag)"/>
    <n v="3103"/>
    <s v="2018 (triag)"/>
    <x v="1"/>
    <n v="3103"/>
    <n v="3103"/>
    <s v="No change"/>
    <n v="6.6569375282258259E-2"/>
    <n v="5.4673730437993617E-2"/>
    <n v="2224.4785065198998"/>
    <n v="3656.0764959767671"/>
    <x v="20"/>
    <n v="1.2171496821691907"/>
    <n v="1.1018963856964046"/>
  </r>
  <r>
    <x v="6"/>
    <s v="CIV"/>
    <n v="22010725.5"/>
    <x v="9"/>
    <n v="0"/>
    <n v="22469267.5"/>
    <n v="0"/>
    <m/>
    <n v="0"/>
    <m/>
    <n v="0"/>
    <m/>
    <n v="0"/>
    <m/>
    <n v="0"/>
    <n v="25493988.499999996"/>
    <n v="0"/>
    <n v="123"/>
    <m/>
    <n v="0"/>
    <m/>
    <n v="0"/>
    <m/>
    <n v="0"/>
    <n v="28160542.500000004"/>
    <n v="0"/>
    <n v="123"/>
    <n v="0"/>
    <n v="0"/>
    <n v="0"/>
    <x v="0"/>
    <s v=""/>
    <n v="123"/>
    <s v="2018 (triag)"/>
    <n v="123"/>
    <s v="2018 (triag)"/>
    <x v="1"/>
    <n v="123"/>
    <n v="123"/>
    <s v="No change"/>
    <n v="6.6569375282258259E-2"/>
    <n v="5.4673730437993617E-2"/>
    <n v="88.176234708974448"/>
    <n v="144.92343184181189"/>
    <x v="0"/>
    <n v="4.82466680331326E-2"/>
    <n v="4.3678135817163316E-2"/>
  </r>
  <r>
    <x v="6"/>
    <s v="CIV"/>
    <n v="22010726.5"/>
    <x v="10"/>
    <n v="0"/>
    <n v="22469267.5"/>
    <n v="0"/>
    <m/>
    <n v="70"/>
    <m/>
    <n v="0"/>
    <m/>
    <n v="0"/>
    <m/>
    <n v="0"/>
    <n v="25493988.499999996"/>
    <n v="0"/>
    <n v="700"/>
    <m/>
    <n v="0"/>
    <m/>
    <n v="0"/>
    <m/>
    <n v="0"/>
    <n v="28160542.500000004"/>
    <n v="0"/>
    <n v="700"/>
    <n v="70"/>
    <n v="0"/>
    <n v="0"/>
    <x v="20"/>
    <n v="2014"/>
    <n v="700"/>
    <s v="2018 (triag)"/>
    <n v="700"/>
    <s v="2018 (triag)"/>
    <x v="1"/>
    <n v="700"/>
    <n v="700"/>
    <s v="No change"/>
    <n v="6.6569375282258259E-2"/>
    <n v="5.4673730437993617E-2"/>
    <n v="501.81596988847247"/>
    <n v="824.76749828673439"/>
    <x v="21"/>
    <n v="0.27457453352189287"/>
    <n v="0.24857475668304327"/>
  </r>
  <r>
    <x v="6"/>
    <s v="CIV"/>
    <n v="22010727.5"/>
    <x v="11"/>
    <n v="0"/>
    <n v="22469267.5"/>
    <n v="0"/>
    <m/>
    <n v="0"/>
    <m/>
    <n v="0"/>
    <m/>
    <n v="0"/>
    <m/>
    <n v="0"/>
    <n v="25493988.499999996"/>
    <n v="0"/>
    <n v="139"/>
    <m/>
    <n v="0"/>
    <m/>
    <n v="0"/>
    <m/>
    <n v="0"/>
    <n v="28160542.500000004"/>
    <n v="0"/>
    <n v="139"/>
    <n v="0"/>
    <n v="0"/>
    <n v="0"/>
    <x v="0"/>
    <s v=""/>
    <n v="139"/>
    <s v="2018 (triag)"/>
    <n v="139"/>
    <s v="2018 (triag)"/>
    <x v="1"/>
    <n v="139"/>
    <n v="139"/>
    <s v="No change"/>
    <n v="6.6569375282258259E-2"/>
    <n v="5.4673730437993617E-2"/>
    <n v="99.64631402071096"/>
    <n v="163.77526037408012"/>
    <x v="0"/>
    <n v="5.452265737077587E-2"/>
    <n v="4.9359844541347161E-2"/>
  </r>
  <r>
    <x v="6"/>
    <s v="CIV"/>
    <n v="22010728.5"/>
    <x v="12"/>
    <n v="0"/>
    <n v="22469267.5"/>
    <n v="0"/>
    <m/>
    <n v="0"/>
    <m/>
    <n v="0"/>
    <m/>
    <n v="0"/>
    <m/>
    <n v="0"/>
    <n v="25493988.499999996"/>
    <n v="0"/>
    <n v="14"/>
    <m/>
    <n v="3470"/>
    <m/>
    <n v="0"/>
    <m/>
    <n v="0"/>
    <n v="28160542.500000004"/>
    <n v="0"/>
    <n v="14"/>
    <n v="0"/>
    <n v="3470"/>
    <n v="0"/>
    <x v="0"/>
    <s v=""/>
    <n v="14"/>
    <s v="2018 (triag)"/>
    <n v="3470"/>
    <s v="2018 (triag)"/>
    <x v="1"/>
    <n v="3470"/>
    <n v="3470"/>
    <s v="Increasing"/>
    <n v="6.6569375282258259E-2"/>
    <n v="5.4673730437993617E-2"/>
    <n v="10.03631939776945"/>
    <n v="16.49534996573469"/>
    <x v="0"/>
    <n v="5.4914906704378571E-3"/>
    <n v="1.2322205795573717"/>
  </r>
  <r>
    <x v="6"/>
    <s v="CIV"/>
    <n v="22010729.5"/>
    <x v="13"/>
    <n v="0"/>
    <n v="22469267.5"/>
    <n v="0"/>
    <m/>
    <n v="1600"/>
    <m/>
    <n v="0"/>
    <m/>
    <n v="0"/>
    <m/>
    <n v="0"/>
    <n v="25493988.499999996"/>
    <n v="0"/>
    <n v="0"/>
    <m/>
    <n v="0"/>
    <m/>
    <n v="0"/>
    <m/>
    <n v="0"/>
    <n v="28160542.500000004"/>
    <n v="0"/>
    <n v="0"/>
    <n v="1600"/>
    <n v="0"/>
    <n v="0"/>
    <x v="21"/>
    <n v="2014"/>
    <m/>
    <s v=""/>
    <n v="0"/>
    <s v=""/>
    <x v="1"/>
    <m/>
    <n v="0"/>
    <s v="No change"/>
    <n v="6.6569375282258259E-2"/>
    <n v="5.4673730437993617E-2"/>
    <n v="0"/>
    <n v="0"/>
    <x v="22"/>
    <n v="0"/>
    <n v="0"/>
  </r>
  <r>
    <x v="6"/>
    <s v="CIV"/>
    <n v="22010730.5"/>
    <x v="14"/>
    <n v="0"/>
    <n v="22469267.5"/>
    <n v="0"/>
    <m/>
    <n v="0"/>
    <m/>
    <n v="0"/>
    <m/>
    <n v="0"/>
    <m/>
    <n v="0"/>
    <n v="25493988.499999996"/>
    <n v="0"/>
    <n v="21440"/>
    <m/>
    <n v="0"/>
    <m/>
    <n v="3734"/>
    <m/>
    <n v="3480"/>
    <n v="28160542.500000004"/>
    <n v="3896"/>
    <n v="21440"/>
    <n v="0"/>
    <n v="0"/>
    <n v="3896"/>
    <x v="0"/>
    <s v=""/>
    <n v="21440"/>
    <s v="2018 (triag)"/>
    <n v="3896"/>
    <n v="2022"/>
    <x v="0"/>
    <n v="5000.434586781188"/>
    <n v="21440"/>
    <s v="Decreasing"/>
    <n v="6.6569375282258259E-2"/>
    <n v="5.4673730437993617E-2"/>
    <n v="15369.906277726928"/>
    <n v="25261.450233239408"/>
    <x v="0"/>
    <n v="8.4098257124419753"/>
    <n v="1.7756883010265827"/>
  </r>
  <r>
    <x v="6"/>
    <s v="CIV"/>
    <n v="22010731.5"/>
    <x v="15"/>
    <n v="0"/>
    <n v="22469267.5"/>
    <n v="0"/>
    <m/>
    <n v="60"/>
    <m/>
    <n v="0"/>
    <m/>
    <n v="0"/>
    <m/>
    <n v="0"/>
    <n v="25493988.499999996"/>
    <n v="0"/>
    <n v="151"/>
    <m/>
    <n v="0"/>
    <m/>
    <n v="0"/>
    <m/>
    <n v="97"/>
    <n v="28160542.500000004"/>
    <n v="95"/>
    <n v="151"/>
    <n v="60"/>
    <n v="0"/>
    <n v="97"/>
    <x v="22"/>
    <n v="2014"/>
    <n v="151"/>
    <s v="2018 (triag)"/>
    <n v="95"/>
    <n v="2022"/>
    <x v="0"/>
    <n v="121.93051482140987"/>
    <n v="151"/>
    <s v="Decreasing"/>
    <n v="6.6569375282258259E-2"/>
    <n v="5.4673730437993617E-2"/>
    <n v="108.24887350451334"/>
    <n v="177.91413177328127"/>
    <x v="23"/>
    <n v="5.922964937400832E-2"/>
    <n v="4.3298354362814519E-2"/>
  </r>
  <r>
    <x v="6"/>
    <s v="CIV"/>
    <n v="22010732.5"/>
    <x v="16"/>
    <n v="0"/>
    <n v="22469267.5"/>
    <n v="0"/>
    <m/>
    <n v="0"/>
    <m/>
    <n v="0"/>
    <m/>
    <n v="0"/>
    <m/>
    <n v="0"/>
    <n v="25493988.499999996"/>
    <n v="0"/>
    <n v="0"/>
    <m/>
    <n v="0"/>
    <m/>
    <n v="0"/>
    <m/>
    <n v="0"/>
    <n v="28160542.500000004"/>
    <n v="0"/>
    <n v="0"/>
    <n v="0"/>
    <n v="0"/>
    <n v="0"/>
    <x v="0"/>
    <s v=""/>
    <m/>
    <s v=""/>
    <n v="0"/>
    <s v=""/>
    <x v="1"/>
    <m/>
    <n v="0"/>
    <s v="No change"/>
    <n v="6.6569375282258259E-2"/>
    <n v="5.4673730437993617E-2"/>
    <n v="0"/>
    <n v="0"/>
    <x v="0"/>
    <n v="0"/>
    <n v="0"/>
  </r>
  <r>
    <x v="6"/>
    <s v="CIV"/>
    <n v="22010733.5"/>
    <x v="17"/>
    <n v="0"/>
    <n v="22469267.5"/>
    <n v="0"/>
    <m/>
    <n v="0"/>
    <m/>
    <n v="0"/>
    <m/>
    <n v="0"/>
    <m/>
    <n v="0"/>
    <n v="25493988.499999996"/>
    <n v="0"/>
    <n v="0"/>
    <m/>
    <n v="0"/>
    <m/>
    <n v="0"/>
    <m/>
    <n v="0"/>
    <n v="28160542.500000004"/>
    <n v="0"/>
    <n v="0"/>
    <n v="0"/>
    <n v="0"/>
    <n v="0"/>
    <x v="0"/>
    <s v=""/>
    <m/>
    <s v=""/>
    <n v="0"/>
    <s v=""/>
    <x v="1"/>
    <m/>
    <n v="0"/>
    <s v="No change"/>
    <n v="6.6569375282258259E-2"/>
    <n v="5.4673730437993617E-2"/>
    <n v="0"/>
    <n v="0"/>
    <x v="0"/>
    <n v="0"/>
    <n v="0"/>
  </r>
  <r>
    <x v="6"/>
    <s v="CIV"/>
    <n v="22010734.5"/>
    <x v="18"/>
    <n v="0"/>
    <n v="22469267.5"/>
    <n v="0"/>
    <m/>
    <n v="0"/>
    <m/>
    <n v="0"/>
    <m/>
    <n v="0"/>
    <m/>
    <n v="0"/>
    <n v="25493988.499999996"/>
    <n v="0"/>
    <n v="4437"/>
    <m/>
    <n v="0"/>
    <m/>
    <n v="0"/>
    <m/>
    <n v="0"/>
    <n v="28160542.500000004"/>
    <n v="0"/>
    <n v="4437"/>
    <n v="0"/>
    <n v="0"/>
    <n v="0"/>
    <x v="0"/>
    <s v=""/>
    <n v="4437"/>
    <s v="2018 (triag)"/>
    <n v="4437"/>
    <s v="2018 (triag)"/>
    <x v="1"/>
    <n v="4437"/>
    <n v="4437"/>
    <s v="No change"/>
    <n v="6.6569375282258259E-2"/>
    <n v="5.4673730437993617E-2"/>
    <n v="3180.7963691359319"/>
    <n v="5227.8476998546294"/>
    <x v="0"/>
    <n v="1.7404102931951979"/>
    <n v="1.5756088505752328"/>
  </r>
  <r>
    <x v="7"/>
    <s v="CMR"/>
    <n v="21032689"/>
    <x v="0"/>
    <n v="0"/>
    <n v="21632850.000000004"/>
    <n v="0"/>
    <m/>
    <n v="0"/>
    <m/>
    <n v="0"/>
    <m/>
    <n v="0"/>
    <m/>
    <n v="0"/>
    <n v="25076746.500000015"/>
    <n v="0"/>
    <n v="0"/>
    <m/>
    <n v="0"/>
    <m/>
    <n v="154"/>
    <m/>
    <n v="0"/>
    <n v="27914536.499999989"/>
    <n v="310"/>
    <n v="0"/>
    <n v="0"/>
    <n v="0"/>
    <n v="310"/>
    <x v="0"/>
    <s v=""/>
    <m/>
    <s v=""/>
    <n v="310"/>
    <n v="2022"/>
    <x v="1"/>
    <n v="310"/>
    <n v="310"/>
    <s v="Increasing"/>
    <n v="-1.4958984742070136E-2"/>
    <n v="0.1904674530041961"/>
    <n v="0"/>
    <n v="0"/>
    <x v="0"/>
    <n v="0"/>
    <n v="0.11105324997962983"/>
  </r>
  <r>
    <x v="7"/>
    <s v="CMR"/>
    <n v="21032690"/>
    <x v="1"/>
    <n v="0"/>
    <n v="21632850.000000004"/>
    <n v="0"/>
    <m/>
    <n v="0"/>
    <m/>
    <n v="0"/>
    <m/>
    <n v="0"/>
    <m/>
    <n v="0"/>
    <n v="25076746.500000015"/>
    <n v="0"/>
    <n v="38"/>
    <m/>
    <n v="0"/>
    <m/>
    <n v="0"/>
    <m/>
    <n v="0"/>
    <n v="27914536.499999989"/>
    <n v="0"/>
    <n v="38"/>
    <n v="0"/>
    <n v="0"/>
    <n v="0"/>
    <x v="0"/>
    <s v=""/>
    <n v="38"/>
    <s v="2018 (triag)"/>
    <n v="38"/>
    <s v="2018 (triag)"/>
    <x v="1"/>
    <n v="38"/>
    <n v="38"/>
    <s v="No change"/>
    <n v="-1.4958984742070136E-2"/>
    <n v="0.1904674530041961"/>
    <n v="40.951198752532633"/>
    <n v="67.2884443767242"/>
    <x v="0"/>
    <n v="1.515348093501682E-2"/>
    <n v="1.3612979029761076E-2"/>
  </r>
  <r>
    <x v="7"/>
    <s v="CMR"/>
    <n v="21032691"/>
    <x v="2"/>
    <n v="0"/>
    <n v="21632850.000000004"/>
    <n v="0"/>
    <m/>
    <n v="0"/>
    <m/>
    <n v="0"/>
    <m/>
    <n v="0"/>
    <m/>
    <n v="0"/>
    <n v="25076746.500000015"/>
    <n v="0"/>
    <n v="238"/>
    <m/>
    <n v="0"/>
    <m/>
    <n v="5"/>
    <m/>
    <n v="0"/>
    <n v="27914536.499999989"/>
    <n v="0"/>
    <n v="238"/>
    <n v="0"/>
    <n v="0"/>
    <n v="5"/>
    <x v="0"/>
    <s v=""/>
    <n v="238"/>
    <s v="2018 (triag)"/>
    <n v="5"/>
    <n v="2020"/>
    <x v="0"/>
    <n v="7.4076572236140548"/>
    <n v="238"/>
    <s v="Decreasing"/>
    <n v="-1.4958984742070136E-2"/>
    <n v="0.1904674530041961"/>
    <n v="256.48382376586227"/>
    <n v="421.43815162264099"/>
    <x v="0"/>
    <n v="9.4908643750894819E-2"/>
    <n v="2.6536916432820076E-3"/>
  </r>
  <r>
    <x v="7"/>
    <s v="CMR"/>
    <n v="21032692"/>
    <x v="3"/>
    <n v="0"/>
    <n v="21632850.000000004"/>
    <n v="0"/>
    <m/>
    <n v="0"/>
    <m/>
    <n v="0"/>
    <m/>
    <n v="0"/>
    <m/>
    <n v="0"/>
    <n v="25076746.500000015"/>
    <n v="0"/>
    <n v="10717"/>
    <m/>
    <n v="0"/>
    <m/>
    <n v="5390"/>
    <m/>
    <n v="0"/>
    <n v="27914536.499999989"/>
    <n v="146"/>
    <n v="10717"/>
    <n v="0"/>
    <n v="0"/>
    <n v="5390"/>
    <x v="0"/>
    <s v=""/>
    <n v="10717"/>
    <s v="2018 (triag)"/>
    <n v="146"/>
    <n v="2022"/>
    <x v="0"/>
    <n v="216.3035909295304"/>
    <n v="10717"/>
    <s v="Decreasing"/>
    <n v="-1.4958984742070136E-2"/>
    <n v="0.1904674530041961"/>
    <n v="11549.31571133927"/>
    <n v="18977.112062772452"/>
    <x v="0"/>
    <n v="4.2736803994888231"/>
    <n v="7.7487795983834623E-2"/>
  </r>
  <r>
    <x v="7"/>
    <s v="CMR"/>
    <n v="21032693"/>
    <x v="4"/>
    <n v="0"/>
    <n v="21632850.000000004"/>
    <n v="0"/>
    <m/>
    <n v="0"/>
    <m/>
    <n v="0"/>
    <m/>
    <n v="0"/>
    <m/>
    <n v="0"/>
    <n v="25076746.500000015"/>
    <n v="0"/>
    <n v="250"/>
    <m/>
    <n v="0"/>
    <m/>
    <n v="21"/>
    <m/>
    <n v="4216"/>
    <n v="27914536.499999989"/>
    <n v="1195"/>
    <n v="250"/>
    <n v="0"/>
    <n v="0"/>
    <n v="4216"/>
    <x v="0"/>
    <s v=""/>
    <n v="250"/>
    <s v="2018 (triag)"/>
    <n v="1195"/>
    <n v="2022"/>
    <x v="1"/>
    <n v="1195"/>
    <n v="1195"/>
    <s v="Increasing"/>
    <n v="-1.4958984742070136E-2"/>
    <n v="0.1904674530041961"/>
    <n v="269.41578126666207"/>
    <n v="442.68713405739601"/>
    <x v="0"/>
    <n v="9.96939535198475E-2"/>
    <n v="0.42809236685696017"/>
  </r>
  <r>
    <x v="7"/>
    <s v="CMR"/>
    <n v="21032694"/>
    <x v="5"/>
    <n v="0"/>
    <n v="21632850.000000004"/>
    <n v="0"/>
    <m/>
    <n v="0"/>
    <m/>
    <n v="0"/>
    <m/>
    <n v="0"/>
    <m/>
    <n v="0"/>
    <n v="25076746.500000015"/>
    <n v="0"/>
    <n v="0"/>
    <m/>
    <n v="0"/>
    <m/>
    <n v="31"/>
    <m/>
    <n v="3"/>
    <n v="27914536.499999989"/>
    <n v="19"/>
    <n v="0"/>
    <n v="0"/>
    <n v="0"/>
    <n v="31"/>
    <x v="0"/>
    <s v=""/>
    <m/>
    <s v=""/>
    <n v="19"/>
    <n v="2022"/>
    <x v="1"/>
    <n v="19"/>
    <n v="19"/>
    <s v="Increasing"/>
    <n v="-1.4958984742070136E-2"/>
    <n v="0.1904674530041961"/>
    <n v="0"/>
    <n v="0"/>
    <x v="0"/>
    <n v="0"/>
    <n v="6.8064895148805381E-3"/>
  </r>
  <r>
    <x v="7"/>
    <s v="CMR"/>
    <n v="21032695"/>
    <x v="6"/>
    <n v="0"/>
    <n v="21632850.000000004"/>
    <n v="0"/>
    <m/>
    <n v="0"/>
    <m/>
    <n v="0"/>
    <m/>
    <n v="0"/>
    <m/>
    <n v="0"/>
    <n v="25076746.500000015"/>
    <n v="241"/>
    <n v="241"/>
    <m/>
    <n v="0"/>
    <m/>
    <n v="112"/>
    <m/>
    <n v="2247"/>
    <n v="27914536.499999989"/>
    <n v="293"/>
    <n v="0"/>
    <n v="0"/>
    <n v="241"/>
    <n v="2247"/>
    <x v="0"/>
    <s v=""/>
    <n v="241"/>
    <n v="2018"/>
    <n v="293"/>
    <n v="2022"/>
    <x v="1"/>
    <n v="293"/>
    <n v="293"/>
    <s v="Increasing"/>
    <n v="-1.4958984742070136E-2"/>
    <n v="0.1904674530041961"/>
    <n v="0"/>
    <n v="0"/>
    <x v="0"/>
    <n v="9.6104971193132993E-2"/>
    <n v="0.10496323304526303"/>
  </r>
  <r>
    <x v="7"/>
    <s v="CMR"/>
    <n v="21032696"/>
    <x v="7"/>
    <n v="0"/>
    <n v="21632850.000000004"/>
    <n v="0"/>
    <m/>
    <n v="0"/>
    <m/>
    <n v="0"/>
    <m/>
    <n v="0"/>
    <m/>
    <n v="0"/>
    <n v="25076746.500000015"/>
    <n v="0"/>
    <n v="0"/>
    <m/>
    <n v="0"/>
    <m/>
    <n v="6"/>
    <m/>
    <n v="0"/>
    <n v="27914536.499999989"/>
    <n v="118"/>
    <n v="0"/>
    <n v="0"/>
    <n v="0"/>
    <n v="118"/>
    <x v="0"/>
    <s v=""/>
    <m/>
    <s v=""/>
    <n v="118"/>
    <n v="2022"/>
    <x v="1"/>
    <n v="118"/>
    <n v="118"/>
    <s v="Increasing"/>
    <n v="-1.4958984742070136E-2"/>
    <n v="0.1904674530041961"/>
    <n v="0"/>
    <n v="0"/>
    <x v="0"/>
    <n v="0"/>
    <n v="4.2271882250310713E-2"/>
  </r>
  <r>
    <x v="7"/>
    <s v="CMR"/>
    <n v="21032697"/>
    <x v="8"/>
    <n v="0"/>
    <n v="21632850.000000004"/>
    <n v="0"/>
    <m/>
    <n v="0"/>
    <m/>
    <n v="0"/>
    <m/>
    <n v="0"/>
    <m/>
    <n v="0"/>
    <n v="25076746.500000015"/>
    <n v="0"/>
    <n v="124"/>
    <m/>
    <n v="0"/>
    <m/>
    <n v="73"/>
    <m/>
    <n v="267"/>
    <n v="27914536.499999989"/>
    <n v="4864"/>
    <n v="124"/>
    <n v="0"/>
    <n v="0"/>
    <n v="4864"/>
    <x v="0"/>
    <s v=""/>
    <n v="124"/>
    <s v="2018 (triag)"/>
    <n v="4864"/>
    <n v="2022"/>
    <x v="1"/>
    <n v="4864"/>
    <n v="4864"/>
    <s v="Increasing"/>
    <n v="-1.4958984742070136E-2"/>
    <n v="0.1904674530041961"/>
    <n v="133.6302275082644"/>
    <n v="219.57281849246843"/>
    <x v="0"/>
    <n v="4.9448200945844359E-2"/>
    <n v="1.7424613158094178"/>
  </r>
  <r>
    <x v="7"/>
    <s v="CMR"/>
    <n v="21032698"/>
    <x v="9"/>
    <n v="0"/>
    <n v="21632850.000000004"/>
    <n v="0"/>
    <m/>
    <n v="0"/>
    <m/>
    <n v="0"/>
    <m/>
    <n v="0"/>
    <m/>
    <n v="0"/>
    <n v="25076746.500000015"/>
    <n v="0"/>
    <n v="0"/>
    <m/>
    <n v="0"/>
    <m/>
    <n v="4"/>
    <m/>
    <n v="0"/>
    <n v="27914536.499999989"/>
    <n v="85"/>
    <n v="0"/>
    <n v="0"/>
    <n v="0"/>
    <n v="85"/>
    <x v="0"/>
    <s v=""/>
    <m/>
    <s v=""/>
    <n v="85"/>
    <n v="2022"/>
    <x v="1"/>
    <n v="85"/>
    <n v="85"/>
    <s v="Increasing"/>
    <n v="-1.4958984742070136E-2"/>
    <n v="0.1904674530041961"/>
    <n v="0"/>
    <n v="0"/>
    <x v="0"/>
    <n v="0"/>
    <n v="3.0450084671833987E-2"/>
  </r>
  <r>
    <x v="7"/>
    <s v="CMR"/>
    <n v="21032699"/>
    <x v="10"/>
    <n v="0"/>
    <n v="21632850.000000004"/>
    <n v="0"/>
    <m/>
    <n v="0"/>
    <m/>
    <n v="0"/>
    <m/>
    <n v="0"/>
    <m/>
    <n v="0"/>
    <n v="25076746.500000015"/>
    <n v="0"/>
    <n v="0"/>
    <m/>
    <n v="0"/>
    <m/>
    <n v="207"/>
    <m/>
    <n v="0"/>
    <n v="27914536.499999989"/>
    <n v="10"/>
    <n v="0"/>
    <n v="0"/>
    <n v="0"/>
    <n v="207"/>
    <x v="0"/>
    <s v=""/>
    <m/>
    <s v=""/>
    <n v="10"/>
    <n v="2022"/>
    <x v="1"/>
    <n v="10"/>
    <n v="10"/>
    <s v="Increasing"/>
    <n v="-1.4958984742070136E-2"/>
    <n v="0.1904674530041961"/>
    <n v="0"/>
    <n v="0"/>
    <x v="0"/>
    <n v="0"/>
    <n v="3.5823629025687042E-3"/>
  </r>
  <r>
    <x v="7"/>
    <s v="CMR"/>
    <n v="21032700"/>
    <x v="11"/>
    <n v="0"/>
    <n v="21632850.000000004"/>
    <n v="0"/>
    <m/>
    <n v="0"/>
    <m/>
    <n v="0"/>
    <m/>
    <n v="0"/>
    <m/>
    <n v="0"/>
    <n v="25076746.500000015"/>
    <n v="0"/>
    <n v="0"/>
    <m/>
    <n v="0"/>
    <m/>
    <n v="1406"/>
    <m/>
    <n v="0"/>
    <n v="27914536.499999989"/>
    <n v="5"/>
    <n v="0"/>
    <n v="0"/>
    <n v="0"/>
    <n v="1406"/>
    <x v="0"/>
    <s v=""/>
    <m/>
    <s v=""/>
    <n v="5"/>
    <n v="2022"/>
    <x v="1"/>
    <n v="5"/>
    <n v="5"/>
    <s v="Increasing"/>
    <n v="-1.4958984742070136E-2"/>
    <n v="0.1904674530041961"/>
    <n v="0"/>
    <n v="0"/>
    <x v="0"/>
    <n v="0"/>
    <n v="1.7911814512843521E-3"/>
  </r>
  <r>
    <x v="7"/>
    <s v="CMR"/>
    <n v="21032701"/>
    <x v="12"/>
    <n v="0"/>
    <n v="21632850.000000004"/>
    <n v="0"/>
    <m/>
    <n v="0"/>
    <m/>
    <n v="0"/>
    <m/>
    <n v="0"/>
    <m/>
    <n v="0"/>
    <n v="25076746.500000015"/>
    <n v="0"/>
    <n v="0"/>
    <m/>
    <n v="0"/>
    <m/>
    <n v="152"/>
    <m/>
    <n v="0"/>
    <n v="27914536.499999989"/>
    <n v="74"/>
    <n v="0"/>
    <n v="0"/>
    <n v="0"/>
    <n v="152"/>
    <x v="0"/>
    <s v=""/>
    <m/>
    <s v=""/>
    <n v="74"/>
    <n v="2022"/>
    <x v="1"/>
    <n v="74"/>
    <n v="74"/>
    <s v="Increasing"/>
    <n v="-1.4958984742070136E-2"/>
    <n v="0.1904674530041961"/>
    <n v="0"/>
    <n v="0"/>
    <x v="0"/>
    <n v="0"/>
    <n v="2.6509485479008412E-2"/>
  </r>
  <r>
    <x v="7"/>
    <s v="CMR"/>
    <n v="21032702"/>
    <x v="13"/>
    <n v="0"/>
    <n v="21632850.000000004"/>
    <n v="0"/>
    <m/>
    <n v="0"/>
    <m/>
    <n v="0"/>
    <m/>
    <n v="0"/>
    <m/>
    <n v="0"/>
    <n v="25076746.500000015"/>
    <n v="0"/>
    <n v="5235"/>
    <m/>
    <n v="0"/>
    <m/>
    <n v="48"/>
    <m/>
    <n v="249"/>
    <n v="27914536.499999989"/>
    <n v="161"/>
    <n v="5235"/>
    <n v="0"/>
    <n v="0"/>
    <n v="249"/>
    <x v="0"/>
    <s v=""/>
    <n v="5235"/>
    <s v="2018 (triag)"/>
    <n v="161"/>
    <n v="2022"/>
    <x v="0"/>
    <n v="238.52656260037256"/>
    <n v="5235"/>
    <s v="Decreasing"/>
    <n v="-1.4958984742070136E-2"/>
    <n v="0.1904674530041961"/>
    <n v="5641.5664597239038"/>
    <n v="9269.8685871618727"/>
    <x v="0"/>
    <n v="2.0875913867056068"/>
    <n v="8.5448870913680627E-2"/>
  </r>
  <r>
    <x v="7"/>
    <s v="CMR"/>
    <n v="21032703"/>
    <x v="14"/>
    <n v="0"/>
    <n v="21632850.000000004"/>
    <n v="0"/>
    <m/>
    <n v="0"/>
    <m/>
    <n v="0"/>
    <m/>
    <n v="0"/>
    <m/>
    <n v="0"/>
    <n v="25076746.500000015"/>
    <n v="0"/>
    <n v="0"/>
    <m/>
    <n v="0"/>
    <m/>
    <n v="2098"/>
    <m/>
    <n v="0"/>
    <n v="27914536.499999989"/>
    <n v="34"/>
    <n v="0"/>
    <n v="0"/>
    <n v="0"/>
    <n v="2098"/>
    <x v="0"/>
    <s v=""/>
    <m/>
    <s v=""/>
    <n v="34"/>
    <n v="2022"/>
    <x v="1"/>
    <n v="34"/>
    <n v="34"/>
    <s v="Increasing"/>
    <n v="-1.4958984742070136E-2"/>
    <n v="0.1904674530041961"/>
    <n v="0"/>
    <n v="0"/>
    <x v="0"/>
    <n v="0"/>
    <n v="1.2180033868733595E-2"/>
  </r>
  <r>
    <x v="7"/>
    <s v="CMR"/>
    <n v="21032704"/>
    <x v="15"/>
    <n v="0"/>
    <n v="21632850.000000004"/>
    <n v="0"/>
    <m/>
    <n v="0"/>
    <m/>
    <n v="0"/>
    <m/>
    <n v="0"/>
    <m/>
    <n v="0"/>
    <n v="25076746.500000015"/>
    <n v="0"/>
    <n v="0"/>
    <m/>
    <n v="0"/>
    <m/>
    <n v="69"/>
    <m/>
    <n v="21"/>
    <n v="27914536.499999989"/>
    <n v="191"/>
    <n v="0"/>
    <n v="0"/>
    <n v="0"/>
    <n v="191"/>
    <x v="0"/>
    <s v=""/>
    <m/>
    <s v=""/>
    <n v="191"/>
    <n v="2022"/>
    <x v="1"/>
    <n v="191"/>
    <n v="191"/>
    <s v="Increasing"/>
    <n v="-1.4958984742070136E-2"/>
    <n v="0.1904674530041961"/>
    <n v="0"/>
    <n v="0"/>
    <x v="0"/>
    <n v="0"/>
    <n v="6.8423131439062257E-2"/>
  </r>
  <r>
    <x v="7"/>
    <s v="CMR"/>
    <n v="21032705"/>
    <x v="16"/>
    <n v="0"/>
    <n v="21632850.000000004"/>
    <n v="0"/>
    <m/>
    <n v="0"/>
    <m/>
    <n v="0"/>
    <m/>
    <n v="0"/>
    <m/>
    <n v="0"/>
    <n v="25076746.500000015"/>
    <n v="0"/>
    <n v="0"/>
    <m/>
    <n v="0"/>
    <m/>
    <n v="64"/>
    <m/>
    <n v="584"/>
    <n v="27914536.499999989"/>
    <n v="606"/>
    <n v="0"/>
    <n v="0"/>
    <n v="0"/>
    <n v="606"/>
    <x v="0"/>
    <s v=""/>
    <m/>
    <s v=""/>
    <n v="606"/>
    <n v="2022"/>
    <x v="1"/>
    <n v="606"/>
    <n v="606"/>
    <s v="Increasing"/>
    <n v="-1.4958984742070136E-2"/>
    <n v="0.1904674530041961"/>
    <n v="0"/>
    <n v="0"/>
    <x v="0"/>
    <n v="0"/>
    <n v="0.21709119189566348"/>
  </r>
  <r>
    <x v="7"/>
    <s v="CMR"/>
    <n v="21032706"/>
    <x v="17"/>
    <n v="0"/>
    <n v="21632850.000000004"/>
    <n v="0"/>
    <m/>
    <n v="0"/>
    <m/>
    <n v="0"/>
    <m/>
    <n v="0"/>
    <m/>
    <n v="0"/>
    <n v="25076746.500000015"/>
    <n v="0"/>
    <n v="0"/>
    <m/>
    <n v="0"/>
    <m/>
    <n v="2"/>
    <m/>
    <n v="0"/>
    <n v="27914536.499999989"/>
    <n v="0"/>
    <n v="0"/>
    <n v="0"/>
    <n v="0"/>
    <n v="2"/>
    <x v="0"/>
    <s v=""/>
    <m/>
    <s v=""/>
    <n v="2"/>
    <n v="2020"/>
    <x v="1"/>
    <n v="2"/>
    <n v="2"/>
    <s v="Increasing"/>
    <n v="-1.4958984742070136E-2"/>
    <n v="0.1904674530041961"/>
    <n v="0"/>
    <n v="0"/>
    <x v="0"/>
    <n v="0"/>
    <n v="7.1647258051374082E-4"/>
  </r>
  <r>
    <x v="7"/>
    <s v="CMR"/>
    <n v="21032707"/>
    <x v="18"/>
    <n v="0"/>
    <n v="21632850.000000004"/>
    <n v="0"/>
    <m/>
    <n v="0"/>
    <m/>
    <n v="0"/>
    <m/>
    <n v="0"/>
    <m/>
    <n v="0"/>
    <n v="25076746.500000015"/>
    <n v="0"/>
    <n v="0"/>
    <m/>
    <n v="0"/>
    <m/>
    <n v="7"/>
    <m/>
    <n v="0"/>
    <n v="27914536.499999989"/>
    <n v="16"/>
    <n v="0"/>
    <n v="0"/>
    <n v="0"/>
    <n v="16"/>
    <x v="0"/>
    <s v=""/>
    <m/>
    <s v=""/>
    <n v="16"/>
    <n v="2022"/>
    <x v="1"/>
    <n v="16"/>
    <n v="16"/>
    <s v="Increasing"/>
    <n v="-1.4958984742070136E-2"/>
    <n v="0.1904674530041961"/>
    <n v="0"/>
    <n v="0"/>
    <x v="0"/>
    <n v="0"/>
    <n v="5.7317806441099265E-3"/>
  </r>
  <r>
    <x v="8"/>
    <s v="COD"/>
    <n v="70997874.500000104"/>
    <x v="0"/>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75.500000104"/>
    <x v="1"/>
    <n v="19"/>
    <n v="73460021"/>
    <n v="0"/>
    <m/>
    <n v="361"/>
    <m/>
    <n v="2192"/>
    <m/>
    <n v="0"/>
    <m/>
    <n v="0"/>
    <n v="87087354.999999985"/>
    <n v="119"/>
    <n v="535"/>
    <m/>
    <n v="0"/>
    <m/>
    <n v="776"/>
    <m/>
    <n v="91"/>
    <n v="99010212"/>
    <n v="0"/>
    <n v="535"/>
    <n v="2192"/>
    <n v="119"/>
    <n v="776"/>
    <x v="23"/>
    <n v="2012"/>
    <n v="535"/>
    <s v="2018 (triag)"/>
    <n v="91"/>
    <n v="2021"/>
    <x v="0"/>
    <n v="104.76322086409942"/>
    <n v="535"/>
    <s v="Decreasing"/>
    <n v="0.14126140610967886"/>
    <n v="5.4673730437993617E-2"/>
    <n v="264.0028019000107"/>
    <n v="630.35801654771842"/>
    <x v="24"/>
    <n v="6.1432569630803471E-2"/>
    <n v="1.0581052070073279E-2"/>
  </r>
  <r>
    <x v="8"/>
    <s v="COD"/>
    <n v="70997876.500000104"/>
    <x v="2"/>
    <n v="634"/>
    <n v="73460021"/>
    <n v="0"/>
    <m/>
    <n v="163"/>
    <m/>
    <n v="1168"/>
    <m/>
    <n v="0"/>
    <m/>
    <n v="0"/>
    <n v="87087354.999999985"/>
    <n v="136"/>
    <n v="167"/>
    <m/>
    <n v="4362"/>
    <m/>
    <n v="3788"/>
    <m/>
    <n v="2684"/>
    <n v="99010212"/>
    <n v="233"/>
    <n v="167"/>
    <n v="1168"/>
    <n v="4362"/>
    <n v="3788"/>
    <x v="24"/>
    <n v="2012"/>
    <n v="167"/>
    <s v="2018 (triag)"/>
    <n v="233"/>
    <n v="2022"/>
    <x v="1"/>
    <n v="233"/>
    <n v="233"/>
    <s v="Increasing"/>
    <n v="0.14126140610967886"/>
    <n v="5.4673730437993617E-2"/>
    <n v="82.408351247293055"/>
    <n v="196.7659603055495"/>
    <x v="25"/>
    <n v="1.9176147903447065E-2"/>
    <n v="2.3532926078372603E-2"/>
  </r>
  <r>
    <x v="8"/>
    <s v="COD"/>
    <n v="70997877.500000104"/>
    <x v="3"/>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78.500000104"/>
    <x v="4"/>
    <n v="0"/>
    <n v="73460021"/>
    <n v="0"/>
    <m/>
    <n v="0"/>
    <m/>
    <n v="0"/>
    <m/>
    <n v="0"/>
    <m/>
    <n v="0"/>
    <n v="87087354.999999985"/>
    <n v="0"/>
    <n v="2651"/>
    <m/>
    <n v="3342"/>
    <m/>
    <n v="0"/>
    <m/>
    <n v="3724"/>
    <n v="99010212"/>
    <n v="4695"/>
    <n v="2651"/>
    <n v="0"/>
    <n v="3342"/>
    <n v="4695"/>
    <x v="0"/>
    <s v=""/>
    <n v="2651"/>
    <s v="2018 (triag)"/>
    <n v="4695"/>
    <n v="2022"/>
    <x v="1"/>
    <n v="4695"/>
    <n v="4695"/>
    <s v="Increasing"/>
    <n v="0.14126140610967886"/>
    <n v="5.4673730437993617E-2"/>
    <n v="1308.1708931531371"/>
    <n v="3123.51233994019"/>
    <x v="0"/>
    <n v="0.30440699456310283"/>
    <n v="0.47419351046334496"/>
  </r>
  <r>
    <x v="8"/>
    <s v="COD"/>
    <n v="70997879.500000104"/>
    <x v="5"/>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80.500000104"/>
    <x v="6"/>
    <n v="0"/>
    <n v="73460021"/>
    <n v="2126"/>
    <m/>
    <n v="0"/>
    <m/>
    <n v="0"/>
    <m/>
    <n v="0"/>
    <m/>
    <n v="0"/>
    <n v="87087354.999999985"/>
    <n v="2934"/>
    <n v="2934"/>
    <m/>
    <n v="0"/>
    <m/>
    <n v="0"/>
    <m/>
    <n v="0"/>
    <n v="99010212"/>
    <n v="0"/>
    <n v="0"/>
    <n v="2126"/>
    <n v="2934"/>
    <n v="0"/>
    <x v="25"/>
    <n v="2013"/>
    <n v="2934"/>
    <n v="2018"/>
    <n v="2934"/>
    <n v="2018"/>
    <x v="1"/>
    <n v="2934"/>
    <n v="2934"/>
    <s v="No change"/>
    <n v="0.14126140610967886"/>
    <n v="5.4673730437993617E-2"/>
    <n v="0"/>
    <n v="0"/>
    <x v="26"/>
    <n v="0.33690310148930352"/>
    <n v="0.29633306915856317"/>
  </r>
  <r>
    <x v="8"/>
    <s v="COD"/>
    <n v="70997881.500000104"/>
    <x v="7"/>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82.500000104"/>
    <x v="8"/>
    <n v="0"/>
    <n v="73460021"/>
    <n v="287"/>
    <m/>
    <n v="0"/>
    <m/>
    <n v="0"/>
    <m/>
    <n v="0"/>
    <m/>
    <n v="0"/>
    <n v="87087354.999999985"/>
    <n v="0"/>
    <n v="338"/>
    <m/>
    <n v="0"/>
    <m/>
    <n v="0"/>
    <m/>
    <n v="439"/>
    <n v="99010212"/>
    <n v="528"/>
    <n v="338"/>
    <n v="287"/>
    <n v="0"/>
    <n v="528"/>
    <x v="26"/>
    <n v="2013"/>
    <n v="338"/>
    <s v="2018 (triag)"/>
    <n v="528"/>
    <n v="2022"/>
    <x v="1"/>
    <n v="528"/>
    <n v="528"/>
    <s v="Increasing"/>
    <n v="0.14126140610967886"/>
    <n v="5.4673730437993617E-2"/>
    <n v="166.79055521907219"/>
    <n v="398.24487774416605"/>
    <x v="27"/>
    <n v="3.8811604738713222E-2"/>
    <n v="5.3327832486612596E-2"/>
  </r>
  <r>
    <x v="8"/>
    <s v="COD"/>
    <n v="70997883.500000104"/>
    <x v="9"/>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84.500000104"/>
    <x v="10"/>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85.500000104"/>
    <x v="11"/>
    <n v="0"/>
    <n v="73460021"/>
    <n v="0"/>
    <m/>
    <n v="0"/>
    <m/>
    <n v="0"/>
    <m/>
    <n v="0"/>
    <m/>
    <n v="0"/>
    <n v="87087354.999999985"/>
    <n v="0"/>
    <n v="74310"/>
    <m/>
    <n v="1939"/>
    <m/>
    <n v="0"/>
    <m/>
    <n v="1785"/>
    <n v="99010212"/>
    <n v="1803"/>
    <n v="74310"/>
    <n v="0"/>
    <n v="1939"/>
    <n v="1803"/>
    <x v="0"/>
    <s v=""/>
    <n v="74310"/>
    <s v="2018 (triag)"/>
    <n v="1803"/>
    <n v="2022"/>
    <x v="0"/>
    <n v="2075.6932661315523"/>
    <n v="74310"/>
    <s v="Decreasing"/>
    <n v="0.14126140610967886"/>
    <n v="5.4673730437993617E-2"/>
    <n v="36669.248989139807"/>
    <n v="87554.961139553183"/>
    <x v="0"/>
    <n v="8.5328116808691696"/>
    <n v="0.20964436134441894"/>
  </r>
  <r>
    <x v="8"/>
    <s v="COD"/>
    <n v="70997886.500000104"/>
    <x v="12"/>
    <n v="0"/>
    <n v="73460021"/>
    <n v="0"/>
    <m/>
    <n v="0"/>
    <m/>
    <n v="0"/>
    <m/>
    <n v="0"/>
    <m/>
    <n v="0"/>
    <n v="87087354.999999985"/>
    <n v="0"/>
    <n v="1608"/>
    <m/>
    <n v="0"/>
    <m/>
    <n v="0"/>
    <m/>
    <n v="0"/>
    <n v="99010212"/>
    <n v="0"/>
    <n v="1608"/>
    <n v="0"/>
    <n v="0"/>
    <n v="0"/>
    <x v="0"/>
    <s v=""/>
    <n v="1608"/>
    <s v="2018 (triag)"/>
    <n v="1608"/>
    <s v="2018 (triag)"/>
    <x v="1"/>
    <n v="1608"/>
    <n v="1608"/>
    <s v="No change"/>
    <n v="0.14126140610967886"/>
    <n v="5.4673730437993617E-2"/>
    <n v="793.48879524339668"/>
    <n v="1894.6087674929556"/>
    <x v="0"/>
    <n v="0.18464219059127474"/>
    <n v="0.16240748984559289"/>
  </r>
  <r>
    <x v="8"/>
    <s v="COD"/>
    <n v="70997887.500000104"/>
    <x v="13"/>
    <n v="0"/>
    <n v="73460021"/>
    <n v="0"/>
    <m/>
    <n v="0"/>
    <m/>
    <n v="0"/>
    <m/>
    <n v="0"/>
    <m/>
    <n v="0"/>
    <n v="87087354.999999985"/>
    <n v="0"/>
    <n v="2934"/>
    <m/>
    <n v="0"/>
    <m/>
    <n v="0"/>
    <m/>
    <n v="0"/>
    <n v="99010212"/>
    <n v="0"/>
    <n v="2934"/>
    <n v="0"/>
    <n v="0"/>
    <n v="0"/>
    <x v="0"/>
    <s v=""/>
    <n v="2934"/>
    <s v="2018 (triag)"/>
    <n v="2934"/>
    <s v="2018 (triag)"/>
    <x v="1"/>
    <n v="2934"/>
    <n v="2934"/>
    <s v="No change"/>
    <n v="0.14126140610967886"/>
    <n v="5.4673730437993617E-2"/>
    <n v="1447.820973410526"/>
    <n v="3456.9540571046837"/>
    <x v="0"/>
    <n v="0.33690310148930352"/>
    <n v="0.29633306915856317"/>
  </r>
  <r>
    <x v="8"/>
    <s v="COD"/>
    <n v="70997888.500000104"/>
    <x v="14"/>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89.500000104"/>
    <x v="15"/>
    <n v="0"/>
    <n v="73460021"/>
    <n v="0"/>
    <m/>
    <n v="0"/>
    <m/>
    <n v="0"/>
    <m/>
    <n v="0"/>
    <m/>
    <n v="0"/>
    <n v="87087354.999999985"/>
    <n v="0"/>
    <n v="395"/>
    <m/>
    <n v="496"/>
    <m/>
    <n v="0"/>
    <m/>
    <n v="680"/>
    <n v="99010212"/>
    <n v="793"/>
    <n v="395"/>
    <n v="0"/>
    <n v="496"/>
    <n v="793"/>
    <x v="0"/>
    <s v=""/>
    <n v="395"/>
    <s v="2018 (triag)"/>
    <n v="793"/>
    <n v="2022"/>
    <x v="1"/>
    <n v="793"/>
    <n v="793"/>
    <s v="Increasing"/>
    <n v="0.14126140610967886"/>
    <n v="5.4673730437993617E-2"/>
    <n v="194.91795654299855"/>
    <n v="465.40451689037155"/>
    <x v="0"/>
    <n v="4.5356757017135277E-2"/>
    <n v="8.009274841265869E-2"/>
  </r>
  <r>
    <x v="8"/>
    <s v="COD"/>
    <n v="70997890.500000104"/>
    <x v="16"/>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91.500000104"/>
    <x v="17"/>
    <n v="0"/>
    <n v="73460021"/>
    <n v="0"/>
    <m/>
    <n v="0"/>
    <m/>
    <n v="0"/>
    <m/>
    <n v="0"/>
    <m/>
    <n v="0"/>
    <n v="87087354.999999985"/>
    <n v="0"/>
    <n v="0"/>
    <m/>
    <n v="0"/>
    <m/>
    <n v="0"/>
    <m/>
    <n v="0"/>
    <n v="99010212"/>
    <n v="0"/>
    <n v="0"/>
    <n v="0"/>
    <n v="0"/>
    <n v="0"/>
    <x v="0"/>
    <s v=""/>
    <m/>
    <s v=""/>
    <n v="0"/>
    <s v=""/>
    <x v="1"/>
    <m/>
    <n v="0"/>
    <s v="No change"/>
    <n v="0.14126140610967886"/>
    <n v="5.4673730437993617E-2"/>
    <n v="0"/>
    <n v="0"/>
    <x v="0"/>
    <n v="0"/>
    <n v="0"/>
  </r>
  <r>
    <x v="8"/>
    <s v="COD"/>
    <n v="70997892.500000104"/>
    <x v="18"/>
    <n v="0"/>
    <n v="73460021"/>
    <n v="0"/>
    <m/>
    <n v="0"/>
    <m/>
    <n v="0"/>
    <m/>
    <n v="0"/>
    <m/>
    <n v="0"/>
    <n v="87087354.999999985"/>
    <n v="0"/>
    <n v="0"/>
    <m/>
    <n v="0"/>
    <m/>
    <n v="0"/>
    <m/>
    <n v="0"/>
    <n v="99010212"/>
    <n v="0"/>
    <n v="0"/>
    <n v="0"/>
    <n v="0"/>
    <n v="0"/>
    <x v="0"/>
    <s v=""/>
    <m/>
    <s v=""/>
    <n v="0"/>
    <s v=""/>
    <x v="1"/>
    <m/>
    <n v="0"/>
    <s v="No change"/>
    <n v="0.14126140610967886"/>
    <n v="5.4673730437993617E-2"/>
    <n v="0"/>
    <n v="0"/>
    <x v="0"/>
    <n v="0"/>
    <n v="0"/>
  </r>
  <r>
    <x v="9"/>
    <s v="COG"/>
    <n v="4713261.5"/>
    <x v="0"/>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62.5"/>
    <x v="1"/>
    <n v="819"/>
    <n v="4828066.5000000028"/>
    <n v="0"/>
    <m/>
    <n v="0"/>
    <m/>
    <n v="0"/>
    <m/>
    <n v="0"/>
    <m/>
    <n v="0"/>
    <n v="5441061.9999999972"/>
    <n v="0"/>
    <n v="0"/>
    <m/>
    <n v="0"/>
    <m/>
    <n v="582"/>
    <m/>
    <n v="0"/>
    <n v="5970424.0000000009"/>
    <n v="0"/>
    <n v="0"/>
    <n v="819"/>
    <n v="0"/>
    <n v="582"/>
    <x v="27"/>
    <n v="2012"/>
    <m/>
    <s v=""/>
    <n v="582"/>
    <n v="2020"/>
    <x v="1"/>
    <n v="582"/>
    <n v="582"/>
    <s v="Increasing"/>
    <n v="9.0847270748923847E-3"/>
    <n v="5.4673730437993617E-2"/>
    <n v="0"/>
    <n v="0"/>
    <x v="28"/>
    <n v="0"/>
    <n v="0.9748051394674816"/>
  </r>
  <r>
    <x v="9"/>
    <s v="COG"/>
    <n v="4713263.5"/>
    <x v="2"/>
    <n v="4104"/>
    <n v="4828066.5000000028"/>
    <n v="0"/>
    <m/>
    <n v="0"/>
    <m/>
    <n v="0"/>
    <m/>
    <n v="2324"/>
    <m/>
    <n v="0"/>
    <n v="5441061.9999999972"/>
    <n v="0"/>
    <n v="374"/>
    <m/>
    <n v="0"/>
    <m/>
    <n v="0"/>
    <m/>
    <n v="0"/>
    <n v="5970424.0000000009"/>
    <n v="0"/>
    <n v="374"/>
    <n v="4104"/>
    <n v="2324"/>
    <n v="0"/>
    <x v="28"/>
    <n v="2012"/>
    <n v="374"/>
    <s v="2018 (triag)"/>
    <n v="374"/>
    <s v="2018 (triag)"/>
    <x v="1"/>
    <n v="374"/>
    <n v="374"/>
    <s v="No change"/>
    <n v="9.0847270748923847E-3"/>
    <n v="5.4673730437993617E-2"/>
    <n v="357.39162239727767"/>
    <n v="440.6614919417695"/>
    <x v="29"/>
    <n v="0.68736581204184066"/>
    <n v="0.62642117209766002"/>
  </r>
  <r>
    <x v="9"/>
    <s v="COG"/>
    <n v="4713264.5"/>
    <x v="3"/>
    <n v="0"/>
    <n v="4828066.5000000028"/>
    <n v="0"/>
    <m/>
    <n v="0"/>
    <m/>
    <n v="0"/>
    <m/>
    <n v="565"/>
    <m/>
    <n v="0"/>
    <n v="5441061.9999999972"/>
    <n v="0"/>
    <n v="850"/>
    <m/>
    <n v="0"/>
    <m/>
    <n v="0"/>
    <m/>
    <n v="0"/>
    <n v="5970424.0000000009"/>
    <n v="0"/>
    <n v="850"/>
    <n v="0"/>
    <n v="565"/>
    <n v="0"/>
    <x v="0"/>
    <s v=""/>
    <n v="850"/>
    <s v="2018 (triag)"/>
    <n v="850"/>
    <s v="2018 (triag)"/>
    <x v="1"/>
    <n v="850"/>
    <n v="850"/>
    <s v="No change"/>
    <n v="9.0847270748923847E-3"/>
    <n v="5.4673730437993617E-2"/>
    <n v="812.25368726654017"/>
    <n v="1001.5033907767489"/>
    <x v="0"/>
    <n v="1.5621950273678198"/>
    <n v="1.4236844820401362"/>
  </r>
  <r>
    <x v="9"/>
    <s v="COG"/>
    <n v="4713265.5"/>
    <x v="4"/>
    <n v="0"/>
    <n v="4828066.5000000028"/>
    <n v="0"/>
    <m/>
    <n v="0"/>
    <m/>
    <n v="0"/>
    <m/>
    <n v="0"/>
    <m/>
    <n v="0"/>
    <n v="5441061.9999999972"/>
    <n v="0"/>
    <n v="790"/>
    <m/>
    <n v="0"/>
    <m/>
    <n v="0"/>
    <m/>
    <n v="0"/>
    <n v="5970424.0000000009"/>
    <n v="0"/>
    <n v="790"/>
    <n v="0"/>
    <n v="0"/>
    <n v="0"/>
    <x v="0"/>
    <s v=""/>
    <n v="790"/>
    <s v="2018 (triag)"/>
    <n v="790"/>
    <s v="2018 (triag)"/>
    <x v="1"/>
    <n v="790"/>
    <n v="790"/>
    <s v="No change"/>
    <n v="9.0847270748923847E-3"/>
    <n v="5.4673730437993617E-2"/>
    <n v="754.91813287125501"/>
    <n v="930.80903378074311"/>
    <x v="0"/>
    <n v="1.4519224372006796"/>
    <n v="1.3231891068373032"/>
  </r>
  <r>
    <x v="9"/>
    <s v="COG"/>
    <n v="4713266.5"/>
    <x v="5"/>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67.5"/>
    <x v="6"/>
    <n v="0"/>
    <n v="4828066.5000000028"/>
    <n v="0"/>
    <m/>
    <n v="0"/>
    <m/>
    <n v="0"/>
    <m/>
    <n v="0"/>
    <m/>
    <n v="0"/>
    <n v="5441061.9999999972"/>
    <n v="320"/>
    <n v="320"/>
    <m/>
    <n v="0"/>
    <m/>
    <n v="0"/>
    <m/>
    <n v="0"/>
    <n v="5970424.0000000009"/>
    <n v="0"/>
    <n v="216"/>
    <n v="0"/>
    <n v="320"/>
    <n v="0"/>
    <x v="0"/>
    <s v=""/>
    <n v="320"/>
    <n v="2018"/>
    <n v="320"/>
    <n v="2018"/>
    <x v="1"/>
    <n v="320"/>
    <n v="320"/>
    <s v="No change"/>
    <n v="9.0847270748923847E-3"/>
    <n v="5.4673730437993617E-2"/>
    <n v="206.40799582302668"/>
    <n v="254.4996851856209"/>
    <x v="0"/>
    <n v="0.58812048089141455"/>
    <n v="0.53597533441511014"/>
  </r>
  <r>
    <x v="9"/>
    <s v="COG"/>
    <n v="4713268.5"/>
    <x v="7"/>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69.5"/>
    <x v="8"/>
    <n v="0"/>
    <n v="4828066.5000000028"/>
    <n v="0"/>
    <m/>
    <n v="0"/>
    <m/>
    <n v="0"/>
    <m/>
    <n v="0"/>
    <m/>
    <n v="0"/>
    <n v="5441061.9999999972"/>
    <n v="0"/>
    <n v="97"/>
    <m/>
    <n v="0"/>
    <m/>
    <n v="0"/>
    <m/>
    <n v="0"/>
    <n v="5970424.0000000009"/>
    <n v="0"/>
    <n v="97"/>
    <n v="0"/>
    <n v="0"/>
    <n v="0"/>
    <x v="0"/>
    <s v=""/>
    <n v="97"/>
    <s v="2018 (triag)"/>
    <n v="97"/>
    <s v="2018 (triag)"/>
    <x v="1"/>
    <n v="97"/>
    <n v="97"/>
    <s v="No change"/>
    <n v="9.0847270748923847E-3"/>
    <n v="5.4673730437993617E-2"/>
    <n v="92.692479605711057"/>
    <n v="114.28921047687605"/>
    <x v="0"/>
    <n v="0.17827402077021001"/>
    <n v="0.16246752324458025"/>
  </r>
  <r>
    <x v="9"/>
    <s v="COG"/>
    <n v="4713270.5"/>
    <x v="9"/>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71.5"/>
    <x v="10"/>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72.5"/>
    <x v="11"/>
    <n v="0"/>
    <n v="4828066.5000000028"/>
    <n v="0"/>
    <m/>
    <n v="0"/>
    <m/>
    <n v="0"/>
    <m/>
    <n v="0"/>
    <m/>
    <n v="0"/>
    <n v="5441061.9999999972"/>
    <n v="0"/>
    <n v="111"/>
    <m/>
    <n v="0"/>
    <m/>
    <n v="0"/>
    <m/>
    <n v="0"/>
    <n v="5970424.0000000009"/>
    <n v="0"/>
    <n v="111"/>
    <n v="0"/>
    <n v="0"/>
    <n v="0"/>
    <x v="0"/>
    <s v=""/>
    <n v="111"/>
    <s v="2018 (triag)"/>
    <n v="111"/>
    <s v="2018 (triag)"/>
    <x v="1"/>
    <n v="111"/>
    <n v="111"/>
    <s v="No change"/>
    <n v="9.0847270748923847E-3"/>
    <n v="5.4673730437993617E-2"/>
    <n v="106.0707756312776"/>
    <n v="130.78456044261074"/>
    <x v="0"/>
    <n v="0.2040042918092094"/>
    <n v="0.18591644412524133"/>
  </r>
  <r>
    <x v="9"/>
    <s v="COG"/>
    <n v="4713273.5"/>
    <x v="12"/>
    <n v="0"/>
    <n v="4828066.5000000028"/>
    <n v="0"/>
    <m/>
    <n v="0"/>
    <m/>
    <n v="0"/>
    <m/>
    <n v="0"/>
    <m/>
    <n v="0"/>
    <n v="5441061.9999999972"/>
    <n v="0"/>
    <n v="445"/>
    <m/>
    <n v="0"/>
    <m/>
    <n v="0"/>
    <m/>
    <n v="0"/>
    <n v="5970424.0000000009"/>
    <n v="0"/>
    <n v="445"/>
    <n v="0"/>
    <n v="0"/>
    <n v="0"/>
    <x v="0"/>
    <s v=""/>
    <n v="445"/>
    <s v="2018 (triag)"/>
    <n v="445"/>
    <s v="2018 (triag)"/>
    <x v="1"/>
    <n v="445"/>
    <n v="445"/>
    <s v="No change"/>
    <n v="9.0847270748923847E-3"/>
    <n v="5.4673730437993617E-2"/>
    <n v="425.23869509836516"/>
    <n v="524.31648105370971"/>
    <x v="0"/>
    <n v="0.81785504373962326"/>
    <n v="0.74534069942101255"/>
  </r>
  <r>
    <x v="9"/>
    <s v="COG"/>
    <n v="4713274.5"/>
    <x v="13"/>
    <n v="0"/>
    <n v="4828066.5000000028"/>
    <n v="0"/>
    <m/>
    <n v="0"/>
    <m/>
    <n v="0"/>
    <m/>
    <n v="0"/>
    <m/>
    <n v="0"/>
    <n v="5441061.9999999972"/>
    <n v="0"/>
    <n v="320"/>
    <m/>
    <n v="0"/>
    <m/>
    <n v="0"/>
    <m/>
    <n v="0"/>
    <n v="5970424.0000000009"/>
    <n v="777"/>
    <n v="320"/>
    <n v="0"/>
    <n v="0"/>
    <n v="777"/>
    <x v="0"/>
    <s v=""/>
    <n v="320"/>
    <s v="2018 (triag)"/>
    <n v="777"/>
    <n v="2022"/>
    <x v="1"/>
    <n v="777"/>
    <n v="777"/>
    <s v="Increasing"/>
    <n v="9.0847270748923847E-3"/>
    <n v="5.4673730437993617E-2"/>
    <n v="305.78962344152103"/>
    <n v="377.03657064536429"/>
    <x v="0"/>
    <n v="0.58812048089141455"/>
    <n v="1.3014151088766892"/>
  </r>
  <r>
    <x v="9"/>
    <s v="COG"/>
    <n v="4713275.5"/>
    <x v="14"/>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76.5"/>
    <x v="15"/>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77.5"/>
    <x v="16"/>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78.5"/>
    <x v="17"/>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9"/>
    <s v="COG"/>
    <n v="4713279.5"/>
    <x v="18"/>
    <n v="0"/>
    <n v="4828066.5000000028"/>
    <n v="0"/>
    <m/>
    <n v="0"/>
    <m/>
    <n v="0"/>
    <m/>
    <n v="0"/>
    <m/>
    <n v="0"/>
    <n v="5441061.9999999972"/>
    <n v="0"/>
    <n v="0"/>
    <m/>
    <n v="0"/>
    <m/>
    <n v="0"/>
    <m/>
    <n v="0"/>
    <n v="5970424.0000000009"/>
    <n v="0"/>
    <n v="0"/>
    <n v="0"/>
    <n v="0"/>
    <n v="0"/>
    <x v="0"/>
    <s v=""/>
    <m/>
    <s v=""/>
    <n v="0"/>
    <s v=""/>
    <x v="1"/>
    <m/>
    <n v="0"/>
    <s v="No change"/>
    <n v="9.0847270748923847E-3"/>
    <n v="5.4673730437993617E-2"/>
    <n v="0"/>
    <n v="0"/>
    <x v="0"/>
    <n v="0"/>
    <n v="0"/>
  </r>
  <r>
    <x v="10"/>
    <s v="COM"/>
    <n v="684557.5"/>
    <x v="0"/>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58.5"/>
    <x v="1"/>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59.5"/>
    <x v="2"/>
    <n v="0"/>
    <n v="699392.50000000035"/>
    <n v="755"/>
    <m/>
    <n v="0"/>
    <m/>
    <n v="0"/>
    <m/>
    <n v="0"/>
    <m/>
    <n v="0"/>
    <n v="776313.5000000007"/>
    <n v="0"/>
    <n v="389"/>
    <m/>
    <n v="0"/>
    <m/>
    <n v="0"/>
    <m/>
    <n v="0"/>
    <n v="836773.49999999977"/>
    <n v="0"/>
    <n v="389"/>
    <n v="755"/>
    <n v="0"/>
    <n v="0"/>
    <x v="29"/>
    <n v="2013"/>
    <n v="389"/>
    <s v="2018 (triag)"/>
    <n v="389"/>
    <s v="2018 (triag)"/>
    <x v="1"/>
    <n v="389"/>
    <n v="389"/>
    <s v="No change"/>
    <n v="0.22761760688079957"/>
    <n v="5.4673730437993617E-2"/>
    <n v="124.64769390220683"/>
    <n v="458.33508119077095"/>
    <x v="30"/>
    <n v="5.0108622354242156"/>
    <n v="4.6488087875631834"/>
  </r>
  <r>
    <x v="10"/>
    <s v="COM"/>
    <n v="684560.5"/>
    <x v="3"/>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61.5"/>
    <x v="4"/>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62.5"/>
    <x v="5"/>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63.5"/>
    <x v="6"/>
    <n v="0"/>
    <n v="699392.50000000035"/>
    <n v="0"/>
    <m/>
    <n v="0"/>
    <m/>
    <n v="0"/>
    <m/>
    <n v="0"/>
    <m/>
    <n v="0"/>
    <n v="776313.5000000007"/>
    <n v="0"/>
    <n v="161"/>
    <m/>
    <n v="0"/>
    <m/>
    <n v="0"/>
    <m/>
    <n v="0"/>
    <n v="836773.49999999977"/>
    <n v="0"/>
    <n v="161"/>
    <n v="0"/>
    <n v="0"/>
    <n v="0"/>
    <x v="0"/>
    <s v=""/>
    <n v="161"/>
    <s v="2018 (triag)"/>
    <n v="161"/>
    <s v="2018 (triag)"/>
    <x v="1"/>
    <n v="161"/>
    <n v="161"/>
    <s v="No change"/>
    <n v="0.22761760688079957"/>
    <n v="5.4673730437993617E-2"/>
    <n v="51.589405445386376"/>
    <n v="189.69652460594892"/>
    <x v="0"/>
    <n v="2.0739044213452407"/>
    <n v="1.9240571074490294"/>
  </r>
  <r>
    <x v="10"/>
    <s v="COM"/>
    <n v="684564.5"/>
    <x v="7"/>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65.5"/>
    <x v="8"/>
    <n v="0"/>
    <n v="699392.50000000035"/>
    <n v="0"/>
    <m/>
    <n v="0"/>
    <m/>
    <n v="0"/>
    <m/>
    <n v="0"/>
    <m/>
    <n v="0"/>
    <n v="776313.5000000007"/>
    <n v="0"/>
    <n v="498"/>
    <m/>
    <n v="0"/>
    <m/>
    <n v="25"/>
    <m/>
    <n v="0"/>
    <n v="836773.49999999977"/>
    <n v="0"/>
    <n v="498"/>
    <n v="0"/>
    <n v="0"/>
    <n v="25"/>
    <x v="0"/>
    <s v=""/>
    <n v="498"/>
    <s v="2018 (triag)"/>
    <n v="25"/>
    <n v="2020"/>
    <x v="0"/>
    <n v="28.732466108010378"/>
    <n v="498"/>
    <s v="Decreasing"/>
    <n v="0.22761760688079957"/>
    <n v="5.4673730437993617E-2"/>
    <n v="159.57468268200256"/>
    <n v="586.76316306684816"/>
    <x v="0"/>
    <n v="6.4149341728567073"/>
    <n v="0.34337208465624669"/>
  </r>
  <r>
    <x v="10"/>
    <s v="COM"/>
    <n v="684566.5"/>
    <x v="9"/>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67.5"/>
    <x v="10"/>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68.5"/>
    <x v="11"/>
    <n v="0"/>
    <n v="699392.50000000035"/>
    <n v="0"/>
    <m/>
    <n v="0"/>
    <m/>
    <n v="0"/>
    <m/>
    <n v="0"/>
    <m/>
    <n v="0"/>
    <n v="776313.5000000007"/>
    <n v="0"/>
    <n v="44"/>
    <m/>
    <n v="0"/>
    <m/>
    <n v="0"/>
    <m/>
    <n v="0"/>
    <n v="836773.49999999977"/>
    <n v="0"/>
    <n v="44"/>
    <n v="0"/>
    <n v="0"/>
    <n v="0"/>
    <x v="0"/>
    <s v=""/>
    <n v="44"/>
    <s v="2018 (triag)"/>
    <n v="44"/>
    <s v="2018 (triag)"/>
    <x v="1"/>
    <n v="44"/>
    <n v="44"/>
    <s v="No change"/>
    <n v="0.22761760688079957"/>
    <n v="5.4673730437993617E-2"/>
    <n v="14.098967947807456"/>
    <n v="51.842528463737594"/>
    <x v="0"/>
    <n v="0.56678133254155649"/>
    <n v="0.52582927160097703"/>
  </r>
  <r>
    <x v="10"/>
    <s v="COM"/>
    <n v="684569.5"/>
    <x v="12"/>
    <n v="0"/>
    <n v="699392.50000000035"/>
    <n v="0"/>
    <m/>
    <n v="0"/>
    <m/>
    <n v="0"/>
    <m/>
    <n v="0"/>
    <m/>
    <n v="0"/>
    <n v="776313.5000000007"/>
    <n v="0"/>
    <n v="115"/>
    <m/>
    <n v="0"/>
    <m/>
    <n v="0"/>
    <m/>
    <n v="0"/>
    <n v="836773.49999999977"/>
    <n v="0"/>
    <n v="115"/>
    <n v="0"/>
    <n v="0"/>
    <n v="0"/>
    <x v="0"/>
    <s v=""/>
    <n v="115"/>
    <s v="2018 (triag)"/>
    <n v="115"/>
    <s v="2018 (triag)"/>
    <x v="1"/>
    <n v="115"/>
    <n v="115"/>
    <s v="No change"/>
    <n v="0.22761760688079957"/>
    <n v="5.4673730437993617E-2"/>
    <n v="36.849575318133127"/>
    <n v="135.49751757567779"/>
    <x v="0"/>
    <n v="1.4813603009608862"/>
    <n v="1.3743265053207354"/>
  </r>
  <r>
    <x v="10"/>
    <s v="COM"/>
    <n v="684570.5"/>
    <x v="13"/>
    <n v="86"/>
    <n v="699392.50000000035"/>
    <n v="0"/>
    <m/>
    <n v="0"/>
    <m/>
    <n v="0"/>
    <m/>
    <n v="0"/>
    <m/>
    <n v="0"/>
    <n v="776313.5000000007"/>
    <n v="8"/>
    <n v="8"/>
    <m/>
    <n v="0"/>
    <m/>
    <n v="16"/>
    <m/>
    <n v="0"/>
    <n v="836773.49999999977"/>
    <n v="0"/>
    <n v="8"/>
    <n v="86"/>
    <n v="8"/>
    <n v="16"/>
    <x v="30"/>
    <n v="2012"/>
    <n v="8"/>
    <n v="2018"/>
    <n v="16"/>
    <n v="2020"/>
    <x v="1"/>
    <n v="16"/>
    <n v="16"/>
    <s v="Increasing"/>
    <n v="0.22761760688079957"/>
    <n v="5.4673730437993617E-2"/>
    <n v="2.563448717783174"/>
    <n v="9.4259142661341073"/>
    <x v="31"/>
    <n v="0.10305115137119208"/>
    <n v="0.19121064421853709"/>
  </r>
  <r>
    <x v="10"/>
    <s v="COM"/>
    <n v="684571.5"/>
    <x v="14"/>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72.5"/>
    <x v="15"/>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73.5"/>
    <x v="16"/>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74.5"/>
    <x v="17"/>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0"/>
    <s v="COM"/>
    <n v="684575.5"/>
    <x v="18"/>
    <n v="0"/>
    <n v="699392.50000000035"/>
    <n v="0"/>
    <m/>
    <n v="0"/>
    <m/>
    <n v="0"/>
    <m/>
    <n v="0"/>
    <m/>
    <n v="0"/>
    <n v="776313.5000000007"/>
    <n v="0"/>
    <n v="0"/>
    <m/>
    <n v="0"/>
    <m/>
    <n v="0"/>
    <m/>
    <n v="0"/>
    <n v="836773.49999999977"/>
    <n v="0"/>
    <n v="0"/>
    <n v="0"/>
    <n v="0"/>
    <n v="0"/>
    <x v="0"/>
    <s v=""/>
    <m/>
    <s v=""/>
    <n v="0"/>
    <s v=""/>
    <x v="1"/>
    <m/>
    <n v="0"/>
    <s v="No change"/>
    <n v="0.22761760688079957"/>
    <n v="5.4673730437993617E-2"/>
    <n v="0"/>
    <n v="0"/>
    <x v="0"/>
    <n v="0"/>
    <n v="0"/>
  </r>
  <r>
    <x v="11"/>
    <s v="CPV"/>
    <n v="533869"/>
    <x v="0"/>
    <n v="0"/>
    <n v="539939.99999999988"/>
    <n v="0"/>
    <m/>
    <n v="0"/>
    <m/>
    <n v="0"/>
    <m/>
    <n v="0"/>
    <m/>
    <n v="0"/>
    <n v="571201.5"/>
    <n v="117"/>
    <n v="117"/>
    <m/>
    <n v="0"/>
    <m/>
    <n v="0"/>
    <m/>
    <n v="0"/>
    <n v="593149.50000000012"/>
    <n v="155"/>
    <n v="117"/>
    <n v="0"/>
    <n v="117"/>
    <n v="155"/>
    <x v="0"/>
    <s v=""/>
    <n v="117"/>
    <n v="2018"/>
    <n v="155"/>
    <n v="2022"/>
    <x v="1"/>
    <n v="155"/>
    <n v="155"/>
    <s v="Increasing"/>
    <n v="0.12998282689096063"/>
    <n v="5.4673730437993617E-2"/>
    <n v="61.084600718404062"/>
    <n v="137.85399614221132"/>
    <x v="0"/>
    <n v="2.0483139487553865"/>
    <n v="2.613169192589726"/>
  </r>
  <r>
    <x v="11"/>
    <s v="CPV"/>
    <n v="533870"/>
    <x v="1"/>
    <n v="130"/>
    <n v="539939.99999999988"/>
    <n v="3781"/>
    <m/>
    <n v="168"/>
    <m/>
    <n v="0"/>
    <m/>
    <n v="0"/>
    <m/>
    <n v="0"/>
    <n v="571201.5"/>
    <n v="0"/>
    <n v="18"/>
    <m/>
    <n v="0"/>
    <m/>
    <n v="0"/>
    <m/>
    <n v="6"/>
    <n v="593149.50000000012"/>
    <n v="0"/>
    <n v="18"/>
    <n v="3781"/>
    <n v="0"/>
    <n v="6"/>
    <x v="31"/>
    <n v="2013"/>
    <n v="18"/>
    <s v="2018 (triag)"/>
    <n v="6"/>
    <n v="2021"/>
    <x v="0"/>
    <n v="7.4605597964376598"/>
    <n v="18"/>
    <s v="Decreasing"/>
    <n v="0.12998282689096063"/>
    <n v="5.4673730437993617E-2"/>
    <n v="9.3976308797544696"/>
    <n v="21.20830709880174"/>
    <x v="32"/>
    <n v="0.31512522288544409"/>
    <n v="0.12577874206144757"/>
  </r>
  <r>
    <x v="11"/>
    <s v="CPV"/>
    <n v="533871"/>
    <x v="2"/>
    <n v="121"/>
    <n v="539939.99999999988"/>
    <n v="3881"/>
    <m/>
    <n v="8"/>
    <m/>
    <n v="0"/>
    <m/>
    <n v="0"/>
    <m/>
    <n v="0"/>
    <n v="571201.5"/>
    <n v="3207"/>
    <n v="3207"/>
    <m/>
    <n v="0"/>
    <m/>
    <n v="0"/>
    <m/>
    <n v="353"/>
    <n v="593149.50000000012"/>
    <n v="0"/>
    <n v="1"/>
    <n v="3881"/>
    <n v="3207"/>
    <n v="353"/>
    <x v="32"/>
    <n v="2013"/>
    <n v="3207"/>
    <n v="2018"/>
    <n v="353"/>
    <n v="2021"/>
    <x v="0"/>
    <n v="438.92960135708233"/>
    <n v="3207"/>
    <s v="Decreasing"/>
    <n v="0.12998282689096063"/>
    <n v="5.4673730437993617E-2"/>
    <n v="0.52209060443080391"/>
    <n v="1.1782392832667634"/>
    <x v="33"/>
    <n v="56.144810544089957"/>
    <n v="7.399982657948498"/>
  </r>
  <r>
    <x v="11"/>
    <s v="CPV"/>
    <n v="533872"/>
    <x v="3"/>
    <n v="0"/>
    <n v="539939.99999999988"/>
    <n v="0"/>
    <m/>
    <n v="0"/>
    <m/>
    <n v="0"/>
    <m/>
    <n v="0"/>
    <m/>
    <n v="0"/>
    <n v="571201.5"/>
    <n v="0"/>
    <n v="149"/>
    <m/>
    <n v="0"/>
    <m/>
    <n v="0"/>
    <m/>
    <n v="0"/>
    <n v="593149.50000000012"/>
    <n v="0"/>
    <n v="149"/>
    <n v="0"/>
    <n v="0"/>
    <n v="0"/>
    <x v="0"/>
    <s v=""/>
    <n v="149"/>
    <s v="2018 (triag)"/>
    <n v="149"/>
    <s v="2018 (triag)"/>
    <x v="1"/>
    <n v="149"/>
    <n v="149"/>
    <s v="No change"/>
    <n v="0.12998282689096063"/>
    <n v="5.4673730437993617E-2"/>
    <n v="77.79150006018979"/>
    <n v="175.55765320674774"/>
    <x v="0"/>
    <n v="2.6085365672183984"/>
    <n v="2.5120142561023817"/>
  </r>
  <r>
    <x v="11"/>
    <s v="CPV"/>
    <n v="533873"/>
    <x v="4"/>
    <n v="0"/>
    <n v="539939.99999999988"/>
    <n v="0"/>
    <m/>
    <n v="0"/>
    <m/>
    <n v="0"/>
    <m/>
    <n v="0"/>
    <m/>
    <n v="0"/>
    <n v="571201.5"/>
    <n v="0"/>
    <n v="61"/>
    <m/>
    <n v="0"/>
    <m/>
    <n v="0"/>
    <m/>
    <n v="0"/>
    <n v="593149.50000000012"/>
    <n v="0"/>
    <n v="61"/>
    <n v="0"/>
    <n v="0"/>
    <n v="0"/>
    <x v="0"/>
    <s v=""/>
    <n v="61"/>
    <s v="2018 (triag)"/>
    <n v="61"/>
    <s v="2018 (triag)"/>
    <x v="1"/>
    <n v="61"/>
    <n v="61"/>
    <s v="No change"/>
    <n v="0.12998282689096063"/>
    <n v="5.4673730437993617E-2"/>
    <n v="31.84752687027904"/>
    <n v="71.872596279272571"/>
    <x v="0"/>
    <n v="1.0679243664451161"/>
    <n v="1.0284085209546663"/>
  </r>
  <r>
    <x v="11"/>
    <s v="CPV"/>
    <n v="533874"/>
    <x v="5"/>
    <n v="0"/>
    <n v="539939.99999999988"/>
    <n v="0"/>
    <m/>
    <n v="0"/>
    <m/>
    <n v="0"/>
    <m/>
    <n v="0"/>
    <m/>
    <n v="0"/>
    <n v="571201.5"/>
    <n v="0"/>
    <n v="20"/>
    <m/>
    <n v="20"/>
    <m/>
    <n v="0"/>
    <m/>
    <n v="0"/>
    <n v="593149.50000000012"/>
    <n v="0"/>
    <n v="20"/>
    <n v="0"/>
    <n v="20"/>
    <n v="0"/>
    <x v="0"/>
    <s v=""/>
    <n v="20"/>
    <s v="2018 (triag)"/>
    <n v="20"/>
    <s v="2018 (triag)"/>
    <x v="1"/>
    <n v="20"/>
    <n v="20"/>
    <s v="No change"/>
    <n v="0.12998282689096063"/>
    <n v="5.4673730437993617E-2"/>
    <n v="10.441812088616079"/>
    <n v="23.564785665335268"/>
    <x v="0"/>
    <n v="0.35013913653938233"/>
    <n v="0.33718312162448077"/>
  </r>
  <r>
    <x v="11"/>
    <s v="CPV"/>
    <n v="533875"/>
    <x v="6"/>
    <n v="0"/>
    <n v="539939.99999999988"/>
    <n v="0"/>
    <m/>
    <n v="0"/>
    <m/>
    <n v="0"/>
    <m/>
    <n v="0"/>
    <m/>
    <n v="0"/>
    <n v="571201.5"/>
    <n v="65"/>
    <n v="65"/>
    <m/>
    <n v="0"/>
    <m/>
    <n v="0"/>
    <m/>
    <n v="0"/>
    <n v="593149.50000000012"/>
    <n v="0"/>
    <n v="11"/>
    <n v="0"/>
    <n v="65"/>
    <n v="0"/>
    <x v="0"/>
    <s v=""/>
    <n v="65"/>
    <n v="2018"/>
    <n v="65"/>
    <n v="2018"/>
    <x v="1"/>
    <n v="65"/>
    <n v="65"/>
    <s v="No change"/>
    <n v="0.12998282689096063"/>
    <n v="5.4673730437993617E-2"/>
    <n v="5.7429966487388429"/>
    <n v="12.960632115934398"/>
    <x v="0"/>
    <n v="1.1379521937529926"/>
    <n v="1.0958451452795626"/>
  </r>
  <r>
    <x v="11"/>
    <s v="CPV"/>
    <n v="533876"/>
    <x v="7"/>
    <n v="0"/>
    <n v="539939.99999999988"/>
    <n v="0"/>
    <m/>
    <n v="0"/>
    <m/>
    <n v="0"/>
    <m/>
    <n v="0"/>
    <m/>
    <n v="0"/>
    <n v="571201.5"/>
    <n v="0"/>
    <n v="3"/>
    <m/>
    <n v="0"/>
    <m/>
    <n v="0"/>
    <m/>
    <n v="0"/>
    <n v="593149.50000000012"/>
    <n v="0"/>
    <n v="3"/>
    <n v="0"/>
    <n v="0"/>
    <n v="0"/>
    <x v="0"/>
    <s v=""/>
    <n v="3"/>
    <s v="2018 (triag)"/>
    <n v="3"/>
    <s v="2018 (triag)"/>
    <x v="1"/>
    <n v="3"/>
    <n v="3"/>
    <s v="No change"/>
    <n v="0.12998282689096063"/>
    <n v="5.4673730437993617E-2"/>
    <n v="1.5662718132924118"/>
    <n v="3.5347178498002902"/>
    <x v="0"/>
    <n v="5.2520870480907353E-2"/>
    <n v="5.0577468243672118E-2"/>
  </r>
  <r>
    <x v="11"/>
    <s v="CPV"/>
    <n v="533877"/>
    <x v="8"/>
    <n v="0"/>
    <n v="539939.99999999988"/>
    <n v="0"/>
    <m/>
    <n v="0"/>
    <m/>
    <n v="0"/>
    <m/>
    <n v="0"/>
    <m/>
    <n v="0"/>
    <n v="571201.5"/>
    <n v="0"/>
    <n v="27"/>
    <m/>
    <n v="0"/>
    <m/>
    <n v="0"/>
    <m/>
    <n v="0"/>
    <n v="593149.50000000012"/>
    <n v="0"/>
    <n v="27"/>
    <n v="0"/>
    <n v="0"/>
    <n v="0"/>
    <x v="0"/>
    <s v=""/>
    <n v="27"/>
    <s v="2018 (triag)"/>
    <n v="27"/>
    <s v="2018 (triag)"/>
    <x v="1"/>
    <n v="27"/>
    <n v="27"/>
    <s v="No change"/>
    <n v="0.12998282689096063"/>
    <n v="5.4673730437993617E-2"/>
    <n v="14.096446319631706"/>
    <n v="31.812460648202613"/>
    <x v="0"/>
    <n v="0.47268783432816613"/>
    <n v="0.45519721419304904"/>
  </r>
  <r>
    <x v="11"/>
    <s v="CPV"/>
    <n v="533878"/>
    <x v="9"/>
    <n v="0"/>
    <n v="539939.99999999988"/>
    <n v="0"/>
    <m/>
    <n v="0"/>
    <m/>
    <n v="0"/>
    <m/>
    <n v="0"/>
    <m/>
    <n v="0"/>
    <n v="571201.5"/>
    <n v="0"/>
    <n v="14"/>
    <m/>
    <n v="0"/>
    <m/>
    <n v="0"/>
    <m/>
    <n v="0"/>
    <n v="593149.50000000012"/>
    <n v="0"/>
    <n v="14"/>
    <n v="0"/>
    <n v="0"/>
    <n v="0"/>
    <x v="0"/>
    <s v=""/>
    <n v="14"/>
    <s v="2018 (triag)"/>
    <n v="14"/>
    <s v="2018 (triag)"/>
    <x v="1"/>
    <n v="14"/>
    <n v="14"/>
    <s v="No change"/>
    <n v="0.12998282689096063"/>
    <n v="5.4673730437993617E-2"/>
    <n v="7.3092684620312545"/>
    <n v="16.49534996573469"/>
    <x v="0"/>
    <n v="0.24509739557756763"/>
    <n v="0.23602818513713655"/>
  </r>
  <r>
    <x v="11"/>
    <s v="CPV"/>
    <n v="533879"/>
    <x v="10"/>
    <n v="0"/>
    <n v="539939.99999999988"/>
    <n v="0"/>
    <m/>
    <n v="0"/>
    <m/>
    <n v="0"/>
    <m/>
    <n v="0"/>
    <m/>
    <n v="0"/>
    <n v="571201.5"/>
    <n v="0"/>
    <n v="40"/>
    <m/>
    <n v="0"/>
    <m/>
    <n v="0"/>
    <m/>
    <n v="0"/>
    <n v="593149.50000000012"/>
    <n v="4"/>
    <n v="40"/>
    <n v="0"/>
    <n v="0"/>
    <n v="4"/>
    <x v="0"/>
    <s v=""/>
    <n v="40"/>
    <s v="2018 (triag)"/>
    <n v="4"/>
    <n v="2022"/>
    <x v="0"/>
    <n v="4.9737065309584398"/>
    <n v="40"/>
    <s v="Decreasing"/>
    <n v="0.12998282689096063"/>
    <n v="5.4673730437993617E-2"/>
    <n v="20.883624177232157"/>
    <n v="47.129571330670537"/>
    <x v="0"/>
    <n v="0.70027827307876467"/>
    <n v="8.3852494707631689E-2"/>
  </r>
  <r>
    <x v="11"/>
    <s v="CPV"/>
    <n v="533880"/>
    <x v="11"/>
    <n v="0"/>
    <n v="539939.99999999988"/>
    <n v="0"/>
    <m/>
    <n v="0"/>
    <m/>
    <n v="0"/>
    <m/>
    <n v="0"/>
    <m/>
    <n v="0"/>
    <n v="571201.5"/>
    <n v="0"/>
    <n v="1357"/>
    <m/>
    <n v="0"/>
    <m/>
    <n v="0"/>
    <m/>
    <n v="0"/>
    <n v="593149.50000000012"/>
    <n v="0"/>
    <n v="1357"/>
    <n v="0"/>
    <n v="0"/>
    <n v="0"/>
    <x v="0"/>
    <s v=""/>
    <n v="1357"/>
    <s v="2018 (triag)"/>
    <n v="1357"/>
    <s v="2018 (triag)"/>
    <x v="1"/>
    <n v="1357"/>
    <n v="1357"/>
    <s v="No change"/>
    <n v="0.12998282689096063"/>
    <n v="5.4673730437993617E-2"/>
    <n v="708.47695021260097"/>
    <n v="1598.8707073929979"/>
    <x v="0"/>
    <n v="23.756940414197093"/>
    <n v="22.877874802221022"/>
  </r>
  <r>
    <x v="11"/>
    <s v="CPV"/>
    <n v="533881"/>
    <x v="12"/>
    <n v="0"/>
    <n v="539939.99999999988"/>
    <n v="0"/>
    <m/>
    <n v="0"/>
    <m/>
    <n v="0"/>
    <m/>
    <n v="0"/>
    <m/>
    <n v="0"/>
    <n v="571201.5"/>
    <n v="0"/>
    <n v="95"/>
    <m/>
    <n v="0"/>
    <m/>
    <n v="0"/>
    <m/>
    <n v="0"/>
    <n v="593149.50000000012"/>
    <n v="0"/>
    <n v="95"/>
    <n v="0"/>
    <n v="0"/>
    <n v="0"/>
    <x v="0"/>
    <s v=""/>
    <n v="95"/>
    <s v="2018 (triag)"/>
    <n v="95"/>
    <s v="2018 (triag)"/>
    <x v="1"/>
    <n v="95"/>
    <n v="95"/>
    <s v="No change"/>
    <n v="0.12998282689096063"/>
    <n v="5.4673730437993617E-2"/>
    <n v="49.598607420926371"/>
    <n v="111.93273191034253"/>
    <x v="0"/>
    <n v="1.6631608985620661"/>
    <n v="1.6016198277162836"/>
  </r>
  <r>
    <x v="11"/>
    <s v="CPV"/>
    <n v="533882"/>
    <x v="13"/>
    <n v="0"/>
    <n v="539939.99999999988"/>
    <n v="0"/>
    <m/>
    <n v="0"/>
    <m/>
    <n v="0"/>
    <m/>
    <n v="0"/>
    <m/>
    <n v="0"/>
    <n v="571201.5"/>
    <n v="0"/>
    <n v="65"/>
    <m/>
    <n v="0"/>
    <m/>
    <n v="0"/>
    <m/>
    <n v="0"/>
    <n v="593149.50000000012"/>
    <n v="0"/>
    <n v="65"/>
    <n v="0"/>
    <n v="0"/>
    <n v="0"/>
    <x v="0"/>
    <s v=""/>
    <n v="65"/>
    <s v="2018 (triag)"/>
    <n v="65"/>
    <s v="2018 (triag)"/>
    <x v="1"/>
    <n v="65"/>
    <n v="65"/>
    <s v="No change"/>
    <n v="0.12998282689096063"/>
    <n v="5.4673730437993617E-2"/>
    <n v="33.935889288002258"/>
    <n v="76.585553412339621"/>
    <x v="0"/>
    <n v="1.1379521937529926"/>
    <n v="1.0958451452795626"/>
  </r>
  <r>
    <x v="11"/>
    <s v="CPV"/>
    <n v="533883"/>
    <x v="14"/>
    <n v="0"/>
    <n v="539939.99999999988"/>
    <n v="0"/>
    <m/>
    <n v="0"/>
    <m/>
    <n v="0"/>
    <m/>
    <n v="0"/>
    <m/>
    <n v="0"/>
    <n v="571201.5"/>
    <n v="0"/>
    <n v="0"/>
    <m/>
    <n v="0"/>
    <m/>
    <n v="0"/>
    <m/>
    <n v="0"/>
    <n v="593149.50000000012"/>
    <n v="0"/>
    <n v="0"/>
    <n v="0"/>
    <n v="0"/>
    <n v="0"/>
    <x v="0"/>
    <s v=""/>
    <m/>
    <s v=""/>
    <n v="0"/>
    <s v=""/>
    <x v="1"/>
    <m/>
    <n v="0"/>
    <s v="No change"/>
    <n v="0.12998282689096063"/>
    <n v="5.4673730437993617E-2"/>
    <n v="0"/>
    <n v="0"/>
    <x v="0"/>
    <n v="0"/>
    <n v="0"/>
  </r>
  <r>
    <x v="11"/>
    <s v="CPV"/>
    <n v="533884"/>
    <x v="15"/>
    <n v="0"/>
    <n v="539939.99999999988"/>
    <n v="0"/>
    <m/>
    <n v="0"/>
    <m/>
    <n v="0"/>
    <m/>
    <n v="0"/>
    <m/>
    <n v="0"/>
    <n v="571201.5"/>
    <n v="0"/>
    <n v="58"/>
    <m/>
    <n v="0"/>
    <m/>
    <n v="0"/>
    <m/>
    <n v="0"/>
    <n v="593149.50000000012"/>
    <n v="10"/>
    <n v="58"/>
    <n v="0"/>
    <n v="0"/>
    <n v="10"/>
    <x v="0"/>
    <s v=""/>
    <n v="58"/>
    <s v="2018 (triag)"/>
    <n v="10"/>
    <n v="2022"/>
    <x v="0"/>
    <n v="12.434266327396099"/>
    <n v="58"/>
    <s v="Decreasing"/>
    <n v="0.12998282689096063"/>
    <n v="5.4673730437993617E-2"/>
    <n v="30.281255056986627"/>
    <n v="68.337878429472283"/>
    <x v="0"/>
    <n v="1.0154034959642089"/>
    <n v="0.20963123676907924"/>
  </r>
  <r>
    <x v="11"/>
    <s v="CPV"/>
    <n v="533885"/>
    <x v="16"/>
    <n v="0"/>
    <n v="539939.99999999988"/>
    <n v="0"/>
    <m/>
    <n v="0"/>
    <m/>
    <n v="0"/>
    <m/>
    <n v="0"/>
    <m/>
    <n v="0"/>
    <n v="571201.5"/>
    <n v="0"/>
    <n v="0"/>
    <m/>
    <n v="0"/>
    <m/>
    <n v="0"/>
    <m/>
    <n v="0"/>
    <n v="593149.50000000012"/>
    <n v="0"/>
    <n v="0"/>
    <n v="0"/>
    <n v="0"/>
    <n v="0"/>
    <x v="0"/>
    <s v=""/>
    <m/>
    <s v=""/>
    <n v="0"/>
    <s v=""/>
    <x v="1"/>
    <m/>
    <n v="0"/>
    <s v="No change"/>
    <n v="0.12998282689096063"/>
    <n v="5.4673730437993617E-2"/>
    <n v="0"/>
    <n v="0"/>
    <x v="0"/>
    <n v="0"/>
    <n v="0"/>
  </r>
  <r>
    <x v="11"/>
    <s v="CPV"/>
    <n v="533886"/>
    <x v="17"/>
    <n v="0"/>
    <n v="539939.99999999988"/>
    <n v="0"/>
    <m/>
    <n v="0"/>
    <m/>
    <n v="0"/>
    <m/>
    <n v="0"/>
    <m/>
    <n v="0"/>
    <n v="571201.5"/>
    <n v="0"/>
    <n v="0"/>
    <m/>
    <n v="0"/>
    <m/>
    <n v="0"/>
    <m/>
    <n v="0"/>
    <n v="593149.50000000012"/>
    <n v="0"/>
    <n v="0"/>
    <n v="0"/>
    <n v="0"/>
    <n v="0"/>
    <x v="0"/>
    <s v=""/>
    <m/>
    <s v=""/>
    <n v="0"/>
    <s v=""/>
    <x v="1"/>
    <m/>
    <n v="0"/>
    <s v="No change"/>
    <n v="0.12998282689096063"/>
    <n v="5.4673730437993617E-2"/>
    <n v="0"/>
    <n v="0"/>
    <x v="0"/>
    <n v="0"/>
    <n v="0"/>
  </r>
  <r>
    <x v="11"/>
    <s v="CPV"/>
    <n v="533887"/>
    <x v="18"/>
    <n v="0"/>
    <n v="539939.99999999988"/>
    <n v="0"/>
    <m/>
    <n v="0"/>
    <m/>
    <n v="0"/>
    <m/>
    <n v="0"/>
    <m/>
    <n v="0"/>
    <n v="571201.5"/>
    <n v="0"/>
    <n v="1"/>
    <m/>
    <n v="0"/>
    <m/>
    <n v="0"/>
    <m/>
    <n v="0"/>
    <n v="593149.50000000012"/>
    <n v="0"/>
    <n v="1"/>
    <n v="0"/>
    <n v="0"/>
    <n v="0"/>
    <x v="0"/>
    <s v=""/>
    <n v="1"/>
    <s v="2018 (triag)"/>
    <n v="1"/>
    <s v="2018 (triag)"/>
    <x v="1"/>
    <n v="1"/>
    <n v="1"/>
    <s v="No change"/>
    <n v="0.12998282689096063"/>
    <n v="5.4673730437993617E-2"/>
    <n v="0.52209060443080391"/>
    <n v="1.1782392832667634"/>
    <x v="0"/>
    <n v="1.7506956826969115E-2"/>
    <n v="1.6859156081224038E-2"/>
  </r>
  <r>
    <x v="12"/>
    <s v="DZA"/>
    <n v="37260567.5"/>
    <x v="0"/>
    <n v="0"/>
    <n v="38000626.500000022"/>
    <n v="0"/>
    <m/>
    <n v="0"/>
    <m/>
    <n v="0"/>
    <m/>
    <n v="0"/>
    <m/>
    <n v="0"/>
    <n v="41927007.000000007"/>
    <n v="0"/>
    <n v="0"/>
    <m/>
    <n v="0"/>
    <m/>
    <n v="0"/>
    <m/>
    <n v="0"/>
    <n v="44903225.000000007"/>
    <n v="0"/>
    <n v="0"/>
    <n v="0"/>
    <n v="0"/>
    <n v="0"/>
    <x v="0"/>
    <s v=""/>
    <m/>
    <s v=""/>
    <n v="0"/>
    <s v=""/>
    <x v="1"/>
    <m/>
    <n v="0"/>
    <s v="No change"/>
    <n v="-5.6467842638671772E-2"/>
    <n v="0.17775588866414749"/>
    <n v="0"/>
    <n v="0"/>
    <x v="0"/>
    <n v="0"/>
    <n v="0"/>
  </r>
  <r>
    <x v="12"/>
    <s v="DZA"/>
    <n v="37260568.5"/>
    <x v="1"/>
    <n v="20"/>
    <n v="38000626.500000022"/>
    <n v="1"/>
    <m/>
    <n v="0"/>
    <m/>
    <n v="0"/>
    <m/>
    <n v="0"/>
    <m/>
    <n v="0"/>
    <n v="41927007.000000007"/>
    <n v="0"/>
    <n v="381"/>
    <m/>
    <n v="7"/>
    <m/>
    <n v="0"/>
    <m/>
    <n v="0"/>
    <n v="44903225.000000007"/>
    <n v="0"/>
    <n v="381"/>
    <n v="20"/>
    <n v="7"/>
    <n v="0"/>
    <x v="33"/>
    <n v="2013"/>
    <n v="381"/>
    <s v="2018 (triag)"/>
    <n v="7"/>
    <s v="2018 (triag)"/>
    <x v="0"/>
    <n v="7.9790405895099754"/>
    <n v="381"/>
    <s v="Decreasing"/>
    <n v="-5.6467842638671772E-2"/>
    <n v="0.17775588866414749"/>
    <n v="505.29306532160189"/>
    <n v="649.41180714122345"/>
    <x v="34"/>
    <n v="9.0872215133314893E-2"/>
    <n v="1.7769415425083553E-3"/>
  </r>
  <r>
    <x v="12"/>
    <s v="DZA"/>
    <n v="37260569.5"/>
    <x v="2"/>
    <n v="199"/>
    <n v="38000626.500000022"/>
    <n v="0"/>
    <m/>
    <n v="0"/>
    <m/>
    <n v="0"/>
    <m/>
    <n v="304"/>
    <m/>
    <n v="0"/>
    <n v="41927007.000000007"/>
    <n v="0"/>
    <n v="1249"/>
    <m/>
    <n v="20"/>
    <m/>
    <n v="0"/>
    <m/>
    <n v="0"/>
    <n v="44903225.000000007"/>
    <n v="0"/>
    <n v="1249"/>
    <n v="199"/>
    <n v="304"/>
    <n v="0"/>
    <x v="34"/>
    <n v="2012"/>
    <n v="1249"/>
    <s v="2018 (triag)"/>
    <n v="20"/>
    <s v="2018 (triag)"/>
    <x v="0"/>
    <n v="22.797258827171358"/>
    <n v="1249"/>
    <s v="Decreasing"/>
    <n v="-5.6467842638671772E-2"/>
    <n v="0.17775588866414749"/>
    <n v="1656.4594188626791"/>
    <n v="2128.9116722293652"/>
    <x v="35"/>
    <n v="0.29789867900658873"/>
    <n v="5.0769758357381576E-3"/>
  </r>
  <r>
    <x v="12"/>
    <s v="DZA"/>
    <n v="37260570.5"/>
    <x v="3"/>
    <n v="0"/>
    <n v="38000626.500000022"/>
    <n v="0"/>
    <m/>
    <n v="0"/>
    <m/>
    <n v="0"/>
    <m/>
    <n v="0"/>
    <m/>
    <n v="0"/>
    <n v="41927007.000000007"/>
    <n v="42507"/>
    <n v="42507"/>
    <m/>
    <n v="0"/>
    <m/>
    <n v="0"/>
    <m/>
    <n v="0"/>
    <n v="44903225.000000007"/>
    <n v="0"/>
    <n v="41461"/>
    <n v="0"/>
    <n v="42507"/>
    <n v="0"/>
    <x v="0"/>
    <s v=""/>
    <n v="42507"/>
    <n v="2018"/>
    <n v="42507"/>
    <n v="2018"/>
    <x v="1"/>
    <n v="42507"/>
    <n v="42507"/>
    <s v="No change"/>
    <n v="-5.6467842638671772E-2"/>
    <n v="0.17775588866414749"/>
    <n v="54986.760580837101"/>
    <n v="70669.981459008573"/>
    <x v="0"/>
    <n v="10.138333986015265"/>
    <n v="9.4663579286343005"/>
  </r>
  <r>
    <x v="12"/>
    <s v="DZA"/>
    <n v="37260571.5"/>
    <x v="4"/>
    <n v="0"/>
    <n v="38000626.500000022"/>
    <n v="0"/>
    <m/>
    <n v="0"/>
    <m/>
    <n v="0"/>
    <m/>
    <n v="0"/>
    <m/>
    <n v="0"/>
    <n v="41927007.000000007"/>
    <n v="900"/>
    <n v="10838"/>
    <m/>
    <n v="0"/>
    <m/>
    <n v="0"/>
    <m/>
    <n v="0"/>
    <n v="44903225.000000007"/>
    <n v="0"/>
    <n v="10838"/>
    <n v="0"/>
    <n v="900"/>
    <n v="0"/>
    <x v="0"/>
    <s v=""/>
    <n v="10838"/>
    <s v="2018 (triag)"/>
    <n v="10838"/>
    <s v="2018 (triag)"/>
    <x v="1"/>
    <n v="10838"/>
    <n v="10838"/>
    <s v="No change"/>
    <n v="-5.6467842638671772E-2"/>
    <n v="0.17775588866414749"/>
    <n v="14373.664677048611"/>
    <n v="18473.294398416219"/>
    <x v="0"/>
    <n v="2.5849686814038497"/>
    <n v="2.4136351008195955"/>
  </r>
  <r>
    <x v="12"/>
    <s v="DZA"/>
    <n v="37260572.5"/>
    <x v="5"/>
    <n v="0"/>
    <n v="38000626.500000022"/>
    <n v="0"/>
    <m/>
    <n v="0"/>
    <m/>
    <n v="0"/>
    <m/>
    <n v="0"/>
    <m/>
    <n v="521"/>
    <n v="41927007.000000007"/>
    <n v="836"/>
    <n v="836"/>
    <m/>
    <n v="0"/>
    <m/>
    <n v="0"/>
    <m/>
    <n v="0"/>
    <n v="44903225.000000007"/>
    <n v="0"/>
    <n v="663"/>
    <n v="0"/>
    <n v="836"/>
    <n v="0"/>
    <x v="0"/>
    <s v=""/>
    <n v="836"/>
    <n v="2018"/>
    <n v="836"/>
    <n v="2018"/>
    <x v="1"/>
    <n v="836"/>
    <n v="836"/>
    <s v="No change"/>
    <n v="-5.6467842638671772E-2"/>
    <n v="0.17775588866414749"/>
    <n v="879.28950737066157"/>
    <n v="1130.0788140016566"/>
    <x v="0"/>
    <n v="0.19939415184107939"/>
    <n v="0.18617816426325723"/>
  </r>
  <r>
    <x v="12"/>
    <s v="DZA"/>
    <n v="37260573.5"/>
    <x v="6"/>
    <n v="0"/>
    <n v="38000626.500000022"/>
    <n v="0"/>
    <m/>
    <n v="0"/>
    <m/>
    <n v="0"/>
    <m/>
    <n v="0"/>
    <m/>
    <n v="0"/>
    <n v="41927007.000000007"/>
    <n v="136"/>
    <n v="136"/>
    <m/>
    <n v="0"/>
    <m/>
    <n v="0"/>
    <m/>
    <n v="0"/>
    <n v="44903225.000000007"/>
    <n v="0"/>
    <n v="0"/>
    <n v="0"/>
    <n v="136"/>
    <n v="0"/>
    <x v="0"/>
    <s v=""/>
    <n v="136"/>
    <n v="2018"/>
    <n v="136"/>
    <n v="2018"/>
    <x v="1"/>
    <n v="136"/>
    <n v="136"/>
    <s v="No change"/>
    <n v="-5.6467842638671772E-2"/>
    <n v="0.17775588866414749"/>
    <n v="0"/>
    <n v="0"/>
    <x v="0"/>
    <n v="3.243732613682631E-2"/>
    <n v="3.0287356865793043E-2"/>
  </r>
  <r>
    <x v="12"/>
    <s v="DZA"/>
    <n v="37260574.5"/>
    <x v="7"/>
    <n v="0"/>
    <n v="38000626.500000022"/>
    <n v="0"/>
    <m/>
    <n v="0"/>
    <m/>
    <n v="0"/>
    <m/>
    <n v="0"/>
    <m/>
    <n v="0"/>
    <n v="41927007.000000007"/>
    <n v="2148"/>
    <n v="2227"/>
    <m/>
    <n v="0"/>
    <m/>
    <n v="0"/>
    <m/>
    <n v="0"/>
    <n v="44903225.000000007"/>
    <n v="0"/>
    <n v="2227"/>
    <n v="0"/>
    <n v="2148"/>
    <n v="0"/>
    <x v="0"/>
    <s v=""/>
    <n v="2227"/>
    <s v="2018 (triag)"/>
    <n v="2227"/>
    <s v="2018 (triag)"/>
    <x v="1"/>
    <n v="2227"/>
    <n v="2227"/>
    <s v="No change"/>
    <n v="-5.6467842638671772E-2"/>
    <n v="0.17775588866414749"/>
    <n v="2953.5109093732476"/>
    <n v="3795.9057598517184"/>
    <x v="0"/>
    <n v="0.53116121549053086"/>
    <n v="0.49595546867736107"/>
  </r>
  <r>
    <x v="12"/>
    <s v="DZA"/>
    <n v="37260575.5"/>
    <x v="8"/>
    <n v="0"/>
    <n v="38000626.500000022"/>
    <n v="0"/>
    <m/>
    <n v="0"/>
    <m/>
    <n v="0"/>
    <m/>
    <n v="0"/>
    <m/>
    <n v="0"/>
    <n v="41927007.000000007"/>
    <n v="6245"/>
    <n v="6245"/>
    <m/>
    <n v="0"/>
    <m/>
    <n v="0"/>
    <m/>
    <n v="0"/>
    <n v="44903225.000000007"/>
    <n v="0"/>
    <n v="6176"/>
    <n v="0"/>
    <n v="6245"/>
    <n v="0"/>
    <x v="0"/>
    <s v=""/>
    <n v="6245"/>
    <n v="2018"/>
    <n v="6245"/>
    <n v="2018"/>
    <x v="1"/>
    <n v="6245"/>
    <n v="6245"/>
    <s v="No change"/>
    <n v="-5.6467842638671772E-2"/>
    <n v="0.17775588866414749"/>
    <n v="8190.7873265779872"/>
    <n v="10526.948348829912"/>
    <x v="0"/>
    <n v="1.4894933950329436"/>
    <n v="1.3907687031388054"/>
  </r>
  <r>
    <x v="12"/>
    <s v="DZA"/>
    <n v="37260576.5"/>
    <x v="9"/>
    <n v="0"/>
    <n v="38000626.500000022"/>
    <n v="0"/>
    <m/>
    <n v="0"/>
    <m/>
    <n v="0"/>
    <m/>
    <n v="0"/>
    <m/>
    <n v="0"/>
    <n v="41927007.000000007"/>
    <n v="0"/>
    <n v="610"/>
    <m/>
    <n v="0"/>
    <m/>
    <n v="0"/>
    <m/>
    <n v="0"/>
    <n v="44903225.000000007"/>
    <n v="0"/>
    <n v="610"/>
    <n v="0"/>
    <n v="0"/>
    <n v="0"/>
    <x v="0"/>
    <s v=""/>
    <n v="610"/>
    <s v="2018 (triag)"/>
    <n v="610"/>
    <s v="2018 (triag)"/>
    <x v="1"/>
    <n v="610"/>
    <n v="610"/>
    <s v="No change"/>
    <n v="-5.6467842638671772E-2"/>
    <n v="0.17775588866414749"/>
    <n v="808.99939592172473"/>
    <n v="1039.7406885988094"/>
    <x v="0"/>
    <n v="0.14549094811370625"/>
    <n v="0.1358477035892188"/>
  </r>
  <r>
    <x v="12"/>
    <s v="DZA"/>
    <n v="37260577.5"/>
    <x v="10"/>
    <n v="0"/>
    <n v="38000626.500000022"/>
    <n v="0"/>
    <m/>
    <n v="0"/>
    <m/>
    <n v="0"/>
    <m/>
    <n v="0"/>
    <m/>
    <n v="0"/>
    <n v="41927007.000000007"/>
    <n v="1533"/>
    <n v="1533"/>
    <m/>
    <n v="0"/>
    <m/>
    <n v="0"/>
    <m/>
    <n v="0"/>
    <n v="44903225.000000007"/>
    <n v="0"/>
    <n v="1218"/>
    <n v="0"/>
    <n v="1533"/>
    <n v="0"/>
    <x v="0"/>
    <s v=""/>
    <n v="1533"/>
    <n v="2018"/>
    <n v="1533"/>
    <n v="2018"/>
    <x v="1"/>
    <n v="1533"/>
    <n v="1533"/>
    <s v="No change"/>
    <n v="-5.6467842638671772E-2"/>
    <n v="0.17775588866414749"/>
    <n v="1615.3463348076407"/>
    <n v="2076.07239133336"/>
    <x v="0"/>
    <n v="0.36563544829231426"/>
    <n v="0.34140086820044657"/>
  </r>
  <r>
    <x v="12"/>
    <s v="DZA"/>
    <n v="37260578.5"/>
    <x v="11"/>
    <n v="0"/>
    <n v="38000626.500000022"/>
    <n v="0"/>
    <m/>
    <n v="0"/>
    <m/>
    <n v="0"/>
    <m/>
    <n v="0"/>
    <m/>
    <n v="0"/>
    <n v="41927007.000000007"/>
    <n v="6184"/>
    <n v="76532"/>
    <m/>
    <n v="0"/>
    <m/>
    <n v="0"/>
    <m/>
    <n v="0"/>
    <n v="44903225.000000007"/>
    <n v="0"/>
    <n v="76532"/>
    <n v="0"/>
    <n v="6184"/>
    <n v="0"/>
    <x v="0"/>
    <s v=""/>
    <n v="76532"/>
    <s v="2018 (triag)"/>
    <n v="76532"/>
    <s v="2018 (triag)"/>
    <x v="1"/>
    <n v="76532"/>
    <n v="76532"/>
    <s v="No change"/>
    <n v="-5.6467842638671772E-2"/>
    <n v="0.17775588866414749"/>
    <n v="101498.92093226466"/>
    <n v="130448.25308171159"/>
    <x v="0"/>
    <n v="18.253628263996994"/>
    <n v="17.043764673918183"/>
  </r>
  <r>
    <x v="12"/>
    <s v="DZA"/>
    <n v="37260579.5"/>
    <x v="12"/>
    <n v="0"/>
    <n v="38000626.500000022"/>
    <n v="0"/>
    <m/>
    <n v="0"/>
    <m/>
    <n v="0"/>
    <m/>
    <n v="0"/>
    <m/>
    <n v="0"/>
    <n v="41927007.000000007"/>
    <n v="75033"/>
    <n v="75033"/>
    <m/>
    <n v="0"/>
    <m/>
    <n v="0"/>
    <m/>
    <n v="0"/>
    <n v="44903225.000000007"/>
    <n v="0"/>
    <n v="5104"/>
    <n v="0"/>
    <n v="75033"/>
    <n v="0"/>
    <x v="0"/>
    <s v=""/>
    <n v="75033"/>
    <n v="2018"/>
    <n v="75033"/>
    <n v="2018"/>
    <x v="1"/>
    <n v="75033"/>
    <n v="75033"/>
    <s v="No change"/>
    <n v="-5.6467842638671772E-2"/>
    <n v="0.17775588866414749"/>
    <n v="6769.0703553843987"/>
    <n v="8699.7319255874136"/>
    <x v="0"/>
    <n v="17.896102147238889"/>
    <n v="16.709935644934188"/>
  </r>
  <r>
    <x v="12"/>
    <s v="DZA"/>
    <n v="37260580.5"/>
    <x v="13"/>
    <n v="0"/>
    <n v="38000626.500000022"/>
    <n v="0"/>
    <m/>
    <n v="0"/>
    <m/>
    <n v="0"/>
    <m/>
    <n v="0"/>
    <m/>
    <n v="0"/>
    <n v="41927007.000000007"/>
    <n v="15238"/>
    <n v="15238"/>
    <m/>
    <n v="0"/>
    <m/>
    <n v="0"/>
    <m/>
    <n v="0"/>
    <n v="44903225.000000007"/>
    <n v="0"/>
    <n v="14548"/>
    <n v="0"/>
    <n v="15238"/>
    <n v="0"/>
    <x v="0"/>
    <s v=""/>
    <n v="15238"/>
    <n v="2018"/>
    <n v="15238"/>
    <n v="2018"/>
    <x v="1"/>
    <n v="15238"/>
    <n v="15238"/>
    <s v="No change"/>
    <n v="-5.6467842638671772E-2"/>
    <n v="0.17775588866414749"/>
    <n v="19293.972478474185"/>
    <n v="24796.963176615536"/>
    <x v="0"/>
    <n v="3.6344115858305837"/>
    <n v="3.3935201758893703"/>
  </r>
  <r>
    <x v="12"/>
    <s v="DZA"/>
    <n v="37260581.5"/>
    <x v="14"/>
    <n v="0"/>
    <n v="38000626.500000022"/>
    <n v="0"/>
    <m/>
    <n v="0"/>
    <m/>
    <n v="0"/>
    <m/>
    <n v="0"/>
    <m/>
    <n v="0"/>
    <n v="41927007.000000007"/>
    <n v="365"/>
    <n v="365"/>
    <m/>
    <n v="128823"/>
    <m/>
    <n v="0"/>
    <m/>
    <n v="0"/>
    <n v="44903225.000000007"/>
    <n v="0"/>
    <n v="279"/>
    <n v="0"/>
    <n v="128823"/>
    <n v="0"/>
    <x v="0"/>
    <s v=""/>
    <n v="365"/>
    <n v="2018"/>
    <n v="128823"/>
    <n v="2018"/>
    <x v="1"/>
    <n v="128823"/>
    <n v="128823"/>
    <s v="Increasing"/>
    <n v="-5.6467842638671772E-2"/>
    <n v="0.17775588866414749"/>
    <n v="370.01775649534625"/>
    <n v="475.55352806404557"/>
    <x v="0"/>
    <n v="8.7056059117217671E-2"/>
    <n v="28.689030687662186"/>
  </r>
  <r>
    <x v="12"/>
    <s v="DZA"/>
    <n v="37260582.5"/>
    <x v="15"/>
    <n v="0"/>
    <n v="38000626.500000022"/>
    <n v="0"/>
    <m/>
    <n v="0"/>
    <m/>
    <n v="0"/>
    <m/>
    <n v="0"/>
    <m/>
    <n v="0"/>
    <n v="41927007.000000007"/>
    <n v="1971"/>
    <n v="1971"/>
    <m/>
    <n v="0"/>
    <m/>
    <n v="0"/>
    <m/>
    <n v="0"/>
    <n v="44903225.000000007"/>
    <n v="0"/>
    <n v="1827"/>
    <n v="0"/>
    <n v="1971"/>
    <n v="0"/>
    <x v="0"/>
    <s v=""/>
    <n v="1971"/>
    <n v="2018"/>
    <n v="1971"/>
    <n v="2018"/>
    <x v="1"/>
    <n v="1971"/>
    <n v="1971"/>
    <s v="No change"/>
    <n v="-5.6467842638671772E-2"/>
    <n v="0.17775588866414749"/>
    <n v="2423.0195022114608"/>
    <n v="3114.1085870000402"/>
    <x v="0"/>
    <n v="0.47010271923297547"/>
    <n v="0.43894397340057417"/>
  </r>
  <r>
    <x v="12"/>
    <s v="DZA"/>
    <n v="37260583.5"/>
    <x v="16"/>
    <n v="0"/>
    <n v="38000626.500000022"/>
    <n v="0"/>
    <m/>
    <n v="0"/>
    <m/>
    <n v="0"/>
    <m/>
    <n v="0"/>
    <m/>
    <n v="0"/>
    <n v="41927007.000000007"/>
    <n v="0"/>
    <n v="0"/>
    <m/>
    <n v="0"/>
    <m/>
    <n v="0"/>
    <m/>
    <n v="0"/>
    <n v="44903225.000000007"/>
    <n v="0"/>
    <n v="0"/>
    <n v="0"/>
    <n v="0"/>
    <n v="0"/>
    <x v="0"/>
    <s v=""/>
    <m/>
    <s v=""/>
    <n v="0"/>
    <s v=""/>
    <x v="1"/>
    <m/>
    <n v="0"/>
    <s v="No change"/>
    <n v="-5.6467842638671772E-2"/>
    <n v="0.17775588866414749"/>
    <n v="0"/>
    <n v="0"/>
    <x v="0"/>
    <n v="0"/>
    <n v="0"/>
  </r>
  <r>
    <x v="12"/>
    <s v="DZA"/>
    <n v="37260584.5"/>
    <x v="17"/>
    <n v="0"/>
    <n v="38000626.500000022"/>
    <n v="0"/>
    <m/>
    <n v="0"/>
    <m/>
    <n v="0"/>
    <m/>
    <n v="0"/>
    <m/>
    <n v="0"/>
    <n v="41927007.000000007"/>
    <n v="0"/>
    <n v="0"/>
    <m/>
    <n v="0"/>
    <m/>
    <n v="0"/>
    <m/>
    <n v="0"/>
    <n v="44903225.000000007"/>
    <n v="0"/>
    <n v="0"/>
    <n v="0"/>
    <n v="0"/>
    <n v="0"/>
    <x v="0"/>
    <s v=""/>
    <m/>
    <s v=""/>
    <n v="0"/>
    <s v=""/>
    <x v="1"/>
    <m/>
    <n v="0"/>
    <s v="No change"/>
    <n v="-5.6467842638671772E-2"/>
    <n v="0.17775588866414749"/>
    <n v="0"/>
    <n v="0"/>
    <x v="0"/>
    <n v="0"/>
    <n v="0"/>
  </r>
  <r>
    <x v="12"/>
    <s v="DZA"/>
    <n v="37260585.5"/>
    <x v="18"/>
    <n v="0"/>
    <n v="38000626.500000022"/>
    <n v="0"/>
    <m/>
    <n v="0"/>
    <m/>
    <n v="0"/>
    <m/>
    <n v="0"/>
    <m/>
    <n v="0"/>
    <n v="41927007.000000007"/>
    <n v="0"/>
    <n v="1"/>
    <m/>
    <n v="0"/>
    <m/>
    <n v="0"/>
    <m/>
    <n v="0"/>
    <n v="44903225.000000007"/>
    <n v="0"/>
    <n v="1"/>
    <n v="0"/>
    <n v="0"/>
    <n v="0"/>
    <x v="0"/>
    <s v=""/>
    <n v="1"/>
    <s v="2018 (triag)"/>
    <n v="1"/>
    <s v="2018 (triag)"/>
    <x v="1"/>
    <n v="1"/>
    <n v="1"/>
    <s v="No change"/>
    <n v="-5.6467842638671772E-2"/>
    <n v="0.17775588866414749"/>
    <n v="1.3262285179044668"/>
    <n v="1.7044929321291955"/>
    <x v="0"/>
    <n v="2.3850975100607583E-4"/>
    <n v="2.2270115342494883E-4"/>
  </r>
  <r>
    <x v="13"/>
    <s v="ERI"/>
    <n v="3252601"/>
    <x v="0"/>
    <n v="0"/>
    <n v="3296367"/>
    <n v="0"/>
    <m/>
    <n v="0"/>
    <m/>
    <n v="0"/>
    <m/>
    <n v="0"/>
    <m/>
    <n v="0"/>
    <n v="3445374.4999999986"/>
    <n v="243"/>
    <n v="243"/>
    <m/>
    <n v="0"/>
    <m/>
    <n v="6000"/>
    <m/>
    <n v="2626"/>
    <n v="3684031.5000000019"/>
    <n v="2626"/>
    <n v="243"/>
    <n v="0"/>
    <n v="243"/>
    <n v="6000"/>
    <x v="0"/>
    <s v=""/>
    <n v="243"/>
    <n v="2018"/>
    <n v="2626"/>
    <n v="2021"/>
    <x v="1"/>
    <n v="2626"/>
    <n v="2626"/>
    <s v="Increasing"/>
    <n v="-2.2233181875670249E-2"/>
    <n v="0.11702326021234755"/>
    <n v="271.57201497238668"/>
    <n v="345.20250780713275"/>
    <x v="0"/>
    <n v="0.70529343036584291"/>
    <n v="7.1280606585475681"/>
  </r>
  <r>
    <x v="13"/>
    <s v="ERI"/>
    <n v="3252602"/>
    <x v="1"/>
    <n v="0"/>
    <n v="3296367"/>
    <n v="0"/>
    <m/>
    <n v="0"/>
    <m/>
    <n v="0"/>
    <m/>
    <n v="0"/>
    <m/>
    <n v="0"/>
    <n v="3445374.4999999986"/>
    <n v="0"/>
    <n v="0"/>
    <m/>
    <n v="0"/>
    <m/>
    <n v="0"/>
    <m/>
    <n v="0"/>
    <n v="3684031.5000000019"/>
    <n v="0"/>
    <n v="0"/>
    <n v="0"/>
    <n v="0"/>
    <n v="0"/>
    <x v="0"/>
    <s v=""/>
    <m/>
    <s v=""/>
    <n v="0"/>
    <s v=""/>
    <x v="1"/>
    <m/>
    <n v="0"/>
    <s v="No change"/>
    <n v="-2.2233181875670249E-2"/>
    <n v="0.11702326021234755"/>
    <n v="0"/>
    <n v="0"/>
    <x v="0"/>
    <n v="0"/>
    <n v="0"/>
  </r>
  <r>
    <x v="13"/>
    <s v="ERI"/>
    <n v="3252603"/>
    <x v="2"/>
    <n v="0"/>
    <n v="3296367"/>
    <n v="0"/>
    <m/>
    <n v="0"/>
    <m/>
    <n v="0"/>
    <m/>
    <n v="0"/>
    <m/>
    <n v="0"/>
    <n v="3445374.4999999986"/>
    <n v="0"/>
    <n v="243"/>
    <m/>
    <n v="0"/>
    <m/>
    <n v="0"/>
    <m/>
    <n v="0"/>
    <n v="3684031.5000000019"/>
    <n v="0"/>
    <n v="243"/>
    <n v="0"/>
    <n v="0"/>
    <n v="0"/>
    <x v="0"/>
    <s v=""/>
    <n v="243"/>
    <s v="2018 (triag)"/>
    <n v="243"/>
    <s v="2018 (triag)"/>
    <x v="1"/>
    <n v="243"/>
    <n v="243"/>
    <s v="No change"/>
    <n v="-2.2233181875670249E-2"/>
    <n v="0.11702326021234755"/>
    <n v="271.57201497238668"/>
    <n v="345.20250780713275"/>
    <x v="0"/>
    <n v="0.70529343036584291"/>
    <n v="0.65960348058913143"/>
  </r>
  <r>
    <x v="13"/>
    <s v="ERI"/>
    <n v="3252604"/>
    <x v="3"/>
    <n v="0"/>
    <n v="3296367"/>
    <n v="0"/>
    <m/>
    <n v="0"/>
    <m/>
    <n v="0"/>
    <m/>
    <n v="0"/>
    <m/>
    <n v="0"/>
    <n v="3445374.4999999986"/>
    <n v="0"/>
    <n v="0"/>
    <m/>
    <n v="0"/>
    <m/>
    <n v="0"/>
    <m/>
    <n v="0"/>
    <n v="3684031.5000000019"/>
    <n v="0"/>
    <n v="0"/>
    <n v="0"/>
    <n v="0"/>
    <n v="0"/>
    <x v="0"/>
    <s v=""/>
    <m/>
    <s v=""/>
    <n v="0"/>
    <s v=""/>
    <x v="1"/>
    <m/>
    <n v="0"/>
    <s v="No change"/>
    <n v="-2.2233181875670249E-2"/>
    <n v="0.11702326021234755"/>
    <n v="0"/>
    <n v="0"/>
    <x v="0"/>
    <n v="0"/>
    <n v="0"/>
  </r>
  <r>
    <x v="13"/>
    <s v="ERI"/>
    <n v="3252605"/>
    <x v="4"/>
    <n v="0"/>
    <n v="3296367"/>
    <n v="0"/>
    <m/>
    <n v="0"/>
    <m/>
    <n v="0"/>
    <m/>
    <n v="0"/>
    <m/>
    <n v="0"/>
    <n v="3445374.4999999986"/>
    <n v="0"/>
    <n v="0"/>
    <m/>
    <n v="0"/>
    <m/>
    <n v="0"/>
    <m/>
    <n v="0"/>
    <n v="3684031.5000000019"/>
    <n v="381"/>
    <n v="0"/>
    <n v="0"/>
    <n v="0"/>
    <n v="381"/>
    <x v="0"/>
    <s v=""/>
    <m/>
    <s v=""/>
    <n v="381"/>
    <n v="2022"/>
    <x v="1"/>
    <n v="381"/>
    <n v="381"/>
    <s v="Increasing"/>
    <n v="-2.2233181875670249E-2"/>
    <n v="0.11702326021234755"/>
    <n v="0"/>
    <n v="0"/>
    <x v="0"/>
    <n v="0"/>
    <n v="1.0341931115409839"/>
  </r>
  <r>
    <x v="13"/>
    <s v="ERI"/>
    <n v="3252606"/>
    <x v="5"/>
    <n v="0"/>
    <n v="3296367"/>
    <n v="0"/>
    <m/>
    <n v="0"/>
    <m/>
    <n v="0"/>
    <m/>
    <n v="0"/>
    <m/>
    <n v="0"/>
    <n v="3445374.4999999986"/>
    <n v="0"/>
    <n v="0"/>
    <m/>
    <n v="0"/>
    <m/>
    <n v="0"/>
    <m/>
    <n v="0"/>
    <n v="3684031.5000000019"/>
    <n v="0"/>
    <n v="0"/>
    <n v="0"/>
    <n v="0"/>
    <n v="0"/>
    <x v="0"/>
    <s v=""/>
    <m/>
    <s v=""/>
    <n v="0"/>
    <s v=""/>
    <x v="1"/>
    <m/>
    <n v="0"/>
    <s v="No change"/>
    <n v="-2.2233181875670249E-2"/>
    <n v="0.11702326021234755"/>
    <n v="0"/>
    <n v="0"/>
    <x v="0"/>
    <n v="0"/>
    <n v="0"/>
  </r>
  <r>
    <x v="13"/>
    <s v="ERI"/>
    <n v="3252607"/>
    <x v="6"/>
    <n v="0"/>
    <n v="3296367"/>
    <n v="0"/>
    <m/>
    <n v="0"/>
    <m/>
    <n v="0"/>
    <m/>
    <n v="0"/>
    <m/>
    <n v="0"/>
    <n v="3445374.4999999986"/>
    <n v="549"/>
    <n v="549"/>
    <m/>
    <n v="0"/>
    <m/>
    <n v="0"/>
    <m/>
    <n v="298"/>
    <n v="3684031.5000000019"/>
    <n v="296"/>
    <n v="0"/>
    <n v="0"/>
    <n v="549"/>
    <n v="298"/>
    <x v="0"/>
    <s v=""/>
    <n v="549"/>
    <n v="2018"/>
    <n v="296"/>
    <n v="2022"/>
    <x v="0"/>
    <n v="340.19239871884287"/>
    <n v="549"/>
    <s v="Decreasing"/>
    <n v="-2.2233181875670249E-2"/>
    <n v="0.11702326021234755"/>
    <n v="0"/>
    <n v="0"/>
    <x v="0"/>
    <n v="1.5934407130487562"/>
    <n v="0.92342423977331001"/>
  </r>
  <r>
    <x v="13"/>
    <s v="ERI"/>
    <n v="3252608"/>
    <x v="7"/>
    <n v="0"/>
    <n v="3296367"/>
    <n v="0"/>
    <m/>
    <n v="0"/>
    <m/>
    <n v="0"/>
    <m/>
    <n v="0"/>
    <m/>
    <n v="0"/>
    <n v="3445374.4999999986"/>
    <n v="0"/>
    <n v="0"/>
    <m/>
    <n v="0"/>
    <m/>
    <n v="0"/>
    <m/>
    <n v="0"/>
    <n v="3684031.5000000019"/>
    <n v="0"/>
    <n v="0"/>
    <n v="0"/>
    <n v="0"/>
    <n v="0"/>
    <x v="0"/>
    <s v=""/>
    <m/>
    <s v=""/>
    <n v="0"/>
    <s v=""/>
    <x v="1"/>
    <m/>
    <n v="0"/>
    <s v="No change"/>
    <n v="-2.2233181875670249E-2"/>
    <n v="0.11702326021234755"/>
    <n v="0"/>
    <n v="0"/>
    <x v="0"/>
    <n v="0"/>
    <n v="0"/>
  </r>
  <r>
    <x v="13"/>
    <s v="ERI"/>
    <n v="3252609"/>
    <x v="8"/>
    <n v="0"/>
    <n v="3296367"/>
    <n v="0"/>
    <m/>
    <n v="0"/>
    <m/>
    <n v="0"/>
    <m/>
    <n v="0"/>
    <m/>
    <n v="0"/>
    <n v="3445374.4999999986"/>
    <n v="0"/>
    <n v="113"/>
    <m/>
    <n v="0"/>
    <m/>
    <n v="0"/>
    <m/>
    <n v="137"/>
    <n v="3684031.5000000019"/>
    <n v="141"/>
    <n v="113"/>
    <n v="0"/>
    <n v="0"/>
    <n v="141"/>
    <x v="0"/>
    <s v=""/>
    <n v="113"/>
    <s v="2018 (triag)"/>
    <n v="141"/>
    <n v="2022"/>
    <x v="1"/>
    <n v="141"/>
    <n v="141"/>
    <s v="Increasing"/>
    <n v="-2.2233181875670249E-2"/>
    <n v="0.11702326021234755"/>
    <n v="126.28657486370246"/>
    <n v="160.52626906257615"/>
    <x v="0"/>
    <n v="0.32797595733061835"/>
    <n v="0.3827328837986318"/>
  </r>
  <r>
    <x v="13"/>
    <s v="ERI"/>
    <n v="3252610"/>
    <x v="9"/>
    <n v="0"/>
    <n v="3296367"/>
    <n v="0"/>
    <m/>
    <n v="0"/>
    <m/>
    <n v="0"/>
    <m/>
    <n v="0"/>
    <m/>
    <n v="0"/>
    <n v="3445374.4999999986"/>
    <n v="0"/>
    <n v="0"/>
    <m/>
    <n v="0"/>
    <m/>
    <n v="0"/>
    <m/>
    <n v="0"/>
    <n v="3684031.5000000019"/>
    <n v="0"/>
    <n v="0"/>
    <n v="0"/>
    <n v="0"/>
    <n v="0"/>
    <x v="0"/>
    <s v=""/>
    <m/>
    <s v=""/>
    <n v="0"/>
    <s v=""/>
    <x v="1"/>
    <m/>
    <n v="0"/>
    <s v="No change"/>
    <n v="-2.2233181875670249E-2"/>
    <n v="0.11702326021234755"/>
    <n v="0"/>
    <n v="0"/>
    <x v="0"/>
    <n v="0"/>
    <n v="0"/>
  </r>
  <r>
    <x v="13"/>
    <s v="ERI"/>
    <n v="3252611"/>
    <x v="10"/>
    <n v="0"/>
    <n v="3296367"/>
    <n v="0"/>
    <m/>
    <n v="0"/>
    <m/>
    <n v="0"/>
    <m/>
    <n v="0"/>
    <m/>
    <n v="0"/>
    <n v="3445374.4999999986"/>
    <n v="0"/>
    <n v="86"/>
    <m/>
    <n v="0"/>
    <m/>
    <n v="0"/>
    <m/>
    <n v="99"/>
    <n v="3684031.5000000019"/>
    <n v="96"/>
    <n v="86"/>
    <n v="0"/>
    <n v="0"/>
    <n v="99"/>
    <x v="0"/>
    <s v=""/>
    <n v="86"/>
    <s v="2018 (triag)"/>
    <n v="96"/>
    <n v="2022"/>
    <x v="1"/>
    <n v="96"/>
    <n v="96"/>
    <s v="Increasing"/>
    <n v="-2.2233181875670249E-2"/>
    <n v="0.11702326021234755"/>
    <n v="96.111906533437264"/>
    <n v="122.17043486178362"/>
    <x v="0"/>
    <n v="0.24961002062330245"/>
    <n v="0.26058409109694081"/>
  </r>
  <r>
    <x v="13"/>
    <s v="ERI"/>
    <n v="3252612"/>
    <x v="11"/>
    <n v="0"/>
    <n v="3296367"/>
    <n v="0"/>
    <m/>
    <n v="0"/>
    <m/>
    <n v="0"/>
    <m/>
    <n v="0"/>
    <m/>
    <n v="0"/>
    <n v="3445374.4999999986"/>
    <n v="0"/>
    <n v="3563"/>
    <m/>
    <n v="0"/>
    <m/>
    <n v="0"/>
    <m/>
    <n v="0"/>
    <n v="3684031.5000000019"/>
    <n v="0"/>
    <n v="3563"/>
    <n v="0"/>
    <n v="0"/>
    <n v="0"/>
    <x v="0"/>
    <s v=""/>
    <n v="3563"/>
    <s v="2018 (triag)"/>
    <n v="3563"/>
    <s v="2018 (triag)"/>
    <x v="1"/>
    <n v="3563"/>
    <n v="3563"/>
    <s v="No change"/>
    <n v="-2.2233181875670249E-2"/>
    <n v="0.11702326021234755"/>
    <n v="3981.9386392864762"/>
    <n v="5061.549528052733"/>
    <x v="0"/>
    <n v="10.341401203265425"/>
    <n v="9.6714699643583337"/>
  </r>
  <r>
    <x v="13"/>
    <s v="ERI"/>
    <n v="3252613"/>
    <x v="12"/>
    <n v="0"/>
    <n v="3296367"/>
    <n v="0"/>
    <m/>
    <n v="0"/>
    <m/>
    <n v="0"/>
    <m/>
    <n v="0"/>
    <m/>
    <n v="0"/>
    <n v="3445374.4999999986"/>
    <n v="0"/>
    <n v="0"/>
    <m/>
    <n v="0"/>
    <m/>
    <n v="0"/>
    <m/>
    <n v="0"/>
    <n v="3684031.5000000019"/>
    <n v="0"/>
    <n v="0"/>
    <n v="0"/>
    <n v="0"/>
    <n v="0"/>
    <x v="0"/>
    <s v=""/>
    <m/>
    <s v=""/>
    <n v="0"/>
    <s v=""/>
    <x v="1"/>
    <m/>
    <n v="0"/>
    <s v="No change"/>
    <n v="-2.2233181875670249E-2"/>
    <n v="0.11702326021234755"/>
    <n v="0"/>
    <n v="0"/>
    <x v="0"/>
    <n v="0"/>
    <n v="0"/>
  </r>
  <r>
    <x v="13"/>
    <s v="ERI"/>
    <n v="3252614"/>
    <x v="13"/>
    <n v="0"/>
    <n v="3296367"/>
    <n v="0"/>
    <m/>
    <n v="0"/>
    <m/>
    <n v="0"/>
    <m/>
    <n v="0"/>
    <m/>
    <n v="0"/>
    <n v="3445374.4999999986"/>
    <n v="0"/>
    <n v="549"/>
    <m/>
    <n v="0"/>
    <m/>
    <n v="0"/>
    <m/>
    <n v="267"/>
    <n v="3684031.5000000019"/>
    <n v="267"/>
    <n v="549"/>
    <n v="0"/>
    <n v="0"/>
    <n v="267"/>
    <x v="0"/>
    <s v=""/>
    <n v="549"/>
    <s v="2018 (triag)"/>
    <n v="267"/>
    <n v="2021"/>
    <x v="0"/>
    <n v="306.86273803355084"/>
    <n v="549"/>
    <s v="Decreasing"/>
    <n v="-2.2233181875670249E-2"/>
    <n v="0.11702326021234755"/>
    <n v="613.55158938205886"/>
    <n v="779.90196208278144"/>
    <x v="0"/>
    <n v="1.5934407130487562"/>
    <n v="0.83295362168741138"/>
  </r>
  <r>
    <x v="13"/>
    <s v="ERI"/>
    <n v="3252615"/>
    <x v="14"/>
    <n v="0"/>
    <n v="3296367"/>
    <n v="0"/>
    <m/>
    <n v="0"/>
    <m/>
    <n v="0"/>
    <m/>
    <n v="0"/>
    <m/>
    <n v="0"/>
    <n v="3445374.4999999986"/>
    <n v="0"/>
    <n v="0"/>
    <m/>
    <n v="0"/>
    <m/>
    <n v="0"/>
    <m/>
    <n v="0"/>
    <n v="3684031.5000000019"/>
    <n v="0"/>
    <n v="0"/>
    <n v="0"/>
    <n v="0"/>
    <n v="0"/>
    <x v="0"/>
    <s v=""/>
    <m/>
    <s v=""/>
    <n v="0"/>
    <s v=""/>
    <x v="1"/>
    <m/>
    <n v="0"/>
    <s v="No change"/>
    <n v="-2.2233181875670249E-2"/>
    <n v="0.11702326021234755"/>
    <n v="0"/>
    <n v="0"/>
    <x v="0"/>
    <n v="0"/>
    <n v="0"/>
  </r>
  <r>
    <x v="13"/>
    <s v="ERI"/>
    <n v="3252616"/>
    <x v="15"/>
    <n v="0"/>
    <n v="3296367"/>
    <n v="0"/>
    <m/>
    <n v="0"/>
    <m/>
    <n v="0"/>
    <m/>
    <n v="0"/>
    <m/>
    <n v="0"/>
    <n v="3445374.4999999986"/>
    <n v="0"/>
    <n v="137"/>
    <m/>
    <n v="0"/>
    <m/>
    <n v="0"/>
    <m/>
    <n v="131"/>
    <n v="3684031.5000000019"/>
    <n v="130"/>
    <n v="137"/>
    <n v="0"/>
    <n v="0"/>
    <n v="131"/>
    <x v="0"/>
    <s v=""/>
    <n v="137"/>
    <s v="2018 (triag)"/>
    <n v="130"/>
    <n v="2022"/>
    <x v="0"/>
    <n v="149.40882376165396"/>
    <n v="149.40882376165396"/>
    <s v="Increasing"/>
    <n v="-2.2233181875670249E-2"/>
    <n v="0.11702326021234755"/>
    <n v="153.10850226838261"/>
    <n v="194.62034390772507"/>
    <x v="0"/>
    <n v="0.39763456773712136"/>
    <n v="0.40555794314368349"/>
  </r>
  <r>
    <x v="13"/>
    <s v="ERI"/>
    <n v="3252617"/>
    <x v="16"/>
    <n v="0"/>
    <n v="3296367"/>
    <n v="0"/>
    <m/>
    <n v="0"/>
    <m/>
    <n v="0"/>
    <m/>
    <n v="0"/>
    <m/>
    <n v="0"/>
    <n v="3445374.4999999986"/>
    <n v="0"/>
    <n v="0"/>
    <m/>
    <n v="0"/>
    <m/>
    <n v="0"/>
    <m/>
    <n v="6"/>
    <n v="3684031.5000000019"/>
    <n v="6"/>
    <n v="0"/>
    <n v="0"/>
    <n v="0"/>
    <n v="6"/>
    <x v="0"/>
    <s v=""/>
    <m/>
    <s v=""/>
    <n v="6"/>
    <n v="2021"/>
    <x v="1"/>
    <n v="6"/>
    <n v="6"/>
    <s v="Increasing"/>
    <n v="-2.2233181875670249E-2"/>
    <n v="0.11702326021234755"/>
    <n v="0"/>
    <n v="0"/>
    <x v="0"/>
    <n v="0"/>
    <n v="1.62865056935588E-2"/>
  </r>
  <r>
    <x v="13"/>
    <s v="ERI"/>
    <n v="3252618"/>
    <x v="17"/>
    <n v="0"/>
    <n v="3296367"/>
    <n v="0"/>
    <m/>
    <n v="0"/>
    <m/>
    <n v="0"/>
    <m/>
    <n v="0"/>
    <m/>
    <n v="0"/>
    <n v="3445374.4999999986"/>
    <n v="0"/>
    <n v="0"/>
    <m/>
    <n v="0"/>
    <m/>
    <n v="0"/>
    <m/>
    <n v="0"/>
    <n v="3684031.5000000019"/>
    <n v="0"/>
    <n v="0"/>
    <n v="0"/>
    <n v="0"/>
    <n v="0"/>
    <x v="0"/>
    <s v=""/>
    <m/>
    <s v=""/>
    <n v="0"/>
    <s v=""/>
    <x v="1"/>
    <m/>
    <n v="0"/>
    <s v="No change"/>
    <n v="-2.2233181875670249E-2"/>
    <n v="0.11702326021234755"/>
    <n v="0"/>
    <n v="0"/>
    <x v="0"/>
    <n v="0"/>
    <n v="0"/>
  </r>
  <r>
    <x v="13"/>
    <s v="ERI"/>
    <n v="3252619"/>
    <x v="18"/>
    <n v="0"/>
    <n v="3296367"/>
    <n v="0"/>
    <m/>
    <n v="0"/>
    <m/>
    <n v="0"/>
    <m/>
    <n v="0"/>
    <m/>
    <n v="0"/>
    <n v="3445374.4999999986"/>
    <n v="0"/>
    <n v="0"/>
    <m/>
    <n v="0"/>
    <m/>
    <n v="0"/>
    <m/>
    <n v="0"/>
    <n v="3684031.5000000019"/>
    <n v="0"/>
    <n v="0"/>
    <n v="0"/>
    <n v="0"/>
    <n v="0"/>
    <x v="0"/>
    <s v=""/>
    <m/>
    <s v=""/>
    <n v="0"/>
    <s v=""/>
    <x v="1"/>
    <m/>
    <n v="0"/>
    <s v="No change"/>
    <n v="-2.2233181875670249E-2"/>
    <n v="0.11702326021234755"/>
    <n v="0"/>
    <n v="0"/>
    <x v="0"/>
    <n v="0"/>
    <n v="0"/>
  </r>
  <r>
    <x v="14"/>
    <s v="ETH"/>
    <n v="94451284.500000104"/>
    <x v="0"/>
    <n v="0"/>
    <n v="97084366.00000003"/>
    <n v="0"/>
    <m/>
    <n v="0"/>
    <m/>
    <n v="0"/>
    <m/>
    <n v="0"/>
    <m/>
    <n v="0"/>
    <n v="111129438.00000001"/>
    <n v="37259"/>
    <n v="37259"/>
    <m/>
    <n v="0"/>
    <m/>
    <n v="42630"/>
    <m/>
    <n v="42630"/>
    <n v="123379924.50000004"/>
    <n v="41101"/>
    <n v="37259"/>
    <n v="0"/>
    <n v="37259"/>
    <n v="42630"/>
    <x v="0"/>
    <s v=""/>
    <n v="37259"/>
    <n v="2018"/>
    <n v="41101"/>
    <n v="2022"/>
    <x v="1"/>
    <n v="41101"/>
    <n v="41101"/>
    <s v="Increasing"/>
    <n v="-4.0290808124875621E-2"/>
    <n v="7.5715887821594663E-2"/>
    <n v="45574.464334664714"/>
    <n v="46760.610373559291"/>
    <x v="0"/>
    <n v="3.352756989556628"/>
    <n v="3.3312550778874876"/>
  </r>
  <r>
    <x v="14"/>
    <s v="ETH"/>
    <n v="94451285.500000104"/>
    <x v="1"/>
    <n v="50"/>
    <n v="97084366.00000003"/>
    <n v="0"/>
    <m/>
    <n v="0"/>
    <m/>
    <n v="35"/>
    <m/>
    <n v="0"/>
    <m/>
    <n v="0"/>
    <n v="111129438.00000001"/>
    <n v="1385"/>
    <n v="1385"/>
    <m/>
    <n v="0"/>
    <m/>
    <n v="0"/>
    <m/>
    <n v="0"/>
    <n v="123379924.50000004"/>
    <n v="0"/>
    <n v="147"/>
    <n v="50"/>
    <n v="1385"/>
    <n v="0"/>
    <x v="35"/>
    <n v="2012"/>
    <n v="1385"/>
    <n v="2018"/>
    <n v="1385"/>
    <n v="2018"/>
    <x v="1"/>
    <n v="1385"/>
    <n v="1385"/>
    <s v="No change"/>
    <n v="-4.0290808124875621E-2"/>
    <n v="7.5715887821594663E-2"/>
    <n v="179.80746281960637"/>
    <n v="184.48723059967298"/>
    <x v="36"/>
    <n v="0.12462944337035159"/>
    <n v="0.11225489119179996"/>
  </r>
  <r>
    <x v="14"/>
    <s v="ETH"/>
    <n v="94451286.500000104"/>
    <x v="2"/>
    <n v="461"/>
    <n v="97084366.00000003"/>
    <n v="0"/>
    <m/>
    <n v="2970"/>
    <m/>
    <n v="0"/>
    <m/>
    <n v="64"/>
    <m/>
    <n v="0"/>
    <n v="111129438.00000001"/>
    <n v="665"/>
    <n v="2662"/>
    <m/>
    <n v="0"/>
    <m/>
    <n v="1234"/>
    <m/>
    <n v="0"/>
    <n v="123379924.50000004"/>
    <n v="5410"/>
    <n v="2662"/>
    <n v="2970"/>
    <n v="665"/>
    <n v="5410"/>
    <x v="36"/>
    <n v="2012"/>
    <n v="2662"/>
    <s v="2018 (triag)"/>
    <n v="5410"/>
    <n v="2022"/>
    <x v="1"/>
    <n v="5410"/>
    <n v="5410"/>
    <s v="Increasing"/>
    <n v="-4.0290808124875621E-2"/>
    <n v="7.5715887821594663E-2"/>
    <n v="3256.1052110598102"/>
    <n v="3340.8503935804729"/>
    <x v="37"/>
    <n v="0.2395404897125458"/>
    <n v="0.438483004583132"/>
  </r>
  <r>
    <x v="14"/>
    <s v="ETH"/>
    <n v="94451287.500000104"/>
    <x v="3"/>
    <n v="0"/>
    <n v="97084366.00000003"/>
    <n v="0"/>
    <m/>
    <n v="0"/>
    <m/>
    <n v="0"/>
    <m/>
    <n v="0"/>
    <m/>
    <n v="0"/>
    <n v="111129438.00000001"/>
    <n v="0"/>
    <n v="0"/>
    <m/>
    <n v="0"/>
    <m/>
    <n v="0"/>
    <m/>
    <n v="0"/>
    <n v="123379924.50000004"/>
    <n v="0"/>
    <n v="0"/>
    <n v="0"/>
    <n v="0"/>
    <n v="0"/>
    <x v="0"/>
    <s v=""/>
    <m/>
    <s v=""/>
    <n v="0"/>
    <s v=""/>
    <x v="1"/>
    <m/>
    <n v="0"/>
    <s v="No change"/>
    <n v="-4.0290808124875621E-2"/>
    <n v="7.5715887821594663E-2"/>
    <n v="0"/>
    <n v="0"/>
    <x v="0"/>
    <n v="0"/>
    <n v="0"/>
  </r>
  <r>
    <x v="14"/>
    <s v="ETH"/>
    <n v="94451288.500000104"/>
    <x v="4"/>
    <n v="0"/>
    <n v="97084366.00000003"/>
    <n v="0"/>
    <m/>
    <n v="0"/>
    <m/>
    <n v="0"/>
    <m/>
    <n v="0"/>
    <m/>
    <n v="0"/>
    <n v="111129438.00000001"/>
    <n v="0"/>
    <n v="4365"/>
    <m/>
    <n v="0"/>
    <m/>
    <n v="0"/>
    <m/>
    <n v="0"/>
    <n v="123379924.50000004"/>
    <n v="0"/>
    <n v="4365"/>
    <n v="0"/>
    <n v="0"/>
    <n v="0"/>
    <x v="0"/>
    <s v=""/>
    <n v="4365"/>
    <s v="2018 (triag)"/>
    <n v="4365"/>
    <s v="2018 (triag)"/>
    <x v="1"/>
    <n v="4365"/>
    <n v="4365"/>
    <s v="No change"/>
    <n v="-4.0290808124875621E-2"/>
    <n v="7.5715887821594663E-2"/>
    <n v="5339.1807837250462"/>
    <n v="5478.1412351535555"/>
    <x v="0"/>
    <n v="0.39278521322136078"/>
    <n v="0.35378527079581723"/>
  </r>
  <r>
    <x v="14"/>
    <s v="ETH"/>
    <n v="94451289.500000104"/>
    <x v="5"/>
    <n v="0"/>
    <n v="97084366.00000003"/>
    <n v="0"/>
    <m/>
    <n v="0"/>
    <m/>
    <n v="0"/>
    <m/>
    <n v="0"/>
    <m/>
    <n v="0"/>
    <n v="111129438.00000001"/>
    <n v="0"/>
    <n v="52"/>
    <m/>
    <n v="0"/>
    <m/>
    <n v="22"/>
    <m/>
    <n v="17"/>
    <n v="123379924.50000004"/>
    <n v="130"/>
    <n v="52"/>
    <n v="0"/>
    <n v="0"/>
    <n v="130"/>
    <x v="0"/>
    <s v=""/>
    <n v="52"/>
    <s v="2018 (triag)"/>
    <n v="130"/>
    <n v="2022"/>
    <x v="1"/>
    <n v="130"/>
    <n v="130"/>
    <s v="Increasing"/>
    <n v="-4.0290808124875621E-2"/>
    <n v="7.5715887821594663E-2"/>
    <n v="63.605360997411772"/>
    <n v="65.260789055666635"/>
    <x v="0"/>
    <n v="4.6792281987424423E-3"/>
    <n v="1.0536560184067867E-2"/>
  </r>
  <r>
    <x v="14"/>
    <s v="ETH"/>
    <n v="94451290.500000104"/>
    <x v="6"/>
    <n v="0"/>
    <n v="97084366.00000003"/>
    <n v="0"/>
    <m/>
    <n v="0"/>
    <m/>
    <n v="0"/>
    <m/>
    <n v="0"/>
    <m/>
    <n v="0"/>
    <n v="111129438.00000001"/>
    <n v="10450"/>
    <n v="10450"/>
    <m/>
    <n v="0"/>
    <m/>
    <n v="8005"/>
    <m/>
    <n v="0"/>
    <n v="123379924.50000004"/>
    <n v="23757"/>
    <n v="672"/>
    <n v="0"/>
    <n v="10450"/>
    <n v="23757"/>
    <x v="0"/>
    <s v=""/>
    <n v="10450"/>
    <n v="2018"/>
    <n v="23757"/>
    <n v="2022"/>
    <x v="1"/>
    <n v="23757"/>
    <n v="23757"/>
    <s v="Increasing"/>
    <n v="-4.0290808124875621E-2"/>
    <n v="7.5715887821594663E-2"/>
    <n v="821.97697288962911"/>
    <n v="843.37019702707653"/>
    <x v="0"/>
    <n v="0.94034489763189466"/>
    <n v="1.9255158484069255"/>
  </r>
  <r>
    <x v="14"/>
    <s v="ETH"/>
    <n v="94451291.500000104"/>
    <x v="7"/>
    <n v="0"/>
    <n v="97084366.00000003"/>
    <n v="0"/>
    <m/>
    <n v="0"/>
    <m/>
    <n v="0"/>
    <m/>
    <n v="0"/>
    <m/>
    <n v="0"/>
    <n v="111129438.00000001"/>
    <n v="0"/>
    <n v="11536"/>
    <m/>
    <n v="0"/>
    <m/>
    <n v="0"/>
    <m/>
    <n v="0"/>
    <n v="123379924.50000004"/>
    <n v="0"/>
    <n v="11536"/>
    <n v="0"/>
    <n v="0"/>
    <n v="0"/>
    <x v="0"/>
    <s v=""/>
    <n v="11536"/>
    <s v="2018 (triag)"/>
    <n v="11536"/>
    <s v="2018 (triag)"/>
    <x v="1"/>
    <n v="11536"/>
    <n v="11536"/>
    <s v="No change"/>
    <n v="-4.0290808124875621E-2"/>
    <n v="7.5715887821594663E-2"/>
    <n v="14110.604701271966"/>
    <n v="14477.855048964815"/>
    <x v="0"/>
    <n v="1.0380687788594771"/>
    <n v="0.93499814064159159"/>
  </r>
  <r>
    <x v="14"/>
    <s v="ETH"/>
    <n v="94451292.500000104"/>
    <x v="8"/>
    <n v="0"/>
    <n v="97084366.00000003"/>
    <n v="0"/>
    <m/>
    <n v="0"/>
    <m/>
    <n v="0"/>
    <m/>
    <n v="0"/>
    <m/>
    <n v="0"/>
    <n v="111129438.00000001"/>
    <n v="0"/>
    <n v="1041"/>
    <m/>
    <n v="0"/>
    <m/>
    <n v="0"/>
    <m/>
    <n v="0"/>
    <n v="123379924.50000004"/>
    <n v="2513"/>
    <n v="1041"/>
    <n v="0"/>
    <n v="0"/>
    <n v="2513"/>
    <x v="0"/>
    <s v=""/>
    <n v="1041"/>
    <s v="2018 (triag)"/>
    <n v="2513"/>
    <n v="2022"/>
    <x v="1"/>
    <n v="2513"/>
    <n v="2513"/>
    <s v="Increasing"/>
    <n v="-4.0290808124875621E-2"/>
    <n v="7.5715887821594663E-2"/>
    <n v="1273.3303999674165"/>
    <n v="1306.4707962874802"/>
    <x v="0"/>
    <n v="9.3674549132516965E-2"/>
    <n v="0.20367981340432731"/>
  </r>
  <r>
    <x v="14"/>
    <s v="ETH"/>
    <n v="94451293.500000104"/>
    <x v="9"/>
    <n v="0"/>
    <n v="97084366.00000003"/>
    <n v="0"/>
    <m/>
    <n v="0"/>
    <m/>
    <n v="0"/>
    <m/>
    <n v="0"/>
    <m/>
    <n v="0"/>
    <n v="111129438.00000001"/>
    <n v="0"/>
    <n v="2953"/>
    <m/>
    <n v="0"/>
    <m/>
    <n v="0"/>
    <m/>
    <n v="0"/>
    <n v="123379924.50000004"/>
    <n v="0"/>
    <n v="2953"/>
    <n v="0"/>
    <n v="0"/>
    <n v="0"/>
    <x v="0"/>
    <s v=""/>
    <n v="2953"/>
    <s v="2018 (triag)"/>
    <n v="2953"/>
    <s v="2018 (triag)"/>
    <x v="1"/>
    <n v="2953"/>
    <n v="2953"/>
    <s v="No change"/>
    <n v="-4.0290808124875621E-2"/>
    <n v="7.5715887821594663E-2"/>
    <n v="3612.0505966414803"/>
    <n v="3706.0598092573764"/>
    <x v="0"/>
    <n v="0.26572617059396986"/>
    <n v="0.23934201710424932"/>
  </r>
  <r>
    <x v="14"/>
    <s v="ETH"/>
    <n v="94451294.500000104"/>
    <x v="10"/>
    <n v="0"/>
    <n v="97084366.00000003"/>
    <n v="0"/>
    <m/>
    <n v="0"/>
    <m/>
    <n v="0"/>
    <m/>
    <n v="0"/>
    <m/>
    <n v="0"/>
    <n v="111129438.00000001"/>
    <n v="0"/>
    <n v="330"/>
    <m/>
    <n v="0"/>
    <m/>
    <n v="654"/>
    <m/>
    <n v="567"/>
    <n v="123379924.50000004"/>
    <n v="674"/>
    <n v="330"/>
    <n v="0"/>
    <n v="0"/>
    <n v="674"/>
    <x v="0"/>
    <s v=""/>
    <n v="330"/>
    <s v="2018 (triag)"/>
    <n v="674"/>
    <n v="2022"/>
    <x v="1"/>
    <n v="674"/>
    <n v="674"/>
    <s v="Increasing"/>
    <n v="-4.0290808124875621E-2"/>
    <n v="7.5715887821594663E-2"/>
    <n v="403.64940632972855"/>
    <n v="414.15500746865365"/>
    <x v="0"/>
    <n v="2.9695102030480883E-2"/>
    <n v="5.4628012031244171E-2"/>
  </r>
  <r>
    <x v="14"/>
    <s v="ETH"/>
    <n v="94451295.500000104"/>
    <x v="11"/>
    <n v="0"/>
    <n v="97084366.00000003"/>
    <n v="0"/>
    <m/>
    <n v="0"/>
    <m/>
    <n v="0"/>
    <m/>
    <n v="0"/>
    <m/>
    <n v="0"/>
    <n v="111129438.00000001"/>
    <n v="0"/>
    <n v="73174"/>
    <m/>
    <n v="0"/>
    <m/>
    <n v="0"/>
    <m/>
    <n v="0"/>
    <n v="123379924.50000004"/>
    <n v="0"/>
    <n v="73174"/>
    <n v="0"/>
    <n v="0"/>
    <n v="0"/>
    <x v="0"/>
    <s v=""/>
    <n v="73174"/>
    <s v="2018 (triag)"/>
    <n v="73174"/>
    <s v="2018 (triag)"/>
    <x v="1"/>
    <n v="73174"/>
    <n v="73174"/>
    <s v="No change"/>
    <n v="-4.0290808124875621E-2"/>
    <n v="7.5715887821594663E-2"/>
    <n v="89504.974723550171"/>
    <n v="91834.480353064428"/>
    <x v="0"/>
    <n v="6.5845739272072974"/>
    <n v="5.930786576222939"/>
  </r>
  <r>
    <x v="14"/>
    <s v="ETH"/>
    <n v="94451296.500000104"/>
    <x v="12"/>
    <n v="0"/>
    <n v="97084366.00000003"/>
    <n v="0"/>
    <m/>
    <n v="0"/>
    <m/>
    <n v="0"/>
    <m/>
    <n v="0"/>
    <m/>
    <n v="0"/>
    <n v="111129438.00000001"/>
    <n v="0"/>
    <n v="2872"/>
    <m/>
    <n v="0"/>
    <m/>
    <n v="0"/>
    <m/>
    <n v="0"/>
    <n v="123379924.50000004"/>
    <n v="0"/>
    <n v="2872"/>
    <n v="0"/>
    <n v="0"/>
    <n v="0"/>
    <x v="0"/>
    <s v=""/>
    <n v="2872"/>
    <s v="2018 (triag)"/>
    <n v="2872"/>
    <s v="2018 (triag)"/>
    <x v="1"/>
    <n v="2872"/>
    <n v="2872"/>
    <s v="No change"/>
    <n v="-4.0290808124875621E-2"/>
    <n v="7.5715887821594663E-2"/>
    <n v="3512.9730150878195"/>
    <n v="3604.4035801514342"/>
    <x v="0"/>
    <n v="0.25843737282285184"/>
    <n v="0.2327769296049455"/>
  </r>
  <r>
    <x v="14"/>
    <s v="ETH"/>
    <n v="94451297.500000104"/>
    <x v="13"/>
    <n v="0"/>
    <n v="97084366.00000003"/>
    <n v="0"/>
    <m/>
    <n v="0"/>
    <m/>
    <n v="0"/>
    <m/>
    <n v="0"/>
    <m/>
    <n v="0"/>
    <n v="111129438.00000001"/>
    <n v="0"/>
    <n v="10450"/>
    <m/>
    <n v="0"/>
    <m/>
    <n v="4752"/>
    <m/>
    <n v="0"/>
    <n v="123379924.50000004"/>
    <n v="13915"/>
    <n v="10450"/>
    <n v="0"/>
    <n v="0"/>
    <n v="13915"/>
    <x v="0"/>
    <s v=""/>
    <n v="10450"/>
    <s v="2018 (triag)"/>
    <n v="13915"/>
    <n v="2022"/>
    <x v="1"/>
    <n v="13915"/>
    <n v="13915"/>
    <s v="Increasing"/>
    <n v="-4.0290808124875621E-2"/>
    <n v="7.5715887821594663E-2"/>
    <n v="12782.231200441405"/>
    <n v="13114.9085698407"/>
    <x v="0"/>
    <n v="0.94034489763189466"/>
    <n v="1.1278171920100335"/>
  </r>
  <r>
    <x v="14"/>
    <s v="ETH"/>
    <n v="94451298.500000104"/>
    <x v="14"/>
    <n v="0"/>
    <n v="97084366.00000003"/>
    <n v="0"/>
    <m/>
    <n v="0"/>
    <m/>
    <n v="0"/>
    <m/>
    <n v="0"/>
    <m/>
    <n v="0"/>
    <n v="111129438.00000001"/>
    <n v="0"/>
    <n v="1285"/>
    <m/>
    <n v="0"/>
    <m/>
    <n v="1234"/>
    <m/>
    <n v="0"/>
    <n v="123379924.50000004"/>
    <n v="1205"/>
    <n v="1285"/>
    <n v="0"/>
    <n v="0"/>
    <n v="1234"/>
    <x v="0"/>
    <s v=""/>
    <n v="1285"/>
    <s v="2018 (triag)"/>
    <n v="1205"/>
    <n v="2022"/>
    <x v="0"/>
    <n v="1230.1476924425951"/>
    <n v="1285"/>
    <s v="Decreasing"/>
    <n v="-4.0290808124875621E-2"/>
    <n v="7.5715887821594663E-2"/>
    <n v="1571.7863246475795"/>
    <n v="1612.6944987794545"/>
    <x v="0"/>
    <n v="0.1156309276035392"/>
    <n v="9.9704039974720104E-2"/>
  </r>
  <r>
    <x v="14"/>
    <s v="ETH"/>
    <n v="94451299.500000104"/>
    <x v="15"/>
    <n v="0"/>
    <n v="97084366.00000003"/>
    <n v="0"/>
    <m/>
    <n v="0"/>
    <m/>
    <n v="0"/>
    <m/>
    <n v="0"/>
    <m/>
    <n v="0"/>
    <n v="111129438.00000001"/>
    <n v="0"/>
    <n v="258"/>
    <m/>
    <n v="0"/>
    <m/>
    <n v="249"/>
    <m/>
    <n v="0"/>
    <n v="123379924.50000004"/>
    <n v="3275"/>
    <n v="258"/>
    <n v="0"/>
    <n v="0"/>
    <n v="3275"/>
    <x v="0"/>
    <s v=""/>
    <n v="258"/>
    <s v="2018 (triag)"/>
    <n v="3275"/>
    <n v="2022"/>
    <x v="1"/>
    <n v="3275"/>
    <n v="3275"/>
    <s v="Increasing"/>
    <n v="-4.0290808124875621E-2"/>
    <n v="7.5715887821594663E-2"/>
    <n v="315.58044494869688"/>
    <n v="323.79391493003834"/>
    <x v="0"/>
    <n v="2.3216170678375964E-2"/>
    <n v="0.26544026617555588"/>
  </r>
  <r>
    <x v="14"/>
    <s v="ETH"/>
    <n v="94451300.500000104"/>
    <x v="16"/>
    <n v="0"/>
    <n v="97084366.00000003"/>
    <n v="0"/>
    <m/>
    <n v="0"/>
    <m/>
    <n v="0"/>
    <m/>
    <n v="0"/>
    <m/>
    <n v="0"/>
    <n v="111129438.00000001"/>
    <n v="0"/>
    <n v="0"/>
    <m/>
    <n v="0"/>
    <m/>
    <n v="0"/>
    <m/>
    <n v="0"/>
    <n v="123379924.50000004"/>
    <n v="0"/>
    <n v="0"/>
    <n v="0"/>
    <n v="0"/>
    <n v="0"/>
    <x v="0"/>
    <s v=""/>
    <m/>
    <s v=""/>
    <n v="0"/>
    <s v=""/>
    <x v="1"/>
    <m/>
    <n v="0"/>
    <s v="No change"/>
    <n v="-4.0290808124875621E-2"/>
    <n v="7.5715887821594663E-2"/>
    <n v="0"/>
    <n v="0"/>
    <x v="0"/>
    <n v="0"/>
    <n v="0"/>
  </r>
  <r>
    <x v="14"/>
    <s v="ETH"/>
    <n v="94451301.500000104"/>
    <x v="17"/>
    <n v="0"/>
    <n v="97084366.00000003"/>
    <n v="0"/>
    <m/>
    <n v="0"/>
    <m/>
    <n v="0"/>
    <m/>
    <n v="0"/>
    <m/>
    <n v="0"/>
    <n v="111129438.00000001"/>
    <n v="0"/>
    <n v="0"/>
    <m/>
    <n v="0"/>
    <m/>
    <n v="4"/>
    <m/>
    <n v="0"/>
    <n v="123379924.50000004"/>
    <n v="0"/>
    <n v="0"/>
    <n v="0"/>
    <n v="0"/>
    <n v="4"/>
    <x v="0"/>
    <s v=""/>
    <m/>
    <s v=""/>
    <n v="4"/>
    <n v="2020"/>
    <x v="1"/>
    <n v="4"/>
    <n v="4"/>
    <s v="Increasing"/>
    <n v="-4.0290808124875621E-2"/>
    <n v="7.5715887821594663E-2"/>
    <n v="0"/>
    <n v="0"/>
    <x v="0"/>
    <n v="0"/>
    <n v="3.2420185181747282E-4"/>
  </r>
  <r>
    <x v="14"/>
    <s v="ETH"/>
    <n v="94451302.500000104"/>
    <x v="18"/>
    <n v="0"/>
    <n v="97084366.00000003"/>
    <n v="0"/>
    <m/>
    <n v="0"/>
    <m/>
    <n v="0"/>
    <m/>
    <n v="0"/>
    <m/>
    <n v="0"/>
    <n v="111129438.00000001"/>
    <n v="0"/>
    <n v="0"/>
    <m/>
    <n v="0"/>
    <m/>
    <n v="0"/>
    <m/>
    <n v="0"/>
    <n v="123379924.50000004"/>
    <n v="0"/>
    <n v="0"/>
    <n v="0"/>
    <n v="0"/>
    <n v="0"/>
    <x v="0"/>
    <s v=""/>
    <m/>
    <s v=""/>
    <n v="0"/>
    <s v=""/>
    <x v="1"/>
    <m/>
    <n v="0"/>
    <s v="No change"/>
    <n v="-4.0290808124875621E-2"/>
    <n v="7.5715887821594663E-2"/>
    <n v="0"/>
    <n v="0"/>
    <x v="0"/>
    <n v="0"/>
    <n v="0"/>
  </r>
  <r>
    <x v="15"/>
    <s v="GAB"/>
    <n v="1836710"/>
    <x v="0"/>
    <n v="0"/>
    <n v="1902226.5000000007"/>
    <n v="0"/>
    <m/>
    <n v="0"/>
    <m/>
    <n v="0"/>
    <m/>
    <n v="0"/>
    <m/>
    <n v="0"/>
    <n v="2192011.5"/>
    <n v="0"/>
    <n v="0"/>
    <m/>
    <n v="117"/>
    <m/>
    <n v="110"/>
    <m/>
    <n v="0"/>
    <n v="2388992.5000000005"/>
    <n v="98"/>
    <n v="0"/>
    <n v="0"/>
    <n v="117"/>
    <n v="110"/>
    <x v="0"/>
    <s v=""/>
    <n v="117"/>
    <n v="2019"/>
    <n v="98"/>
    <n v="2022"/>
    <x v="0"/>
    <n v="108.87462895058496"/>
    <n v="117"/>
    <s v="Decreasing"/>
    <n v="0.2599900753182236"/>
    <n v="5.4673730437993617E-2"/>
    <n v="0"/>
    <n v="0"/>
    <x v="0"/>
    <n v="0.53375632381490701"/>
    <n v="0.45573449456448667"/>
  </r>
  <r>
    <x v="15"/>
    <s v="GAB"/>
    <n v="1836711"/>
    <x v="1"/>
    <n v="0"/>
    <n v="1902226.5000000007"/>
    <n v="0"/>
    <m/>
    <n v="999"/>
    <m/>
    <n v="0"/>
    <m/>
    <n v="4"/>
    <m/>
    <n v="1985"/>
    <n v="2192011.5"/>
    <n v="0"/>
    <n v="6"/>
    <m/>
    <n v="0"/>
    <m/>
    <n v="0"/>
    <m/>
    <n v="0"/>
    <n v="2388992.5000000005"/>
    <n v="0"/>
    <n v="6"/>
    <n v="999"/>
    <n v="1985"/>
    <n v="0"/>
    <x v="37"/>
    <n v="2014"/>
    <n v="6"/>
    <s v="2018 (triag)"/>
    <n v="6"/>
    <s v="2018 (triag)"/>
    <x v="1"/>
    <n v="6"/>
    <n v="6"/>
    <s v="No change"/>
    <n v="0.2599900753182236"/>
    <n v="5.4673730437993617E-2"/>
    <n v="1.6352719039570178"/>
    <n v="7.0694356996005805"/>
    <x v="38"/>
    <n v="2.737211916999523E-2"/>
    <n v="2.5115189771420375E-2"/>
  </r>
  <r>
    <x v="15"/>
    <s v="GAB"/>
    <n v="1836712"/>
    <x v="2"/>
    <n v="0"/>
    <n v="1902226.5000000007"/>
    <n v="296"/>
    <m/>
    <n v="6"/>
    <m/>
    <n v="0"/>
    <m/>
    <n v="29"/>
    <m/>
    <n v="5029"/>
    <n v="2192011.5"/>
    <n v="0"/>
    <n v="312"/>
    <m/>
    <n v="0"/>
    <m/>
    <n v="0"/>
    <m/>
    <n v="0"/>
    <n v="2388992.5000000005"/>
    <n v="0"/>
    <n v="312"/>
    <n v="296"/>
    <n v="5029"/>
    <n v="0"/>
    <x v="38"/>
    <n v="2013"/>
    <n v="312"/>
    <s v="2018 (triag)"/>
    <n v="312"/>
    <s v="2018 (triag)"/>
    <x v="1"/>
    <n v="312"/>
    <n v="312"/>
    <s v="No change"/>
    <n v="0.2599900753182236"/>
    <n v="5.4673730437993617E-2"/>
    <n v="85.034139005764928"/>
    <n v="367.61065637923019"/>
    <x v="39"/>
    <n v="1.4233501968397519"/>
    <n v="1.3059898681138595"/>
  </r>
  <r>
    <x v="15"/>
    <s v="GAB"/>
    <n v="1836713"/>
    <x v="3"/>
    <n v="0"/>
    <n v="1902226.5000000007"/>
    <n v="0"/>
    <m/>
    <n v="0"/>
    <m/>
    <n v="0"/>
    <m/>
    <n v="0"/>
    <m/>
    <n v="0"/>
    <n v="2192011.5"/>
    <n v="0"/>
    <n v="86"/>
    <m/>
    <n v="40"/>
    <m/>
    <n v="18"/>
    <m/>
    <n v="0"/>
    <n v="2388992.5000000005"/>
    <n v="70"/>
    <n v="86"/>
    <n v="0"/>
    <n v="40"/>
    <n v="70"/>
    <x v="0"/>
    <s v=""/>
    <n v="86"/>
    <s v="2018 (triag)"/>
    <n v="70"/>
    <n v="2022"/>
    <x v="0"/>
    <n v="77.767592107560688"/>
    <n v="86"/>
    <s v="Decreasing"/>
    <n v="0.2599900753182236"/>
    <n v="5.4673730437993617E-2"/>
    <n v="23.438897290050591"/>
    <n v="101.32857836094165"/>
    <x v="0"/>
    <n v="0.39233370810326496"/>
    <n v="0.3255246389746333"/>
  </r>
  <r>
    <x v="15"/>
    <s v="GAB"/>
    <n v="1836714"/>
    <x v="4"/>
    <n v="0"/>
    <n v="1902226.5000000007"/>
    <n v="0"/>
    <m/>
    <n v="0"/>
    <m/>
    <n v="0"/>
    <m/>
    <n v="0"/>
    <m/>
    <n v="0"/>
    <n v="2192011.5"/>
    <n v="0"/>
    <n v="318"/>
    <m/>
    <n v="344"/>
    <m/>
    <n v="390"/>
    <m/>
    <n v="0"/>
    <n v="2388992.5000000005"/>
    <n v="0"/>
    <n v="318"/>
    <n v="0"/>
    <n v="344"/>
    <n v="390"/>
    <x v="0"/>
    <s v=""/>
    <n v="318"/>
    <s v="2018 (triag)"/>
    <n v="390"/>
    <n v="2020"/>
    <x v="1"/>
    <n v="390"/>
    <n v="390"/>
    <s v="Increasing"/>
    <n v="0.2599900753182236"/>
    <n v="5.4673730437993617E-2"/>
    <n v="86.669410909721947"/>
    <n v="374.68009207883074"/>
    <x v="0"/>
    <n v="1.4507223160097471"/>
    <n v="1.6324873351423244"/>
  </r>
  <r>
    <x v="15"/>
    <s v="GAB"/>
    <n v="1836715"/>
    <x v="5"/>
    <n v="0"/>
    <n v="1902226.5000000007"/>
    <n v="0"/>
    <m/>
    <n v="0"/>
    <m/>
    <n v="0"/>
    <m/>
    <n v="33"/>
    <m/>
    <n v="46"/>
    <n v="2192011.5"/>
    <n v="0"/>
    <n v="46"/>
    <m/>
    <n v="9"/>
    <m/>
    <n v="9"/>
    <m/>
    <n v="0"/>
    <n v="2388992.5000000005"/>
    <n v="17"/>
    <n v="46"/>
    <n v="0"/>
    <n v="46"/>
    <n v="17"/>
    <x v="0"/>
    <s v=""/>
    <n v="46"/>
    <n v="2017"/>
    <n v="17"/>
    <n v="2022"/>
    <x v="0"/>
    <n v="18.88641522612188"/>
    <n v="46"/>
    <s v="Decreasing"/>
    <n v="0.2599900753182236"/>
    <n v="5.4673730437993617E-2"/>
    <n v="12.537084597003805"/>
    <n v="54.199007030271119"/>
    <x v="0"/>
    <n v="0.20985291363663011"/>
    <n v="7.9055983750982384E-2"/>
  </r>
  <r>
    <x v="15"/>
    <s v="GAB"/>
    <n v="1836716"/>
    <x v="6"/>
    <n v="0"/>
    <n v="1902226.5000000007"/>
    <n v="0"/>
    <m/>
    <n v="0"/>
    <m/>
    <n v="0"/>
    <m/>
    <n v="0"/>
    <m/>
    <n v="0"/>
    <n v="2192011.5"/>
    <n v="439"/>
    <n v="439"/>
    <m/>
    <n v="454"/>
    <m/>
    <n v="469"/>
    <m/>
    <n v="0"/>
    <n v="2388992.5000000005"/>
    <n v="231"/>
    <n v="83"/>
    <n v="0"/>
    <n v="454"/>
    <n v="469"/>
    <x v="0"/>
    <s v=""/>
    <n v="439"/>
    <n v="2018"/>
    <n v="231"/>
    <n v="2022"/>
    <x v="0"/>
    <n v="256.63305395495024"/>
    <n v="439"/>
    <s v="Decreasing"/>
    <n v="0.2599900753182236"/>
    <n v="5.4673730437993617E-2"/>
    <n v="22.621261338072081"/>
    <n v="97.793860511141361"/>
    <x v="0"/>
    <n v="2.0027267192713176"/>
    <n v="1.07423130861629"/>
  </r>
  <r>
    <x v="15"/>
    <s v="GAB"/>
    <n v="1836717"/>
    <x v="7"/>
    <n v="0"/>
    <n v="1902226.5000000007"/>
    <n v="0"/>
    <m/>
    <n v="0"/>
    <m/>
    <n v="0"/>
    <m/>
    <n v="0"/>
    <m/>
    <n v="18"/>
    <n v="2192011.5"/>
    <n v="0"/>
    <n v="18"/>
    <m/>
    <n v="14"/>
    <m/>
    <n v="14"/>
    <m/>
    <n v="0"/>
    <n v="2388992.5000000005"/>
    <n v="0"/>
    <n v="18"/>
    <n v="0"/>
    <n v="18"/>
    <n v="14"/>
    <x v="0"/>
    <s v=""/>
    <n v="18"/>
    <n v="2017"/>
    <n v="14"/>
    <n v="2020"/>
    <x v="0"/>
    <n v="15.553518421512138"/>
    <n v="18"/>
    <s v="Decreasing"/>
    <n v="0.2599900753182236"/>
    <n v="5.4673730437993617E-2"/>
    <n v="4.9058157118710541"/>
    <n v="21.20830709880174"/>
    <x v="0"/>
    <n v="8.2116357509985693E-2"/>
    <n v="6.5104927794926673E-2"/>
  </r>
  <r>
    <x v="15"/>
    <s v="GAB"/>
    <n v="1836718"/>
    <x v="8"/>
    <n v="0"/>
    <n v="1902226.5000000007"/>
    <n v="0"/>
    <m/>
    <n v="0"/>
    <m/>
    <n v="0"/>
    <m/>
    <n v="66"/>
    <m/>
    <n v="93"/>
    <n v="2192011.5"/>
    <n v="0"/>
    <n v="93"/>
    <m/>
    <n v="78"/>
    <m/>
    <n v="82"/>
    <m/>
    <n v="0"/>
    <n v="2388992.5000000005"/>
    <n v="478"/>
    <n v="93"/>
    <n v="0"/>
    <n v="93"/>
    <n v="478"/>
    <x v="0"/>
    <s v=""/>
    <n v="93"/>
    <n v="2017"/>
    <n v="478"/>
    <n v="2022"/>
    <x v="1"/>
    <n v="478"/>
    <n v="478"/>
    <s v="Increasing"/>
    <n v="0.2599900753182236"/>
    <n v="5.4673730437993617E-2"/>
    <n v="25.346714511333779"/>
    <n v="109.576253343809"/>
    <x v="0"/>
    <n v="0.42426784713492605"/>
    <n v="2.000843451789823"/>
  </r>
  <r>
    <x v="15"/>
    <s v="GAB"/>
    <n v="1836719"/>
    <x v="9"/>
    <n v="0"/>
    <n v="1902226.5000000007"/>
    <n v="0"/>
    <m/>
    <n v="0"/>
    <m/>
    <n v="0"/>
    <m/>
    <n v="0"/>
    <m/>
    <n v="32"/>
    <n v="2192011.5"/>
    <n v="0"/>
    <n v="127"/>
    <m/>
    <n v="1"/>
    <m/>
    <n v="0"/>
    <m/>
    <n v="0"/>
    <n v="2388992.5000000005"/>
    <n v="0"/>
    <n v="127"/>
    <n v="0"/>
    <n v="32"/>
    <n v="0"/>
    <x v="0"/>
    <s v=""/>
    <n v="127"/>
    <s v="2018 (triag)"/>
    <n v="1"/>
    <s v="2018 (triag)"/>
    <x v="0"/>
    <n v="1.1109656015365812"/>
    <n v="127"/>
    <s v="Decreasing"/>
    <n v="0.2599900753182236"/>
    <n v="5.4673730437993617E-2"/>
    <n v="34.613255300423546"/>
    <n v="149.63638897487894"/>
    <x v="0"/>
    <n v="0.57937652243156568"/>
    <n v="4.6503519853519047E-3"/>
  </r>
  <r>
    <x v="15"/>
    <s v="GAB"/>
    <n v="1836720"/>
    <x v="10"/>
    <n v="0"/>
    <n v="1902226.5000000007"/>
    <n v="0"/>
    <m/>
    <n v="0"/>
    <m/>
    <n v="0"/>
    <m/>
    <n v="0"/>
    <m/>
    <n v="5"/>
    <n v="2192011.5"/>
    <n v="0"/>
    <n v="5"/>
    <m/>
    <n v="9"/>
    <m/>
    <n v="9"/>
    <m/>
    <n v="0"/>
    <n v="2388992.5000000005"/>
    <n v="0"/>
    <n v="5"/>
    <n v="0"/>
    <n v="9"/>
    <n v="9"/>
    <x v="0"/>
    <s v=""/>
    <n v="5"/>
    <n v="2017"/>
    <n v="9"/>
    <n v="2020"/>
    <x v="1"/>
    <n v="9"/>
    <n v="9"/>
    <s v="Increasing"/>
    <n v="0.2599900753182236"/>
    <n v="5.4673730437993617E-2"/>
    <n v="1.3627265866308482"/>
    <n v="5.8911964163338171"/>
    <x v="0"/>
    <n v="2.2810099308329359E-2"/>
    <n v="3.7672784657130559E-2"/>
  </r>
  <r>
    <x v="15"/>
    <s v="GAB"/>
    <n v="1836721"/>
    <x v="11"/>
    <n v="0"/>
    <n v="1902226.5000000007"/>
    <n v="0"/>
    <m/>
    <n v="0"/>
    <m/>
    <n v="0"/>
    <m/>
    <n v="0"/>
    <m/>
    <n v="0"/>
    <n v="2192011.5"/>
    <n v="0"/>
    <n v="1939"/>
    <m/>
    <n v="942"/>
    <m/>
    <n v="947"/>
    <m/>
    <n v="0"/>
    <n v="2388992.5000000005"/>
    <n v="0"/>
    <n v="1939"/>
    <n v="0"/>
    <n v="942"/>
    <n v="947"/>
    <x v="0"/>
    <s v=""/>
    <n v="1939"/>
    <s v="2018 (triag)"/>
    <n v="947"/>
    <n v="2020"/>
    <x v="0"/>
    <n v="1052.0844246551424"/>
    <n v="1939"/>
    <s v="Decreasing"/>
    <n v="0.2599900753182236"/>
    <n v="5.4673730437993617E-2"/>
    <n v="528.46537029544299"/>
    <n v="2284.6059702542543"/>
    <x v="0"/>
    <n v="8.8457565117701247"/>
    <n v="4.4038833301282541"/>
  </r>
  <r>
    <x v="15"/>
    <s v="GAB"/>
    <n v="1836722"/>
    <x v="12"/>
    <n v="0"/>
    <n v="1902226.5000000007"/>
    <n v="0"/>
    <m/>
    <n v="0"/>
    <m/>
    <n v="0"/>
    <m/>
    <n v="0"/>
    <m/>
    <n v="0"/>
    <n v="2192011.5"/>
    <n v="0"/>
    <n v="62"/>
    <m/>
    <n v="2595"/>
    <m/>
    <n v="2714"/>
    <m/>
    <n v="0"/>
    <n v="2388992.5000000005"/>
    <n v="0"/>
    <n v="62"/>
    <n v="0"/>
    <n v="2595"/>
    <n v="2714"/>
    <x v="0"/>
    <s v=""/>
    <n v="62"/>
    <s v="2018 (triag)"/>
    <n v="2714"/>
    <n v="2020"/>
    <x v="1"/>
    <n v="2714"/>
    <n v="2714"/>
    <s v="Increasing"/>
    <n v="0.2599900753182236"/>
    <n v="5.4673730437993617E-2"/>
    <n v="16.897809674222518"/>
    <n v="73.050835562539334"/>
    <x v="0"/>
    <n v="0.28284523142328405"/>
    <n v="11.360437506605816"/>
  </r>
  <r>
    <x v="15"/>
    <s v="GAB"/>
    <n v="1836723"/>
    <x v="13"/>
    <n v="0"/>
    <n v="1902226.5000000007"/>
    <n v="0"/>
    <m/>
    <n v="0"/>
    <m/>
    <n v="0"/>
    <m/>
    <n v="287"/>
    <m/>
    <n v="442"/>
    <n v="2192011.5"/>
    <n v="0"/>
    <n v="439"/>
    <m/>
    <n v="72"/>
    <m/>
    <n v="74"/>
    <m/>
    <n v="0"/>
    <n v="2388992.5000000005"/>
    <n v="228"/>
    <n v="439"/>
    <n v="0"/>
    <n v="442"/>
    <n v="228"/>
    <x v="0"/>
    <s v=""/>
    <n v="439"/>
    <s v="2018 (triag)"/>
    <n v="228"/>
    <n v="2022"/>
    <x v="0"/>
    <n v="253.30015715034051"/>
    <n v="439"/>
    <s v="Decreasing"/>
    <n v="0.2599900753182236"/>
    <n v="5.4673730437993617E-2"/>
    <n v="119.64739430618847"/>
    <n v="517.2470453541091"/>
    <x v="0"/>
    <n v="2.0027267192713176"/>
    <n v="1.0602802526602342"/>
  </r>
  <r>
    <x v="15"/>
    <s v="GAB"/>
    <n v="1836724"/>
    <x v="14"/>
    <n v="0"/>
    <n v="1902226.5000000007"/>
    <n v="0"/>
    <m/>
    <n v="0"/>
    <m/>
    <n v="0"/>
    <m/>
    <n v="0"/>
    <m/>
    <n v="58"/>
    <n v="2192011.5"/>
    <n v="0"/>
    <n v="58"/>
    <m/>
    <n v="703"/>
    <m/>
    <n v="615"/>
    <m/>
    <n v="0"/>
    <n v="2388992.5000000005"/>
    <n v="84"/>
    <n v="58"/>
    <n v="0"/>
    <n v="703"/>
    <n v="615"/>
    <x v="0"/>
    <s v=""/>
    <n v="58"/>
    <n v="2017"/>
    <n v="84"/>
    <n v="2022"/>
    <x v="1"/>
    <n v="84"/>
    <n v="84"/>
    <s v="Increasing"/>
    <n v="0.2599900753182236"/>
    <n v="5.4673730437993617E-2"/>
    <n v="15.807628404917839"/>
    <n v="68.337878429472283"/>
    <x v="0"/>
    <n v="0.26459715197662054"/>
    <n v="0.35161265679988524"/>
  </r>
  <r>
    <x v="15"/>
    <s v="GAB"/>
    <n v="1836725"/>
    <x v="15"/>
    <n v="0"/>
    <n v="1902226.5000000007"/>
    <n v="0"/>
    <m/>
    <n v="0"/>
    <m/>
    <n v="0"/>
    <m/>
    <n v="0"/>
    <m/>
    <n v="43"/>
    <n v="2192011.5"/>
    <n v="0"/>
    <n v="43"/>
    <m/>
    <n v="43"/>
    <m/>
    <n v="32"/>
    <m/>
    <n v="0"/>
    <n v="2388992.5000000005"/>
    <n v="2"/>
    <n v="43"/>
    <n v="0"/>
    <n v="43"/>
    <n v="32"/>
    <x v="0"/>
    <s v=""/>
    <n v="43"/>
    <n v="2017"/>
    <n v="2"/>
    <n v="2022"/>
    <x v="0"/>
    <n v="2.2219312030731624"/>
    <n v="43"/>
    <s v="Decreasing"/>
    <n v="0.2599900753182236"/>
    <n v="5.4673730437993617E-2"/>
    <n v="11.719448645025295"/>
    <n v="50.664289180470824"/>
    <x v="0"/>
    <n v="0.19616685405163248"/>
    <n v="9.3007039707038094E-3"/>
  </r>
  <r>
    <x v="15"/>
    <s v="GAB"/>
    <n v="1836726"/>
    <x v="16"/>
    <n v="0"/>
    <n v="1902226.5000000007"/>
    <n v="0"/>
    <m/>
    <n v="0"/>
    <m/>
    <n v="0"/>
    <m/>
    <n v="0"/>
    <m/>
    <n v="0"/>
    <n v="2192011.5"/>
    <n v="0"/>
    <n v="0"/>
    <m/>
    <n v="119"/>
    <m/>
    <n v="115"/>
    <m/>
    <n v="0"/>
    <n v="2388992.5000000005"/>
    <n v="0"/>
    <n v="0"/>
    <n v="0"/>
    <n v="119"/>
    <n v="115"/>
    <x v="0"/>
    <s v=""/>
    <n v="119"/>
    <n v="2019"/>
    <n v="115"/>
    <n v="2020"/>
    <x v="0"/>
    <n v="127.76104417670683"/>
    <n v="127.76104417670683"/>
    <s v="Increasing"/>
    <n v="0.2599900753182236"/>
    <n v="5.4673730437993617E-2"/>
    <n v="0"/>
    <n v="0"/>
    <x v="0"/>
    <n v="0.54288036353823876"/>
    <n v="0.534790478315469"/>
  </r>
  <r>
    <x v="15"/>
    <s v="GAB"/>
    <n v="1836727"/>
    <x v="17"/>
    <n v="0"/>
    <n v="1902226.5000000007"/>
    <n v="0"/>
    <m/>
    <n v="0"/>
    <m/>
    <n v="0"/>
    <m/>
    <n v="0"/>
    <m/>
    <n v="2"/>
    <n v="2192011.5"/>
    <n v="0"/>
    <n v="0"/>
    <m/>
    <n v="1"/>
    <m/>
    <n v="0"/>
    <m/>
    <n v="0"/>
    <n v="2388992.5000000005"/>
    <n v="0"/>
    <n v="0"/>
    <n v="0"/>
    <n v="2"/>
    <n v="0"/>
    <x v="0"/>
    <s v=""/>
    <n v="2"/>
    <n v="2017"/>
    <n v="1"/>
    <n v="2017"/>
    <x v="0"/>
    <n v="1.1109656015365812"/>
    <n v="2"/>
    <s v="Decreasing"/>
    <n v="0.2599900753182236"/>
    <n v="5.4673730437993617E-2"/>
    <n v="0"/>
    <n v="0"/>
    <x v="0"/>
    <n v="9.1240397233317439E-3"/>
    <n v="4.6503519853519047E-3"/>
  </r>
  <r>
    <x v="15"/>
    <s v="GAB"/>
    <n v="1836728"/>
    <x v="18"/>
    <n v="0"/>
    <n v="1902226.5000000007"/>
    <n v="0"/>
    <m/>
    <n v="0"/>
    <m/>
    <n v="0"/>
    <m/>
    <n v="0"/>
    <m/>
    <n v="99"/>
    <n v="2192011.5"/>
    <n v="0"/>
    <n v="99"/>
    <m/>
    <n v="117"/>
    <m/>
    <n v="112"/>
    <m/>
    <n v="0"/>
    <n v="2388992.5000000005"/>
    <n v="0"/>
    <n v="99"/>
    <n v="0"/>
    <n v="117"/>
    <n v="112"/>
    <x v="0"/>
    <s v=""/>
    <n v="99"/>
    <n v="2017"/>
    <n v="112"/>
    <n v="2020"/>
    <x v="1"/>
    <n v="112"/>
    <n v="112"/>
    <s v="Increasing"/>
    <n v="0.2599900753182236"/>
    <n v="5.4673730437993617E-2"/>
    <n v="26.981986415290795"/>
    <n v="116.64568904340958"/>
    <x v="0"/>
    <n v="0.45163996630492131"/>
    <n v="0.46881687573318032"/>
  </r>
  <r>
    <x v="16"/>
    <s v="GHA"/>
    <n v="26858767"/>
    <x v="0"/>
    <n v="0"/>
    <n v="27525596.999999989"/>
    <n v="5293"/>
    <m/>
    <n v="0"/>
    <m/>
    <n v="0"/>
    <m/>
    <n v="0"/>
    <m/>
    <n v="15456"/>
    <n v="30870640.5"/>
    <n v="15820"/>
    <n v="15820"/>
    <m/>
    <n v="0"/>
    <m/>
    <n v="0"/>
    <m/>
    <n v="0"/>
    <n v="33475870.500000011"/>
    <n v="0"/>
    <n v="15820"/>
    <n v="5293"/>
    <n v="15820"/>
    <n v="0"/>
    <x v="39"/>
    <n v="2013"/>
    <n v="15820"/>
    <n v="2018"/>
    <n v="15820"/>
    <n v="2018"/>
    <x v="1"/>
    <n v="15820"/>
    <n v="15820"/>
    <s v="No change"/>
    <n v="2.6327637949120408E-2"/>
    <n v="6.0316928868946684E-2"/>
    <n v="13868.731483776815"/>
    <n v="18957.995126192636"/>
    <x v="40"/>
    <n v="5.1246102263411091"/>
    <n v="4.7257919700699027"/>
  </r>
  <r>
    <x v="16"/>
    <s v="GHA"/>
    <n v="26858768"/>
    <x v="1"/>
    <n v="0"/>
    <n v="27525596.999999989"/>
    <n v="4"/>
    <m/>
    <n v="0"/>
    <m/>
    <n v="0"/>
    <m/>
    <n v="19"/>
    <m/>
    <n v="0"/>
    <n v="30870640.5"/>
    <n v="0"/>
    <n v="0"/>
    <m/>
    <n v="0"/>
    <m/>
    <n v="0"/>
    <m/>
    <n v="0"/>
    <n v="33475870.500000011"/>
    <n v="3321"/>
    <n v="0"/>
    <n v="4"/>
    <n v="19"/>
    <n v="3321"/>
    <x v="40"/>
    <n v="2013"/>
    <m/>
    <s v=""/>
    <n v="3321"/>
    <n v="2022"/>
    <x v="1"/>
    <n v="3321"/>
    <n v="3321"/>
    <s v="Increasing"/>
    <n v="2.6327637949120408E-2"/>
    <n v="6.0316928868946684E-2"/>
    <n v="0"/>
    <n v="0"/>
    <x v="41"/>
    <n v="0"/>
    <n v="0.99205784656145057"/>
  </r>
  <r>
    <x v="16"/>
    <s v="GHA"/>
    <n v="26858769"/>
    <x v="2"/>
    <n v="0"/>
    <n v="27525596.999999989"/>
    <n v="351"/>
    <m/>
    <n v="0"/>
    <m/>
    <n v="0"/>
    <m/>
    <n v="160"/>
    <m/>
    <n v="0"/>
    <n v="30870640.5"/>
    <n v="0"/>
    <n v="47"/>
    <m/>
    <n v="0"/>
    <m/>
    <n v="0"/>
    <m/>
    <n v="0"/>
    <n v="33475870.500000011"/>
    <n v="4778"/>
    <n v="47"/>
    <n v="351"/>
    <n v="160"/>
    <n v="4778"/>
    <x v="41"/>
    <n v="2013"/>
    <n v="47"/>
    <s v="2018 (triag)"/>
    <n v="4778"/>
    <n v="2022"/>
    <x v="1"/>
    <n v="4778"/>
    <n v="4778"/>
    <s v="Increasing"/>
    <n v="2.6327637949120408E-2"/>
    <n v="6.0316928868946684E-2"/>
    <n v="41.202931715392566"/>
    <n v="56.32274152535107"/>
    <x v="42"/>
    <n v="1.5224821784957782E-2"/>
    <n v="1.4272967151070795"/>
  </r>
  <r>
    <x v="16"/>
    <s v="GHA"/>
    <n v="26858770"/>
    <x v="3"/>
    <n v="0"/>
    <n v="27525596.999999989"/>
    <n v="0"/>
    <m/>
    <n v="0"/>
    <m/>
    <n v="0"/>
    <m/>
    <n v="0"/>
    <m/>
    <n v="0"/>
    <n v="30870640.5"/>
    <n v="0"/>
    <n v="4059"/>
    <m/>
    <n v="0"/>
    <m/>
    <n v="0"/>
    <m/>
    <n v="3453"/>
    <n v="33475870.500000011"/>
    <n v="3602"/>
    <n v="4059"/>
    <n v="0"/>
    <n v="0"/>
    <n v="3602"/>
    <x v="0"/>
    <s v=""/>
    <n v="4059"/>
    <s v="2018 (triag)"/>
    <n v="3602"/>
    <n v="2022"/>
    <x v="0"/>
    <n v="4345.9371270962411"/>
    <n v="4345.9371270962411"/>
    <s v="Increasing"/>
    <n v="2.6327637949120408E-2"/>
    <n v="6.0316928868946684E-2"/>
    <n v="3558.3553155910299"/>
    <n v="4864.1278266255313"/>
    <x v="0"/>
    <n v="1.3148415239392264"/>
    <n v="1.2982297583855928"/>
  </r>
  <r>
    <x v="16"/>
    <s v="GHA"/>
    <n v="26858771"/>
    <x v="4"/>
    <n v="0"/>
    <n v="27525596.999999989"/>
    <n v="0"/>
    <m/>
    <n v="0"/>
    <m/>
    <n v="0"/>
    <m/>
    <n v="0"/>
    <m/>
    <n v="0"/>
    <n v="30870640.5"/>
    <n v="0"/>
    <n v="1033"/>
    <m/>
    <n v="0"/>
    <m/>
    <n v="0"/>
    <m/>
    <n v="0"/>
    <n v="33475870.500000011"/>
    <n v="0"/>
    <n v="1033"/>
    <n v="0"/>
    <n v="0"/>
    <n v="0"/>
    <x v="0"/>
    <s v=""/>
    <n v="1033"/>
    <s v="2018 (triag)"/>
    <n v="1033"/>
    <s v="2018 (triag)"/>
    <x v="1"/>
    <n v="1033"/>
    <n v="1033"/>
    <s v="No change"/>
    <n v="2.6327637949120408E-2"/>
    <n v="6.0316928868946684E-2"/>
    <n v="905.58783961703227"/>
    <n v="1237.9019573550565"/>
    <x v="0"/>
    <n v="0.33462214689066783"/>
    <n v="0.30858047440469089"/>
  </r>
  <r>
    <x v="16"/>
    <s v="GHA"/>
    <n v="26858772"/>
    <x v="5"/>
    <n v="0"/>
    <n v="27525596.999999989"/>
    <n v="0"/>
    <m/>
    <n v="0"/>
    <m/>
    <n v="0"/>
    <m/>
    <n v="30"/>
    <m/>
    <n v="167"/>
    <n v="30870640.5"/>
    <n v="0"/>
    <n v="0"/>
    <m/>
    <n v="0"/>
    <m/>
    <n v="0"/>
    <m/>
    <n v="0"/>
    <n v="33475870.500000011"/>
    <n v="1550"/>
    <n v="0"/>
    <n v="0"/>
    <n v="167"/>
    <n v="1550"/>
    <x v="0"/>
    <s v=""/>
    <n v="167"/>
    <n v="2017"/>
    <n v="1550"/>
    <n v="2022"/>
    <x v="1"/>
    <n v="1550"/>
    <n v="1550"/>
    <s v="Increasing"/>
    <n v="2.6327637949120408E-2"/>
    <n v="6.0316928868946684E-2"/>
    <n v="0"/>
    <n v="0"/>
    <x v="0"/>
    <n v="5.4096707193360627E-2"/>
    <n v="0.46302007292088176"/>
  </r>
  <r>
    <x v="16"/>
    <s v="GHA"/>
    <n v="26858773"/>
    <x v="6"/>
    <n v="0"/>
    <n v="27525596.999999989"/>
    <n v="0"/>
    <m/>
    <n v="0"/>
    <m/>
    <n v="0"/>
    <m/>
    <n v="0"/>
    <m/>
    <n v="0"/>
    <n v="30870640.5"/>
    <n v="1563"/>
    <n v="1563"/>
    <m/>
    <n v="0"/>
    <m/>
    <n v="0"/>
    <m/>
    <n v="1759"/>
    <n v="33475870.500000011"/>
    <n v="4227"/>
    <n v="398"/>
    <n v="0"/>
    <n v="1563"/>
    <n v="4227"/>
    <x v="0"/>
    <s v=""/>
    <n v="1563"/>
    <n v="2018"/>
    <n v="4227"/>
    <n v="2022"/>
    <x v="1"/>
    <n v="4227"/>
    <n v="4227"/>
    <s v="Increasing"/>
    <n v="2.6327637949120408E-2"/>
    <n v="6.0316928868946684E-2"/>
    <n v="348.90993239843067"/>
    <n v="476.9457686614835"/>
    <x v="0"/>
    <n v="0.50630630744444705"/>
    <n v="1.2627005472493982"/>
  </r>
  <r>
    <x v="16"/>
    <s v="GHA"/>
    <n v="26858774"/>
    <x v="7"/>
    <n v="0"/>
    <n v="27525596.999999989"/>
    <n v="0"/>
    <m/>
    <n v="0"/>
    <m/>
    <n v="0"/>
    <m/>
    <n v="0"/>
    <m/>
    <n v="240"/>
    <n v="30870640.5"/>
    <n v="0"/>
    <n v="1671"/>
    <m/>
    <n v="0"/>
    <m/>
    <n v="0"/>
    <m/>
    <n v="2352"/>
    <n v="33475870.500000011"/>
    <n v="2471"/>
    <n v="1671"/>
    <n v="0"/>
    <n v="240"/>
    <n v="2471"/>
    <x v="0"/>
    <s v=""/>
    <n v="1671"/>
    <s v="2018 (triag)"/>
    <n v="2471"/>
    <n v="2022"/>
    <x v="1"/>
    <n v="2471"/>
    <n v="2471"/>
    <s v="Increasing"/>
    <n v="2.6327637949120408E-2"/>
    <n v="6.0316928868946684E-2"/>
    <n v="1464.8957212004464"/>
    <n v="2002.4532146566305"/>
    <x v="0"/>
    <n v="0.5412910043120096"/>
    <n v="0.73814361302419285"/>
  </r>
  <r>
    <x v="16"/>
    <s v="GHA"/>
    <n v="26858775"/>
    <x v="8"/>
    <n v="0"/>
    <n v="27525596.999999989"/>
    <n v="0"/>
    <m/>
    <n v="0"/>
    <m/>
    <n v="0"/>
    <m/>
    <n v="0"/>
    <m/>
    <n v="0"/>
    <n v="30870640.5"/>
    <n v="0"/>
    <n v="1476"/>
    <m/>
    <n v="0"/>
    <m/>
    <n v="0"/>
    <m/>
    <n v="1673"/>
    <n v="33475870.500000011"/>
    <n v="2703"/>
    <n v="1476"/>
    <n v="0"/>
    <n v="0"/>
    <n v="2703"/>
    <x v="0"/>
    <s v=""/>
    <n v="1476"/>
    <s v="2018 (triag)"/>
    <n v="2703"/>
    <n v="2022"/>
    <x v="1"/>
    <n v="2703"/>
    <n v="2703"/>
    <s v="Increasing"/>
    <n v="2.6327637949120408E-2"/>
    <n v="6.0316928868946684E-2"/>
    <n v="1293.9473874876473"/>
    <n v="1768.7737551365569"/>
    <x v="0"/>
    <n v="0.47812419052335503"/>
    <n v="0.80744726264847966"/>
  </r>
  <r>
    <x v="16"/>
    <s v="GHA"/>
    <n v="26858776"/>
    <x v="9"/>
    <n v="0"/>
    <n v="27525596.999999989"/>
    <n v="0"/>
    <m/>
    <n v="0"/>
    <m/>
    <n v="0"/>
    <m/>
    <n v="0"/>
    <m/>
    <n v="0"/>
    <n v="30870640.5"/>
    <n v="0"/>
    <n v="3883"/>
    <m/>
    <n v="0"/>
    <m/>
    <n v="0"/>
    <m/>
    <n v="3238"/>
    <n v="33475870.500000011"/>
    <n v="3555"/>
    <n v="3883"/>
    <n v="0"/>
    <n v="0"/>
    <n v="3555"/>
    <x v="0"/>
    <s v=""/>
    <n v="3883"/>
    <s v="2018 (triag)"/>
    <n v="3555"/>
    <n v="2022"/>
    <x v="0"/>
    <n v="4289.2300074478444"/>
    <n v="4289.2300074478444"/>
    <s v="Increasing"/>
    <n v="2.6327637949120408E-2"/>
    <n v="6.0316928868946684E-2"/>
    <n v="3404.0634861887092"/>
    <n v="4653.2171349561322"/>
    <x v="0"/>
    <n v="1.2578294253402356"/>
    <n v="1.2812900585954421"/>
  </r>
  <r>
    <x v="16"/>
    <s v="GHA"/>
    <n v="26858777"/>
    <x v="10"/>
    <n v="0"/>
    <n v="27525596.999999989"/>
    <n v="0"/>
    <m/>
    <n v="0"/>
    <m/>
    <n v="0"/>
    <m/>
    <n v="0"/>
    <m/>
    <n v="133"/>
    <n v="30870640.5"/>
    <n v="0"/>
    <n v="143"/>
    <m/>
    <n v="0"/>
    <m/>
    <n v="0"/>
    <m/>
    <n v="235"/>
    <n v="33475870.500000011"/>
    <n v="309"/>
    <n v="143"/>
    <n v="0"/>
    <n v="133"/>
    <n v="309"/>
    <x v="0"/>
    <s v=""/>
    <n v="143"/>
    <s v="2018 (triag)"/>
    <n v="309"/>
    <n v="2022"/>
    <x v="1"/>
    <n v="309"/>
    <n v="309"/>
    <s v="Increasing"/>
    <n v="2.6327637949120408E-2"/>
    <n v="6.0316928868946684E-2"/>
    <n v="125.36211138938589"/>
    <n v="171.3649369813873"/>
    <x v="0"/>
    <n v="4.6322330111680063E-2"/>
    <n v="9.2305291956485458E-2"/>
  </r>
  <r>
    <x v="16"/>
    <s v="GHA"/>
    <n v="26858778"/>
    <x v="11"/>
    <n v="0"/>
    <n v="27525596.999999989"/>
    <n v="0"/>
    <m/>
    <n v="0"/>
    <m/>
    <n v="0"/>
    <m/>
    <n v="0"/>
    <m/>
    <n v="0"/>
    <n v="30870640.5"/>
    <n v="0"/>
    <n v="23627"/>
    <m/>
    <n v="0"/>
    <m/>
    <n v="0"/>
    <m/>
    <n v="0"/>
    <n v="33475870.500000011"/>
    <n v="0"/>
    <n v="23627"/>
    <n v="0"/>
    <n v="0"/>
    <n v="0"/>
    <x v="0"/>
    <s v=""/>
    <n v="23627"/>
    <s v="2018 (triag)"/>
    <n v="23627"/>
    <s v="2018 (triag)"/>
    <x v="1"/>
    <n v="23627"/>
    <n v="23627"/>
    <s v="No change"/>
    <n v="2.6327637949120408E-2"/>
    <n v="6.0316928868946684E-2"/>
    <n v="20712.801439140003"/>
    <n v="28313.562000414247"/>
    <x v="0"/>
    <n v="7.6535503045361173"/>
    <n v="7.0579195244526929"/>
  </r>
  <r>
    <x v="16"/>
    <s v="GHA"/>
    <n v="26858779"/>
    <x v="12"/>
    <n v="0"/>
    <n v="27525596.999999989"/>
    <n v="0"/>
    <m/>
    <n v="0"/>
    <m/>
    <n v="0"/>
    <m/>
    <n v="0"/>
    <m/>
    <n v="0"/>
    <n v="30870640.5"/>
    <n v="0"/>
    <n v="1877"/>
    <m/>
    <n v="0"/>
    <m/>
    <n v="0"/>
    <m/>
    <n v="0"/>
    <n v="33475870.500000011"/>
    <n v="0"/>
    <n v="1877"/>
    <n v="0"/>
    <n v="0"/>
    <n v="0"/>
    <x v="0"/>
    <s v=""/>
    <n v="1877"/>
    <s v="2018 (triag)"/>
    <n v="1877"/>
    <s v="2018 (triag)"/>
    <x v="1"/>
    <n v="1877"/>
    <n v="1877"/>
    <s v="No change"/>
    <n v="2.6327637949120408E-2"/>
    <n v="6.0316928868946684E-2"/>
    <n v="1645.4872942508903"/>
    <n v="2249.3145924060418"/>
    <x v="0"/>
    <n v="0.60802107426310126"/>
    <n v="0.56070237217580332"/>
  </r>
  <r>
    <x v="16"/>
    <s v="GHA"/>
    <n v="26858780"/>
    <x v="13"/>
    <n v="0"/>
    <n v="27525596.999999989"/>
    <n v="3987"/>
    <m/>
    <n v="0"/>
    <m/>
    <n v="0"/>
    <m/>
    <n v="0"/>
    <m/>
    <n v="0"/>
    <n v="30870640.5"/>
    <n v="0"/>
    <n v="1563"/>
    <m/>
    <n v="0"/>
    <m/>
    <n v="0"/>
    <m/>
    <n v="6276"/>
    <n v="33475870.500000011"/>
    <n v="3748"/>
    <n v="1563"/>
    <n v="3987"/>
    <n v="0"/>
    <n v="6276"/>
    <x v="42"/>
    <n v="2013"/>
    <n v="1563"/>
    <s v="2018 (triag)"/>
    <n v="3748"/>
    <n v="2022"/>
    <x v="1"/>
    <n v="3748"/>
    <n v="3748"/>
    <s v="Increasing"/>
    <n v="2.6327637949120408E-2"/>
    <n v="6.0316928868946684E-2"/>
    <n v="1370.2166440672038"/>
    <n v="1873.0307447685898"/>
    <x v="43"/>
    <n v="0.50630630744444705"/>
    <n v="1.1196124085854613"/>
  </r>
  <r>
    <x v="16"/>
    <s v="GHA"/>
    <n v="26858781"/>
    <x v="14"/>
    <n v="0"/>
    <n v="27525596.999999989"/>
    <n v="0"/>
    <m/>
    <n v="0"/>
    <m/>
    <n v="0"/>
    <m/>
    <n v="0"/>
    <m/>
    <n v="0"/>
    <n v="30870640.5"/>
    <n v="0"/>
    <n v="2116"/>
    <m/>
    <n v="0"/>
    <m/>
    <n v="0"/>
    <m/>
    <n v="0"/>
    <n v="33475870.500000011"/>
    <n v="2656"/>
    <n v="2116"/>
    <n v="0"/>
    <n v="0"/>
    <n v="2656"/>
    <x v="0"/>
    <s v=""/>
    <n v="2116"/>
    <s v="2018 (triag)"/>
    <n v="2656"/>
    <n v="2022"/>
    <x v="1"/>
    <n v="2656"/>
    <n v="2656"/>
    <s v="Increasing"/>
    <n v="2.6327637949120408E-2"/>
    <n v="6.0316928868946684E-2"/>
    <n v="1855.0085853142696"/>
    <n v="2535.7217248434649"/>
    <x v="0"/>
    <n v="0.68544091270150354"/>
    <n v="0.79340729914700769"/>
  </r>
  <r>
    <x v="16"/>
    <s v="GHA"/>
    <n v="26858782"/>
    <x v="15"/>
    <n v="0"/>
    <n v="27525596.999999989"/>
    <n v="0"/>
    <m/>
    <n v="0"/>
    <m/>
    <n v="0"/>
    <m/>
    <n v="0"/>
    <m/>
    <n v="324"/>
    <n v="30870640.5"/>
    <n v="0"/>
    <n v="304"/>
    <m/>
    <n v="0"/>
    <m/>
    <n v="0"/>
    <m/>
    <n v="308"/>
    <n v="33475870.500000011"/>
    <n v="381"/>
    <n v="304"/>
    <n v="0"/>
    <n v="324"/>
    <n v="381"/>
    <x v="0"/>
    <s v=""/>
    <n v="304"/>
    <s v="2018 (triag)"/>
    <n v="381"/>
    <n v="2022"/>
    <x v="1"/>
    <n v="381"/>
    <n v="381"/>
    <s v="Increasing"/>
    <n v="2.6327637949120408E-2"/>
    <n v="6.0316928868946684E-2"/>
    <n v="266.50406896764554"/>
    <n v="364.30028561078137"/>
    <x v="0"/>
    <n v="9.8475443034620552E-2"/>
    <n v="0.11381332115022964"/>
  </r>
  <r>
    <x v="16"/>
    <s v="GHA"/>
    <n v="26858783"/>
    <x v="16"/>
    <n v="0"/>
    <n v="27525596.999999989"/>
    <n v="6118"/>
    <m/>
    <n v="0"/>
    <m/>
    <n v="0"/>
    <m/>
    <n v="0"/>
    <m/>
    <n v="0"/>
    <n v="30870640.5"/>
    <n v="0"/>
    <n v="0"/>
    <m/>
    <n v="0"/>
    <m/>
    <n v="0"/>
    <m/>
    <n v="0"/>
    <n v="33475870.500000011"/>
    <n v="0"/>
    <n v="0"/>
    <n v="6118"/>
    <n v="0"/>
    <n v="0"/>
    <x v="43"/>
    <n v="2013"/>
    <m/>
    <s v=""/>
    <n v="0"/>
    <s v=""/>
    <x v="1"/>
    <m/>
    <n v="0"/>
    <s v="No change"/>
    <n v="2.6327637949120408E-2"/>
    <n v="6.0316928868946684E-2"/>
    <n v="0"/>
    <n v="0"/>
    <x v="44"/>
    <n v="0"/>
    <n v="0"/>
  </r>
  <r>
    <x v="16"/>
    <s v="GHA"/>
    <n v="26858784"/>
    <x v="17"/>
    <n v="0"/>
    <n v="27525596.999999989"/>
    <n v="0"/>
    <m/>
    <n v="0"/>
    <m/>
    <n v="0"/>
    <m/>
    <n v="0"/>
    <m/>
    <n v="0"/>
    <n v="30870640.5"/>
    <n v="0"/>
    <n v="0"/>
    <m/>
    <n v="0"/>
    <m/>
    <n v="0"/>
    <m/>
    <n v="9"/>
    <n v="33475870.500000011"/>
    <n v="30"/>
    <n v="0"/>
    <n v="0"/>
    <n v="0"/>
    <n v="30"/>
    <x v="0"/>
    <s v=""/>
    <m/>
    <s v=""/>
    <n v="30"/>
    <n v="2022"/>
    <x v="1"/>
    <n v="30"/>
    <n v="30"/>
    <s v="Increasing"/>
    <n v="2.6327637949120408E-2"/>
    <n v="6.0316928868946684E-2"/>
    <n v="0"/>
    <n v="0"/>
    <x v="0"/>
    <n v="0"/>
    <n v="8.9616788307267433E-3"/>
  </r>
  <r>
    <x v="16"/>
    <s v="GHA"/>
    <n v="26858785"/>
    <x v="18"/>
    <n v="0"/>
    <n v="27525596.999999989"/>
    <n v="8638"/>
    <m/>
    <n v="0"/>
    <m/>
    <n v="0"/>
    <m/>
    <n v="0"/>
    <m/>
    <n v="0"/>
    <n v="30870640.5"/>
    <n v="0"/>
    <n v="3468"/>
    <m/>
    <n v="0"/>
    <m/>
    <n v="0"/>
    <m/>
    <n v="7"/>
    <n v="33475870.500000011"/>
    <n v="0"/>
    <n v="3468"/>
    <n v="8638"/>
    <n v="0"/>
    <n v="7"/>
    <x v="44"/>
    <n v="2013"/>
    <n v="3468"/>
    <s v="2018 (triag)"/>
    <n v="7"/>
    <n v="2021"/>
    <x v="0"/>
    <n v="8.4457412242292307"/>
    <n v="3468"/>
    <s v="Decreasing"/>
    <n v="2.6327637949120408E-2"/>
    <n v="6.0316928868946684E-2"/>
    <n v="3040.2503657230086"/>
    <n v="4155.8993108493087"/>
    <x v="45"/>
    <n v="1.1233974883028424"/>
    <n v="2.5229340112990425E-3"/>
  </r>
  <r>
    <x v="17"/>
    <s v="GIN"/>
    <n v="10788697"/>
    <x v="0"/>
    <n v="0"/>
    <n v="11055430.000000004"/>
    <n v="0"/>
    <m/>
    <n v="0"/>
    <m/>
    <n v="6700"/>
    <m/>
    <n v="6700"/>
    <m/>
    <n v="0"/>
    <n v="12554864.499999998"/>
    <n v="16567"/>
    <n v="16567"/>
    <m/>
    <n v="0"/>
    <m/>
    <n v="0"/>
    <m/>
    <n v="0"/>
    <n v="13859340.500000006"/>
    <n v="0"/>
    <n v="16567"/>
    <n v="6700"/>
    <n v="16567"/>
    <n v="0"/>
    <x v="45"/>
    <n v="2015"/>
    <n v="16567"/>
    <n v="2018"/>
    <n v="16567"/>
    <n v="2018"/>
    <x v="1"/>
    <n v="16567"/>
    <n v="16567"/>
    <s v="No change"/>
    <n v="4.588291307733483E-2"/>
    <n v="5.4673730437993617E-2"/>
    <n v="13170.746546995812"/>
    <n v="19519.890205880471"/>
    <x v="46"/>
    <n v="13.195682040216365"/>
    <n v="11.953671244313533"/>
  </r>
  <r>
    <x v="17"/>
    <s v="GIN"/>
    <n v="10788698"/>
    <x v="1"/>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7"/>
    <s v="GIN"/>
    <n v="10788699"/>
    <x v="2"/>
    <n v="0"/>
    <n v="11055430.000000004"/>
    <n v="0"/>
    <m/>
    <n v="0"/>
    <m/>
    <n v="0"/>
    <m/>
    <n v="0"/>
    <m/>
    <n v="0"/>
    <n v="12554864.499999998"/>
    <n v="0"/>
    <n v="0"/>
    <m/>
    <n v="363"/>
    <m/>
    <n v="0"/>
    <m/>
    <n v="0"/>
    <n v="13859340.500000006"/>
    <n v="0"/>
    <n v="0"/>
    <n v="0"/>
    <n v="363"/>
    <n v="0"/>
    <x v="0"/>
    <s v=""/>
    <n v="363"/>
    <n v="2019"/>
    <n v="363"/>
    <n v="2019"/>
    <x v="1"/>
    <n v="363"/>
    <n v="363"/>
    <s v="No change"/>
    <n v="4.588291307733483E-2"/>
    <n v="5.4673730437993617E-2"/>
    <n v="0"/>
    <n v="0"/>
    <x v="0"/>
    <n v="0.28913095796454041"/>
    <n v="0.26191722470488393"/>
  </r>
  <r>
    <x v="17"/>
    <s v="GIN"/>
    <n v="10788700"/>
    <x v="3"/>
    <n v="0"/>
    <n v="11055430.000000004"/>
    <n v="0"/>
    <m/>
    <n v="0"/>
    <m/>
    <n v="0"/>
    <m/>
    <n v="0"/>
    <m/>
    <n v="0"/>
    <n v="12554864.499999998"/>
    <n v="0"/>
    <n v="1"/>
    <m/>
    <n v="0"/>
    <m/>
    <n v="0"/>
    <m/>
    <n v="0"/>
    <n v="13859340.500000006"/>
    <n v="0"/>
    <n v="1"/>
    <n v="0"/>
    <n v="0"/>
    <n v="0"/>
    <x v="0"/>
    <s v=""/>
    <n v="1"/>
    <s v="2018 (triag)"/>
    <n v="1"/>
    <s v="2018 (triag)"/>
    <x v="1"/>
    <n v="1"/>
    <n v="1"/>
    <s v="No change"/>
    <n v="4.588291307733483E-2"/>
    <n v="5.4673730437993617E-2"/>
    <n v="0.7949988861589794"/>
    <n v="1.1782392832667634"/>
    <x v="0"/>
    <n v="7.9650401643124077E-4"/>
    <n v="7.2153505428342686E-4"/>
  </r>
  <r>
    <x v="17"/>
    <s v="GIN"/>
    <n v="10788701"/>
    <x v="4"/>
    <n v="0"/>
    <n v="11055430.000000004"/>
    <n v="0"/>
    <m/>
    <n v="0"/>
    <m/>
    <n v="0"/>
    <m/>
    <n v="0"/>
    <m/>
    <n v="0"/>
    <n v="12554864.499999998"/>
    <n v="0"/>
    <n v="189"/>
    <m/>
    <n v="0"/>
    <m/>
    <n v="0"/>
    <m/>
    <n v="0"/>
    <n v="13859340.500000006"/>
    <n v="0"/>
    <n v="189"/>
    <n v="0"/>
    <n v="0"/>
    <n v="0"/>
    <x v="0"/>
    <s v=""/>
    <n v="189"/>
    <s v="2018 (triag)"/>
    <n v="189"/>
    <s v="2018 (triag)"/>
    <x v="1"/>
    <n v="189"/>
    <n v="189"/>
    <s v="No change"/>
    <n v="4.588291307733483E-2"/>
    <n v="5.4673730437993617E-2"/>
    <n v="150.25478948404711"/>
    <n v="222.68722453741827"/>
    <x v="0"/>
    <n v="0.1505392591055045"/>
    <n v="0.13637012525956768"/>
  </r>
  <r>
    <x v="17"/>
    <s v="GIN"/>
    <n v="10788702"/>
    <x v="5"/>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7"/>
    <s v="GIN"/>
    <n v="10788703"/>
    <x v="6"/>
    <n v="0"/>
    <n v="11055430.000000004"/>
    <n v="0"/>
    <m/>
    <n v="0"/>
    <m/>
    <n v="0"/>
    <m/>
    <n v="0"/>
    <m/>
    <n v="0"/>
    <n v="12554864.499999998"/>
    <n v="181"/>
    <n v="181"/>
    <m/>
    <n v="0"/>
    <m/>
    <n v="0"/>
    <m/>
    <n v="0"/>
    <n v="13859340.500000006"/>
    <n v="0"/>
    <n v="0"/>
    <n v="0"/>
    <n v="181"/>
    <n v="0"/>
    <x v="0"/>
    <s v=""/>
    <n v="181"/>
    <n v="2018"/>
    <n v="181"/>
    <n v="2018"/>
    <x v="1"/>
    <n v="181"/>
    <n v="181"/>
    <s v="No change"/>
    <n v="4.588291307733483E-2"/>
    <n v="5.4673730437993617E-2"/>
    <n v="0"/>
    <n v="0"/>
    <x v="0"/>
    <n v="0.14416722697405457"/>
    <n v="0.13059784482530026"/>
  </r>
  <r>
    <x v="17"/>
    <s v="GIN"/>
    <n v="10788704"/>
    <x v="7"/>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7"/>
    <s v="GIN"/>
    <n v="10788705"/>
    <x v="8"/>
    <n v="0"/>
    <n v="11055430.000000004"/>
    <n v="0"/>
    <m/>
    <n v="0"/>
    <m/>
    <n v="0"/>
    <m/>
    <n v="8"/>
    <m/>
    <n v="0"/>
    <n v="12554864.499999998"/>
    <n v="0"/>
    <n v="0"/>
    <m/>
    <n v="0"/>
    <m/>
    <n v="0"/>
    <m/>
    <n v="0"/>
    <n v="13859340.500000006"/>
    <n v="0"/>
    <n v="0"/>
    <n v="0"/>
    <n v="8"/>
    <n v="0"/>
    <x v="0"/>
    <s v=""/>
    <m/>
    <s v=""/>
    <n v="0"/>
    <s v=""/>
    <x v="1"/>
    <m/>
    <n v="0"/>
    <s v="No change"/>
    <n v="4.588291307733483E-2"/>
    <n v="5.4673730437993617E-2"/>
    <n v="0"/>
    <n v="0"/>
    <x v="0"/>
    <n v="0"/>
    <n v="0"/>
  </r>
  <r>
    <x v="17"/>
    <s v="GIN"/>
    <n v="10788706"/>
    <x v="9"/>
    <n v="0"/>
    <n v="11055430.000000004"/>
    <n v="0"/>
    <m/>
    <n v="0"/>
    <m/>
    <n v="0"/>
    <m/>
    <n v="0"/>
    <m/>
    <n v="0"/>
    <n v="12554864.499999998"/>
    <n v="0"/>
    <n v="66"/>
    <m/>
    <n v="0"/>
    <m/>
    <n v="0"/>
    <m/>
    <n v="0"/>
    <n v="13859340.500000006"/>
    <n v="0"/>
    <n v="66"/>
    <n v="0"/>
    <n v="0"/>
    <n v="0"/>
    <x v="0"/>
    <s v=""/>
    <n v="66"/>
    <s v="2018 (triag)"/>
    <n v="66"/>
    <s v="2018 (triag)"/>
    <x v="1"/>
    <n v="66"/>
    <n v="66"/>
    <s v="No change"/>
    <n v="4.588291307733483E-2"/>
    <n v="5.4673730437993617E-2"/>
    <n v="52.469926486492646"/>
    <n v="77.763792695606384"/>
    <x v="0"/>
    <n v="5.2569265084461893E-2"/>
    <n v="4.7621313582706173E-2"/>
  </r>
  <r>
    <x v="17"/>
    <s v="GIN"/>
    <n v="10788707"/>
    <x v="10"/>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7"/>
    <s v="GIN"/>
    <n v="10788708"/>
    <x v="11"/>
    <n v="0"/>
    <n v="11055430.000000004"/>
    <n v="0"/>
    <m/>
    <n v="0"/>
    <m/>
    <n v="0"/>
    <m/>
    <n v="0"/>
    <m/>
    <n v="0"/>
    <n v="12554864.499999998"/>
    <n v="0"/>
    <n v="481"/>
    <m/>
    <n v="0"/>
    <m/>
    <n v="0"/>
    <m/>
    <n v="0"/>
    <n v="13859340.500000006"/>
    <n v="0"/>
    <n v="481"/>
    <n v="0"/>
    <n v="0"/>
    <n v="0"/>
    <x v="0"/>
    <s v=""/>
    <n v="481"/>
    <s v="2018 (triag)"/>
    <n v="481"/>
    <s v="2018 (triag)"/>
    <x v="1"/>
    <n v="481"/>
    <n v="481"/>
    <s v="No change"/>
    <n v="4.588291307733483E-2"/>
    <n v="5.4673730437993617E-2"/>
    <n v="382.3944642424691"/>
    <n v="566.73309525131322"/>
    <x v="0"/>
    <n v="0.38311843190342681"/>
    <n v="0.34705836111032828"/>
  </r>
  <r>
    <x v="17"/>
    <s v="GIN"/>
    <n v="10788709"/>
    <x v="12"/>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7"/>
    <s v="GIN"/>
    <n v="10788710"/>
    <x v="13"/>
    <n v="0"/>
    <n v="11055430.000000004"/>
    <n v="0"/>
    <m/>
    <n v="0"/>
    <m/>
    <n v="0"/>
    <m/>
    <n v="209"/>
    <m/>
    <n v="0"/>
    <n v="12554864.499999998"/>
    <n v="0"/>
    <n v="181"/>
    <m/>
    <n v="0"/>
    <m/>
    <n v="0"/>
    <m/>
    <n v="0"/>
    <n v="13859340.500000006"/>
    <n v="0"/>
    <n v="181"/>
    <n v="0"/>
    <n v="209"/>
    <n v="0"/>
    <x v="0"/>
    <s v=""/>
    <n v="181"/>
    <s v="2018 (triag)"/>
    <n v="181"/>
    <s v="2018 (triag)"/>
    <x v="1"/>
    <n v="181"/>
    <n v="181"/>
    <s v="No change"/>
    <n v="4.588291307733483E-2"/>
    <n v="5.4673730437993617E-2"/>
    <n v="143.89479839477528"/>
    <n v="213.26131027128417"/>
    <x v="0"/>
    <n v="0.14416722697405457"/>
    <n v="0.13059784482530026"/>
  </r>
  <r>
    <x v="17"/>
    <s v="GIN"/>
    <n v="10788711"/>
    <x v="14"/>
    <n v="0"/>
    <n v="11055430.000000004"/>
    <n v="0"/>
    <m/>
    <n v="0"/>
    <m/>
    <n v="0"/>
    <m/>
    <n v="0"/>
    <m/>
    <n v="0"/>
    <n v="12554864.499999998"/>
    <n v="0"/>
    <n v="62"/>
    <m/>
    <n v="0"/>
    <m/>
    <n v="0"/>
    <m/>
    <n v="0"/>
    <n v="13859340.500000006"/>
    <n v="0"/>
    <n v="62"/>
    <n v="0"/>
    <n v="0"/>
    <n v="0"/>
    <x v="0"/>
    <s v=""/>
    <n v="62"/>
    <s v="2018 (triag)"/>
    <n v="62"/>
    <s v="2018 (triag)"/>
    <x v="1"/>
    <n v="62"/>
    <n v="62"/>
    <s v="No change"/>
    <n v="4.588291307733483E-2"/>
    <n v="5.4673730437993617E-2"/>
    <n v="49.289930941856724"/>
    <n v="73.050835562539334"/>
    <x v="0"/>
    <n v="4.9383249018736926E-2"/>
    <n v="4.4735173365572464E-2"/>
  </r>
  <r>
    <x v="17"/>
    <s v="GIN"/>
    <n v="10788712"/>
    <x v="15"/>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7"/>
    <s v="GIN"/>
    <n v="10788713"/>
    <x v="16"/>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7"/>
    <s v="GIN"/>
    <n v="10788714"/>
    <x v="17"/>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7"/>
    <s v="GIN"/>
    <n v="10788715"/>
    <x v="18"/>
    <n v="0"/>
    <n v="11055430.000000004"/>
    <n v="0"/>
    <m/>
    <n v="0"/>
    <m/>
    <n v="0"/>
    <m/>
    <n v="0"/>
    <m/>
    <n v="0"/>
    <n v="12554864.499999998"/>
    <n v="0"/>
    <n v="0"/>
    <m/>
    <n v="0"/>
    <m/>
    <n v="0"/>
    <m/>
    <n v="0"/>
    <n v="13859340.500000006"/>
    <n v="0"/>
    <n v="0"/>
    <n v="0"/>
    <n v="0"/>
    <n v="0"/>
    <x v="0"/>
    <s v=""/>
    <m/>
    <s v=""/>
    <n v="0"/>
    <s v=""/>
    <x v="1"/>
    <m/>
    <n v="0"/>
    <s v="No change"/>
    <n v="4.588291307733483E-2"/>
    <n v="5.4673730437993617E-2"/>
    <n v="0"/>
    <n v="0"/>
    <x v="0"/>
    <n v="0"/>
    <n v="0"/>
  </r>
  <r>
    <x v="18"/>
    <s v="GMB"/>
    <n v="2061019"/>
    <x v="0"/>
    <n v="0"/>
    <n v="2124869.5"/>
    <n v="0"/>
    <m/>
    <n v="0"/>
    <m/>
    <n v="0"/>
    <m/>
    <n v="0"/>
    <m/>
    <n v="0"/>
    <n v="2444915.5000000014"/>
    <n v="1553"/>
    <n v="1553"/>
    <m/>
    <n v="0"/>
    <m/>
    <n v="0"/>
    <m/>
    <n v="0"/>
    <n v="2705991.9999999995"/>
    <n v="0"/>
    <n v="1553"/>
    <n v="0"/>
    <n v="1553"/>
    <n v="0"/>
    <x v="0"/>
    <s v=""/>
    <n v="1553"/>
    <n v="2018"/>
    <n v="1553"/>
    <n v="2018"/>
    <x v="1"/>
    <n v="1553"/>
    <n v="1553"/>
    <s v="No change"/>
    <n v="-0.22530855667613492"/>
    <n v="0.45056501122921166"/>
    <n v="4790.9624849220127"/>
    <n v="6000.7446979675451"/>
    <x v="0"/>
    <n v="6.3519577670475691"/>
    <n v="5.7391152671552623"/>
  </r>
  <r>
    <x v="18"/>
    <s v="GMB"/>
    <n v="2061020"/>
    <x v="1"/>
    <n v="0"/>
    <n v="2124869.5"/>
    <n v="0"/>
    <m/>
    <n v="0"/>
    <m/>
    <n v="0"/>
    <m/>
    <n v="3652"/>
    <m/>
    <n v="0"/>
    <n v="2444915.5000000014"/>
    <n v="0"/>
    <n v="0"/>
    <m/>
    <n v="0"/>
    <m/>
    <n v="0"/>
    <m/>
    <n v="1"/>
    <n v="2705991.9999999995"/>
    <n v="59"/>
    <n v="0"/>
    <n v="0"/>
    <n v="3652"/>
    <n v="59"/>
    <x v="0"/>
    <s v=""/>
    <m/>
    <s v=""/>
    <n v="59"/>
    <n v="2022"/>
    <x v="1"/>
    <n v="59"/>
    <n v="59"/>
    <s v="Increasing"/>
    <n v="-0.22530855667613492"/>
    <n v="0.45056501122921166"/>
    <n v="0"/>
    <n v="0"/>
    <x v="0"/>
    <n v="0"/>
    <n v="0.21803464311793977"/>
  </r>
  <r>
    <x v="18"/>
    <s v="GMB"/>
    <n v="2061021"/>
    <x v="2"/>
    <n v="0"/>
    <n v="2124869.5"/>
    <n v="0"/>
    <m/>
    <n v="0"/>
    <m/>
    <n v="0"/>
    <m/>
    <n v="3831"/>
    <m/>
    <n v="0"/>
    <n v="2444915.5000000014"/>
    <n v="0"/>
    <n v="316"/>
    <m/>
    <n v="0"/>
    <m/>
    <n v="0"/>
    <m/>
    <n v="2742"/>
    <n v="2705991.9999999995"/>
    <n v="2305"/>
    <n v="316"/>
    <n v="0"/>
    <n v="3831"/>
    <n v="2742"/>
    <x v="0"/>
    <s v=""/>
    <n v="316"/>
    <s v="2018 (triag)"/>
    <n v="2305"/>
    <n v="2022"/>
    <x v="1"/>
    <n v="2305"/>
    <n v="2305"/>
    <s v="Increasing"/>
    <n v="-0.22530855667613492"/>
    <n v="0.45056501122921166"/>
    <n v="974.85134915348101"/>
    <n v="1221.0143751176718"/>
    <x v="0"/>
    <n v="1.2924782063020166"/>
    <n v="8.5181330913025626"/>
  </r>
  <r>
    <x v="18"/>
    <s v="GMB"/>
    <n v="2061022"/>
    <x v="3"/>
    <n v="0"/>
    <n v="2124869.5"/>
    <n v="0"/>
    <m/>
    <n v="0"/>
    <m/>
    <n v="0"/>
    <m/>
    <n v="0"/>
    <m/>
    <n v="0"/>
    <n v="2444915.5000000014"/>
    <n v="0"/>
    <n v="0"/>
    <m/>
    <n v="0"/>
    <m/>
    <n v="0"/>
    <m/>
    <n v="0"/>
    <n v="2705991.9999999995"/>
    <n v="0"/>
    <n v="0"/>
    <n v="0"/>
    <n v="0"/>
    <n v="0"/>
    <x v="0"/>
    <s v=""/>
    <m/>
    <s v=""/>
    <n v="0"/>
    <s v=""/>
    <x v="1"/>
    <m/>
    <n v="0"/>
    <s v="No change"/>
    <n v="-0.22530855667613492"/>
    <n v="0.45056501122921166"/>
    <n v="0"/>
    <n v="0"/>
    <x v="0"/>
    <n v="0"/>
    <n v="0"/>
  </r>
  <r>
    <x v="18"/>
    <s v="GMB"/>
    <n v="2061023"/>
    <x v="4"/>
    <n v="0"/>
    <n v="2124869.5"/>
    <n v="0"/>
    <m/>
    <n v="0"/>
    <m/>
    <n v="0"/>
    <m/>
    <n v="0"/>
    <m/>
    <n v="0"/>
    <n v="2444915.5000000014"/>
    <n v="0"/>
    <n v="0"/>
    <m/>
    <n v="246"/>
    <m/>
    <n v="479"/>
    <m/>
    <n v="522"/>
    <n v="2705991.9999999995"/>
    <n v="0"/>
    <n v="0"/>
    <n v="0"/>
    <n v="246"/>
    <n v="522"/>
    <x v="0"/>
    <s v=""/>
    <n v="246"/>
    <n v="2019"/>
    <n v="522"/>
    <n v="2021"/>
    <x v="1"/>
    <n v="522"/>
    <n v="522"/>
    <s v="Increasing"/>
    <n v="-0.22530855667613492"/>
    <n v="0.45056501122921166"/>
    <n v="0"/>
    <n v="0"/>
    <x v="0"/>
    <n v="1.0061697428806839"/>
    <n v="1.9290522662299079"/>
  </r>
  <r>
    <x v="18"/>
    <s v="GMB"/>
    <n v="2061024"/>
    <x v="5"/>
    <n v="0"/>
    <n v="2124869.5"/>
    <n v="0"/>
    <m/>
    <n v="0"/>
    <m/>
    <n v="3"/>
    <m/>
    <n v="0"/>
    <m/>
    <n v="0"/>
    <n v="2444915.5000000014"/>
    <n v="7"/>
    <n v="7"/>
    <m/>
    <n v="95"/>
    <m/>
    <n v="4"/>
    <m/>
    <n v="6"/>
    <n v="2705991.9999999995"/>
    <n v="0"/>
    <n v="0"/>
    <n v="3"/>
    <n v="95"/>
    <n v="6"/>
    <x v="46"/>
    <n v="2015"/>
    <n v="7"/>
    <n v="2018"/>
    <n v="6"/>
    <n v="2021"/>
    <x v="0"/>
    <n v="6.1085626911314987"/>
    <n v="7"/>
    <s v="Decreasing"/>
    <n v="-0.22530855667613492"/>
    <n v="0.45056501122921166"/>
    <n v="0"/>
    <n v="0"/>
    <x v="47"/>
    <n v="2.8630846342133282E-2"/>
    <n v="2.2574208242786747E-2"/>
  </r>
  <r>
    <x v="18"/>
    <s v="GMB"/>
    <n v="2061025"/>
    <x v="6"/>
    <n v="0"/>
    <n v="2124869.5"/>
    <n v="0"/>
    <m/>
    <n v="0"/>
    <m/>
    <n v="11"/>
    <m/>
    <n v="0"/>
    <m/>
    <n v="0"/>
    <n v="2444915.5000000014"/>
    <n v="138"/>
    <n v="138"/>
    <m/>
    <n v="22"/>
    <m/>
    <n v="13"/>
    <m/>
    <n v="18"/>
    <n v="2705991.9999999995"/>
    <n v="0"/>
    <n v="0"/>
    <n v="11"/>
    <n v="138"/>
    <n v="18"/>
    <x v="47"/>
    <n v="2015"/>
    <n v="138"/>
    <n v="2018"/>
    <n v="18"/>
    <n v="2021"/>
    <x v="0"/>
    <n v="18.325688073394495"/>
    <n v="138"/>
    <s v="Decreasing"/>
    <n v="-0.22530855667613492"/>
    <n v="0.45056501122921166"/>
    <n v="0"/>
    <n v="0"/>
    <x v="48"/>
    <n v="0.56443668503062749"/>
    <n v="6.7722624728360242E-2"/>
  </r>
  <r>
    <x v="18"/>
    <s v="GMB"/>
    <n v="2061026"/>
    <x v="7"/>
    <n v="0"/>
    <n v="2124869.5"/>
    <n v="0"/>
    <m/>
    <n v="0"/>
    <m/>
    <n v="0"/>
    <m/>
    <n v="0"/>
    <m/>
    <n v="0"/>
    <n v="2444915.5000000014"/>
    <n v="0"/>
    <n v="0"/>
    <m/>
    <n v="0"/>
    <m/>
    <n v="0"/>
    <m/>
    <n v="0"/>
    <n v="2705991.9999999995"/>
    <n v="0"/>
    <n v="0"/>
    <n v="0"/>
    <n v="0"/>
    <n v="0"/>
    <x v="0"/>
    <s v=""/>
    <m/>
    <s v=""/>
    <n v="0"/>
    <s v=""/>
    <x v="1"/>
    <m/>
    <n v="0"/>
    <s v="No change"/>
    <n v="-0.22530855667613492"/>
    <n v="0.45056501122921166"/>
    <n v="0"/>
    <n v="0"/>
    <x v="0"/>
    <n v="0"/>
    <n v="0"/>
  </r>
  <r>
    <x v="18"/>
    <s v="GMB"/>
    <n v="2061027"/>
    <x v="8"/>
    <n v="0"/>
    <n v="2124869.5"/>
    <n v="0"/>
    <m/>
    <n v="0"/>
    <m/>
    <n v="32"/>
    <m/>
    <n v="0"/>
    <m/>
    <n v="0"/>
    <n v="2444915.5000000014"/>
    <n v="0"/>
    <n v="0"/>
    <m/>
    <n v="149"/>
    <m/>
    <n v="173"/>
    <m/>
    <n v="172"/>
    <n v="2705991.9999999995"/>
    <n v="0"/>
    <n v="0"/>
    <n v="32"/>
    <n v="149"/>
    <n v="173"/>
    <x v="48"/>
    <n v="2015"/>
    <n v="149"/>
    <n v="2019"/>
    <n v="172"/>
    <n v="2021"/>
    <x v="1"/>
    <n v="172"/>
    <n v="172"/>
    <s v="Increasing"/>
    <n v="-0.22530855667613492"/>
    <n v="0.45056501122921166"/>
    <n v="0"/>
    <n v="0"/>
    <x v="49"/>
    <n v="0.60942801499683696"/>
    <n v="0.63562641722518043"/>
  </r>
  <r>
    <x v="18"/>
    <s v="GMB"/>
    <n v="2061028"/>
    <x v="9"/>
    <n v="0"/>
    <n v="2124869.5"/>
    <n v="0"/>
    <m/>
    <n v="0"/>
    <m/>
    <n v="0"/>
    <m/>
    <n v="0"/>
    <m/>
    <n v="0"/>
    <n v="2444915.5000000014"/>
    <n v="0"/>
    <n v="0"/>
    <m/>
    <n v="0"/>
    <m/>
    <n v="0"/>
    <m/>
    <n v="0"/>
    <n v="2705991.9999999995"/>
    <n v="0"/>
    <n v="0"/>
    <n v="0"/>
    <n v="0"/>
    <n v="0"/>
    <x v="0"/>
    <s v=""/>
    <m/>
    <s v=""/>
    <n v="0"/>
    <s v=""/>
    <x v="1"/>
    <m/>
    <n v="0"/>
    <s v="No change"/>
    <n v="-0.22530855667613492"/>
    <n v="0.45056501122921166"/>
    <n v="0"/>
    <n v="0"/>
    <x v="0"/>
    <n v="0"/>
    <n v="0"/>
  </r>
  <r>
    <x v="18"/>
    <s v="GMB"/>
    <n v="2061029"/>
    <x v="10"/>
    <n v="0"/>
    <n v="2124869.5"/>
    <n v="0"/>
    <m/>
    <n v="0"/>
    <m/>
    <n v="17"/>
    <m/>
    <n v="0"/>
    <m/>
    <n v="0"/>
    <n v="2444915.5000000014"/>
    <n v="0"/>
    <n v="0"/>
    <m/>
    <n v="16"/>
    <m/>
    <n v="20"/>
    <m/>
    <n v="18"/>
    <n v="2705991.9999999995"/>
    <n v="0"/>
    <n v="0"/>
    <n v="17"/>
    <n v="16"/>
    <n v="20"/>
    <x v="49"/>
    <n v="2015"/>
    <n v="16"/>
    <n v="2019"/>
    <n v="18"/>
    <n v="2021"/>
    <x v="1"/>
    <n v="18"/>
    <n v="18"/>
    <s v="Increasing"/>
    <n v="-0.22530855667613492"/>
    <n v="0.45056501122921166"/>
    <n v="0"/>
    <n v="0"/>
    <x v="50"/>
    <n v="6.5441934496304643E-2"/>
    <n v="6.6519043663100269E-2"/>
  </r>
  <r>
    <x v="18"/>
    <s v="GMB"/>
    <n v="2061030"/>
    <x v="11"/>
    <n v="0"/>
    <n v="2124869.5"/>
    <n v="0"/>
    <m/>
    <n v="0"/>
    <m/>
    <n v="0"/>
    <m/>
    <n v="0"/>
    <m/>
    <n v="0"/>
    <n v="2444915.5000000014"/>
    <n v="0"/>
    <n v="0"/>
    <m/>
    <n v="0"/>
    <m/>
    <n v="0"/>
    <m/>
    <n v="0"/>
    <n v="2705991.9999999995"/>
    <n v="0"/>
    <n v="0"/>
    <n v="0"/>
    <n v="0"/>
    <n v="0"/>
    <x v="0"/>
    <s v=""/>
    <m/>
    <s v=""/>
    <n v="0"/>
    <s v=""/>
    <x v="1"/>
    <m/>
    <n v="0"/>
    <s v="No change"/>
    <n v="-0.22530855667613492"/>
    <n v="0.45056501122921166"/>
    <n v="0"/>
    <n v="0"/>
    <x v="0"/>
    <n v="0"/>
    <n v="0"/>
  </r>
  <r>
    <x v="18"/>
    <s v="GMB"/>
    <n v="2061031"/>
    <x v="12"/>
    <n v="0"/>
    <n v="2124869.5"/>
    <n v="0"/>
    <m/>
    <n v="0"/>
    <m/>
    <n v="0"/>
    <m/>
    <n v="0"/>
    <m/>
    <n v="0"/>
    <n v="2444915.5000000014"/>
    <n v="0"/>
    <n v="0"/>
    <m/>
    <n v="0"/>
    <m/>
    <n v="2253"/>
    <m/>
    <n v="2193"/>
    <n v="2705991.9999999995"/>
    <n v="0"/>
    <n v="0"/>
    <n v="0"/>
    <n v="0"/>
    <n v="2253"/>
    <x v="0"/>
    <s v=""/>
    <m/>
    <s v=""/>
    <n v="2193"/>
    <n v="2021"/>
    <x v="1"/>
    <n v="2193"/>
    <n v="2193"/>
    <s v="Increasing"/>
    <n v="-0.22530855667613492"/>
    <n v="0.45056501122921166"/>
    <n v="0"/>
    <n v="0"/>
    <x v="0"/>
    <n v="0"/>
    <n v="8.1042368196210504"/>
  </r>
  <r>
    <x v="18"/>
    <s v="GMB"/>
    <n v="2061032"/>
    <x v="13"/>
    <n v="0"/>
    <n v="2124869.5"/>
    <n v="0"/>
    <m/>
    <n v="0"/>
    <m/>
    <n v="141"/>
    <m/>
    <n v="0"/>
    <m/>
    <n v="0"/>
    <n v="2444915.5000000014"/>
    <n v="0"/>
    <n v="138"/>
    <m/>
    <n v="0"/>
    <m/>
    <n v="0"/>
    <m/>
    <n v="0"/>
    <n v="2705991.9999999995"/>
    <n v="0"/>
    <n v="138"/>
    <n v="141"/>
    <n v="0"/>
    <n v="0"/>
    <x v="50"/>
    <n v="2015"/>
    <n v="138"/>
    <s v="2018 (triag)"/>
    <n v="138"/>
    <s v="2018 (triag)"/>
    <x v="1"/>
    <n v="138"/>
    <n v="138"/>
    <s v="No change"/>
    <n v="-0.22530855667613492"/>
    <n v="0.45056501122921166"/>
    <n v="425.72622209867211"/>
    <n v="533.22779672860349"/>
    <x v="51"/>
    <n v="0.56443668503062749"/>
    <n v="0.50997933475043544"/>
  </r>
  <r>
    <x v="18"/>
    <s v="GMB"/>
    <n v="2061033"/>
    <x v="14"/>
    <n v="0"/>
    <n v="2124869.5"/>
    <n v="0"/>
    <m/>
    <n v="0"/>
    <m/>
    <n v="0"/>
    <m/>
    <n v="0"/>
    <m/>
    <n v="0"/>
    <n v="2444915.5000000014"/>
    <n v="0"/>
    <n v="39"/>
    <m/>
    <n v="0"/>
    <m/>
    <n v="0"/>
    <m/>
    <n v="0"/>
    <n v="2705991.9999999995"/>
    <n v="0"/>
    <n v="39"/>
    <n v="0"/>
    <n v="0"/>
    <n v="0"/>
    <x v="0"/>
    <s v=""/>
    <n v="39"/>
    <s v="2018 (triag)"/>
    <n v="39"/>
    <s v="2018 (triag)"/>
    <x v="1"/>
    <n v="39"/>
    <n v="39"/>
    <s v="No change"/>
    <n v="-0.22530855667613492"/>
    <n v="0.45056501122921166"/>
    <n v="120.31393233223342"/>
    <n v="150.69481211895317"/>
    <x v="0"/>
    <n v="0.15951471533474257"/>
    <n v="0.14412459460338392"/>
  </r>
  <r>
    <x v="18"/>
    <s v="GMB"/>
    <n v="2061034"/>
    <x v="15"/>
    <n v="0"/>
    <n v="2124869.5"/>
    <n v="0"/>
    <m/>
    <n v="0"/>
    <m/>
    <n v="20"/>
    <m/>
    <n v="0"/>
    <m/>
    <n v="0"/>
    <n v="2444915.5000000014"/>
    <n v="0"/>
    <n v="0"/>
    <m/>
    <n v="23"/>
    <m/>
    <n v="32"/>
    <m/>
    <n v="24"/>
    <n v="2705991.9999999995"/>
    <n v="0"/>
    <n v="0"/>
    <n v="20"/>
    <n v="23"/>
    <n v="32"/>
    <x v="51"/>
    <n v="2015"/>
    <n v="23"/>
    <n v="2019"/>
    <n v="24"/>
    <n v="2021"/>
    <x v="1"/>
    <n v="24"/>
    <n v="24"/>
    <s v="Increasing"/>
    <n v="-0.22530855667613492"/>
    <n v="0.45056501122921166"/>
    <n v="0"/>
    <n v="0"/>
    <x v="52"/>
    <n v="9.4072780838437925E-2"/>
    <n v="8.8692058217467035E-2"/>
  </r>
  <r>
    <x v="18"/>
    <s v="GMB"/>
    <n v="2061035"/>
    <x v="16"/>
    <n v="127"/>
    <n v="2124869.5"/>
    <n v="0"/>
    <m/>
    <n v="0"/>
    <m/>
    <n v="0"/>
    <m/>
    <n v="0"/>
    <m/>
    <n v="0"/>
    <n v="2444915.5000000014"/>
    <n v="0"/>
    <n v="0"/>
    <m/>
    <n v="0"/>
    <m/>
    <n v="0"/>
    <m/>
    <n v="0"/>
    <n v="2705991.9999999995"/>
    <n v="0"/>
    <n v="0"/>
    <n v="127"/>
    <n v="0"/>
    <n v="0"/>
    <x v="52"/>
    <n v="2012"/>
    <m/>
    <s v=""/>
    <n v="0"/>
    <s v=""/>
    <x v="1"/>
    <m/>
    <n v="0"/>
    <s v="No change"/>
    <n v="-0.22530855667613492"/>
    <n v="0.45056501122921166"/>
    <n v="0"/>
    <n v="0"/>
    <x v="53"/>
    <n v="0"/>
    <n v="0"/>
  </r>
  <r>
    <x v="18"/>
    <s v="GMB"/>
    <n v="2061036"/>
    <x v="17"/>
    <n v="0"/>
    <n v="2124869.5"/>
    <n v="0"/>
    <m/>
    <n v="0"/>
    <m/>
    <n v="0"/>
    <m/>
    <n v="0"/>
    <m/>
    <n v="0"/>
    <n v="2444915.5000000014"/>
    <n v="0"/>
    <n v="0"/>
    <m/>
    <n v="0"/>
    <m/>
    <n v="0"/>
    <m/>
    <n v="0"/>
    <n v="2705991.9999999995"/>
    <n v="0"/>
    <n v="0"/>
    <n v="0"/>
    <n v="0"/>
    <n v="0"/>
    <x v="0"/>
    <s v=""/>
    <m/>
    <s v=""/>
    <n v="0"/>
    <s v=""/>
    <x v="1"/>
    <m/>
    <n v="0"/>
    <s v="No change"/>
    <n v="-0.22530855667613492"/>
    <n v="0.45056501122921166"/>
    <n v="0"/>
    <n v="0"/>
    <x v="0"/>
    <n v="0"/>
    <n v="0"/>
  </r>
  <r>
    <x v="18"/>
    <s v="GMB"/>
    <n v="2061037"/>
    <x v="18"/>
    <n v="656"/>
    <n v="2124869.5"/>
    <n v="0"/>
    <m/>
    <n v="0"/>
    <m/>
    <n v="0"/>
    <m/>
    <n v="0"/>
    <m/>
    <n v="0"/>
    <n v="2444915.5000000014"/>
    <n v="0"/>
    <n v="0"/>
    <m/>
    <n v="0"/>
    <m/>
    <n v="0"/>
    <m/>
    <n v="0"/>
    <n v="2705991.9999999995"/>
    <n v="0"/>
    <n v="0"/>
    <n v="656"/>
    <n v="0"/>
    <n v="0"/>
    <x v="53"/>
    <n v="2012"/>
    <m/>
    <s v=""/>
    <n v="0"/>
    <s v=""/>
    <x v="1"/>
    <m/>
    <n v="0"/>
    <s v="No change"/>
    <n v="-0.22530855667613492"/>
    <n v="0.45056501122921166"/>
    <n v="0"/>
    <n v="0"/>
    <x v="54"/>
    <n v="0"/>
    <n v="0"/>
  </r>
  <r>
    <x v="19"/>
    <s v="GNB"/>
    <n v="1652722.5"/>
    <x v="0"/>
    <n v="0"/>
    <n v="1697752.4999999995"/>
    <n v="0"/>
    <m/>
    <n v="0"/>
    <m/>
    <n v="0"/>
    <m/>
    <n v="0"/>
    <m/>
    <n v="0"/>
    <n v="1924954.4999999988"/>
    <n v="3481"/>
    <n v="4057"/>
    <m/>
    <n v="0"/>
    <m/>
    <n v="3711"/>
    <m/>
    <n v="0"/>
    <n v="2105565.4999999991"/>
    <n v="3975"/>
    <n v="4057"/>
    <n v="0"/>
    <n v="3481"/>
    <n v="3975"/>
    <x v="0"/>
    <s v=""/>
    <n v="4057"/>
    <s v="2018 (triag)"/>
    <n v="3975"/>
    <n v="2022"/>
    <x v="0"/>
    <n v="4817.861216730038"/>
    <n v="4817.861216730038"/>
    <s v="Increasing"/>
    <n v="3.0374199904759536E-2"/>
    <n v="4.6424158096915802E-2"/>
    <n v="3485.3650397176534"/>
    <n v="4663.2669209715159"/>
    <x v="0"/>
    <n v="21.07582283113706"/>
    <n v="22.881554702193021"/>
  </r>
  <r>
    <x v="19"/>
    <s v="GNB"/>
    <n v="1652723.5"/>
    <x v="1"/>
    <n v="0"/>
    <n v="1697752.4999999995"/>
    <n v="0"/>
    <m/>
    <n v="0"/>
    <m/>
    <n v="496"/>
    <m/>
    <n v="0"/>
    <m/>
    <n v="0"/>
    <n v="1924954.4999999988"/>
    <n v="0"/>
    <n v="0"/>
    <m/>
    <n v="0"/>
    <m/>
    <n v="0"/>
    <m/>
    <n v="0"/>
    <n v="2105565.4999999991"/>
    <n v="0"/>
    <n v="0"/>
    <n v="496"/>
    <n v="0"/>
    <n v="0"/>
    <x v="54"/>
    <n v="2015"/>
    <m/>
    <s v=""/>
    <n v="0"/>
    <s v=""/>
    <x v="1"/>
    <m/>
    <n v="0"/>
    <s v="No change"/>
    <n v="3.0374199904759536E-2"/>
    <n v="4.6424158096915802E-2"/>
    <n v="0"/>
    <n v="0"/>
    <x v="55"/>
    <n v="0"/>
    <n v="0"/>
  </r>
  <r>
    <x v="19"/>
    <s v="GNB"/>
    <n v="1652724.5"/>
    <x v="2"/>
    <n v="0"/>
    <n v="1697752.4999999995"/>
    <n v="0"/>
    <m/>
    <n v="0"/>
    <m/>
    <n v="0"/>
    <m/>
    <n v="0"/>
    <m/>
    <n v="0"/>
    <n v="1924954.4999999988"/>
    <n v="0"/>
    <n v="3"/>
    <m/>
    <n v="0"/>
    <m/>
    <n v="0"/>
    <m/>
    <n v="0"/>
    <n v="2105565.4999999991"/>
    <n v="0"/>
    <n v="3"/>
    <n v="0"/>
    <n v="0"/>
    <n v="0"/>
    <x v="0"/>
    <s v=""/>
    <n v="3"/>
    <s v="2018 (triag)"/>
    <n v="3"/>
    <s v="2018 (triag)"/>
    <x v="1"/>
    <n v="3"/>
    <n v="3"/>
    <s v="No change"/>
    <n v="3.0374199904759536E-2"/>
    <n v="4.6424158096915802E-2"/>
    <n v="2.5772972933578902"/>
    <n v="3.4483117483151462"/>
    <x v="0"/>
    <n v="1.5584783952036278E-2"/>
    <n v="1.4247953815732644E-2"/>
  </r>
  <r>
    <x v="19"/>
    <s v="GNB"/>
    <n v="1652725.5"/>
    <x v="3"/>
    <n v="0"/>
    <n v="1697752.4999999995"/>
    <n v="0"/>
    <m/>
    <n v="0"/>
    <m/>
    <n v="0"/>
    <m/>
    <n v="0"/>
    <m/>
    <n v="0"/>
    <n v="1924954.4999999988"/>
    <n v="0"/>
    <n v="0"/>
    <m/>
    <n v="0"/>
    <m/>
    <n v="0"/>
    <m/>
    <n v="0"/>
    <n v="2105565.4999999991"/>
    <n v="0"/>
    <n v="0"/>
    <n v="0"/>
    <n v="0"/>
    <n v="0"/>
    <x v="0"/>
    <s v=""/>
    <m/>
    <s v=""/>
    <n v="0"/>
    <s v=""/>
    <x v="1"/>
    <m/>
    <n v="0"/>
    <s v="No change"/>
    <n v="3.0374199904759536E-2"/>
    <n v="4.6424158096915802E-2"/>
    <n v="0"/>
    <n v="0"/>
    <x v="0"/>
    <n v="0"/>
    <n v="0"/>
  </r>
  <r>
    <x v="19"/>
    <s v="GNB"/>
    <n v="1652726.5"/>
    <x v="4"/>
    <n v="0"/>
    <n v="1697752.4999999995"/>
    <n v="0"/>
    <m/>
    <n v="0"/>
    <m/>
    <n v="0"/>
    <m/>
    <n v="0"/>
    <m/>
    <n v="0"/>
    <n v="1924954.4999999988"/>
    <n v="0"/>
    <n v="130"/>
    <m/>
    <n v="0"/>
    <m/>
    <n v="0"/>
    <m/>
    <n v="0"/>
    <n v="2105565.4999999991"/>
    <n v="0"/>
    <n v="130"/>
    <n v="0"/>
    <n v="0"/>
    <n v="0"/>
    <x v="0"/>
    <s v=""/>
    <n v="130"/>
    <s v="2018 (triag)"/>
    <n v="130"/>
    <s v="2018 (triag)"/>
    <x v="1"/>
    <n v="130"/>
    <n v="130"/>
    <s v="No change"/>
    <n v="3.0374199904759536E-2"/>
    <n v="4.6424158096915802E-2"/>
    <n v="111.68288271217524"/>
    <n v="149.42684242698965"/>
    <x v="0"/>
    <n v="0.67534063792157206"/>
    <n v="0.61741133201508125"/>
  </r>
  <r>
    <x v="19"/>
    <s v="GNB"/>
    <n v="1652727.5"/>
    <x v="5"/>
    <n v="0"/>
    <n v="1697752.4999999995"/>
    <n v="0"/>
    <m/>
    <n v="0"/>
    <m/>
    <n v="0"/>
    <m/>
    <n v="4"/>
    <m/>
    <n v="0"/>
    <n v="1924954.4999999988"/>
    <n v="0"/>
    <n v="5"/>
    <m/>
    <n v="0"/>
    <m/>
    <n v="8"/>
    <m/>
    <n v="3"/>
    <n v="2105565.4999999991"/>
    <n v="2"/>
    <n v="5"/>
    <n v="0"/>
    <n v="4"/>
    <n v="8"/>
    <x v="0"/>
    <s v=""/>
    <n v="5"/>
    <s v="2018 (triag)"/>
    <n v="2"/>
    <n v="2022"/>
    <x v="0"/>
    <n v="2.4240811153358681"/>
    <n v="5"/>
    <s v="Decreasing"/>
    <n v="3.0374199904759536E-2"/>
    <n v="4.6424158096915802E-2"/>
    <n v="4.2954954889298174"/>
    <n v="5.7471862471919097"/>
    <x v="0"/>
    <n v="2.5974639920060463E-2"/>
    <n v="1.1512731925631708E-2"/>
  </r>
  <r>
    <x v="19"/>
    <s v="GNB"/>
    <n v="1652728.5"/>
    <x v="6"/>
    <n v="0"/>
    <n v="1697752.4999999995"/>
    <n v="0"/>
    <m/>
    <n v="0"/>
    <m/>
    <n v="0"/>
    <m/>
    <n v="158"/>
    <m/>
    <n v="0"/>
    <n v="1924954.4999999988"/>
    <n v="53"/>
    <n v="53"/>
    <m/>
    <n v="0"/>
    <m/>
    <n v="285"/>
    <m/>
    <n v="200"/>
    <n v="2105565.4999999991"/>
    <n v="1"/>
    <n v="0"/>
    <n v="0"/>
    <n v="158"/>
    <n v="285"/>
    <x v="0"/>
    <s v=""/>
    <n v="53"/>
    <n v="2018"/>
    <n v="1"/>
    <n v="2022"/>
    <x v="0"/>
    <n v="1.2120405576679341"/>
    <n v="53"/>
    <s v="Decreasing"/>
    <n v="3.0374199904759536E-2"/>
    <n v="4.6424158096915802E-2"/>
    <n v="0"/>
    <n v="0"/>
    <x v="0"/>
    <n v="0.27533118315264093"/>
    <n v="5.7563659628158542E-3"/>
  </r>
  <r>
    <x v="19"/>
    <s v="GNB"/>
    <n v="1652729.5"/>
    <x v="7"/>
    <n v="0"/>
    <n v="1697752.4999999995"/>
    <n v="0"/>
    <m/>
    <n v="0"/>
    <m/>
    <n v="0"/>
    <m/>
    <n v="0"/>
    <m/>
    <n v="0"/>
    <n v="1924954.4999999988"/>
    <n v="0"/>
    <n v="0"/>
    <m/>
    <n v="0"/>
    <m/>
    <n v="0"/>
    <m/>
    <n v="0"/>
    <n v="2105565.4999999991"/>
    <n v="0"/>
    <n v="0"/>
    <n v="0"/>
    <n v="0"/>
    <n v="0"/>
    <x v="0"/>
    <s v=""/>
    <m/>
    <s v=""/>
    <n v="0"/>
    <s v=""/>
    <x v="1"/>
    <m/>
    <n v="0"/>
    <s v="No change"/>
    <n v="3.0374199904759536E-2"/>
    <n v="4.6424158096915802E-2"/>
    <n v="0"/>
    <n v="0"/>
    <x v="0"/>
    <n v="0"/>
    <n v="0"/>
  </r>
  <r>
    <x v="19"/>
    <s v="GNB"/>
    <n v="1652730.5"/>
    <x v="8"/>
    <n v="0"/>
    <n v="1697752.4999999995"/>
    <n v="0"/>
    <m/>
    <n v="0"/>
    <m/>
    <n v="0"/>
    <m/>
    <n v="0"/>
    <m/>
    <n v="0"/>
    <n v="1924954.4999999988"/>
    <n v="17"/>
    <n v="17"/>
    <m/>
    <n v="0"/>
    <m/>
    <n v="3"/>
    <m/>
    <n v="2"/>
    <n v="2105565.4999999991"/>
    <n v="51"/>
    <n v="12"/>
    <n v="0"/>
    <n v="17"/>
    <n v="51"/>
    <x v="0"/>
    <s v=""/>
    <n v="17"/>
    <n v="2018"/>
    <n v="51"/>
    <n v="2022"/>
    <x v="1"/>
    <n v="51"/>
    <n v="51"/>
    <s v="Increasing"/>
    <n v="3.0374199904759536E-2"/>
    <n v="4.6424158096915802E-2"/>
    <n v="10.309189173431561"/>
    <n v="13.793246993260585"/>
    <x v="0"/>
    <n v="8.8313775728205576E-2"/>
    <n v="0.24221521486745495"/>
  </r>
  <r>
    <x v="19"/>
    <s v="GNB"/>
    <n v="1652731.5"/>
    <x v="9"/>
    <n v="0"/>
    <n v="1697752.4999999995"/>
    <n v="0"/>
    <m/>
    <n v="0"/>
    <m/>
    <n v="0"/>
    <m/>
    <n v="0"/>
    <m/>
    <n v="0"/>
    <n v="1924954.4999999988"/>
    <n v="1"/>
    <n v="24"/>
    <m/>
    <n v="0"/>
    <m/>
    <n v="0"/>
    <m/>
    <n v="0"/>
    <n v="2105565.4999999991"/>
    <n v="0"/>
    <n v="24"/>
    <n v="0"/>
    <n v="1"/>
    <n v="0"/>
    <x v="0"/>
    <s v=""/>
    <n v="24"/>
    <s v="2018 (triag)"/>
    <n v="24"/>
    <s v="2018 (triag)"/>
    <x v="1"/>
    <n v="24"/>
    <n v="24"/>
    <s v="No change"/>
    <n v="3.0374199904759536E-2"/>
    <n v="4.6424158096915802E-2"/>
    <n v="20.618378346863121"/>
    <n v="27.58649398652117"/>
    <x v="0"/>
    <n v="0.12467827161629022"/>
    <n v="0.11398363052586115"/>
  </r>
  <r>
    <x v="19"/>
    <s v="GNB"/>
    <n v="1652732.5"/>
    <x v="10"/>
    <n v="0"/>
    <n v="1697752.4999999995"/>
    <n v="0"/>
    <m/>
    <n v="0"/>
    <m/>
    <n v="0"/>
    <m/>
    <n v="0"/>
    <m/>
    <n v="0"/>
    <n v="1924954.4999999988"/>
    <n v="1"/>
    <n v="16"/>
    <m/>
    <n v="0"/>
    <m/>
    <n v="9"/>
    <m/>
    <n v="10"/>
    <n v="2105565.4999999991"/>
    <n v="0"/>
    <n v="16"/>
    <n v="0"/>
    <n v="1"/>
    <n v="10"/>
    <x v="0"/>
    <s v=""/>
    <n v="16"/>
    <s v="2018 (triag)"/>
    <n v="10"/>
    <n v="2021"/>
    <x v="0"/>
    <n v="12.120405576679341"/>
    <n v="16"/>
    <s v="Decreasing"/>
    <n v="3.0374199904759536E-2"/>
    <n v="4.6424158096915802E-2"/>
    <n v="13.745585564575414"/>
    <n v="18.390995991014112"/>
    <x v="0"/>
    <n v="8.311884774419348E-2"/>
    <n v="5.7563659628158542E-2"/>
  </r>
  <r>
    <x v="19"/>
    <s v="GNB"/>
    <n v="1652733.5"/>
    <x v="11"/>
    <n v="0"/>
    <n v="1697752.4999999995"/>
    <n v="0"/>
    <m/>
    <n v="0"/>
    <m/>
    <n v="0"/>
    <m/>
    <n v="0"/>
    <m/>
    <n v="0"/>
    <n v="1924954.4999999988"/>
    <n v="0"/>
    <n v="481"/>
    <m/>
    <n v="0"/>
    <m/>
    <n v="149"/>
    <m/>
    <n v="0"/>
    <n v="2105565.4999999991"/>
    <n v="10"/>
    <n v="481"/>
    <n v="0"/>
    <n v="0"/>
    <n v="149"/>
    <x v="0"/>
    <s v=""/>
    <n v="481"/>
    <s v="2018 (triag)"/>
    <n v="10"/>
    <n v="2022"/>
    <x v="0"/>
    <n v="12.120405576679341"/>
    <n v="481"/>
    <s v="Decreasing"/>
    <n v="3.0374199904759536E-2"/>
    <n v="4.6424158096915802E-2"/>
    <n v="413.22666603504837"/>
    <n v="552.87931697986176"/>
    <x v="0"/>
    <n v="2.4987603603098165"/>
    <n v="5.7563659628158542E-2"/>
  </r>
  <r>
    <x v="19"/>
    <s v="GNB"/>
    <n v="1652734.5"/>
    <x v="12"/>
    <n v="0"/>
    <n v="1697752.4999999995"/>
    <n v="0"/>
    <m/>
    <n v="0"/>
    <m/>
    <n v="0"/>
    <m/>
    <n v="0"/>
    <m/>
    <n v="0"/>
    <n v="1924954.4999999988"/>
    <n v="0"/>
    <n v="69"/>
    <m/>
    <n v="0"/>
    <m/>
    <n v="115"/>
    <m/>
    <n v="86"/>
    <n v="2105565.4999999991"/>
    <n v="64"/>
    <n v="69"/>
    <n v="0"/>
    <n v="0"/>
    <n v="115"/>
    <x v="0"/>
    <s v=""/>
    <n v="69"/>
    <s v="2018 (triag)"/>
    <n v="64"/>
    <n v="2022"/>
    <x v="0"/>
    <n v="77.57059569074778"/>
    <n v="77.57059569074778"/>
    <s v="Increasing"/>
    <n v="3.0374199904759536E-2"/>
    <n v="4.6424158096915802E-2"/>
    <n v="59.277837747231473"/>
    <n v="79.311170211248353"/>
    <x v="0"/>
    <n v="0.35845003089683442"/>
    <n v="0.36840742162021467"/>
  </r>
  <r>
    <x v="19"/>
    <s v="GNB"/>
    <n v="1652735.5"/>
    <x v="13"/>
    <n v="0"/>
    <n v="1697752.4999999995"/>
    <n v="0"/>
    <m/>
    <n v="0"/>
    <m/>
    <n v="0"/>
    <m/>
    <n v="16"/>
    <m/>
    <n v="0"/>
    <n v="1924954.4999999988"/>
    <n v="0"/>
    <n v="172"/>
    <m/>
    <n v="0"/>
    <m/>
    <n v="1"/>
    <m/>
    <n v="1"/>
    <n v="2105565.4999999991"/>
    <n v="197"/>
    <n v="172"/>
    <n v="0"/>
    <n v="16"/>
    <n v="197"/>
    <x v="0"/>
    <s v=""/>
    <n v="172"/>
    <s v="2018 (triag)"/>
    <n v="197"/>
    <n v="2022"/>
    <x v="1"/>
    <n v="197"/>
    <n v="197"/>
    <s v="Increasing"/>
    <n v="3.0374199904759536E-2"/>
    <n v="4.6424158096915802E-2"/>
    <n v="147.7650448191857"/>
    <n v="197.70320690340171"/>
    <x v="0"/>
    <n v="0.89352761325008001"/>
    <n v="0.93561563389977698"/>
  </r>
  <r>
    <x v="19"/>
    <s v="GNB"/>
    <n v="1652736.5"/>
    <x v="14"/>
    <n v="0"/>
    <n v="1697752.4999999995"/>
    <n v="0"/>
    <m/>
    <n v="0"/>
    <m/>
    <n v="0"/>
    <m/>
    <n v="11"/>
    <m/>
    <n v="0"/>
    <n v="1924954.4999999988"/>
    <n v="0"/>
    <n v="8"/>
    <m/>
    <n v="0"/>
    <m/>
    <n v="2"/>
    <m/>
    <n v="0"/>
    <n v="2105565.4999999991"/>
    <n v="0"/>
    <n v="8"/>
    <n v="0"/>
    <n v="11"/>
    <n v="2"/>
    <x v="0"/>
    <s v=""/>
    <n v="8"/>
    <s v="2018 (triag)"/>
    <n v="2"/>
    <n v="2020"/>
    <x v="0"/>
    <n v="2.4240811153358681"/>
    <n v="8"/>
    <s v="Decreasing"/>
    <n v="3.0374199904759536E-2"/>
    <n v="4.6424158096915802E-2"/>
    <n v="6.8727927822877071"/>
    <n v="9.1954979955070559"/>
    <x v="0"/>
    <n v="4.155942387209674E-2"/>
    <n v="1.1512731925631708E-2"/>
  </r>
  <r>
    <x v="19"/>
    <s v="GNB"/>
    <n v="1652737.5"/>
    <x v="15"/>
    <n v="0"/>
    <n v="1697752.4999999995"/>
    <n v="0"/>
    <m/>
    <n v="0"/>
    <m/>
    <n v="0"/>
    <m/>
    <n v="0"/>
    <m/>
    <n v="0"/>
    <n v="1924954.4999999988"/>
    <n v="15"/>
    <n v="15"/>
    <m/>
    <n v="0"/>
    <m/>
    <n v="4"/>
    <m/>
    <n v="6"/>
    <n v="2105565.4999999991"/>
    <n v="5"/>
    <n v="13"/>
    <n v="0"/>
    <n v="15"/>
    <n v="6"/>
    <x v="0"/>
    <s v=""/>
    <n v="15"/>
    <n v="2018"/>
    <n v="5"/>
    <n v="2022"/>
    <x v="0"/>
    <n v="6.0602027883396703"/>
    <n v="15"/>
    <s v="Decreasing"/>
    <n v="3.0374199904759536E-2"/>
    <n v="4.6424158096915802E-2"/>
    <n v="11.168288271217524"/>
    <n v="14.942684242698967"/>
    <x v="0"/>
    <n v="7.7923919760181398E-2"/>
    <n v="2.8781829814079271E-2"/>
  </r>
  <r>
    <x v="19"/>
    <s v="GNB"/>
    <n v="1652738.5"/>
    <x v="16"/>
    <n v="0"/>
    <n v="1697752.4999999995"/>
    <n v="0"/>
    <m/>
    <n v="0"/>
    <m/>
    <n v="0"/>
    <m/>
    <n v="0"/>
    <m/>
    <n v="0"/>
    <n v="1924954.4999999988"/>
    <n v="53"/>
    <n v="53"/>
    <m/>
    <n v="0"/>
    <m/>
    <n v="61"/>
    <m/>
    <n v="16"/>
    <n v="2105565.4999999991"/>
    <n v="68"/>
    <n v="0"/>
    <n v="0"/>
    <n v="53"/>
    <n v="68"/>
    <x v="0"/>
    <s v=""/>
    <n v="53"/>
    <n v="2018"/>
    <n v="68"/>
    <n v="2022"/>
    <x v="1"/>
    <n v="68"/>
    <n v="68"/>
    <s v="Increasing"/>
    <n v="3.0374199904759536E-2"/>
    <n v="4.6424158096915802E-2"/>
    <n v="0"/>
    <n v="0"/>
    <x v="0"/>
    <n v="0.27533118315264093"/>
    <n v="0.32295361982327325"/>
  </r>
  <r>
    <x v="19"/>
    <s v="GNB"/>
    <n v="1652739.5"/>
    <x v="17"/>
    <n v="0"/>
    <n v="1697752.4999999995"/>
    <n v="0"/>
    <m/>
    <n v="0"/>
    <m/>
    <n v="0"/>
    <m/>
    <n v="0"/>
    <m/>
    <n v="0"/>
    <n v="1924954.4999999988"/>
    <n v="0"/>
    <n v="0"/>
    <m/>
    <n v="0"/>
    <m/>
    <n v="0"/>
    <m/>
    <n v="0"/>
    <n v="2105565.4999999991"/>
    <n v="0"/>
    <n v="0"/>
    <n v="0"/>
    <n v="0"/>
    <n v="0"/>
    <x v="0"/>
    <s v=""/>
    <m/>
    <s v=""/>
    <n v="0"/>
    <s v=""/>
    <x v="1"/>
    <m/>
    <n v="0"/>
    <s v="No change"/>
    <n v="3.0374199904759536E-2"/>
    <n v="4.6424158096915802E-2"/>
    <n v="0"/>
    <n v="0"/>
    <x v="0"/>
    <n v="0"/>
    <n v="0"/>
  </r>
  <r>
    <x v="19"/>
    <s v="GNB"/>
    <n v="1652740.5"/>
    <x v="18"/>
    <n v="0"/>
    <n v="1697752.4999999995"/>
    <n v="0"/>
    <m/>
    <n v="0"/>
    <m/>
    <n v="0"/>
    <m/>
    <n v="0"/>
    <m/>
    <n v="0"/>
    <n v="1924954.4999999988"/>
    <n v="0"/>
    <n v="1063"/>
    <m/>
    <n v="0"/>
    <m/>
    <n v="0"/>
    <m/>
    <n v="0"/>
    <n v="2105565.4999999991"/>
    <n v="0"/>
    <n v="1063"/>
    <n v="0"/>
    <n v="0"/>
    <n v="0"/>
    <x v="0"/>
    <s v=""/>
    <n v="1063"/>
    <s v="2018 (triag)"/>
    <n v="1063"/>
    <s v="2018 (triag)"/>
    <x v="1"/>
    <n v="1063"/>
    <n v="1063"/>
    <s v="No change"/>
    <n v="3.0374199904759536E-2"/>
    <n v="4.6424158096915802E-2"/>
    <n v="913.22234094647911"/>
    <n v="1221.8517961530001"/>
    <x v="0"/>
    <n v="5.5222084470048545"/>
    <n v="5.0485249687079339"/>
  </r>
  <r>
    <x v="20"/>
    <s v="GNQ"/>
    <n v="1193640.5"/>
    <x v="0"/>
    <n v="0"/>
    <n v="1243941.0000000002"/>
    <n v="0"/>
    <m/>
    <n v="0"/>
    <m/>
    <n v="0"/>
    <m/>
    <n v="0"/>
    <m/>
    <n v="0"/>
    <n v="1502091.5000000002"/>
    <n v="0"/>
    <n v="0"/>
    <m/>
    <n v="0"/>
    <m/>
    <n v="0"/>
    <m/>
    <n v="0"/>
    <n v="1674908"/>
    <n v="146"/>
    <n v="0"/>
    <n v="0"/>
    <n v="0"/>
    <n v="146"/>
    <x v="0"/>
    <s v=""/>
    <m/>
    <s v=""/>
    <n v="146"/>
    <n v="2022"/>
    <x v="1"/>
    <n v="146"/>
    <n v="146"/>
    <s v="Increasing"/>
    <n v="8.5981075235392446E-2"/>
    <n v="0.24963048725605397"/>
    <n v="0"/>
    <n v="0"/>
    <x v="0"/>
    <n v="0"/>
    <n v="0.87168966892509914"/>
  </r>
  <r>
    <x v="20"/>
    <s v="GNQ"/>
    <n v="1193641.5"/>
    <x v="1"/>
    <n v="0"/>
    <n v="1243941.0000000002"/>
    <n v="0"/>
    <m/>
    <n v="5"/>
    <m/>
    <n v="1147"/>
    <m/>
    <n v="0"/>
    <m/>
    <n v="0"/>
    <n v="1502091.5000000002"/>
    <n v="0"/>
    <n v="0"/>
    <m/>
    <n v="6"/>
    <m/>
    <n v="0"/>
    <m/>
    <n v="620"/>
    <n v="1674908"/>
    <n v="25"/>
    <n v="0"/>
    <n v="1147"/>
    <n v="6"/>
    <n v="620"/>
    <x v="55"/>
    <n v="2014"/>
    <n v="6"/>
    <n v="2019"/>
    <n v="25"/>
    <n v="2022"/>
    <x v="1"/>
    <n v="25"/>
    <n v="25"/>
    <s v="Increasing"/>
    <n v="8.5981075235392446E-2"/>
    <n v="0.24963048725605397"/>
    <n v="0"/>
    <n v="0"/>
    <x v="56"/>
    <n v="3.994430432500283E-2"/>
    <n v="0.1492619296104622"/>
  </r>
  <r>
    <x v="20"/>
    <s v="GNQ"/>
    <n v="1193642.5"/>
    <x v="2"/>
    <n v="0"/>
    <n v="1243941.0000000002"/>
    <n v="0"/>
    <m/>
    <n v="1"/>
    <m/>
    <n v="5310"/>
    <m/>
    <n v="0"/>
    <m/>
    <n v="0"/>
    <n v="1502091.5000000002"/>
    <n v="0"/>
    <n v="0"/>
    <m/>
    <n v="0"/>
    <m/>
    <n v="0"/>
    <m/>
    <n v="0"/>
    <n v="1674908"/>
    <n v="134"/>
    <n v="0"/>
    <n v="5310"/>
    <n v="0"/>
    <n v="134"/>
    <x v="33"/>
    <n v="2014"/>
    <m/>
    <s v=""/>
    <n v="134"/>
    <n v="2022"/>
    <x v="1"/>
    <n v="134"/>
    <n v="134"/>
    <s v="Increasing"/>
    <n v="8.5981075235392446E-2"/>
    <n v="0.24963048725605397"/>
    <n v="0"/>
    <n v="0"/>
    <x v="57"/>
    <n v="0"/>
    <n v="0.80004394271207735"/>
  </r>
  <r>
    <x v="20"/>
    <s v="GNQ"/>
    <n v="1193643.5"/>
    <x v="3"/>
    <n v="0"/>
    <n v="1243941.0000000002"/>
    <n v="0"/>
    <m/>
    <n v="0"/>
    <m/>
    <n v="0"/>
    <m/>
    <n v="0"/>
    <m/>
    <n v="0"/>
    <n v="1502091.5000000002"/>
    <n v="0"/>
    <n v="1847"/>
    <m/>
    <n v="0"/>
    <m/>
    <n v="0"/>
    <m/>
    <n v="0"/>
    <n v="1674908"/>
    <n v="0"/>
    <n v="1847"/>
    <n v="0"/>
    <n v="0"/>
    <n v="0"/>
    <x v="0"/>
    <s v=""/>
    <n v="1847"/>
    <s v="2018 (triag)"/>
    <n v="1847"/>
    <s v="2018 (triag)"/>
    <x v="1"/>
    <n v="1847"/>
    <n v="1847"/>
    <s v="No change"/>
    <n v="8.5981075235392446E-2"/>
    <n v="0.24963048725605397"/>
    <n v="1201.603992938343"/>
    <n v="3905.7669380066291"/>
    <x v="0"/>
    <n v="12.296188348046705"/>
    <n v="11.027471359620947"/>
  </r>
  <r>
    <x v="20"/>
    <s v="GNQ"/>
    <n v="1193644.5"/>
    <x v="4"/>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45.5"/>
    <x v="5"/>
    <n v="0"/>
    <n v="1243941.0000000002"/>
    <n v="0"/>
    <m/>
    <n v="0"/>
    <m/>
    <n v="0"/>
    <m/>
    <n v="0"/>
    <m/>
    <n v="0"/>
    <n v="1502091.5000000002"/>
    <n v="0"/>
    <n v="5"/>
    <m/>
    <n v="0"/>
    <m/>
    <n v="0"/>
    <m/>
    <n v="0"/>
    <n v="1674908"/>
    <n v="0"/>
    <n v="5"/>
    <n v="0"/>
    <n v="0"/>
    <n v="0"/>
    <x v="0"/>
    <s v=""/>
    <n v="5"/>
    <s v="2018 (triag)"/>
    <n v="5"/>
    <s v="2018 (triag)"/>
    <x v="1"/>
    <n v="5"/>
    <n v="5"/>
    <s v="No change"/>
    <n v="8.5981075235392446E-2"/>
    <n v="0.24963048725605397"/>
    <n v="3.2528532564654657"/>
    <n v="10.573272707110528"/>
    <x v="0"/>
    <n v="3.3286920270835692E-2"/>
    <n v="2.9852385922092436E-2"/>
  </r>
  <r>
    <x v="20"/>
    <s v="GNQ"/>
    <n v="1193646.5"/>
    <x v="6"/>
    <n v="0"/>
    <n v="1243941.0000000002"/>
    <n v="0"/>
    <m/>
    <n v="0"/>
    <m/>
    <n v="0"/>
    <m/>
    <n v="0"/>
    <m/>
    <n v="0"/>
    <n v="1502091.5000000002"/>
    <n v="2"/>
    <n v="134"/>
    <m/>
    <n v="0"/>
    <m/>
    <n v="0"/>
    <m/>
    <n v="0"/>
    <n v="1674908"/>
    <n v="0"/>
    <n v="134"/>
    <n v="0"/>
    <n v="2"/>
    <n v="0"/>
    <x v="0"/>
    <s v=""/>
    <n v="134"/>
    <s v="2018 (triag)"/>
    <n v="134"/>
    <s v="2018 (triag)"/>
    <x v="1"/>
    <n v="134"/>
    <n v="134"/>
    <s v="No change"/>
    <n v="8.5981075235392446E-2"/>
    <n v="0.24963048725605397"/>
    <n v="87.176467273274483"/>
    <n v="283.36370855056214"/>
    <x v="0"/>
    <n v="0.89208946325839655"/>
    <n v="0.80004394271207735"/>
  </r>
  <r>
    <x v="20"/>
    <s v="GNQ"/>
    <n v="1193647.5"/>
    <x v="7"/>
    <n v="0"/>
    <n v="1243941.0000000002"/>
    <n v="0"/>
    <m/>
    <n v="0"/>
    <m/>
    <n v="0"/>
    <m/>
    <n v="0"/>
    <m/>
    <n v="0"/>
    <n v="1502091.5000000002"/>
    <n v="0"/>
    <n v="0"/>
    <m/>
    <n v="0"/>
    <m/>
    <n v="0"/>
    <m/>
    <n v="0"/>
    <n v="1674908"/>
    <n v="282"/>
    <n v="0"/>
    <n v="0"/>
    <n v="0"/>
    <n v="282"/>
    <x v="0"/>
    <s v=""/>
    <m/>
    <s v=""/>
    <n v="282"/>
    <n v="2022"/>
    <x v="1"/>
    <n v="282"/>
    <n v="282"/>
    <s v="Increasing"/>
    <n v="8.5981075235392446E-2"/>
    <n v="0.24963048725605397"/>
    <n v="0"/>
    <n v="0"/>
    <x v="0"/>
    <n v="0"/>
    <n v="1.6836745660060135"/>
  </r>
  <r>
    <x v="20"/>
    <s v="GNQ"/>
    <n v="1193648.5"/>
    <x v="8"/>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49.5"/>
    <x v="9"/>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50.5"/>
    <x v="10"/>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51.5"/>
    <x v="11"/>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52.5"/>
    <x v="12"/>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53.5"/>
    <x v="13"/>
    <n v="0"/>
    <n v="1243941.0000000002"/>
    <n v="0"/>
    <m/>
    <n v="0"/>
    <m/>
    <n v="0"/>
    <m/>
    <n v="0"/>
    <m/>
    <n v="0"/>
    <n v="1502091.5000000002"/>
    <n v="0"/>
    <n v="2"/>
    <m/>
    <n v="0"/>
    <m/>
    <n v="0"/>
    <m/>
    <n v="0"/>
    <n v="1674908"/>
    <n v="228"/>
    <n v="2"/>
    <n v="0"/>
    <n v="0"/>
    <n v="228"/>
    <x v="0"/>
    <s v=""/>
    <n v="2"/>
    <s v="2018 (triag)"/>
    <n v="228"/>
    <n v="2022"/>
    <x v="1"/>
    <n v="228"/>
    <n v="228"/>
    <s v="Increasing"/>
    <n v="8.5981075235392446E-2"/>
    <n v="0.24963048725605397"/>
    <n v="1.3011413025861864"/>
    <n v="4.2293090828442113"/>
    <x v="0"/>
    <n v="1.3314768108334277E-2"/>
    <n v="1.3612687980474152"/>
  </r>
  <r>
    <x v="20"/>
    <s v="GNQ"/>
    <n v="1193654.5"/>
    <x v="14"/>
    <n v="0"/>
    <n v="1243941.0000000002"/>
    <n v="0"/>
    <m/>
    <n v="0"/>
    <m/>
    <n v="0"/>
    <m/>
    <n v="0"/>
    <m/>
    <n v="0"/>
    <n v="1502091.5000000002"/>
    <n v="0"/>
    <n v="0"/>
    <m/>
    <n v="0"/>
    <m/>
    <n v="0"/>
    <m/>
    <n v="0"/>
    <n v="1674908"/>
    <n v="101"/>
    <n v="0"/>
    <n v="0"/>
    <n v="0"/>
    <n v="101"/>
    <x v="0"/>
    <s v=""/>
    <m/>
    <s v=""/>
    <n v="101"/>
    <n v="2022"/>
    <x v="1"/>
    <n v="101"/>
    <n v="101"/>
    <s v="Increasing"/>
    <n v="8.5981075235392446E-2"/>
    <n v="0.24963048725605397"/>
    <n v="0"/>
    <n v="0"/>
    <x v="0"/>
    <n v="0"/>
    <n v="0.60301819562626724"/>
  </r>
  <r>
    <x v="20"/>
    <s v="GNQ"/>
    <n v="1193655.5"/>
    <x v="15"/>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56.5"/>
    <x v="16"/>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57.5"/>
    <x v="17"/>
    <n v="0"/>
    <n v="1243941.0000000002"/>
    <n v="0"/>
    <m/>
    <n v="0"/>
    <m/>
    <n v="0"/>
    <m/>
    <n v="0"/>
    <m/>
    <n v="0"/>
    <n v="1502091.5000000002"/>
    <n v="0"/>
    <n v="0"/>
    <m/>
    <n v="0"/>
    <m/>
    <n v="0"/>
    <m/>
    <n v="0"/>
    <n v="1674908"/>
    <n v="0"/>
    <n v="0"/>
    <n v="0"/>
    <n v="0"/>
    <n v="0"/>
    <x v="0"/>
    <s v=""/>
    <m/>
    <s v=""/>
    <n v="0"/>
    <s v=""/>
    <x v="1"/>
    <m/>
    <n v="0"/>
    <s v="No change"/>
    <n v="8.5981075235392446E-2"/>
    <n v="0.24963048725605397"/>
    <n v="0"/>
    <n v="0"/>
    <x v="0"/>
    <n v="0"/>
    <n v="0"/>
  </r>
  <r>
    <x v="20"/>
    <s v="GNQ"/>
    <n v="1193658.5"/>
    <x v="18"/>
    <n v="0"/>
    <n v="1243941.0000000002"/>
    <n v="0"/>
    <m/>
    <n v="0"/>
    <m/>
    <n v="0"/>
    <m/>
    <n v="0"/>
    <m/>
    <n v="0"/>
    <n v="1502091.5000000002"/>
    <n v="0"/>
    <n v="0"/>
    <m/>
    <n v="0"/>
    <m/>
    <n v="0"/>
    <m/>
    <n v="0"/>
    <n v="1674908"/>
    <n v="0"/>
    <n v="0"/>
    <n v="0"/>
    <n v="0"/>
    <n v="0"/>
    <x v="0"/>
    <s v=""/>
    <m/>
    <s v=""/>
    <n v="0"/>
    <s v=""/>
    <x v="1"/>
    <m/>
    <n v="0"/>
    <s v="No change"/>
    <n v="8.5981075235392446E-2"/>
    <n v="0.24963048725605397"/>
    <n v="0"/>
    <n v="0"/>
    <x v="0"/>
    <n v="0"/>
    <n v="0"/>
  </r>
  <r>
    <x v="21"/>
    <s v="KEN"/>
    <n v="43725811.5"/>
    <x v="0"/>
    <n v="0"/>
    <n v="44792368.000000007"/>
    <n v="0"/>
    <m/>
    <n v="0"/>
    <m/>
    <n v="0"/>
    <m/>
    <n v="0"/>
    <m/>
    <n v="0"/>
    <n v="49953303.999999993"/>
    <n v="58079"/>
    <n v="58079"/>
    <m/>
    <n v="0"/>
    <m/>
    <n v="91653"/>
    <m/>
    <n v="86490"/>
    <n v="54027486.999999985"/>
    <n v="86423"/>
    <n v="58079"/>
    <n v="0"/>
    <n v="58079"/>
    <n v="91653"/>
    <x v="0"/>
    <s v=""/>
    <n v="58079"/>
    <n v="2018"/>
    <n v="86423"/>
    <n v="2022"/>
    <x v="1"/>
    <n v="86423"/>
    <n v="86423"/>
    <s v="Increasing"/>
    <n v="7.1554687899516578E-2"/>
    <n v="7.1815970063989321E-2"/>
    <n v="40610.664853749629"/>
    <n v="72042.20032406706"/>
    <x v="0"/>
    <n v="11.626658368783776"/>
    <n v="15.996116939512664"/>
  </r>
  <r>
    <x v="21"/>
    <s v="KEN"/>
    <n v="43725812.5"/>
    <x v="1"/>
    <n v="0"/>
    <n v="44792368.000000007"/>
    <n v="211"/>
    <m/>
    <n v="0"/>
    <m/>
    <n v="0"/>
    <m/>
    <n v="0"/>
    <m/>
    <n v="0"/>
    <n v="49953303.999999993"/>
    <n v="0"/>
    <n v="1147"/>
    <m/>
    <n v="3877"/>
    <m/>
    <n v="0"/>
    <m/>
    <n v="0"/>
    <n v="54027486.999999985"/>
    <n v="10071"/>
    <n v="1147"/>
    <n v="211"/>
    <n v="3877"/>
    <n v="10071"/>
    <x v="56"/>
    <n v="2013"/>
    <n v="1147"/>
    <s v="2018 (triag)"/>
    <n v="10071"/>
    <n v="2022"/>
    <x v="1"/>
    <n v="10071"/>
    <n v="10071"/>
    <s v="Increasing"/>
    <n v="7.1554687899516578E-2"/>
    <n v="7.1815970063989321E-2"/>
    <n v="802.01850216516857"/>
    <n v="1422.7587212538942"/>
    <x v="58"/>
    <n v="0.22961444151922367"/>
    <n v="1.8640511634383443"/>
  </r>
  <r>
    <x v="21"/>
    <s v="KEN"/>
    <n v="43725813.5"/>
    <x v="2"/>
    <n v="0"/>
    <n v="44792368.000000007"/>
    <n v="0"/>
    <m/>
    <n v="0"/>
    <m/>
    <n v="201"/>
    <m/>
    <n v="146"/>
    <m/>
    <n v="0"/>
    <n v="49953303.999999993"/>
    <n v="0"/>
    <n v="5310"/>
    <m/>
    <n v="3730"/>
    <m/>
    <n v="0"/>
    <m/>
    <n v="0"/>
    <n v="54027486.999999985"/>
    <n v="553"/>
    <n v="5310"/>
    <n v="201"/>
    <n v="3730"/>
    <n v="553"/>
    <x v="57"/>
    <n v="2015"/>
    <n v="5310"/>
    <s v="2018 (triag)"/>
    <n v="553"/>
    <n v="2022"/>
    <x v="0"/>
    <n v="635.56215030918963"/>
    <n v="5310"/>
    <s v="Decreasing"/>
    <n v="7.1554687899516578E-2"/>
    <n v="7.1815970063989321E-2"/>
    <n v="3712.9191338247997"/>
    <n v="6586.6162248109667"/>
    <x v="59"/>
    <n v="1.0629927501892569"/>
    <n v="0.11763681518431346"/>
  </r>
  <r>
    <x v="21"/>
    <s v="KEN"/>
    <n v="43725814.5"/>
    <x v="3"/>
    <n v="0"/>
    <n v="44792368.000000007"/>
    <n v="0"/>
    <m/>
    <n v="0"/>
    <m/>
    <n v="0"/>
    <m/>
    <n v="0"/>
    <m/>
    <n v="0"/>
    <n v="49953303.999999993"/>
    <n v="0"/>
    <n v="0"/>
    <m/>
    <n v="0"/>
    <m/>
    <n v="0"/>
    <m/>
    <n v="0"/>
    <n v="54027486.999999985"/>
    <n v="0"/>
    <n v="0"/>
    <n v="0"/>
    <n v="0"/>
    <n v="0"/>
    <x v="0"/>
    <s v=""/>
    <m/>
    <s v=""/>
    <n v="0"/>
    <s v=""/>
    <x v="1"/>
    <m/>
    <n v="0"/>
    <s v="No change"/>
    <n v="7.1554687899516578E-2"/>
    <n v="7.1815970063989321E-2"/>
    <n v="0"/>
    <n v="0"/>
    <x v="0"/>
    <n v="0"/>
    <n v="0"/>
  </r>
  <r>
    <x v="21"/>
    <s v="KEN"/>
    <n v="43725815.5"/>
    <x v="4"/>
    <n v="0"/>
    <n v="44792368.000000007"/>
    <n v="0"/>
    <m/>
    <n v="0"/>
    <m/>
    <n v="0"/>
    <m/>
    <n v="0"/>
    <m/>
    <n v="0"/>
    <n v="49953303.999999993"/>
    <n v="0"/>
    <n v="0"/>
    <m/>
    <n v="0"/>
    <m/>
    <n v="0"/>
    <m/>
    <n v="0"/>
    <n v="54027486.999999985"/>
    <n v="0"/>
    <n v="0"/>
    <n v="0"/>
    <n v="0"/>
    <n v="0"/>
    <x v="0"/>
    <s v=""/>
    <m/>
    <s v=""/>
    <n v="0"/>
    <s v=""/>
    <x v="1"/>
    <m/>
    <n v="0"/>
    <s v="No change"/>
    <n v="7.1554687899516578E-2"/>
    <n v="7.1815970063989321E-2"/>
    <n v="0"/>
    <n v="0"/>
    <x v="0"/>
    <n v="0"/>
    <n v="0"/>
  </r>
  <r>
    <x v="21"/>
    <s v="KEN"/>
    <n v="43725816.5"/>
    <x v="5"/>
    <n v="0"/>
    <n v="44792368.000000007"/>
    <n v="0"/>
    <m/>
    <n v="0"/>
    <m/>
    <n v="0"/>
    <m/>
    <n v="0"/>
    <m/>
    <n v="0"/>
    <n v="49953303.999999993"/>
    <n v="0"/>
    <n v="468"/>
    <m/>
    <n v="468"/>
    <m/>
    <n v="0"/>
    <m/>
    <n v="261"/>
    <n v="54027486.999999985"/>
    <n v="987"/>
    <n v="468"/>
    <n v="0"/>
    <n v="468"/>
    <n v="987"/>
    <x v="0"/>
    <s v=""/>
    <n v="468"/>
    <s v="2018 (triag)"/>
    <n v="987"/>
    <n v="2022"/>
    <x v="1"/>
    <n v="987"/>
    <n v="287"/>
    <s v="Increasing"/>
    <n v="7.1554687899516578E-2"/>
    <n v="7.1815970063989321E-2"/>
    <n v="327.24033043879592"/>
    <n v="580.51532828842414"/>
    <x v="0"/>
    <n v="9.3687496626849762E-2"/>
    <n v="0.1826847878377168"/>
  </r>
  <r>
    <x v="21"/>
    <s v="KEN"/>
    <n v="43725817.5"/>
    <x v="6"/>
    <n v="0"/>
    <n v="44792368.000000007"/>
    <n v="0"/>
    <m/>
    <n v="0"/>
    <m/>
    <n v="0"/>
    <m/>
    <n v="0"/>
    <m/>
    <n v="0"/>
    <n v="49953303.999999993"/>
    <n v="0"/>
    <n v="0"/>
    <m/>
    <n v="0"/>
    <m/>
    <n v="0"/>
    <m/>
    <n v="5019"/>
    <n v="54027486.999999985"/>
    <n v="10000"/>
    <n v="0"/>
    <n v="0"/>
    <n v="0"/>
    <n v="10000"/>
    <x v="0"/>
    <s v=""/>
    <m/>
    <s v=""/>
    <n v="10000"/>
    <n v="2022"/>
    <x v="1"/>
    <n v="10000"/>
    <n v="10000"/>
    <s v="Increasing"/>
    <n v="7.1554687899516578E-2"/>
    <n v="7.1815970063989321E-2"/>
    <n v="0"/>
    <n v="0"/>
    <x v="0"/>
    <n v="0"/>
    <n v="1.8509097045361378"/>
  </r>
  <r>
    <x v="21"/>
    <s v="KEN"/>
    <n v="43725818.5"/>
    <x v="7"/>
    <n v="0"/>
    <n v="44792368.000000007"/>
    <n v="0"/>
    <m/>
    <n v="0"/>
    <m/>
    <n v="0"/>
    <m/>
    <n v="0"/>
    <m/>
    <n v="0"/>
    <n v="49953303.999999993"/>
    <n v="0"/>
    <n v="0"/>
    <m/>
    <n v="0"/>
    <m/>
    <n v="0"/>
    <m/>
    <n v="0"/>
    <n v="54027486.999999985"/>
    <n v="0"/>
    <n v="0"/>
    <n v="0"/>
    <n v="0"/>
    <n v="0"/>
    <x v="0"/>
    <s v=""/>
    <m/>
    <s v=""/>
    <n v="0"/>
    <s v=""/>
    <x v="1"/>
    <m/>
    <n v="0"/>
    <s v="No change"/>
    <n v="7.1554687899516578E-2"/>
    <n v="7.1815970063989321E-2"/>
    <n v="0"/>
    <n v="0"/>
    <x v="0"/>
    <n v="0"/>
    <n v="0"/>
  </r>
  <r>
    <x v="21"/>
    <s v="KEN"/>
    <n v="43725819.5"/>
    <x v="8"/>
    <n v="0"/>
    <n v="44792368.000000007"/>
    <n v="0"/>
    <m/>
    <n v="0"/>
    <m/>
    <n v="0"/>
    <m/>
    <n v="0"/>
    <m/>
    <n v="0"/>
    <n v="49953303.999999993"/>
    <n v="430"/>
    <n v="430"/>
    <m/>
    <n v="0"/>
    <m/>
    <n v="0"/>
    <m/>
    <n v="717"/>
    <n v="54027486.999999985"/>
    <n v="0"/>
    <n v="430"/>
    <n v="0"/>
    <n v="430"/>
    <n v="717"/>
    <x v="0"/>
    <s v=""/>
    <n v="430"/>
    <n v="2018"/>
    <n v="717"/>
    <n v="2021"/>
    <x v="1"/>
    <n v="717"/>
    <n v="717"/>
    <s v="Increasing"/>
    <n v="7.1554687899516578E-2"/>
    <n v="7.1815970063989321E-2"/>
    <n v="300.66953437752613"/>
    <n v="533.37946829919315"/>
    <x v="0"/>
    <n v="8.6080392199883324E-2"/>
    <n v="0.13271022581524108"/>
  </r>
  <r>
    <x v="21"/>
    <s v="KEN"/>
    <n v="43725820.5"/>
    <x v="9"/>
    <n v="0"/>
    <n v="44792368.000000007"/>
    <n v="0"/>
    <m/>
    <n v="0"/>
    <m/>
    <n v="0"/>
    <m/>
    <n v="0"/>
    <m/>
    <n v="0"/>
    <n v="49953303.999999993"/>
    <n v="714"/>
    <n v="2419"/>
    <m/>
    <n v="0"/>
    <m/>
    <n v="0"/>
    <m/>
    <n v="0"/>
    <n v="54027486.999999985"/>
    <n v="0"/>
    <n v="2419"/>
    <n v="0"/>
    <n v="714"/>
    <n v="0"/>
    <x v="0"/>
    <s v=""/>
    <n v="2419"/>
    <s v="2018 (triag)"/>
    <n v="2419"/>
    <s v="2018 (triag)"/>
    <x v="1"/>
    <n v="2419"/>
    <n v="2419"/>
    <s v="No change"/>
    <n v="7.1554687899516578E-2"/>
    <n v="7.1815970063989321E-2"/>
    <n v="1691.4409387424089"/>
    <n v="3000.5696135249959"/>
    <x v="0"/>
    <n v="0.48425225286399481"/>
    <n v="0.44773505752729176"/>
  </r>
  <r>
    <x v="21"/>
    <s v="KEN"/>
    <n v="43725821.5"/>
    <x v="10"/>
    <n v="0"/>
    <n v="44792368.000000007"/>
    <n v="0"/>
    <m/>
    <n v="0"/>
    <m/>
    <n v="0"/>
    <m/>
    <n v="0"/>
    <m/>
    <n v="0"/>
    <n v="49953303.999999993"/>
    <n v="0"/>
    <n v="0"/>
    <m/>
    <n v="0"/>
    <m/>
    <n v="0"/>
    <m/>
    <n v="0"/>
    <n v="54027486.999999985"/>
    <n v="0"/>
    <n v="0"/>
    <n v="0"/>
    <n v="0"/>
    <n v="0"/>
    <x v="0"/>
    <s v=""/>
    <m/>
    <s v=""/>
    <n v="0"/>
    <s v=""/>
    <x v="1"/>
    <m/>
    <n v="0"/>
    <s v="No change"/>
    <n v="7.1554687899516578E-2"/>
    <n v="7.1815970063989321E-2"/>
    <n v="0"/>
    <n v="0"/>
    <x v="0"/>
    <n v="0"/>
    <n v="0"/>
  </r>
  <r>
    <x v="21"/>
    <s v="KEN"/>
    <n v="43725822.5"/>
    <x v="11"/>
    <n v="0"/>
    <n v="44792368.000000007"/>
    <n v="0"/>
    <m/>
    <n v="0"/>
    <m/>
    <n v="0"/>
    <m/>
    <n v="0"/>
    <m/>
    <n v="0"/>
    <n v="49953303.999999993"/>
    <n v="0"/>
    <n v="2759"/>
    <m/>
    <n v="0"/>
    <m/>
    <n v="0"/>
    <m/>
    <n v="3295"/>
    <n v="54027486.999999985"/>
    <n v="0"/>
    <n v="2759"/>
    <n v="0"/>
    <n v="0"/>
    <n v="3295"/>
    <x v="0"/>
    <s v=""/>
    <n v="2759"/>
    <s v="2018 (triag)"/>
    <n v="3295"/>
    <n v="2021"/>
    <x v="1"/>
    <n v="3295"/>
    <n v="3295"/>
    <s v="Increasing"/>
    <n v="7.1554687899516578E-2"/>
    <n v="7.1815970063989321E-2"/>
    <n v="1929.1796403432434"/>
    <n v="3422.3115186917998"/>
    <x v="0"/>
    <n v="0.55231581878948399"/>
    <n v="0.60987474764465743"/>
  </r>
  <r>
    <x v="21"/>
    <s v="KEN"/>
    <n v="43725823.5"/>
    <x v="12"/>
    <n v="0"/>
    <n v="44792368.000000007"/>
    <n v="0"/>
    <m/>
    <n v="0"/>
    <m/>
    <n v="0"/>
    <m/>
    <n v="0"/>
    <m/>
    <n v="0"/>
    <n v="49953303.999999993"/>
    <n v="0"/>
    <n v="0"/>
    <m/>
    <n v="0"/>
    <m/>
    <n v="0"/>
    <m/>
    <n v="11129"/>
    <n v="54027486.999999985"/>
    <n v="0"/>
    <n v="0"/>
    <n v="0"/>
    <n v="0"/>
    <n v="11129"/>
    <x v="0"/>
    <s v=""/>
    <m/>
    <s v=""/>
    <n v="11129"/>
    <n v="2021"/>
    <x v="1"/>
    <n v="11129"/>
    <n v="11129"/>
    <s v="Increasing"/>
    <n v="7.1554687899516578E-2"/>
    <n v="7.1815970063989321E-2"/>
    <n v="0"/>
    <n v="0"/>
    <x v="0"/>
    <n v="0"/>
    <n v="2.059877410178268"/>
  </r>
  <r>
    <x v="21"/>
    <s v="KEN"/>
    <n v="43725824.5"/>
    <x v="13"/>
    <n v="0"/>
    <n v="44792368.000000007"/>
    <n v="0"/>
    <m/>
    <n v="0"/>
    <m/>
    <n v="0"/>
    <m/>
    <n v="0"/>
    <m/>
    <n v="0"/>
    <n v="49953303.999999993"/>
    <n v="0"/>
    <n v="0"/>
    <m/>
    <n v="0"/>
    <m/>
    <n v="0"/>
    <m/>
    <n v="0"/>
    <n v="54027486.999999985"/>
    <n v="1200"/>
    <n v="0"/>
    <n v="0"/>
    <n v="0"/>
    <n v="1200"/>
    <x v="0"/>
    <s v=""/>
    <m/>
    <s v=""/>
    <n v="1200"/>
    <n v="2022"/>
    <x v="1"/>
    <n v="1200"/>
    <n v="1200"/>
    <s v="Increasing"/>
    <n v="7.1554687899516578E-2"/>
    <n v="7.1815970063989321E-2"/>
    <n v="0"/>
    <n v="0"/>
    <x v="0"/>
    <n v="0"/>
    <n v="0.22210916454433655"/>
  </r>
  <r>
    <x v="21"/>
    <s v="KEN"/>
    <n v="43725825.5"/>
    <x v="14"/>
    <n v="0"/>
    <n v="44792368.000000007"/>
    <n v="13216"/>
    <m/>
    <n v="0"/>
    <m/>
    <n v="0"/>
    <m/>
    <n v="0"/>
    <m/>
    <n v="0"/>
    <n v="49953303.999999993"/>
    <n v="21942"/>
    <n v="21942"/>
    <m/>
    <n v="0"/>
    <m/>
    <n v="0"/>
    <m/>
    <n v="8087"/>
    <n v="54027486.999999985"/>
    <n v="25400"/>
    <n v="21942"/>
    <n v="13216"/>
    <n v="21942"/>
    <n v="25400"/>
    <x v="58"/>
    <n v="2013"/>
    <n v="21942"/>
    <n v="2018"/>
    <n v="25400"/>
    <n v="2022"/>
    <x v="1"/>
    <n v="25400"/>
    <n v="25400"/>
    <s v="Increasing"/>
    <n v="7.1554687899516578E-2"/>
    <n v="7.1815970063989321E-2"/>
    <n v="15342.537030957394"/>
    <n v="27217.237891676501"/>
    <x v="60"/>
    <n v="4.392502245697302"/>
    <n v="4.7013106495217905"/>
  </r>
  <r>
    <x v="21"/>
    <s v="KEN"/>
    <n v="43725826.5"/>
    <x v="15"/>
    <n v="0"/>
    <n v="44792368.000000007"/>
    <n v="0"/>
    <m/>
    <n v="0"/>
    <m/>
    <n v="0"/>
    <m/>
    <n v="0"/>
    <m/>
    <n v="0"/>
    <n v="49953303.999999993"/>
    <n v="0"/>
    <n v="0"/>
    <m/>
    <n v="0"/>
    <m/>
    <n v="0"/>
    <m/>
    <n v="718"/>
    <n v="54027486.999999985"/>
    <n v="631"/>
    <n v="0"/>
    <n v="0"/>
    <n v="0"/>
    <n v="718"/>
    <x v="0"/>
    <s v=""/>
    <m/>
    <s v=""/>
    <n v="631"/>
    <n v="2022"/>
    <x v="1"/>
    <n v="631"/>
    <n v="631"/>
    <s v="Increasing"/>
    <n v="7.1554687899516578E-2"/>
    <n v="7.1815970063989321E-2"/>
    <n v="0"/>
    <n v="0"/>
    <x v="0"/>
    <n v="0"/>
    <n v="0.1167924023562303"/>
  </r>
  <r>
    <x v="21"/>
    <s v="KEN"/>
    <n v="43725827.5"/>
    <x v="16"/>
    <n v="0"/>
    <n v="44792368.000000007"/>
    <n v="0"/>
    <m/>
    <n v="0"/>
    <m/>
    <n v="0"/>
    <m/>
    <n v="0"/>
    <m/>
    <n v="0"/>
    <n v="49953303.999999993"/>
    <n v="0"/>
    <n v="0"/>
    <m/>
    <n v="0"/>
    <m/>
    <n v="0"/>
    <m/>
    <n v="749"/>
    <n v="54027486.999999985"/>
    <n v="642"/>
    <n v="0"/>
    <n v="0"/>
    <n v="0"/>
    <n v="749"/>
    <x v="0"/>
    <s v=""/>
    <m/>
    <s v=""/>
    <n v="642"/>
    <n v="2022"/>
    <x v="1"/>
    <n v="642"/>
    <n v="642"/>
    <s v="Increasing"/>
    <n v="7.1554687899516578E-2"/>
    <n v="7.1815970063989321E-2"/>
    <n v="0"/>
    <n v="0"/>
    <x v="0"/>
    <n v="0"/>
    <n v="0.11882840303122005"/>
  </r>
  <r>
    <x v="21"/>
    <s v="KEN"/>
    <n v="43725828.5"/>
    <x v="17"/>
    <n v="0"/>
    <n v="44792368.000000007"/>
    <n v="0"/>
    <m/>
    <n v="0"/>
    <m/>
    <n v="0"/>
    <m/>
    <n v="0"/>
    <m/>
    <n v="0"/>
    <n v="49953303.999999993"/>
    <n v="0"/>
    <n v="0"/>
    <m/>
    <n v="0"/>
    <m/>
    <n v="0"/>
    <m/>
    <n v="0"/>
    <n v="54027486.999999985"/>
    <n v="0"/>
    <n v="0"/>
    <n v="0"/>
    <n v="0"/>
    <n v="0"/>
    <x v="0"/>
    <s v=""/>
    <m/>
    <s v=""/>
    <n v="0"/>
    <s v=""/>
    <x v="1"/>
    <m/>
    <n v="0"/>
    <s v="No change"/>
    <n v="7.1554687899516578E-2"/>
    <n v="7.1815970063989321E-2"/>
    <n v="0"/>
    <n v="0"/>
    <x v="0"/>
    <n v="0"/>
    <n v="0"/>
  </r>
  <r>
    <x v="21"/>
    <s v="KEN"/>
    <n v="43725829.5"/>
    <x v="18"/>
    <n v="0"/>
    <n v="44792368.000000007"/>
    <n v="0"/>
    <m/>
    <n v="0"/>
    <m/>
    <n v="0"/>
    <m/>
    <n v="0"/>
    <m/>
    <n v="0"/>
    <n v="49953303.999999993"/>
    <n v="0"/>
    <n v="0"/>
    <m/>
    <n v="0"/>
    <m/>
    <n v="0"/>
    <m/>
    <n v="0"/>
    <n v="54027486.999999985"/>
    <n v="0"/>
    <n v="0"/>
    <n v="0"/>
    <n v="0"/>
    <n v="0"/>
    <x v="0"/>
    <s v=""/>
    <m/>
    <s v=""/>
    <n v="0"/>
    <s v=""/>
    <x v="1"/>
    <m/>
    <n v="0"/>
    <s v="No change"/>
    <n v="7.1554687899516578E-2"/>
    <n v="7.1815970063989321E-2"/>
    <n v="0"/>
    <n v="0"/>
    <x v="0"/>
    <n v="0"/>
    <n v="0"/>
  </r>
  <r>
    <x v="22"/>
    <s v="LBR"/>
    <n v="4331745.5"/>
    <x v="0"/>
    <n v="0"/>
    <n v="4427312.4999999991"/>
    <n v="0"/>
    <m/>
    <n v="0"/>
    <m/>
    <n v="0"/>
    <m/>
    <n v="0"/>
    <m/>
    <n v="0"/>
    <n v="4889391"/>
    <n v="3391"/>
    <n v="3391"/>
    <m/>
    <n v="0"/>
    <m/>
    <n v="12625"/>
    <m/>
    <n v="0"/>
    <n v="5302681.0000000028"/>
    <n v="0"/>
    <n v="3391"/>
    <n v="0"/>
    <n v="3391"/>
    <n v="12625"/>
    <x v="0"/>
    <s v=""/>
    <n v="3391"/>
    <n v="2018"/>
    <n v="12625"/>
    <n v="2020"/>
    <x v="1"/>
    <n v="12625"/>
    <n v="12625"/>
    <s v="Increasing"/>
    <n v="0.14269498586031326"/>
    <n v="5.4673730437993617E-2"/>
    <n v="1661.3822454093627"/>
    <n v="3995.4094095575947"/>
    <x v="0"/>
    <n v="6.9354240640603297"/>
    <n v="23.808711102930751"/>
  </r>
  <r>
    <x v="22"/>
    <s v="LBR"/>
    <n v="4331746.5"/>
    <x v="1"/>
    <n v="0"/>
    <n v="4427312.4999999991"/>
    <n v="0"/>
    <m/>
    <n v="0"/>
    <m/>
    <n v="0"/>
    <m/>
    <n v="8"/>
    <m/>
    <n v="0"/>
    <n v="4889391"/>
    <n v="0"/>
    <n v="0"/>
    <m/>
    <n v="0"/>
    <m/>
    <n v="0"/>
    <m/>
    <n v="0"/>
    <n v="5302681.0000000028"/>
    <n v="0"/>
    <n v="0"/>
    <n v="0"/>
    <n v="8"/>
    <n v="0"/>
    <x v="0"/>
    <s v=""/>
    <m/>
    <s v=""/>
    <n v="0"/>
    <s v=""/>
    <x v="1"/>
    <m/>
    <n v="0"/>
    <s v="No change"/>
    <n v="0.14269498586031326"/>
    <n v="5.4673730437993617E-2"/>
    <n v="0"/>
    <n v="0"/>
    <x v="0"/>
    <n v="0"/>
    <n v="0"/>
  </r>
  <r>
    <x v="22"/>
    <s v="LBR"/>
    <n v="4331747.5"/>
    <x v="2"/>
    <n v="0"/>
    <n v="4427312.4999999991"/>
    <n v="0"/>
    <m/>
    <n v="2036"/>
    <m/>
    <n v="0"/>
    <m/>
    <n v="344"/>
    <m/>
    <n v="0"/>
    <n v="4889391"/>
    <n v="0"/>
    <n v="285"/>
    <m/>
    <n v="0"/>
    <m/>
    <n v="0"/>
    <m/>
    <n v="0"/>
    <n v="5302681.0000000028"/>
    <n v="0"/>
    <n v="285"/>
    <n v="2036"/>
    <n v="344"/>
    <n v="0"/>
    <x v="59"/>
    <n v="2014"/>
    <n v="285"/>
    <s v="2018 (triag)"/>
    <n v="285"/>
    <s v="2018 (triag)"/>
    <x v="1"/>
    <n v="285"/>
    <n v="285"/>
    <s v="No change"/>
    <n v="0.14269498586031326"/>
    <n v="5.4673730437993617E-2"/>
    <n v="139.63253905681756"/>
    <n v="335.79819573102759"/>
    <x v="61"/>
    <n v="0.58289467952143736"/>
    <n v="0.53746397341269414"/>
  </r>
  <r>
    <x v="22"/>
    <s v="LBR"/>
    <n v="4331748.5"/>
    <x v="3"/>
    <n v="0"/>
    <n v="4427312.4999999991"/>
    <n v="0"/>
    <m/>
    <n v="0"/>
    <m/>
    <n v="0"/>
    <m/>
    <n v="0"/>
    <m/>
    <n v="0"/>
    <n v="4889391"/>
    <n v="0"/>
    <n v="148"/>
    <m/>
    <n v="0"/>
    <m/>
    <n v="0"/>
    <m/>
    <n v="0"/>
    <n v="5302681.0000000028"/>
    <n v="0"/>
    <n v="148"/>
    <n v="0"/>
    <n v="0"/>
    <n v="0"/>
    <x v="0"/>
    <s v=""/>
    <n v="148"/>
    <s v="2018 (triag)"/>
    <n v="148"/>
    <s v="2018 (triag)"/>
    <x v="1"/>
    <n v="148"/>
    <n v="148"/>
    <s v="No change"/>
    <n v="0.14269498586031326"/>
    <n v="5.4673730437993617E-2"/>
    <n v="72.51093256283859"/>
    <n v="174.379413923481"/>
    <x v="0"/>
    <n v="0.30269618445323765"/>
    <n v="0.2791040984739605"/>
  </r>
  <r>
    <x v="22"/>
    <s v="LBR"/>
    <n v="4331749.5"/>
    <x v="4"/>
    <n v="0"/>
    <n v="4427312.4999999991"/>
    <n v="0"/>
    <m/>
    <n v="0"/>
    <m/>
    <n v="0"/>
    <m/>
    <n v="0"/>
    <m/>
    <n v="0"/>
    <n v="4889391"/>
    <n v="0"/>
    <n v="1404"/>
    <m/>
    <n v="0"/>
    <m/>
    <n v="0"/>
    <m/>
    <n v="0"/>
    <n v="5302681.0000000028"/>
    <n v="0"/>
    <n v="1404"/>
    <n v="0"/>
    <n v="0"/>
    <n v="0"/>
    <x v="0"/>
    <s v=""/>
    <n v="1404"/>
    <s v="2018 (triag)"/>
    <n v="1404"/>
    <s v="2018 (triag)"/>
    <x v="1"/>
    <n v="1404"/>
    <n v="1404"/>
    <s v="No change"/>
    <n v="0.14269498586031326"/>
    <n v="5.4673730437993617E-2"/>
    <n v="687.87398187990129"/>
    <n v="1654.2479537065358"/>
    <x v="0"/>
    <n v="2.8715232633266599"/>
    <n v="2.6477172584962196"/>
  </r>
  <r>
    <x v="22"/>
    <s v="LBR"/>
    <n v="4331750.5"/>
    <x v="5"/>
    <n v="0"/>
    <n v="4427312.4999999991"/>
    <n v="0"/>
    <m/>
    <n v="0"/>
    <m/>
    <n v="0"/>
    <m/>
    <n v="0"/>
    <m/>
    <n v="0"/>
    <n v="4889391"/>
    <n v="0"/>
    <n v="0"/>
    <m/>
    <n v="0"/>
    <m/>
    <n v="0"/>
    <m/>
    <n v="0"/>
    <n v="5302681.0000000028"/>
    <n v="0"/>
    <n v="0"/>
    <n v="0"/>
    <n v="0"/>
    <n v="0"/>
    <x v="0"/>
    <s v=""/>
    <m/>
    <s v=""/>
    <n v="0"/>
    <s v=""/>
    <x v="1"/>
    <m/>
    <n v="0"/>
    <s v="No change"/>
    <n v="0.14269498586031326"/>
    <n v="5.4673730437993617E-2"/>
    <n v="0"/>
    <n v="0"/>
    <x v="0"/>
    <n v="0"/>
    <n v="0"/>
  </r>
  <r>
    <x v="22"/>
    <s v="LBR"/>
    <n v="4331751.5"/>
    <x v="6"/>
    <n v="0"/>
    <n v="4427312.4999999991"/>
    <n v="0"/>
    <m/>
    <n v="0"/>
    <m/>
    <n v="0"/>
    <m/>
    <n v="0"/>
    <m/>
    <n v="0"/>
    <n v="4889391"/>
    <n v="0"/>
    <n v="115"/>
    <m/>
    <n v="0"/>
    <m/>
    <n v="0"/>
    <m/>
    <n v="0"/>
    <n v="5302681.0000000028"/>
    <n v="0"/>
    <n v="115"/>
    <n v="0"/>
    <n v="0"/>
    <n v="0"/>
    <x v="0"/>
    <s v=""/>
    <n v="115"/>
    <s v="2018 (triag)"/>
    <n v="115"/>
    <s v="2018 (triag)"/>
    <x v="1"/>
    <n v="115"/>
    <n v="115"/>
    <s v="No change"/>
    <n v="0.14269498586031326"/>
    <n v="5.4673730437993617E-2"/>
    <n v="56.342954356259717"/>
    <n v="135.49751757567779"/>
    <x v="0"/>
    <n v="0.23520311629812385"/>
    <n v="0.21687142786828009"/>
  </r>
  <r>
    <x v="22"/>
    <s v="LBR"/>
    <n v="4331752.5"/>
    <x v="7"/>
    <n v="0"/>
    <n v="4427312.4999999991"/>
    <n v="0"/>
    <m/>
    <n v="0"/>
    <m/>
    <n v="0"/>
    <m/>
    <n v="0"/>
    <m/>
    <n v="0"/>
    <n v="4889391"/>
    <n v="0"/>
    <n v="527"/>
    <m/>
    <n v="0"/>
    <m/>
    <n v="0"/>
    <m/>
    <n v="0"/>
    <n v="5302681.0000000028"/>
    <n v="0"/>
    <n v="527"/>
    <n v="0"/>
    <n v="0"/>
    <n v="0"/>
    <x v="0"/>
    <s v=""/>
    <n v="527"/>
    <s v="2018 (triag)"/>
    <n v="527"/>
    <s v="2018 (triag)"/>
    <x v="1"/>
    <n v="527"/>
    <n v="527"/>
    <s v="No change"/>
    <n v="0.14269498586031326"/>
    <n v="5.4673730437993617E-2"/>
    <n v="258.19771257172931"/>
    <n v="620.93210228158432"/>
    <x v="0"/>
    <n v="1.0778438459922719"/>
    <n v="0.99383689118768359"/>
  </r>
  <r>
    <x v="22"/>
    <s v="LBR"/>
    <n v="4331753.5"/>
    <x v="8"/>
    <n v="0"/>
    <n v="4427312.4999999991"/>
    <n v="0"/>
    <m/>
    <n v="0"/>
    <m/>
    <n v="0"/>
    <m/>
    <n v="0"/>
    <m/>
    <n v="0"/>
    <n v="4889391"/>
    <n v="0"/>
    <n v="9"/>
    <m/>
    <n v="0"/>
    <m/>
    <n v="0"/>
    <m/>
    <n v="0"/>
    <n v="5302681.0000000028"/>
    <n v="0"/>
    <n v="9"/>
    <n v="0"/>
    <n v="0"/>
    <n v="0"/>
    <x v="0"/>
    <s v=""/>
    <n v="9"/>
    <s v="2018 (triag)"/>
    <n v="9"/>
    <s v="2018 (triag)"/>
    <x v="1"/>
    <n v="9"/>
    <n v="9"/>
    <s v="No change"/>
    <n v="0.14269498586031326"/>
    <n v="5.4673730437993617E-2"/>
    <n v="4.4094486017942387"/>
    <n v="10.60415354940087"/>
    <x v="0"/>
    <n v="1.8407200405940127E-2"/>
    <n v="1.6972546528821922E-2"/>
  </r>
  <r>
    <x v="22"/>
    <s v="LBR"/>
    <n v="4331754.5"/>
    <x v="9"/>
    <n v="0"/>
    <n v="4427312.4999999991"/>
    <n v="0"/>
    <m/>
    <n v="0"/>
    <m/>
    <n v="0"/>
    <m/>
    <n v="0"/>
    <m/>
    <n v="0"/>
    <n v="4889391"/>
    <n v="0"/>
    <n v="65"/>
    <m/>
    <n v="0"/>
    <m/>
    <n v="0"/>
    <m/>
    <n v="0"/>
    <n v="5302681.0000000028"/>
    <n v="0"/>
    <n v="65"/>
    <n v="0"/>
    <n v="0"/>
    <n v="0"/>
    <x v="0"/>
    <s v=""/>
    <n v="65"/>
    <s v="2018 (triag)"/>
    <n v="65"/>
    <s v="2018 (triag)"/>
    <x v="1"/>
    <n v="65"/>
    <n v="65"/>
    <s v="No change"/>
    <n v="0.14269498586031326"/>
    <n v="5.4673730437993617E-2"/>
    <n v="31.84601767962506"/>
    <n v="76.585553412339621"/>
    <x v="0"/>
    <n v="0.1329408918206787"/>
    <n v="0.12257950270815832"/>
  </r>
  <r>
    <x v="22"/>
    <s v="LBR"/>
    <n v="4331755.5"/>
    <x v="10"/>
    <n v="0"/>
    <n v="4427312.4999999991"/>
    <n v="0"/>
    <m/>
    <n v="0"/>
    <m/>
    <n v="0"/>
    <m/>
    <n v="0"/>
    <m/>
    <n v="0"/>
    <n v="4889391"/>
    <n v="0"/>
    <n v="5"/>
    <m/>
    <n v="0"/>
    <m/>
    <n v="0"/>
    <m/>
    <n v="0"/>
    <n v="5302681.0000000028"/>
    <n v="0"/>
    <n v="5"/>
    <n v="0"/>
    <n v="0"/>
    <n v="0"/>
    <x v="0"/>
    <s v=""/>
    <n v="5"/>
    <s v="2018 (triag)"/>
    <n v="5"/>
    <s v="2018 (triag)"/>
    <x v="1"/>
    <n v="5"/>
    <n v="5"/>
    <s v="No change"/>
    <n v="0.14269498586031326"/>
    <n v="5.4673730437993617E-2"/>
    <n v="2.4496936676634662"/>
    <n v="5.8911964163338171"/>
    <x v="0"/>
    <n v="1.0226222447744515E-2"/>
    <n v="9.4291925160121786E-3"/>
  </r>
  <r>
    <x v="22"/>
    <s v="LBR"/>
    <n v="4331756.5"/>
    <x v="11"/>
    <n v="0"/>
    <n v="4427312.4999999991"/>
    <n v="0"/>
    <m/>
    <n v="0"/>
    <m/>
    <n v="0"/>
    <m/>
    <n v="0"/>
    <m/>
    <n v="0"/>
    <n v="4889391"/>
    <n v="0"/>
    <n v="4311"/>
    <m/>
    <n v="0"/>
    <m/>
    <n v="0"/>
    <m/>
    <n v="0"/>
    <n v="5302681.0000000028"/>
    <n v="0"/>
    <n v="4311"/>
    <n v="0"/>
    <n v="0"/>
    <n v="0"/>
    <x v="0"/>
    <s v=""/>
    <n v="4311"/>
    <s v="2018 (triag)"/>
    <n v="4311"/>
    <s v="2018 (triag)"/>
    <x v="1"/>
    <n v="4311"/>
    <n v="4311"/>
    <s v="No change"/>
    <n v="0.14269498586031326"/>
    <n v="5.4673730437993617E-2"/>
    <n v="2112.1258802594407"/>
    <n v="5079.3895501630168"/>
    <x v="0"/>
    <n v="8.8170489944453205"/>
    <n v="8.1298497873056998"/>
  </r>
  <r>
    <x v="22"/>
    <s v="LBR"/>
    <n v="4331757.5"/>
    <x v="12"/>
    <n v="0"/>
    <n v="4427312.4999999991"/>
    <n v="0"/>
    <m/>
    <n v="0"/>
    <m/>
    <n v="0"/>
    <m/>
    <n v="0"/>
    <m/>
    <n v="0"/>
    <n v="4889391"/>
    <n v="0"/>
    <n v="3601"/>
    <m/>
    <n v="0"/>
    <m/>
    <n v="0"/>
    <m/>
    <n v="0"/>
    <n v="5302681.0000000028"/>
    <n v="0"/>
    <n v="3601"/>
    <n v="0"/>
    <n v="0"/>
    <n v="0"/>
    <x v="0"/>
    <s v=""/>
    <n v="3601"/>
    <s v="2018 (triag)"/>
    <n v="3601"/>
    <s v="2018 (triag)"/>
    <x v="1"/>
    <n v="3601"/>
    <n v="3601"/>
    <s v="No change"/>
    <n v="0.14269498586031326"/>
    <n v="5.4673730437993617E-2"/>
    <n v="1764.2693794512284"/>
    <n v="4242.839659043615"/>
    <x v="0"/>
    <n v="7.3649254068655994"/>
    <n v="6.7909044500319711"/>
  </r>
  <r>
    <x v="22"/>
    <s v="LBR"/>
    <n v="4331758.5"/>
    <x v="13"/>
    <n v="0"/>
    <n v="4427312.4999999991"/>
    <n v="0"/>
    <m/>
    <n v="0"/>
    <m/>
    <n v="0"/>
    <m/>
    <n v="0"/>
    <m/>
    <n v="0"/>
    <n v="4889391"/>
    <n v="0"/>
    <n v="0"/>
    <m/>
    <n v="0"/>
    <m/>
    <n v="0"/>
    <m/>
    <n v="0"/>
    <n v="5302681.0000000028"/>
    <n v="0"/>
    <n v="0"/>
    <n v="0"/>
    <n v="0"/>
    <n v="0"/>
    <x v="0"/>
    <s v=""/>
    <m/>
    <s v=""/>
    <n v="0"/>
    <s v=""/>
    <x v="1"/>
    <m/>
    <n v="0"/>
    <s v="No change"/>
    <n v="0.14269498586031326"/>
    <n v="5.4673730437993617E-2"/>
    <n v="0"/>
    <n v="0"/>
    <x v="0"/>
    <n v="0"/>
    <n v="0"/>
  </r>
  <r>
    <x v="22"/>
    <s v="LBR"/>
    <n v="4331759.5"/>
    <x v="14"/>
    <n v="0"/>
    <n v="4427312.4999999991"/>
    <n v="0"/>
    <m/>
    <n v="0"/>
    <m/>
    <n v="0"/>
    <m/>
    <n v="0"/>
    <m/>
    <n v="0"/>
    <n v="4889391"/>
    <n v="0"/>
    <n v="0"/>
    <m/>
    <n v="0"/>
    <m/>
    <n v="0"/>
    <m/>
    <n v="0"/>
    <n v="5302681.0000000028"/>
    <n v="0"/>
    <n v="0"/>
    <n v="0"/>
    <n v="0"/>
    <n v="0"/>
    <x v="0"/>
    <s v=""/>
    <m/>
    <s v=""/>
    <n v="0"/>
    <s v=""/>
    <x v="1"/>
    <m/>
    <n v="0"/>
    <s v="No change"/>
    <n v="0.14269498586031326"/>
    <n v="5.4673730437993617E-2"/>
    <n v="0"/>
    <n v="0"/>
    <x v="0"/>
    <n v="0"/>
    <n v="0"/>
  </r>
  <r>
    <x v="22"/>
    <s v="LBR"/>
    <n v="4331760.5"/>
    <x v="15"/>
    <n v="0"/>
    <n v="4427312.4999999991"/>
    <n v="0"/>
    <m/>
    <n v="0"/>
    <m/>
    <n v="0"/>
    <m/>
    <n v="0"/>
    <m/>
    <n v="0"/>
    <n v="4889391"/>
    <n v="0"/>
    <n v="3"/>
    <m/>
    <n v="0"/>
    <m/>
    <n v="0"/>
    <m/>
    <n v="0"/>
    <n v="5302681.0000000028"/>
    <n v="0"/>
    <n v="3"/>
    <n v="0"/>
    <n v="0"/>
    <n v="0"/>
    <x v="0"/>
    <s v=""/>
    <n v="3"/>
    <s v="2018 (triag)"/>
    <n v="3"/>
    <s v="2018 (triag)"/>
    <x v="1"/>
    <n v="3"/>
    <n v="3"/>
    <s v="No change"/>
    <n v="0.14269498586031326"/>
    <n v="5.4673730437993617E-2"/>
    <n v="1.4698162005980797"/>
    <n v="3.5347178498002902"/>
    <x v="0"/>
    <n v="6.1357334686467091E-3"/>
    <n v="5.657515509607307E-3"/>
  </r>
  <r>
    <x v="22"/>
    <s v="LBR"/>
    <n v="4331761.5"/>
    <x v="16"/>
    <n v="0"/>
    <n v="4427312.4999999991"/>
    <n v="0"/>
    <m/>
    <n v="0"/>
    <m/>
    <n v="0"/>
    <m/>
    <n v="0"/>
    <m/>
    <n v="0"/>
    <n v="4889391"/>
    <n v="0"/>
    <n v="0"/>
    <m/>
    <n v="0"/>
    <m/>
    <n v="0"/>
    <m/>
    <n v="0"/>
    <n v="5302681.0000000028"/>
    <n v="0"/>
    <n v="0"/>
    <n v="0"/>
    <n v="0"/>
    <n v="0"/>
    <x v="0"/>
    <s v=""/>
    <m/>
    <s v=""/>
    <n v="0"/>
    <s v=""/>
    <x v="1"/>
    <m/>
    <n v="0"/>
    <s v="No change"/>
    <n v="0.14269498586031326"/>
    <n v="5.4673730437993617E-2"/>
    <n v="0"/>
    <n v="0"/>
    <x v="0"/>
    <n v="0"/>
    <n v="0"/>
  </r>
  <r>
    <x v="22"/>
    <s v="LBR"/>
    <n v="4331762.5"/>
    <x v="17"/>
    <n v="0"/>
    <n v="4427312.4999999991"/>
    <n v="0"/>
    <m/>
    <n v="0"/>
    <m/>
    <n v="0"/>
    <m/>
    <n v="0"/>
    <m/>
    <n v="0"/>
    <n v="4889391"/>
    <n v="0"/>
    <n v="0"/>
    <m/>
    <n v="0"/>
    <m/>
    <n v="0"/>
    <m/>
    <n v="0"/>
    <n v="5302681.0000000028"/>
    <n v="0"/>
    <n v="0"/>
    <n v="0"/>
    <n v="0"/>
    <n v="0"/>
    <x v="0"/>
    <s v=""/>
    <m/>
    <s v=""/>
    <n v="0"/>
    <s v=""/>
    <x v="1"/>
    <m/>
    <n v="0"/>
    <s v="No change"/>
    <n v="0.14269498586031326"/>
    <n v="5.4673730437993617E-2"/>
    <n v="0"/>
    <n v="0"/>
    <x v="0"/>
    <n v="0"/>
    <n v="0"/>
  </r>
  <r>
    <x v="22"/>
    <s v="LBR"/>
    <n v="4331763.5"/>
    <x v="18"/>
    <n v="0"/>
    <n v="4427312.4999999991"/>
    <n v="0"/>
    <m/>
    <n v="0"/>
    <m/>
    <n v="0"/>
    <m/>
    <n v="0"/>
    <m/>
    <n v="0"/>
    <n v="4889391"/>
    <n v="0"/>
    <n v="0"/>
    <m/>
    <n v="0"/>
    <m/>
    <n v="0"/>
    <m/>
    <n v="0"/>
    <n v="5302681.0000000028"/>
    <n v="0"/>
    <n v="0"/>
    <n v="0"/>
    <n v="0"/>
    <n v="0"/>
    <x v="0"/>
    <s v=""/>
    <m/>
    <s v=""/>
    <n v="0"/>
    <s v=""/>
    <x v="1"/>
    <m/>
    <n v="0"/>
    <s v="No change"/>
    <n v="0.14269498586031326"/>
    <n v="5.4673730437993617E-2"/>
    <n v="0"/>
    <n v="0"/>
    <x v="0"/>
    <n v="0"/>
    <n v="0"/>
  </r>
  <r>
    <x v="23"/>
    <s v="LSO"/>
    <n v="2054723"/>
    <x v="0"/>
    <n v="0"/>
    <n v="2073938.4999999998"/>
    <n v="0"/>
    <m/>
    <n v="0"/>
    <m/>
    <n v="0"/>
    <m/>
    <n v="0"/>
    <m/>
    <n v="0"/>
    <n v="2198017"/>
    <n v="14508"/>
    <n v="14508"/>
    <m/>
    <n v="0"/>
    <m/>
    <n v="0"/>
    <m/>
    <n v="14508"/>
    <n v="2305825.5000000019"/>
    <n v="14508"/>
    <n v="14508"/>
    <n v="0"/>
    <n v="14508"/>
    <n v="14508"/>
    <x v="0"/>
    <s v=""/>
    <n v="14508"/>
    <n v="2018"/>
    <n v="14508"/>
    <n v="2021"/>
    <x v="1"/>
    <n v="14508"/>
    <n v="14508"/>
    <s v="No change"/>
    <n v="-2.9414192821425544E-2"/>
    <n v="0.35384209356504925"/>
    <n v="16806.591918109276"/>
    <n v="41939.432834201732"/>
    <x v="0"/>
    <n v="66.004949006308863"/>
    <n v="62.918898242733405"/>
  </r>
  <r>
    <x v="23"/>
    <s v="LSO"/>
    <n v="2054724"/>
    <x v="1"/>
    <n v="0"/>
    <n v="2073938.4999999998"/>
    <n v="11"/>
    <m/>
    <n v="0"/>
    <m/>
    <n v="16"/>
    <m/>
    <n v="0"/>
    <m/>
    <n v="0"/>
    <n v="2198017"/>
    <n v="0"/>
    <n v="29"/>
    <m/>
    <n v="0"/>
    <m/>
    <n v="43"/>
    <m/>
    <n v="0"/>
    <n v="2305825.5000000019"/>
    <n v="0"/>
    <n v="29"/>
    <n v="16"/>
    <n v="0"/>
    <n v="43"/>
    <x v="47"/>
    <n v="2013"/>
    <n v="29"/>
    <s v="2018 (triag)"/>
    <n v="43"/>
    <n v="2020"/>
    <x v="1"/>
    <n v="43"/>
    <n v="43"/>
    <s v="Increasing"/>
    <n v="-2.9414192821425544E-2"/>
    <n v="0.35384209356504925"/>
    <n v="33.59464885753853"/>
    <n v="83.832613192159513"/>
    <x v="62"/>
    <n v="0.13193710512703041"/>
    <n v="0.18648418971860606"/>
  </r>
  <r>
    <x v="23"/>
    <s v="LSO"/>
    <n v="2054725"/>
    <x v="2"/>
    <n v="0"/>
    <n v="2073938.4999999998"/>
    <n v="205"/>
    <m/>
    <n v="0"/>
    <m/>
    <n v="142"/>
    <m/>
    <n v="0"/>
    <m/>
    <n v="0"/>
    <n v="2198017"/>
    <n v="0"/>
    <n v="144"/>
    <m/>
    <n v="0"/>
    <m/>
    <n v="0"/>
    <m/>
    <n v="144"/>
    <n v="2305825.5000000019"/>
    <n v="144"/>
    <n v="144"/>
    <n v="205"/>
    <n v="0"/>
    <n v="144"/>
    <x v="60"/>
    <n v="2013"/>
    <n v="144"/>
    <s v="2018 (triag)"/>
    <n v="144"/>
    <n v="2021"/>
    <x v="1"/>
    <n v="144"/>
    <n v="144"/>
    <s v="No change"/>
    <n v="-2.9414192821425544E-2"/>
    <n v="0.35384209356504925"/>
    <n v="166.81480812019132"/>
    <n v="416.27228619555069"/>
    <x v="63"/>
    <n v="0.65513597028594406"/>
    <n v="0.6245051934762621"/>
  </r>
  <r>
    <x v="23"/>
    <s v="LSO"/>
    <n v="2054726"/>
    <x v="3"/>
    <n v="0"/>
    <n v="2073938.4999999998"/>
    <n v="0"/>
    <m/>
    <n v="0"/>
    <m/>
    <n v="0"/>
    <m/>
    <n v="0"/>
    <m/>
    <n v="0"/>
    <n v="2198017"/>
    <n v="0"/>
    <n v="849"/>
    <m/>
    <n v="0"/>
    <m/>
    <n v="0"/>
    <m/>
    <n v="0"/>
    <n v="2305825.5000000019"/>
    <n v="0"/>
    <n v="849"/>
    <n v="0"/>
    <n v="0"/>
    <n v="0"/>
    <x v="0"/>
    <s v=""/>
    <n v="849"/>
    <s v="2018 (triag)"/>
    <n v="849"/>
    <s v="2018 (triag)"/>
    <x v="1"/>
    <n v="849"/>
    <n v="849"/>
    <s v="No change"/>
    <n v="-2.9414192821425544E-2"/>
    <n v="0.35384209356504925"/>
    <n v="983.51230620862793"/>
    <n v="2454.272020694601"/>
    <x v="0"/>
    <n v="3.8625724914775454"/>
    <n v="3.6819785365371289"/>
  </r>
  <r>
    <x v="23"/>
    <s v="LSO"/>
    <n v="2054727"/>
    <x v="4"/>
    <n v="0"/>
    <n v="2073938.4999999998"/>
    <n v="0"/>
    <m/>
    <n v="0"/>
    <m/>
    <n v="0"/>
    <m/>
    <n v="0"/>
    <m/>
    <n v="0"/>
    <n v="2198017"/>
    <n v="0"/>
    <n v="110"/>
    <m/>
    <n v="0"/>
    <m/>
    <n v="0"/>
    <m/>
    <n v="0"/>
    <n v="2305825.5000000019"/>
    <n v="33"/>
    <n v="110"/>
    <n v="0"/>
    <n v="0"/>
    <n v="33"/>
    <x v="0"/>
    <s v=""/>
    <n v="110"/>
    <s v="2018 (triag)"/>
    <n v="33"/>
    <n v="2022"/>
    <x v="0"/>
    <n v="42.162196889826042"/>
    <n v="110"/>
    <s v="Decreasing"/>
    <n v="-2.9414192821425544E-2"/>
    <n v="0.35384209356504925"/>
    <n v="127.42797842514614"/>
    <n v="317.98577417715677"/>
    <x v="0"/>
    <n v="0.500451088412874"/>
    <n v="0.18285077031989633"/>
  </r>
  <r>
    <x v="23"/>
    <s v="LSO"/>
    <n v="2054728"/>
    <x v="5"/>
    <n v="0"/>
    <n v="2073938.4999999998"/>
    <n v="0"/>
    <m/>
    <n v="0"/>
    <m/>
    <n v="0"/>
    <m/>
    <n v="0"/>
    <m/>
    <n v="0"/>
    <n v="2198017"/>
    <n v="0"/>
    <n v="10"/>
    <m/>
    <n v="6"/>
    <m/>
    <n v="0"/>
    <m/>
    <n v="13"/>
    <n v="2305825.5000000019"/>
    <n v="13"/>
    <n v="10"/>
    <n v="0"/>
    <n v="6"/>
    <n v="13"/>
    <x v="0"/>
    <s v=""/>
    <n v="10"/>
    <s v="2018 (triag)"/>
    <n v="13"/>
    <n v="2021"/>
    <x v="1"/>
    <n v="13"/>
    <n v="13"/>
    <s v="Increasing"/>
    <n v="-2.9414192821425544E-2"/>
    <n v="0.35384209356504925"/>
    <n v="11.584361675013286"/>
    <n v="28.907797652468798"/>
    <x v="0"/>
    <n v="4.5495553492079455E-2"/>
    <n v="5.6378941077718105E-2"/>
  </r>
  <r>
    <x v="23"/>
    <s v="LSO"/>
    <n v="2054729"/>
    <x v="6"/>
    <n v="0"/>
    <n v="2073938.4999999998"/>
    <n v="0"/>
    <m/>
    <n v="0"/>
    <m/>
    <n v="0"/>
    <m/>
    <n v="0"/>
    <m/>
    <n v="0"/>
    <n v="2198017"/>
    <n v="205"/>
    <n v="416"/>
    <m/>
    <n v="0"/>
    <m/>
    <n v="0"/>
    <m/>
    <m/>
    <n v="2305825.5000000019"/>
    <n v="0"/>
    <n v="416"/>
    <n v="0"/>
    <n v="205"/>
    <n v="0"/>
    <x v="0"/>
    <s v=""/>
    <n v="416"/>
    <s v="2018 (triag)"/>
    <n v="416"/>
    <s v="2018 (triag)"/>
    <x v="1"/>
    <n v="416"/>
    <n v="416"/>
    <s v="No change"/>
    <n v="-2.9414192821425544E-2"/>
    <n v="0.35384209356504925"/>
    <n v="481.90944568055266"/>
    <n v="1202.5643823427019"/>
    <x v="0"/>
    <n v="1.8926150252705052"/>
    <n v="1.8041261144869793"/>
  </r>
  <r>
    <x v="23"/>
    <s v="LSO"/>
    <n v="2054730"/>
    <x v="7"/>
    <n v="0"/>
    <n v="2073938.4999999998"/>
    <n v="0"/>
    <m/>
    <n v="0"/>
    <m/>
    <n v="0"/>
    <m/>
    <n v="0"/>
    <m/>
    <n v="0"/>
    <n v="2198017"/>
    <n v="0"/>
    <n v="71"/>
    <m/>
    <n v="0"/>
    <m/>
    <n v="0"/>
    <m/>
    <n v="0"/>
    <n v="2305825.5000000019"/>
    <n v="5"/>
    <n v="71"/>
    <n v="0"/>
    <n v="0"/>
    <n v="5"/>
    <x v="0"/>
    <s v=""/>
    <n v="71"/>
    <s v="2018 (triag)"/>
    <n v="5"/>
    <n v="2022"/>
    <x v="0"/>
    <n v="6.388211649973643"/>
    <n v="71"/>
    <s v="Decreasing"/>
    <n v="-2.9414192821425544E-2"/>
    <n v="0.35384209356504925"/>
    <n v="82.248967892594322"/>
    <n v="205.24536333252846"/>
    <x v="0"/>
    <n v="0.32301842979376411"/>
    <n v="2.7704662169681264E-2"/>
  </r>
  <r>
    <x v="23"/>
    <s v="LSO"/>
    <n v="2054731"/>
    <x v="8"/>
    <n v="0"/>
    <n v="2073938.4999999998"/>
    <n v="0"/>
    <m/>
    <n v="0"/>
    <m/>
    <n v="0"/>
    <m/>
    <n v="0"/>
    <m/>
    <n v="0"/>
    <n v="2198017"/>
    <n v="0"/>
    <n v="41"/>
    <m/>
    <n v="0"/>
    <m/>
    <n v="0"/>
    <m/>
    <n v="41"/>
    <n v="2305825.5000000019"/>
    <n v="76"/>
    <n v="41"/>
    <n v="0"/>
    <n v="0"/>
    <n v="76"/>
    <x v="0"/>
    <s v=""/>
    <n v="41"/>
    <s v="2018 (triag)"/>
    <n v="76"/>
    <n v="2022"/>
    <x v="1"/>
    <n v="76"/>
    <n v="76"/>
    <s v="Increasing"/>
    <n v="-2.9414192821425544E-2"/>
    <n v="0.35384209356504925"/>
    <n v="47.495882867554471"/>
    <n v="118.52197037512208"/>
    <x v="0"/>
    <n v="0.18653176931752574"/>
    <n v="0.32959996322358276"/>
  </r>
  <r>
    <x v="23"/>
    <s v="LSO"/>
    <n v="2054732"/>
    <x v="9"/>
    <n v="0"/>
    <n v="2073938.4999999998"/>
    <n v="0"/>
    <m/>
    <n v="0"/>
    <m/>
    <n v="0"/>
    <m/>
    <n v="0"/>
    <m/>
    <n v="0"/>
    <n v="2198017"/>
    <n v="0"/>
    <n v="349"/>
    <m/>
    <n v="0"/>
    <m/>
    <n v="0"/>
    <m/>
    <n v="0"/>
    <n v="2305825.5000000019"/>
    <n v="0"/>
    <n v="349"/>
    <n v="0"/>
    <n v="0"/>
    <n v="0"/>
    <x v="0"/>
    <s v=""/>
    <n v="349"/>
    <s v="2018 (triag)"/>
    <n v="349"/>
    <s v="2018 (triag)"/>
    <x v="1"/>
    <n v="349"/>
    <n v="349"/>
    <s v="No change"/>
    <n v="-2.9414192821425544E-2"/>
    <n v="0.35384209356504925"/>
    <n v="404.29422245796366"/>
    <n v="1008.8821380711611"/>
    <x v="0"/>
    <n v="1.5877948168735729"/>
    <n v="1.5135577258556629"/>
  </r>
  <r>
    <x v="23"/>
    <s v="LSO"/>
    <n v="2054733"/>
    <x v="10"/>
    <n v="0"/>
    <n v="2073938.4999999998"/>
    <n v="0"/>
    <m/>
    <n v="0"/>
    <m/>
    <n v="0"/>
    <m/>
    <n v="0"/>
    <m/>
    <n v="0"/>
    <n v="2198017"/>
    <n v="0"/>
    <n v="8"/>
    <m/>
    <n v="0"/>
    <m/>
    <n v="0"/>
    <m/>
    <n v="13"/>
    <n v="2305825.5000000019"/>
    <n v="13"/>
    <n v="8"/>
    <n v="0"/>
    <n v="0"/>
    <n v="13"/>
    <x v="0"/>
    <s v=""/>
    <n v="8"/>
    <s v="2018 (triag)"/>
    <n v="13"/>
    <n v="2021"/>
    <x v="1"/>
    <n v="13"/>
    <n v="13"/>
    <s v="Increasing"/>
    <n v="-2.9414192821425544E-2"/>
    <n v="0.35384209356504925"/>
    <n v="9.2674893400106289"/>
    <n v="23.126238121975039"/>
    <x v="0"/>
    <n v="3.639644279366356E-2"/>
    <n v="5.6378941077718105E-2"/>
  </r>
  <r>
    <x v="23"/>
    <s v="LSO"/>
    <n v="2054734"/>
    <x v="11"/>
    <n v="0"/>
    <n v="2073938.4999999998"/>
    <n v="0"/>
    <m/>
    <n v="0"/>
    <m/>
    <n v="0"/>
    <m/>
    <n v="0"/>
    <m/>
    <n v="0"/>
    <n v="2198017"/>
    <n v="0"/>
    <n v="2130"/>
    <m/>
    <n v="0"/>
    <m/>
    <n v="0"/>
    <m/>
    <n v="0"/>
    <n v="2305825.5000000019"/>
    <n v="620"/>
    <n v="2130"/>
    <n v="0"/>
    <n v="0"/>
    <n v="620"/>
    <x v="0"/>
    <s v=""/>
    <n v="2130"/>
    <s v="2018 (triag)"/>
    <n v="620"/>
    <n v="2022"/>
    <x v="0"/>
    <n v="792.13824459673174"/>
    <n v="2130"/>
    <s v="Decreasing"/>
    <n v="-2.9414192821425544E-2"/>
    <n v="0.35384209356504925"/>
    <n v="2467.4690367778298"/>
    <n v="6157.3608999758544"/>
    <x v="0"/>
    <n v="9.6905528938129226"/>
    <n v="3.4353781090404762"/>
  </r>
  <r>
    <x v="23"/>
    <s v="LSO"/>
    <n v="2054735"/>
    <x v="12"/>
    <n v="0"/>
    <n v="2073938.4999999998"/>
    <n v="0"/>
    <m/>
    <n v="0"/>
    <m/>
    <n v="0"/>
    <m/>
    <n v="0"/>
    <m/>
    <n v="0"/>
    <n v="2198017"/>
    <n v="0"/>
    <n v="58"/>
    <m/>
    <n v="0"/>
    <m/>
    <n v="0"/>
    <m/>
    <n v="0"/>
    <n v="2305825.5000000019"/>
    <n v="0"/>
    <n v="58"/>
    <n v="0"/>
    <n v="0"/>
    <n v="0"/>
    <x v="0"/>
    <s v=""/>
    <n v="58"/>
    <s v="2018 (triag)"/>
    <n v="58"/>
    <s v="2018 (triag)"/>
    <x v="1"/>
    <n v="58"/>
    <n v="58"/>
    <s v="No change"/>
    <n v="-2.9414192821425544E-2"/>
    <n v="0.35384209356504925"/>
    <n v="67.189297715077061"/>
    <n v="167.66522638431903"/>
    <x v="0"/>
    <n v="0.26387421025406083"/>
    <n v="0.25153681403905004"/>
  </r>
  <r>
    <x v="23"/>
    <s v="LSO"/>
    <n v="2054736"/>
    <x v="13"/>
    <n v="0"/>
    <n v="2073938.4999999998"/>
    <n v="0"/>
    <m/>
    <n v="0"/>
    <m/>
    <n v="0"/>
    <m/>
    <n v="0"/>
    <m/>
    <n v="0"/>
    <n v="2198017"/>
    <n v="0"/>
    <n v="205"/>
    <m/>
    <n v="0"/>
    <m/>
    <n v="0"/>
    <m/>
    <n v="273"/>
    <n v="2305825.5000000019"/>
    <n v="273"/>
    <n v="205"/>
    <n v="0"/>
    <n v="0"/>
    <n v="273"/>
    <x v="0"/>
    <s v=""/>
    <n v="205"/>
    <s v="2018 (triag)"/>
    <n v="273"/>
    <n v="2021"/>
    <x v="1"/>
    <n v="273"/>
    <n v="273"/>
    <s v="Increasing"/>
    <n v="-2.9414192821425544E-2"/>
    <n v="0.35384209356504925"/>
    <n v="237.47941433777234"/>
    <n v="592.60985187561039"/>
    <x v="0"/>
    <n v="0.93265884658762876"/>
    <n v="1.1839577626320803"/>
  </r>
  <r>
    <x v="23"/>
    <s v="LSO"/>
    <n v="2054737"/>
    <x v="14"/>
    <n v="0"/>
    <n v="2073938.4999999998"/>
    <n v="0"/>
    <m/>
    <n v="0"/>
    <m/>
    <n v="0"/>
    <m/>
    <n v="0"/>
    <m/>
    <n v="0"/>
    <n v="2198017"/>
    <n v="0"/>
    <n v="4"/>
    <m/>
    <n v="0"/>
    <m/>
    <n v="0"/>
    <m/>
    <n v="0"/>
    <n v="2305825.5000000019"/>
    <n v="2"/>
    <n v="4"/>
    <n v="0"/>
    <n v="0"/>
    <n v="2"/>
    <x v="0"/>
    <s v=""/>
    <n v="4"/>
    <s v="2018 (triag)"/>
    <n v="2"/>
    <n v="2022"/>
    <x v="0"/>
    <n v="2.5552846599894572"/>
    <n v="4"/>
    <s v="Decreasing"/>
    <n v="-2.9414192821425544E-2"/>
    <n v="0.35384209356504925"/>
    <n v="4.6337446700053144"/>
    <n v="11.563119060987519"/>
    <x v="0"/>
    <n v="1.819822139683178E-2"/>
    <n v="1.1081864867872505E-2"/>
  </r>
  <r>
    <x v="23"/>
    <s v="LSO"/>
    <n v="2054738"/>
    <x v="15"/>
    <n v="0"/>
    <n v="2073938.4999999998"/>
    <n v="0"/>
    <m/>
    <n v="0"/>
    <m/>
    <n v="0"/>
    <m/>
    <n v="0"/>
    <m/>
    <n v="0"/>
    <n v="2198017"/>
    <n v="0"/>
    <n v="22"/>
    <m/>
    <n v="0"/>
    <m/>
    <n v="0"/>
    <m/>
    <n v="22"/>
    <n v="2305825.5000000019"/>
    <n v="7"/>
    <n v="22"/>
    <n v="0"/>
    <n v="0"/>
    <n v="22"/>
    <x v="0"/>
    <s v=""/>
    <n v="22"/>
    <s v="2018 (triag)"/>
    <n v="7"/>
    <n v="2022"/>
    <x v="0"/>
    <n v="8.9434963099631002"/>
    <n v="22"/>
    <s v="Decreasing"/>
    <n v="-2.9414192821425544E-2"/>
    <n v="0.35384209356504925"/>
    <n v="25.485595685029228"/>
    <n v="63.597154835431354"/>
    <x v="0"/>
    <n v="0.1000902176825748"/>
    <n v="3.8786527037553767E-2"/>
  </r>
  <r>
    <x v="23"/>
    <s v="LSO"/>
    <n v="2054739"/>
    <x v="16"/>
    <n v="0"/>
    <n v="2073938.4999999998"/>
    <n v="0"/>
    <m/>
    <n v="0"/>
    <m/>
    <n v="0"/>
    <m/>
    <n v="0"/>
    <m/>
    <n v="0"/>
    <n v="2198017"/>
    <n v="0"/>
    <n v="0"/>
    <m/>
    <n v="0"/>
    <m/>
    <n v="0"/>
    <m/>
    <n v="0"/>
    <n v="2305825.5000000019"/>
    <n v="0"/>
    <n v="0"/>
    <n v="0"/>
    <n v="0"/>
    <n v="0"/>
    <x v="0"/>
    <s v=""/>
    <m/>
    <s v=""/>
    <n v="0"/>
    <s v=""/>
    <x v="1"/>
    <m/>
    <n v="0"/>
    <s v="No change"/>
    <n v="-2.9414192821425544E-2"/>
    <n v="0.35384209356504925"/>
    <n v="0"/>
    <n v="0"/>
    <x v="0"/>
    <n v="0"/>
    <n v="0"/>
  </r>
  <r>
    <x v="23"/>
    <s v="LSO"/>
    <n v="2054740"/>
    <x v="17"/>
    <n v="0"/>
    <n v="2073938.4999999998"/>
    <n v="0"/>
    <m/>
    <n v="0"/>
    <m/>
    <n v="0"/>
    <m/>
    <n v="0"/>
    <m/>
    <n v="0"/>
    <n v="2198017"/>
    <n v="0"/>
    <n v="0"/>
    <m/>
    <n v="0"/>
    <m/>
    <n v="0"/>
    <m/>
    <n v="0"/>
    <n v="2305825.5000000019"/>
    <n v="0"/>
    <n v="0"/>
    <n v="0"/>
    <n v="0"/>
    <n v="0"/>
    <x v="0"/>
    <s v=""/>
    <m/>
    <s v=""/>
    <n v="0"/>
    <s v=""/>
    <x v="1"/>
    <m/>
    <n v="0"/>
    <s v="No change"/>
    <n v="-2.9414192821425544E-2"/>
    <n v="0.35384209356504925"/>
    <n v="0"/>
    <n v="0"/>
    <x v="0"/>
    <n v="0"/>
    <n v="0"/>
  </r>
  <r>
    <x v="23"/>
    <s v="LSO"/>
    <n v="2054741"/>
    <x v="18"/>
    <n v="0"/>
    <n v="2073938.4999999998"/>
    <n v="0"/>
    <m/>
    <n v="0"/>
    <m/>
    <n v="0"/>
    <m/>
    <n v="0"/>
    <m/>
    <n v="0"/>
    <n v="2198017"/>
    <n v="0"/>
    <n v="6097"/>
    <m/>
    <n v="0"/>
    <m/>
    <n v="0"/>
    <m/>
    <n v="0"/>
    <n v="2305825.5000000019"/>
    <n v="0"/>
    <n v="6097"/>
    <n v="0"/>
    <n v="0"/>
    <n v="0"/>
    <x v="0"/>
    <s v=""/>
    <n v="6097"/>
    <s v="2018 (triag)"/>
    <n v="6097"/>
    <s v="2018 (triag)"/>
    <x v="1"/>
    <n v="6097"/>
    <n v="6097"/>
    <s v="No change"/>
    <n v="-2.9414192821425544E-2"/>
    <n v="0.35384209356504925"/>
    <n v="7062.9853132556"/>
    <n v="17625.084228710228"/>
    <x v="0"/>
    <n v="27.738638964120842"/>
    <n v="26.441723365449793"/>
  </r>
  <r>
    <x v="24"/>
    <s v="MDG"/>
    <n v="22966245"/>
    <x v="0"/>
    <n v="0"/>
    <n v="23588073.5"/>
    <n v="0"/>
    <m/>
    <n v="0"/>
    <m/>
    <n v="0"/>
    <m/>
    <n v="0"/>
    <m/>
    <n v="0"/>
    <n v="26846541"/>
    <n v="35000"/>
    <n v="35000"/>
    <m/>
    <n v="38338"/>
    <m/>
    <n v="41616"/>
    <m/>
    <n v="41616"/>
    <n v="29611714.000000004"/>
    <n v="0"/>
    <n v="35000"/>
    <n v="0"/>
    <n v="38338"/>
    <n v="41616"/>
    <x v="0"/>
    <s v=""/>
    <n v="35000"/>
    <n v="2018"/>
    <n v="41616"/>
    <n v="2020"/>
    <x v="1"/>
    <n v="41616"/>
    <n v="41616"/>
    <s v="Increasing"/>
    <n v="4.1448317953169944E-2"/>
    <n v="6.6454487825566844E-3"/>
    <n v="28448.813976974463"/>
    <n v="35704.774089324441"/>
    <x v="0"/>
    <n v="13.037061273554757"/>
    <n v="14.053897724393797"/>
  </r>
  <r>
    <x v="24"/>
    <s v="MDG"/>
    <n v="22966246"/>
    <x v="1"/>
    <n v="0"/>
    <n v="23588073.5"/>
    <n v="0"/>
    <m/>
    <n v="0"/>
    <m/>
    <n v="0"/>
    <m/>
    <n v="0"/>
    <m/>
    <n v="0"/>
    <n v="26846541"/>
    <n v="0"/>
    <n v="414"/>
    <m/>
    <n v="0"/>
    <m/>
    <n v="0"/>
    <m/>
    <n v="0"/>
    <n v="29611714.000000004"/>
    <n v="0"/>
    <n v="414"/>
    <n v="0"/>
    <n v="0"/>
    <n v="0"/>
    <x v="0"/>
    <s v=""/>
    <n v="414"/>
    <s v="2018 (triag)"/>
    <n v="414"/>
    <s v="2018 (triag)"/>
    <x v="1"/>
    <n v="414"/>
    <n v="414"/>
    <s v="No change"/>
    <n v="4.1448317953169944E-2"/>
    <n v="6.6454487825566844E-3"/>
    <n v="336.50882818478362"/>
    <n v="422.33647065658056"/>
    <x v="0"/>
    <n v="0.15420981049290483"/>
    <n v="0.13980953618557843"/>
  </r>
  <r>
    <x v="24"/>
    <s v="MDG"/>
    <n v="22966247"/>
    <x v="2"/>
    <n v="0"/>
    <n v="23588073.5"/>
    <n v="0"/>
    <m/>
    <n v="174"/>
    <m/>
    <n v="0"/>
    <m/>
    <n v="0"/>
    <m/>
    <n v="0"/>
    <n v="26846541"/>
    <n v="0"/>
    <n v="15"/>
    <m/>
    <n v="0"/>
    <m/>
    <n v="254"/>
    <m/>
    <n v="0"/>
    <n v="29611714.000000004"/>
    <n v="0"/>
    <n v="15"/>
    <n v="174"/>
    <n v="0"/>
    <n v="254"/>
    <x v="61"/>
    <n v="2014"/>
    <n v="15"/>
    <s v="2018 (triag)"/>
    <n v="254"/>
    <n v="2020"/>
    <x v="1"/>
    <n v="254"/>
    <n v="254"/>
    <s v="Increasing"/>
    <n v="4.1448317953169944E-2"/>
    <n v="6.6454487825566844E-3"/>
    <n v="12.19234884727477"/>
    <n v="15.302046038281903"/>
    <x v="64"/>
    <n v="5.5873119743806102E-3"/>
    <n v="8.5776865195982904E-2"/>
  </r>
  <r>
    <x v="24"/>
    <s v="MDG"/>
    <n v="22966248"/>
    <x v="3"/>
    <n v="0"/>
    <n v="23588073.5"/>
    <n v="0"/>
    <m/>
    <n v="0"/>
    <m/>
    <n v="0"/>
    <m/>
    <n v="0"/>
    <m/>
    <n v="0"/>
    <n v="26846541"/>
    <n v="0"/>
    <n v="311"/>
    <m/>
    <n v="0"/>
    <m/>
    <n v="0"/>
    <m/>
    <n v="0"/>
    <n v="29611714.000000004"/>
    <n v="0"/>
    <n v="311"/>
    <n v="0"/>
    <n v="0"/>
    <n v="0"/>
    <x v="0"/>
    <s v=""/>
    <n v="311"/>
    <s v="2018 (triag)"/>
    <n v="311"/>
    <s v="2018 (triag)"/>
    <x v="1"/>
    <n v="311"/>
    <n v="311"/>
    <s v="No change"/>
    <n v="4.1448317953169944E-2"/>
    <n v="6.6454487825566844E-3"/>
    <n v="252.78803276683024"/>
    <n v="317.26242119371148"/>
    <x v="0"/>
    <n v="0.11584360160215798"/>
    <n v="0.10502600423602632"/>
  </r>
  <r>
    <x v="24"/>
    <s v="MDG"/>
    <n v="22966249"/>
    <x v="4"/>
    <n v="0"/>
    <n v="23588073.5"/>
    <n v="0"/>
    <m/>
    <n v="0"/>
    <m/>
    <n v="0"/>
    <m/>
    <n v="0"/>
    <m/>
    <n v="0"/>
    <n v="26846541"/>
    <n v="0"/>
    <n v="411"/>
    <m/>
    <n v="0"/>
    <m/>
    <n v="0"/>
    <m/>
    <n v="0"/>
    <n v="29611714.000000004"/>
    <n v="0"/>
    <n v="411"/>
    <n v="0"/>
    <n v="0"/>
    <n v="0"/>
    <x v="0"/>
    <s v=""/>
    <n v="411"/>
    <s v="2018 (triag)"/>
    <n v="411"/>
    <s v="2018 (triag)"/>
    <x v="1"/>
    <n v="411"/>
    <n v="411"/>
    <s v="No change"/>
    <n v="4.1448317953169944E-2"/>
    <n v="6.6454487825566844E-3"/>
    <n v="334.07035841532871"/>
    <n v="419.27606144892417"/>
    <x v="0"/>
    <n v="0.15309234809802871"/>
    <n v="0.13879642360452352"/>
  </r>
  <r>
    <x v="24"/>
    <s v="MDG"/>
    <n v="22966250"/>
    <x v="5"/>
    <n v="0"/>
    <n v="23588073.5"/>
    <n v="0"/>
    <m/>
    <n v="0"/>
    <m/>
    <n v="0"/>
    <m/>
    <n v="0"/>
    <m/>
    <n v="0"/>
    <n v="26846541"/>
    <n v="0"/>
    <n v="52"/>
    <m/>
    <n v="12"/>
    <m/>
    <n v="0"/>
    <m/>
    <n v="0"/>
    <n v="29611714.000000004"/>
    <n v="0"/>
    <n v="52"/>
    <n v="0"/>
    <n v="12"/>
    <n v="0"/>
    <x v="0"/>
    <s v=""/>
    <n v="52"/>
    <s v="2018 (triag)"/>
    <n v="12"/>
    <s v="2018 (triag)"/>
    <x v="0"/>
    <n v="13.375262199878652"/>
    <n v="52"/>
    <s v="Decreasing"/>
    <n v="4.1448317953169944E-2"/>
    <n v="6.6454487825566844E-3"/>
    <n v="42.2668093372192"/>
    <n v="53.047092932710598"/>
    <x v="0"/>
    <n v="1.9369348177852783E-2"/>
    <n v="4.516882136535106E-3"/>
  </r>
  <r>
    <x v="24"/>
    <s v="MDG"/>
    <n v="22966251"/>
    <x v="6"/>
    <n v="0"/>
    <n v="23588073.5"/>
    <n v="0"/>
    <m/>
    <n v="0"/>
    <m/>
    <n v="0"/>
    <m/>
    <n v="0"/>
    <m/>
    <n v="0"/>
    <n v="26846541"/>
    <n v="306"/>
    <n v="306"/>
    <m/>
    <n v="0"/>
    <m/>
    <n v="0"/>
    <m/>
    <n v="0"/>
    <n v="29611714.000000004"/>
    <n v="0"/>
    <n v="0"/>
    <n v="0"/>
    <n v="306"/>
    <n v="0"/>
    <x v="0"/>
    <s v=""/>
    <n v="306"/>
    <n v="2018"/>
    <n v="306"/>
    <n v="2018"/>
    <x v="1"/>
    <n v="306"/>
    <n v="306"/>
    <s v="No change"/>
    <n v="4.1448317953169944E-2"/>
    <n v="6.6454487825566844E-3"/>
    <n v="0"/>
    <n v="0"/>
    <x v="0"/>
    <n v="0.11398116427736445"/>
    <n v="0.10333748326760145"/>
  </r>
  <r>
    <x v="24"/>
    <s v="MDG"/>
    <n v="22966252"/>
    <x v="7"/>
    <n v="0"/>
    <n v="23588073.5"/>
    <n v="0"/>
    <m/>
    <n v="0"/>
    <m/>
    <n v="0"/>
    <m/>
    <n v="0"/>
    <m/>
    <n v="0"/>
    <n v="26846541"/>
    <n v="0"/>
    <n v="0"/>
    <m/>
    <n v="0"/>
    <m/>
    <n v="0"/>
    <m/>
    <n v="0"/>
    <n v="29611714.000000004"/>
    <n v="0"/>
    <n v="0"/>
    <n v="0"/>
    <n v="0"/>
    <n v="0"/>
    <x v="0"/>
    <s v=""/>
    <m/>
    <s v=""/>
    <n v="0"/>
    <s v=""/>
    <x v="1"/>
    <m/>
    <n v="0"/>
    <s v="No change"/>
    <n v="4.1448317953169944E-2"/>
    <n v="6.6454487825566844E-3"/>
    <n v="0"/>
    <n v="0"/>
    <x v="0"/>
    <n v="0"/>
    <n v="0"/>
  </r>
  <r>
    <x v="24"/>
    <s v="MDG"/>
    <n v="22966253"/>
    <x v="8"/>
    <n v="0"/>
    <n v="23588073.5"/>
    <n v="0"/>
    <m/>
    <n v="0"/>
    <m/>
    <n v="0"/>
    <m/>
    <n v="0"/>
    <m/>
    <n v="0"/>
    <n v="26846541"/>
    <n v="0"/>
    <n v="214"/>
    <m/>
    <n v="0"/>
    <m/>
    <n v="0"/>
    <m/>
    <n v="0"/>
    <n v="29611714.000000004"/>
    <n v="0"/>
    <n v="214"/>
    <n v="0"/>
    <n v="0"/>
    <n v="0"/>
    <x v="0"/>
    <s v=""/>
    <n v="214"/>
    <s v="2018 (triag)"/>
    <n v="214"/>
    <s v="2018 (triag)"/>
    <x v="1"/>
    <n v="214"/>
    <n v="214"/>
    <s v="No change"/>
    <n v="4.1448317953169944E-2"/>
    <n v="6.6454487825566844E-3"/>
    <n v="173.94417688778671"/>
    <n v="218.30919014615515"/>
    <x v="0"/>
    <n v="7.9712317501163366E-2"/>
    <n v="7.2268697448584024E-2"/>
  </r>
  <r>
    <x v="24"/>
    <s v="MDG"/>
    <n v="22966254"/>
    <x v="9"/>
    <n v="0"/>
    <n v="23588073.5"/>
    <n v="0"/>
    <m/>
    <n v="0"/>
    <m/>
    <n v="0"/>
    <m/>
    <n v="0"/>
    <m/>
    <n v="0"/>
    <n v="26846541"/>
    <n v="0"/>
    <n v="11"/>
    <m/>
    <n v="0"/>
    <m/>
    <n v="0"/>
    <m/>
    <n v="0"/>
    <n v="29611714.000000004"/>
    <n v="0"/>
    <n v="11"/>
    <n v="0"/>
    <n v="0"/>
    <n v="0"/>
    <x v="0"/>
    <s v=""/>
    <n v="11"/>
    <s v="2018 (triag)"/>
    <n v="11"/>
    <s v="2018 (triag)"/>
    <x v="1"/>
    <n v="11"/>
    <n v="11"/>
    <s v="No change"/>
    <n v="4.1448317953169944E-2"/>
    <n v="6.6454487825566844E-3"/>
    <n v="8.9410558213348317"/>
    <n v="11.221500428073396"/>
    <x v="0"/>
    <n v="4.0973621145457811E-3"/>
    <n v="3.7147461305346925E-3"/>
  </r>
  <r>
    <x v="24"/>
    <s v="MDG"/>
    <n v="22966255"/>
    <x v="10"/>
    <n v="0"/>
    <n v="23588073.5"/>
    <n v="0"/>
    <m/>
    <n v="0"/>
    <m/>
    <n v="0"/>
    <m/>
    <n v="0"/>
    <m/>
    <n v="0"/>
    <n v="26846541"/>
    <n v="0"/>
    <n v="56"/>
    <m/>
    <n v="0"/>
    <m/>
    <n v="0"/>
    <m/>
    <n v="0"/>
    <n v="29611714.000000004"/>
    <n v="0"/>
    <n v="56"/>
    <n v="0"/>
    <n v="0"/>
    <n v="0"/>
    <x v="0"/>
    <s v=""/>
    <n v="56"/>
    <s v="2018 (triag)"/>
    <n v="56"/>
    <s v="2018 (triag)"/>
    <x v="1"/>
    <n v="56"/>
    <n v="56"/>
    <s v="No change"/>
    <n v="4.1448317953169944E-2"/>
    <n v="6.6454487825566844E-3"/>
    <n v="45.518102363159137"/>
    <n v="57.127638542919108"/>
    <x v="0"/>
    <n v="2.0859298037687612E-2"/>
    <n v="1.8911434846358436E-2"/>
  </r>
  <r>
    <x v="24"/>
    <s v="MDG"/>
    <n v="22966256"/>
    <x v="11"/>
    <n v="0"/>
    <n v="23588073.5"/>
    <n v="0"/>
    <m/>
    <n v="0"/>
    <m/>
    <n v="0"/>
    <m/>
    <n v="0"/>
    <m/>
    <n v="0"/>
    <n v="26846541"/>
    <n v="0"/>
    <n v="6355"/>
    <m/>
    <n v="0"/>
    <m/>
    <n v="0"/>
    <m/>
    <n v="0"/>
    <n v="29611714.000000004"/>
    <n v="0"/>
    <n v="6355"/>
    <n v="0"/>
    <n v="0"/>
    <n v="0"/>
    <x v="0"/>
    <s v=""/>
    <n v="6355"/>
    <s v="2018 (triag)"/>
    <n v="6355"/>
    <s v="2018 (triag)"/>
    <x v="1"/>
    <n v="6355"/>
    <n v="6355"/>
    <s v="No change"/>
    <n v="4.1448317953169944E-2"/>
    <n v="6.6454487825566844E-3"/>
    <n v="5165.4917949620776"/>
    <n v="6482.9668382187665"/>
    <x v="0"/>
    <n v="2.367157839812585"/>
    <n v="2.1461101508679974"/>
  </r>
  <r>
    <x v="24"/>
    <s v="MDG"/>
    <n v="22966257"/>
    <x v="12"/>
    <n v="0"/>
    <n v="23588073.5"/>
    <n v="0"/>
    <m/>
    <n v="0"/>
    <m/>
    <n v="0"/>
    <m/>
    <n v="0"/>
    <m/>
    <n v="0"/>
    <n v="26846541"/>
    <n v="0"/>
    <n v="0"/>
    <m/>
    <n v="0"/>
    <m/>
    <n v="0"/>
    <m/>
    <n v="0"/>
    <n v="29611714.000000004"/>
    <n v="0"/>
    <n v="0"/>
    <n v="0"/>
    <n v="0"/>
    <n v="0"/>
    <x v="0"/>
    <s v=""/>
    <m/>
    <s v=""/>
    <n v="0"/>
    <s v=""/>
    <x v="1"/>
    <m/>
    <n v="0"/>
    <s v="No change"/>
    <n v="4.1448317953169944E-2"/>
    <n v="6.6454487825566844E-3"/>
    <n v="0"/>
    <n v="0"/>
    <x v="0"/>
    <n v="0"/>
    <n v="0"/>
  </r>
  <r>
    <x v="24"/>
    <s v="MDG"/>
    <n v="22966258"/>
    <x v="13"/>
    <n v="0"/>
    <n v="23588073.5"/>
    <n v="0"/>
    <m/>
    <n v="0"/>
    <m/>
    <n v="0"/>
    <m/>
    <n v="0"/>
    <m/>
    <n v="0"/>
    <n v="26846541"/>
    <n v="0"/>
    <n v="306"/>
    <m/>
    <n v="0"/>
    <m/>
    <n v="0"/>
    <m/>
    <n v="0"/>
    <n v="29611714.000000004"/>
    <n v="0"/>
    <n v="306"/>
    <n v="0"/>
    <n v="0"/>
    <n v="0"/>
    <x v="0"/>
    <s v=""/>
    <n v="306"/>
    <s v="2018 (triag)"/>
    <n v="306"/>
    <s v="2018 (triag)"/>
    <x v="1"/>
    <n v="306"/>
    <n v="306"/>
    <s v="No change"/>
    <n v="4.1448317953169944E-2"/>
    <n v="6.6454487825566844E-3"/>
    <n v="248.72391648440529"/>
    <n v="312.1617391809508"/>
    <x v="0"/>
    <n v="0.11398116427736445"/>
    <n v="0.10333748326760145"/>
  </r>
  <r>
    <x v="24"/>
    <s v="MDG"/>
    <n v="22966259"/>
    <x v="14"/>
    <n v="0"/>
    <n v="23588073.5"/>
    <n v="0"/>
    <m/>
    <n v="0"/>
    <m/>
    <n v="0"/>
    <m/>
    <n v="0"/>
    <m/>
    <n v="0"/>
    <n v="26846541"/>
    <n v="0"/>
    <n v="0"/>
    <m/>
    <n v="0"/>
    <m/>
    <n v="0"/>
    <m/>
    <n v="0"/>
    <n v="29611714.000000004"/>
    <n v="0"/>
    <n v="0"/>
    <n v="0"/>
    <n v="0"/>
    <n v="0"/>
    <x v="0"/>
    <s v=""/>
    <m/>
    <s v=""/>
    <n v="0"/>
    <s v=""/>
    <x v="1"/>
    <m/>
    <n v="0"/>
    <s v="No change"/>
    <n v="4.1448317953169944E-2"/>
    <n v="6.6454487825566844E-3"/>
    <n v="0"/>
    <n v="0"/>
    <x v="0"/>
    <n v="0"/>
    <n v="0"/>
  </r>
  <r>
    <x v="24"/>
    <s v="MDG"/>
    <n v="22966260"/>
    <x v="15"/>
    <n v="0"/>
    <n v="23588073.5"/>
    <n v="0"/>
    <m/>
    <n v="0"/>
    <m/>
    <n v="0"/>
    <m/>
    <n v="0"/>
    <m/>
    <n v="0"/>
    <n v="26846541"/>
    <n v="0"/>
    <n v="99"/>
    <m/>
    <n v="0"/>
    <m/>
    <n v="0"/>
    <m/>
    <n v="0"/>
    <n v="29611714.000000004"/>
    <n v="0"/>
    <n v="99"/>
    <n v="0"/>
    <n v="0"/>
    <n v="0"/>
    <x v="0"/>
    <s v=""/>
    <n v="99"/>
    <s v="2018 (triag)"/>
    <n v="99"/>
    <s v="2018 (triag)"/>
    <x v="1"/>
    <n v="99"/>
    <n v="99"/>
    <s v="No change"/>
    <n v="4.1448317953169944E-2"/>
    <n v="6.6454487825566844E-3"/>
    <n v="80.469502392013482"/>
    <n v="100.99350385266057"/>
    <x v="0"/>
    <n v="3.6876259030912024E-2"/>
    <n v="3.3432715174812236E-2"/>
  </r>
  <r>
    <x v="24"/>
    <s v="MDG"/>
    <n v="22966261"/>
    <x v="16"/>
    <n v="0"/>
    <n v="23588073.5"/>
    <n v="0"/>
    <m/>
    <n v="0"/>
    <m/>
    <n v="0"/>
    <m/>
    <n v="0"/>
    <m/>
    <n v="0"/>
    <n v="26846541"/>
    <n v="0"/>
    <n v="0"/>
    <m/>
    <n v="0"/>
    <m/>
    <n v="0"/>
    <m/>
    <n v="0"/>
    <n v="29611714.000000004"/>
    <n v="0"/>
    <n v="0"/>
    <n v="0"/>
    <n v="0"/>
    <n v="0"/>
    <x v="0"/>
    <s v=""/>
    <m/>
    <s v=""/>
    <n v="0"/>
    <s v=""/>
    <x v="1"/>
    <m/>
    <n v="0"/>
    <s v="No change"/>
    <n v="4.1448317953169944E-2"/>
    <n v="6.6454487825566844E-3"/>
    <n v="0"/>
    <n v="0"/>
    <x v="0"/>
    <n v="0"/>
    <n v="0"/>
  </r>
  <r>
    <x v="24"/>
    <s v="MDG"/>
    <n v="22966262"/>
    <x v="17"/>
    <n v="0"/>
    <n v="23588073.5"/>
    <n v="0"/>
    <m/>
    <n v="0"/>
    <m/>
    <n v="0"/>
    <m/>
    <n v="0"/>
    <m/>
    <n v="0"/>
    <n v="26846541"/>
    <n v="0"/>
    <n v="0"/>
    <m/>
    <n v="0"/>
    <m/>
    <n v="0"/>
    <m/>
    <n v="0"/>
    <n v="29611714.000000004"/>
    <n v="0"/>
    <n v="0"/>
    <n v="0"/>
    <n v="0"/>
    <n v="0"/>
    <x v="0"/>
    <s v=""/>
    <m/>
    <s v=""/>
    <n v="0"/>
    <s v=""/>
    <x v="1"/>
    <m/>
    <n v="0"/>
    <s v="No change"/>
    <n v="4.1448317953169944E-2"/>
    <n v="6.6454487825566844E-3"/>
    <n v="0"/>
    <n v="0"/>
    <x v="0"/>
    <n v="0"/>
    <n v="0"/>
  </r>
  <r>
    <x v="24"/>
    <s v="MDG"/>
    <n v="22966263"/>
    <x v="18"/>
    <n v="0"/>
    <n v="23588073.5"/>
    <n v="0"/>
    <m/>
    <n v="0"/>
    <m/>
    <n v="0"/>
    <m/>
    <n v="0"/>
    <m/>
    <n v="0"/>
    <n v="26846541"/>
    <n v="0"/>
    <n v="602"/>
    <m/>
    <n v="0"/>
    <m/>
    <n v="0"/>
    <m/>
    <n v="0"/>
    <n v="29611714.000000004"/>
    <n v="0"/>
    <n v="602"/>
    <n v="0"/>
    <n v="0"/>
    <n v="0"/>
    <x v="0"/>
    <s v=""/>
    <n v="602"/>
    <s v="2018 (triag)"/>
    <n v="602"/>
    <s v="2018 (triag)"/>
    <x v="1"/>
    <n v="602"/>
    <n v="602"/>
    <s v="No change"/>
    <n v="4.1448317953169944E-2"/>
    <n v="6.6454487825566844E-3"/>
    <n v="489.31960040396075"/>
    <n v="614.12211433638038"/>
    <x v="0"/>
    <n v="0.22423745390514183"/>
    <n v="0.20329792459835319"/>
  </r>
  <r>
    <x v="25"/>
    <s v="MLI"/>
    <n v="16514692"/>
    <x v="0"/>
    <n v="0"/>
    <n v="17004032.499999996"/>
    <n v="0"/>
    <m/>
    <n v="0"/>
    <m/>
    <n v="0"/>
    <m/>
    <n v="0"/>
    <m/>
    <n v="0"/>
    <n v="19934298.000000004"/>
    <n v="1152"/>
    <n v="1152"/>
    <m/>
    <n v="0"/>
    <m/>
    <n v="3303"/>
    <m/>
    <n v="0"/>
    <n v="22593590.500000022"/>
    <n v="0"/>
    <n v="1152"/>
    <n v="0"/>
    <n v="1152"/>
    <n v="3303"/>
    <x v="0"/>
    <s v=""/>
    <n v="1152"/>
    <n v="2018"/>
    <n v="3303"/>
    <n v="2020"/>
    <x v="1"/>
    <n v="3303"/>
    <n v="3303"/>
    <s v="Increasing"/>
    <n v="3.5406206546388264E-2"/>
    <n v="8.9309654310665287E-4"/>
    <n v="965.09236185321345"/>
    <n v="1155.0906802178097"/>
    <x v="0"/>
    <n v="0.57789845421193153"/>
    <n v="1.4619190340729584"/>
  </r>
  <r>
    <x v="25"/>
    <s v="MLI"/>
    <n v="16514693"/>
    <x v="1"/>
    <n v="0"/>
    <n v="17004032.499999996"/>
    <n v="0"/>
    <m/>
    <n v="0"/>
    <m/>
    <n v="0"/>
    <m/>
    <n v="0"/>
    <m/>
    <n v="0"/>
    <n v="19934298.000000004"/>
    <n v="0"/>
    <n v="7"/>
    <m/>
    <n v="0"/>
    <m/>
    <n v="0"/>
    <m/>
    <n v="0"/>
    <n v="22593590.500000022"/>
    <n v="3342"/>
    <n v="7"/>
    <n v="0"/>
    <n v="0"/>
    <n v="3342"/>
    <x v="0"/>
    <s v=""/>
    <n v="7"/>
    <s v="2018 (triag)"/>
    <n v="3342"/>
    <n v="2022"/>
    <x v="1"/>
    <n v="3342"/>
    <n v="3342"/>
    <s v="Increasing"/>
    <n v="3.5406206546388264E-2"/>
    <n v="8.9309654310665287E-4"/>
    <n v="5.8642765043164014"/>
    <n v="7.0187801749346077"/>
    <x v="0"/>
    <n v="3.5115357460794448E-3"/>
    <n v="1.4791805667186881"/>
  </r>
  <r>
    <x v="25"/>
    <s v="MLI"/>
    <n v="16514694"/>
    <x v="2"/>
    <n v="0"/>
    <n v="17004032.499999996"/>
    <n v="0"/>
    <m/>
    <n v="0"/>
    <m/>
    <n v="0"/>
    <m/>
    <n v="0"/>
    <m/>
    <n v="0"/>
    <n v="19934298.000000004"/>
    <n v="0"/>
    <n v="78"/>
    <m/>
    <n v="146"/>
    <m/>
    <n v="0"/>
    <m/>
    <n v="0"/>
    <n v="22593590.500000022"/>
    <n v="3642"/>
    <n v="78"/>
    <n v="0"/>
    <n v="146"/>
    <n v="3642"/>
    <x v="0"/>
    <s v=""/>
    <n v="78"/>
    <s v="2018 (triag)"/>
    <n v="3642"/>
    <n v="2022"/>
    <x v="1"/>
    <n v="3642"/>
    <n v="3642"/>
    <s v="Increasing"/>
    <n v="3.5406206546388264E-2"/>
    <n v="8.9309654310665287E-4"/>
    <n v="65.344795333811319"/>
    <n v="78.209264806414197"/>
    <x v="0"/>
    <n v="3.912854117059953E-2"/>
    <n v="1.6119615870704553"/>
  </r>
  <r>
    <x v="25"/>
    <s v="MLI"/>
    <n v="16514695"/>
    <x v="3"/>
    <n v="0"/>
    <n v="17004032.499999996"/>
    <n v="0"/>
    <m/>
    <n v="0"/>
    <m/>
    <n v="0"/>
    <m/>
    <n v="0"/>
    <m/>
    <n v="0"/>
    <n v="19934298.000000004"/>
    <n v="0"/>
    <n v="2153"/>
    <m/>
    <n v="0"/>
    <m/>
    <n v="0"/>
    <m/>
    <n v="0"/>
    <n v="22593590.500000022"/>
    <n v="0"/>
    <n v="2153"/>
    <n v="0"/>
    <n v="0"/>
    <n v="0"/>
    <x v="0"/>
    <s v=""/>
    <n v="2153"/>
    <s v="2018 (triag)"/>
    <n v="2153"/>
    <s v="2018 (triag)"/>
    <x v="1"/>
    <n v="2153"/>
    <n v="2153"/>
    <s v="No change"/>
    <n v="3.5406206546388264E-2"/>
    <n v="8.9309654310665287E-4"/>
    <n v="1803.6839019704587"/>
    <n v="2158.7762452334587"/>
    <x v="0"/>
    <n v="1.0800480659012921"/>
    <n v="0.9529251227245169"/>
  </r>
  <r>
    <x v="25"/>
    <s v="MLI"/>
    <n v="16514696"/>
    <x v="4"/>
    <n v="0"/>
    <n v="17004032.499999996"/>
    <n v="0"/>
    <m/>
    <n v="0"/>
    <m/>
    <n v="0"/>
    <m/>
    <n v="0"/>
    <m/>
    <n v="0"/>
    <n v="19934298.000000004"/>
    <n v="13"/>
    <n v="25"/>
    <m/>
    <n v="0"/>
    <m/>
    <n v="0"/>
    <m/>
    <n v="0"/>
    <n v="22593590.500000022"/>
    <n v="0"/>
    <n v="25"/>
    <n v="0"/>
    <n v="13"/>
    <n v="0"/>
    <x v="0"/>
    <s v=""/>
    <n v="25"/>
    <s v="2018 (triag)"/>
    <n v="25"/>
    <s v="2018 (triag)"/>
    <x v="1"/>
    <n v="25"/>
    <n v="25"/>
    <s v="No change"/>
    <n v="3.5406206546388264E-2"/>
    <n v="8.9309654310665287E-4"/>
    <n v="20.943844658272862"/>
    <n v="25.067072053337885"/>
    <x v="0"/>
    <n v="1.2541199093140875E-2"/>
    <n v="1.1065085029313944E-2"/>
  </r>
  <r>
    <x v="25"/>
    <s v="MLI"/>
    <n v="16514697"/>
    <x v="5"/>
    <n v="0"/>
    <n v="17004032.499999996"/>
    <n v="0"/>
    <m/>
    <n v="0"/>
    <m/>
    <n v="0"/>
    <m/>
    <n v="0"/>
    <m/>
    <n v="0"/>
    <n v="19934298.000000004"/>
    <n v="15"/>
    <n v="15"/>
    <m/>
    <n v="0"/>
    <m/>
    <n v="0"/>
    <m/>
    <n v="0"/>
    <n v="22593590.500000022"/>
    <n v="0"/>
    <n v="0"/>
    <n v="0"/>
    <n v="15"/>
    <n v="0"/>
    <x v="0"/>
    <s v=""/>
    <n v="15"/>
    <n v="2018"/>
    <n v="15"/>
    <n v="2018"/>
    <x v="1"/>
    <n v="15"/>
    <n v="15"/>
    <s v="No change"/>
    <n v="3.5406206546388264E-2"/>
    <n v="8.9309654310665287E-4"/>
    <n v="0"/>
    <n v="0"/>
    <x v="0"/>
    <n v="7.5247194558845246E-3"/>
    <n v="6.6390510175883665E-3"/>
  </r>
  <r>
    <x v="25"/>
    <s v="MLI"/>
    <n v="16514698"/>
    <x v="6"/>
    <n v="0"/>
    <n v="17004032.499999996"/>
    <n v="0"/>
    <m/>
    <n v="0"/>
    <m/>
    <n v="0"/>
    <m/>
    <n v="0"/>
    <m/>
    <n v="0"/>
    <n v="19934298.000000004"/>
    <n v="0"/>
    <n v="1496"/>
    <m/>
    <n v="0"/>
    <m/>
    <n v="0"/>
    <m/>
    <n v="0"/>
    <n v="22593590.500000022"/>
    <n v="0"/>
    <n v="1496"/>
    <n v="0"/>
    <n v="0"/>
    <n v="0"/>
    <x v="0"/>
    <s v=""/>
    <n v="1496"/>
    <s v="2018 (triag)"/>
    <n v="1496"/>
    <s v="2018 (triag)"/>
    <x v="1"/>
    <n v="1496"/>
    <n v="1496"/>
    <s v="No change"/>
    <n v="3.5406206546388264E-2"/>
    <n v="8.9309654310665287E-4"/>
    <n v="1253.279664351048"/>
    <n v="1500.0135916717391"/>
    <x v="0"/>
    <n v="0.75046535373354994"/>
    <n v="0.66213468815414644"/>
  </r>
  <r>
    <x v="25"/>
    <s v="MLI"/>
    <n v="16514699"/>
    <x v="7"/>
    <n v="0"/>
    <n v="17004032.499999996"/>
    <n v="0"/>
    <m/>
    <n v="0"/>
    <m/>
    <n v="0"/>
    <m/>
    <n v="0"/>
    <m/>
    <n v="0"/>
    <n v="19934298.000000004"/>
    <n v="1022"/>
    <n v="1041"/>
    <m/>
    <n v="0"/>
    <m/>
    <n v="0"/>
    <m/>
    <n v="0"/>
    <n v="22593590.500000022"/>
    <n v="1481"/>
    <n v="1041"/>
    <n v="0"/>
    <n v="1022"/>
    <n v="1481"/>
    <x v="0"/>
    <s v=""/>
    <n v="1041"/>
    <s v="2018 (triag)"/>
    <n v="1481"/>
    <n v="2022"/>
    <x v="1"/>
    <n v="1481"/>
    <n v="1481"/>
    <s v="Increasing"/>
    <n v="3.5406206546388264E-2"/>
    <n v="8.9309654310665287E-4"/>
    <n v="872.10169157048188"/>
    <n v="1043.7928803009895"/>
    <x v="0"/>
    <n v="0.52221553023838607"/>
    <n v="0.65549563713655801"/>
  </r>
  <r>
    <x v="25"/>
    <s v="MLI"/>
    <n v="16514700"/>
    <x v="8"/>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01"/>
    <x v="9"/>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02"/>
    <x v="10"/>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03"/>
    <x v="11"/>
    <n v="0"/>
    <n v="17004032.499999996"/>
    <n v="0"/>
    <m/>
    <n v="0"/>
    <m/>
    <n v="0"/>
    <m/>
    <n v="0"/>
    <m/>
    <n v="0"/>
    <n v="19934298.000000004"/>
    <n v="0"/>
    <n v="8306"/>
    <m/>
    <n v="0"/>
    <m/>
    <n v="0"/>
    <m/>
    <n v="0"/>
    <n v="22593590.500000022"/>
    <n v="0"/>
    <n v="8306"/>
    <n v="0"/>
    <n v="0"/>
    <n v="0"/>
    <x v="0"/>
    <s v=""/>
    <n v="8306"/>
    <s v="2018 (triag)"/>
    <n v="8306"/>
    <s v="2018 (triag)"/>
    <x v="1"/>
    <n v="8306"/>
    <n v="8306"/>
    <s v="No change"/>
    <n v="3.5406206546388264E-2"/>
    <n v="8.9309654310665287E-4"/>
    <n v="6958.3829492645755"/>
    <n v="8328.2840190009792"/>
    <x v="0"/>
    <n v="4.1666879867051243"/>
    <n v="3.6762638501392648"/>
  </r>
  <r>
    <x v="25"/>
    <s v="MLI"/>
    <n v="16514704"/>
    <x v="12"/>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05"/>
    <x v="13"/>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06"/>
    <x v="14"/>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07"/>
    <x v="15"/>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08"/>
    <x v="16"/>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09"/>
    <x v="17"/>
    <n v="0"/>
    <n v="17004032.499999996"/>
    <n v="0"/>
    <m/>
    <n v="0"/>
    <m/>
    <n v="0"/>
    <m/>
    <n v="0"/>
    <m/>
    <n v="0"/>
    <n v="19934298.000000004"/>
    <n v="0"/>
    <n v="0"/>
    <m/>
    <n v="0"/>
    <m/>
    <n v="0"/>
    <m/>
    <n v="0"/>
    <n v="22593590.500000022"/>
    <n v="0"/>
    <n v="0"/>
    <n v="0"/>
    <n v="0"/>
    <n v="0"/>
    <x v="0"/>
    <s v=""/>
    <m/>
    <s v=""/>
    <n v="0"/>
    <s v=""/>
    <x v="1"/>
    <m/>
    <n v="0"/>
    <s v="No change"/>
    <n v="3.5406206546388264E-2"/>
    <n v="8.9309654310665287E-4"/>
    <n v="0"/>
    <n v="0"/>
    <x v="0"/>
    <n v="0"/>
    <n v="0"/>
  </r>
  <r>
    <x v="25"/>
    <s v="MLI"/>
    <n v="16514710"/>
    <x v="18"/>
    <n v="0"/>
    <n v="17004032.499999996"/>
    <n v="0"/>
    <m/>
    <n v="0"/>
    <m/>
    <n v="0"/>
    <m/>
    <n v="0"/>
    <m/>
    <n v="0"/>
    <n v="19934298.000000004"/>
    <n v="0"/>
    <n v="4"/>
    <m/>
    <n v="0"/>
    <m/>
    <n v="0"/>
    <m/>
    <n v="0"/>
    <n v="22593590.500000022"/>
    <n v="0"/>
    <n v="4"/>
    <n v="0"/>
    <n v="0"/>
    <n v="0"/>
    <x v="0"/>
    <s v=""/>
    <n v="4"/>
    <s v="2018 (triag)"/>
    <n v="4"/>
    <s v="2018 (triag)"/>
    <x v="1"/>
    <n v="4"/>
    <n v="4"/>
    <s v="No change"/>
    <n v="3.5406206546388264E-2"/>
    <n v="8.9309654310665287E-4"/>
    <n v="3.3510151453236579"/>
    <n v="4.0107315285340617"/>
    <x v="0"/>
    <n v="2.0065918549025401E-3"/>
    <n v="1.770413604690231E-3"/>
  </r>
  <r>
    <x v="26"/>
    <s v="MOZ"/>
    <n v="24487616"/>
    <x v="0"/>
    <n v="1213"/>
    <n v="25251730.999999993"/>
    <n v="1204"/>
    <m/>
    <n v="0"/>
    <m/>
    <n v="0"/>
    <m/>
    <n v="0"/>
    <m/>
    <n v="1991"/>
    <n v="29423878.499999993"/>
    <n v="4787"/>
    <n v="4787"/>
    <m/>
    <n v="6632"/>
    <m/>
    <n v="6696"/>
    <m/>
    <n v="7329"/>
    <n v="32969518.500000007"/>
    <n v="6992"/>
    <n v="2205"/>
    <n v="1213"/>
    <n v="6632"/>
    <n v="7329"/>
    <x v="62"/>
    <n v="2013"/>
    <n v="4787"/>
    <n v="2018"/>
    <n v="6992"/>
    <n v="2022"/>
    <x v="1"/>
    <n v="6992"/>
    <n v="6992"/>
    <s v="Increasing"/>
    <n v="5.4585812874464734E-2"/>
    <n v="3.4026707504662967E-2"/>
    <n v="1678.3286457952765"/>
    <n v="2441.9762045946391"/>
    <x v="65"/>
    <n v="1.6269099262355917"/>
    <n v="2.120746774024012"/>
  </r>
  <r>
    <x v="26"/>
    <s v="MOZ"/>
    <n v="24487617"/>
    <x v="1"/>
    <n v="0"/>
    <n v="25251730.999999993"/>
    <n v="0"/>
    <m/>
    <n v="0"/>
    <m/>
    <n v="0"/>
    <m/>
    <n v="0"/>
    <m/>
    <n v="0"/>
    <n v="29423878.499999993"/>
    <n v="0"/>
    <n v="0"/>
    <m/>
    <n v="0"/>
    <m/>
    <n v="0"/>
    <m/>
    <n v="0"/>
    <n v="32969518.500000007"/>
    <n v="856"/>
    <n v="0"/>
    <n v="0"/>
    <n v="0"/>
    <n v="856"/>
    <x v="0"/>
    <s v=""/>
    <m/>
    <s v=""/>
    <n v="856"/>
    <n v="2022"/>
    <x v="1"/>
    <n v="856"/>
    <n v="856"/>
    <s v="Increasing"/>
    <n v="5.4585812874464734E-2"/>
    <n v="3.4026707504662967E-2"/>
    <n v="0"/>
    <n v="0"/>
    <x v="0"/>
    <n v="0"/>
    <n v="0.25963375837593738"/>
  </r>
  <r>
    <x v="26"/>
    <s v="MOZ"/>
    <n v="24487618"/>
    <x v="2"/>
    <n v="85"/>
    <n v="25251730.999999993"/>
    <n v="0"/>
    <m/>
    <n v="0"/>
    <m/>
    <n v="0"/>
    <m/>
    <n v="0"/>
    <m/>
    <n v="0"/>
    <n v="29423878.499999993"/>
    <n v="0"/>
    <n v="0"/>
    <m/>
    <n v="0"/>
    <m/>
    <n v="0"/>
    <m/>
    <n v="0"/>
    <n v="32969518.500000007"/>
    <n v="6"/>
    <n v="0"/>
    <n v="85"/>
    <n v="0"/>
    <n v="6"/>
    <x v="1"/>
    <n v="2012"/>
    <m/>
    <s v=""/>
    <n v="6"/>
    <n v="2022"/>
    <x v="1"/>
    <n v="6"/>
    <n v="6"/>
    <s v="Increasing"/>
    <n v="5.4585812874464734E-2"/>
    <n v="3.4026707504662967E-2"/>
    <n v="0"/>
    <n v="0"/>
    <x v="66"/>
    <n v="0"/>
    <n v="1.8198627923547014E-3"/>
  </r>
  <r>
    <x v="26"/>
    <s v="MOZ"/>
    <n v="24487619"/>
    <x v="3"/>
    <n v="0"/>
    <n v="25251730.999999993"/>
    <n v="0"/>
    <m/>
    <n v="0"/>
    <m/>
    <n v="0"/>
    <m/>
    <n v="0"/>
    <m/>
    <n v="0"/>
    <n v="29423878.499999993"/>
    <n v="0"/>
    <n v="0"/>
    <m/>
    <n v="0"/>
    <m/>
    <n v="0"/>
    <m/>
    <n v="0"/>
    <n v="32969518.500000007"/>
    <n v="0"/>
    <n v="0"/>
    <n v="0"/>
    <n v="0"/>
    <n v="0"/>
    <x v="0"/>
    <s v=""/>
    <m/>
    <s v=""/>
    <n v="0"/>
    <s v=""/>
    <x v="1"/>
    <m/>
    <n v="0"/>
    <s v="No change"/>
    <n v="5.4585812874464734E-2"/>
    <n v="3.4026707504662967E-2"/>
    <n v="0"/>
    <n v="0"/>
    <x v="0"/>
    <n v="0"/>
    <n v="0"/>
  </r>
  <r>
    <x v="26"/>
    <s v="MOZ"/>
    <n v="24487620"/>
    <x v="4"/>
    <n v="0"/>
    <n v="25251730.999999993"/>
    <n v="0"/>
    <m/>
    <n v="0"/>
    <m/>
    <n v="0"/>
    <m/>
    <n v="0"/>
    <m/>
    <n v="2466"/>
    <n v="29423878.499999993"/>
    <n v="0"/>
    <n v="2466"/>
    <m/>
    <n v="2789"/>
    <m/>
    <n v="2954"/>
    <m/>
    <n v="3318"/>
    <n v="32969518.500000007"/>
    <n v="3337"/>
    <n v="2466"/>
    <n v="0"/>
    <n v="2789"/>
    <n v="3337"/>
    <x v="0"/>
    <s v=""/>
    <n v="2466"/>
    <n v="2017"/>
    <n v="3337"/>
    <n v="2022"/>
    <x v="1"/>
    <n v="3337"/>
    <n v="3337"/>
    <s v="Increasing"/>
    <n v="5.4585812874464734E-2"/>
    <n v="3.4026707504662967E-2"/>
    <n v="1876.9879548894114"/>
    <n v="2731.0264492201272"/>
    <x v="0"/>
    <n v="0.83809481472675351"/>
    <n v="1.0121470230146064"/>
  </r>
  <r>
    <x v="26"/>
    <s v="MOZ"/>
    <n v="24487621"/>
    <x v="5"/>
    <n v="33"/>
    <n v="25251730.999999993"/>
    <n v="44"/>
    <m/>
    <n v="0"/>
    <m/>
    <n v="212"/>
    <m/>
    <n v="0"/>
    <m/>
    <n v="29"/>
    <n v="29423878.499999993"/>
    <n v="304"/>
    <n v="304"/>
    <m/>
    <n v="54"/>
    <m/>
    <n v="0"/>
    <m/>
    <n v="0"/>
    <n v="32969518.500000007"/>
    <n v="72"/>
    <n v="29"/>
    <n v="212"/>
    <n v="304"/>
    <n v="72"/>
    <x v="3"/>
    <n v="2013"/>
    <n v="304"/>
    <n v="2018"/>
    <n v="72"/>
    <n v="2022"/>
    <x v="0"/>
    <n v="82.749502391069896"/>
    <n v="304"/>
    <s v="Decreasing"/>
    <n v="5.4585812874464734E-2"/>
    <n v="3.4026707504662967E-2"/>
    <n v="22.073256566014976"/>
    <n v="32.116693847276437"/>
    <x v="67"/>
    <n v="0.10331744674652599"/>
    <n v="2.5098790081229082E-2"/>
  </r>
  <r>
    <x v="26"/>
    <s v="MOZ"/>
    <n v="24487622"/>
    <x v="6"/>
    <n v="0"/>
    <n v="25251730.999999993"/>
    <n v="1908"/>
    <m/>
    <n v="0"/>
    <m/>
    <n v="0"/>
    <m/>
    <n v="0"/>
    <m/>
    <n v="0"/>
    <n v="29423878.499999993"/>
    <n v="0"/>
    <n v="5726"/>
    <m/>
    <n v="2055"/>
    <m/>
    <n v="2041"/>
    <m/>
    <n v="1912"/>
    <n v="32969518.500000007"/>
    <n v="1908"/>
    <n v="5726"/>
    <n v="1908"/>
    <n v="2055"/>
    <n v="2041"/>
    <x v="63"/>
    <n v="2013"/>
    <n v="5726"/>
    <s v="2018 (triag)"/>
    <n v="1908"/>
    <n v="2022"/>
    <x v="0"/>
    <n v="2192.8618133633522"/>
    <n v="5726"/>
    <s v="Decreasing"/>
    <n v="5.4585812874464734E-2"/>
    <n v="3.4026707504662967E-2"/>
    <n v="4358.32645162075"/>
    <n v="6341.3858265346507"/>
    <x v="68"/>
    <n v="1.9460384870743677"/>
    <n v="0.66511793715257062"/>
  </r>
  <r>
    <x v="26"/>
    <s v="MOZ"/>
    <n v="24487623"/>
    <x v="7"/>
    <n v="0"/>
    <n v="25251730.999999993"/>
    <n v="0"/>
    <m/>
    <n v="0"/>
    <m/>
    <n v="0"/>
    <m/>
    <n v="0"/>
    <m/>
    <n v="0"/>
    <n v="29423878.499999993"/>
    <n v="0"/>
    <n v="0"/>
    <m/>
    <n v="0"/>
    <m/>
    <n v="0"/>
    <m/>
    <n v="0"/>
    <n v="32969518.500000007"/>
    <n v="0"/>
    <n v="0"/>
    <n v="0"/>
    <n v="0"/>
    <n v="0"/>
    <x v="0"/>
    <s v=""/>
    <m/>
    <s v=""/>
    <n v="0"/>
    <s v=""/>
    <x v="1"/>
    <m/>
    <n v="0"/>
    <s v="No change"/>
    <n v="5.4585812874464734E-2"/>
    <n v="3.4026707504662967E-2"/>
    <n v="0"/>
    <n v="0"/>
    <x v="0"/>
    <n v="0"/>
    <n v="0"/>
  </r>
  <r>
    <x v="26"/>
    <s v="MOZ"/>
    <n v="24487624"/>
    <x v="8"/>
    <n v="267"/>
    <n v="25251730.999999993"/>
    <n v="238"/>
    <m/>
    <n v="0"/>
    <m/>
    <n v="0"/>
    <m/>
    <n v="0"/>
    <m/>
    <n v="290"/>
    <n v="29423878.499999993"/>
    <n v="0"/>
    <n v="206"/>
    <m/>
    <n v="315"/>
    <m/>
    <n v="301"/>
    <m/>
    <n v="264"/>
    <n v="32969518.500000007"/>
    <n v="276"/>
    <n v="206"/>
    <n v="267"/>
    <n v="315"/>
    <n v="301"/>
    <x v="64"/>
    <n v="2013"/>
    <n v="206"/>
    <s v="2018 (triag)"/>
    <n v="276"/>
    <n v="2022"/>
    <x v="1"/>
    <n v="276"/>
    <n v="276"/>
    <s v="Increasing"/>
    <n v="5.4585812874464734E-2"/>
    <n v="3.4026707504662967E-2"/>
    <n v="156.79623629652016"/>
    <n v="228.13927353582571"/>
    <x v="69"/>
    <n v="7.0011164571659054E-2"/>
    <n v="8.3713688448316267E-2"/>
  </r>
  <r>
    <x v="26"/>
    <s v="MOZ"/>
    <n v="24487625"/>
    <x v="9"/>
    <n v="0"/>
    <n v="25251730.999999993"/>
    <n v="0"/>
    <m/>
    <n v="0"/>
    <m/>
    <n v="0"/>
    <m/>
    <n v="0"/>
    <m/>
    <n v="0"/>
    <n v="29423878.499999993"/>
    <n v="0"/>
    <n v="59"/>
    <m/>
    <n v="0"/>
    <m/>
    <n v="0"/>
    <m/>
    <n v="0"/>
    <n v="32969518.500000007"/>
    <n v="172"/>
    <n v="59"/>
    <n v="0"/>
    <n v="0"/>
    <n v="172"/>
    <x v="0"/>
    <s v=""/>
    <n v="59"/>
    <s v="2018 (triag)"/>
    <n v="172"/>
    <n v="2022"/>
    <x v="1"/>
    <n v="172"/>
    <n v="172"/>
    <s v="Increasing"/>
    <n v="5.4585812874464734E-2"/>
    <n v="3.4026707504662967E-2"/>
    <n v="44.907659910168398"/>
    <n v="65.34085989618309"/>
    <x v="0"/>
    <n v="2.0051741309358662E-2"/>
    <n v="5.2169400047501438E-2"/>
  </r>
  <r>
    <x v="26"/>
    <s v="MOZ"/>
    <n v="24487626"/>
    <x v="10"/>
    <n v="76"/>
    <n v="25251730.999999993"/>
    <n v="115"/>
    <m/>
    <n v="0"/>
    <m/>
    <n v="0"/>
    <m/>
    <n v="0"/>
    <m/>
    <n v="147"/>
    <n v="29423878.499999993"/>
    <n v="150"/>
    <n v="150"/>
    <m/>
    <n v="165"/>
    <m/>
    <n v="156"/>
    <m/>
    <n v="151"/>
    <n v="32969518.500000007"/>
    <n v="154"/>
    <n v="147"/>
    <n v="115"/>
    <n v="165"/>
    <n v="156"/>
    <x v="65"/>
    <n v="2013"/>
    <n v="150"/>
    <n v="2018"/>
    <n v="154"/>
    <n v="2022"/>
    <x v="1"/>
    <n v="154"/>
    <n v="154"/>
    <s v="Increasing"/>
    <n v="5.4585812874464734E-2"/>
    <n v="3.4026707504662967E-2"/>
    <n v="111.88857638635177"/>
    <n v="162.7984136396426"/>
    <x v="70"/>
    <n v="5.0979003328877955E-2"/>
    <n v="4.6709811670437335E-2"/>
  </r>
  <r>
    <x v="26"/>
    <s v="MOZ"/>
    <n v="24487627"/>
    <x v="11"/>
    <n v="0"/>
    <n v="25251730.999999993"/>
    <n v="0"/>
    <m/>
    <n v="0"/>
    <m/>
    <n v="0"/>
    <m/>
    <n v="0"/>
    <m/>
    <n v="34992"/>
    <n v="29423878.499999993"/>
    <n v="0"/>
    <n v="26735"/>
    <m/>
    <n v="399"/>
    <m/>
    <n v="8308"/>
    <m/>
    <n v="3530"/>
    <n v="32969518.500000007"/>
    <n v="696"/>
    <n v="26735"/>
    <n v="0"/>
    <n v="34992"/>
    <n v="8308"/>
    <x v="0"/>
    <s v=""/>
    <n v="26735"/>
    <s v="2018 (triag)"/>
    <n v="696"/>
    <n v="2022"/>
    <x v="0"/>
    <n v="799.91185644700897"/>
    <n v="26735"/>
    <s v="Decreasing"/>
    <n v="5.4585812874464734E-2"/>
    <n v="3.4026707504662967E-2"/>
    <n v="20349.259113531392"/>
    <n v="29608.269310583983"/>
    <x v="0"/>
    <n v="9.0861576933170127"/>
    <n v="0.24262163745188114"/>
  </r>
  <r>
    <x v="26"/>
    <s v="MOZ"/>
    <n v="24487628"/>
    <x v="12"/>
    <n v="0"/>
    <n v="25251730.999999993"/>
    <n v="0"/>
    <m/>
    <n v="0"/>
    <m/>
    <n v="0"/>
    <m/>
    <n v="0"/>
    <m/>
    <n v="26735"/>
    <n v="29423878.499999993"/>
    <n v="0"/>
    <n v="0"/>
    <m/>
    <n v="16937"/>
    <m/>
    <n v="14416"/>
    <m/>
    <n v="10717"/>
    <n v="32969518.500000007"/>
    <n v="12261"/>
    <n v="0"/>
    <n v="0"/>
    <n v="26735"/>
    <n v="14416"/>
    <x v="0"/>
    <s v=""/>
    <n v="26735"/>
    <n v="2017"/>
    <n v="12261"/>
    <n v="2022"/>
    <x v="0"/>
    <n v="14091.550678012611"/>
    <n v="26735"/>
    <s v="Decreasing"/>
    <n v="5.4585812874464734E-2"/>
    <n v="3.4026707504662967E-2"/>
    <n v="0"/>
    <n v="0"/>
    <x v="0"/>
    <n v="9.0861576933170127"/>
    <n v="4.2741147942493019"/>
  </r>
  <r>
    <x v="26"/>
    <s v="MOZ"/>
    <n v="24487629"/>
    <x v="13"/>
    <n v="1425"/>
    <n v="25251730.999999993"/>
    <n v="1465"/>
    <m/>
    <n v="0"/>
    <m/>
    <n v="0"/>
    <m/>
    <n v="0"/>
    <m/>
    <n v="1958"/>
    <n v="29423878.499999993"/>
    <n v="0"/>
    <n v="1951"/>
    <m/>
    <n v="0"/>
    <m/>
    <n v="0"/>
    <m/>
    <n v="301"/>
    <n v="32969518.500000007"/>
    <n v="2040"/>
    <n v="1951"/>
    <n v="1465"/>
    <n v="1958"/>
    <n v="2040"/>
    <x v="66"/>
    <n v="2013"/>
    <n v="1951"/>
    <s v="2018 (triag)"/>
    <n v="2040"/>
    <n v="2022"/>
    <x v="1"/>
    <n v="2040"/>
    <n v="2040"/>
    <s v="Increasing"/>
    <n v="5.4585812874464734E-2"/>
    <n v="3.4026707504662967E-2"/>
    <n v="1484.9973641481108"/>
    <n v="2160.6782653805631"/>
    <x v="71"/>
    <n v="0.66306690329760587"/>
    <n v="0.61875334940059845"/>
  </r>
  <r>
    <x v="26"/>
    <s v="MOZ"/>
    <n v="24487630"/>
    <x v="14"/>
    <n v="0"/>
    <n v="25251730.999999993"/>
    <n v="0"/>
    <m/>
    <n v="0"/>
    <m/>
    <n v="0"/>
    <m/>
    <n v="0"/>
    <m/>
    <n v="6281"/>
    <n v="29423878.499999993"/>
    <n v="0"/>
    <n v="0"/>
    <m/>
    <n v="6665"/>
    <m/>
    <n v="0"/>
    <m/>
    <n v="0"/>
    <n v="32969518.500000007"/>
    <n v="6873"/>
    <n v="0"/>
    <n v="0"/>
    <n v="6665"/>
    <n v="6873"/>
    <x v="0"/>
    <s v=""/>
    <n v="6281"/>
    <n v="2017"/>
    <n v="6873"/>
    <n v="2022"/>
    <x v="1"/>
    <n v="6873"/>
    <n v="6873"/>
    <s v="Increasing"/>
    <n v="5.4585812874464734E-2"/>
    <n v="3.4026707504662967E-2"/>
    <n v="0"/>
    <n v="0"/>
    <x v="0"/>
    <n v="2.1346607993912161"/>
    <n v="2.0846528286423105"/>
  </r>
  <r>
    <x v="26"/>
    <s v="MOZ"/>
    <n v="24487631"/>
    <x v="15"/>
    <n v="281"/>
    <n v="25251730.999999993"/>
    <n v="287"/>
    <m/>
    <n v="0"/>
    <m/>
    <n v="0"/>
    <m/>
    <n v="0"/>
    <m/>
    <n v="377"/>
    <n v="29423878.499999993"/>
    <n v="362"/>
    <n v="377"/>
    <m/>
    <n v="395"/>
    <m/>
    <n v="444"/>
    <m/>
    <n v="535"/>
    <n v="32969518.500000007"/>
    <n v="553"/>
    <n v="377"/>
    <n v="287"/>
    <n v="395"/>
    <n v="553"/>
    <x v="26"/>
    <n v="2013"/>
    <n v="377"/>
    <n v="2017"/>
    <n v="553"/>
    <n v="2022"/>
    <x v="1"/>
    <n v="553"/>
    <n v="553"/>
    <s v="Increasing"/>
    <n v="5.4585812874464734E-2"/>
    <n v="3.4026707504662967E-2"/>
    <n v="286.95233535819466"/>
    <n v="417.51702001459364"/>
    <x v="72"/>
    <n v="0.12812722836657991"/>
    <n v="0.16773068736202498"/>
  </r>
  <r>
    <x v="26"/>
    <s v="MOZ"/>
    <n v="24487632"/>
    <x v="16"/>
    <n v="0"/>
    <n v="25251730.999999993"/>
    <n v="0"/>
    <m/>
    <n v="0"/>
    <m/>
    <n v="0"/>
    <m/>
    <n v="0"/>
    <m/>
    <n v="287"/>
    <n v="29423878.499999993"/>
    <n v="338"/>
    <n v="338"/>
    <m/>
    <n v="422"/>
    <m/>
    <n v="554"/>
    <m/>
    <n v="552"/>
    <n v="32969518.500000007"/>
    <n v="342"/>
    <n v="0"/>
    <n v="0"/>
    <n v="422"/>
    <n v="554"/>
    <x v="0"/>
    <s v=""/>
    <n v="338"/>
    <n v="2018"/>
    <n v="342"/>
    <n v="2022"/>
    <x v="1"/>
    <n v="342"/>
    <n v="342"/>
    <s v="Increasing"/>
    <n v="5.4585812874464734E-2"/>
    <n v="3.4026707504662967E-2"/>
    <n v="0"/>
    <n v="0"/>
    <x v="0"/>
    <n v="0.11487268750107164"/>
    <n v="0.10373217916421798"/>
  </r>
  <r>
    <x v="26"/>
    <s v="MOZ"/>
    <n v="24487633"/>
    <x v="17"/>
    <n v="0"/>
    <n v="25251730.999999993"/>
    <n v="0"/>
    <m/>
    <n v="0"/>
    <m/>
    <n v="0"/>
    <m/>
    <n v="0"/>
    <m/>
    <n v="2"/>
    <n v="29423878.499999993"/>
    <n v="3"/>
    <n v="3"/>
    <m/>
    <n v="2"/>
    <m/>
    <n v="0"/>
    <m/>
    <n v="0"/>
    <n v="32969518.500000007"/>
    <n v="0"/>
    <n v="0"/>
    <n v="0"/>
    <n v="3"/>
    <n v="0"/>
    <x v="0"/>
    <s v=""/>
    <n v="3"/>
    <n v="2018"/>
    <n v="2"/>
    <n v="2018"/>
    <x v="0"/>
    <n v="2.2985972886408303"/>
    <n v="3"/>
    <s v="Decreasing"/>
    <n v="5.4585812874464734E-2"/>
    <n v="3.4026707504662967E-2"/>
    <n v="0"/>
    <n v="0"/>
    <x v="0"/>
    <n v="1.019580066577559E-3"/>
    <n v="6.9718861336747449E-4"/>
  </r>
  <r>
    <x v="26"/>
    <s v="MOZ"/>
    <n v="24487634"/>
    <x v="18"/>
    <n v="0"/>
    <n v="25251730.999999993"/>
    <n v="0"/>
    <m/>
    <n v="0"/>
    <m/>
    <n v="0"/>
    <m/>
    <n v="0"/>
    <m/>
    <n v="0"/>
    <n v="29423878.499999993"/>
    <n v="0"/>
    <n v="0"/>
    <m/>
    <n v="0"/>
    <m/>
    <n v="0"/>
    <m/>
    <n v="0"/>
    <n v="32969518.500000007"/>
    <n v="99942"/>
    <n v="0"/>
    <n v="0"/>
    <n v="0"/>
    <n v="99942"/>
    <x v="0"/>
    <s v=""/>
    <m/>
    <s v=""/>
    <n v="99942"/>
    <n v="2022"/>
    <x v="1"/>
    <n v="99942"/>
    <n v="99942"/>
    <s v="Increasing"/>
    <n v="5.4585812874464734E-2"/>
    <n v="3.4026707504662967E-2"/>
    <n v="0"/>
    <n v="0"/>
    <x v="0"/>
    <n v="0"/>
    <n v="30.313454532252262"/>
  </r>
  <r>
    <x v="27"/>
    <s v="MRT"/>
    <n v="3636118.5"/>
    <x v="0"/>
    <n v="0"/>
    <n v="3742958.9999999981"/>
    <n v="0"/>
    <m/>
    <n v="0"/>
    <m/>
    <n v="0"/>
    <m/>
    <n v="0"/>
    <m/>
    <n v="0"/>
    <n v="4270711.4999999972"/>
    <n v="0"/>
    <n v="500"/>
    <m/>
    <n v="0"/>
    <m/>
    <n v="0"/>
    <m/>
    <n v="0"/>
    <n v="4736138.9999999991"/>
    <n v="0"/>
    <n v="500"/>
    <n v="0"/>
    <n v="0"/>
    <n v="0"/>
    <x v="0"/>
    <s v=""/>
    <n v="500"/>
    <s v="2018 (triag)"/>
    <n v="500"/>
    <s v="2018 (triag)"/>
    <x v="1"/>
    <n v="500"/>
    <n v="500"/>
    <s v="No change"/>
    <n v="5.6024318930811168E-2"/>
    <n v="5.4673730437993617E-2"/>
    <n v="377.84592389007258"/>
    <n v="589.11964163338166"/>
    <x v="0"/>
    <n v="1.1707651055333528"/>
    <n v="1.0557122584451177"/>
  </r>
  <r>
    <x v="27"/>
    <s v="MRT"/>
    <n v="3636119.5"/>
    <x v="1"/>
    <n v="1172"/>
    <n v="3742958.9999999981"/>
    <n v="35"/>
    <m/>
    <n v="0"/>
    <m/>
    <n v="12"/>
    <m/>
    <n v="4"/>
    <m/>
    <n v="0"/>
    <n v="4270711.4999999972"/>
    <n v="4038"/>
    <n v="4038"/>
    <m/>
    <n v="0"/>
    <m/>
    <n v="0"/>
    <m/>
    <n v="0"/>
    <n v="4736138.9999999991"/>
    <n v="0"/>
    <n v="20"/>
    <n v="1172"/>
    <n v="4038"/>
    <n v="0"/>
    <x v="67"/>
    <n v="2013"/>
    <n v="4038"/>
    <n v="2018"/>
    <n v="4038"/>
    <n v="2018"/>
    <x v="1"/>
    <n v="4038"/>
    <n v="4038"/>
    <s v="No change"/>
    <n v="5.6024318930811168E-2"/>
    <n v="5.4673730437993617E-2"/>
    <n v="15.113836955602903"/>
    <n v="23.564785665335268"/>
    <x v="73"/>
    <n v="9.4550989922873576"/>
    <n v="8.5259321992027708"/>
  </r>
  <r>
    <x v="27"/>
    <s v="MRT"/>
    <n v="3636120.5"/>
    <x v="2"/>
    <n v="0"/>
    <n v="3742958.9999999981"/>
    <n v="209"/>
    <m/>
    <n v="0"/>
    <m/>
    <n v="53"/>
    <m/>
    <n v="0"/>
    <m/>
    <n v="0"/>
    <n v="4270711.4999999972"/>
    <n v="4745"/>
    <n v="4745"/>
    <m/>
    <n v="0"/>
    <m/>
    <n v="0"/>
    <m/>
    <n v="0"/>
    <n v="4736138.9999999991"/>
    <n v="0"/>
    <n v="5"/>
    <n v="209"/>
    <n v="4745"/>
    <n v="0"/>
    <x v="68"/>
    <n v="2013"/>
    <n v="4745"/>
    <n v="2018"/>
    <n v="4745"/>
    <n v="2018"/>
    <x v="1"/>
    <n v="4745"/>
    <n v="4745"/>
    <s v="No change"/>
    <n v="5.6024318930811168E-2"/>
    <n v="5.4673730437993617E-2"/>
    <n v="3.7784592389007257"/>
    <n v="5.8911964163338171"/>
    <x v="74"/>
    <n v="11.110560851511517"/>
    <n v="10.018709332644166"/>
  </r>
  <r>
    <x v="27"/>
    <s v="MRT"/>
    <n v="3636121.5"/>
    <x v="3"/>
    <n v="0"/>
    <n v="3742958.9999999981"/>
    <n v="0"/>
    <m/>
    <n v="0"/>
    <m/>
    <n v="0"/>
    <m/>
    <n v="0"/>
    <m/>
    <n v="0"/>
    <n v="4270711.4999999972"/>
    <n v="0"/>
    <n v="38"/>
    <m/>
    <n v="0"/>
    <m/>
    <n v="0"/>
    <m/>
    <n v="0"/>
    <n v="4736138.9999999991"/>
    <n v="0"/>
    <n v="38"/>
    <n v="0"/>
    <n v="0"/>
    <n v="0"/>
    <x v="0"/>
    <s v=""/>
    <n v="38"/>
    <s v="2018 (triag)"/>
    <n v="38"/>
    <s v="2018 (triag)"/>
    <x v="1"/>
    <n v="38"/>
    <n v="38"/>
    <s v="No change"/>
    <n v="5.6024318930811168E-2"/>
    <n v="5.4673730437993617E-2"/>
    <n v="28.716290215645515"/>
    <n v="44.773092764137012"/>
    <x v="0"/>
    <n v="8.8978148020534803E-2"/>
    <n v="8.0234131641828937E-2"/>
  </r>
  <r>
    <x v="27"/>
    <s v="MRT"/>
    <n v="3636122.5"/>
    <x v="4"/>
    <n v="0"/>
    <n v="3742958.9999999981"/>
    <n v="0"/>
    <m/>
    <n v="0"/>
    <m/>
    <n v="0"/>
    <m/>
    <n v="0"/>
    <m/>
    <n v="0"/>
    <n v="4270711.4999999972"/>
    <n v="0"/>
    <n v="20"/>
    <m/>
    <n v="0"/>
    <m/>
    <n v="0"/>
    <m/>
    <n v="0"/>
    <n v="4736138.9999999991"/>
    <n v="0"/>
    <n v="20"/>
    <n v="0"/>
    <n v="0"/>
    <n v="0"/>
    <x v="0"/>
    <s v=""/>
    <n v="20"/>
    <s v="2018 (triag)"/>
    <n v="20"/>
    <s v="2018 (triag)"/>
    <x v="1"/>
    <n v="20"/>
    <n v="20"/>
    <s v="No change"/>
    <n v="5.6024318930811168E-2"/>
    <n v="5.4673730437993617E-2"/>
    <n v="15.113836955602903"/>
    <n v="23.564785665335268"/>
    <x v="0"/>
    <n v="4.6830604221334109E-2"/>
    <n v="4.2228490337804708E-2"/>
  </r>
  <r>
    <x v="27"/>
    <s v="MRT"/>
    <n v="3636123.5"/>
    <x v="5"/>
    <n v="0"/>
    <n v="3742958.9999999981"/>
    <n v="0"/>
    <m/>
    <n v="0"/>
    <m/>
    <n v="0"/>
    <m/>
    <n v="0"/>
    <m/>
    <n v="0"/>
    <n v="4270711.4999999972"/>
    <n v="0"/>
    <n v="9"/>
    <m/>
    <n v="0"/>
    <m/>
    <n v="0"/>
    <m/>
    <n v="0"/>
    <n v="4736138.9999999991"/>
    <n v="0"/>
    <n v="9"/>
    <n v="0"/>
    <n v="0"/>
    <n v="0"/>
    <x v="0"/>
    <s v=""/>
    <n v="9"/>
    <s v="2018 (triag)"/>
    <n v="9"/>
    <s v="2018 (triag)"/>
    <x v="1"/>
    <n v="9"/>
    <n v="9"/>
    <s v="No change"/>
    <n v="5.6024318930811168E-2"/>
    <n v="5.4673730437993617E-2"/>
    <n v="6.801226630021306"/>
    <n v="10.60415354940087"/>
    <x v="0"/>
    <n v="2.1073771899600351E-2"/>
    <n v="1.9002820652012118E-2"/>
  </r>
  <r>
    <x v="27"/>
    <s v="MRT"/>
    <n v="3636124.5"/>
    <x v="6"/>
    <n v="0"/>
    <n v="3742958.9999999981"/>
    <n v="0"/>
    <m/>
    <n v="0"/>
    <m/>
    <n v="0"/>
    <m/>
    <n v="0"/>
    <m/>
    <n v="0"/>
    <n v="4270711.4999999972"/>
    <n v="0"/>
    <n v="326"/>
    <m/>
    <n v="0"/>
    <m/>
    <n v="0"/>
    <m/>
    <n v="0"/>
    <n v="4736138.9999999991"/>
    <n v="0"/>
    <n v="326"/>
    <n v="0"/>
    <n v="0"/>
    <n v="0"/>
    <x v="0"/>
    <s v=""/>
    <n v="326"/>
    <s v="2018 (triag)"/>
    <n v="326"/>
    <s v="2018 (triag)"/>
    <x v="1"/>
    <n v="326"/>
    <n v="326"/>
    <s v="No change"/>
    <n v="5.6024318930811168E-2"/>
    <n v="5.4673730437993617E-2"/>
    <n v="246.35554237632732"/>
    <n v="384.1060063449649"/>
    <x v="0"/>
    <n v="0.76333884880774605"/>
    <n v="0.68832439250621669"/>
  </r>
  <r>
    <x v="27"/>
    <s v="MRT"/>
    <n v="3636125.5"/>
    <x v="7"/>
    <n v="0"/>
    <n v="3742958.9999999981"/>
    <n v="0"/>
    <m/>
    <n v="0"/>
    <m/>
    <n v="0"/>
    <m/>
    <n v="0"/>
    <m/>
    <n v="0"/>
    <n v="4270711.4999999972"/>
    <n v="0"/>
    <n v="0"/>
    <m/>
    <n v="0"/>
    <m/>
    <n v="0"/>
    <m/>
    <n v="0"/>
    <n v="4736138.9999999991"/>
    <n v="0"/>
    <n v="0"/>
    <n v="0"/>
    <n v="0"/>
    <n v="0"/>
    <x v="0"/>
    <s v=""/>
    <m/>
    <s v=""/>
    <n v="0"/>
    <s v=""/>
    <x v="1"/>
    <m/>
    <n v="0"/>
    <s v="No change"/>
    <n v="5.6024318930811168E-2"/>
    <n v="5.4673730437993617E-2"/>
    <n v="0"/>
    <n v="0"/>
    <x v="0"/>
    <n v="0"/>
    <n v="0"/>
  </r>
  <r>
    <x v="27"/>
    <s v="MRT"/>
    <n v="3636126.5"/>
    <x v="8"/>
    <n v="0"/>
    <n v="3742958.9999999981"/>
    <n v="0"/>
    <m/>
    <n v="0"/>
    <m/>
    <n v="0"/>
    <m/>
    <n v="0"/>
    <m/>
    <n v="0"/>
    <n v="4270711.4999999972"/>
    <n v="0"/>
    <n v="0"/>
    <m/>
    <n v="0"/>
    <m/>
    <n v="0"/>
    <m/>
    <n v="0"/>
    <n v="4736138.9999999991"/>
    <n v="0"/>
    <n v="0"/>
    <n v="0"/>
    <n v="0"/>
    <n v="0"/>
    <x v="0"/>
    <s v=""/>
    <m/>
    <s v=""/>
    <n v="0"/>
    <s v=""/>
    <x v="1"/>
    <m/>
    <n v="0"/>
    <s v="No change"/>
    <n v="5.6024318930811168E-2"/>
    <n v="5.4673730437993617E-2"/>
    <n v="0"/>
    <n v="0"/>
    <x v="0"/>
    <n v="0"/>
    <n v="0"/>
  </r>
  <r>
    <x v="27"/>
    <s v="MRT"/>
    <n v="3636127.5"/>
    <x v="9"/>
    <n v="0"/>
    <n v="3742958.9999999981"/>
    <n v="0"/>
    <m/>
    <n v="0"/>
    <m/>
    <n v="0"/>
    <m/>
    <n v="0"/>
    <m/>
    <n v="0"/>
    <n v="4270711.4999999972"/>
    <n v="0"/>
    <n v="15"/>
    <m/>
    <n v="0"/>
    <m/>
    <n v="0"/>
    <m/>
    <n v="0"/>
    <n v="4736138.9999999991"/>
    <n v="0"/>
    <n v="15"/>
    <n v="0"/>
    <n v="0"/>
    <n v="0"/>
    <x v="0"/>
    <s v=""/>
    <n v="15"/>
    <s v="2018 (triag)"/>
    <n v="15"/>
    <s v="2018 (triag)"/>
    <x v="1"/>
    <n v="15"/>
    <n v="15"/>
    <s v="No change"/>
    <n v="5.6024318930811168E-2"/>
    <n v="5.4673730437993617E-2"/>
    <n v="11.335377716702178"/>
    <n v="17.673589249001452"/>
    <x v="0"/>
    <n v="3.512295316600058E-2"/>
    <n v="3.1671367753353531E-2"/>
  </r>
  <r>
    <x v="27"/>
    <s v="MRT"/>
    <n v="3636128.5"/>
    <x v="10"/>
    <n v="0"/>
    <n v="3742958.9999999981"/>
    <n v="0"/>
    <m/>
    <n v="0"/>
    <m/>
    <n v="0"/>
    <m/>
    <n v="0"/>
    <m/>
    <n v="0"/>
    <n v="4270711.4999999972"/>
    <n v="0"/>
    <n v="0"/>
    <m/>
    <n v="0"/>
    <m/>
    <n v="0"/>
    <m/>
    <n v="0"/>
    <n v="4736138.9999999991"/>
    <n v="0"/>
    <n v="0"/>
    <n v="0"/>
    <n v="0"/>
    <n v="0"/>
    <x v="0"/>
    <s v=""/>
    <m/>
    <s v=""/>
    <n v="0"/>
    <s v=""/>
    <x v="1"/>
    <m/>
    <n v="0"/>
    <s v="No change"/>
    <n v="5.6024318930811168E-2"/>
    <n v="5.4673730437993617E-2"/>
    <n v="0"/>
    <n v="0"/>
    <x v="0"/>
    <n v="0"/>
    <n v="0"/>
  </r>
  <r>
    <x v="27"/>
    <s v="MRT"/>
    <n v="3636129.5"/>
    <x v="11"/>
    <n v="0"/>
    <n v="3742958.9999999981"/>
    <n v="0"/>
    <m/>
    <n v="0"/>
    <m/>
    <n v="0"/>
    <m/>
    <n v="0"/>
    <m/>
    <n v="0"/>
    <n v="4270711.4999999972"/>
    <n v="0"/>
    <n v="1532"/>
    <m/>
    <n v="0"/>
    <m/>
    <n v="0"/>
    <m/>
    <n v="0"/>
    <n v="4736138.9999999991"/>
    <n v="0"/>
    <n v="1532"/>
    <n v="0"/>
    <n v="0"/>
    <n v="0"/>
    <x v="0"/>
    <s v=""/>
    <n v="1532"/>
    <s v="2018 (triag)"/>
    <n v="1532"/>
    <s v="2018 (triag)"/>
    <x v="1"/>
    <n v="1532"/>
    <n v="1532"/>
    <s v="No change"/>
    <n v="5.6024318930811168E-2"/>
    <n v="5.4673730437993617E-2"/>
    <n v="1157.7199107991823"/>
    <n v="1805.0625819646816"/>
    <x v="0"/>
    <n v="3.587224283354193"/>
    <n v="3.2347023598758406"/>
  </r>
  <r>
    <x v="27"/>
    <s v="MRT"/>
    <n v="3636130.5"/>
    <x v="12"/>
    <n v="0"/>
    <n v="3742958.9999999981"/>
    <n v="0"/>
    <m/>
    <n v="0"/>
    <m/>
    <n v="0"/>
    <m/>
    <n v="0"/>
    <m/>
    <n v="0"/>
    <n v="4270711.4999999972"/>
    <n v="0"/>
    <n v="4"/>
    <m/>
    <n v="0"/>
    <m/>
    <n v="0"/>
    <m/>
    <n v="0"/>
    <n v="4736138.9999999991"/>
    <n v="0"/>
    <n v="4"/>
    <n v="0"/>
    <n v="0"/>
    <n v="0"/>
    <x v="0"/>
    <s v=""/>
    <n v="4"/>
    <s v="2018 (triag)"/>
    <n v="4"/>
    <s v="2018 (triag)"/>
    <x v="1"/>
    <n v="4"/>
    <n v="4"/>
    <s v="No change"/>
    <n v="5.6024318930811168E-2"/>
    <n v="5.4673730437993617E-2"/>
    <n v="3.0227673911205803"/>
    <n v="4.7129571330670537"/>
    <x v="0"/>
    <n v="9.3661208442668217E-3"/>
    <n v="8.445698067560941E-3"/>
  </r>
  <r>
    <x v="27"/>
    <s v="MRT"/>
    <n v="3636131.5"/>
    <x v="13"/>
    <n v="0"/>
    <n v="3742958.9999999981"/>
    <n v="0"/>
    <m/>
    <n v="0"/>
    <m/>
    <n v="0"/>
    <m/>
    <n v="0"/>
    <m/>
    <n v="0"/>
    <n v="4270711.4999999972"/>
    <n v="0"/>
    <n v="122"/>
    <m/>
    <n v="0"/>
    <m/>
    <n v="0"/>
    <m/>
    <n v="0"/>
    <n v="4736138.9999999991"/>
    <n v="0"/>
    <n v="122"/>
    <n v="0"/>
    <n v="0"/>
    <n v="0"/>
    <x v="0"/>
    <s v=""/>
    <n v="122"/>
    <s v="2018 (triag)"/>
    <n v="122"/>
    <s v="2018 (triag)"/>
    <x v="1"/>
    <n v="122"/>
    <n v="122"/>
    <s v="No change"/>
    <n v="5.6024318930811168E-2"/>
    <n v="5.4673730437993617E-2"/>
    <n v="92.194405429177706"/>
    <n v="143.74519255854514"/>
    <x v="0"/>
    <n v="0.28566668575013809"/>
    <n v="0.2575937910606087"/>
  </r>
  <r>
    <x v="27"/>
    <s v="MRT"/>
    <n v="3636132.5"/>
    <x v="14"/>
    <n v="0"/>
    <n v="3742958.9999999981"/>
    <n v="0"/>
    <m/>
    <n v="0"/>
    <m/>
    <n v="0"/>
    <m/>
    <n v="0"/>
    <m/>
    <n v="0"/>
    <n v="4270711.4999999972"/>
    <n v="0"/>
    <n v="65"/>
    <m/>
    <n v="0"/>
    <m/>
    <n v="0"/>
    <m/>
    <n v="0"/>
    <n v="4736138.9999999991"/>
    <n v="0"/>
    <n v="65"/>
    <n v="0"/>
    <n v="0"/>
    <n v="0"/>
    <x v="0"/>
    <s v=""/>
    <n v="65"/>
    <s v="2018 (triag)"/>
    <n v="65"/>
    <s v="2018 (triag)"/>
    <x v="1"/>
    <n v="65"/>
    <n v="65"/>
    <s v="No change"/>
    <n v="5.6024318930811168E-2"/>
    <n v="5.4673730437993617E-2"/>
    <n v="49.119970105709434"/>
    <n v="76.585553412339621"/>
    <x v="0"/>
    <n v="0.15219946371933585"/>
    <n v="0.13724259359786528"/>
  </r>
  <r>
    <x v="27"/>
    <s v="MRT"/>
    <n v="3636133.5"/>
    <x v="15"/>
    <n v="0"/>
    <n v="3742958.9999999981"/>
    <n v="0"/>
    <m/>
    <n v="0"/>
    <m/>
    <n v="0"/>
    <m/>
    <n v="0"/>
    <m/>
    <n v="0"/>
    <n v="4270711.4999999972"/>
    <n v="0"/>
    <n v="7"/>
    <m/>
    <n v="0"/>
    <m/>
    <n v="0"/>
    <m/>
    <n v="0"/>
    <n v="4736138.9999999991"/>
    <n v="0"/>
    <n v="7"/>
    <n v="0"/>
    <n v="0"/>
    <n v="0"/>
    <x v="0"/>
    <s v=""/>
    <n v="7"/>
    <s v="2018 (triag)"/>
    <n v="7"/>
    <s v="2018 (triag)"/>
    <x v="1"/>
    <n v="7"/>
    <n v="7"/>
    <s v="No change"/>
    <n v="5.6024318930811168E-2"/>
    <n v="5.4673730437993617E-2"/>
    <n v="5.2898429344610163"/>
    <n v="8.2476749828673448"/>
    <x v="0"/>
    <n v="1.639071147746694E-2"/>
    <n v="1.4779971618231648E-2"/>
  </r>
  <r>
    <x v="27"/>
    <s v="MRT"/>
    <n v="3636134.5"/>
    <x v="16"/>
    <n v="0"/>
    <n v="3742958.9999999981"/>
    <n v="0"/>
    <m/>
    <n v="0"/>
    <m/>
    <n v="0"/>
    <m/>
    <n v="0"/>
    <m/>
    <n v="0"/>
    <n v="4270711.4999999972"/>
    <n v="0"/>
    <n v="0"/>
    <m/>
    <n v="0"/>
    <m/>
    <n v="0"/>
    <m/>
    <n v="0"/>
    <n v="4736138.9999999991"/>
    <n v="0"/>
    <n v="0"/>
    <n v="0"/>
    <n v="0"/>
    <n v="0"/>
    <x v="0"/>
    <s v=""/>
    <m/>
    <s v=""/>
    <n v="0"/>
    <s v=""/>
    <x v="1"/>
    <m/>
    <n v="0"/>
    <s v="No change"/>
    <n v="5.6024318930811168E-2"/>
    <n v="5.4673730437993617E-2"/>
    <n v="0"/>
    <n v="0"/>
    <x v="0"/>
    <n v="0"/>
    <n v="0"/>
  </r>
  <r>
    <x v="27"/>
    <s v="MRT"/>
    <n v="3636135.5"/>
    <x v="17"/>
    <n v="0"/>
    <n v="3742958.9999999981"/>
    <n v="0"/>
    <m/>
    <n v="0"/>
    <m/>
    <n v="0"/>
    <m/>
    <n v="0"/>
    <m/>
    <n v="0"/>
    <n v="4270711.4999999972"/>
    <n v="0"/>
    <n v="0"/>
    <m/>
    <n v="0"/>
    <m/>
    <n v="0"/>
    <m/>
    <n v="0"/>
    <n v="4736138.9999999991"/>
    <n v="0"/>
    <n v="0"/>
    <n v="0"/>
    <n v="0"/>
    <n v="0"/>
    <x v="0"/>
    <s v=""/>
    <m/>
    <s v=""/>
    <n v="0"/>
    <s v=""/>
    <x v="1"/>
    <m/>
    <n v="0"/>
    <s v="No change"/>
    <n v="5.6024318930811168E-2"/>
    <n v="5.4673730437993617E-2"/>
    <n v="0"/>
    <n v="0"/>
    <x v="0"/>
    <n v="0"/>
    <n v="0"/>
  </r>
  <r>
    <x v="27"/>
    <s v="MRT"/>
    <n v="3636136.5"/>
    <x v="18"/>
    <n v="0"/>
    <n v="3742958.9999999981"/>
    <n v="0"/>
    <m/>
    <n v="0"/>
    <m/>
    <n v="0"/>
    <m/>
    <n v="0"/>
    <m/>
    <n v="0"/>
    <n v="4270711.4999999972"/>
    <n v="0"/>
    <n v="42"/>
    <m/>
    <n v="0"/>
    <m/>
    <n v="0"/>
    <m/>
    <n v="0"/>
    <n v="4736138.9999999991"/>
    <n v="0"/>
    <n v="42"/>
    <n v="0"/>
    <n v="0"/>
    <n v="0"/>
    <x v="0"/>
    <s v=""/>
    <n v="42"/>
    <s v="2018 (triag)"/>
    <n v="42"/>
    <s v="2018 (triag)"/>
    <x v="1"/>
    <n v="42"/>
    <n v="42"/>
    <s v="No change"/>
    <n v="5.6024318930811168E-2"/>
    <n v="5.4673730437993617E-2"/>
    <n v="31.739057606766096"/>
    <n v="49.486049897204062"/>
    <x v="0"/>
    <n v="9.8344268864801632E-2"/>
    <n v="8.8679829709389882E-2"/>
  </r>
  <r>
    <x v="28"/>
    <s v="MUS"/>
    <n v="1288749.5"/>
    <x v="0"/>
    <n v="0"/>
    <n v="1290691.4999999998"/>
    <n v="0"/>
    <m/>
    <n v="0"/>
    <m/>
    <n v="0"/>
    <m/>
    <n v="0"/>
    <m/>
    <n v="0"/>
    <n v="1295381.5000000005"/>
    <n v="180"/>
    <n v="180"/>
    <m/>
    <n v="0"/>
    <m/>
    <n v="163"/>
    <m/>
    <n v="0"/>
    <n v="1299468.9999999986"/>
    <n v="916"/>
    <n v="180"/>
    <n v="0"/>
    <n v="180"/>
    <n v="916"/>
    <x v="0"/>
    <s v=""/>
    <n v="180"/>
    <n v="2018"/>
    <n v="916"/>
    <n v="2022"/>
    <x v="1"/>
    <n v="916"/>
    <n v="916"/>
    <s v="Increasing"/>
    <n v="7.4156136535132866E-2"/>
    <n v="5.4673730437993617E-2"/>
    <n v="124.23515341437476"/>
    <n v="212.08307098801743"/>
    <x v="0"/>
    <n v="1.3895520354428401"/>
    <n v="7.0490331050606132"/>
  </r>
  <r>
    <x v="28"/>
    <s v="MUS"/>
    <n v="1288750.5"/>
    <x v="1"/>
    <n v="0"/>
    <n v="1290691.4999999998"/>
    <n v="0"/>
    <m/>
    <n v="0"/>
    <m/>
    <n v="0"/>
    <m/>
    <n v="202"/>
    <m/>
    <n v="61"/>
    <n v="1295381.5000000005"/>
    <n v="0"/>
    <n v="0"/>
    <m/>
    <n v="1"/>
    <m/>
    <n v="0"/>
    <m/>
    <n v="0"/>
    <n v="1299468.9999999986"/>
    <n v="0"/>
    <n v="0"/>
    <n v="0"/>
    <n v="202"/>
    <n v="0"/>
    <x v="0"/>
    <s v=""/>
    <n v="61"/>
    <n v="2017"/>
    <n v="1"/>
    <n v="2017"/>
    <x v="0"/>
    <n v="1.1791996777225728"/>
    <n v="61"/>
    <s v="Decreasing"/>
    <n v="7.4156136535132866E-2"/>
    <n v="5.4673730437993617E-2"/>
    <n v="0"/>
    <n v="0"/>
    <x v="0"/>
    <n v="0.47090374534451801"/>
    <n v="9.0744733250471849E-3"/>
  </r>
  <r>
    <x v="28"/>
    <s v="MUS"/>
    <n v="1288751.5"/>
    <x v="2"/>
    <n v="0"/>
    <n v="1290691.4999999998"/>
    <n v="0"/>
    <m/>
    <n v="0"/>
    <m/>
    <n v="0"/>
    <m/>
    <n v="1796"/>
    <m/>
    <n v="1843"/>
    <n v="1295381.5000000005"/>
    <n v="0"/>
    <n v="48"/>
    <m/>
    <n v="311"/>
    <m/>
    <n v="0"/>
    <m/>
    <n v="0"/>
    <n v="1299468.9999999986"/>
    <n v="0"/>
    <n v="48"/>
    <n v="0"/>
    <n v="1843"/>
    <n v="0"/>
    <x v="0"/>
    <s v=""/>
    <n v="48"/>
    <s v="2018 (triag)"/>
    <n v="311"/>
    <s v="2018 (triag)"/>
    <x v="1"/>
    <n v="311"/>
    <n v="311"/>
    <s v="Increasing"/>
    <n v="7.4156136535132866E-2"/>
    <n v="5.4673730437993617E-2"/>
    <n v="33.129374243833269"/>
    <n v="56.555485596804644"/>
    <x v="0"/>
    <n v="0.370547209451424"/>
    <n v="2.3932852572858634"/>
  </r>
  <r>
    <x v="28"/>
    <s v="MUS"/>
    <n v="1288752.5"/>
    <x v="3"/>
    <n v="0"/>
    <n v="1290691.4999999998"/>
    <n v="0"/>
    <m/>
    <n v="0"/>
    <m/>
    <n v="0"/>
    <m/>
    <n v="0"/>
    <m/>
    <n v="0"/>
    <n v="1295381.5000000005"/>
    <n v="0"/>
    <n v="1153"/>
    <m/>
    <n v="0"/>
    <m/>
    <n v="0"/>
    <m/>
    <n v="0"/>
    <n v="1299468.9999999986"/>
    <n v="0"/>
    <n v="1153"/>
    <n v="0"/>
    <n v="0"/>
    <n v="0"/>
    <x v="0"/>
    <s v=""/>
    <n v="1153"/>
    <s v="2018 (triag)"/>
    <n v="1153"/>
    <s v="2018 (triag)"/>
    <x v="1"/>
    <n v="1153"/>
    <n v="1153"/>
    <s v="No change"/>
    <n v="7.4156136535132866E-2"/>
    <n v="5.4673730437993617E-2"/>
    <n v="795.79517714874498"/>
    <n v="1358.5098936065783"/>
    <x v="0"/>
    <n v="8.9008527603644154"/>
    <n v="8.8728549892302251"/>
  </r>
  <r>
    <x v="28"/>
    <s v="MUS"/>
    <n v="1288753.5"/>
    <x v="4"/>
    <n v="0"/>
    <n v="1290691.4999999998"/>
    <n v="0"/>
    <m/>
    <n v="0"/>
    <m/>
    <n v="0"/>
    <m/>
    <n v="0"/>
    <m/>
    <n v="0"/>
    <n v="1295381.5000000005"/>
    <n v="0"/>
    <n v="315"/>
    <m/>
    <n v="0"/>
    <m/>
    <n v="0"/>
    <m/>
    <n v="0"/>
    <n v="1299468.9999999986"/>
    <n v="0"/>
    <n v="315"/>
    <n v="0"/>
    <n v="0"/>
    <n v="0"/>
    <x v="0"/>
    <s v=""/>
    <n v="315"/>
    <s v="2018 (triag)"/>
    <n v="315"/>
    <s v="2018 (triag)"/>
    <x v="1"/>
    <n v="315"/>
    <n v="315"/>
    <s v="No change"/>
    <n v="7.4156136535132866E-2"/>
    <n v="5.4673730437993617E-2"/>
    <n v="217.41151847515582"/>
    <n v="371.14537422903049"/>
    <x v="0"/>
    <n v="2.4317160620249703"/>
    <n v="2.4240670612380928"/>
  </r>
  <r>
    <x v="28"/>
    <s v="MUS"/>
    <n v="1288754.5"/>
    <x v="5"/>
    <n v="0"/>
    <n v="1290691.4999999998"/>
    <n v="0"/>
    <m/>
    <n v="0"/>
    <m/>
    <n v="0"/>
    <m/>
    <n v="0"/>
    <m/>
    <n v="0"/>
    <n v="1295381.5000000005"/>
    <n v="0"/>
    <n v="12"/>
    <m/>
    <n v="15"/>
    <m/>
    <n v="0"/>
    <m/>
    <n v="0"/>
    <n v="1299468.9999999986"/>
    <n v="0"/>
    <n v="12"/>
    <n v="0"/>
    <n v="15"/>
    <n v="0"/>
    <x v="0"/>
    <s v=""/>
    <n v="12"/>
    <s v="2018 (triag)"/>
    <n v="15"/>
    <s v="2018 (triag)"/>
    <x v="1"/>
    <n v="15"/>
    <n v="15"/>
    <s v="Increasing"/>
    <n v="7.4156136535132866E-2"/>
    <n v="5.4673730437993617E-2"/>
    <n v="8.2823435609583171"/>
    <n v="14.138871399201161"/>
    <x v="0"/>
    <n v="9.2636802362855999E-2"/>
    <n v="0.11543176482086157"/>
  </r>
  <r>
    <x v="28"/>
    <s v="MUS"/>
    <n v="1288755.5"/>
    <x v="6"/>
    <n v="0"/>
    <n v="1290691.4999999998"/>
    <n v="0"/>
    <m/>
    <n v="0"/>
    <m/>
    <n v="0"/>
    <m/>
    <n v="0"/>
    <m/>
    <n v="0"/>
    <n v="1295381.5000000005"/>
    <n v="291"/>
    <n v="291"/>
    <m/>
    <n v="0"/>
    <m/>
    <n v="0"/>
    <m/>
    <n v="0"/>
    <n v="1299468.9999999986"/>
    <n v="270"/>
    <n v="274"/>
    <n v="0"/>
    <n v="291"/>
    <n v="270"/>
    <x v="0"/>
    <s v=""/>
    <n v="291"/>
    <n v="2018"/>
    <n v="270"/>
    <n v="2022"/>
    <x v="0"/>
    <n v="318.38391298509464"/>
    <n v="318.38391298509464"/>
    <s v="Increasing"/>
    <n v="7.4156136535132866E-2"/>
    <n v="5.4673730437993617E-2"/>
    <n v="189.11351130854825"/>
    <n v="322.83756361509319"/>
    <x v="0"/>
    <n v="2.2464424572992581"/>
    <n v="2.4501077977627399"/>
  </r>
  <r>
    <x v="28"/>
    <s v="MUS"/>
    <n v="1288756.5"/>
    <x v="7"/>
    <n v="0"/>
    <n v="1290691.4999999998"/>
    <n v="0"/>
    <m/>
    <n v="0"/>
    <m/>
    <n v="0"/>
    <m/>
    <n v="0"/>
    <m/>
    <n v="0"/>
    <n v="1295381.5000000005"/>
    <n v="0"/>
    <n v="9"/>
    <m/>
    <n v="0"/>
    <m/>
    <n v="0"/>
    <m/>
    <n v="0"/>
    <n v="1299468.9999999986"/>
    <n v="0"/>
    <n v="9"/>
    <n v="0"/>
    <n v="0"/>
    <n v="0"/>
    <x v="0"/>
    <s v=""/>
    <n v="9"/>
    <s v="2018 (triag)"/>
    <n v="9"/>
    <s v="2018 (triag)"/>
    <x v="1"/>
    <n v="9"/>
    <n v="9"/>
    <s v="No change"/>
    <n v="7.4156136535132866E-2"/>
    <n v="5.4673730437993617E-2"/>
    <n v="6.2117576707187379"/>
    <n v="10.60415354940087"/>
    <x v="0"/>
    <n v="6.9477601772142003E-2"/>
    <n v="6.9259058892516948E-2"/>
  </r>
  <r>
    <x v="28"/>
    <s v="MUS"/>
    <n v="1288757.5"/>
    <x v="8"/>
    <n v="0"/>
    <n v="1290691.4999999998"/>
    <n v="0"/>
    <m/>
    <n v="0"/>
    <m/>
    <n v="0"/>
    <m/>
    <n v="0"/>
    <m/>
    <n v="0"/>
    <n v="1295381.5000000005"/>
    <n v="0"/>
    <n v="213"/>
    <m/>
    <n v="0"/>
    <m/>
    <n v="0"/>
    <m/>
    <n v="0"/>
    <n v="1299468.9999999986"/>
    <n v="0"/>
    <n v="213"/>
    <n v="0"/>
    <n v="0"/>
    <n v="0"/>
    <x v="0"/>
    <s v=""/>
    <n v="213"/>
    <s v="2018 (triag)"/>
    <n v="213"/>
    <s v="2018 (triag)"/>
    <x v="1"/>
    <n v="213"/>
    <n v="213"/>
    <s v="No change"/>
    <n v="7.4156136535132866E-2"/>
    <n v="5.4673730437993617E-2"/>
    <n v="147.01159820701014"/>
    <n v="250.9649673358206"/>
    <x v="0"/>
    <n v="1.644303241940694"/>
    <n v="1.6391310604562344"/>
  </r>
  <r>
    <x v="28"/>
    <s v="MUS"/>
    <n v="1288758.5"/>
    <x v="9"/>
    <n v="0"/>
    <n v="1290691.4999999998"/>
    <n v="0"/>
    <m/>
    <n v="0"/>
    <m/>
    <n v="0"/>
    <m/>
    <n v="0"/>
    <m/>
    <n v="0"/>
    <n v="1295381.5000000005"/>
    <n v="0"/>
    <n v="416"/>
    <m/>
    <n v="0"/>
    <m/>
    <n v="0"/>
    <m/>
    <n v="0"/>
    <n v="1299468.9999999986"/>
    <n v="378"/>
    <n v="416"/>
    <n v="0"/>
    <n v="0"/>
    <n v="378"/>
    <x v="0"/>
    <s v=""/>
    <n v="416"/>
    <s v="2018 (triag)"/>
    <n v="378"/>
    <n v="2022"/>
    <x v="0"/>
    <n v="445.73747817913255"/>
    <n v="445.73747817913255"/>
    <s v="Increasing"/>
    <n v="7.4156136535132866E-2"/>
    <n v="5.4673730437993617E-2"/>
    <n v="287.12124344655501"/>
    <n v="490.14754183897355"/>
    <x v="0"/>
    <n v="3.2114091485790084"/>
    <n v="3.4301509168678366"/>
  </r>
  <r>
    <x v="28"/>
    <s v="MUS"/>
    <n v="1288759.5"/>
    <x v="10"/>
    <n v="0"/>
    <n v="1290691.4999999998"/>
    <n v="0"/>
    <m/>
    <n v="0"/>
    <m/>
    <n v="0"/>
    <m/>
    <n v="0"/>
    <m/>
    <n v="0"/>
    <n v="1295381.5000000005"/>
    <n v="0"/>
    <n v="0"/>
    <m/>
    <n v="0"/>
    <m/>
    <n v="0"/>
    <m/>
    <n v="0"/>
    <n v="1299468.9999999986"/>
    <n v="6"/>
    <n v="0"/>
    <n v="0"/>
    <n v="0"/>
    <n v="6"/>
    <x v="0"/>
    <s v=""/>
    <m/>
    <s v=""/>
    <n v="6"/>
    <n v="2022"/>
    <x v="1"/>
    <n v="6"/>
    <n v="6"/>
    <s v="Increasing"/>
    <n v="7.4156136535132866E-2"/>
    <n v="5.4673730437993617E-2"/>
    <n v="0"/>
    <n v="0"/>
    <x v="0"/>
    <n v="0"/>
    <n v="4.6172705928344625E-2"/>
  </r>
  <r>
    <x v="28"/>
    <s v="MUS"/>
    <n v="1288760.5"/>
    <x v="11"/>
    <n v="0"/>
    <n v="1290691.4999999998"/>
    <n v="0"/>
    <m/>
    <n v="0"/>
    <m/>
    <n v="0"/>
    <m/>
    <n v="0"/>
    <m/>
    <n v="0"/>
    <n v="1295381.5000000005"/>
    <n v="0"/>
    <n v="3295"/>
    <m/>
    <n v="0"/>
    <m/>
    <n v="0"/>
    <m/>
    <n v="0"/>
    <n v="1299468.9999999986"/>
    <n v="0"/>
    <n v="3295"/>
    <n v="0"/>
    <n v="0"/>
    <n v="0"/>
    <x v="0"/>
    <s v=""/>
    <n v="3295"/>
    <s v="2018 (triag)"/>
    <n v="3295"/>
    <s v="2018 (triag)"/>
    <x v="1"/>
    <n v="3295"/>
    <n v="3295"/>
    <s v="No change"/>
    <n v="7.4156136535132866E-2"/>
    <n v="5.4673730437993617E-2"/>
    <n v="2274.1935027798045"/>
    <n v="3882.2984383639855"/>
    <x v="0"/>
    <n v="25.436521982134213"/>
    <n v="25.356511005649256"/>
  </r>
  <r>
    <x v="28"/>
    <s v="MUS"/>
    <n v="1288761.5"/>
    <x v="12"/>
    <n v="0"/>
    <n v="1290691.4999999998"/>
    <n v="0"/>
    <m/>
    <n v="0"/>
    <m/>
    <n v="0"/>
    <m/>
    <n v="0"/>
    <m/>
    <n v="0"/>
    <n v="1295381.5000000005"/>
    <n v="0"/>
    <n v="0"/>
    <m/>
    <n v="0"/>
    <m/>
    <n v="0"/>
    <m/>
    <n v="0"/>
    <n v="1299468.9999999986"/>
    <n v="0"/>
    <n v="0"/>
    <n v="0"/>
    <n v="0"/>
    <n v="0"/>
    <x v="0"/>
    <s v=""/>
    <m/>
    <s v=""/>
    <n v="0"/>
    <s v=""/>
    <x v="1"/>
    <m/>
    <n v="0"/>
    <s v="No change"/>
    <n v="7.4156136535132866E-2"/>
    <n v="5.4673730437993617E-2"/>
    <n v="0"/>
    <n v="0"/>
    <x v="0"/>
    <n v="0"/>
    <n v="0"/>
  </r>
  <r>
    <x v="28"/>
    <s v="MUS"/>
    <n v="1288762.5"/>
    <x v="13"/>
    <n v="0"/>
    <n v="1290691.4999999998"/>
    <n v="0"/>
    <m/>
    <n v="0"/>
    <m/>
    <n v="0"/>
    <m/>
    <n v="0"/>
    <m/>
    <n v="0"/>
    <n v="1295381.5000000005"/>
    <n v="0"/>
    <n v="291"/>
    <m/>
    <n v="0"/>
    <m/>
    <n v="0"/>
    <m/>
    <n v="0"/>
    <n v="1299468.9999999986"/>
    <n v="224"/>
    <n v="291"/>
    <n v="0"/>
    <n v="0"/>
    <n v="224"/>
    <x v="0"/>
    <s v=""/>
    <n v="291"/>
    <s v="2018 (triag)"/>
    <n v="224"/>
    <n v="2022"/>
    <x v="0"/>
    <n v="264.14072780985634"/>
    <n v="291"/>
    <s v="Decreasing"/>
    <n v="7.4156136535132866E-2"/>
    <n v="5.4673730437993617E-2"/>
    <n v="200.8468313532392"/>
    <n v="342.86763143062814"/>
    <x v="0"/>
    <n v="2.2464424572992581"/>
    <n v="2.0326820248105699"/>
  </r>
  <r>
    <x v="28"/>
    <s v="MUS"/>
    <n v="1288763.5"/>
    <x v="14"/>
    <n v="0"/>
    <n v="1290691.4999999998"/>
    <n v="0"/>
    <m/>
    <n v="0"/>
    <m/>
    <n v="0"/>
    <m/>
    <n v="0"/>
    <m/>
    <n v="0"/>
    <n v="1295381.5000000005"/>
    <n v="0"/>
    <n v="24"/>
    <m/>
    <n v="0"/>
    <m/>
    <n v="0"/>
    <m/>
    <n v="0"/>
    <n v="1299468.9999999986"/>
    <n v="0"/>
    <n v="24"/>
    <n v="0"/>
    <n v="0"/>
    <n v="0"/>
    <x v="0"/>
    <s v=""/>
    <n v="24"/>
    <s v="2018 (triag)"/>
    <n v="24"/>
    <s v="2018 (triag)"/>
    <x v="1"/>
    <n v="24"/>
    <n v="24"/>
    <s v="No change"/>
    <n v="7.4156136535132866E-2"/>
    <n v="5.4673730437993617E-2"/>
    <n v="16.564687121916634"/>
    <n v="28.277742798402322"/>
    <x v="0"/>
    <n v="0.185273604725712"/>
    <n v="0.1846908237133785"/>
  </r>
  <r>
    <x v="28"/>
    <s v="MUS"/>
    <n v="1288764.5"/>
    <x v="15"/>
    <n v="0"/>
    <n v="1290691.4999999998"/>
    <n v="0"/>
    <m/>
    <n v="0"/>
    <m/>
    <n v="0"/>
    <m/>
    <n v="0"/>
    <m/>
    <n v="0"/>
    <n v="1295381.5000000005"/>
    <n v="0"/>
    <n v="64"/>
    <m/>
    <n v="0"/>
    <m/>
    <n v="0"/>
    <m/>
    <n v="0"/>
    <n v="1299468.9999999986"/>
    <n v="0"/>
    <n v="64"/>
    <n v="0"/>
    <n v="0"/>
    <n v="0"/>
    <x v="0"/>
    <s v=""/>
    <n v="64"/>
    <s v="2018 (triag)"/>
    <n v="64"/>
    <s v="2018 (triag)"/>
    <x v="1"/>
    <n v="64"/>
    <n v="64"/>
    <s v="No change"/>
    <n v="7.4156136535132866E-2"/>
    <n v="5.4673730437993617E-2"/>
    <n v="44.172498991777694"/>
    <n v="75.407314129072859"/>
    <x v="0"/>
    <n v="0.49406294593523203"/>
    <n v="0.492508863235676"/>
  </r>
  <r>
    <x v="28"/>
    <s v="MUS"/>
    <n v="1288765.5"/>
    <x v="16"/>
    <n v="0"/>
    <n v="1290691.4999999998"/>
    <n v="0"/>
    <m/>
    <n v="0"/>
    <m/>
    <n v="0"/>
    <m/>
    <n v="0"/>
    <m/>
    <n v="0"/>
    <n v="1295381.5000000005"/>
    <n v="0"/>
    <n v="0"/>
    <m/>
    <n v="0"/>
    <m/>
    <n v="0"/>
    <m/>
    <n v="0"/>
    <n v="1299468.9999999986"/>
    <n v="0"/>
    <n v="0"/>
    <n v="0"/>
    <n v="0"/>
    <n v="0"/>
    <x v="0"/>
    <s v=""/>
    <m/>
    <s v=""/>
    <n v="0"/>
    <s v=""/>
    <x v="1"/>
    <m/>
    <n v="0"/>
    <s v="No change"/>
    <n v="7.4156136535132866E-2"/>
    <n v="5.4673730437993617E-2"/>
    <n v="0"/>
    <n v="0"/>
    <x v="0"/>
    <n v="0"/>
    <n v="0"/>
  </r>
  <r>
    <x v="28"/>
    <s v="MUS"/>
    <n v="1288766.5"/>
    <x v="17"/>
    <n v="0"/>
    <n v="1290691.4999999998"/>
    <n v="0"/>
    <m/>
    <n v="0"/>
    <m/>
    <n v="0"/>
    <m/>
    <n v="0"/>
    <m/>
    <n v="0"/>
    <n v="1295381.5000000005"/>
    <n v="0"/>
    <n v="0"/>
    <m/>
    <n v="0"/>
    <m/>
    <n v="0"/>
    <m/>
    <n v="0"/>
    <n v="1299468.9999999986"/>
    <n v="27"/>
    <n v="0"/>
    <n v="0"/>
    <n v="0"/>
    <n v="27"/>
    <x v="0"/>
    <s v=""/>
    <m/>
    <s v=""/>
    <n v="27"/>
    <n v="2022"/>
    <x v="1"/>
    <n v="27"/>
    <n v="27"/>
    <s v="Increasing"/>
    <n v="7.4156136535132866E-2"/>
    <n v="5.4673730437993617E-2"/>
    <n v="0"/>
    <n v="0"/>
    <x v="0"/>
    <n v="0"/>
    <n v="0.20777717667755083"/>
  </r>
  <r>
    <x v="28"/>
    <s v="MUS"/>
    <n v="1288767.5"/>
    <x v="18"/>
    <n v="0"/>
    <n v="1290691.4999999998"/>
    <n v="0"/>
    <m/>
    <n v="0"/>
    <m/>
    <n v="0"/>
    <m/>
    <n v="0"/>
    <m/>
    <n v="0"/>
    <n v="1295381.5000000005"/>
    <n v="0"/>
    <n v="5"/>
    <m/>
    <n v="0"/>
    <m/>
    <n v="0"/>
    <m/>
    <n v="0"/>
    <n v="1299468.9999999986"/>
    <n v="0"/>
    <n v="5"/>
    <n v="0"/>
    <n v="0"/>
    <n v="0"/>
    <x v="0"/>
    <s v=""/>
    <n v="5"/>
    <s v="2018 (triag)"/>
    <n v="5"/>
    <s v="2018 (triag)"/>
    <x v="1"/>
    <n v="5"/>
    <n v="5"/>
    <s v="No change"/>
    <n v="7.4156136535132866E-2"/>
    <n v="5.4673730437993617E-2"/>
    <n v="3.450976483732632"/>
    <n v="5.8911964163338171"/>
    <x v="0"/>
    <n v="3.8598667651190001E-2"/>
    <n v="3.8477254940287191E-2"/>
  </r>
  <r>
    <x v="29"/>
    <s v="MWI"/>
    <n v="15581255.5"/>
    <x v="0"/>
    <n v="0"/>
    <n v="16024775.499999996"/>
    <n v="0"/>
    <m/>
    <n v="0"/>
    <m/>
    <n v="0"/>
    <m/>
    <n v="0"/>
    <m/>
    <n v="0"/>
    <n v="18367882.999999985"/>
    <n v="10016"/>
    <n v="10016"/>
    <m/>
    <n v="0"/>
    <m/>
    <n v="0"/>
    <m/>
    <n v="0"/>
    <n v="20405316.500000019"/>
    <n v="10747"/>
    <n v="10016"/>
    <n v="0"/>
    <n v="10016"/>
    <n v="10747"/>
    <x v="0"/>
    <s v=""/>
    <n v="10016"/>
    <n v="2018"/>
    <n v="10747"/>
    <n v="2022"/>
    <x v="1"/>
    <n v="10747"/>
    <n v="10747"/>
    <s v="Increasing"/>
    <n v="-0.13121558498618857"/>
    <n v="0.50042870775453441"/>
    <n v="19303.023453988262"/>
    <n v="44946.367139643909"/>
    <x v="0"/>
    <n v="5.4529964068259842"/>
    <n v="5.2667646689038072"/>
  </r>
  <r>
    <x v="29"/>
    <s v="MWI"/>
    <n v="15581256.5"/>
    <x v="1"/>
    <n v="0"/>
    <n v="16024775.499999996"/>
    <n v="0"/>
    <m/>
    <n v="0"/>
    <m/>
    <n v="0"/>
    <m/>
    <n v="0"/>
    <m/>
    <n v="0"/>
    <n v="18367882.999999985"/>
    <n v="0"/>
    <n v="25"/>
    <m/>
    <n v="0"/>
    <m/>
    <n v="9"/>
    <m/>
    <n v="0"/>
    <n v="20405316.500000019"/>
    <n v="0"/>
    <n v="25"/>
    <n v="0"/>
    <n v="0"/>
    <n v="9"/>
    <x v="0"/>
    <s v=""/>
    <n v="25"/>
    <s v="2018 (triag)"/>
    <n v="9"/>
    <n v="2020"/>
    <x v="0"/>
    <n v="9.9719618239660672"/>
    <n v="25"/>
    <s v="Decreasing"/>
    <n v="-0.13121558498618857"/>
    <n v="0.50042870775453441"/>
    <n v="48.180469883157599"/>
    <n v="112.18641957778533"/>
    <x v="0"/>
    <n v="1.3610713874865177E-2"/>
    <n v="4.8869429807501677E-3"/>
  </r>
  <r>
    <x v="29"/>
    <s v="MWI"/>
    <n v="15581257.5"/>
    <x v="2"/>
    <n v="0"/>
    <n v="16024775.499999996"/>
    <n v="0"/>
    <m/>
    <n v="0"/>
    <m/>
    <n v="0"/>
    <m/>
    <n v="0"/>
    <m/>
    <n v="0"/>
    <n v="18367882.999999985"/>
    <n v="0"/>
    <n v="35"/>
    <m/>
    <n v="0"/>
    <m/>
    <n v="0"/>
    <m/>
    <n v="0"/>
    <n v="20405316.500000019"/>
    <n v="0"/>
    <n v="35"/>
    <n v="0"/>
    <n v="0"/>
    <n v="0"/>
    <x v="0"/>
    <s v=""/>
    <n v="35"/>
    <s v="2018 (triag)"/>
    <n v="35"/>
    <s v="2018 (triag)"/>
    <x v="1"/>
    <n v="35"/>
    <n v="35"/>
    <s v="No change"/>
    <n v="-0.13121558498618857"/>
    <n v="0.50042870775453441"/>
    <n v="67.452657836420642"/>
    <n v="157.06098740889945"/>
    <x v="0"/>
    <n v="1.9054999424811248E-2"/>
    <n v="1.7152392612974156E-2"/>
  </r>
  <r>
    <x v="29"/>
    <s v="MWI"/>
    <n v="15581258.5"/>
    <x v="3"/>
    <n v="0"/>
    <n v="16024775.499999996"/>
    <n v="0"/>
    <m/>
    <n v="0"/>
    <m/>
    <n v="0"/>
    <m/>
    <n v="0"/>
    <m/>
    <n v="0"/>
    <n v="18367882.999999985"/>
    <n v="0"/>
    <n v="178"/>
    <m/>
    <n v="0"/>
    <m/>
    <n v="0"/>
    <m/>
    <n v="0"/>
    <n v="20405316.500000019"/>
    <n v="0"/>
    <n v="178"/>
    <n v="0"/>
    <n v="0"/>
    <n v="0"/>
    <x v="0"/>
    <s v=""/>
    <n v="178"/>
    <s v="2018 (triag)"/>
    <n v="178"/>
    <s v="2018 (triag)"/>
    <x v="1"/>
    <n v="178"/>
    <n v="178"/>
    <s v="No change"/>
    <n v="-0.13121558498618857"/>
    <n v="0.50042870775453441"/>
    <n v="343.04494556808208"/>
    <n v="798.76730739383152"/>
    <x v="0"/>
    <n v="9.6908282789040054E-2"/>
    <n v="8.723216814598285E-2"/>
  </r>
  <r>
    <x v="29"/>
    <s v="MWI"/>
    <n v="15581259.5"/>
    <x v="4"/>
    <n v="0"/>
    <n v="16024775.499999996"/>
    <n v="0"/>
    <m/>
    <n v="0"/>
    <m/>
    <n v="0"/>
    <m/>
    <n v="0"/>
    <m/>
    <n v="0"/>
    <n v="18367882.999999985"/>
    <n v="0"/>
    <n v="178"/>
    <m/>
    <n v="0"/>
    <m/>
    <n v="2630"/>
    <m/>
    <n v="0"/>
    <n v="20405316.500000019"/>
    <n v="561"/>
    <n v="178"/>
    <n v="0"/>
    <n v="0"/>
    <n v="2630"/>
    <x v="0"/>
    <s v=""/>
    <n v="178"/>
    <s v="2018 (triag)"/>
    <n v="561"/>
    <n v="2022"/>
    <x v="1"/>
    <n v="561"/>
    <n v="561"/>
    <s v="Increasing"/>
    <n v="-0.13121558498618857"/>
    <n v="0.50042870775453441"/>
    <n v="343.04494556808208"/>
    <n v="798.76730739383152"/>
    <x v="0"/>
    <n v="9.6908282789040054E-2"/>
    <n v="0.27492835016795719"/>
  </r>
  <r>
    <x v="29"/>
    <s v="MWI"/>
    <n v="15581260.5"/>
    <x v="5"/>
    <n v="0"/>
    <n v="16024775.499999996"/>
    <n v="0"/>
    <m/>
    <n v="0"/>
    <m/>
    <n v="0"/>
    <m/>
    <n v="0"/>
    <m/>
    <n v="0"/>
    <n v="18367882.999999985"/>
    <n v="0"/>
    <n v="0"/>
    <m/>
    <n v="0"/>
    <m/>
    <n v="0"/>
    <m/>
    <n v="0"/>
    <n v="20405316.500000019"/>
    <n v="12"/>
    <n v="0"/>
    <n v="0"/>
    <n v="0"/>
    <n v="12"/>
    <x v="0"/>
    <s v=""/>
    <m/>
    <s v=""/>
    <n v="12"/>
    <n v="2022"/>
    <x v="1"/>
    <n v="12"/>
    <n v="12"/>
    <s v="Increasing"/>
    <n v="-0.13121558498618857"/>
    <n v="0.50042870775453441"/>
    <n v="0"/>
    <n v="0"/>
    <x v="0"/>
    <n v="0"/>
    <n v="5.8808203244482826E-3"/>
  </r>
  <r>
    <x v="29"/>
    <s v="MWI"/>
    <n v="15581261.5"/>
    <x v="6"/>
    <n v="0"/>
    <n v="16024775.499999996"/>
    <n v="0"/>
    <m/>
    <n v="0"/>
    <m/>
    <n v="0"/>
    <m/>
    <n v="0"/>
    <m/>
    <n v="0"/>
    <n v="18367882.999999985"/>
    <n v="542"/>
    <n v="542"/>
    <m/>
    <n v="0"/>
    <m/>
    <n v="743"/>
    <m/>
    <n v="0"/>
    <n v="20405316.500000019"/>
    <n v="81"/>
    <n v="0"/>
    <n v="0"/>
    <n v="542"/>
    <n v="743"/>
    <x v="0"/>
    <s v=""/>
    <n v="542"/>
    <n v="2018"/>
    <n v="81"/>
    <n v="2022"/>
    <x v="0"/>
    <n v="89.747656415694607"/>
    <n v="542"/>
    <s v="Decreasing"/>
    <n v="-0.13121558498618857"/>
    <n v="0.50042870775453441"/>
    <n v="0"/>
    <n v="0"/>
    <x v="0"/>
    <n v="0.29508027680707705"/>
    <n v="4.3982486826751509E-2"/>
  </r>
  <r>
    <x v="29"/>
    <s v="MWI"/>
    <n v="15581262.5"/>
    <x v="7"/>
    <n v="0"/>
    <n v="16024775.499999996"/>
    <n v="0"/>
    <m/>
    <n v="0"/>
    <m/>
    <n v="0"/>
    <m/>
    <n v="0"/>
    <m/>
    <n v="0"/>
    <n v="18367882.999999985"/>
    <n v="0"/>
    <n v="2804"/>
    <m/>
    <n v="0"/>
    <m/>
    <n v="1809"/>
    <m/>
    <n v="0"/>
    <n v="20405316.500000019"/>
    <n v="1661"/>
    <n v="2804"/>
    <n v="0"/>
    <n v="0"/>
    <n v="1809"/>
    <x v="0"/>
    <s v=""/>
    <n v="2804"/>
    <s v="2018 (triag)"/>
    <n v="1661"/>
    <n v="2022"/>
    <x v="0"/>
    <n v="1840.3809544008486"/>
    <n v="2804"/>
    <s v="Decreasing"/>
    <n v="-0.13121558498618857"/>
    <n v="0.50042870775453441"/>
    <n v="5403.9215020949559"/>
    <n v="12582.828819844402"/>
    <x v="0"/>
    <n v="1.5265776682048782"/>
    <n v="0.90191247678066988"/>
  </r>
  <r>
    <x v="29"/>
    <s v="MWI"/>
    <n v="15581263.5"/>
    <x v="8"/>
    <n v="0"/>
    <n v="16024775.499999996"/>
    <n v="0"/>
    <m/>
    <n v="0"/>
    <m/>
    <n v="0"/>
    <m/>
    <n v="0"/>
    <m/>
    <n v="0"/>
    <n v="18367882.999999985"/>
    <n v="0"/>
    <n v="44"/>
    <m/>
    <n v="0"/>
    <m/>
    <n v="0"/>
    <m/>
    <n v="0"/>
    <n v="20405316.500000019"/>
    <n v="610"/>
    <n v="44"/>
    <n v="0"/>
    <n v="0"/>
    <n v="610"/>
    <x v="0"/>
    <s v=""/>
    <n v="44"/>
    <s v="2018 (triag)"/>
    <n v="610"/>
    <n v="2022"/>
    <x v="1"/>
    <n v="610"/>
    <n v="610"/>
    <s v="Increasing"/>
    <n v="-0.13121558498618857"/>
    <n v="0.50042870775453441"/>
    <n v="84.797626994357373"/>
    <n v="197.44809845690216"/>
    <x v="0"/>
    <n v="2.3954856419762711E-2"/>
    <n v="0.29894169982612101"/>
  </r>
  <r>
    <x v="29"/>
    <s v="MWI"/>
    <n v="15581264.5"/>
    <x v="9"/>
    <n v="0"/>
    <n v="16024775.499999996"/>
    <n v="0"/>
    <m/>
    <n v="0"/>
    <m/>
    <n v="0"/>
    <m/>
    <n v="0"/>
    <m/>
    <n v="0"/>
    <n v="18367882.999999985"/>
    <n v="0"/>
    <n v="306"/>
    <m/>
    <n v="0"/>
    <m/>
    <n v="0"/>
    <m/>
    <n v="0"/>
    <n v="20405316.500000019"/>
    <n v="0"/>
    <n v="306"/>
    <n v="0"/>
    <n v="0"/>
    <n v="0"/>
    <x v="0"/>
    <s v=""/>
    <n v="306"/>
    <s v="2018 (triag)"/>
    <n v="306"/>
    <s v="2018 (triag)"/>
    <x v="1"/>
    <n v="306"/>
    <n v="306"/>
    <s v="No change"/>
    <n v="-0.13121558498618857"/>
    <n v="0.50042870775453441"/>
    <n v="589.72895136984903"/>
    <n v="1373.1617756320923"/>
    <x v="0"/>
    <n v="0.16659513782834975"/>
    <n v="0.14996091827343119"/>
  </r>
  <r>
    <x v="29"/>
    <s v="MWI"/>
    <n v="15581265.5"/>
    <x v="10"/>
    <n v="0"/>
    <n v="16024775.499999996"/>
    <n v="0"/>
    <m/>
    <n v="0"/>
    <m/>
    <n v="0"/>
    <m/>
    <n v="0"/>
    <m/>
    <n v="0"/>
    <n v="18367882.999999985"/>
    <n v="0"/>
    <n v="13"/>
    <m/>
    <n v="0"/>
    <m/>
    <n v="91"/>
    <m/>
    <n v="0"/>
    <n v="20405316.500000019"/>
    <n v="73"/>
    <n v="13"/>
    <n v="0"/>
    <n v="0"/>
    <n v="91"/>
    <x v="0"/>
    <s v=""/>
    <n v="13"/>
    <s v="2018 (triag)"/>
    <n v="73"/>
    <n v="2022"/>
    <x v="1"/>
    <n v="73"/>
    <n v="73"/>
    <s v="Increasing"/>
    <n v="-0.13121558498618857"/>
    <n v="0.50042870775453441"/>
    <n v="25.053844339241952"/>
    <n v="58.336938180448371"/>
    <x v="0"/>
    <n v="7.077571214929892E-3"/>
    <n v="3.5774990307060384E-2"/>
  </r>
  <r>
    <x v="29"/>
    <s v="MWI"/>
    <n v="15581266.5"/>
    <x v="11"/>
    <n v="0"/>
    <n v="16024775.499999996"/>
    <n v="0"/>
    <m/>
    <n v="0"/>
    <m/>
    <n v="0"/>
    <m/>
    <n v="0"/>
    <m/>
    <n v="0"/>
    <n v="18367882.999999985"/>
    <n v="0"/>
    <n v="0"/>
    <m/>
    <n v="0"/>
    <m/>
    <n v="0"/>
    <m/>
    <n v="0"/>
    <n v="20405316.500000019"/>
    <n v="0"/>
    <n v="0"/>
    <n v="0"/>
    <n v="0"/>
    <n v="0"/>
    <x v="0"/>
    <s v=""/>
    <m/>
    <s v=""/>
    <n v="0"/>
    <s v=""/>
    <x v="1"/>
    <m/>
    <n v="0"/>
    <s v="No change"/>
    <n v="-0.13121558498618857"/>
    <n v="0.50042870775453441"/>
    <n v="0"/>
    <n v="0"/>
    <x v="0"/>
    <n v="0"/>
    <n v="0"/>
  </r>
  <r>
    <x v="29"/>
    <s v="MWI"/>
    <n v="15581267.5"/>
    <x v="12"/>
    <n v="0"/>
    <n v="16024775.499999996"/>
    <n v="0"/>
    <m/>
    <n v="0"/>
    <m/>
    <n v="0"/>
    <m/>
    <n v="0"/>
    <m/>
    <n v="0"/>
    <n v="18367882.999999985"/>
    <n v="0"/>
    <n v="0"/>
    <m/>
    <n v="0"/>
    <m/>
    <n v="0"/>
    <m/>
    <n v="0"/>
    <n v="20405316.500000019"/>
    <n v="11178"/>
    <n v="0"/>
    <n v="0"/>
    <n v="0"/>
    <n v="11178"/>
    <x v="0"/>
    <s v=""/>
    <m/>
    <s v=""/>
    <n v="11178"/>
    <n v="2022"/>
    <x v="1"/>
    <n v="11178"/>
    <n v="11178"/>
    <s v="Increasing"/>
    <n v="-0.13121558498618857"/>
    <n v="0.50042870775453441"/>
    <n v="0"/>
    <n v="0"/>
    <x v="0"/>
    <n v="0"/>
    <n v="5.4779841322235754"/>
  </r>
  <r>
    <x v="29"/>
    <s v="MWI"/>
    <n v="15581268.5"/>
    <x v="13"/>
    <n v="0"/>
    <n v="16024775.499999996"/>
    <n v="0"/>
    <m/>
    <n v="0"/>
    <m/>
    <n v="0"/>
    <m/>
    <n v="397"/>
    <m/>
    <n v="0"/>
    <n v="18367882.999999985"/>
    <n v="0"/>
    <n v="542"/>
    <m/>
    <n v="0"/>
    <m/>
    <n v="282"/>
    <m/>
    <n v="0"/>
    <n v="20405316.500000019"/>
    <n v="189"/>
    <n v="542"/>
    <n v="0"/>
    <n v="397"/>
    <n v="282"/>
    <x v="0"/>
    <s v=""/>
    <n v="542"/>
    <s v="2018 (triag)"/>
    <n v="189"/>
    <n v="2022"/>
    <x v="0"/>
    <n v="209.41119830328739"/>
    <n v="542"/>
    <s v="Decreasing"/>
    <n v="-0.13121558498618857"/>
    <n v="0.50042870775453441"/>
    <n v="1044.5525870668569"/>
    <n v="2432.2015764463858"/>
    <x v="0"/>
    <n v="0.29508027680707705"/>
    <n v="0.1026258025957535"/>
  </r>
  <r>
    <x v="29"/>
    <s v="MWI"/>
    <n v="15581269.5"/>
    <x v="14"/>
    <n v="0"/>
    <n v="16024775.499999996"/>
    <n v="0"/>
    <m/>
    <n v="0"/>
    <m/>
    <n v="0"/>
    <m/>
    <n v="1159"/>
    <m/>
    <n v="0"/>
    <n v="18367882.999999985"/>
    <n v="0"/>
    <n v="98"/>
    <m/>
    <n v="0"/>
    <m/>
    <n v="0"/>
    <m/>
    <n v="0"/>
    <n v="20405316.500000019"/>
    <n v="37"/>
    <n v="98"/>
    <n v="0"/>
    <n v="1159"/>
    <n v="37"/>
    <x v="0"/>
    <s v=""/>
    <n v="98"/>
    <s v="2018 (triag)"/>
    <n v="37"/>
    <n v="2022"/>
    <x v="0"/>
    <n v="40.995843054082719"/>
    <n v="98"/>
    <s v="Decreasing"/>
    <n v="-0.13121558498618857"/>
    <n v="0.50042870775453441"/>
    <n v="188.8674419419778"/>
    <n v="439.77076474491849"/>
    <x v="0"/>
    <n v="5.3353998389471489E-2"/>
    <n v="2.0090765587528467E-2"/>
  </r>
  <r>
    <x v="29"/>
    <s v="MWI"/>
    <n v="15581270.5"/>
    <x v="15"/>
    <n v="0"/>
    <n v="16024775.499999996"/>
    <n v="0"/>
    <m/>
    <n v="0"/>
    <m/>
    <n v="0"/>
    <m/>
    <n v="0"/>
    <m/>
    <n v="0"/>
    <n v="18367882.999999985"/>
    <n v="0"/>
    <n v="52"/>
    <m/>
    <n v="0"/>
    <m/>
    <n v="152"/>
    <m/>
    <n v="0"/>
    <n v="20405316.500000019"/>
    <n v="248"/>
    <n v="52"/>
    <n v="0"/>
    <n v="0"/>
    <n v="248"/>
    <x v="0"/>
    <s v=""/>
    <n v="52"/>
    <s v="2018 (triag)"/>
    <n v="248"/>
    <n v="2022"/>
    <x v="1"/>
    <n v="248"/>
    <n v="248"/>
    <s v="Increasing"/>
    <n v="-0.13121558498618857"/>
    <n v="0.50042870775453441"/>
    <n v="100.21537735696781"/>
    <n v="233.34775272179348"/>
    <x v="0"/>
    <n v="2.8310284859719568E-2"/>
    <n v="0.12153695337193117"/>
  </r>
  <r>
    <x v="29"/>
    <s v="MWI"/>
    <n v="15581271.5"/>
    <x v="16"/>
    <n v="0"/>
    <n v="16024775.499999996"/>
    <n v="0"/>
    <m/>
    <n v="0"/>
    <m/>
    <n v="0"/>
    <m/>
    <n v="0"/>
    <m/>
    <n v="0"/>
    <n v="18367882.999999985"/>
    <n v="0"/>
    <n v="0"/>
    <m/>
    <n v="0"/>
    <m/>
    <n v="0"/>
    <m/>
    <n v="0"/>
    <n v="20405316.500000019"/>
    <n v="72"/>
    <n v="0"/>
    <n v="0"/>
    <n v="0"/>
    <n v="72"/>
    <x v="0"/>
    <s v=""/>
    <m/>
    <s v=""/>
    <n v="72"/>
    <n v="2022"/>
    <x v="1"/>
    <n v="72"/>
    <n v="72"/>
    <s v="Increasing"/>
    <n v="-0.13121558498618857"/>
    <n v="0.50042870775453441"/>
    <n v="0"/>
    <n v="0"/>
    <x v="0"/>
    <n v="0"/>
    <n v="3.5284921946689696E-2"/>
  </r>
  <r>
    <x v="29"/>
    <s v="MWI"/>
    <n v="15581272.5"/>
    <x v="17"/>
    <n v="0"/>
    <n v="16024775.499999996"/>
    <n v="0"/>
    <m/>
    <n v="0"/>
    <m/>
    <n v="0"/>
    <m/>
    <n v="0"/>
    <m/>
    <n v="0"/>
    <n v="18367882.999999985"/>
    <n v="0"/>
    <n v="0"/>
    <m/>
    <n v="0"/>
    <m/>
    <n v="0"/>
    <m/>
    <n v="0"/>
    <n v="20405316.500000019"/>
    <n v="0"/>
    <n v="0"/>
    <n v="0"/>
    <n v="0"/>
    <n v="0"/>
    <x v="0"/>
    <s v=""/>
    <m/>
    <s v=""/>
    <n v="0"/>
    <s v=""/>
    <x v="1"/>
    <m/>
    <n v="0"/>
    <s v="No change"/>
    <n v="-0.13121558498618857"/>
    <n v="0.50042870775453441"/>
    <n v="0"/>
    <n v="0"/>
    <x v="0"/>
    <n v="0"/>
    <n v="0"/>
  </r>
  <r>
    <x v="29"/>
    <s v="MWI"/>
    <n v="15581273.5"/>
    <x v="18"/>
    <n v="0"/>
    <n v="16024775.499999996"/>
    <n v="0"/>
    <m/>
    <n v="0"/>
    <m/>
    <n v="0"/>
    <m/>
    <n v="0"/>
    <m/>
    <n v="0"/>
    <n v="18367882.999999985"/>
    <n v="0"/>
    <n v="0"/>
    <m/>
    <n v="0"/>
    <m/>
    <n v="0"/>
    <m/>
    <n v="0"/>
    <n v="20405316.500000019"/>
    <n v="2"/>
    <n v="0"/>
    <n v="0"/>
    <n v="0"/>
    <n v="2"/>
    <x v="0"/>
    <s v=""/>
    <m/>
    <s v=""/>
    <n v="2"/>
    <n v="2022"/>
    <x v="1"/>
    <n v="2"/>
    <n v="2"/>
    <s v="Increasing"/>
    <n v="-0.13121558498618857"/>
    <n v="0.50042870775453441"/>
    <n v="0"/>
    <n v="0"/>
    <x v="0"/>
    <n v="0"/>
    <n v="9.8013672074138036E-4"/>
  </r>
  <r>
    <x v="30"/>
    <s v="NAM"/>
    <n v="2167475"/>
    <x v="0"/>
    <n v="0"/>
    <n v="2204510.0000000005"/>
    <n v="0"/>
    <m/>
    <n v="0"/>
    <m/>
    <n v="0"/>
    <m/>
    <n v="0"/>
    <m/>
    <n v="0"/>
    <n v="2405680.5000000005"/>
    <n v="2292"/>
    <n v="2292"/>
    <m/>
    <n v="0"/>
    <m/>
    <n v="0"/>
    <m/>
    <n v="0"/>
    <n v="2567012.4999999995"/>
    <n v="0"/>
    <n v="2292"/>
    <n v="0"/>
    <n v="2292"/>
    <n v="0"/>
    <x v="0"/>
    <s v=""/>
    <n v="2292"/>
    <n v="2018"/>
    <n v="2292"/>
    <n v="2018"/>
    <x v="1"/>
    <n v="2292"/>
    <n v="2292"/>
    <s v="No change"/>
    <n v="6.763943333062894E-2"/>
    <n v="0.1043111029271564"/>
    <n v="1634.3213344262363"/>
    <n v="3134.1503218411849"/>
    <x v="0"/>
    <n v="9.5274497174500095"/>
    <n v="8.928667078948779"/>
  </r>
  <r>
    <x v="30"/>
    <s v="NAM"/>
    <n v="2167476"/>
    <x v="1"/>
    <n v="0"/>
    <n v="2204510.0000000005"/>
    <n v="0"/>
    <m/>
    <n v="0"/>
    <m/>
    <n v="0"/>
    <m/>
    <n v="0"/>
    <m/>
    <n v="0"/>
    <n v="2405680.5000000005"/>
    <n v="0"/>
    <n v="33"/>
    <m/>
    <n v="0"/>
    <m/>
    <n v="0"/>
    <m/>
    <n v="0"/>
    <n v="2567012.4999999995"/>
    <n v="33"/>
    <n v="33"/>
    <n v="0"/>
    <n v="0"/>
    <n v="33"/>
    <x v="0"/>
    <s v=""/>
    <n v="33"/>
    <s v="2018 (triag)"/>
    <n v="33"/>
    <n v="2022"/>
    <x v="1"/>
    <n v="33"/>
    <n v="33"/>
    <s v="No change"/>
    <n v="6.763943333062894E-2"/>
    <n v="0.1043111029271564"/>
    <n v="23.53080455325733"/>
    <n v="45.125200968917582"/>
    <x v="0"/>
    <n v="0.13717532315700273"/>
    <n v="0.12855410715763949"/>
  </r>
  <r>
    <x v="30"/>
    <s v="NAM"/>
    <n v="2167477"/>
    <x v="2"/>
    <n v="0"/>
    <n v="2204510.0000000005"/>
    <n v="0"/>
    <m/>
    <n v="0"/>
    <m/>
    <n v="0"/>
    <m/>
    <n v="0"/>
    <m/>
    <n v="0"/>
    <n v="2405680.5000000005"/>
    <n v="0"/>
    <n v="218"/>
    <m/>
    <n v="0"/>
    <m/>
    <n v="172"/>
    <m/>
    <n v="0"/>
    <n v="2567012.4999999995"/>
    <n v="0"/>
    <n v="218"/>
    <n v="0"/>
    <n v="0"/>
    <n v="172"/>
    <x v="0"/>
    <s v=""/>
    <n v="218"/>
    <s v="2018 (triag)"/>
    <n v="172"/>
    <n v="2020"/>
    <x v="0"/>
    <n v="260.54243369734792"/>
    <n v="372"/>
    <s v="Increasing"/>
    <n v="6.763943333062894E-2"/>
    <n v="0.1043111029271564"/>
    <n v="155.44592098818478"/>
    <n v="298.0998124613343"/>
    <x v="0"/>
    <n v="0.90618849843110905"/>
    <n v="1.0149636345648803"/>
  </r>
  <r>
    <x v="30"/>
    <s v="NAM"/>
    <n v="2167478"/>
    <x v="3"/>
    <n v="0"/>
    <n v="2204510.0000000005"/>
    <n v="0"/>
    <m/>
    <n v="0"/>
    <m/>
    <n v="0"/>
    <m/>
    <n v="0"/>
    <m/>
    <n v="0"/>
    <n v="2405680.5000000005"/>
    <n v="0"/>
    <n v="0"/>
    <m/>
    <n v="0"/>
    <m/>
    <n v="0"/>
    <m/>
    <n v="0"/>
    <n v="2567012.4999999995"/>
    <n v="889"/>
    <n v="0"/>
    <n v="0"/>
    <n v="0"/>
    <n v="889"/>
    <x v="0"/>
    <s v=""/>
    <m/>
    <s v=""/>
    <n v="889"/>
    <n v="2022"/>
    <x v="1"/>
    <n v="889"/>
    <n v="889"/>
    <s v="Increasing"/>
    <n v="6.763943333062894E-2"/>
    <n v="0.1043111029271564"/>
    <n v="0"/>
    <n v="0"/>
    <x v="0"/>
    <n v="0"/>
    <n v="3.4631697352467126"/>
  </r>
  <r>
    <x v="30"/>
    <s v="NAM"/>
    <n v="2167479"/>
    <x v="4"/>
    <n v="0"/>
    <n v="2204510.0000000005"/>
    <n v="0"/>
    <m/>
    <n v="0"/>
    <m/>
    <n v="0"/>
    <m/>
    <n v="0"/>
    <m/>
    <n v="0"/>
    <n v="2405680.5000000005"/>
    <n v="0"/>
    <n v="313"/>
    <m/>
    <n v="0"/>
    <m/>
    <n v="0"/>
    <m/>
    <n v="0"/>
    <n v="2567012.4999999995"/>
    <n v="51"/>
    <n v="313"/>
    <n v="0"/>
    <n v="0"/>
    <n v="51"/>
    <x v="0"/>
    <s v=""/>
    <n v="313"/>
    <s v="2018 (triag)"/>
    <n v="51"/>
    <n v="2022"/>
    <x v="0"/>
    <n v="77.253861154446184"/>
    <n v="313"/>
    <s v="Decreasing"/>
    <n v="6.763943333062894E-2"/>
    <n v="0.1043111029271564"/>
    <n v="223.18611591422862"/>
    <n v="428.00569403852131"/>
    <x v="0"/>
    <n v="1.3010871560042987"/>
    <n v="0.30094851955121449"/>
  </r>
  <r>
    <x v="30"/>
    <s v="NAM"/>
    <n v="2167480"/>
    <x v="5"/>
    <n v="0"/>
    <n v="2204510.0000000005"/>
    <n v="0"/>
    <m/>
    <n v="0"/>
    <m/>
    <n v="0"/>
    <m/>
    <n v="0"/>
    <m/>
    <n v="0"/>
    <n v="2405680.5000000005"/>
    <n v="0"/>
    <n v="470"/>
    <m/>
    <n v="137"/>
    <m/>
    <n v="0"/>
    <m/>
    <n v="0"/>
    <n v="2567012.4999999995"/>
    <n v="10"/>
    <n v="470"/>
    <n v="0"/>
    <n v="137"/>
    <n v="10"/>
    <x v="0"/>
    <s v=""/>
    <n v="470"/>
    <s v="2018 (triag)"/>
    <n v="10"/>
    <n v="2022"/>
    <x v="0"/>
    <n v="15.147815912636506"/>
    <n v="470"/>
    <s v="Decreasing"/>
    <n v="6.763943333062894E-2"/>
    <n v="0.1043111029271564"/>
    <n v="335.13570121305895"/>
    <n v="642.69225622397767"/>
    <x v="0"/>
    <n v="1.9537091479936755"/>
    <n v="5.9009513637493037E-2"/>
  </r>
  <r>
    <x v="30"/>
    <s v="NAM"/>
    <n v="2167481"/>
    <x v="6"/>
    <n v="0"/>
    <n v="2204510.0000000005"/>
    <n v="0"/>
    <m/>
    <n v="0"/>
    <m/>
    <n v="0"/>
    <m/>
    <n v="0"/>
    <m/>
    <n v="0"/>
    <n v="2405680.5000000005"/>
    <n v="0"/>
    <n v="1739"/>
    <m/>
    <n v="503"/>
    <m/>
    <n v="99"/>
    <m/>
    <n v="0"/>
    <n v="2567012.4999999995"/>
    <n v="64"/>
    <n v="1739"/>
    <n v="0"/>
    <n v="503"/>
    <n v="99"/>
    <x v="0"/>
    <s v=""/>
    <n v="1739"/>
    <s v="2018 (triag)"/>
    <n v="64"/>
    <n v="2022"/>
    <x v="0"/>
    <n v="96.946021840873641"/>
    <n v="1739"/>
    <s v="Decreasing"/>
    <n v="6.763943333062894E-2"/>
    <n v="0.1043111029271564"/>
    <n v="1240.0020944883181"/>
    <n v="2377.9613480287176"/>
    <x v="0"/>
    <n v="7.2287238475765987"/>
    <n v="0.37766088727995545"/>
  </r>
  <r>
    <x v="30"/>
    <s v="NAM"/>
    <n v="2167482"/>
    <x v="7"/>
    <n v="0"/>
    <n v="2204510.0000000005"/>
    <n v="0"/>
    <m/>
    <n v="0"/>
    <m/>
    <n v="0"/>
    <m/>
    <n v="0"/>
    <m/>
    <n v="0"/>
    <n v="2405680.5000000005"/>
    <n v="3"/>
    <n v="21"/>
    <m/>
    <n v="3"/>
    <m/>
    <n v="3"/>
    <m/>
    <n v="3"/>
    <n v="2567012.4999999995"/>
    <n v="5"/>
    <n v="21"/>
    <n v="0"/>
    <n v="3"/>
    <n v="5"/>
    <x v="0"/>
    <s v=""/>
    <n v="21"/>
    <s v="2018 (triag)"/>
    <n v="5"/>
    <n v="2022"/>
    <x v="0"/>
    <n v="7.5739079563182532"/>
    <n v="21"/>
    <s v="Decreasing"/>
    <n v="6.763943333062894E-2"/>
    <n v="0.1043111029271564"/>
    <n v="14.974148352072847"/>
    <n v="28.716036980220277"/>
    <x v="0"/>
    <n v="8.7293387463547201E-2"/>
    <n v="2.9504756818746519E-2"/>
  </r>
  <r>
    <x v="30"/>
    <s v="NAM"/>
    <n v="2167483"/>
    <x v="8"/>
    <n v="0"/>
    <n v="2204510.0000000005"/>
    <n v="0"/>
    <m/>
    <n v="0"/>
    <m/>
    <n v="0"/>
    <m/>
    <n v="0"/>
    <m/>
    <n v="0"/>
    <n v="2405680.5000000005"/>
    <n v="0"/>
    <n v="303"/>
    <m/>
    <n v="291"/>
    <m/>
    <n v="0"/>
    <m/>
    <n v="0"/>
    <n v="2567012.4999999995"/>
    <n v="289"/>
    <n v="303"/>
    <n v="0"/>
    <n v="291"/>
    <n v="289"/>
    <x v="0"/>
    <s v=""/>
    <n v="303"/>
    <s v="2018 (triag)"/>
    <n v="289"/>
    <n v="2022"/>
    <x v="0"/>
    <n v="437.77187987519505"/>
    <n v="437.77187987519505"/>
    <s v="Increasing"/>
    <n v="6.763943333062894E-2"/>
    <n v="0.1043111029271564"/>
    <n v="216.0555690799082"/>
    <n v="414.33139071460687"/>
    <x v="0"/>
    <n v="1.2595188762597525"/>
    <n v="1.7053749441235486"/>
  </r>
  <r>
    <x v="30"/>
    <s v="NAM"/>
    <n v="2167484"/>
    <x v="9"/>
    <n v="0"/>
    <n v="2204510.0000000005"/>
    <n v="0"/>
    <m/>
    <n v="0"/>
    <m/>
    <n v="0"/>
    <m/>
    <n v="0"/>
    <m/>
    <n v="0"/>
    <n v="2405680.5000000005"/>
    <n v="0"/>
    <n v="37"/>
    <m/>
    <n v="0"/>
    <m/>
    <n v="0"/>
    <m/>
    <n v="0"/>
    <n v="2567012.4999999995"/>
    <n v="0"/>
    <n v="37"/>
    <n v="0"/>
    <n v="0"/>
    <n v="0"/>
    <x v="0"/>
    <s v=""/>
    <n v="37"/>
    <s v="2018 (triag)"/>
    <n v="37"/>
    <s v="2018 (triag)"/>
    <x v="1"/>
    <n v="37"/>
    <n v="37"/>
    <s v="No change"/>
    <n v="6.763943333062894E-2"/>
    <n v="0.1043111029271564"/>
    <n v="26.383023286985491"/>
    <n v="50.594922298483347"/>
    <x v="0"/>
    <n v="0.15380263505482125"/>
    <n v="0.14413642317674732"/>
  </r>
  <r>
    <x v="30"/>
    <s v="NAM"/>
    <n v="2167485"/>
    <x v="10"/>
    <n v="0"/>
    <n v="2204510.0000000005"/>
    <n v="0"/>
    <m/>
    <n v="0"/>
    <m/>
    <n v="0"/>
    <m/>
    <n v="0"/>
    <m/>
    <n v="0"/>
    <n v="2405680.5000000005"/>
    <n v="84"/>
    <n v="147"/>
    <m/>
    <n v="99"/>
    <m/>
    <n v="95"/>
    <m/>
    <n v="99"/>
    <n v="2567012.4999999995"/>
    <n v="107"/>
    <n v="147"/>
    <n v="0"/>
    <n v="99"/>
    <n v="107"/>
    <x v="0"/>
    <s v=""/>
    <n v="147"/>
    <s v="2018 (triag)"/>
    <n v="107"/>
    <n v="2022"/>
    <x v="0"/>
    <n v="162.08163026521061"/>
    <n v="162.08163026521061"/>
    <s v="Increasing"/>
    <n v="6.763943333062894E-2"/>
    <n v="0.1043111029271564"/>
    <n v="104.81903846450993"/>
    <n v="201.01225886154197"/>
    <x v="0"/>
    <n v="0.6110537122448304"/>
    <n v="0.63140179592117551"/>
  </r>
  <r>
    <x v="30"/>
    <s v="NAM"/>
    <n v="2167486"/>
    <x v="11"/>
    <n v="0"/>
    <n v="2204510.0000000005"/>
    <n v="0"/>
    <m/>
    <n v="0"/>
    <m/>
    <n v="0"/>
    <m/>
    <n v="0"/>
    <m/>
    <n v="0"/>
    <n v="2405680.5000000005"/>
    <n v="0"/>
    <n v="2157"/>
    <m/>
    <n v="0"/>
    <m/>
    <n v="0"/>
    <m/>
    <n v="0"/>
    <n v="2567012.4999999995"/>
    <n v="0"/>
    <n v="2157"/>
    <n v="0"/>
    <n v="0"/>
    <n v="0"/>
    <x v="0"/>
    <s v=""/>
    <n v="2157"/>
    <s v="2018 (triag)"/>
    <n v="2157"/>
    <s v="2018 (triag)"/>
    <x v="1"/>
    <n v="2157"/>
    <n v="2157"/>
    <s v="No change"/>
    <n v="6.763943333062894E-2"/>
    <n v="0.1043111029271564"/>
    <n v="1538.0589521629108"/>
    <n v="2949.5472269683401"/>
    <x v="0"/>
    <n v="8.9662779408986335"/>
    <n v="8.4027639133038914"/>
  </r>
  <r>
    <x v="30"/>
    <s v="NAM"/>
    <n v="2167487"/>
    <x v="12"/>
    <n v="0"/>
    <n v="2204510.0000000005"/>
    <n v="0"/>
    <m/>
    <n v="0"/>
    <m/>
    <n v="0"/>
    <m/>
    <n v="0"/>
    <m/>
    <n v="0"/>
    <n v="2405680.5000000005"/>
    <n v="0"/>
    <n v="0"/>
    <m/>
    <n v="0"/>
    <m/>
    <n v="0"/>
    <m/>
    <n v="0"/>
    <n v="2567012.4999999995"/>
    <n v="0"/>
    <n v="0"/>
    <n v="0"/>
    <n v="0"/>
    <n v="0"/>
    <x v="0"/>
    <s v=""/>
    <m/>
    <s v=""/>
    <n v="0"/>
    <s v=""/>
    <x v="1"/>
    <m/>
    <n v="0"/>
    <s v="No change"/>
    <n v="6.763943333062894E-2"/>
    <n v="0.1043111029271564"/>
    <n v="0"/>
    <n v="0"/>
    <x v="0"/>
    <n v="0"/>
    <n v="0"/>
  </r>
  <r>
    <x v="30"/>
    <s v="NAM"/>
    <n v="2167488"/>
    <x v="13"/>
    <n v="0"/>
    <n v="2204510.0000000005"/>
    <n v="0"/>
    <m/>
    <n v="0"/>
    <m/>
    <n v="0"/>
    <m/>
    <n v="0"/>
    <m/>
    <n v="0"/>
    <n v="2405680.5000000005"/>
    <n v="140"/>
    <n v="510"/>
    <m/>
    <n v="0"/>
    <m/>
    <n v="99"/>
    <m/>
    <n v="99"/>
    <n v="2567012.4999999995"/>
    <n v="1065"/>
    <n v="510"/>
    <n v="0"/>
    <n v="140"/>
    <n v="1065"/>
    <x v="0"/>
    <s v=""/>
    <n v="510"/>
    <s v="2018 (triag)"/>
    <n v="1065"/>
    <n v="2022"/>
    <x v="1"/>
    <n v="1065"/>
    <n v="1065"/>
    <s v="Increasing"/>
    <n v="6.763943333062894E-2"/>
    <n v="0.1043111029271564"/>
    <n v="363.65788855034054"/>
    <n v="697.38946951963533"/>
    <x v="0"/>
    <n v="2.1199822669718604"/>
    <n v="4.1487916400874569"/>
  </r>
  <r>
    <x v="30"/>
    <s v="NAM"/>
    <n v="2167489"/>
    <x v="14"/>
    <n v="0"/>
    <n v="2204510.0000000005"/>
    <n v="0"/>
    <m/>
    <n v="0"/>
    <m/>
    <n v="0"/>
    <m/>
    <n v="0"/>
    <m/>
    <n v="0"/>
    <n v="2405680.5000000005"/>
    <n v="52"/>
    <n v="1053"/>
    <m/>
    <n v="53"/>
    <m/>
    <n v="54"/>
    <m/>
    <n v="63"/>
    <n v="2567012.4999999995"/>
    <n v="82"/>
    <n v="1053"/>
    <n v="0"/>
    <n v="53"/>
    <n v="82"/>
    <x v="0"/>
    <s v=""/>
    <n v="1053"/>
    <s v="2018 (triag)"/>
    <n v="82"/>
    <n v="2022"/>
    <x v="0"/>
    <n v="124.21209048361935"/>
    <n v="1053"/>
    <s v="Decreasing"/>
    <n v="6.763943333062894E-2"/>
    <n v="0.1043111029271564"/>
    <n v="750.84658165393842"/>
    <n v="1439.9041400081883"/>
    <x v="0"/>
    <n v="4.3771398571007243"/>
    <n v="0.48387801182744283"/>
  </r>
  <r>
    <x v="30"/>
    <s v="NAM"/>
    <n v="2167490"/>
    <x v="15"/>
    <n v="0"/>
    <n v="2204510.0000000005"/>
    <n v="0"/>
    <m/>
    <n v="0"/>
    <m/>
    <n v="0"/>
    <m/>
    <n v="0"/>
    <m/>
    <n v="0"/>
    <n v="2405680.5000000005"/>
    <n v="118"/>
    <n v="233"/>
    <m/>
    <n v="123"/>
    <m/>
    <n v="134"/>
    <m/>
    <n v="140"/>
    <n v="2567012.4999999995"/>
    <n v="155"/>
    <n v="233"/>
    <n v="0"/>
    <n v="123"/>
    <n v="155"/>
    <x v="0"/>
    <s v=""/>
    <n v="233"/>
    <s v="2018 (triag)"/>
    <n v="155"/>
    <n v="2022"/>
    <x v="0"/>
    <n v="234.79114664586584"/>
    <n v="234.79114664586584"/>
    <s v="Increasing"/>
    <n v="6.763943333062894E-2"/>
    <n v="0.1043111029271564"/>
    <n v="166.14174123966538"/>
    <n v="318.61126744720593"/>
    <x v="0"/>
    <n v="0.96854091804792841"/>
    <n v="0.91464746138114195"/>
  </r>
  <r>
    <x v="30"/>
    <s v="NAM"/>
    <n v="2167491"/>
    <x v="16"/>
    <n v="0"/>
    <n v="2204510.0000000005"/>
    <n v="0"/>
    <m/>
    <n v="0"/>
    <m/>
    <n v="0"/>
    <m/>
    <n v="0"/>
    <m/>
    <n v="0"/>
    <n v="2405680.5000000005"/>
    <n v="0"/>
    <n v="509"/>
    <m/>
    <n v="0"/>
    <m/>
    <n v="0"/>
    <m/>
    <n v="0"/>
    <n v="2567012.4999999995"/>
    <n v="0"/>
    <n v="509"/>
    <n v="0"/>
    <n v="0"/>
    <n v="0"/>
    <x v="0"/>
    <s v=""/>
    <n v="509"/>
    <s v="2018 (triag)"/>
    <n v="509"/>
    <s v="2018 (triag)"/>
    <x v="1"/>
    <n v="509"/>
    <n v="510"/>
    <s v="No change"/>
    <n v="6.763943333062894E-2"/>
    <n v="0.1043111029271564"/>
    <n v="362.94483386690854"/>
    <n v="696.02203918724388"/>
    <x v="0"/>
    <n v="2.115825438997406"/>
    <n v="1.9828497134314698"/>
  </r>
  <r>
    <x v="30"/>
    <s v="NAM"/>
    <n v="2167492"/>
    <x v="17"/>
    <n v="0"/>
    <n v="2204510.0000000005"/>
    <n v="0"/>
    <m/>
    <n v="0"/>
    <m/>
    <n v="0"/>
    <m/>
    <n v="0"/>
    <m/>
    <n v="0"/>
    <n v="2405680.5000000005"/>
    <n v="0"/>
    <n v="0"/>
    <m/>
    <n v="0"/>
    <m/>
    <n v="0"/>
    <m/>
    <n v="0"/>
    <n v="2567012.4999999995"/>
    <n v="29"/>
    <n v="0"/>
    <n v="0"/>
    <n v="0"/>
    <n v="29"/>
    <x v="0"/>
    <s v=""/>
    <m/>
    <s v=""/>
    <n v="29"/>
    <n v="2022"/>
    <x v="1"/>
    <n v="29"/>
    <n v="29"/>
    <s v="Increasing"/>
    <n v="6.763943333062894E-2"/>
    <n v="0.1043111029271564"/>
    <n v="0"/>
    <n v="0"/>
    <x v="0"/>
    <n v="0"/>
    <n v="0.11297179113853167"/>
  </r>
  <r>
    <x v="30"/>
    <s v="NAM"/>
    <n v="2167493"/>
    <x v="18"/>
    <n v="0"/>
    <n v="2204510.0000000005"/>
    <n v="0"/>
    <m/>
    <n v="0"/>
    <m/>
    <n v="0"/>
    <m/>
    <n v="0"/>
    <m/>
    <n v="0"/>
    <n v="2405680.5000000005"/>
    <n v="0"/>
    <n v="8"/>
    <m/>
    <n v="0"/>
    <m/>
    <n v="0"/>
    <m/>
    <n v="0"/>
    <n v="2567012.4999999995"/>
    <n v="0"/>
    <n v="8"/>
    <n v="0"/>
    <n v="0"/>
    <n v="0"/>
    <x v="0"/>
    <s v=""/>
    <n v="8"/>
    <s v="2018 (triag)"/>
    <n v="8"/>
    <s v="2018 (triag)"/>
    <x v="1"/>
    <n v="8"/>
    <n v="8"/>
    <s v="No change"/>
    <n v="6.763943333062894E-2"/>
    <n v="0.1043111029271564"/>
    <n v="5.7044374674563221"/>
    <n v="10.939442659131535"/>
    <x v="0"/>
    <n v="3.3254623795637026E-2"/>
    <n v="3.1164632038215637E-2"/>
  </r>
  <r>
    <x v="31"/>
    <s v="NER"/>
    <n v="17954412"/>
    <x v="0"/>
    <n v="0"/>
    <n v="18653199"/>
    <n v="6560"/>
    <m/>
    <n v="0"/>
    <m/>
    <n v="0"/>
    <m/>
    <n v="0"/>
    <m/>
    <n v="0"/>
    <n v="22577057.999999996"/>
    <n v="0"/>
    <n v="55"/>
    <m/>
    <n v="0"/>
    <m/>
    <n v="21429"/>
    <m/>
    <n v="0"/>
    <n v="26207976.5"/>
    <n v="2239"/>
    <n v="55"/>
    <n v="6560"/>
    <n v="0"/>
    <n v="21429"/>
    <x v="69"/>
    <n v="2013"/>
    <n v="55"/>
    <s v="2018 (triag)"/>
    <n v="2239"/>
    <n v="2022"/>
    <x v="1"/>
    <n v="2239"/>
    <n v="2239"/>
    <s v="Increasing"/>
    <n v="7.2635719552709199E-2"/>
    <n v="2.4687803142194653E-2"/>
    <n v="38.250421792587133"/>
    <n v="59.228129804972276"/>
    <x v="75"/>
    <n v="2.4361012847643838E-2"/>
    <n v="0.85432005786482601"/>
  </r>
  <r>
    <x v="31"/>
    <s v="NER"/>
    <n v="17954413"/>
    <x v="1"/>
    <n v="0"/>
    <n v="18653199"/>
    <n v="0"/>
    <m/>
    <n v="0"/>
    <m/>
    <n v="0"/>
    <m/>
    <n v="0"/>
    <m/>
    <n v="0"/>
    <n v="22577057.999999996"/>
    <n v="0"/>
    <n v="42"/>
    <m/>
    <n v="0"/>
    <m/>
    <n v="0"/>
    <m/>
    <n v="0"/>
    <n v="26207976.5"/>
    <n v="0"/>
    <n v="42"/>
    <n v="0"/>
    <n v="0"/>
    <n v="0"/>
    <x v="0"/>
    <s v=""/>
    <n v="42"/>
    <s v="2018 (triag)"/>
    <n v="42"/>
    <s v="2018 (triag)"/>
    <x v="1"/>
    <n v="42"/>
    <n v="42"/>
    <s v="No change"/>
    <n v="7.2635719552709199E-2"/>
    <n v="2.4687803142194653E-2"/>
    <n v="29.209413005248354"/>
    <n v="45.22875366925156"/>
    <x v="0"/>
    <n v="1.8602955265473477E-2"/>
    <n v="1.6025655395409868E-2"/>
  </r>
  <r>
    <x v="31"/>
    <s v="NER"/>
    <n v="17954414"/>
    <x v="2"/>
    <n v="0"/>
    <n v="18653199"/>
    <n v="0"/>
    <m/>
    <n v="0"/>
    <m/>
    <n v="0"/>
    <m/>
    <n v="0"/>
    <m/>
    <n v="0"/>
    <n v="22577057.999999996"/>
    <n v="0"/>
    <n v="101"/>
    <m/>
    <n v="0"/>
    <m/>
    <n v="0"/>
    <m/>
    <n v="0"/>
    <n v="26207976.5"/>
    <n v="0"/>
    <n v="101"/>
    <n v="0"/>
    <n v="0"/>
    <n v="0"/>
    <x v="0"/>
    <s v=""/>
    <n v="101"/>
    <s v="2018 (triag)"/>
    <n v="101"/>
    <s v="2018 (triag)"/>
    <x v="1"/>
    <n v="101"/>
    <n v="101"/>
    <s v="No change"/>
    <n v="7.2635719552709199E-2"/>
    <n v="2.4687803142194653E-2"/>
    <n v="70.241683655478184"/>
    <n v="108.76438382367637"/>
    <x v="0"/>
    <n v="4.47356781384005E-2"/>
    <n v="3.8537885593723731E-2"/>
  </r>
  <r>
    <x v="31"/>
    <s v="NER"/>
    <n v="17954415"/>
    <x v="3"/>
    <n v="0"/>
    <n v="18653199"/>
    <n v="0"/>
    <m/>
    <n v="0"/>
    <m/>
    <n v="0"/>
    <m/>
    <n v="0"/>
    <m/>
    <n v="0"/>
    <n v="22577057.999999996"/>
    <n v="95"/>
    <n v="152"/>
    <m/>
    <n v="0"/>
    <m/>
    <n v="0"/>
    <m/>
    <n v="0"/>
    <n v="26207976.5"/>
    <n v="0"/>
    <n v="152"/>
    <n v="0"/>
    <n v="95"/>
    <n v="0"/>
    <x v="0"/>
    <s v=""/>
    <n v="152"/>
    <s v="2018 (triag)"/>
    <n v="152"/>
    <s v="2018 (triag)"/>
    <x v="1"/>
    <n v="152"/>
    <n v="152"/>
    <s v="No change"/>
    <n v="7.2635719552709199E-2"/>
    <n v="2.4687803142194653E-2"/>
    <n v="105.71025659042262"/>
    <n v="163.68501327919611"/>
    <x v="0"/>
    <n v="6.7324980960761158E-2"/>
    <n v="5.7997610002435709E-2"/>
  </r>
  <r>
    <x v="31"/>
    <s v="NER"/>
    <n v="17954416"/>
    <x v="4"/>
    <n v="0"/>
    <n v="18653199"/>
    <n v="0"/>
    <m/>
    <n v="0"/>
    <m/>
    <n v="0"/>
    <m/>
    <n v="0"/>
    <m/>
    <n v="0"/>
    <n v="22577057.999999996"/>
    <n v="0"/>
    <n v="226"/>
    <m/>
    <n v="0"/>
    <m/>
    <n v="0"/>
    <m/>
    <n v="0"/>
    <n v="26207976.5"/>
    <n v="0"/>
    <n v="226"/>
    <n v="0"/>
    <n v="0"/>
    <n v="0"/>
    <x v="0"/>
    <s v=""/>
    <n v="226"/>
    <s v="2018 (triag)"/>
    <n v="226"/>
    <s v="2018 (triag)"/>
    <x v="1"/>
    <n v="226"/>
    <n v="226"/>
    <s v="No change"/>
    <n v="7.2635719552709199E-2"/>
    <n v="2.4687803142194653E-2"/>
    <n v="157.17446045681257"/>
    <n v="243.37376974406791"/>
    <x v="0"/>
    <n v="0.10010161642850013"/>
    <n v="8.623328855625309E-2"/>
  </r>
  <r>
    <x v="31"/>
    <s v="NER"/>
    <n v="17954417"/>
    <x v="5"/>
    <n v="0"/>
    <n v="18653199"/>
    <n v="0"/>
    <m/>
    <n v="0"/>
    <m/>
    <n v="0"/>
    <m/>
    <n v="0"/>
    <m/>
    <n v="0"/>
    <n v="22577057.999999996"/>
    <n v="0"/>
    <n v="11"/>
    <m/>
    <n v="0"/>
    <m/>
    <n v="0"/>
    <m/>
    <n v="0"/>
    <n v="26207976.5"/>
    <n v="6"/>
    <n v="11"/>
    <n v="0"/>
    <n v="0"/>
    <n v="6"/>
    <x v="0"/>
    <s v=""/>
    <n v="11"/>
    <s v="2018 (triag)"/>
    <n v="6"/>
    <n v="2022"/>
    <x v="0"/>
    <n v="6.895791865922491"/>
    <n v="11"/>
    <s v="Decreasing"/>
    <n v="7.2635719552709199E-2"/>
    <n v="2.4687803142194653E-2"/>
    <n v="7.6500843585174261"/>
    <n v="11.845625960994456"/>
    <x v="0"/>
    <n v="4.8722025695287679E-3"/>
    <n v="2.6311805743272441E-3"/>
  </r>
  <r>
    <x v="31"/>
    <s v="NER"/>
    <n v="17954418"/>
    <x v="6"/>
    <n v="0"/>
    <n v="18653199"/>
    <n v="0"/>
    <m/>
    <n v="0"/>
    <m/>
    <n v="0"/>
    <m/>
    <n v="0"/>
    <m/>
    <n v="0"/>
    <n v="22577057.999999996"/>
    <n v="432"/>
    <n v="432"/>
    <m/>
    <n v="0"/>
    <m/>
    <n v="0"/>
    <m/>
    <n v="0"/>
    <n v="26207976.5"/>
    <n v="0"/>
    <n v="191"/>
    <n v="0"/>
    <n v="432"/>
    <n v="0"/>
    <x v="0"/>
    <s v=""/>
    <n v="432"/>
    <n v="2018"/>
    <n v="432"/>
    <n v="2018"/>
    <x v="1"/>
    <n v="432"/>
    <n v="432"/>
    <s v="No change"/>
    <n v="7.2635719552709199E-2"/>
    <n v="2.4687803142194653E-2"/>
    <n v="132.83328295243894"/>
    <n v="205.68314168635828"/>
    <x v="0"/>
    <n v="0.19134468273058433"/>
    <n v="0.16483531263850149"/>
  </r>
  <r>
    <x v="31"/>
    <s v="NER"/>
    <n v="17954419"/>
    <x v="7"/>
    <n v="0"/>
    <n v="18653199"/>
    <n v="0"/>
    <m/>
    <n v="0"/>
    <m/>
    <n v="0"/>
    <m/>
    <n v="0"/>
    <m/>
    <n v="0"/>
    <n v="22577057.999999996"/>
    <n v="439"/>
    <n v="439"/>
    <m/>
    <n v="0"/>
    <m/>
    <n v="0"/>
    <m/>
    <n v="0"/>
    <n v="26207976.5"/>
    <n v="0"/>
    <n v="0"/>
    <n v="0"/>
    <n v="439"/>
    <n v="0"/>
    <x v="0"/>
    <s v=""/>
    <n v="439"/>
    <n v="2018"/>
    <n v="439"/>
    <n v="2018"/>
    <x v="1"/>
    <n v="439"/>
    <n v="439"/>
    <s v="No change"/>
    <n v="7.2635719552709199E-2"/>
    <n v="2.4687803142194653E-2"/>
    <n v="0"/>
    <n v="0"/>
    <x v="0"/>
    <n v="0.19444517527482991"/>
    <n v="0.16750625520440313"/>
  </r>
  <r>
    <x v="31"/>
    <s v="NER"/>
    <n v="17954420"/>
    <x v="8"/>
    <n v="0"/>
    <n v="18653199"/>
    <n v="0"/>
    <m/>
    <n v="0"/>
    <m/>
    <n v="0"/>
    <m/>
    <n v="0"/>
    <m/>
    <n v="0"/>
    <n v="22577057.999999996"/>
    <n v="0"/>
    <n v="82"/>
    <m/>
    <n v="0"/>
    <m/>
    <n v="0"/>
    <m/>
    <n v="0"/>
    <n v="26207976.5"/>
    <n v="0"/>
    <n v="82"/>
    <n v="0"/>
    <n v="0"/>
    <n v="0"/>
    <x v="0"/>
    <s v=""/>
    <n v="82"/>
    <s v="2018 (triag)"/>
    <n v="82"/>
    <s v="2018 (triag)"/>
    <x v="1"/>
    <n v="82"/>
    <n v="82"/>
    <s v="No change"/>
    <n v="7.2635719552709199E-2"/>
    <n v="2.4687803142194653E-2"/>
    <n v="57.027901581675358"/>
    <n v="88.303757163776851"/>
    <x v="0"/>
    <n v="3.6320055518305361E-2"/>
    <n v="3.1288184343419262E-2"/>
  </r>
  <r>
    <x v="31"/>
    <s v="NER"/>
    <n v="17954421"/>
    <x v="9"/>
    <n v="0"/>
    <n v="18653199"/>
    <n v="0"/>
    <m/>
    <n v="0"/>
    <m/>
    <n v="0"/>
    <m/>
    <n v="0"/>
    <m/>
    <n v="0"/>
    <n v="22577057.999999996"/>
    <n v="0"/>
    <n v="22"/>
    <m/>
    <n v="0"/>
    <m/>
    <n v="0"/>
    <m/>
    <n v="0"/>
    <n v="26207976.5"/>
    <n v="0"/>
    <n v="22"/>
    <n v="0"/>
    <n v="0"/>
    <n v="0"/>
    <x v="0"/>
    <s v=""/>
    <n v="22"/>
    <s v="2018 (triag)"/>
    <n v="22"/>
    <s v="2018 (triag)"/>
    <x v="1"/>
    <n v="22"/>
    <n v="22"/>
    <s v="No change"/>
    <n v="7.2635719552709199E-2"/>
    <n v="2.4687803142194653E-2"/>
    <n v="15.300168717034852"/>
    <n v="23.691251921988911"/>
    <x v="0"/>
    <n v="9.7444051390575357E-3"/>
    <n v="8.394390921405169E-3"/>
  </r>
  <r>
    <x v="31"/>
    <s v="NER"/>
    <n v="17954422"/>
    <x v="10"/>
    <n v="0"/>
    <n v="18653199"/>
    <n v="0"/>
    <m/>
    <n v="0"/>
    <m/>
    <n v="0"/>
    <m/>
    <n v="0"/>
    <m/>
    <n v="0"/>
    <n v="22577057.999999996"/>
    <n v="0"/>
    <n v="0"/>
    <m/>
    <n v="0"/>
    <m/>
    <n v="0"/>
    <m/>
    <n v="0"/>
    <n v="26207976.5"/>
    <n v="0"/>
    <n v="0"/>
    <n v="0"/>
    <n v="0"/>
    <n v="0"/>
    <x v="0"/>
    <s v=""/>
    <m/>
    <s v=""/>
    <n v="0"/>
    <s v=""/>
    <x v="1"/>
    <m/>
    <n v="0"/>
    <s v="No change"/>
    <n v="7.2635719552709199E-2"/>
    <n v="2.4687803142194653E-2"/>
    <n v="0"/>
    <n v="0"/>
    <x v="0"/>
    <n v="0"/>
    <n v="0"/>
  </r>
  <r>
    <x v="31"/>
    <s v="NER"/>
    <n v="17954423"/>
    <x v="11"/>
    <n v="0"/>
    <n v="18653199"/>
    <n v="0"/>
    <m/>
    <n v="0"/>
    <m/>
    <n v="0"/>
    <m/>
    <n v="0"/>
    <m/>
    <n v="0"/>
    <n v="22577057.999999996"/>
    <n v="0"/>
    <n v="542"/>
    <m/>
    <n v="0"/>
    <m/>
    <n v="0"/>
    <m/>
    <n v="0"/>
    <n v="26207976.5"/>
    <n v="0"/>
    <n v="542"/>
    <n v="0"/>
    <n v="0"/>
    <n v="0"/>
    <x v="0"/>
    <s v=""/>
    <n v="542"/>
    <s v="2018 (triag)"/>
    <n v="542"/>
    <s v="2018 (triag)"/>
    <x v="1"/>
    <n v="542"/>
    <n v="542"/>
    <s v="No change"/>
    <n v="7.2635719552709199E-2"/>
    <n v="2.4687803142194653E-2"/>
    <n v="376.94052021058593"/>
    <n v="583.66629735081767"/>
    <x v="0"/>
    <n v="0.24006670842587199"/>
    <n v="0.20680726724552734"/>
  </r>
  <r>
    <x v="31"/>
    <s v="NER"/>
    <n v="17954424"/>
    <x v="12"/>
    <n v="0"/>
    <n v="18653199"/>
    <n v="0"/>
    <m/>
    <n v="0"/>
    <m/>
    <n v="0"/>
    <m/>
    <n v="0"/>
    <m/>
    <n v="0"/>
    <n v="22577057.999999996"/>
    <n v="249"/>
    <n v="462"/>
    <m/>
    <n v="0"/>
    <m/>
    <n v="0"/>
    <m/>
    <n v="0"/>
    <n v="26207976.5"/>
    <n v="0"/>
    <n v="462"/>
    <n v="0"/>
    <n v="249"/>
    <n v="0"/>
    <x v="0"/>
    <s v=""/>
    <n v="462"/>
    <s v="2018 (triag)"/>
    <n v="462"/>
    <s v="2018 (triag)"/>
    <x v="1"/>
    <n v="462"/>
    <n v="462"/>
    <s v="No change"/>
    <n v="7.2635719552709199E-2"/>
    <n v="2.4687803142194653E-2"/>
    <n v="321.30354305773193"/>
    <n v="497.51629036176712"/>
    <x v="0"/>
    <n v="0.20463250792020823"/>
    <n v="0.17628220934950853"/>
  </r>
  <r>
    <x v="31"/>
    <s v="NER"/>
    <n v="17954425"/>
    <x v="13"/>
    <n v="0"/>
    <n v="18653199"/>
    <n v="0"/>
    <m/>
    <n v="0"/>
    <m/>
    <n v="0"/>
    <m/>
    <n v="0"/>
    <m/>
    <n v="0"/>
    <n v="22577057.999999996"/>
    <n v="0"/>
    <n v="432"/>
    <m/>
    <n v="0"/>
    <m/>
    <n v="0"/>
    <m/>
    <n v="0"/>
    <n v="26207976.5"/>
    <n v="418"/>
    <n v="432"/>
    <n v="0"/>
    <n v="0"/>
    <n v="418"/>
    <x v="0"/>
    <s v=""/>
    <n v="432"/>
    <s v="2018 (triag)"/>
    <n v="418"/>
    <n v="2022"/>
    <x v="0"/>
    <n v="480.40683332593352"/>
    <n v="480.40683332593352"/>
    <s v="Increasing"/>
    <n v="7.2635719552709199E-2"/>
    <n v="2.4687803142194653E-2"/>
    <n v="300.43967662541166"/>
    <n v="465.21003774087313"/>
    <x v="0"/>
    <n v="0.19134468273058433"/>
    <n v="0.18330558001146463"/>
  </r>
  <r>
    <x v="31"/>
    <s v="NER"/>
    <n v="17954426"/>
    <x v="14"/>
    <n v="0"/>
    <n v="18653199"/>
    <n v="0"/>
    <m/>
    <n v="0"/>
    <m/>
    <n v="0"/>
    <m/>
    <n v="0"/>
    <m/>
    <n v="0"/>
    <n v="22577057.999999996"/>
    <n v="0"/>
    <n v="598"/>
    <m/>
    <n v="0"/>
    <m/>
    <n v="0"/>
    <m/>
    <n v="0"/>
    <n v="26207976.5"/>
    <n v="1592"/>
    <n v="598"/>
    <n v="0"/>
    <n v="0"/>
    <n v="1592"/>
    <x v="0"/>
    <s v=""/>
    <n v="598"/>
    <s v="2018 (triag)"/>
    <n v="1592"/>
    <n v="2022"/>
    <x v="1"/>
    <n v="1592"/>
    <n v="1592"/>
    <s v="Increasing"/>
    <n v="7.2635719552709199E-2"/>
    <n v="2.4687803142194653E-2"/>
    <n v="415.88640421758373"/>
    <n v="643.9713022431531"/>
    <x v="0"/>
    <n v="0.26487064877983663"/>
    <n v="0.60744865213077404"/>
  </r>
  <r>
    <x v="31"/>
    <s v="NER"/>
    <n v="17954427"/>
    <x v="15"/>
    <n v="0"/>
    <n v="18653199"/>
    <n v="0"/>
    <m/>
    <n v="0"/>
    <m/>
    <n v="0"/>
    <m/>
    <n v="0"/>
    <m/>
    <n v="0"/>
    <n v="22577057.999999996"/>
    <n v="0"/>
    <n v="0"/>
    <m/>
    <n v="0"/>
    <m/>
    <n v="0"/>
    <m/>
    <n v="0"/>
    <n v="26207976.5"/>
    <n v="0"/>
    <n v="0"/>
    <n v="0"/>
    <n v="0"/>
    <n v="0"/>
    <x v="0"/>
    <s v=""/>
    <m/>
    <s v=""/>
    <n v="0"/>
    <s v=""/>
    <x v="1"/>
    <m/>
    <n v="0"/>
    <s v="No change"/>
    <n v="7.2635719552709199E-2"/>
    <n v="2.4687803142194653E-2"/>
    <n v="0"/>
    <n v="0"/>
    <x v="0"/>
    <n v="0"/>
    <n v="0"/>
  </r>
  <r>
    <x v="31"/>
    <s v="NER"/>
    <n v="17954428"/>
    <x v="16"/>
    <n v="0"/>
    <n v="18653199"/>
    <n v="0"/>
    <m/>
    <n v="0"/>
    <m/>
    <n v="0"/>
    <m/>
    <n v="0"/>
    <m/>
    <n v="0"/>
    <n v="22577057.999999996"/>
    <n v="0"/>
    <n v="0"/>
    <m/>
    <n v="0"/>
    <m/>
    <n v="0"/>
    <m/>
    <n v="0"/>
    <n v="26207976.5"/>
    <n v="0"/>
    <n v="0"/>
    <n v="0"/>
    <n v="0"/>
    <n v="0"/>
    <x v="0"/>
    <s v=""/>
    <m/>
    <s v=""/>
    <n v="0"/>
    <s v=""/>
    <x v="1"/>
    <m/>
    <n v="0"/>
    <s v="No change"/>
    <n v="7.2635719552709199E-2"/>
    <n v="2.4687803142194653E-2"/>
    <n v="0"/>
    <n v="0"/>
    <x v="0"/>
    <n v="0"/>
    <n v="0"/>
  </r>
  <r>
    <x v="31"/>
    <s v="NER"/>
    <n v="17954429"/>
    <x v="17"/>
    <n v="0"/>
    <n v="18653199"/>
    <n v="0"/>
    <m/>
    <n v="0"/>
    <m/>
    <n v="0"/>
    <m/>
    <n v="0"/>
    <m/>
    <n v="0"/>
    <n v="22577057.999999996"/>
    <n v="0"/>
    <n v="0"/>
    <m/>
    <n v="0"/>
    <m/>
    <n v="0"/>
    <m/>
    <n v="0"/>
    <n v="26207976.5"/>
    <n v="0"/>
    <n v="0"/>
    <n v="0"/>
    <n v="0"/>
    <n v="0"/>
    <x v="0"/>
    <s v=""/>
    <m/>
    <s v=""/>
    <n v="0"/>
    <s v=""/>
    <x v="1"/>
    <m/>
    <n v="0"/>
    <s v="No change"/>
    <n v="7.2635719552709199E-2"/>
    <n v="2.4687803142194653E-2"/>
    <n v="0"/>
    <n v="0"/>
    <x v="0"/>
    <n v="0"/>
    <n v="0"/>
  </r>
  <r>
    <x v="31"/>
    <s v="NER"/>
    <n v="17954430"/>
    <x v="18"/>
    <n v="0"/>
    <n v="18653199"/>
    <n v="0"/>
    <m/>
    <n v="0"/>
    <m/>
    <n v="0"/>
    <m/>
    <n v="0"/>
    <m/>
    <n v="0"/>
    <n v="22577057.999999996"/>
    <n v="0"/>
    <n v="0"/>
    <m/>
    <n v="0"/>
    <m/>
    <n v="0"/>
    <m/>
    <n v="0"/>
    <n v="26207976.5"/>
    <n v="0"/>
    <n v="0"/>
    <n v="0"/>
    <n v="0"/>
    <n v="0"/>
    <x v="0"/>
    <s v=""/>
    <m/>
    <s v=""/>
    <n v="0"/>
    <s v=""/>
    <x v="1"/>
    <m/>
    <n v="0"/>
    <s v="No change"/>
    <n v="7.2635719552709199E-2"/>
    <n v="2.4687803142194653E-2"/>
    <n v="0"/>
    <n v="0"/>
    <x v="0"/>
    <n v="0"/>
    <n v="0"/>
  </r>
  <r>
    <x v="32"/>
    <s v="NGA"/>
    <n v="170075936.5"/>
    <x v="0"/>
    <n v="0"/>
    <n v="174726123.50000006"/>
    <n v="0"/>
    <m/>
    <n v="0"/>
    <m/>
    <n v="0"/>
    <m/>
    <n v="0"/>
    <m/>
    <n v="0"/>
    <n v="198387623.50000006"/>
    <n v="116454"/>
    <n v="116454"/>
    <m/>
    <n v="116454"/>
    <m/>
    <n v="0"/>
    <m/>
    <n v="7912"/>
    <n v="218541211.50000003"/>
    <n v="154477"/>
    <n v="116454"/>
    <n v="0"/>
    <n v="116454"/>
    <n v="154477"/>
    <x v="0"/>
    <s v=""/>
    <n v="116454"/>
    <n v="2018"/>
    <n v="154477"/>
    <n v="2022"/>
    <x v="1"/>
    <n v="154477"/>
    <n v="154477"/>
    <s v="Increasing"/>
    <n v="3.0407746470616726E-2"/>
    <n v="4.0299906228893123E-2"/>
    <n v="100028.7468216541"/>
    <n v="131419.70594329564"/>
    <x v="0"/>
    <n v="5.8700234392393922"/>
    <n v="7.0685523769048926"/>
  </r>
  <r>
    <x v="32"/>
    <s v="NGA"/>
    <n v="170075937.5"/>
    <x v="1"/>
    <n v="0"/>
    <n v="174726123.50000006"/>
    <n v="0"/>
    <m/>
    <n v="0"/>
    <m/>
    <n v="0"/>
    <m/>
    <n v="44"/>
    <m/>
    <n v="48"/>
    <n v="198387623.50000006"/>
    <n v="7"/>
    <n v="7"/>
    <m/>
    <n v="0"/>
    <m/>
    <n v="71"/>
    <m/>
    <n v="77"/>
    <n v="218541211.50000003"/>
    <n v="0"/>
    <n v="0"/>
    <n v="0"/>
    <n v="48"/>
    <n v="77"/>
    <x v="0"/>
    <s v=""/>
    <n v="7"/>
    <n v="2018"/>
    <n v="77"/>
    <n v="2021"/>
    <x v="1"/>
    <n v="77"/>
    <n v="77"/>
    <s v="Increasing"/>
    <n v="3.0407746470616726E-2"/>
    <n v="4.0299906228893123E-2"/>
    <n v="0"/>
    <n v="0"/>
    <x v="0"/>
    <n v="3.5284459163855038E-4"/>
    <n v="3.5233629150079088E-3"/>
  </r>
  <r>
    <x v="32"/>
    <s v="NGA"/>
    <n v="170075938.5"/>
    <x v="2"/>
    <n v="0"/>
    <n v="174726123.50000006"/>
    <n v="0"/>
    <m/>
    <n v="0"/>
    <m/>
    <n v="0"/>
    <m/>
    <n v="311"/>
    <m/>
    <n v="0"/>
    <n v="198387623.50000006"/>
    <n v="0"/>
    <n v="14645"/>
    <m/>
    <n v="0"/>
    <m/>
    <n v="0"/>
    <m/>
    <n v="0"/>
    <n v="218541211.50000003"/>
    <n v="0"/>
    <n v="14645"/>
    <n v="0"/>
    <n v="311"/>
    <n v="0"/>
    <x v="0"/>
    <s v=""/>
    <n v="14645"/>
    <s v="2018 (triag)"/>
    <n v="14645"/>
    <s v="2018 (triag)"/>
    <x v="1"/>
    <n v="14645"/>
    <n v="14645"/>
    <s v="No change"/>
    <n v="3.0407746470616726E-2"/>
    <n v="4.0299906228893123E-2"/>
    <n v="12579.396132405278"/>
    <n v="16527.054403795188"/>
    <x v="0"/>
    <n v="0.73820129207808149"/>
    <n v="0.6701253232505302"/>
  </r>
  <r>
    <x v="32"/>
    <s v="NGA"/>
    <n v="170075939.5"/>
    <x v="3"/>
    <n v="0"/>
    <n v="174726123.50000006"/>
    <n v="0"/>
    <m/>
    <n v="0"/>
    <m/>
    <n v="0"/>
    <m/>
    <n v="0"/>
    <m/>
    <n v="0"/>
    <n v="198387623.50000006"/>
    <n v="0"/>
    <n v="0"/>
    <m/>
    <n v="0"/>
    <m/>
    <n v="0"/>
    <m/>
    <n v="0"/>
    <n v="218541211.50000003"/>
    <n v="0"/>
    <n v="0"/>
    <n v="0"/>
    <n v="0"/>
    <n v="0"/>
    <x v="0"/>
    <s v=""/>
    <m/>
    <s v=""/>
    <n v="0"/>
    <s v=""/>
    <x v="1"/>
    <m/>
    <n v="0"/>
    <s v="No change"/>
    <n v="3.0407746470616726E-2"/>
    <n v="4.0299906228893123E-2"/>
    <n v="0"/>
    <n v="0"/>
    <x v="0"/>
    <n v="0"/>
    <n v="0"/>
  </r>
  <r>
    <x v="32"/>
    <s v="NGA"/>
    <n v="170075940.5"/>
    <x v="4"/>
    <n v="0"/>
    <n v="174726123.50000006"/>
    <n v="0"/>
    <m/>
    <n v="0"/>
    <m/>
    <n v="0"/>
    <m/>
    <n v="0"/>
    <m/>
    <n v="0"/>
    <n v="198387623.50000006"/>
    <n v="0"/>
    <n v="0"/>
    <m/>
    <n v="0"/>
    <m/>
    <n v="0"/>
    <m/>
    <n v="0"/>
    <n v="218541211.50000003"/>
    <n v="0"/>
    <n v="0"/>
    <n v="0"/>
    <n v="0"/>
    <n v="0"/>
    <x v="0"/>
    <s v=""/>
    <m/>
    <s v=""/>
    <n v="0"/>
    <s v=""/>
    <x v="1"/>
    <m/>
    <n v="0"/>
    <s v="No change"/>
    <n v="3.0407746470616726E-2"/>
    <n v="4.0299906228893123E-2"/>
    <n v="0"/>
    <n v="0"/>
    <x v="0"/>
    <n v="0"/>
    <n v="0"/>
  </r>
  <r>
    <x v="32"/>
    <s v="NGA"/>
    <n v="170075941.5"/>
    <x v="5"/>
    <n v="0"/>
    <n v="174726123.50000006"/>
    <n v="0"/>
    <m/>
    <n v="0"/>
    <m/>
    <n v="0"/>
    <m/>
    <n v="0"/>
    <m/>
    <n v="0"/>
    <n v="198387623.50000006"/>
    <n v="6165"/>
    <n v="6165"/>
    <m/>
    <n v="7"/>
    <m/>
    <n v="0"/>
    <m/>
    <n v="48589"/>
    <n v="218541211.50000003"/>
    <n v="280"/>
    <n v="0"/>
    <n v="0"/>
    <n v="6165"/>
    <n v="48589"/>
    <x v="0"/>
    <s v=""/>
    <n v="6165"/>
    <n v="2018"/>
    <n v="280"/>
    <n v="2022"/>
    <x v="0"/>
    <n v="321.80362040971625"/>
    <n v="6165"/>
    <s v="Decreasing"/>
    <n v="3.0407746470616726E-2"/>
    <n v="4.0299906228893123E-2"/>
    <n v="0"/>
    <n v="0"/>
    <x v="0"/>
    <n v="0.3107552724930947"/>
    <n v="1.4725077169699693E-2"/>
  </r>
  <r>
    <x v="32"/>
    <s v="NGA"/>
    <n v="170075942.5"/>
    <x v="6"/>
    <n v="0"/>
    <n v="174726123.50000006"/>
    <n v="0"/>
    <m/>
    <n v="0"/>
    <m/>
    <n v="0"/>
    <m/>
    <n v="0"/>
    <m/>
    <n v="0"/>
    <n v="198387623.50000006"/>
    <n v="26677"/>
    <n v="26677"/>
    <m/>
    <n v="26677"/>
    <m/>
    <n v="0"/>
    <m/>
    <n v="37181"/>
    <n v="218541211.50000003"/>
    <n v="36833"/>
    <n v="0"/>
    <n v="0"/>
    <n v="26677"/>
    <n v="37181"/>
    <x v="0"/>
    <s v=""/>
    <n v="26677"/>
    <n v="2018"/>
    <n v="36833"/>
    <n v="2022"/>
    <x v="1"/>
    <n v="36833"/>
    <n v="36833"/>
    <s v="Increasing"/>
    <n v="3.0407746470616726E-2"/>
    <n v="4.0299906228893123E-2"/>
    <n v="0"/>
    <n v="0"/>
    <x v="0"/>
    <n v="1.3446907387345155"/>
    <n v="1.6854029382920299"/>
  </r>
  <r>
    <x v="32"/>
    <s v="NGA"/>
    <n v="170075943.5"/>
    <x v="7"/>
    <n v="0"/>
    <n v="174726123.50000006"/>
    <n v="0"/>
    <m/>
    <n v="0"/>
    <m/>
    <n v="0"/>
    <m/>
    <n v="0"/>
    <m/>
    <n v="0"/>
    <n v="198387623.50000006"/>
    <n v="0"/>
    <n v="0"/>
    <m/>
    <n v="0"/>
    <m/>
    <n v="0"/>
    <m/>
    <n v="0"/>
    <n v="218541211.50000003"/>
    <n v="0"/>
    <n v="0"/>
    <n v="0"/>
    <n v="0"/>
    <n v="0"/>
    <x v="0"/>
    <s v=""/>
    <m/>
    <s v=""/>
    <n v="0"/>
    <s v=""/>
    <x v="1"/>
    <m/>
    <n v="0"/>
    <s v="No change"/>
    <n v="3.0407746470616726E-2"/>
    <n v="4.0299906228893123E-2"/>
    <n v="0"/>
    <n v="0"/>
    <x v="0"/>
    <n v="0"/>
    <n v="0"/>
  </r>
  <r>
    <x v="32"/>
    <s v="NGA"/>
    <n v="170075944.5"/>
    <x v="8"/>
    <n v="0"/>
    <n v="174726123.50000006"/>
    <n v="0"/>
    <m/>
    <n v="0"/>
    <m/>
    <n v="0"/>
    <m/>
    <n v="0"/>
    <m/>
    <n v="0"/>
    <n v="198387623.50000006"/>
    <n v="2578"/>
    <n v="2648"/>
    <m/>
    <n v="369"/>
    <m/>
    <n v="0"/>
    <m/>
    <n v="0"/>
    <n v="218541211.50000003"/>
    <n v="4262"/>
    <n v="2648"/>
    <n v="0"/>
    <n v="2578"/>
    <n v="4262"/>
    <x v="0"/>
    <s v=""/>
    <n v="2648"/>
    <s v="2018 (triag)"/>
    <n v="4262"/>
    <n v="2022"/>
    <x v="1"/>
    <n v="4262"/>
    <n v="4262"/>
    <s v="Increasing"/>
    <n v="3.0407746470616726E-2"/>
    <n v="4.0299906228893123E-2"/>
    <n v="2274.5128684608521"/>
    <n v="2988.2990823659716"/>
    <x v="0"/>
    <n v="0.13347606837984019"/>
    <n v="0.19502042524368451"/>
  </r>
  <r>
    <x v="32"/>
    <s v="NGA"/>
    <n v="170075945.5"/>
    <x v="9"/>
    <n v="0"/>
    <n v="174726123.50000006"/>
    <n v="0"/>
    <m/>
    <n v="0"/>
    <m/>
    <n v="0"/>
    <m/>
    <n v="0"/>
    <m/>
    <n v="0"/>
    <n v="198387623.50000006"/>
    <n v="0"/>
    <n v="34393"/>
    <m/>
    <n v="27247"/>
    <m/>
    <n v="0"/>
    <m/>
    <n v="0"/>
    <n v="218541211.50000003"/>
    <n v="0"/>
    <n v="34393"/>
    <n v="0"/>
    <n v="27247"/>
    <n v="0"/>
    <x v="0"/>
    <s v=""/>
    <n v="34393"/>
    <s v="2018 (triag)"/>
    <n v="27247"/>
    <s v="2018 (triag)"/>
    <x v="0"/>
    <n v="31314.940161798353"/>
    <n v="34393"/>
    <s v="Decreasing"/>
    <n v="3.0407746470616726E-2"/>
    <n v="4.0299906228893123E-2"/>
    <n v="29542.039684657884"/>
    <n v="38812.904206877967"/>
    <x v="0"/>
    <n v="1.7336262914606662"/>
    <n v="1.4329077772957413"/>
  </r>
  <r>
    <x v="32"/>
    <s v="NGA"/>
    <n v="170075946.5"/>
    <x v="10"/>
    <n v="0"/>
    <n v="174726123.50000006"/>
    <n v="0"/>
    <m/>
    <n v="0"/>
    <m/>
    <n v="0"/>
    <m/>
    <n v="0"/>
    <m/>
    <n v="0"/>
    <n v="198387623.50000006"/>
    <n v="4626"/>
    <n v="5371"/>
    <m/>
    <n v="4429"/>
    <m/>
    <n v="0"/>
    <m/>
    <n v="5485"/>
    <n v="218541211.50000003"/>
    <n v="5632"/>
    <n v="5371"/>
    <n v="0"/>
    <n v="4626"/>
    <n v="5632"/>
    <x v="0"/>
    <s v=""/>
    <n v="5371"/>
    <s v="2018 (triag)"/>
    <n v="5632"/>
    <n v="2022"/>
    <x v="1"/>
    <n v="5632"/>
    <n v="5632"/>
    <s v="Increasing"/>
    <n v="3.0407746470616726E-2"/>
    <n v="4.0299906228893123E-2"/>
    <n v="4613.4473627278085"/>
    <n v="6061.2365450859643"/>
    <x v="0"/>
    <n v="0.27073261452723629"/>
    <n v="0.25770883035486419"/>
  </r>
  <r>
    <x v="32"/>
    <s v="NGA"/>
    <n v="170075947.5"/>
    <x v="11"/>
    <n v="0"/>
    <n v="174726123.50000006"/>
    <n v="0"/>
    <m/>
    <n v="0"/>
    <m/>
    <n v="0"/>
    <m/>
    <n v="0"/>
    <m/>
    <n v="0"/>
    <n v="198387623.50000006"/>
    <n v="0"/>
    <n v="0"/>
    <m/>
    <n v="0"/>
    <m/>
    <n v="0"/>
    <m/>
    <n v="0"/>
    <n v="218541211.50000003"/>
    <n v="0"/>
    <n v="0"/>
    <n v="0"/>
    <n v="0"/>
    <n v="0"/>
    <x v="0"/>
    <s v=""/>
    <m/>
    <s v=""/>
    <n v="0"/>
    <s v=""/>
    <x v="1"/>
    <m/>
    <n v="0"/>
    <s v="No change"/>
    <n v="3.0407746470616726E-2"/>
    <n v="4.0299906228893123E-2"/>
    <n v="0"/>
    <n v="0"/>
    <x v="0"/>
    <n v="0"/>
    <n v="0"/>
  </r>
  <r>
    <x v="32"/>
    <s v="NGA"/>
    <n v="170075948.5"/>
    <x v="12"/>
    <n v="0"/>
    <n v="174726123.50000006"/>
    <n v="0"/>
    <m/>
    <n v="0"/>
    <m/>
    <n v="0"/>
    <m/>
    <n v="0"/>
    <m/>
    <n v="0"/>
    <n v="198387623.50000006"/>
    <n v="0"/>
    <n v="3919"/>
    <m/>
    <n v="0"/>
    <m/>
    <n v="0"/>
    <m/>
    <n v="0"/>
    <n v="218541211.50000003"/>
    <n v="0"/>
    <n v="3919"/>
    <n v="0"/>
    <n v="0"/>
    <n v="0"/>
    <x v="0"/>
    <s v=""/>
    <n v="3919"/>
    <s v="2018 (triag)"/>
    <n v="3919"/>
    <s v="2018 (triag)"/>
    <x v="1"/>
    <n v="3919"/>
    <n v="3919"/>
    <s v="No change"/>
    <n v="3.0407746470616726E-2"/>
    <n v="4.0299906228893123E-2"/>
    <n v="3366.2446871216307"/>
    <n v="4422.6375014321156"/>
    <x v="0"/>
    <n v="0.19754256494735412"/>
    <n v="0.17932544498592201"/>
  </r>
  <r>
    <x v="32"/>
    <s v="NGA"/>
    <n v="170075949.5"/>
    <x v="13"/>
    <n v="0"/>
    <n v="174726123.50000006"/>
    <n v="0"/>
    <m/>
    <n v="0"/>
    <m/>
    <n v="0"/>
    <m/>
    <n v="0"/>
    <m/>
    <n v="0"/>
    <n v="198387623.50000006"/>
    <n v="29246"/>
    <n v="311269"/>
    <m/>
    <n v="29803"/>
    <m/>
    <n v="0"/>
    <m/>
    <n v="34554"/>
    <n v="218541211.50000003"/>
    <n v="38712"/>
    <n v="311269"/>
    <n v="0"/>
    <n v="29803"/>
    <n v="38712"/>
    <x v="0"/>
    <s v=""/>
    <n v="311269"/>
    <s v="2018 (triag)"/>
    <n v="38712"/>
    <n v="2022"/>
    <x v="0"/>
    <n v="44491.649118931913"/>
    <n v="311269"/>
    <s v="Decreasing"/>
    <n v="3.0407746470616726E-2"/>
    <n v="4.0299906228893123E-2"/>
    <n v="267366.06724053662"/>
    <n v="351270.72019221057"/>
    <x v="0"/>
    <n v="15.689940456391419"/>
    <n v="2.0358470978336234"/>
  </r>
  <r>
    <x v="32"/>
    <s v="NGA"/>
    <n v="170075950.5"/>
    <x v="14"/>
    <n v="0"/>
    <n v="174726123.50000006"/>
    <n v="0"/>
    <m/>
    <n v="0"/>
    <m/>
    <n v="0"/>
    <m/>
    <n v="0"/>
    <m/>
    <n v="0"/>
    <n v="198387623.50000006"/>
    <n v="0"/>
    <n v="30"/>
    <m/>
    <n v="0"/>
    <m/>
    <n v="0"/>
    <m/>
    <n v="0"/>
    <n v="218541211.50000003"/>
    <n v="0"/>
    <n v="30"/>
    <n v="0"/>
    <n v="0"/>
    <n v="0"/>
    <x v="0"/>
    <s v=""/>
    <n v="30"/>
    <s v="2018 (triag)"/>
    <n v="30"/>
    <s v="2018 (triag)"/>
    <x v="1"/>
    <n v="30"/>
    <n v="30"/>
    <s v="No change"/>
    <n v="3.0407746470616726E-2"/>
    <n v="4.0299906228893123E-2"/>
    <n v="25.768650322441676"/>
    <n v="33.855352141608442"/>
    <x v="0"/>
    <n v="1.5121911070223588E-3"/>
    <n v="1.3727387980550293E-3"/>
  </r>
  <r>
    <x v="32"/>
    <s v="NGA"/>
    <n v="170075951.5"/>
    <x v="15"/>
    <n v="0"/>
    <n v="174726123.50000006"/>
    <n v="0"/>
    <m/>
    <n v="0"/>
    <m/>
    <n v="0"/>
    <m/>
    <n v="0"/>
    <m/>
    <n v="0"/>
    <n v="198387623.50000006"/>
    <n v="5153"/>
    <n v="15823"/>
    <m/>
    <n v="5089"/>
    <m/>
    <n v="0"/>
    <m/>
    <n v="0"/>
    <n v="218541211.50000003"/>
    <n v="6479"/>
    <n v="15823"/>
    <n v="0"/>
    <n v="5153"/>
    <n v="6479"/>
    <x v="0"/>
    <s v=""/>
    <n v="15823"/>
    <s v="2018 (triag)"/>
    <n v="6479"/>
    <n v="2022"/>
    <x v="0"/>
    <n v="7446.3059165519699"/>
    <n v="15823"/>
    <s v="Decreasing"/>
    <n v="3.0407746470616726E-2"/>
    <n v="4.0299906228893123E-2"/>
    <n v="13591.245135066489"/>
    <n v="17856.441231222347"/>
    <x v="0"/>
    <n v="0.79757999621382603"/>
    <n v="0.34072776779458686"/>
  </r>
  <r>
    <x v="32"/>
    <s v="NGA"/>
    <n v="170075952.5"/>
    <x v="16"/>
    <n v="0"/>
    <n v="174726123.50000006"/>
    <n v="68565"/>
    <m/>
    <n v="0"/>
    <m/>
    <n v="0"/>
    <m/>
    <n v="0"/>
    <m/>
    <n v="0"/>
    <n v="198387623.50000006"/>
    <n v="0"/>
    <n v="0"/>
    <m/>
    <n v="0"/>
    <m/>
    <n v="0"/>
    <m/>
    <n v="0"/>
    <n v="218541211.50000003"/>
    <n v="0"/>
    <n v="0"/>
    <n v="68565"/>
    <n v="0"/>
    <n v="0"/>
    <x v="70"/>
    <n v="2013"/>
    <m/>
    <s v=""/>
    <n v="0"/>
    <s v=""/>
    <x v="1"/>
    <m/>
    <n v="0"/>
    <s v="No change"/>
    <n v="3.0407746470616726E-2"/>
    <n v="4.0299906228893123E-2"/>
    <n v="0"/>
    <n v="0"/>
    <x v="76"/>
    <n v="0"/>
    <n v="0"/>
  </r>
  <r>
    <x v="32"/>
    <s v="NGA"/>
    <n v="170075953.5"/>
    <x v="17"/>
    <n v="0"/>
    <n v="174726123.50000006"/>
    <n v="0"/>
    <m/>
    <n v="0"/>
    <m/>
    <n v="0"/>
    <m/>
    <n v="0"/>
    <m/>
    <n v="0"/>
    <n v="198387623.50000006"/>
    <n v="56"/>
    <n v="56"/>
    <m/>
    <n v="79"/>
    <m/>
    <n v="0"/>
    <m/>
    <n v="0"/>
    <n v="218541211.50000003"/>
    <n v="168"/>
    <n v="0"/>
    <n v="0"/>
    <n v="79"/>
    <n v="168"/>
    <x v="0"/>
    <s v=""/>
    <n v="56"/>
    <n v="2018"/>
    <n v="168"/>
    <n v="2022"/>
    <x v="1"/>
    <n v="168"/>
    <n v="168"/>
    <s v="Increasing"/>
    <n v="3.0407746470616726E-2"/>
    <n v="4.0299906228893123E-2"/>
    <n v="0"/>
    <n v="0"/>
    <x v="0"/>
    <n v="2.822756733108403E-3"/>
    <n v="7.6873372691081644E-3"/>
  </r>
  <r>
    <x v="32"/>
    <s v="NGA"/>
    <n v="170075954.5"/>
    <x v="18"/>
    <n v="0"/>
    <n v="174726123.50000006"/>
    <n v="262512"/>
    <m/>
    <n v="0"/>
    <m/>
    <n v="0"/>
    <m/>
    <n v="0"/>
    <m/>
    <n v="0"/>
    <n v="198387623.50000006"/>
    <n v="0"/>
    <n v="0"/>
    <m/>
    <n v="32"/>
    <m/>
    <n v="0"/>
    <m/>
    <n v="0"/>
    <n v="218541211.50000003"/>
    <n v="0"/>
    <n v="0"/>
    <n v="262512"/>
    <n v="32"/>
    <n v="0"/>
    <x v="71"/>
    <n v="2013"/>
    <n v="32"/>
    <n v="2019"/>
    <n v="32"/>
    <n v="2019"/>
    <x v="1"/>
    <n v="32"/>
    <n v="32"/>
    <s v="No change"/>
    <n v="3.0407746470616726E-2"/>
    <n v="4.0299906228893123E-2"/>
    <n v="0"/>
    <n v="0"/>
    <x v="77"/>
    <n v="1.6130038474905159E-3"/>
    <n v="1.4642547179253647E-3"/>
  </r>
  <r>
    <x v="33"/>
    <s v="RWA"/>
    <n v="10840339"/>
    <x v="0"/>
    <n v="0"/>
    <n v="11101349.499999996"/>
    <n v="0"/>
    <m/>
    <n v="0"/>
    <m/>
    <n v="0"/>
    <m/>
    <n v="0"/>
    <m/>
    <n v="0"/>
    <n v="12531807.499999998"/>
    <n v="45000"/>
    <n v="45000"/>
    <m/>
    <n v="0"/>
    <m/>
    <n v="58567"/>
    <m/>
    <n v="0"/>
    <n v="13776697.499999994"/>
    <n v="0"/>
    <n v="45000"/>
    <n v="0"/>
    <n v="45000"/>
    <n v="58567"/>
    <x v="0"/>
    <s v=""/>
    <n v="45000"/>
    <n v="2018"/>
    <n v="58567"/>
    <n v="2020"/>
    <x v="1"/>
    <n v="58567"/>
    <n v="58567"/>
    <s v="Increasing"/>
    <n v="-1.4357349923836749E-2"/>
    <n v="0.17354491154631502"/>
    <n v="48349.178902623345"/>
    <n v="75739.303341807521"/>
    <x v="0"/>
    <n v="35.908626907969982"/>
    <n v="42.511639672715482"/>
  </r>
  <r>
    <x v="33"/>
    <s v="RWA"/>
    <n v="10840340"/>
    <x v="1"/>
    <n v="0"/>
    <n v="11101349.499999996"/>
    <n v="0"/>
    <m/>
    <n v="0"/>
    <m/>
    <n v="0"/>
    <m/>
    <n v="0"/>
    <m/>
    <n v="0"/>
    <n v="12531807.499999998"/>
    <n v="0"/>
    <n v="0"/>
    <m/>
    <n v="0"/>
    <m/>
    <n v="0"/>
    <m/>
    <n v="207"/>
    <n v="13776697.499999994"/>
    <n v="0"/>
    <n v="0"/>
    <n v="0"/>
    <n v="0"/>
    <n v="207"/>
    <x v="0"/>
    <s v=""/>
    <m/>
    <s v=""/>
    <n v="207"/>
    <n v="2021"/>
    <x v="1"/>
    <n v="207"/>
    <n v="224"/>
    <s v="Increasing"/>
    <n v="-1.4357349923836749E-2"/>
    <n v="0.17354491154631502"/>
    <n v="0"/>
    <n v="0"/>
    <x v="0"/>
    <n v="0"/>
    <n v="0.15025371646579311"/>
  </r>
  <r>
    <x v="33"/>
    <s v="RWA"/>
    <n v="10840341"/>
    <x v="2"/>
    <n v="0"/>
    <n v="11101349.499999996"/>
    <n v="0"/>
    <m/>
    <n v="0"/>
    <m/>
    <n v="0"/>
    <m/>
    <n v="0"/>
    <m/>
    <n v="0"/>
    <n v="12531807.499999998"/>
    <n v="0"/>
    <n v="0"/>
    <m/>
    <n v="0"/>
    <m/>
    <n v="0"/>
    <m/>
    <n v="226"/>
    <n v="13776697.499999994"/>
    <n v="0"/>
    <n v="0"/>
    <n v="0"/>
    <n v="0"/>
    <n v="226"/>
    <x v="0"/>
    <s v=""/>
    <m/>
    <s v=""/>
    <n v="226"/>
    <n v="2021"/>
    <x v="1"/>
    <n v="226"/>
    <n v="226"/>
    <s v="Increasing"/>
    <n v="-1.4357349923836749E-2"/>
    <n v="0.17354491154631502"/>
    <n v="0"/>
    <n v="0"/>
    <x v="0"/>
    <n v="0"/>
    <n v="0.16404512039260505"/>
  </r>
  <r>
    <x v="33"/>
    <s v="RWA"/>
    <n v="10840342"/>
    <x v="3"/>
    <n v="0"/>
    <n v="11101349.499999996"/>
    <n v="0"/>
    <m/>
    <n v="0"/>
    <m/>
    <n v="0"/>
    <m/>
    <n v="0"/>
    <m/>
    <n v="0"/>
    <n v="12531807.499999998"/>
    <n v="0"/>
    <n v="0"/>
    <m/>
    <n v="0"/>
    <m/>
    <n v="0"/>
    <m/>
    <n v="0"/>
    <n v="13776697.499999994"/>
    <n v="0"/>
    <n v="0"/>
    <n v="0"/>
    <n v="0"/>
    <n v="0"/>
    <x v="0"/>
    <s v=""/>
    <m/>
    <s v=""/>
    <n v="0"/>
    <s v=""/>
    <x v="1"/>
    <m/>
    <n v="0"/>
    <s v="No change"/>
    <n v="-1.4357349923836749E-2"/>
    <n v="0.17354491154631502"/>
    <n v="0"/>
    <n v="0"/>
    <x v="0"/>
    <n v="0"/>
    <n v="0"/>
  </r>
  <r>
    <x v="33"/>
    <s v="RWA"/>
    <n v="10840343"/>
    <x v="4"/>
    <n v="0"/>
    <n v="11101349.499999996"/>
    <n v="0"/>
    <m/>
    <n v="0"/>
    <m/>
    <n v="0"/>
    <m/>
    <n v="0"/>
    <m/>
    <n v="0"/>
    <n v="12531807.499999998"/>
    <n v="0"/>
    <n v="0"/>
    <m/>
    <n v="0"/>
    <m/>
    <n v="0"/>
    <m/>
    <n v="0"/>
    <n v="13776697.499999994"/>
    <n v="0"/>
    <n v="0"/>
    <n v="0"/>
    <n v="0"/>
    <n v="0"/>
    <x v="0"/>
    <s v=""/>
    <m/>
    <s v=""/>
    <n v="0"/>
    <s v=""/>
    <x v="1"/>
    <m/>
    <n v="0"/>
    <s v="No change"/>
    <n v="-1.4357349923836749E-2"/>
    <n v="0.17354491154631502"/>
    <n v="0"/>
    <n v="0"/>
    <x v="0"/>
    <n v="0"/>
    <n v="0"/>
  </r>
  <r>
    <x v="33"/>
    <s v="RWA"/>
    <n v="10840344"/>
    <x v="5"/>
    <n v="0"/>
    <n v="11101349.499999996"/>
    <n v="0"/>
    <m/>
    <n v="0"/>
    <m/>
    <n v="23"/>
    <m/>
    <n v="0"/>
    <m/>
    <n v="0"/>
    <n v="12531807.499999998"/>
    <n v="0"/>
    <n v="0"/>
    <m/>
    <n v="0"/>
    <m/>
    <n v="0"/>
    <m/>
    <n v="0"/>
    <n v="13776697.499999994"/>
    <n v="0"/>
    <n v="0"/>
    <n v="23"/>
    <n v="0"/>
    <n v="0"/>
    <x v="72"/>
    <n v="2015"/>
    <m/>
    <s v=""/>
    <n v="0"/>
    <s v=""/>
    <x v="1"/>
    <m/>
    <n v="0"/>
    <s v="No change"/>
    <n v="-1.4357349923836749E-2"/>
    <n v="0.17354491154631502"/>
    <n v="0"/>
    <n v="0"/>
    <x v="78"/>
    <n v="0"/>
    <n v="0"/>
  </r>
  <r>
    <x v="33"/>
    <s v="RWA"/>
    <n v="10840345"/>
    <x v="6"/>
    <n v="0"/>
    <n v="11101349.499999996"/>
    <n v="0"/>
    <m/>
    <n v="0"/>
    <m/>
    <n v="0"/>
    <m/>
    <n v="0"/>
    <m/>
    <n v="0"/>
    <n v="12531807.499999998"/>
    <n v="1990"/>
    <n v="1990"/>
    <m/>
    <n v="0"/>
    <m/>
    <n v="0"/>
    <m/>
    <n v="0"/>
    <n v="13776697.499999994"/>
    <n v="0"/>
    <n v="321"/>
    <n v="0"/>
    <n v="1990"/>
    <n v="0"/>
    <x v="0"/>
    <s v=""/>
    <n v="1990"/>
    <n v="2018"/>
    <n v="1990"/>
    <n v="2018"/>
    <x v="1"/>
    <n v="1990"/>
    <n v="1990"/>
    <s v="No change"/>
    <n v="-1.4357349923836749E-2"/>
    <n v="0.17354491154631502"/>
    <n v="344.89080950537988"/>
    <n v="540.27369717156034"/>
    <x v="0"/>
    <n v="1.587959278819117"/>
    <n v="1.4444680954924072"/>
  </r>
  <r>
    <x v="33"/>
    <s v="RWA"/>
    <n v="10840346"/>
    <x v="7"/>
    <n v="0"/>
    <n v="11101349.499999996"/>
    <n v="0"/>
    <m/>
    <n v="0"/>
    <m/>
    <n v="0"/>
    <m/>
    <n v="0"/>
    <m/>
    <n v="0"/>
    <n v="12531807.499999998"/>
    <n v="0"/>
    <n v="0"/>
    <m/>
    <n v="0"/>
    <m/>
    <n v="0"/>
    <m/>
    <n v="0"/>
    <n v="13776697.499999994"/>
    <n v="0"/>
    <n v="0"/>
    <n v="0"/>
    <n v="0"/>
    <n v="0"/>
    <x v="0"/>
    <s v=""/>
    <m/>
    <s v=""/>
    <n v="0"/>
    <s v=""/>
    <x v="1"/>
    <m/>
    <n v="0"/>
    <s v="No change"/>
    <n v="-1.4357349923836749E-2"/>
    <n v="0.17354491154631502"/>
    <n v="0"/>
    <n v="0"/>
    <x v="0"/>
    <n v="0"/>
    <n v="0"/>
  </r>
  <r>
    <x v="33"/>
    <s v="RWA"/>
    <n v="10840347"/>
    <x v="8"/>
    <n v="0"/>
    <n v="11101349.499999996"/>
    <n v="0"/>
    <m/>
    <n v="0"/>
    <m/>
    <n v="116"/>
    <m/>
    <n v="0"/>
    <m/>
    <n v="0"/>
    <n v="12531807.499999998"/>
    <n v="152"/>
    <n v="152"/>
    <m/>
    <n v="0"/>
    <m/>
    <n v="0"/>
    <m/>
    <n v="0"/>
    <n v="13776697.499999994"/>
    <n v="0"/>
    <n v="0"/>
    <n v="116"/>
    <n v="152"/>
    <n v="0"/>
    <x v="73"/>
    <n v="2015"/>
    <n v="152"/>
    <n v="2018"/>
    <n v="152"/>
    <n v="2018"/>
    <x v="1"/>
    <n v="152"/>
    <n v="152"/>
    <s v="No change"/>
    <n v="-1.4357349923836749E-2"/>
    <n v="0.17354491154631502"/>
    <n v="0"/>
    <n v="0"/>
    <x v="79"/>
    <n v="0.12129136200025417"/>
    <n v="0.11033123141449543"/>
  </r>
  <r>
    <x v="33"/>
    <s v="RWA"/>
    <n v="10840348"/>
    <x v="9"/>
    <n v="0"/>
    <n v="11101349.499999996"/>
    <n v="0"/>
    <m/>
    <n v="0"/>
    <m/>
    <n v="0"/>
    <m/>
    <n v="0"/>
    <m/>
    <n v="0"/>
    <n v="12531807.499999998"/>
    <n v="0"/>
    <n v="0"/>
    <m/>
    <n v="0"/>
    <m/>
    <n v="0"/>
    <m/>
    <n v="0"/>
    <n v="13776697.499999994"/>
    <n v="0"/>
    <n v="0"/>
    <n v="0"/>
    <n v="0"/>
    <n v="0"/>
    <x v="0"/>
    <s v=""/>
    <m/>
    <s v=""/>
    <n v="0"/>
    <s v=""/>
    <x v="1"/>
    <m/>
    <n v="0"/>
    <s v="No change"/>
    <n v="-1.4357349923836749E-2"/>
    <n v="0.17354491154631502"/>
    <n v="0"/>
    <n v="0"/>
    <x v="0"/>
    <n v="0"/>
    <n v="0"/>
  </r>
  <r>
    <x v="33"/>
    <s v="RWA"/>
    <n v="10840349"/>
    <x v="10"/>
    <n v="0"/>
    <n v="11101349.499999996"/>
    <n v="0"/>
    <m/>
    <n v="0"/>
    <m/>
    <n v="0"/>
    <m/>
    <n v="0"/>
    <m/>
    <n v="0"/>
    <n v="12531807.499999998"/>
    <n v="13"/>
    <n v="13"/>
    <m/>
    <n v="0"/>
    <m/>
    <n v="0"/>
    <m/>
    <n v="0"/>
    <n v="13776697.499999994"/>
    <n v="0"/>
    <n v="0"/>
    <n v="0"/>
    <n v="13"/>
    <n v="0"/>
    <x v="0"/>
    <s v=""/>
    <n v="13"/>
    <n v="2018"/>
    <n v="13"/>
    <n v="2018"/>
    <x v="1"/>
    <n v="13"/>
    <n v="103"/>
    <s v="No change"/>
    <n v="-1.4357349923836749E-2"/>
    <n v="0.17354491154631502"/>
    <n v="0"/>
    <n v="0"/>
    <x v="0"/>
    <n v="1.0373603328969108E-2"/>
    <n v="9.4362237393976357E-3"/>
  </r>
  <r>
    <x v="33"/>
    <s v="RWA"/>
    <n v="10840350"/>
    <x v="11"/>
    <n v="0"/>
    <n v="11101349.499999996"/>
    <n v="0"/>
    <m/>
    <n v="0"/>
    <m/>
    <n v="0"/>
    <m/>
    <n v="0"/>
    <m/>
    <n v="0"/>
    <n v="12531807.499999998"/>
    <n v="0"/>
    <n v="0"/>
    <m/>
    <n v="0"/>
    <m/>
    <n v="0"/>
    <m/>
    <n v="0"/>
    <n v="13776697.499999994"/>
    <n v="0"/>
    <n v="0"/>
    <n v="0"/>
    <n v="0"/>
    <n v="0"/>
    <x v="0"/>
    <s v=""/>
    <m/>
    <s v=""/>
    <n v="0"/>
    <s v=""/>
    <x v="1"/>
    <m/>
    <n v="0"/>
    <s v="No change"/>
    <n v="-1.4357349923836749E-2"/>
    <n v="0.17354491154631502"/>
    <n v="0"/>
    <n v="0"/>
    <x v="0"/>
    <n v="0"/>
    <n v="0"/>
  </r>
  <r>
    <x v="33"/>
    <s v="RWA"/>
    <n v="10840351"/>
    <x v="12"/>
    <n v="0"/>
    <n v="11101349.499999996"/>
    <n v="0"/>
    <m/>
    <n v="0"/>
    <m/>
    <n v="0"/>
    <m/>
    <n v="0"/>
    <m/>
    <n v="0"/>
    <n v="12531807.499999998"/>
    <n v="0"/>
    <n v="0"/>
    <m/>
    <n v="0"/>
    <m/>
    <n v="0"/>
    <m/>
    <n v="0"/>
    <n v="13776697.499999994"/>
    <n v="0"/>
    <n v="0"/>
    <n v="0"/>
    <n v="0"/>
    <n v="0"/>
    <x v="0"/>
    <s v=""/>
    <m/>
    <s v=""/>
    <n v="0"/>
    <s v=""/>
    <x v="1"/>
    <m/>
    <n v="0"/>
    <s v="No change"/>
    <n v="-1.4357349923836749E-2"/>
    <n v="0.17354491154631502"/>
    <n v="0"/>
    <n v="0"/>
    <x v="0"/>
    <n v="0"/>
    <n v="0"/>
  </r>
  <r>
    <x v="33"/>
    <s v="RWA"/>
    <n v="10840352"/>
    <x v="13"/>
    <n v="0"/>
    <n v="11101349.499999996"/>
    <n v="0"/>
    <m/>
    <n v="0"/>
    <m/>
    <n v="1545"/>
    <m/>
    <n v="0"/>
    <m/>
    <n v="1990"/>
    <n v="12531807.499999998"/>
    <n v="0"/>
    <n v="1990"/>
    <m/>
    <n v="0"/>
    <m/>
    <n v="0"/>
    <m/>
    <n v="0"/>
    <n v="13776697.499999994"/>
    <n v="0"/>
    <n v="1990"/>
    <n v="1545"/>
    <n v="1990"/>
    <n v="0"/>
    <x v="74"/>
    <n v="2015"/>
    <n v="1990"/>
    <n v="2017"/>
    <n v="1990"/>
    <n v="2017"/>
    <x v="1"/>
    <n v="1990"/>
    <n v="1990"/>
    <s v="No change"/>
    <n v="-1.4357349923836749E-2"/>
    <n v="0.17354491154631502"/>
    <n v="2138.1081336937877"/>
    <n v="3349.3603033377103"/>
    <x v="80"/>
    <n v="1.587959278819117"/>
    <n v="1.4444680954924072"/>
  </r>
  <r>
    <x v="33"/>
    <s v="RWA"/>
    <n v="10840353"/>
    <x v="14"/>
    <n v="0"/>
    <n v="11101349.499999996"/>
    <n v="0"/>
    <m/>
    <n v="0"/>
    <m/>
    <n v="0"/>
    <m/>
    <n v="0"/>
    <m/>
    <n v="0"/>
    <n v="12531807.499999998"/>
    <n v="0"/>
    <n v="0"/>
    <m/>
    <n v="0"/>
    <m/>
    <n v="0"/>
    <m/>
    <n v="0"/>
    <n v="13776697.499999994"/>
    <n v="0"/>
    <n v="0"/>
    <n v="0"/>
    <n v="0"/>
    <n v="0"/>
    <x v="0"/>
    <s v=""/>
    <m/>
    <s v=""/>
    <n v="0"/>
    <s v=""/>
    <x v="1"/>
    <m/>
    <n v="0"/>
    <s v="No change"/>
    <n v="-1.4357349923836749E-2"/>
    <n v="0.17354491154631502"/>
    <n v="0"/>
    <n v="0"/>
    <x v="0"/>
    <n v="0"/>
    <n v="0"/>
  </r>
  <r>
    <x v="33"/>
    <s v="RWA"/>
    <n v="10840354"/>
    <x v="15"/>
    <n v="0"/>
    <n v="11101349.499999996"/>
    <n v="0"/>
    <m/>
    <n v="0"/>
    <m/>
    <n v="125"/>
    <m/>
    <n v="0"/>
    <m/>
    <n v="182"/>
    <n v="12531807.499999998"/>
    <n v="225"/>
    <n v="225"/>
    <m/>
    <n v="0"/>
    <m/>
    <n v="0"/>
    <m/>
    <n v="0"/>
    <n v="13776697.499999994"/>
    <n v="0"/>
    <n v="182"/>
    <n v="125"/>
    <n v="225"/>
    <n v="0"/>
    <x v="75"/>
    <n v="2015"/>
    <n v="225"/>
    <n v="2018"/>
    <n v="225"/>
    <n v="2018"/>
    <x v="1"/>
    <n v="225"/>
    <n v="225"/>
    <s v="No change"/>
    <n v="-1.4357349923836749E-2"/>
    <n v="0.17354491154631502"/>
    <n v="195.54556800616552"/>
    <n v="306.32340462686597"/>
    <x v="81"/>
    <n v="0.17954313453984994"/>
    <n v="0.16331925702803599"/>
  </r>
  <r>
    <x v="33"/>
    <s v="RWA"/>
    <n v="10840355"/>
    <x v="16"/>
    <n v="0"/>
    <n v="11101349.499999996"/>
    <n v="0"/>
    <m/>
    <n v="0"/>
    <m/>
    <n v="886"/>
    <m/>
    <n v="0"/>
    <m/>
    <n v="0"/>
    <n v="12531807.499999998"/>
    <n v="0"/>
    <n v="0"/>
    <m/>
    <n v="0"/>
    <m/>
    <n v="0"/>
    <m/>
    <n v="0"/>
    <n v="13776697.499999994"/>
    <n v="0"/>
    <n v="0"/>
    <n v="886"/>
    <n v="0"/>
    <n v="0"/>
    <x v="76"/>
    <n v="2015"/>
    <m/>
    <s v=""/>
    <n v="0"/>
    <s v=""/>
    <x v="1"/>
    <m/>
    <n v="0"/>
    <s v="No change"/>
    <n v="-1.4357349923836749E-2"/>
    <n v="0.17354491154631502"/>
    <n v="0"/>
    <n v="0"/>
    <x v="82"/>
    <n v="0"/>
    <n v="0"/>
  </r>
  <r>
    <x v="33"/>
    <s v="RWA"/>
    <n v="10840356"/>
    <x v="17"/>
    <n v="0"/>
    <n v="11101349.499999996"/>
    <n v="0"/>
    <m/>
    <n v="0"/>
    <m/>
    <n v="0"/>
    <m/>
    <n v="0"/>
    <m/>
    <n v="0"/>
    <n v="12531807.499999998"/>
    <n v="0"/>
    <n v="0"/>
    <m/>
    <n v="0"/>
    <m/>
    <n v="0"/>
    <m/>
    <n v="0"/>
    <n v="13776697.499999994"/>
    <n v="0"/>
    <n v="0"/>
    <n v="0"/>
    <n v="0"/>
    <n v="0"/>
    <x v="0"/>
    <s v=""/>
    <m/>
    <s v=""/>
    <n v="0"/>
    <s v=""/>
    <x v="1"/>
    <m/>
    <n v="3"/>
    <s v="No change"/>
    <n v="-1.4357349923836749E-2"/>
    <n v="0.17354491154631502"/>
    <n v="0"/>
    <n v="0"/>
    <x v="0"/>
    <n v="0"/>
    <n v="0"/>
  </r>
  <r>
    <x v="33"/>
    <s v="RWA"/>
    <n v="10840357"/>
    <x v="18"/>
    <n v="0"/>
    <n v="11101349.499999996"/>
    <n v="0"/>
    <m/>
    <n v="0"/>
    <m/>
    <n v="0"/>
    <m/>
    <n v="0"/>
    <m/>
    <n v="0"/>
    <n v="12531807.499999998"/>
    <n v="0"/>
    <n v="0"/>
    <m/>
    <n v="0"/>
    <m/>
    <n v="0"/>
    <m/>
    <n v="0"/>
    <n v="13776697.499999994"/>
    <n v="0"/>
    <n v="0"/>
    <n v="0"/>
    <n v="0"/>
    <n v="0"/>
    <x v="0"/>
    <s v=""/>
    <m/>
    <s v=""/>
    <n v="0"/>
    <s v=""/>
    <x v="1"/>
    <m/>
    <n v="0"/>
    <s v="No change"/>
    <n v="-1.4357349923836749E-2"/>
    <n v="0.17354491154631502"/>
    <n v="0"/>
    <n v="0"/>
    <x v="0"/>
    <n v="0"/>
    <n v="0"/>
  </r>
  <r>
    <x v="34"/>
    <s v="SEN"/>
    <n v="13231838"/>
    <x v="0"/>
    <n v="0"/>
    <n v="13595565.499999993"/>
    <n v="0"/>
    <m/>
    <n v="0"/>
    <m/>
    <n v="770"/>
    <m/>
    <n v="5"/>
    <m/>
    <n v="5"/>
    <n v="15574908.999999998"/>
    <n v="17417"/>
    <n v="17417"/>
    <m/>
    <n v="1116"/>
    <m/>
    <n v="0"/>
    <m/>
    <n v="16443"/>
    <n v="17316449"/>
    <n v="18757"/>
    <n v="17417"/>
    <n v="770"/>
    <n v="17417"/>
    <n v="18757"/>
    <x v="77"/>
    <n v="2015"/>
    <n v="17417"/>
    <n v="2018"/>
    <n v="18757"/>
    <n v="2022"/>
    <x v="1"/>
    <n v="18757"/>
    <n v="18757"/>
    <s v="Increasing"/>
    <n v="2.5918907427795013E-2"/>
    <n v="7.7050082831477074E-2"/>
    <n v="15299.990440750918"/>
    <n v="21946.265519138116"/>
    <x v="83"/>
    <n v="11.182729863782834"/>
    <n v="10.831897463504209"/>
  </r>
  <r>
    <x v="34"/>
    <s v="SEN"/>
    <n v="13231839"/>
    <x v="1"/>
    <n v="0"/>
    <n v="13595565.499999993"/>
    <n v="0"/>
    <m/>
    <n v="0"/>
    <m/>
    <n v="0"/>
    <m/>
    <n v="0"/>
    <m/>
    <n v="0"/>
    <n v="15574908.999999998"/>
    <n v="0"/>
    <n v="4"/>
    <m/>
    <n v="0"/>
    <m/>
    <n v="0"/>
    <m/>
    <n v="0"/>
    <n v="17316449"/>
    <n v="0"/>
    <n v="4"/>
    <n v="0"/>
    <n v="0"/>
    <n v="0"/>
    <x v="0"/>
    <s v=""/>
    <n v="4"/>
    <s v="2018 (triag)"/>
    <n v="4"/>
    <s v="2018 (triag)"/>
    <x v="1"/>
    <n v="4"/>
    <n v="4"/>
    <s v="No change"/>
    <n v="2.5918907427795013E-2"/>
    <n v="7.7050082831477074E-2"/>
    <n v="3.5138061527819757"/>
    <n v="5.0401941824971273"/>
    <x v="0"/>
    <n v="2.5682333039634456E-3"/>
    <n v="2.3099424137131117E-3"/>
  </r>
  <r>
    <x v="34"/>
    <s v="SEN"/>
    <n v="13231840"/>
    <x v="2"/>
    <n v="0"/>
    <n v="13595565.499999993"/>
    <n v="0"/>
    <m/>
    <n v="3518"/>
    <m/>
    <n v="0"/>
    <m/>
    <n v="0"/>
    <m/>
    <n v="0"/>
    <n v="15574908.999999998"/>
    <n v="1925"/>
    <n v="1925"/>
    <m/>
    <n v="0"/>
    <m/>
    <n v="2494"/>
    <m/>
    <n v="0"/>
    <n v="17316449"/>
    <n v="0"/>
    <n v="573"/>
    <n v="3518"/>
    <n v="1925"/>
    <n v="2494"/>
    <x v="78"/>
    <n v="2014"/>
    <n v="1925"/>
    <n v="2018"/>
    <n v="2494"/>
    <n v="2020"/>
    <x v="1"/>
    <n v="2494"/>
    <n v="2494"/>
    <s v="Increasing"/>
    <n v="2.5918907427795013E-2"/>
    <n v="7.7050082831477074E-2"/>
    <n v="503.35273138601804"/>
    <n v="722.00781664271346"/>
    <x v="84"/>
    <n v="1.2359622775324082"/>
    <n v="1.4402490949501252"/>
  </r>
  <r>
    <x v="34"/>
    <s v="SEN"/>
    <n v="13231841"/>
    <x v="3"/>
    <n v="0"/>
    <n v="13595565.499999993"/>
    <n v="0"/>
    <m/>
    <n v="0"/>
    <m/>
    <n v="0"/>
    <m/>
    <n v="0"/>
    <m/>
    <n v="0"/>
    <n v="15574908.999999998"/>
    <n v="0"/>
    <n v="1670"/>
    <m/>
    <n v="15422"/>
    <m/>
    <n v="0"/>
    <m/>
    <n v="949"/>
    <n v="17316449"/>
    <n v="3378"/>
    <n v="1670"/>
    <n v="0"/>
    <n v="15422"/>
    <n v="3378"/>
    <x v="0"/>
    <s v=""/>
    <n v="1670"/>
    <s v="2018 (triag)"/>
    <n v="3378"/>
    <n v="2022"/>
    <x v="1"/>
    <n v="3378"/>
    <n v="3378"/>
    <s v="Increasing"/>
    <n v="2.5918907427795013E-2"/>
    <n v="7.7050082831477074E-2"/>
    <n v="1467.0140687864748"/>
    <n v="2104.2810711925508"/>
    <x v="0"/>
    <n v="1.0722374044047385"/>
    <n v="1.9507463683807229"/>
  </r>
  <r>
    <x v="34"/>
    <s v="SEN"/>
    <n v="13231842"/>
    <x v="4"/>
    <n v="0"/>
    <n v="13595565.499999993"/>
    <n v="0"/>
    <m/>
    <n v="0"/>
    <m/>
    <n v="0"/>
    <m/>
    <n v="0"/>
    <m/>
    <n v="0"/>
    <n v="15574908.999999998"/>
    <n v="0"/>
    <n v="135"/>
    <m/>
    <n v="686"/>
    <m/>
    <n v="27"/>
    <m/>
    <n v="188"/>
    <n v="17316449"/>
    <n v="0"/>
    <n v="135"/>
    <n v="0"/>
    <n v="686"/>
    <n v="188"/>
    <x v="0"/>
    <s v=""/>
    <n v="135"/>
    <s v="2018 (triag)"/>
    <n v="188"/>
    <n v="2021"/>
    <x v="1"/>
    <n v="188"/>
    <n v="188"/>
    <s v="Increasing"/>
    <n v="2.5918907427795013E-2"/>
    <n v="7.7050082831477074E-2"/>
    <n v="118.59095765639168"/>
    <n v="170.10655365927803"/>
    <x v="0"/>
    <n v="8.6677874008766295E-2"/>
    <n v="0.10856729344451625"/>
  </r>
  <r>
    <x v="34"/>
    <s v="SEN"/>
    <n v="13231843"/>
    <x v="5"/>
    <n v="0"/>
    <n v="13595565.499999993"/>
    <n v="0"/>
    <m/>
    <n v="0"/>
    <m/>
    <n v="0"/>
    <m/>
    <n v="57"/>
    <m/>
    <n v="0"/>
    <n v="15574908.999999998"/>
    <n v="0"/>
    <n v="100"/>
    <m/>
    <n v="22"/>
    <m/>
    <n v="13"/>
    <m/>
    <n v="98"/>
    <n v="17316449"/>
    <n v="15"/>
    <n v="100"/>
    <n v="0"/>
    <n v="57"/>
    <n v="98"/>
    <x v="0"/>
    <s v=""/>
    <n v="100"/>
    <s v="2018 (triag)"/>
    <n v="15"/>
    <n v="2022"/>
    <x v="0"/>
    <n v="17.556185826093202"/>
    <n v="100"/>
    <s v="Decreasing"/>
    <n v="2.5918907427795013E-2"/>
    <n v="7.7050082831477074E-2"/>
    <n v="87.845153819549395"/>
    <n v="126.00485456242818"/>
    <x v="0"/>
    <n v="6.4205832599086146E-2"/>
    <n v="1.0138444565680414E-2"/>
  </r>
  <r>
    <x v="34"/>
    <s v="SEN"/>
    <n v="13231844"/>
    <x v="6"/>
    <n v="0"/>
    <n v="13595565.499999993"/>
    <n v="0"/>
    <m/>
    <n v="0"/>
    <m/>
    <n v="0"/>
    <m/>
    <n v="0"/>
    <m/>
    <n v="37"/>
    <n v="15574908.999999998"/>
    <n v="328"/>
    <n v="1045"/>
    <m/>
    <n v="715"/>
    <m/>
    <n v="101"/>
    <m/>
    <n v="434"/>
    <n v="17316449"/>
    <n v="0"/>
    <n v="1045"/>
    <n v="0"/>
    <n v="715"/>
    <n v="434"/>
    <x v="0"/>
    <s v=""/>
    <n v="1045"/>
    <s v="2018 (triag)"/>
    <n v="434"/>
    <n v="2021"/>
    <x v="0"/>
    <n v="507.95897656829663"/>
    <n v="1045"/>
    <s v="Decreasing"/>
    <n v="2.5918907427795013E-2"/>
    <n v="7.7050082831477074E-2"/>
    <n v="917.9818574142912"/>
    <n v="1316.7507301773744"/>
    <x v="0"/>
    <n v="0.67095095066045018"/>
    <n v="0.2933389961003533"/>
  </r>
  <r>
    <x v="34"/>
    <s v="SEN"/>
    <n v="13231845"/>
    <x v="7"/>
    <n v="0"/>
    <n v="13595565.499999993"/>
    <n v="0"/>
    <m/>
    <n v="0"/>
    <m/>
    <n v="0"/>
    <m/>
    <n v="0"/>
    <m/>
    <n v="0"/>
    <n v="15574908.999999998"/>
    <n v="0"/>
    <n v="2543"/>
    <m/>
    <n v="2112"/>
    <m/>
    <n v="1482"/>
    <m/>
    <n v="0"/>
    <n v="17316449"/>
    <n v="0"/>
    <n v="2543"/>
    <n v="0"/>
    <n v="2112"/>
    <n v="1482"/>
    <x v="0"/>
    <s v=""/>
    <n v="2543"/>
    <s v="2018 (triag)"/>
    <n v="1482"/>
    <n v="2020"/>
    <x v="0"/>
    <n v="1734.5511596180083"/>
    <n v="2543"/>
    <s v="Decreasing"/>
    <n v="2.5918907427795013E-2"/>
    <n v="7.7050082831477074E-2"/>
    <n v="2233.9022616311408"/>
    <n v="3204.3034515225486"/>
    <x v="0"/>
    <n v="1.6327543229947605"/>
    <n v="1.0016783230892248"/>
  </r>
  <r>
    <x v="34"/>
    <s v="SEN"/>
    <n v="13231846"/>
    <x v="8"/>
    <n v="0"/>
    <n v="13595565.499999993"/>
    <n v="22"/>
    <m/>
    <n v="0"/>
    <m/>
    <n v="0"/>
    <m/>
    <n v="78"/>
    <m/>
    <n v="0"/>
    <n v="15574908.999999998"/>
    <n v="0"/>
    <n v="542"/>
    <m/>
    <n v="124"/>
    <m/>
    <n v="121"/>
    <m/>
    <n v="123"/>
    <n v="17316449"/>
    <n v="237"/>
    <n v="542"/>
    <n v="22"/>
    <n v="124"/>
    <n v="237"/>
    <x v="79"/>
    <n v="2013"/>
    <n v="542"/>
    <s v="2018 (triag)"/>
    <n v="237"/>
    <n v="2022"/>
    <x v="0"/>
    <n v="277.3877360522726"/>
    <n v="542"/>
    <s v="Decreasing"/>
    <n v="2.5918907427795013E-2"/>
    <n v="7.7050082831477074E-2"/>
    <n v="476.1207337019577"/>
    <n v="682.9463117283608"/>
    <x v="85"/>
    <n v="0.34799561268704687"/>
    <n v="0.16018742413775053"/>
  </r>
  <r>
    <x v="34"/>
    <s v="SEN"/>
    <n v="13231847"/>
    <x v="9"/>
    <n v="0"/>
    <n v="13595565.499999993"/>
    <n v="0"/>
    <m/>
    <n v="0"/>
    <m/>
    <n v="0"/>
    <m/>
    <n v="0"/>
    <m/>
    <n v="0"/>
    <n v="15574908.999999998"/>
    <n v="0"/>
    <n v="17"/>
    <m/>
    <n v="123"/>
    <m/>
    <n v="0"/>
    <m/>
    <n v="2"/>
    <n v="17316449"/>
    <n v="0"/>
    <n v="17"/>
    <n v="0"/>
    <n v="123"/>
    <n v="2"/>
    <x v="0"/>
    <s v=""/>
    <n v="17"/>
    <s v="2018 (triag)"/>
    <n v="2"/>
    <n v="2021"/>
    <x v="0"/>
    <n v="2.3408247768124268"/>
    <n v="17"/>
    <s v="Decreasing"/>
    <n v="2.5918907427795013E-2"/>
    <n v="7.7050082831477074E-2"/>
    <n v="14.933676149323396"/>
    <n v="21.420825275612792"/>
    <x v="0"/>
    <n v="1.0914991541844644E-2"/>
    <n v="1.3517926087573883E-3"/>
  </r>
  <r>
    <x v="34"/>
    <s v="SEN"/>
    <n v="13231848"/>
    <x v="10"/>
    <n v="0"/>
    <n v="13595565.499999993"/>
    <n v="0"/>
    <m/>
    <n v="0"/>
    <m/>
    <n v="0"/>
    <m/>
    <n v="0"/>
    <m/>
    <n v="0"/>
    <n v="15574908.999999998"/>
    <n v="0"/>
    <n v="108"/>
    <m/>
    <n v="1"/>
    <m/>
    <n v="0"/>
    <m/>
    <n v="107"/>
    <n v="17316449"/>
    <n v="0"/>
    <n v="108"/>
    <n v="0"/>
    <n v="1"/>
    <n v="107"/>
    <x v="0"/>
    <s v=""/>
    <n v="108"/>
    <s v="2018 (triag)"/>
    <n v="107"/>
    <n v="2021"/>
    <x v="0"/>
    <n v="125.23412555946484"/>
    <n v="125.23412555946484"/>
    <s v="Increasing"/>
    <n v="2.5918907427795013E-2"/>
    <n v="7.7050082831477074E-2"/>
    <n v="94.872766125113344"/>
    <n v="136.08524292742243"/>
    <x v="0"/>
    <n v="6.9342299207013028E-2"/>
    <n v="7.2320904568520278E-2"/>
  </r>
  <r>
    <x v="34"/>
    <s v="SEN"/>
    <n v="13231849"/>
    <x v="11"/>
    <n v="0"/>
    <n v="13595565.499999993"/>
    <n v="0"/>
    <m/>
    <n v="0"/>
    <m/>
    <n v="0"/>
    <m/>
    <n v="0"/>
    <m/>
    <n v="0"/>
    <n v="15574908.999999998"/>
    <n v="0"/>
    <n v="5868"/>
    <m/>
    <n v="3647"/>
    <m/>
    <n v="0"/>
    <m/>
    <n v="16"/>
    <n v="17316449"/>
    <n v="0"/>
    <n v="5868"/>
    <n v="0"/>
    <n v="3647"/>
    <n v="16"/>
    <x v="0"/>
    <s v=""/>
    <n v="5868"/>
    <s v="2018 (triag)"/>
    <n v="16"/>
    <n v="2021"/>
    <x v="0"/>
    <n v="18.726598214499415"/>
    <n v="5868"/>
    <s v="Decreasing"/>
    <n v="2.5918907427795013E-2"/>
    <n v="7.7050082831477074E-2"/>
    <n v="5154.7536261311579"/>
    <n v="7393.9648657232856"/>
    <x v="0"/>
    <n v="3.7675982569143747"/>
    <n v="1.0814340870059107E-2"/>
  </r>
  <r>
    <x v="34"/>
    <s v="SEN"/>
    <n v="13231850"/>
    <x v="12"/>
    <n v="0"/>
    <n v="13595565.499999993"/>
    <n v="0"/>
    <m/>
    <n v="0"/>
    <m/>
    <n v="0"/>
    <m/>
    <n v="0"/>
    <m/>
    <n v="0"/>
    <n v="15574908.999999998"/>
    <n v="0"/>
    <n v="0"/>
    <m/>
    <n v="1722"/>
    <m/>
    <n v="0"/>
    <m/>
    <n v="344"/>
    <n v="17316449"/>
    <n v="0"/>
    <n v="0"/>
    <n v="0"/>
    <n v="1722"/>
    <n v="344"/>
    <x v="0"/>
    <s v=""/>
    <n v="1722"/>
    <n v="2019"/>
    <n v="344"/>
    <n v="2021"/>
    <x v="0"/>
    <n v="402.62186161173742"/>
    <n v="1722"/>
    <s v="Decreasing"/>
    <n v="2.5918907427795013E-2"/>
    <n v="7.7050082831477074E-2"/>
    <n v="0"/>
    <n v="0"/>
    <x v="0"/>
    <n v="1.1056244373562634"/>
    <n v="0.23250832870627078"/>
  </r>
  <r>
    <x v="34"/>
    <s v="SEN"/>
    <n v="13231851"/>
    <x v="13"/>
    <n v="0"/>
    <n v="13595565.499999993"/>
    <n v="546"/>
    <m/>
    <n v="0"/>
    <m/>
    <n v="0"/>
    <m/>
    <n v="37"/>
    <m/>
    <n v="0"/>
    <n v="15574908.999999998"/>
    <n v="0"/>
    <n v="328"/>
    <m/>
    <n v="0"/>
    <m/>
    <n v="323"/>
    <m/>
    <n v="14"/>
    <n v="17316449"/>
    <n v="252"/>
    <n v="328"/>
    <n v="546"/>
    <n v="37"/>
    <n v="323"/>
    <x v="80"/>
    <n v="2013"/>
    <n v="328"/>
    <s v="2018 (triag)"/>
    <n v="252"/>
    <n v="2022"/>
    <x v="0"/>
    <n v="294.94392187836576"/>
    <n v="328"/>
    <s v="Decreasing"/>
    <n v="2.5918907427795013E-2"/>
    <n v="7.7050082831477074E-2"/>
    <n v="288.132104528122"/>
    <n v="413.29592296476443"/>
    <x v="86"/>
    <n v="0.21059513092500254"/>
    <n v="0.17032586870343092"/>
  </r>
  <r>
    <x v="34"/>
    <s v="SEN"/>
    <n v="13231852"/>
    <x v="14"/>
    <n v="0"/>
    <n v="13595565.499999993"/>
    <n v="11"/>
    <m/>
    <n v="0"/>
    <m/>
    <n v="0"/>
    <m/>
    <n v="0"/>
    <m/>
    <n v="0"/>
    <n v="15574908.999999998"/>
    <n v="0"/>
    <n v="505"/>
    <m/>
    <n v="2352"/>
    <m/>
    <n v="662"/>
    <m/>
    <n v="917"/>
    <n v="17316449"/>
    <n v="1083"/>
    <n v="505"/>
    <n v="11"/>
    <n v="2352"/>
    <n v="1083"/>
    <x v="47"/>
    <n v="2013"/>
    <n v="505"/>
    <s v="2018 (triag)"/>
    <n v="1083"/>
    <n v="2022"/>
    <x v="1"/>
    <n v="1083"/>
    <n v="1083"/>
    <s v="Increasing"/>
    <n v="2.5918907427795013E-2"/>
    <n v="7.7050082831477074E-2"/>
    <n v="443.61802678872442"/>
    <n v="636.32451554026227"/>
    <x v="87"/>
    <n v="0.324239454625385"/>
    <n v="0.62541690851282505"/>
  </r>
  <r>
    <x v="34"/>
    <s v="SEN"/>
    <n v="13231853"/>
    <x v="15"/>
    <n v="0"/>
    <n v="13595565.499999993"/>
    <n v="11"/>
    <m/>
    <n v="0"/>
    <m/>
    <n v="0"/>
    <m/>
    <n v="0"/>
    <m/>
    <n v="0"/>
    <n v="15574908.999999998"/>
    <n v="0"/>
    <n v="0"/>
    <m/>
    <n v="0"/>
    <m/>
    <n v="98"/>
    <m/>
    <n v="0"/>
    <n v="17316449"/>
    <n v="94"/>
    <n v="0"/>
    <n v="11"/>
    <n v="0"/>
    <n v="98"/>
    <x v="47"/>
    <n v="2013"/>
    <m/>
    <s v=""/>
    <n v="94"/>
    <n v="2022"/>
    <x v="1"/>
    <n v="94"/>
    <n v="94"/>
    <s v="Increasing"/>
    <n v="2.5918907427795013E-2"/>
    <n v="7.7050082831477074E-2"/>
    <n v="0"/>
    <n v="0"/>
    <x v="87"/>
    <n v="0"/>
    <n v="5.4283646722258126E-2"/>
  </r>
  <r>
    <x v="34"/>
    <s v="SEN"/>
    <n v="13231854"/>
    <x v="16"/>
    <n v="0"/>
    <n v="13595565.499999993"/>
    <n v="0"/>
    <m/>
    <n v="0"/>
    <m/>
    <n v="0"/>
    <m/>
    <n v="0"/>
    <m/>
    <n v="0"/>
    <n v="15574908.999999998"/>
    <n v="0"/>
    <n v="0"/>
    <m/>
    <n v="402"/>
    <m/>
    <n v="491"/>
    <m/>
    <n v="173"/>
    <n v="17316449"/>
    <n v="543"/>
    <n v="0"/>
    <n v="0"/>
    <n v="402"/>
    <n v="543"/>
    <x v="0"/>
    <s v=""/>
    <n v="402"/>
    <n v="2019"/>
    <n v="543"/>
    <n v="2022"/>
    <x v="1"/>
    <n v="543"/>
    <n v="543"/>
    <s v="Increasing"/>
    <n v="2.5918907427795013E-2"/>
    <n v="7.7050082831477074E-2"/>
    <n v="0"/>
    <n v="0"/>
    <x v="0"/>
    <n v="0.25810744704832628"/>
    <n v="0.31357468266155492"/>
  </r>
  <r>
    <x v="34"/>
    <s v="SEN"/>
    <n v="13231855"/>
    <x v="17"/>
    <n v="0"/>
    <n v="13595565.499999993"/>
    <n v="0"/>
    <m/>
    <n v="0"/>
    <m/>
    <n v="0"/>
    <m/>
    <n v="0"/>
    <m/>
    <n v="0"/>
    <n v="15574908.999999998"/>
    <n v="0"/>
    <n v="0"/>
    <m/>
    <n v="2"/>
    <m/>
    <n v="1"/>
    <m/>
    <n v="0"/>
    <n v="17316449"/>
    <n v="0"/>
    <n v="0"/>
    <n v="0"/>
    <n v="2"/>
    <n v="1"/>
    <x v="0"/>
    <s v=""/>
    <n v="2"/>
    <n v="2019"/>
    <n v="1"/>
    <n v="2020"/>
    <x v="0"/>
    <n v="1.1704123884062134"/>
    <n v="2"/>
    <s v="Decreasing"/>
    <n v="2.5918907427795013E-2"/>
    <n v="7.7050082831477074E-2"/>
    <n v="0"/>
    <n v="0"/>
    <x v="0"/>
    <n v="1.2841166519817228E-3"/>
    <n v="6.7589630437869417E-4"/>
  </r>
  <r>
    <x v="34"/>
    <s v="SEN"/>
    <n v="13231856"/>
    <x v="18"/>
    <n v="0"/>
    <n v="13595565.499999993"/>
    <n v="54"/>
    <m/>
    <n v="0"/>
    <m/>
    <n v="0"/>
    <m/>
    <n v="0"/>
    <m/>
    <n v="0"/>
    <n v="15574908.999999998"/>
    <n v="0"/>
    <n v="0"/>
    <m/>
    <n v="0"/>
    <m/>
    <n v="0"/>
    <m/>
    <n v="0"/>
    <n v="17316449"/>
    <n v="0"/>
    <n v="0"/>
    <n v="54"/>
    <n v="0"/>
    <n v="0"/>
    <x v="81"/>
    <n v="2013"/>
    <m/>
    <s v=""/>
    <n v="0"/>
    <s v=""/>
    <x v="1"/>
    <m/>
    <n v="0"/>
    <s v="No change"/>
    <n v="2.5918907427795013E-2"/>
    <n v="7.7050082831477074E-2"/>
    <n v="0"/>
    <n v="0"/>
    <x v="88"/>
    <n v="0"/>
    <n v="0"/>
  </r>
  <r>
    <x v="35"/>
    <s v="SLE"/>
    <n v="6788592.5"/>
    <x v="0"/>
    <n v="0"/>
    <n v="6964858.4999999972"/>
    <n v="0"/>
    <m/>
    <n v="0"/>
    <m/>
    <n v="0"/>
    <m/>
    <n v="14622"/>
    <m/>
    <n v="0"/>
    <n v="7861281"/>
    <n v="0"/>
    <n v="505"/>
    <m/>
    <n v="15000"/>
    <m/>
    <n v="13966"/>
    <m/>
    <n v="0"/>
    <n v="8605718.0000000056"/>
    <n v="0"/>
    <n v="505"/>
    <n v="0"/>
    <n v="15000"/>
    <n v="13966"/>
    <x v="0"/>
    <s v=""/>
    <n v="505"/>
    <s v="2018 (triag)"/>
    <n v="13966"/>
    <n v="2020"/>
    <x v="1"/>
    <n v="13966"/>
    <n v="13966"/>
    <s v="Increasing"/>
    <n v="-0.11784850836422744"/>
    <n v="0.29117585098474064"/>
    <n v="910.32435593508387"/>
    <n v="1209.6495665580298"/>
    <x v="0"/>
    <n v="0.64238894399017155"/>
    <n v="16.228744655588287"/>
  </r>
  <r>
    <x v="35"/>
    <s v="SLE"/>
    <n v="6788593.5"/>
    <x v="1"/>
    <n v="0"/>
    <n v="6964858.4999999972"/>
    <n v="0"/>
    <m/>
    <n v="0"/>
    <m/>
    <n v="0"/>
    <m/>
    <n v="0"/>
    <m/>
    <n v="0"/>
    <n v="7861281"/>
    <n v="0"/>
    <n v="103"/>
    <m/>
    <n v="0"/>
    <m/>
    <n v="0"/>
    <m/>
    <n v="120"/>
    <n v="8605718.0000000056"/>
    <n v="120"/>
    <n v="103"/>
    <n v="0"/>
    <n v="0"/>
    <n v="120"/>
    <x v="0"/>
    <s v=""/>
    <n v="103"/>
    <s v="2018 (triag)"/>
    <n v="120"/>
    <n v="2021"/>
    <x v="1"/>
    <n v="120"/>
    <n v="120"/>
    <s v="Increasing"/>
    <n v="-0.11784850836422744"/>
    <n v="0.29117585098474064"/>
    <n v="185.67011616101709"/>
    <n v="246.72060466431103"/>
    <x v="0"/>
    <n v="0.13102190342769837"/>
    <n v="0.13944217089149322"/>
  </r>
  <r>
    <x v="35"/>
    <s v="SLE"/>
    <n v="6788594.5"/>
    <x v="2"/>
    <n v="0"/>
    <n v="6964858.4999999972"/>
    <n v="0"/>
    <m/>
    <n v="0"/>
    <m/>
    <n v="0"/>
    <m/>
    <n v="0"/>
    <m/>
    <n v="0"/>
    <n v="7861281"/>
    <n v="0"/>
    <n v="406"/>
    <m/>
    <n v="0"/>
    <m/>
    <n v="0"/>
    <m/>
    <n v="790"/>
    <n v="8605718.0000000056"/>
    <n v="0"/>
    <n v="406"/>
    <n v="0"/>
    <n v="0"/>
    <n v="790"/>
    <x v="0"/>
    <s v=""/>
    <n v="406"/>
    <s v="2018 (triag)"/>
    <n v="790"/>
    <n v="2021"/>
    <x v="1"/>
    <n v="790"/>
    <n v="790"/>
    <s v="Increasing"/>
    <n v="-0.11784850836422744"/>
    <n v="0.29117585098474064"/>
    <n v="731.86472972206741"/>
    <n v="972.51034459912887"/>
    <x v="0"/>
    <n v="0.51645526982180134"/>
    <n v="0.91799429170233038"/>
  </r>
  <r>
    <x v="35"/>
    <s v="SLE"/>
    <n v="6788595.5"/>
    <x v="3"/>
    <n v="0"/>
    <n v="6964858.4999999972"/>
    <n v="0"/>
    <m/>
    <n v="0"/>
    <m/>
    <n v="0"/>
    <m/>
    <n v="0"/>
    <m/>
    <n v="0"/>
    <n v="7861281"/>
    <n v="0"/>
    <n v="0"/>
    <m/>
    <n v="0"/>
    <m/>
    <n v="2251"/>
    <m/>
    <n v="0"/>
    <n v="8605718.0000000056"/>
    <n v="0"/>
    <n v="0"/>
    <n v="0"/>
    <n v="0"/>
    <n v="2251"/>
    <x v="0"/>
    <s v=""/>
    <m/>
    <s v=""/>
    <n v="2251"/>
    <n v="2020"/>
    <x v="1"/>
    <n v="2251"/>
    <n v="2251"/>
    <s v="Increasing"/>
    <n v="-0.11784850836422744"/>
    <n v="0.29117585098474064"/>
    <n v="0"/>
    <n v="0"/>
    <x v="0"/>
    <n v="0"/>
    <n v="2.6157027223062603"/>
  </r>
  <r>
    <x v="35"/>
    <s v="SLE"/>
    <n v="6788596.5"/>
    <x v="4"/>
    <n v="0"/>
    <n v="6964858.4999999972"/>
    <n v="0"/>
    <m/>
    <n v="0"/>
    <m/>
    <n v="0"/>
    <m/>
    <n v="0"/>
    <m/>
    <n v="0"/>
    <n v="7861281"/>
    <n v="0"/>
    <n v="0"/>
    <m/>
    <n v="93"/>
    <m/>
    <n v="487"/>
    <m/>
    <n v="0"/>
    <n v="8605718.0000000056"/>
    <n v="0"/>
    <n v="0"/>
    <n v="0"/>
    <n v="93"/>
    <n v="487"/>
    <x v="0"/>
    <s v=""/>
    <n v="93"/>
    <n v="2019"/>
    <n v="487"/>
    <n v="2020"/>
    <x v="1"/>
    <n v="487"/>
    <n v="487"/>
    <s v="Increasing"/>
    <n v="-0.11784850836422744"/>
    <n v="0.29117585098474064"/>
    <n v="0"/>
    <n v="0"/>
    <x v="0"/>
    <n v="0.11830133027937813"/>
    <n v="0.56590281020130995"/>
  </r>
  <r>
    <x v="35"/>
    <s v="SLE"/>
    <n v="6788597.5"/>
    <x v="5"/>
    <n v="0"/>
    <n v="6964858.4999999972"/>
    <n v="0"/>
    <m/>
    <n v="0"/>
    <m/>
    <n v="0"/>
    <m/>
    <n v="0"/>
    <m/>
    <n v="0"/>
    <n v="7861281"/>
    <n v="0"/>
    <n v="128"/>
    <m/>
    <n v="25"/>
    <m/>
    <n v="530"/>
    <m/>
    <n v="0"/>
    <n v="8605718.0000000056"/>
    <n v="13"/>
    <n v="128"/>
    <n v="0"/>
    <n v="25"/>
    <n v="530"/>
    <x v="0"/>
    <s v=""/>
    <n v="128"/>
    <s v="2018 (triag)"/>
    <n v="13"/>
    <n v="2022"/>
    <x v="0"/>
    <n v="14.940882376165398"/>
    <n v="128"/>
    <s v="Decreasing"/>
    <n v="-0.11784850836422744"/>
    <n v="0.29117585098474064"/>
    <n v="230.73567833602124"/>
    <n v="306.60424657312439"/>
    <x v="0"/>
    <n v="0.16282333629849893"/>
    <n v="1.7361575613057956E-2"/>
  </r>
  <r>
    <x v="35"/>
    <s v="SLE"/>
    <n v="6788598.5"/>
    <x v="6"/>
    <n v="0"/>
    <n v="6964858.4999999972"/>
    <n v="0"/>
    <m/>
    <n v="0"/>
    <m/>
    <n v="0"/>
    <m/>
    <n v="0"/>
    <m/>
    <n v="0"/>
    <n v="7861281"/>
    <n v="311"/>
    <n v="311"/>
    <m/>
    <n v="0"/>
    <m/>
    <n v="114"/>
    <m/>
    <n v="0"/>
    <n v="8605718.0000000056"/>
    <n v="20"/>
    <n v="0"/>
    <n v="0"/>
    <n v="311"/>
    <n v="114"/>
    <x v="0"/>
    <s v=""/>
    <n v="311"/>
    <n v="2018"/>
    <n v="20"/>
    <n v="2022"/>
    <x v="0"/>
    <n v="22.985972886408305"/>
    <n v="311"/>
    <s v="Decreasing"/>
    <n v="-0.11784850836422744"/>
    <n v="0.29117585098474064"/>
    <n v="0"/>
    <n v="0"/>
    <x v="0"/>
    <n v="0.39560982491275914"/>
    <n v="2.6710116327781471E-2"/>
  </r>
  <r>
    <x v="35"/>
    <s v="SLE"/>
    <n v="6788599.5"/>
    <x v="7"/>
    <n v="0"/>
    <n v="6964858.4999999972"/>
    <n v="0"/>
    <m/>
    <n v="0"/>
    <m/>
    <n v="0"/>
    <m/>
    <n v="0"/>
    <m/>
    <n v="0"/>
    <n v="7861281"/>
    <n v="0"/>
    <n v="0"/>
    <m/>
    <n v="0"/>
    <m/>
    <n v="0"/>
    <m/>
    <n v="0"/>
    <n v="8605718.0000000056"/>
    <n v="0"/>
    <n v="0"/>
    <n v="0"/>
    <n v="0"/>
    <n v="0"/>
    <x v="0"/>
    <s v=""/>
    <m/>
    <s v=""/>
    <n v="0"/>
    <s v=""/>
    <x v="1"/>
    <m/>
    <n v="0"/>
    <s v="No change"/>
    <n v="-0.11784850836422744"/>
    <n v="0.29117585098474064"/>
    <n v="0"/>
    <n v="0"/>
    <x v="0"/>
    <n v="0"/>
    <n v="0"/>
  </r>
  <r>
    <x v="35"/>
    <s v="SLE"/>
    <n v="6788600.5"/>
    <x v="8"/>
    <n v="0"/>
    <n v="6964858.4999999972"/>
    <n v="0"/>
    <m/>
    <n v="0"/>
    <m/>
    <n v="0"/>
    <m/>
    <n v="0"/>
    <m/>
    <n v="0"/>
    <n v="7861281"/>
    <n v="0"/>
    <n v="22"/>
    <m/>
    <n v="36"/>
    <m/>
    <n v="0"/>
    <m/>
    <n v="0"/>
    <n v="8605718.0000000056"/>
    <n v="50"/>
    <n v="22"/>
    <n v="0"/>
    <n v="36"/>
    <n v="50"/>
    <x v="0"/>
    <s v=""/>
    <n v="22"/>
    <s v="2018 (triag)"/>
    <n v="50"/>
    <n v="2022"/>
    <x v="1"/>
    <n v="50"/>
    <n v="50"/>
    <s v="Increasing"/>
    <n v="-0.11784850836422744"/>
    <n v="0.29117585098474064"/>
    <n v="39.657694714003654"/>
    <n v="52.697604879755751"/>
    <x v="0"/>
    <n v="2.7985260926304503E-2"/>
    <n v="5.8100904538122174E-2"/>
  </r>
  <r>
    <x v="35"/>
    <s v="SLE"/>
    <n v="6788601.5"/>
    <x v="9"/>
    <n v="0"/>
    <n v="6964858.4999999972"/>
    <n v="0"/>
    <m/>
    <n v="0"/>
    <m/>
    <n v="0"/>
    <m/>
    <n v="0"/>
    <m/>
    <n v="0"/>
    <n v="7861281"/>
    <n v="0"/>
    <n v="0"/>
    <m/>
    <n v="64"/>
    <m/>
    <n v="0"/>
    <m/>
    <n v="0"/>
    <n v="8605718.0000000056"/>
    <n v="195"/>
    <n v="0"/>
    <n v="0"/>
    <n v="64"/>
    <n v="195"/>
    <x v="0"/>
    <s v=""/>
    <n v="64"/>
    <n v="2019"/>
    <n v="195"/>
    <n v="2022"/>
    <x v="1"/>
    <n v="195"/>
    <n v="195"/>
    <s v="Increasing"/>
    <n v="-0.11784850836422744"/>
    <n v="0.29117585098474064"/>
    <n v="0"/>
    <n v="0"/>
    <x v="0"/>
    <n v="8.1411668149249466E-2"/>
    <n v="0.22659352769867647"/>
  </r>
  <r>
    <x v="35"/>
    <s v="SLE"/>
    <n v="6788602.5"/>
    <x v="10"/>
    <n v="0"/>
    <n v="6964858.4999999972"/>
    <n v="0"/>
    <m/>
    <n v="0"/>
    <m/>
    <n v="0"/>
    <m/>
    <n v="0"/>
    <m/>
    <n v="0"/>
    <n v="7861281"/>
    <n v="0"/>
    <n v="13"/>
    <m/>
    <n v="15"/>
    <m/>
    <n v="1"/>
    <m/>
    <n v="0"/>
    <n v="8605718.0000000056"/>
    <n v="2"/>
    <n v="13"/>
    <n v="0"/>
    <n v="15"/>
    <n v="2"/>
    <x v="0"/>
    <s v=""/>
    <n v="13"/>
    <s v="2018 (triag)"/>
    <n v="2"/>
    <n v="2022"/>
    <x v="0"/>
    <n v="2.2985972886408303"/>
    <n v="13"/>
    <s v="Decreasing"/>
    <n v="-0.11784850836422744"/>
    <n v="0.29117585098474064"/>
    <n v="23.434092331002159"/>
    <n v="31.139493792582947"/>
    <x v="0"/>
    <n v="1.6536745092816298E-2"/>
    <n v="2.6710116327781472E-3"/>
  </r>
  <r>
    <x v="35"/>
    <s v="SLE"/>
    <n v="6788603.5"/>
    <x v="11"/>
    <n v="0"/>
    <n v="6964858.4999999972"/>
    <n v="0"/>
    <m/>
    <n v="0"/>
    <m/>
    <n v="0"/>
    <m/>
    <n v="0"/>
    <m/>
    <n v="0"/>
    <n v="7861281"/>
    <n v="0"/>
    <n v="0"/>
    <m/>
    <n v="0"/>
    <m/>
    <n v="0"/>
    <m/>
    <n v="0"/>
    <n v="8605718.0000000056"/>
    <n v="0"/>
    <n v="0"/>
    <n v="0"/>
    <n v="0"/>
    <n v="0"/>
    <x v="0"/>
    <s v=""/>
    <m/>
    <s v=""/>
    <n v="0"/>
    <s v=""/>
    <x v="1"/>
    <m/>
    <n v="0"/>
    <s v="No change"/>
    <n v="-0.11784850836422744"/>
    <n v="0.29117585098474064"/>
    <n v="0"/>
    <n v="0"/>
    <x v="0"/>
    <n v="0"/>
    <n v="0"/>
  </r>
  <r>
    <x v="35"/>
    <s v="SLE"/>
    <n v="6788604.5"/>
    <x v="12"/>
    <n v="0"/>
    <n v="6964858.4999999972"/>
    <n v="0"/>
    <m/>
    <n v="0"/>
    <m/>
    <n v="0"/>
    <m/>
    <n v="0"/>
    <m/>
    <n v="0"/>
    <n v="7861281"/>
    <n v="0"/>
    <n v="0"/>
    <m/>
    <n v="0"/>
    <m/>
    <n v="0"/>
    <m/>
    <n v="0"/>
    <n v="8605718.0000000056"/>
    <n v="0"/>
    <n v="0"/>
    <n v="0"/>
    <n v="0"/>
    <n v="0"/>
    <x v="0"/>
    <s v=""/>
    <m/>
    <s v=""/>
    <n v="0"/>
    <s v=""/>
    <x v="1"/>
    <m/>
    <n v="0"/>
    <s v="No change"/>
    <n v="-0.11784850836422744"/>
    <n v="0.29117585098474064"/>
    <n v="0"/>
    <n v="0"/>
    <x v="0"/>
    <n v="0"/>
    <n v="0"/>
  </r>
  <r>
    <x v="35"/>
    <s v="SLE"/>
    <n v="6788605.5"/>
    <x v="13"/>
    <n v="0"/>
    <n v="6964858.4999999972"/>
    <n v="0"/>
    <m/>
    <n v="0"/>
    <m/>
    <n v="0"/>
    <m/>
    <n v="0"/>
    <m/>
    <n v="0"/>
    <n v="7861281"/>
    <n v="0"/>
    <n v="311"/>
    <m/>
    <n v="342"/>
    <m/>
    <n v="0"/>
    <m/>
    <n v="0"/>
    <n v="8605718.0000000056"/>
    <n v="298"/>
    <n v="311"/>
    <n v="0"/>
    <n v="342"/>
    <n v="298"/>
    <x v="0"/>
    <s v=""/>
    <n v="311"/>
    <s v="2018 (triag)"/>
    <n v="298"/>
    <n v="2022"/>
    <x v="0"/>
    <n v="342.49099600748372"/>
    <n v="342.49099600748372"/>
    <s v="Increasing"/>
    <n v="-0.11784850836422744"/>
    <n v="0.29117585098474064"/>
    <n v="560.61559345705166"/>
    <n v="744.9525053456382"/>
    <x v="0"/>
    <n v="0.39560982491275914"/>
    <n v="0.3979807332839439"/>
  </r>
  <r>
    <x v="35"/>
    <s v="SLE"/>
    <n v="6788606.5"/>
    <x v="14"/>
    <n v="0"/>
    <n v="6964858.4999999972"/>
    <n v="0"/>
    <m/>
    <n v="0"/>
    <m/>
    <n v="0"/>
    <m/>
    <n v="0"/>
    <m/>
    <n v="0"/>
    <n v="7861281"/>
    <n v="0"/>
    <n v="0"/>
    <m/>
    <n v="319"/>
    <m/>
    <n v="650"/>
    <m/>
    <n v="0"/>
    <n v="8605718.0000000056"/>
    <n v="0"/>
    <n v="0"/>
    <n v="0"/>
    <n v="319"/>
    <n v="650"/>
    <x v="0"/>
    <s v=""/>
    <n v="319"/>
    <n v="2019"/>
    <n v="650"/>
    <n v="2020"/>
    <x v="1"/>
    <n v="650"/>
    <n v="650"/>
    <s v="Increasing"/>
    <n v="-0.11784850836422744"/>
    <n v="0.29117585098474064"/>
    <n v="0"/>
    <n v="0"/>
    <x v="0"/>
    <n v="0.40578628343141532"/>
    <n v="0.75531175899558822"/>
  </r>
  <r>
    <x v="35"/>
    <s v="SLE"/>
    <n v="6788607.5"/>
    <x v="15"/>
    <n v="0"/>
    <n v="6964858.4999999972"/>
    <n v="0"/>
    <m/>
    <n v="0"/>
    <m/>
    <n v="0"/>
    <m/>
    <n v="0"/>
    <m/>
    <n v="0"/>
    <n v="7861281"/>
    <n v="0"/>
    <n v="13"/>
    <m/>
    <n v="8"/>
    <m/>
    <n v="6"/>
    <m/>
    <n v="0"/>
    <n v="8605718.0000000056"/>
    <n v="6"/>
    <n v="13"/>
    <n v="0"/>
    <n v="8"/>
    <n v="6"/>
    <x v="0"/>
    <s v=""/>
    <n v="13"/>
    <s v="2018 (triag)"/>
    <n v="6"/>
    <n v="2020"/>
    <x v="0"/>
    <n v="6.895791865922491"/>
    <n v="13"/>
    <s v="Decreasing"/>
    <n v="-0.11784850836422744"/>
    <n v="0.29117585098474064"/>
    <n v="23.434092331002159"/>
    <n v="31.139493792582947"/>
    <x v="0"/>
    <n v="1.6536745092816298E-2"/>
    <n v="8.013034898334442E-3"/>
  </r>
  <r>
    <x v="35"/>
    <s v="SLE"/>
    <n v="6788608.5"/>
    <x v="16"/>
    <n v="0"/>
    <n v="6964858.4999999972"/>
    <n v="0"/>
    <m/>
    <n v="1511"/>
    <m/>
    <n v="0"/>
    <m/>
    <n v="0"/>
    <m/>
    <n v="0"/>
    <n v="7861281"/>
    <n v="0"/>
    <n v="0"/>
    <m/>
    <n v="0"/>
    <m/>
    <n v="0"/>
    <m/>
    <n v="0"/>
    <n v="8605718.0000000056"/>
    <n v="0"/>
    <n v="0"/>
    <n v="1511"/>
    <n v="0"/>
    <n v="0"/>
    <x v="82"/>
    <n v="2014"/>
    <m/>
    <s v=""/>
    <n v="0"/>
    <s v=""/>
    <x v="1"/>
    <m/>
    <n v="0"/>
    <s v="No change"/>
    <n v="-0.11784850836422744"/>
    <n v="0.29117585098474064"/>
    <n v="0"/>
    <n v="0"/>
    <x v="89"/>
    <n v="0"/>
    <n v="0"/>
  </r>
  <r>
    <x v="35"/>
    <s v="SLE"/>
    <n v="6788609.5"/>
    <x v="17"/>
    <n v="0"/>
    <n v="6964858.4999999972"/>
    <n v="0"/>
    <m/>
    <n v="0"/>
    <m/>
    <n v="0"/>
    <m/>
    <n v="0"/>
    <m/>
    <n v="0"/>
    <n v="7861281"/>
    <n v="0"/>
    <n v="0"/>
    <m/>
    <n v="0"/>
    <m/>
    <n v="0"/>
    <m/>
    <n v="0"/>
    <n v="8605718.0000000056"/>
    <n v="0"/>
    <n v="0"/>
    <n v="0"/>
    <n v="0"/>
    <n v="0"/>
    <x v="0"/>
    <s v=""/>
    <m/>
    <s v=""/>
    <n v="0"/>
    <s v=""/>
    <x v="1"/>
    <m/>
    <n v="0"/>
    <s v="No change"/>
    <n v="-0.11784850836422744"/>
    <n v="0.29117585098474064"/>
    <n v="0"/>
    <n v="0"/>
    <x v="0"/>
    <n v="0"/>
    <n v="0"/>
  </r>
  <r>
    <x v="35"/>
    <s v="SLE"/>
    <n v="6788610.5"/>
    <x v="18"/>
    <n v="0"/>
    <n v="6964858.4999999972"/>
    <n v="0"/>
    <m/>
    <n v="3046"/>
    <m/>
    <n v="0"/>
    <m/>
    <n v="0"/>
    <m/>
    <n v="0"/>
    <n v="7861281"/>
    <n v="0"/>
    <n v="0"/>
    <m/>
    <n v="0"/>
    <m/>
    <n v="0"/>
    <m/>
    <n v="0"/>
    <n v="8605718.0000000056"/>
    <n v="0"/>
    <n v="0"/>
    <n v="3046"/>
    <n v="0"/>
    <n v="0"/>
    <x v="83"/>
    <n v="2014"/>
    <m/>
    <s v=""/>
    <n v="0"/>
    <s v=""/>
    <x v="1"/>
    <m/>
    <n v="0"/>
    <s v="No change"/>
    <n v="-0.11784850836422744"/>
    <n v="0.29117585098474064"/>
    <n v="0"/>
    <n v="0"/>
    <x v="90"/>
    <n v="0"/>
    <n v="0"/>
  </r>
  <r>
    <x v="36"/>
    <s v="SSD"/>
    <n v="10701609.5"/>
    <x v="0"/>
    <n v="0"/>
    <n v="11106031.000000004"/>
    <n v="0"/>
    <m/>
    <n v="0"/>
    <m/>
    <n v="0"/>
    <m/>
    <n v="0"/>
    <m/>
    <n v="0"/>
    <n v="10395329.5"/>
    <n v="1455"/>
    <n v="1455"/>
    <m/>
    <n v="850"/>
    <m/>
    <n v="2826"/>
    <m/>
    <n v="0"/>
    <n v="10913163.5"/>
    <n v="0"/>
    <n v="1455"/>
    <n v="0"/>
    <n v="1455"/>
    <n v="2826"/>
    <x v="0"/>
    <s v=""/>
    <n v="1455"/>
    <n v="2018"/>
    <n v="2826"/>
    <n v="2020"/>
    <x v="1"/>
    <n v="2826"/>
    <n v="2826"/>
    <s v="Increasing"/>
    <n v="0.25992104989487319"/>
    <n v="5.4673730437993617E-2"/>
    <n v="396.69032167382431"/>
    <n v="1714.3381571531409"/>
    <x v="0"/>
    <n v="1.3996670331613827"/>
    <n v="2.5895332732804746"/>
  </r>
  <r>
    <x v="36"/>
    <s v="SSD"/>
    <n v="10701610.5"/>
    <x v="1"/>
    <n v="0"/>
    <n v="11106031.000000004"/>
    <n v="0"/>
    <m/>
    <n v="0"/>
    <m/>
    <n v="0"/>
    <m/>
    <n v="0"/>
    <m/>
    <n v="0"/>
    <n v="10395329.5"/>
    <n v="0"/>
    <n v="22"/>
    <m/>
    <n v="0"/>
    <m/>
    <n v="0"/>
    <m/>
    <n v="0"/>
    <n v="10913163.5"/>
    <n v="0"/>
    <n v="22"/>
    <n v="0"/>
    <n v="0"/>
    <n v="0"/>
    <x v="0"/>
    <s v=""/>
    <n v="22"/>
    <s v="2018 (triag)"/>
    <n v="22"/>
    <s v="2018 (triag)"/>
    <x v="1"/>
    <n v="22"/>
    <n v="22"/>
    <s v="No change"/>
    <n v="0.25992104989487319"/>
    <n v="5.4673730437993617E-2"/>
    <n v="5.9980667194667587"/>
    <n v="25.921264231868797"/>
    <x v="0"/>
    <n v="2.1163350329587917E-2"/>
    <n v="2.0159140839409215E-2"/>
  </r>
  <r>
    <x v="36"/>
    <s v="SSD"/>
    <n v="10701611.5"/>
    <x v="2"/>
    <n v="0"/>
    <n v="11106031.000000004"/>
    <n v="0"/>
    <m/>
    <n v="0"/>
    <m/>
    <n v="0"/>
    <m/>
    <n v="0"/>
    <m/>
    <n v="3435"/>
    <n v="10395329.5"/>
    <n v="0"/>
    <n v="250"/>
    <m/>
    <n v="0"/>
    <m/>
    <n v="0"/>
    <m/>
    <n v="0"/>
    <n v="10913163.5"/>
    <n v="0"/>
    <n v="250"/>
    <n v="0"/>
    <n v="3435"/>
    <n v="0"/>
    <x v="0"/>
    <s v=""/>
    <n v="250"/>
    <s v="2018 (triag)"/>
    <n v="250"/>
    <s v="2018 (triag)"/>
    <x v="1"/>
    <n v="250"/>
    <n v="250"/>
    <s v="No change"/>
    <n v="0.25992104989487319"/>
    <n v="5.4673730437993617E-2"/>
    <n v="68.15984908484954"/>
    <n v="294.55982081669083"/>
    <x v="0"/>
    <n v="0.24049261738168087"/>
    <n v="0.22908114590237744"/>
  </r>
  <r>
    <x v="36"/>
    <s v="SSD"/>
    <n v="10701612.5"/>
    <x v="3"/>
    <n v="0"/>
    <n v="11106031.000000004"/>
    <n v="0"/>
    <m/>
    <n v="0"/>
    <m/>
    <n v="0"/>
    <m/>
    <n v="0"/>
    <m/>
    <n v="0"/>
    <n v="10395329.5"/>
    <n v="0"/>
    <n v="0"/>
    <m/>
    <n v="5870"/>
    <m/>
    <n v="0"/>
    <m/>
    <n v="0"/>
    <n v="10913163.5"/>
    <n v="0"/>
    <n v="0"/>
    <n v="0"/>
    <n v="5870"/>
    <n v="0"/>
    <x v="0"/>
    <s v=""/>
    <n v="5870"/>
    <n v="2019"/>
    <n v="5870"/>
    <n v="2019"/>
    <x v="1"/>
    <n v="5870"/>
    <n v="5870"/>
    <s v="No change"/>
    <n v="0.25992104989487319"/>
    <n v="5.4673730437993617E-2"/>
    <n v="0"/>
    <n v="0"/>
    <x v="0"/>
    <n v="5.6467666561218675"/>
    <n v="5.3788253057878226"/>
  </r>
  <r>
    <x v="36"/>
    <s v="SSD"/>
    <n v="10701613.5"/>
    <x v="4"/>
    <n v="0"/>
    <n v="11106031.000000004"/>
    <n v="0"/>
    <m/>
    <n v="0"/>
    <m/>
    <n v="0"/>
    <m/>
    <n v="0"/>
    <m/>
    <n v="0"/>
    <n v="10395329.5"/>
    <n v="0"/>
    <n v="20"/>
    <m/>
    <n v="0"/>
    <m/>
    <n v="0"/>
    <m/>
    <n v="0"/>
    <n v="10913163.5"/>
    <n v="0"/>
    <n v="20"/>
    <n v="0"/>
    <n v="0"/>
    <n v="0"/>
    <x v="0"/>
    <s v=""/>
    <n v="20"/>
    <s v="2018 (triag)"/>
    <n v="20"/>
    <s v="2018 (triag)"/>
    <x v="1"/>
    <n v="20"/>
    <n v="20"/>
    <s v="No change"/>
    <n v="0.25992104989487319"/>
    <n v="5.4673730437993617E-2"/>
    <n v="5.4527879267879626"/>
    <n v="23.564785665335268"/>
    <x v="0"/>
    <n v="1.9239409390534472E-2"/>
    <n v="1.8326491672190196E-2"/>
  </r>
  <r>
    <x v="36"/>
    <s v="SSD"/>
    <n v="10701614.5"/>
    <x v="5"/>
    <n v="0"/>
    <n v="11106031.000000004"/>
    <n v="0"/>
    <m/>
    <n v="0"/>
    <m/>
    <n v="0"/>
    <m/>
    <n v="0"/>
    <m/>
    <n v="0"/>
    <n v="10395329.5"/>
    <n v="2"/>
    <n v="21"/>
    <m/>
    <n v="0"/>
    <m/>
    <n v="0"/>
    <m/>
    <n v="0"/>
    <n v="10913163.5"/>
    <n v="0"/>
    <n v="21"/>
    <n v="0"/>
    <n v="2"/>
    <n v="0"/>
    <x v="0"/>
    <s v=""/>
    <n v="21"/>
    <s v="2018 (triag)"/>
    <n v="21"/>
    <s v="2018 (triag)"/>
    <x v="1"/>
    <n v="21"/>
    <n v="21"/>
    <s v="No change"/>
    <n v="0.25992104989487319"/>
    <n v="5.4673730437993617E-2"/>
    <n v="5.7254273231273611"/>
    <n v="24.743024948602031"/>
    <x v="0"/>
    <n v="2.0201379860061194E-2"/>
    <n v="1.9242816255799704E-2"/>
  </r>
  <r>
    <x v="36"/>
    <s v="SSD"/>
    <n v="10701615.5"/>
    <x v="6"/>
    <n v="0"/>
    <n v="11106031.000000004"/>
    <n v="0"/>
    <m/>
    <n v="0"/>
    <m/>
    <n v="0"/>
    <m/>
    <n v="0"/>
    <m/>
    <n v="0"/>
    <n v="10395329.5"/>
    <n v="272"/>
    <n v="272"/>
    <m/>
    <n v="485"/>
    <m/>
    <n v="635"/>
    <m/>
    <n v="0"/>
    <n v="10913163.5"/>
    <n v="0"/>
    <n v="16"/>
    <n v="0"/>
    <n v="485"/>
    <n v="635"/>
    <x v="0"/>
    <s v=""/>
    <n v="272"/>
    <n v="2018"/>
    <n v="635"/>
    <n v="2020"/>
    <x v="1"/>
    <n v="635"/>
    <n v="635"/>
    <s v="Increasing"/>
    <n v="0.25992104989487319"/>
    <n v="5.4673730437993617E-2"/>
    <n v="4.3622303414303705"/>
    <n v="18.851828532268215"/>
    <x v="0"/>
    <n v="0.26165596771126881"/>
    <n v="0.58186611059203874"/>
  </r>
  <r>
    <x v="36"/>
    <s v="SSD"/>
    <n v="10701616.5"/>
    <x v="7"/>
    <n v="0"/>
    <n v="11106031.000000004"/>
    <n v="0"/>
    <m/>
    <n v="0"/>
    <m/>
    <n v="0"/>
    <m/>
    <n v="0"/>
    <m/>
    <n v="0"/>
    <n v="10395329.5"/>
    <n v="0"/>
    <n v="1306"/>
    <m/>
    <n v="0"/>
    <m/>
    <n v="0"/>
    <m/>
    <n v="0"/>
    <n v="10913163.5"/>
    <n v="0"/>
    <n v="1306"/>
    <n v="0"/>
    <n v="0"/>
    <n v="0"/>
    <x v="0"/>
    <s v=""/>
    <n v="1306"/>
    <s v="2018 (triag)"/>
    <n v="1306"/>
    <s v="2018 (triag)"/>
    <x v="1"/>
    <n v="1306"/>
    <n v="1306"/>
    <s v="No change"/>
    <n v="0.25992104989487319"/>
    <n v="5.4673730437993617E-2"/>
    <n v="356.06705161925396"/>
    <n v="1538.7805039463931"/>
    <x v="0"/>
    <n v="1.2563334332019009"/>
    <n v="1.1967199061940197"/>
  </r>
  <r>
    <x v="36"/>
    <s v="SSD"/>
    <n v="10701617.5"/>
    <x v="8"/>
    <n v="0"/>
    <n v="11106031.000000004"/>
    <n v="0"/>
    <m/>
    <n v="0"/>
    <m/>
    <n v="0"/>
    <m/>
    <n v="0"/>
    <m/>
    <n v="0"/>
    <n v="10395329.5"/>
    <n v="0"/>
    <n v="6"/>
    <m/>
    <n v="13"/>
    <m/>
    <n v="16"/>
    <m/>
    <n v="0"/>
    <n v="10913163.5"/>
    <n v="0"/>
    <n v="6"/>
    <n v="0"/>
    <n v="13"/>
    <n v="16"/>
    <x v="0"/>
    <s v=""/>
    <n v="6"/>
    <s v="2018 (triag)"/>
    <n v="16"/>
    <n v="2020"/>
    <x v="1"/>
    <n v="16"/>
    <n v="16"/>
    <s v="Increasing"/>
    <n v="0.25992104989487319"/>
    <n v="5.4673730437993617E-2"/>
    <n v="1.6358363780363889"/>
    <n v="7.0694356996005805"/>
    <x v="0"/>
    <n v="5.7718228171603414E-3"/>
    <n v="1.4661193337752156E-2"/>
  </r>
  <r>
    <x v="36"/>
    <s v="SSD"/>
    <n v="10701618.5"/>
    <x v="9"/>
    <n v="0"/>
    <n v="11106031.000000004"/>
    <n v="0"/>
    <m/>
    <n v="0"/>
    <m/>
    <n v="0"/>
    <m/>
    <n v="0"/>
    <m/>
    <n v="0"/>
    <n v="10395329.5"/>
    <n v="0"/>
    <n v="57"/>
    <m/>
    <n v="850"/>
    <m/>
    <n v="1006"/>
    <m/>
    <n v="0"/>
    <n v="10913163.5"/>
    <n v="0"/>
    <n v="57"/>
    <n v="0"/>
    <n v="850"/>
    <n v="1006"/>
    <x v="0"/>
    <s v=""/>
    <n v="57"/>
    <s v="2018 (triag)"/>
    <n v="1006"/>
    <n v="2020"/>
    <x v="1"/>
    <n v="1006"/>
    <n v="1006"/>
    <s v="Increasing"/>
    <n v="0.25992104989487319"/>
    <n v="5.4673730437993617E-2"/>
    <n v="15.540445591345694"/>
    <n v="67.159639146205521"/>
    <x v="0"/>
    <n v="5.4832316763023241E-2"/>
    <n v="0.92182253111116685"/>
  </r>
  <r>
    <x v="36"/>
    <s v="SSD"/>
    <n v="10701619.5"/>
    <x v="10"/>
    <n v="0"/>
    <n v="11106031.000000004"/>
    <n v="0"/>
    <m/>
    <n v="0"/>
    <m/>
    <n v="0"/>
    <m/>
    <n v="0"/>
    <m/>
    <n v="0"/>
    <n v="10395329.5"/>
    <n v="0"/>
    <n v="7"/>
    <m/>
    <n v="13"/>
    <m/>
    <n v="24"/>
    <m/>
    <n v="0"/>
    <n v="10913163.5"/>
    <n v="0"/>
    <n v="7"/>
    <n v="0"/>
    <n v="13"/>
    <n v="24"/>
    <x v="0"/>
    <s v=""/>
    <n v="7"/>
    <s v="2018 (triag)"/>
    <n v="24"/>
    <n v="2020"/>
    <x v="1"/>
    <n v="24"/>
    <n v="24"/>
    <s v="Increasing"/>
    <n v="0.25992104989487319"/>
    <n v="5.4673730437993617E-2"/>
    <n v="1.908475774375787"/>
    <n v="8.2476749828673448"/>
    <x v="0"/>
    <n v="6.7337932866870648E-3"/>
    <n v="2.1991790006628233E-2"/>
  </r>
  <r>
    <x v="36"/>
    <s v="SSD"/>
    <n v="10701620.5"/>
    <x v="11"/>
    <n v="0"/>
    <n v="11106031.000000004"/>
    <n v="0"/>
    <m/>
    <n v="0"/>
    <m/>
    <n v="0"/>
    <m/>
    <n v="0"/>
    <m/>
    <n v="0"/>
    <n v="10395329.5"/>
    <n v="0"/>
    <n v="0"/>
    <m/>
    <n v="0"/>
    <m/>
    <n v="0"/>
    <m/>
    <n v="0"/>
    <n v="10913163.5"/>
    <n v="0"/>
    <n v="0"/>
    <n v="0"/>
    <n v="0"/>
    <n v="0"/>
    <x v="0"/>
    <s v=""/>
    <m/>
    <s v=""/>
    <n v="0"/>
    <s v=""/>
    <x v="1"/>
    <m/>
    <n v="0"/>
    <s v="No change"/>
    <n v="0.25992104989487319"/>
    <n v="5.4673730437993617E-2"/>
    <n v="0"/>
    <n v="0"/>
    <x v="0"/>
    <n v="0"/>
    <n v="0"/>
  </r>
  <r>
    <x v="36"/>
    <s v="SSD"/>
    <n v="10701621.5"/>
    <x v="12"/>
    <n v="0"/>
    <n v="11106031.000000004"/>
    <n v="0"/>
    <m/>
    <n v="0"/>
    <m/>
    <n v="0"/>
    <m/>
    <n v="0"/>
    <m/>
    <n v="0"/>
    <n v="10395329.5"/>
    <n v="0"/>
    <n v="0"/>
    <m/>
    <n v="0"/>
    <m/>
    <n v="0"/>
    <m/>
    <n v="0"/>
    <n v="10913163.5"/>
    <n v="0"/>
    <n v="0"/>
    <n v="0"/>
    <n v="0"/>
    <n v="0"/>
    <x v="0"/>
    <s v=""/>
    <m/>
    <s v=""/>
    <n v="0"/>
    <s v=""/>
    <x v="1"/>
    <m/>
    <n v="0"/>
    <s v="No change"/>
    <n v="0.25992104989487319"/>
    <n v="5.4673730437993617E-2"/>
    <n v="0"/>
    <n v="0"/>
    <x v="0"/>
    <n v="0"/>
    <n v="0"/>
  </r>
  <r>
    <x v="36"/>
    <s v="SSD"/>
    <n v="10701622.5"/>
    <x v="13"/>
    <n v="0"/>
    <n v="11106031.000000004"/>
    <n v="0"/>
    <m/>
    <n v="0"/>
    <m/>
    <n v="0"/>
    <m/>
    <n v="0"/>
    <m/>
    <n v="0"/>
    <n v="10395329.5"/>
    <n v="0"/>
    <n v="272"/>
    <m/>
    <n v="0"/>
    <m/>
    <n v="0"/>
    <m/>
    <n v="0"/>
    <n v="10913163.5"/>
    <n v="0"/>
    <n v="272"/>
    <n v="0"/>
    <n v="0"/>
    <n v="0"/>
    <x v="0"/>
    <s v=""/>
    <n v="272"/>
    <s v="2018 (triag)"/>
    <n v="272"/>
    <s v="2018 (triag)"/>
    <x v="1"/>
    <n v="272"/>
    <n v="272"/>
    <s v="No change"/>
    <n v="0.25992104989487319"/>
    <n v="5.4673730437993617E-2"/>
    <n v="74.157915804316289"/>
    <n v="320.48108504855963"/>
    <x v="0"/>
    <n v="0.26165596771126881"/>
    <n v="0.24924028674178664"/>
  </r>
  <r>
    <x v="36"/>
    <s v="SSD"/>
    <n v="10701623.5"/>
    <x v="14"/>
    <n v="0"/>
    <n v="11106031.000000004"/>
    <n v="0"/>
    <m/>
    <n v="0"/>
    <m/>
    <n v="0"/>
    <m/>
    <n v="0"/>
    <m/>
    <n v="0"/>
    <n v="10395329.5"/>
    <n v="0"/>
    <n v="0"/>
    <m/>
    <n v="580"/>
    <m/>
    <n v="623"/>
    <m/>
    <n v="0"/>
    <n v="10913163.5"/>
    <n v="0"/>
    <n v="0"/>
    <n v="0"/>
    <n v="580"/>
    <n v="623"/>
    <x v="0"/>
    <s v=""/>
    <n v="580"/>
    <n v="2019"/>
    <n v="623"/>
    <n v="2020"/>
    <x v="1"/>
    <n v="623"/>
    <n v="623"/>
    <s v="Increasing"/>
    <n v="0.25992104989487319"/>
    <n v="5.4673730437993617E-2"/>
    <n v="0"/>
    <n v="0"/>
    <x v="0"/>
    <n v="0.55794287232549966"/>
    <n v="0.57087021558872453"/>
  </r>
  <r>
    <x v="36"/>
    <s v="SSD"/>
    <n v="10701624.5"/>
    <x v="15"/>
    <n v="0"/>
    <n v="11106031.000000004"/>
    <n v="0"/>
    <m/>
    <n v="0"/>
    <m/>
    <n v="0"/>
    <m/>
    <n v="0"/>
    <m/>
    <n v="0"/>
    <n v="10395329.5"/>
    <n v="0"/>
    <n v="9"/>
    <m/>
    <n v="11"/>
    <m/>
    <n v="17"/>
    <m/>
    <n v="0"/>
    <n v="10913163.5"/>
    <n v="0"/>
    <n v="9"/>
    <n v="0"/>
    <n v="11"/>
    <n v="17"/>
    <x v="0"/>
    <s v=""/>
    <n v="9"/>
    <s v="2018 (triag)"/>
    <n v="17"/>
    <n v="2020"/>
    <x v="1"/>
    <n v="17"/>
    <n v="17"/>
    <s v="Increasing"/>
    <n v="0.25992104989487319"/>
    <n v="5.4673730437993617E-2"/>
    <n v="2.4537545670545833"/>
    <n v="10.60415354940087"/>
    <x v="0"/>
    <n v="8.6577342257405116E-3"/>
    <n v="1.5577517921361665E-2"/>
  </r>
  <r>
    <x v="36"/>
    <s v="SSD"/>
    <n v="10701625.5"/>
    <x v="16"/>
    <n v="0"/>
    <n v="11106031.000000004"/>
    <n v="0"/>
    <m/>
    <n v="0"/>
    <m/>
    <n v="0"/>
    <m/>
    <n v="0"/>
    <m/>
    <n v="0"/>
    <n v="10395329.5"/>
    <n v="0"/>
    <n v="0"/>
    <m/>
    <n v="0"/>
    <m/>
    <n v="0"/>
    <m/>
    <n v="0"/>
    <n v="10913163.5"/>
    <n v="0"/>
    <n v="0"/>
    <n v="0"/>
    <n v="0"/>
    <n v="0"/>
    <x v="0"/>
    <s v=""/>
    <m/>
    <s v=""/>
    <n v="0"/>
    <s v=""/>
    <x v="1"/>
    <m/>
    <n v="0"/>
    <s v="No change"/>
    <n v="0.25992104989487319"/>
    <n v="5.4673730437993617E-2"/>
    <n v="0"/>
    <n v="0"/>
    <x v="0"/>
    <n v="0"/>
    <n v="0"/>
  </r>
  <r>
    <x v="36"/>
    <s v="SSD"/>
    <n v="10701626.5"/>
    <x v="17"/>
    <n v="0"/>
    <n v="11106031.000000004"/>
    <n v="0"/>
    <m/>
    <n v="0"/>
    <m/>
    <n v="0"/>
    <m/>
    <n v="0"/>
    <m/>
    <n v="0"/>
    <n v="10395329.5"/>
    <n v="0"/>
    <n v="0"/>
    <m/>
    <n v="0"/>
    <m/>
    <n v="0"/>
    <m/>
    <n v="0"/>
    <n v="10913163.5"/>
    <n v="0"/>
    <n v="0"/>
    <n v="0"/>
    <n v="0"/>
    <n v="0"/>
    <x v="0"/>
    <s v=""/>
    <m/>
    <s v=""/>
    <n v="0"/>
    <s v=""/>
    <x v="1"/>
    <m/>
    <n v="0"/>
    <s v="No change"/>
    <n v="0.25992104989487319"/>
    <n v="5.4673730437993617E-2"/>
    <n v="0"/>
    <n v="0"/>
    <x v="0"/>
    <n v="0"/>
    <n v="0"/>
  </r>
  <r>
    <x v="36"/>
    <s v="SSD"/>
    <n v="10701627.5"/>
    <x v="18"/>
    <n v="0"/>
    <n v="11106031.000000004"/>
    <n v="0"/>
    <m/>
    <n v="0"/>
    <m/>
    <n v="0"/>
    <m/>
    <n v="0"/>
    <m/>
    <n v="0"/>
    <n v="10395329.5"/>
    <n v="0"/>
    <n v="0"/>
    <m/>
    <n v="0"/>
    <m/>
    <n v="0"/>
    <m/>
    <n v="0"/>
    <n v="10913163.5"/>
    <n v="0"/>
    <n v="0"/>
    <n v="0"/>
    <n v="0"/>
    <n v="0"/>
    <x v="0"/>
    <s v=""/>
    <m/>
    <s v=""/>
    <n v="0"/>
    <s v=""/>
    <x v="1"/>
    <m/>
    <n v="0"/>
    <s v="No change"/>
    <n v="0.25992104989487319"/>
    <n v="5.4673730437993617E-2"/>
    <n v="0"/>
    <n v="0"/>
    <x v="0"/>
    <n v="0"/>
    <n v="0"/>
  </r>
  <r>
    <x v="37"/>
    <s v="STP"/>
    <n v="189929.5"/>
    <x v="0"/>
    <n v="0"/>
    <n v="193756.99999999997"/>
    <n v="0"/>
    <m/>
    <n v="0"/>
    <m/>
    <n v="0"/>
    <m/>
    <n v="0"/>
    <m/>
    <n v="0"/>
    <n v="211344"/>
    <n v="0"/>
    <n v="0"/>
    <m/>
    <n v="0"/>
    <m/>
    <n v="0"/>
    <m/>
    <n v="0"/>
    <n v="227379.5"/>
    <n v="0"/>
    <n v="0"/>
    <n v="0"/>
    <n v="0"/>
    <n v="0"/>
    <x v="0"/>
    <s v=""/>
    <m/>
    <s v=""/>
    <n v="0"/>
    <s v=""/>
    <x v="1"/>
    <m/>
    <n v="0"/>
    <s v="No change"/>
    <n v="-0.16643545882510058"/>
    <n v="0.34338657876279233"/>
    <n v="0"/>
    <n v="0"/>
    <x v="0"/>
    <n v="0"/>
    <n v="0"/>
  </r>
  <r>
    <x v="37"/>
    <s v="STP"/>
    <n v="189930.5"/>
    <x v="1"/>
    <n v="0"/>
    <n v="193756.99999999997"/>
    <n v="4"/>
    <m/>
    <n v="2217"/>
    <m/>
    <n v="0"/>
    <m/>
    <n v="0"/>
    <m/>
    <n v="61"/>
    <n v="211344"/>
    <n v="0"/>
    <n v="0"/>
    <m/>
    <n v="14"/>
    <m/>
    <n v="1344"/>
    <m/>
    <n v="44"/>
    <n v="227379.5"/>
    <n v="0"/>
    <n v="0"/>
    <n v="2217"/>
    <n v="61"/>
    <n v="1344"/>
    <x v="40"/>
    <n v="2013"/>
    <n v="61"/>
    <n v="2017"/>
    <n v="44"/>
    <n v="2021"/>
    <x v="0"/>
    <n v="50.569140350098266"/>
    <n v="61"/>
    <s v="Decreasing"/>
    <n v="-0.16643545882510058"/>
    <n v="0.34338657876279233"/>
    <n v="0"/>
    <n v="0"/>
    <x v="91"/>
    <n v="2.8862896509955331"/>
    <n v="2.223997341453309"/>
  </r>
  <r>
    <x v="37"/>
    <s v="STP"/>
    <n v="189931.5"/>
    <x v="2"/>
    <n v="0"/>
    <n v="193756.99999999997"/>
    <n v="24"/>
    <m/>
    <n v="4286"/>
    <m/>
    <n v="0"/>
    <m/>
    <n v="0"/>
    <m/>
    <n v="548"/>
    <n v="211344"/>
    <n v="0"/>
    <n v="0"/>
    <m/>
    <n v="26"/>
    <m/>
    <n v="0"/>
    <m/>
    <n v="245"/>
    <n v="227379.5"/>
    <n v="0"/>
    <n v="0"/>
    <n v="4286"/>
    <n v="548"/>
    <n v="245"/>
    <x v="84"/>
    <n v="2013"/>
    <n v="548"/>
    <n v="2017"/>
    <n v="245"/>
    <n v="2021"/>
    <x v="0"/>
    <n v="281.57816785850173"/>
    <n v="548"/>
    <s v="Decreasing"/>
    <n v="-0.16643545882510058"/>
    <n v="0.34338657876279233"/>
    <n v="0"/>
    <n v="0"/>
    <x v="92"/>
    <n v="25.92929063517299"/>
    <n v="12.383621560365016"/>
  </r>
  <r>
    <x v="37"/>
    <s v="STP"/>
    <n v="189932.5"/>
    <x v="3"/>
    <n v="0"/>
    <n v="193756.99999999997"/>
    <n v="0"/>
    <m/>
    <n v="0"/>
    <m/>
    <n v="0"/>
    <m/>
    <n v="0"/>
    <m/>
    <n v="0"/>
    <n v="211344"/>
    <n v="0"/>
    <n v="0"/>
    <m/>
    <n v="0"/>
    <m/>
    <n v="0"/>
    <m/>
    <n v="0"/>
    <n v="227379.5"/>
    <n v="0"/>
    <n v="0"/>
    <n v="0"/>
    <n v="0"/>
    <n v="0"/>
    <x v="0"/>
    <s v=""/>
    <m/>
    <s v=""/>
    <n v="0"/>
    <s v=""/>
    <x v="1"/>
    <m/>
    <n v="0"/>
    <s v="No change"/>
    <n v="-0.16643545882510058"/>
    <n v="0.34338657876279233"/>
    <n v="0"/>
    <n v="0"/>
    <x v="0"/>
    <n v="0"/>
    <n v="0"/>
  </r>
  <r>
    <x v="37"/>
    <s v="STP"/>
    <n v="189933.5"/>
    <x v="4"/>
    <n v="0"/>
    <n v="193756.99999999997"/>
    <n v="0"/>
    <m/>
    <n v="0"/>
    <m/>
    <n v="0"/>
    <m/>
    <n v="0"/>
    <m/>
    <n v="0"/>
    <n v="211344"/>
    <n v="0"/>
    <n v="79"/>
    <m/>
    <n v="0"/>
    <m/>
    <n v="0"/>
    <m/>
    <n v="0"/>
    <n v="227379.5"/>
    <n v="0"/>
    <n v="79"/>
    <n v="0"/>
    <n v="0"/>
    <n v="0"/>
    <x v="0"/>
    <s v=""/>
    <n v="79"/>
    <s v="2018 (triag)"/>
    <n v="79"/>
    <s v="2018 (triag)"/>
    <x v="1"/>
    <n v="79"/>
    <n v="79"/>
    <s v="No change"/>
    <n v="-0.16643545882510058"/>
    <n v="0.34338657876279233"/>
    <n v="181.56707535027212"/>
    <n v="221.31955088142104"/>
    <x v="0"/>
    <n v="3.7379816791581497"/>
    <n v="3.4743677420347923"/>
  </r>
  <r>
    <x v="37"/>
    <s v="STP"/>
    <n v="189934.5"/>
    <x v="5"/>
    <n v="0"/>
    <n v="193756.99999999997"/>
    <n v="0"/>
    <m/>
    <n v="0"/>
    <m/>
    <n v="0"/>
    <m/>
    <n v="0"/>
    <m/>
    <n v="0"/>
    <n v="211344"/>
    <n v="0"/>
    <n v="0"/>
    <m/>
    <n v="0"/>
    <m/>
    <n v="0"/>
    <m/>
    <n v="0"/>
    <n v="227379.5"/>
    <n v="0"/>
    <n v="0"/>
    <n v="0"/>
    <n v="0"/>
    <n v="0"/>
    <x v="0"/>
    <s v=""/>
    <m/>
    <s v=""/>
    <n v="0"/>
    <s v=""/>
    <x v="1"/>
    <m/>
    <n v="0"/>
    <s v="No change"/>
    <n v="-0.16643545882510058"/>
    <n v="0.34338657876279233"/>
    <n v="0"/>
    <n v="0"/>
    <x v="0"/>
    <n v="0"/>
    <n v="0"/>
  </r>
  <r>
    <x v="37"/>
    <s v="STP"/>
    <n v="189935.5"/>
    <x v="6"/>
    <n v="0"/>
    <n v="193756.99999999997"/>
    <n v="0"/>
    <m/>
    <n v="0"/>
    <m/>
    <n v="0"/>
    <m/>
    <n v="0"/>
    <m/>
    <n v="0"/>
    <n v="211344"/>
    <n v="0"/>
    <n v="146"/>
    <m/>
    <n v="0"/>
    <m/>
    <n v="0"/>
    <m/>
    <n v="0"/>
    <n v="227379.5"/>
    <n v="0"/>
    <n v="146"/>
    <n v="0"/>
    <n v="0"/>
    <n v="0"/>
    <x v="0"/>
    <s v=""/>
    <n v="146"/>
    <s v="2018 (triag)"/>
    <n v="146"/>
    <s v="2018 (triag)"/>
    <x v="1"/>
    <n v="146"/>
    <n v="146"/>
    <s v="No change"/>
    <n v="-0.16643545882510058"/>
    <n v="0.34338657876279233"/>
    <n v="335.5543417865789"/>
    <n v="409.02094213528443"/>
    <x v="0"/>
    <n v="6.908168672874555"/>
    <n v="6.4209834219883497"/>
  </r>
  <r>
    <x v="37"/>
    <s v="STP"/>
    <n v="189936.5"/>
    <x v="7"/>
    <n v="0"/>
    <n v="193756.99999999997"/>
    <n v="0"/>
    <m/>
    <n v="0"/>
    <m/>
    <n v="0"/>
    <m/>
    <n v="0"/>
    <m/>
    <n v="0"/>
    <n v="211344"/>
    <n v="0"/>
    <n v="0"/>
    <m/>
    <n v="0"/>
    <m/>
    <n v="0"/>
    <m/>
    <n v="0"/>
    <n v="227379.5"/>
    <n v="0"/>
    <n v="0"/>
    <n v="0"/>
    <n v="0"/>
    <n v="0"/>
    <x v="0"/>
    <s v=""/>
    <m/>
    <s v=""/>
    <n v="0"/>
    <s v=""/>
    <x v="1"/>
    <m/>
    <n v="0"/>
    <s v="No change"/>
    <n v="-0.16643545882510058"/>
    <n v="0.34338657876279233"/>
    <n v="0"/>
    <n v="0"/>
    <x v="0"/>
    <n v="0"/>
    <n v="0"/>
  </r>
  <r>
    <x v="37"/>
    <s v="STP"/>
    <n v="189937.5"/>
    <x v="8"/>
    <n v="0"/>
    <n v="193756.99999999997"/>
    <n v="0"/>
    <m/>
    <n v="0"/>
    <m/>
    <n v="0"/>
    <m/>
    <n v="0"/>
    <m/>
    <n v="0"/>
    <n v="211344"/>
    <n v="0"/>
    <n v="0"/>
    <m/>
    <n v="0"/>
    <m/>
    <n v="0"/>
    <m/>
    <n v="0"/>
    <n v="227379.5"/>
    <n v="0"/>
    <n v="0"/>
    <n v="0"/>
    <n v="0"/>
    <n v="0"/>
    <x v="0"/>
    <s v=""/>
    <m/>
    <s v=""/>
    <n v="0"/>
    <s v=""/>
    <x v="1"/>
    <m/>
    <n v="0"/>
    <s v="No change"/>
    <n v="-0.16643545882510058"/>
    <n v="0.34338657876279233"/>
    <n v="0"/>
    <n v="0"/>
    <x v="0"/>
    <n v="0"/>
    <n v="0"/>
  </r>
  <r>
    <x v="37"/>
    <s v="STP"/>
    <n v="189938.5"/>
    <x v="9"/>
    <n v="0"/>
    <n v="193756.99999999997"/>
    <n v="0"/>
    <m/>
    <n v="0"/>
    <m/>
    <n v="0"/>
    <m/>
    <n v="0"/>
    <m/>
    <n v="0"/>
    <n v="211344"/>
    <n v="0"/>
    <n v="0"/>
    <m/>
    <n v="0"/>
    <m/>
    <n v="0"/>
    <m/>
    <n v="0"/>
    <n v="227379.5"/>
    <n v="0"/>
    <n v="0"/>
    <n v="0"/>
    <n v="0"/>
    <n v="0"/>
    <x v="0"/>
    <s v=""/>
    <m/>
    <s v=""/>
    <n v="0"/>
    <s v=""/>
    <x v="1"/>
    <m/>
    <n v="0"/>
    <s v="No change"/>
    <n v="-0.16643545882510058"/>
    <n v="0.34338657876279233"/>
    <n v="0"/>
    <n v="0"/>
    <x v="0"/>
    <n v="0"/>
    <n v="0"/>
  </r>
  <r>
    <x v="37"/>
    <s v="STP"/>
    <n v="189939.5"/>
    <x v="10"/>
    <n v="0"/>
    <n v="193756.99999999997"/>
    <n v="0"/>
    <m/>
    <n v="0"/>
    <m/>
    <n v="0"/>
    <m/>
    <n v="0"/>
    <m/>
    <n v="0"/>
    <n v="211344"/>
    <n v="0"/>
    <n v="0"/>
    <m/>
    <n v="0"/>
    <m/>
    <n v="0"/>
    <m/>
    <n v="0"/>
    <n v="227379.5"/>
    <n v="0"/>
    <n v="0"/>
    <n v="0"/>
    <n v="0"/>
    <n v="0"/>
    <x v="0"/>
    <s v=""/>
    <m/>
    <s v=""/>
    <n v="0"/>
    <s v=""/>
    <x v="1"/>
    <m/>
    <n v="0"/>
    <s v="No change"/>
    <n v="-0.16643545882510058"/>
    <n v="0.34338657876279233"/>
    <n v="0"/>
    <n v="0"/>
    <x v="0"/>
    <n v="0"/>
    <n v="0"/>
  </r>
  <r>
    <x v="37"/>
    <s v="STP"/>
    <n v="189940.5"/>
    <x v="11"/>
    <n v="0"/>
    <n v="193756.99999999997"/>
    <n v="0"/>
    <m/>
    <n v="0"/>
    <m/>
    <n v="0"/>
    <m/>
    <n v="0"/>
    <m/>
    <n v="0"/>
    <n v="211344"/>
    <n v="0"/>
    <n v="0"/>
    <m/>
    <n v="0"/>
    <m/>
    <n v="0"/>
    <m/>
    <n v="0"/>
    <n v="227379.5"/>
    <n v="0"/>
    <n v="0"/>
    <n v="0"/>
    <n v="0"/>
    <n v="0"/>
    <x v="0"/>
    <s v=""/>
    <m/>
    <s v=""/>
    <n v="0"/>
    <s v=""/>
    <x v="1"/>
    <m/>
    <n v="0"/>
    <s v="No change"/>
    <n v="-0.16643545882510058"/>
    <n v="0.34338657876279233"/>
    <n v="0"/>
    <n v="0"/>
    <x v="0"/>
    <n v="0"/>
    <n v="0"/>
  </r>
  <r>
    <x v="37"/>
    <s v="STP"/>
    <n v="189941.5"/>
    <x v="12"/>
    <n v="0"/>
    <n v="193756.99999999997"/>
    <n v="0"/>
    <m/>
    <n v="0"/>
    <m/>
    <n v="0"/>
    <m/>
    <n v="0"/>
    <m/>
    <n v="0"/>
    <n v="211344"/>
    <n v="0"/>
    <n v="271"/>
    <m/>
    <n v="0"/>
    <m/>
    <n v="0"/>
    <m/>
    <n v="0"/>
    <n v="227379.5"/>
    <n v="0"/>
    <n v="271"/>
    <n v="0"/>
    <n v="0"/>
    <n v="0"/>
    <x v="0"/>
    <s v=""/>
    <n v="271"/>
    <s v="2018 (triag)"/>
    <n v="271"/>
    <s v="2018 (triag)"/>
    <x v="1"/>
    <n v="271"/>
    <n v="271"/>
    <s v="No change"/>
    <n v="-0.16643545882510058"/>
    <n v="0.34338657876279233"/>
    <n v="622.84401797371834"/>
    <n v="759.21010492234302"/>
    <x v="0"/>
    <n v="12.822696646226058"/>
    <n v="11.91840073533454"/>
  </r>
  <r>
    <x v="37"/>
    <s v="STP"/>
    <n v="189942.5"/>
    <x v="13"/>
    <n v="0"/>
    <n v="193756.99999999997"/>
    <n v="0"/>
    <m/>
    <n v="0"/>
    <m/>
    <n v="0"/>
    <m/>
    <n v="0"/>
    <m/>
    <n v="0"/>
    <n v="211344"/>
    <n v="0"/>
    <n v="0"/>
    <m/>
    <n v="0"/>
    <m/>
    <n v="0"/>
    <m/>
    <n v="0"/>
    <n v="227379.5"/>
    <n v="0"/>
    <n v="0"/>
    <n v="0"/>
    <n v="0"/>
    <n v="0"/>
    <x v="0"/>
    <s v=""/>
    <m/>
    <s v=""/>
    <n v="0"/>
    <s v=""/>
    <x v="1"/>
    <m/>
    <n v="0"/>
    <s v="No change"/>
    <n v="-0.16643545882510058"/>
    <n v="0.34338657876279233"/>
    <n v="0"/>
    <n v="0"/>
    <x v="0"/>
    <n v="0"/>
    <n v="0"/>
  </r>
  <r>
    <x v="37"/>
    <s v="STP"/>
    <n v="189943.5"/>
    <x v="14"/>
    <n v="0"/>
    <n v="193756.99999999997"/>
    <n v="0"/>
    <m/>
    <n v="0"/>
    <m/>
    <n v="0"/>
    <m/>
    <n v="0"/>
    <m/>
    <n v="0"/>
    <n v="211344"/>
    <n v="0"/>
    <n v="0"/>
    <m/>
    <n v="0"/>
    <m/>
    <n v="0"/>
    <m/>
    <n v="0"/>
    <n v="227379.5"/>
    <n v="0"/>
    <n v="0"/>
    <n v="0"/>
    <n v="0"/>
    <n v="0"/>
    <x v="0"/>
    <s v=""/>
    <m/>
    <s v=""/>
    <n v="0"/>
    <s v=""/>
    <x v="1"/>
    <m/>
    <n v="0"/>
    <s v="No change"/>
    <n v="-0.16643545882510058"/>
    <n v="0.34338657876279233"/>
    <n v="0"/>
    <n v="0"/>
    <x v="0"/>
    <n v="0"/>
    <n v="0"/>
  </r>
  <r>
    <x v="37"/>
    <s v="STP"/>
    <n v="189944.5"/>
    <x v="15"/>
    <n v="0"/>
    <n v="193756.99999999997"/>
    <n v="0"/>
    <m/>
    <n v="0"/>
    <m/>
    <n v="0"/>
    <m/>
    <n v="0"/>
    <m/>
    <n v="0"/>
    <n v="211344"/>
    <n v="0"/>
    <n v="0"/>
    <m/>
    <n v="0"/>
    <m/>
    <n v="0"/>
    <m/>
    <n v="0"/>
    <n v="227379.5"/>
    <n v="0"/>
    <n v="0"/>
    <n v="0"/>
    <n v="0"/>
    <n v="0"/>
    <x v="0"/>
    <s v=""/>
    <m/>
    <s v=""/>
    <n v="0"/>
    <s v=""/>
    <x v="1"/>
    <m/>
    <n v="0"/>
    <s v="No change"/>
    <n v="-0.16643545882510058"/>
    <n v="0.34338657876279233"/>
    <n v="0"/>
    <n v="0"/>
    <x v="0"/>
    <n v="0"/>
    <n v="0"/>
  </r>
  <r>
    <x v="37"/>
    <s v="STP"/>
    <n v="189945.5"/>
    <x v="16"/>
    <n v="0"/>
    <n v="193756.99999999997"/>
    <n v="0"/>
    <m/>
    <n v="0"/>
    <m/>
    <n v="0"/>
    <m/>
    <n v="0"/>
    <m/>
    <n v="0"/>
    <n v="211344"/>
    <n v="0"/>
    <n v="0"/>
    <m/>
    <n v="0"/>
    <m/>
    <n v="0"/>
    <m/>
    <n v="0"/>
    <n v="227379.5"/>
    <n v="0"/>
    <n v="0"/>
    <n v="0"/>
    <n v="0"/>
    <n v="0"/>
    <x v="0"/>
    <s v=""/>
    <m/>
    <s v=""/>
    <n v="0"/>
    <s v=""/>
    <x v="1"/>
    <m/>
    <n v="0"/>
    <s v="No change"/>
    <n v="-0.16643545882510058"/>
    <n v="0.34338657876279233"/>
    <n v="0"/>
    <n v="0"/>
    <x v="0"/>
    <n v="0"/>
    <n v="0"/>
  </r>
  <r>
    <x v="37"/>
    <s v="STP"/>
    <n v="189946.5"/>
    <x v="17"/>
    <n v="0"/>
    <n v="193756.99999999997"/>
    <n v="0"/>
    <m/>
    <n v="0"/>
    <m/>
    <n v="0"/>
    <m/>
    <n v="0"/>
    <m/>
    <n v="0"/>
    <n v="211344"/>
    <n v="0"/>
    <n v="0"/>
    <m/>
    <n v="0"/>
    <m/>
    <n v="0"/>
    <m/>
    <n v="0"/>
    <n v="227379.5"/>
    <n v="0"/>
    <n v="0"/>
    <n v="0"/>
    <n v="0"/>
    <n v="0"/>
    <x v="0"/>
    <s v=""/>
    <m/>
    <s v=""/>
    <n v="0"/>
    <s v=""/>
    <x v="1"/>
    <m/>
    <n v="0"/>
    <s v="No change"/>
    <n v="-0.16643545882510058"/>
    <n v="0.34338657876279233"/>
    <n v="0"/>
    <n v="0"/>
    <x v="0"/>
    <n v="0"/>
    <n v="0"/>
  </r>
  <r>
    <x v="37"/>
    <s v="STP"/>
    <n v="189947.5"/>
    <x v="18"/>
    <n v="0"/>
    <n v="193756.99999999997"/>
    <n v="0"/>
    <m/>
    <n v="0"/>
    <m/>
    <n v="0"/>
    <m/>
    <n v="0"/>
    <m/>
    <n v="0"/>
    <n v="211344"/>
    <n v="0"/>
    <n v="0"/>
    <m/>
    <n v="0"/>
    <m/>
    <n v="0"/>
    <m/>
    <n v="0"/>
    <n v="227379.5"/>
    <n v="0"/>
    <n v="0"/>
    <n v="0"/>
    <n v="0"/>
    <n v="0"/>
    <x v="0"/>
    <s v=""/>
    <m/>
    <s v=""/>
    <n v="0"/>
    <s v=""/>
    <x v="1"/>
    <m/>
    <n v="0"/>
    <s v="No change"/>
    <n v="-0.16643545882510058"/>
    <n v="0.34338657876279233"/>
    <n v="0"/>
    <n v="0"/>
    <x v="0"/>
    <n v="0"/>
    <n v="0"/>
  </r>
  <r>
    <x v="38"/>
    <s v="SWZ"/>
    <n v="1111449"/>
    <x v="0"/>
    <n v="0"/>
    <n v="1118318.9999999998"/>
    <n v="0"/>
    <m/>
    <n v="0"/>
    <m/>
    <n v="0"/>
    <m/>
    <n v="0"/>
    <m/>
    <n v="0"/>
    <n v="1160427.5"/>
    <n v="6324"/>
    <n v="6324"/>
    <m/>
    <n v="0"/>
    <m/>
    <n v="5386"/>
    <m/>
    <n v="0"/>
    <n v="1201670.4999999995"/>
    <n v="3200"/>
    <n v="6324"/>
    <n v="0"/>
    <n v="6324"/>
    <n v="5386"/>
    <x v="0"/>
    <s v=""/>
    <n v="6324"/>
    <n v="2018"/>
    <n v="3200"/>
    <n v="2022"/>
    <x v="0"/>
    <n v="4586.4308415089126"/>
    <n v="6324"/>
    <s v="Decreasing"/>
    <n v="-0.11185567778326533"/>
    <n v="0.45661638376408309"/>
    <n v="11063.266634907941"/>
    <n v="24883.403885705367"/>
    <x v="0"/>
    <n v="54.497157297633848"/>
    <n v="38.167125193710874"/>
  </r>
  <r>
    <x v="38"/>
    <s v="SWZ"/>
    <n v="1111450"/>
    <x v="1"/>
    <n v="0"/>
    <n v="1118318.9999999998"/>
    <n v="0"/>
    <m/>
    <n v="0"/>
    <m/>
    <n v="15"/>
    <m/>
    <n v="0"/>
    <m/>
    <n v="0"/>
    <n v="1160427.5"/>
    <n v="31"/>
    <n v="31"/>
    <m/>
    <n v="0"/>
    <m/>
    <n v="0"/>
    <m/>
    <n v="0"/>
    <n v="1201670.4999999995"/>
    <n v="10"/>
    <n v="0"/>
    <n v="15"/>
    <n v="31"/>
    <n v="10"/>
    <x v="85"/>
    <n v="2015"/>
    <n v="31"/>
    <n v="2018"/>
    <n v="10"/>
    <n v="2022"/>
    <x v="0"/>
    <n v="14.332596379715351"/>
    <n v="31"/>
    <s v="Decreasing"/>
    <n v="-0.11185567778326533"/>
    <n v="0.45661638376408309"/>
    <n v="0"/>
    <n v="0"/>
    <x v="93"/>
    <n v="0.26714292792957767"/>
    <n v="0.11927226623034649"/>
  </r>
  <r>
    <x v="38"/>
    <s v="SWZ"/>
    <n v="1111451"/>
    <x v="2"/>
    <n v="4646"/>
    <n v="1118318.9999999998"/>
    <n v="0"/>
    <m/>
    <n v="234"/>
    <m/>
    <n v="428"/>
    <m/>
    <n v="0"/>
    <m/>
    <n v="0"/>
    <n v="1160427.5"/>
    <n v="275"/>
    <n v="275"/>
    <m/>
    <n v="0"/>
    <m/>
    <n v="0"/>
    <m/>
    <n v="0"/>
    <n v="1201670.4999999995"/>
    <n v="83"/>
    <n v="187"/>
    <n v="4646"/>
    <n v="275"/>
    <n v="83"/>
    <x v="86"/>
    <n v="2012"/>
    <n v="275"/>
    <n v="2018"/>
    <n v="83"/>
    <n v="2022"/>
    <x v="0"/>
    <n v="118.96054995163742"/>
    <n v="275"/>
    <s v="Decreasing"/>
    <n v="-0.11185567778326533"/>
    <n v="0.45661638376408309"/>
    <n v="327.13960479566492"/>
    <n v="735.79957726548139"/>
    <x v="94"/>
    <n v="2.3698162961494793"/>
    <n v="0.9899598097118758"/>
  </r>
  <r>
    <x v="38"/>
    <s v="SWZ"/>
    <n v="1111452"/>
    <x v="3"/>
    <n v="0"/>
    <n v="1118318.9999999998"/>
    <n v="0"/>
    <m/>
    <n v="0"/>
    <m/>
    <n v="0"/>
    <m/>
    <n v="0"/>
    <m/>
    <n v="0"/>
    <n v="1160427.5"/>
    <n v="0"/>
    <n v="927"/>
    <m/>
    <n v="0"/>
    <m/>
    <n v="0"/>
    <m/>
    <n v="0"/>
    <n v="1201670.4999999995"/>
    <n v="0"/>
    <n v="927"/>
    <n v="0"/>
    <n v="0"/>
    <n v="0"/>
    <x v="0"/>
    <s v=""/>
    <n v="927"/>
    <s v="2018 (triag)"/>
    <n v="927"/>
    <s v="2018 (triag)"/>
    <x v="1"/>
    <n v="927"/>
    <n v="927"/>
    <s v="No change"/>
    <n v="-0.11185567778326533"/>
    <n v="0.45661638376408309"/>
    <n v="1621.7027467678149"/>
    <n v="3647.5198295459959"/>
    <x v="0"/>
    <n v="7.9884352964747904"/>
    <n v="7.7142611056857966"/>
  </r>
  <r>
    <x v="38"/>
    <s v="SWZ"/>
    <n v="1111453"/>
    <x v="4"/>
    <n v="0"/>
    <n v="1118318.9999999998"/>
    <n v="0"/>
    <m/>
    <n v="0"/>
    <m/>
    <n v="0"/>
    <m/>
    <n v="0"/>
    <m/>
    <n v="0"/>
    <n v="1160427.5"/>
    <n v="0"/>
    <n v="195"/>
    <m/>
    <n v="0"/>
    <m/>
    <n v="0"/>
    <m/>
    <n v="0"/>
    <n v="1201670.4999999995"/>
    <n v="0"/>
    <n v="195"/>
    <n v="0"/>
    <n v="0"/>
    <n v="0"/>
    <x v="0"/>
    <s v=""/>
    <n v="195"/>
    <s v="2018 (triag)"/>
    <n v="195"/>
    <s v="2018 (triag)"/>
    <x v="1"/>
    <n v="195"/>
    <n v="195"/>
    <s v="No change"/>
    <n v="-0.11185567778326533"/>
    <n v="0.45661638376408309"/>
    <n v="341.13488200617462"/>
    <n v="767.27763404689233"/>
    <x v="0"/>
    <n v="1.6804151918150854"/>
    <n v="1.6227410092866561"/>
  </r>
  <r>
    <x v="38"/>
    <s v="SWZ"/>
    <n v="1111454"/>
    <x v="5"/>
    <n v="0"/>
    <n v="1118318.9999999998"/>
    <n v="0"/>
    <m/>
    <n v="0"/>
    <m/>
    <n v="0"/>
    <m/>
    <n v="0"/>
    <m/>
    <n v="0"/>
    <n v="1160427.5"/>
    <n v="0"/>
    <n v="0"/>
    <m/>
    <n v="3"/>
    <m/>
    <n v="0"/>
    <m/>
    <n v="0"/>
    <n v="1201670.4999999995"/>
    <n v="0"/>
    <n v="0"/>
    <n v="0"/>
    <n v="3"/>
    <n v="0"/>
    <x v="0"/>
    <s v=""/>
    <n v="3"/>
    <n v="2019"/>
    <n v="3"/>
    <n v="2019"/>
    <x v="1"/>
    <n v="3"/>
    <n v="3"/>
    <s v="No change"/>
    <n v="-0.11185567778326533"/>
    <n v="0.45661638376408309"/>
    <n v="0"/>
    <n v="0"/>
    <x v="0"/>
    <n v="2.5852541412539776E-2"/>
    <n v="2.4965246296717786E-2"/>
  </r>
  <r>
    <x v="38"/>
    <s v="SWZ"/>
    <n v="1111455"/>
    <x v="6"/>
    <n v="0"/>
    <n v="1118318.9999999998"/>
    <n v="0"/>
    <m/>
    <n v="0"/>
    <m/>
    <n v="0"/>
    <m/>
    <n v="0"/>
    <m/>
    <n v="0"/>
    <n v="1160427.5"/>
    <n v="370"/>
    <n v="370"/>
    <m/>
    <n v="0"/>
    <m/>
    <n v="0"/>
    <m/>
    <n v="0"/>
    <n v="1201670.4999999995"/>
    <n v="130"/>
    <n v="84"/>
    <n v="0"/>
    <n v="370"/>
    <n v="130"/>
    <x v="0"/>
    <s v=""/>
    <n v="370"/>
    <n v="2018"/>
    <n v="130"/>
    <n v="2022"/>
    <x v="0"/>
    <n v="186.32375293629957"/>
    <n v="370"/>
    <s v="Decreasing"/>
    <n v="-0.11185567778326533"/>
    <n v="0.45661638376408309"/>
    <n v="146.95041071035214"/>
    <n v="330.51959620481517"/>
    <x v="0"/>
    <n v="3.1884801075465723"/>
    <n v="1.5505394609945042"/>
  </r>
  <r>
    <x v="38"/>
    <s v="SWZ"/>
    <n v="1111456"/>
    <x v="7"/>
    <n v="0"/>
    <n v="1118318.9999999998"/>
    <n v="0"/>
    <m/>
    <n v="0"/>
    <m/>
    <n v="0"/>
    <m/>
    <n v="0"/>
    <m/>
    <n v="0"/>
    <n v="1160427.5"/>
    <n v="0"/>
    <n v="28"/>
    <m/>
    <n v="0"/>
    <m/>
    <n v="30"/>
    <m/>
    <n v="0"/>
    <n v="1201670.4999999995"/>
    <n v="0"/>
    <n v="28"/>
    <n v="0"/>
    <n v="0"/>
    <n v="30"/>
    <x v="0"/>
    <s v=""/>
    <n v="28"/>
    <s v="2018 (triag)"/>
    <n v="30"/>
    <n v="2020"/>
    <x v="1"/>
    <n v="30"/>
    <n v="30"/>
    <s v="Increasing"/>
    <n v="-0.11185567778326533"/>
    <n v="0.45661638376408309"/>
    <n v="48.983470236784051"/>
    <n v="110.17319873493838"/>
    <x v="0"/>
    <n v="0.24129038651703791"/>
    <n v="0.24965246296717788"/>
  </r>
  <r>
    <x v="38"/>
    <s v="SWZ"/>
    <n v="1111457"/>
    <x v="8"/>
    <n v="0"/>
    <n v="1118318.9999999998"/>
    <n v="0"/>
    <m/>
    <n v="0"/>
    <m/>
    <n v="0"/>
    <m/>
    <n v="0"/>
    <m/>
    <n v="0"/>
    <n v="1160427.5"/>
    <n v="0"/>
    <n v="47"/>
    <m/>
    <n v="0"/>
    <m/>
    <n v="53"/>
    <m/>
    <n v="0"/>
    <n v="1201670.4999999995"/>
    <n v="64"/>
    <n v="47"/>
    <n v="0"/>
    <n v="0"/>
    <n v="64"/>
    <x v="0"/>
    <s v=""/>
    <n v="47"/>
    <s v="2018 (triag)"/>
    <n v="64"/>
    <n v="2022"/>
    <x v="1"/>
    <n v="64"/>
    <n v="64"/>
    <s v="Increasing"/>
    <n v="-0.11185567778326533"/>
    <n v="0.45661638376408309"/>
    <n v="82.222253611744662"/>
    <n v="184.93358359078942"/>
    <x v="0"/>
    <n v="0.40502314879645646"/>
    <n v="0.5325919209966461"/>
  </r>
  <r>
    <x v="38"/>
    <s v="SWZ"/>
    <n v="1111458"/>
    <x v="9"/>
    <n v="0"/>
    <n v="1118318.9999999998"/>
    <n v="0"/>
    <m/>
    <n v="0"/>
    <m/>
    <n v="0"/>
    <m/>
    <n v="0"/>
    <m/>
    <n v="0"/>
    <n v="1160427.5"/>
    <n v="0"/>
    <n v="2084"/>
    <m/>
    <n v="0"/>
    <m/>
    <n v="0"/>
    <m/>
    <n v="0"/>
    <n v="1201670.4999999995"/>
    <n v="0"/>
    <n v="2084"/>
    <n v="0"/>
    <n v="0"/>
    <n v="0"/>
    <x v="0"/>
    <s v=""/>
    <n v="2084"/>
    <s v="2018 (triag)"/>
    <n v="2084"/>
    <s v="2018 (triag)"/>
    <x v="1"/>
    <n v="2084"/>
    <n v="2084"/>
    <s v="No change"/>
    <n v="-0.11185567778326533"/>
    <n v="0.45661638376408309"/>
    <n v="3645.7697133377842"/>
    <n v="8200.0337915575565"/>
    <x v="0"/>
    <n v="17.958898767910963"/>
    <n v="17.342524427453288"/>
  </r>
  <r>
    <x v="38"/>
    <s v="SWZ"/>
    <n v="1111459"/>
    <x v="10"/>
    <n v="0"/>
    <n v="1118318.9999999998"/>
    <n v="0"/>
    <m/>
    <n v="0"/>
    <m/>
    <n v="0"/>
    <m/>
    <n v="0"/>
    <m/>
    <n v="0"/>
    <n v="1160427.5"/>
    <n v="0"/>
    <n v="12"/>
    <m/>
    <n v="0"/>
    <m/>
    <n v="6"/>
    <m/>
    <n v="0"/>
    <n v="1201670.4999999995"/>
    <n v="6"/>
    <n v="12"/>
    <n v="0"/>
    <n v="0"/>
    <n v="6"/>
    <x v="0"/>
    <s v=""/>
    <n v="12"/>
    <s v="2018 (triag)"/>
    <n v="6"/>
    <n v="2020"/>
    <x v="0"/>
    <n v="8.5995578278292122"/>
    <n v="12"/>
    <s v="Decreasing"/>
    <n v="-0.11185567778326533"/>
    <n v="0.45661638376408309"/>
    <n v="20.992915815764594"/>
    <n v="47.217085172116448"/>
    <x v="0"/>
    <n v="0.10341016565015911"/>
    <n v="7.1563359738207891E-2"/>
  </r>
  <r>
    <x v="38"/>
    <s v="SWZ"/>
    <n v="1111460"/>
    <x v="11"/>
    <n v="0"/>
    <n v="1118318.9999999998"/>
    <n v="0"/>
    <m/>
    <n v="0"/>
    <m/>
    <n v="0"/>
    <m/>
    <n v="0"/>
    <m/>
    <n v="0"/>
    <n v="1160427.5"/>
    <n v="0"/>
    <n v="1215"/>
    <m/>
    <n v="0"/>
    <m/>
    <n v="52"/>
    <m/>
    <n v="0"/>
    <n v="1201670.4999999995"/>
    <n v="0"/>
    <n v="1215"/>
    <n v="0"/>
    <n v="0"/>
    <n v="52"/>
    <x v="0"/>
    <s v=""/>
    <n v="1215"/>
    <s v="2018 (triag)"/>
    <n v="52"/>
    <n v="2020"/>
    <x v="0"/>
    <n v="74.529501174519837"/>
    <n v="1215"/>
    <s v="Decreasing"/>
    <n v="-0.11185567778326533"/>
    <n v="0.45661638376408309"/>
    <n v="2125.532726346165"/>
    <n v="4780.7298736767907"/>
    <x v="0"/>
    <n v="10.470279272078608"/>
    <n v="0.62021578439780178"/>
  </r>
  <r>
    <x v="38"/>
    <s v="SWZ"/>
    <n v="1111461"/>
    <x v="12"/>
    <n v="0"/>
    <n v="1118318.9999999998"/>
    <n v="0"/>
    <m/>
    <n v="0"/>
    <m/>
    <n v="0"/>
    <m/>
    <n v="0"/>
    <m/>
    <n v="0"/>
    <n v="1160427.5"/>
    <n v="0"/>
    <n v="85"/>
    <m/>
    <n v="0"/>
    <m/>
    <n v="1861"/>
    <m/>
    <n v="0"/>
    <n v="1201670.4999999995"/>
    <n v="0"/>
    <n v="85"/>
    <n v="0"/>
    <n v="0"/>
    <n v="1861"/>
    <x v="0"/>
    <s v=""/>
    <n v="85"/>
    <s v="2018 (triag)"/>
    <n v="1861"/>
    <n v="2020"/>
    <x v="1"/>
    <n v="1861"/>
    <n v="1861"/>
    <s v="Increasing"/>
    <n v="-0.11185567778326533"/>
    <n v="0.45661638376408309"/>
    <n v="148.69982036166587"/>
    <n v="334.45435330249154"/>
    <x v="0"/>
    <n v="0.73248867335529366"/>
    <n v="15.4867744527306"/>
  </r>
  <r>
    <x v="38"/>
    <s v="SWZ"/>
    <n v="1111462"/>
    <x v="13"/>
    <n v="0"/>
    <n v="1118318.9999999998"/>
    <n v="0"/>
    <m/>
    <n v="0"/>
    <m/>
    <n v="0"/>
    <m/>
    <n v="0"/>
    <m/>
    <n v="0"/>
    <n v="1160427.5"/>
    <n v="0"/>
    <n v="370"/>
    <m/>
    <n v="0"/>
    <m/>
    <n v="0"/>
    <m/>
    <n v="0"/>
    <n v="1201670.4999999995"/>
    <n v="249"/>
    <n v="370"/>
    <n v="0"/>
    <n v="0"/>
    <n v="249"/>
    <x v="0"/>
    <s v=""/>
    <n v="370"/>
    <s v="2018 (triag)"/>
    <n v="249"/>
    <n v="2022"/>
    <x v="0"/>
    <n v="356.88164985491227"/>
    <n v="370"/>
    <s v="Decreasing"/>
    <n v="-0.11185567778326533"/>
    <n v="0.45661638376408309"/>
    <n v="647.28157098607494"/>
    <n v="1455.8601261402573"/>
    <x v="0"/>
    <n v="3.1884801075465723"/>
    <n v="2.9698794291356276"/>
  </r>
  <r>
    <x v="38"/>
    <s v="SWZ"/>
    <n v="1111463"/>
    <x v="14"/>
    <n v="0"/>
    <n v="1118318.9999999998"/>
    <n v="0"/>
    <m/>
    <n v="0"/>
    <m/>
    <n v="0"/>
    <m/>
    <n v="0"/>
    <m/>
    <n v="0"/>
    <n v="1160427.5"/>
    <n v="0"/>
    <n v="29"/>
    <m/>
    <n v="0"/>
    <m/>
    <n v="0"/>
    <m/>
    <n v="0"/>
    <n v="1201670.4999999995"/>
    <n v="0"/>
    <n v="29"/>
    <n v="0"/>
    <n v="0"/>
    <n v="0"/>
    <x v="0"/>
    <s v=""/>
    <n v="29"/>
    <s v="2018 (triag)"/>
    <n v="29"/>
    <s v="2018 (triag)"/>
    <x v="1"/>
    <n v="29"/>
    <n v="29"/>
    <s v="No change"/>
    <n v="-0.11185567778326533"/>
    <n v="0.45661638376408309"/>
    <n v="50.73287988809777"/>
    <n v="114.10795583261475"/>
    <x v="0"/>
    <n v="0.24990790032121782"/>
    <n v="0.24133071420160526"/>
  </r>
  <r>
    <x v="38"/>
    <s v="SWZ"/>
    <n v="1111464"/>
    <x v="15"/>
    <n v="0"/>
    <n v="1118318.9999999998"/>
    <n v="0"/>
    <m/>
    <n v="0"/>
    <m/>
    <n v="0"/>
    <m/>
    <n v="0"/>
    <m/>
    <n v="0"/>
    <n v="1160427.5"/>
    <n v="0"/>
    <n v="29"/>
    <m/>
    <n v="0"/>
    <m/>
    <n v="15"/>
    <m/>
    <n v="0"/>
    <n v="1201670.4999999995"/>
    <n v="32"/>
    <n v="29"/>
    <n v="0"/>
    <n v="0"/>
    <n v="32"/>
    <x v="0"/>
    <s v=""/>
    <n v="29"/>
    <s v="2018 (triag)"/>
    <n v="32"/>
    <n v="2022"/>
    <x v="1"/>
    <n v="32"/>
    <n v="32"/>
    <s v="Increasing"/>
    <n v="-0.11185567778326533"/>
    <n v="0.45661638376408309"/>
    <n v="50.73287988809777"/>
    <n v="114.10795583261475"/>
    <x v="0"/>
    <n v="0.24990790032121782"/>
    <n v="0.26629596049832305"/>
  </r>
  <r>
    <x v="38"/>
    <s v="SWZ"/>
    <n v="1111465"/>
    <x v="16"/>
    <n v="0"/>
    <n v="1118318.9999999998"/>
    <n v="0"/>
    <m/>
    <n v="0"/>
    <m/>
    <n v="0"/>
    <m/>
    <n v="0"/>
    <m/>
    <n v="0"/>
    <n v="1160427.5"/>
    <n v="0"/>
    <n v="0"/>
    <m/>
    <n v="0"/>
    <m/>
    <n v="38"/>
    <m/>
    <n v="0"/>
    <n v="1201670.4999999995"/>
    <n v="0"/>
    <n v="0"/>
    <n v="0"/>
    <n v="0"/>
    <n v="38"/>
    <x v="0"/>
    <s v=""/>
    <m/>
    <s v=""/>
    <n v="38"/>
    <n v="2020"/>
    <x v="1"/>
    <n v="38"/>
    <n v="38"/>
    <s v="Increasing"/>
    <n v="-0.11185567778326533"/>
    <n v="0.45661638376408309"/>
    <n v="0"/>
    <n v="0"/>
    <x v="0"/>
    <n v="0"/>
    <n v="0.31622645309175862"/>
  </r>
  <r>
    <x v="38"/>
    <s v="SWZ"/>
    <n v="1111466"/>
    <x v="17"/>
    <n v="0"/>
    <n v="1118318.9999999998"/>
    <n v="0"/>
    <m/>
    <n v="0"/>
    <m/>
    <n v="0"/>
    <m/>
    <n v="0"/>
    <m/>
    <n v="0"/>
    <n v="1160427.5"/>
    <n v="0"/>
    <n v="0"/>
    <m/>
    <n v="0"/>
    <m/>
    <n v="7"/>
    <m/>
    <n v="0"/>
    <n v="1201670.4999999995"/>
    <n v="14"/>
    <n v="0"/>
    <n v="0"/>
    <n v="0"/>
    <n v="14"/>
    <x v="0"/>
    <s v=""/>
    <m/>
    <s v=""/>
    <n v="14"/>
    <n v="2022"/>
    <x v="1"/>
    <n v="14"/>
    <n v="14"/>
    <s v="Increasing"/>
    <n v="-0.11185567778326533"/>
    <n v="0.45661638376408309"/>
    <n v="0"/>
    <n v="0"/>
    <x v="0"/>
    <n v="0"/>
    <n v="0.11650448271801633"/>
  </r>
  <r>
    <x v="38"/>
    <s v="SWZ"/>
    <n v="1111467"/>
    <x v="18"/>
    <n v="0"/>
    <n v="1118318.9999999998"/>
    <n v="0"/>
    <m/>
    <n v="0"/>
    <m/>
    <n v="0"/>
    <m/>
    <n v="0"/>
    <m/>
    <n v="0"/>
    <n v="1160427.5"/>
    <n v="0"/>
    <n v="7"/>
    <m/>
    <n v="0"/>
    <m/>
    <n v="0"/>
    <m/>
    <n v="0"/>
    <n v="1201670.4999999995"/>
    <n v="0"/>
    <n v="7"/>
    <n v="0"/>
    <n v="0"/>
    <n v="0"/>
    <x v="0"/>
    <s v=""/>
    <n v="7"/>
    <s v="2018 (triag)"/>
    <n v="7"/>
    <s v="2018 (triag)"/>
    <x v="1"/>
    <n v="7"/>
    <n v="7"/>
    <s v="No change"/>
    <n v="-0.11185567778326533"/>
    <n v="0.45661638376408309"/>
    <n v="12.245867559196013"/>
    <n v="27.543299683734595"/>
    <x v="0"/>
    <n v="6.0322596629259477E-2"/>
    <n v="5.8252241359008167E-2"/>
  </r>
  <r>
    <x v="39"/>
    <s v="SYC"/>
    <n v="95314"/>
    <x v="0"/>
    <n v="0"/>
    <n v="96714"/>
    <n v="0"/>
    <m/>
    <n v="0"/>
    <m/>
    <n v="0"/>
    <m/>
    <n v="0"/>
    <m/>
    <n v="0"/>
    <n v="103101.00000000003"/>
    <n v="0"/>
    <n v="0"/>
    <m/>
    <n v="0"/>
    <m/>
    <n v="0"/>
    <m/>
    <n v="0"/>
    <n v="107118.5"/>
    <n v="0"/>
    <n v="0"/>
    <n v="0"/>
    <n v="0"/>
    <n v="0"/>
    <x v="0"/>
    <s v=""/>
    <m/>
    <s v=""/>
    <n v="0"/>
    <s v=""/>
    <x v="1"/>
    <m/>
    <n v="0"/>
    <s v="No change"/>
    <n v="-6.1731500721997512E-2"/>
    <n v="0.10455737067903281"/>
    <n v="0"/>
    <n v="0"/>
    <x v="0"/>
    <n v="0"/>
    <n v="0"/>
  </r>
  <r>
    <x v="39"/>
    <s v="SYC"/>
    <n v="95315"/>
    <x v="1"/>
    <n v="0"/>
    <n v="96714"/>
    <n v="0"/>
    <m/>
    <n v="0"/>
    <m/>
    <n v="0"/>
    <m/>
    <n v="0"/>
    <m/>
    <n v="0"/>
    <n v="103101.00000000003"/>
    <n v="0"/>
    <n v="5"/>
    <m/>
    <n v="0"/>
    <m/>
    <n v="0"/>
    <m/>
    <n v="0"/>
    <n v="107118.5"/>
    <n v="0"/>
    <n v="5"/>
    <n v="0"/>
    <n v="0"/>
    <n v="0"/>
    <x v="0"/>
    <s v=""/>
    <n v="5"/>
    <s v="2018 (triag)"/>
    <n v="5"/>
    <s v="2018 (triag)"/>
    <x v="1"/>
    <n v="5"/>
    <n v="5"/>
    <s v="No change"/>
    <n v="-6.1731500721997512E-2"/>
    <n v="0.10455737067903281"/>
    <n v="6.8079797446848174"/>
    <n v="6.8422048382860083"/>
    <x v="0"/>
    <n v="0.48496134858051798"/>
    <n v="0.46677277967858027"/>
  </r>
  <r>
    <x v="39"/>
    <s v="SYC"/>
    <n v="95316"/>
    <x v="2"/>
    <n v="0"/>
    <n v="96714"/>
    <n v="0"/>
    <m/>
    <n v="0"/>
    <m/>
    <n v="0"/>
    <m/>
    <n v="0"/>
    <m/>
    <n v="0"/>
    <n v="103101.00000000003"/>
    <n v="0"/>
    <n v="50"/>
    <m/>
    <n v="0"/>
    <m/>
    <n v="0"/>
    <m/>
    <n v="0"/>
    <n v="107118.5"/>
    <n v="0"/>
    <n v="50"/>
    <n v="0"/>
    <n v="0"/>
    <n v="0"/>
    <x v="0"/>
    <s v=""/>
    <n v="50"/>
    <s v="2018 (triag)"/>
    <n v="50"/>
    <s v="2018 (triag)"/>
    <x v="1"/>
    <n v="50"/>
    <n v="50"/>
    <s v="No change"/>
    <n v="-6.1731500721997512E-2"/>
    <n v="0.10455737067903281"/>
    <n v="68.079797446848175"/>
    <n v="68.422048382860083"/>
    <x v="0"/>
    <n v="4.8496134858051798"/>
    <n v="4.6677277967858029"/>
  </r>
  <r>
    <x v="39"/>
    <s v="SYC"/>
    <n v="95317"/>
    <x v="3"/>
    <n v="0"/>
    <n v="96714"/>
    <n v="0"/>
    <m/>
    <n v="0"/>
    <m/>
    <n v="0"/>
    <m/>
    <n v="0"/>
    <m/>
    <n v="0"/>
    <n v="103101.00000000003"/>
    <n v="0"/>
    <n v="258"/>
    <m/>
    <n v="0"/>
    <m/>
    <n v="0"/>
    <m/>
    <n v="0"/>
    <n v="107118.5"/>
    <n v="0"/>
    <n v="258"/>
    <n v="0"/>
    <n v="0"/>
    <n v="0"/>
    <x v="0"/>
    <s v=""/>
    <n v="258"/>
    <s v="2018 (triag)"/>
    <n v="258"/>
    <s v="2018 (triag)"/>
    <x v="1"/>
    <n v="258"/>
    <n v="258"/>
    <s v="No change"/>
    <n v="-6.1731500721997512E-2"/>
    <n v="0.10455737067903281"/>
    <n v="351.29175482573658"/>
    <n v="353.05776965555799"/>
    <x v="0"/>
    <n v="25.024005586754729"/>
    <n v="24.085475431414743"/>
  </r>
  <r>
    <x v="39"/>
    <s v="SYC"/>
    <n v="95318"/>
    <x v="4"/>
    <n v="0"/>
    <n v="96714"/>
    <n v="0"/>
    <m/>
    <n v="0"/>
    <m/>
    <n v="0"/>
    <m/>
    <n v="0"/>
    <m/>
    <n v="0"/>
    <n v="103101.00000000003"/>
    <n v="0"/>
    <n v="0"/>
    <m/>
    <n v="0"/>
    <m/>
    <n v="0"/>
    <m/>
    <n v="0"/>
    <n v="107118.5"/>
    <n v="0"/>
    <n v="0"/>
    <n v="0"/>
    <n v="0"/>
    <n v="0"/>
    <x v="0"/>
    <s v=""/>
    <m/>
    <s v=""/>
    <n v="0"/>
    <s v=""/>
    <x v="1"/>
    <m/>
    <n v="0"/>
    <s v="No change"/>
    <n v="-6.1731500721997512E-2"/>
    <n v="0.10455737067903281"/>
    <n v="0"/>
    <n v="0"/>
    <x v="0"/>
    <n v="0"/>
    <n v="0"/>
  </r>
  <r>
    <x v="39"/>
    <s v="SYC"/>
    <n v="95319"/>
    <x v="5"/>
    <n v="0"/>
    <n v="96714"/>
    <n v="0"/>
    <m/>
    <n v="0"/>
    <m/>
    <n v="0"/>
    <m/>
    <n v="0"/>
    <m/>
    <n v="0"/>
    <n v="103101.00000000003"/>
    <n v="0"/>
    <n v="2"/>
    <m/>
    <n v="14"/>
    <m/>
    <n v="0"/>
    <m/>
    <n v="4"/>
    <n v="107118.5"/>
    <n v="11"/>
    <n v="2"/>
    <n v="0"/>
    <n v="14"/>
    <n v="11"/>
    <x v="0"/>
    <s v=""/>
    <n v="2"/>
    <s v="2018 (triag)"/>
    <n v="11"/>
    <n v="2022"/>
    <x v="1"/>
    <n v="11"/>
    <n v="13"/>
    <s v="Increasing"/>
    <n v="-6.1731500721997512E-2"/>
    <n v="0.10455737067903281"/>
    <n v="2.7231918978739271"/>
    <n v="2.7368819353144032"/>
    <x v="0"/>
    <n v="0.1939845394322072"/>
    <n v="1.0269001152928765"/>
  </r>
  <r>
    <x v="39"/>
    <s v="SYC"/>
    <n v="95320"/>
    <x v="6"/>
    <n v="0"/>
    <n v="96714"/>
    <n v="0"/>
    <m/>
    <n v="0"/>
    <m/>
    <n v="0"/>
    <m/>
    <n v="0"/>
    <m/>
    <n v="0"/>
    <n v="103101.00000000003"/>
    <n v="71"/>
    <n v="71"/>
    <m/>
    <n v="0"/>
    <m/>
    <n v="0"/>
    <m/>
    <n v="0"/>
    <n v="107118.5"/>
    <n v="0"/>
    <n v="70"/>
    <n v="0"/>
    <n v="71"/>
    <n v="0"/>
    <x v="0"/>
    <s v=""/>
    <n v="71"/>
    <n v="2018"/>
    <n v="71"/>
    <n v="2018"/>
    <x v="1"/>
    <n v="71"/>
    <n v="71"/>
    <s v="No change"/>
    <n v="-6.1731500721997512E-2"/>
    <n v="0.10455737067903281"/>
    <n v="95.311716425587448"/>
    <n v="95.790867736004117"/>
    <x v="0"/>
    <n v="6.8864511498433556"/>
    <n v="6.62817347143584"/>
  </r>
  <r>
    <x v="39"/>
    <s v="SYC"/>
    <n v="95321"/>
    <x v="7"/>
    <n v="0"/>
    <n v="96714"/>
    <n v="0"/>
    <m/>
    <n v="0"/>
    <m/>
    <n v="0"/>
    <m/>
    <n v="0"/>
    <m/>
    <n v="0"/>
    <n v="103101.00000000003"/>
    <n v="0"/>
    <n v="0"/>
    <m/>
    <n v="0"/>
    <m/>
    <n v="0"/>
    <m/>
    <n v="0"/>
    <n v="107118.5"/>
    <n v="0"/>
    <n v="0"/>
    <n v="0"/>
    <n v="0"/>
    <n v="0"/>
    <x v="0"/>
    <s v=""/>
    <m/>
    <s v=""/>
    <n v="0"/>
    <s v=""/>
    <x v="1"/>
    <m/>
    <n v="0"/>
    <s v="No change"/>
    <n v="-6.1731500721997512E-2"/>
    <n v="0.10455737067903281"/>
    <n v="0"/>
    <n v="0"/>
    <x v="0"/>
    <n v="0"/>
    <n v="0"/>
  </r>
  <r>
    <x v="39"/>
    <s v="SYC"/>
    <n v="95322"/>
    <x v="8"/>
    <n v="0"/>
    <n v="96714"/>
    <n v="0"/>
    <m/>
    <n v="0"/>
    <m/>
    <n v="0"/>
    <m/>
    <n v="0"/>
    <m/>
    <n v="0"/>
    <n v="103101.00000000003"/>
    <n v="0"/>
    <n v="7"/>
    <m/>
    <n v="0"/>
    <m/>
    <n v="0"/>
    <m/>
    <n v="0"/>
    <n v="107118.5"/>
    <n v="0"/>
    <n v="7"/>
    <n v="0"/>
    <n v="0"/>
    <n v="0"/>
    <x v="0"/>
    <s v=""/>
    <n v="7"/>
    <s v="2018 (triag)"/>
    <n v="7"/>
    <s v="2018 (triag)"/>
    <x v="1"/>
    <n v="7"/>
    <n v="7"/>
    <s v="No change"/>
    <n v="-6.1731500721997512E-2"/>
    <n v="0.10455737067903281"/>
    <n v="9.5311716425587445"/>
    <n v="9.5790867736004106"/>
    <x v="0"/>
    <n v="0.67894588801272515"/>
    <n v="0.65348189155001235"/>
  </r>
  <r>
    <x v="39"/>
    <s v="SYC"/>
    <n v="95323"/>
    <x v="9"/>
    <n v="0"/>
    <n v="96714"/>
    <n v="0"/>
    <m/>
    <n v="0"/>
    <m/>
    <n v="0"/>
    <m/>
    <n v="0"/>
    <m/>
    <n v="0"/>
    <n v="103101.00000000003"/>
    <n v="0"/>
    <n v="0"/>
    <m/>
    <n v="0"/>
    <m/>
    <n v="0"/>
    <m/>
    <n v="0"/>
    <n v="107118.5"/>
    <n v="0"/>
    <n v="0"/>
    <n v="0"/>
    <n v="0"/>
    <n v="0"/>
    <x v="0"/>
    <s v=""/>
    <m/>
    <s v=""/>
    <n v="0"/>
    <s v=""/>
    <x v="1"/>
    <m/>
    <n v="0"/>
    <s v="No change"/>
    <n v="-6.1731500721997512E-2"/>
    <n v="0.10455737067903281"/>
    <n v="0"/>
    <n v="0"/>
    <x v="0"/>
    <n v="0"/>
    <n v="0"/>
  </r>
  <r>
    <x v="39"/>
    <s v="SYC"/>
    <n v="95324"/>
    <x v="10"/>
    <n v="0"/>
    <n v="96714"/>
    <n v="0"/>
    <m/>
    <n v="0"/>
    <m/>
    <n v="0"/>
    <m/>
    <n v="0"/>
    <m/>
    <n v="0"/>
    <n v="103101.00000000003"/>
    <n v="0"/>
    <n v="28"/>
    <m/>
    <n v="0"/>
    <m/>
    <n v="0"/>
    <m/>
    <n v="22"/>
    <n v="107118.5"/>
    <n v="0"/>
    <n v="28"/>
    <n v="0"/>
    <n v="0"/>
    <n v="22"/>
    <x v="0"/>
    <s v=""/>
    <n v="28"/>
    <s v="2018 (triag)"/>
    <n v="22"/>
    <n v="2021"/>
    <x v="0"/>
    <n v="25.284570175049133"/>
    <n v="28"/>
    <s v="Decreasing"/>
    <n v="-6.1731500721997512E-2"/>
    <n v="0.10455737067903281"/>
    <n v="38.124686570234978"/>
    <n v="38.316347094401642"/>
    <x v="0"/>
    <n v="2.7157835520509006"/>
    <n v="2.3604298207171621"/>
  </r>
  <r>
    <x v="39"/>
    <s v="SYC"/>
    <n v="95325"/>
    <x v="11"/>
    <n v="0"/>
    <n v="96714"/>
    <n v="0"/>
    <m/>
    <n v="0"/>
    <m/>
    <n v="0"/>
    <m/>
    <n v="0"/>
    <m/>
    <n v="0"/>
    <n v="103101.00000000003"/>
    <n v="0"/>
    <n v="0"/>
    <m/>
    <n v="0"/>
    <m/>
    <n v="0"/>
    <m/>
    <n v="0"/>
    <n v="107118.5"/>
    <n v="0"/>
    <n v="0"/>
    <n v="0"/>
    <n v="0"/>
    <n v="0"/>
    <x v="0"/>
    <s v=""/>
    <m/>
    <s v=""/>
    <n v="0"/>
    <s v=""/>
    <x v="1"/>
    <m/>
    <n v="0"/>
    <s v="No change"/>
    <n v="-6.1731500721997512E-2"/>
    <n v="0.10455737067903281"/>
    <n v="0"/>
    <n v="0"/>
    <x v="0"/>
    <n v="0"/>
    <n v="0"/>
  </r>
  <r>
    <x v="39"/>
    <s v="SYC"/>
    <n v="95326"/>
    <x v="12"/>
    <n v="0"/>
    <n v="96714"/>
    <n v="0"/>
    <m/>
    <n v="0"/>
    <m/>
    <n v="0"/>
    <m/>
    <n v="0"/>
    <m/>
    <n v="0"/>
    <n v="103101.00000000003"/>
    <n v="0"/>
    <n v="0"/>
    <m/>
    <n v="0"/>
    <m/>
    <n v="0"/>
    <m/>
    <n v="0"/>
    <n v="107118.5"/>
    <n v="0"/>
    <n v="0"/>
    <n v="0"/>
    <n v="0"/>
    <n v="0"/>
    <x v="0"/>
    <s v=""/>
    <m/>
    <s v=""/>
    <n v="0"/>
    <s v=""/>
    <x v="1"/>
    <m/>
    <n v="0"/>
    <s v="No change"/>
    <n v="-6.1731500721997512E-2"/>
    <n v="0.10455737067903281"/>
    <n v="0"/>
    <n v="0"/>
    <x v="0"/>
    <n v="0"/>
    <n v="0"/>
  </r>
  <r>
    <x v="39"/>
    <s v="SYC"/>
    <n v="95327"/>
    <x v="13"/>
    <n v="0"/>
    <n v="96714"/>
    <n v="0"/>
    <m/>
    <n v="0"/>
    <m/>
    <n v="0"/>
    <m/>
    <n v="0"/>
    <m/>
    <n v="0"/>
    <n v="103101.00000000003"/>
    <n v="0"/>
    <n v="71"/>
    <m/>
    <n v="0"/>
    <m/>
    <n v="0"/>
    <m/>
    <n v="0"/>
    <n v="107118.5"/>
    <n v="0"/>
    <n v="71"/>
    <n v="0"/>
    <n v="0"/>
    <n v="0"/>
    <x v="0"/>
    <s v=""/>
    <n v="71"/>
    <s v="2018 (triag)"/>
    <n v="71"/>
    <s v="2018 (triag)"/>
    <x v="1"/>
    <n v="71"/>
    <n v="71"/>
    <s v="No change"/>
    <n v="-6.1731500721997512E-2"/>
    <n v="0.10455737067903281"/>
    <n v="96.673312374524414"/>
    <n v="97.15930870366131"/>
    <x v="0"/>
    <n v="6.8864511498433556"/>
    <n v="6.62817347143584"/>
  </r>
  <r>
    <x v="39"/>
    <s v="SYC"/>
    <n v="95328"/>
    <x v="14"/>
    <n v="0"/>
    <n v="96714"/>
    <n v="0"/>
    <m/>
    <n v="0"/>
    <m/>
    <n v="0"/>
    <m/>
    <n v="0"/>
    <m/>
    <n v="0"/>
    <n v="103101.00000000003"/>
    <n v="0"/>
    <n v="0"/>
    <m/>
    <n v="0"/>
    <m/>
    <n v="0"/>
    <m/>
    <n v="0"/>
    <n v="107118.5"/>
    <n v="0"/>
    <n v="0"/>
    <n v="0"/>
    <n v="0"/>
    <n v="0"/>
    <x v="0"/>
    <s v=""/>
    <m/>
    <s v=""/>
    <n v="0"/>
    <s v=""/>
    <x v="1"/>
    <m/>
    <n v="0"/>
    <s v="No change"/>
    <n v="-6.1731500721997512E-2"/>
    <n v="0.10455737067903281"/>
    <n v="0"/>
    <n v="0"/>
    <x v="0"/>
    <n v="0"/>
    <n v="0"/>
  </r>
  <r>
    <x v="39"/>
    <s v="SYC"/>
    <n v="95329"/>
    <x v="15"/>
    <n v="0"/>
    <n v="96714"/>
    <n v="0"/>
    <m/>
    <n v="0"/>
    <m/>
    <n v="0"/>
    <m/>
    <n v="0"/>
    <m/>
    <n v="0"/>
    <n v="103101.00000000003"/>
    <n v="0"/>
    <n v="33"/>
    <m/>
    <n v="0"/>
    <m/>
    <n v="0"/>
    <m/>
    <n v="60"/>
    <n v="107118.5"/>
    <n v="0"/>
    <n v="33"/>
    <n v="0"/>
    <n v="0"/>
    <n v="60"/>
    <x v="0"/>
    <s v=""/>
    <n v="33"/>
    <s v="2018 (triag)"/>
    <n v="60"/>
    <n v="2021"/>
    <x v="1"/>
    <n v="60"/>
    <n v="60"/>
    <s v="Increasing"/>
    <n v="-6.1731500721997512E-2"/>
    <n v="0.10455737067903281"/>
    <n v="44.9326663149198"/>
    <n v="45.158551932687651"/>
    <x v="0"/>
    <n v="3.2007449006314186"/>
    <n v="5.6012733561429631"/>
  </r>
  <r>
    <x v="39"/>
    <s v="SYC"/>
    <n v="95330"/>
    <x v="16"/>
    <n v="0"/>
    <n v="96714"/>
    <n v="0"/>
    <m/>
    <n v="0"/>
    <m/>
    <n v="0"/>
    <m/>
    <n v="0"/>
    <m/>
    <n v="0"/>
    <n v="103101.00000000003"/>
    <n v="0"/>
    <n v="0"/>
    <m/>
    <n v="0"/>
    <m/>
    <n v="0"/>
    <m/>
    <n v="2"/>
    <n v="107118.5"/>
    <n v="0"/>
    <n v="0"/>
    <n v="0"/>
    <n v="0"/>
    <n v="2"/>
    <x v="0"/>
    <s v=""/>
    <m/>
    <s v=""/>
    <n v="2"/>
    <n v="2021"/>
    <x v="1"/>
    <n v="2"/>
    <n v="2"/>
    <s v="Increasing"/>
    <n v="-6.1731500721997512E-2"/>
    <n v="0.10455737067903281"/>
    <n v="0"/>
    <n v="0"/>
    <x v="0"/>
    <n v="0"/>
    <n v="0.1867091118714321"/>
  </r>
  <r>
    <x v="39"/>
    <s v="SYC"/>
    <n v="95331"/>
    <x v="17"/>
    <n v="0"/>
    <n v="96714"/>
    <n v="0"/>
    <m/>
    <n v="0"/>
    <m/>
    <n v="0"/>
    <m/>
    <n v="0"/>
    <m/>
    <n v="0"/>
    <n v="103101.00000000003"/>
    <n v="0"/>
    <n v="0"/>
    <m/>
    <n v="0"/>
    <m/>
    <n v="0"/>
    <m/>
    <n v="5"/>
    <n v="107118.5"/>
    <n v="5"/>
    <n v="0"/>
    <n v="0"/>
    <n v="0"/>
    <n v="5"/>
    <x v="0"/>
    <s v=""/>
    <m/>
    <s v=""/>
    <n v="5"/>
    <n v="2021"/>
    <x v="1"/>
    <n v="5"/>
    <n v="5"/>
    <s v="Increasing"/>
    <n v="-6.1731500721997512E-2"/>
    <n v="0.10455737067903281"/>
    <n v="0"/>
    <n v="0"/>
    <x v="0"/>
    <n v="0"/>
    <n v="0.46677277967858027"/>
  </r>
  <r>
    <x v="39"/>
    <s v="SYC"/>
    <n v="95332"/>
    <x v="18"/>
    <n v="0"/>
    <n v="96714"/>
    <n v="0"/>
    <m/>
    <n v="0"/>
    <m/>
    <n v="0"/>
    <m/>
    <n v="0"/>
    <m/>
    <n v="0"/>
    <n v="103101.00000000003"/>
    <n v="0"/>
    <n v="0"/>
    <m/>
    <n v="0"/>
    <m/>
    <n v="0"/>
    <m/>
    <n v="2"/>
    <n v="107118.5"/>
    <n v="0"/>
    <n v="0"/>
    <n v="0"/>
    <n v="0"/>
    <n v="2"/>
    <x v="0"/>
    <s v=""/>
    <m/>
    <s v=""/>
    <n v="2"/>
    <n v="2021"/>
    <x v="1"/>
    <n v="2"/>
    <n v="2"/>
    <s v="Increasing"/>
    <n v="-6.1731500721997512E-2"/>
    <n v="0.10455737067903281"/>
    <n v="0"/>
    <n v="0"/>
    <x v="0"/>
    <n v="0"/>
    <n v="0.1867091118714321"/>
  </r>
  <r>
    <x v="40"/>
    <s v="TCD"/>
    <n v="12754911"/>
    <x v="0"/>
    <n v="0"/>
    <n v="13216766.5"/>
    <n v="0"/>
    <m/>
    <n v="0"/>
    <m/>
    <n v="0"/>
    <m/>
    <n v="0"/>
    <m/>
    <n v="0"/>
    <n v="15604210"/>
    <n v="0"/>
    <n v="7"/>
    <m/>
    <n v="0"/>
    <m/>
    <n v="592"/>
    <m/>
    <n v="8077"/>
    <n v="17723314.500000004"/>
    <n v="0"/>
    <n v="7"/>
    <n v="0"/>
    <n v="0"/>
    <n v="8077"/>
    <x v="0"/>
    <s v=""/>
    <n v="7"/>
    <s v="2018 (triag)"/>
    <n v="8077"/>
    <n v="2021"/>
    <x v="1"/>
    <n v="8077"/>
    <n v="8077"/>
    <s v="Increasing"/>
    <n v="-3.1578929217935259E-2"/>
    <n v="1.4876976840610734E-2"/>
    <n v="8.1972996998818672"/>
    <n v="7.3194931192912742"/>
    <x v="0"/>
    <n v="4.4859688507140061E-3"/>
    <n v="4.5572739794241075"/>
  </r>
  <r>
    <x v="40"/>
    <s v="TCD"/>
    <n v="12754912"/>
    <x v="1"/>
    <n v="406"/>
    <n v="13216766.5"/>
    <n v="0"/>
    <m/>
    <n v="0"/>
    <m/>
    <n v="43"/>
    <m/>
    <n v="0"/>
    <m/>
    <n v="0"/>
    <n v="15604210"/>
    <n v="0"/>
    <n v="58"/>
    <m/>
    <n v="0"/>
    <m/>
    <n v="0"/>
    <m/>
    <n v="0"/>
    <n v="17723314.500000004"/>
    <n v="0"/>
    <n v="58"/>
    <n v="406"/>
    <n v="0"/>
    <n v="0"/>
    <x v="87"/>
    <n v="2012"/>
    <n v="58"/>
    <s v="2018 (triag)"/>
    <n v="58"/>
    <s v="2018 (triag)"/>
    <x v="1"/>
    <n v="58"/>
    <n v="58"/>
    <s v="No change"/>
    <n v="-3.1578929217935259E-2"/>
    <n v="1.4876976840610734E-2"/>
    <n v="67.920483227592612"/>
    <n v="60.647228702699131"/>
    <x v="95"/>
    <n v="3.7169456191630333E-2"/>
    <n v="3.2725255764095358E-2"/>
  </r>
  <r>
    <x v="40"/>
    <s v="TCD"/>
    <n v="12754913"/>
    <x v="2"/>
    <n v="1258"/>
    <n v="13216766.5"/>
    <n v="0"/>
    <m/>
    <n v="255"/>
    <m/>
    <n v="0"/>
    <m/>
    <n v="0"/>
    <m/>
    <n v="0"/>
    <n v="15604210"/>
    <n v="0"/>
    <n v="76"/>
    <m/>
    <n v="0"/>
    <m/>
    <n v="0"/>
    <m/>
    <n v="0"/>
    <n v="17723314.500000004"/>
    <n v="0"/>
    <n v="76"/>
    <n v="1258"/>
    <n v="0"/>
    <n v="0"/>
    <x v="88"/>
    <n v="2012"/>
    <n v="76"/>
    <s v="2018 (triag)"/>
    <n v="76"/>
    <s v="2018 (triag)"/>
    <x v="1"/>
    <n v="76"/>
    <n v="76"/>
    <s v="No change"/>
    <n v="-3.1578929217935259E-2"/>
    <n v="1.4876976840610734E-2"/>
    <n v="88.999253884431695"/>
    <n v="79.468782438019545"/>
    <x v="96"/>
    <n v="4.8704804664894921E-2"/>
    <n v="4.2881369621918061E-2"/>
  </r>
  <r>
    <x v="40"/>
    <s v="TCD"/>
    <n v="12754914"/>
    <x v="3"/>
    <n v="0"/>
    <n v="13216766.5"/>
    <n v="0"/>
    <m/>
    <n v="0"/>
    <m/>
    <n v="0"/>
    <m/>
    <n v="0"/>
    <m/>
    <n v="0"/>
    <n v="15604210"/>
    <n v="0"/>
    <n v="738"/>
    <m/>
    <n v="208"/>
    <m/>
    <n v="0"/>
    <m/>
    <n v="0"/>
    <n v="17723314.500000004"/>
    <n v="0"/>
    <n v="738"/>
    <n v="0"/>
    <n v="208"/>
    <n v="0"/>
    <x v="0"/>
    <s v=""/>
    <n v="738"/>
    <s v="2018 (triag)"/>
    <n v="208"/>
    <s v="2018 (triag)"/>
    <x v="0"/>
    <n v="240.20714655618852"/>
    <n v="738"/>
    <s v="Decreasing"/>
    <n v="-3.1578929217935259E-2"/>
    <n v="1.4876976840610734E-2"/>
    <n v="864.22959693040252"/>
    <n v="771.68370314813717"/>
    <x v="0"/>
    <n v="0.47294928740384806"/>
    <n v="0.13553172943818634"/>
  </r>
  <r>
    <x v="40"/>
    <s v="TCD"/>
    <n v="12754915"/>
    <x v="4"/>
    <n v="0"/>
    <n v="13216766.5"/>
    <n v="0"/>
    <m/>
    <n v="0"/>
    <m/>
    <n v="0"/>
    <m/>
    <n v="0"/>
    <m/>
    <n v="0"/>
    <n v="15604210"/>
    <n v="0"/>
    <n v="732"/>
    <m/>
    <n v="109"/>
    <m/>
    <n v="0"/>
    <m/>
    <n v="371"/>
    <n v="17723314.500000004"/>
    <n v="0"/>
    <n v="732"/>
    <n v="0"/>
    <n v="109"/>
    <n v="371"/>
    <x v="0"/>
    <s v=""/>
    <n v="732"/>
    <s v="2018 (triag)"/>
    <n v="371"/>
    <n v="2021"/>
    <x v="0"/>
    <n v="428.44640082858621"/>
    <n v="732"/>
    <s v="Decreasing"/>
    <n v="-3.1578929217935259E-2"/>
    <n v="1.4876976840610734E-2"/>
    <n v="857.20334004478946"/>
    <n v="765.40985190303036"/>
    <x v="0"/>
    <n v="0.46910417124609322"/>
    <n v="0.24174169048830349"/>
  </r>
  <r>
    <x v="40"/>
    <s v="TCD"/>
    <n v="12754916"/>
    <x v="5"/>
    <n v="0"/>
    <n v="13216766.5"/>
    <n v="0"/>
    <m/>
    <n v="0"/>
    <m/>
    <n v="0"/>
    <m/>
    <n v="0"/>
    <m/>
    <n v="0"/>
    <n v="15604210"/>
    <n v="0"/>
    <n v="0"/>
    <m/>
    <n v="0"/>
    <m/>
    <n v="0"/>
    <m/>
    <n v="4"/>
    <n v="17723314.500000004"/>
    <n v="11"/>
    <n v="0"/>
    <n v="0"/>
    <n v="0"/>
    <n v="11"/>
    <x v="0"/>
    <s v=""/>
    <m/>
    <s v=""/>
    <n v="11"/>
    <n v="2022"/>
    <x v="1"/>
    <n v="11"/>
    <n v="11"/>
    <s v="Increasing"/>
    <n v="-3.1578929217935259E-2"/>
    <n v="1.4876976840610734E-2"/>
    <n v="0"/>
    <n v="0"/>
    <x v="0"/>
    <n v="0"/>
    <n v="6.206514024224982E-3"/>
  </r>
  <r>
    <x v="40"/>
    <s v="TCD"/>
    <n v="12754917"/>
    <x v="6"/>
    <n v="0"/>
    <n v="13216766.5"/>
    <n v="0"/>
    <m/>
    <n v="0"/>
    <m/>
    <n v="0"/>
    <m/>
    <n v="0"/>
    <m/>
    <n v="0"/>
    <n v="15604210"/>
    <n v="749"/>
    <n v="814"/>
    <m/>
    <n v="0"/>
    <m/>
    <n v="0"/>
    <m/>
    <n v="848"/>
    <n v="17723314.500000004"/>
    <n v="1028"/>
    <n v="814"/>
    <n v="0"/>
    <n v="749"/>
    <n v="1028"/>
    <x v="0"/>
    <s v=""/>
    <n v="814"/>
    <s v="2018 (triag)"/>
    <n v="1028"/>
    <n v="2022"/>
    <x v="1"/>
    <n v="1028"/>
    <n v="1028"/>
    <s v="Increasing"/>
    <n v="-3.1578929217935259E-2"/>
    <n v="1.4876976840610734E-2"/>
    <n v="953.22885081483423"/>
    <n v="851.15248558615679"/>
    <x v="0"/>
    <n v="0.52165409206874302"/>
    <n v="0.58002694699120738"/>
  </r>
  <r>
    <x v="40"/>
    <s v="TCD"/>
    <n v="12754918"/>
    <x v="7"/>
    <n v="0"/>
    <n v="13216766.5"/>
    <n v="0"/>
    <m/>
    <n v="0"/>
    <m/>
    <n v="0"/>
    <m/>
    <n v="0"/>
    <m/>
    <n v="0"/>
    <n v="15604210"/>
    <n v="0"/>
    <n v="42"/>
    <m/>
    <n v="0"/>
    <m/>
    <n v="0"/>
    <m/>
    <n v="104"/>
    <n v="17723314.500000004"/>
    <n v="104"/>
    <n v="42"/>
    <n v="0"/>
    <n v="0"/>
    <n v="104"/>
    <x v="0"/>
    <s v=""/>
    <n v="42"/>
    <s v="2018 (triag)"/>
    <n v="104"/>
    <n v="2021"/>
    <x v="1"/>
    <n v="104"/>
    <n v="104"/>
    <s v="Increasing"/>
    <n v="-3.1578929217935259E-2"/>
    <n v="1.4876976840610734E-2"/>
    <n v="49.183798199291203"/>
    <n v="43.916958715747647"/>
    <x v="0"/>
    <n v="2.6915813104284037E-2"/>
    <n v="5.8679768956308921E-2"/>
  </r>
  <r>
    <x v="40"/>
    <s v="TCD"/>
    <n v="12754919"/>
    <x v="8"/>
    <n v="0"/>
    <n v="13216766.5"/>
    <n v="0"/>
    <m/>
    <n v="0"/>
    <m/>
    <n v="0"/>
    <m/>
    <n v="0"/>
    <m/>
    <n v="0"/>
    <n v="15604210"/>
    <n v="0"/>
    <n v="25"/>
    <m/>
    <n v="48"/>
    <m/>
    <n v="0"/>
    <m/>
    <n v="0"/>
    <n v="17723314.500000004"/>
    <n v="0"/>
    <n v="25"/>
    <n v="0"/>
    <n v="48"/>
    <n v="0"/>
    <x v="0"/>
    <s v=""/>
    <n v="25"/>
    <s v="2018 (triag)"/>
    <n v="48"/>
    <s v="2018 (triag)"/>
    <x v="1"/>
    <n v="48"/>
    <n v="48"/>
    <s v="Increasing"/>
    <n v="-3.1578929217935259E-2"/>
    <n v="1.4876976840610734E-2"/>
    <n v="29.276070356720954"/>
    <n v="26.141046854611695"/>
    <x v="0"/>
    <n v="1.6021317323978594E-2"/>
    <n v="2.7082970287527194E-2"/>
  </r>
  <r>
    <x v="40"/>
    <s v="TCD"/>
    <n v="12754920"/>
    <x v="9"/>
    <n v="0"/>
    <n v="13216766.5"/>
    <n v="0"/>
    <m/>
    <n v="0"/>
    <m/>
    <n v="0"/>
    <m/>
    <n v="0"/>
    <m/>
    <n v="0"/>
    <n v="15604210"/>
    <n v="0"/>
    <n v="6"/>
    <m/>
    <n v="0"/>
    <m/>
    <n v="0"/>
    <m/>
    <n v="0"/>
    <n v="17723314.500000004"/>
    <n v="0"/>
    <n v="6"/>
    <n v="0"/>
    <n v="0"/>
    <n v="0"/>
    <x v="0"/>
    <s v=""/>
    <n v="6"/>
    <s v="2018 (triag)"/>
    <n v="6"/>
    <s v="2018 (triag)"/>
    <x v="1"/>
    <n v="6"/>
    <n v="6"/>
    <s v="No change"/>
    <n v="-3.1578929217935259E-2"/>
    <n v="1.4876976840610734E-2"/>
    <n v="7.0262568856130283"/>
    <n v="6.2738512451068065"/>
    <x v="0"/>
    <n v="3.8451161577548621E-3"/>
    <n v="3.3853712859408993E-3"/>
  </r>
  <r>
    <x v="40"/>
    <s v="TCD"/>
    <n v="12754921"/>
    <x v="10"/>
    <n v="0"/>
    <n v="13216766.5"/>
    <n v="0"/>
    <m/>
    <n v="0"/>
    <m/>
    <n v="0"/>
    <m/>
    <n v="0"/>
    <m/>
    <n v="0"/>
    <n v="15604210"/>
    <n v="0"/>
    <n v="6"/>
    <m/>
    <n v="50"/>
    <m/>
    <n v="1"/>
    <m/>
    <n v="0"/>
    <n v="17723314.500000004"/>
    <n v="0"/>
    <n v="6"/>
    <n v="0"/>
    <n v="50"/>
    <n v="1"/>
    <x v="0"/>
    <s v=""/>
    <n v="6"/>
    <s v="2018 (triag)"/>
    <n v="1"/>
    <n v="2020"/>
    <x v="0"/>
    <n v="1.1548420507509063"/>
    <n v="6"/>
    <s v="Decreasing"/>
    <n v="-3.1578929217935259E-2"/>
    <n v="1.4876976840610734E-2"/>
    <n v="7.0262568856130283"/>
    <n v="6.2738512451068065"/>
    <x v="0"/>
    <n v="3.8451161577548621E-3"/>
    <n v="6.5159485306820356E-4"/>
  </r>
  <r>
    <x v="40"/>
    <s v="TCD"/>
    <n v="12754922"/>
    <x v="11"/>
    <n v="0"/>
    <n v="13216766.5"/>
    <n v="0"/>
    <m/>
    <n v="0"/>
    <m/>
    <n v="0"/>
    <m/>
    <n v="0"/>
    <m/>
    <n v="0"/>
    <n v="15604210"/>
    <n v="0"/>
    <n v="436"/>
    <m/>
    <n v="6"/>
    <m/>
    <n v="0"/>
    <m/>
    <n v="0"/>
    <n v="17723314.500000004"/>
    <n v="0"/>
    <n v="436"/>
    <n v="0"/>
    <n v="6"/>
    <n v="0"/>
    <x v="0"/>
    <s v=""/>
    <n v="436"/>
    <s v="2018 (triag)"/>
    <n v="6"/>
    <s v="2018 (triag)"/>
    <x v="0"/>
    <n v="6.9290523045054382"/>
    <n v="436"/>
    <s v="Decreasing"/>
    <n v="-3.1578929217935259E-2"/>
    <n v="1.4876976840610734E-2"/>
    <n v="510.57466702121343"/>
    <n v="455.89985714442793"/>
    <x v="0"/>
    <n v="0.27941177413018664"/>
    <n v="3.9095691184092207E-3"/>
  </r>
  <r>
    <x v="40"/>
    <s v="TCD"/>
    <n v="12754923"/>
    <x v="12"/>
    <n v="0"/>
    <n v="13216766.5"/>
    <n v="0"/>
    <m/>
    <n v="0"/>
    <m/>
    <n v="0"/>
    <m/>
    <n v="0"/>
    <m/>
    <n v="0"/>
    <n v="15604210"/>
    <n v="0"/>
    <n v="90"/>
    <m/>
    <n v="791"/>
    <m/>
    <n v="0"/>
    <m/>
    <n v="0"/>
    <n v="17723314.500000004"/>
    <n v="0"/>
    <n v="90"/>
    <n v="0"/>
    <n v="791"/>
    <n v="0"/>
    <x v="0"/>
    <s v=""/>
    <n v="90"/>
    <s v="2018 (triag)"/>
    <n v="791"/>
    <s v="2018 (triag)"/>
    <x v="1"/>
    <n v="791"/>
    <n v="791"/>
    <s v="Increasing"/>
    <n v="-3.1578929217935259E-2"/>
    <n v="1.4876976840610734E-2"/>
    <n v="105.39385328419543"/>
    <n v="94.107768676602092"/>
    <x v="0"/>
    <n v="5.7676742366322933E-2"/>
    <n v="0.44630478119654188"/>
  </r>
  <r>
    <x v="40"/>
    <s v="TCD"/>
    <n v="12754924"/>
    <x v="13"/>
    <n v="0"/>
    <n v="13216766.5"/>
    <n v="0"/>
    <m/>
    <n v="0"/>
    <m/>
    <n v="0"/>
    <m/>
    <n v="0"/>
    <m/>
    <n v="0"/>
    <n v="15604210"/>
    <n v="0"/>
    <n v="749"/>
    <m/>
    <n v="0"/>
    <m/>
    <n v="0"/>
    <m/>
    <n v="848"/>
    <n v="17723314.500000004"/>
    <n v="1028"/>
    <n v="749"/>
    <n v="0"/>
    <n v="0"/>
    <n v="1028"/>
    <x v="0"/>
    <s v=""/>
    <n v="749"/>
    <s v="2018 (triag)"/>
    <n v="1028"/>
    <n v="2022"/>
    <x v="1"/>
    <n v="1028"/>
    <n v="1028"/>
    <s v="Increasing"/>
    <n v="-3.1578929217935259E-2"/>
    <n v="1.4876976840610734E-2"/>
    <n v="877.1110678873597"/>
    <n v="783.18576376416638"/>
    <x v="0"/>
    <n v="0.47999866702639865"/>
    <n v="0.58002694699120738"/>
  </r>
  <r>
    <x v="40"/>
    <s v="TCD"/>
    <n v="12754925"/>
    <x v="14"/>
    <n v="0"/>
    <n v="13216766.5"/>
    <n v="0"/>
    <m/>
    <n v="0"/>
    <m/>
    <n v="0"/>
    <m/>
    <n v="0"/>
    <m/>
    <n v="0"/>
    <n v="15604210"/>
    <n v="0"/>
    <n v="0"/>
    <m/>
    <n v="0"/>
    <m/>
    <n v="0"/>
    <m/>
    <n v="0"/>
    <n v="17723314.500000004"/>
    <n v="0"/>
    <n v="0"/>
    <n v="0"/>
    <n v="0"/>
    <n v="0"/>
    <x v="0"/>
    <s v=""/>
    <m/>
    <s v=""/>
    <n v="0"/>
    <s v=""/>
    <x v="1"/>
    <m/>
    <n v="0"/>
    <s v="No change"/>
    <n v="-3.1578929217935259E-2"/>
    <n v="1.4876976840610734E-2"/>
    <n v="0"/>
    <n v="0"/>
    <x v="0"/>
    <n v="0"/>
    <n v="0"/>
  </r>
  <r>
    <x v="40"/>
    <s v="TCD"/>
    <n v="12754926"/>
    <x v="15"/>
    <n v="0"/>
    <n v="13216766.5"/>
    <n v="0"/>
    <m/>
    <n v="0"/>
    <m/>
    <n v="0"/>
    <m/>
    <n v="0"/>
    <m/>
    <n v="0"/>
    <n v="15604210"/>
    <n v="0"/>
    <n v="2"/>
    <m/>
    <n v="18"/>
    <m/>
    <n v="0"/>
    <m/>
    <n v="0"/>
    <n v="17723314.500000004"/>
    <n v="0"/>
    <n v="2"/>
    <n v="0"/>
    <n v="18"/>
    <n v="0"/>
    <x v="0"/>
    <s v=""/>
    <n v="2"/>
    <s v="2018 (triag)"/>
    <n v="18"/>
    <s v="2018 (triag)"/>
    <x v="1"/>
    <n v="18"/>
    <n v="18"/>
    <s v="Increasing"/>
    <n v="-3.1578929217935259E-2"/>
    <n v="1.4876976840610734E-2"/>
    <n v="2.3420856285376761"/>
    <n v="2.0912837483689355"/>
    <x v="0"/>
    <n v="1.2817053859182875E-3"/>
    <n v="1.0156113857822698E-2"/>
  </r>
  <r>
    <x v="40"/>
    <s v="TCD"/>
    <n v="12754927"/>
    <x v="16"/>
    <n v="0"/>
    <n v="13216766.5"/>
    <n v="0"/>
    <m/>
    <n v="0"/>
    <m/>
    <n v="0"/>
    <m/>
    <n v="0"/>
    <m/>
    <n v="0"/>
    <n v="15604210"/>
    <n v="0"/>
    <n v="0"/>
    <m/>
    <n v="19"/>
    <m/>
    <n v="0"/>
    <m/>
    <n v="0"/>
    <n v="17723314.500000004"/>
    <n v="0"/>
    <n v="0"/>
    <n v="0"/>
    <n v="19"/>
    <n v="0"/>
    <x v="0"/>
    <s v=""/>
    <n v="19"/>
    <n v="2019"/>
    <n v="19"/>
    <n v="2019"/>
    <x v="1"/>
    <n v="19"/>
    <n v="19"/>
    <s v="No change"/>
    <n v="-3.1578929217935259E-2"/>
    <n v="1.4876976840610734E-2"/>
    <n v="0"/>
    <n v="0"/>
    <x v="0"/>
    <n v="1.217620116622373E-2"/>
    <n v="1.0720342405479515E-2"/>
  </r>
  <r>
    <x v="40"/>
    <s v="TCD"/>
    <n v="12754928"/>
    <x v="17"/>
    <n v="0"/>
    <n v="13216766.5"/>
    <n v="0"/>
    <m/>
    <n v="0"/>
    <m/>
    <n v="0"/>
    <m/>
    <n v="0"/>
    <m/>
    <n v="0"/>
    <n v="15604210"/>
    <n v="0"/>
    <n v="0"/>
    <m/>
    <n v="0"/>
    <m/>
    <n v="0"/>
    <m/>
    <n v="0"/>
    <n v="17723314.500000004"/>
    <n v="0"/>
    <n v="0"/>
    <n v="0"/>
    <n v="0"/>
    <n v="0"/>
    <x v="0"/>
    <s v=""/>
    <m/>
    <s v=""/>
    <n v="0"/>
    <s v=""/>
    <x v="1"/>
    <m/>
    <n v="0"/>
    <s v="No change"/>
    <n v="-3.1578929217935259E-2"/>
    <n v="1.4876976840610734E-2"/>
    <n v="0"/>
    <n v="0"/>
    <x v="0"/>
    <n v="0"/>
    <n v="0"/>
  </r>
  <r>
    <x v="40"/>
    <s v="TCD"/>
    <n v="12754929"/>
    <x v="18"/>
    <n v="0"/>
    <n v="13216766.5"/>
    <n v="0"/>
    <m/>
    <n v="0"/>
    <m/>
    <n v="0"/>
    <m/>
    <n v="0"/>
    <m/>
    <n v="0"/>
    <n v="15604210"/>
    <n v="0"/>
    <n v="0"/>
    <m/>
    <n v="0"/>
    <m/>
    <n v="0"/>
    <m/>
    <n v="0"/>
    <n v="17723314.500000004"/>
    <n v="21983"/>
    <n v="0"/>
    <n v="0"/>
    <n v="0"/>
    <n v="21983"/>
    <x v="0"/>
    <s v=""/>
    <m/>
    <s v=""/>
    <n v="21983"/>
    <n v="2022"/>
    <x v="1"/>
    <n v="21983"/>
    <n v="21983"/>
    <s v="Increasing"/>
    <n v="-3.1578929217935259E-2"/>
    <n v="1.4876976840610734E-2"/>
    <n v="0"/>
    <n v="0"/>
    <x v="0"/>
    <n v="0"/>
    <n v="12.403436163139798"/>
  </r>
  <r>
    <x v="41"/>
    <s v="TGO"/>
    <n v="6926639.5"/>
    <x v="0"/>
    <n v="0"/>
    <n v="7106229"/>
    <n v="0"/>
    <m/>
    <n v="0"/>
    <m/>
    <n v="0"/>
    <m/>
    <n v="0"/>
    <m/>
    <n v="7545"/>
    <n v="8046679"/>
    <n v="7086"/>
    <n v="7500"/>
    <m/>
    <n v="0"/>
    <m/>
    <n v="7386"/>
    <m/>
    <n v="7500"/>
    <n v="8848698.5000000019"/>
    <n v="0"/>
    <n v="7500"/>
    <n v="0"/>
    <n v="7545"/>
    <n v="7500"/>
    <x v="0"/>
    <s v=""/>
    <n v="7500"/>
    <s v="2018 (triag)"/>
    <n v="7500"/>
    <n v="2021"/>
    <x v="1"/>
    <n v="7500"/>
    <n v="7500"/>
    <s v="No change"/>
    <n v="-1.0198610590244073E-2"/>
    <n v="0.13933439758107946"/>
    <n v="7892.3668707759425"/>
    <n v="11391.941429502709"/>
    <x v="0"/>
    <n v="9.3206153743674882"/>
    <n v="8.4758227438758347"/>
  </r>
  <r>
    <x v="41"/>
    <s v="TGO"/>
    <n v="6926640.5"/>
    <x v="1"/>
    <n v="0"/>
    <n v="7106229"/>
    <n v="0"/>
    <m/>
    <n v="0"/>
    <m/>
    <n v="0"/>
    <m/>
    <n v="0"/>
    <m/>
    <n v="0"/>
    <n v="8046679"/>
    <n v="0"/>
    <n v="12"/>
    <m/>
    <n v="0"/>
    <m/>
    <n v="0"/>
    <m/>
    <n v="0"/>
    <n v="8848698.5000000019"/>
    <n v="0"/>
    <n v="12"/>
    <n v="0"/>
    <n v="0"/>
    <n v="0"/>
    <x v="0"/>
    <s v=""/>
    <n v="12"/>
    <s v="2018 (triag)"/>
    <n v="12"/>
    <s v="2018 (triag)"/>
    <x v="1"/>
    <n v="12"/>
    <n v="12"/>
    <s v="No change"/>
    <n v="-1.0198610590244073E-2"/>
    <n v="0.13933439758107946"/>
    <n v="12.627786993241507"/>
    <n v="18.227106287204336"/>
    <x v="0"/>
    <n v="1.491298459898798E-2"/>
    <n v="1.3561316390201335E-2"/>
  </r>
  <r>
    <x v="41"/>
    <s v="TGO"/>
    <n v="6926641.5"/>
    <x v="2"/>
    <n v="0"/>
    <n v="7106229"/>
    <n v="0"/>
    <m/>
    <n v="0"/>
    <m/>
    <n v="0"/>
    <m/>
    <n v="0"/>
    <m/>
    <n v="0"/>
    <n v="8046679"/>
    <n v="0"/>
    <n v="340"/>
    <m/>
    <n v="0"/>
    <m/>
    <n v="0"/>
    <m/>
    <n v="0"/>
    <n v="8848698.5000000019"/>
    <n v="0"/>
    <n v="340"/>
    <n v="0"/>
    <n v="0"/>
    <n v="0"/>
    <x v="0"/>
    <s v=""/>
    <n v="340"/>
    <s v="2018 (triag)"/>
    <n v="340"/>
    <s v="2018 (triag)"/>
    <x v="1"/>
    <n v="340"/>
    <n v="340"/>
    <s v="No change"/>
    <n v="-1.0198610590244073E-2"/>
    <n v="0.13933439758107946"/>
    <n v="357.78729814184271"/>
    <n v="516.4346781374561"/>
    <x v="0"/>
    <n v="0.42253456363799274"/>
    <n v="0.3842372977223712"/>
  </r>
  <r>
    <x v="41"/>
    <s v="TGO"/>
    <n v="6926642.5"/>
    <x v="3"/>
    <n v="0"/>
    <n v="7106229"/>
    <n v="0"/>
    <m/>
    <n v="0"/>
    <m/>
    <n v="0"/>
    <m/>
    <n v="2249"/>
    <m/>
    <n v="3474"/>
    <n v="8046679"/>
    <n v="3903"/>
    <n v="3903"/>
    <m/>
    <n v="3845"/>
    <m/>
    <n v="4622"/>
    <m/>
    <n v="2974"/>
    <n v="8848698.5000000019"/>
    <n v="0"/>
    <n v="3413"/>
    <n v="0"/>
    <n v="3903"/>
    <n v="4622"/>
    <x v="0"/>
    <s v=""/>
    <n v="3903"/>
    <n v="2018"/>
    <n v="2974"/>
    <n v="2021"/>
    <x v="0"/>
    <n v="3595.1391245334239"/>
    <n v="3903"/>
    <s v="Decreasing"/>
    <n v="-1.0198610590244073E-2"/>
    <n v="0.13933439758107946"/>
    <n v="3591.5530839944386"/>
    <n v="5184.092813185699"/>
    <x v="0"/>
    <n v="4.8504482408208407"/>
    <n v="4.0629015945490998"/>
  </r>
  <r>
    <x v="41"/>
    <s v="TGO"/>
    <n v="6926643.5"/>
    <x v="4"/>
    <n v="0"/>
    <n v="7106229"/>
    <n v="0"/>
    <m/>
    <n v="0"/>
    <m/>
    <n v="0"/>
    <m/>
    <n v="0"/>
    <m/>
    <n v="0"/>
    <n v="8046679"/>
    <n v="0"/>
    <n v="63"/>
    <m/>
    <n v="0"/>
    <m/>
    <n v="0"/>
    <m/>
    <n v="0"/>
    <n v="8848698.5000000019"/>
    <n v="1377"/>
    <n v="63"/>
    <n v="0"/>
    <n v="0"/>
    <n v="1377"/>
    <x v="0"/>
    <s v=""/>
    <n v="63"/>
    <s v="2018 (triag)"/>
    <n v="1377"/>
    <n v="2022"/>
    <x v="1"/>
    <n v="1377"/>
    <n v="1377"/>
    <s v="Increasing"/>
    <n v="-1.0198610590244073E-2"/>
    <n v="0.13933439758107946"/>
    <n v="66.295881714517918"/>
    <n v="95.69230800782276"/>
    <x v="0"/>
    <n v="7.8293169144686897E-2"/>
    <n v="1.5561610557756034"/>
  </r>
  <r>
    <x v="41"/>
    <s v="TGO"/>
    <n v="6926644.5"/>
    <x v="5"/>
    <n v="0"/>
    <n v="7106229"/>
    <n v="0"/>
    <m/>
    <n v="0"/>
    <m/>
    <n v="0"/>
    <m/>
    <n v="50"/>
    <m/>
    <n v="64"/>
    <n v="8046679"/>
    <n v="55"/>
    <n v="55"/>
    <m/>
    <n v="16"/>
    <m/>
    <n v="8"/>
    <m/>
    <n v="19"/>
    <n v="8848698.5000000019"/>
    <n v="19"/>
    <n v="2"/>
    <n v="0"/>
    <n v="64"/>
    <n v="19"/>
    <x v="0"/>
    <s v=""/>
    <n v="55"/>
    <n v="2018"/>
    <n v="19"/>
    <n v="2021"/>
    <x v="0"/>
    <n v="22.968272819816764"/>
    <n v="55"/>
    <s v="Decreasing"/>
    <n v="-1.0198610590244073E-2"/>
    <n v="0.13933439758107946"/>
    <n v="2.1046311655402512"/>
    <n v="3.037851047867389"/>
    <x v="0"/>
    <n v="6.8351179412028243E-2"/>
    <n v="2.5956667887166409E-2"/>
  </r>
  <r>
    <x v="41"/>
    <s v="TGO"/>
    <n v="6926645.5"/>
    <x v="6"/>
    <n v="0"/>
    <n v="7106229"/>
    <n v="0"/>
    <m/>
    <n v="0"/>
    <m/>
    <n v="407"/>
    <m/>
    <n v="276"/>
    <m/>
    <n v="454"/>
    <n v="8046679"/>
    <n v="460"/>
    <n v="857"/>
    <m/>
    <n v="518"/>
    <m/>
    <n v="589"/>
    <m/>
    <n v="446"/>
    <n v="8848698.5000000019"/>
    <n v="0"/>
    <n v="857"/>
    <n v="407"/>
    <n v="518"/>
    <n v="589"/>
    <x v="89"/>
    <n v="2015"/>
    <n v="857"/>
    <s v="2018 (triag)"/>
    <n v="446"/>
    <n v="2021"/>
    <x v="0"/>
    <n v="539.14998303359357"/>
    <n v="857"/>
    <s v="Decreasing"/>
    <n v="-1.0198610590244073E-2"/>
    <n v="0.13933439758107946"/>
    <n v="901.83445443399762"/>
    <n v="1301.7191740111762"/>
    <x v="97"/>
    <n v="1.0650356501110583"/>
    <n v="0.60929862514085376"/>
  </r>
  <r>
    <x v="41"/>
    <s v="TGO"/>
    <n v="6926646.5"/>
    <x v="7"/>
    <n v="0"/>
    <n v="7106229"/>
    <n v="0"/>
    <m/>
    <n v="0"/>
    <m/>
    <n v="0"/>
    <m/>
    <n v="0"/>
    <m/>
    <n v="0"/>
    <n v="8046679"/>
    <n v="0"/>
    <n v="1075"/>
    <m/>
    <n v="0"/>
    <m/>
    <n v="997"/>
    <m/>
    <n v="0"/>
    <n v="8848698.5000000019"/>
    <n v="595"/>
    <n v="1075"/>
    <n v="0"/>
    <n v="0"/>
    <n v="997"/>
    <x v="0"/>
    <s v=""/>
    <n v="1075"/>
    <s v="2018 (triag)"/>
    <n v="595"/>
    <n v="2022"/>
    <x v="0"/>
    <n v="719.26959619952504"/>
    <n v="1075"/>
    <s v="Decreasing"/>
    <n v="-1.0198610590244073E-2"/>
    <n v="0.13933439758107946"/>
    <n v="1131.2392514778851"/>
    <n v="1632.8449382287215"/>
    <x v="0"/>
    <n v="1.3359548703260065"/>
    <n v="0.81285354699284296"/>
  </r>
  <r>
    <x v="41"/>
    <s v="TGO"/>
    <n v="6926647.5"/>
    <x v="8"/>
    <n v="0"/>
    <n v="7106229"/>
    <n v="0"/>
    <m/>
    <n v="0"/>
    <m/>
    <n v="0"/>
    <m/>
    <n v="112"/>
    <m/>
    <n v="151"/>
    <n v="8046679"/>
    <n v="148"/>
    <n v="148"/>
    <m/>
    <n v="139"/>
    <m/>
    <n v="280"/>
    <m/>
    <n v="95"/>
    <n v="8848698.5000000019"/>
    <n v="0"/>
    <n v="23"/>
    <n v="0"/>
    <n v="151"/>
    <n v="280"/>
    <x v="0"/>
    <s v=""/>
    <n v="148"/>
    <n v="2018"/>
    <n v="95"/>
    <n v="2021"/>
    <x v="0"/>
    <n v="114.84136409908382"/>
    <n v="148"/>
    <s v="Decreasing"/>
    <n v="-1.0198610590244073E-2"/>
    <n v="0.13933439758107946"/>
    <n v="24.203258403712891"/>
    <n v="34.935287050474976"/>
    <x v="0"/>
    <n v="0.1839268100541851"/>
    <n v="0.12978333943583206"/>
  </r>
  <r>
    <x v="41"/>
    <s v="TGO"/>
    <n v="6926648.5"/>
    <x v="9"/>
    <n v="0"/>
    <n v="7106229"/>
    <n v="0"/>
    <m/>
    <n v="0"/>
    <m/>
    <n v="0"/>
    <m/>
    <n v="0"/>
    <m/>
    <n v="0"/>
    <n v="8046679"/>
    <n v="0"/>
    <n v="0"/>
    <m/>
    <n v="0"/>
    <m/>
    <n v="0"/>
    <m/>
    <n v="0"/>
    <n v="8848698.5000000019"/>
    <n v="0"/>
    <n v="0"/>
    <n v="0"/>
    <n v="0"/>
    <n v="0"/>
    <x v="0"/>
    <s v=""/>
    <m/>
    <s v=""/>
    <n v="0"/>
    <s v=""/>
    <x v="1"/>
    <m/>
    <n v="0"/>
    <s v="No change"/>
    <n v="-1.0198610590244073E-2"/>
    <n v="0.13933439758107946"/>
    <n v="0"/>
    <n v="0"/>
    <x v="0"/>
    <n v="0"/>
    <n v="0"/>
  </r>
  <r>
    <x v="41"/>
    <s v="TGO"/>
    <n v="6926649.5"/>
    <x v="10"/>
    <n v="0"/>
    <n v="7106229"/>
    <n v="0"/>
    <m/>
    <n v="0"/>
    <m/>
    <n v="0"/>
    <m/>
    <n v="2"/>
    <m/>
    <n v="6"/>
    <n v="8046679"/>
    <n v="5"/>
    <n v="5"/>
    <m/>
    <n v="4"/>
    <m/>
    <n v="3"/>
    <m/>
    <n v="1"/>
    <n v="8848698.5000000019"/>
    <n v="2"/>
    <n v="2"/>
    <n v="0"/>
    <n v="6"/>
    <n v="3"/>
    <x v="0"/>
    <s v=""/>
    <n v="5"/>
    <n v="2018"/>
    <n v="2"/>
    <n v="2022"/>
    <x v="0"/>
    <n v="2.4177129284017647"/>
    <n v="5"/>
    <s v="Decreasing"/>
    <n v="-1.0198610590244073E-2"/>
    <n v="0.13933439758107946"/>
    <n v="2.1046311655402512"/>
    <n v="3.037851047867389"/>
    <x v="0"/>
    <n v="6.213743582911658E-3"/>
    <n v="2.7322808302280431E-3"/>
  </r>
  <r>
    <x v="41"/>
    <s v="TGO"/>
    <n v="6926650.5"/>
    <x v="11"/>
    <n v="0"/>
    <n v="7106229"/>
    <n v="0"/>
    <m/>
    <n v="0"/>
    <m/>
    <n v="0"/>
    <m/>
    <n v="1340"/>
    <m/>
    <n v="1364"/>
    <n v="8046679"/>
    <n v="1353"/>
    <n v="4010"/>
    <m/>
    <n v="1353"/>
    <m/>
    <n v="2137"/>
    <m/>
    <n v="2139"/>
    <n v="8848698.5000000019"/>
    <n v="0"/>
    <n v="4010"/>
    <n v="0"/>
    <n v="1364"/>
    <n v="2139"/>
    <x v="0"/>
    <s v=""/>
    <n v="4010"/>
    <s v="2018 (triag)"/>
    <n v="2139"/>
    <n v="2021"/>
    <x v="0"/>
    <n v="2585.7439769256871"/>
    <n v="4010"/>
    <s v="Decreasing"/>
    <n v="-1.0198610590244073E-2"/>
    <n v="0.13933439758107946"/>
    <n v="4219.7854869082039"/>
    <n v="6090.8913509741151"/>
    <x v="0"/>
    <n v="4.9834223534951496"/>
    <n v="2.922174347928892"/>
  </r>
  <r>
    <x v="41"/>
    <s v="TGO"/>
    <n v="6926651.5"/>
    <x v="12"/>
    <n v="0"/>
    <n v="7106229"/>
    <n v="0"/>
    <m/>
    <n v="0"/>
    <m/>
    <n v="0"/>
    <m/>
    <n v="1264"/>
    <m/>
    <n v="1806"/>
    <n v="8046679"/>
    <n v="1554"/>
    <n v="1554"/>
    <m/>
    <n v="1948"/>
    <m/>
    <n v="1371"/>
    <m/>
    <n v="0"/>
    <n v="8848698.5000000019"/>
    <n v="0"/>
    <n v="360"/>
    <n v="0"/>
    <n v="1948"/>
    <n v="1371"/>
    <x v="0"/>
    <s v=""/>
    <n v="1554"/>
    <n v="2018"/>
    <n v="1371"/>
    <n v="2020"/>
    <x v="0"/>
    <n v="1657.3422124194096"/>
    <n v="1657.3422124194096"/>
    <s v="Increasing"/>
    <n v="-1.0198610590244073E-2"/>
    <n v="0.13933439758107946"/>
    <n v="378.83360979724523"/>
    <n v="546.81318861612999"/>
    <x v="0"/>
    <n v="1.9312315055689435"/>
    <n v="1.8729785091213238"/>
  </r>
  <r>
    <x v="41"/>
    <s v="TGO"/>
    <n v="6926652.5"/>
    <x v="13"/>
    <n v="0"/>
    <n v="7106229"/>
    <n v="0"/>
    <m/>
    <n v="0"/>
    <m/>
    <n v="0"/>
    <m/>
    <n v="129"/>
    <m/>
    <n v="201"/>
    <n v="8046679"/>
    <n v="183"/>
    <n v="615"/>
    <m/>
    <n v="195"/>
    <m/>
    <n v="338"/>
    <m/>
    <n v="149"/>
    <n v="8848698.5000000019"/>
    <n v="887"/>
    <n v="615"/>
    <n v="0"/>
    <n v="201"/>
    <n v="887"/>
    <x v="0"/>
    <s v=""/>
    <n v="615"/>
    <s v="2018 (triag)"/>
    <n v="887"/>
    <n v="2022"/>
    <x v="1"/>
    <n v="887"/>
    <n v="887"/>
    <s v="Increasing"/>
    <n v="-1.0198610590244073E-2"/>
    <n v="0.13933439758107946"/>
    <n v="647.17408340362726"/>
    <n v="934.13919721922207"/>
    <x v="0"/>
    <n v="0.764290460698134"/>
    <n v="1.0024073031757155"/>
  </r>
  <r>
    <x v="41"/>
    <s v="TGO"/>
    <n v="6926653.5"/>
    <x v="14"/>
    <n v="0"/>
    <n v="7106229"/>
    <n v="0"/>
    <m/>
    <n v="0"/>
    <m/>
    <n v="0"/>
    <m/>
    <n v="638"/>
    <m/>
    <n v="945"/>
    <n v="8046679"/>
    <n v="978"/>
    <n v="978"/>
    <m/>
    <n v="817"/>
    <m/>
    <n v="0"/>
    <m/>
    <n v="813"/>
    <n v="8848698.5000000019"/>
    <n v="390"/>
    <n v="0"/>
    <n v="0"/>
    <n v="978"/>
    <n v="813"/>
    <x v="0"/>
    <s v=""/>
    <n v="978"/>
    <n v="2018"/>
    <n v="390"/>
    <n v="2022"/>
    <x v="0"/>
    <n v="471.45402103834408"/>
    <n v="978"/>
    <s v="Decreasing"/>
    <n v="-1.0198610590244073E-2"/>
    <n v="0.13933439758107946"/>
    <n v="0"/>
    <n v="0"/>
    <x v="0"/>
    <n v="1.2154082448175203"/>
    <n v="0.53279476189446839"/>
  </r>
  <r>
    <x v="41"/>
    <s v="TGO"/>
    <n v="6926654.5"/>
    <x v="15"/>
    <n v="0"/>
    <n v="7106229"/>
    <n v="0"/>
    <m/>
    <n v="0"/>
    <m/>
    <n v="231"/>
    <m/>
    <n v="152"/>
    <m/>
    <n v="174"/>
    <n v="8046679"/>
    <n v="160"/>
    <n v="252"/>
    <m/>
    <n v="175"/>
    <m/>
    <n v="230"/>
    <m/>
    <n v="161"/>
    <n v="8848698.5000000019"/>
    <n v="183"/>
    <n v="252"/>
    <n v="231"/>
    <n v="175"/>
    <n v="230"/>
    <x v="90"/>
    <n v="2015"/>
    <n v="252"/>
    <s v="2018 (triag)"/>
    <n v="183"/>
    <n v="2022"/>
    <x v="0"/>
    <n v="221.22073294876148"/>
    <n v="252"/>
    <s v="Decreasing"/>
    <n v="-1.0198610590244073E-2"/>
    <n v="0.13933439758107946"/>
    <n v="265.18352685807167"/>
    <n v="382.76923203129104"/>
    <x v="98"/>
    <n v="0.31317267657874759"/>
    <n v="0.25000369596586597"/>
  </r>
  <r>
    <x v="41"/>
    <s v="TGO"/>
    <n v="6926655.5"/>
    <x v="16"/>
    <n v="0"/>
    <n v="7106229"/>
    <n v="0"/>
    <m/>
    <n v="0"/>
    <m/>
    <n v="0"/>
    <m/>
    <n v="14"/>
    <m/>
    <n v="62"/>
    <n v="8046679"/>
    <n v="62"/>
    <n v="62"/>
    <m/>
    <n v="62"/>
    <m/>
    <n v="66"/>
    <m/>
    <n v="56"/>
    <n v="8848698.5000000019"/>
    <n v="0"/>
    <n v="0"/>
    <n v="0"/>
    <n v="62"/>
    <n v="66"/>
    <x v="0"/>
    <s v=""/>
    <n v="62"/>
    <n v="2017"/>
    <n v="56"/>
    <n v="2021"/>
    <x v="0"/>
    <n v="67.695961995249405"/>
    <n v="67.695961995249405"/>
    <s v="Increasing"/>
    <n v="-1.0198610590244073E-2"/>
    <n v="0.13933439758107946"/>
    <n v="0"/>
    <n v="0"/>
    <x v="0"/>
    <n v="7.705042042810456E-2"/>
    <n v="7.6503863246385209E-2"/>
  </r>
  <r>
    <x v="41"/>
    <s v="TGO"/>
    <n v="6926656.5"/>
    <x v="17"/>
    <n v="0"/>
    <n v="7106229"/>
    <n v="0"/>
    <m/>
    <n v="0"/>
    <m/>
    <n v="0"/>
    <m/>
    <n v="9"/>
    <m/>
    <n v="21"/>
    <n v="8046679"/>
    <n v="25"/>
    <n v="25"/>
    <m/>
    <n v="35"/>
    <m/>
    <n v="83"/>
    <m/>
    <n v="33"/>
    <n v="8848698.5000000019"/>
    <n v="0"/>
    <n v="0"/>
    <n v="0"/>
    <n v="35"/>
    <n v="83"/>
    <x v="0"/>
    <s v=""/>
    <n v="25"/>
    <n v="2018"/>
    <n v="33"/>
    <n v="2021"/>
    <x v="1"/>
    <n v="33"/>
    <n v="33"/>
    <s v="Increasing"/>
    <n v="-1.0198610590244073E-2"/>
    <n v="0.13933439758107946"/>
    <n v="0"/>
    <n v="0"/>
    <x v="0"/>
    <n v="3.1068717914558293E-2"/>
    <n v="3.7293620073053674E-2"/>
  </r>
  <r>
    <x v="41"/>
    <s v="TGO"/>
    <n v="6926657.5"/>
    <x v="18"/>
    <n v="0"/>
    <n v="7106229"/>
    <n v="0"/>
    <m/>
    <n v="0"/>
    <m/>
    <n v="0"/>
    <m/>
    <n v="0"/>
    <m/>
    <n v="0"/>
    <n v="8046679"/>
    <n v="0"/>
    <n v="987"/>
    <m/>
    <n v="0"/>
    <m/>
    <n v="0"/>
    <m/>
    <n v="0"/>
    <n v="8848698.5000000019"/>
    <n v="0"/>
    <n v="987"/>
    <n v="0"/>
    <n v="0"/>
    <n v="0"/>
    <x v="0"/>
    <s v=""/>
    <n v="987"/>
    <s v="2018 (triag)"/>
    <n v="987"/>
    <s v="2018 (triag)"/>
    <x v="1"/>
    <n v="987"/>
    <n v="987"/>
    <s v="No change"/>
    <n v="-1.0198610590244073E-2"/>
    <n v="0.13933439758107946"/>
    <n v="1038.6354801941141"/>
    <n v="1499.1794921225564"/>
    <x v="0"/>
    <n v="1.2265929832667612"/>
    <n v="1.1154182730940598"/>
  </r>
  <r>
    <x v="42"/>
    <s v="TZA"/>
    <n v="47786142.5"/>
    <x v="0"/>
    <n v="0"/>
    <n v="49253643.5"/>
    <n v="0"/>
    <m/>
    <n v="0"/>
    <m/>
    <n v="0"/>
    <m/>
    <n v="0"/>
    <m/>
    <n v="0"/>
    <n v="58090443.000000007"/>
    <n v="0"/>
    <n v="0"/>
    <m/>
    <n v="0"/>
    <m/>
    <n v="0"/>
    <m/>
    <n v="0"/>
    <n v="65497748.000000045"/>
    <n v="20737"/>
    <n v="0"/>
    <n v="0"/>
    <n v="0"/>
    <n v="20737"/>
    <x v="0"/>
    <s v=""/>
    <m/>
    <s v=""/>
    <n v="20737"/>
    <n v="2022"/>
    <x v="1"/>
    <n v="20737"/>
    <n v="20737"/>
    <s v="Increasing"/>
    <n v="0.14011618556211447"/>
    <n v="5.4673730437993617E-2"/>
    <n v="0"/>
    <n v="0"/>
    <x v="0"/>
    <n v="0"/>
    <n v="3.166063053038096"/>
  </r>
  <r>
    <x v="42"/>
    <s v="TZA"/>
    <n v="47786143.5"/>
    <x v="1"/>
    <n v="0"/>
    <n v="49253643.5"/>
    <n v="0"/>
    <m/>
    <n v="0"/>
    <m/>
    <n v="0"/>
    <m/>
    <n v="0"/>
    <m/>
    <n v="49"/>
    <n v="58090443.000000007"/>
    <n v="855"/>
    <n v="855"/>
    <m/>
    <n v="0"/>
    <m/>
    <n v="0"/>
    <m/>
    <n v="0"/>
    <n v="65497748.000000045"/>
    <n v="65"/>
    <n v="148"/>
    <n v="0"/>
    <n v="855"/>
    <n v="65"/>
    <x v="0"/>
    <s v=""/>
    <n v="855"/>
    <n v="2018"/>
    <n v="65"/>
    <n v="2022"/>
    <x v="0"/>
    <n v="84.207649746486481"/>
    <n v="855"/>
    <s v="Decreasing"/>
    <n v="0.14011618556211447"/>
    <n v="5.4673730437993617E-2"/>
    <n v="73.451942288537239"/>
    <n v="174.379413923481"/>
    <x v="0"/>
    <n v="0.14718427952081548"/>
    <n v="1.2856571762816399E-2"/>
  </r>
  <r>
    <x v="42"/>
    <s v="TZA"/>
    <n v="47786144.5"/>
    <x v="2"/>
    <n v="3255"/>
    <n v="49253643.5"/>
    <n v="0"/>
    <m/>
    <n v="0"/>
    <m/>
    <n v="0"/>
    <m/>
    <n v="0"/>
    <m/>
    <n v="566"/>
    <n v="58090443.000000007"/>
    <n v="1905"/>
    <n v="1905"/>
    <m/>
    <n v="0"/>
    <m/>
    <n v="0"/>
    <m/>
    <n v="0"/>
    <n v="65497748.000000045"/>
    <n v="929"/>
    <n v="578"/>
    <n v="3255"/>
    <n v="1905"/>
    <n v="929"/>
    <x v="91"/>
    <n v="2012"/>
    <n v="1905"/>
    <n v="2018"/>
    <n v="929"/>
    <n v="2022"/>
    <x v="0"/>
    <n v="1203.5216402228605"/>
    <n v="1905"/>
    <s v="Decreasing"/>
    <n v="0.14011618556211447"/>
    <n v="5.4673730437993617E-2"/>
    <n v="286.8596124511792"/>
    <n v="681.02230572818928"/>
    <x v="99"/>
    <n v="0.32793690349374677"/>
    <n v="0.18375007950240665"/>
  </r>
  <r>
    <x v="42"/>
    <s v="TZA"/>
    <n v="47786145.5"/>
    <x v="3"/>
    <n v="0"/>
    <n v="49253643.5"/>
    <n v="0"/>
    <m/>
    <n v="0"/>
    <m/>
    <n v="0"/>
    <m/>
    <n v="0"/>
    <m/>
    <n v="0"/>
    <n v="58090443.000000007"/>
    <n v="0"/>
    <n v="25803"/>
    <m/>
    <n v="0"/>
    <m/>
    <n v="0"/>
    <m/>
    <n v="0"/>
    <n v="65497748.000000045"/>
    <n v="0"/>
    <n v="25803"/>
    <n v="0"/>
    <n v="0"/>
    <n v="0"/>
    <x v="0"/>
    <s v=""/>
    <n v="25803"/>
    <s v="2018 (triag)"/>
    <n v="25803"/>
    <s v="2018 (triag)"/>
    <x v="1"/>
    <n v="25803"/>
    <n v="25803"/>
    <s v="No change"/>
    <n v="0.14011618556211447"/>
    <n v="5.4673730437993617E-2"/>
    <n v="12805.949100480582"/>
    <n v="30402.108226132295"/>
    <x v="0"/>
    <n v="4.4418666251176626"/>
    <n v="3.9395247604543568"/>
  </r>
  <r>
    <x v="42"/>
    <s v="TZA"/>
    <n v="47786146.5"/>
    <x v="4"/>
    <n v="0"/>
    <n v="49253643.5"/>
    <n v="0"/>
    <m/>
    <n v="0"/>
    <m/>
    <n v="0"/>
    <m/>
    <n v="0"/>
    <m/>
    <n v="0"/>
    <n v="58090443.000000007"/>
    <n v="0"/>
    <n v="633"/>
    <m/>
    <n v="0"/>
    <m/>
    <n v="0"/>
    <m/>
    <n v="0"/>
    <n v="65497748.000000045"/>
    <n v="0"/>
    <n v="633"/>
    <n v="0"/>
    <n v="0"/>
    <n v="0"/>
    <x v="0"/>
    <s v=""/>
    <n v="633"/>
    <s v="2018 (triag)"/>
    <n v="633"/>
    <s v="2018 (triag)"/>
    <x v="1"/>
    <n v="633"/>
    <n v="633"/>
    <s v="No change"/>
    <n v="0.14011618556211447"/>
    <n v="5.4673730437993617E-2"/>
    <n v="314.15594235570319"/>
    <n v="745.82546630786123"/>
    <x v="0"/>
    <n v="0.10896801045225286"/>
    <n v="9.6644544175778307E-2"/>
  </r>
  <r>
    <x v="42"/>
    <s v="TZA"/>
    <n v="47786147.5"/>
    <x v="5"/>
    <n v="60"/>
    <n v="49253643.5"/>
    <n v="0"/>
    <m/>
    <n v="0"/>
    <m/>
    <n v="0"/>
    <m/>
    <n v="0"/>
    <m/>
    <n v="0"/>
    <n v="58090443.000000007"/>
    <n v="89"/>
    <n v="89"/>
    <m/>
    <n v="0"/>
    <m/>
    <n v="0"/>
    <m/>
    <n v="0"/>
    <n v="65497748.000000045"/>
    <n v="12"/>
    <n v="73"/>
    <n v="60"/>
    <n v="89"/>
    <n v="12"/>
    <x v="22"/>
    <n v="2012"/>
    <n v="89"/>
    <n v="2018"/>
    <n v="12"/>
    <n v="2022"/>
    <x v="0"/>
    <n v="15.546027645505195"/>
    <n v="89"/>
    <s v="Decreasing"/>
    <n v="0.14011618556211447"/>
    <n v="5.4673730437993617E-2"/>
    <n v="36.229674236913638"/>
    <n v="86.011467678473736"/>
    <x v="100"/>
    <n v="1.5320936698657986E-2"/>
    <n v="2.3735209408276424E-3"/>
  </r>
  <r>
    <x v="42"/>
    <s v="TZA"/>
    <n v="47786148.5"/>
    <x v="6"/>
    <n v="89"/>
    <n v="49253643.5"/>
    <n v="0"/>
    <m/>
    <n v="93"/>
    <m/>
    <n v="0"/>
    <m/>
    <n v="0"/>
    <m/>
    <n v="0"/>
    <n v="58090443.000000007"/>
    <n v="4361"/>
    <n v="4361"/>
    <m/>
    <n v="0"/>
    <m/>
    <n v="0"/>
    <m/>
    <n v="0"/>
    <n v="65497748.000000045"/>
    <n v="1198"/>
    <n v="3028"/>
    <n v="93"/>
    <n v="4361"/>
    <n v="1198"/>
    <x v="92"/>
    <n v="2012"/>
    <n v="4361"/>
    <n v="2018"/>
    <n v="1198"/>
    <n v="2022"/>
    <x v="0"/>
    <n v="1552.0117599429354"/>
    <n v="4361"/>
    <s v="Decreasing"/>
    <n v="0.14011618556211447"/>
    <n v="5.4673730437993617E-2"/>
    <n v="1502.7870354708834"/>
    <n v="3567.7085497317598"/>
    <x v="101"/>
    <n v="0.7507258982342413"/>
    <n v="0.23695650725929299"/>
  </r>
  <r>
    <x v="42"/>
    <s v="TZA"/>
    <n v="47786149.5"/>
    <x v="7"/>
    <n v="0"/>
    <n v="49253643.5"/>
    <n v="0"/>
    <m/>
    <n v="0"/>
    <m/>
    <n v="0"/>
    <m/>
    <n v="0"/>
    <m/>
    <n v="0"/>
    <n v="58090443.000000007"/>
    <n v="0"/>
    <n v="9250"/>
    <m/>
    <n v="0"/>
    <m/>
    <n v="0"/>
    <m/>
    <n v="0"/>
    <n v="65497748.000000045"/>
    <n v="2337"/>
    <n v="9250"/>
    <n v="0"/>
    <n v="0"/>
    <n v="2337"/>
    <x v="0"/>
    <s v=""/>
    <n v="9250"/>
    <s v="2018 (triag)"/>
    <n v="2337"/>
    <n v="2022"/>
    <x v="0"/>
    <n v="3027.5888839621371"/>
    <n v="9250"/>
    <s v="Decreasing"/>
    <n v="0.14011618556211447"/>
    <n v="5.4673730437993617E-2"/>
    <n v="4590.7463930335771"/>
    <n v="10898.713370217562"/>
    <x v="0"/>
    <n v="1.5923445445234423"/>
    <n v="0.4622432032261834"/>
  </r>
  <r>
    <x v="42"/>
    <s v="TZA"/>
    <n v="47786150.5"/>
    <x v="8"/>
    <n v="223"/>
    <n v="49253643.5"/>
    <n v="0"/>
    <m/>
    <n v="0"/>
    <m/>
    <n v="0"/>
    <m/>
    <n v="0"/>
    <m/>
    <n v="0"/>
    <n v="58090443.000000007"/>
    <n v="0"/>
    <n v="681"/>
    <m/>
    <n v="0"/>
    <m/>
    <n v="0"/>
    <m/>
    <n v="0"/>
    <n v="65497748.000000045"/>
    <n v="543"/>
    <n v="681"/>
    <n v="223"/>
    <n v="0"/>
    <n v="543"/>
    <x v="93"/>
    <n v="2012"/>
    <n v="681"/>
    <s v="2018 (triag)"/>
    <n v="543"/>
    <n v="2022"/>
    <x v="0"/>
    <n v="703.45775095911006"/>
    <n v="703.45775095911006"/>
    <s v="Increasing"/>
    <n v="0.14011618556211447"/>
    <n v="5.4673730437993617E-2"/>
    <n v="337.9781939087423"/>
    <n v="802.38095190466584"/>
    <x v="102"/>
    <n v="0.11723098754815829"/>
    <n v="0.10740182257245083"/>
  </r>
  <r>
    <x v="42"/>
    <s v="TZA"/>
    <n v="47786151.5"/>
    <x v="9"/>
    <n v="470"/>
    <n v="49253643.5"/>
    <n v="0"/>
    <m/>
    <n v="0"/>
    <m/>
    <n v="0"/>
    <m/>
    <n v="0"/>
    <m/>
    <n v="0"/>
    <n v="58090443.000000007"/>
    <n v="0"/>
    <n v="724"/>
    <m/>
    <n v="0"/>
    <m/>
    <n v="0"/>
    <m/>
    <n v="0"/>
    <n v="65497748.000000045"/>
    <n v="724"/>
    <n v="724"/>
    <n v="470"/>
    <n v="0"/>
    <n v="724"/>
    <x v="94"/>
    <n v="2012"/>
    <n v="724"/>
    <s v="2018 (triag)"/>
    <n v="724"/>
    <n v="2022"/>
    <x v="1"/>
    <n v="724"/>
    <n v="724"/>
    <s v="No change"/>
    <n v="0.14011618556211447"/>
    <n v="5.4673730437993617E-2"/>
    <n v="359.31896092500648"/>
    <n v="853.04524108513669"/>
    <x v="103"/>
    <n v="0.12463323786324024"/>
    <n v="0.1105381516323278"/>
  </r>
  <r>
    <x v="42"/>
    <s v="TZA"/>
    <n v="47786152.5"/>
    <x v="10"/>
    <n v="82"/>
    <n v="49253643.5"/>
    <n v="0"/>
    <m/>
    <n v="0"/>
    <m/>
    <n v="0"/>
    <m/>
    <n v="0"/>
    <m/>
    <n v="0"/>
    <n v="58090443.000000007"/>
    <n v="0"/>
    <n v="213"/>
    <m/>
    <n v="0"/>
    <m/>
    <n v="0"/>
    <m/>
    <n v="0"/>
    <n v="65497748.000000045"/>
    <n v="201"/>
    <n v="213"/>
    <n v="82"/>
    <n v="0"/>
    <n v="201"/>
    <x v="95"/>
    <n v="2012"/>
    <n v="213"/>
    <s v="2018 (triag)"/>
    <n v="201"/>
    <n v="2022"/>
    <x v="0"/>
    <n v="260.39596306221205"/>
    <n v="260.39596306221205"/>
    <s v="Increasing"/>
    <n v="0.14011618556211447"/>
    <n v="5.4673730437993617E-2"/>
    <n v="105.71124126661103"/>
    <n v="250.9649673358206"/>
    <x v="104"/>
    <n v="3.6666960863080349E-2"/>
    <n v="3.975647575886302E-2"/>
  </r>
  <r>
    <x v="42"/>
    <s v="TZA"/>
    <n v="47786153.5"/>
    <x v="11"/>
    <n v="0"/>
    <n v="49253643.5"/>
    <n v="0"/>
    <m/>
    <n v="0"/>
    <m/>
    <n v="0"/>
    <m/>
    <n v="0"/>
    <m/>
    <n v="0"/>
    <n v="58090443.000000007"/>
    <n v="0"/>
    <n v="0"/>
    <m/>
    <n v="0"/>
    <m/>
    <n v="0"/>
    <m/>
    <n v="0"/>
    <n v="65497748.000000045"/>
    <n v="0"/>
    <n v="0"/>
    <n v="0"/>
    <n v="0"/>
    <n v="0"/>
    <x v="0"/>
    <s v=""/>
    <m/>
    <s v=""/>
    <n v="0"/>
    <s v=""/>
    <x v="1"/>
    <m/>
    <n v="0"/>
    <s v="No change"/>
    <n v="0.14011618556211447"/>
    <n v="5.4673730437993617E-2"/>
    <n v="0"/>
    <n v="0"/>
    <x v="0"/>
    <n v="0"/>
    <n v="0"/>
  </r>
  <r>
    <x v="42"/>
    <s v="TZA"/>
    <n v="47786154.5"/>
    <x v="12"/>
    <n v="0"/>
    <n v="49253643.5"/>
    <n v="0"/>
    <m/>
    <n v="0"/>
    <m/>
    <n v="0"/>
    <m/>
    <n v="0"/>
    <m/>
    <n v="0"/>
    <n v="58090443.000000007"/>
    <n v="0"/>
    <n v="3630"/>
    <m/>
    <n v="0"/>
    <m/>
    <n v="0"/>
    <m/>
    <n v="0"/>
    <n v="65497748.000000045"/>
    <n v="2"/>
    <n v="3630"/>
    <n v="0"/>
    <n v="0"/>
    <n v="2"/>
    <x v="0"/>
    <s v=""/>
    <n v="3630"/>
    <s v="2018 (triag)"/>
    <n v="2"/>
    <n v="2022"/>
    <x v="0"/>
    <n v="2.5910046075841993"/>
    <n v="3630"/>
    <s v="Decreasing"/>
    <n v="0.14011618556211447"/>
    <n v="5.4673730437993617E-2"/>
    <n v="1801.5577736985822"/>
    <n v="4277.0085982583514"/>
    <x v="0"/>
    <n v="0.62488764287784815"/>
    <n v="3.9558682347127377E-4"/>
  </r>
  <r>
    <x v="42"/>
    <s v="TZA"/>
    <n v="47786155.5"/>
    <x v="13"/>
    <n v="1997"/>
    <n v="49253643.5"/>
    <n v="0"/>
    <m/>
    <n v="2508"/>
    <m/>
    <n v="0"/>
    <m/>
    <n v="0"/>
    <m/>
    <n v="0"/>
    <n v="58090443.000000007"/>
    <n v="0"/>
    <n v="4361"/>
    <m/>
    <n v="0"/>
    <m/>
    <n v="0"/>
    <m/>
    <n v="0"/>
    <n v="65497748.000000045"/>
    <n v="4743"/>
    <n v="4361"/>
    <n v="2508"/>
    <n v="0"/>
    <n v="4743"/>
    <x v="96"/>
    <n v="2012"/>
    <n v="4361"/>
    <s v="2018 (triag)"/>
    <n v="4743"/>
    <n v="2022"/>
    <x v="1"/>
    <n v="4743"/>
    <n v="4743"/>
    <s v="Increasing"/>
    <n v="0.14011618556211447"/>
    <n v="5.4673730437993617E-2"/>
    <n v="2164.3508129750735"/>
    <n v="5138.3015143263556"/>
    <x v="105"/>
    <n v="0.7507258982342413"/>
    <n v="0.7241470347957607"/>
  </r>
  <r>
    <x v="42"/>
    <s v="TZA"/>
    <n v="47786156.5"/>
    <x v="14"/>
    <n v="8787"/>
    <n v="49253643.5"/>
    <n v="0"/>
    <m/>
    <n v="10536"/>
    <m/>
    <n v="0"/>
    <m/>
    <n v="0"/>
    <m/>
    <n v="0"/>
    <n v="58090443.000000007"/>
    <n v="0"/>
    <n v="1963"/>
    <m/>
    <n v="0"/>
    <m/>
    <n v="0"/>
    <m/>
    <n v="0"/>
    <n v="65497748.000000045"/>
    <n v="71119"/>
    <n v="1963"/>
    <n v="10536"/>
    <n v="0"/>
    <n v="71119"/>
    <x v="97"/>
    <n v="2012"/>
    <n v="1963"/>
    <s v="2018 (triag)"/>
    <n v="71119"/>
    <n v="2022"/>
    <x v="1"/>
    <n v="71119"/>
    <n v="71119"/>
    <s v="Increasing"/>
    <n v="0.14011618556211447"/>
    <n v="5.4673730437993617E-2"/>
    <n v="974.23082913782832"/>
    <n v="2312.8837130526567"/>
    <x v="106"/>
    <n v="0.33792133415129916"/>
    <n v="10.858235919805969"/>
  </r>
  <r>
    <x v="42"/>
    <s v="TZA"/>
    <n v="47786157.5"/>
    <x v="15"/>
    <n v="130"/>
    <n v="49253643.5"/>
    <n v="0"/>
    <m/>
    <n v="0"/>
    <m/>
    <n v="0"/>
    <m/>
    <n v="0"/>
    <m/>
    <n v="0"/>
    <n v="58090443.000000007"/>
    <n v="0"/>
    <n v="103"/>
    <m/>
    <n v="0"/>
    <m/>
    <n v="0"/>
    <m/>
    <n v="0"/>
    <n v="65497748.000000045"/>
    <n v="1358"/>
    <n v="103"/>
    <n v="130"/>
    <n v="0"/>
    <n v="1358"/>
    <x v="98"/>
    <n v="2012"/>
    <n v="103"/>
    <s v="2018 (triag)"/>
    <n v="1358"/>
    <n v="2022"/>
    <x v="1"/>
    <n v="1358"/>
    <n v="1358"/>
    <s v="Increasing"/>
    <n v="0.14011618556211447"/>
    <n v="5.4673730437993617E-2"/>
    <n v="51.118581457563074"/>
    <n v="121.35864617647663"/>
    <x v="107"/>
    <n v="1.7730971684963737E-2"/>
    <n v="0.20733537281312314"/>
  </r>
  <r>
    <x v="42"/>
    <s v="TZA"/>
    <n v="47786158.5"/>
    <x v="16"/>
    <n v="0"/>
    <n v="49253643.5"/>
    <n v="0"/>
    <m/>
    <n v="0"/>
    <m/>
    <n v="0"/>
    <m/>
    <n v="0"/>
    <m/>
    <n v="0"/>
    <n v="58090443.000000007"/>
    <n v="0"/>
    <n v="0"/>
    <m/>
    <n v="0"/>
    <m/>
    <n v="0"/>
    <m/>
    <n v="0"/>
    <n v="65497748.000000045"/>
    <n v="0"/>
    <n v="0"/>
    <n v="0"/>
    <n v="0"/>
    <n v="0"/>
    <x v="0"/>
    <s v=""/>
    <m/>
    <s v=""/>
    <n v="0"/>
    <s v=""/>
    <x v="1"/>
    <m/>
    <n v="0"/>
    <s v="No change"/>
    <n v="0.14011618556211447"/>
    <n v="5.4673730437993617E-2"/>
    <n v="0"/>
    <n v="0"/>
    <x v="0"/>
    <n v="0"/>
    <n v="0"/>
  </r>
  <r>
    <x v="42"/>
    <s v="TZA"/>
    <n v="47786159.5"/>
    <x v="17"/>
    <n v="0"/>
    <n v="49253643.5"/>
    <n v="0"/>
    <m/>
    <n v="0"/>
    <m/>
    <n v="0"/>
    <m/>
    <n v="0"/>
    <m/>
    <n v="0"/>
    <n v="58090443.000000007"/>
    <n v="0"/>
    <n v="2"/>
    <m/>
    <n v="0"/>
    <m/>
    <n v="0"/>
    <m/>
    <n v="0"/>
    <n v="65497748.000000045"/>
    <n v="2"/>
    <n v="2"/>
    <n v="0"/>
    <n v="0"/>
    <n v="2"/>
    <x v="0"/>
    <s v=""/>
    <n v="2"/>
    <s v="2018 (triag)"/>
    <n v="2"/>
    <n v="2022"/>
    <x v="1"/>
    <n v="2"/>
    <n v="2"/>
    <s v="No change"/>
    <n v="0.14011618556211447"/>
    <n v="5.4673730437993617E-2"/>
    <n v="0.99259381470996266"/>
    <n v="2.3564785665335268"/>
    <x v="0"/>
    <n v="3.4429071232939293E-4"/>
    <n v="3.0535401003405473E-4"/>
  </r>
  <r>
    <x v="42"/>
    <s v="TZA"/>
    <n v="47786160.5"/>
    <x v="18"/>
    <n v="0"/>
    <n v="49253643.5"/>
    <n v="0"/>
    <m/>
    <n v="0"/>
    <m/>
    <n v="0"/>
    <m/>
    <n v="0"/>
    <m/>
    <n v="0"/>
    <n v="58090443.000000007"/>
    <n v="0"/>
    <n v="15200"/>
    <m/>
    <n v="0"/>
    <m/>
    <n v="0"/>
    <m/>
    <n v="0"/>
    <n v="65497748.000000045"/>
    <n v="4710"/>
    <n v="15200"/>
    <n v="0"/>
    <n v="0"/>
    <n v="4710"/>
    <x v="0"/>
    <s v=""/>
    <n v="15200"/>
    <s v="2018 (triag)"/>
    <n v="4710"/>
    <n v="2022"/>
    <x v="0"/>
    <n v="6101.8158508607894"/>
    <n v="15200"/>
    <s v="Decreasing"/>
    <n v="0.14011618556211447"/>
    <n v="5.4673730437993617E-2"/>
    <n v="7543.7129917957163"/>
    <n v="17909.237105654804"/>
    <x v="0"/>
    <n v="2.6166094137033862"/>
    <n v="0.93160696927484976"/>
  </r>
  <r>
    <x v="43"/>
    <s v="UGA"/>
    <n v="34273300"/>
    <x v="0"/>
    <n v="0"/>
    <n v="35273569.999999993"/>
    <n v="0"/>
    <m/>
    <n v="0"/>
    <m/>
    <n v="179175"/>
    <m/>
    <n v="0"/>
    <m/>
    <n v="0"/>
    <n v="41515395.000000015"/>
    <n v="0"/>
    <n v="0"/>
    <m/>
    <n v="179000"/>
    <m/>
    <n v="0"/>
    <m/>
    <n v="0"/>
    <n v="47249584.999999978"/>
    <n v="0"/>
    <n v="0"/>
    <n v="179175"/>
    <n v="179000"/>
    <n v="0"/>
    <x v="99"/>
    <n v="2015"/>
    <n v="179000"/>
    <n v="2019"/>
    <n v="179000"/>
    <n v="2019"/>
    <x v="1"/>
    <n v="179000"/>
    <n v="179000"/>
    <s v="No change"/>
    <n v="4.7050173871553191E-2"/>
    <n v="5.4673730437993617E-2"/>
    <n v="0"/>
    <n v="0"/>
    <x v="108"/>
    <n v="43.116535444261082"/>
    <n v="37.883930620766314"/>
  </r>
  <r>
    <x v="43"/>
    <s v="UGA"/>
    <n v="34273301"/>
    <x v="1"/>
    <n v="0"/>
    <n v="35273569.999999993"/>
    <n v="0"/>
    <m/>
    <n v="0"/>
    <m/>
    <n v="0"/>
    <m/>
    <n v="0"/>
    <m/>
    <n v="0"/>
    <n v="41515395.000000015"/>
    <n v="0"/>
    <n v="3"/>
    <m/>
    <n v="0"/>
    <m/>
    <n v="0"/>
    <m/>
    <n v="0"/>
    <n v="47249584.999999978"/>
    <n v="93"/>
    <n v="3"/>
    <n v="0"/>
    <n v="0"/>
    <n v="93"/>
    <x v="0"/>
    <s v=""/>
    <n v="3"/>
    <s v="2018 (triag)"/>
    <n v="93"/>
    <n v="2022"/>
    <x v="1"/>
    <n v="93"/>
    <n v="93"/>
    <s v="Increasing"/>
    <n v="4.7050173871553191E-2"/>
    <n v="5.4673730437993617E-2"/>
    <n v="2.3711176335084017"/>
    <n v="3.5347178498002902"/>
    <x v="0"/>
    <n v="7.226234990658282E-4"/>
    <n v="1.9682712557157919E-2"/>
  </r>
  <r>
    <x v="43"/>
    <s v="UGA"/>
    <n v="34273302"/>
    <x v="2"/>
    <n v="0"/>
    <n v="35273569.999999993"/>
    <n v="0"/>
    <m/>
    <n v="0"/>
    <m/>
    <n v="0"/>
    <m/>
    <n v="5112"/>
    <m/>
    <n v="0"/>
    <n v="41515395.000000015"/>
    <n v="0"/>
    <n v="16"/>
    <m/>
    <n v="0"/>
    <m/>
    <n v="0"/>
    <m/>
    <n v="0"/>
    <n v="47249584.999999978"/>
    <n v="426"/>
    <n v="16"/>
    <n v="0"/>
    <n v="5112"/>
    <n v="426"/>
    <x v="0"/>
    <s v=""/>
    <n v="16"/>
    <s v="2018 (triag)"/>
    <n v="426"/>
    <n v="2022"/>
    <x v="1"/>
    <n v="426"/>
    <n v="426"/>
    <s v="Increasing"/>
    <n v="4.7050173871553191E-2"/>
    <n v="5.4673730437993617E-2"/>
    <n v="12.645960712044809"/>
    <n v="18.851828532268215"/>
    <x v="0"/>
    <n v="3.8539919950177507E-3"/>
    <n v="9.0159522036013698E-2"/>
  </r>
  <r>
    <x v="43"/>
    <s v="UGA"/>
    <n v="34273303"/>
    <x v="3"/>
    <n v="0"/>
    <n v="35273569.999999993"/>
    <n v="0"/>
    <m/>
    <n v="0"/>
    <m/>
    <n v="0"/>
    <m/>
    <n v="0"/>
    <m/>
    <n v="0"/>
    <n v="41515395.000000015"/>
    <n v="0"/>
    <n v="527"/>
    <m/>
    <n v="0"/>
    <m/>
    <n v="0"/>
    <m/>
    <n v="0"/>
    <n v="47249584.999999978"/>
    <n v="0"/>
    <n v="527"/>
    <n v="0"/>
    <n v="0"/>
    <n v="0"/>
    <x v="0"/>
    <s v=""/>
    <n v="527"/>
    <s v="2018 (triag)"/>
    <n v="527"/>
    <s v="2018 (triag)"/>
    <x v="1"/>
    <n v="527"/>
    <n v="527"/>
    <s v="No change"/>
    <n v="4.7050173871553191E-2"/>
    <n v="5.4673730437993617E-2"/>
    <n v="416.52633095297591"/>
    <n v="620.93210228158432"/>
    <x v="0"/>
    <n v="0.12694086133589716"/>
    <n v="0.11153537115722821"/>
  </r>
  <r>
    <x v="43"/>
    <s v="UGA"/>
    <n v="34273304"/>
    <x v="4"/>
    <n v="0"/>
    <n v="35273569.999999993"/>
    <n v="0"/>
    <m/>
    <n v="0"/>
    <m/>
    <n v="0"/>
    <m/>
    <n v="0"/>
    <m/>
    <n v="0"/>
    <n v="41515395.000000015"/>
    <n v="0"/>
    <n v="0"/>
    <m/>
    <n v="0"/>
    <m/>
    <n v="0"/>
    <m/>
    <n v="0"/>
    <n v="47249584.999999978"/>
    <n v="0"/>
    <n v="0"/>
    <n v="0"/>
    <n v="0"/>
    <n v="0"/>
    <x v="0"/>
    <s v=""/>
    <m/>
    <s v=""/>
    <n v="0"/>
    <s v=""/>
    <x v="1"/>
    <m/>
    <n v="0"/>
    <s v="No change"/>
    <n v="4.7050173871553191E-2"/>
    <n v="5.4673730437993617E-2"/>
    <n v="0"/>
    <n v="0"/>
    <x v="0"/>
    <n v="0"/>
    <n v="0"/>
  </r>
  <r>
    <x v="43"/>
    <s v="UGA"/>
    <n v="34273305"/>
    <x v="5"/>
    <n v="0"/>
    <n v="35273569.999999993"/>
    <n v="0"/>
    <m/>
    <n v="0"/>
    <m/>
    <n v="227"/>
    <m/>
    <n v="0"/>
    <m/>
    <n v="0"/>
    <n v="41515395.000000015"/>
    <n v="0"/>
    <n v="0"/>
    <m/>
    <n v="30"/>
    <m/>
    <n v="0"/>
    <m/>
    <n v="0"/>
    <n v="47249584.999999978"/>
    <n v="1282"/>
    <n v="0"/>
    <n v="227"/>
    <n v="30"/>
    <n v="1282"/>
    <x v="100"/>
    <n v="2015"/>
    <n v="30"/>
    <n v="2019"/>
    <n v="1282"/>
    <n v="2022"/>
    <x v="1"/>
    <n v="1282"/>
    <n v="1282"/>
    <s v="Increasing"/>
    <n v="4.7050173871553191E-2"/>
    <n v="5.4673730437993617E-2"/>
    <n v="0"/>
    <n v="0"/>
    <x v="109"/>
    <n v="7.2262349906582818E-3"/>
    <n v="0.27132513439006939"/>
  </r>
  <r>
    <x v="43"/>
    <s v="UGA"/>
    <n v="34273306"/>
    <x v="6"/>
    <n v="0"/>
    <n v="35273569.999999993"/>
    <n v="0"/>
    <m/>
    <n v="0"/>
    <m/>
    <n v="0"/>
    <m/>
    <n v="0"/>
    <m/>
    <n v="0"/>
    <n v="41515395.000000015"/>
    <n v="3874"/>
    <n v="3874"/>
    <m/>
    <n v="0"/>
    <m/>
    <n v="0"/>
    <m/>
    <n v="0"/>
    <n v="47249584.999999978"/>
    <n v="3309"/>
    <n v="526"/>
    <n v="0"/>
    <n v="3874"/>
    <n v="3309"/>
    <x v="0"/>
    <s v=""/>
    <n v="3874"/>
    <n v="2018"/>
    <n v="3309"/>
    <n v="2022"/>
    <x v="0"/>
    <n v="3771.8605231388328"/>
    <n v="3874"/>
    <s v="Decreasing"/>
    <n v="4.7050173871553191E-2"/>
    <n v="5.4673730437993617E-2"/>
    <n v="415.7359584084731"/>
    <n v="619.75386299831757"/>
    <x v="0"/>
    <n v="0.93314781179367279"/>
    <n v="0.79828437078099945"/>
  </r>
  <r>
    <x v="43"/>
    <s v="UGA"/>
    <n v="34273307"/>
    <x v="7"/>
    <n v="0"/>
    <n v="35273569.999999993"/>
    <n v="0"/>
    <m/>
    <n v="0"/>
    <m/>
    <n v="0"/>
    <m/>
    <n v="0"/>
    <m/>
    <n v="0"/>
    <n v="41515395.000000015"/>
    <n v="0"/>
    <n v="3505"/>
    <m/>
    <n v="0"/>
    <m/>
    <n v="0"/>
    <m/>
    <n v="0"/>
    <n v="47249584.999999978"/>
    <n v="14531"/>
    <n v="3505"/>
    <n v="0"/>
    <n v="0"/>
    <n v="14531"/>
    <x v="0"/>
    <s v=""/>
    <n v="3505"/>
    <s v="2018 (triag)"/>
    <n v="14531"/>
    <n v="2022"/>
    <x v="1"/>
    <n v="14531"/>
    <n v="14531"/>
    <s v="Increasing"/>
    <n v="4.7050173871553191E-2"/>
    <n v="5.4673730437993617E-2"/>
    <n v="2770.2557684823159"/>
    <n v="4129.7286878500054"/>
    <x v="0"/>
    <n v="0.84426512140857601"/>
    <n v="3.075370926538298"/>
  </r>
  <r>
    <x v="43"/>
    <s v="UGA"/>
    <n v="34273308"/>
    <x v="8"/>
    <n v="0"/>
    <n v="35273569.999999993"/>
    <n v="0"/>
    <m/>
    <n v="0"/>
    <m/>
    <n v="121"/>
    <m/>
    <n v="0"/>
    <m/>
    <n v="0"/>
    <n v="41515395.000000015"/>
    <n v="0"/>
    <n v="42"/>
    <m/>
    <n v="0"/>
    <m/>
    <n v="0"/>
    <m/>
    <n v="0"/>
    <n v="47249584.999999978"/>
    <n v="1249"/>
    <n v="42"/>
    <n v="121"/>
    <n v="0"/>
    <n v="1249"/>
    <x v="101"/>
    <n v="2015"/>
    <n v="42"/>
    <s v="2018 (triag)"/>
    <n v="1249"/>
    <n v="2022"/>
    <x v="1"/>
    <n v="1249"/>
    <n v="1249"/>
    <s v="Increasing"/>
    <n v="4.7050173871553191E-2"/>
    <n v="5.4673730437993617E-2"/>
    <n v="33.195646869117624"/>
    <n v="49.486049897204062"/>
    <x v="110"/>
    <n v="1.0116728986921595E-2"/>
    <n v="0.26434094606333591"/>
  </r>
  <r>
    <x v="43"/>
    <s v="UGA"/>
    <n v="34273309"/>
    <x v="9"/>
    <n v="0"/>
    <n v="35273569.999999993"/>
    <n v="0"/>
    <m/>
    <n v="0"/>
    <m/>
    <n v="0"/>
    <m/>
    <n v="0"/>
    <m/>
    <n v="0"/>
    <n v="41515395.000000015"/>
    <n v="0"/>
    <n v="0"/>
    <m/>
    <n v="0"/>
    <m/>
    <n v="0"/>
    <m/>
    <n v="0"/>
    <n v="47249584.999999978"/>
    <n v="0"/>
    <n v="0"/>
    <n v="0"/>
    <n v="0"/>
    <n v="0"/>
    <x v="0"/>
    <s v=""/>
    <m/>
    <s v=""/>
    <n v="0"/>
    <s v=""/>
    <x v="1"/>
    <m/>
    <n v="0"/>
    <s v="No change"/>
    <n v="4.7050173871553191E-2"/>
    <n v="5.4673730437993617E-2"/>
    <n v="0"/>
    <n v="0"/>
    <x v="0"/>
    <n v="0"/>
    <n v="0"/>
  </r>
  <r>
    <x v="43"/>
    <s v="UGA"/>
    <n v="34273310"/>
    <x v="10"/>
    <n v="0"/>
    <n v="35273569.999999993"/>
    <n v="0"/>
    <m/>
    <n v="0"/>
    <m/>
    <n v="0"/>
    <m/>
    <n v="0"/>
    <m/>
    <n v="0"/>
    <n v="41515395.000000015"/>
    <n v="0"/>
    <n v="9"/>
    <m/>
    <n v="0"/>
    <m/>
    <n v="0"/>
    <m/>
    <n v="0"/>
    <n v="47249584.999999978"/>
    <n v="283"/>
    <n v="9"/>
    <n v="0"/>
    <n v="0"/>
    <n v="283"/>
    <x v="0"/>
    <s v=""/>
    <n v="9"/>
    <s v="2018 (triag)"/>
    <n v="283"/>
    <n v="2022"/>
    <x v="1"/>
    <n v="283"/>
    <n v="283"/>
    <s v="Increasing"/>
    <n v="4.7050173871553191E-2"/>
    <n v="5.4673730437993617E-2"/>
    <n v="7.1133529005252045"/>
    <n v="10.60415354940087"/>
    <x v="0"/>
    <n v="2.1678704971974847E-3"/>
    <n v="5.9894705953502055E-2"/>
  </r>
  <r>
    <x v="43"/>
    <s v="UGA"/>
    <n v="34273311"/>
    <x v="11"/>
    <n v="0"/>
    <n v="35273569.999999993"/>
    <n v="0"/>
    <m/>
    <n v="0"/>
    <m/>
    <n v="0"/>
    <m/>
    <n v="0"/>
    <m/>
    <n v="0"/>
    <n v="41515395.000000015"/>
    <n v="0"/>
    <n v="0"/>
    <m/>
    <n v="0"/>
    <m/>
    <n v="0"/>
    <m/>
    <n v="0"/>
    <n v="47249584.999999978"/>
    <n v="0"/>
    <n v="0"/>
    <n v="0"/>
    <n v="0"/>
    <n v="0"/>
    <x v="0"/>
    <s v=""/>
    <m/>
    <s v=""/>
    <n v="0"/>
    <s v=""/>
    <x v="1"/>
    <m/>
    <n v="0"/>
    <s v="No change"/>
    <n v="4.7050173871553191E-2"/>
    <n v="5.4673730437993617E-2"/>
    <n v="0"/>
    <n v="0"/>
    <x v="0"/>
    <n v="0"/>
    <n v="0"/>
  </r>
  <r>
    <x v="43"/>
    <s v="UGA"/>
    <n v="34273312"/>
    <x v="12"/>
    <n v="0"/>
    <n v="35273569.999999993"/>
    <n v="0"/>
    <m/>
    <n v="0"/>
    <m/>
    <n v="0"/>
    <m/>
    <n v="0"/>
    <m/>
    <n v="0"/>
    <n v="41515395.000000015"/>
    <n v="0"/>
    <n v="0"/>
    <m/>
    <n v="0"/>
    <m/>
    <n v="0"/>
    <m/>
    <n v="0"/>
    <n v="47249584.999999978"/>
    <n v="0"/>
    <n v="0"/>
    <n v="0"/>
    <n v="0"/>
    <n v="0"/>
    <x v="0"/>
    <s v=""/>
    <m/>
    <s v=""/>
    <n v="0"/>
    <s v=""/>
    <x v="1"/>
    <m/>
    <n v="0"/>
    <s v="No change"/>
    <n v="4.7050173871553191E-2"/>
    <n v="5.4673730437993617E-2"/>
    <n v="0"/>
    <n v="0"/>
    <x v="0"/>
    <n v="0"/>
    <n v="0"/>
  </r>
  <r>
    <x v="43"/>
    <s v="UGA"/>
    <n v="34273313"/>
    <x v="13"/>
    <n v="0"/>
    <n v="35273569.999999993"/>
    <n v="0"/>
    <m/>
    <n v="0"/>
    <m/>
    <n v="2447"/>
    <m/>
    <n v="0"/>
    <m/>
    <n v="0"/>
    <n v="41515395.000000015"/>
    <n v="0"/>
    <n v="3874"/>
    <m/>
    <n v="0"/>
    <m/>
    <n v="0"/>
    <m/>
    <n v="0"/>
    <n v="47249584.999999978"/>
    <n v="13380"/>
    <n v="3874"/>
    <n v="2447"/>
    <n v="0"/>
    <n v="13380"/>
    <x v="102"/>
    <n v="2015"/>
    <n v="3874"/>
    <s v="2018 (triag)"/>
    <n v="13380"/>
    <n v="2022"/>
    <x v="1"/>
    <n v="13380"/>
    <n v="13380"/>
    <s v="Increasing"/>
    <n v="4.7050173871553191E-2"/>
    <n v="5.4673730437993617E-2"/>
    <n v="3061.9032374038493"/>
    <n v="4564.4989833754416"/>
    <x v="111"/>
    <n v="0.93314781179367279"/>
    <n v="2.8317709033846552"/>
  </r>
  <r>
    <x v="43"/>
    <s v="UGA"/>
    <n v="34273314"/>
    <x v="14"/>
    <n v="0"/>
    <n v="35273569.999999993"/>
    <n v="0"/>
    <m/>
    <n v="0"/>
    <m/>
    <n v="0"/>
    <m/>
    <n v="0"/>
    <m/>
    <n v="0"/>
    <n v="41515395.000000015"/>
    <n v="0"/>
    <n v="0"/>
    <m/>
    <n v="0"/>
    <m/>
    <n v="0"/>
    <m/>
    <n v="0"/>
    <n v="47249584.999999978"/>
    <n v="0"/>
    <n v="0"/>
    <n v="0"/>
    <n v="0"/>
    <n v="0"/>
    <x v="0"/>
    <s v=""/>
    <m/>
    <s v=""/>
    <n v="0"/>
    <s v=""/>
    <x v="1"/>
    <m/>
    <n v="0"/>
    <s v="No change"/>
    <n v="4.7050173871553191E-2"/>
    <n v="5.4673730437993617E-2"/>
    <n v="0"/>
    <n v="0"/>
    <x v="0"/>
    <n v="0"/>
    <n v="0"/>
  </r>
  <r>
    <x v="43"/>
    <s v="UGA"/>
    <n v="34273315"/>
    <x v="15"/>
    <n v="0"/>
    <n v="35273569.999999993"/>
    <n v="0"/>
    <m/>
    <n v="0"/>
    <m/>
    <n v="114"/>
    <m/>
    <n v="0"/>
    <m/>
    <n v="0"/>
    <n v="41515395.000000015"/>
    <n v="0"/>
    <n v="18"/>
    <m/>
    <n v="0"/>
    <m/>
    <n v="0"/>
    <m/>
    <n v="0"/>
    <n v="47249584.999999978"/>
    <n v="572"/>
    <n v="18"/>
    <n v="114"/>
    <n v="0"/>
    <n v="572"/>
    <x v="103"/>
    <n v="2015"/>
    <n v="18"/>
    <s v="2018 (triag)"/>
    <n v="572"/>
    <n v="2022"/>
    <x v="1"/>
    <n v="572"/>
    <n v="572"/>
    <s v="Increasing"/>
    <n v="4.7050173871553191E-2"/>
    <n v="5.4673730437993617E-2"/>
    <n v="14.226705801050409"/>
    <n v="21.20830709880174"/>
    <x v="112"/>
    <n v="4.3357409943949694E-3"/>
    <n v="0.12105926433004656"/>
  </r>
  <r>
    <x v="43"/>
    <s v="UGA"/>
    <n v="34273316"/>
    <x v="16"/>
    <n v="6046"/>
    <n v="35273569.999999993"/>
    <n v="0"/>
    <m/>
    <n v="0"/>
    <m/>
    <n v="0"/>
    <m/>
    <n v="0"/>
    <m/>
    <n v="0"/>
    <n v="41515395.000000015"/>
    <n v="0"/>
    <n v="0"/>
    <m/>
    <n v="0"/>
    <m/>
    <n v="0"/>
    <m/>
    <n v="0"/>
    <n v="47249584.999999978"/>
    <n v="0"/>
    <n v="0"/>
    <n v="6046"/>
    <n v="0"/>
    <n v="0"/>
    <x v="104"/>
    <n v="2012"/>
    <m/>
    <s v=""/>
    <n v="0"/>
    <s v=""/>
    <x v="1"/>
    <m/>
    <n v="0"/>
    <s v="No change"/>
    <n v="4.7050173871553191E-2"/>
    <n v="5.4673730437993617E-2"/>
    <n v="0"/>
    <n v="0"/>
    <x v="113"/>
    <n v="0"/>
    <n v="0"/>
  </r>
  <r>
    <x v="43"/>
    <s v="UGA"/>
    <n v="34273317"/>
    <x v="17"/>
    <n v="0"/>
    <n v="35273569.999999993"/>
    <n v="0"/>
    <m/>
    <n v="0"/>
    <m/>
    <n v="0"/>
    <m/>
    <n v="0"/>
    <m/>
    <n v="0"/>
    <n v="41515395.000000015"/>
    <n v="0"/>
    <n v="0"/>
    <m/>
    <n v="0"/>
    <m/>
    <n v="0"/>
    <m/>
    <n v="0"/>
    <n v="47249584.999999978"/>
    <n v="29"/>
    <n v="0"/>
    <n v="0"/>
    <n v="0"/>
    <n v="29"/>
    <x v="0"/>
    <s v=""/>
    <m/>
    <s v=""/>
    <n v="29"/>
    <n v="2022"/>
    <x v="1"/>
    <n v="29"/>
    <n v="29"/>
    <s v="Increasing"/>
    <n v="4.7050173871553191E-2"/>
    <n v="5.4673730437993617E-2"/>
    <n v="0"/>
    <n v="0"/>
    <x v="0"/>
    <n v="0"/>
    <n v="6.1376200447051579E-3"/>
  </r>
  <r>
    <x v="43"/>
    <s v="UGA"/>
    <n v="34273318"/>
    <x v="18"/>
    <n v="19791"/>
    <n v="35273569.999999993"/>
    <n v="0"/>
    <m/>
    <n v="0"/>
    <m/>
    <n v="0"/>
    <m/>
    <n v="0"/>
    <m/>
    <n v="0"/>
    <n v="41515395.000000015"/>
    <n v="0"/>
    <n v="0"/>
    <m/>
    <n v="0"/>
    <m/>
    <n v="0"/>
    <m/>
    <n v="0"/>
    <n v="47249584.999999978"/>
    <n v="0"/>
    <n v="0"/>
    <n v="19791"/>
    <n v="0"/>
    <n v="0"/>
    <x v="105"/>
    <n v="2012"/>
    <m/>
    <s v=""/>
    <n v="0"/>
    <s v=""/>
    <x v="1"/>
    <m/>
    <n v="29"/>
    <s v="No change"/>
    <n v="4.7050173871553191E-2"/>
    <n v="5.4673730437993617E-2"/>
    <n v="0"/>
    <n v="0"/>
    <x v="114"/>
    <n v="0"/>
    <n v="0"/>
  </r>
  <r>
    <x v="44"/>
    <s v="ZAF"/>
    <n v="53145038"/>
    <x v="0"/>
    <n v="0"/>
    <n v="53873616"/>
    <n v="0"/>
    <m/>
    <n v="0"/>
    <m/>
    <n v="0"/>
    <m/>
    <n v="0"/>
    <m/>
    <n v="0"/>
    <n v="57339635.000000015"/>
    <n v="54180"/>
    <n v="54180"/>
    <m/>
    <n v="0"/>
    <m/>
    <n v="0"/>
    <m/>
    <n v="0"/>
    <n v="59893885.5"/>
    <n v="63290"/>
    <n v="54180"/>
    <n v="0"/>
    <n v="54180"/>
    <n v="63290"/>
    <x v="0"/>
    <s v=""/>
    <n v="54180"/>
    <n v="2018"/>
    <n v="63290"/>
    <n v="2022"/>
    <x v="1"/>
    <n v="63290"/>
    <n v="63290"/>
    <s v="Increasing"/>
    <n v="-1.4844947843777323E-3"/>
    <n v="5.4673730437993617E-2"/>
    <n v="54583.64580916016"/>
    <n v="63837.004367393245"/>
    <x v="0"/>
    <n v="9.448961438279122"/>
    <n v="10.567021904097372"/>
  </r>
  <r>
    <x v="44"/>
    <s v="ZAF"/>
    <n v="53145039"/>
    <x v="1"/>
    <n v="0"/>
    <n v="53873616"/>
    <n v="0"/>
    <m/>
    <n v="0"/>
    <m/>
    <n v="0"/>
    <m/>
    <n v="0"/>
    <m/>
    <n v="0"/>
    <n v="57339635.000000015"/>
    <n v="0"/>
    <n v="0"/>
    <m/>
    <n v="0"/>
    <m/>
    <n v="0"/>
    <m/>
    <n v="0"/>
    <n v="59893885.5"/>
    <n v="0"/>
    <n v="0"/>
    <n v="0"/>
    <n v="0"/>
    <n v="0"/>
    <x v="0"/>
    <s v=""/>
    <m/>
    <s v=""/>
    <n v="0"/>
    <s v=""/>
    <x v="1"/>
    <m/>
    <n v="0"/>
    <s v="No change"/>
    <n v="-1.4844947843777323E-3"/>
    <n v="5.4673730437993617E-2"/>
    <n v="0"/>
    <n v="0"/>
    <x v="0"/>
    <n v="0"/>
    <n v="0"/>
  </r>
  <r>
    <x v="44"/>
    <s v="ZAF"/>
    <n v="53145040"/>
    <x v="2"/>
    <n v="0"/>
    <n v="53873616"/>
    <n v="0"/>
    <m/>
    <n v="0"/>
    <m/>
    <n v="0"/>
    <m/>
    <n v="0"/>
    <m/>
    <n v="0"/>
    <n v="57339635.000000015"/>
    <n v="0"/>
    <n v="3585"/>
    <m/>
    <n v="0"/>
    <m/>
    <n v="0"/>
    <m/>
    <n v="0"/>
    <n v="59893885.5"/>
    <n v="0"/>
    <n v="3585"/>
    <n v="0"/>
    <n v="0"/>
    <n v="0"/>
    <x v="0"/>
    <s v=""/>
    <n v="3585"/>
    <s v="2018 (triag)"/>
    <n v="3585"/>
    <s v="2018 (triag)"/>
    <x v="1"/>
    <n v="3585"/>
    <n v="3585"/>
    <s v="No change"/>
    <n v="-1.4844947843777323E-3"/>
    <n v="5.4673730437993617E-2"/>
    <n v="3611.708568214086"/>
    <n v="4223.9878305113471"/>
    <x v="0"/>
    <n v="0.62522197778203492"/>
    <n v="0.59855859576851134"/>
  </r>
  <r>
    <x v="44"/>
    <s v="ZAF"/>
    <n v="53145041"/>
    <x v="3"/>
    <n v="0"/>
    <n v="53873616"/>
    <n v="0"/>
    <m/>
    <n v="0"/>
    <m/>
    <n v="0"/>
    <m/>
    <n v="0"/>
    <m/>
    <n v="0"/>
    <n v="57339635.000000015"/>
    <n v="0"/>
    <n v="0"/>
    <m/>
    <n v="0"/>
    <m/>
    <n v="0"/>
    <m/>
    <n v="0"/>
    <n v="59893885.5"/>
    <n v="2857"/>
    <n v="0"/>
    <n v="0"/>
    <n v="0"/>
    <n v="2857"/>
    <x v="0"/>
    <s v=""/>
    <m/>
    <s v=""/>
    <n v="2857"/>
    <n v="2022"/>
    <x v="1"/>
    <n v="2857"/>
    <n v="2857"/>
    <s v="Increasing"/>
    <n v="-1.4844947843777323E-3"/>
    <n v="5.4673730437993617E-2"/>
    <n v="0"/>
    <n v="0"/>
    <x v="0"/>
    <n v="0"/>
    <n v="0.47701029514941051"/>
  </r>
  <r>
    <x v="44"/>
    <s v="ZAF"/>
    <n v="53145042"/>
    <x v="4"/>
    <n v="0"/>
    <n v="53873616"/>
    <n v="0"/>
    <m/>
    <n v="0"/>
    <m/>
    <n v="0"/>
    <m/>
    <n v="0"/>
    <m/>
    <n v="0"/>
    <n v="57339635.000000015"/>
    <n v="0"/>
    <n v="0"/>
    <m/>
    <n v="0"/>
    <m/>
    <n v="0"/>
    <m/>
    <n v="0"/>
    <n v="59893885.5"/>
    <n v="26692"/>
    <n v="0"/>
    <n v="0"/>
    <n v="0"/>
    <n v="26692"/>
    <x v="0"/>
    <s v=""/>
    <m/>
    <s v=""/>
    <n v="26692"/>
    <n v="2022"/>
    <x v="1"/>
    <n v="26692"/>
    <n v="26692"/>
    <s v="Increasing"/>
    <n v="-1.4844947843777323E-3"/>
    <n v="5.4673730437993617E-2"/>
    <n v="0"/>
    <n v="0"/>
    <x v="0"/>
    <n v="0"/>
    <n v="4.4565484067651617"/>
  </r>
  <r>
    <x v="44"/>
    <s v="ZAF"/>
    <n v="53145043"/>
    <x v="5"/>
    <n v="0"/>
    <n v="53873616"/>
    <n v="0"/>
    <m/>
    <n v="0"/>
    <m/>
    <n v="0"/>
    <m/>
    <n v="0"/>
    <m/>
    <n v="3330"/>
    <n v="57339635.000000015"/>
    <n v="0"/>
    <n v="0"/>
    <m/>
    <n v="0"/>
    <m/>
    <n v="0"/>
    <m/>
    <n v="0"/>
    <n v="59893885.5"/>
    <n v="329"/>
    <n v="0"/>
    <n v="0"/>
    <n v="3330"/>
    <n v="329"/>
    <x v="0"/>
    <s v=""/>
    <n v="3330"/>
    <n v="2017"/>
    <n v="329"/>
    <n v="2022"/>
    <x v="0"/>
    <n v="482.20032365440028"/>
    <n v="3330"/>
    <s v="Decreasing"/>
    <n v="-1.4844947843777323E-3"/>
    <n v="5.4673730437993617E-2"/>
    <n v="0"/>
    <n v="0"/>
    <x v="0"/>
    <n v="0.5807501216218065"/>
    <n v="8.0509107002984512E-2"/>
  </r>
  <r>
    <x v="44"/>
    <s v="ZAF"/>
    <n v="53145044"/>
    <x v="6"/>
    <n v="133"/>
    <n v="53873616"/>
    <n v="144"/>
    <m/>
    <n v="145"/>
    <m/>
    <n v="149"/>
    <m/>
    <n v="4802"/>
    <m/>
    <n v="5267"/>
    <n v="57339635.000000015"/>
    <n v="5455"/>
    <n v="8415"/>
    <m/>
    <n v="9939"/>
    <m/>
    <n v="0"/>
    <m/>
    <n v="6166"/>
    <n v="59893885.5"/>
    <n v="13"/>
    <n v="8415"/>
    <n v="149"/>
    <n v="9939"/>
    <n v="6166"/>
    <x v="106"/>
    <n v="2013"/>
    <n v="8415"/>
    <s v="2018 (triag)"/>
    <n v="13"/>
    <n v="2022"/>
    <x v="0"/>
    <n v="19.053508229505177"/>
    <n v="8415"/>
    <s v="Decreasing"/>
    <n v="-1.4844947843777323E-3"/>
    <n v="5.4673730437993617E-2"/>
    <n v="8477.6924969376651"/>
    <n v="9914.8835686898146"/>
    <x v="115"/>
    <n v="1.467571253287538"/>
    <n v="3.181210915011546E-3"/>
  </r>
  <r>
    <x v="44"/>
    <s v="ZAF"/>
    <n v="53145045"/>
    <x v="7"/>
    <n v="0"/>
    <n v="53873616"/>
    <n v="0"/>
    <m/>
    <n v="0"/>
    <m/>
    <n v="0"/>
    <m/>
    <n v="0"/>
    <m/>
    <n v="0"/>
    <n v="57339635.000000015"/>
    <n v="0"/>
    <n v="577"/>
    <m/>
    <n v="0"/>
    <m/>
    <n v="0"/>
    <m/>
    <n v="0"/>
    <n v="59893885.5"/>
    <n v="0"/>
    <n v="577"/>
    <n v="0"/>
    <n v="0"/>
    <n v="0"/>
    <x v="0"/>
    <s v=""/>
    <n v="577"/>
    <s v="2018 (triag)"/>
    <n v="577"/>
    <s v="2018 (triag)"/>
    <x v="1"/>
    <n v="577"/>
    <n v="577"/>
    <s v="No change"/>
    <n v="-1.4844947843777323E-3"/>
    <n v="5.4673730437993617E-2"/>
    <n v="581.29870121604677"/>
    <n v="679.84406644492253"/>
    <x v="0"/>
    <n v="0.10062847452726197"/>
    <n v="9.6337045957721343E-2"/>
  </r>
  <r>
    <x v="44"/>
    <s v="ZAF"/>
    <n v="53145046"/>
    <x v="8"/>
    <n v="8095"/>
    <n v="53873616"/>
    <n v="8476"/>
    <m/>
    <n v="8924"/>
    <m/>
    <n v="9175"/>
    <m/>
    <n v="8484"/>
    <m/>
    <n v="8681"/>
    <n v="57339635.000000015"/>
    <n v="8878"/>
    <n v="8878"/>
    <m/>
    <n v="0"/>
    <m/>
    <n v="0"/>
    <m/>
    <n v="9281"/>
    <n v="59893885.5"/>
    <n v="0"/>
    <n v="8072"/>
    <n v="9175"/>
    <n v="8878"/>
    <n v="9281"/>
    <x v="107"/>
    <n v="2013"/>
    <n v="8878"/>
    <n v="2018"/>
    <n v="9281"/>
    <n v="2021"/>
    <x v="1"/>
    <n v="9281"/>
    <n v="9281"/>
    <s v="Increasing"/>
    <n v="-1.4844947843777323E-3"/>
    <n v="5.4673730437993617E-2"/>
    <n v="8132.1371164920783"/>
    <n v="9510.7474945293143"/>
    <x v="116"/>
    <n v="1.5483181921196389"/>
    <n v="1.5495738709421347"/>
  </r>
  <r>
    <x v="44"/>
    <s v="ZAF"/>
    <n v="53145047"/>
    <x v="9"/>
    <n v="0"/>
    <n v="53873616"/>
    <n v="0"/>
    <m/>
    <n v="0"/>
    <m/>
    <n v="0"/>
    <m/>
    <n v="0"/>
    <m/>
    <n v="0"/>
    <n v="57339635.000000015"/>
    <n v="0"/>
    <n v="0"/>
    <m/>
    <n v="0"/>
    <m/>
    <n v="0"/>
    <m/>
    <n v="0"/>
    <n v="59893885.5"/>
    <n v="0"/>
    <n v="0"/>
    <n v="0"/>
    <n v="0"/>
    <n v="0"/>
    <x v="0"/>
    <s v=""/>
    <m/>
    <s v=""/>
    <n v="0"/>
    <s v=""/>
    <x v="1"/>
    <m/>
    <n v="0"/>
    <s v="No change"/>
    <n v="-1.4844947843777323E-3"/>
    <n v="5.4673730437993617E-2"/>
    <n v="0"/>
    <n v="0"/>
    <x v="0"/>
    <n v="0"/>
    <n v="0"/>
  </r>
  <r>
    <x v="44"/>
    <s v="ZAF"/>
    <n v="53145048"/>
    <x v="10"/>
    <n v="3453"/>
    <n v="53873616"/>
    <n v="3588"/>
    <m/>
    <n v="3705"/>
    <m/>
    <n v="3783"/>
    <m/>
    <n v="3725"/>
    <m/>
    <n v="3790"/>
    <n v="57339635.000000015"/>
    <n v="3848"/>
    <n v="3848"/>
    <m/>
    <n v="3830"/>
    <m/>
    <n v="0"/>
    <m/>
    <n v="4012"/>
    <n v="59893885.5"/>
    <n v="255"/>
    <n v="0"/>
    <n v="3783"/>
    <n v="3848"/>
    <n v="4012"/>
    <x v="108"/>
    <n v="2013"/>
    <n v="3848"/>
    <n v="2018"/>
    <n v="255"/>
    <n v="2022"/>
    <x v="0"/>
    <n v="373.74189219414001"/>
    <n v="3848"/>
    <s v="Decreasing"/>
    <n v="-1.4844947843777323E-3"/>
    <n v="5.4673730437993617E-2"/>
    <n v="0"/>
    <n v="0"/>
    <x v="117"/>
    <n v="0.67108902942964299"/>
    <n v="6.2400675640611095E-2"/>
  </r>
  <r>
    <x v="44"/>
    <s v="ZAF"/>
    <n v="53145049"/>
    <x v="11"/>
    <n v="0"/>
    <n v="53873616"/>
    <n v="0"/>
    <m/>
    <n v="0"/>
    <m/>
    <n v="0"/>
    <m/>
    <n v="0"/>
    <m/>
    <n v="0"/>
    <n v="57339635.000000015"/>
    <n v="0"/>
    <n v="0"/>
    <m/>
    <n v="0"/>
    <m/>
    <n v="0"/>
    <m/>
    <n v="0"/>
    <n v="59893885.5"/>
    <n v="15459"/>
    <n v="0"/>
    <n v="0"/>
    <n v="0"/>
    <n v="15459"/>
    <x v="0"/>
    <s v=""/>
    <m/>
    <s v=""/>
    <n v="15459"/>
    <n v="2022"/>
    <x v="1"/>
    <n v="15459"/>
    <n v="15459"/>
    <s v="Increasing"/>
    <n v="-1.4844947843777323E-3"/>
    <n v="5.4673730437993617E-2"/>
    <n v="0"/>
    <n v="0"/>
    <x v="0"/>
    <n v="0"/>
    <n v="2.5810648066904927"/>
  </r>
  <r>
    <x v="44"/>
    <s v="ZAF"/>
    <n v="53145050"/>
    <x v="12"/>
    <n v="0"/>
    <n v="53873616"/>
    <n v="0"/>
    <m/>
    <n v="0"/>
    <m/>
    <n v="0"/>
    <m/>
    <n v="0"/>
    <m/>
    <n v="0"/>
    <n v="57339635.000000015"/>
    <n v="0"/>
    <n v="15266"/>
    <m/>
    <n v="0"/>
    <m/>
    <n v="0"/>
    <m/>
    <n v="0"/>
    <n v="59893885.5"/>
    <n v="0"/>
    <n v="15266"/>
    <n v="0"/>
    <n v="0"/>
    <n v="0"/>
    <x v="0"/>
    <s v=""/>
    <n v="15266"/>
    <s v="2018 (triag)"/>
    <n v="15266"/>
    <s v="2018 (triag)"/>
    <x v="1"/>
    <n v="15266"/>
    <n v="15266"/>
    <s v="No change"/>
    <n v="-1.4844947843777323E-3"/>
    <n v="5.4673730437993617E-2"/>
    <n v="15379.733055050554"/>
    <n v="17987.000898350409"/>
    <x v="0"/>
    <n v="2.6623817887923416"/>
    <n v="2.5488411500703188"/>
  </r>
  <r>
    <x v="44"/>
    <s v="ZAF"/>
    <n v="53145051"/>
    <x v="13"/>
    <n v="171"/>
    <n v="53873616"/>
    <n v="273"/>
    <m/>
    <n v="326"/>
    <m/>
    <n v="453"/>
    <m/>
    <n v="5377"/>
    <m/>
    <n v="5525"/>
    <n v="57339635.000000015"/>
    <n v="5731"/>
    <n v="5731"/>
    <m/>
    <n v="0"/>
    <m/>
    <n v="0"/>
    <m/>
    <n v="6353"/>
    <n v="59893885.5"/>
    <n v="0"/>
    <n v="0"/>
    <n v="453"/>
    <n v="5731"/>
    <n v="6353"/>
    <x v="109"/>
    <n v="2013"/>
    <n v="5731"/>
    <n v="2018"/>
    <n v="6353"/>
    <n v="2021"/>
    <x v="1"/>
    <n v="6353"/>
    <n v="6353"/>
    <s v="Increasing"/>
    <n v="-1.4844947843777323E-3"/>
    <n v="5.4673730437993617E-2"/>
    <n v="0"/>
    <n v="0"/>
    <x v="118"/>
    <n v="0.99948316727164355"/>
    <n v="1.060709277243334"/>
  </r>
  <r>
    <x v="44"/>
    <s v="ZAF"/>
    <n v="53145052"/>
    <x v="14"/>
    <n v="90"/>
    <n v="53873616"/>
    <n v="217"/>
    <m/>
    <n v="362"/>
    <m/>
    <n v="474"/>
    <m/>
    <n v="0"/>
    <m/>
    <n v="8919"/>
    <n v="57339635.000000015"/>
    <n v="0"/>
    <n v="0"/>
    <m/>
    <n v="0"/>
    <m/>
    <n v="0"/>
    <m/>
    <n v="3870"/>
    <n v="59893885.5"/>
    <n v="20327"/>
    <n v="0"/>
    <n v="474"/>
    <n v="8919"/>
    <n v="20327"/>
    <x v="110"/>
    <n v="2013"/>
    <n v="8919"/>
    <n v="2017"/>
    <n v="20327"/>
    <n v="2022"/>
    <x v="1"/>
    <n v="20327"/>
    <n v="20327"/>
    <s v="Increasing"/>
    <n v="-1.4844947843777323E-3"/>
    <n v="5.4673730437993617E-2"/>
    <n v="0"/>
    <n v="0"/>
    <x v="119"/>
    <n v="1.5554685689924601"/>
    <n v="3.3938355861050291"/>
  </r>
  <r>
    <x v="44"/>
    <s v="ZAF"/>
    <n v="53145053"/>
    <x v="15"/>
    <n v="7791"/>
    <n v="53873616"/>
    <n v="8185"/>
    <m/>
    <n v="8781"/>
    <m/>
    <n v="9289"/>
    <m/>
    <n v="7451"/>
    <m/>
    <n v="7704"/>
    <n v="57339635.000000015"/>
    <n v="7922"/>
    <n v="11975"/>
    <m/>
    <n v="8110"/>
    <m/>
    <n v="0"/>
    <m/>
    <n v="8509"/>
    <n v="59893885.5"/>
    <n v="1555"/>
    <n v="11975"/>
    <n v="9289"/>
    <n v="8110"/>
    <n v="8509"/>
    <x v="111"/>
    <n v="2013"/>
    <n v="11975"/>
    <s v="2018 (triag)"/>
    <n v="1555"/>
    <n v="2022"/>
    <x v="0"/>
    <n v="2279.0927151446576"/>
    <n v="11975"/>
    <s v="Decreasing"/>
    <n v="-1.4844947843777323E-3"/>
    <n v="5.4673730437993617E-2"/>
    <n v="12064.214812932685"/>
    <n v="14109.415417119491"/>
    <x v="120"/>
    <n v="2.0884332451715113"/>
    <n v="0.38052176714176572"/>
  </r>
  <r>
    <x v="44"/>
    <s v="ZAF"/>
    <n v="53145054"/>
    <x v="16"/>
    <n v="0"/>
    <n v="53873616"/>
    <n v="0"/>
    <m/>
    <n v="0"/>
    <m/>
    <n v="0"/>
    <m/>
    <n v="0"/>
    <m/>
    <n v="27694"/>
    <n v="57339635.000000015"/>
    <n v="0"/>
    <n v="0"/>
    <m/>
    <n v="0"/>
    <m/>
    <n v="0"/>
    <m/>
    <n v="0"/>
    <n v="59893885.5"/>
    <n v="15754"/>
    <n v="0"/>
    <n v="0"/>
    <n v="27694"/>
    <n v="15754"/>
    <x v="0"/>
    <s v=""/>
    <n v="27694"/>
    <n v="2017"/>
    <n v="15754"/>
    <n v="2022"/>
    <x v="0"/>
    <n v="23089.920665201891"/>
    <n v="27694"/>
    <s v="Decreasing"/>
    <n v="-1.4844947843777323E-3"/>
    <n v="5.4673730437993617E-2"/>
    <n v="0"/>
    <n v="0"/>
    <x v="0"/>
    <n v="4.8298179784367292"/>
    <n v="3.8551382119301461"/>
  </r>
  <r>
    <x v="44"/>
    <s v="ZAF"/>
    <n v="53145055"/>
    <x v="17"/>
    <n v="2285"/>
    <n v="53873616"/>
    <n v="2586"/>
    <m/>
    <n v="2746"/>
    <m/>
    <n v="2913"/>
    <m/>
    <n v="3140"/>
    <m/>
    <n v="3323"/>
    <n v="57339635.000000015"/>
    <n v="3512"/>
    <n v="3512"/>
    <m/>
    <n v="3676"/>
    <m/>
    <n v="0"/>
    <m/>
    <n v="4037"/>
    <n v="59893885.5"/>
    <n v="586"/>
    <n v="0"/>
    <n v="2913"/>
    <n v="3676"/>
    <n v="4037"/>
    <x v="112"/>
    <n v="2013"/>
    <n v="3512"/>
    <n v="2018"/>
    <n v="586"/>
    <n v="2022"/>
    <x v="0"/>
    <n v="858.87352480692573"/>
    <n v="3512"/>
    <s v="Decreasing"/>
    <n v="-1.4844947843777323E-3"/>
    <n v="5.4673730437993617E-2"/>
    <n v="0"/>
    <n v="0"/>
    <x v="121"/>
    <n v="0.61249081895969504"/>
    <n v="0.14339919970744353"/>
  </r>
  <r>
    <x v="44"/>
    <s v="ZAF"/>
    <n v="53145056"/>
    <x v="18"/>
    <n v="0"/>
    <n v="53873616"/>
    <n v="0"/>
    <m/>
    <n v="0"/>
    <m/>
    <n v="0"/>
    <m/>
    <n v="0"/>
    <m/>
    <n v="49732"/>
    <n v="57339635.000000015"/>
    <n v="0"/>
    <n v="0"/>
    <m/>
    <n v="0"/>
    <m/>
    <n v="0"/>
    <m/>
    <n v="0"/>
    <n v="59893885.5"/>
    <n v="9"/>
    <n v="0"/>
    <n v="0"/>
    <n v="49732"/>
    <n v="9"/>
    <x v="0"/>
    <s v=""/>
    <n v="49732"/>
    <n v="2017"/>
    <n v="9"/>
    <n v="2022"/>
    <x v="0"/>
    <n v="13.190890312734354"/>
    <n v="49732"/>
    <s v="Decreasing"/>
    <n v="-1.4844947843777323E-3"/>
    <n v="5.4673730437993617E-2"/>
    <n v="0"/>
    <n v="0"/>
    <x v="0"/>
    <n v="8.6732327472959998"/>
    <n v="2.202376787315686E-3"/>
  </r>
  <r>
    <x v="45"/>
    <s v="ZMB"/>
    <n v="14744663"/>
    <x v="0"/>
    <n v="0"/>
    <n v="15234975.999999991"/>
    <n v="0"/>
    <m/>
    <n v="0"/>
    <m/>
    <n v="0"/>
    <m/>
    <n v="0"/>
    <m/>
    <n v="0"/>
    <n v="17835892.999999981"/>
    <n v="1283"/>
    <n v="1283"/>
    <m/>
    <n v="1846"/>
    <m/>
    <n v="41669"/>
    <m/>
    <n v="0"/>
    <n v="20017675.000000004"/>
    <n v="2421"/>
    <n v="1262"/>
    <n v="0"/>
    <n v="1846"/>
    <n v="41669"/>
    <x v="0"/>
    <s v=""/>
    <n v="1283"/>
    <n v="2018"/>
    <n v="2421"/>
    <n v="2022"/>
    <x v="1"/>
    <n v="2421"/>
    <n v="2421"/>
    <s v="Increasing"/>
    <n v="9.0528744101809888E-2"/>
    <n v="5.4673730437993617E-2"/>
    <n v="802.5621701473749"/>
    <n v="1486.9379754826555"/>
    <x v="0"/>
    <n v="0.71933600409018006"/>
    <n v="1.2094311652077474"/>
  </r>
  <r>
    <x v="45"/>
    <s v="ZMB"/>
    <n v="14744664"/>
    <x v="1"/>
    <n v="0"/>
    <n v="15234975.999999991"/>
    <n v="0"/>
    <m/>
    <n v="0"/>
    <m/>
    <n v="0"/>
    <m/>
    <n v="0"/>
    <m/>
    <n v="66"/>
    <n v="17835892.999999981"/>
    <n v="0"/>
    <n v="404"/>
    <m/>
    <n v="0"/>
    <m/>
    <n v="0"/>
    <m/>
    <n v="0"/>
    <n v="20017675.000000004"/>
    <n v="774"/>
    <n v="404"/>
    <n v="0"/>
    <n v="66"/>
    <n v="774"/>
    <x v="0"/>
    <s v=""/>
    <n v="404"/>
    <s v="2018 (triag)"/>
    <n v="774"/>
    <n v="2022"/>
    <x v="1"/>
    <n v="774"/>
    <n v="774"/>
    <s v="Increasing"/>
    <n v="9.0528744101809888E-2"/>
    <n v="5.4673730437993617E-2"/>
    <n v="256.92164559392984"/>
    <n v="476.0086704397724"/>
    <x v="0"/>
    <n v="0.22650954454593353"/>
    <n v="0.38665829073556235"/>
  </r>
  <r>
    <x v="45"/>
    <s v="ZMB"/>
    <n v="14744665"/>
    <x v="2"/>
    <n v="0"/>
    <n v="15234975.999999991"/>
    <n v="0"/>
    <m/>
    <n v="0"/>
    <m/>
    <n v="0"/>
    <m/>
    <n v="0"/>
    <m/>
    <n v="0"/>
    <n v="17835892.999999981"/>
    <n v="0"/>
    <n v="2016"/>
    <m/>
    <n v="0"/>
    <m/>
    <n v="3330"/>
    <m/>
    <n v="0"/>
    <n v="20017675.000000004"/>
    <n v="4392"/>
    <n v="2016"/>
    <n v="0"/>
    <n v="0"/>
    <n v="4392"/>
    <x v="0"/>
    <s v=""/>
    <n v="2016"/>
    <s v="2018 (triag)"/>
    <n v="4392"/>
    <n v="2022"/>
    <x v="1"/>
    <n v="4392"/>
    <n v="4392"/>
    <s v="Increasing"/>
    <n v="9.0528744101809888E-2"/>
    <n v="5.4673730437993617E-2"/>
    <n v="1282.0644493004024"/>
    <n v="2375.3303950657951"/>
    <x v="0"/>
    <n v="1.1303050539717872"/>
    <n v="2.1940609985924935"/>
  </r>
  <r>
    <x v="45"/>
    <s v="ZMB"/>
    <n v="14744666"/>
    <x v="3"/>
    <n v="0"/>
    <n v="15234975.999999991"/>
    <n v="0"/>
    <m/>
    <n v="0"/>
    <m/>
    <n v="0"/>
    <m/>
    <n v="0"/>
    <m/>
    <n v="0"/>
    <n v="17835892.999999981"/>
    <n v="119"/>
    <n v="119"/>
    <m/>
    <n v="0"/>
    <m/>
    <n v="0"/>
    <m/>
    <n v="0"/>
    <n v="20017675.000000004"/>
    <n v="0"/>
    <n v="0"/>
    <n v="0"/>
    <n v="119"/>
    <n v="0"/>
    <x v="0"/>
    <s v=""/>
    <n v="119"/>
    <n v="2018"/>
    <n v="119"/>
    <n v="2018"/>
    <x v="1"/>
    <n v="119"/>
    <n v="119"/>
    <s v="No change"/>
    <n v="9.0528744101809888E-2"/>
    <n v="5.4673730437993617E-2"/>
    <n v="0"/>
    <n v="0"/>
    <x v="0"/>
    <n v="6.6719395546945767E-2"/>
    <n v="5.944746330430481E-2"/>
  </r>
  <r>
    <x v="45"/>
    <s v="ZMB"/>
    <n v="14744667"/>
    <x v="4"/>
    <n v="0"/>
    <n v="15234975.999999991"/>
    <n v="0"/>
    <m/>
    <n v="0"/>
    <m/>
    <n v="0"/>
    <m/>
    <n v="0"/>
    <m/>
    <n v="0"/>
    <n v="17835892.999999981"/>
    <n v="0"/>
    <n v="0"/>
    <m/>
    <n v="0"/>
    <m/>
    <n v="0"/>
    <m/>
    <n v="0"/>
    <n v="20017675.000000004"/>
    <n v="0"/>
    <n v="0"/>
    <n v="0"/>
    <n v="0"/>
    <n v="0"/>
    <x v="0"/>
    <s v=""/>
    <m/>
    <s v=""/>
    <n v="0"/>
    <s v=""/>
    <x v="1"/>
    <m/>
    <n v="0"/>
    <s v="No change"/>
    <n v="9.0528744101809888E-2"/>
    <n v="5.4673730437993617E-2"/>
    <n v="0"/>
    <n v="0"/>
    <x v="0"/>
    <n v="0"/>
    <n v="0"/>
  </r>
  <r>
    <x v="45"/>
    <s v="ZMB"/>
    <n v="14744668"/>
    <x v="5"/>
    <n v="53"/>
    <n v="15234975.999999991"/>
    <n v="0"/>
    <m/>
    <n v="0"/>
    <m/>
    <n v="0"/>
    <m/>
    <n v="0"/>
    <m/>
    <n v="0"/>
    <n v="17835892.999999981"/>
    <n v="0"/>
    <n v="0"/>
    <m/>
    <n v="0"/>
    <m/>
    <n v="0"/>
    <m/>
    <n v="0"/>
    <n v="20017675.000000004"/>
    <n v="28"/>
    <n v="0"/>
    <n v="53"/>
    <n v="0"/>
    <n v="28"/>
    <x v="113"/>
    <n v="2012"/>
    <m/>
    <s v=""/>
    <n v="28"/>
    <n v="2022"/>
    <x v="1"/>
    <n v="28"/>
    <n v="28"/>
    <s v="Increasing"/>
    <n v="9.0528744101809888E-2"/>
    <n v="5.4673730437993617E-2"/>
    <n v="0"/>
    <n v="0"/>
    <x v="122"/>
    <n v="0"/>
    <n v="1.3987638424542308E-2"/>
  </r>
  <r>
    <x v="45"/>
    <s v="ZMB"/>
    <n v="14744669"/>
    <x v="6"/>
    <n v="184"/>
    <n v="15234975.999999991"/>
    <n v="0"/>
    <m/>
    <n v="0"/>
    <m/>
    <n v="0"/>
    <m/>
    <n v="921"/>
    <m/>
    <n v="0"/>
    <n v="17835892.999999981"/>
    <n v="18"/>
    <n v="18"/>
    <m/>
    <n v="18"/>
    <m/>
    <n v="19"/>
    <m/>
    <n v="19"/>
    <n v="20017675.000000004"/>
    <n v="641"/>
    <n v="0"/>
    <n v="184"/>
    <n v="921"/>
    <n v="641"/>
    <x v="114"/>
    <n v="2012"/>
    <n v="18"/>
    <n v="2018"/>
    <n v="641"/>
    <n v="2022"/>
    <x v="1"/>
    <n v="641"/>
    <n v="641"/>
    <s v="Increasing"/>
    <n v="9.0528744101809888E-2"/>
    <n v="5.4673730437993617E-2"/>
    <n v="0"/>
    <n v="0"/>
    <x v="123"/>
    <n v="1.0092009410462385E-2"/>
    <n v="0.32021700821898641"/>
  </r>
  <r>
    <x v="45"/>
    <s v="ZMB"/>
    <n v="14744670"/>
    <x v="7"/>
    <n v="0"/>
    <n v="15234975.999999991"/>
    <n v="0"/>
    <m/>
    <n v="0"/>
    <m/>
    <n v="0"/>
    <m/>
    <n v="0"/>
    <m/>
    <n v="0"/>
    <n v="17835892.999999981"/>
    <n v="0"/>
    <n v="2617"/>
    <m/>
    <n v="0"/>
    <m/>
    <n v="0"/>
    <m/>
    <n v="0"/>
    <n v="20017675.000000004"/>
    <n v="7144"/>
    <n v="2617"/>
    <n v="0"/>
    <n v="0"/>
    <n v="7144"/>
    <x v="0"/>
    <s v=""/>
    <n v="2617"/>
    <s v="2018 (triag)"/>
    <n v="7144"/>
    <n v="2022"/>
    <x v="1"/>
    <n v="7144"/>
    <n v="7144"/>
    <s v="Increasing"/>
    <n v="9.0528744101809888E-2"/>
    <n v="5.4673730437993617E-2"/>
    <n v="1664.2671943547386"/>
    <n v="3083.4522043091197"/>
    <x v="0"/>
    <n v="1.4672660348433368"/>
    <n v="3.5688460323189375"/>
  </r>
  <r>
    <x v="45"/>
    <s v="ZMB"/>
    <n v="14744671"/>
    <x v="8"/>
    <n v="500"/>
    <n v="15234975.999999991"/>
    <n v="0"/>
    <m/>
    <n v="0"/>
    <m/>
    <n v="0"/>
    <m/>
    <n v="419"/>
    <m/>
    <n v="0"/>
    <n v="17835892.999999981"/>
    <n v="761"/>
    <n v="761"/>
    <m/>
    <n v="929"/>
    <m/>
    <n v="1075"/>
    <m/>
    <n v="1375"/>
    <n v="20017675.000000004"/>
    <n v="2633"/>
    <n v="602"/>
    <n v="500"/>
    <n v="929"/>
    <n v="2633"/>
    <x v="115"/>
    <n v="2012"/>
    <n v="761"/>
    <n v="2018"/>
    <n v="2633"/>
    <n v="2022"/>
    <x v="1"/>
    <n v="2633"/>
    <n v="2633"/>
    <s v="Increasing"/>
    <n v="9.0528744101809888E-2"/>
    <n v="5.4673730437993617E-2"/>
    <n v="382.83868972164794"/>
    <n v="709.30004852659158"/>
    <x v="124"/>
    <n v="0.42666773118677087"/>
    <n v="1.3153375704221393"/>
  </r>
  <r>
    <x v="45"/>
    <s v="ZMB"/>
    <n v="14744672"/>
    <x v="9"/>
    <n v="0"/>
    <n v="15234975.999999991"/>
    <n v="0"/>
    <m/>
    <n v="0"/>
    <m/>
    <n v="0"/>
    <m/>
    <n v="0"/>
    <m/>
    <n v="0"/>
    <n v="17835892.999999981"/>
    <n v="67"/>
    <n v="1232"/>
    <m/>
    <n v="0"/>
    <m/>
    <n v="0"/>
    <m/>
    <n v="0"/>
    <n v="20017675.000000004"/>
    <n v="0"/>
    <n v="1232"/>
    <n v="0"/>
    <n v="67"/>
    <n v="0"/>
    <x v="0"/>
    <s v=""/>
    <n v="1232"/>
    <s v="2018 (triag)"/>
    <n v="1232"/>
    <s v="2018 (triag)"/>
    <x v="1"/>
    <n v="1232"/>
    <n v="1232"/>
    <s v="No change"/>
    <n v="9.0528744101809888E-2"/>
    <n v="5.4673730437993617E-2"/>
    <n v="783.48383012802367"/>
    <n v="1451.5907969846526"/>
    <x v="0"/>
    <n v="0.69074197742720322"/>
    <n v="0.61545609067986151"/>
  </r>
  <r>
    <x v="45"/>
    <s v="ZMB"/>
    <n v="14744673"/>
    <x v="10"/>
    <n v="18"/>
    <n v="15234975.999999991"/>
    <n v="0"/>
    <m/>
    <n v="0"/>
    <m/>
    <n v="0"/>
    <m/>
    <n v="0"/>
    <m/>
    <n v="0"/>
    <n v="17835892.999999981"/>
    <n v="16"/>
    <n v="61"/>
    <m/>
    <n v="0"/>
    <m/>
    <n v="0"/>
    <m/>
    <n v="0"/>
    <n v="20017675.000000004"/>
    <n v="244"/>
    <n v="61"/>
    <n v="18"/>
    <n v="16"/>
    <n v="244"/>
    <x v="116"/>
    <n v="2012"/>
    <n v="61"/>
    <s v="2018 (triag)"/>
    <n v="244"/>
    <n v="2022"/>
    <x v="1"/>
    <n v="244"/>
    <n v="244"/>
    <s v="Increasing"/>
    <n v="9.0528744101809888E-2"/>
    <n v="5.4673730437993617E-2"/>
    <n v="38.792624706014159"/>
    <n v="71.872596279272571"/>
    <x v="125"/>
    <n v="3.4200698557678086E-2"/>
    <n v="0.12189227769958297"/>
  </r>
  <r>
    <x v="45"/>
    <s v="ZMB"/>
    <n v="14744674"/>
    <x v="11"/>
    <n v="0"/>
    <n v="15234975.999999991"/>
    <n v="0"/>
    <m/>
    <n v="0"/>
    <m/>
    <n v="0"/>
    <m/>
    <n v="0"/>
    <m/>
    <n v="0"/>
    <n v="17835892.999999981"/>
    <n v="0"/>
    <n v="17801"/>
    <m/>
    <n v="0"/>
    <m/>
    <n v="0"/>
    <m/>
    <n v="0"/>
    <n v="20017675.000000004"/>
    <n v="0"/>
    <n v="17801"/>
    <n v="0"/>
    <n v="0"/>
    <n v="0"/>
    <x v="0"/>
    <s v=""/>
    <n v="17801"/>
    <s v="2018 (triag)"/>
    <n v="17801"/>
    <s v="2018 (triag)"/>
    <x v="1"/>
    <n v="17801"/>
    <n v="17801"/>
    <s v="No change"/>
    <n v="9.0528744101809888E-2"/>
    <n v="5.4673730437993617E-2"/>
    <n v="11320.451022815707"/>
    <n v="20973.837481431656"/>
    <x v="0"/>
    <n v="9.9804366397578299"/>
    <n v="8.8926411284027722"/>
  </r>
  <r>
    <x v="45"/>
    <s v="ZMB"/>
    <n v="14744675"/>
    <x v="12"/>
    <n v="0"/>
    <n v="15234975.999999991"/>
    <n v="0"/>
    <m/>
    <n v="0"/>
    <m/>
    <n v="0"/>
    <m/>
    <n v="0"/>
    <m/>
    <n v="0"/>
    <n v="17835892.999999981"/>
    <n v="0"/>
    <n v="0"/>
    <m/>
    <n v="0"/>
    <m/>
    <n v="0"/>
    <m/>
    <n v="0"/>
    <n v="20017675.000000004"/>
    <n v="0"/>
    <n v="0"/>
    <n v="0"/>
    <n v="0"/>
    <n v="0"/>
    <x v="0"/>
    <s v=""/>
    <m/>
    <s v=""/>
    <n v="0"/>
    <s v=""/>
    <x v="1"/>
    <m/>
    <n v="0"/>
    <s v="No change"/>
    <n v="9.0528744101809888E-2"/>
    <n v="5.4673730437993617E-2"/>
    <n v="0"/>
    <n v="0"/>
    <x v="0"/>
    <n v="0"/>
    <n v="0"/>
  </r>
  <r>
    <x v="45"/>
    <s v="ZMB"/>
    <n v="14744676"/>
    <x v="13"/>
    <n v="1126"/>
    <n v="15234975.999999991"/>
    <n v="0"/>
    <m/>
    <n v="0"/>
    <m/>
    <n v="0"/>
    <m/>
    <n v="0"/>
    <m/>
    <n v="0"/>
    <n v="17835892.999999981"/>
    <n v="1712"/>
    <n v="1712"/>
    <m/>
    <n v="2045"/>
    <m/>
    <n v="2506"/>
    <m/>
    <n v="3182"/>
    <n v="20017675.000000004"/>
    <n v="2235"/>
    <n v="1602"/>
    <n v="1126"/>
    <n v="2045"/>
    <n v="3182"/>
    <x v="117"/>
    <n v="2012"/>
    <n v="1712"/>
    <n v="2018"/>
    <n v="2235"/>
    <n v="2022"/>
    <x v="1"/>
    <n v="2235"/>
    <n v="2235"/>
    <s v="Increasing"/>
    <n v="9.0528744101809888E-2"/>
    <n v="5.4673730437993617E-2"/>
    <n v="1018.7833570333555"/>
    <n v="1887.5393317933549"/>
    <x v="126"/>
    <n v="0.95986222837286683"/>
    <n v="1.1165132813875736"/>
  </r>
  <r>
    <x v="45"/>
    <s v="ZMB"/>
    <n v="14744677"/>
    <x v="14"/>
    <n v="3141"/>
    <n v="15234975.999999991"/>
    <n v="0"/>
    <m/>
    <n v="0"/>
    <m/>
    <n v="0"/>
    <m/>
    <n v="1814"/>
    <m/>
    <n v="0"/>
    <n v="17835892.999999981"/>
    <n v="3616"/>
    <n v="3616"/>
    <m/>
    <n v="4562"/>
    <m/>
    <n v="5544"/>
    <m/>
    <n v="8281"/>
    <n v="20017675.000000004"/>
    <n v="970"/>
    <n v="0"/>
    <n v="3141"/>
    <n v="4562"/>
    <n v="8281"/>
    <x v="118"/>
    <n v="2012"/>
    <n v="3616"/>
    <n v="2018"/>
    <n v="970"/>
    <n v="2022"/>
    <x v="0"/>
    <n v="1114.8196849908027"/>
    <n v="3616"/>
    <s v="Decreasing"/>
    <n v="9.0528744101809888E-2"/>
    <n v="5.4673730437993617E-2"/>
    <n v="0"/>
    <n v="0"/>
    <x v="127"/>
    <n v="2.0273725571239991"/>
    <n v="0.55691766650762509"/>
  </r>
  <r>
    <x v="45"/>
    <s v="ZMB"/>
    <n v="14744678"/>
    <x v="15"/>
    <n v="485"/>
    <n v="15234975.999999991"/>
    <n v="0"/>
    <m/>
    <n v="0"/>
    <m/>
    <n v="0"/>
    <m/>
    <n v="432"/>
    <m/>
    <n v="0"/>
    <n v="17835892.999999981"/>
    <n v="739"/>
    <n v="739"/>
    <m/>
    <n v="864"/>
    <m/>
    <n v="1036"/>
    <m/>
    <n v="1324"/>
    <n v="20017675.000000004"/>
    <n v="1239"/>
    <n v="606"/>
    <n v="485"/>
    <n v="864"/>
    <n v="1324"/>
    <x v="119"/>
    <n v="2012"/>
    <n v="739"/>
    <n v="2018"/>
    <n v="1239"/>
    <n v="2022"/>
    <x v="1"/>
    <n v="1239"/>
    <n v="1327"/>
    <s v="Increasing"/>
    <n v="9.0528744101809888E-2"/>
    <n v="5.4673730437993617E-2"/>
    <n v="385.38246839089476"/>
    <n v="714.01300565965857"/>
    <x v="128"/>
    <n v="0.41433305301842793"/>
    <n v="0.61895300028599709"/>
  </r>
  <r>
    <x v="45"/>
    <s v="ZMB"/>
    <n v="14744679"/>
    <x v="16"/>
    <n v="0"/>
    <n v="15234975.999999991"/>
    <n v="0"/>
    <m/>
    <n v="0"/>
    <m/>
    <n v="0"/>
    <m/>
    <n v="0"/>
    <m/>
    <n v="0"/>
    <n v="17835892.999999981"/>
    <n v="0"/>
    <n v="0"/>
    <m/>
    <n v="0"/>
    <m/>
    <n v="0"/>
    <m/>
    <n v="0"/>
    <n v="20017675.000000004"/>
    <n v="0"/>
    <n v="0"/>
    <n v="0"/>
    <n v="0"/>
    <n v="0"/>
    <x v="0"/>
    <s v=""/>
    <m/>
    <s v=""/>
    <n v="0"/>
    <s v=""/>
    <x v="1"/>
    <m/>
    <n v="0"/>
    <s v="No change"/>
    <n v="9.0528744101809888E-2"/>
    <n v="5.4673730437993617E-2"/>
    <n v="0"/>
    <n v="0"/>
    <x v="0"/>
    <n v="0"/>
    <n v="0"/>
  </r>
  <r>
    <x v="45"/>
    <s v="ZMB"/>
    <n v="14744680"/>
    <x v="17"/>
    <n v="0"/>
    <n v="15234975.999999991"/>
    <n v="0"/>
    <m/>
    <n v="0"/>
    <m/>
    <n v="0"/>
    <m/>
    <n v="0"/>
    <m/>
    <n v="0"/>
    <n v="17835892.999999981"/>
    <n v="0"/>
    <n v="0"/>
    <m/>
    <n v="0"/>
    <m/>
    <n v="0"/>
    <m/>
    <n v="0"/>
    <n v="20017675.000000004"/>
    <n v="2"/>
    <n v="0"/>
    <n v="0"/>
    <n v="0"/>
    <n v="2"/>
    <x v="0"/>
    <s v=""/>
    <m/>
    <s v=""/>
    <n v="2"/>
    <n v="2022"/>
    <x v="1"/>
    <n v="2"/>
    <n v="2"/>
    <s v="Increasing"/>
    <n v="9.0528744101809888E-2"/>
    <n v="5.4673730437993617E-2"/>
    <n v="0"/>
    <n v="0"/>
    <x v="0"/>
    <n v="0"/>
    <n v="9.9911703032445052E-4"/>
  </r>
  <r>
    <x v="45"/>
    <s v="ZMB"/>
    <n v="14744681"/>
    <x v="18"/>
    <n v="0"/>
    <n v="15234975.999999991"/>
    <n v="0"/>
    <m/>
    <n v="0"/>
    <m/>
    <n v="0"/>
    <m/>
    <n v="0"/>
    <m/>
    <n v="0"/>
    <n v="17835892.999999981"/>
    <n v="0"/>
    <n v="0"/>
    <m/>
    <n v="0"/>
    <m/>
    <n v="0"/>
    <m/>
    <n v="0"/>
    <n v="20017675.000000004"/>
    <n v="0"/>
    <n v="0"/>
    <n v="0"/>
    <n v="0"/>
    <n v="0"/>
    <x v="0"/>
    <s v=""/>
    <m/>
    <s v=""/>
    <n v="0"/>
    <s v=""/>
    <x v="1"/>
    <m/>
    <n v="0"/>
    <s v="No change"/>
    <n v="9.0528744101809888E-2"/>
    <n v="5.4673730437993617E-2"/>
    <n v="0"/>
    <n v="0"/>
    <x v="0"/>
    <n v="0"/>
    <n v="0"/>
  </r>
  <r>
    <x v="46"/>
    <s v="ZWE"/>
    <n v="13265336"/>
    <x v="0"/>
    <n v="0"/>
    <n v="13555421.500000011"/>
    <n v="0"/>
    <m/>
    <n v="0"/>
    <m/>
    <n v="11200"/>
    <m/>
    <n v="0"/>
    <m/>
    <n v="15000"/>
    <n v="15052184.000000007"/>
    <n v="15888"/>
    <n v="15888"/>
    <m/>
    <n v="0"/>
    <m/>
    <n v="0"/>
    <m/>
    <n v="0"/>
    <n v="16320536.999999996"/>
    <n v="19722"/>
    <n v="2143"/>
    <n v="11200"/>
    <n v="15888"/>
    <n v="19722"/>
    <x v="120"/>
    <n v="2015"/>
    <n v="15888"/>
    <n v="2018"/>
    <n v="19722"/>
    <n v="2022"/>
    <x v="1"/>
    <n v="19722"/>
    <n v="19722"/>
    <s v="Increasing"/>
    <n v="8.5173735635071912E-2"/>
    <n v="0.17704702295875174"/>
    <n v="1399.81213497868"/>
    <n v="3644.9687256954526"/>
    <x v="129"/>
    <n v="10.555278888432397"/>
    <n v="12.084161201313416"/>
  </r>
  <r>
    <x v="46"/>
    <s v="ZWE"/>
    <n v="13265337"/>
    <x v="1"/>
    <n v="0"/>
    <n v="13555421.500000011"/>
    <n v="0"/>
    <m/>
    <n v="0"/>
    <m/>
    <n v="845"/>
    <m/>
    <n v="0"/>
    <m/>
    <n v="0"/>
    <n v="15052184.000000007"/>
    <n v="0"/>
    <n v="0"/>
    <m/>
    <n v="0"/>
    <m/>
    <n v="0"/>
    <m/>
    <n v="0"/>
    <n v="16320536.999999996"/>
    <n v="280"/>
    <n v="0"/>
    <n v="845"/>
    <n v="0"/>
    <n v="280"/>
    <x v="121"/>
    <n v="2015"/>
    <m/>
    <s v=""/>
    <n v="280"/>
    <n v="2022"/>
    <x v="1"/>
    <n v="280"/>
    <n v="280"/>
    <s v="Increasing"/>
    <n v="8.5173735635071912E-2"/>
    <n v="0.17704702295875174"/>
    <n v="0"/>
    <n v="0"/>
    <x v="130"/>
    <n v="0"/>
    <n v="0.17156298227196817"/>
  </r>
  <r>
    <x v="46"/>
    <s v="ZWE"/>
    <n v="13265338"/>
    <x v="2"/>
    <n v="0"/>
    <n v="13555421.500000011"/>
    <n v="0"/>
    <m/>
    <n v="0"/>
    <m/>
    <n v="1885"/>
    <m/>
    <n v="0"/>
    <m/>
    <n v="0"/>
    <n v="15052184.000000007"/>
    <n v="0"/>
    <n v="1644"/>
    <m/>
    <n v="0"/>
    <m/>
    <n v="91"/>
    <m/>
    <n v="0"/>
    <n v="16320536.999999996"/>
    <n v="2684"/>
    <n v="1644"/>
    <n v="1885"/>
    <n v="0"/>
    <n v="2684"/>
    <x v="122"/>
    <n v="2015"/>
    <n v="1644"/>
    <s v="2018 (triag)"/>
    <n v="2684"/>
    <n v="2022"/>
    <x v="1"/>
    <n v="2684"/>
    <n v="2684"/>
    <s v="Increasing"/>
    <n v="8.5173735635071912E-2"/>
    <n v="0.17704702295875174"/>
    <n v="1073.8642790037097"/>
    <n v="2796.2335907808324"/>
    <x v="131"/>
    <n v="1.0922003079420231"/>
    <n v="1.644553730064152"/>
  </r>
  <r>
    <x v="46"/>
    <s v="ZWE"/>
    <n v="13265339"/>
    <x v="3"/>
    <n v="0"/>
    <n v="13555421.500000011"/>
    <n v="0"/>
    <m/>
    <n v="0"/>
    <m/>
    <n v="0"/>
    <m/>
    <n v="551"/>
    <m/>
    <n v="607"/>
    <n v="15052184.000000007"/>
    <n v="2021"/>
    <n v="2115"/>
    <m/>
    <n v="0"/>
    <m/>
    <n v="0"/>
    <m/>
    <n v="0"/>
    <n v="16320536.999999996"/>
    <n v="0"/>
    <n v="2115"/>
    <n v="0"/>
    <n v="2021"/>
    <n v="0"/>
    <x v="0"/>
    <s v=""/>
    <n v="2115"/>
    <s v="2018 (triag)"/>
    <n v="2115"/>
    <s v="2018 (triag)"/>
    <x v="1"/>
    <n v="2115"/>
    <n v="2115"/>
    <s v="No change"/>
    <n v="8.5173735635071912E-2"/>
    <n v="0.17704702295875174"/>
    <n v="1381.5224757255755"/>
    <n v="3597.3443093074575"/>
    <x v="0"/>
    <n v="1.405111710034902"/>
    <n v="1.2959132410900454"/>
  </r>
  <r>
    <x v="46"/>
    <s v="ZWE"/>
    <n v="13265340"/>
    <x v="4"/>
    <n v="0"/>
    <n v="13555421.500000011"/>
    <n v="0"/>
    <m/>
    <n v="229"/>
    <m/>
    <n v="270"/>
    <m/>
    <n v="257"/>
    <m/>
    <n v="451"/>
    <n v="15052184.000000007"/>
    <n v="414"/>
    <n v="414"/>
    <m/>
    <n v="0"/>
    <m/>
    <n v="0"/>
    <m/>
    <n v="0"/>
    <n v="16320536.999999996"/>
    <n v="0"/>
    <n v="327"/>
    <n v="270"/>
    <n v="451"/>
    <n v="0"/>
    <x v="123"/>
    <n v="2014"/>
    <n v="414"/>
    <n v="2018"/>
    <n v="414"/>
    <n v="2018"/>
    <x v="1"/>
    <n v="414"/>
    <n v="414"/>
    <s v="No change"/>
    <n v="8.5173735635071912E-2"/>
    <n v="0.17704702295875174"/>
    <n v="213.59709199161381"/>
    <n v="556.18514853122394"/>
    <x v="132"/>
    <n v="0.27504314324087442"/>
    <n v="0.25366812378783865"/>
  </r>
  <r>
    <x v="46"/>
    <s v="ZWE"/>
    <n v="13265341"/>
    <x v="5"/>
    <n v="27"/>
    <n v="13555421.500000011"/>
    <n v="26"/>
    <m/>
    <n v="26"/>
    <m/>
    <n v="0"/>
    <m/>
    <n v="17"/>
    <m/>
    <n v="0"/>
    <n v="15052184.000000007"/>
    <n v="40"/>
    <n v="40"/>
    <m/>
    <n v="25"/>
    <m/>
    <n v="0"/>
    <m/>
    <n v="0"/>
    <n v="16320536.999999996"/>
    <n v="318"/>
    <n v="10"/>
    <n v="27"/>
    <n v="40"/>
    <n v="318"/>
    <x v="124"/>
    <n v="2013"/>
    <n v="40"/>
    <n v="2018"/>
    <n v="318"/>
    <n v="2022"/>
    <x v="1"/>
    <n v="318"/>
    <n v="318"/>
    <s v="Increasing"/>
    <n v="8.5173735635071912E-2"/>
    <n v="0.17704702295875174"/>
    <n v="6.5320211618230521"/>
    <n v="17.00872013856954"/>
    <x v="133"/>
    <n v="2.6574216738248734E-2"/>
    <n v="0.194846529866021"/>
  </r>
  <r>
    <x v="46"/>
    <s v="ZWE"/>
    <n v="13265342"/>
    <x v="6"/>
    <n v="352"/>
    <n v="13555421.500000011"/>
    <n v="343"/>
    <m/>
    <n v="0"/>
    <m/>
    <n v="0"/>
    <m/>
    <n v="0"/>
    <m/>
    <n v="0"/>
    <n v="15052184.000000007"/>
    <n v="644"/>
    <n v="644"/>
    <m/>
    <n v="0"/>
    <m/>
    <n v="0"/>
    <m/>
    <n v="0"/>
    <n v="16320536.999999996"/>
    <n v="757"/>
    <n v="368"/>
    <n v="352"/>
    <n v="644"/>
    <n v="757"/>
    <x v="125"/>
    <n v="2013"/>
    <n v="644"/>
    <n v="2018"/>
    <n v="757"/>
    <n v="2022"/>
    <x v="1"/>
    <n v="757"/>
    <n v="757"/>
    <s v="Increasing"/>
    <n v="8.5173735635071912E-2"/>
    <n v="0.17704702295875174"/>
    <n v="240.37837875508831"/>
    <n v="625.92090109935907"/>
    <x v="134"/>
    <n v="0.42784488948580462"/>
    <n v="0.46383277707099968"/>
  </r>
  <r>
    <x v="46"/>
    <s v="ZWE"/>
    <n v="13265343"/>
    <x v="7"/>
    <n v="0"/>
    <n v="13555421.500000011"/>
    <n v="0"/>
    <m/>
    <n v="0"/>
    <m/>
    <n v="0"/>
    <m/>
    <n v="0"/>
    <m/>
    <n v="0"/>
    <n v="15052184.000000007"/>
    <n v="164"/>
    <n v="164"/>
    <m/>
    <n v="0"/>
    <m/>
    <n v="0"/>
    <m/>
    <n v="0"/>
    <n v="16320536.999999996"/>
    <n v="0"/>
    <n v="76"/>
    <n v="0"/>
    <n v="164"/>
    <n v="0"/>
    <x v="0"/>
    <s v=""/>
    <n v="164"/>
    <n v="2018"/>
    <n v="164"/>
    <n v="2018"/>
    <x v="1"/>
    <n v="164"/>
    <n v="164"/>
    <s v="No change"/>
    <n v="8.5173735635071912E-2"/>
    <n v="0.17704702295875174"/>
    <n v="49.643360829855197"/>
    <n v="129.26627305312851"/>
    <x v="0"/>
    <n v="0.10895428862681981"/>
    <n v="0.10048688961643851"/>
  </r>
  <r>
    <x v="46"/>
    <s v="ZWE"/>
    <n v="13265344"/>
    <x v="8"/>
    <n v="233"/>
    <n v="13555421.500000011"/>
    <n v="239"/>
    <m/>
    <n v="312"/>
    <m/>
    <n v="511"/>
    <m/>
    <n v="320"/>
    <m/>
    <n v="417"/>
    <n v="15052184.000000007"/>
    <n v="480"/>
    <n v="480"/>
    <m/>
    <n v="0"/>
    <m/>
    <n v="0"/>
    <m/>
    <n v="0"/>
    <n v="16320536.999999996"/>
    <n v="376"/>
    <n v="412"/>
    <n v="511"/>
    <n v="480"/>
    <n v="376"/>
    <x v="126"/>
    <n v="2013"/>
    <n v="480"/>
    <n v="2018"/>
    <n v="376"/>
    <n v="2022"/>
    <x v="0"/>
    <n v="434.81572579045508"/>
    <n v="480"/>
    <s v="Decreasing"/>
    <n v="8.5173735635071912E-2"/>
    <n v="0.17704702295875174"/>
    <n v="269.11927186710972"/>
    <n v="700.75926970906505"/>
    <x v="135"/>
    <n v="0.3188906008589848"/>
    <n v="0.2664224380548601"/>
  </r>
  <r>
    <x v="46"/>
    <s v="ZWE"/>
    <n v="13265345"/>
    <x v="9"/>
    <n v="0"/>
    <n v="13555421.500000011"/>
    <n v="0"/>
    <m/>
    <n v="0"/>
    <m/>
    <n v="0"/>
    <m/>
    <n v="678"/>
    <m/>
    <n v="605"/>
    <n v="15052184.000000007"/>
    <n v="703"/>
    <n v="718"/>
    <m/>
    <n v="0"/>
    <m/>
    <n v="0"/>
    <m/>
    <n v="0"/>
    <n v="16320536.999999996"/>
    <n v="0"/>
    <n v="718"/>
    <n v="0"/>
    <n v="703"/>
    <n v="0"/>
    <x v="0"/>
    <s v=""/>
    <n v="718"/>
    <s v="2018 (triag)"/>
    <n v="718"/>
    <s v="2018 (triag)"/>
    <x v="1"/>
    <n v="718"/>
    <n v="718"/>
    <s v="No change"/>
    <n v="8.5173735635071912E-2"/>
    <n v="0.17704702295875174"/>
    <n v="468.99911941889513"/>
    <n v="1221.226105949293"/>
    <x v="0"/>
    <n v="0.47700719045156481"/>
    <n v="0.43993650454026123"/>
  </r>
  <r>
    <x v="46"/>
    <s v="ZWE"/>
    <n v="13265346"/>
    <x v="10"/>
    <n v="0"/>
    <n v="13555421.500000011"/>
    <n v="0"/>
    <m/>
    <n v="0"/>
    <m/>
    <n v="0"/>
    <m/>
    <n v="13"/>
    <m/>
    <n v="20"/>
    <n v="15052184.000000007"/>
    <n v="20"/>
    <n v="20"/>
    <m/>
    <n v="0"/>
    <m/>
    <n v="0"/>
    <m/>
    <n v="0"/>
    <n v="16320536.999999996"/>
    <n v="0"/>
    <n v="0"/>
    <n v="0"/>
    <n v="20"/>
    <n v="0"/>
    <x v="0"/>
    <s v=""/>
    <n v="20"/>
    <n v="2017"/>
    <n v="20"/>
    <n v="2017"/>
    <x v="1"/>
    <n v="20"/>
    <n v="20"/>
    <s v="No change"/>
    <n v="8.5173735635071912E-2"/>
    <n v="0.17704702295875174"/>
    <n v="0"/>
    <n v="0"/>
    <x v="0"/>
    <n v="1.3287108369124367E-2"/>
    <n v="1.2254498733712012E-2"/>
  </r>
  <r>
    <x v="46"/>
    <s v="ZWE"/>
    <n v="13265347"/>
    <x v="11"/>
    <n v="0"/>
    <n v="13555421.500000011"/>
    <n v="0"/>
    <m/>
    <n v="0"/>
    <m/>
    <n v="0"/>
    <m/>
    <n v="0"/>
    <m/>
    <n v="1733"/>
    <n v="15052184.000000007"/>
    <n v="0"/>
    <n v="9502"/>
    <m/>
    <n v="0"/>
    <m/>
    <n v="0"/>
    <m/>
    <n v="0"/>
    <n v="16320536.999999996"/>
    <n v="0"/>
    <n v="9502"/>
    <n v="0"/>
    <n v="1733"/>
    <n v="0"/>
    <x v="0"/>
    <s v=""/>
    <n v="9502"/>
    <s v="2018 (triag)"/>
    <n v="9502"/>
    <s v="2018 (triag)"/>
    <x v="1"/>
    <n v="9502"/>
    <n v="9502"/>
    <s v="No change"/>
    <n v="8.5173735635071912E-2"/>
    <n v="0.17704702295875174"/>
    <n v="6206.7265079642639"/>
    <n v="16161.685875668776"/>
    <x v="0"/>
    <n v="6.3127051861709873"/>
    <n v="5.8221123483865771"/>
  </r>
  <r>
    <x v="46"/>
    <s v="ZWE"/>
    <n v="13265348"/>
    <x v="12"/>
    <n v="0"/>
    <n v="13555421.500000011"/>
    <n v="0"/>
    <m/>
    <n v="0"/>
    <m/>
    <n v="0"/>
    <m/>
    <n v="0"/>
    <m/>
    <n v="0"/>
    <n v="15052184.000000007"/>
    <n v="0"/>
    <n v="1122"/>
    <m/>
    <n v="0"/>
    <m/>
    <n v="0"/>
    <m/>
    <n v="0"/>
    <n v="16320536.999999996"/>
    <n v="0"/>
    <n v="1122"/>
    <n v="0"/>
    <n v="0"/>
    <n v="0"/>
    <x v="0"/>
    <s v=""/>
    <n v="1122"/>
    <s v="2018 (triag)"/>
    <n v="1122"/>
    <s v="2018 (triag)"/>
    <x v="1"/>
    <n v="1122"/>
    <n v="1122"/>
    <s v="No change"/>
    <n v="8.5173735635071912E-2"/>
    <n v="0.17704702295875174"/>
    <n v="732.8927743565464"/>
    <n v="1908.3783995475023"/>
    <x v="0"/>
    <n v="0.74540677950787704"/>
    <n v="0.68747737896124395"/>
  </r>
  <r>
    <x v="46"/>
    <s v="ZWE"/>
    <n v="13265349"/>
    <x v="13"/>
    <n v="0"/>
    <n v="13555421.500000011"/>
    <n v="0"/>
    <m/>
    <n v="519"/>
    <m/>
    <n v="644"/>
    <m/>
    <n v="600"/>
    <m/>
    <n v="781"/>
    <n v="15052184.000000007"/>
    <n v="1126"/>
    <n v="1126"/>
    <m/>
    <n v="0"/>
    <m/>
    <n v="0"/>
    <m/>
    <n v="0"/>
    <n v="16320536.999999996"/>
    <n v="795"/>
    <n v="648"/>
    <n v="644"/>
    <n v="1126"/>
    <n v="795"/>
    <x v="127"/>
    <n v="2014"/>
    <n v="1126"/>
    <n v="2018"/>
    <n v="795"/>
    <n v="2022"/>
    <x v="0"/>
    <n v="919.35771809418031"/>
    <n v="1126"/>
    <s v="Decreasing"/>
    <n v="8.5173735635071912E-2"/>
    <n v="0.17704702295875174"/>
    <n v="423.27497128613379"/>
    <n v="1102.1650649793062"/>
    <x v="136"/>
    <n v="0.74806420118170192"/>
    <n v="0.56331339961067495"/>
  </r>
  <r>
    <x v="46"/>
    <s v="ZWE"/>
    <n v="13265350"/>
    <x v="14"/>
    <n v="0"/>
    <n v="13555421.500000011"/>
    <n v="0"/>
    <m/>
    <n v="145"/>
    <m/>
    <n v="0"/>
    <m/>
    <n v="130"/>
    <m/>
    <n v="174"/>
    <n v="15052184.000000007"/>
    <n v="0"/>
    <n v="1094"/>
    <m/>
    <n v="0"/>
    <m/>
    <n v="0"/>
    <m/>
    <n v="0"/>
    <n v="16320536.999999996"/>
    <n v="0"/>
    <n v="1094"/>
    <n v="145"/>
    <n v="174"/>
    <n v="0"/>
    <x v="128"/>
    <n v="2014"/>
    <n v="1094"/>
    <s v="2018 (triag)"/>
    <n v="1094"/>
    <s v="2018 (triag)"/>
    <x v="1"/>
    <n v="1094"/>
    <n v="1094"/>
    <s v="No change"/>
    <n v="8.5173735635071912E-2"/>
    <n v="0.17704702295875174"/>
    <n v="714.60311510344184"/>
    <n v="1860.7539831595077"/>
    <x v="137"/>
    <n v="0.72680482779110289"/>
    <n v="0.67032108073404706"/>
  </r>
  <r>
    <x v="46"/>
    <s v="ZWE"/>
    <n v="13265351"/>
    <x v="15"/>
    <n v="377"/>
    <n v="13555421.500000011"/>
    <n v="419"/>
    <m/>
    <n v="413"/>
    <m/>
    <n v="472"/>
    <m/>
    <n v="432"/>
    <m/>
    <n v="503"/>
    <n v="15052184.000000007"/>
    <n v="688"/>
    <n v="688"/>
    <m/>
    <n v="0"/>
    <m/>
    <n v="0"/>
    <m/>
    <n v="0"/>
    <n v="16320536.999999996"/>
    <n v="957"/>
    <n v="459"/>
    <n v="472"/>
    <n v="688"/>
    <n v="957"/>
    <x v="129"/>
    <n v="2013"/>
    <n v="688"/>
    <n v="2018"/>
    <n v="957"/>
    <n v="2022"/>
    <x v="1"/>
    <n v="957"/>
    <n v="957"/>
    <s v="Increasing"/>
    <n v="8.5173735635071912E-2"/>
    <n v="0.17704702295875174"/>
    <n v="299.8197713276781"/>
    <n v="780.70025436034189"/>
    <x v="138"/>
    <n v="0.45707652789787823"/>
    <n v="0.58637776440811984"/>
  </r>
  <r>
    <x v="46"/>
    <s v="ZWE"/>
    <n v="13265352"/>
    <x v="16"/>
    <n v="0"/>
    <n v="13555421.500000011"/>
    <n v="0"/>
    <m/>
    <n v="0"/>
    <m/>
    <n v="0"/>
    <m/>
    <n v="0"/>
    <m/>
    <n v="0"/>
    <n v="15052184.000000007"/>
    <n v="12"/>
    <n v="12"/>
    <m/>
    <n v="0"/>
    <m/>
    <n v="0"/>
    <m/>
    <n v="0"/>
    <n v="16320536.999999996"/>
    <n v="84"/>
    <n v="0"/>
    <n v="0"/>
    <n v="12"/>
    <n v="84"/>
    <x v="0"/>
    <s v=""/>
    <n v="12"/>
    <n v="2018"/>
    <n v="84"/>
    <n v="2022"/>
    <x v="1"/>
    <n v="84"/>
    <n v="84"/>
    <s v="Increasing"/>
    <n v="8.5173735635071912E-2"/>
    <n v="0.17704702295875174"/>
    <n v="0"/>
    <n v="0"/>
    <x v="0"/>
    <n v="7.9722650214746199E-3"/>
    <n v="5.1468894681590452E-2"/>
  </r>
  <r>
    <x v="46"/>
    <s v="ZWE"/>
    <n v="13265353"/>
    <x v="17"/>
    <n v="0"/>
    <n v="13555421.500000011"/>
    <n v="0"/>
    <m/>
    <n v="0"/>
    <m/>
    <n v="0"/>
    <m/>
    <n v="0"/>
    <m/>
    <n v="0"/>
    <n v="15052184.000000007"/>
    <n v="0"/>
    <n v="0"/>
    <m/>
    <n v="0"/>
    <m/>
    <n v="0"/>
    <m/>
    <n v="0"/>
    <n v="16320536.999999996"/>
    <n v="22"/>
    <n v="0"/>
    <n v="0"/>
    <n v="0"/>
    <n v="22"/>
    <x v="0"/>
    <s v=""/>
    <m/>
    <s v=""/>
    <n v="22"/>
    <n v="2022"/>
    <x v="1"/>
    <n v="22"/>
    <n v="22"/>
    <s v="Increasing"/>
    <n v="8.5173735635071912E-2"/>
    <n v="0.17704702295875174"/>
    <n v="0"/>
    <n v="0"/>
    <x v="0"/>
    <n v="0"/>
    <n v="1.3479948607083214E-2"/>
  </r>
  <r>
    <x v="46"/>
    <s v="ZWE"/>
    <n v="13265354"/>
    <x v="18"/>
    <n v="0"/>
    <n v="13555421.500000011"/>
    <n v="0"/>
    <m/>
    <n v="0"/>
    <m/>
    <n v="0"/>
    <m/>
    <n v="0"/>
    <m/>
    <n v="596"/>
    <n v="15052184.000000007"/>
    <n v="1215"/>
    <n v="1215"/>
    <m/>
    <n v="0"/>
    <m/>
    <n v="0"/>
    <m/>
    <n v="0"/>
    <n v="16320536.999999996"/>
    <n v="0"/>
    <n v="5"/>
    <n v="0"/>
    <n v="1215"/>
    <n v="0"/>
    <x v="0"/>
    <s v=""/>
    <n v="1215"/>
    <n v="2018"/>
    <n v="1215"/>
    <n v="2018"/>
    <x v="1"/>
    <n v="1215"/>
    <n v="1215"/>
    <s v="No change"/>
    <n v="8.5173735635071912E-2"/>
    <n v="0.17704702295875174"/>
    <n v="3.2660105809115261"/>
    <n v="8.5043600692847701"/>
    <x v="0"/>
    <n v="0.80719183342430534"/>
    <n v="0.7444607980730048"/>
  </r>
  <r>
    <x v="0"/>
    <s v="AGO"/>
    <n v="25188292.499999996"/>
    <x v="19"/>
    <n v="0"/>
    <n v="26147002.000000011"/>
    <n v="0"/>
    <n v="27128336.499999981"/>
    <n v="0"/>
    <n v="28127721.000000004"/>
    <n v="0"/>
    <n v="29154745.500000007"/>
    <n v="0"/>
    <n v="30208628.000000015"/>
    <n v="6400"/>
    <n v="31273533.000000004"/>
    <n v="6593"/>
    <n v="6593"/>
    <n v="32353587.999999993"/>
    <n v="0"/>
    <n v="33428485.999999974"/>
    <n v="0"/>
    <n v="34503773.49999997"/>
    <n v="0"/>
    <n v="35588987.00000003"/>
    <n v="8693"/>
    <n v="6593"/>
    <n v="0"/>
    <n v="6593"/>
    <n v="8693"/>
    <x v="0"/>
    <s v=""/>
    <n v="6593"/>
    <n v="2018"/>
    <n v="8693"/>
    <n v="2022"/>
    <x v="1"/>
    <n v="8693"/>
    <n v="8693"/>
    <s v="Increasing"/>
    <m/>
    <m/>
    <m/>
    <m/>
    <x v="0"/>
    <n v="2.1081724281039813"/>
    <n v="2.4426095634584915"/>
  </r>
  <r>
    <x v="0"/>
    <s v="AGO"/>
    <n v="25188292.499999996"/>
    <x v="20"/>
    <n v="0"/>
    <n v="26147002.000000011"/>
    <n v="0"/>
    <m/>
    <n v="0"/>
    <m/>
    <n v="0"/>
    <m/>
    <n v="0"/>
    <m/>
    <n v="0"/>
    <n v="31273533.000000004"/>
    <n v="3043"/>
    <n v="3043"/>
    <m/>
    <n v="0"/>
    <m/>
    <n v="0"/>
    <m/>
    <n v="0"/>
    <n v="35588987.00000003"/>
    <n v="4778"/>
    <n v="3043"/>
    <n v="0"/>
    <n v="3043"/>
    <n v="4778"/>
    <x v="0"/>
    <s v=""/>
    <n v="3043"/>
    <n v="2018"/>
    <n v="4778"/>
    <n v="2022"/>
    <x v="1"/>
    <n v="4778"/>
    <n v="4778"/>
    <s v="Increasing"/>
    <m/>
    <m/>
    <m/>
    <m/>
    <x v="0"/>
    <n v="0.97302725598671558"/>
    <n v="1.3425501546306997"/>
  </r>
  <r>
    <x v="0"/>
    <s v="AGO"/>
    <n v="25188292.499999996"/>
    <x v="21"/>
    <n v="0"/>
    <n v="26147002.000000011"/>
    <n v="0"/>
    <m/>
    <n v="0"/>
    <m/>
    <n v="0"/>
    <m/>
    <n v="0"/>
    <m/>
    <n v="0"/>
    <n v="31273533.000000004"/>
    <n v="3550"/>
    <n v="3550"/>
    <m/>
    <n v="0"/>
    <m/>
    <n v="0"/>
    <m/>
    <n v="0"/>
    <n v="35588987.00000003"/>
    <n v="3915"/>
    <n v="3550"/>
    <n v="0"/>
    <n v="3550"/>
    <n v="3915"/>
    <x v="0"/>
    <s v=""/>
    <n v="3550"/>
    <n v="2018"/>
    <n v="3915"/>
    <n v="2022"/>
    <x v="1"/>
    <n v="3915"/>
    <n v="3915"/>
    <s v="Increasing"/>
    <m/>
    <m/>
    <m/>
    <m/>
    <x v="0"/>
    <n v="1.1351451721172658"/>
    <n v="1.1000594088277917"/>
  </r>
  <r>
    <x v="0"/>
    <s v="AGO"/>
    <n v="25188292.499999996"/>
    <x v="22"/>
    <n v="0"/>
    <n v="26147002.000000011"/>
    <n v="0"/>
    <m/>
    <n v="0"/>
    <m/>
    <n v="0"/>
    <m/>
    <n v="0"/>
    <m/>
    <n v="0"/>
    <n v="31273533.000000004"/>
    <n v="12554"/>
    <n v="46082"/>
    <m/>
    <n v="0"/>
    <m/>
    <n v="0"/>
    <m/>
    <n v="0"/>
    <n v="35588987.00000003"/>
    <n v="44989"/>
    <n v="46082"/>
    <n v="0"/>
    <n v="12554"/>
    <n v="44989"/>
    <x v="0"/>
    <s v=""/>
    <n v="46082"/>
    <s v="2018 (triag)"/>
    <n v="44989"/>
    <n v="2022"/>
    <x v="0"/>
    <n v="66717.353814379763"/>
    <n v="66717.353814379763"/>
    <s v="Increasing"/>
    <m/>
    <m/>
    <m/>
    <m/>
    <x v="0"/>
    <n v="14.735143611692351"/>
    <n v="18.746629066564807"/>
  </r>
  <r>
    <x v="0"/>
    <s v="AGO"/>
    <n v="25188292.499999996"/>
    <x v="23"/>
    <n v="0"/>
    <n v="26147002.000000011"/>
    <n v="0"/>
    <m/>
    <n v="0"/>
    <m/>
    <n v="0"/>
    <m/>
    <n v="0"/>
    <m/>
    <n v="0"/>
    <n v="31273533.000000004"/>
    <n v="9317"/>
    <n v="9317"/>
    <m/>
    <n v="0"/>
    <m/>
    <n v="0"/>
    <m/>
    <n v="0"/>
    <n v="35588987.00000003"/>
    <n v="6241"/>
    <n v="7221"/>
    <n v="0"/>
    <n v="9317"/>
    <n v="6241"/>
    <x v="0"/>
    <s v=""/>
    <n v="9317"/>
    <n v="2018"/>
    <n v="6241"/>
    <n v="2022"/>
    <x v="0"/>
    <n v="9255.2180567592986"/>
    <n v="9317"/>
    <s v="Decreasing"/>
    <m/>
    <m/>
    <m/>
    <m/>
    <x v="0"/>
    <n v="2.97919649820185"/>
    <n v="2.6005848541739307"/>
  </r>
  <r>
    <x v="0"/>
    <s v="AGO"/>
    <n v="25188292.499999996"/>
    <x v="24"/>
    <n v="0"/>
    <n v="26147002.000000011"/>
    <n v="0"/>
    <m/>
    <n v="0"/>
    <m/>
    <n v="0"/>
    <m/>
    <n v="0"/>
    <m/>
    <n v="0"/>
    <n v="31273533.000000004"/>
    <n v="3237"/>
    <n v="38861"/>
    <m/>
    <n v="0"/>
    <m/>
    <n v="0"/>
    <m/>
    <n v="0"/>
    <n v="35588987.00000003"/>
    <n v="37151"/>
    <n v="38861"/>
    <n v="0"/>
    <n v="3237"/>
    <n v="37151"/>
    <x v="0"/>
    <s v=""/>
    <n v="38861"/>
    <s v="2018 (triag)"/>
    <n v="37151"/>
    <n v="2022"/>
    <x v="0"/>
    <n v="55093.832082465102"/>
    <n v="55093.832082465102"/>
    <s v="Increasing"/>
    <m/>
    <m/>
    <m/>
    <m/>
    <x v="0"/>
    <n v="12.426162403844808"/>
    <n v="15.480584508478719"/>
  </r>
  <r>
    <x v="0"/>
    <s v="AGO"/>
    <n v="25188292.499999996"/>
    <x v="25"/>
    <n v="0"/>
    <n v="26147002.000000011"/>
    <n v="30"/>
    <m/>
    <n v="0"/>
    <m/>
    <n v="0"/>
    <m/>
    <n v="0"/>
    <m/>
    <n v="0"/>
    <n v="31273533.000000004"/>
    <n v="0"/>
    <n v="1438"/>
    <m/>
    <n v="0"/>
    <m/>
    <n v="0"/>
    <m/>
    <n v="0"/>
    <n v="35588987.00000003"/>
    <n v="22"/>
    <n v="1438"/>
    <n v="30"/>
    <n v="0"/>
    <n v="22"/>
    <x v="130"/>
    <n v="2013"/>
    <n v="1438"/>
    <s v="2018 (triag)"/>
    <n v="22"/>
    <n v="2022"/>
    <x v="0"/>
    <n v="32.625348061000572"/>
    <n v="1438"/>
    <s v="Decreasing"/>
    <m/>
    <m/>
    <m/>
    <m/>
    <x v="139"/>
    <n v="0.45981373450834601"/>
    <n v="9.1672595404304561E-3"/>
  </r>
  <r>
    <x v="0"/>
    <s v="AGO"/>
    <n v="25188292.499999996"/>
    <x v="26"/>
    <n v="0"/>
    <n v="26147002.000000011"/>
    <n v="30"/>
    <m/>
    <n v="0"/>
    <m/>
    <n v="0"/>
    <m/>
    <n v="0"/>
    <m/>
    <n v="0"/>
    <n v="31273533.000000004"/>
    <n v="0"/>
    <n v="769"/>
    <m/>
    <n v="0"/>
    <m/>
    <n v="0"/>
    <m/>
    <n v="0"/>
    <n v="35588987.00000003"/>
    <n v="2"/>
    <n v="769"/>
    <n v="30"/>
    <n v="0"/>
    <n v="2"/>
    <x v="130"/>
    <n v="2013"/>
    <n v="769"/>
    <s v="2018 (triag)"/>
    <n v="2"/>
    <n v="2022"/>
    <x v="0"/>
    <n v="2.9659407328182339"/>
    <n v="769"/>
    <s v="Decreasing"/>
    <m/>
    <m/>
    <m/>
    <m/>
    <x v="139"/>
    <n v="0.24589482742483873"/>
    <n v="8.3338723094822321E-4"/>
  </r>
  <r>
    <x v="0"/>
    <s v="AGO"/>
    <n v="25188292.499999996"/>
    <x v="27"/>
    <n v="0"/>
    <n v="26147002.000000011"/>
    <n v="0"/>
    <m/>
    <n v="0"/>
    <m/>
    <n v="0"/>
    <m/>
    <n v="0"/>
    <m/>
    <n v="0"/>
    <n v="31273533.000000004"/>
    <n v="0"/>
    <n v="669"/>
    <m/>
    <n v="0"/>
    <m/>
    <n v="0"/>
    <m/>
    <n v="0"/>
    <n v="35588987.00000003"/>
    <n v="20"/>
    <n v="669"/>
    <n v="0"/>
    <n v="0"/>
    <n v="20"/>
    <x v="0"/>
    <s v=""/>
    <n v="669"/>
    <s v="2018 (triag)"/>
    <n v="20"/>
    <n v="2022"/>
    <x v="0"/>
    <n v="29.65940732818234"/>
    <n v="669"/>
    <s v="Decreasing"/>
    <m/>
    <m/>
    <m/>
    <m/>
    <x v="0"/>
    <n v="0.2139189070835073"/>
    <n v="8.3338723094822341E-3"/>
  </r>
  <r>
    <x v="0"/>
    <s v="AGO"/>
    <n v="25188292.499999996"/>
    <x v="28"/>
    <n v="0"/>
    <n v="26147002.000000011"/>
    <n v="0"/>
    <m/>
    <n v="0"/>
    <m/>
    <n v="0"/>
    <m/>
    <n v="0"/>
    <m/>
    <n v="0"/>
    <n v="31273533.000000004"/>
    <n v="2302"/>
    <n v="2302"/>
    <m/>
    <n v="0"/>
    <m/>
    <n v="0"/>
    <m/>
    <n v="0"/>
    <n v="35588987.00000003"/>
    <n v="967"/>
    <n v="697"/>
    <n v="0"/>
    <n v="2302"/>
    <n v="967"/>
    <x v="0"/>
    <s v=""/>
    <n v="2302"/>
    <n v="2018"/>
    <n v="967"/>
    <n v="2022"/>
    <x v="0"/>
    <n v="1434.032344317616"/>
    <n v="2302"/>
    <s v="Decreasing"/>
    <m/>
    <m/>
    <m/>
    <m/>
    <x v="0"/>
    <n v="0.73608568625744963"/>
    <n v="0.40294272616346588"/>
  </r>
  <r>
    <x v="0"/>
    <s v="AGO"/>
    <n v="25188292.499999996"/>
    <x v="29"/>
    <n v="0"/>
    <n v="26147002.000000011"/>
    <n v="0"/>
    <m/>
    <n v="0"/>
    <m/>
    <n v="0"/>
    <m/>
    <n v="0"/>
    <m/>
    <n v="0"/>
    <n v="31273533.000000004"/>
    <n v="0"/>
    <n v="1605"/>
    <m/>
    <n v="0"/>
    <m/>
    <n v="0"/>
    <m/>
    <n v="0"/>
    <n v="35588987.00000003"/>
    <n v="636"/>
    <n v="1605"/>
    <n v="0"/>
    <n v="0"/>
    <n v="636"/>
    <x v="0"/>
    <s v=""/>
    <n v="1605"/>
    <s v="2018 (triag)"/>
    <n v="636"/>
    <n v="2022"/>
    <x v="0"/>
    <n v="943.1691530361984"/>
    <n v="1605"/>
    <s v="Decreasing"/>
    <m/>
    <m/>
    <m/>
    <m/>
    <x v="0"/>
    <n v="0.51321352147836952"/>
    <n v="0.26501713944153499"/>
  </r>
  <r>
    <x v="0"/>
    <s v="AGO"/>
    <n v="25188292.499999996"/>
    <x v="30"/>
    <n v="0"/>
    <n v="26147002.000000011"/>
    <n v="0"/>
    <m/>
    <n v="0"/>
    <m/>
    <n v="0"/>
    <m/>
    <n v="0"/>
    <m/>
    <n v="0"/>
    <n v="31273533.000000004"/>
    <n v="1652"/>
    <n v="1652"/>
    <m/>
    <n v="0"/>
    <m/>
    <n v="0"/>
    <m/>
    <n v="0"/>
    <n v="35588987.00000003"/>
    <n v="171"/>
    <n v="856"/>
    <n v="0"/>
    <n v="1652"/>
    <n v="171"/>
    <x v="0"/>
    <s v=""/>
    <n v="1652"/>
    <n v="2018"/>
    <n v="171"/>
    <n v="2022"/>
    <x v="0"/>
    <n v="253.58793265595901"/>
    <n v="1652"/>
    <s v="Decreasing"/>
    <m/>
    <m/>
    <m/>
    <m/>
    <x v="0"/>
    <n v="0.52824220403879529"/>
    <n v="7.125460824607309E-2"/>
  </r>
  <r>
    <x v="0"/>
    <s v="AGO"/>
    <n v="25188292.499999996"/>
    <x v="31"/>
    <n v="0"/>
    <n v="26147002.000000011"/>
    <n v="0"/>
    <m/>
    <n v="0"/>
    <m/>
    <n v="0"/>
    <m/>
    <n v="0"/>
    <m/>
    <n v="0"/>
    <n v="31273533.000000004"/>
    <n v="0"/>
    <n v="796"/>
    <m/>
    <n v="0"/>
    <m/>
    <n v="0"/>
    <m/>
    <n v="0"/>
    <n v="35588987.00000003"/>
    <n v="0"/>
    <n v="796"/>
    <n v="0"/>
    <n v="0"/>
    <n v="0"/>
    <x v="0"/>
    <s v=""/>
    <n v="796"/>
    <s v="2018 (triag)"/>
    <n v="796"/>
    <s v="2018 (triag)"/>
    <x v="1"/>
    <n v="796"/>
    <n v="796"/>
    <s v="No change"/>
    <m/>
    <m/>
    <m/>
    <m/>
    <x v="0"/>
    <n v="0.2545283259169982"/>
    <n v="0.22366469717162765"/>
  </r>
  <r>
    <x v="0"/>
    <s v="AGO"/>
    <n v="25188292.499999996"/>
    <x v="32"/>
    <n v="0"/>
    <n v="26147002.000000011"/>
    <n v="0"/>
    <m/>
    <n v="0"/>
    <m/>
    <n v="0"/>
    <m/>
    <n v="0"/>
    <m/>
    <n v="0"/>
    <n v="31273533.000000004"/>
    <n v="0"/>
    <n v="0"/>
    <m/>
    <n v="0"/>
    <m/>
    <n v="0"/>
    <m/>
    <n v="0"/>
    <n v="35588987.00000003"/>
    <n v="767"/>
    <n v="0"/>
    <n v="0"/>
    <n v="0"/>
    <n v="767"/>
    <x v="0"/>
    <s v=""/>
    <m/>
    <s v=""/>
    <n v="767"/>
    <n v="2022"/>
    <x v="1"/>
    <n v="767"/>
    <n v="767"/>
    <s v="Increasing"/>
    <m/>
    <m/>
    <m/>
    <m/>
    <x v="0"/>
    <n v="0"/>
    <n v="0.21551610895808845"/>
  </r>
  <r>
    <x v="1"/>
    <s v="BDI"/>
    <n v="9795479.0000000019"/>
    <x v="19"/>
    <n v="498"/>
    <n v="10149577.500000002"/>
    <n v="554"/>
    <n v="10494912.499999989"/>
    <n v="609"/>
    <n v="10727148.499999996"/>
    <n v="508"/>
    <n v="10903327.500000004"/>
    <n v="0"/>
    <n v="11155593.000000002"/>
    <n v="0"/>
    <n v="11493472.499999993"/>
    <n v="0"/>
    <n v="1084"/>
    <n v="11874838"/>
    <n v="0"/>
    <n v="12220226.500000007"/>
    <n v="852"/>
    <n v="12551212.999999998"/>
    <n v="812"/>
    <n v="12889576.499999994"/>
    <n v="0"/>
    <n v="1084"/>
    <n v="609"/>
    <n v="0"/>
    <n v="852"/>
    <x v="131"/>
    <n v="2013"/>
    <n v="1084"/>
    <s v="2018 (triag)"/>
    <n v="812"/>
    <n v="2021"/>
    <x v="0"/>
    <n v="1014.8610394397346"/>
    <n v="1084"/>
    <s v="Decreasing"/>
    <m/>
    <m/>
    <m/>
    <m/>
    <x v="140"/>
    <n v="0.9431440324062208"/>
    <n v="0.78735018131878509"/>
  </r>
  <r>
    <x v="1"/>
    <s v="BDI"/>
    <n v="9795480"/>
    <x v="20"/>
    <n v="475"/>
    <n v="10149577.500000002"/>
    <n v="486"/>
    <m/>
    <n v="556"/>
    <m/>
    <n v="467"/>
    <m/>
    <n v="0"/>
    <m/>
    <n v="0"/>
    <n v="11493472.499999993"/>
    <n v="0"/>
    <n v="889"/>
    <m/>
    <n v="0"/>
    <m/>
    <n v="0"/>
    <m/>
    <n v="725"/>
    <n v="12889576.499999994"/>
    <n v="0"/>
    <n v="889"/>
    <n v="556"/>
    <n v="0"/>
    <n v="725"/>
    <x v="132"/>
    <n v="2013"/>
    <n v="889"/>
    <s v="2018 (triag)"/>
    <n v="725"/>
    <n v="2021"/>
    <x v="0"/>
    <n v="906.12592807119154"/>
    <n v="906.12592807119154"/>
    <s v="Increasing"/>
    <m/>
    <m/>
    <m/>
    <m/>
    <x v="141"/>
    <n v="0.77348251366155929"/>
    <n v="0.70299123332034374"/>
  </r>
  <r>
    <x v="1"/>
    <s v="BDI"/>
    <n v="9795481"/>
    <x v="21"/>
    <n v="23"/>
    <n v="10149577.500000002"/>
    <n v="68"/>
    <m/>
    <n v="53"/>
    <m/>
    <n v="41"/>
    <m/>
    <n v="0"/>
    <m/>
    <n v="0"/>
    <n v="11493472.499999993"/>
    <n v="0"/>
    <n v="195"/>
    <m/>
    <n v="0"/>
    <m/>
    <n v="0"/>
    <m/>
    <n v="87"/>
    <n v="12889576.499999994"/>
    <n v="0"/>
    <n v="195"/>
    <n v="68"/>
    <n v="0"/>
    <n v="87"/>
    <x v="133"/>
    <n v="2013"/>
    <n v="195"/>
    <s v="2018 (triag)"/>
    <n v="87"/>
    <n v="2021"/>
    <x v="0"/>
    <n v="108.73511136854299"/>
    <n v="195"/>
    <s v="Decreasing"/>
    <m/>
    <m/>
    <m/>
    <m/>
    <x v="142"/>
    <n v="0.16966151874466148"/>
    <n v="8.4358947998441236E-2"/>
  </r>
  <r>
    <x v="1"/>
    <s v="BDI"/>
    <n v="9795482"/>
    <x v="22"/>
    <n v="6486"/>
    <n v="10149577.500000002"/>
    <n v="6573"/>
    <m/>
    <n v="6819"/>
    <m/>
    <n v="6688"/>
    <m/>
    <n v="0"/>
    <m/>
    <n v="9071"/>
    <n v="11493472.499999993"/>
    <n v="9156"/>
    <n v="9156"/>
    <m/>
    <n v="7518"/>
    <m/>
    <n v="7713"/>
    <m/>
    <n v="9372"/>
    <n v="12889576.499999994"/>
    <n v="0"/>
    <n v="8996"/>
    <n v="6819"/>
    <n v="9156"/>
    <n v="9372"/>
    <x v="134"/>
    <n v="2013"/>
    <n v="9156"/>
    <n v="2018"/>
    <n v="9372"/>
    <n v="2021"/>
    <x v="1"/>
    <n v="9372"/>
    <n v="9372"/>
    <s v="Increasing"/>
    <m/>
    <m/>
    <m/>
    <m/>
    <x v="143"/>
    <n v="7.9662608493647209"/>
    <n v="7.2709914092212449"/>
  </r>
  <r>
    <x v="1"/>
    <s v="BDI"/>
    <n v="9795483"/>
    <x v="23"/>
    <n v="2843"/>
    <n v="10149577.500000002"/>
    <n v="2568"/>
    <m/>
    <n v="2747"/>
    <m/>
    <n v="2616"/>
    <m/>
    <n v="0"/>
    <m/>
    <n v="9071"/>
    <n v="11493472.499999993"/>
    <n v="0"/>
    <n v="654"/>
    <m/>
    <n v="7518"/>
    <m/>
    <n v="0"/>
    <m/>
    <n v="9372"/>
    <n v="12889576.499999994"/>
    <n v="0"/>
    <n v="654"/>
    <n v="2843"/>
    <n v="9071"/>
    <n v="9372"/>
    <x v="135"/>
    <n v="2013"/>
    <n v="5970"/>
    <n v="2018"/>
    <n v="9372"/>
    <n v="2021"/>
    <x v="1"/>
    <n v="9372"/>
    <n v="9372"/>
    <s v="Increasing"/>
    <m/>
    <m/>
    <m/>
    <m/>
    <x v="144"/>
    <n v="5.1942526507980977"/>
    <n v="7.2709914092212449"/>
  </r>
  <r>
    <x v="1"/>
    <s v="BDI"/>
    <n v="9795484"/>
    <x v="24"/>
    <n v="3643"/>
    <n v="10149577.500000002"/>
    <n v="4005"/>
    <m/>
    <n v="4072"/>
    <m/>
    <n v="4072"/>
    <m/>
    <n v="0"/>
    <m/>
    <n v="0"/>
    <n v="11493472.499999993"/>
    <n v="0"/>
    <n v="8342"/>
    <m/>
    <n v="0"/>
    <m/>
    <n v="0"/>
    <m/>
    <n v="0"/>
    <n v="12889576.499999994"/>
    <n v="0"/>
    <n v="8342"/>
    <n v="4072"/>
    <n v="0"/>
    <n v="0"/>
    <x v="136"/>
    <n v="2013"/>
    <n v="8342"/>
    <s v="2018 (triag)"/>
    <n v="8342"/>
    <s v="2018 (triag)"/>
    <x v="1"/>
    <n v="8342"/>
    <n v="8342"/>
    <s v="No change"/>
    <m/>
    <m/>
    <m/>
    <m/>
    <x v="145"/>
    <n v="7.2580327659895696"/>
    <n v="6.4718961092321408"/>
  </r>
  <r>
    <x v="1"/>
    <s v="BDI"/>
    <n v="9795485"/>
    <x v="25"/>
    <n v="16"/>
    <n v="10149577.500000002"/>
    <n v="35"/>
    <m/>
    <n v="24"/>
    <m/>
    <n v="79"/>
    <m/>
    <n v="0"/>
    <m/>
    <n v="160"/>
    <n v="11493472.499999993"/>
    <n v="0"/>
    <n v="160"/>
    <m/>
    <n v="124"/>
    <m/>
    <n v="0"/>
    <m/>
    <n v="143"/>
    <n v="12889576.499999994"/>
    <n v="0"/>
    <n v="160"/>
    <n v="79"/>
    <n v="160"/>
    <n v="143"/>
    <x v="67"/>
    <n v="2013"/>
    <n v="160"/>
    <n v="2017"/>
    <n v="143"/>
    <n v="2021"/>
    <x v="0"/>
    <n v="178.72552788162812"/>
    <n v="178.72552788162812"/>
    <s v="Increasing"/>
    <m/>
    <m/>
    <m/>
    <m/>
    <x v="146"/>
    <n v="0.13920945127767095"/>
    <n v="0.13865896050318505"/>
  </r>
  <r>
    <x v="1"/>
    <s v="BDI"/>
    <n v="9795486"/>
    <x v="26"/>
    <n v="16"/>
    <n v="10149577.500000002"/>
    <n v="35"/>
    <m/>
    <n v="24"/>
    <m/>
    <n v="79"/>
    <m/>
    <n v="0"/>
    <m/>
    <n v="160"/>
    <n v="11493472.499999993"/>
    <n v="0"/>
    <n v="41"/>
    <m/>
    <n v="124"/>
    <m/>
    <n v="0"/>
    <m/>
    <n v="143"/>
    <n v="12889576.499999994"/>
    <n v="0"/>
    <n v="41"/>
    <n v="79"/>
    <n v="160"/>
    <n v="143"/>
    <x v="67"/>
    <n v="2013"/>
    <n v="41"/>
    <s v="2018 (triag)"/>
    <n v="143"/>
    <n v="2021"/>
    <x v="1"/>
    <n v="143"/>
    <n v="143"/>
    <s v="Increasing"/>
    <m/>
    <m/>
    <m/>
    <m/>
    <x v="146"/>
    <n v="3.5672421889903182E-2"/>
    <n v="0.11094235718295327"/>
  </r>
  <r>
    <x v="1"/>
    <s v="BDI"/>
    <n v="9795487"/>
    <x v="27"/>
    <n v="0"/>
    <n v="10149577.500000002"/>
    <n v="0"/>
    <m/>
    <n v="0"/>
    <m/>
    <n v="0"/>
    <m/>
    <n v="0"/>
    <m/>
    <n v="0"/>
    <n v="11493472.499999993"/>
    <n v="0"/>
    <n v="119"/>
    <m/>
    <n v="0"/>
    <m/>
    <n v="0"/>
    <m/>
    <n v="0"/>
    <n v="12889576.499999994"/>
    <n v="0"/>
    <n v="119"/>
    <n v="0"/>
    <n v="0"/>
    <n v="0"/>
    <x v="0"/>
    <s v=""/>
    <n v="119"/>
    <s v="2018 (triag)"/>
    <n v="119"/>
    <s v="2018 (triag)"/>
    <x v="1"/>
    <n v="119"/>
    <n v="119"/>
    <s v="No change"/>
    <m/>
    <m/>
    <m/>
    <m/>
    <x v="0"/>
    <n v="0.10353702938776778"/>
    <n v="9.2322660872527537E-2"/>
  </r>
  <r>
    <x v="1"/>
    <s v="BDI"/>
    <n v="9795488"/>
    <x v="28"/>
    <n v="4"/>
    <n v="10149577.500000002"/>
    <n v="0"/>
    <m/>
    <n v="0"/>
    <m/>
    <n v="0"/>
    <m/>
    <n v="0"/>
    <m/>
    <n v="0"/>
    <n v="11493472.499999993"/>
    <n v="119"/>
    <n v="119"/>
    <m/>
    <n v="0"/>
    <m/>
    <n v="0"/>
    <m/>
    <n v="99"/>
    <n v="12889576.499999994"/>
    <n v="0"/>
    <n v="119"/>
    <n v="4"/>
    <n v="119"/>
    <n v="99"/>
    <x v="40"/>
    <n v="2012"/>
    <n v="119"/>
    <n v="2018"/>
    <n v="99"/>
    <n v="2021"/>
    <x v="0"/>
    <n v="123.73305776420409"/>
    <n v="123.73305776420409"/>
    <s v="Increasing"/>
    <m/>
    <m/>
    <m/>
    <m/>
    <x v="147"/>
    <n v="0.10353702938776778"/>
    <n v="9.5994664963743481E-2"/>
  </r>
  <r>
    <x v="1"/>
    <s v="BDI"/>
    <n v="9795489"/>
    <x v="29"/>
    <n v="0"/>
    <n v="10149577.500000002"/>
    <n v="0"/>
    <m/>
    <n v="0"/>
    <m/>
    <n v="0"/>
    <m/>
    <n v="0"/>
    <m/>
    <n v="0"/>
    <n v="11493472.499999993"/>
    <n v="0"/>
    <n v="0"/>
    <m/>
    <n v="0"/>
    <m/>
    <n v="0"/>
    <m/>
    <n v="6"/>
    <n v="12889576.499999994"/>
    <n v="0"/>
    <n v="0"/>
    <n v="0"/>
    <n v="0"/>
    <n v="6"/>
    <x v="0"/>
    <s v=""/>
    <m/>
    <s v=""/>
    <n v="6"/>
    <n v="2021"/>
    <x v="1"/>
    <n v="6"/>
    <n v="6"/>
    <s v="Increasing"/>
    <m/>
    <m/>
    <m/>
    <m/>
    <x v="0"/>
    <n v="0"/>
    <n v="4.6549240776064304E-3"/>
  </r>
  <r>
    <x v="1"/>
    <s v="BDI"/>
    <n v="9795490"/>
    <x v="30"/>
    <n v="0"/>
    <n v="10149577.500000002"/>
    <n v="4"/>
    <m/>
    <n v="0"/>
    <m/>
    <n v="0"/>
    <m/>
    <n v="0"/>
    <m/>
    <n v="0"/>
    <n v="11493472.499999993"/>
    <n v="14"/>
    <n v="14"/>
    <m/>
    <n v="0"/>
    <m/>
    <n v="0"/>
    <m/>
    <n v="0"/>
    <n v="12889576.499999994"/>
    <n v="0"/>
    <n v="14"/>
    <n v="4"/>
    <n v="14"/>
    <n v="0"/>
    <x v="40"/>
    <n v="2013"/>
    <n v="14"/>
    <n v="2018"/>
    <n v="14"/>
    <n v="2018"/>
    <x v="1"/>
    <n v="14"/>
    <n v="14"/>
    <s v="No change"/>
    <m/>
    <m/>
    <m/>
    <m/>
    <x v="147"/>
    <n v="1.2180826986796209E-2"/>
    <n v="1.0861489514415006E-2"/>
  </r>
  <r>
    <x v="1"/>
    <s v="BDI"/>
    <n v="9795491"/>
    <x v="31"/>
    <n v="0"/>
    <n v="10149577.500000002"/>
    <n v="0"/>
    <m/>
    <n v="0"/>
    <m/>
    <n v="0"/>
    <m/>
    <n v="0"/>
    <m/>
    <n v="0"/>
    <n v="11493472.499999993"/>
    <n v="0"/>
    <n v="0"/>
    <m/>
    <n v="0"/>
    <m/>
    <n v="0"/>
    <m/>
    <n v="0"/>
    <n v="12889576.499999994"/>
    <n v="0"/>
    <n v="0"/>
    <n v="0"/>
    <n v="0"/>
    <n v="0"/>
    <x v="0"/>
    <s v=""/>
    <m/>
    <s v=""/>
    <n v="0"/>
    <s v=""/>
    <x v="1"/>
    <m/>
    <n v="0"/>
    <s v="No change"/>
    <m/>
    <m/>
    <m/>
    <m/>
    <x v="0"/>
    <n v="0"/>
    <n v="0"/>
  </r>
  <r>
    <x v="1"/>
    <s v="BDI"/>
    <n v="9795492"/>
    <x v="32"/>
    <n v="0"/>
    <n v="10149577.500000002"/>
    <n v="0"/>
    <m/>
    <n v="0"/>
    <m/>
    <n v="0"/>
    <m/>
    <n v="0"/>
    <m/>
    <n v="93"/>
    <n v="11493472.499999993"/>
    <n v="0"/>
    <n v="0"/>
    <m/>
    <n v="0"/>
    <m/>
    <n v="0"/>
    <m/>
    <n v="15"/>
    <n v="12889576.499999994"/>
    <n v="0"/>
    <n v="0"/>
    <n v="0"/>
    <n v="93"/>
    <n v="15"/>
    <x v="0"/>
    <s v=""/>
    <n v="93"/>
    <n v="2017"/>
    <n v="15"/>
    <n v="2021"/>
    <x v="0"/>
    <n v="18.747432994576378"/>
    <n v="93"/>
    <s v="Decreasing"/>
    <m/>
    <m/>
    <m/>
    <m/>
    <x v="0"/>
    <n v="8.091549355514624E-2"/>
    <n v="1.4544646206627801E-2"/>
  </r>
  <r>
    <x v="2"/>
    <s v="BEN"/>
    <n v="10014078.499999996"/>
    <x v="19"/>
    <n v="0"/>
    <n v="10308730.499999994"/>
    <n v="0"/>
    <n v="10614844.000000013"/>
    <n v="0"/>
    <n v="10932783.499999994"/>
    <n v="0"/>
    <n v="11260084.499999996"/>
    <n v="523"/>
    <n v="11596778.499999991"/>
    <n v="0"/>
    <n v="11940683.499999996"/>
    <n v="908"/>
    <n v="908"/>
    <n v="12290444.000000004"/>
    <n v="763"/>
    <n v="12643123.000000002"/>
    <n v="0"/>
    <n v="12996895"/>
    <n v="2755"/>
    <n v="13352864"/>
    <n v="2608"/>
    <n v="710"/>
    <n v="0"/>
    <n v="908"/>
    <n v="2755"/>
    <x v="0"/>
    <s v=""/>
    <n v="908"/>
    <n v="2018"/>
    <n v="2608"/>
    <n v="2022"/>
    <x v="1"/>
    <n v="2608"/>
    <n v="2608"/>
    <s v="Increasing"/>
    <m/>
    <m/>
    <m/>
    <m/>
    <x v="0"/>
    <n v="0.76042548150614686"/>
    <n v="1.953139041931379"/>
  </r>
  <r>
    <x v="2"/>
    <s v="BEN"/>
    <n v="10014079.5"/>
    <x v="20"/>
    <n v="0"/>
    <n v="10308730.499999994"/>
    <n v="0"/>
    <m/>
    <n v="0"/>
    <m/>
    <n v="0"/>
    <m/>
    <n v="0"/>
    <m/>
    <n v="0"/>
    <n v="11940683.499999996"/>
    <n v="346"/>
    <n v="391"/>
    <m/>
    <n v="202"/>
    <m/>
    <n v="0"/>
    <m/>
    <n v="1797"/>
    <n v="13352864"/>
    <n v="1753"/>
    <n v="391"/>
    <n v="0"/>
    <n v="346"/>
    <n v="1797"/>
    <x v="0"/>
    <s v=""/>
    <n v="391"/>
    <s v="2018 (triag)"/>
    <n v="1753"/>
    <n v="2022"/>
    <x v="1"/>
    <n v="1753"/>
    <n v="1753"/>
    <s v="Increasing"/>
    <m/>
    <m/>
    <m/>
    <m/>
    <x v="0"/>
    <n v="0.32745194192610511"/>
    <n v="1.3128269710528018"/>
  </r>
  <r>
    <x v="2"/>
    <s v="BEN"/>
    <n v="10014080.5"/>
    <x v="21"/>
    <n v="0"/>
    <n v="10308730.499999994"/>
    <n v="0"/>
    <m/>
    <n v="0"/>
    <m/>
    <n v="0"/>
    <m/>
    <n v="0"/>
    <m/>
    <n v="0"/>
    <n v="11940683.499999996"/>
    <n v="562"/>
    <n v="562"/>
    <m/>
    <n v="0"/>
    <m/>
    <n v="0"/>
    <m/>
    <n v="958"/>
    <n v="13352864"/>
    <n v="855"/>
    <n v="319"/>
    <n v="0"/>
    <n v="562"/>
    <n v="958"/>
    <x v="0"/>
    <s v=""/>
    <n v="562"/>
    <n v="2018"/>
    <n v="855"/>
    <n v="2022"/>
    <x v="1"/>
    <n v="855"/>
    <n v="855"/>
    <s v="Increasing"/>
    <m/>
    <m/>
    <m/>
    <m/>
    <x v="0"/>
    <n v="0.47065982445644772"/>
    <n v="0.64031207087857711"/>
  </r>
  <r>
    <x v="2"/>
    <s v="BEN"/>
    <n v="10014081.5"/>
    <x v="22"/>
    <n v="5138"/>
    <n v="10308730.499999994"/>
    <n v="4880"/>
    <m/>
    <n v="0"/>
    <m/>
    <n v="0"/>
    <m/>
    <n v="7224"/>
    <m/>
    <n v="0"/>
    <n v="11940683.499999996"/>
    <n v="3410"/>
    <n v="3410"/>
    <m/>
    <n v="2670"/>
    <m/>
    <n v="0"/>
    <m/>
    <n v="5484"/>
    <n v="13352864"/>
    <n v="5893"/>
    <n v="3260"/>
    <n v="5138"/>
    <n v="7224"/>
    <n v="5893"/>
    <x v="137"/>
    <n v="2013"/>
    <n v="3410"/>
    <n v="2018"/>
    <n v="5893"/>
    <n v="2022"/>
    <x v="1"/>
    <n v="5893"/>
    <n v="5893"/>
    <s v="Increasing"/>
    <m/>
    <m/>
    <m/>
    <m/>
    <x v="148"/>
    <n v="2.8557829206343182"/>
    <n v="4.4132854195174911"/>
  </r>
  <r>
    <x v="2"/>
    <s v="BEN"/>
    <n v="10014082.5"/>
    <x v="23"/>
    <n v="0"/>
    <n v="10308730.499999994"/>
    <n v="0"/>
    <m/>
    <n v="0"/>
    <m/>
    <n v="0"/>
    <m/>
    <n v="1577"/>
    <m/>
    <n v="0"/>
    <n v="11940683.499999996"/>
    <n v="3410"/>
    <n v="3410"/>
    <m/>
    <n v="0"/>
    <m/>
    <n v="0"/>
    <m/>
    <n v="5484"/>
    <n v="13352864"/>
    <n v="5893"/>
    <n v="1938"/>
    <n v="0"/>
    <n v="3410"/>
    <n v="5893"/>
    <x v="0"/>
    <s v=""/>
    <n v="3410"/>
    <n v="2018"/>
    <n v="5893"/>
    <n v="2022"/>
    <x v="1"/>
    <n v="5893"/>
    <n v="5893"/>
    <s v="Increasing"/>
    <m/>
    <m/>
    <m/>
    <m/>
    <x v="0"/>
    <n v="2.8557829206343182"/>
    <n v="4.4132854195174911"/>
  </r>
  <r>
    <x v="2"/>
    <s v="BEN"/>
    <n v="10014083.5"/>
    <x v="24"/>
    <n v="0"/>
    <n v="10308730.499999994"/>
    <n v="0"/>
    <m/>
    <n v="0"/>
    <m/>
    <n v="0"/>
    <m/>
    <n v="0"/>
    <m/>
    <n v="0"/>
    <n v="11940683.499999996"/>
    <n v="0"/>
    <n v="1322"/>
    <m/>
    <n v="0"/>
    <m/>
    <n v="0"/>
    <m/>
    <n v="0"/>
    <n v="13352864"/>
    <n v="0"/>
    <n v="1322"/>
    <n v="0"/>
    <n v="0"/>
    <n v="0"/>
    <x v="0"/>
    <s v=""/>
    <n v="1322"/>
    <s v="2018 (triag)"/>
    <n v="1322"/>
    <s v="2018 (triag)"/>
    <x v="1"/>
    <n v="1322"/>
    <n v="1322"/>
    <s v="No change"/>
    <m/>
    <m/>
    <m/>
    <m/>
    <x v="0"/>
    <n v="1.1071393023690816"/>
    <n v="0.99004977508944902"/>
  </r>
  <r>
    <x v="2"/>
    <s v="BEN"/>
    <n v="10014084.5"/>
    <x v="25"/>
    <n v="1480"/>
    <n v="10308730.499999994"/>
    <n v="943"/>
    <m/>
    <n v="0"/>
    <m/>
    <n v="0"/>
    <m/>
    <n v="1034"/>
    <m/>
    <n v="0"/>
    <n v="11940683.499999996"/>
    <n v="1055"/>
    <n v="1055"/>
    <m/>
    <n v="905"/>
    <m/>
    <n v="0"/>
    <m/>
    <n v="2086"/>
    <n v="13352864"/>
    <n v="2055"/>
    <n v="813"/>
    <n v="1480"/>
    <n v="1055"/>
    <n v="2086"/>
    <x v="138"/>
    <n v="2013"/>
    <n v="1055"/>
    <n v="2018"/>
    <n v="2055"/>
    <n v="2022"/>
    <x v="1"/>
    <n v="2055"/>
    <n v="2055"/>
    <s v="Increasing"/>
    <m/>
    <m/>
    <m/>
    <m/>
    <x v="149"/>
    <n v="0.88353401210240634"/>
    <n v="1.5389956791292114"/>
  </r>
  <r>
    <x v="2"/>
    <s v="BEN"/>
    <n v="10014085.5"/>
    <x v="26"/>
    <n v="0"/>
    <n v="10308730.499999994"/>
    <n v="943"/>
    <m/>
    <n v="0"/>
    <m/>
    <n v="0"/>
    <m/>
    <n v="0"/>
    <m/>
    <n v="0"/>
    <n v="11940683.499999996"/>
    <n v="1055"/>
    <n v="1055"/>
    <m/>
    <n v="0"/>
    <m/>
    <n v="0"/>
    <m/>
    <n v="2086"/>
    <n v="13352864"/>
    <n v="2055"/>
    <n v="807"/>
    <n v="943"/>
    <n v="1055"/>
    <n v="2086"/>
    <x v="138"/>
    <n v="2013"/>
    <n v="1055"/>
    <n v="2018"/>
    <n v="2055"/>
    <n v="2022"/>
    <x v="1"/>
    <n v="2055"/>
    <n v="2055"/>
    <s v="Increasing"/>
    <m/>
    <m/>
    <m/>
    <m/>
    <x v="149"/>
    <n v="0.88353401210240634"/>
    <n v="1.5389956791292114"/>
  </r>
  <r>
    <x v="2"/>
    <s v="BEN"/>
    <n v="10014086.5"/>
    <x v="27"/>
    <n v="0"/>
    <n v="10308730.499999994"/>
    <n v="0"/>
    <m/>
    <n v="0"/>
    <m/>
    <n v="0"/>
    <m/>
    <n v="0"/>
    <m/>
    <n v="0"/>
    <n v="11940683.499999996"/>
    <n v="0"/>
    <n v="6"/>
    <m/>
    <n v="0"/>
    <m/>
    <n v="0"/>
    <m/>
    <n v="0"/>
    <n v="13352864"/>
    <n v="0"/>
    <n v="6"/>
    <n v="0"/>
    <n v="0"/>
    <n v="0"/>
    <x v="0"/>
    <s v=""/>
    <n v="6"/>
    <s v="2018 (triag)"/>
    <n v="6"/>
    <s v="2018 (triag)"/>
    <x v="1"/>
    <n v="6"/>
    <n v="6"/>
    <s v="No change"/>
    <m/>
    <m/>
    <m/>
    <m/>
    <x v="0"/>
    <n v="5.0248379835207942E-3"/>
    <n v="4.4934180412531726E-3"/>
  </r>
  <r>
    <x v="2"/>
    <s v="BEN"/>
    <n v="10014087.5"/>
    <x v="28"/>
    <n v="0"/>
    <n v="10308730.499999994"/>
    <n v="1330"/>
    <m/>
    <n v="0"/>
    <m/>
    <n v="0"/>
    <m/>
    <n v="13"/>
    <m/>
    <n v="0"/>
    <n v="11940683.499999996"/>
    <n v="306"/>
    <n v="306"/>
    <m/>
    <n v="0"/>
    <m/>
    <n v="0"/>
    <m/>
    <n v="403"/>
    <n v="13352864"/>
    <n v="382"/>
    <n v="14"/>
    <n v="1330"/>
    <n v="306"/>
    <n v="403"/>
    <x v="139"/>
    <n v="2013"/>
    <n v="306"/>
    <n v="2018"/>
    <n v="382"/>
    <n v="2022"/>
    <x v="1"/>
    <n v="382"/>
    <n v="382"/>
    <s v="Increasing"/>
    <m/>
    <m/>
    <m/>
    <m/>
    <x v="150"/>
    <n v="0.2562667371595605"/>
    <n v="0.28608094862645195"/>
  </r>
  <r>
    <x v="2"/>
    <s v="BEN"/>
    <n v="10014088.5"/>
    <x v="29"/>
    <n v="0"/>
    <n v="10308730.499999994"/>
    <n v="770"/>
    <m/>
    <n v="0"/>
    <m/>
    <n v="0"/>
    <m/>
    <n v="0"/>
    <m/>
    <n v="0"/>
    <n v="11940683.499999996"/>
    <n v="45"/>
    <n v="45"/>
    <m/>
    <n v="0"/>
    <m/>
    <n v="0"/>
    <m/>
    <n v="56"/>
    <n v="13352864"/>
    <n v="0"/>
    <n v="0"/>
    <n v="770"/>
    <n v="45"/>
    <n v="56"/>
    <x v="77"/>
    <n v="2013"/>
    <n v="45"/>
    <n v="2018"/>
    <n v="56"/>
    <n v="2021"/>
    <x v="1"/>
    <n v="56"/>
    <n v="56"/>
    <s v="Increasing"/>
    <m/>
    <m/>
    <m/>
    <m/>
    <x v="151"/>
    <n v="3.7686284876405955E-2"/>
    <n v="4.1938568385029608E-2"/>
  </r>
  <r>
    <x v="2"/>
    <s v="BEN"/>
    <n v="10014089.5"/>
    <x v="30"/>
    <n v="0"/>
    <n v="10308730.499999994"/>
    <n v="0"/>
    <m/>
    <n v="0"/>
    <m/>
    <n v="0"/>
    <m/>
    <n v="9"/>
    <m/>
    <n v="73"/>
    <n v="11940683.499999996"/>
    <n v="12"/>
    <n v="12"/>
    <m/>
    <n v="0"/>
    <m/>
    <n v="0"/>
    <m/>
    <n v="50"/>
    <n v="13352864"/>
    <n v="50"/>
    <n v="0"/>
    <n v="0"/>
    <n v="73"/>
    <n v="50"/>
    <x v="0"/>
    <s v=""/>
    <n v="12"/>
    <n v="2018"/>
    <n v="50"/>
    <n v="2021"/>
    <x v="1"/>
    <n v="50"/>
    <n v="50"/>
    <s v="Increasing"/>
    <m/>
    <m/>
    <m/>
    <m/>
    <x v="0"/>
    <n v="1.0049675967041588E-2"/>
    <n v="3.7445150343776434E-2"/>
  </r>
  <r>
    <x v="2"/>
    <s v="BEN"/>
    <n v="10014090.5"/>
    <x v="31"/>
    <n v="0"/>
    <n v="10308730.499999994"/>
    <n v="0"/>
    <m/>
    <n v="0"/>
    <m/>
    <n v="0"/>
    <m/>
    <n v="0"/>
    <m/>
    <n v="33"/>
    <n v="11940683.499999996"/>
    <n v="0"/>
    <n v="0"/>
    <m/>
    <n v="0"/>
    <m/>
    <n v="0"/>
    <m/>
    <n v="6"/>
    <n v="13352864"/>
    <n v="0"/>
    <n v="0"/>
    <n v="0"/>
    <n v="33"/>
    <n v="6"/>
    <x v="0"/>
    <s v=""/>
    <n v="33"/>
    <n v="2017"/>
    <n v="6"/>
    <n v="2021"/>
    <x v="0"/>
    <n v="7.4754468485418633"/>
    <n v="33"/>
    <s v="Decreasing"/>
    <m/>
    <m/>
    <m/>
    <m/>
    <x v="0"/>
    <n v="2.7636608909364369E-2"/>
    <n v="5.5983846226111966E-3"/>
  </r>
  <r>
    <x v="2"/>
    <s v="BEN"/>
    <n v="10014091.5"/>
    <x v="32"/>
    <n v="0"/>
    <n v="10308730.499999994"/>
    <n v="0"/>
    <m/>
    <n v="0"/>
    <m/>
    <n v="0"/>
    <m/>
    <n v="0"/>
    <m/>
    <n v="0"/>
    <n v="11940683.499999996"/>
    <n v="0"/>
    <n v="0"/>
    <m/>
    <n v="0"/>
    <m/>
    <n v="0"/>
    <m/>
    <n v="0"/>
    <n v="13352864"/>
    <n v="0"/>
    <n v="0"/>
    <n v="0"/>
    <n v="0"/>
    <n v="0"/>
    <x v="0"/>
    <s v=""/>
    <m/>
    <s v=""/>
    <n v="0"/>
    <s v=""/>
    <x v="1"/>
    <m/>
    <n v="0"/>
    <s v="No change"/>
    <m/>
    <m/>
    <m/>
    <m/>
    <x v="0"/>
    <n v="0"/>
    <n v="0"/>
  </r>
  <r>
    <x v="3"/>
    <s v="BFA"/>
    <n v="17113732.499999996"/>
    <x v="19"/>
    <n v="787"/>
    <n v="17636407.5"/>
    <n v="803"/>
    <n v="18169842.499999996"/>
    <n v="857"/>
    <n v="18718019.499999996"/>
    <n v="1189"/>
    <n v="19275497.999999981"/>
    <n v="1202"/>
    <n v="19835858.500000007"/>
    <n v="1626"/>
    <n v="20392723"/>
    <n v="1684"/>
    <n v="1684"/>
    <n v="20951638.999999996"/>
    <n v="1910"/>
    <n v="21522625.999999993"/>
    <n v="2061"/>
    <n v="22100683.499999989"/>
    <n v="2221"/>
    <n v="22673762.000000007"/>
    <n v="3323"/>
    <n v="1626"/>
    <n v="1189"/>
    <n v="1910"/>
    <n v="3323"/>
    <x v="140"/>
    <n v="2013"/>
    <n v="1684"/>
    <n v="2018"/>
    <n v="3323"/>
    <n v="2022"/>
    <x v="1"/>
    <n v="3323"/>
    <n v="3323"/>
    <s v="Increasing"/>
    <m/>
    <m/>
    <m/>
    <m/>
    <x v="152"/>
    <n v="0.82578476645811349"/>
    <n v="1.4655706450477866"/>
  </r>
  <r>
    <x v="3"/>
    <s v="BFA"/>
    <n v="17113733.5"/>
    <x v="20"/>
    <n v="0"/>
    <n v="17636407.5"/>
    <n v="0"/>
    <m/>
    <n v="0"/>
    <m/>
    <n v="0"/>
    <m/>
    <n v="0"/>
    <m/>
    <n v="888"/>
    <n v="20392723"/>
    <n v="732"/>
    <n v="888"/>
    <m/>
    <n v="1026"/>
    <m/>
    <n v="1088"/>
    <m/>
    <n v="1220"/>
    <n v="22673762.000000007"/>
    <n v="2372"/>
    <n v="888"/>
    <n v="0"/>
    <n v="1026"/>
    <n v="2372"/>
    <x v="0"/>
    <s v=""/>
    <n v="888"/>
    <n v="2017"/>
    <n v="2372"/>
    <n v="2022"/>
    <x v="1"/>
    <n v="2372"/>
    <n v="2372"/>
    <s v="Increasing"/>
    <m/>
    <m/>
    <m/>
    <m/>
    <x v="0"/>
    <n v="0.43544944929620238"/>
    <n v="1.0461431146714864"/>
  </r>
  <r>
    <x v="3"/>
    <s v="BFA"/>
    <n v="17113734.5"/>
    <x v="21"/>
    <n v="0"/>
    <n v="17636407.5"/>
    <n v="0"/>
    <m/>
    <n v="0"/>
    <m/>
    <n v="0"/>
    <m/>
    <n v="0"/>
    <m/>
    <n v="738"/>
    <n v="20392723"/>
    <n v="952"/>
    <n v="952"/>
    <m/>
    <n v="884"/>
    <m/>
    <n v="973"/>
    <m/>
    <n v="1001"/>
    <n v="22673762.000000007"/>
    <n v="951"/>
    <n v="738"/>
    <n v="0"/>
    <n v="952"/>
    <n v="1001"/>
    <x v="0"/>
    <s v=""/>
    <n v="952"/>
    <n v="2018"/>
    <n v="951"/>
    <n v="2022"/>
    <x v="0"/>
    <n v="976.99387949059121"/>
    <n v="976.99387949059121"/>
    <s v="Increasing"/>
    <m/>
    <m/>
    <m/>
    <m/>
    <x v="0"/>
    <n v="0.46683319338962237"/>
    <n v="0.43089182972397383"/>
  </r>
  <r>
    <x v="3"/>
    <s v="BFA"/>
    <n v="17113735.5"/>
    <x v="22"/>
    <n v="6008"/>
    <n v="17636407.5"/>
    <n v="6196"/>
    <m/>
    <n v="6358"/>
    <m/>
    <n v="9748"/>
    <m/>
    <n v="9701"/>
    <m/>
    <n v="10376"/>
    <n v="20392723"/>
    <n v="0"/>
    <n v="10325"/>
    <m/>
    <n v="11364"/>
    <m/>
    <n v="11874"/>
    <m/>
    <n v="12189"/>
    <n v="22673762.000000007"/>
    <n v="13961"/>
    <n v="10325"/>
    <n v="9748"/>
    <n v="11364"/>
    <n v="13961"/>
    <x v="141"/>
    <n v="2013"/>
    <n v="10325"/>
    <s v="2018 (triag)"/>
    <n v="13961"/>
    <n v="2022"/>
    <x v="1"/>
    <n v="13961"/>
    <n v="13961"/>
    <s v="Increasing"/>
    <m/>
    <m/>
    <m/>
    <m/>
    <x v="153"/>
    <n v="5.0630805900712721"/>
    <n v="6.1573372782161142"/>
  </r>
  <r>
    <x v="3"/>
    <s v="BFA"/>
    <n v="17113736.5"/>
    <x v="23"/>
    <n v="0"/>
    <n v="17636407.5"/>
    <n v="3489"/>
    <m/>
    <n v="3718"/>
    <m/>
    <n v="7096"/>
    <m/>
    <n v="7364"/>
    <m/>
    <n v="8259"/>
    <n v="20392723"/>
    <n v="0"/>
    <n v="8208"/>
    <m/>
    <n v="9471"/>
    <m/>
    <n v="10228"/>
    <m/>
    <n v="10703"/>
    <n v="22673762.000000007"/>
    <n v="13894"/>
    <n v="8208"/>
    <n v="7096"/>
    <n v="9471"/>
    <n v="13894"/>
    <x v="142"/>
    <n v="2013"/>
    <n v="8208"/>
    <s v="2018 (triag)"/>
    <n v="13894"/>
    <n v="2022"/>
    <x v="1"/>
    <n v="13894"/>
    <n v="13894"/>
    <s v="Increasing"/>
    <m/>
    <m/>
    <m/>
    <m/>
    <x v="154"/>
    <n v="4.0249651799811135"/>
    <n v="6.1277877045723574"/>
  </r>
  <r>
    <x v="3"/>
    <s v="BFA"/>
    <n v="17113737.5"/>
    <x v="24"/>
    <n v="0"/>
    <n v="17636407.5"/>
    <n v="2707"/>
    <m/>
    <n v="2640"/>
    <m/>
    <n v="2652"/>
    <m/>
    <n v="2337"/>
    <m/>
    <n v="2117"/>
    <n v="20392723"/>
    <n v="0"/>
    <n v="2117"/>
    <m/>
    <n v="1893"/>
    <m/>
    <n v="1646"/>
    <m/>
    <n v="1486"/>
    <n v="22673762.000000007"/>
    <n v="67"/>
    <n v="2117"/>
    <n v="2707"/>
    <n v="2337"/>
    <n v="1646"/>
    <x v="143"/>
    <n v="2013"/>
    <n v="2117"/>
    <n v="2017"/>
    <n v="67"/>
    <n v="2022"/>
    <x v="0"/>
    <n v="68.831324843185712"/>
    <n v="2117"/>
    <s v="Decreasing"/>
    <m/>
    <m/>
    <m/>
    <m/>
    <x v="155"/>
    <n v="1.0381154100901582"/>
    <n v="3.0357258245537588E-2"/>
  </r>
  <r>
    <x v="3"/>
    <s v="BFA"/>
    <n v="17113738.5"/>
    <x v="25"/>
    <n v="4451"/>
    <n v="17636407.5"/>
    <n v="1591"/>
    <m/>
    <n v="1744"/>
    <m/>
    <n v="2383"/>
    <m/>
    <n v="2580"/>
    <m/>
    <n v="6569"/>
    <n v="20392723"/>
    <n v="0"/>
    <n v="6569"/>
    <m/>
    <n v="7477"/>
    <m/>
    <n v="7804"/>
    <m/>
    <n v="8052"/>
    <n v="22673762.000000007"/>
    <n v="9294"/>
    <n v="6569"/>
    <n v="4451"/>
    <n v="7477"/>
    <n v="9294"/>
    <x v="144"/>
    <n v="2013"/>
    <n v="6569"/>
    <n v="2017"/>
    <n v="9294"/>
    <n v="2022"/>
    <x v="1"/>
    <n v="9294"/>
    <n v="9294"/>
    <s v="Increasing"/>
    <m/>
    <m/>
    <m/>
    <m/>
    <x v="156"/>
    <n v="3.2212471085886865"/>
    <n v="4.0990110066428311"/>
  </r>
  <r>
    <x v="3"/>
    <s v="BFA"/>
    <n v="17113739.5"/>
    <x v="26"/>
    <n v="0"/>
    <n v="17636407.5"/>
    <n v="0"/>
    <m/>
    <n v="0"/>
    <m/>
    <n v="0"/>
    <m/>
    <n v="0"/>
    <m/>
    <n v="3583"/>
    <n v="20392723"/>
    <n v="0"/>
    <n v="3583"/>
    <m/>
    <n v="4420"/>
    <m/>
    <n v="4827"/>
    <m/>
    <n v="4986"/>
    <n v="22673762.000000007"/>
    <n v="5686"/>
    <n v="3583"/>
    <n v="0"/>
    <n v="4420"/>
    <n v="5686"/>
    <x v="0"/>
    <s v=""/>
    <n v="3583"/>
    <n v="2017"/>
    <n v="5686"/>
    <n v="2022"/>
    <x v="1"/>
    <n v="5686"/>
    <n v="5686"/>
    <s v="Increasing"/>
    <m/>
    <m/>
    <m/>
    <m/>
    <x v="0"/>
    <n v="1.7569992982300597"/>
    <n v="2.5077444140059324"/>
  </r>
  <r>
    <x v="3"/>
    <s v="BFA"/>
    <n v="17113740.5"/>
    <x v="27"/>
    <n v="0"/>
    <n v="17636407.5"/>
    <n v="0"/>
    <m/>
    <n v="0"/>
    <m/>
    <n v="0"/>
    <m/>
    <n v="0"/>
    <m/>
    <n v="2986"/>
    <n v="20392723"/>
    <n v="0"/>
    <n v="2986"/>
    <m/>
    <n v="3057"/>
    <m/>
    <n v="2977"/>
    <m/>
    <n v="3066"/>
    <n v="22673762.000000007"/>
    <n v="3608"/>
    <n v="2986"/>
    <n v="0"/>
    <n v="3057"/>
    <n v="3608"/>
    <x v="0"/>
    <s v=""/>
    <n v="2986"/>
    <n v="2017"/>
    <n v="3608"/>
    <n v="2022"/>
    <x v="1"/>
    <n v="3608"/>
    <n v="3608"/>
    <s v="Increasing"/>
    <m/>
    <m/>
    <m/>
    <m/>
    <x v="0"/>
    <n v="1.4642478103586265"/>
    <n v="1.5912665926368985"/>
  </r>
  <r>
    <x v="3"/>
    <s v="BFA"/>
    <n v="17113741.5"/>
    <x v="28"/>
    <n v="203"/>
    <n v="17636407.5"/>
    <n v="207"/>
    <m/>
    <n v="217"/>
    <m/>
    <n v="258"/>
    <m/>
    <n v="235"/>
    <m/>
    <n v="284"/>
    <n v="20392723"/>
    <n v="239"/>
    <n v="636"/>
    <m/>
    <n v="313"/>
    <m/>
    <n v="718"/>
    <m/>
    <n v="691"/>
    <n v="22673762.000000007"/>
    <n v="575"/>
    <n v="636"/>
    <n v="258"/>
    <n v="313"/>
    <n v="718"/>
    <x v="145"/>
    <n v="2013"/>
    <n v="636"/>
    <s v="2018 (triag)"/>
    <n v="575"/>
    <n v="2022"/>
    <x v="0"/>
    <n v="590.71659380345943"/>
    <n v="636"/>
    <s v="Decreasing"/>
    <m/>
    <m/>
    <m/>
    <m/>
    <x v="157"/>
    <n v="0.31187595692836118"/>
    <n v="0.26052870882364348"/>
  </r>
  <r>
    <x v="3"/>
    <s v="BFA"/>
    <n v="17113742.5"/>
    <x v="29"/>
    <n v="148"/>
    <n v="17636407.5"/>
    <n v="0"/>
    <m/>
    <n v="0"/>
    <m/>
    <n v="0"/>
    <m/>
    <n v="0"/>
    <m/>
    <n v="156"/>
    <n v="20392723"/>
    <n v="0"/>
    <n v="156"/>
    <m/>
    <n v="192"/>
    <m/>
    <n v="203"/>
    <m/>
    <n v="203"/>
    <n v="22673762.000000007"/>
    <n v="210"/>
    <n v="156"/>
    <n v="148"/>
    <n v="192"/>
    <n v="210"/>
    <x v="146"/>
    <n v="2012"/>
    <n v="156"/>
    <n v="2017"/>
    <n v="210"/>
    <n v="2022"/>
    <x v="1"/>
    <n v="210"/>
    <n v="210"/>
    <s v="Increasing"/>
    <m/>
    <m/>
    <m/>
    <m/>
    <x v="158"/>
    <n v="7.6497876227711231E-2"/>
    <n v="9.2618066644608837E-2"/>
  </r>
  <r>
    <x v="3"/>
    <s v="BFA"/>
    <n v="17113743.5"/>
    <x v="30"/>
    <n v="38"/>
    <n v="17636407.5"/>
    <n v="0"/>
    <m/>
    <n v="0"/>
    <m/>
    <n v="0"/>
    <m/>
    <n v="0"/>
    <m/>
    <n v="80"/>
    <n v="20392723"/>
    <n v="91"/>
    <n v="91"/>
    <m/>
    <n v="52"/>
    <m/>
    <n v="103"/>
    <m/>
    <n v="107"/>
    <n v="22673762.000000007"/>
    <n v="39"/>
    <n v="80"/>
    <n v="38"/>
    <n v="91"/>
    <n v="107"/>
    <x v="147"/>
    <n v="2012"/>
    <n v="91"/>
    <n v="2018"/>
    <n v="39"/>
    <n v="2022"/>
    <x v="0"/>
    <n v="40.065995057973772"/>
    <n v="91"/>
    <s v="Decreasing"/>
    <m/>
    <m/>
    <m/>
    <m/>
    <x v="159"/>
    <n v="4.4623761132831549E-2"/>
    <n v="1.7670642859342778E-2"/>
  </r>
  <r>
    <x v="3"/>
    <s v="BFA"/>
    <n v="17113744.5"/>
    <x v="31"/>
    <n v="0"/>
    <n v="17636407.5"/>
    <n v="0"/>
    <m/>
    <n v="0"/>
    <m/>
    <n v="0"/>
    <m/>
    <n v="0"/>
    <m/>
    <n v="0"/>
    <n v="20392723"/>
    <n v="185"/>
    <n v="185"/>
    <m/>
    <n v="143"/>
    <m/>
    <n v="172"/>
    <m/>
    <n v="168"/>
    <n v="22673762.000000007"/>
    <n v="0"/>
    <n v="0"/>
    <n v="0"/>
    <n v="185"/>
    <n v="172"/>
    <x v="0"/>
    <s v=""/>
    <n v="185"/>
    <n v="2018"/>
    <n v="168"/>
    <n v="2021"/>
    <x v="0"/>
    <n v="172.59197871127162"/>
    <n v="185"/>
    <s v="Decreasing"/>
    <m/>
    <m/>
    <m/>
    <m/>
    <x v="0"/>
    <n v="9.0718635270042161E-2"/>
    <n v="7.6119692317168877E-2"/>
  </r>
  <r>
    <x v="3"/>
    <s v="BFA"/>
    <n v="17113745.5"/>
    <x v="32"/>
    <n v="0"/>
    <n v="17636407.5"/>
    <n v="0"/>
    <m/>
    <n v="0"/>
    <m/>
    <n v="0"/>
    <m/>
    <n v="0"/>
    <m/>
    <n v="0"/>
    <n v="20392723"/>
    <n v="0"/>
    <n v="0"/>
    <m/>
    <n v="8"/>
    <m/>
    <n v="8"/>
    <m/>
    <n v="8"/>
    <n v="22673762.000000007"/>
    <n v="9"/>
    <n v="0"/>
    <n v="0"/>
    <n v="8"/>
    <n v="9"/>
    <x v="0"/>
    <s v=""/>
    <n v="8"/>
    <n v="2019"/>
    <n v="9"/>
    <n v="2022"/>
    <x v="1"/>
    <n v="9"/>
    <n v="9"/>
    <s v="Increasing"/>
    <m/>
    <m/>
    <m/>
    <m/>
    <x v="0"/>
    <n v="3.922968011677499E-3"/>
    <n v="3.9693457133403789E-3"/>
  </r>
  <r>
    <x v="4"/>
    <s v="BWA"/>
    <n v="2175425.5000000005"/>
    <x v="19"/>
    <n v="819"/>
    <n v="2217278.0000000009"/>
    <n v="0"/>
    <n v="2260375.5000000019"/>
    <n v="0"/>
    <n v="2305171.5000000005"/>
    <n v="0"/>
    <n v="2352415.5000000005"/>
    <n v="830"/>
    <n v="2401839.9999999986"/>
    <n v="0"/>
    <n v="2451408.4999999995"/>
    <n v="925"/>
    <n v="925"/>
    <n v="2499701.5"/>
    <n v="920"/>
    <n v="2546401.9999999986"/>
    <n v="1024"/>
    <n v="2588422.9999999981"/>
    <n v="1014"/>
    <n v="2630296.0000000019"/>
    <n v="992"/>
    <n v="853"/>
    <n v="819"/>
    <n v="925"/>
    <n v="1024"/>
    <x v="27"/>
    <n v="2012"/>
    <n v="925"/>
    <n v="2018"/>
    <n v="992"/>
    <n v="2022"/>
    <x v="1"/>
    <n v="992"/>
    <n v="992"/>
    <s v="Increasing"/>
    <m/>
    <m/>
    <m/>
    <m/>
    <x v="160"/>
    <n v="3.77334091808852"/>
    <n v="3.7714386517715091"/>
  </r>
  <r>
    <x v="4"/>
    <s v="BWA"/>
    <n v="2175426.5"/>
    <x v="20"/>
    <n v="0"/>
    <n v="2217278.0000000009"/>
    <n v="0"/>
    <m/>
    <n v="0"/>
    <m/>
    <n v="0"/>
    <m/>
    <n v="0"/>
    <m/>
    <n v="0"/>
    <n v="2451408.4999999995"/>
    <n v="807"/>
    <n v="815"/>
    <m/>
    <n v="813"/>
    <m/>
    <n v="902"/>
    <m/>
    <n v="900"/>
    <n v="2630296.0000000019"/>
    <n v="898"/>
    <n v="815"/>
    <n v="0"/>
    <n v="813"/>
    <n v="902"/>
    <x v="0"/>
    <s v=""/>
    <n v="815"/>
    <s v="2018 (triag)"/>
    <n v="898"/>
    <n v="2022"/>
    <x v="1"/>
    <n v="898"/>
    <n v="898"/>
    <s v="Increasing"/>
    <m/>
    <m/>
    <m/>
    <m/>
    <x v="0"/>
    <n v="3.324619295396912"/>
    <n v="3.4140644246883216"/>
  </r>
  <r>
    <x v="4"/>
    <s v="BWA"/>
    <n v="2175427.5"/>
    <x v="21"/>
    <n v="0"/>
    <n v="2217278.0000000009"/>
    <n v="0"/>
    <m/>
    <n v="0"/>
    <m/>
    <n v="0"/>
    <m/>
    <n v="0"/>
    <m/>
    <n v="0"/>
    <n v="2451408.4999999995"/>
    <n v="118"/>
    <n v="118"/>
    <m/>
    <n v="107"/>
    <m/>
    <n v="122"/>
    <m/>
    <n v="114"/>
    <n v="2630296.0000000019"/>
    <n v="94"/>
    <n v="38"/>
    <n v="0"/>
    <n v="118"/>
    <n v="122"/>
    <x v="0"/>
    <s v=""/>
    <n v="118"/>
    <n v="2018"/>
    <n v="94"/>
    <n v="2022"/>
    <x v="0"/>
    <n v="108.03407256611902"/>
    <n v="118"/>
    <s v="Decreasing"/>
    <m/>
    <m/>
    <m/>
    <m/>
    <x v="0"/>
    <n v="0.48135592252372472"/>
    <n v="0.41072971470176339"/>
  </r>
  <r>
    <x v="4"/>
    <s v="BWA"/>
    <n v="2175428.5"/>
    <x v="22"/>
    <n v="5816"/>
    <n v="2217278.0000000009"/>
    <n v="0"/>
    <m/>
    <n v="0"/>
    <m/>
    <n v="0"/>
    <m/>
    <n v="7427"/>
    <m/>
    <n v="0"/>
    <n v="2451408.4999999995"/>
    <n v="7645"/>
    <n v="7645"/>
    <m/>
    <n v="7763"/>
    <m/>
    <n v="7771"/>
    <m/>
    <n v="7886"/>
    <n v="2630296.0000000019"/>
    <n v="8028"/>
    <n v="6935"/>
    <n v="5816"/>
    <n v="7763"/>
    <n v="8028"/>
    <x v="148"/>
    <n v="2012"/>
    <n v="7645"/>
    <n v="2018"/>
    <n v="8028"/>
    <n v="2022"/>
    <x v="1"/>
    <n v="8028"/>
    <n v="8028"/>
    <s v="Increasing"/>
    <m/>
    <m/>
    <m/>
    <m/>
    <x v="161"/>
    <n v="31.186152777066741"/>
    <n v="30.521279734296041"/>
  </r>
  <r>
    <x v="4"/>
    <s v="BWA"/>
    <n v="2175429.5"/>
    <x v="23"/>
    <n v="0"/>
    <n v="2217278.0000000009"/>
    <n v="0"/>
    <m/>
    <n v="0"/>
    <m/>
    <n v="0"/>
    <m/>
    <n v="0"/>
    <m/>
    <n v="0"/>
    <n v="2451408.4999999995"/>
    <n v="7645"/>
    <n v="7645"/>
    <m/>
    <n v="7763"/>
    <m/>
    <n v="7771"/>
    <m/>
    <n v="7886"/>
    <n v="2630296.0000000019"/>
    <n v="8028"/>
    <n v="6935"/>
    <n v="0"/>
    <n v="7763"/>
    <n v="8028"/>
    <x v="0"/>
    <s v=""/>
    <n v="7645"/>
    <n v="2018"/>
    <n v="8028"/>
    <n v="2022"/>
    <x v="1"/>
    <n v="8028"/>
    <n v="8028"/>
    <s v="Increasing"/>
    <m/>
    <m/>
    <m/>
    <m/>
    <x v="0"/>
    <n v="31.186152777066741"/>
    <n v="30.521279734296041"/>
  </r>
  <r>
    <x v="4"/>
    <s v="BWA"/>
    <n v="2175430.5"/>
    <x v="24"/>
    <n v="0"/>
    <n v="2217278.0000000009"/>
    <n v="0"/>
    <m/>
    <n v="0"/>
    <m/>
    <n v="0"/>
    <m/>
    <n v="0"/>
    <m/>
    <n v="0"/>
    <n v="2451408.4999999995"/>
    <n v="0"/>
    <n v="0"/>
    <m/>
    <n v="0"/>
    <m/>
    <n v="0"/>
    <m/>
    <n v="0"/>
    <n v="2630296.0000000019"/>
    <n v="0"/>
    <n v="0"/>
    <n v="0"/>
    <n v="0"/>
    <n v="0"/>
    <x v="0"/>
    <s v=""/>
    <m/>
    <s v=""/>
    <n v="0"/>
    <s v=""/>
    <x v="1"/>
    <m/>
    <n v="0"/>
    <s v="No change"/>
    <m/>
    <m/>
    <m/>
    <m/>
    <x v="0"/>
    <n v="0"/>
    <n v="0"/>
  </r>
  <r>
    <x v="4"/>
    <s v="BWA"/>
    <n v="2175431.5"/>
    <x v="25"/>
    <n v="0"/>
    <n v="2217278.0000000009"/>
    <n v="1501"/>
    <m/>
    <n v="0"/>
    <m/>
    <n v="0"/>
    <m/>
    <n v="1461"/>
    <m/>
    <n v="0"/>
    <n v="2451408.4999999995"/>
    <n v="0"/>
    <n v="0"/>
    <m/>
    <n v="0"/>
    <m/>
    <n v="0"/>
    <m/>
    <n v="0"/>
    <n v="2630296.0000000019"/>
    <n v="0"/>
    <n v="0"/>
    <n v="1501"/>
    <n v="1461"/>
    <n v="0"/>
    <x v="149"/>
    <n v="2013"/>
    <m/>
    <s v=""/>
    <n v="0"/>
    <s v=""/>
    <x v="1"/>
    <m/>
    <n v="0"/>
    <s v="No change"/>
    <m/>
    <m/>
    <m/>
    <m/>
    <x v="162"/>
    <n v="0"/>
    <n v="0"/>
  </r>
  <r>
    <x v="4"/>
    <s v="BWA"/>
    <n v="2175432.5"/>
    <x v="26"/>
    <n v="0"/>
    <n v="2217278.0000000009"/>
    <n v="1501"/>
    <m/>
    <n v="0"/>
    <m/>
    <n v="0"/>
    <m/>
    <n v="1461"/>
    <m/>
    <n v="0"/>
    <n v="2451408.4999999995"/>
    <n v="0"/>
    <n v="0"/>
    <m/>
    <n v="0"/>
    <m/>
    <n v="0"/>
    <m/>
    <n v="0"/>
    <n v="2630296.0000000019"/>
    <n v="0"/>
    <n v="0"/>
    <n v="1501"/>
    <n v="1461"/>
    <n v="0"/>
    <x v="149"/>
    <n v="2013"/>
    <m/>
    <s v=""/>
    <n v="0"/>
    <s v=""/>
    <x v="1"/>
    <m/>
    <n v="0"/>
    <s v="No change"/>
    <m/>
    <m/>
    <m/>
    <m/>
    <x v="162"/>
    <n v="0"/>
    <n v="0"/>
  </r>
  <r>
    <x v="4"/>
    <s v="BWA"/>
    <n v="2175433.5"/>
    <x v="27"/>
    <n v="0"/>
    <n v="2217278.0000000009"/>
    <n v="0"/>
    <m/>
    <n v="0"/>
    <m/>
    <n v="0"/>
    <m/>
    <n v="0"/>
    <m/>
    <n v="0"/>
    <n v="2451408.4999999995"/>
    <n v="0"/>
    <n v="0"/>
    <m/>
    <n v="0"/>
    <m/>
    <n v="0"/>
    <m/>
    <n v="0"/>
    <n v="2630296.0000000019"/>
    <n v="0"/>
    <n v="0"/>
    <n v="0"/>
    <n v="0"/>
    <n v="0"/>
    <x v="0"/>
    <s v=""/>
    <m/>
    <s v=""/>
    <n v="0"/>
    <s v=""/>
    <x v="1"/>
    <m/>
    <n v="0"/>
    <s v="No change"/>
    <m/>
    <m/>
    <m/>
    <m/>
    <x v="0"/>
    <n v="0"/>
    <n v="0"/>
  </r>
  <r>
    <x v="4"/>
    <s v="BWA"/>
    <n v="2175434.5"/>
    <x v="28"/>
    <n v="0"/>
    <n v="2217278.0000000009"/>
    <n v="0"/>
    <m/>
    <n v="0"/>
    <m/>
    <n v="0"/>
    <m/>
    <n v="0"/>
    <m/>
    <n v="0"/>
    <n v="2451408.4999999995"/>
    <n v="156"/>
    <n v="156"/>
    <m/>
    <n v="138"/>
    <m/>
    <n v="145"/>
    <m/>
    <n v="158"/>
    <n v="2630296.0000000019"/>
    <n v="125"/>
    <n v="149"/>
    <n v="0"/>
    <n v="156"/>
    <n v="158"/>
    <x v="0"/>
    <s v=""/>
    <n v="156"/>
    <n v="2018"/>
    <n v="125"/>
    <n v="2022"/>
    <x v="0"/>
    <n v="143.6623305400519"/>
    <n v="156"/>
    <s v="Decreasing"/>
    <m/>
    <m/>
    <m/>
    <m/>
    <x v="0"/>
    <n v="0.63636884672628014"/>
    <n v="0.54618313125234497"/>
  </r>
  <r>
    <x v="4"/>
    <s v="BWA"/>
    <n v="2175435.5"/>
    <x v="29"/>
    <n v="0"/>
    <n v="2217278.0000000009"/>
    <n v="0"/>
    <m/>
    <n v="0"/>
    <m/>
    <n v="0"/>
    <m/>
    <n v="0"/>
    <m/>
    <n v="0"/>
    <n v="2451408.4999999995"/>
    <n v="435"/>
    <n v="435"/>
    <m/>
    <n v="408"/>
    <m/>
    <n v="435"/>
    <m/>
    <n v="413"/>
    <n v="2630296.0000000019"/>
    <n v="449"/>
    <n v="338"/>
    <n v="0"/>
    <n v="435"/>
    <n v="449"/>
    <x v="0"/>
    <s v=""/>
    <n v="435"/>
    <n v="2018"/>
    <n v="449"/>
    <n v="2022"/>
    <x v="1"/>
    <n v="449"/>
    <n v="449"/>
    <s v="Increasing"/>
    <m/>
    <m/>
    <m/>
    <m/>
    <x v="0"/>
    <n v="1.7744900533713581"/>
    <n v="1.7070322123441608"/>
  </r>
  <r>
    <x v="4"/>
    <s v="BWA"/>
    <n v="2175436.5"/>
    <x v="30"/>
    <n v="55"/>
    <n v="2217278.0000000009"/>
    <n v="0"/>
    <m/>
    <n v="0"/>
    <m/>
    <n v="0"/>
    <m/>
    <n v="91"/>
    <m/>
    <n v="0"/>
    <n v="2451408.4999999995"/>
    <n v="96"/>
    <n v="96"/>
    <m/>
    <n v="88"/>
    <m/>
    <n v="89"/>
    <m/>
    <n v="89"/>
    <n v="2630296.0000000019"/>
    <n v="86"/>
    <n v="94"/>
    <n v="55"/>
    <n v="96"/>
    <n v="89"/>
    <x v="150"/>
    <n v="2012"/>
    <n v="96"/>
    <n v="2018"/>
    <n v="86"/>
    <n v="2022"/>
    <x v="0"/>
    <n v="98.839683411555711"/>
    <n v="98.839683411555711"/>
    <s v="Increasing"/>
    <m/>
    <m/>
    <m/>
    <m/>
    <x v="163"/>
    <n v="0.39161159798540318"/>
    <n v="0.37577399430161335"/>
  </r>
  <r>
    <x v="4"/>
    <s v="BWA"/>
    <n v="2175437.5"/>
    <x v="31"/>
    <n v="0"/>
    <n v="2217278.0000000009"/>
    <n v="0"/>
    <m/>
    <n v="0"/>
    <m/>
    <n v="0"/>
    <m/>
    <n v="0"/>
    <m/>
    <n v="0"/>
    <n v="2451408.4999999995"/>
    <n v="27"/>
    <n v="27"/>
    <m/>
    <n v="27"/>
    <m/>
    <n v="28"/>
    <m/>
    <n v="26"/>
    <n v="2630296.0000000019"/>
    <n v="24"/>
    <n v="0"/>
    <n v="0"/>
    <n v="27"/>
    <n v="28"/>
    <x v="0"/>
    <s v=""/>
    <n v="27"/>
    <n v="2018"/>
    <n v="24"/>
    <n v="2022"/>
    <x v="0"/>
    <n v="27.583167463689964"/>
    <n v="27.583167463689964"/>
    <s v="Increasing"/>
    <m/>
    <m/>
    <m/>
    <m/>
    <x v="0"/>
    <n v="0.11014076193339464"/>
    <n v="0.10486716120045024"/>
  </r>
  <r>
    <x v="4"/>
    <s v="BWA"/>
    <n v="2175438.5"/>
    <x v="32"/>
    <n v="0"/>
    <n v="2217278.0000000009"/>
    <n v="0"/>
    <m/>
    <n v="0"/>
    <m/>
    <n v="0"/>
    <m/>
    <n v="0"/>
    <m/>
    <n v="0"/>
    <n v="2451408.4999999995"/>
    <n v="16"/>
    <n v="16"/>
    <m/>
    <n v="15"/>
    <m/>
    <n v="13"/>
    <m/>
    <n v="15"/>
    <n v="2630296.0000000019"/>
    <n v="17"/>
    <n v="0"/>
    <n v="0"/>
    <n v="16"/>
    <n v="17"/>
    <x v="0"/>
    <s v=""/>
    <n v="16"/>
    <n v="2018"/>
    <n v="17"/>
    <n v="2022"/>
    <x v="1"/>
    <n v="17"/>
    <n v="17"/>
    <s v="Increasing"/>
    <m/>
    <m/>
    <m/>
    <m/>
    <x v="0"/>
    <n v="6.5268599664233859E-2"/>
    <n v="6.4631509153342398E-2"/>
  </r>
  <r>
    <x v="5"/>
    <s v="CAF"/>
    <n v="4773305.4999999991"/>
    <x v="19"/>
    <n v="0"/>
    <n v="4802428.5000000102"/>
    <n v="0"/>
    <n v="4798734.5"/>
    <n v="0"/>
    <n v="4819332.9999999991"/>
    <n v="324"/>
    <n v="4904177.5000000019"/>
    <n v="0"/>
    <n v="4996741.0000000009"/>
    <n v="0"/>
    <n v="5094779.9999999991"/>
    <n v="335"/>
    <n v="335"/>
    <n v="5209324.4999999963"/>
    <n v="0"/>
    <n v="5343019.9999999991"/>
    <n v="0"/>
    <n v="5457154.4999999991"/>
    <n v="114"/>
    <n v="5579143.5000000047"/>
    <n v="0"/>
    <n v="335"/>
    <n v="324"/>
    <n v="335"/>
    <n v="114"/>
    <x v="151"/>
    <n v="2015"/>
    <n v="335"/>
    <n v="2018"/>
    <n v="114"/>
    <n v="2021"/>
    <x v="0"/>
    <n v="146.38957816377172"/>
    <n v="335"/>
    <s v="Decreasing"/>
    <m/>
    <m/>
    <m/>
    <m/>
    <x v="164"/>
    <n v="0.65753575227978456"/>
    <n v="0.2623871892948651"/>
  </r>
  <r>
    <x v="5"/>
    <s v="CAF"/>
    <n v="4773306.5"/>
    <x v="20"/>
    <n v="0"/>
    <n v="4802428.5000000102"/>
    <n v="0"/>
    <m/>
    <n v="0"/>
    <m/>
    <n v="0"/>
    <m/>
    <n v="0"/>
    <m/>
    <n v="0"/>
    <n v="5094779.9999999991"/>
    <n v="263"/>
    <n v="263"/>
    <m/>
    <n v="0"/>
    <m/>
    <n v="0"/>
    <m/>
    <n v="108"/>
    <n v="5579143.5000000047"/>
    <n v="0"/>
    <n v="263"/>
    <n v="0"/>
    <n v="263"/>
    <n v="108"/>
    <x v="0"/>
    <s v=""/>
    <n v="263"/>
    <n v="2018"/>
    <n v="108"/>
    <n v="2021"/>
    <x v="0"/>
    <n v="138.6848635235732"/>
    <n v="263"/>
    <s v="Decreasing"/>
    <m/>
    <m/>
    <m/>
    <m/>
    <x v="0"/>
    <n v="0.5162146353718905"/>
    <n v="0.24857733722671424"/>
  </r>
  <r>
    <x v="5"/>
    <s v="CAF"/>
    <n v="4773307.5"/>
    <x v="21"/>
    <n v="0"/>
    <n v="4802428.5000000102"/>
    <n v="0"/>
    <m/>
    <n v="0"/>
    <m/>
    <n v="38"/>
    <m/>
    <n v="0"/>
    <m/>
    <n v="0"/>
    <n v="5094779.9999999991"/>
    <n v="72"/>
    <n v="72"/>
    <m/>
    <n v="0"/>
    <m/>
    <n v="0"/>
    <m/>
    <n v="4"/>
    <n v="5579143.5000000047"/>
    <n v="0"/>
    <n v="72"/>
    <n v="38"/>
    <n v="72"/>
    <n v="4"/>
    <x v="147"/>
    <n v="2015"/>
    <n v="72"/>
    <n v="2018"/>
    <n v="4"/>
    <n v="2021"/>
    <x v="0"/>
    <n v="5.1364764267990077"/>
    <n v="72"/>
    <s v="Decreasing"/>
    <m/>
    <m/>
    <m/>
    <m/>
    <x v="165"/>
    <n v="0.14132111690789398"/>
    <n v="9.2065680454338616E-3"/>
  </r>
  <r>
    <x v="5"/>
    <s v="CAF"/>
    <n v="4773308.5"/>
    <x v="22"/>
    <n v="0"/>
    <n v="4802428.5000000102"/>
    <n v="0"/>
    <m/>
    <n v="0"/>
    <m/>
    <n v="322"/>
    <m/>
    <n v="0"/>
    <m/>
    <n v="0"/>
    <n v="5094779.9999999991"/>
    <n v="1195"/>
    <n v="1195"/>
    <m/>
    <n v="0"/>
    <m/>
    <n v="0"/>
    <m/>
    <n v="505"/>
    <n v="5579143.5000000047"/>
    <n v="0"/>
    <n v="751"/>
    <n v="322"/>
    <n v="1195"/>
    <n v="505"/>
    <x v="152"/>
    <n v="2015"/>
    <n v="1195"/>
    <n v="2018"/>
    <n v="505"/>
    <n v="2021"/>
    <x v="0"/>
    <n v="648.48014888337468"/>
    <n v="1195"/>
    <s v="Decreasing"/>
    <m/>
    <m/>
    <m/>
    <m/>
    <x v="166"/>
    <n v="2.3455379820129627"/>
    <n v="1.162329215736025"/>
  </r>
  <r>
    <x v="5"/>
    <s v="CAF"/>
    <n v="4773309.5"/>
    <x v="23"/>
    <n v="0"/>
    <n v="4802428.5000000102"/>
    <n v="0"/>
    <m/>
    <n v="0"/>
    <m/>
    <n v="0"/>
    <m/>
    <n v="0"/>
    <m/>
    <n v="0"/>
    <n v="5094779.9999999991"/>
    <n v="0"/>
    <n v="426"/>
    <m/>
    <n v="0"/>
    <m/>
    <n v="0"/>
    <m/>
    <n v="249"/>
    <n v="5579143.5000000047"/>
    <n v="0"/>
    <n v="426"/>
    <n v="0"/>
    <n v="0"/>
    <n v="249"/>
    <x v="0"/>
    <s v=""/>
    <n v="426"/>
    <s v="2018 (triag)"/>
    <n v="249"/>
    <n v="2021"/>
    <x v="0"/>
    <n v="319.74565756823824"/>
    <n v="426"/>
    <s v="Decreasing"/>
    <m/>
    <m/>
    <m/>
    <m/>
    <x v="0"/>
    <n v="0.83614994170503942"/>
    <n v="0.57310886082825796"/>
  </r>
  <r>
    <x v="5"/>
    <s v="CAF"/>
    <n v="4773310.5"/>
    <x v="24"/>
    <n v="0"/>
    <n v="4802428.5000000102"/>
    <n v="0"/>
    <m/>
    <n v="0"/>
    <m/>
    <n v="0"/>
    <m/>
    <n v="0"/>
    <m/>
    <n v="0"/>
    <n v="5094779.9999999991"/>
    <n v="0"/>
    <n v="325"/>
    <m/>
    <n v="0"/>
    <m/>
    <n v="0"/>
    <m/>
    <n v="1"/>
    <n v="5579143.5000000047"/>
    <n v="0"/>
    <n v="325"/>
    <n v="0"/>
    <n v="0"/>
    <n v="1"/>
    <x v="0"/>
    <s v=""/>
    <n v="325"/>
    <s v="2018 (triag)"/>
    <n v="1"/>
    <n v="2021"/>
    <x v="0"/>
    <n v="1.2841191066997519"/>
    <n v="325"/>
    <s v="Decreasing"/>
    <m/>
    <m/>
    <m/>
    <m/>
    <x v="0"/>
    <n v="0.63790781937591035"/>
    <n v="2.3016420113584654E-3"/>
  </r>
  <r>
    <x v="5"/>
    <s v="CAF"/>
    <n v="4773311.5"/>
    <x v="25"/>
    <n v="0"/>
    <n v="4802428.5000000102"/>
    <n v="514"/>
    <m/>
    <n v="0"/>
    <m/>
    <n v="605"/>
    <m/>
    <n v="0"/>
    <m/>
    <n v="0"/>
    <n v="5094779.9999999991"/>
    <n v="0"/>
    <n v="444"/>
    <m/>
    <n v="0"/>
    <m/>
    <n v="0"/>
    <m/>
    <n v="537"/>
    <n v="5579143.5000000047"/>
    <n v="0"/>
    <n v="444"/>
    <n v="605"/>
    <n v="0"/>
    <n v="537"/>
    <x v="153"/>
    <n v="2013"/>
    <n v="444"/>
    <s v="2018 (triag)"/>
    <n v="537"/>
    <n v="2021"/>
    <x v="1"/>
    <n v="537"/>
    <n v="537"/>
    <s v="Increasing"/>
    <m/>
    <m/>
    <m/>
    <m/>
    <x v="167"/>
    <n v="0.87148022093201294"/>
    <n v="0.96251333201951084"/>
  </r>
  <r>
    <x v="5"/>
    <s v="CAF"/>
    <n v="4773312.5"/>
    <x v="26"/>
    <n v="0"/>
    <n v="4802428.5000000102"/>
    <n v="241"/>
    <m/>
    <n v="0"/>
    <m/>
    <n v="0"/>
    <m/>
    <n v="0"/>
    <m/>
    <n v="0"/>
    <n v="5094779.9999999991"/>
    <n v="0"/>
    <n v="276"/>
    <m/>
    <n v="0"/>
    <m/>
    <n v="0"/>
    <m/>
    <n v="130"/>
    <n v="5579143.5000000047"/>
    <n v="0"/>
    <n v="276"/>
    <n v="241"/>
    <n v="0"/>
    <n v="130"/>
    <x v="154"/>
    <n v="2013"/>
    <n v="276"/>
    <s v="2018 (triag)"/>
    <n v="130"/>
    <n v="2021"/>
    <x v="0"/>
    <n v="166.93548387096774"/>
    <n v="276"/>
    <s v="Decreasing"/>
    <m/>
    <m/>
    <m/>
    <m/>
    <x v="168"/>
    <n v="0.54173094814692691"/>
    <n v="0.2992134614766005"/>
  </r>
  <r>
    <x v="5"/>
    <s v="CAF"/>
    <n v="4773313.5"/>
    <x v="27"/>
    <n v="0"/>
    <n v="4802428.5000000102"/>
    <n v="273"/>
    <m/>
    <n v="0"/>
    <m/>
    <n v="0"/>
    <m/>
    <n v="0"/>
    <m/>
    <n v="0"/>
    <n v="5094779.9999999991"/>
    <n v="0"/>
    <n v="168"/>
    <m/>
    <n v="0"/>
    <m/>
    <n v="0"/>
    <m/>
    <n v="197"/>
    <n v="5579143.5000000047"/>
    <n v="0"/>
    <n v="168"/>
    <n v="273"/>
    <n v="0"/>
    <n v="197"/>
    <x v="109"/>
    <n v="2013"/>
    <n v="168"/>
    <s v="2018 (triag)"/>
    <n v="197"/>
    <n v="2021"/>
    <x v="1"/>
    <n v="197"/>
    <n v="197"/>
    <s v="Increasing"/>
    <m/>
    <m/>
    <m/>
    <m/>
    <x v="169"/>
    <n v="0.32974927278508598"/>
    <n v="0.35310079405557471"/>
  </r>
  <r>
    <x v="5"/>
    <s v="CAF"/>
    <n v="4773314.5"/>
    <x v="28"/>
    <n v="0"/>
    <n v="4802428.5000000102"/>
    <n v="0"/>
    <m/>
    <n v="0"/>
    <m/>
    <n v="20"/>
    <m/>
    <n v="0"/>
    <m/>
    <n v="0"/>
    <n v="5094779.9999999991"/>
    <n v="36"/>
    <n v="36"/>
    <m/>
    <n v="0"/>
    <m/>
    <n v="0"/>
    <m/>
    <n v="2"/>
    <n v="5579143.5000000047"/>
    <n v="0"/>
    <n v="36"/>
    <n v="20"/>
    <n v="36"/>
    <n v="2"/>
    <x v="51"/>
    <n v="2015"/>
    <n v="36"/>
    <n v="2018"/>
    <n v="2"/>
    <n v="2021"/>
    <x v="0"/>
    <n v="2.5682382133995039"/>
    <n v="36"/>
    <s v="Decreasing"/>
    <m/>
    <m/>
    <m/>
    <m/>
    <x v="170"/>
    <n v="7.0660558453946989E-2"/>
    <n v="4.6032840227169308E-3"/>
  </r>
  <r>
    <x v="5"/>
    <s v="CAF"/>
    <n v="4773315.5"/>
    <x v="29"/>
    <n v="0"/>
    <n v="4802428.5000000102"/>
    <n v="0"/>
    <m/>
    <n v="0"/>
    <m/>
    <n v="0"/>
    <m/>
    <n v="0"/>
    <m/>
    <n v="0"/>
    <n v="5094779.9999999991"/>
    <n v="0"/>
    <n v="0"/>
    <m/>
    <n v="0"/>
    <m/>
    <n v="0"/>
    <m/>
    <n v="0"/>
    <n v="5579143.5000000047"/>
    <n v="0"/>
    <n v="0"/>
    <n v="0"/>
    <n v="0"/>
    <n v="0"/>
    <x v="0"/>
    <s v=""/>
    <m/>
    <s v=""/>
    <n v="0"/>
    <s v=""/>
    <x v="1"/>
    <m/>
    <n v="0"/>
    <s v="No change"/>
    <m/>
    <m/>
    <m/>
    <m/>
    <x v="0"/>
    <n v="0"/>
    <n v="0"/>
  </r>
  <r>
    <x v="5"/>
    <s v="CAF"/>
    <n v="4773316.5"/>
    <x v="30"/>
    <n v="0"/>
    <n v="4802428.5000000102"/>
    <n v="0"/>
    <m/>
    <n v="0"/>
    <m/>
    <n v="0"/>
    <m/>
    <n v="0"/>
    <m/>
    <n v="0"/>
    <n v="5094779.9999999991"/>
    <n v="10"/>
    <n v="10"/>
    <m/>
    <n v="0"/>
    <m/>
    <n v="0"/>
    <m/>
    <n v="2"/>
    <n v="5579143.5000000047"/>
    <n v="0"/>
    <n v="3"/>
    <n v="0"/>
    <n v="10"/>
    <n v="2"/>
    <x v="0"/>
    <s v=""/>
    <n v="10"/>
    <n v="2018"/>
    <n v="2"/>
    <n v="2021"/>
    <x v="0"/>
    <n v="2.5682382133995039"/>
    <n v="10"/>
    <s v="Decreasing"/>
    <m/>
    <m/>
    <m/>
    <m/>
    <x v="0"/>
    <n v="1.9627932903874164E-2"/>
    <n v="4.6032840227169308E-3"/>
  </r>
  <r>
    <x v="5"/>
    <s v="CAF"/>
    <n v="4773317.5"/>
    <x v="31"/>
    <n v="0"/>
    <n v="4802428.5000000102"/>
    <n v="0"/>
    <m/>
    <n v="0"/>
    <m/>
    <n v="0"/>
    <m/>
    <n v="0"/>
    <m/>
    <n v="0"/>
    <n v="5094779.9999999991"/>
    <n v="0"/>
    <n v="7"/>
    <m/>
    <n v="0"/>
    <m/>
    <n v="0"/>
    <m/>
    <n v="0"/>
    <n v="5579143.5000000047"/>
    <n v="0"/>
    <n v="7"/>
    <n v="0"/>
    <n v="0"/>
    <n v="0"/>
    <x v="0"/>
    <s v=""/>
    <n v="7"/>
    <s v="2018 (triag)"/>
    <n v="7"/>
    <s v="2018 (triag)"/>
    <x v="1"/>
    <n v="7"/>
    <n v="7"/>
    <s v="No change"/>
    <m/>
    <m/>
    <m/>
    <m/>
    <x v="0"/>
    <n v="1.3739553032711916E-2"/>
    <n v="1.2546728722786919E-2"/>
  </r>
  <r>
    <x v="5"/>
    <s v="CAF"/>
    <n v="4773318.5"/>
    <x v="32"/>
    <n v="0"/>
    <n v="4802428.5000000102"/>
    <n v="0"/>
    <m/>
    <n v="0"/>
    <m/>
    <n v="0"/>
    <m/>
    <n v="0"/>
    <m/>
    <n v="0"/>
    <n v="5094779.9999999991"/>
    <n v="0"/>
    <n v="0"/>
    <m/>
    <n v="0"/>
    <m/>
    <n v="0"/>
    <m/>
    <n v="0"/>
    <n v="5579143.5000000047"/>
    <n v="0"/>
    <n v="0"/>
    <n v="0"/>
    <n v="0"/>
    <n v="0"/>
    <x v="0"/>
    <s v=""/>
    <m/>
    <s v=""/>
    <n v="0"/>
    <s v=""/>
    <x v="1"/>
    <m/>
    <n v="0"/>
    <s v="No change"/>
    <m/>
    <m/>
    <m/>
    <m/>
    <x v="0"/>
    <n v="0"/>
    <n v="0"/>
  </r>
  <r>
    <x v="6"/>
    <s v="CIV"/>
    <n v="22010711.499999996"/>
    <x v="19"/>
    <n v="0"/>
    <n v="22469267.5"/>
    <n v="0"/>
    <n v="22995555.5"/>
    <n v="5240"/>
    <n v="23596741"/>
    <n v="0"/>
    <n v="24213621.500000015"/>
    <n v="0"/>
    <n v="24848015.5"/>
    <n v="0"/>
    <n v="25493988.499999996"/>
    <n v="5602"/>
    <n v="5602"/>
    <n v="26147550.999999996"/>
    <n v="4173"/>
    <n v="26811790.500000004"/>
    <n v="4435"/>
    <n v="27478249.000000004"/>
    <n v="4951"/>
    <n v="28160542.500000004"/>
    <n v="4930"/>
    <n v="5602"/>
    <n v="5240"/>
    <n v="5602"/>
    <n v="4951"/>
    <x v="155"/>
    <n v="2014"/>
    <n v="5602"/>
    <n v="2018"/>
    <n v="4930"/>
    <n v="2022"/>
    <x v="0"/>
    <n v="6327.5519796794806"/>
    <n v="6327.5519796794806"/>
    <s v="Increasing"/>
    <m/>
    <m/>
    <m/>
    <m/>
    <x v="171"/>
    <n v="2.1973807668423482"/>
    <n v="2.2469567053544797"/>
  </r>
  <r>
    <x v="6"/>
    <s v="CIV"/>
    <n v="22010712.5"/>
    <x v="20"/>
    <n v="0"/>
    <n v="22469267.5"/>
    <n v="0"/>
    <m/>
    <n v="0"/>
    <m/>
    <n v="0"/>
    <m/>
    <n v="0"/>
    <m/>
    <n v="0"/>
    <n v="25493988.499999996"/>
    <n v="4246"/>
    <n v="4246"/>
    <m/>
    <n v="0"/>
    <m/>
    <n v="4435"/>
    <m/>
    <n v="4623"/>
    <n v="28160542.500000004"/>
    <n v="4412"/>
    <n v="4246"/>
    <n v="0"/>
    <n v="4246"/>
    <n v="4623"/>
    <x v="0"/>
    <s v=""/>
    <n v="4246"/>
    <n v="2018"/>
    <n v="4412"/>
    <n v="2022"/>
    <x v="1"/>
    <n v="4412"/>
    <n v="4412"/>
    <s v="Increasing"/>
    <m/>
    <m/>
    <m/>
    <m/>
    <x v="0"/>
    <n v="1.6654906704770815"/>
    <n v="1.5667311806936957"/>
  </r>
  <r>
    <x v="6"/>
    <s v="CIV"/>
    <n v="22010713.5"/>
    <x v="21"/>
    <n v="0"/>
    <n v="22469267.5"/>
    <n v="0"/>
    <m/>
    <n v="0"/>
    <m/>
    <n v="0"/>
    <m/>
    <n v="0"/>
    <m/>
    <n v="0"/>
    <n v="25493988.499999996"/>
    <n v="1356"/>
    <n v="1356"/>
    <m/>
    <n v="0"/>
    <m/>
    <n v="0"/>
    <m/>
    <n v="328"/>
    <n v="28160542.500000004"/>
    <n v="518"/>
    <n v="1356"/>
    <n v="0"/>
    <n v="1356"/>
    <n v="518"/>
    <x v="0"/>
    <s v=""/>
    <n v="1356"/>
    <n v="2018"/>
    <n v="518"/>
    <n v="2022"/>
    <x v="0"/>
    <n v="664.84217555252962"/>
    <n v="1356"/>
    <s v="Decreasing"/>
    <m/>
    <m/>
    <m/>
    <m/>
    <x v="0"/>
    <n v="0.53189009636526674"/>
    <n v="0.23608997431513601"/>
  </r>
  <r>
    <x v="6"/>
    <s v="CIV"/>
    <n v="22010714.5"/>
    <x v="22"/>
    <n v="0"/>
    <n v="22469267.5"/>
    <n v="8780"/>
    <m/>
    <n v="8868"/>
    <m/>
    <n v="10891"/>
    <m/>
    <n v="12132"/>
    <m/>
    <n v="13583"/>
    <n v="25493988.499999996"/>
    <n v="15163"/>
    <n v="15163"/>
    <m/>
    <n v="11259"/>
    <m/>
    <n v="13396"/>
    <m/>
    <n v="12887"/>
    <n v="28160542.500000004"/>
    <n v="14979"/>
    <n v="11730"/>
    <n v="10891"/>
    <n v="15163"/>
    <n v="14979"/>
    <x v="156"/>
    <n v="2013"/>
    <n v="15163"/>
    <n v="2018"/>
    <n v="14979"/>
    <n v="2022"/>
    <x v="0"/>
    <n v="19225.233489577877"/>
    <n v="19225.233489577877"/>
    <s v="Increasing"/>
    <m/>
    <m/>
    <m/>
    <m/>
    <x v="172"/>
    <n v="5.9476766454178023"/>
    <n v="6.8270110526378796"/>
  </r>
  <r>
    <x v="6"/>
    <s v="CIV"/>
    <n v="22010715.5"/>
    <x v="23"/>
    <n v="0"/>
    <n v="22469267.5"/>
    <n v="7172"/>
    <m/>
    <n v="7245"/>
    <m/>
    <n v="8904"/>
    <m/>
    <n v="9805"/>
    <m/>
    <n v="10813"/>
    <n v="25493988.499999996"/>
    <n v="11568"/>
    <n v="11667"/>
    <m/>
    <n v="11259"/>
    <m/>
    <n v="13396"/>
    <m/>
    <n v="12887"/>
    <n v="28160542.500000004"/>
    <n v="14934"/>
    <n v="11667"/>
    <n v="8904"/>
    <n v="11568"/>
    <n v="14934"/>
    <x v="157"/>
    <n v="2013"/>
    <n v="11667"/>
    <s v="2018 (triag)"/>
    <n v="14934"/>
    <n v="2022"/>
    <x v="1"/>
    <n v="14934"/>
    <n v="14934"/>
    <s v="Increasing"/>
    <m/>
    <m/>
    <m/>
    <m/>
    <x v="173"/>
    <n v="4.5763729751427489"/>
    <n v="5.303164880435097"/>
  </r>
  <r>
    <x v="6"/>
    <s v="CIV"/>
    <n v="22010716.5"/>
    <x v="24"/>
    <n v="0"/>
    <n v="22469267.5"/>
    <n v="1608"/>
    <m/>
    <n v="1623"/>
    <m/>
    <n v="1987"/>
    <m/>
    <n v="2327"/>
    <m/>
    <n v="2770"/>
    <n v="25493988.499999996"/>
    <n v="3595"/>
    <n v="3595"/>
    <m/>
    <n v="0"/>
    <m/>
    <n v="0"/>
    <m/>
    <n v="0"/>
    <n v="28160542.500000004"/>
    <n v="0"/>
    <n v="63"/>
    <n v="1987"/>
    <n v="3595"/>
    <n v="0"/>
    <x v="158"/>
    <n v="2013"/>
    <n v="3595"/>
    <n v="2018"/>
    <n v="3595"/>
    <n v="2018"/>
    <x v="1"/>
    <n v="3595"/>
    <n v="3595"/>
    <s v="No change"/>
    <m/>
    <m/>
    <m/>
    <m/>
    <x v="174"/>
    <n v="1.4101363543017211"/>
    <n v="1.276608928965058"/>
  </r>
  <r>
    <x v="6"/>
    <s v="CIV"/>
    <n v="22010717.5"/>
    <x v="25"/>
    <n v="0"/>
    <n v="22469267.5"/>
    <n v="3851"/>
    <m/>
    <n v="5300"/>
    <m/>
    <n v="0"/>
    <m/>
    <n v="0"/>
    <m/>
    <n v="0"/>
    <n v="25493988.499999996"/>
    <n v="0"/>
    <n v="5460"/>
    <m/>
    <n v="5601"/>
    <m/>
    <n v="6345"/>
    <m/>
    <n v="7074"/>
    <n v="28160542.500000004"/>
    <n v="7425"/>
    <n v="5460"/>
    <n v="5300"/>
    <n v="5601"/>
    <n v="7425"/>
    <x v="159"/>
    <n v="2013"/>
    <n v="5460"/>
    <s v="2018 (triag)"/>
    <n v="7425"/>
    <n v="2022"/>
    <x v="1"/>
    <n v="7425"/>
    <n v="7425"/>
    <s v="Increasing"/>
    <m/>
    <m/>
    <m/>
    <m/>
    <x v="175"/>
    <n v="2.1416813614707642"/>
    <n v="2.6366679548165664"/>
  </r>
  <r>
    <x v="6"/>
    <s v="CIV"/>
    <n v="22010718.5"/>
    <x v="26"/>
    <n v="0"/>
    <n v="22469267.5"/>
    <n v="2627"/>
    <m/>
    <n v="0"/>
    <m/>
    <n v="0"/>
    <m/>
    <n v="0"/>
    <m/>
    <n v="0"/>
    <n v="25493988.499999996"/>
    <n v="0"/>
    <n v="5456"/>
    <m/>
    <n v="5601"/>
    <m/>
    <n v="6345"/>
    <m/>
    <n v="7074"/>
    <n v="28160542.500000004"/>
    <n v="7421"/>
    <n v="5456"/>
    <n v="2627"/>
    <n v="5601"/>
    <n v="7421"/>
    <x v="160"/>
    <n v="2013"/>
    <n v="5456"/>
    <s v="2018 (triag)"/>
    <n v="7421"/>
    <n v="2022"/>
    <x v="1"/>
    <n v="7421"/>
    <n v="7421"/>
    <s v="Increasing"/>
    <m/>
    <m/>
    <m/>
    <m/>
    <x v="176"/>
    <n v="2.1401123641363533"/>
    <n v="2.6352475276355203"/>
  </r>
  <r>
    <x v="6"/>
    <s v="CIV"/>
    <n v="22010719.5"/>
    <x v="27"/>
    <n v="0"/>
    <n v="22469267.5"/>
    <n v="1224"/>
    <m/>
    <n v="0"/>
    <m/>
    <n v="0"/>
    <m/>
    <n v="0"/>
    <m/>
    <n v="0"/>
    <n v="25493988.499999996"/>
    <n v="0"/>
    <n v="4"/>
    <m/>
    <n v="0"/>
    <m/>
    <n v="0"/>
    <m/>
    <n v="0"/>
    <n v="28160542.500000004"/>
    <n v="4"/>
    <n v="4"/>
    <n v="1224"/>
    <n v="0"/>
    <n v="4"/>
    <x v="161"/>
    <n v="2013"/>
    <n v="4"/>
    <s v="2018 (triag)"/>
    <n v="4"/>
    <n v="2022"/>
    <x v="1"/>
    <n v="4"/>
    <n v="4"/>
    <s v="No change"/>
    <m/>
    <m/>
    <m/>
    <m/>
    <x v="177"/>
    <n v="1.5689973344108162E-3"/>
    <n v="1.4204271810459616E-3"/>
  </r>
  <r>
    <x v="6"/>
    <s v="CIV"/>
    <n v="22010720.5"/>
    <x v="28"/>
    <n v="0"/>
    <n v="22469267.5"/>
    <n v="0"/>
    <m/>
    <n v="2430"/>
    <m/>
    <n v="0"/>
    <m/>
    <n v="0"/>
    <m/>
    <n v="0"/>
    <n v="25493988.499999996"/>
    <n v="2495"/>
    <n v="2495"/>
    <m/>
    <n v="944"/>
    <m/>
    <n v="1029"/>
    <m/>
    <n v="1117"/>
    <n v="28160542.500000004"/>
    <n v="1162"/>
    <n v="2278"/>
    <n v="2430"/>
    <n v="2495"/>
    <n v="1162"/>
    <x v="162"/>
    <n v="2014"/>
    <n v="2495"/>
    <n v="2018"/>
    <n v="1162"/>
    <n v="2022"/>
    <x v="0"/>
    <n v="1491.4027181313502"/>
    <n v="2495"/>
    <s v="Decreasing"/>
    <m/>
    <m/>
    <m/>
    <m/>
    <x v="178"/>
    <n v="0.97866208733874671"/>
    <n v="0.52960723967989964"/>
  </r>
  <r>
    <x v="6"/>
    <s v="CIV"/>
    <n v="22010721.5"/>
    <x v="29"/>
    <n v="0"/>
    <n v="22469267.5"/>
    <n v="0"/>
    <m/>
    <n v="2310"/>
    <m/>
    <n v="0"/>
    <m/>
    <n v="0"/>
    <m/>
    <n v="0"/>
    <n v="25493988.499999996"/>
    <n v="0"/>
    <n v="217"/>
    <m/>
    <n v="0"/>
    <m/>
    <n v="0"/>
    <m/>
    <n v="215"/>
    <n v="28160542.500000004"/>
    <n v="200"/>
    <n v="217"/>
    <n v="2310"/>
    <n v="0"/>
    <n v="215"/>
    <x v="163"/>
    <n v="2014"/>
    <n v="217"/>
    <s v="2018 (triag)"/>
    <n v="200"/>
    <n v="2022"/>
    <x v="0"/>
    <n v="256.69582067665237"/>
    <n v="256.69582067665237"/>
    <s v="Increasing"/>
    <m/>
    <m/>
    <m/>
    <m/>
    <x v="179"/>
    <n v="8.5118105391786783E-2"/>
    <n v="9.1154430237504247E-2"/>
  </r>
  <r>
    <x v="6"/>
    <s v="CIV"/>
    <n v="22010722.5"/>
    <x v="30"/>
    <n v="0"/>
    <n v="22469267.5"/>
    <n v="0"/>
    <m/>
    <n v="490"/>
    <m/>
    <n v="0"/>
    <m/>
    <n v="0"/>
    <m/>
    <n v="0"/>
    <n v="25493988.499999996"/>
    <n v="506"/>
    <n v="506"/>
    <m/>
    <n v="373"/>
    <m/>
    <n v="397"/>
    <m/>
    <n v="416"/>
    <n v="28160542.500000004"/>
    <n v="418"/>
    <n v="506"/>
    <n v="490"/>
    <n v="506"/>
    <n v="418"/>
    <x v="164"/>
    <n v="2014"/>
    <n v="506"/>
    <n v="2018"/>
    <n v="418"/>
    <n v="2022"/>
    <x v="0"/>
    <n v="536.49426521420344"/>
    <n v="536.49426521420344"/>
    <s v="Increasing"/>
    <m/>
    <m/>
    <m/>
    <m/>
    <x v="180"/>
    <n v="0.19847816280296826"/>
    <n v="0.19051275919638386"/>
  </r>
  <r>
    <x v="6"/>
    <s v="CIV"/>
    <n v="22010723.5"/>
    <x v="31"/>
    <n v="0"/>
    <n v="22469267.5"/>
    <n v="0"/>
    <m/>
    <n v="120"/>
    <m/>
    <n v="0"/>
    <m/>
    <n v="0"/>
    <m/>
    <n v="0"/>
    <n v="25493988.499999996"/>
    <n v="0"/>
    <n v="0"/>
    <m/>
    <n v="0"/>
    <m/>
    <n v="0"/>
    <m/>
    <n v="0"/>
    <n v="28160542.500000004"/>
    <n v="28"/>
    <n v="0"/>
    <n v="120"/>
    <n v="0"/>
    <n v="28"/>
    <x v="165"/>
    <n v="2014"/>
    <m/>
    <s v=""/>
    <n v="28"/>
    <n v="2022"/>
    <x v="1"/>
    <n v="28"/>
    <n v="28"/>
    <s v="Increasing"/>
    <m/>
    <m/>
    <m/>
    <m/>
    <x v="181"/>
    <n v="0"/>
    <n v="9.9429902673217312E-3"/>
  </r>
  <r>
    <x v="6"/>
    <s v="CIV"/>
    <n v="22010724.5"/>
    <x v="32"/>
    <n v="0"/>
    <n v="22469267.5"/>
    <n v="0"/>
    <m/>
    <n v="0"/>
    <m/>
    <n v="0"/>
    <m/>
    <n v="0"/>
    <m/>
    <n v="0"/>
    <n v="25493988.499999996"/>
    <n v="0"/>
    <n v="0"/>
    <m/>
    <n v="0"/>
    <m/>
    <n v="0"/>
    <m/>
    <n v="0"/>
    <n v="28160542.500000004"/>
    <n v="0"/>
    <n v="0"/>
    <n v="0"/>
    <n v="0"/>
    <n v="0"/>
    <x v="0"/>
    <s v=""/>
    <m/>
    <s v=""/>
    <n v="0"/>
    <s v=""/>
    <x v="1"/>
    <m/>
    <n v="0"/>
    <s v="No change"/>
    <m/>
    <m/>
    <m/>
    <m/>
    <x v="0"/>
    <n v="0"/>
    <n v="0"/>
  </r>
  <r>
    <x v="7"/>
    <s v="CMR"/>
    <n v="21032684.000000004"/>
    <x v="19"/>
    <n v="0"/>
    <n v="21632850.000000004"/>
    <n v="1842"/>
    <n v="22299584.999999989"/>
    <n v="0"/>
    <n v="23012646.5"/>
    <n v="0"/>
    <n v="23711630.000000004"/>
    <n v="0"/>
    <n v="24393181.5"/>
    <n v="0"/>
    <n v="25076746.500000015"/>
    <n v="3259"/>
    <n v="3259"/>
    <n v="25782340.999999996"/>
    <n v="0"/>
    <n v="26491086.500000011"/>
    <n v="2562"/>
    <n v="27198627.999999985"/>
    <n v="3378"/>
    <n v="27914536.499999989"/>
    <n v="3759"/>
    <n v="3259"/>
    <n v="1842"/>
    <n v="3259"/>
    <n v="3759"/>
    <x v="166"/>
    <n v="2013"/>
    <n v="3259"/>
    <n v="2018"/>
    <n v="3759"/>
    <n v="2022"/>
    <x v="1"/>
    <n v="3759"/>
    <n v="3759"/>
    <s v="Increasing"/>
    <m/>
    <m/>
    <m/>
    <m/>
    <x v="182"/>
    <n v="1.2996103780847321"/>
    <n v="1.3466102150755759"/>
  </r>
  <r>
    <x v="7"/>
    <s v="CMR"/>
    <n v="21032685"/>
    <x v="20"/>
    <n v="0"/>
    <n v="21632850.000000004"/>
    <n v="0"/>
    <m/>
    <n v="0"/>
    <m/>
    <n v="0"/>
    <m/>
    <n v="0"/>
    <m/>
    <n v="0"/>
    <n v="25076746.500000015"/>
    <n v="2400"/>
    <n v="2400"/>
    <m/>
    <n v="0"/>
    <m/>
    <n v="1643"/>
    <m/>
    <n v="2477"/>
    <n v="27914536.499999989"/>
    <n v="2467"/>
    <n v="2400"/>
    <n v="0"/>
    <n v="2400"/>
    <n v="2477"/>
    <x v="0"/>
    <s v=""/>
    <n v="2400"/>
    <n v="2018"/>
    <n v="2467"/>
    <n v="2022"/>
    <x v="1"/>
    <n v="2467"/>
    <n v="2467"/>
    <s v="Increasing"/>
    <m/>
    <m/>
    <m/>
    <m/>
    <x v="0"/>
    <n v="0.95706195379053605"/>
    <n v="0.88376892806369933"/>
  </r>
  <r>
    <x v="7"/>
    <s v="CMR"/>
    <n v="21032686"/>
    <x v="21"/>
    <n v="0"/>
    <n v="21632850.000000004"/>
    <n v="0"/>
    <m/>
    <n v="0"/>
    <m/>
    <n v="0"/>
    <m/>
    <n v="0"/>
    <m/>
    <n v="0"/>
    <n v="25076746.500000015"/>
    <n v="859"/>
    <n v="859"/>
    <m/>
    <n v="0"/>
    <m/>
    <n v="919"/>
    <m/>
    <n v="897"/>
    <n v="27914536.499999989"/>
    <n v="1289"/>
    <n v="859"/>
    <n v="0"/>
    <n v="859"/>
    <n v="1289"/>
    <x v="0"/>
    <s v=""/>
    <n v="859"/>
    <n v="2018"/>
    <n v="1289"/>
    <n v="2022"/>
    <x v="1"/>
    <n v="1289"/>
    <n v="1289"/>
    <s v="Increasing"/>
    <m/>
    <m/>
    <m/>
    <m/>
    <x v="0"/>
    <n v="0.34254842429419602"/>
    <n v="0.461766578141106"/>
  </r>
  <r>
    <x v="7"/>
    <s v="CMR"/>
    <n v="21032687"/>
    <x v="22"/>
    <n v="0"/>
    <n v="21632850.000000004"/>
    <n v="18954"/>
    <m/>
    <n v="0"/>
    <m/>
    <n v="0"/>
    <m/>
    <n v="0"/>
    <m/>
    <n v="0"/>
    <n v="25076746.500000015"/>
    <n v="9156"/>
    <n v="9925"/>
    <m/>
    <n v="0"/>
    <m/>
    <n v="11478"/>
    <m/>
    <n v="4543"/>
    <n v="27914536.499999989"/>
    <n v="16473"/>
    <n v="9925"/>
    <n v="18954"/>
    <n v="9156"/>
    <n v="16473"/>
    <x v="167"/>
    <n v="2013"/>
    <n v="9925"/>
    <s v="2018 (triag)"/>
    <n v="16473"/>
    <n v="2022"/>
    <x v="1"/>
    <n v="16473"/>
    <n v="16473"/>
    <s v="Increasing"/>
    <m/>
    <m/>
    <m/>
    <m/>
    <x v="183"/>
    <n v="3.957849954737946"/>
    <n v="5.9012264094014268"/>
  </r>
  <r>
    <x v="7"/>
    <s v="CMR"/>
    <n v="21032688"/>
    <x v="23"/>
    <n v="0"/>
    <n v="21632850.000000004"/>
    <n v="0"/>
    <m/>
    <n v="0"/>
    <m/>
    <n v="0"/>
    <m/>
    <n v="0"/>
    <m/>
    <n v="0"/>
    <n v="25076746.500000015"/>
    <n v="0"/>
    <n v="9925"/>
    <m/>
    <n v="0"/>
    <m/>
    <n v="8841"/>
    <m/>
    <n v="3519"/>
    <n v="27914536.499999989"/>
    <n v="11485"/>
    <n v="9925"/>
    <n v="0"/>
    <n v="0"/>
    <n v="11485"/>
    <x v="0"/>
    <s v=""/>
    <n v="9925"/>
    <s v="2018 (triag)"/>
    <n v="11485"/>
    <n v="2022"/>
    <x v="1"/>
    <n v="11485"/>
    <n v="11485"/>
    <s v="Increasing"/>
    <m/>
    <m/>
    <m/>
    <m/>
    <x v="0"/>
    <n v="3.957849954737946"/>
    <n v="4.114343793600157"/>
  </r>
  <r>
    <x v="7"/>
    <s v="CMR"/>
    <n v="21032689"/>
    <x v="24"/>
    <n v="0"/>
    <n v="21632850.000000004"/>
    <n v="0"/>
    <m/>
    <n v="0"/>
    <m/>
    <n v="0"/>
    <m/>
    <n v="0"/>
    <m/>
    <n v="0"/>
    <n v="25076746.500000015"/>
    <n v="0"/>
    <n v="0"/>
    <m/>
    <n v="0"/>
    <m/>
    <n v="1202"/>
    <m/>
    <n v="43"/>
    <n v="27914536.499999989"/>
    <n v="4925"/>
    <n v="0"/>
    <n v="0"/>
    <n v="0"/>
    <n v="4925"/>
    <x v="0"/>
    <s v=""/>
    <m/>
    <s v=""/>
    <n v="4925"/>
    <n v="2022"/>
    <x v="1"/>
    <n v="4925"/>
    <n v="4925"/>
    <s v="Increasing"/>
    <m/>
    <m/>
    <m/>
    <m/>
    <x v="0"/>
    <n v="0"/>
    <n v="1.7643137295150868"/>
  </r>
  <r>
    <x v="7"/>
    <s v="CMR"/>
    <n v="21032690"/>
    <x v="25"/>
    <n v="0"/>
    <n v="21632850.000000004"/>
    <n v="127"/>
    <m/>
    <n v="0"/>
    <m/>
    <n v="0"/>
    <m/>
    <n v="0"/>
    <m/>
    <n v="0"/>
    <n v="25076746.500000015"/>
    <n v="0"/>
    <n v="690"/>
    <m/>
    <n v="0"/>
    <m/>
    <n v="1258"/>
    <m/>
    <n v="704"/>
    <n v="27914536.499999989"/>
    <n v="1674"/>
    <n v="690"/>
    <n v="127"/>
    <n v="0"/>
    <n v="1674"/>
    <x v="52"/>
    <n v="2013"/>
    <n v="690"/>
    <s v="2018 (triag)"/>
    <n v="1674"/>
    <n v="2022"/>
    <x v="1"/>
    <n v="1674"/>
    <n v="1674"/>
    <s v="Increasing"/>
    <m/>
    <m/>
    <m/>
    <m/>
    <x v="184"/>
    <n v="0.27515531171477908"/>
    <n v="0.59968754989000106"/>
  </r>
  <r>
    <x v="7"/>
    <s v="CMR"/>
    <n v="21032691"/>
    <x v="26"/>
    <n v="0"/>
    <n v="21632850.000000004"/>
    <n v="127"/>
    <m/>
    <n v="0"/>
    <m/>
    <n v="0"/>
    <m/>
    <n v="0"/>
    <m/>
    <n v="0"/>
    <n v="25076746.500000015"/>
    <n v="0"/>
    <n v="690"/>
    <m/>
    <n v="0"/>
    <m/>
    <n v="998"/>
    <m/>
    <n v="704"/>
    <n v="27914536.499999989"/>
    <n v="1578"/>
    <n v="690"/>
    <n v="127"/>
    <n v="0"/>
    <n v="1578"/>
    <x v="52"/>
    <n v="2013"/>
    <n v="690"/>
    <s v="2018 (triag)"/>
    <n v="1578"/>
    <n v="2022"/>
    <x v="1"/>
    <n v="1578"/>
    <n v="1578"/>
    <s v="Increasing"/>
    <m/>
    <m/>
    <m/>
    <m/>
    <x v="184"/>
    <n v="0.27515531171477908"/>
    <n v="0.56529686602534157"/>
  </r>
  <r>
    <x v="7"/>
    <s v="CMR"/>
    <n v="21032692"/>
    <x v="27"/>
    <n v="0"/>
    <n v="21632850.000000004"/>
    <n v="0"/>
    <m/>
    <n v="0"/>
    <m/>
    <n v="0"/>
    <m/>
    <n v="0"/>
    <m/>
    <n v="0"/>
    <n v="25076746.500000015"/>
    <n v="0"/>
    <n v="0"/>
    <m/>
    <n v="0"/>
    <m/>
    <n v="239"/>
    <m/>
    <n v="0"/>
    <n v="27914536.499999989"/>
    <n v="77"/>
    <n v="0"/>
    <n v="0"/>
    <n v="0"/>
    <n v="239"/>
    <x v="0"/>
    <s v=""/>
    <m/>
    <s v=""/>
    <n v="77"/>
    <n v="2022"/>
    <x v="1"/>
    <n v="77"/>
    <n v="77"/>
    <s v="Increasing"/>
    <m/>
    <m/>
    <m/>
    <m/>
    <x v="0"/>
    <n v="0"/>
    <n v="2.7584194349779025E-2"/>
  </r>
  <r>
    <x v="7"/>
    <s v="CMR"/>
    <n v="21032693"/>
    <x v="28"/>
    <n v="0"/>
    <n v="21632850.000000004"/>
    <n v="0"/>
    <m/>
    <n v="0"/>
    <m/>
    <n v="0"/>
    <m/>
    <n v="199"/>
    <m/>
    <n v="0"/>
    <n v="25076746.500000015"/>
    <n v="14"/>
    <n v="350"/>
    <m/>
    <n v="0"/>
    <m/>
    <n v="337"/>
    <m/>
    <n v="264"/>
    <n v="27914536.499999989"/>
    <n v="602"/>
    <n v="350"/>
    <n v="0"/>
    <n v="199"/>
    <n v="602"/>
    <x v="168"/>
    <n v="2013"/>
    <n v="350"/>
    <s v="2018 (triag)"/>
    <n v="602"/>
    <n v="2022"/>
    <x v="1"/>
    <n v="602"/>
    <n v="602"/>
    <s v="Increasing"/>
    <m/>
    <m/>
    <m/>
    <m/>
    <x v="185"/>
    <n v="0.13957153492778651"/>
    <n v="0.21565824673463599"/>
  </r>
  <r>
    <x v="7"/>
    <s v="CMR"/>
    <n v="21032694"/>
    <x v="29"/>
    <n v="0"/>
    <n v="21632850.000000004"/>
    <n v="0"/>
    <m/>
    <n v="0"/>
    <m/>
    <n v="0"/>
    <m/>
    <n v="0"/>
    <m/>
    <n v="0"/>
    <n v="25076746.500000015"/>
    <n v="0"/>
    <n v="0"/>
    <m/>
    <n v="0"/>
    <m/>
    <n v="54"/>
    <m/>
    <n v="324"/>
    <n v="27914536.499999989"/>
    <n v="369"/>
    <n v="0"/>
    <n v="0"/>
    <n v="0"/>
    <n v="369"/>
    <x v="169"/>
    <n v="2013"/>
    <m/>
    <s v=""/>
    <n v="369"/>
    <n v="2022"/>
    <x v="1"/>
    <n v="369"/>
    <n v="369"/>
    <s v="Increasing"/>
    <m/>
    <m/>
    <m/>
    <m/>
    <x v="186"/>
    <n v="0"/>
    <n v="0.13218919110478519"/>
  </r>
  <r>
    <x v="7"/>
    <s v="CMR"/>
    <n v="21032695"/>
    <x v="30"/>
    <n v="0"/>
    <n v="21632850.000000004"/>
    <n v="0"/>
    <m/>
    <n v="0"/>
    <m/>
    <n v="0"/>
    <m/>
    <n v="88"/>
    <m/>
    <n v="0"/>
    <n v="25076746.500000015"/>
    <n v="0"/>
    <n v="308"/>
    <m/>
    <n v="300"/>
    <m/>
    <n v="179"/>
    <m/>
    <n v="133"/>
    <n v="27914536.499999989"/>
    <n v="317"/>
    <n v="308"/>
    <n v="0"/>
    <n v="300"/>
    <n v="317"/>
    <x v="170"/>
    <n v="2013"/>
    <n v="308"/>
    <s v="2018 (triag)"/>
    <n v="317"/>
    <n v="2022"/>
    <x v="1"/>
    <n v="317"/>
    <n v="317"/>
    <s v="Increasing"/>
    <m/>
    <m/>
    <m/>
    <m/>
    <x v="187"/>
    <n v="0.12282295073645212"/>
    <n v="0.11356090401142793"/>
  </r>
  <r>
    <x v="7"/>
    <s v="CMR"/>
    <n v="21032696"/>
    <x v="31"/>
    <n v="0"/>
    <n v="21632850.000000004"/>
    <n v="0"/>
    <m/>
    <n v="0"/>
    <m/>
    <n v="0"/>
    <m/>
    <n v="0"/>
    <m/>
    <n v="0"/>
    <n v="25076746.500000015"/>
    <n v="0"/>
    <n v="0"/>
    <m/>
    <n v="0"/>
    <m/>
    <n v="45"/>
    <m/>
    <n v="97"/>
    <n v="27914536.499999989"/>
    <n v="88"/>
    <n v="0"/>
    <n v="0"/>
    <n v="0"/>
    <n v="97"/>
    <x v="0"/>
    <s v=""/>
    <m/>
    <s v=""/>
    <n v="88"/>
    <n v="2022"/>
    <x v="1"/>
    <n v="88"/>
    <n v="88"/>
    <s v="Increasing"/>
    <m/>
    <m/>
    <m/>
    <m/>
    <x v="0"/>
    <n v="0"/>
    <n v="3.1524793542604596E-2"/>
  </r>
  <r>
    <x v="7"/>
    <s v="CMR"/>
    <n v="21032697"/>
    <x v="32"/>
    <n v="0"/>
    <n v="21632850.000000004"/>
    <n v="0"/>
    <m/>
    <n v="0"/>
    <m/>
    <n v="0"/>
    <m/>
    <n v="0"/>
    <m/>
    <n v="0"/>
    <n v="25076746.500000015"/>
    <n v="0"/>
    <n v="0"/>
    <m/>
    <n v="0"/>
    <m/>
    <n v="6"/>
    <m/>
    <n v="44"/>
    <n v="27914536.499999989"/>
    <n v="32"/>
    <n v="0"/>
    <n v="0"/>
    <n v="0"/>
    <n v="44"/>
    <x v="0"/>
    <s v=""/>
    <m/>
    <s v=""/>
    <n v="32"/>
    <n v="2022"/>
    <x v="1"/>
    <n v="32"/>
    <n v="32"/>
    <s v="Increasing"/>
    <m/>
    <m/>
    <m/>
    <m/>
    <x v="0"/>
    <n v="0"/>
    <n v="1.1463561288219853E-2"/>
  </r>
  <r>
    <x v="8"/>
    <s v="COD"/>
    <n v="70997869.50000006"/>
    <x v="19"/>
    <n v="0"/>
    <n v="73460021"/>
    <n v="6418"/>
    <n v="76035588.49999994"/>
    <n v="0"/>
    <n v="78656903.50000006"/>
    <n v="0"/>
    <n v="81430976.499999985"/>
    <n v="0"/>
    <n v="84283273.000000045"/>
    <n v="0"/>
    <n v="87087354.999999985"/>
    <n v="0"/>
    <n v="31546"/>
    <n v="89906890.500000015"/>
    <n v="15016"/>
    <n v="92853164.500000015"/>
    <n v="0"/>
    <n v="95894118.499999985"/>
    <n v="16989"/>
    <n v="99010212"/>
    <n v="18493"/>
    <n v="31546"/>
    <n v="6418"/>
    <n v="15016"/>
    <n v="18493"/>
    <x v="171"/>
    <n v="2013"/>
    <n v="31546"/>
    <s v="2018 (triag)"/>
    <n v="18493"/>
    <n v="2022"/>
    <x v="0"/>
    <n v="21289.958719118578"/>
    <n v="31546"/>
    <s v="Decreasing"/>
    <m/>
    <m/>
    <m/>
    <m/>
    <x v="188"/>
    <n v="3.6223398907912641"/>
    <n v="2.1502790761743422"/>
  </r>
  <r>
    <x v="8"/>
    <s v="COD"/>
    <n v="70997870.500000104"/>
    <x v="20"/>
    <n v="0"/>
    <n v="73460021"/>
    <n v="0"/>
    <m/>
    <n v="0"/>
    <m/>
    <n v="0"/>
    <m/>
    <n v="0"/>
    <m/>
    <n v="0"/>
    <n v="87087354.999999985"/>
    <n v="0"/>
    <n v="30768"/>
    <m/>
    <n v="15016"/>
    <m/>
    <n v="0"/>
    <m/>
    <n v="16989"/>
    <n v="99010212"/>
    <n v="18493"/>
    <n v="30768"/>
    <n v="0"/>
    <n v="15016"/>
    <n v="18493"/>
    <x v="0"/>
    <s v=""/>
    <n v="30768"/>
    <s v="2018 (triag)"/>
    <n v="18493"/>
    <n v="2022"/>
    <x v="0"/>
    <n v="21289.958719118578"/>
    <n v="30768"/>
    <s v="Decreasing"/>
    <m/>
    <m/>
    <m/>
    <m/>
    <x v="0"/>
    <n v="3.5330043035524508"/>
    <n v="2.1502790761743422"/>
  </r>
  <r>
    <x v="8"/>
    <s v="COD"/>
    <n v="70997871.500000104"/>
    <x v="21"/>
    <n v="0"/>
    <n v="73460021"/>
    <n v="0"/>
    <m/>
    <n v="0"/>
    <m/>
    <n v="0"/>
    <m/>
    <n v="0"/>
    <m/>
    <n v="0"/>
    <n v="87087354.999999985"/>
    <n v="0"/>
    <n v="778"/>
    <m/>
    <n v="0"/>
    <m/>
    <n v="0"/>
    <m/>
    <n v="0"/>
    <n v="99010212"/>
    <n v="0"/>
    <n v="778"/>
    <n v="0"/>
    <n v="0"/>
    <n v="0"/>
    <x v="0"/>
    <s v=""/>
    <n v="778"/>
    <s v="2018 (triag)"/>
    <n v="778"/>
    <s v="2018 (triag)"/>
    <x v="1"/>
    <n v="778"/>
    <n v="778"/>
    <s v="No change"/>
    <m/>
    <m/>
    <m/>
    <m/>
    <x v="0"/>
    <n v="8.9335587238813269E-2"/>
    <n v="7.8577753171561737E-2"/>
  </r>
  <r>
    <x v="8"/>
    <s v="COD"/>
    <n v="70997872.500000104"/>
    <x v="22"/>
    <n v="0"/>
    <n v="73460021"/>
    <n v="59813"/>
    <m/>
    <n v="0"/>
    <m/>
    <n v="72270"/>
    <m/>
    <n v="44897"/>
    <m/>
    <n v="73046"/>
    <n v="87087354.999999985"/>
    <n v="93326"/>
    <n v="103785"/>
    <m/>
    <n v="93964"/>
    <m/>
    <n v="0"/>
    <m/>
    <n v="101752"/>
    <n v="99010212"/>
    <n v="115316"/>
    <n v="103785"/>
    <n v="72270"/>
    <n v="93964"/>
    <n v="115316"/>
    <x v="172"/>
    <n v="2013"/>
    <n v="103785"/>
    <s v="2018 (triag)"/>
    <n v="115316"/>
    <n v="2022"/>
    <x v="1"/>
    <n v="115316"/>
    <n v="115316"/>
    <s v="Increasing"/>
    <m/>
    <m/>
    <m/>
    <m/>
    <x v="189"/>
    <n v="11.917344372211099"/>
    <n v="11.646879414822383"/>
  </r>
  <r>
    <x v="8"/>
    <s v="COD"/>
    <n v="70997873.500000104"/>
    <x v="23"/>
    <n v="0"/>
    <n v="73460021"/>
    <n v="0"/>
    <m/>
    <n v="0"/>
    <m/>
    <n v="27373"/>
    <m/>
    <n v="0"/>
    <m/>
    <n v="29514"/>
    <n v="87087354.999999985"/>
    <n v="36980"/>
    <n v="51019"/>
    <m/>
    <n v="93964"/>
    <m/>
    <n v="0"/>
    <m/>
    <n v="101752"/>
    <n v="99010212"/>
    <n v="115316"/>
    <n v="51019"/>
    <n v="27373"/>
    <n v="93964"/>
    <n v="115316"/>
    <x v="173"/>
    <n v="2015"/>
    <n v="51019"/>
    <s v="2018 (triag)"/>
    <n v="115316"/>
    <n v="2022"/>
    <x v="1"/>
    <n v="115316"/>
    <n v="115316"/>
    <s v="Increasing"/>
    <m/>
    <m/>
    <m/>
    <m/>
    <x v="190"/>
    <n v="5.8583705981195555"/>
    <n v="11.646879414822383"/>
  </r>
  <r>
    <x v="8"/>
    <s v="COD"/>
    <n v="70997874.500000104"/>
    <x v="24"/>
    <n v="0"/>
    <n v="73460021"/>
    <n v="0"/>
    <m/>
    <n v="0"/>
    <m/>
    <n v="17611"/>
    <m/>
    <n v="0"/>
    <m/>
    <n v="14251"/>
    <n v="87087354.999999985"/>
    <n v="14398"/>
    <n v="52766"/>
    <m/>
    <n v="0"/>
    <m/>
    <n v="0"/>
    <m/>
    <n v="0"/>
    <n v="99010212"/>
    <n v="0"/>
    <n v="52766"/>
    <n v="17611"/>
    <n v="14398"/>
    <n v="0"/>
    <x v="174"/>
    <n v="2015"/>
    <n v="52766"/>
    <s v="2018 (triag)"/>
    <n v="52766"/>
    <s v="2018 (triag)"/>
    <x v="1"/>
    <n v="52766"/>
    <n v="52766"/>
    <s v="No change"/>
    <m/>
    <m/>
    <m/>
    <m/>
    <x v="191"/>
    <n v="6.0589737740915437"/>
    <n v="5.3293492594481062"/>
  </r>
  <r>
    <x v="8"/>
    <s v="COD"/>
    <n v="70997875.500000104"/>
    <x v="25"/>
    <n v="0"/>
    <n v="73460021"/>
    <n v="1555"/>
    <m/>
    <n v="0"/>
    <m/>
    <n v="0"/>
    <m/>
    <n v="1793"/>
    <m/>
    <n v="0"/>
    <n v="87087354.999999985"/>
    <n v="0"/>
    <n v="3642"/>
    <m/>
    <n v="3149"/>
    <m/>
    <n v="0"/>
    <m/>
    <n v="2093"/>
    <n v="99010212"/>
    <n v="2640"/>
    <n v="3642"/>
    <n v="1555"/>
    <n v="3149"/>
    <n v="2640"/>
    <x v="175"/>
    <n v="2013"/>
    <n v="3642"/>
    <s v="2018 (triag)"/>
    <n v="2640"/>
    <n v="2022"/>
    <x v="0"/>
    <n v="3039.2846492442031"/>
    <n v="3642"/>
    <s v="Decreasing"/>
    <m/>
    <m/>
    <m/>
    <m/>
    <x v="192"/>
    <n v="0.41820078242128272"/>
    <n v="0.30696678532959842"/>
  </r>
  <r>
    <x v="8"/>
    <s v="COD"/>
    <n v="70997876.500000104"/>
    <x v="26"/>
    <n v="0"/>
    <n v="73460021"/>
    <n v="0"/>
    <m/>
    <n v="0"/>
    <m/>
    <n v="0"/>
    <m/>
    <n v="40"/>
    <m/>
    <n v="0"/>
    <n v="87087354.999999985"/>
    <n v="0"/>
    <n v="1990"/>
    <m/>
    <n v="3149"/>
    <m/>
    <n v="0"/>
    <m/>
    <n v="2093"/>
    <n v="99010212"/>
    <n v="2640"/>
    <n v="1990"/>
    <n v="0"/>
    <n v="3149"/>
    <n v="2640"/>
    <x v="0"/>
    <s v=""/>
    <n v="1990"/>
    <s v="2018 (triag)"/>
    <n v="2640"/>
    <n v="2022"/>
    <x v="1"/>
    <n v="2640"/>
    <n v="2640"/>
    <s v="Increasing"/>
    <m/>
    <m/>
    <m/>
    <m/>
    <x v="0"/>
    <n v="0.22850619357999796"/>
    <n v="0.26663916243306296"/>
  </r>
  <r>
    <x v="8"/>
    <s v="COD"/>
    <n v="70997877.500000104"/>
    <x v="27"/>
    <n v="0"/>
    <n v="73460021"/>
    <n v="1555"/>
    <m/>
    <n v="0"/>
    <m/>
    <n v="0"/>
    <m/>
    <n v="1753"/>
    <m/>
    <n v="0"/>
    <n v="87087354.999999985"/>
    <n v="0"/>
    <n v="1652"/>
    <m/>
    <n v="0"/>
    <m/>
    <n v="0"/>
    <m/>
    <n v="0"/>
    <n v="99010212"/>
    <n v="0"/>
    <n v="1652"/>
    <n v="1555"/>
    <n v="1753"/>
    <n v="0"/>
    <x v="175"/>
    <n v="2013"/>
    <n v="1652"/>
    <s v="2018 (triag)"/>
    <n v="1652"/>
    <s v="2018 (triag)"/>
    <x v="1"/>
    <n v="1652"/>
    <n v="1652"/>
    <s v="No change"/>
    <m/>
    <m/>
    <m/>
    <m/>
    <x v="192"/>
    <n v="0.18969458884128473"/>
    <n v="0.16685147588614394"/>
  </r>
  <r>
    <x v="8"/>
    <s v="COD"/>
    <n v="70997878.500000104"/>
    <x v="28"/>
    <n v="0"/>
    <n v="73460021"/>
    <n v="283"/>
    <m/>
    <n v="0"/>
    <m/>
    <n v="0"/>
    <m/>
    <n v="404"/>
    <m/>
    <n v="0"/>
    <n v="87087354.999999985"/>
    <n v="1687"/>
    <n v="1687"/>
    <m/>
    <n v="584"/>
    <m/>
    <n v="0"/>
    <m/>
    <n v="682"/>
    <n v="99010212"/>
    <n v="806"/>
    <n v="1461"/>
    <n v="283"/>
    <n v="1687"/>
    <n v="806"/>
    <x v="176"/>
    <n v="2013"/>
    <n v="1687"/>
    <n v="2018"/>
    <n v="806"/>
    <n v="2022"/>
    <x v="0"/>
    <n v="927.90281336773774"/>
    <n v="1687"/>
    <s v="Decreasing"/>
    <m/>
    <m/>
    <m/>
    <m/>
    <x v="193"/>
    <n v="0.19371354199470178"/>
    <n v="9.3717889763506174E-2"/>
  </r>
  <r>
    <x v="8"/>
    <s v="COD"/>
    <n v="70997879.500000104"/>
    <x v="29"/>
    <n v="0"/>
    <n v="73460021"/>
    <n v="0"/>
    <m/>
    <n v="0"/>
    <m/>
    <n v="0"/>
    <m/>
    <n v="0"/>
    <m/>
    <n v="0"/>
    <n v="87087354.999999985"/>
    <n v="0"/>
    <n v="226"/>
    <m/>
    <n v="188"/>
    <m/>
    <n v="0"/>
    <m/>
    <n v="313"/>
    <n v="99010212"/>
    <n v="378"/>
    <n v="226"/>
    <n v="0"/>
    <n v="188"/>
    <n v="378"/>
    <x v="0"/>
    <s v=""/>
    <n v="226"/>
    <s v="2018 (triag)"/>
    <n v="378"/>
    <n v="2022"/>
    <x v="1"/>
    <n v="378"/>
    <n v="378"/>
    <s v="Increasing"/>
    <m/>
    <m/>
    <m/>
    <m/>
    <x v="0"/>
    <n v="2.5950954647778662E-2"/>
    <n v="3.8177880075643107E-2"/>
  </r>
  <r>
    <x v="8"/>
    <s v="COD"/>
    <n v="70997880.500000104"/>
    <x v="30"/>
    <n v="0"/>
    <n v="73460021"/>
    <n v="0"/>
    <m/>
    <n v="0"/>
    <m/>
    <n v="0"/>
    <m/>
    <n v="147"/>
    <m/>
    <n v="0"/>
    <n v="87087354.999999985"/>
    <n v="404"/>
    <n v="404"/>
    <m/>
    <n v="422"/>
    <m/>
    <n v="0"/>
    <m/>
    <n v="268"/>
    <n v="99010212"/>
    <n v="392"/>
    <n v="404"/>
    <n v="0"/>
    <n v="422"/>
    <n v="392"/>
    <x v="0"/>
    <s v=""/>
    <n v="404"/>
    <n v="2018"/>
    <n v="392"/>
    <n v="2022"/>
    <x v="0"/>
    <n v="451.28772064535138"/>
    <n v="451.28772064535138"/>
    <s v="Increasing"/>
    <m/>
    <m/>
    <m/>
    <m/>
    <x v="0"/>
    <n v="4.6390202113728227E-2"/>
    <n v="4.5579916609546439E-2"/>
  </r>
  <r>
    <x v="8"/>
    <s v="COD"/>
    <n v="70997881.500000104"/>
    <x v="31"/>
    <n v="0"/>
    <n v="73460021"/>
    <n v="0"/>
    <m/>
    <n v="0"/>
    <m/>
    <n v="0"/>
    <m/>
    <n v="0"/>
    <m/>
    <n v="0"/>
    <n v="87087354.999999985"/>
    <n v="0"/>
    <n v="0"/>
    <m/>
    <n v="0"/>
    <m/>
    <n v="0"/>
    <m/>
    <n v="0"/>
    <n v="99010212"/>
    <n v="0"/>
    <n v="0"/>
    <n v="0"/>
    <n v="0"/>
    <n v="0"/>
    <x v="0"/>
    <s v=""/>
    <m/>
    <s v=""/>
    <n v="0"/>
    <s v=""/>
    <x v="1"/>
    <m/>
    <n v="0"/>
    <s v="No change"/>
    <m/>
    <m/>
    <m/>
    <m/>
    <x v="0"/>
    <n v="0"/>
    <n v="0"/>
  </r>
  <r>
    <x v="8"/>
    <s v="COD"/>
    <n v="70997882.500000104"/>
    <x v="32"/>
    <n v="0"/>
    <n v="73460021"/>
    <n v="0"/>
    <m/>
    <n v="0"/>
    <m/>
    <n v="0"/>
    <m/>
    <n v="0"/>
    <m/>
    <n v="0"/>
    <n v="87087354.999999985"/>
    <n v="0"/>
    <n v="0"/>
    <m/>
    <n v="0"/>
    <m/>
    <n v="0"/>
    <m/>
    <n v="0"/>
    <n v="99010212"/>
    <n v="0"/>
    <n v="0"/>
    <n v="0"/>
    <n v="0"/>
    <n v="0"/>
    <x v="0"/>
    <s v=""/>
    <m/>
    <s v=""/>
    <n v="0"/>
    <s v=""/>
    <x v="1"/>
    <m/>
    <n v="0"/>
    <s v="No change"/>
    <m/>
    <m/>
    <m/>
    <m/>
    <x v="0"/>
    <n v="0"/>
    <n v="0"/>
  </r>
  <r>
    <x v="9"/>
    <s v="COG"/>
    <n v="4713256.5000000028"/>
    <x v="19"/>
    <n v="0"/>
    <n v="4828066.5000000028"/>
    <n v="0"/>
    <n v="4944861.5000000019"/>
    <n v="0"/>
    <n v="5064386.0000000019"/>
    <n v="0"/>
    <n v="5186823.4999999981"/>
    <n v="530"/>
    <n v="5312339.5000000009"/>
    <n v="0"/>
    <n v="5441061.9999999972"/>
    <n v="544"/>
    <n v="544"/>
    <n v="5570732.4999999953"/>
    <n v="0"/>
    <n v="5702174"/>
    <n v="0"/>
    <n v="5835806.0000000009"/>
    <n v="0"/>
    <n v="5970424.0000000009"/>
    <n v="1042"/>
    <n v="544"/>
    <n v="0"/>
    <n v="544"/>
    <n v="1042"/>
    <x v="0"/>
    <s v=""/>
    <n v="544"/>
    <n v="2018"/>
    <n v="1042"/>
    <n v="2022"/>
    <x v="1"/>
    <n v="1042"/>
    <n v="1042"/>
    <s v="Increasing"/>
    <m/>
    <m/>
    <m/>
    <m/>
    <x v="0"/>
    <n v="0.99980481751540462"/>
    <n v="1.7452696826892025"/>
  </r>
  <r>
    <x v="9"/>
    <s v="COG"/>
    <n v="4713257.5"/>
    <x v="20"/>
    <n v="0"/>
    <n v="4828066.5000000028"/>
    <n v="0"/>
    <m/>
    <n v="0"/>
    <m/>
    <n v="0"/>
    <m/>
    <n v="269"/>
    <m/>
    <n v="0"/>
    <n v="5441061.9999999972"/>
    <n v="269"/>
    <n v="269"/>
    <m/>
    <n v="0"/>
    <m/>
    <n v="0"/>
    <m/>
    <n v="0"/>
    <n v="5970424.0000000009"/>
    <n v="787"/>
    <n v="269"/>
    <n v="0"/>
    <n v="269"/>
    <n v="787"/>
    <x v="0"/>
    <s v=""/>
    <n v="269"/>
    <n v="2016"/>
    <n v="787"/>
    <n v="2022"/>
    <x v="1"/>
    <n v="787"/>
    <n v="787"/>
    <s v="Increasing"/>
    <m/>
    <m/>
    <m/>
    <m/>
    <x v="0"/>
    <n v="0.49438877924934532"/>
    <n v="1.3181643380771615"/>
  </r>
  <r>
    <x v="9"/>
    <s v="COG"/>
    <n v="4713258.5"/>
    <x v="21"/>
    <n v="0"/>
    <n v="4828066.5000000028"/>
    <n v="0"/>
    <m/>
    <n v="0"/>
    <m/>
    <n v="0"/>
    <m/>
    <n v="261"/>
    <m/>
    <n v="0"/>
    <n v="5441061.9999999972"/>
    <n v="275"/>
    <n v="275"/>
    <m/>
    <n v="0"/>
    <m/>
    <n v="0"/>
    <m/>
    <n v="0"/>
    <n v="5970424.0000000009"/>
    <n v="255"/>
    <n v="275"/>
    <n v="0"/>
    <n v="275"/>
    <n v="255"/>
    <x v="0"/>
    <s v=""/>
    <n v="275"/>
    <n v="2018"/>
    <n v="255"/>
    <n v="2022"/>
    <x v="0"/>
    <n v="293.07115430170586"/>
    <n v="293.07115430170586"/>
    <s v="Increasing"/>
    <m/>
    <m/>
    <m/>
    <m/>
    <x v="0"/>
    <n v="0.5054160382660593"/>
    <n v="0.49087159354462234"/>
  </r>
  <r>
    <x v="9"/>
    <s v="COG"/>
    <n v="4713259.5"/>
    <x v="22"/>
    <n v="0"/>
    <n v="4828066.5000000028"/>
    <n v="3289"/>
    <m/>
    <n v="3458"/>
    <m/>
    <n v="3852"/>
    <m/>
    <n v="3717"/>
    <m/>
    <n v="0"/>
    <n v="5441061.9999999972"/>
    <n v="5081"/>
    <n v="5081"/>
    <m/>
    <n v="0"/>
    <m/>
    <n v="0"/>
    <m/>
    <n v="0"/>
    <n v="5970424.0000000009"/>
    <n v="5573"/>
    <n v="4012"/>
    <n v="3852"/>
    <n v="5081"/>
    <n v="5573"/>
    <x v="177"/>
    <n v="2013"/>
    <n v="5081"/>
    <n v="2018"/>
    <n v="5573"/>
    <n v="2022"/>
    <x v="1"/>
    <n v="5573"/>
    <n v="5573"/>
    <s v="Increasing"/>
    <m/>
    <m/>
    <m/>
    <m/>
    <x v="194"/>
    <n v="9.3382505106539906"/>
    <n v="9.3343454334231524"/>
  </r>
  <r>
    <x v="9"/>
    <s v="COG"/>
    <n v="4713260.5"/>
    <x v="23"/>
    <n v="0"/>
    <n v="4828066.5000000028"/>
    <n v="0"/>
    <m/>
    <n v="0"/>
    <m/>
    <n v="1934"/>
    <m/>
    <n v="1870"/>
    <m/>
    <n v="0"/>
    <n v="5441061.9999999972"/>
    <n v="0"/>
    <n v="2707"/>
    <m/>
    <n v="0"/>
    <m/>
    <n v="0"/>
    <m/>
    <n v="0"/>
    <n v="5970424.0000000009"/>
    <n v="5573"/>
    <n v="2707"/>
    <n v="1934"/>
    <n v="1870"/>
    <n v="5573"/>
    <x v="178"/>
    <n v="2015"/>
    <n v="2707"/>
    <s v="2018 (triag)"/>
    <n v="5573"/>
    <n v="2022"/>
    <x v="1"/>
    <n v="5573"/>
    <n v="5573"/>
    <s v="Increasing"/>
    <m/>
    <m/>
    <m/>
    <m/>
    <x v="195"/>
    <n v="4.9751316930408098"/>
    <n v="9.3343454334231524"/>
  </r>
  <r>
    <x v="9"/>
    <s v="COG"/>
    <n v="4713261.5"/>
    <x v="24"/>
    <n v="0"/>
    <n v="4828066.5000000028"/>
    <n v="0"/>
    <m/>
    <n v="0"/>
    <m/>
    <n v="1918"/>
    <m/>
    <n v="1847"/>
    <m/>
    <n v="0"/>
    <n v="5441061.9999999972"/>
    <n v="0"/>
    <n v="1305"/>
    <m/>
    <n v="0"/>
    <m/>
    <n v="0"/>
    <m/>
    <n v="0"/>
    <n v="5970424.0000000009"/>
    <n v="0"/>
    <n v="1305"/>
    <n v="1918"/>
    <n v="1847"/>
    <n v="0"/>
    <x v="179"/>
    <n v="2015"/>
    <n v="1305"/>
    <s v="2018 (triag)"/>
    <n v="1305"/>
    <s v="2018 (triag)"/>
    <x v="1"/>
    <n v="1305"/>
    <n v="1305"/>
    <s v="No change"/>
    <m/>
    <m/>
    <m/>
    <m/>
    <x v="196"/>
    <n v="2.3984288361352997"/>
    <n v="2.185774410661621"/>
  </r>
  <r>
    <x v="9"/>
    <s v="COG"/>
    <n v="4713262.5"/>
    <x v="25"/>
    <n v="0"/>
    <n v="4828066.5000000028"/>
    <n v="1282"/>
    <m/>
    <n v="0"/>
    <m/>
    <n v="0"/>
    <m/>
    <n v="921"/>
    <m/>
    <n v="0"/>
    <n v="5441061.9999999972"/>
    <n v="0"/>
    <n v="1069"/>
    <m/>
    <n v="0"/>
    <m/>
    <n v="0"/>
    <m/>
    <n v="0"/>
    <n v="5970424.0000000009"/>
    <n v="907"/>
    <n v="1069"/>
    <n v="1282"/>
    <n v="921"/>
    <n v="907"/>
    <x v="180"/>
    <n v="2013"/>
    <n v="1069"/>
    <s v="2018 (triag)"/>
    <n v="907"/>
    <n v="2022"/>
    <x v="0"/>
    <n v="1042.4138703986166"/>
    <n v="1069"/>
    <s v="Decreasing"/>
    <m/>
    <m/>
    <m/>
    <m/>
    <x v="197"/>
    <n v="1.9646899814778815"/>
    <n v="1.7459628837057743"/>
  </r>
  <r>
    <x v="9"/>
    <s v="COG"/>
    <n v="4713263.5"/>
    <x v="26"/>
    <n v="0"/>
    <n v="4828066.5000000028"/>
    <n v="1215"/>
    <m/>
    <n v="0"/>
    <m/>
    <n v="0"/>
    <m/>
    <n v="0"/>
    <m/>
    <n v="0"/>
    <n v="5441061.9999999972"/>
    <n v="0"/>
    <n v="921"/>
    <m/>
    <n v="0"/>
    <m/>
    <n v="0"/>
    <m/>
    <n v="0"/>
    <n v="5970424.0000000009"/>
    <n v="907"/>
    <n v="921"/>
    <n v="1215"/>
    <n v="0"/>
    <n v="907"/>
    <x v="181"/>
    <n v="2013"/>
    <n v="921"/>
    <s v="2018 (triag)"/>
    <n v="907"/>
    <n v="2022"/>
    <x v="0"/>
    <n v="1042.4138703986166"/>
    <n v="1042.4138703986166"/>
    <s v="Increasing"/>
    <m/>
    <m/>
    <m/>
    <m/>
    <x v="198"/>
    <n v="1.6926842590656024"/>
    <n v="1.7459628837057743"/>
  </r>
  <r>
    <x v="9"/>
    <s v="COG"/>
    <n v="4713264.5"/>
    <x v="27"/>
    <n v="0"/>
    <n v="4828066.5000000028"/>
    <n v="67"/>
    <m/>
    <n v="0"/>
    <m/>
    <n v="0"/>
    <m/>
    <n v="0"/>
    <m/>
    <n v="0"/>
    <n v="5441061.9999999972"/>
    <n v="0"/>
    <n v="148"/>
    <m/>
    <n v="0"/>
    <m/>
    <n v="0"/>
    <m/>
    <n v="0"/>
    <n v="5970424.0000000009"/>
    <n v="0"/>
    <n v="148"/>
    <n v="67"/>
    <n v="0"/>
    <n v="0"/>
    <x v="182"/>
    <n v="2013"/>
    <n v="148"/>
    <s v="2018 (triag)"/>
    <n v="148"/>
    <s v="2018 (triag)"/>
    <x v="1"/>
    <n v="148"/>
    <n v="148"/>
    <s v="No change"/>
    <m/>
    <m/>
    <m/>
    <m/>
    <x v="199"/>
    <n v="0.27200572241227922"/>
    <n v="0.24788859216698844"/>
  </r>
  <r>
    <x v="9"/>
    <s v="COG"/>
    <n v="4713265.5"/>
    <x v="28"/>
    <n v="0"/>
    <n v="4828066.5000000028"/>
    <n v="0"/>
    <m/>
    <n v="0"/>
    <m/>
    <n v="0"/>
    <m/>
    <n v="73"/>
    <m/>
    <n v="0"/>
    <n v="5441061.9999999972"/>
    <n v="157"/>
    <n v="157"/>
    <m/>
    <n v="0"/>
    <m/>
    <n v="0"/>
    <m/>
    <n v="0"/>
    <n v="5970424.0000000009"/>
    <n v="28"/>
    <n v="73"/>
    <n v="0"/>
    <n v="157"/>
    <n v="28"/>
    <x v="0"/>
    <s v=""/>
    <n v="157"/>
    <n v="2018"/>
    <n v="28"/>
    <n v="2022"/>
    <x v="0"/>
    <n v="32.180362040971623"/>
    <n v="157"/>
    <s v="Decreasing"/>
    <m/>
    <m/>
    <m/>
    <m/>
    <x v="0"/>
    <n v="0.28854661093735023"/>
    <n v="5.3899625957840876E-2"/>
  </r>
  <r>
    <x v="9"/>
    <s v="COG"/>
    <n v="4713266.5"/>
    <x v="29"/>
    <n v="0"/>
    <n v="4828066.5000000028"/>
    <n v="0"/>
    <m/>
    <n v="0"/>
    <m/>
    <n v="0"/>
    <m/>
    <n v="0"/>
    <m/>
    <n v="0"/>
    <n v="5441061.9999999972"/>
    <n v="0"/>
    <n v="84"/>
    <m/>
    <n v="0"/>
    <m/>
    <n v="0"/>
    <m/>
    <n v="0"/>
    <n v="5970424.0000000009"/>
    <n v="80"/>
    <n v="84"/>
    <n v="0"/>
    <n v="0"/>
    <n v="80"/>
    <x v="0"/>
    <s v=""/>
    <n v="84"/>
    <s v="2018 (triag)"/>
    <n v="80"/>
    <n v="2022"/>
    <x v="0"/>
    <n v="91.943891545633221"/>
    <n v="91.943891545633221"/>
    <s v="Increasing"/>
    <m/>
    <m/>
    <m/>
    <m/>
    <x v="0"/>
    <n v="0.15438162623399632"/>
    <n v="0.15399893130811684"/>
  </r>
  <r>
    <x v="9"/>
    <s v="COG"/>
    <n v="4713267.5"/>
    <x v="30"/>
    <n v="0"/>
    <n v="4828066.5000000028"/>
    <n v="0"/>
    <m/>
    <n v="0"/>
    <m/>
    <n v="0"/>
    <m/>
    <n v="27"/>
    <m/>
    <n v="0"/>
    <n v="5441061.9999999972"/>
    <n v="27"/>
    <n v="27"/>
    <m/>
    <n v="0"/>
    <m/>
    <n v="0"/>
    <m/>
    <n v="0"/>
    <n v="5970424.0000000009"/>
    <n v="9"/>
    <n v="27"/>
    <n v="0"/>
    <n v="27"/>
    <n v="9"/>
    <x v="0"/>
    <s v=""/>
    <n v="27"/>
    <n v="2016"/>
    <n v="9"/>
    <n v="2022"/>
    <x v="0"/>
    <n v="10.343687798883737"/>
    <n v="27"/>
    <s v="Decreasing"/>
    <m/>
    <m/>
    <m/>
    <m/>
    <x v="0"/>
    <n v="4.9622665575213103E-2"/>
    <n v="1.732487977216314E-2"/>
  </r>
  <r>
    <x v="9"/>
    <s v="COG"/>
    <n v="4713268.5"/>
    <x v="31"/>
    <n v="0"/>
    <n v="4828066.5000000028"/>
    <n v="0"/>
    <m/>
    <n v="0"/>
    <m/>
    <n v="0"/>
    <m/>
    <n v="0"/>
    <m/>
    <n v="0"/>
    <n v="5441061.9999999972"/>
    <n v="0"/>
    <n v="0"/>
    <m/>
    <n v="0"/>
    <m/>
    <n v="0"/>
    <m/>
    <n v="0"/>
    <n v="5970424.0000000009"/>
    <n v="0"/>
    <n v="0"/>
    <n v="0"/>
    <n v="0"/>
    <n v="0"/>
    <x v="0"/>
    <s v=""/>
    <m/>
    <s v=""/>
    <n v="0"/>
    <s v=""/>
    <x v="1"/>
    <m/>
    <n v="0"/>
    <s v="No change"/>
    <m/>
    <m/>
    <m/>
    <m/>
    <x v="0"/>
    <n v="0"/>
    <n v="0"/>
  </r>
  <r>
    <x v="9"/>
    <s v="COG"/>
    <n v="4713269.5"/>
    <x v="32"/>
    <n v="0"/>
    <n v="4828066.5000000028"/>
    <n v="0"/>
    <m/>
    <n v="0"/>
    <m/>
    <n v="0"/>
    <m/>
    <n v="67"/>
    <m/>
    <n v="0"/>
    <n v="5441061.9999999972"/>
    <n v="0"/>
    <n v="0"/>
    <m/>
    <n v="0"/>
    <m/>
    <n v="0"/>
    <m/>
    <n v="0"/>
    <n v="5970424.0000000009"/>
    <n v="0"/>
    <n v="0"/>
    <n v="0"/>
    <n v="67"/>
    <n v="0"/>
    <x v="0"/>
    <s v=""/>
    <m/>
    <s v=""/>
    <n v="0"/>
    <s v=""/>
    <x v="1"/>
    <m/>
    <n v="0"/>
    <s v="No change"/>
    <m/>
    <m/>
    <m/>
    <m/>
    <x v="0"/>
    <n v="0"/>
    <n v="0"/>
  </r>
  <r>
    <x v="10"/>
    <s v="COM"/>
    <n v="684552.49999999988"/>
    <x v="19"/>
    <n v="123"/>
    <n v="699392.50000000035"/>
    <n v="0"/>
    <n v="714612.00000000012"/>
    <n v="0"/>
    <n v="730215.49999999953"/>
    <n v="0"/>
    <n v="746232.00000000012"/>
    <n v="216"/>
    <n v="761663.99999999977"/>
    <n v="0"/>
    <n v="776313.5000000007"/>
    <n v="220"/>
    <n v="220"/>
    <n v="790986.00000000023"/>
    <n v="0"/>
    <n v="806166.00000000023"/>
    <n v="354"/>
    <n v="821625.49999999988"/>
    <n v="0"/>
    <n v="836773.49999999977"/>
    <n v="0"/>
    <n v="220"/>
    <n v="123"/>
    <n v="220"/>
    <n v="354"/>
    <x v="183"/>
    <n v="2012"/>
    <n v="220"/>
    <n v="2018"/>
    <n v="354"/>
    <n v="2020"/>
    <x v="1"/>
    <n v="354"/>
    <n v="354"/>
    <s v="Increasing"/>
    <m/>
    <m/>
    <m/>
    <m/>
    <x v="200"/>
    <n v="2.8339066627077822"/>
    <n v="4.2305355033351333"/>
  </r>
  <r>
    <x v="10"/>
    <s v="COM"/>
    <n v="684553.5"/>
    <x v="20"/>
    <n v="0"/>
    <n v="699392.50000000035"/>
    <n v="0"/>
    <m/>
    <n v="0"/>
    <m/>
    <n v="0"/>
    <m/>
    <n v="216"/>
    <m/>
    <n v="0"/>
    <n v="776313.5000000007"/>
    <n v="130"/>
    <n v="130"/>
    <m/>
    <n v="0"/>
    <m/>
    <n v="241"/>
    <m/>
    <n v="0"/>
    <n v="836773.49999999977"/>
    <n v="0"/>
    <n v="130"/>
    <n v="0"/>
    <n v="216"/>
    <n v="241"/>
    <x v="0"/>
    <s v=""/>
    <n v="130"/>
    <n v="2018"/>
    <n v="241"/>
    <n v="2020"/>
    <x v="1"/>
    <n v="241"/>
    <n v="241"/>
    <s v="Increasing"/>
    <m/>
    <m/>
    <m/>
    <m/>
    <x v="0"/>
    <n v="1.6745812097818713"/>
    <n v="2.8801103285417149"/>
  </r>
  <r>
    <x v="10"/>
    <s v="COM"/>
    <n v="684554.5"/>
    <x v="21"/>
    <n v="0"/>
    <n v="699392.50000000035"/>
    <n v="0"/>
    <m/>
    <n v="0"/>
    <m/>
    <n v="0"/>
    <m/>
    <n v="0"/>
    <m/>
    <n v="0"/>
    <n v="776313.5000000007"/>
    <n v="90"/>
    <n v="90"/>
    <m/>
    <n v="0"/>
    <m/>
    <n v="113"/>
    <m/>
    <n v="0"/>
    <n v="836773.49999999977"/>
    <n v="0"/>
    <n v="90"/>
    <n v="0"/>
    <n v="90"/>
    <n v="113"/>
    <x v="0"/>
    <s v=""/>
    <n v="90"/>
    <n v="2018"/>
    <n v="113"/>
    <n v="2020"/>
    <x v="1"/>
    <n v="113"/>
    <n v="113"/>
    <s v="Increasing"/>
    <m/>
    <m/>
    <m/>
    <m/>
    <x v="0"/>
    <n v="1.1593254529259109"/>
    <n v="1.3504251747934182"/>
  </r>
  <r>
    <x v="10"/>
    <s v="COM"/>
    <n v="684555.5"/>
    <x v="22"/>
    <n v="0"/>
    <n v="699392.50000000035"/>
    <n v="0"/>
    <m/>
    <n v="0"/>
    <m/>
    <n v="0"/>
    <m/>
    <n v="0"/>
    <m/>
    <n v="0"/>
    <n v="776313.5000000007"/>
    <n v="679"/>
    <n v="747"/>
    <m/>
    <n v="0"/>
    <m/>
    <n v="683"/>
    <m/>
    <n v="0"/>
    <n v="836773.49999999977"/>
    <n v="0"/>
    <n v="747"/>
    <n v="0"/>
    <n v="679"/>
    <n v="683"/>
    <x v="0"/>
    <s v=""/>
    <n v="747"/>
    <s v="2018 (triag)"/>
    <n v="683"/>
    <n v="2020"/>
    <x v="0"/>
    <n v="784.97097407084357"/>
    <n v="784.97097407084357"/>
    <s v="Increasing"/>
    <m/>
    <m/>
    <m/>
    <m/>
    <x v="0"/>
    <n v="9.622401259285061"/>
    <n v="9.3809253528086618"/>
  </r>
  <r>
    <x v="10"/>
    <s v="COM"/>
    <n v="684556.5"/>
    <x v="23"/>
    <n v="0"/>
    <n v="699392.50000000035"/>
    <n v="0"/>
    <m/>
    <n v="0"/>
    <m/>
    <n v="0"/>
    <m/>
    <n v="0"/>
    <m/>
    <n v="0"/>
    <n v="776313.5000000007"/>
    <n v="679"/>
    <n v="679"/>
    <m/>
    <n v="0"/>
    <m/>
    <n v="683"/>
    <m/>
    <n v="0"/>
    <n v="836773.49999999977"/>
    <n v="0"/>
    <n v="676"/>
    <n v="0"/>
    <n v="679"/>
    <n v="683"/>
    <x v="0"/>
    <s v=""/>
    <n v="679"/>
    <n v="2018"/>
    <n v="683"/>
    <n v="2020"/>
    <x v="1"/>
    <n v="683"/>
    <n v="683"/>
    <s v="Increasing"/>
    <m/>
    <m/>
    <m/>
    <m/>
    <x v="0"/>
    <n v="8.7464664726299279"/>
    <n v="8.1623043750788025"/>
  </r>
  <r>
    <x v="10"/>
    <s v="COM"/>
    <n v="684557.5"/>
    <x v="24"/>
    <n v="0"/>
    <n v="699392.50000000035"/>
    <n v="0"/>
    <m/>
    <n v="0"/>
    <m/>
    <n v="0"/>
    <m/>
    <n v="0"/>
    <m/>
    <n v="0"/>
    <n v="776313.5000000007"/>
    <n v="0"/>
    <n v="71"/>
    <m/>
    <n v="0"/>
    <m/>
    <n v="0"/>
    <m/>
    <n v="0"/>
    <n v="836773.49999999977"/>
    <n v="0"/>
    <n v="71"/>
    <n v="0"/>
    <n v="0"/>
    <n v="0"/>
    <x v="0"/>
    <s v=""/>
    <n v="71"/>
    <s v="2018 (triag)"/>
    <n v="71"/>
    <s v="2018 (triag)"/>
    <x v="1"/>
    <n v="71"/>
    <n v="71"/>
    <s v="No change"/>
    <m/>
    <m/>
    <m/>
    <m/>
    <x v="0"/>
    <n v="0.91457896841932973"/>
    <n v="0.84849723371975838"/>
  </r>
  <r>
    <x v="10"/>
    <s v="COM"/>
    <n v="684558.5"/>
    <x v="25"/>
    <n v="667"/>
    <n v="699392.50000000035"/>
    <n v="295"/>
    <m/>
    <n v="0"/>
    <m/>
    <n v="0"/>
    <m/>
    <n v="500"/>
    <m/>
    <n v="0"/>
    <n v="776313.5000000007"/>
    <n v="484"/>
    <n v="487"/>
    <m/>
    <n v="0"/>
    <m/>
    <n v="586"/>
    <m/>
    <n v="0"/>
    <n v="836773.49999999977"/>
    <n v="0"/>
    <n v="487"/>
    <n v="667"/>
    <n v="500"/>
    <n v="586"/>
    <x v="184"/>
    <n v="2013"/>
    <n v="487"/>
    <s v="2018 (triag)"/>
    <n v="586"/>
    <n v="2020"/>
    <x v="1"/>
    <n v="586"/>
    <n v="586"/>
    <s v="Increasing"/>
    <m/>
    <m/>
    <m/>
    <m/>
    <x v="201"/>
    <n v="6.2732388397213183"/>
    <n v="7.0030898445039211"/>
  </r>
  <r>
    <x v="10"/>
    <s v="COM"/>
    <n v="684559.5"/>
    <x v="26"/>
    <n v="0"/>
    <n v="699392.50000000035"/>
    <n v="284"/>
    <m/>
    <n v="0"/>
    <m/>
    <n v="0"/>
    <m/>
    <n v="475"/>
    <m/>
    <n v="0"/>
    <n v="776313.5000000007"/>
    <n v="484"/>
    <n v="487"/>
    <m/>
    <n v="0"/>
    <m/>
    <n v="586"/>
    <m/>
    <n v="0"/>
    <n v="836773.49999999977"/>
    <n v="0"/>
    <n v="487"/>
    <n v="284"/>
    <n v="484"/>
    <n v="586"/>
    <x v="185"/>
    <n v="2013"/>
    <n v="487"/>
    <s v="2018 (triag)"/>
    <n v="586"/>
    <n v="2020"/>
    <x v="1"/>
    <n v="586"/>
    <n v="586"/>
    <s v="Increasing"/>
    <m/>
    <m/>
    <m/>
    <m/>
    <x v="202"/>
    <n v="6.2732388397213183"/>
    <n v="7.0030898445039211"/>
  </r>
  <r>
    <x v="10"/>
    <s v="COM"/>
    <n v="684560.5"/>
    <x v="27"/>
    <n v="0"/>
    <n v="699392.50000000035"/>
    <n v="11"/>
    <m/>
    <n v="0"/>
    <m/>
    <n v="0"/>
    <m/>
    <n v="25"/>
    <m/>
    <n v="0"/>
    <n v="776313.5000000007"/>
    <n v="0"/>
    <n v="0"/>
    <m/>
    <n v="0"/>
    <m/>
    <n v="0"/>
    <m/>
    <n v="0"/>
    <n v="836773.49999999977"/>
    <n v="0"/>
    <n v="0"/>
    <n v="11"/>
    <n v="25"/>
    <n v="0"/>
    <x v="47"/>
    <n v="2013"/>
    <m/>
    <s v=""/>
    <n v="0"/>
    <s v=""/>
    <x v="1"/>
    <m/>
    <n v="0"/>
    <s v="No change"/>
    <m/>
    <m/>
    <m/>
    <m/>
    <x v="203"/>
    <n v="0"/>
    <n v="0"/>
  </r>
  <r>
    <x v="10"/>
    <s v="COM"/>
    <n v="684561.5"/>
    <x v="28"/>
    <n v="16"/>
    <n v="699392.50000000035"/>
    <n v="0"/>
    <m/>
    <n v="0"/>
    <m/>
    <n v="0"/>
    <m/>
    <n v="0"/>
    <m/>
    <n v="0"/>
    <n v="776313.5000000007"/>
    <n v="36"/>
    <n v="36"/>
    <m/>
    <n v="0"/>
    <m/>
    <n v="35"/>
    <m/>
    <n v="0"/>
    <n v="836773.49999999977"/>
    <n v="0"/>
    <n v="36"/>
    <n v="16"/>
    <n v="36"/>
    <n v="35"/>
    <x v="186"/>
    <n v="2012"/>
    <n v="36"/>
    <n v="2018"/>
    <n v="35"/>
    <n v="2020"/>
    <x v="0"/>
    <n v="40.225452551214531"/>
    <n v="40.225452551214531"/>
    <s v="Increasing"/>
    <m/>
    <m/>
    <m/>
    <m/>
    <x v="204"/>
    <n v="0.46373018117036441"/>
    <n v="0.48072091851874543"/>
  </r>
  <r>
    <x v="10"/>
    <s v="COM"/>
    <n v="684562.5"/>
    <x v="29"/>
    <n v="0"/>
    <n v="699392.50000000035"/>
    <n v="0"/>
    <m/>
    <n v="0"/>
    <m/>
    <n v="0"/>
    <m/>
    <n v="0"/>
    <m/>
    <n v="0"/>
    <n v="776313.5000000007"/>
    <n v="19"/>
    <n v="19"/>
    <m/>
    <n v="0"/>
    <m/>
    <n v="71"/>
    <m/>
    <n v="0"/>
    <n v="836773.49999999977"/>
    <n v="0"/>
    <n v="19"/>
    <n v="0"/>
    <n v="19"/>
    <n v="71"/>
    <x v="0"/>
    <s v=""/>
    <n v="19"/>
    <n v="2018"/>
    <n v="71"/>
    <n v="2020"/>
    <x v="1"/>
    <n v="71"/>
    <n v="71"/>
    <s v="Increasing"/>
    <m/>
    <m/>
    <m/>
    <m/>
    <x v="0"/>
    <n v="0.24474648450658121"/>
    <n v="0.84849723371975838"/>
  </r>
  <r>
    <x v="10"/>
    <s v="COM"/>
    <n v="684563.5"/>
    <x v="30"/>
    <n v="18"/>
    <n v="699392.50000000035"/>
    <n v="0"/>
    <m/>
    <n v="0"/>
    <m/>
    <n v="0"/>
    <m/>
    <n v="0"/>
    <m/>
    <n v="0"/>
    <n v="776313.5000000007"/>
    <n v="32"/>
    <n v="32"/>
    <m/>
    <n v="0"/>
    <m/>
    <n v="32"/>
    <m/>
    <n v="0"/>
    <n v="836773.49999999977"/>
    <n v="0"/>
    <n v="32"/>
    <n v="18"/>
    <n v="32"/>
    <n v="32"/>
    <x v="116"/>
    <n v="2012"/>
    <n v="32"/>
    <n v="2018"/>
    <n v="32"/>
    <n v="2020"/>
    <x v="1"/>
    <n v="32"/>
    <n v="32"/>
    <s v="No change"/>
    <m/>
    <m/>
    <m/>
    <m/>
    <x v="205"/>
    <n v="0.41220460548476834"/>
    <n v="0.38242128843707418"/>
  </r>
  <r>
    <x v="10"/>
    <s v="COM"/>
    <n v="684564.5"/>
    <x v="31"/>
    <n v="0"/>
    <n v="699392.50000000035"/>
    <n v="0"/>
    <m/>
    <n v="0"/>
    <m/>
    <n v="0"/>
    <m/>
    <n v="0"/>
    <m/>
    <n v="0"/>
    <n v="776313.5000000007"/>
    <n v="0"/>
    <n v="0"/>
    <m/>
    <n v="0"/>
    <m/>
    <n v="0"/>
    <m/>
    <n v="0"/>
    <n v="836773.49999999977"/>
    <n v="0"/>
    <n v="0"/>
    <n v="0"/>
    <n v="0"/>
    <n v="0"/>
    <x v="0"/>
    <s v=""/>
    <m/>
    <s v=""/>
    <n v="0"/>
    <s v=""/>
    <x v="1"/>
    <m/>
    <n v="0"/>
    <s v="No change"/>
    <m/>
    <m/>
    <m/>
    <m/>
    <x v="0"/>
    <n v="0"/>
    <n v="0"/>
  </r>
  <r>
    <x v="10"/>
    <s v="COM"/>
    <n v="684565.5"/>
    <x v="32"/>
    <n v="0"/>
    <n v="699392.50000000035"/>
    <n v="0"/>
    <m/>
    <n v="0"/>
    <m/>
    <n v="0"/>
    <m/>
    <n v="0"/>
    <m/>
    <n v="0"/>
    <n v="776313.5000000007"/>
    <n v="0"/>
    <n v="0"/>
    <m/>
    <n v="0"/>
    <m/>
    <n v="0"/>
    <m/>
    <n v="0"/>
    <n v="836773.49999999977"/>
    <n v="0"/>
    <n v="0"/>
    <n v="0"/>
    <n v="0"/>
    <n v="0"/>
    <x v="0"/>
    <s v=""/>
    <m/>
    <s v=""/>
    <n v="0"/>
    <s v=""/>
    <x v="1"/>
    <m/>
    <n v="0"/>
    <s v="No change"/>
    <m/>
    <m/>
    <m/>
    <m/>
    <x v="0"/>
    <n v="0"/>
    <n v="0"/>
  </r>
  <r>
    <x v="11"/>
    <s v="CPV"/>
    <n v="533864.00000000012"/>
    <x v="19"/>
    <n v="260"/>
    <n v="539939.99999999988"/>
    <n v="308"/>
    <n v="546076"/>
    <n v="0"/>
    <n v="552166.00000000012"/>
    <n v="410"/>
    <n v="558394.50000000035"/>
    <n v="408"/>
    <n v="564954.00000000035"/>
    <n v="0"/>
    <n v="571201.5"/>
    <n v="452"/>
    <n v="452"/>
    <n v="577030.49999999965"/>
    <n v="0"/>
    <n v="582640.00000000023"/>
    <n v="0"/>
    <n v="587925"/>
    <n v="0"/>
    <n v="593149.50000000012"/>
    <n v="2644"/>
    <n v="452"/>
    <n v="410"/>
    <n v="452"/>
    <n v="2644"/>
    <x v="187"/>
    <n v="2013"/>
    <n v="452"/>
    <n v="2018"/>
    <n v="2644"/>
    <n v="2022"/>
    <x v="1"/>
    <n v="2644"/>
    <n v="2644"/>
    <s v="Increasing"/>
    <m/>
    <m/>
    <m/>
    <m/>
    <x v="206"/>
    <n v="7.913144485790041"/>
    <n v="44.57560867875636"/>
  </r>
  <r>
    <x v="11"/>
    <s v="CPV"/>
    <n v="533865"/>
    <x v="20"/>
    <n v="0"/>
    <n v="539939.99999999988"/>
    <n v="0"/>
    <m/>
    <n v="0"/>
    <m/>
    <n v="0"/>
    <m/>
    <n v="0"/>
    <m/>
    <n v="0"/>
    <n v="571201.5"/>
    <n v="165"/>
    <n v="165"/>
    <m/>
    <n v="0"/>
    <m/>
    <n v="0"/>
    <m/>
    <n v="0"/>
    <n v="593149.50000000012"/>
    <n v="187"/>
    <n v="165"/>
    <n v="0"/>
    <n v="165"/>
    <n v="187"/>
    <x v="0"/>
    <s v=""/>
    <n v="165"/>
    <n v="2018"/>
    <n v="187"/>
    <n v="2022"/>
    <x v="1"/>
    <n v="187"/>
    <n v="187"/>
    <s v="Increasing"/>
    <m/>
    <m/>
    <m/>
    <m/>
    <x v="0"/>
    <n v="2.8886478764499044"/>
    <n v="3.1526621871888953"/>
  </r>
  <r>
    <x v="11"/>
    <s v="CPV"/>
    <n v="533866"/>
    <x v="21"/>
    <n v="0"/>
    <n v="539939.99999999988"/>
    <n v="0"/>
    <m/>
    <n v="0"/>
    <m/>
    <n v="0"/>
    <m/>
    <n v="0"/>
    <m/>
    <n v="0"/>
    <n v="571201.5"/>
    <n v="287"/>
    <n v="287"/>
    <m/>
    <n v="0"/>
    <m/>
    <n v="0"/>
    <m/>
    <n v="0"/>
    <n v="593149.50000000012"/>
    <n v="108"/>
    <n v="287"/>
    <n v="0"/>
    <n v="287"/>
    <n v="108"/>
    <x v="0"/>
    <s v=""/>
    <n v="287"/>
    <n v="2018"/>
    <n v="108"/>
    <n v="2022"/>
    <x v="0"/>
    <n v="134.29007633587787"/>
    <n v="287"/>
    <s v="Decreasing"/>
    <m/>
    <m/>
    <m/>
    <m/>
    <x v="0"/>
    <n v="5.0244966093401366"/>
    <n v="2.2640173571060558"/>
  </r>
  <r>
    <x v="11"/>
    <s v="CPV"/>
    <n v="533867"/>
    <x v="22"/>
    <n v="551"/>
    <n v="539939.99999999988"/>
    <n v="403"/>
    <m/>
    <n v="476"/>
    <m/>
    <n v="498"/>
    <m/>
    <n v="612"/>
    <m/>
    <n v="688"/>
    <n v="571201.5"/>
    <n v="706"/>
    <n v="768"/>
    <m/>
    <n v="0"/>
    <m/>
    <n v="0"/>
    <m/>
    <n v="0"/>
    <n v="593149.50000000012"/>
    <n v="941"/>
    <n v="768"/>
    <n v="551"/>
    <n v="706"/>
    <n v="941"/>
    <x v="188"/>
    <n v="2013"/>
    <n v="768"/>
    <s v="2018 (triag)"/>
    <n v="941"/>
    <n v="2022"/>
    <x v="1"/>
    <n v="941"/>
    <n v="941"/>
    <s v="Increasing"/>
    <m/>
    <m/>
    <m/>
    <m/>
    <x v="207"/>
    <n v="13.445342843112282"/>
    <n v="15.86446587243182"/>
  </r>
  <r>
    <x v="11"/>
    <s v="CPV"/>
    <n v="533868"/>
    <x v="23"/>
    <n v="0"/>
    <n v="539939.99999999988"/>
    <n v="0"/>
    <m/>
    <n v="0"/>
    <m/>
    <n v="0"/>
    <m/>
    <n v="0"/>
    <m/>
    <n v="0"/>
    <n v="571201.5"/>
    <n v="0"/>
    <n v="243"/>
    <m/>
    <n v="0"/>
    <m/>
    <n v="0"/>
    <m/>
    <n v="0"/>
    <n v="593149.50000000012"/>
    <n v="846"/>
    <n v="243"/>
    <n v="0"/>
    <n v="0"/>
    <n v="846"/>
    <x v="0"/>
    <s v=""/>
    <n v="243"/>
    <s v="2018 (triag)"/>
    <n v="846"/>
    <n v="2022"/>
    <x v="1"/>
    <n v="846"/>
    <n v="846"/>
    <s v="Increasing"/>
    <m/>
    <m/>
    <m/>
    <m/>
    <x v="0"/>
    <n v="4.2541905089534957"/>
    <n v="14.262846044715538"/>
  </r>
  <r>
    <x v="11"/>
    <s v="CPV"/>
    <n v="533869"/>
    <x v="24"/>
    <n v="0"/>
    <n v="539939.99999999988"/>
    <n v="0"/>
    <m/>
    <n v="0"/>
    <m/>
    <n v="0"/>
    <m/>
    <n v="0"/>
    <m/>
    <n v="0"/>
    <n v="571201.5"/>
    <n v="0"/>
    <n v="525"/>
    <m/>
    <n v="0"/>
    <m/>
    <n v="0"/>
    <m/>
    <n v="0"/>
    <n v="593149.50000000012"/>
    <n v="95"/>
    <n v="525"/>
    <n v="0"/>
    <n v="0"/>
    <n v="95"/>
    <x v="0"/>
    <s v=""/>
    <n v="525"/>
    <s v="2018 (triag)"/>
    <n v="95"/>
    <n v="2022"/>
    <x v="0"/>
    <n v="118.12553011026294"/>
    <n v="525"/>
    <s v="Decreasing"/>
    <m/>
    <m/>
    <m/>
    <m/>
    <x v="0"/>
    <n v="9.1911523341587866"/>
    <n v="1.9914967493062528"/>
  </r>
  <r>
    <x v="11"/>
    <s v="CPV"/>
    <n v="533870"/>
    <x v="25"/>
    <n v="0"/>
    <n v="539939.99999999988"/>
    <n v="0"/>
    <m/>
    <n v="0"/>
    <m/>
    <n v="0"/>
    <m/>
    <n v="0"/>
    <m/>
    <n v="0"/>
    <n v="571201.5"/>
    <n v="0"/>
    <n v="27"/>
    <m/>
    <n v="0"/>
    <m/>
    <n v="0"/>
    <m/>
    <n v="0"/>
    <n v="593149.50000000012"/>
    <n v="0"/>
    <n v="27"/>
    <n v="0"/>
    <n v="0"/>
    <n v="0"/>
    <x v="0"/>
    <s v=""/>
    <n v="27"/>
    <s v="2018 (triag)"/>
    <n v="27"/>
    <s v="2018 (triag)"/>
    <x v="1"/>
    <n v="27"/>
    <n v="27"/>
    <s v="No change"/>
    <m/>
    <m/>
    <m/>
    <m/>
    <x v="0"/>
    <n v="0.47268783432816613"/>
    <n v="0.45519721419304904"/>
  </r>
  <r>
    <x v="11"/>
    <s v="CPV"/>
    <n v="533871"/>
    <x v="26"/>
    <n v="0"/>
    <n v="539939.99999999988"/>
    <n v="0"/>
    <m/>
    <n v="0"/>
    <m/>
    <n v="0"/>
    <m/>
    <n v="0"/>
    <m/>
    <n v="0"/>
    <n v="571201.5"/>
    <n v="0"/>
    <n v="7"/>
    <m/>
    <n v="0"/>
    <m/>
    <n v="0"/>
    <m/>
    <n v="0"/>
    <n v="593149.50000000012"/>
    <n v="0"/>
    <n v="7"/>
    <n v="0"/>
    <n v="0"/>
    <n v="0"/>
    <x v="0"/>
    <s v=""/>
    <n v="7"/>
    <s v="2018 (triag)"/>
    <n v="7"/>
    <s v="2018 (triag)"/>
    <x v="1"/>
    <n v="7"/>
    <n v="7"/>
    <s v="No change"/>
    <m/>
    <m/>
    <m/>
    <m/>
    <x v="0"/>
    <n v="0.12254869778878381"/>
    <n v="0.11801409256856828"/>
  </r>
  <r>
    <x v="11"/>
    <s v="CPV"/>
    <n v="533872"/>
    <x v="27"/>
    <n v="0"/>
    <n v="539939.99999999988"/>
    <n v="0"/>
    <m/>
    <n v="0"/>
    <m/>
    <n v="0"/>
    <m/>
    <n v="0"/>
    <m/>
    <n v="0"/>
    <n v="571201.5"/>
    <n v="0"/>
    <n v="20"/>
    <m/>
    <n v="0"/>
    <m/>
    <n v="0"/>
    <m/>
    <n v="0"/>
    <n v="593149.50000000012"/>
    <n v="0"/>
    <n v="20"/>
    <n v="0"/>
    <n v="0"/>
    <n v="0"/>
    <x v="0"/>
    <s v=""/>
    <n v="20"/>
    <s v="2018 (triag)"/>
    <n v="20"/>
    <s v="2018 (triag)"/>
    <x v="1"/>
    <n v="20"/>
    <n v="20"/>
    <s v="No change"/>
    <m/>
    <m/>
    <m/>
    <m/>
    <x v="0"/>
    <n v="0.35013913653938233"/>
    <n v="0.33718312162448077"/>
  </r>
  <r>
    <x v="11"/>
    <s v="CPV"/>
    <n v="533873"/>
    <x v="28"/>
    <n v="0"/>
    <n v="539939.99999999988"/>
    <n v="0"/>
    <m/>
    <n v="0"/>
    <m/>
    <n v="0"/>
    <m/>
    <n v="4"/>
    <m/>
    <n v="0"/>
    <n v="571201.5"/>
    <n v="172"/>
    <n v="172"/>
    <m/>
    <n v="0"/>
    <m/>
    <n v="0"/>
    <m/>
    <n v="0"/>
    <n v="593149.50000000012"/>
    <n v="23"/>
    <n v="80"/>
    <n v="0"/>
    <n v="172"/>
    <n v="23"/>
    <x v="0"/>
    <s v=""/>
    <n v="172"/>
    <n v="2018"/>
    <n v="23"/>
    <n v="2022"/>
    <x v="0"/>
    <n v="28.59881255301103"/>
    <n v="172"/>
    <s v="Decreasing"/>
    <m/>
    <m/>
    <m/>
    <m/>
    <x v="0"/>
    <n v="3.0111965742386881"/>
    <n v="0.48215184456888233"/>
  </r>
  <r>
    <x v="11"/>
    <s v="CPV"/>
    <n v="533874"/>
    <x v="29"/>
    <n v="0"/>
    <n v="539939.99999999988"/>
    <n v="0"/>
    <m/>
    <n v="0"/>
    <m/>
    <n v="0"/>
    <m/>
    <n v="0"/>
    <m/>
    <n v="0"/>
    <n v="571201.5"/>
    <n v="0"/>
    <n v="92"/>
    <m/>
    <n v="0"/>
    <m/>
    <n v="0"/>
    <m/>
    <n v="0"/>
    <n v="593149.50000000012"/>
    <n v="6"/>
    <n v="92"/>
    <n v="0"/>
    <n v="0"/>
    <n v="6"/>
    <x v="0"/>
    <s v=""/>
    <n v="92"/>
    <s v="2018 (triag)"/>
    <n v="6"/>
    <n v="2022"/>
    <x v="0"/>
    <n v="7.4605597964376598"/>
    <n v="92"/>
    <s v="Decreasing"/>
    <m/>
    <m/>
    <m/>
    <m/>
    <x v="0"/>
    <n v="1.6106400280811588"/>
    <n v="0.12577874206144757"/>
  </r>
  <r>
    <x v="11"/>
    <s v="CPV"/>
    <n v="533875"/>
    <x v="30"/>
    <n v="0"/>
    <n v="539939.99999999988"/>
    <n v="0"/>
    <m/>
    <n v="0"/>
    <m/>
    <n v="0"/>
    <m/>
    <n v="4"/>
    <m/>
    <n v="0"/>
    <n v="571201.5"/>
    <n v="81"/>
    <n v="81"/>
    <m/>
    <n v="120"/>
    <m/>
    <n v="0"/>
    <m/>
    <n v="0"/>
    <n v="593149.50000000012"/>
    <n v="10"/>
    <n v="81"/>
    <n v="0"/>
    <n v="120"/>
    <n v="10"/>
    <x v="0"/>
    <s v=""/>
    <n v="81"/>
    <n v="2018"/>
    <n v="10"/>
    <n v="2022"/>
    <x v="0"/>
    <n v="12.434266327396099"/>
    <n v="81"/>
    <s v="Decreasing"/>
    <m/>
    <m/>
    <m/>
    <m/>
    <x v="0"/>
    <n v="1.4180635029844986"/>
    <n v="0.20963123676907924"/>
  </r>
  <r>
    <x v="11"/>
    <s v="CPV"/>
    <n v="533876"/>
    <x v="31"/>
    <n v="0"/>
    <n v="539939.99999999988"/>
    <n v="0"/>
    <m/>
    <n v="0"/>
    <m/>
    <n v="0"/>
    <m/>
    <n v="0"/>
    <m/>
    <n v="0"/>
    <n v="571201.5"/>
    <n v="0"/>
    <n v="0"/>
    <m/>
    <n v="74"/>
    <m/>
    <n v="0"/>
    <m/>
    <n v="0"/>
    <n v="593149.50000000012"/>
    <n v="0"/>
    <n v="0"/>
    <n v="0"/>
    <n v="74"/>
    <n v="0"/>
    <x v="0"/>
    <s v=""/>
    <n v="74"/>
    <n v="2019"/>
    <n v="74"/>
    <n v="2019"/>
    <x v="1"/>
    <n v="74"/>
    <n v="74"/>
    <s v="No change"/>
    <m/>
    <m/>
    <m/>
    <m/>
    <x v="0"/>
    <n v="1.2955148051957146"/>
    <n v="1.2475775500105788"/>
  </r>
  <r>
    <x v="11"/>
    <s v="CPV"/>
    <n v="533877"/>
    <x v="32"/>
    <n v="0"/>
    <n v="539939.99999999988"/>
    <n v="0"/>
    <m/>
    <n v="0"/>
    <m/>
    <n v="0"/>
    <m/>
    <n v="0"/>
    <m/>
    <n v="0"/>
    <n v="571201.5"/>
    <n v="0"/>
    <n v="0"/>
    <m/>
    <n v="0"/>
    <m/>
    <n v="0"/>
    <m/>
    <n v="0"/>
    <n v="593149.50000000012"/>
    <n v="0"/>
    <n v="0"/>
    <n v="0"/>
    <n v="0"/>
    <n v="0"/>
    <x v="0"/>
    <s v=""/>
    <m/>
    <s v=""/>
    <n v="0"/>
    <s v=""/>
    <x v="1"/>
    <m/>
    <n v="0"/>
    <s v="No change"/>
    <m/>
    <m/>
    <m/>
    <m/>
    <x v="0"/>
    <n v="0"/>
    <n v="0"/>
  </r>
  <r>
    <x v="12"/>
    <s v="DZA"/>
    <n v="37260562.50000003"/>
    <x v="19"/>
    <n v="0"/>
    <n v="38000626.500000022"/>
    <n v="0"/>
    <n v="38760167.5"/>
    <n v="0"/>
    <n v="39543154.499999985"/>
    <n v="0"/>
    <n v="40339328.5"/>
    <n v="74309"/>
    <n v="41136545.999999985"/>
    <n v="0"/>
    <n v="41927007.000000007"/>
    <n v="72604"/>
    <n v="73168"/>
    <n v="42705368.50000003"/>
    <n v="42140"/>
    <n v="43451665.999999985"/>
    <n v="0"/>
    <n v="44177968.500000007"/>
    <n v="0"/>
    <n v="44903225.000000007"/>
    <n v="0"/>
    <n v="73168"/>
    <n v="0"/>
    <n v="74309"/>
    <n v="0"/>
    <x v="0"/>
    <s v=""/>
    <n v="73168"/>
    <s v="2018 (triag)"/>
    <n v="42140"/>
    <s v="2018 (triag)"/>
    <x v="0"/>
    <n v="75512"/>
    <n v="75512"/>
    <s v="Increasing"/>
    <m/>
    <m/>
    <m/>
    <m/>
    <x v="0"/>
    <n v="17.451281461612556"/>
    <n v="16.816609497424736"/>
  </r>
  <r>
    <x v="12"/>
    <s v="DZA"/>
    <n v="37260563.5"/>
    <x v="20"/>
    <n v="0"/>
    <n v="38000626.500000022"/>
    <n v="0"/>
    <m/>
    <n v="0"/>
    <m/>
    <n v="0"/>
    <m/>
    <n v="0"/>
    <m/>
    <n v="0"/>
    <n v="41927007.000000007"/>
    <n v="32774"/>
    <n v="34077"/>
    <m/>
    <n v="27560"/>
    <m/>
    <n v="0"/>
    <m/>
    <n v="0"/>
    <n v="44903225.000000007"/>
    <n v="0"/>
    <n v="34077"/>
    <n v="0"/>
    <n v="32774"/>
    <n v="0"/>
    <x v="0"/>
    <s v=""/>
    <n v="34077"/>
    <s v="2018 (triag)"/>
    <n v="27560"/>
    <s v="2018 (triag)"/>
    <x v="0"/>
    <n v="37679"/>
    <n v="37679"/>
    <s v="Increasing"/>
    <m/>
    <m/>
    <m/>
    <m/>
    <x v="0"/>
    <n v="8.1276967850340451"/>
    <n v="8.3911567598986476"/>
  </r>
  <r>
    <x v="12"/>
    <s v="DZA"/>
    <n v="37260564.5"/>
    <x v="21"/>
    <n v="0"/>
    <n v="38000626.500000022"/>
    <n v="0"/>
    <m/>
    <n v="0"/>
    <m/>
    <n v="0"/>
    <m/>
    <n v="0"/>
    <m/>
    <n v="0"/>
    <n v="41927007.000000007"/>
    <n v="39830"/>
    <n v="39830"/>
    <m/>
    <n v="14580"/>
    <m/>
    <n v="0"/>
    <m/>
    <n v="0"/>
    <n v="44903225.000000007"/>
    <n v="0"/>
    <n v="39091"/>
    <n v="0"/>
    <n v="39830"/>
    <n v="0"/>
    <x v="0"/>
    <s v=""/>
    <n v="39830"/>
    <n v="2018"/>
    <n v="14580"/>
    <n v="2018"/>
    <x v="0"/>
    <n v="37833"/>
    <n v="39830"/>
    <s v="Decreasing"/>
    <m/>
    <m/>
    <m/>
    <m/>
    <x v="0"/>
    <n v="9.499843382572001"/>
    <n v="8.4254527375260899"/>
  </r>
  <r>
    <x v="12"/>
    <s v="DZA"/>
    <n v="37260565.5"/>
    <x v="22"/>
    <n v="0"/>
    <n v="38000626.500000022"/>
    <n v="0"/>
    <m/>
    <n v="0"/>
    <m/>
    <n v="0"/>
    <m/>
    <n v="90958"/>
    <m/>
    <n v="92000"/>
    <n v="41927007.000000007"/>
    <n v="56411"/>
    <n v="57705"/>
    <m/>
    <n v="4425"/>
    <m/>
    <n v="0"/>
    <m/>
    <n v="0"/>
    <n v="44903225.000000007"/>
    <n v="0"/>
    <n v="57705"/>
    <n v="0"/>
    <n v="92000"/>
    <n v="0"/>
    <x v="0"/>
    <s v=""/>
    <n v="57705"/>
    <s v="2018 (triag)"/>
    <n v="4425"/>
    <s v="2018 (triag)"/>
    <x v="0"/>
    <n v="104776"/>
    <n v="104776"/>
    <s v="Increasing"/>
    <m/>
    <m/>
    <m/>
    <m/>
    <x v="0"/>
    <n v="13.763205181805606"/>
    <n v="23.333736051252441"/>
  </r>
  <r>
    <x v="12"/>
    <s v="DZA"/>
    <n v="37260566.5"/>
    <x v="23"/>
    <n v="0"/>
    <n v="38000626.500000022"/>
    <n v="0"/>
    <m/>
    <n v="0"/>
    <m/>
    <n v="0"/>
    <m/>
    <n v="0"/>
    <m/>
    <n v="0"/>
    <n v="41927007.000000007"/>
    <n v="45173"/>
    <n v="47676"/>
    <m/>
    <n v="4425"/>
    <m/>
    <n v="0"/>
    <m/>
    <n v="0"/>
    <n v="44903225.000000007"/>
    <n v="0"/>
    <n v="47676"/>
    <n v="0"/>
    <n v="45173"/>
    <n v="0"/>
    <x v="0"/>
    <s v=""/>
    <n v="47676"/>
    <s v="2018 (triag)"/>
    <n v="4425"/>
    <s v="2018 (triag)"/>
    <x v="0"/>
    <n v="5043.8935155116633"/>
    <n v="47676"/>
    <s v="Decreasing"/>
    <m/>
    <m/>
    <m/>
    <m/>
    <x v="0"/>
    <n v="11.371190888965671"/>
    <n v="1.1232809036570675"/>
  </r>
  <r>
    <x v="12"/>
    <s v="DZA"/>
    <n v="37260567.5"/>
    <x v="24"/>
    <n v="0"/>
    <n v="38000626.500000022"/>
    <n v="0"/>
    <m/>
    <n v="0"/>
    <m/>
    <n v="0"/>
    <m/>
    <n v="0"/>
    <m/>
    <n v="0"/>
    <n v="41927007.000000007"/>
    <n v="11238"/>
    <n v="11238"/>
    <m/>
    <n v="0"/>
    <m/>
    <n v="0"/>
    <m/>
    <n v="0"/>
    <n v="44903225.000000007"/>
    <n v="0"/>
    <n v="10029"/>
    <n v="0"/>
    <n v="11238"/>
    <n v="0"/>
    <x v="0"/>
    <s v=""/>
    <n v="11238"/>
    <n v="2018"/>
    <n v="11238"/>
    <n v="2018"/>
    <x v="1"/>
    <n v="11238"/>
    <n v="11238"/>
    <s v="No change"/>
    <m/>
    <m/>
    <m/>
    <m/>
    <x v="0"/>
    <n v="2.6803725818062802"/>
    <n v="2.5027155621895751"/>
  </r>
  <r>
    <x v="12"/>
    <s v="DZA"/>
    <n v="37260568.5"/>
    <x v="25"/>
    <n v="0"/>
    <n v="38000626.500000022"/>
    <n v="0"/>
    <m/>
    <n v="11139"/>
    <m/>
    <n v="0"/>
    <m/>
    <n v="0"/>
    <m/>
    <n v="0"/>
    <n v="41927007.000000007"/>
    <n v="8948"/>
    <n v="8948"/>
    <m/>
    <n v="9070"/>
    <m/>
    <n v="0"/>
    <m/>
    <n v="0"/>
    <n v="44903225.000000007"/>
    <n v="0"/>
    <n v="8620"/>
    <n v="11139"/>
    <n v="9070"/>
    <n v="0"/>
    <x v="189"/>
    <n v="2014"/>
    <n v="8948"/>
    <n v="2018"/>
    <n v="9070"/>
    <n v="2018"/>
    <x v="1"/>
    <n v="9070"/>
    <n v="9070"/>
    <s v="Increasing"/>
    <m/>
    <m/>
    <m/>
    <m/>
    <x v="208"/>
    <n v="2.1341852520023665"/>
    <n v="2.019899461564286"/>
  </r>
  <r>
    <x v="12"/>
    <s v="DZA"/>
    <n v="37260569.5"/>
    <x v="26"/>
    <n v="0"/>
    <n v="38000626.500000022"/>
    <n v="0"/>
    <m/>
    <n v="9404"/>
    <m/>
    <n v="0"/>
    <m/>
    <n v="0"/>
    <m/>
    <n v="0"/>
    <n v="41927007.000000007"/>
    <n v="8739"/>
    <n v="8739"/>
    <m/>
    <n v="9070"/>
    <m/>
    <n v="0"/>
    <m/>
    <n v="0"/>
    <n v="44903225.000000007"/>
    <n v="0"/>
    <n v="8582"/>
    <n v="9404"/>
    <n v="9070"/>
    <n v="0"/>
    <x v="190"/>
    <n v="2014"/>
    <n v="8739"/>
    <n v="2018"/>
    <n v="9070"/>
    <n v="2018"/>
    <x v="1"/>
    <n v="9070"/>
    <n v="9070"/>
    <s v="Increasing"/>
    <m/>
    <m/>
    <m/>
    <m/>
    <x v="209"/>
    <n v="2.0843367140420965"/>
    <n v="2.019899461564286"/>
  </r>
  <r>
    <x v="12"/>
    <s v="DZA"/>
    <n v="37260570.5"/>
    <x v="27"/>
    <n v="0"/>
    <n v="38000626.500000022"/>
    <n v="0"/>
    <m/>
    <n v="1735"/>
    <m/>
    <n v="0"/>
    <m/>
    <n v="0"/>
    <m/>
    <n v="0"/>
    <n v="41927007.000000007"/>
    <n v="209"/>
    <n v="209"/>
    <m/>
    <n v="0"/>
    <m/>
    <n v="0"/>
    <m/>
    <n v="0"/>
    <n v="44903225.000000007"/>
    <n v="0"/>
    <n v="38"/>
    <n v="1735"/>
    <n v="209"/>
    <n v="0"/>
    <x v="191"/>
    <n v="2014"/>
    <n v="209"/>
    <n v="2018"/>
    <n v="209"/>
    <n v="2018"/>
    <x v="1"/>
    <n v="209"/>
    <n v="209"/>
    <s v="No change"/>
    <m/>
    <m/>
    <m/>
    <m/>
    <x v="210"/>
    <n v="4.9848537960269848E-2"/>
    <n v="4.6544541065814307E-2"/>
  </r>
  <r>
    <x v="12"/>
    <s v="DZA"/>
    <n v="37260571.5"/>
    <x v="28"/>
    <n v="0"/>
    <n v="38000626.500000022"/>
    <n v="0"/>
    <m/>
    <n v="0"/>
    <m/>
    <n v="0"/>
    <m/>
    <n v="0"/>
    <m/>
    <n v="0"/>
    <n v="41927007.000000007"/>
    <n v="18807"/>
    <n v="18807"/>
    <m/>
    <n v="2156"/>
    <m/>
    <n v="0"/>
    <m/>
    <n v="0"/>
    <n v="44903225.000000007"/>
    <n v="0"/>
    <n v="12570"/>
    <n v="0"/>
    <n v="18807"/>
    <n v="0"/>
    <x v="0"/>
    <s v=""/>
    <n v="18807"/>
    <n v="2018"/>
    <n v="2156"/>
    <n v="2018"/>
    <x v="0"/>
    <n v="13642"/>
    <n v="18807"/>
    <s v="Decreasing"/>
    <m/>
    <m/>
    <m/>
    <m/>
    <x v="0"/>
    <n v="4.485652887171268"/>
    <n v="3.038089135023152"/>
  </r>
  <r>
    <x v="12"/>
    <s v="DZA"/>
    <n v="37260572.5"/>
    <x v="29"/>
    <n v="0"/>
    <n v="38000626.500000022"/>
    <n v="0"/>
    <m/>
    <n v="0"/>
    <m/>
    <n v="0"/>
    <m/>
    <n v="0"/>
    <m/>
    <n v="0"/>
    <n v="41927007.000000007"/>
    <n v="880"/>
    <n v="1536"/>
    <m/>
    <n v="0"/>
    <m/>
    <n v="0"/>
    <m/>
    <n v="0"/>
    <n v="44903225.000000007"/>
    <n v="0"/>
    <n v="1536"/>
    <n v="0"/>
    <n v="880"/>
    <n v="0"/>
    <x v="0"/>
    <s v=""/>
    <n v="1536"/>
    <s v="2018 (triag)"/>
    <n v="1536"/>
    <s v="2018 (triag)"/>
    <x v="1"/>
    <n v="1536"/>
    <n v="1536"/>
    <s v="No change"/>
    <m/>
    <m/>
    <m/>
    <m/>
    <x v="0"/>
    <n v="0.36635097754533247"/>
    <n v="0.34206897166072142"/>
  </r>
  <r>
    <x v="12"/>
    <s v="DZA"/>
    <n v="37260573.5"/>
    <x v="30"/>
    <n v="0"/>
    <n v="38000626.500000022"/>
    <n v="0"/>
    <m/>
    <n v="0"/>
    <m/>
    <n v="0"/>
    <m/>
    <n v="0"/>
    <m/>
    <n v="14263"/>
    <n v="41927007.000000007"/>
    <n v="15437"/>
    <n v="15437"/>
    <m/>
    <n v="7018"/>
    <m/>
    <n v="0"/>
    <m/>
    <n v="0"/>
    <n v="44903225.000000007"/>
    <n v="0"/>
    <n v="12774"/>
    <n v="0"/>
    <n v="15437"/>
    <n v="0"/>
    <x v="0"/>
    <s v=""/>
    <n v="15437"/>
    <n v="2018"/>
    <n v="7018"/>
    <n v="2018"/>
    <x v="0"/>
    <n v="16223"/>
    <n v="16223"/>
    <s v="Increasing"/>
    <m/>
    <m/>
    <m/>
    <m/>
    <x v="0"/>
    <n v="3.6818750262807924"/>
    <n v="3.612880812012945"/>
  </r>
  <r>
    <x v="12"/>
    <s v="DZA"/>
    <n v="37260574.5"/>
    <x v="31"/>
    <n v="0"/>
    <n v="38000626.500000022"/>
    <n v="0"/>
    <m/>
    <n v="0"/>
    <m/>
    <n v="0"/>
    <m/>
    <n v="0"/>
    <m/>
    <n v="0"/>
    <n v="41927007.000000007"/>
    <n v="46"/>
    <n v="46"/>
    <m/>
    <n v="0"/>
    <m/>
    <n v="0"/>
    <m/>
    <n v="0"/>
    <n v="44903225.000000007"/>
    <n v="0"/>
    <n v="7"/>
    <n v="0"/>
    <n v="46"/>
    <n v="0"/>
    <x v="0"/>
    <s v=""/>
    <n v="46"/>
    <n v="2018"/>
    <n v="46"/>
    <n v="2018"/>
    <x v="1"/>
    <n v="46"/>
    <n v="46"/>
    <s v="No change"/>
    <m/>
    <m/>
    <m/>
    <m/>
    <x v="0"/>
    <n v="1.0971448546279489E-2"/>
    <n v="1.0244253057547647E-2"/>
  </r>
  <r>
    <x v="12"/>
    <s v="DZA"/>
    <n v="37260575.5"/>
    <x v="32"/>
    <n v="0"/>
    <n v="38000626.500000022"/>
    <n v="0"/>
    <m/>
    <n v="0"/>
    <m/>
    <n v="0"/>
    <m/>
    <n v="0"/>
    <m/>
    <n v="0"/>
    <n v="41927007.000000007"/>
    <n v="4403"/>
    <n v="4403"/>
    <m/>
    <n v="0"/>
    <m/>
    <n v="0"/>
    <m/>
    <n v="0"/>
    <n v="44903225.000000007"/>
    <n v="0"/>
    <n v="0"/>
    <n v="0"/>
    <n v="4403"/>
    <n v="0"/>
    <x v="0"/>
    <s v=""/>
    <n v="4403"/>
    <n v="2018"/>
    <n v="4403"/>
    <n v="2018"/>
    <x v="1"/>
    <n v="4403"/>
    <n v="4403"/>
    <s v="No change"/>
    <m/>
    <m/>
    <m/>
    <m/>
    <x v="0"/>
    <n v="1.0501584336797518"/>
    <n v="0.98055317853004975"/>
  </r>
  <r>
    <x v="13"/>
    <s v="ERI"/>
    <n v="3252595.9999999991"/>
    <x v="19"/>
    <n v="153"/>
    <n v="3296367"/>
    <n v="172"/>
    <n v="3323425.0000000009"/>
    <n v="204"/>
    <n v="3340005.9999999991"/>
    <n v="212"/>
    <n v="3365287.5000000014"/>
    <n v="226"/>
    <n v="3396933.0000000019"/>
    <n v="224"/>
    <n v="3445374.4999999986"/>
    <n v="280"/>
    <n v="280"/>
    <n v="3498818.0000000014"/>
    <n v="248"/>
    <n v="3555867.9999999991"/>
    <n v="291"/>
    <n v="3620312.0000000023"/>
    <n v="286"/>
    <n v="3684031.5000000019"/>
    <n v="260"/>
    <n v="280"/>
    <n v="212"/>
    <n v="280"/>
    <n v="291"/>
    <x v="192"/>
    <n v="2013"/>
    <n v="280"/>
    <n v="2018"/>
    <n v="260"/>
    <n v="2022"/>
    <x v="0"/>
    <n v="298.81764752330793"/>
    <n v="298.81764752330793"/>
    <s v="Increasing"/>
    <m/>
    <m/>
    <m/>
    <m/>
    <x v="211"/>
    <n v="0.81268378807586839"/>
    <n v="0.81111588628736697"/>
  </r>
  <r>
    <x v="13"/>
    <s v="ERI"/>
    <n v="3252597"/>
    <x v="20"/>
    <n v="0"/>
    <n v="3296367"/>
    <n v="0"/>
    <m/>
    <n v="0"/>
    <m/>
    <n v="0"/>
    <m/>
    <n v="0"/>
    <m/>
    <n v="0"/>
    <n v="3445374.4999999986"/>
    <n v="160"/>
    <n v="160"/>
    <m/>
    <n v="0"/>
    <m/>
    <n v="0"/>
    <m/>
    <n v="276"/>
    <n v="3684031.5000000019"/>
    <n v="260"/>
    <n v="160"/>
    <n v="0"/>
    <n v="160"/>
    <n v="276"/>
    <x v="0"/>
    <s v=""/>
    <n v="160"/>
    <n v="2018"/>
    <n v="260"/>
    <n v="2022"/>
    <x v="1"/>
    <n v="260"/>
    <n v="260"/>
    <s v="Increasing"/>
    <m/>
    <m/>
    <m/>
    <m/>
    <x v="0"/>
    <n v="0.4643907360433534"/>
    <n v="0.7057485800542147"/>
  </r>
  <r>
    <x v="13"/>
    <s v="ERI"/>
    <n v="3252598"/>
    <x v="21"/>
    <n v="0"/>
    <n v="3296367"/>
    <n v="0"/>
    <m/>
    <n v="0"/>
    <m/>
    <n v="0"/>
    <m/>
    <n v="0"/>
    <m/>
    <n v="0"/>
    <n v="3445374.4999999986"/>
    <n v="120"/>
    <n v="120"/>
    <m/>
    <n v="0"/>
    <m/>
    <n v="0"/>
    <m/>
    <n v="10"/>
    <n v="3684031.5000000019"/>
    <n v="0"/>
    <n v="120"/>
    <n v="0"/>
    <n v="120"/>
    <n v="10"/>
    <x v="0"/>
    <s v=""/>
    <n v="120"/>
    <n v="2018"/>
    <n v="10"/>
    <n v="2021"/>
    <x v="0"/>
    <n v="11.492986443204153"/>
    <n v="120"/>
    <s v="Decreasing"/>
    <m/>
    <m/>
    <m/>
    <m/>
    <x v="0"/>
    <n v="0.34829305203251504"/>
    <n v="3.1196764857206426E-2"/>
  </r>
  <r>
    <x v="13"/>
    <s v="ERI"/>
    <n v="3252599"/>
    <x v="22"/>
    <n v="0"/>
    <n v="3296367"/>
    <n v="4262"/>
    <m/>
    <n v="4132"/>
    <m/>
    <n v="3962"/>
    <m/>
    <n v="4484"/>
    <m/>
    <n v="4528"/>
    <n v="3445374.4999999986"/>
    <n v="4971"/>
    <n v="4971"/>
    <m/>
    <n v="0"/>
    <m/>
    <n v="0"/>
    <m/>
    <n v="4681"/>
    <n v="3684031.5000000019"/>
    <n v="5007"/>
    <n v="3939"/>
    <n v="4262"/>
    <n v="4971"/>
    <n v="5007"/>
    <x v="193"/>
    <n v="2013"/>
    <n v="4971"/>
    <n v="2018"/>
    <n v="5007"/>
    <n v="2022"/>
    <x v="1"/>
    <n v="5007"/>
    <n v="5007"/>
    <s v="Increasing"/>
    <m/>
    <m/>
    <m/>
    <m/>
    <x v="212"/>
    <n v="14.428039680446936"/>
    <n v="13.591089001274819"/>
  </r>
  <r>
    <x v="13"/>
    <s v="ERI"/>
    <n v="3252600"/>
    <x v="23"/>
    <n v="0"/>
    <n v="3296367"/>
    <n v="1395"/>
    <m/>
    <n v="1397"/>
    <m/>
    <n v="1304"/>
    <m/>
    <n v="1505"/>
    <m/>
    <n v="1629"/>
    <n v="3445374.4999999986"/>
    <n v="2058"/>
    <n v="2058"/>
    <m/>
    <n v="0"/>
    <m/>
    <n v="0"/>
    <m/>
    <n v="1449"/>
    <n v="3684031.5000000019"/>
    <n v="1447"/>
    <n v="1442"/>
    <n v="1397"/>
    <n v="2058"/>
    <n v="1449"/>
    <x v="194"/>
    <n v="2013"/>
    <n v="2058"/>
    <n v="2018"/>
    <n v="1447"/>
    <n v="2022"/>
    <x v="0"/>
    <n v="1663.0351383316408"/>
    <n v="2058"/>
    <s v="Decreasing"/>
    <m/>
    <m/>
    <m/>
    <m/>
    <x v="213"/>
    <n v="5.9732258423576328"/>
    <n v="4.5141718748377695"/>
  </r>
  <r>
    <x v="13"/>
    <s v="ERI"/>
    <n v="3252601"/>
    <x v="24"/>
    <n v="0"/>
    <n v="3296367"/>
    <n v="2867"/>
    <m/>
    <n v="2735"/>
    <m/>
    <n v="2658"/>
    <m/>
    <n v="2979"/>
    <m/>
    <n v="2899"/>
    <n v="3445374.4999999986"/>
    <n v="2913"/>
    <n v="2913"/>
    <m/>
    <n v="0"/>
    <m/>
    <n v="0"/>
    <m/>
    <n v="3050"/>
    <n v="3684031.5000000019"/>
    <n v="3372"/>
    <n v="2497"/>
    <n v="2867"/>
    <n v="2979"/>
    <n v="3372"/>
    <x v="195"/>
    <n v="2013"/>
    <n v="2913"/>
    <n v="2018"/>
    <n v="3372"/>
    <n v="2022"/>
    <x v="1"/>
    <n v="3372"/>
    <n v="3372"/>
    <s v="Increasing"/>
    <m/>
    <m/>
    <m/>
    <m/>
    <x v="214"/>
    <n v="8.4548138380893025"/>
    <n v="9.1530161997800459"/>
  </r>
  <r>
    <x v="13"/>
    <s v="ERI"/>
    <n v="3252602"/>
    <x v="25"/>
    <n v="0"/>
    <n v="3296367"/>
    <n v="0"/>
    <m/>
    <n v="0"/>
    <m/>
    <n v="0"/>
    <m/>
    <n v="376"/>
    <m/>
    <n v="0"/>
    <n v="3445374.4999999986"/>
    <n v="0"/>
    <n v="45"/>
    <m/>
    <n v="0"/>
    <m/>
    <n v="0"/>
    <m/>
    <n v="67"/>
    <n v="3684031.5000000019"/>
    <n v="67"/>
    <n v="45"/>
    <n v="0"/>
    <n v="376"/>
    <n v="67"/>
    <x v="0"/>
    <s v=""/>
    <n v="45"/>
    <s v="2018 (triag)"/>
    <n v="67"/>
    <n v="2021"/>
    <x v="1"/>
    <n v="67"/>
    <n v="67"/>
    <s v="Increasing"/>
    <m/>
    <m/>
    <m/>
    <m/>
    <x v="0"/>
    <n v="0.13060989451219315"/>
    <n v="0.18186598024473993"/>
  </r>
  <r>
    <x v="13"/>
    <s v="ERI"/>
    <n v="3252603"/>
    <x v="26"/>
    <n v="0"/>
    <n v="3296367"/>
    <n v="0"/>
    <m/>
    <n v="0"/>
    <m/>
    <n v="0"/>
    <m/>
    <n v="376"/>
    <m/>
    <n v="0"/>
    <n v="3445374.4999999986"/>
    <n v="0"/>
    <n v="45"/>
    <m/>
    <n v="0"/>
    <m/>
    <n v="0"/>
    <m/>
    <n v="67"/>
    <n v="3684031.5000000019"/>
    <n v="67"/>
    <n v="45"/>
    <n v="0"/>
    <n v="376"/>
    <n v="67"/>
    <x v="0"/>
    <s v=""/>
    <n v="45"/>
    <s v="2018 (triag)"/>
    <n v="67"/>
    <n v="2021"/>
    <x v="1"/>
    <n v="67"/>
    <n v="67"/>
    <s v="Increasing"/>
    <m/>
    <m/>
    <m/>
    <m/>
    <x v="0"/>
    <n v="0.13060989451219315"/>
    <n v="0.18186598024473993"/>
  </r>
  <r>
    <x v="13"/>
    <s v="ERI"/>
    <n v="3252604"/>
    <x v="27"/>
    <n v="0"/>
    <n v="3296367"/>
    <n v="0"/>
    <m/>
    <n v="0"/>
    <m/>
    <n v="0"/>
    <m/>
    <n v="0"/>
    <m/>
    <n v="0"/>
    <n v="3445374.4999999986"/>
    <n v="0"/>
    <n v="0"/>
    <m/>
    <n v="0"/>
    <m/>
    <n v="0"/>
    <m/>
    <n v="0"/>
    <n v="3684031.5000000019"/>
    <n v="0"/>
    <n v="0"/>
    <n v="0"/>
    <n v="0"/>
    <n v="0"/>
    <x v="0"/>
    <s v=""/>
    <m/>
    <s v=""/>
    <n v="0"/>
    <s v=""/>
    <x v="1"/>
    <m/>
    <n v="0"/>
    <s v="No change"/>
    <m/>
    <m/>
    <m/>
    <m/>
    <x v="0"/>
    <n v="0"/>
    <n v="0"/>
  </r>
  <r>
    <x v="13"/>
    <s v="ERI"/>
    <n v="3252605"/>
    <x v="28"/>
    <n v="0"/>
    <n v="3296367"/>
    <n v="0"/>
    <m/>
    <n v="0"/>
    <m/>
    <n v="0"/>
    <m/>
    <n v="0"/>
    <m/>
    <n v="0"/>
    <n v="3445374.4999999986"/>
    <n v="451"/>
    <n v="451"/>
    <m/>
    <n v="0"/>
    <m/>
    <n v="0"/>
    <m/>
    <n v="208"/>
    <n v="3684031.5000000019"/>
    <n v="199"/>
    <n v="151"/>
    <n v="0"/>
    <n v="451"/>
    <n v="208"/>
    <x v="0"/>
    <s v=""/>
    <n v="451"/>
    <n v="2018"/>
    <n v="199"/>
    <n v="2022"/>
    <x v="0"/>
    <n v="228.71043021976263"/>
    <n v="451"/>
    <s v="Decreasing"/>
    <m/>
    <m/>
    <m/>
    <m/>
    <x v="0"/>
    <n v="1.3090013872222024"/>
    <n v="0.62081562065840779"/>
  </r>
  <r>
    <x v="13"/>
    <s v="ERI"/>
    <n v="3252606"/>
    <x v="29"/>
    <n v="0"/>
    <n v="3296367"/>
    <n v="0"/>
    <m/>
    <n v="0"/>
    <m/>
    <n v="0"/>
    <m/>
    <n v="0"/>
    <m/>
    <n v="0"/>
    <n v="3445374.4999999986"/>
    <n v="0"/>
    <n v="300"/>
    <m/>
    <n v="0"/>
    <m/>
    <n v="0"/>
    <m/>
    <n v="280"/>
    <n v="3684031.5000000019"/>
    <n v="288"/>
    <n v="300"/>
    <n v="0"/>
    <n v="0"/>
    <n v="288"/>
    <x v="0"/>
    <s v=""/>
    <n v="300"/>
    <s v="2018 (triag)"/>
    <n v="288"/>
    <n v="2022"/>
    <x v="0"/>
    <n v="330.99800956427958"/>
    <n v="330.99800956427958"/>
    <s v="Increasing"/>
    <m/>
    <m/>
    <m/>
    <m/>
    <x v="0"/>
    <n v="0.87073263008128765"/>
    <n v="0.89846682788754495"/>
  </r>
  <r>
    <x v="13"/>
    <s v="ERI"/>
    <n v="3252607"/>
    <x v="30"/>
    <n v="0"/>
    <n v="3296367"/>
    <n v="0"/>
    <m/>
    <n v="0"/>
    <m/>
    <n v="0"/>
    <m/>
    <n v="0"/>
    <m/>
    <n v="0"/>
    <n v="3445374.4999999986"/>
    <n v="186"/>
    <n v="186"/>
    <m/>
    <n v="0"/>
    <m/>
    <n v="0"/>
    <m/>
    <n v="60"/>
    <n v="3684031.5000000019"/>
    <n v="58"/>
    <n v="22"/>
    <n v="0"/>
    <n v="186"/>
    <n v="60"/>
    <x v="0"/>
    <s v=""/>
    <n v="186"/>
    <n v="2018"/>
    <n v="58"/>
    <n v="2022"/>
    <x v="0"/>
    <n v="66.659321370584081"/>
    <n v="186"/>
    <s v="Decreasing"/>
    <m/>
    <m/>
    <m/>
    <m/>
    <x v="0"/>
    <n v="0.53985423065039828"/>
    <n v="0.18094123617179722"/>
  </r>
  <r>
    <x v="13"/>
    <s v="ERI"/>
    <n v="3252608"/>
    <x v="31"/>
    <n v="0"/>
    <n v="3296367"/>
    <n v="0"/>
    <m/>
    <n v="0"/>
    <m/>
    <n v="0"/>
    <m/>
    <n v="0"/>
    <m/>
    <n v="0"/>
    <n v="3445374.4999999986"/>
    <n v="0"/>
    <n v="164"/>
    <m/>
    <n v="0"/>
    <m/>
    <n v="0"/>
    <m/>
    <n v="154"/>
    <n v="3684031.5000000019"/>
    <n v="157"/>
    <n v="164"/>
    <n v="0"/>
    <n v="0"/>
    <n v="157"/>
    <x v="0"/>
    <s v=""/>
    <n v="164"/>
    <s v="2018 (triag)"/>
    <n v="157"/>
    <n v="2022"/>
    <x v="0"/>
    <n v="180.43988715830517"/>
    <n v="180.43988715830517"/>
    <s v="Increasing"/>
    <m/>
    <m/>
    <m/>
    <m/>
    <x v="0"/>
    <n v="0.4760005044444372"/>
    <n v="0.48978920825814082"/>
  </r>
  <r>
    <x v="13"/>
    <s v="ERI"/>
    <n v="3252609"/>
    <x v="32"/>
    <n v="0"/>
    <n v="3296367"/>
    <n v="0"/>
    <m/>
    <n v="0"/>
    <m/>
    <n v="0"/>
    <m/>
    <n v="0"/>
    <m/>
    <n v="0"/>
    <n v="3445374.4999999986"/>
    <n v="0"/>
    <n v="0"/>
    <m/>
    <n v="0"/>
    <m/>
    <n v="0"/>
    <m/>
    <n v="7"/>
    <n v="3684031.5000000019"/>
    <n v="7"/>
    <n v="0"/>
    <n v="0"/>
    <n v="0"/>
    <n v="7"/>
    <x v="0"/>
    <s v=""/>
    <m/>
    <s v=""/>
    <n v="7"/>
    <n v="2021"/>
    <x v="1"/>
    <n v="7"/>
    <n v="7"/>
    <s v="Increasing"/>
    <m/>
    <m/>
    <m/>
    <m/>
    <x v="0"/>
    <n v="0"/>
    <n v="1.9000923309151936E-2"/>
  </r>
  <r>
    <x v="14"/>
    <s v="ETH"/>
    <n v="94451279.50000006"/>
    <x v="19"/>
    <n v="0"/>
    <n v="97084366.00000003"/>
    <n v="0"/>
    <n v="99746766.49999994"/>
    <n v="0"/>
    <n v="102471895.49999996"/>
    <n v="0"/>
    <n v="105293228.50000003"/>
    <n v="0"/>
    <n v="108197949.49999994"/>
    <n v="0"/>
    <n v="111129438.00000001"/>
    <n v="8395"/>
    <n v="11263"/>
    <n v="114120593.49999996"/>
    <n v="5867"/>
    <n v="117190910.99999994"/>
    <n v="12174"/>
    <n v="120283026.00000006"/>
    <n v="12174"/>
    <n v="123379924.50000004"/>
    <n v="23741"/>
    <n v="11263"/>
    <n v="0"/>
    <n v="8395"/>
    <n v="23741"/>
    <x v="0"/>
    <s v=""/>
    <n v="11263"/>
    <s v="2018 (triag)"/>
    <n v="23741"/>
    <n v="2022"/>
    <x v="1"/>
    <n v="23741"/>
    <n v="23741"/>
    <s v="Increasing"/>
    <m/>
    <m/>
    <m/>
    <m/>
    <x v="0"/>
    <n v="1.0135028308160794"/>
    <n v="1.9242190409996556"/>
  </r>
  <r>
    <x v="14"/>
    <s v="ETH"/>
    <n v="94451280.500000104"/>
    <x v="20"/>
    <n v="0"/>
    <n v="97084366.00000003"/>
    <n v="0"/>
    <m/>
    <n v="0"/>
    <m/>
    <n v="0"/>
    <m/>
    <n v="0"/>
    <m/>
    <n v="0"/>
    <n v="111129438.00000001"/>
    <n v="5867"/>
    <n v="5867"/>
    <m/>
    <n v="5867"/>
    <m/>
    <n v="9361"/>
    <m/>
    <n v="9361"/>
    <n v="123379924.50000004"/>
    <n v="8860"/>
    <n v="5867"/>
    <n v="0"/>
    <n v="5867"/>
    <n v="9361"/>
    <x v="0"/>
    <s v=""/>
    <n v="5867"/>
    <n v="2018"/>
    <n v="8860"/>
    <n v="2022"/>
    <x v="1"/>
    <n v="8860"/>
    <n v="8860"/>
    <s v="Increasing"/>
    <m/>
    <m/>
    <m/>
    <m/>
    <x v="0"/>
    <n v="0.52794292003888288"/>
    <n v="0.71810710177570236"/>
  </r>
  <r>
    <x v="14"/>
    <s v="ETH"/>
    <n v="94451281.500000104"/>
    <x v="21"/>
    <n v="0"/>
    <n v="97084366.00000003"/>
    <n v="0"/>
    <m/>
    <n v="0"/>
    <m/>
    <n v="0"/>
    <m/>
    <n v="0"/>
    <m/>
    <n v="0"/>
    <n v="111129438.00000001"/>
    <n v="2528"/>
    <n v="5396"/>
    <m/>
    <n v="0"/>
    <m/>
    <n v="2813"/>
    <m/>
    <n v="2813"/>
    <n v="123379924.50000004"/>
    <n v="4467"/>
    <n v="5396"/>
    <n v="0"/>
    <n v="2528"/>
    <n v="4467"/>
    <x v="0"/>
    <s v=""/>
    <n v="5396"/>
    <s v="2018 (triag)"/>
    <n v="4467"/>
    <n v="2022"/>
    <x v="0"/>
    <n v="4560.2238523992301"/>
    <n v="5396"/>
    <s v="Decreasing"/>
    <m/>
    <m/>
    <m/>
    <m/>
    <x v="0"/>
    <n v="0.48555991077719651"/>
    <n v="0.36960825441251005"/>
  </r>
  <r>
    <x v="14"/>
    <s v="ETH"/>
    <n v="94451282.500000104"/>
    <x v="22"/>
    <n v="0"/>
    <n v="97084366.00000003"/>
    <n v="0"/>
    <m/>
    <n v="0"/>
    <m/>
    <n v="0"/>
    <m/>
    <n v="0"/>
    <m/>
    <n v="88164"/>
    <n v="111129438.00000001"/>
    <n v="61772"/>
    <n v="61772"/>
    <m/>
    <n v="0"/>
    <m/>
    <n v="69824"/>
    <m/>
    <n v="69824"/>
    <n v="123379924.50000004"/>
    <n v="131262"/>
    <n v="61772"/>
    <n v="0"/>
    <n v="88164"/>
    <n v="131262"/>
    <x v="0"/>
    <s v=""/>
    <n v="61772"/>
    <n v="2018"/>
    <n v="131262"/>
    <n v="2022"/>
    <x v="1"/>
    <n v="131262"/>
    <n v="131262"/>
    <s v="Increasing"/>
    <m/>
    <m/>
    <m/>
    <m/>
    <x v="0"/>
    <n v="5.5585631594753488"/>
    <n v="10.638845868316279"/>
  </r>
  <r>
    <x v="14"/>
    <s v="ETH"/>
    <n v="94451283.500000104"/>
    <x v="23"/>
    <n v="0"/>
    <n v="97084366.00000003"/>
    <n v="0"/>
    <m/>
    <n v="0"/>
    <m/>
    <n v="0"/>
    <m/>
    <n v="0"/>
    <m/>
    <n v="0"/>
    <n v="111129438.00000001"/>
    <n v="61772"/>
    <n v="61772"/>
    <m/>
    <n v="0"/>
    <m/>
    <n v="69824"/>
    <m/>
    <n v="69824"/>
    <n v="123379924.50000004"/>
    <n v="70246"/>
    <n v="61772"/>
    <n v="0"/>
    <n v="61772"/>
    <n v="70246"/>
    <x v="0"/>
    <s v=""/>
    <n v="61772"/>
    <n v="2018"/>
    <n v="70246"/>
    <n v="2022"/>
    <x v="1"/>
    <n v="70246"/>
    <n v="70246"/>
    <s v="Increasing"/>
    <m/>
    <m/>
    <m/>
    <m/>
    <x v="0"/>
    <n v="5.5585631594753488"/>
    <n v="5.6934708206925491"/>
  </r>
  <r>
    <x v="14"/>
    <s v="ETH"/>
    <n v="94451284.500000104"/>
    <x v="24"/>
    <n v="0"/>
    <n v="97084366.00000003"/>
    <n v="0"/>
    <m/>
    <n v="0"/>
    <m/>
    <n v="0"/>
    <m/>
    <n v="0"/>
    <m/>
    <n v="0"/>
    <n v="111129438.00000001"/>
    <n v="0"/>
    <n v="0"/>
    <m/>
    <n v="0"/>
    <m/>
    <n v="0"/>
    <m/>
    <n v="0"/>
    <n v="123379924.50000004"/>
    <n v="0"/>
    <n v="0"/>
    <n v="0"/>
    <n v="0"/>
    <n v="0"/>
    <x v="0"/>
    <s v=""/>
    <m/>
    <s v=""/>
    <n v="0"/>
    <s v=""/>
    <x v="1"/>
    <m/>
    <n v="0"/>
    <s v="No change"/>
    <m/>
    <m/>
    <m/>
    <m/>
    <x v="0"/>
    <n v="0"/>
    <n v="0"/>
  </r>
  <r>
    <x v="14"/>
    <s v="ETH"/>
    <n v="94451285.500000104"/>
    <x v="25"/>
    <n v="0"/>
    <n v="97084366.00000003"/>
    <n v="6925"/>
    <m/>
    <n v="0"/>
    <m/>
    <n v="0"/>
    <m/>
    <n v="12069"/>
    <m/>
    <n v="0"/>
    <n v="111129438.00000001"/>
    <n v="16159"/>
    <n v="16161"/>
    <m/>
    <n v="0"/>
    <m/>
    <n v="20355"/>
    <m/>
    <n v="20355"/>
    <n v="123379924.50000004"/>
    <n v="34541"/>
    <n v="16161"/>
    <n v="6925"/>
    <n v="16159"/>
    <n v="34541"/>
    <x v="196"/>
    <n v="2013"/>
    <n v="16161"/>
    <s v="2018 (triag)"/>
    <n v="34541"/>
    <n v="2022"/>
    <x v="1"/>
    <n v="34541"/>
    <n v="34541"/>
    <s v="Increasing"/>
    <m/>
    <m/>
    <m/>
    <m/>
    <x v="215"/>
    <n v="1.4542501330745503"/>
    <n v="2.7995640409068323"/>
  </r>
  <r>
    <x v="14"/>
    <s v="ETH"/>
    <n v="94451286.500000104"/>
    <x v="26"/>
    <n v="0"/>
    <n v="97084366.00000003"/>
    <n v="6925"/>
    <m/>
    <n v="0"/>
    <m/>
    <n v="0"/>
    <m/>
    <n v="12069"/>
    <m/>
    <n v="0"/>
    <n v="111129438.00000001"/>
    <n v="16159"/>
    <n v="16159"/>
    <m/>
    <n v="0"/>
    <m/>
    <n v="20355"/>
    <m/>
    <n v="20355"/>
    <n v="123379924.50000004"/>
    <n v="21993"/>
    <n v="16159"/>
    <n v="6925"/>
    <n v="16159"/>
    <n v="21993"/>
    <x v="196"/>
    <n v="2013"/>
    <n v="16159"/>
    <n v="2018"/>
    <n v="21993"/>
    <n v="2022"/>
    <x v="1"/>
    <n v="21993"/>
    <n v="21993"/>
    <s v="Increasing"/>
    <m/>
    <m/>
    <m/>
    <m/>
    <x v="215"/>
    <n v="1.4540701627592141"/>
    <n v="1.7825428317554199"/>
  </r>
  <r>
    <x v="14"/>
    <s v="ETH"/>
    <n v="94451287.500000104"/>
    <x v="27"/>
    <n v="0"/>
    <n v="97084366.00000003"/>
    <n v="0"/>
    <m/>
    <n v="0"/>
    <m/>
    <n v="0"/>
    <m/>
    <n v="0"/>
    <m/>
    <n v="0"/>
    <n v="111129438.00000001"/>
    <n v="0"/>
    <n v="2"/>
    <m/>
    <n v="0"/>
    <m/>
    <n v="0"/>
    <m/>
    <n v="0"/>
    <n v="123379924.50000004"/>
    <n v="0"/>
    <n v="2"/>
    <n v="0"/>
    <n v="0"/>
    <n v="0"/>
    <x v="0"/>
    <s v=""/>
    <n v="2"/>
    <s v="2018 (triag)"/>
    <n v="2"/>
    <s v="2018 (triag)"/>
    <x v="1"/>
    <n v="2"/>
    <n v="2"/>
    <s v="No change"/>
    <m/>
    <m/>
    <m/>
    <m/>
    <x v="0"/>
    <n v="1.7997031533624778E-4"/>
    <n v="1.6210092590873641E-4"/>
  </r>
  <r>
    <x v="14"/>
    <s v="ETH"/>
    <n v="94451288.500000104"/>
    <x v="28"/>
    <n v="0"/>
    <n v="97084366.00000003"/>
    <n v="0"/>
    <m/>
    <n v="0"/>
    <m/>
    <n v="0"/>
    <m/>
    <n v="0"/>
    <m/>
    <n v="0"/>
    <n v="111129438.00000001"/>
    <n v="10752"/>
    <n v="10752"/>
    <m/>
    <n v="0"/>
    <m/>
    <n v="5394"/>
    <m/>
    <n v="15498"/>
    <n v="123379924.50000004"/>
    <n v="22344"/>
    <n v="3907"/>
    <n v="0"/>
    <n v="10752"/>
    <n v="22344"/>
    <x v="0"/>
    <s v=""/>
    <n v="10752"/>
    <n v="2018"/>
    <n v="22344"/>
    <n v="2022"/>
    <x v="1"/>
    <n v="22344"/>
    <n v="22344"/>
    <s v="Increasing"/>
    <m/>
    <m/>
    <m/>
    <m/>
    <x v="0"/>
    <n v="0.96752041524766808"/>
    <n v="1.8109915442524032"/>
  </r>
  <r>
    <x v="14"/>
    <s v="ETH"/>
    <n v="94451289.500000104"/>
    <x v="29"/>
    <n v="0"/>
    <n v="97084366.00000003"/>
    <n v="0"/>
    <m/>
    <n v="0"/>
    <m/>
    <n v="0"/>
    <m/>
    <n v="0"/>
    <m/>
    <n v="0"/>
    <n v="111129438.00000001"/>
    <n v="0"/>
    <n v="6845"/>
    <m/>
    <n v="0"/>
    <m/>
    <n v="10104"/>
    <m/>
    <n v="0"/>
    <n v="123379924.50000004"/>
    <n v="13620"/>
    <n v="6845"/>
    <n v="0"/>
    <n v="0"/>
    <n v="13620"/>
    <x v="0"/>
    <s v=""/>
    <n v="6845"/>
    <s v="2018 (triag)"/>
    <n v="13620"/>
    <n v="2022"/>
    <x v="1"/>
    <n v="13620"/>
    <n v="13620"/>
    <s v="Increasing"/>
    <m/>
    <m/>
    <m/>
    <m/>
    <x v="0"/>
    <n v="0.61594840423830799"/>
    <n v="1.1039073054384949"/>
  </r>
  <r>
    <x v="14"/>
    <s v="ETH"/>
    <n v="94451290.500000104"/>
    <x v="30"/>
    <n v="0"/>
    <n v="97084366.00000003"/>
    <n v="0"/>
    <m/>
    <n v="0"/>
    <m/>
    <n v="0"/>
    <m/>
    <n v="0"/>
    <m/>
    <n v="0"/>
    <n v="111129438.00000001"/>
    <n v="1889"/>
    <n v="1889"/>
    <m/>
    <n v="52"/>
    <m/>
    <n v="228"/>
    <m/>
    <n v="0"/>
    <n v="123379924.50000004"/>
    <n v="3522"/>
    <n v="1745"/>
    <n v="0"/>
    <n v="1889"/>
    <n v="3522"/>
    <x v="0"/>
    <s v=""/>
    <n v="1889"/>
    <n v="2018"/>
    <n v="3522"/>
    <n v="2022"/>
    <x v="1"/>
    <n v="3522"/>
    <n v="3522"/>
    <s v="Increasing"/>
    <m/>
    <m/>
    <m/>
    <m/>
    <x v="0"/>
    <n v="0.16998196283508604"/>
    <n v="0.28545973052528484"/>
  </r>
  <r>
    <x v="14"/>
    <s v="ETH"/>
    <n v="94451291.500000104"/>
    <x v="31"/>
    <n v="0"/>
    <n v="97084366.00000003"/>
    <n v="0"/>
    <m/>
    <n v="0"/>
    <m/>
    <n v="0"/>
    <m/>
    <n v="0"/>
    <m/>
    <n v="0"/>
    <n v="111129438.00000001"/>
    <n v="0"/>
    <n v="144"/>
    <m/>
    <n v="0"/>
    <m/>
    <n v="110"/>
    <m/>
    <n v="0"/>
    <n v="123379924.50000004"/>
    <n v="195"/>
    <n v="144"/>
    <n v="0"/>
    <n v="0"/>
    <n v="195"/>
    <x v="0"/>
    <s v=""/>
    <n v="144"/>
    <s v="2018 (triag)"/>
    <n v="195"/>
    <n v="2022"/>
    <x v="1"/>
    <n v="195"/>
    <n v="195"/>
    <s v="Increasing"/>
    <m/>
    <m/>
    <m/>
    <m/>
    <x v="0"/>
    <n v="1.295786270420984E-2"/>
    <n v="1.5804840276101802E-2"/>
  </r>
  <r>
    <x v="14"/>
    <s v="ETH"/>
    <n v="94451292.500000104"/>
    <x v="32"/>
    <n v="0"/>
    <n v="97084366.00000003"/>
    <n v="0"/>
    <m/>
    <n v="0"/>
    <m/>
    <n v="0"/>
    <m/>
    <n v="0"/>
    <m/>
    <n v="0"/>
    <n v="111129438.00000001"/>
    <n v="0"/>
    <n v="0"/>
    <m/>
    <n v="0"/>
    <m/>
    <n v="0"/>
    <m/>
    <n v="0"/>
    <n v="123379924.50000004"/>
    <n v="0"/>
    <n v="0"/>
    <n v="0"/>
    <n v="0"/>
    <n v="0"/>
    <x v="0"/>
    <s v=""/>
    <m/>
    <s v=""/>
    <n v="0"/>
    <s v=""/>
    <x v="1"/>
    <m/>
    <n v="0"/>
    <s v="No change"/>
    <m/>
    <m/>
    <m/>
    <m/>
    <x v="0"/>
    <n v="0"/>
    <n v="0"/>
  </r>
  <r>
    <x v="15"/>
    <s v="GAB"/>
    <n v="1836705"/>
    <x v="19"/>
    <n v="0"/>
    <n v="1902226.5000000007"/>
    <n v="0"/>
    <n v="1966855.5"/>
    <n v="0"/>
    <n v="2028517.0000000007"/>
    <n v="0"/>
    <n v="2086205.5000000009"/>
    <n v="715"/>
    <n v="2140215.5000000005"/>
    <n v="1408"/>
    <n v="2192011.5"/>
    <n v="1368"/>
    <n v="1368"/>
    <n v="2242785.5000000005"/>
    <n v="1368"/>
    <n v="2292572.9999999981"/>
    <n v="1362"/>
    <n v="2341178.9999999986"/>
    <n v="0"/>
    <n v="2388992.5000000005"/>
    <n v="1139"/>
    <n v="1368"/>
    <n v="0"/>
    <n v="1408"/>
    <n v="1362"/>
    <x v="0"/>
    <s v=""/>
    <n v="1368"/>
    <n v="2018"/>
    <n v="1139"/>
    <n v="2022"/>
    <x v="0"/>
    <n v="1265.3898201501661"/>
    <n v="1368"/>
    <s v="Decreasing"/>
    <m/>
    <m/>
    <m/>
    <m/>
    <x v="0"/>
    <n v="6.2408431707589127"/>
    <n v="5.2967509113158195"/>
  </r>
  <r>
    <x v="15"/>
    <s v="GAB"/>
    <n v="1836706"/>
    <x v="20"/>
    <n v="0"/>
    <n v="1902226.5000000007"/>
    <n v="0"/>
    <m/>
    <n v="0"/>
    <m/>
    <n v="0"/>
    <m/>
    <n v="0"/>
    <m/>
    <n v="570"/>
    <n v="2192011.5"/>
    <n v="570"/>
    <n v="570"/>
    <m/>
    <n v="516"/>
    <m/>
    <n v="526"/>
    <m/>
    <n v="0"/>
    <n v="2388992.5000000005"/>
    <n v="612"/>
    <n v="570"/>
    <n v="0"/>
    <n v="570"/>
    <n v="612"/>
    <x v="0"/>
    <s v=""/>
    <n v="570"/>
    <n v="2017"/>
    <n v="612"/>
    <n v="2022"/>
    <x v="1"/>
    <n v="612"/>
    <n v="612"/>
    <s v="Increasing"/>
    <m/>
    <m/>
    <m/>
    <m/>
    <x v="0"/>
    <n v="2.6003513211495468"/>
    <n v="2.5617493566848784"/>
  </r>
  <r>
    <x v="15"/>
    <s v="GAB"/>
    <n v="1836707"/>
    <x v="21"/>
    <n v="0"/>
    <n v="1902226.5000000007"/>
    <n v="0"/>
    <m/>
    <n v="0"/>
    <m/>
    <n v="0"/>
    <m/>
    <n v="0"/>
    <m/>
    <n v="838"/>
    <n v="2192011.5"/>
    <n v="798"/>
    <n v="798"/>
    <m/>
    <n v="851"/>
    <m/>
    <n v="835"/>
    <m/>
    <n v="0"/>
    <n v="2388992.5000000005"/>
    <n v="527"/>
    <n v="798"/>
    <n v="0"/>
    <n v="851"/>
    <n v="835"/>
    <x v="0"/>
    <s v=""/>
    <n v="798"/>
    <n v="2018"/>
    <n v="527"/>
    <n v="2022"/>
    <x v="0"/>
    <n v="585.47887200977834"/>
    <n v="798"/>
    <s v="Decreasing"/>
    <m/>
    <m/>
    <m/>
    <m/>
    <x v="0"/>
    <n v="3.6404918496093654"/>
    <n v="2.450735496280454"/>
  </r>
  <r>
    <x v="15"/>
    <s v="GAB"/>
    <n v="1836708"/>
    <x v="22"/>
    <n v="0"/>
    <n v="1902226.5000000007"/>
    <n v="0"/>
    <m/>
    <n v="0"/>
    <m/>
    <n v="0"/>
    <m/>
    <n v="4596"/>
    <m/>
    <n v="5350"/>
    <n v="2192011.5"/>
    <n v="6085"/>
    <n v="6085"/>
    <m/>
    <n v="4711"/>
    <m/>
    <n v="5481"/>
    <m/>
    <n v="0"/>
    <n v="2388992.5000000005"/>
    <n v="4277"/>
    <n v="5352"/>
    <n v="0"/>
    <n v="6085"/>
    <n v="5481"/>
    <x v="0"/>
    <s v=""/>
    <n v="6085"/>
    <n v="2018"/>
    <n v="4277"/>
    <n v="2022"/>
    <x v="0"/>
    <n v="4751.5998777719578"/>
    <n v="6085"/>
    <s v="Decreasing"/>
    <m/>
    <m/>
    <m/>
    <m/>
    <x v="0"/>
    <n v="27.75989085823683"/>
    <n v="19.889555441350097"/>
  </r>
  <r>
    <x v="15"/>
    <s v="GAB"/>
    <n v="1836709"/>
    <x v="23"/>
    <n v="0"/>
    <n v="1902226.5000000007"/>
    <n v="0"/>
    <m/>
    <n v="0"/>
    <m/>
    <n v="0"/>
    <m/>
    <n v="0"/>
    <m/>
    <n v="1077"/>
    <n v="2192011.5"/>
    <n v="0"/>
    <n v="1077"/>
    <m/>
    <n v="3301"/>
    <m/>
    <n v="4844"/>
    <m/>
    <n v="0"/>
    <n v="2388992.5000000005"/>
    <n v="992"/>
    <n v="1077"/>
    <n v="0"/>
    <n v="3301"/>
    <n v="4844"/>
    <x v="0"/>
    <s v=""/>
    <n v="1077"/>
    <n v="2017"/>
    <n v="992"/>
    <n v="2022"/>
    <x v="0"/>
    <n v="1102.0778767242884"/>
    <n v="1102.0778767242884"/>
    <s v="Increasing"/>
    <m/>
    <m/>
    <m/>
    <m/>
    <x v="0"/>
    <n v="4.9132953910141435"/>
    <n v="4.6131491694690885"/>
  </r>
  <r>
    <x v="15"/>
    <s v="GAB"/>
    <n v="1836710"/>
    <x v="24"/>
    <n v="0"/>
    <n v="1902226.5000000007"/>
    <n v="0"/>
    <m/>
    <n v="0"/>
    <m/>
    <n v="0"/>
    <m/>
    <n v="0"/>
    <m/>
    <n v="0"/>
    <n v="2192011.5"/>
    <n v="0"/>
    <n v="4275"/>
    <m/>
    <n v="1408"/>
    <m/>
    <n v="635"/>
    <m/>
    <n v="0"/>
    <n v="2388992.5000000005"/>
    <n v="3201"/>
    <n v="4275"/>
    <n v="0"/>
    <n v="1408"/>
    <n v="3201"/>
    <x v="0"/>
    <s v=""/>
    <n v="4275"/>
    <s v="2018 (triag)"/>
    <n v="3201"/>
    <n v="2022"/>
    <x v="0"/>
    <n v="3556.2008905185962"/>
    <n v="4275"/>
    <s v="Decreasing"/>
    <m/>
    <m/>
    <m/>
    <m/>
    <x v="0"/>
    <n v="19.502634908621602"/>
    <n v="14.885776705111445"/>
  </r>
  <r>
    <x v="15"/>
    <s v="GAB"/>
    <n v="1836711"/>
    <x v="25"/>
    <n v="0"/>
    <n v="1902226.5000000007"/>
    <n v="437"/>
    <m/>
    <n v="0"/>
    <m/>
    <n v="0"/>
    <m/>
    <n v="513"/>
    <m/>
    <n v="733"/>
    <n v="2192011.5"/>
    <n v="0"/>
    <n v="733"/>
    <m/>
    <n v="607"/>
    <m/>
    <n v="662"/>
    <m/>
    <n v="0"/>
    <n v="2388992.5000000005"/>
    <n v="920"/>
    <n v="733"/>
    <n v="437"/>
    <n v="733"/>
    <n v="920"/>
    <x v="197"/>
    <n v="2013"/>
    <n v="733"/>
    <n v="2017"/>
    <n v="920"/>
    <n v="2022"/>
    <x v="1"/>
    <n v="920"/>
    <n v="920"/>
    <s v="Increasing"/>
    <m/>
    <m/>
    <m/>
    <m/>
    <x v="216"/>
    <n v="3.3439605586010841"/>
    <n v="3.8509957649511239"/>
  </r>
  <r>
    <x v="15"/>
    <s v="GAB"/>
    <n v="1836712"/>
    <x v="26"/>
    <n v="0"/>
    <n v="1902226.5000000007"/>
    <n v="437"/>
    <m/>
    <n v="0"/>
    <m/>
    <n v="0"/>
    <m/>
    <n v="0"/>
    <m/>
    <n v="109"/>
    <n v="2192011.5"/>
    <n v="0"/>
    <n v="107"/>
    <m/>
    <n v="607"/>
    <m/>
    <n v="662"/>
    <m/>
    <n v="0"/>
    <n v="2388992.5000000005"/>
    <n v="867"/>
    <n v="107"/>
    <n v="437"/>
    <n v="607"/>
    <n v="867"/>
    <x v="197"/>
    <n v="2013"/>
    <n v="107"/>
    <s v="2018 (triag)"/>
    <n v="867"/>
    <n v="2022"/>
    <x v="1"/>
    <n v="867"/>
    <n v="867"/>
    <s v="Increasing"/>
    <m/>
    <m/>
    <m/>
    <m/>
    <x v="216"/>
    <n v="0.48813612519824828"/>
    <n v="3.6291449219702439"/>
  </r>
  <r>
    <x v="15"/>
    <s v="GAB"/>
    <n v="1836713"/>
    <x v="27"/>
    <n v="0"/>
    <n v="1902226.5000000007"/>
    <n v="0"/>
    <m/>
    <n v="0"/>
    <m/>
    <n v="0"/>
    <m/>
    <n v="0"/>
    <m/>
    <n v="0"/>
    <n v="2192011.5"/>
    <n v="0"/>
    <n v="626"/>
    <m/>
    <n v="0"/>
    <m/>
    <n v="0"/>
    <m/>
    <n v="0"/>
    <n v="2388992.5000000005"/>
    <n v="43"/>
    <n v="626"/>
    <n v="0"/>
    <n v="0"/>
    <n v="43"/>
    <x v="0"/>
    <s v=""/>
    <n v="626"/>
    <s v="2018 (triag)"/>
    <n v="43"/>
    <n v="2022"/>
    <x v="0"/>
    <n v="47.77152086607299"/>
    <n v="626"/>
    <s v="Decreasing"/>
    <m/>
    <m/>
    <m/>
    <m/>
    <x v="0"/>
    <n v="2.8558244334028355"/>
    <n v="0.19996513537013191"/>
  </r>
  <r>
    <x v="15"/>
    <s v="GAB"/>
    <n v="1836714"/>
    <x v="28"/>
    <n v="0"/>
    <n v="1902226.5000000007"/>
    <n v="0"/>
    <m/>
    <n v="0"/>
    <m/>
    <n v="0"/>
    <m/>
    <n v="46"/>
    <m/>
    <n v="121"/>
    <n v="2192011.5"/>
    <n v="227"/>
    <n v="227"/>
    <m/>
    <n v="140"/>
    <m/>
    <n v="139"/>
    <m/>
    <n v="0"/>
    <n v="2388992.5000000005"/>
    <n v="168"/>
    <n v="121"/>
    <n v="0"/>
    <n v="227"/>
    <n v="168"/>
    <x v="0"/>
    <s v=""/>
    <n v="227"/>
    <n v="2018"/>
    <n v="168"/>
    <n v="2022"/>
    <x v="0"/>
    <n v="186.64222105814565"/>
    <n v="227"/>
    <s v="Decreasing"/>
    <m/>
    <m/>
    <m/>
    <m/>
    <x v="0"/>
    <n v="1.0355785085981528"/>
    <n v="0.78125913353912002"/>
  </r>
  <r>
    <x v="15"/>
    <s v="GAB"/>
    <n v="1836715"/>
    <x v="29"/>
    <n v="0"/>
    <n v="1902226.5000000007"/>
    <n v="0"/>
    <m/>
    <n v="0"/>
    <m/>
    <n v="0"/>
    <m/>
    <n v="72"/>
    <m/>
    <n v="106"/>
    <n v="2192011.5"/>
    <n v="0"/>
    <n v="106"/>
    <m/>
    <n v="179"/>
    <m/>
    <n v="179"/>
    <m/>
    <n v="0"/>
    <n v="2388992.5000000005"/>
    <n v="233"/>
    <n v="106"/>
    <n v="0"/>
    <n v="179"/>
    <n v="233"/>
    <x v="0"/>
    <s v=""/>
    <n v="106"/>
    <n v="2017"/>
    <n v="233"/>
    <n v="2022"/>
    <x v="1"/>
    <n v="233"/>
    <n v="233"/>
    <s v="Increasing"/>
    <m/>
    <m/>
    <m/>
    <m/>
    <x v="0"/>
    <n v="0.4835741053365824"/>
    <n v="0.97530653612349116"/>
  </r>
  <r>
    <x v="15"/>
    <s v="GAB"/>
    <n v="1836716"/>
    <x v="30"/>
    <n v="0"/>
    <n v="1902226.5000000007"/>
    <n v="0"/>
    <m/>
    <n v="0"/>
    <m/>
    <n v="0"/>
    <m/>
    <n v="0"/>
    <m/>
    <n v="37"/>
    <n v="2192011.5"/>
    <n v="40"/>
    <n v="40"/>
    <m/>
    <n v="34"/>
    <m/>
    <n v="34"/>
    <m/>
    <n v="0"/>
    <n v="2388992.5000000005"/>
    <n v="44"/>
    <n v="37"/>
    <n v="0"/>
    <n v="40"/>
    <n v="44"/>
    <x v="0"/>
    <s v=""/>
    <n v="40"/>
    <n v="2018"/>
    <n v="44"/>
    <n v="2022"/>
    <x v="1"/>
    <n v="44"/>
    <n v="44"/>
    <s v="Increasing"/>
    <m/>
    <m/>
    <m/>
    <m/>
    <x v="0"/>
    <n v="0.18248079446663487"/>
    <n v="0.18417805832374942"/>
  </r>
  <r>
    <x v="15"/>
    <s v="GAB"/>
    <n v="1836717"/>
    <x v="31"/>
    <n v="0"/>
    <n v="1902226.5000000007"/>
    <n v="0"/>
    <m/>
    <n v="0"/>
    <m/>
    <n v="0"/>
    <m/>
    <n v="0"/>
    <m/>
    <n v="3"/>
    <n v="2192011.5"/>
    <n v="0"/>
    <n v="3"/>
    <m/>
    <n v="32"/>
    <m/>
    <n v="32"/>
    <m/>
    <n v="0"/>
    <n v="2388992.5000000005"/>
    <n v="67"/>
    <n v="3"/>
    <n v="0"/>
    <n v="32"/>
    <n v="67"/>
    <x v="0"/>
    <s v=""/>
    <n v="3"/>
    <n v="2017"/>
    <n v="67"/>
    <n v="2022"/>
    <x v="1"/>
    <n v="67"/>
    <n v="67"/>
    <s v="Increasing"/>
    <m/>
    <m/>
    <m/>
    <m/>
    <x v="0"/>
    <n v="1.3686059584997615E-2"/>
    <n v="0.28045295244752749"/>
  </r>
  <r>
    <x v="15"/>
    <s v="GAB"/>
    <n v="1836718"/>
    <x v="32"/>
    <n v="0"/>
    <n v="1902226.5000000007"/>
    <n v="0"/>
    <m/>
    <n v="0"/>
    <m/>
    <n v="0"/>
    <m/>
    <n v="0"/>
    <m/>
    <n v="41"/>
    <n v="2192011.5"/>
    <n v="0"/>
    <n v="0"/>
    <m/>
    <n v="85"/>
    <m/>
    <n v="86"/>
    <m/>
    <n v="0"/>
    <n v="2388992.5000000005"/>
    <n v="175"/>
    <n v="0"/>
    <n v="0"/>
    <n v="85"/>
    <n v="175"/>
    <x v="0"/>
    <s v=""/>
    <n v="41"/>
    <n v="2017"/>
    <n v="175"/>
    <n v="2022"/>
    <x v="1"/>
    <n v="175"/>
    <n v="175"/>
    <s v="Increasing"/>
    <m/>
    <m/>
    <m/>
    <m/>
    <x v="0"/>
    <n v="0.18704281432830075"/>
    <n v="0.73252636833309426"/>
  </r>
  <r>
    <x v="16"/>
    <s v="GHA"/>
    <n v="26858761.999999993"/>
    <x v="19"/>
    <n v="2486"/>
    <n v="27525596.999999989"/>
    <n v="2730"/>
    <n v="28196358.499999996"/>
    <n v="3016"/>
    <n v="28870939.000000007"/>
    <n v="3263"/>
    <n v="29554302.499999993"/>
    <n v="3618"/>
    <n v="30222261.500000004"/>
    <n v="2679"/>
    <n v="30870640.5"/>
    <n v="4406"/>
    <n v="4406"/>
    <n v="31522289.999999996"/>
    <n v="3236"/>
    <n v="32180401.499999981"/>
    <n v="5285"/>
    <n v="32833031.499999996"/>
    <n v="4169"/>
    <n v="33475870.500000011"/>
    <n v="4726"/>
    <n v="4406"/>
    <n v="3263"/>
    <n v="4406"/>
    <n v="5285"/>
    <x v="198"/>
    <n v="2013"/>
    <n v="4406"/>
    <n v="2018"/>
    <n v="4726"/>
    <n v="2022"/>
    <x v="1"/>
    <n v="4726"/>
    <n v="4726"/>
    <s v="Increasing"/>
    <m/>
    <m/>
    <m/>
    <m/>
    <x v="217"/>
    <n v="1.4272460592451912"/>
    <n v="1.411763138467153"/>
  </r>
  <r>
    <x v="16"/>
    <s v="GHA"/>
    <n v="26858763"/>
    <x v="20"/>
    <n v="0"/>
    <n v="27525596.999999989"/>
    <n v="0"/>
    <m/>
    <n v="0"/>
    <m/>
    <n v="0"/>
    <m/>
    <n v="0"/>
    <m/>
    <n v="1757"/>
    <n v="30870640.5"/>
    <n v="3316"/>
    <n v="3316"/>
    <m/>
    <n v="2181"/>
    <m/>
    <n v="0"/>
    <m/>
    <n v="3034"/>
    <n v="33475870.500000011"/>
    <n v="3344"/>
    <n v="3316"/>
    <n v="0"/>
    <n v="3316"/>
    <n v="3344"/>
    <x v="0"/>
    <s v=""/>
    <n v="3316"/>
    <n v="2018"/>
    <n v="3344"/>
    <n v="2022"/>
    <x v="1"/>
    <n v="3344"/>
    <n v="3344"/>
    <s v="Increasing"/>
    <m/>
    <m/>
    <m/>
    <m/>
    <x v="0"/>
    <n v="1.074159766785532"/>
    <n v="0.99892846699834104"/>
  </r>
  <r>
    <x v="16"/>
    <s v="GHA"/>
    <n v="26858764"/>
    <x v="21"/>
    <n v="0"/>
    <n v="27525596.999999989"/>
    <n v="0"/>
    <m/>
    <n v="0"/>
    <m/>
    <n v="0"/>
    <m/>
    <n v="0"/>
    <m/>
    <n v="861"/>
    <n v="30870640.5"/>
    <n v="1090"/>
    <n v="1090"/>
    <m/>
    <n v="1055"/>
    <m/>
    <n v="0"/>
    <m/>
    <n v="1135"/>
    <n v="33475870.500000011"/>
    <n v="1382"/>
    <n v="1090"/>
    <n v="0"/>
    <n v="1090"/>
    <n v="1382"/>
    <x v="0"/>
    <s v=""/>
    <n v="1090"/>
    <n v="2018"/>
    <n v="1382"/>
    <n v="2022"/>
    <x v="1"/>
    <n v="1382"/>
    <n v="1382"/>
    <s v="Increasing"/>
    <m/>
    <m/>
    <m/>
    <m/>
    <x v="0"/>
    <n v="0.35308629245965922"/>
    <n v="0.41283467146881198"/>
  </r>
  <r>
    <x v="16"/>
    <s v="GHA"/>
    <n v="26858765"/>
    <x v="22"/>
    <n v="0"/>
    <n v="27525596.999999989"/>
    <n v="0"/>
    <m/>
    <n v="37404"/>
    <m/>
    <n v="48939"/>
    <m/>
    <n v="52605"/>
    <m/>
    <n v="58608"/>
    <n v="30870640.5"/>
    <n v="125024"/>
    <n v="125024"/>
    <m/>
    <n v="69789"/>
    <m/>
    <n v="95789"/>
    <m/>
    <n v="93144"/>
    <n v="33475870.500000011"/>
    <n v="102943"/>
    <n v="42827"/>
    <n v="48939"/>
    <n v="125024"/>
    <n v="102943"/>
    <x v="199"/>
    <n v="2014"/>
    <n v="125024"/>
    <n v="2018"/>
    <n v="102943"/>
    <n v="2022"/>
    <x v="0"/>
    <n v="124204.27697797566"/>
    <n v="125024"/>
    <s v="Decreasing"/>
    <m/>
    <m/>
    <m/>
    <m/>
    <x v="218"/>
    <n v="40.499321677501314"/>
    <n v="37.102627989308182"/>
  </r>
  <r>
    <x v="16"/>
    <s v="GHA"/>
    <n v="26858766"/>
    <x v="23"/>
    <n v="0"/>
    <n v="27525596.999999989"/>
    <n v="0"/>
    <m/>
    <n v="15412"/>
    <m/>
    <n v="0"/>
    <m/>
    <n v="0"/>
    <m/>
    <n v="21927"/>
    <n v="30870640.5"/>
    <n v="60530"/>
    <n v="60530"/>
    <m/>
    <n v="25959"/>
    <m/>
    <n v="0"/>
    <m/>
    <n v="41308"/>
    <n v="33475870.500000011"/>
    <n v="46459"/>
    <n v="22303"/>
    <n v="15412"/>
    <n v="60530"/>
    <n v="46459"/>
    <x v="200"/>
    <n v="2014"/>
    <n v="60530"/>
    <n v="2018"/>
    <n v="46459"/>
    <n v="2022"/>
    <x v="0"/>
    <n v="56054.384505209397"/>
    <n v="60530"/>
    <s v="Decreasing"/>
    <m/>
    <m/>
    <m/>
    <m/>
    <x v="219"/>
    <n v="19.607626864755204"/>
    <n v="16.744713032991744"/>
  </r>
  <r>
    <x v="16"/>
    <s v="GHA"/>
    <n v="26858767"/>
    <x v="24"/>
    <n v="0"/>
    <n v="27525596.999999989"/>
    <n v="0"/>
    <m/>
    <n v="21992"/>
    <m/>
    <n v="0"/>
    <m/>
    <n v="0"/>
    <m/>
    <n v="36681"/>
    <n v="30870640.5"/>
    <n v="64494"/>
    <n v="64494"/>
    <m/>
    <n v="43830"/>
    <m/>
    <n v="0"/>
    <m/>
    <n v="51836"/>
    <n v="33475870.500000011"/>
    <n v="56484"/>
    <n v="20524"/>
    <n v="21992"/>
    <n v="64494"/>
    <n v="56484"/>
    <x v="201"/>
    <n v="2014"/>
    <n v="64494"/>
    <n v="2018"/>
    <n v="56484"/>
    <n v="2022"/>
    <x v="0"/>
    <n v="68149.892472766252"/>
    <n v="68149.892472766252"/>
    <s v="Increasing"/>
    <m/>
    <m/>
    <m/>
    <m/>
    <x v="220"/>
    <n v="20.89169481274611"/>
    <n v="20.357914956316442"/>
  </r>
  <r>
    <x v="16"/>
    <s v="GHA"/>
    <n v="26858768"/>
    <x v="25"/>
    <n v="0"/>
    <n v="27525596.999999989"/>
    <n v="11287"/>
    <m/>
    <n v="0"/>
    <m/>
    <n v="6808"/>
    <m/>
    <n v="7662"/>
    <m/>
    <n v="9554"/>
    <n v="30870640.5"/>
    <n v="10489"/>
    <n v="10625"/>
    <m/>
    <n v="12673"/>
    <m/>
    <n v="16700"/>
    <m/>
    <n v="19141"/>
    <n v="33475870.500000011"/>
    <n v="23882"/>
    <n v="10625"/>
    <n v="11287"/>
    <n v="12673"/>
    <n v="23882"/>
    <x v="202"/>
    <n v="2013"/>
    <n v="10625"/>
    <s v="2018 (triag)"/>
    <n v="23882"/>
    <n v="2022"/>
    <x v="1"/>
    <n v="23882"/>
    <n v="23882"/>
    <s v="Increasing"/>
    <m/>
    <m/>
    <m/>
    <m/>
    <x v="221"/>
    <n v="3.441781520535669"/>
    <n v="7.1340937945138698"/>
  </r>
  <r>
    <x v="16"/>
    <s v="GHA"/>
    <n v="26858769"/>
    <x v="26"/>
    <n v="0"/>
    <n v="27525596.999999989"/>
    <n v="4185"/>
    <m/>
    <n v="0"/>
    <m/>
    <n v="0"/>
    <m/>
    <n v="0"/>
    <m/>
    <n v="9554"/>
    <n v="30870640.5"/>
    <n v="10489"/>
    <n v="10625"/>
    <m/>
    <n v="12673"/>
    <m/>
    <n v="0"/>
    <m/>
    <n v="19141"/>
    <n v="33475870.500000011"/>
    <n v="23882"/>
    <n v="10625"/>
    <n v="4185"/>
    <n v="12673"/>
    <n v="23882"/>
    <x v="203"/>
    <n v="2013"/>
    <n v="10625"/>
    <s v="2018 (triag)"/>
    <n v="23882"/>
    <n v="2022"/>
    <x v="1"/>
    <n v="23882"/>
    <n v="23882"/>
    <s v="Increasing"/>
    <m/>
    <m/>
    <m/>
    <m/>
    <x v="222"/>
    <n v="3.441781520535669"/>
    <n v="7.1340937945138698"/>
  </r>
  <r>
    <x v="16"/>
    <s v="GHA"/>
    <n v="26858770"/>
    <x v="27"/>
    <n v="0"/>
    <n v="27525596.999999989"/>
    <n v="0"/>
    <m/>
    <n v="0"/>
    <m/>
    <n v="0"/>
    <m/>
    <n v="0"/>
    <m/>
    <n v="0"/>
    <n v="30870640.5"/>
    <n v="0"/>
    <n v="0"/>
    <m/>
    <n v="0"/>
    <m/>
    <n v="0"/>
    <m/>
    <n v="0"/>
    <n v="33475870.500000011"/>
    <n v="0"/>
    <n v="0"/>
    <n v="0"/>
    <n v="0"/>
    <n v="0"/>
    <x v="0"/>
    <s v=""/>
    <m/>
    <s v=""/>
    <n v="0"/>
    <s v=""/>
    <x v="1"/>
    <m/>
    <n v="0"/>
    <s v="No change"/>
    <m/>
    <m/>
    <m/>
    <m/>
    <x v="0"/>
    <n v="0"/>
    <n v="0"/>
  </r>
  <r>
    <x v="16"/>
    <s v="GHA"/>
    <n v="26858771"/>
    <x v="28"/>
    <n v="0"/>
    <n v="27525596.999999989"/>
    <n v="0"/>
    <m/>
    <n v="0"/>
    <m/>
    <n v="0"/>
    <m/>
    <n v="570"/>
    <m/>
    <n v="718"/>
    <n v="30870640.5"/>
    <n v="918"/>
    <n v="918"/>
    <m/>
    <n v="1138"/>
    <m/>
    <n v="1388"/>
    <m/>
    <n v="1035"/>
    <n v="33475870.500000011"/>
    <n v="5736"/>
    <n v="775"/>
    <n v="0"/>
    <n v="1138"/>
    <n v="5736"/>
    <x v="0"/>
    <s v=""/>
    <n v="918"/>
    <n v="2018"/>
    <n v="5736"/>
    <n v="2022"/>
    <x v="1"/>
    <n v="5736"/>
    <n v="5736"/>
    <s v="Increasing"/>
    <m/>
    <m/>
    <m/>
    <m/>
    <x v="0"/>
    <n v="0.29736992337428181"/>
    <n v="1.7134729924349534"/>
  </r>
  <r>
    <x v="16"/>
    <s v="GHA"/>
    <n v="26858772"/>
    <x v="29"/>
    <n v="0"/>
    <n v="27525596.999999989"/>
    <n v="0"/>
    <m/>
    <n v="0"/>
    <m/>
    <n v="0"/>
    <m/>
    <n v="0"/>
    <m/>
    <n v="821"/>
    <n v="30870640.5"/>
    <n v="0"/>
    <n v="1352"/>
    <m/>
    <n v="0"/>
    <m/>
    <n v="0"/>
    <m/>
    <n v="1096"/>
    <n v="33475870.500000011"/>
    <n v="1507"/>
    <n v="1352"/>
    <n v="0"/>
    <n v="821"/>
    <n v="1507"/>
    <x v="0"/>
    <s v=""/>
    <n v="1352"/>
    <s v="2018 (triag)"/>
    <n v="1507"/>
    <n v="2022"/>
    <x v="1"/>
    <n v="1507"/>
    <n v="1507"/>
    <s v="Increasing"/>
    <m/>
    <m/>
    <m/>
    <m/>
    <x v="0"/>
    <n v="0.43795657560133877"/>
    <n v="0.45017499993017346"/>
  </r>
  <r>
    <x v="16"/>
    <s v="GHA"/>
    <n v="26858773"/>
    <x v="30"/>
    <n v="0"/>
    <n v="27525596.999999989"/>
    <n v="0"/>
    <m/>
    <n v="0"/>
    <m/>
    <n v="0"/>
    <m/>
    <n v="400"/>
    <m/>
    <n v="0"/>
    <n v="30870640.5"/>
    <n v="713"/>
    <n v="713"/>
    <m/>
    <n v="0"/>
    <m/>
    <n v="0"/>
    <m/>
    <n v="0"/>
    <n v="33475870.500000011"/>
    <n v="202"/>
    <n v="486"/>
    <n v="0"/>
    <n v="713"/>
    <n v="202"/>
    <x v="0"/>
    <s v=""/>
    <n v="713"/>
    <n v="2018"/>
    <n v="202"/>
    <n v="2022"/>
    <x v="0"/>
    <n v="243.71996104204348"/>
    <n v="713"/>
    <s v="Decreasing"/>
    <m/>
    <m/>
    <m/>
    <m/>
    <x v="0"/>
    <n v="0.2309637858015936"/>
    <n v="7.280466718320093E-2"/>
  </r>
  <r>
    <x v="16"/>
    <s v="GHA"/>
    <n v="26858774"/>
    <x v="31"/>
    <n v="0"/>
    <n v="27525596.999999989"/>
    <n v="0"/>
    <m/>
    <n v="0"/>
    <m/>
    <n v="0"/>
    <m/>
    <n v="516"/>
    <m/>
    <n v="46"/>
    <n v="30870640.5"/>
    <n v="0"/>
    <n v="227"/>
    <m/>
    <n v="0"/>
    <m/>
    <n v="0"/>
    <m/>
    <n v="396"/>
    <n v="33475870.500000011"/>
    <n v="488"/>
    <n v="227"/>
    <n v="0"/>
    <n v="516"/>
    <n v="488"/>
    <x v="0"/>
    <s v=""/>
    <n v="227"/>
    <s v="2018 (triag)"/>
    <n v="488"/>
    <n v="2022"/>
    <x v="1"/>
    <n v="488"/>
    <n v="488"/>
    <s v="Increasing"/>
    <m/>
    <m/>
    <m/>
    <m/>
    <x v="0"/>
    <n v="7.3532649897562058E-2"/>
    <n v="0.14577664231315504"/>
  </r>
  <r>
    <x v="16"/>
    <s v="GHA"/>
    <n v="26858775"/>
    <x v="32"/>
    <n v="0"/>
    <n v="27525596.999999989"/>
    <n v="0"/>
    <m/>
    <n v="0"/>
    <m/>
    <n v="0"/>
    <m/>
    <n v="0"/>
    <m/>
    <n v="0"/>
    <n v="30870640.5"/>
    <n v="0"/>
    <n v="0"/>
    <m/>
    <n v="0"/>
    <m/>
    <n v="0"/>
    <m/>
    <n v="48"/>
    <n v="33475870.500000011"/>
    <n v="65"/>
    <n v="0"/>
    <n v="0"/>
    <n v="0"/>
    <n v="65"/>
    <x v="0"/>
    <s v=""/>
    <m/>
    <s v=""/>
    <n v="65"/>
    <n v="2022"/>
    <x v="1"/>
    <n v="65"/>
    <n v="65"/>
    <s v="Increasing"/>
    <m/>
    <m/>
    <m/>
    <m/>
    <x v="0"/>
    <n v="0"/>
    <n v="1.9416970799907944E-2"/>
  </r>
  <r>
    <x v="17"/>
    <s v="GIN"/>
    <n v="10788692"/>
    <x v="19"/>
    <n v="0"/>
    <n v="11055430.000000004"/>
    <n v="0"/>
    <n v="11333365.500000002"/>
    <n v="1844"/>
    <n v="11625998.500000007"/>
    <n v="977"/>
    <n v="11930984.999999998"/>
    <n v="977"/>
    <n v="12240788.500000004"/>
    <n v="0"/>
    <n v="12554864.499999998"/>
    <n v="2787"/>
    <n v="2787"/>
    <n v="12877538.499999994"/>
    <n v="0"/>
    <n v="13205152.499999998"/>
    <n v="0"/>
    <n v="13531906.000000004"/>
    <n v="0"/>
    <n v="13859340.500000006"/>
    <n v="297"/>
    <n v="2787"/>
    <n v="1844"/>
    <n v="2787"/>
    <n v="297"/>
    <x v="204"/>
    <n v="2014"/>
    <n v="2787"/>
    <n v="2018"/>
    <n v="297"/>
    <n v="2022"/>
    <x v="0"/>
    <n v="341.34169736316329"/>
    <n v="2787"/>
    <s v="Decreasing"/>
    <m/>
    <m/>
    <m/>
    <m/>
    <x v="223"/>
    <n v="2.2198566937938682"/>
    <n v="0.24629000013612709"/>
  </r>
  <r>
    <x v="17"/>
    <s v="GIN"/>
    <n v="10788693"/>
    <x v="20"/>
    <n v="0"/>
    <n v="11055430.000000004"/>
    <n v="0"/>
    <m/>
    <n v="0"/>
    <m/>
    <n v="0"/>
    <m/>
    <n v="0"/>
    <m/>
    <n v="0"/>
    <n v="12554864.499999998"/>
    <n v="2649"/>
    <n v="2649"/>
    <m/>
    <n v="0"/>
    <m/>
    <n v="0"/>
    <m/>
    <n v="0"/>
    <n v="13859340.500000006"/>
    <n v="0"/>
    <n v="2649"/>
    <n v="0"/>
    <n v="2649"/>
    <n v="0"/>
    <x v="0"/>
    <s v=""/>
    <n v="2649"/>
    <n v="2018"/>
    <n v="2649"/>
    <n v="2018"/>
    <x v="1"/>
    <n v="2649"/>
    <n v="2649"/>
    <s v="No change"/>
    <m/>
    <m/>
    <m/>
    <m/>
    <x v="0"/>
    <n v="2.1099391395263569"/>
    <n v="1.9113463587967976"/>
  </r>
  <r>
    <x v="17"/>
    <s v="GIN"/>
    <n v="10788694"/>
    <x v="21"/>
    <n v="0"/>
    <n v="11055430.000000004"/>
    <n v="0"/>
    <m/>
    <n v="0"/>
    <m/>
    <n v="0"/>
    <m/>
    <n v="0"/>
    <m/>
    <n v="0"/>
    <n v="12554864.499999998"/>
    <n v="138"/>
    <n v="138"/>
    <m/>
    <n v="0"/>
    <m/>
    <n v="0"/>
    <m/>
    <n v="0"/>
    <n v="13859340.500000006"/>
    <n v="296"/>
    <n v="138"/>
    <n v="0"/>
    <n v="138"/>
    <n v="296"/>
    <x v="0"/>
    <s v=""/>
    <n v="138"/>
    <n v="2018"/>
    <n v="296"/>
    <n v="2022"/>
    <x v="1"/>
    <n v="296"/>
    <n v="296"/>
    <s v="Increasing"/>
    <m/>
    <m/>
    <m/>
    <m/>
    <x v="0"/>
    <n v="0.10991755426751122"/>
    <n v="0.21357437606789434"/>
  </r>
  <r>
    <x v="17"/>
    <s v="GIN"/>
    <n v="10788695"/>
    <x v="22"/>
    <n v="0"/>
    <n v="11055430.000000004"/>
    <n v="0"/>
    <m/>
    <n v="5789"/>
    <m/>
    <n v="4389"/>
    <m/>
    <n v="1010"/>
    <m/>
    <n v="0"/>
    <n v="12554864.499999998"/>
    <n v="7195"/>
    <n v="7195"/>
    <m/>
    <n v="0"/>
    <m/>
    <n v="0"/>
    <m/>
    <n v="0"/>
    <n v="13859340.500000006"/>
    <n v="4367"/>
    <n v="6329"/>
    <n v="5789"/>
    <n v="7195"/>
    <n v="4367"/>
    <x v="205"/>
    <n v="2014"/>
    <n v="7195"/>
    <n v="2018"/>
    <n v="4367"/>
    <n v="2022"/>
    <x v="0"/>
    <n v="5018.9871797472533"/>
    <n v="7195"/>
    <s v="Decreasing"/>
    <m/>
    <m/>
    <m/>
    <m/>
    <x v="224"/>
    <n v="5.7308463982227771"/>
    <n v="3.6213751871867581"/>
  </r>
  <r>
    <x v="17"/>
    <s v="GIN"/>
    <n v="10788696"/>
    <x v="23"/>
    <n v="0"/>
    <n v="11055430.000000004"/>
    <n v="0"/>
    <m/>
    <n v="1505"/>
    <m/>
    <n v="913"/>
    <m/>
    <n v="0"/>
    <m/>
    <n v="0"/>
    <n v="12554864.499999998"/>
    <n v="0"/>
    <n v="2344"/>
    <m/>
    <n v="0"/>
    <m/>
    <n v="0"/>
    <m/>
    <n v="0"/>
    <n v="13859340.500000006"/>
    <n v="1687"/>
    <n v="2344"/>
    <n v="1505"/>
    <n v="0"/>
    <n v="1687"/>
    <x v="206"/>
    <n v="2014"/>
    <n v="2344"/>
    <s v="2018 (triag)"/>
    <n v="1687"/>
    <n v="2022"/>
    <x v="0"/>
    <n v="1938.8668129685404"/>
    <n v="2344"/>
    <s v="Decreasing"/>
    <m/>
    <m/>
    <m/>
    <m/>
    <x v="225"/>
    <n v="1.8670054145148283"/>
    <n v="1.3989603711435907"/>
  </r>
  <r>
    <x v="17"/>
    <s v="GIN"/>
    <n v="10788697"/>
    <x v="24"/>
    <n v="0"/>
    <n v="11055430.000000004"/>
    <n v="0"/>
    <m/>
    <n v="4284"/>
    <m/>
    <n v="3476"/>
    <m/>
    <n v="0"/>
    <m/>
    <n v="0"/>
    <n v="12554864.499999998"/>
    <n v="0"/>
    <n v="3985"/>
    <m/>
    <n v="0"/>
    <m/>
    <n v="0"/>
    <m/>
    <n v="0"/>
    <n v="13859340.500000006"/>
    <n v="2680"/>
    <n v="3985"/>
    <n v="4284"/>
    <n v="0"/>
    <n v="2680"/>
    <x v="207"/>
    <n v="2014"/>
    <n v="3985"/>
    <s v="2018 (triag)"/>
    <n v="2680"/>
    <n v="2022"/>
    <x v="0"/>
    <n v="3080.1203667787127"/>
    <n v="3985"/>
    <s v="Decreasing"/>
    <m/>
    <m/>
    <m/>
    <m/>
    <x v="226"/>
    <n v="3.1740685054784943"/>
    <n v="2.2224148160431669"/>
  </r>
  <r>
    <x v="17"/>
    <s v="GIN"/>
    <n v="10788698"/>
    <x v="25"/>
    <n v="0"/>
    <n v="11055430.000000004"/>
    <n v="500"/>
    <m/>
    <n v="500"/>
    <m/>
    <n v="376"/>
    <m/>
    <n v="443"/>
    <m/>
    <n v="0"/>
    <n v="12554864.499999998"/>
    <n v="0"/>
    <n v="866"/>
    <m/>
    <n v="0"/>
    <m/>
    <n v="0"/>
    <m/>
    <n v="0"/>
    <n v="13859340.500000006"/>
    <n v="777"/>
    <n v="866"/>
    <n v="500"/>
    <n v="443"/>
    <n v="777"/>
    <x v="115"/>
    <n v="2013"/>
    <n v="866"/>
    <s v="2018 (triag)"/>
    <n v="777"/>
    <n v="2022"/>
    <x v="0"/>
    <n v="893.00504663696256"/>
    <n v="893.00504663696256"/>
    <s v="Increasing"/>
    <m/>
    <m/>
    <m/>
    <m/>
    <x v="227"/>
    <n v="0.68977247822945453"/>
    <n v="0.64433444480057489"/>
  </r>
  <r>
    <x v="17"/>
    <s v="GIN"/>
    <n v="10788699"/>
    <x v="26"/>
    <n v="0"/>
    <n v="11055430.000000004"/>
    <n v="500"/>
    <m/>
    <n v="0"/>
    <m/>
    <n v="376"/>
    <m/>
    <n v="0"/>
    <m/>
    <n v="0"/>
    <n v="12554864.499999998"/>
    <n v="0"/>
    <n v="866"/>
    <m/>
    <n v="0"/>
    <m/>
    <n v="0"/>
    <m/>
    <n v="0"/>
    <n v="13859340.500000006"/>
    <n v="777"/>
    <n v="866"/>
    <n v="500"/>
    <n v="0"/>
    <n v="777"/>
    <x v="115"/>
    <n v="2013"/>
    <n v="866"/>
    <s v="2018 (triag)"/>
    <n v="777"/>
    <n v="2022"/>
    <x v="0"/>
    <n v="893.00504663696256"/>
    <n v="893.00504663696256"/>
    <s v="Increasing"/>
    <m/>
    <m/>
    <m/>
    <m/>
    <x v="227"/>
    <n v="0.68977247822945453"/>
    <n v="0.64433444480057489"/>
  </r>
  <r>
    <x v="17"/>
    <s v="GIN"/>
    <n v="10788700"/>
    <x v="27"/>
    <n v="0"/>
    <n v="11055430.000000004"/>
    <n v="0"/>
    <m/>
    <n v="0"/>
    <m/>
    <n v="0"/>
    <m/>
    <n v="0"/>
    <m/>
    <n v="0"/>
    <n v="12554864.499999998"/>
    <n v="0"/>
    <n v="0"/>
    <m/>
    <n v="0"/>
    <m/>
    <n v="0"/>
    <m/>
    <n v="0"/>
    <n v="13859340.500000006"/>
    <n v="0"/>
    <n v="0"/>
    <n v="0"/>
    <n v="0"/>
    <n v="0"/>
    <x v="0"/>
    <s v=""/>
    <m/>
    <s v=""/>
    <n v="0"/>
    <s v=""/>
    <x v="1"/>
    <m/>
    <n v="0"/>
    <s v="No change"/>
    <m/>
    <m/>
    <m/>
    <m/>
    <x v="0"/>
    <n v="0"/>
    <n v="0"/>
  </r>
  <r>
    <x v="17"/>
    <s v="GIN"/>
    <n v="10788701"/>
    <x v="28"/>
    <n v="0"/>
    <n v="11055430.000000004"/>
    <n v="0"/>
    <m/>
    <n v="0"/>
    <m/>
    <n v="142"/>
    <m/>
    <n v="107"/>
    <m/>
    <n v="0"/>
    <n v="12554864.499999998"/>
    <n v="255"/>
    <n v="255"/>
    <m/>
    <n v="0"/>
    <m/>
    <n v="0"/>
    <m/>
    <n v="0"/>
    <n v="13859340.500000006"/>
    <n v="0"/>
    <n v="255"/>
    <n v="142"/>
    <n v="255"/>
    <n v="0"/>
    <x v="208"/>
    <n v="2015"/>
    <n v="255"/>
    <n v="2018"/>
    <n v="255"/>
    <n v="2018"/>
    <x v="1"/>
    <n v="255"/>
    <n v="255"/>
    <s v="No change"/>
    <m/>
    <m/>
    <m/>
    <m/>
    <x v="228"/>
    <n v="0.20310852418996639"/>
    <n v="0.18399143884227384"/>
  </r>
  <r>
    <x v="17"/>
    <s v="GIN"/>
    <n v="10788702"/>
    <x v="29"/>
    <n v="0"/>
    <n v="11055430.000000004"/>
    <n v="0"/>
    <m/>
    <n v="0"/>
    <m/>
    <n v="0"/>
    <m/>
    <n v="0"/>
    <m/>
    <n v="0"/>
    <n v="12554864.499999998"/>
    <n v="0"/>
    <n v="0"/>
    <m/>
    <n v="0"/>
    <m/>
    <n v="0"/>
    <m/>
    <n v="0"/>
    <n v="13859340.500000006"/>
    <n v="0"/>
    <n v="0"/>
    <n v="0"/>
    <n v="0"/>
    <n v="0"/>
    <x v="0"/>
    <s v=""/>
    <m/>
    <s v=""/>
    <n v="0"/>
    <s v=""/>
    <x v="1"/>
    <m/>
    <n v="0"/>
    <s v="No change"/>
    <m/>
    <m/>
    <m/>
    <m/>
    <x v="0"/>
    <n v="0"/>
    <n v="0"/>
  </r>
  <r>
    <x v="17"/>
    <s v="GIN"/>
    <n v="10788703"/>
    <x v="30"/>
    <n v="0"/>
    <n v="11055430.000000004"/>
    <n v="0"/>
    <m/>
    <n v="0"/>
    <m/>
    <n v="0"/>
    <m/>
    <n v="50"/>
    <m/>
    <n v="0"/>
    <n v="12554864.499999998"/>
    <n v="73"/>
    <n v="73"/>
    <m/>
    <n v="0"/>
    <m/>
    <n v="0"/>
    <m/>
    <n v="0"/>
    <n v="13859340.500000006"/>
    <n v="34"/>
    <n v="73"/>
    <n v="0"/>
    <n v="73"/>
    <n v="34"/>
    <x v="0"/>
    <s v=""/>
    <n v="73"/>
    <n v="2018"/>
    <n v="34"/>
    <n v="2022"/>
    <x v="0"/>
    <n v="39.076153906894113"/>
    <n v="73"/>
    <s v="Decreasing"/>
    <m/>
    <m/>
    <m/>
    <m/>
    <x v="0"/>
    <n v="5.8144793199480578E-2"/>
    <n v="2.8194814830398388E-2"/>
  </r>
  <r>
    <x v="17"/>
    <s v="GIN"/>
    <n v="10788704"/>
    <x v="31"/>
    <n v="0"/>
    <n v="11055430.000000004"/>
    <n v="0"/>
    <m/>
    <n v="0"/>
    <m/>
    <n v="0"/>
    <m/>
    <n v="0"/>
    <m/>
    <n v="0"/>
    <n v="12554864.499999998"/>
    <n v="0"/>
    <n v="0"/>
    <m/>
    <n v="0"/>
    <m/>
    <n v="0"/>
    <m/>
    <n v="0"/>
    <n v="13859340.500000006"/>
    <n v="50"/>
    <n v="0"/>
    <n v="0"/>
    <n v="0"/>
    <n v="50"/>
    <x v="0"/>
    <s v=""/>
    <m/>
    <s v=""/>
    <n v="50"/>
    <n v="2022"/>
    <x v="1"/>
    <n v="50"/>
    <n v="50"/>
    <s v="Increasing"/>
    <m/>
    <m/>
    <m/>
    <m/>
    <x v="0"/>
    <n v="0"/>
    <n v="3.6076752714171344E-2"/>
  </r>
  <r>
    <x v="17"/>
    <s v="GIN"/>
    <n v="10788705"/>
    <x v="32"/>
    <n v="0"/>
    <n v="11055430.000000004"/>
    <n v="0"/>
    <m/>
    <n v="0"/>
    <m/>
    <n v="0"/>
    <m/>
    <n v="0"/>
    <m/>
    <n v="0"/>
    <n v="12554864.499999998"/>
    <n v="0"/>
    <n v="0"/>
    <m/>
    <n v="0"/>
    <m/>
    <n v="0"/>
    <m/>
    <n v="0"/>
    <n v="13859340.500000006"/>
    <n v="0"/>
    <n v="0"/>
    <n v="0"/>
    <n v="0"/>
    <n v="0"/>
    <x v="0"/>
    <s v=""/>
    <m/>
    <s v=""/>
    <n v="0"/>
    <s v=""/>
    <x v="1"/>
    <m/>
    <n v="0"/>
    <s v="No change"/>
    <m/>
    <m/>
    <m/>
    <m/>
    <x v="0"/>
    <n v="0"/>
    <n v="0"/>
  </r>
  <r>
    <x v="18"/>
    <s v="GMB"/>
    <n v="2061013.9999999993"/>
    <x v="19"/>
    <n v="0"/>
    <n v="2124869.5"/>
    <n v="0"/>
    <n v="2189019"/>
    <n v="0"/>
    <n v="2253133.5000000009"/>
    <n v="213"/>
    <n v="2317205.5"/>
    <n v="0"/>
    <n v="2381181.5"/>
    <n v="232"/>
    <n v="2444915.5000000014"/>
    <n v="298"/>
    <n v="298"/>
    <n v="2508883.5000000009"/>
    <n v="188"/>
    <n v="2573994.9999999995"/>
    <n v="196"/>
    <n v="2639915.5000000005"/>
    <n v="269"/>
    <n v="2705991.9999999995"/>
    <n v="0"/>
    <n v="298"/>
    <n v="213"/>
    <n v="298"/>
    <n v="269"/>
    <x v="209"/>
    <n v="2015"/>
    <n v="298"/>
    <n v="2018"/>
    <n v="269"/>
    <n v="2021"/>
    <x v="0"/>
    <n v="273.86722731906218"/>
    <n v="298"/>
    <s v="Decreasing"/>
    <m/>
    <m/>
    <m/>
    <m/>
    <x v="229"/>
    <n v="1.2188560299936739"/>
    <n v="1.0120770028849391"/>
  </r>
  <r>
    <x v="18"/>
    <s v="GMB"/>
    <n v="2061015"/>
    <x v="20"/>
    <n v="0"/>
    <n v="2124869.5"/>
    <n v="0"/>
    <m/>
    <n v="0"/>
    <m/>
    <n v="0"/>
    <m/>
    <n v="0"/>
    <m/>
    <n v="152"/>
    <n v="2444915.5000000014"/>
    <n v="181"/>
    <n v="181"/>
    <m/>
    <n v="107"/>
    <m/>
    <n v="122"/>
    <m/>
    <n v="156"/>
    <n v="2705991.9999999995"/>
    <n v="0"/>
    <n v="181"/>
    <n v="0"/>
    <n v="181"/>
    <n v="156"/>
    <x v="0"/>
    <s v=""/>
    <n v="181"/>
    <n v="2018"/>
    <n v="156"/>
    <n v="2021"/>
    <x v="0"/>
    <n v="158.82262996941895"/>
    <n v="181"/>
    <s v="Decreasing"/>
    <m/>
    <m/>
    <m/>
    <m/>
    <x v="0"/>
    <n v="0.74031188398944625"/>
    <n v="0.58692941431245538"/>
  </r>
  <r>
    <x v="18"/>
    <s v="GMB"/>
    <n v="2061016"/>
    <x v="21"/>
    <n v="0"/>
    <n v="2124869.5"/>
    <n v="0"/>
    <m/>
    <n v="0"/>
    <m/>
    <n v="0"/>
    <m/>
    <n v="0"/>
    <m/>
    <n v="80"/>
    <n v="2444915.5000000014"/>
    <n v="117"/>
    <n v="117"/>
    <m/>
    <n v="81"/>
    <m/>
    <n v="74"/>
    <m/>
    <n v="113"/>
    <n v="2705991.9999999995"/>
    <n v="0"/>
    <n v="117"/>
    <n v="0"/>
    <n v="117"/>
    <n v="113"/>
    <x v="0"/>
    <s v=""/>
    <n v="117"/>
    <n v="2018"/>
    <n v="113"/>
    <n v="2021"/>
    <x v="0"/>
    <n v="115.04459734964323"/>
    <n v="117"/>
    <s v="Decreasing"/>
    <m/>
    <m/>
    <m/>
    <m/>
    <x v="0"/>
    <n v="0.47854414600422768"/>
    <n v="0.42514758857248375"/>
  </r>
  <r>
    <x v="18"/>
    <s v="GMB"/>
    <n v="2061017"/>
    <x v="22"/>
    <n v="2386"/>
    <n v="2124869.5"/>
    <n v="0"/>
    <m/>
    <n v="0"/>
    <m/>
    <n v="2372"/>
    <m/>
    <n v="0"/>
    <m/>
    <n v="1127"/>
    <n v="2444915.5000000014"/>
    <n v="1498"/>
    <n v="1498"/>
    <m/>
    <n v="749"/>
    <m/>
    <n v="1229"/>
    <m/>
    <n v="1404"/>
    <n v="2705991.9999999995"/>
    <n v="0"/>
    <n v="1178"/>
    <n v="2386"/>
    <n v="1498"/>
    <n v="1404"/>
    <x v="210"/>
    <n v="2012"/>
    <n v="1498"/>
    <n v="2018"/>
    <n v="1404"/>
    <n v="2021"/>
    <x v="0"/>
    <n v="1429.4036697247707"/>
    <n v="1498"/>
    <s v="Decreasing"/>
    <m/>
    <m/>
    <m/>
    <m/>
    <x v="230"/>
    <n v="6.1270011172165217"/>
    <n v="5.282364728812099"/>
  </r>
  <r>
    <x v="18"/>
    <s v="GMB"/>
    <n v="2061018"/>
    <x v="23"/>
    <n v="0"/>
    <n v="2124869.5"/>
    <n v="0"/>
    <m/>
    <n v="0"/>
    <m/>
    <n v="0"/>
    <m/>
    <n v="0"/>
    <m/>
    <n v="248"/>
    <n v="2444915.5000000014"/>
    <n v="0"/>
    <n v="1178"/>
    <m/>
    <n v="320"/>
    <m/>
    <n v="703"/>
    <m/>
    <n v="908"/>
    <n v="2705991.9999999995"/>
    <n v="0"/>
    <n v="1178"/>
    <n v="0"/>
    <n v="320"/>
    <n v="908"/>
    <x v="0"/>
    <s v=""/>
    <n v="1178"/>
    <s v="2018 (triag)"/>
    <n v="908"/>
    <n v="2021"/>
    <x v="0"/>
    <n v="924.42915392456678"/>
    <n v="1178"/>
    <s v="Decreasing"/>
    <m/>
    <m/>
    <m/>
    <m/>
    <x v="0"/>
    <n v="4.8181624272904289"/>
    <n v="3.4162301807417275"/>
  </r>
  <r>
    <x v="18"/>
    <s v="GMB"/>
    <n v="2061019"/>
    <x v="24"/>
    <n v="0"/>
    <n v="2124869.5"/>
    <n v="0"/>
    <m/>
    <n v="0"/>
    <m/>
    <n v="0"/>
    <m/>
    <n v="0"/>
    <m/>
    <n v="879"/>
    <n v="2444915.5000000014"/>
    <n v="0"/>
    <n v="0"/>
    <m/>
    <n v="391"/>
    <m/>
    <n v="484"/>
    <m/>
    <n v="449"/>
    <n v="2705991.9999999995"/>
    <n v="0"/>
    <n v="0"/>
    <n v="0"/>
    <n v="879"/>
    <n v="484"/>
    <x v="0"/>
    <s v=""/>
    <n v="879"/>
    <n v="2017"/>
    <n v="449"/>
    <n v="2021"/>
    <x v="0"/>
    <n v="457.12410805300715"/>
    <n v="879"/>
    <s v="Decreasing"/>
    <m/>
    <m/>
    <m/>
    <m/>
    <x v="0"/>
    <n v="3.5952162763907363"/>
    <n v="1.6893032501685417"/>
  </r>
  <r>
    <x v="18"/>
    <s v="GMB"/>
    <n v="2061020"/>
    <x v="25"/>
    <n v="0"/>
    <n v="2124869.5"/>
    <n v="259"/>
    <m/>
    <n v="0"/>
    <m/>
    <n v="850"/>
    <m/>
    <n v="0"/>
    <m/>
    <n v="422"/>
    <n v="2444915.5000000014"/>
    <n v="0"/>
    <n v="320"/>
    <m/>
    <n v="341"/>
    <m/>
    <n v="540"/>
    <m/>
    <n v="379"/>
    <n v="2705991.9999999995"/>
    <n v="0"/>
    <n v="320"/>
    <n v="850"/>
    <n v="422"/>
    <n v="540"/>
    <x v="211"/>
    <n v="2013"/>
    <n v="320"/>
    <s v="2018 (triag)"/>
    <n v="379"/>
    <n v="2021"/>
    <x v="1"/>
    <n v="379"/>
    <n v="379"/>
    <s v="Increasing"/>
    <m/>
    <m/>
    <m/>
    <m/>
    <x v="231"/>
    <n v="1.3088386899260929"/>
    <n v="1.4005954193508334"/>
  </r>
  <r>
    <x v="18"/>
    <s v="GMB"/>
    <n v="2061021"/>
    <x v="26"/>
    <n v="0"/>
    <n v="2124869.5"/>
    <n v="79"/>
    <m/>
    <n v="0"/>
    <m/>
    <n v="0"/>
    <m/>
    <n v="0"/>
    <m/>
    <n v="81"/>
    <n v="2444915.5000000014"/>
    <n v="0"/>
    <n v="320"/>
    <m/>
    <n v="89"/>
    <m/>
    <n v="128"/>
    <m/>
    <n v="101"/>
    <n v="2705991.9999999995"/>
    <n v="0"/>
    <n v="320"/>
    <n v="79"/>
    <n v="89"/>
    <n v="128"/>
    <x v="212"/>
    <n v="2013"/>
    <n v="320"/>
    <s v="2018 (triag)"/>
    <n v="101"/>
    <n v="2021"/>
    <x v="0"/>
    <n v="102.82747196738023"/>
    <n v="320"/>
    <s v="Decreasing"/>
    <m/>
    <m/>
    <m/>
    <m/>
    <x v="232"/>
    <n v="1.3088386899260929"/>
    <n v="0.37999917208691031"/>
  </r>
  <r>
    <x v="18"/>
    <s v="GMB"/>
    <n v="2061022"/>
    <x v="27"/>
    <n v="0"/>
    <n v="2124869.5"/>
    <n v="180"/>
    <m/>
    <n v="0"/>
    <m/>
    <n v="0"/>
    <m/>
    <n v="0"/>
    <m/>
    <n v="341"/>
    <n v="2444915.5000000014"/>
    <n v="0"/>
    <n v="0"/>
    <m/>
    <n v="252"/>
    <m/>
    <n v="412"/>
    <m/>
    <n v="278"/>
    <n v="2705991.9999999995"/>
    <n v="0"/>
    <n v="0"/>
    <n v="180"/>
    <n v="341"/>
    <n v="412"/>
    <x v="213"/>
    <n v="2013"/>
    <n v="341"/>
    <n v="2017"/>
    <n v="278"/>
    <n v="2021"/>
    <x v="0"/>
    <n v="283.03007135575945"/>
    <n v="341"/>
    <s v="Decreasing"/>
    <m/>
    <m/>
    <m/>
    <m/>
    <x v="233"/>
    <n v="1.3947312289524927"/>
    <n v="1.0459383152491193"/>
  </r>
  <r>
    <x v="18"/>
    <s v="GMB"/>
    <n v="2061023"/>
    <x v="28"/>
    <n v="0"/>
    <n v="2124869.5"/>
    <n v="0"/>
    <m/>
    <n v="0"/>
    <m/>
    <n v="5"/>
    <m/>
    <n v="0"/>
    <m/>
    <n v="0"/>
    <n v="2444915.5000000014"/>
    <n v="2"/>
    <n v="78"/>
    <m/>
    <n v="2"/>
    <m/>
    <n v="0"/>
    <m/>
    <n v="4"/>
    <n v="2705991.9999999995"/>
    <n v="0"/>
    <n v="78"/>
    <n v="5"/>
    <n v="2"/>
    <n v="4"/>
    <x v="55"/>
    <n v="2015"/>
    <n v="78"/>
    <s v="2018 (triag)"/>
    <n v="4"/>
    <n v="2021"/>
    <x v="0"/>
    <n v="4.0723751274209992"/>
    <n v="78"/>
    <s v="Decreasing"/>
    <m/>
    <m/>
    <m/>
    <m/>
    <x v="234"/>
    <n v="0.31902943066948514"/>
    <n v="1.5049472161857832E-2"/>
  </r>
  <r>
    <x v="18"/>
    <s v="GMB"/>
    <n v="2061024"/>
    <x v="29"/>
    <n v="0"/>
    <n v="2124869.5"/>
    <n v="0"/>
    <m/>
    <n v="0"/>
    <m/>
    <n v="99"/>
    <m/>
    <n v="0"/>
    <m/>
    <n v="74"/>
    <n v="2444915.5000000014"/>
    <n v="76"/>
    <n v="76"/>
    <m/>
    <n v="81"/>
    <m/>
    <n v="81"/>
    <m/>
    <n v="94"/>
    <n v="2705991.9999999995"/>
    <n v="0"/>
    <n v="1"/>
    <n v="99"/>
    <n v="81"/>
    <n v="94"/>
    <x v="214"/>
    <n v="2015"/>
    <n v="76"/>
    <n v="2018"/>
    <n v="94"/>
    <n v="2021"/>
    <x v="1"/>
    <n v="94"/>
    <n v="94"/>
    <s v="Increasing"/>
    <m/>
    <m/>
    <m/>
    <m/>
    <x v="235"/>
    <n v="0.31084918885744706"/>
    <n v="0.34737722801841253"/>
  </r>
  <r>
    <x v="18"/>
    <s v="GMB"/>
    <n v="2061025"/>
    <x v="30"/>
    <n v="0"/>
    <n v="2124869.5"/>
    <n v="0"/>
    <m/>
    <n v="0"/>
    <m/>
    <n v="17"/>
    <m/>
    <n v="0"/>
    <m/>
    <n v="0"/>
    <n v="2444915.5000000014"/>
    <n v="4"/>
    <n v="4"/>
    <m/>
    <n v="12"/>
    <m/>
    <n v="8"/>
    <m/>
    <n v="9"/>
    <n v="2705991.9999999995"/>
    <n v="0"/>
    <n v="0"/>
    <n v="17"/>
    <n v="12"/>
    <n v="9"/>
    <x v="49"/>
    <n v="2015"/>
    <n v="4"/>
    <n v="2018"/>
    <n v="9"/>
    <n v="2021"/>
    <x v="1"/>
    <n v="9"/>
    <n v="9"/>
    <s v="Increasing"/>
    <m/>
    <m/>
    <m/>
    <m/>
    <x v="50"/>
    <n v="1.6360483624076161E-2"/>
    <n v="3.3259521831550135E-2"/>
  </r>
  <r>
    <x v="18"/>
    <s v="GMB"/>
    <n v="2061026"/>
    <x v="31"/>
    <n v="0"/>
    <n v="2124869.5"/>
    <n v="0"/>
    <m/>
    <n v="0"/>
    <m/>
    <n v="0"/>
    <m/>
    <n v="0"/>
    <m/>
    <n v="0"/>
    <n v="2444915.5000000014"/>
    <n v="10"/>
    <n v="10"/>
    <m/>
    <n v="6"/>
    <m/>
    <n v="17"/>
    <m/>
    <n v="16"/>
    <n v="2705991.9999999995"/>
    <n v="0"/>
    <n v="3"/>
    <n v="0"/>
    <n v="10"/>
    <n v="17"/>
    <x v="0"/>
    <s v=""/>
    <n v="10"/>
    <n v="2018"/>
    <n v="16"/>
    <n v="2021"/>
    <x v="1"/>
    <n v="16"/>
    <n v="16"/>
    <s v="Increasing"/>
    <m/>
    <m/>
    <m/>
    <m/>
    <x v="0"/>
    <n v="4.0901209060190402E-2"/>
    <n v="5.9128038811644683E-2"/>
  </r>
  <r>
    <x v="18"/>
    <s v="GMB"/>
    <n v="2061027"/>
    <x v="32"/>
    <n v="0"/>
    <n v="2124869.5"/>
    <n v="0"/>
    <m/>
    <n v="0"/>
    <m/>
    <n v="0"/>
    <m/>
    <n v="0"/>
    <m/>
    <n v="0"/>
    <n v="2444915.5000000014"/>
    <n v="0"/>
    <n v="0"/>
    <m/>
    <n v="0"/>
    <m/>
    <n v="0"/>
    <m/>
    <n v="0"/>
    <n v="2705991.9999999995"/>
    <n v="0"/>
    <n v="0"/>
    <n v="0"/>
    <n v="0"/>
    <n v="0"/>
    <x v="0"/>
    <s v=""/>
    <m/>
    <s v=""/>
    <n v="0"/>
    <s v=""/>
    <x v="1"/>
    <m/>
    <n v="0"/>
    <s v="No change"/>
    <m/>
    <m/>
    <m/>
    <m/>
    <x v="0"/>
    <n v="0"/>
    <n v="0"/>
  </r>
  <r>
    <x v="19"/>
    <s v="GNB"/>
    <n v="1652717.4999999998"/>
    <x v="19"/>
    <n v="0"/>
    <n v="1697752.4999999995"/>
    <n v="0"/>
    <n v="1743309.0000000002"/>
    <n v="0"/>
    <n v="1788919.0000000005"/>
    <n v="354"/>
    <n v="1834551.4999999995"/>
    <n v="183"/>
    <n v="1879826.5000000005"/>
    <n v="0"/>
    <n v="1924954.4999999988"/>
    <n v="578"/>
    <n v="578"/>
    <n v="1970456.5"/>
    <n v="0"/>
    <n v="2015827.9999999998"/>
    <n v="385"/>
    <n v="2060720.9999999991"/>
    <n v="453"/>
    <n v="2105565.4999999991"/>
    <n v="438"/>
    <n v="318"/>
    <n v="354"/>
    <n v="578"/>
    <n v="453"/>
    <x v="215"/>
    <n v="2015"/>
    <n v="578"/>
    <n v="2018"/>
    <n v="438"/>
    <n v="2022"/>
    <x v="0"/>
    <n v="530.87376425855507"/>
    <n v="578"/>
    <s v="Decreasing"/>
    <m/>
    <m/>
    <m/>
    <m/>
    <x v="236"/>
    <n v="3.0026683747589895"/>
    <n v="2.5212882917133439"/>
  </r>
  <r>
    <x v="19"/>
    <s v="GNB"/>
    <n v="1652718.5"/>
    <x v="20"/>
    <n v="0"/>
    <n v="1697752.4999999995"/>
    <n v="0"/>
    <m/>
    <n v="0"/>
    <m/>
    <n v="0"/>
    <m/>
    <n v="169"/>
    <m/>
    <n v="0"/>
    <n v="1924954.4999999988"/>
    <n v="544"/>
    <n v="544"/>
    <m/>
    <n v="0"/>
    <m/>
    <n v="375"/>
    <m/>
    <n v="444"/>
    <n v="2105565.4999999991"/>
    <n v="428"/>
    <n v="290"/>
    <n v="0"/>
    <n v="544"/>
    <n v="444"/>
    <x v="0"/>
    <s v=""/>
    <n v="544"/>
    <n v="2018"/>
    <n v="428"/>
    <n v="2022"/>
    <x v="0"/>
    <n v="518.75335868187574"/>
    <n v="544"/>
    <s v="Decreasing"/>
    <m/>
    <m/>
    <m/>
    <m/>
    <x v="0"/>
    <n v="2.8260408233025784"/>
    <n v="2.4637246320851856"/>
  </r>
  <r>
    <x v="19"/>
    <s v="GNB"/>
    <n v="1652719.5"/>
    <x v="21"/>
    <n v="0"/>
    <n v="1697752.4999999995"/>
    <n v="0"/>
    <m/>
    <n v="0"/>
    <m/>
    <n v="0"/>
    <m/>
    <n v="14"/>
    <m/>
    <n v="0"/>
    <n v="1924954.4999999988"/>
    <n v="34"/>
    <n v="34"/>
    <m/>
    <n v="0"/>
    <m/>
    <n v="10"/>
    <m/>
    <n v="9"/>
    <n v="2105565.4999999991"/>
    <n v="10"/>
    <n v="28"/>
    <n v="0"/>
    <n v="34"/>
    <n v="10"/>
    <x v="0"/>
    <s v=""/>
    <n v="34"/>
    <n v="2018"/>
    <n v="10"/>
    <n v="2020"/>
    <x v="0"/>
    <n v="12.120405576679341"/>
    <n v="34"/>
    <s v="Decreasing"/>
    <m/>
    <m/>
    <m/>
    <m/>
    <x v="0"/>
    <n v="0.17662755145641115"/>
    <n v="5.7563659628158542E-2"/>
  </r>
  <r>
    <x v="19"/>
    <s v="GNB"/>
    <n v="1652720.5"/>
    <x v="22"/>
    <n v="0"/>
    <n v="1697752.4999999995"/>
    <n v="727"/>
    <m/>
    <n v="885"/>
    <m/>
    <n v="964"/>
    <m/>
    <n v="918"/>
    <m/>
    <n v="0"/>
    <n v="1924954.4999999988"/>
    <n v="744"/>
    <n v="1264"/>
    <m/>
    <n v="0"/>
    <m/>
    <n v="1371"/>
    <m/>
    <n v="1956"/>
    <n v="2105565.4999999991"/>
    <n v="1879"/>
    <n v="1264"/>
    <n v="964"/>
    <n v="918"/>
    <n v="1956"/>
    <x v="216"/>
    <n v="2013"/>
    <n v="1264"/>
    <s v="2018 (triag)"/>
    <n v="1879"/>
    <n v="2022"/>
    <x v="1"/>
    <n v="1879"/>
    <n v="1879"/>
    <s v="Increasing"/>
    <m/>
    <m/>
    <m/>
    <m/>
    <x v="237"/>
    <n v="6.5663889717912856"/>
    <n v="8.9239684065872122"/>
  </r>
  <r>
    <x v="19"/>
    <s v="GNB"/>
    <n v="1652721.5"/>
    <x v="23"/>
    <n v="0"/>
    <n v="1697752.4999999995"/>
    <n v="474"/>
    <m/>
    <n v="707"/>
    <m/>
    <n v="852"/>
    <m/>
    <n v="865"/>
    <m/>
    <n v="0"/>
    <n v="1924954.4999999988"/>
    <n v="744"/>
    <n v="1210"/>
    <m/>
    <n v="0"/>
    <m/>
    <n v="341"/>
    <m/>
    <n v="1003"/>
    <n v="2105565.4999999991"/>
    <n v="987"/>
    <n v="1210"/>
    <n v="852"/>
    <n v="865"/>
    <n v="1003"/>
    <x v="217"/>
    <n v="2013"/>
    <n v="1210"/>
    <s v="2018 (triag)"/>
    <n v="987"/>
    <n v="2022"/>
    <x v="0"/>
    <n v="1196.2840304182509"/>
    <n v="1210"/>
    <s v="Decreasing"/>
    <m/>
    <m/>
    <m/>
    <m/>
    <x v="238"/>
    <n v="6.2858628606546318"/>
    <n v="5.6815332052992487"/>
  </r>
  <r>
    <x v="19"/>
    <s v="GNB"/>
    <n v="1652722.5"/>
    <x v="24"/>
    <n v="0"/>
    <n v="1697752.4999999995"/>
    <n v="253"/>
    <m/>
    <n v="178"/>
    <m/>
    <n v="112"/>
    <m/>
    <n v="53"/>
    <m/>
    <n v="0"/>
    <n v="1924954.4999999988"/>
    <n v="0"/>
    <n v="54"/>
    <m/>
    <n v="0"/>
    <m/>
    <n v="1016"/>
    <m/>
    <n v="951"/>
    <n v="2105565.4999999991"/>
    <n v="889"/>
    <n v="54"/>
    <n v="253"/>
    <n v="53"/>
    <n v="1016"/>
    <x v="218"/>
    <n v="2013"/>
    <n v="54"/>
    <s v="2018 (triag)"/>
    <n v="889"/>
    <n v="2022"/>
    <x v="1"/>
    <n v="889"/>
    <n v="889"/>
    <s v="Increasing"/>
    <m/>
    <m/>
    <m/>
    <m/>
    <x v="239"/>
    <n v="0.28052611113665299"/>
    <n v="4.2221436473954403"/>
  </r>
  <r>
    <x v="19"/>
    <s v="GNB"/>
    <n v="1652723.5"/>
    <x v="25"/>
    <n v="0"/>
    <n v="1697752.4999999995"/>
    <n v="153"/>
    <m/>
    <n v="0"/>
    <m/>
    <n v="0"/>
    <m/>
    <n v="125"/>
    <m/>
    <n v="0"/>
    <n v="1924954.4999999988"/>
    <n v="0"/>
    <n v="157"/>
    <m/>
    <n v="0"/>
    <m/>
    <n v="185"/>
    <m/>
    <n v="213"/>
    <n v="2105565.4999999991"/>
    <n v="197"/>
    <n v="157"/>
    <n v="153"/>
    <n v="125"/>
    <n v="213"/>
    <x v="219"/>
    <n v="2013"/>
    <n v="157"/>
    <s v="2018 (triag)"/>
    <n v="197"/>
    <n v="2022"/>
    <x v="1"/>
    <n v="197"/>
    <n v="197"/>
    <s v="Increasing"/>
    <m/>
    <m/>
    <m/>
    <m/>
    <x v="240"/>
    <n v="0.81560369348989858"/>
    <n v="0.93561563389977698"/>
  </r>
  <r>
    <x v="19"/>
    <s v="GNB"/>
    <n v="1652724.5"/>
    <x v="26"/>
    <n v="0"/>
    <n v="1697752.4999999995"/>
    <n v="148"/>
    <m/>
    <n v="0"/>
    <m/>
    <n v="0"/>
    <m/>
    <n v="125"/>
    <m/>
    <n v="0"/>
    <n v="1924954.4999999988"/>
    <n v="0"/>
    <n v="156"/>
    <m/>
    <n v="0"/>
    <m/>
    <n v="18"/>
    <m/>
    <n v="213"/>
    <n v="2105565.4999999991"/>
    <n v="26"/>
    <n v="156"/>
    <n v="148"/>
    <n v="125"/>
    <n v="213"/>
    <x v="146"/>
    <n v="2013"/>
    <n v="156"/>
    <s v="2018 (triag)"/>
    <n v="26"/>
    <n v="2022"/>
    <x v="0"/>
    <n v="31.513054499366284"/>
    <n v="156"/>
    <s v="Decreasing"/>
    <m/>
    <m/>
    <m/>
    <m/>
    <x v="241"/>
    <n v="0.81040876550588647"/>
    <n v="0.14966551503321221"/>
  </r>
  <r>
    <x v="19"/>
    <s v="GNB"/>
    <n v="1652725.5"/>
    <x v="27"/>
    <n v="0"/>
    <n v="1697752.4999999995"/>
    <n v="5"/>
    <m/>
    <n v="0"/>
    <m/>
    <n v="0"/>
    <m/>
    <n v="0"/>
    <m/>
    <n v="0"/>
    <n v="1924954.4999999988"/>
    <n v="0"/>
    <n v="1"/>
    <m/>
    <n v="0"/>
    <m/>
    <n v="167"/>
    <m/>
    <n v="0"/>
    <n v="2105565.4999999991"/>
    <n v="171"/>
    <n v="1"/>
    <n v="5"/>
    <n v="0"/>
    <n v="171"/>
    <x v="55"/>
    <n v="2013"/>
    <n v="1"/>
    <s v="2018 (triag)"/>
    <n v="171"/>
    <n v="2022"/>
    <x v="1"/>
    <n v="171"/>
    <n v="171"/>
    <s v="Increasing"/>
    <m/>
    <m/>
    <m/>
    <m/>
    <x v="242"/>
    <n v="5.1949279840120925E-3"/>
    <n v="0.81213336749676068"/>
  </r>
  <r>
    <x v="19"/>
    <s v="GNB"/>
    <n v="1652726.5"/>
    <x v="28"/>
    <n v="0"/>
    <n v="1697752.4999999995"/>
    <n v="0"/>
    <m/>
    <n v="0"/>
    <m/>
    <n v="0"/>
    <m/>
    <n v="5"/>
    <m/>
    <n v="0"/>
    <n v="1924954.4999999988"/>
    <n v="11"/>
    <n v="13"/>
    <m/>
    <n v="0"/>
    <m/>
    <n v="13"/>
    <m/>
    <n v="2"/>
    <n v="2105565.4999999991"/>
    <n v="2"/>
    <n v="13"/>
    <n v="0"/>
    <n v="11"/>
    <n v="13"/>
    <x v="0"/>
    <s v=""/>
    <n v="13"/>
    <s v="2018 (triag)"/>
    <n v="2"/>
    <n v="2021"/>
    <x v="0"/>
    <n v="2.4240811153358681"/>
    <n v="13"/>
    <s v="Decreasing"/>
    <m/>
    <m/>
    <m/>
    <m/>
    <x v="0"/>
    <n v="6.7534063792157206E-2"/>
    <n v="1.1512731925631708E-2"/>
  </r>
  <r>
    <x v="19"/>
    <s v="GNB"/>
    <n v="1652727.5"/>
    <x v="29"/>
    <n v="0"/>
    <n v="1697752.4999999995"/>
    <n v="0"/>
    <m/>
    <n v="0"/>
    <m/>
    <n v="0"/>
    <m/>
    <n v="35"/>
    <m/>
    <n v="0"/>
    <n v="1924954.4999999988"/>
    <n v="18"/>
    <n v="69"/>
    <m/>
    <n v="0"/>
    <m/>
    <n v="73"/>
    <m/>
    <n v="76"/>
    <n v="2105565.4999999991"/>
    <n v="80"/>
    <n v="69"/>
    <n v="0"/>
    <n v="35"/>
    <n v="80"/>
    <x v="0"/>
    <s v=""/>
    <n v="69"/>
    <s v="2018 (triag)"/>
    <n v="80"/>
    <n v="2022"/>
    <x v="1"/>
    <n v="80"/>
    <n v="80"/>
    <s v="Increasing"/>
    <m/>
    <m/>
    <m/>
    <m/>
    <x v="0"/>
    <n v="0.35845003089683442"/>
    <n v="0.37994543508620388"/>
  </r>
  <r>
    <x v="19"/>
    <s v="GNB"/>
    <n v="1652728.5"/>
    <x v="30"/>
    <n v="0"/>
    <n v="1697752.4999999995"/>
    <n v="0"/>
    <m/>
    <n v="0"/>
    <m/>
    <n v="0"/>
    <m/>
    <n v="7"/>
    <m/>
    <n v="0"/>
    <n v="1924954.4999999988"/>
    <n v="0"/>
    <n v="8"/>
    <m/>
    <n v="0"/>
    <m/>
    <n v="5"/>
    <m/>
    <n v="2"/>
    <n v="2105565.4999999991"/>
    <n v="20"/>
    <n v="8"/>
    <n v="0"/>
    <n v="7"/>
    <n v="20"/>
    <x v="0"/>
    <s v=""/>
    <n v="8"/>
    <s v="2018 (triag)"/>
    <n v="20"/>
    <n v="2022"/>
    <x v="1"/>
    <n v="20"/>
    <n v="20"/>
    <s v="Increasing"/>
    <m/>
    <m/>
    <m/>
    <m/>
    <x v="0"/>
    <n v="4.155942387209674E-2"/>
    <n v="9.4986358771550969E-2"/>
  </r>
  <r>
    <x v="19"/>
    <s v="GNB"/>
    <n v="1652729.5"/>
    <x v="31"/>
    <n v="0"/>
    <n v="1697752.4999999995"/>
    <n v="0"/>
    <m/>
    <n v="0"/>
    <m/>
    <n v="0"/>
    <m/>
    <n v="8"/>
    <m/>
    <n v="0"/>
    <n v="1924954.4999999988"/>
    <n v="8"/>
    <n v="8"/>
    <m/>
    <n v="0"/>
    <m/>
    <n v="0"/>
    <m/>
    <n v="21"/>
    <n v="2105565.4999999991"/>
    <n v="2"/>
    <n v="8"/>
    <n v="0"/>
    <n v="8"/>
    <n v="21"/>
    <x v="0"/>
    <s v=""/>
    <n v="8"/>
    <n v="2016"/>
    <n v="2"/>
    <n v="2022"/>
    <x v="0"/>
    <n v="2.4240811153358681"/>
    <n v="8"/>
    <s v="Decreasing"/>
    <m/>
    <m/>
    <m/>
    <m/>
    <x v="0"/>
    <n v="4.155942387209674E-2"/>
    <n v="1.1512731925631708E-2"/>
  </r>
  <r>
    <x v="19"/>
    <s v="GNB"/>
    <n v="1652730.5"/>
    <x v="32"/>
    <n v="0"/>
    <n v="1697752.4999999995"/>
    <n v="0"/>
    <m/>
    <n v="0"/>
    <m/>
    <n v="0"/>
    <m/>
    <n v="0"/>
    <m/>
    <n v="0"/>
    <n v="1924954.4999999988"/>
    <n v="2"/>
    <n v="2"/>
    <m/>
    <n v="0"/>
    <m/>
    <n v="11"/>
    <m/>
    <n v="12"/>
    <n v="2105565.4999999991"/>
    <n v="11"/>
    <n v="0"/>
    <n v="0"/>
    <n v="2"/>
    <n v="12"/>
    <x v="0"/>
    <s v=""/>
    <n v="2"/>
    <n v="2018"/>
    <n v="11"/>
    <n v="2020"/>
    <x v="1"/>
    <n v="11"/>
    <n v="11"/>
    <s v="Increasing"/>
    <m/>
    <m/>
    <m/>
    <m/>
    <x v="0"/>
    <n v="1.0389855968024185E-2"/>
    <n v="5.2242497324353029E-2"/>
  </r>
  <r>
    <x v="20"/>
    <s v="GNQ"/>
    <n v="1193635.4999999998"/>
    <x v="19"/>
    <n v="0"/>
    <n v="1243941.0000000002"/>
    <n v="0"/>
    <n v="1295183.0000000005"/>
    <n v="0"/>
    <n v="1346973.0000000005"/>
    <n v="0"/>
    <n v="1398926.5"/>
    <n v="0"/>
    <n v="1450694.0000000005"/>
    <n v="507"/>
    <n v="1502091.5000000002"/>
    <n v="0"/>
    <n v="246"/>
    <n v="1553030.5000000002"/>
    <n v="0"/>
    <n v="1596048.5000000009"/>
    <n v="0"/>
    <n v="1634465.5000000002"/>
    <n v="0"/>
    <n v="1674908"/>
    <n v="239"/>
    <n v="246"/>
    <n v="0"/>
    <n v="507"/>
    <n v="239"/>
    <x v="0"/>
    <s v=""/>
    <n v="246"/>
    <s v="2018 (triag)"/>
    <n v="239"/>
    <n v="2022"/>
    <x v="0"/>
    <n v="274.68237599257924"/>
    <n v="274.68237599257924"/>
    <s v="Increasing"/>
    <m/>
    <m/>
    <m/>
    <m/>
    <x v="0"/>
    <n v="1.637716477325116"/>
    <n v="1.6399848588255548"/>
  </r>
  <r>
    <x v="20"/>
    <s v="GNQ"/>
    <n v="1193636.5"/>
    <x v="20"/>
    <n v="0"/>
    <n v="1243941.0000000002"/>
    <n v="0"/>
    <m/>
    <n v="0"/>
    <m/>
    <n v="0"/>
    <m/>
    <n v="0"/>
    <m/>
    <n v="0"/>
    <n v="1502091.5000000002"/>
    <n v="0"/>
    <n v="246"/>
    <m/>
    <n v="0"/>
    <m/>
    <n v="0"/>
    <m/>
    <n v="0"/>
    <n v="1674908"/>
    <n v="182"/>
    <n v="246"/>
    <n v="0"/>
    <n v="0"/>
    <n v="182"/>
    <x v="0"/>
    <s v=""/>
    <n v="246"/>
    <s v="2018 (triag)"/>
    <n v="182"/>
    <n v="2022"/>
    <x v="0"/>
    <n v="209.17235326631555"/>
    <n v="246"/>
    <s v="Decreasing"/>
    <m/>
    <m/>
    <m/>
    <m/>
    <x v="0"/>
    <n v="1.637716477325116"/>
    <n v="1.2488587627876608"/>
  </r>
  <r>
    <x v="20"/>
    <s v="GNQ"/>
    <n v="1193637.5"/>
    <x v="21"/>
    <n v="0"/>
    <n v="1243941.0000000002"/>
    <n v="0"/>
    <m/>
    <n v="0"/>
    <m/>
    <n v="0"/>
    <m/>
    <n v="0"/>
    <m/>
    <n v="0"/>
    <n v="1502091.5000000002"/>
    <n v="0"/>
    <n v="0"/>
    <m/>
    <n v="0"/>
    <m/>
    <n v="0"/>
    <m/>
    <n v="0"/>
    <n v="1674908"/>
    <n v="57"/>
    <n v="0"/>
    <n v="0"/>
    <n v="0"/>
    <n v="57"/>
    <x v="0"/>
    <s v=""/>
    <m/>
    <s v=""/>
    <n v="57"/>
    <n v="2022"/>
    <x v="1"/>
    <n v="57"/>
    <n v="57"/>
    <s v="Increasing"/>
    <m/>
    <m/>
    <m/>
    <m/>
    <x v="0"/>
    <n v="0"/>
    <n v="0.3403171995118538"/>
  </r>
  <r>
    <x v="20"/>
    <s v="GNQ"/>
    <n v="1193638.5"/>
    <x v="22"/>
    <n v="0"/>
    <n v="1243941.0000000002"/>
    <n v="0"/>
    <m/>
    <n v="0"/>
    <m/>
    <n v="0"/>
    <m/>
    <n v="0"/>
    <m/>
    <n v="634"/>
    <n v="1502091.5000000002"/>
    <n v="0"/>
    <n v="355"/>
    <m/>
    <n v="0"/>
    <m/>
    <n v="0"/>
    <m/>
    <n v="0"/>
    <n v="1674908"/>
    <n v="1375"/>
    <n v="355"/>
    <n v="0"/>
    <n v="634"/>
    <n v="1375"/>
    <x v="0"/>
    <s v=""/>
    <n v="355"/>
    <s v="2018 (triag)"/>
    <n v="1375"/>
    <n v="2022"/>
    <x v="1"/>
    <n v="1375"/>
    <n v="1375"/>
    <s v="Increasing"/>
    <m/>
    <m/>
    <m/>
    <m/>
    <x v="0"/>
    <n v="2.3633713392293343"/>
    <n v="8.2094061285754201"/>
  </r>
  <r>
    <x v="20"/>
    <s v="GNQ"/>
    <n v="1193639.5"/>
    <x v="23"/>
    <n v="0"/>
    <n v="1243941.0000000002"/>
    <n v="0"/>
    <m/>
    <n v="0"/>
    <m/>
    <n v="0"/>
    <m/>
    <n v="0"/>
    <m/>
    <n v="0"/>
    <n v="1502091.5000000002"/>
    <n v="0"/>
    <n v="72"/>
    <m/>
    <n v="0"/>
    <m/>
    <n v="0"/>
    <m/>
    <n v="0"/>
    <n v="1674908"/>
    <n v="297"/>
    <n v="72"/>
    <n v="0"/>
    <n v="0"/>
    <n v="297"/>
    <x v="0"/>
    <s v=""/>
    <n v="72"/>
    <s v="2018 (triag)"/>
    <n v="297"/>
    <n v="2022"/>
    <x v="1"/>
    <n v="297"/>
    <n v="297"/>
    <s v="Increasing"/>
    <m/>
    <m/>
    <m/>
    <m/>
    <x v="0"/>
    <n v="0.47933165190003396"/>
    <n v="1.7732317237722908"/>
  </r>
  <r>
    <x v="20"/>
    <s v="GNQ"/>
    <n v="1193640.5"/>
    <x v="24"/>
    <n v="0"/>
    <n v="1243941.0000000002"/>
    <n v="0"/>
    <m/>
    <n v="0"/>
    <m/>
    <n v="0"/>
    <m/>
    <n v="0"/>
    <m/>
    <n v="0"/>
    <n v="1502091.5000000002"/>
    <n v="0"/>
    <n v="283"/>
    <m/>
    <n v="0"/>
    <m/>
    <n v="0"/>
    <m/>
    <n v="0"/>
    <n v="1674908"/>
    <n v="0"/>
    <n v="283"/>
    <n v="0"/>
    <n v="0"/>
    <n v="0"/>
    <x v="0"/>
    <s v=""/>
    <n v="283"/>
    <s v="2018 (triag)"/>
    <n v="283"/>
    <s v="2018 (triag)"/>
    <x v="1"/>
    <n v="283"/>
    <n v="283"/>
    <s v="No change"/>
    <m/>
    <m/>
    <m/>
    <m/>
    <x v="0"/>
    <n v="1.8840396873293002"/>
    <n v="1.689645043190432"/>
  </r>
  <r>
    <x v="20"/>
    <s v="GNQ"/>
    <n v="1193641.5"/>
    <x v="25"/>
    <n v="0"/>
    <n v="1243941.0000000002"/>
    <n v="0"/>
    <m/>
    <n v="0"/>
    <m/>
    <n v="0"/>
    <m/>
    <n v="0"/>
    <m/>
    <n v="0"/>
    <n v="1502091.5000000002"/>
    <n v="0"/>
    <n v="51"/>
    <m/>
    <n v="0"/>
    <m/>
    <n v="0"/>
    <m/>
    <n v="0"/>
    <n v="1674908"/>
    <n v="23"/>
    <n v="51"/>
    <n v="0"/>
    <n v="0"/>
    <n v="23"/>
    <x v="0"/>
    <s v=""/>
    <n v="51"/>
    <s v="2018 (triag)"/>
    <n v="23"/>
    <n v="2022"/>
    <x v="0"/>
    <n v="26.43386881936955"/>
    <n v="51"/>
    <s v="Decreasing"/>
    <m/>
    <m/>
    <m/>
    <m/>
    <x v="0"/>
    <n v="0.33952658676252406"/>
    <n v="0.15782281068195717"/>
  </r>
  <r>
    <x v="20"/>
    <s v="GNQ"/>
    <n v="1193642.5"/>
    <x v="26"/>
    <n v="0"/>
    <n v="1243941.0000000002"/>
    <n v="0"/>
    <m/>
    <n v="0"/>
    <m/>
    <n v="0"/>
    <m/>
    <n v="0"/>
    <m/>
    <n v="0"/>
    <n v="1502091.5000000002"/>
    <n v="0"/>
    <n v="51"/>
    <m/>
    <n v="0"/>
    <m/>
    <n v="0"/>
    <m/>
    <n v="0"/>
    <n v="1674908"/>
    <n v="23"/>
    <n v="51"/>
    <n v="0"/>
    <n v="0"/>
    <n v="23"/>
    <x v="0"/>
    <s v=""/>
    <n v="51"/>
    <s v="2018 (triag)"/>
    <n v="23"/>
    <n v="2022"/>
    <x v="0"/>
    <n v="26.43386881936955"/>
    <n v="51"/>
    <s v="Decreasing"/>
    <m/>
    <m/>
    <m/>
    <m/>
    <x v="0"/>
    <n v="0.33952658676252406"/>
    <n v="0.15782281068195717"/>
  </r>
  <r>
    <x v="20"/>
    <s v="GNQ"/>
    <n v="1193643.5"/>
    <x v="27"/>
    <n v="0"/>
    <n v="1243941.0000000002"/>
    <n v="0"/>
    <m/>
    <n v="0"/>
    <m/>
    <n v="0"/>
    <m/>
    <n v="0"/>
    <m/>
    <n v="0"/>
    <n v="1502091.5000000002"/>
    <n v="0"/>
    <n v="0"/>
    <m/>
    <n v="0"/>
    <m/>
    <n v="0"/>
    <m/>
    <n v="0"/>
    <n v="1674908"/>
    <n v="0"/>
    <n v="0"/>
    <n v="0"/>
    <n v="0"/>
    <n v="0"/>
    <x v="0"/>
    <s v=""/>
    <m/>
    <s v=""/>
    <n v="0"/>
    <s v=""/>
    <x v="1"/>
    <m/>
    <n v="0"/>
    <s v="No change"/>
    <m/>
    <m/>
    <m/>
    <m/>
    <x v="0"/>
    <n v="0"/>
    <n v="0"/>
  </r>
  <r>
    <x v="20"/>
    <s v="GNQ"/>
    <n v="1193644.5"/>
    <x v="28"/>
    <n v="0"/>
    <n v="1243941.0000000002"/>
    <n v="0"/>
    <m/>
    <n v="0"/>
    <m/>
    <n v="0"/>
    <m/>
    <n v="0"/>
    <m/>
    <n v="0"/>
    <n v="1502091.5000000002"/>
    <n v="10"/>
    <n v="10"/>
    <m/>
    <n v="0"/>
    <m/>
    <n v="0"/>
    <m/>
    <n v="0"/>
    <n v="1674908"/>
    <n v="14"/>
    <n v="10"/>
    <n v="0"/>
    <n v="10"/>
    <n v="14"/>
    <x v="0"/>
    <s v=""/>
    <n v="10"/>
    <n v="2018"/>
    <n v="14"/>
    <n v="2022"/>
    <x v="1"/>
    <n v="14"/>
    <n v="14"/>
    <s v="Increasing"/>
    <m/>
    <m/>
    <m/>
    <m/>
    <x v="0"/>
    <n v="6.6573840541671384E-2"/>
    <n v="8.3586680581858822E-2"/>
  </r>
  <r>
    <x v="20"/>
    <s v="GNQ"/>
    <n v="1193645.5"/>
    <x v="29"/>
    <n v="0"/>
    <n v="1243941.0000000002"/>
    <n v="0"/>
    <m/>
    <n v="0"/>
    <m/>
    <n v="0"/>
    <m/>
    <n v="0"/>
    <m/>
    <n v="0"/>
    <n v="1502091.5000000002"/>
    <n v="0"/>
    <n v="0"/>
    <m/>
    <n v="0"/>
    <m/>
    <n v="0"/>
    <m/>
    <n v="0"/>
    <n v="1674908"/>
    <n v="91"/>
    <n v="0"/>
    <n v="0"/>
    <n v="0"/>
    <n v="91"/>
    <x v="0"/>
    <s v=""/>
    <m/>
    <s v=""/>
    <n v="91"/>
    <n v="2022"/>
    <x v="1"/>
    <n v="91"/>
    <n v="91"/>
    <s v="Increasing"/>
    <m/>
    <m/>
    <m/>
    <m/>
    <x v="0"/>
    <n v="0"/>
    <n v="0.54331342378208236"/>
  </r>
  <r>
    <x v="20"/>
    <s v="GNQ"/>
    <n v="1193646.5"/>
    <x v="30"/>
    <n v="0"/>
    <n v="1243941.0000000002"/>
    <n v="0"/>
    <m/>
    <n v="0"/>
    <m/>
    <n v="0"/>
    <m/>
    <n v="0"/>
    <m/>
    <n v="0"/>
    <n v="1502091.5000000002"/>
    <n v="0"/>
    <n v="0"/>
    <m/>
    <n v="0"/>
    <m/>
    <n v="0"/>
    <m/>
    <n v="0"/>
    <n v="1674908"/>
    <n v="0"/>
    <n v="0"/>
    <n v="0"/>
    <n v="0"/>
    <n v="0"/>
    <x v="0"/>
    <s v=""/>
    <m/>
    <s v=""/>
    <n v="0"/>
    <s v=""/>
    <x v="1"/>
    <m/>
    <n v="0"/>
    <s v="No change"/>
    <m/>
    <m/>
    <m/>
    <m/>
    <x v="0"/>
    <n v="0"/>
    <n v="0"/>
  </r>
  <r>
    <x v="20"/>
    <s v="GNQ"/>
    <n v="1193647.5"/>
    <x v="31"/>
    <n v="0"/>
    <n v="1243941.0000000002"/>
    <n v="0"/>
    <m/>
    <n v="0"/>
    <m/>
    <n v="0"/>
    <m/>
    <n v="0"/>
    <m/>
    <n v="0"/>
    <n v="1502091.5000000002"/>
    <n v="0"/>
    <n v="0"/>
    <m/>
    <n v="0"/>
    <m/>
    <n v="0"/>
    <m/>
    <n v="0"/>
    <n v="1674908"/>
    <n v="0"/>
    <n v="0"/>
    <n v="0"/>
    <n v="0"/>
    <n v="0"/>
    <x v="0"/>
    <s v=""/>
    <m/>
    <s v=""/>
    <n v="0"/>
    <s v=""/>
    <x v="1"/>
    <m/>
    <n v="0"/>
    <s v="No change"/>
    <m/>
    <m/>
    <m/>
    <m/>
    <x v="0"/>
    <n v="0"/>
    <n v="0"/>
  </r>
  <r>
    <x v="20"/>
    <s v="GNQ"/>
    <n v="1193648.5"/>
    <x v="32"/>
    <n v="0"/>
    <n v="1243941.0000000002"/>
    <n v="0"/>
    <m/>
    <n v="0"/>
    <m/>
    <n v="0"/>
    <m/>
    <n v="0"/>
    <m/>
    <n v="0"/>
    <n v="1502091.5000000002"/>
    <n v="0"/>
    <n v="0"/>
    <m/>
    <n v="0"/>
    <m/>
    <n v="0"/>
    <m/>
    <n v="0"/>
    <n v="1674908"/>
    <n v="0"/>
    <n v="0"/>
    <n v="0"/>
    <n v="0"/>
    <n v="0"/>
    <x v="0"/>
    <s v=""/>
    <m/>
    <s v=""/>
    <n v="0"/>
    <s v=""/>
    <x v="1"/>
    <m/>
    <n v="0"/>
    <s v="No change"/>
    <m/>
    <m/>
    <m/>
    <m/>
    <x v="0"/>
    <n v="0"/>
    <n v="0"/>
  </r>
  <r>
    <x v="21"/>
    <s v="KEN"/>
    <n v="43725806.500000007"/>
    <x v="19"/>
    <n v="8092"/>
    <n v="44792368.000000007"/>
    <n v="8682"/>
    <n v="45831863.500000007"/>
    <n v="9149"/>
    <n v="46851488.499999993"/>
    <n v="0"/>
    <n v="47894670"/>
    <n v="0"/>
    <n v="48948137.000000037"/>
    <n v="0"/>
    <n v="49953303.999999993"/>
    <n v="8042"/>
    <n v="8042"/>
    <n v="50951450"/>
    <n v="0"/>
    <n v="51985779.999999993"/>
    <n v="0"/>
    <n v="53005614.000000022"/>
    <n v="5203"/>
    <n v="54027486.999999985"/>
    <n v="12792"/>
    <n v="8042"/>
    <n v="9149"/>
    <n v="8042"/>
    <n v="12792"/>
    <x v="220"/>
    <n v="2013"/>
    <n v="8042"/>
    <n v="2018"/>
    <n v="12792"/>
    <n v="2022"/>
    <x v="1"/>
    <n v="12792"/>
    <n v="12792"/>
    <s v="Increasing"/>
    <m/>
    <m/>
    <m/>
    <m/>
    <x v="243"/>
    <n v="1.6099035210964225"/>
    <n v="2.3676836940426274"/>
  </r>
  <r>
    <x v="21"/>
    <s v="KEN"/>
    <n v="43725807.5"/>
    <x v="20"/>
    <n v="0"/>
    <n v="44792368.000000007"/>
    <n v="0"/>
    <m/>
    <n v="0"/>
    <m/>
    <n v="0"/>
    <m/>
    <n v="0"/>
    <m/>
    <n v="0"/>
    <n v="49953303.999999993"/>
    <n v="5602"/>
    <n v="5602"/>
    <m/>
    <n v="0"/>
    <m/>
    <n v="0"/>
    <m/>
    <n v="3252"/>
    <n v="54027486.999999985"/>
    <n v="3544"/>
    <n v="5602"/>
    <n v="0"/>
    <n v="5602"/>
    <n v="3544"/>
    <x v="0"/>
    <s v=""/>
    <n v="5602"/>
    <n v="2018"/>
    <n v="3544"/>
    <n v="2022"/>
    <x v="0"/>
    <n v="4073.1143954715512"/>
    <n v="5602"/>
    <s v="Decreasing"/>
    <m/>
    <m/>
    <m/>
    <m/>
    <x v="0"/>
    <n v="1.1214473421017359"/>
    <n v="0.75389669622641386"/>
  </r>
  <r>
    <x v="21"/>
    <s v="KEN"/>
    <n v="43725808.5"/>
    <x v="21"/>
    <n v="0"/>
    <n v="44792368.000000007"/>
    <n v="0"/>
    <m/>
    <n v="0"/>
    <m/>
    <n v="0"/>
    <m/>
    <n v="0"/>
    <m/>
    <n v="0"/>
    <n v="49953303.999999993"/>
    <n v="2440"/>
    <n v="2440"/>
    <m/>
    <n v="0"/>
    <m/>
    <n v="0"/>
    <m/>
    <n v="1951"/>
    <n v="54027486.999999985"/>
    <n v="1973"/>
    <n v="2440"/>
    <n v="0"/>
    <n v="2440"/>
    <n v="1973"/>
    <x v="0"/>
    <s v=""/>
    <n v="2440"/>
    <n v="2018"/>
    <n v="1973"/>
    <n v="2022"/>
    <x v="0"/>
    <n v="2267.5662252441793"/>
    <n v="2440"/>
    <s v="Decreasing"/>
    <m/>
    <m/>
    <m/>
    <m/>
    <x v="0"/>
    <n v="0.4884561789946868"/>
    <n v="0.41970603319828292"/>
  </r>
  <r>
    <x v="21"/>
    <s v="KEN"/>
    <n v="43725809.5"/>
    <x v="22"/>
    <n v="61769"/>
    <n v="44792368.000000007"/>
    <n v="40292"/>
    <m/>
    <n v="43311"/>
    <m/>
    <n v="41413"/>
    <m/>
    <n v="48737"/>
    <m/>
    <n v="53168"/>
    <n v="49953303.999999993"/>
    <n v="59901"/>
    <n v="59901"/>
    <m/>
    <n v="0"/>
    <m/>
    <n v="0"/>
    <m/>
    <n v="34588"/>
    <n v="54027486.999999985"/>
    <n v="109659"/>
    <n v="59901"/>
    <n v="61769"/>
    <n v="59901"/>
    <n v="109659"/>
    <x v="221"/>
    <n v="2013"/>
    <n v="59901"/>
    <n v="2018"/>
    <n v="109659"/>
    <n v="2022"/>
    <x v="1"/>
    <n v="109659"/>
    <n v="109659"/>
    <s v="Increasing"/>
    <m/>
    <m/>
    <m/>
    <m/>
    <x v="244"/>
    <n v="11.991399007360956"/>
    <n v="20.296890728972834"/>
  </r>
  <r>
    <x v="21"/>
    <s v="KEN"/>
    <n v="43725810.5"/>
    <x v="23"/>
    <n v="0"/>
    <n v="44792368.000000007"/>
    <n v="28300"/>
    <m/>
    <n v="31167"/>
    <m/>
    <n v="32514"/>
    <m/>
    <n v="38300"/>
    <m/>
    <n v="41583"/>
    <n v="49953303.999999993"/>
    <n v="46703"/>
    <n v="46703"/>
    <m/>
    <n v="0"/>
    <m/>
    <n v="0"/>
    <m/>
    <n v="34588"/>
    <n v="54027486.999999985"/>
    <n v="34634"/>
    <n v="46703"/>
    <n v="32514"/>
    <n v="46703"/>
    <n v="34634"/>
    <x v="222"/>
    <n v="2013"/>
    <n v="46703"/>
    <n v="2018"/>
    <n v="34634"/>
    <n v="2022"/>
    <x v="0"/>
    <n v="39804.809247393256"/>
    <n v="46703"/>
    <s v="Decreasing"/>
    <m/>
    <m/>
    <m/>
    <m/>
    <x v="245"/>
    <n v="9.3493315277003521"/>
    <n v="7.3675107723209976"/>
  </r>
  <r>
    <x v="21"/>
    <s v="KEN"/>
    <n v="43725811.5"/>
    <x v="24"/>
    <n v="0"/>
    <n v="44792368.000000007"/>
    <n v="11992"/>
    <m/>
    <n v="12144"/>
    <m/>
    <n v="8899"/>
    <m/>
    <n v="10437"/>
    <m/>
    <n v="11585"/>
    <n v="49953303.999999993"/>
    <n v="13198"/>
    <n v="13198"/>
    <m/>
    <n v="0"/>
    <m/>
    <n v="0"/>
    <m/>
    <n v="0"/>
    <n v="54027486.999999985"/>
    <n v="0"/>
    <n v="13198"/>
    <n v="12144"/>
    <n v="13198"/>
    <n v="0"/>
    <x v="223"/>
    <n v="2013"/>
    <n v="13198"/>
    <n v="2018"/>
    <n v="13198"/>
    <n v="2018"/>
    <x v="1"/>
    <n v="13198"/>
    <n v="13198"/>
    <s v="No change"/>
    <m/>
    <m/>
    <m/>
    <m/>
    <x v="246"/>
    <n v="2.642067479660605"/>
    <n v="2.4428306280467948"/>
  </r>
  <r>
    <x v="21"/>
    <s v="KEN"/>
    <n v="43725812.5"/>
    <x v="25"/>
    <n v="0"/>
    <n v="44792368.000000007"/>
    <n v="0"/>
    <m/>
    <n v="0"/>
    <m/>
    <n v="0"/>
    <m/>
    <n v="2092"/>
    <m/>
    <n v="0"/>
    <n v="49953303.999999993"/>
    <n v="0"/>
    <n v="0"/>
    <m/>
    <n v="0"/>
    <m/>
    <n v="0"/>
    <m/>
    <n v="0"/>
    <n v="54027486.999999985"/>
    <n v="137"/>
    <n v="0"/>
    <n v="0"/>
    <n v="2092"/>
    <n v="137"/>
    <x v="0"/>
    <s v=""/>
    <m/>
    <s v=""/>
    <n v="137"/>
    <n v="2022"/>
    <x v="1"/>
    <n v="137"/>
    <n v="137"/>
    <s v="Increasing"/>
    <m/>
    <m/>
    <m/>
    <m/>
    <x v="0"/>
    <n v="0"/>
    <n v="2.5357462952145089E-2"/>
  </r>
  <r>
    <x v="21"/>
    <s v="KEN"/>
    <n v="43725813.5"/>
    <x v="26"/>
    <n v="0"/>
    <n v="44792368.000000007"/>
    <n v="0"/>
    <m/>
    <n v="0"/>
    <m/>
    <n v="0"/>
    <m/>
    <n v="2092"/>
    <m/>
    <n v="0"/>
    <n v="49953303.999999993"/>
    <n v="0"/>
    <n v="0"/>
    <m/>
    <n v="0"/>
    <m/>
    <n v="0"/>
    <m/>
    <n v="0"/>
    <n v="54027486.999999985"/>
    <n v="137"/>
    <n v="0"/>
    <n v="0"/>
    <n v="2092"/>
    <n v="137"/>
    <x v="0"/>
    <s v=""/>
    <m/>
    <s v=""/>
    <n v="137"/>
    <n v="2022"/>
    <x v="1"/>
    <n v="137"/>
    <n v="137"/>
    <s v="Increasing"/>
    <m/>
    <m/>
    <m/>
    <m/>
    <x v="0"/>
    <n v="0"/>
    <n v="2.5357462952145089E-2"/>
  </r>
  <r>
    <x v="21"/>
    <s v="KEN"/>
    <n v="43725814.5"/>
    <x v="27"/>
    <n v="0"/>
    <n v="44792368.000000007"/>
    <n v="0"/>
    <m/>
    <n v="0"/>
    <m/>
    <n v="0"/>
    <m/>
    <n v="0"/>
    <m/>
    <n v="0"/>
    <n v="49953303.999999993"/>
    <n v="0"/>
    <n v="0"/>
    <m/>
    <n v="0"/>
    <m/>
    <n v="0"/>
    <m/>
    <n v="0"/>
    <n v="54027486.999999985"/>
    <n v="0"/>
    <n v="0"/>
    <n v="0"/>
    <n v="0"/>
    <n v="0"/>
    <x v="0"/>
    <s v=""/>
    <m/>
    <s v=""/>
    <n v="0"/>
    <s v=""/>
    <x v="1"/>
    <m/>
    <n v="0"/>
    <s v="No change"/>
    <m/>
    <m/>
    <m/>
    <m/>
    <x v="0"/>
    <n v="0"/>
    <n v="0"/>
  </r>
  <r>
    <x v="21"/>
    <s v="KEN"/>
    <n v="43725815.5"/>
    <x v="28"/>
    <n v="2076"/>
    <n v="44792368.000000007"/>
    <n v="2202"/>
    <m/>
    <n v="2355"/>
    <m/>
    <n v="0"/>
    <m/>
    <n v="0"/>
    <m/>
    <n v="0"/>
    <n v="49953303.999999993"/>
    <n v="964"/>
    <n v="964"/>
    <m/>
    <n v="0"/>
    <m/>
    <n v="0"/>
    <m/>
    <n v="1137"/>
    <n v="54027486.999999985"/>
    <n v="1337"/>
    <n v="964"/>
    <n v="2355"/>
    <n v="964"/>
    <n v="1337"/>
    <x v="224"/>
    <n v="2013"/>
    <n v="964"/>
    <n v="2018"/>
    <n v="1337"/>
    <n v="2022"/>
    <x v="1"/>
    <n v="1337"/>
    <n v="1337"/>
    <s v="Increasing"/>
    <m/>
    <m/>
    <m/>
    <m/>
    <x v="247"/>
    <n v="0.19298022809462215"/>
    <n v="0.24746662749648163"/>
  </r>
  <r>
    <x v="21"/>
    <s v="KEN"/>
    <n v="43725816.5"/>
    <x v="29"/>
    <n v="0"/>
    <n v="44792368.000000007"/>
    <n v="0"/>
    <m/>
    <n v="0"/>
    <m/>
    <n v="0"/>
    <m/>
    <n v="0"/>
    <m/>
    <n v="0"/>
    <n v="49953303.999999993"/>
    <n v="1331"/>
    <n v="1331"/>
    <m/>
    <n v="0"/>
    <m/>
    <n v="0"/>
    <m/>
    <n v="1780"/>
    <n v="54027486.999999985"/>
    <n v="6240"/>
    <n v="1331"/>
    <n v="0"/>
    <n v="1331"/>
    <n v="6240"/>
    <x v="0"/>
    <s v=""/>
    <n v="1331"/>
    <n v="2018"/>
    <n v="6240"/>
    <n v="2022"/>
    <x v="1"/>
    <n v="6240"/>
    <n v="6240"/>
    <s v="Increasing"/>
    <m/>
    <m/>
    <m/>
    <m/>
    <x v="0"/>
    <n v="0.26644884190242957"/>
    <n v="1.1549676556305499"/>
  </r>
  <r>
    <x v="21"/>
    <s v="KEN"/>
    <n v="43725817.5"/>
    <x v="30"/>
    <n v="985"/>
    <n v="44792368.000000007"/>
    <n v="1045"/>
    <m/>
    <n v="1090"/>
    <m/>
    <n v="0"/>
    <m/>
    <n v="0"/>
    <m/>
    <n v="0"/>
    <n v="49953303.999999993"/>
    <n v="841"/>
    <n v="1300"/>
    <m/>
    <n v="1300"/>
    <m/>
    <n v="0"/>
    <m/>
    <n v="0"/>
    <n v="54027486.999999985"/>
    <n v="1344"/>
    <n v="1300"/>
    <n v="1090"/>
    <n v="1300"/>
    <n v="1344"/>
    <x v="225"/>
    <n v="2013"/>
    <n v="1300"/>
    <s v="2018 (triag)"/>
    <n v="1344"/>
    <n v="2022"/>
    <x v="1"/>
    <n v="1344"/>
    <n v="1344"/>
    <s v="Increasing"/>
    <m/>
    <m/>
    <m/>
    <m/>
    <x v="248"/>
    <n v="0.26024304618569377"/>
    <n v="0.24876226428965692"/>
  </r>
  <r>
    <x v="21"/>
    <s v="KEN"/>
    <n v="43725818.5"/>
    <x v="31"/>
    <n v="0"/>
    <n v="44792368.000000007"/>
    <n v="0"/>
    <m/>
    <n v="0"/>
    <m/>
    <n v="0"/>
    <m/>
    <n v="0"/>
    <m/>
    <n v="0"/>
    <n v="49953303.999999993"/>
    <n v="0"/>
    <n v="464"/>
    <m/>
    <n v="464"/>
    <m/>
    <n v="0"/>
    <m/>
    <n v="246"/>
    <n v="54027486.999999985"/>
    <n v="987"/>
    <n v="464"/>
    <n v="0"/>
    <n v="464"/>
    <n v="987"/>
    <x v="0"/>
    <s v=""/>
    <n v="464"/>
    <s v="2018 (triag)"/>
    <n v="987"/>
    <n v="2022"/>
    <x v="1"/>
    <n v="987"/>
    <n v="987"/>
    <s v="Increasing"/>
    <m/>
    <m/>
    <m/>
    <m/>
    <x v="0"/>
    <n v="9.2886748792432236E-2"/>
    <n v="0.1826847878377168"/>
  </r>
  <r>
    <x v="21"/>
    <s v="KEN"/>
    <n v="43725819.5"/>
    <x v="32"/>
    <n v="0"/>
    <n v="44792368.000000007"/>
    <n v="0"/>
    <m/>
    <n v="0"/>
    <m/>
    <n v="0"/>
    <m/>
    <n v="0"/>
    <m/>
    <n v="0"/>
    <n v="49953303.999999993"/>
    <n v="0"/>
    <n v="0"/>
    <m/>
    <n v="0"/>
    <m/>
    <n v="0"/>
    <m/>
    <n v="0"/>
    <n v="54027486.999999985"/>
    <n v="0"/>
    <n v="0"/>
    <n v="0"/>
    <n v="0"/>
    <n v="0"/>
    <x v="0"/>
    <s v=""/>
    <m/>
    <s v=""/>
    <n v="0"/>
    <s v=""/>
    <x v="1"/>
    <m/>
    <n v="0"/>
    <s v="No change"/>
    <m/>
    <m/>
    <m/>
    <m/>
    <x v="0"/>
    <n v="0"/>
    <n v="0"/>
  </r>
  <r>
    <x v="22"/>
    <s v="LBR"/>
    <n v="4331740.4999999991"/>
    <x v="19"/>
    <n v="0"/>
    <n v="4427312.4999999991"/>
    <n v="0"/>
    <n v="4519397.9999999981"/>
    <n v="0"/>
    <n v="4612328.9999999972"/>
    <n v="168"/>
    <n v="4706097.5000000009"/>
    <n v="234"/>
    <n v="4796630.9999999963"/>
    <n v="248"/>
    <n v="4889391"/>
    <n v="693"/>
    <n v="693"/>
    <n v="4985289.0000000075"/>
    <n v="732"/>
    <n v="5087584.5000000019"/>
    <n v="777"/>
    <n v="5193415.5000000019"/>
    <n v="887"/>
    <n v="5302681.0000000028"/>
    <n v="954"/>
    <n v="246"/>
    <n v="168"/>
    <n v="732"/>
    <n v="954"/>
    <x v="226"/>
    <n v="2015"/>
    <n v="693"/>
    <n v="2018"/>
    <n v="954"/>
    <n v="2022"/>
    <x v="1"/>
    <n v="954"/>
    <n v="954"/>
    <s v="Increasing"/>
    <m/>
    <m/>
    <m/>
    <m/>
    <x v="249"/>
    <n v="1.4173544312573898"/>
    <n v="1.7990899320551237"/>
  </r>
  <r>
    <x v="22"/>
    <s v="LBR"/>
    <n v="4331741.5"/>
    <x v="20"/>
    <n v="0"/>
    <n v="4427312.4999999991"/>
    <n v="0"/>
    <m/>
    <n v="0"/>
    <m/>
    <n v="0"/>
    <m/>
    <n v="0"/>
    <m/>
    <n v="0"/>
    <n v="4889391"/>
    <n v="672"/>
    <n v="672"/>
    <m/>
    <n v="697"/>
    <m/>
    <n v="725"/>
    <m/>
    <n v="800"/>
    <n v="5302681.0000000028"/>
    <n v="840"/>
    <n v="234"/>
    <n v="0"/>
    <n v="697"/>
    <n v="840"/>
    <x v="0"/>
    <s v=""/>
    <n v="672"/>
    <n v="2018"/>
    <n v="840"/>
    <n v="2022"/>
    <x v="1"/>
    <n v="840"/>
    <n v="840"/>
    <s v="Increasing"/>
    <m/>
    <m/>
    <m/>
    <m/>
    <x v="0"/>
    <n v="1.3744042969768628"/>
    <n v="1.5841043426900459"/>
  </r>
  <r>
    <x v="22"/>
    <s v="LBR"/>
    <n v="4331742.5"/>
    <x v="21"/>
    <n v="0"/>
    <n v="4427312.4999999991"/>
    <n v="0"/>
    <m/>
    <n v="0"/>
    <m/>
    <n v="0"/>
    <m/>
    <n v="0"/>
    <m/>
    <n v="0"/>
    <n v="4889391"/>
    <n v="21"/>
    <n v="21"/>
    <m/>
    <n v="35"/>
    <m/>
    <n v="52"/>
    <m/>
    <n v="87"/>
    <n v="5302681.0000000028"/>
    <n v="114"/>
    <n v="12"/>
    <n v="0"/>
    <n v="35"/>
    <n v="114"/>
    <x v="0"/>
    <s v=""/>
    <n v="21"/>
    <n v="2018"/>
    <n v="114"/>
    <n v="2022"/>
    <x v="1"/>
    <n v="114"/>
    <n v="114"/>
    <s v="Increasing"/>
    <m/>
    <m/>
    <m/>
    <m/>
    <x v="0"/>
    <n v="4.2950134280526964E-2"/>
    <n v="0.21498558936507767"/>
  </r>
  <r>
    <x v="22"/>
    <s v="LBR"/>
    <n v="4331743.5"/>
    <x v="22"/>
    <n v="0"/>
    <n v="4427312.4999999991"/>
    <n v="0"/>
    <m/>
    <n v="0"/>
    <m/>
    <n v="0"/>
    <m/>
    <n v="0"/>
    <m/>
    <n v="0"/>
    <n v="4889391"/>
    <n v="2263"/>
    <n v="8488"/>
    <m/>
    <n v="1978"/>
    <m/>
    <n v="2416"/>
    <m/>
    <n v="1761"/>
    <n v="5302681.0000000028"/>
    <n v="3440"/>
    <n v="8488"/>
    <n v="0"/>
    <n v="2263"/>
    <n v="3440"/>
    <x v="0"/>
    <s v=""/>
    <n v="8488"/>
    <s v="2018 (triag)"/>
    <n v="3440"/>
    <n v="2022"/>
    <x v="0"/>
    <n v="4423.7952883834278"/>
    <n v="8488"/>
    <s v="Decreasing"/>
    <m/>
    <m/>
    <m/>
    <m/>
    <x v="0"/>
    <n v="17.360035227291089"/>
    <n v="8.3425634851189905"/>
  </r>
  <r>
    <x v="22"/>
    <s v="LBR"/>
    <n v="4331744.5"/>
    <x v="23"/>
    <n v="0"/>
    <n v="4427312.4999999991"/>
    <n v="0"/>
    <m/>
    <n v="0"/>
    <m/>
    <n v="0"/>
    <m/>
    <n v="0"/>
    <m/>
    <n v="0"/>
    <n v="4889391"/>
    <n v="2263"/>
    <n v="4887"/>
    <m/>
    <n v="1978"/>
    <m/>
    <n v="2416"/>
    <m/>
    <n v="1761"/>
    <n v="5302681.0000000028"/>
    <n v="2017"/>
    <n v="4887"/>
    <n v="0"/>
    <n v="2263"/>
    <n v="2416"/>
    <x v="0"/>
    <s v=""/>
    <n v="4887"/>
    <s v="2018 (triag)"/>
    <n v="2017"/>
    <n v="2022"/>
    <x v="0"/>
    <n v="2593.8357839155155"/>
    <n v="4887"/>
    <s v="Decreasing"/>
    <m/>
    <m/>
    <m/>
    <m/>
    <x v="0"/>
    <n v="9.9951098204254887"/>
    <n v="4.891555392292152"/>
  </r>
  <r>
    <x v="22"/>
    <s v="LBR"/>
    <n v="4331745.5"/>
    <x v="24"/>
    <n v="0"/>
    <n v="4427312.4999999991"/>
    <n v="0"/>
    <m/>
    <n v="0"/>
    <m/>
    <n v="0"/>
    <m/>
    <n v="0"/>
    <m/>
    <n v="0"/>
    <n v="4889391"/>
    <n v="0"/>
    <n v="3601"/>
    <m/>
    <n v="0"/>
    <m/>
    <n v="0"/>
    <m/>
    <n v="0"/>
    <n v="5302681.0000000028"/>
    <n v="1423"/>
    <n v="3601"/>
    <n v="0"/>
    <n v="0"/>
    <n v="1423"/>
    <x v="0"/>
    <s v=""/>
    <n v="3601"/>
    <s v="2018 (triag)"/>
    <n v="1423"/>
    <n v="2022"/>
    <x v="0"/>
    <n v="1829.9595044679122"/>
    <n v="3601"/>
    <s v="Decreasing"/>
    <m/>
    <m/>
    <m/>
    <m/>
    <x v="0"/>
    <n v="7.3649254068655994"/>
    <n v="3.451008092826839"/>
  </r>
  <r>
    <x v="22"/>
    <s v="LBR"/>
    <n v="4331746.5"/>
    <x v="25"/>
    <n v="0"/>
    <n v="4427312.4999999991"/>
    <n v="806"/>
    <m/>
    <n v="0"/>
    <m/>
    <n v="0"/>
    <m/>
    <n v="0"/>
    <m/>
    <n v="0"/>
    <n v="4889391"/>
    <n v="892"/>
    <n v="927"/>
    <m/>
    <n v="767"/>
    <m/>
    <n v="872"/>
    <m/>
    <n v="795"/>
    <n v="5302681.0000000028"/>
    <n v="769"/>
    <n v="927"/>
    <n v="806"/>
    <n v="892"/>
    <n v="872"/>
    <x v="227"/>
    <n v="2013"/>
    <n v="927"/>
    <s v="2018 (triag)"/>
    <n v="769"/>
    <n v="2022"/>
    <x v="0"/>
    <n v="988.92400487408611"/>
    <n v="988.92400487408611"/>
    <s v="Increasing"/>
    <m/>
    <m/>
    <m/>
    <m/>
    <x v="250"/>
    <n v="1.8959416418118331"/>
    <n v="1.864950965132705"/>
  </r>
  <r>
    <x v="22"/>
    <s v="LBR"/>
    <n v="4331747.5"/>
    <x v="26"/>
    <n v="0"/>
    <n v="4427312.4999999991"/>
    <n v="806"/>
    <m/>
    <n v="0"/>
    <m/>
    <n v="0"/>
    <m/>
    <n v="0"/>
    <m/>
    <n v="0"/>
    <n v="4889391"/>
    <n v="892"/>
    <n v="927"/>
    <m/>
    <n v="767"/>
    <m/>
    <n v="872"/>
    <m/>
    <n v="795"/>
    <n v="5302681.0000000028"/>
    <n v="769"/>
    <n v="927"/>
    <n v="806"/>
    <n v="892"/>
    <n v="872"/>
    <x v="227"/>
    <n v="2013"/>
    <n v="927"/>
    <s v="2018 (triag)"/>
    <n v="769"/>
    <n v="2022"/>
    <x v="0"/>
    <n v="988.92400487408611"/>
    <n v="988.92400487408611"/>
    <s v="Increasing"/>
    <m/>
    <m/>
    <m/>
    <m/>
    <x v="250"/>
    <n v="1.8959416418118331"/>
    <n v="1.864950965132705"/>
  </r>
  <r>
    <x v="22"/>
    <s v="LBR"/>
    <n v="4331748.5"/>
    <x v="27"/>
    <n v="0"/>
    <n v="4427312.4999999991"/>
    <n v="0"/>
    <m/>
    <n v="0"/>
    <m/>
    <n v="0"/>
    <m/>
    <n v="0"/>
    <m/>
    <n v="0"/>
    <n v="4889391"/>
    <n v="0"/>
    <n v="0"/>
    <m/>
    <n v="0"/>
    <m/>
    <n v="0"/>
    <m/>
    <n v="0"/>
    <n v="5302681.0000000028"/>
    <n v="0"/>
    <n v="0"/>
    <n v="0"/>
    <n v="0"/>
    <n v="0"/>
    <x v="0"/>
    <s v=""/>
    <m/>
    <s v=""/>
    <n v="0"/>
    <s v=""/>
    <x v="1"/>
    <m/>
    <n v="0"/>
    <s v="No change"/>
    <m/>
    <m/>
    <m/>
    <m/>
    <x v="0"/>
    <n v="0"/>
    <n v="0"/>
  </r>
  <r>
    <x v="22"/>
    <s v="LBR"/>
    <n v="4331749.5"/>
    <x v="28"/>
    <n v="0"/>
    <n v="4427312.4999999991"/>
    <n v="0"/>
    <m/>
    <n v="0"/>
    <m/>
    <n v="0"/>
    <m/>
    <n v="0"/>
    <m/>
    <n v="0"/>
    <n v="4889391"/>
    <n v="93"/>
    <n v="109"/>
    <m/>
    <n v="54"/>
    <m/>
    <n v="127"/>
    <m/>
    <n v="124"/>
    <n v="5302681.0000000028"/>
    <n v="170"/>
    <n v="109"/>
    <n v="0"/>
    <n v="93"/>
    <n v="170"/>
    <x v="0"/>
    <s v=""/>
    <n v="109"/>
    <s v="2018 (triag)"/>
    <n v="170"/>
    <n v="2022"/>
    <x v="1"/>
    <n v="170"/>
    <n v="170"/>
    <s v="Increasing"/>
    <m/>
    <m/>
    <m/>
    <m/>
    <x v="0"/>
    <n v="0.22293164936083043"/>
    <n v="0.32059254554441408"/>
  </r>
  <r>
    <x v="22"/>
    <s v="LBR"/>
    <n v="4331750.5"/>
    <x v="29"/>
    <n v="0"/>
    <n v="4427312.4999999991"/>
    <n v="0"/>
    <m/>
    <n v="0"/>
    <m/>
    <n v="0"/>
    <m/>
    <n v="0"/>
    <m/>
    <n v="0"/>
    <n v="4889391"/>
    <n v="0"/>
    <n v="962"/>
    <m/>
    <n v="201"/>
    <m/>
    <n v="486"/>
    <m/>
    <n v="472"/>
    <n v="5302681.0000000028"/>
    <n v="447"/>
    <n v="962"/>
    <n v="0"/>
    <n v="201"/>
    <n v="486"/>
    <x v="0"/>
    <s v=""/>
    <n v="962"/>
    <s v="2018 (triag)"/>
    <n v="447"/>
    <n v="2022"/>
    <x v="0"/>
    <n v="574.83619008935818"/>
    <n v="962"/>
    <s v="Decreasing"/>
    <m/>
    <m/>
    <m/>
    <m/>
    <x v="0"/>
    <n v="1.9675251989460447"/>
    <n v="1.0840482203047062"/>
  </r>
  <r>
    <x v="22"/>
    <s v="LBR"/>
    <n v="4331751.5"/>
    <x v="30"/>
    <n v="0"/>
    <n v="4427312.4999999991"/>
    <n v="0"/>
    <m/>
    <n v="0"/>
    <m/>
    <n v="0"/>
    <m/>
    <n v="0"/>
    <m/>
    <n v="0"/>
    <n v="4889391"/>
    <n v="3"/>
    <n v="14"/>
    <m/>
    <n v="4"/>
    <m/>
    <n v="6"/>
    <m/>
    <n v="6"/>
    <n v="5302681.0000000028"/>
    <n v="6"/>
    <n v="14"/>
    <n v="0"/>
    <n v="4"/>
    <n v="6"/>
    <x v="0"/>
    <s v=""/>
    <n v="14"/>
    <s v="2018 (triag)"/>
    <n v="6"/>
    <n v="2020"/>
    <x v="0"/>
    <n v="7.715922014622258"/>
    <n v="14"/>
    <s v="Decreasing"/>
    <m/>
    <m/>
    <m/>
    <m/>
    <x v="0"/>
    <n v="2.8633422853684642E-2"/>
    <n v="1.4550982822881961E-2"/>
  </r>
  <r>
    <x v="22"/>
    <s v="LBR"/>
    <n v="4331752.5"/>
    <x v="31"/>
    <n v="0"/>
    <n v="4427312.4999999991"/>
    <n v="0"/>
    <m/>
    <n v="0"/>
    <m/>
    <n v="0"/>
    <m/>
    <n v="0"/>
    <m/>
    <n v="0"/>
    <n v="4889391"/>
    <n v="0"/>
    <n v="10"/>
    <m/>
    <n v="0"/>
    <m/>
    <n v="0"/>
    <m/>
    <n v="0"/>
    <n v="5302681.0000000028"/>
    <n v="0"/>
    <n v="10"/>
    <n v="0"/>
    <n v="0"/>
    <n v="0"/>
    <x v="0"/>
    <s v=""/>
    <n v="10"/>
    <s v="2018 (triag)"/>
    <n v="10"/>
    <s v="2018 (triag)"/>
    <x v="1"/>
    <n v="10"/>
    <n v="10"/>
    <s v="No change"/>
    <m/>
    <m/>
    <m/>
    <m/>
    <x v="0"/>
    <n v="2.045244489548903E-2"/>
    <n v="1.8858385032024357E-2"/>
  </r>
  <r>
    <x v="22"/>
    <s v="LBR"/>
    <n v="4331753.5"/>
    <x v="32"/>
    <n v="0"/>
    <n v="4427312.4999999991"/>
    <n v="0"/>
    <m/>
    <n v="0"/>
    <m/>
    <n v="0"/>
    <m/>
    <n v="0"/>
    <m/>
    <n v="0"/>
    <n v="4889391"/>
    <n v="0"/>
    <n v="0"/>
    <m/>
    <n v="0"/>
    <m/>
    <n v="0"/>
    <m/>
    <n v="0"/>
    <n v="5302681.0000000028"/>
    <n v="0"/>
    <n v="0"/>
    <n v="0"/>
    <n v="0"/>
    <n v="0"/>
    <x v="0"/>
    <s v=""/>
    <m/>
    <s v=""/>
    <n v="0"/>
    <s v=""/>
    <x v="1"/>
    <m/>
    <n v="0"/>
    <s v="No change"/>
    <m/>
    <m/>
    <m/>
    <m/>
    <x v="0"/>
    <n v="0"/>
    <n v="0"/>
  </r>
  <r>
    <x v="23"/>
    <s v="LSO"/>
    <n v="2054717.9999999998"/>
    <x v="19"/>
    <n v="0"/>
    <n v="2073938.4999999998"/>
    <n v="0"/>
    <n v="2095242.4999999993"/>
    <n v="0"/>
    <n v="2118520.5000000019"/>
    <n v="0"/>
    <n v="2143872.0000000023"/>
    <n v="0"/>
    <n v="2170616.9999999995"/>
    <n v="0"/>
    <n v="2198017"/>
    <n v="998"/>
    <n v="998"/>
    <n v="2225701.4999999995"/>
    <n v="0"/>
    <n v="2254100.0000000005"/>
    <n v="0"/>
    <n v="2281454.5000000014"/>
    <n v="420"/>
    <n v="2305825.5000000019"/>
    <n v="420"/>
    <n v="998"/>
    <n v="0"/>
    <n v="998"/>
    <n v="420"/>
    <x v="0"/>
    <s v=""/>
    <n v="998"/>
    <n v="2018"/>
    <n v="420"/>
    <n v="2022"/>
    <x v="0"/>
    <n v="536.60977859778598"/>
    <n v="998"/>
    <s v="Decreasing"/>
    <m/>
    <m/>
    <m/>
    <m/>
    <x v="0"/>
    <n v="4.5404562385095293"/>
    <n v="2.3271916222532258"/>
  </r>
  <r>
    <x v="23"/>
    <s v="LSO"/>
    <n v="2054719"/>
    <x v="20"/>
    <n v="0"/>
    <n v="2073938.4999999998"/>
    <n v="0"/>
    <m/>
    <n v="0"/>
    <m/>
    <n v="0"/>
    <m/>
    <n v="0"/>
    <m/>
    <n v="0"/>
    <n v="2198017"/>
    <n v="815"/>
    <n v="815"/>
    <m/>
    <n v="0"/>
    <m/>
    <n v="0"/>
    <m/>
    <n v="0"/>
    <n v="2305825.5000000019"/>
    <n v="281"/>
    <n v="815"/>
    <n v="0"/>
    <n v="815"/>
    <n v="281"/>
    <x v="0"/>
    <s v=""/>
    <n v="815"/>
    <n v="2018"/>
    <n v="281"/>
    <n v="2022"/>
    <x v="0"/>
    <n v="359.01749472851873"/>
    <n v="815"/>
    <s v="Decreasing"/>
    <m/>
    <m/>
    <m/>
    <m/>
    <x v="0"/>
    <n v="3.7078876096044753"/>
    <n v="1.5570020139360869"/>
  </r>
  <r>
    <x v="23"/>
    <s v="LSO"/>
    <n v="2054720"/>
    <x v="21"/>
    <n v="0"/>
    <n v="2073938.4999999998"/>
    <n v="0"/>
    <m/>
    <n v="0"/>
    <m/>
    <n v="0"/>
    <m/>
    <n v="0"/>
    <m/>
    <n v="0"/>
    <n v="2198017"/>
    <n v="183"/>
    <n v="183"/>
    <m/>
    <n v="0"/>
    <m/>
    <n v="0"/>
    <m/>
    <n v="0"/>
    <n v="2305825.5000000019"/>
    <n v="66"/>
    <n v="183"/>
    <n v="0"/>
    <n v="183"/>
    <n v="66"/>
    <x v="0"/>
    <s v=""/>
    <n v="183"/>
    <n v="2018"/>
    <n v="66"/>
    <n v="2022"/>
    <x v="0"/>
    <n v="84.324393779652084"/>
    <n v="183"/>
    <s v="Decreasing"/>
    <m/>
    <m/>
    <m/>
    <m/>
    <x v="0"/>
    <n v="0.83256862890505401"/>
    <n v="0.36570154063979265"/>
  </r>
  <r>
    <x v="23"/>
    <s v="LSO"/>
    <n v="2054721"/>
    <x v="22"/>
    <n v="0"/>
    <n v="2073938.4999999998"/>
    <n v="0"/>
    <m/>
    <n v="0"/>
    <m/>
    <n v="0"/>
    <m/>
    <n v="0"/>
    <m/>
    <n v="0"/>
    <n v="2198017"/>
    <n v="6866"/>
    <n v="6866"/>
    <m/>
    <n v="0"/>
    <m/>
    <n v="0"/>
    <m/>
    <n v="0"/>
    <n v="2305825.5000000019"/>
    <n v="967"/>
    <n v="967"/>
    <n v="0"/>
    <n v="6866"/>
    <n v="967"/>
    <x v="0"/>
    <s v=""/>
    <n v="6866"/>
    <n v="2018"/>
    <n v="967"/>
    <n v="2022"/>
    <x v="0"/>
    <n v="1235.4801331049025"/>
    <n v="6866"/>
    <s v="Decreasing"/>
    <m/>
    <m/>
    <m/>
    <m/>
    <x v="0"/>
    <n v="31.237247027661752"/>
    <n v="5.358081663616356"/>
  </r>
  <r>
    <x v="23"/>
    <s v="LSO"/>
    <n v="2054722"/>
    <x v="23"/>
    <n v="0"/>
    <n v="2073938.4999999998"/>
    <n v="0"/>
    <m/>
    <n v="0"/>
    <m/>
    <n v="0"/>
    <m/>
    <n v="0"/>
    <m/>
    <n v="0"/>
    <n v="2198017"/>
    <n v="4686"/>
    <n v="4686"/>
    <m/>
    <n v="0"/>
    <m/>
    <n v="0"/>
    <m/>
    <n v="0"/>
    <n v="2305825.5000000019"/>
    <n v="0"/>
    <n v="0"/>
    <n v="0"/>
    <n v="4686"/>
    <n v="0"/>
    <x v="0"/>
    <s v=""/>
    <n v="4686"/>
    <n v="2018"/>
    <n v="4686"/>
    <n v="2018"/>
    <x v="1"/>
    <n v="4686"/>
    <n v="4686"/>
    <s v="No change"/>
    <m/>
    <m/>
    <m/>
    <m/>
    <x v="0"/>
    <n v="21.319216366388432"/>
    <n v="20.322439837706696"/>
  </r>
  <r>
    <x v="23"/>
    <s v="LSO"/>
    <n v="2054723"/>
    <x v="24"/>
    <n v="0"/>
    <n v="2073938.4999999998"/>
    <n v="0"/>
    <m/>
    <n v="0"/>
    <m/>
    <n v="0"/>
    <m/>
    <n v="0"/>
    <m/>
    <n v="0"/>
    <n v="2198017"/>
    <n v="2180"/>
    <n v="2180"/>
    <m/>
    <n v="0"/>
    <m/>
    <n v="0"/>
    <m/>
    <n v="0"/>
    <n v="2305825.5000000019"/>
    <n v="0"/>
    <n v="967"/>
    <n v="0"/>
    <n v="2180"/>
    <n v="0"/>
    <x v="0"/>
    <s v=""/>
    <n v="2180"/>
    <n v="2018"/>
    <n v="2180"/>
    <n v="2018"/>
    <x v="1"/>
    <n v="2180"/>
    <n v="2180"/>
    <s v="No change"/>
    <m/>
    <m/>
    <m/>
    <m/>
    <x v="0"/>
    <n v="9.9180306612733204"/>
    <n v="9.4543147345711898"/>
  </r>
  <r>
    <x v="23"/>
    <s v="LSO"/>
    <n v="2054724"/>
    <x v="25"/>
    <n v="0"/>
    <n v="2073938.4999999998"/>
    <n v="0"/>
    <m/>
    <n v="0"/>
    <m/>
    <n v="0"/>
    <m/>
    <n v="0"/>
    <m/>
    <n v="0"/>
    <n v="2198017"/>
    <n v="0"/>
    <n v="2779"/>
    <m/>
    <n v="0"/>
    <m/>
    <n v="0"/>
    <m/>
    <n v="0"/>
    <n v="2305825.5000000019"/>
    <n v="2779"/>
    <n v="2779"/>
    <n v="0"/>
    <n v="0"/>
    <n v="2779"/>
    <x v="0"/>
    <s v=""/>
    <n v="2779"/>
    <s v="2018 (triag)"/>
    <n v="2779"/>
    <n v="2022"/>
    <x v="1"/>
    <n v="2779"/>
    <n v="2779"/>
    <s v="No change"/>
    <m/>
    <m/>
    <m/>
    <m/>
    <x v="0"/>
    <n v="12.64321431544888"/>
    <n v="12.052082865767586"/>
  </r>
  <r>
    <x v="23"/>
    <s v="LSO"/>
    <n v="2054725"/>
    <x v="26"/>
    <n v="0"/>
    <n v="2073938.4999999998"/>
    <n v="0"/>
    <m/>
    <n v="0"/>
    <m/>
    <n v="0"/>
    <m/>
    <n v="0"/>
    <m/>
    <n v="0"/>
    <n v="2198017"/>
    <n v="0"/>
    <n v="2779"/>
    <m/>
    <n v="0"/>
    <m/>
    <n v="0"/>
    <m/>
    <n v="0"/>
    <n v="2305825.5000000019"/>
    <n v="0"/>
    <n v="2779"/>
    <n v="0"/>
    <n v="0"/>
    <n v="0"/>
    <x v="0"/>
    <s v=""/>
    <n v="2779"/>
    <s v="2018 (triag)"/>
    <n v="2779"/>
    <s v="2018 (triag)"/>
    <x v="1"/>
    <n v="2779"/>
    <n v="2779"/>
    <s v="No change"/>
    <m/>
    <m/>
    <m/>
    <m/>
    <x v="0"/>
    <n v="12.64321431544888"/>
    <n v="12.052082865767586"/>
  </r>
  <r>
    <x v="23"/>
    <s v="LSO"/>
    <n v="2054726"/>
    <x v="27"/>
    <n v="0"/>
    <n v="2073938.4999999998"/>
    <n v="0"/>
    <m/>
    <n v="0"/>
    <m/>
    <n v="0"/>
    <m/>
    <n v="0"/>
    <m/>
    <n v="0"/>
    <n v="2198017"/>
    <n v="0"/>
    <n v="0"/>
    <m/>
    <n v="0"/>
    <m/>
    <n v="0"/>
    <m/>
    <n v="0"/>
    <n v="2305825.5000000019"/>
    <n v="0"/>
    <n v="0"/>
    <n v="0"/>
    <n v="0"/>
    <n v="0"/>
    <x v="0"/>
    <s v=""/>
    <m/>
    <s v=""/>
    <n v="0"/>
    <s v=""/>
    <x v="1"/>
    <m/>
    <n v="0"/>
    <s v="No change"/>
    <m/>
    <m/>
    <m/>
    <m/>
    <x v="0"/>
    <n v="0"/>
    <n v="0"/>
  </r>
  <r>
    <x v="23"/>
    <s v="LSO"/>
    <n v="2054727"/>
    <x v="28"/>
    <n v="0"/>
    <n v="2073938.4999999998"/>
    <n v="0"/>
    <m/>
    <n v="0"/>
    <m/>
    <n v="0"/>
    <m/>
    <n v="0"/>
    <m/>
    <n v="0"/>
    <n v="2198017"/>
    <n v="398"/>
    <n v="398"/>
    <m/>
    <n v="0"/>
    <m/>
    <n v="0"/>
    <m/>
    <n v="0"/>
    <n v="2305825.5000000019"/>
    <n v="201"/>
    <n v="97"/>
    <n v="0"/>
    <n v="398"/>
    <n v="201"/>
    <x v="0"/>
    <s v=""/>
    <n v="398"/>
    <n v="2018"/>
    <n v="201"/>
    <n v="2022"/>
    <x v="0"/>
    <n v="256.80610832894047"/>
    <n v="398"/>
    <s v="Decreasing"/>
    <m/>
    <m/>
    <m/>
    <m/>
    <x v="0"/>
    <n v="1.8107230289847622"/>
    <n v="1.1137274192211868"/>
  </r>
  <r>
    <x v="23"/>
    <s v="LSO"/>
    <n v="2054728"/>
    <x v="29"/>
    <n v="0"/>
    <n v="2073938.4999999998"/>
    <n v="0"/>
    <m/>
    <n v="0"/>
    <m/>
    <n v="0"/>
    <m/>
    <n v="0"/>
    <m/>
    <n v="0"/>
    <n v="2198017"/>
    <n v="0"/>
    <n v="301"/>
    <m/>
    <n v="0"/>
    <m/>
    <n v="0"/>
    <m/>
    <n v="0"/>
    <n v="2305825.5000000019"/>
    <n v="347"/>
    <n v="301"/>
    <n v="0"/>
    <n v="0"/>
    <n v="347"/>
    <x v="0"/>
    <s v=""/>
    <n v="301"/>
    <s v="2018 (triag)"/>
    <n v="347"/>
    <n v="2022"/>
    <x v="1"/>
    <n v="347"/>
    <n v="347"/>
    <s v="Increasing"/>
    <m/>
    <m/>
    <m/>
    <m/>
    <x v="0"/>
    <n v="1.3694161601115915"/>
    <n v="1.5048840426129373"/>
  </r>
  <r>
    <x v="23"/>
    <s v="LSO"/>
    <n v="2054729"/>
    <x v="30"/>
    <n v="0"/>
    <n v="2073938.4999999998"/>
    <n v="0"/>
    <m/>
    <n v="0"/>
    <m/>
    <n v="0"/>
    <m/>
    <n v="0"/>
    <m/>
    <n v="0"/>
    <n v="2198017"/>
    <n v="159"/>
    <n v="159"/>
    <m/>
    <n v="37"/>
    <m/>
    <n v="0"/>
    <m/>
    <n v="0"/>
    <n v="2305825.5000000019"/>
    <n v="66"/>
    <n v="39"/>
    <n v="0"/>
    <n v="159"/>
    <n v="66"/>
    <x v="0"/>
    <s v=""/>
    <n v="159"/>
    <n v="2018"/>
    <n v="66"/>
    <n v="2022"/>
    <x v="0"/>
    <n v="84.324393779652084"/>
    <n v="159"/>
    <s v="Decreasing"/>
    <m/>
    <m/>
    <m/>
    <m/>
    <x v="0"/>
    <n v="0.7233793005240633"/>
    <n v="0.36570154063979265"/>
  </r>
  <r>
    <x v="23"/>
    <s v="LSO"/>
    <n v="2054730"/>
    <x v="31"/>
    <n v="0"/>
    <n v="2073938.4999999998"/>
    <n v="0"/>
    <m/>
    <n v="0"/>
    <m/>
    <n v="0"/>
    <m/>
    <n v="0"/>
    <m/>
    <n v="0"/>
    <n v="2198017"/>
    <n v="0"/>
    <n v="120"/>
    <m/>
    <n v="47"/>
    <m/>
    <n v="0"/>
    <m/>
    <n v="0"/>
    <n v="2305825.5000000019"/>
    <n v="49"/>
    <n v="120"/>
    <n v="0"/>
    <n v="47"/>
    <n v="49"/>
    <x v="0"/>
    <s v=""/>
    <n v="120"/>
    <s v="2018 (triag)"/>
    <n v="49"/>
    <n v="2022"/>
    <x v="0"/>
    <n v="62.6044741697417"/>
    <n v="120"/>
    <s v="Decreasing"/>
    <m/>
    <m/>
    <m/>
    <m/>
    <x v="0"/>
    <n v="0.54594664190495346"/>
    <n v="0.27150568926287633"/>
  </r>
  <r>
    <x v="23"/>
    <s v="LSO"/>
    <n v="2054731"/>
    <x v="32"/>
    <n v="0"/>
    <n v="2073938.4999999998"/>
    <n v="0"/>
    <m/>
    <n v="0"/>
    <m/>
    <n v="0"/>
    <m/>
    <n v="0"/>
    <m/>
    <n v="0"/>
    <n v="2198017"/>
    <n v="0"/>
    <n v="0"/>
    <m/>
    <n v="0"/>
    <m/>
    <n v="0"/>
    <m/>
    <n v="0"/>
    <n v="2305825.5000000019"/>
    <n v="0"/>
    <n v="0"/>
    <n v="0"/>
    <n v="0"/>
    <n v="0"/>
    <x v="0"/>
    <s v=""/>
    <m/>
    <s v=""/>
    <n v="0"/>
    <s v=""/>
    <x v="1"/>
    <m/>
    <n v="0"/>
    <s v="No change"/>
    <m/>
    <m/>
    <m/>
    <m/>
    <x v="0"/>
    <n v="0"/>
    <n v="0"/>
  </r>
  <r>
    <x v="24"/>
    <s v="MDG"/>
    <n v="22966240"/>
    <x v="19"/>
    <n v="3188"/>
    <n v="23588073.5"/>
    <n v="3523"/>
    <n v="24215975.500000019"/>
    <n v="4275"/>
    <n v="24850912.500000015"/>
    <n v="0"/>
    <n v="25501940.499999996"/>
    <n v="0"/>
    <n v="26169542.000000015"/>
    <n v="0"/>
    <n v="26846541"/>
    <n v="0"/>
    <n v="5230"/>
    <n v="27533134.000000015"/>
    <n v="0"/>
    <n v="28225176.500000007"/>
    <n v="0"/>
    <n v="28915652.500000004"/>
    <n v="0"/>
    <n v="29611714.000000004"/>
    <n v="0"/>
    <n v="5230"/>
    <n v="4275"/>
    <n v="0"/>
    <n v="0"/>
    <x v="228"/>
    <n v="2013"/>
    <n v="5230"/>
    <s v="2018 (triag)"/>
    <n v="5230"/>
    <s v="2018 (triag)"/>
    <x v="1"/>
    <n v="5230"/>
    <n v="5230"/>
    <s v="No change"/>
    <m/>
    <m/>
    <m/>
    <m/>
    <x v="251"/>
    <n v="1.9481094417340394"/>
    <n v="1.766192932972404"/>
  </r>
  <r>
    <x v="24"/>
    <s v="MDG"/>
    <n v="22966241"/>
    <x v="20"/>
    <n v="0"/>
    <n v="23588073.5"/>
    <n v="3028"/>
    <m/>
    <n v="0"/>
    <m/>
    <n v="0"/>
    <m/>
    <n v="0"/>
    <m/>
    <n v="0"/>
    <n v="26846541"/>
    <n v="0"/>
    <n v="4593"/>
    <m/>
    <n v="0"/>
    <m/>
    <n v="0"/>
    <m/>
    <n v="0"/>
    <n v="29611714.000000004"/>
    <n v="0"/>
    <n v="4593"/>
    <n v="3028"/>
    <n v="0"/>
    <n v="0"/>
    <x v="229"/>
    <n v="2013"/>
    <n v="4593"/>
    <s v="2018 (triag)"/>
    <n v="4593"/>
    <s v="2018 (triag)"/>
    <x v="1"/>
    <n v="4593"/>
    <n v="4593"/>
    <s v="No change"/>
    <m/>
    <m/>
    <m/>
    <m/>
    <x v="252"/>
    <n v="1.7108349265553429"/>
    <n v="1.5510753615950768"/>
  </r>
  <r>
    <x v="24"/>
    <s v="MDG"/>
    <n v="22966242"/>
    <x v="21"/>
    <n v="0"/>
    <n v="23588073.5"/>
    <n v="495"/>
    <m/>
    <n v="0"/>
    <m/>
    <n v="0"/>
    <m/>
    <n v="0"/>
    <m/>
    <n v="0"/>
    <n v="26846541"/>
    <n v="0"/>
    <n v="637"/>
    <m/>
    <n v="0"/>
    <m/>
    <n v="0"/>
    <m/>
    <n v="0"/>
    <n v="29611714.000000004"/>
    <n v="0"/>
    <n v="637"/>
    <n v="495"/>
    <n v="0"/>
    <n v="0"/>
    <x v="230"/>
    <n v="2013"/>
    <n v="637"/>
    <s v="2018 (triag)"/>
    <n v="637"/>
    <s v="2018 (triag)"/>
    <x v="1"/>
    <n v="637"/>
    <n v="637"/>
    <s v="No change"/>
    <m/>
    <m/>
    <m/>
    <m/>
    <x v="253"/>
    <n v="0.23727451517869658"/>
    <n v="0.2151175713773272"/>
  </r>
  <r>
    <x v="24"/>
    <s v="MDG"/>
    <n v="22966243"/>
    <x v="22"/>
    <n v="3383"/>
    <n v="23588073.5"/>
    <n v="3438"/>
    <m/>
    <n v="0"/>
    <m/>
    <n v="0"/>
    <m/>
    <n v="0"/>
    <m/>
    <n v="0"/>
    <n v="26846541"/>
    <n v="3833"/>
    <n v="4560"/>
    <m/>
    <n v="0"/>
    <m/>
    <n v="0"/>
    <m/>
    <n v="0"/>
    <n v="29611714.000000004"/>
    <n v="0"/>
    <n v="4560"/>
    <n v="3438"/>
    <n v="3833"/>
    <n v="0"/>
    <x v="231"/>
    <n v="2013"/>
    <n v="4560"/>
    <s v="2018 (triag)"/>
    <n v="4560"/>
    <s v="2018 (triag)"/>
    <x v="1"/>
    <n v="4560"/>
    <n v="4560"/>
    <s v="No change"/>
    <m/>
    <m/>
    <m/>
    <m/>
    <x v="254"/>
    <n v="1.6985428402117055"/>
    <n v="1.5399311232034727"/>
  </r>
  <r>
    <x v="24"/>
    <s v="MDG"/>
    <n v="22966244"/>
    <x v="23"/>
    <n v="0"/>
    <n v="23588073.5"/>
    <n v="0"/>
    <m/>
    <n v="0"/>
    <m/>
    <n v="0"/>
    <m/>
    <n v="0"/>
    <m/>
    <n v="0"/>
    <n v="26846541"/>
    <n v="3833"/>
    <n v="4560"/>
    <m/>
    <n v="0"/>
    <m/>
    <n v="0"/>
    <m/>
    <n v="0"/>
    <n v="29611714.000000004"/>
    <n v="0"/>
    <n v="4560"/>
    <n v="0"/>
    <n v="3833"/>
    <n v="0"/>
    <x v="0"/>
    <s v=""/>
    <n v="4560"/>
    <s v="2018 (triag)"/>
    <n v="4560"/>
    <s v="2018 (triag)"/>
    <x v="1"/>
    <n v="4560"/>
    <n v="4560"/>
    <s v="No change"/>
    <m/>
    <m/>
    <m/>
    <m/>
    <x v="0"/>
    <n v="1.6985428402117055"/>
    <n v="1.5399311232034727"/>
  </r>
  <r>
    <x v="24"/>
    <s v="MDG"/>
    <n v="22966245"/>
    <x v="24"/>
    <n v="0"/>
    <n v="23588073.5"/>
    <n v="0"/>
    <m/>
    <n v="0"/>
    <m/>
    <n v="0"/>
    <m/>
    <n v="0"/>
    <m/>
    <n v="0"/>
    <n v="26846541"/>
    <n v="0"/>
    <n v="0"/>
    <m/>
    <n v="0"/>
    <m/>
    <n v="0"/>
    <m/>
    <n v="0"/>
    <n v="29611714.000000004"/>
    <n v="0"/>
    <n v="0"/>
    <n v="0"/>
    <n v="0"/>
    <n v="0"/>
    <x v="0"/>
    <s v=""/>
    <m/>
    <s v=""/>
    <n v="0"/>
    <s v=""/>
    <x v="1"/>
    <m/>
    <n v="0"/>
    <s v="No change"/>
    <m/>
    <m/>
    <m/>
    <m/>
    <x v="0"/>
    <n v="0"/>
    <n v="0"/>
  </r>
  <r>
    <x v="24"/>
    <s v="MDG"/>
    <n v="22966246"/>
    <x v="25"/>
    <n v="1475"/>
    <n v="23588073.5"/>
    <n v="3400"/>
    <m/>
    <n v="0"/>
    <m/>
    <n v="0"/>
    <m/>
    <n v="1583"/>
    <m/>
    <n v="2931"/>
    <n v="26846541"/>
    <n v="3994"/>
    <n v="3994"/>
    <m/>
    <n v="0"/>
    <m/>
    <n v="0"/>
    <m/>
    <n v="0"/>
    <n v="29611714.000000004"/>
    <n v="0"/>
    <n v="3164"/>
    <n v="3400"/>
    <n v="3994"/>
    <n v="0"/>
    <x v="232"/>
    <n v="2013"/>
    <n v="3994"/>
    <n v="2018"/>
    <n v="3994"/>
    <n v="2018"/>
    <x v="1"/>
    <n v="3994"/>
    <n v="3994"/>
    <s v="No change"/>
    <m/>
    <m/>
    <m/>
    <m/>
    <x v="255"/>
    <n v="1.4877149350450771"/>
    <n v="1.3487905495777783"/>
  </r>
  <r>
    <x v="24"/>
    <s v="MDG"/>
    <n v="22966247"/>
    <x v="26"/>
    <n v="0"/>
    <n v="23588073.5"/>
    <n v="3400"/>
    <m/>
    <n v="0"/>
    <m/>
    <n v="0"/>
    <m/>
    <n v="1583"/>
    <m/>
    <n v="2931"/>
    <n v="26846541"/>
    <n v="3994"/>
    <n v="3994"/>
    <m/>
    <n v="0"/>
    <m/>
    <n v="0"/>
    <m/>
    <n v="0"/>
    <n v="29611714.000000004"/>
    <n v="0"/>
    <n v="3164"/>
    <n v="3400"/>
    <n v="3994"/>
    <n v="0"/>
    <x v="232"/>
    <n v="2013"/>
    <n v="3994"/>
    <n v="2018"/>
    <n v="3994"/>
    <n v="2018"/>
    <x v="1"/>
    <n v="3994"/>
    <n v="3994"/>
    <s v="No change"/>
    <m/>
    <m/>
    <m/>
    <m/>
    <x v="255"/>
    <n v="1.4877149350450771"/>
    <n v="1.3487905495777783"/>
  </r>
  <r>
    <x v="24"/>
    <s v="MDG"/>
    <n v="22966248"/>
    <x v="27"/>
    <n v="0"/>
    <n v="23588073.5"/>
    <n v="0"/>
    <m/>
    <n v="0"/>
    <m/>
    <n v="0"/>
    <m/>
    <n v="0"/>
    <m/>
    <n v="0"/>
    <n v="26846541"/>
    <n v="0"/>
    <n v="0"/>
    <m/>
    <n v="0"/>
    <m/>
    <n v="0"/>
    <m/>
    <n v="0"/>
    <n v="29611714.000000004"/>
    <n v="0"/>
    <n v="0"/>
    <n v="0"/>
    <n v="0"/>
    <n v="0"/>
    <x v="0"/>
    <s v=""/>
    <m/>
    <s v=""/>
    <n v="0"/>
    <s v=""/>
    <x v="1"/>
    <m/>
    <n v="0"/>
    <s v="No change"/>
    <m/>
    <m/>
    <m/>
    <m/>
    <x v="0"/>
    <n v="0"/>
    <n v="0"/>
  </r>
  <r>
    <x v="24"/>
    <s v="MDG"/>
    <n v="22966249"/>
    <x v="28"/>
    <n v="6"/>
    <n v="23588073.5"/>
    <n v="17"/>
    <m/>
    <n v="0"/>
    <m/>
    <n v="0"/>
    <m/>
    <n v="4"/>
    <m/>
    <n v="0"/>
    <n v="26846541"/>
    <n v="27"/>
    <n v="319"/>
    <m/>
    <n v="0"/>
    <m/>
    <n v="0"/>
    <m/>
    <n v="0"/>
    <n v="29611714.000000004"/>
    <n v="27"/>
    <n v="319"/>
    <n v="17"/>
    <n v="27"/>
    <n v="27"/>
    <x v="49"/>
    <n v="2013"/>
    <n v="319"/>
    <s v="2018 (triag)"/>
    <n v="27"/>
    <n v="2022"/>
    <x v="0"/>
    <n v="30.094339949726965"/>
    <n v="319"/>
    <s v="Decreasing"/>
    <m/>
    <m/>
    <m/>
    <m/>
    <x v="256"/>
    <n v="0.11882350132182765"/>
    <n v="1.0162984807203988E-2"/>
  </r>
  <r>
    <x v="24"/>
    <s v="MDG"/>
    <n v="22966250"/>
    <x v="29"/>
    <n v="0"/>
    <n v="23588073.5"/>
    <n v="0"/>
    <m/>
    <n v="0"/>
    <m/>
    <n v="0"/>
    <m/>
    <n v="0"/>
    <m/>
    <n v="0"/>
    <n v="26846541"/>
    <n v="0"/>
    <n v="10"/>
    <m/>
    <n v="0"/>
    <m/>
    <n v="0"/>
    <m/>
    <n v="0"/>
    <n v="29611714.000000004"/>
    <n v="0"/>
    <n v="10"/>
    <n v="0"/>
    <n v="0"/>
    <n v="0"/>
    <x v="0"/>
    <s v=""/>
    <n v="10"/>
    <s v="2018 (triag)"/>
    <n v="10"/>
    <s v="2018 (triag)"/>
    <x v="1"/>
    <n v="10"/>
    <n v="10"/>
    <s v="No change"/>
    <m/>
    <m/>
    <m/>
    <m/>
    <x v="0"/>
    <n v="3.7248746495870733E-3"/>
    <n v="3.3770419368497205E-3"/>
  </r>
  <r>
    <x v="24"/>
    <s v="MDG"/>
    <n v="22966251"/>
    <x v="30"/>
    <n v="181"/>
    <n v="23588073.5"/>
    <n v="111"/>
    <m/>
    <n v="0"/>
    <m/>
    <n v="0"/>
    <m/>
    <n v="0"/>
    <m/>
    <n v="0"/>
    <n v="26846541"/>
    <n v="225"/>
    <n v="372"/>
    <m/>
    <n v="0"/>
    <m/>
    <n v="0"/>
    <m/>
    <n v="0"/>
    <n v="29611714.000000004"/>
    <n v="225"/>
    <n v="372"/>
    <n v="181"/>
    <n v="225"/>
    <n v="225"/>
    <x v="233"/>
    <n v="2013"/>
    <n v="372"/>
    <s v="2018 (triag)"/>
    <n v="225"/>
    <n v="2022"/>
    <x v="0"/>
    <n v="250.78616624772471"/>
    <n v="372"/>
    <s v="Decreasing"/>
    <m/>
    <m/>
    <m/>
    <m/>
    <x v="257"/>
    <n v="0.13856533696463913"/>
    <n v="8.4691540060033224E-2"/>
  </r>
  <r>
    <x v="24"/>
    <s v="MDG"/>
    <n v="22966252"/>
    <x v="31"/>
    <n v="0"/>
    <n v="23588073.5"/>
    <n v="0"/>
    <m/>
    <n v="0"/>
    <m/>
    <n v="0"/>
    <m/>
    <n v="0"/>
    <m/>
    <n v="0"/>
    <n v="26846541"/>
    <n v="0"/>
    <n v="184"/>
    <m/>
    <n v="21"/>
    <m/>
    <n v="0"/>
    <m/>
    <n v="0"/>
    <n v="29611714.000000004"/>
    <n v="0"/>
    <n v="184"/>
    <n v="0"/>
    <n v="21"/>
    <n v="0"/>
    <x v="0"/>
    <s v=""/>
    <n v="184"/>
    <s v="2018 (triag)"/>
    <n v="21"/>
    <s v="2018 (triag)"/>
    <x v="0"/>
    <n v="23.406708849787638"/>
    <n v="184"/>
    <s v="Decreasing"/>
    <m/>
    <m/>
    <m/>
    <m/>
    <x v="0"/>
    <n v="6.8537693552402149E-2"/>
    <n v="7.9045437389364329E-3"/>
  </r>
  <r>
    <x v="24"/>
    <s v="MDG"/>
    <n v="22966253"/>
    <x v="32"/>
    <n v="0"/>
    <n v="23588073.5"/>
    <n v="0"/>
    <m/>
    <n v="0"/>
    <m/>
    <n v="0"/>
    <m/>
    <n v="0"/>
    <m/>
    <n v="0"/>
    <n v="26846541"/>
    <n v="0"/>
    <n v="0"/>
    <m/>
    <n v="0"/>
    <m/>
    <n v="0"/>
    <m/>
    <n v="0"/>
    <n v="29611714.000000004"/>
    <n v="0"/>
    <n v="0"/>
    <n v="0"/>
    <n v="0"/>
    <n v="0"/>
    <x v="0"/>
    <s v=""/>
    <m/>
    <s v=""/>
    <n v="0"/>
    <s v=""/>
    <x v="1"/>
    <m/>
    <n v="0"/>
    <s v="No change"/>
    <m/>
    <m/>
    <m/>
    <m/>
    <x v="0"/>
    <n v="0"/>
    <n v="0"/>
  </r>
  <r>
    <x v="25"/>
    <s v="MLI"/>
    <n v="16514686.999999991"/>
    <x v="19"/>
    <n v="1704"/>
    <n v="17004032.499999996"/>
    <n v="1971"/>
    <n v="17551814.000000004"/>
    <n v="1750"/>
    <n v="18112906.500000004"/>
    <n v="1750"/>
    <n v="18700106"/>
    <n v="2247"/>
    <n v="19311354.499999996"/>
    <n v="2247"/>
    <n v="19934298.000000004"/>
    <n v="2454"/>
    <n v="2866"/>
    <n v="20567423.999999989"/>
    <n v="0"/>
    <n v="21224040.000000004"/>
    <n v="0"/>
    <n v="21904982.999999996"/>
    <n v="0"/>
    <n v="22593590.500000022"/>
    <n v="4402"/>
    <n v="2866"/>
    <n v="1971"/>
    <n v="2454"/>
    <n v="4402"/>
    <x v="234"/>
    <n v="2013"/>
    <n v="2866"/>
    <s v="2018 (triag)"/>
    <n v="4402"/>
    <n v="2022"/>
    <x v="1"/>
    <n v="4402"/>
    <n v="4402"/>
    <s v="Increasing"/>
    <m/>
    <m/>
    <m/>
    <m/>
    <x v="258"/>
    <n v="1.4377230640376699"/>
    <n v="1.9483401719615994"/>
  </r>
  <r>
    <x v="25"/>
    <s v="MLI"/>
    <n v="16514688"/>
    <x v="20"/>
    <n v="0"/>
    <n v="17004032.499999996"/>
    <n v="0"/>
    <m/>
    <n v="0"/>
    <m/>
    <n v="0"/>
    <m/>
    <n v="0"/>
    <m/>
    <n v="0"/>
    <n v="19934298.000000004"/>
    <n v="1417"/>
    <n v="2151"/>
    <m/>
    <n v="0"/>
    <m/>
    <n v="0"/>
    <m/>
    <n v="0"/>
    <n v="22593590.500000022"/>
    <n v="3557"/>
    <n v="2151"/>
    <n v="0"/>
    <n v="1417"/>
    <n v="3557"/>
    <x v="0"/>
    <s v=""/>
    <n v="2151"/>
    <s v="2018 (triag)"/>
    <n v="3557"/>
    <n v="2022"/>
    <x v="1"/>
    <n v="3557"/>
    <n v="3557"/>
    <s v="Increasing"/>
    <m/>
    <m/>
    <m/>
    <m/>
    <x v="0"/>
    <n v="1.0790447699738408"/>
    <n v="1.5743402979707879"/>
  </r>
  <r>
    <x v="25"/>
    <s v="MLI"/>
    <n v="16514689"/>
    <x v="21"/>
    <n v="0"/>
    <n v="17004032.499999996"/>
    <n v="0"/>
    <m/>
    <n v="0"/>
    <m/>
    <n v="0"/>
    <m/>
    <n v="0"/>
    <m/>
    <n v="0"/>
    <n v="19934298.000000004"/>
    <n v="1037"/>
    <n v="1037"/>
    <m/>
    <n v="0"/>
    <m/>
    <n v="0"/>
    <m/>
    <n v="0"/>
    <n v="22593590.500000022"/>
    <n v="845"/>
    <n v="715"/>
    <n v="0"/>
    <n v="1037"/>
    <n v="845"/>
    <x v="0"/>
    <s v=""/>
    <n v="1037"/>
    <n v="2018"/>
    <n v="845"/>
    <n v="2022"/>
    <x v="0"/>
    <n v="995.95103054567016"/>
    <n v="1037"/>
    <s v="Decreasing"/>
    <m/>
    <m/>
    <m/>
    <m/>
    <x v="0"/>
    <n v="0.52020893838348348"/>
    <n v="0.44081131352082759"/>
  </r>
  <r>
    <x v="25"/>
    <s v="MLI"/>
    <n v="16514690"/>
    <x v="22"/>
    <n v="4257"/>
    <n v="17004032.499999996"/>
    <n v="0"/>
    <m/>
    <n v="0"/>
    <m/>
    <n v="0"/>
    <m/>
    <n v="4765"/>
    <m/>
    <n v="0"/>
    <n v="19934298.000000004"/>
    <n v="5174"/>
    <n v="5225"/>
    <m/>
    <n v="0"/>
    <m/>
    <n v="0"/>
    <m/>
    <n v="0"/>
    <n v="22593590.500000022"/>
    <n v="6327"/>
    <n v="5225"/>
    <n v="4257"/>
    <n v="5174"/>
    <n v="6327"/>
    <x v="235"/>
    <n v="2012"/>
    <n v="5225"/>
    <s v="2018 (triag)"/>
    <n v="6327"/>
    <n v="2022"/>
    <x v="1"/>
    <n v="6327"/>
    <n v="6327"/>
    <s v="Increasing"/>
    <m/>
    <m/>
    <m/>
    <m/>
    <x v="259"/>
    <n v="2.621110610466443"/>
    <n v="2.800351719218773"/>
  </r>
  <r>
    <x v="25"/>
    <s v="MLI"/>
    <n v="16514691"/>
    <x v="23"/>
    <n v="0"/>
    <n v="17004032.499999996"/>
    <n v="0"/>
    <m/>
    <n v="0"/>
    <m/>
    <n v="0"/>
    <m/>
    <n v="4765"/>
    <m/>
    <n v="0"/>
    <n v="19934298.000000004"/>
    <n v="5174"/>
    <n v="5174"/>
    <m/>
    <n v="0"/>
    <m/>
    <n v="0"/>
    <m/>
    <n v="0"/>
    <n v="22593590.500000022"/>
    <n v="0"/>
    <n v="2255"/>
    <n v="0"/>
    <n v="5174"/>
    <n v="0"/>
    <x v="0"/>
    <s v=""/>
    <n v="5174"/>
    <n v="2018"/>
    <n v="5174"/>
    <n v="2018"/>
    <x v="1"/>
    <n v="5174"/>
    <n v="5174"/>
    <s v="No change"/>
    <m/>
    <m/>
    <m/>
    <m/>
    <x v="0"/>
    <n v="2.5955265643164354"/>
    <n v="2.2900299976668137"/>
  </r>
  <r>
    <x v="25"/>
    <s v="MLI"/>
    <n v="16514692"/>
    <x v="24"/>
    <n v="0"/>
    <n v="17004032.499999996"/>
    <n v="0"/>
    <m/>
    <n v="0"/>
    <m/>
    <n v="0"/>
    <m/>
    <n v="0"/>
    <m/>
    <n v="0"/>
    <n v="19934298.000000004"/>
    <n v="0"/>
    <n v="2970"/>
    <m/>
    <n v="0"/>
    <m/>
    <n v="0"/>
    <m/>
    <n v="0"/>
    <n v="22593590.500000022"/>
    <n v="6327"/>
    <n v="2970"/>
    <n v="0"/>
    <n v="0"/>
    <n v="6327"/>
    <x v="0"/>
    <s v=""/>
    <n v="2970"/>
    <s v="2018 (triag)"/>
    <n v="6327"/>
    <n v="2022"/>
    <x v="1"/>
    <n v="6327"/>
    <n v="6327"/>
    <s v="Increasing"/>
    <m/>
    <m/>
    <m/>
    <m/>
    <x v="0"/>
    <n v="1.4898944522651358"/>
    <n v="2.800351719218773"/>
  </r>
  <r>
    <x v="25"/>
    <s v="MLI"/>
    <n v="16514693"/>
    <x v="25"/>
    <n v="1770"/>
    <n v="17004032.499999996"/>
    <n v="1961"/>
    <m/>
    <n v="0"/>
    <m/>
    <n v="0"/>
    <m/>
    <n v="2657"/>
    <m/>
    <n v="0"/>
    <n v="19934298.000000004"/>
    <n v="3235"/>
    <n v="3235"/>
    <m/>
    <n v="0"/>
    <m/>
    <n v="0"/>
    <m/>
    <n v="0"/>
    <n v="22593590.500000022"/>
    <n v="1629"/>
    <n v="3169"/>
    <n v="1961"/>
    <n v="3235"/>
    <n v="1629"/>
    <x v="236"/>
    <n v="2013"/>
    <n v="3235"/>
    <n v="2018"/>
    <n v="1629"/>
    <n v="2022"/>
    <x v="0"/>
    <n v="1920.0050044483985"/>
    <n v="3235"/>
    <s v="Decreasing"/>
    <m/>
    <m/>
    <m/>
    <m/>
    <x v="260"/>
    <n v="1.6228311626524292"/>
    <n v="0.84980074523719307"/>
  </r>
  <r>
    <x v="25"/>
    <s v="MLI"/>
    <n v="16514694"/>
    <x v="26"/>
    <n v="0"/>
    <n v="17004032.499999996"/>
    <n v="686"/>
    <m/>
    <n v="0"/>
    <m/>
    <n v="0"/>
    <m/>
    <n v="2657"/>
    <m/>
    <n v="0"/>
    <n v="19934298.000000004"/>
    <n v="3235"/>
    <n v="3235"/>
    <m/>
    <n v="0"/>
    <m/>
    <n v="0"/>
    <m/>
    <n v="0"/>
    <n v="22593590.500000022"/>
    <n v="1629"/>
    <n v="1527"/>
    <n v="686"/>
    <n v="3235"/>
    <n v="1629"/>
    <x v="237"/>
    <n v="2013"/>
    <n v="3235"/>
    <n v="2018"/>
    <n v="1629"/>
    <n v="2022"/>
    <x v="0"/>
    <n v="1920.0050044483985"/>
    <n v="3235"/>
    <s v="Decreasing"/>
    <m/>
    <m/>
    <m/>
    <m/>
    <x v="261"/>
    <n v="1.6228311626524292"/>
    <n v="0.84980074523719307"/>
  </r>
  <r>
    <x v="25"/>
    <s v="MLI"/>
    <n v="16514695"/>
    <x v="27"/>
    <n v="0"/>
    <n v="17004032.499999996"/>
    <n v="1275"/>
    <m/>
    <n v="0"/>
    <m/>
    <n v="0"/>
    <m/>
    <n v="0"/>
    <m/>
    <n v="0"/>
    <n v="19934298.000000004"/>
    <n v="0"/>
    <n v="1642"/>
    <m/>
    <n v="0"/>
    <m/>
    <n v="0"/>
    <m/>
    <n v="0"/>
    <n v="22593590.500000022"/>
    <n v="0"/>
    <n v="1642"/>
    <n v="1275"/>
    <n v="0"/>
    <n v="0"/>
    <x v="238"/>
    <n v="2013"/>
    <n v="1642"/>
    <s v="2018 (triag)"/>
    <n v="1642"/>
    <s v="2018 (triag)"/>
    <x v="1"/>
    <n v="1642"/>
    <n v="1642"/>
    <s v="No change"/>
    <m/>
    <m/>
    <m/>
    <m/>
    <x v="262"/>
    <n v="0.82370595643749267"/>
    <n v="0.72675478472533983"/>
  </r>
  <r>
    <x v="25"/>
    <s v="MLI"/>
    <n v="16514696"/>
    <x v="28"/>
    <n v="0"/>
    <n v="17004032.499999996"/>
    <n v="0"/>
    <m/>
    <n v="0"/>
    <m/>
    <n v="0"/>
    <m/>
    <n v="194"/>
    <m/>
    <n v="0"/>
    <n v="19934298.000000004"/>
    <n v="182"/>
    <n v="1340"/>
    <m/>
    <n v="0"/>
    <m/>
    <n v="0"/>
    <m/>
    <n v="0"/>
    <n v="22593590.500000022"/>
    <n v="1721"/>
    <n v="1340"/>
    <n v="0"/>
    <n v="194"/>
    <n v="1721"/>
    <x v="0"/>
    <s v=""/>
    <n v="1340"/>
    <s v="2018 (triag)"/>
    <n v="1721"/>
    <n v="2022"/>
    <x v="1"/>
    <n v="1721"/>
    <n v="1721"/>
    <s v="Increasing"/>
    <m/>
    <m/>
    <m/>
    <m/>
    <x v="0"/>
    <n v="0.67220827139235084"/>
    <n v="0.7617204534179719"/>
  </r>
  <r>
    <x v="25"/>
    <s v="MLI"/>
    <n v="16514697"/>
    <x v="29"/>
    <n v="0"/>
    <n v="17004032.499999996"/>
    <n v="0"/>
    <m/>
    <n v="0"/>
    <m/>
    <n v="0"/>
    <m/>
    <n v="0"/>
    <m/>
    <n v="0"/>
    <n v="19934298.000000004"/>
    <n v="0"/>
    <n v="84"/>
    <m/>
    <n v="0"/>
    <m/>
    <n v="0"/>
    <m/>
    <n v="0"/>
    <n v="22593590.500000022"/>
    <n v="0"/>
    <n v="84"/>
    <n v="0"/>
    <n v="0"/>
    <n v="0"/>
    <x v="0"/>
    <s v=""/>
    <n v="84"/>
    <s v="2018 (triag)"/>
    <n v="84"/>
    <s v="2018 (triag)"/>
    <x v="1"/>
    <n v="84"/>
    <n v="84"/>
    <s v="No change"/>
    <m/>
    <m/>
    <m/>
    <m/>
    <x v="0"/>
    <n v="4.213842895295334E-2"/>
    <n v="3.7178685698494855E-2"/>
  </r>
  <r>
    <x v="25"/>
    <s v="MLI"/>
    <n v="16514698"/>
    <x v="30"/>
    <n v="0"/>
    <n v="17004032.499999996"/>
    <n v="0"/>
    <m/>
    <n v="0"/>
    <m/>
    <n v="0"/>
    <m/>
    <n v="107"/>
    <m/>
    <n v="0"/>
    <n v="19934298.000000004"/>
    <n v="30"/>
    <n v="30"/>
    <m/>
    <n v="0"/>
    <m/>
    <n v="0"/>
    <m/>
    <n v="0"/>
    <n v="22593590.500000022"/>
    <n v="0"/>
    <n v="30"/>
    <n v="0"/>
    <n v="107"/>
    <n v="0"/>
    <x v="0"/>
    <s v=""/>
    <n v="30"/>
    <n v="2018"/>
    <n v="30"/>
    <n v="2018"/>
    <x v="1"/>
    <n v="30"/>
    <n v="30"/>
    <s v="No change"/>
    <m/>
    <m/>
    <m/>
    <m/>
    <x v="0"/>
    <n v="1.5049438911769049E-2"/>
    <n v="1.3278102035176733E-2"/>
  </r>
  <r>
    <x v="25"/>
    <s v="MLI"/>
    <n v="16514699"/>
    <x v="31"/>
    <n v="0"/>
    <n v="17004032.499999996"/>
    <n v="0"/>
    <m/>
    <n v="0"/>
    <m/>
    <n v="0"/>
    <m/>
    <n v="0"/>
    <m/>
    <n v="53"/>
    <n v="19934298.000000004"/>
    <n v="53"/>
    <n v="53"/>
    <m/>
    <n v="0"/>
    <m/>
    <n v="0"/>
    <m/>
    <n v="0"/>
    <n v="22593590.500000022"/>
    <n v="0"/>
    <n v="0"/>
    <n v="0"/>
    <n v="53"/>
    <n v="0"/>
    <x v="0"/>
    <s v=""/>
    <n v="53"/>
    <n v="2017"/>
    <n v="53"/>
    <n v="2017"/>
    <x v="1"/>
    <n v="53"/>
    <n v="53"/>
    <s v="No change"/>
    <m/>
    <m/>
    <m/>
    <m/>
    <x v="0"/>
    <n v="2.6587342077458654E-2"/>
    <n v="2.3457980262145562E-2"/>
  </r>
  <r>
    <x v="25"/>
    <s v="MLI"/>
    <n v="16514700"/>
    <x v="32"/>
    <n v="0"/>
    <n v="17004032.499999996"/>
    <n v="0"/>
    <m/>
    <n v="0"/>
    <m/>
    <n v="0"/>
    <m/>
    <n v="0"/>
    <m/>
    <n v="0"/>
    <n v="19934298.000000004"/>
    <n v="0"/>
    <n v="0"/>
    <m/>
    <n v="0"/>
    <m/>
    <n v="0"/>
    <m/>
    <n v="0"/>
    <n v="22593590.500000022"/>
    <n v="0"/>
    <n v="0"/>
    <n v="0"/>
    <n v="0"/>
    <n v="0"/>
    <x v="0"/>
    <s v=""/>
    <m/>
    <s v=""/>
    <n v="0"/>
    <s v=""/>
    <x v="1"/>
    <m/>
    <n v="0"/>
    <s v="No change"/>
    <m/>
    <m/>
    <m/>
    <m/>
    <x v="0"/>
    <n v="0"/>
    <n v="0"/>
  </r>
  <r>
    <x v="26"/>
    <s v="MOZ"/>
    <n v="24487610.999999996"/>
    <x v="19"/>
    <n v="1358"/>
    <n v="25251730.999999993"/>
    <n v="1452"/>
    <n v="26038704.499999993"/>
    <n v="0"/>
    <n v="26843245.5"/>
    <n v="0"/>
    <n v="27696492.499999989"/>
    <n v="0"/>
    <n v="28569441.000000015"/>
    <n v="2180"/>
    <n v="29423878.499999993"/>
    <n v="2473"/>
    <n v="2473"/>
    <n v="30285595.000000004"/>
    <n v="2570"/>
    <n v="31178238.999999996"/>
    <n v="2573"/>
    <n v="32077072.000000011"/>
    <n v="2611"/>
    <n v="32969518.500000007"/>
    <n v="5719"/>
    <n v="2180"/>
    <n v="1452"/>
    <n v="2570"/>
    <n v="5719"/>
    <x v="239"/>
    <n v="2013"/>
    <n v="2473"/>
    <n v="2018"/>
    <n v="5719"/>
    <n v="2022"/>
    <x v="1"/>
    <n v="5719"/>
    <n v="5719"/>
    <s v="Increasing"/>
    <m/>
    <m/>
    <m/>
    <m/>
    <x v="263"/>
    <n v="0.84047383488210115"/>
    <n v="1.734632551579423"/>
  </r>
  <r>
    <x v="26"/>
    <s v="MOZ"/>
    <n v="24487612"/>
    <x v="20"/>
    <n v="0"/>
    <n v="25251730.999999993"/>
    <n v="0"/>
    <m/>
    <n v="0"/>
    <m/>
    <n v="0"/>
    <m/>
    <n v="0"/>
    <m/>
    <n v="1555"/>
    <n v="29423878.499999993"/>
    <n v="1695"/>
    <n v="1695"/>
    <m/>
    <n v="1715"/>
    <m/>
    <n v="1655"/>
    <m/>
    <n v="1807"/>
    <n v="32969518.500000007"/>
    <n v="1933"/>
    <n v="1555"/>
    <n v="0"/>
    <n v="1715"/>
    <n v="1933"/>
    <x v="0"/>
    <s v=""/>
    <n v="1695"/>
    <n v="2018"/>
    <n v="1933"/>
    <n v="2022"/>
    <x v="1"/>
    <n v="1933"/>
    <n v="1933"/>
    <s v="Increasing"/>
    <m/>
    <m/>
    <m/>
    <m/>
    <x v="0"/>
    <n v="0.57606273761632087"/>
    <n v="0.58629912960360631"/>
  </r>
  <r>
    <x v="26"/>
    <s v="MOZ"/>
    <n v="24487613"/>
    <x v="21"/>
    <n v="0"/>
    <n v="25251730.999999993"/>
    <n v="0"/>
    <m/>
    <n v="0"/>
    <m/>
    <n v="0"/>
    <m/>
    <n v="0"/>
    <m/>
    <n v="625"/>
    <n v="29423878.499999993"/>
    <n v="778"/>
    <n v="778"/>
    <m/>
    <n v="855"/>
    <m/>
    <n v="918"/>
    <m/>
    <n v="804"/>
    <n v="32969518.500000007"/>
    <n v="756"/>
    <n v="625"/>
    <n v="0"/>
    <n v="855"/>
    <n v="918"/>
    <x v="0"/>
    <s v=""/>
    <n v="778"/>
    <n v="2018"/>
    <n v="756"/>
    <n v="2022"/>
    <x v="0"/>
    <n v="868.86977510623387"/>
    <n v="868.86977510623387"/>
    <s v="Increasing"/>
    <m/>
    <m/>
    <m/>
    <m/>
    <x v="0"/>
    <n v="0.26441109726578033"/>
    <n v="0.26353729585290536"/>
  </r>
  <r>
    <x v="26"/>
    <s v="MOZ"/>
    <n v="24487614"/>
    <x v="22"/>
    <n v="5826"/>
    <n v="25251730.999999993"/>
    <n v="6432"/>
    <m/>
    <n v="6348"/>
    <m/>
    <n v="6927"/>
    <m/>
    <n v="7660"/>
    <m/>
    <n v="7961"/>
    <n v="29423878.499999993"/>
    <n v="8153"/>
    <n v="8153"/>
    <m/>
    <n v="8179"/>
    <m/>
    <n v="8831"/>
    <m/>
    <n v="10928"/>
    <n v="32969518.500000007"/>
    <n v="17168"/>
    <n v="7961"/>
    <n v="6927"/>
    <n v="8179"/>
    <n v="17168"/>
    <x v="240"/>
    <n v="2013"/>
    <n v="8153"/>
    <n v="2018"/>
    <n v="17168"/>
    <n v="2022"/>
    <x v="1"/>
    <n v="17168"/>
    <n v="17168"/>
    <s v="Increasing"/>
    <m/>
    <m/>
    <m/>
    <m/>
    <x v="264"/>
    <n v="2.7708787609356129"/>
    <n v="5.2072340698575852"/>
  </r>
  <r>
    <x v="26"/>
    <s v="MOZ"/>
    <n v="24487615"/>
    <x v="23"/>
    <n v="0"/>
    <n v="25251730.999999993"/>
    <n v="0"/>
    <m/>
    <n v="0"/>
    <m/>
    <n v="0"/>
    <m/>
    <n v="0"/>
    <m/>
    <n v="0"/>
    <n v="29423878.499999993"/>
    <n v="0"/>
    <n v="7961"/>
    <m/>
    <n v="7802"/>
    <m/>
    <n v="7215"/>
    <m/>
    <n v="2147"/>
    <n v="32969518.500000007"/>
    <n v="1792"/>
    <n v="7961"/>
    <n v="0"/>
    <n v="7802"/>
    <n v="7215"/>
    <x v="0"/>
    <s v=""/>
    <n v="7961"/>
    <s v="2018 (triag)"/>
    <n v="1792"/>
    <n v="2022"/>
    <x v="0"/>
    <n v="2059.5431706221839"/>
    <n v="7961"/>
    <s v="Decreasing"/>
    <m/>
    <m/>
    <m/>
    <m/>
    <x v="0"/>
    <n v="2.7056256366746489"/>
    <n v="0.62468099757725715"/>
  </r>
  <r>
    <x v="26"/>
    <s v="MOZ"/>
    <n v="24487616"/>
    <x v="24"/>
    <n v="0"/>
    <n v="25251730.999999993"/>
    <n v="0"/>
    <m/>
    <n v="0"/>
    <m/>
    <n v="0"/>
    <m/>
    <n v="0"/>
    <m/>
    <n v="0"/>
    <n v="29423878.499999993"/>
    <n v="0"/>
    <n v="0"/>
    <m/>
    <n v="377"/>
    <m/>
    <n v="1616"/>
    <m/>
    <n v="8781"/>
    <n v="32969518.500000007"/>
    <n v="7983"/>
    <n v="0"/>
    <n v="0"/>
    <n v="377"/>
    <n v="8781"/>
    <x v="0"/>
    <s v=""/>
    <n v="377"/>
    <n v="2019"/>
    <n v="7983"/>
    <n v="2022"/>
    <x v="1"/>
    <n v="7983"/>
    <n v="7983"/>
    <s v="Increasing"/>
    <m/>
    <m/>
    <m/>
    <m/>
    <x v="0"/>
    <n v="0.12812722836657991"/>
    <n v="2.4213274452279303"/>
  </r>
  <r>
    <x v="26"/>
    <s v="MOZ"/>
    <n v="24487617"/>
    <x v="25"/>
    <n v="4261"/>
    <n v="25251730.999999993"/>
    <n v="4265"/>
    <m/>
    <n v="4649"/>
    <m/>
    <n v="5158"/>
    <m/>
    <n v="5705"/>
    <m/>
    <n v="5820"/>
    <n v="29423878.499999993"/>
    <n v="6021"/>
    <n v="6021"/>
    <m/>
    <n v="6175"/>
    <m/>
    <n v="6324"/>
    <m/>
    <n v="7278"/>
    <n v="32969518.500000007"/>
    <n v="13384"/>
    <n v="5820"/>
    <n v="5158"/>
    <n v="6175"/>
    <n v="13384"/>
    <x v="241"/>
    <n v="2013"/>
    <n v="6021"/>
    <n v="2018"/>
    <n v="13384"/>
    <n v="2022"/>
    <x v="1"/>
    <n v="13384"/>
    <n v="13384"/>
    <s v="Increasing"/>
    <m/>
    <m/>
    <m/>
    <m/>
    <x v="265"/>
    <n v="2.0462971936211609"/>
    <n v="4.0595072688125535"/>
  </r>
  <r>
    <x v="26"/>
    <s v="MOZ"/>
    <n v="24487618"/>
    <x v="26"/>
    <n v="0"/>
    <n v="25251730.999999993"/>
    <n v="3545"/>
    <m/>
    <n v="0"/>
    <m/>
    <n v="0"/>
    <m/>
    <n v="5148"/>
    <m/>
    <n v="5384"/>
    <n v="29423878.499999993"/>
    <n v="6021"/>
    <n v="6021"/>
    <m/>
    <n v="5889"/>
    <m/>
    <n v="5049"/>
    <m/>
    <n v="42"/>
    <n v="32969518.500000007"/>
    <n v="38"/>
    <n v="5820"/>
    <n v="3545"/>
    <n v="6021"/>
    <n v="5049"/>
    <x v="242"/>
    <n v="2013"/>
    <n v="6021"/>
    <n v="2018"/>
    <n v="38"/>
    <n v="2022"/>
    <x v="0"/>
    <n v="43.673348484175776"/>
    <n v="6021"/>
    <s v="Decreasing"/>
    <m/>
    <m/>
    <m/>
    <m/>
    <x v="266"/>
    <n v="2.0462971936211609"/>
    <n v="1.3246583653982015E-2"/>
  </r>
  <r>
    <x v="26"/>
    <s v="MOZ"/>
    <n v="24487619"/>
    <x v="27"/>
    <n v="0"/>
    <n v="25251730.999999993"/>
    <n v="720"/>
    <m/>
    <n v="0"/>
    <m/>
    <n v="0"/>
    <m/>
    <n v="557"/>
    <m/>
    <n v="436"/>
    <n v="29423878.499999993"/>
    <n v="0"/>
    <n v="0"/>
    <m/>
    <n v="286"/>
    <m/>
    <n v="1275"/>
    <m/>
    <n v="7236"/>
    <n v="32969518.500000007"/>
    <n v="7082"/>
    <n v="0"/>
    <n v="720"/>
    <n v="557"/>
    <n v="7236"/>
    <x v="243"/>
    <n v="2013"/>
    <n v="436"/>
    <n v="2017"/>
    <n v="7082"/>
    <n v="2022"/>
    <x v="1"/>
    <n v="7082"/>
    <n v="7082"/>
    <s v="Increasing"/>
    <m/>
    <m/>
    <m/>
    <m/>
    <x v="267"/>
    <n v="0.14817896967593858"/>
    <n v="2.1480447159093328"/>
  </r>
  <r>
    <x v="26"/>
    <s v="MOZ"/>
    <n v="24487620"/>
    <x v="28"/>
    <n v="72"/>
    <n v="25251730.999999993"/>
    <n v="103"/>
    <m/>
    <n v="0"/>
    <m/>
    <n v="194"/>
    <m/>
    <n v="0"/>
    <m/>
    <n v="255"/>
    <n v="29423878.499999993"/>
    <n v="305"/>
    <n v="305"/>
    <m/>
    <n v="385"/>
    <m/>
    <n v="423"/>
    <m/>
    <n v="406"/>
    <n v="32969518.500000007"/>
    <n v="498"/>
    <n v="259"/>
    <n v="194"/>
    <n v="385"/>
    <n v="498"/>
    <x v="244"/>
    <n v="2013"/>
    <n v="305"/>
    <n v="2018"/>
    <n v="498"/>
    <n v="2022"/>
    <x v="1"/>
    <n v="498"/>
    <n v="498"/>
    <s v="Increasing"/>
    <m/>
    <m/>
    <m/>
    <m/>
    <x v="268"/>
    <n v="0.1036573067687185"/>
    <n v="0.15104861176544021"/>
  </r>
  <r>
    <x v="26"/>
    <s v="MOZ"/>
    <n v="24487621"/>
    <x v="29"/>
    <n v="1390"/>
    <n v="25251730.999999993"/>
    <n v="1388"/>
    <m/>
    <n v="0"/>
    <m/>
    <n v="0"/>
    <m/>
    <n v="0"/>
    <m/>
    <n v="2055"/>
    <n v="29423878.499999993"/>
    <n v="1887"/>
    <n v="2051"/>
    <m/>
    <n v="2261"/>
    <m/>
    <n v="2358"/>
    <m/>
    <n v="3039"/>
    <n v="32969518.500000007"/>
    <n v="3299"/>
    <n v="2051"/>
    <n v="1390"/>
    <n v="2261"/>
    <n v="3299"/>
    <x v="245"/>
    <n v="2013"/>
    <n v="2051"/>
    <s v="2018 (triag)"/>
    <n v="3299"/>
    <n v="2022"/>
    <x v="1"/>
    <n v="3299"/>
    <n v="3299"/>
    <s v="Increasing"/>
    <m/>
    <m/>
    <m/>
    <m/>
    <x v="269"/>
    <n v="0.69705290551685783"/>
    <n v="1.0006212253296933"/>
  </r>
  <r>
    <x v="26"/>
    <s v="MOZ"/>
    <n v="24487622"/>
    <x v="30"/>
    <n v="69"/>
    <n v="25251730.999999993"/>
    <n v="136"/>
    <m/>
    <n v="0"/>
    <m/>
    <n v="189"/>
    <m/>
    <n v="0"/>
    <m/>
    <n v="217"/>
    <n v="29423878.499999993"/>
    <n v="255"/>
    <n v="255"/>
    <m/>
    <n v="288"/>
    <m/>
    <n v="277"/>
    <m/>
    <n v="355"/>
    <n v="32969518.500000007"/>
    <n v="348"/>
    <n v="205"/>
    <n v="189"/>
    <n v="288"/>
    <n v="355"/>
    <x v="246"/>
    <n v="2013"/>
    <n v="255"/>
    <n v="2018"/>
    <n v="348"/>
    <n v="2022"/>
    <x v="1"/>
    <n v="348"/>
    <n v="348"/>
    <s v="Increasing"/>
    <m/>
    <m/>
    <m/>
    <m/>
    <x v="270"/>
    <n v="8.6664305659092514E-2"/>
    <n v="0.10555204195657268"/>
  </r>
  <r>
    <x v="26"/>
    <s v="MOZ"/>
    <n v="24487623"/>
    <x v="31"/>
    <n v="305"/>
    <n v="25251730.999999993"/>
    <n v="238"/>
    <m/>
    <n v="0"/>
    <m/>
    <n v="45"/>
    <m/>
    <n v="0"/>
    <m/>
    <n v="319"/>
    <n v="29423878.499999993"/>
    <n v="39"/>
    <n v="340"/>
    <m/>
    <n v="305"/>
    <m/>
    <n v="318"/>
    <m/>
    <n v="340"/>
    <n v="32969518.500000007"/>
    <n v="341"/>
    <n v="340"/>
    <n v="305"/>
    <n v="319"/>
    <n v="341"/>
    <x v="64"/>
    <n v="2013"/>
    <n v="340"/>
    <s v="2018 (triag)"/>
    <n v="341"/>
    <n v="2022"/>
    <x v="1"/>
    <n v="341"/>
    <n v="341"/>
    <s v="Increasing"/>
    <m/>
    <m/>
    <m/>
    <m/>
    <x v="69"/>
    <n v="0.11555240754545669"/>
    <n v="0.10342886869882553"/>
  </r>
  <r>
    <x v="26"/>
    <s v="MOZ"/>
    <n v="24487624"/>
    <x v="32"/>
    <n v="0"/>
    <n v="25251730.999999993"/>
    <n v="0"/>
    <m/>
    <n v="0"/>
    <m/>
    <n v="0"/>
    <m/>
    <n v="0"/>
    <m/>
    <n v="219"/>
    <n v="29423878.499999993"/>
    <n v="608"/>
    <n v="608"/>
    <m/>
    <n v="393"/>
    <m/>
    <n v="530"/>
    <m/>
    <n v="610"/>
    <n v="32969518.500000007"/>
    <n v="655"/>
    <n v="0"/>
    <n v="0"/>
    <n v="608"/>
    <n v="655"/>
    <x v="0"/>
    <s v=""/>
    <n v="608"/>
    <n v="2018"/>
    <n v="655"/>
    <n v="2022"/>
    <x v="1"/>
    <n v="655"/>
    <n v="655"/>
    <s v="Increasing"/>
    <m/>
    <m/>
    <m/>
    <m/>
    <x v="0"/>
    <n v="0.20663489349305197"/>
    <n v="0.19866835483205492"/>
  </r>
  <r>
    <x v="27"/>
    <s v="MRT"/>
    <n v="3636113.5000000009"/>
    <x v="19"/>
    <n v="0"/>
    <n v="3742958.9999999981"/>
    <n v="0"/>
    <n v="3843173.9999999991"/>
    <n v="622"/>
    <n v="3946219.4999999991"/>
    <n v="692"/>
    <n v="4051890.5000000014"/>
    <n v="0"/>
    <n v="4160014.4999999995"/>
    <n v="791"/>
    <n v="4270711.4999999972"/>
    <n v="850"/>
    <n v="1626"/>
    <n v="4383848.5000000009"/>
    <n v="897"/>
    <n v="4498603.4999999953"/>
    <n v="934"/>
    <n v="4614974"/>
    <n v="1035"/>
    <n v="4736138.9999999991"/>
    <n v="1118"/>
    <n v="1626"/>
    <n v="692"/>
    <n v="897"/>
    <n v="1118"/>
    <x v="247"/>
    <n v="2014"/>
    <n v="1626"/>
    <s v="2018 (triag)"/>
    <n v="1118"/>
    <n v="2022"/>
    <x v="0"/>
    <n v="1273.0346943092873"/>
    <n v="1626"/>
    <s v="Decreasing"/>
    <m/>
    <m/>
    <m/>
    <m/>
    <x v="271"/>
    <n v="3.8073281231944631"/>
    <n v="2.6879166644164951"/>
  </r>
  <r>
    <x v="27"/>
    <s v="MRT"/>
    <n v="3636114.5"/>
    <x v="20"/>
    <n v="0"/>
    <n v="3742958.9999999981"/>
    <n v="0"/>
    <m/>
    <n v="0"/>
    <m/>
    <n v="0"/>
    <m/>
    <n v="0"/>
    <m/>
    <n v="0"/>
    <n v="4270711.4999999972"/>
    <n v="487"/>
    <n v="808"/>
    <m/>
    <n v="533"/>
    <m/>
    <n v="532"/>
    <m/>
    <n v="597"/>
    <n v="4736138.9999999991"/>
    <n v="616"/>
    <n v="808"/>
    <n v="0"/>
    <n v="533"/>
    <n v="616"/>
    <x v="0"/>
    <s v=""/>
    <n v="808"/>
    <s v="2018 (triag)"/>
    <n v="616"/>
    <n v="2022"/>
    <x v="0"/>
    <n v="701.42162047810461"/>
    <n v="808"/>
    <s v="Decreasing"/>
    <m/>
    <m/>
    <m/>
    <m/>
    <x v="0"/>
    <n v="1.891956410541898"/>
    <n v="1.480998806154348"/>
  </r>
  <r>
    <x v="27"/>
    <s v="MRT"/>
    <n v="3636115.5"/>
    <x v="21"/>
    <n v="0"/>
    <n v="3742958.9999999981"/>
    <n v="0"/>
    <m/>
    <n v="0"/>
    <m/>
    <n v="0"/>
    <m/>
    <n v="0"/>
    <m/>
    <n v="0"/>
    <n v="4270711.4999999972"/>
    <n v="363"/>
    <n v="818"/>
    <m/>
    <n v="364"/>
    <m/>
    <n v="402"/>
    <m/>
    <n v="438"/>
    <n v="4736138.9999999991"/>
    <n v="502"/>
    <n v="818"/>
    <n v="0"/>
    <n v="364"/>
    <n v="502"/>
    <x v="0"/>
    <s v=""/>
    <n v="818"/>
    <s v="2018 (triag)"/>
    <n v="502"/>
    <n v="2022"/>
    <x v="0"/>
    <n v="571.61307383118265"/>
    <n v="818"/>
    <s v="Decreasing"/>
    <m/>
    <m/>
    <m/>
    <m/>
    <x v="0"/>
    <n v="1.9153717126525651"/>
    <n v="1.2069178582621471"/>
  </r>
  <r>
    <x v="27"/>
    <s v="MRT"/>
    <n v="3636116.5"/>
    <x v="22"/>
    <n v="0"/>
    <n v="3742958.9999999981"/>
    <n v="0"/>
    <m/>
    <n v="3846"/>
    <m/>
    <n v="4137"/>
    <m/>
    <n v="0"/>
    <m/>
    <n v="4571"/>
    <n v="4270711.4999999972"/>
    <n v="4066"/>
    <n v="4066"/>
    <m/>
    <n v="4369"/>
    <m/>
    <n v="4290"/>
    <m/>
    <n v="6156"/>
    <n v="4736138.9999999991"/>
    <n v="6503"/>
    <n v="4017"/>
    <n v="4137"/>
    <n v="4571"/>
    <n v="6503"/>
    <x v="248"/>
    <n v="2014"/>
    <n v="4066"/>
    <n v="2018"/>
    <n v="6503"/>
    <n v="2022"/>
    <x v="1"/>
    <n v="6503"/>
    <n v="6503"/>
    <s v="Increasing"/>
    <m/>
    <m/>
    <m/>
    <m/>
    <x v="272"/>
    <n v="9.5206618381972241"/>
    <n v="13.7305936333372"/>
  </r>
  <r>
    <x v="27"/>
    <s v="MRT"/>
    <n v="3636117.5"/>
    <x v="23"/>
    <n v="0"/>
    <n v="3742958.9999999981"/>
    <n v="0"/>
    <m/>
    <n v="0"/>
    <m/>
    <n v="0"/>
    <m/>
    <n v="0"/>
    <m/>
    <n v="0"/>
    <n v="4270711.4999999972"/>
    <n v="461"/>
    <n v="4011"/>
    <m/>
    <n v="550"/>
    <m/>
    <n v="526"/>
    <m/>
    <n v="646"/>
    <n v="4736138.9999999991"/>
    <n v="663"/>
    <n v="4011"/>
    <n v="0"/>
    <n v="550"/>
    <n v="663"/>
    <x v="0"/>
    <s v=""/>
    <n v="4011"/>
    <s v="2018 (triag)"/>
    <n v="663"/>
    <n v="2022"/>
    <x v="0"/>
    <n v="754.93917918341447"/>
    <n v="4011"/>
    <s v="Decreasing"/>
    <m/>
    <m/>
    <m/>
    <m/>
    <x v="0"/>
    <n v="9.391877676588555"/>
    <n v="1.5939970916888517"/>
  </r>
  <r>
    <x v="27"/>
    <s v="MRT"/>
    <n v="3636118.5"/>
    <x v="24"/>
    <n v="0"/>
    <n v="3742958.9999999981"/>
    <n v="0"/>
    <m/>
    <n v="0"/>
    <m/>
    <n v="0"/>
    <m/>
    <n v="0"/>
    <m/>
    <n v="0"/>
    <n v="4270711.4999999972"/>
    <n v="0"/>
    <n v="6"/>
    <m/>
    <n v="0"/>
    <m/>
    <n v="0"/>
    <m/>
    <n v="0"/>
    <n v="4736138.9999999991"/>
    <n v="0"/>
    <n v="6"/>
    <n v="0"/>
    <n v="0"/>
    <n v="0"/>
    <x v="0"/>
    <s v=""/>
    <n v="6"/>
    <s v="2018 (triag)"/>
    <n v="6"/>
    <s v="2018 (triag)"/>
    <x v="1"/>
    <n v="6"/>
    <n v="6"/>
    <s v="No change"/>
    <m/>
    <m/>
    <m/>
    <m/>
    <x v="0"/>
    <n v="1.4049181266400233E-2"/>
    <n v="1.2668547101341411E-2"/>
  </r>
  <r>
    <x v="27"/>
    <s v="MRT"/>
    <n v="3636119.5"/>
    <x v="25"/>
    <n v="0"/>
    <n v="3742958.9999999981"/>
    <n v="368"/>
    <m/>
    <n v="0"/>
    <m/>
    <n v="0"/>
    <m/>
    <n v="0"/>
    <m/>
    <n v="0"/>
    <n v="4270711.4999999972"/>
    <n v="671"/>
    <n v="855"/>
    <m/>
    <n v="932"/>
    <m/>
    <n v="1027"/>
    <m/>
    <n v="1252"/>
    <n v="4736138.9999999991"/>
    <n v="1340"/>
    <n v="855"/>
    <n v="368"/>
    <n v="932"/>
    <n v="1340"/>
    <x v="249"/>
    <n v="2013"/>
    <n v="855"/>
    <s v="2018 (triag)"/>
    <n v="1340"/>
    <n v="2022"/>
    <x v="1"/>
    <n v="1340"/>
    <n v="1340"/>
    <s v="Increasing"/>
    <m/>
    <m/>
    <m/>
    <m/>
    <x v="273"/>
    <n v="2.0020083304620333"/>
    <n v="2.8293088526329151"/>
  </r>
  <r>
    <x v="27"/>
    <s v="MRT"/>
    <n v="3636120.5"/>
    <x v="26"/>
    <n v="0"/>
    <n v="3742958.9999999981"/>
    <n v="368"/>
    <m/>
    <n v="0"/>
    <m/>
    <n v="0"/>
    <m/>
    <n v="0"/>
    <m/>
    <n v="0"/>
    <n v="4270711.4999999972"/>
    <n v="671"/>
    <n v="854"/>
    <m/>
    <n v="932"/>
    <m/>
    <n v="1027"/>
    <m/>
    <n v="1252"/>
    <n v="4736138.9999999991"/>
    <n v="1340"/>
    <n v="854"/>
    <n v="368"/>
    <n v="932"/>
    <n v="1340"/>
    <x v="249"/>
    <n v="2013"/>
    <n v="854"/>
    <s v="2018 (triag)"/>
    <n v="1340"/>
    <n v="2022"/>
    <x v="1"/>
    <n v="1340"/>
    <n v="1340"/>
    <s v="Increasing"/>
    <m/>
    <m/>
    <m/>
    <m/>
    <x v="273"/>
    <n v="1.9996668002509665"/>
    <n v="2.8293088526329151"/>
  </r>
  <r>
    <x v="27"/>
    <s v="MRT"/>
    <n v="3636121.5"/>
    <x v="27"/>
    <n v="0"/>
    <n v="3742958.9999999981"/>
    <n v="0"/>
    <m/>
    <n v="0"/>
    <m/>
    <n v="0"/>
    <m/>
    <n v="0"/>
    <m/>
    <n v="0"/>
    <n v="4270711.4999999972"/>
    <n v="0"/>
    <n v="1"/>
    <m/>
    <n v="0"/>
    <m/>
    <n v="0"/>
    <m/>
    <n v="0"/>
    <n v="4736138.9999999991"/>
    <n v="0"/>
    <n v="1"/>
    <n v="0"/>
    <n v="0"/>
    <n v="0"/>
    <x v="0"/>
    <s v=""/>
    <n v="1"/>
    <s v="2018 (triag)"/>
    <n v="1"/>
    <s v="2018 (triag)"/>
    <x v="1"/>
    <n v="1"/>
    <n v="1"/>
    <s v="No change"/>
    <m/>
    <m/>
    <m/>
    <m/>
    <x v="0"/>
    <n v="2.3415302110667054E-3"/>
    <n v="2.1114245168902352E-3"/>
  </r>
  <r>
    <x v="27"/>
    <s v="MRT"/>
    <n v="3636122.5"/>
    <x v="28"/>
    <n v="0"/>
    <n v="3742958.9999999981"/>
    <n v="0"/>
    <m/>
    <n v="0"/>
    <m/>
    <n v="0"/>
    <m/>
    <n v="0"/>
    <m/>
    <n v="0"/>
    <n v="4270711.4999999972"/>
    <n v="78"/>
    <n v="87"/>
    <m/>
    <n v="74"/>
    <m/>
    <n v="76"/>
    <m/>
    <n v="75"/>
    <n v="4736138.9999999991"/>
    <n v="85"/>
    <n v="87"/>
    <n v="0"/>
    <n v="78"/>
    <n v="85"/>
    <x v="0"/>
    <s v=""/>
    <n v="87"/>
    <s v="2018 (triag)"/>
    <n v="85"/>
    <n v="2022"/>
    <x v="0"/>
    <n v="96.787074254283908"/>
    <n v="96.787074254283908"/>
    <s v="Increasing"/>
    <m/>
    <m/>
    <m/>
    <m/>
    <x v="0"/>
    <n v="0.20371312836280339"/>
    <n v="0.20435860149857071"/>
  </r>
  <r>
    <x v="27"/>
    <s v="MRT"/>
    <n v="3636123.5"/>
    <x v="29"/>
    <n v="0"/>
    <n v="3742958.9999999981"/>
    <n v="0"/>
    <m/>
    <n v="0"/>
    <m/>
    <n v="0"/>
    <m/>
    <n v="0"/>
    <m/>
    <n v="0"/>
    <n v="4270711.4999999972"/>
    <n v="0"/>
    <n v="13"/>
    <m/>
    <n v="0"/>
    <m/>
    <n v="0"/>
    <m/>
    <n v="0"/>
    <n v="4736138.9999999991"/>
    <n v="0"/>
    <n v="13"/>
    <n v="0"/>
    <n v="0"/>
    <n v="0"/>
    <x v="0"/>
    <s v=""/>
    <n v="13"/>
    <s v="2018 (triag)"/>
    <n v="13"/>
    <s v="2018 (triag)"/>
    <x v="1"/>
    <n v="13"/>
    <n v="13"/>
    <s v="No change"/>
    <m/>
    <m/>
    <m/>
    <m/>
    <x v="0"/>
    <n v="3.0439892743867172E-2"/>
    <n v="2.7448518719573059E-2"/>
  </r>
  <r>
    <x v="27"/>
    <s v="MRT"/>
    <n v="3636124.5"/>
    <x v="30"/>
    <n v="0"/>
    <n v="3742958.9999999981"/>
    <n v="0"/>
    <m/>
    <n v="0"/>
    <m/>
    <n v="0"/>
    <m/>
    <n v="0"/>
    <m/>
    <n v="0"/>
    <n v="4270711.4999999972"/>
    <n v="112"/>
    <n v="151"/>
    <m/>
    <n v="118"/>
    <m/>
    <n v="117"/>
    <m/>
    <n v="121"/>
    <n v="4736138.9999999991"/>
    <n v="131"/>
    <n v="151"/>
    <n v="0"/>
    <n v="118"/>
    <n v="131"/>
    <x v="0"/>
    <s v=""/>
    <n v="151"/>
    <s v="2018 (triag)"/>
    <n v="131"/>
    <n v="2022"/>
    <x v="0"/>
    <n v="149.16596149777874"/>
    <n v="151"/>
    <s v="Decreasing"/>
    <m/>
    <m/>
    <m/>
    <m/>
    <x v="0"/>
    <n v="0.35357106187107251"/>
    <n v="0.31495266819191492"/>
  </r>
  <r>
    <x v="27"/>
    <s v="MRT"/>
    <n v="3636125.5"/>
    <x v="31"/>
    <n v="0"/>
    <n v="3742958.9999999981"/>
    <n v="0"/>
    <m/>
    <n v="0"/>
    <m/>
    <n v="0"/>
    <m/>
    <n v="0"/>
    <m/>
    <n v="0"/>
    <n v="4270711.4999999972"/>
    <n v="0"/>
    <n v="0"/>
    <m/>
    <n v="0"/>
    <m/>
    <n v="0"/>
    <m/>
    <n v="0"/>
    <n v="4736138.9999999991"/>
    <n v="0"/>
    <n v="0"/>
    <n v="0"/>
    <n v="0"/>
    <n v="0"/>
    <x v="0"/>
    <s v=""/>
    <m/>
    <s v=""/>
    <n v="0"/>
    <s v=""/>
    <x v="1"/>
    <m/>
    <n v="0"/>
    <s v="No change"/>
    <m/>
    <m/>
    <m/>
    <m/>
    <x v="0"/>
    <n v="0"/>
    <n v="0"/>
  </r>
  <r>
    <x v="27"/>
    <s v="MRT"/>
    <n v="3636126.5"/>
    <x v="32"/>
    <n v="0"/>
    <n v="3742958.9999999981"/>
    <n v="0"/>
    <m/>
    <n v="0"/>
    <m/>
    <n v="0"/>
    <m/>
    <n v="0"/>
    <m/>
    <n v="0"/>
    <n v="4270711.4999999972"/>
    <n v="0"/>
    <n v="0"/>
    <m/>
    <n v="0"/>
    <m/>
    <n v="0"/>
    <m/>
    <n v="0"/>
    <n v="4736138.9999999991"/>
    <n v="0"/>
    <n v="0"/>
    <n v="0"/>
    <n v="0"/>
    <n v="0"/>
    <x v="0"/>
    <s v=""/>
    <m/>
    <s v=""/>
    <n v="0"/>
    <s v=""/>
    <x v="1"/>
    <m/>
    <n v="0"/>
    <s v="No change"/>
    <m/>
    <m/>
    <m/>
    <m/>
    <x v="0"/>
    <n v="0"/>
    <n v="0"/>
  </r>
  <r>
    <x v="28"/>
    <s v="MUS"/>
    <n v="1288744.5000000005"/>
    <x v="19"/>
    <n v="1722"/>
    <n v="1290691.4999999998"/>
    <n v="2046"/>
    <n v="1292113.5000000002"/>
    <n v="2429"/>
    <n v="1293153"/>
    <n v="2550"/>
    <n v="1293911.0000000005"/>
    <n v="2769"/>
    <n v="1294740.5000000002"/>
    <n v="2927"/>
    <n v="1295381.5000000005"/>
    <n v="2395"/>
    <n v="2395"/>
    <n v="1296279.0000000002"/>
    <n v="3290"/>
    <n v="1297827.5"/>
    <n v="3450"/>
    <n v="1298914.4999999995"/>
    <n v="0"/>
    <n v="1299468.9999999986"/>
    <n v="1555"/>
    <n v="2395"/>
    <n v="2550"/>
    <n v="3290"/>
    <n v="3450"/>
    <x v="250"/>
    <n v="2013"/>
    <n v="2395"/>
    <n v="2018"/>
    <n v="1555"/>
    <n v="2022"/>
    <x v="0"/>
    <n v="1833.6554988586008"/>
    <n v="2395"/>
    <s v="Decreasing"/>
    <m/>
    <m/>
    <m/>
    <m/>
    <x v="274"/>
    <n v="18.48876180492001"/>
    <n v="14.110806020448374"/>
  </r>
  <r>
    <x v="28"/>
    <s v="MUS"/>
    <n v="1288745.5"/>
    <x v="20"/>
    <n v="0"/>
    <n v="1290691.4999999998"/>
    <n v="0"/>
    <m/>
    <n v="0"/>
    <m/>
    <n v="0"/>
    <m/>
    <n v="0"/>
    <m/>
    <n v="0"/>
    <n v="1295381.5000000005"/>
    <n v="1188"/>
    <n v="1188"/>
    <m/>
    <n v="0"/>
    <m/>
    <n v="0"/>
    <m/>
    <n v="0"/>
    <n v="1299468.9999999986"/>
    <n v="1207"/>
    <n v="1188"/>
    <n v="0"/>
    <n v="1188"/>
    <n v="1207"/>
    <x v="0"/>
    <s v=""/>
    <n v="1188"/>
    <n v="2018"/>
    <n v="1207"/>
    <n v="2022"/>
    <x v="1"/>
    <n v="1207"/>
    <n v="1207"/>
    <s v="Increasing"/>
    <m/>
    <m/>
    <m/>
    <m/>
    <x v="0"/>
    <n v="9.171043433922744"/>
    <n v="9.2884093425853269"/>
  </r>
  <r>
    <x v="28"/>
    <s v="MUS"/>
    <n v="1288746.5"/>
    <x v="21"/>
    <n v="0"/>
    <n v="1290691.4999999998"/>
    <n v="0"/>
    <m/>
    <n v="0"/>
    <m/>
    <n v="0"/>
    <m/>
    <n v="0"/>
    <m/>
    <n v="0"/>
    <n v="1295381.5000000005"/>
    <n v="1207"/>
    <n v="1207"/>
    <m/>
    <n v="0"/>
    <m/>
    <n v="0"/>
    <m/>
    <n v="0"/>
    <n v="1299468.9999999986"/>
    <n v="348"/>
    <n v="1207"/>
    <n v="0"/>
    <n v="1207"/>
    <n v="348"/>
    <x v="0"/>
    <s v=""/>
    <n v="1207"/>
    <n v="2018"/>
    <n v="348"/>
    <n v="2022"/>
    <x v="0"/>
    <n v="410.36148784745535"/>
    <n v="1207"/>
    <s v="Decreasing"/>
    <m/>
    <m/>
    <m/>
    <m/>
    <x v="0"/>
    <n v="9.317718370997266"/>
    <n v="3.1579167171164206"/>
  </r>
  <r>
    <x v="28"/>
    <s v="MUS"/>
    <n v="1288747.5"/>
    <x v="22"/>
    <n v="3737"/>
    <n v="1290691.4999999998"/>
    <n v="3963"/>
    <m/>
    <n v="4125"/>
    <m/>
    <n v="4261"/>
    <m/>
    <n v="4134"/>
    <m/>
    <n v="4445"/>
    <n v="1295381.5000000005"/>
    <n v="4986"/>
    <n v="4986"/>
    <m/>
    <n v="0"/>
    <m/>
    <n v="0"/>
    <m/>
    <n v="0"/>
    <n v="1299468.9999999986"/>
    <n v="3900"/>
    <n v="4419"/>
    <n v="4261"/>
    <n v="4986"/>
    <n v="3900"/>
    <x v="251"/>
    <n v="2013"/>
    <n v="4986"/>
    <n v="2018"/>
    <n v="3900"/>
    <n v="2022"/>
    <x v="0"/>
    <n v="4598.8787431180344"/>
    <n v="4986"/>
    <s v="Decreasing"/>
    <m/>
    <m/>
    <m/>
    <m/>
    <x v="275"/>
    <n v="38.49059138176667"/>
    <n v="35.390445967684023"/>
  </r>
  <r>
    <x v="28"/>
    <s v="MUS"/>
    <n v="1288748.5"/>
    <x v="23"/>
    <n v="0"/>
    <n v="1290691.4999999998"/>
    <n v="0"/>
    <m/>
    <n v="0"/>
    <m/>
    <n v="0"/>
    <m/>
    <n v="0"/>
    <m/>
    <n v="0"/>
    <n v="1295381.5000000005"/>
    <n v="0"/>
    <n v="4419"/>
    <m/>
    <n v="0"/>
    <m/>
    <n v="0"/>
    <m/>
    <n v="0"/>
    <n v="1299468.9999999986"/>
    <n v="3715"/>
    <n v="4419"/>
    <n v="0"/>
    <n v="0"/>
    <n v="3715"/>
    <x v="0"/>
    <s v=""/>
    <n v="4419"/>
    <s v="2018 (triag)"/>
    <n v="3715"/>
    <n v="2022"/>
    <x v="0"/>
    <n v="4380.7268027393584"/>
    <n v="4419"/>
    <s v="Decreasing"/>
    <m/>
    <m/>
    <m/>
    <m/>
    <x v="0"/>
    <n v="34.113502470121723"/>
    <n v="33.711668402550302"/>
  </r>
  <r>
    <x v="28"/>
    <s v="MUS"/>
    <n v="1288749.5"/>
    <x v="24"/>
    <n v="0"/>
    <n v="1290691.4999999998"/>
    <n v="0"/>
    <m/>
    <n v="0"/>
    <m/>
    <n v="0"/>
    <m/>
    <n v="0"/>
    <m/>
    <n v="0"/>
    <n v="1295381.5000000005"/>
    <n v="0"/>
    <n v="0"/>
    <m/>
    <n v="0"/>
    <m/>
    <n v="0"/>
    <m/>
    <n v="0"/>
    <n v="1299468.9999999986"/>
    <n v="185"/>
    <n v="0"/>
    <n v="0"/>
    <n v="0"/>
    <n v="185"/>
    <x v="0"/>
    <s v=""/>
    <m/>
    <s v=""/>
    <n v="185"/>
    <n v="2022"/>
    <x v="1"/>
    <n v="185"/>
    <n v="185"/>
    <s v="Increasing"/>
    <m/>
    <m/>
    <m/>
    <m/>
    <x v="0"/>
    <n v="0"/>
    <n v="1.4236584327906261"/>
  </r>
  <r>
    <x v="28"/>
    <s v="MUS"/>
    <n v="1288750.5"/>
    <x v="25"/>
    <n v="0"/>
    <n v="1290691.4999999998"/>
    <n v="0"/>
    <m/>
    <n v="0"/>
    <m/>
    <n v="0"/>
    <m/>
    <n v="0"/>
    <m/>
    <n v="0"/>
    <n v="1295381.5000000005"/>
    <n v="0"/>
    <n v="567"/>
    <m/>
    <n v="0"/>
    <m/>
    <n v="0"/>
    <m/>
    <n v="0"/>
    <n v="1299468.9999999986"/>
    <n v="0"/>
    <n v="567"/>
    <n v="0"/>
    <n v="0"/>
    <n v="0"/>
    <x v="0"/>
    <s v=""/>
    <n v="567"/>
    <s v="2018 (triag)"/>
    <n v="567"/>
    <s v="2018 (triag)"/>
    <x v="1"/>
    <n v="567"/>
    <n v="567"/>
    <s v="No change"/>
    <m/>
    <m/>
    <m/>
    <m/>
    <x v="0"/>
    <n v="4.3770889116449458"/>
    <n v="4.3633207102285674"/>
  </r>
  <r>
    <x v="28"/>
    <s v="MUS"/>
    <n v="1288751.5"/>
    <x v="26"/>
    <n v="0"/>
    <n v="1290691.4999999998"/>
    <n v="0"/>
    <m/>
    <n v="0"/>
    <m/>
    <n v="0"/>
    <m/>
    <n v="0"/>
    <m/>
    <n v="0"/>
    <n v="1295381.5000000005"/>
    <n v="0"/>
    <n v="567"/>
    <m/>
    <n v="0"/>
    <m/>
    <n v="0"/>
    <m/>
    <n v="0"/>
    <n v="1299468.9999999986"/>
    <n v="0"/>
    <n v="567"/>
    <n v="0"/>
    <n v="0"/>
    <n v="0"/>
    <x v="0"/>
    <s v=""/>
    <n v="567"/>
    <s v="2018 (triag)"/>
    <n v="567"/>
    <s v="2018 (triag)"/>
    <x v="1"/>
    <n v="567"/>
    <n v="567"/>
    <s v="No change"/>
    <m/>
    <m/>
    <m/>
    <m/>
    <x v="0"/>
    <n v="4.3770889116449458"/>
    <n v="4.3633207102285674"/>
  </r>
  <r>
    <x v="28"/>
    <s v="MUS"/>
    <n v="1288752.5"/>
    <x v="27"/>
    <n v="0"/>
    <n v="1290691.4999999998"/>
    <n v="0"/>
    <m/>
    <n v="0"/>
    <m/>
    <n v="0"/>
    <m/>
    <n v="0"/>
    <m/>
    <n v="0"/>
    <n v="1295381.5000000005"/>
    <n v="0"/>
    <n v="0"/>
    <m/>
    <n v="0"/>
    <m/>
    <n v="0"/>
    <m/>
    <n v="0"/>
    <n v="1299468.9999999986"/>
    <n v="0"/>
    <n v="0"/>
    <n v="0"/>
    <n v="0"/>
    <n v="0"/>
    <x v="0"/>
    <s v=""/>
    <m/>
    <s v=""/>
    <n v="0"/>
    <s v=""/>
    <x v="1"/>
    <m/>
    <n v="0"/>
    <s v="No change"/>
    <m/>
    <m/>
    <m/>
    <m/>
    <x v="0"/>
    <n v="0"/>
    <n v="0"/>
  </r>
  <r>
    <x v="28"/>
    <s v="MUS"/>
    <n v="1288753.5"/>
    <x v="28"/>
    <n v="432"/>
    <n v="1290691.4999999998"/>
    <n v="460"/>
    <m/>
    <n v="494"/>
    <m/>
    <n v="497"/>
    <m/>
    <n v="514"/>
    <m/>
    <n v="531"/>
    <n v="1295381.5000000005"/>
    <n v="748"/>
    <n v="748"/>
    <m/>
    <n v="0"/>
    <m/>
    <n v="0"/>
    <m/>
    <n v="0"/>
    <n v="1299468.9999999986"/>
    <n v="35"/>
    <n v="531"/>
    <n v="497"/>
    <n v="748"/>
    <n v="35"/>
    <x v="252"/>
    <n v="2013"/>
    <n v="748"/>
    <n v="2018"/>
    <n v="35"/>
    <n v="2022"/>
    <x v="0"/>
    <n v="41.271988720290047"/>
    <n v="748"/>
    <s v="Decreasing"/>
    <m/>
    <m/>
    <m/>
    <m/>
    <x v="276"/>
    <n v="5.7743606806180248"/>
    <n v="0.31760656637665147"/>
  </r>
  <r>
    <x v="28"/>
    <s v="MUS"/>
    <n v="1288754.5"/>
    <x v="29"/>
    <n v="0"/>
    <n v="1290691.4999999998"/>
    <n v="0"/>
    <m/>
    <n v="0"/>
    <m/>
    <n v="0"/>
    <m/>
    <n v="0"/>
    <m/>
    <n v="0"/>
    <n v="1295381.5000000005"/>
    <n v="0"/>
    <n v="217"/>
    <m/>
    <n v="0"/>
    <m/>
    <n v="0"/>
    <m/>
    <n v="0"/>
    <n v="1299468.9999999986"/>
    <n v="314"/>
    <n v="217"/>
    <n v="0"/>
    <n v="0"/>
    <n v="314"/>
    <x v="0"/>
    <s v=""/>
    <n v="217"/>
    <s v="2018 (triag)"/>
    <n v="314"/>
    <n v="2022"/>
    <x v="1"/>
    <n v="314"/>
    <n v="314"/>
    <s v="Increasing"/>
    <m/>
    <m/>
    <m/>
    <m/>
    <x v="0"/>
    <n v="1.6751821760616461"/>
    <n v="2.4163716102500357"/>
  </r>
  <r>
    <x v="28"/>
    <s v="MUS"/>
    <n v="1288755.5"/>
    <x v="30"/>
    <n v="301"/>
    <n v="1290691.4999999998"/>
    <n v="351"/>
    <m/>
    <n v="366"/>
    <m/>
    <n v="380"/>
    <m/>
    <n v="385"/>
    <m/>
    <n v="401"/>
    <n v="1295381.5000000005"/>
    <n v="466"/>
    <n v="466"/>
    <m/>
    <n v="351"/>
    <m/>
    <n v="0"/>
    <m/>
    <n v="0"/>
    <n v="1299468.9999999986"/>
    <n v="0"/>
    <n v="401"/>
    <n v="380"/>
    <n v="466"/>
    <n v="0"/>
    <x v="41"/>
    <n v="2013"/>
    <n v="466"/>
    <n v="2018"/>
    <n v="351"/>
    <n v="2018"/>
    <x v="0"/>
    <n v="413.89908688062309"/>
    <n v="466"/>
    <s v="Decreasing"/>
    <m/>
    <m/>
    <m/>
    <m/>
    <x v="277"/>
    <n v="3.5973958250909082"/>
    <n v="3.1851401370915622"/>
  </r>
  <r>
    <x v="28"/>
    <s v="MUS"/>
    <n v="1288756.5"/>
    <x v="31"/>
    <n v="0"/>
    <n v="1290691.4999999998"/>
    <n v="0"/>
    <m/>
    <n v="0"/>
    <m/>
    <n v="0"/>
    <m/>
    <n v="0"/>
    <m/>
    <n v="0"/>
    <n v="1295381.5000000005"/>
    <n v="0"/>
    <n v="65"/>
    <m/>
    <n v="0"/>
    <m/>
    <n v="0"/>
    <m/>
    <n v="0"/>
    <n v="1299468.9999999986"/>
    <n v="78"/>
    <n v="65"/>
    <n v="0"/>
    <n v="0"/>
    <n v="78"/>
    <x v="0"/>
    <s v=""/>
    <n v="65"/>
    <s v="2018 (triag)"/>
    <n v="78"/>
    <n v="2022"/>
    <x v="1"/>
    <n v="78"/>
    <n v="78"/>
    <s v="Increasing"/>
    <m/>
    <m/>
    <m/>
    <m/>
    <x v="0"/>
    <n v="0.50178267946547006"/>
    <n v="0.60024517706848013"/>
  </r>
  <r>
    <x v="28"/>
    <s v="MUS"/>
    <n v="1288757.5"/>
    <x v="32"/>
    <n v="0"/>
    <n v="1290691.4999999998"/>
    <n v="0"/>
    <m/>
    <n v="0"/>
    <m/>
    <n v="0"/>
    <m/>
    <n v="0"/>
    <m/>
    <n v="0"/>
    <n v="1295381.5000000005"/>
    <n v="0"/>
    <n v="0"/>
    <m/>
    <n v="0"/>
    <m/>
    <n v="0"/>
    <m/>
    <n v="0"/>
    <n v="1299468.9999999986"/>
    <n v="16"/>
    <n v="0"/>
    <n v="0"/>
    <n v="0"/>
    <n v="16"/>
    <x v="0"/>
    <s v=""/>
    <m/>
    <s v=""/>
    <n v="16"/>
    <n v="2022"/>
    <x v="1"/>
    <n v="16"/>
    <n v="16"/>
    <s v="Increasing"/>
    <m/>
    <m/>
    <m/>
    <m/>
    <x v="0"/>
    <n v="0"/>
    <n v="0.123127215808919"/>
  </r>
  <r>
    <x v="29"/>
    <s v="MWI"/>
    <n v="15581250.5"/>
    <x v="19"/>
    <n v="0"/>
    <n v="16024775.499999996"/>
    <n v="200"/>
    <n v="16477966.500000002"/>
    <n v="0"/>
    <n v="16938941.500000004"/>
    <n v="0"/>
    <n v="17405623.5"/>
    <n v="539"/>
    <n v="17881167.000000004"/>
    <n v="0"/>
    <n v="18367882.999999985"/>
    <n v="2760"/>
    <n v="2760"/>
    <n v="18867336.499999993"/>
    <n v="0"/>
    <n v="19377061.499999985"/>
    <n v="958"/>
    <n v="19889742.000000011"/>
    <n v="0"/>
    <n v="20405316.500000019"/>
    <n v="996"/>
    <n v="2760"/>
    <n v="200"/>
    <n v="2760"/>
    <n v="996"/>
    <x v="253"/>
    <n v="2013"/>
    <n v="2760"/>
    <n v="2018"/>
    <n v="996"/>
    <n v="2022"/>
    <x v="0"/>
    <n v="1103.5637751855782"/>
    <n v="2760"/>
    <s v="Decreasing"/>
    <m/>
    <m/>
    <m/>
    <m/>
    <x v="278"/>
    <n v="1.5026228117851155"/>
    <n v="0.54082168986968526"/>
  </r>
  <r>
    <x v="29"/>
    <s v="MWI"/>
    <n v="15581251.5"/>
    <x v="20"/>
    <n v="0"/>
    <n v="16024775.499999996"/>
    <n v="0"/>
    <m/>
    <n v="0"/>
    <m/>
    <n v="0"/>
    <m/>
    <n v="255"/>
    <m/>
    <n v="0"/>
    <n v="18367882.999999985"/>
    <n v="2582"/>
    <n v="2582"/>
    <m/>
    <n v="0"/>
    <m/>
    <n v="639"/>
    <m/>
    <n v="0"/>
    <n v="20405316.500000019"/>
    <n v="843"/>
    <n v="2582"/>
    <n v="0"/>
    <n v="2582"/>
    <n v="843"/>
    <x v="0"/>
    <s v=""/>
    <n v="2582"/>
    <n v="2018"/>
    <n v="843"/>
    <n v="2022"/>
    <x v="0"/>
    <n v="934.04042417815492"/>
    <n v="2582"/>
    <s v="Decreasing"/>
    <m/>
    <m/>
    <m/>
    <m/>
    <x v="0"/>
    <n v="1.4057145289960755"/>
    <n v="0.45774365919693238"/>
  </r>
  <r>
    <x v="29"/>
    <s v="MWI"/>
    <n v="15581252.5"/>
    <x v="21"/>
    <n v="0"/>
    <n v="16024775.499999996"/>
    <n v="32"/>
    <m/>
    <n v="0"/>
    <m/>
    <n v="0"/>
    <m/>
    <n v="0"/>
    <m/>
    <n v="0"/>
    <n v="18367882.999999985"/>
    <n v="178"/>
    <n v="178"/>
    <m/>
    <n v="0"/>
    <m/>
    <n v="319"/>
    <m/>
    <n v="0"/>
    <n v="20405316.500000019"/>
    <n v="141"/>
    <n v="178"/>
    <n v="32"/>
    <n v="178"/>
    <n v="319"/>
    <x v="48"/>
    <n v="2013"/>
    <n v="178"/>
    <n v="2018"/>
    <n v="141"/>
    <n v="2022"/>
    <x v="0"/>
    <n v="156.22740190880171"/>
    <n v="178"/>
    <s v="Decreasing"/>
    <m/>
    <m/>
    <m/>
    <m/>
    <x v="279"/>
    <n v="9.6908282789040054E-2"/>
    <n v="7.6562106698419286E-2"/>
  </r>
  <r>
    <x v="29"/>
    <s v="MWI"/>
    <n v="15581253.5"/>
    <x v="22"/>
    <n v="0"/>
    <n v="16024775.499999996"/>
    <n v="3545"/>
    <m/>
    <n v="0"/>
    <m/>
    <n v="0"/>
    <m/>
    <n v="4573"/>
    <m/>
    <n v="0"/>
    <n v="18367882.999999985"/>
    <n v="7957"/>
    <n v="7957"/>
    <m/>
    <n v="0"/>
    <m/>
    <n v="13564"/>
    <m/>
    <n v="0"/>
    <n v="20405316.500000019"/>
    <n v="9592"/>
    <n v="6025"/>
    <n v="3545"/>
    <n v="7957"/>
    <n v="13564"/>
    <x v="242"/>
    <n v="2013"/>
    <n v="7957"/>
    <n v="2018"/>
    <n v="9592"/>
    <n v="2022"/>
    <x v="1"/>
    <n v="9592"/>
    <n v="9592"/>
    <s v="Increasing"/>
    <m/>
    <m/>
    <m/>
    <m/>
    <x v="280"/>
    <n v="4.3320180120920888"/>
    <n v="4.7007357126756606"/>
  </r>
  <r>
    <x v="29"/>
    <s v="MWI"/>
    <n v="15581254.5"/>
    <x v="23"/>
    <n v="0"/>
    <n v="16024775.499999996"/>
    <n v="0"/>
    <m/>
    <n v="0"/>
    <m/>
    <n v="0"/>
    <m/>
    <n v="0"/>
    <m/>
    <n v="0"/>
    <n v="18367882.999999985"/>
    <n v="1633"/>
    <n v="1633"/>
    <m/>
    <n v="0"/>
    <m/>
    <n v="7483"/>
    <m/>
    <n v="0"/>
    <n v="20405316.500000019"/>
    <n v="2891"/>
    <n v="1549"/>
    <n v="0"/>
    <n v="1633"/>
    <n v="7483"/>
    <x v="0"/>
    <s v=""/>
    <n v="1633"/>
    <n v="2018"/>
    <n v="2891"/>
    <n v="2022"/>
    <x v="1"/>
    <n v="2891"/>
    <n v="2891"/>
    <s v="Increasing"/>
    <m/>
    <m/>
    <m/>
    <m/>
    <x v="0"/>
    <n v="0.88905183030619328"/>
    <n v="1.4167876298316653"/>
  </r>
  <r>
    <x v="29"/>
    <s v="MWI"/>
    <n v="15581255.5"/>
    <x v="24"/>
    <n v="0"/>
    <n v="16024775.499999996"/>
    <n v="0"/>
    <m/>
    <n v="0"/>
    <m/>
    <n v="0"/>
    <m/>
    <n v="0"/>
    <m/>
    <n v="0"/>
    <n v="18367882.999999985"/>
    <n v="6324"/>
    <n v="6324"/>
    <m/>
    <n v="0"/>
    <m/>
    <n v="6004"/>
    <m/>
    <n v="0"/>
    <n v="20405316.500000019"/>
    <n v="6474"/>
    <n v="4476"/>
    <n v="0"/>
    <n v="6324"/>
    <n v="6474"/>
    <x v="0"/>
    <s v=""/>
    <n v="6324"/>
    <n v="2018"/>
    <n v="6474"/>
    <n v="2022"/>
    <x v="1"/>
    <n v="6474"/>
    <n v="6474"/>
    <s v="Increasing"/>
    <m/>
    <m/>
    <m/>
    <m/>
    <x v="0"/>
    <n v="3.442966181785895"/>
    <n v="3.1727025650398484"/>
  </r>
  <r>
    <x v="29"/>
    <s v="MWI"/>
    <n v="15581256.5"/>
    <x v="25"/>
    <n v="0"/>
    <n v="16024775.499999996"/>
    <n v="48"/>
    <m/>
    <n v="0"/>
    <m/>
    <n v="0"/>
    <m/>
    <n v="568"/>
    <m/>
    <n v="0"/>
    <n v="18367882.999999985"/>
    <n v="0"/>
    <n v="0"/>
    <m/>
    <n v="0"/>
    <m/>
    <n v="0"/>
    <m/>
    <n v="0"/>
    <n v="20405316.500000019"/>
    <n v="616"/>
    <n v="0"/>
    <n v="48"/>
    <n v="568"/>
    <n v="616"/>
    <x v="254"/>
    <n v="2013"/>
    <m/>
    <s v=""/>
    <n v="616"/>
    <n v="2022"/>
    <x v="1"/>
    <n v="616"/>
    <n v="616"/>
    <s v="Increasing"/>
    <m/>
    <m/>
    <m/>
    <m/>
    <x v="281"/>
    <n v="0"/>
    <n v="0.30188210998834514"/>
  </r>
  <r>
    <x v="29"/>
    <s v="MWI"/>
    <n v="15581257.5"/>
    <x v="26"/>
    <n v="0"/>
    <n v="16024775.499999996"/>
    <n v="0"/>
    <m/>
    <n v="0"/>
    <m/>
    <n v="0"/>
    <m/>
    <n v="0"/>
    <m/>
    <n v="0"/>
    <n v="18367882.999999985"/>
    <n v="0"/>
    <n v="0"/>
    <m/>
    <n v="0"/>
    <m/>
    <n v="0"/>
    <m/>
    <n v="0"/>
    <n v="20405316.500000019"/>
    <n v="0"/>
    <n v="0"/>
    <n v="0"/>
    <n v="0"/>
    <n v="0"/>
    <x v="0"/>
    <s v=""/>
    <m/>
    <s v=""/>
    <n v="0"/>
    <s v=""/>
    <x v="1"/>
    <m/>
    <n v="0"/>
    <s v="No change"/>
    <m/>
    <m/>
    <m/>
    <m/>
    <x v="0"/>
    <n v="0"/>
    <n v="0"/>
  </r>
  <r>
    <x v="29"/>
    <s v="MWI"/>
    <n v="15581258.5"/>
    <x v="27"/>
    <n v="0"/>
    <n v="16024775.499999996"/>
    <n v="48"/>
    <m/>
    <n v="0"/>
    <m/>
    <n v="0"/>
    <m/>
    <n v="568"/>
    <m/>
    <n v="0"/>
    <n v="18367882.999999985"/>
    <n v="0"/>
    <n v="0"/>
    <m/>
    <n v="0"/>
    <m/>
    <n v="0"/>
    <m/>
    <n v="0"/>
    <n v="20405316.500000019"/>
    <n v="0"/>
    <n v="0"/>
    <n v="48"/>
    <n v="568"/>
    <n v="0"/>
    <x v="254"/>
    <n v="2013"/>
    <m/>
    <s v=""/>
    <n v="0"/>
    <s v=""/>
    <x v="1"/>
    <m/>
    <n v="0"/>
    <s v="No change"/>
    <m/>
    <m/>
    <m/>
    <m/>
    <x v="281"/>
    <n v="0"/>
    <n v="0"/>
  </r>
  <r>
    <x v="29"/>
    <s v="MWI"/>
    <n v="15581259.5"/>
    <x v="28"/>
    <n v="0"/>
    <n v="16024775.499999996"/>
    <n v="170"/>
    <m/>
    <n v="0"/>
    <m/>
    <n v="0"/>
    <m/>
    <n v="0"/>
    <m/>
    <n v="0"/>
    <n v="18367882.999999985"/>
    <n v="387"/>
    <n v="387"/>
    <m/>
    <n v="0"/>
    <m/>
    <n v="151"/>
    <m/>
    <n v="0"/>
    <n v="20405316.500000019"/>
    <n v="111"/>
    <n v="111"/>
    <n v="170"/>
    <n v="387"/>
    <n v="151"/>
    <x v="255"/>
    <n v="2013"/>
    <n v="387"/>
    <n v="2018"/>
    <n v="111"/>
    <n v="2022"/>
    <x v="0"/>
    <n v="122.98752916224815"/>
    <n v="387"/>
    <s v="Decreasing"/>
    <m/>
    <m/>
    <m/>
    <m/>
    <x v="282"/>
    <n v="0.21069385078291294"/>
    <n v="6.0272296762585401E-2"/>
  </r>
  <r>
    <x v="29"/>
    <s v="MWI"/>
    <n v="15581260.5"/>
    <x v="29"/>
    <n v="0"/>
    <n v="16024775.499999996"/>
    <n v="0"/>
    <m/>
    <n v="0"/>
    <m/>
    <n v="0"/>
    <m/>
    <n v="218"/>
    <m/>
    <n v="0"/>
    <n v="18367882.999999985"/>
    <n v="234"/>
    <n v="276"/>
    <m/>
    <n v="0"/>
    <m/>
    <n v="600"/>
    <m/>
    <n v="0"/>
    <n v="20405316.500000019"/>
    <n v="710"/>
    <n v="276"/>
    <n v="0"/>
    <n v="234"/>
    <n v="710"/>
    <x v="0"/>
    <s v=""/>
    <n v="276"/>
    <s v="2018 (triag)"/>
    <n v="710"/>
    <n v="2022"/>
    <x v="1"/>
    <n v="710"/>
    <n v="710"/>
    <s v="Increasing"/>
    <m/>
    <m/>
    <m/>
    <m/>
    <x v="0"/>
    <n v="0.15026228117851154"/>
    <n v="0.34794853586319002"/>
  </r>
  <r>
    <x v="29"/>
    <s v="MWI"/>
    <n v="15581261.5"/>
    <x v="30"/>
    <n v="0"/>
    <n v="16024775.499999996"/>
    <n v="0"/>
    <m/>
    <n v="0"/>
    <m/>
    <n v="0"/>
    <m/>
    <n v="0"/>
    <m/>
    <n v="0"/>
    <n v="18367882.999999985"/>
    <n v="112"/>
    <n v="112"/>
    <m/>
    <n v="0"/>
    <m/>
    <n v="149"/>
    <m/>
    <n v="0"/>
    <n v="20405316.500000019"/>
    <n v="91"/>
    <n v="36"/>
    <n v="0"/>
    <n v="112"/>
    <n v="149"/>
    <x v="0"/>
    <s v=""/>
    <n v="112"/>
    <n v="2018"/>
    <n v="91"/>
    <n v="2022"/>
    <x v="0"/>
    <n v="100.82761399787913"/>
    <n v="112"/>
    <s v="Decreasing"/>
    <m/>
    <m/>
    <m/>
    <m/>
    <x v="0"/>
    <n v="6.0975998159395993E-2"/>
    <n v="4.9412423472029475E-2"/>
  </r>
  <r>
    <x v="29"/>
    <s v="MWI"/>
    <n v="15581262.5"/>
    <x v="31"/>
    <n v="0"/>
    <n v="16024775.499999996"/>
    <n v="0"/>
    <m/>
    <n v="0"/>
    <m/>
    <n v="0"/>
    <m/>
    <n v="0"/>
    <m/>
    <n v="0"/>
    <n v="18367882.999999985"/>
    <n v="0"/>
    <n v="76"/>
    <m/>
    <n v="0"/>
    <m/>
    <n v="204"/>
    <m/>
    <n v="0"/>
    <n v="20405316.500000019"/>
    <n v="173"/>
    <n v="76"/>
    <n v="0"/>
    <n v="0"/>
    <n v="204"/>
    <x v="0"/>
    <s v=""/>
    <n v="76"/>
    <s v="2018 (triag)"/>
    <n v="173"/>
    <n v="2022"/>
    <x v="1"/>
    <n v="173"/>
    <n v="173"/>
    <s v="Increasing"/>
    <m/>
    <m/>
    <m/>
    <m/>
    <x v="0"/>
    <n v="4.1376570179590136E-2"/>
    <n v="8.478182634412941E-2"/>
  </r>
  <r>
    <x v="29"/>
    <s v="MWI"/>
    <n v="15581263.5"/>
    <x v="32"/>
    <n v="0"/>
    <n v="16024775.499999996"/>
    <n v="0"/>
    <m/>
    <n v="0"/>
    <m/>
    <n v="0"/>
    <m/>
    <n v="0"/>
    <m/>
    <n v="0"/>
    <n v="18367882.999999985"/>
    <n v="0"/>
    <n v="0"/>
    <m/>
    <n v="0"/>
    <m/>
    <n v="0"/>
    <m/>
    <n v="0"/>
    <n v="20405316.500000019"/>
    <n v="11"/>
    <n v="0"/>
    <n v="0"/>
    <n v="0"/>
    <n v="11"/>
    <x v="0"/>
    <s v=""/>
    <m/>
    <s v=""/>
    <n v="11"/>
    <n v="2022"/>
    <x v="1"/>
    <n v="11"/>
    <n v="11"/>
    <s v="Increasing"/>
    <m/>
    <m/>
    <m/>
    <m/>
    <x v="0"/>
    <n v="0"/>
    <n v="5.3907519640775921E-3"/>
  </r>
  <r>
    <x v="30"/>
    <s v="NAM"/>
    <n v="2167470.0000000023"/>
    <x v="19"/>
    <n v="0"/>
    <n v="2204510.0000000005"/>
    <n v="0"/>
    <n v="2243000.9999999991"/>
    <n v="0"/>
    <n v="2282703.9999999995"/>
    <n v="0"/>
    <n v="2323352"/>
    <n v="0"/>
    <n v="2364533.5000000009"/>
    <n v="1421"/>
    <n v="2405680.5000000005"/>
    <n v="806"/>
    <n v="1445"/>
    <n v="2446644.4999999977"/>
    <n v="900"/>
    <n v="2489097.9999999991"/>
    <n v="1036"/>
    <n v="2530150.5000000014"/>
    <n v="1181"/>
    <n v="2567012.4999999995"/>
    <n v="1597"/>
    <n v="1445"/>
    <n v="0"/>
    <n v="1421"/>
    <n v="1597"/>
    <x v="0"/>
    <s v=""/>
    <n v="1445"/>
    <s v="2018 (triag)"/>
    <n v="1597"/>
    <n v="2022"/>
    <x v="1"/>
    <n v="1597"/>
    <n v="1597"/>
    <s v="Increasing"/>
    <m/>
    <m/>
    <m/>
    <m/>
    <x v="0"/>
    <n v="6.0066164230869381"/>
    <n v="6.2212396706287967"/>
  </r>
  <r>
    <x v="30"/>
    <s v="NAM"/>
    <n v="2167471"/>
    <x v="20"/>
    <n v="0"/>
    <n v="2204510.0000000005"/>
    <n v="0"/>
    <m/>
    <n v="0"/>
    <m/>
    <n v="0"/>
    <m/>
    <n v="0"/>
    <m/>
    <n v="0"/>
    <n v="2405680.5000000005"/>
    <n v="806"/>
    <n v="1044"/>
    <m/>
    <n v="900"/>
    <m/>
    <n v="1036"/>
    <m/>
    <n v="1181"/>
    <n v="2567012.4999999995"/>
    <n v="1336"/>
    <n v="1044"/>
    <n v="0"/>
    <n v="900"/>
    <n v="1336"/>
    <x v="0"/>
    <s v=""/>
    <n v="1044"/>
    <s v="2018 (triag)"/>
    <n v="1336"/>
    <n v="2022"/>
    <x v="1"/>
    <n v="1336"/>
    <n v="1336"/>
    <s v="Increasing"/>
    <m/>
    <m/>
    <m/>
    <m/>
    <x v="0"/>
    <n v="4.3397284053306322"/>
    <n v="5.2044935503820113"/>
  </r>
  <r>
    <x v="30"/>
    <s v="NAM"/>
    <n v="2167472"/>
    <x v="21"/>
    <n v="0"/>
    <n v="2204510.0000000005"/>
    <n v="0"/>
    <m/>
    <n v="0"/>
    <m/>
    <n v="0"/>
    <m/>
    <n v="0"/>
    <m/>
    <n v="0"/>
    <n v="2405680.5000000005"/>
    <n v="0"/>
    <n v="401"/>
    <m/>
    <n v="0"/>
    <m/>
    <n v="0"/>
    <m/>
    <n v="0"/>
    <n v="2567012.4999999995"/>
    <n v="58"/>
    <n v="401"/>
    <n v="0"/>
    <n v="0"/>
    <n v="58"/>
    <x v="0"/>
    <s v=""/>
    <n v="401"/>
    <s v="2018 (triag)"/>
    <n v="58"/>
    <n v="2022"/>
    <x v="0"/>
    <n v="87.857332293291734"/>
    <n v="401"/>
    <s v="Decreasing"/>
    <m/>
    <m/>
    <m/>
    <m/>
    <x v="0"/>
    <n v="1.6668880177563061"/>
    <n v="0.34225517909745962"/>
  </r>
  <r>
    <x v="30"/>
    <s v="NAM"/>
    <n v="2167473"/>
    <x v="22"/>
    <n v="0"/>
    <n v="2204510.0000000005"/>
    <n v="4110"/>
    <m/>
    <n v="4212"/>
    <m/>
    <n v="4365"/>
    <m/>
    <n v="4816"/>
    <m/>
    <n v="4853"/>
    <n v="2405680.5000000005"/>
    <n v="5307"/>
    <n v="12956"/>
    <m/>
    <n v="5903"/>
    <m/>
    <n v="6440"/>
    <m/>
    <n v="7166"/>
    <n v="2567012.4999999995"/>
    <n v="10271"/>
    <n v="12956"/>
    <n v="4365"/>
    <n v="5903"/>
    <n v="10271"/>
    <x v="256"/>
    <n v="2013"/>
    <n v="12956"/>
    <s v="2018 (triag)"/>
    <n v="10271"/>
    <n v="2022"/>
    <x v="0"/>
    <n v="15558.321723868956"/>
    <n v="15558.321723868956"/>
    <s v="Increasing"/>
    <m/>
    <m/>
    <m/>
    <m/>
    <x v="283"/>
    <n v="53.855863237034164"/>
    <n v="60.6086714570691"/>
  </r>
  <r>
    <x v="30"/>
    <s v="NAM"/>
    <n v="2167474"/>
    <x v="23"/>
    <n v="0"/>
    <n v="2204510.0000000005"/>
    <n v="2042"/>
    <m/>
    <n v="2094"/>
    <m/>
    <n v="2176"/>
    <m/>
    <n v="2358"/>
    <m/>
    <n v="2314"/>
    <n v="2405680.5000000005"/>
    <n v="5263"/>
    <n v="8719"/>
    <m/>
    <n v="5859"/>
    <m/>
    <n v="6396"/>
    <m/>
    <n v="7121"/>
    <n v="2567012.4999999995"/>
    <n v="8560"/>
    <n v="8719"/>
    <n v="2176"/>
    <n v="5859"/>
    <n v="8560"/>
    <x v="257"/>
    <n v="2013"/>
    <n v="8719"/>
    <s v="2018 (triag)"/>
    <n v="8560"/>
    <n v="2022"/>
    <x v="0"/>
    <n v="12966.53042121685"/>
    <n v="12966.53042121685"/>
    <s v="Increasing"/>
    <m/>
    <m/>
    <m/>
    <m/>
    <x v="284"/>
    <n v="36.243383109269907"/>
    <n v="50.512143673694041"/>
  </r>
  <r>
    <x v="30"/>
    <s v="NAM"/>
    <n v="2167475"/>
    <x v="24"/>
    <n v="0"/>
    <n v="2204510.0000000005"/>
    <n v="2068"/>
    <m/>
    <n v="2118"/>
    <m/>
    <n v="2189"/>
    <m/>
    <n v="2458"/>
    <m/>
    <n v="2539"/>
    <n v="2405680.5000000005"/>
    <n v="44"/>
    <n v="4237"/>
    <m/>
    <n v="44"/>
    <m/>
    <n v="44"/>
    <m/>
    <n v="45"/>
    <n v="2567012.4999999995"/>
    <n v="45"/>
    <n v="4237"/>
    <n v="2189"/>
    <n v="2539"/>
    <n v="45"/>
    <x v="258"/>
    <n v="2013"/>
    <n v="4237"/>
    <s v="2018 (triag)"/>
    <n v="45"/>
    <n v="2021"/>
    <x v="0"/>
    <n v="68.165171606864277"/>
    <n v="4237"/>
    <s v="Decreasing"/>
    <m/>
    <m/>
    <m/>
    <m/>
    <x v="285"/>
    <n v="17.612480127764261"/>
    <n v="0.26554281136871866"/>
  </r>
  <r>
    <x v="30"/>
    <s v="NAM"/>
    <n v="2167476"/>
    <x v="25"/>
    <n v="0"/>
    <n v="2204510.0000000005"/>
    <n v="0"/>
    <m/>
    <n v="0"/>
    <m/>
    <n v="0"/>
    <m/>
    <n v="0"/>
    <m/>
    <n v="0"/>
    <n v="2405680.5000000005"/>
    <n v="5"/>
    <n v="5"/>
    <m/>
    <n v="5"/>
    <m/>
    <n v="5"/>
    <m/>
    <n v="6"/>
    <n v="2567012.4999999995"/>
    <n v="17"/>
    <n v="0"/>
    <n v="0"/>
    <n v="5"/>
    <n v="17"/>
    <x v="0"/>
    <s v=""/>
    <n v="5"/>
    <n v="2018"/>
    <n v="17"/>
    <n v="2022"/>
    <x v="1"/>
    <n v="17"/>
    <n v="17"/>
    <s v="Increasing"/>
    <m/>
    <m/>
    <m/>
    <m/>
    <x v="0"/>
    <n v="2.0784139872273143E-2"/>
    <n v="6.6224843081208226E-2"/>
  </r>
  <r>
    <x v="30"/>
    <s v="NAM"/>
    <n v="2167477"/>
    <x v="26"/>
    <n v="0"/>
    <n v="2204510.0000000005"/>
    <n v="0"/>
    <m/>
    <n v="0"/>
    <m/>
    <n v="0"/>
    <m/>
    <n v="0"/>
    <m/>
    <n v="0"/>
    <n v="2405680.5000000005"/>
    <n v="5"/>
    <n v="5"/>
    <m/>
    <n v="5"/>
    <m/>
    <n v="5"/>
    <m/>
    <n v="6"/>
    <n v="2567012.4999999995"/>
    <n v="7"/>
    <n v="0"/>
    <n v="0"/>
    <n v="5"/>
    <n v="7"/>
    <x v="0"/>
    <s v=""/>
    <n v="5"/>
    <n v="2018"/>
    <n v="7"/>
    <n v="2022"/>
    <x v="1"/>
    <n v="7"/>
    <n v="7"/>
    <s v="Increasing"/>
    <m/>
    <m/>
    <m/>
    <m/>
    <x v="0"/>
    <n v="2.0784139872273143E-2"/>
    <n v="2.726905303343868E-2"/>
  </r>
  <r>
    <x v="30"/>
    <s v="NAM"/>
    <n v="2167478"/>
    <x v="27"/>
    <n v="0"/>
    <n v="2204510.0000000005"/>
    <n v="0"/>
    <m/>
    <n v="0"/>
    <m/>
    <n v="0"/>
    <m/>
    <n v="0"/>
    <m/>
    <n v="0"/>
    <n v="2405680.5000000005"/>
    <n v="0"/>
    <n v="0"/>
    <m/>
    <n v="0"/>
    <m/>
    <n v="0"/>
    <m/>
    <n v="0"/>
    <n v="2567012.4999999995"/>
    <n v="0"/>
    <n v="0"/>
    <n v="0"/>
    <n v="0"/>
    <n v="0"/>
    <x v="0"/>
    <s v=""/>
    <m/>
    <s v=""/>
    <n v="0"/>
    <s v=""/>
    <x v="1"/>
    <m/>
    <n v="0"/>
    <s v="No change"/>
    <m/>
    <m/>
    <m/>
    <m/>
    <x v="0"/>
    <n v="0"/>
    <n v="0"/>
  </r>
  <r>
    <x v="30"/>
    <s v="NAM"/>
    <n v="2167479"/>
    <x v="28"/>
    <n v="0"/>
    <n v="2204510.0000000005"/>
    <n v="0"/>
    <m/>
    <n v="0"/>
    <m/>
    <n v="0"/>
    <m/>
    <n v="0"/>
    <m/>
    <n v="0"/>
    <n v="2405680.5000000005"/>
    <n v="464"/>
    <n v="598"/>
    <m/>
    <n v="514"/>
    <m/>
    <n v="546"/>
    <m/>
    <n v="603"/>
    <n v="2567012.4999999995"/>
    <n v="655"/>
    <n v="598"/>
    <n v="0"/>
    <n v="514"/>
    <n v="655"/>
    <x v="0"/>
    <s v=""/>
    <n v="598"/>
    <s v="2018 (triag)"/>
    <n v="655"/>
    <n v="2022"/>
    <x v="1"/>
    <n v="655"/>
    <n v="655"/>
    <s v="Increasing"/>
    <m/>
    <m/>
    <m/>
    <m/>
    <x v="0"/>
    <n v="2.4857831287238681"/>
    <n v="2.5516042481289052"/>
  </r>
  <r>
    <x v="30"/>
    <s v="NAM"/>
    <n v="2167480"/>
    <x v="29"/>
    <n v="0"/>
    <n v="2204510.0000000005"/>
    <n v="0"/>
    <m/>
    <n v="0"/>
    <m/>
    <n v="0"/>
    <m/>
    <n v="0"/>
    <m/>
    <n v="0"/>
    <n v="2405680.5000000005"/>
    <n v="226"/>
    <n v="309"/>
    <m/>
    <n v="300"/>
    <m/>
    <n v="338"/>
    <m/>
    <n v="372"/>
    <n v="2567012.4999999995"/>
    <n v="402"/>
    <n v="309"/>
    <n v="0"/>
    <n v="300"/>
    <n v="402"/>
    <x v="0"/>
    <s v=""/>
    <n v="309"/>
    <s v="2018 (triag)"/>
    <n v="402"/>
    <n v="2022"/>
    <x v="1"/>
    <n v="402"/>
    <n v="402"/>
    <s v="Increasing"/>
    <m/>
    <m/>
    <m/>
    <m/>
    <x v="0"/>
    <n v="1.2844598441064803"/>
    <n v="1.5660227599203358"/>
  </r>
  <r>
    <x v="30"/>
    <s v="NAM"/>
    <n v="2167481"/>
    <x v="30"/>
    <n v="0"/>
    <n v="2204510.0000000005"/>
    <n v="0"/>
    <m/>
    <n v="68"/>
    <m/>
    <n v="0"/>
    <m/>
    <n v="0"/>
    <m/>
    <n v="0"/>
    <n v="2405680.5000000005"/>
    <n v="87"/>
    <n v="181"/>
    <m/>
    <n v="117"/>
    <m/>
    <n v="138"/>
    <m/>
    <n v="161"/>
    <n v="2567012.4999999995"/>
    <n v="224"/>
    <n v="181"/>
    <n v="68"/>
    <n v="117"/>
    <n v="224"/>
    <x v="133"/>
    <n v="2014"/>
    <n v="181"/>
    <s v="2018 (triag)"/>
    <n v="224"/>
    <n v="2022"/>
    <x v="1"/>
    <n v="224"/>
    <n v="224"/>
    <s v="Increasing"/>
    <m/>
    <m/>
    <m/>
    <m/>
    <x v="286"/>
    <n v="0.75238586337628777"/>
    <n v="0.87260969707003777"/>
  </r>
  <r>
    <x v="30"/>
    <s v="NAM"/>
    <n v="2167482"/>
    <x v="31"/>
    <n v="0"/>
    <n v="2204510.0000000005"/>
    <n v="0"/>
    <m/>
    <n v="0"/>
    <m/>
    <n v="0"/>
    <m/>
    <n v="0"/>
    <m/>
    <n v="0"/>
    <n v="2405680.5000000005"/>
    <n v="41"/>
    <n v="108"/>
    <m/>
    <n v="43"/>
    <m/>
    <n v="43"/>
    <m/>
    <n v="48"/>
    <n v="2567012.4999999995"/>
    <n v="104"/>
    <n v="108"/>
    <n v="0"/>
    <n v="43"/>
    <n v="104"/>
    <x v="0"/>
    <s v=""/>
    <n v="108"/>
    <s v="2018 (triag)"/>
    <n v="104"/>
    <n v="2022"/>
    <x v="0"/>
    <n v="157.53728549141965"/>
    <n v="157.53728549141965"/>
    <s v="Increasing"/>
    <m/>
    <m/>
    <m/>
    <m/>
    <x v="0"/>
    <n v="0.44893742124109987"/>
    <n v="0.61369894182992757"/>
  </r>
  <r>
    <x v="30"/>
    <s v="NAM"/>
    <n v="2167483"/>
    <x v="32"/>
    <n v="0"/>
    <n v="2204510.0000000005"/>
    <n v="0"/>
    <m/>
    <n v="0"/>
    <m/>
    <n v="0"/>
    <m/>
    <n v="0"/>
    <m/>
    <n v="0"/>
    <n v="2405680.5000000005"/>
    <n v="0"/>
    <n v="0"/>
    <m/>
    <n v="0"/>
    <m/>
    <n v="0"/>
    <m/>
    <n v="0"/>
    <n v="2567012.4999999995"/>
    <n v="13"/>
    <n v="0"/>
    <n v="0"/>
    <n v="0"/>
    <n v="13"/>
    <x v="0"/>
    <s v=""/>
    <m/>
    <s v=""/>
    <n v="13"/>
    <n v="2022"/>
    <x v="1"/>
    <n v="13"/>
    <n v="13"/>
    <s v="Increasing"/>
    <m/>
    <m/>
    <m/>
    <m/>
    <x v="0"/>
    <n v="0"/>
    <n v="5.0642527062100408E-2"/>
  </r>
  <r>
    <x v="31"/>
    <s v="NER"/>
    <n v="17954407.000000004"/>
    <x v="19"/>
    <n v="952"/>
    <n v="18653199"/>
    <n v="946"/>
    <n v="19372013.999999993"/>
    <n v="523"/>
    <n v="20128123.999999989"/>
    <n v="634"/>
    <n v="20921743.000000011"/>
    <n v="681"/>
    <n v="21737922.000000011"/>
    <n v="472"/>
    <n v="22577057.999999996"/>
    <n v="818"/>
    <n v="1065"/>
    <n v="23443392.999999978"/>
    <n v="888"/>
    <n v="24333638.499999985"/>
    <n v="835"/>
    <n v="25252721.999999989"/>
    <n v="0"/>
    <n v="26207976.5"/>
    <n v="614"/>
    <n v="1065"/>
    <n v="952"/>
    <n v="888"/>
    <n v="835"/>
    <x v="259"/>
    <n v="2013"/>
    <n v="1065"/>
    <s v="2018 (triag)"/>
    <n v="614"/>
    <n v="2022"/>
    <x v="0"/>
    <n v="705.66936761273496"/>
    <n v="1065"/>
    <s v="Decreasing"/>
    <m/>
    <m/>
    <m/>
    <m/>
    <x v="287"/>
    <n v="0.47171779423164883"/>
    <n v="0.2692574787728213"/>
  </r>
  <r>
    <x v="31"/>
    <s v="NER"/>
    <n v="17954408"/>
    <x v="20"/>
    <n v="0"/>
    <n v="18653199"/>
    <n v="0"/>
    <m/>
    <n v="0"/>
    <m/>
    <n v="0"/>
    <m/>
    <n v="0"/>
    <m/>
    <n v="0"/>
    <n v="22577057.999999996"/>
    <n v="0"/>
    <n v="1065"/>
    <m/>
    <n v="0"/>
    <m/>
    <n v="0"/>
    <m/>
    <n v="0"/>
    <n v="26207976.5"/>
    <n v="316"/>
    <n v="1065"/>
    <n v="0"/>
    <n v="0"/>
    <n v="316"/>
    <x v="0"/>
    <s v=""/>
    <n v="1065"/>
    <s v="2018 (triag)"/>
    <n v="316"/>
    <n v="2022"/>
    <x v="0"/>
    <n v="363.17837160525119"/>
    <n v="1065"/>
    <s v="Decreasing"/>
    <m/>
    <m/>
    <m/>
    <m/>
    <x v="0"/>
    <n v="0.47171779423164883"/>
    <n v="0.13857551024790149"/>
  </r>
  <r>
    <x v="31"/>
    <s v="NER"/>
    <n v="17954409"/>
    <x v="21"/>
    <n v="0"/>
    <n v="18653199"/>
    <n v="0"/>
    <m/>
    <n v="0"/>
    <m/>
    <n v="0"/>
    <m/>
    <n v="0"/>
    <m/>
    <n v="0"/>
    <n v="22577057.999999996"/>
    <n v="0"/>
    <n v="0"/>
    <m/>
    <n v="0"/>
    <m/>
    <n v="0"/>
    <m/>
    <n v="0"/>
    <n v="26207976.5"/>
    <n v="298"/>
    <n v="0"/>
    <n v="0"/>
    <n v="0"/>
    <n v="298"/>
    <x v="0"/>
    <s v=""/>
    <m/>
    <s v=""/>
    <n v="298"/>
    <n v="2022"/>
    <x v="1"/>
    <n v="298"/>
    <n v="298"/>
    <s v="Increasing"/>
    <m/>
    <m/>
    <m/>
    <m/>
    <x v="0"/>
    <n v="0"/>
    <n v="0.11370584066267"/>
  </r>
  <r>
    <x v="31"/>
    <s v="NER"/>
    <n v="17954410"/>
    <x v="22"/>
    <n v="0"/>
    <n v="18653199"/>
    <n v="3533"/>
    <m/>
    <n v="4940"/>
    <m/>
    <n v="3253"/>
    <m/>
    <n v="4746"/>
    <m/>
    <n v="0"/>
    <n v="22577057.999999996"/>
    <n v="4107"/>
    <n v="4107"/>
    <m/>
    <n v="0"/>
    <m/>
    <n v="0"/>
    <m/>
    <n v="0"/>
    <n v="26207976.5"/>
    <n v="4565"/>
    <n v="3581"/>
    <n v="4940"/>
    <n v="4746"/>
    <n v="4565"/>
    <x v="260"/>
    <n v="2013"/>
    <n v="4107"/>
    <n v="2018"/>
    <n v="4565"/>
    <n v="2022"/>
    <x v="1"/>
    <n v="4565"/>
    <n v="4565"/>
    <s v="Increasing"/>
    <m/>
    <m/>
    <m/>
    <m/>
    <x v="288"/>
    <n v="1.8191032684595134"/>
    <n v="1.7418361161915725"/>
  </r>
  <r>
    <x v="31"/>
    <s v="NER"/>
    <n v="17954411"/>
    <x v="23"/>
    <n v="0"/>
    <n v="18653199"/>
    <n v="0"/>
    <m/>
    <n v="0"/>
    <m/>
    <n v="0"/>
    <m/>
    <n v="0"/>
    <m/>
    <n v="0"/>
    <n v="22577057.999999996"/>
    <n v="2398"/>
    <n v="2398"/>
    <m/>
    <n v="0"/>
    <m/>
    <n v="0"/>
    <m/>
    <n v="0"/>
    <n v="26207976.5"/>
    <n v="4565"/>
    <n v="2118"/>
    <n v="0"/>
    <n v="2398"/>
    <n v="4565"/>
    <x v="0"/>
    <s v=""/>
    <n v="2398"/>
    <n v="2018"/>
    <n v="4565"/>
    <n v="2022"/>
    <x v="1"/>
    <n v="4565"/>
    <n v="4565"/>
    <s v="Increasing"/>
    <m/>
    <m/>
    <m/>
    <m/>
    <x v="0"/>
    <n v="1.0621401601572713"/>
    <n v="1.7418361161915725"/>
  </r>
  <r>
    <x v="31"/>
    <s v="NER"/>
    <n v="17954412"/>
    <x v="24"/>
    <n v="0"/>
    <n v="18653199"/>
    <n v="0"/>
    <m/>
    <n v="0"/>
    <m/>
    <n v="0"/>
    <m/>
    <n v="0"/>
    <m/>
    <n v="0"/>
    <n v="22577057.999999996"/>
    <n v="1709"/>
    <n v="1709"/>
    <m/>
    <n v="0"/>
    <m/>
    <n v="0"/>
    <m/>
    <n v="0"/>
    <n v="26207976.5"/>
    <n v="0"/>
    <n v="1463"/>
    <n v="0"/>
    <n v="1709"/>
    <n v="0"/>
    <x v="0"/>
    <s v=""/>
    <n v="1709"/>
    <n v="2018"/>
    <n v="1709"/>
    <n v="2018"/>
    <x v="1"/>
    <n v="1709"/>
    <n v="1709"/>
    <s v="No change"/>
    <m/>
    <m/>
    <m/>
    <m/>
    <x v="0"/>
    <n v="0.75696310830224212"/>
    <n v="0.6520915493037015"/>
  </r>
  <r>
    <x v="31"/>
    <s v="NER"/>
    <n v="17954413"/>
    <x v="25"/>
    <n v="894"/>
    <n v="18653199"/>
    <n v="917"/>
    <m/>
    <n v="959"/>
    <m/>
    <n v="824"/>
    <m/>
    <n v="856"/>
    <m/>
    <n v="0"/>
    <n v="22577057.999999996"/>
    <n v="906"/>
    <n v="906"/>
    <m/>
    <n v="0"/>
    <m/>
    <n v="0"/>
    <m/>
    <n v="0"/>
    <n v="26207976.5"/>
    <n v="718"/>
    <n v="902"/>
    <n v="959"/>
    <n v="906"/>
    <n v="718"/>
    <x v="261"/>
    <n v="2013"/>
    <n v="906"/>
    <n v="2018"/>
    <n v="718"/>
    <n v="2022"/>
    <x v="0"/>
    <n v="825.19642662205808"/>
    <n v="906"/>
    <s v="Decreasing"/>
    <m/>
    <m/>
    <m/>
    <m/>
    <x v="289"/>
    <n v="0.40129232072664212"/>
    <n v="0.31486460872782684"/>
  </r>
  <r>
    <x v="31"/>
    <s v="NER"/>
    <n v="17954414"/>
    <x v="26"/>
    <n v="0"/>
    <n v="18653199"/>
    <n v="829"/>
    <m/>
    <n v="947"/>
    <m/>
    <n v="817"/>
    <m/>
    <n v="851"/>
    <m/>
    <n v="0"/>
    <n v="22577057.999999996"/>
    <n v="903"/>
    <n v="903"/>
    <m/>
    <n v="0"/>
    <m/>
    <n v="0"/>
    <m/>
    <n v="0"/>
    <n v="26207976.5"/>
    <n v="718"/>
    <n v="896"/>
    <n v="947"/>
    <n v="903"/>
    <n v="718"/>
    <x v="262"/>
    <n v="2013"/>
    <n v="903"/>
    <n v="2018"/>
    <n v="718"/>
    <n v="2022"/>
    <x v="0"/>
    <n v="825.19642662205808"/>
    <n v="903"/>
    <s v="Decreasing"/>
    <m/>
    <m/>
    <m/>
    <m/>
    <x v="290"/>
    <n v="0.39996353820767971"/>
    <n v="0.31486460872782684"/>
  </r>
  <r>
    <x v="31"/>
    <s v="NER"/>
    <n v="17954415"/>
    <x v="27"/>
    <n v="0"/>
    <n v="18653199"/>
    <n v="0"/>
    <m/>
    <n v="12"/>
    <m/>
    <n v="7"/>
    <m/>
    <n v="5"/>
    <m/>
    <n v="0"/>
    <n v="22577057.999999996"/>
    <n v="3"/>
    <n v="6"/>
    <m/>
    <n v="0"/>
    <m/>
    <n v="0"/>
    <m/>
    <n v="0"/>
    <n v="26207976.5"/>
    <n v="0"/>
    <n v="6"/>
    <n v="12"/>
    <n v="5"/>
    <n v="0"/>
    <x v="263"/>
    <n v="2014"/>
    <n v="6"/>
    <s v="2018 (triag)"/>
    <n v="6"/>
    <s v="2018 (triag)"/>
    <x v="1"/>
    <n v="6"/>
    <n v="6"/>
    <s v="No change"/>
    <m/>
    <m/>
    <m/>
    <m/>
    <x v="291"/>
    <n v="2.6575650379247824E-3"/>
    <n v="2.2893793422014094E-3"/>
  </r>
  <r>
    <x v="31"/>
    <s v="NER"/>
    <n v="17954416"/>
    <x v="28"/>
    <n v="53"/>
    <n v="18653199"/>
    <n v="51"/>
    <m/>
    <n v="0"/>
    <m/>
    <n v="50"/>
    <m/>
    <n v="24"/>
    <m/>
    <n v="0"/>
    <n v="22577057.999999996"/>
    <n v="60"/>
    <n v="60"/>
    <m/>
    <n v="0"/>
    <m/>
    <n v="0"/>
    <m/>
    <n v="0"/>
    <n v="26207976.5"/>
    <n v="43"/>
    <n v="60"/>
    <n v="53"/>
    <n v="60"/>
    <n v="43"/>
    <x v="264"/>
    <n v="2013"/>
    <n v="60"/>
    <n v="2018"/>
    <n v="43"/>
    <n v="2022"/>
    <x v="0"/>
    <n v="49.419841705777856"/>
    <n v="60"/>
    <s v="Decreasing"/>
    <m/>
    <m/>
    <m/>
    <m/>
    <x v="292"/>
    <n v="2.6575650379247823E-2"/>
    <n v="1.8856794116011915E-2"/>
  </r>
  <r>
    <x v="31"/>
    <s v="NER"/>
    <n v="17954417"/>
    <x v="29"/>
    <n v="0"/>
    <n v="18653199"/>
    <n v="0"/>
    <m/>
    <n v="0"/>
    <m/>
    <n v="0"/>
    <m/>
    <n v="0"/>
    <m/>
    <n v="0"/>
    <n v="22577057.999999996"/>
    <n v="0"/>
    <n v="0"/>
    <m/>
    <n v="0"/>
    <m/>
    <n v="0"/>
    <m/>
    <n v="0"/>
    <n v="26207976.5"/>
    <n v="4"/>
    <n v="0"/>
    <n v="0"/>
    <n v="0"/>
    <n v="4"/>
    <x v="0"/>
    <s v=""/>
    <m/>
    <s v=""/>
    <n v="4"/>
    <n v="2022"/>
    <x v="1"/>
    <n v="4"/>
    <n v="4"/>
    <s v="Increasing"/>
    <m/>
    <m/>
    <m/>
    <m/>
    <x v="0"/>
    <n v="0"/>
    <n v="1.5262528948009398E-3"/>
  </r>
  <r>
    <x v="31"/>
    <s v="NER"/>
    <n v="17954418"/>
    <x v="30"/>
    <n v="0"/>
    <n v="18653199"/>
    <n v="30"/>
    <m/>
    <n v="21"/>
    <m/>
    <n v="30"/>
    <m/>
    <n v="18"/>
    <m/>
    <n v="0"/>
    <n v="22577057.999999996"/>
    <n v="30"/>
    <n v="30"/>
    <m/>
    <n v="0"/>
    <m/>
    <n v="0"/>
    <m/>
    <n v="0"/>
    <n v="26207976.5"/>
    <n v="24"/>
    <n v="30"/>
    <n v="30"/>
    <n v="30"/>
    <n v="24"/>
    <x v="130"/>
    <n v="2013"/>
    <n v="30"/>
    <n v="2018"/>
    <n v="24"/>
    <n v="2022"/>
    <x v="0"/>
    <n v="27.583167463689964"/>
    <n v="30"/>
    <s v="Decreasing"/>
    <m/>
    <m/>
    <m/>
    <m/>
    <x v="293"/>
    <n v="1.3287825189623912E-2"/>
    <n v="1.0524722297308976E-2"/>
  </r>
  <r>
    <x v="31"/>
    <s v="NER"/>
    <n v="17954419"/>
    <x v="31"/>
    <n v="0"/>
    <n v="18653199"/>
    <n v="0"/>
    <m/>
    <n v="0"/>
    <m/>
    <n v="0"/>
    <m/>
    <n v="0"/>
    <m/>
    <n v="0"/>
    <n v="22577057.999999996"/>
    <n v="0"/>
    <n v="0"/>
    <m/>
    <n v="0"/>
    <m/>
    <n v="0"/>
    <m/>
    <n v="0"/>
    <n v="26207976.5"/>
    <n v="0"/>
    <n v="0"/>
    <n v="0"/>
    <n v="0"/>
    <n v="0"/>
    <x v="0"/>
    <s v=""/>
    <m/>
    <s v=""/>
    <n v="0"/>
    <s v=""/>
    <x v="1"/>
    <m/>
    <n v="0"/>
    <s v="No change"/>
    <m/>
    <m/>
    <m/>
    <m/>
    <x v="0"/>
    <n v="0"/>
    <n v="0"/>
  </r>
  <r>
    <x v="31"/>
    <s v="NER"/>
    <n v="17954420"/>
    <x v="32"/>
    <n v="0"/>
    <n v="18653199"/>
    <n v="0"/>
    <m/>
    <n v="0"/>
    <m/>
    <n v="0"/>
    <m/>
    <n v="0"/>
    <m/>
    <n v="0"/>
    <n v="22577057.999999996"/>
    <n v="0"/>
    <n v="0"/>
    <m/>
    <n v="0"/>
    <m/>
    <n v="0"/>
    <m/>
    <n v="0"/>
    <n v="26207976.5"/>
    <n v="0"/>
    <n v="0"/>
    <n v="0"/>
    <n v="0"/>
    <n v="0"/>
    <x v="0"/>
    <s v=""/>
    <m/>
    <s v=""/>
    <n v="0"/>
    <s v=""/>
    <x v="1"/>
    <m/>
    <n v="0"/>
    <s v="No change"/>
    <m/>
    <m/>
    <m/>
    <m/>
    <x v="0"/>
    <n v="0"/>
    <n v="0"/>
  </r>
  <r>
    <x v="32"/>
    <s v="NGA"/>
    <n v="170075931.5"/>
    <x v="19"/>
    <n v="0"/>
    <n v="174726123.50000006"/>
    <n v="65759"/>
    <n v="179379016.5"/>
    <n v="0"/>
    <n v="183995784.49999991"/>
    <n v="0"/>
    <n v="188666930.99999988"/>
    <n v="83565"/>
    <n v="193495906.50000003"/>
    <n v="0"/>
    <n v="198387623.50000006"/>
    <n v="74543"/>
    <n v="83907"/>
    <n v="203304491.50000006"/>
    <n v="74543"/>
    <n v="208327404.49999994"/>
    <n v="0"/>
    <n v="213401322.49999997"/>
    <n v="84277"/>
    <n v="218541211.50000003"/>
    <n v="86181"/>
    <n v="83907"/>
    <n v="65759"/>
    <n v="83565"/>
    <n v="86181"/>
    <x v="265"/>
    <n v="2013"/>
    <n v="83907"/>
    <s v="2018 (triag)"/>
    <n v="86181"/>
    <n v="2022"/>
    <x v="1"/>
    <n v="86181"/>
    <n v="86181"/>
    <s v="Increasing"/>
    <m/>
    <m/>
    <m/>
    <m/>
    <x v="294"/>
    <n v="4.229447307230835"/>
    <n v="3.943466745172683"/>
  </r>
  <r>
    <x v="32"/>
    <s v="NGA"/>
    <n v="170075932.5"/>
    <x v="20"/>
    <n v="0"/>
    <n v="174726123.50000006"/>
    <n v="0"/>
    <m/>
    <n v="0"/>
    <m/>
    <n v="0"/>
    <m/>
    <n v="0"/>
    <m/>
    <n v="0"/>
    <n v="198387623.50000006"/>
    <n v="71508"/>
    <n v="74543"/>
    <m/>
    <n v="0"/>
    <m/>
    <n v="0"/>
    <m/>
    <n v="84277"/>
    <n v="218541211.50000003"/>
    <n v="85719"/>
    <n v="74543"/>
    <n v="0"/>
    <n v="71508"/>
    <n v="85719"/>
    <x v="0"/>
    <s v=""/>
    <n v="74543"/>
    <s v="2018 (triag)"/>
    <n v="85719"/>
    <n v="2022"/>
    <x v="1"/>
    <n v="85719"/>
    <n v="85719"/>
    <s v="Increasing"/>
    <m/>
    <m/>
    <m/>
    <m/>
    <x v="0"/>
    <n v="3.757442056358923"/>
    <n v="3.9223265676826355"/>
  </r>
  <r>
    <x v="32"/>
    <s v="NGA"/>
    <n v="170075933.5"/>
    <x v="21"/>
    <n v="0"/>
    <n v="174726123.50000006"/>
    <n v="0"/>
    <m/>
    <n v="0"/>
    <m/>
    <n v="0"/>
    <m/>
    <n v="0"/>
    <m/>
    <n v="0"/>
    <n v="198387623.50000006"/>
    <n v="3035"/>
    <n v="9364"/>
    <m/>
    <n v="0"/>
    <m/>
    <n v="0"/>
    <m/>
    <n v="0"/>
    <n v="218541211.50000003"/>
    <n v="462"/>
    <n v="9364"/>
    <n v="0"/>
    <n v="3035"/>
    <n v="462"/>
    <x v="0"/>
    <s v=""/>
    <n v="9364"/>
    <s v="2018 (triag)"/>
    <n v="462"/>
    <n v="2022"/>
    <x v="0"/>
    <n v="530.9759736760318"/>
    <n v="9364"/>
    <s v="Decreasing"/>
    <m/>
    <m/>
    <m/>
    <m/>
    <x v="0"/>
    <n v="0.47200525087191225"/>
    <n v="2.4296377330004493E-2"/>
  </r>
  <r>
    <x v="32"/>
    <s v="NGA"/>
    <n v="170075934.5"/>
    <x v="22"/>
    <n v="0"/>
    <n v="174726123.50000006"/>
    <n v="74920"/>
    <m/>
    <n v="0"/>
    <m/>
    <n v="0"/>
    <m/>
    <n v="185101"/>
    <m/>
    <n v="0"/>
    <n v="198387623.50000006"/>
    <n v="110105"/>
    <n v="180709"/>
    <m/>
    <n v="180709"/>
    <m/>
    <n v="0"/>
    <m/>
    <n v="201735"/>
    <n v="218541211.50000003"/>
    <n v="220681"/>
    <n v="180709"/>
    <n v="74920"/>
    <n v="185101"/>
    <n v="220681"/>
    <x v="266"/>
    <n v="2013"/>
    <n v="180709"/>
    <s v="2018 (triag)"/>
    <n v="220681"/>
    <n v="2022"/>
    <x v="1"/>
    <n v="220681"/>
    <n v="220681"/>
    <s v="Increasing"/>
    <m/>
    <m/>
    <m/>
    <m/>
    <x v="295"/>
    <n v="9.1088847586301149"/>
    <n v="10.097912356452731"/>
  </r>
  <r>
    <x v="32"/>
    <s v="NGA"/>
    <n v="170075935.5"/>
    <x v="23"/>
    <n v="0"/>
    <n v="174726123.50000006"/>
    <n v="0"/>
    <m/>
    <n v="0"/>
    <m/>
    <n v="0"/>
    <m/>
    <n v="0"/>
    <m/>
    <n v="0"/>
    <n v="198387623.50000006"/>
    <n v="110105"/>
    <n v="180709"/>
    <m/>
    <n v="180709"/>
    <m/>
    <n v="0"/>
    <m/>
    <n v="201735"/>
    <n v="218541211.50000003"/>
    <n v="220681"/>
    <n v="180709"/>
    <n v="0"/>
    <n v="180709"/>
    <n v="220681"/>
    <x v="0"/>
    <s v=""/>
    <n v="180709"/>
    <s v="2018 (triag)"/>
    <n v="220681"/>
    <n v="2022"/>
    <x v="1"/>
    <n v="220681"/>
    <n v="220681"/>
    <s v="Increasing"/>
    <m/>
    <m/>
    <m/>
    <m/>
    <x v="0"/>
    <n v="9.1088847586301149"/>
    <n v="10.097912356452731"/>
  </r>
  <r>
    <x v="32"/>
    <s v="NGA"/>
    <n v="170075936.5"/>
    <x v="24"/>
    <n v="0"/>
    <n v="174726123.50000006"/>
    <n v="0"/>
    <m/>
    <n v="0"/>
    <m/>
    <n v="0"/>
    <m/>
    <n v="0"/>
    <m/>
    <n v="0"/>
    <n v="198387623.50000006"/>
    <n v="0"/>
    <n v="0"/>
    <m/>
    <n v="0"/>
    <m/>
    <n v="0"/>
    <m/>
    <n v="0"/>
    <n v="218541211.50000003"/>
    <n v="0"/>
    <n v="0"/>
    <n v="0"/>
    <n v="0"/>
    <n v="0"/>
    <x v="0"/>
    <s v=""/>
    <m/>
    <s v=""/>
    <n v="0"/>
    <s v=""/>
    <x v="1"/>
    <m/>
    <n v="0"/>
    <s v="No change"/>
    <m/>
    <m/>
    <m/>
    <m/>
    <x v="0"/>
    <n v="0"/>
    <n v="0"/>
  </r>
  <r>
    <x v="32"/>
    <s v="NGA"/>
    <n v="170075937.5"/>
    <x v="25"/>
    <n v="0"/>
    <n v="174726123.50000006"/>
    <n v="101275"/>
    <m/>
    <n v="0"/>
    <m/>
    <n v="0"/>
    <m/>
    <n v="141275"/>
    <m/>
    <n v="0"/>
    <n v="198387623.50000006"/>
    <n v="71237"/>
    <n v="120870"/>
    <m/>
    <n v="120870"/>
    <m/>
    <n v="0"/>
    <m/>
    <n v="131922"/>
    <n v="218541211.50000003"/>
    <n v="146787"/>
    <n v="120870"/>
    <n v="101275"/>
    <n v="141275"/>
    <n v="146787"/>
    <x v="267"/>
    <n v="2013"/>
    <n v="120870"/>
    <s v="2018 (triag)"/>
    <n v="146787"/>
    <n v="2022"/>
    <x v="1"/>
    <n v="146787"/>
    <n v="146787"/>
    <s v="Increasing"/>
    <m/>
    <m/>
    <m/>
    <m/>
    <x v="296"/>
    <n v="6.0926179701930829"/>
    <n v="6.7166736650034533"/>
  </r>
  <r>
    <x v="32"/>
    <s v="NGA"/>
    <n v="170075938.5"/>
    <x v="26"/>
    <n v="0"/>
    <n v="174726123.50000006"/>
    <n v="101275"/>
    <m/>
    <n v="0"/>
    <m/>
    <n v="0"/>
    <m/>
    <n v="0"/>
    <m/>
    <n v="0"/>
    <n v="198387623.50000006"/>
    <n v="71237"/>
    <n v="120870"/>
    <m/>
    <n v="120870"/>
    <m/>
    <n v="0"/>
    <m/>
    <n v="131922"/>
    <n v="218541211.50000003"/>
    <n v="146787"/>
    <n v="120870"/>
    <n v="101275"/>
    <n v="120870"/>
    <n v="146787"/>
    <x v="267"/>
    <n v="2013"/>
    <n v="120870"/>
    <s v="2018 (triag)"/>
    <n v="146787"/>
    <n v="2022"/>
    <x v="1"/>
    <n v="146787"/>
    <n v="146787"/>
    <s v="Increasing"/>
    <m/>
    <m/>
    <m/>
    <m/>
    <x v="296"/>
    <n v="6.0926179701930829"/>
    <n v="6.7166736650034533"/>
  </r>
  <r>
    <x v="32"/>
    <s v="NGA"/>
    <n v="170075939.5"/>
    <x v="27"/>
    <n v="0"/>
    <n v="174726123.50000006"/>
    <n v="0"/>
    <m/>
    <n v="0"/>
    <m/>
    <n v="0"/>
    <m/>
    <n v="0"/>
    <m/>
    <n v="0"/>
    <n v="198387623.50000006"/>
    <n v="0"/>
    <n v="0"/>
    <m/>
    <n v="0"/>
    <m/>
    <n v="0"/>
    <m/>
    <n v="0"/>
    <n v="218541211.50000003"/>
    <n v="0"/>
    <n v="0"/>
    <n v="0"/>
    <n v="0"/>
    <n v="0"/>
    <x v="0"/>
    <s v=""/>
    <m/>
    <s v=""/>
    <n v="0"/>
    <s v=""/>
    <x v="1"/>
    <m/>
    <n v="0"/>
    <s v="No change"/>
    <m/>
    <m/>
    <m/>
    <m/>
    <x v="0"/>
    <n v="0"/>
    <n v="0"/>
  </r>
  <r>
    <x v="32"/>
    <s v="NGA"/>
    <n v="170075940.5"/>
    <x v="28"/>
    <n v="0"/>
    <n v="174726123.50000006"/>
    <n v="0"/>
    <m/>
    <n v="0"/>
    <m/>
    <n v="20035"/>
    <m/>
    <n v="0"/>
    <m/>
    <n v="0"/>
    <n v="198387623.50000006"/>
    <n v="24668"/>
    <n v="24668"/>
    <m/>
    <n v="24668"/>
    <m/>
    <n v="0"/>
    <m/>
    <n v="17331"/>
    <n v="218541211.50000003"/>
    <n v="18277"/>
    <n v="24668"/>
    <n v="20035"/>
    <n v="24668"/>
    <n v="18277"/>
    <x v="268"/>
    <n v="2015"/>
    <n v="24668"/>
    <n v="2018"/>
    <n v="18277"/>
    <n v="2022"/>
    <x v="0"/>
    <n v="21005.731322244228"/>
    <n v="24668"/>
    <s v="Decreasing"/>
    <m/>
    <m/>
    <m/>
    <m/>
    <x v="297"/>
    <n v="1.2434243409342516"/>
    <n v="0.96117941225214742"/>
  </r>
  <r>
    <x v="32"/>
    <s v="NGA"/>
    <n v="170075941.5"/>
    <x v="29"/>
    <n v="0"/>
    <n v="174726123.50000006"/>
    <n v="0"/>
    <m/>
    <n v="0"/>
    <m/>
    <n v="0"/>
    <m/>
    <n v="0"/>
    <m/>
    <n v="0"/>
    <n v="198387623.50000006"/>
    <n v="5793"/>
    <n v="5793"/>
    <m/>
    <n v="5793"/>
    <m/>
    <n v="0"/>
    <m/>
    <n v="0"/>
    <n v="218541211.50000003"/>
    <n v="2326"/>
    <n v="0"/>
    <n v="0"/>
    <n v="5793"/>
    <n v="2326"/>
    <x v="0"/>
    <s v=""/>
    <n v="5793"/>
    <n v="2018"/>
    <n v="2326"/>
    <n v="2022"/>
    <x v="0"/>
    <n v="2673.2686466892856"/>
    <n v="5793"/>
    <s v="Decreasing"/>
    <m/>
    <m/>
    <m/>
    <m/>
    <x v="0"/>
    <n v="0.29200410276601746"/>
    <n v="0.12232331963114816"/>
  </r>
  <r>
    <x v="32"/>
    <s v="NGA"/>
    <n v="170075942.5"/>
    <x v="30"/>
    <n v="0"/>
    <n v="174726123.50000006"/>
    <n v="0"/>
    <m/>
    <n v="0"/>
    <m/>
    <n v="0"/>
    <m/>
    <n v="4081"/>
    <m/>
    <n v="0"/>
    <n v="198387623.50000006"/>
    <n v="4358"/>
    <n v="4358"/>
    <m/>
    <n v="4358"/>
    <m/>
    <n v="0"/>
    <m/>
    <n v="4358"/>
    <n v="218541211.50000003"/>
    <n v="5048"/>
    <n v="4358"/>
    <n v="0"/>
    <n v="4358"/>
    <n v="5048"/>
    <x v="0"/>
    <s v=""/>
    <n v="4358"/>
    <n v="2018"/>
    <n v="5048"/>
    <n v="2022"/>
    <x v="1"/>
    <n v="5048"/>
    <n v="5048"/>
    <s v="Increasing"/>
    <m/>
    <m/>
    <m/>
    <m/>
    <x v="0"/>
    <n v="0.21967096148011464"/>
    <n v="0.23098618175272628"/>
  </r>
  <r>
    <x v="32"/>
    <s v="NGA"/>
    <n v="170075943.5"/>
    <x v="31"/>
    <n v="0"/>
    <n v="174726123.50000006"/>
    <n v="0"/>
    <m/>
    <n v="0"/>
    <m/>
    <n v="0"/>
    <m/>
    <n v="0"/>
    <m/>
    <n v="0"/>
    <n v="198387623.50000006"/>
    <n v="19269"/>
    <n v="21129"/>
    <m/>
    <n v="6165"/>
    <m/>
    <n v="0"/>
    <m/>
    <n v="11781"/>
    <n v="218541211.50000003"/>
    <n v="0"/>
    <n v="21129"/>
    <n v="0"/>
    <n v="19269"/>
    <n v="11781"/>
    <x v="0"/>
    <s v=""/>
    <n v="21129"/>
    <s v="2018 (triag)"/>
    <n v="11781"/>
    <n v="2021"/>
    <x v="0"/>
    <n v="13539.887328738811"/>
    <n v="21129"/>
    <s v="Decreasing"/>
    <m/>
    <m/>
    <m/>
    <m/>
    <x v="0"/>
    <n v="1.0650361966758473"/>
    <n v="0.61955762191511465"/>
  </r>
  <r>
    <x v="32"/>
    <s v="NGA"/>
    <n v="170075944.5"/>
    <x v="32"/>
    <n v="0"/>
    <n v="174726123.50000006"/>
    <n v="0"/>
    <m/>
    <n v="0"/>
    <m/>
    <n v="0"/>
    <m/>
    <n v="0"/>
    <m/>
    <n v="0"/>
    <n v="198387623.50000006"/>
    <n v="0"/>
    <n v="0"/>
    <m/>
    <n v="267"/>
    <m/>
    <n v="0"/>
    <m/>
    <n v="0"/>
    <n v="218541211.50000003"/>
    <n v="0"/>
    <n v="0"/>
    <n v="0"/>
    <n v="267"/>
    <n v="0"/>
    <x v="0"/>
    <s v=""/>
    <n v="267"/>
    <n v="2019"/>
    <n v="267"/>
    <n v="2019"/>
    <x v="1"/>
    <n v="267"/>
    <n v="267"/>
    <s v="No change"/>
    <m/>
    <m/>
    <m/>
    <m/>
    <x v="0"/>
    <n v="1.3458500852498993E-2"/>
    <n v="1.2217375302689761E-2"/>
  </r>
  <r>
    <x v="33"/>
    <s v="RWA"/>
    <n v="10840333.999999994"/>
    <x v="19"/>
    <n v="0"/>
    <n v="11101349.499999996"/>
    <n v="1104"/>
    <n v="11368451.500000004"/>
    <n v="1008"/>
    <n v="11642959"/>
    <n v="1284"/>
    <n v="11930899.500000007"/>
    <n v="1431"/>
    <n v="12230339"/>
    <n v="1648"/>
    <n v="12531807.499999998"/>
    <n v="1648"/>
    <n v="1648"/>
    <n v="12835028"/>
    <n v="1492"/>
    <n v="13146361.500000002"/>
    <n v="0"/>
    <n v="13461887.499999998"/>
    <n v="0"/>
    <n v="13776697.499999994"/>
    <n v="1648"/>
    <n v="1350"/>
    <n v="1284"/>
    <n v="1648"/>
    <n v="1648"/>
    <x v="269"/>
    <n v="2013"/>
    <n v="1648"/>
    <n v="2017"/>
    <n v="1648"/>
    <n v="2022"/>
    <x v="1"/>
    <n v="1648"/>
    <n v="1648"/>
    <s v="No change"/>
    <m/>
    <m/>
    <m/>
    <m/>
    <x v="298"/>
    <n v="1.3150537143185452"/>
    <n v="1.1962228248097926"/>
  </r>
  <r>
    <x v="33"/>
    <s v="RWA"/>
    <n v="10840335"/>
    <x v="20"/>
    <n v="0"/>
    <n v="11101349.499999996"/>
    <n v="609"/>
    <m/>
    <n v="834"/>
    <m/>
    <n v="1042"/>
    <m/>
    <n v="1107"/>
    <m/>
    <n v="1114"/>
    <n v="12531807.499999998"/>
    <n v="1114"/>
    <n v="1114"/>
    <m/>
    <n v="0"/>
    <m/>
    <n v="0"/>
    <m/>
    <n v="0"/>
    <n v="13776697.499999994"/>
    <n v="0"/>
    <n v="783"/>
    <n v="1042"/>
    <n v="1114"/>
    <n v="0"/>
    <x v="270"/>
    <n v="2013"/>
    <n v="1114"/>
    <n v="2017"/>
    <n v="1114"/>
    <n v="2017"/>
    <x v="1"/>
    <n v="1114"/>
    <n v="1114"/>
    <s v="No change"/>
    <m/>
    <m/>
    <m/>
    <m/>
    <x v="299"/>
    <n v="0.88893800834396808"/>
    <n v="0.80861178812992041"/>
  </r>
  <r>
    <x v="33"/>
    <s v="RWA"/>
    <n v="10840336"/>
    <x v="21"/>
    <n v="0"/>
    <n v="11101349.499999996"/>
    <n v="495"/>
    <m/>
    <n v="174"/>
    <m/>
    <n v="242"/>
    <m/>
    <n v="324"/>
    <m/>
    <n v="534"/>
    <n v="12531807.499999998"/>
    <n v="534"/>
    <n v="567"/>
    <m/>
    <n v="0"/>
    <m/>
    <n v="0"/>
    <m/>
    <n v="0"/>
    <n v="13776697.499999994"/>
    <n v="0"/>
    <n v="567"/>
    <n v="495"/>
    <n v="534"/>
    <n v="0"/>
    <x v="230"/>
    <n v="2013"/>
    <n v="567"/>
    <s v="2018 (triag)"/>
    <n v="567"/>
    <s v="2018 (triag)"/>
    <x v="1"/>
    <n v="567"/>
    <n v="567"/>
    <s v="No change"/>
    <m/>
    <m/>
    <m/>
    <m/>
    <x v="300"/>
    <n v="0.45244869904042179"/>
    <n v="0.41156452771065072"/>
  </r>
  <r>
    <x v="33"/>
    <s v="RWA"/>
    <n v="10840337"/>
    <x v="22"/>
    <n v="0"/>
    <n v="11101349.499999996"/>
    <n v="0"/>
    <m/>
    <n v="9625"/>
    <m/>
    <n v="10367"/>
    <m/>
    <n v="11281"/>
    <m/>
    <n v="0"/>
    <n v="12531807.499999998"/>
    <n v="13345"/>
    <n v="13345"/>
    <m/>
    <n v="10409"/>
    <m/>
    <n v="0"/>
    <m/>
    <n v="0"/>
    <n v="13776697.499999994"/>
    <n v="13060"/>
    <n v="9551"/>
    <n v="10367"/>
    <n v="13345"/>
    <n v="13060"/>
    <x v="271"/>
    <n v="2014"/>
    <n v="13345"/>
    <n v="2018"/>
    <n v="13060"/>
    <n v="2022"/>
    <x v="0"/>
    <n v="13501.239749316621"/>
    <n v="13501.239749316621"/>
    <s v="Increasing"/>
    <m/>
    <m/>
    <m/>
    <m/>
    <x v="301"/>
    <n v="10.648902801930211"/>
    <n v="9.8000553102923451"/>
  </r>
  <r>
    <x v="33"/>
    <s v="RWA"/>
    <n v="10840338"/>
    <x v="23"/>
    <n v="0"/>
    <n v="11101349.499999996"/>
    <n v="0"/>
    <m/>
    <n v="0"/>
    <m/>
    <n v="0"/>
    <m/>
    <n v="0"/>
    <m/>
    <n v="0"/>
    <n v="12531807.499999998"/>
    <n v="0"/>
    <n v="9551"/>
    <m/>
    <n v="0"/>
    <m/>
    <n v="0"/>
    <m/>
    <n v="0"/>
    <n v="13776697.499999994"/>
    <n v="0"/>
    <n v="9551"/>
    <n v="0"/>
    <n v="0"/>
    <n v="0"/>
    <x v="0"/>
    <s v=""/>
    <n v="9551"/>
    <s v="2018 (triag)"/>
    <n v="9551"/>
    <s v="2018 (triag)"/>
    <x v="1"/>
    <n v="9551"/>
    <n v="9551"/>
    <s v="No change"/>
    <m/>
    <m/>
    <m/>
    <m/>
    <x v="0"/>
    <n v="7.6214065688449182"/>
    <n v="6.9327209949989861"/>
  </r>
  <r>
    <x v="33"/>
    <s v="RWA"/>
    <n v="10840339"/>
    <x v="24"/>
    <n v="0"/>
    <n v="11101349.499999996"/>
    <n v="0"/>
    <m/>
    <n v="0"/>
    <m/>
    <n v="0"/>
    <m/>
    <n v="0"/>
    <m/>
    <n v="0"/>
    <n v="12531807.499999998"/>
    <n v="0"/>
    <n v="0"/>
    <m/>
    <n v="0"/>
    <m/>
    <n v="0"/>
    <m/>
    <n v="0"/>
    <n v="13776697.499999994"/>
    <n v="0"/>
    <n v="0"/>
    <n v="0"/>
    <n v="0"/>
    <n v="0"/>
    <x v="0"/>
    <s v=""/>
    <m/>
    <s v=""/>
    <n v="0"/>
    <s v=""/>
    <x v="1"/>
    <m/>
    <n v="0"/>
    <s v="No change"/>
    <m/>
    <m/>
    <m/>
    <m/>
    <x v="0"/>
    <n v="0"/>
    <n v="0"/>
  </r>
  <r>
    <x v="33"/>
    <s v="RWA"/>
    <n v="10840340"/>
    <x v="25"/>
    <n v="0"/>
    <n v="11101349.499999996"/>
    <n v="622"/>
    <m/>
    <n v="692"/>
    <m/>
    <n v="868"/>
    <m/>
    <n v="1070"/>
    <m/>
    <n v="2144"/>
    <n v="12531807.499999998"/>
    <n v="1471"/>
    <n v="1471"/>
    <m/>
    <n v="1561"/>
    <m/>
    <n v="0"/>
    <m/>
    <n v="0"/>
    <n v="13776697.499999994"/>
    <n v="1990"/>
    <n v="1207"/>
    <n v="868"/>
    <n v="2144"/>
    <n v="1990"/>
    <x v="247"/>
    <n v="2013"/>
    <n v="1471"/>
    <n v="2018"/>
    <n v="1990"/>
    <n v="2022"/>
    <x v="1"/>
    <n v="1990"/>
    <n v="1990"/>
    <s v="Increasing"/>
    <m/>
    <m/>
    <m/>
    <m/>
    <x v="302"/>
    <n v="1.1738131151471967"/>
    <n v="1.4444680954924072"/>
  </r>
  <r>
    <x v="33"/>
    <s v="RWA"/>
    <n v="10840341"/>
    <x v="26"/>
    <n v="0"/>
    <n v="11101349.499999996"/>
    <n v="622"/>
    <m/>
    <n v="0"/>
    <m/>
    <n v="0"/>
    <m/>
    <n v="0"/>
    <m/>
    <n v="0"/>
    <n v="12531807.499999998"/>
    <n v="0"/>
    <n v="1207"/>
    <m/>
    <n v="0"/>
    <m/>
    <n v="0"/>
    <m/>
    <n v="0"/>
    <n v="13776697.499999994"/>
    <n v="0"/>
    <n v="1207"/>
    <n v="622"/>
    <n v="0"/>
    <n v="0"/>
    <x v="247"/>
    <n v="2013"/>
    <n v="1207"/>
    <s v="2018 (triag)"/>
    <n v="1207"/>
    <s v="2018 (triag)"/>
    <x v="1"/>
    <n v="1207"/>
    <n v="1207"/>
    <s v="No change"/>
    <m/>
    <m/>
    <m/>
    <m/>
    <x v="302"/>
    <n v="0.96314917062043937"/>
    <n v="0.87611708103484198"/>
  </r>
  <r>
    <x v="33"/>
    <s v="RWA"/>
    <n v="10840342"/>
    <x v="27"/>
    <n v="0"/>
    <n v="11101349.499999996"/>
    <n v="0"/>
    <m/>
    <n v="0"/>
    <m/>
    <n v="0"/>
    <m/>
    <n v="0"/>
    <m/>
    <n v="879"/>
    <n v="12531807.499999998"/>
    <n v="0"/>
    <n v="0"/>
    <m/>
    <n v="0"/>
    <m/>
    <n v="0"/>
    <m/>
    <n v="0"/>
    <n v="13776697.499999994"/>
    <n v="0"/>
    <n v="0"/>
    <n v="0"/>
    <n v="879"/>
    <n v="0"/>
    <x v="0"/>
    <s v=""/>
    <n v="879"/>
    <n v="2017"/>
    <n v="879"/>
    <n v="2017"/>
    <x v="1"/>
    <n v="879"/>
    <n v="879"/>
    <s v="No change"/>
    <m/>
    <m/>
    <m/>
    <m/>
    <x v="0"/>
    <n v="0.70141517893568039"/>
    <n v="0.63803389745619399"/>
  </r>
  <r>
    <x v="33"/>
    <s v="RWA"/>
    <n v="10840343"/>
    <x v="28"/>
    <n v="0"/>
    <n v="11101349.499999996"/>
    <n v="0"/>
    <m/>
    <n v="0"/>
    <m/>
    <n v="114"/>
    <m/>
    <n v="0"/>
    <m/>
    <n v="879"/>
    <n v="12531807.499999998"/>
    <n v="886"/>
    <n v="886"/>
    <m/>
    <n v="0"/>
    <m/>
    <n v="0"/>
    <m/>
    <n v="0"/>
    <n v="13776697.499999994"/>
    <n v="0"/>
    <n v="167"/>
    <n v="114"/>
    <n v="886"/>
    <n v="0"/>
    <x v="103"/>
    <n v="2015"/>
    <n v="886"/>
    <n v="2018"/>
    <n v="886"/>
    <n v="2018"/>
    <x v="1"/>
    <n v="886"/>
    <n v="886"/>
    <s v="No change"/>
    <m/>
    <m/>
    <m/>
    <m/>
    <x v="303"/>
    <n v="0.70700096534358681"/>
    <n v="0.64311494100817734"/>
  </r>
  <r>
    <x v="33"/>
    <s v="RWA"/>
    <n v="10840344"/>
    <x v="29"/>
    <n v="0"/>
    <n v="11101349.499999996"/>
    <n v="0"/>
    <m/>
    <n v="0"/>
    <m/>
    <n v="0"/>
    <m/>
    <n v="0"/>
    <m/>
    <n v="201"/>
    <n v="12531807.499999998"/>
    <n v="0"/>
    <n v="0"/>
    <m/>
    <n v="0"/>
    <m/>
    <n v="0"/>
    <m/>
    <n v="0"/>
    <n v="13776697.499999994"/>
    <n v="0"/>
    <n v="0"/>
    <n v="0"/>
    <n v="201"/>
    <n v="0"/>
    <x v="0"/>
    <s v=""/>
    <n v="201"/>
    <n v="2017"/>
    <n v="201"/>
    <n v="2017"/>
    <x v="1"/>
    <n v="201"/>
    <n v="201"/>
    <s v="No change"/>
    <m/>
    <m/>
    <m/>
    <m/>
    <x v="0"/>
    <n v="0.16039186685559925"/>
    <n v="0.14589853627837882"/>
  </r>
  <r>
    <x v="33"/>
    <s v="RWA"/>
    <n v="10840345"/>
    <x v="30"/>
    <n v="0"/>
    <n v="11101349.499999996"/>
    <n v="0"/>
    <m/>
    <n v="0"/>
    <m/>
    <n v="127"/>
    <m/>
    <n v="0"/>
    <m/>
    <n v="236"/>
    <n v="12531807.499999998"/>
    <n v="228"/>
    <n v="228"/>
    <m/>
    <n v="0"/>
    <m/>
    <n v="0"/>
    <m/>
    <n v="0"/>
    <n v="13776697.499999994"/>
    <n v="236"/>
    <n v="228"/>
    <n v="127"/>
    <n v="236"/>
    <n v="236"/>
    <x v="52"/>
    <n v="2015"/>
    <n v="228"/>
    <n v="2018"/>
    <n v="236"/>
    <n v="2022"/>
    <x v="1"/>
    <n v="236"/>
    <n v="236"/>
    <s v="Increasing"/>
    <m/>
    <m/>
    <m/>
    <m/>
    <x v="304"/>
    <n v="0.18193704300038124"/>
    <n v="0.17130375403829554"/>
  </r>
  <r>
    <x v="33"/>
    <s v="RWA"/>
    <n v="10840346"/>
    <x v="31"/>
    <n v="0"/>
    <n v="11101349.499999996"/>
    <n v="0"/>
    <m/>
    <n v="0"/>
    <m/>
    <n v="0"/>
    <m/>
    <n v="0"/>
    <m/>
    <n v="0"/>
    <n v="12531807.499999998"/>
    <n v="0"/>
    <n v="0"/>
    <m/>
    <n v="0"/>
    <m/>
    <n v="0"/>
    <m/>
    <n v="0"/>
    <n v="13776697.499999994"/>
    <n v="0"/>
    <n v="0"/>
    <n v="0"/>
    <n v="0"/>
    <n v="0"/>
    <x v="0"/>
    <s v=""/>
    <m/>
    <s v=""/>
    <n v="0"/>
    <s v=""/>
    <x v="1"/>
    <m/>
    <n v="0"/>
    <s v="No change"/>
    <m/>
    <m/>
    <m/>
    <m/>
    <x v="0"/>
    <n v="0"/>
    <n v="0"/>
  </r>
  <r>
    <x v="33"/>
    <s v="RWA"/>
    <n v="10840347"/>
    <x v="32"/>
    <n v="0"/>
    <n v="11101349.499999996"/>
    <n v="0"/>
    <m/>
    <n v="0"/>
    <m/>
    <n v="0"/>
    <m/>
    <n v="0"/>
    <m/>
    <n v="0"/>
    <n v="12531807.499999998"/>
    <n v="310"/>
    <n v="310"/>
    <m/>
    <n v="0"/>
    <m/>
    <n v="0"/>
    <m/>
    <n v="0"/>
    <n v="13776697.499999994"/>
    <n v="0"/>
    <n v="0"/>
    <n v="0"/>
    <n v="310"/>
    <n v="0"/>
    <x v="0"/>
    <s v=""/>
    <n v="310"/>
    <n v="2018"/>
    <n v="310"/>
    <n v="2018"/>
    <x v="1"/>
    <n v="310"/>
    <n v="310"/>
    <s v="No change"/>
    <m/>
    <m/>
    <m/>
    <m/>
    <x v="0"/>
    <n v="0.24737054092157101"/>
    <n v="0.22501764301640514"/>
  </r>
  <r>
    <x v="34"/>
    <s v="SEN"/>
    <n v="13231833.000000002"/>
    <x v="19"/>
    <n v="0"/>
    <n v="13595565.499999993"/>
    <n v="0"/>
    <n v="13970307.499999993"/>
    <n v="0"/>
    <n v="14356180.500000004"/>
    <n v="0"/>
    <n v="14751356.499999994"/>
    <n v="1154"/>
    <n v="15157793.000000006"/>
    <n v="1066"/>
    <n v="15574908.999999998"/>
    <n v="0"/>
    <n v="2883"/>
    <n v="16000781.500000006"/>
    <n v="1435"/>
    <n v="16436119.999999993"/>
    <n v="1384"/>
    <n v="16876719.999999996"/>
    <n v="1707"/>
    <n v="17316449"/>
    <n v="2188"/>
    <n v="2883"/>
    <n v="0"/>
    <n v="1435"/>
    <n v="2188"/>
    <x v="0"/>
    <s v=""/>
    <n v="2883"/>
    <s v="2018 (triag)"/>
    <n v="2188"/>
    <n v="2022"/>
    <x v="0"/>
    <n v="2560.8623058327948"/>
    <n v="2883"/>
    <s v="Decreasing"/>
    <m/>
    <m/>
    <m/>
    <m/>
    <x v="0"/>
    <n v="1.8510541538316534"/>
    <n v="1.4788611139805827"/>
  </r>
  <r>
    <x v="34"/>
    <s v="SEN"/>
    <n v="13231834"/>
    <x v="20"/>
    <n v="0"/>
    <n v="13595565.499999993"/>
    <n v="0"/>
    <m/>
    <n v="0"/>
    <m/>
    <n v="0"/>
    <m/>
    <n v="267"/>
    <m/>
    <n v="0"/>
    <n v="15574908.999999998"/>
    <n v="0"/>
    <n v="676"/>
    <m/>
    <n v="353"/>
    <m/>
    <n v="308"/>
    <m/>
    <n v="487"/>
    <n v="17316449"/>
    <n v="703"/>
    <n v="676"/>
    <n v="0"/>
    <n v="353"/>
    <n v="703"/>
    <x v="0"/>
    <s v=""/>
    <n v="676"/>
    <s v="2018 (triag)"/>
    <n v="703"/>
    <n v="2022"/>
    <x v="1"/>
    <n v="703"/>
    <n v="703"/>
    <s v="Increasing"/>
    <m/>
    <m/>
    <m/>
    <m/>
    <x v="0"/>
    <n v="0.43403142836982234"/>
    <n v="0.40597237921007939"/>
  </r>
  <r>
    <x v="34"/>
    <s v="SEN"/>
    <n v="13231835"/>
    <x v="21"/>
    <n v="0"/>
    <n v="13595565.499999993"/>
    <n v="0"/>
    <m/>
    <n v="0"/>
    <m/>
    <n v="0"/>
    <m/>
    <n v="887"/>
    <m/>
    <n v="0"/>
    <n v="15574908.999999998"/>
    <n v="0"/>
    <n v="2207"/>
    <m/>
    <n v="1082"/>
    <m/>
    <n v="1076"/>
    <m/>
    <n v="1220"/>
    <n v="17316449"/>
    <n v="1485"/>
    <n v="2207"/>
    <n v="0"/>
    <n v="1082"/>
    <n v="1485"/>
    <x v="0"/>
    <s v=""/>
    <n v="2207"/>
    <s v="2018 (triag)"/>
    <n v="1485"/>
    <n v="2022"/>
    <x v="0"/>
    <n v="1738.0623967832269"/>
    <n v="2207"/>
    <s v="Decreasing"/>
    <m/>
    <m/>
    <m/>
    <m/>
    <x v="0"/>
    <n v="1.4170227254618311"/>
    <n v="1.0037060120023606"/>
  </r>
  <r>
    <x v="34"/>
    <s v="SEN"/>
    <n v="13231836"/>
    <x v="22"/>
    <n v="0"/>
    <n v="13595565.499999993"/>
    <n v="0"/>
    <m/>
    <n v="0"/>
    <m/>
    <n v="1682"/>
    <m/>
    <n v="2490"/>
    <m/>
    <n v="2820"/>
    <n v="15574908.999999998"/>
    <n v="0"/>
    <n v="4577"/>
    <m/>
    <n v="6151"/>
    <m/>
    <n v="3800"/>
    <m/>
    <n v="6477"/>
    <n v="17316449"/>
    <n v="4737"/>
    <n v="4577"/>
    <n v="1682"/>
    <n v="6151"/>
    <n v="6477"/>
    <x v="272"/>
    <n v="2015"/>
    <n v="4577"/>
    <s v="2018 (triag)"/>
    <n v="4737"/>
    <n v="2022"/>
    <x v="1"/>
    <n v="4737"/>
    <n v="4737"/>
    <s v="Increasing"/>
    <m/>
    <m/>
    <m/>
    <m/>
    <x v="305"/>
    <n v="2.9387009580601728"/>
    <n v="2.7355493034397527"/>
  </r>
  <r>
    <x v="34"/>
    <s v="SEN"/>
    <n v="13231837"/>
    <x v="23"/>
    <n v="0"/>
    <n v="13595565.499999993"/>
    <n v="0"/>
    <m/>
    <n v="0"/>
    <m/>
    <n v="1020"/>
    <m/>
    <n v="1445"/>
    <m/>
    <n v="1727"/>
    <n v="15574908.999999998"/>
    <n v="0"/>
    <n v="3231"/>
    <m/>
    <n v="3093"/>
    <m/>
    <n v="3295"/>
    <m/>
    <n v="2523"/>
    <n v="17316449"/>
    <n v="2769"/>
    <n v="3231"/>
    <n v="1020"/>
    <n v="3093"/>
    <n v="3295"/>
    <x v="273"/>
    <n v="2015"/>
    <n v="3231"/>
    <s v="2018 (triag)"/>
    <n v="2769"/>
    <n v="2022"/>
    <x v="0"/>
    <n v="3240.8719034968049"/>
    <n v="3240.8719034968049"/>
    <s v="Increasing"/>
    <m/>
    <m/>
    <m/>
    <m/>
    <x v="306"/>
    <n v="2.074490451276473"/>
    <n v="1.8715568668246041"/>
  </r>
  <r>
    <x v="34"/>
    <s v="SEN"/>
    <n v="13231838"/>
    <x v="24"/>
    <n v="0"/>
    <n v="13595565.499999993"/>
    <n v="0"/>
    <m/>
    <n v="0"/>
    <m/>
    <n v="662"/>
    <m/>
    <n v="1045"/>
    <m/>
    <n v="1093"/>
    <n v="15574908.999999998"/>
    <n v="0"/>
    <n v="1346"/>
    <m/>
    <n v="3058"/>
    <m/>
    <n v="483"/>
    <m/>
    <n v="2173"/>
    <n v="17316449"/>
    <n v="1968"/>
    <n v="1346"/>
    <n v="662"/>
    <n v="3058"/>
    <n v="2173"/>
    <x v="274"/>
    <n v="2015"/>
    <n v="1346"/>
    <s v="2018 (triag)"/>
    <n v="1968"/>
    <n v="2022"/>
    <x v="1"/>
    <n v="1968"/>
    <n v="1968"/>
    <s v="Increasing"/>
    <m/>
    <m/>
    <m/>
    <m/>
    <x v="307"/>
    <n v="0.86421050678369948"/>
    <n v="1.136491667546851"/>
  </r>
  <r>
    <x v="34"/>
    <s v="SEN"/>
    <n v="13231839"/>
    <x v="25"/>
    <n v="0"/>
    <n v="13595565.499999993"/>
    <n v="3946"/>
    <m/>
    <n v="0"/>
    <m/>
    <n v="1116"/>
    <m/>
    <n v="2002"/>
    <m/>
    <n v="2002"/>
    <n v="15574908.999999998"/>
    <n v="0"/>
    <n v="3015"/>
    <m/>
    <n v="2656"/>
    <m/>
    <n v="2061"/>
    <m/>
    <n v="2739"/>
    <n v="17316449"/>
    <n v="2803"/>
    <n v="3015"/>
    <n v="3946"/>
    <n v="2656"/>
    <n v="2803"/>
    <x v="275"/>
    <n v="2013"/>
    <n v="3015"/>
    <s v="2018 (triag)"/>
    <n v="2803"/>
    <n v="2022"/>
    <x v="0"/>
    <n v="3280.6659247026164"/>
    <n v="3280.6659247026164"/>
    <s v="Increasing"/>
    <m/>
    <m/>
    <m/>
    <m/>
    <x v="308"/>
    <n v="1.9358058528624471"/>
    <n v="1.8945373411734798"/>
  </r>
  <r>
    <x v="34"/>
    <s v="SEN"/>
    <n v="13231840"/>
    <x v="26"/>
    <n v="0"/>
    <n v="13595565.499999993"/>
    <n v="3946"/>
    <m/>
    <n v="0"/>
    <m/>
    <n v="0"/>
    <m/>
    <n v="0"/>
    <m/>
    <n v="0"/>
    <n v="15574908.999999998"/>
    <n v="0"/>
    <n v="3015"/>
    <m/>
    <n v="2196"/>
    <m/>
    <n v="1969"/>
    <m/>
    <n v="2710"/>
    <n v="17316449"/>
    <n v="2803"/>
    <n v="3015"/>
    <n v="3946"/>
    <n v="2196"/>
    <n v="2803"/>
    <x v="275"/>
    <n v="2013"/>
    <n v="3015"/>
    <s v="2018 (triag)"/>
    <n v="2803"/>
    <n v="2022"/>
    <x v="0"/>
    <n v="3280.6659247026164"/>
    <n v="3280.6659247026164"/>
    <s v="Increasing"/>
    <m/>
    <m/>
    <m/>
    <m/>
    <x v="308"/>
    <n v="1.9358058528624471"/>
    <n v="1.8945373411734798"/>
  </r>
  <r>
    <x v="34"/>
    <s v="SEN"/>
    <n v="13231841"/>
    <x v="27"/>
    <n v="0"/>
    <n v="13595565.499999993"/>
    <n v="0"/>
    <m/>
    <n v="0"/>
    <m/>
    <n v="0"/>
    <m/>
    <n v="0"/>
    <m/>
    <n v="0"/>
    <n v="15574908.999999998"/>
    <n v="0"/>
    <n v="0"/>
    <m/>
    <n v="460"/>
    <m/>
    <n v="92"/>
    <m/>
    <n v="29"/>
    <n v="17316449"/>
    <n v="0"/>
    <n v="0"/>
    <n v="0"/>
    <n v="460"/>
    <n v="92"/>
    <x v="0"/>
    <s v=""/>
    <n v="460"/>
    <n v="2019"/>
    <n v="29"/>
    <n v="2021"/>
    <x v="0"/>
    <n v="33.941959263780191"/>
    <n v="460"/>
    <s v="Decreasing"/>
    <m/>
    <m/>
    <m/>
    <m/>
    <x v="0"/>
    <n v="0.29534682995579625"/>
    <n v="1.960099282698213E-2"/>
  </r>
  <r>
    <x v="34"/>
    <s v="SEN"/>
    <n v="13231842"/>
    <x v="28"/>
    <n v="0"/>
    <n v="13595565.499999993"/>
    <n v="0"/>
    <m/>
    <n v="0"/>
    <m/>
    <n v="143"/>
    <m/>
    <n v="170"/>
    <m/>
    <n v="170"/>
    <n v="15574908.999999998"/>
    <n v="0"/>
    <n v="162"/>
    <m/>
    <n v="188"/>
    <m/>
    <n v="212"/>
    <m/>
    <n v="293"/>
    <n v="17316449"/>
    <n v="352"/>
    <n v="162"/>
    <n v="143"/>
    <n v="188"/>
    <n v="352"/>
    <x v="276"/>
    <n v="2015"/>
    <n v="162"/>
    <s v="2018 (triag)"/>
    <n v="352"/>
    <n v="2022"/>
    <x v="1"/>
    <n v="352"/>
    <n v="352"/>
    <s v="Increasing"/>
    <m/>
    <m/>
    <m/>
    <m/>
    <x v="309"/>
    <n v="0.10401344881051955"/>
    <n v="0.20327493240675384"/>
  </r>
  <r>
    <x v="34"/>
    <s v="SEN"/>
    <n v="13231843"/>
    <x v="29"/>
    <n v="0"/>
    <n v="13595565.499999993"/>
    <n v="371"/>
    <m/>
    <n v="0"/>
    <m/>
    <n v="0"/>
    <m/>
    <n v="0"/>
    <m/>
    <n v="0"/>
    <n v="15574908.999999998"/>
    <n v="0"/>
    <n v="53"/>
    <m/>
    <n v="45"/>
    <m/>
    <n v="48"/>
    <m/>
    <n v="40"/>
    <n v="17316449"/>
    <n v="57"/>
    <n v="53"/>
    <n v="371"/>
    <n v="45"/>
    <n v="57"/>
    <x v="277"/>
    <n v="2013"/>
    <n v="53"/>
    <s v="2018 (triag)"/>
    <n v="57"/>
    <n v="2022"/>
    <x v="1"/>
    <n v="57"/>
    <n v="57"/>
    <s v="Increasing"/>
    <m/>
    <m/>
    <m/>
    <m/>
    <x v="310"/>
    <n v="3.4029091277515654E-2"/>
    <n v="3.2916679395411839E-2"/>
  </r>
  <r>
    <x v="34"/>
    <s v="SEN"/>
    <n v="13231844"/>
    <x v="30"/>
    <n v="0"/>
    <n v="13595565.499999993"/>
    <n v="54"/>
    <m/>
    <n v="0"/>
    <m/>
    <n v="0"/>
    <m/>
    <n v="121"/>
    <m/>
    <n v="121"/>
    <n v="15574908.999999998"/>
    <n v="0"/>
    <n v="136"/>
    <m/>
    <n v="219"/>
    <m/>
    <n v="134"/>
    <m/>
    <n v="176"/>
    <n v="17316449"/>
    <n v="223"/>
    <n v="136"/>
    <n v="54"/>
    <n v="219"/>
    <n v="223"/>
    <x v="81"/>
    <n v="2013"/>
    <n v="136"/>
    <s v="2018 (triag)"/>
    <n v="223"/>
    <n v="2022"/>
    <x v="1"/>
    <n v="223"/>
    <n v="223"/>
    <s v="Increasing"/>
    <m/>
    <m/>
    <m/>
    <m/>
    <x v="88"/>
    <n v="8.7319932334757155E-2"/>
    <n v="0.12877928956450599"/>
  </r>
  <r>
    <x v="34"/>
    <s v="SEN"/>
    <n v="13231845"/>
    <x v="31"/>
    <n v="0"/>
    <n v="13595565.499999993"/>
    <n v="0"/>
    <m/>
    <n v="0"/>
    <m/>
    <n v="0"/>
    <m/>
    <n v="0"/>
    <m/>
    <n v="57"/>
    <n v="15574908.999999998"/>
    <n v="0"/>
    <n v="100"/>
    <m/>
    <n v="0"/>
    <m/>
    <n v="0"/>
    <m/>
    <n v="28"/>
    <n v="17316449"/>
    <n v="64"/>
    <n v="100"/>
    <n v="0"/>
    <n v="57"/>
    <n v="64"/>
    <x v="0"/>
    <s v=""/>
    <n v="100"/>
    <s v="2018 (triag)"/>
    <n v="64"/>
    <n v="2022"/>
    <x v="0"/>
    <n v="74.906392857997659"/>
    <n v="100"/>
    <s v="Decreasing"/>
    <m/>
    <m/>
    <m/>
    <m/>
    <x v="0"/>
    <n v="6.4205832599086146E-2"/>
    <n v="4.3257363480236427E-2"/>
  </r>
  <r>
    <x v="34"/>
    <s v="SEN"/>
    <n v="13231846"/>
    <x v="32"/>
    <n v="0"/>
    <n v="13595565.499999993"/>
    <n v="0"/>
    <m/>
    <n v="0"/>
    <m/>
    <n v="0"/>
    <m/>
    <n v="0"/>
    <m/>
    <n v="0"/>
    <n v="15574908.999999998"/>
    <n v="0"/>
    <n v="0"/>
    <m/>
    <n v="16"/>
    <m/>
    <n v="2"/>
    <m/>
    <n v="0"/>
    <n v="17316449"/>
    <n v="14"/>
    <n v="0"/>
    <n v="0"/>
    <n v="16"/>
    <n v="14"/>
    <x v="0"/>
    <s v=""/>
    <n v="16"/>
    <n v="2019"/>
    <n v="14"/>
    <n v="2022"/>
    <x v="0"/>
    <n v="16.385773437686989"/>
    <n v="16.385773437686989"/>
    <s v="Increasing"/>
    <m/>
    <m/>
    <m/>
    <m/>
    <x v="0"/>
    <n v="1.0272933215853782E-2"/>
    <n v="9.4625482613017193E-3"/>
  </r>
  <r>
    <x v="35"/>
    <s v="SLE"/>
    <n v="6788587.5000000037"/>
    <x v="19"/>
    <n v="0"/>
    <n v="6964858.4999999972"/>
    <n v="0"/>
    <n v="7140688.0000000028"/>
    <n v="0"/>
    <n v="7314773"/>
    <n v="0"/>
    <n v="7493912.9999999981"/>
    <n v="0"/>
    <n v="7677565.5000000019"/>
    <n v="0"/>
    <n v="7861281"/>
    <n v="566"/>
    <n v="566"/>
    <n v="8046828.5"/>
    <n v="256"/>
    <n v="8233970.4999999991"/>
    <n v="576"/>
    <n v="8420641.0000000037"/>
    <n v="0"/>
    <n v="8605718.0000000056"/>
    <n v="1106"/>
    <n v="281"/>
    <n v="0"/>
    <n v="566"/>
    <n v="1106"/>
    <x v="0"/>
    <s v=""/>
    <n v="566"/>
    <n v="2018"/>
    <n v="1106"/>
    <n v="2022"/>
    <x v="1"/>
    <n v="1106"/>
    <n v="1106"/>
    <s v="Increasing"/>
    <m/>
    <m/>
    <m/>
    <m/>
    <x v="0"/>
    <n v="0.71998444019492502"/>
    <n v="1.2851920083832624"/>
  </r>
  <r>
    <x v="35"/>
    <s v="SLE"/>
    <n v="6788588.5"/>
    <x v="20"/>
    <n v="0"/>
    <n v="6964858.4999999972"/>
    <n v="0"/>
    <m/>
    <n v="0"/>
    <m/>
    <n v="0"/>
    <m/>
    <n v="0"/>
    <m/>
    <n v="0"/>
    <n v="7861281"/>
    <n v="500"/>
    <n v="500"/>
    <m/>
    <n v="231"/>
    <m/>
    <n v="515"/>
    <m/>
    <n v="0"/>
    <n v="8605718.0000000056"/>
    <n v="338"/>
    <n v="234"/>
    <n v="0"/>
    <n v="500"/>
    <n v="515"/>
    <x v="0"/>
    <s v=""/>
    <n v="500"/>
    <n v="2018"/>
    <n v="338"/>
    <n v="2022"/>
    <x v="0"/>
    <n v="388.46294178030035"/>
    <n v="500"/>
    <s v="Decreasing"/>
    <m/>
    <m/>
    <m/>
    <m/>
    <x v="0"/>
    <n v="0.63602865741601144"/>
    <n v="0.45140096593950685"/>
  </r>
  <r>
    <x v="35"/>
    <s v="SLE"/>
    <n v="6788589.5"/>
    <x v="21"/>
    <n v="0"/>
    <n v="6964858.4999999972"/>
    <n v="0"/>
    <m/>
    <n v="0"/>
    <m/>
    <n v="0"/>
    <m/>
    <n v="0"/>
    <m/>
    <n v="0"/>
    <n v="7861281"/>
    <n v="66"/>
    <n v="66"/>
    <m/>
    <n v="25"/>
    <m/>
    <n v="61"/>
    <m/>
    <n v="0"/>
    <n v="8605718.0000000056"/>
    <n v="28"/>
    <n v="47"/>
    <n v="0"/>
    <n v="66"/>
    <n v="61"/>
    <x v="0"/>
    <s v=""/>
    <n v="66"/>
    <n v="2018"/>
    <n v="28"/>
    <n v="2022"/>
    <x v="0"/>
    <n v="32.180362040971623"/>
    <n v="66"/>
    <s v="Decreasing"/>
    <m/>
    <m/>
    <m/>
    <m/>
    <x v="0"/>
    <n v="8.395578277891351E-2"/>
    <n v="3.7394162858894055E-2"/>
  </r>
  <r>
    <x v="35"/>
    <s v="SLE"/>
    <n v="6788590.5"/>
    <x v="22"/>
    <n v="0"/>
    <n v="6964858.4999999972"/>
    <n v="6106"/>
    <m/>
    <n v="6108"/>
    <m/>
    <n v="5873"/>
    <m/>
    <n v="5160"/>
    <m/>
    <n v="5980"/>
    <n v="7861281"/>
    <n v="5757"/>
    <n v="5757"/>
    <m/>
    <n v="4311"/>
    <m/>
    <n v="1040"/>
    <m/>
    <n v="0"/>
    <n v="8605718.0000000056"/>
    <n v="15666"/>
    <n v="5302"/>
    <n v="6108"/>
    <n v="5980"/>
    <n v="15666"/>
    <x v="278"/>
    <n v="2013"/>
    <n v="5757"/>
    <n v="2018"/>
    <n v="15666"/>
    <n v="2022"/>
    <x v="1"/>
    <n v="15666"/>
    <n v="15666"/>
    <s v="Increasing"/>
    <m/>
    <m/>
    <m/>
    <m/>
    <x v="311"/>
    <n v="7.323233961487956"/>
    <n v="18.204175409884439"/>
  </r>
  <r>
    <x v="35"/>
    <s v="SLE"/>
    <n v="6788591.5"/>
    <x v="23"/>
    <n v="0"/>
    <n v="6964858.4999999972"/>
    <n v="634"/>
    <m/>
    <n v="634"/>
    <m/>
    <n v="766"/>
    <m/>
    <n v="755"/>
    <m/>
    <n v="964"/>
    <n v="7861281"/>
    <n v="868"/>
    <n v="868"/>
    <m/>
    <n v="819"/>
    <m/>
    <n v="1040"/>
    <m/>
    <n v="0"/>
    <n v="8605718.0000000056"/>
    <n v="1449"/>
    <n v="580"/>
    <n v="766"/>
    <n v="964"/>
    <n v="1449"/>
    <x v="24"/>
    <n v="2013"/>
    <n v="868"/>
    <n v="2018"/>
    <n v="1449"/>
    <n v="2022"/>
    <x v="1"/>
    <n v="1449"/>
    <n v="1449"/>
    <s v="Increasing"/>
    <m/>
    <m/>
    <m/>
    <m/>
    <x v="312"/>
    <n v="1.104145749274196"/>
    <n v="1.6837642135147806"/>
  </r>
  <r>
    <x v="35"/>
    <s v="SLE"/>
    <n v="6788592.5"/>
    <x v="24"/>
    <n v="0"/>
    <n v="6964858.4999999972"/>
    <n v="2707"/>
    <m/>
    <n v="2707"/>
    <m/>
    <n v="2605"/>
    <m/>
    <n v="2090"/>
    <m/>
    <n v="2690"/>
    <n v="7861281"/>
    <n v="2545"/>
    <n v="4722"/>
    <m/>
    <n v="3492"/>
    <m/>
    <n v="0"/>
    <m/>
    <n v="0"/>
    <n v="8605718.0000000056"/>
    <n v="5907"/>
    <n v="4722"/>
    <n v="2707"/>
    <n v="3492"/>
    <n v="5907"/>
    <x v="143"/>
    <n v="2013"/>
    <n v="4722"/>
    <s v="2018 (triag)"/>
    <n v="5907"/>
    <n v="2022"/>
    <x v="1"/>
    <n v="5907"/>
    <n v="5907"/>
    <s v="Increasing"/>
    <m/>
    <m/>
    <m/>
    <m/>
    <x v="313"/>
    <n v="6.0066546406368122"/>
    <n v="6.8640408621337539"/>
  </r>
  <r>
    <x v="35"/>
    <s v="SLE"/>
    <n v="6788593.5"/>
    <x v="25"/>
    <n v="0"/>
    <n v="6964858.4999999972"/>
    <n v="2187"/>
    <m/>
    <n v="585"/>
    <m/>
    <n v="0"/>
    <m/>
    <n v="313"/>
    <m/>
    <n v="0"/>
    <n v="7861281"/>
    <n v="0"/>
    <n v="391"/>
    <m/>
    <n v="2373"/>
    <m/>
    <n v="639"/>
    <m/>
    <n v="0"/>
    <n v="8605718.0000000056"/>
    <n v="2271"/>
    <n v="391"/>
    <n v="2187"/>
    <n v="2373"/>
    <n v="2271"/>
    <x v="279"/>
    <n v="2013"/>
    <n v="391"/>
    <s v="2018 (triag)"/>
    <n v="2271"/>
    <n v="2022"/>
    <x v="1"/>
    <n v="2271"/>
    <n v="2271"/>
    <s v="Increasing"/>
    <m/>
    <m/>
    <m/>
    <m/>
    <x v="314"/>
    <n v="0.49737441009932098"/>
    <n v="2.6389430841215091"/>
  </r>
  <r>
    <x v="35"/>
    <s v="SLE"/>
    <n v="6788594.5"/>
    <x v="26"/>
    <n v="0"/>
    <n v="6964858.4999999972"/>
    <n v="286"/>
    <m/>
    <n v="0"/>
    <m/>
    <n v="0"/>
    <m/>
    <n v="0"/>
    <m/>
    <n v="0"/>
    <n v="7861281"/>
    <n v="0"/>
    <n v="287"/>
    <m/>
    <n v="422"/>
    <m/>
    <n v="530"/>
    <m/>
    <n v="0"/>
    <n v="8605718.0000000056"/>
    <n v="184"/>
    <n v="287"/>
    <n v="286"/>
    <n v="422"/>
    <n v="530"/>
    <x v="280"/>
    <n v="2013"/>
    <n v="287"/>
    <s v="2018 (triag)"/>
    <n v="184"/>
    <n v="2022"/>
    <x v="0"/>
    <n v="211.4709505549564"/>
    <n v="287"/>
    <s v="Decreasing"/>
    <m/>
    <m/>
    <m/>
    <m/>
    <x v="315"/>
    <n v="0.36508044935679057"/>
    <n v="0.24573307021558952"/>
  </r>
  <r>
    <x v="35"/>
    <s v="SLE"/>
    <n v="6788595.5"/>
    <x v="27"/>
    <n v="0"/>
    <n v="6964858.4999999972"/>
    <n v="1901"/>
    <m/>
    <n v="0"/>
    <m/>
    <n v="0"/>
    <m/>
    <n v="0"/>
    <m/>
    <n v="0"/>
    <n v="7861281"/>
    <n v="0"/>
    <n v="104"/>
    <m/>
    <n v="1951"/>
    <m/>
    <n v="109"/>
    <m/>
    <n v="0"/>
    <n v="8605718.0000000056"/>
    <n v="2087"/>
    <n v="104"/>
    <n v="1901"/>
    <n v="1951"/>
    <n v="2087"/>
    <x v="281"/>
    <n v="2013"/>
    <n v="104"/>
    <s v="2018 (triag)"/>
    <n v="2087"/>
    <n v="2022"/>
    <x v="1"/>
    <n v="2087"/>
    <n v="2087"/>
    <s v="Increasing"/>
    <m/>
    <m/>
    <m/>
    <m/>
    <x v="316"/>
    <n v="0.13229396074253039"/>
    <n v="2.4251317554212197"/>
  </r>
  <r>
    <x v="35"/>
    <s v="SLE"/>
    <n v="6788596.5"/>
    <x v="28"/>
    <n v="0"/>
    <n v="6964858.4999999972"/>
    <n v="0"/>
    <m/>
    <n v="0"/>
    <m/>
    <n v="0"/>
    <m/>
    <n v="82"/>
    <m/>
    <n v="0"/>
    <n v="7861281"/>
    <n v="156"/>
    <n v="156"/>
    <m/>
    <n v="164"/>
    <m/>
    <n v="193"/>
    <m/>
    <n v="0"/>
    <n v="8605718.0000000056"/>
    <n v="193"/>
    <n v="135"/>
    <n v="0"/>
    <n v="164"/>
    <n v="193"/>
    <x v="0"/>
    <s v=""/>
    <n v="156"/>
    <n v="2018"/>
    <n v="193"/>
    <n v="2020"/>
    <x v="1"/>
    <n v="193"/>
    <n v="193"/>
    <s v="Increasing"/>
    <m/>
    <m/>
    <m/>
    <m/>
    <x v="0"/>
    <n v="0.19844094111379557"/>
    <n v="0.22426949151715159"/>
  </r>
  <r>
    <x v="35"/>
    <s v="SLE"/>
    <n v="6788597.5"/>
    <x v="29"/>
    <n v="0"/>
    <n v="6964858.4999999972"/>
    <n v="0"/>
    <m/>
    <n v="0"/>
    <m/>
    <n v="0"/>
    <m/>
    <n v="0"/>
    <m/>
    <n v="0"/>
    <n v="7861281"/>
    <n v="0"/>
    <n v="21"/>
    <m/>
    <n v="213"/>
    <m/>
    <n v="332"/>
    <m/>
    <n v="0"/>
    <n v="8605718.0000000056"/>
    <n v="857"/>
    <n v="21"/>
    <n v="0"/>
    <n v="213"/>
    <n v="857"/>
    <x v="0"/>
    <s v=""/>
    <n v="21"/>
    <s v="2018 (triag)"/>
    <n v="857"/>
    <n v="2022"/>
    <x v="1"/>
    <n v="857"/>
    <n v="857"/>
    <s v="Increasing"/>
    <m/>
    <m/>
    <m/>
    <m/>
    <x v="0"/>
    <n v="2.6713203611472482E-2"/>
    <n v="0.99584950378341408"/>
  </r>
  <r>
    <x v="35"/>
    <s v="SLE"/>
    <n v="6788598.5"/>
    <x v="30"/>
    <n v="0"/>
    <n v="6964858.4999999972"/>
    <n v="0"/>
    <m/>
    <n v="0"/>
    <m/>
    <n v="0"/>
    <m/>
    <n v="53"/>
    <m/>
    <n v="0"/>
    <n v="7861281"/>
    <n v="15"/>
    <n v="15"/>
    <m/>
    <n v="7"/>
    <m/>
    <n v="15"/>
    <m/>
    <n v="0"/>
    <n v="8605718.0000000056"/>
    <n v="15"/>
    <n v="9"/>
    <n v="0"/>
    <n v="53"/>
    <n v="15"/>
    <x v="0"/>
    <s v=""/>
    <n v="15"/>
    <n v="2018"/>
    <n v="15"/>
    <n v="2020"/>
    <x v="1"/>
    <n v="15"/>
    <n v="15"/>
    <s v="No change"/>
    <m/>
    <m/>
    <m/>
    <m/>
    <x v="0"/>
    <n v="1.9080859722480345E-2"/>
    <n v="1.7430271361436652E-2"/>
  </r>
  <r>
    <x v="35"/>
    <s v="SLE"/>
    <n v="6788599.5"/>
    <x v="31"/>
    <n v="0"/>
    <n v="6964858.4999999972"/>
    <n v="0"/>
    <m/>
    <n v="0"/>
    <m/>
    <n v="0"/>
    <m/>
    <n v="0"/>
    <m/>
    <n v="0"/>
    <n v="7861281"/>
    <n v="0"/>
    <n v="414"/>
    <m/>
    <n v="140"/>
    <m/>
    <n v="66"/>
    <m/>
    <n v="0"/>
    <n v="8605718.0000000056"/>
    <n v="126"/>
    <n v="414"/>
    <n v="0"/>
    <n v="140"/>
    <n v="126"/>
    <x v="0"/>
    <s v=""/>
    <n v="414"/>
    <s v="2018 (triag)"/>
    <n v="126"/>
    <n v="2022"/>
    <x v="0"/>
    <n v="144.81162918437232"/>
    <n v="414"/>
    <s v="Decreasing"/>
    <m/>
    <m/>
    <m/>
    <m/>
    <x v="0"/>
    <n v="0.52663172834045746"/>
    <n v="0.16827373286502328"/>
  </r>
  <r>
    <x v="35"/>
    <s v="SLE"/>
    <n v="6788600.5"/>
    <x v="32"/>
    <n v="0"/>
    <n v="6964858.4999999972"/>
    <n v="0"/>
    <m/>
    <n v="0"/>
    <m/>
    <n v="0"/>
    <m/>
    <n v="0"/>
    <m/>
    <n v="0"/>
    <n v="7861281"/>
    <n v="0"/>
    <n v="0"/>
    <m/>
    <n v="0"/>
    <m/>
    <n v="0"/>
    <m/>
    <n v="0"/>
    <n v="8605718.0000000056"/>
    <n v="0"/>
    <n v="0"/>
    <n v="0"/>
    <n v="0"/>
    <n v="0"/>
    <x v="0"/>
    <s v=""/>
    <m/>
    <s v=""/>
    <n v="0"/>
    <s v=""/>
    <x v="1"/>
    <m/>
    <n v="0"/>
    <s v="No change"/>
    <m/>
    <m/>
    <m/>
    <m/>
    <x v="0"/>
    <n v="0"/>
    <n v="0"/>
  </r>
  <r>
    <x v="36"/>
    <s v="SSD"/>
    <n v="10701604.500000004"/>
    <x v="19"/>
    <n v="0"/>
    <n v="11106031.000000004"/>
    <n v="0"/>
    <n v="11213284.499999998"/>
    <n v="0"/>
    <n v="11194299.499999998"/>
    <n v="0"/>
    <n v="11066105"/>
    <n v="0"/>
    <n v="10658225.499999994"/>
    <n v="0"/>
    <n v="10395329.5"/>
    <n v="411"/>
    <n v="411"/>
    <n v="10447665.999999998"/>
    <n v="342"/>
    <n v="10606227.000000002"/>
    <n v="456"/>
    <n v="10748272.499999998"/>
    <n v="0"/>
    <n v="10913163.5"/>
    <n v="0"/>
    <n v="411"/>
    <n v="0"/>
    <n v="411"/>
    <n v="456"/>
    <x v="0"/>
    <s v=""/>
    <n v="411"/>
    <n v="2018"/>
    <n v="456"/>
    <n v="2020"/>
    <x v="1"/>
    <n v="456"/>
    <n v="456"/>
    <s v="Increasing"/>
    <m/>
    <m/>
    <m/>
    <m/>
    <x v="0"/>
    <n v="0.39536986297548338"/>
    <n v="0.41784401012593642"/>
  </r>
  <r>
    <x v="36"/>
    <s v="SSD"/>
    <n v="10701605.5"/>
    <x v="20"/>
    <n v="0"/>
    <n v="11106031.000000004"/>
    <n v="0"/>
    <m/>
    <n v="0"/>
    <m/>
    <n v="0"/>
    <m/>
    <n v="0"/>
    <m/>
    <n v="0"/>
    <n v="10395329.5"/>
    <n v="338"/>
    <n v="338"/>
    <m/>
    <n v="274"/>
    <m/>
    <n v="383"/>
    <m/>
    <n v="0"/>
    <n v="10913163.5"/>
    <n v="0"/>
    <n v="338"/>
    <n v="0"/>
    <n v="338"/>
    <n v="383"/>
    <x v="0"/>
    <s v=""/>
    <n v="338"/>
    <n v="2018"/>
    <n v="383"/>
    <n v="2020"/>
    <x v="1"/>
    <n v="383"/>
    <n v="383"/>
    <s v="Increasing"/>
    <m/>
    <m/>
    <m/>
    <m/>
    <x v="0"/>
    <n v="0.32514601870003257"/>
    <n v="0.35095231552244222"/>
  </r>
  <r>
    <x v="36"/>
    <s v="SSD"/>
    <n v="10701606.5"/>
    <x v="21"/>
    <n v="0"/>
    <n v="11106031.000000004"/>
    <n v="0"/>
    <m/>
    <n v="0"/>
    <m/>
    <n v="0"/>
    <m/>
    <n v="0"/>
    <m/>
    <n v="0"/>
    <n v="10395329.5"/>
    <n v="73"/>
    <n v="73"/>
    <m/>
    <n v="68"/>
    <m/>
    <n v="73"/>
    <m/>
    <n v="0"/>
    <n v="10913163.5"/>
    <n v="0"/>
    <n v="73"/>
    <n v="0"/>
    <n v="73"/>
    <n v="73"/>
    <x v="0"/>
    <s v=""/>
    <n v="73"/>
    <n v="2018"/>
    <n v="73"/>
    <n v="2020"/>
    <x v="1"/>
    <n v="73"/>
    <n v="73"/>
    <s v="No change"/>
    <m/>
    <m/>
    <m/>
    <m/>
    <x v="0"/>
    <n v="7.0223844275450822E-2"/>
    <n v="6.6891694603494214E-2"/>
  </r>
  <r>
    <x v="36"/>
    <s v="SSD"/>
    <n v="10701607.5"/>
    <x v="22"/>
    <n v="0"/>
    <n v="11106031.000000004"/>
    <n v="0"/>
    <m/>
    <n v="0"/>
    <m/>
    <n v="0"/>
    <m/>
    <n v="0"/>
    <m/>
    <n v="0"/>
    <n v="10395329.5"/>
    <n v="3726"/>
    <n v="3726"/>
    <m/>
    <n v="3714"/>
    <m/>
    <n v="4530"/>
    <m/>
    <n v="0"/>
    <n v="10913163.5"/>
    <n v="0"/>
    <n v="2014"/>
    <n v="0"/>
    <n v="3726"/>
    <n v="4530"/>
    <x v="0"/>
    <s v=""/>
    <n v="3726"/>
    <n v="2018"/>
    <n v="4530"/>
    <n v="2020"/>
    <x v="1"/>
    <n v="4530"/>
    <n v="4530"/>
    <s v="Increasing"/>
    <m/>
    <m/>
    <m/>
    <m/>
    <x v="0"/>
    <n v="3.5843019694565719"/>
    <n v="4.150950363751079"/>
  </r>
  <r>
    <x v="36"/>
    <s v="SSD"/>
    <n v="10701608.5"/>
    <x v="23"/>
    <n v="0"/>
    <n v="11106031.000000004"/>
    <n v="0"/>
    <m/>
    <n v="0"/>
    <m/>
    <n v="0"/>
    <m/>
    <n v="0"/>
    <m/>
    <n v="0"/>
    <n v="10395329.5"/>
    <n v="0"/>
    <n v="2014"/>
    <m/>
    <n v="502"/>
    <m/>
    <n v="596"/>
    <m/>
    <n v="0"/>
    <n v="10913163.5"/>
    <n v="0"/>
    <n v="2014"/>
    <n v="0"/>
    <n v="502"/>
    <n v="596"/>
    <x v="0"/>
    <s v=""/>
    <n v="2014"/>
    <s v="2018 (triag)"/>
    <n v="596"/>
    <n v="2020"/>
    <x v="0"/>
    <n v="684.98199201496743"/>
    <n v="2014"/>
    <s v="Decreasing"/>
    <m/>
    <m/>
    <m/>
    <m/>
    <x v="0"/>
    <n v="1.9374085256268212"/>
    <n v="0.62766583861312764"/>
  </r>
  <r>
    <x v="36"/>
    <s v="SSD"/>
    <n v="10701609.5"/>
    <x v="24"/>
    <n v="0"/>
    <n v="11106031.000000004"/>
    <n v="0"/>
    <m/>
    <n v="0"/>
    <m/>
    <n v="0"/>
    <m/>
    <n v="0"/>
    <m/>
    <n v="0"/>
    <n v="10395329.5"/>
    <n v="0"/>
    <n v="0"/>
    <m/>
    <n v="3212"/>
    <m/>
    <n v="3934"/>
    <m/>
    <n v="0"/>
    <n v="10913163.5"/>
    <n v="0"/>
    <n v="0"/>
    <n v="0"/>
    <n v="3212"/>
    <n v="3934"/>
    <x v="0"/>
    <s v=""/>
    <n v="3212"/>
    <n v="2019"/>
    <n v="3934"/>
    <n v="2020"/>
    <x v="1"/>
    <n v="3934"/>
    <n v="3934"/>
    <s v="Increasing"/>
    <m/>
    <m/>
    <m/>
    <m/>
    <x v="0"/>
    <n v="3.089849148119836"/>
    <n v="3.6048209119198114"/>
  </r>
  <r>
    <x v="36"/>
    <s v="SSD"/>
    <n v="10701610.5"/>
    <x v="25"/>
    <n v="0"/>
    <n v="11106031.000000004"/>
    <n v="0"/>
    <m/>
    <n v="0"/>
    <m/>
    <n v="0"/>
    <m/>
    <n v="0"/>
    <m/>
    <n v="0"/>
    <n v="10395329.5"/>
    <n v="0"/>
    <n v="1712"/>
    <m/>
    <n v="2380"/>
    <m/>
    <n v="3020"/>
    <m/>
    <n v="0"/>
    <n v="10913163.5"/>
    <n v="0"/>
    <n v="1712"/>
    <n v="0"/>
    <n v="2380"/>
    <n v="3020"/>
    <x v="0"/>
    <s v=""/>
    <n v="1712"/>
    <s v="2018 (triag)"/>
    <n v="3020"/>
    <n v="2020"/>
    <x v="1"/>
    <n v="3020"/>
    <n v="3020"/>
    <s v="Increasing"/>
    <m/>
    <m/>
    <m/>
    <m/>
    <x v="0"/>
    <n v="1.6468934438297507"/>
    <n v="2.7673002425007196"/>
  </r>
  <r>
    <x v="36"/>
    <s v="SSD"/>
    <n v="10701611.5"/>
    <x v="26"/>
    <n v="0"/>
    <n v="11106031.000000004"/>
    <n v="0"/>
    <m/>
    <n v="0"/>
    <m/>
    <n v="0"/>
    <m/>
    <n v="0"/>
    <m/>
    <n v="0"/>
    <n v="10395329.5"/>
    <n v="0"/>
    <n v="1112"/>
    <m/>
    <n v="380"/>
    <m/>
    <n v="456"/>
    <m/>
    <n v="0"/>
    <n v="10913163.5"/>
    <n v="0"/>
    <n v="1112"/>
    <n v="0"/>
    <n v="380"/>
    <n v="456"/>
    <x v="0"/>
    <s v=""/>
    <n v="1112"/>
    <s v="2018 (triag)"/>
    <n v="456"/>
    <n v="2020"/>
    <x v="0"/>
    <n v="524.08018181010937"/>
    <n v="1112"/>
    <s v="Decreasing"/>
    <m/>
    <m/>
    <m/>
    <m/>
    <x v="0"/>
    <n v="1.0697111621137165"/>
    <n v="0.48022755437514469"/>
  </r>
  <r>
    <x v="36"/>
    <s v="SSD"/>
    <n v="10701612.5"/>
    <x v="27"/>
    <n v="0"/>
    <n v="11106031.000000004"/>
    <n v="0"/>
    <m/>
    <n v="0"/>
    <m/>
    <n v="0"/>
    <m/>
    <n v="0"/>
    <m/>
    <n v="0"/>
    <n v="10395329.5"/>
    <n v="0"/>
    <n v="600"/>
    <m/>
    <n v="2000"/>
    <m/>
    <n v="2564"/>
    <m/>
    <n v="0"/>
    <n v="10913163.5"/>
    <n v="0"/>
    <n v="600"/>
    <n v="0"/>
    <n v="2000"/>
    <n v="2564"/>
    <x v="0"/>
    <s v=""/>
    <n v="600"/>
    <s v="2018 (triag)"/>
    <n v="2564"/>
    <n v="2020"/>
    <x v="1"/>
    <n v="2564"/>
    <n v="2564"/>
    <s v="Increasing"/>
    <m/>
    <m/>
    <m/>
    <m/>
    <x v="0"/>
    <n v="0.57718228171603414"/>
    <n v="2.349456232374783"/>
  </r>
  <r>
    <x v="36"/>
    <s v="SSD"/>
    <n v="10701613.5"/>
    <x v="28"/>
    <n v="0"/>
    <n v="11106031.000000004"/>
    <n v="0"/>
    <m/>
    <n v="0"/>
    <m/>
    <n v="0"/>
    <m/>
    <n v="0"/>
    <m/>
    <n v="0"/>
    <n v="10395329.5"/>
    <n v="360"/>
    <n v="360"/>
    <m/>
    <n v="98"/>
    <m/>
    <n v="139"/>
    <m/>
    <n v="0"/>
    <n v="10913163.5"/>
    <n v="0"/>
    <n v="210"/>
    <n v="0"/>
    <n v="360"/>
    <n v="139"/>
    <x v="0"/>
    <s v=""/>
    <n v="360"/>
    <n v="2018"/>
    <n v="139"/>
    <n v="2020"/>
    <x v="0"/>
    <n v="159.7525115605377"/>
    <n v="360"/>
    <s v="Decreasing"/>
    <m/>
    <m/>
    <m/>
    <m/>
    <x v="0"/>
    <n v="0.34630936902962045"/>
    <n v="0.1463851536362831"/>
  </r>
  <r>
    <x v="36"/>
    <s v="SSD"/>
    <n v="10701614.5"/>
    <x v="29"/>
    <n v="0"/>
    <n v="11106031.000000004"/>
    <n v="0"/>
    <m/>
    <n v="0"/>
    <m/>
    <n v="0"/>
    <m/>
    <n v="0"/>
    <m/>
    <n v="0"/>
    <n v="10395329.5"/>
    <n v="0"/>
    <n v="150"/>
    <m/>
    <n v="253"/>
    <m/>
    <n v="291"/>
    <m/>
    <n v="0"/>
    <n v="10913163.5"/>
    <n v="0"/>
    <n v="150"/>
    <n v="0"/>
    <n v="253"/>
    <n v="291"/>
    <x v="0"/>
    <s v=""/>
    <n v="150"/>
    <s v="2018 (triag)"/>
    <n v="291"/>
    <n v="2020"/>
    <x v="1"/>
    <n v="291"/>
    <n v="291"/>
    <s v="Increasing"/>
    <m/>
    <m/>
    <m/>
    <m/>
    <x v="0"/>
    <n v="0.14429557042900854"/>
    <n v="0.26665045383036734"/>
  </r>
  <r>
    <x v="36"/>
    <s v="SSD"/>
    <n v="10701615.5"/>
    <x v="30"/>
    <n v="0"/>
    <n v="11106031.000000004"/>
    <n v="0"/>
    <m/>
    <n v="0"/>
    <m/>
    <n v="0"/>
    <m/>
    <n v="0"/>
    <m/>
    <n v="0"/>
    <n v="10395329.5"/>
    <n v="32"/>
    <n v="32"/>
    <m/>
    <n v="20"/>
    <m/>
    <n v="28"/>
    <m/>
    <n v="0"/>
    <n v="10913163.5"/>
    <n v="0"/>
    <n v="20"/>
    <n v="0"/>
    <n v="32"/>
    <n v="28"/>
    <x v="0"/>
    <s v=""/>
    <n v="32"/>
    <n v="2018"/>
    <n v="28"/>
    <n v="2020"/>
    <x v="0"/>
    <n v="32.180362040971623"/>
    <n v="32.180362040971623"/>
    <s v="Increasing"/>
    <m/>
    <m/>
    <m/>
    <m/>
    <x v="0"/>
    <n v="3.0783055024855153E-2"/>
    <n v="2.9487656847596595E-2"/>
  </r>
  <r>
    <x v="36"/>
    <s v="SSD"/>
    <n v="10701616.5"/>
    <x v="31"/>
    <n v="0"/>
    <n v="11106031.000000004"/>
    <n v="0"/>
    <m/>
    <n v="0"/>
    <m/>
    <n v="0"/>
    <m/>
    <n v="0"/>
    <m/>
    <n v="0"/>
    <n v="10395329.5"/>
    <n v="22"/>
    <n v="22"/>
    <m/>
    <n v="96"/>
    <m/>
    <n v="128"/>
    <m/>
    <n v="0"/>
    <n v="10913163.5"/>
    <n v="0"/>
    <n v="12"/>
    <n v="0"/>
    <n v="96"/>
    <n v="128"/>
    <x v="0"/>
    <s v=""/>
    <n v="22"/>
    <n v="2018"/>
    <n v="128"/>
    <n v="2020"/>
    <x v="1"/>
    <n v="128"/>
    <n v="128"/>
    <s v="Increasing"/>
    <m/>
    <m/>
    <m/>
    <m/>
    <x v="0"/>
    <n v="2.1163350329587917E-2"/>
    <n v="0.11728954670201724"/>
  </r>
  <r>
    <x v="36"/>
    <s v="SSD"/>
    <n v="10701617.5"/>
    <x v="32"/>
    <n v="0"/>
    <n v="11106031.000000004"/>
    <n v="0"/>
    <m/>
    <n v="0"/>
    <m/>
    <n v="0"/>
    <m/>
    <n v="0"/>
    <m/>
    <n v="0"/>
    <n v="10395329.5"/>
    <n v="0"/>
    <n v="0"/>
    <m/>
    <n v="0"/>
    <m/>
    <n v="0"/>
    <m/>
    <n v="0"/>
    <n v="10913163.5"/>
    <n v="0"/>
    <n v="0"/>
    <n v="0"/>
    <n v="0"/>
    <n v="0"/>
    <x v="0"/>
    <s v=""/>
    <m/>
    <s v=""/>
    <n v="0"/>
    <s v=""/>
    <x v="1"/>
    <m/>
    <n v="0"/>
    <s v="No change"/>
    <m/>
    <m/>
    <m/>
    <m/>
    <x v="0"/>
    <n v="0"/>
    <n v="0"/>
  </r>
  <r>
    <x v="37"/>
    <s v="STP"/>
    <n v="189924.5"/>
    <x v="19"/>
    <n v="0"/>
    <n v="193756.99999999997"/>
    <n v="0"/>
    <n v="197496.99999999994"/>
    <n v="0"/>
    <n v="201123.50000000012"/>
    <n v="63"/>
    <n v="204632.49999999985"/>
    <n v="0"/>
    <n v="208036.50000000012"/>
    <n v="0"/>
    <n v="211344"/>
    <n v="0"/>
    <n v="60"/>
    <n v="214599.00000000006"/>
    <n v="105"/>
    <n v="218640.99999999997"/>
    <n v="0"/>
    <n v="223107.49999999991"/>
    <n v="0"/>
    <n v="227379.5"/>
    <n v="0"/>
    <n v="60"/>
    <n v="63"/>
    <n v="105"/>
    <n v="0"/>
    <x v="282"/>
    <n v="2015"/>
    <n v="60"/>
    <s v="2018 (triag)"/>
    <n v="105"/>
    <s v="2018 (triag)"/>
    <x v="1"/>
    <n v="105"/>
    <n v="105"/>
    <s v="Increasing"/>
    <m/>
    <m/>
    <m/>
    <m/>
    <x v="317"/>
    <n v="2.8389734272087215"/>
    <n v="4.6178305432107996"/>
  </r>
  <r>
    <x v="37"/>
    <s v="STP"/>
    <n v="189925.5"/>
    <x v="20"/>
    <n v="0"/>
    <n v="193756.99999999997"/>
    <n v="0"/>
    <m/>
    <n v="0"/>
    <m/>
    <n v="0"/>
    <m/>
    <n v="0"/>
    <m/>
    <n v="0"/>
    <n v="211344"/>
    <n v="0"/>
    <n v="40"/>
    <m/>
    <n v="0"/>
    <m/>
    <n v="0"/>
    <m/>
    <n v="0"/>
    <n v="227379.5"/>
    <n v="0"/>
    <n v="40"/>
    <n v="0"/>
    <n v="0"/>
    <n v="0"/>
    <x v="0"/>
    <s v=""/>
    <n v="40"/>
    <s v="2018 (triag)"/>
    <n v="40"/>
    <s v="2018 (triag)"/>
    <x v="1"/>
    <n v="40"/>
    <n v="40"/>
    <s v="No change"/>
    <m/>
    <m/>
    <m/>
    <m/>
    <x v="0"/>
    <n v="1.8926489514724809"/>
    <n v="1.7591735402707809"/>
  </r>
  <r>
    <x v="37"/>
    <s v="STP"/>
    <n v="189926.5"/>
    <x v="21"/>
    <n v="0"/>
    <n v="193756.99999999997"/>
    <n v="0"/>
    <m/>
    <n v="0"/>
    <m/>
    <n v="0"/>
    <m/>
    <n v="0"/>
    <m/>
    <n v="0"/>
    <n v="211344"/>
    <n v="0"/>
    <n v="20"/>
    <m/>
    <n v="0"/>
    <m/>
    <n v="0"/>
    <m/>
    <n v="0"/>
    <n v="227379.5"/>
    <n v="0"/>
    <n v="20"/>
    <n v="0"/>
    <n v="0"/>
    <n v="0"/>
    <x v="0"/>
    <s v=""/>
    <n v="20"/>
    <s v="2018 (triag)"/>
    <n v="20"/>
    <s v="2018 (triag)"/>
    <x v="1"/>
    <n v="20"/>
    <n v="20"/>
    <s v="No change"/>
    <m/>
    <m/>
    <m/>
    <m/>
    <x v="0"/>
    <n v="0.94632447573624046"/>
    <n v="0.87958677013539044"/>
  </r>
  <r>
    <x v="37"/>
    <s v="STP"/>
    <n v="189927.5"/>
    <x v="22"/>
    <n v="0"/>
    <n v="193756.99999999997"/>
    <n v="0"/>
    <m/>
    <n v="0"/>
    <m/>
    <n v="442"/>
    <m/>
    <n v="0"/>
    <m/>
    <n v="0"/>
    <n v="211344"/>
    <n v="406"/>
    <n v="406"/>
    <m/>
    <n v="440"/>
    <m/>
    <n v="0"/>
    <m/>
    <n v="0"/>
    <n v="227379.5"/>
    <n v="0"/>
    <n v="206"/>
    <n v="442"/>
    <n v="440"/>
    <n v="0"/>
    <x v="283"/>
    <n v="2015"/>
    <n v="406"/>
    <n v="2018"/>
    <n v="440"/>
    <n v="2018"/>
    <x v="1"/>
    <n v="440"/>
    <n v="440"/>
    <s v="Increasing"/>
    <m/>
    <m/>
    <m/>
    <m/>
    <x v="318"/>
    <n v="19.21038685744568"/>
    <n v="19.350908942978588"/>
  </r>
  <r>
    <x v="37"/>
    <s v="STP"/>
    <n v="189928.5"/>
    <x v="23"/>
    <n v="0"/>
    <n v="193756.99999999997"/>
    <n v="0"/>
    <m/>
    <n v="0"/>
    <m/>
    <n v="0"/>
    <m/>
    <n v="0"/>
    <m/>
    <n v="0"/>
    <n v="211344"/>
    <n v="0"/>
    <n v="206"/>
    <m/>
    <n v="0"/>
    <m/>
    <n v="0"/>
    <m/>
    <n v="0"/>
    <n v="227379.5"/>
    <n v="0"/>
    <n v="206"/>
    <n v="0"/>
    <n v="0"/>
    <n v="0"/>
    <x v="0"/>
    <s v=""/>
    <n v="206"/>
    <s v="2018 (triag)"/>
    <n v="206"/>
    <s v="2018 (triag)"/>
    <x v="1"/>
    <n v="206"/>
    <n v="206"/>
    <s v="No change"/>
    <m/>
    <m/>
    <m/>
    <m/>
    <x v="0"/>
    <n v="9.747142100083277"/>
    <n v="9.0597437323945211"/>
  </r>
  <r>
    <x v="37"/>
    <s v="STP"/>
    <n v="189929.5"/>
    <x v="24"/>
    <n v="0"/>
    <n v="193756.99999999997"/>
    <n v="0"/>
    <m/>
    <n v="0"/>
    <m/>
    <n v="0"/>
    <m/>
    <n v="0"/>
    <m/>
    <n v="0"/>
    <n v="211344"/>
    <n v="0"/>
    <n v="0"/>
    <m/>
    <n v="0"/>
    <m/>
    <n v="0"/>
    <m/>
    <n v="0"/>
    <n v="227379.5"/>
    <n v="0"/>
    <n v="0"/>
    <n v="0"/>
    <n v="0"/>
    <n v="0"/>
    <x v="0"/>
    <s v=""/>
    <m/>
    <s v=""/>
    <n v="0"/>
    <s v=""/>
    <x v="1"/>
    <m/>
    <n v="0"/>
    <s v="No change"/>
    <m/>
    <m/>
    <m/>
    <m/>
    <x v="0"/>
    <n v="0"/>
    <n v="0"/>
  </r>
  <r>
    <x v="37"/>
    <s v="STP"/>
    <n v="189930.5"/>
    <x v="25"/>
    <n v="0"/>
    <n v="193756.99999999997"/>
    <n v="31"/>
    <m/>
    <n v="0"/>
    <m/>
    <n v="0"/>
    <m/>
    <n v="0"/>
    <m/>
    <n v="0"/>
    <n v="211344"/>
    <n v="0"/>
    <n v="50"/>
    <m/>
    <n v="22"/>
    <m/>
    <n v="0"/>
    <m/>
    <n v="0"/>
    <n v="227379.5"/>
    <n v="0"/>
    <n v="50"/>
    <n v="31"/>
    <n v="22"/>
    <n v="0"/>
    <x v="284"/>
    <n v="2013"/>
    <n v="50"/>
    <s v="2018 (triag)"/>
    <n v="22"/>
    <s v="2018 (triag)"/>
    <x v="0"/>
    <n v="25.284570175049133"/>
    <n v="50"/>
    <s v="Decreasing"/>
    <m/>
    <m/>
    <m/>
    <m/>
    <x v="319"/>
    <n v="2.3658111893406013"/>
    <n v="1.1119986707266545"/>
  </r>
  <r>
    <x v="37"/>
    <s v="STP"/>
    <n v="189931.5"/>
    <x v="26"/>
    <n v="0"/>
    <n v="193756.99999999997"/>
    <n v="31"/>
    <m/>
    <n v="0"/>
    <m/>
    <n v="0"/>
    <m/>
    <n v="0"/>
    <m/>
    <n v="0"/>
    <n v="211344"/>
    <n v="0"/>
    <n v="50"/>
    <m/>
    <n v="0"/>
    <m/>
    <n v="0"/>
    <m/>
    <n v="0"/>
    <n v="227379.5"/>
    <n v="0"/>
    <n v="50"/>
    <n v="31"/>
    <n v="0"/>
    <n v="0"/>
    <x v="284"/>
    <n v="2013"/>
    <n v="50"/>
    <s v="2018 (triag)"/>
    <n v="50"/>
    <s v="2018 (triag)"/>
    <x v="1"/>
    <n v="50"/>
    <n v="50"/>
    <s v="No change"/>
    <m/>
    <m/>
    <m/>
    <m/>
    <x v="319"/>
    <n v="2.3658111893406013"/>
    <n v="2.198966925338476"/>
  </r>
  <r>
    <x v="37"/>
    <s v="STP"/>
    <n v="189932.5"/>
    <x v="27"/>
    <n v="0"/>
    <n v="193756.99999999997"/>
    <n v="0"/>
    <m/>
    <n v="0"/>
    <m/>
    <n v="0"/>
    <m/>
    <n v="0"/>
    <m/>
    <n v="0"/>
    <n v="211344"/>
    <n v="0"/>
    <n v="0"/>
    <m/>
    <n v="0"/>
    <m/>
    <n v="0"/>
    <m/>
    <n v="0"/>
    <n v="227379.5"/>
    <n v="0"/>
    <n v="0"/>
    <n v="0"/>
    <n v="0"/>
    <n v="0"/>
    <x v="0"/>
    <s v=""/>
    <m/>
    <s v=""/>
    <n v="0"/>
    <s v=""/>
    <x v="1"/>
    <m/>
    <n v="0"/>
    <s v="No change"/>
    <m/>
    <m/>
    <m/>
    <m/>
    <x v="0"/>
    <n v="0"/>
    <n v="0"/>
  </r>
  <r>
    <x v="37"/>
    <s v="STP"/>
    <n v="189933.5"/>
    <x v="28"/>
    <n v="0"/>
    <n v="193756.99999999997"/>
    <n v="0"/>
    <m/>
    <n v="0"/>
    <m/>
    <n v="0"/>
    <m/>
    <n v="0"/>
    <m/>
    <n v="0"/>
    <n v="211344"/>
    <n v="0"/>
    <n v="0"/>
    <m/>
    <n v="37"/>
    <m/>
    <n v="0"/>
    <m/>
    <n v="0"/>
    <n v="227379.5"/>
    <n v="0"/>
    <n v="0"/>
    <n v="0"/>
    <n v="37"/>
    <n v="0"/>
    <x v="0"/>
    <s v=""/>
    <n v="37"/>
    <n v="2019"/>
    <n v="37"/>
    <n v="2019"/>
    <x v="1"/>
    <n v="37"/>
    <n v="37"/>
    <s v="No change"/>
    <m/>
    <m/>
    <m/>
    <m/>
    <x v="0"/>
    <n v="1.7507002801120448"/>
    <n v="1.6272355247504722"/>
  </r>
  <r>
    <x v="37"/>
    <s v="STP"/>
    <n v="189934.5"/>
    <x v="29"/>
    <n v="0"/>
    <n v="193756.99999999997"/>
    <n v="0"/>
    <m/>
    <n v="0"/>
    <m/>
    <n v="0"/>
    <m/>
    <n v="0"/>
    <m/>
    <n v="0"/>
    <n v="211344"/>
    <n v="0"/>
    <n v="0"/>
    <m/>
    <n v="0"/>
    <m/>
    <n v="0"/>
    <m/>
    <n v="0"/>
    <n v="227379.5"/>
    <n v="0"/>
    <n v="0"/>
    <n v="0"/>
    <n v="0"/>
    <n v="0"/>
    <x v="0"/>
    <s v=""/>
    <m/>
    <s v=""/>
    <n v="0"/>
    <s v=""/>
    <x v="1"/>
    <m/>
    <n v="0"/>
    <s v="No change"/>
    <m/>
    <m/>
    <m/>
    <m/>
    <x v="0"/>
    <n v="0"/>
    <n v="0"/>
  </r>
  <r>
    <x v="37"/>
    <s v="STP"/>
    <n v="189935.5"/>
    <x v="30"/>
    <n v="0"/>
    <n v="193756.99999999997"/>
    <n v="0"/>
    <m/>
    <n v="0"/>
    <m/>
    <n v="0"/>
    <m/>
    <n v="0"/>
    <m/>
    <n v="0"/>
    <n v="211344"/>
    <n v="0"/>
    <n v="0"/>
    <m/>
    <n v="6"/>
    <m/>
    <n v="0"/>
    <m/>
    <n v="0"/>
    <n v="227379.5"/>
    <n v="0"/>
    <n v="0"/>
    <n v="0"/>
    <n v="6"/>
    <n v="0"/>
    <x v="0"/>
    <s v=""/>
    <n v="6"/>
    <n v="2019"/>
    <n v="6"/>
    <n v="2019"/>
    <x v="1"/>
    <n v="6"/>
    <n v="6"/>
    <s v="No change"/>
    <m/>
    <m/>
    <m/>
    <m/>
    <x v="0"/>
    <n v="0.28389734272087214"/>
    <n v="0.26387603104061713"/>
  </r>
  <r>
    <x v="37"/>
    <s v="STP"/>
    <n v="189936.5"/>
    <x v="31"/>
    <n v="0"/>
    <n v="193756.99999999997"/>
    <n v="0"/>
    <m/>
    <n v="0"/>
    <m/>
    <n v="0"/>
    <m/>
    <n v="0"/>
    <m/>
    <n v="0"/>
    <n v="211344"/>
    <n v="0"/>
    <n v="0"/>
    <m/>
    <n v="0"/>
    <m/>
    <n v="0"/>
    <m/>
    <n v="0"/>
    <n v="227379.5"/>
    <n v="0"/>
    <n v="0"/>
    <n v="0"/>
    <n v="0"/>
    <n v="0"/>
    <x v="0"/>
    <s v=""/>
    <m/>
    <s v=""/>
    <n v="0"/>
    <s v=""/>
    <x v="1"/>
    <m/>
    <n v="0"/>
    <s v="No change"/>
    <m/>
    <m/>
    <m/>
    <m/>
    <x v="0"/>
    <n v="0"/>
    <n v="0"/>
  </r>
  <r>
    <x v="37"/>
    <s v="STP"/>
    <n v="189937.5"/>
    <x v="32"/>
    <n v="0"/>
    <n v="193756.99999999997"/>
    <n v="0"/>
    <m/>
    <n v="0"/>
    <m/>
    <n v="0"/>
    <m/>
    <n v="0"/>
    <m/>
    <n v="0"/>
    <n v="211344"/>
    <n v="0"/>
    <n v="0"/>
    <m/>
    <n v="0"/>
    <m/>
    <n v="0"/>
    <m/>
    <n v="0"/>
    <n v="227379.5"/>
    <n v="0"/>
    <n v="0"/>
    <n v="0"/>
    <n v="0"/>
    <n v="0"/>
    <x v="0"/>
    <s v=""/>
    <m/>
    <s v=""/>
    <n v="0"/>
    <s v=""/>
    <x v="1"/>
    <m/>
    <n v="0"/>
    <s v="No change"/>
    <m/>
    <m/>
    <m/>
    <m/>
    <x v="0"/>
    <n v="0"/>
    <n v="0"/>
  </r>
  <r>
    <x v="38"/>
    <s v="SWZ"/>
    <n v="1111443.9999999998"/>
    <x v="19"/>
    <n v="0"/>
    <n v="1118318.9999999998"/>
    <n v="0"/>
    <n v="1125865.0000000005"/>
    <n v="0"/>
    <n v="1133935.9999999998"/>
    <n v="0"/>
    <n v="1142524"/>
    <n v="107"/>
    <n v="1151390.5000000002"/>
    <n v="208"/>
    <n v="1160427.5"/>
    <n v="278"/>
    <n v="278"/>
    <n v="1169612.9999999998"/>
    <n v="0"/>
    <n v="1180654.9999999998"/>
    <n v="165"/>
    <n v="1192271.0000000002"/>
    <n v="0"/>
    <n v="1201670.4999999995"/>
    <n v="687"/>
    <n v="278"/>
    <n v="0"/>
    <n v="278"/>
    <n v="687"/>
    <x v="0"/>
    <s v=""/>
    <n v="278"/>
    <n v="2018"/>
    <n v="687"/>
    <n v="2022"/>
    <x v="1"/>
    <n v="687"/>
    <n v="687"/>
    <s v="Increasing"/>
    <m/>
    <m/>
    <m/>
    <m/>
    <x v="0"/>
    <n v="2.395668837562019"/>
    <n v="5.7170414019483733"/>
  </r>
  <r>
    <x v="38"/>
    <s v="SWZ"/>
    <n v="1111445"/>
    <x v="20"/>
    <n v="0"/>
    <n v="1118318.9999999998"/>
    <n v="0"/>
    <m/>
    <n v="0"/>
    <m/>
    <n v="0"/>
    <m/>
    <n v="0"/>
    <m/>
    <n v="0"/>
    <n v="1160427.5"/>
    <n v="211"/>
    <n v="211"/>
    <m/>
    <n v="0"/>
    <m/>
    <n v="136"/>
    <m/>
    <n v="0"/>
    <n v="1201670.4999999995"/>
    <n v="623"/>
    <n v="211"/>
    <n v="0"/>
    <n v="211"/>
    <n v="623"/>
    <x v="0"/>
    <s v=""/>
    <n v="211"/>
    <n v="2018"/>
    <n v="623"/>
    <n v="2022"/>
    <x v="1"/>
    <n v="623"/>
    <n v="623"/>
    <s v="Increasing"/>
    <m/>
    <m/>
    <m/>
    <m/>
    <x v="0"/>
    <n v="1.8182954126819642"/>
    <n v="5.1844494809517272"/>
  </r>
  <r>
    <x v="38"/>
    <s v="SWZ"/>
    <n v="1111446"/>
    <x v="21"/>
    <n v="0"/>
    <n v="1118318.9999999998"/>
    <n v="0"/>
    <m/>
    <n v="0"/>
    <m/>
    <n v="0"/>
    <m/>
    <n v="0"/>
    <m/>
    <n v="0"/>
    <n v="1160427.5"/>
    <n v="67"/>
    <n v="67"/>
    <m/>
    <n v="0"/>
    <m/>
    <n v="29"/>
    <m/>
    <n v="0"/>
    <n v="1201670.4999999995"/>
    <m/>
    <n v="67"/>
    <n v="0"/>
    <n v="67"/>
    <n v="29"/>
    <x v="0"/>
    <s v=""/>
    <n v="67"/>
    <n v="2018"/>
    <n v="29"/>
    <n v="2020"/>
    <x v="0"/>
    <n v="41.564529501174519"/>
    <n v="67"/>
    <s v="Decreasing"/>
    <m/>
    <m/>
    <m/>
    <m/>
    <x v="0"/>
    <n v="0.57737342488005494"/>
    <n v="0.3458895720680048"/>
  </r>
  <r>
    <x v="38"/>
    <s v="SWZ"/>
    <n v="1111447"/>
    <x v="22"/>
    <n v="0"/>
    <n v="1118318.9999999998"/>
    <n v="3735"/>
    <m/>
    <n v="3847"/>
    <m/>
    <n v="3976"/>
    <m/>
    <n v="4200"/>
    <m/>
    <n v="4431"/>
    <n v="1160427.5"/>
    <n v="4706"/>
    <n v="4706"/>
    <m/>
    <n v="0"/>
    <m/>
    <n v="2917"/>
    <m/>
    <n v="0"/>
    <n v="1201670.4999999995"/>
    <n v="5242"/>
    <n v="2204"/>
    <n v="3976"/>
    <n v="4706"/>
    <n v="5242"/>
    <x v="285"/>
    <n v="2013"/>
    <n v="4706"/>
    <n v="2018"/>
    <n v="5242"/>
    <n v="2022"/>
    <x v="1"/>
    <n v="5242"/>
    <n v="5242"/>
    <s v="Increasing"/>
    <m/>
    <m/>
    <m/>
    <m/>
    <x v="320"/>
    <n v="40.554019962470726"/>
    <n v="43.622607029131544"/>
  </r>
  <r>
    <x v="38"/>
    <s v="SWZ"/>
    <n v="1111448"/>
    <x v="23"/>
    <n v="0"/>
    <n v="1118318.9999999998"/>
    <n v="2926"/>
    <m/>
    <n v="3002"/>
    <m/>
    <n v="3081"/>
    <m/>
    <n v="3257"/>
    <m/>
    <n v="3438"/>
    <n v="1160427.5"/>
    <n v="3677"/>
    <n v="3677"/>
    <m/>
    <n v="0"/>
    <m/>
    <n v="2523"/>
    <m/>
    <n v="0"/>
    <n v="1201670.4999999995"/>
    <n v="3144"/>
    <n v="1749"/>
    <n v="3081"/>
    <n v="3677"/>
    <n v="3144"/>
    <x v="286"/>
    <n v="2013"/>
    <n v="3677"/>
    <n v="2018"/>
    <n v="3144"/>
    <n v="2022"/>
    <x v="0"/>
    <n v="4506.1683017825071"/>
    <n v="4506.1683017825071"/>
    <s v="Increasing"/>
    <m/>
    <m/>
    <m/>
    <m/>
    <x v="321"/>
    <n v="31.686598257969585"/>
    <n v="37.499200502820941"/>
  </r>
  <r>
    <x v="38"/>
    <s v="SWZ"/>
    <n v="1111449"/>
    <x v="24"/>
    <n v="0"/>
    <n v="1118318.9999999998"/>
    <n v="809"/>
    <m/>
    <n v="845"/>
    <m/>
    <n v="895"/>
    <m/>
    <n v="943"/>
    <m/>
    <n v="993"/>
    <n v="1160427.5"/>
    <n v="1029"/>
    <n v="1029"/>
    <m/>
    <n v="0"/>
    <m/>
    <n v="394"/>
    <m/>
    <n v="0"/>
    <n v="1201670.4999999995"/>
    <n v="680"/>
    <n v="455"/>
    <n v="895"/>
    <n v="1029"/>
    <n v="680"/>
    <x v="287"/>
    <n v="2013"/>
    <n v="1029"/>
    <n v="2018"/>
    <n v="680"/>
    <n v="2022"/>
    <x v="0"/>
    <n v="974.61655382064396"/>
    <n v="1029"/>
    <s v="Decreasing"/>
    <m/>
    <m/>
    <m/>
    <m/>
    <x v="322"/>
    <n v="8.8674217045011421"/>
    <n v="8.1105141036635615"/>
  </r>
  <r>
    <x v="38"/>
    <s v="SWZ"/>
    <n v="1111450"/>
    <x v="25"/>
    <n v="0"/>
    <n v="1118318.9999999998"/>
    <n v="0"/>
    <m/>
    <n v="0"/>
    <m/>
    <n v="0"/>
    <m/>
    <n v="0"/>
    <m/>
    <n v="0"/>
    <n v="1160427.5"/>
    <n v="0"/>
    <n v="14"/>
    <m/>
    <n v="0"/>
    <m/>
    <n v="0"/>
    <m/>
    <n v="0"/>
    <n v="1201670.4999999995"/>
    <n v="0"/>
    <n v="14"/>
    <n v="0"/>
    <n v="0"/>
    <n v="0"/>
    <x v="0"/>
    <s v=""/>
    <n v="14"/>
    <s v="2018 (triag)"/>
    <n v="14"/>
    <s v="2018 (triag)"/>
    <x v="1"/>
    <n v="14"/>
    <n v="14"/>
    <s v="No change"/>
    <m/>
    <m/>
    <m/>
    <m/>
    <x v="0"/>
    <n v="0.12064519325851895"/>
    <n v="0.11650448271801633"/>
  </r>
  <r>
    <x v="38"/>
    <s v="SWZ"/>
    <n v="1111451"/>
    <x v="26"/>
    <n v="0"/>
    <n v="1118318.9999999998"/>
    <n v="0"/>
    <m/>
    <n v="0"/>
    <m/>
    <n v="0"/>
    <m/>
    <n v="0"/>
    <m/>
    <n v="0"/>
    <n v="1160427.5"/>
    <n v="0"/>
    <n v="14"/>
    <m/>
    <n v="0"/>
    <m/>
    <n v="0"/>
    <m/>
    <n v="0"/>
    <n v="1201670.4999999995"/>
    <n v="0"/>
    <n v="14"/>
    <n v="0"/>
    <n v="0"/>
    <n v="0"/>
    <x v="0"/>
    <s v=""/>
    <n v="14"/>
    <s v="2018 (triag)"/>
    <n v="14"/>
    <s v="2018 (triag)"/>
    <x v="1"/>
    <n v="14"/>
    <n v="14"/>
    <s v="No change"/>
    <m/>
    <m/>
    <m/>
    <m/>
    <x v="0"/>
    <n v="0.12064519325851895"/>
    <n v="0.11650448271801633"/>
  </r>
  <r>
    <x v="38"/>
    <s v="SWZ"/>
    <n v="1111452"/>
    <x v="27"/>
    <n v="0"/>
    <n v="1118318.9999999998"/>
    <n v="0"/>
    <m/>
    <n v="0"/>
    <m/>
    <n v="0"/>
    <m/>
    <n v="0"/>
    <m/>
    <n v="0"/>
    <n v="1160427.5"/>
    <n v="0"/>
    <n v="0"/>
    <m/>
    <n v="0"/>
    <m/>
    <n v="0"/>
    <m/>
    <n v="0"/>
    <n v="1201670.4999999995"/>
    <n v="0"/>
    <n v="0"/>
    <n v="0"/>
    <n v="0"/>
    <n v="0"/>
    <x v="0"/>
    <s v=""/>
    <m/>
    <s v=""/>
    <n v="0"/>
    <s v=""/>
    <x v="1"/>
    <m/>
    <n v="0"/>
    <s v="No change"/>
    <m/>
    <m/>
    <m/>
    <m/>
    <x v="0"/>
    <n v="0"/>
    <n v="0"/>
  </r>
  <r>
    <x v="38"/>
    <s v="SWZ"/>
    <n v="1111453"/>
    <x v="28"/>
    <n v="0"/>
    <n v="1118318.9999999998"/>
    <n v="0"/>
    <m/>
    <n v="0"/>
    <m/>
    <n v="0"/>
    <m/>
    <n v="0"/>
    <m/>
    <n v="0"/>
    <n v="1160427.5"/>
    <n v="281"/>
    <n v="281"/>
    <m/>
    <n v="0"/>
    <m/>
    <n v="48"/>
    <m/>
    <n v="0"/>
    <n v="1201670.4999999995"/>
    <n v="42"/>
    <n v="110"/>
    <n v="0"/>
    <n v="281"/>
    <n v="48"/>
    <x v="0"/>
    <s v=""/>
    <n v="281"/>
    <n v="2018"/>
    <n v="42"/>
    <n v="2022"/>
    <x v="0"/>
    <n v="60.196904794804482"/>
    <n v="281"/>
    <s v="Decreasing"/>
    <m/>
    <m/>
    <m/>
    <m/>
    <x v="0"/>
    <n v="2.4215213789745591"/>
    <n v="0.5009435181674553"/>
  </r>
  <r>
    <x v="38"/>
    <s v="SWZ"/>
    <n v="1111454"/>
    <x v="29"/>
    <n v="0"/>
    <n v="1118318.9999999998"/>
    <n v="0"/>
    <m/>
    <n v="0"/>
    <m/>
    <n v="0"/>
    <m/>
    <n v="0"/>
    <m/>
    <n v="0"/>
    <n v="1160427.5"/>
    <n v="0"/>
    <n v="171"/>
    <m/>
    <n v="0"/>
    <m/>
    <n v="80"/>
    <m/>
    <n v="0"/>
    <n v="1201670.4999999995"/>
    <n v="0"/>
    <n v="171"/>
    <n v="0"/>
    <n v="0"/>
    <n v="80"/>
    <x v="0"/>
    <s v=""/>
    <n v="171"/>
    <s v="2018 (triag)"/>
    <n v="80"/>
    <n v="2020"/>
    <x v="0"/>
    <n v="114.66077103772281"/>
    <n v="171"/>
    <s v="Decreasing"/>
    <m/>
    <m/>
    <m/>
    <m/>
    <x v="0"/>
    <n v="1.4735948605147673"/>
    <n v="0.95417812984277195"/>
  </r>
  <r>
    <x v="38"/>
    <s v="SWZ"/>
    <n v="1111455"/>
    <x v="30"/>
    <n v="0"/>
    <n v="1118318.9999999998"/>
    <n v="0"/>
    <m/>
    <n v="0"/>
    <m/>
    <n v="0"/>
    <m/>
    <n v="0"/>
    <m/>
    <n v="0"/>
    <n v="1160427.5"/>
    <n v="74"/>
    <n v="74"/>
    <m/>
    <n v="14"/>
    <m/>
    <n v="22"/>
    <m/>
    <n v="0"/>
    <n v="1201670.4999999995"/>
    <n v="35"/>
    <n v="28"/>
    <n v="0"/>
    <n v="74"/>
    <n v="35"/>
    <x v="0"/>
    <s v=""/>
    <n v="74"/>
    <n v="2018"/>
    <n v="35"/>
    <n v="2022"/>
    <x v="0"/>
    <n v="50.164087329003735"/>
    <n v="74"/>
    <s v="Decreasing"/>
    <m/>
    <m/>
    <m/>
    <m/>
    <x v="0"/>
    <n v="0.63769602150931448"/>
    <n v="0.41745293180621268"/>
  </r>
  <r>
    <x v="38"/>
    <s v="SWZ"/>
    <n v="1111456"/>
    <x v="31"/>
    <n v="0"/>
    <n v="1118318.9999999998"/>
    <n v="0"/>
    <m/>
    <n v="0"/>
    <m/>
    <n v="0"/>
    <m/>
    <n v="0"/>
    <m/>
    <n v="0"/>
    <n v="1160427.5"/>
    <n v="0"/>
    <n v="46"/>
    <m/>
    <n v="19"/>
    <m/>
    <n v="28"/>
    <m/>
    <n v="0"/>
    <n v="1201670.4999999995"/>
    <n v="0"/>
    <n v="46"/>
    <n v="0"/>
    <n v="19"/>
    <n v="28"/>
    <x v="0"/>
    <s v=""/>
    <n v="46"/>
    <s v="2018 (triag)"/>
    <n v="28"/>
    <n v="2020"/>
    <x v="0"/>
    <n v="40.131269863202988"/>
    <n v="46"/>
    <s v="Decreasing"/>
    <m/>
    <m/>
    <m/>
    <m/>
    <x v="0"/>
    <n v="0.39640563499227655"/>
    <n v="0.33396234544497017"/>
  </r>
  <r>
    <x v="38"/>
    <s v="SWZ"/>
    <n v="1111457"/>
    <x v="32"/>
    <n v="0"/>
    <n v="1118318.9999999998"/>
    <n v="0"/>
    <m/>
    <n v="0"/>
    <m/>
    <n v="0"/>
    <m/>
    <n v="0"/>
    <m/>
    <n v="0"/>
    <n v="1160427.5"/>
    <n v="0"/>
    <n v="0"/>
    <m/>
    <n v="0"/>
    <m/>
    <n v="12"/>
    <m/>
    <n v="0"/>
    <n v="1201670.4999999995"/>
    <n v="0"/>
    <n v="0"/>
    <n v="0"/>
    <n v="0"/>
    <n v="12"/>
    <x v="0"/>
    <s v=""/>
    <m/>
    <s v=""/>
    <n v="12"/>
    <n v="2020"/>
    <x v="1"/>
    <n v="12"/>
    <n v="12"/>
    <s v="Increasing"/>
    <m/>
    <m/>
    <m/>
    <m/>
    <x v="0"/>
    <n v="0"/>
    <n v="9.9860985186871143E-2"/>
  </r>
  <r>
    <x v="39"/>
    <s v="SYC"/>
    <n v="95308.999999999985"/>
    <x v="19"/>
    <n v="93"/>
    <n v="96714"/>
    <n v="0"/>
    <n v="98000.999999999927"/>
    <n v="0"/>
    <n v="99239.999999999971"/>
    <n v="0"/>
    <n v="100508.49999999997"/>
    <n v="203"/>
    <n v="101810.50000000001"/>
    <n v="0"/>
    <n v="103101.00000000003"/>
    <n v="240"/>
    <n v="240"/>
    <n v="104372.49999999997"/>
    <n v="220"/>
    <n v="105529.99999999997"/>
    <n v="0"/>
    <n v="106470.49999999996"/>
    <n v="0"/>
    <n v="107118.5"/>
    <n v="828"/>
    <n v="240"/>
    <n v="93"/>
    <n v="240"/>
    <n v="828"/>
    <x v="288"/>
    <n v="2012"/>
    <n v="240"/>
    <n v="2018"/>
    <n v="828"/>
    <n v="2022"/>
    <x v="1"/>
    <n v="828"/>
    <n v="828"/>
    <s v="Increasing"/>
    <m/>
    <m/>
    <m/>
    <m/>
    <x v="323"/>
    <n v="23.278144731864863"/>
    <n v="77.297572314772893"/>
  </r>
  <r>
    <x v="39"/>
    <s v="SYC"/>
    <n v="95310"/>
    <x v="20"/>
    <n v="0"/>
    <n v="96714"/>
    <n v="0"/>
    <m/>
    <n v="0"/>
    <m/>
    <n v="0"/>
    <m/>
    <n v="82"/>
    <m/>
    <n v="0"/>
    <n v="103101.00000000003"/>
    <n v="125"/>
    <n v="125"/>
    <m/>
    <n v="0"/>
    <m/>
    <n v="0"/>
    <m/>
    <n v="0"/>
    <n v="107118.5"/>
    <n v="125"/>
    <n v="125"/>
    <n v="0"/>
    <n v="125"/>
    <n v="125"/>
    <x v="0"/>
    <s v=""/>
    <n v="125"/>
    <n v="2018"/>
    <n v="125"/>
    <n v="2022"/>
    <x v="1"/>
    <n v="125"/>
    <n v="125"/>
    <s v="No change"/>
    <m/>
    <m/>
    <m/>
    <m/>
    <x v="0"/>
    <n v="12.124033714512949"/>
    <n v="11.669319491964506"/>
  </r>
  <r>
    <x v="39"/>
    <s v="SYC"/>
    <n v="95311"/>
    <x v="21"/>
    <n v="0"/>
    <n v="96714"/>
    <n v="0"/>
    <m/>
    <n v="0"/>
    <m/>
    <n v="0"/>
    <m/>
    <n v="121"/>
    <m/>
    <n v="0"/>
    <n v="103101.00000000003"/>
    <n v="115"/>
    <n v="115"/>
    <m/>
    <n v="0"/>
    <m/>
    <n v="0"/>
    <m/>
    <n v="0"/>
    <n v="107118.5"/>
    <n v="346"/>
    <n v="115"/>
    <n v="0"/>
    <n v="121"/>
    <n v="346"/>
    <x v="0"/>
    <s v=""/>
    <n v="115"/>
    <n v="2018"/>
    <n v="346"/>
    <n v="2022"/>
    <x v="1"/>
    <n v="346"/>
    <n v="346"/>
    <s v="Increasing"/>
    <m/>
    <m/>
    <m/>
    <m/>
    <x v="0"/>
    <n v="11.154111017351914"/>
    <n v="32.300676353757751"/>
  </r>
  <r>
    <x v="39"/>
    <s v="SYC"/>
    <n v="95312"/>
    <x v="22"/>
    <n v="419"/>
    <n v="96714"/>
    <n v="0"/>
    <m/>
    <n v="0"/>
    <m/>
    <n v="0"/>
    <m/>
    <n v="684"/>
    <m/>
    <n v="0"/>
    <n v="103101.00000000003"/>
    <n v="951"/>
    <n v="1272"/>
    <m/>
    <n v="0"/>
    <m/>
    <n v="0"/>
    <m/>
    <n v="0"/>
    <n v="107118.5"/>
    <n v="1277"/>
    <n v="1272"/>
    <n v="419"/>
    <n v="951"/>
    <n v="1277"/>
    <x v="129"/>
    <n v="2012"/>
    <n v="1272"/>
    <s v="2018 (triag)"/>
    <n v="1277"/>
    <n v="2022"/>
    <x v="1"/>
    <n v="1277"/>
    <n v="1277"/>
    <s v="Increasing"/>
    <m/>
    <m/>
    <m/>
    <m/>
    <x v="324"/>
    <n v="123.37416707888377"/>
    <n v="119.21376792990939"/>
  </r>
  <r>
    <x v="39"/>
    <s v="SYC"/>
    <n v="95313"/>
    <x v="23"/>
    <n v="0"/>
    <n v="96714"/>
    <n v="0"/>
    <m/>
    <n v="0"/>
    <m/>
    <n v="0"/>
    <m/>
    <n v="0"/>
    <m/>
    <n v="0"/>
    <n v="103101.00000000003"/>
    <n v="951"/>
    <n v="1272"/>
    <m/>
    <n v="0"/>
    <m/>
    <n v="0"/>
    <m/>
    <n v="0"/>
    <n v="107118.5"/>
    <n v="623"/>
    <n v="1272"/>
    <n v="0"/>
    <n v="951"/>
    <n v="623"/>
    <x v="0"/>
    <s v=""/>
    <n v="1272"/>
    <s v="2018 (triag)"/>
    <n v="623"/>
    <n v="2022"/>
    <x v="0"/>
    <n v="716.01305541161867"/>
    <n v="1272"/>
    <s v="Decreasing"/>
    <m/>
    <m/>
    <m/>
    <m/>
    <x v="0"/>
    <n v="123.37416707888377"/>
    <n v="66.843080832126915"/>
  </r>
  <r>
    <x v="39"/>
    <s v="SYC"/>
    <n v="95314"/>
    <x v="24"/>
    <n v="0"/>
    <n v="96714"/>
    <n v="0"/>
    <m/>
    <n v="0"/>
    <m/>
    <n v="0"/>
    <m/>
    <n v="0"/>
    <m/>
    <n v="0"/>
    <n v="103101.00000000003"/>
    <n v="0"/>
    <n v="0"/>
    <m/>
    <n v="0"/>
    <m/>
    <n v="0"/>
    <m/>
    <n v="0"/>
    <n v="107118.5"/>
    <n v="0"/>
    <n v="0"/>
    <n v="0"/>
    <n v="0"/>
    <n v="0"/>
    <x v="0"/>
    <s v=""/>
    <m/>
    <s v=""/>
    <n v="0"/>
    <s v=""/>
    <x v="1"/>
    <m/>
    <n v="0"/>
    <s v="No change"/>
    <m/>
    <m/>
    <m/>
    <m/>
    <x v="0"/>
    <n v="0"/>
    <n v="0"/>
  </r>
  <r>
    <x v="39"/>
    <s v="SYC"/>
    <n v="95315"/>
    <x v="25"/>
    <n v="0"/>
    <n v="96714"/>
    <n v="0"/>
    <m/>
    <n v="0"/>
    <m/>
    <n v="0"/>
    <m/>
    <n v="89"/>
    <m/>
    <n v="0"/>
    <n v="103101.00000000003"/>
    <n v="158"/>
    <n v="158"/>
    <m/>
    <n v="0"/>
    <m/>
    <n v="0"/>
    <m/>
    <n v="0"/>
    <n v="107118.5"/>
    <n v="156"/>
    <n v="5"/>
    <n v="0"/>
    <n v="158"/>
    <n v="156"/>
    <x v="0"/>
    <s v=""/>
    <n v="158"/>
    <n v="2018"/>
    <n v="156"/>
    <n v="2022"/>
    <x v="0"/>
    <n v="179.29058851398477"/>
    <n v="179.29058851398477"/>
    <s v="Increasing"/>
    <m/>
    <m/>
    <m/>
    <m/>
    <x v="0"/>
    <n v="15.324778615144369"/>
    <n v="16.737593274176241"/>
  </r>
  <r>
    <x v="39"/>
    <s v="SYC"/>
    <n v="95316"/>
    <x v="26"/>
    <n v="0"/>
    <n v="96714"/>
    <n v="0"/>
    <m/>
    <n v="0"/>
    <m/>
    <n v="0"/>
    <m/>
    <n v="0"/>
    <m/>
    <n v="0"/>
    <n v="103101.00000000003"/>
    <n v="158"/>
    <n v="158"/>
    <m/>
    <n v="0"/>
    <m/>
    <n v="0"/>
    <m/>
    <n v="0"/>
    <n v="107118.5"/>
    <n v="156"/>
    <n v="5"/>
    <n v="0"/>
    <n v="158"/>
    <n v="156"/>
    <x v="0"/>
    <s v=""/>
    <n v="158"/>
    <n v="2018"/>
    <n v="156"/>
    <n v="2022"/>
    <x v="0"/>
    <n v="179.29058851398477"/>
    <n v="179.29058851398477"/>
    <s v="Increasing"/>
    <m/>
    <m/>
    <m/>
    <m/>
    <x v="0"/>
    <n v="15.324778615144369"/>
    <n v="16.737593274176241"/>
  </r>
  <r>
    <x v="39"/>
    <s v="SYC"/>
    <n v="95317"/>
    <x v="27"/>
    <n v="0"/>
    <n v="96714"/>
    <n v="0"/>
    <m/>
    <n v="0"/>
    <m/>
    <n v="0"/>
    <m/>
    <n v="0"/>
    <m/>
    <n v="0"/>
    <n v="103101.00000000003"/>
    <n v="0"/>
    <n v="0"/>
    <m/>
    <n v="0"/>
    <m/>
    <n v="0"/>
    <m/>
    <n v="0"/>
    <n v="107118.5"/>
    <n v="0"/>
    <n v="0"/>
    <n v="0"/>
    <n v="0"/>
    <n v="0"/>
    <x v="0"/>
    <s v=""/>
    <m/>
    <s v=""/>
    <n v="0"/>
    <s v=""/>
    <x v="1"/>
    <m/>
    <n v="0"/>
    <s v="No change"/>
    <m/>
    <m/>
    <m/>
    <m/>
    <x v="0"/>
    <n v="0"/>
    <n v="0"/>
  </r>
  <r>
    <x v="39"/>
    <s v="SYC"/>
    <n v="95318"/>
    <x v="28"/>
    <n v="4"/>
    <n v="96714"/>
    <n v="0"/>
    <m/>
    <n v="0"/>
    <m/>
    <n v="0"/>
    <m/>
    <n v="45"/>
    <m/>
    <n v="0"/>
    <n v="103101.00000000003"/>
    <n v="124"/>
    <n v="124"/>
    <m/>
    <n v="0"/>
    <m/>
    <n v="0"/>
    <m/>
    <n v="0"/>
    <n v="107118.5"/>
    <n v="61"/>
    <n v="61"/>
    <n v="4"/>
    <n v="124"/>
    <n v="61"/>
    <x v="40"/>
    <n v="2012"/>
    <n v="124"/>
    <n v="2018"/>
    <n v="61"/>
    <n v="2022"/>
    <x v="0"/>
    <n v="70.107217303545326"/>
    <n v="124"/>
    <s v="Decreasing"/>
    <m/>
    <m/>
    <m/>
    <m/>
    <x v="325"/>
    <n v="12.027041444796847"/>
    <n v="6.5448281392612229"/>
  </r>
  <r>
    <x v="39"/>
    <s v="SYC"/>
    <n v="95319"/>
    <x v="29"/>
    <n v="0"/>
    <n v="96714"/>
    <n v="0"/>
    <m/>
    <n v="0"/>
    <m/>
    <n v="0"/>
    <m/>
    <n v="64"/>
    <m/>
    <n v="0"/>
    <n v="103101.00000000003"/>
    <n v="0"/>
    <n v="63"/>
    <m/>
    <n v="0"/>
    <m/>
    <n v="0"/>
    <m/>
    <n v="0"/>
    <n v="107118.5"/>
    <n v="0"/>
    <n v="63"/>
    <n v="0"/>
    <n v="64"/>
    <n v="0"/>
    <x v="0"/>
    <s v=""/>
    <n v="63"/>
    <s v="2018 (triag)"/>
    <n v="63"/>
    <s v="2018 (triag)"/>
    <x v="1"/>
    <n v="63"/>
    <n v="63"/>
    <s v="No change"/>
    <m/>
    <m/>
    <m/>
    <m/>
    <x v="0"/>
    <n v="6.1105129921145265"/>
    <n v="5.8813370239501115"/>
  </r>
  <r>
    <x v="39"/>
    <s v="SYC"/>
    <n v="95320"/>
    <x v="30"/>
    <n v="14"/>
    <n v="96714"/>
    <n v="0"/>
    <m/>
    <n v="0"/>
    <m/>
    <n v="0"/>
    <m/>
    <n v="34"/>
    <m/>
    <n v="0"/>
    <n v="103101.00000000003"/>
    <n v="0"/>
    <n v="38"/>
    <m/>
    <n v="42"/>
    <m/>
    <n v="0"/>
    <m/>
    <n v="0"/>
    <n v="107118.5"/>
    <n v="44"/>
    <n v="38"/>
    <n v="14"/>
    <n v="42"/>
    <n v="44"/>
    <x v="289"/>
    <n v="2012"/>
    <n v="38"/>
    <s v="2018 (triag)"/>
    <n v="44"/>
    <n v="2022"/>
    <x v="1"/>
    <n v="44"/>
    <n v="44"/>
    <s v="Increasing"/>
    <m/>
    <m/>
    <m/>
    <m/>
    <x v="326"/>
    <n v="3.6857062492119366"/>
    <n v="4.107600461171506"/>
  </r>
  <r>
    <x v="39"/>
    <s v="SYC"/>
    <n v="95321"/>
    <x v="31"/>
    <n v="0"/>
    <n v="96714"/>
    <n v="0"/>
    <m/>
    <n v="0"/>
    <m/>
    <n v="0"/>
    <m/>
    <n v="0"/>
    <m/>
    <n v="0"/>
    <n v="103101.00000000003"/>
    <n v="0"/>
    <n v="125"/>
    <m/>
    <n v="37"/>
    <m/>
    <n v="0"/>
    <m/>
    <n v="0"/>
    <n v="107118.5"/>
    <n v="114"/>
    <n v="125"/>
    <n v="0"/>
    <n v="37"/>
    <n v="114"/>
    <x v="0"/>
    <s v=""/>
    <n v="125"/>
    <s v="2018 (triag)"/>
    <n v="114"/>
    <n v="2022"/>
    <x v="0"/>
    <n v="131.02004545252734"/>
    <n v="131.02004545252734"/>
    <s v="Increasing"/>
    <m/>
    <m/>
    <m/>
    <m/>
    <x v="0"/>
    <n v="12.124033714512949"/>
    <n v="12.231318161898024"/>
  </r>
  <r>
    <x v="39"/>
    <s v="SYC"/>
    <n v="95322"/>
    <x v="32"/>
    <n v="0"/>
    <n v="96714"/>
    <n v="0"/>
    <m/>
    <n v="0"/>
    <m/>
    <n v="0"/>
    <m/>
    <n v="0"/>
    <m/>
    <n v="0"/>
    <n v="103101.00000000003"/>
    <n v="0"/>
    <n v="0"/>
    <m/>
    <n v="0"/>
    <m/>
    <n v="0"/>
    <m/>
    <n v="6"/>
    <n v="107118.5"/>
    <n v="27"/>
    <n v="0"/>
    <n v="0"/>
    <n v="0"/>
    <n v="27"/>
    <x v="0"/>
    <s v=""/>
    <m/>
    <s v=""/>
    <n v="27"/>
    <n v="2022"/>
    <x v="1"/>
    <n v="27"/>
    <n v="27"/>
    <s v="Increasing"/>
    <m/>
    <m/>
    <m/>
    <m/>
    <x v="0"/>
    <n v="0"/>
    <n v="2.5205730102643336"/>
  </r>
  <r>
    <x v="40"/>
    <s v="TCD"/>
    <n v="12754906"/>
    <x v="19"/>
    <n v="528"/>
    <n v="13216766.5"/>
    <n v="573"/>
    <n v="13697125.5"/>
    <n v="608"/>
    <n v="14140274"/>
    <n v="696"/>
    <n v="14592585.000000004"/>
    <n v="540"/>
    <n v="15085884.000000006"/>
    <n v="651"/>
    <n v="15604210"/>
    <n v="803"/>
    <n v="803"/>
    <n v="16126866"/>
    <n v="859"/>
    <n v="16644701.499999996"/>
    <n v="1003"/>
    <n v="17179739.999999996"/>
    <n v="1000"/>
    <n v="17723314.500000004"/>
    <n v="1507"/>
    <n v="803"/>
    <n v="696"/>
    <n v="859"/>
    <n v="1507"/>
    <x v="290"/>
    <n v="2013"/>
    <n v="803"/>
    <n v="2018"/>
    <n v="1507"/>
    <n v="2022"/>
    <x v="1"/>
    <n v="1507"/>
    <n v="1507"/>
    <s v="Increasing"/>
    <m/>
    <m/>
    <m/>
    <m/>
    <x v="327"/>
    <n v="0.51460471244619244"/>
    <n v="0.85029242131882254"/>
  </r>
  <r>
    <x v="40"/>
    <s v="TCD"/>
    <n v="12754907"/>
    <x v="20"/>
    <n v="0"/>
    <n v="13216766.5"/>
    <n v="0"/>
    <m/>
    <n v="0"/>
    <m/>
    <n v="0"/>
    <m/>
    <n v="0"/>
    <m/>
    <n v="0"/>
    <n v="15604210"/>
    <n v="646"/>
    <n v="646"/>
    <m/>
    <n v="642"/>
    <m/>
    <n v="784"/>
    <m/>
    <n v="740"/>
    <n v="17723314.500000004"/>
    <n v="1197"/>
    <n v="646"/>
    <n v="0"/>
    <n v="646"/>
    <n v="1197"/>
    <x v="0"/>
    <s v=""/>
    <n v="646"/>
    <n v="2018"/>
    <n v="1197"/>
    <n v="2022"/>
    <x v="1"/>
    <n v="1197"/>
    <n v="1197"/>
    <s v="Increasing"/>
    <m/>
    <m/>
    <m/>
    <m/>
    <x v="0"/>
    <n v="0.41399083965160682"/>
    <n v="0.67538157154520939"/>
  </r>
  <r>
    <x v="40"/>
    <s v="TCD"/>
    <n v="12754908"/>
    <x v="21"/>
    <n v="0"/>
    <n v="13216766.5"/>
    <n v="0"/>
    <m/>
    <n v="0"/>
    <m/>
    <n v="0"/>
    <m/>
    <n v="0"/>
    <m/>
    <n v="0"/>
    <n v="15604210"/>
    <n v="157"/>
    <n v="157"/>
    <m/>
    <n v="202"/>
    <m/>
    <n v="219"/>
    <m/>
    <n v="260"/>
    <n v="17723314.500000004"/>
    <n v="310"/>
    <n v="157"/>
    <n v="0"/>
    <n v="202"/>
    <n v="310"/>
    <x v="0"/>
    <s v=""/>
    <n v="157"/>
    <n v="2018"/>
    <n v="310"/>
    <n v="2022"/>
    <x v="1"/>
    <n v="310"/>
    <n v="310"/>
    <s v="Increasing"/>
    <m/>
    <m/>
    <m/>
    <m/>
    <x v="0"/>
    <n v="0.10061387279458556"/>
    <n v="0.17491084977361313"/>
  </r>
  <r>
    <x v="40"/>
    <s v="TCD"/>
    <n v="12754909"/>
    <x v="22"/>
    <n v="3141"/>
    <n v="13216766.5"/>
    <n v="3606"/>
    <m/>
    <n v="3606"/>
    <m/>
    <n v="3563"/>
    <m/>
    <n v="3106"/>
    <m/>
    <n v="3487"/>
    <n v="15604210"/>
    <n v="4799"/>
    <n v="4799"/>
    <m/>
    <n v="0"/>
    <m/>
    <n v="2623"/>
    <m/>
    <n v="2677"/>
    <n v="17723314.500000004"/>
    <n v="2933"/>
    <n v="3863"/>
    <n v="3606"/>
    <n v="4799"/>
    <n v="2933"/>
    <x v="291"/>
    <n v="2013"/>
    <n v="4799"/>
    <n v="2018"/>
    <n v="2933"/>
    <n v="2022"/>
    <x v="0"/>
    <n v="3387.151734852408"/>
    <n v="4799"/>
    <s v="Decreasing"/>
    <m/>
    <m/>
    <m/>
    <m/>
    <x v="328"/>
    <n v="3.0754520735109305"/>
    <n v="1.9111277040490406"/>
  </r>
  <r>
    <x v="40"/>
    <s v="TCD"/>
    <n v="12754910"/>
    <x v="23"/>
    <n v="0"/>
    <n v="13216766.5"/>
    <n v="0"/>
    <m/>
    <n v="0"/>
    <m/>
    <n v="0"/>
    <m/>
    <n v="0"/>
    <m/>
    <n v="0"/>
    <n v="15604210"/>
    <n v="0"/>
    <n v="1787"/>
    <m/>
    <n v="0"/>
    <m/>
    <n v="1528"/>
    <m/>
    <n v="1537"/>
    <n v="17723314.500000004"/>
    <n v="1668"/>
    <n v="1787"/>
    <n v="0"/>
    <n v="0"/>
    <n v="1668"/>
    <x v="0"/>
    <s v=""/>
    <n v="1787"/>
    <s v="2018 (triag)"/>
    <n v="1668"/>
    <n v="2022"/>
    <x v="0"/>
    <n v="1926.2765406525116"/>
    <n v="1926.2765406525116"/>
    <s v="Increasing"/>
    <m/>
    <m/>
    <m/>
    <m/>
    <x v="0"/>
    <n v="1.1452037623179898"/>
    <n v="1.0868602149177633"/>
  </r>
  <r>
    <x v="40"/>
    <s v="TCD"/>
    <n v="12754911"/>
    <x v="24"/>
    <n v="0"/>
    <n v="13216766.5"/>
    <n v="0"/>
    <m/>
    <n v="0"/>
    <m/>
    <n v="0"/>
    <m/>
    <n v="0"/>
    <m/>
    <n v="0"/>
    <n v="15604210"/>
    <n v="0"/>
    <n v="2076"/>
    <m/>
    <n v="0"/>
    <m/>
    <n v="827"/>
    <m/>
    <n v="1140"/>
    <n v="17723314.500000004"/>
    <n v="1265"/>
    <n v="2076"/>
    <n v="0"/>
    <n v="0"/>
    <n v="1265"/>
    <x v="0"/>
    <s v=""/>
    <n v="2076"/>
    <s v="2018 (triag)"/>
    <n v="1265"/>
    <n v="2022"/>
    <x v="0"/>
    <n v="1460.8751941998964"/>
    <n v="2076"/>
    <s v="Decreasing"/>
    <m/>
    <m/>
    <m/>
    <m/>
    <x v="0"/>
    <n v="1.3304101905831824"/>
    <n v="0.82426748913127734"/>
  </r>
  <r>
    <x v="40"/>
    <s v="TCD"/>
    <n v="12754912"/>
    <x v="25"/>
    <n v="416"/>
    <n v="13216766.5"/>
    <n v="451"/>
    <m/>
    <n v="0"/>
    <m/>
    <n v="0"/>
    <m/>
    <n v="0"/>
    <m/>
    <n v="0"/>
    <n v="15604210"/>
    <n v="0"/>
    <n v="936"/>
    <m/>
    <n v="589"/>
    <m/>
    <n v="710"/>
    <m/>
    <n v="721"/>
    <n v="17723314.500000004"/>
    <n v="783"/>
    <n v="936"/>
    <n v="451"/>
    <n v="589"/>
    <n v="783"/>
    <x v="292"/>
    <n v="2013"/>
    <n v="936"/>
    <s v="2018 (triag)"/>
    <n v="783"/>
    <n v="2022"/>
    <x v="0"/>
    <n v="904.24132573795964"/>
    <n v="936"/>
    <s v="Decreasing"/>
    <m/>
    <m/>
    <m/>
    <m/>
    <x v="329"/>
    <n v="0.5998381206097585"/>
    <n v="0.51019876995240343"/>
  </r>
  <r>
    <x v="40"/>
    <s v="TCD"/>
    <n v="12754913"/>
    <x v="26"/>
    <n v="0"/>
    <n v="13216766.5"/>
    <n v="0"/>
    <m/>
    <n v="0"/>
    <m/>
    <n v="0"/>
    <m/>
    <n v="0"/>
    <m/>
    <n v="0"/>
    <n v="15604210"/>
    <n v="0"/>
    <n v="744"/>
    <m/>
    <n v="0"/>
    <m/>
    <n v="710"/>
    <m/>
    <n v="617"/>
    <n v="17723314.500000004"/>
    <n v="657"/>
    <n v="744"/>
    <n v="0"/>
    <n v="0"/>
    <n v="710"/>
    <x v="0"/>
    <s v=""/>
    <n v="744"/>
    <s v="2018 (triag)"/>
    <n v="657"/>
    <n v="2022"/>
    <x v="0"/>
    <n v="758.73122734334538"/>
    <n v="758.73122734334538"/>
    <s v="Increasing"/>
    <m/>
    <m/>
    <m/>
    <m/>
    <x v="0"/>
    <n v="0.47679440356160291"/>
    <n v="0.42809781846580963"/>
  </r>
  <r>
    <x v="40"/>
    <s v="TCD"/>
    <n v="12754914"/>
    <x v="27"/>
    <n v="0"/>
    <n v="13216766.5"/>
    <n v="0"/>
    <m/>
    <n v="0"/>
    <m/>
    <n v="0"/>
    <m/>
    <n v="0"/>
    <m/>
    <n v="0"/>
    <n v="15604210"/>
    <n v="0"/>
    <n v="192"/>
    <m/>
    <n v="0"/>
    <m/>
    <n v="0"/>
    <m/>
    <n v="104"/>
    <n v="17723314.500000004"/>
    <n v="126"/>
    <n v="192"/>
    <n v="0"/>
    <n v="0"/>
    <n v="126"/>
    <x v="0"/>
    <s v=""/>
    <n v="192"/>
    <s v="2018 (triag)"/>
    <n v="126"/>
    <n v="2022"/>
    <x v="0"/>
    <n v="145.5100983946142"/>
    <n v="192"/>
    <s v="Decreasing"/>
    <m/>
    <m/>
    <m/>
    <m/>
    <x v="0"/>
    <n v="0.12304371704815559"/>
    <n v="8.2100951486593646E-2"/>
  </r>
  <r>
    <x v="40"/>
    <s v="TCD"/>
    <n v="12754915"/>
    <x v="28"/>
    <n v="68"/>
    <n v="13216766.5"/>
    <n v="72"/>
    <m/>
    <n v="78"/>
    <m/>
    <n v="79"/>
    <m/>
    <n v="0"/>
    <m/>
    <n v="71"/>
    <n v="15604210"/>
    <n v="269"/>
    <n v="269"/>
    <m/>
    <n v="52"/>
    <m/>
    <n v="54"/>
    <m/>
    <n v="142"/>
    <n v="17723314.500000004"/>
    <n v="163"/>
    <n v="98"/>
    <n v="79"/>
    <n v="269"/>
    <n v="163"/>
    <x v="293"/>
    <n v="2013"/>
    <n v="269"/>
    <n v="2018"/>
    <n v="163"/>
    <n v="2022"/>
    <x v="0"/>
    <n v="188.23925427239772"/>
    <n v="269"/>
    <s v="Decreasing"/>
    <m/>
    <m/>
    <m/>
    <m/>
    <x v="330"/>
    <n v="0.17238937440600965"/>
    <n v="0.10620996105011717"/>
  </r>
  <r>
    <x v="40"/>
    <s v="TCD"/>
    <n v="12754916"/>
    <x v="29"/>
    <n v="0"/>
    <n v="13216766.5"/>
    <n v="0"/>
    <m/>
    <n v="0"/>
    <m/>
    <n v="0"/>
    <m/>
    <n v="0"/>
    <m/>
    <n v="0"/>
    <n v="15604210"/>
    <n v="0"/>
    <n v="171"/>
    <m/>
    <n v="136"/>
    <m/>
    <n v="0"/>
    <m/>
    <n v="277"/>
    <n v="17723314.500000004"/>
    <n v="320"/>
    <n v="171"/>
    <n v="0"/>
    <n v="136"/>
    <n v="320"/>
    <x v="0"/>
    <s v=""/>
    <n v="171"/>
    <s v="2018 (triag)"/>
    <n v="320"/>
    <n v="2022"/>
    <x v="1"/>
    <n v="320"/>
    <n v="320"/>
    <s v="Increasing"/>
    <m/>
    <m/>
    <m/>
    <m/>
    <x v="0"/>
    <n v="0.10958581049601357"/>
    <n v="0.1805531352501813"/>
  </r>
  <r>
    <x v="40"/>
    <s v="TCD"/>
    <n v="12754917"/>
    <x v="30"/>
    <n v="0"/>
    <n v="13216766.5"/>
    <n v="0"/>
    <m/>
    <n v="0"/>
    <m/>
    <n v="0"/>
    <m/>
    <n v="0"/>
    <m/>
    <n v="0"/>
    <n v="15604210"/>
    <n v="3"/>
    <n v="3"/>
    <m/>
    <n v="0"/>
    <m/>
    <n v="0"/>
    <m/>
    <n v="19"/>
    <n v="17723314.500000004"/>
    <n v="21"/>
    <n v="3"/>
    <n v="0"/>
    <n v="3"/>
    <n v="21"/>
    <x v="0"/>
    <s v=""/>
    <n v="3"/>
    <n v="2018"/>
    <n v="21"/>
    <n v="2022"/>
    <x v="1"/>
    <n v="21"/>
    <n v="21"/>
    <s v="Increasing"/>
    <m/>
    <m/>
    <m/>
    <m/>
    <x v="0"/>
    <n v="1.9225580788774311E-3"/>
    <n v="1.1848799500793148E-2"/>
  </r>
  <r>
    <x v="40"/>
    <s v="TCD"/>
    <n v="12754918"/>
    <x v="31"/>
    <n v="0"/>
    <n v="13216766.5"/>
    <n v="0"/>
    <m/>
    <n v="0"/>
    <m/>
    <n v="0"/>
    <m/>
    <n v="0"/>
    <m/>
    <n v="0"/>
    <n v="15604210"/>
    <n v="0"/>
    <n v="0"/>
    <m/>
    <n v="11"/>
    <m/>
    <n v="0"/>
    <m/>
    <n v="11"/>
    <n v="17723314.500000004"/>
    <n v="0"/>
    <n v="0"/>
    <n v="0"/>
    <n v="11"/>
    <n v="11"/>
    <x v="0"/>
    <s v=""/>
    <n v="11"/>
    <n v="2019"/>
    <n v="11"/>
    <n v="2021"/>
    <x v="1"/>
    <n v="11"/>
    <n v="11"/>
    <s v="No change"/>
    <m/>
    <m/>
    <m/>
    <m/>
    <x v="0"/>
    <n v="7.0493796225505811E-3"/>
    <n v="6.206514024224982E-3"/>
  </r>
  <r>
    <x v="40"/>
    <s v="TCD"/>
    <n v="12754919"/>
    <x v="32"/>
    <n v="0"/>
    <n v="13216766.5"/>
    <n v="0"/>
    <m/>
    <n v="0"/>
    <m/>
    <n v="0"/>
    <m/>
    <n v="0"/>
    <m/>
    <n v="0"/>
    <n v="15604210"/>
    <n v="0"/>
    <n v="0"/>
    <m/>
    <n v="0"/>
    <m/>
    <n v="0"/>
    <m/>
    <n v="0"/>
    <n v="17723314.500000004"/>
    <n v="0"/>
    <n v="0"/>
    <n v="0"/>
    <n v="0"/>
    <n v="0"/>
    <x v="0"/>
    <s v=""/>
    <m/>
    <s v=""/>
    <n v="0"/>
    <s v=""/>
    <x v="1"/>
    <m/>
    <n v="0"/>
    <s v="No change"/>
    <m/>
    <m/>
    <m/>
    <m/>
    <x v="0"/>
    <n v="0"/>
    <n v="0"/>
  </r>
  <r>
    <x v="41"/>
    <s v="TGO"/>
    <n v="6926634.5000000009"/>
    <x v="19"/>
    <n v="0"/>
    <n v="7106229"/>
    <n v="0"/>
    <n v="7288383.0000000009"/>
    <n v="0"/>
    <n v="7473228.5"/>
    <n v="361"/>
    <n v="7661353.5000000019"/>
    <n v="347"/>
    <n v="7852795.0000000037"/>
    <n v="583"/>
    <n v="8046679"/>
    <n v="611"/>
    <n v="611"/>
    <n v="8243094.5000000047"/>
    <n v="627"/>
    <n v="8442580"/>
    <n v="685"/>
    <n v="8644828.9999999981"/>
    <n v="506"/>
    <n v="8848698.5000000019"/>
    <n v="730"/>
    <n v="584"/>
    <n v="361"/>
    <n v="627"/>
    <n v="730"/>
    <x v="294"/>
    <n v="2015"/>
    <n v="611"/>
    <n v="2018"/>
    <n v="730"/>
    <n v="2022"/>
    <x v="1"/>
    <n v="730"/>
    <n v="730"/>
    <s v="Increasing"/>
    <m/>
    <m/>
    <m/>
    <m/>
    <x v="331"/>
    <n v="0.75931946583180465"/>
    <n v="0.82498008040391457"/>
  </r>
  <r>
    <x v="41"/>
    <s v="TGO"/>
    <n v="6926635.5"/>
    <x v="20"/>
    <n v="0"/>
    <n v="7106229"/>
    <n v="0"/>
    <m/>
    <n v="0"/>
    <m/>
    <n v="97"/>
    <m/>
    <n v="0"/>
    <m/>
    <n v="230"/>
    <n v="8046679"/>
    <n v="219"/>
    <n v="230"/>
    <m/>
    <n v="230"/>
    <m/>
    <n v="354"/>
    <m/>
    <n v="149"/>
    <n v="8848698.5000000019"/>
    <n v="331"/>
    <n v="230"/>
    <n v="97"/>
    <n v="230"/>
    <n v="354"/>
    <x v="295"/>
    <n v="2015"/>
    <n v="230"/>
    <n v="2017"/>
    <n v="331"/>
    <n v="2022"/>
    <x v="1"/>
    <n v="331"/>
    <n v="331"/>
    <s v="Increasing"/>
    <m/>
    <m/>
    <m/>
    <m/>
    <x v="332"/>
    <n v="0.28583220481393629"/>
    <n v="0.37406631042972016"/>
  </r>
  <r>
    <x v="41"/>
    <s v="TGO"/>
    <n v="6926636.5"/>
    <x v="21"/>
    <n v="0"/>
    <n v="7106229"/>
    <n v="0"/>
    <m/>
    <n v="0"/>
    <m/>
    <n v="264"/>
    <m/>
    <n v="0"/>
    <m/>
    <n v="353"/>
    <n v="8046679"/>
    <n v="392"/>
    <n v="392"/>
    <m/>
    <n v="397"/>
    <m/>
    <n v="331"/>
    <m/>
    <n v="357"/>
    <n v="8848698.5000000019"/>
    <n v="399"/>
    <n v="354"/>
    <n v="264"/>
    <n v="397"/>
    <n v="399"/>
    <x v="296"/>
    <n v="2015"/>
    <n v="392"/>
    <n v="2018"/>
    <n v="399"/>
    <n v="2022"/>
    <x v="1"/>
    <n v="399"/>
    <n v="399"/>
    <s v="Increasing"/>
    <m/>
    <m/>
    <m/>
    <m/>
    <x v="333"/>
    <n v="0.48715749690027399"/>
    <n v="0.45091376997419441"/>
  </r>
  <r>
    <x v="41"/>
    <s v="TGO"/>
    <n v="6926637.5"/>
    <x v="22"/>
    <n v="0"/>
    <n v="7106229"/>
    <n v="0"/>
    <m/>
    <n v="0"/>
    <m/>
    <n v="1341"/>
    <m/>
    <n v="1419"/>
    <m/>
    <n v="1966"/>
    <n v="8046679"/>
    <n v="1951"/>
    <n v="1966"/>
    <m/>
    <n v="2134"/>
    <m/>
    <n v="2455"/>
    <m/>
    <n v="1946"/>
    <n v="8848698.5000000019"/>
    <n v="2630"/>
    <n v="1966"/>
    <n v="1341"/>
    <n v="2134"/>
    <n v="2630"/>
    <x v="297"/>
    <n v="2015"/>
    <n v="1966"/>
    <n v="2017"/>
    <n v="2630"/>
    <n v="2022"/>
    <x v="1"/>
    <n v="2630"/>
    <n v="2630"/>
    <s v="Increasing"/>
    <m/>
    <m/>
    <m/>
    <m/>
    <x v="334"/>
    <n v="2.443243976800864"/>
    <n v="2.9721885088524593"/>
  </r>
  <r>
    <x v="41"/>
    <s v="TGO"/>
    <n v="6926638.5"/>
    <x v="23"/>
    <n v="0"/>
    <n v="7106229"/>
    <n v="0"/>
    <m/>
    <n v="0"/>
    <m/>
    <n v="0"/>
    <m/>
    <n v="920"/>
    <m/>
    <n v="1204"/>
    <n v="8046679"/>
    <n v="1026"/>
    <n v="1204"/>
    <m/>
    <n v="1235"/>
    <m/>
    <n v="1553"/>
    <m/>
    <n v="1187"/>
    <n v="8848698.5000000019"/>
    <n v="1699"/>
    <n v="1204"/>
    <n v="0"/>
    <n v="1235"/>
    <n v="1699"/>
    <x v="0"/>
    <s v=""/>
    <n v="1204"/>
    <n v="2017"/>
    <n v="1699"/>
    <n v="2022"/>
    <x v="1"/>
    <n v="1699"/>
    <n v="1699"/>
    <s v="Increasing"/>
    <m/>
    <m/>
    <m/>
    <m/>
    <x v="0"/>
    <n v="1.4962694547651274"/>
    <n v="1.9200563789126726"/>
  </r>
  <r>
    <x v="41"/>
    <s v="TGO"/>
    <n v="6926639.5"/>
    <x v="24"/>
    <n v="0"/>
    <n v="7106229"/>
    <n v="0"/>
    <m/>
    <n v="0"/>
    <m/>
    <n v="0"/>
    <m/>
    <n v="499"/>
    <m/>
    <n v="762"/>
    <n v="8046679"/>
    <n v="925"/>
    <n v="925"/>
    <m/>
    <n v="899"/>
    <m/>
    <n v="902"/>
    <m/>
    <n v="759"/>
    <n v="8848698.5000000019"/>
    <n v="931"/>
    <n v="762"/>
    <n v="0"/>
    <n v="925"/>
    <n v="931"/>
    <x v="0"/>
    <s v=""/>
    <n v="925"/>
    <n v="2018"/>
    <n v="931"/>
    <n v="2022"/>
    <x v="1"/>
    <n v="931"/>
    <n v="931"/>
    <s v="Increasing"/>
    <m/>
    <m/>
    <m/>
    <m/>
    <x v="0"/>
    <n v="1.1495425628386569"/>
    <n v="1.052132129939787"/>
  </r>
  <r>
    <x v="41"/>
    <s v="TGO"/>
    <n v="6926640.5"/>
    <x v="25"/>
    <n v="0"/>
    <n v="7106229"/>
    <n v="795"/>
    <m/>
    <n v="0"/>
    <m/>
    <n v="869"/>
    <m/>
    <n v="961"/>
    <m/>
    <n v="1268"/>
    <n v="8046679"/>
    <n v="1285"/>
    <n v="1285"/>
    <m/>
    <n v="1619"/>
    <m/>
    <n v="1743"/>
    <m/>
    <n v="1482"/>
    <n v="8848698.5000000019"/>
    <n v="1864"/>
    <n v="1268"/>
    <n v="869"/>
    <n v="1619"/>
    <n v="1864"/>
    <x v="298"/>
    <n v="2013"/>
    <n v="1285"/>
    <n v="2018"/>
    <n v="1864"/>
    <n v="2022"/>
    <x v="1"/>
    <n v="1864"/>
    <n v="1864"/>
    <s v="Increasing"/>
    <m/>
    <m/>
    <m/>
    <m/>
    <x v="335"/>
    <n v="1.5969321008082962"/>
    <n v="2.1065244792779407"/>
  </r>
  <r>
    <x v="41"/>
    <s v="TGO"/>
    <n v="6926641.5"/>
    <x v="26"/>
    <n v="0"/>
    <n v="7106229"/>
    <n v="396"/>
    <m/>
    <n v="0"/>
    <m/>
    <n v="0"/>
    <m/>
    <n v="459"/>
    <m/>
    <n v="654"/>
    <n v="8046679"/>
    <n v="655"/>
    <n v="655"/>
    <m/>
    <n v="785"/>
    <m/>
    <n v="934"/>
    <m/>
    <n v="773"/>
    <n v="8848698.5000000019"/>
    <n v="1043"/>
    <n v="654"/>
    <n v="396"/>
    <n v="785"/>
    <n v="1043"/>
    <x v="299"/>
    <n v="2013"/>
    <n v="655"/>
    <n v="2018"/>
    <n v="1043"/>
    <n v="2022"/>
    <x v="1"/>
    <n v="1043"/>
    <n v="1043"/>
    <s v="Increasing"/>
    <m/>
    <m/>
    <m/>
    <m/>
    <x v="336"/>
    <n v="0.81400040936142726"/>
    <n v="1.1787044162483327"/>
  </r>
  <r>
    <x v="41"/>
    <s v="TGO"/>
    <n v="6926642.5"/>
    <x v="27"/>
    <n v="0"/>
    <n v="7106229"/>
    <n v="399"/>
    <m/>
    <n v="0"/>
    <m/>
    <n v="0"/>
    <m/>
    <n v="502"/>
    <m/>
    <n v="614"/>
    <n v="8046679"/>
    <n v="630"/>
    <n v="630"/>
    <m/>
    <n v="834"/>
    <m/>
    <n v="809"/>
    <m/>
    <n v="709"/>
    <n v="8848698.5000000019"/>
    <n v="821"/>
    <n v="614"/>
    <n v="399"/>
    <n v="834"/>
    <n v="821"/>
    <x v="300"/>
    <n v="2013"/>
    <n v="630"/>
    <n v="2018"/>
    <n v="821"/>
    <n v="2022"/>
    <x v="1"/>
    <n v="821"/>
    <n v="821"/>
    <s v="Increasing"/>
    <m/>
    <m/>
    <m/>
    <m/>
    <x v="337"/>
    <n v="0.78293169144686892"/>
    <n v="0.92782006302960807"/>
  </r>
  <r>
    <x v="41"/>
    <s v="TGO"/>
    <n v="6926643.5"/>
    <x v="28"/>
    <n v="0"/>
    <n v="7106229"/>
    <n v="0"/>
    <m/>
    <n v="0"/>
    <m/>
    <n v="17"/>
    <m/>
    <n v="13"/>
    <m/>
    <n v="218"/>
    <n v="8046679"/>
    <n v="213"/>
    <n v="226"/>
    <m/>
    <n v="222"/>
    <m/>
    <n v="232"/>
    <m/>
    <n v="21"/>
    <n v="8848698.5000000019"/>
    <n v="255"/>
    <n v="226"/>
    <n v="17"/>
    <n v="222"/>
    <n v="255"/>
    <x v="49"/>
    <n v="2015"/>
    <n v="226"/>
    <s v="2018 (triag)"/>
    <n v="255"/>
    <n v="2022"/>
    <x v="1"/>
    <n v="255"/>
    <n v="255"/>
    <s v="Increasing"/>
    <m/>
    <m/>
    <m/>
    <m/>
    <x v="338"/>
    <n v="0.28086120994760694"/>
    <n v="0.28817797329177841"/>
  </r>
  <r>
    <x v="41"/>
    <s v="TGO"/>
    <n v="6926644.5"/>
    <x v="29"/>
    <n v="0"/>
    <n v="7106229"/>
    <n v="0"/>
    <m/>
    <n v="0"/>
    <m/>
    <n v="0"/>
    <m/>
    <n v="1"/>
    <m/>
    <n v="3"/>
    <n v="8046679"/>
    <n v="3"/>
    <n v="3"/>
    <m/>
    <n v="32"/>
    <m/>
    <n v="49"/>
    <m/>
    <n v="44"/>
    <n v="8848698.5000000019"/>
    <n v="73"/>
    <n v="0"/>
    <n v="0"/>
    <n v="32"/>
    <n v="73"/>
    <x v="0"/>
    <s v=""/>
    <n v="3"/>
    <n v="2017"/>
    <n v="73"/>
    <n v="2022"/>
    <x v="1"/>
    <n v="73"/>
    <n v="73"/>
    <s v="Increasing"/>
    <m/>
    <m/>
    <m/>
    <m/>
    <x v="0"/>
    <n v="3.7282461497469949E-3"/>
    <n v="8.2498008040391466E-2"/>
  </r>
  <r>
    <x v="41"/>
    <s v="TGO"/>
    <n v="6926645.5"/>
    <x v="30"/>
    <n v="0"/>
    <n v="7106229"/>
    <n v="0"/>
    <m/>
    <n v="0"/>
    <m/>
    <n v="18"/>
    <m/>
    <n v="0"/>
    <m/>
    <n v="57"/>
    <n v="8046679"/>
    <n v="21"/>
    <n v="21"/>
    <m/>
    <n v="0"/>
    <m/>
    <n v="0"/>
    <m/>
    <n v="13"/>
    <n v="8848698.5000000019"/>
    <n v="18"/>
    <n v="21"/>
    <n v="18"/>
    <n v="57"/>
    <n v="18"/>
    <x v="116"/>
    <n v="2015"/>
    <n v="21"/>
    <n v="2018"/>
    <n v="18"/>
    <n v="2022"/>
    <x v="0"/>
    <n v="21.759416355615883"/>
    <n v="21.759416355615883"/>
    <s v="Increasing"/>
    <m/>
    <m/>
    <m/>
    <m/>
    <x v="339"/>
    <n v="2.6097723048228966E-2"/>
    <n v="2.4590527472052391E-2"/>
  </r>
  <r>
    <x v="41"/>
    <s v="TGO"/>
    <n v="6926646.5"/>
    <x v="31"/>
    <n v="0"/>
    <n v="7106229"/>
    <n v="0"/>
    <m/>
    <n v="0"/>
    <m/>
    <n v="0"/>
    <m/>
    <n v="0"/>
    <m/>
    <n v="0"/>
    <n v="8046679"/>
    <n v="0"/>
    <n v="0"/>
    <m/>
    <n v="25"/>
    <m/>
    <n v="0"/>
    <m/>
    <n v="0"/>
    <n v="8848698.5000000019"/>
    <n v="1"/>
    <n v="0"/>
    <n v="0"/>
    <n v="25"/>
    <n v="1"/>
    <x v="0"/>
    <s v=""/>
    <n v="25"/>
    <n v="2019"/>
    <n v="1"/>
    <n v="2022"/>
    <x v="0"/>
    <n v="1.2088564642008823"/>
    <n v="25"/>
    <s v="Decreasing"/>
    <m/>
    <m/>
    <m/>
    <m/>
    <x v="0"/>
    <n v="3.1068717914558293E-2"/>
    <n v="1.3661404151140216E-3"/>
  </r>
  <r>
    <x v="41"/>
    <s v="TGO"/>
    <n v="6926647.5"/>
    <x v="32"/>
    <n v="0"/>
    <n v="7106229"/>
    <n v="0"/>
    <m/>
    <n v="0"/>
    <m/>
    <n v="0"/>
    <m/>
    <n v="33"/>
    <m/>
    <n v="57"/>
    <n v="8046679"/>
    <n v="62"/>
    <n v="62"/>
    <m/>
    <n v="61"/>
    <m/>
    <n v="65"/>
    <m/>
    <n v="69"/>
    <n v="8848698.5000000019"/>
    <n v="0"/>
    <n v="0"/>
    <n v="0"/>
    <n v="62"/>
    <n v="69"/>
    <x v="0"/>
    <s v=""/>
    <n v="62"/>
    <n v="2018"/>
    <n v="69"/>
    <n v="2021"/>
    <x v="1"/>
    <n v="69"/>
    <n v="69"/>
    <s v="Increasing"/>
    <m/>
    <m/>
    <m/>
    <m/>
    <x v="0"/>
    <n v="7.705042042810456E-2"/>
    <n v="7.7977569243657674E-2"/>
  </r>
  <r>
    <x v="42"/>
    <s v="TZA"/>
    <n v="47786137.499999993"/>
    <x v="19"/>
    <n v="1481"/>
    <n v="49253643.5"/>
    <n v="0"/>
    <n v="50814551.500000022"/>
    <n v="3015"/>
    <n v="52542823.5"/>
    <n v="0"/>
    <n v="54401801.500000007"/>
    <n v="0"/>
    <n v="56267032.000000007"/>
    <n v="0"/>
    <n v="58090443.000000007"/>
    <n v="2885"/>
    <n v="2885"/>
    <n v="59872579"/>
    <n v="0"/>
    <n v="61704517.99999997"/>
    <n v="0"/>
    <n v="63588333.999999993"/>
    <n v="0"/>
    <n v="65497748.000000045"/>
    <n v="8693"/>
    <n v="2885"/>
    <n v="3015"/>
    <n v="2885"/>
    <n v="8693"/>
    <x v="301"/>
    <n v="2012"/>
    <n v="2885"/>
    <n v="2018"/>
    <n v="8693"/>
    <n v="2022"/>
    <x v="1"/>
    <n v="8693"/>
    <n v="8693"/>
    <s v="Increasing"/>
    <m/>
    <m/>
    <m/>
    <m/>
    <x v="340"/>
    <n v="0.49663935253514929"/>
    <n v="1.3272212046130187"/>
  </r>
  <r>
    <x v="42"/>
    <s v="TZA"/>
    <n v="47786138.5"/>
    <x v="20"/>
    <n v="0"/>
    <n v="49253643.5"/>
    <n v="0"/>
    <m/>
    <n v="0"/>
    <m/>
    <n v="0"/>
    <m/>
    <n v="0"/>
    <m/>
    <n v="0"/>
    <n v="58090443.000000007"/>
    <n v="2434"/>
    <n v="2434"/>
    <m/>
    <n v="0"/>
    <m/>
    <n v="0"/>
    <m/>
    <n v="0"/>
    <n v="65497748.000000045"/>
    <n v="6701"/>
    <n v="2434"/>
    <n v="0"/>
    <n v="2434"/>
    <n v="6701"/>
    <x v="0"/>
    <s v=""/>
    <n v="2434"/>
    <n v="2018"/>
    <n v="6701"/>
    <n v="2022"/>
    <x v="1"/>
    <n v="6701"/>
    <n v="6701"/>
    <s v="Increasing"/>
    <m/>
    <m/>
    <m/>
    <m/>
    <x v="0"/>
    <n v="0.41900179690487122"/>
    <n v="1.0230886106191004"/>
  </r>
  <r>
    <x v="42"/>
    <s v="TZA"/>
    <n v="47786139.5"/>
    <x v="21"/>
    <n v="0"/>
    <n v="49253643.5"/>
    <n v="0"/>
    <m/>
    <n v="929"/>
    <m/>
    <n v="0"/>
    <m/>
    <n v="0"/>
    <m/>
    <n v="0"/>
    <n v="58090443.000000007"/>
    <n v="451"/>
    <n v="451"/>
    <m/>
    <n v="0"/>
    <m/>
    <n v="0"/>
    <m/>
    <n v="0"/>
    <n v="65497748.000000045"/>
    <n v="1992"/>
    <n v="451"/>
    <n v="929"/>
    <n v="451"/>
    <n v="1992"/>
    <x v="302"/>
    <n v="2014"/>
    <n v="451"/>
    <n v="2018"/>
    <n v="1992"/>
    <n v="2022"/>
    <x v="1"/>
    <n v="1992"/>
    <n v="1992"/>
    <s v="Increasing"/>
    <m/>
    <m/>
    <m/>
    <m/>
    <x v="341"/>
    <n v="7.7637555630278104E-2"/>
    <n v="0.30413259399391851"/>
  </r>
  <r>
    <x v="42"/>
    <s v="TZA"/>
    <n v="47786140.5"/>
    <x v="22"/>
    <n v="20800"/>
    <n v="49253643.5"/>
    <n v="0"/>
    <m/>
    <n v="21552"/>
    <m/>
    <n v="0"/>
    <m/>
    <n v="0"/>
    <m/>
    <n v="31940"/>
    <n v="58090443.000000007"/>
    <n v="31940"/>
    <n v="31940"/>
    <m/>
    <n v="0"/>
    <m/>
    <n v="0"/>
    <m/>
    <n v="0"/>
    <n v="65497748.000000045"/>
    <n v="0"/>
    <n v="31940"/>
    <n v="21552"/>
    <n v="31940"/>
    <n v="0"/>
    <x v="303"/>
    <n v="2012"/>
    <n v="31940"/>
    <n v="2017"/>
    <n v="31940"/>
    <n v="2017"/>
    <x v="1"/>
    <n v="31940"/>
    <n v="31940"/>
    <s v="No change"/>
    <m/>
    <m/>
    <m/>
    <m/>
    <x v="342"/>
    <n v="5.4983226759004049"/>
    <n v="4.8765035402438537"/>
  </r>
  <r>
    <x v="42"/>
    <s v="TZA"/>
    <n v="47786141.5"/>
    <x v="23"/>
    <n v="0"/>
    <n v="49253643.5"/>
    <n v="0"/>
    <m/>
    <n v="0"/>
    <m/>
    <n v="0"/>
    <m/>
    <n v="0"/>
    <m/>
    <n v="10589"/>
    <n v="58090443.000000007"/>
    <n v="0"/>
    <n v="10589"/>
    <m/>
    <n v="0"/>
    <m/>
    <n v="0"/>
    <m/>
    <n v="0"/>
    <n v="65497748.000000045"/>
    <n v="0"/>
    <n v="10589"/>
    <n v="0"/>
    <n v="10589"/>
    <n v="0"/>
    <x v="0"/>
    <s v=""/>
    <n v="10589"/>
    <n v="2017"/>
    <n v="10589"/>
    <n v="2017"/>
    <x v="1"/>
    <n v="10589"/>
    <n v="10589"/>
    <s v="No change"/>
    <m/>
    <m/>
    <m/>
    <m/>
    <x v="0"/>
    <n v="1.8228471764279708"/>
    <n v="1.6166968061253026"/>
  </r>
  <r>
    <x v="42"/>
    <s v="TZA"/>
    <n v="47786142.5"/>
    <x v="24"/>
    <n v="0"/>
    <n v="49253643.5"/>
    <n v="0"/>
    <m/>
    <n v="0"/>
    <m/>
    <n v="0"/>
    <m/>
    <n v="0"/>
    <m/>
    <n v="21351"/>
    <n v="58090443.000000007"/>
    <n v="0"/>
    <n v="21351"/>
    <m/>
    <n v="0"/>
    <m/>
    <n v="0"/>
    <m/>
    <n v="0"/>
    <n v="65497748.000000045"/>
    <n v="0"/>
    <n v="21351"/>
    <n v="0"/>
    <n v="21351"/>
    <n v="0"/>
    <x v="0"/>
    <s v=""/>
    <n v="21351"/>
    <n v="2017"/>
    <n v="21351"/>
    <n v="2017"/>
    <x v="1"/>
    <n v="21351"/>
    <n v="21351"/>
    <s v="No change"/>
    <m/>
    <m/>
    <m/>
    <m/>
    <x v="0"/>
    <n v="3.6754754994724341"/>
    <n v="3.259806734118551"/>
  </r>
  <r>
    <x v="42"/>
    <s v="TZA"/>
    <n v="47786143.5"/>
    <x v="25"/>
    <n v="0"/>
    <n v="49253643.5"/>
    <n v="0"/>
    <m/>
    <n v="0"/>
    <m/>
    <n v="0"/>
    <m/>
    <n v="0"/>
    <m/>
    <n v="0"/>
    <n v="58090443.000000007"/>
    <n v="0"/>
    <n v="0"/>
    <m/>
    <n v="0"/>
    <m/>
    <n v="0"/>
    <m/>
    <n v="0"/>
    <n v="65497748.000000045"/>
    <n v="0"/>
    <n v="0"/>
    <n v="0"/>
    <n v="0"/>
    <n v="0"/>
    <x v="0"/>
    <s v=""/>
    <m/>
    <s v=""/>
    <n v="0"/>
    <s v=""/>
    <x v="1"/>
    <m/>
    <n v="0"/>
    <s v="No change"/>
    <m/>
    <m/>
    <m/>
    <m/>
    <x v="0"/>
    <n v="0"/>
    <n v="0"/>
  </r>
  <r>
    <x v="42"/>
    <s v="TZA"/>
    <n v="47786144.5"/>
    <x v="26"/>
    <n v="0"/>
    <n v="49253643.5"/>
    <n v="0"/>
    <m/>
    <n v="0"/>
    <m/>
    <n v="0"/>
    <m/>
    <n v="0"/>
    <m/>
    <n v="0"/>
    <n v="58090443.000000007"/>
    <n v="0"/>
    <n v="0"/>
    <m/>
    <n v="0"/>
    <m/>
    <n v="0"/>
    <m/>
    <n v="0"/>
    <n v="65497748.000000045"/>
    <n v="0"/>
    <n v="0"/>
    <n v="0"/>
    <n v="0"/>
    <n v="0"/>
    <x v="0"/>
    <s v=""/>
    <m/>
    <s v=""/>
    <n v="0"/>
    <s v=""/>
    <x v="1"/>
    <m/>
    <n v="0"/>
    <s v="No change"/>
    <m/>
    <m/>
    <m/>
    <m/>
    <x v="0"/>
    <n v="0"/>
    <n v="0"/>
  </r>
  <r>
    <x v="42"/>
    <s v="TZA"/>
    <n v="47786145.5"/>
    <x v="27"/>
    <n v="0"/>
    <n v="49253643.5"/>
    <n v="0"/>
    <m/>
    <n v="0"/>
    <m/>
    <n v="0"/>
    <m/>
    <n v="0"/>
    <m/>
    <n v="0"/>
    <n v="58090443.000000007"/>
    <n v="0"/>
    <n v="0"/>
    <m/>
    <n v="0"/>
    <m/>
    <n v="0"/>
    <m/>
    <n v="0"/>
    <n v="65497748.000000045"/>
    <n v="0"/>
    <n v="0"/>
    <n v="0"/>
    <n v="0"/>
    <n v="0"/>
    <x v="0"/>
    <s v=""/>
    <m/>
    <s v=""/>
    <n v="0"/>
    <s v=""/>
    <x v="1"/>
    <m/>
    <n v="0"/>
    <s v="No change"/>
    <m/>
    <m/>
    <m/>
    <m/>
    <x v="0"/>
    <n v="0"/>
    <n v="0"/>
  </r>
  <r>
    <x v="42"/>
    <s v="TZA"/>
    <n v="47786146.5"/>
    <x v="28"/>
    <n v="339"/>
    <n v="49253643.5"/>
    <n v="0"/>
    <m/>
    <n v="707"/>
    <m/>
    <n v="0"/>
    <m/>
    <n v="0"/>
    <m/>
    <n v="0"/>
    <n v="58090443.000000007"/>
    <n v="1845"/>
    <n v="1845"/>
    <m/>
    <n v="0"/>
    <m/>
    <n v="0"/>
    <m/>
    <n v="0"/>
    <n v="65497748.000000045"/>
    <n v="1746"/>
    <n v="599"/>
    <n v="707"/>
    <n v="1845"/>
    <n v="1746"/>
    <x v="304"/>
    <n v="2012"/>
    <n v="1845"/>
    <n v="2018"/>
    <n v="1746"/>
    <n v="2022"/>
    <x v="0"/>
    <n v="2261.9470224210058"/>
    <n v="2261.9470224210058"/>
    <s v="Increasing"/>
    <m/>
    <m/>
    <m/>
    <m/>
    <x v="343"/>
    <n v="0.31760818212386499"/>
    <n v="0.34534729689042198"/>
  </r>
  <r>
    <x v="42"/>
    <s v="TZA"/>
    <n v="47786147.5"/>
    <x v="29"/>
    <n v="317"/>
    <n v="49253643.5"/>
    <n v="0"/>
    <m/>
    <n v="1132"/>
    <m/>
    <n v="0"/>
    <m/>
    <n v="0"/>
    <m/>
    <n v="0"/>
    <n v="58090443.000000007"/>
    <n v="0"/>
    <n v="1246"/>
    <m/>
    <n v="0"/>
    <m/>
    <n v="0"/>
    <m/>
    <n v="0"/>
    <n v="65497748.000000045"/>
    <n v="5583"/>
    <n v="1246"/>
    <n v="1132"/>
    <n v="0"/>
    <n v="5583"/>
    <x v="305"/>
    <n v="2012"/>
    <n v="1246"/>
    <s v="2018 (triag)"/>
    <n v="5583"/>
    <n v="2022"/>
    <x v="1"/>
    <n v="5583"/>
    <n v="5583"/>
    <s v="Increasing"/>
    <m/>
    <m/>
    <m/>
    <m/>
    <x v="344"/>
    <n v="0.2144931137812118"/>
    <n v="0.85239571901006372"/>
  </r>
  <r>
    <x v="42"/>
    <s v="TZA"/>
    <n v="47786148.5"/>
    <x v="30"/>
    <n v="99"/>
    <n v="49253643.5"/>
    <n v="0"/>
    <m/>
    <n v="104"/>
    <m/>
    <n v="0"/>
    <m/>
    <n v="0"/>
    <m/>
    <n v="0"/>
    <n v="58090443.000000007"/>
    <n v="682"/>
    <n v="682"/>
    <m/>
    <n v="0"/>
    <m/>
    <n v="0"/>
    <m/>
    <n v="0"/>
    <n v="65497748.000000045"/>
    <n v="583"/>
    <n v="94"/>
    <n v="104"/>
    <n v="682"/>
    <n v="583"/>
    <x v="214"/>
    <n v="2012"/>
    <n v="682"/>
    <n v="2018"/>
    <n v="583"/>
    <n v="2022"/>
    <x v="0"/>
    <n v="755.27784311079404"/>
    <n v="755.27784311079404"/>
    <s v="Increasing"/>
    <m/>
    <m/>
    <m/>
    <m/>
    <x v="345"/>
    <n v="0.11740313290432298"/>
    <n v="0.11531355904187629"/>
  </r>
  <r>
    <x v="42"/>
    <s v="TZA"/>
    <n v="47786149.5"/>
    <x v="31"/>
    <n v="366"/>
    <n v="49253643.5"/>
    <n v="0"/>
    <m/>
    <n v="933"/>
    <m/>
    <n v="0"/>
    <m/>
    <n v="0"/>
    <m/>
    <n v="0"/>
    <n v="58090443.000000007"/>
    <n v="768"/>
    <n v="768"/>
    <m/>
    <n v="0"/>
    <m/>
    <n v="0"/>
    <m/>
    <n v="0"/>
    <n v="65497748.000000045"/>
    <n v="449"/>
    <n v="588"/>
    <n v="933"/>
    <n v="768"/>
    <n v="449"/>
    <x v="306"/>
    <n v="2012"/>
    <n v="768"/>
    <n v="2018"/>
    <n v="449"/>
    <n v="2022"/>
    <x v="0"/>
    <n v="581.68053440265271"/>
    <n v="768"/>
    <s v="Decreasing"/>
    <m/>
    <m/>
    <m/>
    <m/>
    <x v="346"/>
    <n v="0.13220763353448689"/>
    <n v="8.8809241869300962E-2"/>
  </r>
  <r>
    <x v="42"/>
    <s v="TZA"/>
    <n v="47786150.5"/>
    <x v="32"/>
    <n v="0"/>
    <n v="49253643.5"/>
    <n v="0"/>
    <m/>
    <n v="0"/>
    <m/>
    <n v="0"/>
    <m/>
    <n v="0"/>
    <m/>
    <n v="0"/>
    <n v="58090443.000000007"/>
    <n v="0"/>
    <n v="0"/>
    <m/>
    <n v="0"/>
    <m/>
    <n v="0"/>
    <m/>
    <n v="0"/>
    <n v="65497748.000000045"/>
    <n v="0"/>
    <n v="0"/>
    <n v="0"/>
    <n v="0"/>
    <n v="0"/>
    <x v="0"/>
    <s v=""/>
    <m/>
    <s v=""/>
    <n v="0"/>
    <s v=""/>
    <x v="1"/>
    <m/>
    <n v="0"/>
    <s v="No change"/>
    <m/>
    <m/>
    <m/>
    <m/>
    <x v="0"/>
    <n v="0"/>
    <n v="0"/>
  </r>
  <r>
    <x v="43"/>
    <s v="UGA"/>
    <n v="34273295.000000015"/>
    <x v="19"/>
    <n v="3370"/>
    <n v="35273569.999999993"/>
    <n v="0"/>
    <n v="36336539.50000003"/>
    <n v="0"/>
    <n v="37477355.999999978"/>
    <n v="3645"/>
    <n v="38748298.999999978"/>
    <n v="0"/>
    <n v="40127084.999999978"/>
    <n v="6918"/>
    <n v="41515395.000000015"/>
    <n v="0"/>
    <n v="17186"/>
    <n v="42949080.000000015"/>
    <n v="0"/>
    <n v="44404611.000000007"/>
    <n v="7031"/>
    <n v="45853778.000000022"/>
    <n v="0"/>
    <n v="47249584.999999978"/>
    <n v="7941"/>
    <n v="17186"/>
    <n v="3645"/>
    <n v="6918"/>
    <n v="7941"/>
    <x v="307"/>
    <n v="2012"/>
    <n v="17186"/>
    <s v="2018 (triag)"/>
    <n v="7941"/>
    <n v="2022"/>
    <x v="0"/>
    <n v="9051.7813279678066"/>
    <n v="17186"/>
    <s v="Decreasing"/>
    <m/>
    <m/>
    <m/>
    <m/>
    <x v="347"/>
    <n v="4.139669151648441"/>
    <n v="1.9157377420283819"/>
  </r>
  <r>
    <x v="43"/>
    <s v="UGA"/>
    <n v="34273296"/>
    <x v="20"/>
    <n v="0"/>
    <n v="35273569.999999993"/>
    <n v="0"/>
    <m/>
    <n v="0"/>
    <m/>
    <n v="0"/>
    <m/>
    <n v="0"/>
    <m/>
    <n v="0"/>
    <n v="41515395.000000015"/>
    <n v="0"/>
    <n v="17007"/>
    <m/>
    <n v="0"/>
    <m/>
    <n v="0"/>
    <m/>
    <n v="0"/>
    <n v="47249584.999999978"/>
    <n v="6369"/>
    <n v="17007"/>
    <n v="0"/>
    <n v="0"/>
    <n v="6369"/>
    <x v="0"/>
    <s v=""/>
    <n v="17007"/>
    <s v="2018 (triag)"/>
    <n v="6369"/>
    <n v="2022"/>
    <x v="0"/>
    <n v="7259.8911066398387"/>
    <n v="17007"/>
    <s v="Decreasing"/>
    <m/>
    <m/>
    <m/>
    <m/>
    <x v="0"/>
    <n v="4.0965526162041801"/>
    <n v="1.5364983854651511"/>
  </r>
  <r>
    <x v="43"/>
    <s v="UGA"/>
    <n v="34273297"/>
    <x v="21"/>
    <n v="0"/>
    <n v="35273569.999999993"/>
    <n v="0"/>
    <m/>
    <n v="0"/>
    <m/>
    <n v="0"/>
    <m/>
    <n v="0"/>
    <m/>
    <n v="0"/>
    <n v="41515395.000000015"/>
    <n v="0"/>
    <n v="179"/>
    <m/>
    <n v="0"/>
    <m/>
    <n v="0"/>
    <m/>
    <n v="0"/>
    <n v="47249584.999999978"/>
    <n v="1572"/>
    <n v="179"/>
    <n v="0"/>
    <n v="0"/>
    <n v="1572"/>
    <x v="0"/>
    <s v=""/>
    <n v="179"/>
    <s v="2018 (triag)"/>
    <n v="1572"/>
    <n v="2022"/>
    <x v="1"/>
    <n v="1572"/>
    <n v="1572"/>
    <s v="Increasing"/>
    <m/>
    <m/>
    <m/>
    <m/>
    <x v="0"/>
    <n v="4.3116535444261084E-2"/>
    <n v="0.33270133483712094"/>
  </r>
  <r>
    <x v="43"/>
    <s v="UGA"/>
    <n v="34273298"/>
    <x v="22"/>
    <n v="40816"/>
    <n v="35273569.999999993"/>
    <n v="40149"/>
    <m/>
    <n v="45388"/>
    <m/>
    <n v="50681"/>
    <m/>
    <n v="55228"/>
    <m/>
    <n v="60456"/>
    <n v="41515395.000000015"/>
    <n v="52907"/>
    <n v="52907"/>
    <m/>
    <n v="0"/>
    <m/>
    <n v="51327"/>
    <m/>
    <n v="0"/>
    <n v="47249584.999999978"/>
    <n v="74197"/>
    <n v="16407"/>
    <n v="50681"/>
    <n v="60456"/>
    <n v="74197"/>
    <x v="308"/>
    <n v="2013"/>
    <n v="52907"/>
    <n v="2018"/>
    <n v="74197"/>
    <n v="2022"/>
    <x v="1"/>
    <n v="74197"/>
    <n v="74197"/>
    <s v="Increasing"/>
    <m/>
    <m/>
    <m/>
    <m/>
    <x v="348"/>
    <n v="12.743947155025257"/>
    <n v="15.703206705413399"/>
  </r>
  <r>
    <x v="43"/>
    <s v="UGA"/>
    <n v="34273299"/>
    <x v="23"/>
    <n v="0"/>
    <n v="35273569.999999993"/>
    <n v="14303"/>
    <m/>
    <n v="15406"/>
    <m/>
    <n v="16701"/>
    <m/>
    <n v="15597"/>
    <m/>
    <n v="15448"/>
    <n v="41515395.000000015"/>
    <n v="5026"/>
    <n v="5026"/>
    <m/>
    <n v="0"/>
    <m/>
    <n v="0"/>
    <m/>
    <n v="0"/>
    <n v="47249584.999999978"/>
    <n v="0"/>
    <n v="0"/>
    <n v="16701"/>
    <n v="15597"/>
    <n v="0"/>
    <x v="309"/>
    <n v="2013"/>
    <n v="5026"/>
    <n v="2018"/>
    <n v="5026"/>
    <n v="2018"/>
    <x v="1"/>
    <n v="5026"/>
    <n v="5026"/>
    <s v="No change"/>
    <m/>
    <m/>
    <m/>
    <m/>
    <x v="349"/>
    <n v="1.2106352354349508"/>
    <n v="1.063713046368556"/>
  </r>
  <r>
    <x v="43"/>
    <s v="UGA"/>
    <n v="34273300"/>
    <x v="24"/>
    <n v="0"/>
    <n v="35273569.999999993"/>
    <n v="25846"/>
    <m/>
    <n v="29982"/>
    <m/>
    <n v="33980"/>
    <m/>
    <n v="39631"/>
    <m/>
    <n v="45008"/>
    <n v="41515395.000000015"/>
    <n v="47881"/>
    <n v="47881"/>
    <m/>
    <n v="0"/>
    <m/>
    <n v="0"/>
    <m/>
    <n v="0"/>
    <n v="47249584.999999978"/>
    <n v="21425"/>
    <n v="16407"/>
    <n v="33980"/>
    <n v="47881"/>
    <n v="21425"/>
    <x v="310"/>
    <n v="2013"/>
    <n v="47881"/>
    <n v="2018"/>
    <n v="21425"/>
    <n v="2022"/>
    <x v="0"/>
    <n v="24421.913480885312"/>
    <n v="47881"/>
    <s v="Decreasing"/>
    <m/>
    <m/>
    <m/>
    <m/>
    <x v="350"/>
    <n v="11.533311919590307"/>
    <n v="5.1687043348391999"/>
  </r>
  <r>
    <x v="43"/>
    <s v="UGA"/>
    <n v="34273301"/>
    <x v="25"/>
    <n v="0"/>
    <n v="35273569.999999993"/>
    <n v="7000"/>
    <m/>
    <n v="0"/>
    <m/>
    <n v="8815"/>
    <m/>
    <n v="9802"/>
    <m/>
    <n v="0"/>
    <n v="41515395.000000015"/>
    <n v="0"/>
    <n v="7237"/>
    <m/>
    <n v="0"/>
    <m/>
    <n v="23546"/>
    <m/>
    <n v="0"/>
    <n v="47249584.999999978"/>
    <n v="32957"/>
    <n v="7237"/>
    <n v="8815"/>
    <n v="9802"/>
    <n v="32957"/>
    <x v="311"/>
    <n v="2013"/>
    <n v="7237"/>
    <s v="2018 (triag)"/>
    <n v="32957"/>
    <n v="2022"/>
    <x v="1"/>
    <n v="32957"/>
    <n v="32957"/>
    <s v="Increasing"/>
    <m/>
    <m/>
    <m/>
    <m/>
    <x v="351"/>
    <n v="1.7432087542464663"/>
    <n v="6.9750877177016513"/>
  </r>
  <r>
    <x v="43"/>
    <s v="UGA"/>
    <n v="34273302"/>
    <x v="26"/>
    <n v="0"/>
    <n v="35273569.999999993"/>
    <n v="7000"/>
    <m/>
    <n v="0"/>
    <m/>
    <n v="0"/>
    <m/>
    <n v="9802"/>
    <m/>
    <n v="0"/>
    <n v="41515395.000000015"/>
    <n v="0"/>
    <n v="0"/>
    <m/>
    <n v="0"/>
    <m/>
    <n v="0"/>
    <m/>
    <n v="0"/>
    <n v="47249584.999999978"/>
    <n v="0"/>
    <n v="0"/>
    <n v="7000"/>
    <n v="9802"/>
    <n v="0"/>
    <x v="311"/>
    <n v="2013"/>
    <m/>
    <s v=""/>
    <n v="0"/>
    <s v=""/>
    <x v="1"/>
    <m/>
    <n v="0"/>
    <s v="No change"/>
    <m/>
    <m/>
    <m/>
    <m/>
    <x v="351"/>
    <n v="0"/>
    <n v="0"/>
  </r>
  <r>
    <x v="43"/>
    <s v="UGA"/>
    <n v="34273303"/>
    <x v="27"/>
    <n v="0"/>
    <n v="35273569.999999993"/>
    <n v="0"/>
    <m/>
    <n v="0"/>
    <m/>
    <n v="0"/>
    <m/>
    <n v="0"/>
    <m/>
    <n v="0"/>
    <n v="41515395.000000015"/>
    <n v="0"/>
    <n v="7237"/>
    <m/>
    <n v="0"/>
    <m/>
    <n v="0"/>
    <m/>
    <n v="0"/>
    <n v="47249584.999999978"/>
    <n v="8698"/>
    <n v="7237"/>
    <n v="0"/>
    <n v="0"/>
    <n v="8698"/>
    <x v="0"/>
    <s v=""/>
    <n v="7237"/>
    <s v="2018 (triag)"/>
    <n v="8698"/>
    <n v="2022"/>
    <x v="1"/>
    <n v="8698"/>
    <n v="8698"/>
    <s v="Increasing"/>
    <m/>
    <m/>
    <m/>
    <m/>
    <x v="0"/>
    <n v="1.7432087542464663"/>
    <n v="1.8408627292705331"/>
  </r>
  <r>
    <x v="43"/>
    <s v="UGA"/>
    <n v="34273304"/>
    <x v="28"/>
    <n v="550"/>
    <n v="35273569.999999993"/>
    <n v="0"/>
    <m/>
    <n v="0"/>
    <m/>
    <n v="45"/>
    <m/>
    <n v="0"/>
    <m/>
    <n v="0"/>
    <n v="41515395.000000015"/>
    <n v="324"/>
    <n v="324"/>
    <m/>
    <n v="0"/>
    <m/>
    <n v="1717"/>
    <m/>
    <n v="0"/>
    <n v="47249584.999999978"/>
    <n v="1712"/>
    <n v="90"/>
    <n v="550"/>
    <n v="324"/>
    <n v="1717"/>
    <x v="312"/>
    <n v="2012"/>
    <n v="324"/>
    <n v="2018"/>
    <n v="1712"/>
    <n v="2022"/>
    <x v="1"/>
    <n v="1712"/>
    <n v="1712"/>
    <s v="Increasing"/>
    <m/>
    <m/>
    <m/>
    <m/>
    <x v="352"/>
    <n v="7.8043337899109444E-2"/>
    <n v="0.36233122470811135"/>
  </r>
  <r>
    <x v="43"/>
    <s v="UGA"/>
    <n v="34273305"/>
    <x v="29"/>
    <n v="650"/>
    <n v="35273569.999999993"/>
    <n v="0"/>
    <m/>
    <n v="0"/>
    <m/>
    <n v="0"/>
    <m/>
    <n v="0"/>
    <m/>
    <n v="0"/>
    <n v="41515395.000000015"/>
    <n v="0"/>
    <n v="234"/>
    <m/>
    <n v="0"/>
    <m/>
    <n v="0"/>
    <m/>
    <n v="0"/>
    <n v="47249584.999999978"/>
    <n v="1820"/>
    <n v="234"/>
    <n v="650"/>
    <n v="0"/>
    <n v="1820"/>
    <x v="313"/>
    <n v="2012"/>
    <n v="234"/>
    <s v="2018 (triag)"/>
    <n v="1820"/>
    <n v="2022"/>
    <x v="1"/>
    <n v="1820"/>
    <n v="1820"/>
    <s v="Increasing"/>
    <m/>
    <m/>
    <m/>
    <m/>
    <x v="353"/>
    <n v="5.6364632927134603E-2"/>
    <n v="0.3851885683228754"/>
  </r>
  <r>
    <x v="43"/>
    <s v="UGA"/>
    <n v="34273306"/>
    <x v="30"/>
    <n v="0"/>
    <n v="35273569.999999993"/>
    <n v="0"/>
    <m/>
    <n v="0"/>
    <m/>
    <n v="276"/>
    <m/>
    <n v="0"/>
    <m/>
    <n v="0"/>
    <n v="41515395.000000015"/>
    <n v="26"/>
    <n v="26"/>
    <m/>
    <n v="310"/>
    <m/>
    <n v="255"/>
    <m/>
    <n v="0"/>
    <n v="47249584.999999978"/>
    <n v="504"/>
    <n v="0"/>
    <n v="276"/>
    <n v="310"/>
    <n v="504"/>
    <x v="314"/>
    <n v="2015"/>
    <n v="26"/>
    <n v="2018"/>
    <n v="504"/>
    <n v="2022"/>
    <x v="1"/>
    <n v="504"/>
    <n v="504"/>
    <s v="Increasing"/>
    <m/>
    <m/>
    <m/>
    <m/>
    <x v="354"/>
    <n v="6.2627369919038443E-3"/>
    <n v="0.10666760353556549"/>
  </r>
  <r>
    <x v="43"/>
    <s v="UGA"/>
    <n v="34273307"/>
    <x v="31"/>
    <n v="0"/>
    <n v="35273569.999999993"/>
    <n v="0"/>
    <m/>
    <n v="0"/>
    <m/>
    <n v="0"/>
    <m/>
    <n v="0"/>
    <m/>
    <n v="0"/>
    <n v="41515395.000000015"/>
    <n v="0"/>
    <n v="26"/>
    <m/>
    <n v="900"/>
    <m/>
    <n v="0"/>
    <m/>
    <n v="0"/>
    <n v="47249584.999999978"/>
    <n v="1084"/>
    <n v="26"/>
    <n v="0"/>
    <n v="900"/>
    <n v="1084"/>
    <x v="0"/>
    <s v=""/>
    <n v="26"/>
    <s v="2018 (triag)"/>
    <n v="1084"/>
    <n v="2022"/>
    <x v="1"/>
    <n v="1084"/>
    <n v="1084"/>
    <s v="Increasing"/>
    <m/>
    <m/>
    <m/>
    <m/>
    <x v="0"/>
    <n v="6.2627369919038443E-3"/>
    <n v="0.22942000442966864"/>
  </r>
  <r>
    <x v="43"/>
    <s v="UGA"/>
    <n v="34273308"/>
    <x v="32"/>
    <n v="0"/>
    <n v="35273569.999999993"/>
    <n v="0"/>
    <m/>
    <n v="0"/>
    <m/>
    <n v="0"/>
    <m/>
    <n v="0"/>
    <m/>
    <n v="0"/>
    <n v="41515395.000000015"/>
    <n v="0"/>
    <n v="0"/>
    <m/>
    <n v="0"/>
    <m/>
    <n v="0"/>
    <m/>
    <n v="0"/>
    <n v="47249584.999999978"/>
    <n v="0"/>
    <n v="0"/>
    <n v="0"/>
    <n v="0"/>
    <n v="0"/>
    <x v="0"/>
    <s v=""/>
    <m/>
    <s v=""/>
    <n v="0"/>
    <s v=""/>
    <x v="1"/>
    <m/>
    <n v="0"/>
    <s v="No change"/>
    <m/>
    <m/>
    <m/>
    <m/>
    <x v="0"/>
    <n v="0"/>
    <n v="0"/>
  </r>
  <r>
    <x v="44"/>
    <s v="ZAF"/>
    <n v="53145033.000000007"/>
    <x v="19"/>
    <n v="0"/>
    <n v="53873616"/>
    <n v="0"/>
    <n v="54729550.99999997"/>
    <n v="0"/>
    <n v="55876503.999999993"/>
    <n v="0"/>
    <n v="56422273.499999985"/>
    <n v="43141"/>
    <n v="56641209.500000007"/>
    <n v="44653"/>
    <n v="57339635.000000015"/>
    <n v="43503"/>
    <n v="43503"/>
    <n v="58087054.999999985"/>
    <n v="46393"/>
    <n v="58801926.500000022"/>
    <n v="0"/>
    <n v="59392255"/>
    <n v="48021"/>
    <n v="59893885.5"/>
    <n v="0"/>
    <n v="43503"/>
    <n v="0"/>
    <n v="46393"/>
    <n v="48021"/>
    <x v="0"/>
    <s v=""/>
    <n v="43503"/>
    <n v="2018"/>
    <n v="48021"/>
    <n v="2021"/>
    <x v="1"/>
    <n v="48021"/>
    <n v="48021"/>
    <s v="Increasing"/>
    <m/>
    <m/>
    <m/>
    <m/>
    <x v="0"/>
    <n v="7.5868986609349687"/>
    <n v="8.0176798681728538"/>
  </r>
  <r>
    <x v="44"/>
    <s v="ZAF"/>
    <n v="53145034"/>
    <x v="20"/>
    <n v="0"/>
    <n v="53873616"/>
    <n v="0"/>
    <m/>
    <n v="0"/>
    <m/>
    <n v="0"/>
    <m/>
    <n v="0"/>
    <m/>
    <n v="0"/>
    <n v="57339635.000000015"/>
    <n v="29311"/>
    <n v="29311"/>
    <m/>
    <n v="0"/>
    <m/>
    <n v="0"/>
    <m/>
    <n v="0"/>
    <n v="59893885.5"/>
    <n v="0"/>
    <n v="29311"/>
    <n v="0"/>
    <n v="29311"/>
    <n v="0"/>
    <x v="0"/>
    <s v=""/>
    <n v="29311"/>
    <n v="2018"/>
    <n v="29311"/>
    <n v="2018"/>
    <x v="1"/>
    <n v="29311"/>
    <n v="29311"/>
    <s v="No change"/>
    <m/>
    <m/>
    <m/>
    <m/>
    <x v="0"/>
    <n v="5.1118218663233543"/>
    <n v="4.8938217574814047"/>
  </r>
  <r>
    <x v="44"/>
    <s v="ZAF"/>
    <n v="53145035"/>
    <x v="21"/>
    <n v="0"/>
    <n v="53873616"/>
    <n v="0"/>
    <m/>
    <n v="0"/>
    <m/>
    <n v="0"/>
    <m/>
    <n v="0"/>
    <m/>
    <n v="0"/>
    <n v="57339635.000000015"/>
    <n v="14192"/>
    <n v="14192"/>
    <m/>
    <n v="0"/>
    <m/>
    <n v="0"/>
    <m/>
    <n v="0"/>
    <n v="59893885.5"/>
    <n v="0"/>
    <n v="14192"/>
    <n v="0"/>
    <n v="14192"/>
    <n v="0"/>
    <x v="0"/>
    <s v=""/>
    <n v="14192"/>
    <n v="2018"/>
    <n v="14192"/>
    <n v="2018"/>
    <x v="1"/>
    <n v="14192"/>
    <n v="14192"/>
    <s v="No change"/>
    <m/>
    <m/>
    <m/>
    <m/>
    <x v="0"/>
    <n v="2.4750767946116148"/>
    <n v="2.3695240142668652"/>
  </r>
  <r>
    <x v="44"/>
    <s v="ZAF"/>
    <n v="53145036"/>
    <x v="22"/>
    <n v="58722"/>
    <n v="53873616"/>
    <n v="0"/>
    <m/>
    <n v="0"/>
    <m/>
    <n v="0"/>
    <m/>
    <n v="0"/>
    <m/>
    <n v="0"/>
    <n v="57339635.000000015"/>
    <n v="70552"/>
    <n v="287458"/>
    <m/>
    <n v="64638"/>
    <m/>
    <n v="61028"/>
    <m/>
    <n v="0"/>
    <n v="59893885.5"/>
    <n v="271047"/>
    <n v="287458"/>
    <n v="58722"/>
    <n v="70552"/>
    <n v="271047"/>
    <x v="315"/>
    <n v="2012"/>
    <n v="287458"/>
    <s v="2018 (triag)"/>
    <n v="271047"/>
    <n v="2022"/>
    <x v="0"/>
    <n v="397261.24962174537"/>
    <n v="397261.24962174537"/>
    <s v="Increasing"/>
    <m/>
    <m/>
    <m/>
    <m/>
    <x v="355"/>
    <n v="50.132513051399776"/>
    <n v="66.327513452394967"/>
  </r>
  <r>
    <x v="44"/>
    <s v="ZAF"/>
    <n v="53145037"/>
    <x v="23"/>
    <n v="0"/>
    <n v="53873616"/>
    <n v="0"/>
    <m/>
    <n v="0"/>
    <m/>
    <n v="0"/>
    <m/>
    <n v="0"/>
    <m/>
    <n v="0"/>
    <n v="57339635.000000015"/>
    <n v="0"/>
    <n v="140598"/>
    <m/>
    <n v="0"/>
    <m/>
    <n v="0"/>
    <m/>
    <n v="0"/>
    <n v="59893885.5"/>
    <n v="0"/>
    <n v="140598"/>
    <n v="0"/>
    <n v="0"/>
    <n v="0"/>
    <x v="0"/>
    <s v=""/>
    <n v="140598"/>
    <s v="2018 (triag)"/>
    <n v="140598"/>
    <s v="2018 (triag)"/>
    <x v="1"/>
    <n v="140598"/>
    <n v="140598"/>
    <s v="No change"/>
    <m/>
    <m/>
    <m/>
    <m/>
    <x v="0"/>
    <n v="24.520211891826651"/>
    <n v="23.474516442918034"/>
  </r>
  <r>
    <x v="44"/>
    <s v="ZAF"/>
    <n v="53145038"/>
    <x v="24"/>
    <n v="0"/>
    <n v="53873616"/>
    <n v="0"/>
    <m/>
    <n v="0"/>
    <m/>
    <n v="0"/>
    <m/>
    <n v="0"/>
    <m/>
    <n v="0"/>
    <n v="57339635.000000015"/>
    <n v="0"/>
    <n v="146860"/>
    <m/>
    <n v="0"/>
    <m/>
    <n v="0"/>
    <m/>
    <n v="0"/>
    <n v="59893885.5"/>
    <n v="0"/>
    <n v="146860"/>
    <n v="0"/>
    <n v="0"/>
    <n v="0"/>
    <x v="0"/>
    <s v=""/>
    <n v="146860"/>
    <s v="2018 (triag)"/>
    <n v="146860"/>
    <s v="2018 (triag)"/>
    <x v="1"/>
    <n v="146860"/>
    <n v="146860"/>
    <s v="No change"/>
    <m/>
    <m/>
    <m/>
    <m/>
    <x v="0"/>
    <n v="25.612301159573121"/>
    <n v="24.520032182583979"/>
  </r>
  <r>
    <x v="44"/>
    <s v="ZAF"/>
    <n v="53145039"/>
    <x v="25"/>
    <n v="0"/>
    <n v="53873616"/>
    <n v="0"/>
    <m/>
    <n v="0"/>
    <m/>
    <n v="0"/>
    <m/>
    <n v="1284"/>
    <m/>
    <n v="0"/>
    <n v="57339635.000000015"/>
    <n v="0"/>
    <n v="0"/>
    <m/>
    <n v="0"/>
    <m/>
    <n v="0"/>
    <m/>
    <n v="0"/>
    <n v="59893885.5"/>
    <n v="0"/>
    <n v="0"/>
    <n v="0"/>
    <n v="1284"/>
    <n v="0"/>
    <x v="0"/>
    <s v=""/>
    <m/>
    <s v=""/>
    <n v="0"/>
    <s v=""/>
    <x v="1"/>
    <m/>
    <n v="0"/>
    <s v="No change"/>
    <m/>
    <m/>
    <m/>
    <m/>
    <x v="0"/>
    <n v="0"/>
    <n v="0"/>
  </r>
  <r>
    <x v="44"/>
    <s v="ZAF"/>
    <n v="53145040"/>
    <x v="26"/>
    <n v="0"/>
    <n v="53873616"/>
    <n v="0"/>
    <m/>
    <n v="0"/>
    <m/>
    <n v="0"/>
    <m/>
    <n v="1284"/>
    <m/>
    <n v="0"/>
    <n v="57339635.000000015"/>
    <n v="0"/>
    <n v="0"/>
    <m/>
    <n v="0"/>
    <m/>
    <n v="0"/>
    <m/>
    <n v="0"/>
    <n v="59893885.5"/>
    <n v="0"/>
    <n v="0"/>
    <n v="0"/>
    <n v="1284"/>
    <n v="0"/>
    <x v="0"/>
    <s v=""/>
    <m/>
    <s v=""/>
    <n v="0"/>
    <s v=""/>
    <x v="1"/>
    <m/>
    <n v="0"/>
    <s v="No change"/>
    <m/>
    <m/>
    <m/>
    <m/>
    <x v="0"/>
    <n v="0"/>
    <n v="0"/>
  </r>
  <r>
    <x v="44"/>
    <s v="ZAF"/>
    <n v="53145041"/>
    <x v="27"/>
    <n v="0"/>
    <n v="53873616"/>
    <n v="0"/>
    <m/>
    <n v="0"/>
    <m/>
    <n v="0"/>
    <m/>
    <n v="0"/>
    <m/>
    <n v="0"/>
    <n v="57339635.000000015"/>
    <n v="0"/>
    <n v="0"/>
    <m/>
    <n v="0"/>
    <m/>
    <n v="0"/>
    <m/>
    <n v="0"/>
    <n v="59893885.5"/>
    <n v="0"/>
    <n v="0"/>
    <n v="0"/>
    <n v="0"/>
    <n v="0"/>
    <x v="0"/>
    <s v=""/>
    <m/>
    <s v=""/>
    <n v="0"/>
    <s v=""/>
    <x v="1"/>
    <m/>
    <n v="0"/>
    <s v="No change"/>
    <m/>
    <m/>
    <m/>
    <m/>
    <x v="0"/>
    <n v="0"/>
    <n v="0"/>
  </r>
  <r>
    <x v="44"/>
    <s v="ZAF"/>
    <n v="53145042"/>
    <x v="28"/>
    <n v="13642"/>
    <n v="53873616"/>
    <n v="0"/>
    <m/>
    <n v="14994"/>
    <m/>
    <n v="15784"/>
    <m/>
    <n v="15267"/>
    <m/>
    <n v="0"/>
    <n v="57339635.000000015"/>
    <n v="0"/>
    <n v="14412"/>
    <m/>
    <n v="0"/>
    <m/>
    <n v="0"/>
    <m/>
    <n v="0"/>
    <n v="59893885.5"/>
    <n v="17703"/>
    <n v="14412"/>
    <n v="15784"/>
    <n v="15267"/>
    <n v="17703"/>
    <x v="316"/>
    <n v="2012"/>
    <n v="14412"/>
    <s v="2018 (triag)"/>
    <n v="17703"/>
    <n v="2022"/>
    <x v="1"/>
    <n v="17703"/>
    <n v="17703"/>
    <s v="Increasing"/>
    <m/>
    <m/>
    <m/>
    <m/>
    <x v="356"/>
    <n v="2.513444670514557"/>
    <n v="2.9557274256317867"/>
  </r>
  <r>
    <x v="44"/>
    <s v="ZAF"/>
    <n v="53145043"/>
    <x v="29"/>
    <n v="7320"/>
    <n v="53873616"/>
    <n v="0"/>
    <m/>
    <n v="17491"/>
    <m/>
    <n v="18477"/>
    <m/>
    <n v="21713"/>
    <m/>
    <n v="11741"/>
    <n v="57339635.000000015"/>
    <n v="0"/>
    <n v="1783"/>
    <m/>
    <n v="0"/>
    <m/>
    <n v="0"/>
    <m/>
    <n v="0"/>
    <n v="59893885.5"/>
    <n v="0"/>
    <n v="1783"/>
    <n v="18477"/>
    <n v="21713"/>
    <n v="0"/>
    <x v="317"/>
    <n v="2012"/>
    <n v="1783"/>
    <s v="2018 (triag)"/>
    <n v="1783"/>
    <s v="2018 (triag)"/>
    <x v="1"/>
    <n v="1783"/>
    <n v="1783"/>
    <s v="No change"/>
    <m/>
    <m/>
    <m/>
    <m/>
    <x v="357"/>
    <n v="0.31095419424975401"/>
    <n v="0.29769315934595691"/>
  </r>
  <r>
    <x v="44"/>
    <s v="ZAF"/>
    <n v="53145044"/>
    <x v="30"/>
    <n v="5554"/>
    <n v="53873616"/>
    <n v="5770"/>
    <m/>
    <n v="5817"/>
    <m/>
    <n v="5985"/>
    <m/>
    <n v="6158"/>
    <m/>
    <n v="6314"/>
    <n v="57339635.000000015"/>
    <n v="6433"/>
    <n v="6433"/>
    <m/>
    <n v="6365"/>
    <m/>
    <n v="0"/>
    <m/>
    <n v="6586"/>
    <n v="59893885.5"/>
    <n v="1348"/>
    <n v="6155"/>
    <n v="5985"/>
    <n v="6433"/>
    <n v="6586"/>
    <x v="318"/>
    <n v="2013"/>
    <n v="6433"/>
    <n v="2018"/>
    <n v="1348"/>
    <n v="2022"/>
    <x v="0"/>
    <n v="1975.7022379517678"/>
    <n v="6433"/>
    <s v="Decreasing"/>
    <m/>
    <m/>
    <m/>
    <m/>
    <x v="358"/>
    <n v="1.1219115712892136"/>
    <n v="0.32986710103350497"/>
  </r>
  <r>
    <x v="44"/>
    <s v="ZAF"/>
    <n v="53145045"/>
    <x v="31"/>
    <n v="4104"/>
    <n v="53873616"/>
    <n v="4625"/>
    <m/>
    <n v="4687"/>
    <m/>
    <n v="4785"/>
    <m/>
    <n v="5484"/>
    <m/>
    <n v="6948"/>
    <n v="57339635.000000015"/>
    <n v="0"/>
    <n v="661"/>
    <m/>
    <n v="0"/>
    <m/>
    <n v="0"/>
    <m/>
    <n v="6165"/>
    <n v="59893885.5"/>
    <n v="1550"/>
    <n v="661"/>
    <n v="4785"/>
    <n v="6948"/>
    <n v="6165"/>
    <x v="319"/>
    <n v="2013"/>
    <n v="661"/>
    <s v="2018 (triag)"/>
    <n v="1550"/>
    <n v="2022"/>
    <x v="1"/>
    <n v="1550"/>
    <n v="1550"/>
    <s v="Increasing"/>
    <m/>
    <m/>
    <m/>
    <m/>
    <x v="359"/>
    <n v="0.11527802714474897"/>
    <n v="0.25879102466978871"/>
  </r>
  <r>
    <x v="44"/>
    <s v="ZAF"/>
    <n v="53145046"/>
    <x v="32"/>
    <n v="0"/>
    <n v="53873616"/>
    <n v="0"/>
    <m/>
    <n v="0"/>
    <m/>
    <n v="0"/>
    <m/>
    <n v="8190"/>
    <m/>
    <n v="8453"/>
    <n v="57339635.000000015"/>
    <n v="8565"/>
    <n v="8565"/>
    <m/>
    <n v="8742"/>
    <m/>
    <n v="0"/>
    <m/>
    <n v="9125"/>
    <n v="59893885.5"/>
    <n v="723"/>
    <n v="0"/>
    <n v="0"/>
    <n v="8742"/>
    <n v="9125"/>
    <x v="0"/>
    <s v=""/>
    <n v="8565"/>
    <n v="2018"/>
    <n v="723"/>
    <n v="2022"/>
    <x v="0"/>
    <n v="1059.6681884563263"/>
    <n v="8565"/>
    <s v="Decreasing"/>
    <m/>
    <m/>
    <m/>
    <m/>
    <x v="0"/>
    <n v="1.4937311686759076"/>
    <n v="0.17692426858102675"/>
  </r>
  <r>
    <x v="45"/>
    <s v="ZMB"/>
    <n v="14744657.999999998"/>
    <x v="19"/>
    <n v="0"/>
    <n v="15234975.999999991"/>
    <n v="0"/>
    <n v="15737792.999999998"/>
    <n v="0"/>
    <n v="16248229.999999996"/>
    <n v="0"/>
    <n v="16767760.499999996"/>
    <n v="1514"/>
    <n v="17298053.500000004"/>
    <n v="0"/>
    <n v="17835892.999999981"/>
    <n v="4021"/>
    <n v="4021"/>
    <n v="18380476.500000004"/>
    <n v="4386"/>
    <n v="18927715.000000022"/>
    <n v="4818"/>
    <n v="19473124.999999996"/>
    <n v="5773"/>
    <n v="20017675.000000004"/>
    <n v="6531"/>
    <n v="2026"/>
    <n v="0"/>
    <n v="4386"/>
    <n v="6531"/>
    <x v="0"/>
    <s v=""/>
    <n v="4021"/>
    <n v="2018"/>
    <n v="6531"/>
    <n v="2022"/>
    <x v="1"/>
    <n v="6531"/>
    <n v="6531"/>
    <s v="Increasing"/>
    <m/>
    <m/>
    <m/>
    <m/>
    <x v="0"/>
    <n v="2.2544427688594029"/>
    <n v="3.2626166625244934"/>
  </r>
  <r>
    <x v="45"/>
    <s v="ZMB"/>
    <n v="14744659"/>
    <x v="20"/>
    <n v="0"/>
    <n v="15234975.999999991"/>
    <n v="0"/>
    <m/>
    <n v="0"/>
    <m/>
    <n v="0"/>
    <m/>
    <n v="0"/>
    <m/>
    <n v="0"/>
    <n v="17835892.999999981"/>
    <n v="0"/>
    <n v="1701"/>
    <m/>
    <n v="0"/>
    <m/>
    <n v="0"/>
    <m/>
    <n v="0"/>
    <n v="20017675.000000004"/>
    <n v="4709"/>
    <n v="1701"/>
    <n v="0"/>
    <n v="0"/>
    <n v="4709"/>
    <x v="0"/>
    <s v=""/>
    <n v="1701"/>
    <s v="2018 (triag)"/>
    <n v="4709"/>
    <n v="2022"/>
    <x v="1"/>
    <n v="4709"/>
    <n v="4709"/>
    <s v="Increasing"/>
    <m/>
    <m/>
    <m/>
    <m/>
    <x v="0"/>
    <n v="0.95369488928869539"/>
    <n v="2.3524210478989187"/>
  </r>
  <r>
    <x v="45"/>
    <s v="ZMB"/>
    <n v="14744660"/>
    <x v="21"/>
    <n v="0"/>
    <n v="15234975.999999991"/>
    <n v="0"/>
    <m/>
    <n v="0"/>
    <m/>
    <n v="0"/>
    <m/>
    <n v="0"/>
    <m/>
    <n v="0"/>
    <n v="17835892.999999981"/>
    <n v="0"/>
    <n v="325"/>
    <m/>
    <n v="0"/>
    <m/>
    <n v="0"/>
    <m/>
    <n v="0"/>
    <n v="20017675.000000004"/>
    <n v="534"/>
    <n v="325"/>
    <n v="0"/>
    <n v="0"/>
    <n v="534"/>
    <x v="0"/>
    <s v=""/>
    <n v="325"/>
    <s v="2018 (triag)"/>
    <n v="534"/>
    <n v="2022"/>
    <x v="1"/>
    <n v="534"/>
    <n v="534"/>
    <s v="Increasing"/>
    <m/>
    <m/>
    <m/>
    <m/>
    <x v="0"/>
    <n v="0.18221683657779308"/>
    <n v="0.26676424709662833"/>
  </r>
  <r>
    <x v="45"/>
    <s v="ZMB"/>
    <n v="14744661"/>
    <x v="22"/>
    <n v="0"/>
    <n v="15234975.999999991"/>
    <n v="0"/>
    <m/>
    <n v="0"/>
    <m/>
    <n v="0"/>
    <m/>
    <n v="0"/>
    <m/>
    <n v="15691"/>
    <n v="17835892.999999981"/>
    <n v="20746"/>
    <n v="20746"/>
    <m/>
    <n v="23035"/>
    <m/>
    <n v="27674"/>
    <m/>
    <n v="32542"/>
    <n v="20017675.000000004"/>
    <n v="49975"/>
    <n v="14516"/>
    <n v="0"/>
    <n v="23035"/>
    <n v="49975"/>
    <x v="0"/>
    <s v=""/>
    <n v="20746"/>
    <n v="2018"/>
    <n v="49975"/>
    <n v="2022"/>
    <x v="1"/>
    <n v="49975"/>
    <n v="49975"/>
    <s v="Increasing"/>
    <m/>
    <m/>
    <m/>
    <m/>
    <x v="0"/>
    <n v="11.63160151274737"/>
    <n v="24.965436795232208"/>
  </r>
  <r>
    <x v="45"/>
    <s v="ZMB"/>
    <n v="14744662"/>
    <x v="23"/>
    <n v="0"/>
    <n v="15234975.999999991"/>
    <n v="0"/>
    <m/>
    <n v="0"/>
    <m/>
    <n v="0"/>
    <m/>
    <n v="0"/>
    <m/>
    <n v="15691"/>
    <n v="17835892.999999981"/>
    <n v="20746"/>
    <n v="20746"/>
    <m/>
    <n v="23035"/>
    <m/>
    <n v="27674"/>
    <m/>
    <n v="32542"/>
    <n v="20017675.000000004"/>
    <n v="33779"/>
    <n v="14516"/>
    <n v="0"/>
    <n v="23035"/>
    <n v="33779"/>
    <x v="0"/>
    <s v=""/>
    <n v="20746"/>
    <n v="2018"/>
    <n v="33779"/>
    <n v="2022"/>
    <x v="1"/>
    <n v="33779"/>
    <n v="33779"/>
    <s v="Increasing"/>
    <m/>
    <m/>
    <m/>
    <m/>
    <x v="0"/>
    <n v="11.63160151274737"/>
    <n v="16.874587083664807"/>
  </r>
  <r>
    <x v="45"/>
    <s v="ZMB"/>
    <n v="14744663"/>
    <x v="24"/>
    <n v="0"/>
    <n v="15234975.999999991"/>
    <n v="0"/>
    <m/>
    <n v="0"/>
    <m/>
    <n v="0"/>
    <m/>
    <n v="0"/>
    <m/>
    <n v="0"/>
    <n v="17835892.999999981"/>
    <n v="0"/>
    <n v="0"/>
    <m/>
    <n v="0"/>
    <m/>
    <n v="0"/>
    <m/>
    <n v="0"/>
    <n v="20017675.000000004"/>
    <n v="0"/>
    <n v="0"/>
    <n v="0"/>
    <n v="0"/>
    <n v="0"/>
    <x v="0"/>
    <s v=""/>
    <m/>
    <s v=""/>
    <n v="0"/>
    <s v=""/>
    <x v="1"/>
    <m/>
    <n v="0"/>
    <s v="No change"/>
    <m/>
    <m/>
    <m/>
    <m/>
    <x v="0"/>
    <n v="0"/>
    <n v="0"/>
  </r>
  <r>
    <x v="45"/>
    <s v="ZMB"/>
    <n v="14744664"/>
    <x v="25"/>
    <n v="0"/>
    <n v="15234975.999999991"/>
    <n v="2773"/>
    <m/>
    <n v="0"/>
    <m/>
    <n v="0"/>
    <m/>
    <n v="3333"/>
    <m/>
    <n v="0"/>
    <n v="17835892.999999981"/>
    <n v="2137"/>
    <n v="3432"/>
    <m/>
    <n v="3223"/>
    <m/>
    <n v="3312"/>
    <m/>
    <n v="3746"/>
    <n v="20017675.000000004"/>
    <n v="9202"/>
    <n v="3432"/>
    <n v="2773"/>
    <n v="3333"/>
    <n v="9202"/>
    <x v="320"/>
    <n v="2013"/>
    <n v="3432"/>
    <s v="2018 (triag)"/>
    <n v="9202"/>
    <n v="2022"/>
    <x v="1"/>
    <n v="9202"/>
    <n v="9202"/>
    <s v="Increasing"/>
    <m/>
    <m/>
    <m/>
    <m/>
    <x v="360"/>
    <n v="1.9242097942614949"/>
    <n v="4.5969374565227969"/>
  </r>
  <r>
    <x v="45"/>
    <s v="ZMB"/>
    <n v="14744665"/>
    <x v="26"/>
    <n v="0"/>
    <n v="15234975.999999991"/>
    <n v="2773"/>
    <m/>
    <n v="0"/>
    <m/>
    <n v="0"/>
    <m/>
    <n v="192"/>
    <m/>
    <n v="0"/>
    <n v="17835892.999999981"/>
    <n v="2137"/>
    <n v="3432"/>
    <m/>
    <n v="3223"/>
    <m/>
    <n v="3312"/>
    <m/>
    <n v="3746"/>
    <n v="20017675.000000004"/>
    <n v="9202"/>
    <n v="3432"/>
    <n v="2773"/>
    <n v="3223"/>
    <n v="9202"/>
    <x v="320"/>
    <n v="2013"/>
    <n v="3432"/>
    <s v="2018 (triag)"/>
    <n v="9202"/>
    <n v="2022"/>
    <x v="1"/>
    <n v="9202"/>
    <n v="9202"/>
    <s v="Increasing"/>
    <m/>
    <m/>
    <m/>
    <m/>
    <x v="360"/>
    <n v="1.9242097942614949"/>
    <n v="4.5969374565227969"/>
  </r>
  <r>
    <x v="45"/>
    <s v="ZMB"/>
    <n v="14744666"/>
    <x v="27"/>
    <n v="0"/>
    <n v="15234975.999999991"/>
    <n v="0"/>
    <m/>
    <n v="0"/>
    <m/>
    <n v="0"/>
    <m/>
    <n v="0"/>
    <m/>
    <n v="0"/>
    <n v="17835892.999999981"/>
    <n v="0"/>
    <n v="0"/>
    <m/>
    <n v="0"/>
    <m/>
    <n v="0"/>
    <m/>
    <n v="0"/>
    <n v="20017675.000000004"/>
    <n v="0"/>
    <n v="0"/>
    <n v="0"/>
    <n v="0"/>
    <n v="0"/>
    <x v="0"/>
    <s v=""/>
    <m/>
    <s v=""/>
    <n v="0"/>
    <s v=""/>
    <x v="1"/>
    <m/>
    <n v="0"/>
    <s v="No change"/>
    <m/>
    <m/>
    <m/>
    <m/>
    <x v="0"/>
    <n v="0"/>
    <n v="0"/>
  </r>
  <r>
    <x v="45"/>
    <s v="ZMB"/>
    <n v="14744667"/>
    <x v="28"/>
    <n v="409"/>
    <n v="15234975.999999991"/>
    <n v="0"/>
    <m/>
    <n v="0"/>
    <m/>
    <n v="0"/>
    <m/>
    <n v="1159"/>
    <m/>
    <n v="0"/>
    <n v="17835892.999999981"/>
    <n v="727"/>
    <n v="727"/>
    <m/>
    <n v="856"/>
    <m/>
    <n v="1082"/>
    <m/>
    <n v="1376"/>
    <n v="20017675.000000004"/>
    <n v="1425"/>
    <n v="424"/>
    <n v="409"/>
    <n v="1159"/>
    <n v="1425"/>
    <x v="321"/>
    <n v="2012"/>
    <n v="727"/>
    <n v="2018"/>
    <n v="1425"/>
    <n v="2022"/>
    <x v="1"/>
    <n v="1425"/>
    <n v="1425"/>
    <s v="Increasing"/>
    <m/>
    <m/>
    <m/>
    <m/>
    <x v="361"/>
    <n v="0.40760504674478637"/>
    <n v="0.71187088410617105"/>
  </r>
  <r>
    <x v="45"/>
    <s v="ZMB"/>
    <n v="14744668"/>
    <x v="29"/>
    <n v="814"/>
    <n v="15234975.999999991"/>
    <n v="0"/>
    <m/>
    <n v="0"/>
    <m/>
    <n v="0"/>
    <m/>
    <n v="0"/>
    <m/>
    <n v="0"/>
    <n v="17835892.999999981"/>
    <n v="1132"/>
    <n v="1284"/>
    <m/>
    <n v="1312"/>
    <m/>
    <n v="1544"/>
    <m/>
    <n v="1944"/>
    <n v="20017675.000000004"/>
    <n v="1800"/>
    <n v="1284"/>
    <n v="814"/>
    <n v="1312"/>
    <n v="1944"/>
    <x v="322"/>
    <n v="2012"/>
    <n v="1284"/>
    <s v="2018 (triag)"/>
    <n v="1800"/>
    <n v="2022"/>
    <x v="1"/>
    <n v="1800"/>
    <n v="1800"/>
    <s v="Increasing"/>
    <m/>
    <m/>
    <m/>
    <m/>
    <x v="362"/>
    <n v="0.71989667127965018"/>
    <n v="0.89920532729200553"/>
  </r>
  <r>
    <x v="45"/>
    <s v="ZMB"/>
    <n v="14744669"/>
    <x v="30"/>
    <n v="0"/>
    <n v="15234975.999999991"/>
    <n v="0"/>
    <m/>
    <n v="0"/>
    <m/>
    <n v="0"/>
    <m/>
    <n v="312"/>
    <m/>
    <n v="0"/>
    <n v="17835892.999999981"/>
    <n v="160"/>
    <n v="160"/>
    <m/>
    <n v="180"/>
    <m/>
    <n v="205"/>
    <m/>
    <n v="269"/>
    <n v="20017675.000000004"/>
    <n v="306"/>
    <n v="43"/>
    <n v="0"/>
    <n v="312"/>
    <n v="306"/>
    <x v="0"/>
    <s v=""/>
    <n v="160"/>
    <n v="2018"/>
    <n v="306"/>
    <n v="2022"/>
    <x v="1"/>
    <n v="306"/>
    <n v="306"/>
    <s v="Increasing"/>
    <m/>
    <m/>
    <m/>
    <m/>
    <x v="0"/>
    <n v="8.9706750315221198E-2"/>
    <n v="0.15286490563964095"/>
  </r>
  <r>
    <x v="45"/>
    <s v="ZMB"/>
    <n v="14744670"/>
    <x v="31"/>
    <n v="282"/>
    <n v="15234975.999999991"/>
    <n v="0"/>
    <m/>
    <n v="0"/>
    <m/>
    <n v="0"/>
    <m/>
    <n v="0"/>
    <m/>
    <n v="0"/>
    <n v="17835892.999999981"/>
    <n v="353"/>
    <n v="412"/>
    <m/>
    <n v="390"/>
    <m/>
    <n v="453"/>
    <m/>
    <n v="499"/>
    <n v="20017675.000000004"/>
    <n v="743"/>
    <n v="412"/>
    <n v="282"/>
    <n v="390"/>
    <n v="743"/>
    <x v="323"/>
    <n v="2012"/>
    <n v="412"/>
    <s v="2018 (triag)"/>
    <n v="743"/>
    <n v="2022"/>
    <x v="1"/>
    <n v="743"/>
    <n v="743"/>
    <s v="Increasing"/>
    <m/>
    <m/>
    <m/>
    <m/>
    <x v="363"/>
    <n v="0.23099488206169461"/>
    <n v="0.37117197676553337"/>
  </r>
  <r>
    <x v="45"/>
    <s v="ZMB"/>
    <n v="14744671"/>
    <x v="32"/>
    <n v="0"/>
    <n v="15234975.999999991"/>
    <n v="0"/>
    <m/>
    <n v="0"/>
    <m/>
    <n v="0"/>
    <m/>
    <n v="0"/>
    <m/>
    <n v="0"/>
    <n v="17835892.999999981"/>
    <n v="0"/>
    <n v="0"/>
    <m/>
    <n v="0"/>
    <m/>
    <n v="0"/>
    <m/>
    <n v="0"/>
    <n v="20017675.000000004"/>
    <n v="4"/>
    <n v="0"/>
    <n v="0"/>
    <n v="0"/>
    <n v="4"/>
    <x v="0"/>
    <s v=""/>
    <m/>
    <s v=""/>
    <n v="4"/>
    <n v="2022"/>
    <x v="1"/>
    <n v="4"/>
    <n v="4"/>
    <s v="Increasing"/>
    <m/>
    <m/>
    <m/>
    <m/>
    <x v="0"/>
    <n v="0"/>
    <n v="1.998234060648901E-3"/>
  </r>
  <r>
    <x v="46"/>
    <s v="ZWE"/>
    <n v="13265331.000000002"/>
    <x v="19"/>
    <n v="1059"/>
    <n v="13555421.500000011"/>
    <n v="1114"/>
    <n v="13855753.000000004"/>
    <n v="1685"/>
    <n v="14154937"/>
    <n v="2508"/>
    <n v="14452704.499999994"/>
    <n v="2508"/>
    <n v="14751100.999999998"/>
    <n v="2646"/>
    <n v="15052184.000000007"/>
    <n v="3026"/>
    <n v="3026"/>
    <n v="15354607.5"/>
    <n v="0"/>
    <n v="15669665.999999998"/>
    <n v="2957"/>
    <n v="15993524.000000002"/>
    <n v="0"/>
    <n v="16320536.999999996"/>
    <n v="2708"/>
    <n v="1959"/>
    <n v="2508"/>
    <n v="3026"/>
    <n v="2957"/>
    <x v="324"/>
    <n v="2013"/>
    <n v="3026"/>
    <n v="2018"/>
    <n v="2708"/>
    <n v="2022"/>
    <x v="0"/>
    <n v="3131.5983655333839"/>
    <n v="3131.5983655333839"/>
    <s v="Increasing"/>
    <m/>
    <m/>
    <m/>
    <m/>
    <x v="364"/>
    <n v="2.010339496248517"/>
    <n v="1.9188084102461731"/>
  </r>
  <r>
    <x v="46"/>
    <s v="ZWE"/>
    <n v="13265332"/>
    <x v="20"/>
    <n v="0"/>
    <n v="13555421.500000011"/>
    <n v="0"/>
    <m/>
    <n v="1458"/>
    <m/>
    <n v="1754"/>
    <m/>
    <n v="1754"/>
    <m/>
    <n v="1754"/>
    <n v="15052184.000000007"/>
    <n v="1863"/>
    <n v="1863"/>
    <m/>
    <n v="0"/>
    <m/>
    <n v="0"/>
    <m/>
    <n v="0"/>
    <n v="16320536.999999996"/>
    <n v="2032"/>
    <n v="1715"/>
    <n v="1754"/>
    <n v="1863"/>
    <n v="2032"/>
    <x v="325"/>
    <n v="2014"/>
    <n v="1863"/>
    <n v="2018"/>
    <n v="2032"/>
    <n v="2022"/>
    <x v="1"/>
    <n v="2032"/>
    <n v="2032"/>
    <s v="Increasing"/>
    <m/>
    <m/>
    <m/>
    <m/>
    <x v="365"/>
    <n v="1.2376941445839349"/>
    <n v="1.2450570713451405"/>
  </r>
  <r>
    <x v="46"/>
    <s v="ZWE"/>
    <n v="13265333"/>
    <x v="21"/>
    <n v="0"/>
    <n v="13555421.500000011"/>
    <n v="0"/>
    <m/>
    <n v="227"/>
    <m/>
    <n v="446"/>
    <m/>
    <n v="446"/>
    <m/>
    <n v="446"/>
    <n v="15052184.000000007"/>
    <n v="619"/>
    <n v="619"/>
    <m/>
    <n v="0"/>
    <m/>
    <n v="0"/>
    <m/>
    <n v="0"/>
    <n v="16320536.999999996"/>
    <n v="676"/>
    <n v="244"/>
    <n v="446"/>
    <n v="619"/>
    <n v="676"/>
    <x v="100"/>
    <n v="2014"/>
    <n v="619"/>
    <n v="2018"/>
    <n v="676"/>
    <n v="2022"/>
    <x v="1"/>
    <n v="676"/>
    <n v="676"/>
    <s v="Increasing"/>
    <m/>
    <m/>
    <m/>
    <m/>
    <x v="366"/>
    <n v="0.41123600402439919"/>
    <n v="0.41420205719946601"/>
  </r>
  <r>
    <x v="46"/>
    <s v="ZWE"/>
    <n v="13265334"/>
    <x v="22"/>
    <n v="15536"/>
    <n v="13555421.500000011"/>
    <n v="18722"/>
    <m/>
    <n v="20885"/>
    <m/>
    <n v="19099"/>
    <m/>
    <n v="19642"/>
    <m/>
    <n v="28170"/>
    <n v="15052184.000000007"/>
    <n v="27874"/>
    <n v="27874"/>
    <m/>
    <n v="0"/>
    <m/>
    <n v="22499"/>
    <m/>
    <n v="0"/>
    <n v="16320536.999999996"/>
    <n v="46537"/>
    <n v="25835"/>
    <n v="20885"/>
    <n v="28170"/>
    <n v="46537"/>
    <x v="326"/>
    <n v="2013"/>
    <n v="27874"/>
    <n v="2018"/>
    <n v="46537"/>
    <n v="2022"/>
    <x v="1"/>
    <n v="46537"/>
    <n v="46537"/>
    <s v="Increasing"/>
    <m/>
    <m/>
    <m/>
    <m/>
    <x v="367"/>
    <n v="18.518242934048633"/>
    <n v="28.514380378537798"/>
  </r>
  <r>
    <x v="46"/>
    <s v="ZWE"/>
    <n v="13265335"/>
    <x v="23"/>
    <n v="0"/>
    <n v="13555421.500000011"/>
    <n v="0"/>
    <m/>
    <n v="18315"/>
    <m/>
    <n v="16781"/>
    <m/>
    <n v="17054"/>
    <m/>
    <n v="18810"/>
    <n v="15052184.000000007"/>
    <n v="14822"/>
    <n v="19171"/>
    <m/>
    <n v="0"/>
    <m/>
    <n v="0"/>
    <m/>
    <n v="0"/>
    <n v="16320536.999999996"/>
    <n v="32182"/>
    <n v="19171"/>
    <n v="18315"/>
    <n v="18810"/>
    <n v="32182"/>
    <x v="327"/>
    <n v="2014"/>
    <n v="19171"/>
    <s v="2018 (triag)"/>
    <n v="32182"/>
    <n v="2022"/>
    <x v="1"/>
    <n v="32182"/>
    <n v="32182"/>
    <s v="Increasing"/>
    <m/>
    <m/>
    <m/>
    <m/>
    <x v="368"/>
    <n v="12.736357727224163"/>
    <n v="19.718713912416"/>
  </r>
  <r>
    <x v="46"/>
    <s v="ZWE"/>
    <n v="13265336"/>
    <x v="24"/>
    <n v="0"/>
    <n v="13555421.500000011"/>
    <n v="0"/>
    <m/>
    <n v="2570"/>
    <m/>
    <n v="2318"/>
    <m/>
    <n v="2588"/>
    <m/>
    <n v="9360"/>
    <n v="15052184.000000007"/>
    <n v="13052"/>
    <n v="13052"/>
    <m/>
    <n v="0"/>
    <m/>
    <n v="0"/>
    <m/>
    <n v="0"/>
    <n v="16320536.999999996"/>
    <n v="0"/>
    <n v="6664"/>
    <n v="2570"/>
    <n v="13052"/>
    <n v="0"/>
    <x v="328"/>
    <n v="2014"/>
    <n v="13052"/>
    <n v="2018"/>
    <n v="13052"/>
    <n v="2018"/>
    <x v="1"/>
    <n v="13052"/>
    <n v="13052"/>
    <s v="No change"/>
    <m/>
    <m/>
    <m/>
    <m/>
    <x v="369"/>
    <n v="8.6711669216905616"/>
    <n v="7.9972858736204593"/>
  </r>
  <r>
    <x v="46"/>
    <s v="ZWE"/>
    <n v="13265337"/>
    <x v="25"/>
    <n v="0"/>
    <n v="13555421.500000011"/>
    <n v="0"/>
    <m/>
    <n v="0"/>
    <m/>
    <n v="0"/>
    <m/>
    <n v="0"/>
    <m/>
    <n v="8806"/>
    <n v="15052184.000000007"/>
    <n v="0"/>
    <n v="854"/>
    <m/>
    <n v="0"/>
    <m/>
    <n v="9293"/>
    <m/>
    <n v="0"/>
    <n v="16320536.999999996"/>
    <n v="9601"/>
    <n v="854"/>
    <n v="0"/>
    <n v="8806"/>
    <n v="9601"/>
    <x v="0"/>
    <s v=""/>
    <n v="854"/>
    <s v="2018 (triag)"/>
    <n v="9601"/>
    <n v="2022"/>
    <x v="1"/>
    <n v="9601"/>
    <n v="9601"/>
    <s v="Increasing"/>
    <m/>
    <m/>
    <m/>
    <m/>
    <x v="0"/>
    <n v="0.56735952736161055"/>
    <n v="5.8827721171184519"/>
  </r>
  <r>
    <x v="46"/>
    <s v="ZWE"/>
    <n v="13265338"/>
    <x v="26"/>
    <n v="0"/>
    <n v="13555421.500000011"/>
    <n v="0"/>
    <m/>
    <n v="0"/>
    <m/>
    <n v="0"/>
    <m/>
    <n v="0"/>
    <m/>
    <n v="0"/>
    <n v="15052184.000000007"/>
    <n v="0"/>
    <n v="845"/>
    <m/>
    <n v="0"/>
    <m/>
    <n v="0"/>
    <m/>
    <n v="0"/>
    <n v="16320536.999999996"/>
    <n v="2796"/>
    <n v="845"/>
    <n v="0"/>
    <n v="0"/>
    <n v="2796"/>
    <x v="0"/>
    <s v=""/>
    <n v="845"/>
    <s v="2018 (triag)"/>
    <n v="2796"/>
    <n v="2022"/>
    <x v="1"/>
    <n v="2796"/>
    <n v="2796"/>
    <s v="Increasing"/>
    <m/>
    <m/>
    <m/>
    <m/>
    <x v="0"/>
    <n v="0.56138032859550457"/>
    <n v="1.7131789229729393"/>
  </r>
  <r>
    <x v="46"/>
    <s v="ZWE"/>
    <n v="13265339"/>
    <x v="27"/>
    <n v="0"/>
    <n v="13555421.500000011"/>
    <n v="0"/>
    <m/>
    <n v="0"/>
    <m/>
    <n v="0"/>
    <m/>
    <n v="0"/>
    <m/>
    <n v="0"/>
    <n v="15052184.000000007"/>
    <n v="0"/>
    <n v="9"/>
    <m/>
    <n v="0"/>
    <m/>
    <n v="0"/>
    <m/>
    <n v="0"/>
    <n v="16320536.999999996"/>
    <n v="0"/>
    <n v="9"/>
    <n v="0"/>
    <n v="0"/>
    <n v="0"/>
    <x v="0"/>
    <s v=""/>
    <n v="9"/>
    <s v="2018 (triag)"/>
    <n v="9"/>
    <s v="2018 (triag)"/>
    <x v="1"/>
    <n v="9"/>
    <n v="9"/>
    <s v="No change"/>
    <m/>
    <m/>
    <m/>
    <m/>
    <x v="0"/>
    <n v="5.9791987661059658E-3"/>
    <n v="5.5145244301704052E-3"/>
  </r>
  <r>
    <x v="46"/>
    <s v="ZWE"/>
    <n v="13265340"/>
    <x v="28"/>
    <n v="378"/>
    <n v="13555421.500000011"/>
    <n v="394"/>
    <m/>
    <n v="193"/>
    <m/>
    <n v="141"/>
    <m/>
    <n v="219"/>
    <m/>
    <n v="272"/>
    <n v="15052184.000000007"/>
    <n v="1397"/>
    <n v="1397"/>
    <m/>
    <n v="0"/>
    <m/>
    <n v="1600"/>
    <m/>
    <n v="0"/>
    <n v="16320536.999999996"/>
    <n v="1902"/>
    <n v="223"/>
    <n v="394"/>
    <n v="1397"/>
    <n v="1902"/>
    <x v="329"/>
    <n v="2013"/>
    <n v="1397"/>
    <n v="2018"/>
    <n v="1902"/>
    <n v="2022"/>
    <x v="1"/>
    <n v="1902"/>
    <n v="1902"/>
    <s v="Increasing"/>
    <m/>
    <m/>
    <m/>
    <m/>
    <x v="370"/>
    <n v="0.92810451958333706"/>
    <n v="1.1654028295760124"/>
  </r>
  <r>
    <x v="46"/>
    <s v="ZWE"/>
    <n v="13265341"/>
    <x v="29"/>
    <n v="0"/>
    <n v="13555421.500000011"/>
    <n v="0"/>
    <m/>
    <n v="511"/>
    <m/>
    <n v="443"/>
    <m/>
    <n v="540"/>
    <m/>
    <n v="726"/>
    <n v="15052184.000000007"/>
    <n v="1827"/>
    <n v="1827"/>
    <m/>
    <n v="0"/>
    <m/>
    <n v="0"/>
    <m/>
    <n v="0"/>
    <n v="16320536.999999996"/>
    <n v="588"/>
    <n v="553"/>
    <n v="511"/>
    <n v="1827"/>
    <n v="588"/>
    <x v="330"/>
    <n v="2014"/>
    <n v="1827"/>
    <n v="2018"/>
    <n v="588"/>
    <n v="2022"/>
    <x v="0"/>
    <n v="679.97778394890315"/>
    <n v="1827"/>
    <s v="Decreasing"/>
    <m/>
    <m/>
    <m/>
    <m/>
    <x v="371"/>
    <n v="1.213777349519511"/>
    <n v="0.41663934461770669"/>
  </r>
  <r>
    <x v="46"/>
    <s v="ZWE"/>
    <n v="13265342"/>
    <x v="30"/>
    <n v="233"/>
    <n v="13555421.500000011"/>
    <n v="236"/>
    <m/>
    <n v="107"/>
    <m/>
    <n v="66"/>
    <m/>
    <n v="136"/>
    <m/>
    <n v="109"/>
    <n v="15052184.000000007"/>
    <n v="104"/>
    <n v="142"/>
    <m/>
    <n v="248"/>
    <m/>
    <n v="234"/>
    <m/>
    <n v="0"/>
    <n v="16320536.999999996"/>
    <n v="201"/>
    <n v="142"/>
    <n v="236"/>
    <n v="248"/>
    <n v="234"/>
    <x v="331"/>
    <n v="2013"/>
    <n v="142"/>
    <s v="2018 (triag)"/>
    <n v="201"/>
    <n v="2022"/>
    <x v="1"/>
    <n v="201"/>
    <n v="201"/>
    <s v="Increasing"/>
    <m/>
    <m/>
    <m/>
    <m/>
    <x v="372"/>
    <n v="9.4338469420783014E-2"/>
    <n v="0.12315771227380573"/>
  </r>
  <r>
    <x v="46"/>
    <s v="ZWE"/>
    <n v="13265343"/>
    <x v="31"/>
    <n v="0"/>
    <n v="13555421.500000011"/>
    <n v="0"/>
    <m/>
    <n v="171"/>
    <m/>
    <n v="261"/>
    <m/>
    <n v="157"/>
    <m/>
    <n v="276"/>
    <n v="15052184.000000007"/>
    <n v="508"/>
    <n v="508"/>
    <m/>
    <n v="329"/>
    <m/>
    <n v="0"/>
    <m/>
    <n v="0"/>
    <n v="16320536.999999996"/>
    <n v="178"/>
    <n v="205"/>
    <n v="261"/>
    <n v="508"/>
    <n v="178"/>
    <x v="332"/>
    <n v="2014"/>
    <n v="508"/>
    <n v="2018"/>
    <n v="178"/>
    <n v="2022"/>
    <x v="0"/>
    <n v="205.84361486888565"/>
    <n v="508"/>
    <s v="Decreasing"/>
    <m/>
    <m/>
    <m/>
    <m/>
    <x v="373"/>
    <n v="0.33749255257575894"/>
    <n v="0.12612551588767312"/>
  </r>
  <r>
    <x v="46"/>
    <s v="ZWE"/>
    <n v="13265344"/>
    <x v="32"/>
    <n v="0"/>
    <n v="13555421.500000011"/>
    <n v="0"/>
    <m/>
    <n v="0"/>
    <m/>
    <n v="0"/>
    <m/>
    <n v="0"/>
    <m/>
    <n v="0"/>
    <n v="15052184.000000007"/>
    <n v="0"/>
    <n v="0"/>
    <m/>
    <n v="0"/>
    <m/>
    <n v="0"/>
    <m/>
    <n v="0"/>
    <n v="16320536.999999996"/>
    <n v="39"/>
    <n v="0"/>
    <n v="0"/>
    <n v="0"/>
    <n v="39"/>
    <x v="0"/>
    <s v=""/>
    <m/>
    <s v=""/>
    <n v="39"/>
    <n v="2022"/>
    <x v="1"/>
    <n v="39"/>
    <n v="39"/>
    <s v="Increasing"/>
    <m/>
    <m/>
    <m/>
    <m/>
    <x v="0"/>
    <n v="0"/>
    <n v="2.3896272530738425E-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1">
  <r>
    <x v="0"/>
    <x v="0"/>
    <n v="25188292.499999996"/>
    <x v="0"/>
    <n v="0"/>
    <n v="26147002.000000011"/>
    <n v="0"/>
    <m/>
    <n v="0"/>
    <m/>
    <n v="0"/>
    <m/>
    <n v="0"/>
    <m/>
    <n v="0"/>
    <n v="31273533.000000004"/>
    <n v="1680"/>
    <n v="1680"/>
    <m/>
    <n v="0"/>
    <m/>
    <n v="2652"/>
    <m/>
    <n v="0"/>
    <n v="35588987.00000003"/>
    <n v="5"/>
    <n v="1680"/>
    <n v="0"/>
    <n v="1680"/>
    <n v="2652"/>
    <m/>
    <s v=""/>
    <n v="1680"/>
    <n v="2018"/>
    <n v="5"/>
    <n v="2022"/>
    <s v="Adjust"/>
    <n v="7.414851832045585"/>
    <n v="1680"/>
    <s v="Decreasing"/>
    <n v="0.3113441654036182"/>
    <n v="5.4673730437993617E-2"/>
    <n v="354.18814159330685"/>
    <n v="1979.4419958881626"/>
    <n v="0"/>
    <n v="0.53719546173436805"/>
    <n v="2.0834680773705585E-3"/>
    <n v="0.47205614478433977"/>
  </r>
  <r>
    <x v="0"/>
    <x v="0"/>
    <n v="25188292.499999996"/>
    <x v="1"/>
    <n v="85"/>
    <n v="26147002.000000011"/>
    <n v="0"/>
    <m/>
    <n v="0"/>
    <m/>
    <n v="870"/>
    <m/>
    <n v="32"/>
    <m/>
    <n v="0"/>
    <n v="31273533.000000004"/>
    <n v="4"/>
    <n v="4"/>
    <m/>
    <n v="0"/>
    <m/>
    <n v="57"/>
    <m/>
    <n v="0"/>
    <n v="35588987.00000003"/>
    <n v="197"/>
    <n v="0"/>
    <n v="870"/>
    <n v="32"/>
    <n v="197"/>
    <n v="85"/>
    <n v="2012"/>
    <n v="4"/>
    <n v="2018"/>
    <n v="197"/>
    <n v="2022"/>
    <s v=""/>
    <n v="197"/>
    <n v="197"/>
    <s v="Increasing"/>
    <n v="0.3113441654036182"/>
    <n v="5.4673730437993617E-2"/>
    <n v="0"/>
    <n v="0"/>
    <n v="3.2508507093853424E-2"/>
    <n v="1.2790368136532573E-3"/>
    <n v="5.5354202691973178E-2"/>
    <n v="5.5354202691973178E-2"/>
  </r>
  <r>
    <x v="0"/>
    <x v="0"/>
    <n v="25188292.499999996"/>
    <x v="2"/>
    <n v="517"/>
    <n v="26147002.000000011"/>
    <n v="0"/>
    <m/>
    <n v="0"/>
    <m/>
    <n v="0"/>
    <m/>
    <n v="177"/>
    <m/>
    <n v="0"/>
    <n v="31273533.000000004"/>
    <n v="411"/>
    <n v="657"/>
    <m/>
    <n v="0"/>
    <m/>
    <n v="236"/>
    <m/>
    <n v="0"/>
    <n v="35588987.00000003"/>
    <n v="10"/>
    <n v="657"/>
    <n v="517"/>
    <n v="411"/>
    <n v="236"/>
    <n v="517"/>
    <n v="2012"/>
    <n v="657"/>
    <s v="2018 (triag)"/>
    <n v="10"/>
    <n v="2022"/>
    <s v="Adjust"/>
    <n v="14.82970366409117"/>
    <n v="657"/>
    <s v="Decreasing"/>
    <n v="0.3113441654036182"/>
    <n v="5.4673730437993617E-2"/>
    <n v="138.51286251595391"/>
    <n v="774.10320910626353"/>
    <n v="0.19772821373555552"/>
    <n v="0.21008179664254753"/>
    <n v="4.166936154741117E-3"/>
    <n v="0.18460767090673288"/>
  </r>
  <r>
    <x v="0"/>
    <x v="0"/>
    <n v="25188292.499999996"/>
    <x v="3"/>
    <n v="0"/>
    <n v="26147002.000000011"/>
    <n v="0"/>
    <m/>
    <n v="0"/>
    <m/>
    <n v="0"/>
    <m/>
    <n v="0"/>
    <m/>
    <n v="0"/>
    <n v="31273533.000000004"/>
    <n v="0"/>
    <n v="0"/>
    <m/>
    <n v="0"/>
    <m/>
    <n v="0"/>
    <m/>
    <n v="0"/>
    <n v="35588987.00000003"/>
    <n v="0"/>
    <n v="0"/>
    <n v="0"/>
    <n v="0"/>
    <n v="0"/>
    <m/>
    <s v=""/>
    <m/>
    <s v=""/>
    <n v="0"/>
    <s v=""/>
    <s v=""/>
    <m/>
    <n v="0"/>
    <s v="No change"/>
    <n v="0.3113441654036182"/>
    <n v="5.4673730437993617E-2"/>
    <n v="0"/>
    <n v="0"/>
    <n v="0"/>
    <n v="0"/>
    <n v="0"/>
    <n v="0"/>
  </r>
  <r>
    <x v="0"/>
    <x v="0"/>
    <n v="25188292.499999996"/>
    <x v="4"/>
    <n v="0"/>
    <n v="26147002.000000011"/>
    <n v="0"/>
    <m/>
    <n v="0"/>
    <m/>
    <n v="0"/>
    <m/>
    <n v="0"/>
    <m/>
    <n v="0"/>
    <n v="31273533.000000004"/>
    <n v="0"/>
    <n v="328"/>
    <m/>
    <n v="0"/>
    <m/>
    <n v="0"/>
    <m/>
    <n v="0"/>
    <n v="35588987.00000003"/>
    <n v="2072"/>
    <n v="328"/>
    <n v="0"/>
    <n v="0"/>
    <n v="2072"/>
    <m/>
    <s v=""/>
    <n v="328"/>
    <s v="2018 (triag)"/>
    <n v="2072"/>
    <n v="2022"/>
    <s v=""/>
    <n v="2072"/>
    <n v="2072"/>
    <s v="Increasing"/>
    <n v="0.3113441654036182"/>
    <n v="5.4673730437993617E-2"/>
    <n v="69.151018120597996"/>
    <n v="386.46248491149839"/>
    <n v="0"/>
    <n v="0.10488101871956711"/>
    <n v="0.58220257856735236"/>
    <n v="0.58220257856735236"/>
  </r>
  <r>
    <x v="0"/>
    <x v="0"/>
    <n v="25188292.499999996"/>
    <x v="5"/>
    <n v="0"/>
    <n v="26147002.000000011"/>
    <n v="0"/>
    <m/>
    <n v="0"/>
    <m/>
    <n v="0"/>
    <m/>
    <n v="0"/>
    <m/>
    <n v="0"/>
    <n v="31273533.000000004"/>
    <n v="0"/>
    <n v="75"/>
    <m/>
    <n v="0"/>
    <m/>
    <n v="0"/>
    <m/>
    <n v="0"/>
    <n v="35588987.00000003"/>
    <n v="0"/>
    <n v="75"/>
    <n v="0"/>
    <n v="0"/>
    <n v="0"/>
    <m/>
    <s v=""/>
    <n v="75"/>
    <s v="2018 (triag)"/>
    <n v="75"/>
    <s v="2018 (triag)"/>
    <s v=""/>
    <n v="75"/>
    <n v="75"/>
    <s v="No change"/>
    <n v="0.3113441654036182"/>
    <n v="5.4673730437993617E-2"/>
    <n v="15.811970606844055"/>
    <n v="88.367946245007261"/>
    <n v="0"/>
    <n v="2.3981940255998577E-2"/>
    <n v="2.107393503501517E-2"/>
    <n v="2.107393503501517E-2"/>
  </r>
  <r>
    <x v="0"/>
    <x v="0"/>
    <n v="25188292.499999996"/>
    <x v="6"/>
    <n v="0"/>
    <n v="26147002.000000011"/>
    <n v="0"/>
    <m/>
    <n v="0"/>
    <m/>
    <n v="0"/>
    <m/>
    <n v="0"/>
    <m/>
    <n v="0"/>
    <n v="31273533.000000004"/>
    <n v="98"/>
    <n v="468"/>
    <m/>
    <n v="0"/>
    <m/>
    <n v="0"/>
    <m/>
    <n v="0"/>
    <n v="35588987.00000003"/>
    <n v="9"/>
    <n v="468"/>
    <n v="0"/>
    <n v="98"/>
    <n v="9"/>
    <m/>
    <s v=""/>
    <n v="468"/>
    <s v="2018 (triag)"/>
    <n v="9"/>
    <n v="2022"/>
    <s v="Adjust"/>
    <n v="13.346733297682052"/>
    <n v="468"/>
    <s v="Decreasing"/>
    <n v="0.3113441654036182"/>
    <n v="5.4673730437993617E-2"/>
    <n v="98.666696586706905"/>
    <n v="551.41598456884526"/>
    <n v="0"/>
    <n v="0.14964730719743111"/>
    <n v="3.7502425392670047E-3"/>
    <n v="0.13150135461849466"/>
  </r>
  <r>
    <x v="0"/>
    <x v="0"/>
    <n v="25188292.499999996"/>
    <x v="7"/>
    <n v="0"/>
    <n v="26147002.000000011"/>
    <n v="0"/>
    <m/>
    <n v="0"/>
    <s v="  "/>
    <n v="0"/>
    <m/>
    <n v="0"/>
    <m/>
    <n v="0"/>
    <n v="31273533.000000004"/>
    <n v="0"/>
    <n v="134"/>
    <m/>
    <n v="0"/>
    <m/>
    <n v="0"/>
    <m/>
    <n v="0"/>
    <n v="35588987.00000003"/>
    <n v="0"/>
    <n v="134"/>
    <n v="0"/>
    <n v="0"/>
    <n v="0"/>
    <m/>
    <s v=""/>
    <n v="134"/>
    <s v="2018 (triag)"/>
    <n v="134"/>
    <s v="2018 (triag)"/>
    <s v=""/>
    <n v="134"/>
    <n v="134"/>
    <s v="No change"/>
    <n v="0.3113441654036182"/>
    <n v="5.4673730437993617E-2"/>
    <n v="28.25072081756138"/>
    <n v="157.88406395774629"/>
    <n v="0"/>
    <n v="4.284773325738412E-2"/>
    <n v="3.7652097262560434E-2"/>
    <n v="3.7652097262560434E-2"/>
  </r>
  <r>
    <x v="0"/>
    <x v="0"/>
    <n v="25188292.499999996"/>
    <x v="8"/>
    <n v="0"/>
    <n v="26147002.000000011"/>
    <n v="0"/>
    <m/>
    <n v="0"/>
    <m/>
    <n v="0"/>
    <m/>
    <n v="0"/>
    <m/>
    <n v="0"/>
    <n v="31273533.000000004"/>
    <n v="0"/>
    <n v="789"/>
    <m/>
    <n v="0"/>
    <m/>
    <n v="0"/>
    <m/>
    <n v="0"/>
    <n v="35588987.00000003"/>
    <n v="107"/>
    <n v="789"/>
    <n v="0"/>
    <n v="0"/>
    <n v="107"/>
    <m/>
    <s v=""/>
    <n v="789"/>
    <s v="2018 (triag)"/>
    <n v="107"/>
    <n v="2022"/>
    <s v="Adjust"/>
    <n v="158.67782920577551"/>
    <n v="789"/>
    <s v="Decreasing"/>
    <n v="0.3113441654036182"/>
    <n v="5.4673730437993617E-2"/>
    <n v="166.34193078399946"/>
    <n v="929.63079449747636"/>
    <n v="0"/>
    <n v="0.25229001149310504"/>
    <n v="4.4586216855729943E-2"/>
    <n v="0.22169779656835958"/>
  </r>
  <r>
    <x v="0"/>
    <x v="0"/>
    <n v="25188292.499999996"/>
    <x v="9"/>
    <n v="0"/>
    <n v="26147002.000000011"/>
    <n v="0"/>
    <m/>
    <n v="0"/>
    <m/>
    <n v="0"/>
    <m/>
    <n v="0"/>
    <m/>
    <n v="0"/>
    <n v="31273533.000000004"/>
    <n v="0"/>
    <n v="190"/>
    <m/>
    <n v="0"/>
    <m/>
    <n v="0"/>
    <m/>
    <n v="0"/>
    <n v="35588987.00000003"/>
    <n v="117"/>
    <n v="190"/>
    <n v="0"/>
    <n v="0"/>
    <n v="117"/>
    <m/>
    <s v=""/>
    <n v="190"/>
    <s v="2018 (triag)"/>
    <n v="117"/>
    <n v="2022"/>
    <s v="Adjust"/>
    <n v="173.50753286986668"/>
    <n v="190"/>
    <s v="Decreasing"/>
    <n v="0.3113441654036182"/>
    <n v="5.4673730437993617E-2"/>
    <n v="40.056992204004942"/>
    <n v="223.86546382068505"/>
    <n v="0"/>
    <n v="6.0754248648529727E-2"/>
    <n v="4.8753153010471055E-2"/>
    <n v="5.3387302088705096E-2"/>
  </r>
  <r>
    <x v="0"/>
    <x v="0"/>
    <n v="25188292.499999996"/>
    <x v="10"/>
    <n v="0"/>
    <n v="26147002.000000011"/>
    <n v="0"/>
    <m/>
    <n v="0"/>
    <m/>
    <n v="0"/>
    <m/>
    <n v="0"/>
    <m/>
    <n v="0"/>
    <n v="31273533.000000004"/>
    <n v="0"/>
    <n v="56"/>
    <m/>
    <n v="0"/>
    <m/>
    <n v="0"/>
    <m/>
    <n v="0"/>
    <n v="35588987.00000003"/>
    <n v="6"/>
    <n v="56"/>
    <n v="0"/>
    <n v="0"/>
    <n v="6"/>
    <m/>
    <s v=""/>
    <n v="56"/>
    <s v="2018 (triag)"/>
    <n v="6"/>
    <n v="2022"/>
    <s v="Adjust"/>
    <n v="8.8978221984547012"/>
    <n v="56"/>
    <s v="Decreasing"/>
    <n v="0.3113441654036182"/>
    <n v="5.4673730437993617E-2"/>
    <n v="11.80627138644356"/>
    <n v="65.981399862938758"/>
    <n v="0"/>
    <n v="1.7906515391145603E-2"/>
    <n v="2.5001616928446695E-3"/>
    <n v="1.5735204826144659E-2"/>
  </r>
  <r>
    <x v="0"/>
    <x v="0"/>
    <n v="25188292.499999996"/>
    <x v="11"/>
    <n v="0"/>
    <n v="26147002.000000011"/>
    <n v="0"/>
    <m/>
    <n v="0"/>
    <m/>
    <n v="0"/>
    <m/>
    <n v="0"/>
    <m/>
    <n v="0"/>
    <n v="31273533.000000004"/>
    <n v="0"/>
    <n v="28324"/>
    <m/>
    <n v="0"/>
    <m/>
    <n v="0"/>
    <m/>
    <n v="0"/>
    <n v="35588987.00000003"/>
    <n v="0"/>
    <n v="28324"/>
    <n v="0"/>
    <n v="0"/>
    <n v="0"/>
    <m/>
    <s v=""/>
    <n v="28324"/>
    <s v="2018 (triag)"/>
    <n v="28324"/>
    <s v="2018 (triag)"/>
    <s v=""/>
    <n v="28324"/>
    <n v="28324"/>
    <s v="No change"/>
    <n v="0.3113441654036182"/>
    <n v="5.4673730437993617E-2"/>
    <n v="5971.4434062433465"/>
    <n v="33372.449459247808"/>
    <n v="0"/>
    <n v="9.056859677478716"/>
    <n v="7.9586418124235951"/>
    <n v="7.9586418124235951"/>
  </r>
  <r>
    <x v="0"/>
    <x v="0"/>
    <n v="25188292.499999996"/>
    <x v="12"/>
    <n v="0"/>
    <n v="26147002.000000011"/>
    <n v="0"/>
    <m/>
    <n v="0"/>
    <m/>
    <n v="0"/>
    <m/>
    <n v="0"/>
    <m/>
    <n v="0"/>
    <n v="31273533.000000004"/>
    <n v="0"/>
    <n v="0"/>
    <m/>
    <n v="0"/>
    <m/>
    <n v="0"/>
    <m/>
    <n v="0"/>
    <n v="35588987.00000003"/>
    <n v="8431"/>
    <n v="0"/>
    <n v="0"/>
    <n v="0"/>
    <n v="8431"/>
    <m/>
    <s v=""/>
    <m/>
    <s v=""/>
    <n v="8431"/>
    <n v="2022"/>
    <s v=""/>
    <n v="8431"/>
    <n v="8431"/>
    <s v="Increasing"/>
    <n v="0.3113441654036182"/>
    <n v="5.4673730437993617E-2"/>
    <n v="0"/>
    <n v="0"/>
    <n v="0"/>
    <n v="0"/>
    <n v="2.3689912837361717"/>
    <n v="2.3689912837361717"/>
  </r>
  <r>
    <x v="0"/>
    <x v="0"/>
    <n v="25188292.499999996"/>
    <x v="13"/>
    <n v="0"/>
    <n v="26147002.000000011"/>
    <n v="0"/>
    <m/>
    <n v="0"/>
    <m/>
    <n v="0"/>
    <m/>
    <n v="0"/>
    <m/>
    <n v="0"/>
    <n v="31273533.000000004"/>
    <n v="0"/>
    <n v="98"/>
    <m/>
    <n v="0"/>
    <m/>
    <n v="0"/>
    <m/>
    <n v="0"/>
    <n v="35588987.00000003"/>
    <n v="12"/>
    <n v="98"/>
    <n v="0"/>
    <n v="0"/>
    <n v="12"/>
    <m/>
    <s v=""/>
    <n v="98"/>
    <s v="2018 (triag)"/>
    <n v="12"/>
    <n v="2022"/>
    <s v="Adjust"/>
    <n v="17.795644396909402"/>
    <n v="98"/>
    <s v="Decreasing"/>
    <n v="0.3113441654036182"/>
    <n v="5.4673730437993617E-2"/>
    <n v="20.660974926276232"/>
    <n v="115.46744976014281"/>
    <n v="0"/>
    <n v="3.1336401934504807E-2"/>
    <n v="5.0003233856893391E-3"/>
    <n v="2.7536608445753154E-2"/>
  </r>
  <r>
    <x v="0"/>
    <x v="0"/>
    <n v="25188292.499999996"/>
    <x v="14"/>
    <n v="0"/>
    <n v="26147002.000000011"/>
    <n v="0"/>
    <m/>
    <n v="0"/>
    <m/>
    <n v="0"/>
    <m/>
    <n v="0"/>
    <m/>
    <n v="0"/>
    <n v="31273533.000000004"/>
    <n v="0"/>
    <n v="56"/>
    <m/>
    <n v="0"/>
    <m/>
    <n v="0"/>
    <m/>
    <n v="0"/>
    <n v="35588987.00000003"/>
    <n v="0"/>
    <n v="56"/>
    <n v="0"/>
    <n v="0"/>
    <n v="0"/>
    <m/>
    <s v=""/>
    <n v="56"/>
    <s v="2018 (triag)"/>
    <n v="56"/>
    <s v="2018 (triag)"/>
    <s v=""/>
    <n v="56"/>
    <n v="56"/>
    <s v="No change"/>
    <n v="0.3113441654036182"/>
    <n v="5.4673730437993617E-2"/>
    <n v="11.80627138644356"/>
    <n v="65.981399862938758"/>
    <n v="0"/>
    <n v="1.7906515391145603E-2"/>
    <n v="1.5735204826144659E-2"/>
    <n v="1.5735204826144659E-2"/>
  </r>
  <r>
    <x v="0"/>
    <x v="0"/>
    <n v="25188292.499999996"/>
    <x v="15"/>
    <n v="0"/>
    <n v="26147002.000000011"/>
    <n v="0"/>
    <m/>
    <n v="0"/>
    <m/>
    <n v="0"/>
    <m/>
    <n v="0"/>
    <m/>
    <n v="0"/>
    <n v="31273533.000000004"/>
    <n v="0"/>
    <n v="1156"/>
    <m/>
    <n v="0"/>
    <m/>
    <n v="0"/>
    <m/>
    <n v="0"/>
    <n v="35588987.00000003"/>
    <n v="1195"/>
    <n v="1156"/>
    <n v="0"/>
    <n v="0"/>
    <n v="1195"/>
    <m/>
    <s v=""/>
    <n v="1156"/>
    <s v="2018 (triag)"/>
    <n v="1195"/>
    <n v="2022"/>
    <s v=""/>
    <n v="1195"/>
    <n v="1195"/>
    <s v="Increasing"/>
    <n v="0.3113441654036182"/>
    <n v="5.4673730437993617E-2"/>
    <n v="243.71517362015638"/>
    <n v="1362.0446114563786"/>
    <n v="0"/>
    <n v="0.3696416391457914"/>
    <n v="0.33577803155790836"/>
    <n v="0.33577803155790836"/>
  </r>
  <r>
    <x v="0"/>
    <x v="0"/>
    <n v="25188292.499999996"/>
    <x v="16"/>
    <n v="0"/>
    <n v="26147002.000000011"/>
    <n v="0"/>
    <m/>
    <n v="0"/>
    <m/>
    <n v="0"/>
    <m/>
    <n v="0"/>
    <m/>
    <n v="0"/>
    <n v="31273533.000000004"/>
    <n v="0"/>
    <n v="0"/>
    <m/>
    <n v="0"/>
    <m/>
    <n v="0"/>
    <m/>
    <n v="0"/>
    <n v="35588987.00000003"/>
    <n v="41"/>
    <n v="0"/>
    <n v="0"/>
    <n v="0"/>
    <n v="41"/>
    <m/>
    <s v=""/>
    <m/>
    <s v=""/>
    <n v="41"/>
    <n v="2022"/>
    <s v=""/>
    <n v="41"/>
    <n v="41"/>
    <s v="Increasing"/>
    <n v="0.3113441654036182"/>
    <n v="5.4673730437993617E-2"/>
    <n v="0"/>
    <n v="0"/>
    <n v="0"/>
    <n v="0"/>
    <n v="1.1520417819141626E-2"/>
    <n v="1.1520417819141626E-2"/>
  </r>
  <r>
    <x v="0"/>
    <x v="0"/>
    <n v="25188292.499999996"/>
    <x v="17"/>
    <n v="0"/>
    <n v="26147002.000000011"/>
    <n v="0"/>
    <m/>
    <n v="0"/>
    <m/>
    <n v="0"/>
    <m/>
    <n v="0"/>
    <m/>
    <n v="0"/>
    <n v="31273533.000000004"/>
    <n v="0"/>
    <n v="0"/>
    <m/>
    <n v="0"/>
    <m/>
    <n v="0"/>
    <m/>
    <n v="0"/>
    <n v="35588987.00000003"/>
    <n v="1"/>
    <n v="0"/>
    <n v="0"/>
    <n v="0"/>
    <n v="1"/>
    <m/>
    <s v=""/>
    <m/>
    <s v=""/>
    <n v="1"/>
    <n v="2022"/>
    <s v=""/>
    <n v="1"/>
    <n v="1"/>
    <s v="Increasing"/>
    <n v="0.3113441654036182"/>
    <n v="5.4673730437993617E-2"/>
    <n v="0"/>
    <n v="0"/>
    <n v="0"/>
    <n v="0"/>
    <n v="2.8098580046686893E-4"/>
    <n v="2.8098580046686893E-4"/>
  </r>
  <r>
    <x v="0"/>
    <x v="0"/>
    <n v="25188292.499999996"/>
    <x v="18"/>
    <n v="0"/>
    <n v="26147002.000000011"/>
    <n v="0"/>
    <m/>
    <n v="0"/>
    <m/>
    <n v="0"/>
    <m/>
    <n v="0"/>
    <m/>
    <n v="0"/>
    <n v="31273533.000000004"/>
    <n v="0"/>
    <n v="16380"/>
    <m/>
    <n v="0"/>
    <m/>
    <n v="0"/>
    <m/>
    <n v="0"/>
    <n v="35588987.00000003"/>
    <n v="0"/>
    <n v="16380"/>
    <n v="0"/>
    <n v="0"/>
    <n v="0"/>
    <m/>
    <s v=""/>
    <n v="16380"/>
    <s v="2018 (triag)"/>
    <n v="16380"/>
    <s v="2018 (triag)"/>
    <s v=""/>
    <n v="16380"/>
    <n v="16380"/>
    <s v="No change"/>
    <n v="0.3113441654036182"/>
    <n v="5.4673730437993617E-2"/>
    <n v="3453.3343805347417"/>
    <n v="19299.559459909586"/>
    <n v="0"/>
    <n v="5.237655751910089"/>
    <n v="4.6025474116473131"/>
    <n v="4.6025474116473131"/>
  </r>
  <r>
    <x v="1"/>
    <x v="1"/>
    <n v="9795479.0000000019"/>
    <x v="0"/>
    <n v="0"/>
    <n v="10149577.500000002"/>
    <n v="0"/>
    <m/>
    <n v="0"/>
    <m/>
    <n v="0"/>
    <m/>
    <n v="0"/>
    <m/>
    <n v="0"/>
    <n v="11493472.499999993"/>
    <n v="11845"/>
    <n v="11845"/>
    <m/>
    <n v="0"/>
    <m/>
    <n v="11845"/>
    <m/>
    <n v="0"/>
    <n v="12889576.499999994"/>
    <n v="0"/>
    <n v="11845"/>
    <n v="0"/>
    <n v="11845"/>
    <n v="11845"/>
    <m/>
    <s v=""/>
    <n v="11845"/>
    <n v="2018"/>
    <n v="11845"/>
    <n v="2020"/>
    <s v=""/>
    <n v="11845"/>
    <n v="11845"/>
    <s v="No change"/>
    <n v="0.1019276516404819"/>
    <n v="4.0873218672115019E-3"/>
    <n v="7115.4436188995169"/>
    <n v="11991.137115651654"/>
    <n v="0"/>
    <n v="10.305849689900079"/>
    <n v="9.1895959498746951"/>
    <n v="9.1895959498746951"/>
  </r>
  <r>
    <x v="1"/>
    <x v="1"/>
    <n v="9795479.0000000019"/>
    <x v="1"/>
    <n v="44"/>
    <n v="10149577.500000002"/>
    <n v="0"/>
    <m/>
    <n v="0"/>
    <m/>
    <n v="0"/>
    <m/>
    <n v="42"/>
    <m/>
    <n v="0"/>
    <n v="11493472.499999993"/>
    <n v="0"/>
    <n v="10"/>
    <m/>
    <n v="0"/>
    <m/>
    <n v="0"/>
    <m/>
    <n v="0"/>
    <n v="12889576.499999994"/>
    <n v="0"/>
    <n v="10"/>
    <n v="44"/>
    <n v="42"/>
    <n v="0"/>
    <n v="44"/>
    <n v="2012"/>
    <n v="10"/>
    <s v="2018 (triag)"/>
    <n v="10"/>
    <s v="2018 (triag)"/>
    <s v=""/>
    <n v="10"/>
    <n v="10"/>
    <s v="No change"/>
    <n v="0.1019276516404819"/>
    <n v="4.0873218672115019E-3"/>
    <n v="6.0071284245669201"/>
    <n v="10.123374517223853"/>
    <n v="4.33515582298869E-2"/>
    <n v="8.7005907048544346E-3"/>
    <n v="7.7582067960107175E-3"/>
    <n v="7.7582067960107175E-3"/>
  </r>
  <r>
    <x v="1"/>
    <x v="1"/>
    <n v="9795479.0000000019"/>
    <x v="2"/>
    <n v="0"/>
    <n v="10149577.500000002"/>
    <n v="0"/>
    <m/>
    <n v="0"/>
    <m/>
    <n v="0"/>
    <m/>
    <n v="96"/>
    <m/>
    <n v="0"/>
    <n v="11493472.499999993"/>
    <n v="0"/>
    <n v="372"/>
    <m/>
    <n v="149"/>
    <m/>
    <n v="0"/>
    <m/>
    <n v="0"/>
    <n v="12889576.499999994"/>
    <n v="0"/>
    <n v="372"/>
    <n v="0"/>
    <n v="149"/>
    <n v="0"/>
    <m/>
    <s v=""/>
    <n v="372"/>
    <s v="2018 (triag)"/>
    <n v="149"/>
    <s v="2018 (triag)"/>
    <s v="Adjust"/>
    <n v="186.22450107945869"/>
    <n v="372"/>
    <s v="Decreasing"/>
    <n v="0.1019276516404819"/>
    <n v="4.0873218672115019E-3"/>
    <n v="223.46517739388943"/>
    <n v="376.58953204072736"/>
    <n v="0"/>
    <n v="0.32366197422058496"/>
    <n v="0.14447681898583617"/>
    <n v="0.28860529281159869"/>
  </r>
  <r>
    <x v="1"/>
    <x v="1"/>
    <n v="9795479.0000000019"/>
    <x v="3"/>
    <n v="0"/>
    <n v="10149577.500000002"/>
    <n v="0"/>
    <m/>
    <n v="0"/>
    <m/>
    <n v="0"/>
    <m/>
    <n v="0"/>
    <m/>
    <n v="0"/>
    <n v="11493472.499999993"/>
    <n v="0"/>
    <n v="8664"/>
    <m/>
    <n v="0"/>
    <m/>
    <n v="0"/>
    <m/>
    <n v="0"/>
    <n v="12889576.499999994"/>
    <n v="0"/>
    <n v="8664"/>
    <n v="0"/>
    <n v="0"/>
    <n v="0"/>
    <m/>
    <s v=""/>
    <n v="8664"/>
    <s v="2018 (triag)"/>
    <n v="8664"/>
    <s v="2018 (triag)"/>
    <s v=""/>
    <n v="8664"/>
    <n v="8664"/>
    <s v="No change"/>
    <n v="0.1019276516404819"/>
    <n v="4.0873218672115019E-3"/>
    <n v="5204.5760670447798"/>
    <n v="8770.8916817227455"/>
    <n v="0"/>
    <n v="7.5381917866858821"/>
    <n v="6.721710368063686"/>
    <n v="6.721710368063686"/>
  </r>
  <r>
    <x v="1"/>
    <x v="1"/>
    <n v="9795479.0000000019"/>
    <x v="4"/>
    <n v="0"/>
    <n v="10149577.500000002"/>
    <n v="0"/>
    <m/>
    <n v="0"/>
    <m/>
    <n v="0"/>
    <m/>
    <n v="0"/>
    <m/>
    <n v="0"/>
    <n v="11493472.499999993"/>
    <n v="0"/>
    <n v="1383"/>
    <m/>
    <n v="0"/>
    <m/>
    <n v="0"/>
    <m/>
    <n v="0"/>
    <n v="12889576.499999994"/>
    <n v="0"/>
    <n v="1383"/>
    <n v="0"/>
    <n v="0"/>
    <n v="0"/>
    <m/>
    <s v=""/>
    <n v="1383"/>
    <s v="2018 (triag)"/>
    <n v="1383"/>
    <s v="2018 (triag)"/>
    <s v=""/>
    <n v="1383"/>
    <n v="1383"/>
    <s v="No change"/>
    <n v="0.1019276516404819"/>
    <n v="4.0873218672115019E-3"/>
    <n v="830.78586111760512"/>
    <n v="1400.062695732059"/>
    <n v="0"/>
    <n v="1.2032916944813683"/>
    <n v="1.0729599998882824"/>
    <n v="1.0729599998882824"/>
  </r>
  <r>
    <x v="1"/>
    <x v="1"/>
    <n v="9795479.0000000019"/>
    <x v="5"/>
    <n v="0"/>
    <n v="10149577.500000002"/>
    <n v="0"/>
    <m/>
    <n v="0"/>
    <m/>
    <n v="0"/>
    <m/>
    <n v="0"/>
    <m/>
    <n v="0"/>
    <n v="11493472.499999993"/>
    <n v="0"/>
    <n v="0"/>
    <m/>
    <n v="0"/>
    <m/>
    <n v="0"/>
    <m/>
    <n v="0"/>
    <n v="12889576.499999994"/>
    <n v="0"/>
    <n v="0"/>
    <n v="0"/>
    <n v="0"/>
    <n v="0"/>
    <m/>
    <s v=""/>
    <m/>
    <s v=""/>
    <n v="0"/>
    <s v=""/>
    <s v=""/>
    <m/>
    <n v="0"/>
    <s v="No change"/>
    <n v="0.1019276516404819"/>
    <n v="4.0873218672115019E-3"/>
    <n v="0"/>
    <n v="0"/>
    <n v="0"/>
    <n v="0"/>
    <n v="0"/>
    <n v="0"/>
  </r>
  <r>
    <x v="1"/>
    <x v="1"/>
    <n v="9795479.0000000019"/>
    <x v="6"/>
    <n v="0"/>
    <n v="10149577.500000002"/>
    <n v="0"/>
    <m/>
    <n v="0"/>
    <m/>
    <n v="0"/>
    <m/>
    <n v="0"/>
    <m/>
    <n v="1073"/>
    <n v="11493472.499999993"/>
    <n v="1071"/>
    <n v="1071"/>
    <m/>
    <n v="0"/>
    <m/>
    <n v="0"/>
    <m/>
    <n v="0"/>
    <n v="12889576.499999994"/>
    <n v="0"/>
    <n v="155"/>
    <n v="0"/>
    <n v="1073"/>
    <n v="0"/>
    <m/>
    <s v=""/>
    <n v="1071"/>
    <n v="2018"/>
    <n v="1071"/>
    <n v="2018"/>
    <s v=""/>
    <n v="1071"/>
    <n v="1071"/>
    <s v="No change"/>
    <n v="0.1019276516404819"/>
    <n v="4.0873218672115019E-3"/>
    <n v="93.110490580787271"/>
    <n v="156.91230501696973"/>
    <n v="0"/>
    <n v="0.93183326448991"/>
    <n v="0.8309039478527479"/>
    <n v="0.8309039478527479"/>
  </r>
  <r>
    <x v="1"/>
    <x v="1"/>
    <n v="9795479.0000000019"/>
    <x v="7"/>
    <n v="0"/>
    <n v="10149577.500000002"/>
    <n v="0"/>
    <m/>
    <n v="0"/>
    <m/>
    <n v="0"/>
    <m/>
    <n v="0"/>
    <m/>
    <n v="0"/>
    <n v="11493472.499999993"/>
    <n v="0"/>
    <n v="0"/>
    <m/>
    <n v="0"/>
    <m/>
    <n v="0"/>
    <m/>
    <n v="0"/>
    <n v="12889576.499999994"/>
    <n v="0"/>
    <n v="0"/>
    <n v="0"/>
    <n v="0"/>
    <n v="0"/>
    <m/>
    <s v=""/>
    <m/>
    <s v=""/>
    <n v="0"/>
    <s v=""/>
    <s v=""/>
    <m/>
    <n v="0"/>
    <s v="No change"/>
    <n v="0.1019276516404819"/>
    <n v="4.0873218672115019E-3"/>
    <n v="0"/>
    <n v="0"/>
    <n v="0"/>
    <n v="0"/>
    <n v="0"/>
    <n v="0"/>
  </r>
  <r>
    <x v="1"/>
    <x v="1"/>
    <n v="9795479.0000000019"/>
    <x v="8"/>
    <n v="0"/>
    <n v="10149577.500000002"/>
    <n v="0"/>
    <m/>
    <n v="0"/>
    <m/>
    <n v="0"/>
    <m/>
    <n v="0"/>
    <m/>
    <n v="0"/>
    <n v="11493472.499999993"/>
    <n v="0"/>
    <n v="86"/>
    <m/>
    <n v="0"/>
    <m/>
    <n v="0"/>
    <m/>
    <n v="81"/>
    <n v="12889576.499999994"/>
    <n v="0"/>
    <n v="86"/>
    <n v="0"/>
    <n v="0"/>
    <n v="81"/>
    <m/>
    <s v=""/>
    <n v="86"/>
    <s v="2018 (triag)"/>
    <n v="81"/>
    <n v="2021"/>
    <s v="Adjust"/>
    <n v="101.23613817071244"/>
    <n v="101.23613817071244"/>
    <s v="Increasing"/>
    <n v="0.1019276516404819"/>
    <n v="4.0873218672115019E-3"/>
    <n v="51.661304451275512"/>
    <n v="87.061020848125139"/>
    <n v="0"/>
    <n v="7.4825080061748137E-2"/>
    <n v="7.8541089515790127E-2"/>
    <n v="7.8541089515790127E-2"/>
  </r>
  <r>
    <x v="1"/>
    <x v="1"/>
    <n v="9795479.0000000019"/>
    <x v="9"/>
    <n v="0"/>
    <n v="10149577.500000002"/>
    <n v="0"/>
    <m/>
    <n v="0"/>
    <m/>
    <n v="0"/>
    <m/>
    <n v="0"/>
    <m/>
    <n v="0"/>
    <n v="11493472.499999993"/>
    <n v="0"/>
    <n v="108"/>
    <m/>
    <n v="0"/>
    <m/>
    <n v="0"/>
    <m/>
    <n v="0"/>
    <n v="12889576.499999994"/>
    <n v="0"/>
    <n v="108"/>
    <n v="0"/>
    <n v="0"/>
    <n v="0"/>
    <m/>
    <s v=""/>
    <n v="108"/>
    <s v="2018 (triag)"/>
    <n v="108"/>
    <s v="2018 (triag)"/>
    <s v=""/>
    <n v="108"/>
    <n v="108"/>
    <s v="No change"/>
    <n v="0.1019276516404819"/>
    <n v="4.0873218672115019E-3"/>
    <n v="64.876986985322745"/>
    <n v="109.33244478601762"/>
    <n v="0"/>
    <n v="9.3966379612427903E-2"/>
    <n v="8.3788633396915752E-2"/>
    <n v="8.3788633396915752E-2"/>
  </r>
  <r>
    <x v="1"/>
    <x v="1"/>
    <n v="9795479.0000000019"/>
    <x v="10"/>
    <n v="0"/>
    <n v="10149577.500000002"/>
    <n v="0"/>
    <m/>
    <n v="0"/>
    <m/>
    <n v="0"/>
    <m/>
    <n v="0"/>
    <m/>
    <n v="0"/>
    <n v="11493472.499999993"/>
    <n v="0"/>
    <n v="0"/>
    <m/>
    <n v="0"/>
    <m/>
    <n v="0"/>
    <m/>
    <n v="0"/>
    <n v="12889576.499999994"/>
    <n v="0"/>
    <n v="0"/>
    <n v="0"/>
    <n v="0"/>
    <n v="0"/>
    <m/>
    <s v=""/>
    <m/>
    <s v=""/>
    <n v="0"/>
    <s v=""/>
    <s v=""/>
    <m/>
    <n v="0"/>
    <s v="No change"/>
    <n v="0.1019276516404819"/>
    <n v="4.0873218672115019E-3"/>
    <n v="0"/>
    <n v="0"/>
    <n v="0"/>
    <n v="0"/>
    <n v="0"/>
    <n v="0"/>
  </r>
  <r>
    <x v="1"/>
    <x v="1"/>
    <n v="9795479.0000000019"/>
    <x v="11"/>
    <n v="0"/>
    <n v="10149577.500000002"/>
    <n v="0"/>
    <m/>
    <n v="0"/>
    <m/>
    <n v="0"/>
    <m/>
    <n v="0"/>
    <m/>
    <n v="2946"/>
    <n v="11493472.499999993"/>
    <n v="0"/>
    <n v="2906"/>
    <m/>
    <n v="0"/>
    <m/>
    <n v="0"/>
    <m/>
    <n v="7805"/>
    <n v="12889576.499999994"/>
    <n v="0"/>
    <n v="2906"/>
    <n v="0"/>
    <n v="2946"/>
    <n v="7805"/>
    <m/>
    <s v=""/>
    <n v="2906"/>
    <s v="2018 (triag)"/>
    <n v="7805"/>
    <n v="2021"/>
    <s v=""/>
    <n v="7805"/>
    <n v="7805"/>
    <s v="Increasing"/>
    <n v="0.1019276516404819"/>
    <n v="4.0873218672115019E-3"/>
    <n v="1745.6715201791471"/>
    <n v="2941.8526347052516"/>
    <n v="0"/>
    <n v="2.5283916588306989"/>
    <n v="6.055280404286365"/>
    <n v="6.055280404286365"/>
  </r>
  <r>
    <x v="1"/>
    <x v="1"/>
    <n v="9795479.0000000019"/>
    <x v="12"/>
    <n v="0"/>
    <n v="10149577.500000002"/>
    <n v="0"/>
    <m/>
    <n v="0"/>
    <m/>
    <n v="0"/>
    <m/>
    <n v="0"/>
    <m/>
    <n v="9003"/>
    <n v="11493472.499999993"/>
    <n v="0"/>
    <n v="0"/>
    <m/>
    <n v="0"/>
    <m/>
    <n v="0"/>
    <m/>
    <n v="0"/>
    <n v="12889576.499999994"/>
    <n v="0"/>
    <n v="0"/>
    <n v="0"/>
    <n v="9003"/>
    <n v="0"/>
    <m/>
    <s v=""/>
    <n v="9003"/>
    <n v="2017"/>
    <n v="9003"/>
    <n v="2017"/>
    <s v=""/>
    <n v="9003"/>
    <n v="9003"/>
    <s v="No change"/>
    <n v="0.1019276516404819"/>
    <n v="4.0873218672115019E-3"/>
    <n v="0"/>
    <n v="0"/>
    <n v="0"/>
    <n v="7.8331418115804476"/>
    <n v="6.9847135784484493"/>
    <n v="6.9847135784484493"/>
  </r>
  <r>
    <x v="1"/>
    <x v="1"/>
    <n v="9795479.0000000019"/>
    <x v="13"/>
    <n v="0"/>
    <n v="10149577.500000002"/>
    <n v="0"/>
    <m/>
    <n v="0"/>
    <m/>
    <n v="0"/>
    <m/>
    <n v="0"/>
    <m/>
    <n v="0"/>
    <n v="11493472.499999993"/>
    <n v="0"/>
    <n v="1071"/>
    <m/>
    <n v="0"/>
    <m/>
    <n v="0"/>
    <m/>
    <n v="729"/>
    <n v="12889576.499999994"/>
    <n v="0"/>
    <n v="1071"/>
    <n v="0"/>
    <n v="0"/>
    <n v="729"/>
    <m/>
    <s v=""/>
    <n v="1071"/>
    <s v="2018 (triag)"/>
    <n v="729"/>
    <n v="2021"/>
    <s v="Adjust"/>
    <n v="911.12524353641197"/>
    <n v="1071"/>
    <s v="Decreasing"/>
    <n v="0.1019276516404819"/>
    <n v="4.0873218672115019E-3"/>
    <n v="643.36345427111712"/>
    <n v="1084.2134107946747"/>
    <n v="0"/>
    <n v="0.93183326448991"/>
    <n v="0.70686980564211122"/>
    <n v="0.8309039478527479"/>
  </r>
  <r>
    <x v="1"/>
    <x v="1"/>
    <n v="9795479.0000000019"/>
    <x v="14"/>
    <n v="0"/>
    <n v="10149577.500000002"/>
    <n v="0"/>
    <m/>
    <n v="0"/>
    <m/>
    <n v="0"/>
    <m/>
    <n v="0"/>
    <m/>
    <n v="0"/>
    <n v="11493472.499999993"/>
    <n v="0"/>
    <n v="0"/>
    <m/>
    <n v="0"/>
    <m/>
    <n v="0"/>
    <m/>
    <n v="0"/>
    <n v="12889576.499999994"/>
    <n v="0"/>
    <n v="0"/>
    <n v="0"/>
    <n v="0"/>
    <n v="0"/>
    <m/>
    <s v=""/>
    <m/>
    <s v=""/>
    <n v="0"/>
    <s v=""/>
    <s v=""/>
    <m/>
    <n v="0"/>
    <s v="No change"/>
    <n v="0.1019276516404819"/>
    <n v="4.0873218672115019E-3"/>
    <n v="0"/>
    <n v="0"/>
    <n v="0"/>
    <n v="0"/>
    <n v="0"/>
    <n v="0"/>
  </r>
  <r>
    <x v="1"/>
    <x v="1"/>
    <n v="9795479.0000000019"/>
    <x v="15"/>
    <n v="0"/>
    <n v="10149577.500000002"/>
    <n v="0"/>
    <m/>
    <n v="0"/>
    <m/>
    <n v="0"/>
    <m/>
    <n v="0"/>
    <m/>
    <n v="0"/>
    <n v="11493472.499999993"/>
    <n v="0"/>
    <n v="9"/>
    <m/>
    <n v="0"/>
    <m/>
    <n v="0"/>
    <m/>
    <n v="0"/>
    <n v="12889576.499999994"/>
    <n v="0"/>
    <n v="9"/>
    <n v="0"/>
    <n v="0"/>
    <n v="0"/>
    <m/>
    <s v=""/>
    <n v="9"/>
    <s v="2018 (triag)"/>
    <n v="9"/>
    <s v="2018 (triag)"/>
    <s v=""/>
    <n v="9"/>
    <n v="9"/>
    <s v="No change"/>
    <n v="0.1019276516404819"/>
    <n v="4.0873218672115019E-3"/>
    <n v="5.4064155821102284"/>
    <n v="9.111037065501467"/>
    <n v="0"/>
    <n v="7.8305316343689913E-3"/>
    <n v="6.982386116409646E-3"/>
    <n v="6.982386116409646E-3"/>
  </r>
  <r>
    <x v="1"/>
    <x v="1"/>
    <n v="9795479.0000000019"/>
    <x v="16"/>
    <n v="0"/>
    <n v="10149577.500000002"/>
    <n v="0"/>
    <m/>
    <n v="0"/>
    <m/>
    <n v="0"/>
    <m/>
    <n v="0"/>
    <m/>
    <n v="0"/>
    <n v="11493472.499999993"/>
    <n v="0"/>
    <n v="0"/>
    <m/>
    <n v="0"/>
    <m/>
    <n v="0"/>
    <m/>
    <n v="0"/>
    <n v="12889576.499999994"/>
    <n v="0"/>
    <n v="0"/>
    <n v="0"/>
    <n v="0"/>
    <n v="0"/>
    <m/>
    <s v=""/>
    <m/>
    <s v=""/>
    <n v="0"/>
    <s v=""/>
    <s v=""/>
    <m/>
    <n v="0"/>
    <s v="No change"/>
    <n v="0.1019276516404819"/>
    <n v="4.0873218672115019E-3"/>
    <n v="0"/>
    <n v="0"/>
    <n v="0"/>
    <n v="0"/>
    <n v="0"/>
    <n v="0"/>
  </r>
  <r>
    <x v="1"/>
    <x v="1"/>
    <n v="9795479.0000000019"/>
    <x v="17"/>
    <n v="0"/>
    <n v="10149577.500000002"/>
    <n v="0"/>
    <m/>
    <n v="0"/>
    <m/>
    <n v="0"/>
    <m/>
    <n v="0"/>
    <m/>
    <n v="0"/>
    <n v="11493472.499999993"/>
    <n v="0"/>
    <n v="0"/>
    <m/>
    <n v="0"/>
    <m/>
    <n v="0"/>
    <m/>
    <n v="5"/>
    <n v="12889576.499999994"/>
    <n v="0"/>
    <n v="0"/>
    <n v="0"/>
    <n v="0"/>
    <n v="5"/>
    <m/>
    <s v=""/>
    <m/>
    <s v=""/>
    <n v="5"/>
    <n v="2021"/>
    <s v=""/>
    <n v="5"/>
    <n v="5"/>
    <s v="Increasing"/>
    <n v="0.1019276516404819"/>
    <n v="4.0873218672115019E-3"/>
    <n v="0"/>
    <n v="0"/>
    <n v="0"/>
    <n v="0"/>
    <n v="3.8791033980053588E-3"/>
    <n v="3.8791033980053588E-3"/>
  </r>
  <r>
    <x v="1"/>
    <x v="1"/>
    <n v="9795479.0000000019"/>
    <x v="18"/>
    <n v="0"/>
    <n v="10149577.500000002"/>
    <n v="0"/>
    <m/>
    <n v="0"/>
    <m/>
    <n v="0"/>
    <m/>
    <n v="0"/>
    <m/>
    <n v="0"/>
    <n v="11493472.499999993"/>
    <n v="0"/>
    <n v="1000"/>
    <m/>
    <n v="0"/>
    <m/>
    <n v="0"/>
    <m/>
    <n v="0"/>
    <n v="12889576.499999994"/>
    <n v="0"/>
    <n v="1000"/>
    <n v="0"/>
    <n v="0"/>
    <n v="0"/>
    <m/>
    <s v=""/>
    <n v="1000"/>
    <s v="2018 (triag)"/>
    <n v="1000"/>
    <s v="2018 (triag)"/>
    <s v=""/>
    <n v="1000"/>
    <n v="1000"/>
    <s v="No change"/>
    <n v="0.1019276516404819"/>
    <n v="4.0873218672115019E-3"/>
    <n v="600.71284245669199"/>
    <n v="1012.3374517223854"/>
    <n v="0"/>
    <n v="0.87005907048544351"/>
    <n v="0.77582067960107182"/>
    <n v="0.77582067960107182"/>
  </r>
  <r>
    <x v="2"/>
    <x v="2"/>
    <n v="10014078.499999996"/>
    <x v="0"/>
    <n v="0"/>
    <n v="10308730.499999994"/>
    <n v="0"/>
    <m/>
    <n v="0"/>
    <m/>
    <n v="0"/>
    <m/>
    <n v="0"/>
    <m/>
    <n v="0"/>
    <n v="11940683.499999996"/>
    <n v="0"/>
    <n v="0"/>
    <m/>
    <n v="0"/>
    <m/>
    <n v="0"/>
    <m/>
    <n v="21"/>
    <n v="13352864"/>
    <n v="21"/>
    <n v="0"/>
    <n v="0"/>
    <n v="0"/>
    <n v="21"/>
    <m/>
    <s v=""/>
    <m/>
    <s v=""/>
    <n v="21"/>
    <n v="2021"/>
    <s v=""/>
    <n v="21"/>
    <n v="21"/>
    <s v="Increasing"/>
    <n v="5.0912180313375632E-2"/>
    <n v="-3.8361793441239245E-2"/>
    <n v="0"/>
    <n v="0"/>
    <n v="0"/>
    <n v="0"/>
    <n v="1.5726963144386104E-2"/>
    <n v="1.5726963144386104E-2"/>
  </r>
  <r>
    <x v="2"/>
    <x v="2"/>
    <n v="10014078.499999996"/>
    <x v="1"/>
    <n v="0"/>
    <n v="10308730.499999994"/>
    <n v="0"/>
    <m/>
    <n v="0"/>
    <m/>
    <n v="0"/>
    <m/>
    <n v="0"/>
    <m/>
    <n v="0"/>
    <n v="11940683.499999996"/>
    <n v="8"/>
    <n v="8"/>
    <m/>
    <n v="0"/>
    <m/>
    <n v="0"/>
    <m/>
    <n v="21"/>
    <n v="13352864"/>
    <n v="0"/>
    <n v="0"/>
    <n v="0"/>
    <n v="8"/>
    <n v="21"/>
    <m/>
    <s v=""/>
    <n v="8"/>
    <n v="2018"/>
    <n v="21"/>
    <n v="2021"/>
    <s v=""/>
    <n v="21"/>
    <n v="21"/>
    <s v="Increasing"/>
    <n v="5.0912180313375632E-2"/>
    <n v="-3.8361793441239245E-2"/>
    <n v="0"/>
    <n v="0"/>
    <n v="0"/>
    <n v="6.6997839780277256E-3"/>
    <n v="1.5726963144386104E-2"/>
    <n v="1.5726963144386104E-2"/>
  </r>
  <r>
    <x v="2"/>
    <x v="2"/>
    <n v="10014078.499999996"/>
    <x v="2"/>
    <n v="0"/>
    <n v="10308730.499999994"/>
    <n v="0"/>
    <m/>
    <n v="0"/>
    <m/>
    <n v="3830"/>
    <m/>
    <n v="0"/>
    <m/>
    <n v="0"/>
    <n v="11940683.499999996"/>
    <n v="429"/>
    <n v="619"/>
    <m/>
    <n v="0"/>
    <m/>
    <n v="0"/>
    <m/>
    <n v="1570"/>
    <n v="13352864"/>
    <n v="0"/>
    <n v="619"/>
    <n v="3830"/>
    <n v="429"/>
    <n v="1570"/>
    <n v="3830"/>
    <n v="2015"/>
    <n v="619"/>
    <s v="2018 (triag)"/>
    <n v="1570"/>
    <n v="2021"/>
    <s v=""/>
    <n v="1570"/>
    <n v="1570"/>
    <s v="Increasing"/>
    <n v="5.0912180313375632E-2"/>
    <n v="-3.8361793441239245E-2"/>
    <n v="479.88398228678244"/>
    <n v="551.70853601394629"/>
    <n v="3.7152974364787226"/>
    <n v="0.51839578529989527"/>
    <n v="1.1757777207945801"/>
    <n v="1.1757777207945801"/>
  </r>
  <r>
    <x v="2"/>
    <x v="2"/>
    <n v="10014078.499999996"/>
    <x v="3"/>
    <n v="0"/>
    <n v="10308730.499999994"/>
    <n v="0"/>
    <m/>
    <n v="0"/>
    <m/>
    <n v="0"/>
    <m/>
    <n v="0"/>
    <m/>
    <n v="0"/>
    <n v="11940683.499999996"/>
    <n v="0"/>
    <n v="2623"/>
    <m/>
    <n v="0"/>
    <m/>
    <n v="0"/>
    <m/>
    <n v="6809"/>
    <n v="13352864"/>
    <n v="0"/>
    <n v="2623"/>
    <n v="0"/>
    <n v="0"/>
    <n v="6809"/>
    <m/>
    <s v=""/>
    <n v="2623"/>
    <s v="2018 (triag)"/>
    <n v="6809"/>
    <n v="2021"/>
    <s v=""/>
    <n v="6809"/>
    <n v="6809"/>
    <s v="Increasing"/>
    <n v="5.0912180313375632E-2"/>
    <n v="-3.8361793441239245E-2"/>
    <n v="2033.4986842297742"/>
    <n v="2337.8537802335723"/>
    <n v="0"/>
    <n v="2.1966916717958407"/>
    <n v="5.0992805738154754"/>
    <n v="5.0992805738154754"/>
  </r>
  <r>
    <x v="2"/>
    <x v="2"/>
    <n v="10014078.499999996"/>
    <x v="4"/>
    <n v="0"/>
    <n v="10308730.499999994"/>
    <n v="0"/>
    <m/>
    <n v="0"/>
    <m/>
    <n v="0"/>
    <m/>
    <n v="0"/>
    <m/>
    <n v="0"/>
    <n v="11940683.499999996"/>
    <n v="0"/>
    <n v="0"/>
    <m/>
    <n v="0"/>
    <m/>
    <n v="0"/>
    <m/>
    <n v="0"/>
    <n v="13352864"/>
    <n v="0"/>
    <n v="0"/>
    <n v="0"/>
    <n v="0"/>
    <n v="0"/>
    <m/>
    <s v=""/>
    <m/>
    <s v=""/>
    <n v="0"/>
    <s v=""/>
    <s v=""/>
    <m/>
    <n v="0"/>
    <s v="No change"/>
    <n v="5.0912180313375632E-2"/>
    <n v="-3.8361793441239245E-2"/>
    <n v="0"/>
    <n v="0"/>
    <n v="0"/>
    <n v="0"/>
    <n v="0"/>
    <n v="0"/>
  </r>
  <r>
    <x v="2"/>
    <x v="2"/>
    <n v="10014078.499999996"/>
    <x v="5"/>
    <n v="0"/>
    <n v="10308730.499999994"/>
    <n v="0"/>
    <m/>
    <n v="0"/>
    <m/>
    <n v="0"/>
    <m/>
    <n v="0"/>
    <m/>
    <n v="15"/>
    <n v="11940683.499999996"/>
    <n v="0"/>
    <n v="0"/>
    <m/>
    <n v="0"/>
    <m/>
    <n v="0"/>
    <m/>
    <n v="0"/>
    <n v="13352864"/>
    <n v="0"/>
    <n v="0"/>
    <n v="0"/>
    <n v="15"/>
    <n v="0"/>
    <m/>
    <s v=""/>
    <n v="15"/>
    <n v="2017"/>
    <n v="15"/>
    <n v="2017"/>
    <s v=""/>
    <n v="15"/>
    <n v="15"/>
    <s v="No change"/>
    <n v="5.0912180313375632E-2"/>
    <n v="-3.8361793441239245E-2"/>
    <n v="0"/>
    <n v="0"/>
    <n v="0"/>
    <n v="1.2562094958801985E-2"/>
    <n v="1.123354510313293E-2"/>
    <n v="1.123354510313293E-2"/>
  </r>
  <r>
    <x v="2"/>
    <x v="2"/>
    <n v="10014078.499999996"/>
    <x v="6"/>
    <n v="0"/>
    <n v="10308730.499999994"/>
    <n v="0"/>
    <m/>
    <n v="0"/>
    <m/>
    <n v="0"/>
    <m/>
    <n v="0"/>
    <m/>
    <n v="0"/>
    <n v="11940683.499999996"/>
    <n v="668"/>
    <n v="668"/>
    <m/>
    <n v="0"/>
    <m/>
    <n v="0"/>
    <m/>
    <n v="0"/>
    <n v="13352864"/>
    <n v="0"/>
    <n v="0"/>
    <n v="0"/>
    <n v="668"/>
    <n v="0"/>
    <m/>
    <s v=""/>
    <n v="668"/>
    <n v="2018"/>
    <n v="668"/>
    <n v="2018"/>
    <s v=""/>
    <n v="668"/>
    <n v="668"/>
    <s v="No change"/>
    <n v="5.0912180313375632E-2"/>
    <n v="-3.8361793441239245E-2"/>
    <n v="0"/>
    <n v="0"/>
    <n v="0"/>
    <n v="0.5594319621653151"/>
    <n v="0.50026720859285323"/>
    <n v="0.50026720859285323"/>
  </r>
  <r>
    <x v="2"/>
    <x v="2"/>
    <n v="10014078.499999996"/>
    <x v="7"/>
    <n v="0"/>
    <n v="10308730.499999994"/>
    <n v="0"/>
    <m/>
    <n v="0"/>
    <m/>
    <n v="0"/>
    <m/>
    <n v="0"/>
    <m/>
    <n v="0"/>
    <n v="11940683.499999996"/>
    <n v="0"/>
    <n v="0"/>
    <m/>
    <n v="0"/>
    <m/>
    <n v="0"/>
    <m/>
    <n v="0"/>
    <n v="13352864"/>
    <n v="0"/>
    <n v="0"/>
    <n v="0"/>
    <n v="0"/>
    <n v="0"/>
    <m/>
    <s v=""/>
    <m/>
    <s v=""/>
    <n v="0"/>
    <s v=""/>
    <s v=""/>
    <m/>
    <n v="0"/>
    <s v="No change"/>
    <n v="5.0912180313375632E-2"/>
    <n v="-3.8361793441239245E-2"/>
    <n v="0"/>
    <n v="0"/>
    <n v="0"/>
    <n v="0"/>
    <n v="0"/>
    <n v="0"/>
  </r>
  <r>
    <x v="2"/>
    <x v="2"/>
    <n v="10014078.499999996"/>
    <x v="8"/>
    <n v="241"/>
    <n v="10308730.499999994"/>
    <n v="206"/>
    <m/>
    <n v="0"/>
    <m/>
    <n v="0"/>
    <m/>
    <n v="234"/>
    <m/>
    <n v="0"/>
    <n v="11940683.499999996"/>
    <n v="137"/>
    <n v="137"/>
    <m/>
    <n v="92"/>
    <m/>
    <n v="0"/>
    <m/>
    <n v="352"/>
    <n v="13352864"/>
    <n v="0"/>
    <n v="54"/>
    <n v="241"/>
    <n v="234"/>
    <n v="352"/>
    <n v="206"/>
    <n v="2013"/>
    <n v="137"/>
    <n v="2018"/>
    <n v="352"/>
    <n v="2021"/>
    <s v=""/>
    <n v="352"/>
    <n v="352"/>
    <s v="Increasing"/>
    <n v="5.0912180313375632E-2"/>
    <n v="-3.8361793441239245E-2"/>
    <n v="41.863869214032718"/>
    <n v="48.129662269391119"/>
    <n v="0.19983061929885557"/>
    <n v="0.1147338006237248"/>
    <n v="0.26361385842018609"/>
    <n v="0.26361385842018609"/>
  </r>
  <r>
    <x v="2"/>
    <x v="2"/>
    <n v="10014078.499999996"/>
    <x v="9"/>
    <n v="0"/>
    <n v="10308730.499999994"/>
    <n v="0"/>
    <m/>
    <n v="0"/>
    <m/>
    <n v="0"/>
    <m/>
    <n v="0"/>
    <m/>
    <n v="0"/>
    <n v="11940683.499999996"/>
    <n v="0"/>
    <n v="0"/>
    <m/>
    <n v="0"/>
    <m/>
    <n v="0"/>
    <m/>
    <n v="0"/>
    <n v="13352864"/>
    <n v="0"/>
    <n v="0"/>
    <n v="0"/>
    <n v="0"/>
    <n v="0"/>
    <m/>
    <s v=""/>
    <m/>
    <s v=""/>
    <n v="0"/>
    <s v=""/>
    <s v=""/>
    <m/>
    <n v="0"/>
    <s v="No change"/>
    <n v="5.0912180313375632E-2"/>
    <n v="-3.8361793441239245E-2"/>
    <n v="0"/>
    <n v="0"/>
    <n v="0"/>
    <n v="0"/>
    <n v="0"/>
    <n v="0"/>
  </r>
  <r>
    <x v="2"/>
    <x v="2"/>
    <n v="10014078.499999996"/>
    <x v="10"/>
    <n v="0"/>
    <n v="10308730.499999994"/>
    <n v="0"/>
    <m/>
    <n v="0"/>
    <m/>
    <n v="0"/>
    <m/>
    <n v="0"/>
    <m/>
    <n v="0"/>
    <n v="11940683.499999996"/>
    <n v="0"/>
    <n v="0"/>
    <m/>
    <n v="0"/>
    <m/>
    <n v="0"/>
    <m/>
    <n v="0"/>
    <n v="13352864"/>
    <n v="0"/>
    <n v="0"/>
    <n v="0"/>
    <n v="0"/>
    <n v="0"/>
    <m/>
    <s v=""/>
    <m/>
    <s v=""/>
    <n v="0"/>
    <s v=""/>
    <s v=""/>
    <m/>
    <n v="0"/>
    <s v="No change"/>
    <n v="5.0912180313375632E-2"/>
    <n v="-3.8361793441239245E-2"/>
    <n v="0"/>
    <n v="0"/>
    <n v="0"/>
    <n v="0"/>
    <n v="0"/>
    <n v="0"/>
  </r>
  <r>
    <x v="2"/>
    <x v="2"/>
    <n v="10014078.499999996"/>
    <x v="11"/>
    <n v="0"/>
    <n v="10308730.499999994"/>
    <n v="0"/>
    <m/>
    <n v="0"/>
    <m/>
    <n v="0"/>
    <m/>
    <n v="0"/>
    <m/>
    <n v="0"/>
    <n v="11940683.499999996"/>
    <n v="0"/>
    <n v="156"/>
    <m/>
    <n v="0"/>
    <m/>
    <n v="0"/>
    <m/>
    <n v="0"/>
    <n v="13352864"/>
    <n v="0"/>
    <n v="156"/>
    <n v="0"/>
    <n v="0"/>
    <n v="0"/>
    <m/>
    <s v=""/>
    <n v="156"/>
    <s v="2018 (triag)"/>
    <n v="156"/>
    <s v="2018 (triag)"/>
    <s v=""/>
    <n v="156"/>
    <n v="156"/>
    <s v="No change"/>
    <n v="5.0912180313375632E-2"/>
    <n v="-3.8361793441239245E-2"/>
    <n v="120.94006661831673"/>
    <n v="139.04124655601879"/>
    <n v="0"/>
    <n v="0.13064578757154066"/>
    <n v="0.11682886907258248"/>
    <n v="0.11682886907258248"/>
  </r>
  <r>
    <x v="2"/>
    <x v="2"/>
    <n v="10014078.499999996"/>
    <x v="12"/>
    <n v="0"/>
    <n v="10308730.499999994"/>
    <n v="0"/>
    <m/>
    <n v="0"/>
    <m/>
    <n v="0"/>
    <m/>
    <n v="0"/>
    <m/>
    <n v="0"/>
    <n v="11940683.499999996"/>
    <n v="0"/>
    <n v="1994"/>
    <m/>
    <n v="0"/>
    <m/>
    <n v="0"/>
    <m/>
    <n v="0"/>
    <n v="13352864"/>
    <n v="0"/>
    <n v="1994"/>
    <n v="0"/>
    <n v="0"/>
    <n v="0"/>
    <m/>
    <s v=""/>
    <n v="1994"/>
    <s v="2018 (triag)"/>
    <n v="1994"/>
    <s v="2018 (triag)"/>
    <s v=""/>
    <n v="1994"/>
    <n v="1994"/>
    <s v="No change"/>
    <n v="5.0912180313375632E-2"/>
    <n v="-3.8361793441239245E-2"/>
    <n v="1545.8621335700229"/>
    <n v="1777.2323437993684"/>
    <n v="0"/>
    <n v="1.6699211565234107"/>
    <n v="1.4933125957098043"/>
    <n v="1.4933125957098043"/>
  </r>
  <r>
    <x v="2"/>
    <x v="2"/>
    <n v="10014078.499999996"/>
    <x v="13"/>
    <n v="845"/>
    <n v="10308730.499999994"/>
    <n v="830"/>
    <m/>
    <n v="0"/>
    <m/>
    <n v="0"/>
    <m/>
    <n v="1166"/>
    <m/>
    <n v="0"/>
    <n v="11940683.499999996"/>
    <n v="0"/>
    <n v="241"/>
    <m/>
    <n v="0"/>
    <m/>
    <n v="0"/>
    <m/>
    <n v="1744"/>
    <n v="13352864"/>
    <n v="1602"/>
    <n v="241"/>
    <n v="845"/>
    <n v="1166"/>
    <n v="1744"/>
    <n v="830"/>
    <n v="2013"/>
    <n v="241"/>
    <s v="2018 (triag)"/>
    <n v="1602"/>
    <n v="2022"/>
    <s v=""/>
    <n v="1602"/>
    <n v="1602"/>
    <s v="Increasing"/>
    <n v="5.0912180313375632E-2"/>
    <n v="-3.8361793441239245E-2"/>
    <n v="186.83689778855342"/>
    <n v="214.8009001282085"/>
    <n v="0.80514278649538895"/>
    <n v="0.20183099233808524"/>
    <n v="1.1997426170145971"/>
    <n v="1.1997426170145971"/>
  </r>
  <r>
    <x v="2"/>
    <x v="2"/>
    <n v="10014078.499999996"/>
    <x v="14"/>
    <n v="0"/>
    <n v="10308730.499999994"/>
    <n v="0"/>
    <m/>
    <n v="0"/>
    <m/>
    <n v="0"/>
    <m/>
    <n v="0"/>
    <m/>
    <n v="0"/>
    <n v="11940683.499999996"/>
    <n v="5086"/>
    <n v="5086"/>
    <m/>
    <n v="0"/>
    <m/>
    <n v="0"/>
    <m/>
    <n v="382"/>
    <n v="13352864"/>
    <n v="382"/>
    <n v="146"/>
    <n v="0"/>
    <n v="5086"/>
    <n v="382"/>
    <m/>
    <s v=""/>
    <n v="5086"/>
    <n v="2018"/>
    <n v="382"/>
    <n v="2021"/>
    <s v="Adjust"/>
    <n v="475.9367826904986"/>
    <n v="5086"/>
    <s v="Decreasing"/>
    <n v="5.0912180313375632E-2"/>
    <n v="-3.8361793441239245E-2"/>
    <n v="113.18749824534771"/>
    <n v="130.12834613576118"/>
    <n v="0"/>
    <n v="4.2593876640311263"/>
    <n v="0.35643048763957952"/>
    <n v="3.8089206929689392"/>
  </r>
  <r>
    <x v="2"/>
    <x v="2"/>
    <n v="10014078.499999996"/>
    <x v="15"/>
    <n v="0"/>
    <n v="10308730.499999994"/>
    <n v="0"/>
    <m/>
    <n v="0"/>
    <m/>
    <n v="0"/>
    <m/>
    <n v="0"/>
    <m/>
    <n v="0"/>
    <n v="11940683.499999996"/>
    <n v="58"/>
    <n v="58"/>
    <m/>
    <n v="0"/>
    <m/>
    <n v="0"/>
    <m/>
    <n v="187"/>
    <n v="13352864"/>
    <n v="187"/>
    <n v="0"/>
    <n v="0"/>
    <n v="58"/>
    <n v="187"/>
    <m/>
    <s v=""/>
    <n v="58"/>
    <n v="2018"/>
    <n v="187"/>
    <n v="2021"/>
    <s v=""/>
    <n v="187"/>
    <n v="187"/>
    <s v="Increasing"/>
    <n v="5.0912180313375632E-2"/>
    <n v="-3.8361793441239245E-2"/>
    <n v="0"/>
    <n v="0"/>
    <n v="0"/>
    <n v="4.8573433840701008E-2"/>
    <n v="0.14004486228572388"/>
    <n v="0.14004486228572388"/>
  </r>
  <r>
    <x v="2"/>
    <x v="2"/>
    <n v="10014078.499999996"/>
    <x v="16"/>
    <n v="0"/>
    <n v="10308730.499999994"/>
    <n v="0"/>
    <m/>
    <n v="0"/>
    <m/>
    <n v="0"/>
    <m/>
    <n v="0"/>
    <m/>
    <n v="0"/>
    <n v="11940683.499999996"/>
    <n v="102"/>
    <n v="102"/>
    <m/>
    <n v="0"/>
    <m/>
    <n v="0"/>
    <m/>
    <n v="0"/>
    <n v="13352864"/>
    <n v="0"/>
    <n v="0"/>
    <n v="0"/>
    <n v="102"/>
    <n v="0"/>
    <m/>
    <s v=""/>
    <n v="102"/>
    <n v="2018"/>
    <n v="102"/>
    <n v="2018"/>
    <s v=""/>
    <n v="102"/>
    <n v="102"/>
    <s v="No change"/>
    <n v="5.0912180313375632E-2"/>
    <n v="-3.8361793441239245E-2"/>
    <n v="0"/>
    <n v="0"/>
    <n v="0"/>
    <n v="8.5422245719853504E-2"/>
    <n v="7.6388106701303929E-2"/>
    <n v="7.6388106701303929E-2"/>
  </r>
  <r>
    <x v="2"/>
    <x v="2"/>
    <n v="10014078.499999996"/>
    <x v="17"/>
    <n v="0"/>
    <n v="10308730.499999994"/>
    <n v="0"/>
    <m/>
    <n v="0"/>
    <m/>
    <n v="0"/>
    <m/>
    <n v="0"/>
    <m/>
    <n v="0"/>
    <n v="11940683.499999996"/>
    <n v="0"/>
    <n v="0"/>
    <m/>
    <n v="0"/>
    <m/>
    <n v="0"/>
    <m/>
    <n v="0"/>
    <n v="13352864"/>
    <n v="0"/>
    <n v="0"/>
    <n v="0"/>
    <n v="0"/>
    <n v="0"/>
    <m/>
    <s v=""/>
    <m/>
    <s v=""/>
    <n v="0"/>
    <s v=""/>
    <s v=""/>
    <m/>
    <n v="0"/>
    <s v="No change"/>
    <n v="5.0912180313375632E-2"/>
    <n v="-3.8361793441239245E-2"/>
    <n v="0"/>
    <n v="0"/>
    <n v="0"/>
    <n v="0"/>
    <n v="0"/>
    <n v="0"/>
  </r>
  <r>
    <x v="2"/>
    <x v="2"/>
    <n v="10014078.499999996"/>
    <x v="18"/>
    <n v="0"/>
    <n v="10308730.499999994"/>
    <n v="10200"/>
    <m/>
    <n v="0"/>
    <m/>
    <n v="0"/>
    <m/>
    <n v="0"/>
    <m/>
    <n v="0"/>
    <n v="11940683.499999996"/>
    <n v="0"/>
    <n v="0"/>
    <m/>
    <n v="0"/>
    <m/>
    <n v="0"/>
    <m/>
    <n v="0"/>
    <n v="13352864"/>
    <n v="0"/>
    <n v="0"/>
    <n v="10200"/>
    <n v="0"/>
    <n v="0"/>
    <n v="10200"/>
    <n v="2013"/>
    <m/>
    <s v=""/>
    <n v="0"/>
    <s v=""/>
    <s v=""/>
    <m/>
    <n v="0"/>
    <s v="No change"/>
    <n v="5.0912180313375632E-2"/>
    <n v="-3.8361793441239245E-2"/>
    <n v="0"/>
    <n v="0"/>
    <n v="9.8945258099433353"/>
    <n v="0"/>
    <n v="0"/>
    <n v="0"/>
  </r>
  <r>
    <x v="3"/>
    <x v="3"/>
    <n v="17113732.499999996"/>
    <x v="0"/>
    <n v="2099"/>
    <n v="17636407.5"/>
    <n v="0"/>
    <m/>
    <n v="0"/>
    <m/>
    <n v="0"/>
    <m/>
    <n v="0"/>
    <m/>
    <n v="2749"/>
    <n v="20392723"/>
    <n v="0"/>
    <n v="2749"/>
    <m/>
    <n v="2979"/>
    <m/>
    <n v="2923"/>
    <m/>
    <n v="2947"/>
    <n v="22673762.000000007"/>
    <n v="3145"/>
    <n v="2749"/>
    <n v="2099"/>
    <n v="2979"/>
    <n v="3145"/>
    <n v="2099"/>
    <n v="2012"/>
    <n v="2749"/>
    <n v="2017"/>
    <n v="3145"/>
    <n v="2022"/>
    <s v=""/>
    <n v="3145"/>
    <n v="3145"/>
    <s v="Increasing"/>
    <n v="0.11672257510323925"/>
    <n v="5.6053037042871567E-2"/>
    <n v="1533.6098471508678"/>
    <n v="3252.4101961604651"/>
    <n v="1.190151679133066"/>
    <n v="1.3480298830126805"/>
    <n v="1.3870658076061657"/>
    <n v="1.3870658076061657"/>
  </r>
  <r>
    <x v="3"/>
    <x v="3"/>
    <n v="17113732.499999996"/>
    <x v="1"/>
    <n v="128"/>
    <n v="17636407.5"/>
    <n v="0"/>
    <m/>
    <n v="0"/>
    <m/>
    <n v="1688"/>
    <m/>
    <n v="940"/>
    <m/>
    <n v="0"/>
    <n v="20392723"/>
    <n v="0"/>
    <n v="19"/>
    <m/>
    <n v="0"/>
    <m/>
    <n v="0"/>
    <m/>
    <n v="15"/>
    <n v="22673762.000000007"/>
    <n v="0"/>
    <n v="19"/>
    <n v="1688"/>
    <n v="940"/>
    <n v="15"/>
    <n v="128"/>
    <n v="2012"/>
    <n v="19"/>
    <s v="2018 (triag)"/>
    <n v="15"/>
    <n v="2021"/>
    <s v="Adjust"/>
    <n v="15.409998099220681"/>
    <n v="19"/>
    <s v="Decreasing"/>
    <n v="0.11672257510323925"/>
    <n v="5.6053037042871567E-2"/>
    <n v="10.599704290966347"/>
    <n v="22.47937203603086"/>
    <n v="7.2577139080053574E-2"/>
    <n v="9.3170490277340607E-3"/>
    <n v="6.7964010997472214E-3"/>
    <n v="8.3797298392741335E-3"/>
  </r>
  <r>
    <x v="3"/>
    <x v="3"/>
    <n v="17113732.499999996"/>
    <x v="2"/>
    <n v="1791"/>
    <n v="17636407.5"/>
    <n v="0"/>
    <m/>
    <n v="0"/>
    <m/>
    <n v="718"/>
    <m/>
    <n v="2367"/>
    <m/>
    <n v="20392"/>
    <n v="20392723"/>
    <n v="157"/>
    <n v="160"/>
    <m/>
    <n v="0"/>
    <m/>
    <n v="0"/>
    <m/>
    <n v="31"/>
    <n v="22673762.000000007"/>
    <n v="0"/>
    <n v="160"/>
    <n v="1791"/>
    <n v="20392"/>
    <n v="31"/>
    <n v="1791"/>
    <n v="2012"/>
    <n v="160"/>
    <s v="2018 (triag)"/>
    <n v="31"/>
    <n v="2021"/>
    <s v="Adjust"/>
    <n v="31.847329405056072"/>
    <n v="160"/>
    <s v="Decreasing"/>
    <n v="0.11672257510323925"/>
    <n v="5.6053037042871567E-2"/>
    <n v="89.260667713400821"/>
    <n v="189.29997504025988"/>
    <n v="1.0155129382216872"/>
    <n v="7.8459360233549977E-2"/>
    <n v="1.4045895606144257E-2"/>
    <n v="7.0566146014940059E-2"/>
  </r>
  <r>
    <x v="3"/>
    <x v="3"/>
    <n v="17113732.499999996"/>
    <x v="3"/>
    <n v="0"/>
    <n v="17636407.5"/>
    <n v="0"/>
    <m/>
    <n v="0"/>
    <m/>
    <n v="0"/>
    <m/>
    <n v="0"/>
    <m/>
    <n v="0"/>
    <n v="20392723"/>
    <n v="0"/>
    <n v="1224"/>
    <m/>
    <n v="0"/>
    <m/>
    <n v="68"/>
    <m/>
    <n v="0"/>
    <n v="22673762.000000007"/>
    <n v="886"/>
    <n v="1224"/>
    <n v="0"/>
    <n v="0"/>
    <n v="886"/>
    <m/>
    <s v=""/>
    <n v="1224"/>
    <s v="2018 (triag)"/>
    <n v="886"/>
    <n v="2022"/>
    <s v="Adjust"/>
    <n v="910.21722106063487"/>
    <n v="1224"/>
    <s v="Decreasing"/>
    <n v="0.11672257510323925"/>
    <n v="5.6053037042871567E-2"/>
    <n v="682.8441080075163"/>
    <n v="1448.1448090579881"/>
    <n v="0"/>
    <n v="0.60021410578665735"/>
    <n v="0.40144075829173581"/>
    <n v="0.53983101701429148"/>
  </r>
  <r>
    <x v="3"/>
    <x v="3"/>
    <n v="17113732.499999996"/>
    <x v="4"/>
    <n v="0"/>
    <n v="17636407.5"/>
    <n v="0"/>
    <m/>
    <n v="0"/>
    <m/>
    <n v="0"/>
    <m/>
    <n v="0"/>
    <m/>
    <n v="0"/>
    <n v="20392723"/>
    <n v="0"/>
    <n v="653"/>
    <m/>
    <n v="0"/>
    <m/>
    <n v="0"/>
    <m/>
    <n v="0"/>
    <n v="22673762.000000007"/>
    <n v="0"/>
    <n v="653"/>
    <n v="0"/>
    <n v="0"/>
    <n v="0"/>
    <m/>
    <s v=""/>
    <n v="653"/>
    <s v="2018 (triag)"/>
    <n v="653"/>
    <s v="2018 (triag)"/>
    <s v=""/>
    <n v="653"/>
    <n v="653"/>
    <s v="No change"/>
    <n v="0.11672257510323925"/>
    <n v="5.6053037042871567E-2"/>
    <n v="364.29510010531709"/>
    <n v="772.58052313306064"/>
    <n v="0"/>
    <n v="0.32021226395317587"/>
    <n v="0.28799808342347416"/>
    <n v="0.28799808342347416"/>
  </r>
  <r>
    <x v="3"/>
    <x v="3"/>
    <n v="17113732.499999996"/>
    <x v="5"/>
    <n v="0"/>
    <n v="17636407.5"/>
    <n v="0"/>
    <m/>
    <n v="0"/>
    <m/>
    <n v="0"/>
    <m/>
    <n v="0"/>
    <m/>
    <n v="3"/>
    <n v="20392723"/>
    <n v="2"/>
    <n v="3"/>
    <m/>
    <n v="143"/>
    <m/>
    <n v="0"/>
    <m/>
    <n v="0"/>
    <n v="22673762.000000007"/>
    <n v="14"/>
    <n v="3"/>
    <n v="0"/>
    <n v="143"/>
    <n v="14"/>
    <m/>
    <s v=""/>
    <n v="3"/>
    <n v="2017"/>
    <n v="14"/>
    <n v="2022"/>
    <s v=""/>
    <n v="14"/>
    <n v="14"/>
    <s v="Increasing"/>
    <n v="0.11672257510323925"/>
    <n v="5.6053037042871567E-2"/>
    <n v="1.6736375196262654"/>
    <n v="3.5493745320048724"/>
    <n v="0"/>
    <n v="1.471113004379062E-3"/>
    <n v="6.1745377763072554E-3"/>
    <n v="6.1745377763072554E-3"/>
  </r>
  <r>
    <x v="3"/>
    <x v="3"/>
    <n v="17113732.499999996"/>
    <x v="6"/>
    <n v="0"/>
    <n v="17636407.5"/>
    <n v="0"/>
    <m/>
    <n v="0"/>
    <m/>
    <n v="0"/>
    <m/>
    <n v="0"/>
    <m/>
    <n v="699"/>
    <n v="20392723"/>
    <n v="648"/>
    <n v="648"/>
    <m/>
    <n v="800"/>
    <m/>
    <n v="906"/>
    <m/>
    <n v="899"/>
    <n v="22673762.000000007"/>
    <n v="0"/>
    <n v="2"/>
    <n v="0"/>
    <n v="800"/>
    <n v="906"/>
    <m/>
    <s v=""/>
    <n v="648"/>
    <n v="2018"/>
    <n v="899"/>
    <n v="2021"/>
    <s v=""/>
    <n v="899"/>
    <n v="899"/>
    <s v="Increasing"/>
    <n v="0.11672257510323925"/>
    <n v="5.6053037042871567E-2"/>
    <n v="1.1157583464175103"/>
    <n v="2.3662496880032484"/>
    <n v="0"/>
    <n v="0.31776040894587743"/>
    <n v="0.39649353292144451"/>
    <n v="0.39649353292144451"/>
  </r>
  <r>
    <x v="3"/>
    <x v="3"/>
    <n v="17113732.499999996"/>
    <x v="7"/>
    <n v="0"/>
    <n v="17636407.5"/>
    <n v="0"/>
    <m/>
    <n v="0"/>
    <m/>
    <n v="0"/>
    <m/>
    <n v="0"/>
    <m/>
    <n v="0"/>
    <n v="20392723"/>
    <n v="0"/>
    <n v="0"/>
    <m/>
    <n v="0"/>
    <m/>
    <n v="0"/>
    <m/>
    <n v="8"/>
    <n v="22673762.000000007"/>
    <n v="0"/>
    <n v="0"/>
    <n v="0"/>
    <n v="0"/>
    <n v="8"/>
    <m/>
    <s v=""/>
    <m/>
    <s v=""/>
    <n v="8"/>
    <n v="2021"/>
    <s v=""/>
    <n v="8"/>
    <n v="8"/>
    <s v="Increasing"/>
    <n v="0.11672257510323925"/>
    <n v="5.6053037042871567E-2"/>
    <n v="0"/>
    <n v="0"/>
    <n v="0"/>
    <n v="0"/>
    <n v="3.5283073007470033E-3"/>
    <n v="3.5283073007470033E-3"/>
  </r>
  <r>
    <x v="3"/>
    <x v="3"/>
    <n v="17113732.499999996"/>
    <x v="8"/>
    <n v="109"/>
    <n v="17636407.5"/>
    <n v="0"/>
    <m/>
    <n v="0"/>
    <m/>
    <n v="0"/>
    <m/>
    <n v="0"/>
    <m/>
    <n v="0"/>
    <n v="20392723"/>
    <n v="0"/>
    <n v="128"/>
    <m/>
    <n v="191"/>
    <m/>
    <n v="274"/>
    <m/>
    <n v="209"/>
    <n v="22673762.000000007"/>
    <n v="0"/>
    <n v="128"/>
    <n v="109"/>
    <n v="191"/>
    <n v="274"/>
    <n v="109"/>
    <n v="2012"/>
    <n v="128"/>
    <s v="2018 (triag)"/>
    <n v="209"/>
    <n v="2021"/>
    <s v=""/>
    <n v="209"/>
    <n v="209"/>
    <s v="Increasing"/>
    <n v="0.11672257510323925"/>
    <n v="5.6053037042871567E-2"/>
    <n v="71.408534170720657"/>
    <n v="151.4399800322079"/>
    <n v="6.1803969997858123E-2"/>
    <n v="6.2767488186839984E-2"/>
    <n v="9.2177028232015457E-2"/>
    <n v="9.2177028232015457E-2"/>
  </r>
  <r>
    <x v="3"/>
    <x v="3"/>
    <n v="17113732.499999996"/>
    <x v="9"/>
    <n v="0"/>
    <n v="17636407.5"/>
    <n v="0"/>
    <m/>
    <n v="0"/>
    <m/>
    <n v="0"/>
    <m/>
    <n v="0"/>
    <m/>
    <n v="0"/>
    <n v="20392723"/>
    <n v="0"/>
    <n v="4"/>
    <m/>
    <n v="0"/>
    <m/>
    <n v="0"/>
    <m/>
    <n v="0"/>
    <n v="22673762.000000007"/>
    <n v="44"/>
    <n v="4"/>
    <n v="0"/>
    <n v="0"/>
    <n v="44"/>
    <m/>
    <s v=""/>
    <n v="4"/>
    <s v="2018 (triag)"/>
    <n v="44"/>
    <n v="2022"/>
    <s v=""/>
    <n v="44"/>
    <n v="44"/>
    <s v="Increasing"/>
    <n v="0.11672257510323925"/>
    <n v="5.6053037042871567E-2"/>
    <n v="2.2315166928350205"/>
    <n v="4.7324993760064968"/>
    <n v="0"/>
    <n v="1.9614840058387495E-3"/>
    <n v="1.9405690154108517E-2"/>
    <n v="1.9405690154108517E-2"/>
  </r>
  <r>
    <x v="3"/>
    <x v="3"/>
    <n v="17113732.499999996"/>
    <x v="10"/>
    <n v="0"/>
    <n v="17636407.5"/>
    <n v="0"/>
    <m/>
    <n v="0"/>
    <m/>
    <n v="0"/>
    <m/>
    <n v="0"/>
    <m/>
    <n v="3"/>
    <n v="20392723"/>
    <n v="0"/>
    <n v="3"/>
    <m/>
    <n v="0"/>
    <m/>
    <n v="3"/>
    <m/>
    <n v="3"/>
    <n v="22673762.000000007"/>
    <n v="2"/>
    <n v="3"/>
    <n v="0"/>
    <n v="3"/>
    <n v="3"/>
    <m/>
    <s v=""/>
    <n v="3"/>
    <n v="2017"/>
    <n v="2"/>
    <n v="2022"/>
    <s v="Adjust"/>
    <n v="2.0546664132294241"/>
    <n v="3"/>
    <s v="Decreasing"/>
    <n v="0.11672257510323925"/>
    <n v="5.6053037042871567E-2"/>
    <n v="1.6736375196262654"/>
    <n v="3.5493745320048724"/>
    <n v="0"/>
    <n v="1.471113004379062E-3"/>
    <n v="9.0618681329962948E-4"/>
    <n v="1.3231152377801262E-3"/>
  </r>
  <r>
    <x v="3"/>
    <x v="3"/>
    <n v="17113732.499999996"/>
    <x v="11"/>
    <n v="0"/>
    <n v="17636407.5"/>
    <n v="0"/>
    <m/>
    <n v="0"/>
    <m/>
    <n v="0"/>
    <m/>
    <n v="0"/>
    <m/>
    <n v="0"/>
    <n v="20392723"/>
    <n v="0"/>
    <n v="871"/>
    <m/>
    <n v="22"/>
    <m/>
    <n v="0"/>
    <m/>
    <n v="0"/>
    <n v="22673762.000000007"/>
    <n v="0"/>
    <n v="871"/>
    <n v="0"/>
    <n v="22"/>
    <n v="0"/>
    <m/>
    <s v=""/>
    <n v="871"/>
    <s v="2018 (triag)"/>
    <n v="22"/>
    <s v="2018 (triag)"/>
    <s v="Adjust"/>
    <n v="22.601330545523666"/>
    <n v="871"/>
    <s v="Decreasing"/>
    <n v="0.11672257510323925"/>
    <n v="5.6053037042871567E-2"/>
    <n v="485.91275986482572"/>
    <n v="1030.5017391254146"/>
    <n v="0"/>
    <n v="0.42711314227138769"/>
    <n v="9.9680549462959258E-3"/>
    <n v="0.38414445736882996"/>
  </r>
  <r>
    <x v="3"/>
    <x v="3"/>
    <n v="17113732.499999996"/>
    <x v="12"/>
    <n v="0"/>
    <n v="17636407.5"/>
    <n v="0"/>
    <m/>
    <n v="0"/>
    <m/>
    <n v="0"/>
    <m/>
    <n v="0"/>
    <m/>
    <n v="0"/>
    <n v="20392723"/>
    <n v="0"/>
    <n v="44"/>
    <m/>
    <n v="2079"/>
    <m/>
    <n v="0"/>
    <m/>
    <n v="0"/>
    <n v="22673762.000000007"/>
    <n v="0"/>
    <n v="44"/>
    <n v="0"/>
    <n v="2079"/>
    <n v="0"/>
    <m/>
    <s v=""/>
    <n v="44"/>
    <s v="2018 (triag)"/>
    <n v="2079"/>
    <s v="2018 (triag)"/>
    <s v=""/>
    <n v="2079"/>
    <n v="2079"/>
    <s v="Increasing"/>
    <n v="0.11672257510323925"/>
    <n v="5.6053037042871567E-2"/>
    <n v="24.546683621185224"/>
    <n v="52.057493136071464"/>
    <n v="0"/>
    <n v="2.1576324064226243E-2"/>
    <n v="0.91691885978162746"/>
    <n v="0.91691885978162746"/>
  </r>
  <r>
    <x v="3"/>
    <x v="3"/>
    <n v="17113732.499999996"/>
    <x v="13"/>
    <n v="458"/>
    <n v="17636407.5"/>
    <n v="0"/>
    <m/>
    <n v="0"/>
    <m/>
    <n v="0"/>
    <m/>
    <n v="0"/>
    <m/>
    <n v="0"/>
    <n v="20392723"/>
    <n v="0"/>
    <n v="699"/>
    <m/>
    <n v="0"/>
    <m/>
    <n v="0"/>
    <m/>
    <n v="0"/>
    <n v="22673762.000000007"/>
    <n v="0"/>
    <n v="699"/>
    <n v="458"/>
    <n v="0"/>
    <n v="0"/>
    <n v="458"/>
    <n v="2012"/>
    <n v="699"/>
    <s v="2018 (triag)"/>
    <n v="699"/>
    <s v="2018 (triag)"/>
    <s v=""/>
    <n v="699"/>
    <n v="699"/>
    <s v="No change"/>
    <n v="0.11672257510323925"/>
    <n v="5.6053037042871567E-2"/>
    <n v="389.95754207291981"/>
    <n v="827.00426595713532"/>
    <n v="0.25969007577081671"/>
    <n v="0.34276933002032145"/>
    <n v="0.3082858504027694"/>
    <n v="0.3082858504027694"/>
  </r>
  <r>
    <x v="3"/>
    <x v="3"/>
    <n v="17113732.499999996"/>
    <x v="14"/>
    <n v="0"/>
    <n v="17636407.5"/>
    <n v="0"/>
    <m/>
    <n v="0"/>
    <m/>
    <n v="0"/>
    <m/>
    <n v="0"/>
    <m/>
    <n v="0"/>
    <n v="20392723"/>
    <n v="0"/>
    <n v="0"/>
    <m/>
    <n v="0"/>
    <m/>
    <n v="0"/>
    <m/>
    <n v="0"/>
    <n v="22673762.000000007"/>
    <n v="1698"/>
    <n v="0"/>
    <n v="0"/>
    <n v="0"/>
    <n v="1698"/>
    <m/>
    <s v=""/>
    <m/>
    <s v=""/>
    <n v="1698"/>
    <n v="2022"/>
    <s v=""/>
    <n v="1698"/>
    <n v="1698"/>
    <s v="Increasing"/>
    <n v="0.11672257510323925"/>
    <n v="5.6053037042871567E-2"/>
    <n v="0"/>
    <n v="0"/>
    <n v="0"/>
    <n v="0"/>
    <n v="0.74888322458355139"/>
    <n v="0.74888322458355139"/>
  </r>
  <r>
    <x v="3"/>
    <x v="3"/>
    <n v="17113732.499999996"/>
    <x v="15"/>
    <n v="0"/>
    <n v="17636407.5"/>
    <n v="0"/>
    <m/>
    <n v="0"/>
    <m/>
    <n v="0"/>
    <m/>
    <n v="0"/>
    <m/>
    <n v="18"/>
    <n v="20392723"/>
    <n v="0"/>
    <n v="18"/>
    <m/>
    <n v="0"/>
    <m/>
    <n v="22"/>
    <m/>
    <n v="47"/>
    <n v="22673762.000000007"/>
    <n v="0"/>
    <n v="18"/>
    <n v="0"/>
    <n v="18"/>
    <n v="47"/>
    <m/>
    <s v=""/>
    <n v="18"/>
    <n v="2017"/>
    <n v="47"/>
    <n v="2021"/>
    <s v=""/>
    <n v="47"/>
    <n v="47"/>
    <s v="Increasing"/>
    <n v="0.11672257510323925"/>
    <n v="5.6053037042871567E-2"/>
    <n v="10.041825117757591"/>
    <n v="21.296247192029234"/>
    <n v="0"/>
    <n v="8.8266780262743726E-3"/>
    <n v="2.0728805391888643E-2"/>
    <n v="2.0728805391888643E-2"/>
  </r>
  <r>
    <x v="3"/>
    <x v="3"/>
    <n v="17113732.499999996"/>
    <x v="16"/>
    <n v="0"/>
    <n v="17636407.5"/>
    <n v="0"/>
    <m/>
    <n v="0"/>
    <m/>
    <n v="0"/>
    <m/>
    <n v="0"/>
    <m/>
    <n v="0"/>
    <n v="20392723"/>
    <n v="0"/>
    <n v="0"/>
    <m/>
    <n v="34"/>
    <m/>
    <n v="0"/>
    <m/>
    <n v="0"/>
    <n v="22673762.000000007"/>
    <n v="39"/>
    <n v="0"/>
    <n v="0"/>
    <n v="34"/>
    <n v="39"/>
    <m/>
    <s v=""/>
    <n v="34"/>
    <n v="2019"/>
    <n v="39"/>
    <n v="2022"/>
    <s v=""/>
    <n v="39"/>
    <n v="39"/>
    <s v="Increasing"/>
    <n v="0.11672257510323925"/>
    <n v="5.6053037042871567E-2"/>
    <n v="0"/>
    <n v="0"/>
    <n v="0"/>
    <n v="1.6672614049629369E-2"/>
    <n v="1.7200498091141641E-2"/>
    <n v="1.7200498091141641E-2"/>
  </r>
  <r>
    <x v="3"/>
    <x v="3"/>
    <n v="17113732.499999996"/>
    <x v="17"/>
    <n v="0"/>
    <n v="17636407.5"/>
    <n v="0"/>
    <m/>
    <n v="0"/>
    <m/>
    <n v="0"/>
    <m/>
    <n v="0"/>
    <m/>
    <n v="0"/>
    <n v="20392723"/>
    <n v="0"/>
    <n v="0"/>
    <m/>
    <n v="0"/>
    <m/>
    <n v="0"/>
    <m/>
    <n v="0"/>
    <n v="22673762.000000007"/>
    <n v="0"/>
    <n v="0"/>
    <n v="0"/>
    <n v="0"/>
    <n v="0"/>
    <m/>
    <s v=""/>
    <m/>
    <s v=""/>
    <n v="0"/>
    <s v=""/>
    <s v=""/>
    <m/>
    <n v="0"/>
    <s v="No change"/>
    <n v="0.11672257510323925"/>
    <n v="5.6053037042871567E-2"/>
    <n v="0"/>
    <n v="0"/>
    <n v="0"/>
    <n v="0"/>
    <n v="0"/>
    <n v="0"/>
  </r>
  <r>
    <x v="3"/>
    <x v="3"/>
    <n v="17113732.499999996"/>
    <x v="18"/>
    <n v="0"/>
    <n v="17636407.5"/>
    <n v="0"/>
    <m/>
    <n v="0"/>
    <m/>
    <n v="0"/>
    <m/>
    <n v="0"/>
    <m/>
    <n v="336"/>
    <n v="20392723"/>
    <n v="0"/>
    <n v="336"/>
    <m/>
    <n v="336"/>
    <m/>
    <n v="0"/>
    <m/>
    <n v="50"/>
    <n v="22673762.000000007"/>
    <n v="0"/>
    <n v="336"/>
    <n v="0"/>
    <n v="336"/>
    <n v="50"/>
    <m/>
    <s v=""/>
    <n v="336"/>
    <n v="2017"/>
    <n v="50"/>
    <n v="2021"/>
    <s v="Adjust"/>
    <n v="51.366660330735606"/>
    <n v="336"/>
    <s v="Decreasing"/>
    <n v="0.11672257510323925"/>
    <n v="5.6053037042871567E-2"/>
    <n v="187.4474021981417"/>
    <n v="397.52994758454571"/>
    <n v="0"/>
    <n v="0.16476465649045496"/>
    <n v="2.2654670332490738E-2"/>
    <n v="0.14818890663137413"/>
  </r>
  <r>
    <x v="4"/>
    <x v="4"/>
    <n v="2175430.5"/>
    <x v="0"/>
    <n v="166"/>
    <n v="2217278.0000000009"/>
    <n v="0"/>
    <m/>
    <n v="0"/>
    <m/>
    <n v="0"/>
    <m/>
    <n v="0"/>
    <m/>
    <n v="0"/>
    <n v="2451408.4999999995"/>
    <n v="0"/>
    <n v="0"/>
    <m/>
    <n v="0"/>
    <m/>
    <n v="0"/>
    <m/>
    <n v="0"/>
    <n v="2630296.0000000019"/>
    <n v="0"/>
    <n v="0"/>
    <n v="166"/>
    <n v="0"/>
    <n v="0"/>
    <n v="166"/>
    <n v="2012"/>
    <m/>
    <s v=""/>
    <n v="0"/>
    <s v=""/>
    <s v=""/>
    <m/>
    <n v="0"/>
    <s v="No change"/>
    <n v="6.0410507639565125E-2"/>
    <n v="0.33177029268299996"/>
    <n v="0"/>
    <n v="0"/>
    <n v="0.74866570633001328"/>
    <n v="0"/>
    <n v="0"/>
    <n v="0"/>
  </r>
  <r>
    <x v="4"/>
    <x v="4"/>
    <n v="2175431.5"/>
    <x v="1"/>
    <n v="0"/>
    <n v="2217278.0000000009"/>
    <n v="668"/>
    <m/>
    <n v="0"/>
    <m/>
    <n v="0"/>
    <m/>
    <n v="13"/>
    <m/>
    <n v="0"/>
    <n v="2451408.4999999995"/>
    <n v="0"/>
    <n v="0"/>
    <m/>
    <n v="0"/>
    <m/>
    <n v="0"/>
    <m/>
    <n v="0"/>
    <n v="2630296.0000000019"/>
    <n v="0"/>
    <n v="0"/>
    <n v="668"/>
    <n v="13"/>
    <n v="0"/>
    <n v="668"/>
    <n v="2013"/>
    <m/>
    <s v=""/>
    <n v="0"/>
    <s v=""/>
    <s v=""/>
    <m/>
    <n v="0"/>
    <s v="No change"/>
    <n v="6.0410507639565125E-2"/>
    <n v="0.33177029268299996"/>
    <n v="0"/>
    <n v="0"/>
    <n v="3.0127029628219812"/>
    <n v="0"/>
    <n v="0"/>
    <n v="0"/>
  </r>
  <r>
    <x v="4"/>
    <x v="4"/>
    <n v="2175432.5"/>
    <x v="2"/>
    <n v="0"/>
    <n v="2217278.0000000009"/>
    <n v="166"/>
    <m/>
    <n v="0"/>
    <m/>
    <n v="14743"/>
    <m/>
    <n v="208"/>
    <m/>
    <n v="0"/>
    <n v="2451408.4999999995"/>
    <n v="0"/>
    <n v="99"/>
    <m/>
    <n v="0"/>
    <m/>
    <n v="0"/>
    <m/>
    <n v="0"/>
    <n v="2630296.0000000019"/>
    <n v="0"/>
    <n v="99"/>
    <n v="14743"/>
    <n v="208"/>
    <n v="0"/>
    <n v="166"/>
    <n v="2013"/>
    <n v="99"/>
    <s v="2018 (triag)"/>
    <n v="99"/>
    <s v="2018 (triag)"/>
    <s v=""/>
    <n v="99"/>
    <n v="99"/>
    <s v="No change"/>
    <n v="6.0410507639565125E-2"/>
    <n v="0.33177029268299996"/>
    <n v="73.190623019618045"/>
    <n v="267.85096583043713"/>
    <n v="0.74866570633001328"/>
    <n v="0.40384946042244702"/>
    <n v="0.37638349448122921"/>
    <n v="0.37638349448122921"/>
  </r>
  <r>
    <x v="4"/>
    <x v="4"/>
    <n v="2175433.5"/>
    <x v="3"/>
    <n v="0"/>
    <n v="2217278.0000000009"/>
    <n v="0"/>
    <m/>
    <n v="0"/>
    <m/>
    <n v="0"/>
    <m/>
    <n v="0"/>
    <m/>
    <n v="0"/>
    <n v="2451408.4999999995"/>
    <n v="1563"/>
    <n v="1622"/>
    <m/>
    <n v="1421"/>
    <m/>
    <n v="1423"/>
    <m/>
    <n v="1519"/>
    <n v="2630296.0000000019"/>
    <n v="1563"/>
    <n v="1622"/>
    <n v="0"/>
    <n v="1563"/>
    <n v="1563"/>
    <m/>
    <s v=""/>
    <n v="1622"/>
    <s v="2018 (triag)"/>
    <n v="1563"/>
    <n v="2022"/>
    <s v="Adjust"/>
    <n v="1796.3537810728089"/>
    <n v="1796.3537810728089"/>
    <s v="Increasing"/>
    <n v="6.0410507639565125E-2"/>
    <n v="0.33177029268299996"/>
    <n v="1199.1433387658633"/>
    <n v="4388.4269351208986"/>
    <n v="0"/>
    <n v="6.6166042909617078"/>
    <n v="6.829473873179321"/>
    <n v="6.829473873179321"/>
  </r>
  <r>
    <x v="4"/>
    <x v="4"/>
    <n v="2175434.5"/>
    <x v="4"/>
    <n v="0"/>
    <n v="2217278.0000000009"/>
    <n v="0"/>
    <m/>
    <n v="0"/>
    <m/>
    <n v="0"/>
    <m/>
    <n v="0"/>
    <m/>
    <n v="0"/>
    <n v="2451408.4999999995"/>
    <n v="156"/>
    <n v="156"/>
    <m/>
    <n v="131"/>
    <m/>
    <n v="125"/>
    <m/>
    <n v="147"/>
    <n v="2630296.0000000019"/>
    <n v="159"/>
    <n v="0"/>
    <n v="0"/>
    <n v="156"/>
    <n v="159"/>
    <m/>
    <s v=""/>
    <n v="156"/>
    <n v="2018"/>
    <n v="159"/>
    <n v="2022"/>
    <s v=""/>
    <n v="159"/>
    <n v="159"/>
    <s v="Increasing"/>
    <n v="6.0410507639565125E-2"/>
    <n v="0.33177029268299996"/>
    <n v="0"/>
    <n v="0"/>
    <n v="0"/>
    <n v="0.63636884672628014"/>
    <n v="0.6044947032577318"/>
    <n v="0.6044947032577318"/>
  </r>
  <r>
    <x v="4"/>
    <x v="4"/>
    <n v="2175435.5"/>
    <x v="5"/>
    <n v="0"/>
    <n v="2217278.0000000009"/>
    <n v="0"/>
    <m/>
    <n v="0"/>
    <m/>
    <n v="0"/>
    <m/>
    <n v="0"/>
    <m/>
    <n v="0"/>
    <n v="2451408.4999999995"/>
    <n v="27"/>
    <n v="27"/>
    <m/>
    <n v="33"/>
    <m/>
    <n v="33"/>
    <m/>
    <n v="35"/>
    <n v="2630296.0000000019"/>
    <n v="33"/>
    <n v="0"/>
    <n v="0"/>
    <n v="33"/>
    <n v="35"/>
    <m/>
    <s v=""/>
    <n v="27"/>
    <n v="2018"/>
    <n v="33"/>
    <n v="2020"/>
    <s v=""/>
    <n v="33"/>
    <n v="33"/>
    <s v="Increasing"/>
    <n v="6.0410507639565125E-2"/>
    <n v="0.33177029268299996"/>
    <n v="0"/>
    <n v="0"/>
    <n v="0"/>
    <n v="0.11014076193339464"/>
    <n v="0.12546116482707642"/>
    <n v="0.12546116482707642"/>
  </r>
  <r>
    <x v="4"/>
    <x v="4"/>
    <n v="2175436.5"/>
    <x v="6"/>
    <n v="0"/>
    <n v="2217278.0000000009"/>
    <n v="0"/>
    <m/>
    <n v="0"/>
    <m/>
    <n v="0"/>
    <m/>
    <n v="0"/>
    <m/>
    <n v="0"/>
    <n v="2451408.4999999995"/>
    <n v="160"/>
    <n v="160"/>
    <m/>
    <n v="156"/>
    <m/>
    <n v="167"/>
    <m/>
    <n v="161"/>
    <n v="2630296.0000000019"/>
    <n v="191"/>
    <n v="0"/>
    <n v="0"/>
    <n v="160"/>
    <n v="191"/>
    <m/>
    <s v=""/>
    <n v="160"/>
    <n v="2018"/>
    <n v="191"/>
    <n v="2022"/>
    <s v=""/>
    <n v="191"/>
    <n v="191"/>
    <s v="Increasing"/>
    <n v="6.0410507639565125E-2"/>
    <n v="0.33177029268299996"/>
    <n v="0"/>
    <n v="0"/>
    <n v="0"/>
    <n v="0.65268599664233862"/>
    <n v="0.72615401460519979"/>
    <n v="0.72615401460519979"/>
  </r>
  <r>
    <x v="4"/>
    <x v="4"/>
    <n v="2175437.5"/>
    <x v="7"/>
    <n v="0"/>
    <n v="2217278.0000000009"/>
    <n v="0"/>
    <m/>
    <n v="0"/>
    <m/>
    <n v="0"/>
    <m/>
    <n v="0"/>
    <m/>
    <n v="0"/>
    <n v="2451408.4999999995"/>
    <n v="63"/>
    <n v="63"/>
    <m/>
    <n v="64"/>
    <m/>
    <n v="67"/>
    <m/>
    <n v="66"/>
    <n v="2630296.0000000019"/>
    <n v="63"/>
    <n v="0"/>
    <n v="0"/>
    <n v="64"/>
    <n v="67"/>
    <m/>
    <s v=""/>
    <n v="63"/>
    <n v="2018"/>
    <n v="63"/>
    <n v="2022"/>
    <s v=""/>
    <n v="63"/>
    <n v="63"/>
    <s v="No change"/>
    <n v="6.0410507639565125E-2"/>
    <n v="0.33177029268299996"/>
    <n v="0"/>
    <n v="0"/>
    <n v="0"/>
    <n v="0.25699511117792084"/>
    <n v="0.23951676921532769"/>
    <n v="0.23951676921532769"/>
  </r>
  <r>
    <x v="4"/>
    <x v="4"/>
    <n v="2175438.5"/>
    <x v="8"/>
    <n v="0"/>
    <n v="2217278.0000000009"/>
    <n v="0"/>
    <m/>
    <n v="0"/>
    <m/>
    <n v="0"/>
    <m/>
    <n v="0"/>
    <m/>
    <n v="0"/>
    <n v="2451408.4999999995"/>
    <n v="134"/>
    <n v="134"/>
    <m/>
    <n v="116"/>
    <m/>
    <n v="117"/>
    <m/>
    <n v="123"/>
    <n v="2630296.0000000019"/>
    <n v="82"/>
    <n v="78"/>
    <n v="0"/>
    <n v="134"/>
    <n v="123"/>
    <m/>
    <s v=""/>
    <n v="134"/>
    <n v="2018"/>
    <n v="82"/>
    <n v="2022"/>
    <s v="Adjust"/>
    <n v="94.242488834274042"/>
    <n v="134"/>
    <s v="Decreasing"/>
    <n v="6.0410507639565125E-2"/>
    <n v="0.33177029268299996"/>
    <n v="57.665339348789971"/>
    <n v="211.03409429064743"/>
    <n v="0"/>
    <n v="0.54662452218795854"/>
    <n v="0.35829613410153827"/>
    <n v="0.50944836626752243"/>
  </r>
  <r>
    <x v="4"/>
    <x v="4"/>
    <n v="2175439.5"/>
    <x v="9"/>
    <n v="0"/>
    <n v="2217278.0000000009"/>
    <n v="0"/>
    <m/>
    <n v="0"/>
    <m/>
    <n v="0"/>
    <m/>
    <n v="0"/>
    <m/>
    <n v="0"/>
    <n v="2451408.4999999995"/>
    <n v="73"/>
    <n v="73"/>
    <m/>
    <n v="110"/>
    <m/>
    <n v="63"/>
    <m/>
    <n v="62"/>
    <n v="2630296.0000000019"/>
    <n v="74"/>
    <n v="62"/>
    <n v="0"/>
    <n v="110"/>
    <n v="74"/>
    <m/>
    <s v=""/>
    <n v="73"/>
    <n v="2018"/>
    <n v="74"/>
    <n v="2022"/>
    <s v=""/>
    <n v="74"/>
    <n v="74"/>
    <s v="Increasing"/>
    <n v="6.0410507639565125E-2"/>
    <n v="0.33177029268299996"/>
    <n v="45.836551790063822"/>
    <n v="167.74504930795052"/>
    <n v="0"/>
    <n v="0.29778798596806699"/>
    <n v="0.28133715749101984"/>
    <n v="0.28133715749101984"/>
  </r>
  <r>
    <x v="4"/>
    <x v="4"/>
    <n v="2175440.5"/>
    <x v="10"/>
    <n v="0"/>
    <n v="2217278.0000000009"/>
    <n v="0"/>
    <m/>
    <n v="0"/>
    <m/>
    <n v="0"/>
    <m/>
    <n v="0"/>
    <m/>
    <n v="0"/>
    <n v="2451408.4999999995"/>
    <n v="5"/>
    <n v="5"/>
    <m/>
    <n v="3"/>
    <m/>
    <n v="3"/>
    <m/>
    <n v="6"/>
    <n v="2630296.0000000019"/>
    <n v="4"/>
    <n v="1"/>
    <n v="0"/>
    <n v="5"/>
    <n v="6"/>
    <m/>
    <s v=""/>
    <n v="5"/>
    <n v="2018"/>
    <n v="4"/>
    <n v="2022"/>
    <s v="Adjust"/>
    <n v="4.5971945772816607"/>
    <n v="5"/>
    <s v="Decreasing"/>
    <n v="6.0410507639565125E-2"/>
    <n v="0.33177029268299996"/>
    <n v="0.73929922242038426"/>
    <n v="2.7055653114185567"/>
    <n v="0"/>
    <n v="2.0396437395073082E-2"/>
    <n v="1.7477860200075041E-2"/>
    <n v="1.9009267398041881E-2"/>
  </r>
  <r>
    <x v="4"/>
    <x v="4"/>
    <n v="2175441.5"/>
    <x v="11"/>
    <n v="0"/>
    <n v="2217278.0000000009"/>
    <n v="0"/>
    <m/>
    <n v="0"/>
    <m/>
    <n v="0"/>
    <m/>
    <n v="0"/>
    <m/>
    <n v="0"/>
    <n v="2451408.4999999995"/>
    <n v="1248"/>
    <n v="1248"/>
    <m/>
    <n v="1376"/>
    <m/>
    <n v="1221"/>
    <m/>
    <n v="1355"/>
    <n v="2630296.0000000019"/>
    <n v="1579"/>
    <n v="0"/>
    <n v="0"/>
    <n v="1376"/>
    <n v="1579"/>
    <m/>
    <s v=""/>
    <n v="1248"/>
    <n v="2018"/>
    <n v="1579"/>
    <n v="2022"/>
    <s v=""/>
    <n v="1579"/>
    <n v="1579"/>
    <s v="Increasing"/>
    <n v="6.0410507639565125E-2"/>
    <n v="0.33177029268299996"/>
    <n v="0"/>
    <n v="0"/>
    <n v="0"/>
    <n v="5.0909507738102411"/>
    <n v="6.0031266443016253"/>
    <n v="6.0031266443016253"/>
  </r>
  <r>
    <x v="4"/>
    <x v="4"/>
    <n v="2175442.5"/>
    <x v="12"/>
    <n v="0"/>
    <n v="2217278.0000000009"/>
    <n v="0"/>
    <m/>
    <n v="0"/>
    <m/>
    <n v="0"/>
    <m/>
    <n v="0"/>
    <m/>
    <n v="0"/>
    <n v="2451408.4999999995"/>
    <n v="3342"/>
    <n v="3342"/>
    <m/>
    <n v="3956"/>
    <m/>
    <n v="3691"/>
    <m/>
    <n v="3629"/>
    <n v="2630296.0000000019"/>
    <n v="3204"/>
    <n v="20"/>
    <n v="0"/>
    <n v="3956"/>
    <n v="3691"/>
    <m/>
    <s v=""/>
    <n v="3342"/>
    <n v="2018"/>
    <n v="3204"/>
    <n v="2022"/>
    <s v="Adjust"/>
    <n v="3682.3528564026101"/>
    <n v="3682.3528564026101"/>
    <s v="Increasing"/>
    <n v="6.0410507639565125E-2"/>
    <n v="0.33177029268299996"/>
    <n v="14.785984448407685"/>
    <n v="54.111306228371134"/>
    <n v="0"/>
    <n v="13.632978754866848"/>
    <n v="13.999766020260106"/>
    <n v="13.999766020260106"/>
  </r>
  <r>
    <x v="4"/>
    <x v="4"/>
    <n v="2175443.5"/>
    <x v="13"/>
    <n v="0"/>
    <n v="2217278.0000000009"/>
    <n v="0"/>
    <m/>
    <n v="0"/>
    <m/>
    <n v="0"/>
    <m/>
    <n v="0"/>
    <m/>
    <n v="0"/>
    <n v="2451408.4999999995"/>
    <n v="318"/>
    <n v="460"/>
    <m/>
    <n v="330"/>
    <m/>
    <n v="338"/>
    <m/>
    <n v="337"/>
    <n v="2630296.0000000019"/>
    <n v="318"/>
    <n v="460"/>
    <n v="0"/>
    <n v="330"/>
    <n v="338"/>
    <m/>
    <s v=""/>
    <n v="460"/>
    <s v="2018 (triag)"/>
    <n v="318"/>
    <n v="2022"/>
    <s v="Adjust"/>
    <n v="365.47696889389204"/>
    <n v="460"/>
    <s v="Decreasing"/>
    <n v="6.0410507639565125E-2"/>
    <n v="0.33177029268299996"/>
    <n v="340.07764231337677"/>
    <n v="1244.5600432525362"/>
    <n v="0"/>
    <n v="1.8764722403467236"/>
    <n v="1.3894898859059657"/>
    <n v="1.748852600619853"/>
  </r>
  <r>
    <x v="4"/>
    <x v="4"/>
    <n v="2175444.5"/>
    <x v="14"/>
    <n v="0"/>
    <n v="2217278.0000000009"/>
    <n v="0"/>
    <m/>
    <n v="0"/>
    <m/>
    <n v="0"/>
    <m/>
    <n v="0"/>
    <m/>
    <n v="0"/>
    <n v="2451408.4999999995"/>
    <n v="10"/>
    <n v="58"/>
    <m/>
    <n v="10"/>
    <m/>
    <n v="10"/>
    <m/>
    <n v="11"/>
    <n v="2630296.0000000019"/>
    <n v="6"/>
    <n v="58"/>
    <n v="0"/>
    <n v="10"/>
    <n v="11"/>
    <m/>
    <s v=""/>
    <n v="58"/>
    <s v="2018 (triag)"/>
    <n v="6"/>
    <n v="2022"/>
    <s v="Adjust"/>
    <n v="6.895791865922491"/>
    <n v="58"/>
    <s v="Decreasing"/>
    <n v="6.0410507639565125E-2"/>
    <n v="0.33177029268299996"/>
    <n v="42.879354900382289"/>
    <n v="156.92278806227628"/>
    <n v="0"/>
    <n v="0.23659867378284774"/>
    <n v="2.621679030011256E-2"/>
    <n v="0.22050750181728582"/>
  </r>
  <r>
    <x v="4"/>
    <x v="4"/>
    <n v="2175445.5"/>
    <x v="15"/>
    <n v="0"/>
    <n v="2217278.0000000009"/>
    <n v="0"/>
    <m/>
    <n v="0"/>
    <m/>
    <n v="0"/>
    <m/>
    <n v="0"/>
    <m/>
    <n v="0"/>
    <n v="2451408.4999999995"/>
    <n v="42"/>
    <n v="42"/>
    <m/>
    <n v="38"/>
    <m/>
    <n v="66"/>
    <m/>
    <n v="42"/>
    <n v="2630296.0000000019"/>
    <n v="30"/>
    <n v="38"/>
    <n v="0"/>
    <n v="42"/>
    <n v="66"/>
    <m/>
    <s v=""/>
    <n v="42"/>
    <n v="2018"/>
    <n v="30"/>
    <n v="2022"/>
    <s v="Adjust"/>
    <n v="34.478959329612458"/>
    <n v="42"/>
    <s v="Decreasing"/>
    <n v="6.0410507639565125E-2"/>
    <n v="0.33177029268299996"/>
    <n v="28.0933704519746"/>
    <n v="102.81148183390516"/>
    <n v="0"/>
    <n v="0.1713300741186139"/>
    <n v="0.13108395150056282"/>
    <n v="0.15967784614355179"/>
  </r>
  <r>
    <x v="4"/>
    <x v="4"/>
    <n v="2175446.5"/>
    <x v="16"/>
    <n v="0"/>
    <n v="2217278.0000000009"/>
    <n v="0"/>
    <m/>
    <n v="0"/>
    <m/>
    <n v="0"/>
    <m/>
    <n v="0"/>
    <m/>
    <n v="0"/>
    <n v="2451408.4999999995"/>
    <n v="0"/>
    <n v="0"/>
    <m/>
    <n v="0"/>
    <m/>
    <n v="0"/>
    <m/>
    <n v="0"/>
    <n v="2630296.0000000019"/>
    <n v="0"/>
    <n v="0"/>
    <n v="0"/>
    <n v="0"/>
    <n v="0"/>
    <m/>
    <s v=""/>
    <m/>
    <s v=""/>
    <n v="0"/>
    <s v=""/>
    <s v=""/>
    <m/>
    <n v="0"/>
    <s v="No change"/>
    <n v="6.0410507639565125E-2"/>
    <n v="0.33177029268299996"/>
    <n v="0"/>
    <n v="0"/>
    <n v="0"/>
    <n v="0"/>
    <n v="0"/>
    <n v="0"/>
  </r>
  <r>
    <x v="4"/>
    <x v="4"/>
    <n v="2175447.5"/>
    <x v="17"/>
    <n v="0"/>
    <n v="2217278.0000000009"/>
    <n v="0"/>
    <m/>
    <n v="0"/>
    <m/>
    <n v="0"/>
    <m/>
    <n v="0"/>
    <m/>
    <n v="0"/>
    <n v="2451408.4999999995"/>
    <n v="9"/>
    <n v="9"/>
    <m/>
    <n v="8"/>
    <m/>
    <n v="7"/>
    <m/>
    <n v="8"/>
    <n v="2630296.0000000019"/>
    <n v="11"/>
    <n v="0"/>
    <n v="0"/>
    <n v="9"/>
    <n v="11"/>
    <m/>
    <s v=""/>
    <n v="9"/>
    <n v="2018"/>
    <n v="11"/>
    <n v="2022"/>
    <s v=""/>
    <n v="11"/>
    <n v="11"/>
    <s v="Increasing"/>
    <n v="6.0410507639565125E-2"/>
    <n v="0.33177029268299996"/>
    <n v="0"/>
    <n v="0"/>
    <n v="0"/>
    <n v="3.6713587311131543E-2"/>
    <n v="4.1820388275692136E-2"/>
    <n v="4.1820388275692136E-2"/>
  </r>
  <r>
    <x v="4"/>
    <x v="4"/>
    <n v="2175448.5"/>
    <x v="18"/>
    <n v="0"/>
    <n v="2217278.0000000009"/>
    <n v="0"/>
    <m/>
    <n v="0"/>
    <m/>
    <n v="0"/>
    <m/>
    <n v="0"/>
    <m/>
    <n v="0"/>
    <n v="2451408.4999999995"/>
    <n v="0"/>
    <n v="0"/>
    <m/>
    <n v="0"/>
    <m/>
    <n v="0"/>
    <m/>
    <n v="0"/>
    <n v="2630296.0000000019"/>
    <n v="0"/>
    <n v="0"/>
    <n v="0"/>
    <n v="0"/>
    <n v="0"/>
    <m/>
    <s v=""/>
    <m/>
    <s v=""/>
    <n v="0"/>
    <s v=""/>
    <s v=""/>
    <m/>
    <n v="0"/>
    <s v="No change"/>
    <n v="6.0410507639565125E-2"/>
    <n v="0.33177029268299996"/>
    <n v="0"/>
    <n v="0"/>
    <n v="0"/>
    <n v="0"/>
    <n v="0"/>
    <n v="0"/>
  </r>
  <r>
    <x v="5"/>
    <x v="5"/>
    <n v="4773310.5"/>
    <x v="0"/>
    <n v="0"/>
    <n v="4802428.5000000065"/>
    <n v="0"/>
    <m/>
    <n v="0"/>
    <m/>
    <n v="0"/>
    <m/>
    <n v="0"/>
    <m/>
    <n v="0"/>
    <n v="5094779.9999999991"/>
    <n v="115"/>
    <n v="115"/>
    <m/>
    <n v="0"/>
    <m/>
    <n v="0"/>
    <m/>
    <n v="1595"/>
    <n v="5579143.5000000047"/>
    <n v="0"/>
    <n v="115"/>
    <n v="0"/>
    <n v="115"/>
    <n v="1595"/>
    <m/>
    <s v=""/>
    <n v="115"/>
    <n v="2018"/>
    <n v="1595"/>
    <n v="2021"/>
    <s v=""/>
    <n v="1595"/>
    <n v="1595"/>
    <s v="Increasing"/>
    <n v="1.405403127486049E-2"/>
    <n v="5.4673730437993617E-2"/>
    <n v="107.19632560633407"/>
    <n v="135.49751757567779"/>
    <n v="0"/>
    <n v="0.22572122839455289"/>
    <n v="2.8588617589778766"/>
    <n v="2.8588617589778766"/>
  </r>
  <r>
    <x v="5"/>
    <x v="5"/>
    <n v="4773311.5"/>
    <x v="1"/>
    <n v="15"/>
    <n v="4802428.5000000065"/>
    <n v="44"/>
    <m/>
    <n v="44"/>
    <m/>
    <n v="0"/>
    <m/>
    <n v="11"/>
    <m/>
    <n v="55"/>
    <n v="5094779.9999999991"/>
    <n v="77"/>
    <n v="77"/>
    <m/>
    <n v="0"/>
    <m/>
    <n v="0"/>
    <m/>
    <n v="0"/>
    <n v="5579143.5000000047"/>
    <n v="1634"/>
    <n v="0"/>
    <n v="44"/>
    <n v="77"/>
    <n v="1634"/>
    <n v="44"/>
    <n v="2013"/>
    <n v="77"/>
    <n v="2018"/>
    <n v="1634"/>
    <n v="2022"/>
    <s v=""/>
    <n v="1634"/>
    <n v="1634"/>
    <s v="Increasing"/>
    <n v="1.405403127486049E-2"/>
    <n v="5.4673730437993617E-2"/>
    <n v="0"/>
    <n v="0"/>
    <n v="9.1620312514803584E-2"/>
    <n v="0.15113508335983106"/>
    <n v="2.9287649618619751"/>
    <n v="2.9287649618619751"/>
  </r>
  <r>
    <x v="5"/>
    <x v="5"/>
    <n v="4773312.5"/>
    <x v="2"/>
    <n v="11"/>
    <n v="4802428.5000000065"/>
    <n v="257"/>
    <m/>
    <n v="0"/>
    <m/>
    <n v="0"/>
    <m/>
    <n v="0"/>
    <m/>
    <n v="669"/>
    <n v="5094779.9999999991"/>
    <n v="0"/>
    <n v="105"/>
    <m/>
    <n v="0"/>
    <m/>
    <n v="0"/>
    <m/>
    <n v="0"/>
    <n v="5579143.5000000047"/>
    <n v="47"/>
    <n v="105"/>
    <n v="257"/>
    <n v="669"/>
    <n v="47"/>
    <n v="257"/>
    <n v="2013"/>
    <n v="105"/>
    <s v="2018 (triag)"/>
    <n v="47"/>
    <n v="2022"/>
    <s v="Adjust"/>
    <n v="60.353598014888341"/>
    <n v="105"/>
    <s v="Decreasing"/>
    <n v="1.405403127486049E-2"/>
    <n v="5.4673730437993617E-2"/>
    <n v="97.874905988391973"/>
    <n v="123.71512474301016"/>
    <n v="0.53514591627964825"/>
    <n v="0.20609329549067873"/>
    <n v="0.10817717453384788"/>
    <n v="0.18820093084180378"/>
  </r>
  <r>
    <x v="5"/>
    <x v="5"/>
    <n v="4773313.5"/>
    <x v="3"/>
    <n v="0"/>
    <n v="4802428.5000000065"/>
    <n v="0"/>
    <m/>
    <n v="0"/>
    <m/>
    <n v="0"/>
    <m/>
    <n v="0"/>
    <m/>
    <n v="0"/>
    <n v="5094779.9999999991"/>
    <n v="0"/>
    <n v="79"/>
    <m/>
    <n v="0"/>
    <m/>
    <n v="0"/>
    <m/>
    <n v="308"/>
    <n v="5579143.5000000047"/>
    <n v="0"/>
    <n v="79"/>
    <n v="0"/>
    <n v="0"/>
    <n v="308"/>
    <m/>
    <s v=""/>
    <n v="79"/>
    <s v="2018 (triag)"/>
    <n v="308"/>
    <n v="2021"/>
    <s v=""/>
    <n v="308"/>
    <n v="308"/>
    <s v="Increasing"/>
    <n v="1.405403127486049E-2"/>
    <n v="5.4673730437993617E-2"/>
    <n v="73.639214981742541"/>
    <n v="93.080903378074311"/>
    <n v="0"/>
    <n v="0.15506066994060591"/>
    <n v="0.5520560638026244"/>
    <n v="0.5520560638026244"/>
  </r>
  <r>
    <x v="5"/>
    <x v="5"/>
    <n v="4773314.5"/>
    <x v="4"/>
    <n v="0"/>
    <n v="4802428.5000000065"/>
    <n v="0"/>
    <m/>
    <n v="0"/>
    <m/>
    <n v="0"/>
    <m/>
    <n v="0"/>
    <m/>
    <n v="0"/>
    <n v="5094779.9999999991"/>
    <n v="0"/>
    <n v="22"/>
    <m/>
    <n v="0"/>
    <m/>
    <n v="0"/>
    <m/>
    <n v="0"/>
    <n v="5579143.5000000047"/>
    <n v="0"/>
    <n v="22"/>
    <n v="0"/>
    <n v="0"/>
    <n v="0"/>
    <m/>
    <s v=""/>
    <n v="22"/>
    <s v="2018 (triag)"/>
    <n v="22"/>
    <s v="2018 (triag)"/>
    <s v=""/>
    <n v="22"/>
    <n v="22"/>
    <s v="No change"/>
    <n v="1.405403127486049E-2"/>
    <n v="5.4673730437993617E-2"/>
    <n v="20.507123159472606"/>
    <n v="25.921264231868797"/>
    <n v="0"/>
    <n v="4.318145238852316E-2"/>
    <n v="3.9432575985901747E-2"/>
    <n v="3.9432575985901747E-2"/>
  </r>
  <r>
    <x v="5"/>
    <x v="5"/>
    <n v="4773315.5"/>
    <x v="5"/>
    <n v="0"/>
    <n v="4802428.5000000065"/>
    <n v="0"/>
    <m/>
    <n v="0"/>
    <m/>
    <n v="0"/>
    <m/>
    <n v="0"/>
    <m/>
    <n v="0"/>
    <n v="5094779.9999999991"/>
    <n v="1"/>
    <n v="1"/>
    <m/>
    <n v="0"/>
    <m/>
    <n v="0"/>
    <m/>
    <n v="0"/>
    <n v="5579143.5000000047"/>
    <n v="0"/>
    <n v="0"/>
    <n v="0"/>
    <n v="1"/>
    <n v="0"/>
    <m/>
    <s v=""/>
    <n v="1"/>
    <n v="2018"/>
    <n v="1"/>
    <n v="2018"/>
    <s v=""/>
    <n v="1"/>
    <n v="1"/>
    <s v="No change"/>
    <n v="1.405403127486049E-2"/>
    <n v="5.4673730437993617E-2"/>
    <n v="0"/>
    <n v="0"/>
    <n v="0"/>
    <n v="1.9627932903874164E-3"/>
    <n v="1.7923898175409884E-3"/>
    <n v="1.7923898175409884E-3"/>
  </r>
  <r>
    <x v="5"/>
    <x v="5"/>
    <n v="4773316.5"/>
    <x v="6"/>
    <n v="0"/>
    <n v="4802428.5000000065"/>
    <n v="0"/>
    <m/>
    <n v="0"/>
    <m/>
    <n v="0"/>
    <m/>
    <n v="0"/>
    <m/>
    <n v="0"/>
    <n v="5094779.9999999991"/>
    <n v="112"/>
    <n v="112"/>
    <m/>
    <n v="0"/>
    <m/>
    <n v="0"/>
    <m/>
    <n v="0"/>
    <n v="5579143.5000000047"/>
    <n v="0"/>
    <n v="3"/>
    <n v="0"/>
    <n v="112"/>
    <n v="0"/>
    <m/>
    <s v=""/>
    <n v="112"/>
    <n v="2018"/>
    <n v="112"/>
    <n v="2018"/>
    <s v=""/>
    <n v="112"/>
    <n v="112"/>
    <s v="No change"/>
    <n v="1.405403127486049E-2"/>
    <n v="5.4673730437993617E-2"/>
    <n v="2.7964258853826278"/>
    <n v="3.5347178498002902"/>
    <n v="0"/>
    <n v="0.21983284852339066"/>
    <n v="0.2007476595645907"/>
    <n v="0.2007476595645907"/>
  </r>
  <r>
    <x v="5"/>
    <x v="5"/>
    <n v="4773317.5"/>
    <x v="7"/>
    <n v="0"/>
    <n v="4802428.5000000065"/>
    <n v="0"/>
    <m/>
    <n v="0"/>
    <m/>
    <n v="0"/>
    <m/>
    <n v="0"/>
    <m/>
    <n v="0"/>
    <n v="5094779.9999999991"/>
    <n v="0"/>
    <n v="104"/>
    <m/>
    <n v="0"/>
    <m/>
    <n v="0"/>
    <m/>
    <n v="0"/>
    <n v="5579143.5000000047"/>
    <n v="0"/>
    <n v="104"/>
    <n v="0"/>
    <n v="0"/>
    <n v="0"/>
    <m/>
    <s v=""/>
    <n v="104"/>
    <s v="2018 (triag)"/>
    <n v="104"/>
    <s v="2018 (triag)"/>
    <s v=""/>
    <n v="104"/>
    <n v="104"/>
    <s v="No change"/>
    <n v="1.405403127486049E-2"/>
    <n v="5.4673730437993617E-2"/>
    <n v="96.942764026597771"/>
    <n v="122.53688545974339"/>
    <n v="0"/>
    <n v="0.2041305022002913"/>
    <n v="0.1864085410242628"/>
    <n v="0.1864085410242628"/>
  </r>
  <r>
    <x v="5"/>
    <x v="5"/>
    <n v="4773318.5"/>
    <x v="8"/>
    <n v="0"/>
    <n v="4802428.5000000065"/>
    <n v="0"/>
    <m/>
    <n v="0"/>
    <m/>
    <n v="0"/>
    <m/>
    <n v="0"/>
    <m/>
    <n v="0"/>
    <n v="5094779.9999999991"/>
    <n v="0"/>
    <n v="3"/>
    <m/>
    <n v="0"/>
    <m/>
    <n v="0"/>
    <m/>
    <n v="0"/>
    <n v="5579143.5000000047"/>
    <n v="0"/>
    <n v="3"/>
    <n v="0"/>
    <n v="0"/>
    <n v="0"/>
    <m/>
    <s v=""/>
    <n v="3"/>
    <s v="2018 (triag)"/>
    <n v="3"/>
    <s v="2018 (triag)"/>
    <s v=""/>
    <n v="3"/>
    <n v="3"/>
    <s v="No change"/>
    <n v="1.405403127486049E-2"/>
    <n v="5.4673730437993617E-2"/>
    <n v="2.7964258853826278"/>
    <n v="3.5347178498002902"/>
    <n v="0"/>
    <n v="5.8883798711622491E-3"/>
    <n v="5.3771694526229654E-3"/>
    <n v="5.3771694526229654E-3"/>
  </r>
  <r>
    <x v="5"/>
    <x v="5"/>
    <n v="4773319.5"/>
    <x v="9"/>
    <n v="0"/>
    <n v="4802428.5000000065"/>
    <n v="0"/>
    <m/>
    <n v="0"/>
    <m/>
    <n v="0"/>
    <m/>
    <n v="0"/>
    <m/>
    <n v="0"/>
    <n v="5094779.9999999991"/>
    <n v="0"/>
    <n v="20"/>
    <m/>
    <n v="0"/>
    <m/>
    <n v="0"/>
    <m/>
    <n v="0"/>
    <n v="5579143.5000000047"/>
    <n v="0"/>
    <n v="20"/>
    <n v="0"/>
    <n v="0"/>
    <n v="0"/>
    <m/>
    <s v=""/>
    <n v="20"/>
    <s v="2018 (triag)"/>
    <n v="20"/>
    <s v="2018 (triag)"/>
    <s v=""/>
    <n v="20"/>
    <n v="20"/>
    <s v="No change"/>
    <n v="1.405403127486049E-2"/>
    <n v="5.4673730437993617E-2"/>
    <n v="18.642839235884185"/>
    <n v="23.564785665335268"/>
    <n v="0"/>
    <n v="3.9255865807748327E-2"/>
    <n v="3.584779635081977E-2"/>
    <n v="3.584779635081977E-2"/>
  </r>
  <r>
    <x v="5"/>
    <x v="5"/>
    <n v="4773320.5"/>
    <x v="10"/>
    <n v="0"/>
    <n v="4802428.5000000065"/>
    <n v="0"/>
    <m/>
    <n v="0"/>
    <m/>
    <n v="0"/>
    <m/>
    <n v="0"/>
    <m/>
    <n v="0"/>
    <n v="5094779.9999999991"/>
    <n v="0"/>
    <n v="0"/>
    <m/>
    <n v="0"/>
    <m/>
    <n v="0"/>
    <m/>
    <n v="0"/>
    <n v="5579143.5000000047"/>
    <n v="0"/>
    <n v="0"/>
    <n v="0"/>
    <n v="0"/>
    <n v="0"/>
    <m/>
    <s v=""/>
    <m/>
    <s v=""/>
    <n v="0"/>
    <s v=""/>
    <s v=""/>
    <m/>
    <n v="0"/>
    <s v="No change"/>
    <n v="1.405403127486049E-2"/>
    <n v="5.4673730437993617E-2"/>
    <n v="0"/>
    <n v="0"/>
    <n v="0"/>
    <n v="0"/>
    <n v="0"/>
    <n v="0"/>
  </r>
  <r>
    <x v="5"/>
    <x v="5"/>
    <n v="4773321.5"/>
    <x v="11"/>
    <n v="0"/>
    <n v="4802428.5000000065"/>
    <n v="0"/>
    <m/>
    <n v="0"/>
    <m/>
    <n v="0"/>
    <m/>
    <n v="0"/>
    <m/>
    <n v="0"/>
    <n v="5094779.9999999991"/>
    <n v="0"/>
    <n v="65"/>
    <m/>
    <n v="0"/>
    <m/>
    <n v="0"/>
    <m/>
    <n v="0"/>
    <n v="5579143.5000000047"/>
    <n v="0"/>
    <n v="65"/>
    <n v="0"/>
    <n v="0"/>
    <n v="0"/>
    <m/>
    <s v=""/>
    <n v="65"/>
    <s v="2018 (triag)"/>
    <n v="65"/>
    <s v="2018 (triag)"/>
    <s v=""/>
    <n v="65"/>
    <n v="65"/>
    <s v="No change"/>
    <n v="1.405403127486049E-2"/>
    <n v="5.4673730437993617E-2"/>
    <n v="60.589227516623602"/>
    <n v="76.585553412339621"/>
    <n v="0"/>
    <n v="0.12758156387518207"/>
    <n v="0.11650533814016426"/>
    <n v="0.11650533814016426"/>
  </r>
  <r>
    <x v="5"/>
    <x v="5"/>
    <n v="4773322.5"/>
    <x v="12"/>
    <n v="0"/>
    <n v="4802428.5000000065"/>
    <n v="0"/>
    <m/>
    <n v="0"/>
    <m/>
    <n v="0"/>
    <m/>
    <n v="0"/>
    <m/>
    <n v="0"/>
    <n v="5094779.9999999991"/>
    <n v="0"/>
    <n v="14"/>
    <m/>
    <n v="0"/>
    <m/>
    <n v="0"/>
    <m/>
    <n v="0"/>
    <n v="5579143.5000000047"/>
    <n v="0"/>
    <n v="14"/>
    <n v="0"/>
    <n v="0"/>
    <n v="0"/>
    <m/>
    <s v=""/>
    <n v="14"/>
    <s v="2018 (triag)"/>
    <n v="14"/>
    <s v="2018 (triag)"/>
    <s v=""/>
    <n v="14"/>
    <n v="14"/>
    <s v="No change"/>
    <n v="1.405403127486049E-2"/>
    <n v="5.4673730437993617E-2"/>
    <n v="13.04998746511893"/>
    <n v="16.49534996573469"/>
    <n v="0"/>
    <n v="2.7479106065423833E-2"/>
    <n v="2.5093457445573838E-2"/>
    <n v="2.5093457445573838E-2"/>
  </r>
  <r>
    <x v="5"/>
    <x v="5"/>
    <n v="4773323.5"/>
    <x v="13"/>
    <n v="0"/>
    <n v="4802428.5000000065"/>
    <n v="0"/>
    <m/>
    <n v="0"/>
    <m/>
    <n v="0"/>
    <m/>
    <n v="0"/>
    <m/>
    <n v="0"/>
    <n v="5094779.9999999991"/>
    <n v="0"/>
    <n v="112"/>
    <m/>
    <n v="0"/>
    <m/>
    <n v="0"/>
    <m/>
    <n v="47"/>
    <n v="5579143.5000000047"/>
    <n v="0"/>
    <n v="112"/>
    <n v="0"/>
    <n v="0"/>
    <n v="47"/>
    <m/>
    <s v=""/>
    <n v="112"/>
    <s v="2018 (triag)"/>
    <n v="47"/>
    <n v="2021"/>
    <s v="Adjust"/>
    <n v="60.353598014888341"/>
    <n v="112"/>
    <s v="Decreasing"/>
    <n v="1.405403127486049E-2"/>
    <n v="5.4673730437993617E-2"/>
    <n v="104.39989972095144"/>
    <n v="131.96279972587752"/>
    <n v="0"/>
    <n v="0.21983284852339066"/>
    <n v="0.10817717453384788"/>
    <n v="0.2007476595645907"/>
  </r>
  <r>
    <x v="5"/>
    <x v="5"/>
    <n v="4773324.5"/>
    <x v="14"/>
    <n v="0"/>
    <n v="4802428.5000000065"/>
    <n v="0"/>
    <m/>
    <n v="0"/>
    <m/>
    <n v="0"/>
    <m/>
    <n v="0"/>
    <m/>
    <n v="0"/>
    <n v="5094779.9999999991"/>
    <n v="0"/>
    <n v="200"/>
    <m/>
    <n v="0"/>
    <m/>
    <n v="0"/>
    <m/>
    <n v="0"/>
    <n v="5579143.5000000047"/>
    <n v="0"/>
    <n v="200"/>
    <n v="0"/>
    <n v="0"/>
    <n v="0"/>
    <m/>
    <s v=""/>
    <n v="200"/>
    <s v="2018 (triag)"/>
    <n v="200"/>
    <s v="2018 (triag)"/>
    <s v=""/>
    <n v="200"/>
    <n v="200"/>
    <s v="No change"/>
    <n v="1.405403127486049E-2"/>
    <n v="5.4673730437993617E-2"/>
    <n v="186.42839235884188"/>
    <n v="235.64785665335268"/>
    <n v="0"/>
    <n v="0.3925586580774833"/>
    <n v="0.35847796350819766"/>
    <n v="0.35847796350819766"/>
  </r>
  <r>
    <x v="5"/>
    <x v="5"/>
    <n v="4773325.5"/>
    <x v="15"/>
    <n v="0"/>
    <n v="4802428.5000000065"/>
    <n v="0"/>
    <m/>
    <n v="0"/>
    <m/>
    <n v="0"/>
    <m/>
    <n v="0"/>
    <m/>
    <n v="0"/>
    <n v="5094779.9999999991"/>
    <n v="0"/>
    <n v="0"/>
    <m/>
    <n v="0"/>
    <m/>
    <n v="0"/>
    <m/>
    <n v="155"/>
    <n v="5579143.5000000047"/>
    <n v="0"/>
    <n v="0"/>
    <n v="0"/>
    <n v="0"/>
    <n v="155"/>
    <m/>
    <s v=""/>
    <m/>
    <s v=""/>
    <n v="155"/>
    <n v="2021"/>
    <s v=""/>
    <n v="155"/>
    <n v="155"/>
    <s v="Increasing"/>
    <n v="1.405403127486049E-2"/>
    <n v="5.4673730437993617E-2"/>
    <n v="0"/>
    <n v="0"/>
    <n v="0"/>
    <n v="0"/>
    <n v="0.27782042171885318"/>
    <n v="0.27782042171885318"/>
  </r>
  <r>
    <x v="5"/>
    <x v="5"/>
    <n v="4773326.5"/>
    <x v="16"/>
    <n v="0"/>
    <n v="4802428.5000000065"/>
    <n v="0"/>
    <m/>
    <n v="0"/>
    <m/>
    <n v="83"/>
    <m/>
    <n v="0"/>
    <m/>
    <n v="0"/>
    <n v="5094779.9999999991"/>
    <n v="0"/>
    <n v="0"/>
    <m/>
    <n v="0"/>
    <m/>
    <n v="0"/>
    <m/>
    <n v="0"/>
    <n v="5579143.5000000047"/>
    <n v="0"/>
    <n v="0"/>
    <n v="83"/>
    <n v="0"/>
    <n v="0"/>
    <n v="83"/>
    <n v="2015"/>
    <m/>
    <s v=""/>
    <n v="0"/>
    <s v=""/>
    <s v=""/>
    <m/>
    <n v="0"/>
    <s v="No change"/>
    <n v="1.405403127486049E-2"/>
    <n v="5.4673730437993617E-2"/>
    <n v="0"/>
    <n v="0"/>
    <n v="0.17282922588019767"/>
    <n v="0"/>
    <n v="0"/>
    <n v="0"/>
  </r>
  <r>
    <x v="5"/>
    <x v="5"/>
    <n v="4773327.5"/>
    <x v="17"/>
    <n v="0"/>
    <n v="4802428.5000000065"/>
    <n v="0"/>
    <m/>
    <n v="0"/>
    <m/>
    <n v="0"/>
    <m/>
    <n v="0"/>
    <m/>
    <n v="0"/>
    <n v="5094779.9999999991"/>
    <n v="0"/>
    <n v="0"/>
    <m/>
    <n v="0"/>
    <m/>
    <n v="0"/>
    <m/>
    <n v="0"/>
    <n v="5579143.5000000047"/>
    <n v="0"/>
    <n v="0"/>
    <n v="0"/>
    <n v="0"/>
    <n v="0"/>
    <m/>
    <s v=""/>
    <m/>
    <s v=""/>
    <n v="0"/>
    <s v=""/>
    <s v=""/>
    <m/>
    <n v="0"/>
    <s v="No change"/>
    <n v="1.405403127486049E-2"/>
    <n v="5.4673730437993617E-2"/>
    <n v="0"/>
    <n v="0"/>
    <n v="0"/>
    <n v="0"/>
    <n v="0"/>
    <n v="0"/>
  </r>
  <r>
    <x v="5"/>
    <x v="5"/>
    <n v="4773328.5"/>
    <x v="18"/>
    <n v="0"/>
    <n v="4802428.5000000065"/>
    <n v="0"/>
    <m/>
    <n v="0"/>
    <m/>
    <n v="0"/>
    <m/>
    <n v="0"/>
    <m/>
    <n v="0"/>
    <n v="5094779.9999999991"/>
    <n v="0"/>
    <n v="0"/>
    <m/>
    <n v="0"/>
    <m/>
    <n v="0"/>
    <m/>
    <n v="0"/>
    <n v="5579143.5000000047"/>
    <n v="0"/>
    <n v="0"/>
    <n v="0"/>
    <n v="0"/>
    <n v="0"/>
    <m/>
    <s v=""/>
    <m/>
    <s v=""/>
    <n v="0"/>
    <s v=""/>
    <s v=""/>
    <m/>
    <n v="0"/>
    <s v="No change"/>
    <n v="1.405403127486049E-2"/>
    <n v="5.4673730437993617E-2"/>
    <n v="0"/>
    <n v="0"/>
    <n v="0"/>
    <n v="0"/>
    <n v="0"/>
    <n v="0"/>
  </r>
  <r>
    <x v="6"/>
    <x v="6"/>
    <n v="22010716.5"/>
    <x v="0"/>
    <n v="0"/>
    <n v="22469267.5"/>
    <n v="0"/>
    <m/>
    <n v="0"/>
    <m/>
    <n v="0"/>
    <m/>
    <n v="0"/>
    <m/>
    <n v="0"/>
    <n v="25493988.499999996"/>
    <n v="14556"/>
    <n v="14556"/>
    <m/>
    <n v="0"/>
    <m/>
    <n v="0"/>
    <m/>
    <n v="0"/>
    <n v="28160542.500000004"/>
    <n v="0"/>
    <n v="14556"/>
    <n v="0"/>
    <n v="14556"/>
    <n v="0"/>
    <m/>
    <s v=""/>
    <n v="14556"/>
    <n v="2018"/>
    <n v="14556"/>
    <n v="2018"/>
    <s v=""/>
    <n v="14556"/>
    <n v="14556"/>
    <s v="No change"/>
    <n v="6.6569375282258259E-2"/>
    <n v="5.4673730437993617E-2"/>
    <n v="10434.904653852293"/>
    <n v="17150.451007231008"/>
    <n v="0"/>
    <n v="5.709581299920961"/>
    <n v="5.1689345118262544"/>
    <n v="5.1689345118262544"/>
  </r>
  <r>
    <x v="6"/>
    <x v="6"/>
    <n v="22010717.5"/>
    <x v="1"/>
    <n v="0"/>
    <n v="22469267.5"/>
    <n v="0"/>
    <m/>
    <n v="0"/>
    <m/>
    <n v="0"/>
    <m/>
    <n v="0"/>
    <m/>
    <n v="0"/>
    <n v="25493988.499999996"/>
    <n v="745"/>
    <n v="745"/>
    <m/>
    <n v="29"/>
    <m/>
    <n v="0"/>
    <m/>
    <n v="7"/>
    <n v="28160542.500000004"/>
    <n v="0"/>
    <n v="25"/>
    <n v="0"/>
    <n v="745"/>
    <n v="7"/>
    <m/>
    <s v=""/>
    <n v="745"/>
    <n v="2018"/>
    <n v="7"/>
    <n v="2021"/>
    <s v="Adjust"/>
    <n v="8.9843537236828332"/>
    <n v="745"/>
    <s v="Decreasing"/>
    <n v="6.6569375282258259E-2"/>
    <n v="5.4673730437993617E-2"/>
    <n v="17.921998924588301"/>
    <n v="29.455982081669084"/>
    <n v="0"/>
    <n v="0.29222575353401453"/>
    <n v="3.1904050583126484E-3"/>
    <n v="0.26455456246981035"/>
  </r>
  <r>
    <x v="6"/>
    <x v="6"/>
    <n v="22010718.5"/>
    <x v="2"/>
    <n v="0"/>
    <n v="22469267.5"/>
    <n v="0"/>
    <m/>
    <n v="0"/>
    <m/>
    <n v="0"/>
    <m/>
    <n v="0"/>
    <m/>
    <n v="0"/>
    <n v="25493988.499999996"/>
    <n v="0"/>
    <n v="1425"/>
    <m/>
    <n v="148"/>
    <m/>
    <n v="0"/>
    <m/>
    <n v="835"/>
    <n v="28160542.500000004"/>
    <n v="0"/>
    <n v="1425"/>
    <n v="0"/>
    <n v="148"/>
    <n v="835"/>
    <m/>
    <s v=""/>
    <n v="1425"/>
    <s v="2018 (triag)"/>
    <n v="835"/>
    <n v="2021"/>
    <s v="Adjust"/>
    <n v="1071.7050513250235"/>
    <n v="1425"/>
    <s v="Decreasing"/>
    <n v="6.6569375282258259E-2"/>
    <n v="5.4673730437993617E-2"/>
    <n v="1021.5539387015332"/>
    <n v="1678.990978655138"/>
    <n v="0"/>
    <n v="0.55895530038385333"/>
    <n v="0.38056974624158019"/>
    <n v="0.50602718324762386"/>
  </r>
  <r>
    <x v="6"/>
    <x v="6"/>
    <n v="22010719.5"/>
    <x v="3"/>
    <n v="0"/>
    <n v="22469267.5"/>
    <n v="0"/>
    <m/>
    <n v="0"/>
    <m/>
    <n v="0"/>
    <m/>
    <n v="0"/>
    <m/>
    <n v="0"/>
    <n v="25493988.499999996"/>
    <n v="0"/>
    <n v="3640"/>
    <m/>
    <n v="4168"/>
    <m/>
    <n v="0"/>
    <m/>
    <n v="4221"/>
    <n v="28160542.500000004"/>
    <n v="4140"/>
    <n v="3640"/>
    <n v="0"/>
    <n v="4168"/>
    <n v="4221"/>
    <m/>
    <s v=""/>
    <n v="3640"/>
    <s v="2018 (triag)"/>
    <n v="4140"/>
    <n v="2022"/>
    <s v=""/>
    <n v="4140"/>
    <n v="4140"/>
    <s v="Increasing"/>
    <n v="6.6569375282258259E-2"/>
    <n v="5.4673730437993617E-2"/>
    <n v="2609.4430434200567"/>
    <n v="4288.7909910910184"/>
    <n v="0"/>
    <n v="1.4277875743138428"/>
    <n v="1.4701421323825703"/>
    <n v="1.4701421323825703"/>
  </r>
  <r>
    <x v="6"/>
    <x v="6"/>
    <n v="22010720.5"/>
    <x v="4"/>
    <n v="0"/>
    <n v="22469267.5"/>
    <n v="0"/>
    <m/>
    <n v="0"/>
    <m/>
    <n v="0"/>
    <m/>
    <n v="0"/>
    <m/>
    <n v="0"/>
    <n v="25493988.499999996"/>
    <n v="0"/>
    <n v="91"/>
    <m/>
    <n v="0"/>
    <m/>
    <n v="0"/>
    <m/>
    <n v="0"/>
    <n v="28160542.500000004"/>
    <n v="0"/>
    <n v="91"/>
    <n v="0"/>
    <n v="0"/>
    <n v="0"/>
    <m/>
    <s v=""/>
    <n v="91"/>
    <s v="2018 (triag)"/>
    <n v="91"/>
    <s v="2018 (triag)"/>
    <s v=""/>
    <n v="91"/>
    <n v="91"/>
    <s v="No change"/>
    <n v="6.6569375282258259E-2"/>
    <n v="5.4673730437993617E-2"/>
    <n v="65.236076085501423"/>
    <n v="107.21977477727548"/>
    <n v="0"/>
    <n v="3.5694689357846074E-2"/>
    <n v="3.2314718368795625E-2"/>
    <n v="3.2314718368795625E-2"/>
  </r>
  <r>
    <x v="6"/>
    <x v="6"/>
    <n v="22010721.5"/>
    <x v="5"/>
    <n v="0"/>
    <n v="22469267.5"/>
    <n v="0"/>
    <m/>
    <n v="190"/>
    <m/>
    <n v="0"/>
    <m/>
    <n v="0"/>
    <m/>
    <n v="0"/>
    <n v="25493988.499999996"/>
    <n v="0"/>
    <n v="0"/>
    <m/>
    <n v="40"/>
    <m/>
    <n v="0"/>
    <m/>
    <n v="0"/>
    <n v="28160542.500000004"/>
    <n v="0"/>
    <n v="0"/>
    <n v="190"/>
    <n v="40"/>
    <n v="0"/>
    <n v="190"/>
    <n v="2014"/>
    <n v="40"/>
    <n v="2019"/>
    <n v="40"/>
    <n v="2019"/>
    <s v=""/>
    <n v="40"/>
    <n v="40"/>
    <s v="No change"/>
    <n v="6.6569375282258259E-2"/>
    <n v="5.4673730437993617E-2"/>
    <n v="0"/>
    <n v="0"/>
    <n v="8.4559943932306647E-2"/>
    <n v="1.5689973344108165E-2"/>
    <n v="1.4204271810459615E-2"/>
    <n v="1.4204271810459615E-2"/>
  </r>
  <r>
    <x v="6"/>
    <x v="6"/>
    <n v="22010722.5"/>
    <x v="6"/>
    <n v="0"/>
    <n v="22469267.5"/>
    <n v="0"/>
    <m/>
    <n v="2380"/>
    <m/>
    <n v="0"/>
    <m/>
    <n v="0"/>
    <m/>
    <n v="0"/>
    <n v="25493988.499999996"/>
    <n v="0"/>
    <n v="497"/>
    <m/>
    <n v="0"/>
    <m/>
    <n v="0"/>
    <m/>
    <n v="0"/>
    <n v="28160542.500000004"/>
    <n v="0"/>
    <n v="497"/>
    <n v="2380"/>
    <n v="0"/>
    <n v="0"/>
    <n v="2380"/>
    <n v="2014"/>
    <n v="497"/>
    <s v="2018 (triag)"/>
    <n v="497"/>
    <s v="2018 (triag)"/>
    <s v=""/>
    <n v="497"/>
    <n v="497"/>
    <s v="No change"/>
    <n v="6.6569375282258259E-2"/>
    <n v="5.4673730437993617E-2"/>
    <n v="356.28933862081544"/>
    <n v="585.58492378358142"/>
    <n v="1.0592245608362623"/>
    <n v="0.19494791880054393"/>
    <n v="0.17648807724496071"/>
    <n v="0.17648807724496071"/>
  </r>
  <r>
    <x v="6"/>
    <x v="6"/>
    <n v="22010723.5"/>
    <x v="7"/>
    <n v="0"/>
    <n v="22469267.5"/>
    <n v="0"/>
    <m/>
    <n v="0"/>
    <m/>
    <n v="0"/>
    <m/>
    <n v="0"/>
    <m/>
    <n v="0"/>
    <n v="25493988.499999996"/>
    <n v="0"/>
    <n v="242"/>
    <m/>
    <n v="0"/>
    <m/>
    <n v="0"/>
    <m/>
    <n v="0"/>
    <n v="28160542.500000004"/>
    <n v="0"/>
    <n v="242"/>
    <n v="0"/>
    <n v="0"/>
    <n v="0"/>
    <m/>
    <s v=""/>
    <n v="242"/>
    <s v="2018 (triag)"/>
    <n v="242"/>
    <s v="2018 (triag)"/>
    <s v=""/>
    <n v="242"/>
    <n v="242"/>
    <s v="No change"/>
    <n v="6.6569375282258259E-2"/>
    <n v="5.4673730437993617E-2"/>
    <n v="173.48494959001476"/>
    <n v="285.13390655055673"/>
    <n v="0"/>
    <n v="9.4924338731854394E-2"/>
    <n v="8.5935844453280674E-2"/>
    <n v="8.5935844453280674E-2"/>
  </r>
  <r>
    <x v="6"/>
    <x v="6"/>
    <n v="22010724.5"/>
    <x v="8"/>
    <n v="0"/>
    <n v="22469267.5"/>
    <n v="0"/>
    <m/>
    <n v="820"/>
    <m/>
    <n v="0"/>
    <m/>
    <n v="0"/>
    <m/>
    <n v="0"/>
    <n v="25493988.499999996"/>
    <n v="0"/>
    <n v="3103"/>
    <m/>
    <n v="0"/>
    <m/>
    <n v="0"/>
    <m/>
    <n v="0"/>
    <n v="28160542.500000004"/>
    <n v="0"/>
    <n v="3103"/>
    <n v="820"/>
    <n v="0"/>
    <n v="0"/>
    <n v="820"/>
    <n v="2014"/>
    <n v="3103"/>
    <s v="2018 (triag)"/>
    <n v="3103"/>
    <s v="2018 (triag)"/>
    <s v=""/>
    <n v="3103"/>
    <n v="3103"/>
    <s v="No change"/>
    <n v="6.6569375282258259E-2"/>
    <n v="5.4673730437993617E-2"/>
    <n v="2224.4785065198998"/>
    <n v="3656.0764959767671"/>
    <n v="0.36494291591837608"/>
    <n v="1.2171496821691907"/>
    <n v="1.1018963856964046"/>
    <n v="1.1018963856964046"/>
  </r>
  <r>
    <x v="6"/>
    <x v="6"/>
    <n v="22010725.5"/>
    <x v="9"/>
    <n v="0"/>
    <n v="22469267.5"/>
    <n v="0"/>
    <m/>
    <n v="0"/>
    <m/>
    <n v="0"/>
    <m/>
    <n v="0"/>
    <m/>
    <n v="0"/>
    <n v="25493988.499999996"/>
    <n v="0"/>
    <n v="123"/>
    <m/>
    <n v="0"/>
    <m/>
    <n v="0"/>
    <m/>
    <n v="0"/>
    <n v="28160542.500000004"/>
    <n v="0"/>
    <n v="123"/>
    <n v="0"/>
    <n v="0"/>
    <n v="0"/>
    <m/>
    <s v=""/>
    <n v="123"/>
    <s v="2018 (triag)"/>
    <n v="123"/>
    <s v="2018 (triag)"/>
    <s v=""/>
    <n v="123"/>
    <n v="123"/>
    <s v="No change"/>
    <n v="6.6569375282258259E-2"/>
    <n v="5.4673730437993617E-2"/>
    <n v="88.176234708974448"/>
    <n v="144.92343184181189"/>
    <n v="0"/>
    <n v="4.82466680331326E-2"/>
    <n v="4.3678135817163316E-2"/>
    <n v="4.3678135817163316E-2"/>
  </r>
  <r>
    <x v="6"/>
    <x v="6"/>
    <n v="22010726.5"/>
    <x v="10"/>
    <n v="0"/>
    <n v="22469267.5"/>
    <n v="0"/>
    <m/>
    <n v="70"/>
    <m/>
    <n v="0"/>
    <m/>
    <n v="0"/>
    <m/>
    <n v="0"/>
    <n v="25493988.499999996"/>
    <n v="0"/>
    <n v="700"/>
    <m/>
    <n v="0"/>
    <m/>
    <n v="0"/>
    <m/>
    <n v="0"/>
    <n v="28160542.500000004"/>
    <n v="0"/>
    <n v="700"/>
    <n v="70"/>
    <n v="0"/>
    <n v="0"/>
    <n v="70"/>
    <n v="2014"/>
    <n v="700"/>
    <s v="2018 (triag)"/>
    <n v="700"/>
    <s v="2018 (triag)"/>
    <s v=""/>
    <n v="700"/>
    <n v="700"/>
    <s v="No change"/>
    <n v="6.6569375282258259E-2"/>
    <n v="5.4673730437993617E-2"/>
    <n v="501.81596988847247"/>
    <n v="824.76749828673439"/>
    <n v="3.1153663554007713E-2"/>
    <n v="0.27457453352189287"/>
    <n v="0.24857475668304327"/>
    <n v="0.24857475668304327"/>
  </r>
  <r>
    <x v="6"/>
    <x v="6"/>
    <n v="22010727.5"/>
    <x v="11"/>
    <n v="0"/>
    <n v="22469267.5"/>
    <n v="0"/>
    <m/>
    <n v="0"/>
    <m/>
    <n v="0"/>
    <m/>
    <n v="0"/>
    <m/>
    <n v="0"/>
    <n v="25493988.499999996"/>
    <n v="0"/>
    <n v="139"/>
    <m/>
    <n v="0"/>
    <m/>
    <n v="0"/>
    <m/>
    <n v="0"/>
    <n v="28160542.500000004"/>
    <n v="0"/>
    <n v="139"/>
    <n v="0"/>
    <n v="0"/>
    <n v="0"/>
    <m/>
    <s v=""/>
    <n v="139"/>
    <s v="2018 (triag)"/>
    <n v="139"/>
    <s v="2018 (triag)"/>
    <s v=""/>
    <n v="139"/>
    <n v="139"/>
    <s v="No change"/>
    <n v="6.6569375282258259E-2"/>
    <n v="5.4673730437993617E-2"/>
    <n v="99.64631402071096"/>
    <n v="163.77526037408012"/>
    <n v="0"/>
    <n v="5.452265737077587E-2"/>
    <n v="4.9359844541347161E-2"/>
    <n v="4.9359844541347161E-2"/>
  </r>
  <r>
    <x v="6"/>
    <x v="6"/>
    <n v="22010728.5"/>
    <x v="12"/>
    <n v="0"/>
    <n v="22469267.5"/>
    <n v="0"/>
    <m/>
    <n v="0"/>
    <m/>
    <n v="0"/>
    <m/>
    <n v="0"/>
    <m/>
    <n v="0"/>
    <n v="25493988.499999996"/>
    <n v="0"/>
    <n v="14"/>
    <m/>
    <n v="3470"/>
    <m/>
    <n v="0"/>
    <m/>
    <n v="0"/>
    <n v="28160542.500000004"/>
    <n v="0"/>
    <n v="14"/>
    <n v="0"/>
    <n v="3470"/>
    <n v="0"/>
    <m/>
    <s v=""/>
    <n v="14"/>
    <s v="2018 (triag)"/>
    <n v="3470"/>
    <s v="2018 (triag)"/>
    <s v=""/>
    <n v="3470"/>
    <n v="3470"/>
    <s v="Increasing"/>
    <n v="6.6569375282258259E-2"/>
    <n v="5.4673730437993617E-2"/>
    <n v="10.03631939776945"/>
    <n v="16.49534996573469"/>
    <n v="0"/>
    <n v="5.4914906704378571E-3"/>
    <n v="1.2322205795573717"/>
    <n v="1.2322205795573717"/>
  </r>
  <r>
    <x v="6"/>
    <x v="6"/>
    <n v="22010729.5"/>
    <x v="13"/>
    <n v="0"/>
    <n v="22469267.5"/>
    <n v="0"/>
    <m/>
    <n v="1600"/>
    <m/>
    <n v="0"/>
    <m/>
    <n v="0"/>
    <m/>
    <n v="0"/>
    <n v="25493988.499999996"/>
    <n v="0"/>
    <n v="0"/>
    <m/>
    <n v="0"/>
    <m/>
    <n v="0"/>
    <m/>
    <n v="0"/>
    <n v="28160542.500000004"/>
    <n v="0"/>
    <n v="0"/>
    <n v="1600"/>
    <n v="0"/>
    <n v="0"/>
    <n v="1600"/>
    <n v="2014"/>
    <m/>
    <s v=""/>
    <n v="0"/>
    <s v=""/>
    <s v=""/>
    <m/>
    <n v="0"/>
    <s v="No change"/>
    <n v="6.6569375282258259E-2"/>
    <n v="5.4673730437993617E-2"/>
    <n v="0"/>
    <n v="0"/>
    <n v="0.7120837383773192"/>
    <n v="0"/>
    <n v="0"/>
    <n v="0"/>
  </r>
  <r>
    <x v="6"/>
    <x v="6"/>
    <n v="22010730.5"/>
    <x v="14"/>
    <n v="0"/>
    <n v="22469267.5"/>
    <n v="0"/>
    <m/>
    <n v="0"/>
    <m/>
    <n v="0"/>
    <m/>
    <n v="0"/>
    <m/>
    <n v="0"/>
    <n v="25493988.499999996"/>
    <n v="0"/>
    <n v="21440"/>
    <m/>
    <n v="0"/>
    <m/>
    <n v="3734"/>
    <m/>
    <n v="3480"/>
    <n v="28160542.500000004"/>
    <n v="3896"/>
    <n v="21440"/>
    <n v="0"/>
    <n v="0"/>
    <n v="3896"/>
    <m/>
    <s v=""/>
    <n v="21440"/>
    <s v="2018 (triag)"/>
    <n v="3896"/>
    <n v="2022"/>
    <s v="Adjust"/>
    <n v="5000.434586781188"/>
    <n v="21440"/>
    <s v="Decreasing"/>
    <n v="6.6569375282258259E-2"/>
    <n v="5.4673730437993617E-2"/>
    <n v="15369.906277726928"/>
    <n v="25261.450233239408"/>
    <n v="0"/>
    <n v="8.4098257124419753"/>
    <n v="1.7756883010265827"/>
    <n v="7.6134896904063538"/>
  </r>
  <r>
    <x v="6"/>
    <x v="6"/>
    <n v="22010731.5"/>
    <x v="15"/>
    <n v="0"/>
    <n v="22469267.5"/>
    <n v="0"/>
    <m/>
    <n v="60"/>
    <m/>
    <n v="0"/>
    <m/>
    <n v="0"/>
    <m/>
    <n v="0"/>
    <n v="25493988.499999996"/>
    <n v="0"/>
    <n v="151"/>
    <m/>
    <n v="0"/>
    <m/>
    <n v="0"/>
    <m/>
    <n v="97"/>
    <n v="28160542.500000004"/>
    <n v="95"/>
    <n v="151"/>
    <n v="60"/>
    <n v="0"/>
    <n v="97"/>
    <n v="60"/>
    <n v="2014"/>
    <n v="151"/>
    <s v="2018 (triag)"/>
    <n v="95"/>
    <n v="2022"/>
    <s v="Adjust"/>
    <n v="121.93051482140987"/>
    <n v="151"/>
    <s v="Decreasing"/>
    <n v="6.6569375282258259E-2"/>
    <n v="5.4673730437993617E-2"/>
    <n v="108.24887350451334"/>
    <n v="177.91413177328127"/>
    <n v="2.6703140189149467E-2"/>
    <n v="5.922964937400832E-2"/>
    <n v="4.3298354362814519E-2"/>
    <n v="5.3621126084485049E-2"/>
  </r>
  <r>
    <x v="6"/>
    <x v="6"/>
    <n v="22010732.5"/>
    <x v="16"/>
    <n v="0"/>
    <n v="22469267.5"/>
    <n v="0"/>
    <m/>
    <n v="0"/>
    <m/>
    <n v="0"/>
    <m/>
    <n v="0"/>
    <m/>
    <n v="0"/>
    <n v="25493988.499999996"/>
    <n v="0"/>
    <n v="0"/>
    <m/>
    <n v="0"/>
    <m/>
    <n v="0"/>
    <m/>
    <n v="0"/>
    <n v="28160542.500000004"/>
    <n v="0"/>
    <n v="0"/>
    <n v="0"/>
    <n v="0"/>
    <n v="0"/>
    <m/>
    <s v=""/>
    <m/>
    <s v=""/>
    <n v="0"/>
    <s v=""/>
    <s v=""/>
    <m/>
    <n v="0"/>
    <s v="No change"/>
    <n v="6.6569375282258259E-2"/>
    <n v="5.4673730437993617E-2"/>
    <n v="0"/>
    <n v="0"/>
    <n v="0"/>
    <n v="0"/>
    <n v="0"/>
    <n v="0"/>
  </r>
  <r>
    <x v="6"/>
    <x v="6"/>
    <n v="22010733.5"/>
    <x v="17"/>
    <n v="0"/>
    <n v="22469267.5"/>
    <n v="0"/>
    <m/>
    <n v="0"/>
    <m/>
    <n v="0"/>
    <m/>
    <n v="0"/>
    <m/>
    <n v="0"/>
    <n v="25493988.499999996"/>
    <n v="0"/>
    <n v="0"/>
    <m/>
    <n v="0"/>
    <m/>
    <n v="0"/>
    <m/>
    <n v="0"/>
    <n v="28160542.500000004"/>
    <n v="0"/>
    <n v="0"/>
    <n v="0"/>
    <n v="0"/>
    <n v="0"/>
    <m/>
    <s v=""/>
    <m/>
    <s v=""/>
    <n v="0"/>
    <s v=""/>
    <s v=""/>
    <m/>
    <n v="0"/>
    <s v="No change"/>
    <n v="6.6569375282258259E-2"/>
    <n v="5.4673730437993617E-2"/>
    <n v="0"/>
    <n v="0"/>
    <n v="0"/>
    <n v="0"/>
    <n v="0"/>
    <n v="0"/>
  </r>
  <r>
    <x v="6"/>
    <x v="6"/>
    <n v="22010734.5"/>
    <x v="18"/>
    <n v="0"/>
    <n v="22469267.5"/>
    <n v="0"/>
    <m/>
    <n v="0"/>
    <m/>
    <n v="0"/>
    <m/>
    <n v="0"/>
    <m/>
    <n v="0"/>
    <n v="25493988.499999996"/>
    <n v="0"/>
    <n v="4437"/>
    <m/>
    <n v="0"/>
    <m/>
    <n v="0"/>
    <m/>
    <n v="0"/>
    <n v="28160542.500000004"/>
    <n v="0"/>
    <n v="4437"/>
    <n v="0"/>
    <n v="0"/>
    <n v="0"/>
    <m/>
    <s v=""/>
    <n v="4437"/>
    <s v="2018 (triag)"/>
    <n v="4437"/>
    <s v="2018 (triag)"/>
    <s v=""/>
    <n v="4437"/>
    <n v="4437"/>
    <s v="No change"/>
    <n v="6.6569375282258259E-2"/>
    <n v="5.4673730437993617E-2"/>
    <n v="3180.7963691359319"/>
    <n v="5227.8476998546294"/>
    <n v="0"/>
    <n v="1.7404102931951979"/>
    <n v="1.5756088505752328"/>
    <n v="1.5756088505752328"/>
  </r>
  <r>
    <x v="7"/>
    <x v="7"/>
    <n v="21032689"/>
    <x v="0"/>
    <n v="0"/>
    <n v="21632850.000000004"/>
    <n v="0"/>
    <m/>
    <n v="0"/>
    <m/>
    <n v="0"/>
    <m/>
    <n v="0"/>
    <m/>
    <n v="0"/>
    <n v="25076746.500000015"/>
    <n v="0"/>
    <n v="0"/>
    <m/>
    <n v="0"/>
    <m/>
    <n v="154"/>
    <m/>
    <n v="0"/>
    <n v="27914536.499999989"/>
    <n v="310"/>
    <n v="0"/>
    <n v="0"/>
    <n v="0"/>
    <n v="310"/>
    <m/>
    <s v=""/>
    <m/>
    <s v=""/>
    <n v="310"/>
    <n v="2022"/>
    <s v=""/>
    <n v="310"/>
    <n v="310"/>
    <s v="Increasing"/>
    <n v="-1.4958984742070136E-2"/>
    <n v="0.1904674530041961"/>
    <n v="0"/>
    <n v="0"/>
    <n v="0"/>
    <n v="0"/>
    <n v="0.11105324997962983"/>
    <n v="0.11105324997962983"/>
  </r>
  <r>
    <x v="7"/>
    <x v="7"/>
    <n v="21032690"/>
    <x v="1"/>
    <n v="0"/>
    <n v="21632850.000000004"/>
    <n v="0"/>
    <m/>
    <n v="0"/>
    <m/>
    <n v="0"/>
    <m/>
    <n v="0"/>
    <m/>
    <n v="0"/>
    <n v="25076746.500000015"/>
    <n v="0"/>
    <n v="38"/>
    <m/>
    <n v="0"/>
    <m/>
    <n v="0"/>
    <m/>
    <n v="0"/>
    <n v="27914536.499999989"/>
    <n v="0"/>
    <n v="38"/>
    <n v="0"/>
    <n v="0"/>
    <n v="0"/>
    <m/>
    <s v=""/>
    <n v="38"/>
    <s v="2018 (triag)"/>
    <n v="38"/>
    <s v="2018 (triag)"/>
    <s v=""/>
    <n v="38"/>
    <n v="38"/>
    <s v="No change"/>
    <n v="-1.4958984742070136E-2"/>
    <n v="0.1904674530041961"/>
    <n v="40.951198752532633"/>
    <n v="67.2884443767242"/>
    <n v="0"/>
    <n v="1.515348093501682E-2"/>
    <n v="1.3612979029761076E-2"/>
    <n v="1.3612979029761076E-2"/>
  </r>
  <r>
    <x v="7"/>
    <x v="7"/>
    <n v="21032691"/>
    <x v="2"/>
    <n v="0"/>
    <n v="21632850.000000004"/>
    <n v="0"/>
    <m/>
    <n v="0"/>
    <m/>
    <n v="0"/>
    <m/>
    <n v="0"/>
    <m/>
    <n v="0"/>
    <n v="25076746.500000015"/>
    <n v="0"/>
    <n v="238"/>
    <m/>
    <n v="0"/>
    <m/>
    <n v="5"/>
    <m/>
    <n v="0"/>
    <n v="27914536.499999989"/>
    <n v="0"/>
    <n v="238"/>
    <n v="0"/>
    <n v="0"/>
    <n v="5"/>
    <m/>
    <s v=""/>
    <n v="238"/>
    <s v="2018 (triag)"/>
    <n v="5"/>
    <n v="2020"/>
    <s v="Adjust"/>
    <n v="7.4076572236140548"/>
    <n v="238"/>
    <s v="Decreasing"/>
    <n v="-1.4958984742070136E-2"/>
    <n v="0.1904674530041961"/>
    <n v="256.48382376586227"/>
    <n v="421.43815162264099"/>
    <n v="0"/>
    <n v="9.4908643750894819E-2"/>
    <n v="2.6536916432820076E-3"/>
    <n v="8.5260237081135157E-2"/>
  </r>
  <r>
    <x v="7"/>
    <x v="7"/>
    <n v="21032692"/>
    <x v="3"/>
    <n v="0"/>
    <n v="21632850.000000004"/>
    <n v="0"/>
    <m/>
    <n v="0"/>
    <m/>
    <n v="0"/>
    <m/>
    <n v="0"/>
    <m/>
    <n v="0"/>
    <n v="25076746.500000015"/>
    <n v="0"/>
    <n v="10717"/>
    <m/>
    <n v="0"/>
    <m/>
    <n v="5390"/>
    <m/>
    <n v="0"/>
    <n v="27914536.499999989"/>
    <n v="146"/>
    <n v="10717"/>
    <n v="0"/>
    <n v="0"/>
    <n v="5390"/>
    <m/>
    <s v=""/>
    <n v="10717"/>
    <s v="2018 (triag)"/>
    <n v="146"/>
    <n v="2022"/>
    <s v="Adjust"/>
    <n v="216.3035909295304"/>
    <n v="10717"/>
    <s v="Decreasing"/>
    <n v="-1.4958984742070136E-2"/>
    <n v="0.1904674530041961"/>
    <n v="11549.31571133927"/>
    <n v="18977.112062772452"/>
    <n v="0"/>
    <n v="4.2736803994888231"/>
    <n v="7.7487795983834623E-2"/>
    <n v="3.8392183226828802"/>
  </r>
  <r>
    <x v="7"/>
    <x v="7"/>
    <n v="21032693"/>
    <x v="4"/>
    <n v="0"/>
    <n v="21632850.000000004"/>
    <n v="0"/>
    <m/>
    <n v="0"/>
    <m/>
    <n v="0"/>
    <m/>
    <n v="0"/>
    <m/>
    <n v="0"/>
    <n v="25076746.500000015"/>
    <n v="0"/>
    <n v="250"/>
    <m/>
    <n v="0"/>
    <m/>
    <n v="21"/>
    <m/>
    <n v="4216"/>
    <n v="27914536.499999989"/>
    <n v="1195"/>
    <n v="250"/>
    <n v="0"/>
    <n v="0"/>
    <n v="4216"/>
    <m/>
    <s v=""/>
    <n v="250"/>
    <s v="2018 (triag)"/>
    <n v="1195"/>
    <n v="2022"/>
    <s v=""/>
    <n v="1195"/>
    <n v="1195"/>
    <s v="Increasing"/>
    <n v="-1.4958984742070136E-2"/>
    <n v="0.1904674530041961"/>
    <n v="269.41578126666207"/>
    <n v="442.68713405739601"/>
    <n v="0"/>
    <n v="9.96939535198475E-2"/>
    <n v="0.42809236685696017"/>
    <n v="0.42809236685696017"/>
  </r>
  <r>
    <x v="7"/>
    <x v="7"/>
    <n v="21032694"/>
    <x v="5"/>
    <n v="0"/>
    <n v="21632850.000000004"/>
    <n v="0"/>
    <m/>
    <n v="0"/>
    <m/>
    <n v="0"/>
    <m/>
    <n v="0"/>
    <m/>
    <n v="0"/>
    <n v="25076746.500000015"/>
    <n v="0"/>
    <n v="0"/>
    <m/>
    <n v="0"/>
    <m/>
    <n v="31"/>
    <m/>
    <n v="3"/>
    <n v="27914536.499999989"/>
    <n v="19"/>
    <n v="0"/>
    <n v="0"/>
    <n v="0"/>
    <n v="31"/>
    <m/>
    <s v=""/>
    <m/>
    <s v=""/>
    <n v="19"/>
    <n v="2022"/>
    <s v=""/>
    <n v="19"/>
    <n v="19"/>
    <s v="Increasing"/>
    <n v="-1.4958984742070136E-2"/>
    <n v="0.1904674530041961"/>
    <n v="0"/>
    <n v="0"/>
    <n v="0"/>
    <n v="0"/>
    <n v="6.8064895148805381E-3"/>
    <n v="6.8064895148805381E-3"/>
  </r>
  <r>
    <x v="7"/>
    <x v="7"/>
    <n v="21032695"/>
    <x v="6"/>
    <n v="0"/>
    <n v="21632850.000000004"/>
    <n v="0"/>
    <m/>
    <n v="0"/>
    <m/>
    <n v="0"/>
    <m/>
    <n v="0"/>
    <m/>
    <n v="0"/>
    <n v="25076746.500000015"/>
    <n v="241"/>
    <n v="241"/>
    <m/>
    <n v="0"/>
    <m/>
    <n v="112"/>
    <m/>
    <n v="2247"/>
    <n v="27914536.499999989"/>
    <n v="293"/>
    <n v="0"/>
    <n v="0"/>
    <n v="241"/>
    <n v="2247"/>
    <m/>
    <s v=""/>
    <n v="241"/>
    <n v="2018"/>
    <n v="293"/>
    <n v="2022"/>
    <s v=""/>
    <n v="293"/>
    <n v="293"/>
    <s v="Increasing"/>
    <n v="-1.4958984742070136E-2"/>
    <n v="0.1904674530041961"/>
    <n v="0"/>
    <n v="0"/>
    <n v="0"/>
    <n v="9.6104971193132993E-2"/>
    <n v="0.10496323304526303"/>
    <n v="0.10496323304526303"/>
  </r>
  <r>
    <x v="7"/>
    <x v="7"/>
    <n v="21032696"/>
    <x v="7"/>
    <n v="0"/>
    <n v="21632850.000000004"/>
    <n v="0"/>
    <m/>
    <n v="0"/>
    <m/>
    <n v="0"/>
    <m/>
    <n v="0"/>
    <m/>
    <n v="0"/>
    <n v="25076746.500000015"/>
    <n v="0"/>
    <n v="0"/>
    <m/>
    <n v="0"/>
    <m/>
    <n v="6"/>
    <m/>
    <n v="0"/>
    <n v="27914536.499999989"/>
    <n v="118"/>
    <n v="0"/>
    <n v="0"/>
    <n v="0"/>
    <n v="118"/>
    <m/>
    <s v=""/>
    <m/>
    <s v=""/>
    <n v="118"/>
    <n v="2022"/>
    <s v=""/>
    <n v="118"/>
    <n v="118"/>
    <s v="Increasing"/>
    <n v="-1.4958984742070136E-2"/>
    <n v="0.1904674530041961"/>
    <n v="0"/>
    <n v="0"/>
    <n v="0"/>
    <n v="0"/>
    <n v="4.2271882250310713E-2"/>
    <n v="4.2271882250310713E-2"/>
  </r>
  <r>
    <x v="7"/>
    <x v="7"/>
    <n v="21032697"/>
    <x v="8"/>
    <n v="0"/>
    <n v="21632850.000000004"/>
    <n v="0"/>
    <m/>
    <n v="0"/>
    <m/>
    <n v="0"/>
    <m/>
    <n v="0"/>
    <m/>
    <n v="0"/>
    <n v="25076746.500000015"/>
    <n v="0"/>
    <n v="124"/>
    <m/>
    <n v="0"/>
    <m/>
    <n v="73"/>
    <m/>
    <n v="267"/>
    <n v="27914536.499999989"/>
    <n v="4864"/>
    <n v="124"/>
    <n v="0"/>
    <n v="0"/>
    <n v="4864"/>
    <m/>
    <s v=""/>
    <n v="124"/>
    <s v="2018 (triag)"/>
    <n v="4864"/>
    <n v="2022"/>
    <s v=""/>
    <n v="4864"/>
    <n v="4864"/>
    <s v="Increasing"/>
    <n v="-1.4958984742070136E-2"/>
    <n v="0.1904674530041961"/>
    <n v="133.6302275082644"/>
    <n v="219.57281849246843"/>
    <n v="0"/>
    <n v="4.9448200945844359E-2"/>
    <n v="1.7424613158094178"/>
    <n v="1.7424613158094178"/>
  </r>
  <r>
    <x v="7"/>
    <x v="7"/>
    <n v="21032698"/>
    <x v="9"/>
    <n v="0"/>
    <n v="21632850.000000004"/>
    <n v="0"/>
    <m/>
    <n v="0"/>
    <m/>
    <n v="0"/>
    <m/>
    <n v="0"/>
    <m/>
    <n v="0"/>
    <n v="25076746.500000015"/>
    <n v="0"/>
    <n v="0"/>
    <m/>
    <n v="0"/>
    <m/>
    <n v="4"/>
    <m/>
    <n v="0"/>
    <n v="27914536.499999989"/>
    <n v="85"/>
    <n v="0"/>
    <n v="0"/>
    <n v="0"/>
    <n v="85"/>
    <m/>
    <s v=""/>
    <m/>
    <s v=""/>
    <n v="85"/>
    <n v="2022"/>
    <s v=""/>
    <n v="85"/>
    <n v="85"/>
    <s v="Increasing"/>
    <n v="-1.4958984742070136E-2"/>
    <n v="0.1904674530041961"/>
    <n v="0"/>
    <n v="0"/>
    <n v="0"/>
    <n v="0"/>
    <n v="3.0450084671833987E-2"/>
    <n v="3.0450084671833987E-2"/>
  </r>
  <r>
    <x v="7"/>
    <x v="7"/>
    <n v="21032699"/>
    <x v="10"/>
    <n v="0"/>
    <n v="21632850.000000004"/>
    <n v="0"/>
    <m/>
    <n v="0"/>
    <m/>
    <n v="0"/>
    <m/>
    <n v="0"/>
    <m/>
    <n v="0"/>
    <n v="25076746.500000015"/>
    <n v="0"/>
    <n v="0"/>
    <m/>
    <n v="0"/>
    <m/>
    <n v="207"/>
    <m/>
    <n v="0"/>
    <n v="27914536.499999989"/>
    <n v="10"/>
    <n v="0"/>
    <n v="0"/>
    <n v="0"/>
    <n v="207"/>
    <m/>
    <s v=""/>
    <m/>
    <s v=""/>
    <n v="10"/>
    <n v="2022"/>
    <s v=""/>
    <n v="10"/>
    <n v="10"/>
    <s v="Increasing"/>
    <n v="-1.4958984742070136E-2"/>
    <n v="0.1904674530041961"/>
    <n v="0"/>
    <n v="0"/>
    <n v="0"/>
    <n v="0"/>
    <n v="3.5823629025687042E-3"/>
    <n v="3.5823629025687042E-3"/>
  </r>
  <r>
    <x v="7"/>
    <x v="7"/>
    <n v="21032700"/>
    <x v="11"/>
    <n v="0"/>
    <n v="21632850.000000004"/>
    <n v="0"/>
    <m/>
    <n v="0"/>
    <m/>
    <n v="0"/>
    <m/>
    <n v="0"/>
    <m/>
    <n v="0"/>
    <n v="25076746.500000015"/>
    <n v="0"/>
    <n v="0"/>
    <m/>
    <n v="0"/>
    <m/>
    <n v="1406"/>
    <m/>
    <n v="0"/>
    <n v="27914536.499999989"/>
    <n v="5"/>
    <n v="0"/>
    <n v="0"/>
    <n v="0"/>
    <n v="1406"/>
    <m/>
    <s v=""/>
    <m/>
    <s v=""/>
    <n v="5"/>
    <n v="2022"/>
    <s v=""/>
    <n v="5"/>
    <n v="5"/>
    <s v="Increasing"/>
    <n v="-1.4958984742070136E-2"/>
    <n v="0.1904674530041961"/>
    <n v="0"/>
    <n v="0"/>
    <n v="0"/>
    <n v="0"/>
    <n v="1.7911814512843521E-3"/>
    <n v="1.7911814512843521E-3"/>
  </r>
  <r>
    <x v="7"/>
    <x v="7"/>
    <n v="21032701"/>
    <x v="12"/>
    <n v="0"/>
    <n v="21632850.000000004"/>
    <n v="0"/>
    <m/>
    <n v="0"/>
    <m/>
    <n v="0"/>
    <m/>
    <n v="0"/>
    <m/>
    <n v="0"/>
    <n v="25076746.500000015"/>
    <n v="0"/>
    <n v="0"/>
    <m/>
    <n v="0"/>
    <m/>
    <n v="152"/>
    <m/>
    <n v="0"/>
    <n v="27914536.499999989"/>
    <n v="74"/>
    <n v="0"/>
    <n v="0"/>
    <n v="0"/>
    <n v="152"/>
    <m/>
    <s v=""/>
    <m/>
    <s v=""/>
    <n v="74"/>
    <n v="2022"/>
    <s v=""/>
    <n v="74"/>
    <n v="74"/>
    <s v="Increasing"/>
    <n v="-1.4958984742070136E-2"/>
    <n v="0.1904674530041961"/>
    <n v="0"/>
    <n v="0"/>
    <n v="0"/>
    <n v="0"/>
    <n v="2.6509485479008412E-2"/>
    <n v="2.6509485479008412E-2"/>
  </r>
  <r>
    <x v="7"/>
    <x v="7"/>
    <n v="21032702"/>
    <x v="13"/>
    <n v="0"/>
    <n v="21632850.000000004"/>
    <n v="0"/>
    <m/>
    <n v="0"/>
    <m/>
    <n v="0"/>
    <m/>
    <n v="0"/>
    <m/>
    <n v="0"/>
    <n v="25076746.500000015"/>
    <n v="0"/>
    <n v="5235"/>
    <m/>
    <n v="0"/>
    <m/>
    <n v="48"/>
    <m/>
    <n v="249"/>
    <n v="27914536.499999989"/>
    <n v="161"/>
    <n v="5235"/>
    <n v="0"/>
    <n v="0"/>
    <n v="249"/>
    <m/>
    <s v=""/>
    <n v="5235"/>
    <s v="2018 (triag)"/>
    <n v="161"/>
    <n v="2022"/>
    <s v="Adjust"/>
    <n v="238.52656260037256"/>
    <n v="5235"/>
    <s v="Decreasing"/>
    <n v="-1.4958984742070136E-2"/>
    <n v="0.1904674530041961"/>
    <n v="5641.5664597239038"/>
    <n v="9269.8685871618727"/>
    <n v="0"/>
    <n v="2.0875913867056068"/>
    <n v="8.5448870913680627E-2"/>
    <n v="1.8753669794947168"/>
  </r>
  <r>
    <x v="7"/>
    <x v="7"/>
    <n v="21032703"/>
    <x v="14"/>
    <n v="0"/>
    <n v="21632850.000000004"/>
    <n v="0"/>
    <m/>
    <n v="0"/>
    <m/>
    <n v="0"/>
    <m/>
    <n v="0"/>
    <m/>
    <n v="0"/>
    <n v="25076746.500000015"/>
    <n v="0"/>
    <n v="0"/>
    <m/>
    <n v="0"/>
    <m/>
    <n v="2098"/>
    <m/>
    <n v="0"/>
    <n v="27914536.499999989"/>
    <n v="34"/>
    <n v="0"/>
    <n v="0"/>
    <n v="0"/>
    <n v="2098"/>
    <m/>
    <s v=""/>
    <m/>
    <s v=""/>
    <n v="34"/>
    <n v="2022"/>
    <s v=""/>
    <n v="34"/>
    <n v="34"/>
    <s v="Increasing"/>
    <n v="-1.4958984742070136E-2"/>
    <n v="0.1904674530041961"/>
    <n v="0"/>
    <n v="0"/>
    <n v="0"/>
    <n v="0"/>
    <n v="1.2180033868733595E-2"/>
    <n v="1.2180033868733595E-2"/>
  </r>
  <r>
    <x v="7"/>
    <x v="7"/>
    <n v="21032704"/>
    <x v="15"/>
    <n v="0"/>
    <n v="21632850.000000004"/>
    <n v="0"/>
    <m/>
    <n v="0"/>
    <m/>
    <n v="0"/>
    <m/>
    <n v="0"/>
    <m/>
    <n v="0"/>
    <n v="25076746.500000015"/>
    <n v="0"/>
    <n v="0"/>
    <m/>
    <n v="0"/>
    <m/>
    <n v="69"/>
    <m/>
    <n v="21"/>
    <n v="27914536.499999989"/>
    <n v="191"/>
    <n v="0"/>
    <n v="0"/>
    <n v="0"/>
    <n v="191"/>
    <m/>
    <s v=""/>
    <m/>
    <s v=""/>
    <n v="191"/>
    <n v="2022"/>
    <s v=""/>
    <n v="191"/>
    <n v="191"/>
    <s v="Increasing"/>
    <n v="-1.4958984742070136E-2"/>
    <n v="0.1904674530041961"/>
    <n v="0"/>
    <n v="0"/>
    <n v="0"/>
    <n v="0"/>
    <n v="6.8423131439062257E-2"/>
    <n v="6.8423131439062257E-2"/>
  </r>
  <r>
    <x v="7"/>
    <x v="7"/>
    <n v="21032705"/>
    <x v="16"/>
    <n v="0"/>
    <n v="21632850.000000004"/>
    <n v="0"/>
    <m/>
    <n v="0"/>
    <m/>
    <n v="0"/>
    <m/>
    <n v="0"/>
    <m/>
    <n v="0"/>
    <n v="25076746.500000015"/>
    <n v="0"/>
    <n v="0"/>
    <m/>
    <n v="0"/>
    <m/>
    <n v="64"/>
    <m/>
    <n v="584"/>
    <n v="27914536.499999989"/>
    <n v="606"/>
    <n v="0"/>
    <n v="0"/>
    <n v="0"/>
    <n v="606"/>
    <m/>
    <s v=""/>
    <m/>
    <s v=""/>
    <n v="606"/>
    <n v="2022"/>
    <s v=""/>
    <n v="606"/>
    <n v="606"/>
    <s v="Increasing"/>
    <n v="-1.4958984742070136E-2"/>
    <n v="0.1904674530041961"/>
    <n v="0"/>
    <n v="0"/>
    <n v="0"/>
    <n v="0"/>
    <n v="0.21709119189566348"/>
    <n v="0.21709119189566348"/>
  </r>
  <r>
    <x v="7"/>
    <x v="7"/>
    <n v="21032706"/>
    <x v="17"/>
    <n v="0"/>
    <n v="21632850.000000004"/>
    <n v="0"/>
    <m/>
    <n v="0"/>
    <m/>
    <n v="0"/>
    <m/>
    <n v="0"/>
    <m/>
    <n v="0"/>
    <n v="25076746.500000015"/>
    <n v="0"/>
    <n v="0"/>
    <m/>
    <n v="0"/>
    <m/>
    <n v="2"/>
    <m/>
    <n v="0"/>
    <n v="27914536.499999989"/>
    <n v="0"/>
    <n v="0"/>
    <n v="0"/>
    <n v="0"/>
    <n v="2"/>
    <m/>
    <s v=""/>
    <m/>
    <s v=""/>
    <n v="2"/>
    <n v="2020"/>
    <s v=""/>
    <n v="2"/>
    <n v="2"/>
    <s v="Increasing"/>
    <n v="-1.4958984742070136E-2"/>
    <n v="0.1904674530041961"/>
    <n v="0"/>
    <n v="0"/>
    <n v="0"/>
    <n v="0"/>
    <n v="7.1647258051374082E-4"/>
    <n v="7.1647258051374082E-4"/>
  </r>
  <r>
    <x v="7"/>
    <x v="7"/>
    <n v="21032707"/>
    <x v="18"/>
    <n v="0"/>
    <n v="21632850.000000004"/>
    <n v="0"/>
    <m/>
    <n v="0"/>
    <m/>
    <n v="0"/>
    <m/>
    <n v="0"/>
    <m/>
    <n v="0"/>
    <n v="25076746.500000015"/>
    <n v="0"/>
    <n v="0"/>
    <m/>
    <n v="0"/>
    <m/>
    <n v="7"/>
    <m/>
    <n v="0"/>
    <n v="27914536.499999989"/>
    <n v="16"/>
    <n v="0"/>
    <n v="0"/>
    <n v="0"/>
    <n v="16"/>
    <m/>
    <s v=""/>
    <m/>
    <s v=""/>
    <n v="16"/>
    <n v="2022"/>
    <s v=""/>
    <n v="16"/>
    <n v="16"/>
    <s v="Increasing"/>
    <n v="-1.4958984742070136E-2"/>
    <n v="0.1904674530041961"/>
    <n v="0"/>
    <n v="0"/>
    <n v="0"/>
    <n v="0"/>
    <n v="5.7317806441099265E-3"/>
    <n v="5.7317806441099265E-3"/>
  </r>
  <r>
    <x v="8"/>
    <x v="8"/>
    <n v="70997874.500000104"/>
    <x v="0"/>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75.500000104"/>
    <x v="1"/>
    <n v="19"/>
    <n v="73460021"/>
    <n v="0"/>
    <m/>
    <n v="361"/>
    <m/>
    <n v="2192"/>
    <m/>
    <n v="0"/>
    <m/>
    <n v="0"/>
    <n v="87087354.999999985"/>
    <n v="119"/>
    <n v="535"/>
    <m/>
    <n v="0"/>
    <m/>
    <n v="776"/>
    <m/>
    <n v="91"/>
    <n v="99010212"/>
    <n v="0"/>
    <n v="535"/>
    <n v="2192"/>
    <n v="119"/>
    <n v="776"/>
    <n v="19"/>
    <n v="2012"/>
    <n v="535"/>
    <s v="2018 (triag)"/>
    <n v="91"/>
    <n v="2021"/>
    <s v="Adjust"/>
    <n v="104.76322086409942"/>
    <n v="535"/>
    <s v="Decreasing"/>
    <n v="0.14126140610967886"/>
    <n v="5.4673730437993617E-2"/>
    <n v="264.0028019000107"/>
    <n v="630.35801654771842"/>
    <n v="2.5864408614857323E-3"/>
    <n v="6.1432569630803471E-2"/>
    <n v="1.0581052070073279E-2"/>
    <n v="5.4034830265791166E-2"/>
  </r>
  <r>
    <x v="8"/>
    <x v="8"/>
    <n v="70997876.500000104"/>
    <x v="2"/>
    <n v="634"/>
    <n v="73460021"/>
    <n v="0"/>
    <m/>
    <n v="163"/>
    <m/>
    <n v="1168"/>
    <m/>
    <n v="0"/>
    <m/>
    <n v="0"/>
    <n v="87087354.999999985"/>
    <n v="136"/>
    <n v="167"/>
    <m/>
    <n v="4362"/>
    <m/>
    <n v="3788"/>
    <m/>
    <n v="2684"/>
    <n v="99010212"/>
    <n v="233"/>
    <n v="167"/>
    <n v="1168"/>
    <n v="4362"/>
    <n v="3788"/>
    <n v="634"/>
    <n v="2012"/>
    <n v="167"/>
    <s v="2018 (triag)"/>
    <n v="233"/>
    <n v="2022"/>
    <s v=""/>
    <n v="233"/>
    <n v="233"/>
    <s v="Increasing"/>
    <n v="0.14126140610967886"/>
    <n v="5.4673730437993617E-2"/>
    <n v="82.408351247293055"/>
    <n v="196.7659603055495"/>
    <n v="8.6305447693787077E-2"/>
    <n v="1.9176147903447065E-2"/>
    <n v="2.3532926078372603E-2"/>
    <n v="2.3532926078372603E-2"/>
  </r>
  <r>
    <x v="8"/>
    <x v="8"/>
    <n v="70997877.500000104"/>
    <x v="3"/>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78.500000104"/>
    <x v="4"/>
    <n v="0"/>
    <n v="73460021"/>
    <n v="0"/>
    <m/>
    <n v="0"/>
    <m/>
    <n v="0"/>
    <m/>
    <n v="0"/>
    <m/>
    <n v="0"/>
    <n v="87087354.999999985"/>
    <n v="0"/>
    <n v="2651"/>
    <m/>
    <n v="3342"/>
    <m/>
    <n v="0"/>
    <m/>
    <n v="3724"/>
    <n v="99010212"/>
    <n v="4695"/>
    <n v="2651"/>
    <n v="0"/>
    <n v="3342"/>
    <n v="4695"/>
    <m/>
    <s v=""/>
    <n v="2651"/>
    <s v="2018 (triag)"/>
    <n v="4695"/>
    <n v="2022"/>
    <s v=""/>
    <n v="4695"/>
    <n v="4695"/>
    <s v="Increasing"/>
    <n v="0.14126140610967886"/>
    <n v="5.4673730437993617E-2"/>
    <n v="1308.1708931531371"/>
    <n v="3123.51233994019"/>
    <n v="0"/>
    <n v="0.30440699456310283"/>
    <n v="0.47419351046334496"/>
    <n v="0.47419351046334496"/>
  </r>
  <r>
    <x v="8"/>
    <x v="8"/>
    <n v="70997879.500000104"/>
    <x v="5"/>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80.500000104"/>
    <x v="6"/>
    <n v="0"/>
    <n v="73460021"/>
    <n v="2126"/>
    <m/>
    <n v="0"/>
    <m/>
    <n v="0"/>
    <m/>
    <n v="0"/>
    <m/>
    <n v="0"/>
    <n v="87087354.999999985"/>
    <n v="2934"/>
    <n v="2934"/>
    <m/>
    <n v="0"/>
    <m/>
    <n v="0"/>
    <m/>
    <n v="0"/>
    <n v="99010212"/>
    <n v="0"/>
    <n v="0"/>
    <n v="2126"/>
    <n v="2934"/>
    <n v="0"/>
    <n v="2126"/>
    <n v="2013"/>
    <n v="2934"/>
    <n v="2018"/>
    <n v="2934"/>
    <n v="2018"/>
    <s v=""/>
    <n v="2934"/>
    <n v="2934"/>
    <s v="No change"/>
    <n v="0.14126140610967886"/>
    <n v="5.4673730437993617E-2"/>
    <n v="0"/>
    <n v="0"/>
    <n v="0.28940911955361409"/>
    <n v="0.33690310148930352"/>
    <n v="0.29633306915856317"/>
    <n v="0.29633306915856317"/>
  </r>
  <r>
    <x v="8"/>
    <x v="8"/>
    <n v="70997881.500000104"/>
    <x v="7"/>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82.500000104"/>
    <x v="8"/>
    <n v="0"/>
    <n v="73460021"/>
    <n v="287"/>
    <m/>
    <n v="0"/>
    <m/>
    <n v="0"/>
    <m/>
    <n v="0"/>
    <m/>
    <n v="0"/>
    <n v="87087354.999999985"/>
    <n v="0"/>
    <n v="338"/>
    <m/>
    <n v="0"/>
    <m/>
    <n v="0"/>
    <m/>
    <n v="439"/>
    <n v="99010212"/>
    <n v="528"/>
    <n v="338"/>
    <n v="287"/>
    <n v="0"/>
    <n v="528"/>
    <n v="287"/>
    <n v="2013"/>
    <n v="338"/>
    <s v="2018 (triag)"/>
    <n v="528"/>
    <n v="2022"/>
    <s v=""/>
    <n v="528"/>
    <n v="528"/>
    <s v="Increasing"/>
    <n v="0.14126140610967886"/>
    <n v="5.4673730437993617E-2"/>
    <n v="166.79055521907219"/>
    <n v="398.24487774416605"/>
    <n v="3.9068869855073962E-2"/>
    <n v="3.8811604738713222E-2"/>
    <n v="5.3327832486612596E-2"/>
    <n v="5.3327832486612596E-2"/>
  </r>
  <r>
    <x v="8"/>
    <x v="8"/>
    <n v="70997883.500000104"/>
    <x v="9"/>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84.500000104"/>
    <x v="10"/>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85.500000104"/>
    <x v="11"/>
    <n v="0"/>
    <n v="73460021"/>
    <n v="0"/>
    <m/>
    <n v="0"/>
    <m/>
    <n v="0"/>
    <m/>
    <n v="0"/>
    <m/>
    <n v="0"/>
    <n v="87087354.999999985"/>
    <n v="0"/>
    <n v="74310"/>
    <m/>
    <n v="1939"/>
    <m/>
    <n v="0"/>
    <m/>
    <n v="1785"/>
    <n v="99010212"/>
    <n v="1803"/>
    <n v="74310"/>
    <n v="0"/>
    <n v="1939"/>
    <n v="1803"/>
    <m/>
    <s v=""/>
    <n v="74310"/>
    <s v="2018 (triag)"/>
    <n v="1803"/>
    <n v="2022"/>
    <s v="Adjust"/>
    <n v="2075.6932661315523"/>
    <n v="74310"/>
    <s v="Decreasing"/>
    <n v="0.14126140610967886"/>
    <n v="5.4673730437993617E-2"/>
    <n v="36669.248989139807"/>
    <n v="87554.961139553183"/>
    <n v="0"/>
    <n v="8.5328116808691696"/>
    <n v="0.20964436134441894"/>
    <n v="7.5052864243942841"/>
  </r>
  <r>
    <x v="8"/>
    <x v="8"/>
    <n v="70997886.500000104"/>
    <x v="12"/>
    <n v="0"/>
    <n v="73460021"/>
    <n v="0"/>
    <m/>
    <n v="0"/>
    <m/>
    <n v="0"/>
    <m/>
    <n v="0"/>
    <m/>
    <n v="0"/>
    <n v="87087354.999999985"/>
    <n v="0"/>
    <n v="1608"/>
    <m/>
    <n v="0"/>
    <m/>
    <n v="0"/>
    <m/>
    <n v="0"/>
    <n v="99010212"/>
    <n v="0"/>
    <n v="1608"/>
    <n v="0"/>
    <n v="0"/>
    <n v="0"/>
    <m/>
    <s v=""/>
    <n v="1608"/>
    <s v="2018 (triag)"/>
    <n v="1608"/>
    <s v="2018 (triag)"/>
    <s v=""/>
    <n v="1608"/>
    <n v="1608"/>
    <s v="No change"/>
    <n v="0.14126140610967886"/>
    <n v="5.4673730437993617E-2"/>
    <n v="793.48879524339668"/>
    <n v="1894.6087674929556"/>
    <n v="0"/>
    <n v="0.18464219059127474"/>
    <n v="0.16240748984559289"/>
    <n v="0.16240748984559289"/>
  </r>
  <r>
    <x v="8"/>
    <x v="8"/>
    <n v="70997887.500000104"/>
    <x v="13"/>
    <n v="0"/>
    <n v="73460021"/>
    <n v="0"/>
    <m/>
    <n v="0"/>
    <m/>
    <n v="0"/>
    <m/>
    <n v="0"/>
    <m/>
    <n v="0"/>
    <n v="87087354.999999985"/>
    <n v="0"/>
    <n v="2934"/>
    <m/>
    <n v="0"/>
    <m/>
    <n v="0"/>
    <m/>
    <n v="0"/>
    <n v="99010212"/>
    <n v="0"/>
    <n v="2934"/>
    <n v="0"/>
    <n v="0"/>
    <n v="0"/>
    <m/>
    <s v=""/>
    <n v="2934"/>
    <s v="2018 (triag)"/>
    <n v="2934"/>
    <s v="2018 (triag)"/>
    <s v=""/>
    <n v="2934"/>
    <n v="2934"/>
    <s v="No change"/>
    <n v="0.14126140610967886"/>
    <n v="5.4673730437993617E-2"/>
    <n v="1447.820973410526"/>
    <n v="3456.9540571046837"/>
    <n v="0"/>
    <n v="0.33690310148930352"/>
    <n v="0.29633306915856317"/>
    <n v="0.29633306915856317"/>
  </r>
  <r>
    <x v="8"/>
    <x v="8"/>
    <n v="70997888.500000104"/>
    <x v="14"/>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89.500000104"/>
    <x v="15"/>
    <n v="0"/>
    <n v="73460021"/>
    <n v="0"/>
    <m/>
    <n v="0"/>
    <m/>
    <n v="0"/>
    <m/>
    <n v="0"/>
    <m/>
    <n v="0"/>
    <n v="87087354.999999985"/>
    <n v="0"/>
    <n v="395"/>
    <m/>
    <n v="496"/>
    <m/>
    <n v="0"/>
    <m/>
    <n v="680"/>
    <n v="99010212"/>
    <n v="793"/>
    <n v="395"/>
    <n v="0"/>
    <n v="496"/>
    <n v="793"/>
    <m/>
    <s v=""/>
    <n v="395"/>
    <s v="2018 (triag)"/>
    <n v="793"/>
    <n v="2022"/>
    <s v=""/>
    <n v="793"/>
    <n v="793"/>
    <s v="Increasing"/>
    <n v="0.14126140610967886"/>
    <n v="5.4673730437993617E-2"/>
    <n v="194.91795654299855"/>
    <n v="465.40451689037155"/>
    <n v="0"/>
    <n v="4.5356757017135277E-2"/>
    <n v="8.009274841265869E-2"/>
    <n v="8.009274841265869E-2"/>
  </r>
  <r>
    <x v="8"/>
    <x v="8"/>
    <n v="70997890.500000104"/>
    <x v="16"/>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91.500000104"/>
    <x v="17"/>
    <n v="0"/>
    <n v="73460021"/>
    <n v="0"/>
    <m/>
    <n v="0"/>
    <m/>
    <n v="0"/>
    <m/>
    <n v="0"/>
    <m/>
    <n v="0"/>
    <n v="87087354.999999985"/>
    <n v="0"/>
    <n v="0"/>
    <m/>
    <n v="0"/>
    <m/>
    <n v="0"/>
    <m/>
    <n v="0"/>
    <n v="99010212"/>
    <n v="0"/>
    <n v="0"/>
    <n v="0"/>
    <n v="0"/>
    <n v="0"/>
    <m/>
    <s v=""/>
    <m/>
    <s v=""/>
    <n v="0"/>
    <s v=""/>
    <s v=""/>
    <m/>
    <n v="0"/>
    <s v="No change"/>
    <n v="0.14126140610967886"/>
    <n v="5.4673730437993617E-2"/>
    <n v="0"/>
    <n v="0"/>
    <n v="0"/>
    <n v="0"/>
    <n v="0"/>
    <n v="0"/>
  </r>
  <r>
    <x v="8"/>
    <x v="8"/>
    <n v="70997892.500000104"/>
    <x v="18"/>
    <n v="0"/>
    <n v="73460021"/>
    <n v="0"/>
    <m/>
    <n v="0"/>
    <m/>
    <n v="0"/>
    <m/>
    <n v="0"/>
    <m/>
    <n v="0"/>
    <n v="87087354.999999985"/>
    <n v="0"/>
    <n v="0"/>
    <m/>
    <n v="0"/>
    <m/>
    <n v="0"/>
    <m/>
    <n v="0"/>
    <n v="99010212"/>
    <n v="0"/>
    <n v="0"/>
    <n v="0"/>
    <n v="0"/>
    <n v="0"/>
    <m/>
    <s v=""/>
    <m/>
    <s v=""/>
    <n v="0"/>
    <s v=""/>
    <s v=""/>
    <m/>
    <n v="0"/>
    <s v="No change"/>
    <n v="0.14126140610967886"/>
    <n v="5.4673730437993617E-2"/>
    <n v="0"/>
    <n v="0"/>
    <n v="0"/>
    <n v="0"/>
    <n v="0"/>
    <n v="0"/>
  </r>
  <r>
    <x v="9"/>
    <x v="9"/>
    <n v="4713261.5"/>
    <x v="0"/>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62.5"/>
    <x v="1"/>
    <n v="819"/>
    <n v="4828066.5000000028"/>
    <n v="0"/>
    <m/>
    <n v="0"/>
    <m/>
    <n v="0"/>
    <m/>
    <n v="0"/>
    <m/>
    <n v="0"/>
    <n v="5441061.9999999972"/>
    <n v="0"/>
    <n v="0"/>
    <m/>
    <n v="0"/>
    <m/>
    <n v="582"/>
    <m/>
    <n v="0"/>
    <n v="5970424.0000000009"/>
    <n v="0"/>
    <n v="0"/>
    <n v="819"/>
    <n v="0"/>
    <n v="582"/>
    <n v="819"/>
    <n v="2012"/>
    <m/>
    <s v=""/>
    <n v="582"/>
    <n v="2020"/>
    <s v=""/>
    <n v="582"/>
    <n v="582"/>
    <s v="Increasing"/>
    <n v="9.0847270748923847E-3"/>
    <n v="5.4673730437993617E-2"/>
    <n v="0"/>
    <n v="0"/>
    <n v="1.6963312332172713"/>
    <n v="0"/>
    <n v="0.9748051394674816"/>
    <n v="0.9748051394674816"/>
  </r>
  <r>
    <x v="9"/>
    <x v="9"/>
    <n v="4713263.5"/>
    <x v="2"/>
    <n v="4104"/>
    <n v="4828066.5000000028"/>
    <n v="0"/>
    <m/>
    <n v="0"/>
    <m/>
    <n v="0"/>
    <m/>
    <n v="2324"/>
    <m/>
    <n v="0"/>
    <n v="5441061.9999999972"/>
    <n v="0"/>
    <n v="374"/>
    <m/>
    <n v="0"/>
    <m/>
    <n v="0"/>
    <m/>
    <n v="0"/>
    <n v="5970424.0000000009"/>
    <n v="0"/>
    <n v="374"/>
    <n v="4104"/>
    <n v="2324"/>
    <n v="0"/>
    <n v="4104"/>
    <n v="2012"/>
    <n v="374"/>
    <s v="2018 (triag)"/>
    <n v="374"/>
    <s v="2018 (triag)"/>
    <s v=""/>
    <n v="374"/>
    <n v="374"/>
    <s v="No change"/>
    <n v="9.0847270748923847E-3"/>
    <n v="5.4673730437993617E-2"/>
    <n v="357.39162239727767"/>
    <n v="440.6614919417695"/>
    <n v="8.5002971686491833"/>
    <n v="0.68736581204184066"/>
    <n v="0.62642117209766002"/>
    <n v="0.62642117209766002"/>
  </r>
  <r>
    <x v="9"/>
    <x v="9"/>
    <n v="4713264.5"/>
    <x v="3"/>
    <n v="0"/>
    <n v="4828066.5000000028"/>
    <n v="0"/>
    <m/>
    <n v="0"/>
    <m/>
    <n v="0"/>
    <m/>
    <n v="565"/>
    <m/>
    <n v="0"/>
    <n v="5441061.9999999972"/>
    <n v="0"/>
    <n v="850"/>
    <m/>
    <n v="0"/>
    <m/>
    <n v="0"/>
    <m/>
    <n v="0"/>
    <n v="5970424.0000000009"/>
    <n v="0"/>
    <n v="850"/>
    <n v="0"/>
    <n v="565"/>
    <n v="0"/>
    <m/>
    <s v=""/>
    <n v="850"/>
    <s v="2018 (triag)"/>
    <n v="850"/>
    <s v="2018 (triag)"/>
    <s v=""/>
    <n v="850"/>
    <n v="850"/>
    <s v="No change"/>
    <n v="9.0847270748923847E-3"/>
    <n v="5.4673730437993617E-2"/>
    <n v="812.25368726654017"/>
    <n v="1001.5033907767489"/>
    <n v="0"/>
    <n v="1.5621950273678198"/>
    <n v="1.4236844820401362"/>
    <n v="1.4236844820401362"/>
  </r>
  <r>
    <x v="9"/>
    <x v="9"/>
    <n v="4713265.5"/>
    <x v="4"/>
    <n v="0"/>
    <n v="4828066.5000000028"/>
    <n v="0"/>
    <m/>
    <n v="0"/>
    <m/>
    <n v="0"/>
    <m/>
    <n v="0"/>
    <m/>
    <n v="0"/>
    <n v="5441061.9999999972"/>
    <n v="0"/>
    <n v="790"/>
    <m/>
    <n v="0"/>
    <m/>
    <n v="0"/>
    <m/>
    <n v="0"/>
    <n v="5970424.0000000009"/>
    <n v="0"/>
    <n v="790"/>
    <n v="0"/>
    <n v="0"/>
    <n v="0"/>
    <m/>
    <s v=""/>
    <n v="790"/>
    <s v="2018 (triag)"/>
    <n v="790"/>
    <s v="2018 (triag)"/>
    <s v=""/>
    <n v="790"/>
    <n v="790"/>
    <s v="No change"/>
    <n v="9.0847270748923847E-3"/>
    <n v="5.4673730437993617E-2"/>
    <n v="754.91813287125501"/>
    <n v="930.80903378074311"/>
    <n v="0"/>
    <n v="1.4519224372006796"/>
    <n v="1.3231891068373032"/>
    <n v="1.3231891068373032"/>
  </r>
  <r>
    <x v="9"/>
    <x v="9"/>
    <n v="4713266.5"/>
    <x v="5"/>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67.5"/>
    <x v="6"/>
    <n v="0"/>
    <n v="4828066.5000000028"/>
    <n v="0"/>
    <m/>
    <n v="0"/>
    <m/>
    <n v="0"/>
    <m/>
    <n v="0"/>
    <m/>
    <n v="0"/>
    <n v="5441061.9999999972"/>
    <n v="320"/>
    <n v="320"/>
    <m/>
    <n v="0"/>
    <m/>
    <n v="0"/>
    <m/>
    <n v="0"/>
    <n v="5970424.0000000009"/>
    <n v="0"/>
    <n v="216"/>
    <n v="0"/>
    <n v="320"/>
    <n v="0"/>
    <m/>
    <s v=""/>
    <n v="320"/>
    <n v="2018"/>
    <n v="320"/>
    <n v="2018"/>
    <s v=""/>
    <n v="320"/>
    <n v="320"/>
    <s v="No change"/>
    <n v="9.0847270748923847E-3"/>
    <n v="5.4673730437993617E-2"/>
    <n v="206.40799582302668"/>
    <n v="254.4996851856209"/>
    <n v="0"/>
    <n v="0.58812048089141455"/>
    <n v="0.53597533441511014"/>
    <n v="0.53597533441511014"/>
  </r>
  <r>
    <x v="9"/>
    <x v="9"/>
    <n v="4713268.5"/>
    <x v="7"/>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69.5"/>
    <x v="8"/>
    <n v="0"/>
    <n v="4828066.5000000028"/>
    <n v="0"/>
    <m/>
    <n v="0"/>
    <m/>
    <n v="0"/>
    <m/>
    <n v="0"/>
    <m/>
    <n v="0"/>
    <n v="5441061.9999999972"/>
    <n v="0"/>
    <n v="97"/>
    <m/>
    <n v="0"/>
    <m/>
    <n v="0"/>
    <m/>
    <n v="0"/>
    <n v="5970424.0000000009"/>
    <n v="0"/>
    <n v="97"/>
    <n v="0"/>
    <n v="0"/>
    <n v="0"/>
    <m/>
    <s v=""/>
    <n v="97"/>
    <s v="2018 (triag)"/>
    <n v="97"/>
    <s v="2018 (triag)"/>
    <s v=""/>
    <n v="97"/>
    <n v="97"/>
    <s v="No change"/>
    <n v="9.0847270748923847E-3"/>
    <n v="5.4673730437993617E-2"/>
    <n v="92.692479605711057"/>
    <n v="114.28921047687605"/>
    <n v="0"/>
    <n v="0.17827402077021001"/>
    <n v="0.16246752324458025"/>
    <n v="0.16246752324458025"/>
  </r>
  <r>
    <x v="9"/>
    <x v="9"/>
    <n v="4713270.5"/>
    <x v="9"/>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71.5"/>
    <x v="10"/>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72.5"/>
    <x v="11"/>
    <n v="0"/>
    <n v="4828066.5000000028"/>
    <n v="0"/>
    <m/>
    <n v="0"/>
    <m/>
    <n v="0"/>
    <m/>
    <n v="0"/>
    <m/>
    <n v="0"/>
    <n v="5441061.9999999972"/>
    <n v="0"/>
    <n v="111"/>
    <m/>
    <n v="0"/>
    <m/>
    <n v="0"/>
    <m/>
    <n v="0"/>
    <n v="5970424.0000000009"/>
    <n v="0"/>
    <n v="111"/>
    <n v="0"/>
    <n v="0"/>
    <n v="0"/>
    <m/>
    <s v=""/>
    <n v="111"/>
    <s v="2018 (triag)"/>
    <n v="111"/>
    <s v="2018 (triag)"/>
    <s v=""/>
    <n v="111"/>
    <n v="111"/>
    <s v="No change"/>
    <n v="9.0847270748923847E-3"/>
    <n v="5.4673730437993617E-2"/>
    <n v="106.0707756312776"/>
    <n v="130.78456044261074"/>
    <n v="0"/>
    <n v="0.2040042918092094"/>
    <n v="0.18591644412524133"/>
    <n v="0.18591644412524133"/>
  </r>
  <r>
    <x v="9"/>
    <x v="9"/>
    <n v="4713273.5"/>
    <x v="12"/>
    <n v="0"/>
    <n v="4828066.5000000028"/>
    <n v="0"/>
    <m/>
    <n v="0"/>
    <m/>
    <n v="0"/>
    <m/>
    <n v="0"/>
    <m/>
    <n v="0"/>
    <n v="5441061.9999999972"/>
    <n v="0"/>
    <n v="445"/>
    <m/>
    <n v="0"/>
    <m/>
    <n v="0"/>
    <m/>
    <n v="0"/>
    <n v="5970424.0000000009"/>
    <n v="0"/>
    <n v="445"/>
    <n v="0"/>
    <n v="0"/>
    <n v="0"/>
    <m/>
    <s v=""/>
    <n v="445"/>
    <s v="2018 (triag)"/>
    <n v="445"/>
    <s v="2018 (triag)"/>
    <s v=""/>
    <n v="445"/>
    <n v="445"/>
    <s v="No change"/>
    <n v="9.0847270748923847E-3"/>
    <n v="5.4673730437993617E-2"/>
    <n v="425.23869509836516"/>
    <n v="524.31648105370971"/>
    <n v="0"/>
    <n v="0.81785504373962326"/>
    <n v="0.74534069942101255"/>
    <n v="0.74534069942101255"/>
  </r>
  <r>
    <x v="9"/>
    <x v="9"/>
    <n v="4713274.5"/>
    <x v="13"/>
    <n v="0"/>
    <n v="4828066.5000000028"/>
    <n v="0"/>
    <m/>
    <n v="0"/>
    <m/>
    <n v="0"/>
    <m/>
    <n v="0"/>
    <m/>
    <n v="0"/>
    <n v="5441061.9999999972"/>
    <n v="0"/>
    <n v="320"/>
    <m/>
    <n v="0"/>
    <m/>
    <n v="0"/>
    <m/>
    <n v="0"/>
    <n v="5970424.0000000009"/>
    <n v="777"/>
    <n v="320"/>
    <n v="0"/>
    <n v="0"/>
    <n v="777"/>
    <m/>
    <s v=""/>
    <n v="320"/>
    <s v="2018 (triag)"/>
    <n v="777"/>
    <n v="2022"/>
    <s v=""/>
    <n v="777"/>
    <n v="777"/>
    <s v="Increasing"/>
    <n v="9.0847270748923847E-3"/>
    <n v="5.4673730437993617E-2"/>
    <n v="305.78962344152103"/>
    <n v="377.03657064536429"/>
    <n v="0"/>
    <n v="0.58812048089141455"/>
    <n v="1.3014151088766892"/>
    <n v="1.3014151088766892"/>
  </r>
  <r>
    <x v="9"/>
    <x v="9"/>
    <n v="4713275.5"/>
    <x v="14"/>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76.5"/>
    <x v="15"/>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77.5"/>
    <x v="16"/>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78.5"/>
    <x v="17"/>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9"/>
    <x v="9"/>
    <n v="4713279.5"/>
    <x v="18"/>
    <n v="0"/>
    <n v="4828066.5000000028"/>
    <n v="0"/>
    <m/>
    <n v="0"/>
    <m/>
    <n v="0"/>
    <m/>
    <n v="0"/>
    <m/>
    <n v="0"/>
    <n v="5441061.9999999972"/>
    <n v="0"/>
    <n v="0"/>
    <m/>
    <n v="0"/>
    <m/>
    <n v="0"/>
    <m/>
    <n v="0"/>
    <n v="5970424.0000000009"/>
    <n v="0"/>
    <n v="0"/>
    <n v="0"/>
    <n v="0"/>
    <n v="0"/>
    <m/>
    <s v=""/>
    <m/>
    <s v=""/>
    <n v="0"/>
    <s v=""/>
    <s v=""/>
    <m/>
    <n v="0"/>
    <s v="No change"/>
    <n v="9.0847270748923847E-3"/>
    <n v="5.4673730437993617E-2"/>
    <n v="0"/>
    <n v="0"/>
    <n v="0"/>
    <n v="0"/>
    <n v="0"/>
    <n v="0"/>
  </r>
  <r>
    <x v="10"/>
    <x v="10"/>
    <n v="684557.5"/>
    <x v="0"/>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58.5"/>
    <x v="1"/>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59.5"/>
    <x v="2"/>
    <n v="0"/>
    <n v="699392.50000000035"/>
    <n v="755"/>
    <m/>
    <n v="0"/>
    <m/>
    <n v="0"/>
    <m/>
    <n v="0"/>
    <m/>
    <n v="0"/>
    <n v="776313.5000000007"/>
    <n v="0"/>
    <n v="389"/>
    <m/>
    <n v="0"/>
    <m/>
    <n v="0"/>
    <m/>
    <n v="0"/>
    <n v="836773.49999999977"/>
    <n v="0"/>
    <n v="389"/>
    <n v="755"/>
    <n v="0"/>
    <n v="0"/>
    <n v="755"/>
    <n v="2013"/>
    <n v="389"/>
    <s v="2018 (triag)"/>
    <n v="389"/>
    <s v="2018 (triag)"/>
    <s v=""/>
    <n v="389"/>
    <n v="389"/>
    <s v="No change"/>
    <n v="0.22761760688079957"/>
    <n v="5.4673730437993617E-2"/>
    <n v="124.64769390220683"/>
    <n v="458.33508119077095"/>
    <n v="10.795082875495513"/>
    <n v="5.0108622354242156"/>
    <n v="4.6488087875631834"/>
    <n v="4.6488087875631834"/>
  </r>
  <r>
    <x v="10"/>
    <x v="10"/>
    <n v="684560.5"/>
    <x v="3"/>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61.5"/>
    <x v="4"/>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62.5"/>
    <x v="5"/>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63.5"/>
    <x v="6"/>
    <n v="0"/>
    <n v="699392.50000000035"/>
    <n v="0"/>
    <m/>
    <n v="0"/>
    <m/>
    <n v="0"/>
    <m/>
    <n v="0"/>
    <m/>
    <n v="0"/>
    <n v="776313.5000000007"/>
    <n v="0"/>
    <n v="161"/>
    <m/>
    <n v="0"/>
    <m/>
    <n v="0"/>
    <m/>
    <n v="0"/>
    <n v="836773.49999999977"/>
    <n v="0"/>
    <n v="161"/>
    <n v="0"/>
    <n v="0"/>
    <n v="0"/>
    <m/>
    <s v=""/>
    <n v="161"/>
    <s v="2018 (triag)"/>
    <n v="161"/>
    <s v="2018 (triag)"/>
    <s v=""/>
    <n v="161"/>
    <n v="161"/>
    <s v="No change"/>
    <n v="0.22761760688079957"/>
    <n v="5.4673730437993617E-2"/>
    <n v="51.589405445386376"/>
    <n v="189.69652460594892"/>
    <n v="0"/>
    <n v="2.0739044213452407"/>
    <n v="1.9240571074490294"/>
    <n v="1.9240571074490294"/>
  </r>
  <r>
    <x v="10"/>
    <x v="10"/>
    <n v="684564.5"/>
    <x v="7"/>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65.5"/>
    <x v="8"/>
    <n v="0"/>
    <n v="699392.50000000035"/>
    <n v="0"/>
    <m/>
    <n v="0"/>
    <m/>
    <n v="0"/>
    <m/>
    <n v="0"/>
    <m/>
    <n v="0"/>
    <n v="776313.5000000007"/>
    <n v="0"/>
    <n v="498"/>
    <m/>
    <n v="0"/>
    <m/>
    <n v="25"/>
    <m/>
    <n v="0"/>
    <n v="836773.49999999977"/>
    <n v="0"/>
    <n v="498"/>
    <n v="0"/>
    <n v="0"/>
    <n v="25"/>
    <m/>
    <s v=""/>
    <n v="498"/>
    <s v="2018 (triag)"/>
    <n v="25"/>
    <n v="2020"/>
    <s v="Adjust"/>
    <n v="28.732466108010378"/>
    <n v="498"/>
    <s v="Decreasing"/>
    <n v="0.22761760688079957"/>
    <n v="5.4673730437993617E-2"/>
    <n v="159.57468268200256"/>
    <n v="586.76316306684816"/>
    <n v="0"/>
    <n v="6.4149341728567073"/>
    <n v="0.34337208465624669"/>
    <n v="5.9514313013019668"/>
  </r>
  <r>
    <x v="10"/>
    <x v="10"/>
    <n v="684566.5"/>
    <x v="9"/>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67.5"/>
    <x v="10"/>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68.5"/>
    <x v="11"/>
    <n v="0"/>
    <n v="699392.50000000035"/>
    <n v="0"/>
    <m/>
    <n v="0"/>
    <m/>
    <n v="0"/>
    <m/>
    <n v="0"/>
    <m/>
    <n v="0"/>
    <n v="776313.5000000007"/>
    <n v="0"/>
    <n v="44"/>
    <m/>
    <n v="0"/>
    <m/>
    <n v="0"/>
    <m/>
    <n v="0"/>
    <n v="836773.49999999977"/>
    <n v="0"/>
    <n v="44"/>
    <n v="0"/>
    <n v="0"/>
    <n v="0"/>
    <m/>
    <s v=""/>
    <n v="44"/>
    <s v="2018 (triag)"/>
    <n v="44"/>
    <s v="2018 (triag)"/>
    <s v=""/>
    <n v="44"/>
    <n v="44"/>
    <s v="No change"/>
    <n v="0.22761760688079957"/>
    <n v="5.4673730437993617E-2"/>
    <n v="14.098967947807456"/>
    <n v="51.842528463737594"/>
    <n v="0"/>
    <n v="0.56678133254155649"/>
    <n v="0.52582927160097703"/>
    <n v="0.52582927160097703"/>
  </r>
  <r>
    <x v="10"/>
    <x v="10"/>
    <n v="684569.5"/>
    <x v="12"/>
    <n v="0"/>
    <n v="699392.50000000035"/>
    <n v="0"/>
    <m/>
    <n v="0"/>
    <m/>
    <n v="0"/>
    <m/>
    <n v="0"/>
    <m/>
    <n v="0"/>
    <n v="776313.5000000007"/>
    <n v="0"/>
    <n v="115"/>
    <m/>
    <n v="0"/>
    <m/>
    <n v="0"/>
    <m/>
    <n v="0"/>
    <n v="836773.49999999977"/>
    <n v="0"/>
    <n v="115"/>
    <n v="0"/>
    <n v="0"/>
    <n v="0"/>
    <m/>
    <s v=""/>
    <n v="115"/>
    <s v="2018 (triag)"/>
    <n v="115"/>
    <s v="2018 (triag)"/>
    <s v=""/>
    <n v="115"/>
    <n v="115"/>
    <s v="No change"/>
    <n v="0.22761760688079957"/>
    <n v="5.4673730437993617E-2"/>
    <n v="36.849575318133127"/>
    <n v="135.49751757567779"/>
    <n v="0"/>
    <n v="1.4813603009608862"/>
    <n v="1.3743265053207354"/>
    <n v="1.3743265053207354"/>
  </r>
  <r>
    <x v="10"/>
    <x v="10"/>
    <n v="684570.5"/>
    <x v="13"/>
    <n v="86"/>
    <n v="699392.50000000035"/>
    <n v="0"/>
    <m/>
    <n v="0"/>
    <m/>
    <n v="0"/>
    <m/>
    <n v="0"/>
    <m/>
    <n v="0"/>
    <n v="776313.5000000007"/>
    <n v="8"/>
    <n v="8"/>
    <m/>
    <n v="0"/>
    <m/>
    <n v="16"/>
    <m/>
    <n v="0"/>
    <n v="836773.49999999977"/>
    <n v="0"/>
    <n v="8"/>
    <n v="86"/>
    <n v="8"/>
    <n v="16"/>
    <n v="86"/>
    <n v="2012"/>
    <n v="8"/>
    <n v="2018"/>
    <n v="16"/>
    <n v="2020"/>
    <s v=""/>
    <n v="16"/>
    <n v="16"/>
    <s v="Increasing"/>
    <n v="0.22761760688079957"/>
    <n v="5.4673730437993617E-2"/>
    <n v="2.563448717783174"/>
    <n v="9.4259142661341073"/>
    <n v="1.2296385791955156"/>
    <n v="0.10305115137119208"/>
    <n v="0.19121064421853709"/>
    <n v="0.19121064421853709"/>
  </r>
  <r>
    <x v="10"/>
    <x v="10"/>
    <n v="684571.5"/>
    <x v="14"/>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72.5"/>
    <x v="15"/>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73.5"/>
    <x v="16"/>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74.5"/>
    <x v="17"/>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0"/>
    <x v="10"/>
    <n v="684575.5"/>
    <x v="18"/>
    <n v="0"/>
    <n v="699392.50000000035"/>
    <n v="0"/>
    <m/>
    <n v="0"/>
    <m/>
    <n v="0"/>
    <m/>
    <n v="0"/>
    <m/>
    <n v="0"/>
    <n v="776313.5000000007"/>
    <n v="0"/>
    <n v="0"/>
    <m/>
    <n v="0"/>
    <m/>
    <n v="0"/>
    <m/>
    <n v="0"/>
    <n v="836773.49999999977"/>
    <n v="0"/>
    <n v="0"/>
    <n v="0"/>
    <n v="0"/>
    <n v="0"/>
    <m/>
    <s v=""/>
    <m/>
    <s v=""/>
    <n v="0"/>
    <s v=""/>
    <s v=""/>
    <m/>
    <n v="0"/>
    <s v="No change"/>
    <n v="0.22761760688079957"/>
    <n v="5.4673730437993617E-2"/>
    <n v="0"/>
    <n v="0"/>
    <n v="0"/>
    <n v="0"/>
    <n v="0"/>
    <n v="0"/>
  </r>
  <r>
    <x v="11"/>
    <x v="11"/>
    <n v="533869"/>
    <x v="0"/>
    <n v="0"/>
    <n v="539939.99999999988"/>
    <n v="0"/>
    <m/>
    <n v="0"/>
    <m/>
    <n v="0"/>
    <m/>
    <n v="0"/>
    <m/>
    <n v="0"/>
    <n v="571201.5"/>
    <n v="117"/>
    <n v="117"/>
    <m/>
    <n v="0"/>
    <m/>
    <n v="0"/>
    <m/>
    <n v="0"/>
    <n v="593149.50000000012"/>
    <n v="155"/>
    <n v="117"/>
    <n v="0"/>
    <n v="117"/>
    <n v="155"/>
    <m/>
    <s v=""/>
    <n v="117"/>
    <n v="2018"/>
    <n v="155"/>
    <n v="2022"/>
    <s v=""/>
    <n v="155"/>
    <n v="155"/>
    <s v="Increasing"/>
    <n v="0.12998282689096063"/>
    <n v="5.4673730437993617E-2"/>
    <n v="61.084600718404062"/>
    <n v="137.85399614221132"/>
    <n v="0"/>
    <n v="2.0483139487553865"/>
    <n v="2.613169192589726"/>
    <n v="2.613169192589726"/>
  </r>
  <r>
    <x v="11"/>
    <x v="11"/>
    <n v="533870"/>
    <x v="1"/>
    <n v="130"/>
    <n v="539939.99999999988"/>
    <n v="3781"/>
    <m/>
    <n v="168"/>
    <m/>
    <n v="0"/>
    <m/>
    <n v="0"/>
    <m/>
    <n v="0"/>
    <n v="571201.5"/>
    <n v="0"/>
    <n v="18"/>
    <m/>
    <n v="0"/>
    <m/>
    <n v="0"/>
    <m/>
    <n v="6"/>
    <n v="593149.50000000012"/>
    <n v="0"/>
    <n v="18"/>
    <n v="3781"/>
    <n v="0"/>
    <n v="6"/>
    <n v="3781"/>
    <n v="2013"/>
    <n v="18"/>
    <s v="2018 (triag)"/>
    <n v="6"/>
    <n v="2021"/>
    <s v="Adjust"/>
    <n v="7.4605597964376598"/>
    <n v="18"/>
    <s v="Decreasing"/>
    <n v="0.12998282689096063"/>
    <n v="5.4673730437993617E-2"/>
    <n v="9.3976308797544696"/>
    <n v="21.20830709880174"/>
    <n v="70.026299218431689"/>
    <n v="0.31512522288544409"/>
    <n v="0.12577874206144757"/>
    <n v="0.30346480946203269"/>
  </r>
  <r>
    <x v="11"/>
    <x v="11"/>
    <n v="533871"/>
    <x v="2"/>
    <n v="121"/>
    <n v="539939.99999999988"/>
    <n v="3881"/>
    <m/>
    <n v="8"/>
    <m/>
    <n v="0"/>
    <m/>
    <n v="0"/>
    <m/>
    <n v="0"/>
    <n v="571201.5"/>
    <n v="3207"/>
    <n v="3207"/>
    <m/>
    <n v="0"/>
    <m/>
    <n v="0"/>
    <m/>
    <n v="353"/>
    <n v="593149.50000000012"/>
    <n v="0"/>
    <n v="1"/>
    <n v="3881"/>
    <n v="3207"/>
    <n v="353"/>
    <n v="3881"/>
    <n v="2013"/>
    <n v="3207"/>
    <n v="2018"/>
    <n v="353"/>
    <n v="2021"/>
    <s v="Adjust"/>
    <n v="438.92960135708233"/>
    <n v="3207"/>
    <s v="Decreasing"/>
    <n v="0.12998282689096063"/>
    <n v="5.4673730437993617E-2"/>
    <n v="0.52209060443080391"/>
    <n v="1.1782392832667634"/>
    <n v="71.878356854465324"/>
    <n v="56.144810544089957"/>
    <n v="7.399982657948498"/>
    <n v="54.067313552485494"/>
  </r>
  <r>
    <x v="11"/>
    <x v="11"/>
    <n v="533872"/>
    <x v="3"/>
    <n v="0"/>
    <n v="539939.99999999988"/>
    <n v="0"/>
    <m/>
    <n v="0"/>
    <m/>
    <n v="0"/>
    <m/>
    <n v="0"/>
    <m/>
    <n v="0"/>
    <n v="571201.5"/>
    <n v="0"/>
    <n v="149"/>
    <m/>
    <n v="0"/>
    <m/>
    <n v="0"/>
    <m/>
    <n v="0"/>
    <n v="593149.50000000012"/>
    <n v="0"/>
    <n v="149"/>
    <n v="0"/>
    <n v="0"/>
    <n v="0"/>
    <m/>
    <s v=""/>
    <n v="149"/>
    <s v="2018 (triag)"/>
    <n v="149"/>
    <s v="2018 (triag)"/>
    <s v=""/>
    <n v="149"/>
    <n v="149"/>
    <s v="No change"/>
    <n v="0.12998282689096063"/>
    <n v="5.4673730437993617E-2"/>
    <n v="77.79150006018979"/>
    <n v="175.55765320674774"/>
    <n v="0"/>
    <n v="2.6085365672183984"/>
    <n v="2.5120142561023817"/>
    <n v="2.5120142561023817"/>
  </r>
  <r>
    <x v="11"/>
    <x v="11"/>
    <n v="533873"/>
    <x v="4"/>
    <n v="0"/>
    <n v="539939.99999999988"/>
    <n v="0"/>
    <m/>
    <n v="0"/>
    <m/>
    <n v="0"/>
    <m/>
    <n v="0"/>
    <m/>
    <n v="0"/>
    <n v="571201.5"/>
    <n v="0"/>
    <n v="61"/>
    <m/>
    <n v="0"/>
    <m/>
    <n v="0"/>
    <m/>
    <n v="0"/>
    <n v="593149.50000000012"/>
    <n v="0"/>
    <n v="61"/>
    <n v="0"/>
    <n v="0"/>
    <n v="0"/>
    <m/>
    <s v=""/>
    <n v="61"/>
    <s v="2018 (triag)"/>
    <n v="61"/>
    <s v="2018 (triag)"/>
    <s v=""/>
    <n v="61"/>
    <n v="61"/>
    <s v="No change"/>
    <n v="0.12998282689096063"/>
    <n v="5.4673730437993617E-2"/>
    <n v="31.84752687027904"/>
    <n v="71.872596279272571"/>
    <n v="0"/>
    <n v="1.0679243664451161"/>
    <n v="1.0284085209546663"/>
    <n v="1.0284085209546663"/>
  </r>
  <r>
    <x v="11"/>
    <x v="11"/>
    <n v="533874"/>
    <x v="5"/>
    <n v="0"/>
    <n v="539939.99999999988"/>
    <n v="0"/>
    <m/>
    <n v="0"/>
    <m/>
    <n v="0"/>
    <m/>
    <n v="0"/>
    <m/>
    <n v="0"/>
    <n v="571201.5"/>
    <n v="0"/>
    <n v="20"/>
    <m/>
    <n v="20"/>
    <m/>
    <n v="0"/>
    <m/>
    <n v="0"/>
    <n v="593149.50000000012"/>
    <n v="0"/>
    <n v="20"/>
    <n v="0"/>
    <n v="20"/>
    <n v="0"/>
    <m/>
    <s v=""/>
    <n v="20"/>
    <s v="2018 (triag)"/>
    <n v="20"/>
    <s v="2018 (triag)"/>
    <s v=""/>
    <n v="20"/>
    <n v="20"/>
    <s v="No change"/>
    <n v="0.12998282689096063"/>
    <n v="5.4673730437993617E-2"/>
    <n v="10.441812088616079"/>
    <n v="23.564785665335268"/>
    <n v="0"/>
    <n v="0.35013913653938233"/>
    <n v="0.33718312162448077"/>
    <n v="0.33718312162448077"/>
  </r>
  <r>
    <x v="11"/>
    <x v="11"/>
    <n v="533875"/>
    <x v="6"/>
    <n v="0"/>
    <n v="539939.99999999988"/>
    <n v="0"/>
    <m/>
    <n v="0"/>
    <m/>
    <n v="0"/>
    <m/>
    <n v="0"/>
    <m/>
    <n v="0"/>
    <n v="571201.5"/>
    <n v="65"/>
    <n v="65"/>
    <m/>
    <n v="0"/>
    <m/>
    <n v="0"/>
    <m/>
    <n v="0"/>
    <n v="593149.50000000012"/>
    <n v="0"/>
    <n v="11"/>
    <n v="0"/>
    <n v="65"/>
    <n v="0"/>
    <m/>
    <s v=""/>
    <n v="65"/>
    <n v="2018"/>
    <n v="65"/>
    <n v="2018"/>
    <s v=""/>
    <n v="65"/>
    <n v="65"/>
    <s v="No change"/>
    <n v="0.12998282689096063"/>
    <n v="5.4673730437993617E-2"/>
    <n v="5.7429966487388429"/>
    <n v="12.960632115934398"/>
    <n v="0"/>
    <n v="1.1379521937529926"/>
    <n v="1.0958451452795626"/>
    <n v="1.0958451452795626"/>
  </r>
  <r>
    <x v="11"/>
    <x v="11"/>
    <n v="533876"/>
    <x v="7"/>
    <n v="0"/>
    <n v="539939.99999999988"/>
    <n v="0"/>
    <m/>
    <n v="0"/>
    <m/>
    <n v="0"/>
    <m/>
    <n v="0"/>
    <m/>
    <n v="0"/>
    <n v="571201.5"/>
    <n v="0"/>
    <n v="3"/>
    <m/>
    <n v="0"/>
    <m/>
    <n v="0"/>
    <m/>
    <n v="0"/>
    <n v="593149.50000000012"/>
    <n v="0"/>
    <n v="3"/>
    <n v="0"/>
    <n v="0"/>
    <n v="0"/>
    <m/>
    <s v=""/>
    <n v="3"/>
    <s v="2018 (triag)"/>
    <n v="3"/>
    <s v="2018 (triag)"/>
    <s v=""/>
    <n v="3"/>
    <n v="3"/>
    <s v="No change"/>
    <n v="0.12998282689096063"/>
    <n v="5.4673730437993617E-2"/>
    <n v="1.5662718132924118"/>
    <n v="3.5347178498002902"/>
    <n v="0"/>
    <n v="5.2520870480907353E-2"/>
    <n v="5.0577468243672118E-2"/>
    <n v="5.0577468243672118E-2"/>
  </r>
  <r>
    <x v="11"/>
    <x v="11"/>
    <n v="533877"/>
    <x v="8"/>
    <n v="0"/>
    <n v="539939.99999999988"/>
    <n v="0"/>
    <m/>
    <n v="0"/>
    <m/>
    <n v="0"/>
    <m/>
    <n v="0"/>
    <m/>
    <n v="0"/>
    <n v="571201.5"/>
    <n v="0"/>
    <n v="27"/>
    <m/>
    <n v="0"/>
    <m/>
    <n v="0"/>
    <m/>
    <n v="0"/>
    <n v="593149.50000000012"/>
    <n v="0"/>
    <n v="27"/>
    <n v="0"/>
    <n v="0"/>
    <n v="0"/>
    <m/>
    <s v=""/>
    <n v="27"/>
    <s v="2018 (triag)"/>
    <n v="27"/>
    <s v="2018 (triag)"/>
    <s v=""/>
    <n v="27"/>
    <n v="27"/>
    <s v="No change"/>
    <n v="0.12998282689096063"/>
    <n v="5.4673730437993617E-2"/>
    <n v="14.096446319631706"/>
    <n v="31.812460648202613"/>
    <n v="0"/>
    <n v="0.47268783432816613"/>
    <n v="0.45519721419304904"/>
    <n v="0.45519721419304904"/>
  </r>
  <r>
    <x v="11"/>
    <x v="11"/>
    <n v="533878"/>
    <x v="9"/>
    <n v="0"/>
    <n v="539939.99999999988"/>
    <n v="0"/>
    <m/>
    <n v="0"/>
    <m/>
    <n v="0"/>
    <m/>
    <n v="0"/>
    <m/>
    <n v="0"/>
    <n v="571201.5"/>
    <n v="0"/>
    <n v="14"/>
    <m/>
    <n v="0"/>
    <m/>
    <n v="0"/>
    <m/>
    <n v="0"/>
    <n v="593149.50000000012"/>
    <n v="0"/>
    <n v="14"/>
    <n v="0"/>
    <n v="0"/>
    <n v="0"/>
    <m/>
    <s v=""/>
    <n v="14"/>
    <s v="2018 (triag)"/>
    <n v="14"/>
    <s v="2018 (triag)"/>
    <s v=""/>
    <n v="14"/>
    <n v="14"/>
    <s v="No change"/>
    <n v="0.12998282689096063"/>
    <n v="5.4673730437993617E-2"/>
    <n v="7.3092684620312545"/>
    <n v="16.49534996573469"/>
    <n v="0"/>
    <n v="0.24509739557756763"/>
    <n v="0.23602818513713655"/>
    <n v="0.23602818513713655"/>
  </r>
  <r>
    <x v="11"/>
    <x v="11"/>
    <n v="533879"/>
    <x v="10"/>
    <n v="0"/>
    <n v="539939.99999999988"/>
    <n v="0"/>
    <m/>
    <n v="0"/>
    <m/>
    <n v="0"/>
    <m/>
    <n v="0"/>
    <m/>
    <n v="0"/>
    <n v="571201.5"/>
    <n v="0"/>
    <n v="40"/>
    <m/>
    <n v="0"/>
    <m/>
    <n v="0"/>
    <m/>
    <n v="0"/>
    <n v="593149.50000000012"/>
    <n v="4"/>
    <n v="40"/>
    <n v="0"/>
    <n v="0"/>
    <n v="4"/>
    <m/>
    <s v=""/>
    <n v="40"/>
    <s v="2018 (triag)"/>
    <n v="4"/>
    <n v="2022"/>
    <s v="Adjust"/>
    <n v="4.9737065309584398"/>
    <n v="40"/>
    <s v="Decreasing"/>
    <n v="0.12998282689096063"/>
    <n v="5.4673730437993617E-2"/>
    <n v="20.883624177232157"/>
    <n v="47.129571330670537"/>
    <n v="0"/>
    <n v="0.70027827307876467"/>
    <n v="8.3852494707631689E-2"/>
    <n v="0.67436624324896155"/>
  </r>
  <r>
    <x v="11"/>
    <x v="11"/>
    <n v="533880"/>
    <x v="11"/>
    <n v="0"/>
    <n v="539939.99999999988"/>
    <n v="0"/>
    <m/>
    <n v="0"/>
    <m/>
    <n v="0"/>
    <m/>
    <n v="0"/>
    <m/>
    <n v="0"/>
    <n v="571201.5"/>
    <n v="0"/>
    <n v="1357"/>
    <m/>
    <n v="0"/>
    <m/>
    <n v="0"/>
    <m/>
    <n v="0"/>
    <n v="593149.50000000012"/>
    <n v="0"/>
    <n v="1357"/>
    <n v="0"/>
    <n v="0"/>
    <n v="0"/>
    <m/>
    <s v=""/>
    <n v="1357"/>
    <s v="2018 (triag)"/>
    <n v="1357"/>
    <s v="2018 (triag)"/>
    <s v=""/>
    <n v="1357"/>
    <n v="1357"/>
    <s v="No change"/>
    <n v="0.12998282689096063"/>
    <n v="5.4673730437993617E-2"/>
    <n v="708.47695021260097"/>
    <n v="1598.8707073929979"/>
    <n v="0"/>
    <n v="23.756940414197093"/>
    <n v="22.877874802221022"/>
    <n v="22.877874802221022"/>
  </r>
  <r>
    <x v="11"/>
    <x v="11"/>
    <n v="533881"/>
    <x v="12"/>
    <n v="0"/>
    <n v="539939.99999999988"/>
    <n v="0"/>
    <m/>
    <n v="0"/>
    <m/>
    <n v="0"/>
    <m/>
    <n v="0"/>
    <m/>
    <n v="0"/>
    <n v="571201.5"/>
    <n v="0"/>
    <n v="95"/>
    <m/>
    <n v="0"/>
    <m/>
    <n v="0"/>
    <m/>
    <n v="0"/>
    <n v="593149.50000000012"/>
    <n v="0"/>
    <n v="95"/>
    <n v="0"/>
    <n v="0"/>
    <n v="0"/>
    <m/>
    <s v=""/>
    <n v="95"/>
    <s v="2018 (triag)"/>
    <n v="95"/>
    <s v="2018 (triag)"/>
    <s v=""/>
    <n v="95"/>
    <n v="95"/>
    <s v="No change"/>
    <n v="0.12998282689096063"/>
    <n v="5.4673730437993617E-2"/>
    <n v="49.598607420926371"/>
    <n v="111.93273191034253"/>
    <n v="0"/>
    <n v="1.6631608985620661"/>
    <n v="1.6016198277162836"/>
    <n v="1.6016198277162836"/>
  </r>
  <r>
    <x v="11"/>
    <x v="11"/>
    <n v="533882"/>
    <x v="13"/>
    <n v="0"/>
    <n v="539939.99999999988"/>
    <n v="0"/>
    <m/>
    <n v="0"/>
    <m/>
    <n v="0"/>
    <m/>
    <n v="0"/>
    <m/>
    <n v="0"/>
    <n v="571201.5"/>
    <n v="0"/>
    <n v="65"/>
    <m/>
    <n v="0"/>
    <m/>
    <n v="0"/>
    <m/>
    <n v="0"/>
    <n v="593149.50000000012"/>
    <n v="0"/>
    <n v="65"/>
    <n v="0"/>
    <n v="0"/>
    <n v="0"/>
    <m/>
    <s v=""/>
    <n v="65"/>
    <s v="2018 (triag)"/>
    <n v="65"/>
    <s v="2018 (triag)"/>
    <s v=""/>
    <n v="65"/>
    <n v="65"/>
    <s v="No change"/>
    <n v="0.12998282689096063"/>
    <n v="5.4673730437993617E-2"/>
    <n v="33.935889288002258"/>
    <n v="76.585553412339621"/>
    <n v="0"/>
    <n v="1.1379521937529926"/>
    <n v="1.0958451452795626"/>
    <n v="1.0958451452795626"/>
  </r>
  <r>
    <x v="11"/>
    <x v="11"/>
    <n v="533883"/>
    <x v="14"/>
    <n v="0"/>
    <n v="539939.99999999988"/>
    <n v="0"/>
    <m/>
    <n v="0"/>
    <m/>
    <n v="0"/>
    <m/>
    <n v="0"/>
    <m/>
    <n v="0"/>
    <n v="571201.5"/>
    <n v="0"/>
    <n v="0"/>
    <m/>
    <n v="0"/>
    <m/>
    <n v="0"/>
    <m/>
    <n v="0"/>
    <n v="593149.50000000012"/>
    <n v="0"/>
    <n v="0"/>
    <n v="0"/>
    <n v="0"/>
    <n v="0"/>
    <m/>
    <s v=""/>
    <m/>
    <s v=""/>
    <n v="0"/>
    <s v=""/>
    <s v=""/>
    <m/>
    <n v="0"/>
    <s v="No change"/>
    <n v="0.12998282689096063"/>
    <n v="5.4673730437993617E-2"/>
    <n v="0"/>
    <n v="0"/>
    <n v="0"/>
    <n v="0"/>
    <n v="0"/>
    <n v="0"/>
  </r>
  <r>
    <x v="11"/>
    <x v="11"/>
    <n v="533884"/>
    <x v="15"/>
    <n v="0"/>
    <n v="539939.99999999988"/>
    <n v="0"/>
    <m/>
    <n v="0"/>
    <m/>
    <n v="0"/>
    <m/>
    <n v="0"/>
    <m/>
    <n v="0"/>
    <n v="571201.5"/>
    <n v="0"/>
    <n v="58"/>
    <m/>
    <n v="0"/>
    <m/>
    <n v="0"/>
    <m/>
    <n v="0"/>
    <n v="593149.50000000012"/>
    <n v="10"/>
    <n v="58"/>
    <n v="0"/>
    <n v="0"/>
    <n v="10"/>
    <m/>
    <s v=""/>
    <n v="58"/>
    <s v="2018 (triag)"/>
    <n v="10"/>
    <n v="2022"/>
    <s v="Adjust"/>
    <n v="12.434266327396099"/>
    <n v="58"/>
    <s v="Decreasing"/>
    <n v="0.12998282689096063"/>
    <n v="5.4673730437993617E-2"/>
    <n v="30.281255056986627"/>
    <n v="68.337878429472283"/>
    <n v="0"/>
    <n v="1.0154034959642089"/>
    <n v="0.20963123676907924"/>
    <n v="0.97783105271099424"/>
  </r>
  <r>
    <x v="11"/>
    <x v="11"/>
    <n v="533885"/>
    <x v="16"/>
    <n v="0"/>
    <n v="539939.99999999988"/>
    <n v="0"/>
    <m/>
    <n v="0"/>
    <m/>
    <n v="0"/>
    <m/>
    <n v="0"/>
    <m/>
    <n v="0"/>
    <n v="571201.5"/>
    <n v="0"/>
    <n v="0"/>
    <m/>
    <n v="0"/>
    <m/>
    <n v="0"/>
    <m/>
    <n v="0"/>
    <n v="593149.50000000012"/>
    <n v="0"/>
    <n v="0"/>
    <n v="0"/>
    <n v="0"/>
    <n v="0"/>
    <m/>
    <s v=""/>
    <m/>
    <s v=""/>
    <n v="0"/>
    <s v=""/>
    <s v=""/>
    <m/>
    <n v="0"/>
    <s v="No change"/>
    <n v="0.12998282689096063"/>
    <n v="5.4673730437993617E-2"/>
    <n v="0"/>
    <n v="0"/>
    <n v="0"/>
    <n v="0"/>
    <n v="0"/>
    <n v="0"/>
  </r>
  <r>
    <x v="11"/>
    <x v="11"/>
    <n v="533886"/>
    <x v="17"/>
    <n v="0"/>
    <n v="539939.99999999988"/>
    <n v="0"/>
    <m/>
    <n v="0"/>
    <m/>
    <n v="0"/>
    <m/>
    <n v="0"/>
    <m/>
    <n v="0"/>
    <n v="571201.5"/>
    <n v="0"/>
    <n v="0"/>
    <m/>
    <n v="0"/>
    <m/>
    <n v="0"/>
    <m/>
    <n v="0"/>
    <n v="593149.50000000012"/>
    <n v="0"/>
    <n v="0"/>
    <n v="0"/>
    <n v="0"/>
    <n v="0"/>
    <m/>
    <s v=""/>
    <m/>
    <s v=""/>
    <n v="0"/>
    <s v=""/>
    <s v=""/>
    <m/>
    <n v="0"/>
    <s v="No change"/>
    <n v="0.12998282689096063"/>
    <n v="5.4673730437993617E-2"/>
    <n v="0"/>
    <n v="0"/>
    <n v="0"/>
    <n v="0"/>
    <n v="0"/>
    <n v="0"/>
  </r>
  <r>
    <x v="11"/>
    <x v="11"/>
    <n v="533887"/>
    <x v="18"/>
    <n v="0"/>
    <n v="539939.99999999988"/>
    <n v="0"/>
    <m/>
    <n v="0"/>
    <m/>
    <n v="0"/>
    <m/>
    <n v="0"/>
    <m/>
    <n v="0"/>
    <n v="571201.5"/>
    <n v="0"/>
    <n v="1"/>
    <m/>
    <n v="0"/>
    <m/>
    <n v="0"/>
    <m/>
    <n v="0"/>
    <n v="593149.50000000012"/>
    <n v="0"/>
    <n v="1"/>
    <n v="0"/>
    <n v="0"/>
    <n v="0"/>
    <m/>
    <s v=""/>
    <n v="1"/>
    <s v="2018 (triag)"/>
    <n v="1"/>
    <s v="2018 (triag)"/>
    <s v=""/>
    <n v="1"/>
    <n v="1"/>
    <s v="No change"/>
    <n v="0.12998282689096063"/>
    <n v="5.4673730437993617E-2"/>
    <n v="0.52209060443080391"/>
    <n v="1.1782392832667634"/>
    <n v="0"/>
    <n v="1.7506956826969115E-2"/>
    <n v="1.6859156081224038E-2"/>
    <n v="1.6859156081224038E-2"/>
  </r>
  <r>
    <x v="12"/>
    <x v="12"/>
    <n v="37260567.5"/>
    <x v="0"/>
    <n v="0"/>
    <n v="38000626.500000022"/>
    <n v="0"/>
    <m/>
    <n v="0"/>
    <m/>
    <n v="0"/>
    <m/>
    <n v="0"/>
    <m/>
    <n v="0"/>
    <n v="41927007.000000007"/>
    <n v="0"/>
    <n v="0"/>
    <m/>
    <n v="0"/>
    <m/>
    <n v="0"/>
    <m/>
    <n v="0"/>
    <n v="44903225.000000007"/>
    <n v="0"/>
    <n v="0"/>
    <n v="0"/>
    <n v="0"/>
    <n v="0"/>
    <m/>
    <s v=""/>
    <m/>
    <s v=""/>
    <n v="0"/>
    <s v=""/>
    <s v=""/>
    <m/>
    <n v="0"/>
    <s v="No change"/>
    <n v="-5.6467842638671772E-2"/>
    <n v="0.17775588866414749"/>
    <n v="0"/>
    <n v="0"/>
    <n v="0"/>
    <n v="0"/>
    <n v="0"/>
    <n v="0"/>
  </r>
  <r>
    <x v="12"/>
    <x v="12"/>
    <n v="37260568.5"/>
    <x v="1"/>
    <n v="20"/>
    <n v="38000626.500000022"/>
    <n v="1"/>
    <m/>
    <n v="0"/>
    <m/>
    <n v="0"/>
    <m/>
    <n v="0"/>
    <m/>
    <n v="0"/>
    <n v="41927007.000000007"/>
    <n v="0"/>
    <n v="381"/>
    <m/>
    <n v="7"/>
    <m/>
    <n v="0"/>
    <m/>
    <n v="0"/>
    <n v="44903225.000000007"/>
    <n v="0"/>
    <n v="381"/>
    <n v="20"/>
    <n v="7"/>
    <n v="0"/>
    <n v="1"/>
    <n v="2013"/>
    <n v="381"/>
    <s v="2018 (triag)"/>
    <n v="7"/>
    <s v="2018 (triag)"/>
    <s v="Adjust"/>
    <n v="7.9790405895099754"/>
    <n v="381"/>
    <s v="Decreasing"/>
    <n v="-5.6467842638671772E-2"/>
    <n v="0.17775588866414749"/>
    <n v="505.29306532160189"/>
    <n v="649.41180714122345"/>
    <n v="2.6315355616571203E-4"/>
    <n v="9.0872215133314893E-2"/>
    <n v="1.7769415425083553E-3"/>
    <n v="8.4849139454905506E-2"/>
  </r>
  <r>
    <x v="12"/>
    <x v="12"/>
    <n v="37260569.5"/>
    <x v="2"/>
    <n v="199"/>
    <n v="38000626.500000022"/>
    <n v="0"/>
    <m/>
    <n v="0"/>
    <m/>
    <n v="0"/>
    <m/>
    <n v="304"/>
    <m/>
    <n v="0"/>
    <n v="41927007.000000007"/>
    <n v="0"/>
    <n v="1249"/>
    <m/>
    <n v="20"/>
    <m/>
    <n v="0"/>
    <m/>
    <n v="0"/>
    <n v="44903225.000000007"/>
    <n v="0"/>
    <n v="1249"/>
    <n v="199"/>
    <n v="304"/>
    <n v="0"/>
    <n v="199"/>
    <n v="2012"/>
    <n v="1249"/>
    <s v="2018 (triag)"/>
    <n v="20"/>
    <s v="2018 (triag)"/>
    <s v="Adjust"/>
    <n v="22.797258827171358"/>
    <n v="1249"/>
    <s v="Decreasing"/>
    <n v="-5.6467842638671772E-2"/>
    <n v="0.17775588866414749"/>
    <n v="1656.4594188626791"/>
    <n v="2128.9116722293652"/>
    <n v="5.2367557676976692E-2"/>
    <n v="0.29789867900658873"/>
    <n v="5.0769758357381576E-3"/>
    <n v="0.2781537406277611"/>
  </r>
  <r>
    <x v="12"/>
    <x v="12"/>
    <n v="37260570.5"/>
    <x v="3"/>
    <n v="0"/>
    <n v="38000626.500000022"/>
    <n v="0"/>
    <m/>
    <n v="0"/>
    <m/>
    <n v="0"/>
    <m/>
    <n v="0"/>
    <m/>
    <n v="0"/>
    <n v="41927007.000000007"/>
    <n v="42507"/>
    <n v="42507"/>
    <m/>
    <n v="0"/>
    <m/>
    <n v="0"/>
    <m/>
    <n v="0"/>
    <n v="44903225.000000007"/>
    <n v="0"/>
    <n v="41461"/>
    <n v="0"/>
    <n v="42507"/>
    <n v="0"/>
    <m/>
    <s v=""/>
    <n v="42507"/>
    <n v="2018"/>
    <n v="42507"/>
    <n v="2018"/>
    <s v=""/>
    <n v="42507"/>
    <n v="42507"/>
    <s v="No change"/>
    <n v="-5.6467842638671772E-2"/>
    <n v="0.17775588866414749"/>
    <n v="54986.760580837101"/>
    <n v="70669.981459008573"/>
    <n v="0"/>
    <n v="10.138333986015265"/>
    <n v="9.4663579286343005"/>
    <n v="9.4663579286343005"/>
  </r>
  <r>
    <x v="12"/>
    <x v="12"/>
    <n v="37260571.5"/>
    <x v="4"/>
    <n v="0"/>
    <n v="38000626.500000022"/>
    <n v="0"/>
    <m/>
    <n v="0"/>
    <m/>
    <n v="0"/>
    <m/>
    <n v="0"/>
    <m/>
    <n v="0"/>
    <n v="41927007.000000007"/>
    <n v="900"/>
    <n v="10838"/>
    <m/>
    <n v="0"/>
    <m/>
    <n v="0"/>
    <m/>
    <n v="0"/>
    <n v="44903225.000000007"/>
    <n v="0"/>
    <n v="10838"/>
    <n v="0"/>
    <n v="900"/>
    <n v="0"/>
    <m/>
    <s v=""/>
    <n v="10838"/>
    <s v="2018 (triag)"/>
    <n v="10838"/>
    <s v="2018 (triag)"/>
    <s v=""/>
    <n v="10838"/>
    <n v="10838"/>
    <s v="No change"/>
    <n v="-5.6467842638671772E-2"/>
    <n v="0.17775588866414749"/>
    <n v="14373.664677048611"/>
    <n v="18473.294398416219"/>
    <n v="0"/>
    <n v="2.5849686814038497"/>
    <n v="2.4136351008195955"/>
    <n v="2.4136351008195955"/>
  </r>
  <r>
    <x v="12"/>
    <x v="12"/>
    <n v="37260572.5"/>
    <x v="5"/>
    <n v="0"/>
    <n v="38000626.500000022"/>
    <n v="0"/>
    <m/>
    <n v="0"/>
    <m/>
    <n v="0"/>
    <m/>
    <n v="0"/>
    <m/>
    <n v="521"/>
    <n v="41927007.000000007"/>
    <n v="836"/>
    <n v="836"/>
    <m/>
    <n v="0"/>
    <m/>
    <n v="0"/>
    <m/>
    <n v="0"/>
    <n v="44903225.000000007"/>
    <n v="0"/>
    <n v="663"/>
    <n v="0"/>
    <n v="836"/>
    <n v="0"/>
    <m/>
    <s v=""/>
    <n v="836"/>
    <n v="2018"/>
    <n v="836"/>
    <n v="2018"/>
    <s v=""/>
    <n v="836"/>
    <n v="836"/>
    <s v="No change"/>
    <n v="-5.6467842638671772E-2"/>
    <n v="0.17775588866414749"/>
    <n v="879.28950737066157"/>
    <n v="1130.0788140016566"/>
    <n v="0"/>
    <n v="0.19939415184107939"/>
    <n v="0.18617816426325723"/>
    <n v="0.18617816426325723"/>
  </r>
  <r>
    <x v="12"/>
    <x v="12"/>
    <n v="37260573.5"/>
    <x v="6"/>
    <n v="0"/>
    <n v="38000626.500000022"/>
    <n v="0"/>
    <m/>
    <n v="0"/>
    <m/>
    <n v="0"/>
    <m/>
    <n v="0"/>
    <m/>
    <n v="0"/>
    <n v="41927007.000000007"/>
    <n v="136"/>
    <n v="136"/>
    <m/>
    <n v="0"/>
    <m/>
    <n v="0"/>
    <m/>
    <n v="0"/>
    <n v="44903225.000000007"/>
    <n v="0"/>
    <n v="0"/>
    <n v="0"/>
    <n v="136"/>
    <n v="0"/>
    <m/>
    <s v=""/>
    <n v="136"/>
    <n v="2018"/>
    <n v="136"/>
    <n v="2018"/>
    <s v=""/>
    <n v="136"/>
    <n v="136"/>
    <s v="No change"/>
    <n v="-5.6467842638671772E-2"/>
    <n v="0.17775588866414749"/>
    <n v="0"/>
    <n v="0"/>
    <n v="0"/>
    <n v="3.243732613682631E-2"/>
    <n v="3.0287356865793043E-2"/>
    <n v="3.0287356865793043E-2"/>
  </r>
  <r>
    <x v="12"/>
    <x v="12"/>
    <n v="37260574.5"/>
    <x v="7"/>
    <n v="0"/>
    <n v="38000626.500000022"/>
    <n v="0"/>
    <m/>
    <n v="0"/>
    <m/>
    <n v="0"/>
    <m/>
    <n v="0"/>
    <m/>
    <n v="0"/>
    <n v="41927007.000000007"/>
    <n v="2148"/>
    <n v="2227"/>
    <m/>
    <n v="0"/>
    <m/>
    <n v="0"/>
    <m/>
    <n v="0"/>
    <n v="44903225.000000007"/>
    <n v="0"/>
    <n v="2227"/>
    <n v="0"/>
    <n v="2148"/>
    <n v="0"/>
    <m/>
    <s v=""/>
    <n v="2227"/>
    <s v="2018 (triag)"/>
    <n v="2227"/>
    <s v="2018 (triag)"/>
    <s v=""/>
    <n v="2227"/>
    <n v="2227"/>
    <s v="No change"/>
    <n v="-5.6467842638671772E-2"/>
    <n v="0.17775588866414749"/>
    <n v="2953.5109093732476"/>
    <n v="3795.9057598517184"/>
    <n v="0"/>
    <n v="0.53116121549053086"/>
    <n v="0.49595546867736107"/>
    <n v="0.49595546867736107"/>
  </r>
  <r>
    <x v="12"/>
    <x v="12"/>
    <n v="37260575.5"/>
    <x v="8"/>
    <n v="0"/>
    <n v="38000626.500000022"/>
    <n v="0"/>
    <m/>
    <n v="0"/>
    <m/>
    <n v="0"/>
    <m/>
    <n v="0"/>
    <m/>
    <n v="0"/>
    <n v="41927007.000000007"/>
    <n v="6245"/>
    <n v="6245"/>
    <m/>
    <n v="0"/>
    <m/>
    <n v="0"/>
    <m/>
    <n v="0"/>
    <n v="44903225.000000007"/>
    <n v="0"/>
    <n v="6176"/>
    <n v="0"/>
    <n v="6245"/>
    <n v="0"/>
    <m/>
    <s v=""/>
    <n v="6245"/>
    <n v="2018"/>
    <n v="6245"/>
    <n v="2018"/>
    <s v=""/>
    <n v="6245"/>
    <n v="6245"/>
    <s v="No change"/>
    <n v="-5.6467842638671772E-2"/>
    <n v="0.17775588866414749"/>
    <n v="8190.7873265779872"/>
    <n v="10526.948348829912"/>
    <n v="0"/>
    <n v="1.4894933950329436"/>
    <n v="1.3907687031388054"/>
    <n v="1.3907687031388054"/>
  </r>
  <r>
    <x v="12"/>
    <x v="12"/>
    <n v="37260576.5"/>
    <x v="9"/>
    <n v="0"/>
    <n v="38000626.500000022"/>
    <n v="0"/>
    <m/>
    <n v="0"/>
    <m/>
    <n v="0"/>
    <m/>
    <n v="0"/>
    <m/>
    <n v="0"/>
    <n v="41927007.000000007"/>
    <n v="0"/>
    <n v="610"/>
    <m/>
    <n v="0"/>
    <m/>
    <n v="0"/>
    <m/>
    <n v="0"/>
    <n v="44903225.000000007"/>
    <n v="0"/>
    <n v="610"/>
    <n v="0"/>
    <n v="0"/>
    <n v="0"/>
    <m/>
    <s v=""/>
    <n v="610"/>
    <s v="2018 (triag)"/>
    <n v="610"/>
    <s v="2018 (triag)"/>
    <s v=""/>
    <n v="610"/>
    <n v="610"/>
    <s v="No change"/>
    <n v="-5.6467842638671772E-2"/>
    <n v="0.17775588866414749"/>
    <n v="808.99939592172473"/>
    <n v="1039.7406885988094"/>
    <n v="0"/>
    <n v="0.14549094811370625"/>
    <n v="0.1358477035892188"/>
    <n v="0.1358477035892188"/>
  </r>
  <r>
    <x v="12"/>
    <x v="12"/>
    <n v="37260577.5"/>
    <x v="10"/>
    <n v="0"/>
    <n v="38000626.500000022"/>
    <n v="0"/>
    <m/>
    <n v="0"/>
    <m/>
    <n v="0"/>
    <m/>
    <n v="0"/>
    <m/>
    <n v="0"/>
    <n v="41927007.000000007"/>
    <n v="1533"/>
    <n v="1533"/>
    <m/>
    <n v="0"/>
    <m/>
    <n v="0"/>
    <m/>
    <n v="0"/>
    <n v="44903225.000000007"/>
    <n v="0"/>
    <n v="1218"/>
    <n v="0"/>
    <n v="1533"/>
    <n v="0"/>
    <m/>
    <s v=""/>
    <n v="1533"/>
    <n v="2018"/>
    <n v="1533"/>
    <n v="2018"/>
    <s v=""/>
    <n v="1533"/>
    <n v="1533"/>
    <s v="No change"/>
    <n v="-5.6467842638671772E-2"/>
    <n v="0.17775588866414749"/>
    <n v="1615.3463348076407"/>
    <n v="2076.07239133336"/>
    <n v="0"/>
    <n v="0.36563544829231426"/>
    <n v="0.34140086820044657"/>
    <n v="0.34140086820044657"/>
  </r>
  <r>
    <x v="12"/>
    <x v="12"/>
    <n v="37260578.5"/>
    <x v="11"/>
    <n v="0"/>
    <n v="38000626.500000022"/>
    <n v="0"/>
    <m/>
    <n v="0"/>
    <m/>
    <n v="0"/>
    <m/>
    <n v="0"/>
    <m/>
    <n v="0"/>
    <n v="41927007.000000007"/>
    <n v="6184"/>
    <n v="76532"/>
    <m/>
    <n v="0"/>
    <m/>
    <n v="0"/>
    <m/>
    <n v="0"/>
    <n v="44903225.000000007"/>
    <n v="0"/>
    <n v="76532"/>
    <n v="0"/>
    <n v="6184"/>
    <n v="0"/>
    <m/>
    <s v=""/>
    <n v="76532"/>
    <s v="2018 (triag)"/>
    <n v="76532"/>
    <s v="2018 (triag)"/>
    <s v=""/>
    <n v="76532"/>
    <n v="76532"/>
    <s v="No change"/>
    <n v="-5.6467842638671772E-2"/>
    <n v="0.17775588866414749"/>
    <n v="101498.92093226466"/>
    <n v="130448.25308171159"/>
    <n v="0"/>
    <n v="18.253628263996994"/>
    <n v="17.043764673918183"/>
    <n v="17.043764673918183"/>
  </r>
  <r>
    <x v="12"/>
    <x v="12"/>
    <n v="37260579.5"/>
    <x v="12"/>
    <n v="0"/>
    <n v="38000626.500000022"/>
    <n v="0"/>
    <m/>
    <n v="0"/>
    <m/>
    <n v="0"/>
    <m/>
    <n v="0"/>
    <m/>
    <n v="0"/>
    <n v="41927007.000000007"/>
    <n v="75033"/>
    <n v="75033"/>
    <m/>
    <n v="0"/>
    <m/>
    <n v="0"/>
    <m/>
    <n v="0"/>
    <n v="44903225.000000007"/>
    <n v="0"/>
    <n v="5104"/>
    <n v="0"/>
    <n v="75033"/>
    <n v="0"/>
    <m/>
    <s v=""/>
    <n v="75033"/>
    <n v="2018"/>
    <n v="75033"/>
    <n v="2018"/>
    <s v=""/>
    <n v="75033"/>
    <n v="75033"/>
    <s v="No change"/>
    <n v="-5.6467842638671772E-2"/>
    <n v="0.17775588866414749"/>
    <n v="6769.0703553843987"/>
    <n v="8699.7319255874136"/>
    <n v="0"/>
    <n v="17.896102147238889"/>
    <n v="16.709935644934188"/>
    <n v="16.709935644934188"/>
  </r>
  <r>
    <x v="12"/>
    <x v="12"/>
    <n v="37260580.5"/>
    <x v="13"/>
    <n v="0"/>
    <n v="38000626.500000022"/>
    <n v="0"/>
    <m/>
    <n v="0"/>
    <m/>
    <n v="0"/>
    <m/>
    <n v="0"/>
    <m/>
    <n v="0"/>
    <n v="41927007.000000007"/>
    <n v="15238"/>
    <n v="15238"/>
    <m/>
    <n v="0"/>
    <m/>
    <n v="0"/>
    <m/>
    <n v="0"/>
    <n v="44903225.000000007"/>
    <n v="0"/>
    <n v="14548"/>
    <n v="0"/>
    <n v="15238"/>
    <n v="0"/>
    <m/>
    <s v=""/>
    <n v="15238"/>
    <n v="2018"/>
    <n v="15238"/>
    <n v="2018"/>
    <s v=""/>
    <n v="15238"/>
    <n v="15238"/>
    <s v="No change"/>
    <n v="-5.6467842638671772E-2"/>
    <n v="0.17775588866414749"/>
    <n v="19293.972478474185"/>
    <n v="24796.963176615536"/>
    <n v="0"/>
    <n v="3.6344115858305837"/>
    <n v="3.3935201758893703"/>
    <n v="3.3935201758893703"/>
  </r>
  <r>
    <x v="12"/>
    <x v="12"/>
    <n v="37260581.5"/>
    <x v="14"/>
    <n v="0"/>
    <n v="38000626.500000022"/>
    <n v="0"/>
    <m/>
    <n v="0"/>
    <m/>
    <n v="0"/>
    <m/>
    <n v="0"/>
    <m/>
    <n v="0"/>
    <n v="41927007.000000007"/>
    <n v="365"/>
    <n v="365"/>
    <m/>
    <n v="128823"/>
    <m/>
    <n v="0"/>
    <m/>
    <n v="0"/>
    <n v="44903225.000000007"/>
    <n v="0"/>
    <n v="279"/>
    <n v="0"/>
    <n v="128823"/>
    <n v="0"/>
    <m/>
    <s v=""/>
    <n v="365"/>
    <n v="2018"/>
    <n v="128823"/>
    <n v="2018"/>
    <s v=""/>
    <n v="128823"/>
    <n v="128823"/>
    <s v="Increasing"/>
    <n v="-5.6467842638671772E-2"/>
    <n v="0.17775588866414749"/>
    <n v="370.01775649534625"/>
    <n v="475.55352806404557"/>
    <n v="0"/>
    <n v="8.7056059117217671E-2"/>
    <n v="28.689030687662186"/>
    <n v="28.689030687662186"/>
  </r>
  <r>
    <x v="12"/>
    <x v="12"/>
    <n v="37260582.5"/>
    <x v="15"/>
    <n v="0"/>
    <n v="38000626.500000022"/>
    <n v="0"/>
    <m/>
    <n v="0"/>
    <m/>
    <n v="0"/>
    <m/>
    <n v="0"/>
    <m/>
    <n v="0"/>
    <n v="41927007.000000007"/>
    <n v="1971"/>
    <n v="1971"/>
    <m/>
    <n v="0"/>
    <m/>
    <n v="0"/>
    <m/>
    <n v="0"/>
    <n v="44903225.000000007"/>
    <n v="0"/>
    <n v="1827"/>
    <n v="0"/>
    <n v="1971"/>
    <n v="0"/>
    <m/>
    <s v=""/>
    <n v="1971"/>
    <n v="2018"/>
    <n v="1971"/>
    <n v="2018"/>
    <s v=""/>
    <n v="1971"/>
    <n v="1971"/>
    <s v="No change"/>
    <n v="-5.6467842638671772E-2"/>
    <n v="0.17775588866414749"/>
    <n v="2423.0195022114608"/>
    <n v="3114.1085870000402"/>
    <n v="0"/>
    <n v="0.47010271923297547"/>
    <n v="0.43894397340057417"/>
    <n v="0.43894397340057417"/>
  </r>
  <r>
    <x v="12"/>
    <x v="12"/>
    <n v="37260583.5"/>
    <x v="16"/>
    <n v="0"/>
    <n v="38000626.500000022"/>
    <n v="0"/>
    <m/>
    <n v="0"/>
    <m/>
    <n v="0"/>
    <m/>
    <n v="0"/>
    <m/>
    <n v="0"/>
    <n v="41927007.000000007"/>
    <n v="0"/>
    <n v="0"/>
    <m/>
    <n v="0"/>
    <m/>
    <n v="0"/>
    <m/>
    <n v="0"/>
    <n v="44903225.000000007"/>
    <n v="0"/>
    <n v="0"/>
    <n v="0"/>
    <n v="0"/>
    <n v="0"/>
    <m/>
    <s v=""/>
    <m/>
    <s v=""/>
    <n v="0"/>
    <s v=""/>
    <s v=""/>
    <m/>
    <n v="0"/>
    <s v="No change"/>
    <n v="-5.6467842638671772E-2"/>
    <n v="0.17775588866414749"/>
    <n v="0"/>
    <n v="0"/>
    <n v="0"/>
    <n v="0"/>
    <n v="0"/>
    <n v="0"/>
  </r>
  <r>
    <x v="12"/>
    <x v="12"/>
    <n v="37260584.5"/>
    <x v="17"/>
    <n v="0"/>
    <n v="38000626.500000022"/>
    <n v="0"/>
    <m/>
    <n v="0"/>
    <m/>
    <n v="0"/>
    <m/>
    <n v="0"/>
    <m/>
    <n v="0"/>
    <n v="41927007.000000007"/>
    <n v="0"/>
    <n v="0"/>
    <m/>
    <n v="0"/>
    <m/>
    <n v="0"/>
    <m/>
    <n v="0"/>
    <n v="44903225.000000007"/>
    <n v="0"/>
    <n v="0"/>
    <n v="0"/>
    <n v="0"/>
    <n v="0"/>
    <m/>
    <s v=""/>
    <m/>
    <s v=""/>
    <n v="0"/>
    <s v=""/>
    <s v=""/>
    <m/>
    <n v="0"/>
    <s v="No change"/>
    <n v="-5.6467842638671772E-2"/>
    <n v="0.17775588866414749"/>
    <n v="0"/>
    <n v="0"/>
    <n v="0"/>
    <n v="0"/>
    <n v="0"/>
    <n v="0"/>
  </r>
  <r>
    <x v="12"/>
    <x v="12"/>
    <n v="37260585.5"/>
    <x v="18"/>
    <n v="0"/>
    <n v="38000626.500000022"/>
    <n v="0"/>
    <m/>
    <n v="0"/>
    <m/>
    <n v="0"/>
    <m/>
    <n v="0"/>
    <m/>
    <n v="0"/>
    <n v="41927007.000000007"/>
    <n v="0"/>
    <n v="1"/>
    <m/>
    <n v="0"/>
    <m/>
    <n v="0"/>
    <m/>
    <n v="0"/>
    <n v="44903225.000000007"/>
    <n v="0"/>
    <n v="1"/>
    <n v="0"/>
    <n v="0"/>
    <n v="0"/>
    <m/>
    <s v=""/>
    <n v="1"/>
    <s v="2018 (triag)"/>
    <n v="1"/>
    <s v="2018 (triag)"/>
    <s v=""/>
    <n v="1"/>
    <n v="1"/>
    <s v="No change"/>
    <n v="-5.6467842638671772E-2"/>
    <n v="0.17775588866414749"/>
    <n v="1.3262285179044668"/>
    <n v="1.7044929321291955"/>
    <n v="0"/>
    <n v="2.3850975100607583E-4"/>
    <n v="2.2270115342494883E-4"/>
    <n v="2.2270115342494883E-4"/>
  </r>
  <r>
    <x v="13"/>
    <x v="13"/>
    <n v="3252601"/>
    <x v="0"/>
    <n v="0"/>
    <n v="3296367"/>
    <n v="0"/>
    <m/>
    <n v="0"/>
    <m/>
    <n v="0"/>
    <m/>
    <n v="0"/>
    <m/>
    <n v="0"/>
    <n v="3445374.4999999986"/>
    <n v="243"/>
    <n v="243"/>
    <m/>
    <n v="0"/>
    <m/>
    <n v="6000"/>
    <m/>
    <n v="2626"/>
    <n v="3684031.5000000019"/>
    <n v="2626"/>
    <n v="243"/>
    <n v="0"/>
    <n v="243"/>
    <n v="6000"/>
    <m/>
    <s v=""/>
    <n v="243"/>
    <n v="2018"/>
    <n v="2626"/>
    <n v="2021"/>
    <s v=""/>
    <n v="2626"/>
    <n v="2626"/>
    <s v="Increasing"/>
    <n v="-2.2233181875670249E-2"/>
    <n v="0.11702326021234755"/>
    <n v="271.57201497238668"/>
    <n v="345.20250780713275"/>
    <n v="0"/>
    <n v="0.70529343036584291"/>
    <n v="7.1280606585475681"/>
    <n v="7.1280606585475681"/>
  </r>
  <r>
    <x v="13"/>
    <x v="13"/>
    <n v="3252602"/>
    <x v="1"/>
    <n v="0"/>
    <n v="3296367"/>
    <n v="0"/>
    <m/>
    <n v="0"/>
    <m/>
    <n v="0"/>
    <m/>
    <n v="0"/>
    <m/>
    <n v="0"/>
    <n v="3445374.4999999986"/>
    <n v="0"/>
    <n v="0"/>
    <m/>
    <n v="0"/>
    <m/>
    <n v="0"/>
    <m/>
    <n v="0"/>
    <n v="3684031.5000000019"/>
    <n v="0"/>
    <n v="0"/>
    <n v="0"/>
    <n v="0"/>
    <n v="0"/>
    <m/>
    <s v=""/>
    <m/>
    <s v=""/>
    <n v="0"/>
    <s v=""/>
    <s v=""/>
    <m/>
    <n v="0"/>
    <s v="No change"/>
    <n v="-2.2233181875670249E-2"/>
    <n v="0.11702326021234755"/>
    <n v="0"/>
    <n v="0"/>
    <n v="0"/>
    <n v="0"/>
    <n v="0"/>
    <n v="0"/>
  </r>
  <r>
    <x v="13"/>
    <x v="13"/>
    <n v="3252603"/>
    <x v="2"/>
    <n v="0"/>
    <n v="3296367"/>
    <n v="0"/>
    <m/>
    <n v="0"/>
    <m/>
    <n v="0"/>
    <m/>
    <n v="0"/>
    <m/>
    <n v="0"/>
    <n v="3445374.4999999986"/>
    <n v="0"/>
    <n v="243"/>
    <m/>
    <n v="0"/>
    <m/>
    <n v="0"/>
    <m/>
    <n v="0"/>
    <n v="3684031.5000000019"/>
    <n v="0"/>
    <n v="243"/>
    <n v="0"/>
    <n v="0"/>
    <n v="0"/>
    <m/>
    <s v=""/>
    <n v="243"/>
    <s v="2018 (triag)"/>
    <n v="243"/>
    <s v="2018 (triag)"/>
    <s v=""/>
    <n v="243"/>
    <n v="243"/>
    <s v="No change"/>
    <n v="-2.2233181875670249E-2"/>
    <n v="0.11702326021234755"/>
    <n v="271.57201497238668"/>
    <n v="345.20250780713275"/>
    <n v="0"/>
    <n v="0.70529343036584291"/>
    <n v="0.65960348058913143"/>
    <n v="0.65960348058913143"/>
  </r>
  <r>
    <x v="13"/>
    <x v="13"/>
    <n v="3252604"/>
    <x v="3"/>
    <n v="0"/>
    <n v="3296367"/>
    <n v="0"/>
    <m/>
    <n v="0"/>
    <m/>
    <n v="0"/>
    <m/>
    <n v="0"/>
    <m/>
    <n v="0"/>
    <n v="3445374.4999999986"/>
    <n v="0"/>
    <n v="0"/>
    <m/>
    <n v="0"/>
    <m/>
    <n v="0"/>
    <m/>
    <n v="0"/>
    <n v="3684031.5000000019"/>
    <n v="0"/>
    <n v="0"/>
    <n v="0"/>
    <n v="0"/>
    <n v="0"/>
    <m/>
    <s v=""/>
    <m/>
    <s v=""/>
    <n v="0"/>
    <s v=""/>
    <s v=""/>
    <m/>
    <n v="0"/>
    <s v="No change"/>
    <n v="-2.2233181875670249E-2"/>
    <n v="0.11702326021234755"/>
    <n v="0"/>
    <n v="0"/>
    <n v="0"/>
    <n v="0"/>
    <n v="0"/>
    <n v="0"/>
  </r>
  <r>
    <x v="13"/>
    <x v="13"/>
    <n v="3252605"/>
    <x v="4"/>
    <n v="0"/>
    <n v="3296367"/>
    <n v="0"/>
    <m/>
    <n v="0"/>
    <m/>
    <n v="0"/>
    <m/>
    <n v="0"/>
    <m/>
    <n v="0"/>
    <n v="3445374.4999999986"/>
    <n v="0"/>
    <n v="0"/>
    <m/>
    <n v="0"/>
    <m/>
    <n v="0"/>
    <m/>
    <n v="0"/>
    <n v="3684031.5000000019"/>
    <n v="381"/>
    <n v="0"/>
    <n v="0"/>
    <n v="0"/>
    <n v="381"/>
    <m/>
    <s v=""/>
    <m/>
    <s v=""/>
    <n v="381"/>
    <n v="2022"/>
    <s v=""/>
    <n v="381"/>
    <n v="381"/>
    <s v="Increasing"/>
    <n v="-2.2233181875670249E-2"/>
    <n v="0.11702326021234755"/>
    <n v="0"/>
    <n v="0"/>
    <n v="0"/>
    <n v="0"/>
    <n v="1.0341931115409839"/>
    <n v="1.0341931115409839"/>
  </r>
  <r>
    <x v="13"/>
    <x v="13"/>
    <n v="3252606"/>
    <x v="5"/>
    <n v="0"/>
    <n v="3296367"/>
    <n v="0"/>
    <m/>
    <n v="0"/>
    <m/>
    <n v="0"/>
    <m/>
    <n v="0"/>
    <m/>
    <n v="0"/>
    <n v="3445374.4999999986"/>
    <n v="0"/>
    <n v="0"/>
    <m/>
    <n v="0"/>
    <m/>
    <n v="0"/>
    <m/>
    <n v="0"/>
    <n v="3684031.5000000019"/>
    <n v="0"/>
    <n v="0"/>
    <n v="0"/>
    <n v="0"/>
    <n v="0"/>
    <m/>
    <s v=""/>
    <m/>
    <s v=""/>
    <n v="0"/>
    <s v=""/>
    <s v=""/>
    <m/>
    <n v="0"/>
    <s v="No change"/>
    <n v="-2.2233181875670249E-2"/>
    <n v="0.11702326021234755"/>
    <n v="0"/>
    <n v="0"/>
    <n v="0"/>
    <n v="0"/>
    <n v="0"/>
    <n v="0"/>
  </r>
  <r>
    <x v="13"/>
    <x v="13"/>
    <n v="3252607"/>
    <x v="6"/>
    <n v="0"/>
    <n v="3296367"/>
    <n v="0"/>
    <m/>
    <n v="0"/>
    <m/>
    <n v="0"/>
    <m/>
    <n v="0"/>
    <m/>
    <n v="0"/>
    <n v="3445374.4999999986"/>
    <n v="549"/>
    <n v="549"/>
    <m/>
    <n v="0"/>
    <m/>
    <n v="0"/>
    <m/>
    <n v="298"/>
    <n v="3684031.5000000019"/>
    <n v="296"/>
    <n v="0"/>
    <n v="0"/>
    <n v="549"/>
    <n v="298"/>
    <m/>
    <s v=""/>
    <n v="549"/>
    <n v="2018"/>
    <n v="296"/>
    <n v="2022"/>
    <s v="Adjust"/>
    <n v="340.19239871884287"/>
    <n v="549"/>
    <s v="Decreasing"/>
    <n v="-2.2233181875670249E-2"/>
    <n v="0.11702326021234755"/>
    <n v="0"/>
    <n v="0"/>
    <n v="0"/>
    <n v="1.5934407130487562"/>
    <n v="0.92342423977331001"/>
    <n v="1.4902152709606302"/>
  </r>
  <r>
    <x v="13"/>
    <x v="13"/>
    <n v="3252608"/>
    <x v="7"/>
    <n v="0"/>
    <n v="3296367"/>
    <n v="0"/>
    <m/>
    <n v="0"/>
    <m/>
    <n v="0"/>
    <m/>
    <n v="0"/>
    <m/>
    <n v="0"/>
    <n v="3445374.4999999986"/>
    <n v="0"/>
    <n v="0"/>
    <m/>
    <n v="0"/>
    <m/>
    <n v="0"/>
    <m/>
    <n v="0"/>
    <n v="3684031.5000000019"/>
    <n v="0"/>
    <n v="0"/>
    <n v="0"/>
    <n v="0"/>
    <n v="0"/>
    <m/>
    <s v=""/>
    <m/>
    <s v=""/>
    <n v="0"/>
    <s v=""/>
    <s v=""/>
    <m/>
    <n v="0"/>
    <s v="No change"/>
    <n v="-2.2233181875670249E-2"/>
    <n v="0.11702326021234755"/>
    <n v="0"/>
    <n v="0"/>
    <n v="0"/>
    <n v="0"/>
    <n v="0"/>
    <n v="0"/>
  </r>
  <r>
    <x v="13"/>
    <x v="13"/>
    <n v="3252609"/>
    <x v="8"/>
    <n v="0"/>
    <n v="3296367"/>
    <n v="0"/>
    <m/>
    <n v="0"/>
    <m/>
    <n v="0"/>
    <m/>
    <n v="0"/>
    <m/>
    <n v="0"/>
    <n v="3445374.4999999986"/>
    <n v="0"/>
    <n v="113"/>
    <m/>
    <n v="0"/>
    <m/>
    <n v="0"/>
    <m/>
    <n v="137"/>
    <n v="3684031.5000000019"/>
    <n v="141"/>
    <n v="113"/>
    <n v="0"/>
    <n v="0"/>
    <n v="141"/>
    <m/>
    <s v=""/>
    <n v="113"/>
    <s v="2018 (triag)"/>
    <n v="141"/>
    <n v="2022"/>
    <s v=""/>
    <n v="141"/>
    <n v="141"/>
    <s v="Increasing"/>
    <n v="-2.2233181875670249E-2"/>
    <n v="0.11702326021234755"/>
    <n v="126.28657486370246"/>
    <n v="160.52626906257615"/>
    <n v="0"/>
    <n v="0.32797595733061835"/>
    <n v="0.3827328837986318"/>
    <n v="0.3827328837986318"/>
  </r>
  <r>
    <x v="13"/>
    <x v="13"/>
    <n v="3252610"/>
    <x v="9"/>
    <n v="0"/>
    <n v="3296367"/>
    <n v="0"/>
    <m/>
    <n v="0"/>
    <m/>
    <n v="0"/>
    <m/>
    <n v="0"/>
    <m/>
    <n v="0"/>
    <n v="3445374.4999999986"/>
    <n v="0"/>
    <n v="0"/>
    <m/>
    <n v="0"/>
    <m/>
    <n v="0"/>
    <m/>
    <n v="0"/>
    <n v="3684031.5000000019"/>
    <n v="0"/>
    <n v="0"/>
    <n v="0"/>
    <n v="0"/>
    <n v="0"/>
    <m/>
    <s v=""/>
    <m/>
    <s v=""/>
    <n v="0"/>
    <s v=""/>
    <s v=""/>
    <m/>
    <n v="0"/>
    <s v="No change"/>
    <n v="-2.2233181875670249E-2"/>
    <n v="0.11702326021234755"/>
    <n v="0"/>
    <n v="0"/>
    <n v="0"/>
    <n v="0"/>
    <n v="0"/>
    <n v="0"/>
  </r>
  <r>
    <x v="13"/>
    <x v="13"/>
    <n v="3252611"/>
    <x v="10"/>
    <n v="0"/>
    <n v="3296367"/>
    <n v="0"/>
    <m/>
    <n v="0"/>
    <m/>
    <n v="0"/>
    <m/>
    <n v="0"/>
    <m/>
    <n v="0"/>
    <n v="3445374.4999999986"/>
    <n v="0"/>
    <n v="86"/>
    <m/>
    <n v="0"/>
    <m/>
    <n v="0"/>
    <m/>
    <n v="99"/>
    <n v="3684031.5000000019"/>
    <n v="96"/>
    <n v="86"/>
    <n v="0"/>
    <n v="0"/>
    <n v="99"/>
    <m/>
    <s v=""/>
    <n v="86"/>
    <s v="2018 (triag)"/>
    <n v="96"/>
    <n v="2022"/>
    <s v=""/>
    <n v="96"/>
    <n v="96"/>
    <s v="Increasing"/>
    <n v="-2.2233181875670249E-2"/>
    <n v="0.11702326021234755"/>
    <n v="96.111906533437264"/>
    <n v="122.17043486178362"/>
    <n v="0"/>
    <n v="0.24961002062330245"/>
    <n v="0.26058409109694081"/>
    <n v="0.26058409109694081"/>
  </r>
  <r>
    <x v="13"/>
    <x v="13"/>
    <n v="3252612"/>
    <x v="11"/>
    <n v="0"/>
    <n v="3296367"/>
    <n v="0"/>
    <m/>
    <n v="0"/>
    <m/>
    <n v="0"/>
    <m/>
    <n v="0"/>
    <m/>
    <n v="0"/>
    <n v="3445374.4999999986"/>
    <n v="0"/>
    <n v="3563"/>
    <m/>
    <n v="0"/>
    <m/>
    <n v="0"/>
    <m/>
    <n v="0"/>
    <n v="3684031.5000000019"/>
    <n v="0"/>
    <n v="3563"/>
    <n v="0"/>
    <n v="0"/>
    <n v="0"/>
    <m/>
    <s v=""/>
    <n v="3563"/>
    <s v="2018 (triag)"/>
    <n v="3563"/>
    <s v="2018 (triag)"/>
    <s v=""/>
    <n v="3563"/>
    <n v="3563"/>
    <s v="No change"/>
    <n v="-2.2233181875670249E-2"/>
    <n v="0.11702326021234755"/>
    <n v="3981.9386392864762"/>
    <n v="5061.549528052733"/>
    <n v="0"/>
    <n v="10.341401203265425"/>
    <n v="9.6714699643583337"/>
    <n v="9.6714699643583337"/>
  </r>
  <r>
    <x v="13"/>
    <x v="13"/>
    <n v="3252613"/>
    <x v="12"/>
    <n v="0"/>
    <n v="3296367"/>
    <n v="0"/>
    <m/>
    <n v="0"/>
    <m/>
    <n v="0"/>
    <m/>
    <n v="0"/>
    <m/>
    <n v="0"/>
    <n v="3445374.4999999986"/>
    <n v="0"/>
    <n v="0"/>
    <m/>
    <n v="0"/>
    <m/>
    <n v="0"/>
    <m/>
    <n v="0"/>
    <n v="3684031.5000000019"/>
    <n v="0"/>
    <n v="0"/>
    <n v="0"/>
    <n v="0"/>
    <n v="0"/>
    <m/>
    <s v=""/>
    <m/>
    <s v=""/>
    <n v="0"/>
    <s v=""/>
    <s v=""/>
    <m/>
    <n v="0"/>
    <s v="No change"/>
    <n v="-2.2233181875670249E-2"/>
    <n v="0.11702326021234755"/>
    <n v="0"/>
    <n v="0"/>
    <n v="0"/>
    <n v="0"/>
    <n v="0"/>
    <n v="0"/>
  </r>
  <r>
    <x v="13"/>
    <x v="13"/>
    <n v="3252614"/>
    <x v="13"/>
    <n v="0"/>
    <n v="3296367"/>
    <n v="0"/>
    <m/>
    <n v="0"/>
    <m/>
    <n v="0"/>
    <m/>
    <n v="0"/>
    <m/>
    <n v="0"/>
    <n v="3445374.4999999986"/>
    <n v="0"/>
    <n v="549"/>
    <m/>
    <n v="0"/>
    <m/>
    <n v="0"/>
    <m/>
    <n v="267"/>
    <n v="3684031.5000000019"/>
    <n v="267"/>
    <n v="549"/>
    <n v="0"/>
    <n v="0"/>
    <n v="267"/>
    <m/>
    <s v=""/>
    <n v="549"/>
    <s v="2018 (triag)"/>
    <n v="267"/>
    <n v="2021"/>
    <s v="Adjust"/>
    <n v="306.86273803355084"/>
    <n v="549"/>
    <s v="Decreasing"/>
    <n v="-2.2233181875670249E-2"/>
    <n v="0.11702326021234755"/>
    <n v="613.55158938205886"/>
    <n v="779.90196208278144"/>
    <n v="0"/>
    <n v="1.5934407130487562"/>
    <n v="0.83295362168741138"/>
    <n v="1.4902152709606302"/>
  </r>
  <r>
    <x v="13"/>
    <x v="13"/>
    <n v="3252615"/>
    <x v="14"/>
    <n v="0"/>
    <n v="3296367"/>
    <n v="0"/>
    <m/>
    <n v="0"/>
    <m/>
    <n v="0"/>
    <m/>
    <n v="0"/>
    <m/>
    <n v="0"/>
    <n v="3445374.4999999986"/>
    <n v="0"/>
    <n v="0"/>
    <m/>
    <n v="0"/>
    <m/>
    <n v="0"/>
    <m/>
    <n v="0"/>
    <n v="3684031.5000000019"/>
    <n v="0"/>
    <n v="0"/>
    <n v="0"/>
    <n v="0"/>
    <n v="0"/>
    <m/>
    <s v=""/>
    <m/>
    <s v=""/>
    <n v="0"/>
    <s v=""/>
    <s v=""/>
    <m/>
    <n v="0"/>
    <s v="No change"/>
    <n v="-2.2233181875670249E-2"/>
    <n v="0.11702326021234755"/>
    <n v="0"/>
    <n v="0"/>
    <n v="0"/>
    <n v="0"/>
    <n v="0"/>
    <n v="0"/>
  </r>
  <r>
    <x v="13"/>
    <x v="13"/>
    <n v="3252616"/>
    <x v="15"/>
    <n v="0"/>
    <n v="3296367"/>
    <n v="0"/>
    <m/>
    <n v="0"/>
    <m/>
    <n v="0"/>
    <m/>
    <n v="0"/>
    <m/>
    <n v="0"/>
    <n v="3445374.4999999986"/>
    <n v="0"/>
    <n v="137"/>
    <m/>
    <n v="0"/>
    <m/>
    <n v="0"/>
    <m/>
    <n v="131"/>
    <n v="3684031.5000000019"/>
    <n v="130"/>
    <n v="137"/>
    <n v="0"/>
    <n v="0"/>
    <n v="131"/>
    <m/>
    <s v=""/>
    <n v="137"/>
    <s v="2018 (triag)"/>
    <n v="130"/>
    <n v="2022"/>
    <s v="Adjust"/>
    <n v="149.40882376165396"/>
    <n v="149.40882376165396"/>
    <s v="Increasing"/>
    <n v="-2.2233181875670249E-2"/>
    <n v="0.11702326021234755"/>
    <n v="153.10850226838261"/>
    <n v="194.62034390772507"/>
    <n v="0"/>
    <n v="0.39763456773712136"/>
    <n v="0.40555794314368349"/>
    <n v="0.40555794314368349"/>
  </r>
  <r>
    <x v="13"/>
    <x v="13"/>
    <n v="3252617"/>
    <x v="16"/>
    <n v="0"/>
    <n v="3296367"/>
    <n v="0"/>
    <m/>
    <n v="0"/>
    <m/>
    <n v="0"/>
    <m/>
    <n v="0"/>
    <m/>
    <n v="0"/>
    <n v="3445374.4999999986"/>
    <n v="0"/>
    <n v="0"/>
    <m/>
    <n v="0"/>
    <m/>
    <n v="0"/>
    <m/>
    <n v="6"/>
    <n v="3684031.5000000019"/>
    <n v="6"/>
    <n v="0"/>
    <n v="0"/>
    <n v="0"/>
    <n v="6"/>
    <m/>
    <s v=""/>
    <m/>
    <s v=""/>
    <n v="6"/>
    <n v="2021"/>
    <s v=""/>
    <n v="6"/>
    <n v="6"/>
    <s v="Increasing"/>
    <n v="-2.2233181875670249E-2"/>
    <n v="0.11702326021234755"/>
    <n v="0"/>
    <n v="0"/>
    <n v="0"/>
    <n v="0"/>
    <n v="1.62865056935588E-2"/>
    <n v="1.62865056935588E-2"/>
  </r>
  <r>
    <x v="13"/>
    <x v="13"/>
    <n v="3252618"/>
    <x v="17"/>
    <n v="0"/>
    <n v="3296367"/>
    <n v="0"/>
    <m/>
    <n v="0"/>
    <m/>
    <n v="0"/>
    <m/>
    <n v="0"/>
    <m/>
    <n v="0"/>
    <n v="3445374.4999999986"/>
    <n v="0"/>
    <n v="0"/>
    <m/>
    <n v="0"/>
    <m/>
    <n v="0"/>
    <m/>
    <n v="0"/>
    <n v="3684031.5000000019"/>
    <n v="0"/>
    <n v="0"/>
    <n v="0"/>
    <n v="0"/>
    <n v="0"/>
    <m/>
    <s v=""/>
    <m/>
    <s v=""/>
    <n v="0"/>
    <s v=""/>
    <s v=""/>
    <m/>
    <n v="0"/>
    <s v="No change"/>
    <n v="-2.2233181875670249E-2"/>
    <n v="0.11702326021234755"/>
    <n v="0"/>
    <n v="0"/>
    <n v="0"/>
    <n v="0"/>
    <n v="0"/>
    <n v="0"/>
  </r>
  <r>
    <x v="13"/>
    <x v="13"/>
    <n v="3252619"/>
    <x v="18"/>
    <n v="0"/>
    <n v="3296367"/>
    <n v="0"/>
    <m/>
    <n v="0"/>
    <m/>
    <n v="0"/>
    <m/>
    <n v="0"/>
    <m/>
    <n v="0"/>
    <n v="3445374.4999999986"/>
    <n v="0"/>
    <n v="0"/>
    <m/>
    <n v="0"/>
    <m/>
    <n v="0"/>
    <m/>
    <n v="0"/>
    <n v="3684031.5000000019"/>
    <n v="0"/>
    <n v="0"/>
    <n v="0"/>
    <n v="0"/>
    <n v="0"/>
    <m/>
    <s v=""/>
    <m/>
    <s v=""/>
    <n v="0"/>
    <s v=""/>
    <s v=""/>
    <m/>
    <n v="0"/>
    <s v="No change"/>
    <n v="-2.2233181875670249E-2"/>
    <n v="0.11702326021234755"/>
    <n v="0"/>
    <n v="0"/>
    <n v="0"/>
    <n v="0"/>
    <n v="0"/>
    <n v="0"/>
  </r>
  <r>
    <x v="14"/>
    <x v="14"/>
    <n v="94451284.500000104"/>
    <x v="0"/>
    <n v="0"/>
    <n v="97084366.00000003"/>
    <n v="0"/>
    <m/>
    <n v="0"/>
    <m/>
    <n v="0"/>
    <m/>
    <n v="0"/>
    <m/>
    <n v="0"/>
    <n v="111129438.00000001"/>
    <n v="37259"/>
    <n v="37259"/>
    <m/>
    <n v="0"/>
    <m/>
    <n v="42630"/>
    <m/>
    <n v="42630"/>
    <n v="123379924.50000004"/>
    <n v="41101"/>
    <n v="37259"/>
    <n v="0"/>
    <n v="37259"/>
    <n v="42630"/>
    <m/>
    <s v=""/>
    <n v="37259"/>
    <n v="2018"/>
    <n v="41101"/>
    <n v="2022"/>
    <s v=""/>
    <n v="41101"/>
    <n v="41101"/>
    <s v="Increasing"/>
    <n v="-4.0290808124875621E-2"/>
    <n v="7.5715887821594663E-2"/>
    <n v="45574.464334664714"/>
    <n v="46760.610373559291"/>
    <n v="0"/>
    <n v="3.352756989556628"/>
    <n v="3.3312550778874876"/>
    <n v="3.3312550778874876"/>
  </r>
  <r>
    <x v="14"/>
    <x v="14"/>
    <n v="94451285.500000104"/>
    <x v="1"/>
    <n v="50"/>
    <n v="97084366.00000003"/>
    <n v="0"/>
    <m/>
    <n v="0"/>
    <m/>
    <n v="35"/>
    <m/>
    <n v="0"/>
    <m/>
    <n v="0"/>
    <n v="111129438.00000001"/>
    <n v="1385"/>
    <n v="1385"/>
    <m/>
    <n v="0"/>
    <m/>
    <n v="0"/>
    <m/>
    <n v="0"/>
    <n v="123379924.50000004"/>
    <n v="0"/>
    <n v="147"/>
    <n v="50"/>
    <n v="1385"/>
    <n v="0"/>
    <n v="50"/>
    <n v="2012"/>
    <n v="1385"/>
    <n v="2018"/>
    <n v="1385"/>
    <n v="2018"/>
    <s v=""/>
    <n v="1385"/>
    <n v="1385"/>
    <s v="No change"/>
    <n v="-4.0290808124875621E-2"/>
    <n v="7.5715887821594663E-2"/>
    <n v="179.80746281960637"/>
    <n v="184.48723059967298"/>
    <n v="5.1501598104889499E-3"/>
    <n v="0.12462944337035159"/>
    <n v="0.11225489119179996"/>
    <n v="0.11225489119179996"/>
  </r>
  <r>
    <x v="14"/>
    <x v="14"/>
    <n v="94451286.500000104"/>
    <x v="2"/>
    <n v="461"/>
    <n v="97084366.00000003"/>
    <n v="0"/>
    <m/>
    <n v="2970"/>
    <m/>
    <n v="0"/>
    <m/>
    <n v="64"/>
    <m/>
    <n v="0"/>
    <n v="111129438.00000001"/>
    <n v="665"/>
    <n v="2662"/>
    <m/>
    <n v="0"/>
    <m/>
    <n v="1234"/>
    <m/>
    <n v="0"/>
    <n v="123379924.50000004"/>
    <n v="5410"/>
    <n v="2662"/>
    <n v="2970"/>
    <n v="665"/>
    <n v="5410"/>
    <n v="461"/>
    <n v="2012"/>
    <n v="2662"/>
    <s v="2018 (triag)"/>
    <n v="5410"/>
    <n v="2022"/>
    <s v=""/>
    <n v="5410"/>
    <n v="5410"/>
    <s v="Increasing"/>
    <n v="-4.0290808124875621E-2"/>
    <n v="7.5715887821594663E-2"/>
    <n v="3256.1052110598102"/>
    <n v="3340.8503935804729"/>
    <n v="4.748447345270812E-2"/>
    <n v="0.2395404897125458"/>
    <n v="0.438483004583132"/>
    <n v="0.438483004583132"/>
  </r>
  <r>
    <x v="14"/>
    <x v="14"/>
    <n v="94451287.500000104"/>
    <x v="3"/>
    <n v="0"/>
    <n v="97084366.00000003"/>
    <n v="0"/>
    <m/>
    <n v="0"/>
    <m/>
    <n v="0"/>
    <m/>
    <n v="0"/>
    <m/>
    <n v="0"/>
    <n v="111129438.00000001"/>
    <n v="0"/>
    <n v="0"/>
    <m/>
    <n v="0"/>
    <m/>
    <n v="0"/>
    <m/>
    <n v="0"/>
    <n v="123379924.50000004"/>
    <n v="0"/>
    <n v="0"/>
    <n v="0"/>
    <n v="0"/>
    <n v="0"/>
    <m/>
    <s v=""/>
    <m/>
    <s v=""/>
    <n v="0"/>
    <s v=""/>
    <s v=""/>
    <m/>
    <n v="0"/>
    <s v="No change"/>
    <n v="-4.0290808124875621E-2"/>
    <n v="7.5715887821594663E-2"/>
    <n v="0"/>
    <n v="0"/>
    <n v="0"/>
    <n v="0"/>
    <n v="0"/>
    <n v="0"/>
  </r>
  <r>
    <x v="14"/>
    <x v="14"/>
    <n v="94451288.500000104"/>
    <x v="4"/>
    <n v="0"/>
    <n v="97084366.00000003"/>
    <n v="0"/>
    <m/>
    <n v="0"/>
    <m/>
    <n v="0"/>
    <m/>
    <n v="0"/>
    <m/>
    <n v="0"/>
    <n v="111129438.00000001"/>
    <n v="0"/>
    <n v="4365"/>
    <m/>
    <n v="0"/>
    <m/>
    <n v="0"/>
    <m/>
    <n v="0"/>
    <n v="123379924.50000004"/>
    <n v="0"/>
    <n v="4365"/>
    <n v="0"/>
    <n v="0"/>
    <n v="0"/>
    <m/>
    <s v=""/>
    <n v="4365"/>
    <s v="2018 (triag)"/>
    <n v="4365"/>
    <s v="2018 (triag)"/>
    <s v=""/>
    <n v="4365"/>
    <n v="4365"/>
    <s v="No change"/>
    <n v="-4.0290808124875621E-2"/>
    <n v="7.5715887821594663E-2"/>
    <n v="5339.1807837250462"/>
    <n v="5478.1412351535555"/>
    <n v="0"/>
    <n v="0.39278521322136078"/>
    <n v="0.35378527079581723"/>
    <n v="0.35378527079581723"/>
  </r>
  <r>
    <x v="14"/>
    <x v="14"/>
    <n v="94451289.500000104"/>
    <x v="5"/>
    <n v="0"/>
    <n v="97084366.00000003"/>
    <n v="0"/>
    <m/>
    <n v="0"/>
    <m/>
    <n v="0"/>
    <m/>
    <n v="0"/>
    <m/>
    <n v="0"/>
    <n v="111129438.00000001"/>
    <n v="0"/>
    <n v="52"/>
    <m/>
    <n v="0"/>
    <m/>
    <n v="22"/>
    <m/>
    <n v="17"/>
    <n v="123379924.50000004"/>
    <n v="130"/>
    <n v="52"/>
    <n v="0"/>
    <n v="0"/>
    <n v="130"/>
    <m/>
    <s v=""/>
    <n v="52"/>
    <s v="2018 (triag)"/>
    <n v="130"/>
    <n v="2022"/>
    <s v=""/>
    <n v="130"/>
    <n v="130"/>
    <s v="Increasing"/>
    <n v="-4.0290808124875621E-2"/>
    <n v="7.5715887821594663E-2"/>
    <n v="63.605360997411772"/>
    <n v="65.260789055666635"/>
    <n v="0"/>
    <n v="4.6792281987424423E-3"/>
    <n v="1.0536560184067867E-2"/>
    <n v="1.0536560184067867E-2"/>
  </r>
  <r>
    <x v="14"/>
    <x v="14"/>
    <n v="94451290.500000104"/>
    <x v="6"/>
    <n v="0"/>
    <n v="97084366.00000003"/>
    <n v="0"/>
    <m/>
    <n v="0"/>
    <m/>
    <n v="0"/>
    <m/>
    <n v="0"/>
    <m/>
    <n v="0"/>
    <n v="111129438.00000001"/>
    <n v="10450"/>
    <n v="10450"/>
    <m/>
    <n v="0"/>
    <m/>
    <n v="8005"/>
    <m/>
    <n v="0"/>
    <n v="123379924.50000004"/>
    <n v="23757"/>
    <n v="672"/>
    <n v="0"/>
    <n v="10450"/>
    <n v="23757"/>
    <m/>
    <s v=""/>
    <n v="10450"/>
    <n v="2018"/>
    <n v="23757"/>
    <n v="2022"/>
    <s v=""/>
    <n v="23757"/>
    <n v="23757"/>
    <s v="Increasing"/>
    <n v="-4.0290808124875621E-2"/>
    <n v="7.5715887821594663E-2"/>
    <n v="821.97697288962911"/>
    <n v="843.37019702707653"/>
    <n v="0"/>
    <n v="0.94034489763189466"/>
    <n v="1.9255158484069255"/>
    <n v="1.9255158484069255"/>
  </r>
  <r>
    <x v="14"/>
    <x v="14"/>
    <n v="94451291.500000104"/>
    <x v="7"/>
    <n v="0"/>
    <n v="97084366.00000003"/>
    <n v="0"/>
    <m/>
    <n v="0"/>
    <m/>
    <n v="0"/>
    <m/>
    <n v="0"/>
    <m/>
    <n v="0"/>
    <n v="111129438.00000001"/>
    <n v="0"/>
    <n v="11536"/>
    <m/>
    <n v="0"/>
    <m/>
    <n v="0"/>
    <m/>
    <n v="0"/>
    <n v="123379924.50000004"/>
    <n v="0"/>
    <n v="11536"/>
    <n v="0"/>
    <n v="0"/>
    <n v="0"/>
    <m/>
    <s v=""/>
    <n v="11536"/>
    <s v="2018 (triag)"/>
    <n v="11536"/>
    <s v="2018 (triag)"/>
    <s v=""/>
    <n v="11536"/>
    <n v="11536"/>
    <s v="No change"/>
    <n v="-4.0290808124875621E-2"/>
    <n v="7.5715887821594663E-2"/>
    <n v="14110.604701271966"/>
    <n v="14477.855048964815"/>
    <n v="0"/>
    <n v="1.0380687788594771"/>
    <n v="0.93499814064159159"/>
    <n v="0.93499814064159159"/>
  </r>
  <r>
    <x v="14"/>
    <x v="14"/>
    <n v="94451292.500000104"/>
    <x v="8"/>
    <n v="0"/>
    <n v="97084366.00000003"/>
    <n v="0"/>
    <m/>
    <n v="0"/>
    <m/>
    <n v="0"/>
    <m/>
    <n v="0"/>
    <m/>
    <n v="0"/>
    <n v="111129438.00000001"/>
    <n v="0"/>
    <n v="1041"/>
    <m/>
    <n v="0"/>
    <m/>
    <n v="0"/>
    <m/>
    <n v="0"/>
    <n v="123379924.50000004"/>
    <n v="2513"/>
    <n v="1041"/>
    <n v="0"/>
    <n v="0"/>
    <n v="2513"/>
    <m/>
    <s v=""/>
    <n v="1041"/>
    <s v="2018 (triag)"/>
    <n v="2513"/>
    <n v="2022"/>
    <s v=""/>
    <n v="2513"/>
    <n v="2513"/>
    <s v="Increasing"/>
    <n v="-4.0290808124875621E-2"/>
    <n v="7.5715887821594663E-2"/>
    <n v="1273.3303999674165"/>
    <n v="1306.4707962874802"/>
    <n v="0"/>
    <n v="9.3674549132516965E-2"/>
    <n v="0.20367981340432731"/>
    <n v="0.20367981340432731"/>
  </r>
  <r>
    <x v="14"/>
    <x v="14"/>
    <n v="94451293.500000104"/>
    <x v="9"/>
    <n v="0"/>
    <n v="97084366.00000003"/>
    <n v="0"/>
    <m/>
    <n v="0"/>
    <m/>
    <n v="0"/>
    <m/>
    <n v="0"/>
    <m/>
    <n v="0"/>
    <n v="111129438.00000001"/>
    <n v="0"/>
    <n v="2953"/>
    <m/>
    <n v="0"/>
    <m/>
    <n v="0"/>
    <m/>
    <n v="0"/>
    <n v="123379924.50000004"/>
    <n v="0"/>
    <n v="2953"/>
    <n v="0"/>
    <n v="0"/>
    <n v="0"/>
    <m/>
    <s v=""/>
    <n v="2953"/>
    <s v="2018 (triag)"/>
    <n v="2953"/>
    <s v="2018 (triag)"/>
    <s v=""/>
    <n v="2953"/>
    <n v="2953"/>
    <s v="No change"/>
    <n v="-4.0290808124875621E-2"/>
    <n v="7.5715887821594663E-2"/>
    <n v="3612.0505966414803"/>
    <n v="3706.0598092573764"/>
    <n v="0"/>
    <n v="0.26572617059396986"/>
    <n v="0.23934201710424932"/>
    <n v="0.23934201710424932"/>
  </r>
  <r>
    <x v="14"/>
    <x v="14"/>
    <n v="94451294.500000104"/>
    <x v="10"/>
    <n v="0"/>
    <n v="97084366.00000003"/>
    <n v="0"/>
    <m/>
    <n v="0"/>
    <m/>
    <n v="0"/>
    <m/>
    <n v="0"/>
    <m/>
    <n v="0"/>
    <n v="111129438.00000001"/>
    <n v="0"/>
    <n v="330"/>
    <m/>
    <n v="0"/>
    <m/>
    <n v="654"/>
    <m/>
    <n v="567"/>
    <n v="123379924.50000004"/>
    <n v="674"/>
    <n v="330"/>
    <n v="0"/>
    <n v="0"/>
    <n v="674"/>
    <m/>
    <s v=""/>
    <n v="330"/>
    <s v="2018 (triag)"/>
    <n v="674"/>
    <n v="2022"/>
    <s v=""/>
    <n v="674"/>
    <n v="674"/>
    <s v="Increasing"/>
    <n v="-4.0290808124875621E-2"/>
    <n v="7.5715887821594663E-2"/>
    <n v="403.64940632972855"/>
    <n v="414.15500746865365"/>
    <n v="0"/>
    <n v="2.9695102030480883E-2"/>
    <n v="5.4628012031244171E-2"/>
    <n v="5.4628012031244171E-2"/>
  </r>
  <r>
    <x v="14"/>
    <x v="14"/>
    <n v="94451295.500000104"/>
    <x v="11"/>
    <n v="0"/>
    <n v="97084366.00000003"/>
    <n v="0"/>
    <m/>
    <n v="0"/>
    <m/>
    <n v="0"/>
    <m/>
    <n v="0"/>
    <m/>
    <n v="0"/>
    <n v="111129438.00000001"/>
    <n v="0"/>
    <n v="73174"/>
    <m/>
    <n v="0"/>
    <m/>
    <n v="0"/>
    <m/>
    <n v="0"/>
    <n v="123379924.50000004"/>
    <n v="0"/>
    <n v="73174"/>
    <n v="0"/>
    <n v="0"/>
    <n v="0"/>
    <m/>
    <s v=""/>
    <n v="73174"/>
    <s v="2018 (triag)"/>
    <n v="73174"/>
    <s v="2018 (triag)"/>
    <s v=""/>
    <n v="73174"/>
    <n v="73174"/>
    <s v="No change"/>
    <n v="-4.0290808124875621E-2"/>
    <n v="7.5715887821594663E-2"/>
    <n v="89504.974723550171"/>
    <n v="91834.480353064428"/>
    <n v="0"/>
    <n v="6.5845739272072974"/>
    <n v="5.930786576222939"/>
    <n v="5.930786576222939"/>
  </r>
  <r>
    <x v="14"/>
    <x v="14"/>
    <n v="94451296.500000104"/>
    <x v="12"/>
    <n v="0"/>
    <n v="97084366.00000003"/>
    <n v="0"/>
    <m/>
    <n v="0"/>
    <m/>
    <n v="0"/>
    <m/>
    <n v="0"/>
    <m/>
    <n v="0"/>
    <n v="111129438.00000001"/>
    <n v="0"/>
    <n v="2872"/>
    <m/>
    <n v="0"/>
    <m/>
    <n v="0"/>
    <m/>
    <n v="0"/>
    <n v="123379924.50000004"/>
    <n v="0"/>
    <n v="2872"/>
    <n v="0"/>
    <n v="0"/>
    <n v="0"/>
    <m/>
    <s v=""/>
    <n v="2872"/>
    <s v="2018 (triag)"/>
    <n v="2872"/>
    <s v="2018 (triag)"/>
    <s v=""/>
    <n v="2872"/>
    <n v="2872"/>
    <s v="No change"/>
    <n v="-4.0290808124875621E-2"/>
    <n v="7.5715887821594663E-2"/>
    <n v="3512.9730150878195"/>
    <n v="3604.4035801514342"/>
    <n v="0"/>
    <n v="0.25843737282285184"/>
    <n v="0.2327769296049455"/>
    <n v="0.2327769296049455"/>
  </r>
  <r>
    <x v="14"/>
    <x v="14"/>
    <n v="94451297.500000104"/>
    <x v="13"/>
    <n v="0"/>
    <n v="97084366.00000003"/>
    <n v="0"/>
    <m/>
    <n v="0"/>
    <m/>
    <n v="0"/>
    <m/>
    <n v="0"/>
    <m/>
    <n v="0"/>
    <n v="111129438.00000001"/>
    <n v="0"/>
    <n v="10450"/>
    <m/>
    <n v="0"/>
    <m/>
    <n v="4752"/>
    <m/>
    <n v="0"/>
    <n v="123379924.50000004"/>
    <n v="13915"/>
    <n v="10450"/>
    <n v="0"/>
    <n v="0"/>
    <n v="13915"/>
    <m/>
    <s v=""/>
    <n v="10450"/>
    <s v="2018 (triag)"/>
    <n v="13915"/>
    <n v="2022"/>
    <s v=""/>
    <n v="13915"/>
    <n v="13915"/>
    <s v="Increasing"/>
    <n v="-4.0290808124875621E-2"/>
    <n v="7.5715887821594663E-2"/>
    <n v="12782.231200441405"/>
    <n v="13114.9085698407"/>
    <n v="0"/>
    <n v="0.94034489763189466"/>
    <n v="1.1278171920100335"/>
    <n v="1.1278171920100335"/>
  </r>
  <r>
    <x v="14"/>
    <x v="14"/>
    <n v="94451298.500000104"/>
    <x v="14"/>
    <n v="0"/>
    <n v="97084366.00000003"/>
    <n v="0"/>
    <m/>
    <n v="0"/>
    <m/>
    <n v="0"/>
    <m/>
    <n v="0"/>
    <m/>
    <n v="0"/>
    <n v="111129438.00000001"/>
    <n v="0"/>
    <n v="1285"/>
    <m/>
    <n v="0"/>
    <m/>
    <n v="1234"/>
    <m/>
    <n v="0"/>
    <n v="123379924.50000004"/>
    <n v="1205"/>
    <n v="1285"/>
    <n v="0"/>
    <n v="0"/>
    <n v="1234"/>
    <m/>
    <s v=""/>
    <n v="1285"/>
    <s v="2018 (triag)"/>
    <n v="1205"/>
    <n v="2022"/>
    <s v="Adjust"/>
    <n v="1230.1476924425951"/>
    <n v="1285"/>
    <s v="Decreasing"/>
    <n v="-4.0290808124875621E-2"/>
    <n v="7.5715887821594663E-2"/>
    <n v="1571.7863246475795"/>
    <n v="1612.6944987794545"/>
    <n v="0"/>
    <n v="0.1156309276035392"/>
    <n v="9.9704039974720104E-2"/>
    <n v="0.10414984489636314"/>
  </r>
  <r>
    <x v="14"/>
    <x v="14"/>
    <n v="94451299.500000104"/>
    <x v="15"/>
    <n v="0"/>
    <n v="97084366.00000003"/>
    <n v="0"/>
    <m/>
    <n v="0"/>
    <m/>
    <n v="0"/>
    <m/>
    <n v="0"/>
    <m/>
    <n v="0"/>
    <n v="111129438.00000001"/>
    <n v="0"/>
    <n v="258"/>
    <m/>
    <n v="0"/>
    <m/>
    <n v="249"/>
    <m/>
    <n v="0"/>
    <n v="123379924.50000004"/>
    <n v="3275"/>
    <n v="258"/>
    <n v="0"/>
    <n v="0"/>
    <n v="3275"/>
    <m/>
    <s v=""/>
    <n v="258"/>
    <s v="2018 (triag)"/>
    <n v="3275"/>
    <n v="2022"/>
    <s v=""/>
    <n v="3275"/>
    <n v="3275"/>
    <s v="Increasing"/>
    <n v="-4.0290808124875621E-2"/>
    <n v="7.5715887821594663E-2"/>
    <n v="315.58044494869688"/>
    <n v="323.79391493003834"/>
    <n v="0"/>
    <n v="2.3216170678375964E-2"/>
    <n v="0.26544026617555588"/>
    <n v="0.26544026617555588"/>
  </r>
  <r>
    <x v="14"/>
    <x v="14"/>
    <n v="94451300.500000104"/>
    <x v="16"/>
    <n v="0"/>
    <n v="97084366.00000003"/>
    <n v="0"/>
    <m/>
    <n v="0"/>
    <m/>
    <n v="0"/>
    <m/>
    <n v="0"/>
    <m/>
    <n v="0"/>
    <n v="111129438.00000001"/>
    <n v="0"/>
    <n v="0"/>
    <m/>
    <n v="0"/>
    <m/>
    <n v="0"/>
    <m/>
    <n v="0"/>
    <n v="123379924.50000004"/>
    <n v="0"/>
    <n v="0"/>
    <n v="0"/>
    <n v="0"/>
    <n v="0"/>
    <m/>
    <s v=""/>
    <m/>
    <s v=""/>
    <n v="0"/>
    <s v=""/>
    <s v=""/>
    <m/>
    <n v="0"/>
    <s v="No change"/>
    <n v="-4.0290808124875621E-2"/>
    <n v="7.5715887821594663E-2"/>
    <n v="0"/>
    <n v="0"/>
    <n v="0"/>
    <n v="0"/>
    <n v="0"/>
    <n v="0"/>
  </r>
  <r>
    <x v="14"/>
    <x v="14"/>
    <n v="94451301.500000104"/>
    <x v="17"/>
    <n v="0"/>
    <n v="97084366.00000003"/>
    <n v="0"/>
    <m/>
    <n v="0"/>
    <m/>
    <n v="0"/>
    <m/>
    <n v="0"/>
    <m/>
    <n v="0"/>
    <n v="111129438.00000001"/>
    <n v="0"/>
    <n v="0"/>
    <m/>
    <n v="0"/>
    <m/>
    <n v="4"/>
    <m/>
    <n v="0"/>
    <n v="123379924.50000004"/>
    <n v="0"/>
    <n v="0"/>
    <n v="0"/>
    <n v="0"/>
    <n v="4"/>
    <m/>
    <s v=""/>
    <m/>
    <s v=""/>
    <n v="4"/>
    <n v="2020"/>
    <s v=""/>
    <n v="4"/>
    <n v="4"/>
    <s v="Increasing"/>
    <n v="-4.0290808124875621E-2"/>
    <n v="7.5715887821594663E-2"/>
    <n v="0"/>
    <n v="0"/>
    <n v="0"/>
    <n v="0"/>
    <n v="3.2420185181747282E-4"/>
    <n v="3.2420185181747282E-4"/>
  </r>
  <r>
    <x v="14"/>
    <x v="14"/>
    <n v="94451302.500000104"/>
    <x v="18"/>
    <n v="0"/>
    <n v="97084366.00000003"/>
    <n v="0"/>
    <m/>
    <n v="0"/>
    <m/>
    <n v="0"/>
    <m/>
    <n v="0"/>
    <m/>
    <n v="0"/>
    <n v="111129438.00000001"/>
    <n v="0"/>
    <n v="0"/>
    <m/>
    <n v="0"/>
    <m/>
    <n v="0"/>
    <m/>
    <n v="0"/>
    <n v="123379924.50000004"/>
    <n v="0"/>
    <n v="0"/>
    <n v="0"/>
    <n v="0"/>
    <n v="0"/>
    <m/>
    <s v=""/>
    <m/>
    <s v=""/>
    <n v="0"/>
    <s v=""/>
    <s v=""/>
    <m/>
    <n v="0"/>
    <s v="No change"/>
    <n v="-4.0290808124875621E-2"/>
    <n v="7.5715887821594663E-2"/>
    <n v="0"/>
    <n v="0"/>
    <n v="0"/>
    <n v="0"/>
    <n v="0"/>
    <n v="0"/>
  </r>
  <r>
    <x v="15"/>
    <x v="15"/>
    <n v="1836710"/>
    <x v="0"/>
    <n v="0"/>
    <n v="1902226.5000000007"/>
    <n v="0"/>
    <m/>
    <n v="0"/>
    <m/>
    <n v="0"/>
    <m/>
    <n v="0"/>
    <m/>
    <n v="0"/>
    <n v="2192011.5"/>
    <n v="0"/>
    <n v="0"/>
    <m/>
    <n v="117"/>
    <m/>
    <n v="110"/>
    <m/>
    <n v="0"/>
    <n v="2388992.5000000005"/>
    <n v="98"/>
    <n v="0"/>
    <n v="0"/>
    <n v="117"/>
    <n v="110"/>
    <m/>
    <s v=""/>
    <n v="117"/>
    <n v="2019"/>
    <n v="98"/>
    <n v="2022"/>
    <s v="Adjust"/>
    <n v="108.87462895058496"/>
    <n v="117"/>
    <s v="Decreasing"/>
    <n v="0.2599900753182236"/>
    <n v="5.4673730437993617E-2"/>
    <n v="0"/>
    <n v="0"/>
    <n v="0"/>
    <n v="0.53375632381490701"/>
    <n v="0.45573449456448667"/>
    <n v="0.4897462005426973"/>
  </r>
  <r>
    <x v="15"/>
    <x v="15"/>
    <n v="1836711"/>
    <x v="1"/>
    <n v="0"/>
    <n v="1902226.5000000007"/>
    <n v="0"/>
    <m/>
    <n v="999"/>
    <m/>
    <n v="0"/>
    <m/>
    <n v="4"/>
    <m/>
    <n v="1985"/>
    <n v="2192011.5"/>
    <n v="0"/>
    <n v="6"/>
    <m/>
    <n v="0"/>
    <m/>
    <n v="0"/>
    <m/>
    <n v="0"/>
    <n v="2388992.5000000005"/>
    <n v="0"/>
    <n v="6"/>
    <n v="999"/>
    <n v="1985"/>
    <n v="0"/>
    <n v="999"/>
    <n v="2014"/>
    <n v="6"/>
    <s v="2018 (triag)"/>
    <n v="6"/>
    <s v="2018 (triag)"/>
    <s v=""/>
    <n v="6"/>
    <n v="6"/>
    <s v="No change"/>
    <n v="0.2599900753182236"/>
    <n v="5.4673730437993617E-2"/>
    <n v="1.6352719039570178"/>
    <n v="7.0694356996005805"/>
    <n v="5.2517405261676231"/>
    <n v="2.737211916999523E-2"/>
    <n v="2.5115189771420375E-2"/>
    <n v="2.5115189771420375E-2"/>
  </r>
  <r>
    <x v="15"/>
    <x v="15"/>
    <n v="1836712"/>
    <x v="2"/>
    <n v="0"/>
    <n v="1902226.5000000007"/>
    <n v="296"/>
    <m/>
    <n v="6"/>
    <m/>
    <n v="0"/>
    <m/>
    <n v="29"/>
    <m/>
    <n v="5029"/>
    <n v="2192011.5"/>
    <n v="0"/>
    <n v="312"/>
    <m/>
    <n v="0"/>
    <m/>
    <n v="0"/>
    <m/>
    <n v="0"/>
    <n v="2388992.5000000005"/>
    <n v="0"/>
    <n v="312"/>
    <n v="296"/>
    <n v="5029"/>
    <n v="0"/>
    <n v="296"/>
    <n v="2013"/>
    <n v="312"/>
    <s v="2018 (triag)"/>
    <n v="312"/>
    <s v="2018 (triag)"/>
    <s v=""/>
    <n v="312"/>
    <n v="312"/>
    <s v="No change"/>
    <n v="0.2599900753182236"/>
    <n v="5.4673730437993617E-2"/>
    <n v="85.034139005764928"/>
    <n v="367.61065637923019"/>
    <n v="1.5560712670126291"/>
    <n v="1.4233501968397519"/>
    <n v="1.3059898681138595"/>
    <n v="1.3059898681138595"/>
  </r>
  <r>
    <x v="15"/>
    <x v="15"/>
    <n v="1836713"/>
    <x v="3"/>
    <n v="0"/>
    <n v="1902226.5000000007"/>
    <n v="0"/>
    <m/>
    <n v="0"/>
    <m/>
    <n v="0"/>
    <m/>
    <n v="0"/>
    <m/>
    <n v="0"/>
    <n v="2192011.5"/>
    <n v="0"/>
    <n v="86"/>
    <m/>
    <n v="40"/>
    <m/>
    <n v="18"/>
    <m/>
    <n v="0"/>
    <n v="2388992.5000000005"/>
    <n v="70"/>
    <n v="86"/>
    <n v="0"/>
    <n v="40"/>
    <n v="70"/>
    <m/>
    <s v=""/>
    <n v="86"/>
    <s v="2018 (triag)"/>
    <n v="70"/>
    <n v="2022"/>
    <s v="Adjust"/>
    <n v="77.767592107560688"/>
    <n v="86"/>
    <s v="Decreasing"/>
    <n v="0.2599900753182236"/>
    <n v="5.4673730437993617E-2"/>
    <n v="23.438897290050591"/>
    <n v="101.32857836094165"/>
    <n v="0"/>
    <n v="0.39233370810326496"/>
    <n v="0.3255246389746333"/>
    <n v="0.35998438672369204"/>
  </r>
  <r>
    <x v="15"/>
    <x v="15"/>
    <n v="1836714"/>
    <x v="4"/>
    <n v="0"/>
    <n v="1902226.5000000007"/>
    <n v="0"/>
    <m/>
    <n v="0"/>
    <m/>
    <n v="0"/>
    <m/>
    <n v="0"/>
    <m/>
    <n v="0"/>
    <n v="2192011.5"/>
    <n v="0"/>
    <n v="318"/>
    <m/>
    <n v="344"/>
    <m/>
    <n v="390"/>
    <m/>
    <n v="0"/>
    <n v="2388992.5000000005"/>
    <n v="0"/>
    <n v="318"/>
    <n v="0"/>
    <n v="344"/>
    <n v="390"/>
    <m/>
    <s v=""/>
    <n v="318"/>
    <s v="2018 (triag)"/>
    <n v="390"/>
    <n v="2020"/>
    <s v=""/>
    <n v="390"/>
    <n v="390"/>
    <s v="Increasing"/>
    <n v="0.2599900753182236"/>
    <n v="5.4673730437993617E-2"/>
    <n v="86.669410909721947"/>
    <n v="374.68009207883074"/>
    <n v="0"/>
    <n v="1.4507223160097471"/>
    <n v="1.6324873351423244"/>
    <n v="1.6324873351423244"/>
  </r>
  <r>
    <x v="15"/>
    <x v="15"/>
    <n v="1836715"/>
    <x v="5"/>
    <n v="0"/>
    <n v="1902226.5000000007"/>
    <n v="0"/>
    <m/>
    <n v="0"/>
    <m/>
    <n v="0"/>
    <m/>
    <n v="33"/>
    <m/>
    <n v="46"/>
    <n v="2192011.5"/>
    <n v="0"/>
    <n v="46"/>
    <m/>
    <n v="9"/>
    <m/>
    <n v="9"/>
    <m/>
    <n v="0"/>
    <n v="2388992.5000000005"/>
    <n v="17"/>
    <n v="46"/>
    <n v="0"/>
    <n v="46"/>
    <n v="17"/>
    <m/>
    <s v=""/>
    <n v="46"/>
    <n v="2017"/>
    <n v="17"/>
    <n v="2022"/>
    <s v="Adjust"/>
    <n v="18.88641522612188"/>
    <n v="46"/>
    <s v="Decreasing"/>
    <n v="0.2599900753182236"/>
    <n v="5.4673730437993617E-2"/>
    <n v="12.537084597003805"/>
    <n v="54.199007030271119"/>
    <n v="0"/>
    <n v="0.20985291363663011"/>
    <n v="7.9055983750982384E-2"/>
    <n v="0.1925497882475562"/>
  </r>
  <r>
    <x v="15"/>
    <x v="15"/>
    <n v="1836716"/>
    <x v="6"/>
    <n v="0"/>
    <n v="1902226.5000000007"/>
    <n v="0"/>
    <m/>
    <n v="0"/>
    <m/>
    <n v="0"/>
    <m/>
    <n v="0"/>
    <m/>
    <n v="0"/>
    <n v="2192011.5"/>
    <n v="439"/>
    <n v="439"/>
    <m/>
    <n v="454"/>
    <m/>
    <n v="469"/>
    <m/>
    <n v="0"/>
    <n v="2388992.5000000005"/>
    <n v="231"/>
    <n v="83"/>
    <n v="0"/>
    <n v="454"/>
    <n v="469"/>
    <m/>
    <s v=""/>
    <n v="439"/>
    <n v="2018"/>
    <n v="231"/>
    <n v="2022"/>
    <s v="Adjust"/>
    <n v="256.63305395495024"/>
    <n v="439"/>
    <s v="Decreasing"/>
    <n v="0.2599900753182236"/>
    <n v="5.4673730437993617E-2"/>
    <n v="22.621261338072081"/>
    <n v="97.793860511141361"/>
    <n v="0"/>
    <n v="2.0027267192713176"/>
    <n v="1.07423130861629"/>
    <n v="1.8375947182755907"/>
  </r>
  <r>
    <x v="15"/>
    <x v="15"/>
    <n v="1836717"/>
    <x v="7"/>
    <n v="0"/>
    <n v="1902226.5000000007"/>
    <n v="0"/>
    <m/>
    <n v="0"/>
    <m/>
    <n v="0"/>
    <m/>
    <n v="0"/>
    <m/>
    <n v="18"/>
    <n v="2192011.5"/>
    <n v="0"/>
    <n v="18"/>
    <m/>
    <n v="14"/>
    <m/>
    <n v="14"/>
    <m/>
    <n v="0"/>
    <n v="2388992.5000000005"/>
    <n v="0"/>
    <n v="18"/>
    <n v="0"/>
    <n v="18"/>
    <n v="14"/>
    <m/>
    <s v=""/>
    <n v="18"/>
    <n v="2017"/>
    <n v="14"/>
    <n v="2020"/>
    <s v="Adjust"/>
    <n v="15.553518421512138"/>
    <n v="18"/>
    <s v="Decreasing"/>
    <n v="0.2599900753182236"/>
    <n v="5.4673730437993617E-2"/>
    <n v="4.9058157118710541"/>
    <n v="21.20830709880174"/>
    <n v="0"/>
    <n v="8.2116357509985693E-2"/>
    <n v="6.5104927794926673E-2"/>
    <n v="7.5345569314261118E-2"/>
  </r>
  <r>
    <x v="15"/>
    <x v="15"/>
    <n v="1836718"/>
    <x v="8"/>
    <n v="0"/>
    <n v="1902226.5000000007"/>
    <n v="0"/>
    <m/>
    <n v="0"/>
    <m/>
    <n v="0"/>
    <m/>
    <n v="66"/>
    <m/>
    <n v="93"/>
    <n v="2192011.5"/>
    <n v="0"/>
    <n v="93"/>
    <m/>
    <n v="78"/>
    <m/>
    <n v="82"/>
    <m/>
    <n v="0"/>
    <n v="2388992.5000000005"/>
    <n v="478"/>
    <n v="93"/>
    <n v="0"/>
    <n v="93"/>
    <n v="478"/>
    <m/>
    <s v=""/>
    <n v="93"/>
    <n v="2017"/>
    <n v="478"/>
    <n v="2022"/>
    <s v=""/>
    <n v="478"/>
    <n v="478"/>
    <s v="Increasing"/>
    <n v="0.2599900753182236"/>
    <n v="5.4673730437993617E-2"/>
    <n v="25.346714511333779"/>
    <n v="109.576253343809"/>
    <n v="0"/>
    <n v="0.42426784713492605"/>
    <n v="2.000843451789823"/>
    <n v="2.000843451789823"/>
  </r>
  <r>
    <x v="15"/>
    <x v="15"/>
    <n v="1836719"/>
    <x v="9"/>
    <n v="0"/>
    <n v="1902226.5000000007"/>
    <n v="0"/>
    <m/>
    <n v="0"/>
    <m/>
    <n v="0"/>
    <m/>
    <n v="0"/>
    <m/>
    <n v="32"/>
    <n v="2192011.5"/>
    <n v="0"/>
    <n v="127"/>
    <m/>
    <n v="1"/>
    <m/>
    <n v="0"/>
    <m/>
    <n v="0"/>
    <n v="2388992.5000000005"/>
    <n v="0"/>
    <n v="127"/>
    <n v="0"/>
    <n v="32"/>
    <n v="0"/>
    <m/>
    <s v=""/>
    <n v="127"/>
    <s v="2018 (triag)"/>
    <n v="1"/>
    <s v="2018 (triag)"/>
    <s v="Adjust"/>
    <n v="1.1109656015365812"/>
    <n v="127"/>
    <s v="Decreasing"/>
    <n v="0.2599900753182236"/>
    <n v="5.4673730437993617E-2"/>
    <n v="34.613255300423546"/>
    <n v="149.63638897487894"/>
    <n v="0"/>
    <n v="0.57937652243156568"/>
    <n v="4.6503519853519047E-3"/>
    <n v="0.5316048501617312"/>
  </r>
  <r>
    <x v="15"/>
    <x v="15"/>
    <n v="1836720"/>
    <x v="10"/>
    <n v="0"/>
    <n v="1902226.5000000007"/>
    <n v="0"/>
    <m/>
    <n v="0"/>
    <m/>
    <n v="0"/>
    <m/>
    <n v="0"/>
    <m/>
    <n v="5"/>
    <n v="2192011.5"/>
    <n v="0"/>
    <n v="5"/>
    <m/>
    <n v="9"/>
    <m/>
    <n v="9"/>
    <m/>
    <n v="0"/>
    <n v="2388992.5000000005"/>
    <n v="0"/>
    <n v="5"/>
    <n v="0"/>
    <n v="9"/>
    <n v="9"/>
    <m/>
    <s v=""/>
    <n v="5"/>
    <n v="2017"/>
    <n v="9"/>
    <n v="2020"/>
    <s v=""/>
    <n v="9"/>
    <n v="9"/>
    <s v="Increasing"/>
    <n v="0.2599900753182236"/>
    <n v="5.4673730437993617E-2"/>
    <n v="1.3627265866308482"/>
    <n v="5.8911964163338171"/>
    <n v="0"/>
    <n v="2.2810099308329359E-2"/>
    <n v="3.7672784657130559E-2"/>
    <n v="3.7672784657130559E-2"/>
  </r>
  <r>
    <x v="15"/>
    <x v="15"/>
    <n v="1836721"/>
    <x v="11"/>
    <n v="0"/>
    <n v="1902226.5000000007"/>
    <n v="0"/>
    <m/>
    <n v="0"/>
    <m/>
    <n v="0"/>
    <m/>
    <n v="0"/>
    <m/>
    <n v="0"/>
    <n v="2192011.5"/>
    <n v="0"/>
    <n v="1939"/>
    <m/>
    <n v="942"/>
    <m/>
    <n v="947"/>
    <m/>
    <n v="0"/>
    <n v="2388992.5000000005"/>
    <n v="0"/>
    <n v="1939"/>
    <n v="0"/>
    <n v="942"/>
    <n v="947"/>
    <m/>
    <s v=""/>
    <n v="1939"/>
    <s v="2018 (triag)"/>
    <n v="947"/>
    <n v="2020"/>
    <s v="Adjust"/>
    <n v="1052.0844246551424"/>
    <n v="1939"/>
    <s v="Decreasing"/>
    <n v="0.2599900753182236"/>
    <n v="5.4673730437993617E-2"/>
    <n v="528.46537029544299"/>
    <n v="2284.6059702542543"/>
    <n v="0"/>
    <n v="8.8457565117701247"/>
    <n v="4.4038833301282541"/>
    <n v="8.1163921611306851"/>
  </r>
  <r>
    <x v="15"/>
    <x v="15"/>
    <n v="1836722"/>
    <x v="12"/>
    <n v="0"/>
    <n v="1902226.5000000007"/>
    <n v="0"/>
    <m/>
    <n v="0"/>
    <m/>
    <n v="0"/>
    <m/>
    <n v="0"/>
    <m/>
    <n v="0"/>
    <n v="2192011.5"/>
    <n v="0"/>
    <n v="62"/>
    <m/>
    <n v="2595"/>
    <m/>
    <n v="2714"/>
    <m/>
    <n v="0"/>
    <n v="2388992.5000000005"/>
    <n v="0"/>
    <n v="62"/>
    <n v="0"/>
    <n v="2595"/>
    <n v="2714"/>
    <m/>
    <s v=""/>
    <n v="62"/>
    <s v="2018 (triag)"/>
    <n v="2714"/>
    <n v="2020"/>
    <s v=""/>
    <n v="2714"/>
    <n v="2714"/>
    <s v="Increasing"/>
    <n v="0.2599900753182236"/>
    <n v="5.4673730437993617E-2"/>
    <n v="16.897809674222518"/>
    <n v="73.050835562539334"/>
    <n v="0"/>
    <n v="0.28284523142328405"/>
    <n v="11.360437506605816"/>
    <n v="11.360437506605816"/>
  </r>
  <r>
    <x v="15"/>
    <x v="15"/>
    <n v="1836723"/>
    <x v="13"/>
    <n v="0"/>
    <n v="1902226.5000000007"/>
    <n v="0"/>
    <m/>
    <n v="0"/>
    <m/>
    <n v="0"/>
    <m/>
    <n v="287"/>
    <m/>
    <n v="442"/>
    <n v="2192011.5"/>
    <n v="0"/>
    <n v="439"/>
    <m/>
    <n v="72"/>
    <m/>
    <n v="74"/>
    <m/>
    <n v="0"/>
    <n v="2388992.5000000005"/>
    <n v="228"/>
    <n v="439"/>
    <n v="0"/>
    <n v="442"/>
    <n v="228"/>
    <m/>
    <s v=""/>
    <n v="439"/>
    <s v="2018 (triag)"/>
    <n v="228"/>
    <n v="2022"/>
    <s v="Adjust"/>
    <n v="253.30015715034051"/>
    <n v="439"/>
    <s v="Decreasing"/>
    <n v="0.2599900753182236"/>
    <n v="5.4673730437993617E-2"/>
    <n v="119.64739430618847"/>
    <n v="517.2470453541091"/>
    <n v="0"/>
    <n v="2.0027267192713176"/>
    <n v="1.0602802526602342"/>
    <n v="1.8375947182755907"/>
  </r>
  <r>
    <x v="15"/>
    <x v="15"/>
    <n v="1836724"/>
    <x v="14"/>
    <n v="0"/>
    <n v="1902226.5000000007"/>
    <n v="0"/>
    <m/>
    <n v="0"/>
    <m/>
    <n v="0"/>
    <m/>
    <n v="0"/>
    <m/>
    <n v="58"/>
    <n v="2192011.5"/>
    <n v="0"/>
    <n v="58"/>
    <m/>
    <n v="703"/>
    <m/>
    <n v="615"/>
    <m/>
    <n v="0"/>
    <n v="2388992.5000000005"/>
    <n v="84"/>
    <n v="58"/>
    <n v="0"/>
    <n v="703"/>
    <n v="615"/>
    <m/>
    <s v=""/>
    <n v="58"/>
    <n v="2017"/>
    <n v="84"/>
    <n v="2022"/>
    <s v=""/>
    <n v="84"/>
    <n v="84"/>
    <s v="Increasing"/>
    <n v="0.2599900753182236"/>
    <n v="5.4673730437993617E-2"/>
    <n v="15.807628404917839"/>
    <n v="68.337878429472283"/>
    <n v="0"/>
    <n v="0.26459715197662054"/>
    <n v="0.35161265679988524"/>
    <n v="0.35161265679988524"/>
  </r>
  <r>
    <x v="15"/>
    <x v="15"/>
    <n v="1836725"/>
    <x v="15"/>
    <n v="0"/>
    <n v="1902226.5000000007"/>
    <n v="0"/>
    <m/>
    <n v="0"/>
    <m/>
    <n v="0"/>
    <m/>
    <n v="0"/>
    <m/>
    <n v="43"/>
    <n v="2192011.5"/>
    <n v="0"/>
    <n v="43"/>
    <m/>
    <n v="43"/>
    <m/>
    <n v="32"/>
    <m/>
    <n v="0"/>
    <n v="2388992.5000000005"/>
    <n v="2"/>
    <n v="43"/>
    <n v="0"/>
    <n v="43"/>
    <n v="32"/>
    <m/>
    <s v=""/>
    <n v="43"/>
    <n v="2017"/>
    <n v="2"/>
    <n v="2022"/>
    <s v="Adjust"/>
    <n v="2.2219312030731624"/>
    <n v="43"/>
    <s v="Decreasing"/>
    <n v="0.2599900753182236"/>
    <n v="5.4673730437993617E-2"/>
    <n v="11.719448645025295"/>
    <n v="50.664289180470824"/>
    <n v="0"/>
    <n v="0.19616685405163248"/>
    <n v="9.3007039707038094E-3"/>
    <n v="0.17999219336184602"/>
  </r>
  <r>
    <x v="15"/>
    <x v="15"/>
    <n v="1836726"/>
    <x v="16"/>
    <n v="0"/>
    <n v="1902226.5000000007"/>
    <n v="0"/>
    <m/>
    <n v="0"/>
    <m/>
    <n v="0"/>
    <m/>
    <n v="0"/>
    <m/>
    <n v="0"/>
    <n v="2192011.5"/>
    <n v="0"/>
    <n v="0"/>
    <m/>
    <n v="119"/>
    <m/>
    <n v="115"/>
    <m/>
    <n v="0"/>
    <n v="2388992.5000000005"/>
    <n v="0"/>
    <n v="0"/>
    <n v="0"/>
    <n v="119"/>
    <n v="115"/>
    <m/>
    <s v=""/>
    <n v="119"/>
    <n v="2019"/>
    <n v="115"/>
    <n v="2020"/>
    <s v="Adjust"/>
    <n v="127.76104417670683"/>
    <n v="127.76104417670683"/>
    <s v="Increasing"/>
    <n v="0.2599900753182236"/>
    <n v="5.4673730437993617E-2"/>
    <n v="0"/>
    <n v="0"/>
    <n v="0"/>
    <n v="0.54288036353823876"/>
    <n v="0.534790478315469"/>
    <n v="0.534790478315469"/>
  </r>
  <r>
    <x v="15"/>
    <x v="15"/>
    <n v="1836727"/>
    <x v="17"/>
    <n v="0"/>
    <n v="1902226.5000000007"/>
    <n v="0"/>
    <m/>
    <n v="0"/>
    <m/>
    <n v="0"/>
    <m/>
    <n v="0"/>
    <m/>
    <n v="2"/>
    <n v="2192011.5"/>
    <n v="0"/>
    <n v="0"/>
    <m/>
    <n v="1"/>
    <m/>
    <n v="0"/>
    <m/>
    <n v="0"/>
    <n v="2388992.5000000005"/>
    <n v="0"/>
    <n v="0"/>
    <n v="0"/>
    <n v="2"/>
    <n v="0"/>
    <m/>
    <s v=""/>
    <n v="2"/>
    <n v="2017"/>
    <n v="1"/>
    <n v="2017"/>
    <s v="Adjust"/>
    <n v="1.1109656015365812"/>
    <n v="2"/>
    <s v="Decreasing"/>
    <n v="0.2599900753182236"/>
    <n v="5.4673730437993617E-2"/>
    <n v="0"/>
    <n v="0"/>
    <n v="0"/>
    <n v="9.1240397233317439E-3"/>
    <n v="4.6503519853519047E-3"/>
    <n v="8.3717299238067911E-3"/>
  </r>
  <r>
    <x v="15"/>
    <x v="15"/>
    <n v="1836728"/>
    <x v="18"/>
    <n v="0"/>
    <n v="1902226.5000000007"/>
    <n v="0"/>
    <m/>
    <n v="0"/>
    <m/>
    <n v="0"/>
    <m/>
    <n v="0"/>
    <m/>
    <n v="99"/>
    <n v="2192011.5"/>
    <n v="0"/>
    <n v="99"/>
    <m/>
    <n v="117"/>
    <m/>
    <n v="112"/>
    <m/>
    <n v="0"/>
    <n v="2388992.5000000005"/>
    <n v="0"/>
    <n v="99"/>
    <n v="0"/>
    <n v="117"/>
    <n v="112"/>
    <m/>
    <s v=""/>
    <n v="99"/>
    <n v="2017"/>
    <n v="112"/>
    <n v="2020"/>
    <s v=""/>
    <n v="112"/>
    <n v="112"/>
    <s v="Increasing"/>
    <n v="0.2599900753182236"/>
    <n v="5.4673730437993617E-2"/>
    <n v="26.981986415290795"/>
    <n v="116.64568904340958"/>
    <n v="0"/>
    <n v="0.45163996630492131"/>
    <n v="0.46881687573318032"/>
    <n v="0.46881687573318032"/>
  </r>
  <r>
    <x v="16"/>
    <x v="16"/>
    <n v="26858767"/>
    <x v="0"/>
    <n v="0"/>
    <n v="27525596.999999989"/>
    <n v="5293"/>
    <m/>
    <n v="0"/>
    <m/>
    <n v="0"/>
    <m/>
    <n v="0"/>
    <m/>
    <n v="15456"/>
    <n v="30870640.5"/>
    <n v="15820"/>
    <n v="15820"/>
    <m/>
    <n v="0"/>
    <m/>
    <n v="0"/>
    <m/>
    <n v="0"/>
    <n v="33475870.500000011"/>
    <n v="0"/>
    <n v="15820"/>
    <n v="5293"/>
    <n v="15820"/>
    <n v="0"/>
    <n v="5293"/>
    <n v="2013"/>
    <n v="15820"/>
    <n v="2018"/>
    <n v="15820"/>
    <n v="2018"/>
    <s v=""/>
    <n v="15820"/>
    <n v="15820"/>
    <s v="No change"/>
    <n v="2.6327637949120408E-2"/>
    <n v="6.0316928868946684E-2"/>
    <n v="13868.731483776815"/>
    <n v="18957.995126192636"/>
    <n v="1.92293740259294"/>
    <n v="5.1246102263411091"/>
    <n v="4.7257919700699027"/>
    <n v="4.7257919700699027"/>
  </r>
  <r>
    <x v="16"/>
    <x v="16"/>
    <n v="26858768"/>
    <x v="1"/>
    <n v="0"/>
    <n v="27525596.999999989"/>
    <n v="4"/>
    <m/>
    <n v="0"/>
    <m/>
    <n v="0"/>
    <m/>
    <n v="19"/>
    <m/>
    <n v="0"/>
    <n v="30870640.5"/>
    <n v="0"/>
    <n v="0"/>
    <m/>
    <n v="0"/>
    <m/>
    <n v="0"/>
    <m/>
    <n v="0"/>
    <n v="33475870.500000011"/>
    <n v="3321"/>
    <n v="0"/>
    <n v="4"/>
    <n v="19"/>
    <n v="3321"/>
    <n v="4"/>
    <n v="2013"/>
    <m/>
    <s v=""/>
    <n v="3321"/>
    <n v="2022"/>
    <s v=""/>
    <n v="3321"/>
    <n v="3321"/>
    <s v="Increasing"/>
    <n v="2.6327637949120408E-2"/>
    <n v="6.0316928868946684E-2"/>
    <n v="0"/>
    <n v="0"/>
    <n v="1.4531928226661176E-3"/>
    <n v="0"/>
    <n v="0.99205784656145057"/>
    <n v="0.99205784656145057"/>
  </r>
  <r>
    <x v="16"/>
    <x v="16"/>
    <n v="26858769"/>
    <x v="2"/>
    <n v="0"/>
    <n v="27525596.999999989"/>
    <n v="351"/>
    <m/>
    <n v="0"/>
    <m/>
    <n v="0"/>
    <m/>
    <n v="160"/>
    <m/>
    <n v="0"/>
    <n v="30870640.5"/>
    <n v="0"/>
    <n v="47"/>
    <m/>
    <n v="0"/>
    <m/>
    <n v="0"/>
    <m/>
    <n v="0"/>
    <n v="33475870.500000011"/>
    <n v="4778"/>
    <n v="47"/>
    <n v="351"/>
    <n v="160"/>
    <n v="4778"/>
    <n v="351"/>
    <n v="2013"/>
    <n v="47"/>
    <s v="2018 (triag)"/>
    <n v="4778"/>
    <n v="2022"/>
    <s v=""/>
    <n v="4778"/>
    <n v="4778"/>
    <s v="Increasing"/>
    <n v="2.6327637949120408E-2"/>
    <n v="6.0316928868946684E-2"/>
    <n v="41.202931715392566"/>
    <n v="56.32274152535107"/>
    <n v="0.1275176701889518"/>
    <n v="1.5224821784957782E-2"/>
    <n v="1.4272967151070795"/>
    <n v="1.4272967151070795"/>
  </r>
  <r>
    <x v="16"/>
    <x v="16"/>
    <n v="26858770"/>
    <x v="3"/>
    <n v="0"/>
    <n v="27525596.999999989"/>
    <n v="0"/>
    <m/>
    <n v="0"/>
    <m/>
    <n v="0"/>
    <m/>
    <n v="0"/>
    <m/>
    <n v="0"/>
    <n v="30870640.5"/>
    <n v="0"/>
    <n v="4059"/>
    <m/>
    <n v="0"/>
    <m/>
    <n v="0"/>
    <m/>
    <n v="3453"/>
    <n v="33475870.500000011"/>
    <n v="3602"/>
    <n v="4059"/>
    <n v="0"/>
    <n v="0"/>
    <n v="3602"/>
    <m/>
    <s v=""/>
    <n v="4059"/>
    <s v="2018 (triag)"/>
    <n v="3602"/>
    <n v="2022"/>
    <s v="Adjust"/>
    <n v="4345.9371270962411"/>
    <n v="4345.9371270962411"/>
    <s v="Increasing"/>
    <n v="2.6327637949120408E-2"/>
    <n v="6.0316928868946684E-2"/>
    <n v="3558.3553155910299"/>
    <n v="4864.1278266255313"/>
    <n v="0"/>
    <n v="1.3148415239392264"/>
    <n v="1.2982297583855928"/>
    <n v="1.2982297583855928"/>
  </r>
  <r>
    <x v="16"/>
    <x v="16"/>
    <n v="26858771"/>
    <x v="4"/>
    <n v="0"/>
    <n v="27525596.999999989"/>
    <n v="0"/>
    <m/>
    <n v="0"/>
    <m/>
    <n v="0"/>
    <m/>
    <n v="0"/>
    <m/>
    <n v="0"/>
    <n v="30870640.5"/>
    <n v="0"/>
    <n v="1033"/>
    <m/>
    <n v="0"/>
    <m/>
    <n v="0"/>
    <m/>
    <n v="0"/>
    <n v="33475870.500000011"/>
    <n v="0"/>
    <n v="1033"/>
    <n v="0"/>
    <n v="0"/>
    <n v="0"/>
    <m/>
    <s v=""/>
    <n v="1033"/>
    <s v="2018 (triag)"/>
    <n v="1033"/>
    <s v="2018 (triag)"/>
    <s v=""/>
    <n v="1033"/>
    <n v="1033"/>
    <s v="No change"/>
    <n v="2.6327637949120408E-2"/>
    <n v="6.0316928868946684E-2"/>
    <n v="905.58783961703227"/>
    <n v="1237.9019573550565"/>
    <n v="0"/>
    <n v="0.33462214689066783"/>
    <n v="0.30858047440469089"/>
    <n v="0.30858047440469089"/>
  </r>
  <r>
    <x v="16"/>
    <x v="16"/>
    <n v="26858772"/>
    <x v="5"/>
    <n v="0"/>
    <n v="27525596.999999989"/>
    <n v="0"/>
    <m/>
    <n v="0"/>
    <m/>
    <n v="0"/>
    <m/>
    <n v="30"/>
    <m/>
    <n v="167"/>
    <n v="30870640.5"/>
    <n v="0"/>
    <n v="0"/>
    <m/>
    <n v="0"/>
    <m/>
    <n v="0"/>
    <m/>
    <n v="0"/>
    <n v="33475870.500000011"/>
    <n v="1550"/>
    <n v="0"/>
    <n v="0"/>
    <n v="167"/>
    <n v="1550"/>
    <m/>
    <s v=""/>
    <n v="167"/>
    <n v="2017"/>
    <n v="1550"/>
    <n v="2022"/>
    <s v=""/>
    <n v="1550"/>
    <n v="1550"/>
    <s v="Increasing"/>
    <n v="2.6327637949120408E-2"/>
    <n v="6.0316928868946684E-2"/>
    <n v="0"/>
    <n v="0"/>
    <n v="0"/>
    <n v="5.4096707193360627E-2"/>
    <n v="0.46302007292088176"/>
    <n v="0.46302007292088176"/>
  </r>
  <r>
    <x v="16"/>
    <x v="16"/>
    <n v="26858773"/>
    <x v="6"/>
    <n v="0"/>
    <n v="27525596.999999989"/>
    <n v="0"/>
    <m/>
    <n v="0"/>
    <m/>
    <n v="0"/>
    <m/>
    <n v="0"/>
    <m/>
    <n v="0"/>
    <n v="30870640.5"/>
    <n v="1563"/>
    <n v="1563"/>
    <m/>
    <n v="0"/>
    <m/>
    <n v="0"/>
    <m/>
    <n v="1759"/>
    <n v="33475870.500000011"/>
    <n v="4227"/>
    <n v="398"/>
    <n v="0"/>
    <n v="1563"/>
    <n v="4227"/>
    <m/>
    <s v=""/>
    <n v="1563"/>
    <n v="2018"/>
    <n v="4227"/>
    <n v="2022"/>
    <s v=""/>
    <n v="4227"/>
    <n v="4227"/>
    <s v="Increasing"/>
    <n v="2.6327637949120408E-2"/>
    <n v="6.0316928868946684E-2"/>
    <n v="348.90993239843067"/>
    <n v="476.9457686614835"/>
    <n v="0"/>
    <n v="0.50630630744444705"/>
    <n v="1.2627005472493982"/>
    <n v="1.2627005472493982"/>
  </r>
  <r>
    <x v="16"/>
    <x v="16"/>
    <n v="26858774"/>
    <x v="7"/>
    <n v="0"/>
    <n v="27525596.999999989"/>
    <n v="0"/>
    <m/>
    <n v="0"/>
    <m/>
    <n v="0"/>
    <m/>
    <n v="0"/>
    <m/>
    <n v="240"/>
    <n v="30870640.5"/>
    <n v="0"/>
    <n v="1671"/>
    <m/>
    <n v="0"/>
    <m/>
    <n v="0"/>
    <m/>
    <n v="2352"/>
    <n v="33475870.500000011"/>
    <n v="2471"/>
    <n v="1671"/>
    <n v="0"/>
    <n v="240"/>
    <n v="2471"/>
    <m/>
    <s v=""/>
    <n v="1671"/>
    <s v="2018 (triag)"/>
    <n v="2471"/>
    <n v="2022"/>
    <s v=""/>
    <n v="2471"/>
    <n v="2471"/>
    <s v="Increasing"/>
    <n v="2.6327637949120408E-2"/>
    <n v="6.0316928868946684E-2"/>
    <n v="1464.8957212004464"/>
    <n v="2002.4532146566305"/>
    <n v="0"/>
    <n v="0.5412910043120096"/>
    <n v="0.73814361302419285"/>
    <n v="0.73814361302419285"/>
  </r>
  <r>
    <x v="16"/>
    <x v="16"/>
    <n v="26858775"/>
    <x v="8"/>
    <n v="0"/>
    <n v="27525596.999999989"/>
    <n v="0"/>
    <m/>
    <n v="0"/>
    <m/>
    <n v="0"/>
    <m/>
    <n v="0"/>
    <m/>
    <n v="0"/>
    <n v="30870640.5"/>
    <n v="0"/>
    <n v="1476"/>
    <m/>
    <n v="0"/>
    <m/>
    <n v="0"/>
    <m/>
    <n v="1673"/>
    <n v="33475870.500000011"/>
    <n v="2703"/>
    <n v="1476"/>
    <n v="0"/>
    <n v="0"/>
    <n v="2703"/>
    <m/>
    <s v=""/>
    <n v="1476"/>
    <s v="2018 (triag)"/>
    <n v="2703"/>
    <n v="2022"/>
    <s v=""/>
    <n v="2703"/>
    <n v="2703"/>
    <s v="Increasing"/>
    <n v="2.6327637949120408E-2"/>
    <n v="6.0316928868946684E-2"/>
    <n v="1293.9473874876473"/>
    <n v="1768.7737551365569"/>
    <n v="0"/>
    <n v="0.47812419052335503"/>
    <n v="0.80744726264847966"/>
    <n v="0.80744726264847966"/>
  </r>
  <r>
    <x v="16"/>
    <x v="16"/>
    <n v="26858776"/>
    <x v="9"/>
    <n v="0"/>
    <n v="27525596.999999989"/>
    <n v="0"/>
    <m/>
    <n v="0"/>
    <m/>
    <n v="0"/>
    <m/>
    <n v="0"/>
    <m/>
    <n v="0"/>
    <n v="30870640.5"/>
    <n v="0"/>
    <n v="3883"/>
    <m/>
    <n v="0"/>
    <m/>
    <n v="0"/>
    <m/>
    <n v="3238"/>
    <n v="33475870.500000011"/>
    <n v="3555"/>
    <n v="3883"/>
    <n v="0"/>
    <n v="0"/>
    <n v="3555"/>
    <m/>
    <s v=""/>
    <n v="3883"/>
    <s v="2018 (triag)"/>
    <n v="3555"/>
    <n v="2022"/>
    <s v="Adjust"/>
    <n v="4289.2300074478444"/>
    <n v="4289.2300074478444"/>
    <s v="Increasing"/>
    <n v="2.6327637949120408E-2"/>
    <n v="6.0316928868946684E-2"/>
    <n v="3404.0634861887092"/>
    <n v="4653.2171349561322"/>
    <n v="0"/>
    <n v="1.2578294253402356"/>
    <n v="1.2812900585954421"/>
    <n v="1.2812900585954421"/>
  </r>
  <r>
    <x v="16"/>
    <x v="16"/>
    <n v="26858777"/>
    <x v="10"/>
    <n v="0"/>
    <n v="27525596.999999989"/>
    <n v="0"/>
    <m/>
    <n v="0"/>
    <m/>
    <n v="0"/>
    <m/>
    <n v="0"/>
    <m/>
    <n v="133"/>
    <n v="30870640.5"/>
    <n v="0"/>
    <n v="143"/>
    <m/>
    <n v="0"/>
    <m/>
    <n v="0"/>
    <m/>
    <n v="235"/>
    <n v="33475870.500000011"/>
    <n v="309"/>
    <n v="143"/>
    <n v="0"/>
    <n v="133"/>
    <n v="309"/>
    <m/>
    <s v=""/>
    <n v="143"/>
    <s v="2018 (triag)"/>
    <n v="309"/>
    <n v="2022"/>
    <s v=""/>
    <n v="309"/>
    <n v="309"/>
    <s v="Increasing"/>
    <n v="2.6327637949120408E-2"/>
    <n v="6.0316928868946684E-2"/>
    <n v="125.36211138938589"/>
    <n v="171.3649369813873"/>
    <n v="0"/>
    <n v="4.6322330111680063E-2"/>
    <n v="9.2305291956485458E-2"/>
    <n v="9.2305291956485458E-2"/>
  </r>
  <r>
    <x v="16"/>
    <x v="16"/>
    <n v="26858778"/>
    <x v="11"/>
    <n v="0"/>
    <n v="27525596.999999989"/>
    <n v="0"/>
    <m/>
    <n v="0"/>
    <m/>
    <n v="0"/>
    <m/>
    <n v="0"/>
    <m/>
    <n v="0"/>
    <n v="30870640.5"/>
    <n v="0"/>
    <n v="23627"/>
    <m/>
    <n v="0"/>
    <m/>
    <n v="0"/>
    <m/>
    <n v="0"/>
    <n v="33475870.500000011"/>
    <n v="0"/>
    <n v="23627"/>
    <n v="0"/>
    <n v="0"/>
    <n v="0"/>
    <m/>
    <s v=""/>
    <n v="23627"/>
    <s v="2018 (triag)"/>
    <n v="23627"/>
    <s v="2018 (triag)"/>
    <s v=""/>
    <n v="23627"/>
    <n v="23627"/>
    <s v="No change"/>
    <n v="2.6327637949120408E-2"/>
    <n v="6.0316928868946684E-2"/>
    <n v="20712.801439140003"/>
    <n v="28313.562000414247"/>
    <n v="0"/>
    <n v="7.6535503045361173"/>
    <n v="7.0579195244526929"/>
    <n v="7.0579195244526929"/>
  </r>
  <r>
    <x v="16"/>
    <x v="16"/>
    <n v="26858779"/>
    <x v="12"/>
    <n v="0"/>
    <n v="27525596.999999989"/>
    <n v="0"/>
    <m/>
    <n v="0"/>
    <m/>
    <n v="0"/>
    <m/>
    <n v="0"/>
    <m/>
    <n v="0"/>
    <n v="30870640.5"/>
    <n v="0"/>
    <n v="1877"/>
    <m/>
    <n v="0"/>
    <m/>
    <n v="0"/>
    <m/>
    <n v="0"/>
    <n v="33475870.500000011"/>
    <n v="0"/>
    <n v="1877"/>
    <n v="0"/>
    <n v="0"/>
    <n v="0"/>
    <m/>
    <s v=""/>
    <n v="1877"/>
    <s v="2018 (triag)"/>
    <n v="1877"/>
    <s v="2018 (triag)"/>
    <s v=""/>
    <n v="1877"/>
    <n v="1877"/>
    <s v="No change"/>
    <n v="2.6327637949120408E-2"/>
    <n v="6.0316928868946684E-2"/>
    <n v="1645.4872942508903"/>
    <n v="2249.3145924060418"/>
    <n v="0"/>
    <n v="0.60802107426310126"/>
    <n v="0.56070237217580332"/>
    <n v="0.56070237217580332"/>
  </r>
  <r>
    <x v="16"/>
    <x v="16"/>
    <n v="26858780"/>
    <x v="13"/>
    <n v="0"/>
    <n v="27525596.999999989"/>
    <n v="3987"/>
    <m/>
    <n v="0"/>
    <m/>
    <n v="0"/>
    <m/>
    <n v="0"/>
    <m/>
    <n v="0"/>
    <n v="30870640.5"/>
    <n v="0"/>
    <n v="1563"/>
    <m/>
    <n v="0"/>
    <m/>
    <n v="0"/>
    <m/>
    <n v="6276"/>
    <n v="33475870.500000011"/>
    <n v="3748"/>
    <n v="1563"/>
    <n v="3987"/>
    <n v="0"/>
    <n v="6276"/>
    <n v="3987"/>
    <n v="2013"/>
    <n v="1563"/>
    <s v="2018 (triag)"/>
    <n v="3748"/>
    <n v="2022"/>
    <s v=""/>
    <n v="3748"/>
    <n v="3748"/>
    <s v="Increasing"/>
    <n v="2.6327637949120408E-2"/>
    <n v="6.0316928868946684E-2"/>
    <n v="1370.2166440672038"/>
    <n v="1873.0307447685898"/>
    <n v="1.4484699459924526"/>
    <n v="0.50630630744444705"/>
    <n v="1.1196124085854613"/>
    <n v="1.1196124085854613"/>
  </r>
  <r>
    <x v="16"/>
    <x v="16"/>
    <n v="26858781"/>
    <x v="14"/>
    <n v="0"/>
    <n v="27525596.999999989"/>
    <n v="0"/>
    <m/>
    <n v="0"/>
    <m/>
    <n v="0"/>
    <m/>
    <n v="0"/>
    <m/>
    <n v="0"/>
    <n v="30870640.5"/>
    <n v="0"/>
    <n v="2116"/>
    <m/>
    <n v="0"/>
    <m/>
    <n v="0"/>
    <m/>
    <n v="0"/>
    <n v="33475870.500000011"/>
    <n v="2656"/>
    <n v="2116"/>
    <n v="0"/>
    <n v="0"/>
    <n v="2656"/>
    <m/>
    <s v=""/>
    <n v="2116"/>
    <s v="2018 (triag)"/>
    <n v="2656"/>
    <n v="2022"/>
    <s v=""/>
    <n v="2656"/>
    <n v="2656"/>
    <s v="Increasing"/>
    <n v="2.6327637949120408E-2"/>
    <n v="6.0316928868946684E-2"/>
    <n v="1855.0085853142696"/>
    <n v="2535.7217248434649"/>
    <n v="0"/>
    <n v="0.68544091270150354"/>
    <n v="0.79340729914700769"/>
    <n v="0.79340729914700769"/>
  </r>
  <r>
    <x v="16"/>
    <x v="16"/>
    <n v="26858782"/>
    <x v="15"/>
    <n v="0"/>
    <n v="27525596.999999989"/>
    <n v="0"/>
    <m/>
    <n v="0"/>
    <m/>
    <n v="0"/>
    <m/>
    <n v="0"/>
    <m/>
    <n v="324"/>
    <n v="30870640.5"/>
    <n v="0"/>
    <n v="304"/>
    <m/>
    <n v="0"/>
    <m/>
    <n v="0"/>
    <m/>
    <n v="308"/>
    <n v="33475870.500000011"/>
    <n v="381"/>
    <n v="304"/>
    <n v="0"/>
    <n v="324"/>
    <n v="381"/>
    <m/>
    <s v=""/>
    <n v="304"/>
    <s v="2018 (triag)"/>
    <n v="381"/>
    <n v="2022"/>
    <s v=""/>
    <n v="381"/>
    <n v="381"/>
    <s v="Increasing"/>
    <n v="2.6327637949120408E-2"/>
    <n v="6.0316928868946684E-2"/>
    <n v="266.50406896764554"/>
    <n v="364.30028561078137"/>
    <n v="0"/>
    <n v="9.8475443034620552E-2"/>
    <n v="0.11381332115022964"/>
    <n v="0.11381332115022964"/>
  </r>
  <r>
    <x v="16"/>
    <x v="16"/>
    <n v="26858783"/>
    <x v="16"/>
    <n v="0"/>
    <n v="27525596.999999989"/>
    <n v="6118"/>
    <m/>
    <n v="0"/>
    <m/>
    <n v="0"/>
    <m/>
    <n v="0"/>
    <m/>
    <n v="0"/>
    <n v="30870640.5"/>
    <n v="0"/>
    <n v="0"/>
    <m/>
    <n v="0"/>
    <m/>
    <n v="0"/>
    <m/>
    <n v="0"/>
    <n v="33475870.500000011"/>
    <n v="0"/>
    <n v="0"/>
    <n v="6118"/>
    <n v="0"/>
    <n v="0"/>
    <n v="6118"/>
    <n v="2013"/>
    <m/>
    <s v=""/>
    <n v="0"/>
    <s v=""/>
    <s v=""/>
    <m/>
    <n v="0"/>
    <s v="No change"/>
    <n v="2.6327637949120408E-2"/>
    <n v="6.0316928868946684E-2"/>
    <n v="0"/>
    <n v="0"/>
    <n v="2.2226584222678269"/>
    <n v="0"/>
    <n v="0"/>
    <n v="0"/>
  </r>
  <r>
    <x v="16"/>
    <x v="16"/>
    <n v="26858784"/>
    <x v="17"/>
    <n v="0"/>
    <n v="27525596.999999989"/>
    <n v="0"/>
    <m/>
    <n v="0"/>
    <m/>
    <n v="0"/>
    <m/>
    <n v="0"/>
    <m/>
    <n v="0"/>
    <n v="30870640.5"/>
    <n v="0"/>
    <n v="0"/>
    <m/>
    <n v="0"/>
    <m/>
    <n v="0"/>
    <m/>
    <n v="9"/>
    <n v="33475870.500000011"/>
    <n v="30"/>
    <n v="0"/>
    <n v="0"/>
    <n v="0"/>
    <n v="30"/>
    <m/>
    <s v=""/>
    <m/>
    <s v=""/>
    <n v="30"/>
    <n v="2022"/>
    <s v=""/>
    <n v="30"/>
    <n v="30"/>
    <s v="Increasing"/>
    <n v="2.6327637949120408E-2"/>
    <n v="6.0316928868946684E-2"/>
    <n v="0"/>
    <n v="0"/>
    <n v="0"/>
    <n v="0"/>
    <n v="8.9616788307267433E-3"/>
    <n v="8.9616788307267433E-3"/>
  </r>
  <r>
    <x v="16"/>
    <x v="16"/>
    <n v="26858785"/>
    <x v="18"/>
    <n v="0"/>
    <n v="27525596.999999989"/>
    <n v="8638"/>
    <m/>
    <n v="0"/>
    <m/>
    <n v="0"/>
    <m/>
    <n v="0"/>
    <m/>
    <n v="0"/>
    <n v="30870640.5"/>
    <n v="0"/>
    <n v="3468"/>
    <m/>
    <n v="0"/>
    <m/>
    <n v="0"/>
    <m/>
    <n v="7"/>
    <n v="33475870.500000011"/>
    <n v="0"/>
    <n v="3468"/>
    <n v="8638"/>
    <n v="0"/>
    <n v="7"/>
    <n v="8638"/>
    <n v="2013"/>
    <n v="3468"/>
    <s v="2018 (triag)"/>
    <n v="7"/>
    <n v="2021"/>
    <s v="Adjust"/>
    <n v="8.4457412242292307"/>
    <n v="3468"/>
    <s v="Decreasing"/>
    <n v="2.6327637949120408E-2"/>
    <n v="6.0316928868946684E-2"/>
    <n v="3040.2503657230086"/>
    <n v="4155.8993108493087"/>
    <n v="3.1381699005474806"/>
    <n v="1.1233974883028424"/>
    <n v="2.5229340112990425E-3"/>
    <n v="1.0359700728320116"/>
  </r>
  <r>
    <x v="17"/>
    <x v="17"/>
    <n v="10788697"/>
    <x v="0"/>
    <n v="0"/>
    <n v="11055430.000000004"/>
    <n v="0"/>
    <m/>
    <n v="0"/>
    <m/>
    <n v="6700"/>
    <m/>
    <n v="6700"/>
    <m/>
    <n v="0"/>
    <n v="12554864.499999998"/>
    <n v="16567"/>
    <n v="16567"/>
    <m/>
    <n v="0"/>
    <m/>
    <n v="0"/>
    <m/>
    <n v="0"/>
    <n v="13859340.500000006"/>
    <n v="0"/>
    <n v="16567"/>
    <n v="6700"/>
    <n v="16567"/>
    <n v="0"/>
    <n v="6700"/>
    <n v="2015"/>
    <n v="16567"/>
    <n v="2018"/>
    <n v="16567"/>
    <n v="2018"/>
    <s v=""/>
    <n v="16567"/>
    <n v="16567"/>
    <s v="No change"/>
    <n v="4.588291307733483E-2"/>
    <n v="5.4673730437993617E-2"/>
    <n v="13170.746546995812"/>
    <n v="19519.890205880471"/>
    <n v="6.0603703338540411"/>
    <n v="13.195682040216365"/>
    <n v="11.953671244313533"/>
    <n v="11.953671244313533"/>
  </r>
  <r>
    <x v="17"/>
    <x v="17"/>
    <n v="10788698"/>
    <x v="1"/>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7"/>
    <x v="17"/>
    <n v="10788699"/>
    <x v="2"/>
    <n v="0"/>
    <n v="11055430.000000004"/>
    <n v="0"/>
    <m/>
    <n v="0"/>
    <m/>
    <n v="0"/>
    <m/>
    <n v="0"/>
    <m/>
    <n v="0"/>
    <n v="12554864.499999998"/>
    <n v="0"/>
    <n v="0"/>
    <m/>
    <n v="363"/>
    <m/>
    <n v="0"/>
    <m/>
    <n v="0"/>
    <n v="13859340.500000006"/>
    <n v="0"/>
    <n v="0"/>
    <n v="0"/>
    <n v="363"/>
    <n v="0"/>
    <m/>
    <s v=""/>
    <n v="363"/>
    <n v="2019"/>
    <n v="363"/>
    <n v="2019"/>
    <s v=""/>
    <n v="363"/>
    <n v="363"/>
    <s v="No change"/>
    <n v="4.588291307733483E-2"/>
    <n v="5.4673730437993617E-2"/>
    <n v="0"/>
    <n v="0"/>
    <n v="0"/>
    <n v="0.28913095796454041"/>
    <n v="0.26191722470488393"/>
    <n v="0.26191722470488393"/>
  </r>
  <r>
    <x v="17"/>
    <x v="17"/>
    <n v="10788700"/>
    <x v="3"/>
    <n v="0"/>
    <n v="11055430.000000004"/>
    <n v="0"/>
    <m/>
    <n v="0"/>
    <m/>
    <n v="0"/>
    <m/>
    <n v="0"/>
    <m/>
    <n v="0"/>
    <n v="12554864.499999998"/>
    <n v="0"/>
    <n v="1"/>
    <m/>
    <n v="0"/>
    <m/>
    <n v="0"/>
    <m/>
    <n v="0"/>
    <n v="13859340.500000006"/>
    <n v="0"/>
    <n v="1"/>
    <n v="0"/>
    <n v="0"/>
    <n v="0"/>
    <m/>
    <s v=""/>
    <n v="1"/>
    <s v="2018 (triag)"/>
    <n v="1"/>
    <s v="2018 (triag)"/>
    <s v=""/>
    <n v="1"/>
    <n v="1"/>
    <s v="No change"/>
    <n v="4.588291307733483E-2"/>
    <n v="5.4673730437993617E-2"/>
    <n v="0.7949988861589794"/>
    <n v="1.1782392832667634"/>
    <n v="0"/>
    <n v="7.9650401643124077E-4"/>
    <n v="7.2153505428342686E-4"/>
    <n v="7.2153505428342686E-4"/>
  </r>
  <r>
    <x v="17"/>
    <x v="17"/>
    <n v="10788701"/>
    <x v="4"/>
    <n v="0"/>
    <n v="11055430.000000004"/>
    <n v="0"/>
    <m/>
    <n v="0"/>
    <m/>
    <n v="0"/>
    <m/>
    <n v="0"/>
    <m/>
    <n v="0"/>
    <n v="12554864.499999998"/>
    <n v="0"/>
    <n v="189"/>
    <m/>
    <n v="0"/>
    <m/>
    <n v="0"/>
    <m/>
    <n v="0"/>
    <n v="13859340.500000006"/>
    <n v="0"/>
    <n v="189"/>
    <n v="0"/>
    <n v="0"/>
    <n v="0"/>
    <m/>
    <s v=""/>
    <n v="189"/>
    <s v="2018 (triag)"/>
    <n v="189"/>
    <s v="2018 (triag)"/>
    <s v=""/>
    <n v="189"/>
    <n v="189"/>
    <s v="No change"/>
    <n v="4.588291307733483E-2"/>
    <n v="5.4673730437993617E-2"/>
    <n v="150.25478948404711"/>
    <n v="222.68722453741827"/>
    <n v="0"/>
    <n v="0.1505392591055045"/>
    <n v="0.13637012525956768"/>
    <n v="0.13637012525956768"/>
  </r>
  <r>
    <x v="17"/>
    <x v="17"/>
    <n v="10788702"/>
    <x v="5"/>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7"/>
    <x v="17"/>
    <n v="10788703"/>
    <x v="6"/>
    <n v="0"/>
    <n v="11055430.000000004"/>
    <n v="0"/>
    <m/>
    <n v="0"/>
    <m/>
    <n v="0"/>
    <m/>
    <n v="0"/>
    <m/>
    <n v="0"/>
    <n v="12554864.499999998"/>
    <n v="181"/>
    <n v="181"/>
    <m/>
    <n v="0"/>
    <m/>
    <n v="0"/>
    <m/>
    <n v="0"/>
    <n v="13859340.500000006"/>
    <n v="0"/>
    <n v="0"/>
    <n v="0"/>
    <n v="181"/>
    <n v="0"/>
    <m/>
    <s v=""/>
    <n v="181"/>
    <n v="2018"/>
    <n v="181"/>
    <n v="2018"/>
    <s v=""/>
    <n v="181"/>
    <n v="181"/>
    <s v="No change"/>
    <n v="4.588291307733483E-2"/>
    <n v="5.4673730437993617E-2"/>
    <n v="0"/>
    <n v="0"/>
    <n v="0"/>
    <n v="0.14416722697405457"/>
    <n v="0.13059784482530026"/>
    <n v="0.13059784482530026"/>
  </r>
  <r>
    <x v="17"/>
    <x v="17"/>
    <n v="10788704"/>
    <x v="7"/>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7"/>
    <x v="17"/>
    <n v="10788705"/>
    <x v="8"/>
    <n v="0"/>
    <n v="11055430.000000004"/>
    <n v="0"/>
    <m/>
    <n v="0"/>
    <m/>
    <n v="0"/>
    <m/>
    <n v="8"/>
    <m/>
    <n v="0"/>
    <n v="12554864.499999998"/>
    <n v="0"/>
    <n v="0"/>
    <m/>
    <n v="0"/>
    <m/>
    <n v="0"/>
    <m/>
    <n v="0"/>
    <n v="13859340.500000006"/>
    <n v="0"/>
    <n v="0"/>
    <n v="0"/>
    <n v="8"/>
    <n v="0"/>
    <m/>
    <s v=""/>
    <m/>
    <s v=""/>
    <n v="0"/>
    <s v=""/>
    <s v=""/>
    <m/>
    <n v="0"/>
    <s v="No change"/>
    <n v="4.588291307733483E-2"/>
    <n v="5.4673730437993617E-2"/>
    <n v="0"/>
    <n v="0"/>
    <n v="0"/>
    <n v="0"/>
    <n v="0"/>
    <n v="0"/>
  </r>
  <r>
    <x v="17"/>
    <x v="17"/>
    <n v="10788706"/>
    <x v="9"/>
    <n v="0"/>
    <n v="11055430.000000004"/>
    <n v="0"/>
    <m/>
    <n v="0"/>
    <m/>
    <n v="0"/>
    <m/>
    <n v="0"/>
    <m/>
    <n v="0"/>
    <n v="12554864.499999998"/>
    <n v="0"/>
    <n v="66"/>
    <m/>
    <n v="0"/>
    <m/>
    <n v="0"/>
    <m/>
    <n v="0"/>
    <n v="13859340.500000006"/>
    <n v="0"/>
    <n v="66"/>
    <n v="0"/>
    <n v="0"/>
    <n v="0"/>
    <m/>
    <s v=""/>
    <n v="66"/>
    <s v="2018 (triag)"/>
    <n v="66"/>
    <s v="2018 (triag)"/>
    <s v=""/>
    <n v="66"/>
    <n v="66"/>
    <s v="No change"/>
    <n v="4.588291307733483E-2"/>
    <n v="5.4673730437993617E-2"/>
    <n v="52.469926486492646"/>
    <n v="77.763792695606384"/>
    <n v="0"/>
    <n v="5.2569265084461893E-2"/>
    <n v="4.7621313582706173E-2"/>
    <n v="4.7621313582706173E-2"/>
  </r>
  <r>
    <x v="17"/>
    <x v="17"/>
    <n v="10788707"/>
    <x v="10"/>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7"/>
    <x v="17"/>
    <n v="10788708"/>
    <x v="11"/>
    <n v="0"/>
    <n v="11055430.000000004"/>
    <n v="0"/>
    <m/>
    <n v="0"/>
    <m/>
    <n v="0"/>
    <m/>
    <n v="0"/>
    <m/>
    <n v="0"/>
    <n v="12554864.499999998"/>
    <n v="0"/>
    <n v="481"/>
    <m/>
    <n v="0"/>
    <m/>
    <n v="0"/>
    <m/>
    <n v="0"/>
    <n v="13859340.500000006"/>
    <n v="0"/>
    <n v="481"/>
    <n v="0"/>
    <n v="0"/>
    <n v="0"/>
    <m/>
    <s v=""/>
    <n v="481"/>
    <s v="2018 (triag)"/>
    <n v="481"/>
    <s v="2018 (triag)"/>
    <s v=""/>
    <n v="481"/>
    <n v="481"/>
    <s v="No change"/>
    <n v="4.588291307733483E-2"/>
    <n v="5.4673730437993617E-2"/>
    <n v="382.3944642424691"/>
    <n v="566.73309525131322"/>
    <n v="0"/>
    <n v="0.38311843190342681"/>
    <n v="0.34705836111032828"/>
    <n v="0.34705836111032828"/>
  </r>
  <r>
    <x v="17"/>
    <x v="17"/>
    <n v="10788709"/>
    <x v="12"/>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7"/>
    <x v="17"/>
    <n v="10788710"/>
    <x v="13"/>
    <n v="0"/>
    <n v="11055430.000000004"/>
    <n v="0"/>
    <m/>
    <n v="0"/>
    <m/>
    <n v="0"/>
    <m/>
    <n v="209"/>
    <m/>
    <n v="0"/>
    <n v="12554864.499999998"/>
    <n v="0"/>
    <n v="181"/>
    <m/>
    <n v="0"/>
    <m/>
    <n v="0"/>
    <m/>
    <n v="0"/>
    <n v="13859340.500000006"/>
    <n v="0"/>
    <n v="181"/>
    <n v="0"/>
    <n v="209"/>
    <n v="0"/>
    <m/>
    <s v=""/>
    <n v="181"/>
    <s v="2018 (triag)"/>
    <n v="181"/>
    <s v="2018 (triag)"/>
    <s v=""/>
    <n v="181"/>
    <n v="181"/>
    <s v="No change"/>
    <n v="4.588291307733483E-2"/>
    <n v="5.4673730437993617E-2"/>
    <n v="143.89479839477528"/>
    <n v="213.26131027128417"/>
    <n v="0"/>
    <n v="0.14416722697405457"/>
    <n v="0.13059784482530026"/>
    <n v="0.13059784482530026"/>
  </r>
  <r>
    <x v="17"/>
    <x v="17"/>
    <n v="10788711"/>
    <x v="14"/>
    <n v="0"/>
    <n v="11055430.000000004"/>
    <n v="0"/>
    <m/>
    <n v="0"/>
    <m/>
    <n v="0"/>
    <m/>
    <n v="0"/>
    <m/>
    <n v="0"/>
    <n v="12554864.499999998"/>
    <n v="0"/>
    <n v="62"/>
    <m/>
    <n v="0"/>
    <m/>
    <n v="0"/>
    <m/>
    <n v="0"/>
    <n v="13859340.500000006"/>
    <n v="0"/>
    <n v="62"/>
    <n v="0"/>
    <n v="0"/>
    <n v="0"/>
    <m/>
    <s v=""/>
    <n v="62"/>
    <s v="2018 (triag)"/>
    <n v="62"/>
    <s v="2018 (triag)"/>
    <s v=""/>
    <n v="62"/>
    <n v="62"/>
    <s v="No change"/>
    <n v="4.588291307733483E-2"/>
    <n v="5.4673730437993617E-2"/>
    <n v="49.289930941856724"/>
    <n v="73.050835562539334"/>
    <n v="0"/>
    <n v="4.9383249018736926E-2"/>
    <n v="4.4735173365572464E-2"/>
    <n v="4.4735173365572464E-2"/>
  </r>
  <r>
    <x v="17"/>
    <x v="17"/>
    <n v="10788712"/>
    <x v="15"/>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7"/>
    <x v="17"/>
    <n v="10788713"/>
    <x v="16"/>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7"/>
    <x v="17"/>
    <n v="10788714"/>
    <x v="17"/>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7"/>
    <x v="17"/>
    <n v="10788715"/>
    <x v="18"/>
    <n v="0"/>
    <n v="11055430.000000004"/>
    <n v="0"/>
    <m/>
    <n v="0"/>
    <m/>
    <n v="0"/>
    <m/>
    <n v="0"/>
    <m/>
    <n v="0"/>
    <n v="12554864.499999998"/>
    <n v="0"/>
    <n v="0"/>
    <m/>
    <n v="0"/>
    <m/>
    <n v="0"/>
    <m/>
    <n v="0"/>
    <n v="13859340.500000006"/>
    <n v="0"/>
    <n v="0"/>
    <n v="0"/>
    <n v="0"/>
    <n v="0"/>
    <m/>
    <s v=""/>
    <m/>
    <s v=""/>
    <n v="0"/>
    <s v=""/>
    <s v=""/>
    <m/>
    <n v="0"/>
    <s v="No change"/>
    <n v="4.588291307733483E-2"/>
    <n v="5.4673730437993617E-2"/>
    <n v="0"/>
    <n v="0"/>
    <n v="0"/>
    <n v="0"/>
    <n v="0"/>
    <n v="0"/>
  </r>
  <r>
    <x v="18"/>
    <x v="18"/>
    <n v="2061019"/>
    <x v="0"/>
    <n v="0"/>
    <n v="2124869.5"/>
    <n v="0"/>
    <m/>
    <n v="0"/>
    <m/>
    <n v="0"/>
    <m/>
    <n v="0"/>
    <m/>
    <n v="0"/>
    <n v="2444915.5000000014"/>
    <n v="1553"/>
    <n v="1553"/>
    <m/>
    <n v="0"/>
    <m/>
    <n v="0"/>
    <m/>
    <n v="0"/>
    <n v="2705991.9999999995"/>
    <n v="0"/>
    <n v="1553"/>
    <n v="0"/>
    <n v="1553"/>
    <n v="0"/>
    <m/>
    <s v=""/>
    <n v="1553"/>
    <n v="2018"/>
    <n v="1553"/>
    <n v="2018"/>
    <s v=""/>
    <n v="1553"/>
    <n v="1553"/>
    <s v="No change"/>
    <n v="-0.22530855667613492"/>
    <n v="0.45056501122921166"/>
    <n v="4790.9624849220127"/>
    <n v="6000.7446979675451"/>
    <n v="0"/>
    <n v="6.3519577670475691"/>
    <n v="5.7391152671552623"/>
    <n v="5.7391152671552623"/>
  </r>
  <r>
    <x v="18"/>
    <x v="18"/>
    <n v="2061020"/>
    <x v="1"/>
    <n v="0"/>
    <n v="2124869.5"/>
    <n v="0"/>
    <m/>
    <n v="0"/>
    <m/>
    <n v="0"/>
    <m/>
    <n v="3652"/>
    <m/>
    <n v="0"/>
    <n v="2444915.5000000014"/>
    <n v="0"/>
    <n v="0"/>
    <m/>
    <n v="0"/>
    <m/>
    <n v="0"/>
    <m/>
    <n v="1"/>
    <n v="2705991.9999999995"/>
    <n v="59"/>
    <n v="0"/>
    <n v="0"/>
    <n v="3652"/>
    <n v="59"/>
    <m/>
    <s v=""/>
    <m/>
    <s v=""/>
    <n v="59"/>
    <n v="2022"/>
    <s v=""/>
    <n v="59"/>
    <n v="59"/>
    <s v="Increasing"/>
    <n v="-0.22530855667613492"/>
    <n v="0.45056501122921166"/>
    <n v="0"/>
    <n v="0"/>
    <n v="0"/>
    <n v="0"/>
    <n v="0.21803464311793977"/>
    <n v="0.21803464311793977"/>
  </r>
  <r>
    <x v="18"/>
    <x v="18"/>
    <n v="2061021"/>
    <x v="2"/>
    <n v="0"/>
    <n v="2124869.5"/>
    <n v="0"/>
    <m/>
    <n v="0"/>
    <m/>
    <n v="0"/>
    <m/>
    <n v="3831"/>
    <m/>
    <n v="0"/>
    <n v="2444915.5000000014"/>
    <n v="0"/>
    <n v="316"/>
    <m/>
    <n v="0"/>
    <m/>
    <n v="0"/>
    <m/>
    <n v="2742"/>
    <n v="2705991.9999999995"/>
    <n v="2305"/>
    <n v="316"/>
    <n v="0"/>
    <n v="3831"/>
    <n v="2742"/>
    <m/>
    <s v=""/>
    <n v="316"/>
    <s v="2018 (triag)"/>
    <n v="2305"/>
    <n v="2022"/>
    <s v=""/>
    <n v="2305"/>
    <n v="2305"/>
    <s v="Increasing"/>
    <n v="-0.22530855667613492"/>
    <n v="0.45056501122921166"/>
    <n v="974.85134915348101"/>
    <n v="1221.0143751176718"/>
    <n v="0"/>
    <n v="1.2924782063020166"/>
    <n v="8.5181330913025626"/>
    <n v="8.5181330913025626"/>
  </r>
  <r>
    <x v="18"/>
    <x v="18"/>
    <n v="2061022"/>
    <x v="3"/>
    <n v="0"/>
    <n v="2124869.5"/>
    <n v="0"/>
    <m/>
    <n v="0"/>
    <m/>
    <n v="0"/>
    <m/>
    <n v="0"/>
    <m/>
    <n v="0"/>
    <n v="2444915.5000000014"/>
    <n v="0"/>
    <n v="0"/>
    <m/>
    <n v="0"/>
    <m/>
    <n v="0"/>
    <m/>
    <n v="0"/>
    <n v="2705991.9999999995"/>
    <n v="0"/>
    <n v="0"/>
    <n v="0"/>
    <n v="0"/>
    <n v="0"/>
    <m/>
    <s v=""/>
    <m/>
    <s v=""/>
    <n v="0"/>
    <s v=""/>
    <s v=""/>
    <m/>
    <n v="0"/>
    <s v="No change"/>
    <n v="-0.22530855667613492"/>
    <n v="0.45056501122921166"/>
    <n v="0"/>
    <n v="0"/>
    <n v="0"/>
    <n v="0"/>
    <n v="0"/>
    <n v="0"/>
  </r>
  <r>
    <x v="18"/>
    <x v="18"/>
    <n v="2061023"/>
    <x v="4"/>
    <n v="0"/>
    <n v="2124869.5"/>
    <n v="0"/>
    <m/>
    <n v="0"/>
    <m/>
    <n v="0"/>
    <m/>
    <n v="0"/>
    <m/>
    <n v="0"/>
    <n v="2444915.5000000014"/>
    <n v="0"/>
    <n v="0"/>
    <m/>
    <n v="246"/>
    <m/>
    <n v="479"/>
    <m/>
    <n v="522"/>
    <n v="2705991.9999999995"/>
    <n v="0"/>
    <n v="0"/>
    <n v="0"/>
    <n v="246"/>
    <n v="522"/>
    <m/>
    <s v=""/>
    <n v="246"/>
    <n v="2019"/>
    <n v="522"/>
    <n v="2021"/>
    <s v=""/>
    <n v="522"/>
    <n v="522"/>
    <s v="Increasing"/>
    <n v="-0.22530855667613492"/>
    <n v="0.45056501122921166"/>
    <n v="0"/>
    <n v="0"/>
    <n v="0"/>
    <n v="1.0061697428806839"/>
    <n v="1.9290522662299079"/>
    <n v="1.9290522662299079"/>
  </r>
  <r>
    <x v="18"/>
    <x v="18"/>
    <n v="2061024"/>
    <x v="5"/>
    <n v="0"/>
    <n v="2124869.5"/>
    <n v="0"/>
    <m/>
    <n v="0"/>
    <m/>
    <n v="3"/>
    <m/>
    <n v="0"/>
    <m/>
    <n v="0"/>
    <n v="2444915.5000000014"/>
    <n v="7"/>
    <n v="7"/>
    <m/>
    <n v="95"/>
    <m/>
    <n v="4"/>
    <m/>
    <n v="6"/>
    <n v="2705991.9999999995"/>
    <n v="0"/>
    <n v="0"/>
    <n v="3"/>
    <n v="95"/>
    <n v="6"/>
    <n v="3"/>
    <n v="2015"/>
    <n v="7"/>
    <n v="2018"/>
    <n v="6"/>
    <n v="2021"/>
    <s v="Adjust"/>
    <n v="6.1085626911314987"/>
    <n v="7"/>
    <s v="Decreasing"/>
    <n v="-0.22530855667613492"/>
    <n v="0.45056501122921166"/>
    <n v="0"/>
    <n v="0"/>
    <n v="1.4118514101689539E-2"/>
    <n v="2.8630846342133282E-2"/>
    <n v="2.2574208242786747E-2"/>
    <n v="2.5868516980094552E-2"/>
  </r>
  <r>
    <x v="18"/>
    <x v="18"/>
    <n v="2061025"/>
    <x v="6"/>
    <n v="0"/>
    <n v="2124869.5"/>
    <n v="0"/>
    <m/>
    <n v="0"/>
    <m/>
    <n v="11"/>
    <m/>
    <n v="0"/>
    <m/>
    <n v="0"/>
    <n v="2444915.5000000014"/>
    <n v="138"/>
    <n v="138"/>
    <m/>
    <n v="22"/>
    <m/>
    <n v="13"/>
    <m/>
    <n v="18"/>
    <n v="2705991.9999999995"/>
    <n v="0"/>
    <n v="0"/>
    <n v="11"/>
    <n v="138"/>
    <n v="18"/>
    <n v="11"/>
    <n v="2015"/>
    <n v="138"/>
    <n v="2018"/>
    <n v="18"/>
    <n v="2021"/>
    <s v="Adjust"/>
    <n v="18.325688073394495"/>
    <n v="138"/>
    <s v="Decreasing"/>
    <n v="-0.22530855667613492"/>
    <n v="0.45056501122921166"/>
    <n v="0"/>
    <n v="0"/>
    <n v="5.1767885039528311E-2"/>
    <n v="0.56443668503062749"/>
    <n v="6.7722624728360242E-2"/>
    <n v="0.50997933475043544"/>
  </r>
  <r>
    <x v="18"/>
    <x v="18"/>
    <n v="2061026"/>
    <x v="7"/>
    <n v="0"/>
    <n v="2124869.5"/>
    <n v="0"/>
    <m/>
    <n v="0"/>
    <m/>
    <n v="0"/>
    <m/>
    <n v="0"/>
    <m/>
    <n v="0"/>
    <n v="2444915.5000000014"/>
    <n v="0"/>
    <n v="0"/>
    <m/>
    <n v="0"/>
    <m/>
    <n v="0"/>
    <m/>
    <n v="0"/>
    <n v="2705991.9999999995"/>
    <n v="0"/>
    <n v="0"/>
    <n v="0"/>
    <n v="0"/>
    <n v="0"/>
    <m/>
    <s v=""/>
    <m/>
    <s v=""/>
    <n v="0"/>
    <s v=""/>
    <s v=""/>
    <m/>
    <n v="0"/>
    <s v="No change"/>
    <n v="-0.22530855667613492"/>
    <n v="0.45056501122921166"/>
    <n v="0"/>
    <n v="0"/>
    <n v="0"/>
    <n v="0"/>
    <n v="0"/>
    <n v="0"/>
  </r>
  <r>
    <x v="18"/>
    <x v="18"/>
    <n v="2061027"/>
    <x v="8"/>
    <n v="0"/>
    <n v="2124869.5"/>
    <n v="0"/>
    <m/>
    <n v="0"/>
    <m/>
    <n v="32"/>
    <m/>
    <n v="0"/>
    <m/>
    <n v="0"/>
    <n v="2444915.5000000014"/>
    <n v="0"/>
    <n v="0"/>
    <m/>
    <n v="149"/>
    <m/>
    <n v="173"/>
    <m/>
    <n v="172"/>
    <n v="2705991.9999999995"/>
    <n v="0"/>
    <n v="0"/>
    <n v="32"/>
    <n v="149"/>
    <n v="173"/>
    <n v="32"/>
    <n v="2015"/>
    <n v="149"/>
    <n v="2019"/>
    <n v="172"/>
    <n v="2021"/>
    <s v=""/>
    <n v="172"/>
    <n v="172"/>
    <s v="Increasing"/>
    <n v="-0.22530855667613492"/>
    <n v="0.45056501122921166"/>
    <n v="0"/>
    <n v="0"/>
    <n v="0.15059748375135509"/>
    <n v="0.60942801499683696"/>
    <n v="0.63562641722518043"/>
    <n v="0.63562641722518043"/>
  </r>
  <r>
    <x v="18"/>
    <x v="18"/>
    <n v="2061028"/>
    <x v="9"/>
    <n v="0"/>
    <n v="2124869.5"/>
    <n v="0"/>
    <m/>
    <n v="0"/>
    <m/>
    <n v="0"/>
    <m/>
    <n v="0"/>
    <m/>
    <n v="0"/>
    <n v="2444915.5000000014"/>
    <n v="0"/>
    <n v="0"/>
    <m/>
    <n v="0"/>
    <m/>
    <n v="0"/>
    <m/>
    <n v="0"/>
    <n v="2705991.9999999995"/>
    <n v="0"/>
    <n v="0"/>
    <n v="0"/>
    <n v="0"/>
    <n v="0"/>
    <m/>
    <s v=""/>
    <m/>
    <s v=""/>
    <n v="0"/>
    <s v=""/>
    <s v=""/>
    <m/>
    <n v="0"/>
    <s v="No change"/>
    <n v="-0.22530855667613492"/>
    <n v="0.45056501122921166"/>
    <n v="0"/>
    <n v="0"/>
    <n v="0"/>
    <n v="0"/>
    <n v="0"/>
    <n v="0"/>
  </r>
  <r>
    <x v="18"/>
    <x v="18"/>
    <n v="2061029"/>
    <x v="10"/>
    <n v="0"/>
    <n v="2124869.5"/>
    <n v="0"/>
    <m/>
    <n v="0"/>
    <m/>
    <n v="17"/>
    <m/>
    <n v="0"/>
    <m/>
    <n v="0"/>
    <n v="2444915.5000000014"/>
    <n v="0"/>
    <n v="0"/>
    <m/>
    <n v="16"/>
    <m/>
    <n v="20"/>
    <m/>
    <n v="18"/>
    <n v="2705991.9999999995"/>
    <n v="0"/>
    <n v="0"/>
    <n v="17"/>
    <n v="16"/>
    <n v="20"/>
    <n v="17"/>
    <n v="2015"/>
    <n v="16"/>
    <n v="2019"/>
    <n v="18"/>
    <n v="2021"/>
    <s v=""/>
    <n v="18"/>
    <n v="18"/>
    <s v="Increasing"/>
    <n v="-0.22530855667613492"/>
    <n v="0.45056501122921166"/>
    <n v="0"/>
    <n v="0"/>
    <n v="8.0004913242907386E-2"/>
    <n v="6.5441934496304643E-2"/>
    <n v="6.6519043663100269E-2"/>
    <n v="6.6519043663100269E-2"/>
  </r>
  <r>
    <x v="18"/>
    <x v="18"/>
    <n v="2061030"/>
    <x v="11"/>
    <n v="0"/>
    <n v="2124869.5"/>
    <n v="0"/>
    <m/>
    <n v="0"/>
    <m/>
    <n v="0"/>
    <m/>
    <n v="0"/>
    <m/>
    <n v="0"/>
    <n v="2444915.5000000014"/>
    <n v="0"/>
    <n v="0"/>
    <m/>
    <n v="0"/>
    <m/>
    <n v="0"/>
    <m/>
    <n v="0"/>
    <n v="2705991.9999999995"/>
    <n v="0"/>
    <n v="0"/>
    <n v="0"/>
    <n v="0"/>
    <n v="0"/>
    <m/>
    <s v=""/>
    <m/>
    <s v=""/>
    <n v="0"/>
    <s v=""/>
    <s v=""/>
    <m/>
    <n v="0"/>
    <s v="No change"/>
    <n v="-0.22530855667613492"/>
    <n v="0.45056501122921166"/>
    <n v="0"/>
    <n v="0"/>
    <n v="0"/>
    <n v="0"/>
    <n v="0"/>
    <n v="0"/>
  </r>
  <r>
    <x v="18"/>
    <x v="18"/>
    <n v="2061031"/>
    <x v="12"/>
    <n v="0"/>
    <n v="2124869.5"/>
    <n v="0"/>
    <m/>
    <n v="0"/>
    <m/>
    <n v="0"/>
    <m/>
    <n v="0"/>
    <m/>
    <n v="0"/>
    <n v="2444915.5000000014"/>
    <n v="0"/>
    <n v="0"/>
    <m/>
    <n v="0"/>
    <m/>
    <n v="2253"/>
    <m/>
    <n v="2193"/>
    <n v="2705991.9999999995"/>
    <n v="0"/>
    <n v="0"/>
    <n v="0"/>
    <n v="0"/>
    <n v="2253"/>
    <m/>
    <s v=""/>
    <m/>
    <s v=""/>
    <n v="2193"/>
    <n v="2021"/>
    <s v=""/>
    <n v="2193"/>
    <n v="2193"/>
    <s v="Increasing"/>
    <n v="-0.22530855667613492"/>
    <n v="0.45056501122921166"/>
    <n v="0"/>
    <n v="0"/>
    <n v="0"/>
    <n v="0"/>
    <n v="8.1042368196210504"/>
    <n v="8.1042368196210504"/>
  </r>
  <r>
    <x v="18"/>
    <x v="18"/>
    <n v="2061032"/>
    <x v="13"/>
    <n v="0"/>
    <n v="2124869.5"/>
    <n v="0"/>
    <m/>
    <n v="0"/>
    <m/>
    <n v="141"/>
    <m/>
    <n v="0"/>
    <m/>
    <n v="0"/>
    <n v="2444915.5000000014"/>
    <n v="0"/>
    <n v="138"/>
    <m/>
    <n v="0"/>
    <m/>
    <n v="0"/>
    <m/>
    <n v="0"/>
    <n v="2705991.9999999995"/>
    <n v="0"/>
    <n v="138"/>
    <n v="141"/>
    <n v="0"/>
    <n v="0"/>
    <n v="141"/>
    <n v="2015"/>
    <n v="138"/>
    <s v="2018 (triag)"/>
    <n v="138"/>
    <s v="2018 (triag)"/>
    <s v=""/>
    <n v="138"/>
    <n v="138"/>
    <s v="No change"/>
    <n v="-0.22530855667613492"/>
    <n v="0.45056501122921166"/>
    <n v="425.72622209867211"/>
    <n v="533.22779672860349"/>
    <n v="0.66357016277940839"/>
    <n v="0.56443668503062749"/>
    <n v="0.50997933475043544"/>
    <n v="0.50997933475043544"/>
  </r>
  <r>
    <x v="18"/>
    <x v="18"/>
    <n v="2061033"/>
    <x v="14"/>
    <n v="0"/>
    <n v="2124869.5"/>
    <n v="0"/>
    <m/>
    <n v="0"/>
    <m/>
    <n v="0"/>
    <m/>
    <n v="0"/>
    <m/>
    <n v="0"/>
    <n v="2444915.5000000014"/>
    <n v="0"/>
    <n v="39"/>
    <m/>
    <n v="0"/>
    <m/>
    <n v="0"/>
    <m/>
    <n v="0"/>
    <n v="2705991.9999999995"/>
    <n v="0"/>
    <n v="39"/>
    <n v="0"/>
    <n v="0"/>
    <n v="0"/>
    <m/>
    <s v=""/>
    <n v="39"/>
    <s v="2018 (triag)"/>
    <n v="39"/>
    <s v="2018 (triag)"/>
    <s v=""/>
    <n v="39"/>
    <n v="39"/>
    <s v="No change"/>
    <n v="-0.22530855667613492"/>
    <n v="0.45056501122921166"/>
    <n v="120.31393233223342"/>
    <n v="150.69481211895317"/>
    <n v="0"/>
    <n v="0.15951471533474257"/>
    <n v="0.14412459460338392"/>
    <n v="0.14412459460338392"/>
  </r>
  <r>
    <x v="18"/>
    <x v="18"/>
    <n v="2061034"/>
    <x v="15"/>
    <n v="0"/>
    <n v="2124869.5"/>
    <n v="0"/>
    <m/>
    <n v="0"/>
    <m/>
    <n v="20"/>
    <m/>
    <n v="0"/>
    <m/>
    <n v="0"/>
    <n v="2444915.5000000014"/>
    <n v="0"/>
    <n v="0"/>
    <m/>
    <n v="23"/>
    <m/>
    <n v="32"/>
    <m/>
    <n v="24"/>
    <n v="2705991.9999999995"/>
    <n v="0"/>
    <n v="0"/>
    <n v="20"/>
    <n v="23"/>
    <n v="32"/>
    <n v="20"/>
    <n v="2015"/>
    <n v="23"/>
    <n v="2019"/>
    <n v="24"/>
    <n v="2021"/>
    <s v=""/>
    <n v="24"/>
    <n v="24"/>
    <s v="Increasing"/>
    <n v="-0.22530855667613492"/>
    <n v="0.45056501122921166"/>
    <n v="0"/>
    <n v="0"/>
    <n v="9.412342734459693E-2"/>
    <n v="9.4072780838437925E-2"/>
    <n v="8.8692058217467035E-2"/>
    <n v="8.8692058217467035E-2"/>
  </r>
  <r>
    <x v="18"/>
    <x v="18"/>
    <n v="2061035"/>
    <x v="16"/>
    <n v="127"/>
    <n v="2124869.5"/>
    <n v="0"/>
    <m/>
    <n v="0"/>
    <m/>
    <n v="0"/>
    <m/>
    <n v="0"/>
    <m/>
    <n v="0"/>
    <n v="2444915.5000000014"/>
    <n v="0"/>
    <n v="0"/>
    <m/>
    <n v="0"/>
    <m/>
    <n v="0"/>
    <m/>
    <n v="0"/>
    <n v="2705991.9999999995"/>
    <n v="0"/>
    <n v="0"/>
    <n v="127"/>
    <n v="0"/>
    <n v="0"/>
    <n v="127"/>
    <n v="2012"/>
    <m/>
    <s v=""/>
    <n v="0"/>
    <s v=""/>
    <s v=""/>
    <m/>
    <n v="0"/>
    <s v="No change"/>
    <n v="-0.22530855667613492"/>
    <n v="0.45056501122921166"/>
    <n v="0"/>
    <n v="0"/>
    <n v="0.59768376363819053"/>
    <n v="0"/>
    <n v="0"/>
    <n v="0"/>
  </r>
  <r>
    <x v="18"/>
    <x v="18"/>
    <n v="2061036"/>
    <x v="17"/>
    <n v="0"/>
    <n v="2124869.5"/>
    <n v="0"/>
    <m/>
    <n v="0"/>
    <m/>
    <n v="0"/>
    <m/>
    <n v="0"/>
    <m/>
    <n v="0"/>
    <n v="2444915.5000000014"/>
    <n v="0"/>
    <n v="0"/>
    <m/>
    <n v="0"/>
    <m/>
    <n v="0"/>
    <m/>
    <n v="0"/>
    <n v="2705991.9999999995"/>
    <n v="0"/>
    <n v="0"/>
    <n v="0"/>
    <n v="0"/>
    <n v="0"/>
    <m/>
    <s v=""/>
    <m/>
    <s v=""/>
    <n v="0"/>
    <s v=""/>
    <s v=""/>
    <m/>
    <n v="0"/>
    <s v="No change"/>
    <n v="-0.22530855667613492"/>
    <n v="0.45056501122921166"/>
    <n v="0"/>
    <n v="0"/>
    <n v="0"/>
    <n v="0"/>
    <n v="0"/>
    <n v="0"/>
  </r>
  <r>
    <x v="18"/>
    <x v="18"/>
    <n v="2061037"/>
    <x v="18"/>
    <n v="656"/>
    <n v="2124869.5"/>
    <n v="0"/>
    <m/>
    <n v="0"/>
    <m/>
    <n v="0"/>
    <m/>
    <n v="0"/>
    <m/>
    <n v="0"/>
    <n v="2444915.5000000014"/>
    <n v="0"/>
    <n v="0"/>
    <m/>
    <n v="0"/>
    <m/>
    <n v="0"/>
    <m/>
    <n v="0"/>
    <n v="2705991.9999999995"/>
    <n v="0"/>
    <n v="0"/>
    <n v="656"/>
    <n v="0"/>
    <n v="0"/>
    <n v="656"/>
    <n v="2012"/>
    <m/>
    <s v=""/>
    <n v="0"/>
    <s v=""/>
    <s v=""/>
    <m/>
    <n v="0"/>
    <s v="No change"/>
    <n v="-0.22530855667613492"/>
    <n v="0.45056501122921166"/>
    <n v="0"/>
    <n v="0"/>
    <n v="3.0872484169027792"/>
    <n v="0"/>
    <n v="0"/>
    <n v="0"/>
  </r>
  <r>
    <x v="19"/>
    <x v="19"/>
    <n v="1652722.5"/>
    <x v="0"/>
    <n v="0"/>
    <n v="1697752.4999999995"/>
    <n v="0"/>
    <m/>
    <n v="0"/>
    <m/>
    <n v="0"/>
    <m/>
    <n v="0"/>
    <m/>
    <n v="0"/>
    <n v="1924954.4999999988"/>
    <n v="3481"/>
    <n v="4057"/>
    <m/>
    <n v="0"/>
    <m/>
    <n v="3711"/>
    <m/>
    <n v="0"/>
    <n v="2105565.4999999991"/>
    <n v="3975"/>
    <n v="4057"/>
    <n v="0"/>
    <n v="3481"/>
    <n v="3975"/>
    <m/>
    <s v=""/>
    <n v="4057"/>
    <s v="2018 (triag)"/>
    <n v="3975"/>
    <n v="2022"/>
    <s v="Adjust"/>
    <n v="4817.861216730038"/>
    <n v="4817.861216730038"/>
    <s v="Increasing"/>
    <n v="3.0374199904759536E-2"/>
    <n v="4.6424158096915802E-2"/>
    <n v="3485.3650397176534"/>
    <n v="4663.2669209715159"/>
    <n v="0"/>
    <n v="21.07582283113706"/>
    <n v="22.881554702193021"/>
    <n v="22.881554702193021"/>
  </r>
  <r>
    <x v="19"/>
    <x v="19"/>
    <n v="1652723.5"/>
    <x v="1"/>
    <n v="0"/>
    <n v="1697752.4999999995"/>
    <n v="0"/>
    <m/>
    <n v="0"/>
    <m/>
    <n v="496"/>
    <m/>
    <n v="0"/>
    <m/>
    <n v="0"/>
    <n v="1924954.4999999988"/>
    <n v="0"/>
    <n v="0"/>
    <m/>
    <n v="0"/>
    <m/>
    <n v="0"/>
    <m/>
    <n v="0"/>
    <n v="2105565.4999999991"/>
    <n v="0"/>
    <n v="0"/>
    <n v="496"/>
    <n v="0"/>
    <n v="0"/>
    <n v="496"/>
    <n v="2015"/>
    <m/>
    <s v=""/>
    <n v="0"/>
    <s v=""/>
    <s v=""/>
    <m/>
    <n v="0"/>
    <s v="No change"/>
    <n v="3.0374199904759536E-2"/>
    <n v="4.6424158096915802E-2"/>
    <n v="0"/>
    <n v="0"/>
    <n v="2.921509466191333"/>
    <n v="0"/>
    <n v="0"/>
    <n v="0"/>
  </r>
  <r>
    <x v="19"/>
    <x v="19"/>
    <n v="1652724.5"/>
    <x v="2"/>
    <n v="0"/>
    <n v="1697752.4999999995"/>
    <n v="0"/>
    <m/>
    <n v="0"/>
    <m/>
    <n v="0"/>
    <m/>
    <n v="0"/>
    <m/>
    <n v="0"/>
    <n v="1924954.4999999988"/>
    <n v="0"/>
    <n v="3"/>
    <m/>
    <n v="0"/>
    <m/>
    <n v="0"/>
    <m/>
    <n v="0"/>
    <n v="2105565.4999999991"/>
    <n v="0"/>
    <n v="3"/>
    <n v="0"/>
    <n v="0"/>
    <n v="0"/>
    <m/>
    <s v=""/>
    <n v="3"/>
    <s v="2018 (triag)"/>
    <n v="3"/>
    <s v="2018 (triag)"/>
    <s v=""/>
    <n v="3"/>
    <n v="3"/>
    <s v="No change"/>
    <n v="3.0374199904759536E-2"/>
    <n v="4.6424158096915802E-2"/>
    <n v="2.5772972933578902"/>
    <n v="3.4483117483151462"/>
    <n v="0"/>
    <n v="1.5584783952036278E-2"/>
    <n v="1.4247953815732644E-2"/>
    <n v="1.4247953815732644E-2"/>
  </r>
  <r>
    <x v="19"/>
    <x v="19"/>
    <n v="1652725.5"/>
    <x v="3"/>
    <n v="0"/>
    <n v="1697752.4999999995"/>
    <n v="0"/>
    <m/>
    <n v="0"/>
    <m/>
    <n v="0"/>
    <m/>
    <n v="0"/>
    <m/>
    <n v="0"/>
    <n v="1924954.4999999988"/>
    <n v="0"/>
    <n v="0"/>
    <m/>
    <n v="0"/>
    <m/>
    <n v="0"/>
    <m/>
    <n v="0"/>
    <n v="2105565.4999999991"/>
    <n v="0"/>
    <n v="0"/>
    <n v="0"/>
    <n v="0"/>
    <n v="0"/>
    <m/>
    <s v=""/>
    <m/>
    <s v=""/>
    <n v="0"/>
    <s v=""/>
    <s v=""/>
    <m/>
    <n v="0"/>
    <s v="No change"/>
    <n v="3.0374199904759536E-2"/>
    <n v="4.6424158096915802E-2"/>
    <n v="0"/>
    <n v="0"/>
    <n v="0"/>
    <n v="0"/>
    <n v="0"/>
    <n v="0"/>
  </r>
  <r>
    <x v="19"/>
    <x v="19"/>
    <n v="1652726.5"/>
    <x v="4"/>
    <n v="0"/>
    <n v="1697752.4999999995"/>
    <n v="0"/>
    <m/>
    <n v="0"/>
    <m/>
    <n v="0"/>
    <m/>
    <n v="0"/>
    <m/>
    <n v="0"/>
    <n v="1924954.4999999988"/>
    <n v="0"/>
    <n v="130"/>
    <m/>
    <n v="0"/>
    <m/>
    <n v="0"/>
    <m/>
    <n v="0"/>
    <n v="2105565.4999999991"/>
    <n v="0"/>
    <n v="130"/>
    <n v="0"/>
    <n v="0"/>
    <n v="0"/>
    <m/>
    <s v=""/>
    <n v="130"/>
    <s v="2018 (triag)"/>
    <n v="130"/>
    <s v="2018 (triag)"/>
    <s v=""/>
    <n v="130"/>
    <n v="130"/>
    <s v="No change"/>
    <n v="3.0374199904759536E-2"/>
    <n v="4.6424158096915802E-2"/>
    <n v="111.68288271217524"/>
    <n v="149.42684242698965"/>
    <n v="0"/>
    <n v="0.67534063792157206"/>
    <n v="0.61741133201508125"/>
    <n v="0.61741133201508125"/>
  </r>
  <r>
    <x v="19"/>
    <x v="19"/>
    <n v="1652727.5"/>
    <x v="5"/>
    <n v="0"/>
    <n v="1697752.4999999995"/>
    <n v="0"/>
    <m/>
    <n v="0"/>
    <m/>
    <n v="0"/>
    <m/>
    <n v="4"/>
    <m/>
    <n v="0"/>
    <n v="1924954.4999999988"/>
    <n v="0"/>
    <n v="5"/>
    <m/>
    <n v="0"/>
    <m/>
    <n v="8"/>
    <m/>
    <n v="3"/>
    <n v="2105565.4999999991"/>
    <n v="2"/>
    <n v="5"/>
    <n v="0"/>
    <n v="4"/>
    <n v="8"/>
    <m/>
    <s v=""/>
    <n v="5"/>
    <s v="2018 (triag)"/>
    <n v="2"/>
    <n v="2022"/>
    <s v="Adjust"/>
    <n v="2.4240811153358681"/>
    <n v="5"/>
    <s v="Decreasing"/>
    <n v="3.0374199904759536E-2"/>
    <n v="4.6424158096915802E-2"/>
    <n v="4.2954954889298174"/>
    <n v="5.7471862471919097"/>
    <n v="0"/>
    <n v="2.5974639920060463E-2"/>
    <n v="1.1512731925631708E-2"/>
    <n v="2.3746589692887742E-2"/>
  </r>
  <r>
    <x v="19"/>
    <x v="19"/>
    <n v="1652728.5"/>
    <x v="6"/>
    <n v="0"/>
    <n v="1697752.4999999995"/>
    <n v="0"/>
    <m/>
    <n v="0"/>
    <m/>
    <n v="0"/>
    <m/>
    <n v="158"/>
    <m/>
    <n v="0"/>
    <n v="1924954.4999999988"/>
    <n v="53"/>
    <n v="53"/>
    <m/>
    <n v="0"/>
    <m/>
    <n v="285"/>
    <m/>
    <n v="200"/>
    <n v="2105565.4999999991"/>
    <n v="1"/>
    <n v="0"/>
    <n v="0"/>
    <n v="158"/>
    <n v="285"/>
    <m/>
    <s v=""/>
    <n v="53"/>
    <n v="2018"/>
    <n v="1"/>
    <n v="2022"/>
    <s v="Adjust"/>
    <n v="1.2120405576679341"/>
    <n v="53"/>
    <s v="Decreasing"/>
    <n v="3.0374199904759536E-2"/>
    <n v="4.6424158096915802E-2"/>
    <n v="0"/>
    <n v="0"/>
    <n v="0"/>
    <n v="0.27533118315264093"/>
    <n v="5.7563659628158542E-3"/>
    <n v="0.25171385074461006"/>
  </r>
  <r>
    <x v="19"/>
    <x v="19"/>
    <n v="1652729.5"/>
    <x v="7"/>
    <n v="0"/>
    <n v="1697752.4999999995"/>
    <n v="0"/>
    <m/>
    <n v="0"/>
    <m/>
    <n v="0"/>
    <m/>
    <n v="0"/>
    <m/>
    <n v="0"/>
    <n v="1924954.4999999988"/>
    <n v="0"/>
    <n v="0"/>
    <m/>
    <n v="0"/>
    <m/>
    <n v="0"/>
    <m/>
    <n v="0"/>
    <n v="2105565.4999999991"/>
    <n v="0"/>
    <n v="0"/>
    <n v="0"/>
    <n v="0"/>
    <n v="0"/>
    <m/>
    <s v=""/>
    <m/>
    <s v=""/>
    <n v="0"/>
    <s v=""/>
    <s v=""/>
    <m/>
    <n v="0"/>
    <s v="No change"/>
    <n v="3.0374199904759536E-2"/>
    <n v="4.6424158096915802E-2"/>
    <n v="0"/>
    <n v="0"/>
    <n v="0"/>
    <n v="0"/>
    <n v="0"/>
    <n v="0"/>
  </r>
  <r>
    <x v="19"/>
    <x v="19"/>
    <n v="1652730.5"/>
    <x v="8"/>
    <n v="0"/>
    <n v="1697752.4999999995"/>
    <n v="0"/>
    <m/>
    <n v="0"/>
    <m/>
    <n v="0"/>
    <m/>
    <n v="0"/>
    <m/>
    <n v="0"/>
    <n v="1924954.4999999988"/>
    <n v="17"/>
    <n v="17"/>
    <m/>
    <n v="0"/>
    <m/>
    <n v="3"/>
    <m/>
    <n v="2"/>
    <n v="2105565.4999999991"/>
    <n v="51"/>
    <n v="12"/>
    <n v="0"/>
    <n v="17"/>
    <n v="51"/>
    <m/>
    <s v=""/>
    <n v="17"/>
    <n v="2018"/>
    <n v="51"/>
    <n v="2022"/>
    <s v=""/>
    <n v="51"/>
    <n v="51"/>
    <s v="Increasing"/>
    <n v="3.0374199904759536E-2"/>
    <n v="4.6424158096915802E-2"/>
    <n v="10.309189173431561"/>
    <n v="13.793246993260585"/>
    <n v="0"/>
    <n v="8.8313775728205576E-2"/>
    <n v="0.24221521486745495"/>
    <n v="0.24221521486745495"/>
  </r>
  <r>
    <x v="19"/>
    <x v="19"/>
    <n v="1652731.5"/>
    <x v="9"/>
    <n v="0"/>
    <n v="1697752.4999999995"/>
    <n v="0"/>
    <m/>
    <n v="0"/>
    <m/>
    <n v="0"/>
    <m/>
    <n v="0"/>
    <m/>
    <n v="0"/>
    <n v="1924954.4999999988"/>
    <n v="1"/>
    <n v="24"/>
    <m/>
    <n v="0"/>
    <m/>
    <n v="0"/>
    <m/>
    <n v="0"/>
    <n v="2105565.4999999991"/>
    <n v="0"/>
    <n v="24"/>
    <n v="0"/>
    <n v="1"/>
    <n v="0"/>
    <m/>
    <s v=""/>
    <n v="24"/>
    <s v="2018 (triag)"/>
    <n v="24"/>
    <s v="2018 (triag)"/>
    <s v=""/>
    <n v="24"/>
    <n v="24"/>
    <s v="No change"/>
    <n v="3.0374199904759536E-2"/>
    <n v="4.6424158096915802E-2"/>
    <n v="20.618378346863121"/>
    <n v="27.58649398652117"/>
    <n v="0"/>
    <n v="0.12467827161629022"/>
    <n v="0.11398363052586115"/>
    <n v="0.11398363052586115"/>
  </r>
  <r>
    <x v="19"/>
    <x v="19"/>
    <n v="1652732.5"/>
    <x v="10"/>
    <n v="0"/>
    <n v="1697752.4999999995"/>
    <n v="0"/>
    <m/>
    <n v="0"/>
    <m/>
    <n v="0"/>
    <m/>
    <n v="0"/>
    <m/>
    <n v="0"/>
    <n v="1924954.4999999988"/>
    <n v="1"/>
    <n v="16"/>
    <m/>
    <n v="0"/>
    <m/>
    <n v="9"/>
    <m/>
    <n v="10"/>
    <n v="2105565.4999999991"/>
    <n v="0"/>
    <n v="16"/>
    <n v="0"/>
    <n v="1"/>
    <n v="10"/>
    <m/>
    <s v=""/>
    <n v="16"/>
    <s v="2018 (triag)"/>
    <n v="10"/>
    <n v="2021"/>
    <s v="Adjust"/>
    <n v="12.120405576679341"/>
    <n v="16"/>
    <s v="Decreasing"/>
    <n v="3.0374199904759536E-2"/>
    <n v="4.6424158096915802E-2"/>
    <n v="13.745585564575414"/>
    <n v="18.390995991014112"/>
    <n v="0"/>
    <n v="8.311884774419348E-2"/>
    <n v="5.7563659628158542E-2"/>
    <n v="7.5989087017240775E-2"/>
  </r>
  <r>
    <x v="19"/>
    <x v="19"/>
    <n v="1652733.5"/>
    <x v="11"/>
    <n v="0"/>
    <n v="1697752.4999999995"/>
    <n v="0"/>
    <m/>
    <n v="0"/>
    <m/>
    <n v="0"/>
    <m/>
    <n v="0"/>
    <m/>
    <n v="0"/>
    <n v="1924954.4999999988"/>
    <n v="0"/>
    <n v="481"/>
    <m/>
    <n v="0"/>
    <m/>
    <n v="149"/>
    <m/>
    <n v="0"/>
    <n v="2105565.4999999991"/>
    <n v="10"/>
    <n v="481"/>
    <n v="0"/>
    <n v="0"/>
    <n v="149"/>
    <m/>
    <s v=""/>
    <n v="481"/>
    <s v="2018 (triag)"/>
    <n v="10"/>
    <n v="2022"/>
    <s v="Adjust"/>
    <n v="12.120405576679341"/>
    <n v="481"/>
    <s v="Decreasing"/>
    <n v="3.0374199904759536E-2"/>
    <n v="4.6424158096915802E-2"/>
    <n v="413.22666603504837"/>
    <n v="552.87931697986176"/>
    <n v="0"/>
    <n v="2.4987603603098165"/>
    <n v="5.7563659628158542E-2"/>
    <n v="2.2844219284558007"/>
  </r>
  <r>
    <x v="19"/>
    <x v="19"/>
    <n v="1652734.5"/>
    <x v="12"/>
    <n v="0"/>
    <n v="1697752.4999999995"/>
    <n v="0"/>
    <m/>
    <n v="0"/>
    <m/>
    <n v="0"/>
    <m/>
    <n v="0"/>
    <m/>
    <n v="0"/>
    <n v="1924954.4999999988"/>
    <n v="0"/>
    <n v="69"/>
    <m/>
    <n v="0"/>
    <m/>
    <n v="115"/>
    <m/>
    <n v="86"/>
    <n v="2105565.4999999991"/>
    <n v="64"/>
    <n v="69"/>
    <n v="0"/>
    <n v="0"/>
    <n v="115"/>
    <m/>
    <s v=""/>
    <n v="69"/>
    <s v="2018 (triag)"/>
    <n v="64"/>
    <n v="2022"/>
    <s v="Adjust"/>
    <n v="77.57059569074778"/>
    <n v="77.57059569074778"/>
    <s v="Increasing"/>
    <n v="3.0374199904759536E-2"/>
    <n v="4.6424158096915802E-2"/>
    <n v="59.277837747231473"/>
    <n v="79.311170211248353"/>
    <n v="0"/>
    <n v="0.35845003089683442"/>
    <n v="0.36840742162021467"/>
    <n v="0.36840742162021467"/>
  </r>
  <r>
    <x v="19"/>
    <x v="19"/>
    <n v="1652735.5"/>
    <x v="13"/>
    <n v="0"/>
    <n v="1697752.4999999995"/>
    <n v="0"/>
    <m/>
    <n v="0"/>
    <m/>
    <n v="0"/>
    <m/>
    <n v="16"/>
    <m/>
    <n v="0"/>
    <n v="1924954.4999999988"/>
    <n v="0"/>
    <n v="172"/>
    <m/>
    <n v="0"/>
    <m/>
    <n v="1"/>
    <m/>
    <n v="1"/>
    <n v="2105565.4999999991"/>
    <n v="197"/>
    <n v="172"/>
    <n v="0"/>
    <n v="16"/>
    <n v="197"/>
    <m/>
    <s v=""/>
    <n v="172"/>
    <s v="2018 (triag)"/>
    <n v="197"/>
    <n v="2022"/>
    <s v=""/>
    <n v="197"/>
    <n v="197"/>
    <s v="Increasing"/>
    <n v="3.0374199904759536E-2"/>
    <n v="4.6424158096915802E-2"/>
    <n v="147.7650448191857"/>
    <n v="197.70320690340171"/>
    <n v="0"/>
    <n v="0.89352761325008001"/>
    <n v="0.93561563389977698"/>
    <n v="0.93561563389977698"/>
  </r>
  <r>
    <x v="19"/>
    <x v="19"/>
    <n v="1652736.5"/>
    <x v="14"/>
    <n v="0"/>
    <n v="1697752.4999999995"/>
    <n v="0"/>
    <m/>
    <n v="0"/>
    <m/>
    <n v="0"/>
    <m/>
    <n v="11"/>
    <m/>
    <n v="0"/>
    <n v="1924954.4999999988"/>
    <n v="0"/>
    <n v="8"/>
    <m/>
    <n v="0"/>
    <m/>
    <n v="2"/>
    <m/>
    <n v="0"/>
    <n v="2105565.4999999991"/>
    <n v="0"/>
    <n v="8"/>
    <n v="0"/>
    <n v="11"/>
    <n v="2"/>
    <m/>
    <s v=""/>
    <n v="8"/>
    <s v="2018 (triag)"/>
    <n v="2"/>
    <n v="2020"/>
    <s v="Adjust"/>
    <n v="2.4240811153358681"/>
    <n v="8"/>
    <s v="Decreasing"/>
    <n v="3.0374199904759536E-2"/>
    <n v="4.6424158096915802E-2"/>
    <n v="6.8727927822877071"/>
    <n v="9.1954979955070559"/>
    <n v="0"/>
    <n v="4.155942387209674E-2"/>
    <n v="1.1512731925631708E-2"/>
    <n v="3.7994543508620388E-2"/>
  </r>
  <r>
    <x v="19"/>
    <x v="19"/>
    <n v="1652737.5"/>
    <x v="15"/>
    <n v="0"/>
    <n v="1697752.4999999995"/>
    <n v="0"/>
    <m/>
    <n v="0"/>
    <m/>
    <n v="0"/>
    <m/>
    <n v="0"/>
    <m/>
    <n v="0"/>
    <n v="1924954.4999999988"/>
    <n v="15"/>
    <n v="15"/>
    <m/>
    <n v="0"/>
    <m/>
    <n v="4"/>
    <m/>
    <n v="6"/>
    <n v="2105565.4999999991"/>
    <n v="5"/>
    <n v="13"/>
    <n v="0"/>
    <n v="15"/>
    <n v="6"/>
    <m/>
    <s v=""/>
    <n v="15"/>
    <n v="2018"/>
    <n v="5"/>
    <n v="2022"/>
    <s v="Adjust"/>
    <n v="6.0602027883396703"/>
    <n v="15"/>
    <s v="Decreasing"/>
    <n v="3.0374199904759536E-2"/>
    <n v="4.6424158096915802E-2"/>
    <n v="11.168288271217524"/>
    <n v="14.942684242698967"/>
    <n v="0"/>
    <n v="7.7923919760181398E-2"/>
    <n v="2.8781829814079271E-2"/>
    <n v="7.1239769078663223E-2"/>
  </r>
  <r>
    <x v="19"/>
    <x v="19"/>
    <n v="1652738.5"/>
    <x v="16"/>
    <n v="0"/>
    <n v="1697752.4999999995"/>
    <n v="0"/>
    <m/>
    <n v="0"/>
    <m/>
    <n v="0"/>
    <m/>
    <n v="0"/>
    <m/>
    <n v="0"/>
    <n v="1924954.4999999988"/>
    <n v="53"/>
    <n v="53"/>
    <m/>
    <n v="0"/>
    <m/>
    <n v="61"/>
    <m/>
    <n v="16"/>
    <n v="2105565.4999999991"/>
    <n v="68"/>
    <n v="0"/>
    <n v="0"/>
    <n v="53"/>
    <n v="68"/>
    <m/>
    <s v=""/>
    <n v="53"/>
    <n v="2018"/>
    <n v="68"/>
    <n v="2022"/>
    <s v=""/>
    <n v="68"/>
    <n v="68"/>
    <s v="Increasing"/>
    <n v="3.0374199904759536E-2"/>
    <n v="4.6424158096915802E-2"/>
    <n v="0"/>
    <n v="0"/>
    <n v="0"/>
    <n v="0.27533118315264093"/>
    <n v="0.32295361982327325"/>
    <n v="0.32295361982327325"/>
  </r>
  <r>
    <x v="19"/>
    <x v="19"/>
    <n v="1652739.5"/>
    <x v="17"/>
    <n v="0"/>
    <n v="1697752.4999999995"/>
    <n v="0"/>
    <m/>
    <n v="0"/>
    <m/>
    <n v="0"/>
    <m/>
    <n v="0"/>
    <m/>
    <n v="0"/>
    <n v="1924954.4999999988"/>
    <n v="0"/>
    <n v="0"/>
    <m/>
    <n v="0"/>
    <m/>
    <n v="0"/>
    <m/>
    <n v="0"/>
    <n v="2105565.4999999991"/>
    <n v="0"/>
    <n v="0"/>
    <n v="0"/>
    <n v="0"/>
    <n v="0"/>
    <m/>
    <s v=""/>
    <m/>
    <s v=""/>
    <n v="0"/>
    <s v=""/>
    <s v=""/>
    <m/>
    <n v="0"/>
    <s v="No change"/>
    <n v="3.0374199904759536E-2"/>
    <n v="4.6424158096915802E-2"/>
    <n v="0"/>
    <n v="0"/>
    <n v="0"/>
    <n v="0"/>
    <n v="0"/>
    <n v="0"/>
  </r>
  <r>
    <x v="19"/>
    <x v="19"/>
    <n v="1652740.5"/>
    <x v="18"/>
    <n v="0"/>
    <n v="1697752.4999999995"/>
    <n v="0"/>
    <m/>
    <n v="0"/>
    <m/>
    <n v="0"/>
    <m/>
    <n v="0"/>
    <m/>
    <n v="0"/>
    <n v="1924954.4999999988"/>
    <n v="0"/>
    <n v="1063"/>
    <m/>
    <n v="0"/>
    <m/>
    <n v="0"/>
    <m/>
    <n v="0"/>
    <n v="2105565.4999999991"/>
    <n v="0"/>
    <n v="1063"/>
    <n v="0"/>
    <n v="0"/>
    <n v="0"/>
    <m/>
    <s v=""/>
    <n v="1063"/>
    <s v="2018 (triag)"/>
    <n v="1063"/>
    <s v="2018 (triag)"/>
    <s v=""/>
    <n v="1063"/>
    <n v="1063"/>
    <s v="No change"/>
    <n v="3.0374199904759536E-2"/>
    <n v="4.6424158096915802E-2"/>
    <n v="913.22234094647911"/>
    <n v="1221.8517961530001"/>
    <n v="0"/>
    <n v="5.5222084470048545"/>
    <n v="5.0485249687079339"/>
    <n v="5.0485249687079339"/>
  </r>
  <r>
    <x v="20"/>
    <x v="20"/>
    <n v="1193640.5"/>
    <x v="0"/>
    <n v="0"/>
    <n v="1243941.0000000002"/>
    <n v="0"/>
    <m/>
    <n v="0"/>
    <m/>
    <n v="0"/>
    <m/>
    <n v="0"/>
    <m/>
    <n v="0"/>
    <n v="1502091.5000000002"/>
    <n v="0"/>
    <n v="0"/>
    <m/>
    <n v="0"/>
    <m/>
    <n v="0"/>
    <m/>
    <n v="0"/>
    <n v="1674908"/>
    <n v="146"/>
    <n v="0"/>
    <n v="0"/>
    <n v="0"/>
    <n v="146"/>
    <m/>
    <s v=""/>
    <m/>
    <s v=""/>
    <n v="146"/>
    <n v="2022"/>
    <s v=""/>
    <n v="146"/>
    <n v="146"/>
    <s v="Increasing"/>
    <n v="8.5981075235392446E-2"/>
    <n v="0.24963048725605397"/>
    <n v="0"/>
    <n v="0"/>
    <n v="0"/>
    <n v="0"/>
    <n v="0.87168966892509914"/>
    <n v="0.87168966892509914"/>
  </r>
  <r>
    <x v="20"/>
    <x v="20"/>
    <n v="1193641.5"/>
    <x v="1"/>
    <n v="0"/>
    <n v="1243941.0000000002"/>
    <n v="0"/>
    <m/>
    <n v="5"/>
    <m/>
    <n v="1147"/>
    <m/>
    <n v="0"/>
    <m/>
    <n v="0"/>
    <n v="1502091.5000000002"/>
    <n v="0"/>
    <n v="0"/>
    <m/>
    <n v="6"/>
    <m/>
    <n v="0"/>
    <m/>
    <n v="620"/>
    <n v="1674908"/>
    <n v="25"/>
    <n v="0"/>
    <n v="1147"/>
    <n v="6"/>
    <n v="620"/>
    <n v="5"/>
    <n v="2014"/>
    <n v="6"/>
    <n v="2019"/>
    <n v="25"/>
    <n v="2022"/>
    <s v=""/>
    <n v="25"/>
    <n v="25"/>
    <s v="Increasing"/>
    <n v="8.5981075235392446E-2"/>
    <n v="0.24963048725605397"/>
    <n v="0"/>
    <n v="0"/>
    <n v="4.0194832391568402E-2"/>
    <n v="3.994430432500283E-2"/>
    <n v="0.1492619296104622"/>
    <n v="0.1492619296104622"/>
  </r>
  <r>
    <x v="20"/>
    <x v="20"/>
    <n v="1193642.5"/>
    <x v="2"/>
    <n v="0"/>
    <n v="1243941.0000000002"/>
    <n v="0"/>
    <m/>
    <n v="1"/>
    <m/>
    <n v="5310"/>
    <m/>
    <n v="0"/>
    <m/>
    <n v="0"/>
    <n v="1502091.5000000002"/>
    <n v="0"/>
    <n v="0"/>
    <m/>
    <n v="0"/>
    <m/>
    <n v="0"/>
    <m/>
    <n v="0"/>
    <n v="1674908"/>
    <n v="134"/>
    <n v="0"/>
    <n v="5310"/>
    <n v="0"/>
    <n v="134"/>
    <n v="1"/>
    <n v="2014"/>
    <m/>
    <s v=""/>
    <n v="134"/>
    <n v="2022"/>
    <s v=""/>
    <n v="134"/>
    <n v="134"/>
    <s v="Increasing"/>
    <n v="8.5981075235392446E-2"/>
    <n v="0.24963048725605397"/>
    <n v="0"/>
    <n v="0"/>
    <n v="8.0389664783136802E-3"/>
    <n v="0"/>
    <n v="0.80004394271207735"/>
    <n v="0.80004394271207735"/>
  </r>
  <r>
    <x v="20"/>
    <x v="20"/>
    <n v="1193643.5"/>
    <x v="3"/>
    <n v="0"/>
    <n v="1243941.0000000002"/>
    <n v="0"/>
    <m/>
    <n v="0"/>
    <m/>
    <n v="0"/>
    <m/>
    <n v="0"/>
    <m/>
    <n v="0"/>
    <n v="1502091.5000000002"/>
    <n v="0"/>
    <n v="1847"/>
    <m/>
    <n v="0"/>
    <m/>
    <n v="0"/>
    <m/>
    <n v="0"/>
    <n v="1674908"/>
    <n v="0"/>
    <n v="1847"/>
    <n v="0"/>
    <n v="0"/>
    <n v="0"/>
    <m/>
    <s v=""/>
    <n v="1847"/>
    <s v="2018 (triag)"/>
    <n v="1847"/>
    <s v="2018 (triag)"/>
    <s v=""/>
    <n v="1847"/>
    <n v="1847"/>
    <s v="No change"/>
    <n v="8.5981075235392446E-2"/>
    <n v="0.24963048725605397"/>
    <n v="1201.603992938343"/>
    <n v="3905.7669380066291"/>
    <n v="0"/>
    <n v="12.296188348046705"/>
    <n v="11.027471359620947"/>
    <n v="11.027471359620947"/>
  </r>
  <r>
    <x v="20"/>
    <x v="20"/>
    <n v="1193644.5"/>
    <x v="4"/>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45.5"/>
    <x v="5"/>
    <n v="0"/>
    <n v="1243941.0000000002"/>
    <n v="0"/>
    <m/>
    <n v="0"/>
    <m/>
    <n v="0"/>
    <m/>
    <n v="0"/>
    <m/>
    <n v="0"/>
    <n v="1502091.5000000002"/>
    <n v="0"/>
    <n v="5"/>
    <m/>
    <n v="0"/>
    <m/>
    <n v="0"/>
    <m/>
    <n v="0"/>
    <n v="1674908"/>
    <n v="0"/>
    <n v="5"/>
    <n v="0"/>
    <n v="0"/>
    <n v="0"/>
    <m/>
    <s v=""/>
    <n v="5"/>
    <s v="2018 (triag)"/>
    <n v="5"/>
    <s v="2018 (triag)"/>
    <s v=""/>
    <n v="5"/>
    <n v="5"/>
    <s v="No change"/>
    <n v="8.5981075235392446E-2"/>
    <n v="0.24963048725605397"/>
    <n v="3.2528532564654657"/>
    <n v="10.573272707110528"/>
    <n v="0"/>
    <n v="3.3286920270835692E-2"/>
    <n v="2.9852385922092436E-2"/>
    <n v="2.9852385922092436E-2"/>
  </r>
  <r>
    <x v="20"/>
    <x v="20"/>
    <n v="1193646.5"/>
    <x v="6"/>
    <n v="0"/>
    <n v="1243941.0000000002"/>
    <n v="0"/>
    <m/>
    <n v="0"/>
    <m/>
    <n v="0"/>
    <m/>
    <n v="0"/>
    <m/>
    <n v="0"/>
    <n v="1502091.5000000002"/>
    <n v="2"/>
    <n v="134"/>
    <m/>
    <n v="0"/>
    <m/>
    <n v="0"/>
    <m/>
    <n v="0"/>
    <n v="1674908"/>
    <n v="0"/>
    <n v="134"/>
    <n v="0"/>
    <n v="2"/>
    <n v="0"/>
    <m/>
    <s v=""/>
    <n v="134"/>
    <s v="2018 (triag)"/>
    <n v="134"/>
    <s v="2018 (triag)"/>
    <s v=""/>
    <n v="134"/>
    <n v="134"/>
    <s v="No change"/>
    <n v="8.5981075235392446E-2"/>
    <n v="0.24963048725605397"/>
    <n v="87.176467273274483"/>
    <n v="283.36370855056214"/>
    <n v="0"/>
    <n v="0.89208946325839655"/>
    <n v="0.80004394271207735"/>
    <n v="0.80004394271207735"/>
  </r>
  <r>
    <x v="20"/>
    <x v="20"/>
    <n v="1193647.5"/>
    <x v="7"/>
    <n v="0"/>
    <n v="1243941.0000000002"/>
    <n v="0"/>
    <m/>
    <n v="0"/>
    <m/>
    <n v="0"/>
    <m/>
    <n v="0"/>
    <m/>
    <n v="0"/>
    <n v="1502091.5000000002"/>
    <n v="0"/>
    <n v="0"/>
    <m/>
    <n v="0"/>
    <m/>
    <n v="0"/>
    <m/>
    <n v="0"/>
    <n v="1674908"/>
    <n v="282"/>
    <n v="0"/>
    <n v="0"/>
    <n v="0"/>
    <n v="282"/>
    <m/>
    <s v=""/>
    <m/>
    <s v=""/>
    <n v="282"/>
    <n v="2022"/>
    <s v=""/>
    <n v="282"/>
    <n v="282"/>
    <s v="Increasing"/>
    <n v="8.5981075235392446E-2"/>
    <n v="0.24963048725605397"/>
    <n v="0"/>
    <n v="0"/>
    <n v="0"/>
    <n v="0"/>
    <n v="1.6836745660060135"/>
    <n v="1.6836745660060135"/>
  </r>
  <r>
    <x v="20"/>
    <x v="20"/>
    <n v="1193648.5"/>
    <x v="8"/>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49.5"/>
    <x v="9"/>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50.5"/>
    <x v="10"/>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51.5"/>
    <x v="11"/>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52.5"/>
    <x v="12"/>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53.5"/>
    <x v="13"/>
    <n v="0"/>
    <n v="1243941.0000000002"/>
    <n v="0"/>
    <m/>
    <n v="0"/>
    <m/>
    <n v="0"/>
    <m/>
    <n v="0"/>
    <m/>
    <n v="0"/>
    <n v="1502091.5000000002"/>
    <n v="0"/>
    <n v="2"/>
    <m/>
    <n v="0"/>
    <m/>
    <n v="0"/>
    <m/>
    <n v="0"/>
    <n v="1674908"/>
    <n v="228"/>
    <n v="2"/>
    <n v="0"/>
    <n v="0"/>
    <n v="228"/>
    <m/>
    <s v=""/>
    <n v="2"/>
    <s v="2018 (triag)"/>
    <n v="228"/>
    <n v="2022"/>
    <s v=""/>
    <n v="228"/>
    <n v="228"/>
    <s v="Increasing"/>
    <n v="8.5981075235392446E-2"/>
    <n v="0.24963048725605397"/>
    <n v="1.3011413025861864"/>
    <n v="4.2293090828442113"/>
    <n v="0"/>
    <n v="1.3314768108334277E-2"/>
    <n v="1.3612687980474152"/>
    <n v="1.3612687980474152"/>
  </r>
  <r>
    <x v="20"/>
    <x v="20"/>
    <n v="1193654.5"/>
    <x v="14"/>
    <n v="0"/>
    <n v="1243941.0000000002"/>
    <n v="0"/>
    <m/>
    <n v="0"/>
    <m/>
    <n v="0"/>
    <m/>
    <n v="0"/>
    <m/>
    <n v="0"/>
    <n v="1502091.5000000002"/>
    <n v="0"/>
    <n v="0"/>
    <m/>
    <n v="0"/>
    <m/>
    <n v="0"/>
    <m/>
    <n v="0"/>
    <n v="1674908"/>
    <n v="101"/>
    <n v="0"/>
    <n v="0"/>
    <n v="0"/>
    <n v="101"/>
    <m/>
    <s v=""/>
    <m/>
    <s v=""/>
    <n v="101"/>
    <n v="2022"/>
    <s v=""/>
    <n v="101"/>
    <n v="101"/>
    <s v="Increasing"/>
    <n v="8.5981075235392446E-2"/>
    <n v="0.24963048725605397"/>
    <n v="0"/>
    <n v="0"/>
    <n v="0"/>
    <n v="0"/>
    <n v="0.60301819562626724"/>
    <n v="0.60301819562626724"/>
  </r>
  <r>
    <x v="20"/>
    <x v="20"/>
    <n v="1193655.5"/>
    <x v="15"/>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56.5"/>
    <x v="16"/>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57.5"/>
    <x v="17"/>
    <n v="0"/>
    <n v="1243941.0000000002"/>
    <n v="0"/>
    <m/>
    <n v="0"/>
    <m/>
    <n v="0"/>
    <m/>
    <n v="0"/>
    <m/>
    <n v="0"/>
    <n v="1502091.5000000002"/>
    <n v="0"/>
    <n v="0"/>
    <m/>
    <n v="0"/>
    <m/>
    <n v="0"/>
    <m/>
    <n v="0"/>
    <n v="1674908"/>
    <n v="0"/>
    <n v="0"/>
    <n v="0"/>
    <n v="0"/>
    <n v="0"/>
    <m/>
    <s v=""/>
    <m/>
    <s v=""/>
    <n v="0"/>
    <s v=""/>
    <s v=""/>
    <m/>
    <n v="0"/>
    <s v="No change"/>
    <n v="8.5981075235392446E-2"/>
    <n v="0.24963048725605397"/>
    <n v="0"/>
    <n v="0"/>
    <n v="0"/>
    <n v="0"/>
    <n v="0"/>
    <n v="0"/>
  </r>
  <r>
    <x v="20"/>
    <x v="20"/>
    <n v="1193658.5"/>
    <x v="18"/>
    <n v="0"/>
    <n v="1243941.0000000002"/>
    <n v="0"/>
    <m/>
    <n v="0"/>
    <m/>
    <n v="0"/>
    <m/>
    <n v="0"/>
    <m/>
    <n v="0"/>
    <n v="1502091.5000000002"/>
    <n v="0"/>
    <n v="0"/>
    <m/>
    <n v="0"/>
    <m/>
    <n v="0"/>
    <m/>
    <n v="0"/>
    <n v="1674908"/>
    <n v="0"/>
    <n v="0"/>
    <n v="0"/>
    <n v="0"/>
    <n v="0"/>
    <m/>
    <s v=""/>
    <m/>
    <s v=""/>
    <n v="0"/>
    <s v=""/>
    <s v=""/>
    <m/>
    <n v="0"/>
    <s v="No change"/>
    <n v="8.5981075235392446E-2"/>
    <n v="0.24963048725605397"/>
    <n v="0"/>
    <n v="0"/>
    <n v="0"/>
    <n v="0"/>
    <n v="0"/>
    <n v="0"/>
  </r>
  <r>
    <x v="21"/>
    <x v="21"/>
    <n v="43725811.5"/>
    <x v="0"/>
    <n v="0"/>
    <n v="44792368.000000007"/>
    <n v="0"/>
    <m/>
    <n v="0"/>
    <m/>
    <n v="0"/>
    <m/>
    <n v="0"/>
    <m/>
    <n v="0"/>
    <n v="49953303.999999993"/>
    <n v="58079"/>
    <n v="58079"/>
    <m/>
    <n v="0"/>
    <m/>
    <n v="91653"/>
    <m/>
    <n v="86490"/>
    <n v="54027486.999999985"/>
    <n v="86423"/>
    <n v="58079"/>
    <n v="0"/>
    <n v="58079"/>
    <n v="91653"/>
    <m/>
    <s v=""/>
    <n v="58079"/>
    <n v="2018"/>
    <n v="86423"/>
    <n v="2022"/>
    <s v=""/>
    <n v="86423"/>
    <n v="86423"/>
    <s v="Increasing"/>
    <n v="7.1554687899516578E-2"/>
    <n v="7.1815970063989321E-2"/>
    <n v="40610.664853749629"/>
    <n v="72042.20032406706"/>
    <n v="0"/>
    <n v="11.626658368783776"/>
    <n v="15.996116939512664"/>
    <n v="15.996116939512664"/>
  </r>
  <r>
    <x v="21"/>
    <x v="21"/>
    <n v="43725812.5"/>
    <x v="1"/>
    <n v="0"/>
    <n v="44792368.000000007"/>
    <n v="211"/>
    <m/>
    <n v="0"/>
    <m/>
    <n v="0"/>
    <m/>
    <n v="0"/>
    <m/>
    <n v="0"/>
    <n v="49953303.999999993"/>
    <n v="0"/>
    <n v="1147"/>
    <m/>
    <n v="3877"/>
    <m/>
    <n v="0"/>
    <m/>
    <n v="0"/>
    <n v="54027486.999999985"/>
    <n v="10071"/>
    <n v="1147"/>
    <n v="211"/>
    <n v="3877"/>
    <n v="10071"/>
    <n v="211"/>
    <n v="2013"/>
    <n v="1147"/>
    <s v="2018 (triag)"/>
    <n v="10071"/>
    <n v="2022"/>
    <s v=""/>
    <n v="10071"/>
    <n v="10071"/>
    <s v="Increasing"/>
    <n v="7.1554687899516578E-2"/>
    <n v="7.1815970063989321E-2"/>
    <n v="802.01850216516857"/>
    <n v="1422.7587212538942"/>
    <n v="4.7106239170030033E-2"/>
    <n v="0.22961444151922367"/>
    <n v="1.8640511634383443"/>
    <n v="1.8640511634383443"/>
  </r>
  <r>
    <x v="21"/>
    <x v="21"/>
    <n v="43725813.5"/>
    <x v="2"/>
    <n v="0"/>
    <n v="44792368.000000007"/>
    <n v="0"/>
    <m/>
    <n v="0"/>
    <m/>
    <n v="201"/>
    <m/>
    <n v="146"/>
    <m/>
    <n v="0"/>
    <n v="49953303.999999993"/>
    <n v="0"/>
    <n v="5310"/>
    <m/>
    <n v="3730"/>
    <m/>
    <n v="0"/>
    <m/>
    <n v="0"/>
    <n v="54027486.999999985"/>
    <n v="553"/>
    <n v="5310"/>
    <n v="201"/>
    <n v="3730"/>
    <n v="553"/>
    <n v="201"/>
    <n v="2015"/>
    <n v="5310"/>
    <s v="2018 (triag)"/>
    <n v="553"/>
    <n v="2022"/>
    <s v="Adjust"/>
    <n v="635.56215030918963"/>
    <n v="5310"/>
    <s v="Decreasing"/>
    <n v="7.1554687899516578E-2"/>
    <n v="7.1815970063989321E-2"/>
    <n v="3712.9191338247997"/>
    <n v="6586.6162248109667"/>
    <n v="4.4873715986616283E-2"/>
    <n v="1.0629927501892569"/>
    <n v="0.11763681518431346"/>
    <n v="0.98283305310868918"/>
  </r>
  <r>
    <x v="21"/>
    <x v="21"/>
    <n v="43725814.5"/>
    <x v="3"/>
    <n v="0"/>
    <n v="44792368.000000007"/>
    <n v="0"/>
    <m/>
    <n v="0"/>
    <m/>
    <n v="0"/>
    <m/>
    <n v="0"/>
    <m/>
    <n v="0"/>
    <n v="49953303.999999993"/>
    <n v="0"/>
    <n v="0"/>
    <m/>
    <n v="0"/>
    <m/>
    <n v="0"/>
    <m/>
    <n v="0"/>
    <n v="54027486.999999985"/>
    <n v="0"/>
    <n v="0"/>
    <n v="0"/>
    <n v="0"/>
    <n v="0"/>
    <m/>
    <s v=""/>
    <m/>
    <s v=""/>
    <n v="0"/>
    <s v=""/>
    <s v=""/>
    <m/>
    <n v="0"/>
    <s v="No change"/>
    <n v="7.1554687899516578E-2"/>
    <n v="7.1815970063989321E-2"/>
    <n v="0"/>
    <n v="0"/>
    <n v="0"/>
    <n v="0"/>
    <n v="0"/>
    <n v="0"/>
  </r>
  <r>
    <x v="21"/>
    <x v="21"/>
    <n v="43725815.5"/>
    <x v="4"/>
    <n v="0"/>
    <n v="44792368.000000007"/>
    <n v="0"/>
    <m/>
    <n v="0"/>
    <m/>
    <n v="0"/>
    <m/>
    <n v="0"/>
    <m/>
    <n v="0"/>
    <n v="49953303.999999993"/>
    <n v="0"/>
    <n v="0"/>
    <m/>
    <n v="0"/>
    <m/>
    <n v="0"/>
    <m/>
    <n v="0"/>
    <n v="54027486.999999985"/>
    <n v="0"/>
    <n v="0"/>
    <n v="0"/>
    <n v="0"/>
    <n v="0"/>
    <m/>
    <s v=""/>
    <m/>
    <s v=""/>
    <n v="0"/>
    <s v=""/>
    <s v=""/>
    <m/>
    <n v="0"/>
    <s v="No change"/>
    <n v="7.1554687899516578E-2"/>
    <n v="7.1815970063989321E-2"/>
    <n v="0"/>
    <n v="0"/>
    <n v="0"/>
    <n v="0"/>
    <n v="0"/>
    <n v="0"/>
  </r>
  <r>
    <x v="21"/>
    <x v="21"/>
    <n v="43725816.5"/>
    <x v="5"/>
    <n v="0"/>
    <n v="44792368.000000007"/>
    <n v="0"/>
    <m/>
    <n v="0"/>
    <m/>
    <n v="0"/>
    <m/>
    <n v="0"/>
    <m/>
    <n v="0"/>
    <n v="49953303.999999993"/>
    <n v="0"/>
    <n v="468"/>
    <m/>
    <n v="468"/>
    <m/>
    <n v="0"/>
    <m/>
    <n v="261"/>
    <n v="54027486.999999985"/>
    <n v="987"/>
    <n v="468"/>
    <n v="0"/>
    <n v="468"/>
    <n v="987"/>
    <m/>
    <s v=""/>
    <n v="468"/>
    <s v="2018 (triag)"/>
    <n v="987"/>
    <n v="2022"/>
    <s v=""/>
    <n v="987"/>
    <n v="287"/>
    <s v="Increasing"/>
    <n v="7.1554687899516578E-2"/>
    <n v="7.1815970063989321E-2"/>
    <n v="327.24033043879592"/>
    <n v="580.51532828842414"/>
    <n v="0"/>
    <n v="9.3687496626849762E-2"/>
    <n v="0.1826847878377168"/>
    <n v="5.3121108520187157E-2"/>
  </r>
  <r>
    <x v="21"/>
    <x v="21"/>
    <n v="43725817.5"/>
    <x v="6"/>
    <n v="0"/>
    <n v="44792368.000000007"/>
    <n v="0"/>
    <m/>
    <n v="0"/>
    <m/>
    <n v="0"/>
    <m/>
    <n v="0"/>
    <m/>
    <n v="0"/>
    <n v="49953303.999999993"/>
    <n v="0"/>
    <n v="0"/>
    <m/>
    <n v="0"/>
    <m/>
    <n v="0"/>
    <m/>
    <n v="5019"/>
    <n v="54027486.999999985"/>
    <n v="10000"/>
    <n v="0"/>
    <n v="0"/>
    <n v="0"/>
    <n v="10000"/>
    <m/>
    <s v=""/>
    <m/>
    <s v=""/>
    <n v="10000"/>
    <n v="2022"/>
    <s v=""/>
    <n v="10000"/>
    <n v="10000"/>
    <s v="Increasing"/>
    <n v="7.1554687899516578E-2"/>
    <n v="7.1815970063989321E-2"/>
    <n v="0"/>
    <n v="0"/>
    <n v="0"/>
    <n v="0"/>
    <n v="1.8509097045361378"/>
    <n v="1.8509097045361378"/>
  </r>
  <r>
    <x v="21"/>
    <x v="21"/>
    <n v="43725818.5"/>
    <x v="7"/>
    <n v="0"/>
    <n v="44792368.000000007"/>
    <n v="0"/>
    <m/>
    <n v="0"/>
    <m/>
    <n v="0"/>
    <m/>
    <n v="0"/>
    <m/>
    <n v="0"/>
    <n v="49953303.999999993"/>
    <n v="0"/>
    <n v="0"/>
    <m/>
    <n v="0"/>
    <m/>
    <n v="0"/>
    <m/>
    <n v="0"/>
    <n v="54027486.999999985"/>
    <n v="0"/>
    <n v="0"/>
    <n v="0"/>
    <n v="0"/>
    <n v="0"/>
    <m/>
    <s v=""/>
    <m/>
    <s v=""/>
    <n v="0"/>
    <s v=""/>
    <s v=""/>
    <m/>
    <n v="0"/>
    <s v="No change"/>
    <n v="7.1554687899516578E-2"/>
    <n v="7.1815970063989321E-2"/>
    <n v="0"/>
    <n v="0"/>
    <n v="0"/>
    <n v="0"/>
    <n v="0"/>
    <n v="0"/>
  </r>
  <r>
    <x v="21"/>
    <x v="21"/>
    <n v="43725819.5"/>
    <x v="8"/>
    <n v="0"/>
    <n v="44792368.000000007"/>
    <n v="0"/>
    <m/>
    <n v="0"/>
    <m/>
    <n v="0"/>
    <m/>
    <n v="0"/>
    <m/>
    <n v="0"/>
    <n v="49953303.999999993"/>
    <n v="430"/>
    <n v="430"/>
    <m/>
    <n v="0"/>
    <m/>
    <n v="0"/>
    <m/>
    <n v="717"/>
    <n v="54027486.999999985"/>
    <n v="0"/>
    <n v="430"/>
    <n v="0"/>
    <n v="430"/>
    <n v="717"/>
    <m/>
    <s v=""/>
    <n v="430"/>
    <n v="2018"/>
    <n v="717"/>
    <n v="2021"/>
    <s v=""/>
    <n v="717"/>
    <n v="717"/>
    <s v="Increasing"/>
    <n v="7.1554687899516578E-2"/>
    <n v="7.1815970063989321E-2"/>
    <n v="300.66953437752613"/>
    <n v="533.37946829919315"/>
    <n v="0"/>
    <n v="8.6080392199883324E-2"/>
    <n v="0.13271022581524108"/>
    <n v="0.13271022581524108"/>
  </r>
  <r>
    <x v="21"/>
    <x v="21"/>
    <n v="43725820.5"/>
    <x v="9"/>
    <n v="0"/>
    <n v="44792368.000000007"/>
    <n v="0"/>
    <m/>
    <n v="0"/>
    <m/>
    <n v="0"/>
    <m/>
    <n v="0"/>
    <m/>
    <n v="0"/>
    <n v="49953303.999999993"/>
    <n v="714"/>
    <n v="2419"/>
    <m/>
    <n v="0"/>
    <m/>
    <n v="0"/>
    <m/>
    <n v="0"/>
    <n v="54027486.999999985"/>
    <n v="0"/>
    <n v="2419"/>
    <n v="0"/>
    <n v="714"/>
    <n v="0"/>
    <m/>
    <s v=""/>
    <n v="2419"/>
    <s v="2018 (triag)"/>
    <n v="2419"/>
    <s v="2018 (triag)"/>
    <s v=""/>
    <n v="2419"/>
    <n v="2419"/>
    <s v="No change"/>
    <n v="7.1554687899516578E-2"/>
    <n v="7.1815970063989321E-2"/>
    <n v="1691.4409387424089"/>
    <n v="3000.5696135249959"/>
    <n v="0"/>
    <n v="0.48425225286399481"/>
    <n v="0.44773505752729176"/>
    <n v="0.44773505752729176"/>
  </r>
  <r>
    <x v="21"/>
    <x v="21"/>
    <n v="43725821.5"/>
    <x v="10"/>
    <n v="0"/>
    <n v="44792368.000000007"/>
    <n v="0"/>
    <m/>
    <n v="0"/>
    <m/>
    <n v="0"/>
    <m/>
    <n v="0"/>
    <m/>
    <n v="0"/>
    <n v="49953303.999999993"/>
    <n v="0"/>
    <n v="0"/>
    <m/>
    <n v="0"/>
    <m/>
    <n v="0"/>
    <m/>
    <n v="0"/>
    <n v="54027486.999999985"/>
    <n v="0"/>
    <n v="0"/>
    <n v="0"/>
    <n v="0"/>
    <n v="0"/>
    <m/>
    <s v=""/>
    <m/>
    <s v=""/>
    <n v="0"/>
    <s v=""/>
    <s v=""/>
    <m/>
    <n v="0"/>
    <s v="No change"/>
    <n v="7.1554687899516578E-2"/>
    <n v="7.1815970063989321E-2"/>
    <n v="0"/>
    <n v="0"/>
    <n v="0"/>
    <n v="0"/>
    <n v="0"/>
    <n v="0"/>
  </r>
  <r>
    <x v="21"/>
    <x v="21"/>
    <n v="43725822.5"/>
    <x v="11"/>
    <n v="0"/>
    <n v="44792368.000000007"/>
    <n v="0"/>
    <m/>
    <n v="0"/>
    <m/>
    <n v="0"/>
    <m/>
    <n v="0"/>
    <m/>
    <n v="0"/>
    <n v="49953303.999999993"/>
    <n v="0"/>
    <n v="2759"/>
    <m/>
    <n v="0"/>
    <m/>
    <n v="0"/>
    <m/>
    <n v="3295"/>
    <n v="54027486.999999985"/>
    <n v="0"/>
    <n v="2759"/>
    <n v="0"/>
    <n v="0"/>
    <n v="3295"/>
    <m/>
    <s v=""/>
    <n v="2759"/>
    <s v="2018 (triag)"/>
    <n v="3295"/>
    <n v="2021"/>
    <s v=""/>
    <n v="3295"/>
    <n v="3295"/>
    <s v="Increasing"/>
    <n v="7.1554687899516578E-2"/>
    <n v="7.1815970063989321E-2"/>
    <n v="1929.1796403432434"/>
    <n v="3422.3115186917998"/>
    <n v="0"/>
    <n v="0.55231581878948399"/>
    <n v="0.60987474764465743"/>
    <n v="0.60987474764465743"/>
  </r>
  <r>
    <x v="21"/>
    <x v="21"/>
    <n v="43725823.5"/>
    <x v="12"/>
    <n v="0"/>
    <n v="44792368.000000007"/>
    <n v="0"/>
    <m/>
    <n v="0"/>
    <m/>
    <n v="0"/>
    <m/>
    <n v="0"/>
    <m/>
    <n v="0"/>
    <n v="49953303.999999993"/>
    <n v="0"/>
    <n v="0"/>
    <m/>
    <n v="0"/>
    <m/>
    <n v="0"/>
    <m/>
    <n v="11129"/>
    <n v="54027486.999999985"/>
    <n v="0"/>
    <n v="0"/>
    <n v="0"/>
    <n v="0"/>
    <n v="11129"/>
    <m/>
    <s v=""/>
    <m/>
    <s v=""/>
    <n v="11129"/>
    <n v="2021"/>
    <s v=""/>
    <n v="11129"/>
    <n v="11129"/>
    <s v="Increasing"/>
    <n v="7.1554687899516578E-2"/>
    <n v="7.1815970063989321E-2"/>
    <n v="0"/>
    <n v="0"/>
    <n v="0"/>
    <n v="0"/>
    <n v="2.059877410178268"/>
    <n v="2.059877410178268"/>
  </r>
  <r>
    <x v="21"/>
    <x v="21"/>
    <n v="43725824.5"/>
    <x v="13"/>
    <n v="0"/>
    <n v="44792368.000000007"/>
    <n v="0"/>
    <m/>
    <n v="0"/>
    <m/>
    <n v="0"/>
    <m/>
    <n v="0"/>
    <m/>
    <n v="0"/>
    <n v="49953303.999999993"/>
    <n v="0"/>
    <n v="0"/>
    <m/>
    <n v="0"/>
    <m/>
    <n v="0"/>
    <m/>
    <n v="0"/>
    <n v="54027486.999999985"/>
    <n v="1200"/>
    <n v="0"/>
    <n v="0"/>
    <n v="0"/>
    <n v="1200"/>
    <m/>
    <s v=""/>
    <m/>
    <s v=""/>
    <n v="1200"/>
    <n v="2022"/>
    <s v=""/>
    <n v="1200"/>
    <n v="1200"/>
    <s v="Increasing"/>
    <n v="7.1554687899516578E-2"/>
    <n v="7.1815970063989321E-2"/>
    <n v="0"/>
    <n v="0"/>
    <n v="0"/>
    <n v="0"/>
    <n v="0.22210916454433655"/>
    <n v="0.22210916454433655"/>
  </r>
  <r>
    <x v="21"/>
    <x v="21"/>
    <n v="43725825.5"/>
    <x v="14"/>
    <n v="0"/>
    <n v="44792368.000000007"/>
    <n v="13216"/>
    <m/>
    <n v="0"/>
    <m/>
    <n v="0"/>
    <m/>
    <n v="0"/>
    <m/>
    <n v="0"/>
    <n v="49953303.999999993"/>
    <n v="21942"/>
    <n v="21942"/>
    <m/>
    <n v="0"/>
    <m/>
    <n v="0"/>
    <m/>
    <n v="8087"/>
    <n v="54027486.999999985"/>
    <n v="25400"/>
    <n v="21942"/>
    <n v="13216"/>
    <n v="21942"/>
    <n v="25400"/>
    <n v="13216"/>
    <n v="2013"/>
    <n v="21942"/>
    <n v="2018"/>
    <n v="25400"/>
    <n v="2022"/>
    <s v=""/>
    <n v="25400"/>
    <n v="25400"/>
    <s v="Increasing"/>
    <n v="7.1554687899516578E-2"/>
    <n v="7.1815970063989321E-2"/>
    <n v="15342.537030957394"/>
    <n v="27217.237891676501"/>
    <n v="2.9505026391996059"/>
    <n v="4.392502245697302"/>
    <n v="4.7013106495217905"/>
    <n v="4.7013106495217905"/>
  </r>
  <r>
    <x v="21"/>
    <x v="21"/>
    <n v="43725826.5"/>
    <x v="15"/>
    <n v="0"/>
    <n v="44792368.000000007"/>
    <n v="0"/>
    <m/>
    <n v="0"/>
    <m/>
    <n v="0"/>
    <m/>
    <n v="0"/>
    <m/>
    <n v="0"/>
    <n v="49953303.999999993"/>
    <n v="0"/>
    <n v="0"/>
    <m/>
    <n v="0"/>
    <m/>
    <n v="0"/>
    <m/>
    <n v="718"/>
    <n v="54027486.999999985"/>
    <n v="631"/>
    <n v="0"/>
    <n v="0"/>
    <n v="0"/>
    <n v="718"/>
    <m/>
    <s v=""/>
    <m/>
    <s v=""/>
    <n v="631"/>
    <n v="2022"/>
    <s v=""/>
    <n v="631"/>
    <n v="631"/>
    <s v="Increasing"/>
    <n v="7.1554687899516578E-2"/>
    <n v="7.1815970063989321E-2"/>
    <n v="0"/>
    <n v="0"/>
    <n v="0"/>
    <n v="0"/>
    <n v="0.1167924023562303"/>
    <n v="0.1167924023562303"/>
  </r>
  <r>
    <x v="21"/>
    <x v="21"/>
    <n v="43725827.5"/>
    <x v="16"/>
    <n v="0"/>
    <n v="44792368.000000007"/>
    <n v="0"/>
    <m/>
    <n v="0"/>
    <m/>
    <n v="0"/>
    <m/>
    <n v="0"/>
    <m/>
    <n v="0"/>
    <n v="49953303.999999993"/>
    <n v="0"/>
    <n v="0"/>
    <m/>
    <n v="0"/>
    <m/>
    <n v="0"/>
    <m/>
    <n v="749"/>
    <n v="54027486.999999985"/>
    <n v="642"/>
    <n v="0"/>
    <n v="0"/>
    <n v="0"/>
    <n v="749"/>
    <m/>
    <s v=""/>
    <m/>
    <s v=""/>
    <n v="642"/>
    <n v="2022"/>
    <s v=""/>
    <n v="642"/>
    <n v="642"/>
    <s v="Increasing"/>
    <n v="7.1554687899516578E-2"/>
    <n v="7.1815970063989321E-2"/>
    <n v="0"/>
    <n v="0"/>
    <n v="0"/>
    <n v="0"/>
    <n v="0.11882840303122005"/>
    <n v="0.11882840303122005"/>
  </r>
  <r>
    <x v="21"/>
    <x v="21"/>
    <n v="43725828.5"/>
    <x v="17"/>
    <n v="0"/>
    <n v="44792368.000000007"/>
    <n v="0"/>
    <m/>
    <n v="0"/>
    <m/>
    <n v="0"/>
    <m/>
    <n v="0"/>
    <m/>
    <n v="0"/>
    <n v="49953303.999999993"/>
    <n v="0"/>
    <n v="0"/>
    <m/>
    <n v="0"/>
    <m/>
    <n v="0"/>
    <m/>
    <n v="0"/>
    <n v="54027486.999999985"/>
    <n v="0"/>
    <n v="0"/>
    <n v="0"/>
    <n v="0"/>
    <n v="0"/>
    <m/>
    <s v=""/>
    <m/>
    <s v=""/>
    <n v="0"/>
    <s v=""/>
    <s v=""/>
    <m/>
    <n v="0"/>
    <s v="No change"/>
    <n v="7.1554687899516578E-2"/>
    <n v="7.1815970063989321E-2"/>
    <n v="0"/>
    <n v="0"/>
    <n v="0"/>
    <n v="0"/>
    <n v="0"/>
    <n v="0"/>
  </r>
  <r>
    <x v="21"/>
    <x v="21"/>
    <n v="43725829.5"/>
    <x v="18"/>
    <n v="0"/>
    <n v="44792368.000000007"/>
    <n v="0"/>
    <m/>
    <n v="0"/>
    <m/>
    <n v="0"/>
    <m/>
    <n v="0"/>
    <m/>
    <n v="0"/>
    <n v="49953303.999999993"/>
    <n v="0"/>
    <n v="0"/>
    <m/>
    <n v="0"/>
    <m/>
    <n v="0"/>
    <m/>
    <n v="0"/>
    <n v="54027486.999999985"/>
    <n v="0"/>
    <n v="0"/>
    <n v="0"/>
    <n v="0"/>
    <n v="0"/>
    <m/>
    <s v=""/>
    <m/>
    <s v=""/>
    <n v="0"/>
    <s v=""/>
    <s v=""/>
    <m/>
    <n v="0"/>
    <s v="No change"/>
    <n v="7.1554687899516578E-2"/>
    <n v="7.1815970063989321E-2"/>
    <n v="0"/>
    <n v="0"/>
    <n v="0"/>
    <n v="0"/>
    <n v="0"/>
    <n v="0"/>
  </r>
  <r>
    <x v="22"/>
    <x v="22"/>
    <n v="4331745.5"/>
    <x v="0"/>
    <n v="0"/>
    <n v="4427312.4999999991"/>
    <n v="0"/>
    <m/>
    <n v="0"/>
    <m/>
    <n v="0"/>
    <m/>
    <n v="0"/>
    <m/>
    <n v="0"/>
    <n v="4889391"/>
    <n v="3391"/>
    <n v="3391"/>
    <m/>
    <n v="0"/>
    <m/>
    <n v="12625"/>
    <m/>
    <n v="0"/>
    <n v="5302681.0000000028"/>
    <n v="0"/>
    <n v="3391"/>
    <n v="0"/>
    <n v="3391"/>
    <n v="12625"/>
    <m/>
    <s v=""/>
    <n v="3391"/>
    <n v="2018"/>
    <n v="12625"/>
    <n v="2020"/>
    <s v=""/>
    <n v="12625"/>
    <n v="12625"/>
    <s v="Increasing"/>
    <n v="0.14269498586031326"/>
    <n v="5.4673730437993617E-2"/>
    <n v="1661.3822454093627"/>
    <n v="3995.4094095575947"/>
    <n v="0"/>
    <n v="6.9354240640603297"/>
    <n v="23.808711102930751"/>
    <n v="23.808711102930751"/>
  </r>
  <r>
    <x v="22"/>
    <x v="22"/>
    <n v="4331746.5"/>
    <x v="1"/>
    <n v="0"/>
    <n v="4427312.4999999991"/>
    <n v="0"/>
    <m/>
    <n v="0"/>
    <m/>
    <n v="0"/>
    <m/>
    <n v="8"/>
    <m/>
    <n v="0"/>
    <n v="4889391"/>
    <n v="0"/>
    <n v="0"/>
    <m/>
    <n v="0"/>
    <m/>
    <n v="0"/>
    <m/>
    <n v="0"/>
    <n v="5302681.0000000028"/>
    <n v="0"/>
    <n v="0"/>
    <n v="0"/>
    <n v="8"/>
    <n v="0"/>
    <m/>
    <s v=""/>
    <m/>
    <s v=""/>
    <n v="0"/>
    <s v=""/>
    <s v=""/>
    <m/>
    <n v="0"/>
    <s v="No change"/>
    <n v="0.14269498586031326"/>
    <n v="5.4673730437993617E-2"/>
    <n v="0"/>
    <n v="0"/>
    <n v="0"/>
    <n v="0"/>
    <n v="0"/>
    <n v="0"/>
  </r>
  <r>
    <x v="22"/>
    <x v="22"/>
    <n v="4331747.5"/>
    <x v="2"/>
    <n v="0"/>
    <n v="4427312.4999999991"/>
    <n v="0"/>
    <m/>
    <n v="2036"/>
    <m/>
    <n v="0"/>
    <m/>
    <n v="344"/>
    <m/>
    <n v="0"/>
    <n v="4889391"/>
    <n v="0"/>
    <n v="285"/>
    <m/>
    <n v="0"/>
    <m/>
    <n v="0"/>
    <m/>
    <n v="0"/>
    <n v="5302681.0000000028"/>
    <n v="0"/>
    <n v="285"/>
    <n v="2036"/>
    <n v="344"/>
    <n v="0"/>
    <n v="2036"/>
    <n v="2014"/>
    <n v="285"/>
    <s v="2018 (triag)"/>
    <n v="285"/>
    <s v="2018 (triag)"/>
    <s v=""/>
    <n v="285"/>
    <n v="285"/>
    <s v="No change"/>
    <n v="0.14269498586031326"/>
    <n v="5.4673730437993617E-2"/>
    <n v="139.63253905681756"/>
    <n v="335.79819573102759"/>
    <n v="4.5987266541496687"/>
    <n v="0.58289467952143736"/>
    <n v="0.53746397341269414"/>
    <n v="0.53746397341269414"/>
  </r>
  <r>
    <x v="22"/>
    <x v="22"/>
    <n v="4331748.5"/>
    <x v="3"/>
    <n v="0"/>
    <n v="4427312.4999999991"/>
    <n v="0"/>
    <m/>
    <n v="0"/>
    <m/>
    <n v="0"/>
    <m/>
    <n v="0"/>
    <m/>
    <n v="0"/>
    <n v="4889391"/>
    <n v="0"/>
    <n v="148"/>
    <m/>
    <n v="0"/>
    <m/>
    <n v="0"/>
    <m/>
    <n v="0"/>
    <n v="5302681.0000000028"/>
    <n v="0"/>
    <n v="148"/>
    <n v="0"/>
    <n v="0"/>
    <n v="0"/>
    <m/>
    <s v=""/>
    <n v="148"/>
    <s v="2018 (triag)"/>
    <n v="148"/>
    <s v="2018 (triag)"/>
    <s v=""/>
    <n v="148"/>
    <n v="148"/>
    <s v="No change"/>
    <n v="0.14269498586031326"/>
    <n v="5.4673730437993617E-2"/>
    <n v="72.51093256283859"/>
    <n v="174.379413923481"/>
    <n v="0"/>
    <n v="0.30269618445323765"/>
    <n v="0.2791040984739605"/>
    <n v="0.2791040984739605"/>
  </r>
  <r>
    <x v="22"/>
    <x v="22"/>
    <n v="4331749.5"/>
    <x v="4"/>
    <n v="0"/>
    <n v="4427312.4999999991"/>
    <n v="0"/>
    <m/>
    <n v="0"/>
    <m/>
    <n v="0"/>
    <m/>
    <n v="0"/>
    <m/>
    <n v="0"/>
    <n v="4889391"/>
    <n v="0"/>
    <n v="1404"/>
    <m/>
    <n v="0"/>
    <m/>
    <n v="0"/>
    <m/>
    <n v="0"/>
    <n v="5302681.0000000028"/>
    <n v="0"/>
    <n v="1404"/>
    <n v="0"/>
    <n v="0"/>
    <n v="0"/>
    <m/>
    <s v=""/>
    <n v="1404"/>
    <s v="2018 (triag)"/>
    <n v="1404"/>
    <s v="2018 (triag)"/>
    <s v=""/>
    <n v="1404"/>
    <n v="1404"/>
    <s v="No change"/>
    <n v="0.14269498586031326"/>
    <n v="5.4673730437993617E-2"/>
    <n v="687.87398187990129"/>
    <n v="1654.2479537065358"/>
    <n v="0"/>
    <n v="2.8715232633266599"/>
    <n v="2.6477172584962196"/>
    <n v="2.6477172584962196"/>
  </r>
  <r>
    <x v="22"/>
    <x v="22"/>
    <n v="4331750.5"/>
    <x v="5"/>
    <n v="0"/>
    <n v="4427312.4999999991"/>
    <n v="0"/>
    <m/>
    <n v="0"/>
    <m/>
    <n v="0"/>
    <m/>
    <n v="0"/>
    <m/>
    <n v="0"/>
    <n v="4889391"/>
    <n v="0"/>
    <n v="0"/>
    <m/>
    <n v="0"/>
    <m/>
    <n v="0"/>
    <m/>
    <n v="0"/>
    <n v="5302681.0000000028"/>
    <n v="0"/>
    <n v="0"/>
    <n v="0"/>
    <n v="0"/>
    <n v="0"/>
    <m/>
    <s v=""/>
    <m/>
    <s v=""/>
    <n v="0"/>
    <s v=""/>
    <s v=""/>
    <m/>
    <n v="0"/>
    <s v="No change"/>
    <n v="0.14269498586031326"/>
    <n v="5.4673730437993617E-2"/>
    <n v="0"/>
    <n v="0"/>
    <n v="0"/>
    <n v="0"/>
    <n v="0"/>
    <n v="0"/>
  </r>
  <r>
    <x v="22"/>
    <x v="22"/>
    <n v="4331751.5"/>
    <x v="6"/>
    <n v="0"/>
    <n v="4427312.4999999991"/>
    <n v="0"/>
    <m/>
    <n v="0"/>
    <m/>
    <n v="0"/>
    <m/>
    <n v="0"/>
    <m/>
    <n v="0"/>
    <n v="4889391"/>
    <n v="0"/>
    <n v="115"/>
    <m/>
    <n v="0"/>
    <m/>
    <n v="0"/>
    <m/>
    <n v="0"/>
    <n v="5302681.0000000028"/>
    <n v="0"/>
    <n v="115"/>
    <n v="0"/>
    <n v="0"/>
    <n v="0"/>
    <m/>
    <s v=""/>
    <n v="115"/>
    <s v="2018 (triag)"/>
    <n v="115"/>
    <s v="2018 (triag)"/>
    <s v=""/>
    <n v="115"/>
    <n v="115"/>
    <s v="No change"/>
    <n v="0.14269498586031326"/>
    <n v="5.4673730437993617E-2"/>
    <n v="56.342954356259717"/>
    <n v="135.49751757567779"/>
    <n v="0"/>
    <n v="0.23520311629812385"/>
    <n v="0.21687142786828009"/>
    <n v="0.21687142786828009"/>
  </r>
  <r>
    <x v="22"/>
    <x v="22"/>
    <n v="4331752.5"/>
    <x v="7"/>
    <n v="0"/>
    <n v="4427312.4999999991"/>
    <n v="0"/>
    <m/>
    <n v="0"/>
    <m/>
    <n v="0"/>
    <m/>
    <n v="0"/>
    <m/>
    <n v="0"/>
    <n v="4889391"/>
    <n v="0"/>
    <n v="527"/>
    <m/>
    <n v="0"/>
    <m/>
    <n v="0"/>
    <m/>
    <n v="0"/>
    <n v="5302681.0000000028"/>
    <n v="0"/>
    <n v="527"/>
    <n v="0"/>
    <n v="0"/>
    <n v="0"/>
    <m/>
    <s v=""/>
    <n v="527"/>
    <s v="2018 (triag)"/>
    <n v="527"/>
    <s v="2018 (triag)"/>
    <s v=""/>
    <n v="527"/>
    <n v="527"/>
    <s v="No change"/>
    <n v="0.14269498586031326"/>
    <n v="5.4673730437993617E-2"/>
    <n v="258.19771257172931"/>
    <n v="620.93210228158432"/>
    <n v="0"/>
    <n v="1.0778438459922719"/>
    <n v="0.99383689118768359"/>
    <n v="0.99383689118768359"/>
  </r>
  <r>
    <x v="22"/>
    <x v="22"/>
    <n v="4331753.5"/>
    <x v="8"/>
    <n v="0"/>
    <n v="4427312.4999999991"/>
    <n v="0"/>
    <m/>
    <n v="0"/>
    <m/>
    <n v="0"/>
    <m/>
    <n v="0"/>
    <m/>
    <n v="0"/>
    <n v="4889391"/>
    <n v="0"/>
    <n v="9"/>
    <m/>
    <n v="0"/>
    <m/>
    <n v="0"/>
    <m/>
    <n v="0"/>
    <n v="5302681.0000000028"/>
    <n v="0"/>
    <n v="9"/>
    <n v="0"/>
    <n v="0"/>
    <n v="0"/>
    <m/>
    <s v=""/>
    <n v="9"/>
    <s v="2018 (triag)"/>
    <n v="9"/>
    <s v="2018 (triag)"/>
    <s v=""/>
    <n v="9"/>
    <n v="9"/>
    <s v="No change"/>
    <n v="0.14269498586031326"/>
    <n v="5.4673730437993617E-2"/>
    <n v="4.4094486017942387"/>
    <n v="10.60415354940087"/>
    <n v="0"/>
    <n v="1.8407200405940127E-2"/>
    <n v="1.6972546528821922E-2"/>
    <n v="1.6972546528821922E-2"/>
  </r>
  <r>
    <x v="22"/>
    <x v="22"/>
    <n v="4331754.5"/>
    <x v="9"/>
    <n v="0"/>
    <n v="4427312.4999999991"/>
    <n v="0"/>
    <m/>
    <n v="0"/>
    <m/>
    <n v="0"/>
    <m/>
    <n v="0"/>
    <m/>
    <n v="0"/>
    <n v="4889391"/>
    <n v="0"/>
    <n v="65"/>
    <m/>
    <n v="0"/>
    <m/>
    <n v="0"/>
    <m/>
    <n v="0"/>
    <n v="5302681.0000000028"/>
    <n v="0"/>
    <n v="65"/>
    <n v="0"/>
    <n v="0"/>
    <n v="0"/>
    <m/>
    <s v=""/>
    <n v="65"/>
    <s v="2018 (triag)"/>
    <n v="65"/>
    <s v="2018 (triag)"/>
    <s v=""/>
    <n v="65"/>
    <n v="65"/>
    <s v="No change"/>
    <n v="0.14269498586031326"/>
    <n v="5.4673730437993617E-2"/>
    <n v="31.84601767962506"/>
    <n v="76.585553412339621"/>
    <n v="0"/>
    <n v="0.1329408918206787"/>
    <n v="0.12257950270815832"/>
    <n v="0.12257950270815832"/>
  </r>
  <r>
    <x v="22"/>
    <x v="22"/>
    <n v="4331755.5"/>
    <x v="10"/>
    <n v="0"/>
    <n v="4427312.4999999991"/>
    <n v="0"/>
    <m/>
    <n v="0"/>
    <m/>
    <n v="0"/>
    <m/>
    <n v="0"/>
    <m/>
    <n v="0"/>
    <n v="4889391"/>
    <n v="0"/>
    <n v="5"/>
    <m/>
    <n v="0"/>
    <m/>
    <n v="0"/>
    <m/>
    <n v="0"/>
    <n v="5302681.0000000028"/>
    <n v="0"/>
    <n v="5"/>
    <n v="0"/>
    <n v="0"/>
    <n v="0"/>
    <m/>
    <s v=""/>
    <n v="5"/>
    <s v="2018 (triag)"/>
    <n v="5"/>
    <s v="2018 (triag)"/>
    <s v=""/>
    <n v="5"/>
    <n v="5"/>
    <s v="No change"/>
    <n v="0.14269498586031326"/>
    <n v="5.4673730437993617E-2"/>
    <n v="2.4496936676634662"/>
    <n v="5.8911964163338171"/>
    <n v="0"/>
    <n v="1.0226222447744515E-2"/>
    <n v="9.4291925160121786E-3"/>
    <n v="9.4291925160121786E-3"/>
  </r>
  <r>
    <x v="22"/>
    <x v="22"/>
    <n v="4331756.5"/>
    <x v="11"/>
    <n v="0"/>
    <n v="4427312.4999999991"/>
    <n v="0"/>
    <m/>
    <n v="0"/>
    <m/>
    <n v="0"/>
    <m/>
    <n v="0"/>
    <m/>
    <n v="0"/>
    <n v="4889391"/>
    <n v="0"/>
    <n v="4311"/>
    <m/>
    <n v="0"/>
    <m/>
    <n v="0"/>
    <m/>
    <n v="0"/>
    <n v="5302681.0000000028"/>
    <n v="0"/>
    <n v="4311"/>
    <n v="0"/>
    <n v="0"/>
    <n v="0"/>
    <m/>
    <s v=""/>
    <n v="4311"/>
    <s v="2018 (triag)"/>
    <n v="4311"/>
    <s v="2018 (triag)"/>
    <s v=""/>
    <n v="4311"/>
    <n v="4311"/>
    <s v="No change"/>
    <n v="0.14269498586031326"/>
    <n v="5.4673730437993617E-2"/>
    <n v="2112.1258802594407"/>
    <n v="5079.3895501630168"/>
    <n v="0"/>
    <n v="8.8170489944453205"/>
    <n v="8.1298497873056998"/>
    <n v="8.1298497873056998"/>
  </r>
  <r>
    <x v="22"/>
    <x v="22"/>
    <n v="4331757.5"/>
    <x v="12"/>
    <n v="0"/>
    <n v="4427312.4999999991"/>
    <n v="0"/>
    <m/>
    <n v="0"/>
    <m/>
    <n v="0"/>
    <m/>
    <n v="0"/>
    <m/>
    <n v="0"/>
    <n v="4889391"/>
    <n v="0"/>
    <n v="3601"/>
    <m/>
    <n v="0"/>
    <m/>
    <n v="0"/>
    <m/>
    <n v="0"/>
    <n v="5302681.0000000028"/>
    <n v="0"/>
    <n v="3601"/>
    <n v="0"/>
    <n v="0"/>
    <n v="0"/>
    <m/>
    <s v=""/>
    <n v="3601"/>
    <s v="2018 (triag)"/>
    <n v="3601"/>
    <s v="2018 (triag)"/>
    <s v=""/>
    <n v="3601"/>
    <n v="3601"/>
    <s v="No change"/>
    <n v="0.14269498586031326"/>
    <n v="5.4673730437993617E-2"/>
    <n v="1764.2693794512284"/>
    <n v="4242.839659043615"/>
    <n v="0"/>
    <n v="7.3649254068655994"/>
    <n v="6.7909044500319711"/>
    <n v="6.7909044500319711"/>
  </r>
  <r>
    <x v="22"/>
    <x v="22"/>
    <n v="4331758.5"/>
    <x v="13"/>
    <n v="0"/>
    <n v="4427312.4999999991"/>
    <n v="0"/>
    <m/>
    <n v="0"/>
    <m/>
    <n v="0"/>
    <m/>
    <n v="0"/>
    <m/>
    <n v="0"/>
    <n v="4889391"/>
    <n v="0"/>
    <n v="0"/>
    <m/>
    <n v="0"/>
    <m/>
    <n v="0"/>
    <m/>
    <n v="0"/>
    <n v="5302681.0000000028"/>
    <n v="0"/>
    <n v="0"/>
    <n v="0"/>
    <n v="0"/>
    <n v="0"/>
    <m/>
    <s v=""/>
    <m/>
    <s v=""/>
    <n v="0"/>
    <s v=""/>
    <s v=""/>
    <m/>
    <n v="0"/>
    <s v="No change"/>
    <n v="0.14269498586031326"/>
    <n v="5.4673730437993617E-2"/>
    <n v="0"/>
    <n v="0"/>
    <n v="0"/>
    <n v="0"/>
    <n v="0"/>
    <n v="0"/>
  </r>
  <r>
    <x v="22"/>
    <x v="22"/>
    <n v="4331759.5"/>
    <x v="14"/>
    <n v="0"/>
    <n v="4427312.4999999991"/>
    <n v="0"/>
    <m/>
    <n v="0"/>
    <m/>
    <n v="0"/>
    <m/>
    <n v="0"/>
    <m/>
    <n v="0"/>
    <n v="4889391"/>
    <n v="0"/>
    <n v="0"/>
    <m/>
    <n v="0"/>
    <m/>
    <n v="0"/>
    <m/>
    <n v="0"/>
    <n v="5302681.0000000028"/>
    <n v="0"/>
    <n v="0"/>
    <n v="0"/>
    <n v="0"/>
    <n v="0"/>
    <m/>
    <s v=""/>
    <m/>
    <s v=""/>
    <n v="0"/>
    <s v=""/>
    <s v=""/>
    <m/>
    <n v="0"/>
    <s v="No change"/>
    <n v="0.14269498586031326"/>
    <n v="5.4673730437993617E-2"/>
    <n v="0"/>
    <n v="0"/>
    <n v="0"/>
    <n v="0"/>
    <n v="0"/>
    <n v="0"/>
  </r>
  <r>
    <x v="22"/>
    <x v="22"/>
    <n v="4331760.5"/>
    <x v="15"/>
    <n v="0"/>
    <n v="4427312.4999999991"/>
    <n v="0"/>
    <m/>
    <n v="0"/>
    <m/>
    <n v="0"/>
    <m/>
    <n v="0"/>
    <m/>
    <n v="0"/>
    <n v="4889391"/>
    <n v="0"/>
    <n v="3"/>
    <m/>
    <n v="0"/>
    <m/>
    <n v="0"/>
    <m/>
    <n v="0"/>
    <n v="5302681.0000000028"/>
    <n v="0"/>
    <n v="3"/>
    <n v="0"/>
    <n v="0"/>
    <n v="0"/>
    <m/>
    <s v=""/>
    <n v="3"/>
    <s v="2018 (triag)"/>
    <n v="3"/>
    <s v="2018 (triag)"/>
    <s v=""/>
    <n v="3"/>
    <n v="3"/>
    <s v="No change"/>
    <n v="0.14269498586031326"/>
    <n v="5.4673730437993617E-2"/>
    <n v="1.4698162005980797"/>
    <n v="3.5347178498002902"/>
    <n v="0"/>
    <n v="6.1357334686467091E-3"/>
    <n v="5.657515509607307E-3"/>
    <n v="5.657515509607307E-3"/>
  </r>
  <r>
    <x v="22"/>
    <x v="22"/>
    <n v="4331761.5"/>
    <x v="16"/>
    <n v="0"/>
    <n v="4427312.4999999991"/>
    <n v="0"/>
    <m/>
    <n v="0"/>
    <m/>
    <n v="0"/>
    <m/>
    <n v="0"/>
    <m/>
    <n v="0"/>
    <n v="4889391"/>
    <n v="0"/>
    <n v="0"/>
    <m/>
    <n v="0"/>
    <m/>
    <n v="0"/>
    <m/>
    <n v="0"/>
    <n v="5302681.0000000028"/>
    <n v="0"/>
    <n v="0"/>
    <n v="0"/>
    <n v="0"/>
    <n v="0"/>
    <m/>
    <s v=""/>
    <m/>
    <s v=""/>
    <n v="0"/>
    <s v=""/>
    <s v=""/>
    <m/>
    <n v="0"/>
    <s v="No change"/>
    <n v="0.14269498586031326"/>
    <n v="5.4673730437993617E-2"/>
    <n v="0"/>
    <n v="0"/>
    <n v="0"/>
    <n v="0"/>
    <n v="0"/>
    <n v="0"/>
  </r>
  <r>
    <x v="22"/>
    <x v="22"/>
    <n v="4331762.5"/>
    <x v="17"/>
    <n v="0"/>
    <n v="4427312.4999999991"/>
    <n v="0"/>
    <m/>
    <n v="0"/>
    <m/>
    <n v="0"/>
    <m/>
    <n v="0"/>
    <m/>
    <n v="0"/>
    <n v="4889391"/>
    <n v="0"/>
    <n v="0"/>
    <m/>
    <n v="0"/>
    <m/>
    <n v="0"/>
    <m/>
    <n v="0"/>
    <n v="5302681.0000000028"/>
    <n v="0"/>
    <n v="0"/>
    <n v="0"/>
    <n v="0"/>
    <n v="0"/>
    <m/>
    <s v=""/>
    <m/>
    <s v=""/>
    <n v="0"/>
    <s v=""/>
    <s v=""/>
    <m/>
    <n v="0"/>
    <s v="No change"/>
    <n v="0.14269498586031326"/>
    <n v="5.4673730437993617E-2"/>
    <n v="0"/>
    <n v="0"/>
    <n v="0"/>
    <n v="0"/>
    <n v="0"/>
    <n v="0"/>
  </r>
  <r>
    <x v="22"/>
    <x v="22"/>
    <n v="4331763.5"/>
    <x v="18"/>
    <n v="0"/>
    <n v="4427312.4999999991"/>
    <n v="0"/>
    <m/>
    <n v="0"/>
    <m/>
    <n v="0"/>
    <m/>
    <n v="0"/>
    <m/>
    <n v="0"/>
    <n v="4889391"/>
    <n v="0"/>
    <n v="0"/>
    <m/>
    <n v="0"/>
    <m/>
    <n v="0"/>
    <m/>
    <n v="0"/>
    <n v="5302681.0000000028"/>
    <n v="0"/>
    <n v="0"/>
    <n v="0"/>
    <n v="0"/>
    <n v="0"/>
    <m/>
    <s v=""/>
    <m/>
    <s v=""/>
    <n v="0"/>
    <s v=""/>
    <s v=""/>
    <m/>
    <n v="0"/>
    <s v="No change"/>
    <n v="0.14269498586031326"/>
    <n v="5.4673730437993617E-2"/>
    <n v="0"/>
    <n v="0"/>
    <n v="0"/>
    <n v="0"/>
    <n v="0"/>
    <n v="0"/>
  </r>
  <r>
    <x v="23"/>
    <x v="23"/>
    <n v="2054723"/>
    <x v="0"/>
    <n v="0"/>
    <n v="2073938.4999999998"/>
    <n v="0"/>
    <m/>
    <n v="0"/>
    <m/>
    <n v="0"/>
    <m/>
    <n v="0"/>
    <m/>
    <n v="0"/>
    <n v="2198017"/>
    <n v="14508"/>
    <n v="14508"/>
    <m/>
    <n v="0"/>
    <m/>
    <n v="0"/>
    <m/>
    <n v="14508"/>
    <n v="2305825.5000000019"/>
    <n v="14508"/>
    <n v="14508"/>
    <n v="0"/>
    <n v="14508"/>
    <n v="14508"/>
    <m/>
    <s v=""/>
    <n v="14508"/>
    <n v="2018"/>
    <n v="14508"/>
    <n v="2021"/>
    <s v=""/>
    <n v="14508"/>
    <n v="14508"/>
    <s v="No change"/>
    <n v="-2.9414192821425544E-2"/>
    <n v="0.35384209356504925"/>
    <n v="16806.591918109276"/>
    <n v="41939.432834201732"/>
    <n v="0"/>
    <n v="66.004949006308863"/>
    <n v="62.918898242733405"/>
    <n v="62.918898242733405"/>
  </r>
  <r>
    <x v="23"/>
    <x v="23"/>
    <n v="2054724"/>
    <x v="1"/>
    <n v="0"/>
    <n v="2073938.4999999998"/>
    <n v="11"/>
    <m/>
    <n v="0"/>
    <m/>
    <n v="16"/>
    <m/>
    <n v="0"/>
    <m/>
    <n v="0"/>
    <n v="2198017"/>
    <n v="0"/>
    <n v="29"/>
    <m/>
    <n v="0"/>
    <m/>
    <n v="43"/>
    <m/>
    <n v="0"/>
    <n v="2305825.5000000019"/>
    <n v="0"/>
    <n v="29"/>
    <n v="16"/>
    <n v="0"/>
    <n v="43"/>
    <n v="11"/>
    <n v="2013"/>
    <n v="29"/>
    <s v="2018 (triag)"/>
    <n v="43"/>
    <n v="2020"/>
    <s v=""/>
    <n v="43"/>
    <n v="43"/>
    <s v="Increasing"/>
    <n v="-2.9414192821425544E-2"/>
    <n v="0.35384209356504925"/>
    <n v="33.59464885753853"/>
    <n v="83.832613192159513"/>
    <n v="5.3039181248624299E-2"/>
    <n v="0.13193710512703041"/>
    <n v="0.18648418971860606"/>
    <n v="0.18648418971860606"/>
  </r>
  <r>
    <x v="23"/>
    <x v="23"/>
    <n v="2054725"/>
    <x v="2"/>
    <n v="0"/>
    <n v="2073938.4999999998"/>
    <n v="205"/>
    <m/>
    <n v="0"/>
    <m/>
    <n v="142"/>
    <m/>
    <n v="0"/>
    <m/>
    <n v="0"/>
    <n v="2198017"/>
    <n v="0"/>
    <n v="144"/>
    <m/>
    <n v="0"/>
    <m/>
    <n v="0"/>
    <m/>
    <n v="144"/>
    <n v="2305825.5000000019"/>
    <n v="144"/>
    <n v="144"/>
    <n v="205"/>
    <n v="0"/>
    <n v="144"/>
    <n v="205"/>
    <n v="2013"/>
    <n v="144"/>
    <s v="2018 (triag)"/>
    <n v="144"/>
    <n v="2021"/>
    <s v=""/>
    <n v="144"/>
    <n v="144"/>
    <s v="No change"/>
    <n v="-2.9414192821425544E-2"/>
    <n v="0.35384209356504925"/>
    <n v="166.81480812019132"/>
    <n v="416.27228619555069"/>
    <n v="0.98845746872436202"/>
    <n v="0.65513597028594406"/>
    <n v="0.6245051934762621"/>
    <n v="0.6245051934762621"/>
  </r>
  <r>
    <x v="23"/>
    <x v="23"/>
    <n v="2054726"/>
    <x v="3"/>
    <n v="0"/>
    <n v="2073938.4999999998"/>
    <n v="0"/>
    <m/>
    <n v="0"/>
    <m/>
    <n v="0"/>
    <m/>
    <n v="0"/>
    <m/>
    <n v="0"/>
    <n v="2198017"/>
    <n v="0"/>
    <n v="849"/>
    <m/>
    <n v="0"/>
    <m/>
    <n v="0"/>
    <m/>
    <n v="0"/>
    <n v="2305825.5000000019"/>
    <n v="0"/>
    <n v="849"/>
    <n v="0"/>
    <n v="0"/>
    <n v="0"/>
    <m/>
    <s v=""/>
    <n v="849"/>
    <s v="2018 (triag)"/>
    <n v="849"/>
    <s v="2018 (triag)"/>
    <s v=""/>
    <n v="849"/>
    <n v="849"/>
    <s v="No change"/>
    <n v="-2.9414192821425544E-2"/>
    <n v="0.35384209356504925"/>
    <n v="983.51230620862793"/>
    <n v="2454.272020694601"/>
    <n v="0"/>
    <n v="3.8625724914775454"/>
    <n v="3.6819785365371289"/>
    <n v="3.6819785365371289"/>
  </r>
  <r>
    <x v="23"/>
    <x v="23"/>
    <n v="2054727"/>
    <x v="4"/>
    <n v="0"/>
    <n v="2073938.4999999998"/>
    <n v="0"/>
    <m/>
    <n v="0"/>
    <m/>
    <n v="0"/>
    <m/>
    <n v="0"/>
    <m/>
    <n v="0"/>
    <n v="2198017"/>
    <n v="0"/>
    <n v="110"/>
    <m/>
    <n v="0"/>
    <m/>
    <n v="0"/>
    <m/>
    <n v="0"/>
    <n v="2305825.5000000019"/>
    <n v="33"/>
    <n v="110"/>
    <n v="0"/>
    <n v="0"/>
    <n v="33"/>
    <m/>
    <s v=""/>
    <n v="110"/>
    <s v="2018 (triag)"/>
    <n v="33"/>
    <n v="2022"/>
    <s v="Adjust"/>
    <n v="42.162196889826042"/>
    <n v="110"/>
    <s v="Decreasing"/>
    <n v="-2.9414192821425544E-2"/>
    <n v="0.35384209356504925"/>
    <n v="127.42797842514614"/>
    <n v="317.98577417715677"/>
    <n v="0"/>
    <n v="0.500451088412874"/>
    <n v="0.18285077031989633"/>
    <n v="0.47705257834992243"/>
  </r>
  <r>
    <x v="23"/>
    <x v="23"/>
    <n v="2054728"/>
    <x v="5"/>
    <n v="0"/>
    <n v="2073938.4999999998"/>
    <n v="0"/>
    <m/>
    <n v="0"/>
    <m/>
    <n v="0"/>
    <m/>
    <n v="0"/>
    <m/>
    <n v="0"/>
    <n v="2198017"/>
    <n v="0"/>
    <n v="10"/>
    <m/>
    <n v="6"/>
    <m/>
    <n v="0"/>
    <m/>
    <n v="13"/>
    <n v="2305825.5000000019"/>
    <n v="13"/>
    <n v="10"/>
    <n v="0"/>
    <n v="6"/>
    <n v="13"/>
    <m/>
    <s v=""/>
    <n v="10"/>
    <s v="2018 (triag)"/>
    <n v="13"/>
    <n v="2021"/>
    <s v=""/>
    <n v="13"/>
    <n v="13"/>
    <s v="Increasing"/>
    <n v="-2.9414192821425544E-2"/>
    <n v="0.35384209356504925"/>
    <n v="11.584361675013286"/>
    <n v="28.907797652468798"/>
    <n v="0"/>
    <n v="4.5495553492079455E-2"/>
    <n v="5.6378941077718105E-2"/>
    <n v="5.6378941077718105E-2"/>
  </r>
  <r>
    <x v="23"/>
    <x v="23"/>
    <n v="2054729"/>
    <x v="6"/>
    <n v="0"/>
    <n v="2073938.4999999998"/>
    <n v="0"/>
    <m/>
    <n v="0"/>
    <m/>
    <n v="0"/>
    <m/>
    <n v="0"/>
    <m/>
    <n v="0"/>
    <n v="2198017"/>
    <n v="205"/>
    <n v="416"/>
    <m/>
    <n v="0"/>
    <m/>
    <n v="0"/>
    <m/>
    <m/>
    <n v="2305825.5000000019"/>
    <n v="0"/>
    <n v="416"/>
    <n v="0"/>
    <n v="205"/>
    <n v="0"/>
    <m/>
    <s v=""/>
    <n v="416"/>
    <s v="2018 (triag)"/>
    <n v="416"/>
    <s v="2018 (triag)"/>
    <s v=""/>
    <n v="416"/>
    <n v="416"/>
    <s v="No change"/>
    <n v="-2.9414192821425544E-2"/>
    <n v="0.35384209356504925"/>
    <n v="481.90944568055266"/>
    <n v="1202.5643823427019"/>
    <n v="0"/>
    <n v="1.8926150252705052"/>
    <n v="1.8041261144869793"/>
    <n v="1.8041261144869793"/>
  </r>
  <r>
    <x v="23"/>
    <x v="23"/>
    <n v="2054730"/>
    <x v="7"/>
    <n v="0"/>
    <n v="2073938.4999999998"/>
    <n v="0"/>
    <m/>
    <n v="0"/>
    <m/>
    <n v="0"/>
    <m/>
    <n v="0"/>
    <m/>
    <n v="0"/>
    <n v="2198017"/>
    <n v="0"/>
    <n v="71"/>
    <m/>
    <n v="0"/>
    <m/>
    <n v="0"/>
    <m/>
    <n v="0"/>
    <n v="2305825.5000000019"/>
    <n v="5"/>
    <n v="71"/>
    <n v="0"/>
    <n v="0"/>
    <n v="5"/>
    <m/>
    <s v=""/>
    <n v="71"/>
    <s v="2018 (triag)"/>
    <n v="5"/>
    <n v="2022"/>
    <s v="Adjust"/>
    <n v="6.388211649973643"/>
    <n v="71"/>
    <s v="Decreasing"/>
    <n v="-2.9414192821425544E-2"/>
    <n v="0.35384209356504925"/>
    <n v="82.248967892594322"/>
    <n v="205.24536333252846"/>
    <n v="0"/>
    <n v="0.32301842979376411"/>
    <n v="2.7704662169681264E-2"/>
    <n v="0.30791575511676811"/>
  </r>
  <r>
    <x v="23"/>
    <x v="23"/>
    <n v="2054731"/>
    <x v="8"/>
    <n v="0"/>
    <n v="2073938.4999999998"/>
    <n v="0"/>
    <m/>
    <n v="0"/>
    <m/>
    <n v="0"/>
    <m/>
    <n v="0"/>
    <m/>
    <n v="0"/>
    <n v="2198017"/>
    <n v="0"/>
    <n v="41"/>
    <m/>
    <n v="0"/>
    <m/>
    <n v="0"/>
    <m/>
    <n v="41"/>
    <n v="2305825.5000000019"/>
    <n v="76"/>
    <n v="41"/>
    <n v="0"/>
    <n v="0"/>
    <n v="76"/>
    <m/>
    <s v=""/>
    <n v="41"/>
    <s v="2018 (triag)"/>
    <n v="76"/>
    <n v="2022"/>
    <s v=""/>
    <n v="76"/>
    <n v="76"/>
    <s v="Increasing"/>
    <n v="-2.9414192821425544E-2"/>
    <n v="0.35384209356504925"/>
    <n v="47.495882867554471"/>
    <n v="118.52197037512208"/>
    <n v="0"/>
    <n v="0.18653176931752574"/>
    <n v="0.32959996322358276"/>
    <n v="0.32959996322358276"/>
  </r>
  <r>
    <x v="23"/>
    <x v="23"/>
    <n v="2054732"/>
    <x v="9"/>
    <n v="0"/>
    <n v="2073938.4999999998"/>
    <n v="0"/>
    <m/>
    <n v="0"/>
    <m/>
    <n v="0"/>
    <m/>
    <n v="0"/>
    <m/>
    <n v="0"/>
    <n v="2198017"/>
    <n v="0"/>
    <n v="349"/>
    <m/>
    <n v="0"/>
    <m/>
    <n v="0"/>
    <m/>
    <n v="0"/>
    <n v="2305825.5000000019"/>
    <n v="0"/>
    <n v="349"/>
    <n v="0"/>
    <n v="0"/>
    <n v="0"/>
    <m/>
    <s v=""/>
    <n v="349"/>
    <s v="2018 (triag)"/>
    <n v="349"/>
    <s v="2018 (triag)"/>
    <s v=""/>
    <n v="349"/>
    <n v="349"/>
    <s v="No change"/>
    <n v="-2.9414192821425544E-2"/>
    <n v="0.35384209356504925"/>
    <n v="404.29422245796366"/>
    <n v="1008.8821380711611"/>
    <n v="0"/>
    <n v="1.5877948168735729"/>
    <n v="1.5135577258556629"/>
    <n v="1.5135577258556629"/>
  </r>
  <r>
    <x v="23"/>
    <x v="23"/>
    <n v="2054733"/>
    <x v="10"/>
    <n v="0"/>
    <n v="2073938.4999999998"/>
    <n v="0"/>
    <m/>
    <n v="0"/>
    <m/>
    <n v="0"/>
    <m/>
    <n v="0"/>
    <m/>
    <n v="0"/>
    <n v="2198017"/>
    <n v="0"/>
    <n v="8"/>
    <m/>
    <n v="0"/>
    <m/>
    <n v="0"/>
    <m/>
    <n v="13"/>
    <n v="2305825.5000000019"/>
    <n v="13"/>
    <n v="8"/>
    <n v="0"/>
    <n v="0"/>
    <n v="13"/>
    <m/>
    <s v=""/>
    <n v="8"/>
    <s v="2018 (triag)"/>
    <n v="13"/>
    <n v="2021"/>
    <s v=""/>
    <n v="13"/>
    <n v="13"/>
    <s v="Increasing"/>
    <n v="-2.9414192821425544E-2"/>
    <n v="0.35384209356504925"/>
    <n v="9.2674893400106289"/>
    <n v="23.126238121975039"/>
    <n v="0"/>
    <n v="3.639644279366356E-2"/>
    <n v="5.6378941077718105E-2"/>
    <n v="5.6378941077718105E-2"/>
  </r>
  <r>
    <x v="23"/>
    <x v="23"/>
    <n v="2054734"/>
    <x v="11"/>
    <n v="0"/>
    <n v="2073938.4999999998"/>
    <n v="0"/>
    <m/>
    <n v="0"/>
    <m/>
    <n v="0"/>
    <m/>
    <n v="0"/>
    <m/>
    <n v="0"/>
    <n v="2198017"/>
    <n v="0"/>
    <n v="2130"/>
    <m/>
    <n v="0"/>
    <m/>
    <n v="0"/>
    <m/>
    <n v="0"/>
    <n v="2305825.5000000019"/>
    <n v="620"/>
    <n v="2130"/>
    <n v="0"/>
    <n v="0"/>
    <n v="620"/>
    <m/>
    <s v=""/>
    <n v="2130"/>
    <s v="2018 (triag)"/>
    <n v="620"/>
    <n v="2022"/>
    <s v="Adjust"/>
    <n v="792.13824459673174"/>
    <n v="2130"/>
    <s v="Decreasing"/>
    <n v="-2.9414192821425544E-2"/>
    <n v="0.35384209356504925"/>
    <n v="2467.4690367778298"/>
    <n v="6157.3608999758544"/>
    <n v="0"/>
    <n v="9.6905528938129226"/>
    <n v="3.4353781090404762"/>
    <n v="9.237472653503044"/>
  </r>
  <r>
    <x v="23"/>
    <x v="23"/>
    <n v="2054735"/>
    <x v="12"/>
    <n v="0"/>
    <n v="2073938.4999999998"/>
    <n v="0"/>
    <m/>
    <n v="0"/>
    <m/>
    <n v="0"/>
    <m/>
    <n v="0"/>
    <m/>
    <n v="0"/>
    <n v="2198017"/>
    <n v="0"/>
    <n v="58"/>
    <m/>
    <n v="0"/>
    <m/>
    <n v="0"/>
    <m/>
    <n v="0"/>
    <n v="2305825.5000000019"/>
    <n v="0"/>
    <n v="58"/>
    <n v="0"/>
    <n v="0"/>
    <n v="0"/>
    <m/>
    <s v=""/>
    <n v="58"/>
    <s v="2018 (triag)"/>
    <n v="58"/>
    <s v="2018 (triag)"/>
    <s v=""/>
    <n v="58"/>
    <n v="58"/>
    <s v="No change"/>
    <n v="-2.9414192821425544E-2"/>
    <n v="0.35384209356504925"/>
    <n v="67.189297715077061"/>
    <n v="167.66522638431903"/>
    <n v="0"/>
    <n v="0.26387421025406083"/>
    <n v="0.25153681403905004"/>
    <n v="0.25153681403905004"/>
  </r>
  <r>
    <x v="23"/>
    <x v="23"/>
    <n v="2054736"/>
    <x v="13"/>
    <n v="0"/>
    <n v="2073938.4999999998"/>
    <n v="0"/>
    <m/>
    <n v="0"/>
    <m/>
    <n v="0"/>
    <m/>
    <n v="0"/>
    <m/>
    <n v="0"/>
    <n v="2198017"/>
    <n v="0"/>
    <n v="205"/>
    <m/>
    <n v="0"/>
    <m/>
    <n v="0"/>
    <m/>
    <n v="273"/>
    <n v="2305825.5000000019"/>
    <n v="273"/>
    <n v="205"/>
    <n v="0"/>
    <n v="0"/>
    <n v="273"/>
    <m/>
    <s v=""/>
    <n v="205"/>
    <s v="2018 (triag)"/>
    <n v="273"/>
    <n v="2021"/>
    <s v=""/>
    <n v="273"/>
    <n v="273"/>
    <s v="Increasing"/>
    <n v="-2.9414192821425544E-2"/>
    <n v="0.35384209356504925"/>
    <n v="237.47941433777234"/>
    <n v="592.60985187561039"/>
    <n v="0"/>
    <n v="0.93265884658762876"/>
    <n v="1.1839577626320803"/>
    <n v="1.1839577626320803"/>
  </r>
  <r>
    <x v="23"/>
    <x v="23"/>
    <n v="2054737"/>
    <x v="14"/>
    <n v="0"/>
    <n v="2073938.4999999998"/>
    <n v="0"/>
    <m/>
    <n v="0"/>
    <m/>
    <n v="0"/>
    <m/>
    <n v="0"/>
    <m/>
    <n v="0"/>
    <n v="2198017"/>
    <n v="0"/>
    <n v="4"/>
    <m/>
    <n v="0"/>
    <m/>
    <n v="0"/>
    <m/>
    <n v="0"/>
    <n v="2305825.5000000019"/>
    <n v="2"/>
    <n v="4"/>
    <n v="0"/>
    <n v="0"/>
    <n v="2"/>
    <m/>
    <s v=""/>
    <n v="4"/>
    <s v="2018 (triag)"/>
    <n v="2"/>
    <n v="2022"/>
    <s v="Adjust"/>
    <n v="2.5552846599894572"/>
    <n v="4"/>
    <s v="Decreasing"/>
    <n v="-2.9414192821425544E-2"/>
    <n v="0.35384209356504925"/>
    <n v="4.6337446700053144"/>
    <n v="11.563119060987519"/>
    <n v="0"/>
    <n v="1.819822139683178E-2"/>
    <n v="1.1081864867872505E-2"/>
    <n v="1.7347366485451727E-2"/>
  </r>
  <r>
    <x v="23"/>
    <x v="23"/>
    <n v="2054738"/>
    <x v="15"/>
    <n v="0"/>
    <n v="2073938.4999999998"/>
    <n v="0"/>
    <m/>
    <n v="0"/>
    <m/>
    <n v="0"/>
    <m/>
    <n v="0"/>
    <m/>
    <n v="0"/>
    <n v="2198017"/>
    <n v="0"/>
    <n v="22"/>
    <m/>
    <n v="0"/>
    <m/>
    <n v="0"/>
    <m/>
    <n v="22"/>
    <n v="2305825.5000000019"/>
    <n v="7"/>
    <n v="22"/>
    <n v="0"/>
    <n v="0"/>
    <n v="22"/>
    <m/>
    <s v=""/>
    <n v="22"/>
    <s v="2018 (triag)"/>
    <n v="7"/>
    <n v="2022"/>
    <s v="Adjust"/>
    <n v="8.9434963099631002"/>
    <n v="22"/>
    <s v="Decreasing"/>
    <n v="-2.9414192821425544E-2"/>
    <n v="0.35384209356504925"/>
    <n v="25.485595685029228"/>
    <n v="63.597154835431354"/>
    <n v="0"/>
    <n v="0.1000902176825748"/>
    <n v="3.8786527037553767E-2"/>
    <n v="9.5410515669984486E-2"/>
  </r>
  <r>
    <x v="23"/>
    <x v="23"/>
    <n v="2054739"/>
    <x v="16"/>
    <n v="0"/>
    <n v="2073938.4999999998"/>
    <n v="0"/>
    <m/>
    <n v="0"/>
    <m/>
    <n v="0"/>
    <m/>
    <n v="0"/>
    <m/>
    <n v="0"/>
    <n v="2198017"/>
    <n v="0"/>
    <n v="0"/>
    <m/>
    <n v="0"/>
    <m/>
    <n v="0"/>
    <m/>
    <n v="0"/>
    <n v="2305825.5000000019"/>
    <n v="0"/>
    <n v="0"/>
    <n v="0"/>
    <n v="0"/>
    <n v="0"/>
    <m/>
    <s v=""/>
    <m/>
    <s v=""/>
    <n v="0"/>
    <s v=""/>
    <s v=""/>
    <m/>
    <n v="0"/>
    <s v="No change"/>
    <n v="-2.9414192821425544E-2"/>
    <n v="0.35384209356504925"/>
    <n v="0"/>
    <n v="0"/>
    <n v="0"/>
    <n v="0"/>
    <n v="0"/>
    <n v="0"/>
  </r>
  <r>
    <x v="23"/>
    <x v="23"/>
    <n v="2054740"/>
    <x v="17"/>
    <n v="0"/>
    <n v="2073938.4999999998"/>
    <n v="0"/>
    <m/>
    <n v="0"/>
    <m/>
    <n v="0"/>
    <m/>
    <n v="0"/>
    <m/>
    <n v="0"/>
    <n v="2198017"/>
    <n v="0"/>
    <n v="0"/>
    <m/>
    <n v="0"/>
    <m/>
    <n v="0"/>
    <m/>
    <n v="0"/>
    <n v="2305825.5000000019"/>
    <n v="0"/>
    <n v="0"/>
    <n v="0"/>
    <n v="0"/>
    <n v="0"/>
    <m/>
    <s v=""/>
    <m/>
    <s v=""/>
    <n v="0"/>
    <s v=""/>
    <s v=""/>
    <m/>
    <n v="0"/>
    <s v="No change"/>
    <n v="-2.9414192821425544E-2"/>
    <n v="0.35384209356504925"/>
    <n v="0"/>
    <n v="0"/>
    <n v="0"/>
    <n v="0"/>
    <n v="0"/>
    <n v="0"/>
  </r>
  <r>
    <x v="23"/>
    <x v="23"/>
    <n v="2054741"/>
    <x v="18"/>
    <n v="0"/>
    <n v="2073938.4999999998"/>
    <n v="0"/>
    <m/>
    <n v="0"/>
    <m/>
    <n v="0"/>
    <m/>
    <n v="0"/>
    <m/>
    <n v="0"/>
    <n v="2198017"/>
    <n v="0"/>
    <n v="6097"/>
    <m/>
    <n v="0"/>
    <m/>
    <n v="0"/>
    <m/>
    <n v="0"/>
    <n v="2305825.5000000019"/>
    <n v="0"/>
    <n v="6097"/>
    <n v="0"/>
    <n v="0"/>
    <n v="0"/>
    <m/>
    <s v=""/>
    <n v="6097"/>
    <s v="2018 (triag)"/>
    <n v="6097"/>
    <s v="2018 (triag)"/>
    <s v=""/>
    <n v="6097"/>
    <n v="6097"/>
    <s v="No change"/>
    <n v="-2.9414192821425544E-2"/>
    <n v="0.35384209356504925"/>
    <n v="7062.9853132556"/>
    <n v="17625.084228710228"/>
    <n v="0"/>
    <n v="27.738638964120842"/>
    <n v="26.441723365449793"/>
    <n v="26.441723365449793"/>
  </r>
  <r>
    <x v="24"/>
    <x v="24"/>
    <n v="22966245"/>
    <x v="0"/>
    <n v="0"/>
    <n v="23588073.5"/>
    <n v="0"/>
    <m/>
    <n v="0"/>
    <m/>
    <n v="0"/>
    <m/>
    <n v="0"/>
    <m/>
    <n v="0"/>
    <n v="26846541"/>
    <n v="35000"/>
    <n v="35000"/>
    <m/>
    <n v="38338"/>
    <m/>
    <n v="41616"/>
    <m/>
    <n v="41616"/>
    <n v="29611714.000000004"/>
    <n v="0"/>
    <n v="35000"/>
    <n v="0"/>
    <n v="38338"/>
    <n v="41616"/>
    <m/>
    <s v=""/>
    <n v="35000"/>
    <n v="2018"/>
    <n v="41616"/>
    <n v="2020"/>
    <s v=""/>
    <n v="41616"/>
    <n v="41616"/>
    <s v="Increasing"/>
    <n v="4.1448317953169944E-2"/>
    <n v="6.6454487825566844E-3"/>
    <n v="28448.813976974463"/>
    <n v="35704.774089324441"/>
    <n v="0"/>
    <n v="13.037061273554757"/>
    <n v="14.053897724393797"/>
    <n v="14.053897724393797"/>
  </r>
  <r>
    <x v="24"/>
    <x v="24"/>
    <n v="22966246"/>
    <x v="1"/>
    <n v="0"/>
    <n v="23588073.5"/>
    <n v="0"/>
    <m/>
    <n v="0"/>
    <m/>
    <n v="0"/>
    <m/>
    <n v="0"/>
    <m/>
    <n v="0"/>
    <n v="26846541"/>
    <n v="0"/>
    <n v="414"/>
    <m/>
    <n v="0"/>
    <m/>
    <n v="0"/>
    <m/>
    <n v="0"/>
    <n v="29611714.000000004"/>
    <n v="0"/>
    <n v="414"/>
    <n v="0"/>
    <n v="0"/>
    <n v="0"/>
    <m/>
    <s v=""/>
    <n v="414"/>
    <s v="2018 (triag)"/>
    <n v="414"/>
    <s v="2018 (triag)"/>
    <s v=""/>
    <n v="414"/>
    <n v="414"/>
    <s v="No change"/>
    <n v="4.1448317953169944E-2"/>
    <n v="6.6454487825566844E-3"/>
    <n v="336.50882818478362"/>
    <n v="422.33647065658056"/>
    <n v="0"/>
    <n v="0.15420981049290483"/>
    <n v="0.13980953618557843"/>
    <n v="0.13980953618557843"/>
  </r>
  <r>
    <x v="24"/>
    <x v="24"/>
    <n v="22966247"/>
    <x v="2"/>
    <n v="0"/>
    <n v="23588073.5"/>
    <n v="0"/>
    <m/>
    <n v="174"/>
    <m/>
    <n v="0"/>
    <m/>
    <n v="0"/>
    <m/>
    <n v="0"/>
    <n v="26846541"/>
    <n v="0"/>
    <n v="15"/>
    <m/>
    <n v="0"/>
    <m/>
    <n v="254"/>
    <m/>
    <n v="0"/>
    <n v="29611714.000000004"/>
    <n v="0"/>
    <n v="15"/>
    <n v="174"/>
    <n v="0"/>
    <n v="254"/>
    <n v="174"/>
    <n v="2014"/>
    <n v="15"/>
    <s v="2018 (triag)"/>
    <n v="254"/>
    <n v="2020"/>
    <s v=""/>
    <n v="254"/>
    <n v="254"/>
    <s v="Increasing"/>
    <n v="4.1448317953169944E-2"/>
    <n v="6.6454487825566844E-3"/>
    <n v="12.19234884727477"/>
    <n v="15.302046038281903"/>
    <n v="7.376609200407995E-2"/>
    <n v="5.5873119743806102E-3"/>
    <n v="8.5776865195982904E-2"/>
    <n v="8.5776865195982904E-2"/>
  </r>
  <r>
    <x v="24"/>
    <x v="24"/>
    <n v="22966248"/>
    <x v="3"/>
    <n v="0"/>
    <n v="23588073.5"/>
    <n v="0"/>
    <m/>
    <n v="0"/>
    <m/>
    <n v="0"/>
    <m/>
    <n v="0"/>
    <m/>
    <n v="0"/>
    <n v="26846541"/>
    <n v="0"/>
    <n v="311"/>
    <m/>
    <n v="0"/>
    <m/>
    <n v="0"/>
    <m/>
    <n v="0"/>
    <n v="29611714.000000004"/>
    <n v="0"/>
    <n v="311"/>
    <n v="0"/>
    <n v="0"/>
    <n v="0"/>
    <m/>
    <s v=""/>
    <n v="311"/>
    <s v="2018 (triag)"/>
    <n v="311"/>
    <s v="2018 (triag)"/>
    <s v=""/>
    <n v="311"/>
    <n v="311"/>
    <s v="No change"/>
    <n v="4.1448317953169944E-2"/>
    <n v="6.6454487825566844E-3"/>
    <n v="252.78803276683024"/>
    <n v="317.26242119371148"/>
    <n v="0"/>
    <n v="0.11584360160215798"/>
    <n v="0.10502600423602632"/>
    <n v="0.10502600423602632"/>
  </r>
  <r>
    <x v="24"/>
    <x v="24"/>
    <n v="22966249"/>
    <x v="4"/>
    <n v="0"/>
    <n v="23588073.5"/>
    <n v="0"/>
    <m/>
    <n v="0"/>
    <m/>
    <n v="0"/>
    <m/>
    <n v="0"/>
    <m/>
    <n v="0"/>
    <n v="26846541"/>
    <n v="0"/>
    <n v="411"/>
    <m/>
    <n v="0"/>
    <m/>
    <n v="0"/>
    <m/>
    <n v="0"/>
    <n v="29611714.000000004"/>
    <n v="0"/>
    <n v="411"/>
    <n v="0"/>
    <n v="0"/>
    <n v="0"/>
    <m/>
    <s v=""/>
    <n v="411"/>
    <s v="2018 (triag)"/>
    <n v="411"/>
    <s v="2018 (triag)"/>
    <s v=""/>
    <n v="411"/>
    <n v="411"/>
    <s v="No change"/>
    <n v="4.1448317953169944E-2"/>
    <n v="6.6454487825566844E-3"/>
    <n v="334.07035841532871"/>
    <n v="419.27606144892417"/>
    <n v="0"/>
    <n v="0.15309234809802871"/>
    <n v="0.13879642360452352"/>
    <n v="0.13879642360452352"/>
  </r>
  <r>
    <x v="24"/>
    <x v="24"/>
    <n v="22966250"/>
    <x v="5"/>
    <n v="0"/>
    <n v="23588073.5"/>
    <n v="0"/>
    <m/>
    <n v="0"/>
    <m/>
    <n v="0"/>
    <m/>
    <n v="0"/>
    <m/>
    <n v="0"/>
    <n v="26846541"/>
    <n v="0"/>
    <n v="52"/>
    <m/>
    <n v="12"/>
    <m/>
    <n v="0"/>
    <m/>
    <n v="0"/>
    <n v="29611714.000000004"/>
    <n v="0"/>
    <n v="52"/>
    <n v="0"/>
    <n v="12"/>
    <n v="0"/>
    <m/>
    <s v=""/>
    <n v="52"/>
    <s v="2018 (triag)"/>
    <n v="12"/>
    <s v="2018 (triag)"/>
    <s v="Adjust"/>
    <n v="13.375262199878652"/>
    <n v="52"/>
    <s v="Decreasing"/>
    <n v="4.1448317953169944E-2"/>
    <n v="6.6454487825566844E-3"/>
    <n v="42.2668093372192"/>
    <n v="53.047092932710598"/>
    <n v="0"/>
    <n v="1.9369348177852783E-2"/>
    <n v="4.516882136535106E-3"/>
    <n v="1.7560618071618548E-2"/>
  </r>
  <r>
    <x v="24"/>
    <x v="24"/>
    <n v="22966251"/>
    <x v="6"/>
    <n v="0"/>
    <n v="23588073.5"/>
    <n v="0"/>
    <m/>
    <n v="0"/>
    <m/>
    <n v="0"/>
    <m/>
    <n v="0"/>
    <m/>
    <n v="0"/>
    <n v="26846541"/>
    <n v="306"/>
    <n v="306"/>
    <m/>
    <n v="0"/>
    <m/>
    <n v="0"/>
    <m/>
    <n v="0"/>
    <n v="29611714.000000004"/>
    <n v="0"/>
    <n v="0"/>
    <n v="0"/>
    <n v="306"/>
    <n v="0"/>
    <m/>
    <s v=""/>
    <n v="306"/>
    <n v="2018"/>
    <n v="306"/>
    <n v="2018"/>
    <s v=""/>
    <n v="306"/>
    <n v="306"/>
    <s v="No change"/>
    <n v="4.1448317953169944E-2"/>
    <n v="6.6454487825566844E-3"/>
    <n v="0"/>
    <n v="0"/>
    <n v="0"/>
    <n v="0.11398116427736445"/>
    <n v="0.10333748326760145"/>
    <n v="0.10333748326760145"/>
  </r>
  <r>
    <x v="24"/>
    <x v="24"/>
    <n v="22966252"/>
    <x v="7"/>
    <n v="0"/>
    <n v="23588073.5"/>
    <n v="0"/>
    <m/>
    <n v="0"/>
    <m/>
    <n v="0"/>
    <m/>
    <n v="0"/>
    <m/>
    <n v="0"/>
    <n v="26846541"/>
    <n v="0"/>
    <n v="0"/>
    <m/>
    <n v="0"/>
    <m/>
    <n v="0"/>
    <m/>
    <n v="0"/>
    <n v="29611714.000000004"/>
    <n v="0"/>
    <n v="0"/>
    <n v="0"/>
    <n v="0"/>
    <n v="0"/>
    <m/>
    <s v=""/>
    <m/>
    <s v=""/>
    <n v="0"/>
    <s v=""/>
    <s v=""/>
    <m/>
    <n v="0"/>
    <s v="No change"/>
    <n v="4.1448317953169944E-2"/>
    <n v="6.6454487825566844E-3"/>
    <n v="0"/>
    <n v="0"/>
    <n v="0"/>
    <n v="0"/>
    <n v="0"/>
    <n v="0"/>
  </r>
  <r>
    <x v="24"/>
    <x v="24"/>
    <n v="22966253"/>
    <x v="8"/>
    <n v="0"/>
    <n v="23588073.5"/>
    <n v="0"/>
    <m/>
    <n v="0"/>
    <m/>
    <n v="0"/>
    <m/>
    <n v="0"/>
    <m/>
    <n v="0"/>
    <n v="26846541"/>
    <n v="0"/>
    <n v="214"/>
    <m/>
    <n v="0"/>
    <m/>
    <n v="0"/>
    <m/>
    <n v="0"/>
    <n v="29611714.000000004"/>
    <n v="0"/>
    <n v="214"/>
    <n v="0"/>
    <n v="0"/>
    <n v="0"/>
    <m/>
    <s v=""/>
    <n v="214"/>
    <s v="2018 (triag)"/>
    <n v="214"/>
    <s v="2018 (triag)"/>
    <s v=""/>
    <n v="214"/>
    <n v="214"/>
    <s v="No change"/>
    <n v="4.1448317953169944E-2"/>
    <n v="6.6454487825566844E-3"/>
    <n v="173.94417688778671"/>
    <n v="218.30919014615515"/>
    <n v="0"/>
    <n v="7.9712317501163366E-2"/>
    <n v="7.2268697448584024E-2"/>
    <n v="7.2268697448584024E-2"/>
  </r>
  <r>
    <x v="24"/>
    <x v="24"/>
    <n v="22966254"/>
    <x v="9"/>
    <n v="0"/>
    <n v="23588073.5"/>
    <n v="0"/>
    <m/>
    <n v="0"/>
    <m/>
    <n v="0"/>
    <m/>
    <n v="0"/>
    <m/>
    <n v="0"/>
    <n v="26846541"/>
    <n v="0"/>
    <n v="11"/>
    <m/>
    <n v="0"/>
    <m/>
    <n v="0"/>
    <m/>
    <n v="0"/>
    <n v="29611714.000000004"/>
    <n v="0"/>
    <n v="11"/>
    <n v="0"/>
    <n v="0"/>
    <n v="0"/>
    <m/>
    <s v=""/>
    <n v="11"/>
    <s v="2018 (triag)"/>
    <n v="11"/>
    <s v="2018 (triag)"/>
    <s v=""/>
    <n v="11"/>
    <n v="11"/>
    <s v="No change"/>
    <n v="4.1448317953169944E-2"/>
    <n v="6.6454487825566844E-3"/>
    <n v="8.9410558213348317"/>
    <n v="11.221500428073396"/>
    <n v="0"/>
    <n v="4.0973621145457811E-3"/>
    <n v="3.7147461305346925E-3"/>
    <n v="3.7147461305346925E-3"/>
  </r>
  <r>
    <x v="24"/>
    <x v="24"/>
    <n v="22966255"/>
    <x v="10"/>
    <n v="0"/>
    <n v="23588073.5"/>
    <n v="0"/>
    <m/>
    <n v="0"/>
    <m/>
    <n v="0"/>
    <m/>
    <n v="0"/>
    <m/>
    <n v="0"/>
    <n v="26846541"/>
    <n v="0"/>
    <n v="56"/>
    <m/>
    <n v="0"/>
    <m/>
    <n v="0"/>
    <m/>
    <n v="0"/>
    <n v="29611714.000000004"/>
    <n v="0"/>
    <n v="56"/>
    <n v="0"/>
    <n v="0"/>
    <n v="0"/>
    <m/>
    <s v=""/>
    <n v="56"/>
    <s v="2018 (triag)"/>
    <n v="56"/>
    <s v="2018 (triag)"/>
    <s v=""/>
    <n v="56"/>
    <n v="56"/>
    <s v="No change"/>
    <n v="4.1448317953169944E-2"/>
    <n v="6.6454487825566844E-3"/>
    <n v="45.518102363159137"/>
    <n v="57.127638542919108"/>
    <n v="0"/>
    <n v="2.0859298037687612E-2"/>
    <n v="1.8911434846358436E-2"/>
    <n v="1.8911434846358436E-2"/>
  </r>
  <r>
    <x v="24"/>
    <x v="24"/>
    <n v="22966256"/>
    <x v="11"/>
    <n v="0"/>
    <n v="23588073.5"/>
    <n v="0"/>
    <m/>
    <n v="0"/>
    <m/>
    <n v="0"/>
    <m/>
    <n v="0"/>
    <m/>
    <n v="0"/>
    <n v="26846541"/>
    <n v="0"/>
    <n v="6355"/>
    <m/>
    <n v="0"/>
    <m/>
    <n v="0"/>
    <m/>
    <n v="0"/>
    <n v="29611714.000000004"/>
    <n v="0"/>
    <n v="6355"/>
    <n v="0"/>
    <n v="0"/>
    <n v="0"/>
    <m/>
    <s v=""/>
    <n v="6355"/>
    <s v="2018 (triag)"/>
    <n v="6355"/>
    <s v="2018 (triag)"/>
    <s v=""/>
    <n v="6355"/>
    <n v="6355"/>
    <s v="No change"/>
    <n v="4.1448317953169944E-2"/>
    <n v="6.6454487825566844E-3"/>
    <n v="5165.4917949620776"/>
    <n v="6482.9668382187665"/>
    <n v="0"/>
    <n v="2.367157839812585"/>
    <n v="2.1461101508679974"/>
    <n v="2.1461101508679974"/>
  </r>
  <r>
    <x v="24"/>
    <x v="24"/>
    <n v="22966257"/>
    <x v="12"/>
    <n v="0"/>
    <n v="23588073.5"/>
    <n v="0"/>
    <m/>
    <n v="0"/>
    <m/>
    <n v="0"/>
    <m/>
    <n v="0"/>
    <m/>
    <n v="0"/>
    <n v="26846541"/>
    <n v="0"/>
    <n v="0"/>
    <m/>
    <n v="0"/>
    <m/>
    <n v="0"/>
    <m/>
    <n v="0"/>
    <n v="29611714.000000004"/>
    <n v="0"/>
    <n v="0"/>
    <n v="0"/>
    <n v="0"/>
    <n v="0"/>
    <m/>
    <s v=""/>
    <m/>
    <s v=""/>
    <n v="0"/>
    <s v=""/>
    <s v=""/>
    <m/>
    <n v="0"/>
    <s v="No change"/>
    <n v="4.1448317953169944E-2"/>
    <n v="6.6454487825566844E-3"/>
    <n v="0"/>
    <n v="0"/>
    <n v="0"/>
    <n v="0"/>
    <n v="0"/>
    <n v="0"/>
  </r>
  <r>
    <x v="24"/>
    <x v="24"/>
    <n v="22966258"/>
    <x v="13"/>
    <n v="0"/>
    <n v="23588073.5"/>
    <n v="0"/>
    <m/>
    <n v="0"/>
    <m/>
    <n v="0"/>
    <m/>
    <n v="0"/>
    <m/>
    <n v="0"/>
    <n v="26846541"/>
    <n v="0"/>
    <n v="306"/>
    <m/>
    <n v="0"/>
    <m/>
    <n v="0"/>
    <m/>
    <n v="0"/>
    <n v="29611714.000000004"/>
    <n v="0"/>
    <n v="306"/>
    <n v="0"/>
    <n v="0"/>
    <n v="0"/>
    <m/>
    <s v=""/>
    <n v="306"/>
    <s v="2018 (triag)"/>
    <n v="306"/>
    <s v="2018 (triag)"/>
    <s v=""/>
    <n v="306"/>
    <n v="306"/>
    <s v="No change"/>
    <n v="4.1448317953169944E-2"/>
    <n v="6.6454487825566844E-3"/>
    <n v="248.72391648440529"/>
    <n v="312.1617391809508"/>
    <n v="0"/>
    <n v="0.11398116427736445"/>
    <n v="0.10333748326760145"/>
    <n v="0.10333748326760145"/>
  </r>
  <r>
    <x v="24"/>
    <x v="24"/>
    <n v="22966259"/>
    <x v="14"/>
    <n v="0"/>
    <n v="23588073.5"/>
    <n v="0"/>
    <m/>
    <n v="0"/>
    <m/>
    <n v="0"/>
    <m/>
    <n v="0"/>
    <m/>
    <n v="0"/>
    <n v="26846541"/>
    <n v="0"/>
    <n v="0"/>
    <m/>
    <n v="0"/>
    <m/>
    <n v="0"/>
    <m/>
    <n v="0"/>
    <n v="29611714.000000004"/>
    <n v="0"/>
    <n v="0"/>
    <n v="0"/>
    <n v="0"/>
    <n v="0"/>
    <m/>
    <s v=""/>
    <m/>
    <s v=""/>
    <n v="0"/>
    <s v=""/>
    <s v=""/>
    <m/>
    <n v="0"/>
    <s v="No change"/>
    <n v="4.1448317953169944E-2"/>
    <n v="6.6454487825566844E-3"/>
    <n v="0"/>
    <n v="0"/>
    <n v="0"/>
    <n v="0"/>
    <n v="0"/>
    <n v="0"/>
  </r>
  <r>
    <x v="24"/>
    <x v="24"/>
    <n v="22966260"/>
    <x v="15"/>
    <n v="0"/>
    <n v="23588073.5"/>
    <n v="0"/>
    <m/>
    <n v="0"/>
    <m/>
    <n v="0"/>
    <m/>
    <n v="0"/>
    <m/>
    <n v="0"/>
    <n v="26846541"/>
    <n v="0"/>
    <n v="99"/>
    <m/>
    <n v="0"/>
    <m/>
    <n v="0"/>
    <m/>
    <n v="0"/>
    <n v="29611714.000000004"/>
    <n v="0"/>
    <n v="99"/>
    <n v="0"/>
    <n v="0"/>
    <n v="0"/>
    <m/>
    <s v=""/>
    <n v="99"/>
    <s v="2018 (triag)"/>
    <n v="99"/>
    <s v="2018 (triag)"/>
    <s v=""/>
    <n v="99"/>
    <n v="99"/>
    <s v="No change"/>
    <n v="4.1448317953169944E-2"/>
    <n v="6.6454487825566844E-3"/>
    <n v="80.469502392013482"/>
    <n v="100.99350385266057"/>
    <n v="0"/>
    <n v="3.6876259030912024E-2"/>
    <n v="3.3432715174812236E-2"/>
    <n v="3.3432715174812236E-2"/>
  </r>
  <r>
    <x v="24"/>
    <x v="24"/>
    <n v="22966261"/>
    <x v="16"/>
    <n v="0"/>
    <n v="23588073.5"/>
    <n v="0"/>
    <m/>
    <n v="0"/>
    <m/>
    <n v="0"/>
    <m/>
    <n v="0"/>
    <m/>
    <n v="0"/>
    <n v="26846541"/>
    <n v="0"/>
    <n v="0"/>
    <m/>
    <n v="0"/>
    <m/>
    <n v="0"/>
    <m/>
    <n v="0"/>
    <n v="29611714.000000004"/>
    <n v="0"/>
    <n v="0"/>
    <n v="0"/>
    <n v="0"/>
    <n v="0"/>
    <m/>
    <s v=""/>
    <m/>
    <s v=""/>
    <n v="0"/>
    <s v=""/>
    <s v=""/>
    <m/>
    <n v="0"/>
    <s v="No change"/>
    <n v="4.1448317953169944E-2"/>
    <n v="6.6454487825566844E-3"/>
    <n v="0"/>
    <n v="0"/>
    <n v="0"/>
    <n v="0"/>
    <n v="0"/>
    <n v="0"/>
  </r>
  <r>
    <x v="24"/>
    <x v="24"/>
    <n v="22966262"/>
    <x v="17"/>
    <n v="0"/>
    <n v="23588073.5"/>
    <n v="0"/>
    <m/>
    <n v="0"/>
    <m/>
    <n v="0"/>
    <m/>
    <n v="0"/>
    <m/>
    <n v="0"/>
    <n v="26846541"/>
    <n v="0"/>
    <n v="0"/>
    <m/>
    <n v="0"/>
    <m/>
    <n v="0"/>
    <m/>
    <n v="0"/>
    <n v="29611714.000000004"/>
    <n v="0"/>
    <n v="0"/>
    <n v="0"/>
    <n v="0"/>
    <n v="0"/>
    <m/>
    <s v=""/>
    <m/>
    <s v=""/>
    <n v="0"/>
    <s v=""/>
    <s v=""/>
    <m/>
    <n v="0"/>
    <s v="No change"/>
    <n v="4.1448317953169944E-2"/>
    <n v="6.6454487825566844E-3"/>
    <n v="0"/>
    <n v="0"/>
    <n v="0"/>
    <n v="0"/>
    <n v="0"/>
    <n v="0"/>
  </r>
  <r>
    <x v="24"/>
    <x v="24"/>
    <n v="22966263"/>
    <x v="18"/>
    <n v="0"/>
    <n v="23588073.5"/>
    <n v="0"/>
    <m/>
    <n v="0"/>
    <m/>
    <n v="0"/>
    <m/>
    <n v="0"/>
    <m/>
    <n v="0"/>
    <n v="26846541"/>
    <n v="0"/>
    <n v="602"/>
    <m/>
    <n v="0"/>
    <m/>
    <n v="0"/>
    <m/>
    <n v="0"/>
    <n v="29611714.000000004"/>
    <n v="0"/>
    <n v="602"/>
    <n v="0"/>
    <n v="0"/>
    <n v="0"/>
    <m/>
    <s v=""/>
    <n v="602"/>
    <s v="2018 (triag)"/>
    <n v="602"/>
    <s v="2018 (triag)"/>
    <s v=""/>
    <n v="602"/>
    <n v="602"/>
    <s v="No change"/>
    <n v="4.1448317953169944E-2"/>
    <n v="6.6454487825566844E-3"/>
    <n v="489.31960040396075"/>
    <n v="614.12211433638038"/>
    <n v="0"/>
    <n v="0.22423745390514183"/>
    <n v="0.20329792459835319"/>
    <n v="0.20329792459835319"/>
  </r>
  <r>
    <x v="25"/>
    <x v="25"/>
    <n v="16514692"/>
    <x v="0"/>
    <n v="0"/>
    <n v="17004032.499999996"/>
    <n v="0"/>
    <m/>
    <n v="0"/>
    <m/>
    <n v="0"/>
    <m/>
    <n v="0"/>
    <m/>
    <n v="0"/>
    <n v="19934298.000000004"/>
    <n v="1152"/>
    <n v="1152"/>
    <m/>
    <n v="0"/>
    <m/>
    <n v="3303"/>
    <m/>
    <n v="0"/>
    <n v="22593590.500000022"/>
    <n v="0"/>
    <n v="1152"/>
    <n v="0"/>
    <n v="1152"/>
    <n v="3303"/>
    <m/>
    <s v=""/>
    <n v="1152"/>
    <n v="2018"/>
    <n v="3303"/>
    <n v="2020"/>
    <s v=""/>
    <n v="3303"/>
    <n v="3303"/>
    <s v="Increasing"/>
    <n v="3.5406206546388264E-2"/>
    <n v="8.9309654310665287E-4"/>
    <n v="965.09236185321345"/>
    <n v="1155.0906802178097"/>
    <n v="0"/>
    <n v="0.57789845421193153"/>
    <n v="1.4619190340729584"/>
    <n v="1.4619190340729584"/>
  </r>
  <r>
    <x v="25"/>
    <x v="25"/>
    <n v="16514693"/>
    <x v="1"/>
    <n v="0"/>
    <n v="17004032.499999996"/>
    <n v="0"/>
    <m/>
    <n v="0"/>
    <m/>
    <n v="0"/>
    <m/>
    <n v="0"/>
    <m/>
    <n v="0"/>
    <n v="19934298.000000004"/>
    <n v="0"/>
    <n v="7"/>
    <m/>
    <n v="0"/>
    <m/>
    <n v="0"/>
    <m/>
    <n v="0"/>
    <n v="22593590.500000022"/>
    <n v="3342"/>
    <n v="7"/>
    <n v="0"/>
    <n v="0"/>
    <n v="3342"/>
    <m/>
    <s v=""/>
    <n v="7"/>
    <s v="2018 (triag)"/>
    <n v="3342"/>
    <n v="2022"/>
    <s v=""/>
    <n v="3342"/>
    <n v="3342"/>
    <s v="Increasing"/>
    <n v="3.5406206546388264E-2"/>
    <n v="8.9309654310665287E-4"/>
    <n v="5.8642765043164014"/>
    <n v="7.0187801749346077"/>
    <n v="0"/>
    <n v="3.5115357460794448E-3"/>
    <n v="1.4791805667186881"/>
    <n v="1.4791805667186881"/>
  </r>
  <r>
    <x v="25"/>
    <x v="25"/>
    <n v="16514694"/>
    <x v="2"/>
    <n v="0"/>
    <n v="17004032.499999996"/>
    <n v="0"/>
    <m/>
    <n v="0"/>
    <m/>
    <n v="0"/>
    <m/>
    <n v="0"/>
    <m/>
    <n v="0"/>
    <n v="19934298.000000004"/>
    <n v="0"/>
    <n v="78"/>
    <m/>
    <n v="146"/>
    <m/>
    <n v="0"/>
    <m/>
    <n v="0"/>
    <n v="22593590.500000022"/>
    <n v="3642"/>
    <n v="78"/>
    <n v="0"/>
    <n v="146"/>
    <n v="3642"/>
    <m/>
    <s v=""/>
    <n v="78"/>
    <s v="2018 (triag)"/>
    <n v="3642"/>
    <n v="2022"/>
    <s v=""/>
    <n v="3642"/>
    <n v="3642"/>
    <s v="Increasing"/>
    <n v="3.5406206546388264E-2"/>
    <n v="8.9309654310665287E-4"/>
    <n v="65.344795333811319"/>
    <n v="78.209264806414197"/>
    <n v="0"/>
    <n v="3.912854117059953E-2"/>
    <n v="1.6119615870704553"/>
    <n v="1.6119615870704553"/>
  </r>
  <r>
    <x v="25"/>
    <x v="25"/>
    <n v="16514695"/>
    <x v="3"/>
    <n v="0"/>
    <n v="17004032.499999996"/>
    <n v="0"/>
    <m/>
    <n v="0"/>
    <m/>
    <n v="0"/>
    <m/>
    <n v="0"/>
    <m/>
    <n v="0"/>
    <n v="19934298.000000004"/>
    <n v="0"/>
    <n v="2153"/>
    <m/>
    <n v="0"/>
    <m/>
    <n v="0"/>
    <m/>
    <n v="0"/>
    <n v="22593590.500000022"/>
    <n v="0"/>
    <n v="2153"/>
    <n v="0"/>
    <n v="0"/>
    <n v="0"/>
    <m/>
    <s v=""/>
    <n v="2153"/>
    <s v="2018 (triag)"/>
    <n v="2153"/>
    <s v="2018 (triag)"/>
    <s v=""/>
    <n v="2153"/>
    <n v="2153"/>
    <s v="No change"/>
    <n v="3.5406206546388264E-2"/>
    <n v="8.9309654310665287E-4"/>
    <n v="1803.6839019704587"/>
    <n v="2158.7762452334587"/>
    <n v="0"/>
    <n v="1.0800480659012921"/>
    <n v="0.9529251227245169"/>
    <n v="0.9529251227245169"/>
  </r>
  <r>
    <x v="25"/>
    <x v="25"/>
    <n v="16514696"/>
    <x v="4"/>
    <n v="0"/>
    <n v="17004032.499999996"/>
    <n v="0"/>
    <m/>
    <n v="0"/>
    <m/>
    <n v="0"/>
    <m/>
    <n v="0"/>
    <m/>
    <n v="0"/>
    <n v="19934298.000000004"/>
    <n v="13"/>
    <n v="25"/>
    <m/>
    <n v="0"/>
    <m/>
    <n v="0"/>
    <m/>
    <n v="0"/>
    <n v="22593590.500000022"/>
    <n v="0"/>
    <n v="25"/>
    <n v="0"/>
    <n v="13"/>
    <n v="0"/>
    <m/>
    <s v=""/>
    <n v="25"/>
    <s v="2018 (triag)"/>
    <n v="25"/>
    <s v="2018 (triag)"/>
    <s v=""/>
    <n v="25"/>
    <n v="25"/>
    <s v="No change"/>
    <n v="3.5406206546388264E-2"/>
    <n v="8.9309654310665287E-4"/>
    <n v="20.943844658272862"/>
    <n v="25.067072053337885"/>
    <n v="0"/>
    <n v="1.2541199093140875E-2"/>
    <n v="1.1065085029313944E-2"/>
    <n v="1.1065085029313944E-2"/>
  </r>
  <r>
    <x v="25"/>
    <x v="25"/>
    <n v="16514697"/>
    <x v="5"/>
    <n v="0"/>
    <n v="17004032.499999996"/>
    <n v="0"/>
    <m/>
    <n v="0"/>
    <m/>
    <n v="0"/>
    <m/>
    <n v="0"/>
    <m/>
    <n v="0"/>
    <n v="19934298.000000004"/>
    <n v="15"/>
    <n v="15"/>
    <m/>
    <n v="0"/>
    <m/>
    <n v="0"/>
    <m/>
    <n v="0"/>
    <n v="22593590.500000022"/>
    <n v="0"/>
    <n v="0"/>
    <n v="0"/>
    <n v="15"/>
    <n v="0"/>
    <m/>
    <s v=""/>
    <n v="15"/>
    <n v="2018"/>
    <n v="15"/>
    <n v="2018"/>
    <s v=""/>
    <n v="15"/>
    <n v="15"/>
    <s v="No change"/>
    <n v="3.5406206546388264E-2"/>
    <n v="8.9309654310665287E-4"/>
    <n v="0"/>
    <n v="0"/>
    <n v="0"/>
    <n v="7.5247194558845246E-3"/>
    <n v="6.6390510175883665E-3"/>
    <n v="6.6390510175883665E-3"/>
  </r>
  <r>
    <x v="25"/>
    <x v="25"/>
    <n v="16514698"/>
    <x v="6"/>
    <n v="0"/>
    <n v="17004032.499999996"/>
    <n v="0"/>
    <m/>
    <n v="0"/>
    <m/>
    <n v="0"/>
    <m/>
    <n v="0"/>
    <m/>
    <n v="0"/>
    <n v="19934298.000000004"/>
    <n v="0"/>
    <n v="1496"/>
    <m/>
    <n v="0"/>
    <m/>
    <n v="0"/>
    <m/>
    <n v="0"/>
    <n v="22593590.500000022"/>
    <n v="0"/>
    <n v="1496"/>
    <n v="0"/>
    <n v="0"/>
    <n v="0"/>
    <m/>
    <s v=""/>
    <n v="1496"/>
    <s v="2018 (triag)"/>
    <n v="1496"/>
    <s v="2018 (triag)"/>
    <s v=""/>
    <n v="1496"/>
    <n v="1496"/>
    <s v="No change"/>
    <n v="3.5406206546388264E-2"/>
    <n v="8.9309654310665287E-4"/>
    <n v="1253.279664351048"/>
    <n v="1500.0135916717391"/>
    <n v="0"/>
    <n v="0.75046535373354994"/>
    <n v="0.66213468815414644"/>
    <n v="0.66213468815414644"/>
  </r>
  <r>
    <x v="25"/>
    <x v="25"/>
    <n v="16514699"/>
    <x v="7"/>
    <n v="0"/>
    <n v="17004032.499999996"/>
    <n v="0"/>
    <m/>
    <n v="0"/>
    <m/>
    <n v="0"/>
    <m/>
    <n v="0"/>
    <m/>
    <n v="0"/>
    <n v="19934298.000000004"/>
    <n v="1022"/>
    <n v="1041"/>
    <m/>
    <n v="0"/>
    <m/>
    <n v="0"/>
    <m/>
    <n v="0"/>
    <n v="22593590.500000022"/>
    <n v="1481"/>
    <n v="1041"/>
    <n v="0"/>
    <n v="1022"/>
    <n v="1481"/>
    <m/>
    <s v=""/>
    <n v="1041"/>
    <s v="2018 (triag)"/>
    <n v="1481"/>
    <n v="2022"/>
    <s v=""/>
    <n v="1481"/>
    <n v="1481"/>
    <s v="Increasing"/>
    <n v="3.5406206546388264E-2"/>
    <n v="8.9309654310665287E-4"/>
    <n v="872.10169157048188"/>
    <n v="1043.7928803009895"/>
    <n v="0"/>
    <n v="0.52221553023838607"/>
    <n v="0.65549563713655801"/>
    <n v="0.65549563713655801"/>
  </r>
  <r>
    <x v="25"/>
    <x v="25"/>
    <n v="16514700"/>
    <x v="8"/>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01"/>
    <x v="9"/>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02"/>
    <x v="10"/>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03"/>
    <x v="11"/>
    <n v="0"/>
    <n v="17004032.499999996"/>
    <n v="0"/>
    <m/>
    <n v="0"/>
    <m/>
    <n v="0"/>
    <m/>
    <n v="0"/>
    <m/>
    <n v="0"/>
    <n v="19934298.000000004"/>
    <n v="0"/>
    <n v="8306"/>
    <m/>
    <n v="0"/>
    <m/>
    <n v="0"/>
    <m/>
    <n v="0"/>
    <n v="22593590.500000022"/>
    <n v="0"/>
    <n v="8306"/>
    <n v="0"/>
    <n v="0"/>
    <n v="0"/>
    <m/>
    <s v=""/>
    <n v="8306"/>
    <s v="2018 (triag)"/>
    <n v="8306"/>
    <s v="2018 (triag)"/>
    <s v=""/>
    <n v="8306"/>
    <n v="8306"/>
    <s v="No change"/>
    <n v="3.5406206546388264E-2"/>
    <n v="8.9309654310665287E-4"/>
    <n v="6958.3829492645755"/>
    <n v="8328.2840190009792"/>
    <n v="0"/>
    <n v="4.1666879867051243"/>
    <n v="3.6762638501392648"/>
    <n v="3.6762638501392648"/>
  </r>
  <r>
    <x v="25"/>
    <x v="25"/>
    <n v="16514704"/>
    <x v="12"/>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05"/>
    <x v="13"/>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06"/>
    <x v="14"/>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07"/>
    <x v="15"/>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08"/>
    <x v="16"/>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09"/>
    <x v="17"/>
    <n v="0"/>
    <n v="17004032.499999996"/>
    <n v="0"/>
    <m/>
    <n v="0"/>
    <m/>
    <n v="0"/>
    <m/>
    <n v="0"/>
    <m/>
    <n v="0"/>
    <n v="19934298.000000004"/>
    <n v="0"/>
    <n v="0"/>
    <m/>
    <n v="0"/>
    <m/>
    <n v="0"/>
    <m/>
    <n v="0"/>
    <n v="22593590.500000022"/>
    <n v="0"/>
    <n v="0"/>
    <n v="0"/>
    <n v="0"/>
    <n v="0"/>
    <m/>
    <s v=""/>
    <m/>
    <s v=""/>
    <n v="0"/>
    <s v=""/>
    <s v=""/>
    <m/>
    <n v="0"/>
    <s v="No change"/>
    <n v="3.5406206546388264E-2"/>
    <n v="8.9309654310665287E-4"/>
    <n v="0"/>
    <n v="0"/>
    <n v="0"/>
    <n v="0"/>
    <n v="0"/>
    <n v="0"/>
  </r>
  <r>
    <x v="25"/>
    <x v="25"/>
    <n v="16514710"/>
    <x v="18"/>
    <n v="0"/>
    <n v="17004032.499999996"/>
    <n v="0"/>
    <m/>
    <n v="0"/>
    <m/>
    <n v="0"/>
    <m/>
    <n v="0"/>
    <m/>
    <n v="0"/>
    <n v="19934298.000000004"/>
    <n v="0"/>
    <n v="4"/>
    <m/>
    <n v="0"/>
    <m/>
    <n v="0"/>
    <m/>
    <n v="0"/>
    <n v="22593590.500000022"/>
    <n v="0"/>
    <n v="4"/>
    <n v="0"/>
    <n v="0"/>
    <n v="0"/>
    <m/>
    <s v=""/>
    <n v="4"/>
    <s v="2018 (triag)"/>
    <n v="4"/>
    <s v="2018 (triag)"/>
    <s v=""/>
    <n v="4"/>
    <n v="4"/>
    <s v="No change"/>
    <n v="3.5406206546388264E-2"/>
    <n v="8.9309654310665287E-4"/>
    <n v="3.3510151453236579"/>
    <n v="4.0107315285340617"/>
    <n v="0"/>
    <n v="2.0065918549025401E-3"/>
    <n v="1.770413604690231E-3"/>
    <n v="1.770413604690231E-3"/>
  </r>
  <r>
    <x v="26"/>
    <x v="26"/>
    <n v="24487616"/>
    <x v="0"/>
    <n v="1213"/>
    <n v="25251730.999999993"/>
    <n v="1204"/>
    <m/>
    <n v="0"/>
    <m/>
    <n v="0"/>
    <m/>
    <n v="0"/>
    <m/>
    <n v="1991"/>
    <n v="29423878.499999993"/>
    <n v="4787"/>
    <n v="4787"/>
    <m/>
    <n v="6632"/>
    <m/>
    <n v="6696"/>
    <m/>
    <n v="7329"/>
    <n v="32969518.500000007"/>
    <n v="6992"/>
    <n v="2205"/>
    <n v="1213"/>
    <n v="6632"/>
    <n v="7329"/>
    <n v="1204"/>
    <n v="2013"/>
    <n v="4787"/>
    <n v="2018"/>
    <n v="6992"/>
    <n v="2022"/>
    <s v=""/>
    <n v="6992"/>
    <n v="6992"/>
    <s v="Increasing"/>
    <n v="5.4585812874464734E-2"/>
    <n v="3.4026707504662967E-2"/>
    <n v="1678.3286457952765"/>
    <n v="2441.9762045946391"/>
    <n v="0.47679899647275681"/>
    <n v="1.6269099262355917"/>
    <n v="2.120746774024012"/>
    <n v="2.120746774024012"/>
  </r>
  <r>
    <x v="26"/>
    <x v="26"/>
    <n v="24487617"/>
    <x v="1"/>
    <n v="0"/>
    <n v="25251730.999999993"/>
    <n v="0"/>
    <m/>
    <n v="0"/>
    <m/>
    <n v="0"/>
    <m/>
    <n v="0"/>
    <m/>
    <n v="0"/>
    <n v="29423878.499999993"/>
    <n v="0"/>
    <n v="0"/>
    <m/>
    <n v="0"/>
    <m/>
    <n v="0"/>
    <m/>
    <n v="0"/>
    <n v="32969518.500000007"/>
    <n v="856"/>
    <n v="0"/>
    <n v="0"/>
    <n v="0"/>
    <n v="856"/>
    <m/>
    <s v=""/>
    <m/>
    <s v=""/>
    <n v="856"/>
    <n v="2022"/>
    <s v=""/>
    <n v="856"/>
    <n v="856"/>
    <s v="Increasing"/>
    <n v="5.4585812874464734E-2"/>
    <n v="3.4026707504662967E-2"/>
    <n v="0"/>
    <n v="0"/>
    <n v="0"/>
    <n v="0"/>
    <n v="0.25963375837593738"/>
    <n v="0.25963375837593738"/>
  </r>
  <r>
    <x v="26"/>
    <x v="26"/>
    <n v="24487618"/>
    <x v="2"/>
    <n v="85"/>
    <n v="25251730.999999993"/>
    <n v="0"/>
    <m/>
    <n v="0"/>
    <m/>
    <n v="0"/>
    <m/>
    <n v="0"/>
    <m/>
    <n v="0"/>
    <n v="29423878.499999993"/>
    <n v="0"/>
    <n v="0"/>
    <m/>
    <n v="0"/>
    <m/>
    <n v="0"/>
    <m/>
    <n v="0"/>
    <n v="32969518.500000007"/>
    <n v="6"/>
    <n v="0"/>
    <n v="85"/>
    <n v="0"/>
    <n v="6"/>
    <n v="85"/>
    <n v="2012"/>
    <m/>
    <s v=""/>
    <n v="6"/>
    <n v="2022"/>
    <s v=""/>
    <n v="6"/>
    <n v="6"/>
    <s v="Increasing"/>
    <n v="5.4585812874464734E-2"/>
    <n v="3.4026707504662967E-2"/>
    <n v="0"/>
    <n v="0"/>
    <n v="3.3661058721083326E-2"/>
    <n v="0"/>
    <n v="1.8198627923547014E-3"/>
    <n v="1.8198627923547014E-3"/>
  </r>
  <r>
    <x v="26"/>
    <x v="26"/>
    <n v="24487619"/>
    <x v="3"/>
    <n v="0"/>
    <n v="25251730.999999993"/>
    <n v="0"/>
    <m/>
    <n v="0"/>
    <m/>
    <n v="0"/>
    <m/>
    <n v="0"/>
    <m/>
    <n v="0"/>
    <n v="29423878.499999993"/>
    <n v="0"/>
    <n v="0"/>
    <m/>
    <n v="0"/>
    <m/>
    <n v="0"/>
    <m/>
    <n v="0"/>
    <n v="32969518.500000007"/>
    <n v="0"/>
    <n v="0"/>
    <n v="0"/>
    <n v="0"/>
    <n v="0"/>
    <m/>
    <s v=""/>
    <m/>
    <s v=""/>
    <n v="0"/>
    <s v=""/>
    <s v=""/>
    <m/>
    <n v="0"/>
    <s v="No change"/>
    <n v="5.4585812874464734E-2"/>
    <n v="3.4026707504662967E-2"/>
    <n v="0"/>
    <n v="0"/>
    <n v="0"/>
    <n v="0"/>
    <n v="0"/>
    <n v="0"/>
  </r>
  <r>
    <x v="26"/>
    <x v="26"/>
    <n v="24487620"/>
    <x v="4"/>
    <n v="0"/>
    <n v="25251730.999999993"/>
    <n v="0"/>
    <m/>
    <n v="0"/>
    <m/>
    <n v="0"/>
    <m/>
    <n v="0"/>
    <m/>
    <n v="2466"/>
    <n v="29423878.499999993"/>
    <n v="0"/>
    <n v="2466"/>
    <m/>
    <n v="2789"/>
    <m/>
    <n v="2954"/>
    <m/>
    <n v="3318"/>
    <n v="32969518.500000007"/>
    <n v="3337"/>
    <n v="2466"/>
    <n v="0"/>
    <n v="2789"/>
    <n v="3337"/>
    <m/>
    <s v=""/>
    <n v="2466"/>
    <n v="2017"/>
    <n v="3337"/>
    <n v="2022"/>
    <s v=""/>
    <n v="3337"/>
    <n v="3337"/>
    <s v="Increasing"/>
    <n v="5.4585812874464734E-2"/>
    <n v="3.4026707504662967E-2"/>
    <n v="1876.9879548894114"/>
    <n v="2731.0264492201272"/>
    <n v="0"/>
    <n v="0.83809481472675351"/>
    <n v="1.0121470230146064"/>
    <n v="1.0121470230146064"/>
  </r>
  <r>
    <x v="26"/>
    <x v="26"/>
    <n v="24487621"/>
    <x v="5"/>
    <n v="33"/>
    <n v="25251730.999999993"/>
    <n v="44"/>
    <m/>
    <n v="0"/>
    <m/>
    <n v="212"/>
    <m/>
    <n v="0"/>
    <m/>
    <n v="29"/>
    <n v="29423878.499999993"/>
    <n v="304"/>
    <n v="304"/>
    <m/>
    <n v="54"/>
    <m/>
    <n v="0"/>
    <m/>
    <n v="0"/>
    <n v="32969518.500000007"/>
    <n v="72"/>
    <n v="29"/>
    <n v="212"/>
    <n v="304"/>
    <n v="72"/>
    <n v="44"/>
    <n v="2013"/>
    <n v="304"/>
    <n v="2018"/>
    <n v="72"/>
    <n v="2022"/>
    <s v="Adjust"/>
    <n v="82.749502391069896"/>
    <n v="304"/>
    <s v="Decreasing"/>
    <n v="5.4585812874464734E-2"/>
    <n v="3.4026707504662967E-2"/>
    <n v="22.073256566014976"/>
    <n v="32.116693847276437"/>
    <n v="1.74245480438549E-2"/>
    <n v="0.10331744674652599"/>
    <n v="2.5098790081229082E-2"/>
    <n v="9.2206381479304877E-2"/>
  </r>
  <r>
    <x v="26"/>
    <x v="26"/>
    <n v="24487622"/>
    <x v="6"/>
    <n v="0"/>
    <n v="25251730.999999993"/>
    <n v="1908"/>
    <m/>
    <n v="0"/>
    <m/>
    <n v="0"/>
    <m/>
    <n v="0"/>
    <m/>
    <n v="0"/>
    <n v="29423878.499999993"/>
    <n v="0"/>
    <n v="5726"/>
    <m/>
    <n v="2055"/>
    <m/>
    <n v="2041"/>
    <m/>
    <n v="1912"/>
    <n v="32969518.500000007"/>
    <n v="1908"/>
    <n v="5726"/>
    <n v="1908"/>
    <n v="2055"/>
    <n v="2041"/>
    <n v="1908"/>
    <n v="2013"/>
    <n v="5726"/>
    <s v="2018 (triag)"/>
    <n v="1908"/>
    <n v="2022"/>
    <s v="Adjust"/>
    <n v="2192.8618133633522"/>
    <n v="5726"/>
    <s v="Decreasing"/>
    <n v="5.4585812874464734E-2"/>
    <n v="3.4026707504662967E-2"/>
    <n v="4358.32645162075"/>
    <n v="6341.3858265346507"/>
    <n v="0.75559176517443516"/>
    <n v="1.9460384870743677"/>
    <n v="0.66511793715257062"/>
    <n v="1.7367557248371701"/>
  </r>
  <r>
    <x v="26"/>
    <x v="26"/>
    <n v="24487623"/>
    <x v="7"/>
    <n v="0"/>
    <n v="25251730.999999993"/>
    <n v="0"/>
    <m/>
    <n v="0"/>
    <m/>
    <n v="0"/>
    <m/>
    <n v="0"/>
    <m/>
    <n v="0"/>
    <n v="29423878.499999993"/>
    <n v="0"/>
    <n v="0"/>
    <m/>
    <n v="0"/>
    <m/>
    <n v="0"/>
    <m/>
    <n v="0"/>
    <n v="32969518.500000007"/>
    <n v="0"/>
    <n v="0"/>
    <n v="0"/>
    <n v="0"/>
    <n v="0"/>
    <m/>
    <s v=""/>
    <m/>
    <s v=""/>
    <n v="0"/>
    <s v=""/>
    <s v=""/>
    <m/>
    <n v="0"/>
    <s v="No change"/>
    <n v="5.4585812874464734E-2"/>
    <n v="3.4026707504662967E-2"/>
    <n v="0"/>
    <n v="0"/>
    <n v="0"/>
    <n v="0"/>
    <n v="0"/>
    <n v="0"/>
  </r>
  <r>
    <x v="26"/>
    <x v="26"/>
    <n v="24487624"/>
    <x v="8"/>
    <n v="267"/>
    <n v="25251730.999999993"/>
    <n v="238"/>
    <m/>
    <n v="0"/>
    <m/>
    <n v="0"/>
    <m/>
    <n v="0"/>
    <m/>
    <n v="290"/>
    <n v="29423878.499999993"/>
    <n v="0"/>
    <n v="206"/>
    <m/>
    <n v="315"/>
    <m/>
    <n v="301"/>
    <m/>
    <n v="264"/>
    <n v="32969518.500000007"/>
    <n v="276"/>
    <n v="206"/>
    <n v="267"/>
    <n v="315"/>
    <n v="301"/>
    <n v="238"/>
    <n v="2013"/>
    <n v="206"/>
    <s v="2018 (triag)"/>
    <n v="276"/>
    <n v="2022"/>
    <s v=""/>
    <n v="276"/>
    <n v="276"/>
    <s v="Increasing"/>
    <n v="5.4585812874464734E-2"/>
    <n v="3.4026707504662967E-2"/>
    <n v="156.79623629652016"/>
    <n v="228.13927353582571"/>
    <n v="9.4250964419033315E-2"/>
    <n v="7.0011164571659054E-2"/>
    <n v="8.3713688448316267E-2"/>
    <n v="8.3713688448316267E-2"/>
  </r>
  <r>
    <x v="26"/>
    <x v="26"/>
    <n v="24487625"/>
    <x v="9"/>
    <n v="0"/>
    <n v="25251730.999999993"/>
    <n v="0"/>
    <m/>
    <n v="0"/>
    <m/>
    <n v="0"/>
    <m/>
    <n v="0"/>
    <m/>
    <n v="0"/>
    <n v="29423878.499999993"/>
    <n v="0"/>
    <n v="59"/>
    <m/>
    <n v="0"/>
    <m/>
    <n v="0"/>
    <m/>
    <n v="0"/>
    <n v="32969518.500000007"/>
    <n v="172"/>
    <n v="59"/>
    <n v="0"/>
    <n v="0"/>
    <n v="172"/>
    <m/>
    <s v=""/>
    <n v="59"/>
    <s v="2018 (triag)"/>
    <n v="172"/>
    <n v="2022"/>
    <s v=""/>
    <n v="172"/>
    <n v="172"/>
    <s v="Increasing"/>
    <n v="5.4585812874464734E-2"/>
    <n v="3.4026707504662967E-2"/>
    <n v="44.907659910168398"/>
    <n v="65.34085989618309"/>
    <n v="0"/>
    <n v="2.0051741309358662E-2"/>
    <n v="5.2169400047501438E-2"/>
    <n v="5.2169400047501438E-2"/>
  </r>
  <r>
    <x v="26"/>
    <x v="26"/>
    <n v="24487626"/>
    <x v="10"/>
    <n v="76"/>
    <n v="25251730.999999993"/>
    <n v="115"/>
    <m/>
    <n v="0"/>
    <m/>
    <n v="0"/>
    <m/>
    <n v="0"/>
    <m/>
    <n v="147"/>
    <n v="29423878.499999993"/>
    <n v="150"/>
    <n v="150"/>
    <m/>
    <n v="165"/>
    <m/>
    <n v="156"/>
    <m/>
    <n v="151"/>
    <n v="32969518.500000007"/>
    <n v="154"/>
    <n v="147"/>
    <n v="115"/>
    <n v="165"/>
    <n v="156"/>
    <n v="115"/>
    <n v="2013"/>
    <n v="150"/>
    <n v="2018"/>
    <n v="154"/>
    <n v="2022"/>
    <s v=""/>
    <n v="154"/>
    <n v="154"/>
    <s v="Increasing"/>
    <n v="5.4585812874464734E-2"/>
    <n v="3.4026707504662967E-2"/>
    <n v="111.88857638635177"/>
    <n v="162.7984136396426"/>
    <n v="4.5541432387348035E-2"/>
    <n v="5.0979003328877955E-2"/>
    <n v="4.6709811670437335E-2"/>
    <n v="4.6709811670437335E-2"/>
  </r>
  <r>
    <x v="26"/>
    <x v="26"/>
    <n v="24487627"/>
    <x v="11"/>
    <n v="0"/>
    <n v="25251730.999999993"/>
    <n v="0"/>
    <m/>
    <n v="0"/>
    <m/>
    <n v="0"/>
    <m/>
    <n v="0"/>
    <m/>
    <n v="34992"/>
    <n v="29423878.499999993"/>
    <n v="0"/>
    <n v="26735"/>
    <m/>
    <n v="399"/>
    <m/>
    <n v="8308"/>
    <m/>
    <n v="3530"/>
    <n v="32969518.500000007"/>
    <n v="696"/>
    <n v="26735"/>
    <n v="0"/>
    <n v="34992"/>
    <n v="8308"/>
    <m/>
    <s v=""/>
    <n v="26735"/>
    <s v="2018 (triag)"/>
    <n v="696"/>
    <n v="2022"/>
    <s v="Adjust"/>
    <n v="799.91185644700897"/>
    <n v="26735"/>
    <s v="Decreasing"/>
    <n v="5.4585812874464734E-2"/>
    <n v="3.4026707504662967E-2"/>
    <n v="20349.259113531392"/>
    <n v="29608.269310583983"/>
    <n v="0"/>
    <n v="9.0861576933170127"/>
    <n v="0.24262163745188114"/>
    <n v="8.1090052922671578"/>
  </r>
  <r>
    <x v="26"/>
    <x v="26"/>
    <n v="24487628"/>
    <x v="12"/>
    <n v="0"/>
    <n v="25251730.999999993"/>
    <n v="0"/>
    <m/>
    <n v="0"/>
    <m/>
    <n v="0"/>
    <m/>
    <n v="0"/>
    <m/>
    <n v="26735"/>
    <n v="29423878.499999993"/>
    <n v="0"/>
    <n v="0"/>
    <m/>
    <n v="16937"/>
    <m/>
    <n v="14416"/>
    <m/>
    <n v="10717"/>
    <n v="32969518.500000007"/>
    <n v="12261"/>
    <n v="0"/>
    <n v="0"/>
    <n v="26735"/>
    <n v="14416"/>
    <m/>
    <s v=""/>
    <n v="26735"/>
    <n v="2017"/>
    <n v="12261"/>
    <n v="2022"/>
    <s v="Adjust"/>
    <n v="14091.550678012611"/>
    <n v="26735"/>
    <s v="Decreasing"/>
    <n v="5.4585812874464734E-2"/>
    <n v="3.4026707504662967E-2"/>
    <n v="0"/>
    <n v="0"/>
    <n v="0"/>
    <n v="9.0861576933170127"/>
    <n v="4.2741147942493019"/>
    <n v="8.1090052922671578"/>
  </r>
  <r>
    <x v="26"/>
    <x v="26"/>
    <n v="24487629"/>
    <x v="13"/>
    <n v="1425"/>
    <n v="25251730.999999993"/>
    <n v="1465"/>
    <m/>
    <n v="0"/>
    <m/>
    <n v="0"/>
    <m/>
    <n v="0"/>
    <m/>
    <n v="1958"/>
    <n v="29423878.499999993"/>
    <n v="0"/>
    <n v="1951"/>
    <m/>
    <n v="0"/>
    <m/>
    <n v="0"/>
    <m/>
    <n v="301"/>
    <n v="32969518.500000007"/>
    <n v="2040"/>
    <n v="1951"/>
    <n v="1465"/>
    <n v="1958"/>
    <n v="2040"/>
    <n v="1465"/>
    <n v="2013"/>
    <n v="1951"/>
    <s v="2018 (triag)"/>
    <n v="2040"/>
    <n v="2022"/>
    <s v=""/>
    <n v="2040"/>
    <n v="2040"/>
    <s v="Increasing"/>
    <n v="5.4585812874464734E-2"/>
    <n v="3.4026707504662967E-2"/>
    <n v="1484.9973641481108"/>
    <n v="2160.6782653805631"/>
    <n v="0.58015824736925969"/>
    <n v="0.66306690329760587"/>
    <n v="0.61875334940059845"/>
    <n v="0.61875334940059845"/>
  </r>
  <r>
    <x v="26"/>
    <x v="26"/>
    <n v="24487630"/>
    <x v="14"/>
    <n v="0"/>
    <n v="25251730.999999993"/>
    <n v="0"/>
    <m/>
    <n v="0"/>
    <m/>
    <n v="0"/>
    <m/>
    <n v="0"/>
    <m/>
    <n v="6281"/>
    <n v="29423878.499999993"/>
    <n v="0"/>
    <n v="0"/>
    <m/>
    <n v="6665"/>
    <m/>
    <n v="0"/>
    <m/>
    <n v="0"/>
    <n v="32969518.500000007"/>
    <n v="6873"/>
    <n v="0"/>
    <n v="0"/>
    <n v="6665"/>
    <n v="6873"/>
    <m/>
    <s v=""/>
    <n v="6281"/>
    <n v="2017"/>
    <n v="6873"/>
    <n v="2022"/>
    <s v=""/>
    <n v="6873"/>
    <n v="6873"/>
    <s v="Increasing"/>
    <n v="5.4585812874464734E-2"/>
    <n v="3.4026707504662967E-2"/>
    <n v="0"/>
    <n v="0"/>
    <n v="0"/>
    <n v="2.1346607993912161"/>
    <n v="2.0846528286423105"/>
    <n v="2.0846528286423105"/>
  </r>
  <r>
    <x v="26"/>
    <x v="26"/>
    <n v="24487631"/>
    <x v="15"/>
    <n v="281"/>
    <n v="25251730.999999993"/>
    <n v="287"/>
    <m/>
    <n v="0"/>
    <m/>
    <n v="0"/>
    <m/>
    <n v="0"/>
    <m/>
    <n v="377"/>
    <n v="29423878.499999993"/>
    <n v="362"/>
    <n v="377"/>
    <m/>
    <n v="395"/>
    <m/>
    <n v="444"/>
    <m/>
    <n v="535"/>
    <n v="32969518.500000007"/>
    <n v="553"/>
    <n v="377"/>
    <n v="287"/>
    <n v="395"/>
    <n v="553"/>
    <n v="287"/>
    <n v="2013"/>
    <n v="377"/>
    <n v="2017"/>
    <n v="553"/>
    <n v="2022"/>
    <s v=""/>
    <n v="553"/>
    <n v="553"/>
    <s v="Increasing"/>
    <n v="5.4585812874464734E-2"/>
    <n v="3.4026707504662967E-2"/>
    <n v="286.95233535819466"/>
    <n v="417.51702001459364"/>
    <n v="0.11365557474059901"/>
    <n v="0.12812722836657991"/>
    <n v="0.16773068736202498"/>
    <n v="0.16773068736202498"/>
  </r>
  <r>
    <x v="26"/>
    <x v="26"/>
    <n v="24487632"/>
    <x v="16"/>
    <n v="0"/>
    <n v="25251730.999999993"/>
    <n v="0"/>
    <m/>
    <n v="0"/>
    <m/>
    <n v="0"/>
    <m/>
    <n v="0"/>
    <m/>
    <n v="287"/>
    <n v="29423878.499999993"/>
    <n v="338"/>
    <n v="338"/>
    <m/>
    <n v="422"/>
    <m/>
    <n v="554"/>
    <m/>
    <n v="552"/>
    <n v="32969518.500000007"/>
    <n v="342"/>
    <n v="0"/>
    <n v="0"/>
    <n v="422"/>
    <n v="554"/>
    <m/>
    <s v=""/>
    <n v="338"/>
    <n v="2018"/>
    <n v="342"/>
    <n v="2022"/>
    <s v=""/>
    <n v="342"/>
    <n v="342"/>
    <s v="Increasing"/>
    <n v="5.4585812874464734E-2"/>
    <n v="3.4026707504662967E-2"/>
    <n v="0"/>
    <n v="0"/>
    <n v="0"/>
    <n v="0.11487268750107164"/>
    <n v="0.10373217916421798"/>
    <n v="0.10373217916421798"/>
  </r>
  <r>
    <x v="26"/>
    <x v="26"/>
    <n v="24487633"/>
    <x v="17"/>
    <n v="0"/>
    <n v="25251730.999999993"/>
    <n v="0"/>
    <m/>
    <n v="0"/>
    <m/>
    <n v="0"/>
    <m/>
    <n v="0"/>
    <m/>
    <n v="2"/>
    <n v="29423878.499999993"/>
    <n v="3"/>
    <n v="3"/>
    <m/>
    <n v="2"/>
    <m/>
    <n v="0"/>
    <m/>
    <n v="0"/>
    <n v="32969518.500000007"/>
    <n v="0"/>
    <n v="0"/>
    <n v="0"/>
    <n v="3"/>
    <n v="0"/>
    <m/>
    <s v=""/>
    <n v="3"/>
    <n v="2018"/>
    <n v="2"/>
    <n v="2018"/>
    <s v="Adjust"/>
    <n v="2.2985972886408303"/>
    <n v="3"/>
    <s v="Decreasing"/>
    <n v="5.4585812874464734E-2"/>
    <n v="3.4026707504662967E-2"/>
    <n v="0"/>
    <n v="0"/>
    <n v="0"/>
    <n v="1.019580066577559E-3"/>
    <n v="6.9718861336747449E-4"/>
    <n v="9.0993139617735069E-4"/>
  </r>
  <r>
    <x v="26"/>
    <x v="26"/>
    <n v="24487634"/>
    <x v="18"/>
    <n v="0"/>
    <n v="25251730.999999993"/>
    <n v="0"/>
    <m/>
    <n v="0"/>
    <m/>
    <n v="0"/>
    <m/>
    <n v="0"/>
    <m/>
    <n v="0"/>
    <n v="29423878.499999993"/>
    <n v="0"/>
    <n v="0"/>
    <m/>
    <n v="0"/>
    <m/>
    <n v="0"/>
    <m/>
    <n v="0"/>
    <n v="32969518.500000007"/>
    <n v="99942"/>
    <n v="0"/>
    <n v="0"/>
    <n v="0"/>
    <n v="99942"/>
    <m/>
    <s v=""/>
    <m/>
    <s v=""/>
    <n v="99942"/>
    <n v="2022"/>
    <s v=""/>
    <n v="99942"/>
    <n v="99942"/>
    <s v="Increasing"/>
    <n v="5.4585812874464734E-2"/>
    <n v="3.4026707504662967E-2"/>
    <n v="0"/>
    <n v="0"/>
    <n v="0"/>
    <n v="0"/>
    <n v="30.313454532252262"/>
    <n v="30.313454532252262"/>
  </r>
  <r>
    <x v="27"/>
    <x v="27"/>
    <n v="3636118.5"/>
    <x v="0"/>
    <n v="0"/>
    <n v="3742958.9999999981"/>
    <n v="0"/>
    <m/>
    <n v="0"/>
    <m/>
    <n v="0"/>
    <m/>
    <n v="0"/>
    <m/>
    <n v="0"/>
    <n v="4270711.4999999972"/>
    <n v="0"/>
    <n v="500"/>
    <m/>
    <n v="0"/>
    <m/>
    <n v="0"/>
    <m/>
    <n v="0"/>
    <n v="4736138.9999999991"/>
    <n v="0"/>
    <n v="500"/>
    <n v="0"/>
    <n v="0"/>
    <n v="0"/>
    <m/>
    <s v=""/>
    <n v="500"/>
    <s v="2018 (triag)"/>
    <n v="500"/>
    <s v="2018 (triag)"/>
    <s v=""/>
    <n v="500"/>
    <n v="500"/>
    <s v="No change"/>
    <n v="5.6024318930811168E-2"/>
    <n v="5.4673730437993617E-2"/>
    <n v="377.84592389007258"/>
    <n v="589.11964163338166"/>
    <n v="0"/>
    <n v="1.1707651055333528"/>
    <n v="1.0557122584451177"/>
    <n v="1.0557122584451177"/>
  </r>
  <r>
    <x v="27"/>
    <x v="27"/>
    <n v="3636119.5"/>
    <x v="1"/>
    <n v="1172"/>
    <n v="3742958.9999999981"/>
    <n v="35"/>
    <m/>
    <n v="0"/>
    <m/>
    <n v="12"/>
    <m/>
    <n v="4"/>
    <m/>
    <n v="0"/>
    <n v="4270711.4999999972"/>
    <n v="4038"/>
    <n v="4038"/>
    <m/>
    <n v="0"/>
    <m/>
    <n v="0"/>
    <m/>
    <n v="0"/>
    <n v="4736138.9999999991"/>
    <n v="0"/>
    <n v="20"/>
    <n v="1172"/>
    <n v="4038"/>
    <n v="0"/>
    <n v="35"/>
    <n v="2013"/>
    <n v="4038"/>
    <n v="2018"/>
    <n v="4038"/>
    <n v="2018"/>
    <s v=""/>
    <n v="4038"/>
    <n v="4038"/>
    <s v="No change"/>
    <n v="5.6024318930811168E-2"/>
    <n v="5.4673730437993617E-2"/>
    <n v="15.113836955602903"/>
    <n v="23.564785665335268"/>
    <n v="9.3508905654590441E-2"/>
    <n v="9.4550989922873576"/>
    <n v="8.5259321992027708"/>
    <n v="8.5259321992027708"/>
  </r>
  <r>
    <x v="27"/>
    <x v="27"/>
    <n v="3636120.5"/>
    <x v="2"/>
    <n v="0"/>
    <n v="3742958.9999999981"/>
    <n v="209"/>
    <m/>
    <n v="0"/>
    <m/>
    <n v="53"/>
    <m/>
    <n v="0"/>
    <m/>
    <n v="0"/>
    <n v="4270711.4999999972"/>
    <n v="4745"/>
    <n v="4745"/>
    <m/>
    <n v="0"/>
    <m/>
    <n v="0"/>
    <m/>
    <n v="0"/>
    <n v="4736138.9999999991"/>
    <n v="0"/>
    <n v="5"/>
    <n v="209"/>
    <n v="4745"/>
    <n v="0"/>
    <n v="209"/>
    <n v="2013"/>
    <n v="4745"/>
    <n v="2018"/>
    <n v="4745"/>
    <n v="2018"/>
    <s v=""/>
    <n v="4745"/>
    <n v="4745"/>
    <s v="No change"/>
    <n v="5.6024318930811168E-2"/>
    <n v="5.4673730437993617E-2"/>
    <n v="3.7784592389007257"/>
    <n v="5.8911964163338171"/>
    <n v="0.55838175090884001"/>
    <n v="11.110560851511517"/>
    <n v="10.018709332644166"/>
    <n v="10.018709332644166"/>
  </r>
  <r>
    <x v="27"/>
    <x v="27"/>
    <n v="3636121.5"/>
    <x v="3"/>
    <n v="0"/>
    <n v="3742958.9999999981"/>
    <n v="0"/>
    <m/>
    <n v="0"/>
    <m/>
    <n v="0"/>
    <m/>
    <n v="0"/>
    <m/>
    <n v="0"/>
    <n v="4270711.4999999972"/>
    <n v="0"/>
    <n v="38"/>
    <m/>
    <n v="0"/>
    <m/>
    <n v="0"/>
    <m/>
    <n v="0"/>
    <n v="4736138.9999999991"/>
    <n v="0"/>
    <n v="38"/>
    <n v="0"/>
    <n v="0"/>
    <n v="0"/>
    <m/>
    <s v=""/>
    <n v="38"/>
    <s v="2018 (triag)"/>
    <n v="38"/>
    <s v="2018 (triag)"/>
    <s v=""/>
    <n v="38"/>
    <n v="38"/>
    <s v="No change"/>
    <n v="5.6024318930811168E-2"/>
    <n v="5.4673730437993617E-2"/>
    <n v="28.716290215645515"/>
    <n v="44.773092764137012"/>
    <n v="0"/>
    <n v="8.8978148020534803E-2"/>
    <n v="8.0234131641828937E-2"/>
    <n v="8.0234131641828937E-2"/>
  </r>
  <r>
    <x v="27"/>
    <x v="27"/>
    <n v="3636122.5"/>
    <x v="4"/>
    <n v="0"/>
    <n v="3742958.9999999981"/>
    <n v="0"/>
    <m/>
    <n v="0"/>
    <m/>
    <n v="0"/>
    <m/>
    <n v="0"/>
    <m/>
    <n v="0"/>
    <n v="4270711.4999999972"/>
    <n v="0"/>
    <n v="20"/>
    <m/>
    <n v="0"/>
    <m/>
    <n v="0"/>
    <m/>
    <n v="0"/>
    <n v="4736138.9999999991"/>
    <n v="0"/>
    <n v="20"/>
    <n v="0"/>
    <n v="0"/>
    <n v="0"/>
    <m/>
    <s v=""/>
    <n v="20"/>
    <s v="2018 (triag)"/>
    <n v="20"/>
    <s v="2018 (triag)"/>
    <s v=""/>
    <n v="20"/>
    <n v="20"/>
    <s v="No change"/>
    <n v="5.6024318930811168E-2"/>
    <n v="5.4673730437993617E-2"/>
    <n v="15.113836955602903"/>
    <n v="23.564785665335268"/>
    <n v="0"/>
    <n v="4.6830604221334109E-2"/>
    <n v="4.2228490337804708E-2"/>
    <n v="4.2228490337804708E-2"/>
  </r>
  <r>
    <x v="27"/>
    <x v="27"/>
    <n v="3636123.5"/>
    <x v="5"/>
    <n v="0"/>
    <n v="3742958.9999999981"/>
    <n v="0"/>
    <m/>
    <n v="0"/>
    <m/>
    <n v="0"/>
    <m/>
    <n v="0"/>
    <m/>
    <n v="0"/>
    <n v="4270711.4999999972"/>
    <n v="0"/>
    <n v="9"/>
    <m/>
    <n v="0"/>
    <m/>
    <n v="0"/>
    <m/>
    <n v="0"/>
    <n v="4736138.9999999991"/>
    <n v="0"/>
    <n v="9"/>
    <n v="0"/>
    <n v="0"/>
    <n v="0"/>
    <m/>
    <s v=""/>
    <n v="9"/>
    <s v="2018 (triag)"/>
    <n v="9"/>
    <s v="2018 (triag)"/>
    <s v=""/>
    <n v="9"/>
    <n v="9"/>
    <s v="No change"/>
    <n v="5.6024318930811168E-2"/>
    <n v="5.4673730437993617E-2"/>
    <n v="6.801226630021306"/>
    <n v="10.60415354940087"/>
    <n v="0"/>
    <n v="2.1073771899600351E-2"/>
    <n v="1.9002820652012118E-2"/>
    <n v="1.9002820652012118E-2"/>
  </r>
  <r>
    <x v="27"/>
    <x v="27"/>
    <n v="3636124.5"/>
    <x v="6"/>
    <n v="0"/>
    <n v="3742958.9999999981"/>
    <n v="0"/>
    <m/>
    <n v="0"/>
    <m/>
    <n v="0"/>
    <m/>
    <n v="0"/>
    <m/>
    <n v="0"/>
    <n v="4270711.4999999972"/>
    <n v="0"/>
    <n v="326"/>
    <m/>
    <n v="0"/>
    <m/>
    <n v="0"/>
    <m/>
    <n v="0"/>
    <n v="4736138.9999999991"/>
    <n v="0"/>
    <n v="326"/>
    <n v="0"/>
    <n v="0"/>
    <n v="0"/>
    <m/>
    <s v=""/>
    <n v="326"/>
    <s v="2018 (triag)"/>
    <n v="326"/>
    <s v="2018 (triag)"/>
    <s v=""/>
    <n v="326"/>
    <n v="326"/>
    <s v="No change"/>
    <n v="5.6024318930811168E-2"/>
    <n v="5.4673730437993617E-2"/>
    <n v="246.35554237632732"/>
    <n v="384.1060063449649"/>
    <n v="0"/>
    <n v="0.76333884880774605"/>
    <n v="0.68832439250621669"/>
    <n v="0.68832439250621669"/>
  </r>
  <r>
    <x v="27"/>
    <x v="27"/>
    <n v="3636125.5"/>
    <x v="7"/>
    <n v="0"/>
    <n v="3742958.9999999981"/>
    <n v="0"/>
    <m/>
    <n v="0"/>
    <m/>
    <n v="0"/>
    <m/>
    <n v="0"/>
    <m/>
    <n v="0"/>
    <n v="4270711.4999999972"/>
    <n v="0"/>
    <n v="0"/>
    <m/>
    <n v="0"/>
    <m/>
    <n v="0"/>
    <m/>
    <n v="0"/>
    <n v="4736138.9999999991"/>
    <n v="0"/>
    <n v="0"/>
    <n v="0"/>
    <n v="0"/>
    <n v="0"/>
    <m/>
    <s v=""/>
    <m/>
    <s v=""/>
    <n v="0"/>
    <s v=""/>
    <s v=""/>
    <m/>
    <n v="0"/>
    <s v="No change"/>
    <n v="5.6024318930811168E-2"/>
    <n v="5.4673730437993617E-2"/>
    <n v="0"/>
    <n v="0"/>
    <n v="0"/>
    <n v="0"/>
    <n v="0"/>
    <n v="0"/>
  </r>
  <r>
    <x v="27"/>
    <x v="27"/>
    <n v="3636126.5"/>
    <x v="8"/>
    <n v="0"/>
    <n v="3742958.9999999981"/>
    <n v="0"/>
    <m/>
    <n v="0"/>
    <m/>
    <n v="0"/>
    <m/>
    <n v="0"/>
    <m/>
    <n v="0"/>
    <n v="4270711.4999999972"/>
    <n v="0"/>
    <n v="0"/>
    <m/>
    <n v="0"/>
    <m/>
    <n v="0"/>
    <m/>
    <n v="0"/>
    <n v="4736138.9999999991"/>
    <n v="0"/>
    <n v="0"/>
    <n v="0"/>
    <n v="0"/>
    <n v="0"/>
    <m/>
    <s v=""/>
    <m/>
    <s v=""/>
    <n v="0"/>
    <s v=""/>
    <s v=""/>
    <m/>
    <n v="0"/>
    <s v="No change"/>
    <n v="5.6024318930811168E-2"/>
    <n v="5.4673730437993617E-2"/>
    <n v="0"/>
    <n v="0"/>
    <n v="0"/>
    <n v="0"/>
    <n v="0"/>
    <n v="0"/>
  </r>
  <r>
    <x v="27"/>
    <x v="27"/>
    <n v="3636127.5"/>
    <x v="9"/>
    <n v="0"/>
    <n v="3742958.9999999981"/>
    <n v="0"/>
    <m/>
    <n v="0"/>
    <m/>
    <n v="0"/>
    <m/>
    <n v="0"/>
    <m/>
    <n v="0"/>
    <n v="4270711.4999999972"/>
    <n v="0"/>
    <n v="15"/>
    <m/>
    <n v="0"/>
    <m/>
    <n v="0"/>
    <m/>
    <n v="0"/>
    <n v="4736138.9999999991"/>
    <n v="0"/>
    <n v="15"/>
    <n v="0"/>
    <n v="0"/>
    <n v="0"/>
    <m/>
    <s v=""/>
    <n v="15"/>
    <s v="2018 (triag)"/>
    <n v="15"/>
    <s v="2018 (triag)"/>
    <s v=""/>
    <n v="15"/>
    <n v="15"/>
    <s v="No change"/>
    <n v="5.6024318930811168E-2"/>
    <n v="5.4673730437993617E-2"/>
    <n v="11.335377716702178"/>
    <n v="17.673589249001452"/>
    <n v="0"/>
    <n v="3.512295316600058E-2"/>
    <n v="3.1671367753353531E-2"/>
    <n v="3.1671367753353531E-2"/>
  </r>
  <r>
    <x v="27"/>
    <x v="27"/>
    <n v="3636128.5"/>
    <x v="10"/>
    <n v="0"/>
    <n v="3742958.9999999981"/>
    <n v="0"/>
    <m/>
    <n v="0"/>
    <m/>
    <n v="0"/>
    <m/>
    <n v="0"/>
    <m/>
    <n v="0"/>
    <n v="4270711.4999999972"/>
    <n v="0"/>
    <n v="0"/>
    <m/>
    <n v="0"/>
    <m/>
    <n v="0"/>
    <m/>
    <n v="0"/>
    <n v="4736138.9999999991"/>
    <n v="0"/>
    <n v="0"/>
    <n v="0"/>
    <n v="0"/>
    <n v="0"/>
    <m/>
    <s v=""/>
    <m/>
    <s v=""/>
    <n v="0"/>
    <s v=""/>
    <s v=""/>
    <m/>
    <n v="0"/>
    <s v="No change"/>
    <n v="5.6024318930811168E-2"/>
    <n v="5.4673730437993617E-2"/>
    <n v="0"/>
    <n v="0"/>
    <n v="0"/>
    <n v="0"/>
    <n v="0"/>
    <n v="0"/>
  </r>
  <r>
    <x v="27"/>
    <x v="27"/>
    <n v="3636129.5"/>
    <x v="11"/>
    <n v="0"/>
    <n v="3742958.9999999981"/>
    <n v="0"/>
    <m/>
    <n v="0"/>
    <m/>
    <n v="0"/>
    <m/>
    <n v="0"/>
    <m/>
    <n v="0"/>
    <n v="4270711.4999999972"/>
    <n v="0"/>
    <n v="1532"/>
    <m/>
    <n v="0"/>
    <m/>
    <n v="0"/>
    <m/>
    <n v="0"/>
    <n v="4736138.9999999991"/>
    <n v="0"/>
    <n v="1532"/>
    <n v="0"/>
    <n v="0"/>
    <n v="0"/>
    <m/>
    <s v=""/>
    <n v="1532"/>
    <s v="2018 (triag)"/>
    <n v="1532"/>
    <s v="2018 (triag)"/>
    <s v=""/>
    <n v="1532"/>
    <n v="1532"/>
    <s v="No change"/>
    <n v="5.6024318930811168E-2"/>
    <n v="5.4673730437993617E-2"/>
    <n v="1157.7199107991823"/>
    <n v="1805.0625819646816"/>
    <n v="0"/>
    <n v="3.587224283354193"/>
    <n v="3.2347023598758406"/>
    <n v="3.2347023598758406"/>
  </r>
  <r>
    <x v="27"/>
    <x v="27"/>
    <n v="3636130.5"/>
    <x v="12"/>
    <n v="0"/>
    <n v="3742958.9999999981"/>
    <n v="0"/>
    <m/>
    <n v="0"/>
    <m/>
    <n v="0"/>
    <m/>
    <n v="0"/>
    <m/>
    <n v="0"/>
    <n v="4270711.4999999972"/>
    <n v="0"/>
    <n v="4"/>
    <m/>
    <n v="0"/>
    <m/>
    <n v="0"/>
    <m/>
    <n v="0"/>
    <n v="4736138.9999999991"/>
    <n v="0"/>
    <n v="4"/>
    <n v="0"/>
    <n v="0"/>
    <n v="0"/>
    <m/>
    <s v=""/>
    <n v="4"/>
    <s v="2018 (triag)"/>
    <n v="4"/>
    <s v="2018 (triag)"/>
    <s v=""/>
    <n v="4"/>
    <n v="4"/>
    <s v="No change"/>
    <n v="5.6024318930811168E-2"/>
    <n v="5.4673730437993617E-2"/>
    <n v="3.0227673911205803"/>
    <n v="4.7129571330670537"/>
    <n v="0"/>
    <n v="9.3661208442668217E-3"/>
    <n v="8.445698067560941E-3"/>
    <n v="8.445698067560941E-3"/>
  </r>
  <r>
    <x v="27"/>
    <x v="27"/>
    <n v="3636131.5"/>
    <x v="13"/>
    <n v="0"/>
    <n v="3742958.9999999981"/>
    <n v="0"/>
    <m/>
    <n v="0"/>
    <m/>
    <n v="0"/>
    <m/>
    <n v="0"/>
    <m/>
    <n v="0"/>
    <n v="4270711.4999999972"/>
    <n v="0"/>
    <n v="122"/>
    <m/>
    <n v="0"/>
    <m/>
    <n v="0"/>
    <m/>
    <n v="0"/>
    <n v="4736138.9999999991"/>
    <n v="0"/>
    <n v="122"/>
    <n v="0"/>
    <n v="0"/>
    <n v="0"/>
    <m/>
    <s v=""/>
    <n v="122"/>
    <s v="2018 (triag)"/>
    <n v="122"/>
    <s v="2018 (triag)"/>
    <s v=""/>
    <n v="122"/>
    <n v="122"/>
    <s v="No change"/>
    <n v="5.6024318930811168E-2"/>
    <n v="5.4673730437993617E-2"/>
    <n v="92.194405429177706"/>
    <n v="143.74519255854514"/>
    <n v="0"/>
    <n v="0.28566668575013809"/>
    <n v="0.2575937910606087"/>
    <n v="0.2575937910606087"/>
  </r>
  <r>
    <x v="27"/>
    <x v="27"/>
    <n v="3636132.5"/>
    <x v="14"/>
    <n v="0"/>
    <n v="3742958.9999999981"/>
    <n v="0"/>
    <m/>
    <n v="0"/>
    <m/>
    <n v="0"/>
    <m/>
    <n v="0"/>
    <m/>
    <n v="0"/>
    <n v="4270711.4999999972"/>
    <n v="0"/>
    <n v="65"/>
    <m/>
    <n v="0"/>
    <m/>
    <n v="0"/>
    <m/>
    <n v="0"/>
    <n v="4736138.9999999991"/>
    <n v="0"/>
    <n v="65"/>
    <n v="0"/>
    <n v="0"/>
    <n v="0"/>
    <m/>
    <s v=""/>
    <n v="65"/>
    <s v="2018 (triag)"/>
    <n v="65"/>
    <s v="2018 (triag)"/>
    <s v=""/>
    <n v="65"/>
    <n v="65"/>
    <s v="No change"/>
    <n v="5.6024318930811168E-2"/>
    <n v="5.4673730437993617E-2"/>
    <n v="49.119970105709434"/>
    <n v="76.585553412339621"/>
    <n v="0"/>
    <n v="0.15219946371933585"/>
    <n v="0.13724259359786528"/>
    <n v="0.13724259359786528"/>
  </r>
  <r>
    <x v="27"/>
    <x v="27"/>
    <n v="3636133.5"/>
    <x v="15"/>
    <n v="0"/>
    <n v="3742958.9999999981"/>
    <n v="0"/>
    <m/>
    <n v="0"/>
    <m/>
    <n v="0"/>
    <m/>
    <n v="0"/>
    <m/>
    <n v="0"/>
    <n v="4270711.4999999972"/>
    <n v="0"/>
    <n v="7"/>
    <m/>
    <n v="0"/>
    <m/>
    <n v="0"/>
    <m/>
    <n v="0"/>
    <n v="4736138.9999999991"/>
    <n v="0"/>
    <n v="7"/>
    <n v="0"/>
    <n v="0"/>
    <n v="0"/>
    <m/>
    <s v=""/>
    <n v="7"/>
    <s v="2018 (triag)"/>
    <n v="7"/>
    <s v="2018 (triag)"/>
    <s v=""/>
    <n v="7"/>
    <n v="7"/>
    <s v="No change"/>
    <n v="5.6024318930811168E-2"/>
    <n v="5.4673730437993617E-2"/>
    <n v="5.2898429344610163"/>
    <n v="8.2476749828673448"/>
    <n v="0"/>
    <n v="1.639071147746694E-2"/>
    <n v="1.4779971618231648E-2"/>
    <n v="1.4779971618231648E-2"/>
  </r>
  <r>
    <x v="27"/>
    <x v="27"/>
    <n v="3636134.5"/>
    <x v="16"/>
    <n v="0"/>
    <n v="3742958.9999999981"/>
    <n v="0"/>
    <m/>
    <n v="0"/>
    <m/>
    <n v="0"/>
    <m/>
    <n v="0"/>
    <m/>
    <n v="0"/>
    <n v="4270711.4999999972"/>
    <n v="0"/>
    <n v="0"/>
    <m/>
    <n v="0"/>
    <m/>
    <n v="0"/>
    <m/>
    <n v="0"/>
    <n v="4736138.9999999991"/>
    <n v="0"/>
    <n v="0"/>
    <n v="0"/>
    <n v="0"/>
    <n v="0"/>
    <m/>
    <s v=""/>
    <m/>
    <s v=""/>
    <n v="0"/>
    <s v=""/>
    <s v=""/>
    <m/>
    <n v="0"/>
    <s v="No change"/>
    <n v="5.6024318930811168E-2"/>
    <n v="5.4673730437993617E-2"/>
    <n v="0"/>
    <n v="0"/>
    <n v="0"/>
    <n v="0"/>
    <n v="0"/>
    <n v="0"/>
  </r>
  <r>
    <x v="27"/>
    <x v="27"/>
    <n v="3636135.5"/>
    <x v="17"/>
    <n v="0"/>
    <n v="3742958.9999999981"/>
    <n v="0"/>
    <m/>
    <n v="0"/>
    <m/>
    <n v="0"/>
    <m/>
    <n v="0"/>
    <m/>
    <n v="0"/>
    <n v="4270711.4999999972"/>
    <n v="0"/>
    <n v="0"/>
    <m/>
    <n v="0"/>
    <m/>
    <n v="0"/>
    <m/>
    <n v="0"/>
    <n v="4736138.9999999991"/>
    <n v="0"/>
    <n v="0"/>
    <n v="0"/>
    <n v="0"/>
    <n v="0"/>
    <m/>
    <s v=""/>
    <m/>
    <s v=""/>
    <n v="0"/>
    <s v=""/>
    <s v=""/>
    <m/>
    <n v="0"/>
    <s v="No change"/>
    <n v="5.6024318930811168E-2"/>
    <n v="5.4673730437993617E-2"/>
    <n v="0"/>
    <n v="0"/>
    <n v="0"/>
    <n v="0"/>
    <n v="0"/>
    <n v="0"/>
  </r>
  <r>
    <x v="27"/>
    <x v="27"/>
    <n v="3636136.5"/>
    <x v="18"/>
    <n v="0"/>
    <n v="3742958.9999999981"/>
    <n v="0"/>
    <m/>
    <n v="0"/>
    <m/>
    <n v="0"/>
    <m/>
    <n v="0"/>
    <m/>
    <n v="0"/>
    <n v="4270711.4999999972"/>
    <n v="0"/>
    <n v="42"/>
    <m/>
    <n v="0"/>
    <m/>
    <n v="0"/>
    <m/>
    <n v="0"/>
    <n v="4736138.9999999991"/>
    <n v="0"/>
    <n v="42"/>
    <n v="0"/>
    <n v="0"/>
    <n v="0"/>
    <m/>
    <s v=""/>
    <n v="42"/>
    <s v="2018 (triag)"/>
    <n v="42"/>
    <s v="2018 (triag)"/>
    <s v=""/>
    <n v="42"/>
    <n v="42"/>
    <s v="No change"/>
    <n v="5.6024318930811168E-2"/>
    <n v="5.4673730437993617E-2"/>
    <n v="31.739057606766096"/>
    <n v="49.486049897204062"/>
    <n v="0"/>
    <n v="9.8344268864801632E-2"/>
    <n v="8.8679829709389882E-2"/>
    <n v="8.8679829709389882E-2"/>
  </r>
  <r>
    <x v="28"/>
    <x v="28"/>
    <n v="1288749.5"/>
    <x v="0"/>
    <n v="0"/>
    <n v="1290691.4999999998"/>
    <n v="0"/>
    <m/>
    <n v="0"/>
    <m/>
    <n v="0"/>
    <m/>
    <n v="0"/>
    <m/>
    <n v="0"/>
    <n v="1295381.5000000005"/>
    <n v="180"/>
    <n v="180"/>
    <m/>
    <n v="0"/>
    <m/>
    <n v="163"/>
    <m/>
    <n v="0"/>
    <n v="1299468.9999999986"/>
    <n v="916"/>
    <n v="180"/>
    <n v="0"/>
    <n v="180"/>
    <n v="916"/>
    <m/>
    <s v=""/>
    <n v="180"/>
    <n v="2018"/>
    <n v="916"/>
    <n v="2022"/>
    <s v=""/>
    <n v="916"/>
    <n v="916"/>
    <s v="Increasing"/>
    <n v="7.4156136535132866E-2"/>
    <n v="5.4673730437993617E-2"/>
    <n v="124.23515341437476"/>
    <n v="212.08307098801743"/>
    <n v="0"/>
    <n v="1.3895520354428401"/>
    <n v="7.0490331050606132"/>
    <n v="7.0490331050606132"/>
  </r>
  <r>
    <x v="28"/>
    <x v="28"/>
    <n v="1288750.5"/>
    <x v="1"/>
    <n v="0"/>
    <n v="1290691.4999999998"/>
    <n v="0"/>
    <m/>
    <n v="0"/>
    <m/>
    <n v="0"/>
    <m/>
    <n v="202"/>
    <m/>
    <n v="61"/>
    <n v="1295381.5000000005"/>
    <n v="0"/>
    <n v="0"/>
    <m/>
    <n v="1"/>
    <m/>
    <n v="0"/>
    <m/>
    <n v="0"/>
    <n v="1299468.9999999986"/>
    <n v="0"/>
    <n v="0"/>
    <n v="0"/>
    <n v="202"/>
    <n v="0"/>
    <m/>
    <s v=""/>
    <n v="61"/>
    <n v="2017"/>
    <n v="1"/>
    <n v="2017"/>
    <s v="Adjust"/>
    <n v="1.1791996777225728"/>
    <n v="61"/>
    <s v="Decreasing"/>
    <n v="7.4156136535132866E-2"/>
    <n v="5.4673730437993617E-2"/>
    <n v="0"/>
    <n v="0"/>
    <n v="0"/>
    <n v="0.47090374534451801"/>
    <n v="9.0744733250471849E-3"/>
    <n v="0.46942251027150372"/>
  </r>
  <r>
    <x v="28"/>
    <x v="28"/>
    <n v="1288751.5"/>
    <x v="2"/>
    <n v="0"/>
    <n v="1290691.4999999998"/>
    <n v="0"/>
    <m/>
    <n v="0"/>
    <m/>
    <n v="0"/>
    <m/>
    <n v="1796"/>
    <m/>
    <n v="1843"/>
    <n v="1295381.5000000005"/>
    <n v="0"/>
    <n v="48"/>
    <m/>
    <n v="311"/>
    <m/>
    <n v="0"/>
    <m/>
    <n v="0"/>
    <n v="1299468.9999999986"/>
    <n v="0"/>
    <n v="48"/>
    <n v="0"/>
    <n v="1843"/>
    <n v="0"/>
    <m/>
    <s v=""/>
    <n v="48"/>
    <s v="2018 (triag)"/>
    <n v="311"/>
    <s v="2018 (triag)"/>
    <s v=""/>
    <n v="311"/>
    <n v="311"/>
    <s v="Increasing"/>
    <n v="7.4156136535132866E-2"/>
    <n v="5.4673730437993617E-2"/>
    <n v="33.129374243833269"/>
    <n v="56.555485596804644"/>
    <n v="0"/>
    <n v="0.370547209451424"/>
    <n v="2.3932852572858634"/>
    <n v="2.3932852572858634"/>
  </r>
  <r>
    <x v="28"/>
    <x v="28"/>
    <n v="1288752.5"/>
    <x v="3"/>
    <n v="0"/>
    <n v="1290691.4999999998"/>
    <n v="0"/>
    <m/>
    <n v="0"/>
    <m/>
    <n v="0"/>
    <m/>
    <n v="0"/>
    <m/>
    <n v="0"/>
    <n v="1295381.5000000005"/>
    <n v="0"/>
    <n v="1153"/>
    <m/>
    <n v="0"/>
    <m/>
    <n v="0"/>
    <m/>
    <n v="0"/>
    <n v="1299468.9999999986"/>
    <n v="0"/>
    <n v="1153"/>
    <n v="0"/>
    <n v="0"/>
    <n v="0"/>
    <m/>
    <s v=""/>
    <n v="1153"/>
    <s v="2018 (triag)"/>
    <n v="1153"/>
    <s v="2018 (triag)"/>
    <s v=""/>
    <n v="1153"/>
    <n v="1153"/>
    <s v="No change"/>
    <n v="7.4156136535132866E-2"/>
    <n v="5.4673730437993617E-2"/>
    <n v="795.79517714874498"/>
    <n v="1358.5098936065783"/>
    <n v="0"/>
    <n v="8.9008527603644154"/>
    <n v="8.8728549892302251"/>
    <n v="8.8728549892302251"/>
  </r>
  <r>
    <x v="28"/>
    <x v="28"/>
    <n v="1288753.5"/>
    <x v="4"/>
    <n v="0"/>
    <n v="1290691.4999999998"/>
    <n v="0"/>
    <m/>
    <n v="0"/>
    <m/>
    <n v="0"/>
    <m/>
    <n v="0"/>
    <m/>
    <n v="0"/>
    <n v="1295381.5000000005"/>
    <n v="0"/>
    <n v="315"/>
    <m/>
    <n v="0"/>
    <m/>
    <n v="0"/>
    <m/>
    <n v="0"/>
    <n v="1299468.9999999986"/>
    <n v="0"/>
    <n v="315"/>
    <n v="0"/>
    <n v="0"/>
    <n v="0"/>
    <m/>
    <s v=""/>
    <n v="315"/>
    <s v="2018 (triag)"/>
    <n v="315"/>
    <s v="2018 (triag)"/>
    <s v=""/>
    <n v="315"/>
    <n v="315"/>
    <s v="No change"/>
    <n v="7.4156136535132866E-2"/>
    <n v="5.4673730437993617E-2"/>
    <n v="217.41151847515582"/>
    <n v="371.14537422903049"/>
    <n v="0"/>
    <n v="2.4317160620249703"/>
    <n v="2.4240670612380928"/>
    <n v="2.4240670612380928"/>
  </r>
  <r>
    <x v="28"/>
    <x v="28"/>
    <n v="1288754.5"/>
    <x v="5"/>
    <n v="0"/>
    <n v="1290691.4999999998"/>
    <n v="0"/>
    <m/>
    <n v="0"/>
    <m/>
    <n v="0"/>
    <m/>
    <n v="0"/>
    <m/>
    <n v="0"/>
    <n v="1295381.5000000005"/>
    <n v="0"/>
    <n v="12"/>
    <m/>
    <n v="15"/>
    <m/>
    <n v="0"/>
    <m/>
    <n v="0"/>
    <n v="1299468.9999999986"/>
    <n v="0"/>
    <n v="12"/>
    <n v="0"/>
    <n v="15"/>
    <n v="0"/>
    <m/>
    <s v=""/>
    <n v="12"/>
    <s v="2018 (triag)"/>
    <n v="15"/>
    <s v="2018 (triag)"/>
    <s v=""/>
    <n v="15"/>
    <n v="15"/>
    <s v="Increasing"/>
    <n v="7.4156136535132866E-2"/>
    <n v="5.4673730437993617E-2"/>
    <n v="8.2823435609583171"/>
    <n v="14.138871399201161"/>
    <n v="0"/>
    <n v="9.2636802362855999E-2"/>
    <n v="0.11543176482086157"/>
    <n v="0.11543176482086157"/>
  </r>
  <r>
    <x v="28"/>
    <x v="28"/>
    <n v="1288755.5"/>
    <x v="6"/>
    <n v="0"/>
    <n v="1290691.4999999998"/>
    <n v="0"/>
    <m/>
    <n v="0"/>
    <m/>
    <n v="0"/>
    <m/>
    <n v="0"/>
    <m/>
    <n v="0"/>
    <n v="1295381.5000000005"/>
    <n v="291"/>
    <n v="291"/>
    <m/>
    <n v="0"/>
    <m/>
    <n v="0"/>
    <m/>
    <n v="0"/>
    <n v="1299468.9999999986"/>
    <n v="270"/>
    <n v="274"/>
    <n v="0"/>
    <n v="291"/>
    <n v="270"/>
    <m/>
    <s v=""/>
    <n v="291"/>
    <n v="2018"/>
    <n v="270"/>
    <n v="2022"/>
    <s v="Adjust"/>
    <n v="318.38391298509464"/>
    <n v="318.38391298509464"/>
    <s v="Increasing"/>
    <n v="7.4156136535132866E-2"/>
    <n v="5.4673730437993617E-2"/>
    <n v="189.11351130854825"/>
    <n v="322.83756361509319"/>
    <n v="0"/>
    <n v="2.2464424572992581"/>
    <n v="2.4501077977627399"/>
    <n v="2.4501077977627399"/>
  </r>
  <r>
    <x v="28"/>
    <x v="28"/>
    <n v="1288756.5"/>
    <x v="7"/>
    <n v="0"/>
    <n v="1290691.4999999998"/>
    <n v="0"/>
    <m/>
    <n v="0"/>
    <m/>
    <n v="0"/>
    <m/>
    <n v="0"/>
    <m/>
    <n v="0"/>
    <n v="1295381.5000000005"/>
    <n v="0"/>
    <n v="9"/>
    <m/>
    <n v="0"/>
    <m/>
    <n v="0"/>
    <m/>
    <n v="0"/>
    <n v="1299468.9999999986"/>
    <n v="0"/>
    <n v="9"/>
    <n v="0"/>
    <n v="0"/>
    <n v="0"/>
    <m/>
    <s v=""/>
    <n v="9"/>
    <s v="2018 (triag)"/>
    <n v="9"/>
    <s v="2018 (triag)"/>
    <s v=""/>
    <n v="9"/>
    <n v="9"/>
    <s v="No change"/>
    <n v="7.4156136535132866E-2"/>
    <n v="5.4673730437993617E-2"/>
    <n v="6.2117576707187379"/>
    <n v="10.60415354940087"/>
    <n v="0"/>
    <n v="6.9477601772142003E-2"/>
    <n v="6.9259058892516948E-2"/>
    <n v="6.9259058892516948E-2"/>
  </r>
  <r>
    <x v="28"/>
    <x v="28"/>
    <n v="1288757.5"/>
    <x v="8"/>
    <n v="0"/>
    <n v="1290691.4999999998"/>
    <n v="0"/>
    <m/>
    <n v="0"/>
    <m/>
    <n v="0"/>
    <m/>
    <n v="0"/>
    <m/>
    <n v="0"/>
    <n v="1295381.5000000005"/>
    <n v="0"/>
    <n v="213"/>
    <m/>
    <n v="0"/>
    <m/>
    <n v="0"/>
    <m/>
    <n v="0"/>
    <n v="1299468.9999999986"/>
    <n v="0"/>
    <n v="213"/>
    <n v="0"/>
    <n v="0"/>
    <n v="0"/>
    <m/>
    <s v=""/>
    <n v="213"/>
    <s v="2018 (triag)"/>
    <n v="213"/>
    <s v="2018 (triag)"/>
    <s v=""/>
    <n v="213"/>
    <n v="213"/>
    <s v="No change"/>
    <n v="7.4156136535132866E-2"/>
    <n v="5.4673730437993617E-2"/>
    <n v="147.01159820701014"/>
    <n v="250.9649673358206"/>
    <n v="0"/>
    <n v="1.644303241940694"/>
    <n v="1.6391310604562344"/>
    <n v="1.6391310604562344"/>
  </r>
  <r>
    <x v="28"/>
    <x v="28"/>
    <n v="1288758.5"/>
    <x v="9"/>
    <n v="0"/>
    <n v="1290691.4999999998"/>
    <n v="0"/>
    <m/>
    <n v="0"/>
    <m/>
    <n v="0"/>
    <m/>
    <n v="0"/>
    <m/>
    <n v="0"/>
    <n v="1295381.5000000005"/>
    <n v="0"/>
    <n v="416"/>
    <m/>
    <n v="0"/>
    <m/>
    <n v="0"/>
    <m/>
    <n v="0"/>
    <n v="1299468.9999999986"/>
    <n v="378"/>
    <n v="416"/>
    <n v="0"/>
    <n v="0"/>
    <n v="378"/>
    <m/>
    <s v=""/>
    <n v="416"/>
    <s v="2018 (triag)"/>
    <n v="378"/>
    <n v="2022"/>
    <s v="Adjust"/>
    <n v="445.73747817913255"/>
    <n v="445.73747817913255"/>
    <s v="Increasing"/>
    <n v="7.4156136535132866E-2"/>
    <n v="5.4673730437993617E-2"/>
    <n v="287.12124344655501"/>
    <n v="490.14754183897355"/>
    <n v="0"/>
    <n v="3.2114091485790084"/>
    <n v="3.4301509168678366"/>
    <n v="3.4301509168678366"/>
  </r>
  <r>
    <x v="28"/>
    <x v="28"/>
    <n v="1288759.5"/>
    <x v="10"/>
    <n v="0"/>
    <n v="1290691.4999999998"/>
    <n v="0"/>
    <m/>
    <n v="0"/>
    <m/>
    <n v="0"/>
    <m/>
    <n v="0"/>
    <m/>
    <n v="0"/>
    <n v="1295381.5000000005"/>
    <n v="0"/>
    <n v="0"/>
    <m/>
    <n v="0"/>
    <m/>
    <n v="0"/>
    <m/>
    <n v="0"/>
    <n v="1299468.9999999986"/>
    <n v="6"/>
    <n v="0"/>
    <n v="0"/>
    <n v="0"/>
    <n v="6"/>
    <m/>
    <s v=""/>
    <m/>
    <s v=""/>
    <n v="6"/>
    <n v="2022"/>
    <s v=""/>
    <n v="6"/>
    <n v="6"/>
    <s v="Increasing"/>
    <n v="7.4156136535132866E-2"/>
    <n v="5.4673730437993617E-2"/>
    <n v="0"/>
    <n v="0"/>
    <n v="0"/>
    <n v="0"/>
    <n v="4.6172705928344625E-2"/>
    <n v="4.6172705928344625E-2"/>
  </r>
  <r>
    <x v="28"/>
    <x v="28"/>
    <n v="1288760.5"/>
    <x v="11"/>
    <n v="0"/>
    <n v="1290691.4999999998"/>
    <n v="0"/>
    <m/>
    <n v="0"/>
    <m/>
    <n v="0"/>
    <m/>
    <n v="0"/>
    <m/>
    <n v="0"/>
    <n v="1295381.5000000005"/>
    <n v="0"/>
    <n v="3295"/>
    <m/>
    <n v="0"/>
    <m/>
    <n v="0"/>
    <m/>
    <n v="0"/>
    <n v="1299468.9999999986"/>
    <n v="0"/>
    <n v="3295"/>
    <n v="0"/>
    <n v="0"/>
    <n v="0"/>
    <m/>
    <s v=""/>
    <n v="3295"/>
    <s v="2018 (triag)"/>
    <n v="3295"/>
    <s v="2018 (triag)"/>
    <s v=""/>
    <n v="3295"/>
    <n v="3295"/>
    <s v="No change"/>
    <n v="7.4156136535132866E-2"/>
    <n v="5.4673730437993617E-2"/>
    <n v="2274.1935027798045"/>
    <n v="3882.2984383639855"/>
    <n v="0"/>
    <n v="25.436521982134213"/>
    <n v="25.356511005649256"/>
    <n v="25.356511005649256"/>
  </r>
  <r>
    <x v="28"/>
    <x v="28"/>
    <n v="1288761.5"/>
    <x v="12"/>
    <n v="0"/>
    <n v="1290691.4999999998"/>
    <n v="0"/>
    <m/>
    <n v="0"/>
    <m/>
    <n v="0"/>
    <m/>
    <n v="0"/>
    <m/>
    <n v="0"/>
    <n v="1295381.5000000005"/>
    <n v="0"/>
    <n v="0"/>
    <m/>
    <n v="0"/>
    <m/>
    <n v="0"/>
    <m/>
    <n v="0"/>
    <n v="1299468.9999999986"/>
    <n v="0"/>
    <n v="0"/>
    <n v="0"/>
    <n v="0"/>
    <n v="0"/>
    <m/>
    <s v=""/>
    <m/>
    <s v=""/>
    <n v="0"/>
    <s v=""/>
    <s v=""/>
    <m/>
    <n v="0"/>
    <s v="No change"/>
    <n v="7.4156136535132866E-2"/>
    <n v="5.4673730437993617E-2"/>
    <n v="0"/>
    <n v="0"/>
    <n v="0"/>
    <n v="0"/>
    <n v="0"/>
    <n v="0"/>
  </r>
  <r>
    <x v="28"/>
    <x v="28"/>
    <n v="1288762.5"/>
    <x v="13"/>
    <n v="0"/>
    <n v="1290691.4999999998"/>
    <n v="0"/>
    <m/>
    <n v="0"/>
    <m/>
    <n v="0"/>
    <m/>
    <n v="0"/>
    <m/>
    <n v="0"/>
    <n v="1295381.5000000005"/>
    <n v="0"/>
    <n v="291"/>
    <m/>
    <n v="0"/>
    <m/>
    <n v="0"/>
    <m/>
    <n v="0"/>
    <n v="1299468.9999999986"/>
    <n v="224"/>
    <n v="291"/>
    <n v="0"/>
    <n v="0"/>
    <n v="224"/>
    <m/>
    <s v=""/>
    <n v="291"/>
    <s v="2018 (triag)"/>
    <n v="224"/>
    <n v="2022"/>
    <s v="Adjust"/>
    <n v="264.14072780985634"/>
    <n v="291"/>
    <s v="Decreasing"/>
    <n v="7.4156136535132866E-2"/>
    <n v="5.4673730437993617E-2"/>
    <n v="200.8468313532392"/>
    <n v="342.86763143062814"/>
    <n v="0"/>
    <n v="2.2464424572992581"/>
    <n v="2.0326820248105699"/>
    <n v="2.2393762375247146"/>
  </r>
  <r>
    <x v="28"/>
    <x v="28"/>
    <n v="1288763.5"/>
    <x v="14"/>
    <n v="0"/>
    <n v="1290691.4999999998"/>
    <n v="0"/>
    <m/>
    <n v="0"/>
    <m/>
    <n v="0"/>
    <m/>
    <n v="0"/>
    <m/>
    <n v="0"/>
    <n v="1295381.5000000005"/>
    <n v="0"/>
    <n v="24"/>
    <m/>
    <n v="0"/>
    <m/>
    <n v="0"/>
    <m/>
    <n v="0"/>
    <n v="1299468.9999999986"/>
    <n v="0"/>
    <n v="24"/>
    <n v="0"/>
    <n v="0"/>
    <n v="0"/>
    <m/>
    <s v=""/>
    <n v="24"/>
    <s v="2018 (triag)"/>
    <n v="24"/>
    <s v="2018 (triag)"/>
    <s v=""/>
    <n v="24"/>
    <n v="24"/>
    <s v="No change"/>
    <n v="7.4156136535132866E-2"/>
    <n v="5.4673730437993617E-2"/>
    <n v="16.564687121916634"/>
    <n v="28.277742798402322"/>
    <n v="0"/>
    <n v="0.185273604725712"/>
    <n v="0.1846908237133785"/>
    <n v="0.1846908237133785"/>
  </r>
  <r>
    <x v="28"/>
    <x v="28"/>
    <n v="1288764.5"/>
    <x v="15"/>
    <n v="0"/>
    <n v="1290691.4999999998"/>
    <n v="0"/>
    <m/>
    <n v="0"/>
    <m/>
    <n v="0"/>
    <m/>
    <n v="0"/>
    <m/>
    <n v="0"/>
    <n v="1295381.5000000005"/>
    <n v="0"/>
    <n v="64"/>
    <m/>
    <n v="0"/>
    <m/>
    <n v="0"/>
    <m/>
    <n v="0"/>
    <n v="1299468.9999999986"/>
    <n v="0"/>
    <n v="64"/>
    <n v="0"/>
    <n v="0"/>
    <n v="0"/>
    <m/>
    <s v=""/>
    <n v="64"/>
    <s v="2018 (triag)"/>
    <n v="64"/>
    <s v="2018 (triag)"/>
    <s v=""/>
    <n v="64"/>
    <n v="64"/>
    <s v="No change"/>
    <n v="7.4156136535132866E-2"/>
    <n v="5.4673730437993617E-2"/>
    <n v="44.172498991777694"/>
    <n v="75.407314129072859"/>
    <n v="0"/>
    <n v="0.49406294593523203"/>
    <n v="0.492508863235676"/>
    <n v="0.492508863235676"/>
  </r>
  <r>
    <x v="28"/>
    <x v="28"/>
    <n v="1288765.5"/>
    <x v="16"/>
    <n v="0"/>
    <n v="1290691.4999999998"/>
    <n v="0"/>
    <m/>
    <n v="0"/>
    <m/>
    <n v="0"/>
    <m/>
    <n v="0"/>
    <m/>
    <n v="0"/>
    <n v="1295381.5000000005"/>
    <n v="0"/>
    <n v="0"/>
    <m/>
    <n v="0"/>
    <m/>
    <n v="0"/>
    <m/>
    <n v="0"/>
    <n v="1299468.9999999986"/>
    <n v="0"/>
    <n v="0"/>
    <n v="0"/>
    <n v="0"/>
    <n v="0"/>
    <m/>
    <s v=""/>
    <m/>
    <s v=""/>
    <n v="0"/>
    <s v=""/>
    <s v=""/>
    <m/>
    <n v="0"/>
    <s v="No change"/>
    <n v="7.4156136535132866E-2"/>
    <n v="5.4673730437993617E-2"/>
    <n v="0"/>
    <n v="0"/>
    <n v="0"/>
    <n v="0"/>
    <n v="0"/>
    <n v="0"/>
  </r>
  <r>
    <x v="28"/>
    <x v="28"/>
    <n v="1288766.5"/>
    <x v="17"/>
    <n v="0"/>
    <n v="1290691.4999999998"/>
    <n v="0"/>
    <m/>
    <n v="0"/>
    <m/>
    <n v="0"/>
    <m/>
    <n v="0"/>
    <m/>
    <n v="0"/>
    <n v="1295381.5000000005"/>
    <n v="0"/>
    <n v="0"/>
    <m/>
    <n v="0"/>
    <m/>
    <n v="0"/>
    <m/>
    <n v="0"/>
    <n v="1299468.9999999986"/>
    <n v="27"/>
    <n v="0"/>
    <n v="0"/>
    <n v="0"/>
    <n v="27"/>
    <m/>
    <s v=""/>
    <m/>
    <s v=""/>
    <n v="27"/>
    <n v="2022"/>
    <s v=""/>
    <n v="27"/>
    <n v="27"/>
    <s v="Increasing"/>
    <n v="7.4156136535132866E-2"/>
    <n v="5.4673730437993617E-2"/>
    <n v="0"/>
    <n v="0"/>
    <n v="0"/>
    <n v="0"/>
    <n v="0.20777717667755083"/>
    <n v="0.20777717667755083"/>
  </r>
  <r>
    <x v="28"/>
    <x v="28"/>
    <n v="1288767.5"/>
    <x v="18"/>
    <n v="0"/>
    <n v="1290691.4999999998"/>
    <n v="0"/>
    <m/>
    <n v="0"/>
    <m/>
    <n v="0"/>
    <m/>
    <n v="0"/>
    <m/>
    <n v="0"/>
    <n v="1295381.5000000005"/>
    <n v="0"/>
    <n v="5"/>
    <m/>
    <n v="0"/>
    <m/>
    <n v="0"/>
    <m/>
    <n v="0"/>
    <n v="1299468.9999999986"/>
    <n v="0"/>
    <n v="5"/>
    <n v="0"/>
    <n v="0"/>
    <n v="0"/>
    <m/>
    <s v=""/>
    <n v="5"/>
    <s v="2018 (triag)"/>
    <n v="5"/>
    <s v="2018 (triag)"/>
    <s v=""/>
    <n v="5"/>
    <n v="5"/>
    <s v="No change"/>
    <n v="7.4156136535132866E-2"/>
    <n v="5.4673730437993617E-2"/>
    <n v="3.450976483732632"/>
    <n v="5.8911964163338171"/>
    <n v="0"/>
    <n v="3.8598667651190001E-2"/>
    <n v="3.8477254940287191E-2"/>
    <n v="3.8477254940287191E-2"/>
  </r>
  <r>
    <x v="29"/>
    <x v="29"/>
    <n v="15581255.5"/>
    <x v="0"/>
    <n v="0"/>
    <n v="16024775.499999996"/>
    <n v="0"/>
    <m/>
    <n v="0"/>
    <m/>
    <n v="0"/>
    <m/>
    <n v="0"/>
    <m/>
    <n v="0"/>
    <n v="18367882.999999985"/>
    <n v="10016"/>
    <n v="10016"/>
    <m/>
    <n v="0"/>
    <m/>
    <n v="0"/>
    <m/>
    <n v="0"/>
    <n v="20405316.500000019"/>
    <n v="10747"/>
    <n v="10016"/>
    <n v="0"/>
    <n v="10016"/>
    <n v="10747"/>
    <m/>
    <s v=""/>
    <n v="10016"/>
    <n v="2018"/>
    <n v="10747"/>
    <n v="2022"/>
    <s v=""/>
    <n v="10747"/>
    <n v="10747"/>
    <s v="Increasing"/>
    <n v="-0.13121558498618857"/>
    <n v="0.50042870775453441"/>
    <n v="19303.023453988262"/>
    <n v="44946.367139643909"/>
    <n v="0"/>
    <n v="5.4529964068259842"/>
    <n v="5.2667646689038072"/>
    <n v="5.2667646689038072"/>
  </r>
  <r>
    <x v="29"/>
    <x v="29"/>
    <n v="15581256.5"/>
    <x v="1"/>
    <n v="0"/>
    <n v="16024775.499999996"/>
    <n v="0"/>
    <m/>
    <n v="0"/>
    <m/>
    <n v="0"/>
    <m/>
    <n v="0"/>
    <m/>
    <n v="0"/>
    <n v="18367882.999999985"/>
    <n v="0"/>
    <n v="25"/>
    <m/>
    <n v="0"/>
    <m/>
    <n v="9"/>
    <m/>
    <n v="0"/>
    <n v="20405316.500000019"/>
    <n v="0"/>
    <n v="25"/>
    <n v="0"/>
    <n v="0"/>
    <n v="9"/>
    <m/>
    <s v=""/>
    <n v="25"/>
    <s v="2018 (triag)"/>
    <n v="9"/>
    <n v="2020"/>
    <s v="Adjust"/>
    <n v="9.9719618239660672"/>
    <n v="25"/>
    <s v="Decreasing"/>
    <n v="-0.13121558498618857"/>
    <n v="0.50042870775453441"/>
    <n v="48.180469883157599"/>
    <n v="112.18641957778533"/>
    <n v="0"/>
    <n v="1.3610713874865177E-2"/>
    <n v="4.8869429807501677E-3"/>
    <n v="1.2251709009267255E-2"/>
  </r>
  <r>
    <x v="29"/>
    <x v="29"/>
    <n v="15581257.5"/>
    <x v="2"/>
    <n v="0"/>
    <n v="16024775.499999996"/>
    <n v="0"/>
    <m/>
    <n v="0"/>
    <m/>
    <n v="0"/>
    <m/>
    <n v="0"/>
    <m/>
    <n v="0"/>
    <n v="18367882.999999985"/>
    <n v="0"/>
    <n v="35"/>
    <m/>
    <n v="0"/>
    <m/>
    <n v="0"/>
    <m/>
    <n v="0"/>
    <n v="20405316.500000019"/>
    <n v="0"/>
    <n v="35"/>
    <n v="0"/>
    <n v="0"/>
    <n v="0"/>
    <m/>
    <s v=""/>
    <n v="35"/>
    <s v="2018 (triag)"/>
    <n v="35"/>
    <s v="2018 (triag)"/>
    <s v=""/>
    <n v="35"/>
    <n v="35"/>
    <s v="No change"/>
    <n v="-0.13121558498618857"/>
    <n v="0.50042870775453441"/>
    <n v="67.452657836420642"/>
    <n v="157.06098740889945"/>
    <n v="0"/>
    <n v="1.9054999424811248E-2"/>
    <n v="1.7152392612974156E-2"/>
    <n v="1.7152392612974156E-2"/>
  </r>
  <r>
    <x v="29"/>
    <x v="29"/>
    <n v="15581258.5"/>
    <x v="3"/>
    <n v="0"/>
    <n v="16024775.499999996"/>
    <n v="0"/>
    <m/>
    <n v="0"/>
    <m/>
    <n v="0"/>
    <m/>
    <n v="0"/>
    <m/>
    <n v="0"/>
    <n v="18367882.999999985"/>
    <n v="0"/>
    <n v="178"/>
    <m/>
    <n v="0"/>
    <m/>
    <n v="0"/>
    <m/>
    <n v="0"/>
    <n v="20405316.500000019"/>
    <n v="0"/>
    <n v="178"/>
    <n v="0"/>
    <n v="0"/>
    <n v="0"/>
    <m/>
    <s v=""/>
    <n v="178"/>
    <s v="2018 (triag)"/>
    <n v="178"/>
    <s v="2018 (triag)"/>
    <s v=""/>
    <n v="178"/>
    <n v="178"/>
    <s v="No change"/>
    <n v="-0.13121558498618857"/>
    <n v="0.50042870775453441"/>
    <n v="343.04494556808208"/>
    <n v="798.76730739383152"/>
    <n v="0"/>
    <n v="9.6908282789040054E-2"/>
    <n v="8.723216814598285E-2"/>
    <n v="8.723216814598285E-2"/>
  </r>
  <r>
    <x v="29"/>
    <x v="29"/>
    <n v="15581259.5"/>
    <x v="4"/>
    <n v="0"/>
    <n v="16024775.499999996"/>
    <n v="0"/>
    <m/>
    <n v="0"/>
    <m/>
    <n v="0"/>
    <m/>
    <n v="0"/>
    <m/>
    <n v="0"/>
    <n v="18367882.999999985"/>
    <n v="0"/>
    <n v="178"/>
    <m/>
    <n v="0"/>
    <m/>
    <n v="2630"/>
    <m/>
    <n v="0"/>
    <n v="20405316.500000019"/>
    <n v="561"/>
    <n v="178"/>
    <n v="0"/>
    <n v="0"/>
    <n v="2630"/>
    <m/>
    <s v=""/>
    <n v="178"/>
    <s v="2018 (triag)"/>
    <n v="561"/>
    <n v="2022"/>
    <s v=""/>
    <n v="561"/>
    <n v="561"/>
    <s v="Increasing"/>
    <n v="-0.13121558498618857"/>
    <n v="0.50042870775453441"/>
    <n v="343.04494556808208"/>
    <n v="798.76730739383152"/>
    <n v="0"/>
    <n v="9.6908282789040054E-2"/>
    <n v="0.27492835016795719"/>
    <n v="0.27492835016795719"/>
  </r>
  <r>
    <x v="29"/>
    <x v="29"/>
    <n v="15581260.5"/>
    <x v="5"/>
    <n v="0"/>
    <n v="16024775.499999996"/>
    <n v="0"/>
    <m/>
    <n v="0"/>
    <m/>
    <n v="0"/>
    <m/>
    <n v="0"/>
    <m/>
    <n v="0"/>
    <n v="18367882.999999985"/>
    <n v="0"/>
    <n v="0"/>
    <m/>
    <n v="0"/>
    <m/>
    <n v="0"/>
    <m/>
    <n v="0"/>
    <n v="20405316.500000019"/>
    <n v="12"/>
    <n v="0"/>
    <n v="0"/>
    <n v="0"/>
    <n v="12"/>
    <m/>
    <s v=""/>
    <m/>
    <s v=""/>
    <n v="12"/>
    <n v="2022"/>
    <s v=""/>
    <n v="12"/>
    <n v="12"/>
    <s v="Increasing"/>
    <n v="-0.13121558498618857"/>
    <n v="0.50042870775453441"/>
    <n v="0"/>
    <n v="0"/>
    <n v="0"/>
    <n v="0"/>
    <n v="5.8808203244482826E-3"/>
    <n v="5.8808203244482826E-3"/>
  </r>
  <r>
    <x v="29"/>
    <x v="29"/>
    <n v="15581261.5"/>
    <x v="6"/>
    <n v="0"/>
    <n v="16024775.499999996"/>
    <n v="0"/>
    <m/>
    <n v="0"/>
    <m/>
    <n v="0"/>
    <m/>
    <n v="0"/>
    <m/>
    <n v="0"/>
    <n v="18367882.999999985"/>
    <n v="542"/>
    <n v="542"/>
    <m/>
    <n v="0"/>
    <m/>
    <n v="743"/>
    <m/>
    <n v="0"/>
    <n v="20405316.500000019"/>
    <n v="81"/>
    <n v="0"/>
    <n v="0"/>
    <n v="542"/>
    <n v="743"/>
    <m/>
    <s v=""/>
    <n v="542"/>
    <n v="2018"/>
    <n v="81"/>
    <n v="2022"/>
    <s v="Adjust"/>
    <n v="89.747656415694607"/>
    <n v="542"/>
    <s v="Decreasing"/>
    <n v="-0.13121558498618857"/>
    <n v="0.50042870775453441"/>
    <n v="0"/>
    <n v="0"/>
    <n v="0"/>
    <n v="0.29508027680707705"/>
    <n v="4.3982486826751509E-2"/>
    <n v="0.26561705132091407"/>
  </r>
  <r>
    <x v="29"/>
    <x v="29"/>
    <n v="15581262.5"/>
    <x v="7"/>
    <n v="0"/>
    <n v="16024775.499999996"/>
    <n v="0"/>
    <m/>
    <n v="0"/>
    <m/>
    <n v="0"/>
    <m/>
    <n v="0"/>
    <m/>
    <n v="0"/>
    <n v="18367882.999999985"/>
    <n v="0"/>
    <n v="2804"/>
    <m/>
    <n v="0"/>
    <m/>
    <n v="1809"/>
    <m/>
    <n v="0"/>
    <n v="20405316.500000019"/>
    <n v="1661"/>
    <n v="2804"/>
    <n v="0"/>
    <n v="0"/>
    <n v="1809"/>
    <m/>
    <s v=""/>
    <n v="2804"/>
    <s v="2018 (triag)"/>
    <n v="1661"/>
    <n v="2022"/>
    <s v="Adjust"/>
    <n v="1840.3809544008486"/>
    <n v="2804"/>
    <s v="Decreasing"/>
    <n v="-0.13121558498618857"/>
    <n v="0.50042870775453441"/>
    <n v="5403.9215020949559"/>
    <n v="12582.828819844402"/>
    <n v="0"/>
    <n v="1.5265776682048782"/>
    <n v="0.90191247678066988"/>
    <n v="1.3741516824794153"/>
  </r>
  <r>
    <x v="29"/>
    <x v="29"/>
    <n v="15581263.5"/>
    <x v="8"/>
    <n v="0"/>
    <n v="16024775.499999996"/>
    <n v="0"/>
    <m/>
    <n v="0"/>
    <m/>
    <n v="0"/>
    <m/>
    <n v="0"/>
    <m/>
    <n v="0"/>
    <n v="18367882.999999985"/>
    <n v="0"/>
    <n v="44"/>
    <m/>
    <n v="0"/>
    <m/>
    <n v="0"/>
    <m/>
    <n v="0"/>
    <n v="20405316.500000019"/>
    <n v="610"/>
    <n v="44"/>
    <n v="0"/>
    <n v="0"/>
    <n v="610"/>
    <m/>
    <s v=""/>
    <n v="44"/>
    <s v="2018 (triag)"/>
    <n v="610"/>
    <n v="2022"/>
    <s v=""/>
    <n v="610"/>
    <n v="610"/>
    <s v="Increasing"/>
    <n v="-0.13121558498618857"/>
    <n v="0.50042870775453441"/>
    <n v="84.797626994357373"/>
    <n v="197.44809845690216"/>
    <n v="0"/>
    <n v="2.3954856419762711E-2"/>
    <n v="0.29894169982612101"/>
    <n v="0.29894169982612101"/>
  </r>
  <r>
    <x v="29"/>
    <x v="29"/>
    <n v="15581264.5"/>
    <x v="9"/>
    <n v="0"/>
    <n v="16024775.499999996"/>
    <n v="0"/>
    <m/>
    <n v="0"/>
    <m/>
    <n v="0"/>
    <m/>
    <n v="0"/>
    <m/>
    <n v="0"/>
    <n v="18367882.999999985"/>
    <n v="0"/>
    <n v="306"/>
    <m/>
    <n v="0"/>
    <m/>
    <n v="0"/>
    <m/>
    <n v="0"/>
    <n v="20405316.500000019"/>
    <n v="0"/>
    <n v="306"/>
    <n v="0"/>
    <n v="0"/>
    <n v="0"/>
    <m/>
    <s v=""/>
    <n v="306"/>
    <s v="2018 (triag)"/>
    <n v="306"/>
    <s v="2018 (triag)"/>
    <s v=""/>
    <n v="306"/>
    <n v="306"/>
    <s v="No change"/>
    <n v="-0.13121558498618857"/>
    <n v="0.50042870775453441"/>
    <n v="589.72895136984903"/>
    <n v="1373.1617756320923"/>
    <n v="0"/>
    <n v="0.16659513782834975"/>
    <n v="0.14996091827343119"/>
    <n v="0.14996091827343119"/>
  </r>
  <r>
    <x v="29"/>
    <x v="29"/>
    <n v="15581265.5"/>
    <x v="10"/>
    <n v="0"/>
    <n v="16024775.499999996"/>
    <n v="0"/>
    <m/>
    <n v="0"/>
    <m/>
    <n v="0"/>
    <m/>
    <n v="0"/>
    <m/>
    <n v="0"/>
    <n v="18367882.999999985"/>
    <n v="0"/>
    <n v="13"/>
    <m/>
    <n v="0"/>
    <m/>
    <n v="91"/>
    <m/>
    <n v="0"/>
    <n v="20405316.500000019"/>
    <n v="73"/>
    <n v="13"/>
    <n v="0"/>
    <n v="0"/>
    <n v="91"/>
    <m/>
    <s v=""/>
    <n v="13"/>
    <s v="2018 (triag)"/>
    <n v="73"/>
    <n v="2022"/>
    <s v=""/>
    <n v="73"/>
    <n v="73"/>
    <s v="Increasing"/>
    <n v="-0.13121558498618857"/>
    <n v="0.50042870775453441"/>
    <n v="25.053844339241952"/>
    <n v="58.336938180448371"/>
    <n v="0"/>
    <n v="7.077571214929892E-3"/>
    <n v="3.5774990307060384E-2"/>
    <n v="3.5774990307060384E-2"/>
  </r>
  <r>
    <x v="29"/>
    <x v="29"/>
    <n v="15581266.5"/>
    <x v="11"/>
    <n v="0"/>
    <n v="16024775.499999996"/>
    <n v="0"/>
    <m/>
    <n v="0"/>
    <m/>
    <n v="0"/>
    <m/>
    <n v="0"/>
    <m/>
    <n v="0"/>
    <n v="18367882.999999985"/>
    <n v="0"/>
    <n v="0"/>
    <m/>
    <n v="0"/>
    <m/>
    <n v="0"/>
    <m/>
    <n v="0"/>
    <n v="20405316.500000019"/>
    <n v="0"/>
    <n v="0"/>
    <n v="0"/>
    <n v="0"/>
    <n v="0"/>
    <m/>
    <s v=""/>
    <m/>
    <s v=""/>
    <n v="0"/>
    <s v=""/>
    <s v=""/>
    <m/>
    <n v="0"/>
    <s v="No change"/>
    <n v="-0.13121558498618857"/>
    <n v="0.50042870775453441"/>
    <n v="0"/>
    <n v="0"/>
    <n v="0"/>
    <n v="0"/>
    <n v="0"/>
    <n v="0"/>
  </r>
  <r>
    <x v="29"/>
    <x v="29"/>
    <n v="15581267.5"/>
    <x v="12"/>
    <n v="0"/>
    <n v="16024775.499999996"/>
    <n v="0"/>
    <m/>
    <n v="0"/>
    <m/>
    <n v="0"/>
    <m/>
    <n v="0"/>
    <m/>
    <n v="0"/>
    <n v="18367882.999999985"/>
    <n v="0"/>
    <n v="0"/>
    <m/>
    <n v="0"/>
    <m/>
    <n v="0"/>
    <m/>
    <n v="0"/>
    <n v="20405316.500000019"/>
    <n v="11178"/>
    <n v="0"/>
    <n v="0"/>
    <n v="0"/>
    <n v="11178"/>
    <m/>
    <s v=""/>
    <m/>
    <s v=""/>
    <n v="11178"/>
    <n v="2022"/>
    <s v=""/>
    <n v="11178"/>
    <n v="11178"/>
    <s v="Increasing"/>
    <n v="-0.13121558498618857"/>
    <n v="0.50042870775453441"/>
    <n v="0"/>
    <n v="0"/>
    <n v="0"/>
    <n v="0"/>
    <n v="5.4779841322235754"/>
    <n v="5.4779841322235754"/>
  </r>
  <r>
    <x v="29"/>
    <x v="29"/>
    <n v="15581268.5"/>
    <x v="13"/>
    <n v="0"/>
    <n v="16024775.499999996"/>
    <n v="0"/>
    <m/>
    <n v="0"/>
    <m/>
    <n v="0"/>
    <m/>
    <n v="397"/>
    <m/>
    <n v="0"/>
    <n v="18367882.999999985"/>
    <n v="0"/>
    <n v="542"/>
    <m/>
    <n v="0"/>
    <m/>
    <n v="282"/>
    <m/>
    <n v="0"/>
    <n v="20405316.500000019"/>
    <n v="189"/>
    <n v="542"/>
    <n v="0"/>
    <n v="397"/>
    <n v="282"/>
    <m/>
    <s v=""/>
    <n v="542"/>
    <s v="2018 (triag)"/>
    <n v="189"/>
    <n v="2022"/>
    <s v="Adjust"/>
    <n v="209.41119830328739"/>
    <n v="542"/>
    <s v="Decreasing"/>
    <n v="-0.13121558498618857"/>
    <n v="0.50042870775453441"/>
    <n v="1044.5525870668569"/>
    <n v="2432.2015764463858"/>
    <n v="0"/>
    <n v="0.29508027680707705"/>
    <n v="0.1026258025957535"/>
    <n v="0.26561705132091407"/>
  </r>
  <r>
    <x v="29"/>
    <x v="29"/>
    <n v="15581269.5"/>
    <x v="14"/>
    <n v="0"/>
    <n v="16024775.499999996"/>
    <n v="0"/>
    <m/>
    <n v="0"/>
    <m/>
    <n v="0"/>
    <m/>
    <n v="1159"/>
    <m/>
    <n v="0"/>
    <n v="18367882.999999985"/>
    <n v="0"/>
    <n v="98"/>
    <m/>
    <n v="0"/>
    <m/>
    <n v="0"/>
    <m/>
    <n v="0"/>
    <n v="20405316.500000019"/>
    <n v="37"/>
    <n v="98"/>
    <n v="0"/>
    <n v="1159"/>
    <n v="37"/>
    <m/>
    <s v=""/>
    <n v="98"/>
    <s v="2018 (triag)"/>
    <n v="37"/>
    <n v="2022"/>
    <s v="Adjust"/>
    <n v="40.995843054082719"/>
    <n v="98"/>
    <s v="Decreasing"/>
    <n v="-0.13121558498618857"/>
    <n v="0.50042870775453441"/>
    <n v="188.8674419419778"/>
    <n v="439.77076474491849"/>
    <n v="0"/>
    <n v="5.3353998389471489E-2"/>
    <n v="2.0090765587528467E-2"/>
    <n v="4.8026699316327637E-2"/>
  </r>
  <r>
    <x v="29"/>
    <x v="29"/>
    <n v="15581270.5"/>
    <x v="15"/>
    <n v="0"/>
    <n v="16024775.499999996"/>
    <n v="0"/>
    <m/>
    <n v="0"/>
    <m/>
    <n v="0"/>
    <m/>
    <n v="0"/>
    <m/>
    <n v="0"/>
    <n v="18367882.999999985"/>
    <n v="0"/>
    <n v="52"/>
    <m/>
    <n v="0"/>
    <m/>
    <n v="152"/>
    <m/>
    <n v="0"/>
    <n v="20405316.500000019"/>
    <n v="248"/>
    <n v="52"/>
    <n v="0"/>
    <n v="0"/>
    <n v="248"/>
    <m/>
    <s v=""/>
    <n v="52"/>
    <s v="2018 (triag)"/>
    <n v="248"/>
    <n v="2022"/>
    <s v=""/>
    <n v="248"/>
    <n v="248"/>
    <s v="Increasing"/>
    <n v="-0.13121558498618857"/>
    <n v="0.50042870775453441"/>
    <n v="100.21537735696781"/>
    <n v="233.34775272179348"/>
    <n v="0"/>
    <n v="2.8310284859719568E-2"/>
    <n v="0.12153695337193117"/>
    <n v="0.12153695337193117"/>
  </r>
  <r>
    <x v="29"/>
    <x v="29"/>
    <n v="15581271.5"/>
    <x v="16"/>
    <n v="0"/>
    <n v="16024775.499999996"/>
    <n v="0"/>
    <m/>
    <n v="0"/>
    <m/>
    <n v="0"/>
    <m/>
    <n v="0"/>
    <m/>
    <n v="0"/>
    <n v="18367882.999999985"/>
    <n v="0"/>
    <n v="0"/>
    <m/>
    <n v="0"/>
    <m/>
    <n v="0"/>
    <m/>
    <n v="0"/>
    <n v="20405316.500000019"/>
    <n v="72"/>
    <n v="0"/>
    <n v="0"/>
    <n v="0"/>
    <n v="72"/>
    <m/>
    <s v=""/>
    <m/>
    <s v=""/>
    <n v="72"/>
    <n v="2022"/>
    <s v=""/>
    <n v="72"/>
    <n v="72"/>
    <s v="Increasing"/>
    <n v="-0.13121558498618857"/>
    <n v="0.50042870775453441"/>
    <n v="0"/>
    <n v="0"/>
    <n v="0"/>
    <n v="0"/>
    <n v="3.5284921946689696E-2"/>
    <n v="3.5284921946689696E-2"/>
  </r>
  <r>
    <x v="29"/>
    <x v="29"/>
    <n v="15581272.5"/>
    <x v="17"/>
    <n v="0"/>
    <n v="16024775.499999996"/>
    <n v="0"/>
    <m/>
    <n v="0"/>
    <m/>
    <n v="0"/>
    <m/>
    <n v="0"/>
    <m/>
    <n v="0"/>
    <n v="18367882.999999985"/>
    <n v="0"/>
    <n v="0"/>
    <m/>
    <n v="0"/>
    <m/>
    <n v="0"/>
    <m/>
    <n v="0"/>
    <n v="20405316.500000019"/>
    <n v="0"/>
    <n v="0"/>
    <n v="0"/>
    <n v="0"/>
    <n v="0"/>
    <m/>
    <s v=""/>
    <m/>
    <s v=""/>
    <n v="0"/>
    <s v=""/>
    <s v=""/>
    <m/>
    <n v="0"/>
    <s v="No change"/>
    <n v="-0.13121558498618857"/>
    <n v="0.50042870775453441"/>
    <n v="0"/>
    <n v="0"/>
    <n v="0"/>
    <n v="0"/>
    <n v="0"/>
    <n v="0"/>
  </r>
  <r>
    <x v="29"/>
    <x v="29"/>
    <n v="15581273.5"/>
    <x v="18"/>
    <n v="0"/>
    <n v="16024775.499999996"/>
    <n v="0"/>
    <m/>
    <n v="0"/>
    <m/>
    <n v="0"/>
    <m/>
    <n v="0"/>
    <m/>
    <n v="0"/>
    <n v="18367882.999999985"/>
    <n v="0"/>
    <n v="0"/>
    <m/>
    <n v="0"/>
    <m/>
    <n v="0"/>
    <m/>
    <n v="0"/>
    <n v="20405316.500000019"/>
    <n v="2"/>
    <n v="0"/>
    <n v="0"/>
    <n v="0"/>
    <n v="2"/>
    <m/>
    <s v=""/>
    <m/>
    <s v=""/>
    <n v="2"/>
    <n v="2022"/>
    <s v=""/>
    <n v="2"/>
    <n v="2"/>
    <s v="Increasing"/>
    <n v="-0.13121558498618857"/>
    <n v="0.50042870775453441"/>
    <n v="0"/>
    <n v="0"/>
    <n v="0"/>
    <n v="0"/>
    <n v="9.8013672074138036E-4"/>
    <n v="9.8013672074138036E-4"/>
  </r>
  <r>
    <x v="30"/>
    <x v="30"/>
    <n v="2167475"/>
    <x v="0"/>
    <n v="0"/>
    <n v="2204510.0000000005"/>
    <n v="0"/>
    <m/>
    <n v="0"/>
    <m/>
    <n v="0"/>
    <m/>
    <n v="0"/>
    <m/>
    <n v="0"/>
    <n v="2405680.5000000005"/>
    <n v="2292"/>
    <n v="2292"/>
    <m/>
    <n v="0"/>
    <m/>
    <n v="0"/>
    <m/>
    <n v="0"/>
    <n v="2567012.4999999995"/>
    <n v="0"/>
    <n v="2292"/>
    <n v="0"/>
    <n v="2292"/>
    <n v="0"/>
    <m/>
    <s v=""/>
    <n v="2292"/>
    <n v="2018"/>
    <n v="2292"/>
    <n v="2018"/>
    <s v=""/>
    <n v="2292"/>
    <n v="2292"/>
    <s v="No change"/>
    <n v="6.763943333062894E-2"/>
    <n v="0.1043111029271564"/>
    <n v="1634.3213344262363"/>
    <n v="3134.1503218411849"/>
    <n v="0"/>
    <n v="9.5274497174500095"/>
    <n v="8.928667078948779"/>
    <n v="8.928667078948779"/>
  </r>
  <r>
    <x v="30"/>
    <x v="30"/>
    <n v="2167476"/>
    <x v="1"/>
    <n v="0"/>
    <n v="2204510.0000000005"/>
    <n v="0"/>
    <m/>
    <n v="0"/>
    <m/>
    <n v="0"/>
    <m/>
    <n v="0"/>
    <m/>
    <n v="0"/>
    <n v="2405680.5000000005"/>
    <n v="0"/>
    <n v="33"/>
    <m/>
    <n v="0"/>
    <m/>
    <n v="0"/>
    <m/>
    <n v="0"/>
    <n v="2567012.4999999995"/>
    <n v="33"/>
    <n v="33"/>
    <n v="0"/>
    <n v="0"/>
    <n v="33"/>
    <m/>
    <s v=""/>
    <n v="33"/>
    <s v="2018 (triag)"/>
    <n v="33"/>
    <n v="2022"/>
    <s v=""/>
    <n v="33"/>
    <n v="33"/>
    <s v="No change"/>
    <n v="6.763943333062894E-2"/>
    <n v="0.1043111029271564"/>
    <n v="23.53080455325733"/>
    <n v="45.125200968917582"/>
    <n v="0"/>
    <n v="0.13717532315700273"/>
    <n v="0.12855410715763949"/>
    <n v="0.12855410715763949"/>
  </r>
  <r>
    <x v="30"/>
    <x v="30"/>
    <n v="2167477"/>
    <x v="2"/>
    <n v="0"/>
    <n v="2204510.0000000005"/>
    <n v="0"/>
    <m/>
    <n v="0"/>
    <m/>
    <n v="0"/>
    <m/>
    <n v="0"/>
    <m/>
    <n v="0"/>
    <n v="2405680.5000000005"/>
    <n v="0"/>
    <n v="218"/>
    <m/>
    <n v="0"/>
    <m/>
    <n v="172"/>
    <m/>
    <n v="0"/>
    <n v="2567012.4999999995"/>
    <n v="0"/>
    <n v="218"/>
    <n v="0"/>
    <n v="0"/>
    <n v="172"/>
    <m/>
    <s v=""/>
    <n v="218"/>
    <s v="2018 (triag)"/>
    <n v="172"/>
    <n v="2020"/>
    <s v="Adjust"/>
    <n v="260.54243369734792"/>
    <n v="372"/>
    <s v="Increasing"/>
    <n v="6.763943333062894E-2"/>
    <n v="0.1043111029271564"/>
    <n v="155.44592098818478"/>
    <n v="298.0998124613343"/>
    <n v="0"/>
    <n v="0.90618849843110905"/>
    <n v="1.0149636345648803"/>
    <n v="1.4491553897770271"/>
  </r>
  <r>
    <x v="30"/>
    <x v="30"/>
    <n v="2167478"/>
    <x v="3"/>
    <n v="0"/>
    <n v="2204510.0000000005"/>
    <n v="0"/>
    <m/>
    <n v="0"/>
    <m/>
    <n v="0"/>
    <m/>
    <n v="0"/>
    <m/>
    <n v="0"/>
    <n v="2405680.5000000005"/>
    <n v="0"/>
    <n v="0"/>
    <m/>
    <n v="0"/>
    <m/>
    <n v="0"/>
    <m/>
    <n v="0"/>
    <n v="2567012.4999999995"/>
    <n v="889"/>
    <n v="0"/>
    <n v="0"/>
    <n v="0"/>
    <n v="889"/>
    <m/>
    <s v=""/>
    <m/>
    <s v=""/>
    <n v="889"/>
    <n v="2022"/>
    <s v=""/>
    <n v="889"/>
    <n v="889"/>
    <s v="Increasing"/>
    <n v="6.763943333062894E-2"/>
    <n v="0.1043111029271564"/>
    <n v="0"/>
    <n v="0"/>
    <n v="0"/>
    <n v="0"/>
    <n v="3.4631697352467126"/>
    <n v="3.4631697352467126"/>
  </r>
  <r>
    <x v="30"/>
    <x v="30"/>
    <n v="2167479"/>
    <x v="4"/>
    <n v="0"/>
    <n v="2204510.0000000005"/>
    <n v="0"/>
    <m/>
    <n v="0"/>
    <m/>
    <n v="0"/>
    <m/>
    <n v="0"/>
    <m/>
    <n v="0"/>
    <n v="2405680.5000000005"/>
    <n v="0"/>
    <n v="313"/>
    <m/>
    <n v="0"/>
    <m/>
    <n v="0"/>
    <m/>
    <n v="0"/>
    <n v="2567012.4999999995"/>
    <n v="51"/>
    <n v="313"/>
    <n v="0"/>
    <n v="0"/>
    <n v="51"/>
    <m/>
    <s v=""/>
    <n v="313"/>
    <s v="2018 (triag)"/>
    <n v="51"/>
    <n v="2022"/>
    <s v="Adjust"/>
    <n v="77.253861154446184"/>
    <n v="313"/>
    <s v="Decreasing"/>
    <n v="6.763943333062894E-2"/>
    <n v="0.1043111029271564"/>
    <n v="223.18611591422862"/>
    <n v="428.00569403852131"/>
    <n v="0"/>
    <n v="1.3010871560042987"/>
    <n v="0.30094851955121449"/>
    <n v="1.2193162284951868"/>
  </r>
  <r>
    <x v="30"/>
    <x v="30"/>
    <n v="2167480"/>
    <x v="5"/>
    <n v="0"/>
    <n v="2204510.0000000005"/>
    <n v="0"/>
    <m/>
    <n v="0"/>
    <m/>
    <n v="0"/>
    <m/>
    <n v="0"/>
    <m/>
    <n v="0"/>
    <n v="2405680.5000000005"/>
    <n v="0"/>
    <n v="470"/>
    <m/>
    <n v="137"/>
    <m/>
    <n v="0"/>
    <m/>
    <n v="0"/>
    <n v="2567012.4999999995"/>
    <n v="10"/>
    <n v="470"/>
    <n v="0"/>
    <n v="137"/>
    <n v="10"/>
    <m/>
    <s v=""/>
    <n v="470"/>
    <s v="2018 (triag)"/>
    <n v="10"/>
    <n v="2022"/>
    <s v="Adjust"/>
    <n v="15.147815912636506"/>
    <n v="470"/>
    <s v="Decreasing"/>
    <n v="6.763943333062894E-2"/>
    <n v="0.1043111029271564"/>
    <n v="335.13570121305895"/>
    <n v="642.69225622397767"/>
    <n v="0"/>
    <n v="1.9537091479936755"/>
    <n v="5.9009513637493037E-2"/>
    <n v="1.8309221322451685"/>
  </r>
  <r>
    <x v="30"/>
    <x v="30"/>
    <n v="2167481"/>
    <x v="6"/>
    <n v="0"/>
    <n v="2204510.0000000005"/>
    <n v="0"/>
    <m/>
    <n v="0"/>
    <m/>
    <n v="0"/>
    <m/>
    <n v="0"/>
    <m/>
    <n v="0"/>
    <n v="2405680.5000000005"/>
    <n v="0"/>
    <n v="1739"/>
    <m/>
    <n v="503"/>
    <m/>
    <n v="99"/>
    <m/>
    <n v="0"/>
    <n v="2567012.4999999995"/>
    <n v="64"/>
    <n v="1739"/>
    <n v="0"/>
    <n v="503"/>
    <n v="99"/>
    <m/>
    <s v=""/>
    <n v="1739"/>
    <s v="2018 (triag)"/>
    <n v="64"/>
    <n v="2022"/>
    <s v="Adjust"/>
    <n v="96.946021840873641"/>
    <n v="1739"/>
    <s v="Decreasing"/>
    <n v="6.763943333062894E-2"/>
    <n v="0.1043111029271564"/>
    <n v="1240.0020944883181"/>
    <n v="2377.9613480287176"/>
    <n v="0"/>
    <n v="7.2287238475765987"/>
    <n v="0.37766088727995545"/>
    <n v="6.7744118893071237"/>
  </r>
  <r>
    <x v="30"/>
    <x v="30"/>
    <n v="2167482"/>
    <x v="7"/>
    <n v="0"/>
    <n v="2204510.0000000005"/>
    <n v="0"/>
    <m/>
    <n v="0"/>
    <m/>
    <n v="0"/>
    <m/>
    <n v="0"/>
    <m/>
    <n v="0"/>
    <n v="2405680.5000000005"/>
    <n v="3"/>
    <n v="21"/>
    <m/>
    <n v="3"/>
    <m/>
    <n v="3"/>
    <m/>
    <n v="3"/>
    <n v="2567012.4999999995"/>
    <n v="5"/>
    <n v="21"/>
    <n v="0"/>
    <n v="3"/>
    <n v="5"/>
    <m/>
    <s v=""/>
    <n v="21"/>
    <s v="2018 (triag)"/>
    <n v="5"/>
    <n v="2022"/>
    <s v="Adjust"/>
    <n v="7.5739079563182532"/>
    <n v="21"/>
    <s v="Decreasing"/>
    <n v="6.763943333062894E-2"/>
    <n v="0.1043111029271564"/>
    <n v="14.974148352072847"/>
    <n v="28.716036980220277"/>
    <n v="0"/>
    <n v="8.7293387463547201E-2"/>
    <n v="2.9504756818746519E-2"/>
    <n v="8.1807159100316038E-2"/>
  </r>
  <r>
    <x v="30"/>
    <x v="30"/>
    <n v="2167483"/>
    <x v="8"/>
    <n v="0"/>
    <n v="2204510.0000000005"/>
    <n v="0"/>
    <m/>
    <n v="0"/>
    <m/>
    <n v="0"/>
    <m/>
    <n v="0"/>
    <m/>
    <n v="0"/>
    <n v="2405680.5000000005"/>
    <n v="0"/>
    <n v="303"/>
    <m/>
    <n v="291"/>
    <m/>
    <n v="0"/>
    <m/>
    <n v="0"/>
    <n v="2567012.4999999995"/>
    <n v="289"/>
    <n v="303"/>
    <n v="0"/>
    <n v="291"/>
    <n v="289"/>
    <m/>
    <s v=""/>
    <n v="303"/>
    <s v="2018 (triag)"/>
    <n v="289"/>
    <n v="2022"/>
    <s v="Adjust"/>
    <n v="437.77187987519505"/>
    <n v="437.77187987519505"/>
    <s v="Increasing"/>
    <n v="6.763943333062894E-2"/>
    <n v="0.1043111029271564"/>
    <n v="216.0555690799082"/>
    <n v="414.33139071460687"/>
    <n v="0"/>
    <n v="1.2595188762597525"/>
    <n v="1.7053749441235486"/>
    <n v="1.7053749441235486"/>
  </r>
  <r>
    <x v="30"/>
    <x v="30"/>
    <n v="2167484"/>
    <x v="9"/>
    <n v="0"/>
    <n v="2204510.0000000005"/>
    <n v="0"/>
    <m/>
    <n v="0"/>
    <m/>
    <n v="0"/>
    <m/>
    <n v="0"/>
    <m/>
    <n v="0"/>
    <n v="2405680.5000000005"/>
    <n v="0"/>
    <n v="37"/>
    <m/>
    <n v="0"/>
    <m/>
    <n v="0"/>
    <m/>
    <n v="0"/>
    <n v="2567012.4999999995"/>
    <n v="0"/>
    <n v="37"/>
    <n v="0"/>
    <n v="0"/>
    <n v="0"/>
    <m/>
    <s v=""/>
    <n v="37"/>
    <s v="2018 (triag)"/>
    <n v="37"/>
    <s v="2018 (triag)"/>
    <s v=""/>
    <n v="37"/>
    <n v="37"/>
    <s v="No change"/>
    <n v="6.763943333062894E-2"/>
    <n v="0.1043111029271564"/>
    <n v="26.383023286985491"/>
    <n v="50.594922298483347"/>
    <n v="0"/>
    <n v="0.15380263505482125"/>
    <n v="0.14413642317674732"/>
    <n v="0.14413642317674732"/>
  </r>
  <r>
    <x v="30"/>
    <x v="30"/>
    <n v="2167485"/>
    <x v="10"/>
    <n v="0"/>
    <n v="2204510.0000000005"/>
    <n v="0"/>
    <m/>
    <n v="0"/>
    <m/>
    <n v="0"/>
    <m/>
    <n v="0"/>
    <m/>
    <n v="0"/>
    <n v="2405680.5000000005"/>
    <n v="84"/>
    <n v="147"/>
    <m/>
    <n v="99"/>
    <m/>
    <n v="95"/>
    <m/>
    <n v="99"/>
    <n v="2567012.4999999995"/>
    <n v="107"/>
    <n v="147"/>
    <n v="0"/>
    <n v="99"/>
    <n v="107"/>
    <m/>
    <s v=""/>
    <n v="147"/>
    <s v="2018 (triag)"/>
    <n v="107"/>
    <n v="2022"/>
    <s v="Adjust"/>
    <n v="162.08163026521061"/>
    <n v="162.08163026521061"/>
    <s v="Increasing"/>
    <n v="6.763943333062894E-2"/>
    <n v="0.1043111029271564"/>
    <n v="104.81903846450993"/>
    <n v="201.01225886154197"/>
    <n v="0"/>
    <n v="0.6110537122448304"/>
    <n v="0.63140179592117551"/>
    <n v="0.63140179592117551"/>
  </r>
  <r>
    <x v="30"/>
    <x v="30"/>
    <n v="2167486"/>
    <x v="11"/>
    <n v="0"/>
    <n v="2204510.0000000005"/>
    <n v="0"/>
    <m/>
    <n v="0"/>
    <m/>
    <n v="0"/>
    <m/>
    <n v="0"/>
    <m/>
    <n v="0"/>
    <n v="2405680.5000000005"/>
    <n v="0"/>
    <n v="2157"/>
    <m/>
    <n v="0"/>
    <m/>
    <n v="0"/>
    <m/>
    <n v="0"/>
    <n v="2567012.4999999995"/>
    <n v="0"/>
    <n v="2157"/>
    <n v="0"/>
    <n v="0"/>
    <n v="0"/>
    <m/>
    <s v=""/>
    <n v="2157"/>
    <s v="2018 (triag)"/>
    <n v="2157"/>
    <s v="2018 (triag)"/>
    <s v=""/>
    <n v="2157"/>
    <n v="2157"/>
    <s v="No change"/>
    <n v="6.763943333062894E-2"/>
    <n v="0.1043111029271564"/>
    <n v="1538.0589521629108"/>
    <n v="2949.5472269683401"/>
    <n v="0"/>
    <n v="8.9662779408986335"/>
    <n v="8.4027639133038914"/>
    <n v="8.4027639133038914"/>
  </r>
  <r>
    <x v="30"/>
    <x v="30"/>
    <n v="2167487"/>
    <x v="12"/>
    <n v="0"/>
    <n v="2204510.0000000005"/>
    <n v="0"/>
    <m/>
    <n v="0"/>
    <m/>
    <n v="0"/>
    <m/>
    <n v="0"/>
    <m/>
    <n v="0"/>
    <n v="2405680.5000000005"/>
    <n v="0"/>
    <n v="0"/>
    <m/>
    <n v="0"/>
    <m/>
    <n v="0"/>
    <m/>
    <n v="0"/>
    <n v="2567012.4999999995"/>
    <n v="0"/>
    <n v="0"/>
    <n v="0"/>
    <n v="0"/>
    <n v="0"/>
    <m/>
    <s v=""/>
    <m/>
    <s v=""/>
    <n v="0"/>
    <s v=""/>
    <s v=""/>
    <m/>
    <n v="0"/>
    <s v="No change"/>
    <n v="6.763943333062894E-2"/>
    <n v="0.1043111029271564"/>
    <n v="0"/>
    <n v="0"/>
    <n v="0"/>
    <n v="0"/>
    <n v="0"/>
    <n v="0"/>
  </r>
  <r>
    <x v="30"/>
    <x v="30"/>
    <n v="2167488"/>
    <x v="13"/>
    <n v="0"/>
    <n v="2204510.0000000005"/>
    <n v="0"/>
    <m/>
    <n v="0"/>
    <m/>
    <n v="0"/>
    <m/>
    <n v="0"/>
    <m/>
    <n v="0"/>
    <n v="2405680.5000000005"/>
    <n v="140"/>
    <n v="510"/>
    <m/>
    <n v="0"/>
    <m/>
    <n v="99"/>
    <m/>
    <n v="99"/>
    <n v="2567012.4999999995"/>
    <n v="1065"/>
    <n v="510"/>
    <n v="0"/>
    <n v="140"/>
    <n v="1065"/>
    <m/>
    <s v=""/>
    <n v="510"/>
    <s v="2018 (triag)"/>
    <n v="1065"/>
    <n v="2022"/>
    <s v=""/>
    <n v="1065"/>
    <n v="1065"/>
    <s v="Increasing"/>
    <n v="6.763943333062894E-2"/>
    <n v="0.1043111029271564"/>
    <n v="363.65788855034054"/>
    <n v="697.38946951963533"/>
    <n v="0"/>
    <n v="2.1199822669718604"/>
    <n v="4.1487916400874569"/>
    <n v="4.1487916400874569"/>
  </r>
  <r>
    <x v="30"/>
    <x v="30"/>
    <n v="2167489"/>
    <x v="14"/>
    <n v="0"/>
    <n v="2204510.0000000005"/>
    <n v="0"/>
    <m/>
    <n v="0"/>
    <m/>
    <n v="0"/>
    <m/>
    <n v="0"/>
    <m/>
    <n v="0"/>
    <n v="2405680.5000000005"/>
    <n v="52"/>
    <n v="1053"/>
    <m/>
    <n v="53"/>
    <m/>
    <n v="54"/>
    <m/>
    <n v="63"/>
    <n v="2567012.4999999995"/>
    <n v="82"/>
    <n v="1053"/>
    <n v="0"/>
    <n v="53"/>
    <n v="82"/>
    <m/>
    <s v=""/>
    <n v="1053"/>
    <s v="2018 (triag)"/>
    <n v="82"/>
    <n v="2022"/>
    <s v="Adjust"/>
    <n v="124.21209048361935"/>
    <n v="1053"/>
    <s v="Decreasing"/>
    <n v="6.763943333062894E-2"/>
    <n v="0.1043111029271564"/>
    <n v="750.84658165393842"/>
    <n v="1439.9041400081883"/>
    <n v="0"/>
    <n v="4.3771398571007243"/>
    <n v="0.48387801182744283"/>
    <n v="4.102044692030133"/>
  </r>
  <r>
    <x v="30"/>
    <x v="30"/>
    <n v="2167490"/>
    <x v="15"/>
    <n v="0"/>
    <n v="2204510.0000000005"/>
    <n v="0"/>
    <m/>
    <n v="0"/>
    <m/>
    <n v="0"/>
    <m/>
    <n v="0"/>
    <m/>
    <n v="0"/>
    <n v="2405680.5000000005"/>
    <n v="118"/>
    <n v="233"/>
    <m/>
    <n v="123"/>
    <m/>
    <n v="134"/>
    <m/>
    <n v="140"/>
    <n v="2567012.4999999995"/>
    <n v="155"/>
    <n v="233"/>
    <n v="0"/>
    <n v="123"/>
    <n v="155"/>
    <m/>
    <s v=""/>
    <n v="233"/>
    <s v="2018 (triag)"/>
    <n v="155"/>
    <n v="2022"/>
    <s v="Adjust"/>
    <n v="234.79114664586584"/>
    <n v="234.79114664586584"/>
    <s v="Increasing"/>
    <n v="6.763943333062894E-2"/>
    <n v="0.1043111029271564"/>
    <n v="166.14174123966538"/>
    <n v="318.61126744720593"/>
    <n v="0"/>
    <n v="0.96854091804792841"/>
    <n v="0.91464746138114195"/>
    <n v="0.91464746138114195"/>
  </r>
  <r>
    <x v="30"/>
    <x v="30"/>
    <n v="2167491"/>
    <x v="16"/>
    <n v="0"/>
    <n v="2204510.0000000005"/>
    <n v="0"/>
    <m/>
    <n v="0"/>
    <m/>
    <n v="0"/>
    <m/>
    <n v="0"/>
    <m/>
    <n v="0"/>
    <n v="2405680.5000000005"/>
    <n v="0"/>
    <n v="509"/>
    <m/>
    <n v="0"/>
    <m/>
    <n v="0"/>
    <m/>
    <n v="0"/>
    <n v="2567012.4999999995"/>
    <n v="0"/>
    <n v="509"/>
    <n v="0"/>
    <n v="0"/>
    <n v="0"/>
    <m/>
    <s v=""/>
    <n v="509"/>
    <s v="2018 (triag)"/>
    <n v="509"/>
    <s v="2018 (triag)"/>
    <s v=""/>
    <n v="509"/>
    <n v="510"/>
    <s v="No change"/>
    <n v="6.763943333062894E-2"/>
    <n v="0.1043111029271564"/>
    <n v="362.94483386690854"/>
    <n v="696.02203918724388"/>
    <n v="0"/>
    <n v="2.115825438997406"/>
    <n v="1.9828497134314698"/>
    <n v="1.9867452924362468"/>
  </r>
  <r>
    <x v="30"/>
    <x v="30"/>
    <n v="2167492"/>
    <x v="17"/>
    <n v="0"/>
    <n v="2204510.0000000005"/>
    <n v="0"/>
    <m/>
    <n v="0"/>
    <m/>
    <n v="0"/>
    <m/>
    <n v="0"/>
    <m/>
    <n v="0"/>
    <n v="2405680.5000000005"/>
    <n v="0"/>
    <n v="0"/>
    <m/>
    <n v="0"/>
    <m/>
    <n v="0"/>
    <m/>
    <n v="0"/>
    <n v="2567012.4999999995"/>
    <n v="29"/>
    <n v="0"/>
    <n v="0"/>
    <n v="0"/>
    <n v="29"/>
    <m/>
    <s v=""/>
    <m/>
    <s v=""/>
    <n v="29"/>
    <n v="2022"/>
    <s v=""/>
    <n v="29"/>
    <n v="29"/>
    <s v="Increasing"/>
    <n v="6.763943333062894E-2"/>
    <n v="0.1043111029271564"/>
    <n v="0"/>
    <n v="0"/>
    <n v="0"/>
    <n v="0"/>
    <n v="0.11297179113853167"/>
    <n v="0.11297179113853167"/>
  </r>
  <r>
    <x v="30"/>
    <x v="30"/>
    <n v="2167493"/>
    <x v="18"/>
    <n v="0"/>
    <n v="2204510.0000000005"/>
    <n v="0"/>
    <m/>
    <n v="0"/>
    <m/>
    <n v="0"/>
    <m/>
    <n v="0"/>
    <m/>
    <n v="0"/>
    <n v="2405680.5000000005"/>
    <n v="0"/>
    <n v="8"/>
    <m/>
    <n v="0"/>
    <m/>
    <n v="0"/>
    <m/>
    <n v="0"/>
    <n v="2567012.4999999995"/>
    <n v="0"/>
    <n v="8"/>
    <n v="0"/>
    <n v="0"/>
    <n v="0"/>
    <m/>
    <s v=""/>
    <n v="8"/>
    <s v="2018 (triag)"/>
    <n v="8"/>
    <s v="2018 (triag)"/>
    <s v=""/>
    <n v="8"/>
    <n v="8"/>
    <s v="No change"/>
    <n v="6.763943333062894E-2"/>
    <n v="0.1043111029271564"/>
    <n v="5.7044374674563221"/>
    <n v="10.939442659131535"/>
    <n v="0"/>
    <n v="3.3254623795637026E-2"/>
    <n v="3.1164632038215637E-2"/>
    <n v="3.1164632038215637E-2"/>
  </r>
  <r>
    <x v="31"/>
    <x v="31"/>
    <n v="17954412"/>
    <x v="0"/>
    <n v="0"/>
    <n v="18653199"/>
    <n v="6560"/>
    <m/>
    <n v="0"/>
    <m/>
    <n v="0"/>
    <m/>
    <n v="0"/>
    <m/>
    <n v="0"/>
    <n v="22577057.999999996"/>
    <n v="0"/>
    <n v="55"/>
    <m/>
    <n v="0"/>
    <m/>
    <n v="21429"/>
    <m/>
    <n v="0"/>
    <n v="26207976.5"/>
    <n v="2239"/>
    <n v="55"/>
    <n v="6560"/>
    <n v="0"/>
    <n v="21429"/>
    <n v="6560"/>
    <n v="2013"/>
    <n v="55"/>
    <s v="2018 (triag)"/>
    <n v="2239"/>
    <n v="2022"/>
    <s v=""/>
    <n v="2239"/>
    <n v="2239"/>
    <s v="Increasing"/>
    <n v="7.2635719552709199E-2"/>
    <n v="2.4687803142194653E-2"/>
    <n v="38.250421792587133"/>
    <n v="59.228129804972276"/>
    <n v="3.5168230393081639"/>
    <n v="2.4361012847643838E-2"/>
    <n v="0.85432005786482601"/>
    <n v="0.85432005786482601"/>
  </r>
  <r>
    <x v="31"/>
    <x v="31"/>
    <n v="17954413"/>
    <x v="1"/>
    <n v="0"/>
    <n v="18653199"/>
    <n v="0"/>
    <m/>
    <n v="0"/>
    <m/>
    <n v="0"/>
    <m/>
    <n v="0"/>
    <m/>
    <n v="0"/>
    <n v="22577057.999999996"/>
    <n v="0"/>
    <n v="42"/>
    <m/>
    <n v="0"/>
    <m/>
    <n v="0"/>
    <m/>
    <n v="0"/>
    <n v="26207976.5"/>
    <n v="0"/>
    <n v="42"/>
    <n v="0"/>
    <n v="0"/>
    <n v="0"/>
    <m/>
    <s v=""/>
    <n v="42"/>
    <s v="2018 (triag)"/>
    <n v="42"/>
    <s v="2018 (triag)"/>
    <s v=""/>
    <n v="42"/>
    <n v="42"/>
    <s v="No change"/>
    <n v="7.2635719552709199E-2"/>
    <n v="2.4687803142194653E-2"/>
    <n v="29.209413005248354"/>
    <n v="45.22875366925156"/>
    <n v="0"/>
    <n v="1.8602955265473477E-2"/>
    <n v="1.6025655395409868E-2"/>
    <n v="1.6025655395409868E-2"/>
  </r>
  <r>
    <x v="31"/>
    <x v="31"/>
    <n v="17954414"/>
    <x v="2"/>
    <n v="0"/>
    <n v="18653199"/>
    <n v="0"/>
    <m/>
    <n v="0"/>
    <m/>
    <n v="0"/>
    <m/>
    <n v="0"/>
    <m/>
    <n v="0"/>
    <n v="22577057.999999996"/>
    <n v="0"/>
    <n v="101"/>
    <m/>
    <n v="0"/>
    <m/>
    <n v="0"/>
    <m/>
    <n v="0"/>
    <n v="26207976.5"/>
    <n v="0"/>
    <n v="101"/>
    <n v="0"/>
    <n v="0"/>
    <n v="0"/>
    <m/>
    <s v=""/>
    <n v="101"/>
    <s v="2018 (triag)"/>
    <n v="101"/>
    <s v="2018 (triag)"/>
    <s v=""/>
    <n v="101"/>
    <n v="101"/>
    <s v="No change"/>
    <n v="7.2635719552709199E-2"/>
    <n v="2.4687803142194653E-2"/>
    <n v="70.241683655478184"/>
    <n v="108.76438382367637"/>
    <n v="0"/>
    <n v="4.47356781384005E-2"/>
    <n v="3.8537885593723731E-2"/>
    <n v="3.8537885593723731E-2"/>
  </r>
  <r>
    <x v="31"/>
    <x v="31"/>
    <n v="17954415"/>
    <x v="3"/>
    <n v="0"/>
    <n v="18653199"/>
    <n v="0"/>
    <m/>
    <n v="0"/>
    <m/>
    <n v="0"/>
    <m/>
    <n v="0"/>
    <m/>
    <n v="0"/>
    <n v="22577057.999999996"/>
    <n v="95"/>
    <n v="152"/>
    <m/>
    <n v="0"/>
    <m/>
    <n v="0"/>
    <m/>
    <n v="0"/>
    <n v="26207976.5"/>
    <n v="0"/>
    <n v="152"/>
    <n v="0"/>
    <n v="95"/>
    <n v="0"/>
    <m/>
    <s v=""/>
    <n v="152"/>
    <s v="2018 (triag)"/>
    <n v="152"/>
    <s v="2018 (triag)"/>
    <s v=""/>
    <n v="152"/>
    <n v="152"/>
    <s v="No change"/>
    <n v="7.2635719552709199E-2"/>
    <n v="2.4687803142194653E-2"/>
    <n v="105.71025659042262"/>
    <n v="163.68501327919611"/>
    <n v="0"/>
    <n v="6.7324980960761158E-2"/>
    <n v="5.7997610002435709E-2"/>
    <n v="5.7997610002435709E-2"/>
  </r>
  <r>
    <x v="31"/>
    <x v="31"/>
    <n v="17954416"/>
    <x v="4"/>
    <n v="0"/>
    <n v="18653199"/>
    <n v="0"/>
    <m/>
    <n v="0"/>
    <m/>
    <n v="0"/>
    <m/>
    <n v="0"/>
    <m/>
    <n v="0"/>
    <n v="22577057.999999996"/>
    <n v="0"/>
    <n v="226"/>
    <m/>
    <n v="0"/>
    <m/>
    <n v="0"/>
    <m/>
    <n v="0"/>
    <n v="26207976.5"/>
    <n v="0"/>
    <n v="226"/>
    <n v="0"/>
    <n v="0"/>
    <n v="0"/>
    <m/>
    <s v=""/>
    <n v="226"/>
    <s v="2018 (triag)"/>
    <n v="226"/>
    <s v="2018 (triag)"/>
    <s v=""/>
    <n v="226"/>
    <n v="226"/>
    <s v="No change"/>
    <n v="7.2635719552709199E-2"/>
    <n v="2.4687803142194653E-2"/>
    <n v="157.17446045681257"/>
    <n v="243.37376974406791"/>
    <n v="0"/>
    <n v="0.10010161642850013"/>
    <n v="8.623328855625309E-2"/>
    <n v="8.623328855625309E-2"/>
  </r>
  <r>
    <x v="31"/>
    <x v="31"/>
    <n v="17954417"/>
    <x v="5"/>
    <n v="0"/>
    <n v="18653199"/>
    <n v="0"/>
    <m/>
    <n v="0"/>
    <m/>
    <n v="0"/>
    <m/>
    <n v="0"/>
    <m/>
    <n v="0"/>
    <n v="22577057.999999996"/>
    <n v="0"/>
    <n v="11"/>
    <m/>
    <n v="0"/>
    <m/>
    <n v="0"/>
    <m/>
    <n v="0"/>
    <n v="26207976.5"/>
    <n v="6"/>
    <n v="11"/>
    <n v="0"/>
    <n v="0"/>
    <n v="6"/>
    <m/>
    <s v=""/>
    <n v="11"/>
    <s v="2018 (triag)"/>
    <n v="6"/>
    <n v="2022"/>
    <s v="Adjust"/>
    <n v="6.895791865922491"/>
    <n v="11"/>
    <s v="Decreasing"/>
    <n v="7.2635719552709199E-2"/>
    <n v="2.4687803142194653E-2"/>
    <n v="7.6500843585174261"/>
    <n v="11.845625960994456"/>
    <n v="0"/>
    <n v="4.8722025695287679E-3"/>
    <n v="2.6311805743272441E-3"/>
    <n v="4.1971954607025845E-3"/>
  </r>
  <r>
    <x v="31"/>
    <x v="31"/>
    <n v="17954418"/>
    <x v="6"/>
    <n v="0"/>
    <n v="18653199"/>
    <n v="0"/>
    <m/>
    <n v="0"/>
    <m/>
    <n v="0"/>
    <m/>
    <n v="0"/>
    <m/>
    <n v="0"/>
    <n v="22577057.999999996"/>
    <n v="432"/>
    <n v="432"/>
    <m/>
    <n v="0"/>
    <m/>
    <n v="0"/>
    <m/>
    <n v="0"/>
    <n v="26207976.5"/>
    <n v="0"/>
    <n v="191"/>
    <n v="0"/>
    <n v="432"/>
    <n v="0"/>
    <m/>
    <s v=""/>
    <n v="432"/>
    <n v="2018"/>
    <n v="432"/>
    <n v="2018"/>
    <s v=""/>
    <n v="432"/>
    <n v="432"/>
    <s v="No change"/>
    <n v="7.2635719552709199E-2"/>
    <n v="2.4687803142194653E-2"/>
    <n v="132.83328295243894"/>
    <n v="205.68314168635828"/>
    <n v="0"/>
    <n v="0.19134468273058433"/>
    <n v="0.16483531263850149"/>
    <n v="0.16483531263850149"/>
  </r>
  <r>
    <x v="31"/>
    <x v="31"/>
    <n v="17954419"/>
    <x v="7"/>
    <n v="0"/>
    <n v="18653199"/>
    <n v="0"/>
    <m/>
    <n v="0"/>
    <m/>
    <n v="0"/>
    <m/>
    <n v="0"/>
    <m/>
    <n v="0"/>
    <n v="22577057.999999996"/>
    <n v="439"/>
    <n v="439"/>
    <m/>
    <n v="0"/>
    <m/>
    <n v="0"/>
    <m/>
    <n v="0"/>
    <n v="26207976.5"/>
    <n v="0"/>
    <n v="0"/>
    <n v="0"/>
    <n v="439"/>
    <n v="0"/>
    <m/>
    <s v=""/>
    <n v="439"/>
    <n v="2018"/>
    <n v="439"/>
    <n v="2018"/>
    <s v=""/>
    <n v="439"/>
    <n v="439"/>
    <s v="No change"/>
    <n v="7.2635719552709199E-2"/>
    <n v="2.4687803142194653E-2"/>
    <n v="0"/>
    <n v="0"/>
    <n v="0"/>
    <n v="0.19444517527482991"/>
    <n v="0.16750625520440313"/>
    <n v="0.16750625520440313"/>
  </r>
  <r>
    <x v="31"/>
    <x v="31"/>
    <n v="17954420"/>
    <x v="8"/>
    <n v="0"/>
    <n v="18653199"/>
    <n v="0"/>
    <m/>
    <n v="0"/>
    <m/>
    <n v="0"/>
    <m/>
    <n v="0"/>
    <m/>
    <n v="0"/>
    <n v="22577057.999999996"/>
    <n v="0"/>
    <n v="82"/>
    <m/>
    <n v="0"/>
    <m/>
    <n v="0"/>
    <m/>
    <n v="0"/>
    <n v="26207976.5"/>
    <n v="0"/>
    <n v="82"/>
    <n v="0"/>
    <n v="0"/>
    <n v="0"/>
    <m/>
    <s v=""/>
    <n v="82"/>
    <s v="2018 (triag)"/>
    <n v="82"/>
    <s v="2018 (triag)"/>
    <s v=""/>
    <n v="82"/>
    <n v="82"/>
    <s v="No change"/>
    <n v="7.2635719552709199E-2"/>
    <n v="2.4687803142194653E-2"/>
    <n v="57.027901581675358"/>
    <n v="88.303757163776851"/>
    <n v="0"/>
    <n v="3.6320055518305361E-2"/>
    <n v="3.1288184343419262E-2"/>
    <n v="3.1288184343419262E-2"/>
  </r>
  <r>
    <x v="31"/>
    <x v="31"/>
    <n v="17954421"/>
    <x v="9"/>
    <n v="0"/>
    <n v="18653199"/>
    <n v="0"/>
    <m/>
    <n v="0"/>
    <m/>
    <n v="0"/>
    <m/>
    <n v="0"/>
    <m/>
    <n v="0"/>
    <n v="22577057.999999996"/>
    <n v="0"/>
    <n v="22"/>
    <m/>
    <n v="0"/>
    <m/>
    <n v="0"/>
    <m/>
    <n v="0"/>
    <n v="26207976.5"/>
    <n v="0"/>
    <n v="22"/>
    <n v="0"/>
    <n v="0"/>
    <n v="0"/>
    <m/>
    <s v=""/>
    <n v="22"/>
    <s v="2018 (triag)"/>
    <n v="22"/>
    <s v="2018 (triag)"/>
    <s v=""/>
    <n v="22"/>
    <n v="22"/>
    <s v="No change"/>
    <n v="7.2635719552709199E-2"/>
    <n v="2.4687803142194653E-2"/>
    <n v="15.300168717034852"/>
    <n v="23.691251921988911"/>
    <n v="0"/>
    <n v="9.7444051390575357E-3"/>
    <n v="8.394390921405169E-3"/>
    <n v="8.394390921405169E-3"/>
  </r>
  <r>
    <x v="31"/>
    <x v="31"/>
    <n v="17954422"/>
    <x v="10"/>
    <n v="0"/>
    <n v="18653199"/>
    <n v="0"/>
    <m/>
    <n v="0"/>
    <m/>
    <n v="0"/>
    <m/>
    <n v="0"/>
    <m/>
    <n v="0"/>
    <n v="22577057.999999996"/>
    <n v="0"/>
    <n v="0"/>
    <m/>
    <n v="0"/>
    <m/>
    <n v="0"/>
    <m/>
    <n v="0"/>
    <n v="26207976.5"/>
    <n v="0"/>
    <n v="0"/>
    <n v="0"/>
    <n v="0"/>
    <n v="0"/>
    <m/>
    <s v=""/>
    <m/>
    <s v=""/>
    <n v="0"/>
    <s v=""/>
    <s v=""/>
    <m/>
    <n v="0"/>
    <s v="No change"/>
    <n v="7.2635719552709199E-2"/>
    <n v="2.4687803142194653E-2"/>
    <n v="0"/>
    <n v="0"/>
    <n v="0"/>
    <n v="0"/>
    <n v="0"/>
    <n v="0"/>
  </r>
  <r>
    <x v="31"/>
    <x v="31"/>
    <n v="17954423"/>
    <x v="11"/>
    <n v="0"/>
    <n v="18653199"/>
    <n v="0"/>
    <m/>
    <n v="0"/>
    <m/>
    <n v="0"/>
    <m/>
    <n v="0"/>
    <m/>
    <n v="0"/>
    <n v="22577057.999999996"/>
    <n v="0"/>
    <n v="542"/>
    <m/>
    <n v="0"/>
    <m/>
    <n v="0"/>
    <m/>
    <n v="0"/>
    <n v="26207976.5"/>
    <n v="0"/>
    <n v="542"/>
    <n v="0"/>
    <n v="0"/>
    <n v="0"/>
    <m/>
    <s v=""/>
    <n v="542"/>
    <s v="2018 (triag)"/>
    <n v="542"/>
    <s v="2018 (triag)"/>
    <s v=""/>
    <n v="542"/>
    <n v="542"/>
    <s v="No change"/>
    <n v="7.2635719552709199E-2"/>
    <n v="2.4687803142194653E-2"/>
    <n v="376.94052021058593"/>
    <n v="583.66629735081767"/>
    <n v="0"/>
    <n v="0.24006670842587199"/>
    <n v="0.20680726724552734"/>
    <n v="0.20680726724552734"/>
  </r>
  <r>
    <x v="31"/>
    <x v="31"/>
    <n v="17954424"/>
    <x v="12"/>
    <n v="0"/>
    <n v="18653199"/>
    <n v="0"/>
    <m/>
    <n v="0"/>
    <m/>
    <n v="0"/>
    <m/>
    <n v="0"/>
    <m/>
    <n v="0"/>
    <n v="22577057.999999996"/>
    <n v="249"/>
    <n v="462"/>
    <m/>
    <n v="0"/>
    <m/>
    <n v="0"/>
    <m/>
    <n v="0"/>
    <n v="26207976.5"/>
    <n v="0"/>
    <n v="462"/>
    <n v="0"/>
    <n v="249"/>
    <n v="0"/>
    <m/>
    <s v=""/>
    <n v="462"/>
    <s v="2018 (triag)"/>
    <n v="462"/>
    <s v="2018 (triag)"/>
    <s v=""/>
    <n v="462"/>
    <n v="462"/>
    <s v="No change"/>
    <n v="7.2635719552709199E-2"/>
    <n v="2.4687803142194653E-2"/>
    <n v="321.30354305773193"/>
    <n v="497.51629036176712"/>
    <n v="0"/>
    <n v="0.20463250792020823"/>
    <n v="0.17628220934950853"/>
    <n v="0.17628220934950853"/>
  </r>
  <r>
    <x v="31"/>
    <x v="31"/>
    <n v="17954425"/>
    <x v="13"/>
    <n v="0"/>
    <n v="18653199"/>
    <n v="0"/>
    <m/>
    <n v="0"/>
    <m/>
    <n v="0"/>
    <m/>
    <n v="0"/>
    <m/>
    <n v="0"/>
    <n v="22577057.999999996"/>
    <n v="0"/>
    <n v="432"/>
    <m/>
    <n v="0"/>
    <m/>
    <n v="0"/>
    <m/>
    <n v="0"/>
    <n v="26207976.5"/>
    <n v="418"/>
    <n v="432"/>
    <n v="0"/>
    <n v="0"/>
    <n v="418"/>
    <m/>
    <s v=""/>
    <n v="432"/>
    <s v="2018 (triag)"/>
    <n v="418"/>
    <n v="2022"/>
    <s v="Adjust"/>
    <n v="480.40683332593352"/>
    <n v="480.40683332593352"/>
    <s v="Increasing"/>
    <n v="7.2635719552709199E-2"/>
    <n v="2.4687803142194653E-2"/>
    <n v="300.43967662541166"/>
    <n v="465.21003774087313"/>
    <n v="0"/>
    <n v="0.19134468273058433"/>
    <n v="0.18330558001146463"/>
    <n v="0.18330558001146463"/>
  </r>
  <r>
    <x v="31"/>
    <x v="31"/>
    <n v="17954426"/>
    <x v="14"/>
    <n v="0"/>
    <n v="18653199"/>
    <n v="0"/>
    <m/>
    <n v="0"/>
    <m/>
    <n v="0"/>
    <m/>
    <n v="0"/>
    <m/>
    <n v="0"/>
    <n v="22577057.999999996"/>
    <n v="0"/>
    <n v="598"/>
    <m/>
    <n v="0"/>
    <m/>
    <n v="0"/>
    <m/>
    <n v="0"/>
    <n v="26207976.5"/>
    <n v="1592"/>
    <n v="598"/>
    <n v="0"/>
    <n v="0"/>
    <n v="1592"/>
    <m/>
    <s v=""/>
    <n v="598"/>
    <s v="2018 (triag)"/>
    <n v="1592"/>
    <n v="2022"/>
    <s v=""/>
    <n v="1592"/>
    <n v="1592"/>
    <s v="Increasing"/>
    <n v="7.2635719552709199E-2"/>
    <n v="2.4687803142194653E-2"/>
    <n v="415.88640421758373"/>
    <n v="643.9713022431531"/>
    <n v="0"/>
    <n v="0.26487064877983663"/>
    <n v="0.60744865213077404"/>
    <n v="0.60744865213077404"/>
  </r>
  <r>
    <x v="31"/>
    <x v="31"/>
    <n v="17954427"/>
    <x v="15"/>
    <n v="0"/>
    <n v="18653199"/>
    <n v="0"/>
    <m/>
    <n v="0"/>
    <m/>
    <n v="0"/>
    <m/>
    <n v="0"/>
    <m/>
    <n v="0"/>
    <n v="22577057.999999996"/>
    <n v="0"/>
    <n v="0"/>
    <m/>
    <n v="0"/>
    <m/>
    <n v="0"/>
    <m/>
    <n v="0"/>
    <n v="26207976.5"/>
    <n v="0"/>
    <n v="0"/>
    <n v="0"/>
    <n v="0"/>
    <n v="0"/>
    <m/>
    <s v=""/>
    <m/>
    <s v=""/>
    <n v="0"/>
    <s v=""/>
    <s v=""/>
    <m/>
    <n v="0"/>
    <s v="No change"/>
    <n v="7.2635719552709199E-2"/>
    <n v="2.4687803142194653E-2"/>
    <n v="0"/>
    <n v="0"/>
    <n v="0"/>
    <n v="0"/>
    <n v="0"/>
    <n v="0"/>
  </r>
  <r>
    <x v="31"/>
    <x v="31"/>
    <n v="17954428"/>
    <x v="16"/>
    <n v="0"/>
    <n v="18653199"/>
    <n v="0"/>
    <m/>
    <n v="0"/>
    <m/>
    <n v="0"/>
    <m/>
    <n v="0"/>
    <m/>
    <n v="0"/>
    <n v="22577057.999999996"/>
    <n v="0"/>
    <n v="0"/>
    <m/>
    <n v="0"/>
    <m/>
    <n v="0"/>
    <m/>
    <n v="0"/>
    <n v="26207976.5"/>
    <n v="0"/>
    <n v="0"/>
    <n v="0"/>
    <n v="0"/>
    <n v="0"/>
    <m/>
    <s v=""/>
    <m/>
    <s v=""/>
    <n v="0"/>
    <s v=""/>
    <s v=""/>
    <m/>
    <n v="0"/>
    <s v="No change"/>
    <n v="7.2635719552709199E-2"/>
    <n v="2.4687803142194653E-2"/>
    <n v="0"/>
    <n v="0"/>
    <n v="0"/>
    <n v="0"/>
    <n v="0"/>
    <n v="0"/>
  </r>
  <r>
    <x v="31"/>
    <x v="31"/>
    <n v="17954429"/>
    <x v="17"/>
    <n v="0"/>
    <n v="18653199"/>
    <n v="0"/>
    <m/>
    <n v="0"/>
    <m/>
    <n v="0"/>
    <m/>
    <n v="0"/>
    <m/>
    <n v="0"/>
    <n v="22577057.999999996"/>
    <n v="0"/>
    <n v="0"/>
    <m/>
    <n v="0"/>
    <m/>
    <n v="0"/>
    <m/>
    <n v="0"/>
    <n v="26207976.5"/>
    <n v="0"/>
    <n v="0"/>
    <n v="0"/>
    <n v="0"/>
    <n v="0"/>
    <m/>
    <s v=""/>
    <m/>
    <s v=""/>
    <n v="0"/>
    <s v=""/>
    <s v=""/>
    <m/>
    <n v="0"/>
    <s v="No change"/>
    <n v="7.2635719552709199E-2"/>
    <n v="2.4687803142194653E-2"/>
    <n v="0"/>
    <n v="0"/>
    <n v="0"/>
    <n v="0"/>
    <n v="0"/>
    <n v="0"/>
  </r>
  <r>
    <x v="31"/>
    <x v="31"/>
    <n v="17954430"/>
    <x v="18"/>
    <n v="0"/>
    <n v="18653199"/>
    <n v="0"/>
    <m/>
    <n v="0"/>
    <m/>
    <n v="0"/>
    <m/>
    <n v="0"/>
    <m/>
    <n v="0"/>
    <n v="22577057.999999996"/>
    <n v="0"/>
    <n v="0"/>
    <m/>
    <n v="0"/>
    <m/>
    <n v="0"/>
    <m/>
    <n v="0"/>
    <n v="26207976.5"/>
    <n v="0"/>
    <n v="0"/>
    <n v="0"/>
    <n v="0"/>
    <n v="0"/>
    <m/>
    <s v=""/>
    <m/>
    <s v=""/>
    <n v="0"/>
    <s v=""/>
    <s v=""/>
    <m/>
    <n v="0"/>
    <s v="No change"/>
    <n v="7.2635719552709199E-2"/>
    <n v="2.4687803142194653E-2"/>
    <n v="0"/>
    <n v="0"/>
    <n v="0"/>
    <n v="0"/>
    <n v="0"/>
    <n v="0"/>
  </r>
  <r>
    <x v="32"/>
    <x v="32"/>
    <n v="170075936.5"/>
    <x v="0"/>
    <n v="0"/>
    <n v="174726123.50000006"/>
    <n v="0"/>
    <m/>
    <n v="0"/>
    <m/>
    <n v="0"/>
    <m/>
    <n v="0"/>
    <m/>
    <n v="0"/>
    <n v="198387623.50000006"/>
    <n v="116454"/>
    <n v="116454"/>
    <m/>
    <n v="116454"/>
    <m/>
    <n v="0"/>
    <m/>
    <n v="7912"/>
    <n v="218541211.50000003"/>
    <n v="154477"/>
    <n v="116454"/>
    <n v="0"/>
    <n v="116454"/>
    <n v="154477"/>
    <m/>
    <s v=""/>
    <n v="116454"/>
    <n v="2018"/>
    <n v="154477"/>
    <n v="2022"/>
    <s v=""/>
    <n v="154477"/>
    <n v="154477"/>
    <s v="Increasing"/>
    <n v="3.0407746470616726E-2"/>
    <n v="4.0299906228893123E-2"/>
    <n v="100028.7468216541"/>
    <n v="131419.70594329564"/>
    <n v="0"/>
    <n v="5.8700234392393922"/>
    <n v="7.0685523769048926"/>
    <n v="7.0685523769048926"/>
  </r>
  <r>
    <x v="32"/>
    <x v="32"/>
    <n v="170075937.5"/>
    <x v="1"/>
    <n v="0"/>
    <n v="174726123.50000006"/>
    <n v="0"/>
    <m/>
    <n v="0"/>
    <m/>
    <n v="0"/>
    <m/>
    <n v="44"/>
    <m/>
    <n v="48"/>
    <n v="198387623.50000006"/>
    <n v="7"/>
    <n v="7"/>
    <m/>
    <n v="0"/>
    <m/>
    <n v="71"/>
    <m/>
    <n v="77"/>
    <n v="218541211.50000003"/>
    <n v="0"/>
    <n v="0"/>
    <n v="0"/>
    <n v="48"/>
    <n v="77"/>
    <m/>
    <s v=""/>
    <n v="7"/>
    <n v="2018"/>
    <n v="77"/>
    <n v="2021"/>
    <s v=""/>
    <n v="77"/>
    <n v="77"/>
    <s v="Increasing"/>
    <n v="3.0407746470616726E-2"/>
    <n v="4.0299906228893123E-2"/>
    <n v="0"/>
    <n v="0"/>
    <n v="0"/>
    <n v="3.5284459163855038E-4"/>
    <n v="3.5233629150079088E-3"/>
    <n v="3.5233629150079088E-3"/>
  </r>
  <r>
    <x v="32"/>
    <x v="32"/>
    <n v="170075938.5"/>
    <x v="2"/>
    <n v="0"/>
    <n v="174726123.50000006"/>
    <n v="0"/>
    <m/>
    <n v="0"/>
    <m/>
    <n v="0"/>
    <m/>
    <n v="311"/>
    <m/>
    <n v="0"/>
    <n v="198387623.50000006"/>
    <n v="0"/>
    <n v="14645"/>
    <m/>
    <n v="0"/>
    <m/>
    <n v="0"/>
    <m/>
    <n v="0"/>
    <n v="218541211.50000003"/>
    <n v="0"/>
    <n v="14645"/>
    <n v="0"/>
    <n v="311"/>
    <n v="0"/>
    <m/>
    <s v=""/>
    <n v="14645"/>
    <s v="2018 (triag)"/>
    <n v="14645"/>
    <s v="2018 (triag)"/>
    <s v=""/>
    <n v="14645"/>
    <n v="14645"/>
    <s v="No change"/>
    <n v="3.0407746470616726E-2"/>
    <n v="4.0299906228893123E-2"/>
    <n v="12579.396132405278"/>
    <n v="16527.054403795188"/>
    <n v="0"/>
    <n v="0.73820129207808149"/>
    <n v="0.6701253232505302"/>
    <n v="0.6701253232505302"/>
  </r>
  <r>
    <x v="32"/>
    <x v="32"/>
    <n v="170075939.5"/>
    <x v="3"/>
    <n v="0"/>
    <n v="174726123.50000006"/>
    <n v="0"/>
    <m/>
    <n v="0"/>
    <m/>
    <n v="0"/>
    <m/>
    <n v="0"/>
    <m/>
    <n v="0"/>
    <n v="198387623.50000006"/>
    <n v="0"/>
    <n v="0"/>
    <m/>
    <n v="0"/>
    <m/>
    <n v="0"/>
    <m/>
    <n v="0"/>
    <n v="218541211.50000003"/>
    <n v="0"/>
    <n v="0"/>
    <n v="0"/>
    <n v="0"/>
    <n v="0"/>
    <m/>
    <s v=""/>
    <m/>
    <s v=""/>
    <n v="0"/>
    <s v=""/>
    <s v=""/>
    <m/>
    <n v="0"/>
    <s v="No change"/>
    <n v="3.0407746470616726E-2"/>
    <n v="4.0299906228893123E-2"/>
    <n v="0"/>
    <n v="0"/>
    <n v="0"/>
    <n v="0"/>
    <n v="0"/>
    <n v="0"/>
  </r>
  <r>
    <x v="32"/>
    <x v="32"/>
    <n v="170075940.5"/>
    <x v="4"/>
    <n v="0"/>
    <n v="174726123.50000006"/>
    <n v="0"/>
    <m/>
    <n v="0"/>
    <m/>
    <n v="0"/>
    <m/>
    <n v="0"/>
    <m/>
    <n v="0"/>
    <n v="198387623.50000006"/>
    <n v="0"/>
    <n v="0"/>
    <m/>
    <n v="0"/>
    <m/>
    <n v="0"/>
    <m/>
    <n v="0"/>
    <n v="218541211.50000003"/>
    <n v="0"/>
    <n v="0"/>
    <n v="0"/>
    <n v="0"/>
    <n v="0"/>
    <m/>
    <s v=""/>
    <m/>
    <s v=""/>
    <n v="0"/>
    <s v=""/>
    <s v=""/>
    <m/>
    <n v="0"/>
    <s v="No change"/>
    <n v="3.0407746470616726E-2"/>
    <n v="4.0299906228893123E-2"/>
    <n v="0"/>
    <n v="0"/>
    <n v="0"/>
    <n v="0"/>
    <n v="0"/>
    <n v="0"/>
  </r>
  <r>
    <x v="32"/>
    <x v="32"/>
    <n v="170075941.5"/>
    <x v="5"/>
    <n v="0"/>
    <n v="174726123.50000006"/>
    <n v="0"/>
    <m/>
    <n v="0"/>
    <m/>
    <n v="0"/>
    <m/>
    <n v="0"/>
    <m/>
    <n v="0"/>
    <n v="198387623.50000006"/>
    <n v="6165"/>
    <n v="6165"/>
    <m/>
    <n v="7"/>
    <m/>
    <n v="0"/>
    <m/>
    <n v="48589"/>
    <n v="218541211.50000003"/>
    <n v="280"/>
    <n v="0"/>
    <n v="0"/>
    <n v="6165"/>
    <n v="48589"/>
    <m/>
    <s v=""/>
    <n v="6165"/>
    <n v="2018"/>
    <n v="280"/>
    <n v="2022"/>
    <s v="Adjust"/>
    <n v="321.80362040971625"/>
    <n v="6165"/>
    <s v="Decreasing"/>
    <n v="3.0407746470616726E-2"/>
    <n v="4.0299906228893123E-2"/>
    <n v="0"/>
    <n v="0"/>
    <n v="0"/>
    <n v="0.3107552724930947"/>
    <n v="1.4725077169699693E-2"/>
    <n v="0.28209782300030856"/>
  </r>
  <r>
    <x v="32"/>
    <x v="32"/>
    <n v="170075942.5"/>
    <x v="6"/>
    <n v="0"/>
    <n v="174726123.50000006"/>
    <n v="0"/>
    <m/>
    <n v="0"/>
    <m/>
    <n v="0"/>
    <m/>
    <n v="0"/>
    <m/>
    <n v="0"/>
    <n v="198387623.50000006"/>
    <n v="26677"/>
    <n v="26677"/>
    <m/>
    <n v="26677"/>
    <m/>
    <n v="0"/>
    <m/>
    <n v="37181"/>
    <n v="218541211.50000003"/>
    <n v="36833"/>
    <n v="0"/>
    <n v="0"/>
    <n v="26677"/>
    <n v="37181"/>
    <m/>
    <s v=""/>
    <n v="26677"/>
    <n v="2018"/>
    <n v="36833"/>
    <n v="2022"/>
    <s v=""/>
    <n v="36833"/>
    <n v="36833"/>
    <s v="Increasing"/>
    <n v="3.0407746470616726E-2"/>
    <n v="4.0299906228893123E-2"/>
    <n v="0"/>
    <n v="0"/>
    <n v="0"/>
    <n v="1.3446907387345155"/>
    <n v="1.6854029382920299"/>
    <n v="1.6854029382920299"/>
  </r>
  <r>
    <x v="32"/>
    <x v="32"/>
    <n v="170075943.5"/>
    <x v="7"/>
    <n v="0"/>
    <n v="174726123.50000006"/>
    <n v="0"/>
    <m/>
    <n v="0"/>
    <m/>
    <n v="0"/>
    <m/>
    <n v="0"/>
    <m/>
    <n v="0"/>
    <n v="198387623.50000006"/>
    <n v="0"/>
    <n v="0"/>
    <m/>
    <n v="0"/>
    <m/>
    <n v="0"/>
    <m/>
    <n v="0"/>
    <n v="218541211.50000003"/>
    <n v="0"/>
    <n v="0"/>
    <n v="0"/>
    <n v="0"/>
    <n v="0"/>
    <m/>
    <s v=""/>
    <m/>
    <s v=""/>
    <n v="0"/>
    <s v=""/>
    <s v=""/>
    <m/>
    <n v="0"/>
    <s v="No change"/>
    <n v="3.0407746470616726E-2"/>
    <n v="4.0299906228893123E-2"/>
    <n v="0"/>
    <n v="0"/>
    <n v="0"/>
    <n v="0"/>
    <n v="0"/>
    <n v="0"/>
  </r>
  <r>
    <x v="32"/>
    <x v="32"/>
    <n v="170075944.5"/>
    <x v="8"/>
    <n v="0"/>
    <n v="174726123.50000006"/>
    <n v="0"/>
    <m/>
    <n v="0"/>
    <m/>
    <n v="0"/>
    <m/>
    <n v="0"/>
    <m/>
    <n v="0"/>
    <n v="198387623.50000006"/>
    <n v="2578"/>
    <n v="2648"/>
    <m/>
    <n v="369"/>
    <m/>
    <n v="0"/>
    <m/>
    <n v="0"/>
    <n v="218541211.50000003"/>
    <n v="4262"/>
    <n v="2648"/>
    <n v="0"/>
    <n v="2578"/>
    <n v="4262"/>
    <m/>
    <s v=""/>
    <n v="2648"/>
    <s v="2018 (triag)"/>
    <n v="4262"/>
    <n v="2022"/>
    <s v=""/>
    <n v="4262"/>
    <n v="4262"/>
    <s v="Increasing"/>
    <n v="3.0407746470616726E-2"/>
    <n v="4.0299906228893123E-2"/>
    <n v="2274.5128684608521"/>
    <n v="2988.2990823659716"/>
    <n v="0"/>
    <n v="0.13347606837984019"/>
    <n v="0.19502042524368451"/>
    <n v="0.19502042524368451"/>
  </r>
  <r>
    <x v="32"/>
    <x v="32"/>
    <n v="170075945.5"/>
    <x v="9"/>
    <n v="0"/>
    <n v="174726123.50000006"/>
    <n v="0"/>
    <m/>
    <n v="0"/>
    <m/>
    <n v="0"/>
    <m/>
    <n v="0"/>
    <m/>
    <n v="0"/>
    <n v="198387623.50000006"/>
    <n v="0"/>
    <n v="34393"/>
    <m/>
    <n v="27247"/>
    <m/>
    <n v="0"/>
    <m/>
    <n v="0"/>
    <n v="218541211.50000003"/>
    <n v="0"/>
    <n v="34393"/>
    <n v="0"/>
    <n v="27247"/>
    <n v="0"/>
    <m/>
    <s v=""/>
    <n v="34393"/>
    <s v="2018 (triag)"/>
    <n v="27247"/>
    <s v="2018 (triag)"/>
    <s v="Adjust"/>
    <n v="31314.940161798353"/>
    <n v="34393"/>
    <s v="Decreasing"/>
    <n v="3.0407746470616726E-2"/>
    <n v="4.0299906228893123E-2"/>
    <n v="29542.039684657884"/>
    <n v="38812.904206877967"/>
    <n v="0"/>
    <n v="1.7336262914606662"/>
    <n v="1.4329077772957413"/>
    <n v="1.5737535160502207"/>
  </r>
  <r>
    <x v="32"/>
    <x v="32"/>
    <n v="170075946.5"/>
    <x v="10"/>
    <n v="0"/>
    <n v="174726123.50000006"/>
    <n v="0"/>
    <m/>
    <n v="0"/>
    <m/>
    <n v="0"/>
    <m/>
    <n v="0"/>
    <m/>
    <n v="0"/>
    <n v="198387623.50000006"/>
    <n v="4626"/>
    <n v="5371"/>
    <m/>
    <n v="4429"/>
    <m/>
    <n v="0"/>
    <m/>
    <n v="5485"/>
    <n v="218541211.50000003"/>
    <n v="5632"/>
    <n v="5371"/>
    <n v="0"/>
    <n v="4626"/>
    <n v="5632"/>
    <m/>
    <s v=""/>
    <n v="5371"/>
    <s v="2018 (triag)"/>
    <n v="5632"/>
    <n v="2022"/>
    <s v=""/>
    <n v="5632"/>
    <n v="5632"/>
    <s v="Increasing"/>
    <n v="3.0407746470616726E-2"/>
    <n v="4.0299906228893123E-2"/>
    <n v="4613.4473627278085"/>
    <n v="6061.2365450859643"/>
    <n v="0"/>
    <n v="0.27073261452723629"/>
    <n v="0.25770883035486419"/>
    <n v="0.25770883035486419"/>
  </r>
  <r>
    <x v="32"/>
    <x v="32"/>
    <n v="170075947.5"/>
    <x v="11"/>
    <n v="0"/>
    <n v="174726123.50000006"/>
    <n v="0"/>
    <m/>
    <n v="0"/>
    <m/>
    <n v="0"/>
    <m/>
    <n v="0"/>
    <m/>
    <n v="0"/>
    <n v="198387623.50000006"/>
    <n v="0"/>
    <n v="0"/>
    <m/>
    <n v="0"/>
    <m/>
    <n v="0"/>
    <m/>
    <n v="0"/>
    <n v="218541211.50000003"/>
    <n v="0"/>
    <n v="0"/>
    <n v="0"/>
    <n v="0"/>
    <n v="0"/>
    <m/>
    <s v=""/>
    <m/>
    <s v=""/>
    <n v="0"/>
    <s v=""/>
    <s v=""/>
    <m/>
    <n v="0"/>
    <s v="No change"/>
    <n v="3.0407746470616726E-2"/>
    <n v="4.0299906228893123E-2"/>
    <n v="0"/>
    <n v="0"/>
    <n v="0"/>
    <n v="0"/>
    <n v="0"/>
    <n v="0"/>
  </r>
  <r>
    <x v="32"/>
    <x v="32"/>
    <n v="170075948.5"/>
    <x v="12"/>
    <n v="0"/>
    <n v="174726123.50000006"/>
    <n v="0"/>
    <m/>
    <n v="0"/>
    <m/>
    <n v="0"/>
    <m/>
    <n v="0"/>
    <m/>
    <n v="0"/>
    <n v="198387623.50000006"/>
    <n v="0"/>
    <n v="3919"/>
    <m/>
    <n v="0"/>
    <m/>
    <n v="0"/>
    <m/>
    <n v="0"/>
    <n v="218541211.50000003"/>
    <n v="0"/>
    <n v="3919"/>
    <n v="0"/>
    <n v="0"/>
    <n v="0"/>
    <m/>
    <s v=""/>
    <n v="3919"/>
    <s v="2018 (triag)"/>
    <n v="3919"/>
    <s v="2018 (triag)"/>
    <s v=""/>
    <n v="3919"/>
    <n v="3919"/>
    <s v="No change"/>
    <n v="3.0407746470616726E-2"/>
    <n v="4.0299906228893123E-2"/>
    <n v="3366.2446871216307"/>
    <n v="4422.6375014321156"/>
    <n v="0"/>
    <n v="0.19754256494735412"/>
    <n v="0.17932544498592201"/>
    <n v="0.17932544498592201"/>
  </r>
  <r>
    <x v="32"/>
    <x v="32"/>
    <n v="170075949.5"/>
    <x v="13"/>
    <n v="0"/>
    <n v="174726123.50000006"/>
    <n v="0"/>
    <m/>
    <n v="0"/>
    <m/>
    <n v="0"/>
    <m/>
    <n v="0"/>
    <m/>
    <n v="0"/>
    <n v="198387623.50000006"/>
    <n v="29246"/>
    <n v="311269"/>
    <m/>
    <n v="29803"/>
    <m/>
    <n v="0"/>
    <m/>
    <n v="34554"/>
    <n v="218541211.50000003"/>
    <n v="38712"/>
    <n v="311269"/>
    <n v="0"/>
    <n v="29803"/>
    <n v="38712"/>
    <m/>
    <s v=""/>
    <n v="311269"/>
    <s v="2018 (triag)"/>
    <n v="38712"/>
    <n v="2022"/>
    <s v="Adjust"/>
    <n v="44491.649118931913"/>
    <n v="311269"/>
    <s v="Decreasing"/>
    <n v="3.0407746470616726E-2"/>
    <n v="4.0299906228893123E-2"/>
    <n v="267366.06724053662"/>
    <n v="351270.72019221057"/>
    <n v="0"/>
    <n v="15.689940456391419"/>
    <n v="2.0358470978336234"/>
    <n v="14.243034431059698"/>
  </r>
  <r>
    <x v="32"/>
    <x v="32"/>
    <n v="170075950.5"/>
    <x v="14"/>
    <n v="0"/>
    <n v="174726123.50000006"/>
    <n v="0"/>
    <m/>
    <n v="0"/>
    <m/>
    <n v="0"/>
    <m/>
    <n v="0"/>
    <m/>
    <n v="0"/>
    <n v="198387623.50000006"/>
    <n v="0"/>
    <n v="30"/>
    <m/>
    <n v="0"/>
    <m/>
    <n v="0"/>
    <m/>
    <n v="0"/>
    <n v="218541211.50000003"/>
    <n v="0"/>
    <n v="30"/>
    <n v="0"/>
    <n v="0"/>
    <n v="0"/>
    <m/>
    <s v=""/>
    <n v="30"/>
    <s v="2018 (triag)"/>
    <n v="30"/>
    <s v="2018 (triag)"/>
    <s v=""/>
    <n v="30"/>
    <n v="30"/>
    <s v="No change"/>
    <n v="3.0407746470616726E-2"/>
    <n v="4.0299906228893123E-2"/>
    <n v="25.768650322441676"/>
    <n v="33.855352141608442"/>
    <n v="0"/>
    <n v="1.5121911070223588E-3"/>
    <n v="1.3727387980550293E-3"/>
    <n v="1.3727387980550293E-3"/>
  </r>
  <r>
    <x v="32"/>
    <x v="32"/>
    <n v="170075951.5"/>
    <x v="15"/>
    <n v="0"/>
    <n v="174726123.50000006"/>
    <n v="0"/>
    <m/>
    <n v="0"/>
    <m/>
    <n v="0"/>
    <m/>
    <n v="0"/>
    <m/>
    <n v="0"/>
    <n v="198387623.50000006"/>
    <n v="5153"/>
    <n v="15823"/>
    <m/>
    <n v="5089"/>
    <m/>
    <n v="0"/>
    <m/>
    <n v="0"/>
    <n v="218541211.50000003"/>
    <n v="6479"/>
    <n v="15823"/>
    <n v="0"/>
    <n v="5153"/>
    <n v="6479"/>
    <m/>
    <s v=""/>
    <n v="15823"/>
    <s v="2018 (triag)"/>
    <n v="6479"/>
    <n v="2022"/>
    <s v="Adjust"/>
    <n v="7446.3059165519699"/>
    <n v="15823"/>
    <s v="Decreasing"/>
    <n v="3.0407746470616726E-2"/>
    <n v="4.0299906228893123E-2"/>
    <n v="13591.245135066489"/>
    <n v="17856.441231222347"/>
    <n v="0"/>
    <n v="0.79757999621382603"/>
    <n v="0.34072776779458686"/>
    <n v="0.72402820005415769"/>
  </r>
  <r>
    <x v="32"/>
    <x v="32"/>
    <n v="170075952.5"/>
    <x v="16"/>
    <n v="0"/>
    <n v="174726123.50000006"/>
    <n v="68565"/>
    <m/>
    <n v="0"/>
    <m/>
    <n v="0"/>
    <m/>
    <n v="0"/>
    <m/>
    <n v="0"/>
    <n v="198387623.50000006"/>
    <n v="0"/>
    <n v="0"/>
    <m/>
    <n v="0"/>
    <m/>
    <n v="0"/>
    <m/>
    <n v="0"/>
    <n v="218541211.50000003"/>
    <n v="0"/>
    <n v="0"/>
    <n v="68565"/>
    <n v="0"/>
    <n v="0"/>
    <n v="68565"/>
    <n v="2013"/>
    <m/>
    <s v=""/>
    <n v="0"/>
    <s v=""/>
    <s v=""/>
    <m/>
    <n v="0"/>
    <s v="No change"/>
    <n v="3.0407746470616726E-2"/>
    <n v="4.0299906228893123E-2"/>
    <n v="0"/>
    <n v="0"/>
    <n v="3.9241413147931468"/>
    <n v="0"/>
    <n v="0"/>
    <n v="0"/>
  </r>
  <r>
    <x v="32"/>
    <x v="32"/>
    <n v="170075953.5"/>
    <x v="17"/>
    <n v="0"/>
    <n v="174726123.50000006"/>
    <n v="0"/>
    <m/>
    <n v="0"/>
    <m/>
    <n v="0"/>
    <m/>
    <n v="0"/>
    <m/>
    <n v="0"/>
    <n v="198387623.50000006"/>
    <n v="56"/>
    <n v="56"/>
    <m/>
    <n v="79"/>
    <m/>
    <n v="0"/>
    <m/>
    <n v="0"/>
    <n v="218541211.50000003"/>
    <n v="168"/>
    <n v="0"/>
    <n v="0"/>
    <n v="79"/>
    <n v="168"/>
    <m/>
    <s v=""/>
    <n v="56"/>
    <n v="2018"/>
    <n v="168"/>
    <n v="2022"/>
    <s v=""/>
    <n v="168"/>
    <n v="168"/>
    <s v="Increasing"/>
    <n v="3.0407746470616726E-2"/>
    <n v="4.0299906228893123E-2"/>
    <n v="0"/>
    <n v="0"/>
    <n v="0"/>
    <n v="2.822756733108403E-3"/>
    <n v="7.6873372691081644E-3"/>
    <n v="7.6873372691081644E-3"/>
  </r>
  <r>
    <x v="32"/>
    <x v="32"/>
    <n v="170075954.5"/>
    <x v="18"/>
    <n v="0"/>
    <n v="174726123.50000006"/>
    <n v="262512"/>
    <m/>
    <n v="0"/>
    <m/>
    <n v="0"/>
    <m/>
    <n v="0"/>
    <m/>
    <n v="0"/>
    <n v="198387623.50000006"/>
    <n v="0"/>
    <n v="0"/>
    <m/>
    <n v="32"/>
    <m/>
    <n v="0"/>
    <m/>
    <n v="0"/>
    <n v="218541211.50000003"/>
    <n v="0"/>
    <n v="0"/>
    <n v="262512"/>
    <n v="32"/>
    <n v="0"/>
    <n v="262512"/>
    <n v="2013"/>
    <n v="32"/>
    <n v="2019"/>
    <n v="32"/>
    <n v="2019"/>
    <s v=""/>
    <n v="32"/>
    <n v="32"/>
    <s v="No change"/>
    <n v="3.0407746470616726E-2"/>
    <n v="4.0299906228893123E-2"/>
    <n v="0"/>
    <n v="0"/>
    <n v="15.024198714052046"/>
    <n v="1.6130038474905159E-3"/>
    <n v="1.4642547179253647E-3"/>
    <n v="1.4642547179253647E-3"/>
  </r>
  <r>
    <x v="33"/>
    <x v="33"/>
    <n v="10840339"/>
    <x v="0"/>
    <n v="0"/>
    <n v="11101349.499999996"/>
    <n v="0"/>
    <m/>
    <n v="0"/>
    <m/>
    <n v="0"/>
    <m/>
    <n v="0"/>
    <m/>
    <n v="0"/>
    <n v="12531807.499999998"/>
    <n v="45000"/>
    <n v="45000"/>
    <m/>
    <n v="0"/>
    <m/>
    <n v="58567"/>
    <m/>
    <n v="0"/>
    <n v="13776697.499999994"/>
    <n v="0"/>
    <n v="45000"/>
    <n v="0"/>
    <n v="45000"/>
    <n v="58567"/>
    <m/>
    <s v=""/>
    <n v="45000"/>
    <n v="2018"/>
    <n v="58567"/>
    <n v="2020"/>
    <s v=""/>
    <n v="58567"/>
    <n v="58567"/>
    <s v="Increasing"/>
    <n v="-1.4357349923836749E-2"/>
    <n v="0.17354491154631502"/>
    <n v="48349.178902623345"/>
    <n v="75739.303341807521"/>
    <n v="0"/>
    <n v="35.908626907969982"/>
    <n v="42.511639672715482"/>
    <n v="42.511639672715482"/>
  </r>
  <r>
    <x v="33"/>
    <x v="33"/>
    <n v="10840340"/>
    <x v="1"/>
    <n v="0"/>
    <n v="11101349.499999996"/>
    <n v="0"/>
    <m/>
    <n v="0"/>
    <m/>
    <n v="0"/>
    <m/>
    <n v="0"/>
    <m/>
    <n v="0"/>
    <n v="12531807.499999998"/>
    <n v="0"/>
    <n v="0"/>
    <m/>
    <n v="0"/>
    <m/>
    <n v="0"/>
    <m/>
    <n v="207"/>
    <n v="13776697.499999994"/>
    <n v="0"/>
    <n v="0"/>
    <n v="0"/>
    <n v="0"/>
    <n v="207"/>
    <m/>
    <s v=""/>
    <m/>
    <s v=""/>
    <n v="207"/>
    <n v="2021"/>
    <s v=""/>
    <n v="207"/>
    <n v="224"/>
    <s v="Increasing"/>
    <n v="-1.4357349923836749E-2"/>
    <n v="0.17354491154631502"/>
    <n v="0"/>
    <n v="0"/>
    <n v="0"/>
    <n v="0"/>
    <n v="0.15025371646579311"/>
    <n v="0.16259339366346695"/>
  </r>
  <r>
    <x v="33"/>
    <x v="33"/>
    <n v="10840341"/>
    <x v="2"/>
    <n v="0"/>
    <n v="11101349.499999996"/>
    <n v="0"/>
    <m/>
    <n v="0"/>
    <m/>
    <n v="0"/>
    <m/>
    <n v="0"/>
    <m/>
    <n v="0"/>
    <n v="12531807.499999998"/>
    <n v="0"/>
    <n v="0"/>
    <m/>
    <n v="0"/>
    <m/>
    <n v="0"/>
    <m/>
    <n v="226"/>
    <n v="13776697.499999994"/>
    <n v="0"/>
    <n v="0"/>
    <n v="0"/>
    <n v="0"/>
    <n v="226"/>
    <m/>
    <s v=""/>
    <m/>
    <s v=""/>
    <n v="226"/>
    <n v="2021"/>
    <s v=""/>
    <n v="226"/>
    <n v="226"/>
    <s v="Increasing"/>
    <n v="-1.4357349923836749E-2"/>
    <n v="0.17354491154631502"/>
    <n v="0"/>
    <n v="0"/>
    <n v="0"/>
    <n v="0"/>
    <n v="0.16404512039260505"/>
    <n v="0.16404512039260505"/>
  </r>
  <r>
    <x v="33"/>
    <x v="33"/>
    <n v="10840342"/>
    <x v="3"/>
    <n v="0"/>
    <n v="11101349.499999996"/>
    <n v="0"/>
    <m/>
    <n v="0"/>
    <m/>
    <n v="0"/>
    <m/>
    <n v="0"/>
    <m/>
    <n v="0"/>
    <n v="12531807.499999998"/>
    <n v="0"/>
    <n v="0"/>
    <m/>
    <n v="0"/>
    <m/>
    <n v="0"/>
    <m/>
    <n v="0"/>
    <n v="13776697.499999994"/>
    <n v="0"/>
    <n v="0"/>
    <n v="0"/>
    <n v="0"/>
    <n v="0"/>
    <m/>
    <s v=""/>
    <m/>
    <s v=""/>
    <n v="0"/>
    <s v=""/>
    <s v=""/>
    <m/>
    <n v="0"/>
    <s v="No change"/>
    <n v="-1.4357349923836749E-2"/>
    <n v="0.17354491154631502"/>
    <n v="0"/>
    <n v="0"/>
    <n v="0"/>
    <n v="0"/>
    <n v="0"/>
    <n v="0"/>
  </r>
  <r>
    <x v="33"/>
    <x v="33"/>
    <n v="10840343"/>
    <x v="4"/>
    <n v="0"/>
    <n v="11101349.499999996"/>
    <n v="0"/>
    <m/>
    <n v="0"/>
    <m/>
    <n v="0"/>
    <m/>
    <n v="0"/>
    <m/>
    <n v="0"/>
    <n v="12531807.499999998"/>
    <n v="0"/>
    <n v="0"/>
    <m/>
    <n v="0"/>
    <m/>
    <n v="0"/>
    <m/>
    <n v="0"/>
    <n v="13776697.499999994"/>
    <n v="0"/>
    <n v="0"/>
    <n v="0"/>
    <n v="0"/>
    <n v="0"/>
    <m/>
    <s v=""/>
    <m/>
    <s v=""/>
    <n v="0"/>
    <s v=""/>
    <s v=""/>
    <m/>
    <n v="0"/>
    <s v="No change"/>
    <n v="-1.4357349923836749E-2"/>
    <n v="0.17354491154631502"/>
    <n v="0"/>
    <n v="0"/>
    <n v="0"/>
    <n v="0"/>
    <n v="0"/>
    <n v="0"/>
  </r>
  <r>
    <x v="33"/>
    <x v="33"/>
    <n v="10840344"/>
    <x v="5"/>
    <n v="0"/>
    <n v="11101349.499999996"/>
    <n v="0"/>
    <m/>
    <n v="0"/>
    <m/>
    <n v="23"/>
    <m/>
    <n v="0"/>
    <m/>
    <n v="0"/>
    <n v="12531807.499999998"/>
    <n v="0"/>
    <n v="0"/>
    <m/>
    <n v="0"/>
    <m/>
    <n v="0"/>
    <m/>
    <n v="0"/>
    <n v="13776697.499999994"/>
    <n v="0"/>
    <n v="0"/>
    <n v="23"/>
    <n v="0"/>
    <n v="0"/>
    <n v="23"/>
    <n v="2015"/>
    <m/>
    <s v=""/>
    <n v="0"/>
    <s v=""/>
    <s v=""/>
    <m/>
    <n v="0"/>
    <s v="No change"/>
    <n v="-1.4357349923836749E-2"/>
    <n v="0.17354491154631502"/>
    <n v="0"/>
    <n v="0"/>
    <n v="2.0718201872664228E-2"/>
    <n v="0"/>
    <n v="0"/>
    <n v="0"/>
  </r>
  <r>
    <x v="33"/>
    <x v="33"/>
    <n v="10840345"/>
    <x v="6"/>
    <n v="0"/>
    <n v="11101349.499999996"/>
    <n v="0"/>
    <m/>
    <n v="0"/>
    <m/>
    <n v="0"/>
    <m/>
    <n v="0"/>
    <m/>
    <n v="0"/>
    <n v="12531807.499999998"/>
    <n v="1990"/>
    <n v="1990"/>
    <m/>
    <n v="0"/>
    <m/>
    <n v="0"/>
    <m/>
    <n v="0"/>
    <n v="13776697.499999994"/>
    <n v="0"/>
    <n v="321"/>
    <n v="0"/>
    <n v="1990"/>
    <n v="0"/>
    <m/>
    <s v=""/>
    <n v="1990"/>
    <n v="2018"/>
    <n v="1990"/>
    <n v="2018"/>
    <s v=""/>
    <n v="1990"/>
    <n v="1990"/>
    <s v="No change"/>
    <n v="-1.4357349923836749E-2"/>
    <n v="0.17354491154631502"/>
    <n v="344.89080950537988"/>
    <n v="540.27369717156034"/>
    <n v="0"/>
    <n v="1.587959278819117"/>
    <n v="1.4444680954924072"/>
    <n v="1.4444680954924072"/>
  </r>
  <r>
    <x v="33"/>
    <x v="33"/>
    <n v="10840346"/>
    <x v="7"/>
    <n v="0"/>
    <n v="11101349.499999996"/>
    <n v="0"/>
    <m/>
    <n v="0"/>
    <m/>
    <n v="0"/>
    <m/>
    <n v="0"/>
    <m/>
    <n v="0"/>
    <n v="12531807.499999998"/>
    <n v="0"/>
    <n v="0"/>
    <m/>
    <n v="0"/>
    <m/>
    <n v="0"/>
    <m/>
    <n v="0"/>
    <n v="13776697.499999994"/>
    <n v="0"/>
    <n v="0"/>
    <n v="0"/>
    <n v="0"/>
    <n v="0"/>
    <m/>
    <s v=""/>
    <m/>
    <s v=""/>
    <n v="0"/>
    <s v=""/>
    <s v=""/>
    <m/>
    <n v="0"/>
    <s v="No change"/>
    <n v="-1.4357349923836749E-2"/>
    <n v="0.17354491154631502"/>
    <n v="0"/>
    <n v="0"/>
    <n v="0"/>
    <n v="0"/>
    <n v="0"/>
    <n v="0"/>
  </r>
  <r>
    <x v="33"/>
    <x v="33"/>
    <n v="10840347"/>
    <x v="8"/>
    <n v="0"/>
    <n v="11101349.499999996"/>
    <n v="0"/>
    <m/>
    <n v="0"/>
    <m/>
    <n v="116"/>
    <m/>
    <n v="0"/>
    <m/>
    <n v="0"/>
    <n v="12531807.499999998"/>
    <n v="152"/>
    <n v="152"/>
    <m/>
    <n v="0"/>
    <m/>
    <n v="0"/>
    <m/>
    <n v="0"/>
    <n v="13776697.499999994"/>
    <n v="0"/>
    <n v="0"/>
    <n v="116"/>
    <n v="152"/>
    <n v="0"/>
    <n v="116"/>
    <n v="2015"/>
    <n v="152"/>
    <n v="2018"/>
    <n v="152"/>
    <n v="2018"/>
    <s v=""/>
    <n v="152"/>
    <n v="152"/>
    <s v="No change"/>
    <n v="-1.4357349923836749E-2"/>
    <n v="0.17354491154631502"/>
    <n v="0"/>
    <n v="0"/>
    <n v="0.10449180074908915"/>
    <n v="0.12129136200025417"/>
    <n v="0.11033123141449543"/>
    <n v="0.11033123141449543"/>
  </r>
  <r>
    <x v="33"/>
    <x v="33"/>
    <n v="10840348"/>
    <x v="9"/>
    <n v="0"/>
    <n v="11101349.499999996"/>
    <n v="0"/>
    <m/>
    <n v="0"/>
    <m/>
    <n v="0"/>
    <m/>
    <n v="0"/>
    <m/>
    <n v="0"/>
    <n v="12531807.499999998"/>
    <n v="0"/>
    <n v="0"/>
    <m/>
    <n v="0"/>
    <m/>
    <n v="0"/>
    <m/>
    <n v="0"/>
    <n v="13776697.499999994"/>
    <n v="0"/>
    <n v="0"/>
    <n v="0"/>
    <n v="0"/>
    <n v="0"/>
    <m/>
    <s v=""/>
    <m/>
    <s v=""/>
    <n v="0"/>
    <s v=""/>
    <s v=""/>
    <m/>
    <n v="0"/>
    <s v="No change"/>
    <n v="-1.4357349923836749E-2"/>
    <n v="0.17354491154631502"/>
    <n v="0"/>
    <n v="0"/>
    <n v="0"/>
    <n v="0"/>
    <n v="0"/>
    <n v="0"/>
  </r>
  <r>
    <x v="33"/>
    <x v="33"/>
    <n v="10840349"/>
    <x v="10"/>
    <n v="0"/>
    <n v="11101349.499999996"/>
    <n v="0"/>
    <m/>
    <n v="0"/>
    <m/>
    <n v="0"/>
    <m/>
    <n v="0"/>
    <m/>
    <n v="0"/>
    <n v="12531807.499999998"/>
    <n v="13"/>
    <n v="13"/>
    <m/>
    <n v="0"/>
    <m/>
    <n v="0"/>
    <m/>
    <n v="0"/>
    <n v="13776697.499999994"/>
    <n v="0"/>
    <n v="0"/>
    <n v="0"/>
    <n v="13"/>
    <n v="0"/>
    <m/>
    <s v=""/>
    <n v="13"/>
    <n v="2018"/>
    <n v="13"/>
    <n v="2018"/>
    <s v=""/>
    <n v="13"/>
    <n v="103"/>
    <s v="No change"/>
    <n v="-1.4357349923836749E-2"/>
    <n v="0.17354491154631502"/>
    <n v="0"/>
    <n v="0"/>
    <n v="0"/>
    <n v="1.0373603328969108E-2"/>
    <n v="9.4362237393976357E-3"/>
    <n v="7.4763926550612037E-2"/>
  </r>
  <r>
    <x v="33"/>
    <x v="33"/>
    <n v="10840350"/>
    <x v="11"/>
    <n v="0"/>
    <n v="11101349.499999996"/>
    <n v="0"/>
    <m/>
    <n v="0"/>
    <m/>
    <n v="0"/>
    <m/>
    <n v="0"/>
    <m/>
    <n v="0"/>
    <n v="12531807.499999998"/>
    <n v="0"/>
    <n v="0"/>
    <m/>
    <n v="0"/>
    <m/>
    <n v="0"/>
    <m/>
    <n v="0"/>
    <n v="13776697.499999994"/>
    <n v="0"/>
    <n v="0"/>
    <n v="0"/>
    <n v="0"/>
    <n v="0"/>
    <m/>
    <s v=""/>
    <m/>
    <s v=""/>
    <n v="0"/>
    <s v=""/>
    <s v=""/>
    <m/>
    <n v="0"/>
    <s v="No change"/>
    <n v="-1.4357349923836749E-2"/>
    <n v="0.17354491154631502"/>
    <n v="0"/>
    <n v="0"/>
    <n v="0"/>
    <n v="0"/>
    <n v="0"/>
    <n v="0"/>
  </r>
  <r>
    <x v="33"/>
    <x v="33"/>
    <n v="10840351"/>
    <x v="12"/>
    <n v="0"/>
    <n v="11101349.499999996"/>
    <n v="0"/>
    <m/>
    <n v="0"/>
    <m/>
    <n v="0"/>
    <m/>
    <n v="0"/>
    <m/>
    <n v="0"/>
    <n v="12531807.499999998"/>
    <n v="0"/>
    <n v="0"/>
    <m/>
    <n v="0"/>
    <m/>
    <n v="0"/>
    <m/>
    <n v="0"/>
    <n v="13776697.499999994"/>
    <n v="0"/>
    <n v="0"/>
    <n v="0"/>
    <n v="0"/>
    <n v="0"/>
    <m/>
    <s v=""/>
    <m/>
    <s v=""/>
    <n v="0"/>
    <s v=""/>
    <s v=""/>
    <m/>
    <n v="0"/>
    <s v="No change"/>
    <n v="-1.4357349923836749E-2"/>
    <n v="0.17354491154631502"/>
    <n v="0"/>
    <n v="0"/>
    <n v="0"/>
    <n v="0"/>
    <n v="0"/>
    <n v="0"/>
  </r>
  <r>
    <x v="33"/>
    <x v="33"/>
    <n v="10840352"/>
    <x v="13"/>
    <n v="0"/>
    <n v="11101349.499999996"/>
    <n v="0"/>
    <m/>
    <n v="0"/>
    <m/>
    <n v="1545"/>
    <m/>
    <n v="0"/>
    <m/>
    <n v="1990"/>
    <n v="12531807.499999998"/>
    <n v="0"/>
    <n v="1990"/>
    <m/>
    <n v="0"/>
    <m/>
    <n v="0"/>
    <m/>
    <n v="0"/>
    <n v="13776697.499999994"/>
    <n v="0"/>
    <n v="1990"/>
    <n v="1545"/>
    <n v="1990"/>
    <n v="0"/>
    <n v="1545"/>
    <n v="2015"/>
    <n v="1990"/>
    <n v="2017"/>
    <n v="1990"/>
    <n v="2017"/>
    <s v=""/>
    <n v="1990"/>
    <n v="1990"/>
    <s v="No change"/>
    <n v="-1.4357349923836749E-2"/>
    <n v="0.17354491154631502"/>
    <n v="2138.1081336937877"/>
    <n v="3349.3603033377103"/>
    <n v="1.3917226910115752"/>
    <n v="1.587959278819117"/>
    <n v="1.4444680954924072"/>
    <n v="1.4444680954924072"/>
  </r>
  <r>
    <x v="33"/>
    <x v="33"/>
    <n v="10840353"/>
    <x v="14"/>
    <n v="0"/>
    <n v="11101349.499999996"/>
    <n v="0"/>
    <m/>
    <n v="0"/>
    <m/>
    <n v="0"/>
    <m/>
    <n v="0"/>
    <m/>
    <n v="0"/>
    <n v="12531807.499999998"/>
    <n v="0"/>
    <n v="0"/>
    <m/>
    <n v="0"/>
    <m/>
    <n v="0"/>
    <m/>
    <n v="0"/>
    <n v="13776697.499999994"/>
    <n v="0"/>
    <n v="0"/>
    <n v="0"/>
    <n v="0"/>
    <n v="0"/>
    <m/>
    <s v=""/>
    <m/>
    <s v=""/>
    <n v="0"/>
    <s v=""/>
    <s v=""/>
    <m/>
    <n v="0"/>
    <s v="No change"/>
    <n v="-1.4357349923836749E-2"/>
    <n v="0.17354491154631502"/>
    <n v="0"/>
    <n v="0"/>
    <n v="0"/>
    <n v="0"/>
    <n v="0"/>
    <n v="0"/>
  </r>
  <r>
    <x v="33"/>
    <x v="33"/>
    <n v="10840354"/>
    <x v="15"/>
    <n v="0"/>
    <n v="11101349.499999996"/>
    <n v="0"/>
    <m/>
    <n v="0"/>
    <m/>
    <n v="125"/>
    <m/>
    <n v="0"/>
    <m/>
    <n v="182"/>
    <n v="12531807.499999998"/>
    <n v="225"/>
    <n v="225"/>
    <m/>
    <n v="0"/>
    <m/>
    <n v="0"/>
    <m/>
    <n v="0"/>
    <n v="13776697.499999994"/>
    <n v="0"/>
    <n v="182"/>
    <n v="125"/>
    <n v="225"/>
    <n v="0"/>
    <n v="125"/>
    <n v="2015"/>
    <n v="225"/>
    <n v="2018"/>
    <n v="225"/>
    <n v="2018"/>
    <s v=""/>
    <n v="225"/>
    <n v="225"/>
    <s v="No change"/>
    <n v="-1.4357349923836749E-2"/>
    <n v="0.17354491154631502"/>
    <n v="195.54556800616552"/>
    <n v="306.32340462686597"/>
    <n v="0.11259892322100123"/>
    <n v="0.17954313453984994"/>
    <n v="0.16331925702803599"/>
    <n v="0.16331925702803599"/>
  </r>
  <r>
    <x v="33"/>
    <x v="33"/>
    <n v="10840355"/>
    <x v="16"/>
    <n v="0"/>
    <n v="11101349.499999996"/>
    <n v="0"/>
    <m/>
    <n v="0"/>
    <m/>
    <n v="886"/>
    <m/>
    <n v="0"/>
    <m/>
    <n v="0"/>
    <n v="12531807.499999998"/>
    <n v="0"/>
    <n v="0"/>
    <m/>
    <n v="0"/>
    <m/>
    <n v="0"/>
    <m/>
    <n v="0"/>
    <n v="13776697.499999994"/>
    <n v="0"/>
    <n v="0"/>
    <n v="886"/>
    <n v="0"/>
    <n v="0"/>
    <n v="886"/>
    <n v="2015"/>
    <m/>
    <s v=""/>
    <n v="0"/>
    <s v=""/>
    <s v=""/>
    <m/>
    <n v="0"/>
    <s v="No change"/>
    <n v="-1.4357349923836749E-2"/>
    <n v="0.17354491154631502"/>
    <n v="0"/>
    <n v="0"/>
    <n v="0.7981011677904567"/>
    <n v="0"/>
    <n v="0"/>
    <n v="0"/>
  </r>
  <r>
    <x v="33"/>
    <x v="33"/>
    <n v="10840356"/>
    <x v="17"/>
    <n v="0"/>
    <n v="11101349.499999996"/>
    <n v="0"/>
    <m/>
    <n v="0"/>
    <m/>
    <n v="0"/>
    <m/>
    <n v="0"/>
    <m/>
    <n v="0"/>
    <n v="12531807.499999998"/>
    <n v="0"/>
    <n v="0"/>
    <m/>
    <n v="0"/>
    <m/>
    <n v="0"/>
    <m/>
    <n v="0"/>
    <n v="13776697.499999994"/>
    <n v="0"/>
    <n v="0"/>
    <n v="0"/>
    <n v="0"/>
    <n v="0"/>
    <m/>
    <s v=""/>
    <m/>
    <s v=""/>
    <n v="0"/>
    <s v=""/>
    <s v=""/>
    <m/>
    <n v="3"/>
    <s v="No change"/>
    <n v="-1.4357349923836749E-2"/>
    <n v="0.17354491154631502"/>
    <n v="0"/>
    <n v="0"/>
    <n v="0"/>
    <n v="0"/>
    <n v="0"/>
    <n v="2.1775900937071467E-3"/>
  </r>
  <r>
    <x v="33"/>
    <x v="33"/>
    <n v="10840357"/>
    <x v="18"/>
    <n v="0"/>
    <n v="11101349.499999996"/>
    <n v="0"/>
    <m/>
    <n v="0"/>
    <m/>
    <n v="0"/>
    <m/>
    <n v="0"/>
    <m/>
    <n v="0"/>
    <n v="12531807.499999998"/>
    <n v="0"/>
    <n v="0"/>
    <m/>
    <n v="0"/>
    <m/>
    <n v="0"/>
    <m/>
    <n v="0"/>
    <n v="13776697.499999994"/>
    <n v="0"/>
    <n v="0"/>
    <n v="0"/>
    <n v="0"/>
    <n v="0"/>
    <m/>
    <s v=""/>
    <m/>
    <s v=""/>
    <n v="0"/>
    <s v=""/>
    <s v=""/>
    <m/>
    <n v="0"/>
    <s v="No change"/>
    <n v="-1.4357349923836749E-2"/>
    <n v="0.17354491154631502"/>
    <n v="0"/>
    <n v="0"/>
    <n v="0"/>
    <n v="0"/>
    <n v="0"/>
    <n v="0"/>
  </r>
  <r>
    <x v="34"/>
    <x v="34"/>
    <n v="13231838"/>
    <x v="0"/>
    <n v="0"/>
    <n v="13595565.499999993"/>
    <n v="0"/>
    <m/>
    <n v="0"/>
    <m/>
    <n v="770"/>
    <m/>
    <n v="5"/>
    <m/>
    <n v="5"/>
    <n v="15574908.999999998"/>
    <n v="17417"/>
    <n v="17417"/>
    <m/>
    <n v="1116"/>
    <m/>
    <n v="0"/>
    <m/>
    <n v="16443"/>
    <n v="17316449"/>
    <n v="18757"/>
    <n v="17417"/>
    <n v="770"/>
    <n v="17417"/>
    <n v="18757"/>
    <n v="770"/>
    <n v="2015"/>
    <n v="17417"/>
    <n v="2018"/>
    <n v="18757"/>
    <n v="2022"/>
    <s v=""/>
    <n v="18757"/>
    <n v="18757"/>
    <s v="Increasing"/>
    <n v="2.5918907427795013E-2"/>
    <n v="7.7050082831477074E-2"/>
    <n v="15299.990440750918"/>
    <n v="21946.265519138116"/>
    <n v="0.56636114180024388"/>
    <n v="11.182729863782834"/>
    <n v="10.831897463504209"/>
    <n v="10.831897463504209"/>
  </r>
  <r>
    <x v="34"/>
    <x v="34"/>
    <n v="13231839"/>
    <x v="1"/>
    <n v="0"/>
    <n v="13595565.499999993"/>
    <n v="0"/>
    <m/>
    <n v="0"/>
    <m/>
    <n v="0"/>
    <m/>
    <n v="0"/>
    <m/>
    <n v="0"/>
    <n v="15574908.999999998"/>
    <n v="0"/>
    <n v="4"/>
    <m/>
    <n v="0"/>
    <m/>
    <n v="0"/>
    <m/>
    <n v="0"/>
    <n v="17316449"/>
    <n v="0"/>
    <n v="4"/>
    <n v="0"/>
    <n v="0"/>
    <n v="0"/>
    <m/>
    <s v=""/>
    <n v="4"/>
    <s v="2018 (triag)"/>
    <n v="4"/>
    <s v="2018 (triag)"/>
    <s v=""/>
    <n v="4"/>
    <n v="4"/>
    <s v="No change"/>
    <n v="2.5918907427795013E-2"/>
    <n v="7.7050082831477074E-2"/>
    <n v="3.5138061527819757"/>
    <n v="5.0401941824971273"/>
    <n v="0"/>
    <n v="2.5682333039634456E-3"/>
    <n v="2.3099424137131117E-3"/>
    <n v="2.3099424137131117E-3"/>
  </r>
  <r>
    <x v="34"/>
    <x v="34"/>
    <n v="13231840"/>
    <x v="2"/>
    <n v="0"/>
    <n v="13595565.499999993"/>
    <n v="0"/>
    <m/>
    <n v="3518"/>
    <m/>
    <n v="0"/>
    <m/>
    <n v="0"/>
    <m/>
    <n v="0"/>
    <n v="15574908.999999998"/>
    <n v="1925"/>
    <n v="1925"/>
    <m/>
    <n v="0"/>
    <m/>
    <n v="2494"/>
    <m/>
    <n v="0"/>
    <n v="17316449"/>
    <n v="0"/>
    <n v="573"/>
    <n v="3518"/>
    <n v="1925"/>
    <n v="2494"/>
    <n v="3518"/>
    <n v="2014"/>
    <n v="1925"/>
    <n v="2018"/>
    <n v="2494"/>
    <n v="2020"/>
    <s v=""/>
    <n v="2494"/>
    <n v="2494"/>
    <s v="Increasing"/>
    <n v="2.5918907427795013E-2"/>
    <n v="7.7050082831477074E-2"/>
    <n v="503.35273138601804"/>
    <n v="722.00781664271346"/>
    <n v="2.5876084374717636"/>
    <n v="1.2359622775324082"/>
    <n v="1.4402490949501252"/>
    <n v="1.4402490949501252"/>
  </r>
  <r>
    <x v="34"/>
    <x v="34"/>
    <n v="13231841"/>
    <x v="3"/>
    <n v="0"/>
    <n v="13595565.499999993"/>
    <n v="0"/>
    <m/>
    <n v="0"/>
    <m/>
    <n v="0"/>
    <m/>
    <n v="0"/>
    <m/>
    <n v="0"/>
    <n v="15574908.999999998"/>
    <n v="0"/>
    <n v="1670"/>
    <m/>
    <n v="15422"/>
    <m/>
    <n v="0"/>
    <m/>
    <n v="949"/>
    <n v="17316449"/>
    <n v="3378"/>
    <n v="1670"/>
    <n v="0"/>
    <n v="15422"/>
    <n v="3378"/>
    <m/>
    <s v=""/>
    <n v="1670"/>
    <s v="2018 (triag)"/>
    <n v="3378"/>
    <n v="2022"/>
    <s v=""/>
    <n v="3378"/>
    <n v="3378"/>
    <s v="Increasing"/>
    <n v="2.5918907427795013E-2"/>
    <n v="7.7050082831477074E-2"/>
    <n v="1467.0140687864748"/>
    <n v="2104.2810711925508"/>
    <n v="0"/>
    <n v="1.0722374044047385"/>
    <n v="1.9507463683807229"/>
    <n v="1.9507463683807229"/>
  </r>
  <r>
    <x v="34"/>
    <x v="34"/>
    <n v="13231842"/>
    <x v="4"/>
    <n v="0"/>
    <n v="13595565.499999993"/>
    <n v="0"/>
    <m/>
    <n v="0"/>
    <m/>
    <n v="0"/>
    <m/>
    <n v="0"/>
    <m/>
    <n v="0"/>
    <n v="15574908.999999998"/>
    <n v="0"/>
    <n v="135"/>
    <m/>
    <n v="686"/>
    <m/>
    <n v="27"/>
    <m/>
    <n v="188"/>
    <n v="17316449"/>
    <n v="0"/>
    <n v="135"/>
    <n v="0"/>
    <n v="686"/>
    <n v="188"/>
    <m/>
    <s v=""/>
    <n v="135"/>
    <s v="2018 (triag)"/>
    <n v="188"/>
    <n v="2021"/>
    <s v=""/>
    <n v="188"/>
    <n v="188"/>
    <s v="Increasing"/>
    <n v="2.5918907427795013E-2"/>
    <n v="7.7050082831477074E-2"/>
    <n v="118.59095765639168"/>
    <n v="170.10655365927803"/>
    <n v="0"/>
    <n v="8.6677874008766295E-2"/>
    <n v="0.10856729344451625"/>
    <n v="0.10856729344451625"/>
  </r>
  <r>
    <x v="34"/>
    <x v="34"/>
    <n v="13231843"/>
    <x v="5"/>
    <n v="0"/>
    <n v="13595565.499999993"/>
    <n v="0"/>
    <m/>
    <n v="0"/>
    <m/>
    <n v="0"/>
    <m/>
    <n v="57"/>
    <m/>
    <n v="0"/>
    <n v="15574908.999999998"/>
    <n v="0"/>
    <n v="100"/>
    <m/>
    <n v="22"/>
    <m/>
    <n v="13"/>
    <m/>
    <n v="98"/>
    <n v="17316449"/>
    <n v="15"/>
    <n v="100"/>
    <n v="0"/>
    <n v="57"/>
    <n v="98"/>
    <m/>
    <s v=""/>
    <n v="100"/>
    <s v="2018 (triag)"/>
    <n v="15"/>
    <n v="2022"/>
    <s v="Adjust"/>
    <n v="17.556185826093202"/>
    <n v="100"/>
    <s v="Decreasing"/>
    <n v="2.5918907427795013E-2"/>
    <n v="7.7050082831477074E-2"/>
    <n v="87.845153819549395"/>
    <n v="126.00485456242818"/>
    <n v="0"/>
    <n v="6.4205832599086146E-2"/>
    <n v="1.0138444565680414E-2"/>
    <n v="5.7748560342827791E-2"/>
  </r>
  <r>
    <x v="34"/>
    <x v="34"/>
    <n v="13231844"/>
    <x v="6"/>
    <n v="0"/>
    <n v="13595565.499999993"/>
    <n v="0"/>
    <m/>
    <n v="0"/>
    <m/>
    <n v="0"/>
    <m/>
    <n v="0"/>
    <m/>
    <n v="37"/>
    <n v="15574908.999999998"/>
    <n v="328"/>
    <n v="1045"/>
    <m/>
    <n v="715"/>
    <m/>
    <n v="101"/>
    <m/>
    <n v="434"/>
    <n v="17316449"/>
    <n v="0"/>
    <n v="1045"/>
    <n v="0"/>
    <n v="715"/>
    <n v="434"/>
    <m/>
    <s v=""/>
    <n v="1045"/>
    <s v="2018 (triag)"/>
    <n v="434"/>
    <n v="2021"/>
    <s v="Adjust"/>
    <n v="507.95897656829663"/>
    <n v="1045"/>
    <s v="Decreasing"/>
    <n v="2.5918907427795013E-2"/>
    <n v="7.7050082831477074E-2"/>
    <n v="917.9818574142912"/>
    <n v="1316.7507301773744"/>
    <n v="0"/>
    <n v="0.67095095066045018"/>
    <n v="0.2933389961003533"/>
    <n v="0.60347245558255047"/>
  </r>
  <r>
    <x v="34"/>
    <x v="34"/>
    <n v="13231845"/>
    <x v="7"/>
    <n v="0"/>
    <n v="13595565.499999993"/>
    <n v="0"/>
    <m/>
    <n v="0"/>
    <m/>
    <n v="0"/>
    <m/>
    <n v="0"/>
    <m/>
    <n v="0"/>
    <n v="15574908.999999998"/>
    <n v="0"/>
    <n v="2543"/>
    <m/>
    <n v="2112"/>
    <m/>
    <n v="1482"/>
    <m/>
    <n v="0"/>
    <n v="17316449"/>
    <n v="0"/>
    <n v="2543"/>
    <n v="0"/>
    <n v="2112"/>
    <n v="1482"/>
    <m/>
    <s v=""/>
    <n v="2543"/>
    <s v="2018 (triag)"/>
    <n v="1482"/>
    <n v="2020"/>
    <s v="Adjust"/>
    <n v="1734.5511596180083"/>
    <n v="2543"/>
    <s v="Decreasing"/>
    <n v="2.5918907427795013E-2"/>
    <n v="7.7050082831477074E-2"/>
    <n v="2233.9022616311408"/>
    <n v="3204.3034515225486"/>
    <n v="0"/>
    <n v="1.6327543229947605"/>
    <n v="1.0016783230892248"/>
    <n v="1.4685458895181107"/>
  </r>
  <r>
    <x v="34"/>
    <x v="34"/>
    <n v="13231846"/>
    <x v="8"/>
    <n v="0"/>
    <n v="13595565.499999993"/>
    <n v="22"/>
    <m/>
    <n v="0"/>
    <m/>
    <n v="0"/>
    <m/>
    <n v="78"/>
    <m/>
    <n v="0"/>
    <n v="15574908.999999998"/>
    <n v="0"/>
    <n v="542"/>
    <m/>
    <n v="124"/>
    <m/>
    <n v="121"/>
    <m/>
    <n v="123"/>
    <n v="17316449"/>
    <n v="237"/>
    <n v="542"/>
    <n v="22"/>
    <n v="124"/>
    <n v="237"/>
    <n v="22"/>
    <n v="2013"/>
    <n v="542"/>
    <s v="2018 (triag)"/>
    <n v="237"/>
    <n v="2022"/>
    <s v="Adjust"/>
    <n v="277.3877360522726"/>
    <n v="542"/>
    <s v="Decreasing"/>
    <n v="2.5918907427795013E-2"/>
    <n v="7.7050082831477074E-2"/>
    <n v="476.1207337019577"/>
    <n v="682.9463117283608"/>
    <n v="1.6181746908578397E-2"/>
    <n v="0.34799561268704687"/>
    <n v="0.16018742413775053"/>
    <n v="0.31299719705812662"/>
  </r>
  <r>
    <x v="34"/>
    <x v="34"/>
    <n v="13231847"/>
    <x v="9"/>
    <n v="0"/>
    <n v="13595565.499999993"/>
    <n v="0"/>
    <m/>
    <n v="0"/>
    <m/>
    <n v="0"/>
    <m/>
    <n v="0"/>
    <m/>
    <n v="0"/>
    <n v="15574908.999999998"/>
    <n v="0"/>
    <n v="17"/>
    <m/>
    <n v="123"/>
    <m/>
    <n v="0"/>
    <m/>
    <n v="2"/>
    <n v="17316449"/>
    <n v="0"/>
    <n v="17"/>
    <n v="0"/>
    <n v="123"/>
    <n v="2"/>
    <m/>
    <s v=""/>
    <n v="17"/>
    <s v="2018 (triag)"/>
    <n v="2"/>
    <n v="2021"/>
    <s v="Adjust"/>
    <n v="2.3408247768124268"/>
    <n v="17"/>
    <s v="Decreasing"/>
    <n v="2.5918907427795013E-2"/>
    <n v="7.7050082831477074E-2"/>
    <n v="14.933676149323396"/>
    <n v="21.420825275612792"/>
    <n v="0"/>
    <n v="1.0914991541844644E-2"/>
    <n v="1.3517926087573883E-3"/>
    <n v="9.8172552582807254E-3"/>
  </r>
  <r>
    <x v="34"/>
    <x v="34"/>
    <n v="13231848"/>
    <x v="10"/>
    <n v="0"/>
    <n v="13595565.499999993"/>
    <n v="0"/>
    <m/>
    <n v="0"/>
    <m/>
    <n v="0"/>
    <m/>
    <n v="0"/>
    <m/>
    <n v="0"/>
    <n v="15574908.999999998"/>
    <n v="0"/>
    <n v="108"/>
    <m/>
    <n v="1"/>
    <m/>
    <n v="0"/>
    <m/>
    <n v="107"/>
    <n v="17316449"/>
    <n v="0"/>
    <n v="108"/>
    <n v="0"/>
    <n v="1"/>
    <n v="107"/>
    <m/>
    <s v=""/>
    <n v="108"/>
    <s v="2018 (triag)"/>
    <n v="107"/>
    <n v="2021"/>
    <s v="Adjust"/>
    <n v="125.23412555946484"/>
    <n v="125.23412555946484"/>
    <s v="Increasing"/>
    <n v="2.5918907427795013E-2"/>
    <n v="7.7050082831477074E-2"/>
    <n v="94.872766125113344"/>
    <n v="136.08524292742243"/>
    <n v="0"/>
    <n v="6.9342299207013028E-2"/>
    <n v="7.2320904568520278E-2"/>
    <n v="7.2320904568520278E-2"/>
  </r>
  <r>
    <x v="34"/>
    <x v="34"/>
    <n v="13231849"/>
    <x v="11"/>
    <n v="0"/>
    <n v="13595565.499999993"/>
    <n v="0"/>
    <m/>
    <n v="0"/>
    <m/>
    <n v="0"/>
    <m/>
    <n v="0"/>
    <m/>
    <n v="0"/>
    <n v="15574908.999999998"/>
    <n v="0"/>
    <n v="5868"/>
    <m/>
    <n v="3647"/>
    <m/>
    <n v="0"/>
    <m/>
    <n v="16"/>
    <n v="17316449"/>
    <n v="0"/>
    <n v="5868"/>
    <n v="0"/>
    <n v="3647"/>
    <n v="16"/>
    <m/>
    <s v=""/>
    <n v="5868"/>
    <s v="2018 (triag)"/>
    <n v="16"/>
    <n v="2021"/>
    <s v="Adjust"/>
    <n v="18.726598214499415"/>
    <n v="5868"/>
    <s v="Decreasing"/>
    <n v="2.5918907427795013E-2"/>
    <n v="7.7050082831477074E-2"/>
    <n v="5154.7536261311579"/>
    <n v="7393.9648657232856"/>
    <n v="0"/>
    <n v="3.7675982569143747"/>
    <n v="1.0814340870059107E-2"/>
    <n v="3.3886855209171349"/>
  </r>
  <r>
    <x v="34"/>
    <x v="34"/>
    <n v="13231850"/>
    <x v="12"/>
    <n v="0"/>
    <n v="13595565.499999993"/>
    <n v="0"/>
    <m/>
    <n v="0"/>
    <m/>
    <n v="0"/>
    <m/>
    <n v="0"/>
    <m/>
    <n v="0"/>
    <n v="15574908.999999998"/>
    <n v="0"/>
    <n v="0"/>
    <m/>
    <n v="1722"/>
    <m/>
    <n v="0"/>
    <m/>
    <n v="344"/>
    <n v="17316449"/>
    <n v="0"/>
    <n v="0"/>
    <n v="0"/>
    <n v="1722"/>
    <n v="344"/>
    <m/>
    <s v=""/>
    <n v="1722"/>
    <n v="2019"/>
    <n v="344"/>
    <n v="2021"/>
    <s v="Adjust"/>
    <n v="402.62186161173742"/>
    <n v="1722"/>
    <s v="Decreasing"/>
    <n v="2.5918907427795013E-2"/>
    <n v="7.7050082831477074E-2"/>
    <n v="0"/>
    <n v="0"/>
    <n v="0"/>
    <n v="1.1056244373562634"/>
    <n v="0.23250832870627078"/>
    <n v="0.99443020910349456"/>
  </r>
  <r>
    <x v="34"/>
    <x v="34"/>
    <n v="13231851"/>
    <x v="13"/>
    <n v="0"/>
    <n v="13595565.499999993"/>
    <n v="546"/>
    <m/>
    <n v="0"/>
    <m/>
    <n v="0"/>
    <m/>
    <n v="37"/>
    <m/>
    <n v="0"/>
    <n v="15574908.999999998"/>
    <n v="0"/>
    <n v="328"/>
    <m/>
    <n v="0"/>
    <m/>
    <n v="323"/>
    <m/>
    <n v="14"/>
    <n v="17316449"/>
    <n v="252"/>
    <n v="328"/>
    <n v="546"/>
    <n v="37"/>
    <n v="323"/>
    <n v="546"/>
    <n v="2013"/>
    <n v="328"/>
    <s v="2018 (triag)"/>
    <n v="252"/>
    <n v="2022"/>
    <s v="Adjust"/>
    <n v="294.94392187836576"/>
    <n v="328"/>
    <s v="Decreasing"/>
    <n v="2.5918907427795013E-2"/>
    <n v="7.7050082831477074E-2"/>
    <n v="288.132104528122"/>
    <n v="413.29592296476443"/>
    <n v="0.40160153691290024"/>
    <n v="0.21059513092500254"/>
    <n v="0.17032586870343092"/>
    <n v="0.18941527792447516"/>
  </r>
  <r>
    <x v="34"/>
    <x v="34"/>
    <n v="13231852"/>
    <x v="14"/>
    <n v="0"/>
    <n v="13595565.499999993"/>
    <n v="11"/>
    <m/>
    <n v="0"/>
    <m/>
    <n v="0"/>
    <m/>
    <n v="0"/>
    <m/>
    <n v="0"/>
    <n v="15574908.999999998"/>
    <n v="0"/>
    <n v="505"/>
    <m/>
    <n v="2352"/>
    <m/>
    <n v="662"/>
    <m/>
    <n v="917"/>
    <n v="17316449"/>
    <n v="1083"/>
    <n v="505"/>
    <n v="11"/>
    <n v="2352"/>
    <n v="1083"/>
    <n v="11"/>
    <n v="2013"/>
    <n v="505"/>
    <s v="2018 (triag)"/>
    <n v="1083"/>
    <n v="2022"/>
    <s v=""/>
    <n v="1083"/>
    <n v="1083"/>
    <s v="Increasing"/>
    <n v="2.5918907427795013E-2"/>
    <n v="7.7050082831477074E-2"/>
    <n v="443.61802678872442"/>
    <n v="636.32451554026227"/>
    <n v="8.0908734542891984E-3"/>
    <n v="0.324239454625385"/>
    <n v="0.62541690851282505"/>
    <n v="0.62541690851282505"/>
  </r>
  <r>
    <x v="34"/>
    <x v="34"/>
    <n v="13231853"/>
    <x v="15"/>
    <n v="0"/>
    <n v="13595565.499999993"/>
    <n v="11"/>
    <m/>
    <n v="0"/>
    <m/>
    <n v="0"/>
    <m/>
    <n v="0"/>
    <m/>
    <n v="0"/>
    <n v="15574908.999999998"/>
    <n v="0"/>
    <n v="0"/>
    <m/>
    <n v="0"/>
    <m/>
    <n v="98"/>
    <m/>
    <n v="0"/>
    <n v="17316449"/>
    <n v="94"/>
    <n v="0"/>
    <n v="11"/>
    <n v="0"/>
    <n v="98"/>
    <n v="11"/>
    <n v="2013"/>
    <m/>
    <s v=""/>
    <n v="94"/>
    <n v="2022"/>
    <s v=""/>
    <n v="94"/>
    <n v="94"/>
    <s v="Increasing"/>
    <n v="2.5918907427795013E-2"/>
    <n v="7.7050082831477074E-2"/>
    <n v="0"/>
    <n v="0"/>
    <n v="8.0908734542891984E-3"/>
    <n v="0"/>
    <n v="5.4283646722258126E-2"/>
    <n v="5.4283646722258126E-2"/>
  </r>
  <r>
    <x v="34"/>
    <x v="34"/>
    <n v="13231854"/>
    <x v="16"/>
    <n v="0"/>
    <n v="13595565.499999993"/>
    <n v="0"/>
    <m/>
    <n v="0"/>
    <m/>
    <n v="0"/>
    <m/>
    <n v="0"/>
    <m/>
    <n v="0"/>
    <n v="15574908.999999998"/>
    <n v="0"/>
    <n v="0"/>
    <m/>
    <n v="402"/>
    <m/>
    <n v="491"/>
    <m/>
    <n v="173"/>
    <n v="17316449"/>
    <n v="543"/>
    <n v="0"/>
    <n v="0"/>
    <n v="402"/>
    <n v="543"/>
    <m/>
    <s v=""/>
    <n v="402"/>
    <n v="2019"/>
    <n v="543"/>
    <n v="2022"/>
    <s v=""/>
    <n v="543"/>
    <n v="543"/>
    <s v="Increasing"/>
    <n v="2.5918907427795013E-2"/>
    <n v="7.7050082831477074E-2"/>
    <n v="0"/>
    <n v="0"/>
    <n v="0"/>
    <n v="0.25810744704832628"/>
    <n v="0.31357468266155492"/>
    <n v="0.31357468266155492"/>
  </r>
  <r>
    <x v="34"/>
    <x v="34"/>
    <n v="13231855"/>
    <x v="17"/>
    <n v="0"/>
    <n v="13595565.499999993"/>
    <n v="0"/>
    <m/>
    <n v="0"/>
    <m/>
    <n v="0"/>
    <m/>
    <n v="0"/>
    <m/>
    <n v="0"/>
    <n v="15574908.999999998"/>
    <n v="0"/>
    <n v="0"/>
    <m/>
    <n v="2"/>
    <m/>
    <n v="1"/>
    <m/>
    <n v="0"/>
    <n v="17316449"/>
    <n v="0"/>
    <n v="0"/>
    <n v="0"/>
    <n v="2"/>
    <n v="1"/>
    <m/>
    <s v=""/>
    <n v="2"/>
    <n v="2019"/>
    <n v="1"/>
    <n v="2020"/>
    <s v="Adjust"/>
    <n v="1.1704123884062134"/>
    <n v="2"/>
    <s v="Decreasing"/>
    <n v="2.5918907427795013E-2"/>
    <n v="7.7050082831477074E-2"/>
    <n v="0"/>
    <n v="0"/>
    <n v="0"/>
    <n v="1.2841166519817228E-3"/>
    <n v="6.7589630437869417E-4"/>
    <n v="1.1549712068565558E-3"/>
  </r>
  <r>
    <x v="34"/>
    <x v="34"/>
    <n v="13231856"/>
    <x v="18"/>
    <n v="0"/>
    <n v="13595565.499999993"/>
    <n v="54"/>
    <m/>
    <n v="0"/>
    <m/>
    <n v="0"/>
    <m/>
    <n v="0"/>
    <m/>
    <n v="0"/>
    <n v="15574908.999999998"/>
    <n v="0"/>
    <n v="0"/>
    <m/>
    <n v="0"/>
    <m/>
    <n v="0"/>
    <m/>
    <n v="0"/>
    <n v="17316449"/>
    <n v="0"/>
    <n v="0"/>
    <n v="54"/>
    <n v="0"/>
    <n v="0"/>
    <n v="54"/>
    <n v="2013"/>
    <m/>
    <s v=""/>
    <n v="0"/>
    <s v=""/>
    <s v=""/>
    <m/>
    <n v="0"/>
    <s v="No change"/>
    <n v="2.5918907427795013E-2"/>
    <n v="7.7050082831477074E-2"/>
    <n v="0"/>
    <n v="0"/>
    <n v="3.9718833321056066E-2"/>
    <n v="0"/>
    <n v="0"/>
    <n v="0"/>
  </r>
  <r>
    <x v="35"/>
    <x v="35"/>
    <n v="6788592.5"/>
    <x v="0"/>
    <n v="0"/>
    <n v="6964858.4999999972"/>
    <n v="0"/>
    <m/>
    <n v="0"/>
    <m/>
    <n v="0"/>
    <m/>
    <n v="14622"/>
    <m/>
    <n v="0"/>
    <n v="7861281"/>
    <n v="0"/>
    <n v="505"/>
    <m/>
    <n v="15000"/>
    <m/>
    <n v="13966"/>
    <m/>
    <n v="0"/>
    <n v="8605718.0000000056"/>
    <n v="0"/>
    <n v="505"/>
    <n v="0"/>
    <n v="15000"/>
    <n v="13966"/>
    <m/>
    <s v=""/>
    <n v="505"/>
    <s v="2018 (triag)"/>
    <n v="13966"/>
    <n v="2020"/>
    <s v=""/>
    <n v="13966"/>
    <n v="13966"/>
    <s v="Increasing"/>
    <n v="-0.11784850836422744"/>
    <n v="0.29117585098474064"/>
    <n v="910.32435593508387"/>
    <n v="1209.6495665580298"/>
    <n v="0"/>
    <n v="0.64238894399017155"/>
    <n v="16.228744655588287"/>
    <n v="16.228744655588287"/>
  </r>
  <r>
    <x v="35"/>
    <x v="35"/>
    <n v="6788593.5"/>
    <x v="1"/>
    <n v="0"/>
    <n v="6964858.4999999972"/>
    <n v="0"/>
    <m/>
    <n v="0"/>
    <m/>
    <n v="0"/>
    <m/>
    <n v="0"/>
    <m/>
    <n v="0"/>
    <n v="7861281"/>
    <n v="0"/>
    <n v="103"/>
    <m/>
    <n v="0"/>
    <m/>
    <n v="0"/>
    <m/>
    <n v="120"/>
    <n v="8605718.0000000056"/>
    <n v="120"/>
    <n v="103"/>
    <n v="0"/>
    <n v="0"/>
    <n v="120"/>
    <m/>
    <s v=""/>
    <n v="103"/>
    <s v="2018 (triag)"/>
    <n v="120"/>
    <n v="2021"/>
    <s v=""/>
    <n v="120"/>
    <n v="120"/>
    <s v="Increasing"/>
    <n v="-0.11784850836422744"/>
    <n v="0.29117585098474064"/>
    <n v="185.67011616101709"/>
    <n v="246.72060466431103"/>
    <n v="0"/>
    <n v="0.13102190342769837"/>
    <n v="0.13944217089149322"/>
    <n v="0.13944217089149322"/>
  </r>
  <r>
    <x v="35"/>
    <x v="35"/>
    <n v="6788594.5"/>
    <x v="2"/>
    <n v="0"/>
    <n v="6964858.4999999972"/>
    <n v="0"/>
    <m/>
    <n v="0"/>
    <m/>
    <n v="0"/>
    <m/>
    <n v="0"/>
    <m/>
    <n v="0"/>
    <n v="7861281"/>
    <n v="0"/>
    <n v="406"/>
    <m/>
    <n v="0"/>
    <m/>
    <n v="0"/>
    <m/>
    <n v="790"/>
    <n v="8605718.0000000056"/>
    <n v="0"/>
    <n v="406"/>
    <n v="0"/>
    <n v="0"/>
    <n v="790"/>
    <m/>
    <s v=""/>
    <n v="406"/>
    <s v="2018 (triag)"/>
    <n v="790"/>
    <n v="2021"/>
    <s v=""/>
    <n v="790"/>
    <n v="790"/>
    <s v="Increasing"/>
    <n v="-0.11784850836422744"/>
    <n v="0.29117585098474064"/>
    <n v="731.86472972206741"/>
    <n v="972.51034459912887"/>
    <n v="0"/>
    <n v="0.51645526982180134"/>
    <n v="0.91799429170233038"/>
    <n v="0.91799429170233038"/>
  </r>
  <r>
    <x v="35"/>
    <x v="35"/>
    <n v="6788595.5"/>
    <x v="3"/>
    <n v="0"/>
    <n v="6964858.4999999972"/>
    <n v="0"/>
    <m/>
    <n v="0"/>
    <m/>
    <n v="0"/>
    <m/>
    <n v="0"/>
    <m/>
    <n v="0"/>
    <n v="7861281"/>
    <n v="0"/>
    <n v="0"/>
    <m/>
    <n v="0"/>
    <m/>
    <n v="2251"/>
    <m/>
    <n v="0"/>
    <n v="8605718.0000000056"/>
    <n v="0"/>
    <n v="0"/>
    <n v="0"/>
    <n v="0"/>
    <n v="2251"/>
    <m/>
    <s v=""/>
    <m/>
    <s v=""/>
    <n v="2251"/>
    <n v="2020"/>
    <s v=""/>
    <n v="2251"/>
    <n v="2251"/>
    <s v="Increasing"/>
    <n v="-0.11784850836422744"/>
    <n v="0.29117585098474064"/>
    <n v="0"/>
    <n v="0"/>
    <n v="0"/>
    <n v="0"/>
    <n v="2.6157027223062603"/>
    <n v="2.6157027223062603"/>
  </r>
  <r>
    <x v="35"/>
    <x v="35"/>
    <n v="6788596.5"/>
    <x v="4"/>
    <n v="0"/>
    <n v="6964858.4999999972"/>
    <n v="0"/>
    <m/>
    <n v="0"/>
    <m/>
    <n v="0"/>
    <m/>
    <n v="0"/>
    <m/>
    <n v="0"/>
    <n v="7861281"/>
    <n v="0"/>
    <n v="0"/>
    <m/>
    <n v="93"/>
    <m/>
    <n v="487"/>
    <m/>
    <n v="0"/>
    <n v="8605718.0000000056"/>
    <n v="0"/>
    <n v="0"/>
    <n v="0"/>
    <n v="93"/>
    <n v="487"/>
    <m/>
    <s v=""/>
    <n v="93"/>
    <n v="2019"/>
    <n v="487"/>
    <n v="2020"/>
    <s v=""/>
    <n v="487"/>
    <n v="487"/>
    <s v="Increasing"/>
    <n v="-0.11784850836422744"/>
    <n v="0.29117585098474064"/>
    <n v="0"/>
    <n v="0"/>
    <n v="0"/>
    <n v="0.11830133027937813"/>
    <n v="0.56590281020130995"/>
    <n v="0.56590281020130995"/>
  </r>
  <r>
    <x v="35"/>
    <x v="35"/>
    <n v="6788597.5"/>
    <x v="5"/>
    <n v="0"/>
    <n v="6964858.4999999972"/>
    <n v="0"/>
    <m/>
    <n v="0"/>
    <m/>
    <n v="0"/>
    <m/>
    <n v="0"/>
    <m/>
    <n v="0"/>
    <n v="7861281"/>
    <n v="0"/>
    <n v="128"/>
    <m/>
    <n v="25"/>
    <m/>
    <n v="530"/>
    <m/>
    <n v="0"/>
    <n v="8605718.0000000056"/>
    <n v="13"/>
    <n v="128"/>
    <n v="0"/>
    <n v="25"/>
    <n v="530"/>
    <m/>
    <s v=""/>
    <n v="128"/>
    <s v="2018 (triag)"/>
    <n v="13"/>
    <n v="2022"/>
    <s v="Adjust"/>
    <n v="14.940882376165398"/>
    <n v="128"/>
    <s v="Decreasing"/>
    <n v="-0.11784850836422744"/>
    <n v="0.29117585098474064"/>
    <n v="230.73567833602124"/>
    <n v="306.60424657312439"/>
    <n v="0"/>
    <n v="0.16282333629849893"/>
    <n v="1.7361575613057956E-2"/>
    <n v="0.14873831561759276"/>
  </r>
  <r>
    <x v="35"/>
    <x v="35"/>
    <n v="6788598.5"/>
    <x v="6"/>
    <n v="0"/>
    <n v="6964858.4999999972"/>
    <n v="0"/>
    <m/>
    <n v="0"/>
    <m/>
    <n v="0"/>
    <m/>
    <n v="0"/>
    <m/>
    <n v="0"/>
    <n v="7861281"/>
    <n v="311"/>
    <n v="311"/>
    <m/>
    <n v="0"/>
    <m/>
    <n v="114"/>
    <m/>
    <n v="0"/>
    <n v="8605718.0000000056"/>
    <n v="20"/>
    <n v="0"/>
    <n v="0"/>
    <n v="311"/>
    <n v="114"/>
    <m/>
    <s v=""/>
    <n v="311"/>
    <n v="2018"/>
    <n v="20"/>
    <n v="2022"/>
    <s v="Adjust"/>
    <n v="22.985972886408305"/>
    <n v="311"/>
    <s v="Decreasing"/>
    <n v="-0.11784850836422744"/>
    <n v="0.29117585098474064"/>
    <n v="0"/>
    <n v="0"/>
    <n v="0"/>
    <n v="0.39560982491275914"/>
    <n v="2.6710116327781471E-2"/>
    <n v="0.3613876262271199"/>
  </r>
  <r>
    <x v="35"/>
    <x v="35"/>
    <n v="6788599.5"/>
    <x v="7"/>
    <n v="0"/>
    <n v="6964858.4999999972"/>
    <n v="0"/>
    <m/>
    <n v="0"/>
    <m/>
    <n v="0"/>
    <m/>
    <n v="0"/>
    <m/>
    <n v="0"/>
    <n v="7861281"/>
    <n v="0"/>
    <n v="0"/>
    <m/>
    <n v="0"/>
    <m/>
    <n v="0"/>
    <m/>
    <n v="0"/>
    <n v="8605718.0000000056"/>
    <n v="0"/>
    <n v="0"/>
    <n v="0"/>
    <n v="0"/>
    <n v="0"/>
    <m/>
    <s v=""/>
    <m/>
    <s v=""/>
    <n v="0"/>
    <s v=""/>
    <s v=""/>
    <m/>
    <n v="0"/>
    <s v="No change"/>
    <n v="-0.11784850836422744"/>
    <n v="0.29117585098474064"/>
    <n v="0"/>
    <n v="0"/>
    <n v="0"/>
    <n v="0"/>
    <n v="0"/>
    <n v="0"/>
  </r>
  <r>
    <x v="35"/>
    <x v="35"/>
    <n v="6788600.5"/>
    <x v="8"/>
    <n v="0"/>
    <n v="6964858.4999999972"/>
    <n v="0"/>
    <m/>
    <n v="0"/>
    <m/>
    <n v="0"/>
    <m/>
    <n v="0"/>
    <m/>
    <n v="0"/>
    <n v="7861281"/>
    <n v="0"/>
    <n v="22"/>
    <m/>
    <n v="36"/>
    <m/>
    <n v="0"/>
    <m/>
    <n v="0"/>
    <n v="8605718.0000000056"/>
    <n v="50"/>
    <n v="22"/>
    <n v="0"/>
    <n v="36"/>
    <n v="50"/>
    <m/>
    <s v=""/>
    <n v="22"/>
    <s v="2018 (triag)"/>
    <n v="50"/>
    <n v="2022"/>
    <s v=""/>
    <n v="50"/>
    <n v="50"/>
    <s v="Increasing"/>
    <n v="-0.11784850836422744"/>
    <n v="0.29117585098474064"/>
    <n v="39.657694714003654"/>
    <n v="52.697604879755751"/>
    <n v="0"/>
    <n v="2.7985260926304503E-2"/>
    <n v="5.8100904538122174E-2"/>
    <n v="5.8100904538122174E-2"/>
  </r>
  <r>
    <x v="35"/>
    <x v="35"/>
    <n v="6788601.5"/>
    <x v="9"/>
    <n v="0"/>
    <n v="6964858.4999999972"/>
    <n v="0"/>
    <m/>
    <n v="0"/>
    <m/>
    <n v="0"/>
    <m/>
    <n v="0"/>
    <m/>
    <n v="0"/>
    <n v="7861281"/>
    <n v="0"/>
    <n v="0"/>
    <m/>
    <n v="64"/>
    <m/>
    <n v="0"/>
    <m/>
    <n v="0"/>
    <n v="8605718.0000000056"/>
    <n v="195"/>
    <n v="0"/>
    <n v="0"/>
    <n v="64"/>
    <n v="195"/>
    <m/>
    <s v=""/>
    <n v="64"/>
    <n v="2019"/>
    <n v="195"/>
    <n v="2022"/>
    <s v=""/>
    <n v="195"/>
    <n v="195"/>
    <s v="Increasing"/>
    <n v="-0.11784850836422744"/>
    <n v="0.29117585098474064"/>
    <n v="0"/>
    <n v="0"/>
    <n v="0"/>
    <n v="8.1411668149249466E-2"/>
    <n v="0.22659352769867647"/>
    <n v="0.22659352769867647"/>
  </r>
  <r>
    <x v="35"/>
    <x v="35"/>
    <n v="6788602.5"/>
    <x v="10"/>
    <n v="0"/>
    <n v="6964858.4999999972"/>
    <n v="0"/>
    <m/>
    <n v="0"/>
    <m/>
    <n v="0"/>
    <m/>
    <n v="0"/>
    <m/>
    <n v="0"/>
    <n v="7861281"/>
    <n v="0"/>
    <n v="13"/>
    <m/>
    <n v="15"/>
    <m/>
    <n v="1"/>
    <m/>
    <n v="0"/>
    <n v="8605718.0000000056"/>
    <n v="2"/>
    <n v="13"/>
    <n v="0"/>
    <n v="15"/>
    <n v="2"/>
    <m/>
    <s v=""/>
    <n v="13"/>
    <s v="2018 (triag)"/>
    <n v="2"/>
    <n v="2022"/>
    <s v="Adjust"/>
    <n v="2.2985972886408303"/>
    <n v="13"/>
    <s v="Decreasing"/>
    <n v="-0.11784850836422744"/>
    <n v="0.29117585098474064"/>
    <n v="23.434092331002159"/>
    <n v="31.139493792582947"/>
    <n v="0"/>
    <n v="1.6536745092816298E-2"/>
    <n v="2.6710116327781472E-3"/>
    <n v="1.5106235179911765E-2"/>
  </r>
  <r>
    <x v="35"/>
    <x v="35"/>
    <n v="6788603.5"/>
    <x v="11"/>
    <n v="0"/>
    <n v="6964858.4999999972"/>
    <n v="0"/>
    <m/>
    <n v="0"/>
    <m/>
    <n v="0"/>
    <m/>
    <n v="0"/>
    <m/>
    <n v="0"/>
    <n v="7861281"/>
    <n v="0"/>
    <n v="0"/>
    <m/>
    <n v="0"/>
    <m/>
    <n v="0"/>
    <m/>
    <n v="0"/>
    <n v="8605718.0000000056"/>
    <n v="0"/>
    <n v="0"/>
    <n v="0"/>
    <n v="0"/>
    <n v="0"/>
    <m/>
    <s v=""/>
    <m/>
    <s v=""/>
    <n v="0"/>
    <s v=""/>
    <s v=""/>
    <m/>
    <n v="0"/>
    <s v="No change"/>
    <n v="-0.11784850836422744"/>
    <n v="0.29117585098474064"/>
    <n v="0"/>
    <n v="0"/>
    <n v="0"/>
    <n v="0"/>
    <n v="0"/>
    <n v="0"/>
  </r>
  <r>
    <x v="35"/>
    <x v="35"/>
    <n v="6788604.5"/>
    <x v="12"/>
    <n v="0"/>
    <n v="6964858.4999999972"/>
    <n v="0"/>
    <m/>
    <n v="0"/>
    <m/>
    <n v="0"/>
    <m/>
    <n v="0"/>
    <m/>
    <n v="0"/>
    <n v="7861281"/>
    <n v="0"/>
    <n v="0"/>
    <m/>
    <n v="0"/>
    <m/>
    <n v="0"/>
    <m/>
    <n v="0"/>
    <n v="8605718.0000000056"/>
    <n v="0"/>
    <n v="0"/>
    <n v="0"/>
    <n v="0"/>
    <n v="0"/>
    <m/>
    <s v=""/>
    <m/>
    <s v=""/>
    <n v="0"/>
    <s v=""/>
    <s v=""/>
    <m/>
    <n v="0"/>
    <s v="No change"/>
    <n v="-0.11784850836422744"/>
    <n v="0.29117585098474064"/>
    <n v="0"/>
    <n v="0"/>
    <n v="0"/>
    <n v="0"/>
    <n v="0"/>
    <n v="0"/>
  </r>
  <r>
    <x v="35"/>
    <x v="35"/>
    <n v="6788605.5"/>
    <x v="13"/>
    <n v="0"/>
    <n v="6964858.4999999972"/>
    <n v="0"/>
    <m/>
    <n v="0"/>
    <m/>
    <n v="0"/>
    <m/>
    <n v="0"/>
    <m/>
    <n v="0"/>
    <n v="7861281"/>
    <n v="0"/>
    <n v="311"/>
    <m/>
    <n v="342"/>
    <m/>
    <n v="0"/>
    <m/>
    <n v="0"/>
    <n v="8605718.0000000056"/>
    <n v="298"/>
    <n v="311"/>
    <n v="0"/>
    <n v="342"/>
    <n v="298"/>
    <m/>
    <s v=""/>
    <n v="311"/>
    <s v="2018 (triag)"/>
    <n v="298"/>
    <n v="2022"/>
    <s v="Adjust"/>
    <n v="342.49099600748372"/>
    <n v="342.49099600748372"/>
    <s v="Increasing"/>
    <n v="-0.11784850836422744"/>
    <n v="0.29117585098474064"/>
    <n v="560.61559345705166"/>
    <n v="744.9525053456382"/>
    <n v="0"/>
    <n v="0.39560982491275914"/>
    <n v="0.3979807332839439"/>
    <n v="0.3979807332839439"/>
  </r>
  <r>
    <x v="35"/>
    <x v="35"/>
    <n v="6788606.5"/>
    <x v="14"/>
    <n v="0"/>
    <n v="6964858.4999999972"/>
    <n v="0"/>
    <m/>
    <n v="0"/>
    <m/>
    <n v="0"/>
    <m/>
    <n v="0"/>
    <m/>
    <n v="0"/>
    <n v="7861281"/>
    <n v="0"/>
    <n v="0"/>
    <m/>
    <n v="319"/>
    <m/>
    <n v="650"/>
    <m/>
    <n v="0"/>
    <n v="8605718.0000000056"/>
    <n v="0"/>
    <n v="0"/>
    <n v="0"/>
    <n v="319"/>
    <n v="650"/>
    <m/>
    <s v=""/>
    <n v="319"/>
    <n v="2019"/>
    <n v="650"/>
    <n v="2020"/>
    <s v=""/>
    <n v="650"/>
    <n v="650"/>
    <s v="Increasing"/>
    <n v="-0.11784850836422744"/>
    <n v="0.29117585098474064"/>
    <n v="0"/>
    <n v="0"/>
    <n v="0"/>
    <n v="0.40578628343141532"/>
    <n v="0.75531175899558822"/>
    <n v="0.75531175899558822"/>
  </r>
  <r>
    <x v="35"/>
    <x v="35"/>
    <n v="6788607.5"/>
    <x v="15"/>
    <n v="0"/>
    <n v="6964858.4999999972"/>
    <n v="0"/>
    <m/>
    <n v="0"/>
    <m/>
    <n v="0"/>
    <m/>
    <n v="0"/>
    <m/>
    <n v="0"/>
    <n v="7861281"/>
    <n v="0"/>
    <n v="13"/>
    <m/>
    <n v="8"/>
    <m/>
    <n v="6"/>
    <m/>
    <n v="0"/>
    <n v="8605718.0000000056"/>
    <n v="6"/>
    <n v="13"/>
    <n v="0"/>
    <n v="8"/>
    <n v="6"/>
    <m/>
    <s v=""/>
    <n v="13"/>
    <s v="2018 (triag)"/>
    <n v="6"/>
    <n v="2020"/>
    <s v="Adjust"/>
    <n v="6.895791865922491"/>
    <n v="13"/>
    <s v="Decreasing"/>
    <n v="-0.11784850836422744"/>
    <n v="0.29117585098474064"/>
    <n v="23.434092331002159"/>
    <n v="31.139493792582947"/>
    <n v="0"/>
    <n v="1.6536745092816298E-2"/>
    <n v="8.013034898334442E-3"/>
    <n v="1.5106235179911765E-2"/>
  </r>
  <r>
    <x v="35"/>
    <x v="35"/>
    <n v="6788608.5"/>
    <x v="16"/>
    <n v="0"/>
    <n v="6964858.4999999972"/>
    <n v="0"/>
    <m/>
    <n v="1511"/>
    <m/>
    <n v="0"/>
    <m/>
    <n v="0"/>
    <m/>
    <n v="0"/>
    <n v="7861281"/>
    <n v="0"/>
    <n v="0"/>
    <m/>
    <n v="0"/>
    <m/>
    <n v="0"/>
    <m/>
    <n v="0"/>
    <n v="8605718.0000000056"/>
    <n v="0"/>
    <n v="0"/>
    <n v="1511"/>
    <n v="0"/>
    <n v="0"/>
    <n v="1511"/>
    <n v="2014"/>
    <m/>
    <s v=""/>
    <n v="0"/>
    <s v=""/>
    <s v=""/>
    <m/>
    <n v="0"/>
    <s v="No change"/>
    <n v="-0.11784850836422744"/>
    <n v="0.29117585098474064"/>
    <n v="0"/>
    <n v="0"/>
    <n v="2.169462595686618"/>
    <n v="0"/>
    <n v="0"/>
    <n v="0"/>
  </r>
  <r>
    <x v="35"/>
    <x v="35"/>
    <n v="6788609.5"/>
    <x v="17"/>
    <n v="0"/>
    <n v="6964858.4999999972"/>
    <n v="0"/>
    <m/>
    <n v="0"/>
    <m/>
    <n v="0"/>
    <m/>
    <n v="0"/>
    <m/>
    <n v="0"/>
    <n v="7861281"/>
    <n v="0"/>
    <n v="0"/>
    <m/>
    <n v="0"/>
    <m/>
    <n v="0"/>
    <m/>
    <n v="0"/>
    <n v="8605718.0000000056"/>
    <n v="0"/>
    <n v="0"/>
    <n v="0"/>
    <n v="0"/>
    <n v="0"/>
    <m/>
    <s v=""/>
    <m/>
    <s v=""/>
    <n v="0"/>
    <s v=""/>
    <s v=""/>
    <m/>
    <n v="0"/>
    <s v="No change"/>
    <n v="-0.11784850836422744"/>
    <n v="0.29117585098474064"/>
    <n v="0"/>
    <n v="0"/>
    <n v="0"/>
    <n v="0"/>
    <n v="0"/>
    <n v="0"/>
  </r>
  <r>
    <x v="35"/>
    <x v="35"/>
    <n v="6788610.5"/>
    <x v="18"/>
    <n v="0"/>
    <n v="6964858.4999999972"/>
    <n v="0"/>
    <m/>
    <n v="3046"/>
    <m/>
    <n v="0"/>
    <m/>
    <n v="0"/>
    <m/>
    <n v="0"/>
    <n v="7861281"/>
    <n v="0"/>
    <n v="0"/>
    <m/>
    <n v="0"/>
    <m/>
    <n v="0"/>
    <m/>
    <n v="0"/>
    <n v="8605718.0000000056"/>
    <n v="0"/>
    <n v="0"/>
    <n v="3046"/>
    <n v="0"/>
    <n v="0"/>
    <n v="3046"/>
    <n v="2014"/>
    <m/>
    <s v=""/>
    <n v="0"/>
    <s v=""/>
    <s v=""/>
    <m/>
    <n v="0"/>
    <s v="No change"/>
    <n v="-0.11784850836422744"/>
    <n v="0.29117585098474064"/>
    <n v="0"/>
    <n v="0"/>
    <n v="4.3733838957388746"/>
    <n v="0"/>
    <n v="0"/>
    <n v="0"/>
  </r>
  <r>
    <x v="36"/>
    <x v="36"/>
    <n v="10701609.5"/>
    <x v="0"/>
    <n v="0"/>
    <n v="11106031.000000004"/>
    <n v="0"/>
    <m/>
    <n v="0"/>
    <m/>
    <n v="0"/>
    <m/>
    <n v="0"/>
    <m/>
    <n v="0"/>
    <n v="10395329.5"/>
    <n v="1455"/>
    <n v="1455"/>
    <m/>
    <n v="850"/>
    <m/>
    <n v="2826"/>
    <m/>
    <n v="0"/>
    <n v="10913163.5"/>
    <n v="0"/>
    <n v="1455"/>
    <n v="0"/>
    <n v="1455"/>
    <n v="2826"/>
    <m/>
    <s v=""/>
    <n v="1455"/>
    <n v="2018"/>
    <n v="2826"/>
    <n v="2020"/>
    <s v=""/>
    <n v="2826"/>
    <n v="2826"/>
    <s v="Increasing"/>
    <n v="0.25992104989487319"/>
    <n v="5.4673730437993617E-2"/>
    <n v="396.69032167382431"/>
    <n v="1714.3381571531409"/>
    <n v="0"/>
    <n v="1.3996670331613827"/>
    <n v="2.5895332732804746"/>
    <n v="2.5895332732804746"/>
  </r>
  <r>
    <x v="36"/>
    <x v="36"/>
    <n v="10701610.5"/>
    <x v="1"/>
    <n v="0"/>
    <n v="11106031.000000004"/>
    <n v="0"/>
    <m/>
    <n v="0"/>
    <m/>
    <n v="0"/>
    <m/>
    <n v="0"/>
    <m/>
    <n v="0"/>
    <n v="10395329.5"/>
    <n v="0"/>
    <n v="22"/>
    <m/>
    <n v="0"/>
    <m/>
    <n v="0"/>
    <m/>
    <n v="0"/>
    <n v="10913163.5"/>
    <n v="0"/>
    <n v="22"/>
    <n v="0"/>
    <n v="0"/>
    <n v="0"/>
    <m/>
    <s v=""/>
    <n v="22"/>
    <s v="2018 (triag)"/>
    <n v="22"/>
    <s v="2018 (triag)"/>
    <s v=""/>
    <n v="22"/>
    <n v="22"/>
    <s v="No change"/>
    <n v="0.25992104989487319"/>
    <n v="5.4673730437993617E-2"/>
    <n v="5.9980667194667587"/>
    <n v="25.921264231868797"/>
    <n v="0"/>
    <n v="2.1163350329587917E-2"/>
    <n v="2.0159140839409215E-2"/>
    <n v="2.0159140839409215E-2"/>
  </r>
  <r>
    <x v="36"/>
    <x v="36"/>
    <n v="10701611.5"/>
    <x v="2"/>
    <n v="0"/>
    <n v="11106031.000000004"/>
    <n v="0"/>
    <m/>
    <n v="0"/>
    <m/>
    <n v="0"/>
    <m/>
    <n v="0"/>
    <m/>
    <n v="3435"/>
    <n v="10395329.5"/>
    <n v="0"/>
    <n v="250"/>
    <m/>
    <n v="0"/>
    <m/>
    <n v="0"/>
    <m/>
    <n v="0"/>
    <n v="10913163.5"/>
    <n v="0"/>
    <n v="250"/>
    <n v="0"/>
    <n v="3435"/>
    <n v="0"/>
    <m/>
    <s v=""/>
    <n v="250"/>
    <s v="2018 (triag)"/>
    <n v="250"/>
    <s v="2018 (triag)"/>
    <s v=""/>
    <n v="250"/>
    <n v="250"/>
    <s v="No change"/>
    <n v="0.25992104989487319"/>
    <n v="5.4673730437993617E-2"/>
    <n v="68.15984908484954"/>
    <n v="294.55982081669083"/>
    <n v="0"/>
    <n v="0.24049261738168087"/>
    <n v="0.22908114590237744"/>
    <n v="0.22908114590237744"/>
  </r>
  <r>
    <x v="36"/>
    <x v="36"/>
    <n v="10701612.5"/>
    <x v="3"/>
    <n v="0"/>
    <n v="11106031.000000004"/>
    <n v="0"/>
    <m/>
    <n v="0"/>
    <m/>
    <n v="0"/>
    <m/>
    <n v="0"/>
    <m/>
    <n v="0"/>
    <n v="10395329.5"/>
    <n v="0"/>
    <n v="0"/>
    <m/>
    <n v="5870"/>
    <m/>
    <n v="0"/>
    <m/>
    <n v="0"/>
    <n v="10913163.5"/>
    <n v="0"/>
    <n v="0"/>
    <n v="0"/>
    <n v="5870"/>
    <n v="0"/>
    <m/>
    <s v=""/>
    <n v="5870"/>
    <n v="2019"/>
    <n v="5870"/>
    <n v="2019"/>
    <s v=""/>
    <n v="5870"/>
    <n v="5870"/>
    <s v="No change"/>
    <n v="0.25992104989487319"/>
    <n v="5.4673730437993617E-2"/>
    <n v="0"/>
    <n v="0"/>
    <n v="0"/>
    <n v="5.6467666561218675"/>
    <n v="5.3788253057878226"/>
    <n v="5.3788253057878226"/>
  </r>
  <r>
    <x v="36"/>
    <x v="36"/>
    <n v="10701613.5"/>
    <x v="4"/>
    <n v="0"/>
    <n v="11106031.000000004"/>
    <n v="0"/>
    <m/>
    <n v="0"/>
    <m/>
    <n v="0"/>
    <m/>
    <n v="0"/>
    <m/>
    <n v="0"/>
    <n v="10395329.5"/>
    <n v="0"/>
    <n v="20"/>
    <m/>
    <n v="0"/>
    <m/>
    <n v="0"/>
    <m/>
    <n v="0"/>
    <n v="10913163.5"/>
    <n v="0"/>
    <n v="20"/>
    <n v="0"/>
    <n v="0"/>
    <n v="0"/>
    <m/>
    <s v=""/>
    <n v="20"/>
    <s v="2018 (triag)"/>
    <n v="20"/>
    <s v="2018 (triag)"/>
    <s v=""/>
    <n v="20"/>
    <n v="20"/>
    <s v="No change"/>
    <n v="0.25992104989487319"/>
    <n v="5.4673730437993617E-2"/>
    <n v="5.4527879267879626"/>
    <n v="23.564785665335268"/>
    <n v="0"/>
    <n v="1.9239409390534472E-2"/>
    <n v="1.8326491672190196E-2"/>
    <n v="1.8326491672190196E-2"/>
  </r>
  <r>
    <x v="36"/>
    <x v="36"/>
    <n v="10701614.5"/>
    <x v="5"/>
    <n v="0"/>
    <n v="11106031.000000004"/>
    <n v="0"/>
    <m/>
    <n v="0"/>
    <m/>
    <n v="0"/>
    <m/>
    <n v="0"/>
    <m/>
    <n v="0"/>
    <n v="10395329.5"/>
    <n v="2"/>
    <n v="21"/>
    <m/>
    <n v="0"/>
    <m/>
    <n v="0"/>
    <m/>
    <n v="0"/>
    <n v="10913163.5"/>
    <n v="0"/>
    <n v="21"/>
    <n v="0"/>
    <n v="2"/>
    <n v="0"/>
    <m/>
    <s v=""/>
    <n v="21"/>
    <s v="2018 (triag)"/>
    <n v="21"/>
    <s v="2018 (triag)"/>
    <s v=""/>
    <n v="21"/>
    <n v="21"/>
    <s v="No change"/>
    <n v="0.25992104989487319"/>
    <n v="5.4673730437993617E-2"/>
    <n v="5.7254273231273611"/>
    <n v="24.743024948602031"/>
    <n v="0"/>
    <n v="2.0201379860061194E-2"/>
    <n v="1.9242816255799704E-2"/>
    <n v="1.9242816255799704E-2"/>
  </r>
  <r>
    <x v="36"/>
    <x v="36"/>
    <n v="10701615.5"/>
    <x v="6"/>
    <n v="0"/>
    <n v="11106031.000000004"/>
    <n v="0"/>
    <m/>
    <n v="0"/>
    <m/>
    <n v="0"/>
    <m/>
    <n v="0"/>
    <m/>
    <n v="0"/>
    <n v="10395329.5"/>
    <n v="272"/>
    <n v="272"/>
    <m/>
    <n v="485"/>
    <m/>
    <n v="635"/>
    <m/>
    <n v="0"/>
    <n v="10913163.5"/>
    <n v="0"/>
    <n v="16"/>
    <n v="0"/>
    <n v="485"/>
    <n v="635"/>
    <m/>
    <s v=""/>
    <n v="272"/>
    <n v="2018"/>
    <n v="635"/>
    <n v="2020"/>
    <s v=""/>
    <n v="635"/>
    <n v="635"/>
    <s v="Increasing"/>
    <n v="0.25992104989487319"/>
    <n v="5.4673730437993617E-2"/>
    <n v="4.3622303414303705"/>
    <n v="18.851828532268215"/>
    <n v="0"/>
    <n v="0.26165596771126881"/>
    <n v="0.58186611059203874"/>
    <n v="0.58186611059203874"/>
  </r>
  <r>
    <x v="36"/>
    <x v="36"/>
    <n v="10701616.5"/>
    <x v="7"/>
    <n v="0"/>
    <n v="11106031.000000004"/>
    <n v="0"/>
    <m/>
    <n v="0"/>
    <m/>
    <n v="0"/>
    <m/>
    <n v="0"/>
    <m/>
    <n v="0"/>
    <n v="10395329.5"/>
    <n v="0"/>
    <n v="1306"/>
    <m/>
    <n v="0"/>
    <m/>
    <n v="0"/>
    <m/>
    <n v="0"/>
    <n v="10913163.5"/>
    <n v="0"/>
    <n v="1306"/>
    <n v="0"/>
    <n v="0"/>
    <n v="0"/>
    <m/>
    <s v=""/>
    <n v="1306"/>
    <s v="2018 (triag)"/>
    <n v="1306"/>
    <s v="2018 (triag)"/>
    <s v=""/>
    <n v="1306"/>
    <n v="1306"/>
    <s v="No change"/>
    <n v="0.25992104989487319"/>
    <n v="5.4673730437993617E-2"/>
    <n v="356.06705161925396"/>
    <n v="1538.7805039463931"/>
    <n v="0"/>
    <n v="1.2563334332019009"/>
    <n v="1.1967199061940197"/>
    <n v="1.1967199061940197"/>
  </r>
  <r>
    <x v="36"/>
    <x v="36"/>
    <n v="10701617.5"/>
    <x v="8"/>
    <n v="0"/>
    <n v="11106031.000000004"/>
    <n v="0"/>
    <m/>
    <n v="0"/>
    <m/>
    <n v="0"/>
    <m/>
    <n v="0"/>
    <m/>
    <n v="0"/>
    <n v="10395329.5"/>
    <n v="0"/>
    <n v="6"/>
    <m/>
    <n v="13"/>
    <m/>
    <n v="16"/>
    <m/>
    <n v="0"/>
    <n v="10913163.5"/>
    <n v="0"/>
    <n v="6"/>
    <n v="0"/>
    <n v="13"/>
    <n v="16"/>
    <m/>
    <s v=""/>
    <n v="6"/>
    <s v="2018 (triag)"/>
    <n v="16"/>
    <n v="2020"/>
    <s v=""/>
    <n v="16"/>
    <n v="16"/>
    <s v="Increasing"/>
    <n v="0.25992104989487319"/>
    <n v="5.4673730437993617E-2"/>
    <n v="1.6358363780363889"/>
    <n v="7.0694356996005805"/>
    <n v="0"/>
    <n v="5.7718228171603414E-3"/>
    <n v="1.4661193337752156E-2"/>
    <n v="1.4661193337752156E-2"/>
  </r>
  <r>
    <x v="36"/>
    <x v="36"/>
    <n v="10701618.5"/>
    <x v="9"/>
    <n v="0"/>
    <n v="11106031.000000004"/>
    <n v="0"/>
    <m/>
    <n v="0"/>
    <m/>
    <n v="0"/>
    <m/>
    <n v="0"/>
    <m/>
    <n v="0"/>
    <n v="10395329.5"/>
    <n v="0"/>
    <n v="57"/>
    <m/>
    <n v="850"/>
    <m/>
    <n v="1006"/>
    <m/>
    <n v="0"/>
    <n v="10913163.5"/>
    <n v="0"/>
    <n v="57"/>
    <n v="0"/>
    <n v="850"/>
    <n v="1006"/>
    <m/>
    <s v=""/>
    <n v="57"/>
    <s v="2018 (triag)"/>
    <n v="1006"/>
    <n v="2020"/>
    <s v=""/>
    <n v="1006"/>
    <n v="1006"/>
    <s v="Increasing"/>
    <n v="0.25992104989487319"/>
    <n v="5.4673730437993617E-2"/>
    <n v="15.540445591345694"/>
    <n v="67.159639146205521"/>
    <n v="0"/>
    <n v="5.4832316763023241E-2"/>
    <n v="0.92182253111116685"/>
    <n v="0.92182253111116685"/>
  </r>
  <r>
    <x v="36"/>
    <x v="36"/>
    <n v="10701619.5"/>
    <x v="10"/>
    <n v="0"/>
    <n v="11106031.000000004"/>
    <n v="0"/>
    <m/>
    <n v="0"/>
    <m/>
    <n v="0"/>
    <m/>
    <n v="0"/>
    <m/>
    <n v="0"/>
    <n v="10395329.5"/>
    <n v="0"/>
    <n v="7"/>
    <m/>
    <n v="13"/>
    <m/>
    <n v="24"/>
    <m/>
    <n v="0"/>
    <n v="10913163.5"/>
    <n v="0"/>
    <n v="7"/>
    <n v="0"/>
    <n v="13"/>
    <n v="24"/>
    <m/>
    <s v=""/>
    <n v="7"/>
    <s v="2018 (triag)"/>
    <n v="24"/>
    <n v="2020"/>
    <s v=""/>
    <n v="24"/>
    <n v="24"/>
    <s v="Increasing"/>
    <n v="0.25992104989487319"/>
    <n v="5.4673730437993617E-2"/>
    <n v="1.908475774375787"/>
    <n v="8.2476749828673448"/>
    <n v="0"/>
    <n v="6.7337932866870648E-3"/>
    <n v="2.1991790006628233E-2"/>
    <n v="2.1991790006628233E-2"/>
  </r>
  <r>
    <x v="36"/>
    <x v="36"/>
    <n v="10701620.5"/>
    <x v="11"/>
    <n v="0"/>
    <n v="11106031.000000004"/>
    <n v="0"/>
    <m/>
    <n v="0"/>
    <m/>
    <n v="0"/>
    <m/>
    <n v="0"/>
    <m/>
    <n v="0"/>
    <n v="10395329.5"/>
    <n v="0"/>
    <n v="0"/>
    <m/>
    <n v="0"/>
    <m/>
    <n v="0"/>
    <m/>
    <n v="0"/>
    <n v="10913163.5"/>
    <n v="0"/>
    <n v="0"/>
    <n v="0"/>
    <n v="0"/>
    <n v="0"/>
    <m/>
    <s v=""/>
    <m/>
    <s v=""/>
    <n v="0"/>
    <s v=""/>
    <s v=""/>
    <m/>
    <n v="0"/>
    <s v="No change"/>
    <n v="0.25992104989487319"/>
    <n v="5.4673730437993617E-2"/>
    <n v="0"/>
    <n v="0"/>
    <n v="0"/>
    <n v="0"/>
    <n v="0"/>
    <n v="0"/>
  </r>
  <r>
    <x v="36"/>
    <x v="36"/>
    <n v="10701621.5"/>
    <x v="12"/>
    <n v="0"/>
    <n v="11106031.000000004"/>
    <n v="0"/>
    <m/>
    <n v="0"/>
    <m/>
    <n v="0"/>
    <m/>
    <n v="0"/>
    <m/>
    <n v="0"/>
    <n v="10395329.5"/>
    <n v="0"/>
    <n v="0"/>
    <m/>
    <n v="0"/>
    <m/>
    <n v="0"/>
    <m/>
    <n v="0"/>
    <n v="10913163.5"/>
    <n v="0"/>
    <n v="0"/>
    <n v="0"/>
    <n v="0"/>
    <n v="0"/>
    <m/>
    <s v=""/>
    <m/>
    <s v=""/>
    <n v="0"/>
    <s v=""/>
    <s v=""/>
    <m/>
    <n v="0"/>
    <s v="No change"/>
    <n v="0.25992104989487319"/>
    <n v="5.4673730437993617E-2"/>
    <n v="0"/>
    <n v="0"/>
    <n v="0"/>
    <n v="0"/>
    <n v="0"/>
    <n v="0"/>
  </r>
  <r>
    <x v="36"/>
    <x v="36"/>
    <n v="10701622.5"/>
    <x v="13"/>
    <n v="0"/>
    <n v="11106031.000000004"/>
    <n v="0"/>
    <m/>
    <n v="0"/>
    <m/>
    <n v="0"/>
    <m/>
    <n v="0"/>
    <m/>
    <n v="0"/>
    <n v="10395329.5"/>
    <n v="0"/>
    <n v="272"/>
    <m/>
    <n v="0"/>
    <m/>
    <n v="0"/>
    <m/>
    <n v="0"/>
    <n v="10913163.5"/>
    <n v="0"/>
    <n v="272"/>
    <n v="0"/>
    <n v="0"/>
    <n v="0"/>
    <m/>
    <s v=""/>
    <n v="272"/>
    <s v="2018 (triag)"/>
    <n v="272"/>
    <s v="2018 (triag)"/>
    <s v=""/>
    <n v="272"/>
    <n v="272"/>
    <s v="No change"/>
    <n v="0.25992104989487319"/>
    <n v="5.4673730437993617E-2"/>
    <n v="74.157915804316289"/>
    <n v="320.48108504855963"/>
    <n v="0"/>
    <n v="0.26165596771126881"/>
    <n v="0.24924028674178664"/>
    <n v="0.24924028674178664"/>
  </r>
  <r>
    <x v="36"/>
    <x v="36"/>
    <n v="10701623.5"/>
    <x v="14"/>
    <n v="0"/>
    <n v="11106031.000000004"/>
    <n v="0"/>
    <m/>
    <n v="0"/>
    <m/>
    <n v="0"/>
    <m/>
    <n v="0"/>
    <m/>
    <n v="0"/>
    <n v="10395329.5"/>
    <n v="0"/>
    <n v="0"/>
    <m/>
    <n v="580"/>
    <m/>
    <n v="623"/>
    <m/>
    <n v="0"/>
    <n v="10913163.5"/>
    <n v="0"/>
    <n v="0"/>
    <n v="0"/>
    <n v="580"/>
    <n v="623"/>
    <m/>
    <s v=""/>
    <n v="580"/>
    <n v="2019"/>
    <n v="623"/>
    <n v="2020"/>
    <s v=""/>
    <n v="623"/>
    <n v="623"/>
    <s v="Increasing"/>
    <n v="0.25992104989487319"/>
    <n v="5.4673730437993617E-2"/>
    <n v="0"/>
    <n v="0"/>
    <n v="0"/>
    <n v="0.55794287232549966"/>
    <n v="0.57087021558872453"/>
    <n v="0.57087021558872453"/>
  </r>
  <r>
    <x v="36"/>
    <x v="36"/>
    <n v="10701624.5"/>
    <x v="15"/>
    <n v="0"/>
    <n v="11106031.000000004"/>
    <n v="0"/>
    <m/>
    <n v="0"/>
    <m/>
    <n v="0"/>
    <m/>
    <n v="0"/>
    <m/>
    <n v="0"/>
    <n v="10395329.5"/>
    <n v="0"/>
    <n v="9"/>
    <m/>
    <n v="11"/>
    <m/>
    <n v="17"/>
    <m/>
    <n v="0"/>
    <n v="10913163.5"/>
    <n v="0"/>
    <n v="9"/>
    <n v="0"/>
    <n v="11"/>
    <n v="17"/>
    <m/>
    <s v=""/>
    <n v="9"/>
    <s v="2018 (triag)"/>
    <n v="17"/>
    <n v="2020"/>
    <s v=""/>
    <n v="17"/>
    <n v="17"/>
    <s v="Increasing"/>
    <n v="0.25992104989487319"/>
    <n v="5.4673730437993617E-2"/>
    <n v="2.4537545670545833"/>
    <n v="10.60415354940087"/>
    <n v="0"/>
    <n v="8.6577342257405116E-3"/>
    <n v="1.5577517921361665E-2"/>
    <n v="1.5577517921361665E-2"/>
  </r>
  <r>
    <x v="36"/>
    <x v="36"/>
    <n v="10701625.5"/>
    <x v="16"/>
    <n v="0"/>
    <n v="11106031.000000004"/>
    <n v="0"/>
    <m/>
    <n v="0"/>
    <m/>
    <n v="0"/>
    <m/>
    <n v="0"/>
    <m/>
    <n v="0"/>
    <n v="10395329.5"/>
    <n v="0"/>
    <n v="0"/>
    <m/>
    <n v="0"/>
    <m/>
    <n v="0"/>
    <m/>
    <n v="0"/>
    <n v="10913163.5"/>
    <n v="0"/>
    <n v="0"/>
    <n v="0"/>
    <n v="0"/>
    <n v="0"/>
    <m/>
    <s v=""/>
    <m/>
    <s v=""/>
    <n v="0"/>
    <s v=""/>
    <s v=""/>
    <m/>
    <n v="0"/>
    <s v="No change"/>
    <n v="0.25992104989487319"/>
    <n v="5.4673730437993617E-2"/>
    <n v="0"/>
    <n v="0"/>
    <n v="0"/>
    <n v="0"/>
    <n v="0"/>
    <n v="0"/>
  </r>
  <r>
    <x v="36"/>
    <x v="36"/>
    <n v="10701626.5"/>
    <x v="17"/>
    <n v="0"/>
    <n v="11106031.000000004"/>
    <n v="0"/>
    <m/>
    <n v="0"/>
    <m/>
    <n v="0"/>
    <m/>
    <n v="0"/>
    <m/>
    <n v="0"/>
    <n v="10395329.5"/>
    <n v="0"/>
    <n v="0"/>
    <m/>
    <n v="0"/>
    <m/>
    <n v="0"/>
    <m/>
    <n v="0"/>
    <n v="10913163.5"/>
    <n v="0"/>
    <n v="0"/>
    <n v="0"/>
    <n v="0"/>
    <n v="0"/>
    <m/>
    <s v=""/>
    <m/>
    <s v=""/>
    <n v="0"/>
    <s v=""/>
    <s v=""/>
    <m/>
    <n v="0"/>
    <s v="No change"/>
    <n v="0.25992104989487319"/>
    <n v="5.4673730437993617E-2"/>
    <n v="0"/>
    <n v="0"/>
    <n v="0"/>
    <n v="0"/>
    <n v="0"/>
    <n v="0"/>
  </r>
  <r>
    <x v="36"/>
    <x v="36"/>
    <n v="10701627.5"/>
    <x v="18"/>
    <n v="0"/>
    <n v="11106031.000000004"/>
    <n v="0"/>
    <m/>
    <n v="0"/>
    <m/>
    <n v="0"/>
    <m/>
    <n v="0"/>
    <m/>
    <n v="0"/>
    <n v="10395329.5"/>
    <n v="0"/>
    <n v="0"/>
    <m/>
    <n v="0"/>
    <m/>
    <n v="0"/>
    <m/>
    <n v="0"/>
    <n v="10913163.5"/>
    <n v="0"/>
    <n v="0"/>
    <n v="0"/>
    <n v="0"/>
    <n v="0"/>
    <m/>
    <s v=""/>
    <m/>
    <s v=""/>
    <n v="0"/>
    <s v=""/>
    <s v=""/>
    <m/>
    <n v="0"/>
    <s v="No change"/>
    <n v="0.25992104989487319"/>
    <n v="5.4673730437993617E-2"/>
    <n v="0"/>
    <n v="0"/>
    <n v="0"/>
    <n v="0"/>
    <n v="0"/>
    <n v="0"/>
  </r>
  <r>
    <x v="37"/>
    <x v="37"/>
    <n v="189929.5"/>
    <x v="0"/>
    <n v="0"/>
    <n v="193756.99999999997"/>
    <n v="0"/>
    <m/>
    <n v="0"/>
    <m/>
    <n v="0"/>
    <m/>
    <n v="0"/>
    <m/>
    <n v="0"/>
    <n v="211344"/>
    <n v="0"/>
    <n v="0"/>
    <m/>
    <n v="0"/>
    <m/>
    <n v="0"/>
    <m/>
    <n v="0"/>
    <n v="227379.5"/>
    <n v="0"/>
    <n v="0"/>
    <n v="0"/>
    <n v="0"/>
    <n v="0"/>
    <m/>
    <s v=""/>
    <m/>
    <s v=""/>
    <n v="0"/>
    <s v=""/>
    <s v=""/>
    <m/>
    <n v="0"/>
    <s v="No change"/>
    <n v="-0.16643545882510058"/>
    <n v="0.34338657876279233"/>
    <n v="0"/>
    <n v="0"/>
    <n v="0"/>
    <n v="0"/>
    <n v="0"/>
    <n v="0"/>
  </r>
  <r>
    <x v="37"/>
    <x v="37"/>
    <n v="189930.5"/>
    <x v="1"/>
    <n v="0"/>
    <n v="193756.99999999997"/>
    <n v="4"/>
    <m/>
    <n v="2217"/>
    <m/>
    <n v="0"/>
    <m/>
    <n v="0"/>
    <m/>
    <n v="61"/>
    <n v="211344"/>
    <n v="0"/>
    <n v="0"/>
    <m/>
    <n v="14"/>
    <m/>
    <n v="1344"/>
    <m/>
    <n v="44"/>
    <n v="227379.5"/>
    <n v="0"/>
    <n v="0"/>
    <n v="2217"/>
    <n v="61"/>
    <n v="1344"/>
    <n v="4"/>
    <n v="2013"/>
    <n v="61"/>
    <n v="2017"/>
    <n v="44"/>
    <n v="2021"/>
    <s v="Adjust"/>
    <n v="50.569140350098266"/>
    <n v="61"/>
    <s v="Decreasing"/>
    <n v="-0.16643545882510058"/>
    <n v="0.34338657876279233"/>
    <n v="0"/>
    <n v="0"/>
    <n v="0.20644415427571652"/>
    <n v="2.8862896509955331"/>
    <n v="2.223997341453309"/>
    <n v="2.6827396489129409"/>
  </r>
  <r>
    <x v="37"/>
    <x v="37"/>
    <n v="189931.5"/>
    <x v="2"/>
    <n v="0"/>
    <n v="193756.99999999997"/>
    <n v="24"/>
    <m/>
    <n v="4286"/>
    <m/>
    <n v="0"/>
    <m/>
    <n v="0"/>
    <m/>
    <n v="548"/>
    <n v="211344"/>
    <n v="0"/>
    <n v="0"/>
    <m/>
    <n v="26"/>
    <m/>
    <n v="0"/>
    <m/>
    <n v="245"/>
    <n v="227379.5"/>
    <n v="0"/>
    <n v="0"/>
    <n v="4286"/>
    <n v="548"/>
    <n v="245"/>
    <n v="24"/>
    <n v="2013"/>
    <n v="548"/>
    <n v="2017"/>
    <n v="245"/>
    <n v="2021"/>
    <s v="Adjust"/>
    <n v="281.57816785850173"/>
    <n v="548"/>
    <s v="Decreasing"/>
    <n v="-0.16643545882510058"/>
    <n v="0.34338657876279233"/>
    <n v="0"/>
    <n v="0"/>
    <n v="1.2386649256542992"/>
    <n v="25.92929063517299"/>
    <n v="12.383621560365016"/>
    <n v="24.100677501709697"/>
  </r>
  <r>
    <x v="37"/>
    <x v="37"/>
    <n v="189932.5"/>
    <x v="3"/>
    <n v="0"/>
    <n v="193756.99999999997"/>
    <n v="0"/>
    <m/>
    <n v="0"/>
    <m/>
    <n v="0"/>
    <m/>
    <n v="0"/>
    <m/>
    <n v="0"/>
    <n v="211344"/>
    <n v="0"/>
    <n v="0"/>
    <m/>
    <n v="0"/>
    <m/>
    <n v="0"/>
    <m/>
    <n v="0"/>
    <n v="227379.5"/>
    <n v="0"/>
    <n v="0"/>
    <n v="0"/>
    <n v="0"/>
    <n v="0"/>
    <m/>
    <s v=""/>
    <m/>
    <s v=""/>
    <n v="0"/>
    <s v=""/>
    <s v=""/>
    <m/>
    <n v="0"/>
    <s v="No change"/>
    <n v="-0.16643545882510058"/>
    <n v="0.34338657876279233"/>
    <n v="0"/>
    <n v="0"/>
    <n v="0"/>
    <n v="0"/>
    <n v="0"/>
    <n v="0"/>
  </r>
  <r>
    <x v="37"/>
    <x v="37"/>
    <n v="189933.5"/>
    <x v="4"/>
    <n v="0"/>
    <n v="193756.99999999997"/>
    <n v="0"/>
    <m/>
    <n v="0"/>
    <m/>
    <n v="0"/>
    <m/>
    <n v="0"/>
    <m/>
    <n v="0"/>
    <n v="211344"/>
    <n v="0"/>
    <n v="79"/>
    <m/>
    <n v="0"/>
    <m/>
    <n v="0"/>
    <m/>
    <n v="0"/>
    <n v="227379.5"/>
    <n v="0"/>
    <n v="79"/>
    <n v="0"/>
    <n v="0"/>
    <n v="0"/>
    <m/>
    <s v=""/>
    <n v="79"/>
    <s v="2018 (triag)"/>
    <n v="79"/>
    <s v="2018 (triag)"/>
    <s v=""/>
    <n v="79"/>
    <n v="79"/>
    <s v="No change"/>
    <n v="-0.16643545882510058"/>
    <n v="0.34338657876279233"/>
    <n v="181.56707535027212"/>
    <n v="221.31955088142104"/>
    <n v="0"/>
    <n v="3.7379816791581497"/>
    <n v="3.4743677420347923"/>
    <n v="3.4743677420347923"/>
  </r>
  <r>
    <x v="37"/>
    <x v="37"/>
    <n v="189934.5"/>
    <x v="5"/>
    <n v="0"/>
    <n v="193756.99999999997"/>
    <n v="0"/>
    <m/>
    <n v="0"/>
    <m/>
    <n v="0"/>
    <m/>
    <n v="0"/>
    <m/>
    <n v="0"/>
    <n v="211344"/>
    <n v="0"/>
    <n v="0"/>
    <m/>
    <n v="0"/>
    <m/>
    <n v="0"/>
    <m/>
    <n v="0"/>
    <n v="227379.5"/>
    <n v="0"/>
    <n v="0"/>
    <n v="0"/>
    <n v="0"/>
    <n v="0"/>
    <m/>
    <s v=""/>
    <m/>
    <s v=""/>
    <n v="0"/>
    <s v=""/>
    <s v=""/>
    <m/>
    <n v="0"/>
    <s v="No change"/>
    <n v="-0.16643545882510058"/>
    <n v="0.34338657876279233"/>
    <n v="0"/>
    <n v="0"/>
    <n v="0"/>
    <n v="0"/>
    <n v="0"/>
    <n v="0"/>
  </r>
  <r>
    <x v="37"/>
    <x v="37"/>
    <n v="189935.5"/>
    <x v="6"/>
    <n v="0"/>
    <n v="193756.99999999997"/>
    <n v="0"/>
    <m/>
    <n v="0"/>
    <m/>
    <n v="0"/>
    <m/>
    <n v="0"/>
    <m/>
    <n v="0"/>
    <n v="211344"/>
    <n v="0"/>
    <n v="146"/>
    <m/>
    <n v="0"/>
    <m/>
    <n v="0"/>
    <m/>
    <n v="0"/>
    <n v="227379.5"/>
    <n v="0"/>
    <n v="146"/>
    <n v="0"/>
    <n v="0"/>
    <n v="0"/>
    <m/>
    <s v=""/>
    <n v="146"/>
    <s v="2018 (triag)"/>
    <n v="146"/>
    <s v="2018 (triag)"/>
    <s v=""/>
    <n v="146"/>
    <n v="146"/>
    <s v="No change"/>
    <n v="-0.16643545882510058"/>
    <n v="0.34338657876279233"/>
    <n v="335.5543417865789"/>
    <n v="409.02094213528443"/>
    <n v="0"/>
    <n v="6.908168672874555"/>
    <n v="6.4209834219883497"/>
    <n v="6.4209834219883497"/>
  </r>
  <r>
    <x v="37"/>
    <x v="37"/>
    <n v="189936.5"/>
    <x v="7"/>
    <n v="0"/>
    <n v="193756.99999999997"/>
    <n v="0"/>
    <m/>
    <n v="0"/>
    <m/>
    <n v="0"/>
    <m/>
    <n v="0"/>
    <m/>
    <n v="0"/>
    <n v="211344"/>
    <n v="0"/>
    <n v="0"/>
    <m/>
    <n v="0"/>
    <m/>
    <n v="0"/>
    <m/>
    <n v="0"/>
    <n v="227379.5"/>
    <n v="0"/>
    <n v="0"/>
    <n v="0"/>
    <n v="0"/>
    <n v="0"/>
    <m/>
    <s v=""/>
    <m/>
    <s v=""/>
    <n v="0"/>
    <s v=""/>
    <s v=""/>
    <m/>
    <n v="0"/>
    <s v="No change"/>
    <n v="-0.16643545882510058"/>
    <n v="0.34338657876279233"/>
    <n v="0"/>
    <n v="0"/>
    <n v="0"/>
    <n v="0"/>
    <n v="0"/>
    <n v="0"/>
  </r>
  <r>
    <x v="37"/>
    <x v="37"/>
    <n v="189937.5"/>
    <x v="8"/>
    <n v="0"/>
    <n v="193756.99999999997"/>
    <n v="0"/>
    <m/>
    <n v="0"/>
    <m/>
    <n v="0"/>
    <m/>
    <n v="0"/>
    <m/>
    <n v="0"/>
    <n v="211344"/>
    <n v="0"/>
    <n v="0"/>
    <m/>
    <n v="0"/>
    <m/>
    <n v="0"/>
    <m/>
    <n v="0"/>
    <n v="227379.5"/>
    <n v="0"/>
    <n v="0"/>
    <n v="0"/>
    <n v="0"/>
    <n v="0"/>
    <m/>
    <s v=""/>
    <m/>
    <s v=""/>
    <n v="0"/>
    <s v=""/>
    <s v=""/>
    <m/>
    <n v="0"/>
    <s v="No change"/>
    <n v="-0.16643545882510058"/>
    <n v="0.34338657876279233"/>
    <n v="0"/>
    <n v="0"/>
    <n v="0"/>
    <n v="0"/>
    <n v="0"/>
    <n v="0"/>
  </r>
  <r>
    <x v="37"/>
    <x v="37"/>
    <n v="189938.5"/>
    <x v="9"/>
    <n v="0"/>
    <n v="193756.99999999997"/>
    <n v="0"/>
    <m/>
    <n v="0"/>
    <m/>
    <n v="0"/>
    <m/>
    <n v="0"/>
    <m/>
    <n v="0"/>
    <n v="211344"/>
    <n v="0"/>
    <n v="0"/>
    <m/>
    <n v="0"/>
    <m/>
    <n v="0"/>
    <m/>
    <n v="0"/>
    <n v="227379.5"/>
    <n v="0"/>
    <n v="0"/>
    <n v="0"/>
    <n v="0"/>
    <n v="0"/>
    <m/>
    <s v=""/>
    <m/>
    <s v=""/>
    <n v="0"/>
    <s v=""/>
    <s v=""/>
    <m/>
    <n v="0"/>
    <s v="No change"/>
    <n v="-0.16643545882510058"/>
    <n v="0.34338657876279233"/>
    <n v="0"/>
    <n v="0"/>
    <n v="0"/>
    <n v="0"/>
    <n v="0"/>
    <n v="0"/>
  </r>
  <r>
    <x v="37"/>
    <x v="37"/>
    <n v="189939.5"/>
    <x v="10"/>
    <n v="0"/>
    <n v="193756.99999999997"/>
    <n v="0"/>
    <m/>
    <n v="0"/>
    <m/>
    <n v="0"/>
    <m/>
    <n v="0"/>
    <m/>
    <n v="0"/>
    <n v="211344"/>
    <n v="0"/>
    <n v="0"/>
    <m/>
    <n v="0"/>
    <m/>
    <n v="0"/>
    <m/>
    <n v="0"/>
    <n v="227379.5"/>
    <n v="0"/>
    <n v="0"/>
    <n v="0"/>
    <n v="0"/>
    <n v="0"/>
    <m/>
    <s v=""/>
    <m/>
    <s v=""/>
    <n v="0"/>
    <s v=""/>
    <s v=""/>
    <m/>
    <n v="0"/>
    <s v="No change"/>
    <n v="-0.16643545882510058"/>
    <n v="0.34338657876279233"/>
    <n v="0"/>
    <n v="0"/>
    <n v="0"/>
    <n v="0"/>
    <n v="0"/>
    <n v="0"/>
  </r>
  <r>
    <x v="37"/>
    <x v="37"/>
    <n v="189940.5"/>
    <x v="11"/>
    <n v="0"/>
    <n v="193756.99999999997"/>
    <n v="0"/>
    <m/>
    <n v="0"/>
    <m/>
    <n v="0"/>
    <m/>
    <n v="0"/>
    <m/>
    <n v="0"/>
    <n v="211344"/>
    <n v="0"/>
    <n v="0"/>
    <m/>
    <n v="0"/>
    <m/>
    <n v="0"/>
    <m/>
    <n v="0"/>
    <n v="227379.5"/>
    <n v="0"/>
    <n v="0"/>
    <n v="0"/>
    <n v="0"/>
    <n v="0"/>
    <m/>
    <s v=""/>
    <m/>
    <s v=""/>
    <n v="0"/>
    <s v=""/>
    <s v=""/>
    <m/>
    <n v="0"/>
    <s v="No change"/>
    <n v="-0.16643545882510058"/>
    <n v="0.34338657876279233"/>
    <n v="0"/>
    <n v="0"/>
    <n v="0"/>
    <n v="0"/>
    <n v="0"/>
    <n v="0"/>
  </r>
  <r>
    <x v="37"/>
    <x v="37"/>
    <n v="189941.5"/>
    <x v="12"/>
    <n v="0"/>
    <n v="193756.99999999997"/>
    <n v="0"/>
    <m/>
    <n v="0"/>
    <m/>
    <n v="0"/>
    <m/>
    <n v="0"/>
    <m/>
    <n v="0"/>
    <n v="211344"/>
    <n v="0"/>
    <n v="271"/>
    <m/>
    <n v="0"/>
    <m/>
    <n v="0"/>
    <m/>
    <n v="0"/>
    <n v="227379.5"/>
    <n v="0"/>
    <n v="271"/>
    <n v="0"/>
    <n v="0"/>
    <n v="0"/>
    <m/>
    <s v=""/>
    <n v="271"/>
    <s v="2018 (triag)"/>
    <n v="271"/>
    <s v="2018 (triag)"/>
    <s v=""/>
    <n v="271"/>
    <n v="271"/>
    <s v="No change"/>
    <n v="-0.16643545882510058"/>
    <n v="0.34338657876279233"/>
    <n v="622.84401797371834"/>
    <n v="759.21010492234302"/>
    <n v="0"/>
    <n v="12.822696646226058"/>
    <n v="11.91840073533454"/>
    <n v="11.91840073533454"/>
  </r>
  <r>
    <x v="37"/>
    <x v="37"/>
    <n v="189942.5"/>
    <x v="13"/>
    <n v="0"/>
    <n v="193756.99999999997"/>
    <n v="0"/>
    <m/>
    <n v="0"/>
    <m/>
    <n v="0"/>
    <m/>
    <n v="0"/>
    <m/>
    <n v="0"/>
    <n v="211344"/>
    <n v="0"/>
    <n v="0"/>
    <m/>
    <n v="0"/>
    <m/>
    <n v="0"/>
    <m/>
    <n v="0"/>
    <n v="227379.5"/>
    <n v="0"/>
    <n v="0"/>
    <n v="0"/>
    <n v="0"/>
    <n v="0"/>
    <m/>
    <s v=""/>
    <m/>
    <s v=""/>
    <n v="0"/>
    <s v=""/>
    <s v=""/>
    <m/>
    <n v="0"/>
    <s v="No change"/>
    <n v="-0.16643545882510058"/>
    <n v="0.34338657876279233"/>
    <n v="0"/>
    <n v="0"/>
    <n v="0"/>
    <n v="0"/>
    <n v="0"/>
    <n v="0"/>
  </r>
  <r>
    <x v="37"/>
    <x v="37"/>
    <n v="189943.5"/>
    <x v="14"/>
    <n v="0"/>
    <n v="193756.99999999997"/>
    <n v="0"/>
    <m/>
    <n v="0"/>
    <m/>
    <n v="0"/>
    <m/>
    <n v="0"/>
    <m/>
    <n v="0"/>
    <n v="211344"/>
    <n v="0"/>
    <n v="0"/>
    <m/>
    <n v="0"/>
    <m/>
    <n v="0"/>
    <m/>
    <n v="0"/>
    <n v="227379.5"/>
    <n v="0"/>
    <n v="0"/>
    <n v="0"/>
    <n v="0"/>
    <n v="0"/>
    <m/>
    <s v=""/>
    <m/>
    <s v=""/>
    <n v="0"/>
    <s v=""/>
    <s v=""/>
    <m/>
    <n v="0"/>
    <s v="No change"/>
    <n v="-0.16643545882510058"/>
    <n v="0.34338657876279233"/>
    <n v="0"/>
    <n v="0"/>
    <n v="0"/>
    <n v="0"/>
    <n v="0"/>
    <n v="0"/>
  </r>
  <r>
    <x v="37"/>
    <x v="37"/>
    <n v="189944.5"/>
    <x v="15"/>
    <n v="0"/>
    <n v="193756.99999999997"/>
    <n v="0"/>
    <m/>
    <n v="0"/>
    <m/>
    <n v="0"/>
    <m/>
    <n v="0"/>
    <m/>
    <n v="0"/>
    <n v="211344"/>
    <n v="0"/>
    <n v="0"/>
    <m/>
    <n v="0"/>
    <m/>
    <n v="0"/>
    <m/>
    <n v="0"/>
    <n v="227379.5"/>
    <n v="0"/>
    <n v="0"/>
    <n v="0"/>
    <n v="0"/>
    <n v="0"/>
    <m/>
    <s v=""/>
    <m/>
    <s v=""/>
    <n v="0"/>
    <s v=""/>
    <s v=""/>
    <m/>
    <n v="0"/>
    <s v="No change"/>
    <n v="-0.16643545882510058"/>
    <n v="0.34338657876279233"/>
    <n v="0"/>
    <n v="0"/>
    <n v="0"/>
    <n v="0"/>
    <n v="0"/>
    <n v="0"/>
  </r>
  <r>
    <x v="37"/>
    <x v="37"/>
    <n v="189945.5"/>
    <x v="16"/>
    <n v="0"/>
    <n v="193756.99999999997"/>
    <n v="0"/>
    <m/>
    <n v="0"/>
    <m/>
    <n v="0"/>
    <m/>
    <n v="0"/>
    <m/>
    <n v="0"/>
    <n v="211344"/>
    <n v="0"/>
    <n v="0"/>
    <m/>
    <n v="0"/>
    <m/>
    <n v="0"/>
    <m/>
    <n v="0"/>
    <n v="227379.5"/>
    <n v="0"/>
    <n v="0"/>
    <n v="0"/>
    <n v="0"/>
    <n v="0"/>
    <m/>
    <s v=""/>
    <m/>
    <s v=""/>
    <n v="0"/>
    <s v=""/>
    <s v=""/>
    <m/>
    <n v="0"/>
    <s v="No change"/>
    <n v="-0.16643545882510058"/>
    <n v="0.34338657876279233"/>
    <n v="0"/>
    <n v="0"/>
    <n v="0"/>
    <n v="0"/>
    <n v="0"/>
    <n v="0"/>
  </r>
  <r>
    <x v="37"/>
    <x v="37"/>
    <n v="189946.5"/>
    <x v="17"/>
    <n v="0"/>
    <n v="193756.99999999997"/>
    <n v="0"/>
    <m/>
    <n v="0"/>
    <m/>
    <n v="0"/>
    <m/>
    <n v="0"/>
    <m/>
    <n v="0"/>
    <n v="211344"/>
    <n v="0"/>
    <n v="0"/>
    <m/>
    <n v="0"/>
    <m/>
    <n v="0"/>
    <m/>
    <n v="0"/>
    <n v="227379.5"/>
    <n v="0"/>
    <n v="0"/>
    <n v="0"/>
    <n v="0"/>
    <n v="0"/>
    <m/>
    <s v=""/>
    <m/>
    <s v=""/>
    <n v="0"/>
    <s v=""/>
    <s v=""/>
    <m/>
    <n v="0"/>
    <s v="No change"/>
    <n v="-0.16643545882510058"/>
    <n v="0.34338657876279233"/>
    <n v="0"/>
    <n v="0"/>
    <n v="0"/>
    <n v="0"/>
    <n v="0"/>
    <n v="0"/>
  </r>
  <r>
    <x v="37"/>
    <x v="37"/>
    <n v="189947.5"/>
    <x v="18"/>
    <n v="0"/>
    <n v="193756.99999999997"/>
    <n v="0"/>
    <m/>
    <n v="0"/>
    <m/>
    <n v="0"/>
    <m/>
    <n v="0"/>
    <m/>
    <n v="0"/>
    <n v="211344"/>
    <n v="0"/>
    <n v="0"/>
    <m/>
    <n v="0"/>
    <m/>
    <n v="0"/>
    <m/>
    <n v="0"/>
    <n v="227379.5"/>
    <n v="0"/>
    <n v="0"/>
    <n v="0"/>
    <n v="0"/>
    <n v="0"/>
    <m/>
    <s v=""/>
    <m/>
    <s v=""/>
    <n v="0"/>
    <s v=""/>
    <s v=""/>
    <m/>
    <n v="0"/>
    <s v="No change"/>
    <n v="-0.16643545882510058"/>
    <n v="0.34338657876279233"/>
    <n v="0"/>
    <n v="0"/>
    <n v="0"/>
    <n v="0"/>
    <n v="0"/>
    <n v="0"/>
  </r>
  <r>
    <x v="38"/>
    <x v="38"/>
    <n v="1111449"/>
    <x v="0"/>
    <n v="0"/>
    <n v="1118318.9999999998"/>
    <n v="0"/>
    <m/>
    <n v="0"/>
    <m/>
    <n v="0"/>
    <m/>
    <n v="0"/>
    <m/>
    <n v="0"/>
    <n v="1160427.5"/>
    <n v="6324"/>
    <n v="6324"/>
    <m/>
    <n v="0"/>
    <m/>
    <n v="5386"/>
    <m/>
    <n v="0"/>
    <n v="1201670.4999999995"/>
    <n v="3200"/>
    <n v="6324"/>
    <n v="0"/>
    <n v="6324"/>
    <n v="5386"/>
    <m/>
    <s v=""/>
    <n v="6324"/>
    <n v="2018"/>
    <n v="3200"/>
    <n v="2022"/>
    <s v="Adjust"/>
    <n v="4586.4308415089126"/>
    <n v="6324"/>
    <s v="Decreasing"/>
    <n v="-0.11185567778326533"/>
    <n v="0.45661638376408309"/>
    <n v="11063.266634907941"/>
    <n v="24883.403885705367"/>
    <n v="0"/>
    <n v="54.497157297633848"/>
    <n v="38.167125193710874"/>
    <n v="52.626739193481093"/>
  </r>
  <r>
    <x v="38"/>
    <x v="38"/>
    <n v="1111450"/>
    <x v="1"/>
    <n v="0"/>
    <n v="1118318.9999999998"/>
    <n v="0"/>
    <m/>
    <n v="0"/>
    <m/>
    <n v="15"/>
    <m/>
    <n v="0"/>
    <m/>
    <n v="0"/>
    <n v="1160427.5"/>
    <n v="31"/>
    <n v="31"/>
    <m/>
    <n v="0"/>
    <m/>
    <n v="0"/>
    <m/>
    <n v="0"/>
    <n v="1201670.4999999995"/>
    <n v="10"/>
    <n v="0"/>
    <n v="15"/>
    <n v="31"/>
    <n v="10"/>
    <n v="15"/>
    <n v="2015"/>
    <n v="31"/>
    <n v="2018"/>
    <n v="10"/>
    <n v="2022"/>
    <s v="Adjust"/>
    <n v="14.332596379715351"/>
    <n v="31"/>
    <s v="Decreasing"/>
    <n v="-0.11185567778326533"/>
    <n v="0.45661638376408309"/>
    <n v="0"/>
    <n v="0"/>
    <n v="0.13412988601642289"/>
    <n v="0.26714292792957767"/>
    <n v="0.11927226623034649"/>
    <n v="0.25797421173275048"/>
  </r>
  <r>
    <x v="38"/>
    <x v="38"/>
    <n v="1111451"/>
    <x v="2"/>
    <n v="4646"/>
    <n v="1118318.9999999998"/>
    <n v="0"/>
    <m/>
    <n v="234"/>
    <m/>
    <n v="428"/>
    <m/>
    <n v="0"/>
    <m/>
    <n v="0"/>
    <n v="1160427.5"/>
    <n v="275"/>
    <n v="275"/>
    <m/>
    <n v="0"/>
    <m/>
    <n v="0"/>
    <m/>
    <n v="0"/>
    <n v="1201670.4999999995"/>
    <n v="83"/>
    <n v="187"/>
    <n v="4646"/>
    <n v="275"/>
    <n v="83"/>
    <n v="4646"/>
    <n v="2012"/>
    <n v="275"/>
    <n v="2018"/>
    <n v="83"/>
    <n v="2022"/>
    <s v="Adjust"/>
    <n v="118.96054995163742"/>
    <n v="275"/>
    <s v="Decreasing"/>
    <n v="-0.11185567778326533"/>
    <n v="0.45661638376408309"/>
    <n v="327.13960479566492"/>
    <n v="735.79957726548139"/>
    <n v="41.544496695486714"/>
    <n v="2.3698162961494793"/>
    <n v="0.9899598097118758"/>
    <n v="2.2884809105324639"/>
  </r>
  <r>
    <x v="38"/>
    <x v="38"/>
    <n v="1111452"/>
    <x v="3"/>
    <n v="0"/>
    <n v="1118318.9999999998"/>
    <n v="0"/>
    <m/>
    <n v="0"/>
    <m/>
    <n v="0"/>
    <m/>
    <n v="0"/>
    <m/>
    <n v="0"/>
    <n v="1160427.5"/>
    <n v="0"/>
    <n v="927"/>
    <m/>
    <n v="0"/>
    <m/>
    <n v="0"/>
    <m/>
    <n v="0"/>
    <n v="1201670.4999999995"/>
    <n v="0"/>
    <n v="927"/>
    <n v="0"/>
    <n v="0"/>
    <n v="0"/>
    <m/>
    <s v=""/>
    <n v="927"/>
    <s v="2018 (triag)"/>
    <n v="927"/>
    <s v="2018 (triag)"/>
    <s v=""/>
    <n v="927"/>
    <n v="927"/>
    <s v="No change"/>
    <n v="-0.11185567778326533"/>
    <n v="0.45661638376408309"/>
    <n v="1621.7027467678149"/>
    <n v="3647.5198295459959"/>
    <n v="0"/>
    <n v="7.9884352964747904"/>
    <n v="7.7142611056857966"/>
    <n v="7.7142611056857966"/>
  </r>
  <r>
    <x v="38"/>
    <x v="38"/>
    <n v="1111453"/>
    <x v="4"/>
    <n v="0"/>
    <n v="1118318.9999999998"/>
    <n v="0"/>
    <m/>
    <n v="0"/>
    <m/>
    <n v="0"/>
    <m/>
    <n v="0"/>
    <m/>
    <n v="0"/>
    <n v="1160427.5"/>
    <n v="0"/>
    <n v="195"/>
    <m/>
    <n v="0"/>
    <m/>
    <n v="0"/>
    <m/>
    <n v="0"/>
    <n v="1201670.4999999995"/>
    <n v="0"/>
    <n v="195"/>
    <n v="0"/>
    <n v="0"/>
    <n v="0"/>
    <m/>
    <s v=""/>
    <n v="195"/>
    <s v="2018 (triag)"/>
    <n v="195"/>
    <s v="2018 (triag)"/>
    <s v=""/>
    <n v="195"/>
    <n v="195"/>
    <s v="No change"/>
    <n v="-0.11185567778326533"/>
    <n v="0.45661638376408309"/>
    <n v="341.13488200617462"/>
    <n v="767.27763404689233"/>
    <n v="0"/>
    <n v="1.6804151918150854"/>
    <n v="1.6227410092866561"/>
    <n v="1.6227410092866561"/>
  </r>
  <r>
    <x v="38"/>
    <x v="38"/>
    <n v="1111454"/>
    <x v="5"/>
    <n v="0"/>
    <n v="1118318.9999999998"/>
    <n v="0"/>
    <m/>
    <n v="0"/>
    <m/>
    <n v="0"/>
    <m/>
    <n v="0"/>
    <m/>
    <n v="0"/>
    <n v="1160427.5"/>
    <n v="0"/>
    <n v="0"/>
    <m/>
    <n v="3"/>
    <m/>
    <n v="0"/>
    <m/>
    <n v="0"/>
    <n v="1201670.4999999995"/>
    <n v="0"/>
    <n v="0"/>
    <n v="0"/>
    <n v="3"/>
    <n v="0"/>
    <m/>
    <s v=""/>
    <n v="3"/>
    <n v="2019"/>
    <n v="3"/>
    <n v="2019"/>
    <s v=""/>
    <n v="3"/>
    <n v="3"/>
    <s v="No change"/>
    <n v="-0.11185567778326533"/>
    <n v="0.45661638376408309"/>
    <n v="0"/>
    <n v="0"/>
    <n v="0"/>
    <n v="2.5852541412539776E-2"/>
    <n v="2.4965246296717786E-2"/>
    <n v="2.4965246296717786E-2"/>
  </r>
  <r>
    <x v="38"/>
    <x v="38"/>
    <n v="1111455"/>
    <x v="6"/>
    <n v="0"/>
    <n v="1118318.9999999998"/>
    <n v="0"/>
    <m/>
    <n v="0"/>
    <m/>
    <n v="0"/>
    <m/>
    <n v="0"/>
    <m/>
    <n v="0"/>
    <n v="1160427.5"/>
    <n v="370"/>
    <n v="370"/>
    <m/>
    <n v="0"/>
    <m/>
    <n v="0"/>
    <m/>
    <n v="0"/>
    <n v="1201670.4999999995"/>
    <n v="130"/>
    <n v="84"/>
    <n v="0"/>
    <n v="370"/>
    <n v="130"/>
    <m/>
    <s v=""/>
    <n v="370"/>
    <n v="2018"/>
    <n v="130"/>
    <n v="2022"/>
    <s v="Adjust"/>
    <n v="186.32375293629957"/>
    <n v="370"/>
    <s v="Decreasing"/>
    <n v="-0.11185567778326533"/>
    <n v="0.45661638376408309"/>
    <n v="146.95041071035214"/>
    <n v="330.51959620481517"/>
    <n v="0"/>
    <n v="3.1884801075465723"/>
    <n v="1.5505394609945042"/>
    <n v="3.0790470432618604"/>
  </r>
  <r>
    <x v="38"/>
    <x v="38"/>
    <n v="1111456"/>
    <x v="7"/>
    <n v="0"/>
    <n v="1118318.9999999998"/>
    <n v="0"/>
    <m/>
    <n v="0"/>
    <m/>
    <n v="0"/>
    <m/>
    <n v="0"/>
    <m/>
    <n v="0"/>
    <n v="1160427.5"/>
    <n v="0"/>
    <n v="28"/>
    <m/>
    <n v="0"/>
    <m/>
    <n v="30"/>
    <m/>
    <n v="0"/>
    <n v="1201670.4999999995"/>
    <n v="0"/>
    <n v="28"/>
    <n v="0"/>
    <n v="0"/>
    <n v="30"/>
    <m/>
    <s v=""/>
    <n v="28"/>
    <s v="2018 (triag)"/>
    <n v="30"/>
    <n v="2020"/>
    <s v=""/>
    <n v="30"/>
    <n v="30"/>
    <s v="Increasing"/>
    <n v="-0.11185567778326533"/>
    <n v="0.45661638376408309"/>
    <n v="48.983470236784051"/>
    <n v="110.17319873493838"/>
    <n v="0"/>
    <n v="0.24129038651703791"/>
    <n v="0.24965246296717788"/>
    <n v="0.24965246296717788"/>
  </r>
  <r>
    <x v="38"/>
    <x v="38"/>
    <n v="1111457"/>
    <x v="8"/>
    <n v="0"/>
    <n v="1118318.9999999998"/>
    <n v="0"/>
    <m/>
    <n v="0"/>
    <m/>
    <n v="0"/>
    <m/>
    <n v="0"/>
    <m/>
    <n v="0"/>
    <n v="1160427.5"/>
    <n v="0"/>
    <n v="47"/>
    <m/>
    <n v="0"/>
    <m/>
    <n v="53"/>
    <m/>
    <n v="0"/>
    <n v="1201670.4999999995"/>
    <n v="64"/>
    <n v="47"/>
    <n v="0"/>
    <n v="0"/>
    <n v="64"/>
    <m/>
    <s v=""/>
    <n v="47"/>
    <s v="2018 (triag)"/>
    <n v="64"/>
    <n v="2022"/>
    <s v=""/>
    <n v="64"/>
    <n v="64"/>
    <s v="Increasing"/>
    <n v="-0.11185567778326533"/>
    <n v="0.45661638376408309"/>
    <n v="82.222253611744662"/>
    <n v="184.93358359078942"/>
    <n v="0"/>
    <n v="0.40502314879645646"/>
    <n v="0.5325919209966461"/>
    <n v="0.5325919209966461"/>
  </r>
  <r>
    <x v="38"/>
    <x v="38"/>
    <n v="1111458"/>
    <x v="9"/>
    <n v="0"/>
    <n v="1118318.9999999998"/>
    <n v="0"/>
    <m/>
    <n v="0"/>
    <m/>
    <n v="0"/>
    <m/>
    <n v="0"/>
    <m/>
    <n v="0"/>
    <n v="1160427.5"/>
    <n v="0"/>
    <n v="2084"/>
    <m/>
    <n v="0"/>
    <m/>
    <n v="0"/>
    <m/>
    <n v="0"/>
    <n v="1201670.4999999995"/>
    <n v="0"/>
    <n v="2084"/>
    <n v="0"/>
    <n v="0"/>
    <n v="0"/>
    <m/>
    <s v=""/>
    <n v="2084"/>
    <s v="2018 (triag)"/>
    <n v="2084"/>
    <s v="2018 (triag)"/>
    <s v=""/>
    <n v="2084"/>
    <n v="2084"/>
    <s v="No change"/>
    <n v="-0.11185567778326533"/>
    <n v="0.45661638376408309"/>
    <n v="3645.7697133377842"/>
    <n v="8200.0337915575565"/>
    <n v="0"/>
    <n v="17.958898767910963"/>
    <n v="17.342524427453288"/>
    <n v="17.342524427453288"/>
  </r>
  <r>
    <x v="38"/>
    <x v="38"/>
    <n v="1111459"/>
    <x v="10"/>
    <n v="0"/>
    <n v="1118318.9999999998"/>
    <n v="0"/>
    <m/>
    <n v="0"/>
    <m/>
    <n v="0"/>
    <m/>
    <n v="0"/>
    <m/>
    <n v="0"/>
    <n v="1160427.5"/>
    <n v="0"/>
    <n v="12"/>
    <m/>
    <n v="0"/>
    <m/>
    <n v="6"/>
    <m/>
    <n v="0"/>
    <n v="1201670.4999999995"/>
    <n v="6"/>
    <n v="12"/>
    <n v="0"/>
    <n v="0"/>
    <n v="6"/>
    <m/>
    <s v=""/>
    <n v="12"/>
    <s v="2018 (triag)"/>
    <n v="6"/>
    <n v="2020"/>
    <s v="Adjust"/>
    <n v="8.5995578278292122"/>
    <n v="12"/>
    <s v="Decreasing"/>
    <n v="-0.11185567778326533"/>
    <n v="0.45661638376408309"/>
    <n v="20.992915815764594"/>
    <n v="47.217085172116448"/>
    <n v="0"/>
    <n v="0.10341016565015911"/>
    <n v="7.1563359738207891E-2"/>
    <n v="9.9860985186871143E-2"/>
  </r>
  <r>
    <x v="38"/>
    <x v="38"/>
    <n v="1111460"/>
    <x v="11"/>
    <n v="0"/>
    <n v="1118318.9999999998"/>
    <n v="0"/>
    <m/>
    <n v="0"/>
    <m/>
    <n v="0"/>
    <m/>
    <n v="0"/>
    <m/>
    <n v="0"/>
    <n v="1160427.5"/>
    <n v="0"/>
    <n v="1215"/>
    <m/>
    <n v="0"/>
    <m/>
    <n v="52"/>
    <m/>
    <n v="0"/>
    <n v="1201670.4999999995"/>
    <n v="0"/>
    <n v="1215"/>
    <n v="0"/>
    <n v="0"/>
    <n v="52"/>
    <m/>
    <s v=""/>
    <n v="1215"/>
    <s v="2018 (triag)"/>
    <n v="52"/>
    <n v="2020"/>
    <s v="Adjust"/>
    <n v="74.529501174519837"/>
    <n v="1215"/>
    <s v="Decreasing"/>
    <n v="-0.11185567778326533"/>
    <n v="0.45661638376408309"/>
    <n v="2125.532726346165"/>
    <n v="4780.7298736767907"/>
    <n v="0"/>
    <n v="10.470279272078608"/>
    <n v="0.62021578439780178"/>
    <n v="10.110924750170703"/>
  </r>
  <r>
    <x v="38"/>
    <x v="38"/>
    <n v="1111461"/>
    <x v="12"/>
    <n v="0"/>
    <n v="1118318.9999999998"/>
    <n v="0"/>
    <m/>
    <n v="0"/>
    <m/>
    <n v="0"/>
    <m/>
    <n v="0"/>
    <m/>
    <n v="0"/>
    <n v="1160427.5"/>
    <n v="0"/>
    <n v="85"/>
    <m/>
    <n v="0"/>
    <m/>
    <n v="1861"/>
    <m/>
    <n v="0"/>
    <n v="1201670.4999999995"/>
    <n v="0"/>
    <n v="85"/>
    <n v="0"/>
    <n v="0"/>
    <n v="1861"/>
    <m/>
    <s v=""/>
    <n v="85"/>
    <s v="2018 (triag)"/>
    <n v="1861"/>
    <n v="2020"/>
    <s v=""/>
    <n v="1861"/>
    <n v="1861"/>
    <s v="Increasing"/>
    <n v="-0.11185567778326533"/>
    <n v="0.45661638376408309"/>
    <n v="148.69982036166587"/>
    <n v="334.45435330249154"/>
    <n v="0"/>
    <n v="0.73248867335529366"/>
    <n v="15.4867744527306"/>
    <n v="15.4867744527306"/>
  </r>
  <r>
    <x v="38"/>
    <x v="38"/>
    <n v="1111462"/>
    <x v="13"/>
    <n v="0"/>
    <n v="1118318.9999999998"/>
    <n v="0"/>
    <m/>
    <n v="0"/>
    <m/>
    <n v="0"/>
    <m/>
    <n v="0"/>
    <m/>
    <n v="0"/>
    <n v="1160427.5"/>
    <n v="0"/>
    <n v="370"/>
    <m/>
    <n v="0"/>
    <m/>
    <n v="0"/>
    <m/>
    <n v="0"/>
    <n v="1201670.4999999995"/>
    <n v="249"/>
    <n v="370"/>
    <n v="0"/>
    <n v="0"/>
    <n v="249"/>
    <m/>
    <s v=""/>
    <n v="370"/>
    <s v="2018 (triag)"/>
    <n v="249"/>
    <n v="2022"/>
    <s v="Adjust"/>
    <n v="356.88164985491227"/>
    <n v="370"/>
    <s v="Decreasing"/>
    <n v="-0.11185567778326533"/>
    <n v="0.45661638376408309"/>
    <n v="647.28157098607494"/>
    <n v="1455.8601261402573"/>
    <n v="0"/>
    <n v="3.1884801075465723"/>
    <n v="2.9698794291356276"/>
    <n v="3.0790470432618604"/>
  </r>
  <r>
    <x v="38"/>
    <x v="38"/>
    <n v="1111463"/>
    <x v="14"/>
    <n v="0"/>
    <n v="1118318.9999999998"/>
    <n v="0"/>
    <m/>
    <n v="0"/>
    <m/>
    <n v="0"/>
    <m/>
    <n v="0"/>
    <m/>
    <n v="0"/>
    <n v="1160427.5"/>
    <n v="0"/>
    <n v="29"/>
    <m/>
    <n v="0"/>
    <m/>
    <n v="0"/>
    <m/>
    <n v="0"/>
    <n v="1201670.4999999995"/>
    <n v="0"/>
    <n v="29"/>
    <n v="0"/>
    <n v="0"/>
    <n v="0"/>
    <m/>
    <s v=""/>
    <n v="29"/>
    <s v="2018 (triag)"/>
    <n v="29"/>
    <s v="2018 (triag)"/>
    <s v=""/>
    <n v="29"/>
    <n v="29"/>
    <s v="No change"/>
    <n v="-0.11185567778326533"/>
    <n v="0.45661638376408309"/>
    <n v="50.73287988809777"/>
    <n v="114.10795583261475"/>
    <n v="0"/>
    <n v="0.24990790032121782"/>
    <n v="0.24133071420160526"/>
    <n v="0.24133071420160526"/>
  </r>
  <r>
    <x v="38"/>
    <x v="38"/>
    <n v="1111464"/>
    <x v="15"/>
    <n v="0"/>
    <n v="1118318.9999999998"/>
    <n v="0"/>
    <m/>
    <n v="0"/>
    <m/>
    <n v="0"/>
    <m/>
    <n v="0"/>
    <m/>
    <n v="0"/>
    <n v="1160427.5"/>
    <n v="0"/>
    <n v="29"/>
    <m/>
    <n v="0"/>
    <m/>
    <n v="15"/>
    <m/>
    <n v="0"/>
    <n v="1201670.4999999995"/>
    <n v="32"/>
    <n v="29"/>
    <n v="0"/>
    <n v="0"/>
    <n v="32"/>
    <m/>
    <s v=""/>
    <n v="29"/>
    <s v="2018 (triag)"/>
    <n v="32"/>
    <n v="2022"/>
    <s v=""/>
    <n v="32"/>
    <n v="32"/>
    <s v="Increasing"/>
    <n v="-0.11185567778326533"/>
    <n v="0.45661638376408309"/>
    <n v="50.73287988809777"/>
    <n v="114.10795583261475"/>
    <n v="0"/>
    <n v="0.24990790032121782"/>
    <n v="0.26629596049832305"/>
    <n v="0.26629596049832305"/>
  </r>
  <r>
    <x v="38"/>
    <x v="38"/>
    <n v="1111465"/>
    <x v="16"/>
    <n v="0"/>
    <n v="1118318.9999999998"/>
    <n v="0"/>
    <m/>
    <n v="0"/>
    <m/>
    <n v="0"/>
    <m/>
    <n v="0"/>
    <m/>
    <n v="0"/>
    <n v="1160427.5"/>
    <n v="0"/>
    <n v="0"/>
    <m/>
    <n v="0"/>
    <m/>
    <n v="38"/>
    <m/>
    <n v="0"/>
    <n v="1201670.4999999995"/>
    <n v="0"/>
    <n v="0"/>
    <n v="0"/>
    <n v="0"/>
    <n v="38"/>
    <m/>
    <s v=""/>
    <m/>
    <s v=""/>
    <n v="38"/>
    <n v="2020"/>
    <s v=""/>
    <n v="38"/>
    <n v="38"/>
    <s v="Increasing"/>
    <n v="-0.11185567778326533"/>
    <n v="0.45661638376408309"/>
    <n v="0"/>
    <n v="0"/>
    <n v="0"/>
    <n v="0"/>
    <n v="0.31622645309175862"/>
    <n v="0.31622645309175862"/>
  </r>
  <r>
    <x v="38"/>
    <x v="38"/>
    <n v="1111466"/>
    <x v="17"/>
    <n v="0"/>
    <n v="1118318.9999999998"/>
    <n v="0"/>
    <m/>
    <n v="0"/>
    <m/>
    <n v="0"/>
    <m/>
    <n v="0"/>
    <m/>
    <n v="0"/>
    <n v="1160427.5"/>
    <n v="0"/>
    <n v="0"/>
    <m/>
    <n v="0"/>
    <m/>
    <n v="7"/>
    <m/>
    <n v="0"/>
    <n v="1201670.4999999995"/>
    <n v="14"/>
    <n v="0"/>
    <n v="0"/>
    <n v="0"/>
    <n v="14"/>
    <m/>
    <s v=""/>
    <m/>
    <s v=""/>
    <n v="14"/>
    <n v="2022"/>
    <s v=""/>
    <n v="14"/>
    <n v="14"/>
    <s v="Increasing"/>
    <n v="-0.11185567778326533"/>
    <n v="0.45661638376408309"/>
    <n v="0"/>
    <n v="0"/>
    <n v="0"/>
    <n v="0"/>
    <n v="0.11650448271801633"/>
    <n v="0.11650448271801633"/>
  </r>
  <r>
    <x v="38"/>
    <x v="38"/>
    <n v="1111467"/>
    <x v="18"/>
    <n v="0"/>
    <n v="1118318.9999999998"/>
    <n v="0"/>
    <m/>
    <n v="0"/>
    <m/>
    <n v="0"/>
    <m/>
    <n v="0"/>
    <m/>
    <n v="0"/>
    <n v="1160427.5"/>
    <n v="0"/>
    <n v="7"/>
    <m/>
    <n v="0"/>
    <m/>
    <n v="0"/>
    <m/>
    <n v="0"/>
    <n v="1201670.4999999995"/>
    <n v="0"/>
    <n v="7"/>
    <n v="0"/>
    <n v="0"/>
    <n v="0"/>
    <m/>
    <s v=""/>
    <n v="7"/>
    <s v="2018 (triag)"/>
    <n v="7"/>
    <s v="2018 (triag)"/>
    <s v=""/>
    <n v="7"/>
    <n v="7"/>
    <s v="No change"/>
    <n v="-0.11185567778326533"/>
    <n v="0.45661638376408309"/>
    <n v="12.245867559196013"/>
    <n v="27.543299683734595"/>
    <n v="0"/>
    <n v="6.0322596629259477E-2"/>
    <n v="5.8252241359008167E-2"/>
    <n v="5.8252241359008167E-2"/>
  </r>
  <r>
    <x v="39"/>
    <x v="39"/>
    <n v="95314"/>
    <x v="0"/>
    <n v="0"/>
    <n v="96714"/>
    <n v="0"/>
    <m/>
    <n v="0"/>
    <m/>
    <n v="0"/>
    <m/>
    <n v="0"/>
    <m/>
    <n v="0"/>
    <n v="103101.00000000003"/>
    <n v="0"/>
    <n v="0"/>
    <m/>
    <n v="0"/>
    <m/>
    <n v="0"/>
    <m/>
    <n v="0"/>
    <n v="107118.5"/>
    <n v="0"/>
    <n v="0"/>
    <n v="0"/>
    <n v="0"/>
    <n v="0"/>
    <m/>
    <s v=""/>
    <m/>
    <s v=""/>
    <n v="0"/>
    <s v=""/>
    <s v=""/>
    <m/>
    <n v="0"/>
    <s v="No change"/>
    <n v="-6.1731500721997512E-2"/>
    <n v="0.10455737067903281"/>
    <n v="0"/>
    <n v="0"/>
    <n v="0"/>
    <n v="0"/>
    <n v="0"/>
    <n v="0"/>
  </r>
  <r>
    <x v="39"/>
    <x v="39"/>
    <n v="95315"/>
    <x v="1"/>
    <n v="0"/>
    <n v="96714"/>
    <n v="0"/>
    <m/>
    <n v="0"/>
    <m/>
    <n v="0"/>
    <m/>
    <n v="0"/>
    <m/>
    <n v="0"/>
    <n v="103101.00000000003"/>
    <n v="0"/>
    <n v="5"/>
    <m/>
    <n v="0"/>
    <m/>
    <n v="0"/>
    <m/>
    <n v="0"/>
    <n v="107118.5"/>
    <n v="0"/>
    <n v="5"/>
    <n v="0"/>
    <n v="0"/>
    <n v="0"/>
    <m/>
    <s v=""/>
    <n v="5"/>
    <s v="2018 (triag)"/>
    <n v="5"/>
    <s v="2018 (triag)"/>
    <s v=""/>
    <n v="5"/>
    <n v="5"/>
    <s v="No change"/>
    <n v="-6.1731500721997512E-2"/>
    <n v="0.10455737067903281"/>
    <n v="6.8079797446848174"/>
    <n v="6.8422048382860083"/>
    <n v="0"/>
    <n v="0.48496134858051798"/>
    <n v="0.46677277967858027"/>
    <n v="0.46677277967858027"/>
  </r>
  <r>
    <x v="39"/>
    <x v="39"/>
    <n v="95316"/>
    <x v="2"/>
    <n v="0"/>
    <n v="96714"/>
    <n v="0"/>
    <m/>
    <n v="0"/>
    <m/>
    <n v="0"/>
    <m/>
    <n v="0"/>
    <m/>
    <n v="0"/>
    <n v="103101.00000000003"/>
    <n v="0"/>
    <n v="50"/>
    <m/>
    <n v="0"/>
    <m/>
    <n v="0"/>
    <m/>
    <n v="0"/>
    <n v="107118.5"/>
    <n v="0"/>
    <n v="50"/>
    <n v="0"/>
    <n v="0"/>
    <n v="0"/>
    <m/>
    <s v=""/>
    <n v="50"/>
    <s v="2018 (triag)"/>
    <n v="50"/>
    <s v="2018 (triag)"/>
    <s v=""/>
    <n v="50"/>
    <n v="50"/>
    <s v="No change"/>
    <n v="-6.1731500721997512E-2"/>
    <n v="0.10455737067903281"/>
    <n v="68.079797446848175"/>
    <n v="68.422048382860083"/>
    <n v="0"/>
    <n v="4.8496134858051798"/>
    <n v="4.6677277967858029"/>
    <n v="4.6677277967858029"/>
  </r>
  <r>
    <x v="39"/>
    <x v="39"/>
    <n v="95317"/>
    <x v="3"/>
    <n v="0"/>
    <n v="96714"/>
    <n v="0"/>
    <m/>
    <n v="0"/>
    <m/>
    <n v="0"/>
    <m/>
    <n v="0"/>
    <m/>
    <n v="0"/>
    <n v="103101.00000000003"/>
    <n v="0"/>
    <n v="258"/>
    <m/>
    <n v="0"/>
    <m/>
    <n v="0"/>
    <m/>
    <n v="0"/>
    <n v="107118.5"/>
    <n v="0"/>
    <n v="258"/>
    <n v="0"/>
    <n v="0"/>
    <n v="0"/>
    <m/>
    <s v=""/>
    <n v="258"/>
    <s v="2018 (triag)"/>
    <n v="258"/>
    <s v="2018 (triag)"/>
    <s v=""/>
    <n v="258"/>
    <n v="258"/>
    <s v="No change"/>
    <n v="-6.1731500721997512E-2"/>
    <n v="0.10455737067903281"/>
    <n v="351.29175482573658"/>
    <n v="353.05776965555799"/>
    <n v="0"/>
    <n v="25.024005586754729"/>
    <n v="24.085475431414743"/>
    <n v="24.085475431414743"/>
  </r>
  <r>
    <x v="39"/>
    <x v="39"/>
    <n v="95318"/>
    <x v="4"/>
    <n v="0"/>
    <n v="96714"/>
    <n v="0"/>
    <m/>
    <n v="0"/>
    <m/>
    <n v="0"/>
    <m/>
    <n v="0"/>
    <m/>
    <n v="0"/>
    <n v="103101.00000000003"/>
    <n v="0"/>
    <n v="0"/>
    <m/>
    <n v="0"/>
    <m/>
    <n v="0"/>
    <m/>
    <n v="0"/>
    <n v="107118.5"/>
    <n v="0"/>
    <n v="0"/>
    <n v="0"/>
    <n v="0"/>
    <n v="0"/>
    <m/>
    <s v=""/>
    <m/>
    <s v=""/>
    <n v="0"/>
    <s v=""/>
    <s v=""/>
    <m/>
    <n v="0"/>
    <s v="No change"/>
    <n v="-6.1731500721997512E-2"/>
    <n v="0.10455737067903281"/>
    <n v="0"/>
    <n v="0"/>
    <n v="0"/>
    <n v="0"/>
    <n v="0"/>
    <n v="0"/>
  </r>
  <r>
    <x v="39"/>
    <x v="39"/>
    <n v="95319"/>
    <x v="5"/>
    <n v="0"/>
    <n v="96714"/>
    <n v="0"/>
    <m/>
    <n v="0"/>
    <m/>
    <n v="0"/>
    <m/>
    <n v="0"/>
    <m/>
    <n v="0"/>
    <n v="103101.00000000003"/>
    <n v="0"/>
    <n v="2"/>
    <m/>
    <n v="14"/>
    <m/>
    <n v="0"/>
    <m/>
    <n v="4"/>
    <n v="107118.5"/>
    <n v="11"/>
    <n v="2"/>
    <n v="0"/>
    <n v="14"/>
    <n v="11"/>
    <m/>
    <s v=""/>
    <n v="2"/>
    <s v="2018 (triag)"/>
    <n v="11"/>
    <n v="2022"/>
    <s v=""/>
    <n v="11"/>
    <n v="13"/>
    <s v="Increasing"/>
    <n v="-6.1731500721997512E-2"/>
    <n v="0.10455737067903281"/>
    <n v="2.7231918978739271"/>
    <n v="2.7368819353144032"/>
    <n v="0"/>
    <n v="0.1939845394322072"/>
    <n v="1.0269001152928765"/>
    <n v="1.2136092271643086"/>
  </r>
  <r>
    <x v="39"/>
    <x v="39"/>
    <n v="95320"/>
    <x v="6"/>
    <n v="0"/>
    <n v="96714"/>
    <n v="0"/>
    <m/>
    <n v="0"/>
    <m/>
    <n v="0"/>
    <m/>
    <n v="0"/>
    <m/>
    <n v="0"/>
    <n v="103101.00000000003"/>
    <n v="71"/>
    <n v="71"/>
    <m/>
    <n v="0"/>
    <m/>
    <n v="0"/>
    <m/>
    <n v="0"/>
    <n v="107118.5"/>
    <n v="0"/>
    <n v="70"/>
    <n v="0"/>
    <n v="71"/>
    <n v="0"/>
    <m/>
    <s v=""/>
    <n v="71"/>
    <n v="2018"/>
    <n v="71"/>
    <n v="2018"/>
    <s v=""/>
    <n v="71"/>
    <n v="71"/>
    <s v="No change"/>
    <n v="-6.1731500721997512E-2"/>
    <n v="0.10455737067903281"/>
    <n v="95.311716425587448"/>
    <n v="95.790867736004117"/>
    <n v="0"/>
    <n v="6.8864511498433556"/>
    <n v="6.62817347143584"/>
    <n v="6.62817347143584"/>
  </r>
  <r>
    <x v="39"/>
    <x v="39"/>
    <n v="95321"/>
    <x v="7"/>
    <n v="0"/>
    <n v="96714"/>
    <n v="0"/>
    <m/>
    <n v="0"/>
    <m/>
    <n v="0"/>
    <m/>
    <n v="0"/>
    <m/>
    <n v="0"/>
    <n v="103101.00000000003"/>
    <n v="0"/>
    <n v="0"/>
    <m/>
    <n v="0"/>
    <m/>
    <n v="0"/>
    <m/>
    <n v="0"/>
    <n v="107118.5"/>
    <n v="0"/>
    <n v="0"/>
    <n v="0"/>
    <n v="0"/>
    <n v="0"/>
    <m/>
    <s v=""/>
    <m/>
    <s v=""/>
    <n v="0"/>
    <s v=""/>
    <s v=""/>
    <m/>
    <n v="0"/>
    <s v="No change"/>
    <n v="-6.1731500721997512E-2"/>
    <n v="0.10455737067903281"/>
    <n v="0"/>
    <n v="0"/>
    <n v="0"/>
    <n v="0"/>
    <n v="0"/>
    <n v="0"/>
  </r>
  <r>
    <x v="39"/>
    <x v="39"/>
    <n v="95322"/>
    <x v="8"/>
    <n v="0"/>
    <n v="96714"/>
    <n v="0"/>
    <m/>
    <n v="0"/>
    <m/>
    <n v="0"/>
    <m/>
    <n v="0"/>
    <m/>
    <n v="0"/>
    <n v="103101.00000000003"/>
    <n v="0"/>
    <n v="7"/>
    <m/>
    <n v="0"/>
    <m/>
    <n v="0"/>
    <m/>
    <n v="0"/>
    <n v="107118.5"/>
    <n v="0"/>
    <n v="7"/>
    <n v="0"/>
    <n v="0"/>
    <n v="0"/>
    <m/>
    <s v=""/>
    <n v="7"/>
    <s v="2018 (triag)"/>
    <n v="7"/>
    <s v="2018 (triag)"/>
    <s v=""/>
    <n v="7"/>
    <n v="7"/>
    <s v="No change"/>
    <n v="-6.1731500721997512E-2"/>
    <n v="0.10455737067903281"/>
    <n v="9.5311716425587445"/>
    <n v="9.5790867736004106"/>
    <n v="0"/>
    <n v="0.67894588801272515"/>
    <n v="0.65348189155001235"/>
    <n v="0.65348189155001235"/>
  </r>
  <r>
    <x v="39"/>
    <x v="39"/>
    <n v="95323"/>
    <x v="9"/>
    <n v="0"/>
    <n v="96714"/>
    <n v="0"/>
    <m/>
    <n v="0"/>
    <m/>
    <n v="0"/>
    <m/>
    <n v="0"/>
    <m/>
    <n v="0"/>
    <n v="103101.00000000003"/>
    <n v="0"/>
    <n v="0"/>
    <m/>
    <n v="0"/>
    <m/>
    <n v="0"/>
    <m/>
    <n v="0"/>
    <n v="107118.5"/>
    <n v="0"/>
    <n v="0"/>
    <n v="0"/>
    <n v="0"/>
    <n v="0"/>
    <m/>
    <s v=""/>
    <m/>
    <s v=""/>
    <n v="0"/>
    <s v=""/>
    <s v=""/>
    <m/>
    <n v="0"/>
    <s v="No change"/>
    <n v="-6.1731500721997512E-2"/>
    <n v="0.10455737067903281"/>
    <n v="0"/>
    <n v="0"/>
    <n v="0"/>
    <n v="0"/>
    <n v="0"/>
    <n v="0"/>
  </r>
  <r>
    <x v="39"/>
    <x v="39"/>
    <n v="95324"/>
    <x v="10"/>
    <n v="0"/>
    <n v="96714"/>
    <n v="0"/>
    <m/>
    <n v="0"/>
    <m/>
    <n v="0"/>
    <m/>
    <n v="0"/>
    <m/>
    <n v="0"/>
    <n v="103101.00000000003"/>
    <n v="0"/>
    <n v="28"/>
    <m/>
    <n v="0"/>
    <m/>
    <n v="0"/>
    <m/>
    <n v="22"/>
    <n v="107118.5"/>
    <n v="0"/>
    <n v="28"/>
    <n v="0"/>
    <n v="0"/>
    <n v="22"/>
    <m/>
    <s v=""/>
    <n v="28"/>
    <s v="2018 (triag)"/>
    <n v="22"/>
    <n v="2021"/>
    <s v="Adjust"/>
    <n v="25.284570175049133"/>
    <n v="28"/>
    <s v="Decreasing"/>
    <n v="-6.1731500721997512E-2"/>
    <n v="0.10455737067903281"/>
    <n v="38.124686570234978"/>
    <n v="38.316347094401642"/>
    <n v="0"/>
    <n v="2.7157835520509006"/>
    <n v="2.3604298207171621"/>
    <n v="2.6139275662000494"/>
  </r>
  <r>
    <x v="39"/>
    <x v="39"/>
    <n v="95325"/>
    <x v="11"/>
    <n v="0"/>
    <n v="96714"/>
    <n v="0"/>
    <m/>
    <n v="0"/>
    <m/>
    <n v="0"/>
    <m/>
    <n v="0"/>
    <m/>
    <n v="0"/>
    <n v="103101.00000000003"/>
    <n v="0"/>
    <n v="0"/>
    <m/>
    <n v="0"/>
    <m/>
    <n v="0"/>
    <m/>
    <n v="0"/>
    <n v="107118.5"/>
    <n v="0"/>
    <n v="0"/>
    <n v="0"/>
    <n v="0"/>
    <n v="0"/>
    <m/>
    <s v=""/>
    <m/>
    <s v=""/>
    <n v="0"/>
    <s v=""/>
    <s v=""/>
    <m/>
    <n v="0"/>
    <s v="No change"/>
    <n v="-6.1731500721997512E-2"/>
    <n v="0.10455737067903281"/>
    <n v="0"/>
    <n v="0"/>
    <n v="0"/>
    <n v="0"/>
    <n v="0"/>
    <n v="0"/>
  </r>
  <r>
    <x v="39"/>
    <x v="39"/>
    <n v="95326"/>
    <x v="12"/>
    <n v="0"/>
    <n v="96714"/>
    <n v="0"/>
    <m/>
    <n v="0"/>
    <m/>
    <n v="0"/>
    <m/>
    <n v="0"/>
    <m/>
    <n v="0"/>
    <n v="103101.00000000003"/>
    <n v="0"/>
    <n v="0"/>
    <m/>
    <n v="0"/>
    <m/>
    <n v="0"/>
    <m/>
    <n v="0"/>
    <n v="107118.5"/>
    <n v="0"/>
    <n v="0"/>
    <n v="0"/>
    <n v="0"/>
    <n v="0"/>
    <m/>
    <s v=""/>
    <m/>
    <s v=""/>
    <n v="0"/>
    <s v=""/>
    <s v=""/>
    <m/>
    <n v="0"/>
    <s v="No change"/>
    <n v="-6.1731500721997512E-2"/>
    <n v="0.10455737067903281"/>
    <n v="0"/>
    <n v="0"/>
    <n v="0"/>
    <n v="0"/>
    <n v="0"/>
    <n v="0"/>
  </r>
  <r>
    <x v="39"/>
    <x v="39"/>
    <n v="95327"/>
    <x v="13"/>
    <n v="0"/>
    <n v="96714"/>
    <n v="0"/>
    <m/>
    <n v="0"/>
    <m/>
    <n v="0"/>
    <m/>
    <n v="0"/>
    <m/>
    <n v="0"/>
    <n v="103101.00000000003"/>
    <n v="0"/>
    <n v="71"/>
    <m/>
    <n v="0"/>
    <m/>
    <n v="0"/>
    <m/>
    <n v="0"/>
    <n v="107118.5"/>
    <n v="0"/>
    <n v="71"/>
    <n v="0"/>
    <n v="0"/>
    <n v="0"/>
    <m/>
    <s v=""/>
    <n v="71"/>
    <s v="2018 (triag)"/>
    <n v="71"/>
    <s v="2018 (triag)"/>
    <s v=""/>
    <n v="71"/>
    <n v="71"/>
    <s v="No change"/>
    <n v="-6.1731500721997512E-2"/>
    <n v="0.10455737067903281"/>
    <n v="96.673312374524414"/>
    <n v="97.15930870366131"/>
    <n v="0"/>
    <n v="6.8864511498433556"/>
    <n v="6.62817347143584"/>
    <n v="6.62817347143584"/>
  </r>
  <r>
    <x v="39"/>
    <x v="39"/>
    <n v="95328"/>
    <x v="14"/>
    <n v="0"/>
    <n v="96714"/>
    <n v="0"/>
    <m/>
    <n v="0"/>
    <m/>
    <n v="0"/>
    <m/>
    <n v="0"/>
    <m/>
    <n v="0"/>
    <n v="103101.00000000003"/>
    <n v="0"/>
    <n v="0"/>
    <m/>
    <n v="0"/>
    <m/>
    <n v="0"/>
    <m/>
    <n v="0"/>
    <n v="107118.5"/>
    <n v="0"/>
    <n v="0"/>
    <n v="0"/>
    <n v="0"/>
    <n v="0"/>
    <m/>
    <s v=""/>
    <m/>
    <s v=""/>
    <n v="0"/>
    <s v=""/>
    <s v=""/>
    <m/>
    <n v="0"/>
    <s v="No change"/>
    <n v="-6.1731500721997512E-2"/>
    <n v="0.10455737067903281"/>
    <n v="0"/>
    <n v="0"/>
    <n v="0"/>
    <n v="0"/>
    <n v="0"/>
    <n v="0"/>
  </r>
  <r>
    <x v="39"/>
    <x v="39"/>
    <n v="95329"/>
    <x v="15"/>
    <n v="0"/>
    <n v="96714"/>
    <n v="0"/>
    <m/>
    <n v="0"/>
    <m/>
    <n v="0"/>
    <m/>
    <n v="0"/>
    <m/>
    <n v="0"/>
    <n v="103101.00000000003"/>
    <n v="0"/>
    <n v="33"/>
    <m/>
    <n v="0"/>
    <m/>
    <n v="0"/>
    <m/>
    <n v="60"/>
    <n v="107118.5"/>
    <n v="0"/>
    <n v="33"/>
    <n v="0"/>
    <n v="0"/>
    <n v="60"/>
    <m/>
    <s v=""/>
    <n v="33"/>
    <s v="2018 (triag)"/>
    <n v="60"/>
    <n v="2021"/>
    <s v=""/>
    <n v="60"/>
    <n v="60"/>
    <s v="Increasing"/>
    <n v="-6.1731500721997512E-2"/>
    <n v="0.10455737067903281"/>
    <n v="44.9326663149198"/>
    <n v="45.158551932687651"/>
    <n v="0"/>
    <n v="3.2007449006314186"/>
    <n v="5.6012733561429631"/>
    <n v="5.6012733561429631"/>
  </r>
  <r>
    <x v="39"/>
    <x v="39"/>
    <n v="95330"/>
    <x v="16"/>
    <n v="0"/>
    <n v="96714"/>
    <n v="0"/>
    <m/>
    <n v="0"/>
    <m/>
    <n v="0"/>
    <m/>
    <n v="0"/>
    <m/>
    <n v="0"/>
    <n v="103101.00000000003"/>
    <n v="0"/>
    <n v="0"/>
    <m/>
    <n v="0"/>
    <m/>
    <n v="0"/>
    <m/>
    <n v="2"/>
    <n v="107118.5"/>
    <n v="0"/>
    <n v="0"/>
    <n v="0"/>
    <n v="0"/>
    <n v="2"/>
    <m/>
    <s v=""/>
    <m/>
    <s v=""/>
    <n v="2"/>
    <n v="2021"/>
    <s v=""/>
    <n v="2"/>
    <n v="2"/>
    <s v="Increasing"/>
    <n v="-6.1731500721997512E-2"/>
    <n v="0.10455737067903281"/>
    <n v="0"/>
    <n v="0"/>
    <n v="0"/>
    <n v="0"/>
    <n v="0.1867091118714321"/>
    <n v="0.1867091118714321"/>
  </r>
  <r>
    <x v="39"/>
    <x v="39"/>
    <n v="95331"/>
    <x v="17"/>
    <n v="0"/>
    <n v="96714"/>
    <n v="0"/>
    <m/>
    <n v="0"/>
    <m/>
    <n v="0"/>
    <m/>
    <n v="0"/>
    <m/>
    <n v="0"/>
    <n v="103101.00000000003"/>
    <n v="0"/>
    <n v="0"/>
    <m/>
    <n v="0"/>
    <m/>
    <n v="0"/>
    <m/>
    <n v="5"/>
    <n v="107118.5"/>
    <n v="5"/>
    <n v="0"/>
    <n v="0"/>
    <n v="0"/>
    <n v="5"/>
    <m/>
    <s v=""/>
    <m/>
    <s v=""/>
    <n v="5"/>
    <n v="2021"/>
    <s v=""/>
    <n v="5"/>
    <n v="5"/>
    <s v="Increasing"/>
    <n v="-6.1731500721997512E-2"/>
    <n v="0.10455737067903281"/>
    <n v="0"/>
    <n v="0"/>
    <n v="0"/>
    <n v="0"/>
    <n v="0.46677277967858027"/>
    <n v="0.46677277967858027"/>
  </r>
  <r>
    <x v="39"/>
    <x v="39"/>
    <n v="95332"/>
    <x v="18"/>
    <n v="0"/>
    <n v="96714"/>
    <n v="0"/>
    <m/>
    <n v="0"/>
    <m/>
    <n v="0"/>
    <m/>
    <n v="0"/>
    <m/>
    <n v="0"/>
    <n v="103101.00000000003"/>
    <n v="0"/>
    <n v="0"/>
    <m/>
    <n v="0"/>
    <m/>
    <n v="0"/>
    <m/>
    <n v="2"/>
    <n v="107118.5"/>
    <n v="0"/>
    <n v="0"/>
    <n v="0"/>
    <n v="0"/>
    <n v="2"/>
    <m/>
    <s v=""/>
    <m/>
    <s v=""/>
    <n v="2"/>
    <n v="2021"/>
    <s v=""/>
    <n v="2"/>
    <n v="2"/>
    <s v="Increasing"/>
    <n v="-6.1731500721997512E-2"/>
    <n v="0.10455737067903281"/>
    <n v="0"/>
    <n v="0"/>
    <n v="0"/>
    <n v="0"/>
    <n v="0.1867091118714321"/>
    <n v="0.1867091118714321"/>
  </r>
  <r>
    <x v="40"/>
    <x v="40"/>
    <n v="12754911"/>
    <x v="0"/>
    <n v="0"/>
    <n v="13216766.5"/>
    <n v="0"/>
    <m/>
    <n v="0"/>
    <m/>
    <n v="0"/>
    <m/>
    <n v="0"/>
    <m/>
    <n v="0"/>
    <n v="15604210"/>
    <n v="0"/>
    <n v="7"/>
    <m/>
    <n v="0"/>
    <m/>
    <n v="592"/>
    <m/>
    <n v="8077"/>
    <n v="17723314.500000004"/>
    <n v="0"/>
    <n v="7"/>
    <n v="0"/>
    <n v="0"/>
    <n v="8077"/>
    <m/>
    <s v=""/>
    <n v="7"/>
    <s v="2018 (triag)"/>
    <n v="8077"/>
    <n v="2021"/>
    <s v=""/>
    <n v="8077"/>
    <n v="8077"/>
    <s v="Increasing"/>
    <n v="-3.1578929217935259E-2"/>
    <n v="1.4876976840610734E-2"/>
    <n v="8.1972996998818672"/>
    <n v="7.3194931192912742"/>
    <n v="0"/>
    <n v="4.4859688507140061E-3"/>
    <n v="4.5572739794241075"/>
    <n v="4.5572739794241075"/>
  </r>
  <r>
    <x v="40"/>
    <x v="40"/>
    <n v="12754912"/>
    <x v="1"/>
    <n v="406"/>
    <n v="13216766.5"/>
    <n v="0"/>
    <m/>
    <n v="0"/>
    <m/>
    <n v="43"/>
    <m/>
    <n v="0"/>
    <m/>
    <n v="0"/>
    <n v="15604210"/>
    <n v="0"/>
    <n v="58"/>
    <m/>
    <n v="0"/>
    <m/>
    <n v="0"/>
    <m/>
    <n v="0"/>
    <n v="17723314.500000004"/>
    <n v="0"/>
    <n v="58"/>
    <n v="406"/>
    <n v="0"/>
    <n v="0"/>
    <n v="406"/>
    <n v="2012"/>
    <n v="58"/>
    <s v="2018 (triag)"/>
    <n v="58"/>
    <s v="2018 (triag)"/>
    <s v=""/>
    <n v="58"/>
    <n v="58"/>
    <s v="No change"/>
    <n v="-3.1578929217935259E-2"/>
    <n v="1.4876976840610734E-2"/>
    <n v="67.920483227592612"/>
    <n v="60.647228702699131"/>
    <n v="0.30718557371804972"/>
    <n v="3.7169456191630333E-2"/>
    <n v="3.2725255764095358E-2"/>
    <n v="3.2725255764095358E-2"/>
  </r>
  <r>
    <x v="40"/>
    <x v="40"/>
    <n v="12754913"/>
    <x v="2"/>
    <n v="1258"/>
    <n v="13216766.5"/>
    <n v="0"/>
    <m/>
    <n v="255"/>
    <m/>
    <n v="0"/>
    <m/>
    <n v="0"/>
    <m/>
    <n v="0"/>
    <n v="15604210"/>
    <n v="0"/>
    <n v="76"/>
    <m/>
    <n v="0"/>
    <m/>
    <n v="0"/>
    <m/>
    <n v="0"/>
    <n v="17723314.500000004"/>
    <n v="0"/>
    <n v="76"/>
    <n v="1258"/>
    <n v="0"/>
    <n v="0"/>
    <n v="1258"/>
    <n v="2012"/>
    <n v="76"/>
    <s v="2018 (triag)"/>
    <n v="76"/>
    <s v="2018 (triag)"/>
    <s v=""/>
    <n v="76"/>
    <n v="76"/>
    <s v="No change"/>
    <n v="-3.1578929217935259E-2"/>
    <n v="1.4876976840610734E-2"/>
    <n v="88.999253884431695"/>
    <n v="79.468782438019545"/>
    <n v="0.95182130969779943"/>
    <n v="4.8704804664894921E-2"/>
    <n v="4.2881369621918061E-2"/>
    <n v="4.2881369621918061E-2"/>
  </r>
  <r>
    <x v="40"/>
    <x v="40"/>
    <n v="12754914"/>
    <x v="3"/>
    <n v="0"/>
    <n v="13216766.5"/>
    <n v="0"/>
    <m/>
    <n v="0"/>
    <m/>
    <n v="0"/>
    <m/>
    <n v="0"/>
    <m/>
    <n v="0"/>
    <n v="15604210"/>
    <n v="0"/>
    <n v="738"/>
    <m/>
    <n v="208"/>
    <m/>
    <n v="0"/>
    <m/>
    <n v="0"/>
    <n v="17723314.500000004"/>
    <n v="0"/>
    <n v="738"/>
    <n v="0"/>
    <n v="208"/>
    <n v="0"/>
    <m/>
    <s v=""/>
    <n v="738"/>
    <s v="2018 (triag)"/>
    <n v="208"/>
    <s v="2018 (triag)"/>
    <s v="Adjust"/>
    <n v="240.20714655618852"/>
    <n v="738"/>
    <s v="Decreasing"/>
    <n v="-3.1578929217935259E-2"/>
    <n v="1.4876976840610734E-2"/>
    <n v="864.22959693040252"/>
    <n v="771.68370314813717"/>
    <n v="0"/>
    <n v="0.47294928740384806"/>
    <n v="0.13553172943818634"/>
    <n v="0.41640066817073063"/>
  </r>
  <r>
    <x v="40"/>
    <x v="40"/>
    <n v="12754915"/>
    <x v="4"/>
    <n v="0"/>
    <n v="13216766.5"/>
    <n v="0"/>
    <m/>
    <n v="0"/>
    <m/>
    <n v="0"/>
    <m/>
    <n v="0"/>
    <m/>
    <n v="0"/>
    <n v="15604210"/>
    <n v="0"/>
    <n v="732"/>
    <m/>
    <n v="109"/>
    <m/>
    <n v="0"/>
    <m/>
    <n v="371"/>
    <n v="17723314.500000004"/>
    <n v="0"/>
    <n v="732"/>
    <n v="0"/>
    <n v="109"/>
    <n v="371"/>
    <m/>
    <s v=""/>
    <n v="732"/>
    <s v="2018 (triag)"/>
    <n v="371"/>
    <n v="2021"/>
    <s v="Adjust"/>
    <n v="428.44640082858621"/>
    <n v="732"/>
    <s v="Decreasing"/>
    <n v="-3.1578929217935259E-2"/>
    <n v="1.4876976840610734E-2"/>
    <n v="857.20334004478946"/>
    <n v="765.40985190303036"/>
    <n v="0"/>
    <n v="0.46910417124609322"/>
    <n v="0.24174169048830349"/>
    <n v="0.41301529688478972"/>
  </r>
  <r>
    <x v="40"/>
    <x v="40"/>
    <n v="12754916"/>
    <x v="5"/>
    <n v="0"/>
    <n v="13216766.5"/>
    <n v="0"/>
    <m/>
    <n v="0"/>
    <m/>
    <n v="0"/>
    <m/>
    <n v="0"/>
    <m/>
    <n v="0"/>
    <n v="15604210"/>
    <n v="0"/>
    <n v="0"/>
    <m/>
    <n v="0"/>
    <m/>
    <n v="0"/>
    <m/>
    <n v="4"/>
    <n v="17723314.500000004"/>
    <n v="11"/>
    <n v="0"/>
    <n v="0"/>
    <n v="0"/>
    <n v="11"/>
    <m/>
    <s v=""/>
    <m/>
    <s v=""/>
    <n v="11"/>
    <n v="2022"/>
    <s v=""/>
    <n v="11"/>
    <n v="11"/>
    <s v="Increasing"/>
    <n v="-3.1578929217935259E-2"/>
    <n v="1.4876976840610734E-2"/>
    <n v="0"/>
    <n v="0"/>
    <n v="0"/>
    <n v="0"/>
    <n v="6.206514024224982E-3"/>
    <n v="6.206514024224982E-3"/>
  </r>
  <r>
    <x v="40"/>
    <x v="40"/>
    <n v="12754917"/>
    <x v="6"/>
    <n v="0"/>
    <n v="13216766.5"/>
    <n v="0"/>
    <m/>
    <n v="0"/>
    <m/>
    <n v="0"/>
    <m/>
    <n v="0"/>
    <m/>
    <n v="0"/>
    <n v="15604210"/>
    <n v="749"/>
    <n v="814"/>
    <m/>
    <n v="0"/>
    <m/>
    <n v="0"/>
    <m/>
    <n v="848"/>
    <n v="17723314.500000004"/>
    <n v="1028"/>
    <n v="814"/>
    <n v="0"/>
    <n v="749"/>
    <n v="1028"/>
    <m/>
    <s v=""/>
    <n v="814"/>
    <s v="2018 (triag)"/>
    <n v="1028"/>
    <n v="2022"/>
    <s v=""/>
    <n v="1028"/>
    <n v="1028"/>
    <s v="Increasing"/>
    <n v="-3.1578929217935259E-2"/>
    <n v="1.4876976840610734E-2"/>
    <n v="953.22885081483423"/>
    <n v="851.15248558615679"/>
    <n v="0"/>
    <n v="0.52165409206874302"/>
    <n v="0.58002694699120738"/>
    <n v="0.58002694699120738"/>
  </r>
  <r>
    <x v="40"/>
    <x v="40"/>
    <n v="12754918"/>
    <x v="7"/>
    <n v="0"/>
    <n v="13216766.5"/>
    <n v="0"/>
    <m/>
    <n v="0"/>
    <m/>
    <n v="0"/>
    <m/>
    <n v="0"/>
    <m/>
    <n v="0"/>
    <n v="15604210"/>
    <n v="0"/>
    <n v="42"/>
    <m/>
    <n v="0"/>
    <m/>
    <n v="0"/>
    <m/>
    <n v="104"/>
    <n v="17723314.500000004"/>
    <n v="104"/>
    <n v="42"/>
    <n v="0"/>
    <n v="0"/>
    <n v="104"/>
    <m/>
    <s v=""/>
    <n v="42"/>
    <s v="2018 (triag)"/>
    <n v="104"/>
    <n v="2021"/>
    <s v=""/>
    <n v="104"/>
    <n v="104"/>
    <s v="Increasing"/>
    <n v="-3.1578929217935259E-2"/>
    <n v="1.4876976840610734E-2"/>
    <n v="49.183798199291203"/>
    <n v="43.916958715747647"/>
    <n v="0"/>
    <n v="2.6915813104284037E-2"/>
    <n v="5.8679768956308921E-2"/>
    <n v="5.8679768956308921E-2"/>
  </r>
  <r>
    <x v="40"/>
    <x v="40"/>
    <n v="12754919"/>
    <x v="8"/>
    <n v="0"/>
    <n v="13216766.5"/>
    <n v="0"/>
    <m/>
    <n v="0"/>
    <m/>
    <n v="0"/>
    <m/>
    <n v="0"/>
    <m/>
    <n v="0"/>
    <n v="15604210"/>
    <n v="0"/>
    <n v="25"/>
    <m/>
    <n v="48"/>
    <m/>
    <n v="0"/>
    <m/>
    <n v="0"/>
    <n v="17723314.500000004"/>
    <n v="0"/>
    <n v="25"/>
    <n v="0"/>
    <n v="48"/>
    <n v="0"/>
    <m/>
    <s v=""/>
    <n v="25"/>
    <s v="2018 (triag)"/>
    <n v="48"/>
    <s v="2018 (triag)"/>
    <s v=""/>
    <n v="48"/>
    <n v="48"/>
    <s v="Increasing"/>
    <n v="-3.1578929217935259E-2"/>
    <n v="1.4876976840610734E-2"/>
    <n v="29.276070356720954"/>
    <n v="26.141046854611695"/>
    <n v="0"/>
    <n v="1.6021317323978594E-2"/>
    <n v="2.7082970287527194E-2"/>
    <n v="2.7082970287527194E-2"/>
  </r>
  <r>
    <x v="40"/>
    <x v="40"/>
    <n v="12754920"/>
    <x v="9"/>
    <n v="0"/>
    <n v="13216766.5"/>
    <n v="0"/>
    <m/>
    <n v="0"/>
    <m/>
    <n v="0"/>
    <m/>
    <n v="0"/>
    <m/>
    <n v="0"/>
    <n v="15604210"/>
    <n v="0"/>
    <n v="6"/>
    <m/>
    <n v="0"/>
    <m/>
    <n v="0"/>
    <m/>
    <n v="0"/>
    <n v="17723314.500000004"/>
    <n v="0"/>
    <n v="6"/>
    <n v="0"/>
    <n v="0"/>
    <n v="0"/>
    <m/>
    <s v=""/>
    <n v="6"/>
    <s v="2018 (triag)"/>
    <n v="6"/>
    <s v="2018 (triag)"/>
    <s v=""/>
    <n v="6"/>
    <n v="6"/>
    <s v="No change"/>
    <n v="-3.1578929217935259E-2"/>
    <n v="1.4876976840610734E-2"/>
    <n v="7.0262568856130283"/>
    <n v="6.2738512451068065"/>
    <n v="0"/>
    <n v="3.8451161577548621E-3"/>
    <n v="3.3853712859408993E-3"/>
    <n v="3.3853712859408993E-3"/>
  </r>
  <r>
    <x v="40"/>
    <x v="40"/>
    <n v="12754921"/>
    <x v="10"/>
    <n v="0"/>
    <n v="13216766.5"/>
    <n v="0"/>
    <m/>
    <n v="0"/>
    <m/>
    <n v="0"/>
    <m/>
    <n v="0"/>
    <m/>
    <n v="0"/>
    <n v="15604210"/>
    <n v="0"/>
    <n v="6"/>
    <m/>
    <n v="50"/>
    <m/>
    <n v="1"/>
    <m/>
    <n v="0"/>
    <n v="17723314.500000004"/>
    <n v="0"/>
    <n v="6"/>
    <n v="0"/>
    <n v="50"/>
    <n v="1"/>
    <m/>
    <s v=""/>
    <n v="6"/>
    <s v="2018 (triag)"/>
    <n v="1"/>
    <n v="2020"/>
    <s v="Adjust"/>
    <n v="1.1548420507509063"/>
    <n v="6"/>
    <s v="Decreasing"/>
    <n v="-3.1578929217935259E-2"/>
    <n v="1.4876976840610734E-2"/>
    <n v="7.0262568856130283"/>
    <n v="6.2738512451068065"/>
    <n v="0"/>
    <n v="3.8451161577548621E-3"/>
    <n v="6.5159485306820356E-4"/>
    <n v="3.3853712859408993E-3"/>
  </r>
  <r>
    <x v="40"/>
    <x v="40"/>
    <n v="12754922"/>
    <x v="11"/>
    <n v="0"/>
    <n v="13216766.5"/>
    <n v="0"/>
    <m/>
    <n v="0"/>
    <m/>
    <n v="0"/>
    <m/>
    <n v="0"/>
    <m/>
    <n v="0"/>
    <n v="15604210"/>
    <n v="0"/>
    <n v="436"/>
    <m/>
    <n v="6"/>
    <m/>
    <n v="0"/>
    <m/>
    <n v="0"/>
    <n v="17723314.500000004"/>
    <n v="0"/>
    <n v="436"/>
    <n v="0"/>
    <n v="6"/>
    <n v="0"/>
    <m/>
    <s v=""/>
    <n v="436"/>
    <s v="2018 (triag)"/>
    <n v="6"/>
    <s v="2018 (triag)"/>
    <s v="Adjust"/>
    <n v="6.9290523045054382"/>
    <n v="436"/>
    <s v="Decreasing"/>
    <n v="-3.1578929217935259E-2"/>
    <n v="1.4876976840610734E-2"/>
    <n v="510.57466702121343"/>
    <n v="455.89985714442793"/>
    <n v="0"/>
    <n v="0.27941177413018664"/>
    <n v="3.9095691184092207E-3"/>
    <n v="0.24600364677837203"/>
  </r>
  <r>
    <x v="40"/>
    <x v="40"/>
    <n v="12754923"/>
    <x v="12"/>
    <n v="0"/>
    <n v="13216766.5"/>
    <n v="0"/>
    <m/>
    <n v="0"/>
    <m/>
    <n v="0"/>
    <m/>
    <n v="0"/>
    <m/>
    <n v="0"/>
    <n v="15604210"/>
    <n v="0"/>
    <n v="90"/>
    <m/>
    <n v="791"/>
    <m/>
    <n v="0"/>
    <m/>
    <n v="0"/>
    <n v="17723314.500000004"/>
    <n v="0"/>
    <n v="90"/>
    <n v="0"/>
    <n v="791"/>
    <n v="0"/>
    <m/>
    <s v=""/>
    <n v="90"/>
    <s v="2018 (triag)"/>
    <n v="791"/>
    <s v="2018 (triag)"/>
    <s v=""/>
    <n v="791"/>
    <n v="791"/>
    <s v="Increasing"/>
    <n v="-3.1578929217935259E-2"/>
    <n v="1.4876976840610734E-2"/>
    <n v="105.39385328419543"/>
    <n v="94.107768676602092"/>
    <n v="0"/>
    <n v="5.7676742366322933E-2"/>
    <n v="0.44630478119654188"/>
    <n v="0.44630478119654188"/>
  </r>
  <r>
    <x v="40"/>
    <x v="40"/>
    <n v="12754924"/>
    <x v="13"/>
    <n v="0"/>
    <n v="13216766.5"/>
    <n v="0"/>
    <m/>
    <n v="0"/>
    <m/>
    <n v="0"/>
    <m/>
    <n v="0"/>
    <m/>
    <n v="0"/>
    <n v="15604210"/>
    <n v="0"/>
    <n v="749"/>
    <m/>
    <n v="0"/>
    <m/>
    <n v="0"/>
    <m/>
    <n v="848"/>
    <n v="17723314.500000004"/>
    <n v="1028"/>
    <n v="749"/>
    <n v="0"/>
    <n v="0"/>
    <n v="1028"/>
    <m/>
    <s v=""/>
    <n v="749"/>
    <s v="2018 (triag)"/>
    <n v="1028"/>
    <n v="2022"/>
    <s v=""/>
    <n v="1028"/>
    <n v="1028"/>
    <s v="Increasing"/>
    <n v="-3.1578929217935259E-2"/>
    <n v="1.4876976840610734E-2"/>
    <n v="877.1110678873597"/>
    <n v="783.18576376416638"/>
    <n v="0"/>
    <n v="0.47999866702639865"/>
    <n v="0.58002694699120738"/>
    <n v="0.58002694699120738"/>
  </r>
  <r>
    <x v="40"/>
    <x v="40"/>
    <n v="12754925"/>
    <x v="14"/>
    <n v="0"/>
    <n v="13216766.5"/>
    <n v="0"/>
    <m/>
    <n v="0"/>
    <m/>
    <n v="0"/>
    <m/>
    <n v="0"/>
    <m/>
    <n v="0"/>
    <n v="15604210"/>
    <n v="0"/>
    <n v="0"/>
    <m/>
    <n v="0"/>
    <m/>
    <n v="0"/>
    <m/>
    <n v="0"/>
    <n v="17723314.500000004"/>
    <n v="0"/>
    <n v="0"/>
    <n v="0"/>
    <n v="0"/>
    <n v="0"/>
    <m/>
    <s v=""/>
    <m/>
    <s v=""/>
    <n v="0"/>
    <s v=""/>
    <s v=""/>
    <m/>
    <n v="0"/>
    <s v="No change"/>
    <n v="-3.1578929217935259E-2"/>
    <n v="1.4876976840610734E-2"/>
    <n v="0"/>
    <n v="0"/>
    <n v="0"/>
    <n v="0"/>
    <n v="0"/>
    <n v="0"/>
  </r>
  <r>
    <x v="40"/>
    <x v="40"/>
    <n v="12754926"/>
    <x v="15"/>
    <n v="0"/>
    <n v="13216766.5"/>
    <n v="0"/>
    <m/>
    <n v="0"/>
    <m/>
    <n v="0"/>
    <m/>
    <n v="0"/>
    <m/>
    <n v="0"/>
    <n v="15604210"/>
    <n v="0"/>
    <n v="2"/>
    <m/>
    <n v="18"/>
    <m/>
    <n v="0"/>
    <m/>
    <n v="0"/>
    <n v="17723314.500000004"/>
    <n v="0"/>
    <n v="2"/>
    <n v="0"/>
    <n v="18"/>
    <n v="0"/>
    <m/>
    <s v=""/>
    <n v="2"/>
    <s v="2018 (triag)"/>
    <n v="18"/>
    <s v="2018 (triag)"/>
    <s v=""/>
    <n v="18"/>
    <n v="18"/>
    <s v="Increasing"/>
    <n v="-3.1578929217935259E-2"/>
    <n v="1.4876976840610734E-2"/>
    <n v="2.3420856285376761"/>
    <n v="2.0912837483689355"/>
    <n v="0"/>
    <n v="1.2817053859182875E-3"/>
    <n v="1.0156113857822698E-2"/>
    <n v="1.0156113857822698E-2"/>
  </r>
  <r>
    <x v="40"/>
    <x v="40"/>
    <n v="12754927"/>
    <x v="16"/>
    <n v="0"/>
    <n v="13216766.5"/>
    <n v="0"/>
    <m/>
    <n v="0"/>
    <m/>
    <n v="0"/>
    <m/>
    <n v="0"/>
    <m/>
    <n v="0"/>
    <n v="15604210"/>
    <n v="0"/>
    <n v="0"/>
    <m/>
    <n v="19"/>
    <m/>
    <n v="0"/>
    <m/>
    <n v="0"/>
    <n v="17723314.500000004"/>
    <n v="0"/>
    <n v="0"/>
    <n v="0"/>
    <n v="19"/>
    <n v="0"/>
    <m/>
    <s v=""/>
    <n v="19"/>
    <n v="2019"/>
    <n v="19"/>
    <n v="2019"/>
    <s v=""/>
    <n v="19"/>
    <n v="19"/>
    <s v="No change"/>
    <n v="-3.1578929217935259E-2"/>
    <n v="1.4876976840610734E-2"/>
    <n v="0"/>
    <n v="0"/>
    <n v="0"/>
    <n v="1.217620116622373E-2"/>
    <n v="1.0720342405479515E-2"/>
    <n v="1.0720342405479515E-2"/>
  </r>
  <r>
    <x v="40"/>
    <x v="40"/>
    <n v="12754928"/>
    <x v="17"/>
    <n v="0"/>
    <n v="13216766.5"/>
    <n v="0"/>
    <m/>
    <n v="0"/>
    <m/>
    <n v="0"/>
    <m/>
    <n v="0"/>
    <m/>
    <n v="0"/>
    <n v="15604210"/>
    <n v="0"/>
    <n v="0"/>
    <m/>
    <n v="0"/>
    <m/>
    <n v="0"/>
    <m/>
    <n v="0"/>
    <n v="17723314.500000004"/>
    <n v="0"/>
    <n v="0"/>
    <n v="0"/>
    <n v="0"/>
    <n v="0"/>
    <m/>
    <s v=""/>
    <m/>
    <s v=""/>
    <n v="0"/>
    <s v=""/>
    <s v=""/>
    <m/>
    <n v="0"/>
    <s v="No change"/>
    <n v="-3.1578929217935259E-2"/>
    <n v="1.4876976840610734E-2"/>
    <n v="0"/>
    <n v="0"/>
    <n v="0"/>
    <n v="0"/>
    <n v="0"/>
    <n v="0"/>
  </r>
  <r>
    <x v="40"/>
    <x v="40"/>
    <n v="12754929"/>
    <x v="18"/>
    <n v="0"/>
    <n v="13216766.5"/>
    <n v="0"/>
    <m/>
    <n v="0"/>
    <m/>
    <n v="0"/>
    <m/>
    <n v="0"/>
    <m/>
    <n v="0"/>
    <n v="15604210"/>
    <n v="0"/>
    <n v="0"/>
    <m/>
    <n v="0"/>
    <m/>
    <n v="0"/>
    <m/>
    <n v="0"/>
    <n v="17723314.500000004"/>
    <n v="21983"/>
    <n v="0"/>
    <n v="0"/>
    <n v="0"/>
    <n v="21983"/>
    <m/>
    <s v=""/>
    <m/>
    <s v=""/>
    <n v="21983"/>
    <n v="2022"/>
    <s v=""/>
    <n v="21983"/>
    <n v="21983"/>
    <s v="Increasing"/>
    <n v="-3.1578929217935259E-2"/>
    <n v="1.4876976840610734E-2"/>
    <n v="0"/>
    <n v="0"/>
    <n v="0"/>
    <n v="0"/>
    <n v="12.403436163139798"/>
    <n v="12.403436163139798"/>
  </r>
  <r>
    <x v="41"/>
    <x v="41"/>
    <n v="6926639.5"/>
    <x v="0"/>
    <n v="0"/>
    <n v="7106229"/>
    <n v="0"/>
    <m/>
    <n v="0"/>
    <m/>
    <n v="0"/>
    <m/>
    <n v="0"/>
    <m/>
    <n v="7545"/>
    <n v="8046679"/>
    <n v="7086"/>
    <n v="7500"/>
    <m/>
    <n v="0"/>
    <m/>
    <n v="7386"/>
    <m/>
    <n v="7500"/>
    <n v="8848698.5000000019"/>
    <n v="0"/>
    <n v="7500"/>
    <n v="0"/>
    <n v="7545"/>
    <n v="7500"/>
    <m/>
    <s v=""/>
    <n v="7500"/>
    <s v="2018 (triag)"/>
    <n v="7500"/>
    <n v="2021"/>
    <s v=""/>
    <n v="7500"/>
    <n v="7500"/>
    <s v="No change"/>
    <n v="-1.0198610590244073E-2"/>
    <n v="0.13933439758107946"/>
    <n v="7892.3668707759425"/>
    <n v="11391.941429502709"/>
    <n v="0"/>
    <n v="9.3206153743674882"/>
    <n v="8.4758227438758347"/>
    <n v="8.4758227438758347"/>
  </r>
  <r>
    <x v="41"/>
    <x v="41"/>
    <n v="6926640.5"/>
    <x v="1"/>
    <n v="0"/>
    <n v="7106229"/>
    <n v="0"/>
    <m/>
    <n v="0"/>
    <m/>
    <n v="0"/>
    <m/>
    <n v="0"/>
    <m/>
    <n v="0"/>
    <n v="8046679"/>
    <n v="0"/>
    <n v="12"/>
    <m/>
    <n v="0"/>
    <m/>
    <n v="0"/>
    <m/>
    <n v="0"/>
    <n v="8848698.5000000019"/>
    <n v="0"/>
    <n v="12"/>
    <n v="0"/>
    <n v="0"/>
    <n v="0"/>
    <m/>
    <s v=""/>
    <n v="12"/>
    <s v="2018 (triag)"/>
    <n v="12"/>
    <s v="2018 (triag)"/>
    <s v=""/>
    <n v="12"/>
    <n v="12"/>
    <s v="No change"/>
    <n v="-1.0198610590244073E-2"/>
    <n v="0.13933439758107946"/>
    <n v="12.627786993241507"/>
    <n v="18.227106287204336"/>
    <n v="0"/>
    <n v="1.491298459898798E-2"/>
    <n v="1.3561316390201335E-2"/>
    <n v="1.3561316390201335E-2"/>
  </r>
  <r>
    <x v="41"/>
    <x v="41"/>
    <n v="6926641.5"/>
    <x v="2"/>
    <n v="0"/>
    <n v="7106229"/>
    <n v="0"/>
    <m/>
    <n v="0"/>
    <m/>
    <n v="0"/>
    <m/>
    <n v="0"/>
    <m/>
    <n v="0"/>
    <n v="8046679"/>
    <n v="0"/>
    <n v="340"/>
    <m/>
    <n v="0"/>
    <m/>
    <n v="0"/>
    <m/>
    <n v="0"/>
    <n v="8848698.5000000019"/>
    <n v="0"/>
    <n v="340"/>
    <n v="0"/>
    <n v="0"/>
    <n v="0"/>
    <m/>
    <s v=""/>
    <n v="340"/>
    <s v="2018 (triag)"/>
    <n v="340"/>
    <s v="2018 (triag)"/>
    <s v=""/>
    <n v="340"/>
    <n v="340"/>
    <s v="No change"/>
    <n v="-1.0198610590244073E-2"/>
    <n v="0.13933439758107946"/>
    <n v="357.78729814184271"/>
    <n v="516.4346781374561"/>
    <n v="0"/>
    <n v="0.42253456363799274"/>
    <n v="0.3842372977223712"/>
    <n v="0.3842372977223712"/>
  </r>
  <r>
    <x v="41"/>
    <x v="41"/>
    <n v="6926642.5"/>
    <x v="3"/>
    <n v="0"/>
    <n v="7106229"/>
    <n v="0"/>
    <m/>
    <n v="0"/>
    <m/>
    <n v="0"/>
    <m/>
    <n v="2249"/>
    <m/>
    <n v="3474"/>
    <n v="8046679"/>
    <n v="3903"/>
    <n v="3903"/>
    <m/>
    <n v="3845"/>
    <m/>
    <n v="4622"/>
    <m/>
    <n v="2974"/>
    <n v="8848698.5000000019"/>
    <n v="0"/>
    <n v="3413"/>
    <n v="0"/>
    <n v="3903"/>
    <n v="4622"/>
    <m/>
    <s v=""/>
    <n v="3903"/>
    <n v="2018"/>
    <n v="2974"/>
    <n v="2021"/>
    <s v="Adjust"/>
    <n v="3595.1391245334239"/>
    <n v="3903"/>
    <s v="Decreasing"/>
    <n v="-1.0198610590244073E-2"/>
    <n v="0.13933439758107946"/>
    <n v="3591.5530839944386"/>
    <n v="5184.092813185699"/>
    <n v="0"/>
    <n v="4.8504482408208407"/>
    <n v="4.0629015945490998"/>
    <n v="4.4108181559129847"/>
  </r>
  <r>
    <x v="41"/>
    <x v="41"/>
    <n v="6926643.5"/>
    <x v="4"/>
    <n v="0"/>
    <n v="7106229"/>
    <n v="0"/>
    <m/>
    <n v="0"/>
    <m/>
    <n v="0"/>
    <m/>
    <n v="0"/>
    <m/>
    <n v="0"/>
    <n v="8046679"/>
    <n v="0"/>
    <n v="63"/>
    <m/>
    <n v="0"/>
    <m/>
    <n v="0"/>
    <m/>
    <n v="0"/>
    <n v="8848698.5000000019"/>
    <n v="1377"/>
    <n v="63"/>
    <n v="0"/>
    <n v="0"/>
    <n v="1377"/>
    <m/>
    <s v=""/>
    <n v="63"/>
    <s v="2018 (triag)"/>
    <n v="1377"/>
    <n v="2022"/>
    <s v=""/>
    <n v="1377"/>
    <n v="1377"/>
    <s v="Increasing"/>
    <n v="-1.0198610590244073E-2"/>
    <n v="0.13933439758107946"/>
    <n v="66.295881714517918"/>
    <n v="95.69230800782276"/>
    <n v="0"/>
    <n v="7.8293169144686897E-2"/>
    <n v="1.5561610557756034"/>
    <n v="1.5561610557756034"/>
  </r>
  <r>
    <x v="41"/>
    <x v="41"/>
    <n v="6926644.5"/>
    <x v="5"/>
    <n v="0"/>
    <n v="7106229"/>
    <n v="0"/>
    <m/>
    <n v="0"/>
    <m/>
    <n v="0"/>
    <m/>
    <n v="50"/>
    <m/>
    <n v="64"/>
    <n v="8046679"/>
    <n v="55"/>
    <n v="55"/>
    <m/>
    <n v="16"/>
    <m/>
    <n v="8"/>
    <m/>
    <n v="19"/>
    <n v="8848698.5000000019"/>
    <n v="19"/>
    <n v="2"/>
    <n v="0"/>
    <n v="64"/>
    <n v="19"/>
    <m/>
    <s v=""/>
    <n v="55"/>
    <n v="2018"/>
    <n v="19"/>
    <n v="2021"/>
    <s v="Adjust"/>
    <n v="22.968272819816764"/>
    <n v="55"/>
    <s v="Decreasing"/>
    <n v="-1.0198610590244073E-2"/>
    <n v="0.13933439758107946"/>
    <n v="2.1046311655402512"/>
    <n v="3.037851047867389"/>
    <n v="0"/>
    <n v="6.8351179412028243E-2"/>
    <n v="2.5956667887166409E-2"/>
    <n v="6.2156033455089459E-2"/>
  </r>
  <r>
    <x v="41"/>
    <x v="41"/>
    <n v="6926645.5"/>
    <x v="6"/>
    <n v="0"/>
    <n v="7106229"/>
    <n v="0"/>
    <m/>
    <n v="0"/>
    <m/>
    <n v="407"/>
    <m/>
    <n v="276"/>
    <m/>
    <n v="454"/>
    <n v="8046679"/>
    <n v="460"/>
    <n v="857"/>
    <m/>
    <n v="518"/>
    <m/>
    <n v="589"/>
    <m/>
    <n v="446"/>
    <n v="8848698.5000000019"/>
    <n v="0"/>
    <n v="857"/>
    <n v="407"/>
    <n v="518"/>
    <n v="589"/>
    <n v="407"/>
    <n v="2015"/>
    <n v="857"/>
    <s v="2018 (triag)"/>
    <n v="446"/>
    <n v="2021"/>
    <s v="Adjust"/>
    <n v="539.14998303359357"/>
    <n v="857"/>
    <s v="Decreasing"/>
    <n v="-1.0198610590244073E-2"/>
    <n v="0.13933439758107946"/>
    <n v="901.83445443399762"/>
    <n v="1301.7191740111762"/>
    <n v="0.57273696077061409"/>
    <n v="1.0650356501110583"/>
    <n v="0.60929862514085376"/>
    <n v="0.96850401220021209"/>
  </r>
  <r>
    <x v="41"/>
    <x v="41"/>
    <n v="6926646.5"/>
    <x v="7"/>
    <n v="0"/>
    <n v="7106229"/>
    <n v="0"/>
    <m/>
    <n v="0"/>
    <m/>
    <n v="0"/>
    <m/>
    <n v="0"/>
    <m/>
    <n v="0"/>
    <n v="8046679"/>
    <n v="0"/>
    <n v="1075"/>
    <m/>
    <n v="0"/>
    <m/>
    <n v="997"/>
    <m/>
    <n v="0"/>
    <n v="8848698.5000000019"/>
    <n v="595"/>
    <n v="1075"/>
    <n v="0"/>
    <n v="0"/>
    <n v="997"/>
    <m/>
    <s v=""/>
    <n v="1075"/>
    <s v="2018 (triag)"/>
    <n v="595"/>
    <n v="2022"/>
    <s v="Adjust"/>
    <n v="719.26959619952504"/>
    <n v="1075"/>
    <s v="Decreasing"/>
    <n v="-1.0198610590244073E-2"/>
    <n v="0.13933439758107946"/>
    <n v="1131.2392514778851"/>
    <n v="1632.8449382287215"/>
    <n v="0"/>
    <n v="1.3359548703260065"/>
    <n v="0.81285354699284296"/>
    <n v="1.2148679266222029"/>
  </r>
  <r>
    <x v="41"/>
    <x v="41"/>
    <n v="6926647.5"/>
    <x v="8"/>
    <n v="0"/>
    <n v="7106229"/>
    <n v="0"/>
    <m/>
    <n v="0"/>
    <m/>
    <n v="0"/>
    <m/>
    <n v="112"/>
    <m/>
    <n v="151"/>
    <n v="8046679"/>
    <n v="148"/>
    <n v="148"/>
    <m/>
    <n v="139"/>
    <m/>
    <n v="280"/>
    <m/>
    <n v="95"/>
    <n v="8848698.5000000019"/>
    <n v="0"/>
    <n v="23"/>
    <n v="0"/>
    <n v="151"/>
    <n v="280"/>
    <m/>
    <s v=""/>
    <n v="148"/>
    <n v="2018"/>
    <n v="95"/>
    <n v="2021"/>
    <s v="Adjust"/>
    <n v="114.84136409908382"/>
    <n v="148"/>
    <s v="Decreasing"/>
    <n v="-1.0198610590244073E-2"/>
    <n v="0.13933439758107946"/>
    <n v="24.203258403712891"/>
    <n v="34.935287050474976"/>
    <n v="0"/>
    <n v="0.1839268100541851"/>
    <n v="0.12978333943583206"/>
    <n v="0.16725623547914981"/>
  </r>
  <r>
    <x v="41"/>
    <x v="41"/>
    <n v="6926648.5"/>
    <x v="9"/>
    <n v="0"/>
    <n v="7106229"/>
    <n v="0"/>
    <m/>
    <n v="0"/>
    <m/>
    <n v="0"/>
    <m/>
    <n v="0"/>
    <m/>
    <n v="0"/>
    <n v="8046679"/>
    <n v="0"/>
    <n v="0"/>
    <m/>
    <n v="0"/>
    <m/>
    <n v="0"/>
    <m/>
    <n v="0"/>
    <n v="8848698.5000000019"/>
    <n v="0"/>
    <n v="0"/>
    <n v="0"/>
    <n v="0"/>
    <n v="0"/>
    <m/>
    <s v=""/>
    <m/>
    <s v=""/>
    <n v="0"/>
    <s v=""/>
    <s v=""/>
    <m/>
    <n v="0"/>
    <s v="No change"/>
    <n v="-1.0198610590244073E-2"/>
    <n v="0.13933439758107946"/>
    <n v="0"/>
    <n v="0"/>
    <n v="0"/>
    <n v="0"/>
    <n v="0"/>
    <n v="0"/>
  </r>
  <r>
    <x v="41"/>
    <x v="41"/>
    <n v="6926649.5"/>
    <x v="10"/>
    <n v="0"/>
    <n v="7106229"/>
    <n v="0"/>
    <m/>
    <n v="0"/>
    <m/>
    <n v="0"/>
    <m/>
    <n v="2"/>
    <m/>
    <n v="6"/>
    <n v="8046679"/>
    <n v="5"/>
    <n v="5"/>
    <m/>
    <n v="4"/>
    <m/>
    <n v="3"/>
    <m/>
    <n v="1"/>
    <n v="8848698.5000000019"/>
    <n v="2"/>
    <n v="2"/>
    <n v="0"/>
    <n v="6"/>
    <n v="3"/>
    <m/>
    <s v=""/>
    <n v="5"/>
    <n v="2018"/>
    <n v="2"/>
    <n v="2022"/>
    <s v="Adjust"/>
    <n v="2.4177129284017647"/>
    <n v="5"/>
    <s v="Decreasing"/>
    <n v="-1.0198610590244073E-2"/>
    <n v="0.13933439758107946"/>
    <n v="2.1046311655402512"/>
    <n v="3.037851047867389"/>
    <n v="0"/>
    <n v="6.213743582911658E-3"/>
    <n v="2.7322808302280431E-3"/>
    <n v="5.6505484959172231E-3"/>
  </r>
  <r>
    <x v="41"/>
    <x v="41"/>
    <n v="6926650.5"/>
    <x v="11"/>
    <n v="0"/>
    <n v="7106229"/>
    <n v="0"/>
    <m/>
    <n v="0"/>
    <m/>
    <n v="0"/>
    <m/>
    <n v="1340"/>
    <m/>
    <n v="1364"/>
    <n v="8046679"/>
    <n v="1353"/>
    <n v="4010"/>
    <m/>
    <n v="1353"/>
    <m/>
    <n v="2137"/>
    <m/>
    <n v="2139"/>
    <n v="8848698.5000000019"/>
    <n v="0"/>
    <n v="4010"/>
    <n v="0"/>
    <n v="1364"/>
    <n v="2139"/>
    <m/>
    <s v=""/>
    <n v="4010"/>
    <s v="2018 (triag)"/>
    <n v="2139"/>
    <n v="2021"/>
    <s v="Adjust"/>
    <n v="2585.7439769256871"/>
    <n v="4010"/>
    <s v="Decreasing"/>
    <n v="-1.0198610590244073E-2"/>
    <n v="0.13933439758107946"/>
    <n v="4219.7854869082039"/>
    <n v="6090.8913509741151"/>
    <n v="0"/>
    <n v="4.9834223534951496"/>
    <n v="2.922174347928892"/>
    <n v="4.5317398937256135"/>
  </r>
  <r>
    <x v="41"/>
    <x v="41"/>
    <n v="6926651.5"/>
    <x v="12"/>
    <n v="0"/>
    <n v="7106229"/>
    <n v="0"/>
    <m/>
    <n v="0"/>
    <m/>
    <n v="0"/>
    <m/>
    <n v="1264"/>
    <m/>
    <n v="1806"/>
    <n v="8046679"/>
    <n v="1554"/>
    <n v="1554"/>
    <m/>
    <n v="1948"/>
    <m/>
    <n v="1371"/>
    <m/>
    <n v="0"/>
    <n v="8848698.5000000019"/>
    <n v="0"/>
    <n v="360"/>
    <n v="0"/>
    <n v="1948"/>
    <n v="1371"/>
    <m/>
    <s v=""/>
    <n v="1554"/>
    <n v="2018"/>
    <n v="1371"/>
    <n v="2020"/>
    <s v="Adjust"/>
    <n v="1657.3422124194096"/>
    <n v="1657.3422124194096"/>
    <s v="Increasing"/>
    <n v="-1.0198610590244073E-2"/>
    <n v="0.13933439758107946"/>
    <n v="378.83360979724523"/>
    <n v="546.81318861612999"/>
    <n v="0"/>
    <n v="1.9312315055689435"/>
    <n v="1.8729785091213238"/>
    <n v="1.8729785091213238"/>
  </r>
  <r>
    <x v="41"/>
    <x v="41"/>
    <n v="6926652.5"/>
    <x v="13"/>
    <n v="0"/>
    <n v="7106229"/>
    <n v="0"/>
    <m/>
    <n v="0"/>
    <m/>
    <n v="0"/>
    <m/>
    <n v="129"/>
    <m/>
    <n v="201"/>
    <n v="8046679"/>
    <n v="183"/>
    <n v="615"/>
    <m/>
    <n v="195"/>
    <m/>
    <n v="338"/>
    <m/>
    <n v="149"/>
    <n v="8848698.5000000019"/>
    <n v="887"/>
    <n v="615"/>
    <n v="0"/>
    <n v="201"/>
    <n v="887"/>
    <m/>
    <s v=""/>
    <n v="615"/>
    <s v="2018 (triag)"/>
    <n v="887"/>
    <n v="2022"/>
    <s v=""/>
    <n v="887"/>
    <n v="887"/>
    <s v="Increasing"/>
    <n v="-1.0198610590244073E-2"/>
    <n v="0.13933439758107946"/>
    <n v="647.17408340362726"/>
    <n v="934.13919721922207"/>
    <n v="0"/>
    <n v="0.764290460698134"/>
    <n v="1.0024073031757155"/>
    <n v="1.0024073031757155"/>
  </r>
  <r>
    <x v="41"/>
    <x v="41"/>
    <n v="6926653.5"/>
    <x v="14"/>
    <n v="0"/>
    <n v="7106229"/>
    <n v="0"/>
    <m/>
    <n v="0"/>
    <m/>
    <n v="0"/>
    <m/>
    <n v="638"/>
    <m/>
    <n v="945"/>
    <n v="8046679"/>
    <n v="978"/>
    <n v="978"/>
    <m/>
    <n v="817"/>
    <m/>
    <n v="0"/>
    <m/>
    <n v="813"/>
    <n v="8848698.5000000019"/>
    <n v="390"/>
    <n v="0"/>
    <n v="0"/>
    <n v="978"/>
    <n v="813"/>
    <m/>
    <s v=""/>
    <n v="978"/>
    <n v="2018"/>
    <n v="390"/>
    <n v="2022"/>
    <s v="Adjust"/>
    <n v="471.45402103834408"/>
    <n v="978"/>
    <s v="Decreasing"/>
    <n v="-1.0198610590244073E-2"/>
    <n v="0.13933439758107946"/>
    <n v="0"/>
    <n v="0"/>
    <n v="0"/>
    <n v="1.2154082448175203"/>
    <n v="0.53279476189446839"/>
    <n v="1.1052472858014089"/>
  </r>
  <r>
    <x v="41"/>
    <x v="41"/>
    <n v="6926654.5"/>
    <x v="15"/>
    <n v="0"/>
    <n v="7106229"/>
    <n v="0"/>
    <m/>
    <n v="0"/>
    <m/>
    <n v="231"/>
    <m/>
    <n v="152"/>
    <m/>
    <n v="174"/>
    <n v="8046679"/>
    <n v="160"/>
    <n v="252"/>
    <m/>
    <n v="175"/>
    <m/>
    <n v="230"/>
    <m/>
    <n v="161"/>
    <n v="8848698.5000000019"/>
    <n v="183"/>
    <n v="252"/>
    <n v="231"/>
    <n v="175"/>
    <n v="230"/>
    <n v="231"/>
    <n v="2015"/>
    <n v="252"/>
    <s v="2018 (triag)"/>
    <n v="183"/>
    <n v="2022"/>
    <s v="Adjust"/>
    <n v="221.22073294876148"/>
    <n v="252"/>
    <s v="Decreasing"/>
    <n v="-1.0198610590244073E-2"/>
    <n v="0.13933439758107946"/>
    <n v="265.18352685807167"/>
    <n v="382.76923203129104"/>
    <n v="0.32506692368061879"/>
    <n v="0.31317267657874759"/>
    <n v="0.25000369596586597"/>
    <n v="0.28478764419422803"/>
  </r>
  <r>
    <x v="41"/>
    <x v="41"/>
    <n v="6926655.5"/>
    <x v="16"/>
    <n v="0"/>
    <n v="7106229"/>
    <n v="0"/>
    <m/>
    <n v="0"/>
    <m/>
    <n v="0"/>
    <m/>
    <n v="14"/>
    <m/>
    <n v="62"/>
    <n v="8046679"/>
    <n v="62"/>
    <n v="62"/>
    <m/>
    <n v="62"/>
    <m/>
    <n v="66"/>
    <m/>
    <n v="56"/>
    <n v="8848698.5000000019"/>
    <n v="0"/>
    <n v="0"/>
    <n v="0"/>
    <n v="62"/>
    <n v="66"/>
    <m/>
    <s v=""/>
    <n v="62"/>
    <n v="2017"/>
    <n v="56"/>
    <n v="2021"/>
    <s v="Adjust"/>
    <n v="67.695961995249405"/>
    <n v="67.695961995249405"/>
    <s v="Increasing"/>
    <n v="-1.0198610590244073E-2"/>
    <n v="0.13933439758107946"/>
    <n v="0"/>
    <n v="0"/>
    <n v="0"/>
    <n v="7.705042042810456E-2"/>
    <n v="7.6503863246385209E-2"/>
    <n v="7.6503863246385209E-2"/>
  </r>
  <r>
    <x v="41"/>
    <x v="41"/>
    <n v="6926656.5"/>
    <x v="17"/>
    <n v="0"/>
    <n v="7106229"/>
    <n v="0"/>
    <m/>
    <n v="0"/>
    <m/>
    <n v="0"/>
    <m/>
    <n v="9"/>
    <m/>
    <n v="21"/>
    <n v="8046679"/>
    <n v="25"/>
    <n v="25"/>
    <m/>
    <n v="35"/>
    <m/>
    <n v="83"/>
    <m/>
    <n v="33"/>
    <n v="8848698.5000000019"/>
    <n v="0"/>
    <n v="0"/>
    <n v="0"/>
    <n v="35"/>
    <n v="83"/>
    <m/>
    <s v=""/>
    <n v="25"/>
    <n v="2018"/>
    <n v="33"/>
    <n v="2021"/>
    <s v=""/>
    <n v="33"/>
    <n v="33"/>
    <s v="Increasing"/>
    <n v="-1.0198610590244073E-2"/>
    <n v="0.13933439758107946"/>
    <n v="0"/>
    <n v="0"/>
    <n v="0"/>
    <n v="3.1068717914558293E-2"/>
    <n v="3.7293620073053674E-2"/>
    <n v="3.7293620073053674E-2"/>
  </r>
  <r>
    <x v="41"/>
    <x v="41"/>
    <n v="6926657.5"/>
    <x v="18"/>
    <n v="0"/>
    <n v="7106229"/>
    <n v="0"/>
    <m/>
    <n v="0"/>
    <m/>
    <n v="0"/>
    <m/>
    <n v="0"/>
    <m/>
    <n v="0"/>
    <n v="8046679"/>
    <n v="0"/>
    <n v="987"/>
    <m/>
    <n v="0"/>
    <m/>
    <n v="0"/>
    <m/>
    <n v="0"/>
    <n v="8848698.5000000019"/>
    <n v="0"/>
    <n v="987"/>
    <n v="0"/>
    <n v="0"/>
    <n v="0"/>
    <m/>
    <s v=""/>
    <n v="987"/>
    <s v="2018 (triag)"/>
    <n v="987"/>
    <s v="2018 (triag)"/>
    <s v=""/>
    <n v="987"/>
    <n v="987"/>
    <s v="No change"/>
    <n v="-1.0198610590244073E-2"/>
    <n v="0.13933439758107946"/>
    <n v="1038.6354801941141"/>
    <n v="1499.1794921225564"/>
    <n v="0"/>
    <n v="1.2265929832667612"/>
    <n v="1.1154182730940598"/>
    <n v="1.1154182730940598"/>
  </r>
  <r>
    <x v="42"/>
    <x v="42"/>
    <n v="47786142.5"/>
    <x v="0"/>
    <n v="0"/>
    <n v="49253643.5"/>
    <n v="0"/>
    <m/>
    <n v="0"/>
    <m/>
    <n v="0"/>
    <m/>
    <n v="0"/>
    <m/>
    <n v="0"/>
    <n v="58090443.000000007"/>
    <n v="0"/>
    <n v="0"/>
    <m/>
    <n v="0"/>
    <m/>
    <n v="0"/>
    <m/>
    <n v="0"/>
    <n v="65497748.000000045"/>
    <n v="20737"/>
    <n v="0"/>
    <n v="0"/>
    <n v="0"/>
    <n v="20737"/>
    <m/>
    <s v=""/>
    <m/>
    <s v=""/>
    <n v="20737"/>
    <n v="2022"/>
    <s v=""/>
    <n v="20737"/>
    <n v="20737"/>
    <s v="Increasing"/>
    <n v="0.14011618556211447"/>
    <n v="5.4673730437993617E-2"/>
    <n v="0"/>
    <n v="0"/>
    <n v="0"/>
    <n v="0"/>
    <n v="3.166063053038096"/>
    <n v="3.166063053038096"/>
  </r>
  <r>
    <x v="42"/>
    <x v="42"/>
    <n v="47786143.5"/>
    <x v="1"/>
    <n v="0"/>
    <n v="49253643.5"/>
    <n v="0"/>
    <m/>
    <n v="0"/>
    <m/>
    <n v="0"/>
    <m/>
    <n v="0"/>
    <m/>
    <n v="49"/>
    <n v="58090443.000000007"/>
    <n v="855"/>
    <n v="855"/>
    <m/>
    <n v="0"/>
    <m/>
    <n v="0"/>
    <m/>
    <n v="0"/>
    <n v="65497748.000000045"/>
    <n v="65"/>
    <n v="148"/>
    <n v="0"/>
    <n v="855"/>
    <n v="65"/>
    <m/>
    <s v=""/>
    <n v="855"/>
    <n v="2018"/>
    <n v="65"/>
    <n v="2022"/>
    <s v="Adjust"/>
    <n v="84.207649746486481"/>
    <n v="855"/>
    <s v="Decreasing"/>
    <n v="0.14011618556211447"/>
    <n v="5.4673730437993617E-2"/>
    <n v="73.451942288537239"/>
    <n v="174.379413923481"/>
    <n v="0"/>
    <n v="0.14718427952081548"/>
    <n v="1.2856571762816399E-2"/>
    <n v="0.13053883928955839"/>
  </r>
  <r>
    <x v="42"/>
    <x v="42"/>
    <n v="47786144.5"/>
    <x v="2"/>
    <n v="3255"/>
    <n v="49253643.5"/>
    <n v="0"/>
    <m/>
    <n v="0"/>
    <m/>
    <n v="0"/>
    <m/>
    <n v="0"/>
    <m/>
    <n v="566"/>
    <n v="58090443.000000007"/>
    <n v="1905"/>
    <n v="1905"/>
    <m/>
    <n v="0"/>
    <m/>
    <n v="0"/>
    <m/>
    <n v="0"/>
    <n v="65497748.000000045"/>
    <n v="929"/>
    <n v="578"/>
    <n v="3255"/>
    <n v="1905"/>
    <n v="929"/>
    <n v="3255"/>
    <n v="2012"/>
    <n v="1905"/>
    <n v="2018"/>
    <n v="929"/>
    <n v="2022"/>
    <s v="Adjust"/>
    <n v="1203.5216402228605"/>
    <n v="1905"/>
    <s v="Decreasing"/>
    <n v="0.14011618556211447"/>
    <n v="5.4673730437993617E-2"/>
    <n v="286.8596124511792"/>
    <n v="681.02230572818928"/>
    <n v="0.66086481500602079"/>
    <n v="0.32793690349374677"/>
    <n v="0.18375007950240665"/>
    <n v="0.29084969455743709"/>
  </r>
  <r>
    <x v="42"/>
    <x v="42"/>
    <n v="47786145.5"/>
    <x v="3"/>
    <n v="0"/>
    <n v="49253643.5"/>
    <n v="0"/>
    <m/>
    <n v="0"/>
    <m/>
    <n v="0"/>
    <m/>
    <n v="0"/>
    <m/>
    <n v="0"/>
    <n v="58090443.000000007"/>
    <n v="0"/>
    <n v="25803"/>
    <m/>
    <n v="0"/>
    <m/>
    <n v="0"/>
    <m/>
    <n v="0"/>
    <n v="65497748.000000045"/>
    <n v="0"/>
    <n v="25803"/>
    <n v="0"/>
    <n v="0"/>
    <n v="0"/>
    <m/>
    <s v=""/>
    <n v="25803"/>
    <s v="2018 (triag)"/>
    <n v="25803"/>
    <s v="2018 (triag)"/>
    <s v=""/>
    <n v="25803"/>
    <n v="25803"/>
    <s v="No change"/>
    <n v="0.14011618556211447"/>
    <n v="5.4673730437993617E-2"/>
    <n v="12805.949100480582"/>
    <n v="30402.108226132295"/>
    <n v="0"/>
    <n v="4.4418666251176626"/>
    <n v="3.9395247604543568"/>
    <n v="3.9395247604543568"/>
  </r>
  <r>
    <x v="42"/>
    <x v="42"/>
    <n v="47786146.5"/>
    <x v="4"/>
    <n v="0"/>
    <n v="49253643.5"/>
    <n v="0"/>
    <m/>
    <n v="0"/>
    <m/>
    <n v="0"/>
    <m/>
    <n v="0"/>
    <m/>
    <n v="0"/>
    <n v="58090443.000000007"/>
    <n v="0"/>
    <n v="633"/>
    <m/>
    <n v="0"/>
    <m/>
    <n v="0"/>
    <m/>
    <n v="0"/>
    <n v="65497748.000000045"/>
    <n v="0"/>
    <n v="633"/>
    <n v="0"/>
    <n v="0"/>
    <n v="0"/>
    <m/>
    <s v=""/>
    <n v="633"/>
    <s v="2018 (triag)"/>
    <n v="633"/>
    <s v="2018 (triag)"/>
    <s v=""/>
    <n v="633"/>
    <n v="633"/>
    <s v="No change"/>
    <n v="0.14011618556211447"/>
    <n v="5.4673730437993617E-2"/>
    <n v="314.15594235570319"/>
    <n v="745.82546630786123"/>
    <n v="0"/>
    <n v="0.10896801045225286"/>
    <n v="9.6644544175778307E-2"/>
    <n v="9.6644544175778307E-2"/>
  </r>
  <r>
    <x v="42"/>
    <x v="42"/>
    <n v="47786147.5"/>
    <x v="5"/>
    <n v="60"/>
    <n v="49253643.5"/>
    <n v="0"/>
    <m/>
    <n v="0"/>
    <m/>
    <n v="0"/>
    <m/>
    <n v="0"/>
    <m/>
    <n v="0"/>
    <n v="58090443.000000007"/>
    <n v="89"/>
    <n v="89"/>
    <m/>
    <n v="0"/>
    <m/>
    <n v="0"/>
    <m/>
    <n v="0"/>
    <n v="65497748.000000045"/>
    <n v="12"/>
    <n v="73"/>
    <n v="60"/>
    <n v="89"/>
    <n v="12"/>
    <n v="60"/>
    <n v="2012"/>
    <n v="89"/>
    <n v="2018"/>
    <n v="12"/>
    <n v="2022"/>
    <s v="Adjust"/>
    <n v="15.546027645505195"/>
    <n v="89"/>
    <s v="Decreasing"/>
    <n v="0.14011618556211447"/>
    <n v="5.4673730437993617E-2"/>
    <n v="36.229674236913638"/>
    <n v="86.011467678473736"/>
    <n v="1.2181839907945084E-2"/>
    <n v="1.5320936698657986E-2"/>
    <n v="2.3735209408276424E-3"/>
    <n v="1.3588253446515434E-2"/>
  </r>
  <r>
    <x v="42"/>
    <x v="42"/>
    <n v="47786148.5"/>
    <x v="6"/>
    <n v="89"/>
    <n v="49253643.5"/>
    <n v="0"/>
    <m/>
    <n v="93"/>
    <m/>
    <n v="0"/>
    <m/>
    <n v="0"/>
    <m/>
    <n v="0"/>
    <n v="58090443.000000007"/>
    <n v="4361"/>
    <n v="4361"/>
    <m/>
    <n v="0"/>
    <m/>
    <n v="0"/>
    <m/>
    <n v="0"/>
    <n v="65497748.000000045"/>
    <n v="1198"/>
    <n v="3028"/>
    <n v="93"/>
    <n v="4361"/>
    <n v="1198"/>
    <n v="89"/>
    <n v="2012"/>
    <n v="4361"/>
    <n v="2018"/>
    <n v="1198"/>
    <n v="2022"/>
    <s v="Adjust"/>
    <n v="1552.0117599429354"/>
    <n v="4361"/>
    <s v="Decreasing"/>
    <n v="0.14011618556211447"/>
    <n v="5.4673730437993617E-2"/>
    <n v="1502.7870354708834"/>
    <n v="3567.7085497317598"/>
    <n v="1.8069729196785209E-2"/>
    <n v="0.7507258982342413"/>
    <n v="0.23695650725929299"/>
    <n v="0.66582441887925625"/>
  </r>
  <r>
    <x v="42"/>
    <x v="42"/>
    <n v="47786149.5"/>
    <x v="7"/>
    <n v="0"/>
    <n v="49253643.5"/>
    <n v="0"/>
    <m/>
    <n v="0"/>
    <m/>
    <n v="0"/>
    <m/>
    <n v="0"/>
    <m/>
    <n v="0"/>
    <n v="58090443.000000007"/>
    <n v="0"/>
    <n v="9250"/>
    <m/>
    <n v="0"/>
    <m/>
    <n v="0"/>
    <m/>
    <n v="0"/>
    <n v="65497748.000000045"/>
    <n v="2337"/>
    <n v="9250"/>
    <n v="0"/>
    <n v="0"/>
    <n v="2337"/>
    <m/>
    <s v=""/>
    <n v="9250"/>
    <s v="2018 (triag)"/>
    <n v="2337"/>
    <n v="2022"/>
    <s v="Adjust"/>
    <n v="3027.5888839621371"/>
    <n v="9250"/>
    <s v="Decreasing"/>
    <n v="0.14011618556211447"/>
    <n v="5.4673730437993617E-2"/>
    <n v="4590.7463930335771"/>
    <n v="10898.713370217562"/>
    <n v="0"/>
    <n v="1.5923445445234423"/>
    <n v="0.4622432032261834"/>
    <n v="1.4122622964075029"/>
  </r>
  <r>
    <x v="42"/>
    <x v="42"/>
    <n v="47786150.5"/>
    <x v="8"/>
    <n v="223"/>
    <n v="49253643.5"/>
    <n v="0"/>
    <m/>
    <n v="0"/>
    <m/>
    <n v="0"/>
    <m/>
    <n v="0"/>
    <m/>
    <n v="0"/>
    <n v="58090443.000000007"/>
    <n v="0"/>
    <n v="681"/>
    <m/>
    <n v="0"/>
    <m/>
    <n v="0"/>
    <m/>
    <n v="0"/>
    <n v="65497748.000000045"/>
    <n v="543"/>
    <n v="681"/>
    <n v="223"/>
    <n v="0"/>
    <n v="543"/>
    <n v="223"/>
    <n v="2012"/>
    <n v="681"/>
    <s v="2018 (triag)"/>
    <n v="543"/>
    <n v="2022"/>
    <s v="Adjust"/>
    <n v="703.45775095911006"/>
    <n v="703.45775095911006"/>
    <s v="Increasing"/>
    <n v="0.14011618556211447"/>
    <n v="5.4673730437993617E-2"/>
    <n v="337.9781939087423"/>
    <n v="802.38095190466584"/>
    <n v="4.5275838324529229E-2"/>
    <n v="0.11723098754815829"/>
    <n v="0.10740182257245083"/>
    <n v="0.10740182257245083"/>
  </r>
  <r>
    <x v="42"/>
    <x v="42"/>
    <n v="47786151.5"/>
    <x v="9"/>
    <n v="470"/>
    <n v="49253643.5"/>
    <n v="0"/>
    <m/>
    <n v="0"/>
    <m/>
    <n v="0"/>
    <m/>
    <n v="0"/>
    <m/>
    <n v="0"/>
    <n v="58090443.000000007"/>
    <n v="0"/>
    <n v="724"/>
    <m/>
    <n v="0"/>
    <m/>
    <n v="0"/>
    <m/>
    <n v="0"/>
    <n v="65497748.000000045"/>
    <n v="724"/>
    <n v="724"/>
    <n v="470"/>
    <n v="0"/>
    <n v="724"/>
    <n v="470"/>
    <n v="2012"/>
    <n v="724"/>
    <s v="2018 (triag)"/>
    <n v="724"/>
    <n v="2022"/>
    <s v=""/>
    <n v="724"/>
    <n v="724"/>
    <s v="No change"/>
    <n v="0.14011618556211447"/>
    <n v="5.4673730437993617E-2"/>
    <n v="359.31896092500648"/>
    <n v="853.04524108513669"/>
    <n v="9.5424412612236498E-2"/>
    <n v="0.12463323786324024"/>
    <n v="0.1105381516323278"/>
    <n v="0.1105381516323278"/>
  </r>
  <r>
    <x v="42"/>
    <x v="42"/>
    <n v="47786152.5"/>
    <x v="10"/>
    <n v="82"/>
    <n v="49253643.5"/>
    <n v="0"/>
    <m/>
    <n v="0"/>
    <m/>
    <n v="0"/>
    <m/>
    <n v="0"/>
    <m/>
    <n v="0"/>
    <n v="58090443.000000007"/>
    <n v="0"/>
    <n v="213"/>
    <m/>
    <n v="0"/>
    <m/>
    <n v="0"/>
    <m/>
    <n v="0"/>
    <n v="65497748.000000045"/>
    <n v="201"/>
    <n v="213"/>
    <n v="82"/>
    <n v="0"/>
    <n v="201"/>
    <n v="82"/>
    <n v="2012"/>
    <n v="213"/>
    <s v="2018 (triag)"/>
    <n v="201"/>
    <n v="2022"/>
    <s v="Adjust"/>
    <n v="260.39596306221205"/>
    <n v="260.39596306221205"/>
    <s v="Increasing"/>
    <n v="0.14011618556211447"/>
    <n v="5.4673730437993617E-2"/>
    <n v="105.71124126661103"/>
    <n v="250.9649673358206"/>
    <n v="1.6648514540858281E-2"/>
    <n v="3.6666960863080349E-2"/>
    <n v="3.975647575886302E-2"/>
    <n v="3.975647575886302E-2"/>
  </r>
  <r>
    <x v="42"/>
    <x v="42"/>
    <n v="47786153.5"/>
    <x v="11"/>
    <n v="0"/>
    <n v="49253643.5"/>
    <n v="0"/>
    <m/>
    <n v="0"/>
    <m/>
    <n v="0"/>
    <m/>
    <n v="0"/>
    <m/>
    <n v="0"/>
    <n v="58090443.000000007"/>
    <n v="0"/>
    <n v="0"/>
    <m/>
    <n v="0"/>
    <m/>
    <n v="0"/>
    <m/>
    <n v="0"/>
    <n v="65497748.000000045"/>
    <n v="0"/>
    <n v="0"/>
    <n v="0"/>
    <n v="0"/>
    <n v="0"/>
    <m/>
    <s v=""/>
    <m/>
    <s v=""/>
    <n v="0"/>
    <s v=""/>
    <s v=""/>
    <m/>
    <n v="0"/>
    <s v="No change"/>
    <n v="0.14011618556211447"/>
    <n v="5.4673730437993617E-2"/>
    <n v="0"/>
    <n v="0"/>
    <n v="0"/>
    <n v="0"/>
    <n v="0"/>
    <n v="0"/>
  </r>
  <r>
    <x v="42"/>
    <x v="42"/>
    <n v="47786154.5"/>
    <x v="12"/>
    <n v="0"/>
    <n v="49253643.5"/>
    <n v="0"/>
    <m/>
    <n v="0"/>
    <m/>
    <n v="0"/>
    <m/>
    <n v="0"/>
    <m/>
    <n v="0"/>
    <n v="58090443.000000007"/>
    <n v="0"/>
    <n v="3630"/>
    <m/>
    <n v="0"/>
    <m/>
    <n v="0"/>
    <m/>
    <n v="0"/>
    <n v="65497748.000000045"/>
    <n v="2"/>
    <n v="3630"/>
    <n v="0"/>
    <n v="0"/>
    <n v="2"/>
    <m/>
    <s v=""/>
    <n v="3630"/>
    <s v="2018 (triag)"/>
    <n v="2"/>
    <n v="2022"/>
    <s v="Adjust"/>
    <n v="2.5910046075841993"/>
    <n v="3630"/>
    <s v="Decreasing"/>
    <n v="0.14011618556211447"/>
    <n v="5.4673730437993617E-2"/>
    <n v="1801.5577736985822"/>
    <n v="4277.0085982583514"/>
    <n v="0"/>
    <n v="0.62488764287784815"/>
    <n v="3.9558682347127377E-4"/>
    <n v="0.55421752821180925"/>
  </r>
  <r>
    <x v="42"/>
    <x v="42"/>
    <n v="47786155.5"/>
    <x v="13"/>
    <n v="1997"/>
    <n v="49253643.5"/>
    <n v="0"/>
    <m/>
    <n v="2508"/>
    <m/>
    <n v="0"/>
    <m/>
    <n v="0"/>
    <m/>
    <n v="0"/>
    <n v="58090443.000000007"/>
    <n v="0"/>
    <n v="4361"/>
    <m/>
    <n v="0"/>
    <m/>
    <n v="0"/>
    <m/>
    <n v="0"/>
    <n v="65497748.000000045"/>
    <n v="4743"/>
    <n v="4361"/>
    <n v="2508"/>
    <n v="0"/>
    <n v="4743"/>
    <n v="1997"/>
    <n v="2012"/>
    <n v="4361"/>
    <s v="2018 (triag)"/>
    <n v="4743"/>
    <n v="2022"/>
    <s v=""/>
    <n v="4743"/>
    <n v="4743"/>
    <s v="Increasing"/>
    <n v="0.14011618556211447"/>
    <n v="5.4673730437993617E-2"/>
    <n v="2164.3508129750735"/>
    <n v="5138.3015143263556"/>
    <n v="0.40545223826943888"/>
    <n v="0.7507258982342413"/>
    <n v="0.7241470347957607"/>
    <n v="0.7241470347957607"/>
  </r>
  <r>
    <x v="42"/>
    <x v="42"/>
    <n v="47786156.5"/>
    <x v="14"/>
    <n v="8787"/>
    <n v="49253643.5"/>
    <n v="0"/>
    <m/>
    <n v="10536"/>
    <m/>
    <n v="0"/>
    <m/>
    <n v="0"/>
    <m/>
    <n v="0"/>
    <n v="58090443.000000007"/>
    <n v="0"/>
    <n v="1963"/>
    <m/>
    <n v="0"/>
    <m/>
    <n v="0"/>
    <m/>
    <n v="0"/>
    <n v="65497748.000000045"/>
    <n v="71119"/>
    <n v="1963"/>
    <n v="10536"/>
    <n v="0"/>
    <n v="71119"/>
    <n v="8787"/>
    <n v="2012"/>
    <n v="1963"/>
    <s v="2018 (triag)"/>
    <n v="71119"/>
    <n v="2022"/>
    <s v=""/>
    <n v="71119"/>
    <n v="71119"/>
    <s v="Increasing"/>
    <n v="0.14011618556211447"/>
    <n v="5.4673730437993617E-2"/>
    <n v="974.23082913782832"/>
    <n v="2312.8837130526567"/>
    <n v="1.7840304545185577"/>
    <n v="0.33792133415129916"/>
    <n v="10.858235919805969"/>
    <n v="10.858235919805969"/>
  </r>
  <r>
    <x v="42"/>
    <x v="42"/>
    <n v="47786157.5"/>
    <x v="15"/>
    <n v="130"/>
    <n v="49253643.5"/>
    <n v="0"/>
    <m/>
    <n v="0"/>
    <m/>
    <n v="0"/>
    <m/>
    <n v="0"/>
    <m/>
    <n v="0"/>
    <n v="58090443.000000007"/>
    <n v="0"/>
    <n v="103"/>
    <m/>
    <n v="0"/>
    <m/>
    <n v="0"/>
    <m/>
    <n v="0"/>
    <n v="65497748.000000045"/>
    <n v="1358"/>
    <n v="103"/>
    <n v="130"/>
    <n v="0"/>
    <n v="1358"/>
    <n v="130"/>
    <n v="2012"/>
    <n v="103"/>
    <s v="2018 (triag)"/>
    <n v="1358"/>
    <n v="2022"/>
    <s v=""/>
    <n v="1358"/>
    <n v="1358"/>
    <s v="Increasing"/>
    <n v="0.14011618556211447"/>
    <n v="5.4673730437993617E-2"/>
    <n v="51.118581457563074"/>
    <n v="121.35864617647663"/>
    <n v="2.6393986467214348E-2"/>
    <n v="1.7730971684963737E-2"/>
    <n v="0.20733537281312314"/>
    <n v="0.20733537281312314"/>
  </r>
  <r>
    <x v="42"/>
    <x v="42"/>
    <n v="47786158.5"/>
    <x v="16"/>
    <n v="0"/>
    <n v="49253643.5"/>
    <n v="0"/>
    <m/>
    <n v="0"/>
    <m/>
    <n v="0"/>
    <m/>
    <n v="0"/>
    <m/>
    <n v="0"/>
    <n v="58090443.000000007"/>
    <n v="0"/>
    <n v="0"/>
    <m/>
    <n v="0"/>
    <m/>
    <n v="0"/>
    <m/>
    <n v="0"/>
    <n v="65497748.000000045"/>
    <n v="0"/>
    <n v="0"/>
    <n v="0"/>
    <n v="0"/>
    <n v="0"/>
    <m/>
    <s v=""/>
    <m/>
    <s v=""/>
    <n v="0"/>
    <s v=""/>
    <s v=""/>
    <m/>
    <n v="0"/>
    <s v="No change"/>
    <n v="0.14011618556211447"/>
    <n v="5.4673730437993617E-2"/>
    <n v="0"/>
    <n v="0"/>
    <n v="0"/>
    <n v="0"/>
    <n v="0"/>
    <n v="0"/>
  </r>
  <r>
    <x v="42"/>
    <x v="42"/>
    <n v="47786159.5"/>
    <x v="17"/>
    <n v="0"/>
    <n v="49253643.5"/>
    <n v="0"/>
    <m/>
    <n v="0"/>
    <m/>
    <n v="0"/>
    <m/>
    <n v="0"/>
    <m/>
    <n v="0"/>
    <n v="58090443.000000007"/>
    <n v="0"/>
    <n v="2"/>
    <m/>
    <n v="0"/>
    <m/>
    <n v="0"/>
    <m/>
    <n v="0"/>
    <n v="65497748.000000045"/>
    <n v="2"/>
    <n v="2"/>
    <n v="0"/>
    <n v="0"/>
    <n v="2"/>
    <m/>
    <s v=""/>
    <n v="2"/>
    <s v="2018 (triag)"/>
    <n v="2"/>
    <n v="2022"/>
    <s v=""/>
    <n v="2"/>
    <n v="2"/>
    <s v="No change"/>
    <n v="0.14011618556211447"/>
    <n v="5.4673730437993617E-2"/>
    <n v="0.99259381470996266"/>
    <n v="2.3564785665335268"/>
    <n v="0"/>
    <n v="3.4429071232939293E-4"/>
    <n v="3.0535401003405473E-4"/>
    <n v="3.0535401003405473E-4"/>
  </r>
  <r>
    <x v="42"/>
    <x v="42"/>
    <n v="47786160.5"/>
    <x v="18"/>
    <n v="0"/>
    <n v="49253643.5"/>
    <n v="0"/>
    <m/>
    <n v="0"/>
    <m/>
    <n v="0"/>
    <m/>
    <n v="0"/>
    <m/>
    <n v="0"/>
    <n v="58090443.000000007"/>
    <n v="0"/>
    <n v="15200"/>
    <m/>
    <n v="0"/>
    <m/>
    <n v="0"/>
    <m/>
    <n v="0"/>
    <n v="65497748.000000045"/>
    <n v="4710"/>
    <n v="15200"/>
    <n v="0"/>
    <n v="0"/>
    <n v="4710"/>
    <m/>
    <s v=""/>
    <n v="15200"/>
    <s v="2018 (triag)"/>
    <n v="4710"/>
    <n v="2022"/>
    <s v="Adjust"/>
    <n v="6101.8158508607894"/>
    <n v="15200"/>
    <s v="Decreasing"/>
    <n v="0.14011618556211447"/>
    <n v="5.4673730437993617E-2"/>
    <n v="7543.7129917957163"/>
    <n v="17909.237105654804"/>
    <n v="0"/>
    <n v="2.6166094137033862"/>
    <n v="0.93160696927484976"/>
    <n v="2.3206904762588159"/>
  </r>
  <r>
    <x v="43"/>
    <x v="43"/>
    <n v="34273300"/>
    <x v="0"/>
    <n v="0"/>
    <n v="35273569.999999993"/>
    <n v="0"/>
    <m/>
    <n v="0"/>
    <m/>
    <n v="179175"/>
    <m/>
    <n v="0"/>
    <m/>
    <n v="0"/>
    <n v="41515395.000000015"/>
    <n v="0"/>
    <n v="0"/>
    <m/>
    <n v="179000"/>
    <m/>
    <n v="0"/>
    <m/>
    <n v="0"/>
    <n v="47249584.999999978"/>
    <n v="0"/>
    <n v="0"/>
    <n v="179175"/>
    <n v="179000"/>
    <n v="0"/>
    <n v="179175"/>
    <n v="2015"/>
    <n v="179000"/>
    <n v="2019"/>
    <n v="179000"/>
    <n v="2019"/>
    <s v=""/>
    <n v="179000"/>
    <n v="179000"/>
    <s v="No change"/>
    <n v="4.7050173871553191E-2"/>
    <n v="5.4673730437993617E-2"/>
    <n v="0"/>
    <n v="0"/>
    <n v="50.795822481251555"/>
    <n v="43.116535444261082"/>
    <n v="37.883930620766314"/>
    <n v="37.883930620766314"/>
  </r>
  <r>
    <x v="43"/>
    <x v="43"/>
    <n v="34273301"/>
    <x v="1"/>
    <n v="0"/>
    <n v="35273569.999999993"/>
    <n v="0"/>
    <m/>
    <n v="0"/>
    <m/>
    <n v="0"/>
    <m/>
    <n v="0"/>
    <m/>
    <n v="0"/>
    <n v="41515395.000000015"/>
    <n v="0"/>
    <n v="3"/>
    <m/>
    <n v="0"/>
    <m/>
    <n v="0"/>
    <m/>
    <n v="0"/>
    <n v="47249584.999999978"/>
    <n v="93"/>
    <n v="3"/>
    <n v="0"/>
    <n v="0"/>
    <n v="93"/>
    <m/>
    <s v=""/>
    <n v="3"/>
    <s v="2018 (triag)"/>
    <n v="93"/>
    <n v="2022"/>
    <s v=""/>
    <n v="93"/>
    <n v="93"/>
    <s v="Increasing"/>
    <n v="4.7050173871553191E-2"/>
    <n v="5.4673730437993617E-2"/>
    <n v="2.3711176335084017"/>
    <n v="3.5347178498002902"/>
    <n v="0"/>
    <n v="7.226234990658282E-4"/>
    <n v="1.9682712557157919E-2"/>
    <n v="1.9682712557157919E-2"/>
  </r>
  <r>
    <x v="43"/>
    <x v="43"/>
    <n v="34273302"/>
    <x v="2"/>
    <n v="0"/>
    <n v="35273569.999999993"/>
    <n v="0"/>
    <m/>
    <n v="0"/>
    <m/>
    <n v="0"/>
    <m/>
    <n v="5112"/>
    <m/>
    <n v="0"/>
    <n v="41515395.000000015"/>
    <n v="0"/>
    <n v="16"/>
    <m/>
    <n v="0"/>
    <m/>
    <n v="0"/>
    <m/>
    <n v="0"/>
    <n v="47249584.999999978"/>
    <n v="426"/>
    <n v="16"/>
    <n v="0"/>
    <n v="5112"/>
    <n v="426"/>
    <m/>
    <s v=""/>
    <n v="16"/>
    <s v="2018 (triag)"/>
    <n v="426"/>
    <n v="2022"/>
    <s v=""/>
    <n v="426"/>
    <n v="426"/>
    <s v="Increasing"/>
    <n v="4.7050173871553191E-2"/>
    <n v="5.4673730437993617E-2"/>
    <n v="12.645960712044809"/>
    <n v="18.851828532268215"/>
    <n v="0"/>
    <n v="3.8539919950177507E-3"/>
    <n v="9.0159522036013698E-2"/>
    <n v="9.0159522036013698E-2"/>
  </r>
  <r>
    <x v="43"/>
    <x v="43"/>
    <n v="34273303"/>
    <x v="3"/>
    <n v="0"/>
    <n v="35273569.999999993"/>
    <n v="0"/>
    <m/>
    <n v="0"/>
    <m/>
    <n v="0"/>
    <m/>
    <n v="0"/>
    <m/>
    <n v="0"/>
    <n v="41515395.000000015"/>
    <n v="0"/>
    <n v="527"/>
    <m/>
    <n v="0"/>
    <m/>
    <n v="0"/>
    <m/>
    <n v="0"/>
    <n v="47249584.999999978"/>
    <n v="0"/>
    <n v="527"/>
    <n v="0"/>
    <n v="0"/>
    <n v="0"/>
    <m/>
    <s v=""/>
    <n v="527"/>
    <s v="2018 (triag)"/>
    <n v="527"/>
    <s v="2018 (triag)"/>
    <s v=""/>
    <n v="527"/>
    <n v="527"/>
    <s v="No change"/>
    <n v="4.7050173871553191E-2"/>
    <n v="5.4673730437993617E-2"/>
    <n v="416.52633095297591"/>
    <n v="620.93210228158432"/>
    <n v="0"/>
    <n v="0.12694086133589716"/>
    <n v="0.11153537115722821"/>
    <n v="0.11153537115722821"/>
  </r>
  <r>
    <x v="43"/>
    <x v="43"/>
    <n v="34273304"/>
    <x v="4"/>
    <n v="0"/>
    <n v="35273569.999999993"/>
    <n v="0"/>
    <m/>
    <n v="0"/>
    <m/>
    <n v="0"/>
    <m/>
    <n v="0"/>
    <m/>
    <n v="0"/>
    <n v="41515395.000000015"/>
    <n v="0"/>
    <n v="0"/>
    <m/>
    <n v="0"/>
    <m/>
    <n v="0"/>
    <m/>
    <n v="0"/>
    <n v="47249584.999999978"/>
    <n v="0"/>
    <n v="0"/>
    <n v="0"/>
    <n v="0"/>
    <n v="0"/>
    <m/>
    <s v=""/>
    <m/>
    <s v=""/>
    <n v="0"/>
    <s v=""/>
    <s v=""/>
    <m/>
    <n v="0"/>
    <s v="No change"/>
    <n v="4.7050173871553191E-2"/>
    <n v="5.4673730437993617E-2"/>
    <n v="0"/>
    <n v="0"/>
    <n v="0"/>
    <n v="0"/>
    <n v="0"/>
    <n v="0"/>
  </r>
  <r>
    <x v="43"/>
    <x v="43"/>
    <n v="34273305"/>
    <x v="5"/>
    <n v="0"/>
    <n v="35273569.999999993"/>
    <n v="0"/>
    <m/>
    <n v="0"/>
    <m/>
    <n v="227"/>
    <m/>
    <n v="0"/>
    <m/>
    <n v="0"/>
    <n v="41515395.000000015"/>
    <n v="0"/>
    <n v="0"/>
    <m/>
    <n v="30"/>
    <m/>
    <n v="0"/>
    <m/>
    <n v="0"/>
    <n v="47249584.999999978"/>
    <n v="1282"/>
    <n v="0"/>
    <n v="227"/>
    <n v="30"/>
    <n v="1282"/>
    <n v="227"/>
    <n v="2015"/>
    <n v="30"/>
    <n v="2019"/>
    <n v="1282"/>
    <n v="2022"/>
    <s v=""/>
    <n v="1282"/>
    <n v="1282"/>
    <s v="Increasing"/>
    <n v="4.7050173871553191E-2"/>
    <n v="5.4673730437993617E-2"/>
    <n v="0"/>
    <n v="0"/>
    <n v="6.4354132570080103E-2"/>
    <n v="7.2262349906582818E-3"/>
    <n v="0.27132513439006939"/>
    <n v="0.27132513439006939"/>
  </r>
  <r>
    <x v="43"/>
    <x v="43"/>
    <n v="34273306"/>
    <x v="6"/>
    <n v="0"/>
    <n v="35273569.999999993"/>
    <n v="0"/>
    <m/>
    <n v="0"/>
    <m/>
    <n v="0"/>
    <m/>
    <n v="0"/>
    <m/>
    <n v="0"/>
    <n v="41515395.000000015"/>
    <n v="3874"/>
    <n v="3874"/>
    <m/>
    <n v="0"/>
    <m/>
    <n v="0"/>
    <m/>
    <n v="0"/>
    <n v="47249584.999999978"/>
    <n v="3309"/>
    <n v="526"/>
    <n v="0"/>
    <n v="3874"/>
    <n v="3309"/>
    <m/>
    <s v=""/>
    <n v="3874"/>
    <n v="2018"/>
    <n v="3309"/>
    <n v="2022"/>
    <s v="Adjust"/>
    <n v="3771.8605231388328"/>
    <n v="3874"/>
    <s v="Decreasing"/>
    <n v="4.7050173871553191E-2"/>
    <n v="5.4673730437993617E-2"/>
    <n v="415.7359584084731"/>
    <n v="619.75386299831757"/>
    <n v="0"/>
    <n v="0.93314781179367279"/>
    <n v="0.79828437078099945"/>
    <n v="0.81990138114440625"/>
  </r>
  <r>
    <x v="43"/>
    <x v="43"/>
    <n v="34273307"/>
    <x v="7"/>
    <n v="0"/>
    <n v="35273569.999999993"/>
    <n v="0"/>
    <m/>
    <n v="0"/>
    <m/>
    <n v="0"/>
    <m/>
    <n v="0"/>
    <m/>
    <n v="0"/>
    <n v="41515395.000000015"/>
    <n v="0"/>
    <n v="3505"/>
    <m/>
    <n v="0"/>
    <m/>
    <n v="0"/>
    <m/>
    <n v="0"/>
    <n v="47249584.999999978"/>
    <n v="14531"/>
    <n v="3505"/>
    <n v="0"/>
    <n v="0"/>
    <n v="14531"/>
    <m/>
    <s v=""/>
    <n v="3505"/>
    <s v="2018 (triag)"/>
    <n v="14531"/>
    <n v="2022"/>
    <s v=""/>
    <n v="14531"/>
    <n v="14531"/>
    <s v="Increasing"/>
    <n v="4.7050173871553191E-2"/>
    <n v="5.4673730437993617E-2"/>
    <n v="2770.2557684823159"/>
    <n v="4129.7286878500054"/>
    <n v="0"/>
    <n v="0.84426512140857601"/>
    <n v="3.075370926538298"/>
    <n v="3.075370926538298"/>
  </r>
  <r>
    <x v="43"/>
    <x v="43"/>
    <n v="34273308"/>
    <x v="8"/>
    <n v="0"/>
    <n v="35273569.999999993"/>
    <n v="0"/>
    <m/>
    <n v="0"/>
    <m/>
    <n v="121"/>
    <m/>
    <n v="0"/>
    <m/>
    <n v="0"/>
    <n v="41515395.000000015"/>
    <n v="0"/>
    <n v="42"/>
    <m/>
    <n v="0"/>
    <m/>
    <n v="0"/>
    <m/>
    <n v="0"/>
    <n v="47249584.999999978"/>
    <n v="1249"/>
    <n v="42"/>
    <n v="121"/>
    <n v="0"/>
    <n v="1249"/>
    <n v="121"/>
    <n v="2015"/>
    <n v="42"/>
    <s v="2018 (triag)"/>
    <n v="1249"/>
    <n v="2022"/>
    <s v=""/>
    <n v="1249"/>
    <n v="1249"/>
    <s v="Increasing"/>
    <n v="4.7050173871553191E-2"/>
    <n v="5.4673730437993617E-2"/>
    <n v="33.195646869117624"/>
    <n v="49.486049897204062"/>
    <n v="3.4303304145284992E-2"/>
    <n v="1.0116728986921595E-2"/>
    <n v="0.26434094606333591"/>
    <n v="0.26434094606333591"/>
  </r>
  <r>
    <x v="43"/>
    <x v="43"/>
    <n v="34273309"/>
    <x v="9"/>
    <n v="0"/>
    <n v="35273569.999999993"/>
    <n v="0"/>
    <m/>
    <n v="0"/>
    <m/>
    <n v="0"/>
    <m/>
    <n v="0"/>
    <m/>
    <n v="0"/>
    <n v="41515395.000000015"/>
    <n v="0"/>
    <n v="0"/>
    <m/>
    <n v="0"/>
    <m/>
    <n v="0"/>
    <m/>
    <n v="0"/>
    <n v="47249584.999999978"/>
    <n v="0"/>
    <n v="0"/>
    <n v="0"/>
    <n v="0"/>
    <n v="0"/>
    <m/>
    <s v=""/>
    <m/>
    <s v=""/>
    <n v="0"/>
    <s v=""/>
    <s v=""/>
    <m/>
    <n v="0"/>
    <s v="No change"/>
    <n v="4.7050173871553191E-2"/>
    <n v="5.4673730437993617E-2"/>
    <n v="0"/>
    <n v="0"/>
    <n v="0"/>
    <n v="0"/>
    <n v="0"/>
    <n v="0"/>
  </r>
  <r>
    <x v="43"/>
    <x v="43"/>
    <n v="34273310"/>
    <x v="10"/>
    <n v="0"/>
    <n v="35273569.999999993"/>
    <n v="0"/>
    <m/>
    <n v="0"/>
    <m/>
    <n v="0"/>
    <m/>
    <n v="0"/>
    <m/>
    <n v="0"/>
    <n v="41515395.000000015"/>
    <n v="0"/>
    <n v="9"/>
    <m/>
    <n v="0"/>
    <m/>
    <n v="0"/>
    <m/>
    <n v="0"/>
    <n v="47249584.999999978"/>
    <n v="283"/>
    <n v="9"/>
    <n v="0"/>
    <n v="0"/>
    <n v="283"/>
    <m/>
    <s v=""/>
    <n v="9"/>
    <s v="2018 (triag)"/>
    <n v="283"/>
    <n v="2022"/>
    <s v=""/>
    <n v="283"/>
    <n v="283"/>
    <s v="Increasing"/>
    <n v="4.7050173871553191E-2"/>
    <n v="5.4673730437993617E-2"/>
    <n v="7.1133529005252045"/>
    <n v="10.60415354940087"/>
    <n v="0"/>
    <n v="2.1678704971974847E-3"/>
    <n v="5.9894705953502055E-2"/>
    <n v="5.9894705953502055E-2"/>
  </r>
  <r>
    <x v="43"/>
    <x v="43"/>
    <n v="34273311"/>
    <x v="11"/>
    <n v="0"/>
    <n v="35273569.999999993"/>
    <n v="0"/>
    <m/>
    <n v="0"/>
    <m/>
    <n v="0"/>
    <m/>
    <n v="0"/>
    <m/>
    <n v="0"/>
    <n v="41515395.000000015"/>
    <n v="0"/>
    <n v="0"/>
    <m/>
    <n v="0"/>
    <m/>
    <n v="0"/>
    <m/>
    <n v="0"/>
    <n v="47249584.999999978"/>
    <n v="0"/>
    <n v="0"/>
    <n v="0"/>
    <n v="0"/>
    <n v="0"/>
    <m/>
    <s v=""/>
    <m/>
    <s v=""/>
    <n v="0"/>
    <s v=""/>
    <s v=""/>
    <m/>
    <n v="0"/>
    <s v="No change"/>
    <n v="4.7050173871553191E-2"/>
    <n v="5.4673730437993617E-2"/>
    <n v="0"/>
    <n v="0"/>
    <n v="0"/>
    <n v="0"/>
    <n v="0"/>
    <n v="0"/>
  </r>
  <r>
    <x v="43"/>
    <x v="43"/>
    <n v="34273312"/>
    <x v="12"/>
    <n v="0"/>
    <n v="35273569.999999993"/>
    <n v="0"/>
    <m/>
    <n v="0"/>
    <m/>
    <n v="0"/>
    <m/>
    <n v="0"/>
    <m/>
    <n v="0"/>
    <n v="41515395.000000015"/>
    <n v="0"/>
    <n v="0"/>
    <m/>
    <n v="0"/>
    <m/>
    <n v="0"/>
    <m/>
    <n v="0"/>
    <n v="47249584.999999978"/>
    <n v="0"/>
    <n v="0"/>
    <n v="0"/>
    <n v="0"/>
    <n v="0"/>
    <m/>
    <s v=""/>
    <m/>
    <s v=""/>
    <n v="0"/>
    <s v=""/>
    <s v=""/>
    <m/>
    <n v="0"/>
    <s v="No change"/>
    <n v="4.7050173871553191E-2"/>
    <n v="5.4673730437993617E-2"/>
    <n v="0"/>
    <n v="0"/>
    <n v="0"/>
    <n v="0"/>
    <n v="0"/>
    <n v="0"/>
  </r>
  <r>
    <x v="43"/>
    <x v="43"/>
    <n v="34273313"/>
    <x v="13"/>
    <n v="0"/>
    <n v="35273569.999999993"/>
    <n v="0"/>
    <m/>
    <n v="0"/>
    <m/>
    <n v="2447"/>
    <m/>
    <n v="0"/>
    <m/>
    <n v="0"/>
    <n v="41515395.000000015"/>
    <n v="0"/>
    <n v="3874"/>
    <m/>
    <n v="0"/>
    <m/>
    <n v="0"/>
    <m/>
    <n v="0"/>
    <n v="47249584.999999978"/>
    <n v="13380"/>
    <n v="3874"/>
    <n v="2447"/>
    <n v="0"/>
    <n v="13380"/>
    <n v="2447"/>
    <n v="2015"/>
    <n v="3874"/>
    <s v="2018 (triag)"/>
    <n v="13380"/>
    <n v="2022"/>
    <s v=""/>
    <n v="13380"/>
    <n v="13380"/>
    <s v="Increasing"/>
    <n v="4.7050173871553191E-2"/>
    <n v="5.4673730437993617E-2"/>
    <n v="3061.9032374038493"/>
    <n v="4564.4989833754416"/>
    <n v="0.69372053920258159"/>
    <n v="0.93314781179367279"/>
    <n v="2.8317709033846552"/>
    <n v="2.8317709033846552"/>
  </r>
  <r>
    <x v="43"/>
    <x v="43"/>
    <n v="34273314"/>
    <x v="14"/>
    <n v="0"/>
    <n v="35273569.999999993"/>
    <n v="0"/>
    <m/>
    <n v="0"/>
    <m/>
    <n v="0"/>
    <m/>
    <n v="0"/>
    <m/>
    <n v="0"/>
    <n v="41515395.000000015"/>
    <n v="0"/>
    <n v="0"/>
    <m/>
    <n v="0"/>
    <m/>
    <n v="0"/>
    <m/>
    <n v="0"/>
    <n v="47249584.999999978"/>
    <n v="0"/>
    <n v="0"/>
    <n v="0"/>
    <n v="0"/>
    <n v="0"/>
    <m/>
    <s v=""/>
    <m/>
    <s v=""/>
    <n v="0"/>
    <s v=""/>
    <s v=""/>
    <m/>
    <n v="0"/>
    <s v="No change"/>
    <n v="4.7050173871553191E-2"/>
    <n v="5.4673730437993617E-2"/>
    <n v="0"/>
    <n v="0"/>
    <n v="0"/>
    <n v="0"/>
    <n v="0"/>
    <n v="0"/>
  </r>
  <r>
    <x v="43"/>
    <x v="43"/>
    <n v="34273315"/>
    <x v="15"/>
    <n v="0"/>
    <n v="35273569.999999993"/>
    <n v="0"/>
    <m/>
    <n v="0"/>
    <m/>
    <n v="114"/>
    <m/>
    <n v="0"/>
    <m/>
    <n v="0"/>
    <n v="41515395.000000015"/>
    <n v="0"/>
    <n v="18"/>
    <m/>
    <n v="0"/>
    <m/>
    <n v="0"/>
    <m/>
    <n v="0"/>
    <n v="47249584.999999978"/>
    <n v="572"/>
    <n v="18"/>
    <n v="114"/>
    <n v="0"/>
    <n v="572"/>
    <n v="114"/>
    <n v="2015"/>
    <n v="18"/>
    <s v="2018 (triag)"/>
    <n v="572"/>
    <n v="2022"/>
    <s v=""/>
    <n v="572"/>
    <n v="572"/>
    <s v="Increasing"/>
    <n v="4.7050173871553191E-2"/>
    <n v="5.4673730437993617E-2"/>
    <n v="14.226705801050409"/>
    <n v="21.20830709880174"/>
    <n v="3.2318815475723045E-2"/>
    <n v="4.3357409943949694E-3"/>
    <n v="0.12105926433004656"/>
    <n v="0.12105926433004656"/>
  </r>
  <r>
    <x v="43"/>
    <x v="43"/>
    <n v="34273316"/>
    <x v="16"/>
    <n v="6046"/>
    <n v="35273569.999999993"/>
    <n v="0"/>
    <m/>
    <n v="0"/>
    <m/>
    <n v="0"/>
    <m/>
    <n v="0"/>
    <m/>
    <n v="0"/>
    <n v="41515395.000000015"/>
    <n v="0"/>
    <n v="0"/>
    <m/>
    <n v="0"/>
    <m/>
    <n v="0"/>
    <m/>
    <n v="0"/>
    <n v="47249584.999999978"/>
    <n v="0"/>
    <n v="0"/>
    <n v="6046"/>
    <n v="0"/>
    <n v="0"/>
    <n v="6046"/>
    <n v="2012"/>
    <m/>
    <s v=""/>
    <n v="0"/>
    <s v=""/>
    <s v=""/>
    <m/>
    <n v="0"/>
    <s v="No change"/>
    <n v="4.7050173871553191E-2"/>
    <n v="5.4673730437993617E-2"/>
    <n v="0"/>
    <n v="0"/>
    <n v="1.7140312137387854"/>
    <n v="0"/>
    <n v="0"/>
    <n v="0"/>
  </r>
  <r>
    <x v="43"/>
    <x v="43"/>
    <n v="34273317"/>
    <x v="17"/>
    <n v="0"/>
    <n v="35273569.999999993"/>
    <n v="0"/>
    <m/>
    <n v="0"/>
    <m/>
    <n v="0"/>
    <m/>
    <n v="0"/>
    <m/>
    <n v="0"/>
    <n v="41515395.000000015"/>
    <n v="0"/>
    <n v="0"/>
    <m/>
    <n v="0"/>
    <m/>
    <n v="0"/>
    <m/>
    <n v="0"/>
    <n v="47249584.999999978"/>
    <n v="29"/>
    <n v="0"/>
    <n v="0"/>
    <n v="0"/>
    <n v="29"/>
    <m/>
    <s v=""/>
    <m/>
    <s v=""/>
    <n v="29"/>
    <n v="2022"/>
    <s v=""/>
    <n v="29"/>
    <n v="29"/>
    <s v="Increasing"/>
    <n v="4.7050173871553191E-2"/>
    <n v="5.4673730437993617E-2"/>
    <n v="0"/>
    <n v="0"/>
    <n v="0"/>
    <n v="0"/>
    <n v="6.1376200447051579E-3"/>
    <n v="6.1376200447051579E-3"/>
  </r>
  <r>
    <x v="43"/>
    <x v="43"/>
    <n v="34273318"/>
    <x v="18"/>
    <n v="19791"/>
    <n v="35273569.999999993"/>
    <n v="0"/>
    <m/>
    <n v="0"/>
    <m/>
    <n v="0"/>
    <m/>
    <n v="0"/>
    <m/>
    <n v="0"/>
    <n v="41515395.000000015"/>
    <n v="0"/>
    <n v="0"/>
    <m/>
    <n v="0"/>
    <m/>
    <n v="0"/>
    <m/>
    <n v="0"/>
    <n v="47249584.999999978"/>
    <n v="0"/>
    <n v="0"/>
    <n v="19791"/>
    <n v="0"/>
    <n v="0"/>
    <n v="19791"/>
    <n v="2012"/>
    <m/>
    <s v=""/>
    <n v="0"/>
    <s v=""/>
    <s v=""/>
    <m/>
    <n v="29"/>
    <s v="No change"/>
    <n v="4.7050173871553191E-2"/>
    <n v="5.4673730437993617E-2"/>
    <n v="0"/>
    <n v="0"/>
    <n v="5.6107164656143409"/>
    <n v="0"/>
    <n v="0"/>
    <n v="6.1376200447051579E-3"/>
  </r>
  <r>
    <x v="44"/>
    <x v="44"/>
    <n v="53145038"/>
    <x v="0"/>
    <n v="0"/>
    <n v="53873616"/>
    <n v="0"/>
    <m/>
    <n v="0"/>
    <m/>
    <n v="0"/>
    <m/>
    <n v="0"/>
    <m/>
    <n v="0"/>
    <n v="57339635.000000015"/>
    <n v="54180"/>
    <n v="54180"/>
    <m/>
    <n v="0"/>
    <m/>
    <n v="0"/>
    <m/>
    <n v="0"/>
    <n v="59893885.5"/>
    <n v="63290"/>
    <n v="54180"/>
    <n v="0"/>
    <n v="54180"/>
    <n v="63290"/>
    <m/>
    <s v=""/>
    <n v="54180"/>
    <n v="2018"/>
    <n v="63290"/>
    <n v="2022"/>
    <s v=""/>
    <n v="63290"/>
    <n v="63290"/>
    <s v="Increasing"/>
    <n v="-1.4844947843777323E-3"/>
    <n v="5.4673730437993617E-2"/>
    <n v="54583.64580916016"/>
    <n v="63837.004367393245"/>
    <n v="0"/>
    <n v="9.448961438279122"/>
    <n v="10.567021904097372"/>
    <n v="10.567021904097372"/>
  </r>
  <r>
    <x v="44"/>
    <x v="44"/>
    <n v="53145039"/>
    <x v="1"/>
    <n v="0"/>
    <n v="53873616"/>
    <n v="0"/>
    <m/>
    <n v="0"/>
    <m/>
    <n v="0"/>
    <m/>
    <n v="0"/>
    <m/>
    <n v="0"/>
    <n v="57339635.000000015"/>
    <n v="0"/>
    <n v="0"/>
    <m/>
    <n v="0"/>
    <m/>
    <n v="0"/>
    <m/>
    <n v="0"/>
    <n v="59893885.5"/>
    <n v="0"/>
    <n v="0"/>
    <n v="0"/>
    <n v="0"/>
    <n v="0"/>
    <m/>
    <s v=""/>
    <m/>
    <s v=""/>
    <n v="0"/>
    <s v=""/>
    <s v=""/>
    <m/>
    <n v="0"/>
    <s v="No change"/>
    <n v="-1.4844947843777323E-3"/>
    <n v="5.4673730437993617E-2"/>
    <n v="0"/>
    <n v="0"/>
    <n v="0"/>
    <n v="0"/>
    <n v="0"/>
    <n v="0"/>
  </r>
  <r>
    <x v="44"/>
    <x v="44"/>
    <n v="53145040"/>
    <x v="2"/>
    <n v="0"/>
    <n v="53873616"/>
    <n v="0"/>
    <m/>
    <n v="0"/>
    <m/>
    <n v="0"/>
    <m/>
    <n v="0"/>
    <m/>
    <n v="0"/>
    <n v="57339635.000000015"/>
    <n v="0"/>
    <n v="3585"/>
    <m/>
    <n v="0"/>
    <m/>
    <n v="0"/>
    <m/>
    <n v="0"/>
    <n v="59893885.5"/>
    <n v="0"/>
    <n v="3585"/>
    <n v="0"/>
    <n v="0"/>
    <n v="0"/>
    <m/>
    <s v=""/>
    <n v="3585"/>
    <s v="2018 (triag)"/>
    <n v="3585"/>
    <s v="2018 (triag)"/>
    <s v=""/>
    <n v="3585"/>
    <n v="3585"/>
    <s v="No change"/>
    <n v="-1.4844947843777323E-3"/>
    <n v="5.4673730437993617E-2"/>
    <n v="3611.708568214086"/>
    <n v="4223.9878305113471"/>
    <n v="0"/>
    <n v="0.62522197778203492"/>
    <n v="0.59855859576851134"/>
    <n v="0.59855859576851134"/>
  </r>
  <r>
    <x v="44"/>
    <x v="44"/>
    <n v="53145041"/>
    <x v="3"/>
    <n v="0"/>
    <n v="53873616"/>
    <n v="0"/>
    <m/>
    <n v="0"/>
    <m/>
    <n v="0"/>
    <m/>
    <n v="0"/>
    <m/>
    <n v="0"/>
    <n v="57339635.000000015"/>
    <n v="0"/>
    <n v="0"/>
    <m/>
    <n v="0"/>
    <m/>
    <n v="0"/>
    <m/>
    <n v="0"/>
    <n v="59893885.5"/>
    <n v="2857"/>
    <n v="0"/>
    <n v="0"/>
    <n v="0"/>
    <n v="2857"/>
    <m/>
    <s v=""/>
    <m/>
    <s v=""/>
    <n v="2857"/>
    <n v="2022"/>
    <s v=""/>
    <n v="2857"/>
    <n v="2857"/>
    <s v="Increasing"/>
    <n v="-1.4844947843777323E-3"/>
    <n v="5.4673730437993617E-2"/>
    <n v="0"/>
    <n v="0"/>
    <n v="0"/>
    <n v="0"/>
    <n v="0.47701029514941051"/>
    <n v="0.47701029514941051"/>
  </r>
  <r>
    <x v="44"/>
    <x v="44"/>
    <n v="53145042"/>
    <x v="4"/>
    <n v="0"/>
    <n v="53873616"/>
    <n v="0"/>
    <m/>
    <n v="0"/>
    <m/>
    <n v="0"/>
    <m/>
    <n v="0"/>
    <m/>
    <n v="0"/>
    <n v="57339635.000000015"/>
    <n v="0"/>
    <n v="0"/>
    <m/>
    <n v="0"/>
    <m/>
    <n v="0"/>
    <m/>
    <n v="0"/>
    <n v="59893885.5"/>
    <n v="26692"/>
    <n v="0"/>
    <n v="0"/>
    <n v="0"/>
    <n v="26692"/>
    <m/>
    <s v=""/>
    <m/>
    <s v=""/>
    <n v="26692"/>
    <n v="2022"/>
    <s v=""/>
    <n v="26692"/>
    <n v="26692"/>
    <s v="Increasing"/>
    <n v="-1.4844947843777323E-3"/>
    <n v="5.4673730437993617E-2"/>
    <n v="0"/>
    <n v="0"/>
    <n v="0"/>
    <n v="0"/>
    <n v="4.4565484067651617"/>
    <n v="4.4565484067651617"/>
  </r>
  <r>
    <x v="44"/>
    <x v="44"/>
    <n v="53145043"/>
    <x v="5"/>
    <n v="0"/>
    <n v="53873616"/>
    <n v="0"/>
    <m/>
    <n v="0"/>
    <m/>
    <n v="0"/>
    <m/>
    <n v="0"/>
    <m/>
    <n v="3330"/>
    <n v="57339635.000000015"/>
    <n v="0"/>
    <n v="0"/>
    <m/>
    <n v="0"/>
    <m/>
    <n v="0"/>
    <m/>
    <n v="0"/>
    <n v="59893885.5"/>
    <n v="329"/>
    <n v="0"/>
    <n v="0"/>
    <n v="3330"/>
    <n v="329"/>
    <m/>
    <s v=""/>
    <n v="3330"/>
    <n v="2017"/>
    <n v="329"/>
    <n v="2022"/>
    <s v="Adjust"/>
    <n v="482.20032365440028"/>
    <n v="3330"/>
    <s v="Decreasing"/>
    <n v="-1.4844947843777323E-3"/>
    <n v="5.4673730437993617E-2"/>
    <n v="0"/>
    <n v="0"/>
    <n v="0"/>
    <n v="0.5807501216218065"/>
    <n v="8.0509107002984512E-2"/>
    <n v="0.55598329816154601"/>
  </r>
  <r>
    <x v="44"/>
    <x v="44"/>
    <n v="53145044"/>
    <x v="6"/>
    <n v="133"/>
    <n v="53873616"/>
    <n v="144"/>
    <m/>
    <n v="145"/>
    <m/>
    <n v="149"/>
    <m/>
    <n v="4802"/>
    <m/>
    <n v="5267"/>
    <n v="57339635.000000015"/>
    <n v="5455"/>
    <n v="8415"/>
    <m/>
    <n v="9939"/>
    <m/>
    <n v="0"/>
    <m/>
    <n v="6166"/>
    <n v="59893885.5"/>
    <n v="13"/>
    <n v="8415"/>
    <n v="149"/>
    <n v="9939"/>
    <n v="6166"/>
    <n v="144"/>
    <n v="2013"/>
    <n v="8415"/>
    <s v="2018 (triag)"/>
    <n v="13"/>
    <n v="2022"/>
    <s v="Adjust"/>
    <n v="19.053508229505177"/>
    <n v="8415"/>
    <s v="Decreasing"/>
    <n v="-1.4844947843777323E-3"/>
    <n v="5.4673730437993617E-2"/>
    <n v="8477.6924969376651"/>
    <n v="9914.8835686898146"/>
    <n v="2.6729224932664629E-2"/>
    <n v="1.467571253287538"/>
    <n v="3.181210915011546E-3"/>
    <n v="1.4049848210298528"/>
  </r>
  <r>
    <x v="44"/>
    <x v="44"/>
    <n v="53145045"/>
    <x v="7"/>
    <n v="0"/>
    <n v="53873616"/>
    <n v="0"/>
    <m/>
    <n v="0"/>
    <m/>
    <n v="0"/>
    <m/>
    <n v="0"/>
    <m/>
    <n v="0"/>
    <n v="57339635.000000015"/>
    <n v="0"/>
    <n v="577"/>
    <m/>
    <n v="0"/>
    <m/>
    <n v="0"/>
    <m/>
    <n v="0"/>
    <n v="59893885.5"/>
    <n v="0"/>
    <n v="577"/>
    <n v="0"/>
    <n v="0"/>
    <n v="0"/>
    <m/>
    <s v=""/>
    <n v="577"/>
    <s v="2018 (triag)"/>
    <n v="577"/>
    <s v="2018 (triag)"/>
    <s v=""/>
    <n v="577"/>
    <n v="577"/>
    <s v="No change"/>
    <n v="-1.4844947843777323E-3"/>
    <n v="5.4673730437993617E-2"/>
    <n v="581.29870121604677"/>
    <n v="679.84406644492253"/>
    <n v="0"/>
    <n v="0.10062847452726197"/>
    <n v="9.6337045957721343E-2"/>
    <n v="9.6337045957721343E-2"/>
  </r>
  <r>
    <x v="44"/>
    <x v="44"/>
    <n v="53145046"/>
    <x v="8"/>
    <n v="8095"/>
    <n v="53873616"/>
    <n v="8476"/>
    <m/>
    <n v="8924"/>
    <m/>
    <n v="9175"/>
    <m/>
    <n v="8484"/>
    <m/>
    <n v="8681"/>
    <n v="57339635.000000015"/>
    <n v="8878"/>
    <n v="8878"/>
    <m/>
    <n v="0"/>
    <m/>
    <n v="0"/>
    <m/>
    <n v="9281"/>
    <n v="59893885.5"/>
    <n v="0"/>
    <n v="8072"/>
    <n v="9175"/>
    <n v="8878"/>
    <n v="9281"/>
    <n v="8476"/>
    <n v="2013"/>
    <n v="8878"/>
    <n v="2018"/>
    <n v="9281"/>
    <n v="2021"/>
    <s v=""/>
    <n v="9281"/>
    <n v="9281"/>
    <s v="Increasing"/>
    <n v="-1.4844947843777323E-3"/>
    <n v="5.4673730437993617E-2"/>
    <n v="8132.1371164920783"/>
    <n v="9510.7474945293143"/>
    <n v="1.5733118786754541"/>
    <n v="1.5483181921196389"/>
    <n v="1.5495738709421347"/>
    <n v="1.5495738709421347"/>
  </r>
  <r>
    <x v="44"/>
    <x v="44"/>
    <n v="53145047"/>
    <x v="9"/>
    <n v="0"/>
    <n v="53873616"/>
    <n v="0"/>
    <m/>
    <n v="0"/>
    <m/>
    <n v="0"/>
    <m/>
    <n v="0"/>
    <m/>
    <n v="0"/>
    <n v="57339635.000000015"/>
    <n v="0"/>
    <n v="0"/>
    <m/>
    <n v="0"/>
    <m/>
    <n v="0"/>
    <m/>
    <n v="0"/>
    <n v="59893885.5"/>
    <n v="0"/>
    <n v="0"/>
    <n v="0"/>
    <n v="0"/>
    <n v="0"/>
    <m/>
    <s v=""/>
    <m/>
    <s v=""/>
    <n v="0"/>
    <s v=""/>
    <s v=""/>
    <m/>
    <n v="0"/>
    <s v="No change"/>
    <n v="-1.4844947843777323E-3"/>
    <n v="5.4673730437993617E-2"/>
    <n v="0"/>
    <n v="0"/>
    <n v="0"/>
    <n v="0"/>
    <n v="0"/>
    <n v="0"/>
  </r>
  <r>
    <x v="44"/>
    <x v="44"/>
    <n v="53145048"/>
    <x v="10"/>
    <n v="3453"/>
    <n v="53873616"/>
    <n v="3588"/>
    <m/>
    <n v="3705"/>
    <m/>
    <n v="3783"/>
    <m/>
    <n v="3725"/>
    <m/>
    <n v="3790"/>
    <n v="57339635.000000015"/>
    <n v="3848"/>
    <n v="3848"/>
    <m/>
    <n v="3830"/>
    <m/>
    <n v="0"/>
    <m/>
    <n v="4012"/>
    <n v="59893885.5"/>
    <n v="255"/>
    <n v="0"/>
    <n v="3783"/>
    <n v="3848"/>
    <n v="4012"/>
    <n v="3588"/>
    <n v="2013"/>
    <n v="3848"/>
    <n v="2018"/>
    <n v="255"/>
    <n v="2022"/>
    <s v="Adjust"/>
    <n v="373.74189219414001"/>
    <n v="3848"/>
    <s v="Decreasing"/>
    <n v="-1.4844947843777323E-3"/>
    <n v="5.4673730437993617E-2"/>
    <n v="0"/>
    <n v="0"/>
    <n v="0.66600318790556035"/>
    <n v="0.67108902942964299"/>
    <n v="6.2400675640611095E-2"/>
    <n v="0.64246958898667539"/>
  </r>
  <r>
    <x v="44"/>
    <x v="44"/>
    <n v="53145049"/>
    <x v="11"/>
    <n v="0"/>
    <n v="53873616"/>
    <n v="0"/>
    <m/>
    <n v="0"/>
    <m/>
    <n v="0"/>
    <m/>
    <n v="0"/>
    <m/>
    <n v="0"/>
    <n v="57339635.000000015"/>
    <n v="0"/>
    <n v="0"/>
    <m/>
    <n v="0"/>
    <m/>
    <n v="0"/>
    <m/>
    <n v="0"/>
    <n v="59893885.5"/>
    <n v="15459"/>
    <n v="0"/>
    <n v="0"/>
    <n v="0"/>
    <n v="15459"/>
    <m/>
    <s v=""/>
    <m/>
    <s v=""/>
    <n v="15459"/>
    <n v="2022"/>
    <s v=""/>
    <n v="15459"/>
    <n v="15459"/>
    <s v="Increasing"/>
    <n v="-1.4844947843777323E-3"/>
    <n v="5.4673730437993617E-2"/>
    <n v="0"/>
    <n v="0"/>
    <n v="0"/>
    <n v="0"/>
    <n v="2.5810648066904927"/>
    <n v="2.5810648066904927"/>
  </r>
  <r>
    <x v="44"/>
    <x v="44"/>
    <n v="53145050"/>
    <x v="12"/>
    <n v="0"/>
    <n v="53873616"/>
    <n v="0"/>
    <m/>
    <n v="0"/>
    <m/>
    <n v="0"/>
    <m/>
    <n v="0"/>
    <m/>
    <n v="0"/>
    <n v="57339635.000000015"/>
    <n v="0"/>
    <n v="15266"/>
    <m/>
    <n v="0"/>
    <m/>
    <n v="0"/>
    <m/>
    <n v="0"/>
    <n v="59893885.5"/>
    <n v="0"/>
    <n v="15266"/>
    <n v="0"/>
    <n v="0"/>
    <n v="0"/>
    <m/>
    <s v=""/>
    <n v="15266"/>
    <s v="2018 (triag)"/>
    <n v="15266"/>
    <s v="2018 (triag)"/>
    <s v=""/>
    <n v="15266"/>
    <n v="15266"/>
    <s v="No change"/>
    <n v="-1.4844947843777323E-3"/>
    <n v="5.4673730437993617E-2"/>
    <n v="15379.733055050554"/>
    <n v="17987.000898350409"/>
    <n v="0"/>
    <n v="2.6623817887923416"/>
    <n v="2.5488411500703188"/>
    <n v="2.5488411500703188"/>
  </r>
  <r>
    <x v="44"/>
    <x v="44"/>
    <n v="53145051"/>
    <x v="13"/>
    <n v="171"/>
    <n v="53873616"/>
    <n v="273"/>
    <m/>
    <n v="326"/>
    <m/>
    <n v="453"/>
    <m/>
    <n v="5377"/>
    <m/>
    <n v="5525"/>
    <n v="57339635.000000015"/>
    <n v="5731"/>
    <n v="5731"/>
    <m/>
    <n v="0"/>
    <m/>
    <n v="0"/>
    <m/>
    <n v="6353"/>
    <n v="59893885.5"/>
    <n v="0"/>
    <n v="0"/>
    <n v="453"/>
    <n v="5731"/>
    <n v="6353"/>
    <n v="273"/>
    <n v="2013"/>
    <n v="5731"/>
    <n v="2018"/>
    <n v="6353"/>
    <n v="2021"/>
    <s v=""/>
    <n v="6353"/>
    <n v="6353"/>
    <s v="Increasing"/>
    <n v="-1.4844947843777323E-3"/>
    <n v="5.4673730437993617E-2"/>
    <n v="0"/>
    <n v="0"/>
    <n v="5.0674155601510021E-2"/>
    <n v="0.99948316727164355"/>
    <n v="1.060709277243334"/>
    <n v="1.060709277243334"/>
  </r>
  <r>
    <x v="44"/>
    <x v="44"/>
    <n v="53145052"/>
    <x v="14"/>
    <n v="90"/>
    <n v="53873616"/>
    <n v="217"/>
    <m/>
    <n v="362"/>
    <m/>
    <n v="474"/>
    <m/>
    <n v="0"/>
    <m/>
    <n v="8919"/>
    <n v="57339635.000000015"/>
    <n v="0"/>
    <n v="0"/>
    <m/>
    <n v="0"/>
    <m/>
    <n v="0"/>
    <m/>
    <n v="3870"/>
    <n v="59893885.5"/>
    <n v="20327"/>
    <n v="0"/>
    <n v="474"/>
    <n v="8919"/>
    <n v="20327"/>
    <n v="217"/>
    <n v="2013"/>
    <n v="8919"/>
    <n v="2017"/>
    <n v="20327"/>
    <n v="2022"/>
    <s v=""/>
    <n v="20327"/>
    <n v="20327"/>
    <s v="Increasing"/>
    <n v="-1.4844947843777323E-3"/>
    <n v="5.4673730437993617E-2"/>
    <n v="0"/>
    <n v="0"/>
    <n v="4.0279457016584891E-2"/>
    <n v="1.5554685689924601"/>
    <n v="3.3938355861050291"/>
    <n v="3.3938355861050291"/>
  </r>
  <r>
    <x v="44"/>
    <x v="44"/>
    <n v="53145053"/>
    <x v="15"/>
    <n v="7791"/>
    <n v="53873616"/>
    <n v="8185"/>
    <m/>
    <n v="8781"/>
    <m/>
    <n v="9289"/>
    <m/>
    <n v="7451"/>
    <m/>
    <n v="7704"/>
    <n v="57339635.000000015"/>
    <n v="7922"/>
    <n v="11975"/>
    <m/>
    <n v="8110"/>
    <m/>
    <n v="0"/>
    <m/>
    <n v="8509"/>
    <n v="59893885.5"/>
    <n v="1555"/>
    <n v="11975"/>
    <n v="9289"/>
    <n v="8110"/>
    <n v="8509"/>
    <n v="8185"/>
    <n v="2013"/>
    <n v="11975"/>
    <s v="2018 (triag)"/>
    <n v="1555"/>
    <n v="2022"/>
    <s v="Adjust"/>
    <n v="2279.0927151446576"/>
    <n v="11975"/>
    <s v="Decreasing"/>
    <n v="-1.4844947843777323E-3"/>
    <n v="5.4673730437993617E-2"/>
    <n v="12064.214812932685"/>
    <n v="14109.415417119491"/>
    <n v="1.5192965699573608"/>
    <n v="2.0884332451715113"/>
    <n v="0.38052176714176572"/>
    <n v="1.9993693680133675"/>
  </r>
  <r>
    <x v="44"/>
    <x v="44"/>
    <n v="53145054"/>
    <x v="16"/>
    <n v="0"/>
    <n v="53873616"/>
    <n v="0"/>
    <m/>
    <n v="0"/>
    <m/>
    <n v="0"/>
    <m/>
    <n v="0"/>
    <m/>
    <n v="27694"/>
    <n v="57339635.000000015"/>
    <n v="0"/>
    <n v="0"/>
    <m/>
    <n v="0"/>
    <m/>
    <n v="0"/>
    <m/>
    <n v="0"/>
    <n v="59893885.5"/>
    <n v="15754"/>
    <n v="0"/>
    <n v="0"/>
    <n v="27694"/>
    <n v="15754"/>
    <m/>
    <s v=""/>
    <n v="27694"/>
    <n v="2017"/>
    <n v="15754"/>
    <n v="2022"/>
    <s v="Adjust"/>
    <n v="23089.920665201891"/>
    <n v="27694"/>
    <s v="Decreasing"/>
    <n v="-1.4844947843777323E-3"/>
    <n v="5.4673730437993617E-2"/>
    <n v="0"/>
    <n v="0"/>
    <n v="0"/>
    <n v="4.8298179784367292"/>
    <n v="3.8551382119301461"/>
    <n v="4.6238442820678252"/>
  </r>
  <r>
    <x v="44"/>
    <x v="44"/>
    <n v="53145055"/>
    <x v="17"/>
    <n v="2285"/>
    <n v="53873616"/>
    <n v="2586"/>
    <m/>
    <n v="2746"/>
    <m/>
    <n v="2913"/>
    <m/>
    <n v="3140"/>
    <m/>
    <n v="3323"/>
    <n v="57339635.000000015"/>
    <n v="3512"/>
    <n v="3512"/>
    <m/>
    <n v="3676"/>
    <m/>
    <n v="0"/>
    <m/>
    <n v="4037"/>
    <n v="59893885.5"/>
    <n v="586"/>
    <n v="0"/>
    <n v="2913"/>
    <n v="3676"/>
    <n v="4037"/>
    <n v="2586"/>
    <n v="2013"/>
    <n v="3512"/>
    <n v="2018"/>
    <n v="586"/>
    <n v="2022"/>
    <s v="Adjust"/>
    <n v="858.87352480692573"/>
    <n v="3512"/>
    <s v="Decreasing"/>
    <n v="-1.4844947843777323E-3"/>
    <n v="5.4673730437993617E-2"/>
    <n v="0"/>
    <n v="0"/>
    <n v="0.48001233108243563"/>
    <n v="0.61249081895969504"/>
    <n v="0.14339919970744353"/>
    <n v="0.58637037331632125"/>
  </r>
  <r>
    <x v="44"/>
    <x v="44"/>
    <n v="53145056"/>
    <x v="18"/>
    <n v="0"/>
    <n v="53873616"/>
    <n v="0"/>
    <m/>
    <n v="0"/>
    <m/>
    <n v="0"/>
    <m/>
    <n v="0"/>
    <m/>
    <n v="49732"/>
    <n v="57339635.000000015"/>
    <n v="0"/>
    <n v="0"/>
    <m/>
    <n v="0"/>
    <m/>
    <n v="0"/>
    <m/>
    <n v="0"/>
    <n v="59893885.5"/>
    <n v="9"/>
    <n v="0"/>
    <n v="0"/>
    <n v="49732"/>
    <n v="9"/>
    <m/>
    <s v=""/>
    <n v="49732"/>
    <n v="2017"/>
    <n v="9"/>
    <n v="2022"/>
    <s v="Adjust"/>
    <n v="13.190890312734354"/>
    <n v="49732"/>
    <s v="Decreasing"/>
    <n v="-1.4844947843777323E-3"/>
    <n v="5.4673730437993617E-2"/>
    <n v="0"/>
    <n v="0"/>
    <n v="0"/>
    <n v="8.6732327472959998"/>
    <n v="2.202376787315686E-3"/>
    <n v="8.3033517670180199"/>
  </r>
  <r>
    <x v="45"/>
    <x v="45"/>
    <n v="14744663"/>
    <x v="0"/>
    <n v="0"/>
    <n v="15234975.999999991"/>
    <n v="0"/>
    <m/>
    <n v="0"/>
    <m/>
    <n v="0"/>
    <m/>
    <n v="0"/>
    <m/>
    <n v="0"/>
    <n v="17835892.999999981"/>
    <n v="1283"/>
    <n v="1283"/>
    <m/>
    <n v="1846"/>
    <m/>
    <n v="41669"/>
    <m/>
    <n v="0"/>
    <n v="20017675.000000004"/>
    <n v="2421"/>
    <n v="1262"/>
    <n v="0"/>
    <n v="1846"/>
    <n v="41669"/>
    <m/>
    <s v=""/>
    <n v="1283"/>
    <n v="2018"/>
    <n v="2421"/>
    <n v="2022"/>
    <s v=""/>
    <n v="2421"/>
    <n v="2421"/>
    <s v="Increasing"/>
    <n v="9.0528744101809888E-2"/>
    <n v="5.4673730437993617E-2"/>
    <n v="802.5621701473749"/>
    <n v="1486.9379754826555"/>
    <n v="0"/>
    <n v="0.71933600409018006"/>
    <n v="1.2094311652077474"/>
    <n v="1.2094311652077474"/>
  </r>
  <r>
    <x v="45"/>
    <x v="45"/>
    <n v="14744664"/>
    <x v="1"/>
    <n v="0"/>
    <n v="15234975.999999991"/>
    <n v="0"/>
    <m/>
    <n v="0"/>
    <m/>
    <n v="0"/>
    <m/>
    <n v="0"/>
    <m/>
    <n v="66"/>
    <n v="17835892.999999981"/>
    <n v="0"/>
    <n v="404"/>
    <m/>
    <n v="0"/>
    <m/>
    <n v="0"/>
    <m/>
    <n v="0"/>
    <n v="20017675.000000004"/>
    <n v="774"/>
    <n v="404"/>
    <n v="0"/>
    <n v="66"/>
    <n v="774"/>
    <m/>
    <s v=""/>
    <n v="404"/>
    <s v="2018 (triag)"/>
    <n v="774"/>
    <n v="2022"/>
    <s v=""/>
    <n v="774"/>
    <n v="774"/>
    <s v="Increasing"/>
    <n v="9.0528744101809888E-2"/>
    <n v="5.4673730437993617E-2"/>
    <n v="256.92164559392984"/>
    <n v="476.0086704397724"/>
    <n v="0"/>
    <n v="0.22650954454593353"/>
    <n v="0.38665829073556235"/>
    <n v="0.38665829073556235"/>
  </r>
  <r>
    <x v="45"/>
    <x v="45"/>
    <n v="14744665"/>
    <x v="2"/>
    <n v="0"/>
    <n v="15234975.999999991"/>
    <n v="0"/>
    <m/>
    <n v="0"/>
    <m/>
    <n v="0"/>
    <m/>
    <n v="0"/>
    <m/>
    <n v="0"/>
    <n v="17835892.999999981"/>
    <n v="0"/>
    <n v="2016"/>
    <m/>
    <n v="0"/>
    <m/>
    <n v="3330"/>
    <m/>
    <n v="0"/>
    <n v="20017675.000000004"/>
    <n v="4392"/>
    <n v="2016"/>
    <n v="0"/>
    <n v="0"/>
    <n v="4392"/>
    <m/>
    <s v=""/>
    <n v="2016"/>
    <s v="2018 (triag)"/>
    <n v="4392"/>
    <n v="2022"/>
    <s v=""/>
    <n v="4392"/>
    <n v="4392"/>
    <s v="Increasing"/>
    <n v="9.0528744101809888E-2"/>
    <n v="5.4673730437993617E-2"/>
    <n v="1282.0644493004024"/>
    <n v="2375.3303950657951"/>
    <n v="0"/>
    <n v="1.1303050539717872"/>
    <n v="2.1940609985924935"/>
    <n v="2.1940609985924935"/>
  </r>
  <r>
    <x v="45"/>
    <x v="45"/>
    <n v="14744666"/>
    <x v="3"/>
    <n v="0"/>
    <n v="15234975.999999991"/>
    <n v="0"/>
    <m/>
    <n v="0"/>
    <m/>
    <n v="0"/>
    <m/>
    <n v="0"/>
    <m/>
    <n v="0"/>
    <n v="17835892.999999981"/>
    <n v="119"/>
    <n v="119"/>
    <m/>
    <n v="0"/>
    <m/>
    <n v="0"/>
    <m/>
    <n v="0"/>
    <n v="20017675.000000004"/>
    <n v="0"/>
    <n v="0"/>
    <n v="0"/>
    <n v="119"/>
    <n v="0"/>
    <m/>
    <s v=""/>
    <n v="119"/>
    <n v="2018"/>
    <n v="119"/>
    <n v="2018"/>
    <s v=""/>
    <n v="119"/>
    <n v="119"/>
    <s v="No change"/>
    <n v="9.0528744101809888E-2"/>
    <n v="5.4673730437993617E-2"/>
    <n v="0"/>
    <n v="0"/>
    <n v="0"/>
    <n v="6.6719395546945767E-2"/>
    <n v="5.944746330430481E-2"/>
    <n v="5.944746330430481E-2"/>
  </r>
  <r>
    <x v="45"/>
    <x v="45"/>
    <n v="14744667"/>
    <x v="4"/>
    <n v="0"/>
    <n v="15234975.999999991"/>
    <n v="0"/>
    <m/>
    <n v="0"/>
    <m/>
    <n v="0"/>
    <m/>
    <n v="0"/>
    <m/>
    <n v="0"/>
    <n v="17835892.999999981"/>
    <n v="0"/>
    <n v="0"/>
    <m/>
    <n v="0"/>
    <m/>
    <n v="0"/>
    <m/>
    <n v="0"/>
    <n v="20017675.000000004"/>
    <n v="0"/>
    <n v="0"/>
    <n v="0"/>
    <n v="0"/>
    <n v="0"/>
    <m/>
    <s v=""/>
    <m/>
    <s v=""/>
    <n v="0"/>
    <s v=""/>
    <s v=""/>
    <m/>
    <n v="0"/>
    <s v="No change"/>
    <n v="9.0528744101809888E-2"/>
    <n v="5.4673730437993617E-2"/>
    <n v="0"/>
    <n v="0"/>
    <n v="0"/>
    <n v="0"/>
    <n v="0"/>
    <n v="0"/>
  </r>
  <r>
    <x v="45"/>
    <x v="45"/>
    <n v="14744668"/>
    <x v="5"/>
    <n v="53"/>
    <n v="15234975.999999991"/>
    <n v="0"/>
    <m/>
    <n v="0"/>
    <m/>
    <n v="0"/>
    <m/>
    <n v="0"/>
    <m/>
    <n v="0"/>
    <n v="17835892.999999981"/>
    <n v="0"/>
    <n v="0"/>
    <m/>
    <n v="0"/>
    <m/>
    <n v="0"/>
    <m/>
    <n v="0"/>
    <n v="20017675.000000004"/>
    <n v="28"/>
    <n v="0"/>
    <n v="53"/>
    <n v="0"/>
    <n v="28"/>
    <n v="53"/>
    <n v="2012"/>
    <m/>
    <s v=""/>
    <n v="28"/>
    <n v="2022"/>
    <s v=""/>
    <n v="28"/>
    <n v="28"/>
    <s v="Increasing"/>
    <n v="9.0528744101809888E-2"/>
    <n v="5.4673730437993617E-2"/>
    <n v="0"/>
    <n v="0"/>
    <n v="3.4788371179580481E-2"/>
    <n v="0"/>
    <n v="1.3987638424542308E-2"/>
    <n v="1.3987638424542308E-2"/>
  </r>
  <r>
    <x v="45"/>
    <x v="45"/>
    <n v="14744669"/>
    <x v="6"/>
    <n v="184"/>
    <n v="15234975.999999991"/>
    <n v="0"/>
    <m/>
    <n v="0"/>
    <m/>
    <n v="0"/>
    <m/>
    <n v="921"/>
    <m/>
    <n v="0"/>
    <n v="17835892.999999981"/>
    <n v="18"/>
    <n v="18"/>
    <m/>
    <n v="18"/>
    <m/>
    <n v="19"/>
    <m/>
    <n v="19"/>
    <n v="20017675.000000004"/>
    <n v="641"/>
    <n v="0"/>
    <n v="184"/>
    <n v="921"/>
    <n v="641"/>
    <n v="184"/>
    <n v="2012"/>
    <n v="18"/>
    <n v="2018"/>
    <n v="641"/>
    <n v="2022"/>
    <s v=""/>
    <n v="641"/>
    <n v="641"/>
    <s v="Increasing"/>
    <n v="9.0528744101809888E-2"/>
    <n v="5.4673730437993617E-2"/>
    <n v="0"/>
    <n v="0"/>
    <n v="0.12077472258571337"/>
    <n v="1.0092009410462385E-2"/>
    <n v="0.32021700821898641"/>
    <n v="0.32021700821898641"/>
  </r>
  <r>
    <x v="45"/>
    <x v="45"/>
    <n v="14744670"/>
    <x v="7"/>
    <n v="0"/>
    <n v="15234975.999999991"/>
    <n v="0"/>
    <m/>
    <n v="0"/>
    <m/>
    <n v="0"/>
    <m/>
    <n v="0"/>
    <m/>
    <n v="0"/>
    <n v="17835892.999999981"/>
    <n v="0"/>
    <n v="2617"/>
    <m/>
    <n v="0"/>
    <m/>
    <n v="0"/>
    <m/>
    <n v="0"/>
    <n v="20017675.000000004"/>
    <n v="7144"/>
    <n v="2617"/>
    <n v="0"/>
    <n v="0"/>
    <n v="7144"/>
    <m/>
    <s v=""/>
    <n v="2617"/>
    <s v="2018 (triag)"/>
    <n v="7144"/>
    <n v="2022"/>
    <s v=""/>
    <n v="7144"/>
    <n v="7144"/>
    <s v="Increasing"/>
    <n v="9.0528744101809888E-2"/>
    <n v="5.4673730437993617E-2"/>
    <n v="1664.2671943547386"/>
    <n v="3083.4522043091197"/>
    <n v="0"/>
    <n v="1.4672660348433368"/>
    <n v="3.5688460323189375"/>
    <n v="3.5688460323189375"/>
  </r>
  <r>
    <x v="45"/>
    <x v="45"/>
    <n v="14744671"/>
    <x v="8"/>
    <n v="500"/>
    <n v="15234975.999999991"/>
    <n v="0"/>
    <m/>
    <n v="0"/>
    <m/>
    <n v="0"/>
    <m/>
    <n v="419"/>
    <m/>
    <n v="0"/>
    <n v="17835892.999999981"/>
    <n v="761"/>
    <n v="761"/>
    <m/>
    <n v="929"/>
    <m/>
    <n v="1075"/>
    <m/>
    <n v="1375"/>
    <n v="20017675.000000004"/>
    <n v="2633"/>
    <n v="602"/>
    <n v="500"/>
    <n v="929"/>
    <n v="2633"/>
    <n v="500"/>
    <n v="2012"/>
    <n v="761"/>
    <n v="2018"/>
    <n v="2633"/>
    <n v="2022"/>
    <s v=""/>
    <n v="2633"/>
    <n v="2633"/>
    <s v="Increasing"/>
    <n v="9.0528744101809888E-2"/>
    <n v="5.4673730437993617E-2"/>
    <n v="382.83868972164794"/>
    <n v="709.30004852659158"/>
    <n v="0.32819218093943853"/>
    <n v="0.42666773118677087"/>
    <n v="1.3153375704221393"/>
    <n v="1.3153375704221393"/>
  </r>
  <r>
    <x v="45"/>
    <x v="45"/>
    <n v="14744672"/>
    <x v="9"/>
    <n v="0"/>
    <n v="15234975.999999991"/>
    <n v="0"/>
    <m/>
    <n v="0"/>
    <m/>
    <n v="0"/>
    <m/>
    <n v="0"/>
    <m/>
    <n v="0"/>
    <n v="17835892.999999981"/>
    <n v="67"/>
    <n v="1232"/>
    <m/>
    <n v="0"/>
    <m/>
    <n v="0"/>
    <m/>
    <n v="0"/>
    <n v="20017675.000000004"/>
    <n v="0"/>
    <n v="1232"/>
    <n v="0"/>
    <n v="67"/>
    <n v="0"/>
    <m/>
    <s v=""/>
    <n v="1232"/>
    <s v="2018 (triag)"/>
    <n v="1232"/>
    <s v="2018 (triag)"/>
    <s v=""/>
    <n v="1232"/>
    <n v="1232"/>
    <s v="No change"/>
    <n v="9.0528744101809888E-2"/>
    <n v="5.4673730437993617E-2"/>
    <n v="783.48383012802367"/>
    <n v="1451.5907969846526"/>
    <n v="0"/>
    <n v="0.69074197742720322"/>
    <n v="0.61545609067986151"/>
    <n v="0.61545609067986151"/>
  </r>
  <r>
    <x v="45"/>
    <x v="45"/>
    <n v="14744673"/>
    <x v="10"/>
    <n v="18"/>
    <n v="15234975.999999991"/>
    <n v="0"/>
    <m/>
    <n v="0"/>
    <m/>
    <n v="0"/>
    <m/>
    <n v="0"/>
    <m/>
    <n v="0"/>
    <n v="17835892.999999981"/>
    <n v="16"/>
    <n v="61"/>
    <m/>
    <n v="0"/>
    <m/>
    <n v="0"/>
    <m/>
    <n v="0"/>
    <n v="20017675.000000004"/>
    <n v="244"/>
    <n v="61"/>
    <n v="18"/>
    <n v="16"/>
    <n v="244"/>
    <n v="18"/>
    <n v="2012"/>
    <n v="61"/>
    <s v="2018 (triag)"/>
    <n v="244"/>
    <n v="2022"/>
    <s v=""/>
    <n v="244"/>
    <n v="244"/>
    <s v="Increasing"/>
    <n v="9.0528744101809888E-2"/>
    <n v="5.4673730437993617E-2"/>
    <n v="38.792624706014159"/>
    <n v="71.872596279272571"/>
    <n v="1.1814918513819786E-2"/>
    <n v="3.4200698557678086E-2"/>
    <n v="0.12189227769958297"/>
    <n v="0.12189227769958297"/>
  </r>
  <r>
    <x v="45"/>
    <x v="45"/>
    <n v="14744674"/>
    <x v="11"/>
    <n v="0"/>
    <n v="15234975.999999991"/>
    <n v="0"/>
    <m/>
    <n v="0"/>
    <m/>
    <n v="0"/>
    <m/>
    <n v="0"/>
    <m/>
    <n v="0"/>
    <n v="17835892.999999981"/>
    <n v="0"/>
    <n v="17801"/>
    <m/>
    <n v="0"/>
    <m/>
    <n v="0"/>
    <m/>
    <n v="0"/>
    <n v="20017675.000000004"/>
    <n v="0"/>
    <n v="17801"/>
    <n v="0"/>
    <n v="0"/>
    <n v="0"/>
    <m/>
    <s v=""/>
    <n v="17801"/>
    <s v="2018 (triag)"/>
    <n v="17801"/>
    <s v="2018 (triag)"/>
    <s v=""/>
    <n v="17801"/>
    <n v="17801"/>
    <s v="No change"/>
    <n v="9.0528744101809888E-2"/>
    <n v="5.4673730437993617E-2"/>
    <n v="11320.451022815707"/>
    <n v="20973.837481431656"/>
    <n v="0"/>
    <n v="9.9804366397578299"/>
    <n v="8.8926411284027722"/>
    <n v="8.8926411284027722"/>
  </r>
  <r>
    <x v="45"/>
    <x v="45"/>
    <n v="14744675"/>
    <x v="12"/>
    <n v="0"/>
    <n v="15234975.999999991"/>
    <n v="0"/>
    <m/>
    <n v="0"/>
    <m/>
    <n v="0"/>
    <m/>
    <n v="0"/>
    <m/>
    <n v="0"/>
    <n v="17835892.999999981"/>
    <n v="0"/>
    <n v="0"/>
    <m/>
    <n v="0"/>
    <m/>
    <n v="0"/>
    <m/>
    <n v="0"/>
    <n v="20017675.000000004"/>
    <n v="0"/>
    <n v="0"/>
    <n v="0"/>
    <n v="0"/>
    <n v="0"/>
    <m/>
    <s v=""/>
    <m/>
    <s v=""/>
    <n v="0"/>
    <s v=""/>
    <s v=""/>
    <m/>
    <n v="0"/>
    <s v="No change"/>
    <n v="9.0528744101809888E-2"/>
    <n v="5.4673730437993617E-2"/>
    <n v="0"/>
    <n v="0"/>
    <n v="0"/>
    <n v="0"/>
    <n v="0"/>
    <n v="0"/>
  </r>
  <r>
    <x v="45"/>
    <x v="45"/>
    <n v="14744676"/>
    <x v="13"/>
    <n v="1126"/>
    <n v="15234975.999999991"/>
    <n v="0"/>
    <m/>
    <n v="0"/>
    <m/>
    <n v="0"/>
    <m/>
    <n v="0"/>
    <m/>
    <n v="0"/>
    <n v="17835892.999999981"/>
    <n v="1712"/>
    <n v="1712"/>
    <m/>
    <n v="2045"/>
    <m/>
    <n v="2506"/>
    <m/>
    <n v="3182"/>
    <n v="20017675.000000004"/>
    <n v="2235"/>
    <n v="1602"/>
    <n v="1126"/>
    <n v="2045"/>
    <n v="3182"/>
    <n v="1126"/>
    <n v="2012"/>
    <n v="1712"/>
    <n v="2018"/>
    <n v="2235"/>
    <n v="2022"/>
    <s v=""/>
    <n v="2235"/>
    <n v="2235"/>
    <s v="Increasing"/>
    <n v="9.0528744101809888E-2"/>
    <n v="5.4673730437993617E-2"/>
    <n v="1018.7833570333555"/>
    <n v="1887.5393317933549"/>
    <n v="0.73908879147561546"/>
    <n v="0.95986222837286683"/>
    <n v="1.1165132813875736"/>
    <n v="1.1165132813875736"/>
  </r>
  <r>
    <x v="45"/>
    <x v="45"/>
    <n v="14744677"/>
    <x v="14"/>
    <n v="3141"/>
    <n v="15234975.999999991"/>
    <n v="0"/>
    <m/>
    <n v="0"/>
    <m/>
    <n v="0"/>
    <m/>
    <n v="1814"/>
    <m/>
    <n v="0"/>
    <n v="17835892.999999981"/>
    <n v="3616"/>
    <n v="3616"/>
    <m/>
    <n v="4562"/>
    <m/>
    <n v="5544"/>
    <m/>
    <n v="8281"/>
    <n v="20017675.000000004"/>
    <n v="970"/>
    <n v="0"/>
    <n v="3141"/>
    <n v="4562"/>
    <n v="8281"/>
    <n v="3141"/>
    <n v="2012"/>
    <n v="3616"/>
    <n v="2018"/>
    <n v="970"/>
    <n v="2022"/>
    <s v="Adjust"/>
    <n v="1114.8196849908027"/>
    <n v="3616"/>
    <s v="Decreasing"/>
    <n v="9.0528744101809888E-2"/>
    <n v="5.4673730437993617E-2"/>
    <n v="0"/>
    <n v="0"/>
    <n v="2.0617032806615527"/>
    <n v="2.0273725571239991"/>
    <n v="0.55691766650762509"/>
    <n v="1.8064035908266067"/>
  </r>
  <r>
    <x v="45"/>
    <x v="45"/>
    <n v="14744678"/>
    <x v="15"/>
    <n v="485"/>
    <n v="15234975.999999991"/>
    <n v="0"/>
    <m/>
    <n v="0"/>
    <m/>
    <n v="0"/>
    <m/>
    <n v="432"/>
    <m/>
    <n v="0"/>
    <n v="17835892.999999981"/>
    <n v="739"/>
    <n v="739"/>
    <m/>
    <n v="864"/>
    <m/>
    <n v="1036"/>
    <m/>
    <n v="1324"/>
    <n v="20017675.000000004"/>
    <n v="1239"/>
    <n v="606"/>
    <n v="485"/>
    <n v="864"/>
    <n v="1324"/>
    <n v="485"/>
    <n v="2012"/>
    <n v="739"/>
    <n v="2018"/>
    <n v="1239"/>
    <n v="2022"/>
    <s v=""/>
    <n v="1239"/>
    <n v="1327"/>
    <s v="Increasing"/>
    <n v="9.0528744101809888E-2"/>
    <n v="5.4673730437993617E-2"/>
    <n v="385.38246839089476"/>
    <n v="714.01300565965857"/>
    <n v="0.31834641551125537"/>
    <n v="0.41433305301842793"/>
    <n v="0.61895300028599709"/>
    <n v="0.66291414962027295"/>
  </r>
  <r>
    <x v="45"/>
    <x v="45"/>
    <n v="14744679"/>
    <x v="16"/>
    <n v="0"/>
    <n v="15234975.999999991"/>
    <n v="0"/>
    <m/>
    <n v="0"/>
    <m/>
    <n v="0"/>
    <m/>
    <n v="0"/>
    <m/>
    <n v="0"/>
    <n v="17835892.999999981"/>
    <n v="0"/>
    <n v="0"/>
    <m/>
    <n v="0"/>
    <m/>
    <n v="0"/>
    <m/>
    <n v="0"/>
    <n v="20017675.000000004"/>
    <n v="0"/>
    <n v="0"/>
    <n v="0"/>
    <n v="0"/>
    <n v="0"/>
    <m/>
    <s v=""/>
    <m/>
    <s v=""/>
    <n v="0"/>
    <s v=""/>
    <s v=""/>
    <m/>
    <n v="0"/>
    <s v="No change"/>
    <n v="9.0528744101809888E-2"/>
    <n v="5.4673730437993617E-2"/>
    <n v="0"/>
    <n v="0"/>
    <n v="0"/>
    <n v="0"/>
    <n v="0"/>
    <n v="0"/>
  </r>
  <r>
    <x v="45"/>
    <x v="45"/>
    <n v="14744680"/>
    <x v="17"/>
    <n v="0"/>
    <n v="15234975.999999991"/>
    <n v="0"/>
    <m/>
    <n v="0"/>
    <m/>
    <n v="0"/>
    <m/>
    <n v="0"/>
    <m/>
    <n v="0"/>
    <n v="17835892.999999981"/>
    <n v="0"/>
    <n v="0"/>
    <m/>
    <n v="0"/>
    <m/>
    <n v="0"/>
    <m/>
    <n v="0"/>
    <n v="20017675.000000004"/>
    <n v="2"/>
    <n v="0"/>
    <n v="0"/>
    <n v="0"/>
    <n v="2"/>
    <m/>
    <s v=""/>
    <m/>
    <s v=""/>
    <n v="2"/>
    <n v="2022"/>
    <s v=""/>
    <n v="2"/>
    <n v="2"/>
    <s v="Increasing"/>
    <n v="9.0528744101809888E-2"/>
    <n v="5.4673730437993617E-2"/>
    <n v="0"/>
    <n v="0"/>
    <n v="0"/>
    <n v="0"/>
    <n v="9.9911703032445052E-4"/>
    <n v="9.9911703032445052E-4"/>
  </r>
  <r>
    <x v="45"/>
    <x v="45"/>
    <n v="14744681"/>
    <x v="18"/>
    <n v="0"/>
    <n v="15234975.999999991"/>
    <n v="0"/>
    <m/>
    <n v="0"/>
    <m/>
    <n v="0"/>
    <m/>
    <n v="0"/>
    <m/>
    <n v="0"/>
    <n v="17835892.999999981"/>
    <n v="0"/>
    <n v="0"/>
    <m/>
    <n v="0"/>
    <m/>
    <n v="0"/>
    <m/>
    <n v="0"/>
    <n v="20017675.000000004"/>
    <n v="0"/>
    <n v="0"/>
    <n v="0"/>
    <n v="0"/>
    <n v="0"/>
    <m/>
    <s v=""/>
    <m/>
    <s v=""/>
    <n v="0"/>
    <s v=""/>
    <s v=""/>
    <m/>
    <n v="0"/>
    <s v="No change"/>
    <n v="9.0528744101809888E-2"/>
    <n v="5.4673730437993617E-2"/>
    <n v="0"/>
    <n v="0"/>
    <n v="0"/>
    <n v="0"/>
    <n v="0"/>
    <n v="0"/>
  </r>
  <r>
    <x v="46"/>
    <x v="46"/>
    <n v="13265336"/>
    <x v="0"/>
    <n v="0"/>
    <n v="13555421.500000011"/>
    <n v="0"/>
    <m/>
    <n v="0"/>
    <m/>
    <n v="11200"/>
    <m/>
    <n v="0"/>
    <m/>
    <n v="15000"/>
    <n v="15052184.000000007"/>
    <n v="15888"/>
    <n v="15888"/>
    <m/>
    <n v="0"/>
    <m/>
    <n v="0"/>
    <m/>
    <n v="0"/>
    <n v="16320536.999999996"/>
    <n v="19722"/>
    <n v="2143"/>
    <n v="11200"/>
    <n v="15888"/>
    <n v="19722"/>
    <n v="11200"/>
    <n v="2015"/>
    <n v="15888"/>
    <n v="2018"/>
    <n v="19722"/>
    <n v="2022"/>
    <s v=""/>
    <n v="19722"/>
    <n v="19722"/>
    <s v="Increasing"/>
    <n v="8.5173735635071912E-2"/>
    <n v="0.17704702295875174"/>
    <n v="1399.81213497868"/>
    <n v="3644.9687256954526"/>
    <n v="8.262376791455722"/>
    <n v="10.555278888432397"/>
    <n v="12.084161201313416"/>
    <n v="12.084161201313416"/>
  </r>
  <r>
    <x v="46"/>
    <x v="46"/>
    <n v="13265337"/>
    <x v="1"/>
    <n v="0"/>
    <n v="13555421.500000011"/>
    <n v="0"/>
    <m/>
    <n v="0"/>
    <m/>
    <n v="845"/>
    <m/>
    <n v="0"/>
    <m/>
    <n v="0"/>
    <n v="15052184.000000007"/>
    <n v="0"/>
    <n v="0"/>
    <m/>
    <n v="0"/>
    <m/>
    <n v="0"/>
    <m/>
    <n v="0"/>
    <n v="16320536.999999996"/>
    <n v="280"/>
    <n v="0"/>
    <n v="845"/>
    <n v="0"/>
    <n v="280"/>
    <n v="845"/>
    <n v="2015"/>
    <m/>
    <s v=""/>
    <n v="280"/>
    <n v="2022"/>
    <s v=""/>
    <n v="280"/>
    <n v="280"/>
    <s v="Increasing"/>
    <n v="8.5173735635071912E-2"/>
    <n v="0.17704702295875174"/>
    <n v="0"/>
    <n v="0"/>
    <n v="0.62336682042679326"/>
    <n v="0"/>
    <n v="0.17156298227196817"/>
    <n v="0.17156298227196817"/>
  </r>
  <r>
    <x v="46"/>
    <x v="46"/>
    <n v="13265338"/>
    <x v="2"/>
    <n v="0"/>
    <n v="13555421.500000011"/>
    <n v="0"/>
    <m/>
    <n v="0"/>
    <m/>
    <n v="1885"/>
    <m/>
    <n v="0"/>
    <m/>
    <n v="0"/>
    <n v="15052184.000000007"/>
    <n v="0"/>
    <n v="1644"/>
    <m/>
    <n v="0"/>
    <m/>
    <n v="91"/>
    <m/>
    <n v="0"/>
    <n v="16320536.999999996"/>
    <n v="2684"/>
    <n v="1644"/>
    <n v="1885"/>
    <n v="0"/>
    <n v="2684"/>
    <n v="1885"/>
    <n v="2015"/>
    <n v="1644"/>
    <s v="2018 (triag)"/>
    <n v="2684"/>
    <n v="2022"/>
    <s v=""/>
    <n v="2684"/>
    <n v="2684"/>
    <s v="Increasing"/>
    <n v="8.5173735635071912E-2"/>
    <n v="0.17704702295875174"/>
    <n v="1073.8642790037097"/>
    <n v="2796.2335907808324"/>
    <n v="1.3905875224905389"/>
    <n v="1.0922003079420231"/>
    <n v="1.644553730064152"/>
    <n v="1.644553730064152"/>
  </r>
  <r>
    <x v="46"/>
    <x v="46"/>
    <n v="13265339"/>
    <x v="3"/>
    <n v="0"/>
    <n v="13555421.500000011"/>
    <n v="0"/>
    <m/>
    <n v="0"/>
    <m/>
    <n v="0"/>
    <m/>
    <n v="551"/>
    <m/>
    <n v="607"/>
    <n v="15052184.000000007"/>
    <n v="2021"/>
    <n v="2115"/>
    <m/>
    <n v="0"/>
    <m/>
    <n v="0"/>
    <m/>
    <n v="0"/>
    <n v="16320536.999999996"/>
    <n v="0"/>
    <n v="2115"/>
    <n v="0"/>
    <n v="2021"/>
    <n v="0"/>
    <m/>
    <s v=""/>
    <n v="2115"/>
    <s v="2018 (triag)"/>
    <n v="2115"/>
    <s v="2018 (triag)"/>
    <s v=""/>
    <n v="2115"/>
    <n v="2115"/>
    <s v="No change"/>
    <n v="8.5173735635071912E-2"/>
    <n v="0.17704702295875174"/>
    <n v="1381.5224757255755"/>
    <n v="3597.3443093074575"/>
    <n v="0"/>
    <n v="1.405111710034902"/>
    <n v="1.2959132410900454"/>
    <n v="1.2959132410900454"/>
  </r>
  <r>
    <x v="46"/>
    <x v="46"/>
    <n v="13265340"/>
    <x v="4"/>
    <n v="0"/>
    <n v="13555421.500000011"/>
    <n v="0"/>
    <m/>
    <n v="229"/>
    <m/>
    <n v="270"/>
    <m/>
    <n v="257"/>
    <m/>
    <n v="451"/>
    <n v="15052184.000000007"/>
    <n v="414"/>
    <n v="414"/>
    <m/>
    <n v="0"/>
    <m/>
    <n v="0"/>
    <m/>
    <n v="0"/>
    <n v="16320536.999999996"/>
    <n v="0"/>
    <n v="327"/>
    <n v="270"/>
    <n v="451"/>
    <n v="0"/>
    <n v="229"/>
    <n v="2014"/>
    <n v="414"/>
    <n v="2018"/>
    <n v="414"/>
    <n v="2018"/>
    <s v=""/>
    <n v="414"/>
    <n v="414"/>
    <s v="No change"/>
    <n v="8.5173735635071912E-2"/>
    <n v="0.17704702295875174"/>
    <n v="213.59709199161381"/>
    <n v="556.18514853122394"/>
    <n v="0.16893609689672859"/>
    <n v="0.27504314324087442"/>
    <n v="0.25366812378783865"/>
    <n v="0.25366812378783865"/>
  </r>
  <r>
    <x v="46"/>
    <x v="46"/>
    <n v="13265341"/>
    <x v="5"/>
    <n v="27"/>
    <n v="13555421.500000011"/>
    <n v="26"/>
    <m/>
    <n v="26"/>
    <m/>
    <n v="0"/>
    <m/>
    <n v="17"/>
    <m/>
    <n v="0"/>
    <n v="15052184.000000007"/>
    <n v="40"/>
    <n v="40"/>
    <m/>
    <n v="25"/>
    <m/>
    <n v="0"/>
    <m/>
    <n v="0"/>
    <n v="16320536.999999996"/>
    <n v="318"/>
    <n v="10"/>
    <n v="27"/>
    <n v="40"/>
    <n v="318"/>
    <n v="26"/>
    <n v="2013"/>
    <n v="40"/>
    <n v="2018"/>
    <n v="318"/>
    <n v="2022"/>
    <s v=""/>
    <n v="318"/>
    <n v="318"/>
    <s v="Increasing"/>
    <n v="8.5173735635071912E-2"/>
    <n v="0.17704702295875174"/>
    <n v="6.5320211618230521"/>
    <n v="17.00872013856954"/>
    <n v="1.918051755159364E-2"/>
    <n v="2.6574216738248734E-2"/>
    <n v="0.194846529866021"/>
    <n v="0.194846529866021"/>
  </r>
  <r>
    <x v="46"/>
    <x v="46"/>
    <n v="13265342"/>
    <x v="6"/>
    <n v="352"/>
    <n v="13555421.500000011"/>
    <n v="343"/>
    <m/>
    <n v="0"/>
    <m/>
    <n v="0"/>
    <m/>
    <n v="0"/>
    <m/>
    <n v="0"/>
    <n v="15052184.000000007"/>
    <n v="644"/>
    <n v="644"/>
    <m/>
    <n v="0"/>
    <m/>
    <n v="0"/>
    <m/>
    <n v="0"/>
    <n v="16320536.999999996"/>
    <n v="757"/>
    <n v="368"/>
    <n v="352"/>
    <n v="644"/>
    <n v="757"/>
    <n v="343"/>
    <n v="2013"/>
    <n v="644"/>
    <n v="2018"/>
    <n v="757"/>
    <n v="2022"/>
    <s v=""/>
    <n v="757"/>
    <n v="757"/>
    <s v="Increasing"/>
    <n v="8.5173735635071912E-2"/>
    <n v="0.17704702295875174"/>
    <n v="240.37837875508831"/>
    <n v="625.92090109935907"/>
    <n v="0.25303528923833146"/>
    <n v="0.42784488948580462"/>
    <n v="0.46383277707099968"/>
    <n v="0.46383277707099968"/>
  </r>
  <r>
    <x v="46"/>
    <x v="46"/>
    <n v="13265343"/>
    <x v="7"/>
    <n v="0"/>
    <n v="13555421.500000011"/>
    <n v="0"/>
    <m/>
    <n v="0"/>
    <m/>
    <n v="0"/>
    <m/>
    <n v="0"/>
    <m/>
    <n v="0"/>
    <n v="15052184.000000007"/>
    <n v="164"/>
    <n v="164"/>
    <m/>
    <n v="0"/>
    <m/>
    <n v="0"/>
    <m/>
    <n v="0"/>
    <n v="16320536.999999996"/>
    <n v="0"/>
    <n v="76"/>
    <n v="0"/>
    <n v="164"/>
    <n v="0"/>
    <m/>
    <s v=""/>
    <n v="164"/>
    <n v="2018"/>
    <n v="164"/>
    <n v="2018"/>
    <s v=""/>
    <n v="164"/>
    <n v="164"/>
    <s v="No change"/>
    <n v="8.5173735635071912E-2"/>
    <n v="0.17704702295875174"/>
    <n v="49.643360829855197"/>
    <n v="129.26627305312851"/>
    <n v="0"/>
    <n v="0.10895428862681981"/>
    <n v="0.10048688961643851"/>
    <n v="0.10048688961643851"/>
  </r>
  <r>
    <x v="46"/>
    <x v="46"/>
    <n v="13265344"/>
    <x v="8"/>
    <n v="233"/>
    <n v="13555421.500000011"/>
    <n v="239"/>
    <m/>
    <n v="312"/>
    <m/>
    <n v="511"/>
    <m/>
    <n v="320"/>
    <m/>
    <n v="417"/>
    <n v="15052184.000000007"/>
    <n v="480"/>
    <n v="480"/>
    <m/>
    <n v="0"/>
    <m/>
    <n v="0"/>
    <m/>
    <n v="0"/>
    <n v="16320536.999999996"/>
    <n v="376"/>
    <n v="412"/>
    <n v="511"/>
    <n v="480"/>
    <n v="376"/>
    <n v="239"/>
    <n v="2013"/>
    <n v="480"/>
    <n v="2018"/>
    <n v="376"/>
    <n v="2022"/>
    <s v="Adjust"/>
    <n v="434.81572579045508"/>
    <n v="480"/>
    <s v="Decreasing"/>
    <n v="8.5173735635071912E-2"/>
    <n v="0.17704702295875174"/>
    <n v="269.11927186710972"/>
    <n v="700.75926970906505"/>
    <n v="0.17631321903195693"/>
    <n v="0.3188906008589848"/>
    <n v="0.2664224380548601"/>
    <n v="0.2941079696090883"/>
  </r>
  <r>
    <x v="46"/>
    <x v="46"/>
    <n v="13265345"/>
    <x v="9"/>
    <n v="0"/>
    <n v="13555421.500000011"/>
    <n v="0"/>
    <m/>
    <n v="0"/>
    <m/>
    <n v="0"/>
    <m/>
    <n v="678"/>
    <m/>
    <n v="605"/>
    <n v="15052184.000000007"/>
    <n v="703"/>
    <n v="718"/>
    <m/>
    <n v="0"/>
    <m/>
    <n v="0"/>
    <m/>
    <n v="0"/>
    <n v="16320536.999999996"/>
    <n v="0"/>
    <n v="718"/>
    <n v="0"/>
    <n v="703"/>
    <n v="0"/>
    <m/>
    <s v=""/>
    <n v="718"/>
    <s v="2018 (triag)"/>
    <n v="718"/>
    <s v="2018 (triag)"/>
    <s v=""/>
    <n v="718"/>
    <n v="718"/>
    <s v="No change"/>
    <n v="8.5173735635071912E-2"/>
    <n v="0.17704702295875174"/>
    <n v="468.99911941889513"/>
    <n v="1221.226105949293"/>
    <n v="0"/>
    <n v="0.47700719045156481"/>
    <n v="0.43993650454026123"/>
    <n v="0.43993650454026123"/>
  </r>
  <r>
    <x v="46"/>
    <x v="46"/>
    <n v="13265346"/>
    <x v="10"/>
    <n v="0"/>
    <n v="13555421.500000011"/>
    <n v="0"/>
    <m/>
    <n v="0"/>
    <m/>
    <n v="0"/>
    <m/>
    <n v="13"/>
    <m/>
    <n v="20"/>
    <n v="15052184.000000007"/>
    <n v="20"/>
    <n v="20"/>
    <m/>
    <n v="0"/>
    <m/>
    <n v="0"/>
    <m/>
    <n v="0"/>
    <n v="16320536.999999996"/>
    <n v="0"/>
    <n v="0"/>
    <n v="0"/>
    <n v="20"/>
    <n v="0"/>
    <m/>
    <s v=""/>
    <n v="20"/>
    <n v="2017"/>
    <n v="20"/>
    <n v="2017"/>
    <s v=""/>
    <n v="20"/>
    <n v="20"/>
    <s v="No change"/>
    <n v="8.5173735635071912E-2"/>
    <n v="0.17704702295875174"/>
    <n v="0"/>
    <n v="0"/>
    <n v="0"/>
    <n v="1.3287108369124367E-2"/>
    <n v="1.2254498733712012E-2"/>
    <n v="1.2254498733712012E-2"/>
  </r>
  <r>
    <x v="46"/>
    <x v="46"/>
    <n v="13265347"/>
    <x v="11"/>
    <n v="0"/>
    <n v="13555421.500000011"/>
    <n v="0"/>
    <m/>
    <n v="0"/>
    <m/>
    <n v="0"/>
    <m/>
    <n v="0"/>
    <m/>
    <n v="1733"/>
    <n v="15052184.000000007"/>
    <n v="0"/>
    <n v="9502"/>
    <m/>
    <n v="0"/>
    <m/>
    <n v="0"/>
    <m/>
    <n v="0"/>
    <n v="16320536.999999996"/>
    <n v="0"/>
    <n v="9502"/>
    <n v="0"/>
    <n v="1733"/>
    <n v="0"/>
    <m/>
    <s v=""/>
    <n v="9502"/>
    <s v="2018 (triag)"/>
    <n v="9502"/>
    <s v="2018 (triag)"/>
    <s v=""/>
    <n v="9502"/>
    <n v="9502"/>
    <s v="No change"/>
    <n v="8.5173735635071912E-2"/>
    <n v="0.17704702295875174"/>
    <n v="6206.7265079642639"/>
    <n v="16161.685875668776"/>
    <n v="0"/>
    <n v="6.3127051861709873"/>
    <n v="5.8221123483865771"/>
    <n v="5.8221123483865771"/>
  </r>
  <r>
    <x v="46"/>
    <x v="46"/>
    <n v="13265348"/>
    <x v="12"/>
    <n v="0"/>
    <n v="13555421.500000011"/>
    <n v="0"/>
    <m/>
    <n v="0"/>
    <m/>
    <n v="0"/>
    <m/>
    <n v="0"/>
    <m/>
    <n v="0"/>
    <n v="15052184.000000007"/>
    <n v="0"/>
    <n v="1122"/>
    <m/>
    <n v="0"/>
    <m/>
    <n v="0"/>
    <m/>
    <n v="0"/>
    <n v="16320536.999999996"/>
    <n v="0"/>
    <n v="1122"/>
    <n v="0"/>
    <n v="0"/>
    <n v="0"/>
    <m/>
    <s v=""/>
    <n v="1122"/>
    <s v="2018 (triag)"/>
    <n v="1122"/>
    <s v="2018 (triag)"/>
    <s v=""/>
    <n v="1122"/>
    <n v="1122"/>
    <s v="No change"/>
    <n v="8.5173735635071912E-2"/>
    <n v="0.17704702295875174"/>
    <n v="732.8927743565464"/>
    <n v="1908.3783995475023"/>
    <n v="0"/>
    <n v="0.74540677950787704"/>
    <n v="0.68747737896124395"/>
    <n v="0.68747737896124395"/>
  </r>
  <r>
    <x v="46"/>
    <x v="46"/>
    <n v="13265349"/>
    <x v="13"/>
    <n v="0"/>
    <n v="13555421.500000011"/>
    <n v="0"/>
    <m/>
    <n v="519"/>
    <m/>
    <n v="644"/>
    <m/>
    <n v="600"/>
    <m/>
    <n v="781"/>
    <n v="15052184.000000007"/>
    <n v="1126"/>
    <n v="1126"/>
    <m/>
    <n v="0"/>
    <m/>
    <n v="0"/>
    <m/>
    <n v="0"/>
    <n v="16320536.999999996"/>
    <n v="795"/>
    <n v="648"/>
    <n v="644"/>
    <n v="1126"/>
    <n v="795"/>
    <n v="519"/>
    <n v="2014"/>
    <n v="1126"/>
    <n v="2018"/>
    <n v="795"/>
    <n v="2022"/>
    <s v="Adjust"/>
    <n v="919.35771809418031"/>
    <n v="1126"/>
    <s v="Decreasing"/>
    <n v="8.5173735635071912E-2"/>
    <n v="0.17704702295875174"/>
    <n v="423.27497128613379"/>
    <n v="1102.1650649793062"/>
    <n v="0.38287263881834999"/>
    <n v="0.74806420118170192"/>
    <n v="0.56331339961067495"/>
    <n v="0.68992827870798634"/>
  </r>
  <r>
    <x v="46"/>
    <x v="46"/>
    <n v="13265350"/>
    <x v="14"/>
    <n v="0"/>
    <n v="13555421.500000011"/>
    <n v="0"/>
    <m/>
    <n v="145"/>
    <m/>
    <n v="0"/>
    <m/>
    <n v="130"/>
    <m/>
    <n v="174"/>
    <n v="15052184.000000007"/>
    <n v="0"/>
    <n v="1094"/>
    <m/>
    <n v="0"/>
    <m/>
    <n v="0"/>
    <m/>
    <n v="0"/>
    <n v="16320536.999999996"/>
    <n v="0"/>
    <n v="1094"/>
    <n v="145"/>
    <n v="174"/>
    <n v="0"/>
    <n v="145"/>
    <n v="2014"/>
    <n v="1094"/>
    <s v="2018 (triag)"/>
    <n v="1094"/>
    <s v="2018 (triag)"/>
    <s v=""/>
    <n v="1094"/>
    <n v="1094"/>
    <s v="No change"/>
    <n v="8.5173735635071912E-2"/>
    <n v="0.17704702295875174"/>
    <n v="714.60311510344184"/>
    <n v="1860.7539831595077"/>
    <n v="0.10696827096081069"/>
    <n v="0.72680482779110289"/>
    <n v="0.67032108073404706"/>
    <n v="0.67032108073404706"/>
  </r>
  <r>
    <x v="46"/>
    <x v="46"/>
    <n v="13265351"/>
    <x v="15"/>
    <n v="377"/>
    <n v="13555421.500000011"/>
    <n v="419"/>
    <m/>
    <n v="413"/>
    <m/>
    <n v="472"/>
    <m/>
    <n v="432"/>
    <m/>
    <n v="503"/>
    <n v="15052184.000000007"/>
    <n v="688"/>
    <n v="688"/>
    <m/>
    <n v="0"/>
    <m/>
    <n v="0"/>
    <m/>
    <n v="0"/>
    <n v="16320536.999999996"/>
    <n v="957"/>
    <n v="459"/>
    <n v="472"/>
    <n v="688"/>
    <n v="957"/>
    <n v="419"/>
    <n v="2013"/>
    <n v="688"/>
    <n v="2018"/>
    <n v="957"/>
    <n v="2022"/>
    <s v=""/>
    <n v="957"/>
    <n v="957"/>
    <s v="Increasing"/>
    <n v="8.5173735635071912E-2"/>
    <n v="0.17704702295875174"/>
    <n v="299.8197713276781"/>
    <n v="780.70025436034189"/>
    <n v="0.30910141746606673"/>
    <n v="0.45707652789787823"/>
    <n v="0.58637776440811984"/>
    <n v="0.58637776440811984"/>
  </r>
  <r>
    <x v="46"/>
    <x v="46"/>
    <n v="13265352"/>
    <x v="16"/>
    <n v="0"/>
    <n v="13555421.500000011"/>
    <n v="0"/>
    <m/>
    <n v="0"/>
    <m/>
    <n v="0"/>
    <m/>
    <n v="0"/>
    <m/>
    <n v="0"/>
    <n v="15052184.000000007"/>
    <n v="12"/>
    <n v="12"/>
    <m/>
    <n v="0"/>
    <m/>
    <n v="0"/>
    <m/>
    <n v="0"/>
    <n v="16320536.999999996"/>
    <n v="84"/>
    <n v="0"/>
    <n v="0"/>
    <n v="12"/>
    <n v="84"/>
    <m/>
    <s v=""/>
    <n v="12"/>
    <n v="2018"/>
    <n v="84"/>
    <n v="2022"/>
    <s v=""/>
    <n v="84"/>
    <n v="84"/>
    <s v="Increasing"/>
    <n v="8.5173735635071912E-2"/>
    <n v="0.17704702295875174"/>
    <n v="0"/>
    <n v="0"/>
    <n v="0"/>
    <n v="7.9722650214746199E-3"/>
    <n v="5.1468894681590452E-2"/>
    <n v="5.1468894681590452E-2"/>
  </r>
  <r>
    <x v="46"/>
    <x v="46"/>
    <n v="13265353"/>
    <x v="17"/>
    <n v="0"/>
    <n v="13555421.500000011"/>
    <n v="0"/>
    <m/>
    <n v="0"/>
    <m/>
    <n v="0"/>
    <m/>
    <n v="0"/>
    <m/>
    <n v="0"/>
    <n v="15052184.000000007"/>
    <n v="0"/>
    <n v="0"/>
    <m/>
    <n v="0"/>
    <m/>
    <n v="0"/>
    <m/>
    <n v="0"/>
    <n v="16320536.999999996"/>
    <n v="22"/>
    <n v="0"/>
    <n v="0"/>
    <n v="0"/>
    <n v="22"/>
    <m/>
    <s v=""/>
    <m/>
    <s v=""/>
    <n v="22"/>
    <n v="2022"/>
    <s v=""/>
    <n v="22"/>
    <n v="22"/>
    <s v="Increasing"/>
    <n v="8.5173735635071912E-2"/>
    <n v="0.17704702295875174"/>
    <n v="0"/>
    <n v="0"/>
    <n v="0"/>
    <n v="0"/>
    <n v="1.3479948607083214E-2"/>
    <n v="1.3479948607083214E-2"/>
  </r>
  <r>
    <x v="46"/>
    <x v="46"/>
    <n v="13265354"/>
    <x v="18"/>
    <n v="0"/>
    <n v="13555421.500000011"/>
    <n v="0"/>
    <m/>
    <n v="0"/>
    <m/>
    <n v="0"/>
    <m/>
    <n v="0"/>
    <m/>
    <n v="596"/>
    <n v="15052184.000000007"/>
    <n v="1215"/>
    <n v="1215"/>
    <m/>
    <n v="0"/>
    <m/>
    <n v="0"/>
    <m/>
    <n v="0"/>
    <n v="16320536.999999996"/>
    <n v="0"/>
    <n v="5"/>
    <n v="0"/>
    <n v="1215"/>
    <n v="0"/>
    <m/>
    <s v=""/>
    <n v="1215"/>
    <n v="2018"/>
    <n v="1215"/>
    <n v="2018"/>
    <s v=""/>
    <n v="1215"/>
    <n v="1215"/>
    <s v="No change"/>
    <n v="8.5173735635071912E-2"/>
    <n v="0.17704702295875174"/>
    <n v="3.2660105809115261"/>
    <n v="8.5043600692847701"/>
    <n v="0"/>
    <n v="0.80719183342430534"/>
    <n v="0.7444607980730048"/>
    <n v="0.7444607980730048"/>
  </r>
  <r>
    <x v="0"/>
    <x v="0"/>
    <n v="25188292.499999996"/>
    <x v="19"/>
    <n v="0"/>
    <n v="26147002.000000011"/>
    <n v="0"/>
    <n v="27128336.499999981"/>
    <n v="0"/>
    <n v="28127721.000000004"/>
    <n v="0"/>
    <n v="29154745.500000007"/>
    <n v="0"/>
    <n v="30208628.000000015"/>
    <n v="6400"/>
    <n v="31273533.000000004"/>
    <n v="6593"/>
    <n v="6593"/>
    <n v="32353587.999999993"/>
    <n v="0"/>
    <n v="33428485.999999974"/>
    <n v="0"/>
    <n v="34503773.49999997"/>
    <n v="0"/>
    <n v="35588987.00000003"/>
    <n v="8693"/>
    <n v="6593"/>
    <n v="0"/>
    <n v="6593"/>
    <n v="8693"/>
    <m/>
    <s v=""/>
    <n v="6593"/>
    <n v="2018"/>
    <n v="8693"/>
    <n v="2022"/>
    <s v=""/>
    <n v="8693"/>
    <n v="8693"/>
    <s v="Increasing"/>
    <m/>
    <m/>
    <m/>
    <m/>
    <n v="0"/>
    <n v="2.1081724281039813"/>
    <n v="2.4426095634584915"/>
    <n v="2.4426095634584915"/>
  </r>
  <r>
    <x v="0"/>
    <x v="0"/>
    <n v="25188292.499999996"/>
    <x v="20"/>
    <n v="0"/>
    <n v="26147002.000000011"/>
    <n v="0"/>
    <m/>
    <n v="0"/>
    <m/>
    <n v="0"/>
    <m/>
    <n v="0"/>
    <m/>
    <n v="0"/>
    <n v="31273533.000000004"/>
    <n v="3043"/>
    <n v="3043"/>
    <m/>
    <n v="0"/>
    <m/>
    <n v="0"/>
    <m/>
    <n v="0"/>
    <n v="35588987.00000003"/>
    <n v="4778"/>
    <n v="3043"/>
    <n v="0"/>
    <n v="3043"/>
    <n v="4778"/>
    <m/>
    <s v=""/>
    <n v="3043"/>
    <n v="2018"/>
    <n v="4778"/>
    <n v="2022"/>
    <s v=""/>
    <n v="4778"/>
    <n v="4778"/>
    <s v="Increasing"/>
    <m/>
    <m/>
    <m/>
    <m/>
    <n v="0"/>
    <n v="0.97302725598671558"/>
    <n v="1.3425501546306997"/>
    <n v="1.3425501546306997"/>
  </r>
  <r>
    <x v="0"/>
    <x v="0"/>
    <n v="25188292.499999996"/>
    <x v="21"/>
    <n v="0"/>
    <n v="26147002.000000011"/>
    <n v="0"/>
    <m/>
    <n v="0"/>
    <m/>
    <n v="0"/>
    <m/>
    <n v="0"/>
    <m/>
    <n v="0"/>
    <n v="31273533.000000004"/>
    <n v="3550"/>
    <n v="3550"/>
    <m/>
    <n v="0"/>
    <m/>
    <n v="0"/>
    <m/>
    <n v="0"/>
    <n v="35588987.00000003"/>
    <n v="3915"/>
    <n v="3550"/>
    <n v="0"/>
    <n v="3550"/>
    <n v="3915"/>
    <m/>
    <s v=""/>
    <n v="3550"/>
    <n v="2018"/>
    <n v="3915"/>
    <n v="2022"/>
    <s v=""/>
    <n v="3915"/>
    <n v="3915"/>
    <s v="Increasing"/>
    <m/>
    <m/>
    <m/>
    <m/>
    <n v="0"/>
    <n v="1.1351451721172658"/>
    <n v="1.1000594088277917"/>
    <n v="1.1000594088277917"/>
  </r>
  <r>
    <x v="0"/>
    <x v="0"/>
    <n v="25188292.499999996"/>
    <x v="22"/>
    <n v="0"/>
    <n v="26147002.000000011"/>
    <n v="0"/>
    <m/>
    <n v="0"/>
    <m/>
    <n v="0"/>
    <m/>
    <n v="0"/>
    <m/>
    <n v="0"/>
    <n v="31273533.000000004"/>
    <n v="12554"/>
    <n v="46082"/>
    <m/>
    <n v="0"/>
    <m/>
    <n v="0"/>
    <m/>
    <n v="0"/>
    <n v="35588987.00000003"/>
    <n v="44989"/>
    <n v="46082"/>
    <n v="0"/>
    <n v="12554"/>
    <n v="44989"/>
    <m/>
    <s v=""/>
    <n v="46082"/>
    <s v="2018 (triag)"/>
    <n v="44989"/>
    <n v="2022"/>
    <s v="Adjust"/>
    <n v="66717.353814379763"/>
    <n v="66717.353814379763"/>
    <s v="Increasing"/>
    <m/>
    <m/>
    <m/>
    <m/>
    <n v="0"/>
    <n v="14.735143611692351"/>
    <n v="18.746629066564807"/>
    <n v="18.746629066564807"/>
  </r>
  <r>
    <x v="0"/>
    <x v="0"/>
    <n v="25188292.499999996"/>
    <x v="23"/>
    <n v="0"/>
    <n v="26147002.000000011"/>
    <n v="0"/>
    <m/>
    <n v="0"/>
    <m/>
    <n v="0"/>
    <m/>
    <n v="0"/>
    <m/>
    <n v="0"/>
    <n v="31273533.000000004"/>
    <n v="9317"/>
    <n v="9317"/>
    <m/>
    <n v="0"/>
    <m/>
    <n v="0"/>
    <m/>
    <n v="0"/>
    <n v="35588987.00000003"/>
    <n v="6241"/>
    <n v="7221"/>
    <n v="0"/>
    <n v="9317"/>
    <n v="6241"/>
    <m/>
    <s v=""/>
    <n v="9317"/>
    <n v="2018"/>
    <n v="6241"/>
    <n v="2022"/>
    <s v="Adjust"/>
    <n v="9255.2180567592986"/>
    <n v="9317"/>
    <s v="Decreasing"/>
    <m/>
    <m/>
    <m/>
    <m/>
    <n v="0"/>
    <n v="2.97919649820185"/>
    <n v="2.6005848541739307"/>
    <n v="2.6179447029498175"/>
  </r>
  <r>
    <x v="0"/>
    <x v="0"/>
    <n v="25188292.499999996"/>
    <x v="24"/>
    <n v="0"/>
    <n v="26147002.000000011"/>
    <n v="0"/>
    <m/>
    <n v="0"/>
    <m/>
    <n v="0"/>
    <m/>
    <n v="0"/>
    <m/>
    <n v="0"/>
    <n v="31273533.000000004"/>
    <n v="3237"/>
    <n v="38861"/>
    <m/>
    <n v="0"/>
    <m/>
    <n v="0"/>
    <m/>
    <n v="0"/>
    <n v="35588987.00000003"/>
    <n v="37151"/>
    <n v="38861"/>
    <n v="0"/>
    <n v="3237"/>
    <n v="37151"/>
    <m/>
    <s v=""/>
    <n v="38861"/>
    <s v="2018 (triag)"/>
    <n v="37151"/>
    <n v="2022"/>
    <s v="Adjust"/>
    <n v="55093.832082465102"/>
    <n v="55093.832082465102"/>
    <s v="Increasing"/>
    <m/>
    <m/>
    <m/>
    <m/>
    <n v="0"/>
    <n v="12.426162403844808"/>
    <n v="15.480584508478719"/>
    <n v="15.480584508478719"/>
  </r>
  <r>
    <x v="0"/>
    <x v="0"/>
    <n v="25188292.499999996"/>
    <x v="25"/>
    <n v="0"/>
    <n v="26147002.000000011"/>
    <n v="30"/>
    <m/>
    <n v="0"/>
    <m/>
    <n v="0"/>
    <m/>
    <n v="0"/>
    <m/>
    <n v="0"/>
    <n v="31273533.000000004"/>
    <n v="0"/>
    <n v="1438"/>
    <m/>
    <n v="0"/>
    <m/>
    <n v="0"/>
    <m/>
    <n v="0"/>
    <n v="35588987.00000003"/>
    <n v="22"/>
    <n v="1438"/>
    <n v="30"/>
    <n v="0"/>
    <n v="22"/>
    <n v="30"/>
    <n v="2013"/>
    <n v="1438"/>
    <s v="2018 (triag)"/>
    <n v="22"/>
    <n v="2022"/>
    <s v="Adjust"/>
    <n v="32.625348061000572"/>
    <n v="1438"/>
    <s v="Decreasing"/>
    <m/>
    <m/>
    <m/>
    <m/>
    <n v="1.147359073900709E-2"/>
    <n v="0.45981373450834601"/>
    <n v="9.1672595404304561E-3"/>
    <n v="0.40405758107135747"/>
  </r>
  <r>
    <x v="0"/>
    <x v="0"/>
    <n v="25188292.499999996"/>
    <x v="26"/>
    <n v="0"/>
    <n v="26147002.000000011"/>
    <n v="30"/>
    <m/>
    <n v="0"/>
    <m/>
    <n v="0"/>
    <m/>
    <n v="0"/>
    <m/>
    <n v="0"/>
    <n v="31273533.000000004"/>
    <n v="0"/>
    <n v="769"/>
    <m/>
    <n v="0"/>
    <m/>
    <n v="0"/>
    <m/>
    <n v="0"/>
    <n v="35588987.00000003"/>
    <n v="2"/>
    <n v="769"/>
    <n v="30"/>
    <n v="0"/>
    <n v="2"/>
    <n v="30"/>
    <n v="2013"/>
    <n v="769"/>
    <s v="2018 (triag)"/>
    <n v="2"/>
    <n v="2022"/>
    <s v="Adjust"/>
    <n v="2.9659407328182339"/>
    <n v="769"/>
    <s v="Decreasing"/>
    <m/>
    <m/>
    <m/>
    <m/>
    <n v="1.147359073900709E-2"/>
    <n v="0.24589482742483873"/>
    <n v="8.3338723094822321E-4"/>
    <n v="0.2160780805590222"/>
  </r>
  <r>
    <x v="0"/>
    <x v="0"/>
    <n v="25188292.499999996"/>
    <x v="27"/>
    <n v="0"/>
    <n v="26147002.000000011"/>
    <n v="0"/>
    <m/>
    <n v="0"/>
    <m/>
    <n v="0"/>
    <m/>
    <n v="0"/>
    <m/>
    <n v="0"/>
    <n v="31273533.000000004"/>
    <n v="0"/>
    <n v="669"/>
    <m/>
    <n v="0"/>
    <m/>
    <n v="0"/>
    <m/>
    <n v="0"/>
    <n v="35588987.00000003"/>
    <n v="20"/>
    <n v="669"/>
    <n v="0"/>
    <n v="0"/>
    <n v="20"/>
    <m/>
    <s v=""/>
    <n v="669"/>
    <s v="2018 (triag)"/>
    <n v="20"/>
    <n v="2022"/>
    <s v="Adjust"/>
    <n v="29.65940732818234"/>
    <n v="669"/>
    <s v="Decreasing"/>
    <m/>
    <m/>
    <m/>
    <m/>
    <n v="0"/>
    <n v="0.2139189070835073"/>
    <n v="8.3338723094822341E-3"/>
    <n v="0.18797950051233531"/>
  </r>
  <r>
    <x v="0"/>
    <x v="0"/>
    <n v="25188292.499999996"/>
    <x v="28"/>
    <n v="0"/>
    <n v="26147002.000000011"/>
    <n v="0"/>
    <m/>
    <n v="0"/>
    <m/>
    <n v="0"/>
    <m/>
    <n v="0"/>
    <m/>
    <n v="0"/>
    <n v="31273533.000000004"/>
    <n v="2302"/>
    <n v="2302"/>
    <m/>
    <n v="0"/>
    <m/>
    <n v="0"/>
    <m/>
    <n v="0"/>
    <n v="35588987.00000003"/>
    <n v="967"/>
    <n v="697"/>
    <n v="0"/>
    <n v="2302"/>
    <n v="967"/>
    <m/>
    <s v=""/>
    <n v="2302"/>
    <n v="2018"/>
    <n v="967"/>
    <n v="2022"/>
    <s v="Adjust"/>
    <n v="1434.032344317616"/>
    <n v="2302"/>
    <s v="Decreasing"/>
    <m/>
    <m/>
    <m/>
    <m/>
    <n v="0"/>
    <n v="0.73608568625744963"/>
    <n v="0.40294272616346588"/>
    <n v="0.6468293126747322"/>
  </r>
  <r>
    <x v="0"/>
    <x v="0"/>
    <n v="25188292.499999996"/>
    <x v="29"/>
    <n v="0"/>
    <n v="26147002.000000011"/>
    <n v="0"/>
    <m/>
    <n v="0"/>
    <m/>
    <n v="0"/>
    <m/>
    <n v="0"/>
    <m/>
    <n v="0"/>
    <n v="31273533.000000004"/>
    <n v="0"/>
    <n v="1605"/>
    <m/>
    <n v="0"/>
    <m/>
    <n v="0"/>
    <m/>
    <n v="0"/>
    <n v="35588987.00000003"/>
    <n v="636"/>
    <n v="1605"/>
    <n v="0"/>
    <n v="0"/>
    <n v="636"/>
    <m/>
    <s v=""/>
    <n v="1605"/>
    <s v="2018 (triag)"/>
    <n v="636"/>
    <n v="2022"/>
    <s v="Adjust"/>
    <n v="943.1691530361984"/>
    <n v="1605"/>
    <s v="Decreasing"/>
    <m/>
    <m/>
    <m/>
    <m/>
    <n v="0"/>
    <n v="0.51321352147836952"/>
    <n v="0.26501713944153499"/>
    <n v="0.45098220974932463"/>
  </r>
  <r>
    <x v="0"/>
    <x v="0"/>
    <n v="25188292.499999996"/>
    <x v="30"/>
    <n v="0"/>
    <n v="26147002.000000011"/>
    <n v="0"/>
    <m/>
    <n v="0"/>
    <m/>
    <n v="0"/>
    <m/>
    <n v="0"/>
    <m/>
    <n v="0"/>
    <n v="31273533.000000004"/>
    <n v="1652"/>
    <n v="1652"/>
    <m/>
    <n v="0"/>
    <m/>
    <n v="0"/>
    <m/>
    <n v="0"/>
    <n v="35588987.00000003"/>
    <n v="171"/>
    <n v="856"/>
    <n v="0"/>
    <n v="1652"/>
    <n v="171"/>
    <m/>
    <s v=""/>
    <n v="1652"/>
    <n v="2018"/>
    <n v="171"/>
    <n v="2022"/>
    <s v="Adjust"/>
    <n v="253.58793265595901"/>
    <n v="1652"/>
    <s v="Decreasing"/>
    <m/>
    <m/>
    <m/>
    <m/>
    <n v="0"/>
    <n v="0.52824220403879529"/>
    <n v="7.125460824607309E-2"/>
    <n v="0.46418854237126744"/>
  </r>
  <r>
    <x v="0"/>
    <x v="0"/>
    <n v="25188292.499999996"/>
    <x v="31"/>
    <n v="0"/>
    <n v="26147002.000000011"/>
    <n v="0"/>
    <m/>
    <n v="0"/>
    <m/>
    <n v="0"/>
    <m/>
    <n v="0"/>
    <m/>
    <n v="0"/>
    <n v="31273533.000000004"/>
    <n v="0"/>
    <n v="796"/>
    <m/>
    <n v="0"/>
    <m/>
    <n v="0"/>
    <m/>
    <n v="0"/>
    <n v="35588987.00000003"/>
    <n v="0"/>
    <n v="796"/>
    <n v="0"/>
    <n v="0"/>
    <n v="0"/>
    <m/>
    <s v=""/>
    <n v="796"/>
    <s v="2018 (triag)"/>
    <n v="796"/>
    <s v="2018 (triag)"/>
    <s v=""/>
    <n v="796"/>
    <n v="796"/>
    <s v="No change"/>
    <m/>
    <m/>
    <m/>
    <m/>
    <n v="0"/>
    <n v="0.2545283259169982"/>
    <n v="0.22366469717162765"/>
    <n v="0.22366469717162765"/>
  </r>
  <r>
    <x v="0"/>
    <x v="0"/>
    <n v="25188292.499999996"/>
    <x v="32"/>
    <n v="0"/>
    <n v="26147002.000000011"/>
    <n v="0"/>
    <m/>
    <n v="0"/>
    <m/>
    <n v="0"/>
    <m/>
    <n v="0"/>
    <m/>
    <n v="0"/>
    <n v="31273533.000000004"/>
    <n v="0"/>
    <n v="0"/>
    <m/>
    <n v="0"/>
    <m/>
    <n v="0"/>
    <m/>
    <n v="0"/>
    <n v="35588987.00000003"/>
    <n v="767"/>
    <n v="0"/>
    <n v="0"/>
    <n v="0"/>
    <n v="767"/>
    <m/>
    <s v=""/>
    <m/>
    <s v=""/>
    <n v="767"/>
    <n v="2022"/>
    <s v=""/>
    <n v="767"/>
    <n v="767"/>
    <s v="Increasing"/>
    <m/>
    <m/>
    <m/>
    <m/>
    <n v="0"/>
    <n v="0"/>
    <n v="0.21551610895808845"/>
    <n v="0.21551610895808845"/>
  </r>
  <r>
    <x v="1"/>
    <x v="1"/>
    <n v="9795479.0000000019"/>
    <x v="19"/>
    <n v="498"/>
    <n v="10149577.500000002"/>
    <n v="554"/>
    <n v="10494912.499999989"/>
    <n v="609"/>
    <n v="10727148.499999996"/>
    <n v="508"/>
    <n v="10903327.500000004"/>
    <n v="0"/>
    <n v="11155593.000000002"/>
    <n v="0"/>
    <n v="11493472.499999993"/>
    <n v="0"/>
    <n v="1084"/>
    <n v="11874838"/>
    <n v="0"/>
    <n v="12220226.500000007"/>
    <n v="852"/>
    <n v="12551212.999999998"/>
    <n v="812"/>
    <n v="12889576.499999994"/>
    <n v="0"/>
    <n v="1084"/>
    <n v="609"/>
    <n v="0"/>
    <n v="852"/>
    <n v="554"/>
    <n v="2013"/>
    <n v="1084"/>
    <s v="2018 (triag)"/>
    <n v="812"/>
    <n v="2021"/>
    <s v="Adjust"/>
    <n v="1014.8610394397346"/>
    <n v="1084"/>
    <s v="Decreasing"/>
    <m/>
    <m/>
    <m/>
    <m/>
    <n v="0.54583552862175777"/>
    <n v="0.9431440324062208"/>
    <n v="0.78735018131878509"/>
    <n v="0.84098961668756178"/>
  </r>
  <r>
    <x v="1"/>
    <x v="1"/>
    <n v="9795480"/>
    <x v="20"/>
    <n v="475"/>
    <n v="10149577.500000002"/>
    <n v="486"/>
    <m/>
    <n v="556"/>
    <m/>
    <n v="467"/>
    <m/>
    <n v="0"/>
    <m/>
    <n v="0"/>
    <n v="11493472.499999993"/>
    <n v="0"/>
    <n v="889"/>
    <m/>
    <n v="0"/>
    <m/>
    <n v="0"/>
    <m/>
    <n v="725"/>
    <n v="12889576.499999994"/>
    <n v="0"/>
    <n v="889"/>
    <n v="556"/>
    <n v="0"/>
    <n v="725"/>
    <n v="486"/>
    <n v="2013"/>
    <n v="889"/>
    <s v="2018 (triag)"/>
    <n v="725"/>
    <n v="2021"/>
    <s v="Adjust"/>
    <n v="906.12592807119154"/>
    <n v="906.12592807119154"/>
    <s v="Increasing"/>
    <m/>
    <m/>
    <m/>
    <m/>
    <n v="0.47883766590284166"/>
    <n v="0.77348251366155929"/>
    <n v="0.70299123332034374"/>
    <n v="0.70299123332034374"/>
  </r>
  <r>
    <x v="1"/>
    <x v="1"/>
    <n v="9795481"/>
    <x v="21"/>
    <n v="23"/>
    <n v="10149577.500000002"/>
    <n v="68"/>
    <m/>
    <n v="53"/>
    <m/>
    <n v="41"/>
    <m/>
    <n v="0"/>
    <m/>
    <n v="0"/>
    <n v="11493472.499999993"/>
    <n v="0"/>
    <n v="195"/>
    <m/>
    <n v="0"/>
    <m/>
    <n v="0"/>
    <m/>
    <n v="87"/>
    <n v="12889576.499999994"/>
    <n v="0"/>
    <n v="195"/>
    <n v="68"/>
    <n v="0"/>
    <n v="87"/>
    <n v="68"/>
    <n v="2013"/>
    <n v="195"/>
    <s v="2018 (triag)"/>
    <n v="87"/>
    <n v="2021"/>
    <s v="Adjust"/>
    <n v="108.73511136854299"/>
    <n v="195"/>
    <s v="Decreasing"/>
    <m/>
    <m/>
    <m/>
    <m/>
    <n v="6.6997862718916126E-2"/>
    <n v="0.16966151874466148"/>
    <n v="8.4358947998441236E-2"/>
    <n v="0.15128503252220901"/>
  </r>
  <r>
    <x v="1"/>
    <x v="1"/>
    <n v="9795482"/>
    <x v="22"/>
    <n v="6486"/>
    <n v="10149577.500000002"/>
    <n v="6573"/>
    <m/>
    <n v="6819"/>
    <m/>
    <n v="6688"/>
    <m/>
    <n v="0"/>
    <m/>
    <n v="9071"/>
    <n v="11493472.499999993"/>
    <n v="9156"/>
    <n v="9156"/>
    <m/>
    <n v="7518"/>
    <m/>
    <n v="7713"/>
    <m/>
    <n v="9372"/>
    <n v="12889576.499999994"/>
    <n v="0"/>
    <n v="8996"/>
    <n v="6819"/>
    <n v="9156"/>
    <n v="9372"/>
    <n v="6573"/>
    <n v="2013"/>
    <n v="9156"/>
    <n v="2018"/>
    <n v="9372"/>
    <n v="2021"/>
    <s v=""/>
    <n v="9372"/>
    <n v="9372"/>
    <s v="Increasing"/>
    <m/>
    <m/>
    <m/>
    <m/>
    <n v="6.4761316419328772"/>
    <n v="7.9662608493647209"/>
    <n v="7.2709914092212449"/>
    <n v="7.2709914092212449"/>
  </r>
  <r>
    <x v="1"/>
    <x v="1"/>
    <n v="9795483"/>
    <x v="23"/>
    <n v="2843"/>
    <n v="10149577.500000002"/>
    <n v="2568"/>
    <m/>
    <n v="2747"/>
    <m/>
    <n v="2616"/>
    <m/>
    <n v="0"/>
    <m/>
    <n v="9071"/>
    <n v="11493472.499999993"/>
    <n v="0"/>
    <n v="654"/>
    <m/>
    <n v="7518"/>
    <m/>
    <n v="0"/>
    <m/>
    <n v="9372"/>
    <n v="12889576.499999994"/>
    <n v="0"/>
    <n v="654"/>
    <n v="2843"/>
    <n v="9071"/>
    <n v="9372"/>
    <n v="2568"/>
    <n v="2013"/>
    <n v="5970"/>
    <n v="2018"/>
    <n v="9372"/>
    <n v="2021"/>
    <s v=""/>
    <n v="9372"/>
    <n v="9372"/>
    <s v="Increasing"/>
    <m/>
    <m/>
    <m/>
    <m/>
    <n v="2.5301545803261263"/>
    <n v="5.1942526507980977"/>
    <n v="7.2709914092212449"/>
    <n v="7.2709914092212449"/>
  </r>
  <r>
    <x v="1"/>
    <x v="1"/>
    <n v="9795484"/>
    <x v="24"/>
    <n v="3643"/>
    <n v="10149577.500000002"/>
    <n v="4005"/>
    <m/>
    <n v="4072"/>
    <m/>
    <n v="4072"/>
    <m/>
    <n v="0"/>
    <m/>
    <n v="0"/>
    <n v="11493472.499999993"/>
    <n v="0"/>
    <n v="8342"/>
    <m/>
    <n v="0"/>
    <m/>
    <n v="0"/>
    <m/>
    <n v="0"/>
    <n v="12889576.499999994"/>
    <n v="0"/>
    <n v="8342"/>
    <n v="4072"/>
    <n v="0"/>
    <n v="0"/>
    <n v="4005"/>
    <n v="2013"/>
    <n v="8342"/>
    <s v="2018 (triag)"/>
    <n v="8342"/>
    <s v="2018 (triag)"/>
    <s v=""/>
    <n v="8342"/>
    <n v="8342"/>
    <s v="No change"/>
    <m/>
    <m/>
    <m/>
    <m/>
    <n v="3.9459770616067509"/>
    <n v="7.2580327659895696"/>
    <n v="6.4718961092321408"/>
    <n v="6.4718961092321408"/>
  </r>
  <r>
    <x v="1"/>
    <x v="1"/>
    <n v="9795485"/>
    <x v="25"/>
    <n v="16"/>
    <n v="10149577.500000002"/>
    <n v="35"/>
    <m/>
    <n v="24"/>
    <m/>
    <n v="79"/>
    <m/>
    <n v="0"/>
    <m/>
    <n v="160"/>
    <n v="11493472.499999993"/>
    <n v="0"/>
    <n v="160"/>
    <m/>
    <n v="124"/>
    <m/>
    <n v="0"/>
    <m/>
    <n v="143"/>
    <n v="12889576.499999994"/>
    <n v="0"/>
    <n v="160"/>
    <n v="79"/>
    <n v="160"/>
    <n v="143"/>
    <n v="35"/>
    <n v="2013"/>
    <n v="160"/>
    <n v="2017"/>
    <n v="143"/>
    <n v="2021"/>
    <s v="Adjust"/>
    <n v="178.72552788162812"/>
    <n v="178.72552788162812"/>
    <s v="Increasing"/>
    <m/>
    <m/>
    <m/>
    <m/>
    <n v="3.4484194046500945E-2"/>
    <n v="0.13920945127767095"/>
    <n v="0.13865896050318505"/>
    <n v="0.13865896050318505"/>
  </r>
  <r>
    <x v="1"/>
    <x v="1"/>
    <n v="9795486"/>
    <x v="26"/>
    <n v="16"/>
    <n v="10149577.500000002"/>
    <n v="35"/>
    <m/>
    <n v="24"/>
    <m/>
    <n v="79"/>
    <m/>
    <n v="0"/>
    <m/>
    <n v="160"/>
    <n v="11493472.499999993"/>
    <n v="0"/>
    <n v="41"/>
    <m/>
    <n v="124"/>
    <m/>
    <n v="0"/>
    <m/>
    <n v="143"/>
    <n v="12889576.499999994"/>
    <n v="0"/>
    <n v="41"/>
    <n v="79"/>
    <n v="160"/>
    <n v="143"/>
    <n v="35"/>
    <n v="2013"/>
    <n v="41"/>
    <s v="2018 (triag)"/>
    <n v="143"/>
    <n v="2021"/>
    <s v=""/>
    <n v="143"/>
    <n v="143"/>
    <s v="Increasing"/>
    <m/>
    <m/>
    <m/>
    <m/>
    <n v="3.4484194046500945E-2"/>
    <n v="3.5672421889903182E-2"/>
    <n v="0.11094235718295327"/>
    <n v="0.11094235718295327"/>
  </r>
  <r>
    <x v="1"/>
    <x v="1"/>
    <n v="9795487"/>
    <x v="27"/>
    <n v="0"/>
    <n v="10149577.500000002"/>
    <n v="0"/>
    <m/>
    <n v="0"/>
    <m/>
    <n v="0"/>
    <m/>
    <n v="0"/>
    <m/>
    <n v="0"/>
    <n v="11493472.499999993"/>
    <n v="0"/>
    <n v="119"/>
    <m/>
    <n v="0"/>
    <m/>
    <n v="0"/>
    <m/>
    <n v="0"/>
    <n v="12889576.499999994"/>
    <n v="0"/>
    <n v="119"/>
    <n v="0"/>
    <n v="0"/>
    <n v="0"/>
    <m/>
    <s v=""/>
    <n v="119"/>
    <s v="2018 (triag)"/>
    <n v="119"/>
    <s v="2018 (triag)"/>
    <s v=""/>
    <n v="119"/>
    <n v="119"/>
    <s v="No change"/>
    <m/>
    <m/>
    <m/>
    <m/>
    <n v="0"/>
    <n v="0.10353702938776778"/>
    <n v="9.2322660872527537E-2"/>
    <n v="9.2322660872527537E-2"/>
  </r>
  <r>
    <x v="1"/>
    <x v="1"/>
    <n v="9795488"/>
    <x v="28"/>
    <n v="4"/>
    <n v="10149577.500000002"/>
    <n v="0"/>
    <m/>
    <n v="0"/>
    <m/>
    <n v="0"/>
    <m/>
    <n v="0"/>
    <m/>
    <n v="0"/>
    <n v="11493472.499999993"/>
    <n v="119"/>
    <n v="119"/>
    <m/>
    <n v="0"/>
    <m/>
    <n v="0"/>
    <m/>
    <n v="99"/>
    <n v="12889576.499999994"/>
    <n v="0"/>
    <n v="119"/>
    <n v="4"/>
    <n v="119"/>
    <n v="99"/>
    <n v="4"/>
    <n v="2012"/>
    <n v="119"/>
    <n v="2018"/>
    <n v="99"/>
    <n v="2021"/>
    <s v="Adjust"/>
    <n v="123.73305776420409"/>
    <n v="123.73305776420409"/>
    <s v="Increasing"/>
    <m/>
    <m/>
    <m/>
    <m/>
    <n v="3.9410507481715366E-3"/>
    <n v="0.10353702938776778"/>
    <n v="9.5994664963743481E-2"/>
    <n v="9.5994664963743481E-2"/>
  </r>
  <r>
    <x v="1"/>
    <x v="1"/>
    <n v="9795489"/>
    <x v="29"/>
    <n v="0"/>
    <n v="10149577.500000002"/>
    <n v="0"/>
    <m/>
    <n v="0"/>
    <m/>
    <n v="0"/>
    <m/>
    <n v="0"/>
    <m/>
    <n v="0"/>
    <n v="11493472.499999993"/>
    <n v="0"/>
    <n v="0"/>
    <m/>
    <n v="0"/>
    <m/>
    <n v="0"/>
    <m/>
    <n v="6"/>
    <n v="12889576.499999994"/>
    <n v="0"/>
    <n v="0"/>
    <n v="0"/>
    <n v="0"/>
    <n v="6"/>
    <m/>
    <s v=""/>
    <m/>
    <s v=""/>
    <n v="6"/>
    <n v="2021"/>
    <s v=""/>
    <n v="6"/>
    <n v="6"/>
    <s v="Increasing"/>
    <m/>
    <m/>
    <m/>
    <m/>
    <n v="0"/>
    <n v="0"/>
    <n v="4.6549240776064304E-3"/>
    <n v="4.6549240776064304E-3"/>
  </r>
  <r>
    <x v="1"/>
    <x v="1"/>
    <n v="9795490"/>
    <x v="30"/>
    <n v="0"/>
    <n v="10149577.500000002"/>
    <n v="4"/>
    <m/>
    <n v="0"/>
    <m/>
    <n v="0"/>
    <m/>
    <n v="0"/>
    <m/>
    <n v="0"/>
    <n v="11493472.499999993"/>
    <n v="14"/>
    <n v="14"/>
    <m/>
    <n v="0"/>
    <m/>
    <n v="0"/>
    <m/>
    <n v="0"/>
    <n v="12889576.499999994"/>
    <n v="0"/>
    <n v="14"/>
    <n v="4"/>
    <n v="14"/>
    <n v="0"/>
    <n v="4"/>
    <n v="2013"/>
    <n v="14"/>
    <n v="2018"/>
    <n v="14"/>
    <n v="2018"/>
    <s v=""/>
    <n v="14"/>
    <n v="14"/>
    <s v="No change"/>
    <m/>
    <m/>
    <m/>
    <m/>
    <n v="3.9410507481715366E-3"/>
    <n v="1.2180826986796209E-2"/>
    <n v="1.0861489514415006E-2"/>
    <n v="1.0861489514415006E-2"/>
  </r>
  <r>
    <x v="1"/>
    <x v="1"/>
    <n v="9795491"/>
    <x v="31"/>
    <n v="0"/>
    <n v="10149577.500000002"/>
    <n v="0"/>
    <m/>
    <n v="0"/>
    <m/>
    <n v="0"/>
    <m/>
    <n v="0"/>
    <m/>
    <n v="0"/>
    <n v="11493472.499999993"/>
    <n v="0"/>
    <n v="0"/>
    <m/>
    <n v="0"/>
    <m/>
    <n v="0"/>
    <m/>
    <n v="0"/>
    <n v="12889576.499999994"/>
    <n v="0"/>
    <n v="0"/>
    <n v="0"/>
    <n v="0"/>
    <n v="0"/>
    <m/>
    <s v=""/>
    <m/>
    <s v=""/>
    <n v="0"/>
    <s v=""/>
    <s v=""/>
    <m/>
    <n v="0"/>
    <s v="No change"/>
    <m/>
    <m/>
    <m/>
    <m/>
    <n v="0"/>
    <n v="0"/>
    <n v="0"/>
    <n v="0"/>
  </r>
  <r>
    <x v="1"/>
    <x v="1"/>
    <n v="9795492"/>
    <x v="32"/>
    <n v="0"/>
    <n v="10149577.500000002"/>
    <n v="0"/>
    <m/>
    <n v="0"/>
    <m/>
    <n v="0"/>
    <m/>
    <n v="0"/>
    <m/>
    <n v="93"/>
    <n v="11493472.499999993"/>
    <n v="0"/>
    <n v="0"/>
    <m/>
    <n v="0"/>
    <m/>
    <n v="0"/>
    <m/>
    <n v="15"/>
    <n v="12889576.499999994"/>
    <n v="0"/>
    <n v="0"/>
    <n v="0"/>
    <n v="93"/>
    <n v="15"/>
    <m/>
    <s v=""/>
    <n v="93"/>
    <n v="2017"/>
    <n v="15"/>
    <n v="2021"/>
    <s v="Adjust"/>
    <n v="18.747432994576378"/>
    <n v="93"/>
    <s v="Decreasing"/>
    <m/>
    <m/>
    <m/>
    <m/>
    <n v="0"/>
    <n v="8.091549355514624E-2"/>
    <n v="1.4544646206627801E-2"/>
    <n v="7.2151323202899673E-2"/>
  </r>
  <r>
    <x v="2"/>
    <x v="2"/>
    <n v="10014078.499999996"/>
    <x v="19"/>
    <n v="0"/>
    <n v="10308730.499999994"/>
    <n v="0"/>
    <n v="10614844.000000013"/>
    <n v="0"/>
    <n v="10932783.499999994"/>
    <n v="0"/>
    <n v="11260084.499999996"/>
    <n v="523"/>
    <n v="11596778.499999991"/>
    <n v="0"/>
    <n v="11940683.499999996"/>
    <n v="908"/>
    <n v="908"/>
    <n v="12290444.000000004"/>
    <n v="763"/>
    <n v="12643123.000000002"/>
    <n v="0"/>
    <n v="12996895"/>
    <n v="2755"/>
    <n v="13352864"/>
    <n v="2608"/>
    <n v="710"/>
    <n v="0"/>
    <n v="908"/>
    <n v="2755"/>
    <m/>
    <s v=""/>
    <n v="908"/>
    <n v="2018"/>
    <n v="2608"/>
    <n v="2022"/>
    <s v=""/>
    <n v="2608"/>
    <n v="2608"/>
    <s v="Increasing"/>
    <m/>
    <m/>
    <m/>
    <m/>
    <n v="0"/>
    <n v="0.76042548150614686"/>
    <n v="1.953139041931379"/>
    <n v="1.953139041931379"/>
  </r>
  <r>
    <x v="2"/>
    <x v="2"/>
    <n v="10014079.5"/>
    <x v="20"/>
    <n v="0"/>
    <n v="10308730.499999994"/>
    <n v="0"/>
    <m/>
    <n v="0"/>
    <m/>
    <n v="0"/>
    <m/>
    <n v="0"/>
    <m/>
    <n v="0"/>
    <n v="11940683.499999996"/>
    <n v="346"/>
    <n v="391"/>
    <m/>
    <n v="202"/>
    <m/>
    <n v="0"/>
    <m/>
    <n v="1797"/>
    <n v="13352864"/>
    <n v="1753"/>
    <n v="391"/>
    <n v="0"/>
    <n v="346"/>
    <n v="1797"/>
    <m/>
    <s v=""/>
    <n v="391"/>
    <s v="2018 (triag)"/>
    <n v="1753"/>
    <n v="2022"/>
    <s v=""/>
    <n v="1753"/>
    <n v="1753"/>
    <s v="Increasing"/>
    <m/>
    <m/>
    <m/>
    <m/>
    <n v="0"/>
    <n v="0.32745194192610511"/>
    <n v="1.3128269710528018"/>
    <n v="1.3128269710528018"/>
  </r>
  <r>
    <x v="2"/>
    <x v="2"/>
    <n v="10014080.5"/>
    <x v="21"/>
    <n v="0"/>
    <n v="10308730.499999994"/>
    <n v="0"/>
    <m/>
    <n v="0"/>
    <m/>
    <n v="0"/>
    <m/>
    <n v="0"/>
    <m/>
    <n v="0"/>
    <n v="11940683.499999996"/>
    <n v="562"/>
    <n v="562"/>
    <m/>
    <n v="0"/>
    <m/>
    <n v="0"/>
    <m/>
    <n v="958"/>
    <n v="13352864"/>
    <n v="855"/>
    <n v="319"/>
    <n v="0"/>
    <n v="562"/>
    <n v="958"/>
    <m/>
    <s v=""/>
    <n v="562"/>
    <n v="2018"/>
    <n v="855"/>
    <n v="2022"/>
    <s v=""/>
    <n v="855"/>
    <n v="855"/>
    <s v="Increasing"/>
    <m/>
    <m/>
    <m/>
    <m/>
    <n v="0"/>
    <n v="0.47065982445644772"/>
    <n v="0.64031207087857711"/>
    <n v="0.64031207087857711"/>
  </r>
  <r>
    <x v="2"/>
    <x v="2"/>
    <n v="10014081.5"/>
    <x v="22"/>
    <n v="5138"/>
    <n v="10308730.499999994"/>
    <n v="4880"/>
    <m/>
    <n v="0"/>
    <m/>
    <n v="0"/>
    <m/>
    <n v="7224"/>
    <m/>
    <n v="0"/>
    <n v="11940683.499999996"/>
    <n v="3410"/>
    <n v="3410"/>
    <m/>
    <n v="2670"/>
    <m/>
    <n v="0"/>
    <m/>
    <n v="5484"/>
    <n v="13352864"/>
    <n v="5893"/>
    <n v="3260"/>
    <n v="5138"/>
    <n v="7224"/>
    <n v="5893"/>
    <n v="4880"/>
    <n v="2013"/>
    <n v="3410"/>
    <n v="2018"/>
    <n v="5893"/>
    <n v="2022"/>
    <s v=""/>
    <n v="5893"/>
    <n v="5893"/>
    <s v="Increasing"/>
    <m/>
    <m/>
    <m/>
    <m/>
    <n v="4.7338515639728893"/>
    <n v="2.8557829206343182"/>
    <n v="4.4132854195174911"/>
    <n v="4.4132854195174911"/>
  </r>
  <r>
    <x v="2"/>
    <x v="2"/>
    <n v="10014082.5"/>
    <x v="23"/>
    <n v="0"/>
    <n v="10308730.499999994"/>
    <n v="0"/>
    <m/>
    <n v="0"/>
    <m/>
    <n v="0"/>
    <m/>
    <n v="1577"/>
    <m/>
    <n v="0"/>
    <n v="11940683.499999996"/>
    <n v="3410"/>
    <n v="3410"/>
    <m/>
    <n v="0"/>
    <m/>
    <n v="0"/>
    <m/>
    <n v="5484"/>
    <n v="13352864"/>
    <n v="5893"/>
    <n v="1938"/>
    <n v="0"/>
    <n v="3410"/>
    <n v="5893"/>
    <m/>
    <s v=""/>
    <n v="3410"/>
    <n v="2018"/>
    <n v="5893"/>
    <n v="2022"/>
    <s v=""/>
    <n v="5893"/>
    <n v="5893"/>
    <s v="Increasing"/>
    <m/>
    <m/>
    <m/>
    <m/>
    <n v="0"/>
    <n v="2.8557829206343182"/>
    <n v="4.4132854195174911"/>
    <n v="4.4132854195174911"/>
  </r>
  <r>
    <x v="2"/>
    <x v="2"/>
    <n v="10014083.5"/>
    <x v="24"/>
    <n v="0"/>
    <n v="10308730.499999994"/>
    <n v="0"/>
    <m/>
    <n v="0"/>
    <m/>
    <n v="0"/>
    <m/>
    <n v="0"/>
    <m/>
    <n v="0"/>
    <n v="11940683.499999996"/>
    <n v="0"/>
    <n v="1322"/>
    <m/>
    <n v="0"/>
    <m/>
    <n v="0"/>
    <m/>
    <n v="0"/>
    <n v="13352864"/>
    <n v="0"/>
    <n v="1322"/>
    <n v="0"/>
    <n v="0"/>
    <n v="0"/>
    <m/>
    <s v=""/>
    <n v="1322"/>
    <s v="2018 (triag)"/>
    <n v="1322"/>
    <s v="2018 (triag)"/>
    <s v=""/>
    <n v="1322"/>
    <n v="1322"/>
    <s v="No change"/>
    <m/>
    <m/>
    <m/>
    <m/>
    <n v="0"/>
    <n v="1.1071393023690816"/>
    <n v="0.99004977508944902"/>
    <n v="0.99004977508944902"/>
  </r>
  <r>
    <x v="2"/>
    <x v="2"/>
    <n v="10014084.5"/>
    <x v="25"/>
    <n v="1480"/>
    <n v="10308730.499999994"/>
    <n v="943"/>
    <m/>
    <n v="0"/>
    <m/>
    <n v="0"/>
    <m/>
    <n v="1034"/>
    <m/>
    <n v="0"/>
    <n v="11940683.499999996"/>
    <n v="1055"/>
    <n v="1055"/>
    <m/>
    <n v="905"/>
    <m/>
    <n v="0"/>
    <m/>
    <n v="2086"/>
    <n v="13352864"/>
    <n v="2055"/>
    <n v="813"/>
    <n v="1480"/>
    <n v="1055"/>
    <n v="2086"/>
    <n v="943"/>
    <n v="2013"/>
    <n v="1055"/>
    <n v="2018"/>
    <n v="2055"/>
    <n v="2022"/>
    <s v=""/>
    <n v="2055"/>
    <n v="2055"/>
    <s v="Increasing"/>
    <m/>
    <m/>
    <m/>
    <m/>
    <n v="0.91475861164476124"/>
    <n v="0.88353401210240634"/>
    <n v="1.5389956791292114"/>
    <n v="1.5389956791292114"/>
  </r>
  <r>
    <x v="2"/>
    <x v="2"/>
    <n v="10014085.5"/>
    <x v="26"/>
    <n v="0"/>
    <n v="10308730.499999994"/>
    <n v="943"/>
    <m/>
    <n v="0"/>
    <m/>
    <n v="0"/>
    <m/>
    <n v="0"/>
    <m/>
    <n v="0"/>
    <n v="11940683.499999996"/>
    <n v="1055"/>
    <n v="1055"/>
    <m/>
    <n v="0"/>
    <m/>
    <n v="0"/>
    <m/>
    <n v="2086"/>
    <n v="13352864"/>
    <n v="2055"/>
    <n v="807"/>
    <n v="943"/>
    <n v="1055"/>
    <n v="2086"/>
    <n v="943"/>
    <n v="2013"/>
    <n v="1055"/>
    <n v="2018"/>
    <n v="2055"/>
    <n v="2022"/>
    <s v=""/>
    <n v="2055"/>
    <n v="2055"/>
    <s v="Increasing"/>
    <m/>
    <m/>
    <m/>
    <m/>
    <n v="0.91475861164476124"/>
    <n v="0.88353401210240634"/>
    <n v="1.5389956791292114"/>
    <n v="1.5389956791292114"/>
  </r>
  <r>
    <x v="2"/>
    <x v="2"/>
    <n v="10014086.5"/>
    <x v="27"/>
    <n v="0"/>
    <n v="10308730.499999994"/>
    <n v="0"/>
    <m/>
    <n v="0"/>
    <m/>
    <n v="0"/>
    <m/>
    <n v="0"/>
    <m/>
    <n v="0"/>
    <n v="11940683.499999996"/>
    <n v="0"/>
    <n v="6"/>
    <m/>
    <n v="0"/>
    <m/>
    <n v="0"/>
    <m/>
    <n v="0"/>
    <n v="13352864"/>
    <n v="0"/>
    <n v="6"/>
    <n v="0"/>
    <n v="0"/>
    <n v="0"/>
    <m/>
    <s v=""/>
    <n v="6"/>
    <s v="2018 (triag)"/>
    <n v="6"/>
    <s v="2018 (triag)"/>
    <s v=""/>
    <n v="6"/>
    <n v="6"/>
    <s v="No change"/>
    <m/>
    <m/>
    <m/>
    <m/>
    <n v="0"/>
    <n v="5.0248379835207942E-3"/>
    <n v="4.4934180412531726E-3"/>
    <n v="4.4934180412531726E-3"/>
  </r>
  <r>
    <x v="2"/>
    <x v="2"/>
    <n v="10014087.5"/>
    <x v="28"/>
    <n v="0"/>
    <n v="10308730.499999994"/>
    <n v="1330"/>
    <m/>
    <n v="0"/>
    <m/>
    <n v="0"/>
    <m/>
    <n v="13"/>
    <m/>
    <n v="0"/>
    <n v="11940683.499999996"/>
    <n v="306"/>
    <n v="306"/>
    <m/>
    <n v="0"/>
    <m/>
    <n v="0"/>
    <m/>
    <n v="403"/>
    <n v="13352864"/>
    <n v="382"/>
    <n v="14"/>
    <n v="1330"/>
    <n v="306"/>
    <n v="403"/>
    <n v="1330"/>
    <n v="2013"/>
    <n v="306"/>
    <n v="2018"/>
    <n v="382"/>
    <n v="2022"/>
    <s v=""/>
    <n v="382"/>
    <n v="382"/>
    <s v="Increasing"/>
    <m/>
    <m/>
    <m/>
    <m/>
    <n v="1.2901685614926113"/>
    <n v="0.2562667371595605"/>
    <n v="0.28608094862645195"/>
    <n v="0.28608094862645195"/>
  </r>
  <r>
    <x v="2"/>
    <x v="2"/>
    <n v="10014088.5"/>
    <x v="29"/>
    <n v="0"/>
    <n v="10308730.499999994"/>
    <n v="770"/>
    <m/>
    <n v="0"/>
    <m/>
    <n v="0"/>
    <m/>
    <n v="0"/>
    <m/>
    <n v="0"/>
    <n v="11940683.499999996"/>
    <n v="45"/>
    <n v="45"/>
    <m/>
    <n v="0"/>
    <m/>
    <n v="0"/>
    <m/>
    <n v="56"/>
    <n v="13352864"/>
    <n v="0"/>
    <n v="0"/>
    <n v="770"/>
    <n v="45"/>
    <n v="56"/>
    <n v="770"/>
    <n v="2013"/>
    <n v="45"/>
    <n v="2018"/>
    <n v="56"/>
    <n v="2021"/>
    <s v=""/>
    <n v="56"/>
    <n v="56"/>
    <s v="Increasing"/>
    <m/>
    <m/>
    <m/>
    <m/>
    <n v="0.74693969349572231"/>
    <n v="3.7686284876405955E-2"/>
    <n v="4.1938568385029608E-2"/>
    <n v="4.1938568385029608E-2"/>
  </r>
  <r>
    <x v="2"/>
    <x v="2"/>
    <n v="10014089.5"/>
    <x v="30"/>
    <n v="0"/>
    <n v="10308730.499999994"/>
    <n v="0"/>
    <m/>
    <n v="0"/>
    <m/>
    <n v="0"/>
    <m/>
    <n v="9"/>
    <m/>
    <n v="73"/>
    <n v="11940683.499999996"/>
    <n v="12"/>
    <n v="12"/>
    <m/>
    <n v="0"/>
    <m/>
    <n v="0"/>
    <m/>
    <n v="50"/>
    <n v="13352864"/>
    <n v="50"/>
    <n v="0"/>
    <n v="0"/>
    <n v="73"/>
    <n v="50"/>
    <m/>
    <s v=""/>
    <n v="12"/>
    <n v="2018"/>
    <n v="50"/>
    <n v="2021"/>
    <s v=""/>
    <n v="50"/>
    <n v="50"/>
    <s v="Increasing"/>
    <m/>
    <m/>
    <m/>
    <m/>
    <n v="0"/>
    <n v="1.0049675967041588E-2"/>
    <n v="3.7445150343776434E-2"/>
    <n v="3.7445150343776434E-2"/>
  </r>
  <r>
    <x v="2"/>
    <x v="2"/>
    <n v="10014090.5"/>
    <x v="31"/>
    <n v="0"/>
    <n v="10308730.499999994"/>
    <n v="0"/>
    <m/>
    <n v="0"/>
    <m/>
    <n v="0"/>
    <m/>
    <n v="0"/>
    <m/>
    <n v="33"/>
    <n v="11940683.499999996"/>
    <n v="0"/>
    <n v="0"/>
    <m/>
    <n v="0"/>
    <m/>
    <n v="0"/>
    <m/>
    <n v="6"/>
    <n v="13352864"/>
    <n v="0"/>
    <n v="0"/>
    <n v="0"/>
    <n v="33"/>
    <n v="6"/>
    <m/>
    <s v=""/>
    <n v="33"/>
    <n v="2017"/>
    <n v="6"/>
    <n v="2021"/>
    <s v="Adjust"/>
    <n v="7.4754468485418633"/>
    <n v="33"/>
    <s v="Decreasing"/>
    <m/>
    <m/>
    <m/>
    <m/>
    <n v="0"/>
    <n v="2.7636608909364369E-2"/>
    <n v="5.5983846226111966E-3"/>
    <n v="2.4713799226892447E-2"/>
  </r>
  <r>
    <x v="2"/>
    <x v="2"/>
    <n v="10014091.5"/>
    <x v="32"/>
    <n v="0"/>
    <n v="10308730.499999994"/>
    <n v="0"/>
    <m/>
    <n v="0"/>
    <m/>
    <n v="0"/>
    <m/>
    <n v="0"/>
    <m/>
    <n v="0"/>
    <n v="11940683.499999996"/>
    <n v="0"/>
    <n v="0"/>
    <m/>
    <n v="0"/>
    <m/>
    <n v="0"/>
    <m/>
    <n v="0"/>
    <n v="13352864"/>
    <n v="0"/>
    <n v="0"/>
    <n v="0"/>
    <n v="0"/>
    <n v="0"/>
    <m/>
    <s v=""/>
    <m/>
    <s v=""/>
    <n v="0"/>
    <s v=""/>
    <s v=""/>
    <m/>
    <n v="0"/>
    <s v="No change"/>
    <m/>
    <m/>
    <m/>
    <m/>
    <n v="0"/>
    <n v="0"/>
    <n v="0"/>
    <n v="0"/>
  </r>
  <r>
    <x v="3"/>
    <x v="3"/>
    <n v="17113732.499999996"/>
    <x v="19"/>
    <n v="787"/>
    <n v="17636407.5"/>
    <n v="803"/>
    <n v="18169842.499999996"/>
    <n v="857"/>
    <n v="18718019.499999996"/>
    <n v="1189"/>
    <n v="19275497.999999981"/>
    <n v="1202"/>
    <n v="19835858.500000007"/>
    <n v="1626"/>
    <n v="20392723"/>
    <n v="1684"/>
    <n v="1684"/>
    <n v="20951638.999999996"/>
    <n v="1910"/>
    <n v="21522625.999999993"/>
    <n v="2061"/>
    <n v="22100683.499999989"/>
    <n v="2221"/>
    <n v="22673762.000000007"/>
    <n v="3323"/>
    <n v="1626"/>
    <n v="1189"/>
    <n v="1910"/>
    <n v="3323"/>
    <n v="803"/>
    <n v="2013"/>
    <n v="1684"/>
    <n v="2018"/>
    <n v="3323"/>
    <n v="2022"/>
    <s v=""/>
    <n v="3323"/>
    <n v="3323"/>
    <s v="Increasing"/>
    <m/>
    <m/>
    <m/>
    <m/>
    <n v="0.45530814594752361"/>
    <n v="0.82578476645811349"/>
    <n v="1.4655706450477866"/>
    <n v="1.4655706450477866"/>
  </r>
  <r>
    <x v="3"/>
    <x v="3"/>
    <n v="17113733.5"/>
    <x v="20"/>
    <n v="0"/>
    <n v="17636407.5"/>
    <n v="0"/>
    <m/>
    <n v="0"/>
    <m/>
    <n v="0"/>
    <m/>
    <n v="0"/>
    <m/>
    <n v="888"/>
    <n v="20392723"/>
    <n v="732"/>
    <n v="888"/>
    <m/>
    <n v="1026"/>
    <m/>
    <n v="1088"/>
    <m/>
    <n v="1220"/>
    <n v="22673762.000000007"/>
    <n v="2372"/>
    <n v="888"/>
    <n v="0"/>
    <n v="1026"/>
    <n v="2372"/>
    <m/>
    <s v=""/>
    <n v="888"/>
    <n v="2017"/>
    <n v="2372"/>
    <n v="2022"/>
    <s v=""/>
    <n v="2372"/>
    <n v="2372"/>
    <s v="Increasing"/>
    <m/>
    <m/>
    <m/>
    <m/>
    <n v="0"/>
    <n v="0.43544944929620238"/>
    <n v="1.0461431146714864"/>
    <n v="1.0461431146714864"/>
  </r>
  <r>
    <x v="3"/>
    <x v="3"/>
    <n v="17113734.5"/>
    <x v="21"/>
    <n v="0"/>
    <n v="17636407.5"/>
    <n v="0"/>
    <m/>
    <n v="0"/>
    <m/>
    <n v="0"/>
    <m/>
    <n v="0"/>
    <m/>
    <n v="738"/>
    <n v="20392723"/>
    <n v="952"/>
    <n v="952"/>
    <m/>
    <n v="884"/>
    <m/>
    <n v="973"/>
    <m/>
    <n v="1001"/>
    <n v="22673762.000000007"/>
    <n v="951"/>
    <n v="738"/>
    <n v="0"/>
    <n v="952"/>
    <n v="1001"/>
    <m/>
    <s v=""/>
    <n v="952"/>
    <n v="2018"/>
    <n v="951"/>
    <n v="2022"/>
    <s v="Adjust"/>
    <n v="976.99387949059121"/>
    <n v="976.99387949059121"/>
    <s v="Increasing"/>
    <m/>
    <m/>
    <m/>
    <m/>
    <n v="0"/>
    <n v="0.46683319338962237"/>
    <n v="0.43089182972397383"/>
    <n v="0.43089182972397383"/>
  </r>
  <r>
    <x v="3"/>
    <x v="3"/>
    <n v="17113735.5"/>
    <x v="22"/>
    <n v="6008"/>
    <n v="17636407.5"/>
    <n v="6196"/>
    <m/>
    <n v="6358"/>
    <m/>
    <n v="9748"/>
    <m/>
    <n v="9701"/>
    <m/>
    <n v="10376"/>
    <n v="20392723"/>
    <n v="0"/>
    <n v="10325"/>
    <m/>
    <n v="11364"/>
    <m/>
    <n v="11874"/>
    <m/>
    <n v="12189"/>
    <n v="22673762.000000007"/>
    <n v="13961"/>
    <n v="10325"/>
    <n v="9748"/>
    <n v="11364"/>
    <n v="13961"/>
    <n v="6196"/>
    <n v="2013"/>
    <n v="10325"/>
    <s v="2018 (triag)"/>
    <n v="13961"/>
    <n v="2022"/>
    <s v=""/>
    <n v="13961"/>
    <n v="13961"/>
    <s v="Increasing"/>
    <m/>
    <m/>
    <m/>
    <m/>
    <n v="3.5131871385938434"/>
    <n v="5.0630805900712721"/>
    <n v="6.1573372782161142"/>
    <n v="6.1573372782161142"/>
  </r>
  <r>
    <x v="3"/>
    <x v="3"/>
    <n v="17113736.5"/>
    <x v="23"/>
    <n v="0"/>
    <n v="17636407.5"/>
    <n v="3489"/>
    <m/>
    <n v="3718"/>
    <m/>
    <n v="7096"/>
    <m/>
    <n v="7364"/>
    <m/>
    <n v="8259"/>
    <n v="20392723"/>
    <n v="0"/>
    <n v="8208"/>
    <m/>
    <n v="9471"/>
    <m/>
    <n v="10228"/>
    <m/>
    <n v="10703"/>
    <n v="22673762.000000007"/>
    <n v="13894"/>
    <n v="8208"/>
    <n v="7096"/>
    <n v="9471"/>
    <n v="13894"/>
    <n v="3489"/>
    <n v="2013"/>
    <n v="8208"/>
    <s v="2018 (triag)"/>
    <n v="13894"/>
    <n v="2022"/>
    <s v=""/>
    <n v="13894"/>
    <n v="13894"/>
    <s v="Increasing"/>
    <m/>
    <m/>
    <m/>
    <m/>
    <n v="1.978294048830523"/>
    <n v="4.0249651799811135"/>
    <n v="6.1277877045723574"/>
    <n v="6.1277877045723574"/>
  </r>
  <r>
    <x v="3"/>
    <x v="3"/>
    <n v="17113737.5"/>
    <x v="24"/>
    <n v="0"/>
    <n v="17636407.5"/>
    <n v="2707"/>
    <m/>
    <n v="2640"/>
    <m/>
    <n v="2652"/>
    <m/>
    <n v="2337"/>
    <m/>
    <n v="2117"/>
    <n v="20392723"/>
    <n v="0"/>
    <n v="2117"/>
    <m/>
    <n v="1893"/>
    <m/>
    <n v="1646"/>
    <m/>
    <n v="1486"/>
    <n v="22673762.000000007"/>
    <n v="67"/>
    <n v="2117"/>
    <n v="2707"/>
    <n v="2337"/>
    <n v="1646"/>
    <n v="2707"/>
    <n v="2013"/>
    <n v="2117"/>
    <n v="2017"/>
    <n v="67"/>
    <n v="2022"/>
    <s v="Adjust"/>
    <n v="68.831324843185712"/>
    <n v="2117"/>
    <s v="Decreasing"/>
    <m/>
    <m/>
    <m/>
    <m/>
    <n v="1.5348930897633206"/>
    <n v="1.0381154100901582"/>
    <n v="3.0357258245537588E-2"/>
    <n v="0.93367831946017577"/>
  </r>
  <r>
    <x v="3"/>
    <x v="3"/>
    <n v="17113738.5"/>
    <x v="25"/>
    <n v="4451"/>
    <n v="17636407.5"/>
    <n v="1591"/>
    <m/>
    <n v="1744"/>
    <m/>
    <n v="2383"/>
    <m/>
    <n v="2580"/>
    <m/>
    <n v="6569"/>
    <n v="20392723"/>
    <n v="0"/>
    <n v="6569"/>
    <m/>
    <n v="7477"/>
    <m/>
    <n v="7804"/>
    <m/>
    <n v="8052"/>
    <n v="22673762.000000007"/>
    <n v="9294"/>
    <n v="6569"/>
    <n v="4451"/>
    <n v="7477"/>
    <n v="9294"/>
    <n v="1591"/>
    <n v="2013"/>
    <n v="6569"/>
    <n v="2017"/>
    <n v="9294"/>
    <n v="2022"/>
    <s v=""/>
    <n v="9294"/>
    <n v="9294"/>
    <s v="Increasing"/>
    <m/>
    <m/>
    <m/>
    <m/>
    <n v="0.90211115840910339"/>
    <n v="3.2212471085886865"/>
    <n v="4.0990110066428311"/>
    <n v="4.0990110066428311"/>
  </r>
  <r>
    <x v="3"/>
    <x v="3"/>
    <n v="17113739.5"/>
    <x v="26"/>
    <n v="0"/>
    <n v="17636407.5"/>
    <n v="0"/>
    <m/>
    <n v="0"/>
    <m/>
    <n v="0"/>
    <m/>
    <n v="0"/>
    <m/>
    <n v="3583"/>
    <n v="20392723"/>
    <n v="0"/>
    <n v="3583"/>
    <m/>
    <n v="4420"/>
    <m/>
    <n v="4827"/>
    <m/>
    <n v="4986"/>
    <n v="22673762.000000007"/>
    <n v="5686"/>
    <n v="3583"/>
    <n v="0"/>
    <n v="4420"/>
    <n v="5686"/>
    <m/>
    <s v=""/>
    <n v="3583"/>
    <n v="2017"/>
    <n v="5686"/>
    <n v="2022"/>
    <s v=""/>
    <n v="5686"/>
    <n v="5686"/>
    <s v="Increasing"/>
    <m/>
    <m/>
    <m/>
    <m/>
    <n v="0"/>
    <n v="1.7569992982300597"/>
    <n v="2.5077444140059324"/>
    <n v="2.5077444140059324"/>
  </r>
  <r>
    <x v="3"/>
    <x v="3"/>
    <n v="17113740.5"/>
    <x v="27"/>
    <n v="0"/>
    <n v="17636407.5"/>
    <n v="0"/>
    <m/>
    <n v="0"/>
    <m/>
    <n v="0"/>
    <m/>
    <n v="0"/>
    <m/>
    <n v="2986"/>
    <n v="20392723"/>
    <n v="0"/>
    <n v="2986"/>
    <m/>
    <n v="3057"/>
    <m/>
    <n v="2977"/>
    <m/>
    <n v="3066"/>
    <n v="22673762.000000007"/>
    <n v="3608"/>
    <n v="2986"/>
    <n v="0"/>
    <n v="3057"/>
    <n v="3608"/>
    <m/>
    <s v=""/>
    <n v="2986"/>
    <n v="2017"/>
    <n v="3608"/>
    <n v="2022"/>
    <s v=""/>
    <n v="3608"/>
    <n v="3608"/>
    <s v="Increasing"/>
    <m/>
    <m/>
    <m/>
    <m/>
    <n v="0"/>
    <n v="1.4642478103586265"/>
    <n v="1.5912665926368985"/>
    <n v="1.5912665926368985"/>
  </r>
  <r>
    <x v="3"/>
    <x v="3"/>
    <n v="17113741.5"/>
    <x v="28"/>
    <n v="203"/>
    <n v="17636407.5"/>
    <n v="207"/>
    <m/>
    <n v="217"/>
    <m/>
    <n v="258"/>
    <m/>
    <n v="235"/>
    <m/>
    <n v="284"/>
    <n v="20392723"/>
    <n v="239"/>
    <n v="636"/>
    <m/>
    <n v="313"/>
    <m/>
    <n v="718"/>
    <m/>
    <n v="691"/>
    <n v="22673762.000000007"/>
    <n v="575"/>
    <n v="636"/>
    <n v="258"/>
    <n v="313"/>
    <n v="718"/>
    <n v="207"/>
    <n v="2013"/>
    <n v="636"/>
    <s v="2018 (triag)"/>
    <n v="575"/>
    <n v="2022"/>
    <s v="Adjust"/>
    <n v="590.71659380345943"/>
    <n v="636"/>
    <s v="Decreasing"/>
    <m/>
    <m/>
    <m/>
    <m/>
    <n v="0.11737084210602414"/>
    <n v="0.31187595692836118"/>
    <n v="0.26052870882364348"/>
    <n v="0.28050043040938677"/>
  </r>
  <r>
    <x v="3"/>
    <x v="3"/>
    <n v="17113742.5"/>
    <x v="29"/>
    <n v="148"/>
    <n v="17636407.5"/>
    <n v="0"/>
    <m/>
    <n v="0"/>
    <m/>
    <n v="0"/>
    <m/>
    <n v="0"/>
    <m/>
    <n v="156"/>
    <n v="20392723"/>
    <n v="0"/>
    <n v="156"/>
    <m/>
    <n v="192"/>
    <m/>
    <n v="203"/>
    <m/>
    <n v="203"/>
    <n v="22673762.000000007"/>
    <n v="210"/>
    <n v="156"/>
    <n v="148"/>
    <n v="192"/>
    <n v="210"/>
    <n v="148"/>
    <n v="2012"/>
    <n v="156"/>
    <n v="2017"/>
    <n v="210"/>
    <n v="2022"/>
    <s v=""/>
    <n v="210"/>
    <n v="210"/>
    <s v="Increasing"/>
    <m/>
    <m/>
    <m/>
    <m/>
    <n v="8.3917317061311947E-2"/>
    <n v="7.6497876227711231E-2"/>
    <n v="9.2618066644608837E-2"/>
    <n v="9.2618066644608837E-2"/>
  </r>
  <r>
    <x v="3"/>
    <x v="3"/>
    <n v="17113743.5"/>
    <x v="30"/>
    <n v="38"/>
    <n v="17636407.5"/>
    <n v="0"/>
    <m/>
    <n v="0"/>
    <m/>
    <n v="0"/>
    <m/>
    <n v="0"/>
    <m/>
    <n v="80"/>
    <n v="20392723"/>
    <n v="91"/>
    <n v="91"/>
    <m/>
    <n v="52"/>
    <m/>
    <n v="103"/>
    <m/>
    <n v="107"/>
    <n v="22673762.000000007"/>
    <n v="39"/>
    <n v="80"/>
    <n v="38"/>
    <n v="91"/>
    <n v="107"/>
    <n v="38"/>
    <n v="2012"/>
    <n v="91"/>
    <n v="2018"/>
    <n v="39"/>
    <n v="2022"/>
    <s v="Adjust"/>
    <n v="40.065995057973772"/>
    <n v="91"/>
    <s v="Decreasing"/>
    <m/>
    <m/>
    <m/>
    <m/>
    <n v="2.1546338164390905E-2"/>
    <n v="4.4623761132831549E-2"/>
    <n v="1.7670642859342778E-2"/>
    <n v="4.0134495545997163E-2"/>
  </r>
  <r>
    <x v="3"/>
    <x v="3"/>
    <n v="17113744.5"/>
    <x v="31"/>
    <n v="0"/>
    <n v="17636407.5"/>
    <n v="0"/>
    <m/>
    <n v="0"/>
    <m/>
    <n v="0"/>
    <m/>
    <n v="0"/>
    <m/>
    <n v="0"/>
    <n v="20392723"/>
    <n v="185"/>
    <n v="185"/>
    <m/>
    <n v="143"/>
    <m/>
    <n v="172"/>
    <m/>
    <n v="168"/>
    <n v="22673762.000000007"/>
    <n v="0"/>
    <n v="0"/>
    <n v="0"/>
    <n v="185"/>
    <n v="172"/>
    <m/>
    <s v=""/>
    <n v="185"/>
    <n v="2018"/>
    <n v="168"/>
    <n v="2021"/>
    <s v="Adjust"/>
    <n v="172.59197871127162"/>
    <n v="185"/>
    <s v="Decreasing"/>
    <m/>
    <m/>
    <m/>
    <m/>
    <n v="0"/>
    <n v="9.0718635270042161E-2"/>
    <n v="7.6119692317168877E-2"/>
    <n v="8.1592106329774455E-2"/>
  </r>
  <r>
    <x v="3"/>
    <x v="3"/>
    <n v="17113745.5"/>
    <x v="32"/>
    <n v="0"/>
    <n v="17636407.5"/>
    <n v="0"/>
    <m/>
    <n v="0"/>
    <m/>
    <n v="0"/>
    <m/>
    <n v="0"/>
    <m/>
    <n v="0"/>
    <n v="20392723"/>
    <n v="0"/>
    <n v="0"/>
    <m/>
    <n v="8"/>
    <m/>
    <n v="8"/>
    <m/>
    <n v="8"/>
    <n v="22673762.000000007"/>
    <n v="9"/>
    <n v="0"/>
    <n v="0"/>
    <n v="8"/>
    <n v="9"/>
    <m/>
    <s v=""/>
    <n v="8"/>
    <n v="2019"/>
    <n v="9"/>
    <n v="2022"/>
    <s v=""/>
    <n v="9"/>
    <n v="9"/>
    <s v="Increasing"/>
    <m/>
    <m/>
    <m/>
    <m/>
    <n v="0"/>
    <n v="3.922968011677499E-3"/>
    <n v="3.9693457133403789E-3"/>
    <n v="3.9693457133403789E-3"/>
  </r>
  <r>
    <x v="4"/>
    <x v="4"/>
    <n v="2175425.5000000005"/>
    <x v="19"/>
    <n v="819"/>
    <n v="2217278.0000000009"/>
    <n v="0"/>
    <n v="2260375.5000000019"/>
    <n v="0"/>
    <n v="2305171.5000000005"/>
    <n v="0"/>
    <n v="2352415.5000000005"/>
    <n v="830"/>
    <n v="2401839.9999999986"/>
    <n v="0"/>
    <n v="2451408.4999999995"/>
    <n v="925"/>
    <n v="925"/>
    <n v="2499701.5"/>
    <n v="920"/>
    <n v="2546401.9999999986"/>
    <n v="1024"/>
    <n v="2588422.9999999981"/>
    <n v="1014"/>
    <n v="2630296.0000000019"/>
    <n v="992"/>
    <n v="853"/>
    <n v="819"/>
    <n v="925"/>
    <n v="1024"/>
    <n v="819"/>
    <n v="2012"/>
    <n v="925"/>
    <n v="2018"/>
    <n v="992"/>
    <n v="2022"/>
    <s v=""/>
    <n v="992"/>
    <n v="992"/>
    <s v="Increasing"/>
    <m/>
    <m/>
    <m/>
    <m/>
    <n v="3.6937181535197645"/>
    <n v="3.77334091808852"/>
    <n v="3.7714386517715091"/>
    <n v="3.7714386517715091"/>
  </r>
  <r>
    <x v="4"/>
    <x v="4"/>
    <n v="2175426.5"/>
    <x v="20"/>
    <n v="0"/>
    <n v="2217278.0000000009"/>
    <n v="0"/>
    <m/>
    <n v="0"/>
    <m/>
    <n v="0"/>
    <m/>
    <n v="0"/>
    <m/>
    <n v="0"/>
    <n v="2451408.4999999995"/>
    <n v="807"/>
    <n v="815"/>
    <m/>
    <n v="813"/>
    <m/>
    <n v="902"/>
    <m/>
    <n v="900"/>
    <n v="2630296.0000000019"/>
    <n v="898"/>
    <n v="815"/>
    <n v="0"/>
    <n v="813"/>
    <n v="902"/>
    <m/>
    <s v=""/>
    <n v="815"/>
    <s v="2018 (triag)"/>
    <n v="898"/>
    <n v="2022"/>
    <s v=""/>
    <n v="898"/>
    <n v="898"/>
    <s v="Increasing"/>
    <m/>
    <m/>
    <m/>
    <m/>
    <n v="0"/>
    <n v="3.324619295396912"/>
    <n v="3.4140644246883216"/>
    <n v="3.4140644246883216"/>
  </r>
  <r>
    <x v="4"/>
    <x v="4"/>
    <n v="2175427.5"/>
    <x v="21"/>
    <n v="0"/>
    <n v="2217278.0000000009"/>
    <n v="0"/>
    <m/>
    <n v="0"/>
    <m/>
    <n v="0"/>
    <m/>
    <n v="0"/>
    <m/>
    <n v="0"/>
    <n v="2451408.4999999995"/>
    <n v="118"/>
    <n v="118"/>
    <m/>
    <n v="107"/>
    <m/>
    <n v="122"/>
    <m/>
    <n v="114"/>
    <n v="2630296.0000000019"/>
    <n v="94"/>
    <n v="38"/>
    <n v="0"/>
    <n v="118"/>
    <n v="122"/>
    <m/>
    <s v=""/>
    <n v="118"/>
    <n v="2018"/>
    <n v="94"/>
    <n v="2022"/>
    <s v="Adjust"/>
    <n v="108.03407256611902"/>
    <n v="118"/>
    <s v="Decreasing"/>
    <m/>
    <m/>
    <m/>
    <m/>
    <n v="0"/>
    <n v="0.48135592252372472"/>
    <n v="0.41072971470176339"/>
    <n v="0.44861871059378838"/>
  </r>
  <r>
    <x v="4"/>
    <x v="4"/>
    <n v="2175428.5"/>
    <x v="22"/>
    <n v="5816"/>
    <n v="2217278.0000000009"/>
    <n v="0"/>
    <m/>
    <n v="0"/>
    <m/>
    <n v="0"/>
    <m/>
    <n v="7427"/>
    <m/>
    <n v="0"/>
    <n v="2451408.4999999995"/>
    <n v="7645"/>
    <n v="7645"/>
    <m/>
    <n v="7763"/>
    <m/>
    <n v="7771"/>
    <m/>
    <n v="7886"/>
    <n v="2630296.0000000019"/>
    <n v="8028"/>
    <n v="6935"/>
    <n v="5816"/>
    <n v="7763"/>
    <n v="8028"/>
    <n v="5816"/>
    <n v="2012"/>
    <n v="7645"/>
    <n v="2018"/>
    <n v="8028"/>
    <n v="2022"/>
    <s v=""/>
    <n v="8028"/>
    <n v="8028"/>
    <s v="Increasing"/>
    <m/>
    <m/>
    <m/>
    <m/>
    <n v="26.230359927803359"/>
    <n v="31.186152777066741"/>
    <n v="30.521279734296041"/>
    <n v="30.521279734296041"/>
  </r>
  <r>
    <x v="4"/>
    <x v="4"/>
    <n v="2175429.5"/>
    <x v="23"/>
    <n v="0"/>
    <n v="2217278.0000000009"/>
    <n v="0"/>
    <m/>
    <n v="0"/>
    <m/>
    <n v="0"/>
    <m/>
    <n v="0"/>
    <m/>
    <n v="0"/>
    <n v="2451408.4999999995"/>
    <n v="7645"/>
    <n v="7645"/>
    <m/>
    <n v="7763"/>
    <m/>
    <n v="7771"/>
    <m/>
    <n v="7886"/>
    <n v="2630296.0000000019"/>
    <n v="8028"/>
    <n v="6935"/>
    <n v="0"/>
    <n v="7763"/>
    <n v="8028"/>
    <m/>
    <s v=""/>
    <n v="7645"/>
    <n v="2018"/>
    <n v="8028"/>
    <n v="2022"/>
    <s v=""/>
    <n v="8028"/>
    <n v="8028"/>
    <s v="Increasing"/>
    <m/>
    <m/>
    <m/>
    <m/>
    <n v="0"/>
    <n v="31.186152777066741"/>
    <n v="30.521279734296041"/>
    <n v="30.521279734296041"/>
  </r>
  <r>
    <x v="4"/>
    <x v="4"/>
    <n v="2175430.5"/>
    <x v="24"/>
    <n v="0"/>
    <n v="2217278.0000000009"/>
    <n v="0"/>
    <m/>
    <n v="0"/>
    <m/>
    <n v="0"/>
    <m/>
    <n v="0"/>
    <m/>
    <n v="0"/>
    <n v="2451408.4999999995"/>
    <n v="0"/>
    <n v="0"/>
    <m/>
    <n v="0"/>
    <m/>
    <n v="0"/>
    <m/>
    <n v="0"/>
    <n v="2630296.0000000019"/>
    <n v="0"/>
    <n v="0"/>
    <n v="0"/>
    <n v="0"/>
    <n v="0"/>
    <m/>
    <s v=""/>
    <m/>
    <s v=""/>
    <n v="0"/>
    <s v=""/>
    <s v=""/>
    <m/>
    <n v="0"/>
    <s v="No change"/>
    <m/>
    <m/>
    <m/>
    <m/>
    <n v="0"/>
    <n v="0"/>
    <n v="0"/>
    <n v="0"/>
  </r>
  <r>
    <x v="4"/>
    <x v="4"/>
    <n v="2175431.5"/>
    <x v="25"/>
    <n v="0"/>
    <n v="2217278.0000000009"/>
    <n v="1501"/>
    <m/>
    <n v="0"/>
    <m/>
    <n v="0"/>
    <m/>
    <n v="1461"/>
    <m/>
    <n v="0"/>
    <n v="2451408.4999999995"/>
    <n v="0"/>
    <n v="0"/>
    <m/>
    <n v="0"/>
    <m/>
    <n v="0"/>
    <m/>
    <n v="0"/>
    <n v="2630296.0000000019"/>
    <n v="0"/>
    <n v="0"/>
    <n v="1501"/>
    <n v="1461"/>
    <n v="0"/>
    <n v="1501"/>
    <n v="2013"/>
    <m/>
    <s v=""/>
    <n v="0"/>
    <s v=""/>
    <s v=""/>
    <m/>
    <n v="0"/>
    <s v="No change"/>
    <m/>
    <m/>
    <m/>
    <m/>
    <n v="6.7695615975984937"/>
    <n v="0"/>
    <n v="0"/>
    <n v="0"/>
  </r>
  <r>
    <x v="4"/>
    <x v="4"/>
    <n v="2175432.5"/>
    <x v="26"/>
    <n v="0"/>
    <n v="2217278.0000000009"/>
    <n v="1501"/>
    <m/>
    <n v="0"/>
    <m/>
    <n v="0"/>
    <m/>
    <n v="1461"/>
    <m/>
    <n v="0"/>
    <n v="2451408.4999999995"/>
    <n v="0"/>
    <n v="0"/>
    <m/>
    <n v="0"/>
    <m/>
    <n v="0"/>
    <m/>
    <n v="0"/>
    <n v="2630296.0000000019"/>
    <n v="0"/>
    <n v="0"/>
    <n v="1501"/>
    <n v="1461"/>
    <n v="0"/>
    <n v="1501"/>
    <n v="2013"/>
    <m/>
    <s v=""/>
    <n v="0"/>
    <s v=""/>
    <s v=""/>
    <m/>
    <n v="0"/>
    <s v="No change"/>
    <m/>
    <m/>
    <m/>
    <m/>
    <n v="6.7695615975984937"/>
    <n v="0"/>
    <n v="0"/>
    <n v="0"/>
  </r>
  <r>
    <x v="4"/>
    <x v="4"/>
    <n v="2175433.5"/>
    <x v="27"/>
    <n v="0"/>
    <n v="2217278.0000000009"/>
    <n v="0"/>
    <m/>
    <n v="0"/>
    <m/>
    <n v="0"/>
    <m/>
    <n v="0"/>
    <m/>
    <n v="0"/>
    <n v="2451408.4999999995"/>
    <n v="0"/>
    <n v="0"/>
    <m/>
    <n v="0"/>
    <m/>
    <n v="0"/>
    <m/>
    <n v="0"/>
    <n v="2630296.0000000019"/>
    <n v="0"/>
    <n v="0"/>
    <n v="0"/>
    <n v="0"/>
    <n v="0"/>
    <m/>
    <s v=""/>
    <m/>
    <s v=""/>
    <n v="0"/>
    <s v=""/>
    <s v=""/>
    <m/>
    <n v="0"/>
    <s v="No change"/>
    <m/>
    <m/>
    <m/>
    <m/>
    <n v="0"/>
    <n v="0"/>
    <n v="0"/>
    <n v="0"/>
  </r>
  <r>
    <x v="4"/>
    <x v="4"/>
    <n v="2175434.5"/>
    <x v="28"/>
    <n v="0"/>
    <n v="2217278.0000000009"/>
    <n v="0"/>
    <m/>
    <n v="0"/>
    <m/>
    <n v="0"/>
    <m/>
    <n v="0"/>
    <m/>
    <n v="0"/>
    <n v="2451408.4999999995"/>
    <n v="156"/>
    <n v="156"/>
    <m/>
    <n v="138"/>
    <m/>
    <n v="145"/>
    <m/>
    <n v="158"/>
    <n v="2630296.0000000019"/>
    <n v="125"/>
    <n v="149"/>
    <n v="0"/>
    <n v="156"/>
    <n v="158"/>
    <m/>
    <s v=""/>
    <n v="156"/>
    <n v="2018"/>
    <n v="125"/>
    <n v="2022"/>
    <s v="Adjust"/>
    <n v="143.6623305400519"/>
    <n v="156"/>
    <s v="Decreasing"/>
    <m/>
    <m/>
    <m/>
    <m/>
    <n v="0"/>
    <n v="0.63636884672628014"/>
    <n v="0.54618313125234497"/>
    <n v="0.59308914281890668"/>
  </r>
  <r>
    <x v="4"/>
    <x v="4"/>
    <n v="2175435.5"/>
    <x v="29"/>
    <n v="0"/>
    <n v="2217278.0000000009"/>
    <n v="0"/>
    <m/>
    <n v="0"/>
    <m/>
    <n v="0"/>
    <m/>
    <n v="0"/>
    <m/>
    <n v="0"/>
    <n v="2451408.4999999995"/>
    <n v="435"/>
    <n v="435"/>
    <m/>
    <n v="408"/>
    <m/>
    <n v="435"/>
    <m/>
    <n v="413"/>
    <n v="2630296.0000000019"/>
    <n v="449"/>
    <n v="338"/>
    <n v="0"/>
    <n v="435"/>
    <n v="449"/>
    <m/>
    <s v=""/>
    <n v="435"/>
    <n v="2018"/>
    <n v="449"/>
    <n v="2022"/>
    <s v=""/>
    <n v="449"/>
    <n v="449"/>
    <s v="Increasing"/>
    <m/>
    <m/>
    <m/>
    <m/>
    <n v="0"/>
    <n v="1.7744900533713581"/>
    <n v="1.7070322123441608"/>
    <n v="1.7070322123441608"/>
  </r>
  <r>
    <x v="4"/>
    <x v="4"/>
    <n v="2175436.5"/>
    <x v="30"/>
    <n v="55"/>
    <n v="2217278.0000000009"/>
    <n v="0"/>
    <m/>
    <n v="0"/>
    <m/>
    <n v="0"/>
    <m/>
    <n v="91"/>
    <m/>
    <n v="0"/>
    <n v="2451408.4999999995"/>
    <n v="96"/>
    <n v="96"/>
    <m/>
    <n v="88"/>
    <m/>
    <n v="89"/>
    <m/>
    <n v="89"/>
    <n v="2630296.0000000019"/>
    <n v="86"/>
    <n v="94"/>
    <n v="55"/>
    <n v="96"/>
    <n v="89"/>
    <n v="55"/>
    <n v="2012"/>
    <n v="96"/>
    <n v="2018"/>
    <n v="86"/>
    <n v="2022"/>
    <s v="Adjust"/>
    <n v="98.839683411555711"/>
    <n v="98.839683411555711"/>
    <s v="Increasing"/>
    <m/>
    <m/>
    <m/>
    <m/>
    <n v="0.24805189065151045"/>
    <n v="0.39161159798540318"/>
    <n v="0.37577399430161335"/>
    <n v="0.37577399430161335"/>
  </r>
  <r>
    <x v="4"/>
    <x v="4"/>
    <n v="2175437.5"/>
    <x v="31"/>
    <n v="0"/>
    <n v="2217278.0000000009"/>
    <n v="0"/>
    <m/>
    <n v="0"/>
    <m/>
    <n v="0"/>
    <m/>
    <n v="0"/>
    <m/>
    <n v="0"/>
    <n v="2451408.4999999995"/>
    <n v="27"/>
    <n v="27"/>
    <m/>
    <n v="27"/>
    <m/>
    <n v="28"/>
    <m/>
    <n v="26"/>
    <n v="2630296.0000000019"/>
    <n v="24"/>
    <n v="0"/>
    <n v="0"/>
    <n v="27"/>
    <n v="28"/>
    <m/>
    <s v=""/>
    <n v="27"/>
    <n v="2018"/>
    <n v="24"/>
    <n v="2022"/>
    <s v="Adjust"/>
    <n v="27.583167463689964"/>
    <n v="27.583167463689964"/>
    <s v="Increasing"/>
    <m/>
    <m/>
    <m/>
    <m/>
    <n v="0"/>
    <n v="0.11014076193339464"/>
    <n v="0.10486716120045024"/>
    <n v="0.10486716120045024"/>
  </r>
  <r>
    <x v="4"/>
    <x v="4"/>
    <n v="2175438.5"/>
    <x v="32"/>
    <n v="0"/>
    <n v="2217278.0000000009"/>
    <n v="0"/>
    <m/>
    <n v="0"/>
    <m/>
    <n v="0"/>
    <m/>
    <n v="0"/>
    <m/>
    <n v="0"/>
    <n v="2451408.4999999995"/>
    <n v="16"/>
    <n v="16"/>
    <m/>
    <n v="15"/>
    <m/>
    <n v="13"/>
    <m/>
    <n v="15"/>
    <n v="2630296.0000000019"/>
    <n v="17"/>
    <n v="0"/>
    <n v="0"/>
    <n v="16"/>
    <n v="17"/>
    <m/>
    <s v=""/>
    <n v="16"/>
    <n v="2018"/>
    <n v="17"/>
    <n v="2022"/>
    <s v=""/>
    <n v="17"/>
    <n v="17"/>
    <s v="Increasing"/>
    <m/>
    <m/>
    <m/>
    <m/>
    <n v="0"/>
    <n v="6.5268599664233859E-2"/>
    <n v="6.4631509153342398E-2"/>
    <n v="6.4631509153342398E-2"/>
  </r>
  <r>
    <x v="5"/>
    <x v="5"/>
    <n v="4773305.4999999991"/>
    <x v="19"/>
    <n v="0"/>
    <n v="4802428.5000000102"/>
    <n v="0"/>
    <n v="4798734.5"/>
    <n v="0"/>
    <n v="4819332.9999999991"/>
    <n v="324"/>
    <n v="4904177.5000000019"/>
    <n v="0"/>
    <n v="4996741.0000000009"/>
    <n v="0"/>
    <n v="5094779.9999999991"/>
    <n v="335"/>
    <n v="335"/>
    <n v="5209324.4999999963"/>
    <n v="0"/>
    <n v="5343019.9999999991"/>
    <n v="0"/>
    <n v="5457154.4999999991"/>
    <n v="114"/>
    <n v="5579143.5000000047"/>
    <n v="0"/>
    <n v="335"/>
    <n v="324"/>
    <n v="335"/>
    <n v="114"/>
    <n v="324"/>
    <n v="2015"/>
    <n v="335"/>
    <n v="2018"/>
    <n v="114"/>
    <n v="2021"/>
    <s v="Adjust"/>
    <n v="146.38957816377172"/>
    <n v="335"/>
    <s v="Decreasing"/>
    <m/>
    <m/>
    <m/>
    <m/>
    <n v="0.67465866488173498"/>
    <n v="0.65753575227978456"/>
    <n v="0.2623871892948651"/>
    <n v="0.60045058887623115"/>
  </r>
  <r>
    <x v="5"/>
    <x v="5"/>
    <n v="4773306.5"/>
    <x v="20"/>
    <n v="0"/>
    <n v="4802428.5000000102"/>
    <n v="0"/>
    <m/>
    <n v="0"/>
    <m/>
    <n v="0"/>
    <m/>
    <n v="0"/>
    <m/>
    <n v="0"/>
    <n v="5094779.9999999991"/>
    <n v="263"/>
    <n v="263"/>
    <m/>
    <n v="0"/>
    <m/>
    <n v="0"/>
    <m/>
    <n v="108"/>
    <n v="5579143.5000000047"/>
    <n v="0"/>
    <n v="263"/>
    <n v="0"/>
    <n v="263"/>
    <n v="108"/>
    <m/>
    <s v=""/>
    <n v="263"/>
    <n v="2018"/>
    <n v="108"/>
    <n v="2021"/>
    <s v="Adjust"/>
    <n v="138.6848635235732"/>
    <n v="263"/>
    <s v="Decreasing"/>
    <m/>
    <m/>
    <m/>
    <m/>
    <n v="0"/>
    <n v="0.5162146353718905"/>
    <n v="0.24857733722671424"/>
    <n v="0.47139852201327997"/>
  </r>
  <r>
    <x v="5"/>
    <x v="5"/>
    <n v="4773307.5"/>
    <x v="21"/>
    <n v="0"/>
    <n v="4802428.5000000102"/>
    <n v="0"/>
    <m/>
    <n v="0"/>
    <m/>
    <n v="38"/>
    <m/>
    <n v="0"/>
    <m/>
    <n v="0"/>
    <n v="5094779.9999999991"/>
    <n v="72"/>
    <n v="72"/>
    <m/>
    <n v="0"/>
    <m/>
    <n v="0"/>
    <m/>
    <n v="4"/>
    <n v="5579143.5000000047"/>
    <n v="0"/>
    <n v="72"/>
    <n v="38"/>
    <n v="72"/>
    <n v="4"/>
    <n v="38"/>
    <n v="2015"/>
    <n v="72"/>
    <n v="2018"/>
    <n v="4"/>
    <n v="2021"/>
    <s v="Adjust"/>
    <n v="5.1364764267990077"/>
    <n v="72"/>
    <s v="Decreasing"/>
    <m/>
    <m/>
    <m/>
    <m/>
    <n v="7.9126633535512123E-2"/>
    <n v="0.14132111690789398"/>
    <n v="9.2065680454338616E-3"/>
    <n v="0.12905206686295118"/>
  </r>
  <r>
    <x v="5"/>
    <x v="5"/>
    <n v="4773308.5"/>
    <x v="22"/>
    <n v="0"/>
    <n v="4802428.5000000102"/>
    <n v="0"/>
    <m/>
    <n v="0"/>
    <m/>
    <n v="322"/>
    <m/>
    <n v="0"/>
    <m/>
    <n v="0"/>
    <n v="5094779.9999999991"/>
    <n v="1195"/>
    <n v="1195"/>
    <m/>
    <n v="0"/>
    <m/>
    <n v="0"/>
    <m/>
    <n v="505"/>
    <n v="5579143.5000000047"/>
    <n v="0"/>
    <n v="751"/>
    <n v="322"/>
    <n v="1195"/>
    <n v="505"/>
    <n v="322"/>
    <n v="2015"/>
    <n v="1195"/>
    <n v="2018"/>
    <n v="505"/>
    <n v="2021"/>
    <s v="Adjust"/>
    <n v="648.48014888337468"/>
    <n v="1195"/>
    <s v="Decreasing"/>
    <m/>
    <m/>
    <m/>
    <m/>
    <n v="0.67049410522197117"/>
    <n v="2.3455379820129627"/>
    <n v="1.162329215736025"/>
    <n v="2.141905831961481"/>
  </r>
  <r>
    <x v="5"/>
    <x v="5"/>
    <n v="4773309.5"/>
    <x v="23"/>
    <n v="0"/>
    <n v="4802428.5000000102"/>
    <n v="0"/>
    <m/>
    <n v="0"/>
    <m/>
    <n v="0"/>
    <m/>
    <n v="0"/>
    <m/>
    <n v="0"/>
    <n v="5094779.9999999991"/>
    <n v="0"/>
    <n v="426"/>
    <m/>
    <n v="0"/>
    <m/>
    <n v="0"/>
    <m/>
    <n v="249"/>
    <n v="5579143.5000000047"/>
    <n v="0"/>
    <n v="426"/>
    <n v="0"/>
    <n v="0"/>
    <n v="249"/>
    <m/>
    <s v=""/>
    <n v="426"/>
    <s v="2018 (triag)"/>
    <n v="249"/>
    <n v="2021"/>
    <s v="Adjust"/>
    <n v="319.74565756823824"/>
    <n v="426"/>
    <s v="Decreasing"/>
    <m/>
    <m/>
    <m/>
    <m/>
    <n v="0"/>
    <n v="0.83614994170503942"/>
    <n v="0.57310886082825796"/>
    <n v="0.76355806227246104"/>
  </r>
  <r>
    <x v="5"/>
    <x v="5"/>
    <n v="4773310.5"/>
    <x v="24"/>
    <n v="0"/>
    <n v="4802428.5000000102"/>
    <n v="0"/>
    <m/>
    <n v="0"/>
    <m/>
    <n v="0"/>
    <m/>
    <n v="0"/>
    <m/>
    <n v="0"/>
    <n v="5094779.9999999991"/>
    <n v="0"/>
    <n v="325"/>
    <m/>
    <n v="0"/>
    <m/>
    <n v="0"/>
    <m/>
    <n v="1"/>
    <n v="5579143.5000000047"/>
    <n v="0"/>
    <n v="325"/>
    <n v="0"/>
    <n v="0"/>
    <n v="1"/>
    <m/>
    <s v=""/>
    <n v="325"/>
    <s v="2018 (triag)"/>
    <n v="1"/>
    <n v="2021"/>
    <s v="Adjust"/>
    <n v="1.2841191066997519"/>
    <n v="325"/>
    <s v="Decreasing"/>
    <m/>
    <m/>
    <m/>
    <m/>
    <n v="0"/>
    <n v="0.63790781937591035"/>
    <n v="2.3016420113584654E-3"/>
    <n v="0.58252669070082119"/>
  </r>
  <r>
    <x v="5"/>
    <x v="5"/>
    <n v="4773311.5"/>
    <x v="25"/>
    <n v="0"/>
    <n v="4802428.5000000102"/>
    <n v="514"/>
    <m/>
    <n v="0"/>
    <m/>
    <n v="605"/>
    <m/>
    <n v="0"/>
    <m/>
    <n v="0"/>
    <n v="5094779.9999999991"/>
    <n v="0"/>
    <n v="444"/>
    <m/>
    <n v="0"/>
    <m/>
    <n v="0"/>
    <m/>
    <n v="537"/>
    <n v="5579143.5000000047"/>
    <n v="0"/>
    <n v="444"/>
    <n v="605"/>
    <n v="0"/>
    <n v="537"/>
    <n v="514"/>
    <n v="2013"/>
    <n v="444"/>
    <s v="2018 (triag)"/>
    <n v="537"/>
    <n v="2021"/>
    <s v=""/>
    <n v="537"/>
    <n v="537"/>
    <s v="Increasing"/>
    <m/>
    <m/>
    <m/>
    <m/>
    <n v="1.0702918325592956"/>
    <n v="0.87148022093201294"/>
    <n v="0.96251333201951084"/>
    <n v="0.96251333201951084"/>
  </r>
  <r>
    <x v="5"/>
    <x v="5"/>
    <n v="4773312.5"/>
    <x v="26"/>
    <n v="0"/>
    <n v="4802428.5000000102"/>
    <n v="241"/>
    <m/>
    <n v="0"/>
    <m/>
    <n v="0"/>
    <m/>
    <n v="0"/>
    <m/>
    <n v="0"/>
    <n v="5094779.9999999991"/>
    <n v="0"/>
    <n v="276"/>
    <m/>
    <n v="0"/>
    <m/>
    <n v="0"/>
    <m/>
    <n v="130"/>
    <n v="5579143.5000000047"/>
    <n v="0"/>
    <n v="276"/>
    <n v="241"/>
    <n v="0"/>
    <n v="130"/>
    <n v="241"/>
    <n v="2013"/>
    <n v="276"/>
    <s v="2018 (triag)"/>
    <n v="130"/>
    <n v="2021"/>
    <s v="Adjust"/>
    <n v="166.93548387096774"/>
    <n v="276"/>
    <s v="Decreasing"/>
    <m/>
    <m/>
    <m/>
    <m/>
    <n v="0.50182943900153743"/>
    <n v="0.54173094814692691"/>
    <n v="0.2992134614766005"/>
    <n v="0.49469958964131283"/>
  </r>
  <r>
    <x v="5"/>
    <x v="5"/>
    <n v="4773313.5"/>
    <x v="27"/>
    <n v="0"/>
    <n v="4802428.5000000102"/>
    <n v="273"/>
    <m/>
    <n v="0"/>
    <m/>
    <n v="0"/>
    <m/>
    <n v="0"/>
    <m/>
    <n v="0"/>
    <n v="5094779.9999999991"/>
    <n v="0"/>
    <n v="168"/>
    <m/>
    <n v="0"/>
    <m/>
    <n v="0"/>
    <m/>
    <n v="197"/>
    <n v="5579143.5000000047"/>
    <n v="0"/>
    <n v="168"/>
    <n v="273"/>
    <n v="0"/>
    <n v="197"/>
    <n v="273"/>
    <n v="2013"/>
    <n v="168"/>
    <s v="2018 (triag)"/>
    <n v="197"/>
    <n v="2021"/>
    <s v=""/>
    <n v="197"/>
    <n v="197"/>
    <s v="Increasing"/>
    <m/>
    <m/>
    <m/>
    <m/>
    <n v="0.56846239355775818"/>
    <n v="0.32974927278508598"/>
    <n v="0.35310079405557471"/>
    <n v="0.35310079405557471"/>
  </r>
  <r>
    <x v="5"/>
    <x v="5"/>
    <n v="4773314.5"/>
    <x v="28"/>
    <n v="0"/>
    <n v="4802428.5000000102"/>
    <n v="0"/>
    <m/>
    <n v="0"/>
    <m/>
    <n v="20"/>
    <m/>
    <n v="0"/>
    <m/>
    <n v="0"/>
    <n v="5094779.9999999991"/>
    <n v="36"/>
    <n v="36"/>
    <m/>
    <n v="0"/>
    <m/>
    <n v="0"/>
    <m/>
    <n v="2"/>
    <n v="5579143.5000000047"/>
    <n v="0"/>
    <n v="36"/>
    <n v="20"/>
    <n v="36"/>
    <n v="2"/>
    <n v="20"/>
    <n v="2015"/>
    <n v="36"/>
    <n v="2018"/>
    <n v="2"/>
    <n v="2021"/>
    <s v="Adjust"/>
    <n v="2.5682382133995039"/>
    <n v="36"/>
    <s v="Decreasing"/>
    <m/>
    <m/>
    <m/>
    <m/>
    <n v="4.164559659763796E-2"/>
    <n v="7.0660558453946989E-2"/>
    <n v="4.6032840227169308E-3"/>
    <n v="6.4526033431475588E-2"/>
  </r>
  <r>
    <x v="5"/>
    <x v="5"/>
    <n v="4773315.5"/>
    <x v="29"/>
    <n v="0"/>
    <n v="4802428.5000000102"/>
    <n v="0"/>
    <m/>
    <n v="0"/>
    <m/>
    <n v="0"/>
    <m/>
    <n v="0"/>
    <m/>
    <n v="0"/>
    <n v="5094779.9999999991"/>
    <n v="0"/>
    <n v="0"/>
    <m/>
    <n v="0"/>
    <m/>
    <n v="0"/>
    <m/>
    <n v="0"/>
    <n v="5579143.5000000047"/>
    <n v="0"/>
    <n v="0"/>
    <n v="0"/>
    <n v="0"/>
    <n v="0"/>
    <m/>
    <s v=""/>
    <m/>
    <s v=""/>
    <n v="0"/>
    <s v=""/>
    <s v=""/>
    <m/>
    <n v="0"/>
    <s v="No change"/>
    <m/>
    <m/>
    <m/>
    <m/>
    <n v="0"/>
    <n v="0"/>
    <n v="0"/>
    <n v="0"/>
  </r>
  <r>
    <x v="5"/>
    <x v="5"/>
    <n v="4773316.5"/>
    <x v="30"/>
    <n v="0"/>
    <n v="4802428.5000000102"/>
    <n v="0"/>
    <m/>
    <n v="0"/>
    <m/>
    <n v="0"/>
    <m/>
    <n v="0"/>
    <m/>
    <n v="0"/>
    <n v="5094779.9999999991"/>
    <n v="10"/>
    <n v="10"/>
    <m/>
    <n v="0"/>
    <m/>
    <n v="0"/>
    <m/>
    <n v="2"/>
    <n v="5579143.5000000047"/>
    <n v="0"/>
    <n v="3"/>
    <n v="0"/>
    <n v="10"/>
    <n v="2"/>
    <m/>
    <s v=""/>
    <n v="10"/>
    <n v="2018"/>
    <n v="2"/>
    <n v="2021"/>
    <s v="Adjust"/>
    <n v="2.5682382133995039"/>
    <n v="10"/>
    <s v="Decreasing"/>
    <m/>
    <m/>
    <m/>
    <m/>
    <n v="0"/>
    <n v="1.9627932903874164E-2"/>
    <n v="4.6032840227169308E-3"/>
    <n v="1.7923898175409885E-2"/>
  </r>
  <r>
    <x v="5"/>
    <x v="5"/>
    <n v="4773317.5"/>
    <x v="31"/>
    <n v="0"/>
    <n v="4802428.5000000102"/>
    <n v="0"/>
    <m/>
    <n v="0"/>
    <m/>
    <n v="0"/>
    <m/>
    <n v="0"/>
    <m/>
    <n v="0"/>
    <n v="5094779.9999999991"/>
    <n v="0"/>
    <n v="7"/>
    <m/>
    <n v="0"/>
    <m/>
    <n v="0"/>
    <m/>
    <n v="0"/>
    <n v="5579143.5000000047"/>
    <n v="0"/>
    <n v="7"/>
    <n v="0"/>
    <n v="0"/>
    <n v="0"/>
    <m/>
    <s v=""/>
    <n v="7"/>
    <s v="2018 (triag)"/>
    <n v="7"/>
    <s v="2018 (triag)"/>
    <s v=""/>
    <n v="7"/>
    <n v="7"/>
    <s v="No change"/>
    <m/>
    <m/>
    <m/>
    <m/>
    <n v="0"/>
    <n v="1.3739553032711916E-2"/>
    <n v="1.2546728722786919E-2"/>
    <n v="1.2546728722786919E-2"/>
  </r>
  <r>
    <x v="5"/>
    <x v="5"/>
    <n v="4773318.5"/>
    <x v="32"/>
    <n v="0"/>
    <n v="4802428.5000000102"/>
    <n v="0"/>
    <m/>
    <n v="0"/>
    <m/>
    <n v="0"/>
    <m/>
    <n v="0"/>
    <m/>
    <n v="0"/>
    <n v="5094779.9999999991"/>
    <n v="0"/>
    <n v="0"/>
    <m/>
    <n v="0"/>
    <m/>
    <n v="0"/>
    <m/>
    <n v="0"/>
    <n v="5579143.5000000047"/>
    <n v="0"/>
    <n v="0"/>
    <n v="0"/>
    <n v="0"/>
    <n v="0"/>
    <m/>
    <s v=""/>
    <m/>
    <s v=""/>
    <n v="0"/>
    <s v=""/>
    <s v=""/>
    <m/>
    <n v="0"/>
    <s v="No change"/>
    <m/>
    <m/>
    <m/>
    <m/>
    <n v="0"/>
    <n v="0"/>
    <n v="0"/>
    <n v="0"/>
  </r>
  <r>
    <x v="6"/>
    <x v="6"/>
    <n v="22010711.499999996"/>
    <x v="19"/>
    <n v="0"/>
    <n v="22469267.5"/>
    <n v="0"/>
    <n v="22995555.5"/>
    <n v="5240"/>
    <n v="23596741"/>
    <n v="0"/>
    <n v="24213621.500000015"/>
    <n v="0"/>
    <n v="24848015.5"/>
    <n v="0"/>
    <n v="25493988.499999996"/>
    <n v="5602"/>
    <n v="5602"/>
    <n v="26147550.999999996"/>
    <n v="4173"/>
    <n v="26811790.500000004"/>
    <n v="4435"/>
    <n v="27478249.000000004"/>
    <n v="4951"/>
    <n v="28160542.500000004"/>
    <n v="4930"/>
    <n v="5602"/>
    <n v="5240"/>
    <n v="5602"/>
    <n v="4951"/>
    <n v="5240"/>
    <n v="2014"/>
    <n v="5602"/>
    <n v="2018"/>
    <n v="4930"/>
    <n v="2022"/>
    <s v="Adjust"/>
    <n v="6327.5519796794806"/>
    <n v="6327.5519796794806"/>
    <s v="Increasing"/>
    <m/>
    <m/>
    <m/>
    <m/>
    <n v="2.3320742431857204"/>
    <n v="2.1973807668423482"/>
    <n v="2.2469567053544797"/>
    <n v="2.2469567053544797"/>
  </r>
  <r>
    <x v="6"/>
    <x v="6"/>
    <n v="22010712.5"/>
    <x v="20"/>
    <n v="0"/>
    <n v="22469267.5"/>
    <n v="0"/>
    <m/>
    <n v="0"/>
    <m/>
    <n v="0"/>
    <m/>
    <n v="0"/>
    <m/>
    <n v="0"/>
    <n v="25493988.499999996"/>
    <n v="4246"/>
    <n v="4246"/>
    <m/>
    <n v="0"/>
    <m/>
    <n v="4435"/>
    <m/>
    <n v="4623"/>
    <n v="28160542.500000004"/>
    <n v="4412"/>
    <n v="4246"/>
    <n v="0"/>
    <n v="4246"/>
    <n v="4623"/>
    <m/>
    <s v=""/>
    <n v="4246"/>
    <n v="2018"/>
    <n v="4412"/>
    <n v="2022"/>
    <s v=""/>
    <n v="4412"/>
    <n v="4412"/>
    <s v="Increasing"/>
    <m/>
    <m/>
    <m/>
    <m/>
    <n v="0"/>
    <n v="1.6654906704770815"/>
    <n v="1.5667311806936957"/>
    <n v="1.5667311806936957"/>
  </r>
  <r>
    <x v="6"/>
    <x v="6"/>
    <n v="22010713.5"/>
    <x v="21"/>
    <n v="0"/>
    <n v="22469267.5"/>
    <n v="0"/>
    <m/>
    <n v="0"/>
    <m/>
    <n v="0"/>
    <m/>
    <n v="0"/>
    <m/>
    <n v="0"/>
    <n v="25493988.499999996"/>
    <n v="1356"/>
    <n v="1356"/>
    <m/>
    <n v="0"/>
    <m/>
    <n v="0"/>
    <m/>
    <n v="328"/>
    <n v="28160542.500000004"/>
    <n v="518"/>
    <n v="1356"/>
    <n v="0"/>
    <n v="1356"/>
    <n v="518"/>
    <m/>
    <s v=""/>
    <n v="1356"/>
    <n v="2018"/>
    <n v="518"/>
    <n v="2022"/>
    <s v="Adjust"/>
    <n v="664.84217555252962"/>
    <n v="1356"/>
    <s v="Decreasing"/>
    <m/>
    <m/>
    <m/>
    <m/>
    <n v="0"/>
    <n v="0.53189009636526674"/>
    <n v="0.23608997431513601"/>
    <n v="0.48152481437458095"/>
  </r>
  <r>
    <x v="6"/>
    <x v="6"/>
    <n v="22010714.5"/>
    <x v="22"/>
    <n v="0"/>
    <n v="22469267.5"/>
    <n v="8780"/>
    <m/>
    <n v="8868"/>
    <m/>
    <n v="10891"/>
    <m/>
    <n v="12132"/>
    <m/>
    <n v="13583"/>
    <n v="25493988.499999996"/>
    <n v="15163"/>
    <n v="15163"/>
    <m/>
    <n v="11259"/>
    <m/>
    <n v="13396"/>
    <m/>
    <n v="12887"/>
    <n v="28160542.500000004"/>
    <n v="14979"/>
    <n v="11730"/>
    <n v="10891"/>
    <n v="15163"/>
    <n v="14979"/>
    <n v="8780"/>
    <n v="2013"/>
    <n v="15163"/>
    <n v="2018"/>
    <n v="14979"/>
    <n v="2022"/>
    <s v="Adjust"/>
    <n v="19225.233489577877"/>
    <n v="19225.233489577877"/>
    <s v="Increasing"/>
    <m/>
    <m/>
    <m/>
    <m/>
    <n v="3.9075595143455391"/>
    <n v="5.9476766454178023"/>
    <n v="6.8270110526378796"/>
    <n v="6.8270110526378796"/>
  </r>
  <r>
    <x v="6"/>
    <x v="6"/>
    <n v="22010715.5"/>
    <x v="23"/>
    <n v="0"/>
    <n v="22469267.5"/>
    <n v="7172"/>
    <m/>
    <n v="7245"/>
    <m/>
    <n v="8904"/>
    <m/>
    <n v="9805"/>
    <m/>
    <n v="10813"/>
    <n v="25493988.499999996"/>
    <n v="11568"/>
    <n v="11667"/>
    <m/>
    <n v="11259"/>
    <m/>
    <n v="13396"/>
    <m/>
    <n v="12887"/>
    <n v="28160542.500000004"/>
    <n v="14934"/>
    <n v="11667"/>
    <n v="8904"/>
    <n v="11568"/>
    <n v="14934"/>
    <n v="7172"/>
    <n v="2013"/>
    <n v="11667"/>
    <s v="2018 (triag)"/>
    <n v="14934"/>
    <n v="2022"/>
    <s v=""/>
    <n v="14934"/>
    <n v="14934"/>
    <s v="Increasing"/>
    <m/>
    <m/>
    <m/>
    <m/>
    <n v="3.1919153572763332"/>
    <n v="4.5763729751427489"/>
    <n v="5.303164880435097"/>
    <n v="5.303164880435097"/>
  </r>
  <r>
    <x v="6"/>
    <x v="6"/>
    <n v="22010716.5"/>
    <x v="24"/>
    <n v="0"/>
    <n v="22469267.5"/>
    <n v="1608"/>
    <m/>
    <n v="1623"/>
    <m/>
    <n v="1987"/>
    <m/>
    <n v="2327"/>
    <m/>
    <n v="2770"/>
    <n v="25493988.499999996"/>
    <n v="3595"/>
    <n v="3595"/>
    <m/>
    <n v="0"/>
    <m/>
    <n v="0"/>
    <m/>
    <n v="0"/>
    <n v="28160542.500000004"/>
    <n v="0"/>
    <n v="63"/>
    <n v="1987"/>
    <n v="3595"/>
    <n v="0"/>
    <n v="1608"/>
    <n v="2013"/>
    <n v="3595"/>
    <n v="2018"/>
    <n v="3595"/>
    <n v="2018"/>
    <s v=""/>
    <n v="3595"/>
    <n v="3595"/>
    <s v="No change"/>
    <m/>
    <m/>
    <m/>
    <m/>
    <n v="0.7156441570692057"/>
    <n v="1.4101363543017211"/>
    <n v="1.276608928965058"/>
    <n v="1.276608928965058"/>
  </r>
  <r>
    <x v="6"/>
    <x v="6"/>
    <n v="22010717.5"/>
    <x v="25"/>
    <n v="0"/>
    <n v="22469267.5"/>
    <n v="3851"/>
    <m/>
    <n v="5300"/>
    <m/>
    <n v="0"/>
    <m/>
    <n v="0"/>
    <m/>
    <n v="0"/>
    <n v="25493988.499999996"/>
    <n v="0"/>
    <n v="5460"/>
    <m/>
    <n v="5601"/>
    <m/>
    <n v="6345"/>
    <m/>
    <n v="7074"/>
    <n v="28160542.500000004"/>
    <n v="7425"/>
    <n v="5460"/>
    <n v="5300"/>
    <n v="5601"/>
    <n v="7425"/>
    <n v="3851"/>
    <n v="2013"/>
    <n v="5460"/>
    <s v="2018 (triag)"/>
    <n v="7425"/>
    <n v="2022"/>
    <s v=""/>
    <n v="7425"/>
    <n v="7425"/>
    <s v="Increasing"/>
    <m/>
    <m/>
    <m/>
    <m/>
    <n v="1.7138965478069101"/>
    <n v="2.1416813614707642"/>
    <n v="2.6366679548165664"/>
    <n v="2.6366679548165664"/>
  </r>
  <r>
    <x v="6"/>
    <x v="6"/>
    <n v="22010718.5"/>
    <x v="26"/>
    <n v="0"/>
    <n v="22469267.5"/>
    <n v="2627"/>
    <m/>
    <n v="0"/>
    <m/>
    <n v="0"/>
    <m/>
    <n v="0"/>
    <m/>
    <n v="0"/>
    <n v="25493988.499999996"/>
    <n v="0"/>
    <n v="5456"/>
    <m/>
    <n v="5601"/>
    <m/>
    <n v="6345"/>
    <m/>
    <n v="7074"/>
    <n v="28160542.500000004"/>
    <n v="7421"/>
    <n v="5456"/>
    <n v="2627"/>
    <n v="5601"/>
    <n v="7421"/>
    <n v="2627"/>
    <n v="2013"/>
    <n v="5456"/>
    <s v="2018 (triag)"/>
    <n v="7421"/>
    <n v="2022"/>
    <s v=""/>
    <n v="7421"/>
    <n v="7421"/>
    <s v="Increasing"/>
    <m/>
    <m/>
    <m/>
    <m/>
    <n v="1.1691524879482609"/>
    <n v="2.1401123641363533"/>
    <n v="2.6352475276355203"/>
    <n v="2.6352475276355203"/>
  </r>
  <r>
    <x v="6"/>
    <x v="6"/>
    <n v="22010719.5"/>
    <x v="27"/>
    <n v="0"/>
    <n v="22469267.5"/>
    <n v="1224"/>
    <m/>
    <n v="0"/>
    <m/>
    <n v="0"/>
    <m/>
    <n v="0"/>
    <m/>
    <n v="0"/>
    <n v="25493988.499999996"/>
    <n v="0"/>
    <n v="4"/>
    <m/>
    <n v="0"/>
    <m/>
    <n v="0"/>
    <m/>
    <n v="0"/>
    <n v="28160542.500000004"/>
    <n v="4"/>
    <n v="4"/>
    <n v="1224"/>
    <n v="0"/>
    <n v="4"/>
    <n v="1224"/>
    <n v="2013"/>
    <n v="4"/>
    <s v="2018 (triag)"/>
    <n v="4"/>
    <n v="2022"/>
    <s v=""/>
    <n v="4"/>
    <n v="4"/>
    <s v="No change"/>
    <m/>
    <m/>
    <m/>
    <m/>
    <n v="0.54474405985864915"/>
    <n v="1.5689973344108162E-3"/>
    <n v="1.4204271810459616E-3"/>
    <n v="1.4204271810459616E-3"/>
  </r>
  <r>
    <x v="6"/>
    <x v="6"/>
    <n v="22010720.5"/>
    <x v="28"/>
    <n v="0"/>
    <n v="22469267.5"/>
    <n v="0"/>
    <m/>
    <n v="2430"/>
    <m/>
    <n v="0"/>
    <m/>
    <n v="0"/>
    <m/>
    <n v="0"/>
    <n v="25493988.499999996"/>
    <n v="2495"/>
    <n v="2495"/>
    <m/>
    <n v="944"/>
    <m/>
    <n v="1029"/>
    <m/>
    <n v="1117"/>
    <n v="28160542.500000004"/>
    <n v="1162"/>
    <n v="2278"/>
    <n v="2430"/>
    <n v="2495"/>
    <n v="1162"/>
    <n v="2430"/>
    <n v="2014"/>
    <n v="2495"/>
    <n v="2018"/>
    <n v="1162"/>
    <n v="2022"/>
    <s v="Adjust"/>
    <n v="1491.4027181313502"/>
    <n v="2495"/>
    <s v="Decreasing"/>
    <m/>
    <m/>
    <m/>
    <m/>
    <n v="1.0814771776605534"/>
    <n v="0.97866208733874671"/>
    <n v="0.52960723967989964"/>
    <n v="0.88599145417741854"/>
  </r>
  <r>
    <x v="6"/>
    <x v="6"/>
    <n v="22010721.5"/>
    <x v="29"/>
    <n v="0"/>
    <n v="22469267.5"/>
    <n v="0"/>
    <m/>
    <n v="2310"/>
    <m/>
    <n v="0"/>
    <m/>
    <n v="0"/>
    <m/>
    <n v="0"/>
    <n v="25493988.499999996"/>
    <n v="0"/>
    <n v="217"/>
    <m/>
    <n v="0"/>
    <m/>
    <n v="0"/>
    <m/>
    <n v="215"/>
    <n v="28160542.500000004"/>
    <n v="200"/>
    <n v="217"/>
    <n v="2310"/>
    <n v="0"/>
    <n v="215"/>
    <n v="2310"/>
    <n v="2014"/>
    <n v="217"/>
    <s v="2018 (triag)"/>
    <n v="200"/>
    <n v="2022"/>
    <s v="Adjust"/>
    <n v="256.69582067665237"/>
    <n v="256.69582067665237"/>
    <s v="Increasing"/>
    <m/>
    <m/>
    <m/>
    <m/>
    <n v="1.0280708972822545"/>
    <n v="8.5118105391786783E-2"/>
    <n v="9.1154430237504247E-2"/>
    <n v="9.1154430237504247E-2"/>
  </r>
  <r>
    <x v="6"/>
    <x v="6"/>
    <n v="22010722.5"/>
    <x v="30"/>
    <n v="0"/>
    <n v="22469267.5"/>
    <n v="0"/>
    <m/>
    <n v="490"/>
    <m/>
    <n v="0"/>
    <m/>
    <n v="0"/>
    <m/>
    <n v="0"/>
    <n v="25493988.499999996"/>
    <n v="506"/>
    <n v="506"/>
    <m/>
    <n v="373"/>
    <m/>
    <n v="397"/>
    <m/>
    <n v="416"/>
    <n v="28160542.500000004"/>
    <n v="418"/>
    <n v="506"/>
    <n v="490"/>
    <n v="506"/>
    <n v="418"/>
    <n v="490"/>
    <n v="2014"/>
    <n v="506"/>
    <n v="2018"/>
    <n v="418"/>
    <n v="2022"/>
    <s v="Adjust"/>
    <n v="536.49426521420344"/>
    <n v="536.49426521420344"/>
    <s v="Increasing"/>
    <m/>
    <m/>
    <m/>
    <m/>
    <n v="0.218075644878054"/>
    <n v="0.19847816280296826"/>
    <n v="0.19051275919638386"/>
    <n v="0.19051275919638386"/>
  </r>
  <r>
    <x v="6"/>
    <x v="6"/>
    <n v="22010723.5"/>
    <x v="31"/>
    <n v="0"/>
    <n v="22469267.5"/>
    <n v="0"/>
    <m/>
    <n v="120"/>
    <m/>
    <n v="0"/>
    <m/>
    <n v="0"/>
    <m/>
    <n v="0"/>
    <n v="25493988.499999996"/>
    <n v="0"/>
    <n v="0"/>
    <m/>
    <n v="0"/>
    <m/>
    <n v="0"/>
    <m/>
    <n v="0"/>
    <n v="28160542.500000004"/>
    <n v="28"/>
    <n v="0"/>
    <n v="120"/>
    <n v="0"/>
    <n v="28"/>
    <n v="120"/>
    <n v="2014"/>
    <m/>
    <s v=""/>
    <n v="28"/>
    <n v="2022"/>
    <s v=""/>
    <n v="28"/>
    <n v="28"/>
    <s v="Increasing"/>
    <m/>
    <m/>
    <m/>
    <m/>
    <n v="5.3406280378298934E-2"/>
    <n v="0"/>
    <n v="9.9429902673217312E-3"/>
    <n v="9.9429902673217312E-3"/>
  </r>
  <r>
    <x v="6"/>
    <x v="6"/>
    <n v="22010724.5"/>
    <x v="32"/>
    <n v="0"/>
    <n v="22469267.5"/>
    <n v="0"/>
    <m/>
    <n v="0"/>
    <m/>
    <n v="0"/>
    <m/>
    <n v="0"/>
    <m/>
    <n v="0"/>
    <n v="25493988.499999996"/>
    <n v="0"/>
    <n v="0"/>
    <m/>
    <n v="0"/>
    <m/>
    <n v="0"/>
    <m/>
    <n v="0"/>
    <n v="28160542.500000004"/>
    <n v="0"/>
    <n v="0"/>
    <n v="0"/>
    <n v="0"/>
    <n v="0"/>
    <m/>
    <s v=""/>
    <m/>
    <s v=""/>
    <n v="0"/>
    <s v=""/>
    <s v=""/>
    <m/>
    <n v="0"/>
    <s v="No change"/>
    <m/>
    <m/>
    <m/>
    <m/>
    <n v="0"/>
    <n v="0"/>
    <n v="0"/>
    <n v="0"/>
  </r>
  <r>
    <x v="7"/>
    <x v="7"/>
    <n v="21032684.000000004"/>
    <x v="19"/>
    <n v="0"/>
    <n v="21632850.000000004"/>
    <n v="1842"/>
    <n v="22299584.999999989"/>
    <n v="0"/>
    <n v="23012646.5"/>
    <n v="0"/>
    <n v="23711630.000000004"/>
    <n v="0"/>
    <n v="24393181.5"/>
    <n v="0"/>
    <n v="25076746.500000015"/>
    <n v="3259"/>
    <n v="3259"/>
    <n v="25782340.999999996"/>
    <n v="0"/>
    <n v="26491086.500000011"/>
    <n v="2562"/>
    <n v="27198627.999999985"/>
    <n v="3378"/>
    <n v="27914536.499999989"/>
    <n v="3759"/>
    <n v="3259"/>
    <n v="1842"/>
    <n v="3259"/>
    <n v="3759"/>
    <n v="1842"/>
    <n v="2013"/>
    <n v="3259"/>
    <n v="2018"/>
    <n v="3759"/>
    <n v="2022"/>
    <s v=""/>
    <n v="3759"/>
    <n v="3759"/>
    <s v="Increasing"/>
    <m/>
    <m/>
    <m/>
    <m/>
    <n v="0.85148281433098261"/>
    <n v="1.2996103780847321"/>
    <n v="1.3466102150755759"/>
    <n v="1.3466102150755759"/>
  </r>
  <r>
    <x v="7"/>
    <x v="7"/>
    <n v="21032685"/>
    <x v="20"/>
    <n v="0"/>
    <n v="21632850.000000004"/>
    <n v="0"/>
    <m/>
    <n v="0"/>
    <m/>
    <n v="0"/>
    <m/>
    <n v="0"/>
    <m/>
    <n v="0"/>
    <n v="25076746.500000015"/>
    <n v="2400"/>
    <n v="2400"/>
    <m/>
    <n v="0"/>
    <m/>
    <n v="1643"/>
    <m/>
    <n v="2477"/>
    <n v="27914536.499999989"/>
    <n v="2467"/>
    <n v="2400"/>
    <n v="0"/>
    <n v="2400"/>
    <n v="2477"/>
    <m/>
    <s v=""/>
    <n v="2400"/>
    <n v="2018"/>
    <n v="2467"/>
    <n v="2022"/>
    <s v=""/>
    <n v="2467"/>
    <n v="2467"/>
    <s v="Increasing"/>
    <m/>
    <m/>
    <m/>
    <m/>
    <n v="0"/>
    <n v="0.95706195379053605"/>
    <n v="0.88376892806369933"/>
    <n v="0.88376892806369933"/>
  </r>
  <r>
    <x v="7"/>
    <x v="7"/>
    <n v="21032686"/>
    <x v="21"/>
    <n v="0"/>
    <n v="21632850.000000004"/>
    <n v="0"/>
    <m/>
    <n v="0"/>
    <m/>
    <n v="0"/>
    <m/>
    <n v="0"/>
    <m/>
    <n v="0"/>
    <n v="25076746.500000015"/>
    <n v="859"/>
    <n v="859"/>
    <m/>
    <n v="0"/>
    <m/>
    <n v="919"/>
    <m/>
    <n v="897"/>
    <n v="27914536.499999989"/>
    <n v="1289"/>
    <n v="859"/>
    <n v="0"/>
    <n v="859"/>
    <n v="1289"/>
    <m/>
    <s v=""/>
    <n v="859"/>
    <n v="2018"/>
    <n v="1289"/>
    <n v="2022"/>
    <s v=""/>
    <n v="1289"/>
    <n v="1289"/>
    <s v="Increasing"/>
    <m/>
    <m/>
    <m/>
    <m/>
    <n v="0"/>
    <n v="0.34254842429419602"/>
    <n v="0.461766578141106"/>
    <n v="0.461766578141106"/>
  </r>
  <r>
    <x v="7"/>
    <x v="7"/>
    <n v="21032687"/>
    <x v="22"/>
    <n v="0"/>
    <n v="21632850.000000004"/>
    <n v="18954"/>
    <m/>
    <n v="0"/>
    <m/>
    <n v="0"/>
    <m/>
    <n v="0"/>
    <m/>
    <n v="0"/>
    <n v="25076746.500000015"/>
    <n v="9156"/>
    <n v="9925"/>
    <m/>
    <n v="0"/>
    <m/>
    <n v="11478"/>
    <m/>
    <n v="4543"/>
    <n v="27914536.499999989"/>
    <n v="16473"/>
    <n v="9925"/>
    <n v="18954"/>
    <n v="9156"/>
    <n v="16473"/>
    <n v="18954"/>
    <n v="2013"/>
    <n v="9925"/>
    <s v="2018 (triag)"/>
    <n v="16473"/>
    <n v="2022"/>
    <s v=""/>
    <n v="16473"/>
    <n v="16473"/>
    <s v="Increasing"/>
    <m/>
    <m/>
    <m/>
    <m/>
    <n v="8.7616749526761364"/>
    <n v="3.957849954737946"/>
    <n v="5.9012264094014268"/>
    <n v="5.9012264094014268"/>
  </r>
  <r>
    <x v="7"/>
    <x v="7"/>
    <n v="21032688"/>
    <x v="23"/>
    <n v="0"/>
    <n v="21632850.000000004"/>
    <n v="0"/>
    <m/>
    <n v="0"/>
    <m/>
    <n v="0"/>
    <m/>
    <n v="0"/>
    <m/>
    <n v="0"/>
    <n v="25076746.500000015"/>
    <n v="0"/>
    <n v="9925"/>
    <m/>
    <n v="0"/>
    <m/>
    <n v="8841"/>
    <m/>
    <n v="3519"/>
    <n v="27914536.499999989"/>
    <n v="11485"/>
    <n v="9925"/>
    <n v="0"/>
    <n v="0"/>
    <n v="11485"/>
    <m/>
    <s v=""/>
    <n v="9925"/>
    <s v="2018 (triag)"/>
    <n v="11485"/>
    <n v="2022"/>
    <s v=""/>
    <n v="11485"/>
    <n v="11485"/>
    <s v="Increasing"/>
    <m/>
    <m/>
    <m/>
    <m/>
    <n v="0"/>
    <n v="3.957849954737946"/>
    <n v="4.114343793600157"/>
    <n v="4.114343793600157"/>
  </r>
  <r>
    <x v="7"/>
    <x v="7"/>
    <n v="21032689"/>
    <x v="24"/>
    <n v="0"/>
    <n v="21632850.000000004"/>
    <n v="0"/>
    <m/>
    <n v="0"/>
    <m/>
    <n v="0"/>
    <m/>
    <n v="0"/>
    <m/>
    <n v="0"/>
    <n v="25076746.500000015"/>
    <n v="0"/>
    <n v="0"/>
    <m/>
    <n v="0"/>
    <m/>
    <n v="1202"/>
    <m/>
    <n v="43"/>
    <n v="27914536.499999989"/>
    <n v="4925"/>
    <n v="0"/>
    <n v="0"/>
    <n v="0"/>
    <n v="4925"/>
    <m/>
    <s v=""/>
    <m/>
    <s v=""/>
    <n v="4925"/>
    <n v="2022"/>
    <s v=""/>
    <n v="4925"/>
    <n v="4925"/>
    <s v="Increasing"/>
    <m/>
    <m/>
    <m/>
    <m/>
    <n v="0"/>
    <n v="0"/>
    <n v="1.7643137295150868"/>
    <n v="1.7643137295150868"/>
  </r>
  <r>
    <x v="7"/>
    <x v="7"/>
    <n v="21032690"/>
    <x v="25"/>
    <n v="0"/>
    <n v="21632850.000000004"/>
    <n v="127"/>
    <m/>
    <n v="0"/>
    <m/>
    <n v="0"/>
    <m/>
    <n v="0"/>
    <m/>
    <n v="0"/>
    <n v="25076746.500000015"/>
    <n v="0"/>
    <n v="690"/>
    <m/>
    <n v="0"/>
    <m/>
    <n v="1258"/>
    <m/>
    <n v="704"/>
    <n v="27914536.499999989"/>
    <n v="1674"/>
    <n v="690"/>
    <n v="127"/>
    <n v="0"/>
    <n v="1674"/>
    <n v="127"/>
    <n v="2013"/>
    <n v="690"/>
    <s v="2018 (triag)"/>
    <n v="1674"/>
    <n v="2022"/>
    <s v=""/>
    <n v="1674"/>
    <n v="1674"/>
    <s v="Increasing"/>
    <m/>
    <m/>
    <m/>
    <m/>
    <n v="5.870701271445971E-2"/>
    <n v="0.27515531171477908"/>
    <n v="0.59968754989000106"/>
    <n v="0.59968754989000106"/>
  </r>
  <r>
    <x v="7"/>
    <x v="7"/>
    <n v="21032691"/>
    <x v="26"/>
    <n v="0"/>
    <n v="21632850.000000004"/>
    <n v="127"/>
    <m/>
    <n v="0"/>
    <m/>
    <n v="0"/>
    <m/>
    <n v="0"/>
    <m/>
    <n v="0"/>
    <n v="25076746.500000015"/>
    <n v="0"/>
    <n v="690"/>
    <m/>
    <n v="0"/>
    <m/>
    <n v="998"/>
    <m/>
    <n v="704"/>
    <n v="27914536.499999989"/>
    <n v="1578"/>
    <n v="690"/>
    <n v="127"/>
    <n v="0"/>
    <n v="1578"/>
    <n v="127"/>
    <n v="2013"/>
    <n v="690"/>
    <s v="2018 (triag)"/>
    <n v="1578"/>
    <n v="2022"/>
    <s v=""/>
    <n v="1578"/>
    <n v="1578"/>
    <s v="Increasing"/>
    <m/>
    <m/>
    <m/>
    <m/>
    <n v="5.870701271445971E-2"/>
    <n v="0.27515531171477908"/>
    <n v="0.56529686602534157"/>
    <n v="0.56529686602534157"/>
  </r>
  <r>
    <x v="7"/>
    <x v="7"/>
    <n v="21032692"/>
    <x v="27"/>
    <n v="0"/>
    <n v="21632850.000000004"/>
    <n v="0"/>
    <m/>
    <n v="0"/>
    <m/>
    <n v="0"/>
    <m/>
    <n v="0"/>
    <m/>
    <n v="0"/>
    <n v="25076746.500000015"/>
    <n v="0"/>
    <n v="0"/>
    <m/>
    <n v="0"/>
    <m/>
    <n v="239"/>
    <m/>
    <n v="0"/>
    <n v="27914536.499999989"/>
    <n v="77"/>
    <n v="0"/>
    <n v="0"/>
    <n v="0"/>
    <n v="239"/>
    <m/>
    <s v=""/>
    <m/>
    <s v=""/>
    <n v="77"/>
    <n v="2022"/>
    <s v=""/>
    <n v="77"/>
    <n v="77"/>
    <s v="Increasing"/>
    <m/>
    <m/>
    <m/>
    <m/>
    <n v="0"/>
    <n v="0"/>
    <n v="2.7584194349779025E-2"/>
    <n v="2.7584194349779025E-2"/>
  </r>
  <r>
    <x v="7"/>
    <x v="7"/>
    <n v="21032693"/>
    <x v="28"/>
    <n v="0"/>
    <n v="21632850.000000004"/>
    <n v="0"/>
    <m/>
    <n v="0"/>
    <m/>
    <n v="0"/>
    <m/>
    <n v="199"/>
    <m/>
    <n v="0"/>
    <n v="25076746.500000015"/>
    <n v="14"/>
    <n v="350"/>
    <m/>
    <n v="0"/>
    <m/>
    <n v="337"/>
    <m/>
    <n v="264"/>
    <n v="27914536.499999989"/>
    <n v="602"/>
    <n v="350"/>
    <n v="0"/>
    <n v="199"/>
    <n v="602"/>
    <n v="162"/>
    <n v="2013"/>
    <n v="350"/>
    <s v="2018 (triag)"/>
    <n v="602"/>
    <n v="2022"/>
    <s v=""/>
    <n v="602"/>
    <n v="602"/>
    <s v="Increasing"/>
    <m/>
    <m/>
    <m/>
    <m/>
    <n v="7.4886110706633646E-2"/>
    <n v="0.13957153492778651"/>
    <n v="0.21565824673463599"/>
    <n v="0.21565824673463599"/>
  </r>
  <r>
    <x v="7"/>
    <x v="7"/>
    <n v="21032694"/>
    <x v="29"/>
    <n v="0"/>
    <n v="21632850.000000004"/>
    <n v="0"/>
    <m/>
    <n v="0"/>
    <m/>
    <n v="0"/>
    <m/>
    <n v="0"/>
    <m/>
    <n v="0"/>
    <n v="25076746.500000015"/>
    <n v="0"/>
    <n v="0"/>
    <m/>
    <n v="0"/>
    <m/>
    <n v="54"/>
    <m/>
    <n v="324"/>
    <n v="27914536.499999989"/>
    <n v="369"/>
    <n v="0"/>
    <n v="0"/>
    <n v="0"/>
    <n v="369"/>
    <n v="1178"/>
    <n v="2013"/>
    <m/>
    <s v=""/>
    <n v="369"/>
    <n v="2022"/>
    <s v=""/>
    <n v="369"/>
    <n v="369"/>
    <s v="Increasing"/>
    <m/>
    <m/>
    <m/>
    <m/>
    <n v="0.54454221242231138"/>
    <n v="0"/>
    <n v="0.13218919110478519"/>
    <n v="0.13218919110478519"/>
  </r>
  <r>
    <x v="7"/>
    <x v="7"/>
    <n v="21032695"/>
    <x v="30"/>
    <n v="0"/>
    <n v="21632850.000000004"/>
    <n v="0"/>
    <m/>
    <n v="0"/>
    <m/>
    <n v="0"/>
    <m/>
    <n v="88"/>
    <m/>
    <n v="0"/>
    <n v="25076746.500000015"/>
    <n v="0"/>
    <n v="308"/>
    <m/>
    <n v="300"/>
    <m/>
    <n v="179"/>
    <m/>
    <n v="133"/>
    <n v="27914536.499999989"/>
    <n v="317"/>
    <n v="308"/>
    <n v="0"/>
    <n v="300"/>
    <n v="317"/>
    <n v="58"/>
    <n v="2013"/>
    <n v="308"/>
    <s v="2018 (triag)"/>
    <n v="317"/>
    <n v="2022"/>
    <s v=""/>
    <n v="317"/>
    <n v="317"/>
    <s v="Increasing"/>
    <m/>
    <m/>
    <m/>
    <m/>
    <n v="2.681107667274538E-2"/>
    <n v="0.12282295073645212"/>
    <n v="0.11356090401142793"/>
    <n v="0.11356090401142793"/>
  </r>
  <r>
    <x v="7"/>
    <x v="7"/>
    <n v="21032696"/>
    <x v="31"/>
    <n v="0"/>
    <n v="21632850.000000004"/>
    <n v="0"/>
    <m/>
    <n v="0"/>
    <m/>
    <n v="0"/>
    <m/>
    <n v="0"/>
    <m/>
    <n v="0"/>
    <n v="25076746.500000015"/>
    <n v="0"/>
    <n v="0"/>
    <m/>
    <n v="0"/>
    <m/>
    <n v="45"/>
    <m/>
    <n v="97"/>
    <n v="27914536.499999989"/>
    <n v="88"/>
    <n v="0"/>
    <n v="0"/>
    <n v="0"/>
    <n v="97"/>
    <m/>
    <s v=""/>
    <m/>
    <s v=""/>
    <n v="88"/>
    <n v="2022"/>
    <s v=""/>
    <n v="88"/>
    <n v="88"/>
    <s v="Increasing"/>
    <m/>
    <m/>
    <m/>
    <m/>
    <n v="0"/>
    <n v="0"/>
    <n v="3.1524793542604596E-2"/>
    <n v="3.1524793542604596E-2"/>
  </r>
  <r>
    <x v="7"/>
    <x v="7"/>
    <n v="21032697"/>
    <x v="32"/>
    <n v="0"/>
    <n v="21632850.000000004"/>
    <n v="0"/>
    <m/>
    <n v="0"/>
    <m/>
    <n v="0"/>
    <m/>
    <n v="0"/>
    <m/>
    <n v="0"/>
    <n v="25076746.500000015"/>
    <n v="0"/>
    <n v="0"/>
    <m/>
    <n v="0"/>
    <m/>
    <n v="6"/>
    <m/>
    <n v="44"/>
    <n v="27914536.499999989"/>
    <n v="32"/>
    <n v="0"/>
    <n v="0"/>
    <n v="0"/>
    <n v="44"/>
    <m/>
    <s v=""/>
    <m/>
    <s v=""/>
    <n v="32"/>
    <n v="2022"/>
    <s v=""/>
    <n v="32"/>
    <n v="32"/>
    <s v="Increasing"/>
    <m/>
    <m/>
    <m/>
    <m/>
    <n v="0"/>
    <n v="0"/>
    <n v="1.1463561288219853E-2"/>
    <n v="1.1463561288219853E-2"/>
  </r>
  <r>
    <x v="8"/>
    <x v="8"/>
    <n v="70997869.50000006"/>
    <x v="19"/>
    <n v="0"/>
    <n v="73460021"/>
    <n v="6418"/>
    <n v="76035588.49999994"/>
    <n v="0"/>
    <n v="78656903.50000006"/>
    <n v="0"/>
    <n v="81430976.499999985"/>
    <n v="0"/>
    <n v="84283273.000000045"/>
    <n v="0"/>
    <n v="87087354.999999985"/>
    <n v="0"/>
    <n v="31546"/>
    <n v="89906890.500000015"/>
    <n v="15016"/>
    <n v="92853164.500000015"/>
    <n v="0"/>
    <n v="95894118.499999985"/>
    <n v="16989"/>
    <n v="99010212"/>
    <n v="18493"/>
    <n v="31546"/>
    <n v="6418"/>
    <n v="15016"/>
    <n v="18493"/>
    <n v="6418"/>
    <n v="2013"/>
    <n v="31546"/>
    <s v="2018 (triag)"/>
    <n v="18493"/>
    <n v="2022"/>
    <s v="Adjust"/>
    <n v="21289.958719118578"/>
    <n v="31546"/>
    <s v="Decreasing"/>
    <m/>
    <m/>
    <m/>
    <m/>
    <n v="0.87367249731660168"/>
    <n v="3.6223398907912641"/>
    <n v="2.1502790761743422"/>
    <n v="3.186135991709623"/>
  </r>
  <r>
    <x v="8"/>
    <x v="8"/>
    <n v="70997870.500000104"/>
    <x v="20"/>
    <n v="0"/>
    <n v="73460021"/>
    <n v="0"/>
    <m/>
    <n v="0"/>
    <m/>
    <n v="0"/>
    <m/>
    <n v="0"/>
    <m/>
    <n v="0"/>
    <n v="87087354.999999985"/>
    <n v="0"/>
    <n v="30768"/>
    <m/>
    <n v="15016"/>
    <m/>
    <n v="0"/>
    <m/>
    <n v="16989"/>
    <n v="99010212"/>
    <n v="18493"/>
    <n v="30768"/>
    <n v="0"/>
    <n v="15016"/>
    <n v="18493"/>
    <m/>
    <s v=""/>
    <n v="30768"/>
    <s v="2018 (triag)"/>
    <n v="18493"/>
    <n v="2022"/>
    <s v="Adjust"/>
    <n v="21289.958719118578"/>
    <n v="30768"/>
    <s v="Decreasing"/>
    <m/>
    <m/>
    <m/>
    <m/>
    <n v="0"/>
    <n v="3.5330043035524508"/>
    <n v="2.1502790761743422"/>
    <n v="3.1075582385380609"/>
  </r>
  <r>
    <x v="8"/>
    <x v="8"/>
    <n v="70997871.500000104"/>
    <x v="21"/>
    <n v="0"/>
    <n v="73460021"/>
    <n v="0"/>
    <m/>
    <n v="0"/>
    <m/>
    <n v="0"/>
    <m/>
    <n v="0"/>
    <m/>
    <n v="0"/>
    <n v="87087354.999999985"/>
    <n v="0"/>
    <n v="778"/>
    <m/>
    <n v="0"/>
    <m/>
    <n v="0"/>
    <m/>
    <n v="0"/>
    <n v="99010212"/>
    <n v="0"/>
    <n v="778"/>
    <n v="0"/>
    <n v="0"/>
    <n v="0"/>
    <m/>
    <s v=""/>
    <n v="778"/>
    <s v="2018 (triag)"/>
    <n v="778"/>
    <s v="2018 (triag)"/>
    <s v=""/>
    <n v="778"/>
    <n v="778"/>
    <s v="No change"/>
    <m/>
    <m/>
    <m/>
    <m/>
    <n v="0"/>
    <n v="8.9335587238813269E-2"/>
    <n v="7.8577753171561737E-2"/>
    <n v="7.8577753171561737E-2"/>
  </r>
  <r>
    <x v="8"/>
    <x v="8"/>
    <n v="70997872.500000104"/>
    <x v="22"/>
    <n v="0"/>
    <n v="73460021"/>
    <n v="59813"/>
    <m/>
    <n v="0"/>
    <m/>
    <n v="72270"/>
    <m/>
    <n v="44897"/>
    <m/>
    <n v="73046"/>
    <n v="87087354.999999985"/>
    <n v="93326"/>
    <n v="103785"/>
    <m/>
    <n v="93964"/>
    <m/>
    <n v="0"/>
    <m/>
    <n v="101752"/>
    <n v="99010212"/>
    <n v="115316"/>
    <n v="103785"/>
    <n v="72270"/>
    <n v="93964"/>
    <n v="115316"/>
    <n v="59813"/>
    <n v="2013"/>
    <n v="103785"/>
    <s v="2018 (triag)"/>
    <n v="115316"/>
    <n v="2022"/>
    <s v=""/>
    <n v="115316"/>
    <n v="115316"/>
    <s v="Increasing"/>
    <m/>
    <m/>
    <m/>
    <m/>
    <n v="8.1422519604234793"/>
    <n v="11.917344372211099"/>
    <n v="11.646879414822383"/>
    <n v="11.646879414822383"/>
  </r>
  <r>
    <x v="8"/>
    <x v="8"/>
    <n v="70997873.500000104"/>
    <x v="23"/>
    <n v="0"/>
    <n v="73460021"/>
    <n v="0"/>
    <m/>
    <n v="0"/>
    <m/>
    <n v="27373"/>
    <m/>
    <n v="0"/>
    <m/>
    <n v="29514"/>
    <n v="87087354.999999985"/>
    <n v="36980"/>
    <n v="51019"/>
    <m/>
    <n v="93964"/>
    <m/>
    <n v="0"/>
    <m/>
    <n v="101752"/>
    <n v="99010212"/>
    <n v="115316"/>
    <n v="51019"/>
    <n v="27373"/>
    <n v="93964"/>
    <n v="115316"/>
    <n v="27373"/>
    <n v="2015"/>
    <n v="51019"/>
    <s v="2018 (triag)"/>
    <n v="115316"/>
    <n v="2022"/>
    <s v=""/>
    <n v="115316"/>
    <n v="115316"/>
    <s v="Increasing"/>
    <m/>
    <m/>
    <m/>
    <m/>
    <n v="3.7262445106025766"/>
    <n v="5.8583705981195555"/>
    <n v="11.646879414822383"/>
    <n v="11.646879414822383"/>
  </r>
  <r>
    <x v="8"/>
    <x v="8"/>
    <n v="70997874.500000104"/>
    <x v="24"/>
    <n v="0"/>
    <n v="73460021"/>
    <n v="0"/>
    <m/>
    <n v="0"/>
    <m/>
    <n v="17611"/>
    <m/>
    <n v="0"/>
    <m/>
    <n v="14251"/>
    <n v="87087354.999999985"/>
    <n v="14398"/>
    <n v="52766"/>
    <m/>
    <n v="0"/>
    <m/>
    <n v="0"/>
    <m/>
    <n v="0"/>
    <n v="99010212"/>
    <n v="0"/>
    <n v="52766"/>
    <n v="17611"/>
    <n v="14398"/>
    <n v="0"/>
    <n v="17611"/>
    <n v="2015"/>
    <n v="52766"/>
    <s v="2018 (triag)"/>
    <n v="52766"/>
    <s v="2018 (triag)"/>
    <s v=""/>
    <n v="52766"/>
    <n v="52766"/>
    <s v="No change"/>
    <m/>
    <m/>
    <m/>
    <m/>
    <n v="2.3973584216644861"/>
    <n v="6.0589737740915437"/>
    <n v="5.3293492594481062"/>
    <n v="5.3293492594481062"/>
  </r>
  <r>
    <x v="8"/>
    <x v="8"/>
    <n v="70997875.500000104"/>
    <x v="25"/>
    <n v="0"/>
    <n v="73460021"/>
    <n v="1555"/>
    <m/>
    <n v="0"/>
    <m/>
    <n v="0"/>
    <m/>
    <n v="1793"/>
    <m/>
    <n v="0"/>
    <n v="87087354.999999985"/>
    <n v="0"/>
    <n v="3642"/>
    <m/>
    <n v="3149"/>
    <m/>
    <n v="0"/>
    <m/>
    <n v="2093"/>
    <n v="99010212"/>
    <n v="2640"/>
    <n v="3642"/>
    <n v="1555"/>
    <n v="3149"/>
    <n v="2640"/>
    <n v="1555"/>
    <n v="2013"/>
    <n v="3642"/>
    <s v="2018 (triag)"/>
    <n v="2640"/>
    <n v="2022"/>
    <s v="Adjust"/>
    <n v="3039.2846492442031"/>
    <n v="3642"/>
    <s v="Decreasing"/>
    <m/>
    <m/>
    <m/>
    <m/>
    <n v="0.21167976524264812"/>
    <n v="0.41820078242128272"/>
    <n v="0.30696678532959842"/>
    <n v="0.36784084453833915"/>
  </r>
  <r>
    <x v="8"/>
    <x v="8"/>
    <n v="70997876.500000104"/>
    <x v="26"/>
    <n v="0"/>
    <n v="73460021"/>
    <n v="0"/>
    <m/>
    <n v="0"/>
    <m/>
    <n v="0"/>
    <m/>
    <n v="40"/>
    <m/>
    <n v="0"/>
    <n v="87087354.999999985"/>
    <n v="0"/>
    <n v="1990"/>
    <m/>
    <n v="3149"/>
    <m/>
    <n v="0"/>
    <m/>
    <n v="2093"/>
    <n v="99010212"/>
    <n v="2640"/>
    <n v="1990"/>
    <n v="0"/>
    <n v="3149"/>
    <n v="2640"/>
    <m/>
    <s v=""/>
    <n v="1990"/>
    <s v="2018 (triag)"/>
    <n v="2640"/>
    <n v="2022"/>
    <s v=""/>
    <n v="2640"/>
    <n v="2640"/>
    <s v="Increasing"/>
    <m/>
    <m/>
    <m/>
    <m/>
    <n v="0"/>
    <n v="0.22850619357999796"/>
    <n v="0.26663916243306296"/>
    <n v="0.26663916243306296"/>
  </r>
  <r>
    <x v="8"/>
    <x v="8"/>
    <n v="70997877.500000104"/>
    <x v="27"/>
    <n v="0"/>
    <n v="73460021"/>
    <n v="1555"/>
    <m/>
    <n v="0"/>
    <m/>
    <n v="0"/>
    <m/>
    <n v="1753"/>
    <m/>
    <n v="0"/>
    <n v="87087354.999999985"/>
    <n v="0"/>
    <n v="1652"/>
    <m/>
    <n v="0"/>
    <m/>
    <n v="0"/>
    <m/>
    <n v="0"/>
    <n v="99010212"/>
    <n v="0"/>
    <n v="1652"/>
    <n v="1555"/>
    <n v="1753"/>
    <n v="0"/>
    <n v="1555"/>
    <n v="2013"/>
    <n v="1652"/>
    <s v="2018 (triag)"/>
    <n v="1652"/>
    <s v="2018 (triag)"/>
    <s v=""/>
    <n v="1652"/>
    <n v="1652"/>
    <s v="No change"/>
    <m/>
    <m/>
    <m/>
    <m/>
    <n v="0.21167976524264812"/>
    <n v="0.18969458884128473"/>
    <n v="0.16685147588614394"/>
    <n v="0.16685147588614394"/>
  </r>
  <r>
    <x v="8"/>
    <x v="8"/>
    <n v="70997878.500000104"/>
    <x v="28"/>
    <n v="0"/>
    <n v="73460021"/>
    <n v="283"/>
    <m/>
    <n v="0"/>
    <m/>
    <n v="0"/>
    <m/>
    <n v="404"/>
    <m/>
    <n v="0"/>
    <n v="87087354.999999985"/>
    <n v="1687"/>
    <n v="1687"/>
    <m/>
    <n v="584"/>
    <m/>
    <n v="0"/>
    <m/>
    <n v="682"/>
    <n v="99010212"/>
    <n v="806"/>
    <n v="1461"/>
    <n v="283"/>
    <n v="1687"/>
    <n v="806"/>
    <n v="283"/>
    <n v="2013"/>
    <n v="1687"/>
    <n v="2018"/>
    <n v="806"/>
    <n v="2022"/>
    <s v="Adjust"/>
    <n v="927.90281336773774"/>
    <n v="1687"/>
    <s v="Decreasing"/>
    <m/>
    <m/>
    <m/>
    <m/>
    <n v="3.8524355989498014E-2"/>
    <n v="0.19371354199470178"/>
    <n v="9.3717889763506174E-2"/>
    <n v="0.17038646478203684"/>
  </r>
  <r>
    <x v="8"/>
    <x v="8"/>
    <n v="70997879.500000104"/>
    <x v="29"/>
    <n v="0"/>
    <n v="73460021"/>
    <n v="0"/>
    <m/>
    <n v="0"/>
    <m/>
    <n v="0"/>
    <m/>
    <n v="0"/>
    <m/>
    <n v="0"/>
    <n v="87087354.999999985"/>
    <n v="0"/>
    <n v="226"/>
    <m/>
    <n v="188"/>
    <m/>
    <n v="0"/>
    <m/>
    <n v="313"/>
    <n v="99010212"/>
    <n v="378"/>
    <n v="226"/>
    <n v="0"/>
    <n v="188"/>
    <n v="378"/>
    <m/>
    <s v=""/>
    <n v="226"/>
    <s v="2018 (triag)"/>
    <n v="378"/>
    <n v="2022"/>
    <s v=""/>
    <n v="378"/>
    <n v="378"/>
    <s v="Increasing"/>
    <m/>
    <m/>
    <m/>
    <m/>
    <n v="0"/>
    <n v="2.5950954647778662E-2"/>
    <n v="3.8177880075643107E-2"/>
    <n v="3.8177880075643107E-2"/>
  </r>
  <r>
    <x v="8"/>
    <x v="8"/>
    <n v="70997880.500000104"/>
    <x v="30"/>
    <n v="0"/>
    <n v="73460021"/>
    <n v="0"/>
    <m/>
    <n v="0"/>
    <m/>
    <n v="0"/>
    <m/>
    <n v="147"/>
    <m/>
    <n v="0"/>
    <n v="87087354.999999985"/>
    <n v="404"/>
    <n v="404"/>
    <m/>
    <n v="422"/>
    <m/>
    <n v="0"/>
    <m/>
    <n v="268"/>
    <n v="99010212"/>
    <n v="392"/>
    <n v="404"/>
    <n v="0"/>
    <n v="422"/>
    <n v="392"/>
    <m/>
    <s v=""/>
    <n v="404"/>
    <n v="2018"/>
    <n v="392"/>
    <n v="2022"/>
    <s v="Adjust"/>
    <n v="451.28772064535138"/>
    <n v="451.28772064535138"/>
    <s v="Increasing"/>
    <m/>
    <m/>
    <m/>
    <m/>
    <n v="0"/>
    <n v="4.6390202113728227E-2"/>
    <n v="4.5579916609546439E-2"/>
    <n v="4.5579916609546439E-2"/>
  </r>
  <r>
    <x v="8"/>
    <x v="8"/>
    <n v="70997881.500000104"/>
    <x v="31"/>
    <n v="0"/>
    <n v="73460021"/>
    <n v="0"/>
    <m/>
    <n v="0"/>
    <m/>
    <n v="0"/>
    <m/>
    <n v="0"/>
    <m/>
    <n v="0"/>
    <n v="87087354.999999985"/>
    <n v="0"/>
    <n v="0"/>
    <m/>
    <n v="0"/>
    <m/>
    <n v="0"/>
    <m/>
    <n v="0"/>
    <n v="99010212"/>
    <n v="0"/>
    <n v="0"/>
    <n v="0"/>
    <n v="0"/>
    <n v="0"/>
    <m/>
    <s v=""/>
    <m/>
    <s v=""/>
    <n v="0"/>
    <s v=""/>
    <s v=""/>
    <m/>
    <n v="0"/>
    <s v="No change"/>
    <m/>
    <m/>
    <m/>
    <m/>
    <n v="0"/>
    <n v="0"/>
    <n v="0"/>
    <n v="0"/>
  </r>
  <r>
    <x v="8"/>
    <x v="8"/>
    <n v="70997882.500000104"/>
    <x v="32"/>
    <n v="0"/>
    <n v="73460021"/>
    <n v="0"/>
    <m/>
    <n v="0"/>
    <m/>
    <n v="0"/>
    <m/>
    <n v="0"/>
    <m/>
    <n v="0"/>
    <n v="87087354.999999985"/>
    <n v="0"/>
    <n v="0"/>
    <m/>
    <n v="0"/>
    <m/>
    <n v="0"/>
    <m/>
    <n v="0"/>
    <n v="99010212"/>
    <n v="0"/>
    <n v="0"/>
    <n v="0"/>
    <n v="0"/>
    <n v="0"/>
    <m/>
    <s v=""/>
    <m/>
    <s v=""/>
    <n v="0"/>
    <s v=""/>
    <s v=""/>
    <m/>
    <n v="0"/>
    <s v="No change"/>
    <m/>
    <m/>
    <m/>
    <m/>
    <n v="0"/>
    <n v="0"/>
    <n v="0"/>
    <n v="0"/>
  </r>
  <r>
    <x v="9"/>
    <x v="9"/>
    <n v="4713256.5000000028"/>
    <x v="19"/>
    <n v="0"/>
    <n v="4828066.5000000028"/>
    <n v="0"/>
    <n v="4944861.5000000019"/>
    <n v="0"/>
    <n v="5064386.0000000019"/>
    <n v="0"/>
    <n v="5186823.4999999981"/>
    <n v="530"/>
    <n v="5312339.5000000009"/>
    <n v="0"/>
    <n v="5441061.9999999972"/>
    <n v="544"/>
    <n v="544"/>
    <n v="5570732.4999999953"/>
    <n v="0"/>
    <n v="5702174"/>
    <n v="0"/>
    <n v="5835806.0000000009"/>
    <n v="0"/>
    <n v="5970424.0000000009"/>
    <n v="1042"/>
    <n v="544"/>
    <n v="0"/>
    <n v="544"/>
    <n v="1042"/>
    <m/>
    <s v=""/>
    <n v="544"/>
    <n v="2018"/>
    <n v="1042"/>
    <n v="2022"/>
    <s v=""/>
    <n v="1042"/>
    <n v="1042"/>
    <s v="Increasing"/>
    <m/>
    <m/>
    <m/>
    <m/>
    <n v="0"/>
    <n v="0.99980481751540462"/>
    <n v="1.7452696826892025"/>
    <n v="1.7452696826892025"/>
  </r>
  <r>
    <x v="9"/>
    <x v="9"/>
    <n v="4713257.5"/>
    <x v="20"/>
    <n v="0"/>
    <n v="4828066.5000000028"/>
    <n v="0"/>
    <m/>
    <n v="0"/>
    <m/>
    <n v="0"/>
    <m/>
    <n v="269"/>
    <m/>
    <n v="0"/>
    <n v="5441061.9999999972"/>
    <n v="269"/>
    <n v="269"/>
    <m/>
    <n v="0"/>
    <m/>
    <n v="0"/>
    <m/>
    <n v="0"/>
    <n v="5970424.0000000009"/>
    <n v="787"/>
    <n v="269"/>
    <n v="0"/>
    <n v="269"/>
    <n v="787"/>
    <m/>
    <s v=""/>
    <n v="269"/>
    <n v="2016"/>
    <n v="787"/>
    <n v="2022"/>
    <s v=""/>
    <n v="787"/>
    <n v="787"/>
    <s v="Increasing"/>
    <m/>
    <m/>
    <m/>
    <m/>
    <n v="0"/>
    <n v="0.49438877924934532"/>
    <n v="1.3181643380771615"/>
    <n v="1.3181643380771615"/>
  </r>
  <r>
    <x v="9"/>
    <x v="9"/>
    <n v="4713258.5"/>
    <x v="21"/>
    <n v="0"/>
    <n v="4828066.5000000028"/>
    <n v="0"/>
    <m/>
    <n v="0"/>
    <m/>
    <n v="0"/>
    <m/>
    <n v="261"/>
    <m/>
    <n v="0"/>
    <n v="5441061.9999999972"/>
    <n v="275"/>
    <n v="275"/>
    <m/>
    <n v="0"/>
    <m/>
    <n v="0"/>
    <m/>
    <n v="0"/>
    <n v="5970424.0000000009"/>
    <n v="255"/>
    <n v="275"/>
    <n v="0"/>
    <n v="275"/>
    <n v="255"/>
    <m/>
    <s v=""/>
    <n v="275"/>
    <n v="2018"/>
    <n v="255"/>
    <n v="2022"/>
    <s v="Adjust"/>
    <n v="293.07115430170586"/>
    <n v="293.07115430170586"/>
    <s v="Increasing"/>
    <m/>
    <m/>
    <m/>
    <m/>
    <n v="0"/>
    <n v="0.5054160382660593"/>
    <n v="0.49087159354462234"/>
    <n v="0.49087159354462234"/>
  </r>
  <r>
    <x v="9"/>
    <x v="9"/>
    <n v="4713259.5"/>
    <x v="22"/>
    <n v="0"/>
    <n v="4828066.5000000028"/>
    <n v="3289"/>
    <m/>
    <n v="3458"/>
    <m/>
    <n v="3852"/>
    <m/>
    <n v="3717"/>
    <m/>
    <n v="0"/>
    <n v="5441061.9999999972"/>
    <n v="5081"/>
    <n v="5081"/>
    <m/>
    <n v="0"/>
    <m/>
    <n v="0"/>
    <m/>
    <n v="0"/>
    <n v="5970424.0000000009"/>
    <n v="5573"/>
    <n v="4012"/>
    <n v="3852"/>
    <n v="5081"/>
    <n v="5573"/>
    <n v="3289"/>
    <n v="2013"/>
    <n v="5081"/>
    <n v="2018"/>
    <n v="5573"/>
    <n v="2022"/>
    <s v=""/>
    <n v="5573"/>
    <n v="5573"/>
    <s v="Increasing"/>
    <m/>
    <m/>
    <m/>
    <m/>
    <n v="6.8122508254598362"/>
    <n v="9.3382505106539906"/>
    <n v="9.3343454334231524"/>
    <n v="9.3343454334231524"/>
  </r>
  <r>
    <x v="9"/>
    <x v="9"/>
    <n v="4713260.5"/>
    <x v="23"/>
    <n v="0"/>
    <n v="4828066.5000000028"/>
    <n v="0"/>
    <m/>
    <n v="0"/>
    <m/>
    <n v="1934"/>
    <m/>
    <n v="1870"/>
    <m/>
    <n v="0"/>
    <n v="5441061.9999999972"/>
    <n v="0"/>
    <n v="2707"/>
    <m/>
    <n v="0"/>
    <m/>
    <n v="0"/>
    <m/>
    <n v="0"/>
    <n v="5970424.0000000009"/>
    <n v="5573"/>
    <n v="2707"/>
    <n v="1934"/>
    <n v="1870"/>
    <n v="5573"/>
    <n v="1934"/>
    <n v="2015"/>
    <n v="2707"/>
    <s v="2018 (triag)"/>
    <n v="5573"/>
    <n v="2022"/>
    <s v=""/>
    <n v="5573"/>
    <n v="5573"/>
    <s v="Increasing"/>
    <m/>
    <m/>
    <m/>
    <m/>
    <n v="4.0057443285008585"/>
    <n v="4.9751316930408098"/>
    <n v="9.3343454334231524"/>
    <n v="9.3343454334231524"/>
  </r>
  <r>
    <x v="9"/>
    <x v="9"/>
    <n v="4713261.5"/>
    <x v="24"/>
    <n v="0"/>
    <n v="4828066.5000000028"/>
    <n v="0"/>
    <m/>
    <n v="0"/>
    <m/>
    <n v="1918"/>
    <m/>
    <n v="1847"/>
    <m/>
    <n v="0"/>
    <n v="5441061.9999999972"/>
    <n v="0"/>
    <n v="1305"/>
    <m/>
    <n v="0"/>
    <m/>
    <n v="0"/>
    <m/>
    <n v="0"/>
    <n v="5970424.0000000009"/>
    <n v="0"/>
    <n v="1305"/>
    <n v="1918"/>
    <n v="1847"/>
    <n v="0"/>
    <n v="1918"/>
    <n v="2015"/>
    <n v="1305"/>
    <s v="2018 (triag)"/>
    <n v="1305"/>
    <s v="2018 (triag)"/>
    <s v=""/>
    <n v="1305"/>
    <n v="1305"/>
    <s v="No change"/>
    <m/>
    <m/>
    <m/>
    <m/>
    <n v="3.9726047683891657"/>
    <n v="2.3984288361352997"/>
    <n v="2.185774410661621"/>
    <n v="2.185774410661621"/>
  </r>
  <r>
    <x v="9"/>
    <x v="9"/>
    <n v="4713262.5"/>
    <x v="25"/>
    <n v="0"/>
    <n v="4828066.5000000028"/>
    <n v="1282"/>
    <m/>
    <n v="0"/>
    <m/>
    <n v="0"/>
    <m/>
    <n v="921"/>
    <m/>
    <n v="0"/>
    <n v="5441061.9999999972"/>
    <n v="0"/>
    <n v="1069"/>
    <m/>
    <n v="0"/>
    <m/>
    <n v="0"/>
    <m/>
    <n v="0"/>
    <n v="5970424.0000000009"/>
    <n v="907"/>
    <n v="1069"/>
    <n v="1282"/>
    <n v="921"/>
    <n v="907"/>
    <n v="1282"/>
    <n v="2013"/>
    <n v="1069"/>
    <s v="2018 (triag)"/>
    <n v="907"/>
    <n v="2022"/>
    <s v="Adjust"/>
    <n v="1042.4138703986166"/>
    <n v="1069"/>
    <s v="Decreasing"/>
    <m/>
    <m/>
    <m/>
    <m/>
    <n v="2.6553072539493798"/>
    <n v="1.9646899814778815"/>
    <n v="1.7459628837057743"/>
    <n v="1.7904926015304772"/>
  </r>
  <r>
    <x v="9"/>
    <x v="9"/>
    <n v="4713263.5"/>
    <x v="26"/>
    <n v="0"/>
    <n v="4828066.5000000028"/>
    <n v="1215"/>
    <m/>
    <n v="0"/>
    <m/>
    <n v="0"/>
    <m/>
    <n v="0"/>
    <m/>
    <n v="0"/>
    <n v="5441061.9999999972"/>
    <n v="0"/>
    <n v="921"/>
    <m/>
    <n v="0"/>
    <m/>
    <n v="0"/>
    <m/>
    <n v="0"/>
    <n v="5970424.0000000009"/>
    <n v="907"/>
    <n v="921"/>
    <n v="1215"/>
    <n v="0"/>
    <n v="907"/>
    <n v="1215"/>
    <n v="2013"/>
    <n v="921"/>
    <s v="2018 (triag)"/>
    <n v="907"/>
    <n v="2022"/>
    <s v="Adjust"/>
    <n v="1042.4138703986166"/>
    <n v="1042.4138703986166"/>
    <s v="Increasing"/>
    <m/>
    <m/>
    <m/>
    <m/>
    <n v="2.5165353459816662"/>
    <n v="1.6926842590656024"/>
    <n v="1.7459628837057743"/>
    <n v="1.7459628837057743"/>
  </r>
  <r>
    <x v="9"/>
    <x v="9"/>
    <n v="4713264.5"/>
    <x v="27"/>
    <n v="0"/>
    <n v="4828066.5000000028"/>
    <n v="67"/>
    <m/>
    <n v="0"/>
    <m/>
    <n v="0"/>
    <m/>
    <n v="0"/>
    <m/>
    <n v="0"/>
    <n v="5441061.9999999972"/>
    <n v="0"/>
    <n v="148"/>
    <m/>
    <n v="0"/>
    <m/>
    <n v="0"/>
    <m/>
    <n v="0"/>
    <n v="5970424.0000000009"/>
    <n v="0"/>
    <n v="148"/>
    <n v="67"/>
    <n v="0"/>
    <n v="0"/>
    <n v="67"/>
    <n v="2013"/>
    <n v="148"/>
    <s v="2018 (triag)"/>
    <n v="148"/>
    <s v="2018 (triag)"/>
    <s v=""/>
    <n v="148"/>
    <n v="148"/>
    <s v="No change"/>
    <m/>
    <m/>
    <m/>
    <m/>
    <n v="0.1387719079677133"/>
    <n v="0.27200572241227922"/>
    <n v="0.24788859216698844"/>
    <n v="0.24788859216698844"/>
  </r>
  <r>
    <x v="9"/>
    <x v="9"/>
    <n v="4713265.5"/>
    <x v="28"/>
    <n v="0"/>
    <n v="4828066.5000000028"/>
    <n v="0"/>
    <m/>
    <n v="0"/>
    <m/>
    <n v="0"/>
    <m/>
    <n v="73"/>
    <m/>
    <n v="0"/>
    <n v="5441061.9999999972"/>
    <n v="157"/>
    <n v="157"/>
    <m/>
    <n v="0"/>
    <m/>
    <n v="0"/>
    <m/>
    <n v="0"/>
    <n v="5970424.0000000009"/>
    <n v="28"/>
    <n v="73"/>
    <n v="0"/>
    <n v="157"/>
    <n v="28"/>
    <m/>
    <s v=""/>
    <n v="157"/>
    <n v="2018"/>
    <n v="28"/>
    <n v="2022"/>
    <s v="Adjust"/>
    <n v="32.180362040971623"/>
    <n v="157"/>
    <s v="Decreasing"/>
    <m/>
    <m/>
    <m/>
    <m/>
    <n v="0"/>
    <n v="0.28854661093735023"/>
    <n v="5.3899625957840876E-2"/>
    <n v="0.26296289844741338"/>
  </r>
  <r>
    <x v="9"/>
    <x v="9"/>
    <n v="4713266.5"/>
    <x v="29"/>
    <n v="0"/>
    <n v="4828066.5000000028"/>
    <n v="0"/>
    <m/>
    <n v="0"/>
    <m/>
    <n v="0"/>
    <m/>
    <n v="0"/>
    <m/>
    <n v="0"/>
    <n v="5441061.9999999972"/>
    <n v="0"/>
    <n v="84"/>
    <m/>
    <n v="0"/>
    <m/>
    <n v="0"/>
    <m/>
    <n v="0"/>
    <n v="5970424.0000000009"/>
    <n v="80"/>
    <n v="84"/>
    <n v="0"/>
    <n v="0"/>
    <n v="80"/>
    <m/>
    <s v=""/>
    <n v="84"/>
    <s v="2018 (triag)"/>
    <n v="80"/>
    <n v="2022"/>
    <s v="Adjust"/>
    <n v="91.943891545633221"/>
    <n v="91.943891545633221"/>
    <s v="Increasing"/>
    <m/>
    <m/>
    <m/>
    <m/>
    <n v="0"/>
    <n v="0.15438162623399632"/>
    <n v="0.15399893130811684"/>
    <n v="0.15399893130811684"/>
  </r>
  <r>
    <x v="9"/>
    <x v="9"/>
    <n v="4713267.5"/>
    <x v="30"/>
    <n v="0"/>
    <n v="4828066.5000000028"/>
    <n v="0"/>
    <m/>
    <n v="0"/>
    <m/>
    <n v="0"/>
    <m/>
    <n v="27"/>
    <m/>
    <n v="0"/>
    <n v="5441061.9999999972"/>
    <n v="27"/>
    <n v="27"/>
    <m/>
    <n v="0"/>
    <m/>
    <n v="0"/>
    <m/>
    <n v="0"/>
    <n v="5970424.0000000009"/>
    <n v="9"/>
    <n v="27"/>
    <n v="0"/>
    <n v="27"/>
    <n v="9"/>
    <m/>
    <s v=""/>
    <n v="27"/>
    <n v="2016"/>
    <n v="9"/>
    <n v="2022"/>
    <s v="Adjust"/>
    <n v="10.343687798883737"/>
    <n v="27"/>
    <s v="Decreasing"/>
    <m/>
    <m/>
    <m/>
    <m/>
    <n v="0"/>
    <n v="4.9622665575213103E-2"/>
    <n v="1.732487977216314E-2"/>
    <n v="4.5222918841274919E-2"/>
  </r>
  <r>
    <x v="9"/>
    <x v="9"/>
    <n v="4713268.5"/>
    <x v="31"/>
    <n v="0"/>
    <n v="4828066.5000000028"/>
    <n v="0"/>
    <m/>
    <n v="0"/>
    <m/>
    <n v="0"/>
    <m/>
    <n v="0"/>
    <m/>
    <n v="0"/>
    <n v="5441061.9999999972"/>
    <n v="0"/>
    <n v="0"/>
    <m/>
    <n v="0"/>
    <m/>
    <n v="0"/>
    <m/>
    <n v="0"/>
    <n v="5970424.0000000009"/>
    <n v="0"/>
    <n v="0"/>
    <n v="0"/>
    <n v="0"/>
    <n v="0"/>
    <m/>
    <s v=""/>
    <m/>
    <s v=""/>
    <n v="0"/>
    <s v=""/>
    <s v=""/>
    <m/>
    <n v="0"/>
    <s v="No change"/>
    <m/>
    <m/>
    <m/>
    <m/>
    <n v="0"/>
    <n v="0"/>
    <n v="0"/>
    <n v="0"/>
  </r>
  <r>
    <x v="9"/>
    <x v="9"/>
    <n v="4713269.5"/>
    <x v="32"/>
    <n v="0"/>
    <n v="4828066.5000000028"/>
    <n v="0"/>
    <m/>
    <n v="0"/>
    <m/>
    <n v="0"/>
    <m/>
    <n v="67"/>
    <m/>
    <n v="0"/>
    <n v="5441061.9999999972"/>
    <n v="0"/>
    <n v="0"/>
    <m/>
    <n v="0"/>
    <m/>
    <n v="0"/>
    <m/>
    <n v="0"/>
    <n v="5970424.0000000009"/>
    <n v="0"/>
    <n v="0"/>
    <n v="0"/>
    <n v="67"/>
    <n v="0"/>
    <m/>
    <s v=""/>
    <m/>
    <s v=""/>
    <n v="0"/>
    <s v=""/>
    <s v=""/>
    <m/>
    <n v="0"/>
    <s v="No change"/>
    <m/>
    <m/>
    <m/>
    <m/>
    <n v="0"/>
    <n v="0"/>
    <n v="0"/>
    <n v="0"/>
  </r>
  <r>
    <x v="10"/>
    <x v="10"/>
    <n v="684552.49999999988"/>
    <x v="19"/>
    <n v="123"/>
    <n v="699392.50000000035"/>
    <n v="0"/>
    <n v="714612.00000000012"/>
    <n v="0"/>
    <n v="730215.49999999953"/>
    <n v="0"/>
    <n v="746232.00000000012"/>
    <n v="216"/>
    <n v="761663.99999999977"/>
    <n v="0"/>
    <n v="776313.5000000007"/>
    <n v="220"/>
    <n v="220"/>
    <n v="790986.00000000023"/>
    <n v="0"/>
    <n v="806166.00000000023"/>
    <n v="354"/>
    <n v="821625.49999999988"/>
    <n v="0"/>
    <n v="836773.49999999977"/>
    <n v="0"/>
    <n v="220"/>
    <n v="123"/>
    <n v="220"/>
    <n v="354"/>
    <n v="123"/>
    <n v="2012"/>
    <n v="220"/>
    <n v="2018"/>
    <n v="354"/>
    <n v="2020"/>
    <s v=""/>
    <n v="354"/>
    <n v="354"/>
    <s v="Increasing"/>
    <m/>
    <m/>
    <m/>
    <m/>
    <n v="1.7586691307098652"/>
    <n v="2.8339066627077822"/>
    <n v="4.2305355033351333"/>
    <n v="4.2305355033351333"/>
  </r>
  <r>
    <x v="10"/>
    <x v="10"/>
    <n v="684553.5"/>
    <x v="20"/>
    <n v="0"/>
    <n v="699392.50000000035"/>
    <n v="0"/>
    <m/>
    <n v="0"/>
    <m/>
    <n v="0"/>
    <m/>
    <n v="216"/>
    <m/>
    <n v="0"/>
    <n v="776313.5000000007"/>
    <n v="130"/>
    <n v="130"/>
    <m/>
    <n v="0"/>
    <m/>
    <n v="241"/>
    <m/>
    <n v="0"/>
    <n v="836773.49999999977"/>
    <n v="0"/>
    <n v="130"/>
    <n v="0"/>
    <n v="216"/>
    <n v="241"/>
    <m/>
    <s v=""/>
    <n v="130"/>
    <n v="2018"/>
    <n v="241"/>
    <n v="2020"/>
    <s v=""/>
    <n v="241"/>
    <n v="241"/>
    <s v="Increasing"/>
    <m/>
    <m/>
    <m/>
    <m/>
    <n v="0"/>
    <n v="1.6745812097818713"/>
    <n v="2.8801103285417149"/>
    <n v="2.8801103285417149"/>
  </r>
  <r>
    <x v="10"/>
    <x v="10"/>
    <n v="684554.5"/>
    <x v="21"/>
    <n v="0"/>
    <n v="699392.50000000035"/>
    <n v="0"/>
    <m/>
    <n v="0"/>
    <m/>
    <n v="0"/>
    <m/>
    <n v="0"/>
    <m/>
    <n v="0"/>
    <n v="776313.5000000007"/>
    <n v="90"/>
    <n v="90"/>
    <m/>
    <n v="0"/>
    <m/>
    <n v="113"/>
    <m/>
    <n v="0"/>
    <n v="836773.49999999977"/>
    <n v="0"/>
    <n v="90"/>
    <n v="0"/>
    <n v="90"/>
    <n v="113"/>
    <m/>
    <s v=""/>
    <n v="90"/>
    <n v="2018"/>
    <n v="113"/>
    <n v="2020"/>
    <s v=""/>
    <n v="113"/>
    <n v="113"/>
    <s v="Increasing"/>
    <m/>
    <m/>
    <m/>
    <m/>
    <n v="0"/>
    <n v="1.1593254529259109"/>
    <n v="1.3504251747934182"/>
    <n v="1.3504251747934182"/>
  </r>
  <r>
    <x v="10"/>
    <x v="10"/>
    <n v="684555.5"/>
    <x v="22"/>
    <n v="0"/>
    <n v="699392.50000000035"/>
    <n v="0"/>
    <m/>
    <n v="0"/>
    <m/>
    <n v="0"/>
    <m/>
    <n v="0"/>
    <m/>
    <n v="0"/>
    <n v="776313.5000000007"/>
    <n v="679"/>
    <n v="747"/>
    <m/>
    <n v="0"/>
    <m/>
    <n v="683"/>
    <m/>
    <n v="0"/>
    <n v="836773.49999999977"/>
    <n v="0"/>
    <n v="747"/>
    <n v="0"/>
    <n v="679"/>
    <n v="683"/>
    <m/>
    <s v=""/>
    <n v="747"/>
    <s v="2018 (triag)"/>
    <n v="683"/>
    <n v="2020"/>
    <s v="Adjust"/>
    <n v="784.97097407084357"/>
    <n v="784.97097407084357"/>
    <s v="Increasing"/>
    <m/>
    <m/>
    <m/>
    <m/>
    <n v="0"/>
    <n v="9.622401259285061"/>
    <n v="9.3809253528086618"/>
    <n v="9.3809253528086618"/>
  </r>
  <r>
    <x v="10"/>
    <x v="10"/>
    <n v="684556.5"/>
    <x v="23"/>
    <n v="0"/>
    <n v="699392.50000000035"/>
    <n v="0"/>
    <m/>
    <n v="0"/>
    <m/>
    <n v="0"/>
    <m/>
    <n v="0"/>
    <m/>
    <n v="0"/>
    <n v="776313.5000000007"/>
    <n v="679"/>
    <n v="679"/>
    <m/>
    <n v="0"/>
    <m/>
    <n v="683"/>
    <m/>
    <n v="0"/>
    <n v="836773.49999999977"/>
    <n v="0"/>
    <n v="676"/>
    <n v="0"/>
    <n v="679"/>
    <n v="683"/>
    <m/>
    <s v=""/>
    <n v="679"/>
    <n v="2018"/>
    <n v="683"/>
    <n v="2020"/>
    <s v=""/>
    <n v="683"/>
    <n v="683"/>
    <s v="Increasing"/>
    <m/>
    <m/>
    <m/>
    <m/>
    <n v="0"/>
    <n v="8.7464664726299279"/>
    <n v="8.1623043750788025"/>
    <n v="8.1623043750788025"/>
  </r>
  <r>
    <x v="10"/>
    <x v="10"/>
    <n v="684557.5"/>
    <x v="24"/>
    <n v="0"/>
    <n v="699392.50000000035"/>
    <n v="0"/>
    <m/>
    <n v="0"/>
    <m/>
    <n v="0"/>
    <m/>
    <n v="0"/>
    <m/>
    <n v="0"/>
    <n v="776313.5000000007"/>
    <n v="0"/>
    <n v="71"/>
    <m/>
    <n v="0"/>
    <m/>
    <n v="0"/>
    <m/>
    <n v="0"/>
    <n v="836773.49999999977"/>
    <n v="0"/>
    <n v="71"/>
    <n v="0"/>
    <n v="0"/>
    <n v="0"/>
    <m/>
    <s v=""/>
    <n v="71"/>
    <s v="2018 (triag)"/>
    <n v="71"/>
    <s v="2018 (triag)"/>
    <s v=""/>
    <n v="71"/>
    <n v="71"/>
    <s v="No change"/>
    <m/>
    <m/>
    <m/>
    <m/>
    <n v="0"/>
    <n v="0.91457896841932973"/>
    <n v="0.84849723371975838"/>
    <n v="0.84849723371975838"/>
  </r>
  <r>
    <x v="10"/>
    <x v="10"/>
    <n v="684558.5"/>
    <x v="25"/>
    <n v="667"/>
    <n v="699392.50000000035"/>
    <n v="295"/>
    <m/>
    <n v="0"/>
    <m/>
    <n v="0"/>
    <m/>
    <n v="500"/>
    <m/>
    <n v="0"/>
    <n v="776313.5000000007"/>
    <n v="484"/>
    <n v="487"/>
    <m/>
    <n v="0"/>
    <m/>
    <n v="586"/>
    <m/>
    <n v="0"/>
    <n v="836773.49999999977"/>
    <n v="0"/>
    <n v="487"/>
    <n v="667"/>
    <n v="500"/>
    <n v="586"/>
    <n v="295"/>
    <n v="2013"/>
    <n v="487"/>
    <s v="2018 (triag)"/>
    <n v="586"/>
    <n v="2020"/>
    <s v=""/>
    <n v="586"/>
    <n v="586"/>
    <s v="Increasing"/>
    <m/>
    <m/>
    <m/>
    <m/>
    <n v="4.2179462891008965"/>
    <n v="6.2732388397213183"/>
    <n v="7.0030898445039211"/>
    <n v="7.0030898445039211"/>
  </r>
  <r>
    <x v="10"/>
    <x v="10"/>
    <n v="684559.5"/>
    <x v="26"/>
    <n v="0"/>
    <n v="699392.50000000035"/>
    <n v="284"/>
    <m/>
    <n v="0"/>
    <m/>
    <n v="0"/>
    <m/>
    <n v="475"/>
    <m/>
    <n v="0"/>
    <n v="776313.5000000007"/>
    <n v="484"/>
    <n v="487"/>
    <m/>
    <n v="0"/>
    <m/>
    <n v="586"/>
    <m/>
    <n v="0"/>
    <n v="836773.49999999977"/>
    <n v="0"/>
    <n v="487"/>
    <n v="284"/>
    <n v="484"/>
    <n v="586"/>
    <n v="284"/>
    <n v="2013"/>
    <n v="487"/>
    <s v="2018 (triag)"/>
    <n v="586"/>
    <n v="2020"/>
    <s v=""/>
    <n v="586"/>
    <n v="586"/>
    <s v="Increasing"/>
    <m/>
    <m/>
    <m/>
    <m/>
    <n v="4.0606669359479817"/>
    <n v="6.2732388397213183"/>
    <n v="7.0030898445039211"/>
    <n v="7.0030898445039211"/>
  </r>
  <r>
    <x v="10"/>
    <x v="10"/>
    <n v="684560.5"/>
    <x v="27"/>
    <n v="0"/>
    <n v="699392.50000000035"/>
    <n v="11"/>
    <m/>
    <n v="0"/>
    <m/>
    <n v="0"/>
    <m/>
    <n v="25"/>
    <m/>
    <n v="0"/>
    <n v="776313.5000000007"/>
    <n v="0"/>
    <n v="0"/>
    <m/>
    <n v="0"/>
    <m/>
    <n v="0"/>
    <m/>
    <n v="0"/>
    <n v="836773.49999999977"/>
    <n v="0"/>
    <n v="0"/>
    <n v="11"/>
    <n v="25"/>
    <n v="0"/>
    <n v="11"/>
    <n v="2013"/>
    <m/>
    <s v=""/>
    <n v="0"/>
    <s v=""/>
    <s v=""/>
    <m/>
    <n v="0"/>
    <s v="No change"/>
    <m/>
    <m/>
    <m/>
    <m/>
    <n v="0.15727935315291477"/>
    <n v="0"/>
    <n v="0"/>
    <n v="0"/>
  </r>
  <r>
    <x v="10"/>
    <x v="10"/>
    <n v="684561.5"/>
    <x v="28"/>
    <n v="16"/>
    <n v="699392.50000000035"/>
    <n v="0"/>
    <m/>
    <n v="0"/>
    <m/>
    <n v="0"/>
    <m/>
    <n v="0"/>
    <m/>
    <n v="0"/>
    <n v="776313.5000000007"/>
    <n v="36"/>
    <n v="36"/>
    <m/>
    <n v="0"/>
    <m/>
    <n v="35"/>
    <m/>
    <n v="0"/>
    <n v="836773.49999999977"/>
    <n v="0"/>
    <n v="36"/>
    <n v="16"/>
    <n v="36"/>
    <n v="35"/>
    <n v="16"/>
    <n v="2012"/>
    <n v="36"/>
    <n v="2018"/>
    <n v="35"/>
    <n v="2020"/>
    <s v="Adjust"/>
    <n v="40.225452551214531"/>
    <n v="40.225452551214531"/>
    <s v="Increasing"/>
    <m/>
    <m/>
    <m/>
    <m/>
    <n v="0.22876996822242149"/>
    <n v="0.46373018117036441"/>
    <n v="0.48072091851874543"/>
    <n v="0.48072091851874543"/>
  </r>
  <r>
    <x v="10"/>
    <x v="10"/>
    <n v="684562.5"/>
    <x v="29"/>
    <n v="0"/>
    <n v="699392.50000000035"/>
    <n v="0"/>
    <m/>
    <n v="0"/>
    <m/>
    <n v="0"/>
    <m/>
    <n v="0"/>
    <m/>
    <n v="0"/>
    <n v="776313.5000000007"/>
    <n v="19"/>
    <n v="19"/>
    <m/>
    <n v="0"/>
    <m/>
    <n v="71"/>
    <m/>
    <n v="0"/>
    <n v="836773.49999999977"/>
    <n v="0"/>
    <n v="19"/>
    <n v="0"/>
    <n v="19"/>
    <n v="71"/>
    <m/>
    <s v=""/>
    <n v="19"/>
    <n v="2018"/>
    <n v="71"/>
    <n v="2020"/>
    <s v=""/>
    <n v="71"/>
    <n v="71"/>
    <s v="Increasing"/>
    <m/>
    <m/>
    <m/>
    <m/>
    <n v="0"/>
    <n v="0.24474648450658121"/>
    <n v="0.84849723371975838"/>
    <n v="0.84849723371975838"/>
  </r>
  <r>
    <x v="10"/>
    <x v="10"/>
    <n v="684563.5"/>
    <x v="30"/>
    <n v="18"/>
    <n v="699392.50000000035"/>
    <n v="0"/>
    <m/>
    <n v="0"/>
    <m/>
    <n v="0"/>
    <m/>
    <n v="0"/>
    <m/>
    <n v="0"/>
    <n v="776313.5000000007"/>
    <n v="32"/>
    <n v="32"/>
    <m/>
    <n v="0"/>
    <m/>
    <n v="32"/>
    <m/>
    <n v="0"/>
    <n v="836773.49999999977"/>
    <n v="0"/>
    <n v="32"/>
    <n v="18"/>
    <n v="32"/>
    <n v="32"/>
    <n v="18"/>
    <n v="2012"/>
    <n v="32"/>
    <n v="2018"/>
    <n v="32"/>
    <n v="2020"/>
    <s v=""/>
    <n v="32"/>
    <n v="32"/>
    <s v="No change"/>
    <m/>
    <m/>
    <m/>
    <m/>
    <n v="0.25736621425022416"/>
    <n v="0.41220460548476834"/>
    <n v="0.38242128843707418"/>
    <n v="0.38242128843707418"/>
  </r>
  <r>
    <x v="10"/>
    <x v="10"/>
    <n v="684564.5"/>
    <x v="31"/>
    <n v="0"/>
    <n v="699392.50000000035"/>
    <n v="0"/>
    <m/>
    <n v="0"/>
    <m/>
    <n v="0"/>
    <m/>
    <n v="0"/>
    <m/>
    <n v="0"/>
    <n v="776313.5000000007"/>
    <n v="0"/>
    <n v="0"/>
    <m/>
    <n v="0"/>
    <m/>
    <n v="0"/>
    <m/>
    <n v="0"/>
    <n v="836773.49999999977"/>
    <n v="0"/>
    <n v="0"/>
    <n v="0"/>
    <n v="0"/>
    <n v="0"/>
    <m/>
    <s v=""/>
    <m/>
    <s v=""/>
    <n v="0"/>
    <s v=""/>
    <s v=""/>
    <m/>
    <n v="0"/>
    <s v="No change"/>
    <m/>
    <m/>
    <m/>
    <m/>
    <n v="0"/>
    <n v="0"/>
    <n v="0"/>
    <n v="0"/>
  </r>
  <r>
    <x v="10"/>
    <x v="10"/>
    <n v="684565.5"/>
    <x v="32"/>
    <n v="0"/>
    <n v="699392.50000000035"/>
    <n v="0"/>
    <m/>
    <n v="0"/>
    <m/>
    <n v="0"/>
    <m/>
    <n v="0"/>
    <m/>
    <n v="0"/>
    <n v="776313.5000000007"/>
    <n v="0"/>
    <n v="0"/>
    <m/>
    <n v="0"/>
    <m/>
    <n v="0"/>
    <m/>
    <n v="0"/>
    <n v="836773.49999999977"/>
    <n v="0"/>
    <n v="0"/>
    <n v="0"/>
    <n v="0"/>
    <n v="0"/>
    <m/>
    <s v=""/>
    <m/>
    <s v=""/>
    <n v="0"/>
    <s v=""/>
    <s v=""/>
    <m/>
    <n v="0"/>
    <s v="No change"/>
    <m/>
    <m/>
    <m/>
    <m/>
    <n v="0"/>
    <n v="0"/>
    <n v="0"/>
    <n v="0"/>
  </r>
  <r>
    <x v="11"/>
    <x v="11"/>
    <n v="533864.00000000012"/>
    <x v="19"/>
    <n v="260"/>
    <n v="539939.99999999988"/>
    <n v="308"/>
    <n v="546076"/>
    <n v="0"/>
    <n v="552166.00000000012"/>
    <n v="410"/>
    <n v="558394.50000000035"/>
    <n v="408"/>
    <n v="564954.00000000035"/>
    <n v="0"/>
    <n v="571201.5"/>
    <n v="452"/>
    <n v="452"/>
    <n v="577030.49999999965"/>
    <n v="0"/>
    <n v="582640.00000000023"/>
    <n v="0"/>
    <n v="587925"/>
    <n v="0"/>
    <n v="593149.50000000012"/>
    <n v="2644"/>
    <n v="452"/>
    <n v="410"/>
    <n v="452"/>
    <n v="2644"/>
    <n v="308"/>
    <n v="2013"/>
    <n v="452"/>
    <n v="2018"/>
    <n v="2644"/>
    <n v="2022"/>
    <s v=""/>
    <n v="2644"/>
    <n v="2644"/>
    <s v="Increasing"/>
    <m/>
    <m/>
    <m/>
    <m/>
    <n v="5.7043375189835919"/>
    <n v="7.913144485790041"/>
    <n v="44.57560867875636"/>
    <n v="44.57560867875636"/>
  </r>
  <r>
    <x v="11"/>
    <x v="11"/>
    <n v="533865"/>
    <x v="20"/>
    <n v="0"/>
    <n v="539939.99999999988"/>
    <n v="0"/>
    <m/>
    <n v="0"/>
    <m/>
    <n v="0"/>
    <m/>
    <n v="0"/>
    <m/>
    <n v="0"/>
    <n v="571201.5"/>
    <n v="165"/>
    <n v="165"/>
    <m/>
    <n v="0"/>
    <m/>
    <n v="0"/>
    <m/>
    <n v="0"/>
    <n v="593149.50000000012"/>
    <n v="187"/>
    <n v="165"/>
    <n v="0"/>
    <n v="165"/>
    <n v="187"/>
    <m/>
    <s v=""/>
    <n v="165"/>
    <n v="2018"/>
    <n v="187"/>
    <n v="2022"/>
    <s v=""/>
    <n v="187"/>
    <n v="187"/>
    <s v="Increasing"/>
    <m/>
    <m/>
    <m/>
    <m/>
    <n v="0"/>
    <n v="2.8886478764499044"/>
    <n v="3.1526621871888953"/>
    <n v="3.1526621871888953"/>
  </r>
  <r>
    <x v="11"/>
    <x v="11"/>
    <n v="533866"/>
    <x v="21"/>
    <n v="0"/>
    <n v="539939.99999999988"/>
    <n v="0"/>
    <m/>
    <n v="0"/>
    <m/>
    <n v="0"/>
    <m/>
    <n v="0"/>
    <m/>
    <n v="0"/>
    <n v="571201.5"/>
    <n v="287"/>
    <n v="287"/>
    <m/>
    <n v="0"/>
    <m/>
    <n v="0"/>
    <m/>
    <n v="0"/>
    <n v="593149.50000000012"/>
    <n v="108"/>
    <n v="287"/>
    <n v="0"/>
    <n v="287"/>
    <n v="108"/>
    <m/>
    <s v=""/>
    <n v="287"/>
    <n v="2018"/>
    <n v="108"/>
    <n v="2022"/>
    <s v="Adjust"/>
    <n v="134.29007633587787"/>
    <n v="287"/>
    <s v="Decreasing"/>
    <m/>
    <m/>
    <m/>
    <m/>
    <n v="0"/>
    <n v="5.0244966093401366"/>
    <n v="2.2640173571060558"/>
    <n v="4.8385777953112994"/>
  </r>
  <r>
    <x v="11"/>
    <x v="11"/>
    <n v="533867"/>
    <x v="22"/>
    <n v="551"/>
    <n v="539939.99999999988"/>
    <n v="403"/>
    <m/>
    <n v="476"/>
    <m/>
    <n v="498"/>
    <m/>
    <n v="612"/>
    <m/>
    <n v="688"/>
    <n v="571201.5"/>
    <n v="706"/>
    <n v="768"/>
    <m/>
    <n v="0"/>
    <m/>
    <n v="0"/>
    <m/>
    <n v="0"/>
    <n v="593149.50000000012"/>
    <n v="941"/>
    <n v="768"/>
    <n v="551"/>
    <n v="706"/>
    <n v="941"/>
    <n v="403"/>
    <n v="2013"/>
    <n v="768"/>
    <s v="2018 (triag)"/>
    <n v="941"/>
    <n v="2022"/>
    <s v=""/>
    <n v="941"/>
    <n v="941"/>
    <s v="Increasing"/>
    <m/>
    <m/>
    <m/>
    <m/>
    <n v="7.4637922732155442"/>
    <n v="13.445342843112282"/>
    <n v="15.86446587243182"/>
    <n v="15.86446587243182"/>
  </r>
  <r>
    <x v="11"/>
    <x v="11"/>
    <n v="533868"/>
    <x v="23"/>
    <n v="0"/>
    <n v="539939.99999999988"/>
    <n v="0"/>
    <m/>
    <n v="0"/>
    <m/>
    <n v="0"/>
    <m/>
    <n v="0"/>
    <m/>
    <n v="0"/>
    <n v="571201.5"/>
    <n v="0"/>
    <n v="243"/>
    <m/>
    <n v="0"/>
    <m/>
    <n v="0"/>
    <m/>
    <n v="0"/>
    <n v="593149.50000000012"/>
    <n v="846"/>
    <n v="243"/>
    <n v="0"/>
    <n v="0"/>
    <n v="846"/>
    <m/>
    <s v=""/>
    <n v="243"/>
    <s v="2018 (triag)"/>
    <n v="846"/>
    <n v="2022"/>
    <s v=""/>
    <n v="846"/>
    <n v="846"/>
    <s v="Increasing"/>
    <m/>
    <m/>
    <m/>
    <m/>
    <n v="0"/>
    <n v="4.2541905089534957"/>
    <n v="14.262846044715538"/>
    <n v="14.262846044715538"/>
  </r>
  <r>
    <x v="11"/>
    <x v="11"/>
    <n v="533869"/>
    <x v="24"/>
    <n v="0"/>
    <n v="539939.99999999988"/>
    <n v="0"/>
    <m/>
    <n v="0"/>
    <m/>
    <n v="0"/>
    <m/>
    <n v="0"/>
    <m/>
    <n v="0"/>
    <n v="571201.5"/>
    <n v="0"/>
    <n v="525"/>
    <m/>
    <n v="0"/>
    <m/>
    <n v="0"/>
    <m/>
    <n v="0"/>
    <n v="593149.50000000012"/>
    <n v="95"/>
    <n v="525"/>
    <n v="0"/>
    <n v="0"/>
    <n v="95"/>
    <m/>
    <s v=""/>
    <n v="525"/>
    <s v="2018 (triag)"/>
    <n v="95"/>
    <n v="2022"/>
    <s v="Adjust"/>
    <n v="118.12553011026294"/>
    <n v="525"/>
    <s v="Decreasing"/>
    <m/>
    <m/>
    <m/>
    <m/>
    <n v="0"/>
    <n v="9.1911523341587866"/>
    <n v="1.9914967493062528"/>
    <n v="8.8510569426426198"/>
  </r>
  <r>
    <x v="11"/>
    <x v="11"/>
    <n v="533870"/>
    <x v="25"/>
    <n v="0"/>
    <n v="539939.99999999988"/>
    <n v="0"/>
    <m/>
    <n v="0"/>
    <m/>
    <n v="0"/>
    <m/>
    <n v="0"/>
    <m/>
    <n v="0"/>
    <n v="571201.5"/>
    <n v="0"/>
    <n v="27"/>
    <m/>
    <n v="0"/>
    <m/>
    <n v="0"/>
    <m/>
    <n v="0"/>
    <n v="593149.50000000012"/>
    <n v="0"/>
    <n v="27"/>
    <n v="0"/>
    <n v="0"/>
    <n v="0"/>
    <m/>
    <s v=""/>
    <n v="27"/>
    <s v="2018 (triag)"/>
    <n v="27"/>
    <s v="2018 (triag)"/>
    <s v=""/>
    <n v="27"/>
    <n v="27"/>
    <s v="No change"/>
    <m/>
    <m/>
    <m/>
    <m/>
    <n v="0"/>
    <n v="0.47268783432816613"/>
    <n v="0.45519721419304904"/>
    <n v="0.45519721419304904"/>
  </r>
  <r>
    <x v="11"/>
    <x v="11"/>
    <n v="533871"/>
    <x v="26"/>
    <n v="0"/>
    <n v="539939.99999999988"/>
    <n v="0"/>
    <m/>
    <n v="0"/>
    <m/>
    <n v="0"/>
    <m/>
    <n v="0"/>
    <m/>
    <n v="0"/>
    <n v="571201.5"/>
    <n v="0"/>
    <n v="7"/>
    <m/>
    <n v="0"/>
    <m/>
    <n v="0"/>
    <m/>
    <n v="0"/>
    <n v="593149.50000000012"/>
    <n v="0"/>
    <n v="7"/>
    <n v="0"/>
    <n v="0"/>
    <n v="0"/>
    <m/>
    <s v=""/>
    <n v="7"/>
    <s v="2018 (triag)"/>
    <n v="7"/>
    <s v="2018 (triag)"/>
    <s v=""/>
    <n v="7"/>
    <n v="7"/>
    <s v="No change"/>
    <m/>
    <m/>
    <m/>
    <m/>
    <n v="0"/>
    <n v="0.12254869778878381"/>
    <n v="0.11801409256856828"/>
    <n v="0.11801409256856828"/>
  </r>
  <r>
    <x v="11"/>
    <x v="11"/>
    <n v="533872"/>
    <x v="27"/>
    <n v="0"/>
    <n v="539939.99999999988"/>
    <n v="0"/>
    <m/>
    <n v="0"/>
    <m/>
    <n v="0"/>
    <m/>
    <n v="0"/>
    <m/>
    <n v="0"/>
    <n v="571201.5"/>
    <n v="0"/>
    <n v="20"/>
    <m/>
    <n v="0"/>
    <m/>
    <n v="0"/>
    <m/>
    <n v="0"/>
    <n v="593149.50000000012"/>
    <n v="0"/>
    <n v="20"/>
    <n v="0"/>
    <n v="0"/>
    <n v="0"/>
    <m/>
    <s v=""/>
    <n v="20"/>
    <s v="2018 (triag)"/>
    <n v="20"/>
    <s v="2018 (triag)"/>
    <s v=""/>
    <n v="20"/>
    <n v="20"/>
    <s v="No change"/>
    <m/>
    <m/>
    <m/>
    <m/>
    <n v="0"/>
    <n v="0.35013913653938233"/>
    <n v="0.33718312162448077"/>
    <n v="0.33718312162448077"/>
  </r>
  <r>
    <x v="11"/>
    <x v="11"/>
    <n v="533873"/>
    <x v="28"/>
    <n v="0"/>
    <n v="539939.99999999988"/>
    <n v="0"/>
    <m/>
    <n v="0"/>
    <m/>
    <n v="0"/>
    <m/>
    <n v="4"/>
    <m/>
    <n v="0"/>
    <n v="571201.5"/>
    <n v="172"/>
    <n v="172"/>
    <m/>
    <n v="0"/>
    <m/>
    <n v="0"/>
    <m/>
    <n v="0"/>
    <n v="593149.50000000012"/>
    <n v="23"/>
    <n v="80"/>
    <n v="0"/>
    <n v="172"/>
    <n v="23"/>
    <m/>
    <s v=""/>
    <n v="172"/>
    <n v="2018"/>
    <n v="23"/>
    <n v="2022"/>
    <s v="Adjust"/>
    <n v="28.59881255301103"/>
    <n v="172"/>
    <s v="Decreasing"/>
    <m/>
    <m/>
    <m/>
    <m/>
    <n v="0"/>
    <n v="3.0111965742386881"/>
    <n v="0.48215184456888233"/>
    <n v="2.8997748459705348"/>
  </r>
  <r>
    <x v="11"/>
    <x v="11"/>
    <n v="533874"/>
    <x v="29"/>
    <n v="0"/>
    <n v="539939.99999999988"/>
    <n v="0"/>
    <m/>
    <n v="0"/>
    <m/>
    <n v="0"/>
    <m/>
    <n v="0"/>
    <m/>
    <n v="0"/>
    <n v="571201.5"/>
    <n v="0"/>
    <n v="92"/>
    <m/>
    <n v="0"/>
    <m/>
    <n v="0"/>
    <m/>
    <n v="0"/>
    <n v="593149.50000000012"/>
    <n v="6"/>
    <n v="92"/>
    <n v="0"/>
    <n v="0"/>
    <n v="6"/>
    <m/>
    <s v=""/>
    <n v="92"/>
    <s v="2018 (triag)"/>
    <n v="6"/>
    <n v="2022"/>
    <s v="Adjust"/>
    <n v="7.4605597964376598"/>
    <n v="92"/>
    <s v="Decreasing"/>
    <m/>
    <m/>
    <m/>
    <m/>
    <n v="0"/>
    <n v="1.6106400280811588"/>
    <n v="0.12577874206144757"/>
    <n v="1.5510423594726115"/>
  </r>
  <r>
    <x v="11"/>
    <x v="11"/>
    <n v="533875"/>
    <x v="30"/>
    <n v="0"/>
    <n v="539939.99999999988"/>
    <n v="0"/>
    <m/>
    <n v="0"/>
    <m/>
    <n v="0"/>
    <m/>
    <n v="4"/>
    <m/>
    <n v="0"/>
    <n v="571201.5"/>
    <n v="81"/>
    <n v="81"/>
    <m/>
    <n v="120"/>
    <m/>
    <n v="0"/>
    <m/>
    <n v="0"/>
    <n v="593149.50000000012"/>
    <n v="10"/>
    <n v="81"/>
    <n v="0"/>
    <n v="120"/>
    <n v="10"/>
    <m/>
    <s v=""/>
    <n v="81"/>
    <n v="2018"/>
    <n v="10"/>
    <n v="2022"/>
    <s v="Adjust"/>
    <n v="12.434266327396099"/>
    <n v="81"/>
    <s v="Decreasing"/>
    <m/>
    <m/>
    <m/>
    <m/>
    <n v="0"/>
    <n v="1.4180635029844986"/>
    <n v="0.20963123676907924"/>
    <n v="1.3655916425791472"/>
  </r>
  <r>
    <x v="11"/>
    <x v="11"/>
    <n v="533876"/>
    <x v="31"/>
    <n v="0"/>
    <n v="539939.99999999988"/>
    <n v="0"/>
    <m/>
    <n v="0"/>
    <m/>
    <n v="0"/>
    <m/>
    <n v="0"/>
    <m/>
    <n v="0"/>
    <n v="571201.5"/>
    <n v="0"/>
    <n v="0"/>
    <m/>
    <n v="74"/>
    <m/>
    <n v="0"/>
    <m/>
    <n v="0"/>
    <n v="593149.50000000012"/>
    <n v="0"/>
    <n v="0"/>
    <n v="0"/>
    <n v="74"/>
    <n v="0"/>
    <m/>
    <s v=""/>
    <n v="74"/>
    <n v="2019"/>
    <n v="74"/>
    <n v="2019"/>
    <s v=""/>
    <n v="74"/>
    <n v="74"/>
    <s v="No change"/>
    <m/>
    <m/>
    <m/>
    <m/>
    <n v="0"/>
    <n v="1.2955148051957146"/>
    <n v="1.2475775500105788"/>
    <n v="1.2475775500105788"/>
  </r>
  <r>
    <x v="11"/>
    <x v="11"/>
    <n v="533877"/>
    <x v="32"/>
    <n v="0"/>
    <n v="539939.99999999988"/>
    <n v="0"/>
    <m/>
    <n v="0"/>
    <m/>
    <n v="0"/>
    <m/>
    <n v="0"/>
    <m/>
    <n v="0"/>
    <n v="571201.5"/>
    <n v="0"/>
    <n v="0"/>
    <m/>
    <n v="0"/>
    <m/>
    <n v="0"/>
    <m/>
    <n v="0"/>
    <n v="593149.50000000012"/>
    <n v="0"/>
    <n v="0"/>
    <n v="0"/>
    <n v="0"/>
    <n v="0"/>
    <m/>
    <s v=""/>
    <m/>
    <s v=""/>
    <n v="0"/>
    <s v=""/>
    <s v=""/>
    <m/>
    <n v="0"/>
    <s v="No change"/>
    <m/>
    <m/>
    <m/>
    <m/>
    <n v="0"/>
    <n v="0"/>
    <n v="0"/>
    <n v="0"/>
  </r>
  <r>
    <x v="12"/>
    <x v="12"/>
    <n v="37260562.50000003"/>
    <x v="19"/>
    <n v="0"/>
    <n v="38000626.500000022"/>
    <n v="0"/>
    <n v="38760167.5"/>
    <n v="0"/>
    <n v="39543154.499999985"/>
    <n v="0"/>
    <n v="40339328.5"/>
    <n v="74309"/>
    <n v="41136545.999999985"/>
    <n v="0"/>
    <n v="41927007.000000007"/>
    <n v="72604"/>
    <n v="73168"/>
    <n v="42705368.50000003"/>
    <n v="42140"/>
    <n v="43451665.999999985"/>
    <n v="0"/>
    <n v="44177968.500000007"/>
    <n v="0"/>
    <n v="44903225.000000007"/>
    <n v="0"/>
    <n v="73168"/>
    <n v="0"/>
    <n v="74309"/>
    <n v="0"/>
    <m/>
    <s v=""/>
    <n v="73168"/>
    <s v="2018 (triag)"/>
    <n v="42140"/>
    <s v="2018 (triag)"/>
    <s v="Adjust"/>
    <n v="75512"/>
    <n v="75512"/>
    <s v="Increasing"/>
    <m/>
    <m/>
    <m/>
    <m/>
    <n v="0"/>
    <n v="17.451281461612556"/>
    <n v="16.816609497424736"/>
    <n v="16.816609497424736"/>
  </r>
  <r>
    <x v="12"/>
    <x v="12"/>
    <n v="37260563.5"/>
    <x v="20"/>
    <n v="0"/>
    <n v="38000626.500000022"/>
    <n v="0"/>
    <m/>
    <n v="0"/>
    <m/>
    <n v="0"/>
    <m/>
    <n v="0"/>
    <m/>
    <n v="0"/>
    <n v="41927007.000000007"/>
    <n v="32774"/>
    <n v="34077"/>
    <m/>
    <n v="27560"/>
    <m/>
    <n v="0"/>
    <m/>
    <n v="0"/>
    <n v="44903225.000000007"/>
    <n v="0"/>
    <n v="34077"/>
    <n v="0"/>
    <n v="32774"/>
    <n v="0"/>
    <m/>
    <s v=""/>
    <n v="34077"/>
    <s v="2018 (triag)"/>
    <n v="27560"/>
    <s v="2018 (triag)"/>
    <s v="Adjust"/>
    <n v="37679"/>
    <n v="37679"/>
    <s v="Increasing"/>
    <m/>
    <m/>
    <m/>
    <m/>
    <n v="0"/>
    <n v="8.1276967850340451"/>
    <n v="8.3911567598986476"/>
    <n v="8.3911567598986476"/>
  </r>
  <r>
    <x v="12"/>
    <x v="12"/>
    <n v="37260564.5"/>
    <x v="21"/>
    <n v="0"/>
    <n v="38000626.500000022"/>
    <n v="0"/>
    <m/>
    <n v="0"/>
    <m/>
    <n v="0"/>
    <m/>
    <n v="0"/>
    <m/>
    <n v="0"/>
    <n v="41927007.000000007"/>
    <n v="39830"/>
    <n v="39830"/>
    <m/>
    <n v="14580"/>
    <m/>
    <n v="0"/>
    <m/>
    <n v="0"/>
    <n v="44903225.000000007"/>
    <n v="0"/>
    <n v="39091"/>
    <n v="0"/>
    <n v="39830"/>
    <n v="0"/>
    <m/>
    <s v=""/>
    <n v="39830"/>
    <n v="2018"/>
    <n v="14580"/>
    <n v="2018"/>
    <s v="Adjust"/>
    <n v="37833"/>
    <n v="39830"/>
    <s v="Decreasing"/>
    <m/>
    <m/>
    <m/>
    <m/>
    <n v="0"/>
    <n v="9.499843382572001"/>
    <n v="8.4254527375260899"/>
    <n v="8.8701869409157119"/>
  </r>
  <r>
    <x v="12"/>
    <x v="12"/>
    <n v="37260565.5"/>
    <x v="22"/>
    <n v="0"/>
    <n v="38000626.500000022"/>
    <n v="0"/>
    <m/>
    <n v="0"/>
    <m/>
    <n v="0"/>
    <m/>
    <n v="90958"/>
    <m/>
    <n v="92000"/>
    <n v="41927007.000000007"/>
    <n v="56411"/>
    <n v="57705"/>
    <m/>
    <n v="4425"/>
    <m/>
    <n v="0"/>
    <m/>
    <n v="0"/>
    <n v="44903225.000000007"/>
    <n v="0"/>
    <n v="57705"/>
    <n v="0"/>
    <n v="92000"/>
    <n v="0"/>
    <m/>
    <s v=""/>
    <n v="57705"/>
    <s v="2018 (triag)"/>
    <n v="4425"/>
    <s v="2018 (triag)"/>
    <s v="Adjust"/>
    <n v="104776"/>
    <n v="104776"/>
    <s v="Increasing"/>
    <m/>
    <m/>
    <m/>
    <m/>
    <n v="0"/>
    <n v="13.763205181805606"/>
    <n v="23.333736051252441"/>
    <n v="23.333736051252441"/>
  </r>
  <r>
    <x v="12"/>
    <x v="12"/>
    <n v="37260566.5"/>
    <x v="23"/>
    <n v="0"/>
    <n v="38000626.500000022"/>
    <n v="0"/>
    <m/>
    <n v="0"/>
    <m/>
    <n v="0"/>
    <m/>
    <n v="0"/>
    <m/>
    <n v="0"/>
    <n v="41927007.000000007"/>
    <n v="45173"/>
    <n v="47676"/>
    <m/>
    <n v="4425"/>
    <m/>
    <n v="0"/>
    <m/>
    <n v="0"/>
    <n v="44903225.000000007"/>
    <n v="0"/>
    <n v="47676"/>
    <n v="0"/>
    <n v="45173"/>
    <n v="0"/>
    <m/>
    <s v=""/>
    <n v="47676"/>
    <s v="2018 (triag)"/>
    <n v="4425"/>
    <s v="2018 (triag)"/>
    <s v="Adjust"/>
    <n v="5043.8935155116633"/>
    <n v="47676"/>
    <s v="Decreasing"/>
    <m/>
    <m/>
    <m/>
    <m/>
    <n v="0"/>
    <n v="11.371190888965671"/>
    <n v="1.1232809036570675"/>
    <n v="10.617500190687862"/>
  </r>
  <r>
    <x v="12"/>
    <x v="12"/>
    <n v="37260567.5"/>
    <x v="24"/>
    <n v="0"/>
    <n v="38000626.500000022"/>
    <n v="0"/>
    <m/>
    <n v="0"/>
    <m/>
    <n v="0"/>
    <m/>
    <n v="0"/>
    <m/>
    <n v="0"/>
    <n v="41927007.000000007"/>
    <n v="11238"/>
    <n v="11238"/>
    <m/>
    <n v="0"/>
    <m/>
    <n v="0"/>
    <m/>
    <n v="0"/>
    <n v="44903225.000000007"/>
    <n v="0"/>
    <n v="10029"/>
    <n v="0"/>
    <n v="11238"/>
    <n v="0"/>
    <m/>
    <s v=""/>
    <n v="11238"/>
    <n v="2018"/>
    <n v="11238"/>
    <n v="2018"/>
    <s v=""/>
    <n v="11238"/>
    <n v="11238"/>
    <s v="No change"/>
    <m/>
    <m/>
    <m/>
    <m/>
    <n v="0"/>
    <n v="2.6803725818062802"/>
    <n v="2.5027155621895751"/>
    <n v="2.5027155621895751"/>
  </r>
  <r>
    <x v="12"/>
    <x v="12"/>
    <n v="37260568.5"/>
    <x v="25"/>
    <n v="0"/>
    <n v="38000626.500000022"/>
    <n v="0"/>
    <m/>
    <n v="11139"/>
    <m/>
    <n v="0"/>
    <m/>
    <n v="0"/>
    <m/>
    <n v="0"/>
    <n v="41927007.000000007"/>
    <n v="8948"/>
    <n v="8948"/>
    <m/>
    <n v="9070"/>
    <m/>
    <n v="0"/>
    <m/>
    <n v="0"/>
    <n v="44903225.000000007"/>
    <n v="0"/>
    <n v="8620"/>
    <n v="11139"/>
    <n v="9070"/>
    <n v="0"/>
    <n v="11139"/>
    <n v="2014"/>
    <n v="8948"/>
    <n v="2018"/>
    <n v="9070"/>
    <n v="2018"/>
    <s v=""/>
    <n v="9070"/>
    <n v="9070"/>
    <s v="Increasing"/>
    <m/>
    <m/>
    <m/>
    <m/>
    <n v="2.931267462129866"/>
    <n v="2.1341852520023665"/>
    <n v="2.019899461564286"/>
    <n v="2.019899461564286"/>
  </r>
  <r>
    <x v="12"/>
    <x v="12"/>
    <n v="37260569.5"/>
    <x v="26"/>
    <n v="0"/>
    <n v="38000626.500000022"/>
    <n v="0"/>
    <m/>
    <n v="9404"/>
    <m/>
    <n v="0"/>
    <m/>
    <n v="0"/>
    <m/>
    <n v="0"/>
    <n v="41927007.000000007"/>
    <n v="8739"/>
    <n v="8739"/>
    <m/>
    <n v="9070"/>
    <m/>
    <n v="0"/>
    <m/>
    <n v="0"/>
    <n v="44903225.000000007"/>
    <n v="0"/>
    <n v="8582"/>
    <n v="9404"/>
    <n v="9070"/>
    <n v="0"/>
    <n v="9404"/>
    <n v="2014"/>
    <n v="8739"/>
    <n v="2018"/>
    <n v="9070"/>
    <n v="2018"/>
    <s v=""/>
    <n v="9070"/>
    <n v="9070"/>
    <s v="Increasing"/>
    <m/>
    <m/>
    <m/>
    <m/>
    <n v="2.4746960421823556"/>
    <n v="2.0843367140420965"/>
    <n v="2.019899461564286"/>
    <n v="2.019899461564286"/>
  </r>
  <r>
    <x v="12"/>
    <x v="12"/>
    <n v="37260570.5"/>
    <x v="27"/>
    <n v="0"/>
    <n v="38000626.500000022"/>
    <n v="0"/>
    <m/>
    <n v="1735"/>
    <m/>
    <n v="0"/>
    <m/>
    <n v="0"/>
    <m/>
    <n v="0"/>
    <n v="41927007.000000007"/>
    <n v="209"/>
    <n v="209"/>
    <m/>
    <n v="0"/>
    <m/>
    <n v="0"/>
    <m/>
    <n v="0"/>
    <n v="44903225.000000007"/>
    <n v="0"/>
    <n v="38"/>
    <n v="1735"/>
    <n v="209"/>
    <n v="0"/>
    <n v="1735"/>
    <n v="2014"/>
    <n v="209"/>
    <n v="2018"/>
    <n v="209"/>
    <n v="2018"/>
    <s v=""/>
    <n v="209"/>
    <n v="209"/>
    <s v="No change"/>
    <m/>
    <m/>
    <m/>
    <m/>
    <n v="0.45657141994751033"/>
    <n v="4.9848537960269848E-2"/>
    <n v="4.6544541065814307E-2"/>
    <n v="4.6544541065814307E-2"/>
  </r>
  <r>
    <x v="12"/>
    <x v="12"/>
    <n v="37260571.5"/>
    <x v="28"/>
    <n v="0"/>
    <n v="38000626.500000022"/>
    <n v="0"/>
    <m/>
    <n v="0"/>
    <m/>
    <n v="0"/>
    <m/>
    <n v="0"/>
    <m/>
    <n v="0"/>
    <n v="41927007.000000007"/>
    <n v="18807"/>
    <n v="18807"/>
    <m/>
    <n v="2156"/>
    <m/>
    <n v="0"/>
    <m/>
    <n v="0"/>
    <n v="44903225.000000007"/>
    <n v="0"/>
    <n v="12570"/>
    <n v="0"/>
    <n v="18807"/>
    <n v="0"/>
    <m/>
    <s v=""/>
    <n v="18807"/>
    <n v="2018"/>
    <n v="2156"/>
    <n v="2018"/>
    <s v="Adjust"/>
    <n v="13642"/>
    <n v="18807"/>
    <s v="Decreasing"/>
    <m/>
    <m/>
    <m/>
    <m/>
    <n v="0"/>
    <n v="4.485652887171268"/>
    <n v="3.038089135023152"/>
    <n v="4.188340592463013"/>
  </r>
  <r>
    <x v="12"/>
    <x v="12"/>
    <n v="37260572.5"/>
    <x v="29"/>
    <n v="0"/>
    <n v="38000626.500000022"/>
    <n v="0"/>
    <m/>
    <n v="0"/>
    <m/>
    <n v="0"/>
    <m/>
    <n v="0"/>
    <m/>
    <n v="0"/>
    <n v="41927007.000000007"/>
    <n v="880"/>
    <n v="1536"/>
    <m/>
    <n v="0"/>
    <m/>
    <n v="0"/>
    <m/>
    <n v="0"/>
    <n v="44903225.000000007"/>
    <n v="0"/>
    <n v="1536"/>
    <n v="0"/>
    <n v="880"/>
    <n v="0"/>
    <m/>
    <s v=""/>
    <n v="1536"/>
    <s v="2018 (triag)"/>
    <n v="1536"/>
    <s v="2018 (triag)"/>
    <s v=""/>
    <n v="1536"/>
    <n v="1536"/>
    <s v="No change"/>
    <m/>
    <m/>
    <m/>
    <m/>
    <n v="0"/>
    <n v="0.36635097754533247"/>
    <n v="0.34206897166072142"/>
    <n v="0.34206897166072142"/>
  </r>
  <r>
    <x v="12"/>
    <x v="12"/>
    <n v="37260573.5"/>
    <x v="30"/>
    <n v="0"/>
    <n v="38000626.500000022"/>
    <n v="0"/>
    <m/>
    <n v="0"/>
    <m/>
    <n v="0"/>
    <m/>
    <n v="0"/>
    <m/>
    <n v="14263"/>
    <n v="41927007.000000007"/>
    <n v="15437"/>
    <n v="15437"/>
    <m/>
    <n v="7018"/>
    <m/>
    <n v="0"/>
    <m/>
    <n v="0"/>
    <n v="44903225.000000007"/>
    <n v="0"/>
    <n v="12774"/>
    <n v="0"/>
    <n v="15437"/>
    <n v="0"/>
    <m/>
    <s v=""/>
    <n v="15437"/>
    <n v="2018"/>
    <n v="7018"/>
    <n v="2018"/>
    <s v="Adjust"/>
    <n v="16223"/>
    <n v="16223"/>
    <s v="Increasing"/>
    <m/>
    <m/>
    <m/>
    <m/>
    <n v="0"/>
    <n v="3.6818750262807924"/>
    <n v="3.612880812012945"/>
    <n v="3.612880812012945"/>
  </r>
  <r>
    <x v="12"/>
    <x v="12"/>
    <n v="37260574.5"/>
    <x v="31"/>
    <n v="0"/>
    <n v="38000626.500000022"/>
    <n v="0"/>
    <m/>
    <n v="0"/>
    <m/>
    <n v="0"/>
    <m/>
    <n v="0"/>
    <m/>
    <n v="0"/>
    <n v="41927007.000000007"/>
    <n v="46"/>
    <n v="46"/>
    <m/>
    <n v="0"/>
    <m/>
    <n v="0"/>
    <m/>
    <n v="0"/>
    <n v="44903225.000000007"/>
    <n v="0"/>
    <n v="7"/>
    <n v="0"/>
    <n v="46"/>
    <n v="0"/>
    <m/>
    <s v=""/>
    <n v="46"/>
    <n v="2018"/>
    <n v="46"/>
    <n v="2018"/>
    <s v=""/>
    <n v="46"/>
    <n v="46"/>
    <s v="No change"/>
    <m/>
    <m/>
    <m/>
    <m/>
    <n v="0"/>
    <n v="1.0971448546279489E-2"/>
    <n v="1.0244253057547647E-2"/>
    <n v="1.0244253057547647E-2"/>
  </r>
  <r>
    <x v="12"/>
    <x v="12"/>
    <n v="37260575.5"/>
    <x v="32"/>
    <n v="0"/>
    <n v="38000626.500000022"/>
    <n v="0"/>
    <m/>
    <n v="0"/>
    <m/>
    <n v="0"/>
    <m/>
    <n v="0"/>
    <m/>
    <n v="0"/>
    <n v="41927007.000000007"/>
    <n v="4403"/>
    <n v="4403"/>
    <m/>
    <n v="0"/>
    <m/>
    <n v="0"/>
    <m/>
    <n v="0"/>
    <n v="44903225.000000007"/>
    <n v="0"/>
    <n v="0"/>
    <n v="0"/>
    <n v="4403"/>
    <n v="0"/>
    <m/>
    <s v=""/>
    <n v="4403"/>
    <n v="2018"/>
    <n v="4403"/>
    <n v="2018"/>
    <s v=""/>
    <n v="4403"/>
    <n v="4403"/>
    <s v="No change"/>
    <m/>
    <m/>
    <m/>
    <m/>
    <n v="0"/>
    <n v="1.0501584336797518"/>
    <n v="0.98055317853004975"/>
    <n v="0.98055317853004975"/>
  </r>
  <r>
    <x v="13"/>
    <x v="13"/>
    <n v="3252595.9999999991"/>
    <x v="19"/>
    <n v="153"/>
    <n v="3296367"/>
    <n v="172"/>
    <n v="3323425.0000000009"/>
    <n v="204"/>
    <n v="3340005.9999999991"/>
    <n v="212"/>
    <n v="3365287.5000000014"/>
    <n v="226"/>
    <n v="3396933.0000000019"/>
    <n v="224"/>
    <n v="3445374.4999999986"/>
    <n v="280"/>
    <n v="280"/>
    <n v="3498818.0000000014"/>
    <n v="248"/>
    <n v="3555867.9999999991"/>
    <n v="291"/>
    <n v="3620312.0000000023"/>
    <n v="286"/>
    <n v="3684031.5000000019"/>
    <n v="260"/>
    <n v="280"/>
    <n v="212"/>
    <n v="280"/>
    <n v="291"/>
    <n v="172"/>
    <n v="2013"/>
    <n v="280"/>
    <n v="2018"/>
    <n v="260"/>
    <n v="2022"/>
    <s v="Adjust"/>
    <n v="298.81764752330793"/>
    <n v="298.81764752330793"/>
    <s v="Increasing"/>
    <m/>
    <m/>
    <m/>
    <m/>
    <n v="0.52178656078039853"/>
    <n v="0.81268378807586839"/>
    <n v="0.81111588628736697"/>
    <n v="0.81111588628736697"/>
  </r>
  <r>
    <x v="13"/>
    <x v="13"/>
    <n v="3252597"/>
    <x v="20"/>
    <n v="0"/>
    <n v="3296367"/>
    <n v="0"/>
    <m/>
    <n v="0"/>
    <m/>
    <n v="0"/>
    <m/>
    <n v="0"/>
    <m/>
    <n v="0"/>
    <n v="3445374.4999999986"/>
    <n v="160"/>
    <n v="160"/>
    <m/>
    <n v="0"/>
    <m/>
    <n v="0"/>
    <m/>
    <n v="276"/>
    <n v="3684031.5000000019"/>
    <n v="260"/>
    <n v="160"/>
    <n v="0"/>
    <n v="160"/>
    <n v="276"/>
    <m/>
    <s v=""/>
    <n v="160"/>
    <n v="2018"/>
    <n v="260"/>
    <n v="2022"/>
    <s v=""/>
    <n v="260"/>
    <n v="260"/>
    <s v="Increasing"/>
    <m/>
    <m/>
    <m/>
    <m/>
    <n v="0"/>
    <n v="0.4643907360433534"/>
    <n v="0.7057485800542147"/>
    <n v="0.7057485800542147"/>
  </r>
  <r>
    <x v="13"/>
    <x v="13"/>
    <n v="3252598"/>
    <x v="21"/>
    <n v="0"/>
    <n v="3296367"/>
    <n v="0"/>
    <m/>
    <n v="0"/>
    <m/>
    <n v="0"/>
    <m/>
    <n v="0"/>
    <m/>
    <n v="0"/>
    <n v="3445374.4999999986"/>
    <n v="120"/>
    <n v="120"/>
    <m/>
    <n v="0"/>
    <m/>
    <n v="0"/>
    <m/>
    <n v="10"/>
    <n v="3684031.5000000019"/>
    <n v="0"/>
    <n v="120"/>
    <n v="0"/>
    <n v="120"/>
    <n v="10"/>
    <m/>
    <s v=""/>
    <n v="120"/>
    <n v="2018"/>
    <n v="10"/>
    <n v="2021"/>
    <s v="Adjust"/>
    <n v="11.492986443204153"/>
    <n v="120"/>
    <s v="Decreasing"/>
    <m/>
    <m/>
    <m/>
    <m/>
    <n v="0"/>
    <n v="0.34829305203251504"/>
    <n v="3.1196764857206426E-2"/>
    <n v="0.32573011387117601"/>
  </r>
  <r>
    <x v="13"/>
    <x v="13"/>
    <n v="3252599"/>
    <x v="22"/>
    <n v="0"/>
    <n v="3296367"/>
    <n v="4262"/>
    <m/>
    <n v="4132"/>
    <m/>
    <n v="3962"/>
    <m/>
    <n v="4484"/>
    <m/>
    <n v="4528"/>
    <n v="3445374.4999999986"/>
    <n v="4971"/>
    <n v="4971"/>
    <m/>
    <n v="0"/>
    <m/>
    <n v="0"/>
    <m/>
    <n v="4681"/>
    <n v="3684031.5000000019"/>
    <n v="5007"/>
    <n v="3939"/>
    <n v="4262"/>
    <n v="4971"/>
    <n v="5007"/>
    <n v="4262"/>
    <n v="2013"/>
    <n v="4971"/>
    <n v="2018"/>
    <n v="5007"/>
    <n v="2022"/>
    <s v=""/>
    <n v="5007"/>
    <n v="5007"/>
    <s v="Increasing"/>
    <m/>
    <m/>
    <m/>
    <m/>
    <n v="12.929385593291038"/>
    <n v="14.428039680446936"/>
    <n v="13.591089001274819"/>
    <n v="13.591089001274819"/>
  </r>
  <r>
    <x v="13"/>
    <x v="13"/>
    <n v="3252600"/>
    <x v="23"/>
    <n v="0"/>
    <n v="3296367"/>
    <n v="1395"/>
    <m/>
    <n v="1397"/>
    <m/>
    <n v="1304"/>
    <m/>
    <n v="1505"/>
    <m/>
    <n v="1629"/>
    <n v="3445374.4999999986"/>
    <n v="2058"/>
    <n v="2058"/>
    <m/>
    <n v="0"/>
    <m/>
    <n v="0"/>
    <m/>
    <n v="1449"/>
    <n v="3684031.5000000019"/>
    <n v="1447"/>
    <n v="1442"/>
    <n v="1397"/>
    <n v="2058"/>
    <n v="1449"/>
    <n v="1395"/>
    <n v="2013"/>
    <n v="2058"/>
    <n v="2018"/>
    <n v="1447"/>
    <n v="2022"/>
    <s v="Adjust"/>
    <n v="1663.0351383316408"/>
    <n v="2058"/>
    <s v="Decreasing"/>
    <m/>
    <m/>
    <m/>
    <m/>
    <n v="4.2319316993526508"/>
    <n v="5.9732258423576328"/>
    <n v="4.5141718748377695"/>
    <n v="5.586271452890669"/>
  </r>
  <r>
    <x v="13"/>
    <x v="13"/>
    <n v="3252601"/>
    <x v="24"/>
    <n v="0"/>
    <n v="3296367"/>
    <n v="2867"/>
    <m/>
    <n v="2735"/>
    <m/>
    <n v="2658"/>
    <m/>
    <n v="2979"/>
    <m/>
    <n v="2899"/>
    <n v="3445374.4999999986"/>
    <n v="2913"/>
    <n v="2913"/>
    <m/>
    <n v="0"/>
    <m/>
    <n v="0"/>
    <m/>
    <n v="3050"/>
    <n v="3684031.5000000019"/>
    <n v="3372"/>
    <n v="2497"/>
    <n v="2867"/>
    <n v="2979"/>
    <n v="3372"/>
    <n v="2867"/>
    <n v="2013"/>
    <n v="2913"/>
    <n v="2018"/>
    <n v="3372"/>
    <n v="2022"/>
    <s v=""/>
    <n v="3372"/>
    <n v="3372"/>
    <s v="Increasing"/>
    <m/>
    <m/>
    <m/>
    <m/>
    <n v="8.6974538939383876"/>
    <n v="8.4548138380893025"/>
    <n v="9.1530161997800459"/>
    <n v="9.1530161997800459"/>
  </r>
  <r>
    <x v="13"/>
    <x v="13"/>
    <n v="3252602"/>
    <x v="25"/>
    <n v="0"/>
    <n v="3296367"/>
    <n v="0"/>
    <m/>
    <n v="0"/>
    <m/>
    <n v="0"/>
    <m/>
    <n v="376"/>
    <m/>
    <n v="0"/>
    <n v="3445374.4999999986"/>
    <n v="0"/>
    <n v="45"/>
    <m/>
    <n v="0"/>
    <m/>
    <n v="0"/>
    <m/>
    <n v="67"/>
    <n v="3684031.5000000019"/>
    <n v="67"/>
    <n v="45"/>
    <n v="0"/>
    <n v="376"/>
    <n v="67"/>
    <m/>
    <s v=""/>
    <n v="45"/>
    <s v="2018 (triag)"/>
    <n v="67"/>
    <n v="2021"/>
    <s v=""/>
    <n v="67"/>
    <n v="67"/>
    <s v="Increasing"/>
    <m/>
    <m/>
    <m/>
    <m/>
    <n v="0"/>
    <n v="0.13060989451219315"/>
    <n v="0.18186598024473993"/>
    <n v="0.18186598024473993"/>
  </r>
  <r>
    <x v="13"/>
    <x v="13"/>
    <n v="3252603"/>
    <x v="26"/>
    <n v="0"/>
    <n v="3296367"/>
    <n v="0"/>
    <m/>
    <n v="0"/>
    <m/>
    <n v="0"/>
    <m/>
    <n v="376"/>
    <m/>
    <n v="0"/>
    <n v="3445374.4999999986"/>
    <n v="0"/>
    <n v="45"/>
    <m/>
    <n v="0"/>
    <m/>
    <n v="0"/>
    <m/>
    <n v="67"/>
    <n v="3684031.5000000019"/>
    <n v="67"/>
    <n v="45"/>
    <n v="0"/>
    <n v="376"/>
    <n v="67"/>
    <m/>
    <s v=""/>
    <n v="45"/>
    <s v="2018 (triag)"/>
    <n v="67"/>
    <n v="2021"/>
    <s v=""/>
    <n v="67"/>
    <n v="67"/>
    <s v="Increasing"/>
    <m/>
    <m/>
    <m/>
    <m/>
    <n v="0"/>
    <n v="0.13060989451219315"/>
    <n v="0.18186598024473993"/>
    <n v="0.18186598024473993"/>
  </r>
  <r>
    <x v="13"/>
    <x v="13"/>
    <n v="3252604"/>
    <x v="27"/>
    <n v="0"/>
    <n v="3296367"/>
    <n v="0"/>
    <m/>
    <n v="0"/>
    <m/>
    <n v="0"/>
    <m/>
    <n v="0"/>
    <m/>
    <n v="0"/>
    <n v="3445374.4999999986"/>
    <n v="0"/>
    <n v="0"/>
    <m/>
    <n v="0"/>
    <m/>
    <n v="0"/>
    <m/>
    <n v="0"/>
    <n v="3684031.5000000019"/>
    <n v="0"/>
    <n v="0"/>
    <n v="0"/>
    <n v="0"/>
    <n v="0"/>
    <m/>
    <s v=""/>
    <m/>
    <s v=""/>
    <n v="0"/>
    <s v=""/>
    <s v=""/>
    <m/>
    <n v="0"/>
    <s v="No change"/>
    <m/>
    <m/>
    <m/>
    <m/>
    <n v="0"/>
    <n v="0"/>
    <n v="0"/>
    <n v="0"/>
  </r>
  <r>
    <x v="13"/>
    <x v="13"/>
    <n v="3252605"/>
    <x v="28"/>
    <n v="0"/>
    <n v="3296367"/>
    <n v="0"/>
    <m/>
    <n v="0"/>
    <m/>
    <n v="0"/>
    <m/>
    <n v="0"/>
    <m/>
    <n v="0"/>
    <n v="3445374.4999999986"/>
    <n v="451"/>
    <n v="451"/>
    <m/>
    <n v="0"/>
    <m/>
    <n v="0"/>
    <m/>
    <n v="208"/>
    <n v="3684031.5000000019"/>
    <n v="199"/>
    <n v="151"/>
    <n v="0"/>
    <n v="451"/>
    <n v="208"/>
    <m/>
    <s v=""/>
    <n v="451"/>
    <n v="2018"/>
    <n v="199"/>
    <n v="2022"/>
    <s v="Adjust"/>
    <n v="228.71043021976263"/>
    <n v="451"/>
    <s v="Decreasing"/>
    <m/>
    <m/>
    <m/>
    <m/>
    <n v="0"/>
    <n v="1.3090013872222024"/>
    <n v="0.62081562065840779"/>
    <n v="1.2242023446325032"/>
  </r>
  <r>
    <x v="13"/>
    <x v="13"/>
    <n v="3252606"/>
    <x v="29"/>
    <n v="0"/>
    <n v="3296367"/>
    <n v="0"/>
    <m/>
    <n v="0"/>
    <m/>
    <n v="0"/>
    <m/>
    <n v="0"/>
    <m/>
    <n v="0"/>
    <n v="3445374.4999999986"/>
    <n v="0"/>
    <n v="300"/>
    <m/>
    <n v="0"/>
    <m/>
    <n v="0"/>
    <m/>
    <n v="280"/>
    <n v="3684031.5000000019"/>
    <n v="288"/>
    <n v="300"/>
    <n v="0"/>
    <n v="0"/>
    <n v="288"/>
    <m/>
    <s v=""/>
    <n v="300"/>
    <s v="2018 (triag)"/>
    <n v="288"/>
    <n v="2022"/>
    <s v="Adjust"/>
    <n v="330.99800956427958"/>
    <n v="330.99800956427958"/>
    <s v="Increasing"/>
    <m/>
    <m/>
    <m/>
    <m/>
    <n v="0"/>
    <n v="0.87073263008128765"/>
    <n v="0.89846682788754495"/>
    <n v="0.89846682788754495"/>
  </r>
  <r>
    <x v="13"/>
    <x v="13"/>
    <n v="3252607"/>
    <x v="30"/>
    <n v="0"/>
    <n v="3296367"/>
    <n v="0"/>
    <m/>
    <n v="0"/>
    <m/>
    <n v="0"/>
    <m/>
    <n v="0"/>
    <m/>
    <n v="0"/>
    <n v="3445374.4999999986"/>
    <n v="186"/>
    <n v="186"/>
    <m/>
    <n v="0"/>
    <m/>
    <n v="0"/>
    <m/>
    <n v="60"/>
    <n v="3684031.5000000019"/>
    <n v="58"/>
    <n v="22"/>
    <n v="0"/>
    <n v="186"/>
    <n v="60"/>
    <m/>
    <s v=""/>
    <n v="186"/>
    <n v="2018"/>
    <n v="58"/>
    <n v="2022"/>
    <s v="Adjust"/>
    <n v="66.659321370584081"/>
    <n v="186"/>
    <s v="Decreasing"/>
    <m/>
    <m/>
    <m/>
    <m/>
    <n v="0"/>
    <n v="0.53985423065039828"/>
    <n v="0.18094123617179722"/>
    <n v="0.50488167650032278"/>
  </r>
  <r>
    <x v="13"/>
    <x v="13"/>
    <n v="3252608"/>
    <x v="31"/>
    <n v="0"/>
    <n v="3296367"/>
    <n v="0"/>
    <m/>
    <n v="0"/>
    <m/>
    <n v="0"/>
    <m/>
    <n v="0"/>
    <m/>
    <n v="0"/>
    <n v="3445374.4999999986"/>
    <n v="0"/>
    <n v="164"/>
    <m/>
    <n v="0"/>
    <m/>
    <n v="0"/>
    <m/>
    <n v="154"/>
    <n v="3684031.5000000019"/>
    <n v="157"/>
    <n v="164"/>
    <n v="0"/>
    <n v="0"/>
    <n v="157"/>
    <m/>
    <s v=""/>
    <n v="164"/>
    <s v="2018 (triag)"/>
    <n v="157"/>
    <n v="2022"/>
    <s v="Adjust"/>
    <n v="180.43988715830517"/>
    <n v="180.43988715830517"/>
    <s v="Increasing"/>
    <m/>
    <m/>
    <m/>
    <m/>
    <n v="0"/>
    <n v="0.4760005044444372"/>
    <n v="0.48978920825814082"/>
    <n v="0.48978920825814082"/>
  </r>
  <r>
    <x v="13"/>
    <x v="13"/>
    <n v="3252609"/>
    <x v="32"/>
    <n v="0"/>
    <n v="3296367"/>
    <n v="0"/>
    <m/>
    <n v="0"/>
    <m/>
    <n v="0"/>
    <m/>
    <n v="0"/>
    <m/>
    <n v="0"/>
    <n v="3445374.4999999986"/>
    <n v="0"/>
    <n v="0"/>
    <m/>
    <n v="0"/>
    <m/>
    <n v="0"/>
    <m/>
    <n v="7"/>
    <n v="3684031.5000000019"/>
    <n v="7"/>
    <n v="0"/>
    <n v="0"/>
    <n v="0"/>
    <n v="7"/>
    <m/>
    <s v=""/>
    <m/>
    <s v=""/>
    <n v="7"/>
    <n v="2021"/>
    <s v=""/>
    <n v="7"/>
    <n v="7"/>
    <s v="Increasing"/>
    <m/>
    <m/>
    <m/>
    <m/>
    <n v="0"/>
    <n v="0"/>
    <n v="1.9000923309151936E-2"/>
    <n v="1.9000923309151936E-2"/>
  </r>
  <r>
    <x v="14"/>
    <x v="14"/>
    <n v="94451279.50000006"/>
    <x v="19"/>
    <n v="0"/>
    <n v="97084366.00000003"/>
    <n v="0"/>
    <n v="99746766.49999994"/>
    <n v="0"/>
    <n v="102471895.49999996"/>
    <n v="0"/>
    <n v="105293228.50000003"/>
    <n v="0"/>
    <n v="108197949.49999994"/>
    <n v="0"/>
    <n v="111129438.00000001"/>
    <n v="8395"/>
    <n v="11263"/>
    <n v="114120593.49999996"/>
    <n v="5867"/>
    <n v="117190910.99999994"/>
    <n v="12174"/>
    <n v="120283026.00000006"/>
    <n v="12174"/>
    <n v="123379924.50000004"/>
    <n v="23741"/>
    <n v="11263"/>
    <n v="0"/>
    <n v="8395"/>
    <n v="23741"/>
    <m/>
    <s v=""/>
    <n v="11263"/>
    <s v="2018 (triag)"/>
    <n v="23741"/>
    <n v="2022"/>
    <s v=""/>
    <n v="23741"/>
    <n v="23741"/>
    <s v="Increasing"/>
    <m/>
    <m/>
    <m/>
    <m/>
    <n v="0"/>
    <n v="1.0135028308160794"/>
    <n v="1.9242190409996556"/>
    <n v="1.9242190409996556"/>
  </r>
  <r>
    <x v="14"/>
    <x v="14"/>
    <n v="94451280.500000104"/>
    <x v="20"/>
    <n v="0"/>
    <n v="97084366.00000003"/>
    <n v="0"/>
    <m/>
    <n v="0"/>
    <m/>
    <n v="0"/>
    <m/>
    <n v="0"/>
    <m/>
    <n v="0"/>
    <n v="111129438.00000001"/>
    <n v="5867"/>
    <n v="5867"/>
    <m/>
    <n v="5867"/>
    <m/>
    <n v="9361"/>
    <m/>
    <n v="9361"/>
    <n v="123379924.50000004"/>
    <n v="8860"/>
    <n v="5867"/>
    <n v="0"/>
    <n v="5867"/>
    <n v="9361"/>
    <m/>
    <s v=""/>
    <n v="5867"/>
    <n v="2018"/>
    <n v="8860"/>
    <n v="2022"/>
    <s v=""/>
    <n v="8860"/>
    <n v="8860"/>
    <s v="Increasing"/>
    <m/>
    <m/>
    <m/>
    <m/>
    <n v="0"/>
    <n v="0.52794292003888288"/>
    <n v="0.71810710177570236"/>
    <n v="0.71810710177570236"/>
  </r>
  <r>
    <x v="14"/>
    <x v="14"/>
    <n v="94451281.500000104"/>
    <x v="21"/>
    <n v="0"/>
    <n v="97084366.00000003"/>
    <n v="0"/>
    <m/>
    <n v="0"/>
    <m/>
    <n v="0"/>
    <m/>
    <n v="0"/>
    <m/>
    <n v="0"/>
    <n v="111129438.00000001"/>
    <n v="2528"/>
    <n v="5396"/>
    <m/>
    <n v="0"/>
    <m/>
    <n v="2813"/>
    <m/>
    <n v="2813"/>
    <n v="123379924.50000004"/>
    <n v="4467"/>
    <n v="5396"/>
    <n v="0"/>
    <n v="2528"/>
    <n v="4467"/>
    <m/>
    <s v=""/>
    <n v="5396"/>
    <s v="2018 (triag)"/>
    <n v="4467"/>
    <n v="2022"/>
    <s v="Adjust"/>
    <n v="4560.2238523992301"/>
    <n v="5396"/>
    <s v="Decreasing"/>
    <m/>
    <m/>
    <m/>
    <m/>
    <n v="0"/>
    <n v="0.48555991077719651"/>
    <n v="0.36960825441251005"/>
    <n v="0.43734829810177084"/>
  </r>
  <r>
    <x v="14"/>
    <x v="14"/>
    <n v="94451282.500000104"/>
    <x v="22"/>
    <n v="0"/>
    <n v="97084366.00000003"/>
    <n v="0"/>
    <m/>
    <n v="0"/>
    <m/>
    <n v="0"/>
    <m/>
    <n v="0"/>
    <m/>
    <n v="88164"/>
    <n v="111129438.00000001"/>
    <n v="61772"/>
    <n v="61772"/>
    <m/>
    <n v="0"/>
    <m/>
    <n v="69824"/>
    <m/>
    <n v="69824"/>
    <n v="123379924.50000004"/>
    <n v="131262"/>
    <n v="61772"/>
    <n v="0"/>
    <n v="88164"/>
    <n v="131262"/>
    <m/>
    <s v=""/>
    <n v="61772"/>
    <n v="2018"/>
    <n v="131262"/>
    <n v="2022"/>
    <s v=""/>
    <n v="131262"/>
    <n v="131262"/>
    <s v="Increasing"/>
    <m/>
    <m/>
    <m/>
    <m/>
    <n v="0"/>
    <n v="5.5585631594753488"/>
    <n v="10.638845868316279"/>
    <n v="10.638845868316279"/>
  </r>
  <r>
    <x v="14"/>
    <x v="14"/>
    <n v="94451283.500000104"/>
    <x v="23"/>
    <n v="0"/>
    <n v="97084366.00000003"/>
    <n v="0"/>
    <m/>
    <n v="0"/>
    <m/>
    <n v="0"/>
    <m/>
    <n v="0"/>
    <m/>
    <n v="0"/>
    <n v="111129438.00000001"/>
    <n v="61772"/>
    <n v="61772"/>
    <m/>
    <n v="0"/>
    <m/>
    <n v="69824"/>
    <m/>
    <n v="69824"/>
    <n v="123379924.50000004"/>
    <n v="70246"/>
    <n v="61772"/>
    <n v="0"/>
    <n v="61772"/>
    <n v="70246"/>
    <m/>
    <s v=""/>
    <n v="61772"/>
    <n v="2018"/>
    <n v="70246"/>
    <n v="2022"/>
    <s v=""/>
    <n v="70246"/>
    <n v="70246"/>
    <s v="Increasing"/>
    <m/>
    <m/>
    <m/>
    <m/>
    <n v="0"/>
    <n v="5.5585631594753488"/>
    <n v="5.6934708206925491"/>
    <n v="5.6934708206925491"/>
  </r>
  <r>
    <x v="14"/>
    <x v="14"/>
    <n v="94451284.500000104"/>
    <x v="24"/>
    <n v="0"/>
    <n v="97084366.00000003"/>
    <n v="0"/>
    <m/>
    <n v="0"/>
    <m/>
    <n v="0"/>
    <m/>
    <n v="0"/>
    <m/>
    <n v="0"/>
    <n v="111129438.00000001"/>
    <n v="0"/>
    <n v="0"/>
    <m/>
    <n v="0"/>
    <m/>
    <n v="0"/>
    <m/>
    <n v="0"/>
    <n v="123379924.50000004"/>
    <n v="0"/>
    <n v="0"/>
    <n v="0"/>
    <n v="0"/>
    <n v="0"/>
    <m/>
    <s v=""/>
    <m/>
    <s v=""/>
    <n v="0"/>
    <s v=""/>
    <s v=""/>
    <m/>
    <n v="0"/>
    <s v="No change"/>
    <m/>
    <m/>
    <m/>
    <m/>
    <n v="0"/>
    <n v="0"/>
    <n v="0"/>
    <n v="0"/>
  </r>
  <r>
    <x v="14"/>
    <x v="14"/>
    <n v="94451285.500000104"/>
    <x v="25"/>
    <n v="0"/>
    <n v="97084366.00000003"/>
    <n v="6925"/>
    <m/>
    <n v="0"/>
    <m/>
    <n v="0"/>
    <m/>
    <n v="12069"/>
    <m/>
    <n v="0"/>
    <n v="111129438.00000001"/>
    <n v="16159"/>
    <n v="16161"/>
    <m/>
    <n v="0"/>
    <m/>
    <n v="20355"/>
    <m/>
    <n v="20355"/>
    <n v="123379924.50000004"/>
    <n v="34541"/>
    <n v="16161"/>
    <n v="6925"/>
    <n v="16159"/>
    <n v="34541"/>
    <n v="6925"/>
    <n v="2013"/>
    <n v="16161"/>
    <s v="2018 (triag)"/>
    <n v="34541"/>
    <n v="2022"/>
    <s v=""/>
    <n v="34541"/>
    <n v="34541"/>
    <s v="Increasing"/>
    <m/>
    <m/>
    <m/>
    <m/>
    <n v="0.71329713375271953"/>
    <n v="1.4542501330745503"/>
    <n v="2.7995640409068323"/>
    <n v="2.7995640409068323"/>
  </r>
  <r>
    <x v="14"/>
    <x v="14"/>
    <n v="94451286.500000104"/>
    <x v="26"/>
    <n v="0"/>
    <n v="97084366.00000003"/>
    <n v="6925"/>
    <m/>
    <n v="0"/>
    <m/>
    <n v="0"/>
    <m/>
    <n v="12069"/>
    <m/>
    <n v="0"/>
    <n v="111129438.00000001"/>
    <n v="16159"/>
    <n v="16159"/>
    <m/>
    <n v="0"/>
    <m/>
    <n v="20355"/>
    <m/>
    <n v="20355"/>
    <n v="123379924.50000004"/>
    <n v="21993"/>
    <n v="16159"/>
    <n v="6925"/>
    <n v="16159"/>
    <n v="21993"/>
    <n v="6925"/>
    <n v="2013"/>
    <n v="16159"/>
    <n v="2018"/>
    <n v="21993"/>
    <n v="2022"/>
    <s v=""/>
    <n v="21993"/>
    <n v="21993"/>
    <s v="Increasing"/>
    <m/>
    <m/>
    <m/>
    <m/>
    <n v="0.71329713375271953"/>
    <n v="1.4540701627592141"/>
    <n v="1.7825428317554199"/>
    <n v="1.7825428317554199"/>
  </r>
  <r>
    <x v="14"/>
    <x v="14"/>
    <n v="94451287.500000104"/>
    <x v="27"/>
    <n v="0"/>
    <n v="97084366.00000003"/>
    <n v="0"/>
    <m/>
    <n v="0"/>
    <m/>
    <n v="0"/>
    <m/>
    <n v="0"/>
    <m/>
    <n v="0"/>
    <n v="111129438.00000001"/>
    <n v="0"/>
    <n v="2"/>
    <m/>
    <n v="0"/>
    <m/>
    <n v="0"/>
    <m/>
    <n v="0"/>
    <n v="123379924.50000004"/>
    <n v="0"/>
    <n v="2"/>
    <n v="0"/>
    <n v="0"/>
    <n v="0"/>
    <m/>
    <s v=""/>
    <n v="2"/>
    <s v="2018 (triag)"/>
    <n v="2"/>
    <s v="2018 (triag)"/>
    <s v=""/>
    <n v="2"/>
    <n v="2"/>
    <s v="No change"/>
    <m/>
    <m/>
    <m/>
    <m/>
    <n v="0"/>
    <n v="1.7997031533624778E-4"/>
    <n v="1.6210092590873641E-4"/>
    <n v="1.6210092590873641E-4"/>
  </r>
  <r>
    <x v="14"/>
    <x v="14"/>
    <n v="94451288.500000104"/>
    <x v="28"/>
    <n v="0"/>
    <n v="97084366.00000003"/>
    <n v="0"/>
    <m/>
    <n v="0"/>
    <m/>
    <n v="0"/>
    <m/>
    <n v="0"/>
    <m/>
    <n v="0"/>
    <n v="111129438.00000001"/>
    <n v="10752"/>
    <n v="10752"/>
    <m/>
    <n v="0"/>
    <m/>
    <n v="5394"/>
    <m/>
    <n v="15498"/>
    <n v="123379924.50000004"/>
    <n v="22344"/>
    <n v="3907"/>
    <n v="0"/>
    <n v="10752"/>
    <n v="22344"/>
    <m/>
    <s v=""/>
    <n v="10752"/>
    <n v="2018"/>
    <n v="22344"/>
    <n v="2022"/>
    <s v=""/>
    <n v="22344"/>
    <n v="22344"/>
    <s v="Increasing"/>
    <m/>
    <m/>
    <m/>
    <m/>
    <n v="0"/>
    <n v="0.96752041524766808"/>
    <n v="1.8109915442524032"/>
    <n v="1.8109915442524032"/>
  </r>
  <r>
    <x v="14"/>
    <x v="14"/>
    <n v="94451289.500000104"/>
    <x v="29"/>
    <n v="0"/>
    <n v="97084366.00000003"/>
    <n v="0"/>
    <m/>
    <n v="0"/>
    <m/>
    <n v="0"/>
    <m/>
    <n v="0"/>
    <m/>
    <n v="0"/>
    <n v="111129438.00000001"/>
    <n v="0"/>
    <n v="6845"/>
    <m/>
    <n v="0"/>
    <m/>
    <n v="10104"/>
    <m/>
    <n v="0"/>
    <n v="123379924.50000004"/>
    <n v="13620"/>
    <n v="6845"/>
    <n v="0"/>
    <n v="0"/>
    <n v="13620"/>
    <m/>
    <s v=""/>
    <n v="6845"/>
    <s v="2018 (triag)"/>
    <n v="13620"/>
    <n v="2022"/>
    <s v=""/>
    <n v="13620"/>
    <n v="13620"/>
    <s v="Increasing"/>
    <m/>
    <m/>
    <m/>
    <m/>
    <n v="0"/>
    <n v="0.61594840423830799"/>
    <n v="1.1039073054384949"/>
    <n v="1.1039073054384949"/>
  </r>
  <r>
    <x v="14"/>
    <x v="14"/>
    <n v="94451290.500000104"/>
    <x v="30"/>
    <n v="0"/>
    <n v="97084366.00000003"/>
    <n v="0"/>
    <m/>
    <n v="0"/>
    <m/>
    <n v="0"/>
    <m/>
    <n v="0"/>
    <m/>
    <n v="0"/>
    <n v="111129438.00000001"/>
    <n v="1889"/>
    <n v="1889"/>
    <m/>
    <n v="52"/>
    <m/>
    <n v="228"/>
    <m/>
    <n v="0"/>
    <n v="123379924.50000004"/>
    <n v="3522"/>
    <n v="1745"/>
    <n v="0"/>
    <n v="1889"/>
    <n v="3522"/>
    <m/>
    <s v=""/>
    <n v="1889"/>
    <n v="2018"/>
    <n v="3522"/>
    <n v="2022"/>
    <s v=""/>
    <n v="3522"/>
    <n v="3522"/>
    <s v="Increasing"/>
    <m/>
    <m/>
    <m/>
    <m/>
    <n v="0"/>
    <n v="0.16998196283508604"/>
    <n v="0.28545973052528484"/>
    <n v="0.28545973052528484"/>
  </r>
  <r>
    <x v="14"/>
    <x v="14"/>
    <n v="94451291.500000104"/>
    <x v="31"/>
    <n v="0"/>
    <n v="97084366.00000003"/>
    <n v="0"/>
    <m/>
    <n v="0"/>
    <m/>
    <n v="0"/>
    <m/>
    <n v="0"/>
    <m/>
    <n v="0"/>
    <n v="111129438.00000001"/>
    <n v="0"/>
    <n v="144"/>
    <m/>
    <n v="0"/>
    <m/>
    <n v="110"/>
    <m/>
    <n v="0"/>
    <n v="123379924.50000004"/>
    <n v="195"/>
    <n v="144"/>
    <n v="0"/>
    <n v="0"/>
    <n v="195"/>
    <m/>
    <s v=""/>
    <n v="144"/>
    <s v="2018 (triag)"/>
    <n v="195"/>
    <n v="2022"/>
    <s v=""/>
    <n v="195"/>
    <n v="195"/>
    <s v="Increasing"/>
    <m/>
    <m/>
    <m/>
    <m/>
    <n v="0"/>
    <n v="1.295786270420984E-2"/>
    <n v="1.5804840276101802E-2"/>
    <n v="1.5804840276101802E-2"/>
  </r>
  <r>
    <x v="14"/>
    <x v="14"/>
    <n v="94451292.500000104"/>
    <x v="32"/>
    <n v="0"/>
    <n v="97084366.00000003"/>
    <n v="0"/>
    <m/>
    <n v="0"/>
    <m/>
    <n v="0"/>
    <m/>
    <n v="0"/>
    <m/>
    <n v="0"/>
    <n v="111129438.00000001"/>
    <n v="0"/>
    <n v="0"/>
    <m/>
    <n v="0"/>
    <m/>
    <n v="0"/>
    <m/>
    <n v="0"/>
    <n v="123379924.50000004"/>
    <n v="0"/>
    <n v="0"/>
    <n v="0"/>
    <n v="0"/>
    <n v="0"/>
    <m/>
    <s v=""/>
    <m/>
    <s v=""/>
    <n v="0"/>
    <s v=""/>
    <s v=""/>
    <m/>
    <n v="0"/>
    <s v="No change"/>
    <m/>
    <m/>
    <m/>
    <m/>
    <n v="0"/>
    <n v="0"/>
    <n v="0"/>
    <n v="0"/>
  </r>
  <r>
    <x v="15"/>
    <x v="15"/>
    <n v="1836705"/>
    <x v="19"/>
    <n v="0"/>
    <n v="1902226.5000000007"/>
    <n v="0"/>
    <n v="1966855.5"/>
    <n v="0"/>
    <n v="2028517.0000000007"/>
    <n v="0"/>
    <n v="2086205.5000000009"/>
    <n v="715"/>
    <n v="2140215.5000000005"/>
    <n v="1408"/>
    <n v="2192011.5"/>
    <n v="1368"/>
    <n v="1368"/>
    <n v="2242785.5000000005"/>
    <n v="1368"/>
    <n v="2292572.9999999981"/>
    <n v="1362"/>
    <n v="2341178.9999999986"/>
    <n v="0"/>
    <n v="2388992.5000000005"/>
    <n v="1139"/>
    <n v="1368"/>
    <n v="0"/>
    <n v="1408"/>
    <n v="1362"/>
    <m/>
    <s v=""/>
    <n v="1368"/>
    <n v="2018"/>
    <n v="1139"/>
    <n v="2022"/>
    <s v="Adjust"/>
    <n v="1265.3898201501661"/>
    <n v="1368"/>
    <s v="Decreasing"/>
    <m/>
    <m/>
    <m/>
    <m/>
    <n v="0"/>
    <n v="6.2408431707589127"/>
    <n v="5.2967509113158195"/>
    <n v="5.7262632678838452"/>
  </r>
  <r>
    <x v="15"/>
    <x v="15"/>
    <n v="1836706"/>
    <x v="20"/>
    <n v="0"/>
    <n v="1902226.5000000007"/>
    <n v="0"/>
    <m/>
    <n v="0"/>
    <m/>
    <n v="0"/>
    <m/>
    <n v="0"/>
    <m/>
    <n v="570"/>
    <n v="2192011.5"/>
    <n v="570"/>
    <n v="570"/>
    <m/>
    <n v="516"/>
    <m/>
    <n v="526"/>
    <m/>
    <n v="0"/>
    <n v="2388992.5000000005"/>
    <n v="612"/>
    <n v="570"/>
    <n v="0"/>
    <n v="570"/>
    <n v="612"/>
    <m/>
    <s v=""/>
    <n v="570"/>
    <n v="2017"/>
    <n v="612"/>
    <n v="2022"/>
    <s v=""/>
    <n v="612"/>
    <n v="612"/>
    <s v="Increasing"/>
    <m/>
    <m/>
    <m/>
    <m/>
    <n v="0"/>
    <n v="2.6003513211495468"/>
    <n v="2.5617493566848784"/>
    <n v="2.5617493566848784"/>
  </r>
  <r>
    <x v="15"/>
    <x v="15"/>
    <n v="1836707"/>
    <x v="21"/>
    <n v="0"/>
    <n v="1902226.5000000007"/>
    <n v="0"/>
    <m/>
    <n v="0"/>
    <m/>
    <n v="0"/>
    <m/>
    <n v="0"/>
    <m/>
    <n v="838"/>
    <n v="2192011.5"/>
    <n v="798"/>
    <n v="798"/>
    <m/>
    <n v="851"/>
    <m/>
    <n v="835"/>
    <m/>
    <n v="0"/>
    <n v="2388992.5000000005"/>
    <n v="527"/>
    <n v="798"/>
    <n v="0"/>
    <n v="851"/>
    <n v="835"/>
    <m/>
    <s v=""/>
    <n v="798"/>
    <n v="2018"/>
    <n v="527"/>
    <n v="2022"/>
    <s v="Adjust"/>
    <n v="585.47887200977834"/>
    <n v="798"/>
    <s v="Decreasing"/>
    <m/>
    <m/>
    <m/>
    <m/>
    <n v="0"/>
    <n v="3.6404918496093654"/>
    <n v="2.450735496280454"/>
    <n v="3.3403202395989098"/>
  </r>
  <r>
    <x v="15"/>
    <x v="15"/>
    <n v="1836708"/>
    <x v="22"/>
    <n v="0"/>
    <n v="1902226.5000000007"/>
    <n v="0"/>
    <m/>
    <n v="0"/>
    <m/>
    <n v="0"/>
    <m/>
    <n v="4596"/>
    <m/>
    <n v="5350"/>
    <n v="2192011.5"/>
    <n v="6085"/>
    <n v="6085"/>
    <m/>
    <n v="4711"/>
    <m/>
    <n v="5481"/>
    <m/>
    <n v="0"/>
    <n v="2388992.5000000005"/>
    <n v="4277"/>
    <n v="5352"/>
    <n v="0"/>
    <n v="6085"/>
    <n v="5481"/>
    <m/>
    <s v=""/>
    <n v="6085"/>
    <n v="2018"/>
    <n v="4277"/>
    <n v="2022"/>
    <s v="Adjust"/>
    <n v="4751.5998777719578"/>
    <n v="6085"/>
    <s v="Decreasing"/>
    <m/>
    <m/>
    <m/>
    <m/>
    <n v="0"/>
    <n v="27.75989085823683"/>
    <n v="19.889555441350097"/>
    <n v="25.470988293182163"/>
  </r>
  <r>
    <x v="15"/>
    <x v="15"/>
    <n v="1836709"/>
    <x v="23"/>
    <n v="0"/>
    <n v="1902226.5000000007"/>
    <n v="0"/>
    <m/>
    <n v="0"/>
    <m/>
    <n v="0"/>
    <m/>
    <n v="0"/>
    <m/>
    <n v="1077"/>
    <n v="2192011.5"/>
    <n v="0"/>
    <n v="1077"/>
    <m/>
    <n v="3301"/>
    <m/>
    <n v="4844"/>
    <m/>
    <n v="0"/>
    <n v="2388992.5000000005"/>
    <n v="992"/>
    <n v="1077"/>
    <n v="0"/>
    <n v="3301"/>
    <n v="4844"/>
    <m/>
    <s v=""/>
    <n v="1077"/>
    <n v="2017"/>
    <n v="992"/>
    <n v="2022"/>
    <s v="Adjust"/>
    <n v="1102.0778767242884"/>
    <n v="1102.0778767242884"/>
    <s v="Increasing"/>
    <m/>
    <m/>
    <m/>
    <m/>
    <n v="0"/>
    <n v="4.9132953910141435"/>
    <n v="4.6131491694690885"/>
    <n v="4.6131491694690885"/>
  </r>
  <r>
    <x v="15"/>
    <x v="15"/>
    <n v="1836710"/>
    <x v="24"/>
    <n v="0"/>
    <n v="1902226.5000000007"/>
    <n v="0"/>
    <m/>
    <n v="0"/>
    <m/>
    <n v="0"/>
    <m/>
    <n v="0"/>
    <m/>
    <n v="0"/>
    <n v="2192011.5"/>
    <n v="0"/>
    <n v="4275"/>
    <m/>
    <n v="1408"/>
    <m/>
    <n v="635"/>
    <m/>
    <n v="0"/>
    <n v="2388992.5000000005"/>
    <n v="3201"/>
    <n v="4275"/>
    <n v="0"/>
    <n v="1408"/>
    <n v="3201"/>
    <m/>
    <s v=""/>
    <n v="4275"/>
    <s v="2018 (triag)"/>
    <n v="3201"/>
    <n v="2022"/>
    <s v="Adjust"/>
    <n v="3556.2008905185962"/>
    <n v="4275"/>
    <s v="Decreasing"/>
    <m/>
    <m/>
    <m/>
    <m/>
    <n v="0"/>
    <n v="19.502634908621602"/>
    <n v="14.885776705111445"/>
    <n v="17.894572712137016"/>
  </r>
  <r>
    <x v="15"/>
    <x v="15"/>
    <n v="1836711"/>
    <x v="25"/>
    <n v="0"/>
    <n v="1902226.5000000007"/>
    <n v="437"/>
    <m/>
    <n v="0"/>
    <m/>
    <n v="0"/>
    <m/>
    <n v="513"/>
    <m/>
    <n v="733"/>
    <n v="2192011.5"/>
    <n v="0"/>
    <n v="733"/>
    <m/>
    <n v="607"/>
    <m/>
    <n v="662"/>
    <m/>
    <n v="0"/>
    <n v="2388992.5000000005"/>
    <n v="920"/>
    <n v="733"/>
    <n v="437"/>
    <n v="733"/>
    <n v="920"/>
    <n v="437"/>
    <n v="2013"/>
    <n v="733"/>
    <n v="2017"/>
    <n v="920"/>
    <n v="2022"/>
    <s v=""/>
    <n v="920"/>
    <n v="920"/>
    <s v="Increasing"/>
    <m/>
    <m/>
    <m/>
    <m/>
    <n v="2.2973079178531046"/>
    <n v="3.3439605586010841"/>
    <n v="3.8509957649511239"/>
    <n v="3.8509957649511239"/>
  </r>
  <r>
    <x v="15"/>
    <x v="15"/>
    <n v="1836712"/>
    <x v="26"/>
    <n v="0"/>
    <n v="1902226.5000000007"/>
    <n v="437"/>
    <m/>
    <n v="0"/>
    <m/>
    <n v="0"/>
    <m/>
    <n v="0"/>
    <m/>
    <n v="109"/>
    <n v="2192011.5"/>
    <n v="0"/>
    <n v="107"/>
    <m/>
    <n v="607"/>
    <m/>
    <n v="662"/>
    <m/>
    <n v="0"/>
    <n v="2388992.5000000005"/>
    <n v="867"/>
    <n v="107"/>
    <n v="437"/>
    <n v="607"/>
    <n v="867"/>
    <n v="437"/>
    <n v="2013"/>
    <n v="107"/>
    <s v="2018 (triag)"/>
    <n v="867"/>
    <n v="2022"/>
    <s v=""/>
    <n v="867"/>
    <n v="867"/>
    <s v="Increasing"/>
    <m/>
    <m/>
    <m/>
    <m/>
    <n v="2.2973079178531046"/>
    <n v="0.48813612519824828"/>
    <n v="3.6291449219702439"/>
    <n v="3.6291449219702439"/>
  </r>
  <r>
    <x v="15"/>
    <x v="15"/>
    <n v="1836713"/>
    <x v="27"/>
    <n v="0"/>
    <n v="1902226.5000000007"/>
    <n v="0"/>
    <m/>
    <n v="0"/>
    <m/>
    <n v="0"/>
    <m/>
    <n v="0"/>
    <m/>
    <n v="0"/>
    <n v="2192011.5"/>
    <n v="0"/>
    <n v="626"/>
    <m/>
    <n v="0"/>
    <m/>
    <n v="0"/>
    <m/>
    <n v="0"/>
    <n v="2388992.5000000005"/>
    <n v="43"/>
    <n v="626"/>
    <n v="0"/>
    <n v="0"/>
    <n v="43"/>
    <m/>
    <s v=""/>
    <n v="626"/>
    <s v="2018 (triag)"/>
    <n v="43"/>
    <n v="2022"/>
    <s v="Adjust"/>
    <n v="47.77152086607299"/>
    <n v="626"/>
    <s v="Decreasing"/>
    <m/>
    <m/>
    <m/>
    <m/>
    <n v="0"/>
    <n v="2.8558244334028355"/>
    <n v="0.19996513537013191"/>
    <n v="2.6203514661515257"/>
  </r>
  <r>
    <x v="15"/>
    <x v="15"/>
    <n v="1836714"/>
    <x v="28"/>
    <n v="0"/>
    <n v="1902226.5000000007"/>
    <n v="0"/>
    <m/>
    <n v="0"/>
    <m/>
    <n v="0"/>
    <m/>
    <n v="46"/>
    <m/>
    <n v="121"/>
    <n v="2192011.5"/>
    <n v="227"/>
    <n v="227"/>
    <m/>
    <n v="140"/>
    <m/>
    <n v="139"/>
    <m/>
    <n v="0"/>
    <n v="2388992.5000000005"/>
    <n v="168"/>
    <n v="121"/>
    <n v="0"/>
    <n v="227"/>
    <n v="168"/>
    <m/>
    <s v=""/>
    <n v="227"/>
    <n v="2018"/>
    <n v="168"/>
    <n v="2022"/>
    <s v="Adjust"/>
    <n v="186.64222105814565"/>
    <n v="227"/>
    <s v="Decreasing"/>
    <m/>
    <m/>
    <m/>
    <m/>
    <n v="0"/>
    <n v="1.0355785085981528"/>
    <n v="0.78125913353912002"/>
    <n v="0.95019134635207081"/>
  </r>
  <r>
    <x v="15"/>
    <x v="15"/>
    <n v="1836715"/>
    <x v="29"/>
    <n v="0"/>
    <n v="1902226.5000000007"/>
    <n v="0"/>
    <m/>
    <n v="0"/>
    <m/>
    <n v="0"/>
    <m/>
    <n v="72"/>
    <m/>
    <n v="106"/>
    <n v="2192011.5"/>
    <n v="0"/>
    <n v="106"/>
    <m/>
    <n v="179"/>
    <m/>
    <n v="179"/>
    <m/>
    <n v="0"/>
    <n v="2388992.5000000005"/>
    <n v="233"/>
    <n v="106"/>
    <n v="0"/>
    <n v="179"/>
    <n v="233"/>
    <m/>
    <s v=""/>
    <n v="106"/>
    <n v="2017"/>
    <n v="233"/>
    <n v="2022"/>
    <s v=""/>
    <n v="233"/>
    <n v="233"/>
    <s v="Increasing"/>
    <m/>
    <m/>
    <m/>
    <m/>
    <n v="0"/>
    <n v="0.4835741053365824"/>
    <n v="0.97530653612349116"/>
    <n v="0.97530653612349116"/>
  </r>
  <r>
    <x v="15"/>
    <x v="15"/>
    <n v="1836716"/>
    <x v="30"/>
    <n v="0"/>
    <n v="1902226.5000000007"/>
    <n v="0"/>
    <m/>
    <n v="0"/>
    <m/>
    <n v="0"/>
    <m/>
    <n v="0"/>
    <m/>
    <n v="37"/>
    <n v="2192011.5"/>
    <n v="40"/>
    <n v="40"/>
    <m/>
    <n v="34"/>
    <m/>
    <n v="34"/>
    <m/>
    <n v="0"/>
    <n v="2388992.5000000005"/>
    <n v="44"/>
    <n v="37"/>
    <n v="0"/>
    <n v="40"/>
    <n v="44"/>
    <m/>
    <s v=""/>
    <n v="40"/>
    <n v="2018"/>
    <n v="44"/>
    <n v="2022"/>
    <s v=""/>
    <n v="44"/>
    <n v="44"/>
    <s v="Increasing"/>
    <m/>
    <m/>
    <m/>
    <m/>
    <n v="0"/>
    <n v="0.18248079446663487"/>
    <n v="0.18417805832374942"/>
    <n v="0.18417805832374942"/>
  </r>
  <r>
    <x v="15"/>
    <x v="15"/>
    <n v="1836717"/>
    <x v="31"/>
    <n v="0"/>
    <n v="1902226.5000000007"/>
    <n v="0"/>
    <m/>
    <n v="0"/>
    <m/>
    <n v="0"/>
    <m/>
    <n v="0"/>
    <m/>
    <n v="3"/>
    <n v="2192011.5"/>
    <n v="0"/>
    <n v="3"/>
    <m/>
    <n v="32"/>
    <m/>
    <n v="32"/>
    <m/>
    <n v="0"/>
    <n v="2388992.5000000005"/>
    <n v="67"/>
    <n v="3"/>
    <n v="0"/>
    <n v="32"/>
    <n v="67"/>
    <m/>
    <s v=""/>
    <n v="3"/>
    <n v="2017"/>
    <n v="67"/>
    <n v="2022"/>
    <s v=""/>
    <n v="67"/>
    <n v="67"/>
    <s v="Increasing"/>
    <m/>
    <m/>
    <m/>
    <m/>
    <n v="0"/>
    <n v="1.3686059584997615E-2"/>
    <n v="0.28045295244752749"/>
    <n v="0.28045295244752749"/>
  </r>
  <r>
    <x v="15"/>
    <x v="15"/>
    <n v="1836718"/>
    <x v="32"/>
    <n v="0"/>
    <n v="1902226.5000000007"/>
    <n v="0"/>
    <m/>
    <n v="0"/>
    <m/>
    <n v="0"/>
    <m/>
    <n v="0"/>
    <m/>
    <n v="41"/>
    <n v="2192011.5"/>
    <n v="0"/>
    <n v="0"/>
    <m/>
    <n v="85"/>
    <m/>
    <n v="86"/>
    <m/>
    <n v="0"/>
    <n v="2388992.5000000005"/>
    <n v="175"/>
    <n v="0"/>
    <n v="0"/>
    <n v="85"/>
    <n v="175"/>
    <m/>
    <s v=""/>
    <n v="41"/>
    <n v="2017"/>
    <n v="175"/>
    <n v="2022"/>
    <s v=""/>
    <n v="175"/>
    <n v="175"/>
    <s v="Increasing"/>
    <m/>
    <m/>
    <m/>
    <m/>
    <n v="0"/>
    <n v="0.18704281432830075"/>
    <n v="0.73252636833309426"/>
    <n v="0.73252636833309426"/>
  </r>
  <r>
    <x v="16"/>
    <x v="16"/>
    <n v="26858761.999999993"/>
    <x v="19"/>
    <n v="2486"/>
    <n v="27525596.999999989"/>
    <n v="2730"/>
    <n v="28196358.499999996"/>
    <n v="3016"/>
    <n v="28870939.000000007"/>
    <n v="3263"/>
    <n v="29554302.499999993"/>
    <n v="3618"/>
    <n v="30222261.500000004"/>
    <n v="2679"/>
    <n v="30870640.5"/>
    <n v="4406"/>
    <n v="4406"/>
    <n v="31522289.999999996"/>
    <n v="3236"/>
    <n v="32180401.499999981"/>
    <n v="5285"/>
    <n v="32833031.499999996"/>
    <n v="4169"/>
    <n v="33475870.500000011"/>
    <n v="4726"/>
    <n v="4406"/>
    <n v="3263"/>
    <n v="4406"/>
    <n v="5285"/>
    <n v="2730"/>
    <n v="2013"/>
    <n v="4406"/>
    <n v="2018"/>
    <n v="4726"/>
    <n v="2022"/>
    <s v=""/>
    <n v="4726"/>
    <n v="4726"/>
    <s v="Increasing"/>
    <m/>
    <m/>
    <m/>
    <m/>
    <n v="0.99180410146962517"/>
    <n v="1.4272460592451912"/>
    <n v="1.411763138467153"/>
    <n v="1.411763138467153"/>
  </r>
  <r>
    <x v="16"/>
    <x v="16"/>
    <n v="26858763"/>
    <x v="20"/>
    <n v="0"/>
    <n v="27525596.999999989"/>
    <n v="0"/>
    <m/>
    <n v="0"/>
    <m/>
    <n v="0"/>
    <m/>
    <n v="0"/>
    <m/>
    <n v="1757"/>
    <n v="30870640.5"/>
    <n v="3316"/>
    <n v="3316"/>
    <m/>
    <n v="2181"/>
    <m/>
    <n v="0"/>
    <m/>
    <n v="3034"/>
    <n v="33475870.500000011"/>
    <n v="3344"/>
    <n v="3316"/>
    <n v="0"/>
    <n v="3316"/>
    <n v="3344"/>
    <m/>
    <s v=""/>
    <n v="3316"/>
    <n v="2018"/>
    <n v="3344"/>
    <n v="2022"/>
    <s v=""/>
    <n v="3344"/>
    <n v="3344"/>
    <s v="Increasing"/>
    <m/>
    <m/>
    <m/>
    <m/>
    <n v="0"/>
    <n v="1.074159766785532"/>
    <n v="0.99892846699834104"/>
    <n v="0.99892846699834104"/>
  </r>
  <r>
    <x v="16"/>
    <x v="16"/>
    <n v="26858764"/>
    <x v="21"/>
    <n v="0"/>
    <n v="27525596.999999989"/>
    <n v="0"/>
    <m/>
    <n v="0"/>
    <m/>
    <n v="0"/>
    <m/>
    <n v="0"/>
    <m/>
    <n v="861"/>
    <n v="30870640.5"/>
    <n v="1090"/>
    <n v="1090"/>
    <m/>
    <n v="1055"/>
    <m/>
    <n v="0"/>
    <m/>
    <n v="1135"/>
    <n v="33475870.500000011"/>
    <n v="1382"/>
    <n v="1090"/>
    <n v="0"/>
    <n v="1090"/>
    <n v="1382"/>
    <m/>
    <s v=""/>
    <n v="1090"/>
    <n v="2018"/>
    <n v="1382"/>
    <n v="2022"/>
    <s v=""/>
    <n v="1382"/>
    <n v="1382"/>
    <s v="Increasing"/>
    <m/>
    <m/>
    <m/>
    <m/>
    <n v="0"/>
    <n v="0.35308629245965922"/>
    <n v="0.41283467146881198"/>
    <n v="0.41283467146881198"/>
  </r>
  <r>
    <x v="16"/>
    <x v="16"/>
    <n v="26858765"/>
    <x v="22"/>
    <n v="0"/>
    <n v="27525596.999999989"/>
    <n v="0"/>
    <m/>
    <n v="37404"/>
    <m/>
    <n v="48939"/>
    <m/>
    <n v="52605"/>
    <m/>
    <n v="58608"/>
    <n v="30870640.5"/>
    <n v="125024"/>
    <n v="125024"/>
    <m/>
    <n v="69789"/>
    <m/>
    <n v="95789"/>
    <m/>
    <n v="93144"/>
    <n v="33475870.500000011"/>
    <n v="102943"/>
    <n v="42827"/>
    <n v="48939"/>
    <n v="125024"/>
    <n v="102943"/>
    <n v="37404"/>
    <n v="2014"/>
    <n v="125024"/>
    <n v="2018"/>
    <n v="102943"/>
    <n v="2022"/>
    <s v="Adjust"/>
    <n v="124204.27697797566"/>
    <n v="125024"/>
    <s v="Decreasing"/>
    <m/>
    <m/>
    <m/>
    <m/>
    <n v="13.588806084750864"/>
    <n v="40.499321677501314"/>
    <n v="37.102627989308182"/>
    <n v="37.347497804426013"/>
  </r>
  <r>
    <x v="16"/>
    <x v="16"/>
    <n v="26858766"/>
    <x v="23"/>
    <n v="0"/>
    <n v="27525596.999999989"/>
    <n v="0"/>
    <m/>
    <n v="15412"/>
    <m/>
    <n v="0"/>
    <m/>
    <n v="0"/>
    <m/>
    <n v="21927"/>
    <n v="30870640.5"/>
    <n v="60530"/>
    <n v="60530"/>
    <m/>
    <n v="25959"/>
    <m/>
    <n v="0"/>
    <m/>
    <n v="41308"/>
    <n v="33475870.500000011"/>
    <n v="46459"/>
    <n v="22303"/>
    <n v="15412"/>
    <n v="60530"/>
    <n v="46459"/>
    <n v="15412"/>
    <n v="2014"/>
    <n v="60530"/>
    <n v="2018"/>
    <n v="46459"/>
    <n v="2022"/>
    <s v="Adjust"/>
    <n v="56054.384505209397"/>
    <n v="60530"/>
    <s v="Decreasing"/>
    <m/>
    <m/>
    <m/>
    <m/>
    <n v="5.5991519457325509"/>
    <n v="19.607626864755204"/>
    <n v="16.744713032991744"/>
    <n v="18.081680654129659"/>
  </r>
  <r>
    <x v="16"/>
    <x v="16"/>
    <n v="26858767"/>
    <x v="24"/>
    <n v="0"/>
    <n v="27525596.999999989"/>
    <n v="0"/>
    <m/>
    <n v="21992"/>
    <m/>
    <n v="0"/>
    <m/>
    <n v="0"/>
    <m/>
    <n v="36681"/>
    <n v="30870640.5"/>
    <n v="64494"/>
    <n v="64494"/>
    <m/>
    <n v="43830"/>
    <m/>
    <n v="0"/>
    <m/>
    <n v="51836"/>
    <n v="33475870.500000011"/>
    <n v="56484"/>
    <n v="20524"/>
    <n v="21992"/>
    <n v="64494"/>
    <n v="56484"/>
    <n v="21992"/>
    <n v="2014"/>
    <n v="64494"/>
    <n v="2018"/>
    <n v="56484"/>
    <n v="2022"/>
    <s v="Adjust"/>
    <n v="68149.892472766252"/>
    <n v="68149.892472766252"/>
    <s v="Increasing"/>
    <m/>
    <m/>
    <m/>
    <m/>
    <n v="7.989654139018314"/>
    <n v="20.89169481274611"/>
    <n v="20.357914956316442"/>
    <n v="20.357914956316442"/>
  </r>
  <r>
    <x v="16"/>
    <x v="16"/>
    <n v="26858768"/>
    <x v="25"/>
    <n v="0"/>
    <n v="27525596.999999989"/>
    <n v="11287"/>
    <m/>
    <n v="0"/>
    <m/>
    <n v="6808"/>
    <m/>
    <n v="7662"/>
    <m/>
    <n v="9554"/>
    <n v="30870640.5"/>
    <n v="10489"/>
    <n v="10625"/>
    <m/>
    <n v="12673"/>
    <m/>
    <n v="16700"/>
    <m/>
    <n v="19141"/>
    <n v="33475870.500000011"/>
    <n v="23882"/>
    <n v="10625"/>
    <n v="11287"/>
    <n v="12673"/>
    <n v="23882"/>
    <n v="11287"/>
    <n v="2013"/>
    <n v="10625"/>
    <s v="2018 (triag)"/>
    <n v="23882"/>
    <n v="2022"/>
    <s v=""/>
    <n v="23882"/>
    <n v="23882"/>
    <s v="Increasing"/>
    <m/>
    <m/>
    <m/>
    <m/>
    <n v="4.1005468473581175"/>
    <n v="3.441781520535669"/>
    <n v="7.1340937945138698"/>
    <n v="7.1340937945138698"/>
  </r>
  <r>
    <x v="16"/>
    <x v="16"/>
    <n v="26858769"/>
    <x v="26"/>
    <n v="0"/>
    <n v="27525596.999999989"/>
    <n v="4185"/>
    <m/>
    <n v="0"/>
    <m/>
    <n v="0"/>
    <m/>
    <n v="0"/>
    <m/>
    <n v="9554"/>
    <n v="30870640.5"/>
    <n v="10489"/>
    <n v="10625"/>
    <m/>
    <n v="12673"/>
    <m/>
    <n v="0"/>
    <m/>
    <n v="19141"/>
    <n v="33475870.500000011"/>
    <n v="23882"/>
    <n v="10625"/>
    <n v="4185"/>
    <n v="12673"/>
    <n v="23882"/>
    <n v="4185"/>
    <n v="2013"/>
    <n v="10625"/>
    <s v="2018 (triag)"/>
    <n v="23882"/>
    <n v="2022"/>
    <s v=""/>
    <n v="23882"/>
    <n v="23882"/>
    <s v="Increasing"/>
    <m/>
    <m/>
    <m/>
    <m/>
    <n v="1.5204029907144254"/>
    <n v="3.441781520535669"/>
    <n v="7.1340937945138698"/>
    <n v="7.1340937945138698"/>
  </r>
  <r>
    <x v="16"/>
    <x v="16"/>
    <n v="26858770"/>
    <x v="27"/>
    <n v="0"/>
    <n v="27525596.999999989"/>
    <n v="0"/>
    <m/>
    <n v="0"/>
    <m/>
    <n v="0"/>
    <m/>
    <n v="0"/>
    <m/>
    <n v="0"/>
    <n v="30870640.5"/>
    <n v="0"/>
    <n v="0"/>
    <m/>
    <n v="0"/>
    <m/>
    <n v="0"/>
    <m/>
    <n v="0"/>
    <n v="33475870.500000011"/>
    <n v="0"/>
    <n v="0"/>
    <n v="0"/>
    <n v="0"/>
    <n v="0"/>
    <m/>
    <s v=""/>
    <m/>
    <s v=""/>
    <n v="0"/>
    <s v=""/>
    <s v=""/>
    <m/>
    <n v="0"/>
    <s v="No change"/>
    <m/>
    <m/>
    <m/>
    <m/>
    <n v="0"/>
    <n v="0"/>
    <n v="0"/>
    <n v="0"/>
  </r>
  <r>
    <x v="16"/>
    <x v="16"/>
    <n v="26858771"/>
    <x v="28"/>
    <n v="0"/>
    <n v="27525596.999999989"/>
    <n v="0"/>
    <m/>
    <n v="0"/>
    <m/>
    <n v="0"/>
    <m/>
    <n v="570"/>
    <m/>
    <n v="718"/>
    <n v="30870640.5"/>
    <n v="918"/>
    <n v="918"/>
    <m/>
    <n v="1138"/>
    <m/>
    <n v="1388"/>
    <m/>
    <n v="1035"/>
    <n v="33475870.500000011"/>
    <n v="5736"/>
    <n v="775"/>
    <n v="0"/>
    <n v="1138"/>
    <n v="5736"/>
    <m/>
    <s v=""/>
    <n v="918"/>
    <n v="2018"/>
    <n v="5736"/>
    <n v="2022"/>
    <s v=""/>
    <n v="5736"/>
    <n v="5736"/>
    <s v="Increasing"/>
    <m/>
    <m/>
    <m/>
    <m/>
    <n v="0"/>
    <n v="0.29736992337428181"/>
    <n v="1.7134729924349534"/>
    <n v="1.7134729924349534"/>
  </r>
  <r>
    <x v="16"/>
    <x v="16"/>
    <n v="26858772"/>
    <x v="29"/>
    <n v="0"/>
    <n v="27525596.999999989"/>
    <n v="0"/>
    <m/>
    <n v="0"/>
    <m/>
    <n v="0"/>
    <m/>
    <n v="0"/>
    <m/>
    <n v="821"/>
    <n v="30870640.5"/>
    <n v="0"/>
    <n v="1352"/>
    <m/>
    <n v="0"/>
    <m/>
    <n v="0"/>
    <m/>
    <n v="1096"/>
    <n v="33475870.500000011"/>
    <n v="1507"/>
    <n v="1352"/>
    <n v="0"/>
    <n v="821"/>
    <n v="1507"/>
    <m/>
    <s v=""/>
    <n v="1352"/>
    <s v="2018 (triag)"/>
    <n v="1507"/>
    <n v="2022"/>
    <s v=""/>
    <n v="1507"/>
    <n v="1507"/>
    <s v="Increasing"/>
    <m/>
    <m/>
    <m/>
    <m/>
    <n v="0"/>
    <n v="0.43795657560133877"/>
    <n v="0.45017499993017346"/>
    <n v="0.45017499993017346"/>
  </r>
  <r>
    <x v="16"/>
    <x v="16"/>
    <n v="26858773"/>
    <x v="30"/>
    <n v="0"/>
    <n v="27525596.999999989"/>
    <n v="0"/>
    <m/>
    <n v="0"/>
    <m/>
    <n v="0"/>
    <m/>
    <n v="400"/>
    <m/>
    <n v="0"/>
    <n v="30870640.5"/>
    <n v="713"/>
    <n v="713"/>
    <m/>
    <n v="0"/>
    <m/>
    <n v="0"/>
    <m/>
    <n v="0"/>
    <n v="33475870.500000011"/>
    <n v="202"/>
    <n v="486"/>
    <n v="0"/>
    <n v="713"/>
    <n v="202"/>
    <m/>
    <s v=""/>
    <n v="713"/>
    <n v="2018"/>
    <n v="202"/>
    <n v="2022"/>
    <s v="Adjust"/>
    <n v="243.71996104204348"/>
    <n v="713"/>
    <s v="Decreasing"/>
    <m/>
    <m/>
    <m/>
    <m/>
    <n v="0"/>
    <n v="0.2309637858015936"/>
    <n v="7.280466718320093E-2"/>
    <n v="0.21298923354360561"/>
  </r>
  <r>
    <x v="16"/>
    <x v="16"/>
    <n v="26858774"/>
    <x v="31"/>
    <n v="0"/>
    <n v="27525596.999999989"/>
    <n v="0"/>
    <m/>
    <n v="0"/>
    <m/>
    <n v="0"/>
    <m/>
    <n v="516"/>
    <m/>
    <n v="46"/>
    <n v="30870640.5"/>
    <n v="0"/>
    <n v="227"/>
    <m/>
    <n v="0"/>
    <m/>
    <n v="0"/>
    <m/>
    <n v="396"/>
    <n v="33475870.500000011"/>
    <n v="488"/>
    <n v="227"/>
    <n v="0"/>
    <n v="516"/>
    <n v="488"/>
    <m/>
    <s v=""/>
    <n v="227"/>
    <s v="2018 (triag)"/>
    <n v="488"/>
    <n v="2022"/>
    <s v=""/>
    <n v="488"/>
    <n v="488"/>
    <s v="Increasing"/>
    <m/>
    <m/>
    <m/>
    <m/>
    <n v="0"/>
    <n v="7.3532649897562058E-2"/>
    <n v="0.14577664231315504"/>
    <n v="0.14577664231315504"/>
  </r>
  <r>
    <x v="16"/>
    <x v="16"/>
    <n v="26858775"/>
    <x v="32"/>
    <n v="0"/>
    <n v="27525596.999999989"/>
    <n v="0"/>
    <m/>
    <n v="0"/>
    <m/>
    <n v="0"/>
    <m/>
    <n v="0"/>
    <m/>
    <n v="0"/>
    <n v="30870640.5"/>
    <n v="0"/>
    <n v="0"/>
    <m/>
    <n v="0"/>
    <m/>
    <n v="0"/>
    <m/>
    <n v="48"/>
    <n v="33475870.500000011"/>
    <n v="65"/>
    <n v="0"/>
    <n v="0"/>
    <n v="0"/>
    <n v="65"/>
    <m/>
    <s v=""/>
    <m/>
    <s v=""/>
    <n v="65"/>
    <n v="2022"/>
    <s v=""/>
    <n v="65"/>
    <n v="65"/>
    <s v="Increasing"/>
    <m/>
    <m/>
    <m/>
    <m/>
    <n v="0"/>
    <n v="0"/>
    <n v="1.9416970799907944E-2"/>
    <n v="1.9416970799907944E-2"/>
  </r>
  <r>
    <x v="17"/>
    <x v="17"/>
    <n v="10788692"/>
    <x v="19"/>
    <n v="0"/>
    <n v="11055430.000000004"/>
    <n v="0"/>
    <n v="11333365.500000002"/>
    <n v="1844"/>
    <n v="11625998.500000007"/>
    <n v="977"/>
    <n v="11930984.999999998"/>
    <n v="977"/>
    <n v="12240788.500000004"/>
    <n v="0"/>
    <n v="12554864.499999998"/>
    <n v="2787"/>
    <n v="2787"/>
    <n v="12877538.499999994"/>
    <n v="0"/>
    <n v="13205152.499999998"/>
    <n v="0"/>
    <n v="13531906.000000004"/>
    <n v="0"/>
    <n v="13859340.500000006"/>
    <n v="297"/>
    <n v="2787"/>
    <n v="1844"/>
    <n v="2787"/>
    <n v="297"/>
    <n v="1844"/>
    <n v="2014"/>
    <n v="2787"/>
    <n v="2018"/>
    <n v="297"/>
    <n v="2022"/>
    <s v="Adjust"/>
    <n v="2945"/>
    <n v="2945"/>
    <s v="Increasing"/>
    <m/>
    <m/>
    <m/>
    <m/>
    <n v="1.667958641138336"/>
    <n v="2.2198566937938682"/>
    <n v="2.1249207348646921"/>
    <n v="2.1249207348646921"/>
  </r>
  <r>
    <x v="17"/>
    <x v="17"/>
    <n v="10788693"/>
    <x v="20"/>
    <n v="0"/>
    <n v="11055430.000000004"/>
    <n v="0"/>
    <m/>
    <n v="0"/>
    <m/>
    <n v="0"/>
    <m/>
    <n v="0"/>
    <m/>
    <n v="0"/>
    <n v="12554864.499999998"/>
    <n v="2649"/>
    <n v="2649"/>
    <m/>
    <n v="0"/>
    <m/>
    <n v="0"/>
    <m/>
    <n v="0"/>
    <n v="13859340.500000006"/>
    <n v="0"/>
    <n v="2649"/>
    <n v="0"/>
    <n v="2649"/>
    <n v="0"/>
    <m/>
    <s v=""/>
    <n v="2649"/>
    <n v="2018"/>
    <n v="2649"/>
    <n v="2018"/>
    <s v=""/>
    <n v="2649"/>
    <n v="2649"/>
    <s v="No change"/>
    <m/>
    <m/>
    <m/>
    <m/>
    <n v="0"/>
    <n v="2.1099391395263569"/>
    <n v="1.9113463587967976"/>
    <n v="1.9113463587967976"/>
  </r>
  <r>
    <x v="17"/>
    <x v="17"/>
    <n v="10788694"/>
    <x v="21"/>
    <n v="0"/>
    <n v="11055430.000000004"/>
    <n v="0"/>
    <m/>
    <n v="0"/>
    <m/>
    <n v="0"/>
    <m/>
    <n v="0"/>
    <m/>
    <n v="0"/>
    <n v="12554864.499999998"/>
    <n v="138"/>
    <n v="138"/>
    <m/>
    <n v="0"/>
    <m/>
    <n v="0"/>
    <m/>
    <n v="0"/>
    <n v="13859340.500000006"/>
    <n v="296"/>
    <n v="138"/>
    <n v="0"/>
    <n v="138"/>
    <n v="296"/>
    <m/>
    <s v=""/>
    <n v="138"/>
    <n v="2018"/>
    <n v="296"/>
    <n v="2022"/>
    <s v=""/>
    <n v="296"/>
    <n v="296"/>
    <s v="Increasing"/>
    <m/>
    <m/>
    <m/>
    <m/>
    <n v="0"/>
    <n v="0.10991755426751122"/>
    <n v="0.21357437606789434"/>
    <n v="0.21357437606789434"/>
  </r>
  <r>
    <x v="17"/>
    <x v="17"/>
    <n v="10788695"/>
    <x v="22"/>
    <n v="0"/>
    <n v="11055430.000000004"/>
    <n v="0"/>
    <m/>
    <n v="5789"/>
    <m/>
    <n v="4389"/>
    <m/>
    <n v="1010"/>
    <m/>
    <n v="0"/>
    <n v="12554864.499999998"/>
    <n v="7195"/>
    <n v="7195"/>
    <m/>
    <n v="0"/>
    <m/>
    <n v="0"/>
    <m/>
    <n v="0"/>
    <n v="13859340.500000006"/>
    <n v="4367"/>
    <n v="6329"/>
    <n v="5789"/>
    <n v="7195"/>
    <n v="4367"/>
    <n v="5789"/>
    <n v="2014"/>
    <n v="7195"/>
    <n v="2018"/>
    <n v="4367"/>
    <n v="2022"/>
    <s v="Adjust"/>
    <n v="5018.9871797472533"/>
    <n v="7195"/>
    <s v="Decreasing"/>
    <m/>
    <m/>
    <m/>
    <m/>
    <n v="5.2363408750270208"/>
    <n v="5.7308463982227771"/>
    <n v="3.6213751871867581"/>
    <n v="5.191444715569256"/>
  </r>
  <r>
    <x v="17"/>
    <x v="17"/>
    <n v="10788696"/>
    <x v="23"/>
    <n v="0"/>
    <n v="11055430.000000004"/>
    <n v="0"/>
    <m/>
    <n v="1505"/>
    <m/>
    <n v="913"/>
    <m/>
    <n v="0"/>
    <m/>
    <n v="0"/>
    <n v="12554864.499999998"/>
    <n v="0"/>
    <n v="2344"/>
    <m/>
    <n v="0"/>
    <m/>
    <n v="0"/>
    <m/>
    <n v="0"/>
    <n v="13859340.500000006"/>
    <n v="1687"/>
    <n v="2344"/>
    <n v="1505"/>
    <n v="0"/>
    <n v="1687"/>
    <n v="1505"/>
    <n v="2014"/>
    <n v="2344"/>
    <s v="2018 (triag)"/>
    <n v="1687"/>
    <n v="2022"/>
    <s v="Adjust"/>
    <n v="1938.8668129685404"/>
    <n v="2344"/>
    <s v="Decreasing"/>
    <m/>
    <m/>
    <m/>
    <m/>
    <n v="1.3613219929030345"/>
    <n v="1.8670054145148283"/>
    <n v="1.3989603711435907"/>
    <n v="1.6912781672403525"/>
  </r>
  <r>
    <x v="17"/>
    <x v="17"/>
    <n v="10788697"/>
    <x v="24"/>
    <n v="0"/>
    <n v="11055430.000000004"/>
    <n v="0"/>
    <m/>
    <n v="4284"/>
    <m/>
    <n v="3476"/>
    <m/>
    <n v="0"/>
    <m/>
    <n v="0"/>
    <n v="12554864.499999998"/>
    <n v="0"/>
    <n v="3985"/>
    <m/>
    <n v="0"/>
    <m/>
    <n v="0"/>
    <m/>
    <n v="0"/>
    <n v="13859340.500000006"/>
    <n v="2680"/>
    <n v="3985"/>
    <n v="4284"/>
    <n v="0"/>
    <n v="2680"/>
    <n v="4284"/>
    <n v="2014"/>
    <n v="3985"/>
    <s v="2018 (triag)"/>
    <n v="2680"/>
    <n v="2022"/>
    <s v="Adjust"/>
    <n v="3080.1203667787127"/>
    <n v="3985"/>
    <s v="Decreasing"/>
    <m/>
    <m/>
    <m/>
    <m/>
    <n v="3.8750188821239866"/>
    <n v="3.1740685054784943"/>
    <n v="2.2224148160431669"/>
    <n v="2.8753171913194557"/>
  </r>
  <r>
    <x v="17"/>
    <x v="17"/>
    <n v="10788698"/>
    <x v="25"/>
    <n v="0"/>
    <n v="11055430.000000004"/>
    <n v="500"/>
    <m/>
    <n v="500"/>
    <m/>
    <n v="376"/>
    <m/>
    <n v="443"/>
    <m/>
    <n v="0"/>
    <n v="12554864.499999998"/>
    <n v="0"/>
    <n v="866"/>
    <m/>
    <n v="0"/>
    <m/>
    <n v="0"/>
    <m/>
    <n v="0"/>
    <n v="13859340.500000006"/>
    <n v="777"/>
    <n v="866"/>
    <n v="500"/>
    <n v="443"/>
    <n v="777"/>
    <n v="500"/>
    <n v="2013"/>
    <n v="866"/>
    <s v="2018 (triag)"/>
    <n v="777"/>
    <n v="2022"/>
    <s v="Adjust"/>
    <n v="893.00504663696256"/>
    <n v="893.00504663696256"/>
    <s v="Increasing"/>
    <m/>
    <m/>
    <m/>
    <m/>
    <n v="0.45226644282492839"/>
    <n v="0.68977247822945453"/>
    <n v="0.64433444480057489"/>
    <n v="0.64433444480057489"/>
  </r>
  <r>
    <x v="17"/>
    <x v="17"/>
    <n v="10788699"/>
    <x v="26"/>
    <n v="0"/>
    <n v="11055430.000000004"/>
    <n v="500"/>
    <m/>
    <n v="0"/>
    <m/>
    <n v="376"/>
    <m/>
    <n v="0"/>
    <m/>
    <n v="0"/>
    <n v="12554864.499999998"/>
    <n v="0"/>
    <n v="866"/>
    <m/>
    <n v="0"/>
    <m/>
    <n v="0"/>
    <m/>
    <n v="0"/>
    <n v="13859340.500000006"/>
    <n v="777"/>
    <n v="866"/>
    <n v="500"/>
    <n v="0"/>
    <n v="777"/>
    <n v="500"/>
    <n v="2013"/>
    <n v="866"/>
    <s v="2018 (triag)"/>
    <n v="777"/>
    <n v="2022"/>
    <s v="Adjust"/>
    <n v="893.00504663696256"/>
    <n v="893.00504663696256"/>
    <s v="Increasing"/>
    <m/>
    <m/>
    <m/>
    <m/>
    <n v="0.45226644282492839"/>
    <n v="0.68977247822945453"/>
    <n v="0.64433444480057489"/>
    <n v="0.64433444480057489"/>
  </r>
  <r>
    <x v="17"/>
    <x v="17"/>
    <n v="10788700"/>
    <x v="27"/>
    <n v="0"/>
    <n v="11055430.000000004"/>
    <n v="0"/>
    <m/>
    <n v="0"/>
    <m/>
    <n v="0"/>
    <m/>
    <n v="0"/>
    <m/>
    <n v="0"/>
    <n v="12554864.499999998"/>
    <n v="0"/>
    <n v="0"/>
    <m/>
    <n v="0"/>
    <m/>
    <n v="0"/>
    <m/>
    <n v="0"/>
    <n v="13859340.500000006"/>
    <n v="0"/>
    <n v="0"/>
    <n v="0"/>
    <n v="0"/>
    <n v="0"/>
    <m/>
    <s v=""/>
    <m/>
    <s v=""/>
    <n v="0"/>
    <s v=""/>
    <s v=""/>
    <m/>
    <n v="0"/>
    <s v="No change"/>
    <m/>
    <m/>
    <m/>
    <m/>
    <n v="0"/>
    <n v="0"/>
    <n v="0"/>
    <n v="0"/>
  </r>
  <r>
    <x v="17"/>
    <x v="17"/>
    <n v="10788701"/>
    <x v="28"/>
    <n v="0"/>
    <n v="11055430.000000004"/>
    <n v="0"/>
    <m/>
    <n v="0"/>
    <m/>
    <n v="142"/>
    <m/>
    <n v="107"/>
    <m/>
    <n v="0"/>
    <n v="12554864.499999998"/>
    <n v="255"/>
    <n v="255"/>
    <m/>
    <n v="0"/>
    <m/>
    <n v="0"/>
    <m/>
    <n v="0"/>
    <n v="13859340.500000006"/>
    <n v="0"/>
    <n v="255"/>
    <n v="142"/>
    <n v="255"/>
    <n v="0"/>
    <n v="142"/>
    <n v="2015"/>
    <n v="255"/>
    <n v="2018"/>
    <n v="255"/>
    <n v="2018"/>
    <s v=""/>
    <n v="255"/>
    <n v="255"/>
    <s v="No change"/>
    <m/>
    <m/>
    <m/>
    <m/>
    <n v="0.12844366976227967"/>
    <n v="0.20310852418996639"/>
    <n v="0.18399143884227384"/>
    <n v="0.18399143884227384"/>
  </r>
  <r>
    <x v="17"/>
    <x v="17"/>
    <n v="10788702"/>
    <x v="29"/>
    <n v="0"/>
    <n v="11055430.000000004"/>
    <n v="0"/>
    <m/>
    <n v="0"/>
    <m/>
    <n v="0"/>
    <m/>
    <n v="0"/>
    <m/>
    <n v="0"/>
    <n v="12554864.499999998"/>
    <n v="0"/>
    <n v="0"/>
    <m/>
    <n v="0"/>
    <m/>
    <n v="0"/>
    <m/>
    <n v="0"/>
    <n v="13859340.500000006"/>
    <n v="0"/>
    <n v="0"/>
    <n v="0"/>
    <n v="0"/>
    <n v="0"/>
    <m/>
    <s v=""/>
    <m/>
    <s v=""/>
    <n v="0"/>
    <s v=""/>
    <s v=""/>
    <m/>
    <n v="0"/>
    <s v="No change"/>
    <m/>
    <m/>
    <m/>
    <m/>
    <n v="0"/>
    <n v="0"/>
    <n v="0"/>
    <n v="0"/>
  </r>
  <r>
    <x v="17"/>
    <x v="17"/>
    <n v="10788703"/>
    <x v="30"/>
    <n v="0"/>
    <n v="11055430.000000004"/>
    <n v="0"/>
    <m/>
    <n v="0"/>
    <m/>
    <n v="0"/>
    <m/>
    <n v="50"/>
    <m/>
    <n v="0"/>
    <n v="12554864.499999998"/>
    <n v="73"/>
    <n v="73"/>
    <m/>
    <n v="0"/>
    <m/>
    <n v="0"/>
    <m/>
    <n v="0"/>
    <n v="13859340.500000006"/>
    <n v="34"/>
    <n v="73"/>
    <n v="0"/>
    <n v="73"/>
    <n v="34"/>
    <m/>
    <s v=""/>
    <n v="73"/>
    <n v="2018"/>
    <n v="34"/>
    <n v="2022"/>
    <s v="Adjust"/>
    <n v="39.076153906894113"/>
    <n v="73"/>
    <s v="Decreasing"/>
    <m/>
    <m/>
    <m/>
    <m/>
    <n v="0"/>
    <n v="5.8144793199480578E-2"/>
    <n v="2.8194814830398388E-2"/>
    <n v="5.2672058962690158E-2"/>
  </r>
  <r>
    <x v="17"/>
    <x v="17"/>
    <n v="10788704"/>
    <x v="31"/>
    <n v="0"/>
    <n v="11055430.000000004"/>
    <n v="0"/>
    <m/>
    <n v="0"/>
    <m/>
    <n v="0"/>
    <m/>
    <n v="0"/>
    <m/>
    <n v="0"/>
    <n v="12554864.499999998"/>
    <n v="0"/>
    <n v="0"/>
    <m/>
    <n v="0"/>
    <m/>
    <n v="0"/>
    <m/>
    <n v="0"/>
    <n v="13859340.500000006"/>
    <n v="50"/>
    <n v="0"/>
    <n v="0"/>
    <n v="0"/>
    <n v="50"/>
    <m/>
    <s v=""/>
    <m/>
    <s v=""/>
    <n v="50"/>
    <n v="2022"/>
    <s v=""/>
    <n v="50"/>
    <n v="50"/>
    <s v="Increasing"/>
    <m/>
    <m/>
    <m/>
    <m/>
    <n v="0"/>
    <n v="0"/>
    <n v="3.6076752714171344E-2"/>
    <n v="3.6076752714171344E-2"/>
  </r>
  <r>
    <x v="17"/>
    <x v="17"/>
    <n v="10788705"/>
    <x v="32"/>
    <n v="0"/>
    <n v="11055430.000000004"/>
    <n v="0"/>
    <m/>
    <n v="0"/>
    <m/>
    <n v="0"/>
    <m/>
    <n v="0"/>
    <m/>
    <n v="0"/>
    <n v="12554864.499999998"/>
    <n v="0"/>
    <n v="0"/>
    <m/>
    <n v="0"/>
    <m/>
    <n v="0"/>
    <m/>
    <n v="0"/>
    <n v="13859340.500000006"/>
    <n v="0"/>
    <n v="0"/>
    <n v="0"/>
    <n v="0"/>
    <n v="0"/>
    <m/>
    <s v=""/>
    <m/>
    <s v=""/>
    <n v="0"/>
    <s v=""/>
    <s v=""/>
    <m/>
    <n v="0"/>
    <s v="No change"/>
    <m/>
    <m/>
    <m/>
    <m/>
    <n v="0"/>
    <n v="0"/>
    <n v="0"/>
    <n v="0"/>
  </r>
  <r>
    <x v="18"/>
    <x v="18"/>
    <n v="2061013.9999999993"/>
    <x v="19"/>
    <n v="0"/>
    <n v="2124869.5"/>
    <n v="0"/>
    <n v="2189019"/>
    <n v="0"/>
    <n v="2253133.5000000009"/>
    <n v="213"/>
    <n v="2317205.5"/>
    <n v="0"/>
    <n v="2381181.5"/>
    <n v="232"/>
    <n v="2444915.5000000014"/>
    <n v="298"/>
    <n v="298"/>
    <n v="2508883.5000000009"/>
    <n v="188"/>
    <n v="2573994.9999999995"/>
    <n v="196"/>
    <n v="2639915.5000000005"/>
    <n v="269"/>
    <n v="2705991.9999999995"/>
    <n v="0"/>
    <n v="298"/>
    <n v="213"/>
    <n v="298"/>
    <n v="269"/>
    <n v="213"/>
    <n v="2015"/>
    <n v="298"/>
    <n v="2018"/>
    <n v="269"/>
    <n v="2021"/>
    <s v="Adjust"/>
    <n v="273.86722731906218"/>
    <n v="298"/>
    <s v="Decreasing"/>
    <m/>
    <m/>
    <m/>
    <m/>
    <n v="1.0024145012199572"/>
    <n v="1.2188560299936739"/>
    <n v="1.0120770028849391"/>
    <n v="1.1012597228668823"/>
  </r>
  <r>
    <x v="18"/>
    <x v="18"/>
    <n v="2061015"/>
    <x v="20"/>
    <n v="0"/>
    <n v="2124869.5"/>
    <n v="0"/>
    <m/>
    <n v="0"/>
    <m/>
    <n v="0"/>
    <m/>
    <n v="0"/>
    <m/>
    <n v="152"/>
    <n v="2444915.5000000014"/>
    <n v="181"/>
    <n v="181"/>
    <m/>
    <n v="107"/>
    <m/>
    <n v="122"/>
    <m/>
    <n v="156"/>
    <n v="2705991.9999999995"/>
    <n v="0"/>
    <n v="181"/>
    <n v="0"/>
    <n v="181"/>
    <n v="156"/>
    <m/>
    <s v=""/>
    <n v="181"/>
    <n v="2018"/>
    <n v="156"/>
    <n v="2021"/>
    <s v="Adjust"/>
    <n v="158.82262996941895"/>
    <n v="181"/>
    <s v="Decreasing"/>
    <m/>
    <m/>
    <m/>
    <m/>
    <n v="0"/>
    <n v="0.74031188398944625"/>
    <n v="0.58692941431245538"/>
    <n v="0.66888593905673055"/>
  </r>
  <r>
    <x v="18"/>
    <x v="18"/>
    <n v="2061016"/>
    <x v="21"/>
    <n v="0"/>
    <n v="2124869.5"/>
    <n v="0"/>
    <m/>
    <n v="0"/>
    <m/>
    <n v="0"/>
    <m/>
    <n v="0"/>
    <m/>
    <n v="80"/>
    <n v="2444915.5000000014"/>
    <n v="117"/>
    <n v="117"/>
    <m/>
    <n v="81"/>
    <m/>
    <n v="74"/>
    <m/>
    <n v="113"/>
    <n v="2705991.9999999995"/>
    <n v="0"/>
    <n v="117"/>
    <n v="0"/>
    <n v="117"/>
    <n v="113"/>
    <m/>
    <s v=""/>
    <n v="117"/>
    <n v="2018"/>
    <n v="113"/>
    <n v="2021"/>
    <s v="Adjust"/>
    <n v="115.04459734964323"/>
    <n v="117"/>
    <s v="Decreasing"/>
    <m/>
    <m/>
    <m/>
    <m/>
    <n v="0"/>
    <n v="0.47854414600422768"/>
    <n v="0.42514758857248375"/>
    <n v="0.43237378381015179"/>
  </r>
  <r>
    <x v="18"/>
    <x v="18"/>
    <n v="2061017"/>
    <x v="22"/>
    <n v="2386"/>
    <n v="2124869.5"/>
    <n v="0"/>
    <m/>
    <n v="0"/>
    <m/>
    <n v="2372"/>
    <m/>
    <n v="0"/>
    <m/>
    <n v="1127"/>
    <n v="2444915.5000000014"/>
    <n v="1498"/>
    <n v="1498"/>
    <m/>
    <n v="749"/>
    <m/>
    <n v="1229"/>
    <m/>
    <n v="1404"/>
    <n v="2705991.9999999995"/>
    <n v="0"/>
    <n v="1178"/>
    <n v="2386"/>
    <n v="1498"/>
    <n v="1404"/>
    <n v="2386"/>
    <n v="2012"/>
    <n v="1498"/>
    <n v="2018"/>
    <n v="1404"/>
    <n v="2021"/>
    <s v="Adjust"/>
    <n v="1429.4036697247707"/>
    <n v="1498"/>
    <s v="Decreasing"/>
    <m/>
    <m/>
    <m/>
    <m/>
    <n v="11.228924882210414"/>
    <n v="6.1270011172165217"/>
    <n v="5.282364728812099"/>
    <n v="5.5358626337402335"/>
  </r>
  <r>
    <x v="18"/>
    <x v="18"/>
    <n v="2061018"/>
    <x v="23"/>
    <n v="0"/>
    <n v="2124869.5"/>
    <n v="0"/>
    <m/>
    <n v="0"/>
    <m/>
    <n v="0"/>
    <m/>
    <n v="0"/>
    <m/>
    <n v="248"/>
    <n v="2444915.5000000014"/>
    <n v="0"/>
    <n v="1178"/>
    <m/>
    <n v="320"/>
    <m/>
    <n v="703"/>
    <m/>
    <n v="908"/>
    <n v="2705991.9999999995"/>
    <n v="0"/>
    <n v="1178"/>
    <n v="0"/>
    <n v="320"/>
    <n v="908"/>
    <m/>
    <s v=""/>
    <n v="1178"/>
    <s v="2018 (triag)"/>
    <n v="908"/>
    <n v="2021"/>
    <s v="Adjust"/>
    <n v="924.42915392456678"/>
    <n v="1178"/>
    <s v="Decreasing"/>
    <m/>
    <m/>
    <m/>
    <m/>
    <n v="0"/>
    <n v="4.8181624272904289"/>
    <n v="3.4162301807417275"/>
    <n v="4.3533018575073399"/>
  </r>
  <r>
    <x v="18"/>
    <x v="18"/>
    <n v="2061019"/>
    <x v="24"/>
    <n v="0"/>
    <n v="2124869.5"/>
    <n v="0"/>
    <m/>
    <n v="0"/>
    <m/>
    <n v="0"/>
    <m/>
    <n v="0"/>
    <m/>
    <n v="879"/>
    <n v="2444915.5000000014"/>
    <n v="0"/>
    <n v="0"/>
    <m/>
    <n v="391"/>
    <m/>
    <n v="484"/>
    <m/>
    <n v="449"/>
    <n v="2705991.9999999995"/>
    <n v="0"/>
    <n v="0"/>
    <n v="0"/>
    <n v="879"/>
    <n v="484"/>
    <m/>
    <s v=""/>
    <n v="879"/>
    <n v="2017"/>
    <n v="449"/>
    <n v="2021"/>
    <s v="Adjust"/>
    <n v="457.12410805300715"/>
    <n v="879"/>
    <s v="Decreasing"/>
    <m/>
    <m/>
    <m/>
    <m/>
    <n v="0"/>
    <n v="3.5952162763907363"/>
    <n v="1.6893032501685417"/>
    <n v="3.2483466322147301"/>
  </r>
  <r>
    <x v="18"/>
    <x v="18"/>
    <n v="2061020"/>
    <x v="25"/>
    <n v="0"/>
    <n v="2124869.5"/>
    <n v="259"/>
    <m/>
    <n v="0"/>
    <m/>
    <n v="850"/>
    <m/>
    <n v="0"/>
    <m/>
    <n v="422"/>
    <n v="2444915.5000000014"/>
    <n v="0"/>
    <n v="320"/>
    <m/>
    <n v="341"/>
    <m/>
    <n v="540"/>
    <m/>
    <n v="379"/>
    <n v="2705991.9999999995"/>
    <n v="0"/>
    <n v="320"/>
    <n v="850"/>
    <n v="422"/>
    <n v="540"/>
    <n v="259"/>
    <n v="2013"/>
    <n v="320"/>
    <s v="2018 (triag)"/>
    <n v="379"/>
    <n v="2021"/>
    <s v=""/>
    <n v="379"/>
    <n v="379"/>
    <s v="Increasing"/>
    <m/>
    <m/>
    <m/>
    <m/>
    <n v="1.2188983841125303"/>
    <n v="1.3088386899260929"/>
    <n v="1.4005954193508334"/>
    <n v="1.4005954193508334"/>
  </r>
  <r>
    <x v="18"/>
    <x v="18"/>
    <n v="2061021"/>
    <x v="26"/>
    <n v="0"/>
    <n v="2124869.5"/>
    <n v="79"/>
    <m/>
    <n v="0"/>
    <m/>
    <n v="0"/>
    <m/>
    <n v="0"/>
    <m/>
    <n v="81"/>
    <n v="2444915.5000000014"/>
    <n v="0"/>
    <n v="320"/>
    <m/>
    <n v="89"/>
    <m/>
    <n v="128"/>
    <m/>
    <n v="101"/>
    <n v="2705991.9999999995"/>
    <n v="0"/>
    <n v="320"/>
    <n v="79"/>
    <n v="89"/>
    <n v="128"/>
    <n v="79"/>
    <n v="2013"/>
    <n v="320"/>
    <s v="2018 (triag)"/>
    <n v="101"/>
    <n v="2021"/>
    <s v="Adjust"/>
    <n v="102.82747196738023"/>
    <n v="320"/>
    <s v="Decreasing"/>
    <m/>
    <m/>
    <m/>
    <m/>
    <n v="0.37178753801115788"/>
    <n v="1.3088386899260929"/>
    <n v="0.37999917208691031"/>
    <n v="1.1825607762328938"/>
  </r>
  <r>
    <x v="18"/>
    <x v="18"/>
    <n v="2061022"/>
    <x v="27"/>
    <n v="0"/>
    <n v="2124869.5"/>
    <n v="180"/>
    <m/>
    <n v="0"/>
    <m/>
    <n v="0"/>
    <m/>
    <n v="0"/>
    <m/>
    <n v="341"/>
    <n v="2444915.5000000014"/>
    <n v="0"/>
    <n v="0"/>
    <m/>
    <n v="252"/>
    <m/>
    <n v="412"/>
    <m/>
    <n v="278"/>
    <n v="2705991.9999999995"/>
    <n v="0"/>
    <n v="0"/>
    <n v="180"/>
    <n v="341"/>
    <n v="412"/>
    <n v="180"/>
    <n v="2013"/>
    <n v="341"/>
    <n v="2017"/>
    <n v="278"/>
    <n v="2021"/>
    <s v="Adjust"/>
    <n v="283.03007135575945"/>
    <n v="341"/>
    <s v="Decreasing"/>
    <m/>
    <m/>
    <m/>
    <m/>
    <n v="0.84711084610137233"/>
    <n v="1.3947312289524927"/>
    <n v="1.0459383152491193"/>
    <n v="1.2601663271731773"/>
  </r>
  <r>
    <x v="18"/>
    <x v="18"/>
    <n v="2061023"/>
    <x v="28"/>
    <n v="0"/>
    <n v="2124869.5"/>
    <n v="0"/>
    <m/>
    <n v="0"/>
    <m/>
    <n v="5"/>
    <m/>
    <n v="0"/>
    <m/>
    <n v="0"/>
    <n v="2444915.5000000014"/>
    <n v="2"/>
    <n v="78"/>
    <m/>
    <n v="2"/>
    <m/>
    <n v="0"/>
    <m/>
    <n v="4"/>
    <n v="2705991.9999999995"/>
    <n v="0"/>
    <n v="78"/>
    <n v="5"/>
    <n v="2"/>
    <n v="4"/>
    <n v="5"/>
    <n v="2015"/>
    <n v="78"/>
    <s v="2018 (triag)"/>
    <n v="4"/>
    <n v="2021"/>
    <s v="Adjust"/>
    <n v="4.0723751274209992"/>
    <n v="78"/>
    <s v="Decreasing"/>
    <m/>
    <m/>
    <m/>
    <m/>
    <n v="2.3530856836149232E-2"/>
    <n v="0.31902943066948514"/>
    <n v="1.5049472161857832E-2"/>
    <n v="0.28824918920676784"/>
  </r>
  <r>
    <x v="18"/>
    <x v="18"/>
    <n v="2061024"/>
    <x v="29"/>
    <n v="0"/>
    <n v="2124869.5"/>
    <n v="0"/>
    <m/>
    <n v="0"/>
    <m/>
    <n v="99"/>
    <m/>
    <n v="0"/>
    <m/>
    <n v="74"/>
    <n v="2444915.5000000014"/>
    <n v="76"/>
    <n v="76"/>
    <m/>
    <n v="81"/>
    <m/>
    <n v="81"/>
    <m/>
    <n v="94"/>
    <n v="2705991.9999999995"/>
    <n v="0"/>
    <n v="1"/>
    <n v="99"/>
    <n v="81"/>
    <n v="94"/>
    <n v="99"/>
    <n v="2015"/>
    <n v="76"/>
    <n v="2018"/>
    <n v="94"/>
    <n v="2021"/>
    <s v=""/>
    <n v="94"/>
    <n v="94"/>
    <s v="Increasing"/>
    <m/>
    <m/>
    <m/>
    <m/>
    <n v="0.46591096535575477"/>
    <n v="0.31084918885744706"/>
    <n v="0.34737722801841253"/>
    <n v="0.34737722801841253"/>
  </r>
  <r>
    <x v="18"/>
    <x v="18"/>
    <n v="2061025"/>
    <x v="30"/>
    <n v="0"/>
    <n v="2124869.5"/>
    <n v="0"/>
    <m/>
    <n v="0"/>
    <m/>
    <n v="17"/>
    <m/>
    <n v="0"/>
    <m/>
    <n v="0"/>
    <n v="2444915.5000000014"/>
    <n v="4"/>
    <n v="4"/>
    <m/>
    <n v="12"/>
    <m/>
    <n v="8"/>
    <m/>
    <n v="9"/>
    <n v="2705991.9999999995"/>
    <n v="0"/>
    <n v="0"/>
    <n v="17"/>
    <n v="12"/>
    <n v="9"/>
    <n v="17"/>
    <n v="2015"/>
    <n v="4"/>
    <n v="2018"/>
    <n v="9"/>
    <n v="2021"/>
    <s v=""/>
    <n v="9"/>
    <n v="9"/>
    <s v="Increasing"/>
    <m/>
    <m/>
    <m/>
    <m/>
    <n v="8.0004913242907386E-2"/>
    <n v="1.6360483624076161E-2"/>
    <n v="3.3259521831550135E-2"/>
    <n v="3.3259521831550135E-2"/>
  </r>
  <r>
    <x v="18"/>
    <x v="18"/>
    <n v="2061026"/>
    <x v="31"/>
    <n v="0"/>
    <n v="2124869.5"/>
    <n v="0"/>
    <m/>
    <n v="0"/>
    <m/>
    <n v="0"/>
    <m/>
    <n v="0"/>
    <m/>
    <n v="0"/>
    <n v="2444915.5000000014"/>
    <n v="10"/>
    <n v="10"/>
    <m/>
    <n v="6"/>
    <m/>
    <n v="17"/>
    <m/>
    <n v="16"/>
    <n v="2705991.9999999995"/>
    <n v="0"/>
    <n v="3"/>
    <n v="0"/>
    <n v="10"/>
    <n v="17"/>
    <m/>
    <s v=""/>
    <n v="10"/>
    <n v="2018"/>
    <n v="16"/>
    <n v="2021"/>
    <s v=""/>
    <n v="16"/>
    <n v="16"/>
    <s v="Increasing"/>
    <m/>
    <m/>
    <m/>
    <m/>
    <n v="0"/>
    <n v="4.0901209060190402E-2"/>
    <n v="5.9128038811644683E-2"/>
    <n v="5.9128038811644683E-2"/>
  </r>
  <r>
    <x v="18"/>
    <x v="18"/>
    <n v="2061027"/>
    <x v="32"/>
    <n v="0"/>
    <n v="2124869.5"/>
    <n v="0"/>
    <m/>
    <n v="0"/>
    <m/>
    <n v="0"/>
    <m/>
    <n v="0"/>
    <m/>
    <n v="0"/>
    <n v="2444915.5000000014"/>
    <n v="0"/>
    <n v="0"/>
    <m/>
    <n v="0"/>
    <m/>
    <n v="0"/>
    <m/>
    <n v="0"/>
    <n v="2705991.9999999995"/>
    <n v="0"/>
    <n v="0"/>
    <n v="0"/>
    <n v="0"/>
    <n v="0"/>
    <m/>
    <s v=""/>
    <m/>
    <s v=""/>
    <n v="0"/>
    <s v=""/>
    <s v=""/>
    <m/>
    <n v="0"/>
    <s v="No change"/>
    <m/>
    <m/>
    <m/>
    <m/>
    <n v="0"/>
    <n v="0"/>
    <n v="0"/>
    <n v="0"/>
  </r>
  <r>
    <x v="19"/>
    <x v="19"/>
    <n v="1652717.4999999998"/>
    <x v="19"/>
    <n v="0"/>
    <n v="1697752.4999999995"/>
    <n v="0"/>
    <n v="1743309.0000000002"/>
    <n v="0"/>
    <n v="1788919.0000000005"/>
    <n v="354"/>
    <n v="1834551.4999999995"/>
    <n v="183"/>
    <n v="1879826.5000000005"/>
    <n v="0"/>
    <n v="1924954.4999999988"/>
    <n v="578"/>
    <n v="578"/>
    <n v="1970456.5"/>
    <n v="0"/>
    <n v="2015827.9999999998"/>
    <n v="385"/>
    <n v="2060720.9999999991"/>
    <n v="453"/>
    <n v="2105565.4999999991"/>
    <n v="438"/>
    <n v="318"/>
    <n v="354"/>
    <n v="578"/>
    <n v="453"/>
    <n v="354"/>
    <n v="2015"/>
    <n v="578"/>
    <n v="2018"/>
    <n v="438"/>
    <n v="2022"/>
    <s v="Adjust"/>
    <n v="530.87376425855507"/>
    <n v="578"/>
    <s v="Decreasing"/>
    <m/>
    <m/>
    <m/>
    <m/>
    <n v="2.0851095786930078"/>
    <n v="3.0026683747589895"/>
    <n v="2.5212882917133439"/>
    <n v="2.7451057684978228"/>
  </r>
  <r>
    <x v="19"/>
    <x v="19"/>
    <n v="1652718.5"/>
    <x v="20"/>
    <n v="0"/>
    <n v="1697752.4999999995"/>
    <n v="0"/>
    <m/>
    <n v="0"/>
    <m/>
    <n v="0"/>
    <m/>
    <n v="169"/>
    <m/>
    <n v="0"/>
    <n v="1924954.4999999988"/>
    <n v="544"/>
    <n v="544"/>
    <m/>
    <n v="0"/>
    <m/>
    <n v="375"/>
    <m/>
    <n v="444"/>
    <n v="2105565.4999999991"/>
    <n v="428"/>
    <n v="290"/>
    <n v="0"/>
    <n v="544"/>
    <n v="444"/>
    <m/>
    <s v=""/>
    <n v="544"/>
    <n v="2018"/>
    <n v="428"/>
    <n v="2022"/>
    <s v="Adjust"/>
    <n v="518.75335868187574"/>
    <n v="544"/>
    <s v="Decreasing"/>
    <m/>
    <m/>
    <m/>
    <m/>
    <n v="0"/>
    <n v="2.8260408233025784"/>
    <n v="2.4637246320851856"/>
    <n v="2.583628958586186"/>
  </r>
  <r>
    <x v="19"/>
    <x v="19"/>
    <n v="1652719.5"/>
    <x v="21"/>
    <n v="0"/>
    <n v="1697752.4999999995"/>
    <n v="0"/>
    <m/>
    <n v="0"/>
    <m/>
    <n v="0"/>
    <m/>
    <n v="14"/>
    <m/>
    <n v="0"/>
    <n v="1924954.4999999988"/>
    <n v="34"/>
    <n v="34"/>
    <m/>
    <n v="0"/>
    <m/>
    <n v="10"/>
    <m/>
    <n v="9"/>
    <n v="2105565.4999999991"/>
    <n v="10"/>
    <n v="28"/>
    <n v="0"/>
    <n v="34"/>
    <n v="10"/>
    <m/>
    <s v=""/>
    <n v="34"/>
    <n v="2018"/>
    <n v="10"/>
    <n v="2020"/>
    <s v="Adjust"/>
    <n v="12.120405576679341"/>
    <n v="34"/>
    <s v="Decreasing"/>
    <m/>
    <m/>
    <m/>
    <m/>
    <n v="0"/>
    <n v="0.17662755145641115"/>
    <n v="5.7563659628158542E-2"/>
    <n v="0.16147680991163663"/>
  </r>
  <r>
    <x v="19"/>
    <x v="19"/>
    <n v="1652720.5"/>
    <x v="22"/>
    <n v="0"/>
    <n v="1697752.4999999995"/>
    <n v="727"/>
    <m/>
    <n v="885"/>
    <m/>
    <n v="964"/>
    <m/>
    <n v="918"/>
    <m/>
    <n v="0"/>
    <n v="1924954.4999999988"/>
    <n v="744"/>
    <n v="1264"/>
    <m/>
    <n v="0"/>
    <m/>
    <n v="1371"/>
    <m/>
    <n v="1956"/>
    <n v="2105565.4999999991"/>
    <n v="1879"/>
    <n v="1264"/>
    <n v="964"/>
    <n v="918"/>
    <n v="1956"/>
    <n v="727"/>
    <n v="2013"/>
    <n v="1264"/>
    <s v="2018 (triag)"/>
    <n v="1879"/>
    <n v="2022"/>
    <s v=""/>
    <n v="1879"/>
    <n v="1879"/>
    <s v="Increasing"/>
    <m/>
    <m/>
    <m/>
    <m/>
    <n v="4.2821318183893133"/>
    <n v="6.5663889717912856"/>
    <n v="8.9239684065872122"/>
    <n v="8.9239684065872122"/>
  </r>
  <r>
    <x v="19"/>
    <x v="19"/>
    <n v="1652721.5"/>
    <x v="23"/>
    <n v="0"/>
    <n v="1697752.4999999995"/>
    <n v="474"/>
    <m/>
    <n v="707"/>
    <m/>
    <n v="852"/>
    <m/>
    <n v="865"/>
    <m/>
    <n v="0"/>
    <n v="1924954.4999999988"/>
    <n v="744"/>
    <n v="1210"/>
    <m/>
    <n v="0"/>
    <m/>
    <n v="341"/>
    <m/>
    <n v="1003"/>
    <n v="2105565.4999999991"/>
    <n v="987"/>
    <n v="1210"/>
    <n v="852"/>
    <n v="865"/>
    <n v="1003"/>
    <n v="474"/>
    <n v="2013"/>
    <n v="1210"/>
    <s v="2018 (triag)"/>
    <n v="987"/>
    <n v="2022"/>
    <s v="Adjust"/>
    <n v="1196.2840304182509"/>
    <n v="1210"/>
    <s v="Decreasing"/>
    <m/>
    <m/>
    <m/>
    <m/>
    <n v="2.7919263850296208"/>
    <n v="6.2858628606546318"/>
    <n v="5.6815332052992487"/>
    <n v="5.7466747056788332"/>
  </r>
  <r>
    <x v="19"/>
    <x v="19"/>
    <n v="1652722.5"/>
    <x v="24"/>
    <n v="0"/>
    <n v="1697752.4999999995"/>
    <n v="253"/>
    <m/>
    <n v="178"/>
    <m/>
    <n v="112"/>
    <m/>
    <n v="53"/>
    <m/>
    <n v="0"/>
    <n v="1924954.4999999988"/>
    <n v="0"/>
    <n v="54"/>
    <m/>
    <n v="0"/>
    <m/>
    <n v="1016"/>
    <m/>
    <n v="951"/>
    <n v="2105565.4999999991"/>
    <n v="889"/>
    <n v="54"/>
    <n v="253"/>
    <n v="53"/>
    <n v="1016"/>
    <n v="253"/>
    <n v="2013"/>
    <n v="54"/>
    <s v="2018 (triag)"/>
    <n v="889"/>
    <n v="2022"/>
    <s v=""/>
    <n v="889"/>
    <n v="889"/>
    <s v="Increasing"/>
    <m/>
    <m/>
    <m/>
    <m/>
    <n v="1.4902054333596921"/>
    <n v="0.28052611113665299"/>
    <n v="4.2221436473954403"/>
    <n v="4.2221436473954403"/>
  </r>
  <r>
    <x v="19"/>
    <x v="19"/>
    <n v="1652723.5"/>
    <x v="25"/>
    <n v="0"/>
    <n v="1697752.4999999995"/>
    <n v="153"/>
    <m/>
    <n v="0"/>
    <m/>
    <n v="0"/>
    <m/>
    <n v="125"/>
    <m/>
    <n v="0"/>
    <n v="1924954.4999999988"/>
    <n v="0"/>
    <n v="157"/>
    <m/>
    <n v="0"/>
    <m/>
    <n v="185"/>
    <m/>
    <n v="213"/>
    <n v="2105565.4999999991"/>
    <n v="197"/>
    <n v="157"/>
    <n v="153"/>
    <n v="125"/>
    <n v="213"/>
    <n v="153"/>
    <n v="2013"/>
    <n v="157"/>
    <s v="2018 (triag)"/>
    <n v="197"/>
    <n v="2022"/>
    <s v=""/>
    <n v="197"/>
    <n v="197"/>
    <s v="Increasing"/>
    <m/>
    <m/>
    <m/>
    <m/>
    <n v="0.9011914280791814"/>
    <n v="0.81560369348989858"/>
    <n v="0.93561563389977698"/>
    <n v="0.93561563389977698"/>
  </r>
  <r>
    <x v="19"/>
    <x v="19"/>
    <n v="1652724.5"/>
    <x v="26"/>
    <n v="0"/>
    <n v="1697752.4999999995"/>
    <n v="148"/>
    <m/>
    <n v="0"/>
    <m/>
    <n v="0"/>
    <m/>
    <n v="125"/>
    <m/>
    <n v="0"/>
    <n v="1924954.4999999988"/>
    <n v="0"/>
    <n v="156"/>
    <m/>
    <n v="0"/>
    <m/>
    <n v="18"/>
    <m/>
    <n v="213"/>
    <n v="2105565.4999999991"/>
    <n v="26"/>
    <n v="156"/>
    <n v="148"/>
    <n v="125"/>
    <n v="213"/>
    <n v="148"/>
    <n v="2013"/>
    <n v="156"/>
    <s v="2018 (triag)"/>
    <n v="26"/>
    <n v="2022"/>
    <s v="Adjust"/>
    <n v="31.513054499366284"/>
    <n v="156"/>
    <s v="Decreasing"/>
    <m/>
    <m/>
    <m/>
    <m/>
    <n v="0.87174072781515588"/>
    <n v="0.81040876550588647"/>
    <n v="0.14966551503321221"/>
    <n v="0.74089359841809754"/>
  </r>
  <r>
    <x v="19"/>
    <x v="19"/>
    <n v="1652725.5"/>
    <x v="27"/>
    <n v="0"/>
    <n v="1697752.4999999995"/>
    <n v="5"/>
    <m/>
    <n v="0"/>
    <m/>
    <n v="0"/>
    <m/>
    <n v="0"/>
    <m/>
    <n v="0"/>
    <n v="1924954.4999999988"/>
    <n v="0"/>
    <n v="1"/>
    <m/>
    <n v="0"/>
    <m/>
    <n v="167"/>
    <m/>
    <n v="0"/>
    <n v="2105565.4999999991"/>
    <n v="171"/>
    <n v="1"/>
    <n v="5"/>
    <n v="0"/>
    <n v="171"/>
    <n v="5"/>
    <n v="2013"/>
    <n v="1"/>
    <s v="2018 (triag)"/>
    <n v="171"/>
    <n v="2022"/>
    <s v=""/>
    <n v="171"/>
    <n v="171"/>
    <s v="Increasing"/>
    <m/>
    <m/>
    <m/>
    <m/>
    <n v="2.9450700264025537E-2"/>
    <n v="5.1949279840120925E-3"/>
    <n v="0.81213336749676068"/>
    <n v="0.81213336749676068"/>
  </r>
  <r>
    <x v="19"/>
    <x v="19"/>
    <n v="1652726.5"/>
    <x v="28"/>
    <n v="0"/>
    <n v="1697752.4999999995"/>
    <n v="0"/>
    <m/>
    <n v="0"/>
    <m/>
    <n v="0"/>
    <m/>
    <n v="5"/>
    <m/>
    <n v="0"/>
    <n v="1924954.4999999988"/>
    <n v="11"/>
    <n v="13"/>
    <m/>
    <n v="0"/>
    <m/>
    <n v="13"/>
    <m/>
    <n v="2"/>
    <n v="2105565.4999999991"/>
    <n v="2"/>
    <n v="13"/>
    <n v="0"/>
    <n v="11"/>
    <n v="13"/>
    <m/>
    <s v=""/>
    <n v="13"/>
    <s v="2018 (triag)"/>
    <n v="2"/>
    <n v="2021"/>
    <s v="Adjust"/>
    <n v="2.4240811153358681"/>
    <n v="13"/>
    <s v="Decreasing"/>
    <m/>
    <m/>
    <m/>
    <m/>
    <n v="0"/>
    <n v="6.7534063792157206E-2"/>
    <n v="1.1512731925631708E-2"/>
    <n v="6.1741133201508126E-2"/>
  </r>
  <r>
    <x v="19"/>
    <x v="19"/>
    <n v="1652727.5"/>
    <x v="29"/>
    <n v="0"/>
    <n v="1697752.4999999995"/>
    <n v="0"/>
    <m/>
    <n v="0"/>
    <m/>
    <n v="0"/>
    <m/>
    <n v="35"/>
    <m/>
    <n v="0"/>
    <n v="1924954.4999999988"/>
    <n v="18"/>
    <n v="69"/>
    <m/>
    <n v="0"/>
    <m/>
    <n v="73"/>
    <m/>
    <n v="76"/>
    <n v="2105565.4999999991"/>
    <n v="80"/>
    <n v="69"/>
    <n v="0"/>
    <n v="35"/>
    <n v="80"/>
    <m/>
    <s v=""/>
    <n v="69"/>
    <s v="2018 (triag)"/>
    <n v="80"/>
    <n v="2022"/>
    <s v=""/>
    <n v="80"/>
    <n v="80"/>
    <s v="Increasing"/>
    <m/>
    <m/>
    <m/>
    <m/>
    <n v="0"/>
    <n v="0.35845003089683442"/>
    <n v="0.37994543508620388"/>
    <n v="0.37994543508620388"/>
  </r>
  <r>
    <x v="19"/>
    <x v="19"/>
    <n v="1652728.5"/>
    <x v="30"/>
    <n v="0"/>
    <n v="1697752.4999999995"/>
    <n v="0"/>
    <m/>
    <n v="0"/>
    <m/>
    <n v="0"/>
    <m/>
    <n v="7"/>
    <m/>
    <n v="0"/>
    <n v="1924954.4999999988"/>
    <n v="0"/>
    <n v="8"/>
    <m/>
    <n v="0"/>
    <m/>
    <n v="5"/>
    <m/>
    <n v="2"/>
    <n v="2105565.4999999991"/>
    <n v="20"/>
    <n v="8"/>
    <n v="0"/>
    <n v="7"/>
    <n v="20"/>
    <m/>
    <s v=""/>
    <n v="8"/>
    <s v="2018 (triag)"/>
    <n v="20"/>
    <n v="2022"/>
    <s v=""/>
    <n v="20"/>
    <n v="20"/>
    <s v="Increasing"/>
    <m/>
    <m/>
    <m/>
    <m/>
    <n v="0"/>
    <n v="4.155942387209674E-2"/>
    <n v="9.4986358771550969E-2"/>
    <n v="9.4986358771550969E-2"/>
  </r>
  <r>
    <x v="19"/>
    <x v="19"/>
    <n v="1652729.5"/>
    <x v="31"/>
    <n v="0"/>
    <n v="1697752.4999999995"/>
    <n v="0"/>
    <m/>
    <n v="0"/>
    <m/>
    <n v="0"/>
    <m/>
    <n v="8"/>
    <m/>
    <n v="0"/>
    <n v="1924954.4999999988"/>
    <n v="8"/>
    <n v="8"/>
    <m/>
    <n v="0"/>
    <m/>
    <n v="0"/>
    <m/>
    <n v="21"/>
    <n v="2105565.4999999991"/>
    <n v="2"/>
    <n v="8"/>
    <n v="0"/>
    <n v="8"/>
    <n v="21"/>
    <m/>
    <s v=""/>
    <n v="8"/>
    <n v="2016"/>
    <n v="2"/>
    <n v="2022"/>
    <s v="Adjust"/>
    <n v="2.4240811153358681"/>
    <n v="8"/>
    <s v="Decreasing"/>
    <m/>
    <m/>
    <m/>
    <m/>
    <n v="0"/>
    <n v="4.155942387209674E-2"/>
    <n v="1.1512731925631708E-2"/>
    <n v="3.7994543508620388E-2"/>
  </r>
  <r>
    <x v="19"/>
    <x v="19"/>
    <n v="1652730.5"/>
    <x v="32"/>
    <n v="0"/>
    <n v="1697752.4999999995"/>
    <n v="0"/>
    <m/>
    <n v="0"/>
    <m/>
    <n v="0"/>
    <m/>
    <n v="0"/>
    <m/>
    <n v="0"/>
    <n v="1924954.4999999988"/>
    <n v="2"/>
    <n v="2"/>
    <m/>
    <n v="0"/>
    <m/>
    <n v="11"/>
    <m/>
    <n v="12"/>
    <n v="2105565.4999999991"/>
    <n v="11"/>
    <n v="0"/>
    <n v="0"/>
    <n v="2"/>
    <n v="12"/>
    <m/>
    <s v=""/>
    <n v="2"/>
    <n v="2018"/>
    <n v="11"/>
    <n v="2020"/>
    <s v=""/>
    <n v="11"/>
    <n v="11"/>
    <s v="Increasing"/>
    <m/>
    <m/>
    <m/>
    <m/>
    <n v="0"/>
    <n v="1.0389855968024185E-2"/>
    <n v="5.2242497324353029E-2"/>
    <n v="5.2242497324353029E-2"/>
  </r>
  <r>
    <x v="20"/>
    <x v="20"/>
    <n v="1193635.4999999998"/>
    <x v="19"/>
    <n v="0"/>
    <n v="1243941.0000000002"/>
    <n v="0"/>
    <n v="1295183.0000000005"/>
    <n v="0"/>
    <n v="1346973.0000000005"/>
    <n v="0"/>
    <n v="1398926.5"/>
    <n v="0"/>
    <n v="1450694.0000000005"/>
    <n v="507"/>
    <n v="1502091.5000000002"/>
    <n v="0"/>
    <n v="246"/>
    <n v="1553030.5000000002"/>
    <n v="0"/>
    <n v="1596048.5000000009"/>
    <n v="0"/>
    <n v="1634465.5000000002"/>
    <n v="0"/>
    <n v="1674908"/>
    <n v="239"/>
    <n v="246"/>
    <n v="0"/>
    <n v="507"/>
    <n v="239"/>
    <m/>
    <s v=""/>
    <n v="246"/>
    <s v="2018 (triag)"/>
    <n v="239"/>
    <n v="2022"/>
    <s v="Adjust"/>
    <n v="274.68237599257924"/>
    <n v="274.68237599257924"/>
    <s v="Increasing"/>
    <m/>
    <m/>
    <m/>
    <m/>
    <n v="0"/>
    <n v="1.637716477325116"/>
    <n v="1.6399848588255548"/>
    <n v="1.6399848588255548"/>
  </r>
  <r>
    <x v="20"/>
    <x v="20"/>
    <n v="1193636.5"/>
    <x v="20"/>
    <n v="0"/>
    <n v="1243941.0000000002"/>
    <n v="0"/>
    <m/>
    <n v="0"/>
    <m/>
    <n v="0"/>
    <m/>
    <n v="0"/>
    <m/>
    <n v="0"/>
    <n v="1502091.5000000002"/>
    <n v="0"/>
    <n v="246"/>
    <m/>
    <n v="0"/>
    <m/>
    <n v="0"/>
    <m/>
    <n v="0"/>
    <n v="1674908"/>
    <n v="182"/>
    <n v="246"/>
    <n v="0"/>
    <n v="0"/>
    <n v="182"/>
    <m/>
    <s v=""/>
    <n v="246"/>
    <s v="2018 (triag)"/>
    <n v="182"/>
    <n v="2022"/>
    <s v="Adjust"/>
    <n v="209.17235326631555"/>
    <n v="246"/>
    <s v="Decreasing"/>
    <m/>
    <m/>
    <m/>
    <m/>
    <n v="0"/>
    <n v="1.637716477325116"/>
    <n v="1.2488587627876608"/>
    <n v="1.4687373873669478"/>
  </r>
  <r>
    <x v="20"/>
    <x v="20"/>
    <n v="1193637.5"/>
    <x v="21"/>
    <n v="0"/>
    <n v="1243941.0000000002"/>
    <n v="0"/>
    <m/>
    <n v="0"/>
    <m/>
    <n v="0"/>
    <m/>
    <n v="0"/>
    <m/>
    <n v="0"/>
    <n v="1502091.5000000002"/>
    <n v="0"/>
    <n v="0"/>
    <m/>
    <n v="0"/>
    <m/>
    <n v="0"/>
    <m/>
    <n v="0"/>
    <n v="1674908"/>
    <n v="57"/>
    <n v="0"/>
    <n v="0"/>
    <n v="0"/>
    <n v="57"/>
    <m/>
    <s v=""/>
    <m/>
    <s v=""/>
    <n v="57"/>
    <n v="2022"/>
    <s v=""/>
    <n v="57"/>
    <n v="57"/>
    <s v="Increasing"/>
    <m/>
    <m/>
    <m/>
    <m/>
    <n v="0"/>
    <n v="0"/>
    <n v="0.3403171995118538"/>
    <n v="0.3403171995118538"/>
  </r>
  <r>
    <x v="20"/>
    <x v="20"/>
    <n v="1193638.5"/>
    <x v="22"/>
    <n v="0"/>
    <n v="1243941.0000000002"/>
    <n v="0"/>
    <m/>
    <n v="0"/>
    <m/>
    <n v="0"/>
    <m/>
    <n v="0"/>
    <m/>
    <n v="634"/>
    <n v="1502091.5000000002"/>
    <n v="0"/>
    <n v="355"/>
    <m/>
    <n v="0"/>
    <m/>
    <n v="0"/>
    <m/>
    <n v="0"/>
    <n v="1674908"/>
    <n v="1375"/>
    <n v="355"/>
    <n v="0"/>
    <n v="634"/>
    <n v="1375"/>
    <m/>
    <s v=""/>
    <n v="355"/>
    <s v="2018 (triag)"/>
    <n v="1375"/>
    <n v="2022"/>
    <s v=""/>
    <n v="1375"/>
    <n v="1375"/>
    <s v="Increasing"/>
    <m/>
    <m/>
    <m/>
    <m/>
    <n v="0"/>
    <n v="2.3633713392293343"/>
    <n v="8.2094061285754201"/>
    <n v="8.2094061285754201"/>
  </r>
  <r>
    <x v="20"/>
    <x v="20"/>
    <n v="1193639.5"/>
    <x v="23"/>
    <n v="0"/>
    <n v="1243941.0000000002"/>
    <n v="0"/>
    <m/>
    <n v="0"/>
    <m/>
    <n v="0"/>
    <m/>
    <n v="0"/>
    <m/>
    <n v="0"/>
    <n v="1502091.5000000002"/>
    <n v="0"/>
    <n v="72"/>
    <m/>
    <n v="0"/>
    <m/>
    <n v="0"/>
    <m/>
    <n v="0"/>
    <n v="1674908"/>
    <n v="297"/>
    <n v="72"/>
    <n v="0"/>
    <n v="0"/>
    <n v="297"/>
    <m/>
    <s v=""/>
    <n v="72"/>
    <s v="2018 (triag)"/>
    <n v="297"/>
    <n v="2022"/>
    <s v=""/>
    <n v="297"/>
    <n v="297"/>
    <s v="Increasing"/>
    <m/>
    <m/>
    <m/>
    <m/>
    <n v="0"/>
    <n v="0.47933165190003396"/>
    <n v="1.7732317237722908"/>
    <n v="1.7732317237722908"/>
  </r>
  <r>
    <x v="20"/>
    <x v="20"/>
    <n v="1193640.5"/>
    <x v="24"/>
    <n v="0"/>
    <n v="1243941.0000000002"/>
    <n v="0"/>
    <m/>
    <n v="0"/>
    <m/>
    <n v="0"/>
    <m/>
    <n v="0"/>
    <m/>
    <n v="0"/>
    <n v="1502091.5000000002"/>
    <n v="0"/>
    <n v="283"/>
    <m/>
    <n v="0"/>
    <m/>
    <n v="0"/>
    <m/>
    <n v="0"/>
    <n v="1674908"/>
    <n v="0"/>
    <n v="283"/>
    <n v="0"/>
    <n v="0"/>
    <n v="0"/>
    <m/>
    <s v=""/>
    <n v="283"/>
    <s v="2018 (triag)"/>
    <n v="283"/>
    <s v="2018 (triag)"/>
    <s v=""/>
    <n v="283"/>
    <n v="283"/>
    <s v="No change"/>
    <m/>
    <m/>
    <m/>
    <m/>
    <n v="0"/>
    <n v="1.8840396873293002"/>
    <n v="1.689645043190432"/>
    <n v="1.689645043190432"/>
  </r>
  <r>
    <x v="20"/>
    <x v="20"/>
    <n v="1193641.5"/>
    <x v="25"/>
    <n v="0"/>
    <n v="1243941.0000000002"/>
    <n v="0"/>
    <m/>
    <n v="0"/>
    <m/>
    <n v="0"/>
    <m/>
    <n v="0"/>
    <m/>
    <n v="0"/>
    <n v="1502091.5000000002"/>
    <n v="0"/>
    <n v="51"/>
    <m/>
    <n v="0"/>
    <m/>
    <n v="0"/>
    <m/>
    <n v="0"/>
    <n v="1674908"/>
    <n v="23"/>
    <n v="51"/>
    <n v="0"/>
    <n v="0"/>
    <n v="23"/>
    <m/>
    <s v=""/>
    <n v="51"/>
    <s v="2018 (triag)"/>
    <n v="23"/>
    <n v="2022"/>
    <s v="Adjust"/>
    <n v="26.43386881936955"/>
    <n v="51"/>
    <s v="Decreasing"/>
    <m/>
    <m/>
    <m/>
    <m/>
    <n v="0"/>
    <n v="0.33952658676252406"/>
    <n v="0.15782281068195717"/>
    <n v="0.30449433640534285"/>
  </r>
  <r>
    <x v="20"/>
    <x v="20"/>
    <n v="1193642.5"/>
    <x v="26"/>
    <n v="0"/>
    <n v="1243941.0000000002"/>
    <n v="0"/>
    <m/>
    <n v="0"/>
    <m/>
    <n v="0"/>
    <m/>
    <n v="0"/>
    <m/>
    <n v="0"/>
    <n v="1502091.5000000002"/>
    <n v="0"/>
    <n v="51"/>
    <m/>
    <n v="0"/>
    <m/>
    <n v="0"/>
    <m/>
    <n v="0"/>
    <n v="1674908"/>
    <n v="23"/>
    <n v="51"/>
    <n v="0"/>
    <n v="0"/>
    <n v="23"/>
    <m/>
    <s v=""/>
    <n v="51"/>
    <s v="2018 (triag)"/>
    <n v="23"/>
    <n v="2022"/>
    <s v="Adjust"/>
    <n v="26.43386881936955"/>
    <n v="51"/>
    <s v="Decreasing"/>
    <m/>
    <m/>
    <m/>
    <m/>
    <n v="0"/>
    <n v="0.33952658676252406"/>
    <n v="0.15782281068195717"/>
    <n v="0.30449433640534285"/>
  </r>
  <r>
    <x v="20"/>
    <x v="20"/>
    <n v="1193643.5"/>
    <x v="27"/>
    <n v="0"/>
    <n v="1243941.0000000002"/>
    <n v="0"/>
    <m/>
    <n v="0"/>
    <m/>
    <n v="0"/>
    <m/>
    <n v="0"/>
    <m/>
    <n v="0"/>
    <n v="1502091.5000000002"/>
    <n v="0"/>
    <n v="0"/>
    <m/>
    <n v="0"/>
    <m/>
    <n v="0"/>
    <m/>
    <n v="0"/>
    <n v="1674908"/>
    <n v="0"/>
    <n v="0"/>
    <n v="0"/>
    <n v="0"/>
    <n v="0"/>
    <m/>
    <s v=""/>
    <m/>
    <s v=""/>
    <n v="0"/>
    <s v=""/>
    <s v=""/>
    <m/>
    <n v="0"/>
    <s v="No change"/>
    <m/>
    <m/>
    <m/>
    <m/>
    <n v="0"/>
    <n v="0"/>
    <n v="0"/>
    <n v="0"/>
  </r>
  <r>
    <x v="20"/>
    <x v="20"/>
    <n v="1193644.5"/>
    <x v="28"/>
    <n v="0"/>
    <n v="1243941.0000000002"/>
    <n v="0"/>
    <m/>
    <n v="0"/>
    <m/>
    <n v="0"/>
    <m/>
    <n v="0"/>
    <m/>
    <n v="0"/>
    <n v="1502091.5000000002"/>
    <n v="10"/>
    <n v="10"/>
    <m/>
    <n v="0"/>
    <m/>
    <n v="0"/>
    <m/>
    <n v="0"/>
    <n v="1674908"/>
    <n v="14"/>
    <n v="10"/>
    <n v="0"/>
    <n v="10"/>
    <n v="14"/>
    <m/>
    <s v=""/>
    <n v="10"/>
    <n v="2018"/>
    <n v="14"/>
    <n v="2022"/>
    <s v=""/>
    <n v="14"/>
    <n v="14"/>
    <s v="Increasing"/>
    <m/>
    <m/>
    <m/>
    <m/>
    <n v="0"/>
    <n v="6.6573840541671384E-2"/>
    <n v="8.3586680581858822E-2"/>
    <n v="8.3586680581858822E-2"/>
  </r>
  <r>
    <x v="20"/>
    <x v="20"/>
    <n v="1193645.5"/>
    <x v="29"/>
    <n v="0"/>
    <n v="1243941.0000000002"/>
    <n v="0"/>
    <m/>
    <n v="0"/>
    <m/>
    <n v="0"/>
    <m/>
    <n v="0"/>
    <m/>
    <n v="0"/>
    <n v="1502091.5000000002"/>
    <n v="0"/>
    <n v="0"/>
    <m/>
    <n v="0"/>
    <m/>
    <n v="0"/>
    <m/>
    <n v="0"/>
    <n v="1674908"/>
    <n v="91"/>
    <n v="0"/>
    <n v="0"/>
    <n v="0"/>
    <n v="91"/>
    <m/>
    <s v=""/>
    <m/>
    <s v=""/>
    <n v="91"/>
    <n v="2022"/>
    <s v=""/>
    <n v="91"/>
    <n v="91"/>
    <s v="Increasing"/>
    <m/>
    <m/>
    <m/>
    <m/>
    <n v="0"/>
    <n v="0"/>
    <n v="0.54331342378208236"/>
    <n v="0.54331342378208236"/>
  </r>
  <r>
    <x v="20"/>
    <x v="20"/>
    <n v="1193646.5"/>
    <x v="30"/>
    <n v="0"/>
    <n v="1243941.0000000002"/>
    <n v="0"/>
    <m/>
    <n v="0"/>
    <m/>
    <n v="0"/>
    <m/>
    <n v="0"/>
    <m/>
    <n v="0"/>
    <n v="1502091.5000000002"/>
    <n v="0"/>
    <n v="0"/>
    <m/>
    <n v="0"/>
    <m/>
    <n v="0"/>
    <m/>
    <n v="0"/>
    <n v="1674908"/>
    <n v="0"/>
    <n v="0"/>
    <n v="0"/>
    <n v="0"/>
    <n v="0"/>
    <m/>
    <s v=""/>
    <m/>
    <s v=""/>
    <n v="0"/>
    <s v=""/>
    <s v=""/>
    <m/>
    <n v="0"/>
    <s v="No change"/>
    <m/>
    <m/>
    <m/>
    <m/>
    <n v="0"/>
    <n v="0"/>
    <n v="0"/>
    <n v="0"/>
  </r>
  <r>
    <x v="20"/>
    <x v="20"/>
    <n v="1193647.5"/>
    <x v="31"/>
    <n v="0"/>
    <n v="1243941.0000000002"/>
    <n v="0"/>
    <m/>
    <n v="0"/>
    <m/>
    <n v="0"/>
    <m/>
    <n v="0"/>
    <m/>
    <n v="0"/>
    <n v="1502091.5000000002"/>
    <n v="0"/>
    <n v="0"/>
    <m/>
    <n v="0"/>
    <m/>
    <n v="0"/>
    <m/>
    <n v="0"/>
    <n v="1674908"/>
    <n v="0"/>
    <n v="0"/>
    <n v="0"/>
    <n v="0"/>
    <n v="0"/>
    <m/>
    <s v=""/>
    <m/>
    <s v=""/>
    <n v="0"/>
    <s v=""/>
    <s v=""/>
    <m/>
    <n v="0"/>
    <s v="No change"/>
    <m/>
    <m/>
    <m/>
    <m/>
    <n v="0"/>
    <n v="0"/>
    <n v="0"/>
    <n v="0"/>
  </r>
  <r>
    <x v="20"/>
    <x v="20"/>
    <n v="1193648.5"/>
    <x v="32"/>
    <n v="0"/>
    <n v="1243941.0000000002"/>
    <n v="0"/>
    <m/>
    <n v="0"/>
    <m/>
    <n v="0"/>
    <m/>
    <n v="0"/>
    <m/>
    <n v="0"/>
    <n v="1502091.5000000002"/>
    <n v="0"/>
    <n v="0"/>
    <m/>
    <n v="0"/>
    <m/>
    <n v="0"/>
    <m/>
    <n v="0"/>
    <n v="1674908"/>
    <n v="0"/>
    <n v="0"/>
    <n v="0"/>
    <n v="0"/>
    <n v="0"/>
    <m/>
    <s v=""/>
    <m/>
    <s v=""/>
    <n v="0"/>
    <s v=""/>
    <s v=""/>
    <m/>
    <n v="0"/>
    <s v="No change"/>
    <m/>
    <m/>
    <m/>
    <m/>
    <n v="0"/>
    <n v="0"/>
    <n v="0"/>
    <n v="0"/>
  </r>
  <r>
    <x v="21"/>
    <x v="21"/>
    <n v="43725806.500000007"/>
    <x v="19"/>
    <n v="8092"/>
    <n v="44792368.000000007"/>
    <n v="8682"/>
    <n v="45831863.500000007"/>
    <n v="9149"/>
    <n v="46851488.499999993"/>
    <n v="0"/>
    <n v="47894670"/>
    <n v="0"/>
    <n v="48948137.000000037"/>
    <n v="0"/>
    <n v="49953303.999999993"/>
    <n v="8042"/>
    <n v="8042"/>
    <n v="50951450"/>
    <n v="0"/>
    <n v="51985779.999999993"/>
    <n v="0"/>
    <n v="53005614.000000022"/>
    <n v="5203"/>
    <n v="54027486.999999985"/>
    <n v="12792"/>
    <n v="8042"/>
    <n v="9149"/>
    <n v="8042"/>
    <n v="12792"/>
    <n v="8682"/>
    <n v="2013"/>
    <n v="8042"/>
    <n v="2018"/>
    <n v="12792"/>
    <n v="2022"/>
    <s v=""/>
    <n v="12792"/>
    <n v="12792"/>
    <s v="Increasing"/>
    <m/>
    <m/>
    <m/>
    <m/>
    <n v="1.9382766278398138"/>
    <n v="1.6099035210964225"/>
    <n v="2.3676836940426274"/>
    <n v="2.3676836940426274"/>
  </r>
  <r>
    <x v="21"/>
    <x v="21"/>
    <n v="43725807.5"/>
    <x v="20"/>
    <n v="0"/>
    <n v="44792368.000000007"/>
    <n v="0"/>
    <m/>
    <n v="0"/>
    <m/>
    <n v="0"/>
    <m/>
    <n v="0"/>
    <m/>
    <n v="0"/>
    <n v="49953303.999999993"/>
    <n v="5602"/>
    <n v="5602"/>
    <m/>
    <n v="0"/>
    <m/>
    <n v="0"/>
    <m/>
    <n v="3252"/>
    <n v="54027486.999999985"/>
    <n v="3544"/>
    <n v="5602"/>
    <n v="0"/>
    <n v="5602"/>
    <n v="3544"/>
    <m/>
    <s v=""/>
    <n v="5602"/>
    <n v="2018"/>
    <n v="3544"/>
    <n v="2022"/>
    <s v="Adjust"/>
    <n v="4073.1143954715512"/>
    <n v="5602"/>
    <s v="Decreasing"/>
    <m/>
    <m/>
    <m/>
    <m/>
    <n v="0"/>
    <n v="1.1214473421017359"/>
    <n v="0.75389669622641386"/>
    <n v="1.0368796164811445"/>
  </r>
  <r>
    <x v="21"/>
    <x v="21"/>
    <n v="43725808.5"/>
    <x v="21"/>
    <n v="0"/>
    <n v="44792368.000000007"/>
    <n v="0"/>
    <m/>
    <n v="0"/>
    <m/>
    <n v="0"/>
    <m/>
    <n v="0"/>
    <m/>
    <n v="0"/>
    <n v="49953303.999999993"/>
    <n v="2440"/>
    <n v="2440"/>
    <m/>
    <n v="0"/>
    <m/>
    <n v="0"/>
    <m/>
    <n v="1951"/>
    <n v="54027486.999999985"/>
    <n v="1973"/>
    <n v="2440"/>
    <n v="0"/>
    <n v="2440"/>
    <n v="1973"/>
    <m/>
    <s v=""/>
    <n v="2440"/>
    <n v="2018"/>
    <n v="1973"/>
    <n v="2022"/>
    <s v="Adjust"/>
    <n v="2267.5662252441793"/>
    <n v="2440"/>
    <s v="Decreasing"/>
    <m/>
    <m/>
    <m/>
    <m/>
    <n v="0"/>
    <n v="0.4884561789946868"/>
    <n v="0.41970603319828292"/>
    <n v="0.45162196790681763"/>
  </r>
  <r>
    <x v="21"/>
    <x v="21"/>
    <n v="43725809.5"/>
    <x v="22"/>
    <n v="61769"/>
    <n v="44792368.000000007"/>
    <n v="40292"/>
    <m/>
    <n v="43311"/>
    <m/>
    <n v="41413"/>
    <m/>
    <n v="48737"/>
    <m/>
    <n v="53168"/>
    <n v="49953303.999999993"/>
    <n v="59901"/>
    <n v="59901"/>
    <m/>
    <n v="0"/>
    <m/>
    <n v="0"/>
    <m/>
    <n v="34588"/>
    <n v="54027486.999999985"/>
    <n v="109659"/>
    <n v="59901"/>
    <n v="61769"/>
    <n v="59901"/>
    <n v="109659"/>
    <n v="40292"/>
    <n v="2013"/>
    <n v="59901"/>
    <n v="2018"/>
    <n v="109659"/>
    <n v="2022"/>
    <s v=""/>
    <n v="109659"/>
    <n v="109659"/>
    <s v="Increasing"/>
    <m/>
    <m/>
    <m/>
    <m/>
    <n v="8.9952824106106632"/>
    <n v="11.991399007360956"/>
    <n v="20.296890728972834"/>
    <n v="20.296890728972834"/>
  </r>
  <r>
    <x v="21"/>
    <x v="21"/>
    <n v="43725810.5"/>
    <x v="23"/>
    <n v="0"/>
    <n v="44792368.000000007"/>
    <n v="28300"/>
    <m/>
    <n v="31167"/>
    <m/>
    <n v="32514"/>
    <m/>
    <n v="38300"/>
    <m/>
    <n v="41583"/>
    <n v="49953303.999999993"/>
    <n v="46703"/>
    <n v="46703"/>
    <m/>
    <n v="0"/>
    <m/>
    <n v="0"/>
    <m/>
    <n v="34588"/>
    <n v="54027486.999999985"/>
    <n v="34634"/>
    <n v="46703"/>
    <n v="32514"/>
    <n v="46703"/>
    <n v="34634"/>
    <n v="28300"/>
    <n v="2013"/>
    <n v="46703"/>
    <n v="2018"/>
    <n v="34634"/>
    <n v="2022"/>
    <s v="Adjust"/>
    <n v="39804.809247393256"/>
    <n v="46703"/>
    <s v="Decreasing"/>
    <m/>
    <m/>
    <m/>
    <m/>
    <n v="6.3180406090608994"/>
    <n v="9.3493315277003521"/>
    <n v="7.3675107723209976"/>
    <n v="8.644303593095124"/>
  </r>
  <r>
    <x v="21"/>
    <x v="21"/>
    <n v="43725811.5"/>
    <x v="24"/>
    <n v="0"/>
    <n v="44792368.000000007"/>
    <n v="11992"/>
    <m/>
    <n v="12144"/>
    <m/>
    <n v="8899"/>
    <m/>
    <n v="10437"/>
    <m/>
    <n v="11585"/>
    <n v="49953303.999999993"/>
    <n v="13198"/>
    <n v="13198"/>
    <m/>
    <n v="0"/>
    <m/>
    <n v="0"/>
    <m/>
    <n v="0"/>
    <n v="54027486.999999985"/>
    <n v="0"/>
    <n v="13198"/>
    <n v="12144"/>
    <n v="13198"/>
    <n v="0"/>
    <n v="11992"/>
    <n v="2013"/>
    <n v="13198"/>
    <n v="2018"/>
    <n v="13198"/>
    <n v="2018"/>
    <s v=""/>
    <n v="13198"/>
    <n v="13198"/>
    <s v="No change"/>
    <m/>
    <m/>
    <m/>
    <m/>
    <n v="2.6772418015497634"/>
    <n v="2.642067479660605"/>
    <n v="2.4428306280467948"/>
    <n v="2.4428306280467948"/>
  </r>
  <r>
    <x v="21"/>
    <x v="21"/>
    <n v="43725812.5"/>
    <x v="25"/>
    <n v="0"/>
    <n v="44792368.000000007"/>
    <n v="0"/>
    <m/>
    <n v="0"/>
    <m/>
    <n v="0"/>
    <m/>
    <n v="2092"/>
    <m/>
    <n v="0"/>
    <n v="49953303.999999993"/>
    <n v="0"/>
    <n v="0"/>
    <m/>
    <n v="0"/>
    <m/>
    <n v="0"/>
    <m/>
    <n v="0"/>
    <n v="54027486.999999985"/>
    <n v="137"/>
    <n v="0"/>
    <n v="0"/>
    <n v="2092"/>
    <n v="137"/>
    <m/>
    <s v=""/>
    <m/>
    <s v=""/>
    <n v="137"/>
    <n v="2022"/>
    <s v=""/>
    <n v="137"/>
    <n v="137"/>
    <s v="Increasing"/>
    <m/>
    <m/>
    <m/>
    <m/>
    <n v="0"/>
    <n v="0"/>
    <n v="2.5357462952145089E-2"/>
    <n v="2.5357462952145089E-2"/>
  </r>
  <r>
    <x v="21"/>
    <x v="21"/>
    <n v="43725813.5"/>
    <x v="26"/>
    <n v="0"/>
    <n v="44792368.000000007"/>
    <n v="0"/>
    <m/>
    <n v="0"/>
    <m/>
    <n v="0"/>
    <m/>
    <n v="2092"/>
    <m/>
    <n v="0"/>
    <n v="49953303.999999993"/>
    <n v="0"/>
    <n v="0"/>
    <m/>
    <n v="0"/>
    <m/>
    <n v="0"/>
    <m/>
    <n v="0"/>
    <n v="54027486.999999985"/>
    <n v="137"/>
    <n v="0"/>
    <n v="0"/>
    <n v="2092"/>
    <n v="137"/>
    <m/>
    <s v=""/>
    <m/>
    <s v=""/>
    <n v="137"/>
    <n v="2022"/>
    <s v=""/>
    <n v="137"/>
    <n v="137"/>
    <s v="Increasing"/>
    <m/>
    <m/>
    <m/>
    <m/>
    <n v="0"/>
    <n v="0"/>
    <n v="2.5357462952145089E-2"/>
    <n v="2.5357462952145089E-2"/>
  </r>
  <r>
    <x v="21"/>
    <x v="21"/>
    <n v="43725814.5"/>
    <x v="27"/>
    <n v="0"/>
    <n v="44792368.000000007"/>
    <n v="0"/>
    <m/>
    <n v="0"/>
    <m/>
    <n v="0"/>
    <m/>
    <n v="0"/>
    <m/>
    <n v="0"/>
    <n v="49953303.999999993"/>
    <n v="0"/>
    <n v="0"/>
    <m/>
    <n v="0"/>
    <m/>
    <n v="0"/>
    <m/>
    <n v="0"/>
    <n v="54027486.999999985"/>
    <n v="0"/>
    <n v="0"/>
    <n v="0"/>
    <n v="0"/>
    <n v="0"/>
    <m/>
    <s v=""/>
    <m/>
    <s v=""/>
    <n v="0"/>
    <s v=""/>
    <s v=""/>
    <m/>
    <n v="0"/>
    <s v="No change"/>
    <m/>
    <m/>
    <m/>
    <m/>
    <n v="0"/>
    <n v="0"/>
    <n v="0"/>
    <n v="0"/>
  </r>
  <r>
    <x v="21"/>
    <x v="21"/>
    <n v="43725815.5"/>
    <x v="28"/>
    <n v="2076"/>
    <n v="44792368.000000007"/>
    <n v="2202"/>
    <m/>
    <n v="2355"/>
    <m/>
    <n v="0"/>
    <m/>
    <n v="0"/>
    <m/>
    <n v="0"/>
    <n v="49953303.999999993"/>
    <n v="964"/>
    <n v="964"/>
    <m/>
    <n v="0"/>
    <m/>
    <n v="0"/>
    <m/>
    <n v="1137"/>
    <n v="54027486.999999985"/>
    <n v="1337"/>
    <n v="964"/>
    <n v="2355"/>
    <n v="964"/>
    <n v="1337"/>
    <n v="2202"/>
    <n v="2013"/>
    <n v="964"/>
    <n v="2018"/>
    <n v="1337"/>
    <n v="2022"/>
    <s v=""/>
    <n v="1337"/>
    <n v="1337"/>
    <s v="Increasing"/>
    <m/>
    <m/>
    <m/>
    <m/>
    <n v="0.49160160498770678"/>
    <n v="0.19298022809462215"/>
    <n v="0.24746662749648163"/>
    <n v="0.24746662749648163"/>
  </r>
  <r>
    <x v="21"/>
    <x v="21"/>
    <n v="43725816.5"/>
    <x v="29"/>
    <n v="0"/>
    <n v="44792368.000000007"/>
    <n v="0"/>
    <m/>
    <n v="0"/>
    <m/>
    <n v="0"/>
    <m/>
    <n v="0"/>
    <m/>
    <n v="0"/>
    <n v="49953303.999999993"/>
    <n v="1331"/>
    <n v="1331"/>
    <m/>
    <n v="0"/>
    <m/>
    <n v="0"/>
    <m/>
    <n v="1780"/>
    <n v="54027486.999999985"/>
    <n v="6240"/>
    <n v="1331"/>
    <n v="0"/>
    <n v="1331"/>
    <n v="6240"/>
    <m/>
    <s v=""/>
    <n v="1331"/>
    <n v="2018"/>
    <n v="6240"/>
    <n v="2022"/>
    <s v=""/>
    <n v="6240"/>
    <n v="6240"/>
    <s v="Increasing"/>
    <m/>
    <m/>
    <m/>
    <m/>
    <n v="0"/>
    <n v="0.26644884190242957"/>
    <n v="1.1549676556305499"/>
    <n v="1.1549676556305499"/>
  </r>
  <r>
    <x v="21"/>
    <x v="21"/>
    <n v="43725817.5"/>
    <x v="30"/>
    <n v="985"/>
    <n v="44792368.000000007"/>
    <n v="1045"/>
    <m/>
    <n v="1090"/>
    <m/>
    <n v="0"/>
    <m/>
    <n v="0"/>
    <m/>
    <n v="0"/>
    <n v="49953303.999999993"/>
    <n v="841"/>
    <n v="1300"/>
    <m/>
    <n v="1300"/>
    <m/>
    <n v="0"/>
    <m/>
    <n v="0"/>
    <n v="54027486.999999985"/>
    <n v="1344"/>
    <n v="1300"/>
    <n v="1090"/>
    <n v="1300"/>
    <n v="1344"/>
    <n v="1045"/>
    <n v="2013"/>
    <n v="1300"/>
    <s v="2018 (triag)"/>
    <n v="1344"/>
    <n v="2022"/>
    <s v=""/>
    <n v="1344"/>
    <n v="1344"/>
    <s v="Increasing"/>
    <m/>
    <m/>
    <m/>
    <m/>
    <n v="0.2332986726667364"/>
    <n v="0.26024304618569377"/>
    <n v="0.24876226428965692"/>
    <n v="0.24876226428965692"/>
  </r>
  <r>
    <x v="21"/>
    <x v="21"/>
    <n v="43725818.5"/>
    <x v="31"/>
    <n v="0"/>
    <n v="44792368.000000007"/>
    <n v="0"/>
    <m/>
    <n v="0"/>
    <m/>
    <n v="0"/>
    <m/>
    <n v="0"/>
    <m/>
    <n v="0"/>
    <n v="49953303.999999993"/>
    <n v="0"/>
    <n v="464"/>
    <m/>
    <n v="464"/>
    <m/>
    <n v="0"/>
    <m/>
    <n v="246"/>
    <n v="54027486.999999985"/>
    <n v="987"/>
    <n v="464"/>
    <n v="0"/>
    <n v="464"/>
    <n v="987"/>
    <m/>
    <s v=""/>
    <n v="464"/>
    <s v="2018 (triag)"/>
    <n v="987"/>
    <n v="2022"/>
    <s v=""/>
    <n v="987"/>
    <n v="987"/>
    <s v="Increasing"/>
    <m/>
    <m/>
    <m/>
    <m/>
    <n v="0"/>
    <n v="9.2886748792432236E-2"/>
    <n v="0.1826847878377168"/>
    <n v="0.1826847878377168"/>
  </r>
  <r>
    <x v="21"/>
    <x v="21"/>
    <n v="43725819.5"/>
    <x v="32"/>
    <n v="0"/>
    <n v="44792368.000000007"/>
    <n v="0"/>
    <m/>
    <n v="0"/>
    <m/>
    <n v="0"/>
    <m/>
    <n v="0"/>
    <m/>
    <n v="0"/>
    <n v="49953303.999999993"/>
    <n v="0"/>
    <n v="0"/>
    <m/>
    <n v="0"/>
    <m/>
    <n v="0"/>
    <m/>
    <n v="0"/>
    <n v="54027486.999999985"/>
    <n v="0"/>
    <n v="0"/>
    <n v="0"/>
    <n v="0"/>
    <n v="0"/>
    <m/>
    <s v=""/>
    <m/>
    <s v=""/>
    <n v="0"/>
    <s v=""/>
    <s v=""/>
    <m/>
    <n v="0"/>
    <s v="No change"/>
    <m/>
    <m/>
    <m/>
    <m/>
    <n v="0"/>
    <n v="0"/>
    <n v="0"/>
    <n v="0"/>
  </r>
  <r>
    <x v="22"/>
    <x v="22"/>
    <n v="4331740.4999999991"/>
    <x v="19"/>
    <n v="0"/>
    <n v="4427312.4999999991"/>
    <n v="0"/>
    <n v="4519397.9999999981"/>
    <n v="0"/>
    <n v="4612328.9999999972"/>
    <n v="168"/>
    <n v="4706097.5000000009"/>
    <n v="234"/>
    <n v="4796630.9999999963"/>
    <n v="248"/>
    <n v="4889391"/>
    <n v="693"/>
    <n v="693"/>
    <n v="4985289.0000000075"/>
    <n v="732"/>
    <n v="5087584.5000000019"/>
    <n v="777"/>
    <n v="5193415.5000000019"/>
    <n v="887"/>
    <n v="5302681.0000000028"/>
    <n v="954"/>
    <n v="246"/>
    <n v="168"/>
    <n v="732"/>
    <n v="954"/>
    <n v="168"/>
    <n v="2015"/>
    <n v="693"/>
    <n v="2018"/>
    <n v="954"/>
    <n v="2022"/>
    <s v=""/>
    <n v="954"/>
    <n v="954"/>
    <s v="Increasing"/>
    <m/>
    <m/>
    <m/>
    <m/>
    <n v="0.37946271016559152"/>
    <n v="1.4173544312573898"/>
    <n v="1.7990899320551237"/>
    <n v="1.7990899320551237"/>
  </r>
  <r>
    <x v="22"/>
    <x v="22"/>
    <n v="4331741.5"/>
    <x v="20"/>
    <n v="0"/>
    <n v="4427312.4999999991"/>
    <n v="0"/>
    <m/>
    <n v="0"/>
    <m/>
    <n v="0"/>
    <m/>
    <n v="0"/>
    <m/>
    <n v="0"/>
    <n v="4889391"/>
    <n v="672"/>
    <n v="672"/>
    <m/>
    <n v="697"/>
    <m/>
    <n v="725"/>
    <m/>
    <n v="800"/>
    <n v="5302681.0000000028"/>
    <n v="840"/>
    <n v="234"/>
    <n v="0"/>
    <n v="697"/>
    <n v="840"/>
    <m/>
    <s v=""/>
    <n v="672"/>
    <n v="2018"/>
    <n v="840"/>
    <n v="2022"/>
    <s v=""/>
    <n v="840"/>
    <n v="840"/>
    <s v="Increasing"/>
    <m/>
    <m/>
    <m/>
    <m/>
    <n v="0"/>
    <n v="1.3744042969768628"/>
    <n v="1.5841043426900459"/>
    <n v="1.5841043426900459"/>
  </r>
  <r>
    <x v="22"/>
    <x v="22"/>
    <n v="4331742.5"/>
    <x v="21"/>
    <n v="0"/>
    <n v="4427312.4999999991"/>
    <n v="0"/>
    <m/>
    <n v="0"/>
    <m/>
    <n v="0"/>
    <m/>
    <n v="0"/>
    <m/>
    <n v="0"/>
    <n v="4889391"/>
    <n v="21"/>
    <n v="21"/>
    <m/>
    <n v="35"/>
    <m/>
    <n v="52"/>
    <m/>
    <n v="87"/>
    <n v="5302681.0000000028"/>
    <n v="114"/>
    <n v="12"/>
    <n v="0"/>
    <n v="35"/>
    <n v="114"/>
    <m/>
    <s v=""/>
    <n v="21"/>
    <n v="2018"/>
    <n v="114"/>
    <n v="2022"/>
    <s v=""/>
    <n v="114"/>
    <n v="114"/>
    <s v="Increasing"/>
    <m/>
    <m/>
    <m/>
    <m/>
    <n v="0"/>
    <n v="4.2950134280526964E-2"/>
    <n v="0.21498558936507767"/>
    <n v="0.21498558936507767"/>
  </r>
  <r>
    <x v="22"/>
    <x v="22"/>
    <n v="4331743.5"/>
    <x v="22"/>
    <n v="0"/>
    <n v="4427312.4999999991"/>
    <n v="0"/>
    <m/>
    <n v="0"/>
    <m/>
    <n v="0"/>
    <m/>
    <n v="0"/>
    <m/>
    <n v="0"/>
    <n v="4889391"/>
    <n v="2263"/>
    <n v="8488"/>
    <m/>
    <n v="1978"/>
    <m/>
    <n v="2416"/>
    <m/>
    <n v="1761"/>
    <n v="5302681.0000000028"/>
    <n v="3440"/>
    <n v="8488"/>
    <n v="0"/>
    <n v="2263"/>
    <n v="3440"/>
    <m/>
    <s v=""/>
    <n v="8488"/>
    <s v="2018 (triag)"/>
    <n v="3440"/>
    <n v="2022"/>
    <s v="Adjust"/>
    <n v="4423.7952883834278"/>
    <n v="8488"/>
    <s v="Decreasing"/>
    <m/>
    <m/>
    <m/>
    <m/>
    <n v="0"/>
    <n v="17.360035227291089"/>
    <n v="8.3425634851189905"/>
    <n v="16.006997215182274"/>
  </r>
  <r>
    <x v="22"/>
    <x v="22"/>
    <n v="4331744.5"/>
    <x v="23"/>
    <n v="0"/>
    <n v="4427312.4999999991"/>
    <n v="0"/>
    <m/>
    <n v="0"/>
    <m/>
    <n v="0"/>
    <m/>
    <n v="0"/>
    <m/>
    <n v="0"/>
    <n v="4889391"/>
    <n v="2263"/>
    <n v="4887"/>
    <m/>
    <n v="1978"/>
    <m/>
    <n v="2416"/>
    <m/>
    <n v="1761"/>
    <n v="5302681.0000000028"/>
    <n v="2017"/>
    <n v="4887"/>
    <n v="0"/>
    <n v="2263"/>
    <n v="2416"/>
    <m/>
    <s v=""/>
    <n v="4887"/>
    <s v="2018 (triag)"/>
    <n v="2017"/>
    <n v="2022"/>
    <s v="Adjust"/>
    <n v="2593.8357839155155"/>
    <n v="4887"/>
    <s v="Decreasing"/>
    <m/>
    <m/>
    <m/>
    <m/>
    <n v="0"/>
    <n v="9.9951098204254887"/>
    <n v="4.891555392292152"/>
    <n v="9.2160927651503037"/>
  </r>
  <r>
    <x v="22"/>
    <x v="22"/>
    <n v="4331745.5"/>
    <x v="24"/>
    <n v="0"/>
    <n v="4427312.4999999991"/>
    <n v="0"/>
    <m/>
    <n v="0"/>
    <m/>
    <n v="0"/>
    <m/>
    <n v="0"/>
    <m/>
    <n v="0"/>
    <n v="4889391"/>
    <n v="0"/>
    <n v="3601"/>
    <m/>
    <n v="0"/>
    <m/>
    <n v="0"/>
    <m/>
    <n v="0"/>
    <n v="5302681.0000000028"/>
    <n v="1423"/>
    <n v="3601"/>
    <n v="0"/>
    <n v="0"/>
    <n v="1423"/>
    <m/>
    <s v=""/>
    <n v="3601"/>
    <s v="2018 (triag)"/>
    <n v="1423"/>
    <n v="2022"/>
    <s v="Adjust"/>
    <n v="1829.9595044679122"/>
    <n v="3601"/>
    <s v="Decreasing"/>
    <m/>
    <m/>
    <m/>
    <m/>
    <n v="0"/>
    <n v="7.3649254068655994"/>
    <n v="3.451008092826839"/>
    <n v="6.7909044500319711"/>
  </r>
  <r>
    <x v="22"/>
    <x v="22"/>
    <n v="4331746.5"/>
    <x v="25"/>
    <n v="0"/>
    <n v="4427312.4999999991"/>
    <n v="806"/>
    <m/>
    <n v="0"/>
    <m/>
    <n v="0"/>
    <m/>
    <n v="0"/>
    <m/>
    <n v="0"/>
    <n v="4889391"/>
    <n v="892"/>
    <n v="927"/>
    <m/>
    <n v="767"/>
    <m/>
    <n v="872"/>
    <m/>
    <n v="795"/>
    <n v="5302681.0000000028"/>
    <n v="769"/>
    <n v="927"/>
    <n v="806"/>
    <n v="892"/>
    <n v="872"/>
    <n v="806"/>
    <n v="2013"/>
    <n v="927"/>
    <s v="2018 (triag)"/>
    <n v="769"/>
    <n v="2022"/>
    <s v="Adjust"/>
    <n v="988.92400487408611"/>
    <n v="988.92400487408611"/>
    <s v="Increasing"/>
    <m/>
    <m/>
    <m/>
    <m/>
    <n v="1.8205175261515878"/>
    <n v="1.8959416418118331"/>
    <n v="1.864950965132705"/>
    <n v="1.864950965132705"/>
  </r>
  <r>
    <x v="22"/>
    <x v="22"/>
    <n v="4331747.5"/>
    <x v="26"/>
    <n v="0"/>
    <n v="4427312.4999999991"/>
    <n v="806"/>
    <m/>
    <n v="0"/>
    <m/>
    <n v="0"/>
    <m/>
    <n v="0"/>
    <m/>
    <n v="0"/>
    <n v="4889391"/>
    <n v="892"/>
    <n v="927"/>
    <m/>
    <n v="767"/>
    <m/>
    <n v="872"/>
    <m/>
    <n v="795"/>
    <n v="5302681.0000000028"/>
    <n v="769"/>
    <n v="927"/>
    <n v="806"/>
    <n v="892"/>
    <n v="872"/>
    <n v="806"/>
    <n v="2013"/>
    <n v="927"/>
    <s v="2018 (triag)"/>
    <n v="769"/>
    <n v="2022"/>
    <s v="Adjust"/>
    <n v="988.92400487408611"/>
    <n v="988.92400487408611"/>
    <s v="Increasing"/>
    <m/>
    <m/>
    <m/>
    <m/>
    <n v="1.8205175261515878"/>
    <n v="1.8959416418118331"/>
    <n v="1.864950965132705"/>
    <n v="1.864950965132705"/>
  </r>
  <r>
    <x v="22"/>
    <x v="22"/>
    <n v="4331748.5"/>
    <x v="27"/>
    <n v="0"/>
    <n v="4427312.4999999991"/>
    <n v="0"/>
    <m/>
    <n v="0"/>
    <m/>
    <n v="0"/>
    <m/>
    <n v="0"/>
    <m/>
    <n v="0"/>
    <n v="4889391"/>
    <n v="0"/>
    <n v="0"/>
    <m/>
    <n v="0"/>
    <m/>
    <n v="0"/>
    <m/>
    <n v="0"/>
    <n v="5302681.0000000028"/>
    <n v="0"/>
    <n v="0"/>
    <n v="0"/>
    <n v="0"/>
    <n v="0"/>
    <m/>
    <s v=""/>
    <m/>
    <s v=""/>
    <n v="0"/>
    <s v=""/>
    <s v=""/>
    <m/>
    <n v="0"/>
    <s v="No change"/>
    <m/>
    <m/>
    <m/>
    <m/>
    <n v="0"/>
    <n v="0"/>
    <n v="0"/>
    <n v="0"/>
  </r>
  <r>
    <x v="22"/>
    <x v="22"/>
    <n v="4331749.5"/>
    <x v="28"/>
    <n v="0"/>
    <n v="4427312.4999999991"/>
    <n v="0"/>
    <m/>
    <n v="0"/>
    <m/>
    <n v="0"/>
    <m/>
    <n v="0"/>
    <m/>
    <n v="0"/>
    <n v="4889391"/>
    <n v="93"/>
    <n v="109"/>
    <m/>
    <n v="54"/>
    <m/>
    <n v="127"/>
    <m/>
    <n v="124"/>
    <n v="5302681.0000000028"/>
    <n v="170"/>
    <n v="109"/>
    <n v="0"/>
    <n v="93"/>
    <n v="170"/>
    <m/>
    <s v=""/>
    <n v="109"/>
    <s v="2018 (triag)"/>
    <n v="170"/>
    <n v="2022"/>
    <s v=""/>
    <n v="170"/>
    <n v="170"/>
    <s v="Increasing"/>
    <m/>
    <m/>
    <m/>
    <m/>
    <n v="0"/>
    <n v="0.22293164936083043"/>
    <n v="0.32059254554441408"/>
    <n v="0.32059254554441408"/>
  </r>
  <r>
    <x v="22"/>
    <x v="22"/>
    <n v="4331750.5"/>
    <x v="29"/>
    <n v="0"/>
    <n v="4427312.4999999991"/>
    <n v="0"/>
    <m/>
    <n v="0"/>
    <m/>
    <n v="0"/>
    <m/>
    <n v="0"/>
    <m/>
    <n v="0"/>
    <n v="4889391"/>
    <n v="0"/>
    <n v="962"/>
    <m/>
    <n v="201"/>
    <m/>
    <n v="486"/>
    <m/>
    <n v="472"/>
    <n v="5302681.0000000028"/>
    <n v="447"/>
    <n v="962"/>
    <n v="0"/>
    <n v="201"/>
    <n v="486"/>
    <m/>
    <s v=""/>
    <n v="962"/>
    <s v="2018 (triag)"/>
    <n v="447"/>
    <n v="2022"/>
    <s v="Adjust"/>
    <n v="574.83619008935818"/>
    <n v="962"/>
    <s v="Decreasing"/>
    <m/>
    <m/>
    <m/>
    <m/>
    <n v="0"/>
    <n v="1.9675251989460447"/>
    <n v="1.0840482203047062"/>
    <n v="1.8141766400807431"/>
  </r>
  <r>
    <x v="22"/>
    <x v="22"/>
    <n v="4331751.5"/>
    <x v="30"/>
    <n v="0"/>
    <n v="4427312.4999999991"/>
    <n v="0"/>
    <m/>
    <n v="0"/>
    <m/>
    <n v="0"/>
    <m/>
    <n v="0"/>
    <m/>
    <n v="0"/>
    <n v="4889391"/>
    <n v="3"/>
    <n v="14"/>
    <m/>
    <n v="4"/>
    <m/>
    <n v="6"/>
    <m/>
    <n v="6"/>
    <n v="5302681.0000000028"/>
    <n v="6"/>
    <n v="14"/>
    <n v="0"/>
    <n v="4"/>
    <n v="6"/>
    <m/>
    <s v=""/>
    <n v="14"/>
    <s v="2018 (triag)"/>
    <n v="6"/>
    <n v="2020"/>
    <s v="Adjust"/>
    <n v="7.715922014622258"/>
    <n v="14"/>
    <s v="Decreasing"/>
    <m/>
    <m/>
    <m/>
    <m/>
    <n v="0"/>
    <n v="2.8633422853684642E-2"/>
    <n v="1.4550982822881961E-2"/>
    <n v="2.6401739044834099E-2"/>
  </r>
  <r>
    <x v="22"/>
    <x v="22"/>
    <n v="4331752.5"/>
    <x v="31"/>
    <n v="0"/>
    <n v="4427312.4999999991"/>
    <n v="0"/>
    <m/>
    <n v="0"/>
    <m/>
    <n v="0"/>
    <m/>
    <n v="0"/>
    <m/>
    <n v="0"/>
    <n v="4889391"/>
    <n v="0"/>
    <n v="10"/>
    <m/>
    <n v="0"/>
    <m/>
    <n v="0"/>
    <m/>
    <n v="0"/>
    <n v="5302681.0000000028"/>
    <n v="0"/>
    <n v="10"/>
    <n v="0"/>
    <n v="0"/>
    <n v="0"/>
    <m/>
    <s v=""/>
    <n v="10"/>
    <s v="2018 (triag)"/>
    <n v="10"/>
    <s v="2018 (triag)"/>
    <s v=""/>
    <n v="10"/>
    <n v="10"/>
    <s v="No change"/>
    <m/>
    <m/>
    <m/>
    <m/>
    <n v="0"/>
    <n v="2.045244489548903E-2"/>
    <n v="1.8858385032024357E-2"/>
    <n v="1.8858385032024357E-2"/>
  </r>
  <r>
    <x v="22"/>
    <x v="22"/>
    <n v="4331753.5"/>
    <x v="32"/>
    <n v="0"/>
    <n v="4427312.4999999991"/>
    <n v="0"/>
    <m/>
    <n v="0"/>
    <m/>
    <n v="0"/>
    <m/>
    <n v="0"/>
    <m/>
    <n v="0"/>
    <n v="4889391"/>
    <n v="0"/>
    <n v="0"/>
    <m/>
    <n v="0"/>
    <m/>
    <n v="0"/>
    <m/>
    <n v="0"/>
    <n v="5302681.0000000028"/>
    <n v="0"/>
    <n v="0"/>
    <n v="0"/>
    <n v="0"/>
    <n v="0"/>
    <m/>
    <s v=""/>
    <m/>
    <s v=""/>
    <n v="0"/>
    <s v=""/>
    <s v=""/>
    <m/>
    <n v="0"/>
    <s v="No change"/>
    <m/>
    <m/>
    <m/>
    <m/>
    <n v="0"/>
    <n v="0"/>
    <n v="0"/>
    <n v="0"/>
  </r>
  <r>
    <x v="23"/>
    <x v="23"/>
    <n v="2054717.9999999998"/>
    <x v="19"/>
    <n v="0"/>
    <n v="2073938.4999999998"/>
    <n v="0"/>
    <n v="2095242.4999999993"/>
    <n v="0"/>
    <n v="2118520.5000000019"/>
    <n v="0"/>
    <n v="2143872.0000000023"/>
    <n v="0"/>
    <n v="2170616.9999999995"/>
    <n v="0"/>
    <n v="2198017"/>
    <n v="998"/>
    <n v="998"/>
    <n v="2225701.4999999995"/>
    <n v="0"/>
    <n v="2254100.0000000005"/>
    <n v="0"/>
    <n v="2281454.5000000014"/>
    <n v="420"/>
    <n v="2305825.5000000019"/>
    <n v="420"/>
    <n v="998"/>
    <n v="0"/>
    <n v="998"/>
    <n v="420"/>
    <m/>
    <s v=""/>
    <n v="998"/>
    <n v="2018"/>
    <n v="420"/>
    <n v="2022"/>
    <s v="Adjust"/>
    <n v="536.60977859778598"/>
    <n v="998"/>
    <s v="Decreasing"/>
    <m/>
    <m/>
    <m/>
    <m/>
    <n v="0"/>
    <n v="4.5404562385095293"/>
    <n v="2.3271916222532258"/>
    <n v="4.3281679381202052"/>
  </r>
  <r>
    <x v="23"/>
    <x v="23"/>
    <n v="2054719"/>
    <x v="20"/>
    <n v="0"/>
    <n v="2073938.4999999998"/>
    <n v="0"/>
    <m/>
    <n v="0"/>
    <m/>
    <n v="0"/>
    <m/>
    <n v="0"/>
    <m/>
    <n v="0"/>
    <n v="2198017"/>
    <n v="815"/>
    <n v="815"/>
    <m/>
    <n v="0"/>
    <m/>
    <n v="0"/>
    <m/>
    <n v="0"/>
    <n v="2305825.5000000019"/>
    <n v="281"/>
    <n v="815"/>
    <n v="0"/>
    <n v="815"/>
    <n v="281"/>
    <m/>
    <s v=""/>
    <n v="815"/>
    <n v="2018"/>
    <n v="281"/>
    <n v="2022"/>
    <s v="Adjust"/>
    <n v="359.01749472851873"/>
    <n v="815"/>
    <s v="Decreasing"/>
    <m/>
    <m/>
    <m/>
    <m/>
    <n v="0"/>
    <n v="3.7078876096044753"/>
    <n v="1.5570020139360869"/>
    <n v="3.5345259214107889"/>
  </r>
  <r>
    <x v="23"/>
    <x v="23"/>
    <n v="2054720"/>
    <x v="21"/>
    <n v="0"/>
    <n v="2073938.4999999998"/>
    <n v="0"/>
    <m/>
    <n v="0"/>
    <m/>
    <n v="0"/>
    <m/>
    <n v="0"/>
    <m/>
    <n v="0"/>
    <n v="2198017"/>
    <n v="183"/>
    <n v="183"/>
    <m/>
    <n v="0"/>
    <m/>
    <n v="0"/>
    <m/>
    <n v="0"/>
    <n v="2305825.5000000019"/>
    <n v="66"/>
    <n v="183"/>
    <n v="0"/>
    <n v="183"/>
    <n v="66"/>
    <m/>
    <s v=""/>
    <n v="183"/>
    <n v="2018"/>
    <n v="66"/>
    <n v="2022"/>
    <s v="Adjust"/>
    <n v="84.324393779652084"/>
    <n v="183"/>
    <s v="Decreasing"/>
    <m/>
    <m/>
    <m/>
    <m/>
    <n v="0"/>
    <n v="0.83256862890505401"/>
    <n v="0.36570154063979265"/>
    <n v="0.79364201670941648"/>
  </r>
  <r>
    <x v="23"/>
    <x v="23"/>
    <n v="2054721"/>
    <x v="22"/>
    <n v="0"/>
    <n v="2073938.4999999998"/>
    <n v="0"/>
    <m/>
    <n v="0"/>
    <m/>
    <n v="0"/>
    <m/>
    <n v="0"/>
    <m/>
    <n v="0"/>
    <n v="2198017"/>
    <n v="6866"/>
    <n v="6866"/>
    <m/>
    <n v="0"/>
    <m/>
    <n v="0"/>
    <m/>
    <n v="0"/>
    <n v="2305825.5000000019"/>
    <n v="967"/>
    <n v="967"/>
    <n v="0"/>
    <n v="6866"/>
    <n v="967"/>
    <m/>
    <s v=""/>
    <n v="6866"/>
    <n v="2018"/>
    <n v="967"/>
    <n v="2022"/>
    <s v="Adjust"/>
    <n v="1235.4801331049025"/>
    <n v="6866"/>
    <s v="Decreasing"/>
    <m/>
    <m/>
    <m/>
    <m/>
    <n v="0"/>
    <n v="31.237247027661752"/>
    <n v="5.358081663616356"/>
    <n v="29.776754572277888"/>
  </r>
  <r>
    <x v="23"/>
    <x v="23"/>
    <n v="2054722"/>
    <x v="23"/>
    <n v="0"/>
    <n v="2073938.4999999998"/>
    <n v="0"/>
    <m/>
    <n v="0"/>
    <m/>
    <n v="0"/>
    <m/>
    <n v="0"/>
    <m/>
    <n v="0"/>
    <n v="2198017"/>
    <n v="4686"/>
    <n v="4686"/>
    <m/>
    <n v="0"/>
    <m/>
    <n v="0"/>
    <m/>
    <n v="0"/>
    <n v="2305825.5000000019"/>
    <n v="0"/>
    <n v="0"/>
    <n v="0"/>
    <n v="4686"/>
    <n v="0"/>
    <m/>
    <s v=""/>
    <n v="4686"/>
    <n v="2018"/>
    <n v="4686"/>
    <n v="2018"/>
    <s v=""/>
    <n v="4686"/>
    <n v="4686"/>
    <s v="No change"/>
    <m/>
    <m/>
    <m/>
    <m/>
    <n v="0"/>
    <n v="21.319216366388432"/>
    <n v="20.322439837706696"/>
    <n v="20.322439837706696"/>
  </r>
  <r>
    <x v="23"/>
    <x v="23"/>
    <n v="2054723"/>
    <x v="24"/>
    <n v="0"/>
    <n v="2073938.4999999998"/>
    <n v="0"/>
    <m/>
    <n v="0"/>
    <m/>
    <n v="0"/>
    <m/>
    <n v="0"/>
    <m/>
    <n v="0"/>
    <n v="2198017"/>
    <n v="2180"/>
    <n v="2180"/>
    <m/>
    <n v="0"/>
    <m/>
    <n v="0"/>
    <m/>
    <n v="0"/>
    <n v="2305825.5000000019"/>
    <n v="0"/>
    <n v="967"/>
    <n v="0"/>
    <n v="2180"/>
    <n v="0"/>
    <m/>
    <s v=""/>
    <n v="2180"/>
    <n v="2018"/>
    <n v="2180"/>
    <n v="2018"/>
    <s v=""/>
    <n v="2180"/>
    <n v="2180"/>
    <s v="No change"/>
    <m/>
    <m/>
    <m/>
    <m/>
    <n v="0"/>
    <n v="9.9180306612733204"/>
    <n v="9.4543147345711898"/>
    <n v="9.4543147345711898"/>
  </r>
  <r>
    <x v="23"/>
    <x v="23"/>
    <n v="2054724"/>
    <x v="25"/>
    <n v="0"/>
    <n v="2073938.4999999998"/>
    <n v="0"/>
    <m/>
    <n v="0"/>
    <m/>
    <n v="0"/>
    <m/>
    <n v="0"/>
    <m/>
    <n v="0"/>
    <n v="2198017"/>
    <n v="0"/>
    <n v="2779"/>
    <m/>
    <n v="0"/>
    <m/>
    <n v="0"/>
    <m/>
    <n v="0"/>
    <n v="2305825.5000000019"/>
    <n v="2779"/>
    <n v="2779"/>
    <n v="0"/>
    <n v="0"/>
    <n v="2779"/>
    <m/>
    <s v=""/>
    <n v="2779"/>
    <s v="2018 (triag)"/>
    <n v="2779"/>
    <n v="2022"/>
    <s v=""/>
    <n v="2779"/>
    <n v="2779"/>
    <s v="No change"/>
    <m/>
    <m/>
    <m/>
    <m/>
    <n v="0"/>
    <n v="12.64321431544888"/>
    <n v="12.052082865767586"/>
    <n v="12.052082865767586"/>
  </r>
  <r>
    <x v="23"/>
    <x v="23"/>
    <n v="2054725"/>
    <x v="26"/>
    <n v="0"/>
    <n v="2073938.4999999998"/>
    <n v="0"/>
    <m/>
    <n v="0"/>
    <m/>
    <n v="0"/>
    <m/>
    <n v="0"/>
    <m/>
    <n v="0"/>
    <n v="2198017"/>
    <n v="0"/>
    <n v="2779"/>
    <m/>
    <n v="0"/>
    <m/>
    <n v="0"/>
    <m/>
    <n v="0"/>
    <n v="2305825.5000000019"/>
    <n v="0"/>
    <n v="2779"/>
    <n v="0"/>
    <n v="0"/>
    <n v="0"/>
    <m/>
    <s v=""/>
    <n v="2779"/>
    <s v="2018 (triag)"/>
    <n v="2779"/>
    <s v="2018 (triag)"/>
    <s v=""/>
    <n v="2779"/>
    <n v="2779"/>
    <s v="No change"/>
    <m/>
    <m/>
    <m/>
    <m/>
    <n v="0"/>
    <n v="12.64321431544888"/>
    <n v="12.052082865767586"/>
    <n v="12.052082865767586"/>
  </r>
  <r>
    <x v="23"/>
    <x v="23"/>
    <n v="2054726"/>
    <x v="27"/>
    <n v="0"/>
    <n v="2073938.4999999998"/>
    <n v="0"/>
    <m/>
    <n v="0"/>
    <m/>
    <n v="0"/>
    <m/>
    <n v="0"/>
    <m/>
    <n v="0"/>
    <n v="2198017"/>
    <n v="0"/>
    <n v="0"/>
    <m/>
    <n v="0"/>
    <m/>
    <n v="0"/>
    <m/>
    <n v="0"/>
    <n v="2305825.5000000019"/>
    <n v="0"/>
    <n v="0"/>
    <n v="0"/>
    <n v="0"/>
    <n v="0"/>
    <m/>
    <s v=""/>
    <m/>
    <s v=""/>
    <n v="0"/>
    <s v=""/>
    <s v=""/>
    <m/>
    <n v="0"/>
    <s v="No change"/>
    <m/>
    <m/>
    <m/>
    <m/>
    <n v="0"/>
    <n v="0"/>
    <n v="0"/>
    <n v="0"/>
  </r>
  <r>
    <x v="23"/>
    <x v="23"/>
    <n v="2054727"/>
    <x v="28"/>
    <n v="0"/>
    <n v="2073938.4999999998"/>
    <n v="0"/>
    <m/>
    <n v="0"/>
    <m/>
    <n v="0"/>
    <m/>
    <n v="0"/>
    <m/>
    <n v="0"/>
    <n v="2198017"/>
    <n v="398"/>
    <n v="398"/>
    <m/>
    <n v="0"/>
    <m/>
    <n v="0"/>
    <m/>
    <n v="0"/>
    <n v="2305825.5000000019"/>
    <n v="201"/>
    <n v="97"/>
    <n v="0"/>
    <n v="398"/>
    <n v="201"/>
    <m/>
    <s v=""/>
    <n v="398"/>
    <n v="2018"/>
    <n v="201"/>
    <n v="2022"/>
    <s v="Adjust"/>
    <n v="256.80610832894047"/>
    <n v="398"/>
    <s v="Decreasing"/>
    <m/>
    <m/>
    <m/>
    <m/>
    <n v="0"/>
    <n v="1.8107230289847622"/>
    <n v="1.1137274192211868"/>
    <n v="1.7260629653024466"/>
  </r>
  <r>
    <x v="23"/>
    <x v="23"/>
    <n v="2054728"/>
    <x v="29"/>
    <n v="0"/>
    <n v="2073938.4999999998"/>
    <n v="0"/>
    <m/>
    <n v="0"/>
    <m/>
    <n v="0"/>
    <m/>
    <n v="0"/>
    <m/>
    <n v="0"/>
    <n v="2198017"/>
    <n v="0"/>
    <n v="301"/>
    <m/>
    <n v="0"/>
    <m/>
    <n v="0"/>
    <m/>
    <n v="0"/>
    <n v="2305825.5000000019"/>
    <n v="347"/>
    <n v="301"/>
    <n v="0"/>
    <n v="0"/>
    <n v="347"/>
    <m/>
    <s v=""/>
    <n v="301"/>
    <s v="2018 (triag)"/>
    <n v="347"/>
    <n v="2022"/>
    <s v=""/>
    <n v="347"/>
    <n v="347"/>
    <s v="Increasing"/>
    <m/>
    <m/>
    <m/>
    <m/>
    <n v="0"/>
    <n v="1.3694161601115915"/>
    <n v="1.5048840426129373"/>
    <n v="1.5048840426129373"/>
  </r>
  <r>
    <x v="23"/>
    <x v="23"/>
    <n v="2054729"/>
    <x v="30"/>
    <n v="0"/>
    <n v="2073938.4999999998"/>
    <n v="0"/>
    <m/>
    <n v="0"/>
    <m/>
    <n v="0"/>
    <m/>
    <n v="0"/>
    <m/>
    <n v="0"/>
    <n v="2198017"/>
    <n v="159"/>
    <n v="159"/>
    <m/>
    <n v="37"/>
    <m/>
    <n v="0"/>
    <m/>
    <n v="0"/>
    <n v="2305825.5000000019"/>
    <n v="66"/>
    <n v="39"/>
    <n v="0"/>
    <n v="159"/>
    <n v="66"/>
    <m/>
    <s v=""/>
    <n v="159"/>
    <n v="2018"/>
    <n v="66"/>
    <n v="2022"/>
    <s v="Adjust"/>
    <n v="84.324393779652084"/>
    <n v="159"/>
    <s v="Decreasing"/>
    <m/>
    <m/>
    <m/>
    <m/>
    <n v="0"/>
    <n v="0.7233793005240633"/>
    <n v="0.36570154063979265"/>
    <n v="0.68955781779670611"/>
  </r>
  <r>
    <x v="23"/>
    <x v="23"/>
    <n v="2054730"/>
    <x v="31"/>
    <n v="0"/>
    <n v="2073938.4999999998"/>
    <n v="0"/>
    <m/>
    <n v="0"/>
    <m/>
    <n v="0"/>
    <m/>
    <n v="0"/>
    <m/>
    <n v="0"/>
    <n v="2198017"/>
    <n v="0"/>
    <n v="120"/>
    <m/>
    <n v="47"/>
    <m/>
    <n v="0"/>
    <m/>
    <n v="0"/>
    <n v="2305825.5000000019"/>
    <n v="49"/>
    <n v="120"/>
    <n v="0"/>
    <n v="47"/>
    <n v="49"/>
    <m/>
    <s v=""/>
    <n v="120"/>
    <s v="2018 (triag)"/>
    <n v="49"/>
    <n v="2022"/>
    <s v="Adjust"/>
    <n v="62.6044741697417"/>
    <n v="120"/>
    <s v="Decreasing"/>
    <m/>
    <m/>
    <m/>
    <m/>
    <n v="0"/>
    <n v="0.54594664190495346"/>
    <n v="0.27150568926287633"/>
    <n v="0.52042099456355173"/>
  </r>
  <r>
    <x v="23"/>
    <x v="23"/>
    <n v="2054731"/>
    <x v="32"/>
    <n v="0"/>
    <n v="2073938.4999999998"/>
    <n v="0"/>
    <m/>
    <n v="0"/>
    <m/>
    <n v="0"/>
    <m/>
    <n v="0"/>
    <m/>
    <n v="0"/>
    <n v="2198017"/>
    <n v="0"/>
    <n v="0"/>
    <m/>
    <n v="0"/>
    <m/>
    <n v="0"/>
    <m/>
    <n v="0"/>
    <n v="2305825.5000000019"/>
    <n v="0"/>
    <n v="0"/>
    <n v="0"/>
    <n v="0"/>
    <n v="0"/>
    <m/>
    <s v=""/>
    <m/>
    <s v=""/>
    <n v="0"/>
    <s v=""/>
    <s v=""/>
    <m/>
    <n v="0"/>
    <s v="No change"/>
    <m/>
    <m/>
    <m/>
    <m/>
    <n v="0"/>
    <n v="0"/>
    <n v="0"/>
    <n v="0"/>
  </r>
  <r>
    <x v="24"/>
    <x v="24"/>
    <n v="22966240"/>
    <x v="19"/>
    <n v="3188"/>
    <n v="23588073.5"/>
    <n v="3523"/>
    <n v="24215975.500000019"/>
    <n v="4275"/>
    <n v="24850912.500000015"/>
    <n v="0"/>
    <n v="25501940.499999996"/>
    <n v="0"/>
    <n v="26169542.000000015"/>
    <n v="0"/>
    <n v="26846541"/>
    <n v="0"/>
    <n v="5230"/>
    <n v="27533134.000000015"/>
    <n v="0"/>
    <n v="28225176.500000007"/>
    <n v="0"/>
    <n v="28915652.500000004"/>
    <n v="0"/>
    <n v="29611714.000000004"/>
    <n v="0"/>
    <n v="5230"/>
    <n v="4275"/>
    <n v="0"/>
    <n v="0"/>
    <n v="3523"/>
    <n v="2013"/>
    <n v="5230"/>
    <s v="2018 (triag)"/>
    <n v="5230"/>
    <s v="2018 (triag)"/>
    <s v=""/>
    <n v="5230"/>
    <n v="5230"/>
    <s v="No change"/>
    <m/>
    <m/>
    <m/>
    <m/>
    <n v="1.4935513915538714"/>
    <n v="1.9481094417340394"/>
    <n v="1.766192932972404"/>
    <n v="1.766192932972404"/>
  </r>
  <r>
    <x v="24"/>
    <x v="24"/>
    <n v="22966241"/>
    <x v="20"/>
    <n v="0"/>
    <n v="23588073.5"/>
    <n v="3028"/>
    <m/>
    <n v="0"/>
    <m/>
    <n v="0"/>
    <m/>
    <n v="0"/>
    <m/>
    <n v="0"/>
    <n v="26846541"/>
    <n v="0"/>
    <n v="4593"/>
    <m/>
    <n v="0"/>
    <m/>
    <n v="0"/>
    <m/>
    <n v="0"/>
    <n v="29611714.000000004"/>
    <n v="0"/>
    <n v="4593"/>
    <n v="3028"/>
    <n v="0"/>
    <n v="0"/>
    <n v="3028"/>
    <n v="2013"/>
    <n v="4593"/>
    <s v="2018 (triag)"/>
    <n v="4593"/>
    <s v="2018 (triag)"/>
    <s v=""/>
    <n v="4593"/>
    <n v="4593"/>
    <s v="No change"/>
    <m/>
    <m/>
    <m/>
    <m/>
    <n v="1.2836995780939888"/>
    <n v="1.7108349265553429"/>
    <n v="1.5510753615950768"/>
    <n v="1.5510753615950768"/>
  </r>
  <r>
    <x v="24"/>
    <x v="24"/>
    <n v="22966242"/>
    <x v="21"/>
    <n v="0"/>
    <n v="23588073.5"/>
    <n v="495"/>
    <m/>
    <n v="0"/>
    <m/>
    <n v="0"/>
    <m/>
    <n v="0"/>
    <m/>
    <n v="0"/>
    <n v="26846541"/>
    <n v="0"/>
    <n v="637"/>
    <m/>
    <n v="0"/>
    <m/>
    <n v="0"/>
    <m/>
    <n v="0"/>
    <n v="29611714.000000004"/>
    <n v="0"/>
    <n v="637"/>
    <n v="495"/>
    <n v="0"/>
    <n v="0"/>
    <n v="495"/>
    <n v="2013"/>
    <n v="637"/>
    <s v="2018 (triag)"/>
    <n v="637"/>
    <s v="2018 (triag)"/>
    <s v=""/>
    <n v="637"/>
    <n v="637"/>
    <s v="No change"/>
    <m/>
    <m/>
    <m/>
    <m/>
    <n v="0.2098518134598826"/>
    <n v="0.23727451517869658"/>
    <n v="0.2151175713773272"/>
    <n v="0.2151175713773272"/>
  </r>
  <r>
    <x v="24"/>
    <x v="24"/>
    <n v="22966243"/>
    <x v="22"/>
    <n v="3383"/>
    <n v="23588073.5"/>
    <n v="3438"/>
    <m/>
    <n v="0"/>
    <m/>
    <n v="0"/>
    <m/>
    <n v="0"/>
    <m/>
    <n v="0"/>
    <n v="26846541"/>
    <n v="3833"/>
    <n v="4560"/>
    <m/>
    <n v="0"/>
    <m/>
    <n v="0"/>
    <m/>
    <n v="0"/>
    <n v="29611714.000000004"/>
    <n v="0"/>
    <n v="4560"/>
    <n v="3438"/>
    <n v="3833"/>
    <n v="0"/>
    <n v="3438"/>
    <n v="2013"/>
    <n v="4560"/>
    <s v="2018 (triag)"/>
    <n v="4560"/>
    <s v="2018 (triag)"/>
    <s v=""/>
    <n v="4560"/>
    <n v="4560"/>
    <s v="No change"/>
    <m/>
    <m/>
    <m/>
    <m/>
    <n v="1.4575162316668209"/>
    <n v="1.6985428402117055"/>
    <n v="1.5399311232034727"/>
    <n v="1.5399311232034727"/>
  </r>
  <r>
    <x v="24"/>
    <x v="24"/>
    <n v="22966244"/>
    <x v="23"/>
    <n v="0"/>
    <n v="23588073.5"/>
    <n v="0"/>
    <m/>
    <n v="0"/>
    <m/>
    <n v="0"/>
    <m/>
    <n v="0"/>
    <m/>
    <n v="0"/>
    <n v="26846541"/>
    <n v="3833"/>
    <n v="4560"/>
    <m/>
    <n v="0"/>
    <m/>
    <n v="0"/>
    <m/>
    <n v="0"/>
    <n v="29611714.000000004"/>
    <n v="0"/>
    <n v="4560"/>
    <n v="0"/>
    <n v="3833"/>
    <n v="0"/>
    <m/>
    <s v=""/>
    <n v="4560"/>
    <s v="2018 (triag)"/>
    <n v="4560"/>
    <s v="2018 (triag)"/>
    <s v=""/>
    <n v="4560"/>
    <n v="4560"/>
    <s v="No change"/>
    <m/>
    <m/>
    <m/>
    <m/>
    <n v="0"/>
    <n v="1.6985428402117055"/>
    <n v="1.5399311232034727"/>
    <n v="1.5399311232034727"/>
  </r>
  <r>
    <x v="24"/>
    <x v="24"/>
    <n v="22966245"/>
    <x v="24"/>
    <n v="0"/>
    <n v="23588073.5"/>
    <n v="0"/>
    <m/>
    <n v="0"/>
    <m/>
    <n v="0"/>
    <m/>
    <n v="0"/>
    <m/>
    <n v="0"/>
    <n v="26846541"/>
    <n v="0"/>
    <n v="0"/>
    <m/>
    <n v="0"/>
    <m/>
    <n v="0"/>
    <m/>
    <n v="0"/>
    <n v="29611714.000000004"/>
    <n v="0"/>
    <n v="0"/>
    <n v="0"/>
    <n v="0"/>
    <n v="0"/>
    <m/>
    <s v=""/>
    <m/>
    <s v=""/>
    <n v="0"/>
    <s v=""/>
    <s v=""/>
    <m/>
    <n v="0"/>
    <s v="No change"/>
    <m/>
    <m/>
    <m/>
    <m/>
    <n v="0"/>
    <n v="0"/>
    <n v="0"/>
    <n v="0"/>
  </r>
  <r>
    <x v="24"/>
    <x v="24"/>
    <n v="22966246"/>
    <x v="25"/>
    <n v="1475"/>
    <n v="23588073.5"/>
    <n v="3400"/>
    <m/>
    <n v="0"/>
    <m/>
    <n v="0"/>
    <m/>
    <n v="1583"/>
    <m/>
    <n v="2931"/>
    <n v="26846541"/>
    <n v="3994"/>
    <n v="3994"/>
    <m/>
    <n v="0"/>
    <m/>
    <n v="0"/>
    <m/>
    <n v="0"/>
    <n v="29611714.000000004"/>
    <n v="0"/>
    <n v="3164"/>
    <n v="3400"/>
    <n v="3994"/>
    <n v="0"/>
    <n v="3400"/>
    <n v="2013"/>
    <n v="3994"/>
    <n v="2018"/>
    <n v="3994"/>
    <n v="2018"/>
    <s v=""/>
    <n v="3994"/>
    <n v="3994"/>
    <s v="No change"/>
    <m/>
    <m/>
    <m/>
    <m/>
    <n v="1.441406395482022"/>
    <n v="1.4877149350450771"/>
    <n v="1.3487905495777783"/>
    <n v="1.3487905495777783"/>
  </r>
  <r>
    <x v="24"/>
    <x v="24"/>
    <n v="22966247"/>
    <x v="26"/>
    <n v="0"/>
    <n v="23588073.5"/>
    <n v="3400"/>
    <m/>
    <n v="0"/>
    <m/>
    <n v="0"/>
    <m/>
    <n v="1583"/>
    <m/>
    <n v="2931"/>
    <n v="26846541"/>
    <n v="3994"/>
    <n v="3994"/>
    <m/>
    <n v="0"/>
    <m/>
    <n v="0"/>
    <m/>
    <n v="0"/>
    <n v="29611714.000000004"/>
    <n v="0"/>
    <n v="3164"/>
    <n v="3400"/>
    <n v="3994"/>
    <n v="0"/>
    <n v="3400"/>
    <n v="2013"/>
    <n v="3994"/>
    <n v="2018"/>
    <n v="3994"/>
    <n v="2018"/>
    <s v=""/>
    <n v="3994"/>
    <n v="3994"/>
    <s v="No change"/>
    <m/>
    <m/>
    <m/>
    <m/>
    <n v="1.441406395482022"/>
    <n v="1.4877149350450771"/>
    <n v="1.3487905495777783"/>
    <n v="1.3487905495777783"/>
  </r>
  <r>
    <x v="24"/>
    <x v="24"/>
    <n v="22966248"/>
    <x v="27"/>
    <n v="0"/>
    <n v="23588073.5"/>
    <n v="0"/>
    <m/>
    <n v="0"/>
    <m/>
    <n v="0"/>
    <m/>
    <n v="0"/>
    <m/>
    <n v="0"/>
    <n v="26846541"/>
    <n v="0"/>
    <n v="0"/>
    <m/>
    <n v="0"/>
    <m/>
    <n v="0"/>
    <m/>
    <n v="0"/>
    <n v="29611714.000000004"/>
    <n v="0"/>
    <n v="0"/>
    <n v="0"/>
    <n v="0"/>
    <n v="0"/>
    <m/>
    <s v=""/>
    <m/>
    <s v=""/>
    <n v="0"/>
    <s v=""/>
    <s v=""/>
    <m/>
    <n v="0"/>
    <s v="No change"/>
    <m/>
    <m/>
    <m/>
    <m/>
    <n v="0"/>
    <n v="0"/>
    <n v="0"/>
    <n v="0"/>
  </r>
  <r>
    <x v="24"/>
    <x v="24"/>
    <n v="22966249"/>
    <x v="28"/>
    <n v="6"/>
    <n v="23588073.5"/>
    <n v="17"/>
    <m/>
    <n v="0"/>
    <m/>
    <n v="0"/>
    <m/>
    <n v="4"/>
    <m/>
    <n v="0"/>
    <n v="26846541"/>
    <n v="27"/>
    <n v="319"/>
    <m/>
    <n v="0"/>
    <m/>
    <n v="0"/>
    <m/>
    <n v="0"/>
    <n v="29611714.000000004"/>
    <n v="27"/>
    <n v="319"/>
    <n v="17"/>
    <n v="27"/>
    <n v="27"/>
    <n v="17"/>
    <n v="2013"/>
    <n v="319"/>
    <s v="2018 (triag)"/>
    <n v="27"/>
    <n v="2022"/>
    <s v="Adjust"/>
    <n v="30.094339949726965"/>
    <n v="319"/>
    <s v="Decreasing"/>
    <m/>
    <m/>
    <m/>
    <m/>
    <n v="7.2070319774101095E-3"/>
    <n v="0.11882350132182765"/>
    <n v="1.0162984807203988E-2"/>
    <n v="0.10772763778550609"/>
  </r>
  <r>
    <x v="24"/>
    <x v="24"/>
    <n v="22966250"/>
    <x v="29"/>
    <n v="0"/>
    <n v="23588073.5"/>
    <n v="0"/>
    <m/>
    <n v="0"/>
    <m/>
    <n v="0"/>
    <m/>
    <n v="0"/>
    <m/>
    <n v="0"/>
    <n v="26846541"/>
    <n v="0"/>
    <n v="10"/>
    <m/>
    <n v="0"/>
    <m/>
    <n v="0"/>
    <m/>
    <n v="0"/>
    <n v="29611714.000000004"/>
    <n v="0"/>
    <n v="10"/>
    <n v="0"/>
    <n v="0"/>
    <n v="0"/>
    <m/>
    <s v=""/>
    <n v="10"/>
    <s v="2018 (triag)"/>
    <n v="10"/>
    <s v="2018 (triag)"/>
    <s v=""/>
    <n v="10"/>
    <n v="10"/>
    <s v="No change"/>
    <m/>
    <m/>
    <m/>
    <m/>
    <n v="0"/>
    <n v="3.7248746495870733E-3"/>
    <n v="3.3770419368497205E-3"/>
    <n v="3.3770419368497205E-3"/>
  </r>
  <r>
    <x v="24"/>
    <x v="24"/>
    <n v="22966251"/>
    <x v="30"/>
    <n v="181"/>
    <n v="23588073.5"/>
    <n v="111"/>
    <m/>
    <n v="0"/>
    <m/>
    <n v="0"/>
    <m/>
    <n v="0"/>
    <m/>
    <n v="0"/>
    <n v="26846541"/>
    <n v="225"/>
    <n v="372"/>
    <m/>
    <n v="0"/>
    <m/>
    <n v="0"/>
    <m/>
    <n v="0"/>
    <n v="29611714.000000004"/>
    <n v="225"/>
    <n v="372"/>
    <n v="181"/>
    <n v="225"/>
    <n v="225"/>
    <n v="111"/>
    <n v="2013"/>
    <n v="372"/>
    <s v="2018 (triag)"/>
    <n v="225"/>
    <n v="2022"/>
    <s v="Adjust"/>
    <n v="250.78616624772471"/>
    <n v="372"/>
    <s v="Decreasing"/>
    <m/>
    <m/>
    <m/>
    <m/>
    <n v="4.7057679381913069E-2"/>
    <n v="0.13856533696463913"/>
    <n v="8.4691540060033224E-2"/>
    <n v="0.12562596005080962"/>
  </r>
  <r>
    <x v="24"/>
    <x v="24"/>
    <n v="22966252"/>
    <x v="31"/>
    <n v="0"/>
    <n v="23588073.5"/>
    <n v="0"/>
    <m/>
    <n v="0"/>
    <m/>
    <n v="0"/>
    <m/>
    <n v="0"/>
    <m/>
    <n v="0"/>
    <n v="26846541"/>
    <n v="0"/>
    <n v="184"/>
    <m/>
    <n v="21"/>
    <m/>
    <n v="0"/>
    <m/>
    <n v="0"/>
    <n v="29611714.000000004"/>
    <n v="0"/>
    <n v="184"/>
    <n v="0"/>
    <n v="21"/>
    <n v="0"/>
    <m/>
    <s v=""/>
    <n v="184"/>
    <s v="2018 (triag)"/>
    <n v="21"/>
    <s v="2018 (triag)"/>
    <s v="Adjust"/>
    <n v="23.406708849787638"/>
    <n v="184"/>
    <s v="Decreasing"/>
    <m/>
    <m/>
    <m/>
    <m/>
    <n v="0"/>
    <n v="6.8537693552402149E-2"/>
    <n v="7.9045437389364329E-3"/>
    <n v="6.2137571638034857E-2"/>
  </r>
  <r>
    <x v="24"/>
    <x v="24"/>
    <n v="22966253"/>
    <x v="32"/>
    <n v="0"/>
    <n v="23588073.5"/>
    <n v="0"/>
    <m/>
    <n v="0"/>
    <m/>
    <n v="0"/>
    <m/>
    <n v="0"/>
    <m/>
    <n v="0"/>
    <n v="26846541"/>
    <n v="0"/>
    <n v="0"/>
    <m/>
    <n v="0"/>
    <m/>
    <n v="0"/>
    <m/>
    <n v="0"/>
    <n v="29611714.000000004"/>
    <n v="0"/>
    <n v="0"/>
    <n v="0"/>
    <n v="0"/>
    <n v="0"/>
    <m/>
    <s v=""/>
    <m/>
    <s v=""/>
    <n v="0"/>
    <s v=""/>
    <s v=""/>
    <m/>
    <n v="0"/>
    <s v="No change"/>
    <m/>
    <m/>
    <m/>
    <m/>
    <n v="0"/>
    <n v="0"/>
    <n v="0"/>
    <n v="0"/>
  </r>
  <r>
    <x v="25"/>
    <x v="25"/>
    <n v="16514686.999999991"/>
    <x v="19"/>
    <n v="1704"/>
    <n v="17004032.499999996"/>
    <n v="1971"/>
    <n v="17551814.000000004"/>
    <n v="1750"/>
    <n v="18112906.500000004"/>
    <n v="1750"/>
    <n v="18700106"/>
    <n v="2247"/>
    <n v="19311354.499999996"/>
    <n v="2247"/>
    <n v="19934298.000000004"/>
    <n v="2454"/>
    <n v="2866"/>
    <n v="20567423.999999989"/>
    <n v="0"/>
    <n v="21224040.000000004"/>
    <n v="0"/>
    <n v="21904982.999999996"/>
    <n v="0"/>
    <n v="22593590.500000022"/>
    <n v="4402"/>
    <n v="2866"/>
    <n v="1971"/>
    <n v="2454"/>
    <n v="4402"/>
    <n v="1971"/>
    <n v="2013"/>
    <n v="2866"/>
    <s v="2018 (triag)"/>
    <n v="4402"/>
    <n v="2022"/>
    <s v=""/>
    <n v="4402"/>
    <n v="4402"/>
    <s v="Increasing"/>
    <m/>
    <m/>
    <m/>
    <m/>
    <n v="1.1591368106359479"/>
    <n v="1.4377230640376699"/>
    <n v="1.9483401719615994"/>
    <n v="1.9483401719615994"/>
  </r>
  <r>
    <x v="25"/>
    <x v="25"/>
    <n v="16514688"/>
    <x v="20"/>
    <n v="0"/>
    <n v="17004032.499999996"/>
    <n v="0"/>
    <m/>
    <n v="0"/>
    <m/>
    <n v="0"/>
    <m/>
    <n v="0"/>
    <m/>
    <n v="0"/>
    <n v="19934298.000000004"/>
    <n v="1417"/>
    <n v="2151"/>
    <m/>
    <n v="0"/>
    <m/>
    <n v="0"/>
    <m/>
    <n v="0"/>
    <n v="22593590.500000022"/>
    <n v="3557"/>
    <n v="2151"/>
    <n v="0"/>
    <n v="1417"/>
    <n v="3557"/>
    <m/>
    <s v=""/>
    <n v="2151"/>
    <s v="2018 (triag)"/>
    <n v="3557"/>
    <n v="2022"/>
    <s v=""/>
    <n v="3557"/>
    <n v="3557"/>
    <s v="Increasing"/>
    <m/>
    <m/>
    <m/>
    <m/>
    <n v="0"/>
    <n v="1.0790447699738408"/>
    <n v="1.5743402979707879"/>
    <n v="1.5743402979707879"/>
  </r>
  <r>
    <x v="25"/>
    <x v="25"/>
    <n v="16514689"/>
    <x v="21"/>
    <n v="0"/>
    <n v="17004032.499999996"/>
    <n v="0"/>
    <m/>
    <n v="0"/>
    <m/>
    <n v="0"/>
    <m/>
    <n v="0"/>
    <m/>
    <n v="0"/>
    <n v="19934298.000000004"/>
    <n v="1037"/>
    <n v="1037"/>
    <m/>
    <n v="0"/>
    <m/>
    <n v="0"/>
    <m/>
    <n v="0"/>
    <n v="22593590.500000022"/>
    <n v="845"/>
    <n v="715"/>
    <n v="0"/>
    <n v="1037"/>
    <n v="845"/>
    <m/>
    <s v=""/>
    <n v="1037"/>
    <n v="2018"/>
    <n v="845"/>
    <n v="2022"/>
    <s v="Adjust"/>
    <n v="995.95103054567016"/>
    <n v="1037"/>
    <s v="Decreasing"/>
    <m/>
    <m/>
    <m/>
    <m/>
    <n v="0"/>
    <n v="0.52020893838348348"/>
    <n v="0.44081131352082759"/>
    <n v="0.45897972701594242"/>
  </r>
  <r>
    <x v="25"/>
    <x v="25"/>
    <n v="16514690"/>
    <x v="22"/>
    <n v="4257"/>
    <n v="17004032.499999996"/>
    <n v="0"/>
    <m/>
    <n v="0"/>
    <m/>
    <n v="0"/>
    <m/>
    <n v="4765"/>
    <m/>
    <n v="0"/>
    <n v="19934298.000000004"/>
    <n v="5174"/>
    <n v="5225"/>
    <m/>
    <n v="0"/>
    <m/>
    <n v="0"/>
    <m/>
    <n v="0"/>
    <n v="22593590.500000022"/>
    <n v="6327"/>
    <n v="5225"/>
    <n v="4257"/>
    <n v="5174"/>
    <n v="6327"/>
    <n v="4257"/>
    <n v="2012"/>
    <n v="5225"/>
    <s v="2018 (triag)"/>
    <n v="6327"/>
    <n v="2022"/>
    <s v=""/>
    <n v="6327"/>
    <n v="6327"/>
    <s v="Increasing"/>
    <m/>
    <m/>
    <m/>
    <m/>
    <n v="2.5035237964876864"/>
    <n v="2.621110610466443"/>
    <n v="2.800351719218773"/>
    <n v="2.800351719218773"/>
  </r>
  <r>
    <x v="25"/>
    <x v="25"/>
    <n v="16514691"/>
    <x v="23"/>
    <n v="0"/>
    <n v="17004032.499999996"/>
    <n v="0"/>
    <m/>
    <n v="0"/>
    <m/>
    <n v="0"/>
    <m/>
    <n v="4765"/>
    <m/>
    <n v="0"/>
    <n v="19934298.000000004"/>
    <n v="5174"/>
    <n v="5174"/>
    <m/>
    <n v="0"/>
    <m/>
    <n v="0"/>
    <m/>
    <n v="0"/>
    <n v="22593590.500000022"/>
    <n v="0"/>
    <n v="2255"/>
    <n v="0"/>
    <n v="5174"/>
    <n v="0"/>
    <m/>
    <s v=""/>
    <n v="5174"/>
    <n v="2018"/>
    <n v="5174"/>
    <n v="2018"/>
    <s v=""/>
    <n v="5174"/>
    <n v="5174"/>
    <s v="No change"/>
    <m/>
    <m/>
    <m/>
    <m/>
    <n v="0"/>
    <n v="2.5955265643164354"/>
    <n v="2.2900299976668137"/>
    <n v="2.2900299976668137"/>
  </r>
  <r>
    <x v="25"/>
    <x v="25"/>
    <n v="16514692"/>
    <x v="24"/>
    <n v="0"/>
    <n v="17004032.499999996"/>
    <n v="0"/>
    <m/>
    <n v="0"/>
    <m/>
    <n v="0"/>
    <m/>
    <n v="0"/>
    <m/>
    <n v="0"/>
    <n v="19934298.000000004"/>
    <n v="0"/>
    <n v="2970"/>
    <m/>
    <n v="0"/>
    <m/>
    <n v="0"/>
    <m/>
    <n v="0"/>
    <n v="22593590.500000022"/>
    <n v="6327"/>
    <n v="2970"/>
    <n v="0"/>
    <n v="0"/>
    <n v="6327"/>
    <m/>
    <s v=""/>
    <n v="2970"/>
    <s v="2018 (triag)"/>
    <n v="6327"/>
    <n v="2022"/>
    <s v=""/>
    <n v="6327"/>
    <n v="6327"/>
    <s v="Increasing"/>
    <m/>
    <m/>
    <m/>
    <m/>
    <n v="0"/>
    <n v="1.4898944522651358"/>
    <n v="2.800351719218773"/>
    <n v="2.800351719218773"/>
  </r>
  <r>
    <x v="25"/>
    <x v="25"/>
    <n v="16514693"/>
    <x v="25"/>
    <n v="1770"/>
    <n v="17004032.499999996"/>
    <n v="1961"/>
    <m/>
    <n v="0"/>
    <m/>
    <n v="0"/>
    <m/>
    <n v="2657"/>
    <m/>
    <n v="0"/>
    <n v="19934298.000000004"/>
    <n v="3235"/>
    <n v="3235"/>
    <m/>
    <n v="0"/>
    <m/>
    <n v="0"/>
    <m/>
    <n v="0"/>
    <n v="22593590.500000022"/>
    <n v="1629"/>
    <n v="3169"/>
    <n v="1961"/>
    <n v="3235"/>
    <n v="1629"/>
    <n v="1961"/>
    <n v="2013"/>
    <n v="3235"/>
    <n v="2018"/>
    <n v="1629"/>
    <n v="2022"/>
    <s v="Adjust"/>
    <n v="1920.0050044483985"/>
    <n v="3235"/>
    <s v="Decreasing"/>
    <m/>
    <m/>
    <m/>
    <m/>
    <n v="1.1532558526925896"/>
    <n v="1.6228311626524292"/>
    <n v="0.84980074523719307"/>
    <n v="1.4318220027932245"/>
  </r>
  <r>
    <x v="25"/>
    <x v="25"/>
    <n v="16514694"/>
    <x v="26"/>
    <n v="0"/>
    <n v="17004032.499999996"/>
    <n v="686"/>
    <m/>
    <n v="0"/>
    <m/>
    <n v="0"/>
    <m/>
    <n v="2657"/>
    <m/>
    <n v="0"/>
    <n v="19934298.000000004"/>
    <n v="3235"/>
    <n v="3235"/>
    <m/>
    <n v="0"/>
    <m/>
    <n v="0"/>
    <m/>
    <n v="0"/>
    <n v="22593590.500000022"/>
    <n v="1629"/>
    <n v="1527"/>
    <n v="686"/>
    <n v="3235"/>
    <n v="1629"/>
    <n v="686"/>
    <n v="2013"/>
    <n v="3235"/>
    <n v="2018"/>
    <n v="1629"/>
    <n v="2022"/>
    <s v="Adjust"/>
    <n v="1920.0050044483985"/>
    <n v="3235"/>
    <s v="Decreasing"/>
    <m/>
    <m/>
    <m/>
    <m/>
    <n v="0.40343371491438879"/>
    <n v="1.6228311626524292"/>
    <n v="0.84980074523719307"/>
    <n v="1.4318220027932245"/>
  </r>
  <r>
    <x v="25"/>
    <x v="25"/>
    <n v="16514695"/>
    <x v="27"/>
    <n v="0"/>
    <n v="17004032.499999996"/>
    <n v="1275"/>
    <m/>
    <n v="0"/>
    <m/>
    <n v="0"/>
    <m/>
    <n v="0"/>
    <m/>
    <n v="0"/>
    <n v="19934298.000000004"/>
    <n v="0"/>
    <n v="1642"/>
    <m/>
    <n v="0"/>
    <m/>
    <n v="0"/>
    <m/>
    <n v="0"/>
    <n v="22593590.500000022"/>
    <n v="0"/>
    <n v="1642"/>
    <n v="1275"/>
    <n v="0"/>
    <n v="0"/>
    <n v="1275"/>
    <n v="2013"/>
    <n v="1642"/>
    <s v="2018 (triag)"/>
    <n v="1642"/>
    <s v="2018 (triag)"/>
    <s v=""/>
    <n v="1642"/>
    <n v="1642"/>
    <s v="No change"/>
    <m/>
    <m/>
    <m/>
    <m/>
    <n v="0.74982213777820073"/>
    <n v="0.82370595643749267"/>
    <n v="0.72675478472533983"/>
    <n v="0.72675478472533983"/>
  </r>
  <r>
    <x v="25"/>
    <x v="25"/>
    <n v="16514696"/>
    <x v="28"/>
    <n v="0"/>
    <n v="17004032.499999996"/>
    <n v="0"/>
    <m/>
    <n v="0"/>
    <m/>
    <n v="0"/>
    <m/>
    <n v="194"/>
    <m/>
    <n v="0"/>
    <n v="19934298.000000004"/>
    <n v="182"/>
    <n v="1340"/>
    <m/>
    <n v="0"/>
    <m/>
    <n v="0"/>
    <m/>
    <n v="0"/>
    <n v="22593590.500000022"/>
    <n v="1721"/>
    <n v="1340"/>
    <n v="0"/>
    <n v="194"/>
    <n v="1721"/>
    <m/>
    <s v=""/>
    <n v="1340"/>
    <s v="2018 (triag)"/>
    <n v="1721"/>
    <n v="2022"/>
    <s v=""/>
    <n v="1721"/>
    <n v="1721"/>
    <s v="Increasing"/>
    <m/>
    <m/>
    <m/>
    <m/>
    <n v="0"/>
    <n v="0.67220827139235084"/>
    <n v="0.7617204534179719"/>
    <n v="0.7617204534179719"/>
  </r>
  <r>
    <x v="25"/>
    <x v="25"/>
    <n v="16514697"/>
    <x v="29"/>
    <n v="0"/>
    <n v="17004032.499999996"/>
    <n v="0"/>
    <m/>
    <n v="0"/>
    <m/>
    <n v="0"/>
    <m/>
    <n v="0"/>
    <m/>
    <n v="0"/>
    <n v="19934298.000000004"/>
    <n v="0"/>
    <n v="84"/>
    <m/>
    <n v="0"/>
    <m/>
    <n v="0"/>
    <m/>
    <n v="0"/>
    <n v="22593590.500000022"/>
    <n v="0"/>
    <n v="84"/>
    <n v="0"/>
    <n v="0"/>
    <n v="0"/>
    <m/>
    <s v=""/>
    <n v="84"/>
    <s v="2018 (triag)"/>
    <n v="84"/>
    <s v="2018 (triag)"/>
    <s v=""/>
    <n v="84"/>
    <n v="84"/>
    <s v="No change"/>
    <m/>
    <m/>
    <m/>
    <m/>
    <n v="0"/>
    <n v="4.213842895295334E-2"/>
    <n v="3.7178685698494855E-2"/>
    <n v="3.7178685698494855E-2"/>
  </r>
  <r>
    <x v="25"/>
    <x v="25"/>
    <n v="16514698"/>
    <x v="30"/>
    <n v="0"/>
    <n v="17004032.499999996"/>
    <n v="0"/>
    <m/>
    <n v="0"/>
    <m/>
    <n v="0"/>
    <m/>
    <n v="107"/>
    <m/>
    <n v="0"/>
    <n v="19934298.000000004"/>
    <n v="30"/>
    <n v="30"/>
    <m/>
    <n v="0"/>
    <m/>
    <n v="0"/>
    <m/>
    <n v="0"/>
    <n v="22593590.500000022"/>
    <n v="0"/>
    <n v="30"/>
    <n v="0"/>
    <n v="107"/>
    <n v="0"/>
    <m/>
    <s v=""/>
    <n v="30"/>
    <n v="2018"/>
    <n v="30"/>
    <n v="2018"/>
    <s v=""/>
    <n v="30"/>
    <n v="30"/>
    <s v="No change"/>
    <m/>
    <m/>
    <m/>
    <m/>
    <n v="0"/>
    <n v="1.5049438911769049E-2"/>
    <n v="1.3278102035176733E-2"/>
    <n v="1.3278102035176733E-2"/>
  </r>
  <r>
    <x v="25"/>
    <x v="25"/>
    <n v="16514699"/>
    <x v="31"/>
    <n v="0"/>
    <n v="17004032.499999996"/>
    <n v="0"/>
    <m/>
    <n v="0"/>
    <m/>
    <n v="0"/>
    <m/>
    <n v="0"/>
    <m/>
    <n v="53"/>
    <n v="19934298.000000004"/>
    <n v="53"/>
    <n v="53"/>
    <m/>
    <n v="0"/>
    <m/>
    <n v="0"/>
    <m/>
    <n v="0"/>
    <n v="22593590.500000022"/>
    <n v="0"/>
    <n v="0"/>
    <n v="0"/>
    <n v="53"/>
    <n v="0"/>
    <m/>
    <s v=""/>
    <n v="53"/>
    <n v="2017"/>
    <n v="53"/>
    <n v="2017"/>
    <s v=""/>
    <n v="53"/>
    <n v="53"/>
    <s v="No change"/>
    <m/>
    <m/>
    <m/>
    <m/>
    <n v="0"/>
    <n v="2.6587342077458654E-2"/>
    <n v="2.3457980262145562E-2"/>
    <n v="2.3457980262145562E-2"/>
  </r>
  <r>
    <x v="25"/>
    <x v="25"/>
    <n v="16514700"/>
    <x v="32"/>
    <n v="0"/>
    <n v="17004032.499999996"/>
    <n v="0"/>
    <m/>
    <n v="0"/>
    <m/>
    <n v="0"/>
    <m/>
    <n v="0"/>
    <m/>
    <n v="0"/>
    <n v="19934298.000000004"/>
    <n v="0"/>
    <n v="0"/>
    <m/>
    <n v="0"/>
    <m/>
    <n v="0"/>
    <m/>
    <n v="0"/>
    <n v="22593590.500000022"/>
    <n v="0"/>
    <n v="0"/>
    <n v="0"/>
    <n v="0"/>
    <n v="0"/>
    <m/>
    <s v=""/>
    <m/>
    <s v=""/>
    <n v="0"/>
    <s v=""/>
    <s v=""/>
    <m/>
    <n v="0"/>
    <s v="No change"/>
    <m/>
    <m/>
    <m/>
    <m/>
    <n v="0"/>
    <n v="0"/>
    <n v="0"/>
    <n v="0"/>
  </r>
  <r>
    <x v="26"/>
    <x v="26"/>
    <n v="24487610.999999996"/>
    <x v="19"/>
    <n v="1358"/>
    <n v="25251730.999999993"/>
    <n v="1452"/>
    <n v="26038704.499999993"/>
    <n v="0"/>
    <n v="26843245.5"/>
    <n v="0"/>
    <n v="27696492.499999989"/>
    <n v="0"/>
    <n v="28569441.000000015"/>
    <n v="2180"/>
    <n v="29423878.499999993"/>
    <n v="2473"/>
    <n v="2473"/>
    <n v="30285595.000000004"/>
    <n v="2570"/>
    <n v="31178238.999999996"/>
    <n v="2573"/>
    <n v="32077072.000000011"/>
    <n v="2611"/>
    <n v="32969518.500000007"/>
    <n v="5719"/>
    <n v="2180"/>
    <n v="1452"/>
    <n v="2570"/>
    <n v="5719"/>
    <n v="1452"/>
    <n v="2013"/>
    <n v="2473"/>
    <n v="2018"/>
    <n v="5719"/>
    <n v="2022"/>
    <s v=""/>
    <n v="5719"/>
    <n v="5719"/>
    <s v="Increasing"/>
    <m/>
    <m/>
    <m/>
    <m/>
    <n v="0.57501008544721166"/>
    <n v="0.84047383488210115"/>
    <n v="1.734632551579423"/>
    <n v="1.734632551579423"/>
  </r>
  <r>
    <x v="26"/>
    <x v="26"/>
    <n v="24487612"/>
    <x v="20"/>
    <n v="0"/>
    <n v="25251730.999999993"/>
    <n v="0"/>
    <m/>
    <n v="0"/>
    <m/>
    <n v="0"/>
    <m/>
    <n v="0"/>
    <m/>
    <n v="1555"/>
    <n v="29423878.499999993"/>
    <n v="1695"/>
    <n v="1695"/>
    <m/>
    <n v="1715"/>
    <m/>
    <n v="1655"/>
    <m/>
    <n v="1807"/>
    <n v="32969518.500000007"/>
    <n v="1933"/>
    <n v="1555"/>
    <n v="0"/>
    <n v="1715"/>
    <n v="1933"/>
    <m/>
    <s v=""/>
    <n v="1695"/>
    <n v="2018"/>
    <n v="1933"/>
    <n v="2022"/>
    <s v=""/>
    <n v="1933"/>
    <n v="1933"/>
    <s v="Increasing"/>
    <m/>
    <m/>
    <m/>
    <m/>
    <n v="0"/>
    <n v="0.57606273761632087"/>
    <n v="0.58629912960360631"/>
    <n v="0.58629912960360631"/>
  </r>
  <r>
    <x v="26"/>
    <x v="26"/>
    <n v="24487613"/>
    <x v="21"/>
    <n v="0"/>
    <n v="25251730.999999993"/>
    <n v="0"/>
    <m/>
    <n v="0"/>
    <m/>
    <n v="0"/>
    <m/>
    <n v="0"/>
    <m/>
    <n v="625"/>
    <n v="29423878.499999993"/>
    <n v="778"/>
    <n v="778"/>
    <m/>
    <n v="855"/>
    <m/>
    <n v="918"/>
    <m/>
    <n v="804"/>
    <n v="32969518.500000007"/>
    <n v="756"/>
    <n v="625"/>
    <n v="0"/>
    <n v="855"/>
    <n v="918"/>
    <m/>
    <s v=""/>
    <n v="778"/>
    <n v="2018"/>
    <n v="756"/>
    <n v="2022"/>
    <s v="Adjust"/>
    <n v="868.86977510623387"/>
    <n v="868.86977510623387"/>
    <s v="Increasing"/>
    <m/>
    <m/>
    <m/>
    <m/>
    <n v="0"/>
    <n v="0.26441109726578033"/>
    <n v="0.26353729585290536"/>
    <n v="0.26353729585290536"/>
  </r>
  <r>
    <x v="26"/>
    <x v="26"/>
    <n v="24487614"/>
    <x v="22"/>
    <n v="5826"/>
    <n v="25251730.999999993"/>
    <n v="6432"/>
    <m/>
    <n v="6348"/>
    <m/>
    <n v="6927"/>
    <m/>
    <n v="7660"/>
    <m/>
    <n v="7961"/>
    <n v="29423878.499999993"/>
    <n v="8153"/>
    <n v="8153"/>
    <m/>
    <n v="8179"/>
    <m/>
    <n v="8831"/>
    <m/>
    <n v="10928"/>
    <n v="32969518.500000007"/>
    <n v="17168"/>
    <n v="7961"/>
    <n v="6927"/>
    <n v="8179"/>
    <n v="17168"/>
    <n v="6432"/>
    <n v="2013"/>
    <n v="8153"/>
    <n v="2018"/>
    <n v="17168"/>
    <n v="2022"/>
    <s v=""/>
    <n v="17168"/>
    <n v="17168"/>
    <s v="Increasing"/>
    <m/>
    <m/>
    <m/>
    <m/>
    <n v="2.5471521140471527"/>
    <n v="2.7708787609356129"/>
    <n v="5.2072340698575852"/>
    <n v="5.2072340698575852"/>
  </r>
  <r>
    <x v="26"/>
    <x v="26"/>
    <n v="24487615"/>
    <x v="23"/>
    <n v="0"/>
    <n v="25251730.999999993"/>
    <n v="0"/>
    <m/>
    <n v="0"/>
    <m/>
    <n v="0"/>
    <m/>
    <n v="0"/>
    <m/>
    <n v="0"/>
    <n v="29423878.499999993"/>
    <n v="0"/>
    <n v="7961"/>
    <m/>
    <n v="7802"/>
    <m/>
    <n v="7215"/>
    <m/>
    <n v="2147"/>
    <n v="32969518.500000007"/>
    <n v="1792"/>
    <n v="7961"/>
    <n v="0"/>
    <n v="7802"/>
    <n v="7215"/>
    <m/>
    <s v=""/>
    <n v="7961"/>
    <s v="2018 (triag)"/>
    <n v="1792"/>
    <n v="2022"/>
    <s v="Adjust"/>
    <n v="2059.5431706221839"/>
    <n v="7961"/>
    <s v="Decreasing"/>
    <m/>
    <m/>
    <m/>
    <m/>
    <n v="0"/>
    <n v="2.7056256366746489"/>
    <n v="0.62468099757725715"/>
    <n v="2.4146546149892965"/>
  </r>
  <r>
    <x v="26"/>
    <x v="26"/>
    <n v="24487616"/>
    <x v="24"/>
    <n v="0"/>
    <n v="25251730.999999993"/>
    <n v="0"/>
    <m/>
    <n v="0"/>
    <m/>
    <n v="0"/>
    <m/>
    <n v="0"/>
    <m/>
    <n v="0"/>
    <n v="29423878.499999993"/>
    <n v="0"/>
    <n v="0"/>
    <m/>
    <n v="377"/>
    <m/>
    <n v="1616"/>
    <m/>
    <n v="8781"/>
    <n v="32969518.500000007"/>
    <n v="7983"/>
    <n v="0"/>
    <n v="0"/>
    <n v="377"/>
    <n v="8781"/>
    <m/>
    <s v=""/>
    <n v="377"/>
    <n v="2019"/>
    <n v="7983"/>
    <n v="2022"/>
    <s v=""/>
    <n v="7983"/>
    <n v="7983"/>
    <s v="Increasing"/>
    <m/>
    <m/>
    <m/>
    <m/>
    <n v="0"/>
    <n v="0.12812722836657991"/>
    <n v="2.4213274452279303"/>
    <n v="2.4213274452279303"/>
  </r>
  <r>
    <x v="26"/>
    <x v="26"/>
    <n v="24487617"/>
    <x v="25"/>
    <n v="4261"/>
    <n v="25251730.999999993"/>
    <n v="4265"/>
    <m/>
    <n v="4649"/>
    <m/>
    <n v="5158"/>
    <m/>
    <n v="5705"/>
    <m/>
    <n v="5820"/>
    <n v="29423878.499999993"/>
    <n v="6021"/>
    <n v="6021"/>
    <m/>
    <n v="6175"/>
    <m/>
    <n v="6324"/>
    <m/>
    <n v="7278"/>
    <n v="32969518.500000007"/>
    <n v="13384"/>
    <n v="5820"/>
    <n v="5158"/>
    <n v="6175"/>
    <n v="13384"/>
    <n v="4265"/>
    <n v="2013"/>
    <n v="6021"/>
    <n v="2018"/>
    <n v="13384"/>
    <n v="2022"/>
    <s v=""/>
    <n v="13384"/>
    <n v="13384"/>
    <s v="Increasing"/>
    <m/>
    <m/>
    <m/>
    <m/>
    <n v="1.6889931228872987"/>
    <n v="2.0462971936211609"/>
    <n v="4.0595072688125535"/>
    <n v="4.0595072688125535"/>
  </r>
  <r>
    <x v="26"/>
    <x v="26"/>
    <n v="24487618"/>
    <x v="26"/>
    <n v="0"/>
    <n v="25251730.999999993"/>
    <n v="3545"/>
    <m/>
    <n v="0"/>
    <m/>
    <n v="0"/>
    <m/>
    <n v="5148"/>
    <m/>
    <n v="5384"/>
    <n v="29423878.499999993"/>
    <n v="6021"/>
    <n v="6021"/>
    <m/>
    <n v="5889"/>
    <m/>
    <n v="5049"/>
    <m/>
    <n v="42"/>
    <n v="32969518.500000007"/>
    <n v="38"/>
    <n v="5820"/>
    <n v="3545"/>
    <n v="6021"/>
    <n v="5049"/>
    <n v="3545"/>
    <n v="2013"/>
    <n v="6021"/>
    <n v="2018"/>
    <n v="38"/>
    <n v="2022"/>
    <s v="Adjust"/>
    <n v="43.673348484175776"/>
    <n v="6021"/>
    <s v="Decreasing"/>
    <m/>
    <m/>
    <m/>
    <m/>
    <n v="1.4038641548969459"/>
    <n v="2.0462971936211609"/>
    <n v="1.3246583653982015E-2"/>
    <n v="1.8262323121279429"/>
  </r>
  <r>
    <x v="26"/>
    <x v="26"/>
    <n v="24487619"/>
    <x v="27"/>
    <n v="0"/>
    <n v="25251730.999999993"/>
    <n v="720"/>
    <m/>
    <n v="0"/>
    <m/>
    <n v="0"/>
    <m/>
    <n v="557"/>
    <m/>
    <n v="436"/>
    <n v="29423878.499999993"/>
    <n v="0"/>
    <n v="0"/>
    <m/>
    <n v="286"/>
    <m/>
    <n v="1275"/>
    <m/>
    <n v="7236"/>
    <n v="32969518.500000007"/>
    <n v="7082"/>
    <n v="0"/>
    <n v="720"/>
    <n v="557"/>
    <n v="7236"/>
    <n v="720"/>
    <n v="2013"/>
    <n v="436"/>
    <n v="2017"/>
    <n v="7082"/>
    <n v="2022"/>
    <s v=""/>
    <n v="7082"/>
    <n v="7082"/>
    <s v="Increasing"/>
    <m/>
    <m/>
    <m/>
    <m/>
    <n v="0.28512896799035292"/>
    <n v="0.14817896967593858"/>
    <n v="2.1480447159093328"/>
    <n v="2.1480447159093328"/>
  </r>
  <r>
    <x v="26"/>
    <x v="26"/>
    <n v="24487620"/>
    <x v="28"/>
    <n v="72"/>
    <n v="25251730.999999993"/>
    <n v="103"/>
    <m/>
    <n v="0"/>
    <m/>
    <n v="194"/>
    <m/>
    <n v="0"/>
    <m/>
    <n v="255"/>
    <n v="29423878.499999993"/>
    <n v="305"/>
    <n v="305"/>
    <m/>
    <n v="385"/>
    <m/>
    <n v="423"/>
    <m/>
    <n v="406"/>
    <n v="32969518.500000007"/>
    <n v="498"/>
    <n v="259"/>
    <n v="194"/>
    <n v="385"/>
    <n v="498"/>
    <n v="103"/>
    <n v="2013"/>
    <n v="305"/>
    <n v="2018"/>
    <n v="498"/>
    <n v="2022"/>
    <s v=""/>
    <n v="498"/>
    <n v="498"/>
    <s v="Increasing"/>
    <m/>
    <m/>
    <m/>
    <m/>
    <n v="4.0789282920842149E-2"/>
    <n v="0.1036573067687185"/>
    <n v="0.15104861176544021"/>
    <n v="0.15104861176544021"/>
  </r>
  <r>
    <x v="26"/>
    <x v="26"/>
    <n v="24487621"/>
    <x v="29"/>
    <n v="1390"/>
    <n v="25251730.999999993"/>
    <n v="1388"/>
    <m/>
    <n v="0"/>
    <m/>
    <n v="0"/>
    <m/>
    <n v="0"/>
    <m/>
    <n v="2055"/>
    <n v="29423878.499999993"/>
    <n v="1887"/>
    <n v="2051"/>
    <m/>
    <n v="2261"/>
    <m/>
    <n v="2358"/>
    <m/>
    <n v="3039"/>
    <n v="32969518.500000007"/>
    <n v="3299"/>
    <n v="2051"/>
    <n v="1390"/>
    <n v="2261"/>
    <n v="3299"/>
    <n v="1388"/>
    <n v="2013"/>
    <n v="2051"/>
    <s v="2018 (triag)"/>
    <n v="3299"/>
    <n v="2022"/>
    <s v=""/>
    <n v="3299"/>
    <n v="3299"/>
    <s v="Increasing"/>
    <m/>
    <m/>
    <m/>
    <m/>
    <n v="0.5496652882925136"/>
    <n v="0.69705290551685783"/>
    <n v="1.0006212253296933"/>
    <n v="1.0006212253296933"/>
  </r>
  <r>
    <x v="26"/>
    <x v="26"/>
    <n v="24487622"/>
    <x v="30"/>
    <n v="69"/>
    <n v="25251730.999999993"/>
    <n v="136"/>
    <m/>
    <n v="0"/>
    <m/>
    <n v="189"/>
    <m/>
    <n v="0"/>
    <m/>
    <n v="217"/>
    <n v="29423878.499999993"/>
    <n v="255"/>
    <n v="255"/>
    <m/>
    <n v="288"/>
    <m/>
    <n v="277"/>
    <m/>
    <n v="355"/>
    <n v="32969518.500000007"/>
    <n v="348"/>
    <n v="205"/>
    <n v="189"/>
    <n v="288"/>
    <n v="355"/>
    <n v="136"/>
    <n v="2013"/>
    <n v="255"/>
    <n v="2018"/>
    <n v="348"/>
    <n v="2022"/>
    <s v=""/>
    <n v="348"/>
    <n v="348"/>
    <s v="Increasing"/>
    <m/>
    <m/>
    <m/>
    <m/>
    <n v="5.3857693953733327E-2"/>
    <n v="8.6664305659092514E-2"/>
    <n v="0.10555204195657268"/>
    <n v="0.10555204195657268"/>
  </r>
  <r>
    <x v="26"/>
    <x v="26"/>
    <n v="24487623"/>
    <x v="31"/>
    <n v="305"/>
    <n v="25251730.999999993"/>
    <n v="238"/>
    <m/>
    <n v="0"/>
    <m/>
    <n v="45"/>
    <m/>
    <n v="0"/>
    <m/>
    <n v="319"/>
    <n v="29423878.499999993"/>
    <n v="39"/>
    <n v="340"/>
    <m/>
    <n v="305"/>
    <m/>
    <n v="318"/>
    <m/>
    <n v="340"/>
    <n v="32969518.500000007"/>
    <n v="341"/>
    <n v="340"/>
    <n v="305"/>
    <n v="319"/>
    <n v="341"/>
    <n v="238"/>
    <n v="2013"/>
    <n v="340"/>
    <s v="2018 (triag)"/>
    <n v="341"/>
    <n v="2022"/>
    <s v=""/>
    <n v="341"/>
    <n v="341"/>
    <s v="Increasing"/>
    <m/>
    <m/>
    <m/>
    <m/>
    <n v="9.4250964419033315E-2"/>
    <n v="0.11555240754545669"/>
    <n v="0.10342886869882553"/>
    <n v="0.10342886869882553"/>
  </r>
  <r>
    <x v="26"/>
    <x v="26"/>
    <n v="24487624"/>
    <x v="32"/>
    <n v="0"/>
    <n v="25251730.999999993"/>
    <n v="0"/>
    <m/>
    <n v="0"/>
    <m/>
    <n v="0"/>
    <m/>
    <n v="0"/>
    <m/>
    <n v="219"/>
    <n v="29423878.499999993"/>
    <n v="608"/>
    <n v="608"/>
    <m/>
    <n v="393"/>
    <m/>
    <n v="530"/>
    <m/>
    <n v="610"/>
    <n v="32969518.500000007"/>
    <n v="655"/>
    <n v="0"/>
    <n v="0"/>
    <n v="608"/>
    <n v="655"/>
    <m/>
    <s v=""/>
    <n v="608"/>
    <n v="2018"/>
    <n v="655"/>
    <n v="2022"/>
    <s v=""/>
    <n v="655"/>
    <n v="655"/>
    <s v="Increasing"/>
    <m/>
    <m/>
    <m/>
    <m/>
    <n v="0"/>
    <n v="0.20663489349305197"/>
    <n v="0.19866835483205492"/>
    <n v="0.19866835483205492"/>
  </r>
  <r>
    <x v="27"/>
    <x v="27"/>
    <n v="3636113.5000000009"/>
    <x v="19"/>
    <n v="0"/>
    <n v="3742958.9999999981"/>
    <n v="0"/>
    <n v="3843173.9999999991"/>
    <n v="622"/>
    <n v="3946219.4999999991"/>
    <n v="692"/>
    <n v="4051890.5000000014"/>
    <n v="0"/>
    <n v="4160014.4999999995"/>
    <n v="791"/>
    <n v="4270711.4999999972"/>
    <n v="850"/>
    <n v="1626"/>
    <n v="4383848.5000000009"/>
    <n v="897"/>
    <n v="4498603.4999999953"/>
    <n v="934"/>
    <n v="4614974"/>
    <n v="1035"/>
    <n v="4736138.9999999991"/>
    <n v="1118"/>
    <n v="1626"/>
    <n v="692"/>
    <n v="897"/>
    <n v="1118"/>
    <n v="622"/>
    <n v="2014"/>
    <n v="1626"/>
    <s v="2018 (triag)"/>
    <n v="1118"/>
    <n v="2022"/>
    <s v="Adjust"/>
    <n v="1273.0346943092873"/>
    <n v="1626"/>
    <s v="Decreasing"/>
    <m/>
    <m/>
    <m/>
    <m/>
    <n v="1.6617868376330072"/>
    <n v="3.8073281231944631"/>
    <n v="2.6879166644164951"/>
    <n v="3.4331762644635226"/>
  </r>
  <r>
    <x v="27"/>
    <x v="27"/>
    <n v="3636114.5"/>
    <x v="20"/>
    <n v="0"/>
    <n v="3742958.9999999981"/>
    <n v="0"/>
    <m/>
    <n v="0"/>
    <m/>
    <n v="0"/>
    <m/>
    <n v="0"/>
    <m/>
    <n v="0"/>
    <n v="4270711.4999999972"/>
    <n v="487"/>
    <n v="808"/>
    <m/>
    <n v="533"/>
    <m/>
    <n v="532"/>
    <m/>
    <n v="597"/>
    <n v="4736138.9999999991"/>
    <n v="616"/>
    <n v="808"/>
    <n v="0"/>
    <n v="533"/>
    <n v="616"/>
    <m/>
    <s v=""/>
    <n v="808"/>
    <s v="2018 (triag)"/>
    <n v="616"/>
    <n v="2022"/>
    <s v="Adjust"/>
    <n v="701.42162047810461"/>
    <n v="808"/>
    <s v="Decreasing"/>
    <m/>
    <m/>
    <m/>
    <m/>
    <n v="0"/>
    <n v="1.891956410541898"/>
    <n v="1.480998806154348"/>
    <n v="1.7060310096473101"/>
  </r>
  <r>
    <x v="27"/>
    <x v="27"/>
    <n v="3636115.5"/>
    <x v="21"/>
    <n v="0"/>
    <n v="3742958.9999999981"/>
    <n v="0"/>
    <m/>
    <n v="0"/>
    <m/>
    <n v="0"/>
    <m/>
    <n v="0"/>
    <m/>
    <n v="0"/>
    <n v="4270711.4999999972"/>
    <n v="363"/>
    <n v="818"/>
    <m/>
    <n v="364"/>
    <m/>
    <n v="402"/>
    <m/>
    <n v="438"/>
    <n v="4736138.9999999991"/>
    <n v="502"/>
    <n v="818"/>
    <n v="0"/>
    <n v="364"/>
    <n v="502"/>
    <m/>
    <s v=""/>
    <n v="818"/>
    <s v="2018 (triag)"/>
    <n v="502"/>
    <n v="2022"/>
    <s v="Adjust"/>
    <n v="571.61307383118265"/>
    <n v="818"/>
    <s v="Decreasing"/>
    <m/>
    <m/>
    <m/>
    <m/>
    <n v="0"/>
    <n v="1.9153717126525651"/>
    <n v="1.2069178582621471"/>
    <n v="1.7271452548162125"/>
  </r>
  <r>
    <x v="27"/>
    <x v="27"/>
    <n v="3636116.5"/>
    <x v="22"/>
    <n v="0"/>
    <n v="3742958.9999999981"/>
    <n v="0"/>
    <m/>
    <n v="3846"/>
    <m/>
    <n v="4137"/>
    <m/>
    <n v="0"/>
    <m/>
    <n v="4571"/>
    <n v="4270711.4999999972"/>
    <n v="4066"/>
    <n v="4066"/>
    <m/>
    <n v="4369"/>
    <m/>
    <n v="4290"/>
    <m/>
    <n v="6156"/>
    <n v="4736138.9999999991"/>
    <n v="6503"/>
    <n v="4017"/>
    <n v="4137"/>
    <n v="4571"/>
    <n v="6503"/>
    <n v="3846"/>
    <n v="2014"/>
    <n v="4066"/>
    <n v="2018"/>
    <n v="6503"/>
    <n v="2022"/>
    <s v=""/>
    <n v="6503"/>
    <n v="6503"/>
    <s v="Increasing"/>
    <m/>
    <m/>
    <m/>
    <m/>
    <n v="10.275292889930139"/>
    <n v="9.5206618381972241"/>
    <n v="13.7305936333372"/>
    <n v="13.7305936333372"/>
  </r>
  <r>
    <x v="27"/>
    <x v="27"/>
    <n v="3636117.5"/>
    <x v="23"/>
    <n v="0"/>
    <n v="3742958.9999999981"/>
    <n v="0"/>
    <m/>
    <n v="0"/>
    <m/>
    <n v="0"/>
    <m/>
    <n v="0"/>
    <m/>
    <n v="0"/>
    <n v="4270711.4999999972"/>
    <n v="461"/>
    <n v="4011"/>
    <m/>
    <n v="550"/>
    <m/>
    <n v="526"/>
    <m/>
    <n v="646"/>
    <n v="4736138.9999999991"/>
    <n v="663"/>
    <n v="4011"/>
    <n v="0"/>
    <n v="550"/>
    <n v="663"/>
    <m/>
    <s v=""/>
    <n v="4011"/>
    <s v="2018 (triag)"/>
    <n v="663"/>
    <n v="2022"/>
    <s v="Adjust"/>
    <n v="754.93917918341447"/>
    <n v="4011"/>
    <s v="Decreasing"/>
    <m/>
    <m/>
    <m/>
    <m/>
    <n v="0"/>
    <n v="9.391877676588555"/>
    <n v="1.5939970916888517"/>
    <n v="8.4689237372467332"/>
  </r>
  <r>
    <x v="27"/>
    <x v="27"/>
    <n v="3636118.5"/>
    <x v="24"/>
    <n v="0"/>
    <n v="3742958.9999999981"/>
    <n v="0"/>
    <m/>
    <n v="0"/>
    <m/>
    <n v="0"/>
    <m/>
    <n v="0"/>
    <m/>
    <n v="0"/>
    <n v="4270711.4999999972"/>
    <n v="0"/>
    <n v="6"/>
    <m/>
    <n v="0"/>
    <m/>
    <n v="0"/>
    <m/>
    <n v="0"/>
    <n v="4736138.9999999991"/>
    <n v="0"/>
    <n v="6"/>
    <n v="0"/>
    <n v="0"/>
    <n v="0"/>
    <m/>
    <s v=""/>
    <n v="6"/>
    <s v="2018 (triag)"/>
    <n v="6"/>
    <s v="2018 (triag)"/>
    <s v=""/>
    <n v="6"/>
    <n v="6"/>
    <s v="No change"/>
    <m/>
    <m/>
    <m/>
    <m/>
    <n v="0"/>
    <n v="1.4049181266400233E-2"/>
    <n v="1.2668547101341411E-2"/>
    <n v="1.2668547101341411E-2"/>
  </r>
  <r>
    <x v="27"/>
    <x v="27"/>
    <n v="3636119.5"/>
    <x v="25"/>
    <n v="0"/>
    <n v="3742958.9999999981"/>
    <n v="368"/>
    <m/>
    <n v="0"/>
    <m/>
    <n v="0"/>
    <m/>
    <n v="0"/>
    <m/>
    <n v="0"/>
    <n v="4270711.4999999972"/>
    <n v="671"/>
    <n v="855"/>
    <m/>
    <n v="932"/>
    <m/>
    <n v="1027"/>
    <m/>
    <n v="1252"/>
    <n v="4736138.9999999991"/>
    <n v="1340"/>
    <n v="855"/>
    <n v="368"/>
    <n v="932"/>
    <n v="1340"/>
    <n v="368"/>
    <n v="2013"/>
    <n v="855"/>
    <s v="2018 (triag)"/>
    <n v="1340"/>
    <n v="2022"/>
    <s v=""/>
    <n v="1340"/>
    <n v="1340"/>
    <s v="Increasing"/>
    <m/>
    <m/>
    <m/>
    <m/>
    <n v="0.98317935088255093"/>
    <n v="2.0020083304620333"/>
    <n v="2.8293088526329151"/>
    <n v="2.8293088526329151"/>
  </r>
  <r>
    <x v="27"/>
    <x v="27"/>
    <n v="3636120.5"/>
    <x v="26"/>
    <n v="0"/>
    <n v="3742958.9999999981"/>
    <n v="368"/>
    <m/>
    <n v="0"/>
    <m/>
    <n v="0"/>
    <m/>
    <n v="0"/>
    <m/>
    <n v="0"/>
    <n v="4270711.4999999972"/>
    <n v="671"/>
    <n v="854"/>
    <m/>
    <n v="932"/>
    <m/>
    <n v="1027"/>
    <m/>
    <n v="1252"/>
    <n v="4736138.9999999991"/>
    <n v="1340"/>
    <n v="854"/>
    <n v="368"/>
    <n v="932"/>
    <n v="1340"/>
    <n v="368"/>
    <n v="2013"/>
    <n v="854"/>
    <s v="2018 (triag)"/>
    <n v="1340"/>
    <n v="2022"/>
    <s v=""/>
    <n v="1340"/>
    <n v="1340"/>
    <s v="Increasing"/>
    <m/>
    <m/>
    <m/>
    <m/>
    <n v="0.98317935088255093"/>
    <n v="1.9996668002509665"/>
    <n v="2.8293088526329151"/>
    <n v="2.8293088526329151"/>
  </r>
  <r>
    <x v="27"/>
    <x v="27"/>
    <n v="3636121.5"/>
    <x v="27"/>
    <n v="0"/>
    <n v="3742958.9999999981"/>
    <n v="0"/>
    <m/>
    <n v="0"/>
    <m/>
    <n v="0"/>
    <m/>
    <n v="0"/>
    <m/>
    <n v="0"/>
    <n v="4270711.4999999972"/>
    <n v="0"/>
    <n v="1"/>
    <m/>
    <n v="0"/>
    <m/>
    <n v="0"/>
    <m/>
    <n v="0"/>
    <n v="4736138.9999999991"/>
    <n v="0"/>
    <n v="1"/>
    <n v="0"/>
    <n v="0"/>
    <n v="0"/>
    <m/>
    <s v=""/>
    <n v="1"/>
    <s v="2018 (triag)"/>
    <n v="1"/>
    <s v="2018 (triag)"/>
    <s v=""/>
    <n v="1"/>
    <n v="1"/>
    <s v="No change"/>
    <m/>
    <m/>
    <m/>
    <m/>
    <n v="0"/>
    <n v="2.3415302110667054E-3"/>
    <n v="2.1114245168902352E-3"/>
    <n v="2.1114245168902352E-3"/>
  </r>
  <r>
    <x v="27"/>
    <x v="27"/>
    <n v="3636122.5"/>
    <x v="28"/>
    <n v="0"/>
    <n v="3742958.9999999981"/>
    <n v="0"/>
    <m/>
    <n v="0"/>
    <m/>
    <n v="0"/>
    <m/>
    <n v="0"/>
    <m/>
    <n v="0"/>
    <n v="4270711.4999999972"/>
    <n v="78"/>
    <n v="87"/>
    <m/>
    <n v="74"/>
    <m/>
    <n v="76"/>
    <m/>
    <n v="75"/>
    <n v="4736138.9999999991"/>
    <n v="85"/>
    <n v="87"/>
    <n v="0"/>
    <n v="78"/>
    <n v="85"/>
    <m/>
    <s v=""/>
    <n v="87"/>
    <s v="2018 (triag)"/>
    <n v="85"/>
    <n v="2022"/>
    <s v="Adjust"/>
    <n v="96.787074254283908"/>
    <n v="96.787074254283908"/>
    <s v="Increasing"/>
    <m/>
    <m/>
    <m/>
    <m/>
    <n v="0"/>
    <n v="0.20371312836280339"/>
    <n v="0.20435860149857071"/>
    <n v="0.20435860149857071"/>
  </r>
  <r>
    <x v="27"/>
    <x v="27"/>
    <n v="3636123.5"/>
    <x v="29"/>
    <n v="0"/>
    <n v="3742958.9999999981"/>
    <n v="0"/>
    <m/>
    <n v="0"/>
    <m/>
    <n v="0"/>
    <m/>
    <n v="0"/>
    <m/>
    <n v="0"/>
    <n v="4270711.4999999972"/>
    <n v="0"/>
    <n v="13"/>
    <m/>
    <n v="0"/>
    <m/>
    <n v="0"/>
    <m/>
    <n v="0"/>
    <n v="4736138.9999999991"/>
    <n v="0"/>
    <n v="13"/>
    <n v="0"/>
    <n v="0"/>
    <n v="0"/>
    <m/>
    <s v=""/>
    <n v="13"/>
    <s v="2018 (triag)"/>
    <n v="13"/>
    <s v="2018 (triag)"/>
    <s v=""/>
    <n v="13"/>
    <n v="13"/>
    <s v="No change"/>
    <m/>
    <m/>
    <m/>
    <m/>
    <n v="0"/>
    <n v="3.0439892743867172E-2"/>
    <n v="2.7448518719573059E-2"/>
    <n v="2.7448518719573059E-2"/>
  </r>
  <r>
    <x v="27"/>
    <x v="27"/>
    <n v="3636124.5"/>
    <x v="30"/>
    <n v="0"/>
    <n v="3742958.9999999981"/>
    <n v="0"/>
    <m/>
    <n v="0"/>
    <m/>
    <n v="0"/>
    <m/>
    <n v="0"/>
    <m/>
    <n v="0"/>
    <n v="4270711.4999999972"/>
    <n v="112"/>
    <n v="151"/>
    <m/>
    <n v="118"/>
    <m/>
    <n v="117"/>
    <m/>
    <n v="121"/>
    <n v="4736138.9999999991"/>
    <n v="131"/>
    <n v="151"/>
    <n v="0"/>
    <n v="118"/>
    <n v="131"/>
    <m/>
    <s v=""/>
    <n v="151"/>
    <s v="2018 (triag)"/>
    <n v="131"/>
    <n v="2022"/>
    <s v="Adjust"/>
    <n v="149.16596149777874"/>
    <n v="151"/>
    <s v="Decreasing"/>
    <m/>
    <m/>
    <m/>
    <m/>
    <n v="0"/>
    <n v="0.35357106187107251"/>
    <n v="0.31495266819191492"/>
    <n v="0.31882510205042552"/>
  </r>
  <r>
    <x v="27"/>
    <x v="27"/>
    <n v="3636125.5"/>
    <x v="31"/>
    <n v="0"/>
    <n v="3742958.9999999981"/>
    <n v="0"/>
    <m/>
    <n v="0"/>
    <m/>
    <n v="0"/>
    <m/>
    <n v="0"/>
    <m/>
    <n v="0"/>
    <n v="4270711.4999999972"/>
    <n v="0"/>
    <n v="0"/>
    <m/>
    <n v="0"/>
    <m/>
    <n v="0"/>
    <m/>
    <n v="0"/>
    <n v="4736138.9999999991"/>
    <n v="0"/>
    <n v="0"/>
    <n v="0"/>
    <n v="0"/>
    <n v="0"/>
    <m/>
    <s v=""/>
    <m/>
    <s v=""/>
    <n v="0"/>
    <s v=""/>
    <s v=""/>
    <m/>
    <n v="0"/>
    <s v="No change"/>
    <m/>
    <m/>
    <m/>
    <m/>
    <n v="0"/>
    <n v="0"/>
    <n v="0"/>
    <n v="0"/>
  </r>
  <r>
    <x v="27"/>
    <x v="27"/>
    <n v="3636126.5"/>
    <x v="32"/>
    <n v="0"/>
    <n v="3742958.9999999981"/>
    <n v="0"/>
    <m/>
    <n v="0"/>
    <m/>
    <n v="0"/>
    <m/>
    <n v="0"/>
    <m/>
    <n v="0"/>
    <n v="4270711.4999999972"/>
    <n v="0"/>
    <n v="0"/>
    <m/>
    <n v="0"/>
    <m/>
    <n v="0"/>
    <m/>
    <n v="0"/>
    <n v="4736138.9999999991"/>
    <n v="0"/>
    <n v="0"/>
    <n v="0"/>
    <n v="0"/>
    <n v="0"/>
    <m/>
    <s v=""/>
    <m/>
    <s v=""/>
    <n v="0"/>
    <s v=""/>
    <s v=""/>
    <m/>
    <n v="0"/>
    <s v="No change"/>
    <m/>
    <m/>
    <m/>
    <m/>
    <n v="0"/>
    <n v="0"/>
    <n v="0"/>
    <n v="0"/>
  </r>
  <r>
    <x v="28"/>
    <x v="28"/>
    <n v="1288744.5000000005"/>
    <x v="19"/>
    <n v="1722"/>
    <n v="1290691.4999999998"/>
    <n v="2046"/>
    <n v="1292113.5000000002"/>
    <n v="2429"/>
    <n v="1293153"/>
    <n v="2550"/>
    <n v="1293911.0000000005"/>
    <n v="2769"/>
    <n v="1294740.5000000002"/>
    <n v="2927"/>
    <n v="1295381.5000000005"/>
    <n v="2395"/>
    <n v="2395"/>
    <n v="1296279.0000000002"/>
    <n v="3290"/>
    <n v="1297827.5"/>
    <n v="3450"/>
    <n v="1298914.4999999995"/>
    <n v="0"/>
    <n v="1299468.9999999986"/>
    <n v="1555"/>
    <n v="2395"/>
    <n v="2550"/>
    <n v="3290"/>
    <n v="3450"/>
    <n v="2046"/>
    <n v="2013"/>
    <n v="2395"/>
    <n v="2018"/>
    <n v="1555"/>
    <n v="2022"/>
    <s v="Adjust"/>
    <n v="1833.6554988586008"/>
    <n v="2395"/>
    <s v="Decreasing"/>
    <m/>
    <m/>
    <m/>
    <m/>
    <n v="15.851967724278035"/>
    <n v="18.48876180492001"/>
    <n v="14.110806020448374"/>
    <n v="18.430605116397565"/>
  </r>
  <r>
    <x v="28"/>
    <x v="28"/>
    <n v="1288745.5"/>
    <x v="20"/>
    <n v="0"/>
    <n v="1290691.4999999998"/>
    <n v="0"/>
    <m/>
    <n v="0"/>
    <m/>
    <n v="0"/>
    <m/>
    <n v="0"/>
    <m/>
    <n v="0"/>
    <n v="1295381.5000000005"/>
    <n v="1188"/>
    <n v="1188"/>
    <m/>
    <n v="0"/>
    <m/>
    <n v="0"/>
    <m/>
    <n v="0"/>
    <n v="1299468.9999999986"/>
    <n v="1207"/>
    <n v="1188"/>
    <n v="0"/>
    <n v="1188"/>
    <n v="1207"/>
    <m/>
    <s v=""/>
    <n v="1188"/>
    <n v="2018"/>
    <n v="1207"/>
    <n v="2022"/>
    <s v=""/>
    <n v="1207"/>
    <n v="1207"/>
    <s v="Increasing"/>
    <m/>
    <m/>
    <m/>
    <m/>
    <n v="0"/>
    <n v="9.171043433922744"/>
    <n v="9.2884093425853269"/>
    <n v="9.2884093425853269"/>
  </r>
  <r>
    <x v="28"/>
    <x v="28"/>
    <n v="1288746.5"/>
    <x v="21"/>
    <n v="0"/>
    <n v="1290691.4999999998"/>
    <n v="0"/>
    <m/>
    <n v="0"/>
    <m/>
    <n v="0"/>
    <m/>
    <n v="0"/>
    <m/>
    <n v="0"/>
    <n v="1295381.5000000005"/>
    <n v="1207"/>
    <n v="1207"/>
    <m/>
    <n v="0"/>
    <m/>
    <n v="0"/>
    <m/>
    <n v="0"/>
    <n v="1299468.9999999986"/>
    <n v="348"/>
    <n v="1207"/>
    <n v="0"/>
    <n v="1207"/>
    <n v="348"/>
    <m/>
    <s v=""/>
    <n v="1207"/>
    <n v="2018"/>
    <n v="348"/>
    <n v="2022"/>
    <s v="Adjust"/>
    <n v="410.36148784745535"/>
    <n v="1207"/>
    <s v="Decreasing"/>
    <m/>
    <m/>
    <m/>
    <m/>
    <n v="0"/>
    <n v="9.317718370997266"/>
    <n v="3.1579167171164206"/>
    <n v="9.2884093425853269"/>
  </r>
  <r>
    <x v="28"/>
    <x v="28"/>
    <n v="1288747.5"/>
    <x v="22"/>
    <n v="3737"/>
    <n v="1290691.4999999998"/>
    <n v="3963"/>
    <m/>
    <n v="4125"/>
    <m/>
    <n v="4261"/>
    <m/>
    <n v="4134"/>
    <m/>
    <n v="4445"/>
    <n v="1295381.5000000005"/>
    <n v="4986"/>
    <n v="4986"/>
    <m/>
    <n v="0"/>
    <m/>
    <n v="0"/>
    <m/>
    <n v="0"/>
    <n v="1299468.9999999986"/>
    <n v="3900"/>
    <n v="4419"/>
    <n v="4261"/>
    <n v="4986"/>
    <n v="3900"/>
    <n v="3963"/>
    <n v="2013"/>
    <n v="4986"/>
    <n v="2018"/>
    <n v="3900"/>
    <n v="2022"/>
    <s v="Adjust"/>
    <n v="4598.8787431180344"/>
    <n v="4986"/>
    <s v="Decreasing"/>
    <m/>
    <m/>
    <m/>
    <m/>
    <n v="30.704471207875784"/>
    <n v="38.49059138176667"/>
    <n v="35.390445967684023"/>
    <n v="38.369518626454386"/>
  </r>
  <r>
    <x v="28"/>
    <x v="28"/>
    <n v="1288748.5"/>
    <x v="23"/>
    <n v="0"/>
    <n v="1290691.4999999998"/>
    <n v="0"/>
    <m/>
    <n v="0"/>
    <m/>
    <n v="0"/>
    <m/>
    <n v="0"/>
    <m/>
    <n v="0"/>
    <n v="1295381.5000000005"/>
    <n v="0"/>
    <n v="4419"/>
    <m/>
    <n v="0"/>
    <m/>
    <n v="0"/>
    <m/>
    <n v="0"/>
    <n v="1299468.9999999986"/>
    <n v="3715"/>
    <n v="4419"/>
    <n v="0"/>
    <n v="0"/>
    <n v="3715"/>
    <m/>
    <s v=""/>
    <n v="4419"/>
    <s v="2018 (triag)"/>
    <n v="3715"/>
    <n v="2022"/>
    <s v="Adjust"/>
    <n v="4380.7268027393584"/>
    <n v="4419"/>
    <s v="Decreasing"/>
    <m/>
    <m/>
    <m/>
    <m/>
    <n v="0"/>
    <n v="34.113502470121723"/>
    <n v="33.711668402550302"/>
    <n v="34.006197916225815"/>
  </r>
  <r>
    <x v="28"/>
    <x v="28"/>
    <n v="1288749.5"/>
    <x v="24"/>
    <n v="0"/>
    <n v="1290691.4999999998"/>
    <n v="0"/>
    <m/>
    <n v="0"/>
    <m/>
    <n v="0"/>
    <m/>
    <n v="0"/>
    <m/>
    <n v="0"/>
    <n v="1295381.5000000005"/>
    <n v="0"/>
    <n v="0"/>
    <m/>
    <n v="0"/>
    <m/>
    <n v="0"/>
    <m/>
    <n v="0"/>
    <n v="1299468.9999999986"/>
    <n v="185"/>
    <n v="0"/>
    <n v="0"/>
    <n v="0"/>
    <n v="185"/>
    <m/>
    <s v=""/>
    <m/>
    <s v=""/>
    <n v="185"/>
    <n v="2022"/>
    <s v=""/>
    <n v="185"/>
    <n v="185"/>
    <s v="Increasing"/>
    <m/>
    <m/>
    <m/>
    <m/>
    <n v="0"/>
    <n v="0"/>
    <n v="1.4236584327906261"/>
    <n v="1.4236584327906261"/>
  </r>
  <r>
    <x v="28"/>
    <x v="28"/>
    <n v="1288750.5"/>
    <x v="25"/>
    <n v="0"/>
    <n v="1290691.4999999998"/>
    <n v="0"/>
    <m/>
    <n v="0"/>
    <m/>
    <n v="0"/>
    <m/>
    <n v="0"/>
    <m/>
    <n v="0"/>
    <n v="1295381.5000000005"/>
    <n v="0"/>
    <n v="567"/>
    <m/>
    <n v="0"/>
    <m/>
    <n v="0"/>
    <m/>
    <n v="0"/>
    <n v="1299468.9999999986"/>
    <n v="0"/>
    <n v="567"/>
    <n v="0"/>
    <n v="0"/>
    <n v="0"/>
    <m/>
    <s v=""/>
    <n v="567"/>
    <s v="2018 (triag)"/>
    <n v="567"/>
    <s v="2018 (triag)"/>
    <s v=""/>
    <n v="567"/>
    <n v="567"/>
    <s v="No change"/>
    <m/>
    <m/>
    <m/>
    <m/>
    <n v="0"/>
    <n v="4.3770889116449458"/>
    <n v="4.3633207102285674"/>
    <n v="4.3633207102285674"/>
  </r>
  <r>
    <x v="28"/>
    <x v="28"/>
    <n v="1288751.5"/>
    <x v="26"/>
    <n v="0"/>
    <n v="1290691.4999999998"/>
    <n v="0"/>
    <m/>
    <n v="0"/>
    <m/>
    <n v="0"/>
    <m/>
    <n v="0"/>
    <m/>
    <n v="0"/>
    <n v="1295381.5000000005"/>
    <n v="0"/>
    <n v="567"/>
    <m/>
    <n v="0"/>
    <m/>
    <n v="0"/>
    <m/>
    <n v="0"/>
    <n v="1299468.9999999986"/>
    <n v="0"/>
    <n v="567"/>
    <n v="0"/>
    <n v="0"/>
    <n v="0"/>
    <m/>
    <s v=""/>
    <n v="567"/>
    <s v="2018 (triag)"/>
    <n v="567"/>
    <s v="2018 (triag)"/>
    <s v=""/>
    <n v="567"/>
    <n v="567"/>
    <s v="No change"/>
    <m/>
    <m/>
    <m/>
    <m/>
    <n v="0"/>
    <n v="4.3770889116449458"/>
    <n v="4.3633207102285674"/>
    <n v="4.3633207102285674"/>
  </r>
  <r>
    <x v="28"/>
    <x v="28"/>
    <n v="1288752.5"/>
    <x v="27"/>
    <n v="0"/>
    <n v="1290691.4999999998"/>
    <n v="0"/>
    <m/>
    <n v="0"/>
    <m/>
    <n v="0"/>
    <m/>
    <n v="0"/>
    <m/>
    <n v="0"/>
    <n v="1295381.5000000005"/>
    <n v="0"/>
    <n v="0"/>
    <m/>
    <n v="0"/>
    <m/>
    <n v="0"/>
    <m/>
    <n v="0"/>
    <n v="1299468.9999999986"/>
    <n v="0"/>
    <n v="0"/>
    <n v="0"/>
    <n v="0"/>
    <n v="0"/>
    <m/>
    <s v=""/>
    <m/>
    <s v=""/>
    <n v="0"/>
    <s v=""/>
    <s v=""/>
    <m/>
    <n v="0"/>
    <s v="No change"/>
    <m/>
    <m/>
    <m/>
    <m/>
    <n v="0"/>
    <n v="0"/>
    <n v="0"/>
    <n v="0"/>
  </r>
  <r>
    <x v="28"/>
    <x v="28"/>
    <n v="1288753.5"/>
    <x v="28"/>
    <n v="432"/>
    <n v="1290691.4999999998"/>
    <n v="460"/>
    <m/>
    <n v="494"/>
    <m/>
    <n v="497"/>
    <m/>
    <n v="514"/>
    <m/>
    <n v="531"/>
    <n v="1295381.5000000005"/>
    <n v="748"/>
    <n v="748"/>
    <m/>
    <n v="0"/>
    <m/>
    <n v="0"/>
    <m/>
    <n v="0"/>
    <n v="1299468.9999999986"/>
    <n v="35"/>
    <n v="531"/>
    <n v="497"/>
    <n v="748"/>
    <n v="35"/>
    <n v="460"/>
    <n v="2013"/>
    <n v="748"/>
    <n v="2018"/>
    <n v="35"/>
    <n v="2022"/>
    <s v="Adjust"/>
    <n v="41.271988720290047"/>
    <n v="748"/>
    <s v="Decreasing"/>
    <m/>
    <m/>
    <m/>
    <m/>
    <n v="3.5639810132785414"/>
    <n v="5.7743606806180248"/>
    <n v="0.31760656637665147"/>
    <n v="5.7561973390669632"/>
  </r>
  <r>
    <x v="28"/>
    <x v="28"/>
    <n v="1288754.5"/>
    <x v="29"/>
    <n v="0"/>
    <n v="1290691.4999999998"/>
    <n v="0"/>
    <m/>
    <n v="0"/>
    <m/>
    <n v="0"/>
    <m/>
    <n v="0"/>
    <m/>
    <n v="0"/>
    <n v="1295381.5000000005"/>
    <n v="0"/>
    <n v="217"/>
    <m/>
    <n v="0"/>
    <m/>
    <n v="0"/>
    <m/>
    <n v="0"/>
    <n v="1299468.9999999986"/>
    <n v="314"/>
    <n v="217"/>
    <n v="0"/>
    <n v="0"/>
    <n v="314"/>
    <m/>
    <s v=""/>
    <n v="217"/>
    <s v="2018 (triag)"/>
    <n v="314"/>
    <n v="2022"/>
    <s v=""/>
    <n v="314"/>
    <n v="314"/>
    <s v="Increasing"/>
    <m/>
    <m/>
    <m/>
    <m/>
    <n v="0"/>
    <n v="1.6751821760616461"/>
    <n v="2.4163716102500357"/>
    <n v="2.4163716102500357"/>
  </r>
  <r>
    <x v="28"/>
    <x v="28"/>
    <n v="1288755.5"/>
    <x v="30"/>
    <n v="301"/>
    <n v="1290691.4999999998"/>
    <n v="351"/>
    <m/>
    <n v="366"/>
    <m/>
    <n v="380"/>
    <m/>
    <n v="385"/>
    <m/>
    <n v="401"/>
    <n v="1295381.5000000005"/>
    <n v="466"/>
    <n v="466"/>
    <m/>
    <n v="351"/>
    <m/>
    <n v="0"/>
    <m/>
    <n v="0"/>
    <n v="1299468.9999999986"/>
    <n v="0"/>
    <n v="401"/>
    <n v="380"/>
    <n v="466"/>
    <n v="0"/>
    <n v="351"/>
    <n v="2013"/>
    <n v="466"/>
    <n v="2018"/>
    <n v="351"/>
    <n v="2018"/>
    <s v="Adjust"/>
    <n v="413.89908688062309"/>
    <n v="466"/>
    <s v="Decreasing"/>
    <m/>
    <m/>
    <m/>
    <m/>
    <n v="2.7194724688277567"/>
    <n v="3.5973958250909082"/>
    <n v="3.1851401370915622"/>
    <n v="3.5860801604347659"/>
  </r>
  <r>
    <x v="28"/>
    <x v="28"/>
    <n v="1288756.5"/>
    <x v="31"/>
    <n v="0"/>
    <n v="1290691.4999999998"/>
    <n v="0"/>
    <m/>
    <n v="0"/>
    <m/>
    <n v="0"/>
    <m/>
    <n v="0"/>
    <m/>
    <n v="0"/>
    <n v="1295381.5000000005"/>
    <n v="0"/>
    <n v="65"/>
    <m/>
    <n v="0"/>
    <m/>
    <n v="0"/>
    <m/>
    <n v="0"/>
    <n v="1299468.9999999986"/>
    <n v="78"/>
    <n v="65"/>
    <n v="0"/>
    <n v="0"/>
    <n v="78"/>
    <m/>
    <s v=""/>
    <n v="65"/>
    <s v="2018 (triag)"/>
    <n v="78"/>
    <n v="2022"/>
    <s v=""/>
    <n v="78"/>
    <n v="78"/>
    <s v="Increasing"/>
    <m/>
    <m/>
    <m/>
    <m/>
    <n v="0"/>
    <n v="0.50178267946547006"/>
    <n v="0.60024517706848013"/>
    <n v="0.60024517706848013"/>
  </r>
  <r>
    <x v="28"/>
    <x v="28"/>
    <n v="1288757.5"/>
    <x v="32"/>
    <n v="0"/>
    <n v="1290691.4999999998"/>
    <n v="0"/>
    <m/>
    <n v="0"/>
    <m/>
    <n v="0"/>
    <m/>
    <n v="0"/>
    <m/>
    <n v="0"/>
    <n v="1295381.5000000005"/>
    <n v="0"/>
    <n v="0"/>
    <m/>
    <n v="0"/>
    <m/>
    <n v="0"/>
    <m/>
    <n v="0"/>
    <n v="1299468.9999999986"/>
    <n v="16"/>
    <n v="0"/>
    <n v="0"/>
    <n v="0"/>
    <n v="16"/>
    <m/>
    <s v=""/>
    <m/>
    <s v=""/>
    <n v="16"/>
    <n v="2022"/>
    <s v=""/>
    <n v="16"/>
    <n v="16"/>
    <s v="Increasing"/>
    <m/>
    <m/>
    <m/>
    <m/>
    <n v="0"/>
    <n v="0"/>
    <n v="0.123127215808919"/>
    <n v="0.123127215808919"/>
  </r>
  <r>
    <x v="29"/>
    <x v="29"/>
    <n v="15581250.5"/>
    <x v="19"/>
    <n v="0"/>
    <n v="16024775.499999996"/>
    <n v="200"/>
    <n v="16477966.500000002"/>
    <n v="0"/>
    <n v="16938941.500000004"/>
    <n v="0"/>
    <n v="17405623.5"/>
    <n v="539"/>
    <n v="17881167.000000004"/>
    <n v="0"/>
    <n v="18367882.999999985"/>
    <n v="2760"/>
    <n v="2760"/>
    <n v="18867336.499999993"/>
    <n v="0"/>
    <n v="19377061.499999985"/>
    <n v="958"/>
    <n v="19889742.000000011"/>
    <n v="0"/>
    <n v="20405316.500000019"/>
    <n v="996"/>
    <n v="2760"/>
    <n v="200"/>
    <n v="2760"/>
    <n v="996"/>
    <n v="200"/>
    <n v="2013"/>
    <n v="2760"/>
    <n v="2018"/>
    <n v="996"/>
    <n v="2022"/>
    <s v="Adjust"/>
    <n v="1103.5637751855782"/>
    <n v="2760"/>
    <s v="Decreasing"/>
    <m/>
    <m/>
    <m/>
    <m/>
    <n v="0.12480674066229511"/>
    <n v="1.5026228117851155"/>
    <n v="0.54082168986968526"/>
    <n v="1.3525886746231051"/>
  </r>
  <r>
    <x v="29"/>
    <x v="29"/>
    <n v="15581251.5"/>
    <x v="20"/>
    <n v="0"/>
    <n v="16024775.499999996"/>
    <n v="0"/>
    <m/>
    <n v="0"/>
    <m/>
    <n v="0"/>
    <m/>
    <n v="255"/>
    <m/>
    <n v="0"/>
    <n v="18367882.999999985"/>
    <n v="2582"/>
    <n v="2582"/>
    <m/>
    <n v="0"/>
    <m/>
    <n v="639"/>
    <m/>
    <n v="0"/>
    <n v="20405316.500000019"/>
    <n v="843"/>
    <n v="2582"/>
    <n v="0"/>
    <n v="2582"/>
    <n v="843"/>
    <m/>
    <s v=""/>
    <n v="2582"/>
    <n v="2018"/>
    <n v="843"/>
    <n v="2022"/>
    <s v="Adjust"/>
    <n v="934.04042417815492"/>
    <n v="2582"/>
    <s v="Decreasing"/>
    <m/>
    <m/>
    <m/>
    <m/>
    <n v="0"/>
    <n v="1.4057145289960755"/>
    <n v="0.45774365919693238"/>
    <n v="1.2653565064771222"/>
  </r>
  <r>
    <x v="29"/>
    <x v="29"/>
    <n v="15581252.5"/>
    <x v="21"/>
    <n v="0"/>
    <n v="16024775.499999996"/>
    <n v="32"/>
    <m/>
    <n v="0"/>
    <m/>
    <n v="0"/>
    <m/>
    <n v="0"/>
    <m/>
    <n v="0"/>
    <n v="18367882.999999985"/>
    <n v="178"/>
    <n v="178"/>
    <m/>
    <n v="0"/>
    <m/>
    <n v="319"/>
    <m/>
    <n v="0"/>
    <n v="20405316.500000019"/>
    <n v="141"/>
    <n v="178"/>
    <n v="32"/>
    <n v="178"/>
    <n v="319"/>
    <n v="32"/>
    <n v="2013"/>
    <n v="178"/>
    <n v="2018"/>
    <n v="141"/>
    <n v="2022"/>
    <s v="Adjust"/>
    <n v="156.22740190880171"/>
    <n v="178"/>
    <s v="Decreasing"/>
    <m/>
    <m/>
    <m/>
    <m/>
    <n v="1.9969078505967217E-2"/>
    <n v="9.6908282789040054E-2"/>
    <n v="7.6562106698419286E-2"/>
    <n v="8.723216814598285E-2"/>
  </r>
  <r>
    <x v="29"/>
    <x v="29"/>
    <n v="15581253.5"/>
    <x v="22"/>
    <n v="0"/>
    <n v="16024775.499999996"/>
    <n v="3545"/>
    <m/>
    <n v="0"/>
    <m/>
    <n v="0"/>
    <m/>
    <n v="4573"/>
    <m/>
    <n v="0"/>
    <n v="18367882.999999985"/>
    <n v="7957"/>
    <n v="7957"/>
    <m/>
    <n v="0"/>
    <m/>
    <n v="13564"/>
    <m/>
    <n v="0"/>
    <n v="20405316.500000019"/>
    <n v="9592"/>
    <n v="6025"/>
    <n v="3545"/>
    <n v="7957"/>
    <n v="13564"/>
    <n v="3545"/>
    <n v="2013"/>
    <n v="7957"/>
    <n v="2018"/>
    <n v="9592"/>
    <n v="2022"/>
    <s v=""/>
    <n v="9592"/>
    <n v="9592"/>
    <s v="Increasing"/>
    <m/>
    <m/>
    <m/>
    <m/>
    <n v="2.2121994782391807"/>
    <n v="4.3320180120920888"/>
    <n v="4.7007357126756606"/>
    <n v="4.7007357126756606"/>
  </r>
  <r>
    <x v="29"/>
    <x v="29"/>
    <n v="15581254.5"/>
    <x v="23"/>
    <n v="0"/>
    <n v="16024775.499999996"/>
    <n v="0"/>
    <m/>
    <n v="0"/>
    <m/>
    <n v="0"/>
    <m/>
    <n v="0"/>
    <m/>
    <n v="0"/>
    <n v="18367882.999999985"/>
    <n v="1633"/>
    <n v="1633"/>
    <m/>
    <n v="0"/>
    <m/>
    <n v="7483"/>
    <m/>
    <n v="0"/>
    <n v="20405316.500000019"/>
    <n v="2891"/>
    <n v="1549"/>
    <n v="0"/>
    <n v="1633"/>
    <n v="7483"/>
    <m/>
    <s v=""/>
    <n v="1633"/>
    <n v="2018"/>
    <n v="2891"/>
    <n v="2022"/>
    <s v=""/>
    <n v="2891"/>
    <n v="2891"/>
    <s v="Increasing"/>
    <m/>
    <m/>
    <m/>
    <m/>
    <n v="0"/>
    <n v="0.88905183030619328"/>
    <n v="1.4167876298316653"/>
    <n v="1.4167876298316653"/>
  </r>
  <r>
    <x v="29"/>
    <x v="29"/>
    <n v="15581255.5"/>
    <x v="24"/>
    <n v="0"/>
    <n v="16024775.499999996"/>
    <n v="0"/>
    <m/>
    <n v="0"/>
    <m/>
    <n v="0"/>
    <m/>
    <n v="0"/>
    <m/>
    <n v="0"/>
    <n v="18367882.999999985"/>
    <n v="6324"/>
    <n v="6324"/>
    <m/>
    <n v="0"/>
    <m/>
    <n v="6004"/>
    <m/>
    <n v="0"/>
    <n v="20405316.500000019"/>
    <n v="6474"/>
    <n v="4476"/>
    <n v="0"/>
    <n v="6324"/>
    <n v="6474"/>
    <m/>
    <s v=""/>
    <n v="6324"/>
    <n v="2018"/>
    <n v="6474"/>
    <n v="2022"/>
    <s v=""/>
    <n v="6474"/>
    <n v="6474"/>
    <s v="Increasing"/>
    <m/>
    <m/>
    <m/>
    <m/>
    <n v="0"/>
    <n v="3.442966181785895"/>
    <n v="3.1727025650398484"/>
    <n v="3.1727025650398484"/>
  </r>
  <r>
    <x v="29"/>
    <x v="29"/>
    <n v="15581256.5"/>
    <x v="25"/>
    <n v="0"/>
    <n v="16024775.499999996"/>
    <n v="48"/>
    <m/>
    <n v="0"/>
    <m/>
    <n v="0"/>
    <m/>
    <n v="568"/>
    <m/>
    <n v="0"/>
    <n v="18367882.999999985"/>
    <n v="0"/>
    <n v="0"/>
    <m/>
    <n v="0"/>
    <m/>
    <n v="0"/>
    <m/>
    <n v="0"/>
    <n v="20405316.500000019"/>
    <n v="616"/>
    <n v="0"/>
    <n v="48"/>
    <n v="568"/>
    <n v="616"/>
    <n v="48"/>
    <n v="2013"/>
    <m/>
    <s v=""/>
    <n v="616"/>
    <n v="2022"/>
    <s v=""/>
    <n v="616"/>
    <n v="616"/>
    <s v="Increasing"/>
    <m/>
    <m/>
    <m/>
    <m/>
    <n v="2.9953617758950828E-2"/>
    <n v="0"/>
    <n v="0.30188210998834514"/>
    <n v="0.30188210998834514"/>
  </r>
  <r>
    <x v="29"/>
    <x v="29"/>
    <n v="15581257.5"/>
    <x v="26"/>
    <n v="0"/>
    <n v="16024775.499999996"/>
    <n v="0"/>
    <m/>
    <n v="0"/>
    <m/>
    <n v="0"/>
    <m/>
    <n v="0"/>
    <m/>
    <n v="0"/>
    <n v="18367882.999999985"/>
    <n v="0"/>
    <n v="0"/>
    <m/>
    <n v="0"/>
    <m/>
    <n v="0"/>
    <m/>
    <n v="0"/>
    <n v="20405316.500000019"/>
    <n v="0"/>
    <n v="0"/>
    <n v="0"/>
    <n v="0"/>
    <n v="0"/>
    <m/>
    <s v=""/>
    <m/>
    <s v=""/>
    <n v="0"/>
    <s v=""/>
    <s v=""/>
    <m/>
    <n v="0"/>
    <s v="No change"/>
    <m/>
    <m/>
    <m/>
    <m/>
    <n v="0"/>
    <n v="0"/>
    <n v="0"/>
    <n v="0"/>
  </r>
  <r>
    <x v="29"/>
    <x v="29"/>
    <n v="15581258.5"/>
    <x v="27"/>
    <n v="0"/>
    <n v="16024775.499999996"/>
    <n v="48"/>
    <m/>
    <n v="0"/>
    <m/>
    <n v="0"/>
    <m/>
    <n v="568"/>
    <m/>
    <n v="0"/>
    <n v="18367882.999999985"/>
    <n v="0"/>
    <n v="0"/>
    <m/>
    <n v="0"/>
    <m/>
    <n v="0"/>
    <m/>
    <n v="0"/>
    <n v="20405316.500000019"/>
    <n v="0"/>
    <n v="0"/>
    <n v="48"/>
    <n v="568"/>
    <n v="0"/>
    <n v="48"/>
    <n v="2013"/>
    <m/>
    <s v=""/>
    <n v="0"/>
    <s v=""/>
    <s v=""/>
    <m/>
    <n v="0"/>
    <s v="No change"/>
    <m/>
    <m/>
    <m/>
    <m/>
    <n v="2.9953617758950828E-2"/>
    <n v="0"/>
    <n v="0"/>
    <n v="0"/>
  </r>
  <r>
    <x v="29"/>
    <x v="29"/>
    <n v="15581259.5"/>
    <x v="28"/>
    <n v="0"/>
    <n v="16024775.499999996"/>
    <n v="170"/>
    <m/>
    <n v="0"/>
    <m/>
    <n v="0"/>
    <m/>
    <n v="0"/>
    <m/>
    <n v="0"/>
    <n v="18367882.999999985"/>
    <n v="387"/>
    <n v="387"/>
    <m/>
    <n v="0"/>
    <m/>
    <n v="151"/>
    <m/>
    <n v="0"/>
    <n v="20405316.500000019"/>
    <n v="111"/>
    <n v="111"/>
    <n v="170"/>
    <n v="387"/>
    <n v="151"/>
    <n v="170"/>
    <n v="2013"/>
    <n v="387"/>
    <n v="2018"/>
    <n v="111"/>
    <n v="2022"/>
    <s v="Adjust"/>
    <n v="122.98752916224815"/>
    <n v="387"/>
    <s v="Decreasing"/>
    <m/>
    <m/>
    <m/>
    <m/>
    <n v="0.10608572956295084"/>
    <n v="0.21069385078291294"/>
    <n v="6.0272296762585401E-2"/>
    <n v="0.18965645546345711"/>
  </r>
  <r>
    <x v="29"/>
    <x v="29"/>
    <n v="15581260.5"/>
    <x v="29"/>
    <n v="0"/>
    <n v="16024775.499999996"/>
    <n v="0"/>
    <m/>
    <n v="0"/>
    <m/>
    <n v="0"/>
    <m/>
    <n v="218"/>
    <m/>
    <n v="0"/>
    <n v="18367882.999999985"/>
    <n v="234"/>
    <n v="276"/>
    <m/>
    <n v="0"/>
    <m/>
    <n v="600"/>
    <m/>
    <n v="0"/>
    <n v="20405316.500000019"/>
    <n v="710"/>
    <n v="276"/>
    <n v="0"/>
    <n v="234"/>
    <n v="710"/>
    <m/>
    <s v=""/>
    <n v="276"/>
    <s v="2018 (triag)"/>
    <n v="710"/>
    <n v="2022"/>
    <s v=""/>
    <n v="710"/>
    <n v="710"/>
    <s v="Increasing"/>
    <m/>
    <m/>
    <m/>
    <m/>
    <n v="0"/>
    <n v="0.15026228117851154"/>
    <n v="0.34794853586319002"/>
    <n v="0.34794853586319002"/>
  </r>
  <r>
    <x v="29"/>
    <x v="29"/>
    <n v="15581261.5"/>
    <x v="30"/>
    <n v="0"/>
    <n v="16024775.499999996"/>
    <n v="0"/>
    <m/>
    <n v="0"/>
    <m/>
    <n v="0"/>
    <m/>
    <n v="0"/>
    <m/>
    <n v="0"/>
    <n v="18367882.999999985"/>
    <n v="112"/>
    <n v="112"/>
    <m/>
    <n v="0"/>
    <m/>
    <n v="149"/>
    <m/>
    <n v="0"/>
    <n v="20405316.500000019"/>
    <n v="91"/>
    <n v="36"/>
    <n v="0"/>
    <n v="112"/>
    <n v="149"/>
    <m/>
    <s v=""/>
    <n v="112"/>
    <n v="2018"/>
    <n v="91"/>
    <n v="2022"/>
    <s v="Adjust"/>
    <n v="100.82761399787913"/>
    <n v="112"/>
    <s v="Decreasing"/>
    <m/>
    <m/>
    <m/>
    <m/>
    <n v="0"/>
    <n v="6.0975998159395993E-2"/>
    <n v="4.9412423472029475E-2"/>
    <n v="5.4887656361517302E-2"/>
  </r>
  <r>
    <x v="29"/>
    <x v="29"/>
    <n v="15581262.5"/>
    <x v="31"/>
    <n v="0"/>
    <n v="16024775.499999996"/>
    <n v="0"/>
    <m/>
    <n v="0"/>
    <m/>
    <n v="0"/>
    <m/>
    <n v="0"/>
    <m/>
    <n v="0"/>
    <n v="18367882.999999985"/>
    <n v="0"/>
    <n v="76"/>
    <m/>
    <n v="0"/>
    <m/>
    <n v="204"/>
    <m/>
    <n v="0"/>
    <n v="20405316.500000019"/>
    <n v="173"/>
    <n v="76"/>
    <n v="0"/>
    <n v="0"/>
    <n v="204"/>
    <m/>
    <s v=""/>
    <n v="76"/>
    <s v="2018 (triag)"/>
    <n v="173"/>
    <n v="2022"/>
    <s v=""/>
    <n v="173"/>
    <n v="173"/>
    <s v="Increasing"/>
    <m/>
    <m/>
    <m/>
    <m/>
    <n v="0"/>
    <n v="4.1376570179590136E-2"/>
    <n v="8.478182634412941E-2"/>
    <n v="8.478182634412941E-2"/>
  </r>
  <r>
    <x v="29"/>
    <x v="29"/>
    <n v="15581263.5"/>
    <x v="32"/>
    <n v="0"/>
    <n v="16024775.499999996"/>
    <n v="0"/>
    <m/>
    <n v="0"/>
    <m/>
    <n v="0"/>
    <m/>
    <n v="0"/>
    <m/>
    <n v="0"/>
    <n v="18367882.999999985"/>
    <n v="0"/>
    <n v="0"/>
    <m/>
    <n v="0"/>
    <m/>
    <n v="0"/>
    <m/>
    <n v="0"/>
    <n v="20405316.500000019"/>
    <n v="11"/>
    <n v="0"/>
    <n v="0"/>
    <n v="0"/>
    <n v="11"/>
    <m/>
    <s v=""/>
    <m/>
    <s v=""/>
    <n v="11"/>
    <n v="2022"/>
    <s v=""/>
    <n v="11"/>
    <n v="11"/>
    <s v="Increasing"/>
    <m/>
    <m/>
    <m/>
    <m/>
    <n v="0"/>
    <n v="0"/>
    <n v="5.3907519640775921E-3"/>
    <n v="5.3907519640775921E-3"/>
  </r>
  <r>
    <x v="30"/>
    <x v="30"/>
    <n v="2167470.0000000023"/>
    <x v="19"/>
    <n v="0"/>
    <n v="2204510.0000000005"/>
    <n v="0"/>
    <n v="2243000.9999999991"/>
    <n v="0"/>
    <n v="2282703.9999999995"/>
    <n v="0"/>
    <n v="2323352"/>
    <n v="0"/>
    <n v="2364533.5000000009"/>
    <n v="1421"/>
    <n v="2405680.5000000005"/>
    <n v="806"/>
    <n v="1445"/>
    <n v="2446644.4999999977"/>
    <n v="900"/>
    <n v="2489097.9999999991"/>
    <n v="1036"/>
    <n v="2530150.5000000014"/>
    <n v="1181"/>
    <n v="2567012.4999999995"/>
    <n v="1597"/>
    <n v="1445"/>
    <n v="0"/>
    <n v="1421"/>
    <n v="1597"/>
    <m/>
    <s v=""/>
    <n v="1445"/>
    <s v="2018 (triag)"/>
    <n v="1597"/>
    <n v="2022"/>
    <s v=""/>
    <n v="1597"/>
    <n v="1597"/>
    <s v="Increasing"/>
    <m/>
    <m/>
    <m/>
    <m/>
    <n v="0"/>
    <n v="6.0066164230869381"/>
    <n v="6.2212396706287967"/>
    <n v="6.2212396706287967"/>
  </r>
  <r>
    <x v="30"/>
    <x v="30"/>
    <n v="2167471"/>
    <x v="20"/>
    <n v="0"/>
    <n v="2204510.0000000005"/>
    <n v="0"/>
    <m/>
    <n v="0"/>
    <m/>
    <n v="0"/>
    <m/>
    <n v="0"/>
    <m/>
    <n v="0"/>
    <n v="2405680.5000000005"/>
    <n v="806"/>
    <n v="1044"/>
    <m/>
    <n v="900"/>
    <m/>
    <n v="1036"/>
    <m/>
    <n v="1181"/>
    <n v="2567012.4999999995"/>
    <n v="1336"/>
    <n v="1044"/>
    <n v="0"/>
    <n v="900"/>
    <n v="1336"/>
    <m/>
    <s v=""/>
    <n v="1044"/>
    <s v="2018 (triag)"/>
    <n v="1336"/>
    <n v="2022"/>
    <s v=""/>
    <n v="1336"/>
    <n v="1336"/>
    <s v="Increasing"/>
    <m/>
    <m/>
    <m/>
    <m/>
    <n v="0"/>
    <n v="4.3397284053306322"/>
    <n v="5.2044935503820113"/>
    <n v="5.2044935503820113"/>
  </r>
  <r>
    <x v="30"/>
    <x v="30"/>
    <n v="2167472"/>
    <x v="21"/>
    <n v="0"/>
    <n v="2204510.0000000005"/>
    <n v="0"/>
    <m/>
    <n v="0"/>
    <m/>
    <n v="0"/>
    <m/>
    <n v="0"/>
    <m/>
    <n v="0"/>
    <n v="2405680.5000000005"/>
    <n v="0"/>
    <n v="401"/>
    <m/>
    <n v="0"/>
    <m/>
    <n v="0"/>
    <m/>
    <n v="0"/>
    <n v="2567012.4999999995"/>
    <n v="58"/>
    <n v="401"/>
    <n v="0"/>
    <n v="0"/>
    <n v="58"/>
    <m/>
    <s v=""/>
    <n v="401"/>
    <s v="2018 (triag)"/>
    <n v="58"/>
    <n v="2022"/>
    <s v="Adjust"/>
    <n v="87.857332293291734"/>
    <n v="401"/>
    <s v="Decreasing"/>
    <m/>
    <m/>
    <m/>
    <m/>
    <n v="0"/>
    <n v="1.6668880177563061"/>
    <n v="0.34225517909745962"/>
    <n v="1.5621271809155588"/>
  </r>
  <r>
    <x v="30"/>
    <x v="30"/>
    <n v="2167473"/>
    <x v="22"/>
    <n v="0"/>
    <n v="2204510.0000000005"/>
    <n v="4110"/>
    <m/>
    <n v="4212"/>
    <m/>
    <n v="4365"/>
    <m/>
    <n v="4816"/>
    <m/>
    <n v="4853"/>
    <n v="2405680.5000000005"/>
    <n v="5307"/>
    <n v="12956"/>
    <m/>
    <n v="5903"/>
    <m/>
    <n v="6440"/>
    <m/>
    <n v="7166"/>
    <n v="2567012.4999999995"/>
    <n v="10271"/>
    <n v="12956"/>
    <n v="4365"/>
    <n v="5903"/>
    <n v="10271"/>
    <n v="4110"/>
    <n v="2013"/>
    <n v="12956"/>
    <s v="2018 (triag)"/>
    <n v="10271"/>
    <n v="2022"/>
    <s v="Adjust"/>
    <n v="15558.321723868956"/>
    <n v="15558.321723868956"/>
    <s v="Increasing"/>
    <m/>
    <m/>
    <m/>
    <m/>
    <n v="18.643598804269427"/>
    <n v="53.855863237034164"/>
    <n v="60.6086714570691"/>
    <n v="60.6086714570691"/>
  </r>
  <r>
    <x v="30"/>
    <x v="30"/>
    <n v="2167474"/>
    <x v="23"/>
    <n v="0"/>
    <n v="2204510.0000000005"/>
    <n v="2042"/>
    <m/>
    <n v="2094"/>
    <m/>
    <n v="2176"/>
    <m/>
    <n v="2358"/>
    <m/>
    <n v="2314"/>
    <n v="2405680.5000000005"/>
    <n v="5263"/>
    <n v="8719"/>
    <m/>
    <n v="5859"/>
    <m/>
    <n v="6396"/>
    <m/>
    <n v="7121"/>
    <n v="2567012.4999999995"/>
    <n v="8560"/>
    <n v="8719"/>
    <n v="2176"/>
    <n v="5859"/>
    <n v="8560"/>
    <n v="2042"/>
    <n v="2013"/>
    <n v="8719"/>
    <s v="2018 (triag)"/>
    <n v="8560"/>
    <n v="2022"/>
    <s v="Adjust"/>
    <n v="12966.53042121685"/>
    <n v="12966.53042121685"/>
    <s v="Increasing"/>
    <m/>
    <m/>
    <m/>
    <m/>
    <n v="9.2628293815859291"/>
    <n v="36.243383109269907"/>
    <n v="50.512143673694041"/>
    <n v="50.512143673694041"/>
  </r>
  <r>
    <x v="30"/>
    <x v="30"/>
    <n v="2167475"/>
    <x v="24"/>
    <n v="0"/>
    <n v="2204510.0000000005"/>
    <n v="2068"/>
    <m/>
    <n v="2118"/>
    <m/>
    <n v="2189"/>
    <m/>
    <n v="2458"/>
    <m/>
    <n v="2539"/>
    <n v="2405680.5000000005"/>
    <n v="44"/>
    <n v="4237"/>
    <m/>
    <n v="44"/>
    <m/>
    <n v="44"/>
    <m/>
    <n v="45"/>
    <n v="2567012.4999999995"/>
    <n v="45"/>
    <n v="4237"/>
    <n v="2189"/>
    <n v="2539"/>
    <n v="45"/>
    <n v="2068"/>
    <n v="2013"/>
    <n v="4237"/>
    <s v="2018 (triag)"/>
    <n v="45"/>
    <n v="2021"/>
    <s v="Adjust"/>
    <n v="68.165171606864277"/>
    <n v="4237"/>
    <s v="Decreasing"/>
    <m/>
    <m/>
    <m/>
    <m/>
    <n v="9.3807694226834961"/>
    <n v="17.612480127764261"/>
    <n v="0.26554281136871866"/>
    <n v="16.505568243239956"/>
  </r>
  <r>
    <x v="30"/>
    <x v="30"/>
    <n v="2167476"/>
    <x v="25"/>
    <n v="0"/>
    <n v="2204510.0000000005"/>
    <n v="0"/>
    <m/>
    <n v="0"/>
    <m/>
    <n v="0"/>
    <m/>
    <n v="0"/>
    <m/>
    <n v="0"/>
    <n v="2405680.5000000005"/>
    <n v="5"/>
    <n v="5"/>
    <m/>
    <n v="5"/>
    <m/>
    <n v="5"/>
    <m/>
    <n v="6"/>
    <n v="2567012.4999999995"/>
    <n v="17"/>
    <n v="0"/>
    <n v="0"/>
    <n v="5"/>
    <n v="17"/>
    <m/>
    <s v=""/>
    <n v="5"/>
    <n v="2018"/>
    <n v="17"/>
    <n v="2022"/>
    <s v=""/>
    <n v="17"/>
    <n v="17"/>
    <s v="Increasing"/>
    <m/>
    <m/>
    <m/>
    <m/>
    <n v="0"/>
    <n v="2.0784139872273143E-2"/>
    <n v="6.6224843081208226E-2"/>
    <n v="6.6224843081208226E-2"/>
  </r>
  <r>
    <x v="30"/>
    <x v="30"/>
    <n v="2167477"/>
    <x v="26"/>
    <n v="0"/>
    <n v="2204510.0000000005"/>
    <n v="0"/>
    <m/>
    <n v="0"/>
    <m/>
    <n v="0"/>
    <m/>
    <n v="0"/>
    <m/>
    <n v="0"/>
    <n v="2405680.5000000005"/>
    <n v="5"/>
    <n v="5"/>
    <m/>
    <n v="5"/>
    <m/>
    <n v="5"/>
    <m/>
    <n v="6"/>
    <n v="2567012.4999999995"/>
    <n v="7"/>
    <n v="0"/>
    <n v="0"/>
    <n v="5"/>
    <n v="7"/>
    <m/>
    <s v=""/>
    <n v="5"/>
    <n v="2018"/>
    <n v="7"/>
    <n v="2022"/>
    <s v=""/>
    <n v="7"/>
    <n v="7"/>
    <s v="Increasing"/>
    <m/>
    <m/>
    <m/>
    <m/>
    <n v="0"/>
    <n v="2.0784139872273143E-2"/>
    <n v="2.726905303343868E-2"/>
    <n v="2.726905303343868E-2"/>
  </r>
  <r>
    <x v="30"/>
    <x v="30"/>
    <n v="2167478"/>
    <x v="27"/>
    <n v="0"/>
    <n v="2204510.0000000005"/>
    <n v="0"/>
    <m/>
    <n v="0"/>
    <m/>
    <n v="0"/>
    <m/>
    <n v="0"/>
    <m/>
    <n v="0"/>
    <n v="2405680.5000000005"/>
    <n v="0"/>
    <n v="0"/>
    <m/>
    <n v="0"/>
    <m/>
    <n v="0"/>
    <m/>
    <n v="0"/>
    <n v="2567012.4999999995"/>
    <n v="0"/>
    <n v="0"/>
    <n v="0"/>
    <n v="0"/>
    <n v="0"/>
    <m/>
    <s v=""/>
    <m/>
    <s v=""/>
    <n v="0"/>
    <s v=""/>
    <s v=""/>
    <m/>
    <n v="0"/>
    <s v="No change"/>
    <m/>
    <m/>
    <m/>
    <m/>
    <n v="0"/>
    <n v="0"/>
    <n v="0"/>
    <n v="0"/>
  </r>
  <r>
    <x v="30"/>
    <x v="30"/>
    <n v="2167479"/>
    <x v="28"/>
    <n v="0"/>
    <n v="2204510.0000000005"/>
    <n v="0"/>
    <m/>
    <n v="0"/>
    <m/>
    <n v="0"/>
    <m/>
    <n v="0"/>
    <m/>
    <n v="0"/>
    <n v="2405680.5000000005"/>
    <n v="464"/>
    <n v="598"/>
    <m/>
    <n v="514"/>
    <m/>
    <n v="546"/>
    <m/>
    <n v="603"/>
    <n v="2567012.4999999995"/>
    <n v="655"/>
    <n v="598"/>
    <n v="0"/>
    <n v="514"/>
    <n v="655"/>
    <m/>
    <s v=""/>
    <n v="598"/>
    <s v="2018 (triag)"/>
    <n v="655"/>
    <n v="2022"/>
    <s v=""/>
    <n v="655"/>
    <n v="655"/>
    <s v="Increasing"/>
    <m/>
    <m/>
    <m/>
    <m/>
    <n v="0"/>
    <n v="2.4857831287238681"/>
    <n v="2.5516042481289052"/>
    <n v="2.5516042481289052"/>
  </r>
  <r>
    <x v="30"/>
    <x v="30"/>
    <n v="2167480"/>
    <x v="29"/>
    <n v="0"/>
    <n v="2204510.0000000005"/>
    <n v="0"/>
    <m/>
    <n v="0"/>
    <m/>
    <n v="0"/>
    <m/>
    <n v="0"/>
    <m/>
    <n v="0"/>
    <n v="2405680.5000000005"/>
    <n v="226"/>
    <n v="309"/>
    <m/>
    <n v="300"/>
    <m/>
    <n v="338"/>
    <m/>
    <n v="372"/>
    <n v="2567012.4999999995"/>
    <n v="402"/>
    <n v="309"/>
    <n v="0"/>
    <n v="300"/>
    <n v="402"/>
    <m/>
    <s v=""/>
    <n v="309"/>
    <s v="2018 (triag)"/>
    <n v="402"/>
    <n v="2022"/>
    <s v=""/>
    <n v="402"/>
    <n v="402"/>
    <s v="Increasing"/>
    <m/>
    <m/>
    <m/>
    <m/>
    <n v="0"/>
    <n v="1.2844598441064803"/>
    <n v="1.5660227599203358"/>
    <n v="1.5660227599203358"/>
  </r>
  <r>
    <x v="30"/>
    <x v="30"/>
    <n v="2167481"/>
    <x v="30"/>
    <n v="0"/>
    <n v="2204510.0000000005"/>
    <n v="0"/>
    <m/>
    <n v="68"/>
    <m/>
    <n v="0"/>
    <m/>
    <n v="0"/>
    <m/>
    <n v="0"/>
    <n v="2405680.5000000005"/>
    <n v="87"/>
    <n v="181"/>
    <m/>
    <n v="117"/>
    <m/>
    <n v="138"/>
    <m/>
    <n v="161"/>
    <n v="2567012.4999999995"/>
    <n v="224"/>
    <n v="181"/>
    <n v="68"/>
    <n v="117"/>
    <n v="224"/>
    <n v="68"/>
    <n v="2014"/>
    <n v="181"/>
    <s v="2018 (triag)"/>
    <n v="224"/>
    <n v="2022"/>
    <s v=""/>
    <n v="224"/>
    <n v="224"/>
    <s v="Increasing"/>
    <m/>
    <m/>
    <m/>
    <m/>
    <n v="0.30845856902440899"/>
    <n v="0.75238586337628777"/>
    <n v="0.87260969707003777"/>
    <n v="0.87260969707003777"/>
  </r>
  <r>
    <x v="30"/>
    <x v="30"/>
    <n v="2167482"/>
    <x v="31"/>
    <n v="0"/>
    <n v="2204510.0000000005"/>
    <n v="0"/>
    <m/>
    <n v="0"/>
    <m/>
    <n v="0"/>
    <m/>
    <n v="0"/>
    <m/>
    <n v="0"/>
    <n v="2405680.5000000005"/>
    <n v="41"/>
    <n v="108"/>
    <m/>
    <n v="43"/>
    <m/>
    <n v="43"/>
    <m/>
    <n v="48"/>
    <n v="2567012.4999999995"/>
    <n v="104"/>
    <n v="108"/>
    <n v="0"/>
    <n v="43"/>
    <n v="104"/>
    <m/>
    <s v=""/>
    <n v="108"/>
    <s v="2018 (triag)"/>
    <n v="104"/>
    <n v="2022"/>
    <s v="Adjust"/>
    <n v="157.53728549141965"/>
    <n v="157.53728549141965"/>
    <s v="Increasing"/>
    <m/>
    <m/>
    <m/>
    <m/>
    <n v="0"/>
    <n v="0.44893742124109987"/>
    <n v="0.61369894182992757"/>
    <n v="0.61369894182992757"/>
  </r>
  <r>
    <x v="30"/>
    <x v="30"/>
    <n v="2167483"/>
    <x v="32"/>
    <n v="0"/>
    <n v="2204510.0000000005"/>
    <n v="0"/>
    <m/>
    <n v="0"/>
    <m/>
    <n v="0"/>
    <m/>
    <n v="0"/>
    <m/>
    <n v="0"/>
    <n v="2405680.5000000005"/>
    <n v="0"/>
    <n v="0"/>
    <m/>
    <n v="0"/>
    <m/>
    <n v="0"/>
    <m/>
    <n v="0"/>
    <n v="2567012.4999999995"/>
    <n v="13"/>
    <n v="0"/>
    <n v="0"/>
    <n v="0"/>
    <n v="13"/>
    <m/>
    <s v=""/>
    <m/>
    <s v=""/>
    <n v="13"/>
    <n v="2022"/>
    <s v=""/>
    <n v="13"/>
    <n v="13"/>
    <s v="Increasing"/>
    <m/>
    <m/>
    <m/>
    <m/>
    <n v="0"/>
    <n v="0"/>
    <n v="5.0642527062100408E-2"/>
    <n v="5.0642527062100408E-2"/>
  </r>
  <r>
    <x v="31"/>
    <x v="31"/>
    <n v="17954407.000000004"/>
    <x v="19"/>
    <n v="952"/>
    <n v="18653199"/>
    <n v="946"/>
    <n v="19372013.999999993"/>
    <n v="523"/>
    <n v="20128123.999999989"/>
    <n v="634"/>
    <n v="20921743.000000011"/>
    <n v="681"/>
    <n v="21737922.000000011"/>
    <n v="472"/>
    <n v="22577057.999999996"/>
    <n v="818"/>
    <n v="1065"/>
    <n v="23443392.999999978"/>
    <n v="888"/>
    <n v="24333638.499999985"/>
    <n v="835"/>
    <n v="25252721.999999989"/>
    <n v="0"/>
    <n v="26207976.5"/>
    <n v="614"/>
    <n v="1065"/>
    <n v="952"/>
    <n v="888"/>
    <n v="835"/>
    <n v="946"/>
    <n v="2013"/>
    <n v="1065"/>
    <s v="2018 (triag)"/>
    <n v="614"/>
    <n v="2022"/>
    <s v="Adjust"/>
    <n v="705.66936761273496"/>
    <n v="1065"/>
    <s v="Decreasing"/>
    <m/>
    <m/>
    <m/>
    <m/>
    <n v="0.50715161511974438"/>
    <n v="0.47171779423164883"/>
    <n v="0.2692574787728213"/>
    <n v="0.40636483324075018"/>
  </r>
  <r>
    <x v="31"/>
    <x v="31"/>
    <n v="17954408"/>
    <x v="20"/>
    <n v="0"/>
    <n v="18653199"/>
    <n v="0"/>
    <m/>
    <n v="0"/>
    <m/>
    <n v="0"/>
    <m/>
    <n v="0"/>
    <m/>
    <n v="0"/>
    <n v="22577057.999999996"/>
    <n v="0"/>
    <n v="1065"/>
    <m/>
    <n v="0"/>
    <m/>
    <n v="0"/>
    <m/>
    <n v="0"/>
    <n v="26207976.5"/>
    <n v="316"/>
    <n v="1065"/>
    <n v="0"/>
    <n v="0"/>
    <n v="316"/>
    <m/>
    <s v=""/>
    <n v="1065"/>
    <s v="2018 (triag)"/>
    <n v="316"/>
    <n v="2022"/>
    <s v="Adjust"/>
    <n v="363.17837160525119"/>
    <n v="1065"/>
    <s v="Decreasing"/>
    <m/>
    <m/>
    <m/>
    <m/>
    <n v="0"/>
    <n v="0.47171779423164883"/>
    <n v="0.13857551024790149"/>
    <n v="0.40636483324075018"/>
  </r>
  <r>
    <x v="31"/>
    <x v="31"/>
    <n v="17954409"/>
    <x v="21"/>
    <n v="0"/>
    <n v="18653199"/>
    <n v="0"/>
    <m/>
    <n v="0"/>
    <m/>
    <n v="0"/>
    <m/>
    <n v="0"/>
    <m/>
    <n v="0"/>
    <n v="22577057.999999996"/>
    <n v="0"/>
    <n v="0"/>
    <m/>
    <n v="0"/>
    <m/>
    <n v="0"/>
    <m/>
    <n v="0"/>
    <n v="26207976.5"/>
    <n v="298"/>
    <n v="0"/>
    <n v="0"/>
    <n v="0"/>
    <n v="298"/>
    <m/>
    <s v=""/>
    <m/>
    <s v=""/>
    <n v="298"/>
    <n v="2022"/>
    <s v=""/>
    <n v="298"/>
    <n v="298"/>
    <s v="Increasing"/>
    <m/>
    <m/>
    <m/>
    <m/>
    <n v="0"/>
    <n v="0"/>
    <n v="0.11370584066267"/>
    <n v="0.11370584066267"/>
  </r>
  <r>
    <x v="31"/>
    <x v="31"/>
    <n v="17954410"/>
    <x v="22"/>
    <n v="0"/>
    <n v="18653199"/>
    <n v="3533"/>
    <m/>
    <n v="4940"/>
    <m/>
    <n v="3253"/>
    <m/>
    <n v="4746"/>
    <m/>
    <n v="0"/>
    <n v="22577057.999999996"/>
    <n v="4107"/>
    <n v="4107"/>
    <m/>
    <n v="0"/>
    <m/>
    <n v="0"/>
    <m/>
    <n v="0"/>
    <n v="26207976.5"/>
    <n v="4565"/>
    <n v="3581"/>
    <n v="4940"/>
    <n v="4746"/>
    <n v="4565"/>
    <n v="3533"/>
    <n v="2013"/>
    <n v="4107"/>
    <n v="2018"/>
    <n v="4565"/>
    <n v="2022"/>
    <s v=""/>
    <n v="4565"/>
    <n v="4565"/>
    <s v="Increasing"/>
    <m/>
    <m/>
    <m/>
    <m/>
    <n v="1.894045091139595"/>
    <n v="1.8191032684595134"/>
    <n v="1.7418361161915725"/>
    <n v="1.7418361161915725"/>
  </r>
  <r>
    <x v="31"/>
    <x v="31"/>
    <n v="17954411"/>
    <x v="23"/>
    <n v="0"/>
    <n v="18653199"/>
    <n v="0"/>
    <m/>
    <n v="0"/>
    <m/>
    <n v="0"/>
    <m/>
    <n v="0"/>
    <m/>
    <n v="0"/>
    <n v="22577057.999999996"/>
    <n v="2398"/>
    <n v="2398"/>
    <m/>
    <n v="0"/>
    <m/>
    <n v="0"/>
    <m/>
    <n v="0"/>
    <n v="26207976.5"/>
    <n v="4565"/>
    <n v="2118"/>
    <n v="0"/>
    <n v="2398"/>
    <n v="4565"/>
    <m/>
    <s v=""/>
    <n v="2398"/>
    <n v="2018"/>
    <n v="4565"/>
    <n v="2022"/>
    <s v=""/>
    <n v="4565"/>
    <n v="4565"/>
    <s v="Increasing"/>
    <m/>
    <m/>
    <m/>
    <m/>
    <n v="0"/>
    <n v="1.0621401601572713"/>
    <n v="1.7418361161915725"/>
    <n v="1.7418361161915725"/>
  </r>
  <r>
    <x v="31"/>
    <x v="31"/>
    <n v="17954412"/>
    <x v="24"/>
    <n v="0"/>
    <n v="18653199"/>
    <n v="0"/>
    <m/>
    <n v="0"/>
    <m/>
    <n v="0"/>
    <m/>
    <n v="0"/>
    <m/>
    <n v="0"/>
    <n v="22577057.999999996"/>
    <n v="1709"/>
    <n v="1709"/>
    <m/>
    <n v="0"/>
    <m/>
    <n v="0"/>
    <m/>
    <n v="0"/>
    <n v="26207976.5"/>
    <n v="0"/>
    <n v="1463"/>
    <n v="0"/>
    <n v="1709"/>
    <n v="0"/>
    <m/>
    <s v=""/>
    <n v="1709"/>
    <n v="2018"/>
    <n v="1709"/>
    <n v="2018"/>
    <s v=""/>
    <n v="1709"/>
    <n v="1709"/>
    <s v="No change"/>
    <m/>
    <m/>
    <m/>
    <m/>
    <n v="0"/>
    <n v="0.75696310830224212"/>
    <n v="0.6520915493037015"/>
    <n v="0.6520915493037015"/>
  </r>
  <r>
    <x v="31"/>
    <x v="31"/>
    <n v="17954413"/>
    <x v="25"/>
    <n v="894"/>
    <n v="18653199"/>
    <n v="917"/>
    <m/>
    <n v="959"/>
    <m/>
    <n v="824"/>
    <m/>
    <n v="856"/>
    <m/>
    <n v="0"/>
    <n v="22577057.999999996"/>
    <n v="906"/>
    <n v="906"/>
    <m/>
    <n v="0"/>
    <m/>
    <n v="0"/>
    <m/>
    <n v="0"/>
    <n v="26207976.5"/>
    <n v="718"/>
    <n v="902"/>
    <n v="959"/>
    <n v="906"/>
    <n v="718"/>
    <n v="917"/>
    <n v="2013"/>
    <n v="906"/>
    <n v="2018"/>
    <n v="718"/>
    <n v="2022"/>
    <s v="Adjust"/>
    <n v="825.19642662205808"/>
    <n v="906"/>
    <s v="Decreasing"/>
    <m/>
    <m/>
    <m/>
    <m/>
    <n v="0.49160468400085156"/>
    <n v="0.40129232072664212"/>
    <n v="0.31486460872782684"/>
    <n v="0.34569628067241287"/>
  </r>
  <r>
    <x v="31"/>
    <x v="31"/>
    <n v="17954414"/>
    <x v="26"/>
    <n v="0"/>
    <n v="18653199"/>
    <n v="829"/>
    <m/>
    <n v="947"/>
    <m/>
    <n v="817"/>
    <m/>
    <n v="851"/>
    <m/>
    <n v="0"/>
    <n v="22577057.999999996"/>
    <n v="903"/>
    <n v="903"/>
    <m/>
    <n v="0"/>
    <m/>
    <n v="0"/>
    <m/>
    <n v="0"/>
    <n v="26207976.5"/>
    <n v="718"/>
    <n v="896"/>
    <n v="947"/>
    <n v="903"/>
    <n v="718"/>
    <n v="829"/>
    <n v="2013"/>
    <n v="903"/>
    <n v="2018"/>
    <n v="718"/>
    <n v="2022"/>
    <s v="Adjust"/>
    <n v="825.19642662205808"/>
    <n v="903"/>
    <s v="Decreasing"/>
    <m/>
    <m/>
    <m/>
    <m/>
    <n v="0.4444277895711079"/>
    <n v="0.39996353820767971"/>
    <n v="0.31486460872782684"/>
    <n v="0.34455159100131216"/>
  </r>
  <r>
    <x v="31"/>
    <x v="31"/>
    <n v="17954415"/>
    <x v="27"/>
    <n v="0"/>
    <n v="18653199"/>
    <n v="0"/>
    <m/>
    <n v="12"/>
    <m/>
    <n v="7"/>
    <m/>
    <n v="5"/>
    <m/>
    <n v="0"/>
    <n v="22577057.999999996"/>
    <n v="3"/>
    <n v="6"/>
    <m/>
    <n v="0"/>
    <m/>
    <n v="0"/>
    <m/>
    <n v="0"/>
    <n v="26207976.5"/>
    <n v="0"/>
    <n v="6"/>
    <n v="12"/>
    <n v="5"/>
    <n v="0"/>
    <n v="12"/>
    <n v="2014"/>
    <n v="6"/>
    <s v="2018 (triag)"/>
    <n v="6"/>
    <s v="2018 (triag)"/>
    <s v=""/>
    <n v="6"/>
    <n v="6"/>
    <s v="No change"/>
    <m/>
    <m/>
    <m/>
    <m/>
    <n v="6.4332128767832265E-3"/>
    <n v="2.6575650379247824E-3"/>
    <n v="2.2893793422014094E-3"/>
    <n v="2.2893793422014094E-3"/>
  </r>
  <r>
    <x v="31"/>
    <x v="31"/>
    <n v="17954416"/>
    <x v="28"/>
    <n v="53"/>
    <n v="18653199"/>
    <n v="51"/>
    <m/>
    <n v="0"/>
    <m/>
    <n v="50"/>
    <m/>
    <n v="24"/>
    <m/>
    <n v="0"/>
    <n v="22577057.999999996"/>
    <n v="60"/>
    <n v="60"/>
    <m/>
    <n v="0"/>
    <m/>
    <n v="0"/>
    <m/>
    <n v="0"/>
    <n v="26207976.5"/>
    <n v="43"/>
    <n v="60"/>
    <n v="53"/>
    <n v="60"/>
    <n v="43"/>
    <n v="51"/>
    <n v="2013"/>
    <n v="60"/>
    <n v="2018"/>
    <n v="43"/>
    <n v="2022"/>
    <s v="Adjust"/>
    <n v="49.419841705777856"/>
    <n v="60"/>
    <s v="Decreasing"/>
    <m/>
    <m/>
    <m/>
    <m/>
    <n v="2.7341154726328712E-2"/>
    <n v="2.6575650379247823E-2"/>
    <n v="1.8856794116011915E-2"/>
    <n v="2.2893793422014096E-2"/>
  </r>
  <r>
    <x v="31"/>
    <x v="31"/>
    <n v="17954417"/>
    <x v="29"/>
    <n v="0"/>
    <n v="18653199"/>
    <n v="0"/>
    <m/>
    <n v="0"/>
    <m/>
    <n v="0"/>
    <m/>
    <n v="0"/>
    <m/>
    <n v="0"/>
    <n v="22577057.999999996"/>
    <n v="0"/>
    <n v="0"/>
    <m/>
    <n v="0"/>
    <m/>
    <n v="0"/>
    <m/>
    <n v="0"/>
    <n v="26207976.5"/>
    <n v="4"/>
    <n v="0"/>
    <n v="0"/>
    <n v="0"/>
    <n v="4"/>
    <m/>
    <s v=""/>
    <m/>
    <s v=""/>
    <n v="4"/>
    <n v="2022"/>
    <s v=""/>
    <n v="4"/>
    <n v="4"/>
    <s v="Increasing"/>
    <m/>
    <m/>
    <m/>
    <m/>
    <n v="0"/>
    <n v="0"/>
    <n v="1.5262528948009398E-3"/>
    <n v="1.5262528948009398E-3"/>
  </r>
  <r>
    <x v="31"/>
    <x v="31"/>
    <n v="17954418"/>
    <x v="30"/>
    <n v="0"/>
    <n v="18653199"/>
    <n v="30"/>
    <m/>
    <n v="21"/>
    <m/>
    <n v="30"/>
    <m/>
    <n v="18"/>
    <m/>
    <n v="0"/>
    <n v="22577057.999999996"/>
    <n v="30"/>
    <n v="30"/>
    <m/>
    <n v="0"/>
    <m/>
    <n v="0"/>
    <m/>
    <n v="0"/>
    <n v="26207976.5"/>
    <n v="24"/>
    <n v="30"/>
    <n v="30"/>
    <n v="30"/>
    <n v="24"/>
    <n v="30"/>
    <n v="2013"/>
    <n v="30"/>
    <n v="2018"/>
    <n v="24"/>
    <n v="2022"/>
    <s v="Adjust"/>
    <n v="27.583167463689964"/>
    <n v="30"/>
    <s v="Decreasing"/>
    <m/>
    <m/>
    <m/>
    <m/>
    <n v="1.6083032191958065E-2"/>
    <n v="1.3287825189623912E-2"/>
    <n v="1.0524722297308976E-2"/>
    <n v="1.1446896711007048E-2"/>
  </r>
  <r>
    <x v="31"/>
    <x v="31"/>
    <n v="17954419"/>
    <x v="31"/>
    <n v="0"/>
    <n v="18653199"/>
    <n v="0"/>
    <m/>
    <n v="0"/>
    <m/>
    <n v="0"/>
    <m/>
    <n v="0"/>
    <m/>
    <n v="0"/>
    <n v="22577057.999999996"/>
    <n v="0"/>
    <n v="0"/>
    <m/>
    <n v="0"/>
    <m/>
    <n v="0"/>
    <m/>
    <n v="0"/>
    <n v="26207976.5"/>
    <n v="0"/>
    <n v="0"/>
    <n v="0"/>
    <n v="0"/>
    <n v="0"/>
    <m/>
    <s v=""/>
    <m/>
    <s v=""/>
    <n v="0"/>
    <s v=""/>
    <s v=""/>
    <m/>
    <n v="0"/>
    <s v="No change"/>
    <m/>
    <m/>
    <m/>
    <m/>
    <n v="0"/>
    <n v="0"/>
    <n v="0"/>
    <n v="0"/>
  </r>
  <r>
    <x v="31"/>
    <x v="31"/>
    <n v="17954420"/>
    <x v="32"/>
    <n v="0"/>
    <n v="18653199"/>
    <n v="0"/>
    <m/>
    <n v="0"/>
    <m/>
    <n v="0"/>
    <m/>
    <n v="0"/>
    <m/>
    <n v="0"/>
    <n v="22577057.999999996"/>
    <n v="0"/>
    <n v="0"/>
    <m/>
    <n v="0"/>
    <m/>
    <n v="0"/>
    <m/>
    <n v="0"/>
    <n v="26207976.5"/>
    <n v="0"/>
    <n v="0"/>
    <n v="0"/>
    <n v="0"/>
    <n v="0"/>
    <m/>
    <s v=""/>
    <m/>
    <s v=""/>
    <n v="0"/>
    <s v=""/>
    <s v=""/>
    <m/>
    <n v="0"/>
    <s v="No change"/>
    <m/>
    <m/>
    <m/>
    <m/>
    <n v="0"/>
    <n v="0"/>
    <n v="0"/>
    <n v="0"/>
  </r>
  <r>
    <x v="32"/>
    <x v="32"/>
    <n v="170075931.5"/>
    <x v="19"/>
    <n v="0"/>
    <n v="174726123.50000006"/>
    <n v="65759"/>
    <n v="179379016.5"/>
    <n v="0"/>
    <n v="183995784.49999991"/>
    <n v="0"/>
    <n v="188666930.99999988"/>
    <n v="83565"/>
    <n v="193495906.50000003"/>
    <n v="0"/>
    <n v="198387623.50000006"/>
    <n v="74543"/>
    <n v="83907"/>
    <n v="203304491.50000006"/>
    <n v="74543"/>
    <n v="208327404.49999994"/>
    <n v="0"/>
    <n v="213401322.49999997"/>
    <n v="84277"/>
    <n v="218541211.50000003"/>
    <n v="86181"/>
    <n v="83907"/>
    <n v="65759"/>
    <n v="83565"/>
    <n v="86181"/>
    <n v="65759"/>
    <n v="2013"/>
    <n v="83907"/>
    <s v="2018 (triag)"/>
    <n v="86181"/>
    <n v="2022"/>
    <s v=""/>
    <n v="86181"/>
    <n v="86181"/>
    <s v="Increasing"/>
    <m/>
    <m/>
    <m/>
    <m/>
    <n v="3.7635471263688842"/>
    <n v="4.229447307230835"/>
    <n v="3.943466745172683"/>
    <n v="3.943466745172683"/>
  </r>
  <r>
    <x v="32"/>
    <x v="32"/>
    <n v="170075932.5"/>
    <x v="20"/>
    <n v="0"/>
    <n v="174726123.50000006"/>
    <n v="0"/>
    <m/>
    <n v="0"/>
    <m/>
    <n v="0"/>
    <m/>
    <n v="0"/>
    <m/>
    <n v="0"/>
    <n v="198387623.50000006"/>
    <n v="71508"/>
    <n v="74543"/>
    <m/>
    <n v="0"/>
    <m/>
    <n v="0"/>
    <m/>
    <n v="84277"/>
    <n v="218541211.50000003"/>
    <n v="85719"/>
    <n v="74543"/>
    <n v="0"/>
    <n v="71508"/>
    <n v="85719"/>
    <m/>
    <s v=""/>
    <n v="74543"/>
    <s v="2018 (triag)"/>
    <n v="85719"/>
    <n v="2022"/>
    <s v=""/>
    <n v="85719"/>
    <n v="85719"/>
    <s v="Increasing"/>
    <m/>
    <m/>
    <m/>
    <m/>
    <n v="0"/>
    <n v="3.757442056358923"/>
    <n v="3.9223265676826355"/>
    <n v="3.9223265676826355"/>
  </r>
  <r>
    <x v="32"/>
    <x v="32"/>
    <n v="170075933.5"/>
    <x v="21"/>
    <n v="0"/>
    <n v="174726123.50000006"/>
    <n v="0"/>
    <m/>
    <n v="0"/>
    <m/>
    <n v="0"/>
    <m/>
    <n v="0"/>
    <m/>
    <n v="0"/>
    <n v="198387623.50000006"/>
    <n v="3035"/>
    <n v="9364"/>
    <m/>
    <n v="0"/>
    <m/>
    <n v="0"/>
    <m/>
    <n v="0"/>
    <n v="218541211.50000003"/>
    <n v="462"/>
    <n v="9364"/>
    <n v="0"/>
    <n v="3035"/>
    <n v="462"/>
    <m/>
    <s v=""/>
    <n v="9364"/>
    <s v="2018 (triag)"/>
    <n v="462"/>
    <n v="2022"/>
    <s v="Adjust"/>
    <n v="530.9759736760318"/>
    <n v="9364"/>
    <s v="Decreasing"/>
    <m/>
    <m/>
    <m/>
    <m/>
    <n v="0"/>
    <n v="0.47200525087191225"/>
    <n v="2.4296377330004493E-2"/>
    <n v="0.42847753683290984"/>
  </r>
  <r>
    <x v="32"/>
    <x v="32"/>
    <n v="170075934.5"/>
    <x v="22"/>
    <n v="0"/>
    <n v="174726123.50000006"/>
    <n v="74920"/>
    <m/>
    <n v="0"/>
    <m/>
    <n v="0"/>
    <m/>
    <n v="185101"/>
    <m/>
    <n v="0"/>
    <n v="198387623.50000006"/>
    <n v="110105"/>
    <n v="180709"/>
    <m/>
    <n v="180709"/>
    <m/>
    <n v="0"/>
    <m/>
    <n v="201735"/>
    <n v="218541211.50000003"/>
    <n v="220681"/>
    <n v="180709"/>
    <n v="74920"/>
    <n v="185101"/>
    <n v="220681"/>
    <n v="74920"/>
    <n v="2013"/>
    <n v="180709"/>
    <s v="2018 (triag)"/>
    <n v="220681"/>
    <n v="2022"/>
    <s v=""/>
    <n v="220681"/>
    <n v="220681"/>
    <s v="Increasing"/>
    <m/>
    <m/>
    <m/>
    <m/>
    <n v="4.2878533844425375"/>
    <n v="9.1088847586301149"/>
    <n v="10.097912356452731"/>
    <n v="10.097912356452731"/>
  </r>
  <r>
    <x v="32"/>
    <x v="32"/>
    <n v="170075935.5"/>
    <x v="23"/>
    <n v="0"/>
    <n v="174726123.50000006"/>
    <n v="0"/>
    <m/>
    <n v="0"/>
    <m/>
    <n v="0"/>
    <m/>
    <n v="0"/>
    <m/>
    <n v="0"/>
    <n v="198387623.50000006"/>
    <n v="110105"/>
    <n v="180709"/>
    <m/>
    <n v="180709"/>
    <m/>
    <n v="0"/>
    <m/>
    <n v="201735"/>
    <n v="218541211.50000003"/>
    <n v="220681"/>
    <n v="180709"/>
    <n v="0"/>
    <n v="180709"/>
    <n v="220681"/>
    <m/>
    <s v=""/>
    <n v="180709"/>
    <s v="2018 (triag)"/>
    <n v="220681"/>
    <n v="2022"/>
    <s v=""/>
    <n v="220681"/>
    <n v="220681"/>
    <s v="Increasing"/>
    <m/>
    <m/>
    <m/>
    <m/>
    <n v="0"/>
    <n v="9.1088847586301149"/>
    <n v="10.097912356452731"/>
    <n v="10.097912356452731"/>
  </r>
  <r>
    <x v="32"/>
    <x v="32"/>
    <n v="170075936.5"/>
    <x v="24"/>
    <n v="0"/>
    <n v="174726123.50000006"/>
    <n v="0"/>
    <m/>
    <n v="0"/>
    <m/>
    <n v="0"/>
    <m/>
    <n v="0"/>
    <m/>
    <n v="0"/>
    <n v="198387623.50000006"/>
    <n v="0"/>
    <n v="0"/>
    <m/>
    <n v="0"/>
    <m/>
    <n v="0"/>
    <m/>
    <n v="0"/>
    <n v="218541211.50000003"/>
    <n v="0"/>
    <n v="0"/>
    <n v="0"/>
    <n v="0"/>
    <n v="0"/>
    <m/>
    <s v=""/>
    <m/>
    <s v=""/>
    <n v="0"/>
    <s v=""/>
    <s v=""/>
    <m/>
    <n v="0"/>
    <s v="No change"/>
    <m/>
    <m/>
    <m/>
    <m/>
    <n v="0"/>
    <n v="0"/>
    <n v="0"/>
    <n v="0"/>
  </r>
  <r>
    <x v="32"/>
    <x v="32"/>
    <n v="170075937.5"/>
    <x v="25"/>
    <n v="0"/>
    <n v="174726123.50000006"/>
    <n v="101275"/>
    <m/>
    <n v="0"/>
    <m/>
    <n v="0"/>
    <m/>
    <n v="141275"/>
    <m/>
    <n v="0"/>
    <n v="198387623.50000006"/>
    <n v="71237"/>
    <n v="120870"/>
    <m/>
    <n v="120870"/>
    <m/>
    <n v="0"/>
    <m/>
    <n v="131922"/>
    <n v="218541211.50000003"/>
    <n v="146787"/>
    <n v="120870"/>
    <n v="101275"/>
    <n v="141275"/>
    <n v="146787"/>
    <n v="101275"/>
    <n v="2013"/>
    <n v="120870"/>
    <s v="2018 (triag)"/>
    <n v="146787"/>
    <n v="2022"/>
    <s v=""/>
    <n v="146787"/>
    <n v="146787"/>
    <s v="Increasing"/>
    <m/>
    <m/>
    <m/>
    <m/>
    <n v="5.7962139817060594"/>
    <n v="6.0926179701930829"/>
    <n v="6.7166736650034533"/>
    <n v="6.7166736650034533"/>
  </r>
  <r>
    <x v="32"/>
    <x v="32"/>
    <n v="170075938.5"/>
    <x v="26"/>
    <n v="0"/>
    <n v="174726123.50000006"/>
    <n v="101275"/>
    <m/>
    <n v="0"/>
    <m/>
    <n v="0"/>
    <m/>
    <n v="0"/>
    <m/>
    <n v="0"/>
    <n v="198387623.50000006"/>
    <n v="71237"/>
    <n v="120870"/>
    <m/>
    <n v="120870"/>
    <m/>
    <n v="0"/>
    <m/>
    <n v="131922"/>
    <n v="218541211.50000003"/>
    <n v="146787"/>
    <n v="120870"/>
    <n v="101275"/>
    <n v="120870"/>
    <n v="146787"/>
    <n v="101275"/>
    <n v="2013"/>
    <n v="120870"/>
    <s v="2018 (triag)"/>
    <n v="146787"/>
    <n v="2022"/>
    <s v=""/>
    <n v="146787"/>
    <n v="146787"/>
    <s v="Increasing"/>
    <m/>
    <m/>
    <m/>
    <m/>
    <n v="5.7962139817060594"/>
    <n v="6.0926179701930829"/>
    <n v="6.7166736650034533"/>
    <n v="6.7166736650034533"/>
  </r>
  <r>
    <x v="32"/>
    <x v="32"/>
    <n v="170075939.5"/>
    <x v="27"/>
    <n v="0"/>
    <n v="174726123.50000006"/>
    <n v="0"/>
    <m/>
    <n v="0"/>
    <m/>
    <n v="0"/>
    <m/>
    <n v="0"/>
    <m/>
    <n v="0"/>
    <n v="198387623.50000006"/>
    <n v="0"/>
    <n v="0"/>
    <m/>
    <n v="0"/>
    <m/>
    <n v="0"/>
    <m/>
    <n v="0"/>
    <n v="218541211.50000003"/>
    <n v="0"/>
    <n v="0"/>
    <n v="0"/>
    <n v="0"/>
    <n v="0"/>
    <m/>
    <s v=""/>
    <m/>
    <s v=""/>
    <n v="0"/>
    <s v=""/>
    <s v=""/>
    <m/>
    <n v="0"/>
    <s v="No change"/>
    <m/>
    <m/>
    <m/>
    <m/>
    <n v="0"/>
    <n v="0"/>
    <n v="0"/>
    <n v="0"/>
  </r>
  <r>
    <x v="32"/>
    <x v="32"/>
    <n v="170075940.5"/>
    <x v="28"/>
    <n v="0"/>
    <n v="174726123.50000006"/>
    <n v="0"/>
    <m/>
    <n v="0"/>
    <m/>
    <n v="20035"/>
    <m/>
    <n v="0"/>
    <m/>
    <n v="0"/>
    <n v="198387623.50000006"/>
    <n v="24668"/>
    <n v="24668"/>
    <m/>
    <n v="24668"/>
    <m/>
    <n v="0"/>
    <m/>
    <n v="17331"/>
    <n v="218541211.50000003"/>
    <n v="18277"/>
    <n v="24668"/>
    <n v="20035"/>
    <n v="24668"/>
    <n v="18277"/>
    <n v="20035"/>
    <n v="2015"/>
    <n v="24668"/>
    <n v="2018"/>
    <n v="18277"/>
    <n v="2022"/>
    <s v="Adjust"/>
    <n v="21005.731322244228"/>
    <n v="24668"/>
    <s v="Decreasing"/>
    <m/>
    <m/>
    <m/>
    <m/>
    <n v="1.1466516625374563"/>
    <n v="1.2434243409342516"/>
    <n v="0.96117941225214742"/>
    <n v="1.1287573556807156"/>
  </r>
  <r>
    <x v="32"/>
    <x v="32"/>
    <n v="170075941.5"/>
    <x v="29"/>
    <n v="0"/>
    <n v="174726123.50000006"/>
    <n v="0"/>
    <m/>
    <n v="0"/>
    <m/>
    <n v="0"/>
    <m/>
    <n v="0"/>
    <m/>
    <n v="0"/>
    <n v="198387623.50000006"/>
    <n v="5793"/>
    <n v="5793"/>
    <m/>
    <n v="5793"/>
    <m/>
    <n v="0"/>
    <m/>
    <n v="0"/>
    <n v="218541211.50000003"/>
    <n v="2326"/>
    <n v="0"/>
    <n v="0"/>
    <n v="5793"/>
    <n v="2326"/>
    <m/>
    <s v=""/>
    <n v="5793"/>
    <n v="2018"/>
    <n v="2326"/>
    <n v="2022"/>
    <s v="Adjust"/>
    <n v="2673.2686466892856"/>
    <n v="5793"/>
    <s v="Decreasing"/>
    <m/>
    <m/>
    <m/>
    <m/>
    <n v="0"/>
    <n v="0.29200410276601746"/>
    <n v="0.12232331963114816"/>
    <n v="0.26507586190442617"/>
  </r>
  <r>
    <x v="32"/>
    <x v="32"/>
    <n v="170075942.5"/>
    <x v="30"/>
    <n v="0"/>
    <n v="174726123.50000006"/>
    <n v="0"/>
    <m/>
    <n v="0"/>
    <m/>
    <n v="0"/>
    <m/>
    <n v="4081"/>
    <m/>
    <n v="0"/>
    <n v="198387623.50000006"/>
    <n v="4358"/>
    <n v="4358"/>
    <m/>
    <n v="4358"/>
    <m/>
    <n v="0"/>
    <m/>
    <n v="4358"/>
    <n v="218541211.50000003"/>
    <n v="5048"/>
    <n v="4358"/>
    <n v="0"/>
    <n v="4358"/>
    <n v="5048"/>
    <m/>
    <s v=""/>
    <n v="4358"/>
    <n v="2018"/>
    <n v="5048"/>
    <n v="2022"/>
    <s v=""/>
    <n v="5048"/>
    <n v="5048"/>
    <s v="Increasing"/>
    <m/>
    <m/>
    <m/>
    <m/>
    <n v="0"/>
    <n v="0.21967096148011464"/>
    <n v="0.23098618175272628"/>
    <n v="0.23098618175272628"/>
  </r>
  <r>
    <x v="32"/>
    <x v="32"/>
    <n v="170075943.5"/>
    <x v="31"/>
    <n v="0"/>
    <n v="174726123.50000006"/>
    <n v="0"/>
    <m/>
    <n v="0"/>
    <m/>
    <n v="0"/>
    <m/>
    <n v="0"/>
    <m/>
    <n v="0"/>
    <n v="198387623.50000006"/>
    <n v="19269"/>
    <n v="21129"/>
    <m/>
    <n v="6165"/>
    <m/>
    <n v="0"/>
    <m/>
    <n v="11781"/>
    <n v="218541211.50000003"/>
    <n v="0"/>
    <n v="21129"/>
    <n v="0"/>
    <n v="19269"/>
    <n v="11781"/>
    <m/>
    <s v=""/>
    <n v="21129"/>
    <s v="2018 (triag)"/>
    <n v="11781"/>
    <n v="2021"/>
    <s v="Adjust"/>
    <n v="13539.887328738811"/>
    <n v="21129"/>
    <s v="Decreasing"/>
    <m/>
    <m/>
    <m/>
    <m/>
    <n v="0"/>
    <n v="1.0650361966758473"/>
    <n v="0.61955762191511465"/>
    <n v="0.96681993547015721"/>
  </r>
  <r>
    <x v="32"/>
    <x v="32"/>
    <n v="170075944.5"/>
    <x v="32"/>
    <n v="0"/>
    <n v="174726123.50000006"/>
    <n v="0"/>
    <m/>
    <n v="0"/>
    <m/>
    <n v="0"/>
    <m/>
    <n v="0"/>
    <m/>
    <n v="0"/>
    <n v="198387623.50000006"/>
    <n v="0"/>
    <n v="0"/>
    <m/>
    <n v="267"/>
    <m/>
    <n v="0"/>
    <m/>
    <n v="0"/>
    <n v="218541211.50000003"/>
    <n v="0"/>
    <n v="0"/>
    <n v="0"/>
    <n v="267"/>
    <n v="0"/>
    <m/>
    <s v=""/>
    <n v="267"/>
    <n v="2019"/>
    <n v="267"/>
    <n v="2019"/>
    <s v=""/>
    <n v="267"/>
    <n v="267"/>
    <s v="No change"/>
    <m/>
    <m/>
    <m/>
    <m/>
    <n v="0"/>
    <n v="1.3458500852498993E-2"/>
    <n v="1.2217375302689761E-2"/>
    <n v="1.2217375302689761E-2"/>
  </r>
  <r>
    <x v="33"/>
    <x v="33"/>
    <n v="10840333.999999994"/>
    <x v="19"/>
    <n v="0"/>
    <n v="11101349.499999996"/>
    <n v="1104"/>
    <n v="11368451.500000004"/>
    <n v="1008"/>
    <n v="11642959"/>
    <n v="1284"/>
    <n v="11930899.500000007"/>
    <n v="1431"/>
    <n v="12230339"/>
    <n v="1648"/>
    <n v="12531807.499999998"/>
    <n v="1648"/>
    <n v="1648"/>
    <n v="12835028"/>
    <n v="1492"/>
    <n v="13146361.500000002"/>
    <n v="0"/>
    <n v="13461887.499999998"/>
    <n v="0"/>
    <n v="13776697.499999994"/>
    <n v="1648"/>
    <n v="1350"/>
    <n v="1284"/>
    <n v="1648"/>
    <n v="1648"/>
    <n v="1104"/>
    <n v="2013"/>
    <n v="1648"/>
    <n v="2017"/>
    <n v="1648"/>
    <n v="2022"/>
    <s v=""/>
    <n v="1648"/>
    <n v="1648"/>
    <s v="No change"/>
    <m/>
    <m/>
    <m/>
    <m/>
    <n v="0.99447368988788287"/>
    <n v="1.3150537143185452"/>
    <n v="1.1962228248097926"/>
    <n v="1.1962228248097926"/>
  </r>
  <r>
    <x v="33"/>
    <x v="33"/>
    <n v="10840335"/>
    <x v="20"/>
    <n v="0"/>
    <n v="11101349.499999996"/>
    <n v="609"/>
    <m/>
    <n v="834"/>
    <m/>
    <n v="1042"/>
    <m/>
    <n v="1107"/>
    <m/>
    <n v="1114"/>
    <n v="12531807.499999998"/>
    <n v="1114"/>
    <n v="1114"/>
    <m/>
    <n v="0"/>
    <m/>
    <n v="0"/>
    <m/>
    <n v="0"/>
    <n v="13776697.499999994"/>
    <n v="0"/>
    <n v="783"/>
    <n v="1042"/>
    <n v="1114"/>
    <n v="0"/>
    <n v="609"/>
    <n v="2013"/>
    <n v="1114"/>
    <n v="2017"/>
    <n v="1114"/>
    <n v="2017"/>
    <s v=""/>
    <n v="1114"/>
    <n v="1114"/>
    <s v="No change"/>
    <m/>
    <m/>
    <m/>
    <m/>
    <n v="0.54858195393271802"/>
    <n v="0.88893800834396808"/>
    <n v="0.80861178812992041"/>
    <n v="0.80861178812992041"/>
  </r>
  <r>
    <x v="33"/>
    <x v="33"/>
    <n v="10840336"/>
    <x v="21"/>
    <n v="0"/>
    <n v="11101349.499999996"/>
    <n v="495"/>
    <m/>
    <n v="174"/>
    <m/>
    <n v="242"/>
    <m/>
    <n v="324"/>
    <m/>
    <n v="534"/>
    <n v="12531807.499999998"/>
    <n v="534"/>
    <n v="567"/>
    <m/>
    <n v="0"/>
    <m/>
    <n v="0"/>
    <m/>
    <n v="0"/>
    <n v="13776697.499999994"/>
    <n v="0"/>
    <n v="567"/>
    <n v="495"/>
    <n v="534"/>
    <n v="0"/>
    <n v="495"/>
    <n v="2013"/>
    <n v="567"/>
    <s v="2018 (triag)"/>
    <n v="567"/>
    <s v="2018 (triag)"/>
    <s v=""/>
    <n v="567"/>
    <n v="567"/>
    <s v="No change"/>
    <m/>
    <m/>
    <m/>
    <m/>
    <n v="0.4458917359551649"/>
    <n v="0.45244869904042179"/>
    <n v="0.41156452771065072"/>
    <n v="0.41156452771065072"/>
  </r>
  <r>
    <x v="33"/>
    <x v="33"/>
    <n v="10840337"/>
    <x v="22"/>
    <n v="0"/>
    <n v="11101349.499999996"/>
    <n v="0"/>
    <m/>
    <n v="9625"/>
    <m/>
    <n v="10367"/>
    <m/>
    <n v="11281"/>
    <m/>
    <n v="0"/>
    <n v="12531807.499999998"/>
    <n v="13345"/>
    <n v="13345"/>
    <m/>
    <n v="10409"/>
    <m/>
    <n v="0"/>
    <m/>
    <n v="0"/>
    <n v="13776697.499999994"/>
    <n v="13060"/>
    <n v="9551"/>
    <n v="10367"/>
    <n v="13345"/>
    <n v="13060"/>
    <n v="9625"/>
    <n v="2014"/>
    <n v="13345"/>
    <n v="2018"/>
    <n v="13060"/>
    <n v="2022"/>
    <s v="Adjust"/>
    <n v="13501.239749316621"/>
    <n v="13501.239749316621"/>
    <s v="Increasing"/>
    <m/>
    <m/>
    <m/>
    <m/>
    <n v="8.6701170880170952"/>
    <n v="10.648902801930211"/>
    <n v="9.8000553102923451"/>
    <n v="9.8000553102923451"/>
  </r>
  <r>
    <x v="33"/>
    <x v="33"/>
    <n v="10840338"/>
    <x v="23"/>
    <n v="0"/>
    <n v="11101349.499999996"/>
    <n v="0"/>
    <m/>
    <n v="0"/>
    <m/>
    <n v="0"/>
    <m/>
    <n v="0"/>
    <m/>
    <n v="0"/>
    <n v="12531807.499999998"/>
    <n v="0"/>
    <n v="9551"/>
    <m/>
    <n v="0"/>
    <m/>
    <n v="0"/>
    <m/>
    <n v="0"/>
    <n v="13776697.499999994"/>
    <n v="0"/>
    <n v="9551"/>
    <n v="0"/>
    <n v="0"/>
    <n v="0"/>
    <m/>
    <s v=""/>
    <n v="9551"/>
    <s v="2018 (triag)"/>
    <n v="9551"/>
    <s v="2018 (triag)"/>
    <s v=""/>
    <n v="9551"/>
    <n v="9551"/>
    <s v="No change"/>
    <m/>
    <m/>
    <m/>
    <m/>
    <n v="0"/>
    <n v="7.6214065688449182"/>
    <n v="6.9327209949989861"/>
    <n v="6.9327209949989861"/>
  </r>
  <r>
    <x v="33"/>
    <x v="33"/>
    <n v="10840339"/>
    <x v="24"/>
    <n v="0"/>
    <n v="11101349.499999996"/>
    <n v="0"/>
    <m/>
    <n v="0"/>
    <m/>
    <n v="0"/>
    <m/>
    <n v="0"/>
    <m/>
    <n v="0"/>
    <n v="12531807.499999998"/>
    <n v="0"/>
    <n v="0"/>
    <m/>
    <n v="0"/>
    <m/>
    <n v="0"/>
    <m/>
    <n v="0"/>
    <n v="13776697.499999994"/>
    <n v="0"/>
    <n v="0"/>
    <n v="0"/>
    <n v="0"/>
    <n v="0"/>
    <m/>
    <s v=""/>
    <m/>
    <s v=""/>
    <n v="0"/>
    <s v=""/>
    <s v=""/>
    <m/>
    <n v="0"/>
    <s v="No change"/>
    <m/>
    <m/>
    <m/>
    <m/>
    <n v="0"/>
    <n v="0"/>
    <n v="0"/>
    <n v="0"/>
  </r>
  <r>
    <x v="33"/>
    <x v="33"/>
    <n v="10840340"/>
    <x v="25"/>
    <n v="0"/>
    <n v="11101349.499999996"/>
    <n v="622"/>
    <m/>
    <n v="692"/>
    <m/>
    <n v="868"/>
    <m/>
    <n v="1070"/>
    <m/>
    <n v="2144"/>
    <n v="12531807.499999998"/>
    <n v="1471"/>
    <n v="1471"/>
    <m/>
    <n v="1561"/>
    <m/>
    <n v="0"/>
    <m/>
    <n v="0"/>
    <n v="13776697.499999994"/>
    <n v="1990"/>
    <n v="1207"/>
    <n v="868"/>
    <n v="2144"/>
    <n v="1990"/>
    <n v="622"/>
    <n v="2013"/>
    <n v="1471"/>
    <n v="2018"/>
    <n v="1990"/>
    <n v="2022"/>
    <s v=""/>
    <n v="1990"/>
    <n v="1990"/>
    <s v="Increasing"/>
    <m/>
    <m/>
    <m/>
    <m/>
    <n v="0.56029224194770211"/>
    <n v="1.1738131151471967"/>
    <n v="1.4444680954924072"/>
    <n v="1.4444680954924072"/>
  </r>
  <r>
    <x v="33"/>
    <x v="33"/>
    <n v="10840341"/>
    <x v="26"/>
    <n v="0"/>
    <n v="11101349.499999996"/>
    <n v="622"/>
    <m/>
    <n v="0"/>
    <m/>
    <n v="0"/>
    <m/>
    <n v="0"/>
    <m/>
    <n v="0"/>
    <n v="12531807.499999998"/>
    <n v="0"/>
    <n v="1207"/>
    <m/>
    <n v="0"/>
    <m/>
    <n v="0"/>
    <m/>
    <n v="0"/>
    <n v="13776697.499999994"/>
    <n v="0"/>
    <n v="1207"/>
    <n v="622"/>
    <n v="0"/>
    <n v="0"/>
    <n v="622"/>
    <n v="2013"/>
    <n v="1207"/>
    <s v="2018 (triag)"/>
    <n v="1207"/>
    <s v="2018 (triag)"/>
    <s v=""/>
    <n v="1207"/>
    <n v="1207"/>
    <s v="No change"/>
    <m/>
    <m/>
    <m/>
    <m/>
    <n v="0.56029224194770211"/>
    <n v="0.96314917062043937"/>
    <n v="0.87611708103484198"/>
    <n v="0.87611708103484198"/>
  </r>
  <r>
    <x v="33"/>
    <x v="33"/>
    <n v="10840342"/>
    <x v="27"/>
    <n v="0"/>
    <n v="11101349.499999996"/>
    <n v="0"/>
    <m/>
    <n v="0"/>
    <m/>
    <n v="0"/>
    <m/>
    <n v="0"/>
    <m/>
    <n v="879"/>
    <n v="12531807.499999998"/>
    <n v="0"/>
    <n v="0"/>
    <m/>
    <n v="0"/>
    <m/>
    <n v="0"/>
    <m/>
    <n v="0"/>
    <n v="13776697.499999994"/>
    <n v="0"/>
    <n v="0"/>
    <n v="0"/>
    <n v="879"/>
    <n v="0"/>
    <m/>
    <s v=""/>
    <n v="879"/>
    <n v="2017"/>
    <n v="879"/>
    <n v="2017"/>
    <s v=""/>
    <n v="879"/>
    <n v="879"/>
    <s v="No change"/>
    <m/>
    <m/>
    <m/>
    <m/>
    <n v="0"/>
    <n v="0.70141517893568039"/>
    <n v="0.63803389745619399"/>
    <n v="0.63803389745619399"/>
  </r>
  <r>
    <x v="33"/>
    <x v="33"/>
    <n v="10840343"/>
    <x v="28"/>
    <n v="0"/>
    <n v="11101349.499999996"/>
    <n v="0"/>
    <m/>
    <n v="0"/>
    <m/>
    <n v="114"/>
    <m/>
    <n v="0"/>
    <m/>
    <n v="879"/>
    <n v="12531807.499999998"/>
    <n v="886"/>
    <n v="886"/>
    <m/>
    <n v="0"/>
    <m/>
    <n v="0"/>
    <m/>
    <n v="0"/>
    <n v="13776697.499999994"/>
    <n v="0"/>
    <n v="167"/>
    <n v="114"/>
    <n v="886"/>
    <n v="0"/>
    <n v="114"/>
    <n v="2015"/>
    <n v="886"/>
    <n v="2018"/>
    <n v="886"/>
    <n v="2018"/>
    <s v=""/>
    <n v="886"/>
    <n v="886"/>
    <s v="No change"/>
    <m/>
    <m/>
    <m/>
    <m/>
    <n v="0.10269021797755312"/>
    <n v="0.70700096534358681"/>
    <n v="0.64311494100817734"/>
    <n v="0.64311494100817734"/>
  </r>
  <r>
    <x v="33"/>
    <x v="33"/>
    <n v="10840344"/>
    <x v="29"/>
    <n v="0"/>
    <n v="11101349.499999996"/>
    <n v="0"/>
    <m/>
    <n v="0"/>
    <m/>
    <n v="0"/>
    <m/>
    <n v="0"/>
    <m/>
    <n v="201"/>
    <n v="12531807.499999998"/>
    <n v="0"/>
    <n v="0"/>
    <m/>
    <n v="0"/>
    <m/>
    <n v="0"/>
    <m/>
    <n v="0"/>
    <n v="13776697.499999994"/>
    <n v="0"/>
    <n v="0"/>
    <n v="0"/>
    <n v="201"/>
    <n v="0"/>
    <m/>
    <s v=""/>
    <n v="201"/>
    <n v="2017"/>
    <n v="201"/>
    <n v="2017"/>
    <s v=""/>
    <n v="201"/>
    <n v="201"/>
    <s v="No change"/>
    <m/>
    <m/>
    <m/>
    <m/>
    <n v="0"/>
    <n v="0.16039186685559925"/>
    <n v="0.14589853627837882"/>
    <n v="0.14589853627837882"/>
  </r>
  <r>
    <x v="33"/>
    <x v="33"/>
    <n v="10840345"/>
    <x v="30"/>
    <n v="0"/>
    <n v="11101349.499999996"/>
    <n v="0"/>
    <m/>
    <n v="0"/>
    <m/>
    <n v="127"/>
    <m/>
    <n v="0"/>
    <m/>
    <n v="236"/>
    <n v="12531807.499999998"/>
    <n v="228"/>
    <n v="228"/>
    <m/>
    <n v="0"/>
    <m/>
    <n v="0"/>
    <m/>
    <n v="0"/>
    <n v="13776697.499999994"/>
    <n v="236"/>
    <n v="228"/>
    <n v="127"/>
    <n v="236"/>
    <n v="236"/>
    <n v="127"/>
    <n v="2015"/>
    <n v="228"/>
    <n v="2018"/>
    <n v="236"/>
    <n v="2022"/>
    <s v=""/>
    <n v="236"/>
    <n v="236"/>
    <s v="Increasing"/>
    <m/>
    <m/>
    <m/>
    <m/>
    <n v="0.11440050599253725"/>
    <n v="0.18193704300038124"/>
    <n v="0.17130375403829554"/>
    <n v="0.17130375403829554"/>
  </r>
  <r>
    <x v="33"/>
    <x v="33"/>
    <n v="10840346"/>
    <x v="31"/>
    <n v="0"/>
    <n v="11101349.499999996"/>
    <n v="0"/>
    <m/>
    <n v="0"/>
    <m/>
    <n v="0"/>
    <m/>
    <n v="0"/>
    <m/>
    <n v="0"/>
    <n v="12531807.499999998"/>
    <n v="0"/>
    <n v="0"/>
    <m/>
    <n v="0"/>
    <m/>
    <n v="0"/>
    <m/>
    <n v="0"/>
    <n v="13776697.499999994"/>
    <n v="0"/>
    <n v="0"/>
    <n v="0"/>
    <n v="0"/>
    <n v="0"/>
    <m/>
    <s v=""/>
    <m/>
    <s v=""/>
    <n v="0"/>
    <s v=""/>
    <s v=""/>
    <m/>
    <n v="0"/>
    <s v="No change"/>
    <m/>
    <m/>
    <m/>
    <m/>
    <n v="0"/>
    <n v="0"/>
    <n v="0"/>
    <n v="0"/>
  </r>
  <r>
    <x v="33"/>
    <x v="33"/>
    <n v="10840347"/>
    <x v="32"/>
    <n v="0"/>
    <n v="11101349.499999996"/>
    <n v="0"/>
    <m/>
    <n v="0"/>
    <m/>
    <n v="0"/>
    <m/>
    <n v="0"/>
    <m/>
    <n v="0"/>
    <n v="12531807.499999998"/>
    <n v="310"/>
    <n v="310"/>
    <m/>
    <n v="0"/>
    <m/>
    <n v="0"/>
    <m/>
    <n v="0"/>
    <n v="13776697.499999994"/>
    <n v="0"/>
    <n v="0"/>
    <n v="0"/>
    <n v="310"/>
    <n v="0"/>
    <m/>
    <s v=""/>
    <n v="310"/>
    <n v="2018"/>
    <n v="310"/>
    <n v="2018"/>
    <s v=""/>
    <n v="310"/>
    <n v="310"/>
    <s v="No change"/>
    <m/>
    <m/>
    <m/>
    <m/>
    <n v="0"/>
    <n v="0.24737054092157101"/>
    <n v="0.22501764301640514"/>
    <n v="0.22501764301640514"/>
  </r>
  <r>
    <x v="34"/>
    <x v="34"/>
    <n v="13231833.000000002"/>
    <x v="19"/>
    <n v="0"/>
    <n v="13595565.499999993"/>
    <n v="0"/>
    <n v="13970307.499999993"/>
    <n v="0"/>
    <n v="14356180.500000004"/>
    <n v="0"/>
    <n v="14751356.499999994"/>
    <n v="1154"/>
    <n v="15157793.000000006"/>
    <n v="1066"/>
    <n v="15574908.999999998"/>
    <n v="0"/>
    <n v="2883"/>
    <n v="16000781.500000006"/>
    <n v="1435"/>
    <n v="16436119.999999993"/>
    <n v="1384"/>
    <n v="16876719.999999996"/>
    <n v="1707"/>
    <n v="17316449"/>
    <n v="2188"/>
    <n v="2883"/>
    <n v="0"/>
    <n v="1435"/>
    <n v="2188"/>
    <m/>
    <s v=""/>
    <n v="2883"/>
    <s v="2018 (triag)"/>
    <n v="2188"/>
    <n v="2022"/>
    <s v="Adjust"/>
    <n v="2560.8623058327948"/>
    <n v="2883"/>
    <s v="Decreasing"/>
    <m/>
    <m/>
    <m/>
    <m/>
    <n v="0"/>
    <n v="1.8510541538316534"/>
    <n v="1.4788611139805827"/>
    <n v="1.6648909946837254"/>
  </r>
  <r>
    <x v="34"/>
    <x v="34"/>
    <n v="13231834"/>
    <x v="20"/>
    <n v="0"/>
    <n v="13595565.499999993"/>
    <n v="0"/>
    <m/>
    <n v="0"/>
    <m/>
    <n v="0"/>
    <m/>
    <n v="267"/>
    <m/>
    <n v="0"/>
    <n v="15574908.999999998"/>
    <n v="0"/>
    <n v="676"/>
    <m/>
    <n v="353"/>
    <m/>
    <n v="308"/>
    <m/>
    <n v="487"/>
    <n v="17316449"/>
    <n v="703"/>
    <n v="676"/>
    <n v="0"/>
    <n v="353"/>
    <n v="703"/>
    <m/>
    <s v=""/>
    <n v="676"/>
    <s v="2018 (triag)"/>
    <n v="703"/>
    <n v="2022"/>
    <s v=""/>
    <n v="703"/>
    <n v="703"/>
    <s v="Increasing"/>
    <m/>
    <m/>
    <m/>
    <m/>
    <n v="0"/>
    <n v="0.43403142836982234"/>
    <n v="0.40597237921007939"/>
    <n v="0.40597237921007939"/>
  </r>
  <r>
    <x v="34"/>
    <x v="34"/>
    <n v="13231835"/>
    <x v="21"/>
    <n v="0"/>
    <n v="13595565.499999993"/>
    <n v="0"/>
    <m/>
    <n v="0"/>
    <m/>
    <n v="0"/>
    <m/>
    <n v="887"/>
    <m/>
    <n v="0"/>
    <n v="15574908.999999998"/>
    <n v="0"/>
    <n v="2207"/>
    <m/>
    <n v="1082"/>
    <m/>
    <n v="1076"/>
    <m/>
    <n v="1220"/>
    <n v="17316449"/>
    <n v="1485"/>
    <n v="2207"/>
    <n v="0"/>
    <n v="1082"/>
    <n v="1485"/>
    <m/>
    <s v=""/>
    <n v="2207"/>
    <s v="2018 (triag)"/>
    <n v="1485"/>
    <n v="2022"/>
    <s v="Adjust"/>
    <n v="1738.0623967832269"/>
    <n v="2207"/>
    <s v="Decreasing"/>
    <m/>
    <m/>
    <m/>
    <m/>
    <n v="0"/>
    <n v="1.4170227254618311"/>
    <n v="1.0037060120023606"/>
    <n v="1.2745107267662095"/>
  </r>
  <r>
    <x v="34"/>
    <x v="34"/>
    <n v="13231836"/>
    <x v="22"/>
    <n v="0"/>
    <n v="13595565.499999993"/>
    <n v="0"/>
    <m/>
    <n v="0"/>
    <m/>
    <n v="1682"/>
    <m/>
    <n v="2490"/>
    <m/>
    <n v="2820"/>
    <n v="15574908.999999998"/>
    <n v="0"/>
    <n v="4577"/>
    <m/>
    <n v="6151"/>
    <m/>
    <n v="3800"/>
    <m/>
    <n v="6477"/>
    <n v="17316449"/>
    <n v="4737"/>
    <n v="4577"/>
    <n v="1682"/>
    <n v="6151"/>
    <n v="6477"/>
    <n v="1682"/>
    <n v="2015"/>
    <n v="4577"/>
    <s v="2018 (triag)"/>
    <n v="4737"/>
    <n v="2022"/>
    <s v=""/>
    <n v="4737"/>
    <n v="4737"/>
    <s v="Increasing"/>
    <m/>
    <m/>
    <m/>
    <m/>
    <n v="1.2371681045558576"/>
    <n v="2.9387009580601728"/>
    <n v="2.7355493034397527"/>
    <n v="2.7355493034397527"/>
  </r>
  <r>
    <x v="34"/>
    <x v="34"/>
    <n v="13231837"/>
    <x v="23"/>
    <n v="0"/>
    <n v="13595565.499999993"/>
    <n v="0"/>
    <m/>
    <n v="0"/>
    <m/>
    <n v="1020"/>
    <m/>
    <n v="1445"/>
    <m/>
    <n v="1727"/>
    <n v="15574908.999999998"/>
    <n v="0"/>
    <n v="3231"/>
    <m/>
    <n v="3093"/>
    <m/>
    <n v="3295"/>
    <m/>
    <n v="2523"/>
    <n v="17316449"/>
    <n v="2769"/>
    <n v="3231"/>
    <n v="1020"/>
    <n v="3093"/>
    <n v="3295"/>
    <n v="1020"/>
    <n v="2015"/>
    <n v="3231"/>
    <s v="2018 (triag)"/>
    <n v="2769"/>
    <n v="2022"/>
    <s v="Adjust"/>
    <n v="3240.8719034968049"/>
    <n v="3240.8719034968049"/>
    <s v="Increasing"/>
    <m/>
    <m/>
    <m/>
    <m/>
    <n v="0.75024462939772574"/>
    <n v="2.074490451276473"/>
    <n v="1.8715568668246041"/>
    <n v="1.8715568668246041"/>
  </r>
  <r>
    <x v="34"/>
    <x v="34"/>
    <n v="13231838"/>
    <x v="24"/>
    <n v="0"/>
    <n v="13595565.499999993"/>
    <n v="0"/>
    <m/>
    <n v="0"/>
    <m/>
    <n v="662"/>
    <m/>
    <n v="1045"/>
    <m/>
    <n v="1093"/>
    <n v="15574908.999999998"/>
    <n v="0"/>
    <n v="1346"/>
    <m/>
    <n v="3058"/>
    <m/>
    <n v="483"/>
    <m/>
    <n v="2173"/>
    <n v="17316449"/>
    <n v="1968"/>
    <n v="1346"/>
    <n v="662"/>
    <n v="3058"/>
    <n v="2173"/>
    <n v="662"/>
    <n v="2015"/>
    <n v="1346"/>
    <s v="2018 (triag)"/>
    <n v="1968"/>
    <n v="2022"/>
    <s v=""/>
    <n v="1968"/>
    <n v="1968"/>
    <s v="Increasing"/>
    <m/>
    <m/>
    <m/>
    <m/>
    <n v="0.48692347515813178"/>
    <n v="0.86421050678369948"/>
    <n v="1.136491667546851"/>
    <n v="1.136491667546851"/>
  </r>
  <r>
    <x v="34"/>
    <x v="34"/>
    <n v="13231839"/>
    <x v="25"/>
    <n v="0"/>
    <n v="13595565.499999993"/>
    <n v="3946"/>
    <m/>
    <n v="0"/>
    <m/>
    <n v="1116"/>
    <m/>
    <n v="2002"/>
    <m/>
    <n v="2002"/>
    <n v="15574908.999999998"/>
    <n v="0"/>
    <n v="3015"/>
    <m/>
    <n v="2656"/>
    <m/>
    <n v="2061"/>
    <m/>
    <n v="2739"/>
    <n v="17316449"/>
    <n v="2803"/>
    <n v="3015"/>
    <n v="3946"/>
    <n v="2656"/>
    <n v="2803"/>
    <n v="3946"/>
    <n v="2013"/>
    <n v="3015"/>
    <s v="2018 (triag)"/>
    <n v="2803"/>
    <n v="2022"/>
    <s v="Adjust"/>
    <n v="3280.6659247026164"/>
    <n v="3280.6659247026164"/>
    <s v="Increasing"/>
    <m/>
    <m/>
    <m/>
    <m/>
    <n v="2.9024169682386525"/>
    <n v="1.9358058528624471"/>
    <n v="1.8945373411734798"/>
    <n v="1.8945373411734798"/>
  </r>
  <r>
    <x v="34"/>
    <x v="34"/>
    <n v="13231840"/>
    <x v="26"/>
    <n v="0"/>
    <n v="13595565.499999993"/>
    <n v="3946"/>
    <m/>
    <n v="0"/>
    <m/>
    <n v="0"/>
    <m/>
    <n v="0"/>
    <m/>
    <n v="0"/>
    <n v="15574908.999999998"/>
    <n v="0"/>
    <n v="3015"/>
    <m/>
    <n v="2196"/>
    <m/>
    <n v="1969"/>
    <m/>
    <n v="2710"/>
    <n v="17316449"/>
    <n v="2803"/>
    <n v="3015"/>
    <n v="3946"/>
    <n v="2196"/>
    <n v="2803"/>
    <n v="3946"/>
    <n v="2013"/>
    <n v="3015"/>
    <s v="2018 (triag)"/>
    <n v="2803"/>
    <n v="2022"/>
    <s v="Adjust"/>
    <n v="3280.6659247026164"/>
    <n v="3280.6659247026164"/>
    <s v="Increasing"/>
    <m/>
    <m/>
    <m/>
    <m/>
    <n v="2.9024169682386525"/>
    <n v="1.9358058528624471"/>
    <n v="1.8945373411734798"/>
    <n v="1.8945373411734798"/>
  </r>
  <r>
    <x v="34"/>
    <x v="34"/>
    <n v="13231841"/>
    <x v="27"/>
    <n v="0"/>
    <n v="13595565.499999993"/>
    <n v="0"/>
    <m/>
    <n v="0"/>
    <m/>
    <n v="0"/>
    <m/>
    <n v="0"/>
    <m/>
    <n v="0"/>
    <n v="15574908.999999998"/>
    <n v="0"/>
    <n v="0"/>
    <m/>
    <n v="460"/>
    <m/>
    <n v="92"/>
    <m/>
    <n v="29"/>
    <n v="17316449"/>
    <n v="0"/>
    <n v="0"/>
    <n v="0"/>
    <n v="460"/>
    <n v="92"/>
    <m/>
    <s v=""/>
    <n v="460"/>
    <n v="2019"/>
    <n v="29"/>
    <n v="2021"/>
    <s v="Adjust"/>
    <n v="33.941959263780191"/>
    <n v="460"/>
    <s v="Decreasing"/>
    <m/>
    <m/>
    <m/>
    <m/>
    <n v="0"/>
    <n v="0.29534682995579625"/>
    <n v="1.960099282698213E-2"/>
    <n v="0.26564337757700784"/>
  </r>
  <r>
    <x v="34"/>
    <x v="34"/>
    <n v="13231842"/>
    <x v="28"/>
    <n v="0"/>
    <n v="13595565.499999993"/>
    <n v="0"/>
    <m/>
    <n v="0"/>
    <m/>
    <n v="143"/>
    <m/>
    <n v="170"/>
    <m/>
    <n v="170"/>
    <n v="15574908.999999998"/>
    <n v="0"/>
    <n v="162"/>
    <m/>
    <n v="188"/>
    <m/>
    <n v="212"/>
    <m/>
    <n v="293"/>
    <n v="17316449"/>
    <n v="352"/>
    <n v="162"/>
    <n v="143"/>
    <n v="188"/>
    <n v="352"/>
    <n v="143"/>
    <n v="2015"/>
    <n v="162"/>
    <s v="2018 (triag)"/>
    <n v="352"/>
    <n v="2022"/>
    <s v=""/>
    <n v="352"/>
    <n v="352"/>
    <s v="Increasing"/>
    <m/>
    <m/>
    <m/>
    <m/>
    <n v="0.10518135490575958"/>
    <n v="0.10401344881051955"/>
    <n v="0.20327493240675384"/>
    <n v="0.20327493240675384"/>
  </r>
  <r>
    <x v="34"/>
    <x v="34"/>
    <n v="13231843"/>
    <x v="29"/>
    <n v="0"/>
    <n v="13595565.499999993"/>
    <n v="371"/>
    <m/>
    <n v="0"/>
    <m/>
    <n v="0"/>
    <m/>
    <n v="0"/>
    <m/>
    <n v="0"/>
    <n v="15574908.999999998"/>
    <n v="0"/>
    <n v="53"/>
    <m/>
    <n v="45"/>
    <m/>
    <n v="48"/>
    <m/>
    <n v="40"/>
    <n v="17316449"/>
    <n v="57"/>
    <n v="53"/>
    <n v="371"/>
    <n v="45"/>
    <n v="57"/>
    <n v="371"/>
    <n v="2013"/>
    <n v="53"/>
    <s v="2018 (triag)"/>
    <n v="57"/>
    <n v="2022"/>
    <s v=""/>
    <n v="57"/>
    <n v="57"/>
    <s v="Increasing"/>
    <m/>
    <m/>
    <m/>
    <m/>
    <n v="0.27288309559466301"/>
    <n v="3.4029091277515654E-2"/>
    <n v="3.2916679395411839E-2"/>
    <n v="3.2916679395411839E-2"/>
  </r>
  <r>
    <x v="34"/>
    <x v="34"/>
    <n v="13231844"/>
    <x v="30"/>
    <n v="0"/>
    <n v="13595565.499999993"/>
    <n v="54"/>
    <m/>
    <n v="0"/>
    <m/>
    <n v="0"/>
    <m/>
    <n v="121"/>
    <m/>
    <n v="121"/>
    <n v="15574908.999999998"/>
    <n v="0"/>
    <n v="136"/>
    <m/>
    <n v="219"/>
    <m/>
    <n v="134"/>
    <m/>
    <n v="176"/>
    <n v="17316449"/>
    <n v="223"/>
    <n v="136"/>
    <n v="54"/>
    <n v="219"/>
    <n v="223"/>
    <n v="54"/>
    <n v="2013"/>
    <n v="136"/>
    <s v="2018 (triag)"/>
    <n v="223"/>
    <n v="2022"/>
    <s v=""/>
    <n v="223"/>
    <n v="223"/>
    <s v="Increasing"/>
    <m/>
    <m/>
    <m/>
    <m/>
    <n v="3.9718833321056066E-2"/>
    <n v="8.7319932334757155E-2"/>
    <n v="0.12877928956450599"/>
    <n v="0.12877928956450599"/>
  </r>
  <r>
    <x v="34"/>
    <x v="34"/>
    <n v="13231845"/>
    <x v="31"/>
    <n v="0"/>
    <n v="13595565.499999993"/>
    <n v="0"/>
    <m/>
    <n v="0"/>
    <m/>
    <n v="0"/>
    <m/>
    <n v="0"/>
    <m/>
    <n v="57"/>
    <n v="15574908.999999998"/>
    <n v="0"/>
    <n v="100"/>
    <m/>
    <n v="0"/>
    <m/>
    <n v="0"/>
    <m/>
    <n v="28"/>
    <n v="17316449"/>
    <n v="64"/>
    <n v="100"/>
    <n v="0"/>
    <n v="57"/>
    <n v="64"/>
    <m/>
    <s v=""/>
    <n v="100"/>
    <s v="2018 (triag)"/>
    <n v="64"/>
    <n v="2022"/>
    <s v="Adjust"/>
    <n v="74.906392857997659"/>
    <n v="100"/>
    <s v="Decreasing"/>
    <m/>
    <m/>
    <m/>
    <m/>
    <n v="0"/>
    <n v="6.4205832599086146E-2"/>
    <n v="4.3257363480236427E-2"/>
    <n v="5.7748560342827791E-2"/>
  </r>
  <r>
    <x v="34"/>
    <x v="34"/>
    <n v="13231846"/>
    <x v="32"/>
    <n v="0"/>
    <n v="13595565.499999993"/>
    <n v="0"/>
    <m/>
    <n v="0"/>
    <m/>
    <n v="0"/>
    <m/>
    <n v="0"/>
    <m/>
    <n v="0"/>
    <n v="15574908.999999998"/>
    <n v="0"/>
    <n v="0"/>
    <m/>
    <n v="16"/>
    <m/>
    <n v="2"/>
    <m/>
    <n v="0"/>
    <n v="17316449"/>
    <n v="14"/>
    <n v="0"/>
    <n v="0"/>
    <n v="16"/>
    <n v="14"/>
    <m/>
    <s v=""/>
    <n v="16"/>
    <n v="2019"/>
    <n v="14"/>
    <n v="2022"/>
    <s v="Adjust"/>
    <n v="16.385773437686989"/>
    <n v="16.385773437686989"/>
    <s v="Increasing"/>
    <m/>
    <m/>
    <m/>
    <m/>
    <n v="0"/>
    <n v="1.0272933215853782E-2"/>
    <n v="9.4625482613017193E-3"/>
    <n v="9.4625482613017193E-3"/>
  </r>
  <r>
    <x v="35"/>
    <x v="35"/>
    <n v="6788587.5000000037"/>
    <x v="19"/>
    <n v="0"/>
    <n v="6964858.4999999972"/>
    <n v="0"/>
    <n v="7140688.0000000028"/>
    <n v="0"/>
    <n v="7314773"/>
    <n v="0"/>
    <n v="7493912.9999999981"/>
    <n v="0"/>
    <n v="7677565.5000000019"/>
    <n v="0"/>
    <n v="7861281"/>
    <n v="566"/>
    <n v="566"/>
    <n v="8046828.5"/>
    <n v="256"/>
    <n v="8233970.4999999991"/>
    <n v="576"/>
    <n v="8420641.0000000037"/>
    <n v="0"/>
    <n v="8605718.0000000056"/>
    <n v="1106"/>
    <n v="281"/>
    <n v="0"/>
    <n v="566"/>
    <n v="1106"/>
    <m/>
    <s v=""/>
    <n v="566"/>
    <n v="2018"/>
    <n v="1106"/>
    <n v="2022"/>
    <s v=""/>
    <n v="1106"/>
    <n v="1106"/>
    <s v="Increasing"/>
    <m/>
    <m/>
    <m/>
    <m/>
    <n v="0"/>
    <n v="0.71998444019492502"/>
    <n v="1.2851920083832624"/>
    <n v="1.2851920083832624"/>
  </r>
  <r>
    <x v="35"/>
    <x v="35"/>
    <n v="6788588.5"/>
    <x v="20"/>
    <n v="0"/>
    <n v="6964858.4999999972"/>
    <n v="0"/>
    <m/>
    <n v="0"/>
    <m/>
    <n v="0"/>
    <m/>
    <n v="0"/>
    <m/>
    <n v="0"/>
    <n v="7861281"/>
    <n v="500"/>
    <n v="500"/>
    <m/>
    <n v="231"/>
    <m/>
    <n v="515"/>
    <m/>
    <n v="0"/>
    <n v="8605718.0000000056"/>
    <n v="338"/>
    <n v="234"/>
    <n v="0"/>
    <n v="500"/>
    <n v="515"/>
    <m/>
    <s v=""/>
    <n v="500"/>
    <n v="2018"/>
    <n v="338"/>
    <n v="2022"/>
    <s v="Adjust"/>
    <n v="388.46294178030035"/>
    <n v="500"/>
    <s v="Decreasing"/>
    <m/>
    <m/>
    <m/>
    <m/>
    <n v="0"/>
    <n v="0.63602865741601144"/>
    <n v="0.45140096593950685"/>
    <n v="0.58100904538122178"/>
  </r>
  <r>
    <x v="35"/>
    <x v="35"/>
    <n v="6788589.5"/>
    <x v="21"/>
    <n v="0"/>
    <n v="6964858.4999999972"/>
    <n v="0"/>
    <m/>
    <n v="0"/>
    <m/>
    <n v="0"/>
    <m/>
    <n v="0"/>
    <m/>
    <n v="0"/>
    <n v="7861281"/>
    <n v="66"/>
    <n v="66"/>
    <m/>
    <n v="25"/>
    <m/>
    <n v="61"/>
    <m/>
    <n v="0"/>
    <n v="8605718.0000000056"/>
    <n v="28"/>
    <n v="47"/>
    <n v="0"/>
    <n v="66"/>
    <n v="61"/>
    <m/>
    <s v=""/>
    <n v="66"/>
    <n v="2018"/>
    <n v="28"/>
    <n v="2022"/>
    <s v="Adjust"/>
    <n v="32.180362040971623"/>
    <n v="66"/>
    <s v="Decreasing"/>
    <m/>
    <m/>
    <m/>
    <m/>
    <n v="0"/>
    <n v="8.395578277891351E-2"/>
    <n v="3.7394162858894055E-2"/>
    <n v="7.6693193990321262E-2"/>
  </r>
  <r>
    <x v="35"/>
    <x v="35"/>
    <n v="6788590.5"/>
    <x v="22"/>
    <n v="0"/>
    <n v="6964858.4999999972"/>
    <n v="6106"/>
    <m/>
    <n v="6108"/>
    <m/>
    <n v="5873"/>
    <m/>
    <n v="5160"/>
    <m/>
    <n v="5980"/>
    <n v="7861281"/>
    <n v="5757"/>
    <n v="5757"/>
    <m/>
    <n v="4311"/>
    <m/>
    <n v="1040"/>
    <m/>
    <n v="0"/>
    <n v="8605718.0000000056"/>
    <n v="15666"/>
    <n v="5302"/>
    <n v="6108"/>
    <n v="5980"/>
    <n v="15666"/>
    <n v="6106"/>
    <n v="2013"/>
    <n v="5757"/>
    <n v="2018"/>
    <n v="15666"/>
    <n v="2022"/>
    <s v=""/>
    <n v="15666"/>
    <n v="15666"/>
    <s v="Increasing"/>
    <m/>
    <m/>
    <m/>
    <m/>
    <n v="8.7668687023577032"/>
    <n v="7.323233961487956"/>
    <n v="18.204175409884439"/>
    <n v="18.204175409884439"/>
  </r>
  <r>
    <x v="35"/>
    <x v="35"/>
    <n v="6788591.5"/>
    <x v="23"/>
    <n v="0"/>
    <n v="6964858.4999999972"/>
    <n v="634"/>
    <m/>
    <n v="634"/>
    <m/>
    <n v="766"/>
    <m/>
    <n v="755"/>
    <m/>
    <n v="964"/>
    <n v="7861281"/>
    <n v="868"/>
    <n v="868"/>
    <m/>
    <n v="819"/>
    <m/>
    <n v="1040"/>
    <m/>
    <n v="0"/>
    <n v="8605718.0000000056"/>
    <n v="1449"/>
    <n v="580"/>
    <n v="766"/>
    <n v="964"/>
    <n v="1449"/>
    <n v="634"/>
    <n v="2013"/>
    <n v="868"/>
    <n v="2018"/>
    <n v="1449"/>
    <n v="2022"/>
    <s v=""/>
    <n v="1449"/>
    <n v="1449"/>
    <s v="Increasing"/>
    <m/>
    <m/>
    <m/>
    <m/>
    <n v="0.91028410699226736"/>
    <n v="1.104145749274196"/>
    <n v="1.6837642135147806"/>
    <n v="1.6837642135147806"/>
  </r>
  <r>
    <x v="35"/>
    <x v="35"/>
    <n v="6788592.5"/>
    <x v="24"/>
    <n v="0"/>
    <n v="6964858.4999999972"/>
    <n v="2707"/>
    <m/>
    <n v="2707"/>
    <m/>
    <n v="2605"/>
    <m/>
    <n v="2090"/>
    <m/>
    <n v="2690"/>
    <n v="7861281"/>
    <n v="2545"/>
    <n v="4722"/>
    <m/>
    <n v="3492"/>
    <m/>
    <n v="0"/>
    <m/>
    <n v="0"/>
    <n v="8605718.0000000056"/>
    <n v="5907"/>
    <n v="4722"/>
    <n v="2707"/>
    <n v="3492"/>
    <n v="5907"/>
    <n v="2707"/>
    <n v="2013"/>
    <n v="4722"/>
    <s v="2018 (triag)"/>
    <n v="5907"/>
    <n v="2022"/>
    <s v=""/>
    <n v="5907"/>
    <n v="5907"/>
    <s v="Increasing"/>
    <m/>
    <m/>
    <m/>
    <m/>
    <n v="3.8866546965742392"/>
    <n v="6.0066546406368122"/>
    <n v="6.8640408621337539"/>
    <n v="6.8640408621337539"/>
  </r>
  <r>
    <x v="35"/>
    <x v="35"/>
    <n v="6788593.5"/>
    <x v="25"/>
    <n v="0"/>
    <n v="6964858.4999999972"/>
    <n v="2187"/>
    <m/>
    <n v="585"/>
    <m/>
    <n v="0"/>
    <m/>
    <n v="313"/>
    <m/>
    <n v="0"/>
    <n v="7861281"/>
    <n v="0"/>
    <n v="391"/>
    <m/>
    <n v="2373"/>
    <m/>
    <n v="639"/>
    <m/>
    <n v="0"/>
    <n v="8605718.0000000056"/>
    <n v="2271"/>
    <n v="391"/>
    <n v="2187"/>
    <n v="2373"/>
    <n v="2271"/>
    <n v="2187"/>
    <n v="2013"/>
    <n v="391"/>
    <s v="2018 (triag)"/>
    <n v="2271"/>
    <n v="2022"/>
    <s v=""/>
    <n v="2271"/>
    <n v="2271"/>
    <s v="Increasing"/>
    <m/>
    <m/>
    <m/>
    <m/>
    <n v="3.140049435318752"/>
    <n v="0.49737441009932098"/>
    <n v="2.6389430841215091"/>
    <n v="2.6389430841215091"/>
  </r>
  <r>
    <x v="35"/>
    <x v="35"/>
    <n v="6788594.5"/>
    <x v="26"/>
    <n v="0"/>
    <n v="6964858.4999999972"/>
    <n v="286"/>
    <m/>
    <n v="0"/>
    <m/>
    <n v="0"/>
    <m/>
    <n v="0"/>
    <m/>
    <n v="0"/>
    <n v="7861281"/>
    <n v="0"/>
    <n v="287"/>
    <m/>
    <n v="422"/>
    <m/>
    <n v="530"/>
    <m/>
    <n v="0"/>
    <n v="8605718.0000000056"/>
    <n v="184"/>
    <n v="287"/>
    <n v="286"/>
    <n v="422"/>
    <n v="530"/>
    <n v="286"/>
    <n v="2013"/>
    <n v="287"/>
    <s v="2018 (triag)"/>
    <n v="184"/>
    <n v="2022"/>
    <s v="Adjust"/>
    <n v="211.4709505549564"/>
    <n v="287"/>
    <s v="Decreasing"/>
    <m/>
    <m/>
    <m/>
    <m/>
    <n v="0.41063289369051809"/>
    <n v="0.36508044935679057"/>
    <n v="0.24573307021558952"/>
    <n v="0.33349919204882128"/>
  </r>
  <r>
    <x v="35"/>
    <x v="35"/>
    <n v="6788595.5"/>
    <x v="27"/>
    <n v="0"/>
    <n v="6964858.4999999972"/>
    <n v="1901"/>
    <m/>
    <n v="0"/>
    <m/>
    <n v="0"/>
    <m/>
    <n v="0"/>
    <m/>
    <n v="0"/>
    <n v="7861281"/>
    <n v="0"/>
    <n v="104"/>
    <m/>
    <n v="1951"/>
    <m/>
    <n v="109"/>
    <m/>
    <n v="0"/>
    <n v="8605718.0000000056"/>
    <n v="2087"/>
    <n v="104"/>
    <n v="1901"/>
    <n v="1951"/>
    <n v="2087"/>
    <n v="1901"/>
    <n v="2013"/>
    <n v="104"/>
    <s v="2018 (triag)"/>
    <n v="2087"/>
    <n v="2022"/>
    <s v=""/>
    <n v="2087"/>
    <n v="2087"/>
    <s v="Increasing"/>
    <m/>
    <m/>
    <m/>
    <m/>
    <n v="2.7294165416282339"/>
    <n v="0.13229396074253039"/>
    <n v="2.4251317554212197"/>
    <n v="2.4251317554212197"/>
  </r>
  <r>
    <x v="35"/>
    <x v="35"/>
    <n v="6788596.5"/>
    <x v="28"/>
    <n v="0"/>
    <n v="6964858.4999999972"/>
    <n v="0"/>
    <m/>
    <n v="0"/>
    <m/>
    <n v="0"/>
    <m/>
    <n v="82"/>
    <m/>
    <n v="0"/>
    <n v="7861281"/>
    <n v="156"/>
    <n v="156"/>
    <m/>
    <n v="164"/>
    <m/>
    <n v="193"/>
    <m/>
    <n v="0"/>
    <n v="8605718.0000000056"/>
    <n v="193"/>
    <n v="135"/>
    <n v="0"/>
    <n v="164"/>
    <n v="193"/>
    <m/>
    <s v=""/>
    <n v="156"/>
    <n v="2018"/>
    <n v="193"/>
    <n v="2020"/>
    <s v=""/>
    <n v="193"/>
    <n v="193"/>
    <s v="Increasing"/>
    <m/>
    <m/>
    <m/>
    <m/>
    <n v="0"/>
    <n v="0.19844094111379557"/>
    <n v="0.22426949151715159"/>
    <n v="0.22426949151715159"/>
  </r>
  <r>
    <x v="35"/>
    <x v="35"/>
    <n v="6788597.5"/>
    <x v="29"/>
    <n v="0"/>
    <n v="6964858.4999999972"/>
    <n v="0"/>
    <m/>
    <n v="0"/>
    <m/>
    <n v="0"/>
    <m/>
    <n v="0"/>
    <m/>
    <n v="0"/>
    <n v="7861281"/>
    <n v="0"/>
    <n v="21"/>
    <m/>
    <n v="213"/>
    <m/>
    <n v="332"/>
    <m/>
    <n v="0"/>
    <n v="8605718.0000000056"/>
    <n v="857"/>
    <n v="21"/>
    <n v="0"/>
    <n v="213"/>
    <n v="857"/>
    <m/>
    <s v=""/>
    <n v="21"/>
    <s v="2018 (triag)"/>
    <n v="857"/>
    <n v="2022"/>
    <s v=""/>
    <n v="857"/>
    <n v="857"/>
    <s v="Increasing"/>
    <m/>
    <m/>
    <m/>
    <m/>
    <n v="0"/>
    <n v="2.6713203611472482E-2"/>
    <n v="0.99584950378341408"/>
    <n v="0.99584950378341408"/>
  </r>
  <r>
    <x v="35"/>
    <x v="35"/>
    <n v="6788598.5"/>
    <x v="30"/>
    <n v="0"/>
    <n v="6964858.4999999972"/>
    <n v="0"/>
    <m/>
    <n v="0"/>
    <m/>
    <n v="0"/>
    <m/>
    <n v="53"/>
    <m/>
    <n v="0"/>
    <n v="7861281"/>
    <n v="15"/>
    <n v="15"/>
    <m/>
    <n v="7"/>
    <m/>
    <n v="15"/>
    <m/>
    <n v="0"/>
    <n v="8605718.0000000056"/>
    <n v="15"/>
    <n v="9"/>
    <n v="0"/>
    <n v="53"/>
    <n v="15"/>
    <m/>
    <s v=""/>
    <n v="15"/>
    <n v="2018"/>
    <n v="15"/>
    <n v="2020"/>
    <s v=""/>
    <n v="15"/>
    <n v="15"/>
    <s v="No change"/>
    <m/>
    <m/>
    <m/>
    <m/>
    <n v="0"/>
    <n v="1.9080859722480345E-2"/>
    <n v="1.7430271361436652E-2"/>
    <n v="1.7430271361436652E-2"/>
  </r>
  <r>
    <x v="35"/>
    <x v="35"/>
    <n v="6788599.5"/>
    <x v="31"/>
    <n v="0"/>
    <n v="6964858.4999999972"/>
    <n v="0"/>
    <m/>
    <n v="0"/>
    <m/>
    <n v="0"/>
    <m/>
    <n v="0"/>
    <m/>
    <n v="0"/>
    <n v="7861281"/>
    <n v="0"/>
    <n v="414"/>
    <m/>
    <n v="140"/>
    <m/>
    <n v="66"/>
    <m/>
    <n v="0"/>
    <n v="8605718.0000000056"/>
    <n v="126"/>
    <n v="414"/>
    <n v="0"/>
    <n v="140"/>
    <n v="126"/>
    <m/>
    <s v=""/>
    <n v="414"/>
    <s v="2018 (triag)"/>
    <n v="126"/>
    <n v="2022"/>
    <s v="Adjust"/>
    <n v="144.81162918437232"/>
    <n v="414"/>
    <s v="Decreasing"/>
    <m/>
    <m/>
    <m/>
    <m/>
    <n v="0"/>
    <n v="0.52663172834045746"/>
    <n v="0.16827373286502328"/>
    <n v="0.4810754895756516"/>
  </r>
  <r>
    <x v="35"/>
    <x v="35"/>
    <n v="6788600.5"/>
    <x v="32"/>
    <n v="0"/>
    <n v="6964858.4999999972"/>
    <n v="0"/>
    <m/>
    <n v="0"/>
    <m/>
    <n v="0"/>
    <m/>
    <n v="0"/>
    <m/>
    <n v="0"/>
    <n v="7861281"/>
    <n v="0"/>
    <n v="0"/>
    <m/>
    <n v="0"/>
    <m/>
    <n v="0"/>
    <m/>
    <n v="0"/>
    <n v="8605718.0000000056"/>
    <n v="0"/>
    <n v="0"/>
    <n v="0"/>
    <n v="0"/>
    <n v="0"/>
    <m/>
    <s v=""/>
    <m/>
    <s v=""/>
    <n v="0"/>
    <s v=""/>
    <s v=""/>
    <m/>
    <n v="0"/>
    <s v="No change"/>
    <m/>
    <m/>
    <m/>
    <m/>
    <n v="0"/>
    <n v="0"/>
    <n v="0"/>
    <n v="0"/>
  </r>
  <r>
    <x v="36"/>
    <x v="36"/>
    <n v="10701604.500000004"/>
    <x v="19"/>
    <n v="0"/>
    <n v="11106031.000000004"/>
    <n v="0"/>
    <n v="11213284.499999998"/>
    <n v="0"/>
    <n v="11194299.499999998"/>
    <n v="0"/>
    <n v="11066105"/>
    <n v="0"/>
    <n v="10658225.499999994"/>
    <n v="0"/>
    <n v="10395329.5"/>
    <n v="411"/>
    <n v="411"/>
    <n v="10447665.999999998"/>
    <n v="342"/>
    <n v="10606227.000000002"/>
    <n v="456"/>
    <n v="10748272.499999998"/>
    <n v="0"/>
    <n v="10913163.5"/>
    <n v="0"/>
    <n v="411"/>
    <n v="0"/>
    <n v="411"/>
    <n v="456"/>
    <m/>
    <s v=""/>
    <n v="411"/>
    <n v="2018"/>
    <n v="456"/>
    <n v="2020"/>
    <s v=""/>
    <n v="456"/>
    <n v="456"/>
    <s v="Increasing"/>
    <m/>
    <m/>
    <m/>
    <m/>
    <n v="0"/>
    <n v="0.39536986297548338"/>
    <n v="0.41784401012593642"/>
    <n v="0.41784401012593642"/>
  </r>
  <r>
    <x v="36"/>
    <x v="36"/>
    <n v="10701605.5"/>
    <x v="20"/>
    <n v="0"/>
    <n v="11106031.000000004"/>
    <n v="0"/>
    <m/>
    <n v="0"/>
    <m/>
    <n v="0"/>
    <m/>
    <n v="0"/>
    <m/>
    <n v="0"/>
    <n v="10395329.5"/>
    <n v="338"/>
    <n v="338"/>
    <m/>
    <n v="274"/>
    <m/>
    <n v="383"/>
    <m/>
    <n v="0"/>
    <n v="10913163.5"/>
    <n v="0"/>
    <n v="338"/>
    <n v="0"/>
    <n v="338"/>
    <n v="383"/>
    <m/>
    <s v=""/>
    <n v="338"/>
    <n v="2018"/>
    <n v="383"/>
    <n v="2020"/>
    <s v=""/>
    <n v="383"/>
    <n v="383"/>
    <s v="Increasing"/>
    <m/>
    <m/>
    <m/>
    <m/>
    <n v="0"/>
    <n v="0.32514601870003257"/>
    <n v="0.35095231552244222"/>
    <n v="0.35095231552244222"/>
  </r>
  <r>
    <x v="36"/>
    <x v="36"/>
    <n v="10701606.5"/>
    <x v="21"/>
    <n v="0"/>
    <n v="11106031.000000004"/>
    <n v="0"/>
    <m/>
    <n v="0"/>
    <m/>
    <n v="0"/>
    <m/>
    <n v="0"/>
    <m/>
    <n v="0"/>
    <n v="10395329.5"/>
    <n v="73"/>
    <n v="73"/>
    <m/>
    <n v="68"/>
    <m/>
    <n v="73"/>
    <m/>
    <n v="0"/>
    <n v="10913163.5"/>
    <n v="0"/>
    <n v="73"/>
    <n v="0"/>
    <n v="73"/>
    <n v="73"/>
    <m/>
    <s v=""/>
    <n v="73"/>
    <n v="2018"/>
    <n v="73"/>
    <n v="2020"/>
    <s v=""/>
    <n v="73"/>
    <n v="73"/>
    <s v="No change"/>
    <m/>
    <m/>
    <m/>
    <m/>
    <n v="0"/>
    <n v="7.0223844275450822E-2"/>
    <n v="6.6891694603494214E-2"/>
    <n v="6.6891694603494214E-2"/>
  </r>
  <r>
    <x v="36"/>
    <x v="36"/>
    <n v="10701607.5"/>
    <x v="22"/>
    <n v="0"/>
    <n v="11106031.000000004"/>
    <n v="0"/>
    <m/>
    <n v="0"/>
    <m/>
    <n v="0"/>
    <m/>
    <n v="0"/>
    <m/>
    <n v="0"/>
    <n v="10395329.5"/>
    <n v="3726"/>
    <n v="3726"/>
    <m/>
    <n v="3714"/>
    <m/>
    <n v="4530"/>
    <m/>
    <n v="0"/>
    <n v="10913163.5"/>
    <n v="0"/>
    <n v="2014"/>
    <n v="0"/>
    <n v="3726"/>
    <n v="4530"/>
    <m/>
    <s v=""/>
    <n v="3726"/>
    <n v="2018"/>
    <n v="4530"/>
    <n v="2020"/>
    <s v=""/>
    <n v="4530"/>
    <n v="4530"/>
    <s v="Increasing"/>
    <m/>
    <m/>
    <m/>
    <m/>
    <n v="0"/>
    <n v="3.5843019694565719"/>
    <n v="4.150950363751079"/>
    <n v="4.150950363751079"/>
  </r>
  <r>
    <x v="36"/>
    <x v="36"/>
    <n v="10701608.5"/>
    <x v="23"/>
    <n v="0"/>
    <n v="11106031.000000004"/>
    <n v="0"/>
    <m/>
    <n v="0"/>
    <m/>
    <n v="0"/>
    <m/>
    <n v="0"/>
    <m/>
    <n v="0"/>
    <n v="10395329.5"/>
    <n v="0"/>
    <n v="2014"/>
    <m/>
    <n v="502"/>
    <m/>
    <n v="596"/>
    <m/>
    <n v="0"/>
    <n v="10913163.5"/>
    <n v="0"/>
    <n v="2014"/>
    <n v="0"/>
    <n v="502"/>
    <n v="596"/>
    <m/>
    <s v=""/>
    <n v="2014"/>
    <s v="2018 (triag)"/>
    <n v="596"/>
    <n v="2020"/>
    <s v="Adjust"/>
    <n v="684.98199201496743"/>
    <n v="2014"/>
    <s v="Decreasing"/>
    <m/>
    <m/>
    <m/>
    <m/>
    <n v="0"/>
    <n v="1.9374085256268212"/>
    <n v="0.62766583861312764"/>
    <n v="1.8454777113895526"/>
  </r>
  <r>
    <x v="36"/>
    <x v="36"/>
    <n v="10701609.5"/>
    <x v="24"/>
    <n v="0"/>
    <n v="11106031.000000004"/>
    <n v="0"/>
    <m/>
    <n v="0"/>
    <m/>
    <n v="0"/>
    <m/>
    <n v="0"/>
    <m/>
    <n v="0"/>
    <n v="10395329.5"/>
    <n v="0"/>
    <n v="0"/>
    <m/>
    <n v="3212"/>
    <m/>
    <n v="3934"/>
    <m/>
    <n v="0"/>
    <n v="10913163.5"/>
    <n v="0"/>
    <n v="0"/>
    <n v="0"/>
    <n v="3212"/>
    <n v="3934"/>
    <m/>
    <s v=""/>
    <n v="3212"/>
    <n v="2019"/>
    <n v="3934"/>
    <n v="2020"/>
    <s v=""/>
    <n v="3934"/>
    <n v="3934"/>
    <s v="Increasing"/>
    <m/>
    <m/>
    <m/>
    <m/>
    <n v="0"/>
    <n v="3.089849148119836"/>
    <n v="3.6048209119198114"/>
    <n v="3.6048209119198114"/>
  </r>
  <r>
    <x v="36"/>
    <x v="36"/>
    <n v="10701610.5"/>
    <x v="25"/>
    <n v="0"/>
    <n v="11106031.000000004"/>
    <n v="0"/>
    <m/>
    <n v="0"/>
    <m/>
    <n v="0"/>
    <m/>
    <n v="0"/>
    <m/>
    <n v="0"/>
    <n v="10395329.5"/>
    <n v="0"/>
    <n v="1712"/>
    <m/>
    <n v="2380"/>
    <m/>
    <n v="3020"/>
    <m/>
    <n v="0"/>
    <n v="10913163.5"/>
    <n v="0"/>
    <n v="1712"/>
    <n v="0"/>
    <n v="2380"/>
    <n v="3020"/>
    <m/>
    <s v=""/>
    <n v="1712"/>
    <s v="2018 (triag)"/>
    <n v="3020"/>
    <n v="2020"/>
    <s v=""/>
    <n v="3020"/>
    <n v="3020"/>
    <s v="Increasing"/>
    <m/>
    <m/>
    <m/>
    <m/>
    <n v="0"/>
    <n v="1.6468934438297507"/>
    <n v="2.7673002425007196"/>
    <n v="2.7673002425007196"/>
  </r>
  <r>
    <x v="36"/>
    <x v="36"/>
    <n v="10701611.5"/>
    <x v="26"/>
    <n v="0"/>
    <n v="11106031.000000004"/>
    <n v="0"/>
    <m/>
    <n v="0"/>
    <m/>
    <n v="0"/>
    <m/>
    <n v="0"/>
    <m/>
    <n v="0"/>
    <n v="10395329.5"/>
    <n v="0"/>
    <n v="1112"/>
    <m/>
    <n v="380"/>
    <m/>
    <n v="456"/>
    <m/>
    <n v="0"/>
    <n v="10913163.5"/>
    <n v="0"/>
    <n v="1112"/>
    <n v="0"/>
    <n v="380"/>
    <n v="456"/>
    <m/>
    <s v=""/>
    <n v="1112"/>
    <s v="2018 (triag)"/>
    <n v="456"/>
    <n v="2020"/>
    <s v="Adjust"/>
    <n v="524.08018181010937"/>
    <n v="1112"/>
    <s v="Decreasing"/>
    <m/>
    <m/>
    <m/>
    <m/>
    <n v="0"/>
    <n v="1.0697111621137165"/>
    <n v="0.48022755437514469"/>
    <n v="1.0189529369737749"/>
  </r>
  <r>
    <x v="36"/>
    <x v="36"/>
    <n v="10701612.5"/>
    <x v="27"/>
    <n v="0"/>
    <n v="11106031.000000004"/>
    <n v="0"/>
    <m/>
    <n v="0"/>
    <m/>
    <n v="0"/>
    <m/>
    <n v="0"/>
    <m/>
    <n v="0"/>
    <n v="10395329.5"/>
    <n v="0"/>
    <n v="600"/>
    <m/>
    <n v="2000"/>
    <m/>
    <n v="2564"/>
    <m/>
    <n v="0"/>
    <n v="10913163.5"/>
    <n v="0"/>
    <n v="600"/>
    <n v="0"/>
    <n v="2000"/>
    <n v="2564"/>
    <m/>
    <s v=""/>
    <n v="600"/>
    <s v="2018 (triag)"/>
    <n v="2564"/>
    <n v="2020"/>
    <s v=""/>
    <n v="2564"/>
    <n v="2564"/>
    <s v="Increasing"/>
    <m/>
    <m/>
    <m/>
    <m/>
    <n v="0"/>
    <n v="0.57718228171603414"/>
    <n v="2.349456232374783"/>
    <n v="2.349456232374783"/>
  </r>
  <r>
    <x v="36"/>
    <x v="36"/>
    <n v="10701613.5"/>
    <x v="28"/>
    <n v="0"/>
    <n v="11106031.000000004"/>
    <n v="0"/>
    <m/>
    <n v="0"/>
    <m/>
    <n v="0"/>
    <m/>
    <n v="0"/>
    <m/>
    <n v="0"/>
    <n v="10395329.5"/>
    <n v="360"/>
    <n v="360"/>
    <m/>
    <n v="98"/>
    <m/>
    <n v="139"/>
    <m/>
    <n v="0"/>
    <n v="10913163.5"/>
    <n v="0"/>
    <n v="210"/>
    <n v="0"/>
    <n v="360"/>
    <n v="139"/>
    <m/>
    <s v=""/>
    <n v="360"/>
    <n v="2018"/>
    <n v="139"/>
    <n v="2020"/>
    <s v="Adjust"/>
    <n v="159.7525115605377"/>
    <n v="360"/>
    <s v="Decreasing"/>
    <m/>
    <m/>
    <m/>
    <m/>
    <n v="0"/>
    <n v="0.34630936902962045"/>
    <n v="0.1463851536362831"/>
    <n v="0.32987685009942352"/>
  </r>
  <r>
    <x v="36"/>
    <x v="36"/>
    <n v="10701614.5"/>
    <x v="29"/>
    <n v="0"/>
    <n v="11106031.000000004"/>
    <n v="0"/>
    <m/>
    <n v="0"/>
    <m/>
    <n v="0"/>
    <m/>
    <n v="0"/>
    <m/>
    <n v="0"/>
    <n v="10395329.5"/>
    <n v="0"/>
    <n v="150"/>
    <m/>
    <n v="253"/>
    <m/>
    <n v="291"/>
    <m/>
    <n v="0"/>
    <n v="10913163.5"/>
    <n v="0"/>
    <n v="150"/>
    <n v="0"/>
    <n v="253"/>
    <n v="291"/>
    <m/>
    <s v=""/>
    <n v="150"/>
    <s v="2018 (triag)"/>
    <n v="291"/>
    <n v="2020"/>
    <s v=""/>
    <n v="291"/>
    <n v="291"/>
    <s v="Increasing"/>
    <m/>
    <m/>
    <m/>
    <m/>
    <n v="0"/>
    <n v="0.14429557042900854"/>
    <n v="0.26665045383036734"/>
    <n v="0.26665045383036734"/>
  </r>
  <r>
    <x v="36"/>
    <x v="36"/>
    <n v="10701615.5"/>
    <x v="30"/>
    <n v="0"/>
    <n v="11106031.000000004"/>
    <n v="0"/>
    <m/>
    <n v="0"/>
    <m/>
    <n v="0"/>
    <m/>
    <n v="0"/>
    <m/>
    <n v="0"/>
    <n v="10395329.5"/>
    <n v="32"/>
    <n v="32"/>
    <m/>
    <n v="20"/>
    <m/>
    <n v="28"/>
    <m/>
    <n v="0"/>
    <n v="10913163.5"/>
    <n v="0"/>
    <n v="20"/>
    <n v="0"/>
    <n v="32"/>
    <n v="28"/>
    <m/>
    <s v=""/>
    <n v="32"/>
    <n v="2018"/>
    <n v="28"/>
    <n v="2020"/>
    <s v="Adjust"/>
    <n v="32.180362040971623"/>
    <n v="32.180362040971623"/>
    <s v="Increasing"/>
    <m/>
    <m/>
    <m/>
    <m/>
    <n v="0"/>
    <n v="3.0783055024855153E-2"/>
    <n v="2.9487656847596595E-2"/>
    <n v="2.9487656847596595E-2"/>
  </r>
  <r>
    <x v="36"/>
    <x v="36"/>
    <n v="10701616.5"/>
    <x v="31"/>
    <n v="0"/>
    <n v="11106031.000000004"/>
    <n v="0"/>
    <m/>
    <n v="0"/>
    <m/>
    <n v="0"/>
    <m/>
    <n v="0"/>
    <m/>
    <n v="0"/>
    <n v="10395329.5"/>
    <n v="22"/>
    <n v="22"/>
    <m/>
    <n v="96"/>
    <m/>
    <n v="128"/>
    <m/>
    <n v="0"/>
    <n v="10913163.5"/>
    <n v="0"/>
    <n v="12"/>
    <n v="0"/>
    <n v="96"/>
    <n v="128"/>
    <m/>
    <s v=""/>
    <n v="22"/>
    <n v="2018"/>
    <n v="128"/>
    <n v="2020"/>
    <s v=""/>
    <n v="128"/>
    <n v="128"/>
    <s v="Increasing"/>
    <m/>
    <m/>
    <m/>
    <m/>
    <n v="0"/>
    <n v="2.1163350329587917E-2"/>
    <n v="0.11728954670201724"/>
    <n v="0.11728954670201724"/>
  </r>
  <r>
    <x v="36"/>
    <x v="36"/>
    <n v="10701617.5"/>
    <x v="32"/>
    <n v="0"/>
    <n v="11106031.000000004"/>
    <n v="0"/>
    <m/>
    <n v="0"/>
    <m/>
    <n v="0"/>
    <m/>
    <n v="0"/>
    <m/>
    <n v="0"/>
    <n v="10395329.5"/>
    <n v="0"/>
    <n v="0"/>
    <m/>
    <n v="0"/>
    <m/>
    <n v="0"/>
    <m/>
    <n v="0"/>
    <n v="10913163.5"/>
    <n v="0"/>
    <n v="0"/>
    <n v="0"/>
    <n v="0"/>
    <n v="0"/>
    <m/>
    <s v=""/>
    <m/>
    <s v=""/>
    <n v="0"/>
    <s v=""/>
    <s v=""/>
    <m/>
    <n v="0"/>
    <s v="No change"/>
    <m/>
    <m/>
    <m/>
    <m/>
    <n v="0"/>
    <n v="0"/>
    <n v="0"/>
    <n v="0"/>
  </r>
  <r>
    <x v="37"/>
    <x v="37"/>
    <n v="189924.5"/>
    <x v="19"/>
    <n v="0"/>
    <n v="193756.99999999997"/>
    <n v="0"/>
    <n v="197496.99999999994"/>
    <n v="0"/>
    <n v="201123.50000000012"/>
    <n v="63"/>
    <n v="204632.49999999985"/>
    <n v="0"/>
    <n v="208036.50000000012"/>
    <n v="0"/>
    <n v="211344"/>
    <n v="0"/>
    <n v="60"/>
    <n v="214599.00000000006"/>
    <n v="105"/>
    <n v="218640.99999999997"/>
    <n v="0"/>
    <n v="223107.49999999991"/>
    <n v="0"/>
    <n v="227379.5"/>
    <n v="0"/>
    <n v="60"/>
    <n v="63"/>
    <n v="105"/>
    <n v="0"/>
    <n v="63"/>
    <n v="2015"/>
    <n v="60"/>
    <s v="2018 (triag)"/>
    <n v="105"/>
    <s v="2018 (triag)"/>
    <s v=""/>
    <n v="105"/>
    <n v="105"/>
    <s v="Increasing"/>
    <m/>
    <m/>
    <m/>
    <m/>
    <n v="3.2514954298425351"/>
    <n v="2.8389734272087215"/>
    <n v="4.6178305432107996"/>
    <n v="4.6178305432107996"/>
  </r>
  <r>
    <x v="37"/>
    <x v="37"/>
    <n v="189925.5"/>
    <x v="20"/>
    <n v="0"/>
    <n v="193756.99999999997"/>
    <n v="0"/>
    <m/>
    <n v="0"/>
    <m/>
    <n v="0"/>
    <m/>
    <n v="0"/>
    <m/>
    <n v="0"/>
    <n v="211344"/>
    <n v="0"/>
    <n v="40"/>
    <m/>
    <n v="0"/>
    <m/>
    <n v="0"/>
    <m/>
    <n v="0"/>
    <n v="227379.5"/>
    <n v="0"/>
    <n v="40"/>
    <n v="0"/>
    <n v="0"/>
    <n v="0"/>
    <m/>
    <s v=""/>
    <n v="40"/>
    <s v="2018 (triag)"/>
    <n v="40"/>
    <s v="2018 (triag)"/>
    <s v=""/>
    <n v="40"/>
    <n v="40"/>
    <s v="No change"/>
    <m/>
    <m/>
    <m/>
    <m/>
    <n v="0"/>
    <n v="1.8926489514724809"/>
    <n v="1.7591735402707809"/>
    <n v="1.7591735402707809"/>
  </r>
  <r>
    <x v="37"/>
    <x v="37"/>
    <n v="189926.5"/>
    <x v="21"/>
    <n v="0"/>
    <n v="193756.99999999997"/>
    <n v="0"/>
    <m/>
    <n v="0"/>
    <m/>
    <n v="0"/>
    <m/>
    <n v="0"/>
    <m/>
    <n v="0"/>
    <n v="211344"/>
    <n v="0"/>
    <n v="20"/>
    <m/>
    <n v="0"/>
    <m/>
    <n v="0"/>
    <m/>
    <n v="0"/>
    <n v="227379.5"/>
    <n v="0"/>
    <n v="20"/>
    <n v="0"/>
    <n v="0"/>
    <n v="0"/>
    <m/>
    <s v=""/>
    <n v="20"/>
    <s v="2018 (triag)"/>
    <n v="20"/>
    <s v="2018 (triag)"/>
    <s v=""/>
    <n v="20"/>
    <n v="20"/>
    <s v="No change"/>
    <m/>
    <m/>
    <m/>
    <m/>
    <n v="0"/>
    <n v="0.94632447573624046"/>
    <n v="0.87958677013539044"/>
    <n v="0.87958677013539044"/>
  </r>
  <r>
    <x v="37"/>
    <x v="37"/>
    <n v="189927.5"/>
    <x v="22"/>
    <n v="0"/>
    <n v="193756.99999999997"/>
    <n v="0"/>
    <m/>
    <n v="0"/>
    <m/>
    <n v="442"/>
    <m/>
    <n v="0"/>
    <m/>
    <n v="0"/>
    <n v="211344"/>
    <n v="406"/>
    <n v="406"/>
    <m/>
    <n v="440"/>
    <m/>
    <n v="0"/>
    <m/>
    <n v="0"/>
    <n v="227379.5"/>
    <n v="0"/>
    <n v="206"/>
    <n v="442"/>
    <n v="440"/>
    <n v="0"/>
    <n v="442"/>
    <n v="2015"/>
    <n v="406"/>
    <n v="2018"/>
    <n v="440"/>
    <n v="2018"/>
    <s v=""/>
    <n v="440"/>
    <n v="440"/>
    <s v="Increasing"/>
    <m/>
    <m/>
    <m/>
    <m/>
    <n v="22.812079047466675"/>
    <n v="19.21038685744568"/>
    <n v="19.350908942978588"/>
    <n v="19.350908942978588"/>
  </r>
  <r>
    <x v="37"/>
    <x v="37"/>
    <n v="189928.5"/>
    <x v="23"/>
    <n v="0"/>
    <n v="193756.99999999997"/>
    <n v="0"/>
    <m/>
    <n v="0"/>
    <m/>
    <n v="0"/>
    <m/>
    <n v="0"/>
    <m/>
    <n v="0"/>
    <n v="211344"/>
    <n v="0"/>
    <n v="206"/>
    <m/>
    <n v="0"/>
    <m/>
    <n v="0"/>
    <m/>
    <n v="0"/>
    <n v="227379.5"/>
    <n v="0"/>
    <n v="206"/>
    <n v="0"/>
    <n v="0"/>
    <n v="0"/>
    <m/>
    <s v=""/>
    <n v="206"/>
    <s v="2018 (triag)"/>
    <n v="206"/>
    <s v="2018 (triag)"/>
    <s v=""/>
    <n v="206"/>
    <n v="206"/>
    <s v="No change"/>
    <m/>
    <m/>
    <m/>
    <m/>
    <n v="0"/>
    <n v="9.747142100083277"/>
    <n v="9.0597437323945211"/>
    <n v="9.0597437323945211"/>
  </r>
  <r>
    <x v="37"/>
    <x v="37"/>
    <n v="189929.5"/>
    <x v="24"/>
    <n v="0"/>
    <n v="193756.99999999997"/>
    <n v="0"/>
    <m/>
    <n v="0"/>
    <m/>
    <n v="0"/>
    <m/>
    <n v="0"/>
    <m/>
    <n v="0"/>
    <n v="211344"/>
    <n v="0"/>
    <n v="0"/>
    <m/>
    <n v="0"/>
    <m/>
    <n v="0"/>
    <m/>
    <n v="0"/>
    <n v="227379.5"/>
    <n v="0"/>
    <n v="0"/>
    <n v="0"/>
    <n v="0"/>
    <n v="0"/>
    <m/>
    <s v=""/>
    <m/>
    <s v=""/>
    <n v="0"/>
    <s v=""/>
    <s v=""/>
    <m/>
    <n v="0"/>
    <s v="No change"/>
    <m/>
    <m/>
    <m/>
    <m/>
    <n v="0"/>
    <n v="0"/>
    <n v="0"/>
    <n v="0"/>
  </r>
  <r>
    <x v="37"/>
    <x v="37"/>
    <n v="189930.5"/>
    <x v="25"/>
    <n v="0"/>
    <n v="193756.99999999997"/>
    <n v="31"/>
    <m/>
    <n v="0"/>
    <m/>
    <n v="0"/>
    <m/>
    <n v="0"/>
    <m/>
    <n v="0"/>
    <n v="211344"/>
    <n v="0"/>
    <n v="50"/>
    <m/>
    <n v="22"/>
    <m/>
    <n v="0"/>
    <m/>
    <n v="0"/>
    <n v="227379.5"/>
    <n v="0"/>
    <n v="50"/>
    <n v="31"/>
    <n v="22"/>
    <n v="0"/>
    <n v="31"/>
    <n v="2013"/>
    <n v="50"/>
    <s v="2018 (triag)"/>
    <n v="22"/>
    <s v="2018 (triag)"/>
    <s v="Adjust"/>
    <n v="25.284570175049133"/>
    <n v="50"/>
    <s v="Decreasing"/>
    <m/>
    <m/>
    <m/>
    <m/>
    <n v="1.599942195636803"/>
    <n v="2.3658111893406013"/>
    <n v="1.1119986707266545"/>
    <n v="2.198966925338476"/>
  </r>
  <r>
    <x v="37"/>
    <x v="37"/>
    <n v="189931.5"/>
    <x v="26"/>
    <n v="0"/>
    <n v="193756.99999999997"/>
    <n v="31"/>
    <m/>
    <n v="0"/>
    <m/>
    <n v="0"/>
    <m/>
    <n v="0"/>
    <m/>
    <n v="0"/>
    <n v="211344"/>
    <n v="0"/>
    <n v="50"/>
    <m/>
    <n v="0"/>
    <m/>
    <n v="0"/>
    <m/>
    <n v="0"/>
    <n v="227379.5"/>
    <n v="0"/>
    <n v="50"/>
    <n v="31"/>
    <n v="0"/>
    <n v="0"/>
    <n v="31"/>
    <n v="2013"/>
    <n v="50"/>
    <s v="2018 (triag)"/>
    <n v="50"/>
    <s v="2018 (triag)"/>
    <s v=""/>
    <n v="50"/>
    <n v="50"/>
    <s v="No change"/>
    <m/>
    <m/>
    <m/>
    <m/>
    <n v="1.599942195636803"/>
    <n v="2.3658111893406013"/>
    <n v="2.198966925338476"/>
    <n v="2.198966925338476"/>
  </r>
  <r>
    <x v="37"/>
    <x v="37"/>
    <n v="189932.5"/>
    <x v="27"/>
    <n v="0"/>
    <n v="193756.99999999997"/>
    <n v="0"/>
    <m/>
    <n v="0"/>
    <m/>
    <n v="0"/>
    <m/>
    <n v="0"/>
    <m/>
    <n v="0"/>
    <n v="211344"/>
    <n v="0"/>
    <n v="0"/>
    <m/>
    <n v="0"/>
    <m/>
    <n v="0"/>
    <m/>
    <n v="0"/>
    <n v="227379.5"/>
    <n v="0"/>
    <n v="0"/>
    <n v="0"/>
    <n v="0"/>
    <n v="0"/>
    <m/>
    <s v=""/>
    <m/>
    <s v=""/>
    <n v="0"/>
    <s v=""/>
    <s v=""/>
    <m/>
    <n v="0"/>
    <s v="No change"/>
    <m/>
    <m/>
    <m/>
    <m/>
    <n v="0"/>
    <n v="0"/>
    <n v="0"/>
    <n v="0"/>
  </r>
  <r>
    <x v="37"/>
    <x v="37"/>
    <n v="189933.5"/>
    <x v="28"/>
    <n v="0"/>
    <n v="193756.99999999997"/>
    <n v="0"/>
    <m/>
    <n v="0"/>
    <m/>
    <n v="0"/>
    <m/>
    <n v="0"/>
    <m/>
    <n v="0"/>
    <n v="211344"/>
    <n v="0"/>
    <n v="0"/>
    <m/>
    <n v="37"/>
    <m/>
    <n v="0"/>
    <m/>
    <n v="0"/>
    <n v="227379.5"/>
    <n v="0"/>
    <n v="0"/>
    <n v="0"/>
    <n v="37"/>
    <n v="0"/>
    <m/>
    <s v=""/>
    <n v="37"/>
    <n v="2019"/>
    <n v="37"/>
    <n v="2019"/>
    <s v=""/>
    <n v="37"/>
    <n v="37"/>
    <s v="No change"/>
    <m/>
    <m/>
    <m/>
    <m/>
    <n v="0"/>
    <n v="1.7507002801120448"/>
    <n v="1.6272355247504722"/>
    <n v="1.6272355247504722"/>
  </r>
  <r>
    <x v="37"/>
    <x v="37"/>
    <n v="189934.5"/>
    <x v="29"/>
    <n v="0"/>
    <n v="193756.99999999997"/>
    <n v="0"/>
    <m/>
    <n v="0"/>
    <m/>
    <n v="0"/>
    <m/>
    <n v="0"/>
    <m/>
    <n v="0"/>
    <n v="211344"/>
    <n v="0"/>
    <n v="0"/>
    <m/>
    <n v="0"/>
    <m/>
    <n v="0"/>
    <m/>
    <n v="0"/>
    <n v="227379.5"/>
    <n v="0"/>
    <n v="0"/>
    <n v="0"/>
    <n v="0"/>
    <n v="0"/>
    <m/>
    <s v=""/>
    <m/>
    <s v=""/>
    <n v="0"/>
    <s v=""/>
    <s v=""/>
    <m/>
    <n v="0"/>
    <s v="No change"/>
    <m/>
    <m/>
    <m/>
    <m/>
    <n v="0"/>
    <n v="0"/>
    <n v="0"/>
    <n v="0"/>
  </r>
  <r>
    <x v="37"/>
    <x v="37"/>
    <n v="189935.5"/>
    <x v="30"/>
    <n v="0"/>
    <n v="193756.99999999997"/>
    <n v="0"/>
    <m/>
    <n v="0"/>
    <m/>
    <n v="0"/>
    <m/>
    <n v="0"/>
    <m/>
    <n v="0"/>
    <n v="211344"/>
    <n v="0"/>
    <n v="0"/>
    <m/>
    <n v="6"/>
    <m/>
    <n v="0"/>
    <m/>
    <n v="0"/>
    <n v="227379.5"/>
    <n v="0"/>
    <n v="0"/>
    <n v="0"/>
    <n v="6"/>
    <n v="0"/>
    <m/>
    <s v=""/>
    <n v="6"/>
    <n v="2019"/>
    <n v="6"/>
    <n v="2019"/>
    <s v=""/>
    <n v="6"/>
    <n v="6"/>
    <s v="No change"/>
    <m/>
    <m/>
    <m/>
    <m/>
    <n v="0"/>
    <n v="0.28389734272087214"/>
    <n v="0.26387603104061713"/>
    <n v="0.26387603104061713"/>
  </r>
  <r>
    <x v="37"/>
    <x v="37"/>
    <n v="189936.5"/>
    <x v="31"/>
    <n v="0"/>
    <n v="193756.99999999997"/>
    <n v="0"/>
    <m/>
    <n v="0"/>
    <m/>
    <n v="0"/>
    <m/>
    <n v="0"/>
    <m/>
    <n v="0"/>
    <n v="211344"/>
    <n v="0"/>
    <n v="0"/>
    <m/>
    <n v="0"/>
    <m/>
    <n v="0"/>
    <m/>
    <n v="0"/>
    <n v="227379.5"/>
    <n v="0"/>
    <n v="0"/>
    <n v="0"/>
    <n v="0"/>
    <n v="0"/>
    <m/>
    <s v=""/>
    <m/>
    <s v=""/>
    <n v="0"/>
    <s v=""/>
    <s v=""/>
    <m/>
    <n v="0"/>
    <s v="No change"/>
    <m/>
    <m/>
    <m/>
    <m/>
    <n v="0"/>
    <n v="0"/>
    <n v="0"/>
    <n v="0"/>
  </r>
  <r>
    <x v="37"/>
    <x v="37"/>
    <n v="189937.5"/>
    <x v="32"/>
    <n v="0"/>
    <n v="193756.99999999997"/>
    <n v="0"/>
    <m/>
    <n v="0"/>
    <m/>
    <n v="0"/>
    <m/>
    <n v="0"/>
    <m/>
    <n v="0"/>
    <n v="211344"/>
    <n v="0"/>
    <n v="0"/>
    <m/>
    <n v="0"/>
    <m/>
    <n v="0"/>
    <m/>
    <n v="0"/>
    <n v="227379.5"/>
    <n v="0"/>
    <n v="0"/>
    <n v="0"/>
    <n v="0"/>
    <n v="0"/>
    <m/>
    <s v=""/>
    <m/>
    <s v=""/>
    <n v="0"/>
    <s v=""/>
    <s v=""/>
    <m/>
    <n v="0"/>
    <s v="No change"/>
    <m/>
    <m/>
    <m/>
    <m/>
    <n v="0"/>
    <n v="0"/>
    <n v="0"/>
    <n v="0"/>
  </r>
  <r>
    <x v="38"/>
    <x v="38"/>
    <n v="1111443.9999999998"/>
    <x v="19"/>
    <n v="0"/>
    <n v="1118318.9999999998"/>
    <n v="0"/>
    <n v="1125865.0000000005"/>
    <n v="0"/>
    <n v="1133935.9999999998"/>
    <n v="0"/>
    <n v="1142524"/>
    <n v="107"/>
    <n v="1151390.5000000002"/>
    <n v="208"/>
    <n v="1160427.5"/>
    <n v="278"/>
    <n v="278"/>
    <n v="1169612.9999999998"/>
    <n v="0"/>
    <n v="1180654.9999999998"/>
    <n v="165"/>
    <n v="1192271.0000000002"/>
    <n v="0"/>
    <n v="1201670.4999999995"/>
    <n v="687"/>
    <n v="278"/>
    <n v="0"/>
    <n v="278"/>
    <n v="687"/>
    <m/>
    <s v=""/>
    <n v="278"/>
    <n v="2018"/>
    <n v="687"/>
    <n v="2022"/>
    <s v=""/>
    <n v="687"/>
    <n v="687"/>
    <s v="Increasing"/>
    <m/>
    <m/>
    <m/>
    <m/>
    <n v="0"/>
    <n v="2.395668837562019"/>
    <n v="5.7170414019483733"/>
    <n v="5.7170414019483733"/>
  </r>
  <r>
    <x v="38"/>
    <x v="38"/>
    <n v="1111445"/>
    <x v="20"/>
    <n v="0"/>
    <n v="1118318.9999999998"/>
    <n v="0"/>
    <m/>
    <n v="0"/>
    <m/>
    <n v="0"/>
    <m/>
    <n v="0"/>
    <m/>
    <n v="0"/>
    <n v="1160427.5"/>
    <n v="211"/>
    <n v="211"/>
    <m/>
    <n v="0"/>
    <m/>
    <n v="136"/>
    <m/>
    <n v="0"/>
    <n v="1201670.4999999995"/>
    <n v="623"/>
    <n v="211"/>
    <n v="0"/>
    <n v="211"/>
    <n v="623"/>
    <m/>
    <s v=""/>
    <n v="211"/>
    <n v="2018"/>
    <n v="623"/>
    <n v="2022"/>
    <s v=""/>
    <n v="623"/>
    <n v="623"/>
    <s v="Increasing"/>
    <m/>
    <m/>
    <m/>
    <m/>
    <n v="0"/>
    <n v="1.8182954126819642"/>
    <n v="5.1844494809517272"/>
    <n v="5.1844494809517272"/>
  </r>
  <r>
    <x v="38"/>
    <x v="38"/>
    <n v="1111446"/>
    <x v="21"/>
    <n v="0"/>
    <n v="1118318.9999999998"/>
    <n v="0"/>
    <m/>
    <n v="0"/>
    <m/>
    <n v="0"/>
    <m/>
    <n v="0"/>
    <m/>
    <n v="0"/>
    <n v="1160427.5"/>
    <n v="67"/>
    <n v="67"/>
    <m/>
    <n v="0"/>
    <m/>
    <n v="29"/>
    <m/>
    <n v="0"/>
    <n v="1201670.4999999995"/>
    <m/>
    <n v="67"/>
    <n v="0"/>
    <n v="67"/>
    <n v="29"/>
    <m/>
    <s v=""/>
    <n v="67"/>
    <n v="2018"/>
    <n v="29"/>
    <n v="2020"/>
    <s v="Adjust"/>
    <n v="41.564529501174519"/>
    <n v="67"/>
    <s v="Decreasing"/>
    <m/>
    <m/>
    <m/>
    <m/>
    <n v="0"/>
    <n v="0.57737342488005494"/>
    <n v="0.3458895720680048"/>
    <n v="0.55755716729336391"/>
  </r>
  <r>
    <x v="38"/>
    <x v="38"/>
    <n v="1111447"/>
    <x v="22"/>
    <n v="0"/>
    <n v="1118318.9999999998"/>
    <n v="3735"/>
    <m/>
    <n v="3847"/>
    <m/>
    <n v="3976"/>
    <m/>
    <n v="4200"/>
    <m/>
    <n v="4431"/>
    <n v="1160427.5"/>
    <n v="4706"/>
    <n v="4706"/>
    <m/>
    <n v="0"/>
    <m/>
    <n v="2917"/>
    <m/>
    <n v="0"/>
    <n v="1201670.4999999995"/>
    <n v="5242"/>
    <n v="2204"/>
    <n v="3976"/>
    <n v="4706"/>
    <n v="5242"/>
    <n v="3735"/>
    <n v="2013"/>
    <n v="4706"/>
    <n v="2018"/>
    <n v="5242"/>
    <n v="2022"/>
    <s v=""/>
    <n v="5242"/>
    <n v="5242"/>
    <s v="Increasing"/>
    <m/>
    <m/>
    <m/>
    <m/>
    <n v="33.398341618089297"/>
    <n v="40.554019962470726"/>
    <n v="43.622607029131544"/>
    <n v="43.622607029131544"/>
  </r>
  <r>
    <x v="38"/>
    <x v="38"/>
    <n v="1111448"/>
    <x v="23"/>
    <n v="0"/>
    <n v="1118318.9999999998"/>
    <n v="2926"/>
    <m/>
    <n v="3002"/>
    <m/>
    <n v="3081"/>
    <m/>
    <n v="3257"/>
    <m/>
    <n v="3438"/>
    <n v="1160427.5"/>
    <n v="3677"/>
    <n v="3677"/>
    <m/>
    <n v="0"/>
    <m/>
    <n v="2523"/>
    <m/>
    <n v="0"/>
    <n v="1201670.4999999995"/>
    <n v="3144"/>
    <n v="1749"/>
    <n v="3081"/>
    <n v="3677"/>
    <n v="3144"/>
    <n v="2926"/>
    <n v="2013"/>
    <n v="3677"/>
    <n v="2018"/>
    <n v="3144"/>
    <n v="2022"/>
    <s v="Adjust"/>
    <n v="4506.1683017825071"/>
    <n v="4506.1683017825071"/>
    <s v="Increasing"/>
    <m/>
    <m/>
    <m/>
    <m/>
    <n v="26.16426976560356"/>
    <n v="31.686598257969585"/>
    <n v="37.499200502820941"/>
    <n v="37.499200502820941"/>
  </r>
  <r>
    <x v="38"/>
    <x v="38"/>
    <n v="1111449"/>
    <x v="24"/>
    <n v="0"/>
    <n v="1118318.9999999998"/>
    <n v="809"/>
    <m/>
    <n v="845"/>
    <m/>
    <n v="895"/>
    <m/>
    <n v="943"/>
    <m/>
    <n v="993"/>
    <n v="1160427.5"/>
    <n v="1029"/>
    <n v="1029"/>
    <m/>
    <n v="0"/>
    <m/>
    <n v="394"/>
    <m/>
    <n v="0"/>
    <n v="1201670.4999999995"/>
    <n v="680"/>
    <n v="455"/>
    <n v="895"/>
    <n v="1029"/>
    <n v="680"/>
    <n v="809"/>
    <n v="2013"/>
    <n v="1029"/>
    <n v="2018"/>
    <n v="680"/>
    <n v="2022"/>
    <s v="Adjust"/>
    <n v="974.61655382064396"/>
    <n v="1029"/>
    <s v="Decreasing"/>
    <m/>
    <m/>
    <m/>
    <m/>
    <n v="7.2340718524857417"/>
    <n v="8.8674217045011421"/>
    <n v="8.1105141036635615"/>
    <n v="8.5630794797742009"/>
  </r>
  <r>
    <x v="38"/>
    <x v="38"/>
    <n v="1111450"/>
    <x v="25"/>
    <n v="0"/>
    <n v="1118318.9999999998"/>
    <n v="0"/>
    <m/>
    <n v="0"/>
    <m/>
    <n v="0"/>
    <m/>
    <n v="0"/>
    <m/>
    <n v="0"/>
    <n v="1160427.5"/>
    <n v="0"/>
    <n v="14"/>
    <m/>
    <n v="0"/>
    <m/>
    <n v="0"/>
    <m/>
    <n v="0"/>
    <n v="1201670.4999999995"/>
    <n v="0"/>
    <n v="14"/>
    <n v="0"/>
    <n v="0"/>
    <n v="0"/>
    <m/>
    <s v=""/>
    <n v="14"/>
    <s v="2018 (triag)"/>
    <n v="14"/>
    <s v="2018 (triag)"/>
    <s v=""/>
    <n v="14"/>
    <n v="14"/>
    <s v="No change"/>
    <m/>
    <m/>
    <m/>
    <m/>
    <n v="0"/>
    <n v="0.12064519325851895"/>
    <n v="0.11650448271801633"/>
    <n v="0.11650448271801633"/>
  </r>
  <r>
    <x v="38"/>
    <x v="38"/>
    <n v="1111451"/>
    <x v="26"/>
    <n v="0"/>
    <n v="1118318.9999999998"/>
    <n v="0"/>
    <m/>
    <n v="0"/>
    <m/>
    <n v="0"/>
    <m/>
    <n v="0"/>
    <m/>
    <n v="0"/>
    <n v="1160427.5"/>
    <n v="0"/>
    <n v="14"/>
    <m/>
    <n v="0"/>
    <m/>
    <n v="0"/>
    <m/>
    <n v="0"/>
    <n v="1201670.4999999995"/>
    <n v="0"/>
    <n v="14"/>
    <n v="0"/>
    <n v="0"/>
    <n v="0"/>
    <m/>
    <s v=""/>
    <n v="14"/>
    <s v="2018 (triag)"/>
    <n v="14"/>
    <s v="2018 (triag)"/>
    <s v=""/>
    <n v="14"/>
    <n v="14"/>
    <s v="No change"/>
    <m/>
    <m/>
    <m/>
    <m/>
    <n v="0"/>
    <n v="0.12064519325851895"/>
    <n v="0.11650448271801633"/>
    <n v="0.11650448271801633"/>
  </r>
  <r>
    <x v="38"/>
    <x v="38"/>
    <n v="1111452"/>
    <x v="27"/>
    <n v="0"/>
    <n v="1118318.9999999998"/>
    <n v="0"/>
    <m/>
    <n v="0"/>
    <m/>
    <n v="0"/>
    <m/>
    <n v="0"/>
    <m/>
    <n v="0"/>
    <n v="1160427.5"/>
    <n v="0"/>
    <n v="0"/>
    <m/>
    <n v="0"/>
    <m/>
    <n v="0"/>
    <m/>
    <n v="0"/>
    <n v="1201670.4999999995"/>
    <n v="0"/>
    <n v="0"/>
    <n v="0"/>
    <n v="0"/>
    <n v="0"/>
    <m/>
    <s v=""/>
    <m/>
    <s v=""/>
    <n v="0"/>
    <s v=""/>
    <s v=""/>
    <m/>
    <n v="0"/>
    <s v="No change"/>
    <m/>
    <m/>
    <m/>
    <m/>
    <n v="0"/>
    <n v="0"/>
    <n v="0"/>
    <n v="0"/>
  </r>
  <r>
    <x v="38"/>
    <x v="38"/>
    <n v="1111453"/>
    <x v="28"/>
    <n v="0"/>
    <n v="1118318.9999999998"/>
    <n v="0"/>
    <m/>
    <n v="0"/>
    <m/>
    <n v="0"/>
    <m/>
    <n v="0"/>
    <m/>
    <n v="0"/>
    <n v="1160427.5"/>
    <n v="281"/>
    <n v="281"/>
    <m/>
    <n v="0"/>
    <m/>
    <n v="48"/>
    <m/>
    <n v="0"/>
    <n v="1201670.4999999995"/>
    <n v="42"/>
    <n v="110"/>
    <n v="0"/>
    <n v="281"/>
    <n v="48"/>
    <m/>
    <s v=""/>
    <n v="281"/>
    <n v="2018"/>
    <n v="42"/>
    <n v="2022"/>
    <s v="Adjust"/>
    <n v="60.196904794804482"/>
    <n v="281"/>
    <s v="Decreasing"/>
    <m/>
    <m/>
    <m/>
    <m/>
    <n v="0"/>
    <n v="2.4215213789745591"/>
    <n v="0.5009435181674553"/>
    <n v="2.3384114031258996"/>
  </r>
  <r>
    <x v="38"/>
    <x v="38"/>
    <n v="1111454"/>
    <x v="29"/>
    <n v="0"/>
    <n v="1118318.9999999998"/>
    <n v="0"/>
    <m/>
    <n v="0"/>
    <m/>
    <n v="0"/>
    <m/>
    <n v="0"/>
    <m/>
    <n v="0"/>
    <n v="1160427.5"/>
    <n v="0"/>
    <n v="171"/>
    <m/>
    <n v="0"/>
    <m/>
    <n v="80"/>
    <m/>
    <n v="0"/>
    <n v="1201670.4999999995"/>
    <n v="0"/>
    <n v="171"/>
    <n v="0"/>
    <n v="0"/>
    <n v="80"/>
    <m/>
    <s v=""/>
    <n v="171"/>
    <s v="2018 (triag)"/>
    <n v="80"/>
    <n v="2020"/>
    <s v="Adjust"/>
    <n v="114.66077103772281"/>
    <n v="171"/>
    <s v="Decreasing"/>
    <m/>
    <m/>
    <m/>
    <m/>
    <n v="0"/>
    <n v="1.4735948605147673"/>
    <n v="0.95417812984277195"/>
    <n v="1.4230190389129138"/>
  </r>
  <r>
    <x v="38"/>
    <x v="38"/>
    <n v="1111455"/>
    <x v="30"/>
    <n v="0"/>
    <n v="1118318.9999999998"/>
    <n v="0"/>
    <m/>
    <n v="0"/>
    <m/>
    <n v="0"/>
    <m/>
    <n v="0"/>
    <m/>
    <n v="0"/>
    <n v="1160427.5"/>
    <n v="74"/>
    <n v="74"/>
    <m/>
    <n v="14"/>
    <m/>
    <n v="22"/>
    <m/>
    <n v="0"/>
    <n v="1201670.4999999995"/>
    <n v="35"/>
    <n v="28"/>
    <n v="0"/>
    <n v="74"/>
    <n v="35"/>
    <m/>
    <s v=""/>
    <n v="74"/>
    <n v="2018"/>
    <n v="35"/>
    <n v="2022"/>
    <s v="Adjust"/>
    <n v="50.164087329003735"/>
    <n v="74"/>
    <s v="Decreasing"/>
    <m/>
    <m/>
    <m/>
    <m/>
    <n v="0"/>
    <n v="0.63769602150931448"/>
    <n v="0.41745293180621268"/>
    <n v="0.6158094086523721"/>
  </r>
  <r>
    <x v="38"/>
    <x v="38"/>
    <n v="1111456"/>
    <x v="31"/>
    <n v="0"/>
    <n v="1118318.9999999998"/>
    <n v="0"/>
    <m/>
    <n v="0"/>
    <m/>
    <n v="0"/>
    <m/>
    <n v="0"/>
    <m/>
    <n v="0"/>
    <n v="1160427.5"/>
    <n v="0"/>
    <n v="46"/>
    <m/>
    <n v="19"/>
    <m/>
    <n v="28"/>
    <m/>
    <n v="0"/>
    <n v="1201670.4999999995"/>
    <n v="0"/>
    <n v="46"/>
    <n v="0"/>
    <n v="19"/>
    <n v="28"/>
    <m/>
    <s v=""/>
    <n v="46"/>
    <s v="2018 (triag)"/>
    <n v="28"/>
    <n v="2020"/>
    <s v="Adjust"/>
    <n v="40.131269863202988"/>
    <n v="46"/>
    <s v="Decreasing"/>
    <m/>
    <m/>
    <m/>
    <m/>
    <n v="0"/>
    <n v="0.39640563499227655"/>
    <n v="0.33396234544497017"/>
    <n v="0.38280044321633938"/>
  </r>
  <r>
    <x v="38"/>
    <x v="38"/>
    <n v="1111457"/>
    <x v="32"/>
    <n v="0"/>
    <n v="1118318.9999999998"/>
    <n v="0"/>
    <m/>
    <n v="0"/>
    <m/>
    <n v="0"/>
    <m/>
    <n v="0"/>
    <m/>
    <n v="0"/>
    <n v="1160427.5"/>
    <n v="0"/>
    <n v="0"/>
    <m/>
    <n v="0"/>
    <m/>
    <n v="12"/>
    <m/>
    <n v="0"/>
    <n v="1201670.4999999995"/>
    <n v="0"/>
    <n v="0"/>
    <n v="0"/>
    <n v="0"/>
    <n v="12"/>
    <m/>
    <s v=""/>
    <m/>
    <s v=""/>
    <n v="12"/>
    <n v="2020"/>
    <s v=""/>
    <n v="12"/>
    <n v="12"/>
    <s v="Increasing"/>
    <m/>
    <m/>
    <m/>
    <m/>
    <n v="0"/>
    <n v="0"/>
    <n v="9.9860985186871143E-2"/>
    <n v="9.9860985186871143E-2"/>
  </r>
  <r>
    <x v="39"/>
    <x v="39"/>
    <n v="95308.999999999985"/>
    <x v="19"/>
    <n v="93"/>
    <n v="96714"/>
    <n v="0"/>
    <n v="98000.999999999927"/>
    <n v="0"/>
    <n v="99239.999999999971"/>
    <n v="0"/>
    <n v="100508.49999999997"/>
    <n v="203"/>
    <n v="101810.50000000001"/>
    <n v="0"/>
    <n v="103101.00000000003"/>
    <n v="240"/>
    <n v="240"/>
    <n v="104372.49999999997"/>
    <n v="220"/>
    <n v="105529.99999999997"/>
    <n v="0"/>
    <n v="106470.49999999996"/>
    <n v="0"/>
    <n v="107118.5"/>
    <n v="828"/>
    <n v="240"/>
    <n v="93"/>
    <n v="240"/>
    <n v="828"/>
    <n v="93"/>
    <n v="2012"/>
    <n v="240"/>
    <n v="2018"/>
    <n v="828"/>
    <n v="2022"/>
    <s v=""/>
    <n v="828"/>
    <n v="828"/>
    <s v="Increasing"/>
    <m/>
    <m/>
    <m/>
    <m/>
    <n v="9.6159811402692483"/>
    <n v="23.278144731864863"/>
    <n v="77.297572314772893"/>
    <n v="77.297572314772893"/>
  </r>
  <r>
    <x v="39"/>
    <x v="39"/>
    <n v="95310"/>
    <x v="20"/>
    <n v="0"/>
    <n v="96714"/>
    <n v="0"/>
    <m/>
    <n v="0"/>
    <m/>
    <n v="0"/>
    <m/>
    <n v="82"/>
    <m/>
    <n v="0"/>
    <n v="103101.00000000003"/>
    <n v="125"/>
    <n v="125"/>
    <m/>
    <n v="0"/>
    <m/>
    <n v="0"/>
    <m/>
    <n v="0"/>
    <n v="107118.5"/>
    <n v="125"/>
    <n v="125"/>
    <n v="0"/>
    <n v="125"/>
    <n v="125"/>
    <m/>
    <s v=""/>
    <n v="125"/>
    <n v="2018"/>
    <n v="125"/>
    <n v="2022"/>
    <s v=""/>
    <n v="125"/>
    <n v="125"/>
    <s v="No change"/>
    <m/>
    <m/>
    <m/>
    <m/>
    <n v="0"/>
    <n v="12.124033714512949"/>
    <n v="11.669319491964506"/>
    <n v="11.669319491964506"/>
  </r>
  <r>
    <x v="39"/>
    <x v="39"/>
    <n v="95311"/>
    <x v="21"/>
    <n v="0"/>
    <n v="96714"/>
    <n v="0"/>
    <m/>
    <n v="0"/>
    <m/>
    <n v="0"/>
    <m/>
    <n v="121"/>
    <m/>
    <n v="0"/>
    <n v="103101.00000000003"/>
    <n v="115"/>
    <n v="115"/>
    <m/>
    <n v="0"/>
    <m/>
    <n v="0"/>
    <m/>
    <n v="0"/>
    <n v="107118.5"/>
    <n v="346"/>
    <n v="115"/>
    <n v="0"/>
    <n v="121"/>
    <n v="346"/>
    <m/>
    <s v=""/>
    <n v="115"/>
    <n v="2018"/>
    <n v="346"/>
    <n v="2022"/>
    <s v=""/>
    <n v="346"/>
    <n v="346"/>
    <s v="Increasing"/>
    <m/>
    <m/>
    <m/>
    <m/>
    <n v="0"/>
    <n v="11.154111017351914"/>
    <n v="32.300676353757751"/>
    <n v="32.300676353757751"/>
  </r>
  <r>
    <x v="39"/>
    <x v="39"/>
    <n v="95312"/>
    <x v="22"/>
    <n v="419"/>
    <n v="96714"/>
    <n v="0"/>
    <m/>
    <n v="0"/>
    <m/>
    <n v="0"/>
    <m/>
    <n v="684"/>
    <m/>
    <n v="0"/>
    <n v="103101.00000000003"/>
    <n v="951"/>
    <n v="1272"/>
    <m/>
    <n v="0"/>
    <m/>
    <n v="0"/>
    <m/>
    <n v="0"/>
    <n v="107118.5"/>
    <n v="1277"/>
    <n v="1272"/>
    <n v="419"/>
    <n v="951"/>
    <n v="1277"/>
    <n v="419"/>
    <n v="2012"/>
    <n v="1272"/>
    <s v="2018 (triag)"/>
    <n v="1277"/>
    <n v="2022"/>
    <s v=""/>
    <n v="1277"/>
    <n v="1277"/>
    <s v="Increasing"/>
    <m/>
    <m/>
    <m/>
    <m/>
    <n v="43.323613954546396"/>
    <n v="123.37416707888377"/>
    <n v="119.21376792990939"/>
    <n v="119.21376792990939"/>
  </r>
  <r>
    <x v="39"/>
    <x v="39"/>
    <n v="95313"/>
    <x v="23"/>
    <n v="0"/>
    <n v="96714"/>
    <n v="0"/>
    <m/>
    <n v="0"/>
    <m/>
    <n v="0"/>
    <m/>
    <n v="0"/>
    <m/>
    <n v="0"/>
    <n v="103101.00000000003"/>
    <n v="951"/>
    <n v="1272"/>
    <m/>
    <n v="0"/>
    <m/>
    <n v="0"/>
    <m/>
    <n v="0"/>
    <n v="107118.5"/>
    <n v="623"/>
    <n v="1272"/>
    <n v="0"/>
    <n v="951"/>
    <n v="623"/>
    <m/>
    <s v=""/>
    <n v="1272"/>
    <s v="2018 (triag)"/>
    <n v="623"/>
    <n v="2022"/>
    <s v="Adjust"/>
    <n v="716.01305541161867"/>
    <n v="1272"/>
    <s v="Decreasing"/>
    <m/>
    <m/>
    <m/>
    <m/>
    <n v="0"/>
    <n v="123.37416707888377"/>
    <n v="66.843080832126915"/>
    <n v="118.74699515023082"/>
  </r>
  <r>
    <x v="39"/>
    <x v="39"/>
    <n v="95314"/>
    <x v="24"/>
    <n v="0"/>
    <n v="96714"/>
    <n v="0"/>
    <m/>
    <n v="0"/>
    <m/>
    <n v="0"/>
    <m/>
    <n v="0"/>
    <m/>
    <n v="0"/>
    <n v="103101.00000000003"/>
    <n v="0"/>
    <n v="0"/>
    <m/>
    <n v="0"/>
    <m/>
    <n v="0"/>
    <m/>
    <n v="0"/>
    <n v="107118.5"/>
    <n v="0"/>
    <n v="0"/>
    <n v="0"/>
    <n v="0"/>
    <n v="0"/>
    <m/>
    <s v=""/>
    <m/>
    <s v=""/>
    <n v="0"/>
    <s v=""/>
    <s v=""/>
    <m/>
    <n v="0"/>
    <s v="No change"/>
    <m/>
    <m/>
    <m/>
    <m/>
    <n v="0"/>
    <n v="0"/>
    <n v="0"/>
    <n v="0"/>
  </r>
  <r>
    <x v="39"/>
    <x v="39"/>
    <n v="95315"/>
    <x v="25"/>
    <n v="0"/>
    <n v="96714"/>
    <n v="0"/>
    <m/>
    <n v="0"/>
    <m/>
    <n v="0"/>
    <m/>
    <n v="89"/>
    <m/>
    <n v="0"/>
    <n v="103101.00000000003"/>
    <n v="158"/>
    <n v="158"/>
    <m/>
    <n v="0"/>
    <m/>
    <n v="0"/>
    <m/>
    <n v="0"/>
    <n v="107118.5"/>
    <n v="156"/>
    <n v="5"/>
    <n v="0"/>
    <n v="158"/>
    <n v="156"/>
    <m/>
    <s v=""/>
    <n v="158"/>
    <n v="2018"/>
    <n v="156"/>
    <n v="2022"/>
    <s v="Adjust"/>
    <n v="179.29058851398477"/>
    <n v="179.29058851398477"/>
    <s v="Increasing"/>
    <m/>
    <m/>
    <m/>
    <m/>
    <n v="0"/>
    <n v="15.324778615144369"/>
    <n v="16.737593274176241"/>
    <n v="16.737593274176241"/>
  </r>
  <r>
    <x v="39"/>
    <x v="39"/>
    <n v="95316"/>
    <x v="26"/>
    <n v="0"/>
    <n v="96714"/>
    <n v="0"/>
    <m/>
    <n v="0"/>
    <m/>
    <n v="0"/>
    <m/>
    <n v="0"/>
    <m/>
    <n v="0"/>
    <n v="103101.00000000003"/>
    <n v="158"/>
    <n v="158"/>
    <m/>
    <n v="0"/>
    <m/>
    <n v="0"/>
    <m/>
    <n v="0"/>
    <n v="107118.5"/>
    <n v="156"/>
    <n v="5"/>
    <n v="0"/>
    <n v="158"/>
    <n v="156"/>
    <m/>
    <s v=""/>
    <n v="158"/>
    <n v="2018"/>
    <n v="156"/>
    <n v="2022"/>
    <s v="Adjust"/>
    <n v="179.29058851398477"/>
    <n v="179.29058851398477"/>
    <s v="Increasing"/>
    <m/>
    <m/>
    <m/>
    <m/>
    <n v="0"/>
    <n v="15.324778615144369"/>
    <n v="16.737593274176241"/>
    <n v="16.737593274176241"/>
  </r>
  <r>
    <x v="39"/>
    <x v="39"/>
    <n v="95317"/>
    <x v="27"/>
    <n v="0"/>
    <n v="96714"/>
    <n v="0"/>
    <m/>
    <n v="0"/>
    <m/>
    <n v="0"/>
    <m/>
    <n v="0"/>
    <m/>
    <n v="0"/>
    <n v="103101.00000000003"/>
    <n v="0"/>
    <n v="0"/>
    <m/>
    <n v="0"/>
    <m/>
    <n v="0"/>
    <m/>
    <n v="0"/>
    <n v="107118.5"/>
    <n v="0"/>
    <n v="0"/>
    <n v="0"/>
    <n v="0"/>
    <n v="0"/>
    <m/>
    <s v=""/>
    <m/>
    <s v=""/>
    <n v="0"/>
    <s v=""/>
    <s v=""/>
    <m/>
    <n v="0"/>
    <s v="No change"/>
    <m/>
    <m/>
    <m/>
    <m/>
    <n v="0"/>
    <n v="0"/>
    <n v="0"/>
    <n v="0"/>
  </r>
  <r>
    <x v="39"/>
    <x v="39"/>
    <n v="95318"/>
    <x v="28"/>
    <n v="4"/>
    <n v="96714"/>
    <n v="0"/>
    <m/>
    <n v="0"/>
    <m/>
    <n v="0"/>
    <m/>
    <n v="45"/>
    <m/>
    <n v="0"/>
    <n v="103101.00000000003"/>
    <n v="124"/>
    <n v="124"/>
    <m/>
    <n v="0"/>
    <m/>
    <n v="0"/>
    <m/>
    <n v="0"/>
    <n v="107118.5"/>
    <n v="61"/>
    <n v="61"/>
    <n v="4"/>
    <n v="124"/>
    <n v="61"/>
    <n v="4"/>
    <n v="2012"/>
    <n v="124"/>
    <n v="2018"/>
    <n v="61"/>
    <n v="2022"/>
    <s v="Adjust"/>
    <n v="70.107217303545326"/>
    <n v="124"/>
    <s v="Decreasing"/>
    <m/>
    <m/>
    <m/>
    <m/>
    <n v="0.41359058667824722"/>
    <n v="12.027041444796847"/>
    <n v="6.5448281392612229"/>
    <n v="11.575964936028791"/>
  </r>
  <r>
    <x v="39"/>
    <x v="39"/>
    <n v="95319"/>
    <x v="29"/>
    <n v="0"/>
    <n v="96714"/>
    <n v="0"/>
    <m/>
    <n v="0"/>
    <m/>
    <n v="0"/>
    <m/>
    <n v="64"/>
    <m/>
    <n v="0"/>
    <n v="103101.00000000003"/>
    <n v="0"/>
    <n v="63"/>
    <m/>
    <n v="0"/>
    <m/>
    <n v="0"/>
    <m/>
    <n v="0"/>
    <n v="107118.5"/>
    <n v="0"/>
    <n v="63"/>
    <n v="0"/>
    <n v="64"/>
    <n v="0"/>
    <m/>
    <s v=""/>
    <n v="63"/>
    <s v="2018 (triag)"/>
    <n v="63"/>
    <s v="2018 (triag)"/>
    <s v=""/>
    <n v="63"/>
    <n v="63"/>
    <s v="No change"/>
    <m/>
    <m/>
    <m/>
    <m/>
    <n v="0"/>
    <n v="6.1105129921145265"/>
    <n v="5.8813370239501115"/>
    <n v="5.8813370239501115"/>
  </r>
  <r>
    <x v="39"/>
    <x v="39"/>
    <n v="95320"/>
    <x v="30"/>
    <n v="14"/>
    <n v="96714"/>
    <n v="0"/>
    <m/>
    <n v="0"/>
    <m/>
    <n v="0"/>
    <m/>
    <n v="34"/>
    <m/>
    <n v="0"/>
    <n v="103101.00000000003"/>
    <n v="0"/>
    <n v="38"/>
    <m/>
    <n v="42"/>
    <m/>
    <n v="0"/>
    <m/>
    <n v="0"/>
    <n v="107118.5"/>
    <n v="44"/>
    <n v="38"/>
    <n v="14"/>
    <n v="42"/>
    <n v="44"/>
    <n v="14"/>
    <n v="2012"/>
    <n v="38"/>
    <s v="2018 (triag)"/>
    <n v="44"/>
    <n v="2022"/>
    <s v=""/>
    <n v="44"/>
    <n v="44"/>
    <s v="Increasing"/>
    <m/>
    <m/>
    <m/>
    <m/>
    <n v="1.4475670533738652"/>
    <n v="3.6857062492119366"/>
    <n v="4.107600461171506"/>
    <n v="4.107600461171506"/>
  </r>
  <r>
    <x v="39"/>
    <x v="39"/>
    <n v="95321"/>
    <x v="31"/>
    <n v="0"/>
    <n v="96714"/>
    <n v="0"/>
    <m/>
    <n v="0"/>
    <m/>
    <n v="0"/>
    <m/>
    <n v="0"/>
    <m/>
    <n v="0"/>
    <n v="103101.00000000003"/>
    <n v="0"/>
    <n v="125"/>
    <m/>
    <n v="37"/>
    <m/>
    <n v="0"/>
    <m/>
    <n v="0"/>
    <n v="107118.5"/>
    <n v="114"/>
    <n v="125"/>
    <n v="0"/>
    <n v="37"/>
    <n v="114"/>
    <m/>
    <s v=""/>
    <n v="125"/>
    <s v="2018 (triag)"/>
    <n v="114"/>
    <n v="2022"/>
    <s v="Adjust"/>
    <n v="131.02004545252734"/>
    <n v="131.02004545252734"/>
    <s v="Increasing"/>
    <m/>
    <m/>
    <m/>
    <m/>
    <n v="0"/>
    <n v="12.124033714512949"/>
    <n v="12.231318161898024"/>
    <n v="12.231318161898024"/>
  </r>
  <r>
    <x v="39"/>
    <x v="39"/>
    <n v="95322"/>
    <x v="32"/>
    <n v="0"/>
    <n v="96714"/>
    <n v="0"/>
    <m/>
    <n v="0"/>
    <m/>
    <n v="0"/>
    <m/>
    <n v="0"/>
    <m/>
    <n v="0"/>
    <n v="103101.00000000003"/>
    <n v="0"/>
    <n v="0"/>
    <m/>
    <n v="0"/>
    <m/>
    <n v="0"/>
    <m/>
    <n v="6"/>
    <n v="107118.5"/>
    <n v="27"/>
    <n v="0"/>
    <n v="0"/>
    <n v="0"/>
    <n v="27"/>
    <m/>
    <s v=""/>
    <m/>
    <s v=""/>
    <n v="27"/>
    <n v="2022"/>
    <s v=""/>
    <n v="27"/>
    <n v="27"/>
    <s v="Increasing"/>
    <m/>
    <m/>
    <m/>
    <m/>
    <n v="0"/>
    <n v="0"/>
    <n v="2.5205730102643336"/>
    <n v="2.5205730102643336"/>
  </r>
  <r>
    <x v="40"/>
    <x v="40"/>
    <n v="12754906"/>
    <x v="19"/>
    <n v="528"/>
    <n v="13216766.5"/>
    <n v="573"/>
    <n v="13697125.5"/>
    <n v="608"/>
    <n v="14140274"/>
    <n v="696"/>
    <n v="14592585.000000004"/>
    <n v="540"/>
    <n v="15085884.000000006"/>
    <n v="651"/>
    <n v="15604210"/>
    <n v="803"/>
    <n v="803"/>
    <n v="16126866"/>
    <n v="859"/>
    <n v="16644701.499999996"/>
    <n v="1003"/>
    <n v="17179739.999999996"/>
    <n v="1000"/>
    <n v="17723314.500000004"/>
    <n v="1507"/>
    <n v="803"/>
    <n v="696"/>
    <n v="859"/>
    <n v="1507"/>
    <n v="573"/>
    <n v="2013"/>
    <n v="803"/>
    <n v="2018"/>
    <n v="1507"/>
    <n v="2022"/>
    <s v=""/>
    <n v="1507"/>
    <n v="1507"/>
    <s v="Increasing"/>
    <m/>
    <m/>
    <m/>
    <m/>
    <n v="0.43354023088778937"/>
    <n v="0.51460471244619244"/>
    <n v="0.85029242131882254"/>
    <n v="0.85029242131882254"/>
  </r>
  <r>
    <x v="40"/>
    <x v="40"/>
    <n v="12754907"/>
    <x v="20"/>
    <n v="0"/>
    <n v="13216766.5"/>
    <n v="0"/>
    <m/>
    <n v="0"/>
    <m/>
    <n v="0"/>
    <m/>
    <n v="0"/>
    <m/>
    <n v="0"/>
    <n v="15604210"/>
    <n v="646"/>
    <n v="646"/>
    <m/>
    <n v="642"/>
    <m/>
    <n v="784"/>
    <m/>
    <n v="740"/>
    <n v="17723314.500000004"/>
    <n v="1197"/>
    <n v="646"/>
    <n v="0"/>
    <n v="646"/>
    <n v="1197"/>
    <m/>
    <s v=""/>
    <n v="646"/>
    <n v="2018"/>
    <n v="1197"/>
    <n v="2022"/>
    <s v=""/>
    <n v="1197"/>
    <n v="1197"/>
    <s v="Increasing"/>
    <m/>
    <m/>
    <m/>
    <m/>
    <n v="0"/>
    <n v="0.41399083965160682"/>
    <n v="0.67538157154520939"/>
    <n v="0.67538157154520939"/>
  </r>
  <r>
    <x v="40"/>
    <x v="40"/>
    <n v="12754908"/>
    <x v="21"/>
    <n v="0"/>
    <n v="13216766.5"/>
    <n v="0"/>
    <m/>
    <n v="0"/>
    <m/>
    <n v="0"/>
    <m/>
    <n v="0"/>
    <m/>
    <n v="0"/>
    <n v="15604210"/>
    <n v="157"/>
    <n v="157"/>
    <m/>
    <n v="202"/>
    <m/>
    <n v="219"/>
    <m/>
    <n v="260"/>
    <n v="17723314.500000004"/>
    <n v="310"/>
    <n v="157"/>
    <n v="0"/>
    <n v="202"/>
    <n v="310"/>
    <m/>
    <s v=""/>
    <n v="157"/>
    <n v="2018"/>
    <n v="310"/>
    <n v="2022"/>
    <s v=""/>
    <n v="310"/>
    <n v="310"/>
    <s v="Increasing"/>
    <m/>
    <m/>
    <m/>
    <m/>
    <n v="0"/>
    <n v="0.10061387279458556"/>
    <n v="0.17491084977361313"/>
    <n v="0.17491084977361313"/>
  </r>
  <r>
    <x v="40"/>
    <x v="40"/>
    <n v="12754909"/>
    <x v="22"/>
    <n v="3141"/>
    <n v="13216766.5"/>
    <n v="3606"/>
    <m/>
    <n v="3606"/>
    <m/>
    <n v="3563"/>
    <m/>
    <n v="3106"/>
    <m/>
    <n v="3487"/>
    <n v="15604210"/>
    <n v="4799"/>
    <n v="4799"/>
    <m/>
    <n v="0"/>
    <m/>
    <n v="2623"/>
    <m/>
    <n v="2677"/>
    <n v="17723314.500000004"/>
    <n v="2933"/>
    <n v="3863"/>
    <n v="3606"/>
    <n v="4799"/>
    <n v="2933"/>
    <n v="3606"/>
    <n v="2013"/>
    <n v="4799"/>
    <n v="2018"/>
    <n v="2933"/>
    <n v="2022"/>
    <s v="Adjust"/>
    <n v="3387.151734852408"/>
    <n v="4799"/>
    <s v="Decreasing"/>
    <m/>
    <m/>
    <m/>
    <m/>
    <n v="2.7283526572100674"/>
    <n v="3.0754520735109305"/>
    <n v="1.9111277040490406"/>
    <n v="2.7077328002050627"/>
  </r>
  <r>
    <x v="40"/>
    <x v="40"/>
    <n v="12754910"/>
    <x v="23"/>
    <n v="0"/>
    <n v="13216766.5"/>
    <n v="0"/>
    <m/>
    <n v="0"/>
    <m/>
    <n v="0"/>
    <m/>
    <n v="0"/>
    <m/>
    <n v="0"/>
    <n v="15604210"/>
    <n v="0"/>
    <n v="1787"/>
    <m/>
    <n v="0"/>
    <m/>
    <n v="1528"/>
    <m/>
    <n v="1537"/>
    <n v="17723314.500000004"/>
    <n v="1668"/>
    <n v="1787"/>
    <n v="0"/>
    <n v="0"/>
    <n v="1668"/>
    <m/>
    <s v=""/>
    <n v="1787"/>
    <s v="2018 (triag)"/>
    <n v="1668"/>
    <n v="2022"/>
    <s v="Adjust"/>
    <n v="1926.2765406525116"/>
    <n v="1926.2765406525116"/>
    <s v="Increasing"/>
    <m/>
    <m/>
    <m/>
    <m/>
    <n v="0"/>
    <n v="1.1452037623179898"/>
    <n v="1.0868602149177633"/>
    <n v="1.0868602149177633"/>
  </r>
  <r>
    <x v="40"/>
    <x v="40"/>
    <n v="12754911"/>
    <x v="24"/>
    <n v="0"/>
    <n v="13216766.5"/>
    <n v="0"/>
    <m/>
    <n v="0"/>
    <m/>
    <n v="0"/>
    <m/>
    <n v="0"/>
    <m/>
    <n v="0"/>
    <n v="15604210"/>
    <n v="0"/>
    <n v="2076"/>
    <m/>
    <n v="0"/>
    <m/>
    <n v="827"/>
    <m/>
    <n v="1140"/>
    <n v="17723314.500000004"/>
    <n v="1265"/>
    <n v="2076"/>
    <n v="0"/>
    <n v="0"/>
    <n v="1265"/>
    <m/>
    <s v=""/>
    <n v="2076"/>
    <s v="2018 (triag)"/>
    <n v="1265"/>
    <n v="2022"/>
    <s v="Adjust"/>
    <n v="1460.8751941998964"/>
    <n v="2076"/>
    <s v="Decreasing"/>
    <m/>
    <m/>
    <m/>
    <m/>
    <n v="0"/>
    <n v="1.3304101905831824"/>
    <n v="0.82426748913127734"/>
    <n v="1.1713384649355512"/>
  </r>
  <r>
    <x v="40"/>
    <x v="40"/>
    <n v="12754912"/>
    <x v="25"/>
    <n v="416"/>
    <n v="13216766.5"/>
    <n v="451"/>
    <m/>
    <n v="0"/>
    <m/>
    <n v="0"/>
    <m/>
    <n v="0"/>
    <m/>
    <n v="0"/>
    <n v="15604210"/>
    <n v="0"/>
    <n v="936"/>
    <m/>
    <n v="589"/>
    <m/>
    <n v="710"/>
    <m/>
    <n v="721"/>
    <n v="17723314.500000004"/>
    <n v="783"/>
    <n v="936"/>
    <n v="451"/>
    <n v="589"/>
    <n v="783"/>
    <n v="451"/>
    <n v="2013"/>
    <n v="936"/>
    <s v="2018 (triag)"/>
    <n v="783"/>
    <n v="2022"/>
    <s v="Adjust"/>
    <n v="904.24132573795964"/>
    <n v="936"/>
    <s v="Decreasing"/>
    <m/>
    <m/>
    <m/>
    <m/>
    <n v="0.3412332358296562"/>
    <n v="0.5998381206097585"/>
    <n v="0.51019876995240343"/>
    <n v="0.52811792060678031"/>
  </r>
  <r>
    <x v="40"/>
    <x v="40"/>
    <n v="12754913"/>
    <x v="26"/>
    <n v="0"/>
    <n v="13216766.5"/>
    <n v="0"/>
    <m/>
    <n v="0"/>
    <m/>
    <n v="0"/>
    <m/>
    <n v="0"/>
    <m/>
    <n v="0"/>
    <n v="15604210"/>
    <n v="0"/>
    <n v="744"/>
    <m/>
    <n v="0"/>
    <m/>
    <n v="710"/>
    <m/>
    <n v="617"/>
    <n v="17723314.500000004"/>
    <n v="657"/>
    <n v="744"/>
    <n v="0"/>
    <n v="0"/>
    <n v="710"/>
    <m/>
    <s v=""/>
    <n v="744"/>
    <s v="2018 (triag)"/>
    <n v="657"/>
    <n v="2022"/>
    <s v="Adjust"/>
    <n v="758.73122734334538"/>
    <n v="758.73122734334538"/>
    <s v="Increasing"/>
    <m/>
    <m/>
    <m/>
    <m/>
    <n v="0"/>
    <n v="0.47679440356160291"/>
    <n v="0.42809781846580963"/>
    <n v="0.42809781846580963"/>
  </r>
  <r>
    <x v="40"/>
    <x v="40"/>
    <n v="12754914"/>
    <x v="27"/>
    <n v="0"/>
    <n v="13216766.5"/>
    <n v="0"/>
    <m/>
    <n v="0"/>
    <m/>
    <n v="0"/>
    <m/>
    <n v="0"/>
    <m/>
    <n v="0"/>
    <n v="15604210"/>
    <n v="0"/>
    <n v="192"/>
    <m/>
    <n v="0"/>
    <m/>
    <n v="0"/>
    <m/>
    <n v="104"/>
    <n v="17723314.500000004"/>
    <n v="126"/>
    <n v="192"/>
    <n v="0"/>
    <n v="0"/>
    <n v="126"/>
    <m/>
    <s v=""/>
    <n v="192"/>
    <s v="2018 (triag)"/>
    <n v="126"/>
    <n v="2022"/>
    <s v="Adjust"/>
    <n v="145.5100983946142"/>
    <n v="192"/>
    <s v="Decreasing"/>
    <m/>
    <m/>
    <m/>
    <m/>
    <n v="0"/>
    <n v="0.12304371704815559"/>
    <n v="8.2100951486593646E-2"/>
    <n v="0.10833188115010878"/>
  </r>
  <r>
    <x v="40"/>
    <x v="40"/>
    <n v="12754915"/>
    <x v="28"/>
    <n v="68"/>
    <n v="13216766.5"/>
    <n v="72"/>
    <m/>
    <n v="78"/>
    <m/>
    <n v="79"/>
    <m/>
    <n v="0"/>
    <m/>
    <n v="71"/>
    <n v="15604210"/>
    <n v="269"/>
    <n v="269"/>
    <m/>
    <n v="52"/>
    <m/>
    <n v="54"/>
    <m/>
    <n v="142"/>
    <n v="17723314.500000004"/>
    <n v="163"/>
    <n v="98"/>
    <n v="79"/>
    <n v="269"/>
    <n v="163"/>
    <n v="72"/>
    <n v="2013"/>
    <n v="269"/>
    <n v="2018"/>
    <n v="163"/>
    <n v="2022"/>
    <s v="Adjust"/>
    <n v="188.23925427239772"/>
    <n v="269"/>
    <s v="Decreasing"/>
    <m/>
    <m/>
    <m/>
    <m/>
    <n v="5.4476259378570396E-2"/>
    <n v="0.17238937440600965"/>
    <n v="0.10620996105011717"/>
    <n v="0.15177747931968366"/>
  </r>
  <r>
    <x v="40"/>
    <x v="40"/>
    <n v="12754916"/>
    <x v="29"/>
    <n v="0"/>
    <n v="13216766.5"/>
    <n v="0"/>
    <m/>
    <n v="0"/>
    <m/>
    <n v="0"/>
    <m/>
    <n v="0"/>
    <m/>
    <n v="0"/>
    <n v="15604210"/>
    <n v="0"/>
    <n v="171"/>
    <m/>
    <n v="136"/>
    <m/>
    <n v="0"/>
    <m/>
    <n v="277"/>
    <n v="17723314.500000004"/>
    <n v="320"/>
    <n v="171"/>
    <n v="0"/>
    <n v="136"/>
    <n v="320"/>
    <m/>
    <s v=""/>
    <n v="171"/>
    <s v="2018 (triag)"/>
    <n v="320"/>
    <n v="2022"/>
    <s v=""/>
    <n v="320"/>
    <n v="320"/>
    <s v="Increasing"/>
    <m/>
    <m/>
    <m/>
    <m/>
    <n v="0"/>
    <n v="0.10958581049601357"/>
    <n v="0.1805531352501813"/>
    <n v="0.1805531352501813"/>
  </r>
  <r>
    <x v="40"/>
    <x v="40"/>
    <n v="12754917"/>
    <x v="30"/>
    <n v="0"/>
    <n v="13216766.5"/>
    <n v="0"/>
    <m/>
    <n v="0"/>
    <m/>
    <n v="0"/>
    <m/>
    <n v="0"/>
    <m/>
    <n v="0"/>
    <n v="15604210"/>
    <n v="3"/>
    <n v="3"/>
    <m/>
    <n v="0"/>
    <m/>
    <n v="0"/>
    <m/>
    <n v="19"/>
    <n v="17723314.500000004"/>
    <n v="21"/>
    <n v="3"/>
    <n v="0"/>
    <n v="3"/>
    <n v="21"/>
    <m/>
    <s v=""/>
    <n v="3"/>
    <n v="2018"/>
    <n v="21"/>
    <n v="2022"/>
    <s v=""/>
    <n v="21"/>
    <n v="21"/>
    <s v="Increasing"/>
    <m/>
    <m/>
    <m/>
    <m/>
    <n v="0"/>
    <n v="1.9225580788774311E-3"/>
    <n v="1.1848799500793148E-2"/>
    <n v="1.1848799500793148E-2"/>
  </r>
  <r>
    <x v="40"/>
    <x v="40"/>
    <n v="12754918"/>
    <x v="31"/>
    <n v="0"/>
    <n v="13216766.5"/>
    <n v="0"/>
    <m/>
    <n v="0"/>
    <m/>
    <n v="0"/>
    <m/>
    <n v="0"/>
    <m/>
    <n v="0"/>
    <n v="15604210"/>
    <n v="0"/>
    <n v="0"/>
    <m/>
    <n v="11"/>
    <m/>
    <n v="0"/>
    <m/>
    <n v="11"/>
    <n v="17723314.500000004"/>
    <n v="0"/>
    <n v="0"/>
    <n v="0"/>
    <n v="11"/>
    <n v="11"/>
    <m/>
    <s v=""/>
    <n v="11"/>
    <n v="2019"/>
    <n v="11"/>
    <n v="2021"/>
    <s v=""/>
    <n v="11"/>
    <n v="11"/>
    <s v="No change"/>
    <m/>
    <m/>
    <m/>
    <m/>
    <n v="0"/>
    <n v="7.0493796225505811E-3"/>
    <n v="6.206514024224982E-3"/>
    <n v="6.206514024224982E-3"/>
  </r>
  <r>
    <x v="40"/>
    <x v="40"/>
    <n v="12754919"/>
    <x v="32"/>
    <n v="0"/>
    <n v="13216766.5"/>
    <n v="0"/>
    <m/>
    <n v="0"/>
    <m/>
    <n v="0"/>
    <m/>
    <n v="0"/>
    <m/>
    <n v="0"/>
    <n v="15604210"/>
    <n v="0"/>
    <n v="0"/>
    <m/>
    <n v="0"/>
    <m/>
    <n v="0"/>
    <m/>
    <n v="0"/>
    <n v="17723314.500000004"/>
    <n v="0"/>
    <n v="0"/>
    <n v="0"/>
    <n v="0"/>
    <n v="0"/>
    <m/>
    <s v=""/>
    <m/>
    <s v=""/>
    <n v="0"/>
    <s v=""/>
    <s v=""/>
    <m/>
    <n v="0"/>
    <s v="No change"/>
    <m/>
    <m/>
    <m/>
    <m/>
    <n v="0"/>
    <n v="0"/>
    <n v="0"/>
    <n v="0"/>
  </r>
  <r>
    <x v="41"/>
    <x v="41"/>
    <n v="6926634.5000000009"/>
    <x v="19"/>
    <n v="0"/>
    <n v="7106229"/>
    <n v="0"/>
    <n v="7288383.0000000009"/>
    <n v="0"/>
    <n v="7473228.5"/>
    <n v="361"/>
    <n v="7661353.5000000019"/>
    <n v="347"/>
    <n v="7852795.0000000037"/>
    <n v="583"/>
    <n v="8046679"/>
    <n v="611"/>
    <n v="611"/>
    <n v="8243094.5000000047"/>
    <n v="627"/>
    <n v="8442580"/>
    <n v="685"/>
    <n v="8644828.9999999981"/>
    <n v="506"/>
    <n v="8848698.5000000019"/>
    <n v="730"/>
    <n v="584"/>
    <n v="361"/>
    <n v="627"/>
    <n v="730"/>
    <n v="361"/>
    <n v="2015"/>
    <n v="611"/>
    <n v="2018"/>
    <n v="730"/>
    <n v="2022"/>
    <s v=""/>
    <n v="730"/>
    <n v="730"/>
    <s v="Increasing"/>
    <m/>
    <m/>
    <m/>
    <m/>
    <n v="0.5080050192584562"/>
    <n v="0.75931946583180465"/>
    <n v="0.82498008040391457"/>
    <n v="0.82498008040391457"/>
  </r>
  <r>
    <x v="41"/>
    <x v="41"/>
    <n v="6926635.5"/>
    <x v="20"/>
    <n v="0"/>
    <n v="7106229"/>
    <n v="0"/>
    <m/>
    <n v="0"/>
    <m/>
    <n v="97"/>
    <m/>
    <n v="0"/>
    <m/>
    <n v="230"/>
    <n v="8046679"/>
    <n v="219"/>
    <n v="230"/>
    <m/>
    <n v="230"/>
    <m/>
    <n v="354"/>
    <m/>
    <n v="149"/>
    <n v="8848698.5000000019"/>
    <n v="331"/>
    <n v="230"/>
    <n v="97"/>
    <n v="230"/>
    <n v="354"/>
    <n v="97"/>
    <n v="2015"/>
    <n v="230"/>
    <n v="2017"/>
    <n v="331"/>
    <n v="2022"/>
    <s v=""/>
    <n v="331"/>
    <n v="331"/>
    <s v="Increasing"/>
    <m/>
    <m/>
    <m/>
    <m/>
    <n v="0.13649996362346331"/>
    <n v="0.28583220481393629"/>
    <n v="0.37406631042972016"/>
    <n v="0.37406631042972016"/>
  </r>
  <r>
    <x v="41"/>
    <x v="41"/>
    <n v="6926636.5"/>
    <x v="21"/>
    <n v="0"/>
    <n v="7106229"/>
    <n v="0"/>
    <m/>
    <n v="0"/>
    <m/>
    <n v="264"/>
    <m/>
    <n v="0"/>
    <m/>
    <n v="353"/>
    <n v="8046679"/>
    <n v="392"/>
    <n v="392"/>
    <m/>
    <n v="397"/>
    <m/>
    <n v="331"/>
    <m/>
    <n v="357"/>
    <n v="8848698.5000000019"/>
    <n v="399"/>
    <n v="354"/>
    <n v="264"/>
    <n v="397"/>
    <n v="399"/>
    <n v="264"/>
    <n v="2015"/>
    <n v="392"/>
    <n v="2018"/>
    <n v="399"/>
    <n v="2022"/>
    <s v=""/>
    <n v="399"/>
    <n v="399"/>
    <s v="Increasing"/>
    <m/>
    <m/>
    <m/>
    <m/>
    <n v="0.37150505563499292"/>
    <n v="0.48715749690027399"/>
    <n v="0.45091376997419441"/>
    <n v="0.45091376997419441"/>
  </r>
  <r>
    <x v="41"/>
    <x v="41"/>
    <n v="6926637.5"/>
    <x v="22"/>
    <n v="0"/>
    <n v="7106229"/>
    <n v="0"/>
    <m/>
    <n v="0"/>
    <m/>
    <n v="1341"/>
    <m/>
    <n v="1419"/>
    <m/>
    <n v="1966"/>
    <n v="8046679"/>
    <n v="1951"/>
    <n v="1966"/>
    <m/>
    <n v="2134"/>
    <m/>
    <n v="2455"/>
    <m/>
    <n v="1946"/>
    <n v="8848698.5000000019"/>
    <n v="2630"/>
    <n v="1966"/>
    <n v="1341"/>
    <n v="2134"/>
    <n v="2630"/>
    <n v="1341"/>
    <n v="2015"/>
    <n v="1966"/>
    <n v="2017"/>
    <n v="2630"/>
    <n v="2022"/>
    <s v=""/>
    <n v="2630"/>
    <n v="2630"/>
    <s v="Increasing"/>
    <m/>
    <m/>
    <m/>
    <m/>
    <n v="1.8870768166913845"/>
    <n v="2.443243976800864"/>
    <n v="2.9721885088524593"/>
    <n v="2.9721885088524593"/>
  </r>
  <r>
    <x v="41"/>
    <x v="41"/>
    <n v="6926638.5"/>
    <x v="23"/>
    <n v="0"/>
    <n v="7106229"/>
    <n v="0"/>
    <m/>
    <n v="0"/>
    <m/>
    <n v="0"/>
    <m/>
    <n v="920"/>
    <m/>
    <n v="1204"/>
    <n v="8046679"/>
    <n v="1026"/>
    <n v="1204"/>
    <m/>
    <n v="1235"/>
    <m/>
    <n v="1553"/>
    <m/>
    <n v="1187"/>
    <n v="8848698.5000000019"/>
    <n v="1699"/>
    <n v="1204"/>
    <n v="0"/>
    <n v="1235"/>
    <n v="1699"/>
    <m/>
    <s v=""/>
    <n v="1204"/>
    <n v="2017"/>
    <n v="1699"/>
    <n v="2022"/>
    <s v=""/>
    <n v="1699"/>
    <n v="1699"/>
    <s v="Increasing"/>
    <m/>
    <m/>
    <m/>
    <m/>
    <n v="0"/>
    <n v="1.4962694547651274"/>
    <n v="1.9200563789126726"/>
    <n v="1.9200563789126726"/>
  </r>
  <r>
    <x v="41"/>
    <x v="41"/>
    <n v="6926639.5"/>
    <x v="24"/>
    <n v="0"/>
    <n v="7106229"/>
    <n v="0"/>
    <m/>
    <n v="0"/>
    <m/>
    <n v="0"/>
    <m/>
    <n v="499"/>
    <m/>
    <n v="762"/>
    <n v="8046679"/>
    <n v="925"/>
    <n v="925"/>
    <m/>
    <n v="899"/>
    <m/>
    <n v="902"/>
    <m/>
    <n v="759"/>
    <n v="8848698.5000000019"/>
    <n v="931"/>
    <n v="762"/>
    <n v="0"/>
    <n v="925"/>
    <n v="931"/>
    <m/>
    <s v=""/>
    <n v="925"/>
    <n v="2018"/>
    <n v="931"/>
    <n v="2022"/>
    <s v=""/>
    <n v="931"/>
    <n v="931"/>
    <s v="Increasing"/>
    <m/>
    <m/>
    <m/>
    <m/>
    <n v="0"/>
    <n v="1.1495425628386569"/>
    <n v="1.052132129939787"/>
    <n v="1.052132129939787"/>
  </r>
  <r>
    <x v="41"/>
    <x v="41"/>
    <n v="6926640.5"/>
    <x v="25"/>
    <n v="0"/>
    <n v="7106229"/>
    <n v="795"/>
    <m/>
    <n v="0"/>
    <m/>
    <n v="869"/>
    <m/>
    <n v="961"/>
    <m/>
    <n v="1268"/>
    <n v="8046679"/>
    <n v="1285"/>
    <n v="1285"/>
    <m/>
    <n v="1619"/>
    <m/>
    <n v="1743"/>
    <m/>
    <n v="1482"/>
    <n v="8848698.5000000019"/>
    <n v="1864"/>
    <n v="1268"/>
    <n v="869"/>
    <n v="1619"/>
    <n v="1864"/>
    <n v="795"/>
    <n v="2013"/>
    <n v="1285"/>
    <n v="2018"/>
    <n v="1864"/>
    <n v="2022"/>
    <s v=""/>
    <n v="1864"/>
    <n v="1864"/>
    <s v="Increasing"/>
    <m/>
    <m/>
    <m/>
    <m/>
    <n v="1.1187368152644672"/>
    <n v="1.5969321008082962"/>
    <n v="2.1065244792779407"/>
    <n v="2.1065244792779407"/>
  </r>
  <r>
    <x v="41"/>
    <x v="41"/>
    <n v="6926641.5"/>
    <x v="26"/>
    <n v="0"/>
    <n v="7106229"/>
    <n v="396"/>
    <m/>
    <n v="0"/>
    <m/>
    <n v="0"/>
    <m/>
    <n v="459"/>
    <m/>
    <n v="654"/>
    <n v="8046679"/>
    <n v="655"/>
    <n v="655"/>
    <m/>
    <n v="785"/>
    <m/>
    <n v="934"/>
    <m/>
    <n v="773"/>
    <n v="8848698.5000000019"/>
    <n v="1043"/>
    <n v="654"/>
    <n v="396"/>
    <n v="785"/>
    <n v="1043"/>
    <n v="396"/>
    <n v="2013"/>
    <n v="655"/>
    <n v="2018"/>
    <n v="1043"/>
    <n v="2022"/>
    <s v=""/>
    <n v="1043"/>
    <n v="1043"/>
    <s v="Increasing"/>
    <m/>
    <m/>
    <m/>
    <m/>
    <n v="0.55725758345248932"/>
    <n v="0.81400040936142726"/>
    <n v="1.1787044162483327"/>
    <n v="1.1787044162483327"/>
  </r>
  <r>
    <x v="41"/>
    <x v="41"/>
    <n v="6926642.5"/>
    <x v="27"/>
    <n v="0"/>
    <n v="7106229"/>
    <n v="399"/>
    <m/>
    <n v="0"/>
    <m/>
    <n v="0"/>
    <m/>
    <n v="502"/>
    <m/>
    <n v="614"/>
    <n v="8046679"/>
    <n v="630"/>
    <n v="630"/>
    <m/>
    <n v="834"/>
    <m/>
    <n v="809"/>
    <m/>
    <n v="709"/>
    <n v="8848698.5000000019"/>
    <n v="821"/>
    <n v="614"/>
    <n v="399"/>
    <n v="834"/>
    <n v="821"/>
    <n v="399"/>
    <n v="2013"/>
    <n v="630"/>
    <n v="2018"/>
    <n v="821"/>
    <n v="2022"/>
    <s v=""/>
    <n v="821"/>
    <n v="821"/>
    <s v="Increasing"/>
    <m/>
    <m/>
    <m/>
    <m/>
    <n v="0.5614792318119779"/>
    <n v="0.78293169144686892"/>
    <n v="0.92782006302960807"/>
    <n v="0.92782006302960807"/>
  </r>
  <r>
    <x v="41"/>
    <x v="41"/>
    <n v="6926643.5"/>
    <x v="28"/>
    <n v="0"/>
    <n v="7106229"/>
    <n v="0"/>
    <m/>
    <n v="0"/>
    <m/>
    <n v="17"/>
    <m/>
    <n v="13"/>
    <m/>
    <n v="218"/>
    <n v="8046679"/>
    <n v="213"/>
    <n v="226"/>
    <m/>
    <n v="222"/>
    <m/>
    <n v="232"/>
    <m/>
    <n v="21"/>
    <n v="8848698.5000000019"/>
    <n v="255"/>
    <n v="226"/>
    <n v="17"/>
    <n v="222"/>
    <n v="255"/>
    <n v="17"/>
    <n v="2015"/>
    <n v="226"/>
    <s v="2018 (triag)"/>
    <n v="255"/>
    <n v="2022"/>
    <s v=""/>
    <n v="255"/>
    <n v="255"/>
    <s v="Increasing"/>
    <m/>
    <m/>
    <m/>
    <m/>
    <n v="2.3922674037101816E-2"/>
    <n v="0.28086120994760694"/>
    <n v="0.28817797329177841"/>
    <n v="0.28817797329177841"/>
  </r>
  <r>
    <x v="41"/>
    <x v="41"/>
    <n v="6926644.5"/>
    <x v="29"/>
    <n v="0"/>
    <n v="7106229"/>
    <n v="0"/>
    <m/>
    <n v="0"/>
    <m/>
    <n v="0"/>
    <m/>
    <n v="1"/>
    <m/>
    <n v="3"/>
    <n v="8046679"/>
    <n v="3"/>
    <n v="3"/>
    <m/>
    <n v="32"/>
    <m/>
    <n v="49"/>
    <m/>
    <n v="44"/>
    <n v="8848698.5000000019"/>
    <n v="73"/>
    <n v="0"/>
    <n v="0"/>
    <n v="32"/>
    <n v="73"/>
    <m/>
    <s v=""/>
    <n v="3"/>
    <n v="2017"/>
    <n v="73"/>
    <n v="2022"/>
    <s v=""/>
    <n v="73"/>
    <n v="73"/>
    <s v="Increasing"/>
    <m/>
    <m/>
    <m/>
    <m/>
    <n v="0"/>
    <n v="3.7282461497469949E-3"/>
    <n v="8.2498008040391466E-2"/>
    <n v="8.2498008040391466E-2"/>
  </r>
  <r>
    <x v="41"/>
    <x v="41"/>
    <n v="6926645.5"/>
    <x v="30"/>
    <n v="0"/>
    <n v="7106229"/>
    <n v="0"/>
    <m/>
    <n v="0"/>
    <m/>
    <n v="18"/>
    <m/>
    <n v="0"/>
    <m/>
    <n v="57"/>
    <n v="8046679"/>
    <n v="21"/>
    <n v="21"/>
    <m/>
    <n v="0"/>
    <m/>
    <n v="0"/>
    <m/>
    <n v="13"/>
    <n v="8848698.5000000019"/>
    <n v="18"/>
    <n v="21"/>
    <n v="18"/>
    <n v="57"/>
    <n v="18"/>
    <n v="18"/>
    <n v="2015"/>
    <n v="21"/>
    <n v="2018"/>
    <n v="18"/>
    <n v="2022"/>
    <s v="Adjust"/>
    <n v="21.759416355615883"/>
    <n v="21.759416355615883"/>
    <s v="Increasing"/>
    <m/>
    <m/>
    <m/>
    <m/>
    <n v="2.5329890156931333E-2"/>
    <n v="2.6097723048228966E-2"/>
    <n v="2.4590527472052391E-2"/>
    <n v="2.4590527472052391E-2"/>
  </r>
  <r>
    <x v="41"/>
    <x v="41"/>
    <n v="6926646.5"/>
    <x v="31"/>
    <n v="0"/>
    <n v="7106229"/>
    <n v="0"/>
    <m/>
    <n v="0"/>
    <m/>
    <n v="0"/>
    <m/>
    <n v="0"/>
    <m/>
    <n v="0"/>
    <n v="8046679"/>
    <n v="0"/>
    <n v="0"/>
    <m/>
    <n v="25"/>
    <m/>
    <n v="0"/>
    <m/>
    <n v="0"/>
    <n v="8848698.5000000019"/>
    <n v="1"/>
    <n v="0"/>
    <n v="0"/>
    <n v="25"/>
    <n v="1"/>
    <m/>
    <s v=""/>
    <n v="25"/>
    <n v="2019"/>
    <n v="1"/>
    <n v="2022"/>
    <s v="Adjust"/>
    <n v="1.2088564642008823"/>
    <n v="25"/>
    <s v="Decreasing"/>
    <m/>
    <m/>
    <m/>
    <m/>
    <n v="0"/>
    <n v="3.1068717914558293E-2"/>
    <n v="1.3661404151140216E-3"/>
    <n v="2.8252742479586115E-2"/>
  </r>
  <r>
    <x v="41"/>
    <x v="41"/>
    <n v="6926647.5"/>
    <x v="32"/>
    <n v="0"/>
    <n v="7106229"/>
    <n v="0"/>
    <m/>
    <n v="0"/>
    <m/>
    <n v="0"/>
    <m/>
    <n v="33"/>
    <m/>
    <n v="57"/>
    <n v="8046679"/>
    <n v="62"/>
    <n v="62"/>
    <m/>
    <n v="61"/>
    <m/>
    <n v="65"/>
    <m/>
    <n v="69"/>
    <n v="8848698.5000000019"/>
    <n v="0"/>
    <n v="0"/>
    <n v="0"/>
    <n v="62"/>
    <n v="69"/>
    <m/>
    <s v=""/>
    <n v="62"/>
    <n v="2018"/>
    <n v="69"/>
    <n v="2021"/>
    <s v=""/>
    <n v="69"/>
    <n v="69"/>
    <s v="Increasing"/>
    <m/>
    <m/>
    <m/>
    <m/>
    <n v="0"/>
    <n v="7.705042042810456E-2"/>
    <n v="7.7977569243657674E-2"/>
    <n v="7.7977569243657674E-2"/>
  </r>
  <r>
    <x v="42"/>
    <x v="42"/>
    <n v="47786137.499999993"/>
    <x v="19"/>
    <n v="1481"/>
    <n v="49253643.5"/>
    <n v="0"/>
    <n v="50814551.500000022"/>
    <n v="3015"/>
    <n v="52542823.5"/>
    <n v="0"/>
    <n v="54401801.500000007"/>
    <n v="0"/>
    <n v="56267032.000000007"/>
    <n v="0"/>
    <n v="58090443.000000007"/>
    <n v="2885"/>
    <n v="2885"/>
    <n v="59872579"/>
    <n v="0"/>
    <n v="61704517.99999997"/>
    <n v="0"/>
    <n v="63588333.999999993"/>
    <n v="0"/>
    <n v="65497748.000000045"/>
    <n v="8693"/>
    <n v="2885"/>
    <n v="3015"/>
    <n v="2885"/>
    <n v="8693"/>
    <n v="1481"/>
    <n v="2012"/>
    <n v="2885"/>
    <n v="2018"/>
    <n v="8693"/>
    <n v="2022"/>
    <s v=""/>
    <n v="8693"/>
    <n v="8693"/>
    <s v="Increasing"/>
    <m/>
    <m/>
    <m/>
    <m/>
    <n v="0.30068841506111116"/>
    <n v="0.49663935253514929"/>
    <n v="1.3272212046130187"/>
    <n v="1.3272212046130187"/>
  </r>
  <r>
    <x v="42"/>
    <x v="42"/>
    <n v="47786138.5"/>
    <x v="20"/>
    <n v="0"/>
    <n v="49253643.5"/>
    <n v="0"/>
    <m/>
    <n v="0"/>
    <m/>
    <n v="0"/>
    <m/>
    <n v="0"/>
    <m/>
    <n v="0"/>
    <n v="58090443.000000007"/>
    <n v="2434"/>
    <n v="2434"/>
    <m/>
    <n v="0"/>
    <m/>
    <n v="0"/>
    <m/>
    <n v="0"/>
    <n v="65497748.000000045"/>
    <n v="6701"/>
    <n v="2434"/>
    <n v="0"/>
    <n v="2434"/>
    <n v="6701"/>
    <m/>
    <s v=""/>
    <n v="2434"/>
    <n v="2018"/>
    <n v="6701"/>
    <n v="2022"/>
    <s v=""/>
    <n v="6701"/>
    <n v="6701"/>
    <s v="Increasing"/>
    <m/>
    <m/>
    <m/>
    <m/>
    <n v="0"/>
    <n v="0.41900179690487122"/>
    <n v="1.0230886106191004"/>
    <n v="1.0230886106191004"/>
  </r>
  <r>
    <x v="42"/>
    <x v="42"/>
    <n v="47786139.5"/>
    <x v="21"/>
    <n v="0"/>
    <n v="49253643.5"/>
    <n v="0"/>
    <m/>
    <n v="929"/>
    <m/>
    <n v="0"/>
    <m/>
    <n v="0"/>
    <m/>
    <n v="0"/>
    <n v="58090443.000000007"/>
    <n v="451"/>
    <n v="451"/>
    <m/>
    <n v="0"/>
    <m/>
    <n v="0"/>
    <m/>
    <n v="0"/>
    <n v="65497748.000000045"/>
    <n v="1992"/>
    <n v="451"/>
    <n v="929"/>
    <n v="451"/>
    <n v="1992"/>
    <n v="929"/>
    <n v="2014"/>
    <n v="451"/>
    <n v="2018"/>
    <n v="1992"/>
    <n v="2022"/>
    <s v=""/>
    <n v="1992"/>
    <n v="1992"/>
    <s v="Increasing"/>
    <m/>
    <m/>
    <m/>
    <m/>
    <n v="0.18861548790801638"/>
    <n v="7.7637555630278104E-2"/>
    <n v="0.30413259399391851"/>
    <n v="0.30413259399391851"/>
  </r>
  <r>
    <x v="42"/>
    <x v="42"/>
    <n v="47786140.5"/>
    <x v="22"/>
    <n v="20800"/>
    <n v="49253643.5"/>
    <n v="0"/>
    <m/>
    <n v="21552"/>
    <m/>
    <n v="0"/>
    <m/>
    <n v="0"/>
    <m/>
    <n v="31940"/>
    <n v="58090443.000000007"/>
    <n v="31940"/>
    <n v="31940"/>
    <m/>
    <n v="0"/>
    <m/>
    <n v="0"/>
    <m/>
    <n v="0"/>
    <n v="65497748.000000045"/>
    <n v="0"/>
    <n v="31940"/>
    <n v="21552"/>
    <n v="31940"/>
    <n v="0"/>
    <n v="20800"/>
    <n v="2012"/>
    <n v="31940"/>
    <n v="2017"/>
    <n v="31940"/>
    <n v="2017"/>
    <s v=""/>
    <n v="31940"/>
    <n v="31940"/>
    <s v="No change"/>
    <m/>
    <m/>
    <m/>
    <m/>
    <n v="4.2230378347542956"/>
    <n v="5.4983226759004049"/>
    <n v="4.8765035402438537"/>
    <n v="4.8765035402438537"/>
  </r>
  <r>
    <x v="42"/>
    <x v="42"/>
    <n v="47786141.5"/>
    <x v="23"/>
    <n v="0"/>
    <n v="49253643.5"/>
    <n v="0"/>
    <m/>
    <n v="0"/>
    <m/>
    <n v="0"/>
    <m/>
    <n v="0"/>
    <m/>
    <n v="10589"/>
    <n v="58090443.000000007"/>
    <n v="0"/>
    <n v="10589"/>
    <m/>
    <n v="0"/>
    <m/>
    <n v="0"/>
    <m/>
    <n v="0"/>
    <n v="65497748.000000045"/>
    <n v="0"/>
    <n v="10589"/>
    <n v="0"/>
    <n v="10589"/>
    <n v="0"/>
    <m/>
    <s v=""/>
    <n v="10589"/>
    <n v="2017"/>
    <n v="10589"/>
    <n v="2017"/>
    <s v=""/>
    <n v="10589"/>
    <n v="10589"/>
    <s v="No change"/>
    <m/>
    <m/>
    <m/>
    <m/>
    <n v="0"/>
    <n v="1.8228471764279708"/>
    <n v="1.6166968061253026"/>
    <n v="1.6166968061253026"/>
  </r>
  <r>
    <x v="42"/>
    <x v="42"/>
    <n v="47786142.5"/>
    <x v="24"/>
    <n v="0"/>
    <n v="49253643.5"/>
    <n v="0"/>
    <m/>
    <n v="0"/>
    <m/>
    <n v="0"/>
    <m/>
    <n v="0"/>
    <m/>
    <n v="21351"/>
    <n v="58090443.000000007"/>
    <n v="0"/>
    <n v="21351"/>
    <m/>
    <n v="0"/>
    <m/>
    <n v="0"/>
    <m/>
    <n v="0"/>
    <n v="65497748.000000045"/>
    <n v="0"/>
    <n v="21351"/>
    <n v="0"/>
    <n v="21351"/>
    <n v="0"/>
    <m/>
    <s v=""/>
    <n v="21351"/>
    <n v="2017"/>
    <n v="21351"/>
    <n v="2017"/>
    <s v=""/>
    <n v="21351"/>
    <n v="21351"/>
    <s v="No change"/>
    <m/>
    <m/>
    <m/>
    <m/>
    <n v="0"/>
    <n v="3.6754754994724341"/>
    <n v="3.259806734118551"/>
    <n v="3.259806734118551"/>
  </r>
  <r>
    <x v="42"/>
    <x v="42"/>
    <n v="47786143.5"/>
    <x v="25"/>
    <n v="0"/>
    <n v="49253643.5"/>
    <n v="0"/>
    <m/>
    <n v="0"/>
    <m/>
    <n v="0"/>
    <m/>
    <n v="0"/>
    <m/>
    <n v="0"/>
    <n v="58090443.000000007"/>
    <n v="0"/>
    <n v="0"/>
    <m/>
    <n v="0"/>
    <m/>
    <n v="0"/>
    <m/>
    <n v="0"/>
    <n v="65497748.000000045"/>
    <n v="0"/>
    <n v="0"/>
    <n v="0"/>
    <n v="0"/>
    <n v="0"/>
    <m/>
    <s v=""/>
    <m/>
    <s v=""/>
    <n v="0"/>
    <s v=""/>
    <s v=""/>
    <m/>
    <n v="0"/>
    <s v="No change"/>
    <m/>
    <m/>
    <m/>
    <m/>
    <n v="0"/>
    <n v="0"/>
    <n v="0"/>
    <n v="0"/>
  </r>
  <r>
    <x v="42"/>
    <x v="42"/>
    <n v="47786144.5"/>
    <x v="26"/>
    <n v="0"/>
    <n v="49253643.5"/>
    <n v="0"/>
    <m/>
    <n v="0"/>
    <m/>
    <n v="0"/>
    <m/>
    <n v="0"/>
    <m/>
    <n v="0"/>
    <n v="58090443.000000007"/>
    <n v="0"/>
    <n v="0"/>
    <m/>
    <n v="0"/>
    <m/>
    <n v="0"/>
    <m/>
    <n v="0"/>
    <n v="65497748.000000045"/>
    <n v="0"/>
    <n v="0"/>
    <n v="0"/>
    <n v="0"/>
    <n v="0"/>
    <m/>
    <s v=""/>
    <m/>
    <s v=""/>
    <n v="0"/>
    <s v=""/>
    <s v=""/>
    <m/>
    <n v="0"/>
    <s v="No change"/>
    <m/>
    <m/>
    <m/>
    <m/>
    <n v="0"/>
    <n v="0"/>
    <n v="0"/>
    <n v="0"/>
  </r>
  <r>
    <x v="42"/>
    <x v="42"/>
    <n v="47786145.5"/>
    <x v="27"/>
    <n v="0"/>
    <n v="49253643.5"/>
    <n v="0"/>
    <m/>
    <n v="0"/>
    <m/>
    <n v="0"/>
    <m/>
    <n v="0"/>
    <m/>
    <n v="0"/>
    <n v="58090443.000000007"/>
    <n v="0"/>
    <n v="0"/>
    <m/>
    <n v="0"/>
    <m/>
    <n v="0"/>
    <m/>
    <n v="0"/>
    <n v="65497748.000000045"/>
    <n v="0"/>
    <n v="0"/>
    <n v="0"/>
    <n v="0"/>
    <n v="0"/>
    <m/>
    <s v=""/>
    <m/>
    <s v=""/>
    <n v="0"/>
    <s v=""/>
    <s v=""/>
    <m/>
    <n v="0"/>
    <s v="No change"/>
    <m/>
    <m/>
    <m/>
    <m/>
    <n v="0"/>
    <n v="0"/>
    <n v="0"/>
    <n v="0"/>
  </r>
  <r>
    <x v="42"/>
    <x v="42"/>
    <n v="47786146.5"/>
    <x v="28"/>
    <n v="339"/>
    <n v="49253643.5"/>
    <n v="0"/>
    <m/>
    <n v="707"/>
    <m/>
    <n v="0"/>
    <m/>
    <n v="0"/>
    <m/>
    <n v="0"/>
    <n v="58090443.000000007"/>
    <n v="1845"/>
    <n v="1845"/>
    <m/>
    <n v="0"/>
    <m/>
    <n v="0"/>
    <m/>
    <n v="0"/>
    <n v="65497748.000000045"/>
    <n v="1746"/>
    <n v="599"/>
    <n v="707"/>
    <n v="1845"/>
    <n v="1746"/>
    <n v="339"/>
    <n v="2012"/>
    <n v="1845"/>
    <n v="2018"/>
    <n v="1746"/>
    <n v="2022"/>
    <s v="Adjust"/>
    <n v="2261.9470224210058"/>
    <n v="2261.9470224210058"/>
    <s v="Increasing"/>
    <m/>
    <m/>
    <m/>
    <m/>
    <n v="6.8827395479889725E-2"/>
    <n v="0.31760818212386499"/>
    <n v="0.34534729689042198"/>
    <n v="0.34534729689042198"/>
  </r>
  <r>
    <x v="42"/>
    <x v="42"/>
    <n v="47786147.5"/>
    <x v="29"/>
    <n v="317"/>
    <n v="49253643.5"/>
    <n v="0"/>
    <m/>
    <n v="1132"/>
    <m/>
    <n v="0"/>
    <m/>
    <n v="0"/>
    <m/>
    <n v="0"/>
    <n v="58090443.000000007"/>
    <n v="0"/>
    <n v="1246"/>
    <m/>
    <n v="0"/>
    <m/>
    <n v="0"/>
    <m/>
    <n v="0"/>
    <n v="65497748.000000045"/>
    <n v="5583"/>
    <n v="1246"/>
    <n v="1132"/>
    <n v="0"/>
    <n v="5583"/>
    <n v="317"/>
    <n v="2012"/>
    <n v="1246"/>
    <s v="2018 (triag)"/>
    <n v="5583"/>
    <n v="2022"/>
    <s v=""/>
    <n v="5583"/>
    <n v="5583"/>
    <s v="Increasing"/>
    <m/>
    <m/>
    <m/>
    <m/>
    <n v="6.4360720846976527E-2"/>
    <n v="0.2144931137812118"/>
    <n v="0.85239571901006372"/>
    <n v="0.85239571901006372"/>
  </r>
  <r>
    <x v="42"/>
    <x v="42"/>
    <n v="47786148.5"/>
    <x v="30"/>
    <n v="99"/>
    <n v="49253643.5"/>
    <n v="0"/>
    <m/>
    <n v="104"/>
    <m/>
    <n v="0"/>
    <m/>
    <n v="0"/>
    <m/>
    <n v="0"/>
    <n v="58090443.000000007"/>
    <n v="682"/>
    <n v="682"/>
    <m/>
    <n v="0"/>
    <m/>
    <n v="0"/>
    <m/>
    <n v="0"/>
    <n v="65497748.000000045"/>
    <n v="583"/>
    <n v="94"/>
    <n v="104"/>
    <n v="682"/>
    <n v="583"/>
    <n v="99"/>
    <n v="2012"/>
    <n v="682"/>
    <n v="2018"/>
    <n v="583"/>
    <n v="2022"/>
    <s v="Adjust"/>
    <n v="755.27784311079404"/>
    <n v="755.27784311079404"/>
    <s v="Increasing"/>
    <m/>
    <m/>
    <m/>
    <m/>
    <n v="2.010003584810939E-2"/>
    <n v="0.11740313290432298"/>
    <n v="0.11531355904187629"/>
    <n v="0.11531355904187629"/>
  </r>
  <r>
    <x v="42"/>
    <x v="42"/>
    <n v="47786149.5"/>
    <x v="31"/>
    <n v="366"/>
    <n v="49253643.5"/>
    <n v="0"/>
    <m/>
    <n v="933"/>
    <m/>
    <n v="0"/>
    <m/>
    <n v="0"/>
    <m/>
    <n v="0"/>
    <n v="58090443.000000007"/>
    <n v="768"/>
    <n v="768"/>
    <m/>
    <n v="0"/>
    <m/>
    <n v="0"/>
    <m/>
    <n v="0"/>
    <n v="65497748.000000045"/>
    <n v="449"/>
    <n v="588"/>
    <n v="933"/>
    <n v="768"/>
    <n v="449"/>
    <n v="366"/>
    <n v="2012"/>
    <n v="768"/>
    <n v="2018"/>
    <n v="449"/>
    <n v="2022"/>
    <s v="Adjust"/>
    <n v="581.68053440265271"/>
    <n v="768"/>
    <s v="Decreasing"/>
    <m/>
    <m/>
    <m/>
    <m/>
    <n v="7.4309223438465008E-2"/>
    <n v="0.13220763353448689"/>
    <n v="8.8809241869300962E-2"/>
    <n v="0.117255939853077"/>
  </r>
  <r>
    <x v="42"/>
    <x v="42"/>
    <n v="47786150.5"/>
    <x v="32"/>
    <n v="0"/>
    <n v="49253643.5"/>
    <n v="0"/>
    <m/>
    <n v="0"/>
    <m/>
    <n v="0"/>
    <m/>
    <n v="0"/>
    <m/>
    <n v="0"/>
    <n v="58090443.000000007"/>
    <n v="0"/>
    <n v="0"/>
    <m/>
    <n v="0"/>
    <m/>
    <n v="0"/>
    <m/>
    <n v="0"/>
    <n v="65497748.000000045"/>
    <n v="0"/>
    <n v="0"/>
    <n v="0"/>
    <n v="0"/>
    <n v="0"/>
    <m/>
    <s v=""/>
    <m/>
    <s v=""/>
    <n v="0"/>
    <s v=""/>
    <s v=""/>
    <m/>
    <n v="0"/>
    <s v="No change"/>
    <m/>
    <m/>
    <m/>
    <m/>
    <n v="0"/>
    <n v="0"/>
    <n v="0"/>
    <n v="0"/>
  </r>
  <r>
    <x v="43"/>
    <x v="43"/>
    <n v="34273295.000000015"/>
    <x v="19"/>
    <n v="3370"/>
    <n v="35273569.999999993"/>
    <n v="0"/>
    <n v="36336539.50000003"/>
    <n v="0"/>
    <n v="37477355.999999978"/>
    <n v="3645"/>
    <n v="38748298.999999978"/>
    <n v="0"/>
    <n v="40127084.999999978"/>
    <n v="6918"/>
    <n v="41515395.000000015"/>
    <n v="0"/>
    <n v="17186"/>
    <n v="42949080.000000015"/>
    <n v="0"/>
    <n v="44404611.000000007"/>
    <n v="7031"/>
    <n v="45853778.000000022"/>
    <n v="0"/>
    <n v="47249584.999999978"/>
    <n v="7941"/>
    <n v="17186"/>
    <n v="3645"/>
    <n v="6918"/>
    <n v="7941"/>
    <n v="3370"/>
    <n v="2012"/>
    <n v="17186"/>
    <s v="2018 (triag)"/>
    <n v="7941"/>
    <n v="2022"/>
    <s v="Adjust"/>
    <n v="9051.7813279678066"/>
    <n v="17186"/>
    <s v="Decreasing"/>
    <m/>
    <m/>
    <m/>
    <m/>
    <n v="0.95538954520339181"/>
    <n v="4.139669151648441"/>
    <n v="1.9157377420283819"/>
    <n v="3.6372806237345805"/>
  </r>
  <r>
    <x v="43"/>
    <x v="43"/>
    <n v="34273296"/>
    <x v="20"/>
    <n v="0"/>
    <n v="35273569.999999993"/>
    <n v="0"/>
    <m/>
    <n v="0"/>
    <m/>
    <n v="0"/>
    <m/>
    <n v="0"/>
    <m/>
    <n v="0"/>
    <n v="41515395.000000015"/>
    <n v="0"/>
    <n v="17007"/>
    <m/>
    <n v="0"/>
    <m/>
    <n v="0"/>
    <m/>
    <n v="0"/>
    <n v="47249584.999999978"/>
    <n v="6369"/>
    <n v="17007"/>
    <n v="0"/>
    <n v="0"/>
    <n v="6369"/>
    <m/>
    <s v=""/>
    <n v="17007"/>
    <s v="2018 (triag)"/>
    <n v="6369"/>
    <n v="2022"/>
    <s v="Adjust"/>
    <n v="7259.8911066398387"/>
    <n v="17007"/>
    <s v="Decreasing"/>
    <m/>
    <m/>
    <m/>
    <m/>
    <n v="0"/>
    <n v="4.0965526162041801"/>
    <n v="1.5364983854651511"/>
    <n v="3.5993966931138144"/>
  </r>
  <r>
    <x v="43"/>
    <x v="43"/>
    <n v="34273297"/>
    <x v="21"/>
    <n v="0"/>
    <n v="35273569.999999993"/>
    <n v="0"/>
    <m/>
    <n v="0"/>
    <m/>
    <n v="0"/>
    <m/>
    <n v="0"/>
    <m/>
    <n v="0"/>
    <n v="41515395.000000015"/>
    <n v="0"/>
    <n v="179"/>
    <m/>
    <n v="0"/>
    <m/>
    <n v="0"/>
    <m/>
    <n v="0"/>
    <n v="47249584.999999978"/>
    <n v="1572"/>
    <n v="179"/>
    <n v="0"/>
    <n v="0"/>
    <n v="1572"/>
    <m/>
    <s v=""/>
    <n v="179"/>
    <s v="2018 (triag)"/>
    <n v="1572"/>
    <n v="2022"/>
    <s v=""/>
    <n v="1572"/>
    <n v="1572"/>
    <s v="Increasing"/>
    <m/>
    <m/>
    <m/>
    <m/>
    <n v="0"/>
    <n v="4.3116535444261084E-2"/>
    <n v="0.33270133483712094"/>
    <n v="0.33270133483712094"/>
  </r>
  <r>
    <x v="43"/>
    <x v="43"/>
    <n v="34273298"/>
    <x v="22"/>
    <n v="40816"/>
    <n v="35273569.999999993"/>
    <n v="40149"/>
    <m/>
    <n v="45388"/>
    <m/>
    <n v="50681"/>
    <m/>
    <n v="55228"/>
    <m/>
    <n v="60456"/>
    <n v="41515395.000000015"/>
    <n v="52907"/>
    <n v="52907"/>
    <m/>
    <n v="0"/>
    <m/>
    <n v="51327"/>
    <m/>
    <n v="0"/>
    <n v="47249584.999999978"/>
    <n v="74197"/>
    <n v="16407"/>
    <n v="50681"/>
    <n v="60456"/>
    <n v="74197"/>
    <n v="40149"/>
    <n v="2013"/>
    <n v="52907"/>
    <n v="2018"/>
    <n v="74197"/>
    <n v="2022"/>
    <s v=""/>
    <n v="74197"/>
    <n v="74197"/>
    <s v="Increasing"/>
    <m/>
    <m/>
    <m/>
    <m/>
    <n v="11.382176513463198"/>
    <n v="12.743947155025257"/>
    <n v="15.703206705413399"/>
    <n v="15.703206705413399"/>
  </r>
  <r>
    <x v="43"/>
    <x v="43"/>
    <n v="34273299"/>
    <x v="23"/>
    <n v="0"/>
    <n v="35273569.999999993"/>
    <n v="14303"/>
    <m/>
    <n v="15406"/>
    <m/>
    <n v="16701"/>
    <m/>
    <n v="15597"/>
    <m/>
    <n v="15448"/>
    <n v="41515395.000000015"/>
    <n v="5026"/>
    <n v="5026"/>
    <m/>
    <n v="0"/>
    <m/>
    <n v="0"/>
    <m/>
    <n v="0"/>
    <n v="47249584.999999978"/>
    <n v="0"/>
    <n v="0"/>
    <n v="16701"/>
    <n v="15597"/>
    <n v="0"/>
    <n v="14303"/>
    <n v="2013"/>
    <n v="5026"/>
    <n v="2018"/>
    <n v="5026"/>
    <n v="2018"/>
    <s v=""/>
    <n v="5026"/>
    <n v="5026"/>
    <s v="No change"/>
    <m/>
    <m/>
    <m/>
    <m/>
    <n v="4.0548773486777785"/>
    <n v="1.2106352354349508"/>
    <n v="1.063713046368556"/>
    <n v="1.063713046368556"/>
  </r>
  <r>
    <x v="43"/>
    <x v="43"/>
    <n v="34273300"/>
    <x v="24"/>
    <n v="0"/>
    <n v="35273569.999999993"/>
    <n v="25846"/>
    <m/>
    <n v="29982"/>
    <m/>
    <n v="33980"/>
    <m/>
    <n v="39631"/>
    <m/>
    <n v="45008"/>
    <n v="41515395.000000015"/>
    <n v="47881"/>
    <n v="47881"/>
    <m/>
    <n v="0"/>
    <m/>
    <n v="0"/>
    <m/>
    <n v="0"/>
    <n v="47249584.999999978"/>
    <n v="21425"/>
    <n v="16407"/>
    <n v="33980"/>
    <n v="47881"/>
    <n v="21425"/>
    <n v="25846"/>
    <n v="2013"/>
    <n v="47881"/>
    <n v="2018"/>
    <n v="21425"/>
    <n v="2022"/>
    <s v="Adjust"/>
    <n v="24421.913480885312"/>
    <n v="47881"/>
    <s v="Decreasing"/>
    <m/>
    <m/>
    <m/>
    <m/>
    <n v="7.32729916478542"/>
    <n v="11.533311919590307"/>
    <n v="5.1687043348391999"/>
    <n v="10.133633977949229"/>
  </r>
  <r>
    <x v="43"/>
    <x v="43"/>
    <n v="34273301"/>
    <x v="25"/>
    <n v="0"/>
    <n v="35273569.999999993"/>
    <n v="7000"/>
    <m/>
    <n v="0"/>
    <m/>
    <n v="8815"/>
    <m/>
    <n v="9802"/>
    <m/>
    <n v="0"/>
    <n v="41515395.000000015"/>
    <n v="0"/>
    <n v="7237"/>
    <m/>
    <n v="0"/>
    <m/>
    <n v="23546"/>
    <m/>
    <n v="0"/>
    <n v="47249584.999999978"/>
    <n v="32957"/>
    <n v="7237"/>
    <n v="8815"/>
    <n v="9802"/>
    <n v="32957"/>
    <n v="7000"/>
    <n v="2013"/>
    <n v="7237"/>
    <s v="2018 (triag)"/>
    <n v="32957"/>
    <n v="2022"/>
    <s v=""/>
    <n v="32957"/>
    <n v="32957"/>
    <s v="Increasing"/>
    <m/>
    <m/>
    <m/>
    <m/>
    <n v="1.9844886695619415"/>
    <n v="1.7432087542464663"/>
    <n v="6.9750877177016513"/>
    <n v="6.9750877177016513"/>
  </r>
  <r>
    <x v="43"/>
    <x v="43"/>
    <n v="34273302"/>
    <x v="26"/>
    <n v="0"/>
    <n v="35273569.999999993"/>
    <n v="7000"/>
    <m/>
    <n v="0"/>
    <m/>
    <n v="0"/>
    <m/>
    <n v="9802"/>
    <m/>
    <n v="0"/>
    <n v="41515395.000000015"/>
    <n v="0"/>
    <n v="0"/>
    <m/>
    <n v="0"/>
    <m/>
    <n v="0"/>
    <m/>
    <n v="0"/>
    <n v="47249584.999999978"/>
    <n v="0"/>
    <n v="0"/>
    <n v="7000"/>
    <n v="9802"/>
    <n v="0"/>
    <n v="7000"/>
    <n v="2013"/>
    <m/>
    <s v=""/>
    <n v="0"/>
    <s v=""/>
    <s v=""/>
    <m/>
    <n v="0"/>
    <s v="No change"/>
    <m/>
    <m/>
    <m/>
    <m/>
    <n v="1.9844886695619415"/>
    <n v="0"/>
    <n v="0"/>
    <n v="0"/>
  </r>
  <r>
    <x v="43"/>
    <x v="43"/>
    <n v="34273303"/>
    <x v="27"/>
    <n v="0"/>
    <n v="35273569.999999993"/>
    <n v="0"/>
    <m/>
    <n v="0"/>
    <m/>
    <n v="0"/>
    <m/>
    <n v="0"/>
    <m/>
    <n v="0"/>
    <n v="41515395.000000015"/>
    <n v="0"/>
    <n v="7237"/>
    <m/>
    <n v="0"/>
    <m/>
    <n v="0"/>
    <m/>
    <n v="0"/>
    <n v="47249584.999999978"/>
    <n v="8698"/>
    <n v="7237"/>
    <n v="0"/>
    <n v="0"/>
    <n v="8698"/>
    <m/>
    <s v=""/>
    <n v="7237"/>
    <s v="2018 (triag)"/>
    <n v="8698"/>
    <n v="2022"/>
    <s v=""/>
    <n v="8698"/>
    <n v="8698"/>
    <s v="Increasing"/>
    <m/>
    <m/>
    <m/>
    <m/>
    <n v="0"/>
    <n v="1.7432087542464663"/>
    <n v="1.8408627292705331"/>
    <n v="1.8408627292705331"/>
  </r>
  <r>
    <x v="43"/>
    <x v="43"/>
    <n v="34273304"/>
    <x v="28"/>
    <n v="550"/>
    <n v="35273569.999999993"/>
    <n v="0"/>
    <m/>
    <n v="0"/>
    <m/>
    <n v="45"/>
    <m/>
    <n v="0"/>
    <m/>
    <n v="0"/>
    <n v="41515395.000000015"/>
    <n v="324"/>
    <n v="324"/>
    <m/>
    <n v="0"/>
    <m/>
    <n v="1717"/>
    <m/>
    <n v="0"/>
    <n v="47249584.999999978"/>
    <n v="1712"/>
    <n v="90"/>
    <n v="550"/>
    <n v="324"/>
    <n v="1717"/>
    <n v="550"/>
    <n v="2012"/>
    <n v="324"/>
    <n v="2018"/>
    <n v="1712"/>
    <n v="2022"/>
    <s v=""/>
    <n v="1712"/>
    <n v="1712"/>
    <s v="Increasing"/>
    <m/>
    <m/>
    <m/>
    <m/>
    <n v="0.15592410975129542"/>
    <n v="7.8043337899109444E-2"/>
    <n v="0.36233122470811135"/>
    <n v="0.36233122470811135"/>
  </r>
  <r>
    <x v="43"/>
    <x v="43"/>
    <n v="34273305"/>
    <x v="29"/>
    <n v="650"/>
    <n v="35273569.999999993"/>
    <n v="0"/>
    <m/>
    <n v="0"/>
    <m/>
    <n v="0"/>
    <m/>
    <n v="0"/>
    <m/>
    <n v="0"/>
    <n v="41515395.000000015"/>
    <n v="0"/>
    <n v="234"/>
    <m/>
    <n v="0"/>
    <m/>
    <n v="0"/>
    <m/>
    <n v="0"/>
    <n v="47249584.999999978"/>
    <n v="1820"/>
    <n v="234"/>
    <n v="650"/>
    <n v="0"/>
    <n v="1820"/>
    <n v="650"/>
    <n v="2012"/>
    <n v="234"/>
    <s v="2018 (triag)"/>
    <n v="1820"/>
    <n v="2022"/>
    <s v=""/>
    <n v="1820"/>
    <n v="1820"/>
    <s v="Increasing"/>
    <m/>
    <m/>
    <m/>
    <m/>
    <n v="0.18427394788789458"/>
    <n v="5.6364632927134603E-2"/>
    <n v="0.3851885683228754"/>
    <n v="0.3851885683228754"/>
  </r>
  <r>
    <x v="43"/>
    <x v="43"/>
    <n v="34273306"/>
    <x v="30"/>
    <n v="0"/>
    <n v="35273569.999999993"/>
    <n v="0"/>
    <m/>
    <n v="0"/>
    <m/>
    <n v="276"/>
    <m/>
    <n v="0"/>
    <m/>
    <n v="0"/>
    <n v="41515395.000000015"/>
    <n v="26"/>
    <n v="26"/>
    <m/>
    <n v="310"/>
    <m/>
    <n v="255"/>
    <m/>
    <n v="0"/>
    <n v="47249584.999999978"/>
    <n v="504"/>
    <n v="0"/>
    <n v="276"/>
    <n v="310"/>
    <n v="504"/>
    <n v="276"/>
    <n v="2015"/>
    <n v="26"/>
    <n v="2018"/>
    <n v="504"/>
    <n v="2022"/>
    <s v=""/>
    <n v="504"/>
    <n v="504"/>
    <s v="Increasing"/>
    <m/>
    <m/>
    <m/>
    <m/>
    <n v="7.8245553257013697E-2"/>
    <n v="6.2627369919038443E-3"/>
    <n v="0.10666760353556549"/>
    <n v="0.10666760353556549"/>
  </r>
  <r>
    <x v="43"/>
    <x v="43"/>
    <n v="34273307"/>
    <x v="31"/>
    <n v="0"/>
    <n v="35273569.999999993"/>
    <n v="0"/>
    <m/>
    <n v="0"/>
    <m/>
    <n v="0"/>
    <m/>
    <n v="0"/>
    <m/>
    <n v="0"/>
    <n v="41515395.000000015"/>
    <n v="0"/>
    <n v="26"/>
    <m/>
    <n v="900"/>
    <m/>
    <n v="0"/>
    <m/>
    <n v="0"/>
    <n v="47249584.999999978"/>
    <n v="1084"/>
    <n v="26"/>
    <n v="0"/>
    <n v="900"/>
    <n v="1084"/>
    <m/>
    <s v=""/>
    <n v="26"/>
    <s v="2018 (triag)"/>
    <n v="1084"/>
    <n v="2022"/>
    <s v=""/>
    <n v="1084"/>
    <n v="1084"/>
    <s v="Increasing"/>
    <m/>
    <m/>
    <m/>
    <m/>
    <n v="0"/>
    <n v="6.2627369919038443E-3"/>
    <n v="0.22942000442966864"/>
    <n v="0.22942000442966864"/>
  </r>
  <r>
    <x v="43"/>
    <x v="43"/>
    <n v="34273308"/>
    <x v="32"/>
    <n v="0"/>
    <n v="35273569.999999993"/>
    <n v="0"/>
    <m/>
    <n v="0"/>
    <m/>
    <n v="0"/>
    <m/>
    <n v="0"/>
    <m/>
    <n v="0"/>
    <n v="41515395.000000015"/>
    <n v="0"/>
    <n v="0"/>
    <m/>
    <n v="0"/>
    <m/>
    <n v="0"/>
    <m/>
    <n v="0"/>
    <n v="47249584.999999978"/>
    <n v="0"/>
    <n v="0"/>
    <n v="0"/>
    <n v="0"/>
    <n v="0"/>
    <m/>
    <s v=""/>
    <m/>
    <s v=""/>
    <n v="0"/>
    <s v=""/>
    <s v=""/>
    <m/>
    <n v="0"/>
    <s v="No change"/>
    <m/>
    <m/>
    <m/>
    <m/>
    <n v="0"/>
    <n v="0"/>
    <n v="0"/>
    <n v="0"/>
  </r>
  <r>
    <x v="44"/>
    <x v="44"/>
    <n v="53145033.000000007"/>
    <x v="19"/>
    <n v="0"/>
    <n v="53873616"/>
    <n v="0"/>
    <n v="54729550.99999997"/>
    <n v="0"/>
    <n v="55876503.999999993"/>
    <n v="0"/>
    <n v="56422273.499999985"/>
    <n v="43141"/>
    <n v="56641209.500000007"/>
    <n v="44653"/>
    <n v="57339635.000000015"/>
    <n v="43503"/>
    <n v="43503"/>
    <n v="58087054.999999985"/>
    <n v="46393"/>
    <n v="58801926.500000022"/>
    <n v="0"/>
    <n v="59392255"/>
    <n v="48021"/>
    <n v="59893885.5"/>
    <n v="0"/>
    <n v="43503"/>
    <n v="0"/>
    <n v="46393"/>
    <n v="48021"/>
    <m/>
    <s v=""/>
    <n v="43503"/>
    <n v="2018"/>
    <n v="48021"/>
    <n v="2021"/>
    <s v=""/>
    <n v="48021"/>
    <n v="48021"/>
    <s v="Increasing"/>
    <m/>
    <m/>
    <m/>
    <m/>
    <n v="0"/>
    <n v="7.5868986609349687"/>
    <n v="8.0176798681728538"/>
    <n v="8.0176798681728538"/>
  </r>
  <r>
    <x v="44"/>
    <x v="44"/>
    <n v="53145034"/>
    <x v="20"/>
    <n v="0"/>
    <n v="53873616"/>
    <n v="0"/>
    <m/>
    <n v="0"/>
    <m/>
    <n v="0"/>
    <m/>
    <n v="0"/>
    <m/>
    <n v="0"/>
    <n v="57339635.000000015"/>
    <n v="29311"/>
    <n v="29311"/>
    <m/>
    <n v="0"/>
    <m/>
    <n v="0"/>
    <m/>
    <n v="0"/>
    <n v="59893885.5"/>
    <n v="0"/>
    <n v="29311"/>
    <n v="0"/>
    <n v="29311"/>
    <n v="0"/>
    <m/>
    <s v=""/>
    <n v="29311"/>
    <n v="2018"/>
    <n v="29311"/>
    <n v="2018"/>
    <s v=""/>
    <n v="29311"/>
    <n v="29311"/>
    <s v="No change"/>
    <m/>
    <m/>
    <m/>
    <m/>
    <n v="0"/>
    <n v="5.1118218663233543"/>
    <n v="4.8938217574814047"/>
    <n v="4.8938217574814047"/>
  </r>
  <r>
    <x v="44"/>
    <x v="44"/>
    <n v="53145035"/>
    <x v="21"/>
    <n v="0"/>
    <n v="53873616"/>
    <n v="0"/>
    <m/>
    <n v="0"/>
    <m/>
    <n v="0"/>
    <m/>
    <n v="0"/>
    <m/>
    <n v="0"/>
    <n v="57339635.000000015"/>
    <n v="14192"/>
    <n v="14192"/>
    <m/>
    <n v="0"/>
    <m/>
    <n v="0"/>
    <m/>
    <n v="0"/>
    <n v="59893885.5"/>
    <n v="0"/>
    <n v="14192"/>
    <n v="0"/>
    <n v="14192"/>
    <n v="0"/>
    <m/>
    <s v=""/>
    <n v="14192"/>
    <n v="2018"/>
    <n v="14192"/>
    <n v="2018"/>
    <s v=""/>
    <n v="14192"/>
    <n v="14192"/>
    <s v="No change"/>
    <m/>
    <m/>
    <m/>
    <m/>
    <n v="0"/>
    <n v="2.4750767946116148"/>
    <n v="2.3695240142668652"/>
    <n v="2.3695240142668652"/>
  </r>
  <r>
    <x v="44"/>
    <x v="44"/>
    <n v="53145036"/>
    <x v="22"/>
    <n v="58722"/>
    <n v="53873616"/>
    <n v="0"/>
    <m/>
    <n v="0"/>
    <m/>
    <n v="0"/>
    <m/>
    <n v="0"/>
    <m/>
    <n v="0"/>
    <n v="57339635.000000015"/>
    <n v="70552"/>
    <n v="287458"/>
    <m/>
    <n v="64638"/>
    <m/>
    <n v="61028"/>
    <m/>
    <n v="0"/>
    <n v="59893885.5"/>
    <n v="271047"/>
    <n v="287458"/>
    <n v="58722"/>
    <n v="70552"/>
    <n v="271047"/>
    <n v="58722"/>
    <n v="2012"/>
    <n v="287458"/>
    <s v="2018 (triag)"/>
    <n v="271047"/>
    <n v="2022"/>
    <s v="Adjust"/>
    <n v="397261.24962174537"/>
    <n v="397261.24962174537"/>
    <s v="Increasing"/>
    <m/>
    <m/>
    <m/>
    <m/>
    <n v="10.899955183999529"/>
    <n v="50.132513051399776"/>
    <n v="66.327513452394967"/>
    <n v="66.327513452394967"/>
  </r>
  <r>
    <x v="44"/>
    <x v="44"/>
    <n v="53145037"/>
    <x v="23"/>
    <n v="0"/>
    <n v="53873616"/>
    <n v="0"/>
    <m/>
    <n v="0"/>
    <m/>
    <n v="0"/>
    <m/>
    <n v="0"/>
    <m/>
    <n v="0"/>
    <n v="57339635.000000015"/>
    <n v="0"/>
    <n v="140598"/>
    <m/>
    <n v="0"/>
    <m/>
    <n v="0"/>
    <m/>
    <n v="0"/>
    <n v="59893885.5"/>
    <n v="0"/>
    <n v="140598"/>
    <n v="0"/>
    <n v="0"/>
    <n v="0"/>
    <m/>
    <s v=""/>
    <n v="140598"/>
    <s v="2018 (triag)"/>
    <n v="140598"/>
    <s v="2018 (triag)"/>
    <s v=""/>
    <n v="140598"/>
    <n v="140598"/>
    <s v="No change"/>
    <m/>
    <m/>
    <m/>
    <m/>
    <n v="0"/>
    <n v="24.520211891826651"/>
    <n v="23.474516442918034"/>
    <n v="23.474516442918034"/>
  </r>
  <r>
    <x v="44"/>
    <x v="44"/>
    <n v="53145038"/>
    <x v="24"/>
    <n v="0"/>
    <n v="53873616"/>
    <n v="0"/>
    <m/>
    <n v="0"/>
    <m/>
    <n v="0"/>
    <m/>
    <n v="0"/>
    <m/>
    <n v="0"/>
    <n v="57339635.000000015"/>
    <n v="0"/>
    <n v="146860"/>
    <m/>
    <n v="0"/>
    <m/>
    <n v="0"/>
    <m/>
    <n v="0"/>
    <n v="59893885.5"/>
    <n v="0"/>
    <n v="146860"/>
    <n v="0"/>
    <n v="0"/>
    <n v="0"/>
    <m/>
    <s v=""/>
    <n v="146860"/>
    <s v="2018 (triag)"/>
    <n v="146860"/>
    <s v="2018 (triag)"/>
    <s v=""/>
    <n v="146860"/>
    <n v="146860"/>
    <s v="No change"/>
    <m/>
    <m/>
    <m/>
    <m/>
    <n v="0"/>
    <n v="25.612301159573121"/>
    <n v="24.520032182583979"/>
    <n v="24.520032182583979"/>
  </r>
  <r>
    <x v="44"/>
    <x v="44"/>
    <n v="53145039"/>
    <x v="25"/>
    <n v="0"/>
    <n v="53873616"/>
    <n v="0"/>
    <m/>
    <n v="0"/>
    <m/>
    <n v="0"/>
    <m/>
    <n v="1284"/>
    <m/>
    <n v="0"/>
    <n v="57339635.000000015"/>
    <n v="0"/>
    <n v="0"/>
    <m/>
    <n v="0"/>
    <m/>
    <n v="0"/>
    <m/>
    <n v="0"/>
    <n v="59893885.5"/>
    <n v="0"/>
    <n v="0"/>
    <n v="0"/>
    <n v="1284"/>
    <n v="0"/>
    <m/>
    <s v=""/>
    <m/>
    <s v=""/>
    <n v="0"/>
    <s v=""/>
    <s v=""/>
    <m/>
    <n v="0"/>
    <s v="No change"/>
    <m/>
    <m/>
    <m/>
    <m/>
    <n v="0"/>
    <n v="0"/>
    <n v="0"/>
    <n v="0"/>
  </r>
  <r>
    <x v="44"/>
    <x v="44"/>
    <n v="53145040"/>
    <x v="26"/>
    <n v="0"/>
    <n v="53873616"/>
    <n v="0"/>
    <m/>
    <n v="0"/>
    <m/>
    <n v="0"/>
    <m/>
    <n v="1284"/>
    <m/>
    <n v="0"/>
    <n v="57339635.000000015"/>
    <n v="0"/>
    <n v="0"/>
    <m/>
    <n v="0"/>
    <m/>
    <n v="0"/>
    <m/>
    <n v="0"/>
    <n v="59893885.5"/>
    <n v="0"/>
    <n v="0"/>
    <n v="0"/>
    <n v="1284"/>
    <n v="0"/>
    <m/>
    <s v=""/>
    <m/>
    <s v=""/>
    <n v="0"/>
    <s v=""/>
    <s v=""/>
    <m/>
    <n v="0"/>
    <s v="No change"/>
    <m/>
    <m/>
    <m/>
    <m/>
    <n v="0"/>
    <n v="0"/>
    <n v="0"/>
    <n v="0"/>
  </r>
  <r>
    <x v="44"/>
    <x v="44"/>
    <n v="53145041"/>
    <x v="27"/>
    <n v="0"/>
    <n v="53873616"/>
    <n v="0"/>
    <m/>
    <n v="0"/>
    <m/>
    <n v="0"/>
    <m/>
    <n v="0"/>
    <m/>
    <n v="0"/>
    <n v="57339635.000000015"/>
    <n v="0"/>
    <n v="0"/>
    <m/>
    <n v="0"/>
    <m/>
    <n v="0"/>
    <m/>
    <n v="0"/>
    <n v="59893885.5"/>
    <n v="0"/>
    <n v="0"/>
    <n v="0"/>
    <n v="0"/>
    <n v="0"/>
    <m/>
    <s v=""/>
    <m/>
    <s v=""/>
    <n v="0"/>
    <s v=""/>
    <s v=""/>
    <m/>
    <n v="0"/>
    <s v="No change"/>
    <m/>
    <m/>
    <m/>
    <m/>
    <n v="0"/>
    <n v="0"/>
    <n v="0"/>
    <n v="0"/>
  </r>
  <r>
    <x v="44"/>
    <x v="44"/>
    <n v="53145042"/>
    <x v="28"/>
    <n v="13642"/>
    <n v="53873616"/>
    <n v="0"/>
    <m/>
    <n v="14994"/>
    <m/>
    <n v="15784"/>
    <m/>
    <n v="15267"/>
    <m/>
    <n v="0"/>
    <n v="57339635.000000015"/>
    <n v="0"/>
    <n v="14412"/>
    <m/>
    <n v="0"/>
    <m/>
    <n v="0"/>
    <m/>
    <n v="0"/>
    <n v="59893885.5"/>
    <n v="17703"/>
    <n v="14412"/>
    <n v="15784"/>
    <n v="15267"/>
    <n v="17703"/>
    <n v="13642"/>
    <n v="2012"/>
    <n v="14412"/>
    <s v="2018 (triag)"/>
    <n v="17703"/>
    <n v="2022"/>
    <s v=""/>
    <n v="17703"/>
    <n v="17703"/>
    <s v="Increasing"/>
    <m/>
    <m/>
    <m/>
    <m/>
    <n v="2.5322228231347976"/>
    <n v="2.513444670514557"/>
    <n v="2.9557274256317867"/>
    <n v="2.9557274256317867"/>
  </r>
  <r>
    <x v="44"/>
    <x v="44"/>
    <n v="53145043"/>
    <x v="29"/>
    <n v="7320"/>
    <n v="53873616"/>
    <n v="0"/>
    <m/>
    <n v="17491"/>
    <m/>
    <n v="18477"/>
    <m/>
    <n v="21713"/>
    <m/>
    <n v="11741"/>
    <n v="57339635.000000015"/>
    <n v="0"/>
    <n v="1783"/>
    <m/>
    <n v="0"/>
    <m/>
    <n v="0"/>
    <m/>
    <n v="0"/>
    <n v="59893885.5"/>
    <n v="0"/>
    <n v="1783"/>
    <n v="18477"/>
    <n v="21713"/>
    <n v="0"/>
    <n v="7320"/>
    <n v="2012"/>
    <n v="1783"/>
    <s v="2018 (triag)"/>
    <n v="1783"/>
    <s v="2018 (triag)"/>
    <s v=""/>
    <n v="1783"/>
    <n v="1783"/>
    <s v="No change"/>
    <m/>
    <m/>
    <m/>
    <m/>
    <n v="1.3587356007437852"/>
    <n v="0.31095419424975401"/>
    <n v="0.29769315934595691"/>
    <n v="0.29769315934595691"/>
  </r>
  <r>
    <x v="44"/>
    <x v="44"/>
    <n v="53145044"/>
    <x v="30"/>
    <n v="5554"/>
    <n v="53873616"/>
    <n v="5770"/>
    <m/>
    <n v="5817"/>
    <m/>
    <n v="5985"/>
    <m/>
    <n v="6158"/>
    <m/>
    <n v="6314"/>
    <n v="57339635.000000015"/>
    <n v="6433"/>
    <n v="6433"/>
    <m/>
    <n v="6365"/>
    <m/>
    <n v="0"/>
    <m/>
    <n v="6586"/>
    <n v="59893885.5"/>
    <n v="1348"/>
    <n v="6155"/>
    <n v="5985"/>
    <n v="6433"/>
    <n v="6586"/>
    <n v="5770"/>
    <n v="2013"/>
    <n v="6433"/>
    <n v="2018"/>
    <n v="1348"/>
    <n v="2022"/>
    <s v="Adjust"/>
    <n v="1975.7022379517678"/>
    <n v="6433"/>
    <s v="Decreasing"/>
    <m/>
    <m/>
    <m/>
    <m/>
    <n v="1.0710251934824646"/>
    <n v="1.1219115712892136"/>
    <n v="0.32986710103350497"/>
    <n v="1.074066233355323"/>
  </r>
  <r>
    <x v="44"/>
    <x v="44"/>
    <n v="53145045"/>
    <x v="31"/>
    <n v="4104"/>
    <n v="53873616"/>
    <n v="4625"/>
    <m/>
    <n v="4687"/>
    <m/>
    <n v="4785"/>
    <m/>
    <n v="5484"/>
    <m/>
    <n v="6948"/>
    <n v="57339635.000000015"/>
    <n v="0"/>
    <n v="661"/>
    <m/>
    <n v="0"/>
    <m/>
    <n v="0"/>
    <m/>
    <n v="6165"/>
    <n v="59893885.5"/>
    <n v="1550"/>
    <n v="661"/>
    <n v="4785"/>
    <n v="6948"/>
    <n v="6165"/>
    <n v="4625"/>
    <n v="2013"/>
    <n v="661"/>
    <s v="2018 (triag)"/>
    <n v="1550"/>
    <n v="2022"/>
    <s v=""/>
    <n v="1550"/>
    <n v="1550"/>
    <s v="Increasing"/>
    <m/>
    <m/>
    <m/>
    <m/>
    <n v="0.85849073134426324"/>
    <n v="0.11527802714474897"/>
    <n v="0.25879102466978871"/>
    <n v="0.25879102466978871"/>
  </r>
  <r>
    <x v="44"/>
    <x v="44"/>
    <n v="53145046"/>
    <x v="32"/>
    <n v="0"/>
    <n v="53873616"/>
    <n v="0"/>
    <m/>
    <n v="0"/>
    <m/>
    <n v="0"/>
    <m/>
    <n v="8190"/>
    <m/>
    <n v="8453"/>
    <n v="57339635.000000015"/>
    <n v="8565"/>
    <n v="8565"/>
    <m/>
    <n v="8742"/>
    <m/>
    <n v="0"/>
    <m/>
    <n v="9125"/>
    <n v="59893885.5"/>
    <n v="723"/>
    <n v="0"/>
    <n v="0"/>
    <n v="8742"/>
    <n v="9125"/>
    <m/>
    <s v=""/>
    <n v="8565"/>
    <n v="2018"/>
    <n v="723"/>
    <n v="2022"/>
    <s v="Adjust"/>
    <n v="1059.6681884563263"/>
    <n v="8565"/>
    <s v="Decreasing"/>
    <m/>
    <m/>
    <m/>
    <m/>
    <n v="0"/>
    <n v="1.4937311686759076"/>
    <n v="0.17692426858102675"/>
    <n v="1.4300291137398324"/>
  </r>
  <r>
    <x v="45"/>
    <x v="45"/>
    <n v="14744657.999999998"/>
    <x v="19"/>
    <n v="0"/>
    <n v="15234975.999999991"/>
    <n v="0"/>
    <n v="15737792.999999998"/>
    <n v="0"/>
    <n v="16248229.999999996"/>
    <n v="0"/>
    <n v="16767760.499999996"/>
    <n v="1514"/>
    <n v="17298053.500000004"/>
    <n v="0"/>
    <n v="17835892.999999981"/>
    <n v="4021"/>
    <n v="4021"/>
    <n v="18380476.500000004"/>
    <n v="4386"/>
    <n v="18927715.000000022"/>
    <n v="4818"/>
    <n v="19473124.999999996"/>
    <n v="5773"/>
    <n v="20017675.000000004"/>
    <n v="6531"/>
    <n v="2026"/>
    <n v="0"/>
    <n v="4386"/>
    <n v="6531"/>
    <m/>
    <s v=""/>
    <n v="4021"/>
    <n v="2018"/>
    <n v="6531"/>
    <n v="2022"/>
    <s v=""/>
    <n v="6531"/>
    <n v="6531"/>
    <s v="Increasing"/>
    <m/>
    <m/>
    <m/>
    <m/>
    <n v="0"/>
    <n v="2.2544427688594029"/>
    <n v="3.2626166625244934"/>
    <n v="3.2626166625244934"/>
  </r>
  <r>
    <x v="45"/>
    <x v="45"/>
    <n v="14744659"/>
    <x v="20"/>
    <n v="0"/>
    <n v="15234975.999999991"/>
    <n v="0"/>
    <m/>
    <n v="0"/>
    <m/>
    <n v="0"/>
    <m/>
    <n v="0"/>
    <m/>
    <n v="0"/>
    <n v="17835892.999999981"/>
    <n v="0"/>
    <n v="1701"/>
    <m/>
    <n v="0"/>
    <m/>
    <n v="0"/>
    <m/>
    <n v="0"/>
    <n v="20017675.000000004"/>
    <n v="4709"/>
    <n v="1701"/>
    <n v="0"/>
    <n v="0"/>
    <n v="4709"/>
    <m/>
    <s v=""/>
    <n v="1701"/>
    <s v="2018 (triag)"/>
    <n v="4709"/>
    <n v="2022"/>
    <s v=""/>
    <n v="4709"/>
    <n v="4709"/>
    <s v="Increasing"/>
    <m/>
    <m/>
    <m/>
    <m/>
    <n v="0"/>
    <n v="0.95369488928869539"/>
    <n v="2.3524210478989187"/>
    <n v="2.3524210478989187"/>
  </r>
  <r>
    <x v="45"/>
    <x v="45"/>
    <n v="14744660"/>
    <x v="21"/>
    <n v="0"/>
    <n v="15234975.999999991"/>
    <n v="0"/>
    <m/>
    <n v="0"/>
    <m/>
    <n v="0"/>
    <m/>
    <n v="0"/>
    <m/>
    <n v="0"/>
    <n v="17835892.999999981"/>
    <n v="0"/>
    <n v="325"/>
    <m/>
    <n v="0"/>
    <m/>
    <n v="0"/>
    <m/>
    <n v="0"/>
    <n v="20017675.000000004"/>
    <n v="534"/>
    <n v="325"/>
    <n v="0"/>
    <n v="0"/>
    <n v="534"/>
    <m/>
    <s v=""/>
    <n v="325"/>
    <s v="2018 (triag)"/>
    <n v="534"/>
    <n v="2022"/>
    <s v=""/>
    <n v="534"/>
    <n v="534"/>
    <s v="Increasing"/>
    <m/>
    <m/>
    <m/>
    <m/>
    <n v="0"/>
    <n v="0.18221683657779308"/>
    <n v="0.26676424709662833"/>
    <n v="0.26676424709662833"/>
  </r>
  <r>
    <x v="45"/>
    <x v="45"/>
    <n v="14744661"/>
    <x v="22"/>
    <n v="0"/>
    <n v="15234975.999999991"/>
    <n v="0"/>
    <m/>
    <n v="0"/>
    <m/>
    <n v="0"/>
    <m/>
    <n v="0"/>
    <m/>
    <n v="15691"/>
    <n v="17835892.999999981"/>
    <n v="20746"/>
    <n v="20746"/>
    <m/>
    <n v="23035"/>
    <m/>
    <n v="27674"/>
    <m/>
    <n v="32542"/>
    <n v="20017675.000000004"/>
    <n v="49975"/>
    <n v="14516"/>
    <n v="0"/>
    <n v="23035"/>
    <n v="49975"/>
    <m/>
    <s v=""/>
    <n v="20746"/>
    <n v="2018"/>
    <n v="49975"/>
    <n v="2022"/>
    <s v=""/>
    <n v="49975"/>
    <n v="49975"/>
    <s v="Increasing"/>
    <m/>
    <m/>
    <m/>
    <m/>
    <n v="0"/>
    <n v="11.63160151274737"/>
    <n v="24.965436795232208"/>
    <n v="24.965436795232208"/>
  </r>
  <r>
    <x v="45"/>
    <x v="45"/>
    <n v="14744662"/>
    <x v="23"/>
    <n v="0"/>
    <n v="15234975.999999991"/>
    <n v="0"/>
    <m/>
    <n v="0"/>
    <m/>
    <n v="0"/>
    <m/>
    <n v="0"/>
    <m/>
    <n v="15691"/>
    <n v="17835892.999999981"/>
    <n v="20746"/>
    <n v="20746"/>
    <m/>
    <n v="23035"/>
    <m/>
    <n v="27674"/>
    <m/>
    <n v="32542"/>
    <n v="20017675.000000004"/>
    <n v="33779"/>
    <n v="14516"/>
    <n v="0"/>
    <n v="23035"/>
    <n v="33779"/>
    <m/>
    <s v=""/>
    <n v="20746"/>
    <n v="2018"/>
    <n v="33779"/>
    <n v="2022"/>
    <s v=""/>
    <n v="33779"/>
    <n v="33779"/>
    <s v="Increasing"/>
    <m/>
    <m/>
    <m/>
    <m/>
    <n v="0"/>
    <n v="11.63160151274737"/>
    <n v="16.874587083664807"/>
    <n v="16.874587083664807"/>
  </r>
  <r>
    <x v="45"/>
    <x v="45"/>
    <n v="14744663"/>
    <x v="24"/>
    <n v="0"/>
    <n v="15234975.999999991"/>
    <n v="0"/>
    <m/>
    <n v="0"/>
    <m/>
    <n v="0"/>
    <m/>
    <n v="0"/>
    <m/>
    <n v="0"/>
    <n v="17835892.999999981"/>
    <n v="0"/>
    <n v="0"/>
    <m/>
    <n v="0"/>
    <m/>
    <n v="0"/>
    <m/>
    <n v="0"/>
    <n v="20017675.000000004"/>
    <n v="0"/>
    <n v="0"/>
    <n v="0"/>
    <n v="0"/>
    <n v="0"/>
    <m/>
    <s v=""/>
    <m/>
    <s v=""/>
    <n v="0"/>
    <s v=""/>
    <s v=""/>
    <m/>
    <n v="0"/>
    <s v="No change"/>
    <m/>
    <m/>
    <m/>
    <m/>
    <n v="0"/>
    <n v="0"/>
    <n v="0"/>
    <n v="0"/>
  </r>
  <r>
    <x v="45"/>
    <x v="45"/>
    <n v="14744664"/>
    <x v="25"/>
    <n v="0"/>
    <n v="15234975.999999991"/>
    <n v="2773"/>
    <m/>
    <n v="0"/>
    <m/>
    <n v="0"/>
    <m/>
    <n v="3333"/>
    <m/>
    <n v="0"/>
    <n v="17835892.999999981"/>
    <n v="2137"/>
    <n v="3432"/>
    <m/>
    <n v="3223"/>
    <m/>
    <n v="3312"/>
    <m/>
    <n v="3746"/>
    <n v="20017675.000000004"/>
    <n v="9202"/>
    <n v="3432"/>
    <n v="2773"/>
    <n v="3333"/>
    <n v="9202"/>
    <n v="2773"/>
    <n v="2013"/>
    <n v="3432"/>
    <s v="2018 (triag)"/>
    <n v="9202"/>
    <n v="2022"/>
    <s v=""/>
    <n v="9202"/>
    <n v="9202"/>
    <s v="Increasing"/>
    <m/>
    <m/>
    <m/>
    <m/>
    <n v="1.8201538354901259"/>
    <n v="1.9242097942614949"/>
    <n v="4.5969374565227969"/>
    <n v="4.5969374565227969"/>
  </r>
  <r>
    <x v="45"/>
    <x v="45"/>
    <n v="14744665"/>
    <x v="26"/>
    <n v="0"/>
    <n v="15234975.999999991"/>
    <n v="2773"/>
    <m/>
    <n v="0"/>
    <m/>
    <n v="0"/>
    <m/>
    <n v="192"/>
    <m/>
    <n v="0"/>
    <n v="17835892.999999981"/>
    <n v="2137"/>
    <n v="3432"/>
    <m/>
    <n v="3223"/>
    <m/>
    <n v="3312"/>
    <m/>
    <n v="3746"/>
    <n v="20017675.000000004"/>
    <n v="9202"/>
    <n v="3432"/>
    <n v="2773"/>
    <n v="3223"/>
    <n v="9202"/>
    <n v="2773"/>
    <n v="2013"/>
    <n v="3432"/>
    <s v="2018 (triag)"/>
    <n v="9202"/>
    <n v="2022"/>
    <s v=""/>
    <n v="9202"/>
    <n v="9202"/>
    <s v="Increasing"/>
    <m/>
    <m/>
    <m/>
    <m/>
    <n v="1.8201538354901259"/>
    <n v="1.9242097942614949"/>
    <n v="4.5969374565227969"/>
    <n v="4.5969374565227969"/>
  </r>
  <r>
    <x v="45"/>
    <x v="45"/>
    <n v="14744666"/>
    <x v="27"/>
    <n v="0"/>
    <n v="15234975.999999991"/>
    <n v="0"/>
    <m/>
    <n v="0"/>
    <m/>
    <n v="0"/>
    <m/>
    <n v="0"/>
    <m/>
    <n v="0"/>
    <n v="17835892.999999981"/>
    <n v="0"/>
    <n v="0"/>
    <m/>
    <n v="0"/>
    <m/>
    <n v="0"/>
    <m/>
    <n v="0"/>
    <n v="20017675.000000004"/>
    <n v="0"/>
    <n v="0"/>
    <n v="0"/>
    <n v="0"/>
    <n v="0"/>
    <m/>
    <s v=""/>
    <m/>
    <s v=""/>
    <n v="0"/>
    <s v=""/>
    <s v=""/>
    <m/>
    <n v="0"/>
    <s v="No change"/>
    <m/>
    <m/>
    <m/>
    <m/>
    <n v="0"/>
    <n v="0"/>
    <n v="0"/>
    <n v="0"/>
  </r>
  <r>
    <x v="45"/>
    <x v="45"/>
    <n v="14744667"/>
    <x v="28"/>
    <n v="409"/>
    <n v="15234975.999999991"/>
    <n v="0"/>
    <m/>
    <n v="0"/>
    <m/>
    <n v="0"/>
    <m/>
    <n v="1159"/>
    <m/>
    <n v="0"/>
    <n v="17835892.999999981"/>
    <n v="727"/>
    <n v="727"/>
    <m/>
    <n v="856"/>
    <m/>
    <n v="1082"/>
    <m/>
    <n v="1376"/>
    <n v="20017675.000000004"/>
    <n v="1425"/>
    <n v="424"/>
    <n v="409"/>
    <n v="1159"/>
    <n v="1425"/>
    <n v="409"/>
    <n v="2012"/>
    <n v="727"/>
    <n v="2018"/>
    <n v="1425"/>
    <n v="2022"/>
    <s v=""/>
    <n v="1425"/>
    <n v="1425"/>
    <s v="Increasing"/>
    <m/>
    <m/>
    <m/>
    <m/>
    <n v="0.26846120400846069"/>
    <n v="0.40760504674478637"/>
    <n v="0.71187088410617105"/>
    <n v="0.71187088410617105"/>
  </r>
  <r>
    <x v="45"/>
    <x v="45"/>
    <n v="14744668"/>
    <x v="29"/>
    <n v="814"/>
    <n v="15234975.999999991"/>
    <n v="0"/>
    <m/>
    <n v="0"/>
    <m/>
    <n v="0"/>
    <m/>
    <n v="0"/>
    <m/>
    <n v="0"/>
    <n v="17835892.999999981"/>
    <n v="1132"/>
    <n v="1284"/>
    <m/>
    <n v="1312"/>
    <m/>
    <n v="1544"/>
    <m/>
    <n v="1944"/>
    <n v="20017675.000000004"/>
    <n v="1800"/>
    <n v="1284"/>
    <n v="814"/>
    <n v="1312"/>
    <n v="1944"/>
    <n v="814"/>
    <n v="2012"/>
    <n v="1284"/>
    <s v="2018 (triag)"/>
    <n v="1800"/>
    <n v="2022"/>
    <s v=""/>
    <n v="1800"/>
    <n v="1800"/>
    <s v="Increasing"/>
    <m/>
    <m/>
    <m/>
    <m/>
    <n v="0.53429687056940589"/>
    <n v="0.71989667127965018"/>
    <n v="0.89920532729200553"/>
    <n v="0.89920532729200553"/>
  </r>
  <r>
    <x v="45"/>
    <x v="45"/>
    <n v="14744669"/>
    <x v="30"/>
    <n v="0"/>
    <n v="15234975.999999991"/>
    <n v="0"/>
    <m/>
    <n v="0"/>
    <m/>
    <n v="0"/>
    <m/>
    <n v="312"/>
    <m/>
    <n v="0"/>
    <n v="17835892.999999981"/>
    <n v="160"/>
    <n v="160"/>
    <m/>
    <n v="180"/>
    <m/>
    <n v="205"/>
    <m/>
    <n v="269"/>
    <n v="20017675.000000004"/>
    <n v="306"/>
    <n v="43"/>
    <n v="0"/>
    <n v="312"/>
    <n v="306"/>
    <m/>
    <s v=""/>
    <n v="160"/>
    <n v="2018"/>
    <n v="306"/>
    <n v="2022"/>
    <s v=""/>
    <n v="306"/>
    <n v="306"/>
    <s v="Increasing"/>
    <m/>
    <m/>
    <m/>
    <m/>
    <n v="0"/>
    <n v="8.9706750315221198E-2"/>
    <n v="0.15286490563964095"/>
    <n v="0.15286490563964095"/>
  </r>
  <r>
    <x v="45"/>
    <x v="45"/>
    <n v="14744670"/>
    <x v="31"/>
    <n v="282"/>
    <n v="15234975.999999991"/>
    <n v="0"/>
    <m/>
    <n v="0"/>
    <m/>
    <n v="0"/>
    <m/>
    <n v="0"/>
    <m/>
    <n v="0"/>
    <n v="17835892.999999981"/>
    <n v="353"/>
    <n v="412"/>
    <m/>
    <n v="390"/>
    <m/>
    <n v="453"/>
    <m/>
    <n v="499"/>
    <n v="20017675.000000004"/>
    <n v="743"/>
    <n v="412"/>
    <n v="282"/>
    <n v="390"/>
    <n v="743"/>
    <n v="282"/>
    <n v="2012"/>
    <n v="412"/>
    <s v="2018 (triag)"/>
    <n v="743"/>
    <n v="2022"/>
    <s v=""/>
    <n v="743"/>
    <n v="743"/>
    <s v="Increasing"/>
    <m/>
    <m/>
    <m/>
    <m/>
    <n v="0.18510039004984333"/>
    <n v="0.23099488206169461"/>
    <n v="0.37117197676553337"/>
    <n v="0.37117197676553337"/>
  </r>
  <r>
    <x v="45"/>
    <x v="45"/>
    <n v="14744671"/>
    <x v="32"/>
    <n v="0"/>
    <n v="15234975.999999991"/>
    <n v="0"/>
    <m/>
    <n v="0"/>
    <m/>
    <n v="0"/>
    <m/>
    <n v="0"/>
    <m/>
    <n v="0"/>
    <n v="17835892.999999981"/>
    <n v="0"/>
    <n v="0"/>
    <m/>
    <n v="0"/>
    <m/>
    <n v="0"/>
    <m/>
    <n v="0"/>
    <n v="20017675.000000004"/>
    <n v="4"/>
    <n v="0"/>
    <n v="0"/>
    <n v="0"/>
    <n v="4"/>
    <m/>
    <s v=""/>
    <m/>
    <s v=""/>
    <n v="4"/>
    <n v="2022"/>
    <s v=""/>
    <n v="4"/>
    <n v="4"/>
    <s v="Increasing"/>
    <m/>
    <m/>
    <m/>
    <m/>
    <n v="0"/>
    <n v="0"/>
    <n v="1.998234060648901E-3"/>
    <n v="1.998234060648901E-3"/>
  </r>
  <r>
    <x v="46"/>
    <x v="46"/>
    <n v="13265331.000000002"/>
    <x v="19"/>
    <n v="1059"/>
    <n v="13555421.500000011"/>
    <n v="1114"/>
    <n v="13855753.000000004"/>
    <n v="1685"/>
    <n v="14154937"/>
    <n v="2508"/>
    <n v="14452704.499999994"/>
    <n v="2508"/>
    <n v="14751100.999999998"/>
    <n v="2646"/>
    <n v="15052184.000000007"/>
    <n v="3026"/>
    <n v="3026"/>
    <n v="15354607.5"/>
    <n v="0"/>
    <n v="15669665.999999998"/>
    <n v="2957"/>
    <n v="15993524.000000002"/>
    <n v="0"/>
    <n v="16320536.999999996"/>
    <n v="2708"/>
    <n v="1959"/>
    <n v="2508"/>
    <n v="3026"/>
    <n v="2957"/>
    <n v="1114"/>
    <n v="2013"/>
    <n v="3026"/>
    <n v="2018"/>
    <n v="2708"/>
    <n v="2022"/>
    <s v="Adjust"/>
    <n v="3131.5983655333839"/>
    <n v="3131.5983655333839"/>
    <s v="Increasing"/>
    <m/>
    <m/>
    <m/>
    <m/>
    <n v="0.82181140586443524"/>
    <n v="2.010339496248517"/>
    <n v="1.9188084102461731"/>
    <n v="1.9188084102461731"/>
  </r>
  <r>
    <x v="46"/>
    <x v="46"/>
    <n v="13265332"/>
    <x v="20"/>
    <n v="0"/>
    <n v="13555421.500000011"/>
    <n v="0"/>
    <m/>
    <n v="1458"/>
    <m/>
    <n v="1754"/>
    <m/>
    <n v="1754"/>
    <m/>
    <n v="1754"/>
    <n v="15052184.000000007"/>
    <n v="1863"/>
    <n v="1863"/>
    <m/>
    <n v="0"/>
    <m/>
    <n v="0"/>
    <m/>
    <n v="0"/>
    <n v="16320536.999999996"/>
    <n v="2032"/>
    <n v="1715"/>
    <n v="1754"/>
    <n v="1863"/>
    <n v="2032"/>
    <n v="1458"/>
    <n v="2014"/>
    <n v="1863"/>
    <n v="2018"/>
    <n v="2032"/>
    <n v="2022"/>
    <s v=""/>
    <n v="2032"/>
    <n v="2032"/>
    <s v="Increasing"/>
    <m/>
    <m/>
    <m/>
    <m/>
    <n v="1.0755844073162895"/>
    <n v="1.2376941445839349"/>
    <n v="1.2450570713451405"/>
    <n v="1.2450570713451405"/>
  </r>
  <r>
    <x v="46"/>
    <x v="46"/>
    <n v="13265333"/>
    <x v="21"/>
    <n v="0"/>
    <n v="13555421.500000011"/>
    <n v="0"/>
    <m/>
    <n v="227"/>
    <m/>
    <n v="446"/>
    <m/>
    <n v="446"/>
    <m/>
    <n v="446"/>
    <n v="15052184.000000007"/>
    <n v="619"/>
    <n v="619"/>
    <m/>
    <n v="0"/>
    <m/>
    <n v="0"/>
    <m/>
    <n v="0"/>
    <n v="16320536.999999996"/>
    <n v="676"/>
    <n v="244"/>
    <n v="446"/>
    <n v="619"/>
    <n v="676"/>
    <n v="227"/>
    <n v="2014"/>
    <n v="619"/>
    <n v="2018"/>
    <n v="676"/>
    <n v="2022"/>
    <s v=""/>
    <n v="676"/>
    <n v="676"/>
    <s v="Increasing"/>
    <m/>
    <m/>
    <m/>
    <m/>
    <n v="0.16746067246968294"/>
    <n v="0.41123600402439919"/>
    <n v="0.41420205719946601"/>
    <n v="0.41420205719946601"/>
  </r>
  <r>
    <x v="46"/>
    <x v="46"/>
    <n v="13265334"/>
    <x v="22"/>
    <n v="15536"/>
    <n v="13555421.500000011"/>
    <n v="18722"/>
    <m/>
    <n v="20885"/>
    <m/>
    <n v="19099"/>
    <m/>
    <n v="19642"/>
    <m/>
    <n v="28170"/>
    <n v="15052184.000000007"/>
    <n v="27874"/>
    <n v="27874"/>
    <m/>
    <n v="0"/>
    <m/>
    <n v="22499"/>
    <m/>
    <n v="0"/>
    <n v="16320536.999999996"/>
    <n v="46537"/>
    <n v="25835"/>
    <n v="20885"/>
    <n v="28170"/>
    <n v="46537"/>
    <n v="18722"/>
    <n v="2013"/>
    <n v="27874"/>
    <n v="2018"/>
    <n v="46537"/>
    <n v="2022"/>
    <s v=""/>
    <n v="46537"/>
    <n v="46537"/>
    <s v="Increasing"/>
    <m/>
    <m/>
    <m/>
    <m/>
    <n v="13.811448061574467"/>
    <n v="18.518242934048633"/>
    <n v="28.514380378537798"/>
    <n v="28.514380378537798"/>
  </r>
  <r>
    <x v="46"/>
    <x v="46"/>
    <n v="13265335"/>
    <x v="23"/>
    <n v="0"/>
    <n v="13555421.500000011"/>
    <n v="0"/>
    <m/>
    <n v="18315"/>
    <m/>
    <n v="16781"/>
    <m/>
    <n v="17054"/>
    <m/>
    <n v="18810"/>
    <n v="15052184.000000007"/>
    <n v="14822"/>
    <n v="19171"/>
    <m/>
    <n v="0"/>
    <m/>
    <n v="0"/>
    <m/>
    <n v="0"/>
    <n v="16320536.999999996"/>
    <n v="32182"/>
    <n v="19171"/>
    <n v="18315"/>
    <n v="18810"/>
    <n v="32182"/>
    <n v="18315"/>
    <n v="2014"/>
    <n v="19171"/>
    <s v="2018 (triag)"/>
    <n v="32182"/>
    <n v="2022"/>
    <s v=""/>
    <n v="32182"/>
    <n v="32182"/>
    <s v="Increasing"/>
    <m/>
    <m/>
    <m/>
    <m/>
    <n v="13.511199190670673"/>
    <n v="12.736357727224163"/>
    <n v="19.718713912416"/>
    <n v="19.718713912416"/>
  </r>
  <r>
    <x v="46"/>
    <x v="46"/>
    <n v="13265336"/>
    <x v="24"/>
    <n v="0"/>
    <n v="13555421.500000011"/>
    <n v="0"/>
    <m/>
    <n v="2570"/>
    <m/>
    <n v="2318"/>
    <m/>
    <n v="2588"/>
    <m/>
    <n v="9360"/>
    <n v="15052184.000000007"/>
    <n v="13052"/>
    <n v="13052"/>
    <m/>
    <n v="0"/>
    <m/>
    <n v="0"/>
    <m/>
    <n v="0"/>
    <n v="16320536.999999996"/>
    <n v="0"/>
    <n v="6664"/>
    <n v="2570"/>
    <n v="13052"/>
    <n v="0"/>
    <n v="2570"/>
    <n v="2014"/>
    <n v="13052"/>
    <n v="2018"/>
    <n v="13052"/>
    <n v="2018"/>
    <s v=""/>
    <n v="13052"/>
    <n v="13052"/>
    <s v="No change"/>
    <m/>
    <m/>
    <m/>
    <m/>
    <n v="1.8959203887536791"/>
    <n v="8.6711669216905616"/>
    <n v="7.9972858736204593"/>
    <n v="7.9972858736204593"/>
  </r>
  <r>
    <x v="46"/>
    <x v="46"/>
    <n v="13265337"/>
    <x v="25"/>
    <n v="0"/>
    <n v="13555421.500000011"/>
    <n v="0"/>
    <m/>
    <n v="0"/>
    <m/>
    <n v="0"/>
    <m/>
    <n v="0"/>
    <m/>
    <n v="8806"/>
    <n v="15052184.000000007"/>
    <n v="0"/>
    <n v="854"/>
    <m/>
    <n v="0"/>
    <m/>
    <n v="9293"/>
    <m/>
    <n v="0"/>
    <n v="16320536.999999996"/>
    <n v="9601"/>
    <n v="854"/>
    <n v="0"/>
    <n v="8806"/>
    <n v="9601"/>
    <m/>
    <s v=""/>
    <n v="854"/>
    <s v="2018 (triag)"/>
    <n v="9601"/>
    <n v="2022"/>
    <s v=""/>
    <n v="9601"/>
    <n v="9601"/>
    <s v="Increasing"/>
    <m/>
    <m/>
    <m/>
    <m/>
    <n v="0"/>
    <n v="0.56735952736161055"/>
    <n v="5.8827721171184519"/>
    <n v="5.8827721171184519"/>
  </r>
  <r>
    <x v="46"/>
    <x v="46"/>
    <n v="13265338"/>
    <x v="26"/>
    <n v="0"/>
    <n v="13555421.500000011"/>
    <n v="0"/>
    <m/>
    <n v="0"/>
    <m/>
    <n v="0"/>
    <m/>
    <n v="0"/>
    <m/>
    <n v="0"/>
    <n v="15052184.000000007"/>
    <n v="0"/>
    <n v="845"/>
    <m/>
    <n v="0"/>
    <m/>
    <n v="0"/>
    <m/>
    <n v="0"/>
    <n v="16320536.999999996"/>
    <n v="2796"/>
    <n v="845"/>
    <n v="0"/>
    <n v="0"/>
    <n v="2796"/>
    <m/>
    <s v=""/>
    <n v="845"/>
    <s v="2018 (triag)"/>
    <n v="2796"/>
    <n v="2022"/>
    <s v=""/>
    <n v="2796"/>
    <n v="2796"/>
    <s v="Increasing"/>
    <m/>
    <m/>
    <m/>
    <m/>
    <n v="0"/>
    <n v="0.56138032859550457"/>
    <n v="1.7131789229729393"/>
    <n v="1.7131789229729393"/>
  </r>
  <r>
    <x v="46"/>
    <x v="46"/>
    <n v="13265339"/>
    <x v="27"/>
    <n v="0"/>
    <n v="13555421.500000011"/>
    <n v="0"/>
    <m/>
    <n v="0"/>
    <m/>
    <n v="0"/>
    <m/>
    <n v="0"/>
    <m/>
    <n v="0"/>
    <n v="15052184.000000007"/>
    <n v="0"/>
    <n v="9"/>
    <m/>
    <n v="0"/>
    <m/>
    <n v="0"/>
    <m/>
    <n v="0"/>
    <n v="16320536.999999996"/>
    <n v="0"/>
    <n v="9"/>
    <n v="0"/>
    <n v="0"/>
    <n v="0"/>
    <m/>
    <s v=""/>
    <n v="9"/>
    <s v="2018 (triag)"/>
    <n v="9"/>
    <s v="2018 (triag)"/>
    <s v=""/>
    <n v="9"/>
    <n v="9"/>
    <s v="No change"/>
    <m/>
    <m/>
    <m/>
    <m/>
    <n v="0"/>
    <n v="5.9791987661059658E-3"/>
    <n v="5.5145244301704052E-3"/>
    <n v="5.5145244301704052E-3"/>
  </r>
  <r>
    <x v="46"/>
    <x v="46"/>
    <n v="13265340"/>
    <x v="28"/>
    <n v="378"/>
    <n v="13555421.500000011"/>
    <n v="394"/>
    <m/>
    <n v="193"/>
    <m/>
    <n v="141"/>
    <m/>
    <n v="219"/>
    <m/>
    <n v="272"/>
    <n v="15052184.000000007"/>
    <n v="1397"/>
    <n v="1397"/>
    <m/>
    <n v="0"/>
    <m/>
    <n v="1600"/>
    <m/>
    <n v="0"/>
    <n v="16320536.999999996"/>
    <n v="1902"/>
    <n v="223"/>
    <n v="394"/>
    <n v="1397"/>
    <n v="1902"/>
    <n v="394"/>
    <n v="2013"/>
    <n v="1397"/>
    <n v="2018"/>
    <n v="1902"/>
    <n v="2022"/>
    <s v=""/>
    <n v="1902"/>
    <n v="1902"/>
    <s v="Increasing"/>
    <m/>
    <m/>
    <m/>
    <m/>
    <n v="0.29065861212799593"/>
    <n v="0.92810451958333706"/>
    <n v="1.1654028295760124"/>
    <n v="1.1654028295760124"/>
  </r>
  <r>
    <x v="46"/>
    <x v="46"/>
    <n v="13265341"/>
    <x v="29"/>
    <n v="0"/>
    <n v="13555421.500000011"/>
    <n v="0"/>
    <m/>
    <n v="511"/>
    <m/>
    <n v="443"/>
    <m/>
    <n v="540"/>
    <m/>
    <n v="726"/>
    <n v="15052184.000000007"/>
    <n v="1827"/>
    <n v="1827"/>
    <m/>
    <n v="0"/>
    <m/>
    <n v="0"/>
    <m/>
    <n v="0"/>
    <n v="16320536.999999996"/>
    <n v="588"/>
    <n v="553"/>
    <n v="511"/>
    <n v="1827"/>
    <n v="588"/>
    <n v="511"/>
    <n v="2014"/>
    <n v="1827"/>
    <n v="2018"/>
    <n v="588"/>
    <n v="2022"/>
    <s v="Adjust"/>
    <n v="679.97778394890315"/>
    <n v="1827"/>
    <s v="Decreasing"/>
    <m/>
    <m/>
    <m/>
    <m/>
    <n v="0.37697094111016732"/>
    <n v="1.213777349519511"/>
    <n v="0.41663934461770669"/>
    <n v="1.1194484593245924"/>
  </r>
  <r>
    <x v="46"/>
    <x v="46"/>
    <n v="13265342"/>
    <x v="30"/>
    <n v="233"/>
    <n v="13555421.500000011"/>
    <n v="236"/>
    <m/>
    <n v="107"/>
    <m/>
    <n v="66"/>
    <m/>
    <n v="136"/>
    <m/>
    <n v="109"/>
    <n v="15052184.000000007"/>
    <n v="104"/>
    <n v="142"/>
    <m/>
    <n v="248"/>
    <m/>
    <n v="234"/>
    <m/>
    <n v="0"/>
    <n v="16320536.999999996"/>
    <n v="201"/>
    <n v="142"/>
    <n v="236"/>
    <n v="248"/>
    <n v="234"/>
    <n v="236"/>
    <n v="2013"/>
    <n v="142"/>
    <s v="2018 (triag)"/>
    <n v="201"/>
    <n v="2022"/>
    <s v=""/>
    <n v="201"/>
    <n v="201"/>
    <s v="Increasing"/>
    <m/>
    <m/>
    <m/>
    <m/>
    <n v="0.17410008239138841"/>
    <n v="9.4338469420783014E-2"/>
    <n v="0.12315771227380573"/>
    <n v="0.12315771227380573"/>
  </r>
  <r>
    <x v="46"/>
    <x v="46"/>
    <n v="13265343"/>
    <x v="31"/>
    <n v="0"/>
    <n v="13555421.500000011"/>
    <n v="0"/>
    <m/>
    <n v="171"/>
    <m/>
    <n v="261"/>
    <m/>
    <n v="157"/>
    <m/>
    <n v="276"/>
    <n v="15052184.000000007"/>
    <n v="508"/>
    <n v="508"/>
    <m/>
    <n v="329"/>
    <m/>
    <n v="0"/>
    <m/>
    <n v="0"/>
    <n v="16320536.999999996"/>
    <n v="178"/>
    <n v="205"/>
    <n v="261"/>
    <n v="508"/>
    <n v="178"/>
    <n v="171"/>
    <n v="2014"/>
    <n v="508"/>
    <n v="2018"/>
    <n v="178"/>
    <n v="2022"/>
    <s v="Adjust"/>
    <n v="205.84361486888565"/>
    <n v="508"/>
    <s v="Decreasing"/>
    <m/>
    <m/>
    <m/>
    <m/>
    <n v="0.12614878851240433"/>
    <n v="0.33749255257575894"/>
    <n v="0.12612551588767312"/>
    <n v="0.31126426783628514"/>
  </r>
  <r>
    <x v="46"/>
    <x v="46"/>
    <n v="13265344"/>
    <x v="32"/>
    <n v="0"/>
    <n v="13555421.500000011"/>
    <n v="0"/>
    <m/>
    <n v="0"/>
    <m/>
    <n v="0"/>
    <m/>
    <n v="0"/>
    <m/>
    <n v="0"/>
    <n v="15052184.000000007"/>
    <n v="0"/>
    <n v="0"/>
    <m/>
    <n v="0"/>
    <m/>
    <n v="0"/>
    <m/>
    <n v="0"/>
    <n v="16320536.999999996"/>
    <n v="39"/>
    <n v="0"/>
    <n v="0"/>
    <n v="0"/>
    <n v="39"/>
    <m/>
    <s v=""/>
    <m/>
    <s v=""/>
    <n v="39"/>
    <n v="2022"/>
    <s v=""/>
    <n v="39"/>
    <n v="39"/>
    <s v="Increasing"/>
    <m/>
    <m/>
    <m/>
    <m/>
    <n v="0"/>
    <n v="0"/>
    <n v="2.3896272530738425E-2"/>
    <n v="2.389627253073842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7D55F4-6885-4D3F-B077-4200C633429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L51" firstHeaderRow="0" firstDataRow="1" firstDataCol="1"/>
  <pivotFields count="37">
    <pivotField showAll="0"/>
    <pivotField axis="axisRow" showAll="0">
      <items count="48">
        <item x="1"/>
        <item x="5"/>
        <item x="2"/>
        <item x="4"/>
        <item x="3"/>
        <item x="8"/>
        <item x="12"/>
        <item x="6"/>
        <item x="13"/>
        <item x="11"/>
        <item x="10"/>
        <item x="7"/>
        <item x="0"/>
        <item x="15"/>
        <item x="17"/>
        <item x="18"/>
        <item x="20"/>
        <item x="21"/>
        <item x="19"/>
        <item x="22"/>
        <item x="14"/>
        <item x="23"/>
        <item x="25"/>
        <item x="24"/>
        <item x="26"/>
        <item x="28"/>
        <item x="31"/>
        <item x="29"/>
        <item x="30"/>
        <item x="27"/>
        <item x="32"/>
        <item x="33"/>
        <item x="34"/>
        <item x="35"/>
        <item x="37"/>
        <item x="39"/>
        <item x="41"/>
        <item x="36"/>
        <item x="16"/>
        <item x="38"/>
        <item x="9"/>
        <item x="43"/>
        <item x="42"/>
        <item x="44"/>
        <item x="40"/>
        <item x="45"/>
        <item x="46"/>
        <item t="default"/>
      </items>
    </pivotField>
    <pivotField dataField="1"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11">
    <i>
      <x/>
    </i>
    <i i="1">
      <x v="1"/>
    </i>
    <i i="2">
      <x v="2"/>
    </i>
    <i i="3">
      <x v="3"/>
    </i>
    <i i="4">
      <x v="4"/>
    </i>
    <i i="5">
      <x v="5"/>
    </i>
    <i i="6">
      <x v="6"/>
    </i>
    <i i="7">
      <x v="7"/>
    </i>
    <i i="8">
      <x v="8"/>
    </i>
    <i i="9">
      <x v="9"/>
    </i>
    <i i="10">
      <x v="10"/>
    </i>
  </colItems>
  <dataFields count="11">
    <dataField name="Sum of Generalist medical practitioners" fld="7" baseField="0" baseItem="0"/>
    <dataField name="Sum of Specialist medical practitioners" fld="30" baseField="0" baseItem="0"/>
    <dataField name="Sum of Nursing professionals" fld="19" baseField="0" baseItem="0"/>
    <dataField name="Sum of Nursing associate professionals" fld="18" baseField="0" baseItem="0"/>
    <dataField name="Sum of Midwifery professionals" fld="17" baseField="0" baseItem="0"/>
    <dataField name="Sum of Midwifery associate professionals" fld="16" baseField="0" baseItem="0"/>
    <dataField name="Sum of Pharmacists1" fld="26" baseField="0" baseItem="0"/>
    <dataField name="Sum of Pharmaceutical technicians and assistants" fld="25" baseField="0" baseItem="0"/>
    <dataField name="Sum of Dentists1" fld="4" baseField="0" baseItem="0"/>
    <dataField name="Sum of Dental assistants and therapists" fld="3" baseField="0" baseItem="0"/>
    <dataField name="Sum of Community health worker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710BE1-7A1B-4368-A95B-A4B1F44F3726}"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1" firstHeaderRow="0" firstDataRow="1" firstDataCol="1" rowPageCount="1" colPageCount="1"/>
  <pivotFields count="28">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axis="axisPage" showAll="0">
      <items count="25">
        <item x="22"/>
        <item x="5"/>
        <item x="4"/>
        <item x="6"/>
        <item x="7"/>
        <item x="9"/>
        <item x="10"/>
        <item x="11"/>
        <item x="18"/>
        <item x="12"/>
        <item x="0"/>
        <item x="13"/>
        <item x="14"/>
        <item x="2"/>
        <item x="1"/>
        <item x="15"/>
        <item x="16"/>
        <item x="17"/>
        <item x="19"/>
        <item x="8"/>
        <item x="3"/>
        <item x="20"/>
        <item x="21"/>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dataField="1" showAll="0"/>
    <pivotField showAll="0"/>
    <pivotField showAll="0"/>
    <pivotField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3">
    <i>
      <x/>
    </i>
    <i i="1">
      <x v="1"/>
    </i>
    <i i="2">
      <x v="2"/>
    </i>
  </colItems>
  <pageFields count="1">
    <pageField fld="2" item="14" hier="-1"/>
  </pageFields>
  <dataFields count="3">
    <dataField name="Sum of 2021" fld="21" baseField="0" baseItem="0"/>
    <dataField name="Sum of 2020" fld="19" baseField="0" baseItem="0"/>
    <dataField name="Sum of 2018 repor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D54077-EC18-4D68-A37D-FF1B8BDD1AE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2" firstHeaderRow="1" firstDataRow="2" firstDataCol="1"/>
  <pivotFields count="47">
    <pivotField axis="axisRow" showAll="0">
      <items count="49">
        <item h="1" m="1" x="47"/>
        <item x="12"/>
        <item x="0"/>
        <item x="2"/>
        <item x="4"/>
        <item x="3"/>
        <item x="1"/>
        <item x="7"/>
        <item x="11"/>
        <item x="5"/>
        <item x="40"/>
        <item x="10"/>
        <item x="9"/>
        <item x="6"/>
        <item x="8"/>
        <item x="20"/>
        <item x="13"/>
        <item x="38"/>
        <item x="14"/>
        <item x="15"/>
        <item x="18"/>
        <item x="16"/>
        <item x="17"/>
        <item x="19"/>
        <item x="21"/>
        <item x="23"/>
        <item x="22"/>
        <item x="24"/>
        <item x="29"/>
        <item x="25"/>
        <item x="27"/>
        <item x="28"/>
        <item x="26"/>
        <item x="30"/>
        <item x="31"/>
        <item x="32"/>
        <item x="33"/>
        <item x="37"/>
        <item x="34"/>
        <item x="39"/>
        <item x="35"/>
        <item x="44"/>
        <item x="36"/>
        <item x="42"/>
        <item x="41"/>
        <item x="43"/>
        <item x="45"/>
        <item x="46"/>
        <item t="default"/>
      </items>
    </pivotField>
    <pivotField showAll="0"/>
    <pivotField numFmtId="166" showAll="0"/>
    <pivotField showAll="0"/>
    <pivotField numFmtId="3" showAll="0"/>
    <pivotField numFmtId="3" showAll="0"/>
    <pivotField numFmtId="3" showAll="0"/>
    <pivotField showAll="0"/>
    <pivotField numFmtId="3" showAll="0"/>
    <pivotField showAll="0"/>
    <pivotField numFmtId="3" showAll="0"/>
    <pivotField showAll="0"/>
    <pivotField numFmtId="3" showAll="0"/>
    <pivotField showAll="0"/>
    <pivotField numFmtId="3" showAll="0"/>
    <pivotField numFmtId="3" showAll="0"/>
    <pivotField numFmtId="3" showAll="0"/>
    <pivotField numFmtId="3" showAll="0"/>
    <pivotField showAll="0"/>
    <pivotField numFmtId="3" showAll="0"/>
    <pivotField showAll="0"/>
    <pivotField numFmtId="3" showAll="0"/>
    <pivotField showAll="0"/>
    <pivotField showAll="0"/>
    <pivotField numFmtId="3" showAll="0"/>
    <pivotField numFmtId="3" showAll="0"/>
    <pivotField numFmtId="3"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numFmtId="166" showAll="0"/>
    <pivotField numFmtId="166" showAll="0"/>
    <pivotField showAll="0"/>
    <pivotField numFmtId="167" showAll="0"/>
    <pivotField numFmtId="167" showAll="0"/>
    <pivotField numFmtId="166" showAll="0"/>
    <pivotField numFmtId="166" showAll="0"/>
    <pivotField numFmtId="43" showAll="0"/>
    <pivotField numFmtId="43" showAll="0"/>
    <pivotField numFmtId="43" showAll="0"/>
  </pivotFields>
  <rowFields count="1">
    <field x="0"/>
  </rowFields>
  <rowItems count="48">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36"/>
  </colFields>
  <colItems count="3">
    <i>
      <x/>
    </i>
    <i>
      <x v="1"/>
    </i>
    <i t="grand">
      <x/>
    </i>
  </colItems>
  <dataFields count="1">
    <dataField name="Count of Need for adjustment" fld="3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0314E-F27D-431E-96DE-057E536C448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1" firstHeaderRow="0" firstDataRow="1" firstDataCol="1" rowPageCount="1" colPageCount="1"/>
  <pivotFields count="48">
    <pivotField axis="axisRow" showAll="0">
      <items count="48">
        <item x="12"/>
        <item x="0"/>
        <item x="2"/>
        <item x="4"/>
        <item x="3"/>
        <item x="1"/>
        <item x="7"/>
        <item x="11"/>
        <item x="5"/>
        <item x="40"/>
        <item x="10"/>
        <item x="9"/>
        <item x="6"/>
        <item x="8"/>
        <item x="20"/>
        <item x="13"/>
        <item x="38"/>
        <item x="14"/>
        <item x="15"/>
        <item x="18"/>
        <item x="16"/>
        <item x="17"/>
        <item x="19"/>
        <item x="21"/>
        <item x="23"/>
        <item x="22"/>
        <item x="24"/>
        <item x="29"/>
        <item x="25"/>
        <item x="27"/>
        <item x="28"/>
        <item x="26"/>
        <item x="30"/>
        <item x="31"/>
        <item x="32"/>
        <item x="33"/>
        <item x="37"/>
        <item x="34"/>
        <item x="39"/>
        <item x="35"/>
        <item x="44"/>
        <item x="36"/>
        <item x="42"/>
        <item x="41"/>
        <item x="43"/>
        <item x="45"/>
        <item x="46"/>
        <item t="default"/>
      </items>
    </pivotField>
    <pivotField showAll="0"/>
    <pivotField showAll="0"/>
    <pivotField axis="axisPage" multipleItemSelectionAllowed="1" showAll="0">
      <items count="34">
        <item h="1" x="31"/>
        <item h="1" x="30"/>
        <item h="1" x="20"/>
        <item h="1" x="19"/>
        <item h="1" x="27"/>
        <item h="1" x="25"/>
        <item h="1" x="26"/>
        <item h="1" x="24"/>
        <item h="1" x="22"/>
        <item h="1" x="23"/>
        <item h="1" x="29"/>
        <item h="1" x="28"/>
        <item x="32"/>
        <item h="1" x="21"/>
        <item x="17"/>
        <item x="0"/>
        <item x="1"/>
        <item x="2"/>
        <item x="4"/>
        <item x="5"/>
        <item x="6"/>
        <item x="13"/>
        <item x="7"/>
        <item x="8"/>
        <item x="9"/>
        <item x="10"/>
        <item x="11"/>
        <item x="12"/>
        <item x="14"/>
        <item x="3"/>
        <item x="15"/>
        <item x="16"/>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dataField="1" numFmtId="166" showAll="0"/>
    <pivotField dataField="1" numFmtId="166" showAll="0"/>
    <pivotField showAll="0"/>
    <pivotField showAll="0"/>
    <pivotField showAll="0"/>
    <pivotField showAll="0"/>
    <pivotField showAll="0"/>
    <pivotField numFmtId="43" showAll="0"/>
    <pivotField numFmtId="43" showAll="0"/>
    <pivotField numFmtId="43" showAll="0"/>
    <pivotField numFmtId="43"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4">
    <i>
      <x/>
    </i>
    <i i="1">
      <x v="1"/>
    </i>
    <i i="2">
      <x v="2"/>
    </i>
    <i i="3">
      <x v="3"/>
    </i>
  </colItems>
  <pageFields count="1">
    <pageField fld="3" hier="-1"/>
  </pageFields>
  <dataFields count="4">
    <dataField name="Sum of 2013 or latest" fld="30" baseField="0" baseItem="0"/>
    <dataField name="Sum of 2018 or latest" fld="32" baseField="0" baseItem="0"/>
    <dataField name="Sum of Adjusted 2022" fld="37" baseField="0" baseItem="0"/>
    <dataField name="Sum of Adjustment for underrepoting 2022" fld="38" baseField="0" baseItem="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5E2C4-91BC-45EC-801C-EE1499C3946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51" firstHeaderRow="0" firstDataRow="1" firstDataCol="1" rowPageCount="1" colPageCount="1"/>
  <pivotFields count="48">
    <pivotField showAll="0"/>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axis="axisPage" multipleItemSelectionAllowed="1" showAll="0">
      <items count="34">
        <item h="1" x="31"/>
        <item h="1" x="30"/>
        <item h="1" x="20"/>
        <item x="19"/>
        <item h="1" x="27"/>
        <item x="25"/>
        <item h="1" x="26"/>
        <item h="1" x="24"/>
        <item x="22"/>
        <item h="1" x="23"/>
        <item h="1" x="29"/>
        <item h="1" x="28"/>
        <item h="1" x="32"/>
        <item h="1" x="21"/>
        <item h="1" x="17"/>
        <item h="1" x="0"/>
        <item h="1" x="1"/>
        <item h="1" x="2"/>
        <item h="1" x="4"/>
        <item h="1" x="5"/>
        <item h="1" x="6"/>
        <item h="1" x="13"/>
        <item h="1" x="7"/>
        <item h="1" x="8"/>
        <item h="1" x="9"/>
        <item h="1" x="10"/>
        <item h="1" x="11"/>
        <item h="1" x="12"/>
        <item h="1" x="14"/>
        <item h="1" x="3"/>
        <item h="1" x="15"/>
        <item h="1" x="16"/>
        <item h="1"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dataField="1" numFmtId="166" showAll="0"/>
    <pivotField numFmtId="166" showAll="0"/>
    <pivotField showAll="0"/>
    <pivotField showAll="0"/>
    <pivotField showAll="0"/>
    <pivotField showAll="0"/>
    <pivotField showAll="0"/>
    <pivotField dataField="1" numFmtId="43" showAll="0"/>
    <pivotField dataField="1" numFmtId="43" showAll="0"/>
    <pivotField dataField="1" numFmtId="43" showAll="0"/>
    <pivotField numFmtId="43" showAll="0"/>
  </pivotFields>
  <rowFields count="1">
    <field x="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6">
    <i>
      <x/>
    </i>
    <i i="1">
      <x v="1"/>
    </i>
    <i i="2">
      <x v="2"/>
    </i>
    <i i="3">
      <x v="3"/>
    </i>
    <i i="4">
      <x v="4"/>
    </i>
    <i i="5">
      <x v="5"/>
    </i>
  </colItems>
  <pageFields count="1">
    <pageField fld="3" hier="-1"/>
  </pageFields>
  <dataFields count="6">
    <dataField name="Sum of 2013 or latest" fld="30" baseField="0" baseItem="0"/>
    <dataField name="Sum of 2018 or latest" fld="32" baseField="0" baseItem="0"/>
    <dataField name="Sum of Adjusted 2022" fld="37" baseField="0" baseItem="0"/>
    <dataField name="Sum of Density per 10,000 (2013)" fld="44" baseField="0" baseItem="0"/>
    <dataField name="Sum of Density per 10,000 (2018)" fld="45" baseField="0" baseItem="0"/>
    <dataField name="Sum of Density per 10,000 (2022)" fld="46" baseField="0" baseItem="0" numFmtId="43"/>
  </dataFields>
  <formats count="2">
    <format dxfId="43">
      <pivotArea outline="0" collapsedLevelsAreSubtotals="1" fieldPosition="0"/>
    </format>
    <format dxfId="42">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97FC02-88A0-450A-9679-4314157267A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1" firstHeaderRow="1" firstDataRow="1" firstDataCol="1" rowPageCount="1" colPageCount="1"/>
  <pivotFields count="49">
    <pivotField showAll="0"/>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showAll="0"/>
    <pivotField axis="axisRow" dataField="1" showAll="0">
      <items count="34">
        <item x="31"/>
        <item x="30"/>
        <item x="20"/>
        <item x="19"/>
        <item x="27"/>
        <item x="25"/>
        <item x="26"/>
        <item x="24"/>
        <item x="22"/>
        <item x="23"/>
        <item x="29"/>
        <item x="28"/>
        <item x="32"/>
        <item x="21"/>
        <item x="17"/>
        <item x="0"/>
        <item x="1"/>
        <item x="2"/>
        <item x="4"/>
        <item x="5"/>
        <item x="6"/>
        <item x="13"/>
        <item x="7"/>
        <item x="8"/>
        <item x="9"/>
        <item x="10"/>
        <item x="11"/>
        <item x="12"/>
        <item x="14"/>
        <item x="3"/>
        <item x="15"/>
        <item x="16"/>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43" showAll="0"/>
    <pivotField numFmtId="43" showAll="0"/>
    <pivotField numFmtId="43" showAll="0"/>
    <pivotField numFmtId="43" showAll="0"/>
    <pivotField axis="axisPage" showAll="0">
      <items count="3">
        <item x="1"/>
        <item x="0"/>
        <item t="default"/>
      </items>
    </pivotField>
  </pivotFields>
  <rowFields count="2">
    <field x="3"/>
    <field x="1"/>
  </rowFields>
  <rowItems count="248">
    <i>
      <x/>
    </i>
    <i r="1">
      <x v="2"/>
    </i>
    <i r="1">
      <x v="19"/>
    </i>
    <i r="1">
      <x v="23"/>
    </i>
    <i r="1">
      <x v="24"/>
    </i>
    <i r="1">
      <x v="32"/>
    </i>
    <i r="1">
      <x v="35"/>
    </i>
    <i r="1">
      <x v="41"/>
    </i>
    <i r="1">
      <x v="46"/>
    </i>
    <i>
      <x v="1"/>
    </i>
    <i r="1">
      <x/>
    </i>
    <i r="1">
      <x v="3"/>
    </i>
    <i r="1">
      <x v="5"/>
    </i>
    <i r="1">
      <x v="9"/>
    </i>
    <i r="1">
      <x v="11"/>
    </i>
    <i r="1">
      <x v="12"/>
    </i>
    <i r="1">
      <x v="13"/>
    </i>
    <i r="1">
      <x v="16"/>
    </i>
    <i r="1">
      <x v="17"/>
    </i>
    <i r="1">
      <x v="22"/>
    </i>
    <i r="1">
      <x v="23"/>
    </i>
    <i r="1">
      <x v="24"/>
    </i>
    <i r="1">
      <x v="38"/>
    </i>
    <i r="1">
      <x v="44"/>
    </i>
    <i>
      <x v="2"/>
    </i>
    <i r="1">
      <x v="5"/>
    </i>
    <i r="1">
      <x v="23"/>
    </i>
    <i r="1">
      <x v="29"/>
    </i>
    <i r="1">
      <x v="31"/>
    </i>
    <i r="1">
      <x v="43"/>
    </i>
    <i>
      <x v="3"/>
    </i>
    <i r="1">
      <x v="5"/>
    </i>
    <i r="1">
      <x v="8"/>
    </i>
    <i r="1">
      <x v="12"/>
    </i>
    <i r="1">
      <x v="17"/>
    </i>
    <i r="1">
      <x v="23"/>
    </i>
    <i r="1">
      <x v="29"/>
    </i>
    <i r="1">
      <x v="31"/>
    </i>
    <i r="1">
      <x v="43"/>
    </i>
    <i>
      <x v="4"/>
    </i>
    <i r="1">
      <x/>
    </i>
    <i r="1">
      <x v="15"/>
    </i>
    <i r="1">
      <x v="34"/>
    </i>
    <i>
      <x v="5"/>
    </i>
    <i r="1">
      <x/>
    </i>
    <i r="1">
      <x v="20"/>
    </i>
    <i r="1">
      <x v="25"/>
    </i>
    <i r="1">
      <x v="37"/>
    </i>
    <i>
      <x v="6"/>
    </i>
    <i r="1">
      <x/>
    </i>
    <i r="1">
      <x v="5"/>
    </i>
    <i r="1">
      <x v="18"/>
    </i>
    <i r="1">
      <x v="19"/>
    </i>
    <i r="1">
      <x v="20"/>
    </i>
    <i r="1">
      <x v="25"/>
    </i>
    <i r="1">
      <x v="26"/>
    </i>
    <i r="1">
      <x v="36"/>
    </i>
    <i>
      <x v="7"/>
    </i>
    <i r="1">
      <x v="3"/>
    </i>
    <i r="1">
      <x v="5"/>
    </i>
    <i r="1">
      <x v="11"/>
    </i>
    <i r="1">
      <x v="18"/>
    </i>
    <i r="1">
      <x v="22"/>
    </i>
    <i r="1">
      <x v="30"/>
    </i>
    <i r="1">
      <x v="43"/>
    </i>
    <i>
      <x v="8"/>
    </i>
    <i r="1">
      <x v="5"/>
    </i>
    <i r="1">
      <x v="12"/>
    </i>
    <i r="1">
      <x v="22"/>
    </i>
    <i r="1">
      <x v="23"/>
    </i>
    <i>
      <x v="9"/>
    </i>
    <i r="1">
      <x v="12"/>
    </i>
    <i r="1">
      <x v="22"/>
    </i>
    <i r="1">
      <x v="26"/>
    </i>
    <i r="1">
      <x v="27"/>
    </i>
    <i r="1">
      <x v="36"/>
    </i>
    <i r="1">
      <x v="39"/>
    </i>
    <i>
      <x v="10"/>
    </i>
    <i r="1">
      <x/>
    </i>
    <i r="1">
      <x v="11"/>
    </i>
    <i r="1">
      <x v="22"/>
    </i>
    <i r="1">
      <x v="32"/>
    </i>
    <i r="1">
      <x v="38"/>
    </i>
    <i r="1">
      <x v="46"/>
    </i>
    <i>
      <x v="11"/>
    </i>
    <i r="1">
      <x/>
    </i>
    <i r="1">
      <x v="5"/>
    </i>
    <i r="1">
      <x v="6"/>
    </i>
    <i r="1">
      <x v="8"/>
    </i>
    <i r="1">
      <x v="9"/>
    </i>
    <i r="1">
      <x v="11"/>
    </i>
    <i r="1">
      <x v="12"/>
    </i>
    <i r="1">
      <x v="13"/>
    </i>
    <i r="1">
      <x v="18"/>
    </i>
    <i r="1">
      <x v="19"/>
    </i>
    <i r="1">
      <x v="23"/>
    </i>
    <i r="1">
      <x v="24"/>
    </i>
    <i r="1">
      <x v="28"/>
    </i>
    <i r="1">
      <x v="29"/>
    </i>
    <i r="1">
      <x v="36"/>
    </i>
    <i r="1">
      <x v="38"/>
    </i>
    <i r="1">
      <x v="39"/>
    </i>
    <i>
      <x v="12"/>
    </i>
    <i r="1">
      <x v="1"/>
    </i>
    <i r="1">
      <x v="44"/>
    </i>
    <i>
      <x v="13"/>
    </i>
    <i r="1">
      <x v="1"/>
    </i>
    <i r="1">
      <x v="5"/>
    </i>
    <i r="1">
      <x v="6"/>
    </i>
    <i r="1">
      <x v="11"/>
    </i>
    <i r="1">
      <x v="12"/>
    </i>
    <i r="1">
      <x v="13"/>
    </i>
    <i r="1">
      <x v="19"/>
    </i>
    <i r="1">
      <x v="23"/>
    </i>
    <i r="1">
      <x v="28"/>
    </i>
    <i r="1">
      <x v="30"/>
    </i>
    <i r="1">
      <x v="32"/>
    </i>
    <i r="1">
      <x v="35"/>
    </i>
    <i r="1">
      <x v="38"/>
    </i>
    <i>
      <x v="14"/>
    </i>
    <i r="1">
      <x v="15"/>
    </i>
    <i r="1">
      <x v="34"/>
    </i>
    <i r="1">
      <x v="44"/>
    </i>
    <i>
      <x v="15"/>
    </i>
    <i r="1">
      <x/>
    </i>
    <i>
      <x v="16"/>
    </i>
    <i r="1">
      <x v="6"/>
    </i>
    <i r="1">
      <x v="8"/>
    </i>
    <i r="1">
      <x v="11"/>
    </i>
    <i r="1">
      <x v="12"/>
    </i>
    <i r="1">
      <x v="28"/>
    </i>
    <i r="1">
      <x v="29"/>
    </i>
    <i r="1">
      <x v="38"/>
    </i>
    <i r="1">
      <x v="42"/>
    </i>
    <i>
      <x v="17"/>
    </i>
    <i r="1">
      <x/>
    </i>
    <i r="1">
      <x v="1"/>
    </i>
    <i r="1">
      <x v="3"/>
    </i>
    <i r="1">
      <x v="5"/>
    </i>
    <i r="1">
      <x v="7"/>
    </i>
    <i r="1">
      <x v="11"/>
    </i>
    <i r="1">
      <x v="12"/>
    </i>
    <i r="1">
      <x v="21"/>
    </i>
    <i r="1">
      <x v="37"/>
    </i>
    <i r="1">
      <x v="38"/>
    </i>
    <i r="1">
      <x v="42"/>
    </i>
    <i>
      <x v="18"/>
    </i>
    <i r="1">
      <x v="23"/>
    </i>
    <i r="1">
      <x v="30"/>
    </i>
    <i r="1">
      <x v="40"/>
    </i>
    <i>
      <x v="19"/>
    </i>
    <i r="1">
      <x v="15"/>
    </i>
    <i r="1">
      <x v="19"/>
    </i>
    <i r="1">
      <x v="24"/>
    </i>
    <i r="1">
      <x v="26"/>
    </i>
    <i r="1">
      <x v="30"/>
    </i>
    <i r="1">
      <x v="31"/>
    </i>
    <i r="1">
      <x v="32"/>
    </i>
    <i r="1">
      <x v="34"/>
    </i>
    <i r="1">
      <x v="35"/>
    </i>
    <i r="1">
      <x v="41"/>
    </i>
    <i r="1">
      <x v="42"/>
    </i>
    <i r="1">
      <x v="44"/>
    </i>
    <i>
      <x v="20"/>
    </i>
    <i r="1">
      <x/>
    </i>
    <i r="1">
      <x v="13"/>
    </i>
    <i r="1">
      <x v="15"/>
    </i>
    <i r="1">
      <x v="18"/>
    </i>
    <i r="1">
      <x v="19"/>
    </i>
    <i r="1">
      <x v="26"/>
    </i>
    <i r="1">
      <x v="29"/>
    </i>
    <i r="1">
      <x v="30"/>
    </i>
    <i r="1">
      <x v="34"/>
    </i>
    <i r="1">
      <x v="35"/>
    </i>
    <i r="1">
      <x v="38"/>
    </i>
    <i r="1">
      <x v="41"/>
    </i>
    <i r="1">
      <x v="42"/>
    </i>
    <i r="1">
      <x v="44"/>
    </i>
    <i>
      <x v="21"/>
    </i>
    <i r="1">
      <x/>
    </i>
    <i r="1">
      <x v="5"/>
    </i>
    <i r="1">
      <x v="7"/>
    </i>
    <i r="1">
      <x v="13"/>
    </i>
    <i r="1">
      <x v="15"/>
    </i>
    <i r="1">
      <x v="29"/>
    </i>
    <i r="1">
      <x v="32"/>
    </i>
    <i>
      <x v="22"/>
    </i>
    <i r="1">
      <x v="23"/>
    </i>
    <i r="1">
      <x v="29"/>
    </i>
    <i r="1">
      <x v="30"/>
    </i>
    <i r="1">
      <x v="41"/>
    </i>
    <i r="1">
      <x v="42"/>
    </i>
    <i>
      <x v="23"/>
    </i>
    <i r="1">
      <x/>
    </i>
    <i r="1">
      <x v="10"/>
    </i>
    <i r="1">
      <x v="34"/>
    </i>
    <i>
      <x v="24"/>
    </i>
    <i r="1">
      <x v="15"/>
    </i>
    <i r="1">
      <x v="34"/>
    </i>
    <i>
      <x v="25"/>
    </i>
    <i r="1">
      <x/>
    </i>
    <i r="1">
      <x v="11"/>
    </i>
    <i r="1">
      <x v="35"/>
    </i>
    <i r="1">
      <x v="40"/>
    </i>
    <i r="1">
      <x v="41"/>
    </i>
    <i r="1">
      <x v="44"/>
    </i>
    <i>
      <x v="26"/>
    </i>
    <i r="1">
      <x v="3"/>
    </i>
    <i r="1">
      <x v="8"/>
    </i>
    <i r="1">
      <x v="15"/>
    </i>
    <i r="1">
      <x v="19"/>
    </i>
    <i r="1">
      <x v="23"/>
    </i>
    <i r="1">
      <x v="26"/>
    </i>
    <i r="1">
      <x v="34"/>
    </i>
    <i r="1">
      <x v="38"/>
    </i>
    <i r="1">
      <x v="40"/>
    </i>
    <i r="1">
      <x v="41"/>
    </i>
    <i>
      <x v="27"/>
    </i>
    <i r="1">
      <x v="26"/>
    </i>
    <i r="1">
      <x v="34"/>
    </i>
    <i r="1">
      <x v="42"/>
    </i>
    <i>
      <x v="28"/>
    </i>
    <i r="1">
      <x v="2"/>
    </i>
    <i r="1">
      <x v="4"/>
    </i>
    <i r="1">
      <x v="6"/>
    </i>
    <i r="1">
      <x v="19"/>
    </i>
    <i r="1">
      <x v="23"/>
    </i>
    <i r="1">
      <x v="29"/>
    </i>
    <i r="1">
      <x v="30"/>
    </i>
    <i r="1">
      <x v="41"/>
    </i>
    <i r="1">
      <x v="45"/>
    </i>
    <i>
      <x v="29"/>
    </i>
    <i r="1">
      <x v="7"/>
    </i>
    <i r="1">
      <x v="40"/>
    </i>
    <i>
      <x v="30"/>
    </i>
    <i r="1">
      <x v="11"/>
    </i>
    <i r="1">
      <x v="15"/>
    </i>
    <i r="1">
      <x v="19"/>
    </i>
    <i r="1">
      <x v="23"/>
    </i>
    <i r="1">
      <x v="32"/>
    </i>
    <i r="1">
      <x v="35"/>
    </i>
    <i r="1">
      <x v="44"/>
    </i>
    <i>
      <x v="32"/>
    </i>
    <i r="1">
      <x v="3"/>
    </i>
    <i r="1">
      <x v="16"/>
    </i>
    <i r="1">
      <x v="42"/>
    </i>
    <i r="1">
      <x v="44"/>
    </i>
    <i t="grand">
      <x/>
    </i>
  </rowItems>
  <colItems count="1">
    <i/>
  </colItems>
  <pageFields count="1">
    <pageField fld="48" item="1" hier="-1"/>
  </pageFields>
  <dataFields count="1">
    <dataField name="Count of Cadr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331F62-01B5-4332-B45C-B5EF24FFE1B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1" firstHeaderRow="0" firstDataRow="1" firstDataCol="1" rowPageCount="1" colPageCount="1"/>
  <pivotFields count="48">
    <pivotField axis="axisRow" showAll="0">
      <items count="48">
        <item x="12"/>
        <item x="0"/>
        <item x="2"/>
        <item x="4"/>
        <item x="3"/>
        <item x="1"/>
        <item x="7"/>
        <item x="11"/>
        <item x="5"/>
        <item x="40"/>
        <item x="10"/>
        <item x="9"/>
        <item x="6"/>
        <item x="8"/>
        <item x="20"/>
        <item x="13"/>
        <item x="38"/>
        <item x="14"/>
        <item x="15"/>
        <item x="18"/>
        <item x="16"/>
        <item x="17"/>
        <item x="19"/>
        <item x="21"/>
        <item x="23"/>
        <item x="22"/>
        <item x="24"/>
        <item x="29"/>
        <item x="25"/>
        <item x="27"/>
        <item x="28"/>
        <item x="26"/>
        <item x="30"/>
        <item x="31"/>
        <item x="32"/>
        <item x="33"/>
        <item x="37"/>
        <item x="34"/>
        <item x="39"/>
        <item x="35"/>
        <item x="44"/>
        <item x="36"/>
        <item x="42"/>
        <item x="41"/>
        <item x="43"/>
        <item x="45"/>
        <item x="46"/>
        <item t="default"/>
      </items>
    </pivotField>
    <pivotField showAll="0"/>
    <pivotField showAll="0"/>
    <pivotField axis="axisPage" multipleItemSelectionAllowed="1" showAll="0">
      <items count="34">
        <item h="1" x="31"/>
        <item h="1" x="30"/>
        <item h="1" x="20"/>
        <item x="19"/>
        <item h="1" x="27"/>
        <item x="25"/>
        <item h="1" x="26"/>
        <item h="1" x="24"/>
        <item x="22"/>
        <item h="1" x="23"/>
        <item h="1" x="29"/>
        <item h="1" x="28"/>
        <item h="1" x="32"/>
        <item h="1" x="21"/>
        <item h="1" x="17"/>
        <item h="1" x="0"/>
        <item h="1" x="1"/>
        <item h="1" x="2"/>
        <item h="1" x="4"/>
        <item h="1" x="5"/>
        <item h="1" x="6"/>
        <item h="1" x="13"/>
        <item h="1" x="7"/>
        <item h="1" x="8"/>
        <item h="1" x="9"/>
        <item h="1" x="10"/>
        <item h="1" x="11"/>
        <item h="1" x="12"/>
        <item h="1" x="14"/>
        <item h="1" x="3"/>
        <item h="1" x="15"/>
        <item h="1" x="16"/>
        <item h="1" x="18"/>
        <item t="default"/>
      </items>
    </pivotField>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numFmtId="3" showAll="0"/>
    <pivotField showAll="0"/>
    <pivotField numFmtId="3"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43" showAll="0"/>
    <pivotField numFmtId="43" showAll="0"/>
    <pivotField numFmtId="43" showAll="0"/>
    <pivotField numFmtId="43"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3">
    <i>
      <x/>
    </i>
    <i i="1">
      <x v="1"/>
    </i>
    <i i="2">
      <x v="2"/>
    </i>
  </colItems>
  <pageFields count="1">
    <pageField fld="3" hier="-1"/>
  </pageFields>
  <dataFields count="3">
    <dataField name="Average of Pop 2013" fld="5" subtotal="average" baseField="0" baseItem="0"/>
    <dataField name="Average of Pop 2018" fld="15" subtotal="average" baseField="0" baseItem="0"/>
    <dataField name="Average of Pop 2022" fld="24" subtotal="average" baseField="0"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EC6FA9-E69F-4263-8567-E13008FA097C}"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37" firstHeaderRow="0" firstDataRow="1" firstDataCol="1"/>
  <pivotFields count="47">
    <pivotField showAll="0"/>
    <pivotField showAll="0"/>
    <pivotField showAll="0"/>
    <pivotField axis="axisRow" showAll="0">
      <items count="34">
        <item x="31"/>
        <item x="30"/>
        <item x="20"/>
        <item x="19"/>
        <item x="27"/>
        <item x="25"/>
        <item x="26"/>
        <item x="24"/>
        <item x="22"/>
        <item x="23"/>
        <item x="29"/>
        <item x="28"/>
        <item x="32"/>
        <item x="21"/>
        <item x="17"/>
        <item x="0"/>
        <item x="1"/>
        <item x="2"/>
        <item x="4"/>
        <item x="5"/>
        <item x="6"/>
        <item x="13"/>
        <item x="7"/>
        <item x="8"/>
        <item x="9"/>
        <item x="10"/>
        <item x="11"/>
        <item x="12"/>
        <item x="14"/>
        <item x="3"/>
        <item x="15"/>
        <item x="16"/>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dataField="1" showAll="0"/>
    <pivotField numFmtId="166" showAll="0"/>
    <pivotField showAll="0"/>
    <pivotField showAll="0"/>
    <pivotField showAll="0"/>
    <pivotField showAll="0"/>
    <pivotField showAll="0"/>
    <pivotField numFmtId="43" showAll="0"/>
    <pivotField numFmtId="43" showAll="0"/>
    <pivotField numFmtId="43"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3">
    <i>
      <x/>
    </i>
    <i i="1">
      <x v="1"/>
    </i>
    <i i="2">
      <x v="2"/>
    </i>
  </colItems>
  <dataFields count="3">
    <dataField name="Count of 2013 or latest" fld="30" subtotal="count" baseField="0" baseItem="0"/>
    <dataField name="Count of 2018 or latest" fld="32" subtotal="count" baseField="0" baseItem="0"/>
    <dataField name="Count of Adjusted 2022" fld="3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40B3EC-A50F-4AAC-ADB9-2D706F0FC22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34" firstHeaderRow="1" firstDataRow="2" firstDataCol="1"/>
  <pivotFields count="47">
    <pivotField showAll="0"/>
    <pivotField showAll="0"/>
    <pivotField showAll="0"/>
    <pivotField axis="axisRow" multipleItemSelectionAllowed="1" showAll="0">
      <items count="34">
        <item x="31"/>
        <item x="30"/>
        <item h="1" x="20"/>
        <item x="19"/>
        <item h="1" x="27"/>
        <item x="25"/>
        <item h="1" x="26"/>
        <item x="24"/>
        <item x="22"/>
        <item h="1" x="23"/>
        <item x="29"/>
        <item x="28"/>
        <item x="32"/>
        <item x="21"/>
        <item x="17"/>
        <item x="0"/>
        <item x="1"/>
        <item x="2"/>
        <item x="4"/>
        <item x="5"/>
        <item x="6"/>
        <item x="13"/>
        <item x="7"/>
        <item x="8"/>
        <item x="9"/>
        <item x="10"/>
        <item x="11"/>
        <item x="12"/>
        <item x="14"/>
        <item x="3"/>
        <item x="15"/>
        <item x="16"/>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dataField="1" showAll="0"/>
    <pivotField numFmtId="166" showAll="0"/>
    <pivotField showAll="0"/>
    <pivotField showAll="0"/>
    <pivotField showAll="0"/>
    <pivotField showAll="0"/>
    <pivotField showAll="0"/>
    <pivotField numFmtId="43" showAll="0"/>
    <pivotField numFmtId="43" showAll="0"/>
    <pivotField numFmtId="43" showAll="0"/>
  </pivotFields>
  <rowFields count="1">
    <field x="3"/>
  </rowFields>
  <rowItems count="30">
    <i>
      <x/>
    </i>
    <i>
      <x v="1"/>
    </i>
    <i>
      <x v="3"/>
    </i>
    <i>
      <x v="5"/>
    </i>
    <i>
      <x v="7"/>
    </i>
    <i>
      <x v="8"/>
    </i>
    <i>
      <x v="10"/>
    </i>
    <i>
      <x v="11"/>
    </i>
    <i>
      <x v="12"/>
    </i>
    <i>
      <x v="13"/>
    </i>
    <i>
      <x v="14"/>
    </i>
    <i>
      <x v="15"/>
    </i>
    <i>
      <x v="16"/>
    </i>
    <i>
      <x v="17"/>
    </i>
    <i>
      <x v="18"/>
    </i>
    <i>
      <x v="19"/>
    </i>
    <i>
      <x v="20"/>
    </i>
    <i>
      <x v="21"/>
    </i>
    <i>
      <x v="22"/>
    </i>
    <i>
      <x v="23"/>
    </i>
    <i>
      <x v="24"/>
    </i>
    <i>
      <x v="25"/>
    </i>
    <i>
      <x v="26"/>
    </i>
    <i>
      <x v="27"/>
    </i>
    <i>
      <x v="28"/>
    </i>
    <i>
      <x v="29"/>
    </i>
    <i>
      <x v="30"/>
    </i>
    <i>
      <x v="31"/>
    </i>
    <i>
      <x v="32"/>
    </i>
    <i t="grand">
      <x/>
    </i>
  </rowItems>
  <colFields count="1">
    <field x="36"/>
  </colFields>
  <colItems count="3">
    <i>
      <x/>
    </i>
    <i>
      <x v="1"/>
    </i>
    <i t="grand">
      <x/>
    </i>
  </colItems>
  <dataFields count="1">
    <dataField name="Count of Adjusted 2022" fld="3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7B155F-1D8F-4DDA-B0E2-9BF3E39D4BAC}"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 firstHeaderRow="1" firstDataRow="1" firstDataCol="1"/>
  <pivotFields count="48">
    <pivotField showAll="0"/>
    <pivotField showAll="0"/>
    <pivotField showAll="0"/>
    <pivotField axis="axisRow" showAll="0" sortType="descending">
      <items count="34">
        <item x="31"/>
        <item x="30"/>
        <item h="1" x="20"/>
        <item x="19"/>
        <item h="1" x="27"/>
        <item x="25"/>
        <item h="1" x="26"/>
        <item h="1" x="24"/>
        <item x="22"/>
        <item h="1" x="23"/>
        <item x="29"/>
        <item x="28"/>
        <item x="32"/>
        <item h="1" x="21"/>
        <item x="17"/>
        <item x="0"/>
        <item x="1"/>
        <item x="2"/>
        <item x="4"/>
        <item x="5"/>
        <item x="6"/>
        <item x="13"/>
        <item x="7"/>
        <item x="8"/>
        <item x="9"/>
        <item x="10"/>
        <item x="11"/>
        <item x="12"/>
        <item x="14"/>
        <item x="3"/>
        <item x="15"/>
        <item x="16"/>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6" showAll="0"/>
    <pivotField showAll="0"/>
    <pivotField showAll="0"/>
    <pivotField showAll="0"/>
    <pivotField showAll="0"/>
    <pivotField showAll="0"/>
    <pivotField numFmtId="43" showAll="0"/>
    <pivotField numFmtId="43" showAll="0"/>
    <pivotField numFmtId="43" showAll="0"/>
    <pivotField numFmtId="43" showAll="0"/>
  </pivotFields>
  <rowFields count="1">
    <field x="3"/>
  </rowFields>
  <rowItems count="28">
    <i>
      <x v="8"/>
    </i>
    <i>
      <x v="15"/>
    </i>
    <i>
      <x v="3"/>
    </i>
    <i>
      <x v="5"/>
    </i>
    <i>
      <x v="26"/>
    </i>
    <i>
      <x v="28"/>
    </i>
    <i>
      <x v="27"/>
    </i>
    <i>
      <x v="32"/>
    </i>
    <i>
      <x v="29"/>
    </i>
    <i>
      <x v="21"/>
    </i>
    <i>
      <x v="11"/>
    </i>
    <i>
      <x v="20"/>
    </i>
    <i>
      <x v="18"/>
    </i>
    <i>
      <x v="17"/>
    </i>
    <i>
      <x v="22"/>
    </i>
    <i>
      <x v="24"/>
    </i>
    <i>
      <x v="10"/>
    </i>
    <i>
      <x v="23"/>
    </i>
    <i>
      <x v="1"/>
    </i>
    <i>
      <x v="16"/>
    </i>
    <i>
      <x v="31"/>
    </i>
    <i>
      <x v="30"/>
    </i>
    <i>
      <x/>
    </i>
    <i>
      <x v="25"/>
    </i>
    <i>
      <x v="12"/>
    </i>
    <i>
      <x v="19"/>
    </i>
    <i>
      <x v="14"/>
    </i>
    <i t="grand">
      <x/>
    </i>
  </rowItems>
  <colItems count="1">
    <i/>
  </colItems>
  <dataFields count="1">
    <dataField name="Sum of Adjusted 2022" fld="37" baseField="0" baseItem="0" numFmtId="1"/>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B93711-4709-4DEF-BB19-21311EB611F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7" firstHeaderRow="1" firstDataRow="1" firstDataCol="1" rowPageCount="1" colPageCount="1"/>
  <pivotFields count="47">
    <pivotField axis="axisPage" showAll="0">
      <items count="48">
        <item x="12"/>
        <item x="0"/>
        <item x="2"/>
        <item x="4"/>
        <item x="3"/>
        <item x="1"/>
        <item x="7"/>
        <item x="11"/>
        <item x="5"/>
        <item x="40"/>
        <item x="10"/>
        <item x="9"/>
        <item x="6"/>
        <item x="8"/>
        <item x="20"/>
        <item x="13"/>
        <item x="38"/>
        <item x="14"/>
        <item x="15"/>
        <item x="18"/>
        <item x="16"/>
        <item x="17"/>
        <item x="19"/>
        <item x="21"/>
        <item x="23"/>
        <item x="22"/>
        <item x="24"/>
        <item x="29"/>
        <item x="25"/>
        <item x="27"/>
        <item x="28"/>
        <item x="26"/>
        <item x="30"/>
        <item x="31"/>
        <item x="32"/>
        <item x="33"/>
        <item x="37"/>
        <item x="34"/>
        <item x="39"/>
        <item x="35"/>
        <item x="44"/>
        <item x="36"/>
        <item x="42"/>
        <item x="41"/>
        <item x="43"/>
        <item x="45"/>
        <item x="46"/>
        <item t="default"/>
      </items>
    </pivotField>
    <pivotField showAll="0"/>
    <pivotField showAll="0"/>
    <pivotField axis="axisRow" showAll="0">
      <items count="34">
        <item x="31"/>
        <item x="30"/>
        <item x="20"/>
        <item x="19"/>
        <item x="27"/>
        <item x="25"/>
        <item x="26"/>
        <item x="24"/>
        <item x="22"/>
        <item x="23"/>
        <item x="29"/>
        <item x="28"/>
        <item x="32"/>
        <item x="21"/>
        <item x="17"/>
        <item x="0"/>
        <item x="1"/>
        <item x="2"/>
        <item x="4"/>
        <item x="5"/>
        <item x="6"/>
        <item x="13"/>
        <item x="7"/>
        <item x="8"/>
        <item x="9"/>
        <item x="10"/>
        <item x="11"/>
        <item x="12"/>
        <item x="14"/>
        <item x="3"/>
        <item x="15"/>
        <item x="16"/>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numFmtId="43" showAll="0"/>
    <pivotField numFmtId="43" showAll="0"/>
    <pivotField dataField="1" numFmtId="43"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ageFields count="1">
    <pageField fld="0" item="0" hier="-1"/>
  </pageFields>
  <dataFields count="1">
    <dataField name="Sum of Density per 10,000 (2022)" fld="4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096D33-E828-445C-9FC1-A626E49D5F4E}"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rowPageCount="1" colPageCount="1"/>
  <pivotFields count="47">
    <pivotField axis="axisPage" showAll="0">
      <items count="48">
        <item x="12"/>
        <item x="0"/>
        <item x="2"/>
        <item x="4"/>
        <item x="3"/>
        <item x="1"/>
        <item x="7"/>
        <item x="11"/>
        <item x="5"/>
        <item x="40"/>
        <item x="10"/>
        <item x="9"/>
        <item x="6"/>
        <item x="8"/>
        <item x="20"/>
        <item x="13"/>
        <item x="38"/>
        <item x="14"/>
        <item x="15"/>
        <item x="18"/>
        <item x="16"/>
        <item x="17"/>
        <item x="19"/>
        <item x="21"/>
        <item x="23"/>
        <item x="22"/>
        <item x="24"/>
        <item x="29"/>
        <item x="25"/>
        <item x="27"/>
        <item x="28"/>
        <item x="26"/>
        <item x="30"/>
        <item x="31"/>
        <item x="32"/>
        <item x="33"/>
        <item x="37"/>
        <item x="34"/>
        <item x="39"/>
        <item x="35"/>
        <item x="44"/>
        <item x="36"/>
        <item x="42"/>
        <item x="41"/>
        <item x="43"/>
        <item x="45"/>
        <item x="46"/>
        <item t="default"/>
      </items>
    </pivotField>
    <pivotField showAll="0"/>
    <pivotField showAll="0"/>
    <pivotField axis="axisRow" showAll="0">
      <items count="34">
        <item h="1" x="31"/>
        <item x="30"/>
        <item h="1" x="20"/>
        <item x="19"/>
        <item h="1" x="27"/>
        <item x="25"/>
        <item h="1" x="26"/>
        <item h="1" x="24"/>
        <item x="22"/>
        <item h="1" x="23"/>
        <item h="1" x="29"/>
        <item x="28"/>
        <item h="1" x="32"/>
        <item h="1" x="21"/>
        <item h="1" x="17"/>
        <item h="1" x="0"/>
        <item h="1" x="1"/>
        <item h="1" x="2"/>
        <item h="1" x="4"/>
        <item h="1" x="5"/>
        <item h="1" x="6"/>
        <item h="1" x="13"/>
        <item h="1" x="7"/>
        <item h="1" x="8"/>
        <item h="1" x="9"/>
        <item h="1" x="10"/>
        <item h="1" x="11"/>
        <item h="1" x="12"/>
        <item h="1" x="14"/>
        <item h="1" x="3"/>
        <item h="1" x="15"/>
        <item h="1" x="16"/>
        <item h="1"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items count="334">
        <item x="33"/>
        <item x="46"/>
        <item x="40"/>
        <item x="55"/>
        <item x="47"/>
        <item x="263"/>
        <item x="289"/>
        <item x="85"/>
        <item x="186"/>
        <item x="49"/>
        <item x="116"/>
        <item x="23"/>
        <item x="51"/>
        <item x="79"/>
        <item x="72"/>
        <item x="84"/>
        <item x="124"/>
        <item x="130"/>
        <item x="284"/>
        <item x="48"/>
        <item x="67"/>
        <item x="147"/>
        <item x="3"/>
        <item x="254"/>
        <item x="35"/>
        <item x="264"/>
        <item x="113"/>
        <item x="81"/>
        <item x="150"/>
        <item x="170"/>
        <item x="22"/>
        <item x="282"/>
        <item x="182"/>
        <item x="133"/>
        <item x="20"/>
        <item x="293"/>
        <item x="212"/>
        <item x="95"/>
        <item x="16"/>
        <item x="1"/>
        <item x="30"/>
        <item x="92"/>
        <item x="288"/>
        <item x="295"/>
        <item x="214"/>
        <item x="244"/>
        <item x="11"/>
        <item x="233"/>
        <item x="103"/>
        <item x="65"/>
        <item x="73"/>
        <item x="165"/>
        <item x="101"/>
        <item x="183"/>
        <item x="75"/>
        <item x="52"/>
        <item x="9"/>
        <item x="98"/>
        <item x="246"/>
        <item x="50"/>
        <item x="208"/>
        <item x="276"/>
        <item x="106"/>
        <item x="128"/>
        <item x="146"/>
        <item x="219"/>
        <item x="168"/>
        <item x="13"/>
        <item x="226"/>
        <item x="255"/>
        <item x="332"/>
        <item x="192"/>
        <item x="61"/>
        <item x="213"/>
        <item x="114"/>
        <item x="17"/>
        <item x="34"/>
        <item x="253"/>
        <item x="57"/>
        <item x="60"/>
        <item x="5"/>
        <item x="145"/>
        <item x="68"/>
        <item x="56"/>
        <item x="209"/>
        <item x="110"/>
        <item x="93"/>
        <item x="100"/>
        <item x="123"/>
        <item x="90"/>
        <item x="331"/>
        <item x="64"/>
        <item x="126"/>
        <item x="154"/>
        <item x="218"/>
        <item x="15"/>
        <item x="211"/>
        <item x="296"/>
        <item x="109"/>
        <item x="314"/>
        <item x="323"/>
        <item x="176"/>
        <item x="185"/>
        <item x="280"/>
        <item x="26"/>
        <item x="184"/>
        <item x="38"/>
        <item x="187"/>
        <item x="305"/>
        <item x="152"/>
        <item x="151"/>
        <item x="304"/>
        <item x="125"/>
        <item x="41"/>
        <item x="215"/>
        <item x="294"/>
        <item x="306"/>
        <item x="249"/>
        <item x="277"/>
        <item x="329"/>
        <item x="299"/>
        <item x="300"/>
        <item x="188"/>
        <item x="87"/>
        <item x="89"/>
        <item x="321"/>
        <item x="129"/>
        <item x="197"/>
        <item x="283"/>
        <item x="292"/>
        <item x="12"/>
        <item x="252"/>
        <item x="36"/>
        <item x="94"/>
        <item x="217"/>
        <item x="119"/>
        <item x="132"/>
        <item x="164"/>
        <item x="230"/>
        <item x="54"/>
        <item x="115"/>
        <item x="330"/>
        <item x="153"/>
        <item x="2"/>
        <item x="127"/>
        <item x="80"/>
        <item x="312"/>
        <item x="131"/>
        <item x="290"/>
        <item x="270"/>
        <item x="247"/>
        <item x="24"/>
        <item x="313"/>
        <item x="53"/>
        <item x="274"/>
        <item x="14"/>
        <item x="237"/>
        <item x="243"/>
        <item x="216"/>
        <item x="29"/>
        <item x="77"/>
        <item x="298"/>
        <item x="140"/>
        <item x="227"/>
        <item x="287"/>
        <item x="322"/>
        <item x="27"/>
        <item x="19"/>
        <item x="262"/>
        <item x="6"/>
        <item x="121"/>
        <item x="76"/>
        <item x="261"/>
        <item x="302"/>
        <item x="138"/>
        <item x="259"/>
        <item x="37"/>
        <item x="273"/>
        <item x="225"/>
        <item x="269"/>
        <item x="324"/>
        <item x="117"/>
        <item x="169"/>
        <item x="62"/>
        <item x="181"/>
        <item x="161"/>
        <item x="88"/>
        <item x="238"/>
        <item x="180"/>
        <item x="139"/>
        <item x="297"/>
        <item x="245"/>
        <item x="194"/>
        <item x="239"/>
        <item x="325"/>
        <item x="66"/>
        <item x="301"/>
        <item x="149"/>
        <item x="206"/>
        <item x="82"/>
        <item x="74"/>
        <item x="175"/>
        <item x="144"/>
        <item x="21"/>
        <item x="158"/>
        <item x="272"/>
        <item x="191"/>
        <item x="10"/>
        <item x="166"/>
        <item x="204"/>
        <item x="122"/>
        <item x="281"/>
        <item x="63"/>
        <item x="179"/>
        <item x="178"/>
        <item x="236"/>
        <item x="234"/>
        <item x="96"/>
        <item x="59"/>
        <item x="257"/>
        <item x="250"/>
        <item x="258"/>
        <item x="8"/>
        <item x="25"/>
        <item x="279"/>
        <item x="224"/>
        <item x="163"/>
        <item x="18"/>
        <item x="210"/>
        <item x="162"/>
        <item x="102"/>
        <item x="135"/>
        <item x="328"/>
        <item x="112"/>
        <item x="160"/>
        <item x="143"/>
        <item x="198"/>
        <item x="320"/>
        <item x="195"/>
        <item x="286"/>
        <item x="229"/>
        <item x="83"/>
        <item x="118"/>
        <item x="91"/>
        <item x="177"/>
        <item x="307"/>
        <item x="232"/>
        <item x="231"/>
        <item x="142"/>
        <item x="78"/>
        <item x="228"/>
        <item x="260"/>
        <item x="242"/>
        <item x="108"/>
        <item x="291"/>
        <item x="285"/>
        <item x="31"/>
        <item x="4"/>
        <item x="248"/>
        <item x="159"/>
        <item x="32"/>
        <item x="275"/>
        <item x="251"/>
        <item x="42"/>
        <item x="136"/>
        <item x="28"/>
        <item x="256"/>
        <item x="203"/>
        <item x="235"/>
        <item x="193"/>
        <item x="241"/>
        <item x="207"/>
        <item x="319"/>
        <item x="86"/>
        <item x="137"/>
        <item x="155"/>
        <item x="39"/>
        <item x="318"/>
        <item x="205"/>
        <item x="148"/>
        <item x="104"/>
        <item x="278"/>
        <item x="43"/>
        <item x="141"/>
        <item x="171"/>
        <item x="240"/>
        <item x="69"/>
        <item x="134"/>
        <item x="45"/>
        <item x="196"/>
        <item x="311"/>
        <item x="157"/>
        <item x="317"/>
        <item x="111"/>
        <item x="107"/>
        <item x="44"/>
        <item x="220"/>
        <item x="156"/>
        <item x="97"/>
        <item x="190"/>
        <item x="271"/>
        <item x="7"/>
        <item x="189"/>
        <item x="120"/>
        <item x="202"/>
        <item x="223"/>
        <item x="58"/>
        <item x="316"/>
        <item x="309"/>
        <item x="200"/>
        <item x="174"/>
        <item x="327"/>
        <item x="326"/>
        <item x="167"/>
        <item x="105"/>
        <item x="268"/>
        <item x="303"/>
        <item x="201"/>
        <item x="310"/>
        <item x="173"/>
        <item x="222"/>
        <item x="199"/>
        <item x="308"/>
        <item x="221"/>
        <item x="315"/>
        <item x="172"/>
        <item x="265"/>
        <item x="70"/>
        <item x="266"/>
        <item x="267"/>
        <item x="99"/>
        <item x="71"/>
        <item x="0"/>
        <item t="default"/>
      </items>
    </pivotField>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numFmtId="43" showAll="0">
      <items count="375">
        <item x="0"/>
        <item x="34"/>
        <item x="41"/>
        <item x="24"/>
        <item x="147"/>
        <item x="36"/>
        <item x="291"/>
        <item x="256"/>
        <item x="57"/>
        <item x="87"/>
        <item x="139"/>
        <item x="125"/>
        <item x="100"/>
        <item x="47"/>
        <item x="293"/>
        <item x="85"/>
        <item x="104"/>
        <item x="67"/>
        <item x="101"/>
        <item x="133"/>
        <item x="279"/>
        <item x="345"/>
        <item x="78"/>
        <item x="159"/>
        <item x="234"/>
        <item x="338"/>
        <item x="339"/>
        <item x="107"/>
        <item x="23"/>
        <item x="115"/>
        <item x="187"/>
        <item x="292"/>
        <item x="242"/>
        <item x="281"/>
        <item x="21"/>
        <item x="112"/>
        <item x="1"/>
        <item x="66"/>
        <item x="110"/>
        <item x="146"/>
        <item x="122"/>
        <item x="193"/>
        <item x="27"/>
        <item x="88"/>
        <item x="56"/>
        <item x="119"/>
        <item x="268"/>
        <item x="170"/>
        <item x="3"/>
        <item x="59"/>
        <item x="102"/>
        <item x="70"/>
        <item x="257"/>
        <item x="58"/>
        <item x="37"/>
        <item x="118"/>
        <item x="48"/>
        <item x="35"/>
        <item x="62"/>
        <item x="181"/>
        <item x="270"/>
        <item x="330"/>
        <item x="184"/>
        <item x="11"/>
        <item x="109"/>
        <item x="344"/>
        <item x="142"/>
        <item x="343"/>
        <item x="9"/>
        <item x="64"/>
        <item x="346"/>
        <item x="185"/>
        <item x="354"/>
        <item x="165"/>
        <item x="50"/>
        <item x="158"/>
        <item x="18"/>
        <item x="25"/>
        <item x="15"/>
        <item x="73"/>
        <item x="52"/>
        <item x="69"/>
        <item x="103"/>
        <item x="303"/>
        <item x="79"/>
        <item x="309"/>
        <item x="282"/>
        <item x="137"/>
        <item x="81"/>
        <item x="72"/>
        <item x="304"/>
        <item x="157"/>
        <item x="123"/>
        <item x="278"/>
        <item x="373"/>
        <item x="42"/>
        <item x="228"/>
        <item x="93"/>
        <item x="332"/>
        <item x="199"/>
        <item x="49"/>
        <item x="352"/>
        <item x="203"/>
        <item x="366"/>
        <item x="132"/>
        <item x="17"/>
        <item x="372"/>
        <item x="135"/>
        <item x="353"/>
        <item x="363"/>
        <item x="341"/>
        <item x="2"/>
        <item x="5"/>
        <item x="91"/>
        <item x="253"/>
        <item x="192"/>
        <item x="180"/>
        <item x="204"/>
        <item x="248"/>
        <item x="163"/>
        <item x="134"/>
        <item x="205"/>
        <item x="12"/>
        <item x="361"/>
        <item x="310"/>
        <item x="267"/>
        <item x="26"/>
        <item x="370"/>
        <item x="340"/>
        <item x="95"/>
        <item x="286"/>
        <item x="138"/>
        <item x="128"/>
        <item x="98"/>
        <item x="124"/>
        <item x="329"/>
        <item x="20"/>
        <item x="333"/>
        <item x="232"/>
        <item x="371"/>
        <item x="249"/>
        <item x="136"/>
        <item x="86"/>
        <item x="261"/>
        <item x="105"/>
        <item x="315"/>
        <item x="325"/>
        <item x="327"/>
        <item x="290"/>
        <item x="300"/>
        <item x="227"/>
        <item x="152"/>
        <item x="210"/>
        <item x="235"/>
        <item x="65"/>
        <item x="141"/>
        <item x="121"/>
        <item x="307"/>
        <item x="247"/>
        <item x="289"/>
        <item x="168"/>
        <item x="287"/>
        <item x="331"/>
        <item x="211"/>
        <item x="362"/>
        <item x="16"/>
        <item x="186"/>
        <item x="177"/>
        <item x="140"/>
        <item x="299"/>
        <item x="269"/>
        <item x="336"/>
        <item x="74"/>
        <item x="302"/>
        <item x="337"/>
        <item x="83"/>
        <item x="169"/>
        <item x="97"/>
        <item x="263"/>
        <item x="71"/>
        <item x="53"/>
        <item x="130"/>
        <item x="99"/>
        <item x="51"/>
        <item x="117"/>
        <item x="166"/>
        <item x="164"/>
        <item x="111"/>
        <item x="22"/>
        <item x="215"/>
        <item x="174"/>
        <item x="126"/>
        <item x="151"/>
        <item x="13"/>
        <item x="262"/>
        <item x="306"/>
        <item x="68"/>
        <item x="82"/>
        <item x="6"/>
        <item x="364"/>
        <item x="233"/>
        <item x="182"/>
        <item x="359"/>
        <item x="241"/>
        <item x="188"/>
        <item x="240"/>
        <item x="156"/>
        <item x="312"/>
        <item x="149"/>
        <item x="96"/>
        <item x="347"/>
        <item x="273"/>
        <item x="63"/>
        <item x="217"/>
        <item x="298"/>
        <item x="229"/>
        <item x="10"/>
        <item x="179"/>
        <item x="19"/>
        <item x="167"/>
        <item x="358"/>
        <item x="365"/>
        <item x="178"/>
        <item x="335"/>
        <item x="297"/>
        <item x="260"/>
        <item x="258"/>
        <item x="176"/>
        <item x="8"/>
        <item x="231"/>
        <item x="31"/>
        <item x="305"/>
        <item x="92"/>
        <item x="252"/>
        <item x="150"/>
        <item x="357"/>
        <item x="225"/>
        <item x="131"/>
        <item x="80"/>
        <item x="266"/>
        <item x="255"/>
        <item x="326"/>
        <item x="43"/>
        <item x="254"/>
        <item x="239"/>
        <item x="251"/>
        <item x="120"/>
        <item x="222"/>
        <item x="155"/>
        <item x="39"/>
        <item x="116"/>
        <item x="319"/>
        <item x="271"/>
        <item x="223"/>
        <item x="265"/>
        <item x="28"/>
        <item x="175"/>
        <item x="113"/>
        <item x="200"/>
        <item x="106"/>
        <item x="360"/>
        <item x="250"/>
        <item x="334"/>
        <item x="288"/>
        <item x="369"/>
        <item x="40"/>
        <item x="243"/>
        <item x="154"/>
        <item x="351"/>
        <item x="127"/>
        <item x="236"/>
        <item x="89"/>
        <item x="280"/>
        <item x="44"/>
        <item x="216"/>
        <item x="171"/>
        <item x="191"/>
        <item x="209"/>
        <item x="259"/>
        <item x="198"/>
        <item x="144"/>
        <item x="356"/>
        <item x="264"/>
        <item x="84"/>
        <item x="197"/>
        <item x="246"/>
        <item x="277"/>
        <item x="328"/>
        <item x="316"/>
        <item x="238"/>
        <item x="308"/>
        <item x="55"/>
        <item x="208"/>
        <item x="60"/>
        <item x="14"/>
        <item x="54"/>
        <item x="45"/>
        <item x="314"/>
        <item x="173"/>
        <item x="317"/>
        <item x="153"/>
        <item x="75"/>
        <item x="276"/>
        <item x="160"/>
        <item x="4"/>
        <item x="190"/>
        <item x="294"/>
        <item x="226"/>
        <item x="313"/>
        <item x="172"/>
        <item x="76"/>
        <item x="145"/>
        <item x="196"/>
        <item x="195"/>
        <item x="349"/>
        <item x="202"/>
        <item x="221"/>
        <item x="201"/>
        <item x="342"/>
        <item x="213"/>
        <item x="237"/>
        <item x="295"/>
        <item x="90"/>
        <item x="61"/>
        <item x="148"/>
        <item x="224"/>
        <item x="38"/>
        <item x="219"/>
        <item x="114"/>
        <item x="206"/>
        <item x="296"/>
        <item x="46"/>
        <item x="245"/>
        <item x="143"/>
        <item x="162"/>
        <item x="194"/>
        <item x="322"/>
        <item x="350"/>
        <item x="207"/>
        <item x="220"/>
        <item x="189"/>
        <item x="129"/>
        <item x="29"/>
        <item x="301"/>
        <item x="214"/>
        <item x="183"/>
        <item x="311"/>
        <item x="244"/>
        <item x="284"/>
        <item x="285"/>
        <item x="323"/>
        <item x="7"/>
        <item x="272"/>
        <item x="30"/>
        <item x="355"/>
        <item x="230"/>
        <item x="348"/>
        <item x="212"/>
        <item x="368"/>
        <item x="218"/>
        <item x="367"/>
        <item x="77"/>
        <item x="274"/>
        <item x="283"/>
        <item x="318"/>
        <item x="321"/>
        <item x="161"/>
        <item x="275"/>
        <item x="320"/>
        <item x="94"/>
        <item x="324"/>
        <item x="108"/>
        <item x="32"/>
        <item x="33"/>
        <item t="default"/>
      </items>
    </pivotField>
    <pivotField dataField="1" numFmtId="43" showAll="0"/>
    <pivotField dataField="1" numFmtId="43" showAll="0"/>
  </pivotFields>
  <rowFields count="1">
    <field x="3"/>
  </rowFields>
  <rowItems count="6">
    <i>
      <x v="1"/>
    </i>
    <i>
      <x v="3"/>
    </i>
    <i>
      <x v="5"/>
    </i>
    <i>
      <x v="8"/>
    </i>
    <i>
      <x v="11"/>
    </i>
    <i t="grand">
      <x/>
    </i>
  </rowItems>
  <colFields count="1">
    <field x="-2"/>
  </colFields>
  <colItems count="3">
    <i>
      <x/>
    </i>
    <i i="1">
      <x v="1"/>
    </i>
    <i i="2">
      <x v="2"/>
    </i>
  </colItems>
  <pageFields count="1">
    <pageField fld="0" item="0" hier="-1"/>
  </pageFields>
  <dataFields count="3">
    <dataField name="Sum of Density per 10,000 (2013)" fld="44" baseField="0" baseItem="0"/>
    <dataField name="Sum of Density per 10,000 (2018)" fld="45" baseField="0" baseItem="0"/>
    <dataField name="Sum of Density per 10,000 (2022)" fld="4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8A10A-04E3-4476-A2F1-EC252AC51B2F}"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rowPageCount="1" colPageCount="1"/>
  <pivotFields count="47">
    <pivotField axis="axisPage" showAll="0">
      <items count="48">
        <item x="12"/>
        <item x="0"/>
        <item x="2"/>
        <item x="4"/>
        <item x="3"/>
        <item x="1"/>
        <item x="7"/>
        <item x="11"/>
        <item x="5"/>
        <item x="40"/>
        <item x="10"/>
        <item x="9"/>
        <item x="6"/>
        <item x="8"/>
        <item x="20"/>
        <item x="13"/>
        <item x="38"/>
        <item x="14"/>
        <item x="15"/>
        <item x="18"/>
        <item x="16"/>
        <item x="17"/>
        <item x="19"/>
        <item x="21"/>
        <item x="23"/>
        <item x="22"/>
        <item x="24"/>
        <item x="29"/>
        <item x="25"/>
        <item x="27"/>
        <item x="28"/>
        <item x="26"/>
        <item x="30"/>
        <item x="31"/>
        <item x="32"/>
        <item x="33"/>
        <item x="37"/>
        <item x="34"/>
        <item x="39"/>
        <item x="35"/>
        <item x="44"/>
        <item x="36"/>
        <item x="42"/>
        <item x="41"/>
        <item x="43"/>
        <item x="45"/>
        <item x="46"/>
        <item t="default"/>
      </items>
    </pivotField>
    <pivotField showAll="0"/>
    <pivotField showAll="0"/>
    <pivotField axis="axisRow" showAll="0">
      <items count="34">
        <item h="1" x="31"/>
        <item x="30"/>
        <item h="1" x="20"/>
        <item x="19"/>
        <item h="1" x="27"/>
        <item x="25"/>
        <item h="1" x="26"/>
        <item h="1" x="24"/>
        <item x="22"/>
        <item h="1" x="23"/>
        <item h="1" x="29"/>
        <item x="28"/>
        <item h="1" x="32"/>
        <item h="1" x="21"/>
        <item h="1" x="17"/>
        <item h="1" x="0"/>
        <item h="1" x="1"/>
        <item h="1" x="2"/>
        <item h="1" x="4"/>
        <item h="1" x="5"/>
        <item h="1" x="6"/>
        <item h="1" x="13"/>
        <item h="1" x="7"/>
        <item h="1" x="8"/>
        <item h="1" x="9"/>
        <item h="1" x="10"/>
        <item h="1" x="11"/>
        <item h="1" x="12"/>
        <item h="1" x="14"/>
        <item h="1" x="3"/>
        <item h="1" x="15"/>
        <item h="1" x="16"/>
        <item h="1"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items count="334">
        <item x="33"/>
        <item x="46"/>
        <item x="40"/>
        <item x="55"/>
        <item x="47"/>
        <item x="263"/>
        <item x="289"/>
        <item x="85"/>
        <item x="186"/>
        <item x="49"/>
        <item x="116"/>
        <item x="23"/>
        <item x="51"/>
        <item x="79"/>
        <item x="72"/>
        <item x="84"/>
        <item x="124"/>
        <item x="130"/>
        <item x="284"/>
        <item x="48"/>
        <item x="67"/>
        <item x="147"/>
        <item x="3"/>
        <item x="254"/>
        <item x="35"/>
        <item x="264"/>
        <item x="113"/>
        <item x="81"/>
        <item x="150"/>
        <item x="170"/>
        <item x="22"/>
        <item x="282"/>
        <item x="182"/>
        <item x="133"/>
        <item x="20"/>
        <item x="293"/>
        <item x="212"/>
        <item x="95"/>
        <item x="16"/>
        <item x="1"/>
        <item x="30"/>
        <item x="92"/>
        <item x="288"/>
        <item x="295"/>
        <item x="214"/>
        <item x="244"/>
        <item x="11"/>
        <item x="233"/>
        <item x="103"/>
        <item x="65"/>
        <item x="73"/>
        <item x="165"/>
        <item x="101"/>
        <item x="183"/>
        <item x="75"/>
        <item x="52"/>
        <item x="9"/>
        <item x="98"/>
        <item x="246"/>
        <item x="50"/>
        <item x="208"/>
        <item x="276"/>
        <item x="106"/>
        <item x="128"/>
        <item x="146"/>
        <item x="219"/>
        <item x="168"/>
        <item x="13"/>
        <item x="226"/>
        <item x="255"/>
        <item x="332"/>
        <item x="192"/>
        <item x="61"/>
        <item x="213"/>
        <item x="114"/>
        <item x="17"/>
        <item x="34"/>
        <item x="253"/>
        <item x="57"/>
        <item x="60"/>
        <item x="5"/>
        <item x="145"/>
        <item x="68"/>
        <item x="56"/>
        <item x="209"/>
        <item x="110"/>
        <item x="93"/>
        <item x="100"/>
        <item x="123"/>
        <item x="90"/>
        <item x="331"/>
        <item x="64"/>
        <item x="126"/>
        <item x="154"/>
        <item x="218"/>
        <item x="15"/>
        <item x="211"/>
        <item x="296"/>
        <item x="109"/>
        <item x="314"/>
        <item x="323"/>
        <item x="176"/>
        <item x="185"/>
        <item x="280"/>
        <item x="26"/>
        <item x="184"/>
        <item x="38"/>
        <item x="187"/>
        <item x="305"/>
        <item x="152"/>
        <item x="151"/>
        <item x="304"/>
        <item x="125"/>
        <item x="41"/>
        <item x="215"/>
        <item x="294"/>
        <item x="306"/>
        <item x="249"/>
        <item x="277"/>
        <item x="329"/>
        <item x="299"/>
        <item x="300"/>
        <item x="188"/>
        <item x="87"/>
        <item x="89"/>
        <item x="321"/>
        <item x="129"/>
        <item x="197"/>
        <item x="283"/>
        <item x="292"/>
        <item x="12"/>
        <item x="252"/>
        <item x="36"/>
        <item x="94"/>
        <item x="217"/>
        <item x="119"/>
        <item x="132"/>
        <item x="164"/>
        <item x="230"/>
        <item x="54"/>
        <item x="115"/>
        <item x="330"/>
        <item x="153"/>
        <item x="2"/>
        <item x="127"/>
        <item x="80"/>
        <item x="312"/>
        <item x="131"/>
        <item x="290"/>
        <item x="270"/>
        <item x="247"/>
        <item x="24"/>
        <item x="313"/>
        <item x="53"/>
        <item x="274"/>
        <item x="14"/>
        <item x="237"/>
        <item x="243"/>
        <item x="216"/>
        <item x="29"/>
        <item x="77"/>
        <item x="298"/>
        <item x="140"/>
        <item x="227"/>
        <item x="287"/>
        <item x="322"/>
        <item x="27"/>
        <item x="19"/>
        <item x="262"/>
        <item x="6"/>
        <item x="121"/>
        <item x="76"/>
        <item x="261"/>
        <item x="302"/>
        <item x="138"/>
        <item x="259"/>
        <item x="37"/>
        <item x="273"/>
        <item x="225"/>
        <item x="269"/>
        <item x="324"/>
        <item x="117"/>
        <item x="169"/>
        <item x="62"/>
        <item x="181"/>
        <item x="161"/>
        <item x="88"/>
        <item x="238"/>
        <item x="180"/>
        <item x="139"/>
        <item x="297"/>
        <item x="245"/>
        <item x="194"/>
        <item x="239"/>
        <item x="325"/>
        <item x="66"/>
        <item x="301"/>
        <item x="149"/>
        <item x="206"/>
        <item x="82"/>
        <item x="74"/>
        <item x="175"/>
        <item x="144"/>
        <item x="21"/>
        <item x="158"/>
        <item x="272"/>
        <item x="191"/>
        <item x="10"/>
        <item x="166"/>
        <item x="204"/>
        <item x="122"/>
        <item x="281"/>
        <item x="63"/>
        <item x="179"/>
        <item x="178"/>
        <item x="236"/>
        <item x="234"/>
        <item x="96"/>
        <item x="59"/>
        <item x="257"/>
        <item x="250"/>
        <item x="258"/>
        <item x="8"/>
        <item x="25"/>
        <item x="279"/>
        <item x="224"/>
        <item x="163"/>
        <item x="18"/>
        <item x="210"/>
        <item x="162"/>
        <item x="102"/>
        <item x="135"/>
        <item x="328"/>
        <item x="112"/>
        <item x="160"/>
        <item x="143"/>
        <item x="198"/>
        <item x="320"/>
        <item x="195"/>
        <item x="286"/>
        <item x="229"/>
        <item x="83"/>
        <item x="118"/>
        <item x="91"/>
        <item x="177"/>
        <item x="307"/>
        <item x="232"/>
        <item x="231"/>
        <item x="142"/>
        <item x="78"/>
        <item x="228"/>
        <item x="260"/>
        <item x="242"/>
        <item x="108"/>
        <item x="291"/>
        <item x="285"/>
        <item x="31"/>
        <item x="4"/>
        <item x="248"/>
        <item x="159"/>
        <item x="32"/>
        <item x="275"/>
        <item x="251"/>
        <item x="42"/>
        <item x="136"/>
        <item x="28"/>
        <item x="256"/>
        <item x="203"/>
        <item x="235"/>
        <item x="193"/>
        <item x="241"/>
        <item x="207"/>
        <item x="319"/>
        <item x="86"/>
        <item x="137"/>
        <item x="155"/>
        <item x="39"/>
        <item x="318"/>
        <item x="205"/>
        <item x="148"/>
        <item x="104"/>
        <item x="278"/>
        <item x="43"/>
        <item x="141"/>
        <item x="171"/>
        <item x="240"/>
        <item x="69"/>
        <item x="134"/>
        <item x="45"/>
        <item x="196"/>
        <item x="311"/>
        <item x="157"/>
        <item x="317"/>
        <item x="111"/>
        <item x="107"/>
        <item x="44"/>
        <item x="220"/>
        <item x="156"/>
        <item x="97"/>
        <item x="190"/>
        <item x="271"/>
        <item x="7"/>
        <item x="189"/>
        <item x="120"/>
        <item x="202"/>
        <item x="223"/>
        <item x="58"/>
        <item x="316"/>
        <item x="309"/>
        <item x="200"/>
        <item x="174"/>
        <item x="327"/>
        <item x="326"/>
        <item x="167"/>
        <item x="105"/>
        <item x="268"/>
        <item x="303"/>
        <item x="201"/>
        <item x="310"/>
        <item x="173"/>
        <item x="222"/>
        <item x="199"/>
        <item x="308"/>
        <item x="221"/>
        <item x="315"/>
        <item x="172"/>
        <item x="265"/>
        <item x="70"/>
        <item x="266"/>
        <item x="267"/>
        <item x="99"/>
        <item x="71"/>
        <item x="0"/>
        <item t="default"/>
      </items>
    </pivotField>
    <pivotField showAll="0"/>
    <pivotField dataField="1" showAll="0"/>
    <pivotField showAll="0"/>
    <pivotField showAll="0"/>
    <pivotField showAll="0"/>
    <pivotField showAll="0"/>
    <pivotField dataField="1" showAll="0"/>
    <pivotField numFmtId="166" showAll="0"/>
    <pivotField showAll="0"/>
    <pivotField showAll="0"/>
    <pivotField showAll="0"/>
    <pivotField showAll="0"/>
    <pivotField showAll="0"/>
    <pivotField numFmtId="43" showAll="0"/>
    <pivotField numFmtId="43" showAll="0"/>
    <pivotField numFmtId="43" showAll="0"/>
  </pivotFields>
  <rowFields count="1">
    <field x="3"/>
  </rowFields>
  <rowItems count="6">
    <i>
      <x v="1"/>
    </i>
    <i>
      <x v="3"/>
    </i>
    <i>
      <x v="5"/>
    </i>
    <i>
      <x v="8"/>
    </i>
    <i>
      <x v="11"/>
    </i>
    <i t="grand">
      <x/>
    </i>
  </rowItems>
  <colFields count="1">
    <field x="-2"/>
  </colFields>
  <colItems count="2">
    <i>
      <x/>
    </i>
    <i i="1">
      <x v="1"/>
    </i>
  </colItems>
  <pageFields count="1">
    <pageField fld="0" item="0" hier="-1"/>
  </pageFields>
  <dataFields count="2">
    <dataField name="Sum of 2018 or latest" fld="32" baseField="0" baseItem="0"/>
    <dataField name="Sum of Adjusted 2022"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77D958-CEF7-42AE-B640-9F98C291BD8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1" firstHeaderRow="0" firstDataRow="1" firstDataCol="1"/>
  <pivotFields count="47">
    <pivotField axis="axisRow" showAll="0">
      <items count="48">
        <item x="12"/>
        <item x="0"/>
        <item x="2"/>
        <item x="4"/>
        <item x="3"/>
        <item x="1"/>
        <item x="7"/>
        <item x="11"/>
        <item x="5"/>
        <item x="40"/>
        <item x="10"/>
        <item x="9"/>
        <item x="6"/>
        <item x="8"/>
        <item x="20"/>
        <item x="13"/>
        <item x="38"/>
        <item x="14"/>
        <item x="15"/>
        <item x="18"/>
        <item x="16"/>
        <item x="17"/>
        <item x="19"/>
        <item x="21"/>
        <item x="23"/>
        <item x="22"/>
        <item x="24"/>
        <item x="29"/>
        <item x="25"/>
        <item x="27"/>
        <item x="28"/>
        <item x="26"/>
        <item x="30"/>
        <item x="31"/>
        <item x="32"/>
        <item x="33"/>
        <item x="37"/>
        <item x="34"/>
        <item x="39"/>
        <item x="35"/>
        <item x="44"/>
        <item x="36"/>
        <item x="42"/>
        <item x="41"/>
        <item x="43"/>
        <item x="45"/>
        <item x="4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3" showAll="0"/>
    <pivotField showAll="0"/>
    <pivotField numFmtId="3"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numFmtId="43" showAll="0"/>
    <pivotField numFmtId="43" showAll="0"/>
    <pivotField numFmtId="43"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Average of Pop 2018" fld="15" subtotal="average" baseField="0" baseItem="0"/>
    <dataField name="Average of Pop 2022" fld="2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1EBE5B8-147E-4D13-BEED-4B56490636C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pivotFields count="47">
    <pivotField axis="axisRow" showAll="0">
      <items count="48">
        <item x="12"/>
        <item x="0"/>
        <item x="2"/>
        <item x="4"/>
        <item x="3"/>
        <item x="1"/>
        <item x="7"/>
        <item x="11"/>
        <item x="5"/>
        <item x="40"/>
        <item x="10"/>
        <item x="9"/>
        <item x="6"/>
        <item x="8"/>
        <item x="20"/>
        <item x="13"/>
        <item x="38"/>
        <item x="14"/>
        <item x="15"/>
        <item x="18"/>
        <item x="16"/>
        <item x="17"/>
        <item x="19"/>
        <item x="21"/>
        <item x="23"/>
        <item x="22"/>
        <item x="24"/>
        <item x="29"/>
        <item x="25"/>
        <item x="27"/>
        <item x="28"/>
        <item x="26"/>
        <item x="30"/>
        <item x="31"/>
        <item x="32"/>
        <item x="33"/>
        <item x="37"/>
        <item x="34"/>
        <item x="39"/>
        <item x="35"/>
        <item x="44"/>
        <item x="36"/>
        <item x="42"/>
        <item x="41"/>
        <item x="43"/>
        <item x="45"/>
        <item x="4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numFmtId="43" showAll="0"/>
    <pivotField numFmtId="43" showAll="0"/>
    <pivotField numFmtId="43"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Pop 2022" fld="2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4BE00C2-0AE7-4814-BFC6-79E1D8FEC55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51" firstHeaderRow="0" firstDataRow="1" firstDataCol="1" rowPageCount="1" colPageCount="1"/>
  <pivotFields count="47">
    <pivotField showAll="0"/>
    <pivotField axis="axisRow" showAll="0">
      <items count="49">
        <item h="1" m="1" x="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umFmtId="166" showAll="0"/>
    <pivotField axis="axisPage" multipleItemSelectionAllowed="1" showAll="0">
      <items count="30">
        <item x="22"/>
        <item x="5"/>
        <item m="1" x="28"/>
        <item x="6"/>
        <item x="7"/>
        <item x="9"/>
        <item x="10"/>
        <item x="11"/>
        <item x="18"/>
        <item x="12"/>
        <item m="1" x="24"/>
        <item x="13"/>
        <item x="14"/>
        <item m="1" x="26"/>
        <item m="1" x="25"/>
        <item x="15"/>
        <item x="16"/>
        <item x="17"/>
        <item x="19"/>
        <item x="8"/>
        <item m="1" x="27"/>
        <item x="20"/>
        <item x="21"/>
        <item x="23"/>
        <item x="0"/>
        <item x="1"/>
        <item x="2"/>
        <item x="3"/>
        <item x="4"/>
        <item t="default"/>
      </items>
    </pivotField>
    <pivotField numFmtId="3" showAll="0"/>
    <pivotField numFmtId="166" showAll="0"/>
    <pivotField numFmtId="3" showAll="0"/>
    <pivotField showAll="0"/>
    <pivotField numFmtId="3" showAll="0"/>
    <pivotField showAll="0"/>
    <pivotField numFmtId="3" showAll="0"/>
    <pivotField showAll="0"/>
    <pivotField numFmtId="3" showAll="0"/>
    <pivotField showAll="0"/>
    <pivotField numFmtId="3" showAll="0"/>
    <pivotField numFmtId="166" showAll="0"/>
    <pivotField numFmtId="3" showAll="0"/>
    <pivotField showAll="0"/>
    <pivotField showAll="0"/>
    <pivotField numFmtId="3" showAll="0"/>
    <pivotField showAll="0"/>
    <pivotField numFmtId="3" showAll="0"/>
    <pivotField showAll="0"/>
    <pivotField showAll="0"/>
    <pivotField numFmtId="166" showAll="0"/>
    <pivotField numFmtId="3" showAll="0"/>
    <pivotField showAll="0"/>
    <pivotField showAll="0"/>
    <pivotField showAll="0"/>
    <pivotField showAll="0"/>
    <pivotField dataField="1" showAll="0"/>
    <pivotField showAll="0"/>
    <pivotField dataField="1" showAll="0"/>
    <pivotField showAll="0"/>
    <pivotField dataField="1" showAll="0"/>
    <pivotField showAll="0"/>
    <pivotField showAll="0"/>
    <pivotField dataField="1" showAll="0"/>
    <pivotField dataField="1" showAll="0"/>
    <pivotField showAll="0"/>
    <pivotField numFmtId="167" showAll="0"/>
    <pivotField numFmtId="167" showAll="0"/>
    <pivotField numFmtId="166" showAll="0"/>
    <pivotField numFmtId="166" showAll="0"/>
    <pivotField numFmtId="43" showAll="0"/>
    <pivotField numFmtId="43" showAll="0"/>
    <pivotField showAll="0"/>
  </pivotFields>
  <rowFields count="1">
    <field x="1"/>
  </rowFields>
  <rowItems count="48">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5">
    <i>
      <x/>
    </i>
    <i i="1">
      <x v="1"/>
    </i>
    <i i="2">
      <x v="2"/>
    </i>
    <i i="3">
      <x v="3"/>
    </i>
    <i i="4">
      <x v="4"/>
    </i>
  </colItems>
  <pageFields count="1">
    <pageField fld="3" hier="-1"/>
  </pageFields>
  <dataFields count="5">
    <dataField name="Sum of 2013 or latest" fld="30" baseField="0" baseItem="0"/>
    <dataField name="Sum of Adjusted 2022" fld="37" baseField="1" baseItem="0"/>
    <dataField name="Sum of Adjustment for gross underrepoting 2022" fld="38" baseField="1" baseItem="0"/>
    <dataField name="Sum of 2018 or latest" fld="32" baseField="0" baseItem="0"/>
    <dataField name="Sum of 2022 or latest" fld="34" baseField="0" baseItem="0"/>
  </dataFields>
  <formats count="19">
    <format dxfId="39">
      <pivotArea outline="0" collapsedLevelsAreSubtotals="1" fieldPosition="0"/>
    </format>
    <format dxfId="38">
      <pivotArea field="1" grandRow="1" outline="0" collapsedLevelsAreSubtotals="1" axis="axisRow" fieldPosition="0">
        <references count="1">
          <reference field="4294967294" count="1" selected="0">
            <x v="2"/>
          </reference>
        </references>
      </pivotArea>
    </format>
    <format dxfId="37">
      <pivotArea field="1" grandRow="1" outline="0" collapsedLevelsAreSubtotals="1" axis="axisRow" fieldPosition="0">
        <references count="1">
          <reference field="4294967294" count="1" selected="0">
            <x v="4"/>
          </reference>
        </references>
      </pivotArea>
    </format>
    <format dxfId="36">
      <pivotArea collapsedLevelsAreSubtotals="1" fieldPosition="0">
        <references count="1">
          <reference field="1" count="1">
            <x v="8"/>
          </reference>
        </references>
      </pivotArea>
    </format>
    <format dxfId="35">
      <pivotArea dataOnly="0" labelOnly="1" fieldPosition="0">
        <references count="1">
          <reference field="1" count="1">
            <x v="8"/>
          </reference>
        </references>
      </pivotArea>
    </format>
    <format dxfId="34">
      <pivotArea collapsedLevelsAreSubtotals="1" fieldPosition="0">
        <references count="1">
          <reference field="1" count="1">
            <x v="13"/>
          </reference>
        </references>
      </pivotArea>
    </format>
    <format dxfId="33">
      <pivotArea dataOnly="0" labelOnly="1" fieldPosition="0">
        <references count="1">
          <reference field="1" count="1">
            <x v="13"/>
          </reference>
        </references>
      </pivotArea>
    </format>
    <format dxfId="32">
      <pivotArea collapsedLevelsAreSubtotals="1" fieldPosition="0">
        <references count="1">
          <reference field="1" count="1">
            <x v="15"/>
          </reference>
        </references>
      </pivotArea>
    </format>
    <format dxfId="31">
      <pivotArea dataOnly="0" labelOnly="1" fieldPosition="0">
        <references count="1">
          <reference field="1" count="1">
            <x v="15"/>
          </reference>
        </references>
      </pivotArea>
    </format>
    <format dxfId="30">
      <pivotArea collapsedLevelsAreSubtotals="1" fieldPosition="0">
        <references count="1">
          <reference field="1" count="1">
            <x v="22"/>
          </reference>
        </references>
      </pivotArea>
    </format>
    <format dxfId="29">
      <pivotArea dataOnly="0" labelOnly="1" fieldPosition="0">
        <references count="1">
          <reference field="1" count="1">
            <x v="22"/>
          </reference>
        </references>
      </pivotArea>
    </format>
    <format dxfId="28">
      <pivotArea collapsedLevelsAreSubtotals="1" fieldPosition="0">
        <references count="1">
          <reference field="1" count="1">
            <x v="26"/>
          </reference>
        </references>
      </pivotArea>
    </format>
    <format dxfId="27">
      <pivotArea dataOnly="0" labelOnly="1" fieldPosition="0">
        <references count="1">
          <reference field="1" count="1">
            <x v="26"/>
          </reference>
        </references>
      </pivotArea>
    </format>
    <format dxfId="26">
      <pivotArea collapsedLevelsAreSubtotals="1" fieldPosition="0">
        <references count="1">
          <reference field="1" count="1">
            <x v="33"/>
          </reference>
        </references>
      </pivotArea>
    </format>
    <format dxfId="25">
      <pivotArea dataOnly="0" labelOnly="1" fieldPosition="0">
        <references count="1">
          <reference field="1" count="1">
            <x v="33"/>
          </reference>
        </references>
      </pivotArea>
    </format>
    <format dxfId="24">
      <pivotArea collapsedLevelsAreSubtotals="1" fieldPosition="0">
        <references count="1">
          <reference field="1" count="3">
            <x v="38"/>
            <x v="39"/>
            <x v="40"/>
          </reference>
        </references>
      </pivotArea>
    </format>
    <format dxfId="23">
      <pivotArea dataOnly="0" labelOnly="1" fieldPosition="0">
        <references count="1">
          <reference field="1" count="3">
            <x v="38"/>
            <x v="39"/>
            <x v="40"/>
          </reference>
        </references>
      </pivotArea>
    </format>
    <format dxfId="22">
      <pivotArea collapsedLevelsAreSubtotals="1" fieldPosition="0">
        <references count="1">
          <reference field="1" count="1">
            <x v="47"/>
          </reference>
        </references>
      </pivotArea>
    </format>
    <format dxfId="21">
      <pivotArea dataOnly="0" labelOnly="1" fieldPosition="0">
        <references count="1">
          <reference field="1" count="1">
            <x v="4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D40787-3BE7-9949-A41D-0B4C3579E9AA}" name="Table2" displayName="Table2" ref="D4:H10" totalsRowShown="0" headerRowDxfId="20" tableBorderDxfId="19">
  <autoFilter ref="D4:H10" xr:uid="{D7D40787-3BE7-9949-A41D-0B4C3579E9AA}"/>
  <tableColumns count="5">
    <tableColumn id="1" xr3:uid="{D7874446-DAD2-C646-81FA-BE48434926F1}" name="Occupation" dataDxfId="18"/>
    <tableColumn id="2" xr3:uid="{42ABEAED-6C7E-4A40-9275-BFD3599BC011}" name="2022 Estimate" dataDxfId="17"/>
    <tableColumn id="3" xr3:uid="{074C1D96-B3B8-A841-98D3-87ABE7383401}" name="2018 Estimate" dataDxfId="16"/>
    <tableColumn id="4" xr3:uid="{0E1DB6C5-99ED-1B4C-AA87-F355E307E4F0}" name="Change in Headcount" dataDxfId="15">
      <calculatedColumnFormula>E5-F5</calculatedColumnFormula>
    </tableColumn>
    <tableColumn id="5" xr3:uid="{E57B0C8A-6F52-4949-B953-E2D79D852C70}" name="% change 2018-2022" dataDxfId="14">
      <calculatedColumnFormula>(E5/F5)-1</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3A4F67-52E1-844F-B8AD-542EA1EF873B}" name="Table1" displayName="Table1" ref="A1:I49" totalsRowShown="0" headerRowDxfId="13">
  <autoFilter ref="A1:I49" xr:uid="{BD3A4F67-52E1-844F-B8AD-542EA1EF873B}"/>
  <tableColumns count="9">
    <tableColumn id="1" xr3:uid="{F4E5E342-73A8-484C-AA15-3FD83963FE67}" name="Country Name"/>
    <tableColumn id="2" xr3:uid="{3F70487A-9BE4-4941-89E3-6CBF5442BA0E}" name="Total Public sector" dataDxfId="12" dataCellStyle="Comma"/>
    <tableColumn id="3" xr3:uid="{B5777ED7-D25A-8949-8C02-1FDD61F62883}" name="Total PFP" dataDxfId="11" dataCellStyle="Comma"/>
    <tableColumn id="4" xr3:uid="{DF711561-69CA-B14D-8F5F-E71E90E94B15}" name="Total PFNP" dataDxfId="10" dataCellStyle="Comma"/>
    <tableColumn id="5" xr3:uid="{1FA8C9A0-E706-EA42-90BA-A5988CCD98EE}" name="Total private" dataDxfId="9" dataCellStyle="Comma"/>
    <tableColumn id="6" xr3:uid="{14C01B89-F671-0546-AC16-D564A9F8064F}" name="Over all Stock" dataDxfId="8" dataCellStyle="Comma"/>
    <tableColumn id="7" xr3:uid="{43FC0B5D-4202-A349-8962-9C7118A06959}" name="Proportion Private sector" dataDxfId="7"/>
    <tableColumn id="8" xr3:uid="{A2001310-D7E4-374C-AAE5-4DA8F324EFD5}" name="Adj. Factor_Trans" dataDxfId="6" dataCellStyle="Comma"/>
    <tableColumn id="9" xr3:uid="{23658CC7-4008-ED40-A5A3-1234E8CD1F0C}" name="Adj. Factor" dataDxfId="5" dataCellStyle="Comma"/>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3" dT="2024-02-15T08:27:46.21" personId="{2B729F43-0210-4EB4-BA0B-75BBED16D82C}" id="{B0A06633-36E2-4131-8094-1E9FE1D72B8E}">
    <text>Strategic plan 2018-2023</text>
  </threadedComment>
</ThreadedComments>
</file>

<file path=xl/threadedComments/threadedComment2.xml><?xml version="1.0" encoding="utf-8"?>
<ThreadedComments xmlns="http://schemas.microsoft.com/office/spreadsheetml/2018/threadedcomments" xmlns:x="http://schemas.openxmlformats.org/spreadsheetml/2006/main">
  <threadedComment ref="AI1509" dT="2024-02-17T14:42:44.61" personId="{2B729F43-0210-4EB4-BA0B-75BBED16D82C}" id="{A136B366-A489-48A2-BE7B-130196F66B26}">
    <text>HLMA</text>
  </threadedComment>
  <threadedComment ref="Z1525" dT="2024-02-17T14:34:57.15" personId="{2B729F43-0210-4EB4-BA0B-75BBED16D82C}" id="{E5B8BDAF-8BE8-4F09-AA59-8609FA71DF7C}">
    <text>HLMA</text>
  </threadedComment>
  <threadedComment ref="AI1525" dT="2024-02-17T14:34:57.15" personId="{2B729F43-0210-4EB4-BA0B-75BBED16D82C}" id="{08F3E3F8-BE56-4044-8668-E747ECB8CBFB}">
    <text>HLMA</text>
  </threadedComment>
  <threadedComment ref="Z1534" dT="2024-02-17T14:32:04.36" personId="{2B729F43-0210-4EB4-BA0B-75BBED16D82C}" id="{BA260DAC-25B7-445A-B27A-A89FAD2EF7FB}">
    <text>HLMA</text>
  </threadedComment>
  <threadedComment ref="AI1534" dT="2024-02-17T14:32:04.36" personId="{2B729F43-0210-4EB4-BA0B-75BBED16D82C}" id="{E5FFE910-95AF-4468-B7E4-1CA4FB20DC78}">
    <text>HLMA</text>
  </threadedComment>
  <threadedComment ref="Z1536" dT="2024-02-17T14:35:56.72" personId="{2B729F43-0210-4EB4-BA0B-75BBED16D82C}" id="{54672D3F-C4D2-4DAC-8ACB-A374B050A817}">
    <text>HLMA</text>
  </threadedComment>
  <threadedComment ref="AI1536" dT="2024-02-17T14:35:56.72" personId="{2B729F43-0210-4EB4-BA0B-75BBED16D82C}" id="{4F20B7A2-C73F-4F24-99D1-8F018395A0D3}">
    <text>HLMA</text>
  </threadedComment>
  <threadedComment ref="AI1542" dT="2024-02-17T14:25:03.97" personId="{2B729F43-0210-4EB4-BA0B-75BBED16D82C}" id="{0EAAF55A-4FA0-426A-8EC9-5E1BF83EF603}">
    <text>HLMA</text>
  </threadedComment>
  <threadedComment ref="AI1545" dT="2024-02-17T14:25:58.59" personId="{2B729F43-0210-4EB4-BA0B-75BBED16D82C}" id="{B14408E7-5D23-4B00-A0D5-9608849E38BF}">
    <text>HLMA</text>
  </threadedComment>
</ThreadedComments>
</file>

<file path=xl/threadedComments/threadedComment3.xml><?xml version="1.0" encoding="utf-8"?>
<ThreadedComments xmlns="http://schemas.microsoft.com/office/spreadsheetml/2018/threadedcomments" xmlns:x="http://schemas.openxmlformats.org/spreadsheetml/2006/main">
  <threadedComment ref="AI1744" dT="2024-02-17T14:42:44.61" personId="{2B729F43-0210-4EB4-BA0B-75BBED16D82C}" id="{73F9975D-01BA-4C04-B406-21F74EF63969}">
    <text>HLMA</text>
  </threadedComment>
  <threadedComment ref="Z1760" dT="2024-02-17T14:34:57.15" personId="{2B729F43-0210-4EB4-BA0B-75BBED16D82C}" id="{59F1D53C-EF46-43F7-A585-E2AC5BEE7B7B}">
    <text>HLMA</text>
  </threadedComment>
  <threadedComment ref="AI1760" dT="2024-02-17T14:34:57.15" personId="{2B729F43-0210-4EB4-BA0B-75BBED16D82C}" id="{4B51D69B-DFC7-4B47-B8B2-DCBE8B6F9AFA}">
    <text>HLMA</text>
  </threadedComment>
  <threadedComment ref="Z1769" dT="2024-02-17T14:32:04.36" personId="{2B729F43-0210-4EB4-BA0B-75BBED16D82C}" id="{A7B10DD2-7D4E-429B-9253-70942B763526}">
    <text>HLMA</text>
  </threadedComment>
  <threadedComment ref="AI1769" dT="2024-02-17T14:32:04.36" personId="{2B729F43-0210-4EB4-BA0B-75BBED16D82C}" id="{E74C9F7E-2D86-462B-9FB8-EAFE97EBE26B}">
    <text>HLMA</text>
  </threadedComment>
  <threadedComment ref="Z1771" dT="2024-02-17T14:35:56.72" personId="{2B729F43-0210-4EB4-BA0B-75BBED16D82C}" id="{B11B09A6-16AF-4942-8D9D-3C244BA2A721}">
    <text>HLMA</text>
  </threadedComment>
  <threadedComment ref="AI1771" dT="2024-02-17T14:35:56.72" personId="{2B729F43-0210-4EB4-BA0B-75BBED16D82C}" id="{05F014F4-23D6-4EF8-AC5B-A6A96BA8AFA0}">
    <text>HLMA</text>
  </threadedComment>
  <threadedComment ref="AI1777" dT="2024-02-17T14:25:03.97" personId="{2B729F43-0210-4EB4-BA0B-75BBED16D82C}" id="{F20B2B61-A7CC-4300-A920-A494B05D4C52}">
    <text>HLMA</text>
  </threadedComment>
  <threadedComment ref="AI1780" dT="2024-02-17T14:25:58.59" personId="{2B729F43-0210-4EB4-BA0B-75BBED16D82C}" id="{5B962979-EBCE-4ADF-A0B1-84447C46D1A9}">
    <text>HLMA</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A1C73-189E-49DB-9C8A-D7B7B3DA60AC}">
  <dimension ref="A1:G49"/>
  <sheetViews>
    <sheetView topLeftCell="A7" zoomScale="90" zoomScaleNormal="90" workbookViewId="0">
      <selection activeCell="I18" sqref="I18"/>
    </sheetView>
  </sheetViews>
  <sheetFormatPr defaultColWidth="8.6328125" defaultRowHeight="17.5" x14ac:dyDescent="0.35"/>
  <cols>
    <col min="1" max="1" width="40" style="5" bestFit="1" customWidth="1"/>
    <col min="2" max="2" width="15.36328125" style="5" customWidth="1"/>
    <col min="3" max="3" width="13.6328125" style="6" customWidth="1"/>
    <col min="4" max="4" width="15.1796875" style="5" customWidth="1"/>
    <col min="5" max="5" width="12.6328125" style="6" customWidth="1"/>
    <col min="6" max="6" width="16.6328125" style="5" customWidth="1"/>
    <col min="7" max="7" width="8.6328125" style="6"/>
    <col min="8" max="16384" width="8.6328125" style="5"/>
  </cols>
  <sheetData>
    <row r="1" spans="1:7" s="4" customFormat="1" ht="90" x14ac:dyDescent="0.4">
      <c r="A1" s="7" t="s">
        <v>0</v>
      </c>
      <c r="B1" s="8" t="s">
        <v>4</v>
      </c>
      <c r="C1" s="9" t="s">
        <v>5</v>
      </c>
      <c r="D1" s="8" t="s">
        <v>6</v>
      </c>
      <c r="E1" s="9" t="s">
        <v>5</v>
      </c>
      <c r="F1" s="8" t="s">
        <v>7</v>
      </c>
      <c r="G1" s="9" t="s">
        <v>8</v>
      </c>
    </row>
    <row r="2" spans="1:7" x14ac:dyDescent="0.35">
      <c r="A2" s="10" t="s">
        <v>42</v>
      </c>
      <c r="B2" s="11">
        <v>6.0717944607399872</v>
      </c>
      <c r="C2" s="12">
        <v>2013</v>
      </c>
      <c r="D2" s="11">
        <v>7.25</v>
      </c>
      <c r="E2" s="12">
        <v>2013</v>
      </c>
      <c r="F2" s="11">
        <v>3.2439575327794725</v>
      </c>
      <c r="G2" s="12">
        <v>2022</v>
      </c>
    </row>
    <row r="3" spans="1:7" x14ac:dyDescent="0.35">
      <c r="A3" s="10" t="s">
        <v>39</v>
      </c>
      <c r="B3" s="11">
        <v>2.0563196545561206</v>
      </c>
      <c r="C3" s="12">
        <v>2012</v>
      </c>
      <c r="D3" s="11">
        <v>0.43702429330641607</v>
      </c>
      <c r="E3" s="12">
        <v>2017</v>
      </c>
      <c r="F3" s="11">
        <v>4.5715089831525146</v>
      </c>
      <c r="G3" s="12">
        <v>2022</v>
      </c>
    </row>
    <row r="4" spans="1:7" x14ac:dyDescent="0.35">
      <c r="A4" s="10" t="s">
        <v>2</v>
      </c>
      <c r="B4" s="11">
        <v>2.140583665118593</v>
      </c>
      <c r="C4" s="12">
        <v>2013</v>
      </c>
      <c r="D4" s="11">
        <v>5.1915897905374049</v>
      </c>
      <c r="E4" s="12">
        <v>2015</v>
      </c>
      <c r="F4" s="11">
        <v>4.8468482979545486</v>
      </c>
      <c r="G4" s="12">
        <v>2021</v>
      </c>
    </row>
    <row r="5" spans="1:7" x14ac:dyDescent="0.35">
      <c r="A5" s="10" t="s">
        <v>24</v>
      </c>
      <c r="B5" s="11">
        <v>7.0068065125157624</v>
      </c>
      <c r="C5" s="12">
        <v>2012</v>
      </c>
      <c r="D5" s="11">
        <v>2.2400086329367159</v>
      </c>
      <c r="E5" s="12">
        <v>2017</v>
      </c>
      <c r="F5" s="11">
        <v>4.87</v>
      </c>
      <c r="G5" s="12">
        <v>2021</v>
      </c>
    </row>
    <row r="6" spans="1:7" x14ac:dyDescent="0.35">
      <c r="A6" s="10" t="s">
        <v>3</v>
      </c>
      <c r="B6" s="11">
        <v>9.3252985763915337</v>
      </c>
      <c r="C6" s="12">
        <v>2012</v>
      </c>
      <c r="D6" s="11">
        <v>11.3530068548844</v>
      </c>
      <c r="E6" s="12">
        <v>2017</v>
      </c>
      <c r="F6" s="11">
        <v>6</v>
      </c>
      <c r="G6" s="12">
        <v>2021</v>
      </c>
    </row>
    <row r="7" spans="1:7" x14ac:dyDescent="0.35">
      <c r="A7" s="10" t="s">
        <v>16</v>
      </c>
      <c r="B7" s="11">
        <v>6.4053784481045959</v>
      </c>
      <c r="C7" s="12">
        <v>2012</v>
      </c>
      <c r="D7" s="11">
        <v>5.4859231318496136</v>
      </c>
      <c r="E7" s="12">
        <v>2017</v>
      </c>
      <c r="F7" s="11">
        <v>6.0615072874771805</v>
      </c>
      <c r="G7" s="12">
        <v>2022</v>
      </c>
    </row>
    <row r="8" spans="1:7" x14ac:dyDescent="0.35">
      <c r="A8" s="10" t="s">
        <v>20</v>
      </c>
      <c r="B8" s="11">
        <v>14.352312205937412</v>
      </c>
      <c r="C8" s="12">
        <v>2014</v>
      </c>
      <c r="D8" s="11">
        <v>15.9</v>
      </c>
      <c r="E8" s="12">
        <v>2018</v>
      </c>
      <c r="F8" s="11">
        <v>8.0407866449345082</v>
      </c>
      <c r="G8" s="12">
        <v>2022</v>
      </c>
    </row>
    <row r="9" spans="1:7" x14ac:dyDescent="0.35">
      <c r="A9" s="10" t="s">
        <v>26</v>
      </c>
      <c r="B9" s="11">
        <v>9.4334212934220361</v>
      </c>
      <c r="C9" s="12">
        <v>2012</v>
      </c>
      <c r="D9" s="11">
        <v>2.3695903878725861</v>
      </c>
      <c r="E9" s="12">
        <v>2017</v>
      </c>
      <c r="F9" s="11">
        <v>11.025250723208414</v>
      </c>
      <c r="G9" s="12">
        <v>2022</v>
      </c>
    </row>
    <row r="10" spans="1:7" x14ac:dyDescent="0.35">
      <c r="A10" s="10" t="s">
        <v>25</v>
      </c>
      <c r="B10" s="11">
        <v>4.7339196733208535</v>
      </c>
      <c r="C10" s="12">
        <v>2013</v>
      </c>
      <c r="D10" s="11">
        <v>6.54</v>
      </c>
      <c r="E10" s="12">
        <v>2016</v>
      </c>
      <c r="F10" s="11">
        <v>11.044670637674246</v>
      </c>
      <c r="G10" s="12">
        <v>2022</v>
      </c>
    </row>
    <row r="11" spans="1:7" x14ac:dyDescent="0.35">
      <c r="A11" s="10" t="s">
        <v>31</v>
      </c>
      <c r="B11" s="11">
        <v>5.8357263623936824</v>
      </c>
      <c r="C11" s="12">
        <v>2013</v>
      </c>
      <c r="D11" s="11">
        <v>7.7689410325104689</v>
      </c>
      <c r="E11" s="12">
        <v>2017</v>
      </c>
      <c r="F11" s="11">
        <v>11.524302702014715</v>
      </c>
      <c r="G11" s="12">
        <v>2022</v>
      </c>
    </row>
    <row r="12" spans="1:7" x14ac:dyDescent="0.35">
      <c r="A12" s="10" t="s">
        <v>51</v>
      </c>
      <c r="B12" s="11">
        <v>2.3120560848798992</v>
      </c>
      <c r="C12" s="12">
        <v>2013</v>
      </c>
      <c r="D12" s="11">
        <v>10.133971407632565</v>
      </c>
      <c r="E12" s="12">
        <v>2017</v>
      </c>
      <c r="F12" s="11">
        <v>12.011935992620833</v>
      </c>
      <c r="G12" s="12">
        <v>2022</v>
      </c>
    </row>
    <row r="13" spans="1:7" x14ac:dyDescent="0.35">
      <c r="A13" s="10" t="s">
        <v>28</v>
      </c>
      <c r="B13" s="11">
        <v>9.3475839680726729</v>
      </c>
      <c r="C13" s="12">
        <v>2012</v>
      </c>
      <c r="D13" s="11">
        <v>11.3922425013496</v>
      </c>
      <c r="E13" s="12">
        <v>2017</v>
      </c>
      <c r="F13" s="11">
        <v>12.111186883120538</v>
      </c>
      <c r="G13" s="12">
        <v>2022</v>
      </c>
    </row>
    <row r="14" spans="1:7" x14ac:dyDescent="0.35">
      <c r="A14" s="10" t="s">
        <v>30</v>
      </c>
      <c r="B14" s="11">
        <v>3.1095318636711702</v>
      </c>
      <c r="C14" s="12">
        <v>2013</v>
      </c>
      <c r="D14" s="11">
        <v>7.6923460584371375</v>
      </c>
      <c r="E14" s="12">
        <v>2017</v>
      </c>
      <c r="F14" s="11">
        <v>13.190000000000001</v>
      </c>
      <c r="G14" s="12">
        <v>2021</v>
      </c>
    </row>
    <row r="15" spans="1:7" x14ac:dyDescent="0.35">
      <c r="A15" s="10" t="s">
        <v>48</v>
      </c>
      <c r="B15" s="11">
        <v>24.67</v>
      </c>
      <c r="C15" s="12">
        <v>2013</v>
      </c>
      <c r="D15" s="13">
        <v>26.42</v>
      </c>
      <c r="E15" s="12">
        <v>2018</v>
      </c>
      <c r="F15" s="11">
        <v>14.34</v>
      </c>
      <c r="G15" s="12">
        <v>2021</v>
      </c>
    </row>
    <row r="16" spans="1:7" x14ac:dyDescent="0.35">
      <c r="A16" s="10" t="s">
        <v>35</v>
      </c>
      <c r="B16" s="11">
        <v>2.881317367113417E-2</v>
      </c>
      <c r="C16" s="12">
        <v>2013</v>
      </c>
      <c r="D16" s="11"/>
      <c r="E16" s="12">
        <v>2017</v>
      </c>
      <c r="F16" s="11">
        <v>15.18</v>
      </c>
      <c r="G16" s="12">
        <v>2020</v>
      </c>
    </row>
    <row r="17" spans="1:7" x14ac:dyDescent="0.35">
      <c r="A17" s="10" t="s">
        <v>22</v>
      </c>
      <c r="B17" s="11">
        <v>31.954127592820953</v>
      </c>
      <c r="C17" s="12">
        <v>2012</v>
      </c>
      <c r="D17" s="11">
        <v>21.724218022843221</v>
      </c>
      <c r="E17" s="12">
        <v>2017</v>
      </c>
      <c r="F17" s="11">
        <v>15.340709813136417</v>
      </c>
      <c r="G17" s="12">
        <v>2022</v>
      </c>
    </row>
    <row r="18" spans="1:7" x14ac:dyDescent="0.35">
      <c r="A18" s="10" t="s">
        <v>18</v>
      </c>
      <c r="B18" s="11">
        <v>23.15365155210009</v>
      </c>
      <c r="C18" s="12">
        <v>2012</v>
      </c>
      <c r="D18" s="11">
        <v>16.613601273149484</v>
      </c>
      <c r="E18" s="12">
        <v>2017</v>
      </c>
      <c r="F18" s="11">
        <v>15.973996137376364</v>
      </c>
      <c r="G18" s="12">
        <v>2021</v>
      </c>
    </row>
    <row r="19" spans="1:7" x14ac:dyDescent="0.35">
      <c r="A19" s="10" t="s">
        <v>11</v>
      </c>
      <c r="B19" s="11">
        <v>13.243355342181514</v>
      </c>
      <c r="C19" s="12">
        <v>2012</v>
      </c>
      <c r="D19" s="11">
        <v>15.596685797517777</v>
      </c>
      <c r="E19" s="12">
        <v>2016</v>
      </c>
      <c r="F19" s="11">
        <v>16.073705236569474</v>
      </c>
      <c r="G19" s="12">
        <v>2022</v>
      </c>
    </row>
    <row r="20" spans="1:7" x14ac:dyDescent="0.35">
      <c r="A20" s="10" t="s">
        <v>15</v>
      </c>
      <c r="B20" s="11">
        <v>17.43</v>
      </c>
      <c r="C20" s="12">
        <v>2013</v>
      </c>
      <c r="D20" s="11">
        <v>9.9</v>
      </c>
      <c r="E20" s="12">
        <v>2018</v>
      </c>
      <c r="F20" s="11">
        <v>16.177592631710013</v>
      </c>
      <c r="G20" s="12">
        <v>2022</v>
      </c>
    </row>
    <row r="21" spans="1:7" x14ac:dyDescent="0.35">
      <c r="A21" s="10" t="s">
        <v>13</v>
      </c>
      <c r="B21" s="11">
        <v>14.292307706442939</v>
      </c>
      <c r="C21" s="12">
        <v>2012</v>
      </c>
      <c r="D21" s="11">
        <v>16.549546043854413</v>
      </c>
      <c r="E21" s="12">
        <v>2017</v>
      </c>
      <c r="F21" s="11">
        <v>16.608753273488389</v>
      </c>
      <c r="G21" s="12">
        <v>2021</v>
      </c>
    </row>
    <row r="22" spans="1:7" x14ac:dyDescent="0.35">
      <c r="A22" s="10" t="s">
        <v>34</v>
      </c>
      <c r="B22" s="11">
        <v>22.098772617188889</v>
      </c>
      <c r="C22" s="12">
        <v>2012</v>
      </c>
      <c r="D22" s="11">
        <v>15.766965569476405</v>
      </c>
      <c r="E22" s="12">
        <v>2017</v>
      </c>
      <c r="F22" s="11">
        <v>16.684498677479077</v>
      </c>
      <c r="G22" s="12">
        <v>2022</v>
      </c>
    </row>
    <row r="23" spans="1:7" x14ac:dyDescent="0.35">
      <c r="A23" s="10" t="s">
        <v>49</v>
      </c>
      <c r="B23" s="11">
        <v>3.3499999999999996</v>
      </c>
      <c r="C23" s="12">
        <v>2013</v>
      </c>
      <c r="D23" s="11">
        <v>16.296796826080339</v>
      </c>
      <c r="E23" s="12">
        <v>2017</v>
      </c>
      <c r="F23" s="11">
        <v>17.849905557366419</v>
      </c>
      <c r="G23" s="12">
        <v>2022</v>
      </c>
    </row>
    <row r="24" spans="1:7" x14ac:dyDescent="0.35">
      <c r="A24" s="10" t="s">
        <v>52</v>
      </c>
      <c r="B24" s="11">
        <v>23.080771745045126</v>
      </c>
      <c r="C24" s="12">
        <v>2012</v>
      </c>
      <c r="D24" s="11">
        <v>19.3</v>
      </c>
      <c r="E24" s="12">
        <v>2017</v>
      </c>
      <c r="F24" s="11">
        <v>18.73</v>
      </c>
      <c r="G24" s="12">
        <v>2021</v>
      </c>
    </row>
    <row r="25" spans="1:7" x14ac:dyDescent="0.35">
      <c r="A25" s="10" t="s">
        <v>56</v>
      </c>
      <c r="B25" s="11">
        <v>11.242912124304898</v>
      </c>
      <c r="C25" s="12">
        <v>2013</v>
      </c>
      <c r="D25" s="11">
        <v>16.29</v>
      </c>
      <c r="E25" s="12">
        <v>2018</v>
      </c>
      <c r="F25" s="11">
        <v>19.412978283355155</v>
      </c>
      <c r="G25" s="12">
        <v>2022</v>
      </c>
    </row>
    <row r="26" spans="1:7" x14ac:dyDescent="0.35">
      <c r="A26" s="10" t="s">
        <v>17</v>
      </c>
      <c r="B26" s="11">
        <v>5.13</v>
      </c>
      <c r="C26" s="12">
        <v>2013</v>
      </c>
      <c r="D26" s="11">
        <v>15.730402138562642</v>
      </c>
      <c r="E26" s="12">
        <v>2017</v>
      </c>
      <c r="F26" s="11">
        <v>19.547342301786127</v>
      </c>
      <c r="G26" s="12">
        <v>2022</v>
      </c>
    </row>
    <row r="27" spans="1:7" x14ac:dyDescent="0.35">
      <c r="A27" s="10" t="s">
        <v>23</v>
      </c>
      <c r="B27" s="11">
        <v>3.6410350523031756</v>
      </c>
      <c r="C27" s="12">
        <v>2013</v>
      </c>
      <c r="D27" s="11">
        <v>15.78</v>
      </c>
      <c r="E27" s="12">
        <v>2018</v>
      </c>
      <c r="F27" s="11">
        <v>19.693811488943037</v>
      </c>
      <c r="G27" s="12">
        <v>2022</v>
      </c>
    </row>
    <row r="28" spans="1:7" x14ac:dyDescent="0.35">
      <c r="A28" s="10" t="s">
        <v>14</v>
      </c>
      <c r="B28" s="11">
        <v>30.382269641706497</v>
      </c>
      <c r="C28" s="12">
        <v>2012</v>
      </c>
      <c r="D28" s="11">
        <v>24.355965264428594</v>
      </c>
      <c r="E28" s="12">
        <v>2017</v>
      </c>
      <c r="F28" s="11">
        <v>20.27</v>
      </c>
      <c r="G28" s="12">
        <v>2021</v>
      </c>
    </row>
    <row r="29" spans="1:7" x14ac:dyDescent="0.35">
      <c r="A29" s="10" t="s">
        <v>33</v>
      </c>
      <c r="B29" s="11">
        <v>23.813836275352912</v>
      </c>
      <c r="C29" s="12">
        <v>2013</v>
      </c>
      <c r="D29" s="11">
        <v>15.57785472491247</v>
      </c>
      <c r="E29" s="12">
        <v>2017</v>
      </c>
      <c r="F29" s="11">
        <v>23.248495941884208</v>
      </c>
      <c r="G29" s="12">
        <v>2022</v>
      </c>
    </row>
    <row r="30" spans="1:7" x14ac:dyDescent="0.35">
      <c r="A30" s="10" t="s">
        <v>1</v>
      </c>
      <c r="B30" s="11">
        <v>13.142661894475681</v>
      </c>
      <c r="C30" s="12">
        <v>2012</v>
      </c>
      <c r="D30" s="11">
        <v>19.096728281258905</v>
      </c>
      <c r="E30" s="12">
        <v>2017</v>
      </c>
      <c r="F30" s="11">
        <v>23.85885500606383</v>
      </c>
      <c r="G30" s="12">
        <v>2022</v>
      </c>
    </row>
    <row r="31" spans="1:7" x14ac:dyDescent="0.35">
      <c r="A31" s="10" t="s">
        <v>21</v>
      </c>
      <c r="B31" s="11">
        <v>10.44910845367626</v>
      </c>
      <c r="C31" s="12">
        <v>2013</v>
      </c>
      <c r="D31" s="11">
        <v>13.87</v>
      </c>
      <c r="E31" s="12">
        <v>2018</v>
      </c>
      <c r="F31" s="11">
        <v>23.922314456615108</v>
      </c>
      <c r="G31" s="12">
        <v>2022</v>
      </c>
    </row>
    <row r="32" spans="1:7" x14ac:dyDescent="0.35">
      <c r="A32" s="10" t="s">
        <v>40</v>
      </c>
      <c r="B32" s="11">
        <v>18.935116158818431</v>
      </c>
      <c r="C32" s="12">
        <v>2013</v>
      </c>
      <c r="D32" s="11">
        <v>19.93</v>
      </c>
      <c r="E32" s="12">
        <v>2016</v>
      </c>
      <c r="F32" s="11">
        <v>25.624645753802405</v>
      </c>
      <c r="G32" s="12">
        <v>2022</v>
      </c>
    </row>
    <row r="33" spans="1:7" x14ac:dyDescent="0.35">
      <c r="A33" s="10" t="s">
        <v>47</v>
      </c>
      <c r="B33" s="11">
        <v>18.455208445965461</v>
      </c>
      <c r="C33" s="12">
        <v>2013</v>
      </c>
      <c r="D33" s="11">
        <v>17.333451205673981</v>
      </c>
      <c r="E33" s="12">
        <v>2017</v>
      </c>
      <c r="F33" s="11">
        <v>27.562611420325005</v>
      </c>
      <c r="G33" s="12">
        <v>2022</v>
      </c>
    </row>
    <row r="34" spans="1:7" x14ac:dyDescent="0.35">
      <c r="A34" s="10" t="s">
        <v>50</v>
      </c>
      <c r="B34" s="11">
        <v>27.154136660147369</v>
      </c>
      <c r="C34" s="12">
        <v>2013</v>
      </c>
      <c r="D34" s="11">
        <v>28.216629530226221</v>
      </c>
      <c r="E34" s="12">
        <v>2017</v>
      </c>
      <c r="F34" s="11">
        <v>29.131129850545509</v>
      </c>
      <c r="G34" s="12">
        <v>2022</v>
      </c>
    </row>
    <row r="35" spans="1:7" x14ac:dyDescent="0.35">
      <c r="A35" s="10" t="s">
        <v>9</v>
      </c>
      <c r="B35" s="11">
        <v>21.070413469683462</v>
      </c>
      <c r="C35" s="12">
        <v>2012</v>
      </c>
      <c r="D35" s="11">
        <v>25.571998545159634</v>
      </c>
      <c r="E35" s="12">
        <v>2017</v>
      </c>
      <c r="F35" s="11">
        <v>29.162224013927073</v>
      </c>
      <c r="G35" s="12">
        <v>2022</v>
      </c>
    </row>
    <row r="36" spans="1:7" x14ac:dyDescent="0.35">
      <c r="A36" s="10" t="s">
        <v>10</v>
      </c>
      <c r="B36" s="11">
        <v>14.47</v>
      </c>
      <c r="C36" s="12">
        <v>2013</v>
      </c>
      <c r="D36" s="11">
        <v>4.2372000476155334</v>
      </c>
      <c r="E36" s="12">
        <v>2017</v>
      </c>
      <c r="F36" s="11">
        <v>31.280182265373249</v>
      </c>
      <c r="G36" s="12">
        <v>2022</v>
      </c>
    </row>
    <row r="37" spans="1:7" x14ac:dyDescent="0.35">
      <c r="A37" s="10" t="s">
        <v>41</v>
      </c>
      <c r="B37" s="11">
        <v>34.11</v>
      </c>
      <c r="C37" s="12">
        <v>2013</v>
      </c>
      <c r="D37" s="11">
        <v>44.729083477256466</v>
      </c>
      <c r="E37" s="12">
        <v>2017</v>
      </c>
      <c r="F37" s="11">
        <v>32.9</v>
      </c>
      <c r="G37" s="12">
        <v>2021</v>
      </c>
    </row>
    <row r="38" spans="1:7" x14ac:dyDescent="0.35">
      <c r="A38" s="10" t="s">
        <v>44</v>
      </c>
      <c r="B38" s="11">
        <v>23.251614420788655</v>
      </c>
      <c r="C38" s="12">
        <v>2014</v>
      </c>
      <c r="D38" s="11">
        <v>25.778756300008091</v>
      </c>
      <c r="E38" s="12">
        <v>2017</v>
      </c>
      <c r="F38" s="11">
        <v>37.840950191706796</v>
      </c>
      <c r="G38" s="12">
        <v>2022</v>
      </c>
    </row>
    <row r="39" spans="1:7" x14ac:dyDescent="0.35">
      <c r="A39" s="10" t="s">
        <v>46</v>
      </c>
      <c r="B39" s="11">
        <v>27.695228985034962</v>
      </c>
      <c r="C39" s="12">
        <v>2013</v>
      </c>
      <c r="D39" s="11">
        <v>25.841329764202747</v>
      </c>
      <c r="E39" s="12">
        <v>2018</v>
      </c>
      <c r="F39" s="11">
        <v>41.525897736683859</v>
      </c>
      <c r="G39" s="12">
        <v>2022</v>
      </c>
    </row>
    <row r="40" spans="1:7" x14ac:dyDescent="0.35">
      <c r="A40" s="10" t="s">
        <v>38</v>
      </c>
      <c r="B40" s="11">
        <v>25.020106923830241</v>
      </c>
      <c r="C40" s="12">
        <v>2012</v>
      </c>
      <c r="D40" s="11">
        <v>56.477818164217041</v>
      </c>
      <c r="E40" s="12">
        <v>2017</v>
      </c>
      <c r="F40" s="11">
        <v>46.621627707470665</v>
      </c>
      <c r="G40" s="12">
        <v>2022</v>
      </c>
    </row>
    <row r="41" spans="1:7" x14ac:dyDescent="0.35">
      <c r="A41" s="10" t="s">
        <v>37</v>
      </c>
      <c r="B41" s="11">
        <v>3.6403076709802518</v>
      </c>
      <c r="C41" s="12">
        <v>2013</v>
      </c>
      <c r="D41" s="11">
        <v>18.141925621862594</v>
      </c>
      <c r="E41" s="12">
        <v>2017</v>
      </c>
      <c r="F41" s="11">
        <v>48.448183917462934</v>
      </c>
      <c r="G41" s="12">
        <v>2022</v>
      </c>
    </row>
    <row r="42" spans="1:7" x14ac:dyDescent="0.35">
      <c r="A42" s="10" t="s">
        <v>36</v>
      </c>
      <c r="B42" s="11">
        <v>25.784506566993329</v>
      </c>
      <c r="C42" s="12">
        <v>2012</v>
      </c>
      <c r="D42" s="11">
        <v>33.580311153925102</v>
      </c>
      <c r="E42" s="12">
        <v>2017</v>
      </c>
      <c r="F42" s="11">
        <v>49.050589544860578</v>
      </c>
      <c r="G42" s="12">
        <v>2022</v>
      </c>
    </row>
    <row r="43" spans="1:7" x14ac:dyDescent="0.35">
      <c r="A43" s="10" t="s">
        <v>45</v>
      </c>
      <c r="B43" s="11">
        <v>50.62</v>
      </c>
      <c r="C43" s="12">
        <v>2013</v>
      </c>
      <c r="D43" s="11">
        <v>73.399150693002625</v>
      </c>
      <c r="E43" s="12">
        <v>2017</v>
      </c>
      <c r="F43" s="11">
        <v>55.362249986134309</v>
      </c>
      <c r="G43" s="12">
        <v>2022</v>
      </c>
    </row>
    <row r="44" spans="1:7" x14ac:dyDescent="0.35">
      <c r="A44" s="10" t="s">
        <v>12</v>
      </c>
      <c r="B44" s="11">
        <v>60.999560775581593</v>
      </c>
      <c r="C44" s="12">
        <v>2012</v>
      </c>
      <c r="D44" s="11">
        <v>69.900000000000006</v>
      </c>
      <c r="E44" s="12">
        <v>2018</v>
      </c>
      <c r="F44" s="11">
        <v>68.585436772135097</v>
      </c>
      <c r="G44" s="12">
        <v>2022</v>
      </c>
    </row>
    <row r="45" spans="1:7" x14ac:dyDescent="0.35">
      <c r="A45" s="10" t="s">
        <v>19</v>
      </c>
      <c r="B45" s="11">
        <v>10.184701897655485</v>
      </c>
      <c r="C45" s="12">
        <v>2013</v>
      </c>
      <c r="D45" s="11">
        <v>46.880012602630671</v>
      </c>
      <c r="E45" s="12">
        <v>2017</v>
      </c>
      <c r="F45" s="11">
        <v>78.594520790728922</v>
      </c>
      <c r="G45" s="12">
        <v>2022</v>
      </c>
    </row>
    <row r="46" spans="1:7" x14ac:dyDescent="0.35">
      <c r="A46" s="10" t="s">
        <v>29</v>
      </c>
      <c r="B46" s="11">
        <v>37.799783171770592</v>
      </c>
      <c r="C46" s="12">
        <v>2013</v>
      </c>
      <c r="D46" s="11">
        <v>53.067550110835796</v>
      </c>
      <c r="E46" s="12">
        <v>2017</v>
      </c>
      <c r="F46" s="11">
        <v>78.830936740666445</v>
      </c>
      <c r="G46" s="12">
        <v>2022</v>
      </c>
    </row>
    <row r="47" spans="1:7" x14ac:dyDescent="0.35">
      <c r="A47" s="10" t="s">
        <v>27</v>
      </c>
      <c r="B47" s="11">
        <v>84.7181113091074</v>
      </c>
      <c r="C47" s="12">
        <v>2012</v>
      </c>
      <c r="D47" s="11">
        <v>113.87610104109663</v>
      </c>
      <c r="E47" s="12">
        <v>2017</v>
      </c>
      <c r="F47" s="11">
        <v>84.83465169234519</v>
      </c>
      <c r="G47" s="12">
        <v>2022</v>
      </c>
    </row>
    <row r="48" spans="1:7" x14ac:dyDescent="0.35">
      <c r="A48" s="10" t="s">
        <v>43</v>
      </c>
      <c r="B48" s="11">
        <v>66.796683236178595</v>
      </c>
      <c r="C48" s="12">
        <v>2013</v>
      </c>
      <c r="D48" s="11">
        <v>80.658994494048699</v>
      </c>
      <c r="E48" s="12">
        <v>2017</v>
      </c>
      <c r="F48" s="11">
        <v>97.455999793620663</v>
      </c>
      <c r="G48" s="12">
        <v>2022</v>
      </c>
    </row>
    <row r="49" spans="1:7" x14ac:dyDescent="0.35">
      <c r="A49" s="10" t="s">
        <v>32</v>
      </c>
      <c r="B49" s="11">
        <v>107.44001091187613</v>
      </c>
      <c r="C49" s="12">
        <v>2012</v>
      </c>
      <c r="D49" s="11">
        <v>89.12</v>
      </c>
      <c r="E49" s="12">
        <v>2018</v>
      </c>
      <c r="F49" s="11">
        <v>115.52</v>
      </c>
      <c r="G49" s="12">
        <v>2021</v>
      </c>
    </row>
  </sheetData>
  <sortState xmlns:xlrd2="http://schemas.microsoft.com/office/spreadsheetml/2017/richdata2" ref="A2:G49">
    <sortCondition ref="F2:F49"/>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67A1-0C39-49D9-A0B2-F7D6B386507E}">
  <dimension ref="A1:I49"/>
  <sheetViews>
    <sheetView workbookViewId="0">
      <selection activeCell="C17" sqref="C17"/>
    </sheetView>
  </sheetViews>
  <sheetFormatPr defaultColWidth="8.81640625" defaultRowHeight="14.5" x14ac:dyDescent="0.35"/>
  <sheetData>
    <row r="1" spans="1:9" x14ac:dyDescent="0.35">
      <c r="A1" t="s">
        <v>0</v>
      </c>
      <c r="B1" t="s">
        <v>4</v>
      </c>
      <c r="C1" t="s">
        <v>5</v>
      </c>
      <c r="D1" t="s">
        <v>6</v>
      </c>
      <c r="E1" t="s">
        <v>5</v>
      </c>
      <c r="F1" t="s">
        <v>7</v>
      </c>
      <c r="G1" t="s">
        <v>8</v>
      </c>
      <c r="H1" t="s">
        <v>54</v>
      </c>
      <c r="I1" t="s">
        <v>55</v>
      </c>
    </row>
    <row r="2" spans="1:9" x14ac:dyDescent="0.35">
      <c r="A2" t="s">
        <v>42</v>
      </c>
      <c r="B2" s="1">
        <v>6.0717944607399872</v>
      </c>
      <c r="C2">
        <v>2013</v>
      </c>
      <c r="D2" s="1">
        <v>7.25</v>
      </c>
      <c r="E2">
        <v>2013</v>
      </c>
      <c r="F2" s="1">
        <v>3.2439575327794725</v>
      </c>
      <c r="G2">
        <v>2022</v>
      </c>
      <c r="H2" s="2">
        <f t="shared" ref="H2:H48" si="0">((D2/B2))^(1/5)-1</f>
        <v>3.6106000757879952E-2</v>
      </c>
      <c r="I2" s="2">
        <f t="shared" ref="I2:I48" si="1">((F2/D2))^(1/5)-1</f>
        <v>-0.14857297541376613</v>
      </c>
    </row>
    <row r="3" spans="1:9" x14ac:dyDescent="0.35">
      <c r="A3" t="s">
        <v>20</v>
      </c>
      <c r="B3" s="1">
        <v>14.352312205937412</v>
      </c>
      <c r="C3">
        <v>2014</v>
      </c>
      <c r="D3" s="1">
        <v>15.9</v>
      </c>
      <c r="E3">
        <v>2018</v>
      </c>
      <c r="F3" s="1">
        <v>8.0407866449345082</v>
      </c>
      <c r="G3">
        <v>2022</v>
      </c>
      <c r="H3" s="2">
        <f t="shared" si="0"/>
        <v>2.0692797666185703E-2</v>
      </c>
      <c r="I3" s="2">
        <f t="shared" si="1"/>
        <v>-0.12747017131237182</v>
      </c>
    </row>
    <row r="4" spans="1:9" x14ac:dyDescent="0.35">
      <c r="A4" t="s">
        <v>3</v>
      </c>
      <c r="B4" s="1">
        <v>9.3252985763915337</v>
      </c>
      <c r="C4">
        <v>2012</v>
      </c>
      <c r="D4" s="1">
        <v>11.3530068548844</v>
      </c>
      <c r="E4">
        <v>2017</v>
      </c>
      <c r="F4" s="1">
        <v>6</v>
      </c>
      <c r="G4">
        <v>2021</v>
      </c>
      <c r="H4" s="2">
        <f t="shared" si="0"/>
        <v>4.0134809434269059E-2</v>
      </c>
      <c r="I4" s="2">
        <f t="shared" si="1"/>
        <v>-0.11974587267663495</v>
      </c>
    </row>
    <row r="5" spans="1:9" x14ac:dyDescent="0.35">
      <c r="A5" t="s">
        <v>48</v>
      </c>
      <c r="B5" s="1">
        <v>24.67</v>
      </c>
      <c r="C5">
        <v>2013</v>
      </c>
      <c r="D5" s="3">
        <v>26.42</v>
      </c>
      <c r="E5">
        <v>2018</v>
      </c>
      <c r="F5" s="1">
        <v>14.34</v>
      </c>
      <c r="G5">
        <v>2021</v>
      </c>
      <c r="H5" s="2">
        <f t="shared" si="0"/>
        <v>1.3801040822836841E-2</v>
      </c>
      <c r="I5" s="2">
        <f t="shared" si="1"/>
        <v>-0.11504076110843386</v>
      </c>
    </row>
    <row r="6" spans="1:9" x14ac:dyDescent="0.35">
      <c r="A6" t="s">
        <v>22</v>
      </c>
      <c r="B6" s="1">
        <v>31.954127592820953</v>
      </c>
      <c r="C6">
        <v>2012</v>
      </c>
      <c r="D6" s="1">
        <v>21.724218022843221</v>
      </c>
      <c r="E6">
        <v>2017</v>
      </c>
      <c r="F6" s="1">
        <v>15.340709813136417</v>
      </c>
      <c r="G6">
        <v>2022</v>
      </c>
      <c r="H6" s="2">
        <f t="shared" si="0"/>
        <v>-7.4271919558796751E-2</v>
      </c>
      <c r="I6" s="2">
        <f t="shared" si="1"/>
        <v>-6.7217777565285686E-2</v>
      </c>
    </row>
    <row r="7" spans="1:9" x14ac:dyDescent="0.35">
      <c r="A7" t="s">
        <v>41</v>
      </c>
      <c r="B7" s="1">
        <v>34.11</v>
      </c>
      <c r="C7">
        <v>2013</v>
      </c>
      <c r="D7" s="1">
        <v>44.729083477256466</v>
      </c>
      <c r="E7">
        <v>2017</v>
      </c>
      <c r="F7" s="1">
        <v>32.9</v>
      </c>
      <c r="G7">
        <v>2021</v>
      </c>
      <c r="H7" s="2">
        <f t="shared" si="0"/>
        <v>5.5702757623744992E-2</v>
      </c>
      <c r="I7" s="2">
        <f t="shared" si="1"/>
        <v>-5.9581465994675731E-2</v>
      </c>
    </row>
    <row r="8" spans="1:9" x14ac:dyDescent="0.35">
      <c r="A8" t="s">
        <v>27</v>
      </c>
      <c r="B8" s="1">
        <v>84.7181113091074</v>
      </c>
      <c r="C8">
        <v>2012</v>
      </c>
      <c r="D8" s="1">
        <v>113.87610104109663</v>
      </c>
      <c r="E8">
        <v>2017</v>
      </c>
      <c r="F8" s="1">
        <v>84.83465169234519</v>
      </c>
      <c r="G8">
        <v>2022</v>
      </c>
      <c r="H8" s="2">
        <f t="shared" si="0"/>
        <v>6.094107762532941E-2</v>
      </c>
      <c r="I8" s="2">
        <f t="shared" si="1"/>
        <v>-5.7181407236907567E-2</v>
      </c>
    </row>
    <row r="9" spans="1:9" x14ac:dyDescent="0.35">
      <c r="A9" t="s">
        <v>45</v>
      </c>
      <c r="B9" s="1">
        <v>50.62</v>
      </c>
      <c r="C9">
        <v>2013</v>
      </c>
      <c r="D9" s="1">
        <v>73.399150693002625</v>
      </c>
      <c r="E9">
        <v>2017</v>
      </c>
      <c r="F9" s="1">
        <v>55.362249986134309</v>
      </c>
      <c r="G9">
        <v>2022</v>
      </c>
      <c r="H9" s="2">
        <f t="shared" si="0"/>
        <v>7.7144030081788495E-2</v>
      </c>
      <c r="I9" s="2">
        <f t="shared" si="1"/>
        <v>-5.4841728329908856E-2</v>
      </c>
    </row>
    <row r="10" spans="1:9" x14ac:dyDescent="0.35">
      <c r="A10" t="s">
        <v>38</v>
      </c>
      <c r="B10" s="1">
        <v>25.020106923830241</v>
      </c>
      <c r="C10">
        <v>2012</v>
      </c>
      <c r="D10" s="1">
        <v>56.477818164217041</v>
      </c>
      <c r="E10">
        <v>2017</v>
      </c>
      <c r="F10" s="1">
        <v>46.621627707470665</v>
      </c>
      <c r="G10">
        <v>2022</v>
      </c>
      <c r="H10" s="2">
        <f t="shared" si="0"/>
        <v>0.1768408903003662</v>
      </c>
      <c r="I10" s="2">
        <f t="shared" si="1"/>
        <v>-3.7630381186372075E-2</v>
      </c>
    </row>
    <row r="11" spans="1:9" x14ac:dyDescent="0.35">
      <c r="A11" t="s">
        <v>14</v>
      </c>
      <c r="B11" s="1">
        <v>30.382269641706497</v>
      </c>
      <c r="C11">
        <v>2012</v>
      </c>
      <c r="D11" s="1">
        <v>24.355965264428594</v>
      </c>
      <c r="E11">
        <v>2017</v>
      </c>
      <c r="F11" s="1">
        <v>20.27</v>
      </c>
      <c r="G11">
        <v>2021</v>
      </c>
      <c r="H11" s="2">
        <f t="shared" si="0"/>
        <v>-4.3253182112266697E-2</v>
      </c>
      <c r="I11" s="2">
        <f t="shared" si="1"/>
        <v>-3.606071413623313E-2</v>
      </c>
    </row>
    <row r="12" spans="1:9" x14ac:dyDescent="0.35">
      <c r="A12" t="s">
        <v>2</v>
      </c>
      <c r="B12" s="1">
        <v>2.140583665118593</v>
      </c>
      <c r="C12">
        <v>2013</v>
      </c>
      <c r="D12" s="1">
        <v>5.1915897905374049</v>
      </c>
      <c r="E12">
        <v>2015</v>
      </c>
      <c r="F12" s="1">
        <v>4.8468482979545486</v>
      </c>
      <c r="G12">
        <v>2021</v>
      </c>
      <c r="H12" s="2">
        <f t="shared" si="0"/>
        <v>0.19386063511365847</v>
      </c>
      <c r="I12" s="2">
        <f t="shared" si="1"/>
        <v>-1.3648268183263146E-2</v>
      </c>
    </row>
    <row r="13" spans="1:9" x14ac:dyDescent="0.35">
      <c r="A13" t="s">
        <v>18</v>
      </c>
      <c r="B13" s="1">
        <v>23.15365155210009</v>
      </c>
      <c r="C13">
        <v>2012</v>
      </c>
      <c r="D13" s="1">
        <v>16.613601273149484</v>
      </c>
      <c r="E13">
        <v>2017</v>
      </c>
      <c r="F13" s="1">
        <v>15.973996137376364</v>
      </c>
      <c r="G13">
        <v>2021</v>
      </c>
      <c r="H13" s="2">
        <f t="shared" si="0"/>
        <v>-6.4230560126671832E-2</v>
      </c>
      <c r="I13" s="2">
        <f t="shared" si="1"/>
        <v>-7.8211652686437372E-3</v>
      </c>
    </row>
    <row r="14" spans="1:9" x14ac:dyDescent="0.35">
      <c r="A14" t="s">
        <v>52</v>
      </c>
      <c r="B14" s="1">
        <v>23.080771745045126</v>
      </c>
      <c r="C14">
        <v>2012</v>
      </c>
      <c r="D14" s="1">
        <v>19.3</v>
      </c>
      <c r="E14">
        <v>2017</v>
      </c>
      <c r="F14" s="1">
        <v>18.73</v>
      </c>
      <c r="G14">
        <v>2021</v>
      </c>
      <c r="H14" s="2">
        <f t="shared" si="0"/>
        <v>-3.5146455578049851E-2</v>
      </c>
      <c r="I14" s="2">
        <f t="shared" si="1"/>
        <v>-5.9777774556055707E-3</v>
      </c>
    </row>
    <row r="15" spans="1:9" x14ac:dyDescent="0.35">
      <c r="A15" t="s">
        <v>12</v>
      </c>
      <c r="B15" s="1">
        <v>60.999560775581593</v>
      </c>
      <c r="C15">
        <v>2012</v>
      </c>
      <c r="D15" s="1">
        <v>69.900000000000006</v>
      </c>
      <c r="E15">
        <v>2018</v>
      </c>
      <c r="F15" s="1">
        <v>68.585436772135097</v>
      </c>
      <c r="G15">
        <v>2022</v>
      </c>
      <c r="H15" s="2">
        <f t="shared" si="0"/>
        <v>2.7614192122267012E-2</v>
      </c>
      <c r="I15" s="2">
        <f t="shared" si="1"/>
        <v>-3.7898859846573485E-3</v>
      </c>
    </row>
    <row r="16" spans="1:9" x14ac:dyDescent="0.35">
      <c r="A16" t="s">
        <v>13</v>
      </c>
      <c r="B16" s="1">
        <v>14.292307706442939</v>
      </c>
      <c r="C16">
        <v>2012</v>
      </c>
      <c r="D16" s="1">
        <v>16.549546043854413</v>
      </c>
      <c r="E16">
        <v>2017</v>
      </c>
      <c r="F16" s="1">
        <v>16.608753273488389</v>
      </c>
      <c r="G16">
        <v>2021</v>
      </c>
      <c r="H16" s="2">
        <f t="shared" si="0"/>
        <v>2.9761724902205078E-2</v>
      </c>
      <c r="I16" s="2">
        <f t="shared" si="1"/>
        <v>7.1449311769833379E-4</v>
      </c>
    </row>
    <row r="17" spans="1:9" x14ac:dyDescent="0.35">
      <c r="A17" t="s">
        <v>11</v>
      </c>
      <c r="B17" s="1">
        <v>13.243355342181514</v>
      </c>
      <c r="C17">
        <v>2012</v>
      </c>
      <c r="D17" s="1">
        <v>15.596685797517777</v>
      </c>
      <c r="E17">
        <v>2016</v>
      </c>
      <c r="F17" s="1">
        <v>16.073705236569474</v>
      </c>
      <c r="G17">
        <v>2022</v>
      </c>
      <c r="H17" s="2">
        <f t="shared" si="0"/>
        <v>3.3253436124281555E-2</v>
      </c>
      <c r="I17" s="2">
        <f t="shared" si="1"/>
        <v>6.0434441476853173E-3</v>
      </c>
    </row>
    <row r="18" spans="1:9" x14ac:dyDescent="0.35">
      <c r="A18" t="s">
        <v>50</v>
      </c>
      <c r="B18" s="1">
        <v>27.154136660147369</v>
      </c>
      <c r="C18">
        <v>2013</v>
      </c>
      <c r="D18" s="1">
        <v>28.216629530226221</v>
      </c>
      <c r="E18">
        <v>2017</v>
      </c>
      <c r="F18" s="1">
        <v>29.131129850545509</v>
      </c>
      <c r="G18">
        <v>2022</v>
      </c>
      <c r="H18" s="2">
        <f t="shared" si="0"/>
        <v>7.7059604270870441E-3</v>
      </c>
      <c r="I18" s="2">
        <f t="shared" si="1"/>
        <v>6.3995608270945858E-3</v>
      </c>
    </row>
    <row r="19" spans="1:9" x14ac:dyDescent="0.35">
      <c r="A19" t="s">
        <v>34</v>
      </c>
      <c r="B19" s="1">
        <v>22.098772617188889</v>
      </c>
      <c r="C19">
        <v>2012</v>
      </c>
      <c r="D19" s="1">
        <v>15.766965569476405</v>
      </c>
      <c r="E19">
        <v>2017</v>
      </c>
      <c r="F19" s="1">
        <v>16.684498677479077</v>
      </c>
      <c r="G19">
        <v>2022</v>
      </c>
      <c r="H19" s="2">
        <f t="shared" si="0"/>
        <v>-6.5291928042635394E-2</v>
      </c>
      <c r="I19" s="2">
        <f t="shared" si="1"/>
        <v>1.137684984242826E-2</v>
      </c>
    </row>
    <row r="20" spans="1:9" x14ac:dyDescent="0.35">
      <c r="A20" t="s">
        <v>28</v>
      </c>
      <c r="B20" s="1">
        <v>9.3475839680726729</v>
      </c>
      <c r="C20">
        <v>2012</v>
      </c>
      <c r="D20" s="1">
        <v>11.3922425013496</v>
      </c>
      <c r="E20">
        <v>2017</v>
      </c>
      <c r="F20" s="1">
        <v>12.111186883120538</v>
      </c>
      <c r="G20">
        <v>2022</v>
      </c>
      <c r="H20" s="2">
        <f t="shared" si="0"/>
        <v>4.0355983208225865E-2</v>
      </c>
      <c r="I20" s="2">
        <f t="shared" si="1"/>
        <v>1.2314591748725068E-2</v>
      </c>
    </row>
    <row r="21" spans="1:9" x14ac:dyDescent="0.35">
      <c r="A21" t="s">
        <v>49</v>
      </c>
      <c r="B21" s="1">
        <v>3.3499999999999996</v>
      </c>
      <c r="C21">
        <v>2013</v>
      </c>
      <c r="D21" s="1">
        <v>16.296796826080339</v>
      </c>
      <c r="E21">
        <v>2017</v>
      </c>
      <c r="F21" s="1">
        <v>17.849905557366419</v>
      </c>
      <c r="G21">
        <v>2022</v>
      </c>
      <c r="H21" s="2">
        <f t="shared" si="0"/>
        <v>0.37218127578739324</v>
      </c>
      <c r="I21" s="2">
        <f t="shared" si="1"/>
        <v>1.837266676307836E-2</v>
      </c>
    </row>
    <row r="22" spans="1:9" x14ac:dyDescent="0.35">
      <c r="A22" t="s">
        <v>16</v>
      </c>
      <c r="B22" s="1">
        <v>6.4053784481045959</v>
      </c>
      <c r="C22">
        <v>2012</v>
      </c>
      <c r="D22" s="1">
        <v>5.4859231318496136</v>
      </c>
      <c r="E22">
        <v>2017</v>
      </c>
      <c r="F22" s="1">
        <v>6.0615072874771805</v>
      </c>
      <c r="G22">
        <v>2022</v>
      </c>
      <c r="H22" s="2">
        <f t="shared" si="0"/>
        <v>-3.0515243859431607E-2</v>
      </c>
      <c r="I22" s="2">
        <f t="shared" si="1"/>
        <v>2.0155047551117189E-2</v>
      </c>
    </row>
    <row r="23" spans="1:9" x14ac:dyDescent="0.35">
      <c r="A23" t="s">
        <v>9</v>
      </c>
      <c r="B23" s="1">
        <v>21.070413469683462</v>
      </c>
      <c r="C23">
        <v>2012</v>
      </c>
      <c r="D23" s="1">
        <v>25.571998545159634</v>
      </c>
      <c r="E23">
        <v>2017</v>
      </c>
      <c r="F23" s="1">
        <v>29.162224013927073</v>
      </c>
      <c r="G23">
        <v>2022</v>
      </c>
      <c r="H23" s="2">
        <f t="shared" si="0"/>
        <v>3.9485229472904892E-2</v>
      </c>
      <c r="I23" s="2">
        <f t="shared" si="1"/>
        <v>2.6623483094415423E-2</v>
      </c>
    </row>
    <row r="24" spans="1:9" x14ac:dyDescent="0.35">
      <c r="A24" t="s">
        <v>51</v>
      </c>
      <c r="B24" s="1">
        <v>2.3120560848798992</v>
      </c>
      <c r="C24">
        <v>2013</v>
      </c>
      <c r="D24" s="1">
        <v>10.133971407632565</v>
      </c>
      <c r="E24">
        <v>2017</v>
      </c>
      <c r="F24" s="1">
        <v>12.011935992620833</v>
      </c>
      <c r="G24">
        <v>2022</v>
      </c>
      <c r="H24" s="2">
        <f t="shared" si="0"/>
        <v>0.34386691468690955</v>
      </c>
      <c r="I24" s="2">
        <f t="shared" si="1"/>
        <v>3.458616602771114E-2</v>
      </c>
    </row>
    <row r="25" spans="1:9" x14ac:dyDescent="0.35">
      <c r="A25" t="s">
        <v>53</v>
      </c>
      <c r="B25" s="1">
        <v>11.242912124304898</v>
      </c>
      <c r="C25">
        <v>2013</v>
      </c>
      <c r="D25" s="1">
        <v>16.29</v>
      </c>
      <c r="E25">
        <v>2018</v>
      </c>
      <c r="F25" s="1">
        <v>19.412978283355155</v>
      </c>
      <c r="G25">
        <v>2022</v>
      </c>
      <c r="H25" s="2">
        <f t="shared" si="0"/>
        <v>7.6982021798065237E-2</v>
      </c>
      <c r="I25" s="2">
        <f t="shared" si="1"/>
        <v>3.5700573860839135E-2</v>
      </c>
    </row>
    <row r="26" spans="1:9" x14ac:dyDescent="0.35">
      <c r="A26" t="s">
        <v>43</v>
      </c>
      <c r="B26" s="1">
        <v>66.796683236178595</v>
      </c>
      <c r="C26">
        <v>2013</v>
      </c>
      <c r="D26" s="1">
        <v>80.658994494048699</v>
      </c>
      <c r="E26">
        <v>2017</v>
      </c>
      <c r="F26" s="1">
        <v>97.455999793620663</v>
      </c>
      <c r="G26">
        <v>2022</v>
      </c>
      <c r="H26" s="2">
        <f t="shared" si="0"/>
        <v>3.8435630481199023E-2</v>
      </c>
      <c r="I26" s="2">
        <f t="shared" si="1"/>
        <v>3.8558956678495848E-2</v>
      </c>
    </row>
    <row r="27" spans="1:9" x14ac:dyDescent="0.35">
      <c r="A27" t="s">
        <v>17</v>
      </c>
      <c r="B27" s="1">
        <v>5.13</v>
      </c>
      <c r="C27">
        <v>2013</v>
      </c>
      <c r="D27" s="1">
        <v>15.730402138562642</v>
      </c>
      <c r="E27">
        <v>2017</v>
      </c>
      <c r="F27" s="1">
        <v>19.547342301786127</v>
      </c>
      <c r="G27">
        <v>2022</v>
      </c>
      <c r="H27" s="2">
        <f t="shared" si="0"/>
        <v>0.2511935359638866</v>
      </c>
      <c r="I27" s="2">
        <f t="shared" si="1"/>
        <v>4.4406530135430389E-2</v>
      </c>
    </row>
    <row r="28" spans="1:9" x14ac:dyDescent="0.35">
      <c r="A28" t="s">
        <v>23</v>
      </c>
      <c r="B28" s="1">
        <v>3.6410350523031756</v>
      </c>
      <c r="C28">
        <v>2013</v>
      </c>
      <c r="D28" s="1">
        <v>15.78</v>
      </c>
      <c r="E28">
        <v>2018</v>
      </c>
      <c r="F28" s="1">
        <v>19.693811488943037</v>
      </c>
      <c r="G28">
        <v>2022</v>
      </c>
      <c r="H28" s="2">
        <f t="shared" si="0"/>
        <v>0.34083836497552955</v>
      </c>
      <c r="I28" s="2">
        <f t="shared" si="1"/>
        <v>4.5308677191510105E-2</v>
      </c>
    </row>
    <row r="29" spans="1:9" x14ac:dyDescent="0.35">
      <c r="A29" t="s">
        <v>1</v>
      </c>
      <c r="B29" s="1">
        <v>13.142661894475681</v>
      </c>
      <c r="C29">
        <v>2012</v>
      </c>
      <c r="D29" s="1">
        <v>19.096728281258905</v>
      </c>
      <c r="E29">
        <v>2017</v>
      </c>
      <c r="F29" s="1">
        <v>23.85885500606383</v>
      </c>
      <c r="G29">
        <v>2022</v>
      </c>
      <c r="H29" s="2">
        <f t="shared" si="0"/>
        <v>7.7593905888965642E-2</v>
      </c>
      <c r="I29" s="2">
        <f t="shared" si="1"/>
        <v>4.5533916961086884E-2</v>
      </c>
    </row>
    <row r="30" spans="1:9" x14ac:dyDescent="0.35">
      <c r="A30" t="s">
        <v>40</v>
      </c>
      <c r="B30" s="1">
        <v>18.935116158818431</v>
      </c>
      <c r="C30">
        <v>2013</v>
      </c>
      <c r="D30" s="1">
        <v>19.93</v>
      </c>
      <c r="E30">
        <v>2016</v>
      </c>
      <c r="F30" s="1">
        <v>25.624645753802405</v>
      </c>
      <c r="G30">
        <v>2022</v>
      </c>
      <c r="H30" s="2">
        <f t="shared" si="0"/>
        <v>1.0294212214620568E-2</v>
      </c>
      <c r="I30" s="2">
        <f t="shared" si="1"/>
        <v>5.1550451779354356E-2</v>
      </c>
    </row>
    <row r="31" spans="1:9" x14ac:dyDescent="0.35">
      <c r="A31" t="s">
        <v>32</v>
      </c>
      <c r="B31" s="1">
        <v>107.44001091187613</v>
      </c>
      <c r="C31">
        <v>2012</v>
      </c>
      <c r="D31" s="1">
        <v>89.12</v>
      </c>
      <c r="E31">
        <v>2018</v>
      </c>
      <c r="F31" s="1">
        <v>115.52</v>
      </c>
      <c r="G31">
        <v>2021</v>
      </c>
      <c r="H31" s="2">
        <f t="shared" si="0"/>
        <v>-3.6699408823710256E-2</v>
      </c>
      <c r="I31" s="2">
        <f t="shared" si="1"/>
        <v>5.3261962793089035E-2</v>
      </c>
    </row>
    <row r="32" spans="1:9" x14ac:dyDescent="0.35">
      <c r="A32" t="s">
        <v>36</v>
      </c>
      <c r="B32" s="1">
        <v>25.784506566993329</v>
      </c>
      <c r="C32">
        <v>2012</v>
      </c>
      <c r="D32" s="1">
        <v>33.580311153925102</v>
      </c>
      <c r="E32">
        <v>2017</v>
      </c>
      <c r="F32" s="1">
        <v>49.050589544860578</v>
      </c>
      <c r="G32">
        <v>2022</v>
      </c>
      <c r="H32" s="2">
        <f t="shared" si="0"/>
        <v>5.4253807651963859E-2</v>
      </c>
      <c r="I32" s="2">
        <f t="shared" si="1"/>
        <v>7.8727879480573471E-2</v>
      </c>
    </row>
    <row r="33" spans="1:9" x14ac:dyDescent="0.35">
      <c r="A33" t="s">
        <v>44</v>
      </c>
      <c r="B33" s="1">
        <v>23.251614420788655</v>
      </c>
      <c r="C33">
        <v>2014</v>
      </c>
      <c r="D33" s="1">
        <v>25.778756300008091</v>
      </c>
      <c r="E33">
        <v>2017</v>
      </c>
      <c r="F33" s="1">
        <v>37.840950191706796</v>
      </c>
      <c r="G33">
        <v>2022</v>
      </c>
      <c r="H33" s="2">
        <f t="shared" si="0"/>
        <v>2.0849615843479663E-2</v>
      </c>
      <c r="I33" s="2">
        <f t="shared" si="1"/>
        <v>7.9791773490578199E-2</v>
      </c>
    </row>
    <row r="34" spans="1:9" x14ac:dyDescent="0.35">
      <c r="A34" t="s">
        <v>31</v>
      </c>
      <c r="B34" s="1">
        <v>5.8357263623936824</v>
      </c>
      <c r="C34">
        <v>2013</v>
      </c>
      <c r="D34" s="1">
        <v>7.7689410325104689</v>
      </c>
      <c r="E34">
        <v>2017</v>
      </c>
      <c r="F34" s="1">
        <v>11.524302702014715</v>
      </c>
      <c r="G34">
        <v>2022</v>
      </c>
      <c r="H34" s="2">
        <f t="shared" si="0"/>
        <v>5.8896178834093593E-2</v>
      </c>
      <c r="I34" s="2">
        <f t="shared" si="1"/>
        <v>8.2058065143126857E-2</v>
      </c>
    </row>
    <row r="35" spans="1:9" x14ac:dyDescent="0.35">
      <c r="A35" t="s">
        <v>29</v>
      </c>
      <c r="B35" s="1">
        <v>37.799783171770592</v>
      </c>
      <c r="C35">
        <v>2013</v>
      </c>
      <c r="D35" s="1">
        <v>53.067550110835796</v>
      </c>
      <c r="E35">
        <v>2017</v>
      </c>
      <c r="F35" s="1">
        <v>78.830936740666445</v>
      </c>
      <c r="G35">
        <v>2022</v>
      </c>
      <c r="H35" s="2">
        <f t="shared" si="0"/>
        <v>7.0207391154841092E-2</v>
      </c>
      <c r="I35" s="2">
        <f t="shared" si="1"/>
        <v>8.2364475404486326E-2</v>
      </c>
    </row>
    <row r="36" spans="1:9" x14ac:dyDescent="0.35">
      <c r="A36" t="s">
        <v>33</v>
      </c>
      <c r="B36" s="1">
        <v>23.813836275352912</v>
      </c>
      <c r="C36">
        <v>2013</v>
      </c>
      <c r="D36" s="1">
        <v>15.57785472491247</v>
      </c>
      <c r="E36">
        <v>2017</v>
      </c>
      <c r="F36" s="1">
        <v>23.248495941884208</v>
      </c>
      <c r="G36">
        <v>2022</v>
      </c>
      <c r="H36" s="2">
        <f t="shared" si="0"/>
        <v>-8.1380506295255062E-2</v>
      </c>
      <c r="I36" s="2">
        <f t="shared" si="1"/>
        <v>8.3371589564752657E-2</v>
      </c>
    </row>
    <row r="37" spans="1:9" x14ac:dyDescent="0.35">
      <c r="A37" t="s">
        <v>47</v>
      </c>
      <c r="B37" s="1">
        <v>18.455208445965461</v>
      </c>
      <c r="C37">
        <v>2013</v>
      </c>
      <c r="D37" s="1">
        <v>17.333451205673981</v>
      </c>
      <c r="E37">
        <v>2017</v>
      </c>
      <c r="F37" s="1">
        <v>27.562611420325005</v>
      </c>
      <c r="G37">
        <v>2022</v>
      </c>
      <c r="H37" s="2">
        <f t="shared" si="0"/>
        <v>-1.2463361093284275E-2</v>
      </c>
      <c r="I37" s="2">
        <f t="shared" si="1"/>
        <v>9.7203196156060434E-2</v>
      </c>
    </row>
    <row r="38" spans="1:9" x14ac:dyDescent="0.35">
      <c r="A38" t="s">
        <v>46</v>
      </c>
      <c r="B38" s="1">
        <v>27.695228985034962</v>
      </c>
      <c r="C38">
        <v>2013</v>
      </c>
      <c r="D38" s="1">
        <v>25.841329764202747</v>
      </c>
      <c r="E38">
        <v>2018</v>
      </c>
      <c r="F38" s="1">
        <v>41.525897736683859</v>
      </c>
      <c r="G38">
        <v>2022</v>
      </c>
      <c r="H38" s="2">
        <f t="shared" si="0"/>
        <v>-1.3761437748622374E-2</v>
      </c>
      <c r="I38" s="2">
        <f t="shared" si="1"/>
        <v>9.9514179317019558E-2</v>
      </c>
    </row>
    <row r="39" spans="1:9" x14ac:dyDescent="0.35">
      <c r="A39" t="s">
        <v>15</v>
      </c>
      <c r="B39" s="1">
        <v>17.43</v>
      </c>
      <c r="C39">
        <v>2013</v>
      </c>
      <c r="D39" s="1">
        <v>9.9</v>
      </c>
      <c r="E39">
        <v>2018</v>
      </c>
      <c r="F39" s="1">
        <v>16.177592631710013</v>
      </c>
      <c r="G39">
        <v>2022</v>
      </c>
      <c r="H39" s="2">
        <f t="shared" si="0"/>
        <v>-0.10696688906493301</v>
      </c>
      <c r="I39" s="2">
        <f t="shared" si="1"/>
        <v>0.10320377720155571</v>
      </c>
    </row>
    <row r="40" spans="1:9" x14ac:dyDescent="0.35">
      <c r="A40" t="s">
        <v>19</v>
      </c>
      <c r="B40" s="1">
        <v>10.184701897655485</v>
      </c>
      <c r="C40">
        <v>2013</v>
      </c>
      <c r="D40" s="1">
        <v>46.880012602630671</v>
      </c>
      <c r="E40">
        <v>2017</v>
      </c>
      <c r="F40" s="1">
        <v>78.594520790728922</v>
      </c>
      <c r="G40">
        <v>2022</v>
      </c>
      <c r="H40" s="2">
        <f t="shared" si="0"/>
        <v>0.35708759157088332</v>
      </c>
      <c r="I40" s="2">
        <f t="shared" si="1"/>
        <v>0.10887070501929141</v>
      </c>
    </row>
    <row r="41" spans="1:9" x14ac:dyDescent="0.35">
      <c r="A41" t="s">
        <v>25</v>
      </c>
      <c r="B41" s="1">
        <v>4.7339196733208535</v>
      </c>
      <c r="C41">
        <v>2013</v>
      </c>
      <c r="D41" s="1">
        <v>6.54</v>
      </c>
      <c r="E41">
        <v>2016</v>
      </c>
      <c r="F41" s="1">
        <v>11.044670637674246</v>
      </c>
      <c r="G41">
        <v>2022</v>
      </c>
      <c r="H41" s="2">
        <f t="shared" si="0"/>
        <v>6.6771422075577958E-2</v>
      </c>
      <c r="I41" s="2">
        <f t="shared" si="1"/>
        <v>0.11049090041329013</v>
      </c>
    </row>
    <row r="42" spans="1:9" x14ac:dyDescent="0.35">
      <c r="A42" t="s">
        <v>30</v>
      </c>
      <c r="B42" s="1">
        <v>3.1095318636711702</v>
      </c>
      <c r="C42">
        <v>2013</v>
      </c>
      <c r="D42" s="1">
        <v>7.6923460584371375</v>
      </c>
      <c r="E42">
        <v>2017</v>
      </c>
      <c r="F42" s="1">
        <v>13.190000000000001</v>
      </c>
      <c r="G42">
        <v>2021</v>
      </c>
      <c r="H42" s="2">
        <f t="shared" si="0"/>
        <v>0.19859582461010139</v>
      </c>
      <c r="I42" s="2">
        <f t="shared" si="1"/>
        <v>0.11387689712333948</v>
      </c>
    </row>
    <row r="43" spans="1:9" x14ac:dyDescent="0.35">
      <c r="A43" t="s">
        <v>21</v>
      </c>
      <c r="B43" s="1">
        <v>10.44910845367626</v>
      </c>
      <c r="C43">
        <v>2013</v>
      </c>
      <c r="D43" s="1">
        <v>13.87</v>
      </c>
      <c r="E43">
        <v>2018</v>
      </c>
      <c r="F43" s="1">
        <v>23.922314456615108</v>
      </c>
      <c r="G43">
        <v>2022</v>
      </c>
      <c r="H43" s="2">
        <f t="shared" si="0"/>
        <v>5.8277212803888645E-2</v>
      </c>
      <c r="I43" s="2">
        <f t="shared" si="1"/>
        <v>0.11518096217603024</v>
      </c>
    </row>
    <row r="44" spans="1:9" x14ac:dyDescent="0.35">
      <c r="A44" t="s">
        <v>24</v>
      </c>
      <c r="B44" s="1">
        <v>7.0068065125157624</v>
      </c>
      <c r="C44">
        <v>2012</v>
      </c>
      <c r="D44" s="1">
        <v>2.2400086329367159</v>
      </c>
      <c r="E44">
        <v>2017</v>
      </c>
      <c r="F44" s="1">
        <v>4.87</v>
      </c>
      <c r="G44">
        <v>2021</v>
      </c>
      <c r="H44" s="2">
        <f t="shared" si="0"/>
        <v>-0.20393979624557612</v>
      </c>
      <c r="I44" s="2">
        <f t="shared" si="1"/>
        <v>0.16803499268644062</v>
      </c>
    </row>
    <row r="45" spans="1:9" x14ac:dyDescent="0.35">
      <c r="A45" t="s">
        <v>37</v>
      </c>
      <c r="B45" s="1">
        <v>3.6403076709802518</v>
      </c>
      <c r="C45">
        <v>2013</v>
      </c>
      <c r="D45" s="1">
        <v>18.141925621862594</v>
      </c>
      <c r="E45">
        <v>2017</v>
      </c>
      <c r="F45" s="1">
        <v>48.448183917462934</v>
      </c>
      <c r="G45">
        <v>2022</v>
      </c>
      <c r="H45" s="2">
        <f t="shared" si="0"/>
        <v>0.37882471136023899</v>
      </c>
      <c r="I45" s="2">
        <f t="shared" si="1"/>
        <v>0.21707915419856416</v>
      </c>
    </row>
    <row r="46" spans="1:9" x14ac:dyDescent="0.35">
      <c r="A46" t="s">
        <v>26</v>
      </c>
      <c r="B46" s="1">
        <v>9.4334212934220361</v>
      </c>
      <c r="C46">
        <v>2012</v>
      </c>
      <c r="D46" s="1">
        <v>2.3695903878725861</v>
      </c>
      <c r="E46">
        <v>2017</v>
      </c>
      <c r="F46" s="1">
        <v>11.025250723208414</v>
      </c>
      <c r="G46">
        <v>2022</v>
      </c>
      <c r="H46" s="2">
        <f t="shared" si="0"/>
        <v>-0.2414210104413419</v>
      </c>
      <c r="I46" s="2">
        <f t="shared" si="1"/>
        <v>0.36001293517928667</v>
      </c>
    </row>
    <row r="47" spans="1:9" x14ac:dyDescent="0.35">
      <c r="A47" t="s">
        <v>10</v>
      </c>
      <c r="B47" s="1">
        <v>14.47</v>
      </c>
      <c r="C47">
        <v>2013</v>
      </c>
      <c r="D47" s="1">
        <v>4.2372000476155334</v>
      </c>
      <c r="E47">
        <v>2017</v>
      </c>
      <c r="F47" s="1">
        <v>31.280182265373249</v>
      </c>
      <c r="G47">
        <v>2022</v>
      </c>
      <c r="H47" s="2">
        <f t="shared" si="0"/>
        <v>-0.2177922987904114</v>
      </c>
      <c r="I47" s="2">
        <f t="shared" si="1"/>
        <v>0.49155084094603829</v>
      </c>
    </row>
    <row r="48" spans="1:9" x14ac:dyDescent="0.35">
      <c r="A48" t="s">
        <v>39</v>
      </c>
      <c r="B48" s="1">
        <v>2.0563196545561206</v>
      </c>
      <c r="C48">
        <v>2012</v>
      </c>
      <c r="D48" s="1">
        <v>0.43702429330641607</v>
      </c>
      <c r="E48">
        <v>2017</v>
      </c>
      <c r="F48" s="1">
        <v>4.5715089831525146</v>
      </c>
      <c r="G48">
        <v>2022</v>
      </c>
      <c r="H48" s="2">
        <f t="shared" si="0"/>
        <v>-0.26636001971421752</v>
      </c>
      <c r="I48" s="2">
        <f t="shared" si="1"/>
        <v>0.59922952693403753</v>
      </c>
    </row>
    <row r="49" spans="1:9" x14ac:dyDescent="0.35">
      <c r="A49" t="s">
        <v>35</v>
      </c>
      <c r="B49" s="1">
        <v>2.881317367113417E-2</v>
      </c>
      <c r="C49">
        <v>2013</v>
      </c>
      <c r="D49" s="1"/>
      <c r="E49">
        <v>2017</v>
      </c>
      <c r="F49" s="1">
        <v>15.18</v>
      </c>
      <c r="G49">
        <v>2020</v>
      </c>
      <c r="H49" s="2"/>
      <c r="I49" s="2"/>
    </row>
  </sheetData>
  <sortState xmlns:xlrd2="http://schemas.microsoft.com/office/spreadsheetml/2017/richdata2" ref="A2:I49">
    <sortCondition ref="I2:I49"/>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DF2F8-C023-4E05-A121-ED861B2177AB}">
  <dimension ref="A3:L51"/>
  <sheetViews>
    <sheetView workbookViewId="0">
      <selection activeCell="A3" sqref="A3:L51"/>
    </sheetView>
  </sheetViews>
  <sheetFormatPr defaultColWidth="8.81640625" defaultRowHeight="14.5" x14ac:dyDescent="0.35"/>
  <cols>
    <col min="1" max="1" width="12.36328125" bestFit="1" customWidth="1"/>
    <col min="2" max="2" width="34.26953125" bestFit="1" customWidth="1"/>
    <col min="3" max="3" width="33.453125" bestFit="1" customWidth="1"/>
    <col min="4" max="4" width="25.36328125" bestFit="1" customWidth="1"/>
    <col min="5" max="5" width="33.7265625" bestFit="1" customWidth="1"/>
    <col min="6" max="6" width="27.453125" bestFit="1" customWidth="1"/>
    <col min="7" max="7" width="35.81640625" bestFit="1" customWidth="1"/>
    <col min="8" max="8" width="18.453125" bestFit="1" customWidth="1"/>
    <col min="9" max="9" width="42.90625" bestFit="1" customWidth="1"/>
    <col min="10" max="10" width="15.08984375" bestFit="1" customWidth="1"/>
    <col min="11" max="11" width="34.453125" bestFit="1" customWidth="1"/>
    <col min="12" max="12" width="30.36328125" bestFit="1" customWidth="1"/>
    <col min="13" max="25" width="53.54296875" bestFit="1" customWidth="1"/>
    <col min="26" max="26" width="53.6328125" bestFit="1" customWidth="1"/>
    <col min="27" max="42" width="15.36328125" bestFit="1" customWidth="1"/>
    <col min="43" max="43" width="10.6328125" bestFit="1" customWidth="1"/>
    <col min="44" max="44" width="6.6328125" bestFit="1" customWidth="1"/>
    <col min="45" max="45" width="9.6328125" bestFit="1" customWidth="1"/>
    <col min="46" max="46" width="6.6328125" bestFit="1" customWidth="1"/>
    <col min="47" max="47" width="9.6328125" bestFit="1" customWidth="1"/>
    <col min="48" max="49" width="6.6328125" bestFit="1" customWidth="1"/>
    <col min="50" max="50" width="9.6328125" bestFit="1" customWidth="1"/>
    <col min="51" max="51" width="6.6328125" bestFit="1" customWidth="1"/>
    <col min="52" max="52" width="9.6328125" bestFit="1" customWidth="1"/>
    <col min="53" max="53" width="6.6328125" bestFit="1" customWidth="1"/>
    <col min="54" max="54" width="9.6328125" bestFit="1" customWidth="1"/>
    <col min="55" max="55" width="6.6328125" bestFit="1" customWidth="1"/>
    <col min="56" max="56" width="9.6328125" bestFit="1" customWidth="1"/>
    <col min="57" max="57" width="6.6328125" bestFit="1" customWidth="1"/>
    <col min="58" max="58" width="9.6328125" bestFit="1" customWidth="1"/>
    <col min="59" max="59" width="6.6328125" bestFit="1" customWidth="1"/>
    <col min="60" max="60" width="9.6328125" bestFit="1" customWidth="1"/>
    <col min="61" max="61" width="6.6328125" bestFit="1" customWidth="1"/>
    <col min="62" max="62" width="9.6328125" bestFit="1" customWidth="1"/>
    <col min="63" max="63" width="6.6328125" bestFit="1" customWidth="1"/>
    <col min="64" max="64" width="9.6328125" bestFit="1" customWidth="1"/>
    <col min="65" max="65" width="6.6328125" bestFit="1" customWidth="1"/>
    <col min="66" max="66" width="9.6328125" bestFit="1" customWidth="1"/>
    <col min="67" max="67" width="6.6328125" bestFit="1" customWidth="1"/>
    <col min="68" max="68" width="9.6328125" bestFit="1" customWidth="1"/>
    <col min="69" max="69" width="6.6328125" bestFit="1" customWidth="1"/>
    <col min="70" max="70" width="9.6328125" bestFit="1" customWidth="1"/>
    <col min="71" max="71" width="6.6328125" bestFit="1" customWidth="1"/>
    <col min="72" max="72" width="9.6328125" bestFit="1" customWidth="1"/>
    <col min="73" max="73" width="6.6328125" bestFit="1" customWidth="1"/>
    <col min="74" max="74" width="9.6328125" bestFit="1" customWidth="1"/>
    <col min="75" max="75" width="6.6328125" bestFit="1" customWidth="1"/>
    <col min="76" max="76" width="9.6328125" bestFit="1" customWidth="1"/>
    <col min="77" max="77" width="6.6328125" bestFit="1" customWidth="1"/>
    <col min="78" max="78" width="9.6328125" bestFit="1" customWidth="1"/>
    <col min="79" max="79" width="6.6328125" bestFit="1" customWidth="1"/>
    <col min="80" max="80" width="9.6328125" bestFit="1" customWidth="1"/>
    <col min="81" max="81" width="7.6328125" bestFit="1" customWidth="1"/>
    <col min="82" max="82" width="10.6328125" bestFit="1" customWidth="1"/>
    <col min="83" max="83" width="7.6328125" bestFit="1" customWidth="1"/>
    <col min="84" max="84" width="10.6328125" bestFit="1" customWidth="1"/>
    <col min="85" max="85" width="7.6328125" bestFit="1" customWidth="1"/>
    <col min="86" max="86" width="10.6328125" bestFit="1" customWidth="1"/>
    <col min="87" max="87" width="7.6328125" bestFit="1" customWidth="1"/>
    <col min="88" max="88" width="10.6328125" bestFit="1" customWidth="1"/>
    <col min="89" max="89" width="7.6328125" bestFit="1" customWidth="1"/>
    <col min="90" max="90" width="10.6328125" bestFit="1" customWidth="1"/>
    <col min="91" max="91" width="7.6328125" bestFit="1" customWidth="1"/>
    <col min="92" max="93" width="10.6328125" bestFit="1" customWidth="1"/>
  </cols>
  <sheetData>
    <row r="3" spans="1:12" x14ac:dyDescent="0.35">
      <c r="A3" s="15" t="s">
        <v>124</v>
      </c>
      <c r="B3" t="s">
        <v>311</v>
      </c>
      <c r="C3" t="s">
        <v>312</v>
      </c>
      <c r="D3" t="s">
        <v>313</v>
      </c>
      <c r="E3" t="s">
        <v>314</v>
      </c>
      <c r="F3" t="s">
        <v>315</v>
      </c>
      <c r="G3" t="s">
        <v>316</v>
      </c>
      <c r="H3" t="s">
        <v>317</v>
      </c>
      <c r="I3" t="s">
        <v>318</v>
      </c>
      <c r="J3" t="s">
        <v>319</v>
      </c>
      <c r="K3" t="s">
        <v>320</v>
      </c>
      <c r="L3" t="s">
        <v>201</v>
      </c>
    </row>
    <row r="4" spans="1:12" x14ac:dyDescent="0.35">
      <c r="A4" s="16" t="s">
        <v>162</v>
      </c>
      <c r="B4">
        <v>3043</v>
      </c>
      <c r="C4">
        <v>3550</v>
      </c>
      <c r="D4">
        <v>7221</v>
      </c>
      <c r="E4">
        <v>38861</v>
      </c>
      <c r="F4">
        <v>769</v>
      </c>
      <c r="G4">
        <v>669</v>
      </c>
      <c r="H4">
        <v>697</v>
      </c>
      <c r="I4">
        <v>1605</v>
      </c>
      <c r="J4">
        <v>856</v>
      </c>
      <c r="K4">
        <v>796</v>
      </c>
      <c r="L4">
        <v>1680</v>
      </c>
    </row>
    <row r="5" spans="1:12" x14ac:dyDescent="0.35">
      <c r="A5" s="16" t="s">
        <v>165</v>
      </c>
      <c r="B5">
        <v>889</v>
      </c>
      <c r="C5">
        <v>195</v>
      </c>
      <c r="D5">
        <v>654</v>
      </c>
      <c r="E5">
        <v>8342</v>
      </c>
      <c r="F5">
        <v>41</v>
      </c>
      <c r="G5">
        <v>119</v>
      </c>
      <c r="H5">
        <v>119</v>
      </c>
      <c r="I5">
        <v>0</v>
      </c>
      <c r="J5">
        <v>14</v>
      </c>
      <c r="K5">
        <v>0</v>
      </c>
      <c r="L5">
        <v>11845</v>
      </c>
    </row>
    <row r="6" spans="1:12" x14ac:dyDescent="0.35">
      <c r="A6" s="16" t="s">
        <v>163</v>
      </c>
      <c r="B6">
        <v>391</v>
      </c>
      <c r="C6">
        <v>319</v>
      </c>
      <c r="D6">
        <v>1938</v>
      </c>
      <c r="E6">
        <v>1322</v>
      </c>
      <c r="F6">
        <v>807</v>
      </c>
      <c r="G6">
        <v>6</v>
      </c>
      <c r="H6">
        <v>14</v>
      </c>
      <c r="I6">
        <v>0</v>
      </c>
      <c r="J6">
        <v>0</v>
      </c>
      <c r="K6">
        <v>0</v>
      </c>
      <c r="L6">
        <v>0</v>
      </c>
    </row>
    <row r="7" spans="1:12" x14ac:dyDescent="0.35">
      <c r="A7" s="16" t="s">
        <v>151</v>
      </c>
      <c r="B7">
        <v>888</v>
      </c>
      <c r="C7">
        <v>738</v>
      </c>
      <c r="D7">
        <v>8208</v>
      </c>
      <c r="E7">
        <v>2117</v>
      </c>
      <c r="F7">
        <v>3583</v>
      </c>
      <c r="G7">
        <v>2986</v>
      </c>
      <c r="H7">
        <v>636</v>
      </c>
      <c r="I7">
        <v>156</v>
      </c>
      <c r="J7">
        <v>80</v>
      </c>
      <c r="K7">
        <v>0</v>
      </c>
      <c r="L7">
        <v>2749</v>
      </c>
    </row>
    <row r="8" spans="1:12" x14ac:dyDescent="0.35">
      <c r="A8" s="16" t="s">
        <v>164</v>
      </c>
      <c r="B8">
        <v>815</v>
      </c>
      <c r="C8">
        <v>38</v>
      </c>
      <c r="D8">
        <v>6935</v>
      </c>
      <c r="E8">
        <v>0</v>
      </c>
      <c r="F8">
        <v>0</v>
      </c>
      <c r="G8">
        <v>0</v>
      </c>
      <c r="H8">
        <v>149</v>
      </c>
      <c r="I8">
        <v>338</v>
      </c>
      <c r="J8">
        <v>94</v>
      </c>
      <c r="K8">
        <v>0</v>
      </c>
      <c r="L8">
        <v>0</v>
      </c>
    </row>
    <row r="9" spans="1:12" x14ac:dyDescent="0.35">
      <c r="A9" s="16" t="s">
        <v>152</v>
      </c>
      <c r="B9">
        <v>263</v>
      </c>
      <c r="C9">
        <v>72</v>
      </c>
      <c r="D9">
        <v>426</v>
      </c>
      <c r="E9">
        <v>325</v>
      </c>
      <c r="F9">
        <v>276</v>
      </c>
      <c r="G9">
        <v>168</v>
      </c>
      <c r="H9">
        <v>36</v>
      </c>
      <c r="I9">
        <v>0</v>
      </c>
      <c r="J9">
        <v>3</v>
      </c>
      <c r="K9">
        <v>7</v>
      </c>
      <c r="L9">
        <v>115</v>
      </c>
    </row>
    <row r="10" spans="1:12" x14ac:dyDescent="0.35">
      <c r="A10" s="16" t="s">
        <v>166</v>
      </c>
      <c r="B10">
        <v>4246</v>
      </c>
      <c r="C10">
        <v>1356</v>
      </c>
      <c r="D10">
        <v>11667</v>
      </c>
      <c r="E10">
        <v>63</v>
      </c>
      <c r="F10">
        <v>5456</v>
      </c>
      <c r="G10">
        <v>4</v>
      </c>
      <c r="H10">
        <v>2278</v>
      </c>
      <c r="I10">
        <v>217</v>
      </c>
      <c r="J10">
        <v>506</v>
      </c>
      <c r="K10">
        <v>0</v>
      </c>
      <c r="L10">
        <v>14556</v>
      </c>
    </row>
    <row r="11" spans="1:12" x14ac:dyDescent="0.35">
      <c r="A11" s="16" t="s">
        <v>168</v>
      </c>
      <c r="B11">
        <v>2400</v>
      </c>
      <c r="C11">
        <v>859</v>
      </c>
      <c r="D11">
        <v>9925</v>
      </c>
      <c r="E11">
        <v>0</v>
      </c>
      <c r="F11">
        <v>690</v>
      </c>
      <c r="G11">
        <v>0</v>
      </c>
      <c r="H11">
        <v>350</v>
      </c>
      <c r="I11">
        <v>0</v>
      </c>
      <c r="J11">
        <v>308</v>
      </c>
      <c r="K11">
        <v>0</v>
      </c>
      <c r="L11">
        <v>0</v>
      </c>
    </row>
    <row r="12" spans="1:12" x14ac:dyDescent="0.35">
      <c r="A12" s="16" t="s">
        <v>154</v>
      </c>
      <c r="B12">
        <v>30768</v>
      </c>
      <c r="C12">
        <v>778</v>
      </c>
      <c r="D12">
        <v>51019</v>
      </c>
      <c r="E12">
        <v>52766</v>
      </c>
      <c r="F12">
        <v>1990</v>
      </c>
      <c r="G12">
        <v>1652</v>
      </c>
      <c r="H12">
        <v>1461</v>
      </c>
      <c r="I12">
        <v>226</v>
      </c>
      <c r="J12">
        <v>404</v>
      </c>
      <c r="K12">
        <v>0</v>
      </c>
      <c r="L12">
        <v>0</v>
      </c>
    </row>
    <row r="13" spans="1:12" x14ac:dyDescent="0.35">
      <c r="A13" s="16" t="s">
        <v>189</v>
      </c>
      <c r="B13">
        <v>269</v>
      </c>
      <c r="C13">
        <v>275</v>
      </c>
      <c r="D13">
        <v>2707</v>
      </c>
      <c r="E13">
        <v>1305</v>
      </c>
      <c r="F13">
        <v>921</v>
      </c>
      <c r="G13">
        <v>148</v>
      </c>
      <c r="H13">
        <v>73</v>
      </c>
      <c r="I13">
        <v>84</v>
      </c>
      <c r="J13">
        <v>27</v>
      </c>
      <c r="K13">
        <v>0</v>
      </c>
      <c r="L13">
        <v>0</v>
      </c>
    </row>
    <row r="14" spans="1:12" x14ac:dyDescent="0.35">
      <c r="A14" s="16" t="s">
        <v>196</v>
      </c>
      <c r="B14">
        <v>130</v>
      </c>
      <c r="C14">
        <v>90</v>
      </c>
      <c r="D14">
        <v>676</v>
      </c>
      <c r="E14">
        <v>71</v>
      </c>
      <c r="F14">
        <v>487</v>
      </c>
      <c r="G14">
        <v>0</v>
      </c>
      <c r="H14">
        <v>36</v>
      </c>
      <c r="I14">
        <v>19</v>
      </c>
      <c r="J14">
        <v>32</v>
      </c>
      <c r="K14">
        <v>0</v>
      </c>
      <c r="L14">
        <v>0</v>
      </c>
    </row>
    <row r="15" spans="1:12" x14ac:dyDescent="0.35">
      <c r="A15" s="16" t="s">
        <v>167</v>
      </c>
      <c r="B15">
        <v>165</v>
      </c>
      <c r="C15">
        <v>287</v>
      </c>
      <c r="D15">
        <v>243</v>
      </c>
      <c r="E15">
        <v>525</v>
      </c>
      <c r="F15">
        <v>7</v>
      </c>
      <c r="G15">
        <v>20</v>
      </c>
      <c r="H15">
        <v>80</v>
      </c>
      <c r="I15">
        <v>92</v>
      </c>
      <c r="J15">
        <v>81</v>
      </c>
      <c r="K15">
        <v>0</v>
      </c>
      <c r="L15">
        <v>117</v>
      </c>
    </row>
    <row r="16" spans="1:12" x14ac:dyDescent="0.35">
      <c r="A16" s="16" t="s">
        <v>161</v>
      </c>
      <c r="B16">
        <v>34077</v>
      </c>
      <c r="C16">
        <v>39091</v>
      </c>
      <c r="D16">
        <v>47676</v>
      </c>
      <c r="E16">
        <v>10029</v>
      </c>
      <c r="F16">
        <v>8582</v>
      </c>
      <c r="G16">
        <v>38</v>
      </c>
      <c r="H16">
        <v>12570</v>
      </c>
      <c r="I16">
        <v>1536</v>
      </c>
      <c r="J16">
        <v>12774</v>
      </c>
      <c r="K16">
        <v>7</v>
      </c>
      <c r="L16">
        <v>0</v>
      </c>
    </row>
    <row r="17" spans="1:12" x14ac:dyDescent="0.35">
      <c r="A17" s="16" t="s">
        <v>194</v>
      </c>
      <c r="B17">
        <v>160</v>
      </c>
      <c r="C17">
        <v>120</v>
      </c>
      <c r="D17">
        <v>1442</v>
      </c>
      <c r="E17">
        <v>2497</v>
      </c>
      <c r="F17">
        <v>45</v>
      </c>
      <c r="G17">
        <v>0</v>
      </c>
      <c r="H17">
        <v>151</v>
      </c>
      <c r="I17">
        <v>300</v>
      </c>
      <c r="J17">
        <v>22</v>
      </c>
      <c r="K17">
        <v>164</v>
      </c>
      <c r="L17">
        <v>243</v>
      </c>
    </row>
    <row r="18" spans="1:12" x14ac:dyDescent="0.35">
      <c r="A18" s="16" t="s">
        <v>155</v>
      </c>
      <c r="B18">
        <v>5867</v>
      </c>
      <c r="C18">
        <v>5396</v>
      </c>
      <c r="D18">
        <v>61772</v>
      </c>
      <c r="E18">
        <v>0</v>
      </c>
      <c r="F18">
        <v>16159</v>
      </c>
      <c r="G18">
        <v>2</v>
      </c>
      <c r="H18">
        <v>3907</v>
      </c>
      <c r="I18">
        <v>6845</v>
      </c>
      <c r="J18">
        <v>1745</v>
      </c>
      <c r="K18">
        <v>144</v>
      </c>
      <c r="L18">
        <v>37259</v>
      </c>
    </row>
    <row r="19" spans="1:12" x14ac:dyDescent="0.35">
      <c r="A19" s="16" t="s">
        <v>157</v>
      </c>
      <c r="B19">
        <v>570</v>
      </c>
      <c r="C19">
        <v>798</v>
      </c>
      <c r="D19">
        <v>1077</v>
      </c>
      <c r="E19">
        <v>4275</v>
      </c>
      <c r="F19">
        <v>107</v>
      </c>
      <c r="G19">
        <v>626</v>
      </c>
      <c r="H19">
        <v>121</v>
      </c>
      <c r="I19">
        <v>106</v>
      </c>
      <c r="J19">
        <v>37</v>
      </c>
      <c r="K19">
        <v>3</v>
      </c>
      <c r="L19">
        <v>0</v>
      </c>
    </row>
    <row r="20" spans="1:12" x14ac:dyDescent="0.35">
      <c r="A20" s="16" t="s">
        <v>172</v>
      </c>
      <c r="B20">
        <v>3316</v>
      </c>
      <c r="C20">
        <v>1090</v>
      </c>
      <c r="D20">
        <v>22303</v>
      </c>
      <c r="E20">
        <v>20524</v>
      </c>
      <c r="F20">
        <v>10625</v>
      </c>
      <c r="G20">
        <v>0</v>
      </c>
      <c r="H20">
        <v>775</v>
      </c>
      <c r="I20">
        <v>1352</v>
      </c>
      <c r="J20">
        <v>486</v>
      </c>
      <c r="K20">
        <v>227</v>
      </c>
      <c r="L20">
        <v>15820</v>
      </c>
    </row>
    <row r="21" spans="1:12" x14ac:dyDescent="0.35">
      <c r="A21" s="16" t="s">
        <v>173</v>
      </c>
      <c r="B21">
        <v>2649</v>
      </c>
      <c r="C21">
        <v>138</v>
      </c>
      <c r="D21">
        <v>2344</v>
      </c>
      <c r="E21">
        <v>3985</v>
      </c>
      <c r="F21">
        <v>866</v>
      </c>
      <c r="G21">
        <v>0</v>
      </c>
      <c r="H21">
        <v>255</v>
      </c>
      <c r="I21">
        <v>0</v>
      </c>
      <c r="J21">
        <v>73</v>
      </c>
      <c r="K21">
        <v>0</v>
      </c>
      <c r="L21">
        <v>16567</v>
      </c>
    </row>
    <row r="22" spans="1:12" x14ac:dyDescent="0.35">
      <c r="A22" s="16" t="s">
        <v>171</v>
      </c>
      <c r="B22">
        <v>181</v>
      </c>
      <c r="C22">
        <v>117</v>
      </c>
      <c r="D22">
        <v>1178</v>
      </c>
      <c r="E22">
        <v>0</v>
      </c>
      <c r="F22">
        <v>320</v>
      </c>
      <c r="G22">
        <v>0</v>
      </c>
      <c r="H22">
        <v>78</v>
      </c>
      <c r="I22">
        <v>1</v>
      </c>
      <c r="J22">
        <v>0</v>
      </c>
      <c r="K22">
        <v>3</v>
      </c>
      <c r="L22">
        <v>1553</v>
      </c>
    </row>
    <row r="23" spans="1:12" x14ac:dyDescent="0.35">
      <c r="A23" s="16" t="s">
        <v>174</v>
      </c>
      <c r="B23">
        <v>290</v>
      </c>
      <c r="C23">
        <v>28</v>
      </c>
      <c r="D23">
        <v>1210</v>
      </c>
      <c r="E23">
        <v>54</v>
      </c>
      <c r="F23">
        <v>156</v>
      </c>
      <c r="G23">
        <v>1</v>
      </c>
      <c r="H23">
        <v>13</v>
      </c>
      <c r="I23">
        <v>69</v>
      </c>
      <c r="J23">
        <v>8</v>
      </c>
      <c r="K23">
        <v>8</v>
      </c>
      <c r="L23">
        <v>4057</v>
      </c>
    </row>
    <row r="24" spans="1:12" x14ac:dyDescent="0.35">
      <c r="A24" s="16" t="s">
        <v>170</v>
      </c>
      <c r="B24">
        <v>246</v>
      </c>
      <c r="C24">
        <v>0</v>
      </c>
      <c r="D24">
        <v>72</v>
      </c>
      <c r="E24">
        <v>283</v>
      </c>
      <c r="F24">
        <v>51</v>
      </c>
      <c r="G24">
        <v>0</v>
      </c>
      <c r="H24">
        <v>10</v>
      </c>
      <c r="I24">
        <v>0</v>
      </c>
      <c r="J24">
        <v>0</v>
      </c>
      <c r="K24">
        <v>0</v>
      </c>
      <c r="L24">
        <v>0</v>
      </c>
    </row>
    <row r="25" spans="1:12" x14ac:dyDescent="0.35">
      <c r="A25" s="16" t="s">
        <v>175</v>
      </c>
      <c r="B25">
        <v>5602</v>
      </c>
      <c r="C25">
        <v>2440</v>
      </c>
      <c r="D25">
        <v>46703</v>
      </c>
      <c r="E25">
        <v>13198</v>
      </c>
      <c r="F25">
        <v>0</v>
      </c>
      <c r="G25">
        <v>0</v>
      </c>
      <c r="H25">
        <v>964</v>
      </c>
      <c r="I25">
        <v>1331</v>
      </c>
      <c r="J25">
        <v>1300</v>
      </c>
      <c r="K25">
        <v>464</v>
      </c>
      <c r="L25">
        <v>58079</v>
      </c>
    </row>
    <row r="26" spans="1:12" x14ac:dyDescent="0.35">
      <c r="A26" s="16" t="s">
        <v>176</v>
      </c>
      <c r="B26">
        <v>234</v>
      </c>
      <c r="C26">
        <v>12</v>
      </c>
      <c r="D26">
        <v>4887</v>
      </c>
      <c r="E26">
        <v>3601</v>
      </c>
      <c r="F26">
        <v>927</v>
      </c>
      <c r="G26">
        <v>0</v>
      </c>
      <c r="H26">
        <v>109</v>
      </c>
      <c r="I26">
        <v>962</v>
      </c>
      <c r="J26">
        <v>14</v>
      </c>
      <c r="K26">
        <v>10</v>
      </c>
      <c r="L26">
        <v>3391</v>
      </c>
    </row>
    <row r="27" spans="1:12" x14ac:dyDescent="0.35">
      <c r="A27" s="16" t="s">
        <v>160</v>
      </c>
      <c r="B27">
        <v>815</v>
      </c>
      <c r="C27">
        <v>183</v>
      </c>
      <c r="D27">
        <v>0</v>
      </c>
      <c r="E27">
        <v>967</v>
      </c>
      <c r="F27">
        <v>2779</v>
      </c>
      <c r="G27">
        <v>0</v>
      </c>
      <c r="H27">
        <v>97</v>
      </c>
      <c r="I27">
        <v>301</v>
      </c>
      <c r="J27">
        <v>39</v>
      </c>
      <c r="K27">
        <v>120</v>
      </c>
      <c r="L27">
        <v>14508</v>
      </c>
    </row>
    <row r="28" spans="1:12" x14ac:dyDescent="0.35">
      <c r="A28" s="16" t="s">
        <v>177</v>
      </c>
      <c r="B28">
        <v>4593</v>
      </c>
      <c r="C28">
        <v>637</v>
      </c>
      <c r="D28">
        <v>4560</v>
      </c>
      <c r="E28">
        <v>0</v>
      </c>
      <c r="F28">
        <v>3164</v>
      </c>
      <c r="G28">
        <v>0</v>
      </c>
      <c r="H28">
        <v>319</v>
      </c>
      <c r="I28">
        <v>10</v>
      </c>
      <c r="J28">
        <v>372</v>
      </c>
      <c r="K28">
        <v>184</v>
      </c>
      <c r="L28">
        <v>35000</v>
      </c>
    </row>
    <row r="29" spans="1:12" x14ac:dyDescent="0.35">
      <c r="A29" s="16" t="s">
        <v>179</v>
      </c>
      <c r="B29">
        <v>2151</v>
      </c>
      <c r="C29">
        <v>715</v>
      </c>
      <c r="D29">
        <v>2255</v>
      </c>
      <c r="E29">
        <v>2970</v>
      </c>
      <c r="F29">
        <v>1527</v>
      </c>
      <c r="G29">
        <v>1642</v>
      </c>
      <c r="H29">
        <v>1340</v>
      </c>
      <c r="I29">
        <v>84</v>
      </c>
      <c r="J29">
        <v>30</v>
      </c>
      <c r="K29">
        <v>0</v>
      </c>
      <c r="L29">
        <v>1152</v>
      </c>
    </row>
    <row r="30" spans="1:12" x14ac:dyDescent="0.35">
      <c r="A30" s="16" t="s">
        <v>181</v>
      </c>
      <c r="B30">
        <v>1555</v>
      </c>
      <c r="C30">
        <v>625</v>
      </c>
      <c r="D30">
        <v>7961</v>
      </c>
      <c r="E30">
        <v>0</v>
      </c>
      <c r="F30">
        <v>5820</v>
      </c>
      <c r="G30">
        <v>0</v>
      </c>
      <c r="H30">
        <v>259</v>
      </c>
      <c r="I30">
        <v>2051</v>
      </c>
      <c r="J30">
        <v>205</v>
      </c>
      <c r="K30">
        <v>340</v>
      </c>
      <c r="L30">
        <v>2205</v>
      </c>
    </row>
    <row r="31" spans="1:12" x14ac:dyDescent="0.35">
      <c r="A31" s="16" t="s">
        <v>158</v>
      </c>
      <c r="B31">
        <v>808</v>
      </c>
      <c r="C31">
        <v>818</v>
      </c>
      <c r="D31">
        <v>4011</v>
      </c>
      <c r="E31">
        <v>6</v>
      </c>
      <c r="F31">
        <v>854</v>
      </c>
      <c r="G31">
        <v>1</v>
      </c>
      <c r="H31">
        <v>87</v>
      </c>
      <c r="I31">
        <v>13</v>
      </c>
      <c r="J31">
        <v>151</v>
      </c>
      <c r="K31">
        <v>0</v>
      </c>
      <c r="L31">
        <v>500</v>
      </c>
    </row>
    <row r="32" spans="1:12" x14ac:dyDescent="0.35">
      <c r="A32" s="16" t="s">
        <v>180</v>
      </c>
      <c r="B32">
        <v>1188</v>
      </c>
      <c r="C32">
        <v>1207</v>
      </c>
      <c r="D32">
        <v>4419</v>
      </c>
      <c r="E32">
        <v>0</v>
      </c>
      <c r="F32">
        <v>567</v>
      </c>
      <c r="G32">
        <v>0</v>
      </c>
      <c r="H32">
        <v>531</v>
      </c>
      <c r="I32">
        <v>217</v>
      </c>
      <c r="J32">
        <v>401</v>
      </c>
      <c r="K32">
        <v>65</v>
      </c>
      <c r="L32">
        <v>180</v>
      </c>
    </row>
    <row r="33" spans="1:12" x14ac:dyDescent="0.35">
      <c r="A33" s="16" t="s">
        <v>178</v>
      </c>
      <c r="B33">
        <v>2582</v>
      </c>
      <c r="C33">
        <v>178</v>
      </c>
      <c r="D33">
        <v>1549</v>
      </c>
      <c r="E33">
        <v>4476</v>
      </c>
      <c r="F33">
        <v>0</v>
      </c>
      <c r="G33">
        <v>0</v>
      </c>
      <c r="H33">
        <v>111</v>
      </c>
      <c r="I33">
        <v>276</v>
      </c>
      <c r="J33">
        <v>36</v>
      </c>
      <c r="K33">
        <v>76</v>
      </c>
      <c r="L33">
        <v>10016</v>
      </c>
    </row>
    <row r="34" spans="1:12" x14ac:dyDescent="0.35">
      <c r="A34" s="16" t="s">
        <v>182</v>
      </c>
      <c r="B34">
        <v>1044</v>
      </c>
      <c r="C34">
        <v>401</v>
      </c>
      <c r="D34">
        <v>8719</v>
      </c>
      <c r="E34">
        <v>4237</v>
      </c>
      <c r="F34">
        <v>0</v>
      </c>
      <c r="G34">
        <v>0</v>
      </c>
      <c r="H34">
        <v>598</v>
      </c>
      <c r="I34">
        <v>309</v>
      </c>
      <c r="J34">
        <v>181</v>
      </c>
      <c r="K34">
        <v>108</v>
      </c>
      <c r="L34">
        <v>2292</v>
      </c>
    </row>
    <row r="35" spans="1:12" x14ac:dyDescent="0.35">
      <c r="A35" s="16" t="s">
        <v>190</v>
      </c>
      <c r="B35">
        <v>1065</v>
      </c>
      <c r="C35">
        <v>0</v>
      </c>
      <c r="D35">
        <v>2118</v>
      </c>
      <c r="E35">
        <v>1463</v>
      </c>
      <c r="F35">
        <v>896</v>
      </c>
      <c r="G35">
        <v>6</v>
      </c>
      <c r="H35">
        <v>60</v>
      </c>
      <c r="I35">
        <v>0</v>
      </c>
      <c r="J35">
        <v>30</v>
      </c>
      <c r="K35">
        <v>0</v>
      </c>
      <c r="L35">
        <v>55</v>
      </c>
    </row>
    <row r="36" spans="1:12" x14ac:dyDescent="0.35">
      <c r="A36" s="16" t="s">
        <v>156</v>
      </c>
      <c r="B36">
        <v>74543</v>
      </c>
      <c r="C36">
        <v>9364</v>
      </c>
      <c r="D36">
        <v>180709</v>
      </c>
      <c r="E36">
        <v>0</v>
      </c>
      <c r="F36">
        <v>120870</v>
      </c>
      <c r="G36">
        <v>0</v>
      </c>
      <c r="H36">
        <v>24668</v>
      </c>
      <c r="I36">
        <v>0</v>
      </c>
      <c r="J36">
        <v>4358</v>
      </c>
      <c r="K36">
        <v>21129</v>
      </c>
      <c r="L36">
        <v>116454</v>
      </c>
    </row>
    <row r="37" spans="1:12" x14ac:dyDescent="0.35">
      <c r="A37" s="16" t="s">
        <v>183</v>
      </c>
      <c r="B37">
        <v>783</v>
      </c>
      <c r="C37">
        <v>567</v>
      </c>
      <c r="D37">
        <v>9551</v>
      </c>
      <c r="E37">
        <v>0</v>
      </c>
      <c r="F37">
        <v>1207</v>
      </c>
      <c r="G37">
        <v>0</v>
      </c>
      <c r="H37">
        <v>167</v>
      </c>
      <c r="I37">
        <v>0</v>
      </c>
      <c r="J37">
        <v>228</v>
      </c>
      <c r="K37">
        <v>0</v>
      </c>
      <c r="L37">
        <v>45000</v>
      </c>
    </row>
    <row r="38" spans="1:12" x14ac:dyDescent="0.35">
      <c r="A38" s="16" t="s">
        <v>184</v>
      </c>
      <c r="B38">
        <v>676</v>
      </c>
      <c r="C38">
        <v>2207</v>
      </c>
      <c r="D38">
        <v>3231</v>
      </c>
      <c r="E38">
        <v>1346</v>
      </c>
      <c r="F38">
        <v>3015</v>
      </c>
      <c r="G38">
        <v>0</v>
      </c>
      <c r="H38">
        <v>162</v>
      </c>
      <c r="I38">
        <v>53</v>
      </c>
      <c r="J38">
        <v>136</v>
      </c>
      <c r="K38">
        <v>100</v>
      </c>
      <c r="L38">
        <v>17417</v>
      </c>
    </row>
    <row r="39" spans="1:12" x14ac:dyDescent="0.35">
      <c r="A39" s="16" t="s">
        <v>186</v>
      </c>
      <c r="B39">
        <v>234</v>
      </c>
      <c r="C39">
        <v>47</v>
      </c>
      <c r="D39">
        <v>580</v>
      </c>
      <c r="E39">
        <v>4722</v>
      </c>
      <c r="F39">
        <v>287</v>
      </c>
      <c r="G39">
        <v>104</v>
      </c>
      <c r="H39">
        <v>135</v>
      </c>
      <c r="I39">
        <v>21</v>
      </c>
      <c r="J39">
        <v>9</v>
      </c>
      <c r="K39">
        <v>414</v>
      </c>
      <c r="L39">
        <v>505</v>
      </c>
    </row>
    <row r="40" spans="1:12" x14ac:dyDescent="0.35">
      <c r="A40" s="16" t="s">
        <v>188</v>
      </c>
      <c r="B40">
        <v>338</v>
      </c>
      <c r="C40">
        <v>73</v>
      </c>
      <c r="D40">
        <v>2014</v>
      </c>
      <c r="E40">
        <v>0</v>
      </c>
      <c r="F40">
        <v>1112</v>
      </c>
      <c r="G40">
        <v>600</v>
      </c>
      <c r="H40">
        <v>210</v>
      </c>
      <c r="I40">
        <v>150</v>
      </c>
      <c r="J40">
        <v>20</v>
      </c>
      <c r="K40">
        <v>12</v>
      </c>
      <c r="L40">
        <v>1455</v>
      </c>
    </row>
    <row r="41" spans="1:12" x14ac:dyDescent="0.35">
      <c r="A41" s="16" t="s">
        <v>153</v>
      </c>
      <c r="B41">
        <v>40</v>
      </c>
      <c r="C41">
        <v>20</v>
      </c>
      <c r="D41">
        <v>206</v>
      </c>
      <c r="E41">
        <v>0</v>
      </c>
      <c r="F41">
        <v>50</v>
      </c>
      <c r="G41">
        <v>0</v>
      </c>
      <c r="H41">
        <v>0</v>
      </c>
      <c r="I41">
        <v>0</v>
      </c>
      <c r="J41">
        <v>0</v>
      </c>
      <c r="K41">
        <v>0</v>
      </c>
      <c r="L41">
        <v>0</v>
      </c>
    </row>
    <row r="42" spans="1:12" x14ac:dyDescent="0.35">
      <c r="A42" s="16" t="s">
        <v>159</v>
      </c>
      <c r="B42">
        <v>211</v>
      </c>
      <c r="C42">
        <v>67</v>
      </c>
      <c r="D42">
        <v>1749</v>
      </c>
      <c r="E42">
        <v>455</v>
      </c>
      <c r="F42">
        <v>14</v>
      </c>
      <c r="G42">
        <v>0</v>
      </c>
      <c r="H42">
        <v>110</v>
      </c>
      <c r="I42">
        <v>171</v>
      </c>
      <c r="J42">
        <v>28</v>
      </c>
      <c r="K42">
        <v>46</v>
      </c>
      <c r="L42">
        <v>6324</v>
      </c>
    </row>
    <row r="43" spans="1:12" x14ac:dyDescent="0.35">
      <c r="A43" s="16" t="s">
        <v>185</v>
      </c>
      <c r="B43">
        <v>125</v>
      </c>
      <c r="C43">
        <v>115</v>
      </c>
      <c r="D43">
        <v>1272</v>
      </c>
      <c r="E43">
        <v>0</v>
      </c>
      <c r="F43">
        <v>5</v>
      </c>
      <c r="G43">
        <v>0</v>
      </c>
      <c r="H43">
        <v>61</v>
      </c>
      <c r="I43">
        <v>63</v>
      </c>
      <c r="J43">
        <v>38</v>
      </c>
      <c r="K43">
        <v>125</v>
      </c>
      <c r="L43">
        <v>0</v>
      </c>
    </row>
    <row r="44" spans="1:12" x14ac:dyDescent="0.35">
      <c r="A44" s="16" t="s">
        <v>169</v>
      </c>
      <c r="B44">
        <v>646</v>
      </c>
      <c r="C44">
        <v>157</v>
      </c>
      <c r="D44">
        <v>1787</v>
      </c>
      <c r="E44">
        <v>2076</v>
      </c>
      <c r="F44">
        <v>744</v>
      </c>
      <c r="G44">
        <v>192</v>
      </c>
      <c r="H44">
        <v>98</v>
      </c>
      <c r="I44">
        <v>171</v>
      </c>
      <c r="J44">
        <v>3</v>
      </c>
      <c r="K44">
        <v>0</v>
      </c>
      <c r="L44">
        <v>7</v>
      </c>
    </row>
    <row r="45" spans="1:12" x14ac:dyDescent="0.35">
      <c r="A45" s="16" t="s">
        <v>195</v>
      </c>
      <c r="B45">
        <v>230</v>
      </c>
      <c r="C45">
        <v>354</v>
      </c>
      <c r="D45">
        <v>1204</v>
      </c>
      <c r="E45">
        <v>762</v>
      </c>
      <c r="F45">
        <v>654</v>
      </c>
      <c r="G45">
        <v>614</v>
      </c>
      <c r="H45">
        <v>226</v>
      </c>
      <c r="I45">
        <v>0</v>
      </c>
      <c r="J45">
        <v>21</v>
      </c>
      <c r="K45">
        <v>0</v>
      </c>
      <c r="L45">
        <v>7500</v>
      </c>
    </row>
    <row r="46" spans="1:12" x14ac:dyDescent="0.35">
      <c r="A46" s="16" t="s">
        <v>197</v>
      </c>
      <c r="B46">
        <v>2434</v>
      </c>
      <c r="C46">
        <v>451</v>
      </c>
      <c r="D46">
        <v>10589</v>
      </c>
      <c r="E46">
        <v>21351</v>
      </c>
      <c r="F46">
        <v>0</v>
      </c>
      <c r="G46">
        <v>0</v>
      </c>
      <c r="H46">
        <v>599</v>
      </c>
      <c r="I46">
        <v>1246</v>
      </c>
      <c r="J46">
        <v>94</v>
      </c>
      <c r="K46">
        <v>588</v>
      </c>
      <c r="L46">
        <v>0</v>
      </c>
    </row>
    <row r="47" spans="1:12" x14ac:dyDescent="0.35">
      <c r="A47" s="16" t="s">
        <v>191</v>
      </c>
      <c r="B47">
        <v>17007</v>
      </c>
      <c r="C47">
        <v>179</v>
      </c>
      <c r="D47">
        <v>0</v>
      </c>
      <c r="E47">
        <v>16407</v>
      </c>
      <c r="F47">
        <v>0</v>
      </c>
      <c r="G47">
        <v>7237</v>
      </c>
      <c r="H47">
        <v>90</v>
      </c>
      <c r="I47">
        <v>234</v>
      </c>
      <c r="J47">
        <v>0</v>
      </c>
      <c r="K47">
        <v>26</v>
      </c>
      <c r="L47">
        <v>0</v>
      </c>
    </row>
    <row r="48" spans="1:12" x14ac:dyDescent="0.35">
      <c r="A48" s="16" t="s">
        <v>187</v>
      </c>
      <c r="B48">
        <v>29311</v>
      </c>
      <c r="C48">
        <v>14192</v>
      </c>
      <c r="D48">
        <v>140598</v>
      </c>
      <c r="E48">
        <v>146860</v>
      </c>
      <c r="F48">
        <v>0</v>
      </c>
      <c r="G48">
        <v>0</v>
      </c>
      <c r="H48">
        <v>14412</v>
      </c>
      <c r="I48">
        <v>1783</v>
      </c>
      <c r="J48">
        <v>6155</v>
      </c>
      <c r="K48">
        <v>661</v>
      </c>
      <c r="L48">
        <v>54180</v>
      </c>
    </row>
    <row r="49" spans="1:12" x14ac:dyDescent="0.35">
      <c r="A49" s="16" t="s">
        <v>192</v>
      </c>
      <c r="B49">
        <v>1701</v>
      </c>
      <c r="C49">
        <v>325</v>
      </c>
      <c r="D49">
        <v>14516</v>
      </c>
      <c r="E49">
        <v>0</v>
      </c>
      <c r="F49">
        <v>3432</v>
      </c>
      <c r="G49">
        <v>0</v>
      </c>
      <c r="H49">
        <v>424</v>
      </c>
      <c r="I49">
        <v>1284</v>
      </c>
      <c r="J49">
        <v>43</v>
      </c>
      <c r="K49">
        <v>412</v>
      </c>
      <c r="L49">
        <v>1262</v>
      </c>
    </row>
    <row r="50" spans="1:12" x14ac:dyDescent="0.35">
      <c r="A50" s="16" t="s">
        <v>193</v>
      </c>
      <c r="B50">
        <v>1715</v>
      </c>
      <c r="C50">
        <v>244</v>
      </c>
      <c r="D50">
        <v>19171</v>
      </c>
      <c r="E50">
        <v>6664</v>
      </c>
      <c r="F50">
        <v>845</v>
      </c>
      <c r="G50">
        <v>9</v>
      </c>
      <c r="H50">
        <v>223</v>
      </c>
      <c r="I50">
        <v>553</v>
      </c>
      <c r="J50">
        <v>142</v>
      </c>
      <c r="K50">
        <v>205</v>
      </c>
      <c r="L50">
        <v>2143</v>
      </c>
    </row>
    <row r="51" spans="1:12" x14ac:dyDescent="0.35">
      <c r="A51" s="16" t="s">
        <v>125</v>
      </c>
      <c r="B51">
        <v>243254</v>
      </c>
      <c r="C51">
        <v>90913</v>
      </c>
      <c r="D51">
        <v>715052</v>
      </c>
      <c r="E51">
        <v>378905</v>
      </c>
      <c r="F51">
        <v>200707</v>
      </c>
      <c r="G51">
        <v>16844</v>
      </c>
      <c r="H51">
        <v>69869</v>
      </c>
      <c r="I51">
        <v>24229</v>
      </c>
      <c r="J51">
        <v>31584</v>
      </c>
      <c r="K51">
        <v>26444</v>
      </c>
      <c r="L51">
        <v>486186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3301-920C-4CEF-9B11-69F6CF25D718}">
  <dimension ref="A1:AW1180"/>
  <sheetViews>
    <sheetView topLeftCell="A1023" workbookViewId="0">
      <selection activeCell="A1214" sqref="A1214"/>
    </sheetView>
  </sheetViews>
  <sheetFormatPr defaultColWidth="8.81640625" defaultRowHeight="14.5" x14ac:dyDescent="0.35"/>
  <cols>
    <col min="1" max="1" width="68.6328125" bestFit="1" customWidth="1"/>
    <col min="4" max="4" width="37.81640625"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row>
    <row r="2" spans="1:49" x14ac:dyDescent="0.35">
      <c r="A2" t="s">
        <v>148</v>
      </c>
      <c r="B2">
        <v>6593</v>
      </c>
      <c r="C2">
        <v>1084</v>
      </c>
      <c r="D2">
        <v>710</v>
      </c>
      <c r="E2">
        <v>1626</v>
      </c>
      <c r="F2">
        <v>853</v>
      </c>
      <c r="G2">
        <v>335</v>
      </c>
      <c r="H2">
        <v>5602</v>
      </c>
      <c r="I2">
        <v>3259</v>
      </c>
      <c r="J2">
        <v>31546</v>
      </c>
      <c r="K2">
        <v>544</v>
      </c>
      <c r="L2">
        <v>220</v>
      </c>
      <c r="M2">
        <v>452</v>
      </c>
      <c r="N2">
        <v>73168</v>
      </c>
      <c r="O2">
        <v>280</v>
      </c>
      <c r="P2">
        <v>11263</v>
      </c>
      <c r="Q2">
        <v>1368</v>
      </c>
      <c r="R2">
        <v>4406</v>
      </c>
      <c r="S2">
        <v>2787</v>
      </c>
      <c r="T2">
        <v>298</v>
      </c>
      <c r="U2">
        <v>318</v>
      </c>
      <c r="V2">
        <v>246</v>
      </c>
      <c r="W2">
        <v>8042</v>
      </c>
      <c r="X2">
        <v>246</v>
      </c>
      <c r="Y2">
        <v>998</v>
      </c>
      <c r="Z2">
        <v>5230</v>
      </c>
      <c r="AA2">
        <v>2866</v>
      </c>
      <c r="AB2">
        <v>2180</v>
      </c>
      <c r="AC2">
        <v>1626</v>
      </c>
      <c r="AD2">
        <v>2395</v>
      </c>
      <c r="AE2">
        <v>2760</v>
      </c>
      <c r="AF2">
        <v>1445</v>
      </c>
      <c r="AG2">
        <v>1065</v>
      </c>
      <c r="AH2">
        <v>83907</v>
      </c>
      <c r="AI2">
        <v>1350</v>
      </c>
      <c r="AJ2">
        <v>2883</v>
      </c>
      <c r="AK2">
        <v>281</v>
      </c>
      <c r="AL2">
        <v>411</v>
      </c>
      <c r="AM2">
        <v>60</v>
      </c>
      <c r="AN2">
        <v>278</v>
      </c>
      <c r="AO2">
        <v>240</v>
      </c>
      <c r="AP2">
        <v>803</v>
      </c>
      <c r="AQ2">
        <v>584</v>
      </c>
      <c r="AR2">
        <v>2885</v>
      </c>
      <c r="AS2">
        <v>17186</v>
      </c>
      <c r="AT2">
        <v>43503</v>
      </c>
      <c r="AU2">
        <v>2026</v>
      </c>
      <c r="AV2">
        <v>1959</v>
      </c>
      <c r="AW2">
        <v>334167</v>
      </c>
    </row>
    <row r="3" spans="1:49" x14ac:dyDescent="0.35">
      <c r="A3" t="s">
        <v>139</v>
      </c>
      <c r="B3">
        <v>46082</v>
      </c>
      <c r="C3">
        <v>8996</v>
      </c>
      <c r="D3">
        <v>3260</v>
      </c>
      <c r="E3">
        <v>10325</v>
      </c>
      <c r="F3">
        <v>6935</v>
      </c>
      <c r="G3">
        <v>751</v>
      </c>
      <c r="H3">
        <v>11730</v>
      </c>
      <c r="I3">
        <v>9925</v>
      </c>
      <c r="J3">
        <v>103785</v>
      </c>
      <c r="K3">
        <v>4012</v>
      </c>
      <c r="L3">
        <v>747</v>
      </c>
      <c r="M3">
        <v>768</v>
      </c>
      <c r="N3">
        <v>57705</v>
      </c>
      <c r="O3">
        <v>3939</v>
      </c>
      <c r="P3">
        <v>61772</v>
      </c>
      <c r="Q3">
        <v>5352</v>
      </c>
      <c r="R3">
        <v>42827</v>
      </c>
      <c r="S3">
        <v>6329</v>
      </c>
      <c r="T3">
        <v>1178</v>
      </c>
      <c r="U3">
        <v>1264</v>
      </c>
      <c r="V3">
        <v>355</v>
      </c>
      <c r="W3">
        <v>59901</v>
      </c>
      <c r="X3">
        <v>8488</v>
      </c>
      <c r="Y3">
        <v>967</v>
      </c>
      <c r="Z3">
        <v>4560</v>
      </c>
      <c r="AA3">
        <v>5225</v>
      </c>
      <c r="AB3">
        <v>7961</v>
      </c>
      <c r="AC3">
        <v>4017</v>
      </c>
      <c r="AD3">
        <v>4419</v>
      </c>
      <c r="AE3">
        <v>6025</v>
      </c>
      <c r="AF3">
        <v>12956</v>
      </c>
      <c r="AG3">
        <v>3581</v>
      </c>
      <c r="AH3">
        <v>180709</v>
      </c>
      <c r="AI3">
        <v>9551</v>
      </c>
      <c r="AJ3">
        <v>4577</v>
      </c>
      <c r="AK3">
        <v>5302</v>
      </c>
      <c r="AL3">
        <v>2014</v>
      </c>
      <c r="AM3">
        <v>206</v>
      </c>
      <c r="AN3">
        <v>2204</v>
      </c>
      <c r="AO3">
        <v>1272</v>
      </c>
      <c r="AP3">
        <v>3863</v>
      </c>
      <c r="AQ3">
        <v>1966</v>
      </c>
      <c r="AR3">
        <v>31940</v>
      </c>
      <c r="AS3">
        <v>16407</v>
      </c>
      <c r="AT3">
        <v>287458</v>
      </c>
      <c r="AU3">
        <v>14516</v>
      </c>
      <c r="AV3">
        <v>25835</v>
      </c>
      <c r="AW3">
        <v>1093957</v>
      </c>
    </row>
    <row r="4" spans="1:49" x14ac:dyDescent="0.35">
      <c r="A4" t="s">
        <v>138</v>
      </c>
      <c r="B4">
        <v>1438</v>
      </c>
      <c r="C4">
        <v>160</v>
      </c>
      <c r="D4">
        <v>813</v>
      </c>
      <c r="E4">
        <v>6569</v>
      </c>
      <c r="F4">
        <v>0</v>
      </c>
      <c r="G4">
        <v>444</v>
      </c>
      <c r="H4">
        <v>5460</v>
      </c>
      <c r="I4">
        <v>690</v>
      </c>
      <c r="J4">
        <v>3642</v>
      </c>
      <c r="K4">
        <v>1069</v>
      </c>
      <c r="L4">
        <v>487</v>
      </c>
      <c r="M4">
        <v>27</v>
      </c>
      <c r="N4">
        <v>8620</v>
      </c>
      <c r="O4">
        <v>45</v>
      </c>
      <c r="P4">
        <v>16161</v>
      </c>
      <c r="Q4">
        <v>733</v>
      </c>
      <c r="R4">
        <v>10625</v>
      </c>
      <c r="S4">
        <v>866</v>
      </c>
      <c r="T4">
        <v>320</v>
      </c>
      <c r="U4">
        <v>157</v>
      </c>
      <c r="V4">
        <v>51</v>
      </c>
      <c r="W4">
        <v>0</v>
      </c>
      <c r="X4">
        <v>927</v>
      </c>
      <c r="Y4">
        <v>2779</v>
      </c>
      <c r="Z4">
        <v>3164</v>
      </c>
      <c r="AA4">
        <v>3169</v>
      </c>
      <c r="AB4">
        <v>5820</v>
      </c>
      <c r="AC4">
        <v>855</v>
      </c>
      <c r="AD4">
        <v>567</v>
      </c>
      <c r="AE4">
        <v>0</v>
      </c>
      <c r="AF4">
        <v>0</v>
      </c>
      <c r="AG4">
        <v>902</v>
      </c>
      <c r="AH4">
        <v>120870</v>
      </c>
      <c r="AI4">
        <v>1207</v>
      </c>
      <c r="AJ4">
        <v>3015</v>
      </c>
      <c r="AK4">
        <v>391</v>
      </c>
      <c r="AL4">
        <v>1712</v>
      </c>
      <c r="AM4">
        <v>50</v>
      </c>
      <c r="AN4">
        <v>14</v>
      </c>
      <c r="AO4">
        <v>5</v>
      </c>
      <c r="AP4">
        <v>936</v>
      </c>
      <c r="AQ4">
        <v>1268</v>
      </c>
      <c r="AR4">
        <v>0</v>
      </c>
      <c r="AS4">
        <v>7237</v>
      </c>
      <c r="AT4">
        <v>0</v>
      </c>
      <c r="AU4">
        <v>3432</v>
      </c>
      <c r="AV4">
        <v>854</v>
      </c>
      <c r="AW4">
        <v>217551</v>
      </c>
    </row>
    <row r="5" spans="1:49" x14ac:dyDescent="0.35">
      <c r="A5" t="s">
        <v>82</v>
      </c>
      <c r="B5">
        <v>2302</v>
      </c>
      <c r="C5">
        <v>119</v>
      </c>
      <c r="D5">
        <v>14</v>
      </c>
      <c r="E5">
        <v>792</v>
      </c>
      <c r="F5">
        <v>487</v>
      </c>
      <c r="G5">
        <v>36</v>
      </c>
      <c r="H5">
        <v>2495</v>
      </c>
      <c r="I5">
        <v>350</v>
      </c>
      <c r="J5">
        <v>1687</v>
      </c>
      <c r="K5">
        <v>157</v>
      </c>
      <c r="L5">
        <v>55</v>
      </c>
      <c r="M5">
        <v>172</v>
      </c>
      <c r="N5">
        <v>14106</v>
      </c>
      <c r="O5">
        <v>451</v>
      </c>
      <c r="P5">
        <v>10752</v>
      </c>
      <c r="Q5">
        <v>227</v>
      </c>
      <c r="R5">
        <v>2127</v>
      </c>
      <c r="S5">
        <v>255</v>
      </c>
      <c r="T5">
        <v>79</v>
      </c>
      <c r="U5">
        <v>82</v>
      </c>
      <c r="V5">
        <v>10</v>
      </c>
      <c r="W5">
        <v>2295</v>
      </c>
      <c r="X5">
        <v>1071</v>
      </c>
      <c r="Y5">
        <v>398</v>
      </c>
      <c r="Z5">
        <v>329</v>
      </c>
      <c r="AA5">
        <v>1424</v>
      </c>
      <c r="AB5">
        <v>2310</v>
      </c>
      <c r="AC5">
        <v>100</v>
      </c>
      <c r="AD5">
        <v>748</v>
      </c>
      <c r="AE5">
        <v>387</v>
      </c>
      <c r="AF5">
        <v>907</v>
      </c>
      <c r="AG5">
        <v>60</v>
      </c>
      <c r="AH5">
        <v>24668</v>
      </c>
      <c r="AI5">
        <v>167</v>
      </c>
      <c r="AJ5">
        <v>215</v>
      </c>
      <c r="AK5">
        <v>156</v>
      </c>
      <c r="AL5">
        <v>360</v>
      </c>
      <c r="AM5">
        <v>0</v>
      </c>
      <c r="AN5">
        <v>281</v>
      </c>
      <c r="AO5">
        <v>124</v>
      </c>
      <c r="AP5">
        <v>269</v>
      </c>
      <c r="AQ5">
        <v>226</v>
      </c>
      <c r="AR5">
        <v>1845</v>
      </c>
      <c r="AS5">
        <v>324</v>
      </c>
      <c r="AT5">
        <v>16195</v>
      </c>
      <c r="AU5">
        <v>1708</v>
      </c>
      <c r="AV5">
        <v>776</v>
      </c>
      <c r="AW5">
        <v>94098</v>
      </c>
    </row>
    <row r="6" spans="1:49" x14ac:dyDescent="0.35">
      <c r="A6" t="s">
        <v>60</v>
      </c>
      <c r="B6">
        <v>1652</v>
      </c>
      <c r="C6">
        <v>14</v>
      </c>
      <c r="D6">
        <v>0</v>
      </c>
      <c r="E6">
        <v>80</v>
      </c>
      <c r="F6">
        <v>94</v>
      </c>
      <c r="G6">
        <v>10</v>
      </c>
      <c r="H6">
        <v>506</v>
      </c>
      <c r="I6">
        <v>308</v>
      </c>
      <c r="J6">
        <v>404</v>
      </c>
      <c r="K6">
        <v>27</v>
      </c>
      <c r="L6">
        <v>32</v>
      </c>
      <c r="M6">
        <v>81</v>
      </c>
      <c r="N6">
        <v>12781</v>
      </c>
      <c r="O6">
        <v>186</v>
      </c>
      <c r="P6">
        <v>1889</v>
      </c>
      <c r="Q6">
        <v>40</v>
      </c>
      <c r="R6">
        <v>713</v>
      </c>
      <c r="S6">
        <v>73</v>
      </c>
      <c r="T6">
        <v>3</v>
      </c>
      <c r="U6">
        <v>16</v>
      </c>
      <c r="V6">
        <v>0</v>
      </c>
      <c r="W6">
        <v>1764</v>
      </c>
      <c r="X6">
        <v>24</v>
      </c>
      <c r="Y6">
        <v>159</v>
      </c>
      <c r="Z6">
        <v>556</v>
      </c>
      <c r="AA6">
        <v>30</v>
      </c>
      <c r="AB6">
        <v>545</v>
      </c>
      <c r="AC6">
        <v>151</v>
      </c>
      <c r="AD6">
        <v>466</v>
      </c>
      <c r="AE6">
        <v>112</v>
      </c>
      <c r="AF6">
        <v>289</v>
      </c>
      <c r="AG6">
        <v>30</v>
      </c>
      <c r="AH6">
        <v>25487</v>
      </c>
      <c r="AI6">
        <v>228</v>
      </c>
      <c r="AJ6">
        <v>236</v>
      </c>
      <c r="AK6">
        <v>423</v>
      </c>
      <c r="AL6">
        <v>32</v>
      </c>
      <c r="AM6">
        <v>0</v>
      </c>
      <c r="AN6">
        <v>74</v>
      </c>
      <c r="AO6">
        <v>163</v>
      </c>
      <c r="AP6">
        <v>3</v>
      </c>
      <c r="AQ6">
        <v>21</v>
      </c>
      <c r="AR6">
        <v>682</v>
      </c>
      <c r="AS6">
        <v>26</v>
      </c>
      <c r="AT6">
        <v>6816</v>
      </c>
      <c r="AU6">
        <v>455</v>
      </c>
      <c r="AV6">
        <v>347</v>
      </c>
      <c r="AW6">
        <v>58028</v>
      </c>
    </row>
    <row r="7" spans="1:49" x14ac:dyDescent="0.35">
      <c r="A7" t="s">
        <v>58</v>
      </c>
      <c r="B7">
        <v>1680</v>
      </c>
      <c r="C7">
        <v>11845</v>
      </c>
      <c r="D7">
        <v>0</v>
      </c>
      <c r="E7">
        <v>2749</v>
      </c>
      <c r="F7">
        <v>0</v>
      </c>
      <c r="G7">
        <v>115</v>
      </c>
      <c r="H7">
        <v>14556</v>
      </c>
      <c r="I7">
        <v>0</v>
      </c>
      <c r="J7">
        <v>0</v>
      </c>
      <c r="K7">
        <v>0</v>
      </c>
      <c r="L7">
        <v>0</v>
      </c>
      <c r="M7">
        <v>117</v>
      </c>
      <c r="N7">
        <v>0</v>
      </c>
      <c r="O7">
        <v>243</v>
      </c>
      <c r="P7">
        <v>37259</v>
      </c>
      <c r="Q7">
        <v>0</v>
      </c>
      <c r="R7">
        <v>15820</v>
      </c>
      <c r="S7">
        <v>16567</v>
      </c>
      <c r="T7">
        <v>1553</v>
      </c>
      <c r="U7">
        <v>4057</v>
      </c>
      <c r="V7">
        <v>0</v>
      </c>
      <c r="W7">
        <v>58079</v>
      </c>
      <c r="X7">
        <v>3391</v>
      </c>
      <c r="Y7">
        <v>14508</v>
      </c>
      <c r="Z7">
        <v>35000</v>
      </c>
      <c r="AA7">
        <v>1152</v>
      </c>
      <c r="AB7">
        <v>2205</v>
      </c>
      <c r="AC7">
        <v>500</v>
      </c>
      <c r="AD7">
        <v>180</v>
      </c>
      <c r="AE7">
        <v>10016</v>
      </c>
      <c r="AF7">
        <v>2292</v>
      </c>
      <c r="AG7">
        <v>55</v>
      </c>
      <c r="AH7">
        <v>116454</v>
      </c>
      <c r="AI7">
        <v>45000</v>
      </c>
      <c r="AJ7">
        <v>17417</v>
      </c>
      <c r="AK7">
        <v>505</v>
      </c>
      <c r="AL7">
        <v>1455</v>
      </c>
      <c r="AM7">
        <v>0</v>
      </c>
      <c r="AN7">
        <v>6324</v>
      </c>
      <c r="AO7">
        <v>0</v>
      </c>
      <c r="AP7">
        <v>7</v>
      </c>
      <c r="AQ7">
        <v>7500</v>
      </c>
      <c r="AR7">
        <v>0</v>
      </c>
      <c r="AS7">
        <v>0</v>
      </c>
      <c r="AT7">
        <v>54180</v>
      </c>
      <c r="AU7">
        <v>1262</v>
      </c>
      <c r="AV7">
        <v>2143</v>
      </c>
      <c r="AW7">
        <v>486186</v>
      </c>
    </row>
    <row r="8" spans="1:49" x14ac:dyDescent="0.35">
      <c r="A8" t="s">
        <v>61</v>
      </c>
      <c r="B8">
        <v>0</v>
      </c>
      <c r="C8">
        <v>10</v>
      </c>
      <c r="D8">
        <v>0</v>
      </c>
      <c r="E8">
        <v>19</v>
      </c>
      <c r="F8">
        <v>0</v>
      </c>
      <c r="G8">
        <v>0</v>
      </c>
      <c r="H8">
        <v>25</v>
      </c>
      <c r="I8">
        <v>38</v>
      </c>
      <c r="J8">
        <v>535</v>
      </c>
      <c r="K8">
        <v>0</v>
      </c>
      <c r="L8">
        <v>0</v>
      </c>
      <c r="M8">
        <v>18</v>
      </c>
      <c r="N8">
        <v>381</v>
      </c>
      <c r="O8">
        <v>0</v>
      </c>
      <c r="P8">
        <v>147</v>
      </c>
      <c r="Q8">
        <v>6</v>
      </c>
      <c r="R8">
        <v>0</v>
      </c>
      <c r="S8">
        <v>0</v>
      </c>
      <c r="T8">
        <v>0</v>
      </c>
      <c r="U8">
        <v>0</v>
      </c>
      <c r="V8">
        <v>0</v>
      </c>
      <c r="W8">
        <v>1147</v>
      </c>
      <c r="X8">
        <v>0</v>
      </c>
      <c r="Y8">
        <v>29</v>
      </c>
      <c r="Z8">
        <v>414</v>
      </c>
      <c r="AA8">
        <v>7</v>
      </c>
      <c r="AB8">
        <v>0</v>
      </c>
      <c r="AC8">
        <v>20</v>
      </c>
      <c r="AD8">
        <v>0</v>
      </c>
      <c r="AE8">
        <v>25</v>
      </c>
      <c r="AF8">
        <v>33</v>
      </c>
      <c r="AG8">
        <v>42</v>
      </c>
      <c r="AH8">
        <v>0</v>
      </c>
      <c r="AI8">
        <v>0</v>
      </c>
      <c r="AJ8">
        <v>4</v>
      </c>
      <c r="AK8">
        <v>103</v>
      </c>
      <c r="AL8">
        <v>22</v>
      </c>
      <c r="AM8">
        <v>0</v>
      </c>
      <c r="AN8">
        <v>0</v>
      </c>
      <c r="AO8">
        <v>5</v>
      </c>
      <c r="AP8">
        <v>58</v>
      </c>
      <c r="AQ8">
        <v>12</v>
      </c>
      <c r="AR8">
        <v>148</v>
      </c>
      <c r="AS8">
        <v>3</v>
      </c>
      <c r="AT8">
        <v>0</v>
      </c>
      <c r="AU8">
        <v>404</v>
      </c>
      <c r="AV8">
        <v>0</v>
      </c>
      <c r="AW8">
        <v>3655</v>
      </c>
    </row>
    <row r="9" spans="1:49" x14ac:dyDescent="0.35">
      <c r="A9" t="s">
        <v>62</v>
      </c>
      <c r="B9">
        <v>657</v>
      </c>
      <c r="C9">
        <v>372</v>
      </c>
      <c r="D9">
        <v>619</v>
      </c>
      <c r="E9">
        <v>160</v>
      </c>
      <c r="F9">
        <v>99</v>
      </c>
      <c r="G9">
        <v>105</v>
      </c>
      <c r="H9">
        <v>1425</v>
      </c>
      <c r="I9">
        <v>238</v>
      </c>
      <c r="J9">
        <v>167</v>
      </c>
      <c r="K9">
        <v>374</v>
      </c>
      <c r="L9">
        <v>389</v>
      </c>
      <c r="M9">
        <v>1</v>
      </c>
      <c r="N9">
        <v>1249</v>
      </c>
      <c r="O9">
        <v>243</v>
      </c>
      <c r="P9">
        <v>2662</v>
      </c>
      <c r="Q9">
        <v>312</v>
      </c>
      <c r="R9">
        <v>47</v>
      </c>
      <c r="S9">
        <v>0</v>
      </c>
      <c r="T9">
        <v>316</v>
      </c>
      <c r="U9">
        <v>3</v>
      </c>
      <c r="V9">
        <v>0</v>
      </c>
      <c r="W9">
        <v>5310</v>
      </c>
      <c r="X9">
        <v>285</v>
      </c>
      <c r="Y9">
        <v>144</v>
      </c>
      <c r="Z9">
        <v>15</v>
      </c>
      <c r="AA9">
        <v>78</v>
      </c>
      <c r="AB9">
        <v>0</v>
      </c>
      <c r="AC9">
        <v>5</v>
      </c>
      <c r="AD9">
        <v>48</v>
      </c>
      <c r="AE9">
        <v>35</v>
      </c>
      <c r="AF9">
        <v>218</v>
      </c>
      <c r="AG9">
        <v>101</v>
      </c>
      <c r="AH9">
        <v>14645</v>
      </c>
      <c r="AI9">
        <v>0</v>
      </c>
      <c r="AJ9">
        <v>573</v>
      </c>
      <c r="AK9">
        <v>406</v>
      </c>
      <c r="AL9">
        <v>250</v>
      </c>
      <c r="AM9">
        <v>0</v>
      </c>
      <c r="AN9">
        <v>187</v>
      </c>
      <c r="AO9">
        <v>50</v>
      </c>
      <c r="AP9">
        <v>76</v>
      </c>
      <c r="AQ9">
        <v>340</v>
      </c>
      <c r="AR9">
        <v>578</v>
      </c>
      <c r="AS9">
        <v>16</v>
      </c>
      <c r="AT9">
        <v>3585</v>
      </c>
      <c r="AU9">
        <v>2016</v>
      </c>
      <c r="AV9">
        <v>1644</v>
      </c>
      <c r="AW9">
        <v>40043</v>
      </c>
    </row>
    <row r="10" spans="1:49" x14ac:dyDescent="0.35">
      <c r="A10" t="s">
        <v>64</v>
      </c>
      <c r="B10">
        <v>0</v>
      </c>
      <c r="C10">
        <v>8664</v>
      </c>
      <c r="D10">
        <v>2623</v>
      </c>
      <c r="E10">
        <v>1224</v>
      </c>
      <c r="F10">
        <v>1622</v>
      </c>
      <c r="G10">
        <v>79</v>
      </c>
      <c r="H10">
        <v>3640</v>
      </c>
      <c r="I10">
        <v>10717</v>
      </c>
      <c r="J10">
        <v>0</v>
      </c>
      <c r="K10">
        <v>850</v>
      </c>
      <c r="L10">
        <v>0</v>
      </c>
      <c r="M10">
        <v>149</v>
      </c>
      <c r="N10">
        <v>41461</v>
      </c>
      <c r="O10">
        <v>0</v>
      </c>
      <c r="P10">
        <v>0</v>
      </c>
      <c r="Q10">
        <v>86</v>
      </c>
      <c r="R10">
        <v>4059</v>
      </c>
      <c r="S10">
        <v>1</v>
      </c>
      <c r="T10">
        <v>0</v>
      </c>
      <c r="U10">
        <v>0</v>
      </c>
      <c r="V10">
        <v>1847</v>
      </c>
      <c r="W10">
        <v>0</v>
      </c>
      <c r="X10">
        <v>148</v>
      </c>
      <c r="Y10">
        <v>849</v>
      </c>
      <c r="Z10">
        <v>311</v>
      </c>
      <c r="AA10">
        <v>2153</v>
      </c>
      <c r="AB10">
        <v>0</v>
      </c>
      <c r="AC10">
        <v>38</v>
      </c>
      <c r="AD10">
        <v>1153</v>
      </c>
      <c r="AE10">
        <v>178</v>
      </c>
      <c r="AF10">
        <v>0</v>
      </c>
      <c r="AG10">
        <v>152</v>
      </c>
      <c r="AH10">
        <v>0</v>
      </c>
      <c r="AI10">
        <v>0</v>
      </c>
      <c r="AJ10">
        <v>1670</v>
      </c>
      <c r="AK10">
        <v>0</v>
      </c>
      <c r="AL10">
        <v>0</v>
      </c>
      <c r="AM10">
        <v>0</v>
      </c>
      <c r="AN10">
        <v>927</v>
      </c>
      <c r="AO10">
        <v>258</v>
      </c>
      <c r="AP10">
        <v>738</v>
      </c>
      <c r="AQ10">
        <v>3413</v>
      </c>
      <c r="AR10">
        <v>25803</v>
      </c>
      <c r="AS10">
        <v>527</v>
      </c>
      <c r="AT10">
        <v>0</v>
      </c>
      <c r="AU10">
        <v>0</v>
      </c>
      <c r="AV10">
        <v>2115</v>
      </c>
      <c r="AW10">
        <v>117455</v>
      </c>
    </row>
    <row r="11" spans="1:49" x14ac:dyDescent="0.35">
      <c r="A11" t="s">
        <v>65</v>
      </c>
      <c r="B11">
        <v>328</v>
      </c>
      <c r="C11">
        <v>1383</v>
      </c>
      <c r="D11">
        <v>0</v>
      </c>
      <c r="E11">
        <v>653</v>
      </c>
      <c r="F11">
        <v>0</v>
      </c>
      <c r="G11">
        <v>22</v>
      </c>
      <c r="H11">
        <v>91</v>
      </c>
      <c r="I11">
        <v>250</v>
      </c>
      <c r="J11">
        <v>2651</v>
      </c>
      <c r="K11">
        <v>790</v>
      </c>
      <c r="L11">
        <v>0</v>
      </c>
      <c r="M11">
        <v>61</v>
      </c>
      <c r="N11">
        <v>10838</v>
      </c>
      <c r="O11">
        <v>0</v>
      </c>
      <c r="P11">
        <v>4365</v>
      </c>
      <c r="Q11">
        <v>318</v>
      </c>
      <c r="R11">
        <v>1033</v>
      </c>
      <c r="S11">
        <v>189</v>
      </c>
      <c r="T11">
        <v>0</v>
      </c>
      <c r="U11">
        <v>130</v>
      </c>
      <c r="V11">
        <v>0</v>
      </c>
      <c r="W11">
        <v>0</v>
      </c>
      <c r="X11">
        <v>1404</v>
      </c>
      <c r="Y11">
        <v>110</v>
      </c>
      <c r="Z11">
        <v>411</v>
      </c>
      <c r="AA11">
        <v>25</v>
      </c>
      <c r="AB11">
        <v>2466</v>
      </c>
      <c r="AC11">
        <v>20</v>
      </c>
      <c r="AD11">
        <v>315</v>
      </c>
      <c r="AE11">
        <v>178</v>
      </c>
      <c r="AF11">
        <v>313</v>
      </c>
      <c r="AG11">
        <v>226</v>
      </c>
      <c r="AH11">
        <v>0</v>
      </c>
      <c r="AI11">
        <v>0</v>
      </c>
      <c r="AJ11">
        <v>135</v>
      </c>
      <c r="AK11">
        <v>0</v>
      </c>
      <c r="AL11">
        <v>20</v>
      </c>
      <c r="AM11">
        <v>79</v>
      </c>
      <c r="AN11">
        <v>195</v>
      </c>
      <c r="AO11">
        <v>0</v>
      </c>
      <c r="AP11">
        <v>732</v>
      </c>
      <c r="AQ11">
        <v>63</v>
      </c>
      <c r="AR11">
        <v>633</v>
      </c>
      <c r="AS11">
        <v>0</v>
      </c>
      <c r="AT11">
        <v>0</v>
      </c>
      <c r="AU11">
        <v>0</v>
      </c>
      <c r="AV11">
        <v>327</v>
      </c>
      <c r="AW11">
        <v>30754</v>
      </c>
    </row>
    <row r="12" spans="1:49" x14ac:dyDescent="0.35">
      <c r="A12" t="s">
        <v>66</v>
      </c>
      <c r="B12">
        <v>75</v>
      </c>
      <c r="C12">
        <v>0</v>
      </c>
      <c r="D12">
        <v>0</v>
      </c>
      <c r="E12">
        <v>3</v>
      </c>
      <c r="F12">
        <v>0</v>
      </c>
      <c r="G12">
        <v>0</v>
      </c>
      <c r="H12">
        <v>0</v>
      </c>
      <c r="I12">
        <v>0</v>
      </c>
      <c r="J12">
        <v>0</v>
      </c>
      <c r="K12">
        <v>0</v>
      </c>
      <c r="L12">
        <v>0</v>
      </c>
      <c r="M12">
        <v>20</v>
      </c>
      <c r="N12">
        <v>663</v>
      </c>
      <c r="O12">
        <v>0</v>
      </c>
      <c r="P12">
        <v>52</v>
      </c>
      <c r="Q12">
        <v>46</v>
      </c>
      <c r="R12">
        <v>0</v>
      </c>
      <c r="S12">
        <v>0</v>
      </c>
      <c r="T12">
        <v>0</v>
      </c>
      <c r="U12">
        <v>5</v>
      </c>
      <c r="V12">
        <v>5</v>
      </c>
      <c r="W12">
        <v>468</v>
      </c>
      <c r="X12">
        <v>0</v>
      </c>
      <c r="Y12">
        <v>10</v>
      </c>
      <c r="Z12">
        <v>52</v>
      </c>
      <c r="AA12">
        <v>0</v>
      </c>
      <c r="AB12">
        <v>29</v>
      </c>
      <c r="AC12">
        <v>9</v>
      </c>
      <c r="AD12">
        <v>12</v>
      </c>
      <c r="AE12">
        <v>0</v>
      </c>
      <c r="AF12">
        <v>470</v>
      </c>
      <c r="AG12">
        <v>11</v>
      </c>
      <c r="AH12">
        <v>0</v>
      </c>
      <c r="AI12">
        <v>0</v>
      </c>
      <c r="AJ12">
        <v>100</v>
      </c>
      <c r="AK12">
        <v>128</v>
      </c>
      <c r="AL12">
        <v>21</v>
      </c>
      <c r="AM12">
        <v>0</v>
      </c>
      <c r="AN12">
        <v>0</v>
      </c>
      <c r="AO12">
        <v>2</v>
      </c>
      <c r="AP12">
        <v>0</v>
      </c>
      <c r="AQ12">
        <v>2</v>
      </c>
      <c r="AR12">
        <v>73</v>
      </c>
      <c r="AS12">
        <v>0</v>
      </c>
      <c r="AT12">
        <v>0</v>
      </c>
      <c r="AU12">
        <v>0</v>
      </c>
      <c r="AV12">
        <v>10</v>
      </c>
      <c r="AW12">
        <v>2266</v>
      </c>
    </row>
    <row r="13" spans="1:49" x14ac:dyDescent="0.35">
      <c r="A13" t="s">
        <v>79</v>
      </c>
      <c r="B13">
        <v>468</v>
      </c>
      <c r="C13">
        <v>155</v>
      </c>
      <c r="D13">
        <v>0</v>
      </c>
      <c r="E13">
        <v>2</v>
      </c>
      <c r="F13">
        <v>0</v>
      </c>
      <c r="G13">
        <v>3</v>
      </c>
      <c r="H13">
        <v>497</v>
      </c>
      <c r="I13">
        <v>0</v>
      </c>
      <c r="J13">
        <v>0</v>
      </c>
      <c r="K13">
        <v>216</v>
      </c>
      <c r="L13">
        <v>161</v>
      </c>
      <c r="M13">
        <v>11</v>
      </c>
      <c r="N13">
        <v>0</v>
      </c>
      <c r="O13">
        <v>0</v>
      </c>
      <c r="P13">
        <v>672</v>
      </c>
      <c r="Q13">
        <v>83</v>
      </c>
      <c r="R13">
        <v>398</v>
      </c>
      <c r="S13">
        <v>0</v>
      </c>
      <c r="T13">
        <v>0</v>
      </c>
      <c r="U13">
        <v>0</v>
      </c>
      <c r="V13">
        <v>134</v>
      </c>
      <c r="W13">
        <v>0</v>
      </c>
      <c r="X13">
        <v>115</v>
      </c>
      <c r="Y13">
        <v>416</v>
      </c>
      <c r="Z13">
        <v>0</v>
      </c>
      <c r="AA13">
        <v>1496</v>
      </c>
      <c r="AB13">
        <v>5726</v>
      </c>
      <c r="AC13">
        <v>326</v>
      </c>
      <c r="AD13">
        <v>274</v>
      </c>
      <c r="AE13">
        <v>0</v>
      </c>
      <c r="AF13">
        <v>1739</v>
      </c>
      <c r="AG13">
        <v>191</v>
      </c>
      <c r="AH13">
        <v>0</v>
      </c>
      <c r="AI13">
        <v>321</v>
      </c>
      <c r="AJ13">
        <v>1045</v>
      </c>
      <c r="AK13">
        <v>0</v>
      </c>
      <c r="AL13">
        <v>16</v>
      </c>
      <c r="AM13">
        <v>146</v>
      </c>
      <c r="AN13">
        <v>84</v>
      </c>
      <c r="AO13">
        <v>70</v>
      </c>
      <c r="AP13">
        <v>814</v>
      </c>
      <c r="AQ13">
        <v>857</v>
      </c>
      <c r="AR13">
        <v>3028</v>
      </c>
      <c r="AS13">
        <v>526</v>
      </c>
      <c r="AT13">
        <v>8415</v>
      </c>
      <c r="AU13">
        <v>0</v>
      </c>
      <c r="AV13">
        <v>368</v>
      </c>
      <c r="AW13">
        <v>370104</v>
      </c>
    </row>
    <row r="14" spans="1:49" x14ac:dyDescent="0.35">
      <c r="A14" t="s">
        <v>68</v>
      </c>
      <c r="B14">
        <v>134</v>
      </c>
      <c r="C14">
        <v>0</v>
      </c>
      <c r="D14">
        <v>0</v>
      </c>
      <c r="E14">
        <v>0</v>
      </c>
      <c r="F14">
        <v>0</v>
      </c>
      <c r="G14">
        <v>104</v>
      </c>
      <c r="H14">
        <v>242</v>
      </c>
      <c r="I14">
        <v>0</v>
      </c>
      <c r="J14">
        <v>0</v>
      </c>
      <c r="K14">
        <v>0</v>
      </c>
      <c r="L14">
        <v>0</v>
      </c>
      <c r="M14">
        <v>3</v>
      </c>
      <c r="N14">
        <v>2227</v>
      </c>
      <c r="O14">
        <v>0</v>
      </c>
      <c r="P14">
        <v>11536</v>
      </c>
      <c r="Q14">
        <v>18</v>
      </c>
      <c r="R14">
        <v>1671</v>
      </c>
      <c r="S14">
        <v>0</v>
      </c>
      <c r="T14">
        <v>0</v>
      </c>
      <c r="U14">
        <v>0</v>
      </c>
      <c r="V14">
        <v>0</v>
      </c>
      <c r="W14">
        <v>0</v>
      </c>
      <c r="X14">
        <v>527</v>
      </c>
      <c r="Y14">
        <v>71</v>
      </c>
      <c r="Z14">
        <v>0</v>
      </c>
      <c r="AA14">
        <v>1041</v>
      </c>
      <c r="AB14">
        <v>0</v>
      </c>
      <c r="AC14">
        <v>0</v>
      </c>
      <c r="AD14">
        <v>9</v>
      </c>
      <c r="AE14">
        <v>2804</v>
      </c>
      <c r="AF14">
        <v>21</v>
      </c>
      <c r="AG14">
        <v>0</v>
      </c>
      <c r="AH14">
        <v>0</v>
      </c>
      <c r="AI14">
        <v>0</v>
      </c>
      <c r="AJ14">
        <v>2543</v>
      </c>
      <c r="AK14">
        <v>0</v>
      </c>
      <c r="AL14">
        <v>1306</v>
      </c>
      <c r="AM14">
        <v>0</v>
      </c>
      <c r="AN14">
        <v>28</v>
      </c>
      <c r="AO14">
        <v>0</v>
      </c>
      <c r="AP14">
        <v>42</v>
      </c>
      <c r="AQ14">
        <v>1075</v>
      </c>
      <c r="AR14">
        <v>9250</v>
      </c>
      <c r="AS14">
        <v>3505</v>
      </c>
      <c r="AT14">
        <v>577</v>
      </c>
      <c r="AU14">
        <v>2617</v>
      </c>
      <c r="AV14">
        <v>76</v>
      </c>
      <c r="AW14">
        <v>41427</v>
      </c>
    </row>
    <row r="15" spans="1:49" s="21" customFormat="1" x14ac:dyDescent="0.35">
      <c r="A15" s="21" t="s">
        <v>69</v>
      </c>
      <c r="B15" s="21">
        <v>789</v>
      </c>
      <c r="C15" s="21">
        <v>86</v>
      </c>
      <c r="D15" s="21">
        <v>54</v>
      </c>
      <c r="E15" s="21">
        <v>128</v>
      </c>
      <c r="F15" s="21">
        <v>78</v>
      </c>
      <c r="G15" s="21">
        <v>3</v>
      </c>
      <c r="H15">
        <v>3103</v>
      </c>
      <c r="I15" s="21">
        <v>124</v>
      </c>
      <c r="J15" s="21">
        <v>338</v>
      </c>
      <c r="K15" s="21">
        <v>97</v>
      </c>
      <c r="L15" s="21">
        <v>498</v>
      </c>
      <c r="M15" s="21">
        <v>27</v>
      </c>
      <c r="N15" s="21">
        <v>6176</v>
      </c>
      <c r="O15" s="21">
        <v>113</v>
      </c>
      <c r="P15" s="21">
        <v>1041</v>
      </c>
      <c r="Q15" s="21">
        <v>93</v>
      </c>
      <c r="R15" s="21">
        <v>1476</v>
      </c>
      <c r="S15" s="21">
        <v>0</v>
      </c>
      <c r="T15" s="21">
        <v>0</v>
      </c>
      <c r="U15" s="21">
        <v>12</v>
      </c>
      <c r="V15" s="21">
        <v>0</v>
      </c>
      <c r="W15" s="21">
        <v>430</v>
      </c>
      <c r="X15" s="21">
        <v>9</v>
      </c>
      <c r="Y15" s="21">
        <v>41</v>
      </c>
      <c r="Z15" s="21">
        <v>214</v>
      </c>
      <c r="AA15" s="21">
        <v>0</v>
      </c>
      <c r="AB15" s="21">
        <v>206</v>
      </c>
      <c r="AC15" s="21">
        <v>0</v>
      </c>
      <c r="AD15" s="21">
        <v>213</v>
      </c>
      <c r="AE15" s="21">
        <v>44</v>
      </c>
      <c r="AF15" s="21">
        <v>303</v>
      </c>
      <c r="AG15" s="21">
        <v>82</v>
      </c>
      <c r="AH15" s="21">
        <v>2648</v>
      </c>
      <c r="AI15" s="21">
        <v>0</v>
      </c>
      <c r="AJ15" s="21">
        <v>542</v>
      </c>
      <c r="AK15" s="21">
        <v>22</v>
      </c>
      <c r="AL15" s="21">
        <v>6</v>
      </c>
      <c r="AM15" s="21">
        <v>0</v>
      </c>
      <c r="AN15" s="21">
        <v>47</v>
      </c>
      <c r="AO15" s="21">
        <v>7</v>
      </c>
      <c r="AP15" s="21">
        <v>25</v>
      </c>
      <c r="AQ15" s="21">
        <v>23</v>
      </c>
      <c r="AR15" s="21">
        <v>681</v>
      </c>
      <c r="AS15" s="21">
        <v>42</v>
      </c>
      <c r="AT15" s="21">
        <v>8072</v>
      </c>
      <c r="AU15" s="21">
        <v>602</v>
      </c>
      <c r="AV15" s="21">
        <v>412</v>
      </c>
      <c r="AW15" s="21">
        <v>25804</v>
      </c>
    </row>
    <row r="16" spans="1:49" x14ac:dyDescent="0.35">
      <c r="A16" t="s">
        <v>70</v>
      </c>
      <c r="B16">
        <v>190</v>
      </c>
      <c r="C16">
        <v>108</v>
      </c>
      <c r="D16">
        <v>0</v>
      </c>
      <c r="E16">
        <v>4</v>
      </c>
      <c r="F16">
        <v>62</v>
      </c>
      <c r="G16">
        <v>20</v>
      </c>
      <c r="H16">
        <v>123</v>
      </c>
      <c r="I16">
        <v>0</v>
      </c>
      <c r="J16">
        <v>0</v>
      </c>
      <c r="K16">
        <v>0</v>
      </c>
      <c r="L16">
        <v>0</v>
      </c>
      <c r="M16">
        <v>14</v>
      </c>
      <c r="N16">
        <v>610</v>
      </c>
      <c r="O16">
        <v>0</v>
      </c>
      <c r="P16">
        <v>2953</v>
      </c>
      <c r="Q16">
        <v>127</v>
      </c>
      <c r="R16">
        <v>3883</v>
      </c>
      <c r="S16">
        <v>66</v>
      </c>
      <c r="T16">
        <v>0</v>
      </c>
      <c r="U16">
        <v>24</v>
      </c>
      <c r="V16">
        <v>0</v>
      </c>
      <c r="W16">
        <v>2419</v>
      </c>
      <c r="X16">
        <v>65</v>
      </c>
      <c r="Y16">
        <v>349</v>
      </c>
      <c r="Z16">
        <v>11</v>
      </c>
      <c r="AA16">
        <v>0</v>
      </c>
      <c r="AB16">
        <v>59</v>
      </c>
      <c r="AC16">
        <v>15</v>
      </c>
      <c r="AD16">
        <v>416</v>
      </c>
      <c r="AE16">
        <v>306</v>
      </c>
      <c r="AF16">
        <v>37</v>
      </c>
      <c r="AG16">
        <v>22</v>
      </c>
      <c r="AH16">
        <v>34393</v>
      </c>
      <c r="AI16">
        <v>0</v>
      </c>
      <c r="AJ16">
        <v>17</v>
      </c>
      <c r="AK16">
        <v>0</v>
      </c>
      <c r="AL16">
        <v>57</v>
      </c>
      <c r="AM16">
        <v>0</v>
      </c>
      <c r="AN16">
        <v>2084</v>
      </c>
      <c r="AO16">
        <v>0</v>
      </c>
      <c r="AP16">
        <v>6</v>
      </c>
      <c r="AQ16">
        <v>0</v>
      </c>
      <c r="AR16">
        <v>724</v>
      </c>
      <c r="AS16">
        <v>0</v>
      </c>
      <c r="AT16">
        <v>0</v>
      </c>
      <c r="AU16">
        <v>1232</v>
      </c>
      <c r="AV16">
        <v>718</v>
      </c>
      <c r="AW16">
        <v>51114</v>
      </c>
    </row>
    <row r="17" spans="1:49" x14ac:dyDescent="0.35">
      <c r="A17" t="s">
        <v>76</v>
      </c>
      <c r="B17">
        <v>56</v>
      </c>
      <c r="C17">
        <v>0</v>
      </c>
      <c r="D17">
        <v>0</v>
      </c>
      <c r="E17">
        <v>3</v>
      </c>
      <c r="F17">
        <v>1</v>
      </c>
      <c r="G17">
        <v>0</v>
      </c>
      <c r="H17">
        <v>700</v>
      </c>
      <c r="I17">
        <v>0</v>
      </c>
      <c r="J17">
        <v>0</v>
      </c>
      <c r="K17">
        <v>0</v>
      </c>
      <c r="L17">
        <v>0</v>
      </c>
      <c r="M17">
        <v>40</v>
      </c>
      <c r="N17">
        <v>1218</v>
      </c>
      <c r="O17">
        <v>86</v>
      </c>
      <c r="P17">
        <v>330</v>
      </c>
      <c r="Q17">
        <v>5</v>
      </c>
      <c r="R17">
        <v>143</v>
      </c>
      <c r="S17">
        <v>0</v>
      </c>
      <c r="T17">
        <v>0</v>
      </c>
      <c r="U17">
        <v>16</v>
      </c>
      <c r="V17">
        <v>0</v>
      </c>
      <c r="W17">
        <v>0</v>
      </c>
      <c r="X17">
        <v>5</v>
      </c>
      <c r="Y17">
        <v>8</v>
      </c>
      <c r="Z17">
        <v>56</v>
      </c>
      <c r="AA17">
        <v>0</v>
      </c>
      <c r="AB17">
        <v>147</v>
      </c>
      <c r="AC17">
        <v>0</v>
      </c>
      <c r="AD17">
        <v>0</v>
      </c>
      <c r="AE17">
        <v>13</v>
      </c>
      <c r="AF17">
        <v>147</v>
      </c>
      <c r="AG17">
        <v>0</v>
      </c>
      <c r="AH17">
        <v>5371</v>
      </c>
      <c r="AI17">
        <v>0</v>
      </c>
      <c r="AJ17">
        <v>108</v>
      </c>
      <c r="AK17">
        <v>13</v>
      </c>
      <c r="AL17">
        <v>7</v>
      </c>
      <c r="AM17">
        <v>0</v>
      </c>
      <c r="AN17">
        <v>12</v>
      </c>
      <c r="AO17">
        <v>28</v>
      </c>
      <c r="AP17">
        <v>6</v>
      </c>
      <c r="AQ17">
        <v>2</v>
      </c>
      <c r="AR17">
        <v>213</v>
      </c>
      <c r="AS17">
        <v>9</v>
      </c>
      <c r="AT17">
        <v>0</v>
      </c>
      <c r="AU17">
        <v>61</v>
      </c>
      <c r="AV17">
        <v>0</v>
      </c>
      <c r="AW17">
        <v>3103</v>
      </c>
    </row>
    <row r="18" spans="1:49" x14ac:dyDescent="0.35">
      <c r="A18" t="s">
        <v>77</v>
      </c>
      <c r="B18">
        <v>28324</v>
      </c>
      <c r="C18">
        <v>2906</v>
      </c>
      <c r="D18">
        <v>156</v>
      </c>
      <c r="E18">
        <v>871</v>
      </c>
      <c r="F18">
        <v>0</v>
      </c>
      <c r="G18">
        <v>65</v>
      </c>
      <c r="H18">
        <v>139</v>
      </c>
      <c r="I18">
        <v>0</v>
      </c>
      <c r="J18">
        <v>74310</v>
      </c>
      <c r="K18">
        <v>111</v>
      </c>
      <c r="L18">
        <v>44</v>
      </c>
      <c r="M18">
        <v>1357</v>
      </c>
      <c r="N18">
        <v>76532</v>
      </c>
      <c r="O18">
        <v>3563</v>
      </c>
      <c r="P18">
        <v>73174</v>
      </c>
      <c r="Q18">
        <v>1939</v>
      </c>
      <c r="R18">
        <v>23627</v>
      </c>
      <c r="S18">
        <v>481</v>
      </c>
      <c r="T18">
        <v>0</v>
      </c>
      <c r="U18">
        <v>481</v>
      </c>
      <c r="V18">
        <v>0</v>
      </c>
      <c r="W18">
        <v>2759</v>
      </c>
      <c r="X18">
        <v>4311</v>
      </c>
      <c r="Y18">
        <v>2130</v>
      </c>
      <c r="Z18">
        <v>6355</v>
      </c>
      <c r="AA18">
        <v>8306</v>
      </c>
      <c r="AB18">
        <v>26735</v>
      </c>
      <c r="AC18">
        <v>1532</v>
      </c>
      <c r="AD18">
        <v>3295</v>
      </c>
      <c r="AE18">
        <v>0</v>
      </c>
      <c r="AF18">
        <v>2157</v>
      </c>
      <c r="AG18">
        <v>542</v>
      </c>
      <c r="AH18">
        <v>0</v>
      </c>
      <c r="AI18">
        <v>0</v>
      </c>
      <c r="AJ18">
        <v>5868</v>
      </c>
      <c r="AK18">
        <v>0</v>
      </c>
      <c r="AL18">
        <v>0</v>
      </c>
      <c r="AM18">
        <v>0</v>
      </c>
      <c r="AN18">
        <v>1215</v>
      </c>
      <c r="AO18">
        <v>0</v>
      </c>
      <c r="AP18">
        <v>436</v>
      </c>
      <c r="AQ18">
        <v>4010</v>
      </c>
      <c r="AR18">
        <v>0</v>
      </c>
      <c r="AS18">
        <v>0</v>
      </c>
      <c r="AT18">
        <v>0</v>
      </c>
      <c r="AU18">
        <v>17801</v>
      </c>
      <c r="AV18">
        <v>9502</v>
      </c>
      <c r="AW18">
        <v>8804</v>
      </c>
    </row>
    <row r="19" spans="1:49" x14ac:dyDescent="0.35">
      <c r="A19" t="s">
        <v>78</v>
      </c>
      <c r="B19">
        <v>0</v>
      </c>
      <c r="C19">
        <v>0</v>
      </c>
      <c r="D19">
        <v>1994</v>
      </c>
      <c r="E19">
        <v>44</v>
      </c>
      <c r="F19">
        <v>20</v>
      </c>
      <c r="G19">
        <v>14</v>
      </c>
      <c r="H19">
        <v>14</v>
      </c>
      <c r="I19">
        <v>0</v>
      </c>
      <c r="J19">
        <v>1608</v>
      </c>
      <c r="K19">
        <v>445</v>
      </c>
      <c r="L19">
        <v>115</v>
      </c>
      <c r="M19">
        <v>95</v>
      </c>
      <c r="N19">
        <v>5104</v>
      </c>
      <c r="O19">
        <v>0</v>
      </c>
      <c r="P19">
        <v>2872</v>
      </c>
      <c r="Q19">
        <v>62</v>
      </c>
      <c r="R19">
        <v>1877</v>
      </c>
      <c r="S19">
        <v>0</v>
      </c>
      <c r="T19">
        <v>0</v>
      </c>
      <c r="U19">
        <v>69</v>
      </c>
      <c r="V19">
        <v>0</v>
      </c>
      <c r="W19">
        <v>0</v>
      </c>
      <c r="X19">
        <v>3601</v>
      </c>
      <c r="Y19">
        <v>58</v>
      </c>
      <c r="Z19">
        <v>0</v>
      </c>
      <c r="AA19">
        <v>0</v>
      </c>
      <c r="AB19">
        <v>0</v>
      </c>
      <c r="AC19">
        <v>4</v>
      </c>
      <c r="AD19">
        <v>0</v>
      </c>
      <c r="AE19">
        <v>0</v>
      </c>
      <c r="AF19">
        <v>0</v>
      </c>
      <c r="AG19">
        <v>462</v>
      </c>
      <c r="AH19">
        <v>3919</v>
      </c>
      <c r="AI19">
        <v>0</v>
      </c>
      <c r="AJ19">
        <v>0</v>
      </c>
      <c r="AK19">
        <v>0</v>
      </c>
      <c r="AL19">
        <v>0</v>
      </c>
      <c r="AM19">
        <v>271</v>
      </c>
      <c r="AN19">
        <v>85</v>
      </c>
      <c r="AO19">
        <v>0</v>
      </c>
      <c r="AP19">
        <v>90</v>
      </c>
      <c r="AQ19">
        <v>360</v>
      </c>
      <c r="AR19">
        <v>3630</v>
      </c>
      <c r="AS19">
        <v>0</v>
      </c>
      <c r="AT19">
        <v>15266</v>
      </c>
      <c r="AU19">
        <v>0</v>
      </c>
      <c r="AV19">
        <v>1122</v>
      </c>
      <c r="AW19">
        <v>385034</v>
      </c>
    </row>
    <row r="20" spans="1:49" x14ac:dyDescent="0.35">
      <c r="A20" t="s">
        <v>67</v>
      </c>
      <c r="B20">
        <v>98</v>
      </c>
      <c r="C20">
        <v>1071</v>
      </c>
      <c r="D20">
        <v>241</v>
      </c>
      <c r="E20">
        <v>699</v>
      </c>
      <c r="F20">
        <v>460</v>
      </c>
      <c r="G20">
        <v>112</v>
      </c>
      <c r="H20">
        <v>0</v>
      </c>
      <c r="I20">
        <v>5235</v>
      </c>
      <c r="J20">
        <v>2934</v>
      </c>
      <c r="K20">
        <v>320</v>
      </c>
      <c r="L20">
        <v>8</v>
      </c>
      <c r="M20">
        <v>65</v>
      </c>
      <c r="N20">
        <v>14548</v>
      </c>
      <c r="O20">
        <v>549</v>
      </c>
      <c r="P20">
        <v>10450</v>
      </c>
      <c r="Q20">
        <v>439</v>
      </c>
      <c r="R20">
        <v>1563</v>
      </c>
      <c r="S20">
        <v>181</v>
      </c>
      <c r="T20">
        <v>138</v>
      </c>
      <c r="U20">
        <v>172</v>
      </c>
      <c r="V20">
        <v>2</v>
      </c>
      <c r="W20">
        <v>0</v>
      </c>
      <c r="X20">
        <v>0</v>
      </c>
      <c r="Y20">
        <v>205</v>
      </c>
      <c r="Z20">
        <v>306</v>
      </c>
      <c r="AA20">
        <v>0</v>
      </c>
      <c r="AB20">
        <v>1951</v>
      </c>
      <c r="AC20">
        <v>122</v>
      </c>
      <c r="AD20">
        <v>291</v>
      </c>
      <c r="AE20">
        <v>542</v>
      </c>
      <c r="AF20">
        <v>510</v>
      </c>
      <c r="AG20">
        <v>432</v>
      </c>
      <c r="AH20">
        <v>311269</v>
      </c>
      <c r="AI20">
        <v>1990</v>
      </c>
      <c r="AJ20">
        <v>328</v>
      </c>
      <c r="AK20">
        <v>311</v>
      </c>
      <c r="AL20">
        <v>272</v>
      </c>
      <c r="AM20">
        <v>0</v>
      </c>
      <c r="AN20">
        <v>370</v>
      </c>
      <c r="AO20">
        <v>71</v>
      </c>
      <c r="AP20">
        <v>749</v>
      </c>
      <c r="AQ20">
        <v>615</v>
      </c>
      <c r="AR20">
        <v>4361</v>
      </c>
      <c r="AS20">
        <v>3874</v>
      </c>
      <c r="AT20">
        <v>0</v>
      </c>
      <c r="AU20">
        <v>1602</v>
      </c>
      <c r="AV20">
        <v>648</v>
      </c>
      <c r="AW20">
        <v>43201</v>
      </c>
    </row>
    <row r="21" spans="1:49" x14ac:dyDescent="0.35">
      <c r="A21" t="s">
        <v>80</v>
      </c>
      <c r="B21">
        <v>56</v>
      </c>
      <c r="C21">
        <v>0</v>
      </c>
      <c r="D21">
        <v>146</v>
      </c>
      <c r="E21">
        <v>0</v>
      </c>
      <c r="F21">
        <v>58</v>
      </c>
      <c r="G21">
        <v>200</v>
      </c>
      <c r="H21">
        <v>21440</v>
      </c>
      <c r="I21">
        <v>0</v>
      </c>
      <c r="J21">
        <v>0</v>
      </c>
      <c r="K21">
        <v>0</v>
      </c>
      <c r="L21">
        <v>0</v>
      </c>
      <c r="M21">
        <v>0</v>
      </c>
      <c r="N21">
        <v>279</v>
      </c>
      <c r="O21">
        <v>0</v>
      </c>
      <c r="P21">
        <v>1285</v>
      </c>
      <c r="Q21">
        <v>58</v>
      </c>
      <c r="R21">
        <v>2116</v>
      </c>
      <c r="S21">
        <v>62</v>
      </c>
      <c r="T21">
        <v>39</v>
      </c>
      <c r="U21">
        <v>8</v>
      </c>
      <c r="V21">
        <v>0</v>
      </c>
      <c r="W21">
        <v>21942</v>
      </c>
      <c r="X21">
        <v>0</v>
      </c>
      <c r="Y21">
        <v>4</v>
      </c>
      <c r="Z21">
        <v>0</v>
      </c>
      <c r="AA21">
        <v>0</v>
      </c>
      <c r="AB21">
        <v>0</v>
      </c>
      <c r="AC21">
        <v>65</v>
      </c>
      <c r="AD21">
        <v>24</v>
      </c>
      <c r="AE21">
        <v>98</v>
      </c>
      <c r="AF21">
        <v>1053</v>
      </c>
      <c r="AG21">
        <v>598</v>
      </c>
      <c r="AH21">
        <v>30</v>
      </c>
      <c r="AI21">
        <v>0</v>
      </c>
      <c r="AJ21">
        <v>505</v>
      </c>
      <c r="AK21">
        <v>0</v>
      </c>
      <c r="AL21">
        <v>0</v>
      </c>
      <c r="AM21">
        <v>0</v>
      </c>
      <c r="AN21">
        <v>29</v>
      </c>
      <c r="AO21">
        <v>0</v>
      </c>
      <c r="AP21">
        <v>0</v>
      </c>
      <c r="AQ21">
        <v>0</v>
      </c>
      <c r="AR21">
        <v>1963</v>
      </c>
      <c r="AS21">
        <v>0</v>
      </c>
      <c r="AT21">
        <v>0</v>
      </c>
      <c r="AU21">
        <v>0</v>
      </c>
      <c r="AV21">
        <v>1094</v>
      </c>
      <c r="AW21">
        <v>28773</v>
      </c>
    </row>
    <row r="22" spans="1:49" x14ac:dyDescent="0.35">
      <c r="A22" t="s">
        <v>83</v>
      </c>
      <c r="B22">
        <v>1156</v>
      </c>
      <c r="C22">
        <v>9</v>
      </c>
      <c r="D22">
        <v>0</v>
      </c>
      <c r="E22">
        <v>18</v>
      </c>
      <c r="F22">
        <v>38</v>
      </c>
      <c r="G22">
        <v>0</v>
      </c>
      <c r="H22">
        <v>151</v>
      </c>
      <c r="I22">
        <v>0</v>
      </c>
      <c r="J22">
        <v>395</v>
      </c>
      <c r="K22">
        <v>0</v>
      </c>
      <c r="L22">
        <v>0</v>
      </c>
      <c r="M22">
        <v>58</v>
      </c>
      <c r="N22">
        <v>1827</v>
      </c>
      <c r="O22">
        <v>137</v>
      </c>
      <c r="P22">
        <v>258</v>
      </c>
      <c r="Q22">
        <v>43</v>
      </c>
      <c r="R22">
        <v>304</v>
      </c>
      <c r="S22">
        <v>0</v>
      </c>
      <c r="T22">
        <v>0</v>
      </c>
      <c r="U22">
        <v>13</v>
      </c>
      <c r="V22">
        <v>0</v>
      </c>
      <c r="W22">
        <v>0</v>
      </c>
      <c r="X22">
        <v>3</v>
      </c>
      <c r="Y22">
        <v>22</v>
      </c>
      <c r="Z22">
        <v>99</v>
      </c>
      <c r="AA22">
        <v>0</v>
      </c>
      <c r="AB22">
        <v>377</v>
      </c>
      <c r="AC22">
        <v>7</v>
      </c>
      <c r="AD22">
        <v>64</v>
      </c>
      <c r="AE22">
        <v>52</v>
      </c>
      <c r="AF22">
        <v>233</v>
      </c>
      <c r="AG22">
        <v>0</v>
      </c>
      <c r="AH22">
        <v>15823</v>
      </c>
      <c r="AI22">
        <v>182</v>
      </c>
      <c r="AJ22">
        <v>0</v>
      </c>
      <c r="AK22">
        <v>13</v>
      </c>
      <c r="AL22">
        <v>9</v>
      </c>
      <c r="AM22">
        <v>0</v>
      </c>
      <c r="AN22">
        <v>29</v>
      </c>
      <c r="AO22">
        <v>33</v>
      </c>
      <c r="AP22">
        <v>2</v>
      </c>
      <c r="AQ22">
        <v>252</v>
      </c>
      <c r="AR22">
        <v>103</v>
      </c>
      <c r="AS22">
        <v>18</v>
      </c>
      <c r="AT22">
        <v>11975</v>
      </c>
      <c r="AU22">
        <v>606</v>
      </c>
      <c r="AV22">
        <v>459</v>
      </c>
      <c r="AW22">
        <v>53152</v>
      </c>
    </row>
    <row r="23" spans="1:49" x14ac:dyDescent="0.35">
      <c r="A23" t="s">
        <v>84</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509</v>
      </c>
      <c r="AG23">
        <v>0</v>
      </c>
      <c r="AH23">
        <v>0</v>
      </c>
      <c r="AI23">
        <v>0</v>
      </c>
      <c r="AJ23">
        <v>0</v>
      </c>
      <c r="AK23">
        <v>0</v>
      </c>
      <c r="AL23">
        <v>0</v>
      </c>
      <c r="AM23">
        <v>0</v>
      </c>
      <c r="AN23">
        <v>0</v>
      </c>
      <c r="AO23">
        <v>0</v>
      </c>
      <c r="AP23">
        <v>0</v>
      </c>
      <c r="AQ23">
        <v>0</v>
      </c>
      <c r="AR23">
        <v>0</v>
      </c>
      <c r="AS23">
        <v>0</v>
      </c>
      <c r="AT23">
        <v>0</v>
      </c>
      <c r="AU23">
        <v>0</v>
      </c>
      <c r="AV23">
        <v>0</v>
      </c>
      <c r="AW23">
        <v>34768</v>
      </c>
    </row>
    <row r="24" spans="1:49" x14ac:dyDescent="0.35">
      <c r="A24" t="s">
        <v>86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2</v>
      </c>
      <c r="AS24">
        <v>0</v>
      </c>
      <c r="AT24">
        <v>0</v>
      </c>
      <c r="AU24">
        <v>0</v>
      </c>
      <c r="AV24">
        <v>0</v>
      </c>
      <c r="AW24">
        <v>509</v>
      </c>
    </row>
    <row r="25" spans="1:49" x14ac:dyDescent="0.35">
      <c r="A25" t="s">
        <v>87</v>
      </c>
      <c r="B25">
        <v>16380</v>
      </c>
      <c r="C25">
        <v>1000</v>
      </c>
      <c r="D25">
        <v>0</v>
      </c>
      <c r="E25">
        <v>336</v>
      </c>
      <c r="F25">
        <v>0</v>
      </c>
      <c r="G25">
        <v>0</v>
      </c>
      <c r="H25">
        <v>4437</v>
      </c>
      <c r="I25">
        <v>0</v>
      </c>
      <c r="J25">
        <v>0</v>
      </c>
      <c r="K25">
        <v>0</v>
      </c>
      <c r="L25">
        <v>0</v>
      </c>
      <c r="M25">
        <v>1</v>
      </c>
      <c r="N25">
        <v>1</v>
      </c>
      <c r="O25">
        <v>0</v>
      </c>
      <c r="P25">
        <v>0</v>
      </c>
      <c r="Q25">
        <v>99</v>
      </c>
      <c r="R25">
        <v>3468</v>
      </c>
      <c r="S25">
        <v>0</v>
      </c>
      <c r="T25">
        <v>0</v>
      </c>
      <c r="U25">
        <v>1063</v>
      </c>
      <c r="V25">
        <v>0</v>
      </c>
      <c r="W25">
        <v>0</v>
      </c>
      <c r="X25">
        <v>0</v>
      </c>
      <c r="Y25">
        <v>6097</v>
      </c>
      <c r="Z25">
        <v>602</v>
      </c>
      <c r="AA25">
        <v>4</v>
      </c>
      <c r="AB25">
        <v>0</v>
      </c>
      <c r="AC25">
        <v>42</v>
      </c>
      <c r="AD25">
        <v>5</v>
      </c>
      <c r="AE25">
        <v>0</v>
      </c>
      <c r="AF25">
        <v>8</v>
      </c>
      <c r="AG25">
        <v>0</v>
      </c>
      <c r="AH25">
        <v>0</v>
      </c>
      <c r="AI25">
        <v>0</v>
      </c>
      <c r="AJ25">
        <v>0</v>
      </c>
      <c r="AK25">
        <v>0</v>
      </c>
      <c r="AL25">
        <v>0</v>
      </c>
      <c r="AM25">
        <v>0</v>
      </c>
      <c r="AN25">
        <v>7</v>
      </c>
      <c r="AO25">
        <v>0</v>
      </c>
      <c r="AP25">
        <v>0</v>
      </c>
      <c r="AQ25">
        <v>987</v>
      </c>
      <c r="AR25">
        <v>15200</v>
      </c>
      <c r="AS25">
        <v>0</v>
      </c>
      <c r="AT25">
        <v>0</v>
      </c>
      <c r="AU25">
        <v>0</v>
      </c>
      <c r="AV25">
        <v>5</v>
      </c>
      <c r="AW25">
        <v>2</v>
      </c>
    </row>
    <row r="26" spans="1:49" x14ac:dyDescent="0.35">
      <c r="AW26">
        <v>49742</v>
      </c>
    </row>
    <row r="27" spans="1:49" x14ac:dyDescent="0.35">
      <c r="B27" t="s">
        <v>0</v>
      </c>
      <c r="C27" t="s">
        <v>217</v>
      </c>
      <c r="D27" t="s">
        <v>211</v>
      </c>
      <c r="E27" t="s">
        <v>222</v>
      </c>
    </row>
    <row r="28" spans="1:49" x14ac:dyDescent="0.35">
      <c r="B28" t="s">
        <v>0</v>
      </c>
      <c r="C28" t="s">
        <v>217</v>
      </c>
      <c r="D28" t="s">
        <v>211</v>
      </c>
      <c r="E28" t="s">
        <v>222</v>
      </c>
    </row>
    <row r="29" spans="1:49" x14ac:dyDescent="0.35">
      <c r="B29" t="e">
        <f>#REF!</f>
        <v>#REF!</v>
      </c>
      <c r="C29" t="str">
        <f>B1</f>
        <v>AGO</v>
      </c>
      <c r="D29" t="str">
        <f t="shared" ref="D29:D51" si="0">A2</f>
        <v>Medical doctors</v>
      </c>
      <c r="E29">
        <f t="shared" ref="E29:E51" si="1">B2</f>
        <v>6593</v>
      </c>
    </row>
    <row r="30" spans="1:49" x14ac:dyDescent="0.35">
      <c r="D30" t="str">
        <f t="shared" si="0"/>
        <v>Nursing Personnel</v>
      </c>
      <c r="E30">
        <f t="shared" si="1"/>
        <v>46082</v>
      </c>
    </row>
    <row r="31" spans="1:49" x14ac:dyDescent="0.35">
      <c r="D31" t="str">
        <f t="shared" si="0"/>
        <v>Midwifery personnel</v>
      </c>
      <c r="E31">
        <f t="shared" si="1"/>
        <v>1438</v>
      </c>
    </row>
    <row r="32" spans="1:49" x14ac:dyDescent="0.35">
      <c r="D32" t="str">
        <f t="shared" si="0"/>
        <v>Pharmacists</v>
      </c>
      <c r="E32">
        <f t="shared" si="1"/>
        <v>2302</v>
      </c>
    </row>
    <row r="33" spans="4:5" x14ac:dyDescent="0.35">
      <c r="D33" t="str">
        <f t="shared" si="0"/>
        <v>Dentists</v>
      </c>
      <c r="E33">
        <f t="shared" si="1"/>
        <v>1652</v>
      </c>
    </row>
    <row r="34" spans="4:5" x14ac:dyDescent="0.35">
      <c r="D34" t="str">
        <f t="shared" si="0"/>
        <v>Community health workers</v>
      </c>
      <c r="E34">
        <f t="shared" si="1"/>
        <v>1680</v>
      </c>
    </row>
    <row r="35" spans="4:5" x14ac:dyDescent="0.35">
      <c r="D35" t="str">
        <f t="shared" si="0"/>
        <v>Dieticians and nutritionists</v>
      </c>
      <c r="E35">
        <f t="shared" si="1"/>
        <v>0</v>
      </c>
    </row>
    <row r="36" spans="4:5" x14ac:dyDescent="0.35">
      <c r="D36" t="str">
        <f t="shared" si="0"/>
        <v>Environmental and occupational health &amp; hygiene workers</v>
      </c>
      <c r="E36">
        <f t="shared" si="1"/>
        <v>657</v>
      </c>
    </row>
    <row r="37" spans="4:5" x14ac:dyDescent="0.35">
      <c r="D37" t="str">
        <f t="shared" si="0"/>
        <v>Health care assistants and other personal care workers in health services</v>
      </c>
      <c r="E37">
        <f t="shared" si="1"/>
        <v>0</v>
      </c>
    </row>
    <row r="38" spans="4:5" x14ac:dyDescent="0.35">
      <c r="D38" t="str">
        <f t="shared" si="0"/>
        <v>Health service managers</v>
      </c>
      <c r="E38">
        <f t="shared" si="1"/>
        <v>328</v>
      </c>
    </row>
    <row r="39" spans="4:5" x14ac:dyDescent="0.35">
      <c r="D39" t="str">
        <f t="shared" si="0"/>
        <v>Medical and dental prosthetic technicians</v>
      </c>
      <c r="E39">
        <f t="shared" si="1"/>
        <v>75</v>
      </c>
    </row>
    <row r="40" spans="4:5" x14ac:dyDescent="0.35">
      <c r="D40" t="str">
        <f t="shared" si="0"/>
        <v>Other science professionals and technicians</v>
      </c>
      <c r="E40">
        <f t="shared" si="1"/>
        <v>468</v>
      </c>
    </row>
    <row r="41" spans="4:5" x14ac:dyDescent="0.35">
      <c r="D41" t="str">
        <f t="shared" si="0"/>
        <v>Medical assistants – clinical officers</v>
      </c>
      <c r="E41">
        <f t="shared" si="1"/>
        <v>134</v>
      </c>
    </row>
    <row r="42" spans="4:5" x14ac:dyDescent="0.35">
      <c r="D42" t="str">
        <f t="shared" si="0"/>
        <v>Medical imaging and therapeutic equipment operators</v>
      </c>
      <c r="E42">
        <f t="shared" si="1"/>
        <v>789</v>
      </c>
    </row>
    <row r="43" spans="4:5" x14ac:dyDescent="0.35">
      <c r="D43" t="str">
        <f t="shared" si="0"/>
        <v>Medical records and health information technicians</v>
      </c>
      <c r="E43">
        <f t="shared" si="1"/>
        <v>190</v>
      </c>
    </row>
    <row r="44" spans="4:5" x14ac:dyDescent="0.35">
      <c r="D44" t="str">
        <f t="shared" si="0"/>
        <v>Optometrists and opticians</v>
      </c>
      <c r="E44">
        <f t="shared" si="1"/>
        <v>56</v>
      </c>
    </row>
    <row r="45" spans="4:5" x14ac:dyDescent="0.35">
      <c r="D45" t="str">
        <f t="shared" si="0"/>
        <v>Other health management and support workers</v>
      </c>
      <c r="E45">
        <f t="shared" si="1"/>
        <v>28324</v>
      </c>
    </row>
    <row r="46" spans="4:5" x14ac:dyDescent="0.35">
      <c r="D46" t="str">
        <f t="shared" si="0"/>
        <v>Other health service providers</v>
      </c>
      <c r="E46">
        <f t="shared" si="1"/>
        <v>0</v>
      </c>
    </row>
    <row r="47" spans="4:5" x14ac:dyDescent="0.35">
      <c r="D47" t="str">
        <f t="shared" si="0"/>
        <v>Medical and pathology laboratory technicians</v>
      </c>
      <c r="E47">
        <f t="shared" si="1"/>
        <v>98</v>
      </c>
    </row>
    <row r="48" spans="4:5" x14ac:dyDescent="0.35">
      <c r="D48" t="str">
        <f t="shared" si="0"/>
        <v>Paramedical practitioners (specify)</v>
      </c>
      <c r="E48">
        <f t="shared" si="1"/>
        <v>56</v>
      </c>
    </row>
    <row r="49" spans="2:5" x14ac:dyDescent="0.35">
      <c r="D49" t="str">
        <f t="shared" si="0"/>
        <v>Physiotherapists and physiotherapy assistants</v>
      </c>
      <c r="E49">
        <f t="shared" si="1"/>
        <v>1156</v>
      </c>
    </row>
    <row r="50" spans="2:5" x14ac:dyDescent="0.35">
      <c r="D50" t="str">
        <f t="shared" si="0"/>
        <v>Social workers</v>
      </c>
      <c r="E50">
        <f t="shared" si="1"/>
        <v>0</v>
      </c>
    </row>
    <row r="51" spans="2:5" x14ac:dyDescent="0.35">
      <c r="D51" t="str">
        <f t="shared" si="0"/>
        <v>Speech Therapist</v>
      </c>
      <c r="E51">
        <f t="shared" si="1"/>
        <v>0</v>
      </c>
    </row>
    <row r="52" spans="2:5" x14ac:dyDescent="0.35">
      <c r="D52" t="str">
        <f t="shared" ref="D52:E52" si="2">A25</f>
        <v>Traditional and complementary medicine practitioners</v>
      </c>
      <c r="E52">
        <f t="shared" si="2"/>
        <v>16380</v>
      </c>
    </row>
    <row r="53" spans="2:5" x14ac:dyDescent="0.35">
      <c r="B53" t="e">
        <f>#REF!</f>
        <v>#REF!</v>
      </c>
      <c r="C53" t="str">
        <f>C1</f>
        <v>BDI</v>
      </c>
      <c r="D53" t="str">
        <f t="shared" ref="D53:D116" si="3">D29</f>
        <v>Medical doctors</v>
      </c>
      <c r="E53">
        <f t="shared" ref="E53:E76" si="4">C2</f>
        <v>1084</v>
      </c>
    </row>
    <row r="54" spans="2:5" x14ac:dyDescent="0.35">
      <c r="D54" t="str">
        <f t="shared" si="3"/>
        <v>Nursing Personnel</v>
      </c>
      <c r="E54">
        <f t="shared" si="4"/>
        <v>8996</v>
      </c>
    </row>
    <row r="55" spans="2:5" x14ac:dyDescent="0.35">
      <c r="D55" t="str">
        <f t="shared" si="3"/>
        <v>Midwifery personnel</v>
      </c>
      <c r="E55">
        <f t="shared" si="4"/>
        <v>160</v>
      </c>
    </row>
    <row r="56" spans="2:5" x14ac:dyDescent="0.35">
      <c r="D56" t="str">
        <f t="shared" si="3"/>
        <v>Pharmacists</v>
      </c>
      <c r="E56">
        <f t="shared" si="4"/>
        <v>119</v>
      </c>
    </row>
    <row r="57" spans="2:5" x14ac:dyDescent="0.35">
      <c r="D57" t="str">
        <f t="shared" si="3"/>
        <v>Dentists</v>
      </c>
      <c r="E57">
        <f t="shared" si="4"/>
        <v>14</v>
      </c>
    </row>
    <row r="58" spans="2:5" x14ac:dyDescent="0.35">
      <c r="D58" t="str">
        <f t="shared" si="3"/>
        <v>Community health workers</v>
      </c>
      <c r="E58">
        <f t="shared" si="4"/>
        <v>11845</v>
      </c>
    </row>
    <row r="59" spans="2:5" x14ac:dyDescent="0.35">
      <c r="D59" t="str">
        <f t="shared" si="3"/>
        <v>Dieticians and nutritionists</v>
      </c>
      <c r="E59">
        <f t="shared" si="4"/>
        <v>10</v>
      </c>
    </row>
    <row r="60" spans="2:5" x14ac:dyDescent="0.35">
      <c r="D60" t="str">
        <f t="shared" si="3"/>
        <v>Environmental and occupational health &amp; hygiene workers</v>
      </c>
      <c r="E60">
        <f t="shared" si="4"/>
        <v>372</v>
      </c>
    </row>
    <row r="61" spans="2:5" x14ac:dyDescent="0.35">
      <c r="D61" t="str">
        <f t="shared" si="3"/>
        <v>Health care assistants and other personal care workers in health services</v>
      </c>
      <c r="E61">
        <f t="shared" si="4"/>
        <v>8664</v>
      </c>
    </row>
    <row r="62" spans="2:5" x14ac:dyDescent="0.35">
      <c r="D62" t="str">
        <f t="shared" si="3"/>
        <v>Health service managers</v>
      </c>
      <c r="E62">
        <f t="shared" si="4"/>
        <v>1383</v>
      </c>
    </row>
    <row r="63" spans="2:5" x14ac:dyDescent="0.35">
      <c r="D63" t="str">
        <f t="shared" si="3"/>
        <v>Medical and dental prosthetic technicians</v>
      </c>
      <c r="E63">
        <f t="shared" si="4"/>
        <v>0</v>
      </c>
    </row>
    <row r="64" spans="2:5" x14ac:dyDescent="0.35">
      <c r="D64" t="str">
        <f t="shared" si="3"/>
        <v>Other science professionals and technicians</v>
      </c>
      <c r="E64">
        <f t="shared" si="4"/>
        <v>155</v>
      </c>
    </row>
    <row r="65" spans="2:5" x14ac:dyDescent="0.35">
      <c r="D65" t="str">
        <f t="shared" si="3"/>
        <v>Medical assistants – clinical officers</v>
      </c>
      <c r="E65">
        <f t="shared" si="4"/>
        <v>0</v>
      </c>
    </row>
    <row r="66" spans="2:5" x14ac:dyDescent="0.35">
      <c r="D66" t="str">
        <f t="shared" si="3"/>
        <v>Medical imaging and therapeutic equipment operators</v>
      </c>
      <c r="E66">
        <f t="shared" si="4"/>
        <v>86</v>
      </c>
    </row>
    <row r="67" spans="2:5" x14ac:dyDescent="0.35">
      <c r="D67" t="str">
        <f t="shared" si="3"/>
        <v>Medical records and health information technicians</v>
      </c>
      <c r="E67">
        <f t="shared" si="4"/>
        <v>108</v>
      </c>
    </row>
    <row r="68" spans="2:5" x14ac:dyDescent="0.35">
      <c r="D68" t="str">
        <f t="shared" si="3"/>
        <v>Optometrists and opticians</v>
      </c>
      <c r="E68">
        <f t="shared" si="4"/>
        <v>0</v>
      </c>
    </row>
    <row r="69" spans="2:5" x14ac:dyDescent="0.35">
      <c r="D69" t="str">
        <f t="shared" si="3"/>
        <v>Other health management and support workers</v>
      </c>
      <c r="E69">
        <f t="shared" si="4"/>
        <v>2906</v>
      </c>
    </row>
    <row r="70" spans="2:5" x14ac:dyDescent="0.35">
      <c r="D70" t="str">
        <f t="shared" si="3"/>
        <v>Other health service providers</v>
      </c>
      <c r="E70">
        <f t="shared" si="4"/>
        <v>0</v>
      </c>
    </row>
    <row r="71" spans="2:5" x14ac:dyDescent="0.35">
      <c r="D71" t="str">
        <f t="shared" si="3"/>
        <v>Medical and pathology laboratory technicians</v>
      </c>
      <c r="E71">
        <f t="shared" si="4"/>
        <v>1071</v>
      </c>
    </row>
    <row r="72" spans="2:5" x14ac:dyDescent="0.35">
      <c r="D72" t="str">
        <f t="shared" si="3"/>
        <v>Paramedical practitioners (specify)</v>
      </c>
      <c r="E72">
        <f t="shared" si="4"/>
        <v>0</v>
      </c>
    </row>
    <row r="73" spans="2:5" x14ac:dyDescent="0.35">
      <c r="D73" t="str">
        <f t="shared" si="3"/>
        <v>Physiotherapists and physiotherapy assistants</v>
      </c>
      <c r="E73">
        <f t="shared" si="4"/>
        <v>9</v>
      </c>
    </row>
    <row r="74" spans="2:5" x14ac:dyDescent="0.35">
      <c r="D74" t="str">
        <f t="shared" si="3"/>
        <v>Social workers</v>
      </c>
      <c r="E74">
        <f t="shared" si="4"/>
        <v>0</v>
      </c>
    </row>
    <row r="75" spans="2:5" x14ac:dyDescent="0.35">
      <c r="D75" t="str">
        <f t="shared" si="3"/>
        <v>Speech Therapist</v>
      </c>
      <c r="E75">
        <f t="shared" si="4"/>
        <v>0</v>
      </c>
    </row>
    <row r="76" spans="2:5" x14ac:dyDescent="0.35">
      <c r="D76" t="str">
        <f t="shared" si="3"/>
        <v>Traditional and complementary medicine practitioners</v>
      </c>
      <c r="E76">
        <f t="shared" si="4"/>
        <v>1000</v>
      </c>
    </row>
    <row r="77" spans="2:5" x14ac:dyDescent="0.35">
      <c r="B77" t="e">
        <f>#REF!</f>
        <v>#REF!</v>
      </c>
      <c r="C77" t="str">
        <f>D1</f>
        <v>BEN</v>
      </c>
      <c r="D77" t="str">
        <f t="shared" si="3"/>
        <v>Medical doctors</v>
      </c>
      <c r="E77">
        <f t="shared" ref="E77:E100" si="5">D2</f>
        <v>710</v>
      </c>
    </row>
    <row r="78" spans="2:5" x14ac:dyDescent="0.35">
      <c r="D78" t="str">
        <f t="shared" si="3"/>
        <v>Nursing Personnel</v>
      </c>
      <c r="E78">
        <f t="shared" si="5"/>
        <v>3260</v>
      </c>
    </row>
    <row r="79" spans="2:5" x14ac:dyDescent="0.35">
      <c r="D79" t="str">
        <f t="shared" si="3"/>
        <v>Midwifery personnel</v>
      </c>
      <c r="E79">
        <f t="shared" si="5"/>
        <v>813</v>
      </c>
    </row>
    <row r="80" spans="2:5" x14ac:dyDescent="0.35">
      <c r="D80" t="str">
        <f t="shared" si="3"/>
        <v>Pharmacists</v>
      </c>
      <c r="E80">
        <f t="shared" si="5"/>
        <v>14</v>
      </c>
    </row>
    <row r="81" spans="4:5" x14ac:dyDescent="0.35">
      <c r="D81" t="str">
        <f t="shared" si="3"/>
        <v>Dentists</v>
      </c>
      <c r="E81">
        <f t="shared" si="5"/>
        <v>0</v>
      </c>
    </row>
    <row r="82" spans="4:5" x14ac:dyDescent="0.35">
      <c r="D82" t="str">
        <f t="shared" si="3"/>
        <v>Community health workers</v>
      </c>
      <c r="E82">
        <f t="shared" si="5"/>
        <v>0</v>
      </c>
    </row>
    <row r="83" spans="4:5" x14ac:dyDescent="0.35">
      <c r="D83" t="str">
        <f t="shared" si="3"/>
        <v>Dieticians and nutritionists</v>
      </c>
      <c r="E83">
        <f t="shared" si="5"/>
        <v>0</v>
      </c>
    </row>
    <row r="84" spans="4:5" x14ac:dyDescent="0.35">
      <c r="D84" t="str">
        <f t="shared" si="3"/>
        <v>Environmental and occupational health &amp; hygiene workers</v>
      </c>
      <c r="E84">
        <f t="shared" si="5"/>
        <v>619</v>
      </c>
    </row>
    <row r="85" spans="4:5" x14ac:dyDescent="0.35">
      <c r="D85" t="str">
        <f t="shared" si="3"/>
        <v>Health care assistants and other personal care workers in health services</v>
      </c>
      <c r="E85">
        <f t="shared" si="5"/>
        <v>2623</v>
      </c>
    </row>
    <row r="86" spans="4:5" x14ac:dyDescent="0.35">
      <c r="D86" t="str">
        <f t="shared" si="3"/>
        <v>Health service managers</v>
      </c>
      <c r="E86">
        <f t="shared" si="5"/>
        <v>0</v>
      </c>
    </row>
    <row r="87" spans="4:5" x14ac:dyDescent="0.35">
      <c r="D87" t="str">
        <f t="shared" si="3"/>
        <v>Medical and dental prosthetic technicians</v>
      </c>
      <c r="E87">
        <f t="shared" si="5"/>
        <v>0</v>
      </c>
    </row>
    <row r="88" spans="4:5" x14ac:dyDescent="0.35">
      <c r="D88" t="str">
        <f t="shared" si="3"/>
        <v>Other science professionals and technicians</v>
      </c>
      <c r="E88">
        <f t="shared" si="5"/>
        <v>0</v>
      </c>
    </row>
    <row r="89" spans="4:5" x14ac:dyDescent="0.35">
      <c r="D89" t="str">
        <f t="shared" si="3"/>
        <v>Medical assistants – clinical officers</v>
      </c>
      <c r="E89">
        <f t="shared" si="5"/>
        <v>0</v>
      </c>
    </row>
    <row r="90" spans="4:5" x14ac:dyDescent="0.35">
      <c r="D90" t="str">
        <f t="shared" si="3"/>
        <v>Medical imaging and therapeutic equipment operators</v>
      </c>
      <c r="E90">
        <f t="shared" si="5"/>
        <v>54</v>
      </c>
    </row>
    <row r="91" spans="4:5" x14ac:dyDescent="0.35">
      <c r="D91" t="str">
        <f t="shared" si="3"/>
        <v>Medical records and health information technicians</v>
      </c>
      <c r="E91">
        <f t="shared" si="5"/>
        <v>0</v>
      </c>
    </row>
    <row r="92" spans="4:5" x14ac:dyDescent="0.35">
      <c r="D92" t="str">
        <f t="shared" si="3"/>
        <v>Optometrists and opticians</v>
      </c>
      <c r="E92">
        <f t="shared" si="5"/>
        <v>0</v>
      </c>
    </row>
    <row r="93" spans="4:5" x14ac:dyDescent="0.35">
      <c r="D93" t="str">
        <f t="shared" si="3"/>
        <v>Other health management and support workers</v>
      </c>
      <c r="E93">
        <f t="shared" si="5"/>
        <v>156</v>
      </c>
    </row>
    <row r="94" spans="4:5" x14ac:dyDescent="0.35">
      <c r="D94" t="str">
        <f t="shared" si="3"/>
        <v>Other health service providers</v>
      </c>
      <c r="E94">
        <f t="shared" si="5"/>
        <v>1994</v>
      </c>
    </row>
    <row r="95" spans="4:5" x14ac:dyDescent="0.35">
      <c r="D95" t="str">
        <f t="shared" si="3"/>
        <v>Medical and pathology laboratory technicians</v>
      </c>
      <c r="E95">
        <f t="shared" si="5"/>
        <v>241</v>
      </c>
    </row>
    <row r="96" spans="4:5" x14ac:dyDescent="0.35">
      <c r="D96" t="str">
        <f t="shared" si="3"/>
        <v>Paramedical practitioners (specify)</v>
      </c>
      <c r="E96">
        <f t="shared" si="5"/>
        <v>146</v>
      </c>
    </row>
    <row r="97" spans="2:5" x14ac:dyDescent="0.35">
      <c r="D97" t="str">
        <f t="shared" si="3"/>
        <v>Physiotherapists and physiotherapy assistants</v>
      </c>
      <c r="E97">
        <f t="shared" si="5"/>
        <v>0</v>
      </c>
    </row>
    <row r="98" spans="2:5" x14ac:dyDescent="0.35">
      <c r="D98" t="str">
        <f t="shared" si="3"/>
        <v>Social workers</v>
      </c>
      <c r="E98">
        <f t="shared" si="5"/>
        <v>0</v>
      </c>
    </row>
    <row r="99" spans="2:5" x14ac:dyDescent="0.35">
      <c r="D99" t="str">
        <f t="shared" si="3"/>
        <v>Speech Therapist</v>
      </c>
      <c r="E99">
        <f t="shared" si="5"/>
        <v>0</v>
      </c>
    </row>
    <row r="100" spans="2:5" x14ac:dyDescent="0.35">
      <c r="D100" t="str">
        <f t="shared" si="3"/>
        <v>Traditional and complementary medicine practitioners</v>
      </c>
      <c r="E100">
        <f t="shared" si="5"/>
        <v>0</v>
      </c>
    </row>
    <row r="101" spans="2:5" x14ac:dyDescent="0.35">
      <c r="B101" t="e">
        <f>#REF!</f>
        <v>#REF!</v>
      </c>
      <c r="C101" t="str">
        <f>E1</f>
        <v>BFA</v>
      </c>
      <c r="D101" s="29" t="str">
        <f t="shared" si="3"/>
        <v>Medical doctors</v>
      </c>
      <c r="E101">
        <f t="shared" ref="E101:E124" si="6">E2</f>
        <v>1626</v>
      </c>
    </row>
    <row r="102" spans="2:5" x14ac:dyDescent="0.35">
      <c r="D102" s="29" t="str">
        <f t="shared" si="3"/>
        <v>Nursing Personnel</v>
      </c>
      <c r="E102">
        <f t="shared" si="6"/>
        <v>10325</v>
      </c>
    </row>
    <row r="103" spans="2:5" x14ac:dyDescent="0.35">
      <c r="D103" s="29" t="str">
        <f t="shared" si="3"/>
        <v>Midwifery personnel</v>
      </c>
      <c r="E103">
        <f t="shared" si="6"/>
        <v>6569</v>
      </c>
    </row>
    <row r="104" spans="2:5" x14ac:dyDescent="0.35">
      <c r="D104" s="29" t="str">
        <f t="shared" si="3"/>
        <v>Pharmacists</v>
      </c>
      <c r="E104">
        <f t="shared" si="6"/>
        <v>792</v>
      </c>
    </row>
    <row r="105" spans="2:5" x14ac:dyDescent="0.35">
      <c r="D105" s="29" t="str">
        <f t="shared" si="3"/>
        <v>Dentists</v>
      </c>
      <c r="E105">
        <f t="shared" si="6"/>
        <v>80</v>
      </c>
    </row>
    <row r="106" spans="2:5" x14ac:dyDescent="0.35">
      <c r="D106" s="29" t="str">
        <f t="shared" si="3"/>
        <v>Community health workers</v>
      </c>
      <c r="E106">
        <f t="shared" si="6"/>
        <v>2749</v>
      </c>
    </row>
    <row r="107" spans="2:5" x14ac:dyDescent="0.35">
      <c r="D107" s="29" t="str">
        <f t="shared" si="3"/>
        <v>Dieticians and nutritionists</v>
      </c>
      <c r="E107">
        <f t="shared" si="6"/>
        <v>19</v>
      </c>
    </row>
    <row r="108" spans="2:5" x14ac:dyDescent="0.35">
      <c r="D108" s="29" t="str">
        <f t="shared" si="3"/>
        <v>Environmental and occupational health &amp; hygiene workers</v>
      </c>
      <c r="E108">
        <f t="shared" si="6"/>
        <v>160</v>
      </c>
    </row>
    <row r="109" spans="2:5" x14ac:dyDescent="0.35">
      <c r="D109" s="29" t="str">
        <f t="shared" si="3"/>
        <v>Health care assistants and other personal care workers in health services</v>
      </c>
      <c r="E109">
        <f t="shared" si="6"/>
        <v>1224</v>
      </c>
    </row>
    <row r="110" spans="2:5" x14ac:dyDescent="0.35">
      <c r="D110" s="29" t="str">
        <f t="shared" si="3"/>
        <v>Health service managers</v>
      </c>
      <c r="E110">
        <f t="shared" si="6"/>
        <v>653</v>
      </c>
    </row>
    <row r="111" spans="2:5" x14ac:dyDescent="0.35">
      <c r="D111" s="29" t="str">
        <f t="shared" si="3"/>
        <v>Medical and dental prosthetic technicians</v>
      </c>
      <c r="E111">
        <f t="shared" si="6"/>
        <v>3</v>
      </c>
    </row>
    <row r="112" spans="2:5" x14ac:dyDescent="0.35">
      <c r="D112" s="29" t="str">
        <f t="shared" si="3"/>
        <v>Other science professionals and technicians</v>
      </c>
      <c r="E112">
        <f t="shared" si="6"/>
        <v>2</v>
      </c>
    </row>
    <row r="113" spans="2:5" x14ac:dyDescent="0.35">
      <c r="D113" s="29" t="str">
        <f t="shared" si="3"/>
        <v>Medical assistants – clinical officers</v>
      </c>
      <c r="E113">
        <f t="shared" si="6"/>
        <v>0</v>
      </c>
    </row>
    <row r="114" spans="2:5" x14ac:dyDescent="0.35">
      <c r="D114" s="29" t="str">
        <f t="shared" si="3"/>
        <v>Medical imaging and therapeutic equipment operators</v>
      </c>
      <c r="E114">
        <f t="shared" si="6"/>
        <v>128</v>
      </c>
    </row>
    <row r="115" spans="2:5" x14ac:dyDescent="0.35">
      <c r="D115" s="29" t="str">
        <f t="shared" si="3"/>
        <v>Medical records and health information technicians</v>
      </c>
      <c r="E115">
        <f t="shared" si="6"/>
        <v>4</v>
      </c>
    </row>
    <row r="116" spans="2:5" x14ac:dyDescent="0.35">
      <c r="D116" s="29" t="str">
        <f t="shared" si="3"/>
        <v>Optometrists and opticians</v>
      </c>
      <c r="E116">
        <f t="shared" si="6"/>
        <v>3</v>
      </c>
    </row>
    <row r="117" spans="2:5" x14ac:dyDescent="0.35">
      <c r="D117" s="29" t="str">
        <f t="shared" ref="D117:D180" si="7">D93</f>
        <v>Other health management and support workers</v>
      </c>
      <c r="E117">
        <f t="shared" si="6"/>
        <v>871</v>
      </c>
    </row>
    <row r="118" spans="2:5" x14ac:dyDescent="0.35">
      <c r="D118" s="29" t="str">
        <f t="shared" si="7"/>
        <v>Other health service providers</v>
      </c>
      <c r="E118">
        <f t="shared" si="6"/>
        <v>44</v>
      </c>
    </row>
    <row r="119" spans="2:5" x14ac:dyDescent="0.35">
      <c r="D119" s="29" t="str">
        <f t="shared" si="7"/>
        <v>Medical and pathology laboratory technicians</v>
      </c>
      <c r="E119">
        <f t="shared" si="6"/>
        <v>699</v>
      </c>
    </row>
    <row r="120" spans="2:5" x14ac:dyDescent="0.35">
      <c r="D120" s="29" t="str">
        <f t="shared" si="7"/>
        <v>Paramedical practitioners (specify)</v>
      </c>
      <c r="E120">
        <f t="shared" si="6"/>
        <v>0</v>
      </c>
    </row>
    <row r="121" spans="2:5" x14ac:dyDescent="0.35">
      <c r="D121" s="29" t="str">
        <f t="shared" si="7"/>
        <v>Physiotherapists and physiotherapy assistants</v>
      </c>
      <c r="E121">
        <f t="shared" si="6"/>
        <v>18</v>
      </c>
    </row>
    <row r="122" spans="2:5" x14ac:dyDescent="0.35">
      <c r="D122" s="29" t="str">
        <f t="shared" si="7"/>
        <v>Social workers</v>
      </c>
      <c r="E122">
        <f t="shared" si="6"/>
        <v>0</v>
      </c>
    </row>
    <row r="123" spans="2:5" x14ac:dyDescent="0.35">
      <c r="D123" s="29" t="str">
        <f t="shared" si="7"/>
        <v>Speech Therapist</v>
      </c>
      <c r="E123">
        <f t="shared" si="6"/>
        <v>0</v>
      </c>
    </row>
    <row r="124" spans="2:5" x14ac:dyDescent="0.35">
      <c r="D124" s="29" t="str">
        <f t="shared" si="7"/>
        <v>Traditional and complementary medicine practitioners</v>
      </c>
      <c r="E124">
        <f t="shared" si="6"/>
        <v>336</v>
      </c>
    </row>
    <row r="125" spans="2:5" x14ac:dyDescent="0.35">
      <c r="B125" t="e">
        <f>#REF!</f>
        <v>#REF!</v>
      </c>
      <c r="C125" t="str">
        <f>F1</f>
        <v>BWA</v>
      </c>
      <c r="D125" s="29" t="str">
        <f t="shared" si="7"/>
        <v>Medical doctors</v>
      </c>
      <c r="E125">
        <f t="shared" ref="E125:E148" si="8">F2</f>
        <v>853</v>
      </c>
    </row>
    <row r="126" spans="2:5" x14ac:dyDescent="0.35">
      <c r="D126" s="29" t="str">
        <f t="shared" si="7"/>
        <v>Nursing Personnel</v>
      </c>
      <c r="E126">
        <f t="shared" si="8"/>
        <v>6935</v>
      </c>
    </row>
    <row r="127" spans="2:5" x14ac:dyDescent="0.35">
      <c r="D127" s="29" t="str">
        <f t="shared" si="7"/>
        <v>Midwifery personnel</v>
      </c>
      <c r="E127">
        <f t="shared" si="8"/>
        <v>0</v>
      </c>
    </row>
    <row r="128" spans="2:5" x14ac:dyDescent="0.35">
      <c r="D128" s="29" t="str">
        <f t="shared" si="7"/>
        <v>Pharmacists</v>
      </c>
      <c r="E128">
        <f t="shared" si="8"/>
        <v>487</v>
      </c>
    </row>
    <row r="129" spans="4:5" x14ac:dyDescent="0.35">
      <c r="D129" s="29" t="str">
        <f t="shared" si="7"/>
        <v>Dentists</v>
      </c>
      <c r="E129">
        <f t="shared" si="8"/>
        <v>94</v>
      </c>
    </row>
    <row r="130" spans="4:5" x14ac:dyDescent="0.35">
      <c r="D130" s="29" t="str">
        <f t="shared" si="7"/>
        <v>Community health workers</v>
      </c>
      <c r="E130">
        <f t="shared" si="8"/>
        <v>0</v>
      </c>
    </row>
    <row r="131" spans="4:5" x14ac:dyDescent="0.35">
      <c r="D131" s="29" t="str">
        <f t="shared" si="7"/>
        <v>Dieticians and nutritionists</v>
      </c>
      <c r="E131">
        <f t="shared" si="8"/>
        <v>0</v>
      </c>
    </row>
    <row r="132" spans="4:5" x14ac:dyDescent="0.35">
      <c r="D132" s="29" t="str">
        <f t="shared" si="7"/>
        <v>Environmental and occupational health &amp; hygiene workers</v>
      </c>
      <c r="E132">
        <f t="shared" si="8"/>
        <v>99</v>
      </c>
    </row>
    <row r="133" spans="4:5" x14ac:dyDescent="0.35">
      <c r="D133" s="29" t="str">
        <f t="shared" si="7"/>
        <v>Health care assistants and other personal care workers in health services</v>
      </c>
      <c r="E133">
        <f t="shared" si="8"/>
        <v>1622</v>
      </c>
    </row>
    <row r="134" spans="4:5" x14ac:dyDescent="0.35">
      <c r="D134" s="29" t="str">
        <f t="shared" si="7"/>
        <v>Health service managers</v>
      </c>
      <c r="E134">
        <f t="shared" si="8"/>
        <v>0</v>
      </c>
    </row>
    <row r="135" spans="4:5" x14ac:dyDescent="0.35">
      <c r="D135" s="29" t="str">
        <f t="shared" si="7"/>
        <v>Medical and dental prosthetic technicians</v>
      </c>
      <c r="E135">
        <f t="shared" si="8"/>
        <v>0</v>
      </c>
    </row>
    <row r="136" spans="4:5" x14ac:dyDescent="0.35">
      <c r="D136" s="29" t="str">
        <f t="shared" si="7"/>
        <v>Other science professionals and technicians</v>
      </c>
      <c r="E136">
        <f t="shared" si="8"/>
        <v>0</v>
      </c>
    </row>
    <row r="137" spans="4:5" x14ac:dyDescent="0.35">
      <c r="D137" s="29" t="str">
        <f t="shared" si="7"/>
        <v>Medical assistants – clinical officers</v>
      </c>
      <c r="E137">
        <f t="shared" si="8"/>
        <v>0</v>
      </c>
    </row>
    <row r="138" spans="4:5" x14ac:dyDescent="0.35">
      <c r="D138" s="29" t="str">
        <f t="shared" si="7"/>
        <v>Medical imaging and therapeutic equipment operators</v>
      </c>
      <c r="E138">
        <f t="shared" si="8"/>
        <v>78</v>
      </c>
    </row>
    <row r="139" spans="4:5" x14ac:dyDescent="0.35">
      <c r="D139" s="29" t="str">
        <f t="shared" si="7"/>
        <v>Medical records and health information technicians</v>
      </c>
      <c r="E139">
        <f t="shared" si="8"/>
        <v>62</v>
      </c>
    </row>
    <row r="140" spans="4:5" x14ac:dyDescent="0.35">
      <c r="D140" s="29" t="str">
        <f t="shared" si="7"/>
        <v>Optometrists and opticians</v>
      </c>
      <c r="E140">
        <f t="shared" si="8"/>
        <v>1</v>
      </c>
    </row>
    <row r="141" spans="4:5" x14ac:dyDescent="0.35">
      <c r="D141" s="29" t="str">
        <f t="shared" si="7"/>
        <v>Other health management and support workers</v>
      </c>
      <c r="E141">
        <f t="shared" si="8"/>
        <v>0</v>
      </c>
    </row>
    <row r="142" spans="4:5" x14ac:dyDescent="0.35">
      <c r="D142" s="29" t="str">
        <f t="shared" si="7"/>
        <v>Other health service providers</v>
      </c>
      <c r="E142">
        <f t="shared" si="8"/>
        <v>20</v>
      </c>
    </row>
    <row r="143" spans="4:5" x14ac:dyDescent="0.35">
      <c r="D143" s="29" t="str">
        <f t="shared" si="7"/>
        <v>Medical and pathology laboratory technicians</v>
      </c>
      <c r="E143">
        <f t="shared" si="8"/>
        <v>460</v>
      </c>
    </row>
    <row r="144" spans="4:5" x14ac:dyDescent="0.35">
      <c r="D144" s="29" t="str">
        <f t="shared" si="7"/>
        <v>Paramedical practitioners (specify)</v>
      </c>
      <c r="E144">
        <f t="shared" si="8"/>
        <v>58</v>
      </c>
    </row>
    <row r="145" spans="2:5" x14ac:dyDescent="0.35">
      <c r="D145" s="29" t="str">
        <f t="shared" si="7"/>
        <v>Physiotherapists and physiotherapy assistants</v>
      </c>
      <c r="E145">
        <f t="shared" si="8"/>
        <v>38</v>
      </c>
    </row>
    <row r="146" spans="2:5" x14ac:dyDescent="0.35">
      <c r="D146" s="29" t="str">
        <f t="shared" si="7"/>
        <v>Social workers</v>
      </c>
      <c r="E146">
        <f t="shared" si="8"/>
        <v>0</v>
      </c>
    </row>
    <row r="147" spans="2:5" x14ac:dyDescent="0.35">
      <c r="D147" s="29" t="str">
        <f t="shared" si="7"/>
        <v>Speech Therapist</v>
      </c>
      <c r="E147">
        <f t="shared" si="8"/>
        <v>0</v>
      </c>
    </row>
    <row r="148" spans="2:5" x14ac:dyDescent="0.35">
      <c r="D148" s="29" t="str">
        <f t="shared" si="7"/>
        <v>Traditional and complementary medicine practitioners</v>
      </c>
      <c r="E148">
        <f t="shared" si="8"/>
        <v>0</v>
      </c>
    </row>
    <row r="149" spans="2:5" x14ac:dyDescent="0.35">
      <c r="B149" t="e">
        <f>#REF!</f>
        <v>#REF!</v>
      </c>
      <c r="C149" t="str">
        <f>G1</f>
        <v>CAF</v>
      </c>
      <c r="D149" s="30" t="str">
        <f t="shared" si="7"/>
        <v>Medical doctors</v>
      </c>
      <c r="E149">
        <f t="shared" ref="E149:E172" si="9">G2</f>
        <v>335</v>
      </c>
    </row>
    <row r="150" spans="2:5" x14ac:dyDescent="0.35">
      <c r="D150" s="30" t="str">
        <f t="shared" si="7"/>
        <v>Nursing Personnel</v>
      </c>
      <c r="E150">
        <f t="shared" si="9"/>
        <v>751</v>
      </c>
    </row>
    <row r="151" spans="2:5" x14ac:dyDescent="0.35">
      <c r="D151" s="30" t="str">
        <f t="shared" si="7"/>
        <v>Midwifery personnel</v>
      </c>
      <c r="E151">
        <f t="shared" si="9"/>
        <v>444</v>
      </c>
    </row>
    <row r="152" spans="2:5" x14ac:dyDescent="0.35">
      <c r="D152" s="30" t="str">
        <f t="shared" si="7"/>
        <v>Pharmacists</v>
      </c>
      <c r="E152">
        <f t="shared" si="9"/>
        <v>36</v>
      </c>
    </row>
    <row r="153" spans="2:5" x14ac:dyDescent="0.35">
      <c r="D153" s="30" t="str">
        <f t="shared" si="7"/>
        <v>Dentists</v>
      </c>
      <c r="E153">
        <f t="shared" si="9"/>
        <v>10</v>
      </c>
    </row>
    <row r="154" spans="2:5" x14ac:dyDescent="0.35">
      <c r="D154" s="30" t="str">
        <f t="shared" si="7"/>
        <v>Community health workers</v>
      </c>
      <c r="E154">
        <f t="shared" si="9"/>
        <v>115</v>
      </c>
    </row>
    <row r="155" spans="2:5" x14ac:dyDescent="0.35">
      <c r="D155" s="30" t="str">
        <f t="shared" si="7"/>
        <v>Dieticians and nutritionists</v>
      </c>
      <c r="E155">
        <f t="shared" si="9"/>
        <v>0</v>
      </c>
    </row>
    <row r="156" spans="2:5" x14ac:dyDescent="0.35">
      <c r="D156" s="30" t="str">
        <f t="shared" si="7"/>
        <v>Environmental and occupational health &amp; hygiene workers</v>
      </c>
      <c r="E156">
        <f t="shared" si="9"/>
        <v>105</v>
      </c>
    </row>
    <row r="157" spans="2:5" x14ac:dyDescent="0.35">
      <c r="D157" s="30" t="str">
        <f t="shared" si="7"/>
        <v>Health care assistants and other personal care workers in health services</v>
      </c>
      <c r="E157">
        <f t="shared" si="9"/>
        <v>79</v>
      </c>
    </row>
    <row r="158" spans="2:5" x14ac:dyDescent="0.35">
      <c r="D158" s="30" t="str">
        <f t="shared" si="7"/>
        <v>Health service managers</v>
      </c>
      <c r="E158">
        <f t="shared" si="9"/>
        <v>22</v>
      </c>
    </row>
    <row r="159" spans="2:5" x14ac:dyDescent="0.35">
      <c r="D159" s="30" t="str">
        <f t="shared" si="7"/>
        <v>Medical and dental prosthetic technicians</v>
      </c>
      <c r="E159">
        <f t="shared" si="9"/>
        <v>0</v>
      </c>
    </row>
    <row r="160" spans="2:5" x14ac:dyDescent="0.35">
      <c r="D160" s="30" t="str">
        <f t="shared" si="7"/>
        <v>Other science professionals and technicians</v>
      </c>
      <c r="E160">
        <f t="shared" si="9"/>
        <v>3</v>
      </c>
    </row>
    <row r="161" spans="2:5" x14ac:dyDescent="0.35">
      <c r="D161" s="30" t="str">
        <f t="shared" si="7"/>
        <v>Medical assistants – clinical officers</v>
      </c>
      <c r="E161">
        <f t="shared" si="9"/>
        <v>104</v>
      </c>
    </row>
    <row r="162" spans="2:5" x14ac:dyDescent="0.35">
      <c r="D162" s="30" t="str">
        <f t="shared" si="7"/>
        <v>Medical imaging and therapeutic equipment operators</v>
      </c>
      <c r="E162">
        <f t="shared" si="9"/>
        <v>3</v>
      </c>
    </row>
    <row r="163" spans="2:5" x14ac:dyDescent="0.35">
      <c r="D163" s="30" t="str">
        <f t="shared" si="7"/>
        <v>Medical records and health information technicians</v>
      </c>
      <c r="E163">
        <f t="shared" si="9"/>
        <v>20</v>
      </c>
    </row>
    <row r="164" spans="2:5" x14ac:dyDescent="0.35">
      <c r="D164" s="30" t="str">
        <f t="shared" si="7"/>
        <v>Optometrists and opticians</v>
      </c>
      <c r="E164">
        <f t="shared" si="9"/>
        <v>0</v>
      </c>
    </row>
    <row r="165" spans="2:5" x14ac:dyDescent="0.35">
      <c r="D165" s="30" t="str">
        <f t="shared" si="7"/>
        <v>Other health management and support workers</v>
      </c>
      <c r="E165">
        <f t="shared" si="9"/>
        <v>65</v>
      </c>
    </row>
    <row r="166" spans="2:5" x14ac:dyDescent="0.35">
      <c r="D166" s="30" t="str">
        <f t="shared" si="7"/>
        <v>Other health service providers</v>
      </c>
      <c r="E166">
        <f t="shared" si="9"/>
        <v>14</v>
      </c>
    </row>
    <row r="167" spans="2:5" x14ac:dyDescent="0.35">
      <c r="D167" s="30" t="str">
        <f t="shared" si="7"/>
        <v>Medical and pathology laboratory technicians</v>
      </c>
      <c r="E167">
        <f t="shared" si="9"/>
        <v>112</v>
      </c>
    </row>
    <row r="168" spans="2:5" x14ac:dyDescent="0.35">
      <c r="D168" s="30" t="str">
        <f t="shared" si="7"/>
        <v>Paramedical practitioners (specify)</v>
      </c>
      <c r="E168">
        <f t="shared" si="9"/>
        <v>200</v>
      </c>
    </row>
    <row r="169" spans="2:5" x14ac:dyDescent="0.35">
      <c r="D169" s="30" t="str">
        <f t="shared" si="7"/>
        <v>Physiotherapists and physiotherapy assistants</v>
      </c>
      <c r="E169">
        <f t="shared" si="9"/>
        <v>0</v>
      </c>
    </row>
    <row r="170" spans="2:5" x14ac:dyDescent="0.35">
      <c r="D170" s="30" t="str">
        <f t="shared" si="7"/>
        <v>Social workers</v>
      </c>
      <c r="E170">
        <f t="shared" si="9"/>
        <v>0</v>
      </c>
    </row>
    <row r="171" spans="2:5" x14ac:dyDescent="0.35">
      <c r="D171" s="30" t="str">
        <f t="shared" si="7"/>
        <v>Speech Therapist</v>
      </c>
      <c r="E171">
        <f t="shared" si="9"/>
        <v>0</v>
      </c>
    </row>
    <row r="172" spans="2:5" x14ac:dyDescent="0.35">
      <c r="D172" s="30" t="str">
        <f t="shared" si="7"/>
        <v>Traditional and complementary medicine practitioners</v>
      </c>
      <c r="E172">
        <f t="shared" si="9"/>
        <v>0</v>
      </c>
    </row>
    <row r="173" spans="2:5" x14ac:dyDescent="0.35">
      <c r="B173" t="e">
        <f>#REF!</f>
        <v>#REF!</v>
      </c>
      <c r="C173" t="str">
        <f>H1</f>
        <v>CIV</v>
      </c>
      <c r="D173" s="31" t="str">
        <f t="shared" si="7"/>
        <v>Medical doctors</v>
      </c>
      <c r="E173">
        <f t="shared" ref="E173:E196" si="10">H2</f>
        <v>5602</v>
      </c>
    </row>
    <row r="174" spans="2:5" x14ac:dyDescent="0.35">
      <c r="D174" s="30" t="str">
        <f t="shared" si="7"/>
        <v>Nursing Personnel</v>
      </c>
      <c r="E174">
        <f t="shared" si="10"/>
        <v>11730</v>
      </c>
    </row>
    <row r="175" spans="2:5" x14ac:dyDescent="0.35">
      <c r="D175" s="30" t="str">
        <f t="shared" si="7"/>
        <v>Midwifery personnel</v>
      </c>
      <c r="E175">
        <f t="shared" si="10"/>
        <v>5460</v>
      </c>
    </row>
    <row r="176" spans="2:5" x14ac:dyDescent="0.35">
      <c r="D176" s="30" t="str">
        <f t="shared" si="7"/>
        <v>Pharmacists</v>
      </c>
      <c r="E176">
        <f t="shared" si="10"/>
        <v>2495</v>
      </c>
    </row>
    <row r="177" spans="4:5" x14ac:dyDescent="0.35">
      <c r="D177" s="30" t="str">
        <f t="shared" si="7"/>
        <v>Dentists</v>
      </c>
      <c r="E177">
        <f t="shared" si="10"/>
        <v>506</v>
      </c>
    </row>
    <row r="178" spans="4:5" x14ac:dyDescent="0.35">
      <c r="D178" s="30" t="str">
        <f t="shared" si="7"/>
        <v>Community health workers</v>
      </c>
      <c r="E178">
        <f t="shared" si="10"/>
        <v>14556</v>
      </c>
    </row>
    <row r="179" spans="4:5" x14ac:dyDescent="0.35">
      <c r="D179" s="30" t="str">
        <f t="shared" si="7"/>
        <v>Dieticians and nutritionists</v>
      </c>
      <c r="E179">
        <f t="shared" si="10"/>
        <v>25</v>
      </c>
    </row>
    <row r="180" spans="4:5" x14ac:dyDescent="0.35">
      <c r="D180" s="30" t="str">
        <f t="shared" si="7"/>
        <v>Environmental and occupational health &amp; hygiene workers</v>
      </c>
      <c r="E180">
        <f t="shared" si="10"/>
        <v>1425</v>
      </c>
    </row>
    <row r="181" spans="4:5" x14ac:dyDescent="0.35">
      <c r="D181" s="30" t="str">
        <f t="shared" ref="D181:D244" si="11">D157</f>
        <v>Health care assistants and other personal care workers in health services</v>
      </c>
      <c r="E181">
        <f t="shared" si="10"/>
        <v>3640</v>
      </c>
    </row>
    <row r="182" spans="4:5" x14ac:dyDescent="0.35">
      <c r="D182" s="30" t="str">
        <f t="shared" si="11"/>
        <v>Health service managers</v>
      </c>
      <c r="E182">
        <f t="shared" si="10"/>
        <v>91</v>
      </c>
    </row>
    <row r="183" spans="4:5" x14ac:dyDescent="0.35">
      <c r="D183" s="30" t="str">
        <f t="shared" si="11"/>
        <v>Medical and dental prosthetic technicians</v>
      </c>
      <c r="E183">
        <f t="shared" si="10"/>
        <v>0</v>
      </c>
    </row>
    <row r="184" spans="4:5" x14ac:dyDescent="0.35">
      <c r="D184" s="30" t="str">
        <f t="shared" si="11"/>
        <v>Other science professionals and technicians</v>
      </c>
      <c r="E184">
        <f t="shared" si="10"/>
        <v>497</v>
      </c>
    </row>
    <row r="185" spans="4:5" x14ac:dyDescent="0.35">
      <c r="D185" s="30" t="str">
        <f t="shared" si="11"/>
        <v>Medical assistants – clinical officers</v>
      </c>
      <c r="E185">
        <f t="shared" si="10"/>
        <v>242</v>
      </c>
    </row>
    <row r="186" spans="4:5" x14ac:dyDescent="0.35">
      <c r="D186" s="30" t="str">
        <f t="shared" si="11"/>
        <v>Medical imaging and therapeutic equipment operators</v>
      </c>
      <c r="E186">
        <f t="shared" si="10"/>
        <v>3103</v>
      </c>
    </row>
    <row r="187" spans="4:5" x14ac:dyDescent="0.35">
      <c r="D187" s="30" t="str">
        <f t="shared" si="11"/>
        <v>Medical records and health information technicians</v>
      </c>
      <c r="E187">
        <f t="shared" si="10"/>
        <v>123</v>
      </c>
    </row>
    <row r="188" spans="4:5" x14ac:dyDescent="0.35">
      <c r="D188" s="30" t="str">
        <f t="shared" si="11"/>
        <v>Optometrists and opticians</v>
      </c>
      <c r="E188">
        <f t="shared" si="10"/>
        <v>700</v>
      </c>
    </row>
    <row r="189" spans="4:5" x14ac:dyDescent="0.35">
      <c r="D189" s="30" t="str">
        <f t="shared" si="11"/>
        <v>Other health management and support workers</v>
      </c>
      <c r="E189">
        <f t="shared" si="10"/>
        <v>139</v>
      </c>
    </row>
    <row r="190" spans="4:5" x14ac:dyDescent="0.35">
      <c r="D190" s="30" t="str">
        <f t="shared" si="11"/>
        <v>Other health service providers</v>
      </c>
      <c r="E190">
        <f t="shared" si="10"/>
        <v>14</v>
      </c>
    </row>
    <row r="191" spans="4:5" x14ac:dyDescent="0.35">
      <c r="D191" s="30" t="str">
        <f t="shared" si="11"/>
        <v>Medical and pathology laboratory technicians</v>
      </c>
      <c r="E191">
        <f t="shared" si="10"/>
        <v>0</v>
      </c>
    </row>
    <row r="192" spans="4:5" x14ac:dyDescent="0.35">
      <c r="D192" s="30" t="str">
        <f t="shared" si="11"/>
        <v>Paramedical practitioners (specify)</v>
      </c>
      <c r="E192">
        <f t="shared" si="10"/>
        <v>21440</v>
      </c>
    </row>
    <row r="193" spans="2:5" x14ac:dyDescent="0.35">
      <c r="D193" s="30" t="str">
        <f t="shared" si="11"/>
        <v>Physiotherapists and physiotherapy assistants</v>
      </c>
      <c r="E193">
        <f t="shared" si="10"/>
        <v>151</v>
      </c>
    </row>
    <row r="194" spans="2:5" x14ac:dyDescent="0.35">
      <c r="D194" s="30" t="str">
        <f t="shared" si="11"/>
        <v>Social workers</v>
      </c>
      <c r="E194">
        <f t="shared" si="10"/>
        <v>0</v>
      </c>
    </row>
    <row r="195" spans="2:5" x14ac:dyDescent="0.35">
      <c r="D195" s="30" t="str">
        <f t="shared" si="11"/>
        <v>Speech Therapist</v>
      </c>
      <c r="E195">
        <f t="shared" si="10"/>
        <v>0</v>
      </c>
    </row>
    <row r="196" spans="2:5" x14ac:dyDescent="0.35">
      <c r="D196" s="30" t="str">
        <f t="shared" si="11"/>
        <v>Traditional and complementary medicine practitioners</v>
      </c>
      <c r="E196">
        <f t="shared" si="10"/>
        <v>4437</v>
      </c>
    </row>
    <row r="197" spans="2:5" x14ac:dyDescent="0.35">
      <c r="B197" t="e">
        <f>#REF!</f>
        <v>#REF!</v>
      </c>
      <c r="C197" t="str">
        <f>I1</f>
        <v>CMR</v>
      </c>
      <c r="D197" s="30" t="str">
        <f t="shared" si="11"/>
        <v>Medical doctors</v>
      </c>
      <c r="E197">
        <f t="shared" ref="E197:E220" si="12">I2</f>
        <v>3259</v>
      </c>
    </row>
    <row r="198" spans="2:5" x14ac:dyDescent="0.35">
      <c r="D198" s="30" t="str">
        <f t="shared" si="11"/>
        <v>Nursing Personnel</v>
      </c>
      <c r="E198">
        <f t="shared" si="12"/>
        <v>9925</v>
      </c>
    </row>
    <row r="199" spans="2:5" x14ac:dyDescent="0.35">
      <c r="D199" s="30" t="str">
        <f t="shared" si="11"/>
        <v>Midwifery personnel</v>
      </c>
      <c r="E199">
        <f t="shared" si="12"/>
        <v>690</v>
      </c>
    </row>
    <row r="200" spans="2:5" x14ac:dyDescent="0.35">
      <c r="D200" s="30" t="str">
        <f t="shared" si="11"/>
        <v>Pharmacists</v>
      </c>
      <c r="E200">
        <f t="shared" si="12"/>
        <v>350</v>
      </c>
    </row>
    <row r="201" spans="2:5" x14ac:dyDescent="0.35">
      <c r="D201" s="30" t="str">
        <f t="shared" si="11"/>
        <v>Dentists</v>
      </c>
      <c r="E201">
        <f t="shared" si="12"/>
        <v>308</v>
      </c>
    </row>
    <row r="202" spans="2:5" x14ac:dyDescent="0.35">
      <c r="D202" s="30" t="str">
        <f t="shared" si="11"/>
        <v>Community health workers</v>
      </c>
      <c r="E202">
        <f t="shared" si="12"/>
        <v>0</v>
      </c>
    </row>
    <row r="203" spans="2:5" x14ac:dyDescent="0.35">
      <c r="D203" s="30" t="str">
        <f t="shared" si="11"/>
        <v>Dieticians and nutritionists</v>
      </c>
      <c r="E203">
        <f t="shared" si="12"/>
        <v>38</v>
      </c>
    </row>
    <row r="204" spans="2:5" x14ac:dyDescent="0.35">
      <c r="D204" s="30" t="str">
        <f t="shared" si="11"/>
        <v>Environmental and occupational health &amp; hygiene workers</v>
      </c>
      <c r="E204">
        <f t="shared" si="12"/>
        <v>238</v>
      </c>
    </row>
    <row r="205" spans="2:5" x14ac:dyDescent="0.35">
      <c r="D205" s="30" t="str">
        <f t="shared" si="11"/>
        <v>Health care assistants and other personal care workers in health services</v>
      </c>
      <c r="E205">
        <f t="shared" si="12"/>
        <v>10717</v>
      </c>
    </row>
    <row r="206" spans="2:5" x14ac:dyDescent="0.35">
      <c r="D206" s="30" t="str">
        <f t="shared" si="11"/>
        <v>Health service managers</v>
      </c>
      <c r="E206">
        <f t="shared" si="12"/>
        <v>250</v>
      </c>
    </row>
    <row r="207" spans="2:5" x14ac:dyDescent="0.35">
      <c r="D207" s="30" t="str">
        <f t="shared" si="11"/>
        <v>Medical and dental prosthetic technicians</v>
      </c>
      <c r="E207">
        <f t="shared" si="12"/>
        <v>0</v>
      </c>
    </row>
    <row r="208" spans="2:5" x14ac:dyDescent="0.35">
      <c r="D208" s="30" t="str">
        <f t="shared" si="11"/>
        <v>Other science professionals and technicians</v>
      </c>
      <c r="E208">
        <f t="shared" si="12"/>
        <v>0</v>
      </c>
    </row>
    <row r="209" spans="2:5" x14ac:dyDescent="0.35">
      <c r="D209" s="30" t="str">
        <f t="shared" si="11"/>
        <v>Medical assistants – clinical officers</v>
      </c>
      <c r="E209">
        <f t="shared" si="12"/>
        <v>0</v>
      </c>
    </row>
    <row r="210" spans="2:5" x14ac:dyDescent="0.35">
      <c r="D210" s="30" t="str">
        <f t="shared" si="11"/>
        <v>Medical imaging and therapeutic equipment operators</v>
      </c>
      <c r="E210">
        <f t="shared" si="12"/>
        <v>124</v>
      </c>
    </row>
    <row r="211" spans="2:5" x14ac:dyDescent="0.35">
      <c r="D211" s="30" t="str">
        <f t="shared" si="11"/>
        <v>Medical records and health information technicians</v>
      </c>
      <c r="E211">
        <f t="shared" si="12"/>
        <v>0</v>
      </c>
    </row>
    <row r="212" spans="2:5" x14ac:dyDescent="0.35">
      <c r="D212" s="30" t="str">
        <f t="shared" si="11"/>
        <v>Optometrists and opticians</v>
      </c>
      <c r="E212">
        <f t="shared" si="12"/>
        <v>0</v>
      </c>
    </row>
    <row r="213" spans="2:5" x14ac:dyDescent="0.35">
      <c r="D213" s="30" t="str">
        <f t="shared" si="11"/>
        <v>Other health management and support workers</v>
      </c>
      <c r="E213">
        <f t="shared" si="12"/>
        <v>0</v>
      </c>
    </row>
    <row r="214" spans="2:5" x14ac:dyDescent="0.35">
      <c r="D214" s="30" t="str">
        <f t="shared" si="11"/>
        <v>Other health service providers</v>
      </c>
      <c r="E214">
        <f t="shared" si="12"/>
        <v>0</v>
      </c>
    </row>
    <row r="215" spans="2:5" x14ac:dyDescent="0.35">
      <c r="D215" s="30" t="str">
        <f t="shared" si="11"/>
        <v>Medical and pathology laboratory technicians</v>
      </c>
      <c r="E215">
        <f t="shared" si="12"/>
        <v>5235</v>
      </c>
    </row>
    <row r="216" spans="2:5" x14ac:dyDescent="0.35">
      <c r="D216" s="30" t="str">
        <f t="shared" si="11"/>
        <v>Paramedical practitioners (specify)</v>
      </c>
      <c r="E216">
        <f t="shared" si="12"/>
        <v>0</v>
      </c>
    </row>
    <row r="217" spans="2:5" x14ac:dyDescent="0.35">
      <c r="D217" s="30" t="str">
        <f t="shared" si="11"/>
        <v>Physiotherapists and physiotherapy assistants</v>
      </c>
      <c r="E217">
        <f t="shared" si="12"/>
        <v>0</v>
      </c>
    </row>
    <row r="218" spans="2:5" x14ac:dyDescent="0.35">
      <c r="D218" s="30" t="str">
        <f t="shared" si="11"/>
        <v>Social workers</v>
      </c>
      <c r="E218">
        <f t="shared" si="12"/>
        <v>0</v>
      </c>
    </row>
    <row r="219" spans="2:5" x14ac:dyDescent="0.35">
      <c r="D219" s="30" t="str">
        <f t="shared" si="11"/>
        <v>Speech Therapist</v>
      </c>
      <c r="E219">
        <f t="shared" si="12"/>
        <v>0</v>
      </c>
    </row>
    <row r="220" spans="2:5" x14ac:dyDescent="0.35">
      <c r="D220" s="30" t="str">
        <f t="shared" si="11"/>
        <v>Traditional and complementary medicine practitioners</v>
      </c>
      <c r="E220">
        <f t="shared" si="12"/>
        <v>0</v>
      </c>
    </row>
    <row r="221" spans="2:5" x14ac:dyDescent="0.35">
      <c r="B221" t="e">
        <f>#REF!</f>
        <v>#REF!</v>
      </c>
      <c r="C221" t="str">
        <f>J1</f>
        <v>COD</v>
      </c>
      <c r="D221" s="29" t="str">
        <f t="shared" si="11"/>
        <v>Medical doctors</v>
      </c>
      <c r="E221">
        <f t="shared" ref="E221:E244" si="13">J2</f>
        <v>31546</v>
      </c>
    </row>
    <row r="222" spans="2:5" x14ac:dyDescent="0.35">
      <c r="D222" s="30" t="str">
        <f t="shared" si="11"/>
        <v>Nursing Personnel</v>
      </c>
      <c r="E222">
        <f t="shared" si="13"/>
        <v>103785</v>
      </c>
    </row>
    <row r="223" spans="2:5" x14ac:dyDescent="0.35">
      <c r="D223" s="30" t="str">
        <f t="shared" si="11"/>
        <v>Midwifery personnel</v>
      </c>
      <c r="E223">
        <f t="shared" si="13"/>
        <v>3642</v>
      </c>
    </row>
    <row r="224" spans="2:5" x14ac:dyDescent="0.35">
      <c r="D224" s="30" t="str">
        <f t="shared" si="11"/>
        <v>Pharmacists</v>
      </c>
      <c r="E224">
        <f t="shared" si="13"/>
        <v>1687</v>
      </c>
    </row>
    <row r="225" spans="4:5" x14ac:dyDescent="0.35">
      <c r="D225" s="30" t="str">
        <f t="shared" si="11"/>
        <v>Dentists</v>
      </c>
      <c r="E225">
        <f t="shared" si="13"/>
        <v>404</v>
      </c>
    </row>
    <row r="226" spans="4:5" x14ac:dyDescent="0.35">
      <c r="D226" s="30" t="str">
        <f t="shared" si="11"/>
        <v>Community health workers</v>
      </c>
      <c r="E226">
        <f t="shared" si="13"/>
        <v>0</v>
      </c>
    </row>
    <row r="227" spans="4:5" x14ac:dyDescent="0.35">
      <c r="D227" s="30" t="str">
        <f t="shared" si="11"/>
        <v>Dieticians and nutritionists</v>
      </c>
      <c r="E227">
        <f t="shared" si="13"/>
        <v>535</v>
      </c>
    </row>
    <row r="228" spans="4:5" x14ac:dyDescent="0.35">
      <c r="D228" s="30" t="str">
        <f t="shared" si="11"/>
        <v>Environmental and occupational health &amp; hygiene workers</v>
      </c>
      <c r="E228">
        <f t="shared" si="13"/>
        <v>167</v>
      </c>
    </row>
    <row r="229" spans="4:5" x14ac:dyDescent="0.35">
      <c r="D229" s="30" t="str">
        <f t="shared" si="11"/>
        <v>Health care assistants and other personal care workers in health services</v>
      </c>
      <c r="E229">
        <f t="shared" si="13"/>
        <v>0</v>
      </c>
    </row>
    <row r="230" spans="4:5" x14ac:dyDescent="0.35">
      <c r="D230" s="30" t="str">
        <f t="shared" si="11"/>
        <v>Health service managers</v>
      </c>
      <c r="E230">
        <f t="shared" si="13"/>
        <v>2651</v>
      </c>
    </row>
    <row r="231" spans="4:5" x14ac:dyDescent="0.35">
      <c r="D231" s="30" t="str">
        <f t="shared" si="11"/>
        <v>Medical and dental prosthetic technicians</v>
      </c>
      <c r="E231">
        <f t="shared" si="13"/>
        <v>0</v>
      </c>
    </row>
    <row r="232" spans="4:5" x14ac:dyDescent="0.35">
      <c r="D232" s="30" t="str">
        <f t="shared" si="11"/>
        <v>Other science professionals and technicians</v>
      </c>
      <c r="E232">
        <f t="shared" si="13"/>
        <v>0</v>
      </c>
    </row>
    <row r="233" spans="4:5" x14ac:dyDescent="0.35">
      <c r="D233" s="30" t="str">
        <f t="shared" si="11"/>
        <v>Medical assistants – clinical officers</v>
      </c>
      <c r="E233">
        <f t="shared" si="13"/>
        <v>0</v>
      </c>
    </row>
    <row r="234" spans="4:5" x14ac:dyDescent="0.35">
      <c r="D234" s="30" t="str">
        <f t="shared" si="11"/>
        <v>Medical imaging and therapeutic equipment operators</v>
      </c>
      <c r="E234">
        <f t="shared" si="13"/>
        <v>338</v>
      </c>
    </row>
    <row r="235" spans="4:5" x14ac:dyDescent="0.35">
      <c r="D235" s="30" t="str">
        <f t="shared" si="11"/>
        <v>Medical records and health information technicians</v>
      </c>
      <c r="E235">
        <f t="shared" si="13"/>
        <v>0</v>
      </c>
    </row>
    <row r="236" spans="4:5" x14ac:dyDescent="0.35">
      <c r="D236" s="30" t="str">
        <f t="shared" si="11"/>
        <v>Optometrists and opticians</v>
      </c>
      <c r="E236">
        <f t="shared" si="13"/>
        <v>0</v>
      </c>
    </row>
    <row r="237" spans="4:5" x14ac:dyDescent="0.35">
      <c r="D237" s="30" t="str">
        <f t="shared" si="11"/>
        <v>Other health management and support workers</v>
      </c>
      <c r="E237">
        <f t="shared" si="13"/>
        <v>74310</v>
      </c>
    </row>
    <row r="238" spans="4:5" x14ac:dyDescent="0.35">
      <c r="D238" s="30" t="str">
        <f t="shared" si="11"/>
        <v>Other health service providers</v>
      </c>
      <c r="E238">
        <f t="shared" si="13"/>
        <v>1608</v>
      </c>
    </row>
    <row r="239" spans="4:5" x14ac:dyDescent="0.35">
      <c r="D239" s="30" t="str">
        <f t="shared" si="11"/>
        <v>Medical and pathology laboratory technicians</v>
      </c>
      <c r="E239">
        <f t="shared" si="13"/>
        <v>2934</v>
      </c>
    </row>
    <row r="240" spans="4:5" x14ac:dyDescent="0.35">
      <c r="D240" s="30" t="str">
        <f t="shared" si="11"/>
        <v>Paramedical practitioners (specify)</v>
      </c>
      <c r="E240">
        <f t="shared" si="13"/>
        <v>0</v>
      </c>
    </row>
    <row r="241" spans="2:5" x14ac:dyDescent="0.35">
      <c r="D241" s="30" t="str">
        <f t="shared" si="11"/>
        <v>Physiotherapists and physiotherapy assistants</v>
      </c>
      <c r="E241">
        <f t="shared" si="13"/>
        <v>395</v>
      </c>
    </row>
    <row r="242" spans="2:5" x14ac:dyDescent="0.35">
      <c r="D242" s="30" t="str">
        <f t="shared" si="11"/>
        <v>Social workers</v>
      </c>
      <c r="E242">
        <f t="shared" si="13"/>
        <v>0</v>
      </c>
    </row>
    <row r="243" spans="2:5" x14ac:dyDescent="0.35">
      <c r="D243" s="30" t="str">
        <f t="shared" si="11"/>
        <v>Speech Therapist</v>
      </c>
      <c r="E243">
        <f t="shared" si="13"/>
        <v>0</v>
      </c>
    </row>
    <row r="244" spans="2:5" x14ac:dyDescent="0.35">
      <c r="D244" s="30" t="str">
        <f t="shared" si="11"/>
        <v>Traditional and complementary medicine practitioners</v>
      </c>
      <c r="E244">
        <f t="shared" si="13"/>
        <v>0</v>
      </c>
    </row>
    <row r="245" spans="2:5" x14ac:dyDescent="0.35">
      <c r="B245" t="e">
        <f>#REF!</f>
        <v>#REF!</v>
      </c>
      <c r="C245" t="str">
        <f>K1</f>
        <v>COG</v>
      </c>
      <c r="D245" s="29" t="str">
        <f t="shared" ref="D245:D308" si="14">D221</f>
        <v>Medical doctors</v>
      </c>
      <c r="E245">
        <f t="shared" ref="E245:E268" si="15">K2</f>
        <v>544</v>
      </c>
    </row>
    <row r="246" spans="2:5" x14ac:dyDescent="0.35">
      <c r="D246" s="30" t="str">
        <f t="shared" si="14"/>
        <v>Nursing Personnel</v>
      </c>
      <c r="E246">
        <f t="shared" si="15"/>
        <v>4012</v>
      </c>
    </row>
    <row r="247" spans="2:5" x14ac:dyDescent="0.35">
      <c r="D247" s="30" t="str">
        <f t="shared" si="14"/>
        <v>Midwifery personnel</v>
      </c>
      <c r="E247">
        <f t="shared" si="15"/>
        <v>1069</v>
      </c>
    </row>
    <row r="248" spans="2:5" x14ac:dyDescent="0.35">
      <c r="D248" s="30" t="str">
        <f t="shared" si="14"/>
        <v>Pharmacists</v>
      </c>
      <c r="E248">
        <f t="shared" si="15"/>
        <v>157</v>
      </c>
    </row>
    <row r="249" spans="2:5" x14ac:dyDescent="0.35">
      <c r="D249" s="30" t="str">
        <f t="shared" si="14"/>
        <v>Dentists</v>
      </c>
      <c r="E249">
        <f t="shared" si="15"/>
        <v>27</v>
      </c>
    </row>
    <row r="250" spans="2:5" x14ac:dyDescent="0.35">
      <c r="D250" s="30" t="str">
        <f t="shared" si="14"/>
        <v>Community health workers</v>
      </c>
      <c r="E250">
        <f t="shared" si="15"/>
        <v>0</v>
      </c>
    </row>
    <row r="251" spans="2:5" x14ac:dyDescent="0.35">
      <c r="D251" s="30" t="str">
        <f t="shared" si="14"/>
        <v>Dieticians and nutritionists</v>
      </c>
      <c r="E251">
        <f t="shared" si="15"/>
        <v>0</v>
      </c>
    </row>
    <row r="252" spans="2:5" x14ac:dyDescent="0.35">
      <c r="D252" s="30" t="str">
        <f t="shared" si="14"/>
        <v>Environmental and occupational health &amp; hygiene workers</v>
      </c>
      <c r="E252">
        <f t="shared" si="15"/>
        <v>374</v>
      </c>
    </row>
    <row r="253" spans="2:5" x14ac:dyDescent="0.35">
      <c r="D253" s="30" t="str">
        <f t="shared" si="14"/>
        <v>Health care assistants and other personal care workers in health services</v>
      </c>
      <c r="E253">
        <f t="shared" si="15"/>
        <v>850</v>
      </c>
    </row>
    <row r="254" spans="2:5" x14ac:dyDescent="0.35">
      <c r="D254" s="30" t="str">
        <f t="shared" si="14"/>
        <v>Health service managers</v>
      </c>
      <c r="E254">
        <f t="shared" si="15"/>
        <v>790</v>
      </c>
    </row>
    <row r="255" spans="2:5" x14ac:dyDescent="0.35">
      <c r="D255" s="30" t="str">
        <f t="shared" si="14"/>
        <v>Medical and dental prosthetic technicians</v>
      </c>
      <c r="E255">
        <f t="shared" si="15"/>
        <v>0</v>
      </c>
    </row>
    <row r="256" spans="2:5" x14ac:dyDescent="0.35">
      <c r="D256" s="30" t="str">
        <f t="shared" si="14"/>
        <v>Other science professionals and technicians</v>
      </c>
      <c r="E256">
        <f t="shared" si="15"/>
        <v>216</v>
      </c>
    </row>
    <row r="257" spans="2:5" x14ac:dyDescent="0.35">
      <c r="D257" s="30" t="str">
        <f t="shared" si="14"/>
        <v>Medical assistants – clinical officers</v>
      </c>
      <c r="E257">
        <f t="shared" si="15"/>
        <v>0</v>
      </c>
    </row>
    <row r="258" spans="2:5" x14ac:dyDescent="0.35">
      <c r="D258" s="30" t="str">
        <f t="shared" si="14"/>
        <v>Medical imaging and therapeutic equipment operators</v>
      </c>
      <c r="E258">
        <f t="shared" si="15"/>
        <v>97</v>
      </c>
    </row>
    <row r="259" spans="2:5" x14ac:dyDescent="0.35">
      <c r="D259" s="30" t="str">
        <f t="shared" si="14"/>
        <v>Medical records and health information technicians</v>
      </c>
      <c r="E259">
        <f t="shared" si="15"/>
        <v>0</v>
      </c>
    </row>
    <row r="260" spans="2:5" x14ac:dyDescent="0.35">
      <c r="D260" s="30" t="str">
        <f t="shared" si="14"/>
        <v>Optometrists and opticians</v>
      </c>
      <c r="E260">
        <f t="shared" si="15"/>
        <v>0</v>
      </c>
    </row>
    <row r="261" spans="2:5" x14ac:dyDescent="0.35">
      <c r="D261" s="30" t="str">
        <f t="shared" si="14"/>
        <v>Other health management and support workers</v>
      </c>
      <c r="E261">
        <f t="shared" si="15"/>
        <v>111</v>
      </c>
    </row>
    <row r="262" spans="2:5" x14ac:dyDescent="0.35">
      <c r="D262" s="30" t="str">
        <f t="shared" si="14"/>
        <v>Other health service providers</v>
      </c>
      <c r="E262">
        <f t="shared" si="15"/>
        <v>445</v>
      </c>
    </row>
    <row r="263" spans="2:5" x14ac:dyDescent="0.35">
      <c r="D263" s="30" t="str">
        <f t="shared" si="14"/>
        <v>Medical and pathology laboratory technicians</v>
      </c>
      <c r="E263">
        <f t="shared" si="15"/>
        <v>320</v>
      </c>
    </row>
    <row r="264" spans="2:5" x14ac:dyDescent="0.35">
      <c r="D264" s="30" t="str">
        <f t="shared" si="14"/>
        <v>Paramedical practitioners (specify)</v>
      </c>
      <c r="E264">
        <f t="shared" si="15"/>
        <v>0</v>
      </c>
    </row>
    <row r="265" spans="2:5" x14ac:dyDescent="0.35">
      <c r="D265" s="30" t="str">
        <f t="shared" si="14"/>
        <v>Physiotherapists and physiotherapy assistants</v>
      </c>
      <c r="E265">
        <f t="shared" si="15"/>
        <v>0</v>
      </c>
    </row>
    <row r="266" spans="2:5" x14ac:dyDescent="0.35">
      <c r="D266" s="30" t="str">
        <f t="shared" si="14"/>
        <v>Social workers</v>
      </c>
      <c r="E266">
        <f t="shared" si="15"/>
        <v>0</v>
      </c>
    </row>
    <row r="267" spans="2:5" x14ac:dyDescent="0.35">
      <c r="D267" s="30" t="str">
        <f t="shared" si="14"/>
        <v>Speech Therapist</v>
      </c>
      <c r="E267">
        <f t="shared" si="15"/>
        <v>0</v>
      </c>
    </row>
    <row r="268" spans="2:5" x14ac:dyDescent="0.35">
      <c r="D268" s="30" t="str">
        <f t="shared" si="14"/>
        <v>Traditional and complementary medicine practitioners</v>
      </c>
      <c r="E268">
        <f t="shared" si="15"/>
        <v>0</v>
      </c>
    </row>
    <row r="269" spans="2:5" x14ac:dyDescent="0.35">
      <c r="B269" t="e">
        <f>#REF!</f>
        <v>#REF!</v>
      </c>
      <c r="C269" t="str">
        <f>L1</f>
        <v>COM</v>
      </c>
      <c r="D269" s="29" t="str">
        <f t="shared" si="14"/>
        <v>Medical doctors</v>
      </c>
      <c r="E269">
        <f t="shared" ref="E269:E292" si="16">L2</f>
        <v>220</v>
      </c>
    </row>
    <row r="270" spans="2:5" x14ac:dyDescent="0.35">
      <c r="D270" s="30" t="str">
        <f t="shared" si="14"/>
        <v>Nursing Personnel</v>
      </c>
      <c r="E270">
        <f t="shared" si="16"/>
        <v>747</v>
      </c>
    </row>
    <row r="271" spans="2:5" x14ac:dyDescent="0.35">
      <c r="D271" s="30" t="str">
        <f t="shared" si="14"/>
        <v>Midwifery personnel</v>
      </c>
      <c r="E271">
        <f t="shared" si="16"/>
        <v>487</v>
      </c>
    </row>
    <row r="272" spans="2:5" x14ac:dyDescent="0.35">
      <c r="D272" s="30" t="str">
        <f t="shared" si="14"/>
        <v>Pharmacists</v>
      </c>
      <c r="E272">
        <f t="shared" si="16"/>
        <v>55</v>
      </c>
    </row>
    <row r="273" spans="4:5" x14ac:dyDescent="0.35">
      <c r="D273" s="30" t="str">
        <f t="shared" si="14"/>
        <v>Dentists</v>
      </c>
      <c r="E273">
        <f t="shared" si="16"/>
        <v>32</v>
      </c>
    </row>
    <row r="274" spans="4:5" x14ac:dyDescent="0.35">
      <c r="D274" s="30" t="str">
        <f t="shared" si="14"/>
        <v>Community health workers</v>
      </c>
      <c r="E274">
        <f t="shared" si="16"/>
        <v>0</v>
      </c>
    </row>
    <row r="275" spans="4:5" x14ac:dyDescent="0.35">
      <c r="D275" s="30" t="str">
        <f t="shared" si="14"/>
        <v>Dieticians and nutritionists</v>
      </c>
      <c r="E275">
        <f t="shared" si="16"/>
        <v>0</v>
      </c>
    </row>
    <row r="276" spans="4:5" x14ac:dyDescent="0.35">
      <c r="D276" s="30" t="str">
        <f t="shared" si="14"/>
        <v>Environmental and occupational health &amp; hygiene workers</v>
      </c>
      <c r="E276">
        <f t="shared" si="16"/>
        <v>389</v>
      </c>
    </row>
    <row r="277" spans="4:5" x14ac:dyDescent="0.35">
      <c r="D277" s="30" t="str">
        <f t="shared" si="14"/>
        <v>Health care assistants and other personal care workers in health services</v>
      </c>
      <c r="E277">
        <f t="shared" si="16"/>
        <v>0</v>
      </c>
    </row>
    <row r="278" spans="4:5" x14ac:dyDescent="0.35">
      <c r="D278" s="30" t="str">
        <f t="shared" si="14"/>
        <v>Health service managers</v>
      </c>
      <c r="E278">
        <f t="shared" si="16"/>
        <v>0</v>
      </c>
    </row>
    <row r="279" spans="4:5" x14ac:dyDescent="0.35">
      <c r="D279" s="30" t="str">
        <f t="shared" si="14"/>
        <v>Medical and dental prosthetic technicians</v>
      </c>
      <c r="E279">
        <f t="shared" si="16"/>
        <v>0</v>
      </c>
    </row>
    <row r="280" spans="4:5" x14ac:dyDescent="0.35">
      <c r="D280" s="30" t="str">
        <f t="shared" si="14"/>
        <v>Other science professionals and technicians</v>
      </c>
      <c r="E280">
        <f t="shared" si="16"/>
        <v>161</v>
      </c>
    </row>
    <row r="281" spans="4:5" x14ac:dyDescent="0.35">
      <c r="D281" s="30" t="str">
        <f t="shared" si="14"/>
        <v>Medical assistants – clinical officers</v>
      </c>
      <c r="E281">
        <f t="shared" si="16"/>
        <v>0</v>
      </c>
    </row>
    <row r="282" spans="4:5" x14ac:dyDescent="0.35">
      <c r="D282" s="30" t="str">
        <f t="shared" si="14"/>
        <v>Medical imaging and therapeutic equipment operators</v>
      </c>
      <c r="E282">
        <f t="shared" si="16"/>
        <v>498</v>
      </c>
    </row>
    <row r="283" spans="4:5" x14ac:dyDescent="0.35">
      <c r="D283" s="30" t="str">
        <f t="shared" si="14"/>
        <v>Medical records and health information technicians</v>
      </c>
      <c r="E283">
        <f t="shared" si="16"/>
        <v>0</v>
      </c>
    </row>
    <row r="284" spans="4:5" x14ac:dyDescent="0.35">
      <c r="D284" s="30" t="str">
        <f t="shared" si="14"/>
        <v>Optometrists and opticians</v>
      </c>
      <c r="E284">
        <f t="shared" si="16"/>
        <v>0</v>
      </c>
    </row>
    <row r="285" spans="4:5" x14ac:dyDescent="0.35">
      <c r="D285" s="30" t="str">
        <f t="shared" si="14"/>
        <v>Other health management and support workers</v>
      </c>
      <c r="E285">
        <f t="shared" si="16"/>
        <v>44</v>
      </c>
    </row>
    <row r="286" spans="4:5" x14ac:dyDescent="0.35">
      <c r="D286" s="30" t="str">
        <f t="shared" si="14"/>
        <v>Other health service providers</v>
      </c>
      <c r="E286">
        <f t="shared" si="16"/>
        <v>115</v>
      </c>
    </row>
    <row r="287" spans="4:5" x14ac:dyDescent="0.35">
      <c r="D287" s="30" t="str">
        <f t="shared" si="14"/>
        <v>Medical and pathology laboratory technicians</v>
      </c>
      <c r="E287">
        <f t="shared" si="16"/>
        <v>8</v>
      </c>
    </row>
    <row r="288" spans="4:5" x14ac:dyDescent="0.35">
      <c r="D288" s="30" t="str">
        <f t="shared" si="14"/>
        <v>Paramedical practitioners (specify)</v>
      </c>
      <c r="E288">
        <f t="shared" si="16"/>
        <v>0</v>
      </c>
    </row>
    <row r="289" spans="2:5" x14ac:dyDescent="0.35">
      <c r="D289" s="30" t="str">
        <f t="shared" si="14"/>
        <v>Physiotherapists and physiotherapy assistants</v>
      </c>
      <c r="E289">
        <f t="shared" si="16"/>
        <v>0</v>
      </c>
    </row>
    <row r="290" spans="2:5" x14ac:dyDescent="0.35">
      <c r="D290" s="30" t="str">
        <f t="shared" si="14"/>
        <v>Social workers</v>
      </c>
      <c r="E290">
        <f t="shared" si="16"/>
        <v>0</v>
      </c>
    </row>
    <row r="291" spans="2:5" x14ac:dyDescent="0.35">
      <c r="D291" s="30" t="str">
        <f t="shared" si="14"/>
        <v>Speech Therapist</v>
      </c>
      <c r="E291">
        <f t="shared" si="16"/>
        <v>0</v>
      </c>
    </row>
    <row r="292" spans="2:5" x14ac:dyDescent="0.35">
      <c r="D292" s="30" t="str">
        <f t="shared" si="14"/>
        <v>Traditional and complementary medicine practitioners</v>
      </c>
      <c r="E292">
        <f t="shared" si="16"/>
        <v>0</v>
      </c>
    </row>
    <row r="293" spans="2:5" x14ac:dyDescent="0.35">
      <c r="B293" t="e">
        <f>#REF!</f>
        <v>#REF!</v>
      </c>
      <c r="C293" t="str">
        <f>M1</f>
        <v>CPV</v>
      </c>
      <c r="D293" s="29" t="str">
        <f t="shared" si="14"/>
        <v>Medical doctors</v>
      </c>
      <c r="E293">
        <f t="shared" ref="E293:E316" si="17">M2</f>
        <v>452</v>
      </c>
    </row>
    <row r="294" spans="2:5" x14ac:dyDescent="0.35">
      <c r="D294" s="30" t="str">
        <f t="shared" si="14"/>
        <v>Nursing Personnel</v>
      </c>
      <c r="E294">
        <f t="shared" si="17"/>
        <v>768</v>
      </c>
    </row>
    <row r="295" spans="2:5" x14ac:dyDescent="0.35">
      <c r="D295" s="30" t="str">
        <f t="shared" si="14"/>
        <v>Midwifery personnel</v>
      </c>
      <c r="E295">
        <f t="shared" si="17"/>
        <v>27</v>
      </c>
    </row>
    <row r="296" spans="2:5" x14ac:dyDescent="0.35">
      <c r="D296" s="30" t="str">
        <f t="shared" si="14"/>
        <v>Pharmacists</v>
      </c>
      <c r="E296">
        <f t="shared" si="17"/>
        <v>172</v>
      </c>
    </row>
    <row r="297" spans="2:5" x14ac:dyDescent="0.35">
      <c r="D297" s="30" t="str">
        <f t="shared" si="14"/>
        <v>Dentists</v>
      </c>
      <c r="E297">
        <f t="shared" si="17"/>
        <v>81</v>
      </c>
    </row>
    <row r="298" spans="2:5" x14ac:dyDescent="0.35">
      <c r="D298" s="30" t="str">
        <f t="shared" si="14"/>
        <v>Community health workers</v>
      </c>
      <c r="E298">
        <f t="shared" si="17"/>
        <v>117</v>
      </c>
    </row>
    <row r="299" spans="2:5" x14ac:dyDescent="0.35">
      <c r="D299" s="30" t="str">
        <f t="shared" si="14"/>
        <v>Dieticians and nutritionists</v>
      </c>
      <c r="E299">
        <f t="shared" si="17"/>
        <v>18</v>
      </c>
    </row>
    <row r="300" spans="2:5" x14ac:dyDescent="0.35">
      <c r="D300" s="30" t="str">
        <f t="shared" si="14"/>
        <v>Environmental and occupational health &amp; hygiene workers</v>
      </c>
      <c r="E300">
        <f t="shared" si="17"/>
        <v>1</v>
      </c>
    </row>
    <row r="301" spans="2:5" x14ac:dyDescent="0.35">
      <c r="D301" s="30" t="str">
        <f t="shared" si="14"/>
        <v>Health care assistants and other personal care workers in health services</v>
      </c>
      <c r="E301">
        <f t="shared" si="17"/>
        <v>149</v>
      </c>
    </row>
    <row r="302" spans="2:5" x14ac:dyDescent="0.35">
      <c r="D302" s="30" t="str">
        <f t="shared" si="14"/>
        <v>Health service managers</v>
      </c>
      <c r="E302">
        <f t="shared" si="17"/>
        <v>61</v>
      </c>
    </row>
    <row r="303" spans="2:5" x14ac:dyDescent="0.35">
      <c r="D303" s="30" t="str">
        <f t="shared" si="14"/>
        <v>Medical and dental prosthetic technicians</v>
      </c>
      <c r="E303">
        <f t="shared" si="17"/>
        <v>20</v>
      </c>
    </row>
    <row r="304" spans="2:5" x14ac:dyDescent="0.35">
      <c r="D304" s="30" t="str">
        <f t="shared" si="14"/>
        <v>Other science professionals and technicians</v>
      </c>
      <c r="E304">
        <f t="shared" si="17"/>
        <v>11</v>
      </c>
    </row>
    <row r="305" spans="2:5" x14ac:dyDescent="0.35">
      <c r="D305" s="30" t="str">
        <f t="shared" si="14"/>
        <v>Medical assistants – clinical officers</v>
      </c>
      <c r="E305">
        <f t="shared" si="17"/>
        <v>3</v>
      </c>
    </row>
    <row r="306" spans="2:5" x14ac:dyDescent="0.35">
      <c r="D306" s="30" t="str">
        <f t="shared" si="14"/>
        <v>Medical imaging and therapeutic equipment operators</v>
      </c>
      <c r="E306">
        <f t="shared" si="17"/>
        <v>27</v>
      </c>
    </row>
    <row r="307" spans="2:5" x14ac:dyDescent="0.35">
      <c r="D307" s="30" t="str">
        <f t="shared" si="14"/>
        <v>Medical records and health information technicians</v>
      </c>
      <c r="E307">
        <f t="shared" si="17"/>
        <v>14</v>
      </c>
    </row>
    <row r="308" spans="2:5" x14ac:dyDescent="0.35">
      <c r="D308" s="30" t="str">
        <f t="shared" si="14"/>
        <v>Optometrists and opticians</v>
      </c>
      <c r="E308">
        <f t="shared" si="17"/>
        <v>40</v>
      </c>
    </row>
    <row r="309" spans="2:5" x14ac:dyDescent="0.35">
      <c r="D309" s="30" t="str">
        <f t="shared" ref="D309:D363" si="18">D285</f>
        <v>Other health management and support workers</v>
      </c>
      <c r="E309">
        <f t="shared" si="17"/>
        <v>1357</v>
      </c>
    </row>
    <row r="310" spans="2:5" x14ac:dyDescent="0.35">
      <c r="D310" s="30" t="str">
        <f t="shared" si="18"/>
        <v>Other health service providers</v>
      </c>
      <c r="E310">
        <f t="shared" si="17"/>
        <v>95</v>
      </c>
    </row>
    <row r="311" spans="2:5" x14ac:dyDescent="0.35">
      <c r="D311" s="30" t="str">
        <f t="shared" si="18"/>
        <v>Medical and pathology laboratory technicians</v>
      </c>
      <c r="E311">
        <f t="shared" si="17"/>
        <v>65</v>
      </c>
    </row>
    <row r="312" spans="2:5" x14ac:dyDescent="0.35">
      <c r="D312" s="30" t="str">
        <f t="shared" si="18"/>
        <v>Paramedical practitioners (specify)</v>
      </c>
      <c r="E312">
        <f t="shared" si="17"/>
        <v>0</v>
      </c>
    </row>
    <row r="313" spans="2:5" x14ac:dyDescent="0.35">
      <c r="D313" s="30" t="str">
        <f t="shared" si="18"/>
        <v>Physiotherapists and physiotherapy assistants</v>
      </c>
      <c r="E313">
        <f t="shared" si="17"/>
        <v>58</v>
      </c>
    </row>
    <row r="314" spans="2:5" x14ac:dyDescent="0.35">
      <c r="D314" s="30" t="str">
        <f t="shared" si="18"/>
        <v>Social workers</v>
      </c>
      <c r="E314">
        <f t="shared" si="17"/>
        <v>0</v>
      </c>
    </row>
    <row r="315" spans="2:5" x14ac:dyDescent="0.35">
      <c r="D315" s="30" t="str">
        <f t="shared" si="18"/>
        <v>Speech Therapist</v>
      </c>
      <c r="E315">
        <f t="shared" si="17"/>
        <v>0</v>
      </c>
    </row>
    <row r="316" spans="2:5" x14ac:dyDescent="0.35">
      <c r="D316" s="30" t="str">
        <f t="shared" si="18"/>
        <v>Traditional and complementary medicine practitioners</v>
      </c>
      <c r="E316">
        <f t="shared" si="17"/>
        <v>1</v>
      </c>
    </row>
    <row r="317" spans="2:5" x14ac:dyDescent="0.35">
      <c r="B317" t="e">
        <f>#REF!</f>
        <v>#REF!</v>
      </c>
      <c r="C317" t="str">
        <f>N1</f>
        <v>DZA</v>
      </c>
      <c r="D317" s="29" t="str">
        <f t="shared" si="18"/>
        <v>Medical doctors</v>
      </c>
      <c r="E317">
        <f t="shared" ref="E317:E340" si="19">N2</f>
        <v>73168</v>
      </c>
    </row>
    <row r="318" spans="2:5" x14ac:dyDescent="0.35">
      <c r="D318" s="30" t="str">
        <f t="shared" si="18"/>
        <v>Nursing Personnel</v>
      </c>
      <c r="E318">
        <f t="shared" si="19"/>
        <v>57705</v>
      </c>
    </row>
    <row r="319" spans="2:5" x14ac:dyDescent="0.35">
      <c r="D319" s="30" t="str">
        <f t="shared" si="18"/>
        <v>Midwifery personnel</v>
      </c>
      <c r="E319">
        <f t="shared" si="19"/>
        <v>8620</v>
      </c>
    </row>
    <row r="320" spans="2:5" x14ac:dyDescent="0.35">
      <c r="D320" s="30" t="str">
        <f t="shared" si="18"/>
        <v>Pharmacists</v>
      </c>
      <c r="E320">
        <f t="shared" si="19"/>
        <v>14106</v>
      </c>
    </row>
    <row r="321" spans="4:5" x14ac:dyDescent="0.35">
      <c r="D321" s="30" t="str">
        <f t="shared" si="18"/>
        <v>Dentists</v>
      </c>
      <c r="E321">
        <f t="shared" si="19"/>
        <v>12781</v>
      </c>
    </row>
    <row r="322" spans="4:5" x14ac:dyDescent="0.35">
      <c r="D322" s="30" t="str">
        <f t="shared" si="18"/>
        <v>Community health workers</v>
      </c>
      <c r="E322">
        <f t="shared" si="19"/>
        <v>0</v>
      </c>
    </row>
    <row r="323" spans="4:5" x14ac:dyDescent="0.35">
      <c r="D323" s="30" t="str">
        <f t="shared" si="18"/>
        <v>Dieticians and nutritionists</v>
      </c>
      <c r="E323">
        <f t="shared" si="19"/>
        <v>381</v>
      </c>
    </row>
    <row r="324" spans="4:5" x14ac:dyDescent="0.35">
      <c r="D324" s="30" t="str">
        <f t="shared" si="18"/>
        <v>Environmental and occupational health &amp; hygiene workers</v>
      </c>
      <c r="E324">
        <f t="shared" si="19"/>
        <v>1249</v>
      </c>
    </row>
    <row r="325" spans="4:5" x14ac:dyDescent="0.35">
      <c r="D325" s="30" t="str">
        <f t="shared" si="18"/>
        <v>Health care assistants and other personal care workers in health services</v>
      </c>
      <c r="E325">
        <f t="shared" si="19"/>
        <v>41461</v>
      </c>
    </row>
    <row r="326" spans="4:5" x14ac:dyDescent="0.35">
      <c r="D326" s="30" t="str">
        <f t="shared" si="18"/>
        <v>Health service managers</v>
      </c>
      <c r="E326">
        <f t="shared" si="19"/>
        <v>10838</v>
      </c>
    </row>
    <row r="327" spans="4:5" x14ac:dyDescent="0.35">
      <c r="D327" s="30" t="str">
        <f t="shared" si="18"/>
        <v>Medical and dental prosthetic technicians</v>
      </c>
      <c r="E327">
        <f t="shared" si="19"/>
        <v>663</v>
      </c>
    </row>
    <row r="328" spans="4:5" x14ac:dyDescent="0.35">
      <c r="D328" s="30" t="str">
        <f t="shared" si="18"/>
        <v>Other science professionals and technicians</v>
      </c>
      <c r="E328">
        <f t="shared" si="19"/>
        <v>0</v>
      </c>
    </row>
    <row r="329" spans="4:5" x14ac:dyDescent="0.35">
      <c r="D329" s="30" t="str">
        <f t="shared" si="18"/>
        <v>Medical assistants – clinical officers</v>
      </c>
      <c r="E329">
        <f t="shared" si="19"/>
        <v>2227</v>
      </c>
    </row>
    <row r="330" spans="4:5" x14ac:dyDescent="0.35">
      <c r="D330" s="30" t="str">
        <f t="shared" si="18"/>
        <v>Medical imaging and therapeutic equipment operators</v>
      </c>
      <c r="E330">
        <f t="shared" si="19"/>
        <v>6176</v>
      </c>
    </row>
    <row r="331" spans="4:5" x14ac:dyDescent="0.35">
      <c r="D331" s="30" t="str">
        <f t="shared" si="18"/>
        <v>Medical records and health information technicians</v>
      </c>
      <c r="E331">
        <f t="shared" si="19"/>
        <v>610</v>
      </c>
    </row>
    <row r="332" spans="4:5" x14ac:dyDescent="0.35">
      <c r="D332" s="30" t="str">
        <f t="shared" si="18"/>
        <v>Optometrists and opticians</v>
      </c>
      <c r="E332">
        <f t="shared" si="19"/>
        <v>1218</v>
      </c>
    </row>
    <row r="333" spans="4:5" x14ac:dyDescent="0.35">
      <c r="D333" s="30" t="str">
        <f t="shared" si="18"/>
        <v>Other health management and support workers</v>
      </c>
      <c r="E333">
        <f t="shared" si="19"/>
        <v>76532</v>
      </c>
    </row>
    <row r="334" spans="4:5" x14ac:dyDescent="0.35">
      <c r="D334" s="30" t="str">
        <f t="shared" si="18"/>
        <v>Other health service providers</v>
      </c>
      <c r="E334">
        <f t="shared" si="19"/>
        <v>5104</v>
      </c>
    </row>
    <row r="335" spans="4:5" x14ac:dyDescent="0.35">
      <c r="D335" s="30" t="str">
        <f t="shared" si="18"/>
        <v>Medical and pathology laboratory technicians</v>
      </c>
      <c r="E335">
        <f t="shared" si="19"/>
        <v>14548</v>
      </c>
    </row>
    <row r="336" spans="4:5" x14ac:dyDescent="0.35">
      <c r="D336" s="30" t="str">
        <f t="shared" si="18"/>
        <v>Paramedical practitioners (specify)</v>
      </c>
      <c r="E336">
        <f t="shared" si="19"/>
        <v>279</v>
      </c>
    </row>
    <row r="337" spans="2:5" x14ac:dyDescent="0.35">
      <c r="D337" s="30" t="str">
        <f t="shared" si="18"/>
        <v>Physiotherapists and physiotherapy assistants</v>
      </c>
      <c r="E337">
        <f t="shared" si="19"/>
        <v>1827</v>
      </c>
    </row>
    <row r="338" spans="2:5" x14ac:dyDescent="0.35">
      <c r="D338" s="30" t="str">
        <f t="shared" si="18"/>
        <v>Social workers</v>
      </c>
      <c r="E338">
        <f t="shared" si="19"/>
        <v>0</v>
      </c>
    </row>
    <row r="339" spans="2:5" x14ac:dyDescent="0.35">
      <c r="D339" s="30" t="str">
        <f t="shared" si="18"/>
        <v>Speech Therapist</v>
      </c>
      <c r="E339">
        <f t="shared" si="19"/>
        <v>0</v>
      </c>
    </row>
    <row r="340" spans="2:5" x14ac:dyDescent="0.35">
      <c r="D340" s="30" t="str">
        <f t="shared" si="18"/>
        <v>Traditional and complementary medicine practitioners</v>
      </c>
      <c r="E340">
        <f t="shared" si="19"/>
        <v>1</v>
      </c>
    </row>
    <row r="341" spans="2:5" x14ac:dyDescent="0.35">
      <c r="B341" t="e">
        <f>#REF!</f>
        <v>#REF!</v>
      </c>
      <c r="C341" t="str">
        <f>O1</f>
        <v>ERI</v>
      </c>
      <c r="D341" s="29" t="str">
        <f t="shared" si="18"/>
        <v>Medical doctors</v>
      </c>
      <c r="E341">
        <f t="shared" ref="E341:E364" si="20">O2</f>
        <v>280</v>
      </c>
    </row>
    <row r="342" spans="2:5" x14ac:dyDescent="0.35">
      <c r="D342" s="30" t="str">
        <f t="shared" si="18"/>
        <v>Nursing Personnel</v>
      </c>
      <c r="E342">
        <f t="shared" si="20"/>
        <v>3939</v>
      </c>
    </row>
    <row r="343" spans="2:5" x14ac:dyDescent="0.35">
      <c r="D343" s="30" t="str">
        <f t="shared" si="18"/>
        <v>Midwifery personnel</v>
      </c>
      <c r="E343">
        <f t="shared" si="20"/>
        <v>45</v>
      </c>
    </row>
    <row r="344" spans="2:5" x14ac:dyDescent="0.35">
      <c r="D344" s="30" t="str">
        <f t="shared" si="18"/>
        <v>Pharmacists</v>
      </c>
      <c r="E344">
        <f t="shared" si="20"/>
        <v>451</v>
      </c>
    </row>
    <row r="345" spans="2:5" x14ac:dyDescent="0.35">
      <c r="D345" s="30" t="str">
        <f t="shared" si="18"/>
        <v>Dentists</v>
      </c>
      <c r="E345">
        <f t="shared" si="20"/>
        <v>186</v>
      </c>
    </row>
    <row r="346" spans="2:5" x14ac:dyDescent="0.35">
      <c r="D346" s="30" t="str">
        <f t="shared" si="18"/>
        <v>Community health workers</v>
      </c>
      <c r="E346">
        <f t="shared" si="20"/>
        <v>243</v>
      </c>
    </row>
    <row r="347" spans="2:5" x14ac:dyDescent="0.35">
      <c r="D347" s="30" t="str">
        <f t="shared" si="18"/>
        <v>Dieticians and nutritionists</v>
      </c>
      <c r="E347">
        <f t="shared" si="20"/>
        <v>0</v>
      </c>
    </row>
    <row r="348" spans="2:5" x14ac:dyDescent="0.35">
      <c r="D348" s="30" t="str">
        <f t="shared" si="18"/>
        <v>Environmental and occupational health &amp; hygiene workers</v>
      </c>
      <c r="E348">
        <f t="shared" si="20"/>
        <v>243</v>
      </c>
    </row>
    <row r="349" spans="2:5" x14ac:dyDescent="0.35">
      <c r="D349" s="30" t="str">
        <f t="shared" si="18"/>
        <v>Health care assistants and other personal care workers in health services</v>
      </c>
      <c r="E349">
        <f t="shared" si="20"/>
        <v>0</v>
      </c>
    </row>
    <row r="350" spans="2:5" x14ac:dyDescent="0.35">
      <c r="D350" s="30" t="str">
        <f t="shared" si="18"/>
        <v>Health service managers</v>
      </c>
      <c r="E350">
        <f t="shared" si="20"/>
        <v>0</v>
      </c>
    </row>
    <row r="351" spans="2:5" x14ac:dyDescent="0.35">
      <c r="D351" s="30" t="str">
        <f t="shared" si="18"/>
        <v>Medical and dental prosthetic technicians</v>
      </c>
      <c r="E351">
        <f t="shared" si="20"/>
        <v>0</v>
      </c>
    </row>
    <row r="352" spans="2:5" x14ac:dyDescent="0.35">
      <c r="D352" s="30" t="str">
        <f t="shared" si="18"/>
        <v>Other science professionals and technicians</v>
      </c>
      <c r="E352">
        <f t="shared" si="20"/>
        <v>0</v>
      </c>
    </row>
    <row r="353" spans="2:5" x14ac:dyDescent="0.35">
      <c r="D353" s="30" t="str">
        <f t="shared" si="18"/>
        <v>Medical assistants – clinical officers</v>
      </c>
      <c r="E353">
        <f t="shared" si="20"/>
        <v>0</v>
      </c>
    </row>
    <row r="354" spans="2:5" x14ac:dyDescent="0.35">
      <c r="D354" s="30" t="str">
        <f t="shared" si="18"/>
        <v>Medical imaging and therapeutic equipment operators</v>
      </c>
      <c r="E354">
        <f t="shared" si="20"/>
        <v>113</v>
      </c>
    </row>
    <row r="355" spans="2:5" x14ac:dyDescent="0.35">
      <c r="D355" s="30" t="str">
        <f t="shared" si="18"/>
        <v>Medical records and health information technicians</v>
      </c>
      <c r="E355">
        <f t="shared" si="20"/>
        <v>0</v>
      </c>
    </row>
    <row r="356" spans="2:5" x14ac:dyDescent="0.35">
      <c r="D356" s="30" t="str">
        <f t="shared" si="18"/>
        <v>Optometrists and opticians</v>
      </c>
      <c r="E356">
        <f t="shared" si="20"/>
        <v>86</v>
      </c>
    </row>
    <row r="357" spans="2:5" x14ac:dyDescent="0.35">
      <c r="D357" s="30" t="str">
        <f t="shared" si="18"/>
        <v>Other health management and support workers</v>
      </c>
      <c r="E357">
        <f t="shared" si="20"/>
        <v>3563</v>
      </c>
    </row>
    <row r="358" spans="2:5" x14ac:dyDescent="0.35">
      <c r="D358" s="30" t="str">
        <f t="shared" si="18"/>
        <v>Other health service providers</v>
      </c>
      <c r="E358">
        <f t="shared" si="20"/>
        <v>0</v>
      </c>
    </row>
    <row r="359" spans="2:5" x14ac:dyDescent="0.35">
      <c r="D359" s="30" t="str">
        <f t="shared" si="18"/>
        <v>Medical and pathology laboratory technicians</v>
      </c>
      <c r="E359">
        <f t="shared" si="20"/>
        <v>549</v>
      </c>
    </row>
    <row r="360" spans="2:5" x14ac:dyDescent="0.35">
      <c r="D360" s="30" t="str">
        <f t="shared" si="18"/>
        <v>Paramedical practitioners (specify)</v>
      </c>
      <c r="E360">
        <f t="shared" si="20"/>
        <v>0</v>
      </c>
    </row>
    <row r="361" spans="2:5" x14ac:dyDescent="0.35">
      <c r="D361" s="30" t="str">
        <f t="shared" si="18"/>
        <v>Physiotherapists and physiotherapy assistants</v>
      </c>
      <c r="E361">
        <f t="shared" si="20"/>
        <v>137</v>
      </c>
    </row>
    <row r="362" spans="2:5" x14ac:dyDescent="0.35">
      <c r="D362" s="30" t="str">
        <f t="shared" si="18"/>
        <v>Social workers</v>
      </c>
      <c r="E362">
        <f t="shared" si="20"/>
        <v>0</v>
      </c>
    </row>
    <row r="363" spans="2:5" x14ac:dyDescent="0.35">
      <c r="D363" s="30" t="str">
        <f t="shared" si="18"/>
        <v>Speech Therapist</v>
      </c>
      <c r="E363">
        <f t="shared" si="20"/>
        <v>0</v>
      </c>
    </row>
    <row r="364" spans="2:5" x14ac:dyDescent="0.35">
      <c r="D364" s="30" t="str">
        <f t="shared" ref="D364" si="21">D340</f>
        <v>Traditional and complementary medicine practitioners</v>
      </c>
      <c r="E364">
        <f t="shared" si="20"/>
        <v>0</v>
      </c>
    </row>
    <row r="365" spans="2:5" x14ac:dyDescent="0.35">
      <c r="B365" t="e">
        <f>#REF!</f>
        <v>#REF!</v>
      </c>
      <c r="C365" t="str">
        <f>P1</f>
        <v>ETH</v>
      </c>
      <c r="D365" s="29" t="str">
        <f t="shared" ref="D365:D428" si="22">D341</f>
        <v>Medical doctors</v>
      </c>
      <c r="E365">
        <f t="shared" ref="E365:E388" si="23">P2</f>
        <v>11263</v>
      </c>
    </row>
    <row r="366" spans="2:5" x14ac:dyDescent="0.35">
      <c r="D366" s="30" t="str">
        <f t="shared" si="22"/>
        <v>Nursing Personnel</v>
      </c>
      <c r="E366">
        <f t="shared" si="23"/>
        <v>61772</v>
      </c>
    </row>
    <row r="367" spans="2:5" x14ac:dyDescent="0.35">
      <c r="D367" s="30" t="str">
        <f t="shared" si="22"/>
        <v>Midwifery personnel</v>
      </c>
      <c r="E367">
        <f t="shared" si="23"/>
        <v>16161</v>
      </c>
    </row>
    <row r="368" spans="2:5" x14ac:dyDescent="0.35">
      <c r="D368" s="30" t="str">
        <f t="shared" si="22"/>
        <v>Pharmacists</v>
      </c>
      <c r="E368">
        <f t="shared" si="23"/>
        <v>10752</v>
      </c>
    </row>
    <row r="369" spans="4:5" x14ac:dyDescent="0.35">
      <c r="D369" s="30" t="str">
        <f t="shared" si="22"/>
        <v>Dentists</v>
      </c>
      <c r="E369">
        <f t="shared" si="23"/>
        <v>1889</v>
      </c>
    </row>
    <row r="370" spans="4:5" x14ac:dyDescent="0.35">
      <c r="D370" s="30" t="str">
        <f t="shared" si="22"/>
        <v>Community health workers</v>
      </c>
      <c r="E370">
        <f t="shared" si="23"/>
        <v>37259</v>
      </c>
    </row>
    <row r="371" spans="4:5" x14ac:dyDescent="0.35">
      <c r="D371" s="30" t="str">
        <f t="shared" si="22"/>
        <v>Dieticians and nutritionists</v>
      </c>
      <c r="E371">
        <f t="shared" si="23"/>
        <v>147</v>
      </c>
    </row>
    <row r="372" spans="4:5" x14ac:dyDescent="0.35">
      <c r="D372" s="30" t="str">
        <f t="shared" si="22"/>
        <v>Environmental and occupational health &amp; hygiene workers</v>
      </c>
      <c r="E372">
        <f t="shared" si="23"/>
        <v>2662</v>
      </c>
    </row>
    <row r="373" spans="4:5" x14ac:dyDescent="0.35">
      <c r="D373" s="30" t="str">
        <f t="shared" si="22"/>
        <v>Health care assistants and other personal care workers in health services</v>
      </c>
      <c r="E373">
        <f t="shared" si="23"/>
        <v>0</v>
      </c>
    </row>
    <row r="374" spans="4:5" x14ac:dyDescent="0.35">
      <c r="D374" s="30" t="str">
        <f t="shared" si="22"/>
        <v>Health service managers</v>
      </c>
      <c r="E374">
        <f t="shared" si="23"/>
        <v>4365</v>
      </c>
    </row>
    <row r="375" spans="4:5" x14ac:dyDescent="0.35">
      <c r="D375" s="30" t="str">
        <f t="shared" si="22"/>
        <v>Medical and dental prosthetic technicians</v>
      </c>
      <c r="E375">
        <f t="shared" si="23"/>
        <v>52</v>
      </c>
    </row>
    <row r="376" spans="4:5" x14ac:dyDescent="0.35">
      <c r="D376" s="30" t="str">
        <f t="shared" si="22"/>
        <v>Other science professionals and technicians</v>
      </c>
      <c r="E376">
        <f t="shared" si="23"/>
        <v>672</v>
      </c>
    </row>
    <row r="377" spans="4:5" x14ac:dyDescent="0.35">
      <c r="D377" s="30" t="str">
        <f t="shared" si="22"/>
        <v>Medical assistants – clinical officers</v>
      </c>
      <c r="E377">
        <f t="shared" si="23"/>
        <v>11536</v>
      </c>
    </row>
    <row r="378" spans="4:5" x14ac:dyDescent="0.35">
      <c r="D378" s="30" t="str">
        <f t="shared" si="22"/>
        <v>Medical imaging and therapeutic equipment operators</v>
      </c>
      <c r="E378">
        <f t="shared" si="23"/>
        <v>1041</v>
      </c>
    </row>
    <row r="379" spans="4:5" x14ac:dyDescent="0.35">
      <c r="D379" s="30" t="str">
        <f t="shared" si="22"/>
        <v>Medical records and health information technicians</v>
      </c>
      <c r="E379">
        <f t="shared" si="23"/>
        <v>2953</v>
      </c>
    </row>
    <row r="380" spans="4:5" x14ac:dyDescent="0.35">
      <c r="D380" s="30" t="str">
        <f t="shared" si="22"/>
        <v>Optometrists and opticians</v>
      </c>
      <c r="E380">
        <f t="shared" si="23"/>
        <v>330</v>
      </c>
    </row>
    <row r="381" spans="4:5" x14ac:dyDescent="0.35">
      <c r="D381" s="30" t="str">
        <f t="shared" si="22"/>
        <v>Other health management and support workers</v>
      </c>
      <c r="E381">
        <f t="shared" si="23"/>
        <v>73174</v>
      </c>
    </row>
    <row r="382" spans="4:5" x14ac:dyDescent="0.35">
      <c r="D382" s="30" t="str">
        <f t="shared" si="22"/>
        <v>Other health service providers</v>
      </c>
      <c r="E382">
        <f t="shared" si="23"/>
        <v>2872</v>
      </c>
    </row>
    <row r="383" spans="4:5" x14ac:dyDescent="0.35">
      <c r="D383" s="30" t="str">
        <f t="shared" si="22"/>
        <v>Medical and pathology laboratory technicians</v>
      </c>
      <c r="E383">
        <f t="shared" si="23"/>
        <v>10450</v>
      </c>
    </row>
    <row r="384" spans="4:5" x14ac:dyDescent="0.35">
      <c r="D384" s="30" t="str">
        <f t="shared" si="22"/>
        <v>Paramedical practitioners (specify)</v>
      </c>
      <c r="E384">
        <f t="shared" si="23"/>
        <v>1285</v>
      </c>
    </row>
    <row r="385" spans="2:5" x14ac:dyDescent="0.35">
      <c r="D385" s="30" t="str">
        <f t="shared" si="22"/>
        <v>Physiotherapists and physiotherapy assistants</v>
      </c>
      <c r="E385">
        <f t="shared" si="23"/>
        <v>258</v>
      </c>
    </row>
    <row r="386" spans="2:5" x14ac:dyDescent="0.35">
      <c r="D386" s="30" t="str">
        <f t="shared" si="22"/>
        <v>Social workers</v>
      </c>
      <c r="E386">
        <f t="shared" si="23"/>
        <v>0</v>
      </c>
    </row>
    <row r="387" spans="2:5" x14ac:dyDescent="0.35">
      <c r="D387" s="30" t="str">
        <f t="shared" si="22"/>
        <v>Speech Therapist</v>
      </c>
      <c r="E387">
        <f t="shared" si="23"/>
        <v>0</v>
      </c>
    </row>
    <row r="388" spans="2:5" x14ac:dyDescent="0.35">
      <c r="D388" s="30" t="str">
        <f t="shared" si="22"/>
        <v>Traditional and complementary medicine practitioners</v>
      </c>
      <c r="E388">
        <f t="shared" si="23"/>
        <v>0</v>
      </c>
    </row>
    <row r="389" spans="2:5" x14ac:dyDescent="0.35">
      <c r="B389" t="e">
        <f>#REF!</f>
        <v>#REF!</v>
      </c>
      <c r="C389" t="str">
        <f>Q1</f>
        <v>GAB</v>
      </c>
      <c r="D389" s="29" t="str">
        <f t="shared" si="22"/>
        <v>Medical doctors</v>
      </c>
      <c r="E389">
        <f t="shared" ref="E389:E412" si="24">Q2</f>
        <v>1368</v>
      </c>
    </row>
    <row r="390" spans="2:5" x14ac:dyDescent="0.35">
      <c r="D390" s="30" t="str">
        <f t="shared" si="22"/>
        <v>Nursing Personnel</v>
      </c>
      <c r="E390">
        <f t="shared" si="24"/>
        <v>5352</v>
      </c>
    </row>
    <row r="391" spans="2:5" x14ac:dyDescent="0.35">
      <c r="D391" s="30" t="str">
        <f t="shared" si="22"/>
        <v>Midwifery personnel</v>
      </c>
      <c r="E391">
        <f t="shared" si="24"/>
        <v>733</v>
      </c>
    </row>
    <row r="392" spans="2:5" x14ac:dyDescent="0.35">
      <c r="D392" s="30" t="str">
        <f t="shared" si="22"/>
        <v>Pharmacists</v>
      </c>
      <c r="E392">
        <f t="shared" si="24"/>
        <v>227</v>
      </c>
    </row>
    <row r="393" spans="2:5" x14ac:dyDescent="0.35">
      <c r="D393" s="30" t="str">
        <f t="shared" si="22"/>
        <v>Dentists</v>
      </c>
      <c r="E393">
        <f t="shared" si="24"/>
        <v>40</v>
      </c>
    </row>
    <row r="394" spans="2:5" x14ac:dyDescent="0.35">
      <c r="D394" s="30" t="str">
        <f t="shared" si="22"/>
        <v>Community health workers</v>
      </c>
      <c r="E394">
        <f t="shared" si="24"/>
        <v>0</v>
      </c>
    </row>
    <row r="395" spans="2:5" x14ac:dyDescent="0.35">
      <c r="D395" s="30" t="str">
        <f t="shared" si="22"/>
        <v>Dieticians and nutritionists</v>
      </c>
      <c r="E395">
        <f t="shared" si="24"/>
        <v>6</v>
      </c>
    </row>
    <row r="396" spans="2:5" x14ac:dyDescent="0.35">
      <c r="D396" s="30" t="str">
        <f t="shared" si="22"/>
        <v>Environmental and occupational health &amp; hygiene workers</v>
      </c>
      <c r="E396">
        <f t="shared" si="24"/>
        <v>312</v>
      </c>
    </row>
    <row r="397" spans="2:5" x14ac:dyDescent="0.35">
      <c r="D397" s="30" t="str">
        <f t="shared" si="22"/>
        <v>Health care assistants and other personal care workers in health services</v>
      </c>
      <c r="E397">
        <f t="shared" si="24"/>
        <v>86</v>
      </c>
    </row>
    <row r="398" spans="2:5" x14ac:dyDescent="0.35">
      <c r="D398" s="30" t="str">
        <f t="shared" si="22"/>
        <v>Health service managers</v>
      </c>
      <c r="E398">
        <f t="shared" si="24"/>
        <v>318</v>
      </c>
    </row>
    <row r="399" spans="2:5" x14ac:dyDescent="0.35">
      <c r="D399" s="30" t="str">
        <f t="shared" si="22"/>
        <v>Medical and dental prosthetic technicians</v>
      </c>
      <c r="E399">
        <f t="shared" si="24"/>
        <v>46</v>
      </c>
    </row>
    <row r="400" spans="2:5" x14ac:dyDescent="0.35">
      <c r="D400" s="30" t="str">
        <f t="shared" si="22"/>
        <v>Other science professionals and technicians</v>
      </c>
      <c r="E400">
        <f t="shared" si="24"/>
        <v>83</v>
      </c>
    </row>
    <row r="401" spans="2:5" x14ac:dyDescent="0.35">
      <c r="D401" s="30" t="str">
        <f t="shared" si="22"/>
        <v>Medical assistants – clinical officers</v>
      </c>
      <c r="E401">
        <f t="shared" si="24"/>
        <v>18</v>
      </c>
    </row>
    <row r="402" spans="2:5" x14ac:dyDescent="0.35">
      <c r="D402" s="30" t="str">
        <f t="shared" si="22"/>
        <v>Medical imaging and therapeutic equipment operators</v>
      </c>
      <c r="E402">
        <f t="shared" si="24"/>
        <v>93</v>
      </c>
    </row>
    <row r="403" spans="2:5" x14ac:dyDescent="0.35">
      <c r="D403" s="30" t="str">
        <f t="shared" si="22"/>
        <v>Medical records and health information technicians</v>
      </c>
      <c r="E403">
        <f t="shared" si="24"/>
        <v>127</v>
      </c>
    </row>
    <row r="404" spans="2:5" x14ac:dyDescent="0.35">
      <c r="D404" s="30" t="str">
        <f t="shared" si="22"/>
        <v>Optometrists and opticians</v>
      </c>
      <c r="E404">
        <f t="shared" si="24"/>
        <v>5</v>
      </c>
    </row>
    <row r="405" spans="2:5" x14ac:dyDescent="0.35">
      <c r="D405" s="30" t="str">
        <f t="shared" si="22"/>
        <v>Other health management and support workers</v>
      </c>
      <c r="E405">
        <f t="shared" si="24"/>
        <v>1939</v>
      </c>
    </row>
    <row r="406" spans="2:5" x14ac:dyDescent="0.35">
      <c r="D406" s="30" t="str">
        <f t="shared" si="22"/>
        <v>Other health service providers</v>
      </c>
      <c r="E406">
        <f t="shared" si="24"/>
        <v>62</v>
      </c>
    </row>
    <row r="407" spans="2:5" x14ac:dyDescent="0.35">
      <c r="D407" s="30" t="str">
        <f t="shared" si="22"/>
        <v>Medical and pathology laboratory technicians</v>
      </c>
      <c r="E407">
        <f t="shared" si="24"/>
        <v>439</v>
      </c>
    </row>
    <row r="408" spans="2:5" x14ac:dyDescent="0.35">
      <c r="D408" s="30" t="str">
        <f t="shared" si="22"/>
        <v>Paramedical practitioners (specify)</v>
      </c>
      <c r="E408">
        <f t="shared" si="24"/>
        <v>58</v>
      </c>
    </row>
    <row r="409" spans="2:5" x14ac:dyDescent="0.35">
      <c r="D409" s="30" t="str">
        <f t="shared" si="22"/>
        <v>Physiotherapists and physiotherapy assistants</v>
      </c>
      <c r="E409">
        <f t="shared" si="24"/>
        <v>43</v>
      </c>
    </row>
    <row r="410" spans="2:5" x14ac:dyDescent="0.35">
      <c r="D410" s="30" t="str">
        <f t="shared" si="22"/>
        <v>Social workers</v>
      </c>
      <c r="E410">
        <f t="shared" si="24"/>
        <v>0</v>
      </c>
    </row>
    <row r="411" spans="2:5" x14ac:dyDescent="0.35">
      <c r="D411" s="30" t="str">
        <f t="shared" si="22"/>
        <v>Speech Therapist</v>
      </c>
      <c r="E411">
        <f t="shared" si="24"/>
        <v>0</v>
      </c>
    </row>
    <row r="412" spans="2:5" x14ac:dyDescent="0.35">
      <c r="D412" s="30" t="str">
        <f t="shared" si="22"/>
        <v>Traditional and complementary medicine practitioners</v>
      </c>
      <c r="E412">
        <f t="shared" si="24"/>
        <v>99</v>
      </c>
    </row>
    <row r="413" spans="2:5" x14ac:dyDescent="0.35">
      <c r="B413" t="e">
        <f>#REF!</f>
        <v>#REF!</v>
      </c>
      <c r="C413" t="str">
        <f>R1</f>
        <v>GHA</v>
      </c>
      <c r="D413" s="29" t="str">
        <f t="shared" si="22"/>
        <v>Medical doctors</v>
      </c>
      <c r="E413">
        <f t="shared" ref="E413:E436" si="25">R2</f>
        <v>4406</v>
      </c>
    </row>
    <row r="414" spans="2:5" x14ac:dyDescent="0.35">
      <c r="D414" s="30" t="str">
        <f t="shared" si="22"/>
        <v>Nursing Personnel</v>
      </c>
      <c r="E414">
        <f t="shared" si="25"/>
        <v>42827</v>
      </c>
    </row>
    <row r="415" spans="2:5" x14ac:dyDescent="0.35">
      <c r="D415" s="30" t="str">
        <f t="shared" si="22"/>
        <v>Midwifery personnel</v>
      </c>
      <c r="E415">
        <f t="shared" si="25"/>
        <v>10625</v>
      </c>
    </row>
    <row r="416" spans="2:5" x14ac:dyDescent="0.35">
      <c r="D416" s="30" t="str">
        <f t="shared" si="22"/>
        <v>Pharmacists</v>
      </c>
      <c r="E416">
        <f t="shared" si="25"/>
        <v>2127</v>
      </c>
    </row>
    <row r="417" spans="4:5" x14ac:dyDescent="0.35">
      <c r="D417" s="30" t="str">
        <f t="shared" si="22"/>
        <v>Dentists</v>
      </c>
      <c r="E417">
        <f t="shared" si="25"/>
        <v>713</v>
      </c>
    </row>
    <row r="418" spans="4:5" x14ac:dyDescent="0.35">
      <c r="D418" s="30" t="str">
        <f t="shared" si="22"/>
        <v>Community health workers</v>
      </c>
      <c r="E418">
        <f t="shared" si="25"/>
        <v>15820</v>
      </c>
    </row>
    <row r="419" spans="4:5" x14ac:dyDescent="0.35">
      <c r="D419" s="30" t="str">
        <f t="shared" si="22"/>
        <v>Dieticians and nutritionists</v>
      </c>
      <c r="E419">
        <f t="shared" si="25"/>
        <v>0</v>
      </c>
    </row>
    <row r="420" spans="4:5" x14ac:dyDescent="0.35">
      <c r="D420" s="30" t="str">
        <f t="shared" si="22"/>
        <v>Environmental and occupational health &amp; hygiene workers</v>
      </c>
      <c r="E420">
        <f t="shared" si="25"/>
        <v>47</v>
      </c>
    </row>
    <row r="421" spans="4:5" x14ac:dyDescent="0.35">
      <c r="D421" s="30" t="str">
        <f t="shared" si="22"/>
        <v>Health care assistants and other personal care workers in health services</v>
      </c>
      <c r="E421">
        <f t="shared" si="25"/>
        <v>4059</v>
      </c>
    </row>
    <row r="422" spans="4:5" x14ac:dyDescent="0.35">
      <c r="D422" s="30" t="str">
        <f t="shared" si="22"/>
        <v>Health service managers</v>
      </c>
      <c r="E422">
        <f t="shared" si="25"/>
        <v>1033</v>
      </c>
    </row>
    <row r="423" spans="4:5" x14ac:dyDescent="0.35">
      <c r="D423" s="30" t="str">
        <f t="shared" si="22"/>
        <v>Medical and dental prosthetic technicians</v>
      </c>
      <c r="E423">
        <f t="shared" si="25"/>
        <v>0</v>
      </c>
    </row>
    <row r="424" spans="4:5" x14ac:dyDescent="0.35">
      <c r="D424" s="30" t="str">
        <f t="shared" si="22"/>
        <v>Other science professionals and technicians</v>
      </c>
      <c r="E424">
        <f t="shared" si="25"/>
        <v>398</v>
      </c>
    </row>
    <row r="425" spans="4:5" x14ac:dyDescent="0.35">
      <c r="D425" s="30" t="str">
        <f t="shared" si="22"/>
        <v>Medical assistants – clinical officers</v>
      </c>
      <c r="E425">
        <f t="shared" si="25"/>
        <v>1671</v>
      </c>
    </row>
    <row r="426" spans="4:5" x14ac:dyDescent="0.35">
      <c r="D426" s="30" t="str">
        <f t="shared" si="22"/>
        <v>Medical imaging and therapeutic equipment operators</v>
      </c>
      <c r="E426">
        <f t="shared" si="25"/>
        <v>1476</v>
      </c>
    </row>
    <row r="427" spans="4:5" x14ac:dyDescent="0.35">
      <c r="D427" s="30" t="str">
        <f t="shared" si="22"/>
        <v>Medical records and health information technicians</v>
      </c>
      <c r="E427">
        <f t="shared" si="25"/>
        <v>3883</v>
      </c>
    </row>
    <row r="428" spans="4:5" x14ac:dyDescent="0.35">
      <c r="D428" s="30" t="str">
        <f t="shared" si="22"/>
        <v>Optometrists and opticians</v>
      </c>
      <c r="E428">
        <f t="shared" si="25"/>
        <v>143</v>
      </c>
    </row>
    <row r="429" spans="4:5" x14ac:dyDescent="0.35">
      <c r="D429" s="30" t="str">
        <f t="shared" ref="D429:D492" si="26">D405</f>
        <v>Other health management and support workers</v>
      </c>
      <c r="E429">
        <f t="shared" si="25"/>
        <v>23627</v>
      </c>
    </row>
    <row r="430" spans="4:5" x14ac:dyDescent="0.35">
      <c r="D430" s="30" t="str">
        <f t="shared" si="26"/>
        <v>Other health service providers</v>
      </c>
      <c r="E430">
        <f t="shared" si="25"/>
        <v>1877</v>
      </c>
    </row>
    <row r="431" spans="4:5" x14ac:dyDescent="0.35">
      <c r="D431" s="30" t="str">
        <f t="shared" si="26"/>
        <v>Medical and pathology laboratory technicians</v>
      </c>
      <c r="E431">
        <f t="shared" si="25"/>
        <v>1563</v>
      </c>
    </row>
    <row r="432" spans="4:5" x14ac:dyDescent="0.35">
      <c r="D432" s="30" t="str">
        <f t="shared" si="26"/>
        <v>Paramedical practitioners (specify)</v>
      </c>
      <c r="E432">
        <f t="shared" si="25"/>
        <v>2116</v>
      </c>
    </row>
    <row r="433" spans="2:5" x14ac:dyDescent="0.35">
      <c r="D433" s="30" t="str">
        <f t="shared" si="26"/>
        <v>Physiotherapists and physiotherapy assistants</v>
      </c>
      <c r="E433">
        <f t="shared" si="25"/>
        <v>304</v>
      </c>
    </row>
    <row r="434" spans="2:5" x14ac:dyDescent="0.35">
      <c r="D434" s="30" t="str">
        <f t="shared" si="26"/>
        <v>Social workers</v>
      </c>
      <c r="E434">
        <f t="shared" si="25"/>
        <v>0</v>
      </c>
    </row>
    <row r="435" spans="2:5" x14ac:dyDescent="0.35">
      <c r="D435" s="30" t="str">
        <f t="shared" si="26"/>
        <v>Speech Therapist</v>
      </c>
      <c r="E435">
        <f t="shared" si="25"/>
        <v>0</v>
      </c>
    </row>
    <row r="436" spans="2:5" x14ac:dyDescent="0.35">
      <c r="D436" s="30" t="str">
        <f t="shared" si="26"/>
        <v>Traditional and complementary medicine practitioners</v>
      </c>
      <c r="E436">
        <f t="shared" si="25"/>
        <v>3468</v>
      </c>
    </row>
    <row r="437" spans="2:5" x14ac:dyDescent="0.35">
      <c r="B437" t="e">
        <f>#REF!</f>
        <v>#REF!</v>
      </c>
      <c r="C437" t="str">
        <f>S1</f>
        <v>GIN</v>
      </c>
      <c r="D437" s="29" t="str">
        <f t="shared" si="26"/>
        <v>Medical doctors</v>
      </c>
      <c r="E437">
        <f t="shared" ref="E437:E460" si="27">S2</f>
        <v>2787</v>
      </c>
    </row>
    <row r="438" spans="2:5" x14ac:dyDescent="0.35">
      <c r="D438" s="30" t="str">
        <f t="shared" si="26"/>
        <v>Nursing Personnel</v>
      </c>
      <c r="E438">
        <f t="shared" si="27"/>
        <v>6329</v>
      </c>
    </row>
    <row r="439" spans="2:5" x14ac:dyDescent="0.35">
      <c r="D439" s="30" t="str">
        <f t="shared" si="26"/>
        <v>Midwifery personnel</v>
      </c>
      <c r="E439">
        <f t="shared" si="27"/>
        <v>866</v>
      </c>
    </row>
    <row r="440" spans="2:5" x14ac:dyDescent="0.35">
      <c r="D440" s="30" t="str">
        <f t="shared" si="26"/>
        <v>Pharmacists</v>
      </c>
      <c r="E440">
        <f t="shared" si="27"/>
        <v>255</v>
      </c>
    </row>
    <row r="441" spans="2:5" x14ac:dyDescent="0.35">
      <c r="D441" s="30" t="str">
        <f t="shared" si="26"/>
        <v>Dentists</v>
      </c>
      <c r="E441">
        <f t="shared" si="27"/>
        <v>73</v>
      </c>
    </row>
    <row r="442" spans="2:5" x14ac:dyDescent="0.35">
      <c r="D442" s="30" t="str">
        <f t="shared" si="26"/>
        <v>Community health workers</v>
      </c>
      <c r="E442">
        <f t="shared" si="27"/>
        <v>16567</v>
      </c>
    </row>
    <row r="443" spans="2:5" x14ac:dyDescent="0.35">
      <c r="D443" s="30" t="str">
        <f t="shared" si="26"/>
        <v>Dieticians and nutritionists</v>
      </c>
      <c r="E443">
        <f t="shared" si="27"/>
        <v>0</v>
      </c>
    </row>
    <row r="444" spans="2:5" x14ac:dyDescent="0.35">
      <c r="D444" s="30" t="str">
        <f t="shared" si="26"/>
        <v>Environmental and occupational health &amp; hygiene workers</v>
      </c>
      <c r="E444">
        <f t="shared" si="27"/>
        <v>0</v>
      </c>
    </row>
    <row r="445" spans="2:5" x14ac:dyDescent="0.35">
      <c r="D445" s="30" t="str">
        <f t="shared" si="26"/>
        <v>Health care assistants and other personal care workers in health services</v>
      </c>
      <c r="E445">
        <f t="shared" si="27"/>
        <v>1</v>
      </c>
    </row>
    <row r="446" spans="2:5" x14ac:dyDescent="0.35">
      <c r="D446" s="30" t="str">
        <f t="shared" si="26"/>
        <v>Health service managers</v>
      </c>
      <c r="E446">
        <f t="shared" si="27"/>
        <v>189</v>
      </c>
    </row>
    <row r="447" spans="2:5" x14ac:dyDescent="0.35">
      <c r="D447" s="30" t="str">
        <f t="shared" si="26"/>
        <v>Medical and dental prosthetic technicians</v>
      </c>
      <c r="E447">
        <f t="shared" si="27"/>
        <v>0</v>
      </c>
    </row>
    <row r="448" spans="2:5" x14ac:dyDescent="0.35">
      <c r="D448" s="30" t="str">
        <f t="shared" si="26"/>
        <v>Other science professionals and technicians</v>
      </c>
      <c r="E448">
        <f t="shared" si="27"/>
        <v>0</v>
      </c>
    </row>
    <row r="449" spans="2:5" x14ac:dyDescent="0.35">
      <c r="D449" s="30" t="str">
        <f t="shared" si="26"/>
        <v>Medical assistants – clinical officers</v>
      </c>
      <c r="E449">
        <f t="shared" si="27"/>
        <v>0</v>
      </c>
    </row>
    <row r="450" spans="2:5" x14ac:dyDescent="0.35">
      <c r="D450" s="30" t="str">
        <f t="shared" si="26"/>
        <v>Medical imaging and therapeutic equipment operators</v>
      </c>
      <c r="E450">
        <f t="shared" si="27"/>
        <v>0</v>
      </c>
    </row>
    <row r="451" spans="2:5" x14ac:dyDescent="0.35">
      <c r="D451" s="30" t="str">
        <f t="shared" si="26"/>
        <v>Medical records and health information technicians</v>
      </c>
      <c r="E451">
        <f t="shared" si="27"/>
        <v>66</v>
      </c>
    </row>
    <row r="452" spans="2:5" x14ac:dyDescent="0.35">
      <c r="D452" s="30" t="str">
        <f t="shared" si="26"/>
        <v>Optometrists and opticians</v>
      </c>
      <c r="E452">
        <f t="shared" si="27"/>
        <v>0</v>
      </c>
    </row>
    <row r="453" spans="2:5" x14ac:dyDescent="0.35">
      <c r="D453" s="30" t="str">
        <f t="shared" si="26"/>
        <v>Other health management and support workers</v>
      </c>
      <c r="E453">
        <f t="shared" si="27"/>
        <v>481</v>
      </c>
    </row>
    <row r="454" spans="2:5" x14ac:dyDescent="0.35">
      <c r="D454" s="30" t="str">
        <f t="shared" si="26"/>
        <v>Other health service providers</v>
      </c>
      <c r="E454">
        <f t="shared" si="27"/>
        <v>0</v>
      </c>
    </row>
    <row r="455" spans="2:5" x14ac:dyDescent="0.35">
      <c r="D455" s="30" t="str">
        <f t="shared" si="26"/>
        <v>Medical and pathology laboratory technicians</v>
      </c>
      <c r="E455">
        <f t="shared" si="27"/>
        <v>181</v>
      </c>
    </row>
    <row r="456" spans="2:5" x14ac:dyDescent="0.35">
      <c r="D456" s="30" t="str">
        <f t="shared" si="26"/>
        <v>Paramedical practitioners (specify)</v>
      </c>
      <c r="E456">
        <f t="shared" si="27"/>
        <v>62</v>
      </c>
    </row>
    <row r="457" spans="2:5" x14ac:dyDescent="0.35">
      <c r="D457" s="30" t="str">
        <f t="shared" si="26"/>
        <v>Physiotherapists and physiotherapy assistants</v>
      </c>
      <c r="E457">
        <f t="shared" si="27"/>
        <v>0</v>
      </c>
    </row>
    <row r="458" spans="2:5" x14ac:dyDescent="0.35">
      <c r="D458" s="30" t="str">
        <f t="shared" si="26"/>
        <v>Social workers</v>
      </c>
      <c r="E458">
        <f t="shared" si="27"/>
        <v>0</v>
      </c>
    </row>
    <row r="459" spans="2:5" x14ac:dyDescent="0.35">
      <c r="D459" s="30" t="str">
        <f t="shared" si="26"/>
        <v>Speech Therapist</v>
      </c>
      <c r="E459">
        <f t="shared" si="27"/>
        <v>0</v>
      </c>
    </row>
    <row r="460" spans="2:5" x14ac:dyDescent="0.35">
      <c r="D460" s="30" t="str">
        <f t="shared" si="26"/>
        <v>Traditional and complementary medicine practitioners</v>
      </c>
      <c r="E460">
        <f t="shared" si="27"/>
        <v>0</v>
      </c>
    </row>
    <row r="461" spans="2:5" x14ac:dyDescent="0.35">
      <c r="B461" t="e">
        <f>#REF!</f>
        <v>#REF!</v>
      </c>
      <c r="C461" t="str">
        <f>T1</f>
        <v>GMB</v>
      </c>
      <c r="D461" s="29" t="str">
        <f t="shared" si="26"/>
        <v>Medical doctors</v>
      </c>
      <c r="E461">
        <f t="shared" ref="E461:E484" si="28">T2</f>
        <v>298</v>
      </c>
    </row>
    <row r="462" spans="2:5" x14ac:dyDescent="0.35">
      <c r="D462" s="30" t="str">
        <f t="shared" si="26"/>
        <v>Nursing Personnel</v>
      </c>
      <c r="E462">
        <f t="shared" si="28"/>
        <v>1178</v>
      </c>
    </row>
    <row r="463" spans="2:5" x14ac:dyDescent="0.35">
      <c r="D463" s="30" t="str">
        <f t="shared" si="26"/>
        <v>Midwifery personnel</v>
      </c>
      <c r="E463">
        <f t="shared" si="28"/>
        <v>320</v>
      </c>
    </row>
    <row r="464" spans="2:5" x14ac:dyDescent="0.35">
      <c r="D464" s="30" t="str">
        <f t="shared" si="26"/>
        <v>Pharmacists</v>
      </c>
      <c r="E464">
        <f t="shared" si="28"/>
        <v>79</v>
      </c>
    </row>
    <row r="465" spans="4:5" x14ac:dyDescent="0.35">
      <c r="D465" s="30" t="str">
        <f t="shared" si="26"/>
        <v>Dentists</v>
      </c>
      <c r="E465">
        <f t="shared" si="28"/>
        <v>3</v>
      </c>
    </row>
    <row r="466" spans="4:5" x14ac:dyDescent="0.35">
      <c r="D466" s="30" t="str">
        <f t="shared" si="26"/>
        <v>Community health workers</v>
      </c>
      <c r="E466">
        <f t="shared" si="28"/>
        <v>1553</v>
      </c>
    </row>
    <row r="467" spans="4:5" x14ac:dyDescent="0.35">
      <c r="D467" s="30" t="str">
        <f t="shared" si="26"/>
        <v>Dieticians and nutritionists</v>
      </c>
      <c r="E467">
        <f t="shared" si="28"/>
        <v>0</v>
      </c>
    </row>
    <row r="468" spans="4:5" x14ac:dyDescent="0.35">
      <c r="D468" s="30" t="str">
        <f t="shared" si="26"/>
        <v>Environmental and occupational health &amp; hygiene workers</v>
      </c>
      <c r="E468">
        <f t="shared" si="28"/>
        <v>316</v>
      </c>
    </row>
    <row r="469" spans="4:5" x14ac:dyDescent="0.35">
      <c r="D469" s="30" t="str">
        <f t="shared" si="26"/>
        <v>Health care assistants and other personal care workers in health services</v>
      </c>
      <c r="E469">
        <f t="shared" si="28"/>
        <v>0</v>
      </c>
    </row>
    <row r="470" spans="4:5" x14ac:dyDescent="0.35">
      <c r="D470" s="30" t="str">
        <f t="shared" si="26"/>
        <v>Health service managers</v>
      </c>
      <c r="E470">
        <f t="shared" si="28"/>
        <v>0</v>
      </c>
    </row>
    <row r="471" spans="4:5" x14ac:dyDescent="0.35">
      <c r="D471" s="30" t="str">
        <f t="shared" si="26"/>
        <v>Medical and dental prosthetic technicians</v>
      </c>
      <c r="E471">
        <f t="shared" si="28"/>
        <v>0</v>
      </c>
    </row>
    <row r="472" spans="4:5" x14ac:dyDescent="0.35">
      <c r="D472" s="30" t="str">
        <f t="shared" si="26"/>
        <v>Other science professionals and technicians</v>
      </c>
      <c r="E472">
        <f t="shared" si="28"/>
        <v>0</v>
      </c>
    </row>
    <row r="473" spans="4:5" x14ac:dyDescent="0.35">
      <c r="D473" s="30" t="str">
        <f t="shared" si="26"/>
        <v>Medical assistants – clinical officers</v>
      </c>
      <c r="E473">
        <f t="shared" si="28"/>
        <v>0</v>
      </c>
    </row>
    <row r="474" spans="4:5" x14ac:dyDescent="0.35">
      <c r="D474" s="30" t="str">
        <f t="shared" si="26"/>
        <v>Medical imaging and therapeutic equipment operators</v>
      </c>
      <c r="E474">
        <f t="shared" si="28"/>
        <v>0</v>
      </c>
    </row>
    <row r="475" spans="4:5" x14ac:dyDescent="0.35">
      <c r="D475" s="30" t="str">
        <f t="shared" si="26"/>
        <v>Medical records and health information technicians</v>
      </c>
      <c r="E475">
        <f t="shared" si="28"/>
        <v>0</v>
      </c>
    </row>
    <row r="476" spans="4:5" x14ac:dyDescent="0.35">
      <c r="D476" s="30" t="str">
        <f t="shared" si="26"/>
        <v>Optometrists and opticians</v>
      </c>
      <c r="E476">
        <f t="shared" si="28"/>
        <v>0</v>
      </c>
    </row>
    <row r="477" spans="4:5" x14ac:dyDescent="0.35">
      <c r="D477" s="30" t="str">
        <f t="shared" si="26"/>
        <v>Other health management and support workers</v>
      </c>
      <c r="E477">
        <f t="shared" si="28"/>
        <v>0</v>
      </c>
    </row>
    <row r="478" spans="4:5" x14ac:dyDescent="0.35">
      <c r="D478" s="30" t="str">
        <f t="shared" si="26"/>
        <v>Other health service providers</v>
      </c>
      <c r="E478">
        <f t="shared" si="28"/>
        <v>0</v>
      </c>
    </row>
    <row r="479" spans="4:5" x14ac:dyDescent="0.35">
      <c r="D479" s="30" t="str">
        <f t="shared" si="26"/>
        <v>Medical and pathology laboratory technicians</v>
      </c>
      <c r="E479">
        <f t="shared" si="28"/>
        <v>138</v>
      </c>
    </row>
    <row r="480" spans="4:5" x14ac:dyDescent="0.35">
      <c r="D480" s="30" t="str">
        <f t="shared" si="26"/>
        <v>Paramedical practitioners (specify)</v>
      </c>
      <c r="E480">
        <f t="shared" si="28"/>
        <v>39</v>
      </c>
    </row>
    <row r="481" spans="2:5" x14ac:dyDescent="0.35">
      <c r="D481" s="30" t="str">
        <f t="shared" si="26"/>
        <v>Physiotherapists and physiotherapy assistants</v>
      </c>
      <c r="E481">
        <f t="shared" si="28"/>
        <v>0</v>
      </c>
    </row>
    <row r="482" spans="2:5" x14ac:dyDescent="0.35">
      <c r="D482" s="30" t="str">
        <f t="shared" si="26"/>
        <v>Social workers</v>
      </c>
      <c r="E482">
        <f t="shared" si="28"/>
        <v>0</v>
      </c>
    </row>
    <row r="483" spans="2:5" x14ac:dyDescent="0.35">
      <c r="D483" s="30" t="str">
        <f t="shared" si="26"/>
        <v>Speech Therapist</v>
      </c>
      <c r="E483">
        <f t="shared" si="28"/>
        <v>0</v>
      </c>
    </row>
    <row r="484" spans="2:5" x14ac:dyDescent="0.35">
      <c r="D484" s="30" t="str">
        <f t="shared" si="26"/>
        <v>Traditional and complementary medicine practitioners</v>
      </c>
      <c r="E484">
        <f t="shared" si="28"/>
        <v>0</v>
      </c>
    </row>
    <row r="485" spans="2:5" x14ac:dyDescent="0.35">
      <c r="B485" t="e">
        <f>#REF!</f>
        <v>#REF!</v>
      </c>
      <c r="C485" t="str">
        <f>U1</f>
        <v>GNB</v>
      </c>
      <c r="D485" s="29" t="str">
        <f t="shared" si="26"/>
        <v>Medical doctors</v>
      </c>
      <c r="E485">
        <f t="shared" ref="E485:E508" si="29">U2</f>
        <v>318</v>
      </c>
    </row>
    <row r="486" spans="2:5" x14ac:dyDescent="0.35">
      <c r="D486" s="30" t="str">
        <f t="shared" si="26"/>
        <v>Nursing Personnel</v>
      </c>
      <c r="E486">
        <f t="shared" si="29"/>
        <v>1264</v>
      </c>
    </row>
    <row r="487" spans="2:5" x14ac:dyDescent="0.35">
      <c r="D487" s="30" t="str">
        <f t="shared" si="26"/>
        <v>Midwifery personnel</v>
      </c>
      <c r="E487">
        <f t="shared" si="29"/>
        <v>157</v>
      </c>
    </row>
    <row r="488" spans="2:5" x14ac:dyDescent="0.35">
      <c r="D488" s="30" t="str">
        <f t="shared" si="26"/>
        <v>Pharmacists</v>
      </c>
      <c r="E488">
        <f t="shared" si="29"/>
        <v>82</v>
      </c>
    </row>
    <row r="489" spans="2:5" x14ac:dyDescent="0.35">
      <c r="D489" s="30" t="str">
        <f t="shared" si="26"/>
        <v>Dentists</v>
      </c>
      <c r="E489">
        <f t="shared" si="29"/>
        <v>16</v>
      </c>
    </row>
    <row r="490" spans="2:5" x14ac:dyDescent="0.35">
      <c r="D490" s="30" t="str">
        <f t="shared" si="26"/>
        <v>Community health workers</v>
      </c>
      <c r="E490">
        <f t="shared" si="29"/>
        <v>4057</v>
      </c>
    </row>
    <row r="491" spans="2:5" x14ac:dyDescent="0.35">
      <c r="D491" s="30" t="str">
        <f t="shared" si="26"/>
        <v>Dieticians and nutritionists</v>
      </c>
      <c r="E491">
        <f t="shared" si="29"/>
        <v>0</v>
      </c>
    </row>
    <row r="492" spans="2:5" x14ac:dyDescent="0.35">
      <c r="D492" s="30" t="str">
        <f t="shared" si="26"/>
        <v>Environmental and occupational health &amp; hygiene workers</v>
      </c>
      <c r="E492">
        <f t="shared" si="29"/>
        <v>3</v>
      </c>
    </row>
    <row r="493" spans="2:5" x14ac:dyDescent="0.35">
      <c r="D493" s="30" t="str">
        <f t="shared" ref="D493:D556" si="30">D469</f>
        <v>Health care assistants and other personal care workers in health services</v>
      </c>
      <c r="E493">
        <f t="shared" si="29"/>
        <v>0</v>
      </c>
    </row>
    <row r="494" spans="2:5" x14ac:dyDescent="0.35">
      <c r="D494" s="30" t="str">
        <f t="shared" si="30"/>
        <v>Health service managers</v>
      </c>
      <c r="E494">
        <f t="shared" si="29"/>
        <v>130</v>
      </c>
    </row>
    <row r="495" spans="2:5" x14ac:dyDescent="0.35">
      <c r="D495" s="30" t="str">
        <f t="shared" si="30"/>
        <v>Medical and dental prosthetic technicians</v>
      </c>
      <c r="E495">
        <f t="shared" si="29"/>
        <v>5</v>
      </c>
    </row>
    <row r="496" spans="2:5" x14ac:dyDescent="0.35">
      <c r="D496" s="30" t="str">
        <f t="shared" si="30"/>
        <v>Other science professionals and technicians</v>
      </c>
      <c r="E496">
        <f t="shared" si="29"/>
        <v>0</v>
      </c>
    </row>
    <row r="497" spans="2:5" x14ac:dyDescent="0.35">
      <c r="D497" s="30" t="str">
        <f t="shared" si="30"/>
        <v>Medical assistants – clinical officers</v>
      </c>
      <c r="E497">
        <f t="shared" si="29"/>
        <v>0</v>
      </c>
    </row>
    <row r="498" spans="2:5" x14ac:dyDescent="0.35">
      <c r="D498" s="30" t="str">
        <f t="shared" si="30"/>
        <v>Medical imaging and therapeutic equipment operators</v>
      </c>
      <c r="E498">
        <f t="shared" si="29"/>
        <v>12</v>
      </c>
    </row>
    <row r="499" spans="2:5" x14ac:dyDescent="0.35">
      <c r="D499" s="30" t="str">
        <f t="shared" si="30"/>
        <v>Medical records and health information technicians</v>
      </c>
      <c r="E499">
        <f t="shared" si="29"/>
        <v>24</v>
      </c>
    </row>
    <row r="500" spans="2:5" x14ac:dyDescent="0.35">
      <c r="D500" s="30" t="str">
        <f t="shared" si="30"/>
        <v>Optometrists and opticians</v>
      </c>
      <c r="E500">
        <f t="shared" si="29"/>
        <v>16</v>
      </c>
    </row>
    <row r="501" spans="2:5" x14ac:dyDescent="0.35">
      <c r="D501" s="30" t="str">
        <f t="shared" si="30"/>
        <v>Other health management and support workers</v>
      </c>
      <c r="E501">
        <f t="shared" si="29"/>
        <v>481</v>
      </c>
    </row>
    <row r="502" spans="2:5" x14ac:dyDescent="0.35">
      <c r="D502" s="30" t="str">
        <f t="shared" si="30"/>
        <v>Other health service providers</v>
      </c>
      <c r="E502">
        <f t="shared" si="29"/>
        <v>69</v>
      </c>
    </row>
    <row r="503" spans="2:5" x14ac:dyDescent="0.35">
      <c r="D503" s="30" t="str">
        <f t="shared" si="30"/>
        <v>Medical and pathology laboratory technicians</v>
      </c>
      <c r="E503">
        <f t="shared" si="29"/>
        <v>172</v>
      </c>
    </row>
    <row r="504" spans="2:5" x14ac:dyDescent="0.35">
      <c r="D504" s="30" t="str">
        <f t="shared" si="30"/>
        <v>Paramedical practitioners (specify)</v>
      </c>
      <c r="E504">
        <f t="shared" si="29"/>
        <v>8</v>
      </c>
    </row>
    <row r="505" spans="2:5" x14ac:dyDescent="0.35">
      <c r="D505" s="30" t="str">
        <f t="shared" si="30"/>
        <v>Physiotherapists and physiotherapy assistants</v>
      </c>
      <c r="E505">
        <f t="shared" si="29"/>
        <v>13</v>
      </c>
    </row>
    <row r="506" spans="2:5" x14ac:dyDescent="0.35">
      <c r="D506" s="30" t="str">
        <f t="shared" si="30"/>
        <v>Social workers</v>
      </c>
      <c r="E506">
        <f t="shared" si="29"/>
        <v>0</v>
      </c>
    </row>
    <row r="507" spans="2:5" x14ac:dyDescent="0.35">
      <c r="D507" s="30" t="str">
        <f t="shared" si="30"/>
        <v>Speech Therapist</v>
      </c>
      <c r="E507">
        <f t="shared" si="29"/>
        <v>0</v>
      </c>
    </row>
    <row r="508" spans="2:5" x14ac:dyDescent="0.35">
      <c r="D508" s="30" t="str">
        <f t="shared" si="30"/>
        <v>Traditional and complementary medicine practitioners</v>
      </c>
      <c r="E508">
        <f t="shared" si="29"/>
        <v>1063</v>
      </c>
    </row>
    <row r="509" spans="2:5" x14ac:dyDescent="0.35">
      <c r="B509" t="e">
        <f>#REF!</f>
        <v>#REF!</v>
      </c>
      <c r="C509" t="str">
        <f>V1</f>
        <v>GNQ</v>
      </c>
      <c r="D509" s="29" t="str">
        <f t="shared" si="30"/>
        <v>Medical doctors</v>
      </c>
      <c r="E509">
        <f t="shared" ref="E509:E532" si="31">V2</f>
        <v>246</v>
      </c>
    </row>
    <row r="510" spans="2:5" x14ac:dyDescent="0.35">
      <c r="D510" s="30" t="str">
        <f t="shared" si="30"/>
        <v>Nursing Personnel</v>
      </c>
      <c r="E510">
        <f t="shared" si="31"/>
        <v>355</v>
      </c>
    </row>
    <row r="511" spans="2:5" x14ac:dyDescent="0.35">
      <c r="D511" s="30" t="str">
        <f t="shared" si="30"/>
        <v>Midwifery personnel</v>
      </c>
      <c r="E511">
        <f t="shared" si="31"/>
        <v>51</v>
      </c>
    </row>
    <row r="512" spans="2:5" x14ac:dyDescent="0.35">
      <c r="D512" s="30" t="str">
        <f t="shared" si="30"/>
        <v>Pharmacists</v>
      </c>
      <c r="E512">
        <f t="shared" si="31"/>
        <v>10</v>
      </c>
    </row>
    <row r="513" spans="4:5" x14ac:dyDescent="0.35">
      <c r="D513" s="30" t="str">
        <f t="shared" si="30"/>
        <v>Dentists</v>
      </c>
      <c r="E513">
        <f t="shared" si="31"/>
        <v>0</v>
      </c>
    </row>
    <row r="514" spans="4:5" x14ac:dyDescent="0.35">
      <c r="D514" s="30" t="str">
        <f t="shared" si="30"/>
        <v>Community health workers</v>
      </c>
      <c r="E514">
        <f t="shared" si="31"/>
        <v>0</v>
      </c>
    </row>
    <row r="515" spans="4:5" x14ac:dyDescent="0.35">
      <c r="D515" s="30" t="str">
        <f t="shared" si="30"/>
        <v>Dieticians and nutritionists</v>
      </c>
      <c r="E515">
        <f t="shared" si="31"/>
        <v>0</v>
      </c>
    </row>
    <row r="516" spans="4:5" x14ac:dyDescent="0.35">
      <c r="D516" s="30" t="str">
        <f t="shared" si="30"/>
        <v>Environmental and occupational health &amp; hygiene workers</v>
      </c>
      <c r="E516">
        <f t="shared" si="31"/>
        <v>0</v>
      </c>
    </row>
    <row r="517" spans="4:5" x14ac:dyDescent="0.35">
      <c r="D517" s="30" t="str">
        <f t="shared" si="30"/>
        <v>Health care assistants and other personal care workers in health services</v>
      </c>
      <c r="E517">
        <f t="shared" si="31"/>
        <v>1847</v>
      </c>
    </row>
    <row r="518" spans="4:5" x14ac:dyDescent="0.35">
      <c r="D518" s="30" t="str">
        <f t="shared" si="30"/>
        <v>Health service managers</v>
      </c>
      <c r="E518">
        <f t="shared" si="31"/>
        <v>0</v>
      </c>
    </row>
    <row r="519" spans="4:5" x14ac:dyDescent="0.35">
      <c r="D519" s="30" t="str">
        <f t="shared" si="30"/>
        <v>Medical and dental prosthetic technicians</v>
      </c>
      <c r="E519">
        <f t="shared" si="31"/>
        <v>5</v>
      </c>
    </row>
    <row r="520" spans="4:5" x14ac:dyDescent="0.35">
      <c r="D520" s="30" t="str">
        <f t="shared" si="30"/>
        <v>Other science professionals and technicians</v>
      </c>
      <c r="E520">
        <f t="shared" si="31"/>
        <v>134</v>
      </c>
    </row>
    <row r="521" spans="4:5" x14ac:dyDescent="0.35">
      <c r="D521" s="30" t="str">
        <f t="shared" si="30"/>
        <v>Medical assistants – clinical officers</v>
      </c>
      <c r="E521">
        <f t="shared" si="31"/>
        <v>0</v>
      </c>
    </row>
    <row r="522" spans="4:5" x14ac:dyDescent="0.35">
      <c r="D522" s="30" t="str">
        <f t="shared" si="30"/>
        <v>Medical imaging and therapeutic equipment operators</v>
      </c>
      <c r="E522">
        <f t="shared" si="31"/>
        <v>0</v>
      </c>
    </row>
    <row r="523" spans="4:5" x14ac:dyDescent="0.35">
      <c r="D523" s="30" t="str">
        <f t="shared" si="30"/>
        <v>Medical records and health information technicians</v>
      </c>
      <c r="E523">
        <f t="shared" si="31"/>
        <v>0</v>
      </c>
    </row>
    <row r="524" spans="4:5" x14ac:dyDescent="0.35">
      <c r="D524" s="30" t="str">
        <f t="shared" si="30"/>
        <v>Optometrists and opticians</v>
      </c>
      <c r="E524">
        <f t="shared" si="31"/>
        <v>0</v>
      </c>
    </row>
    <row r="525" spans="4:5" x14ac:dyDescent="0.35">
      <c r="D525" s="30" t="str">
        <f t="shared" si="30"/>
        <v>Other health management and support workers</v>
      </c>
      <c r="E525">
        <f t="shared" si="31"/>
        <v>0</v>
      </c>
    </row>
    <row r="526" spans="4:5" x14ac:dyDescent="0.35">
      <c r="D526" s="30" t="str">
        <f t="shared" si="30"/>
        <v>Other health service providers</v>
      </c>
      <c r="E526">
        <f t="shared" si="31"/>
        <v>0</v>
      </c>
    </row>
    <row r="527" spans="4:5" x14ac:dyDescent="0.35">
      <c r="D527" s="30" t="str">
        <f t="shared" si="30"/>
        <v>Medical and pathology laboratory technicians</v>
      </c>
      <c r="E527">
        <f t="shared" si="31"/>
        <v>2</v>
      </c>
    </row>
    <row r="528" spans="4:5" x14ac:dyDescent="0.35">
      <c r="D528" s="30" t="str">
        <f t="shared" si="30"/>
        <v>Paramedical practitioners (specify)</v>
      </c>
      <c r="E528">
        <f t="shared" si="31"/>
        <v>0</v>
      </c>
    </row>
    <row r="529" spans="2:5" x14ac:dyDescent="0.35">
      <c r="D529" s="30" t="str">
        <f t="shared" si="30"/>
        <v>Physiotherapists and physiotherapy assistants</v>
      </c>
      <c r="E529">
        <f t="shared" si="31"/>
        <v>0</v>
      </c>
    </row>
    <row r="530" spans="2:5" x14ac:dyDescent="0.35">
      <c r="D530" s="30" t="str">
        <f t="shared" si="30"/>
        <v>Social workers</v>
      </c>
      <c r="E530">
        <f t="shared" si="31"/>
        <v>0</v>
      </c>
    </row>
    <row r="531" spans="2:5" x14ac:dyDescent="0.35">
      <c r="D531" s="30" t="str">
        <f t="shared" si="30"/>
        <v>Speech Therapist</v>
      </c>
      <c r="E531">
        <f t="shared" si="31"/>
        <v>0</v>
      </c>
    </row>
    <row r="532" spans="2:5" x14ac:dyDescent="0.35">
      <c r="D532" s="30" t="str">
        <f t="shared" si="30"/>
        <v>Traditional and complementary medicine practitioners</v>
      </c>
      <c r="E532">
        <f t="shared" si="31"/>
        <v>0</v>
      </c>
    </row>
    <row r="533" spans="2:5" x14ac:dyDescent="0.35">
      <c r="B533" t="e">
        <f>#REF!</f>
        <v>#REF!</v>
      </c>
      <c r="C533" t="str">
        <f>W1</f>
        <v>KEN</v>
      </c>
      <c r="D533" s="29" t="str">
        <f t="shared" si="30"/>
        <v>Medical doctors</v>
      </c>
      <c r="E533">
        <f t="shared" ref="E533:E556" si="32">W2</f>
        <v>8042</v>
      </c>
    </row>
    <row r="534" spans="2:5" x14ac:dyDescent="0.35">
      <c r="D534" s="30" t="str">
        <f t="shared" si="30"/>
        <v>Nursing Personnel</v>
      </c>
      <c r="E534">
        <f t="shared" si="32"/>
        <v>59901</v>
      </c>
    </row>
    <row r="535" spans="2:5" x14ac:dyDescent="0.35">
      <c r="D535" s="30" t="str">
        <f t="shared" si="30"/>
        <v>Midwifery personnel</v>
      </c>
      <c r="E535">
        <f t="shared" si="32"/>
        <v>0</v>
      </c>
    </row>
    <row r="536" spans="2:5" x14ac:dyDescent="0.35">
      <c r="D536" s="30" t="str">
        <f t="shared" si="30"/>
        <v>Pharmacists</v>
      </c>
      <c r="E536">
        <f t="shared" si="32"/>
        <v>2295</v>
      </c>
    </row>
    <row r="537" spans="2:5" x14ac:dyDescent="0.35">
      <c r="D537" s="30" t="str">
        <f t="shared" si="30"/>
        <v>Dentists</v>
      </c>
      <c r="E537">
        <f t="shared" si="32"/>
        <v>1764</v>
      </c>
    </row>
    <row r="538" spans="2:5" x14ac:dyDescent="0.35">
      <c r="D538" s="30" t="str">
        <f t="shared" si="30"/>
        <v>Community health workers</v>
      </c>
      <c r="E538">
        <f t="shared" si="32"/>
        <v>58079</v>
      </c>
    </row>
    <row r="539" spans="2:5" x14ac:dyDescent="0.35">
      <c r="D539" s="30" t="str">
        <f t="shared" si="30"/>
        <v>Dieticians and nutritionists</v>
      </c>
      <c r="E539">
        <f t="shared" si="32"/>
        <v>1147</v>
      </c>
    </row>
    <row r="540" spans="2:5" x14ac:dyDescent="0.35">
      <c r="D540" s="30" t="str">
        <f t="shared" si="30"/>
        <v>Environmental and occupational health &amp; hygiene workers</v>
      </c>
      <c r="E540">
        <f t="shared" si="32"/>
        <v>5310</v>
      </c>
    </row>
    <row r="541" spans="2:5" x14ac:dyDescent="0.35">
      <c r="D541" s="30" t="str">
        <f t="shared" si="30"/>
        <v>Health care assistants and other personal care workers in health services</v>
      </c>
      <c r="E541">
        <f t="shared" si="32"/>
        <v>0</v>
      </c>
    </row>
    <row r="542" spans="2:5" x14ac:dyDescent="0.35">
      <c r="D542" s="30" t="str">
        <f t="shared" si="30"/>
        <v>Health service managers</v>
      </c>
      <c r="E542">
        <f t="shared" si="32"/>
        <v>0</v>
      </c>
    </row>
    <row r="543" spans="2:5" x14ac:dyDescent="0.35">
      <c r="D543" s="30" t="str">
        <f t="shared" si="30"/>
        <v>Medical and dental prosthetic technicians</v>
      </c>
      <c r="E543">
        <f t="shared" si="32"/>
        <v>468</v>
      </c>
    </row>
    <row r="544" spans="2:5" x14ac:dyDescent="0.35">
      <c r="D544" s="30" t="str">
        <f t="shared" si="30"/>
        <v>Other science professionals and technicians</v>
      </c>
      <c r="E544">
        <f t="shared" si="32"/>
        <v>0</v>
      </c>
    </row>
    <row r="545" spans="2:5" x14ac:dyDescent="0.35">
      <c r="D545" s="30" t="str">
        <f t="shared" si="30"/>
        <v>Medical assistants – clinical officers</v>
      </c>
      <c r="E545">
        <f t="shared" si="32"/>
        <v>0</v>
      </c>
    </row>
    <row r="546" spans="2:5" x14ac:dyDescent="0.35">
      <c r="D546" s="30" t="str">
        <f t="shared" si="30"/>
        <v>Medical imaging and therapeutic equipment operators</v>
      </c>
      <c r="E546">
        <f t="shared" si="32"/>
        <v>430</v>
      </c>
    </row>
    <row r="547" spans="2:5" x14ac:dyDescent="0.35">
      <c r="D547" s="30" t="str">
        <f t="shared" si="30"/>
        <v>Medical records and health information technicians</v>
      </c>
      <c r="E547">
        <f t="shared" si="32"/>
        <v>2419</v>
      </c>
    </row>
    <row r="548" spans="2:5" x14ac:dyDescent="0.35">
      <c r="D548" s="30" t="str">
        <f t="shared" si="30"/>
        <v>Optometrists and opticians</v>
      </c>
      <c r="E548">
        <f t="shared" si="32"/>
        <v>0</v>
      </c>
    </row>
    <row r="549" spans="2:5" x14ac:dyDescent="0.35">
      <c r="D549" s="30" t="str">
        <f t="shared" si="30"/>
        <v>Other health management and support workers</v>
      </c>
      <c r="E549">
        <f t="shared" si="32"/>
        <v>2759</v>
      </c>
    </row>
    <row r="550" spans="2:5" x14ac:dyDescent="0.35">
      <c r="D550" s="30" t="str">
        <f t="shared" si="30"/>
        <v>Other health service providers</v>
      </c>
      <c r="E550">
        <f t="shared" si="32"/>
        <v>0</v>
      </c>
    </row>
    <row r="551" spans="2:5" x14ac:dyDescent="0.35">
      <c r="D551" s="30" t="str">
        <f t="shared" si="30"/>
        <v>Medical and pathology laboratory technicians</v>
      </c>
      <c r="E551">
        <f t="shared" si="32"/>
        <v>0</v>
      </c>
    </row>
    <row r="552" spans="2:5" x14ac:dyDescent="0.35">
      <c r="D552" s="30" t="str">
        <f t="shared" si="30"/>
        <v>Paramedical practitioners (specify)</v>
      </c>
      <c r="E552">
        <f t="shared" si="32"/>
        <v>21942</v>
      </c>
    </row>
    <row r="553" spans="2:5" x14ac:dyDescent="0.35">
      <c r="D553" s="30" t="str">
        <f t="shared" si="30"/>
        <v>Physiotherapists and physiotherapy assistants</v>
      </c>
      <c r="E553">
        <f t="shared" si="32"/>
        <v>0</v>
      </c>
    </row>
    <row r="554" spans="2:5" x14ac:dyDescent="0.35">
      <c r="D554" s="30" t="str">
        <f t="shared" si="30"/>
        <v>Social workers</v>
      </c>
      <c r="E554">
        <f t="shared" si="32"/>
        <v>0</v>
      </c>
    </row>
    <row r="555" spans="2:5" x14ac:dyDescent="0.35">
      <c r="D555" s="30" t="str">
        <f t="shared" si="30"/>
        <v>Speech Therapist</v>
      </c>
      <c r="E555">
        <f t="shared" si="32"/>
        <v>0</v>
      </c>
    </row>
    <row r="556" spans="2:5" x14ac:dyDescent="0.35">
      <c r="D556" s="30" t="str">
        <f t="shared" si="30"/>
        <v>Traditional and complementary medicine practitioners</v>
      </c>
      <c r="E556">
        <f t="shared" si="32"/>
        <v>0</v>
      </c>
    </row>
    <row r="557" spans="2:5" x14ac:dyDescent="0.35">
      <c r="B557" t="e">
        <f>#REF!</f>
        <v>#REF!</v>
      </c>
      <c r="C557" t="str">
        <f>X1</f>
        <v>LBR</v>
      </c>
      <c r="D557" s="29" t="str">
        <f t="shared" ref="D557:D620" si="33">D533</f>
        <v>Medical doctors</v>
      </c>
      <c r="E557">
        <f t="shared" ref="E557:E580" si="34">X2</f>
        <v>246</v>
      </c>
    </row>
    <row r="558" spans="2:5" x14ac:dyDescent="0.35">
      <c r="D558" s="30" t="str">
        <f t="shared" si="33"/>
        <v>Nursing Personnel</v>
      </c>
      <c r="E558">
        <f t="shared" si="34"/>
        <v>8488</v>
      </c>
    </row>
    <row r="559" spans="2:5" x14ac:dyDescent="0.35">
      <c r="D559" s="30" t="str">
        <f t="shared" si="33"/>
        <v>Midwifery personnel</v>
      </c>
      <c r="E559">
        <f t="shared" si="34"/>
        <v>927</v>
      </c>
    </row>
    <row r="560" spans="2:5" x14ac:dyDescent="0.35">
      <c r="D560" s="30" t="str">
        <f t="shared" si="33"/>
        <v>Pharmacists</v>
      </c>
      <c r="E560">
        <f t="shared" si="34"/>
        <v>1071</v>
      </c>
    </row>
    <row r="561" spans="4:5" x14ac:dyDescent="0.35">
      <c r="D561" s="30" t="str">
        <f t="shared" si="33"/>
        <v>Dentists</v>
      </c>
      <c r="E561">
        <f t="shared" si="34"/>
        <v>24</v>
      </c>
    </row>
    <row r="562" spans="4:5" x14ac:dyDescent="0.35">
      <c r="D562" s="30" t="str">
        <f t="shared" si="33"/>
        <v>Community health workers</v>
      </c>
      <c r="E562">
        <f t="shared" si="34"/>
        <v>3391</v>
      </c>
    </row>
    <row r="563" spans="4:5" x14ac:dyDescent="0.35">
      <c r="D563" s="30" t="str">
        <f t="shared" si="33"/>
        <v>Dieticians and nutritionists</v>
      </c>
      <c r="E563">
        <f t="shared" si="34"/>
        <v>0</v>
      </c>
    </row>
    <row r="564" spans="4:5" x14ac:dyDescent="0.35">
      <c r="D564" s="30" t="str">
        <f t="shared" si="33"/>
        <v>Environmental and occupational health &amp; hygiene workers</v>
      </c>
      <c r="E564">
        <f t="shared" si="34"/>
        <v>285</v>
      </c>
    </row>
    <row r="565" spans="4:5" x14ac:dyDescent="0.35">
      <c r="D565" s="30" t="str">
        <f t="shared" si="33"/>
        <v>Health care assistants and other personal care workers in health services</v>
      </c>
      <c r="E565">
        <f t="shared" si="34"/>
        <v>148</v>
      </c>
    </row>
    <row r="566" spans="4:5" x14ac:dyDescent="0.35">
      <c r="D566" s="30" t="str">
        <f t="shared" si="33"/>
        <v>Health service managers</v>
      </c>
      <c r="E566">
        <f t="shared" si="34"/>
        <v>1404</v>
      </c>
    </row>
    <row r="567" spans="4:5" x14ac:dyDescent="0.35">
      <c r="D567" s="30" t="str">
        <f t="shared" si="33"/>
        <v>Medical and dental prosthetic technicians</v>
      </c>
      <c r="E567">
        <f t="shared" si="34"/>
        <v>0</v>
      </c>
    </row>
    <row r="568" spans="4:5" x14ac:dyDescent="0.35">
      <c r="D568" s="30" t="str">
        <f t="shared" si="33"/>
        <v>Other science professionals and technicians</v>
      </c>
      <c r="E568">
        <f t="shared" si="34"/>
        <v>115</v>
      </c>
    </row>
    <row r="569" spans="4:5" x14ac:dyDescent="0.35">
      <c r="D569" s="30" t="str">
        <f t="shared" si="33"/>
        <v>Medical assistants – clinical officers</v>
      </c>
      <c r="E569">
        <f t="shared" si="34"/>
        <v>527</v>
      </c>
    </row>
    <row r="570" spans="4:5" x14ac:dyDescent="0.35">
      <c r="D570" s="30" t="str">
        <f t="shared" si="33"/>
        <v>Medical imaging and therapeutic equipment operators</v>
      </c>
      <c r="E570">
        <f t="shared" si="34"/>
        <v>9</v>
      </c>
    </row>
    <row r="571" spans="4:5" x14ac:dyDescent="0.35">
      <c r="D571" s="30" t="str">
        <f t="shared" si="33"/>
        <v>Medical records and health information technicians</v>
      </c>
      <c r="E571">
        <f t="shared" si="34"/>
        <v>65</v>
      </c>
    </row>
    <row r="572" spans="4:5" x14ac:dyDescent="0.35">
      <c r="D572" s="30" t="str">
        <f t="shared" si="33"/>
        <v>Optometrists and opticians</v>
      </c>
      <c r="E572">
        <f t="shared" si="34"/>
        <v>5</v>
      </c>
    </row>
    <row r="573" spans="4:5" x14ac:dyDescent="0.35">
      <c r="D573" s="30" t="str">
        <f t="shared" si="33"/>
        <v>Other health management and support workers</v>
      </c>
      <c r="E573">
        <f t="shared" si="34"/>
        <v>4311</v>
      </c>
    </row>
    <row r="574" spans="4:5" x14ac:dyDescent="0.35">
      <c r="D574" s="30" t="str">
        <f t="shared" si="33"/>
        <v>Other health service providers</v>
      </c>
      <c r="E574">
        <f t="shared" si="34"/>
        <v>3601</v>
      </c>
    </row>
    <row r="575" spans="4:5" x14ac:dyDescent="0.35">
      <c r="D575" s="30" t="str">
        <f t="shared" si="33"/>
        <v>Medical and pathology laboratory technicians</v>
      </c>
      <c r="E575">
        <f t="shared" si="34"/>
        <v>0</v>
      </c>
    </row>
    <row r="576" spans="4:5" x14ac:dyDescent="0.35">
      <c r="D576" s="30" t="str">
        <f t="shared" si="33"/>
        <v>Paramedical practitioners (specify)</v>
      </c>
      <c r="E576">
        <f t="shared" si="34"/>
        <v>0</v>
      </c>
    </row>
    <row r="577" spans="2:5" x14ac:dyDescent="0.35">
      <c r="D577" s="30" t="str">
        <f t="shared" si="33"/>
        <v>Physiotherapists and physiotherapy assistants</v>
      </c>
      <c r="E577">
        <f t="shared" si="34"/>
        <v>3</v>
      </c>
    </row>
    <row r="578" spans="2:5" x14ac:dyDescent="0.35">
      <c r="D578" s="30" t="str">
        <f t="shared" si="33"/>
        <v>Social workers</v>
      </c>
      <c r="E578">
        <f t="shared" si="34"/>
        <v>0</v>
      </c>
    </row>
    <row r="579" spans="2:5" x14ac:dyDescent="0.35">
      <c r="D579" s="30" t="str">
        <f t="shared" si="33"/>
        <v>Speech Therapist</v>
      </c>
      <c r="E579">
        <f t="shared" si="34"/>
        <v>0</v>
      </c>
    </row>
    <row r="580" spans="2:5" x14ac:dyDescent="0.35">
      <c r="D580" s="30" t="str">
        <f t="shared" si="33"/>
        <v>Traditional and complementary medicine practitioners</v>
      </c>
      <c r="E580">
        <f t="shared" si="34"/>
        <v>0</v>
      </c>
    </row>
    <row r="581" spans="2:5" x14ac:dyDescent="0.35">
      <c r="B581" t="e">
        <f>#REF!</f>
        <v>#REF!</v>
      </c>
      <c r="C581" t="str">
        <f>Y1</f>
        <v>LSO</v>
      </c>
      <c r="D581" s="29" t="str">
        <f t="shared" si="33"/>
        <v>Medical doctors</v>
      </c>
      <c r="E581">
        <f t="shared" ref="E581:E604" si="35">Y2</f>
        <v>998</v>
      </c>
    </row>
    <row r="582" spans="2:5" x14ac:dyDescent="0.35">
      <c r="D582" s="30" t="str">
        <f t="shared" si="33"/>
        <v>Nursing Personnel</v>
      </c>
      <c r="E582">
        <f t="shared" si="35"/>
        <v>967</v>
      </c>
    </row>
    <row r="583" spans="2:5" x14ac:dyDescent="0.35">
      <c r="D583" s="30" t="str">
        <f t="shared" si="33"/>
        <v>Midwifery personnel</v>
      </c>
      <c r="E583">
        <f t="shared" si="35"/>
        <v>2779</v>
      </c>
    </row>
    <row r="584" spans="2:5" x14ac:dyDescent="0.35">
      <c r="D584" s="30" t="str">
        <f t="shared" si="33"/>
        <v>Pharmacists</v>
      </c>
      <c r="E584">
        <f t="shared" si="35"/>
        <v>398</v>
      </c>
    </row>
    <row r="585" spans="2:5" x14ac:dyDescent="0.35">
      <c r="D585" s="30" t="str">
        <f t="shared" si="33"/>
        <v>Dentists</v>
      </c>
      <c r="E585">
        <f t="shared" si="35"/>
        <v>159</v>
      </c>
    </row>
    <row r="586" spans="2:5" x14ac:dyDescent="0.35">
      <c r="D586" s="30" t="str">
        <f t="shared" si="33"/>
        <v>Community health workers</v>
      </c>
      <c r="E586">
        <f t="shared" si="35"/>
        <v>14508</v>
      </c>
    </row>
    <row r="587" spans="2:5" x14ac:dyDescent="0.35">
      <c r="D587" s="30" t="str">
        <f t="shared" si="33"/>
        <v>Dieticians and nutritionists</v>
      </c>
      <c r="E587">
        <f t="shared" si="35"/>
        <v>29</v>
      </c>
    </row>
    <row r="588" spans="2:5" x14ac:dyDescent="0.35">
      <c r="D588" s="30" t="str">
        <f t="shared" si="33"/>
        <v>Environmental and occupational health &amp; hygiene workers</v>
      </c>
      <c r="E588">
        <f t="shared" si="35"/>
        <v>144</v>
      </c>
    </row>
    <row r="589" spans="2:5" x14ac:dyDescent="0.35">
      <c r="D589" s="30" t="str">
        <f t="shared" si="33"/>
        <v>Health care assistants and other personal care workers in health services</v>
      </c>
      <c r="E589">
        <f t="shared" si="35"/>
        <v>849</v>
      </c>
    </row>
    <row r="590" spans="2:5" x14ac:dyDescent="0.35">
      <c r="D590" s="30" t="str">
        <f t="shared" si="33"/>
        <v>Health service managers</v>
      </c>
      <c r="E590">
        <f t="shared" si="35"/>
        <v>110</v>
      </c>
    </row>
    <row r="591" spans="2:5" x14ac:dyDescent="0.35">
      <c r="D591" s="30" t="str">
        <f t="shared" si="33"/>
        <v>Medical and dental prosthetic technicians</v>
      </c>
      <c r="E591">
        <f t="shared" si="35"/>
        <v>10</v>
      </c>
    </row>
    <row r="592" spans="2:5" x14ac:dyDescent="0.35">
      <c r="D592" s="30" t="str">
        <f t="shared" si="33"/>
        <v>Other science professionals and technicians</v>
      </c>
      <c r="E592">
        <f t="shared" si="35"/>
        <v>416</v>
      </c>
    </row>
    <row r="593" spans="2:5" x14ac:dyDescent="0.35">
      <c r="D593" s="30" t="str">
        <f t="shared" si="33"/>
        <v>Medical assistants – clinical officers</v>
      </c>
      <c r="E593">
        <f t="shared" si="35"/>
        <v>71</v>
      </c>
    </row>
    <row r="594" spans="2:5" x14ac:dyDescent="0.35">
      <c r="D594" s="30" t="str">
        <f t="shared" si="33"/>
        <v>Medical imaging and therapeutic equipment operators</v>
      </c>
      <c r="E594">
        <f t="shared" si="35"/>
        <v>41</v>
      </c>
    </row>
    <row r="595" spans="2:5" x14ac:dyDescent="0.35">
      <c r="D595" s="30" t="str">
        <f t="shared" si="33"/>
        <v>Medical records and health information technicians</v>
      </c>
      <c r="E595">
        <f t="shared" si="35"/>
        <v>349</v>
      </c>
    </row>
    <row r="596" spans="2:5" x14ac:dyDescent="0.35">
      <c r="D596" s="30" t="str">
        <f t="shared" si="33"/>
        <v>Optometrists and opticians</v>
      </c>
      <c r="E596">
        <f t="shared" si="35"/>
        <v>8</v>
      </c>
    </row>
    <row r="597" spans="2:5" x14ac:dyDescent="0.35">
      <c r="D597" s="30" t="str">
        <f t="shared" si="33"/>
        <v>Other health management and support workers</v>
      </c>
      <c r="E597">
        <f t="shared" si="35"/>
        <v>2130</v>
      </c>
    </row>
    <row r="598" spans="2:5" x14ac:dyDescent="0.35">
      <c r="D598" s="30" t="str">
        <f t="shared" si="33"/>
        <v>Other health service providers</v>
      </c>
      <c r="E598">
        <f t="shared" si="35"/>
        <v>58</v>
      </c>
    </row>
    <row r="599" spans="2:5" x14ac:dyDescent="0.35">
      <c r="D599" s="30" t="str">
        <f t="shared" si="33"/>
        <v>Medical and pathology laboratory technicians</v>
      </c>
      <c r="E599">
        <f t="shared" si="35"/>
        <v>205</v>
      </c>
    </row>
    <row r="600" spans="2:5" x14ac:dyDescent="0.35">
      <c r="D600" s="30" t="str">
        <f t="shared" si="33"/>
        <v>Paramedical practitioners (specify)</v>
      </c>
      <c r="E600">
        <f t="shared" si="35"/>
        <v>4</v>
      </c>
    </row>
    <row r="601" spans="2:5" x14ac:dyDescent="0.35">
      <c r="D601" s="30" t="str">
        <f t="shared" si="33"/>
        <v>Physiotherapists and physiotherapy assistants</v>
      </c>
      <c r="E601">
        <f t="shared" si="35"/>
        <v>22</v>
      </c>
    </row>
    <row r="602" spans="2:5" x14ac:dyDescent="0.35">
      <c r="D602" s="30" t="str">
        <f t="shared" si="33"/>
        <v>Social workers</v>
      </c>
      <c r="E602">
        <f t="shared" si="35"/>
        <v>0</v>
      </c>
    </row>
    <row r="603" spans="2:5" x14ac:dyDescent="0.35">
      <c r="D603" s="30" t="str">
        <f t="shared" si="33"/>
        <v>Speech Therapist</v>
      </c>
      <c r="E603">
        <f t="shared" si="35"/>
        <v>0</v>
      </c>
    </row>
    <row r="604" spans="2:5" x14ac:dyDescent="0.35">
      <c r="D604" s="30" t="str">
        <f t="shared" si="33"/>
        <v>Traditional and complementary medicine practitioners</v>
      </c>
      <c r="E604">
        <f t="shared" si="35"/>
        <v>6097</v>
      </c>
    </row>
    <row r="605" spans="2:5" x14ac:dyDescent="0.35">
      <c r="B605" t="e">
        <f>#REF!</f>
        <v>#REF!</v>
      </c>
      <c r="C605" t="str">
        <f>Z1</f>
        <v>MDG</v>
      </c>
      <c r="D605" s="29" t="str">
        <f t="shared" si="33"/>
        <v>Medical doctors</v>
      </c>
      <c r="E605">
        <f t="shared" ref="E605:E628" si="36">Z2</f>
        <v>5230</v>
      </c>
    </row>
    <row r="606" spans="2:5" x14ac:dyDescent="0.35">
      <c r="D606" s="30" t="str">
        <f t="shared" si="33"/>
        <v>Nursing Personnel</v>
      </c>
      <c r="E606">
        <f t="shared" si="36"/>
        <v>4560</v>
      </c>
    </row>
    <row r="607" spans="2:5" x14ac:dyDescent="0.35">
      <c r="D607" s="30" t="str">
        <f t="shared" si="33"/>
        <v>Midwifery personnel</v>
      </c>
      <c r="E607">
        <f t="shared" si="36"/>
        <v>3164</v>
      </c>
    </row>
    <row r="608" spans="2:5" x14ac:dyDescent="0.35">
      <c r="D608" s="30" t="str">
        <f t="shared" si="33"/>
        <v>Pharmacists</v>
      </c>
      <c r="E608">
        <f t="shared" si="36"/>
        <v>329</v>
      </c>
    </row>
    <row r="609" spans="4:5" x14ac:dyDescent="0.35">
      <c r="D609" s="30" t="str">
        <f t="shared" si="33"/>
        <v>Dentists</v>
      </c>
      <c r="E609">
        <f t="shared" si="36"/>
        <v>556</v>
      </c>
    </row>
    <row r="610" spans="4:5" x14ac:dyDescent="0.35">
      <c r="D610" s="30" t="str">
        <f t="shared" si="33"/>
        <v>Community health workers</v>
      </c>
      <c r="E610">
        <f t="shared" si="36"/>
        <v>35000</v>
      </c>
    </row>
    <row r="611" spans="4:5" x14ac:dyDescent="0.35">
      <c r="D611" s="30" t="str">
        <f t="shared" si="33"/>
        <v>Dieticians and nutritionists</v>
      </c>
      <c r="E611">
        <f t="shared" si="36"/>
        <v>414</v>
      </c>
    </row>
    <row r="612" spans="4:5" x14ac:dyDescent="0.35">
      <c r="D612" s="30" t="str">
        <f t="shared" si="33"/>
        <v>Environmental and occupational health &amp; hygiene workers</v>
      </c>
      <c r="E612">
        <f t="shared" si="36"/>
        <v>15</v>
      </c>
    </row>
    <row r="613" spans="4:5" x14ac:dyDescent="0.35">
      <c r="D613" s="30" t="str">
        <f t="shared" si="33"/>
        <v>Health care assistants and other personal care workers in health services</v>
      </c>
      <c r="E613">
        <f t="shared" si="36"/>
        <v>311</v>
      </c>
    </row>
    <row r="614" spans="4:5" x14ac:dyDescent="0.35">
      <c r="D614" s="30" t="str">
        <f t="shared" si="33"/>
        <v>Health service managers</v>
      </c>
      <c r="E614">
        <f t="shared" si="36"/>
        <v>411</v>
      </c>
    </row>
    <row r="615" spans="4:5" x14ac:dyDescent="0.35">
      <c r="D615" s="30" t="str">
        <f t="shared" si="33"/>
        <v>Medical and dental prosthetic technicians</v>
      </c>
      <c r="E615">
        <f t="shared" si="36"/>
        <v>52</v>
      </c>
    </row>
    <row r="616" spans="4:5" x14ac:dyDescent="0.35">
      <c r="D616" s="30" t="str">
        <f t="shared" si="33"/>
        <v>Other science professionals and technicians</v>
      </c>
      <c r="E616">
        <f t="shared" si="36"/>
        <v>0</v>
      </c>
    </row>
    <row r="617" spans="4:5" x14ac:dyDescent="0.35">
      <c r="D617" s="30" t="str">
        <f t="shared" si="33"/>
        <v>Medical assistants – clinical officers</v>
      </c>
      <c r="E617">
        <f t="shared" si="36"/>
        <v>0</v>
      </c>
    </row>
    <row r="618" spans="4:5" x14ac:dyDescent="0.35">
      <c r="D618" s="30" t="str">
        <f t="shared" si="33"/>
        <v>Medical imaging and therapeutic equipment operators</v>
      </c>
      <c r="E618">
        <f t="shared" si="36"/>
        <v>214</v>
      </c>
    </row>
    <row r="619" spans="4:5" x14ac:dyDescent="0.35">
      <c r="D619" s="30" t="str">
        <f t="shared" si="33"/>
        <v>Medical records and health information technicians</v>
      </c>
      <c r="E619">
        <f t="shared" si="36"/>
        <v>11</v>
      </c>
    </row>
    <row r="620" spans="4:5" x14ac:dyDescent="0.35">
      <c r="D620" s="30" t="str">
        <f t="shared" si="33"/>
        <v>Optometrists and opticians</v>
      </c>
      <c r="E620">
        <f t="shared" si="36"/>
        <v>56</v>
      </c>
    </row>
    <row r="621" spans="4:5" x14ac:dyDescent="0.35">
      <c r="D621" s="30" t="str">
        <f t="shared" ref="D621:D684" si="37">D597</f>
        <v>Other health management and support workers</v>
      </c>
      <c r="E621">
        <f t="shared" si="36"/>
        <v>6355</v>
      </c>
    </row>
    <row r="622" spans="4:5" x14ac:dyDescent="0.35">
      <c r="D622" s="30" t="str">
        <f t="shared" si="37"/>
        <v>Other health service providers</v>
      </c>
      <c r="E622">
        <f t="shared" si="36"/>
        <v>0</v>
      </c>
    </row>
    <row r="623" spans="4:5" x14ac:dyDescent="0.35">
      <c r="D623" s="30" t="str">
        <f t="shared" si="37"/>
        <v>Medical and pathology laboratory technicians</v>
      </c>
      <c r="E623">
        <f t="shared" si="36"/>
        <v>306</v>
      </c>
    </row>
    <row r="624" spans="4:5" x14ac:dyDescent="0.35">
      <c r="D624" s="30" t="str">
        <f t="shared" si="37"/>
        <v>Paramedical practitioners (specify)</v>
      </c>
      <c r="E624">
        <f t="shared" si="36"/>
        <v>0</v>
      </c>
    </row>
    <row r="625" spans="2:5" x14ac:dyDescent="0.35">
      <c r="D625" s="30" t="str">
        <f t="shared" si="37"/>
        <v>Physiotherapists and physiotherapy assistants</v>
      </c>
      <c r="E625">
        <f t="shared" si="36"/>
        <v>99</v>
      </c>
    </row>
    <row r="626" spans="2:5" x14ac:dyDescent="0.35">
      <c r="D626" s="30" t="str">
        <f t="shared" si="37"/>
        <v>Social workers</v>
      </c>
      <c r="E626">
        <f t="shared" si="36"/>
        <v>0</v>
      </c>
    </row>
    <row r="627" spans="2:5" x14ac:dyDescent="0.35">
      <c r="D627" s="30" t="str">
        <f t="shared" si="37"/>
        <v>Speech Therapist</v>
      </c>
      <c r="E627">
        <f t="shared" si="36"/>
        <v>0</v>
      </c>
    </row>
    <row r="628" spans="2:5" x14ac:dyDescent="0.35">
      <c r="D628" s="30" t="str">
        <f t="shared" si="37"/>
        <v>Traditional and complementary medicine practitioners</v>
      </c>
      <c r="E628">
        <f t="shared" si="36"/>
        <v>602</v>
      </c>
    </row>
    <row r="629" spans="2:5" x14ac:dyDescent="0.35">
      <c r="B629" t="e">
        <f>#REF!</f>
        <v>#REF!</v>
      </c>
      <c r="C629" t="str">
        <f>AA1</f>
        <v>MLI</v>
      </c>
      <c r="D629" s="29" t="str">
        <f t="shared" si="37"/>
        <v>Medical doctors</v>
      </c>
      <c r="E629">
        <f t="shared" ref="E629:E652" si="38">AA2</f>
        <v>2866</v>
      </c>
    </row>
    <row r="630" spans="2:5" x14ac:dyDescent="0.35">
      <c r="D630" s="30" t="str">
        <f t="shared" si="37"/>
        <v>Nursing Personnel</v>
      </c>
      <c r="E630">
        <f t="shared" si="38"/>
        <v>5225</v>
      </c>
    </row>
    <row r="631" spans="2:5" x14ac:dyDescent="0.35">
      <c r="D631" s="30" t="str">
        <f t="shared" si="37"/>
        <v>Midwifery personnel</v>
      </c>
      <c r="E631">
        <f t="shared" si="38"/>
        <v>3169</v>
      </c>
    </row>
    <row r="632" spans="2:5" x14ac:dyDescent="0.35">
      <c r="D632" s="30" t="str">
        <f t="shared" si="37"/>
        <v>Pharmacists</v>
      </c>
      <c r="E632">
        <f t="shared" si="38"/>
        <v>1424</v>
      </c>
    </row>
    <row r="633" spans="2:5" x14ac:dyDescent="0.35">
      <c r="D633" s="30" t="str">
        <f t="shared" si="37"/>
        <v>Dentists</v>
      </c>
      <c r="E633">
        <f t="shared" si="38"/>
        <v>30</v>
      </c>
    </row>
    <row r="634" spans="2:5" x14ac:dyDescent="0.35">
      <c r="D634" s="30" t="str">
        <f t="shared" si="37"/>
        <v>Community health workers</v>
      </c>
      <c r="E634">
        <f t="shared" si="38"/>
        <v>1152</v>
      </c>
    </row>
    <row r="635" spans="2:5" x14ac:dyDescent="0.35">
      <c r="D635" s="30" t="str">
        <f t="shared" si="37"/>
        <v>Dieticians and nutritionists</v>
      </c>
      <c r="E635">
        <f t="shared" si="38"/>
        <v>7</v>
      </c>
    </row>
    <row r="636" spans="2:5" x14ac:dyDescent="0.35">
      <c r="D636" s="30" t="str">
        <f t="shared" si="37"/>
        <v>Environmental and occupational health &amp; hygiene workers</v>
      </c>
      <c r="E636">
        <f t="shared" si="38"/>
        <v>78</v>
      </c>
    </row>
    <row r="637" spans="2:5" x14ac:dyDescent="0.35">
      <c r="D637" s="30" t="str">
        <f t="shared" si="37"/>
        <v>Health care assistants and other personal care workers in health services</v>
      </c>
      <c r="E637">
        <f t="shared" si="38"/>
        <v>2153</v>
      </c>
    </row>
    <row r="638" spans="2:5" x14ac:dyDescent="0.35">
      <c r="D638" s="30" t="str">
        <f t="shared" si="37"/>
        <v>Health service managers</v>
      </c>
      <c r="E638">
        <f t="shared" si="38"/>
        <v>25</v>
      </c>
    </row>
    <row r="639" spans="2:5" x14ac:dyDescent="0.35">
      <c r="D639" s="30" t="str">
        <f t="shared" si="37"/>
        <v>Medical and dental prosthetic technicians</v>
      </c>
      <c r="E639">
        <f t="shared" si="38"/>
        <v>0</v>
      </c>
    </row>
    <row r="640" spans="2:5" x14ac:dyDescent="0.35">
      <c r="D640" s="30" t="str">
        <f t="shared" si="37"/>
        <v>Other science professionals and technicians</v>
      </c>
      <c r="E640">
        <f t="shared" si="38"/>
        <v>1496</v>
      </c>
    </row>
    <row r="641" spans="2:5" x14ac:dyDescent="0.35">
      <c r="D641" s="30" t="str">
        <f t="shared" si="37"/>
        <v>Medical assistants – clinical officers</v>
      </c>
      <c r="E641">
        <f t="shared" si="38"/>
        <v>1041</v>
      </c>
    </row>
    <row r="642" spans="2:5" x14ac:dyDescent="0.35">
      <c r="D642" s="30" t="str">
        <f t="shared" si="37"/>
        <v>Medical imaging and therapeutic equipment operators</v>
      </c>
      <c r="E642">
        <f t="shared" si="38"/>
        <v>0</v>
      </c>
    </row>
    <row r="643" spans="2:5" x14ac:dyDescent="0.35">
      <c r="D643" s="30" t="str">
        <f t="shared" si="37"/>
        <v>Medical records and health information technicians</v>
      </c>
      <c r="E643">
        <f t="shared" si="38"/>
        <v>0</v>
      </c>
    </row>
    <row r="644" spans="2:5" x14ac:dyDescent="0.35">
      <c r="D644" s="30" t="str">
        <f t="shared" si="37"/>
        <v>Optometrists and opticians</v>
      </c>
      <c r="E644">
        <f t="shared" si="38"/>
        <v>0</v>
      </c>
    </row>
    <row r="645" spans="2:5" x14ac:dyDescent="0.35">
      <c r="D645" s="30" t="str">
        <f t="shared" si="37"/>
        <v>Other health management and support workers</v>
      </c>
      <c r="E645">
        <f t="shared" si="38"/>
        <v>8306</v>
      </c>
    </row>
    <row r="646" spans="2:5" x14ac:dyDescent="0.35">
      <c r="D646" s="30" t="str">
        <f t="shared" si="37"/>
        <v>Other health service providers</v>
      </c>
      <c r="E646">
        <f t="shared" si="38"/>
        <v>0</v>
      </c>
    </row>
    <row r="647" spans="2:5" x14ac:dyDescent="0.35">
      <c r="D647" s="30" t="str">
        <f t="shared" si="37"/>
        <v>Medical and pathology laboratory technicians</v>
      </c>
      <c r="E647">
        <f t="shared" si="38"/>
        <v>0</v>
      </c>
    </row>
    <row r="648" spans="2:5" x14ac:dyDescent="0.35">
      <c r="D648" s="30" t="str">
        <f t="shared" si="37"/>
        <v>Paramedical practitioners (specify)</v>
      </c>
      <c r="E648">
        <f t="shared" si="38"/>
        <v>0</v>
      </c>
    </row>
    <row r="649" spans="2:5" x14ac:dyDescent="0.35">
      <c r="D649" s="30" t="str">
        <f t="shared" si="37"/>
        <v>Physiotherapists and physiotherapy assistants</v>
      </c>
      <c r="E649">
        <f t="shared" si="38"/>
        <v>0</v>
      </c>
    </row>
    <row r="650" spans="2:5" x14ac:dyDescent="0.35">
      <c r="D650" s="30" t="str">
        <f t="shared" si="37"/>
        <v>Social workers</v>
      </c>
      <c r="E650">
        <f t="shared" si="38"/>
        <v>0</v>
      </c>
    </row>
    <row r="651" spans="2:5" x14ac:dyDescent="0.35">
      <c r="D651" s="30" t="str">
        <f t="shared" si="37"/>
        <v>Speech Therapist</v>
      </c>
      <c r="E651">
        <f t="shared" si="38"/>
        <v>0</v>
      </c>
    </row>
    <row r="652" spans="2:5" x14ac:dyDescent="0.35">
      <c r="D652" s="30" t="str">
        <f t="shared" si="37"/>
        <v>Traditional and complementary medicine practitioners</v>
      </c>
      <c r="E652">
        <f t="shared" si="38"/>
        <v>4</v>
      </c>
    </row>
    <row r="653" spans="2:5" x14ac:dyDescent="0.35">
      <c r="B653" t="e">
        <f>#REF!</f>
        <v>#REF!</v>
      </c>
      <c r="C653" t="str">
        <f>AB1</f>
        <v>MOZ</v>
      </c>
      <c r="D653" s="32" t="str">
        <f t="shared" si="37"/>
        <v>Medical doctors</v>
      </c>
      <c r="E653">
        <f t="shared" ref="E653:E676" si="39">AB2</f>
        <v>2180</v>
      </c>
    </row>
    <row r="654" spans="2:5" x14ac:dyDescent="0.35">
      <c r="D654" s="30" t="str">
        <f t="shared" si="37"/>
        <v>Nursing Personnel</v>
      </c>
      <c r="E654">
        <f t="shared" si="39"/>
        <v>7961</v>
      </c>
    </row>
    <row r="655" spans="2:5" x14ac:dyDescent="0.35">
      <c r="D655" s="30" t="str">
        <f t="shared" si="37"/>
        <v>Midwifery personnel</v>
      </c>
      <c r="E655">
        <f t="shared" si="39"/>
        <v>5820</v>
      </c>
    </row>
    <row r="656" spans="2:5" x14ac:dyDescent="0.35">
      <c r="D656" s="30" t="str">
        <f t="shared" si="37"/>
        <v>Pharmacists</v>
      </c>
      <c r="E656">
        <f t="shared" si="39"/>
        <v>2310</v>
      </c>
    </row>
    <row r="657" spans="4:5" x14ac:dyDescent="0.35">
      <c r="D657" s="30" t="str">
        <f t="shared" si="37"/>
        <v>Dentists</v>
      </c>
      <c r="E657">
        <f t="shared" si="39"/>
        <v>545</v>
      </c>
    </row>
    <row r="658" spans="4:5" x14ac:dyDescent="0.35">
      <c r="D658" s="30" t="str">
        <f t="shared" si="37"/>
        <v>Community health workers</v>
      </c>
      <c r="E658">
        <f t="shared" si="39"/>
        <v>2205</v>
      </c>
    </row>
    <row r="659" spans="4:5" x14ac:dyDescent="0.35">
      <c r="D659" s="30" t="str">
        <f t="shared" si="37"/>
        <v>Dieticians and nutritionists</v>
      </c>
      <c r="E659">
        <f t="shared" si="39"/>
        <v>0</v>
      </c>
    </row>
    <row r="660" spans="4:5" x14ac:dyDescent="0.35">
      <c r="D660" s="30" t="str">
        <f t="shared" si="37"/>
        <v>Environmental and occupational health &amp; hygiene workers</v>
      </c>
      <c r="E660">
        <f t="shared" si="39"/>
        <v>0</v>
      </c>
    </row>
    <row r="661" spans="4:5" x14ac:dyDescent="0.35">
      <c r="D661" s="30" t="str">
        <f t="shared" si="37"/>
        <v>Health care assistants and other personal care workers in health services</v>
      </c>
      <c r="E661">
        <f t="shared" si="39"/>
        <v>0</v>
      </c>
    </row>
    <row r="662" spans="4:5" x14ac:dyDescent="0.35">
      <c r="D662" s="30" t="str">
        <f t="shared" si="37"/>
        <v>Health service managers</v>
      </c>
      <c r="E662">
        <f t="shared" si="39"/>
        <v>2466</v>
      </c>
    </row>
    <row r="663" spans="4:5" x14ac:dyDescent="0.35">
      <c r="D663" s="30" t="str">
        <f t="shared" si="37"/>
        <v>Medical and dental prosthetic technicians</v>
      </c>
      <c r="E663">
        <f t="shared" si="39"/>
        <v>29</v>
      </c>
    </row>
    <row r="664" spans="4:5" x14ac:dyDescent="0.35">
      <c r="D664" s="30" t="str">
        <f t="shared" si="37"/>
        <v>Other science professionals and technicians</v>
      </c>
      <c r="E664">
        <f t="shared" si="39"/>
        <v>5726</v>
      </c>
    </row>
    <row r="665" spans="4:5" x14ac:dyDescent="0.35">
      <c r="D665" s="30" t="str">
        <f t="shared" si="37"/>
        <v>Medical assistants – clinical officers</v>
      </c>
      <c r="E665">
        <f t="shared" si="39"/>
        <v>0</v>
      </c>
    </row>
    <row r="666" spans="4:5" x14ac:dyDescent="0.35">
      <c r="D666" s="30" t="str">
        <f t="shared" si="37"/>
        <v>Medical imaging and therapeutic equipment operators</v>
      </c>
      <c r="E666">
        <f t="shared" si="39"/>
        <v>206</v>
      </c>
    </row>
    <row r="667" spans="4:5" x14ac:dyDescent="0.35">
      <c r="D667" s="30" t="str">
        <f t="shared" si="37"/>
        <v>Medical records and health information technicians</v>
      </c>
      <c r="E667">
        <f t="shared" si="39"/>
        <v>59</v>
      </c>
    </row>
    <row r="668" spans="4:5" x14ac:dyDescent="0.35">
      <c r="D668" s="30" t="str">
        <f t="shared" si="37"/>
        <v>Optometrists and opticians</v>
      </c>
      <c r="E668">
        <f t="shared" si="39"/>
        <v>147</v>
      </c>
    </row>
    <row r="669" spans="4:5" x14ac:dyDescent="0.35">
      <c r="D669" s="30" t="str">
        <f t="shared" si="37"/>
        <v>Other health management and support workers</v>
      </c>
      <c r="E669">
        <f t="shared" si="39"/>
        <v>26735</v>
      </c>
    </row>
    <row r="670" spans="4:5" x14ac:dyDescent="0.35">
      <c r="D670" s="30" t="str">
        <f t="shared" si="37"/>
        <v>Other health service providers</v>
      </c>
      <c r="E670">
        <f t="shared" si="39"/>
        <v>0</v>
      </c>
    </row>
    <row r="671" spans="4:5" x14ac:dyDescent="0.35">
      <c r="D671" s="30" t="str">
        <f t="shared" si="37"/>
        <v>Medical and pathology laboratory technicians</v>
      </c>
      <c r="E671">
        <f t="shared" si="39"/>
        <v>1951</v>
      </c>
    </row>
    <row r="672" spans="4:5" x14ac:dyDescent="0.35">
      <c r="D672" s="30" t="str">
        <f t="shared" si="37"/>
        <v>Paramedical practitioners (specify)</v>
      </c>
      <c r="E672">
        <f t="shared" si="39"/>
        <v>0</v>
      </c>
    </row>
    <row r="673" spans="2:5" x14ac:dyDescent="0.35">
      <c r="D673" s="30" t="str">
        <f t="shared" si="37"/>
        <v>Physiotherapists and physiotherapy assistants</v>
      </c>
      <c r="E673">
        <f t="shared" si="39"/>
        <v>377</v>
      </c>
    </row>
    <row r="674" spans="2:5" x14ac:dyDescent="0.35">
      <c r="D674" s="30" t="str">
        <f t="shared" si="37"/>
        <v>Social workers</v>
      </c>
      <c r="E674">
        <f t="shared" si="39"/>
        <v>0</v>
      </c>
    </row>
    <row r="675" spans="2:5" x14ac:dyDescent="0.35">
      <c r="D675" s="30" t="str">
        <f t="shared" si="37"/>
        <v>Speech Therapist</v>
      </c>
      <c r="E675">
        <f t="shared" si="39"/>
        <v>0</v>
      </c>
    </row>
    <row r="676" spans="2:5" x14ac:dyDescent="0.35">
      <c r="D676" s="30" t="str">
        <f t="shared" si="37"/>
        <v>Traditional and complementary medicine practitioners</v>
      </c>
      <c r="E676">
        <f t="shared" si="39"/>
        <v>0</v>
      </c>
    </row>
    <row r="677" spans="2:5" x14ac:dyDescent="0.35">
      <c r="B677" t="e">
        <f>#REF!</f>
        <v>#REF!</v>
      </c>
      <c r="C677" t="str">
        <f>AC1</f>
        <v>MRT</v>
      </c>
      <c r="D677" s="29" t="str">
        <f t="shared" si="37"/>
        <v>Medical doctors</v>
      </c>
      <c r="E677">
        <f t="shared" ref="E677:E700" si="40">AC2</f>
        <v>1626</v>
      </c>
    </row>
    <row r="678" spans="2:5" x14ac:dyDescent="0.35">
      <c r="D678" s="30" t="str">
        <f t="shared" si="37"/>
        <v>Nursing Personnel</v>
      </c>
      <c r="E678">
        <f t="shared" si="40"/>
        <v>4017</v>
      </c>
    </row>
    <row r="679" spans="2:5" x14ac:dyDescent="0.35">
      <c r="D679" s="30" t="str">
        <f t="shared" si="37"/>
        <v>Midwifery personnel</v>
      </c>
      <c r="E679">
        <f t="shared" si="40"/>
        <v>855</v>
      </c>
    </row>
    <row r="680" spans="2:5" x14ac:dyDescent="0.35">
      <c r="D680" s="30" t="str">
        <f t="shared" si="37"/>
        <v>Pharmacists</v>
      </c>
      <c r="E680">
        <f t="shared" si="40"/>
        <v>100</v>
      </c>
    </row>
    <row r="681" spans="2:5" x14ac:dyDescent="0.35">
      <c r="D681" s="30" t="str">
        <f t="shared" si="37"/>
        <v>Dentists</v>
      </c>
      <c r="E681">
        <f t="shared" si="40"/>
        <v>151</v>
      </c>
    </row>
    <row r="682" spans="2:5" x14ac:dyDescent="0.35">
      <c r="D682" s="30" t="str">
        <f t="shared" si="37"/>
        <v>Community health workers</v>
      </c>
      <c r="E682">
        <f t="shared" si="40"/>
        <v>500</v>
      </c>
    </row>
    <row r="683" spans="2:5" x14ac:dyDescent="0.35">
      <c r="D683" s="30" t="str">
        <f t="shared" si="37"/>
        <v>Dieticians and nutritionists</v>
      </c>
      <c r="E683">
        <f t="shared" si="40"/>
        <v>20</v>
      </c>
    </row>
    <row r="684" spans="2:5" x14ac:dyDescent="0.35">
      <c r="D684" s="30" t="str">
        <f t="shared" si="37"/>
        <v>Environmental and occupational health &amp; hygiene workers</v>
      </c>
      <c r="E684">
        <f t="shared" si="40"/>
        <v>5</v>
      </c>
    </row>
    <row r="685" spans="2:5" x14ac:dyDescent="0.35">
      <c r="D685" s="30" t="str">
        <f t="shared" ref="D685:D748" si="41">D661</f>
        <v>Health care assistants and other personal care workers in health services</v>
      </c>
      <c r="E685">
        <f t="shared" si="40"/>
        <v>38</v>
      </c>
    </row>
    <row r="686" spans="2:5" x14ac:dyDescent="0.35">
      <c r="D686" s="30" t="str">
        <f t="shared" si="41"/>
        <v>Health service managers</v>
      </c>
      <c r="E686">
        <f t="shared" si="40"/>
        <v>20</v>
      </c>
    </row>
    <row r="687" spans="2:5" x14ac:dyDescent="0.35">
      <c r="D687" s="30" t="str">
        <f t="shared" si="41"/>
        <v>Medical and dental prosthetic technicians</v>
      </c>
      <c r="E687">
        <f t="shared" si="40"/>
        <v>9</v>
      </c>
    </row>
    <row r="688" spans="2:5" x14ac:dyDescent="0.35">
      <c r="D688" s="30" t="str">
        <f t="shared" si="41"/>
        <v>Other science professionals and technicians</v>
      </c>
      <c r="E688">
        <f t="shared" si="40"/>
        <v>326</v>
      </c>
    </row>
    <row r="689" spans="2:5" x14ac:dyDescent="0.35">
      <c r="D689" s="30" t="str">
        <f t="shared" si="41"/>
        <v>Medical assistants – clinical officers</v>
      </c>
      <c r="E689">
        <f t="shared" si="40"/>
        <v>0</v>
      </c>
    </row>
    <row r="690" spans="2:5" x14ac:dyDescent="0.35">
      <c r="D690" s="30" t="str">
        <f t="shared" si="41"/>
        <v>Medical imaging and therapeutic equipment operators</v>
      </c>
      <c r="E690">
        <f t="shared" si="40"/>
        <v>0</v>
      </c>
    </row>
    <row r="691" spans="2:5" x14ac:dyDescent="0.35">
      <c r="D691" s="30" t="str">
        <f t="shared" si="41"/>
        <v>Medical records and health information technicians</v>
      </c>
      <c r="E691">
        <f t="shared" si="40"/>
        <v>15</v>
      </c>
    </row>
    <row r="692" spans="2:5" x14ac:dyDescent="0.35">
      <c r="D692" s="30" t="str">
        <f t="shared" si="41"/>
        <v>Optometrists and opticians</v>
      </c>
      <c r="E692">
        <f t="shared" si="40"/>
        <v>0</v>
      </c>
    </row>
    <row r="693" spans="2:5" x14ac:dyDescent="0.35">
      <c r="D693" s="30" t="str">
        <f t="shared" si="41"/>
        <v>Other health management and support workers</v>
      </c>
      <c r="E693">
        <f t="shared" si="40"/>
        <v>1532</v>
      </c>
    </row>
    <row r="694" spans="2:5" x14ac:dyDescent="0.35">
      <c r="D694" s="30" t="str">
        <f t="shared" si="41"/>
        <v>Other health service providers</v>
      </c>
      <c r="E694">
        <f t="shared" si="40"/>
        <v>4</v>
      </c>
    </row>
    <row r="695" spans="2:5" x14ac:dyDescent="0.35">
      <c r="D695" s="30" t="str">
        <f t="shared" si="41"/>
        <v>Medical and pathology laboratory technicians</v>
      </c>
      <c r="E695">
        <f t="shared" si="40"/>
        <v>122</v>
      </c>
    </row>
    <row r="696" spans="2:5" x14ac:dyDescent="0.35">
      <c r="D696" s="30" t="str">
        <f t="shared" si="41"/>
        <v>Paramedical practitioners (specify)</v>
      </c>
      <c r="E696">
        <f t="shared" si="40"/>
        <v>65</v>
      </c>
    </row>
    <row r="697" spans="2:5" x14ac:dyDescent="0.35">
      <c r="D697" s="30" t="str">
        <f t="shared" si="41"/>
        <v>Physiotherapists and physiotherapy assistants</v>
      </c>
      <c r="E697">
        <f t="shared" si="40"/>
        <v>7</v>
      </c>
    </row>
    <row r="698" spans="2:5" x14ac:dyDescent="0.35">
      <c r="D698" s="30" t="str">
        <f t="shared" si="41"/>
        <v>Social workers</v>
      </c>
      <c r="E698">
        <f t="shared" si="40"/>
        <v>0</v>
      </c>
    </row>
    <row r="699" spans="2:5" x14ac:dyDescent="0.35">
      <c r="D699" s="30" t="str">
        <f t="shared" si="41"/>
        <v>Speech Therapist</v>
      </c>
      <c r="E699">
        <f t="shared" si="40"/>
        <v>0</v>
      </c>
    </row>
    <row r="700" spans="2:5" x14ac:dyDescent="0.35">
      <c r="D700" s="30" t="str">
        <f t="shared" si="41"/>
        <v>Traditional and complementary medicine practitioners</v>
      </c>
      <c r="E700">
        <f t="shared" si="40"/>
        <v>42</v>
      </c>
    </row>
    <row r="701" spans="2:5" x14ac:dyDescent="0.35">
      <c r="B701" t="e">
        <f>#REF!</f>
        <v>#REF!</v>
      </c>
      <c r="C701" t="str">
        <f>AD1</f>
        <v>MUS</v>
      </c>
      <c r="D701" s="29" t="str">
        <f t="shared" si="41"/>
        <v>Medical doctors</v>
      </c>
      <c r="E701">
        <f t="shared" ref="E701:E724" si="42">AD2</f>
        <v>2395</v>
      </c>
    </row>
    <row r="702" spans="2:5" x14ac:dyDescent="0.35">
      <c r="D702" s="30" t="str">
        <f t="shared" si="41"/>
        <v>Nursing Personnel</v>
      </c>
      <c r="E702">
        <f t="shared" si="42"/>
        <v>4419</v>
      </c>
    </row>
    <row r="703" spans="2:5" x14ac:dyDescent="0.35">
      <c r="D703" s="30" t="str">
        <f t="shared" si="41"/>
        <v>Midwifery personnel</v>
      </c>
      <c r="E703">
        <f t="shared" si="42"/>
        <v>567</v>
      </c>
    </row>
    <row r="704" spans="2:5" x14ac:dyDescent="0.35">
      <c r="D704" s="30" t="str">
        <f t="shared" si="41"/>
        <v>Pharmacists</v>
      </c>
      <c r="E704">
        <f t="shared" si="42"/>
        <v>748</v>
      </c>
    </row>
    <row r="705" spans="4:5" x14ac:dyDescent="0.35">
      <c r="D705" s="30" t="str">
        <f t="shared" si="41"/>
        <v>Dentists</v>
      </c>
      <c r="E705">
        <f t="shared" si="42"/>
        <v>466</v>
      </c>
    </row>
    <row r="706" spans="4:5" x14ac:dyDescent="0.35">
      <c r="D706" s="30" t="str">
        <f t="shared" si="41"/>
        <v>Community health workers</v>
      </c>
      <c r="E706">
        <f t="shared" si="42"/>
        <v>180</v>
      </c>
    </row>
    <row r="707" spans="4:5" x14ac:dyDescent="0.35">
      <c r="D707" s="30" t="str">
        <f t="shared" si="41"/>
        <v>Dieticians and nutritionists</v>
      </c>
      <c r="E707">
        <f t="shared" si="42"/>
        <v>0</v>
      </c>
    </row>
    <row r="708" spans="4:5" x14ac:dyDescent="0.35">
      <c r="D708" s="30" t="str">
        <f t="shared" si="41"/>
        <v>Environmental and occupational health &amp; hygiene workers</v>
      </c>
      <c r="E708">
        <f t="shared" si="42"/>
        <v>48</v>
      </c>
    </row>
    <row r="709" spans="4:5" x14ac:dyDescent="0.35">
      <c r="D709" s="30" t="str">
        <f t="shared" si="41"/>
        <v>Health care assistants and other personal care workers in health services</v>
      </c>
      <c r="E709">
        <f t="shared" si="42"/>
        <v>1153</v>
      </c>
    </row>
    <row r="710" spans="4:5" x14ac:dyDescent="0.35">
      <c r="D710" s="30" t="str">
        <f t="shared" si="41"/>
        <v>Health service managers</v>
      </c>
      <c r="E710">
        <f t="shared" si="42"/>
        <v>315</v>
      </c>
    </row>
    <row r="711" spans="4:5" x14ac:dyDescent="0.35">
      <c r="D711" s="30" t="str">
        <f t="shared" si="41"/>
        <v>Medical and dental prosthetic technicians</v>
      </c>
      <c r="E711">
        <f t="shared" si="42"/>
        <v>12</v>
      </c>
    </row>
    <row r="712" spans="4:5" x14ac:dyDescent="0.35">
      <c r="D712" s="30" t="str">
        <f t="shared" si="41"/>
        <v>Other science professionals and technicians</v>
      </c>
      <c r="E712">
        <f t="shared" si="42"/>
        <v>274</v>
      </c>
    </row>
    <row r="713" spans="4:5" x14ac:dyDescent="0.35">
      <c r="D713" s="30" t="str">
        <f t="shared" si="41"/>
        <v>Medical assistants – clinical officers</v>
      </c>
      <c r="E713">
        <f t="shared" si="42"/>
        <v>9</v>
      </c>
    </row>
    <row r="714" spans="4:5" x14ac:dyDescent="0.35">
      <c r="D714" s="30" t="str">
        <f t="shared" si="41"/>
        <v>Medical imaging and therapeutic equipment operators</v>
      </c>
      <c r="E714">
        <f t="shared" si="42"/>
        <v>213</v>
      </c>
    </row>
    <row r="715" spans="4:5" x14ac:dyDescent="0.35">
      <c r="D715" s="30" t="str">
        <f t="shared" si="41"/>
        <v>Medical records and health information technicians</v>
      </c>
      <c r="E715">
        <f t="shared" si="42"/>
        <v>416</v>
      </c>
    </row>
    <row r="716" spans="4:5" x14ac:dyDescent="0.35">
      <c r="D716" s="30" t="str">
        <f t="shared" si="41"/>
        <v>Optometrists and opticians</v>
      </c>
      <c r="E716">
        <f t="shared" si="42"/>
        <v>0</v>
      </c>
    </row>
    <row r="717" spans="4:5" x14ac:dyDescent="0.35">
      <c r="D717" s="30" t="str">
        <f t="shared" si="41"/>
        <v>Other health management and support workers</v>
      </c>
      <c r="E717">
        <f t="shared" si="42"/>
        <v>3295</v>
      </c>
    </row>
    <row r="718" spans="4:5" x14ac:dyDescent="0.35">
      <c r="D718" s="30" t="str">
        <f t="shared" si="41"/>
        <v>Other health service providers</v>
      </c>
      <c r="E718">
        <f t="shared" si="42"/>
        <v>0</v>
      </c>
    </row>
    <row r="719" spans="4:5" x14ac:dyDescent="0.35">
      <c r="D719" s="30" t="str">
        <f t="shared" si="41"/>
        <v>Medical and pathology laboratory technicians</v>
      </c>
      <c r="E719">
        <f t="shared" si="42"/>
        <v>291</v>
      </c>
    </row>
    <row r="720" spans="4:5" x14ac:dyDescent="0.35">
      <c r="D720" s="30" t="str">
        <f t="shared" si="41"/>
        <v>Paramedical practitioners (specify)</v>
      </c>
      <c r="E720">
        <f t="shared" si="42"/>
        <v>24</v>
      </c>
    </row>
    <row r="721" spans="2:5" x14ac:dyDescent="0.35">
      <c r="D721" s="30" t="str">
        <f t="shared" si="41"/>
        <v>Physiotherapists and physiotherapy assistants</v>
      </c>
      <c r="E721">
        <f t="shared" si="42"/>
        <v>64</v>
      </c>
    </row>
    <row r="722" spans="2:5" x14ac:dyDescent="0.35">
      <c r="D722" s="30" t="str">
        <f t="shared" si="41"/>
        <v>Social workers</v>
      </c>
      <c r="E722">
        <f t="shared" si="42"/>
        <v>0</v>
      </c>
    </row>
    <row r="723" spans="2:5" x14ac:dyDescent="0.35">
      <c r="D723" s="30" t="str">
        <f t="shared" si="41"/>
        <v>Speech Therapist</v>
      </c>
      <c r="E723">
        <f t="shared" si="42"/>
        <v>0</v>
      </c>
    </row>
    <row r="724" spans="2:5" x14ac:dyDescent="0.35">
      <c r="D724" s="30" t="str">
        <f t="shared" si="41"/>
        <v>Traditional and complementary medicine practitioners</v>
      </c>
      <c r="E724">
        <f t="shared" si="42"/>
        <v>5</v>
      </c>
    </row>
    <row r="725" spans="2:5" x14ac:dyDescent="0.35">
      <c r="B725" t="e">
        <f>#REF!</f>
        <v>#REF!</v>
      </c>
      <c r="C725" t="str">
        <f>AE1</f>
        <v>MWI</v>
      </c>
      <c r="D725" s="29" t="str">
        <f t="shared" si="41"/>
        <v>Medical doctors</v>
      </c>
      <c r="E725">
        <f t="shared" ref="E725:E748" si="43">AE2</f>
        <v>2760</v>
      </c>
    </row>
    <row r="726" spans="2:5" x14ac:dyDescent="0.35">
      <c r="D726" s="30" t="str">
        <f t="shared" si="41"/>
        <v>Nursing Personnel</v>
      </c>
      <c r="E726">
        <f t="shared" si="43"/>
        <v>6025</v>
      </c>
    </row>
    <row r="727" spans="2:5" x14ac:dyDescent="0.35">
      <c r="D727" s="30" t="str">
        <f t="shared" si="41"/>
        <v>Midwifery personnel</v>
      </c>
      <c r="E727">
        <f t="shared" si="43"/>
        <v>0</v>
      </c>
    </row>
    <row r="728" spans="2:5" x14ac:dyDescent="0.35">
      <c r="D728" s="30" t="str">
        <f t="shared" si="41"/>
        <v>Pharmacists</v>
      </c>
      <c r="E728">
        <f t="shared" si="43"/>
        <v>387</v>
      </c>
    </row>
    <row r="729" spans="2:5" x14ac:dyDescent="0.35">
      <c r="D729" s="30" t="str">
        <f t="shared" si="41"/>
        <v>Dentists</v>
      </c>
      <c r="E729">
        <f t="shared" si="43"/>
        <v>112</v>
      </c>
    </row>
    <row r="730" spans="2:5" x14ac:dyDescent="0.35">
      <c r="D730" s="30" t="str">
        <f t="shared" si="41"/>
        <v>Community health workers</v>
      </c>
      <c r="E730">
        <f t="shared" si="43"/>
        <v>10016</v>
      </c>
    </row>
    <row r="731" spans="2:5" x14ac:dyDescent="0.35">
      <c r="D731" s="30" t="str">
        <f t="shared" si="41"/>
        <v>Dieticians and nutritionists</v>
      </c>
      <c r="E731">
        <f t="shared" si="43"/>
        <v>25</v>
      </c>
    </row>
    <row r="732" spans="2:5" x14ac:dyDescent="0.35">
      <c r="D732" s="30" t="str">
        <f t="shared" si="41"/>
        <v>Environmental and occupational health &amp; hygiene workers</v>
      </c>
      <c r="E732">
        <f t="shared" si="43"/>
        <v>35</v>
      </c>
    </row>
    <row r="733" spans="2:5" x14ac:dyDescent="0.35">
      <c r="D733" s="30" t="str">
        <f t="shared" si="41"/>
        <v>Health care assistants and other personal care workers in health services</v>
      </c>
      <c r="E733">
        <f t="shared" si="43"/>
        <v>178</v>
      </c>
    </row>
    <row r="734" spans="2:5" x14ac:dyDescent="0.35">
      <c r="D734" s="30" t="str">
        <f t="shared" si="41"/>
        <v>Health service managers</v>
      </c>
      <c r="E734">
        <f t="shared" si="43"/>
        <v>178</v>
      </c>
    </row>
    <row r="735" spans="2:5" x14ac:dyDescent="0.35">
      <c r="D735" s="30" t="str">
        <f t="shared" si="41"/>
        <v>Medical and dental prosthetic technicians</v>
      </c>
      <c r="E735">
        <f t="shared" si="43"/>
        <v>0</v>
      </c>
    </row>
    <row r="736" spans="2:5" x14ac:dyDescent="0.35">
      <c r="D736" s="30" t="str">
        <f t="shared" si="41"/>
        <v>Other science professionals and technicians</v>
      </c>
      <c r="E736">
        <f t="shared" si="43"/>
        <v>0</v>
      </c>
    </row>
    <row r="737" spans="2:5" x14ac:dyDescent="0.35">
      <c r="D737" s="30" t="str">
        <f t="shared" si="41"/>
        <v>Medical assistants – clinical officers</v>
      </c>
      <c r="E737">
        <f t="shared" si="43"/>
        <v>2804</v>
      </c>
    </row>
    <row r="738" spans="2:5" x14ac:dyDescent="0.35">
      <c r="D738" s="30" t="str">
        <f t="shared" si="41"/>
        <v>Medical imaging and therapeutic equipment operators</v>
      </c>
      <c r="E738">
        <f t="shared" si="43"/>
        <v>44</v>
      </c>
    </row>
    <row r="739" spans="2:5" x14ac:dyDescent="0.35">
      <c r="D739" s="30" t="str">
        <f t="shared" si="41"/>
        <v>Medical records and health information technicians</v>
      </c>
      <c r="E739">
        <f t="shared" si="43"/>
        <v>306</v>
      </c>
    </row>
    <row r="740" spans="2:5" x14ac:dyDescent="0.35">
      <c r="D740" s="30" t="str">
        <f t="shared" si="41"/>
        <v>Optometrists and opticians</v>
      </c>
      <c r="E740">
        <f t="shared" si="43"/>
        <v>13</v>
      </c>
    </row>
    <row r="741" spans="2:5" x14ac:dyDescent="0.35">
      <c r="D741" s="30" t="str">
        <f t="shared" si="41"/>
        <v>Other health management and support workers</v>
      </c>
      <c r="E741">
        <f t="shared" si="43"/>
        <v>0</v>
      </c>
    </row>
    <row r="742" spans="2:5" x14ac:dyDescent="0.35">
      <c r="D742" s="30" t="str">
        <f t="shared" si="41"/>
        <v>Other health service providers</v>
      </c>
      <c r="E742">
        <f t="shared" si="43"/>
        <v>0</v>
      </c>
    </row>
    <row r="743" spans="2:5" x14ac:dyDescent="0.35">
      <c r="D743" s="30" t="str">
        <f t="shared" si="41"/>
        <v>Medical and pathology laboratory technicians</v>
      </c>
      <c r="E743">
        <f t="shared" si="43"/>
        <v>542</v>
      </c>
    </row>
    <row r="744" spans="2:5" x14ac:dyDescent="0.35">
      <c r="D744" s="30" t="str">
        <f t="shared" si="41"/>
        <v>Paramedical practitioners (specify)</v>
      </c>
      <c r="E744">
        <f t="shared" si="43"/>
        <v>98</v>
      </c>
    </row>
    <row r="745" spans="2:5" x14ac:dyDescent="0.35">
      <c r="D745" s="30" t="str">
        <f t="shared" si="41"/>
        <v>Physiotherapists and physiotherapy assistants</v>
      </c>
      <c r="E745">
        <f t="shared" si="43"/>
        <v>52</v>
      </c>
    </row>
    <row r="746" spans="2:5" x14ac:dyDescent="0.35">
      <c r="D746" s="30" t="str">
        <f t="shared" si="41"/>
        <v>Social workers</v>
      </c>
      <c r="E746">
        <f t="shared" si="43"/>
        <v>0</v>
      </c>
    </row>
    <row r="747" spans="2:5" x14ac:dyDescent="0.35">
      <c r="D747" s="30" t="str">
        <f t="shared" si="41"/>
        <v>Speech Therapist</v>
      </c>
      <c r="E747">
        <f t="shared" si="43"/>
        <v>0</v>
      </c>
    </row>
    <row r="748" spans="2:5" x14ac:dyDescent="0.35">
      <c r="D748" s="30" t="str">
        <f t="shared" si="41"/>
        <v>Traditional and complementary medicine practitioners</v>
      </c>
      <c r="E748">
        <f t="shared" si="43"/>
        <v>0</v>
      </c>
    </row>
    <row r="749" spans="2:5" x14ac:dyDescent="0.35">
      <c r="B749" t="e">
        <f>#REF!</f>
        <v>#REF!</v>
      </c>
      <c r="C749" t="str">
        <f>AF1</f>
        <v>NAM</v>
      </c>
      <c r="D749" s="29" t="str">
        <f t="shared" ref="D749:D812" si="44">D725</f>
        <v>Medical doctors</v>
      </c>
      <c r="E749">
        <f t="shared" ref="E749:E772" si="45">AF2</f>
        <v>1445</v>
      </c>
    </row>
    <row r="750" spans="2:5" x14ac:dyDescent="0.35">
      <c r="D750" s="30" t="str">
        <f t="shared" si="44"/>
        <v>Nursing Personnel</v>
      </c>
      <c r="E750">
        <f t="shared" si="45"/>
        <v>12956</v>
      </c>
    </row>
    <row r="751" spans="2:5" x14ac:dyDescent="0.35">
      <c r="D751" s="30" t="str">
        <f t="shared" si="44"/>
        <v>Midwifery personnel</v>
      </c>
      <c r="E751">
        <f t="shared" si="45"/>
        <v>0</v>
      </c>
    </row>
    <row r="752" spans="2:5" x14ac:dyDescent="0.35">
      <c r="D752" s="30" t="str">
        <f t="shared" si="44"/>
        <v>Pharmacists</v>
      </c>
      <c r="E752">
        <f t="shared" si="45"/>
        <v>907</v>
      </c>
    </row>
    <row r="753" spans="4:5" x14ac:dyDescent="0.35">
      <c r="D753" s="30" t="str">
        <f t="shared" si="44"/>
        <v>Dentists</v>
      </c>
      <c r="E753">
        <f t="shared" si="45"/>
        <v>289</v>
      </c>
    </row>
    <row r="754" spans="4:5" x14ac:dyDescent="0.35">
      <c r="D754" s="30" t="str">
        <f t="shared" si="44"/>
        <v>Community health workers</v>
      </c>
      <c r="E754">
        <f t="shared" si="45"/>
        <v>2292</v>
      </c>
    </row>
    <row r="755" spans="4:5" x14ac:dyDescent="0.35">
      <c r="D755" s="30" t="str">
        <f t="shared" si="44"/>
        <v>Dieticians and nutritionists</v>
      </c>
      <c r="E755">
        <f t="shared" si="45"/>
        <v>33</v>
      </c>
    </row>
    <row r="756" spans="4:5" x14ac:dyDescent="0.35">
      <c r="D756" s="30" t="str">
        <f t="shared" si="44"/>
        <v>Environmental and occupational health &amp; hygiene workers</v>
      </c>
      <c r="E756">
        <f t="shared" si="45"/>
        <v>218</v>
      </c>
    </row>
    <row r="757" spans="4:5" x14ac:dyDescent="0.35">
      <c r="D757" s="30" t="str">
        <f t="shared" si="44"/>
        <v>Health care assistants and other personal care workers in health services</v>
      </c>
      <c r="E757">
        <f t="shared" si="45"/>
        <v>0</v>
      </c>
    </row>
    <row r="758" spans="4:5" x14ac:dyDescent="0.35">
      <c r="D758" s="30" t="str">
        <f t="shared" si="44"/>
        <v>Health service managers</v>
      </c>
      <c r="E758">
        <f t="shared" si="45"/>
        <v>313</v>
      </c>
    </row>
    <row r="759" spans="4:5" x14ac:dyDescent="0.35">
      <c r="D759" s="30" t="str">
        <f t="shared" si="44"/>
        <v>Medical and dental prosthetic technicians</v>
      </c>
      <c r="E759">
        <f t="shared" si="45"/>
        <v>470</v>
      </c>
    </row>
    <row r="760" spans="4:5" x14ac:dyDescent="0.35">
      <c r="D760" s="30" t="str">
        <f t="shared" si="44"/>
        <v>Other science professionals and technicians</v>
      </c>
      <c r="E760">
        <f t="shared" si="45"/>
        <v>1739</v>
      </c>
    </row>
    <row r="761" spans="4:5" x14ac:dyDescent="0.35">
      <c r="D761" s="30" t="str">
        <f t="shared" si="44"/>
        <v>Medical assistants – clinical officers</v>
      </c>
      <c r="E761">
        <f t="shared" si="45"/>
        <v>21</v>
      </c>
    </row>
    <row r="762" spans="4:5" x14ac:dyDescent="0.35">
      <c r="D762" s="30" t="str">
        <f t="shared" si="44"/>
        <v>Medical imaging and therapeutic equipment operators</v>
      </c>
      <c r="E762">
        <f t="shared" si="45"/>
        <v>303</v>
      </c>
    </row>
    <row r="763" spans="4:5" x14ac:dyDescent="0.35">
      <c r="D763" s="30" t="str">
        <f t="shared" si="44"/>
        <v>Medical records and health information technicians</v>
      </c>
      <c r="E763">
        <f t="shared" si="45"/>
        <v>37</v>
      </c>
    </row>
    <row r="764" spans="4:5" x14ac:dyDescent="0.35">
      <c r="D764" s="30" t="str">
        <f t="shared" si="44"/>
        <v>Optometrists and opticians</v>
      </c>
      <c r="E764">
        <f t="shared" si="45"/>
        <v>147</v>
      </c>
    </row>
    <row r="765" spans="4:5" x14ac:dyDescent="0.35">
      <c r="D765" s="30" t="str">
        <f t="shared" si="44"/>
        <v>Other health management and support workers</v>
      </c>
      <c r="E765">
        <f t="shared" si="45"/>
        <v>2157</v>
      </c>
    </row>
    <row r="766" spans="4:5" x14ac:dyDescent="0.35">
      <c r="D766" s="30" t="str">
        <f t="shared" si="44"/>
        <v>Other health service providers</v>
      </c>
      <c r="E766">
        <f t="shared" si="45"/>
        <v>0</v>
      </c>
    </row>
    <row r="767" spans="4:5" x14ac:dyDescent="0.35">
      <c r="D767" s="30" t="str">
        <f t="shared" si="44"/>
        <v>Medical and pathology laboratory technicians</v>
      </c>
      <c r="E767">
        <f t="shared" si="45"/>
        <v>510</v>
      </c>
    </row>
    <row r="768" spans="4:5" x14ac:dyDescent="0.35">
      <c r="D768" s="30" t="str">
        <f t="shared" si="44"/>
        <v>Paramedical practitioners (specify)</v>
      </c>
      <c r="E768">
        <f t="shared" si="45"/>
        <v>1053</v>
      </c>
    </row>
    <row r="769" spans="2:5" x14ac:dyDescent="0.35">
      <c r="D769" s="30" t="str">
        <f t="shared" si="44"/>
        <v>Physiotherapists and physiotherapy assistants</v>
      </c>
      <c r="E769">
        <f t="shared" si="45"/>
        <v>233</v>
      </c>
    </row>
    <row r="770" spans="2:5" x14ac:dyDescent="0.35">
      <c r="D770" s="30" t="str">
        <f t="shared" si="44"/>
        <v>Social workers</v>
      </c>
      <c r="E770">
        <f t="shared" si="45"/>
        <v>509</v>
      </c>
    </row>
    <row r="771" spans="2:5" x14ac:dyDescent="0.35">
      <c r="D771" s="30" t="str">
        <f t="shared" si="44"/>
        <v>Speech Therapist</v>
      </c>
      <c r="E771">
        <f t="shared" si="45"/>
        <v>0</v>
      </c>
    </row>
    <row r="772" spans="2:5" x14ac:dyDescent="0.35">
      <c r="D772" s="30" t="str">
        <f t="shared" si="44"/>
        <v>Traditional and complementary medicine practitioners</v>
      </c>
      <c r="E772">
        <f t="shared" si="45"/>
        <v>8</v>
      </c>
    </row>
    <row r="773" spans="2:5" x14ac:dyDescent="0.35">
      <c r="B773" t="e">
        <f>#REF!</f>
        <v>#REF!</v>
      </c>
      <c r="C773" t="str">
        <f>AG1</f>
        <v>NER</v>
      </c>
      <c r="D773" s="29" t="str">
        <f t="shared" si="44"/>
        <v>Medical doctors</v>
      </c>
      <c r="E773">
        <f t="shared" ref="E773:E796" si="46">AG2</f>
        <v>1065</v>
      </c>
    </row>
    <row r="774" spans="2:5" x14ac:dyDescent="0.35">
      <c r="D774" s="30" t="str">
        <f t="shared" si="44"/>
        <v>Nursing Personnel</v>
      </c>
      <c r="E774">
        <f t="shared" si="46"/>
        <v>3581</v>
      </c>
    </row>
    <row r="775" spans="2:5" x14ac:dyDescent="0.35">
      <c r="D775" s="30" t="str">
        <f t="shared" si="44"/>
        <v>Midwifery personnel</v>
      </c>
      <c r="E775">
        <f t="shared" si="46"/>
        <v>902</v>
      </c>
    </row>
    <row r="776" spans="2:5" x14ac:dyDescent="0.35">
      <c r="D776" s="30" t="str">
        <f t="shared" si="44"/>
        <v>Pharmacists</v>
      </c>
      <c r="E776">
        <f t="shared" si="46"/>
        <v>60</v>
      </c>
    </row>
    <row r="777" spans="2:5" x14ac:dyDescent="0.35">
      <c r="D777" s="30" t="str">
        <f t="shared" si="44"/>
        <v>Dentists</v>
      </c>
      <c r="E777">
        <f t="shared" si="46"/>
        <v>30</v>
      </c>
    </row>
    <row r="778" spans="2:5" x14ac:dyDescent="0.35">
      <c r="D778" s="30" t="str">
        <f t="shared" si="44"/>
        <v>Community health workers</v>
      </c>
      <c r="E778">
        <f t="shared" si="46"/>
        <v>55</v>
      </c>
    </row>
    <row r="779" spans="2:5" x14ac:dyDescent="0.35">
      <c r="D779" s="30" t="str">
        <f t="shared" si="44"/>
        <v>Dieticians and nutritionists</v>
      </c>
      <c r="E779">
        <f t="shared" si="46"/>
        <v>42</v>
      </c>
    </row>
    <row r="780" spans="2:5" x14ac:dyDescent="0.35">
      <c r="D780" s="30" t="str">
        <f t="shared" si="44"/>
        <v>Environmental and occupational health &amp; hygiene workers</v>
      </c>
      <c r="E780">
        <f t="shared" si="46"/>
        <v>101</v>
      </c>
    </row>
    <row r="781" spans="2:5" x14ac:dyDescent="0.35">
      <c r="D781" s="30" t="str">
        <f t="shared" si="44"/>
        <v>Health care assistants and other personal care workers in health services</v>
      </c>
      <c r="E781">
        <f t="shared" si="46"/>
        <v>152</v>
      </c>
    </row>
    <row r="782" spans="2:5" x14ac:dyDescent="0.35">
      <c r="D782" s="30" t="str">
        <f t="shared" si="44"/>
        <v>Health service managers</v>
      </c>
      <c r="E782">
        <f t="shared" si="46"/>
        <v>226</v>
      </c>
    </row>
    <row r="783" spans="2:5" x14ac:dyDescent="0.35">
      <c r="D783" s="30" t="str">
        <f t="shared" si="44"/>
        <v>Medical and dental prosthetic technicians</v>
      </c>
      <c r="E783">
        <f t="shared" si="46"/>
        <v>11</v>
      </c>
    </row>
    <row r="784" spans="2:5" x14ac:dyDescent="0.35">
      <c r="D784" s="30" t="str">
        <f t="shared" si="44"/>
        <v>Other science professionals and technicians</v>
      </c>
      <c r="E784">
        <f t="shared" si="46"/>
        <v>191</v>
      </c>
    </row>
    <row r="785" spans="2:5" x14ac:dyDescent="0.35">
      <c r="D785" s="30" t="str">
        <f t="shared" si="44"/>
        <v>Medical assistants – clinical officers</v>
      </c>
      <c r="E785">
        <f t="shared" si="46"/>
        <v>0</v>
      </c>
    </row>
    <row r="786" spans="2:5" x14ac:dyDescent="0.35">
      <c r="D786" s="30" t="str">
        <f t="shared" si="44"/>
        <v>Medical imaging and therapeutic equipment operators</v>
      </c>
      <c r="E786">
        <f t="shared" si="46"/>
        <v>82</v>
      </c>
    </row>
    <row r="787" spans="2:5" x14ac:dyDescent="0.35">
      <c r="D787" s="30" t="str">
        <f t="shared" si="44"/>
        <v>Medical records and health information technicians</v>
      </c>
      <c r="E787">
        <f t="shared" si="46"/>
        <v>22</v>
      </c>
    </row>
    <row r="788" spans="2:5" x14ac:dyDescent="0.35">
      <c r="D788" s="30" t="str">
        <f t="shared" si="44"/>
        <v>Optometrists and opticians</v>
      </c>
      <c r="E788">
        <f t="shared" si="46"/>
        <v>0</v>
      </c>
    </row>
    <row r="789" spans="2:5" x14ac:dyDescent="0.35">
      <c r="D789" s="30" t="str">
        <f t="shared" si="44"/>
        <v>Other health management and support workers</v>
      </c>
      <c r="E789">
        <f t="shared" si="46"/>
        <v>542</v>
      </c>
    </row>
    <row r="790" spans="2:5" x14ac:dyDescent="0.35">
      <c r="D790" s="30" t="str">
        <f t="shared" si="44"/>
        <v>Other health service providers</v>
      </c>
      <c r="E790">
        <f t="shared" si="46"/>
        <v>462</v>
      </c>
    </row>
    <row r="791" spans="2:5" x14ac:dyDescent="0.35">
      <c r="D791" s="30" t="str">
        <f t="shared" si="44"/>
        <v>Medical and pathology laboratory technicians</v>
      </c>
      <c r="E791">
        <f t="shared" si="46"/>
        <v>432</v>
      </c>
    </row>
    <row r="792" spans="2:5" x14ac:dyDescent="0.35">
      <c r="D792" s="30" t="str">
        <f t="shared" si="44"/>
        <v>Paramedical practitioners (specify)</v>
      </c>
      <c r="E792">
        <f t="shared" si="46"/>
        <v>598</v>
      </c>
    </row>
    <row r="793" spans="2:5" x14ac:dyDescent="0.35">
      <c r="D793" s="30" t="str">
        <f t="shared" si="44"/>
        <v>Physiotherapists and physiotherapy assistants</v>
      </c>
      <c r="E793">
        <f t="shared" si="46"/>
        <v>0</v>
      </c>
    </row>
    <row r="794" spans="2:5" x14ac:dyDescent="0.35">
      <c r="D794" s="30" t="str">
        <f t="shared" si="44"/>
        <v>Social workers</v>
      </c>
      <c r="E794">
        <f t="shared" si="46"/>
        <v>0</v>
      </c>
    </row>
    <row r="795" spans="2:5" x14ac:dyDescent="0.35">
      <c r="D795" s="30" t="str">
        <f t="shared" si="44"/>
        <v>Speech Therapist</v>
      </c>
      <c r="E795">
        <f t="shared" si="46"/>
        <v>0</v>
      </c>
    </row>
    <row r="796" spans="2:5" x14ac:dyDescent="0.35">
      <c r="D796" s="30" t="str">
        <f t="shared" si="44"/>
        <v>Traditional and complementary medicine practitioners</v>
      </c>
      <c r="E796">
        <f t="shared" si="46"/>
        <v>0</v>
      </c>
    </row>
    <row r="797" spans="2:5" x14ac:dyDescent="0.35">
      <c r="B797" t="e">
        <f>#REF!</f>
        <v>#REF!</v>
      </c>
      <c r="C797" t="str">
        <f>AH1</f>
        <v>NGA</v>
      </c>
      <c r="D797" s="29" t="str">
        <f t="shared" si="44"/>
        <v>Medical doctors</v>
      </c>
      <c r="E797">
        <f t="shared" ref="E797:E820" si="47">AH2</f>
        <v>83907</v>
      </c>
    </row>
    <row r="798" spans="2:5" x14ac:dyDescent="0.35">
      <c r="D798" s="30" t="str">
        <f t="shared" si="44"/>
        <v>Nursing Personnel</v>
      </c>
      <c r="E798">
        <f t="shared" si="47"/>
        <v>180709</v>
      </c>
    </row>
    <row r="799" spans="2:5" x14ac:dyDescent="0.35">
      <c r="D799" s="30" t="str">
        <f t="shared" si="44"/>
        <v>Midwifery personnel</v>
      </c>
      <c r="E799">
        <f t="shared" si="47"/>
        <v>120870</v>
      </c>
    </row>
    <row r="800" spans="2:5" x14ac:dyDescent="0.35">
      <c r="D800" s="30" t="str">
        <f t="shared" si="44"/>
        <v>Pharmacists</v>
      </c>
      <c r="E800">
        <f t="shared" si="47"/>
        <v>24668</v>
      </c>
    </row>
    <row r="801" spans="4:5" x14ac:dyDescent="0.35">
      <c r="D801" s="30" t="str">
        <f t="shared" si="44"/>
        <v>Dentists</v>
      </c>
      <c r="E801">
        <f t="shared" si="47"/>
        <v>25487</v>
      </c>
    </row>
    <row r="802" spans="4:5" x14ac:dyDescent="0.35">
      <c r="D802" s="30" t="str">
        <f t="shared" si="44"/>
        <v>Community health workers</v>
      </c>
      <c r="E802">
        <f t="shared" si="47"/>
        <v>116454</v>
      </c>
    </row>
    <row r="803" spans="4:5" x14ac:dyDescent="0.35">
      <c r="D803" s="30" t="str">
        <f t="shared" si="44"/>
        <v>Dieticians and nutritionists</v>
      </c>
      <c r="E803">
        <f t="shared" si="47"/>
        <v>0</v>
      </c>
    </row>
    <row r="804" spans="4:5" x14ac:dyDescent="0.35">
      <c r="D804" s="30" t="str">
        <f t="shared" si="44"/>
        <v>Environmental and occupational health &amp; hygiene workers</v>
      </c>
      <c r="E804">
        <f t="shared" si="47"/>
        <v>14645</v>
      </c>
    </row>
    <row r="805" spans="4:5" x14ac:dyDescent="0.35">
      <c r="D805" s="30" t="str">
        <f t="shared" si="44"/>
        <v>Health care assistants and other personal care workers in health services</v>
      </c>
      <c r="E805">
        <f t="shared" si="47"/>
        <v>0</v>
      </c>
    </row>
    <row r="806" spans="4:5" x14ac:dyDescent="0.35">
      <c r="D806" s="30" t="str">
        <f t="shared" si="44"/>
        <v>Health service managers</v>
      </c>
      <c r="E806">
        <f t="shared" si="47"/>
        <v>0</v>
      </c>
    </row>
    <row r="807" spans="4:5" x14ac:dyDescent="0.35">
      <c r="D807" s="30" t="str">
        <f t="shared" si="44"/>
        <v>Medical and dental prosthetic technicians</v>
      </c>
      <c r="E807">
        <f t="shared" si="47"/>
        <v>0</v>
      </c>
    </row>
    <row r="808" spans="4:5" x14ac:dyDescent="0.35">
      <c r="D808" s="30" t="str">
        <f t="shared" si="44"/>
        <v>Other science professionals and technicians</v>
      </c>
      <c r="E808">
        <f t="shared" si="47"/>
        <v>0</v>
      </c>
    </row>
    <row r="809" spans="4:5" x14ac:dyDescent="0.35">
      <c r="D809" s="30" t="str">
        <f t="shared" si="44"/>
        <v>Medical assistants – clinical officers</v>
      </c>
      <c r="E809">
        <f t="shared" si="47"/>
        <v>0</v>
      </c>
    </row>
    <row r="810" spans="4:5" x14ac:dyDescent="0.35">
      <c r="D810" s="30" t="str">
        <f t="shared" si="44"/>
        <v>Medical imaging and therapeutic equipment operators</v>
      </c>
      <c r="E810">
        <f t="shared" si="47"/>
        <v>2648</v>
      </c>
    </row>
    <row r="811" spans="4:5" x14ac:dyDescent="0.35">
      <c r="D811" s="30" t="str">
        <f t="shared" si="44"/>
        <v>Medical records and health information technicians</v>
      </c>
      <c r="E811">
        <f t="shared" si="47"/>
        <v>34393</v>
      </c>
    </row>
    <row r="812" spans="4:5" x14ac:dyDescent="0.35">
      <c r="D812" s="30" t="str">
        <f t="shared" si="44"/>
        <v>Optometrists and opticians</v>
      </c>
      <c r="E812">
        <f t="shared" si="47"/>
        <v>5371</v>
      </c>
    </row>
    <row r="813" spans="4:5" x14ac:dyDescent="0.35">
      <c r="D813" s="30" t="str">
        <f t="shared" ref="D813:D876" si="48">D789</f>
        <v>Other health management and support workers</v>
      </c>
      <c r="E813">
        <f t="shared" si="47"/>
        <v>0</v>
      </c>
    </row>
    <row r="814" spans="4:5" x14ac:dyDescent="0.35">
      <c r="D814" s="30" t="str">
        <f t="shared" si="48"/>
        <v>Other health service providers</v>
      </c>
      <c r="E814">
        <f t="shared" si="47"/>
        <v>3919</v>
      </c>
    </row>
    <row r="815" spans="4:5" x14ac:dyDescent="0.35">
      <c r="D815" s="30" t="str">
        <f t="shared" si="48"/>
        <v>Medical and pathology laboratory technicians</v>
      </c>
      <c r="E815">
        <f t="shared" si="47"/>
        <v>311269</v>
      </c>
    </row>
    <row r="816" spans="4:5" x14ac:dyDescent="0.35">
      <c r="D816" s="30" t="str">
        <f t="shared" si="48"/>
        <v>Paramedical practitioners (specify)</v>
      </c>
      <c r="E816">
        <f t="shared" si="47"/>
        <v>30</v>
      </c>
    </row>
    <row r="817" spans="2:5" x14ac:dyDescent="0.35">
      <c r="D817" s="30" t="str">
        <f t="shared" si="48"/>
        <v>Physiotherapists and physiotherapy assistants</v>
      </c>
      <c r="E817">
        <f t="shared" si="47"/>
        <v>15823</v>
      </c>
    </row>
    <row r="818" spans="2:5" x14ac:dyDescent="0.35">
      <c r="D818" s="30" t="str">
        <f t="shared" si="48"/>
        <v>Social workers</v>
      </c>
      <c r="E818">
        <f t="shared" si="47"/>
        <v>0</v>
      </c>
    </row>
    <row r="819" spans="2:5" x14ac:dyDescent="0.35">
      <c r="D819" s="30" t="str">
        <f t="shared" si="48"/>
        <v>Speech Therapist</v>
      </c>
      <c r="E819">
        <f t="shared" si="47"/>
        <v>0</v>
      </c>
    </row>
    <row r="820" spans="2:5" x14ac:dyDescent="0.35">
      <c r="D820" s="30" t="str">
        <f t="shared" si="48"/>
        <v>Traditional and complementary medicine practitioners</v>
      </c>
      <c r="E820">
        <f t="shared" si="47"/>
        <v>0</v>
      </c>
    </row>
    <row r="821" spans="2:5" x14ac:dyDescent="0.35">
      <c r="B821" t="e">
        <f>#REF!</f>
        <v>#REF!</v>
      </c>
      <c r="C821" t="str">
        <f>AI1</f>
        <v>RWA</v>
      </c>
      <c r="D821" s="29" t="str">
        <f t="shared" si="48"/>
        <v>Medical doctors</v>
      </c>
      <c r="E821">
        <f t="shared" ref="E821:E844" si="49">AI2</f>
        <v>1350</v>
      </c>
    </row>
    <row r="822" spans="2:5" x14ac:dyDescent="0.35">
      <c r="D822" s="30" t="str">
        <f t="shared" si="48"/>
        <v>Nursing Personnel</v>
      </c>
      <c r="E822">
        <f t="shared" si="49"/>
        <v>9551</v>
      </c>
    </row>
    <row r="823" spans="2:5" x14ac:dyDescent="0.35">
      <c r="D823" s="30" t="str">
        <f t="shared" si="48"/>
        <v>Midwifery personnel</v>
      </c>
      <c r="E823">
        <f t="shared" si="49"/>
        <v>1207</v>
      </c>
    </row>
    <row r="824" spans="2:5" x14ac:dyDescent="0.35">
      <c r="D824" s="30" t="str">
        <f t="shared" si="48"/>
        <v>Pharmacists</v>
      </c>
      <c r="E824">
        <f t="shared" si="49"/>
        <v>167</v>
      </c>
    </row>
    <row r="825" spans="2:5" x14ac:dyDescent="0.35">
      <c r="D825" s="30" t="str">
        <f t="shared" si="48"/>
        <v>Dentists</v>
      </c>
      <c r="E825">
        <f t="shared" si="49"/>
        <v>228</v>
      </c>
    </row>
    <row r="826" spans="2:5" x14ac:dyDescent="0.35">
      <c r="D826" s="30" t="str">
        <f t="shared" si="48"/>
        <v>Community health workers</v>
      </c>
      <c r="E826">
        <f t="shared" si="49"/>
        <v>45000</v>
      </c>
    </row>
    <row r="827" spans="2:5" x14ac:dyDescent="0.35">
      <c r="D827" s="30" t="str">
        <f t="shared" si="48"/>
        <v>Dieticians and nutritionists</v>
      </c>
      <c r="E827">
        <f t="shared" si="49"/>
        <v>0</v>
      </c>
    </row>
    <row r="828" spans="2:5" x14ac:dyDescent="0.35">
      <c r="D828" s="30" t="str">
        <f t="shared" si="48"/>
        <v>Environmental and occupational health &amp; hygiene workers</v>
      </c>
      <c r="E828">
        <f t="shared" si="49"/>
        <v>0</v>
      </c>
    </row>
    <row r="829" spans="2:5" x14ac:dyDescent="0.35">
      <c r="D829" s="30" t="str">
        <f t="shared" si="48"/>
        <v>Health care assistants and other personal care workers in health services</v>
      </c>
      <c r="E829">
        <f t="shared" si="49"/>
        <v>0</v>
      </c>
    </row>
    <row r="830" spans="2:5" x14ac:dyDescent="0.35">
      <c r="D830" s="30" t="str">
        <f t="shared" si="48"/>
        <v>Health service managers</v>
      </c>
      <c r="E830">
        <f t="shared" si="49"/>
        <v>0</v>
      </c>
    </row>
    <row r="831" spans="2:5" x14ac:dyDescent="0.35">
      <c r="D831" s="30" t="str">
        <f t="shared" si="48"/>
        <v>Medical and dental prosthetic technicians</v>
      </c>
      <c r="E831">
        <f t="shared" si="49"/>
        <v>0</v>
      </c>
    </row>
    <row r="832" spans="2:5" x14ac:dyDescent="0.35">
      <c r="D832" s="30" t="str">
        <f t="shared" si="48"/>
        <v>Other science professionals and technicians</v>
      </c>
      <c r="E832">
        <f t="shared" si="49"/>
        <v>321</v>
      </c>
    </row>
    <row r="833" spans="2:5" x14ac:dyDescent="0.35">
      <c r="D833" s="30" t="str">
        <f t="shared" si="48"/>
        <v>Medical assistants – clinical officers</v>
      </c>
      <c r="E833">
        <f t="shared" si="49"/>
        <v>0</v>
      </c>
    </row>
    <row r="834" spans="2:5" x14ac:dyDescent="0.35">
      <c r="D834" s="30" t="str">
        <f t="shared" si="48"/>
        <v>Medical imaging and therapeutic equipment operators</v>
      </c>
      <c r="E834">
        <f t="shared" si="49"/>
        <v>0</v>
      </c>
    </row>
    <row r="835" spans="2:5" x14ac:dyDescent="0.35">
      <c r="D835" s="30" t="str">
        <f t="shared" si="48"/>
        <v>Medical records and health information technicians</v>
      </c>
      <c r="E835">
        <f t="shared" si="49"/>
        <v>0</v>
      </c>
    </row>
    <row r="836" spans="2:5" x14ac:dyDescent="0.35">
      <c r="D836" s="30" t="str">
        <f t="shared" si="48"/>
        <v>Optometrists and opticians</v>
      </c>
      <c r="E836">
        <f t="shared" si="49"/>
        <v>0</v>
      </c>
    </row>
    <row r="837" spans="2:5" x14ac:dyDescent="0.35">
      <c r="D837" s="30" t="str">
        <f t="shared" si="48"/>
        <v>Other health management and support workers</v>
      </c>
      <c r="E837">
        <f t="shared" si="49"/>
        <v>0</v>
      </c>
    </row>
    <row r="838" spans="2:5" x14ac:dyDescent="0.35">
      <c r="D838" s="30" t="str">
        <f t="shared" si="48"/>
        <v>Other health service providers</v>
      </c>
      <c r="E838">
        <f t="shared" si="49"/>
        <v>0</v>
      </c>
    </row>
    <row r="839" spans="2:5" x14ac:dyDescent="0.35">
      <c r="D839" s="30" t="str">
        <f t="shared" si="48"/>
        <v>Medical and pathology laboratory technicians</v>
      </c>
      <c r="E839">
        <f t="shared" si="49"/>
        <v>1990</v>
      </c>
    </row>
    <row r="840" spans="2:5" x14ac:dyDescent="0.35">
      <c r="D840" s="30" t="str">
        <f t="shared" si="48"/>
        <v>Paramedical practitioners (specify)</v>
      </c>
      <c r="E840">
        <f t="shared" si="49"/>
        <v>0</v>
      </c>
    </row>
    <row r="841" spans="2:5" x14ac:dyDescent="0.35">
      <c r="D841" s="30" t="str">
        <f t="shared" si="48"/>
        <v>Physiotherapists and physiotherapy assistants</v>
      </c>
      <c r="E841">
        <f t="shared" si="49"/>
        <v>182</v>
      </c>
    </row>
    <row r="842" spans="2:5" x14ac:dyDescent="0.35">
      <c r="D842" s="30" t="str">
        <f t="shared" si="48"/>
        <v>Social workers</v>
      </c>
      <c r="E842">
        <f t="shared" si="49"/>
        <v>0</v>
      </c>
    </row>
    <row r="843" spans="2:5" x14ac:dyDescent="0.35">
      <c r="D843" s="30" t="str">
        <f t="shared" si="48"/>
        <v>Speech Therapist</v>
      </c>
      <c r="E843">
        <f t="shared" si="49"/>
        <v>0</v>
      </c>
    </row>
    <row r="844" spans="2:5" x14ac:dyDescent="0.35">
      <c r="D844" s="30" t="str">
        <f t="shared" si="48"/>
        <v>Traditional and complementary medicine practitioners</v>
      </c>
      <c r="E844">
        <f t="shared" si="49"/>
        <v>0</v>
      </c>
    </row>
    <row r="845" spans="2:5" x14ac:dyDescent="0.35">
      <c r="B845" t="e">
        <f>#REF!</f>
        <v>#REF!</v>
      </c>
      <c r="C845" t="str">
        <f>AJ1</f>
        <v>SEN</v>
      </c>
      <c r="D845" s="29" t="str">
        <f t="shared" si="48"/>
        <v>Medical doctors</v>
      </c>
      <c r="E845">
        <f t="shared" ref="E845:E868" si="50">AJ2</f>
        <v>2883</v>
      </c>
    </row>
    <row r="846" spans="2:5" x14ac:dyDescent="0.35">
      <c r="D846" s="30" t="str">
        <f t="shared" si="48"/>
        <v>Nursing Personnel</v>
      </c>
      <c r="E846">
        <f t="shared" si="50"/>
        <v>4577</v>
      </c>
    </row>
    <row r="847" spans="2:5" x14ac:dyDescent="0.35">
      <c r="D847" s="30" t="str">
        <f t="shared" si="48"/>
        <v>Midwifery personnel</v>
      </c>
      <c r="E847">
        <f t="shared" si="50"/>
        <v>3015</v>
      </c>
    </row>
    <row r="848" spans="2:5" x14ac:dyDescent="0.35">
      <c r="D848" s="30" t="str">
        <f t="shared" si="48"/>
        <v>Pharmacists</v>
      </c>
      <c r="E848">
        <f t="shared" si="50"/>
        <v>215</v>
      </c>
    </row>
    <row r="849" spans="4:5" x14ac:dyDescent="0.35">
      <c r="D849" s="30" t="str">
        <f t="shared" si="48"/>
        <v>Dentists</v>
      </c>
      <c r="E849">
        <f t="shared" si="50"/>
        <v>236</v>
      </c>
    </row>
    <row r="850" spans="4:5" x14ac:dyDescent="0.35">
      <c r="D850" s="30" t="str">
        <f t="shared" si="48"/>
        <v>Community health workers</v>
      </c>
      <c r="E850">
        <f t="shared" si="50"/>
        <v>17417</v>
      </c>
    </row>
    <row r="851" spans="4:5" x14ac:dyDescent="0.35">
      <c r="D851" s="30" t="str">
        <f t="shared" si="48"/>
        <v>Dieticians and nutritionists</v>
      </c>
      <c r="E851">
        <f t="shared" si="50"/>
        <v>4</v>
      </c>
    </row>
    <row r="852" spans="4:5" x14ac:dyDescent="0.35">
      <c r="D852" s="30" t="str">
        <f t="shared" si="48"/>
        <v>Environmental and occupational health &amp; hygiene workers</v>
      </c>
      <c r="E852">
        <f t="shared" si="50"/>
        <v>573</v>
      </c>
    </row>
    <row r="853" spans="4:5" x14ac:dyDescent="0.35">
      <c r="D853" s="30" t="str">
        <f t="shared" si="48"/>
        <v>Health care assistants and other personal care workers in health services</v>
      </c>
      <c r="E853">
        <f t="shared" si="50"/>
        <v>1670</v>
      </c>
    </row>
    <row r="854" spans="4:5" x14ac:dyDescent="0.35">
      <c r="D854" s="30" t="str">
        <f t="shared" si="48"/>
        <v>Health service managers</v>
      </c>
      <c r="E854">
        <f t="shared" si="50"/>
        <v>135</v>
      </c>
    </row>
    <row r="855" spans="4:5" x14ac:dyDescent="0.35">
      <c r="D855" s="30" t="str">
        <f t="shared" si="48"/>
        <v>Medical and dental prosthetic technicians</v>
      </c>
      <c r="E855">
        <f t="shared" si="50"/>
        <v>100</v>
      </c>
    </row>
    <row r="856" spans="4:5" x14ac:dyDescent="0.35">
      <c r="D856" s="30" t="str">
        <f t="shared" si="48"/>
        <v>Other science professionals and technicians</v>
      </c>
      <c r="E856">
        <f t="shared" si="50"/>
        <v>1045</v>
      </c>
    </row>
    <row r="857" spans="4:5" x14ac:dyDescent="0.35">
      <c r="D857" s="30" t="str">
        <f t="shared" si="48"/>
        <v>Medical assistants – clinical officers</v>
      </c>
      <c r="E857">
        <f t="shared" si="50"/>
        <v>2543</v>
      </c>
    </row>
    <row r="858" spans="4:5" x14ac:dyDescent="0.35">
      <c r="D858" s="30" t="str">
        <f t="shared" si="48"/>
        <v>Medical imaging and therapeutic equipment operators</v>
      </c>
      <c r="E858">
        <f t="shared" si="50"/>
        <v>542</v>
      </c>
    </row>
    <row r="859" spans="4:5" x14ac:dyDescent="0.35">
      <c r="D859" s="30" t="str">
        <f t="shared" si="48"/>
        <v>Medical records and health information technicians</v>
      </c>
      <c r="E859">
        <f t="shared" si="50"/>
        <v>17</v>
      </c>
    </row>
    <row r="860" spans="4:5" x14ac:dyDescent="0.35">
      <c r="D860" s="30" t="str">
        <f t="shared" si="48"/>
        <v>Optometrists and opticians</v>
      </c>
      <c r="E860">
        <f t="shared" si="50"/>
        <v>108</v>
      </c>
    </row>
    <row r="861" spans="4:5" x14ac:dyDescent="0.35">
      <c r="D861" s="30" t="str">
        <f t="shared" si="48"/>
        <v>Other health management and support workers</v>
      </c>
      <c r="E861">
        <f t="shared" si="50"/>
        <v>5868</v>
      </c>
    </row>
    <row r="862" spans="4:5" x14ac:dyDescent="0.35">
      <c r="D862" s="30" t="str">
        <f t="shared" si="48"/>
        <v>Other health service providers</v>
      </c>
      <c r="E862">
        <f t="shared" si="50"/>
        <v>0</v>
      </c>
    </row>
    <row r="863" spans="4:5" x14ac:dyDescent="0.35">
      <c r="D863" s="30" t="str">
        <f t="shared" si="48"/>
        <v>Medical and pathology laboratory technicians</v>
      </c>
      <c r="E863">
        <f t="shared" si="50"/>
        <v>328</v>
      </c>
    </row>
    <row r="864" spans="4:5" x14ac:dyDescent="0.35">
      <c r="D864" s="30" t="str">
        <f t="shared" si="48"/>
        <v>Paramedical practitioners (specify)</v>
      </c>
      <c r="E864">
        <f t="shared" si="50"/>
        <v>505</v>
      </c>
    </row>
    <row r="865" spans="2:5" x14ac:dyDescent="0.35">
      <c r="D865" s="30" t="str">
        <f t="shared" si="48"/>
        <v>Physiotherapists and physiotherapy assistants</v>
      </c>
      <c r="E865">
        <f t="shared" si="50"/>
        <v>0</v>
      </c>
    </row>
    <row r="866" spans="2:5" x14ac:dyDescent="0.35">
      <c r="D866" s="30" t="str">
        <f t="shared" si="48"/>
        <v>Social workers</v>
      </c>
      <c r="E866">
        <f t="shared" si="50"/>
        <v>0</v>
      </c>
    </row>
    <row r="867" spans="2:5" x14ac:dyDescent="0.35">
      <c r="D867" s="30" t="str">
        <f t="shared" si="48"/>
        <v>Speech Therapist</v>
      </c>
      <c r="E867">
        <f t="shared" si="50"/>
        <v>0</v>
      </c>
    </row>
    <row r="868" spans="2:5" x14ac:dyDescent="0.35">
      <c r="D868" s="30" t="str">
        <f t="shared" si="48"/>
        <v>Traditional and complementary medicine practitioners</v>
      </c>
      <c r="E868">
        <f t="shared" si="50"/>
        <v>0</v>
      </c>
    </row>
    <row r="869" spans="2:5" x14ac:dyDescent="0.35">
      <c r="B869" t="e">
        <f>#REF!</f>
        <v>#REF!</v>
      </c>
      <c r="C869" t="str">
        <f>AK1</f>
        <v>SLE</v>
      </c>
      <c r="D869" s="29" t="str">
        <f t="shared" si="48"/>
        <v>Medical doctors</v>
      </c>
      <c r="E869">
        <f t="shared" ref="E869:E892" si="51">AK2</f>
        <v>281</v>
      </c>
    </row>
    <row r="870" spans="2:5" x14ac:dyDescent="0.35">
      <c r="D870" s="30" t="str">
        <f t="shared" si="48"/>
        <v>Nursing Personnel</v>
      </c>
      <c r="E870">
        <f t="shared" si="51"/>
        <v>5302</v>
      </c>
    </row>
    <row r="871" spans="2:5" x14ac:dyDescent="0.35">
      <c r="D871" s="30" t="str">
        <f t="shared" si="48"/>
        <v>Midwifery personnel</v>
      </c>
      <c r="E871">
        <f t="shared" si="51"/>
        <v>391</v>
      </c>
    </row>
    <row r="872" spans="2:5" x14ac:dyDescent="0.35">
      <c r="D872" s="30" t="str">
        <f t="shared" si="48"/>
        <v>Pharmacists</v>
      </c>
      <c r="E872">
        <f t="shared" si="51"/>
        <v>156</v>
      </c>
    </row>
    <row r="873" spans="2:5" x14ac:dyDescent="0.35">
      <c r="D873" s="30" t="str">
        <f t="shared" si="48"/>
        <v>Dentists</v>
      </c>
      <c r="E873">
        <f t="shared" si="51"/>
        <v>423</v>
      </c>
    </row>
    <row r="874" spans="2:5" x14ac:dyDescent="0.35">
      <c r="D874" s="30" t="str">
        <f t="shared" si="48"/>
        <v>Community health workers</v>
      </c>
      <c r="E874">
        <f t="shared" si="51"/>
        <v>505</v>
      </c>
    </row>
    <row r="875" spans="2:5" x14ac:dyDescent="0.35">
      <c r="D875" s="30" t="str">
        <f t="shared" si="48"/>
        <v>Dieticians and nutritionists</v>
      </c>
      <c r="E875">
        <f t="shared" si="51"/>
        <v>103</v>
      </c>
    </row>
    <row r="876" spans="2:5" x14ac:dyDescent="0.35">
      <c r="D876" s="30" t="str">
        <f t="shared" si="48"/>
        <v>Environmental and occupational health &amp; hygiene workers</v>
      </c>
      <c r="E876">
        <f t="shared" si="51"/>
        <v>406</v>
      </c>
    </row>
    <row r="877" spans="2:5" x14ac:dyDescent="0.35">
      <c r="D877" s="30" t="str">
        <f t="shared" ref="D877:D940" si="52">D853</f>
        <v>Health care assistants and other personal care workers in health services</v>
      </c>
      <c r="E877">
        <f t="shared" si="51"/>
        <v>0</v>
      </c>
    </row>
    <row r="878" spans="2:5" x14ac:dyDescent="0.35">
      <c r="D878" s="30" t="str">
        <f t="shared" si="52"/>
        <v>Health service managers</v>
      </c>
      <c r="E878">
        <f t="shared" si="51"/>
        <v>0</v>
      </c>
    </row>
    <row r="879" spans="2:5" x14ac:dyDescent="0.35">
      <c r="D879" s="30" t="str">
        <f t="shared" si="52"/>
        <v>Medical and dental prosthetic technicians</v>
      </c>
      <c r="E879">
        <f t="shared" si="51"/>
        <v>128</v>
      </c>
    </row>
    <row r="880" spans="2:5" x14ac:dyDescent="0.35">
      <c r="D880" s="30" t="str">
        <f t="shared" si="52"/>
        <v>Other science professionals and technicians</v>
      </c>
      <c r="E880">
        <f t="shared" si="51"/>
        <v>0</v>
      </c>
    </row>
    <row r="881" spans="2:5" x14ac:dyDescent="0.35">
      <c r="D881" s="30" t="str">
        <f t="shared" si="52"/>
        <v>Medical assistants – clinical officers</v>
      </c>
      <c r="E881">
        <f t="shared" si="51"/>
        <v>0</v>
      </c>
    </row>
    <row r="882" spans="2:5" x14ac:dyDescent="0.35">
      <c r="D882" s="30" t="str">
        <f t="shared" si="52"/>
        <v>Medical imaging and therapeutic equipment operators</v>
      </c>
      <c r="E882">
        <f t="shared" si="51"/>
        <v>22</v>
      </c>
    </row>
    <row r="883" spans="2:5" x14ac:dyDescent="0.35">
      <c r="D883" s="30" t="str">
        <f t="shared" si="52"/>
        <v>Medical records and health information technicians</v>
      </c>
      <c r="E883">
        <f t="shared" si="51"/>
        <v>0</v>
      </c>
    </row>
    <row r="884" spans="2:5" x14ac:dyDescent="0.35">
      <c r="D884" s="30" t="str">
        <f t="shared" si="52"/>
        <v>Optometrists and opticians</v>
      </c>
      <c r="E884">
        <f t="shared" si="51"/>
        <v>13</v>
      </c>
    </row>
    <row r="885" spans="2:5" x14ac:dyDescent="0.35">
      <c r="D885" s="30" t="str">
        <f t="shared" si="52"/>
        <v>Other health management and support workers</v>
      </c>
      <c r="E885">
        <f t="shared" si="51"/>
        <v>0</v>
      </c>
    </row>
    <row r="886" spans="2:5" x14ac:dyDescent="0.35">
      <c r="D886" s="30" t="str">
        <f t="shared" si="52"/>
        <v>Other health service providers</v>
      </c>
      <c r="E886">
        <f t="shared" si="51"/>
        <v>0</v>
      </c>
    </row>
    <row r="887" spans="2:5" x14ac:dyDescent="0.35">
      <c r="D887" s="30" t="str">
        <f t="shared" si="52"/>
        <v>Medical and pathology laboratory technicians</v>
      </c>
      <c r="E887">
        <f t="shared" si="51"/>
        <v>311</v>
      </c>
    </row>
    <row r="888" spans="2:5" x14ac:dyDescent="0.35">
      <c r="D888" s="30" t="str">
        <f t="shared" si="52"/>
        <v>Paramedical practitioners (specify)</v>
      </c>
      <c r="E888">
        <f t="shared" si="51"/>
        <v>0</v>
      </c>
    </row>
    <row r="889" spans="2:5" x14ac:dyDescent="0.35">
      <c r="D889" s="30" t="str">
        <f t="shared" si="52"/>
        <v>Physiotherapists and physiotherapy assistants</v>
      </c>
      <c r="E889">
        <f t="shared" si="51"/>
        <v>13</v>
      </c>
    </row>
    <row r="890" spans="2:5" x14ac:dyDescent="0.35">
      <c r="D890" s="30" t="str">
        <f t="shared" si="52"/>
        <v>Social workers</v>
      </c>
      <c r="E890">
        <f t="shared" si="51"/>
        <v>0</v>
      </c>
    </row>
    <row r="891" spans="2:5" x14ac:dyDescent="0.35">
      <c r="D891" s="30" t="str">
        <f t="shared" si="52"/>
        <v>Speech Therapist</v>
      </c>
      <c r="E891">
        <f t="shared" si="51"/>
        <v>0</v>
      </c>
    </row>
    <row r="892" spans="2:5" x14ac:dyDescent="0.35">
      <c r="D892" s="30" t="str">
        <f t="shared" si="52"/>
        <v>Traditional and complementary medicine practitioners</v>
      </c>
      <c r="E892">
        <f t="shared" si="51"/>
        <v>0</v>
      </c>
    </row>
    <row r="893" spans="2:5" x14ac:dyDescent="0.35">
      <c r="B893" t="e">
        <f>#REF!</f>
        <v>#REF!</v>
      </c>
      <c r="C893" t="str">
        <f>AL1</f>
        <v>SSD</v>
      </c>
      <c r="D893" s="29" t="str">
        <f t="shared" si="52"/>
        <v>Medical doctors</v>
      </c>
      <c r="E893">
        <f t="shared" ref="E893:E916" si="53">AL2</f>
        <v>411</v>
      </c>
    </row>
    <row r="894" spans="2:5" x14ac:dyDescent="0.35">
      <c r="D894" s="30" t="str">
        <f t="shared" si="52"/>
        <v>Nursing Personnel</v>
      </c>
      <c r="E894">
        <f t="shared" si="53"/>
        <v>2014</v>
      </c>
    </row>
    <row r="895" spans="2:5" x14ac:dyDescent="0.35">
      <c r="D895" s="30" t="str">
        <f t="shared" si="52"/>
        <v>Midwifery personnel</v>
      </c>
      <c r="E895">
        <f t="shared" si="53"/>
        <v>1712</v>
      </c>
    </row>
    <row r="896" spans="2:5" x14ac:dyDescent="0.35">
      <c r="D896" s="30" t="str">
        <f t="shared" si="52"/>
        <v>Pharmacists</v>
      </c>
      <c r="E896">
        <f t="shared" si="53"/>
        <v>360</v>
      </c>
    </row>
    <row r="897" spans="4:5" x14ac:dyDescent="0.35">
      <c r="D897" s="30" t="str">
        <f t="shared" si="52"/>
        <v>Dentists</v>
      </c>
      <c r="E897">
        <f t="shared" si="53"/>
        <v>32</v>
      </c>
    </row>
    <row r="898" spans="4:5" x14ac:dyDescent="0.35">
      <c r="D898" s="30" t="str">
        <f t="shared" si="52"/>
        <v>Community health workers</v>
      </c>
      <c r="E898">
        <f t="shared" si="53"/>
        <v>1455</v>
      </c>
    </row>
    <row r="899" spans="4:5" x14ac:dyDescent="0.35">
      <c r="D899" s="30" t="str">
        <f t="shared" si="52"/>
        <v>Dieticians and nutritionists</v>
      </c>
      <c r="E899">
        <f t="shared" si="53"/>
        <v>22</v>
      </c>
    </row>
    <row r="900" spans="4:5" x14ac:dyDescent="0.35">
      <c r="D900" s="30" t="str">
        <f t="shared" si="52"/>
        <v>Environmental and occupational health &amp; hygiene workers</v>
      </c>
      <c r="E900">
        <f t="shared" si="53"/>
        <v>250</v>
      </c>
    </row>
    <row r="901" spans="4:5" x14ac:dyDescent="0.35">
      <c r="D901" s="30" t="str">
        <f t="shared" si="52"/>
        <v>Health care assistants and other personal care workers in health services</v>
      </c>
      <c r="E901">
        <f t="shared" si="53"/>
        <v>0</v>
      </c>
    </row>
    <row r="902" spans="4:5" x14ac:dyDescent="0.35">
      <c r="D902" s="30" t="str">
        <f t="shared" si="52"/>
        <v>Health service managers</v>
      </c>
      <c r="E902">
        <f t="shared" si="53"/>
        <v>20</v>
      </c>
    </row>
    <row r="903" spans="4:5" x14ac:dyDescent="0.35">
      <c r="D903" s="30" t="str">
        <f t="shared" si="52"/>
        <v>Medical and dental prosthetic technicians</v>
      </c>
      <c r="E903">
        <f t="shared" si="53"/>
        <v>21</v>
      </c>
    </row>
    <row r="904" spans="4:5" x14ac:dyDescent="0.35">
      <c r="D904" s="30" t="str">
        <f t="shared" si="52"/>
        <v>Other science professionals and technicians</v>
      </c>
      <c r="E904">
        <f t="shared" si="53"/>
        <v>16</v>
      </c>
    </row>
    <row r="905" spans="4:5" x14ac:dyDescent="0.35">
      <c r="D905" s="30" t="str">
        <f t="shared" si="52"/>
        <v>Medical assistants – clinical officers</v>
      </c>
      <c r="E905">
        <f t="shared" si="53"/>
        <v>1306</v>
      </c>
    </row>
    <row r="906" spans="4:5" x14ac:dyDescent="0.35">
      <c r="D906" s="30" t="str">
        <f t="shared" si="52"/>
        <v>Medical imaging and therapeutic equipment operators</v>
      </c>
      <c r="E906">
        <f t="shared" si="53"/>
        <v>6</v>
      </c>
    </row>
    <row r="907" spans="4:5" x14ac:dyDescent="0.35">
      <c r="D907" s="30" t="str">
        <f t="shared" si="52"/>
        <v>Medical records and health information technicians</v>
      </c>
      <c r="E907">
        <f t="shared" si="53"/>
        <v>57</v>
      </c>
    </row>
    <row r="908" spans="4:5" x14ac:dyDescent="0.35">
      <c r="D908" s="30" t="str">
        <f t="shared" si="52"/>
        <v>Optometrists and opticians</v>
      </c>
      <c r="E908">
        <f t="shared" si="53"/>
        <v>7</v>
      </c>
    </row>
    <row r="909" spans="4:5" x14ac:dyDescent="0.35">
      <c r="D909" s="30" t="str">
        <f t="shared" si="52"/>
        <v>Other health management and support workers</v>
      </c>
      <c r="E909">
        <f t="shared" si="53"/>
        <v>0</v>
      </c>
    </row>
    <row r="910" spans="4:5" x14ac:dyDescent="0.35">
      <c r="D910" s="30" t="str">
        <f t="shared" si="52"/>
        <v>Other health service providers</v>
      </c>
      <c r="E910">
        <f t="shared" si="53"/>
        <v>0</v>
      </c>
    </row>
    <row r="911" spans="4:5" x14ac:dyDescent="0.35">
      <c r="D911" s="30" t="str">
        <f t="shared" si="52"/>
        <v>Medical and pathology laboratory technicians</v>
      </c>
      <c r="E911">
        <f t="shared" si="53"/>
        <v>272</v>
      </c>
    </row>
    <row r="912" spans="4:5" x14ac:dyDescent="0.35">
      <c r="D912" s="30" t="str">
        <f t="shared" si="52"/>
        <v>Paramedical practitioners (specify)</v>
      </c>
      <c r="E912">
        <f t="shared" si="53"/>
        <v>0</v>
      </c>
    </row>
    <row r="913" spans="2:5" x14ac:dyDescent="0.35">
      <c r="D913" s="30" t="str">
        <f t="shared" si="52"/>
        <v>Physiotherapists and physiotherapy assistants</v>
      </c>
      <c r="E913">
        <f t="shared" si="53"/>
        <v>9</v>
      </c>
    </row>
    <row r="914" spans="2:5" x14ac:dyDescent="0.35">
      <c r="D914" s="30" t="str">
        <f t="shared" si="52"/>
        <v>Social workers</v>
      </c>
      <c r="E914">
        <f t="shared" si="53"/>
        <v>0</v>
      </c>
    </row>
    <row r="915" spans="2:5" x14ac:dyDescent="0.35">
      <c r="D915" s="30" t="str">
        <f t="shared" si="52"/>
        <v>Speech Therapist</v>
      </c>
      <c r="E915">
        <f t="shared" si="53"/>
        <v>0</v>
      </c>
    </row>
    <row r="916" spans="2:5" x14ac:dyDescent="0.35">
      <c r="D916" s="30" t="str">
        <f t="shared" si="52"/>
        <v>Traditional and complementary medicine practitioners</v>
      </c>
      <c r="E916">
        <f t="shared" si="53"/>
        <v>0</v>
      </c>
    </row>
    <row r="917" spans="2:5" x14ac:dyDescent="0.35">
      <c r="B917" t="e">
        <f>#REF!</f>
        <v>#REF!</v>
      </c>
      <c r="C917" t="str">
        <f>AM1</f>
        <v>STP</v>
      </c>
      <c r="D917" s="29" t="str">
        <f t="shared" si="52"/>
        <v>Medical doctors</v>
      </c>
      <c r="E917">
        <f t="shared" ref="E917:E940" si="54">AM2</f>
        <v>60</v>
      </c>
    </row>
    <row r="918" spans="2:5" x14ac:dyDescent="0.35">
      <c r="D918" s="30" t="str">
        <f t="shared" si="52"/>
        <v>Nursing Personnel</v>
      </c>
      <c r="E918">
        <f t="shared" si="54"/>
        <v>206</v>
      </c>
    </row>
    <row r="919" spans="2:5" x14ac:dyDescent="0.35">
      <c r="D919" s="30" t="str">
        <f t="shared" si="52"/>
        <v>Midwifery personnel</v>
      </c>
      <c r="E919">
        <f t="shared" si="54"/>
        <v>50</v>
      </c>
    </row>
    <row r="920" spans="2:5" x14ac:dyDescent="0.35">
      <c r="D920" s="30" t="str">
        <f t="shared" si="52"/>
        <v>Pharmacists</v>
      </c>
      <c r="E920">
        <f t="shared" si="54"/>
        <v>0</v>
      </c>
    </row>
    <row r="921" spans="2:5" x14ac:dyDescent="0.35">
      <c r="D921" s="30" t="str">
        <f t="shared" si="52"/>
        <v>Dentists</v>
      </c>
      <c r="E921">
        <f t="shared" si="54"/>
        <v>0</v>
      </c>
    </row>
    <row r="922" spans="2:5" x14ac:dyDescent="0.35">
      <c r="D922" s="30" t="str">
        <f t="shared" si="52"/>
        <v>Community health workers</v>
      </c>
      <c r="E922">
        <f t="shared" si="54"/>
        <v>0</v>
      </c>
    </row>
    <row r="923" spans="2:5" x14ac:dyDescent="0.35">
      <c r="D923" s="30" t="str">
        <f t="shared" si="52"/>
        <v>Dieticians and nutritionists</v>
      </c>
      <c r="E923">
        <f t="shared" si="54"/>
        <v>0</v>
      </c>
    </row>
    <row r="924" spans="2:5" x14ac:dyDescent="0.35">
      <c r="D924" s="30" t="str">
        <f t="shared" si="52"/>
        <v>Environmental and occupational health &amp; hygiene workers</v>
      </c>
      <c r="E924">
        <f t="shared" si="54"/>
        <v>0</v>
      </c>
    </row>
    <row r="925" spans="2:5" x14ac:dyDescent="0.35">
      <c r="D925" s="30" t="str">
        <f t="shared" si="52"/>
        <v>Health care assistants and other personal care workers in health services</v>
      </c>
      <c r="E925">
        <f t="shared" si="54"/>
        <v>0</v>
      </c>
    </row>
    <row r="926" spans="2:5" x14ac:dyDescent="0.35">
      <c r="D926" s="30" t="str">
        <f t="shared" si="52"/>
        <v>Health service managers</v>
      </c>
      <c r="E926">
        <f t="shared" si="54"/>
        <v>79</v>
      </c>
    </row>
    <row r="927" spans="2:5" x14ac:dyDescent="0.35">
      <c r="D927" s="30" t="str">
        <f t="shared" si="52"/>
        <v>Medical and dental prosthetic technicians</v>
      </c>
      <c r="E927">
        <f t="shared" si="54"/>
        <v>0</v>
      </c>
    </row>
    <row r="928" spans="2:5" x14ac:dyDescent="0.35">
      <c r="D928" s="30" t="str">
        <f t="shared" si="52"/>
        <v>Other science professionals and technicians</v>
      </c>
      <c r="E928">
        <f t="shared" si="54"/>
        <v>146</v>
      </c>
    </row>
    <row r="929" spans="2:5" x14ac:dyDescent="0.35">
      <c r="D929" s="30" t="str">
        <f t="shared" si="52"/>
        <v>Medical assistants – clinical officers</v>
      </c>
      <c r="E929">
        <f t="shared" si="54"/>
        <v>0</v>
      </c>
    </row>
    <row r="930" spans="2:5" x14ac:dyDescent="0.35">
      <c r="D930" s="30" t="str">
        <f t="shared" si="52"/>
        <v>Medical imaging and therapeutic equipment operators</v>
      </c>
      <c r="E930">
        <f t="shared" si="54"/>
        <v>0</v>
      </c>
    </row>
    <row r="931" spans="2:5" x14ac:dyDescent="0.35">
      <c r="D931" s="30" t="str">
        <f t="shared" si="52"/>
        <v>Medical records and health information technicians</v>
      </c>
      <c r="E931">
        <f t="shared" si="54"/>
        <v>0</v>
      </c>
    </row>
    <row r="932" spans="2:5" x14ac:dyDescent="0.35">
      <c r="D932" s="30" t="str">
        <f t="shared" si="52"/>
        <v>Optometrists and opticians</v>
      </c>
      <c r="E932">
        <f t="shared" si="54"/>
        <v>0</v>
      </c>
    </row>
    <row r="933" spans="2:5" x14ac:dyDescent="0.35">
      <c r="D933" s="30" t="str">
        <f t="shared" si="52"/>
        <v>Other health management and support workers</v>
      </c>
      <c r="E933">
        <f t="shared" si="54"/>
        <v>0</v>
      </c>
    </row>
    <row r="934" spans="2:5" x14ac:dyDescent="0.35">
      <c r="D934" s="30" t="str">
        <f t="shared" si="52"/>
        <v>Other health service providers</v>
      </c>
      <c r="E934">
        <f t="shared" si="54"/>
        <v>271</v>
      </c>
    </row>
    <row r="935" spans="2:5" x14ac:dyDescent="0.35">
      <c r="D935" s="30" t="str">
        <f t="shared" si="52"/>
        <v>Medical and pathology laboratory technicians</v>
      </c>
      <c r="E935">
        <f t="shared" si="54"/>
        <v>0</v>
      </c>
    </row>
    <row r="936" spans="2:5" x14ac:dyDescent="0.35">
      <c r="D936" s="30" t="str">
        <f t="shared" si="52"/>
        <v>Paramedical practitioners (specify)</v>
      </c>
      <c r="E936">
        <f t="shared" si="54"/>
        <v>0</v>
      </c>
    </row>
    <row r="937" spans="2:5" x14ac:dyDescent="0.35">
      <c r="D937" s="30" t="str">
        <f t="shared" si="52"/>
        <v>Physiotherapists and physiotherapy assistants</v>
      </c>
      <c r="E937">
        <f t="shared" si="54"/>
        <v>0</v>
      </c>
    </row>
    <row r="938" spans="2:5" x14ac:dyDescent="0.35">
      <c r="D938" s="30" t="str">
        <f t="shared" si="52"/>
        <v>Social workers</v>
      </c>
      <c r="E938">
        <f t="shared" si="54"/>
        <v>0</v>
      </c>
    </row>
    <row r="939" spans="2:5" x14ac:dyDescent="0.35">
      <c r="D939" s="30" t="str">
        <f t="shared" si="52"/>
        <v>Speech Therapist</v>
      </c>
      <c r="E939">
        <f t="shared" si="54"/>
        <v>0</v>
      </c>
    </row>
    <row r="940" spans="2:5" x14ac:dyDescent="0.35">
      <c r="D940" s="30" t="str">
        <f t="shared" si="52"/>
        <v>Traditional and complementary medicine practitioners</v>
      </c>
      <c r="E940">
        <f t="shared" si="54"/>
        <v>0</v>
      </c>
    </row>
    <row r="941" spans="2:5" x14ac:dyDescent="0.35">
      <c r="B941" t="e">
        <f>#REF!</f>
        <v>#REF!</v>
      </c>
      <c r="C941" t="str">
        <f>AN1</f>
        <v>SWZ</v>
      </c>
      <c r="D941" s="29" t="str">
        <f t="shared" ref="D941:D1004" si="55">D917</f>
        <v>Medical doctors</v>
      </c>
      <c r="E941">
        <f t="shared" ref="E941:E964" si="56">AN2</f>
        <v>278</v>
      </c>
    </row>
    <row r="942" spans="2:5" x14ac:dyDescent="0.35">
      <c r="D942" s="30" t="str">
        <f t="shared" si="55"/>
        <v>Nursing Personnel</v>
      </c>
      <c r="E942">
        <f t="shared" si="56"/>
        <v>2204</v>
      </c>
    </row>
    <row r="943" spans="2:5" x14ac:dyDescent="0.35">
      <c r="D943" s="30" t="str">
        <f t="shared" si="55"/>
        <v>Midwifery personnel</v>
      </c>
      <c r="E943">
        <f t="shared" si="56"/>
        <v>14</v>
      </c>
    </row>
    <row r="944" spans="2:5" x14ac:dyDescent="0.35">
      <c r="D944" s="30" t="str">
        <f t="shared" si="55"/>
        <v>Pharmacists</v>
      </c>
      <c r="E944">
        <f t="shared" si="56"/>
        <v>281</v>
      </c>
    </row>
    <row r="945" spans="4:5" x14ac:dyDescent="0.35">
      <c r="D945" s="30" t="str">
        <f t="shared" si="55"/>
        <v>Dentists</v>
      </c>
      <c r="E945">
        <f t="shared" si="56"/>
        <v>74</v>
      </c>
    </row>
    <row r="946" spans="4:5" x14ac:dyDescent="0.35">
      <c r="D946" s="30" t="str">
        <f t="shared" si="55"/>
        <v>Community health workers</v>
      </c>
      <c r="E946">
        <f t="shared" si="56"/>
        <v>6324</v>
      </c>
    </row>
    <row r="947" spans="4:5" x14ac:dyDescent="0.35">
      <c r="D947" s="30" t="str">
        <f t="shared" si="55"/>
        <v>Dieticians and nutritionists</v>
      </c>
      <c r="E947">
        <f t="shared" si="56"/>
        <v>0</v>
      </c>
    </row>
    <row r="948" spans="4:5" x14ac:dyDescent="0.35">
      <c r="D948" s="30" t="str">
        <f t="shared" si="55"/>
        <v>Environmental and occupational health &amp; hygiene workers</v>
      </c>
      <c r="E948">
        <f t="shared" si="56"/>
        <v>187</v>
      </c>
    </row>
    <row r="949" spans="4:5" x14ac:dyDescent="0.35">
      <c r="D949" s="30" t="str">
        <f t="shared" si="55"/>
        <v>Health care assistants and other personal care workers in health services</v>
      </c>
      <c r="E949">
        <f t="shared" si="56"/>
        <v>927</v>
      </c>
    </row>
    <row r="950" spans="4:5" x14ac:dyDescent="0.35">
      <c r="D950" s="30" t="str">
        <f t="shared" si="55"/>
        <v>Health service managers</v>
      </c>
      <c r="E950">
        <f t="shared" si="56"/>
        <v>195</v>
      </c>
    </row>
    <row r="951" spans="4:5" x14ac:dyDescent="0.35">
      <c r="D951" s="30" t="str">
        <f t="shared" si="55"/>
        <v>Medical and dental prosthetic technicians</v>
      </c>
      <c r="E951">
        <f t="shared" si="56"/>
        <v>0</v>
      </c>
    </row>
    <row r="952" spans="4:5" x14ac:dyDescent="0.35">
      <c r="D952" s="30" t="str">
        <f t="shared" si="55"/>
        <v>Other science professionals and technicians</v>
      </c>
      <c r="E952">
        <f t="shared" si="56"/>
        <v>84</v>
      </c>
    </row>
    <row r="953" spans="4:5" x14ac:dyDescent="0.35">
      <c r="D953" s="30" t="str">
        <f t="shared" si="55"/>
        <v>Medical assistants – clinical officers</v>
      </c>
      <c r="E953">
        <f t="shared" si="56"/>
        <v>28</v>
      </c>
    </row>
    <row r="954" spans="4:5" x14ac:dyDescent="0.35">
      <c r="D954" s="30" t="str">
        <f t="shared" si="55"/>
        <v>Medical imaging and therapeutic equipment operators</v>
      </c>
      <c r="E954">
        <f t="shared" si="56"/>
        <v>47</v>
      </c>
    </row>
    <row r="955" spans="4:5" x14ac:dyDescent="0.35">
      <c r="D955" s="30" t="str">
        <f t="shared" si="55"/>
        <v>Medical records and health information technicians</v>
      </c>
      <c r="E955">
        <f t="shared" si="56"/>
        <v>2084</v>
      </c>
    </row>
    <row r="956" spans="4:5" x14ac:dyDescent="0.35">
      <c r="D956" s="30" t="str">
        <f t="shared" si="55"/>
        <v>Optometrists and opticians</v>
      </c>
      <c r="E956">
        <f t="shared" si="56"/>
        <v>12</v>
      </c>
    </row>
    <row r="957" spans="4:5" x14ac:dyDescent="0.35">
      <c r="D957" s="30" t="str">
        <f t="shared" si="55"/>
        <v>Other health management and support workers</v>
      </c>
      <c r="E957">
        <f t="shared" si="56"/>
        <v>1215</v>
      </c>
    </row>
    <row r="958" spans="4:5" x14ac:dyDescent="0.35">
      <c r="D958" s="30" t="str">
        <f t="shared" si="55"/>
        <v>Other health service providers</v>
      </c>
      <c r="E958">
        <f t="shared" si="56"/>
        <v>85</v>
      </c>
    </row>
    <row r="959" spans="4:5" x14ac:dyDescent="0.35">
      <c r="D959" s="30" t="str">
        <f t="shared" si="55"/>
        <v>Medical and pathology laboratory technicians</v>
      </c>
      <c r="E959">
        <f t="shared" si="56"/>
        <v>370</v>
      </c>
    </row>
    <row r="960" spans="4:5" x14ac:dyDescent="0.35">
      <c r="D960" s="30" t="str">
        <f t="shared" si="55"/>
        <v>Paramedical practitioners (specify)</v>
      </c>
      <c r="E960">
        <f t="shared" si="56"/>
        <v>29</v>
      </c>
    </row>
    <row r="961" spans="2:5" x14ac:dyDescent="0.35">
      <c r="D961" s="30" t="str">
        <f t="shared" si="55"/>
        <v>Physiotherapists and physiotherapy assistants</v>
      </c>
      <c r="E961">
        <f t="shared" si="56"/>
        <v>29</v>
      </c>
    </row>
    <row r="962" spans="2:5" x14ac:dyDescent="0.35">
      <c r="D962" s="30" t="str">
        <f t="shared" si="55"/>
        <v>Social workers</v>
      </c>
      <c r="E962">
        <f t="shared" si="56"/>
        <v>0</v>
      </c>
    </row>
    <row r="963" spans="2:5" x14ac:dyDescent="0.35">
      <c r="D963" s="30" t="str">
        <f t="shared" si="55"/>
        <v>Speech Therapist</v>
      </c>
      <c r="E963">
        <f t="shared" si="56"/>
        <v>0</v>
      </c>
    </row>
    <row r="964" spans="2:5" x14ac:dyDescent="0.35">
      <c r="D964" s="30" t="str">
        <f t="shared" si="55"/>
        <v>Traditional and complementary medicine practitioners</v>
      </c>
      <c r="E964">
        <f t="shared" si="56"/>
        <v>7</v>
      </c>
    </row>
    <row r="965" spans="2:5" x14ac:dyDescent="0.35">
      <c r="B965" t="e">
        <f>#REF!</f>
        <v>#REF!</v>
      </c>
      <c r="C965" t="str">
        <f>AO1</f>
        <v>SYC</v>
      </c>
      <c r="D965" s="29" t="str">
        <f t="shared" si="55"/>
        <v>Medical doctors</v>
      </c>
      <c r="E965">
        <f t="shared" ref="E965:E988" si="57">AO2</f>
        <v>240</v>
      </c>
    </row>
    <row r="966" spans="2:5" x14ac:dyDescent="0.35">
      <c r="D966" s="30" t="str">
        <f t="shared" si="55"/>
        <v>Nursing Personnel</v>
      </c>
      <c r="E966">
        <f t="shared" si="57"/>
        <v>1272</v>
      </c>
    </row>
    <row r="967" spans="2:5" x14ac:dyDescent="0.35">
      <c r="D967" s="30" t="str">
        <f t="shared" si="55"/>
        <v>Midwifery personnel</v>
      </c>
      <c r="E967">
        <f t="shared" si="57"/>
        <v>5</v>
      </c>
    </row>
    <row r="968" spans="2:5" x14ac:dyDescent="0.35">
      <c r="D968" s="30" t="str">
        <f t="shared" si="55"/>
        <v>Pharmacists</v>
      </c>
      <c r="E968">
        <f t="shared" si="57"/>
        <v>124</v>
      </c>
    </row>
    <row r="969" spans="2:5" x14ac:dyDescent="0.35">
      <c r="D969" s="30" t="str">
        <f t="shared" si="55"/>
        <v>Dentists</v>
      </c>
      <c r="E969">
        <f t="shared" si="57"/>
        <v>163</v>
      </c>
    </row>
    <row r="970" spans="2:5" x14ac:dyDescent="0.35">
      <c r="D970" s="30" t="str">
        <f t="shared" si="55"/>
        <v>Community health workers</v>
      </c>
      <c r="E970">
        <f t="shared" si="57"/>
        <v>0</v>
      </c>
    </row>
    <row r="971" spans="2:5" x14ac:dyDescent="0.35">
      <c r="D971" s="30" t="str">
        <f t="shared" si="55"/>
        <v>Dieticians and nutritionists</v>
      </c>
      <c r="E971">
        <f t="shared" si="57"/>
        <v>5</v>
      </c>
    </row>
    <row r="972" spans="2:5" x14ac:dyDescent="0.35">
      <c r="D972" s="30" t="str">
        <f t="shared" si="55"/>
        <v>Environmental and occupational health &amp; hygiene workers</v>
      </c>
      <c r="E972">
        <f t="shared" si="57"/>
        <v>50</v>
      </c>
    </row>
    <row r="973" spans="2:5" x14ac:dyDescent="0.35">
      <c r="D973" s="30" t="str">
        <f t="shared" si="55"/>
        <v>Health care assistants and other personal care workers in health services</v>
      </c>
      <c r="E973">
        <f t="shared" si="57"/>
        <v>258</v>
      </c>
    </row>
    <row r="974" spans="2:5" x14ac:dyDescent="0.35">
      <c r="D974" s="30" t="str">
        <f t="shared" si="55"/>
        <v>Health service managers</v>
      </c>
      <c r="E974">
        <f t="shared" si="57"/>
        <v>0</v>
      </c>
    </row>
    <row r="975" spans="2:5" x14ac:dyDescent="0.35">
      <c r="D975" s="30" t="str">
        <f t="shared" si="55"/>
        <v>Medical and dental prosthetic technicians</v>
      </c>
      <c r="E975">
        <f t="shared" si="57"/>
        <v>2</v>
      </c>
    </row>
    <row r="976" spans="2:5" x14ac:dyDescent="0.35">
      <c r="D976" s="30" t="str">
        <f t="shared" si="55"/>
        <v>Other science professionals and technicians</v>
      </c>
      <c r="E976">
        <f t="shared" si="57"/>
        <v>70</v>
      </c>
    </row>
    <row r="977" spans="2:5" x14ac:dyDescent="0.35">
      <c r="D977" s="30" t="str">
        <f t="shared" si="55"/>
        <v>Medical assistants – clinical officers</v>
      </c>
      <c r="E977">
        <f t="shared" si="57"/>
        <v>0</v>
      </c>
    </row>
    <row r="978" spans="2:5" x14ac:dyDescent="0.35">
      <c r="D978" s="30" t="str">
        <f t="shared" si="55"/>
        <v>Medical imaging and therapeutic equipment operators</v>
      </c>
      <c r="E978">
        <f t="shared" si="57"/>
        <v>7</v>
      </c>
    </row>
    <row r="979" spans="2:5" x14ac:dyDescent="0.35">
      <c r="D979" s="30" t="str">
        <f t="shared" si="55"/>
        <v>Medical records and health information technicians</v>
      </c>
      <c r="E979">
        <f t="shared" si="57"/>
        <v>0</v>
      </c>
    </row>
    <row r="980" spans="2:5" x14ac:dyDescent="0.35">
      <c r="D980" s="30" t="str">
        <f t="shared" si="55"/>
        <v>Optometrists and opticians</v>
      </c>
      <c r="E980">
        <f t="shared" si="57"/>
        <v>28</v>
      </c>
    </row>
    <row r="981" spans="2:5" x14ac:dyDescent="0.35">
      <c r="D981" s="30" t="str">
        <f t="shared" si="55"/>
        <v>Other health management and support workers</v>
      </c>
      <c r="E981">
        <f t="shared" si="57"/>
        <v>0</v>
      </c>
    </row>
    <row r="982" spans="2:5" x14ac:dyDescent="0.35">
      <c r="D982" s="30" t="str">
        <f t="shared" si="55"/>
        <v>Other health service providers</v>
      </c>
      <c r="E982">
        <f t="shared" si="57"/>
        <v>0</v>
      </c>
    </row>
    <row r="983" spans="2:5" x14ac:dyDescent="0.35">
      <c r="D983" s="30" t="str">
        <f t="shared" si="55"/>
        <v>Medical and pathology laboratory technicians</v>
      </c>
      <c r="E983">
        <f t="shared" si="57"/>
        <v>71</v>
      </c>
    </row>
    <row r="984" spans="2:5" x14ac:dyDescent="0.35">
      <c r="D984" s="30" t="str">
        <f t="shared" si="55"/>
        <v>Paramedical practitioners (specify)</v>
      </c>
      <c r="E984">
        <f t="shared" si="57"/>
        <v>0</v>
      </c>
    </row>
    <row r="985" spans="2:5" x14ac:dyDescent="0.35">
      <c r="D985" s="30" t="str">
        <f t="shared" si="55"/>
        <v>Physiotherapists and physiotherapy assistants</v>
      </c>
      <c r="E985">
        <f t="shared" si="57"/>
        <v>33</v>
      </c>
    </row>
    <row r="986" spans="2:5" x14ac:dyDescent="0.35">
      <c r="D986" s="30" t="str">
        <f t="shared" si="55"/>
        <v>Social workers</v>
      </c>
      <c r="E986">
        <f t="shared" si="57"/>
        <v>0</v>
      </c>
    </row>
    <row r="987" spans="2:5" x14ac:dyDescent="0.35">
      <c r="D987" s="30" t="str">
        <f t="shared" si="55"/>
        <v>Speech Therapist</v>
      </c>
      <c r="E987">
        <f t="shared" si="57"/>
        <v>0</v>
      </c>
    </row>
    <row r="988" spans="2:5" x14ac:dyDescent="0.35">
      <c r="D988" s="30" t="str">
        <f t="shared" si="55"/>
        <v>Traditional and complementary medicine practitioners</v>
      </c>
      <c r="E988">
        <f t="shared" si="57"/>
        <v>0</v>
      </c>
    </row>
    <row r="989" spans="2:5" x14ac:dyDescent="0.35">
      <c r="B989" t="e">
        <f>#REF!</f>
        <v>#REF!</v>
      </c>
      <c r="C989" t="str">
        <f>AP1</f>
        <v>TCD</v>
      </c>
      <c r="D989" s="29" t="str">
        <f t="shared" si="55"/>
        <v>Medical doctors</v>
      </c>
      <c r="E989">
        <f t="shared" ref="E989:E1012" si="58">AP2</f>
        <v>803</v>
      </c>
    </row>
    <row r="990" spans="2:5" x14ac:dyDescent="0.35">
      <c r="D990" s="30" t="str">
        <f t="shared" si="55"/>
        <v>Nursing Personnel</v>
      </c>
      <c r="E990">
        <f t="shared" si="58"/>
        <v>3863</v>
      </c>
    </row>
    <row r="991" spans="2:5" x14ac:dyDescent="0.35">
      <c r="D991" s="30" t="str">
        <f t="shared" si="55"/>
        <v>Midwifery personnel</v>
      </c>
      <c r="E991">
        <f t="shared" si="58"/>
        <v>936</v>
      </c>
    </row>
    <row r="992" spans="2:5" x14ac:dyDescent="0.35">
      <c r="D992" s="30" t="str">
        <f t="shared" si="55"/>
        <v>Pharmacists</v>
      </c>
      <c r="E992">
        <f t="shared" si="58"/>
        <v>269</v>
      </c>
    </row>
    <row r="993" spans="4:5" x14ac:dyDescent="0.35">
      <c r="D993" s="30" t="str">
        <f t="shared" si="55"/>
        <v>Dentists</v>
      </c>
      <c r="E993">
        <f t="shared" si="58"/>
        <v>3</v>
      </c>
    </row>
    <row r="994" spans="4:5" x14ac:dyDescent="0.35">
      <c r="D994" s="30" t="str">
        <f t="shared" si="55"/>
        <v>Community health workers</v>
      </c>
      <c r="E994">
        <f t="shared" si="58"/>
        <v>7</v>
      </c>
    </row>
    <row r="995" spans="4:5" x14ac:dyDescent="0.35">
      <c r="D995" s="30" t="str">
        <f t="shared" si="55"/>
        <v>Dieticians and nutritionists</v>
      </c>
      <c r="E995">
        <f t="shared" si="58"/>
        <v>58</v>
      </c>
    </row>
    <row r="996" spans="4:5" x14ac:dyDescent="0.35">
      <c r="D996" s="30" t="str">
        <f t="shared" si="55"/>
        <v>Environmental and occupational health &amp; hygiene workers</v>
      </c>
      <c r="E996">
        <f t="shared" si="58"/>
        <v>76</v>
      </c>
    </row>
    <row r="997" spans="4:5" x14ac:dyDescent="0.35">
      <c r="D997" s="30" t="str">
        <f t="shared" si="55"/>
        <v>Health care assistants and other personal care workers in health services</v>
      </c>
      <c r="E997">
        <f t="shared" si="58"/>
        <v>738</v>
      </c>
    </row>
    <row r="998" spans="4:5" x14ac:dyDescent="0.35">
      <c r="D998" s="30" t="str">
        <f t="shared" si="55"/>
        <v>Health service managers</v>
      </c>
      <c r="E998">
        <f t="shared" si="58"/>
        <v>732</v>
      </c>
    </row>
    <row r="999" spans="4:5" x14ac:dyDescent="0.35">
      <c r="D999" s="30" t="str">
        <f t="shared" si="55"/>
        <v>Medical and dental prosthetic technicians</v>
      </c>
      <c r="E999">
        <f t="shared" si="58"/>
        <v>0</v>
      </c>
    </row>
    <row r="1000" spans="4:5" x14ac:dyDescent="0.35">
      <c r="D1000" s="30" t="str">
        <f t="shared" si="55"/>
        <v>Other science professionals and technicians</v>
      </c>
      <c r="E1000">
        <f t="shared" si="58"/>
        <v>814</v>
      </c>
    </row>
    <row r="1001" spans="4:5" x14ac:dyDescent="0.35">
      <c r="D1001" s="30" t="str">
        <f t="shared" si="55"/>
        <v>Medical assistants – clinical officers</v>
      </c>
      <c r="E1001">
        <f t="shared" si="58"/>
        <v>42</v>
      </c>
    </row>
    <row r="1002" spans="4:5" x14ac:dyDescent="0.35">
      <c r="D1002" s="30" t="str">
        <f t="shared" si="55"/>
        <v>Medical imaging and therapeutic equipment operators</v>
      </c>
      <c r="E1002">
        <f t="shared" si="58"/>
        <v>25</v>
      </c>
    </row>
    <row r="1003" spans="4:5" x14ac:dyDescent="0.35">
      <c r="D1003" s="30" t="str">
        <f t="shared" si="55"/>
        <v>Medical records and health information technicians</v>
      </c>
      <c r="E1003">
        <f t="shared" si="58"/>
        <v>6</v>
      </c>
    </row>
    <row r="1004" spans="4:5" x14ac:dyDescent="0.35">
      <c r="D1004" s="30" t="str">
        <f t="shared" si="55"/>
        <v>Optometrists and opticians</v>
      </c>
      <c r="E1004">
        <f t="shared" si="58"/>
        <v>6</v>
      </c>
    </row>
    <row r="1005" spans="4:5" x14ac:dyDescent="0.35">
      <c r="D1005" s="30" t="str">
        <f t="shared" ref="D1005:D1068" si="59">D981</f>
        <v>Other health management and support workers</v>
      </c>
      <c r="E1005">
        <f t="shared" si="58"/>
        <v>436</v>
      </c>
    </row>
    <row r="1006" spans="4:5" x14ac:dyDescent="0.35">
      <c r="D1006" s="30" t="str">
        <f t="shared" si="59"/>
        <v>Other health service providers</v>
      </c>
      <c r="E1006">
        <f t="shared" si="58"/>
        <v>90</v>
      </c>
    </row>
    <row r="1007" spans="4:5" x14ac:dyDescent="0.35">
      <c r="D1007" s="30" t="str">
        <f t="shared" si="59"/>
        <v>Medical and pathology laboratory technicians</v>
      </c>
      <c r="E1007">
        <f t="shared" si="58"/>
        <v>749</v>
      </c>
    </row>
    <row r="1008" spans="4:5" x14ac:dyDescent="0.35">
      <c r="D1008" s="30" t="str">
        <f t="shared" si="59"/>
        <v>Paramedical practitioners (specify)</v>
      </c>
      <c r="E1008">
        <f t="shared" si="58"/>
        <v>0</v>
      </c>
    </row>
    <row r="1009" spans="2:5" x14ac:dyDescent="0.35">
      <c r="D1009" s="30" t="str">
        <f t="shared" si="59"/>
        <v>Physiotherapists and physiotherapy assistants</v>
      </c>
      <c r="E1009">
        <f t="shared" si="58"/>
        <v>2</v>
      </c>
    </row>
    <row r="1010" spans="2:5" x14ac:dyDescent="0.35">
      <c r="D1010" s="30" t="str">
        <f t="shared" si="59"/>
        <v>Social workers</v>
      </c>
      <c r="E1010">
        <f t="shared" si="58"/>
        <v>0</v>
      </c>
    </row>
    <row r="1011" spans="2:5" x14ac:dyDescent="0.35">
      <c r="D1011" s="30" t="str">
        <f t="shared" si="59"/>
        <v>Speech Therapist</v>
      </c>
      <c r="E1011">
        <f t="shared" si="58"/>
        <v>0</v>
      </c>
    </row>
    <row r="1012" spans="2:5" x14ac:dyDescent="0.35">
      <c r="D1012" s="30" t="str">
        <f t="shared" si="59"/>
        <v>Traditional and complementary medicine practitioners</v>
      </c>
      <c r="E1012">
        <f t="shared" si="58"/>
        <v>0</v>
      </c>
    </row>
    <row r="1013" spans="2:5" x14ac:dyDescent="0.35">
      <c r="B1013" t="e">
        <f>#REF!</f>
        <v>#REF!</v>
      </c>
      <c r="C1013" t="str">
        <f>AQ1</f>
        <v>TGO</v>
      </c>
      <c r="D1013" s="29" t="str">
        <f t="shared" si="59"/>
        <v>Medical doctors</v>
      </c>
      <c r="E1013">
        <f t="shared" ref="E1013:E1036" si="60">AQ2</f>
        <v>584</v>
      </c>
    </row>
    <row r="1014" spans="2:5" x14ac:dyDescent="0.35">
      <c r="D1014" s="30" t="str">
        <f t="shared" si="59"/>
        <v>Nursing Personnel</v>
      </c>
      <c r="E1014">
        <f t="shared" si="60"/>
        <v>1966</v>
      </c>
    </row>
    <row r="1015" spans="2:5" x14ac:dyDescent="0.35">
      <c r="D1015" s="30" t="str">
        <f t="shared" si="59"/>
        <v>Midwifery personnel</v>
      </c>
      <c r="E1015">
        <f t="shared" si="60"/>
        <v>1268</v>
      </c>
    </row>
    <row r="1016" spans="2:5" x14ac:dyDescent="0.35">
      <c r="D1016" s="30" t="str">
        <f t="shared" si="59"/>
        <v>Pharmacists</v>
      </c>
      <c r="E1016">
        <f t="shared" si="60"/>
        <v>226</v>
      </c>
    </row>
    <row r="1017" spans="2:5" x14ac:dyDescent="0.35">
      <c r="D1017" s="30" t="str">
        <f t="shared" si="59"/>
        <v>Dentists</v>
      </c>
      <c r="E1017">
        <f t="shared" si="60"/>
        <v>21</v>
      </c>
    </row>
    <row r="1018" spans="2:5" x14ac:dyDescent="0.35">
      <c r="D1018" s="30" t="str">
        <f t="shared" si="59"/>
        <v>Community health workers</v>
      </c>
      <c r="E1018">
        <f t="shared" si="60"/>
        <v>7500</v>
      </c>
    </row>
    <row r="1019" spans="2:5" x14ac:dyDescent="0.35">
      <c r="D1019" s="30" t="str">
        <f t="shared" si="59"/>
        <v>Dieticians and nutritionists</v>
      </c>
      <c r="E1019">
        <f t="shared" si="60"/>
        <v>12</v>
      </c>
    </row>
    <row r="1020" spans="2:5" x14ac:dyDescent="0.35">
      <c r="D1020" s="30" t="str">
        <f t="shared" si="59"/>
        <v>Environmental and occupational health &amp; hygiene workers</v>
      </c>
      <c r="E1020">
        <f t="shared" si="60"/>
        <v>340</v>
      </c>
    </row>
    <row r="1021" spans="2:5" x14ac:dyDescent="0.35">
      <c r="D1021" s="30" t="str">
        <f t="shared" si="59"/>
        <v>Health care assistants and other personal care workers in health services</v>
      </c>
      <c r="E1021">
        <f t="shared" si="60"/>
        <v>3413</v>
      </c>
    </row>
    <row r="1022" spans="2:5" x14ac:dyDescent="0.35">
      <c r="D1022" s="30" t="str">
        <f t="shared" si="59"/>
        <v>Health service managers</v>
      </c>
      <c r="E1022">
        <f t="shared" si="60"/>
        <v>63</v>
      </c>
    </row>
    <row r="1023" spans="2:5" x14ac:dyDescent="0.35">
      <c r="D1023" s="30" t="str">
        <f t="shared" si="59"/>
        <v>Medical and dental prosthetic technicians</v>
      </c>
      <c r="E1023">
        <f t="shared" si="60"/>
        <v>2</v>
      </c>
    </row>
    <row r="1024" spans="2:5" x14ac:dyDescent="0.35">
      <c r="D1024" s="30" t="str">
        <f t="shared" si="59"/>
        <v>Other science professionals and technicians</v>
      </c>
      <c r="E1024">
        <f t="shared" si="60"/>
        <v>857</v>
      </c>
    </row>
    <row r="1025" spans="2:5" x14ac:dyDescent="0.35">
      <c r="D1025" s="30" t="str">
        <f t="shared" si="59"/>
        <v>Medical assistants – clinical officers</v>
      </c>
      <c r="E1025">
        <f t="shared" si="60"/>
        <v>1075</v>
      </c>
    </row>
    <row r="1026" spans="2:5" x14ac:dyDescent="0.35">
      <c r="D1026" s="30" t="str">
        <f t="shared" si="59"/>
        <v>Medical imaging and therapeutic equipment operators</v>
      </c>
      <c r="E1026">
        <f t="shared" si="60"/>
        <v>23</v>
      </c>
    </row>
    <row r="1027" spans="2:5" x14ac:dyDescent="0.35">
      <c r="D1027" s="30" t="str">
        <f t="shared" si="59"/>
        <v>Medical records and health information technicians</v>
      </c>
      <c r="E1027">
        <f t="shared" si="60"/>
        <v>0</v>
      </c>
    </row>
    <row r="1028" spans="2:5" x14ac:dyDescent="0.35">
      <c r="D1028" s="30" t="str">
        <f t="shared" si="59"/>
        <v>Optometrists and opticians</v>
      </c>
      <c r="E1028">
        <f t="shared" si="60"/>
        <v>2</v>
      </c>
    </row>
    <row r="1029" spans="2:5" x14ac:dyDescent="0.35">
      <c r="D1029" s="30" t="str">
        <f t="shared" si="59"/>
        <v>Other health management and support workers</v>
      </c>
      <c r="E1029">
        <f t="shared" si="60"/>
        <v>4010</v>
      </c>
    </row>
    <row r="1030" spans="2:5" x14ac:dyDescent="0.35">
      <c r="D1030" s="30" t="str">
        <f t="shared" si="59"/>
        <v>Other health service providers</v>
      </c>
      <c r="E1030">
        <f t="shared" si="60"/>
        <v>360</v>
      </c>
    </row>
    <row r="1031" spans="2:5" x14ac:dyDescent="0.35">
      <c r="D1031" s="30" t="str">
        <f t="shared" si="59"/>
        <v>Medical and pathology laboratory technicians</v>
      </c>
      <c r="E1031">
        <f t="shared" si="60"/>
        <v>615</v>
      </c>
    </row>
    <row r="1032" spans="2:5" x14ac:dyDescent="0.35">
      <c r="D1032" s="30" t="str">
        <f t="shared" si="59"/>
        <v>Paramedical practitioners (specify)</v>
      </c>
      <c r="E1032">
        <f t="shared" si="60"/>
        <v>0</v>
      </c>
    </row>
    <row r="1033" spans="2:5" x14ac:dyDescent="0.35">
      <c r="D1033" s="30" t="str">
        <f t="shared" si="59"/>
        <v>Physiotherapists and physiotherapy assistants</v>
      </c>
      <c r="E1033">
        <f t="shared" si="60"/>
        <v>252</v>
      </c>
    </row>
    <row r="1034" spans="2:5" x14ac:dyDescent="0.35">
      <c r="D1034" s="30" t="str">
        <f t="shared" si="59"/>
        <v>Social workers</v>
      </c>
      <c r="E1034">
        <f t="shared" si="60"/>
        <v>0</v>
      </c>
    </row>
    <row r="1035" spans="2:5" x14ac:dyDescent="0.35">
      <c r="D1035" s="30" t="str">
        <f t="shared" si="59"/>
        <v>Speech Therapist</v>
      </c>
      <c r="E1035">
        <f t="shared" si="60"/>
        <v>0</v>
      </c>
    </row>
    <row r="1036" spans="2:5" x14ac:dyDescent="0.35">
      <c r="D1036" s="30" t="str">
        <f t="shared" si="59"/>
        <v>Traditional and complementary medicine practitioners</v>
      </c>
      <c r="E1036">
        <f t="shared" si="60"/>
        <v>987</v>
      </c>
    </row>
    <row r="1037" spans="2:5" x14ac:dyDescent="0.35">
      <c r="B1037" t="e">
        <f>#REF!</f>
        <v>#REF!</v>
      </c>
      <c r="C1037" t="str">
        <f>AR1</f>
        <v>TZA</v>
      </c>
      <c r="D1037" s="29" t="str">
        <f t="shared" si="59"/>
        <v>Medical doctors</v>
      </c>
      <c r="E1037">
        <f t="shared" ref="E1037:E1060" si="61">AR2</f>
        <v>2885</v>
      </c>
    </row>
    <row r="1038" spans="2:5" x14ac:dyDescent="0.35">
      <c r="D1038" s="30" t="str">
        <f t="shared" si="59"/>
        <v>Nursing Personnel</v>
      </c>
      <c r="E1038">
        <f t="shared" si="61"/>
        <v>31940</v>
      </c>
    </row>
    <row r="1039" spans="2:5" x14ac:dyDescent="0.35">
      <c r="D1039" s="30" t="str">
        <f t="shared" si="59"/>
        <v>Midwifery personnel</v>
      </c>
      <c r="E1039">
        <f t="shared" si="61"/>
        <v>0</v>
      </c>
    </row>
    <row r="1040" spans="2:5" x14ac:dyDescent="0.35">
      <c r="D1040" s="30" t="str">
        <f t="shared" si="59"/>
        <v>Pharmacists</v>
      </c>
      <c r="E1040">
        <f t="shared" si="61"/>
        <v>1845</v>
      </c>
    </row>
    <row r="1041" spans="4:5" x14ac:dyDescent="0.35">
      <c r="D1041" s="30" t="str">
        <f t="shared" si="59"/>
        <v>Dentists</v>
      </c>
      <c r="E1041">
        <f t="shared" si="61"/>
        <v>682</v>
      </c>
    </row>
    <row r="1042" spans="4:5" x14ac:dyDescent="0.35">
      <c r="D1042" s="30" t="str">
        <f t="shared" si="59"/>
        <v>Community health workers</v>
      </c>
      <c r="E1042">
        <f t="shared" si="61"/>
        <v>0</v>
      </c>
    </row>
    <row r="1043" spans="4:5" x14ac:dyDescent="0.35">
      <c r="D1043" s="30" t="str">
        <f t="shared" si="59"/>
        <v>Dieticians and nutritionists</v>
      </c>
      <c r="E1043">
        <f t="shared" si="61"/>
        <v>148</v>
      </c>
    </row>
    <row r="1044" spans="4:5" x14ac:dyDescent="0.35">
      <c r="D1044" s="30" t="str">
        <f t="shared" si="59"/>
        <v>Environmental and occupational health &amp; hygiene workers</v>
      </c>
      <c r="E1044">
        <f t="shared" si="61"/>
        <v>578</v>
      </c>
    </row>
    <row r="1045" spans="4:5" x14ac:dyDescent="0.35">
      <c r="D1045" s="30" t="str">
        <f t="shared" si="59"/>
        <v>Health care assistants and other personal care workers in health services</v>
      </c>
      <c r="E1045">
        <f t="shared" si="61"/>
        <v>25803</v>
      </c>
    </row>
    <row r="1046" spans="4:5" x14ac:dyDescent="0.35">
      <c r="D1046" s="30" t="str">
        <f t="shared" si="59"/>
        <v>Health service managers</v>
      </c>
      <c r="E1046">
        <f t="shared" si="61"/>
        <v>633</v>
      </c>
    </row>
    <row r="1047" spans="4:5" x14ac:dyDescent="0.35">
      <c r="D1047" s="30" t="str">
        <f t="shared" si="59"/>
        <v>Medical and dental prosthetic technicians</v>
      </c>
      <c r="E1047">
        <f t="shared" si="61"/>
        <v>73</v>
      </c>
    </row>
    <row r="1048" spans="4:5" x14ac:dyDescent="0.35">
      <c r="D1048" s="30" t="str">
        <f t="shared" si="59"/>
        <v>Other science professionals and technicians</v>
      </c>
      <c r="E1048">
        <f t="shared" si="61"/>
        <v>3028</v>
      </c>
    </row>
    <row r="1049" spans="4:5" x14ac:dyDescent="0.35">
      <c r="D1049" s="30" t="str">
        <f t="shared" si="59"/>
        <v>Medical assistants – clinical officers</v>
      </c>
      <c r="E1049">
        <f t="shared" si="61"/>
        <v>9250</v>
      </c>
    </row>
    <row r="1050" spans="4:5" x14ac:dyDescent="0.35">
      <c r="D1050" s="30" t="str">
        <f t="shared" si="59"/>
        <v>Medical imaging and therapeutic equipment operators</v>
      </c>
      <c r="E1050">
        <f t="shared" si="61"/>
        <v>681</v>
      </c>
    </row>
    <row r="1051" spans="4:5" x14ac:dyDescent="0.35">
      <c r="D1051" s="30" t="str">
        <f t="shared" si="59"/>
        <v>Medical records and health information technicians</v>
      </c>
      <c r="E1051">
        <f t="shared" si="61"/>
        <v>724</v>
      </c>
    </row>
    <row r="1052" spans="4:5" x14ac:dyDescent="0.35">
      <c r="D1052" s="30" t="str">
        <f t="shared" si="59"/>
        <v>Optometrists and opticians</v>
      </c>
      <c r="E1052">
        <f t="shared" si="61"/>
        <v>213</v>
      </c>
    </row>
    <row r="1053" spans="4:5" x14ac:dyDescent="0.35">
      <c r="D1053" s="30" t="str">
        <f t="shared" si="59"/>
        <v>Other health management and support workers</v>
      </c>
      <c r="E1053">
        <f t="shared" si="61"/>
        <v>0</v>
      </c>
    </row>
    <row r="1054" spans="4:5" x14ac:dyDescent="0.35">
      <c r="D1054" s="30" t="str">
        <f t="shared" si="59"/>
        <v>Other health service providers</v>
      </c>
      <c r="E1054">
        <f t="shared" si="61"/>
        <v>3630</v>
      </c>
    </row>
    <row r="1055" spans="4:5" x14ac:dyDescent="0.35">
      <c r="D1055" s="30" t="str">
        <f t="shared" si="59"/>
        <v>Medical and pathology laboratory technicians</v>
      </c>
      <c r="E1055">
        <f t="shared" si="61"/>
        <v>4361</v>
      </c>
    </row>
    <row r="1056" spans="4:5" x14ac:dyDescent="0.35">
      <c r="D1056" s="30" t="str">
        <f t="shared" si="59"/>
        <v>Paramedical practitioners (specify)</v>
      </c>
      <c r="E1056">
        <f t="shared" si="61"/>
        <v>1963</v>
      </c>
    </row>
    <row r="1057" spans="2:5" x14ac:dyDescent="0.35">
      <c r="D1057" s="30" t="str">
        <f t="shared" si="59"/>
        <v>Physiotherapists and physiotherapy assistants</v>
      </c>
      <c r="E1057">
        <f t="shared" si="61"/>
        <v>103</v>
      </c>
    </row>
    <row r="1058" spans="2:5" x14ac:dyDescent="0.35">
      <c r="D1058" s="30" t="str">
        <f t="shared" si="59"/>
        <v>Social workers</v>
      </c>
      <c r="E1058">
        <f t="shared" si="61"/>
        <v>0</v>
      </c>
    </row>
    <row r="1059" spans="2:5" x14ac:dyDescent="0.35">
      <c r="D1059" s="30" t="str">
        <f t="shared" si="59"/>
        <v>Speech Therapist</v>
      </c>
      <c r="E1059">
        <f t="shared" si="61"/>
        <v>2</v>
      </c>
    </row>
    <row r="1060" spans="2:5" x14ac:dyDescent="0.35">
      <c r="D1060" s="30" t="str">
        <f t="shared" si="59"/>
        <v>Traditional and complementary medicine practitioners</v>
      </c>
      <c r="E1060">
        <f t="shared" si="61"/>
        <v>15200</v>
      </c>
    </row>
    <row r="1061" spans="2:5" x14ac:dyDescent="0.35">
      <c r="B1061" t="e">
        <f>#REF!</f>
        <v>#REF!</v>
      </c>
      <c r="C1061" t="str">
        <f>AS1</f>
        <v>UGA</v>
      </c>
      <c r="D1061" s="29" t="str">
        <f t="shared" si="59"/>
        <v>Medical doctors</v>
      </c>
      <c r="E1061">
        <f t="shared" ref="E1061:E1084" si="62">AS2</f>
        <v>17186</v>
      </c>
    </row>
    <row r="1062" spans="2:5" x14ac:dyDescent="0.35">
      <c r="D1062" s="30" t="str">
        <f t="shared" si="59"/>
        <v>Nursing Personnel</v>
      </c>
      <c r="E1062">
        <f t="shared" si="62"/>
        <v>16407</v>
      </c>
    </row>
    <row r="1063" spans="2:5" x14ac:dyDescent="0.35">
      <c r="D1063" s="30" t="str">
        <f t="shared" si="59"/>
        <v>Midwifery personnel</v>
      </c>
      <c r="E1063">
        <f t="shared" si="62"/>
        <v>7237</v>
      </c>
    </row>
    <row r="1064" spans="2:5" x14ac:dyDescent="0.35">
      <c r="D1064" s="30" t="str">
        <f t="shared" si="59"/>
        <v>Pharmacists</v>
      </c>
      <c r="E1064">
        <f t="shared" si="62"/>
        <v>324</v>
      </c>
    </row>
    <row r="1065" spans="2:5" x14ac:dyDescent="0.35">
      <c r="D1065" s="30" t="str">
        <f t="shared" si="59"/>
        <v>Dentists</v>
      </c>
      <c r="E1065">
        <f t="shared" si="62"/>
        <v>26</v>
      </c>
    </row>
    <row r="1066" spans="2:5" x14ac:dyDescent="0.35">
      <c r="D1066" s="30" t="str">
        <f t="shared" si="59"/>
        <v>Community health workers</v>
      </c>
      <c r="E1066">
        <f t="shared" si="62"/>
        <v>0</v>
      </c>
    </row>
    <row r="1067" spans="2:5" x14ac:dyDescent="0.35">
      <c r="D1067" s="30" t="str">
        <f t="shared" si="59"/>
        <v>Dieticians and nutritionists</v>
      </c>
      <c r="E1067">
        <f t="shared" si="62"/>
        <v>3</v>
      </c>
    </row>
    <row r="1068" spans="2:5" x14ac:dyDescent="0.35">
      <c r="D1068" s="30" t="str">
        <f t="shared" si="59"/>
        <v>Environmental and occupational health &amp; hygiene workers</v>
      </c>
      <c r="E1068">
        <f t="shared" si="62"/>
        <v>16</v>
      </c>
    </row>
    <row r="1069" spans="2:5" x14ac:dyDescent="0.35">
      <c r="D1069" s="30" t="str">
        <f t="shared" ref="D1069:D1132" si="63">D1045</f>
        <v>Health care assistants and other personal care workers in health services</v>
      </c>
      <c r="E1069">
        <f t="shared" si="62"/>
        <v>527</v>
      </c>
    </row>
    <row r="1070" spans="2:5" x14ac:dyDescent="0.35">
      <c r="D1070" s="30" t="str">
        <f t="shared" si="63"/>
        <v>Health service managers</v>
      </c>
      <c r="E1070">
        <f t="shared" si="62"/>
        <v>0</v>
      </c>
    </row>
    <row r="1071" spans="2:5" x14ac:dyDescent="0.35">
      <c r="D1071" s="30" t="str">
        <f t="shared" si="63"/>
        <v>Medical and dental prosthetic technicians</v>
      </c>
      <c r="E1071">
        <f t="shared" si="62"/>
        <v>0</v>
      </c>
    </row>
    <row r="1072" spans="2:5" x14ac:dyDescent="0.35">
      <c r="D1072" s="30" t="str">
        <f t="shared" si="63"/>
        <v>Other science professionals and technicians</v>
      </c>
      <c r="E1072">
        <f t="shared" si="62"/>
        <v>526</v>
      </c>
    </row>
    <row r="1073" spans="2:5" x14ac:dyDescent="0.35">
      <c r="D1073" s="30" t="str">
        <f t="shared" si="63"/>
        <v>Medical assistants – clinical officers</v>
      </c>
      <c r="E1073">
        <f t="shared" si="62"/>
        <v>3505</v>
      </c>
    </row>
    <row r="1074" spans="2:5" x14ac:dyDescent="0.35">
      <c r="D1074" s="30" t="str">
        <f t="shared" si="63"/>
        <v>Medical imaging and therapeutic equipment operators</v>
      </c>
      <c r="E1074">
        <f t="shared" si="62"/>
        <v>42</v>
      </c>
    </row>
    <row r="1075" spans="2:5" x14ac:dyDescent="0.35">
      <c r="D1075" s="30" t="str">
        <f t="shared" si="63"/>
        <v>Medical records and health information technicians</v>
      </c>
      <c r="E1075">
        <f t="shared" si="62"/>
        <v>0</v>
      </c>
    </row>
    <row r="1076" spans="2:5" x14ac:dyDescent="0.35">
      <c r="D1076" s="30" t="str">
        <f t="shared" si="63"/>
        <v>Optometrists and opticians</v>
      </c>
      <c r="E1076">
        <f t="shared" si="62"/>
        <v>9</v>
      </c>
    </row>
    <row r="1077" spans="2:5" x14ac:dyDescent="0.35">
      <c r="D1077" s="30" t="str">
        <f t="shared" si="63"/>
        <v>Other health management and support workers</v>
      </c>
      <c r="E1077">
        <f t="shared" si="62"/>
        <v>0</v>
      </c>
    </row>
    <row r="1078" spans="2:5" x14ac:dyDescent="0.35">
      <c r="D1078" s="30" t="str">
        <f t="shared" si="63"/>
        <v>Other health service providers</v>
      </c>
      <c r="E1078">
        <f t="shared" si="62"/>
        <v>0</v>
      </c>
    </row>
    <row r="1079" spans="2:5" x14ac:dyDescent="0.35">
      <c r="D1079" s="30" t="str">
        <f t="shared" si="63"/>
        <v>Medical and pathology laboratory technicians</v>
      </c>
      <c r="E1079">
        <f t="shared" si="62"/>
        <v>3874</v>
      </c>
    </row>
    <row r="1080" spans="2:5" x14ac:dyDescent="0.35">
      <c r="D1080" s="30" t="str">
        <f t="shared" si="63"/>
        <v>Paramedical practitioners (specify)</v>
      </c>
      <c r="E1080">
        <f t="shared" si="62"/>
        <v>0</v>
      </c>
    </row>
    <row r="1081" spans="2:5" x14ac:dyDescent="0.35">
      <c r="D1081" s="30" t="str">
        <f t="shared" si="63"/>
        <v>Physiotherapists and physiotherapy assistants</v>
      </c>
      <c r="E1081">
        <f t="shared" si="62"/>
        <v>18</v>
      </c>
    </row>
    <row r="1082" spans="2:5" x14ac:dyDescent="0.35">
      <c r="D1082" s="30" t="str">
        <f t="shared" si="63"/>
        <v>Social workers</v>
      </c>
      <c r="E1082">
        <f t="shared" si="62"/>
        <v>0</v>
      </c>
    </row>
    <row r="1083" spans="2:5" x14ac:dyDescent="0.35">
      <c r="D1083" s="30" t="str">
        <f t="shared" si="63"/>
        <v>Speech Therapist</v>
      </c>
      <c r="E1083">
        <f t="shared" si="62"/>
        <v>0</v>
      </c>
    </row>
    <row r="1084" spans="2:5" x14ac:dyDescent="0.35">
      <c r="D1084" s="30" t="str">
        <f t="shared" si="63"/>
        <v>Traditional and complementary medicine practitioners</v>
      </c>
      <c r="E1084">
        <f t="shared" si="62"/>
        <v>0</v>
      </c>
    </row>
    <row r="1085" spans="2:5" x14ac:dyDescent="0.35">
      <c r="B1085" t="e">
        <f>#REF!</f>
        <v>#REF!</v>
      </c>
      <c r="C1085" t="str">
        <f>AT1</f>
        <v>ZAF</v>
      </c>
      <c r="D1085" s="29" t="str">
        <f t="shared" si="63"/>
        <v>Medical doctors</v>
      </c>
      <c r="E1085">
        <f t="shared" ref="E1085:E1108" si="64">AT2</f>
        <v>43503</v>
      </c>
    </row>
    <row r="1086" spans="2:5" x14ac:dyDescent="0.35">
      <c r="D1086" s="30" t="str">
        <f t="shared" si="63"/>
        <v>Nursing Personnel</v>
      </c>
      <c r="E1086">
        <f t="shared" si="64"/>
        <v>287458</v>
      </c>
    </row>
    <row r="1087" spans="2:5" x14ac:dyDescent="0.35">
      <c r="D1087" s="30" t="str">
        <f t="shared" si="63"/>
        <v>Midwifery personnel</v>
      </c>
      <c r="E1087">
        <f t="shared" si="64"/>
        <v>0</v>
      </c>
    </row>
    <row r="1088" spans="2:5" x14ac:dyDescent="0.35">
      <c r="D1088" s="30" t="str">
        <f t="shared" si="63"/>
        <v>Pharmacists</v>
      </c>
      <c r="E1088">
        <f t="shared" si="64"/>
        <v>16195</v>
      </c>
    </row>
    <row r="1089" spans="4:5" x14ac:dyDescent="0.35">
      <c r="D1089" s="30" t="str">
        <f t="shared" si="63"/>
        <v>Dentists</v>
      </c>
      <c r="E1089">
        <f t="shared" si="64"/>
        <v>6816</v>
      </c>
    </row>
    <row r="1090" spans="4:5" x14ac:dyDescent="0.35">
      <c r="D1090" s="30" t="str">
        <f t="shared" si="63"/>
        <v>Community health workers</v>
      </c>
      <c r="E1090">
        <f t="shared" si="64"/>
        <v>54180</v>
      </c>
    </row>
    <row r="1091" spans="4:5" x14ac:dyDescent="0.35">
      <c r="D1091" s="30" t="str">
        <f t="shared" si="63"/>
        <v>Dieticians and nutritionists</v>
      </c>
      <c r="E1091">
        <f t="shared" si="64"/>
        <v>0</v>
      </c>
    </row>
    <row r="1092" spans="4:5" x14ac:dyDescent="0.35">
      <c r="D1092" s="30" t="str">
        <f t="shared" si="63"/>
        <v>Environmental and occupational health &amp; hygiene workers</v>
      </c>
      <c r="E1092">
        <f t="shared" si="64"/>
        <v>3585</v>
      </c>
    </row>
    <row r="1093" spans="4:5" x14ac:dyDescent="0.35">
      <c r="D1093" s="30" t="str">
        <f t="shared" si="63"/>
        <v>Health care assistants and other personal care workers in health services</v>
      </c>
      <c r="E1093">
        <f t="shared" si="64"/>
        <v>0</v>
      </c>
    </row>
    <row r="1094" spans="4:5" x14ac:dyDescent="0.35">
      <c r="D1094" s="30" t="str">
        <f t="shared" si="63"/>
        <v>Health service managers</v>
      </c>
      <c r="E1094">
        <f t="shared" si="64"/>
        <v>0</v>
      </c>
    </row>
    <row r="1095" spans="4:5" x14ac:dyDescent="0.35">
      <c r="D1095" s="30" t="str">
        <f t="shared" si="63"/>
        <v>Medical and dental prosthetic technicians</v>
      </c>
      <c r="E1095">
        <f t="shared" si="64"/>
        <v>0</v>
      </c>
    </row>
    <row r="1096" spans="4:5" x14ac:dyDescent="0.35">
      <c r="D1096" s="30" t="str">
        <f t="shared" si="63"/>
        <v>Other science professionals and technicians</v>
      </c>
      <c r="E1096">
        <f t="shared" si="64"/>
        <v>8415</v>
      </c>
    </row>
    <row r="1097" spans="4:5" x14ac:dyDescent="0.35">
      <c r="D1097" s="30" t="str">
        <f t="shared" si="63"/>
        <v>Medical assistants – clinical officers</v>
      </c>
      <c r="E1097">
        <f t="shared" si="64"/>
        <v>577</v>
      </c>
    </row>
    <row r="1098" spans="4:5" x14ac:dyDescent="0.35">
      <c r="D1098" s="30" t="str">
        <f t="shared" si="63"/>
        <v>Medical imaging and therapeutic equipment operators</v>
      </c>
      <c r="E1098">
        <f t="shared" si="64"/>
        <v>8072</v>
      </c>
    </row>
    <row r="1099" spans="4:5" x14ac:dyDescent="0.35">
      <c r="D1099" s="30" t="str">
        <f t="shared" si="63"/>
        <v>Medical records and health information technicians</v>
      </c>
      <c r="E1099">
        <f t="shared" si="64"/>
        <v>0</v>
      </c>
    </row>
    <row r="1100" spans="4:5" x14ac:dyDescent="0.35">
      <c r="D1100" s="30" t="str">
        <f t="shared" si="63"/>
        <v>Optometrists and opticians</v>
      </c>
      <c r="E1100">
        <f t="shared" si="64"/>
        <v>0</v>
      </c>
    </row>
    <row r="1101" spans="4:5" x14ac:dyDescent="0.35">
      <c r="D1101" s="30" t="str">
        <f t="shared" si="63"/>
        <v>Other health management and support workers</v>
      </c>
      <c r="E1101">
        <f t="shared" si="64"/>
        <v>0</v>
      </c>
    </row>
    <row r="1102" spans="4:5" x14ac:dyDescent="0.35">
      <c r="D1102" s="30" t="str">
        <f t="shared" si="63"/>
        <v>Other health service providers</v>
      </c>
      <c r="E1102">
        <f t="shared" si="64"/>
        <v>15266</v>
      </c>
    </row>
    <row r="1103" spans="4:5" x14ac:dyDescent="0.35">
      <c r="D1103" s="30" t="str">
        <f t="shared" si="63"/>
        <v>Medical and pathology laboratory technicians</v>
      </c>
      <c r="E1103">
        <f t="shared" si="64"/>
        <v>0</v>
      </c>
    </row>
    <row r="1104" spans="4:5" x14ac:dyDescent="0.35">
      <c r="D1104" s="30" t="str">
        <f t="shared" si="63"/>
        <v>Paramedical practitioners (specify)</v>
      </c>
      <c r="E1104">
        <f t="shared" si="64"/>
        <v>0</v>
      </c>
    </row>
    <row r="1105" spans="2:5" x14ac:dyDescent="0.35">
      <c r="D1105" s="30" t="str">
        <f t="shared" si="63"/>
        <v>Physiotherapists and physiotherapy assistants</v>
      </c>
      <c r="E1105">
        <f t="shared" si="64"/>
        <v>11975</v>
      </c>
    </row>
    <row r="1106" spans="2:5" x14ac:dyDescent="0.35">
      <c r="D1106" s="30" t="str">
        <f t="shared" si="63"/>
        <v>Social workers</v>
      </c>
      <c r="E1106">
        <f t="shared" si="64"/>
        <v>0</v>
      </c>
    </row>
    <row r="1107" spans="2:5" x14ac:dyDescent="0.35">
      <c r="D1107" s="30" t="str">
        <f t="shared" si="63"/>
        <v>Speech Therapist</v>
      </c>
      <c r="E1107">
        <f t="shared" si="64"/>
        <v>0</v>
      </c>
    </row>
    <row r="1108" spans="2:5" x14ac:dyDescent="0.35">
      <c r="D1108" s="30" t="str">
        <f t="shared" si="63"/>
        <v>Traditional and complementary medicine practitioners</v>
      </c>
      <c r="E1108">
        <f t="shared" si="64"/>
        <v>0</v>
      </c>
    </row>
    <row r="1109" spans="2:5" x14ac:dyDescent="0.35">
      <c r="B1109" t="e">
        <f>#REF!</f>
        <v>#REF!</v>
      </c>
      <c r="C1109" t="str">
        <f>AU1</f>
        <v>ZMB</v>
      </c>
      <c r="D1109" s="29" t="str">
        <f t="shared" si="63"/>
        <v>Medical doctors</v>
      </c>
      <c r="E1109">
        <f t="shared" ref="E1109:E1132" si="65">AU2</f>
        <v>2026</v>
      </c>
    </row>
    <row r="1110" spans="2:5" x14ac:dyDescent="0.35">
      <c r="D1110" s="30" t="str">
        <f t="shared" si="63"/>
        <v>Nursing Personnel</v>
      </c>
      <c r="E1110">
        <f t="shared" si="65"/>
        <v>14516</v>
      </c>
    </row>
    <row r="1111" spans="2:5" x14ac:dyDescent="0.35">
      <c r="D1111" s="30" t="str">
        <f t="shared" si="63"/>
        <v>Midwifery personnel</v>
      </c>
      <c r="E1111">
        <f t="shared" si="65"/>
        <v>3432</v>
      </c>
    </row>
    <row r="1112" spans="2:5" x14ac:dyDescent="0.35">
      <c r="D1112" s="30" t="str">
        <f t="shared" si="63"/>
        <v>Pharmacists</v>
      </c>
      <c r="E1112">
        <f t="shared" si="65"/>
        <v>1708</v>
      </c>
    </row>
    <row r="1113" spans="2:5" x14ac:dyDescent="0.35">
      <c r="D1113" s="30" t="str">
        <f t="shared" si="63"/>
        <v>Dentists</v>
      </c>
      <c r="E1113">
        <f t="shared" si="65"/>
        <v>455</v>
      </c>
    </row>
    <row r="1114" spans="2:5" x14ac:dyDescent="0.35">
      <c r="D1114" s="30" t="str">
        <f t="shared" si="63"/>
        <v>Community health workers</v>
      </c>
      <c r="E1114">
        <f t="shared" si="65"/>
        <v>1262</v>
      </c>
    </row>
    <row r="1115" spans="2:5" x14ac:dyDescent="0.35">
      <c r="D1115" s="30" t="str">
        <f t="shared" si="63"/>
        <v>Dieticians and nutritionists</v>
      </c>
      <c r="E1115">
        <f t="shared" si="65"/>
        <v>404</v>
      </c>
    </row>
    <row r="1116" spans="2:5" x14ac:dyDescent="0.35">
      <c r="D1116" s="30" t="str">
        <f t="shared" si="63"/>
        <v>Environmental and occupational health &amp; hygiene workers</v>
      </c>
      <c r="E1116">
        <f t="shared" si="65"/>
        <v>2016</v>
      </c>
    </row>
    <row r="1117" spans="2:5" x14ac:dyDescent="0.35">
      <c r="D1117" s="30" t="str">
        <f t="shared" si="63"/>
        <v>Health care assistants and other personal care workers in health services</v>
      </c>
      <c r="E1117">
        <f t="shared" si="65"/>
        <v>0</v>
      </c>
    </row>
    <row r="1118" spans="2:5" x14ac:dyDescent="0.35">
      <c r="D1118" s="30" t="str">
        <f t="shared" si="63"/>
        <v>Health service managers</v>
      </c>
      <c r="E1118">
        <f t="shared" si="65"/>
        <v>0</v>
      </c>
    </row>
    <row r="1119" spans="2:5" x14ac:dyDescent="0.35">
      <c r="D1119" s="30" t="str">
        <f t="shared" si="63"/>
        <v>Medical and dental prosthetic technicians</v>
      </c>
      <c r="E1119">
        <f t="shared" si="65"/>
        <v>0</v>
      </c>
    </row>
    <row r="1120" spans="2:5" x14ac:dyDescent="0.35">
      <c r="D1120" s="30" t="str">
        <f t="shared" si="63"/>
        <v>Other science professionals and technicians</v>
      </c>
      <c r="E1120">
        <f t="shared" si="65"/>
        <v>0</v>
      </c>
    </row>
    <row r="1121" spans="2:5" x14ac:dyDescent="0.35">
      <c r="D1121" s="30" t="str">
        <f t="shared" si="63"/>
        <v>Medical assistants – clinical officers</v>
      </c>
      <c r="E1121">
        <f t="shared" si="65"/>
        <v>2617</v>
      </c>
    </row>
    <row r="1122" spans="2:5" x14ac:dyDescent="0.35">
      <c r="D1122" s="30" t="str">
        <f t="shared" si="63"/>
        <v>Medical imaging and therapeutic equipment operators</v>
      </c>
      <c r="E1122">
        <f t="shared" si="65"/>
        <v>602</v>
      </c>
    </row>
    <row r="1123" spans="2:5" x14ac:dyDescent="0.35">
      <c r="D1123" s="30" t="str">
        <f t="shared" si="63"/>
        <v>Medical records and health information technicians</v>
      </c>
      <c r="E1123">
        <f t="shared" si="65"/>
        <v>1232</v>
      </c>
    </row>
    <row r="1124" spans="2:5" x14ac:dyDescent="0.35">
      <c r="D1124" s="30" t="str">
        <f t="shared" si="63"/>
        <v>Optometrists and opticians</v>
      </c>
      <c r="E1124">
        <f t="shared" si="65"/>
        <v>61</v>
      </c>
    </row>
    <row r="1125" spans="2:5" x14ac:dyDescent="0.35">
      <c r="D1125" s="30" t="str">
        <f t="shared" si="63"/>
        <v>Other health management and support workers</v>
      </c>
      <c r="E1125">
        <f t="shared" si="65"/>
        <v>17801</v>
      </c>
    </row>
    <row r="1126" spans="2:5" x14ac:dyDescent="0.35">
      <c r="D1126" s="30" t="str">
        <f t="shared" si="63"/>
        <v>Other health service providers</v>
      </c>
      <c r="E1126">
        <f t="shared" si="65"/>
        <v>0</v>
      </c>
    </row>
    <row r="1127" spans="2:5" x14ac:dyDescent="0.35">
      <c r="D1127" s="30" t="str">
        <f t="shared" si="63"/>
        <v>Medical and pathology laboratory technicians</v>
      </c>
      <c r="E1127">
        <f t="shared" si="65"/>
        <v>1602</v>
      </c>
    </row>
    <row r="1128" spans="2:5" x14ac:dyDescent="0.35">
      <c r="D1128" s="30" t="str">
        <f t="shared" si="63"/>
        <v>Paramedical practitioners (specify)</v>
      </c>
      <c r="E1128">
        <f t="shared" si="65"/>
        <v>0</v>
      </c>
    </row>
    <row r="1129" spans="2:5" x14ac:dyDescent="0.35">
      <c r="D1129" s="30" t="str">
        <f t="shared" si="63"/>
        <v>Physiotherapists and physiotherapy assistants</v>
      </c>
      <c r="E1129">
        <f t="shared" si="65"/>
        <v>606</v>
      </c>
    </row>
    <row r="1130" spans="2:5" x14ac:dyDescent="0.35">
      <c r="D1130" s="30" t="str">
        <f t="shared" si="63"/>
        <v>Social workers</v>
      </c>
      <c r="E1130">
        <f t="shared" si="65"/>
        <v>0</v>
      </c>
    </row>
    <row r="1131" spans="2:5" x14ac:dyDescent="0.35">
      <c r="D1131" s="30" t="str">
        <f t="shared" si="63"/>
        <v>Speech Therapist</v>
      </c>
      <c r="E1131">
        <f t="shared" si="65"/>
        <v>0</v>
      </c>
    </row>
    <row r="1132" spans="2:5" x14ac:dyDescent="0.35">
      <c r="D1132" s="30" t="str">
        <f t="shared" si="63"/>
        <v>Traditional and complementary medicine practitioners</v>
      </c>
      <c r="E1132">
        <f t="shared" si="65"/>
        <v>0</v>
      </c>
    </row>
    <row r="1133" spans="2:5" x14ac:dyDescent="0.35">
      <c r="B1133" t="e">
        <f>#REF!</f>
        <v>#REF!</v>
      </c>
      <c r="C1133" t="str">
        <f>AV1</f>
        <v>ZWE</v>
      </c>
      <c r="D1133" s="29" t="str">
        <f t="shared" ref="D1133:D1179" si="66">D1109</f>
        <v>Medical doctors</v>
      </c>
      <c r="E1133">
        <f t="shared" ref="E1133:E1156" si="67">AV2</f>
        <v>1959</v>
      </c>
    </row>
    <row r="1134" spans="2:5" x14ac:dyDescent="0.35">
      <c r="D1134" s="30" t="str">
        <f t="shared" si="66"/>
        <v>Nursing Personnel</v>
      </c>
      <c r="E1134">
        <f t="shared" si="67"/>
        <v>25835</v>
      </c>
    </row>
    <row r="1135" spans="2:5" x14ac:dyDescent="0.35">
      <c r="D1135" s="30" t="str">
        <f t="shared" si="66"/>
        <v>Midwifery personnel</v>
      </c>
      <c r="E1135">
        <f t="shared" si="67"/>
        <v>854</v>
      </c>
    </row>
    <row r="1136" spans="2:5" x14ac:dyDescent="0.35">
      <c r="D1136" s="30" t="str">
        <f t="shared" si="66"/>
        <v>Pharmacists</v>
      </c>
      <c r="E1136">
        <f t="shared" si="67"/>
        <v>776</v>
      </c>
    </row>
    <row r="1137" spans="4:5" x14ac:dyDescent="0.35">
      <c r="D1137" s="30" t="str">
        <f t="shared" si="66"/>
        <v>Dentists</v>
      </c>
      <c r="E1137">
        <f t="shared" si="67"/>
        <v>347</v>
      </c>
    </row>
    <row r="1138" spans="4:5" x14ac:dyDescent="0.35">
      <c r="D1138" s="30" t="str">
        <f t="shared" si="66"/>
        <v>Community health workers</v>
      </c>
      <c r="E1138">
        <f t="shared" si="67"/>
        <v>2143</v>
      </c>
    </row>
    <row r="1139" spans="4:5" x14ac:dyDescent="0.35">
      <c r="D1139" s="30" t="str">
        <f t="shared" si="66"/>
        <v>Dieticians and nutritionists</v>
      </c>
      <c r="E1139">
        <f t="shared" si="67"/>
        <v>0</v>
      </c>
    </row>
    <row r="1140" spans="4:5" x14ac:dyDescent="0.35">
      <c r="D1140" s="30" t="str">
        <f t="shared" si="66"/>
        <v>Environmental and occupational health &amp; hygiene workers</v>
      </c>
      <c r="E1140">
        <f t="shared" si="67"/>
        <v>1644</v>
      </c>
    </row>
    <row r="1141" spans="4:5" x14ac:dyDescent="0.35">
      <c r="D1141" s="30" t="str">
        <f t="shared" si="66"/>
        <v>Health care assistants and other personal care workers in health services</v>
      </c>
      <c r="E1141">
        <f t="shared" si="67"/>
        <v>2115</v>
      </c>
    </row>
    <row r="1142" spans="4:5" x14ac:dyDescent="0.35">
      <c r="D1142" s="30" t="str">
        <f t="shared" si="66"/>
        <v>Health service managers</v>
      </c>
      <c r="E1142">
        <f t="shared" si="67"/>
        <v>327</v>
      </c>
    </row>
    <row r="1143" spans="4:5" x14ac:dyDescent="0.35">
      <c r="D1143" s="30" t="str">
        <f t="shared" si="66"/>
        <v>Medical and dental prosthetic technicians</v>
      </c>
      <c r="E1143">
        <f t="shared" si="67"/>
        <v>10</v>
      </c>
    </row>
    <row r="1144" spans="4:5" x14ac:dyDescent="0.35">
      <c r="D1144" s="30" t="str">
        <f t="shared" si="66"/>
        <v>Other science professionals and technicians</v>
      </c>
      <c r="E1144">
        <f t="shared" si="67"/>
        <v>368</v>
      </c>
    </row>
    <row r="1145" spans="4:5" x14ac:dyDescent="0.35">
      <c r="D1145" s="30" t="str">
        <f t="shared" si="66"/>
        <v>Medical assistants – clinical officers</v>
      </c>
      <c r="E1145">
        <f t="shared" si="67"/>
        <v>76</v>
      </c>
    </row>
    <row r="1146" spans="4:5" x14ac:dyDescent="0.35">
      <c r="D1146" s="30" t="str">
        <f t="shared" si="66"/>
        <v>Medical imaging and therapeutic equipment operators</v>
      </c>
      <c r="E1146">
        <f t="shared" si="67"/>
        <v>412</v>
      </c>
    </row>
    <row r="1147" spans="4:5" x14ac:dyDescent="0.35">
      <c r="D1147" s="30" t="str">
        <f t="shared" si="66"/>
        <v>Medical records and health information technicians</v>
      </c>
      <c r="E1147">
        <f t="shared" si="67"/>
        <v>718</v>
      </c>
    </row>
    <row r="1148" spans="4:5" x14ac:dyDescent="0.35">
      <c r="D1148" s="30" t="str">
        <f t="shared" si="66"/>
        <v>Optometrists and opticians</v>
      </c>
      <c r="E1148">
        <f t="shared" si="67"/>
        <v>0</v>
      </c>
    </row>
    <row r="1149" spans="4:5" x14ac:dyDescent="0.35">
      <c r="D1149" s="30" t="str">
        <f t="shared" si="66"/>
        <v>Other health management and support workers</v>
      </c>
      <c r="E1149">
        <f t="shared" si="67"/>
        <v>9502</v>
      </c>
    </row>
    <row r="1150" spans="4:5" x14ac:dyDescent="0.35">
      <c r="D1150" s="30" t="str">
        <f t="shared" si="66"/>
        <v>Other health service providers</v>
      </c>
      <c r="E1150">
        <f t="shared" si="67"/>
        <v>1122</v>
      </c>
    </row>
    <row r="1151" spans="4:5" x14ac:dyDescent="0.35">
      <c r="D1151" s="30" t="str">
        <f t="shared" si="66"/>
        <v>Medical and pathology laboratory technicians</v>
      </c>
      <c r="E1151">
        <f t="shared" si="67"/>
        <v>648</v>
      </c>
    </row>
    <row r="1152" spans="4:5" x14ac:dyDescent="0.35">
      <c r="D1152" s="30" t="str">
        <f t="shared" si="66"/>
        <v>Paramedical practitioners (specify)</v>
      </c>
      <c r="E1152">
        <f t="shared" si="67"/>
        <v>1094</v>
      </c>
    </row>
    <row r="1153" spans="2:5" x14ac:dyDescent="0.35">
      <c r="D1153" s="30" t="str">
        <f t="shared" si="66"/>
        <v>Physiotherapists and physiotherapy assistants</v>
      </c>
      <c r="E1153">
        <f t="shared" si="67"/>
        <v>459</v>
      </c>
    </row>
    <row r="1154" spans="2:5" x14ac:dyDescent="0.35">
      <c r="D1154" s="30" t="str">
        <f t="shared" si="66"/>
        <v>Social workers</v>
      </c>
      <c r="E1154">
        <f t="shared" si="67"/>
        <v>0</v>
      </c>
    </row>
    <row r="1155" spans="2:5" x14ac:dyDescent="0.35">
      <c r="D1155" s="30" t="str">
        <f t="shared" si="66"/>
        <v>Speech Therapist</v>
      </c>
      <c r="E1155">
        <f t="shared" si="67"/>
        <v>0</v>
      </c>
    </row>
    <row r="1156" spans="2:5" x14ac:dyDescent="0.35">
      <c r="D1156" s="30" t="str">
        <f t="shared" si="66"/>
        <v>Traditional and complementary medicine practitioners</v>
      </c>
      <c r="E1156">
        <f t="shared" si="67"/>
        <v>5</v>
      </c>
    </row>
    <row r="1157" spans="2:5" x14ac:dyDescent="0.35">
      <c r="B1157" t="s">
        <v>9</v>
      </c>
      <c r="C1157">
        <f>AW1</f>
        <v>0</v>
      </c>
      <c r="D1157" s="29" t="str">
        <f t="shared" si="66"/>
        <v>Medical doctors</v>
      </c>
      <c r="E1157">
        <f t="shared" ref="E1157:E1180" si="68">AW2</f>
        <v>334167</v>
      </c>
    </row>
    <row r="1158" spans="2:5" x14ac:dyDescent="0.35">
      <c r="D1158" s="30" t="str">
        <f t="shared" si="66"/>
        <v>Nursing Personnel</v>
      </c>
      <c r="E1158">
        <f t="shared" si="68"/>
        <v>1093957</v>
      </c>
    </row>
    <row r="1159" spans="2:5" x14ac:dyDescent="0.35">
      <c r="D1159" s="30" t="str">
        <f t="shared" si="66"/>
        <v>Midwifery personnel</v>
      </c>
      <c r="E1159">
        <f t="shared" si="68"/>
        <v>217551</v>
      </c>
    </row>
    <row r="1160" spans="2:5" x14ac:dyDescent="0.35">
      <c r="D1160" s="30" t="str">
        <f t="shared" si="66"/>
        <v>Pharmacists</v>
      </c>
      <c r="E1160">
        <f t="shared" si="68"/>
        <v>94098</v>
      </c>
    </row>
    <row r="1161" spans="2:5" x14ac:dyDescent="0.35">
      <c r="D1161" s="30" t="str">
        <f t="shared" si="66"/>
        <v>Dentists</v>
      </c>
      <c r="E1161">
        <f t="shared" si="68"/>
        <v>58028</v>
      </c>
    </row>
    <row r="1162" spans="2:5" x14ac:dyDescent="0.35">
      <c r="D1162" s="30" t="str">
        <f t="shared" si="66"/>
        <v>Community health workers</v>
      </c>
      <c r="E1162">
        <f t="shared" si="68"/>
        <v>486186</v>
      </c>
    </row>
    <row r="1163" spans="2:5" x14ac:dyDescent="0.35">
      <c r="D1163" s="30" t="str">
        <f t="shared" si="66"/>
        <v>Dieticians and nutritionists</v>
      </c>
      <c r="E1163">
        <f t="shared" si="68"/>
        <v>3655</v>
      </c>
    </row>
    <row r="1164" spans="2:5" x14ac:dyDescent="0.35">
      <c r="D1164" s="30" t="str">
        <f t="shared" si="66"/>
        <v>Environmental and occupational health &amp; hygiene workers</v>
      </c>
      <c r="E1164">
        <f t="shared" si="68"/>
        <v>40043</v>
      </c>
    </row>
    <row r="1165" spans="2:5" x14ac:dyDescent="0.35">
      <c r="D1165" s="30" t="str">
        <f t="shared" si="66"/>
        <v>Health care assistants and other personal care workers in health services</v>
      </c>
      <c r="E1165">
        <f t="shared" si="68"/>
        <v>117455</v>
      </c>
    </row>
    <row r="1166" spans="2:5" x14ac:dyDescent="0.35">
      <c r="D1166" s="30" t="str">
        <f t="shared" si="66"/>
        <v>Health service managers</v>
      </c>
      <c r="E1166">
        <f t="shared" si="68"/>
        <v>30754</v>
      </c>
    </row>
    <row r="1167" spans="2:5" x14ac:dyDescent="0.35">
      <c r="D1167" s="30" t="str">
        <f t="shared" si="66"/>
        <v>Medical and dental prosthetic technicians</v>
      </c>
      <c r="E1167">
        <f t="shared" si="68"/>
        <v>2266</v>
      </c>
    </row>
    <row r="1168" spans="2:5" x14ac:dyDescent="0.35">
      <c r="D1168" s="30" t="str">
        <f t="shared" si="66"/>
        <v>Other science professionals and technicians</v>
      </c>
      <c r="E1168">
        <f t="shared" si="68"/>
        <v>370104</v>
      </c>
    </row>
    <row r="1169" spans="4:5" x14ac:dyDescent="0.35">
      <c r="D1169" s="30" t="str">
        <f t="shared" si="66"/>
        <v>Medical assistants – clinical officers</v>
      </c>
      <c r="E1169">
        <f t="shared" si="68"/>
        <v>41427</v>
      </c>
    </row>
    <row r="1170" spans="4:5" x14ac:dyDescent="0.35">
      <c r="D1170" s="30" t="str">
        <f t="shared" si="66"/>
        <v>Medical imaging and therapeutic equipment operators</v>
      </c>
      <c r="E1170">
        <f t="shared" si="68"/>
        <v>25804</v>
      </c>
    </row>
    <row r="1171" spans="4:5" x14ac:dyDescent="0.35">
      <c r="D1171" s="30" t="str">
        <f t="shared" si="66"/>
        <v>Medical records and health information technicians</v>
      </c>
      <c r="E1171">
        <f t="shared" si="68"/>
        <v>51114</v>
      </c>
    </row>
    <row r="1172" spans="4:5" x14ac:dyDescent="0.35">
      <c r="D1172" s="30" t="str">
        <f t="shared" si="66"/>
        <v>Optometrists and opticians</v>
      </c>
      <c r="E1172">
        <f t="shared" si="68"/>
        <v>3103</v>
      </c>
    </row>
    <row r="1173" spans="4:5" x14ac:dyDescent="0.35">
      <c r="D1173" s="30" t="str">
        <f t="shared" si="66"/>
        <v>Other health management and support workers</v>
      </c>
      <c r="E1173">
        <f t="shared" si="68"/>
        <v>8804</v>
      </c>
    </row>
    <row r="1174" spans="4:5" x14ac:dyDescent="0.35">
      <c r="D1174" s="30" t="str">
        <f t="shared" si="66"/>
        <v>Other health service providers</v>
      </c>
      <c r="E1174">
        <f t="shared" si="68"/>
        <v>385034</v>
      </c>
    </row>
    <row r="1175" spans="4:5" x14ac:dyDescent="0.35">
      <c r="D1175" s="30" t="str">
        <f t="shared" si="66"/>
        <v>Medical and pathology laboratory technicians</v>
      </c>
      <c r="E1175">
        <f t="shared" si="68"/>
        <v>43201</v>
      </c>
    </row>
    <row r="1176" spans="4:5" x14ac:dyDescent="0.35">
      <c r="D1176" s="30" t="str">
        <f t="shared" si="66"/>
        <v>Paramedical practitioners (specify)</v>
      </c>
      <c r="E1176">
        <f t="shared" si="68"/>
        <v>28773</v>
      </c>
    </row>
    <row r="1177" spans="4:5" x14ac:dyDescent="0.35">
      <c r="D1177" s="30" t="str">
        <f t="shared" si="66"/>
        <v>Physiotherapists and physiotherapy assistants</v>
      </c>
      <c r="E1177">
        <f t="shared" si="68"/>
        <v>53152</v>
      </c>
    </row>
    <row r="1178" spans="4:5" x14ac:dyDescent="0.35">
      <c r="D1178" s="30" t="str">
        <f t="shared" si="66"/>
        <v>Social workers</v>
      </c>
      <c r="E1178">
        <f t="shared" si="68"/>
        <v>34768</v>
      </c>
    </row>
    <row r="1179" spans="4:5" x14ac:dyDescent="0.35">
      <c r="D1179" s="30" t="str">
        <f t="shared" si="66"/>
        <v>Speech Therapist</v>
      </c>
      <c r="E1179">
        <f t="shared" si="68"/>
        <v>509</v>
      </c>
    </row>
    <row r="1180" spans="4:5" x14ac:dyDescent="0.35">
      <c r="D1180" s="30" t="str">
        <f t="shared" ref="D1180" si="69">D1156</f>
        <v>Traditional and complementary medicine practitioners</v>
      </c>
      <c r="E1180">
        <f t="shared" si="68"/>
        <v>2</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368B7-2E8D-4B0D-ABD3-53049C68420D}">
  <dimension ref="A1:AK48"/>
  <sheetViews>
    <sheetView topLeftCell="E1" workbookViewId="0">
      <selection activeCell="N7" sqref="N7"/>
    </sheetView>
  </sheetViews>
  <sheetFormatPr defaultColWidth="8.81640625" defaultRowHeight="14.5" x14ac:dyDescent="0.35"/>
  <cols>
    <col min="1" max="1" width="18.1796875" bestFit="1" customWidth="1"/>
    <col min="2" max="2" width="18.1796875" customWidth="1"/>
    <col min="3" max="3" width="13.1796875" customWidth="1"/>
    <col min="11" max="11" width="10.81640625" customWidth="1"/>
    <col min="14" max="14" width="11.81640625" customWidth="1"/>
    <col min="16" max="16" width="11.81640625" customWidth="1"/>
    <col min="17" max="17" width="11.6328125" customWidth="1"/>
    <col min="18" max="18" width="10.6328125" customWidth="1"/>
    <col min="25" max="25" width="16" customWidth="1"/>
    <col min="33" max="34" width="11.81640625" customWidth="1"/>
  </cols>
  <sheetData>
    <row r="1" spans="1:37" s="14" customFormat="1" ht="145" x14ac:dyDescent="0.35">
      <c r="A1" s="14" t="s">
        <v>57</v>
      </c>
      <c r="B1" s="14" t="s">
        <v>198</v>
      </c>
      <c r="C1" s="14" t="s">
        <v>58</v>
      </c>
      <c r="D1" s="24" t="s">
        <v>59</v>
      </c>
      <c r="E1" s="24" t="s">
        <v>200</v>
      </c>
      <c r="F1" s="14" t="s">
        <v>61</v>
      </c>
      <c r="G1" s="14" t="s">
        <v>62</v>
      </c>
      <c r="H1" s="23" t="s">
        <v>63</v>
      </c>
      <c r="I1" s="14" t="s">
        <v>64</v>
      </c>
      <c r="J1" s="14" t="s">
        <v>65</v>
      </c>
      <c r="K1" s="14" t="s">
        <v>66</v>
      </c>
      <c r="L1" s="14" t="s">
        <v>67</v>
      </c>
      <c r="M1" s="14" t="s">
        <v>68</v>
      </c>
      <c r="N1" s="14" t="s">
        <v>69</v>
      </c>
      <c r="O1" s="14" t="s">
        <v>70</v>
      </c>
      <c r="P1" s="14" t="s">
        <v>71</v>
      </c>
      <c r="Q1" s="25" t="s">
        <v>72</v>
      </c>
      <c r="R1" s="25" t="s">
        <v>73</v>
      </c>
      <c r="S1" s="26" t="s">
        <v>74</v>
      </c>
      <c r="T1" s="26" t="s">
        <v>75</v>
      </c>
      <c r="U1" s="14" t="s">
        <v>76</v>
      </c>
      <c r="V1" s="14" t="s">
        <v>77</v>
      </c>
      <c r="W1" s="14" t="s">
        <v>78</v>
      </c>
      <c r="X1" s="14" t="s">
        <v>79</v>
      </c>
      <c r="Y1" s="23" t="s">
        <v>80</v>
      </c>
      <c r="Z1" s="28" t="s">
        <v>81</v>
      </c>
      <c r="AA1" s="28" t="s">
        <v>199</v>
      </c>
      <c r="AB1" s="22" t="s">
        <v>82</v>
      </c>
      <c r="AC1" s="14" t="s">
        <v>83</v>
      </c>
      <c r="AD1" s="14" t="s">
        <v>84</v>
      </c>
      <c r="AE1" s="23" t="s">
        <v>85</v>
      </c>
      <c r="AF1" s="14" t="s">
        <v>86</v>
      </c>
      <c r="AG1" s="14" t="s">
        <v>87</v>
      </c>
      <c r="AH1" s="22" t="s">
        <v>60</v>
      </c>
      <c r="AI1" s="22" t="s">
        <v>139</v>
      </c>
      <c r="AJ1" s="22" t="s">
        <v>138</v>
      </c>
      <c r="AK1" s="26" t="s">
        <v>148</v>
      </c>
    </row>
    <row r="2" spans="1:37" x14ac:dyDescent="0.35">
      <c r="A2" t="s">
        <v>41</v>
      </c>
      <c r="B2" t="s">
        <v>161</v>
      </c>
      <c r="C2">
        <v>0</v>
      </c>
      <c r="D2">
        <v>7</v>
      </c>
      <c r="E2">
        <v>12774</v>
      </c>
      <c r="F2">
        <v>381</v>
      </c>
      <c r="G2">
        <v>1249</v>
      </c>
      <c r="H2">
        <v>34077</v>
      </c>
      <c r="I2">
        <v>41461</v>
      </c>
      <c r="J2">
        <v>10838</v>
      </c>
      <c r="K2">
        <v>663</v>
      </c>
      <c r="L2">
        <v>14548</v>
      </c>
      <c r="M2">
        <v>2227</v>
      </c>
      <c r="N2">
        <v>6176</v>
      </c>
      <c r="O2">
        <v>610</v>
      </c>
      <c r="P2">
        <v>0</v>
      </c>
      <c r="Q2">
        <v>38</v>
      </c>
      <c r="R2">
        <v>8582</v>
      </c>
      <c r="S2">
        <v>10029</v>
      </c>
      <c r="T2">
        <v>47676</v>
      </c>
      <c r="U2">
        <v>1218</v>
      </c>
      <c r="V2">
        <v>76532</v>
      </c>
      <c r="W2">
        <v>5104</v>
      </c>
      <c r="X2">
        <v>0</v>
      </c>
      <c r="Y2">
        <v>279</v>
      </c>
      <c r="Z2">
        <v>1536</v>
      </c>
      <c r="AA2">
        <v>12570</v>
      </c>
      <c r="AB2">
        <f>Z2+AA2</f>
        <v>14106</v>
      </c>
      <c r="AC2">
        <v>1827</v>
      </c>
      <c r="AD2">
        <v>0</v>
      </c>
      <c r="AE2">
        <v>39091</v>
      </c>
      <c r="AF2">
        <v>0</v>
      </c>
      <c r="AG2">
        <v>1</v>
      </c>
      <c r="AH2">
        <f>E2+D2</f>
        <v>12781</v>
      </c>
      <c r="AI2">
        <f>S2+T2</f>
        <v>57705</v>
      </c>
      <c r="AJ2">
        <f>Q2+R2</f>
        <v>8620</v>
      </c>
      <c r="AK2">
        <f>AE2+H2</f>
        <v>73168</v>
      </c>
    </row>
    <row r="3" spans="1:37" x14ac:dyDescent="0.35">
      <c r="A3" t="s">
        <v>88</v>
      </c>
      <c r="B3" t="s">
        <v>162</v>
      </c>
      <c r="C3">
        <v>1680</v>
      </c>
      <c r="D3">
        <v>796</v>
      </c>
      <c r="E3">
        <v>856</v>
      </c>
      <c r="F3">
        <v>0</v>
      </c>
      <c r="G3">
        <v>657</v>
      </c>
      <c r="H3">
        <v>3043</v>
      </c>
      <c r="I3">
        <v>0</v>
      </c>
      <c r="J3">
        <v>328</v>
      </c>
      <c r="K3">
        <v>75</v>
      </c>
      <c r="L3">
        <v>98</v>
      </c>
      <c r="M3">
        <v>134</v>
      </c>
      <c r="N3">
        <v>789</v>
      </c>
      <c r="O3">
        <v>190</v>
      </c>
      <c r="P3">
        <v>0</v>
      </c>
      <c r="Q3">
        <v>669</v>
      </c>
      <c r="R3">
        <v>769</v>
      </c>
      <c r="S3">
        <v>38861</v>
      </c>
      <c r="T3">
        <v>7221</v>
      </c>
      <c r="U3">
        <v>56</v>
      </c>
      <c r="V3">
        <v>28324</v>
      </c>
      <c r="W3">
        <v>0</v>
      </c>
      <c r="X3">
        <v>468</v>
      </c>
      <c r="Y3">
        <v>56</v>
      </c>
      <c r="Z3">
        <v>1605</v>
      </c>
      <c r="AA3">
        <v>697</v>
      </c>
      <c r="AB3">
        <f t="shared" ref="AB3:AB48" si="0">Z3+AA3</f>
        <v>2302</v>
      </c>
      <c r="AC3">
        <v>1156</v>
      </c>
      <c r="AD3">
        <v>0</v>
      </c>
      <c r="AE3">
        <v>3550</v>
      </c>
      <c r="AF3">
        <v>0</v>
      </c>
      <c r="AG3">
        <v>16380</v>
      </c>
      <c r="AH3">
        <f t="shared" ref="AH3:AH48" si="1">E3+D3</f>
        <v>1652</v>
      </c>
      <c r="AI3">
        <f t="shared" ref="AI3:AI48" si="2">S3+T3</f>
        <v>46082</v>
      </c>
      <c r="AJ3">
        <f t="shared" ref="AJ3:AJ48" si="3">Q3+R3</f>
        <v>1438</v>
      </c>
      <c r="AK3">
        <f t="shared" ref="AK3:AK48" si="4">AE3+H3</f>
        <v>6593</v>
      </c>
    </row>
    <row r="4" spans="1:37" x14ac:dyDescent="0.35">
      <c r="A4" t="s">
        <v>89</v>
      </c>
      <c r="B4" t="s">
        <v>163</v>
      </c>
      <c r="C4">
        <v>0</v>
      </c>
      <c r="D4">
        <v>0</v>
      </c>
      <c r="E4">
        <v>0</v>
      </c>
      <c r="F4">
        <v>0</v>
      </c>
      <c r="G4">
        <v>619</v>
      </c>
      <c r="H4">
        <v>391</v>
      </c>
      <c r="I4">
        <v>2623</v>
      </c>
      <c r="J4">
        <v>0</v>
      </c>
      <c r="K4">
        <v>0</v>
      </c>
      <c r="L4">
        <v>241</v>
      </c>
      <c r="M4">
        <v>0</v>
      </c>
      <c r="N4">
        <v>54</v>
      </c>
      <c r="O4">
        <v>0</v>
      </c>
      <c r="P4">
        <v>0</v>
      </c>
      <c r="Q4">
        <v>6</v>
      </c>
      <c r="R4">
        <v>807</v>
      </c>
      <c r="S4">
        <v>1322</v>
      </c>
      <c r="T4">
        <v>1938</v>
      </c>
      <c r="U4">
        <v>0</v>
      </c>
      <c r="V4">
        <v>156</v>
      </c>
      <c r="W4">
        <v>1994</v>
      </c>
      <c r="X4">
        <v>0</v>
      </c>
      <c r="Y4">
        <v>146</v>
      </c>
      <c r="Z4">
        <v>0</v>
      </c>
      <c r="AA4">
        <v>14</v>
      </c>
      <c r="AB4">
        <f t="shared" si="0"/>
        <v>14</v>
      </c>
      <c r="AC4">
        <v>0</v>
      </c>
      <c r="AD4">
        <v>0</v>
      </c>
      <c r="AE4">
        <v>319</v>
      </c>
      <c r="AF4">
        <v>0</v>
      </c>
      <c r="AG4">
        <v>0</v>
      </c>
      <c r="AH4">
        <f t="shared" si="1"/>
        <v>0</v>
      </c>
      <c r="AI4">
        <f t="shared" si="2"/>
        <v>3260</v>
      </c>
      <c r="AJ4">
        <f t="shared" si="3"/>
        <v>813</v>
      </c>
      <c r="AK4">
        <f t="shared" si="4"/>
        <v>710</v>
      </c>
    </row>
    <row r="5" spans="1:37" x14ac:dyDescent="0.35">
      <c r="A5" t="s">
        <v>90</v>
      </c>
      <c r="B5" t="s">
        <v>164</v>
      </c>
      <c r="C5">
        <v>0</v>
      </c>
      <c r="D5">
        <v>0</v>
      </c>
      <c r="E5">
        <v>94</v>
      </c>
      <c r="F5">
        <v>0</v>
      </c>
      <c r="G5">
        <v>99</v>
      </c>
      <c r="H5">
        <v>815</v>
      </c>
      <c r="I5">
        <v>1622</v>
      </c>
      <c r="J5">
        <v>0</v>
      </c>
      <c r="K5">
        <v>0</v>
      </c>
      <c r="L5">
        <v>460</v>
      </c>
      <c r="M5">
        <v>0</v>
      </c>
      <c r="N5">
        <v>78</v>
      </c>
      <c r="O5">
        <v>62</v>
      </c>
      <c r="P5">
        <v>0</v>
      </c>
      <c r="Q5">
        <v>0</v>
      </c>
      <c r="R5">
        <v>0</v>
      </c>
      <c r="S5">
        <v>0</v>
      </c>
      <c r="T5">
        <v>6935</v>
      </c>
      <c r="U5">
        <v>1</v>
      </c>
      <c r="V5">
        <v>0</v>
      </c>
      <c r="W5">
        <v>20</v>
      </c>
      <c r="X5">
        <v>0</v>
      </c>
      <c r="Y5">
        <v>58</v>
      </c>
      <c r="Z5">
        <v>338</v>
      </c>
      <c r="AA5">
        <v>149</v>
      </c>
      <c r="AB5">
        <f t="shared" si="0"/>
        <v>487</v>
      </c>
      <c r="AC5">
        <v>38</v>
      </c>
      <c r="AD5">
        <v>0</v>
      </c>
      <c r="AE5">
        <v>38</v>
      </c>
      <c r="AF5">
        <v>0</v>
      </c>
      <c r="AG5">
        <v>0</v>
      </c>
      <c r="AH5">
        <f t="shared" si="1"/>
        <v>94</v>
      </c>
      <c r="AI5">
        <f t="shared" si="2"/>
        <v>6935</v>
      </c>
      <c r="AJ5">
        <f t="shared" si="3"/>
        <v>0</v>
      </c>
      <c r="AK5">
        <f t="shared" si="4"/>
        <v>853</v>
      </c>
    </row>
    <row r="6" spans="1:37" x14ac:dyDescent="0.35">
      <c r="A6" t="s">
        <v>1</v>
      </c>
      <c r="B6" t="s">
        <v>151</v>
      </c>
      <c r="C6">
        <v>2749</v>
      </c>
      <c r="D6">
        <v>0</v>
      </c>
      <c r="E6">
        <v>80</v>
      </c>
      <c r="F6">
        <v>19</v>
      </c>
      <c r="G6">
        <v>160</v>
      </c>
      <c r="H6">
        <v>888</v>
      </c>
      <c r="I6">
        <v>1224</v>
      </c>
      <c r="J6">
        <v>653</v>
      </c>
      <c r="K6">
        <v>3</v>
      </c>
      <c r="L6">
        <v>699</v>
      </c>
      <c r="M6">
        <v>0</v>
      </c>
      <c r="N6">
        <v>128</v>
      </c>
      <c r="O6">
        <v>4</v>
      </c>
      <c r="P6">
        <v>0</v>
      </c>
      <c r="Q6">
        <v>2986</v>
      </c>
      <c r="R6">
        <v>3583</v>
      </c>
      <c r="S6">
        <v>2117</v>
      </c>
      <c r="T6">
        <v>8208</v>
      </c>
      <c r="U6">
        <v>3</v>
      </c>
      <c r="V6">
        <v>871</v>
      </c>
      <c r="W6">
        <v>44</v>
      </c>
      <c r="X6">
        <v>2</v>
      </c>
      <c r="Y6">
        <v>0</v>
      </c>
      <c r="Z6">
        <v>156</v>
      </c>
      <c r="AA6">
        <v>636</v>
      </c>
      <c r="AB6">
        <f t="shared" si="0"/>
        <v>792</v>
      </c>
      <c r="AC6">
        <v>18</v>
      </c>
      <c r="AD6">
        <v>0</v>
      </c>
      <c r="AE6">
        <v>738</v>
      </c>
      <c r="AF6">
        <v>0</v>
      </c>
      <c r="AG6">
        <v>336</v>
      </c>
      <c r="AH6">
        <f t="shared" si="1"/>
        <v>80</v>
      </c>
      <c r="AI6">
        <f t="shared" si="2"/>
        <v>10325</v>
      </c>
      <c r="AJ6">
        <f t="shared" si="3"/>
        <v>6569</v>
      </c>
      <c r="AK6">
        <f t="shared" si="4"/>
        <v>1626</v>
      </c>
    </row>
    <row r="7" spans="1:37" x14ac:dyDescent="0.35">
      <c r="A7" t="s">
        <v>91</v>
      </c>
      <c r="B7" t="s">
        <v>165</v>
      </c>
      <c r="C7">
        <v>11845</v>
      </c>
      <c r="D7">
        <v>0</v>
      </c>
      <c r="E7">
        <v>14</v>
      </c>
      <c r="F7">
        <v>10</v>
      </c>
      <c r="G7">
        <v>372</v>
      </c>
      <c r="H7">
        <v>889</v>
      </c>
      <c r="I7">
        <v>8664</v>
      </c>
      <c r="J7">
        <v>1383</v>
      </c>
      <c r="K7">
        <v>0</v>
      </c>
      <c r="L7">
        <v>1071</v>
      </c>
      <c r="M7">
        <v>0</v>
      </c>
      <c r="N7">
        <v>86</v>
      </c>
      <c r="O7">
        <v>108</v>
      </c>
      <c r="P7">
        <v>0</v>
      </c>
      <c r="Q7">
        <v>119</v>
      </c>
      <c r="R7">
        <v>41</v>
      </c>
      <c r="S7">
        <v>8342</v>
      </c>
      <c r="T7">
        <v>654</v>
      </c>
      <c r="U7">
        <v>0</v>
      </c>
      <c r="V7">
        <v>2906</v>
      </c>
      <c r="W7">
        <v>0</v>
      </c>
      <c r="X7">
        <v>155</v>
      </c>
      <c r="Y7">
        <v>0</v>
      </c>
      <c r="Z7">
        <v>0</v>
      </c>
      <c r="AA7">
        <v>119</v>
      </c>
      <c r="AB7">
        <f t="shared" si="0"/>
        <v>119</v>
      </c>
      <c r="AC7">
        <v>9</v>
      </c>
      <c r="AD7">
        <v>0</v>
      </c>
      <c r="AE7">
        <v>195</v>
      </c>
      <c r="AF7">
        <v>0</v>
      </c>
      <c r="AG7">
        <v>1000</v>
      </c>
      <c r="AH7">
        <f t="shared" si="1"/>
        <v>14</v>
      </c>
      <c r="AI7">
        <f t="shared" si="2"/>
        <v>8996</v>
      </c>
      <c r="AJ7">
        <f t="shared" si="3"/>
        <v>160</v>
      </c>
      <c r="AK7">
        <f t="shared" si="4"/>
        <v>1084</v>
      </c>
    </row>
    <row r="8" spans="1:37" x14ac:dyDescent="0.35">
      <c r="A8" t="s">
        <v>92</v>
      </c>
      <c r="B8" t="s">
        <v>168</v>
      </c>
      <c r="C8">
        <v>0</v>
      </c>
      <c r="D8">
        <v>0</v>
      </c>
      <c r="E8">
        <v>308</v>
      </c>
      <c r="F8">
        <v>38</v>
      </c>
      <c r="G8">
        <v>238</v>
      </c>
      <c r="H8">
        <v>2400</v>
      </c>
      <c r="I8">
        <v>10717</v>
      </c>
      <c r="J8">
        <v>250</v>
      </c>
      <c r="K8">
        <v>0</v>
      </c>
      <c r="L8">
        <v>5235</v>
      </c>
      <c r="M8">
        <v>0</v>
      </c>
      <c r="N8">
        <v>124</v>
      </c>
      <c r="O8">
        <v>0</v>
      </c>
      <c r="P8">
        <v>0</v>
      </c>
      <c r="Q8">
        <v>0</v>
      </c>
      <c r="R8">
        <v>690</v>
      </c>
      <c r="S8">
        <v>0</v>
      </c>
      <c r="T8">
        <v>9925</v>
      </c>
      <c r="U8">
        <v>0</v>
      </c>
      <c r="V8">
        <v>0</v>
      </c>
      <c r="W8">
        <v>0</v>
      </c>
      <c r="X8">
        <v>0</v>
      </c>
      <c r="Y8">
        <v>0</v>
      </c>
      <c r="Z8">
        <v>0</v>
      </c>
      <c r="AA8">
        <v>350</v>
      </c>
      <c r="AB8">
        <f t="shared" si="0"/>
        <v>350</v>
      </c>
      <c r="AC8">
        <v>0</v>
      </c>
      <c r="AD8">
        <v>0</v>
      </c>
      <c r="AE8">
        <v>859</v>
      </c>
      <c r="AF8">
        <v>0</v>
      </c>
      <c r="AG8">
        <v>0</v>
      </c>
      <c r="AH8">
        <f t="shared" si="1"/>
        <v>308</v>
      </c>
      <c r="AI8">
        <f t="shared" si="2"/>
        <v>9925</v>
      </c>
      <c r="AJ8">
        <f t="shared" si="3"/>
        <v>690</v>
      </c>
      <c r="AK8">
        <f t="shared" si="4"/>
        <v>3259</v>
      </c>
    </row>
    <row r="9" spans="1:37" x14ac:dyDescent="0.35">
      <c r="A9" t="s">
        <v>93</v>
      </c>
      <c r="B9" t="s">
        <v>167</v>
      </c>
      <c r="C9">
        <v>117</v>
      </c>
      <c r="D9">
        <v>0</v>
      </c>
      <c r="E9">
        <v>81</v>
      </c>
      <c r="F9">
        <v>18</v>
      </c>
      <c r="G9">
        <v>1</v>
      </c>
      <c r="H9">
        <v>165</v>
      </c>
      <c r="I9">
        <v>149</v>
      </c>
      <c r="J9">
        <v>61</v>
      </c>
      <c r="K9">
        <v>20</v>
      </c>
      <c r="L9">
        <v>65</v>
      </c>
      <c r="M9">
        <v>3</v>
      </c>
      <c r="N9">
        <v>27</v>
      </c>
      <c r="O9">
        <v>14</v>
      </c>
      <c r="P9">
        <v>0</v>
      </c>
      <c r="Q9">
        <v>20</v>
      </c>
      <c r="R9">
        <v>7</v>
      </c>
      <c r="S9">
        <v>525</v>
      </c>
      <c r="T9">
        <v>243</v>
      </c>
      <c r="U9">
        <v>40</v>
      </c>
      <c r="V9">
        <v>1357</v>
      </c>
      <c r="W9">
        <v>95</v>
      </c>
      <c r="X9">
        <v>11</v>
      </c>
      <c r="Y9">
        <v>0</v>
      </c>
      <c r="Z9">
        <v>92</v>
      </c>
      <c r="AA9">
        <v>80</v>
      </c>
      <c r="AB9">
        <f t="shared" si="0"/>
        <v>172</v>
      </c>
      <c r="AC9">
        <v>58</v>
      </c>
      <c r="AD9">
        <v>0</v>
      </c>
      <c r="AE9">
        <v>287</v>
      </c>
      <c r="AF9">
        <v>0</v>
      </c>
      <c r="AG9">
        <v>1</v>
      </c>
      <c r="AH9">
        <f t="shared" si="1"/>
        <v>81</v>
      </c>
      <c r="AI9">
        <f t="shared" si="2"/>
        <v>768</v>
      </c>
      <c r="AJ9">
        <f t="shared" si="3"/>
        <v>27</v>
      </c>
      <c r="AK9">
        <f t="shared" si="4"/>
        <v>452</v>
      </c>
    </row>
    <row r="10" spans="1:37" x14ac:dyDescent="0.35">
      <c r="A10" s="27" t="s">
        <v>2</v>
      </c>
      <c r="B10" t="s">
        <v>152</v>
      </c>
      <c r="C10">
        <v>115</v>
      </c>
      <c r="D10">
        <v>7</v>
      </c>
      <c r="E10">
        <v>3</v>
      </c>
      <c r="F10">
        <v>0</v>
      </c>
      <c r="G10">
        <v>105</v>
      </c>
      <c r="H10">
        <v>263</v>
      </c>
      <c r="I10">
        <v>79</v>
      </c>
      <c r="J10">
        <v>22</v>
      </c>
      <c r="K10">
        <v>0</v>
      </c>
      <c r="L10">
        <v>112</v>
      </c>
      <c r="M10">
        <v>104</v>
      </c>
      <c r="N10">
        <v>3</v>
      </c>
      <c r="O10">
        <v>20</v>
      </c>
      <c r="P10">
        <v>0</v>
      </c>
      <c r="Q10">
        <v>168</v>
      </c>
      <c r="R10">
        <v>276</v>
      </c>
      <c r="S10">
        <v>325</v>
      </c>
      <c r="T10">
        <v>426</v>
      </c>
      <c r="U10">
        <v>0</v>
      </c>
      <c r="V10">
        <v>65</v>
      </c>
      <c r="W10">
        <v>14</v>
      </c>
      <c r="X10">
        <v>3</v>
      </c>
      <c r="Y10">
        <v>200</v>
      </c>
      <c r="Z10">
        <v>0</v>
      </c>
      <c r="AA10">
        <v>36</v>
      </c>
      <c r="AB10">
        <f t="shared" si="0"/>
        <v>36</v>
      </c>
      <c r="AC10">
        <v>0</v>
      </c>
      <c r="AD10">
        <v>0</v>
      </c>
      <c r="AE10">
        <v>72</v>
      </c>
      <c r="AF10">
        <v>0</v>
      </c>
      <c r="AG10">
        <v>0</v>
      </c>
      <c r="AH10">
        <f t="shared" si="1"/>
        <v>10</v>
      </c>
      <c r="AI10">
        <f t="shared" si="2"/>
        <v>751</v>
      </c>
      <c r="AJ10">
        <f t="shared" si="3"/>
        <v>444</v>
      </c>
      <c r="AK10">
        <f t="shared" si="4"/>
        <v>335</v>
      </c>
    </row>
    <row r="11" spans="1:37" x14ac:dyDescent="0.35">
      <c r="A11" t="s">
        <v>94</v>
      </c>
      <c r="B11" t="s">
        <v>169</v>
      </c>
      <c r="C11">
        <v>7</v>
      </c>
      <c r="D11">
        <v>0</v>
      </c>
      <c r="E11">
        <v>3</v>
      </c>
      <c r="F11">
        <v>58</v>
      </c>
      <c r="G11">
        <v>76</v>
      </c>
      <c r="H11">
        <v>646</v>
      </c>
      <c r="I11">
        <v>738</v>
      </c>
      <c r="J11">
        <v>732</v>
      </c>
      <c r="K11">
        <v>0</v>
      </c>
      <c r="L11">
        <v>749</v>
      </c>
      <c r="M11">
        <v>42</v>
      </c>
      <c r="N11">
        <v>25</v>
      </c>
      <c r="O11">
        <v>6</v>
      </c>
      <c r="P11">
        <v>0</v>
      </c>
      <c r="Q11">
        <v>192</v>
      </c>
      <c r="R11">
        <v>744</v>
      </c>
      <c r="S11">
        <v>2076</v>
      </c>
      <c r="T11">
        <v>1787</v>
      </c>
      <c r="U11">
        <v>6</v>
      </c>
      <c r="V11">
        <v>436</v>
      </c>
      <c r="W11">
        <v>90</v>
      </c>
      <c r="X11">
        <v>814</v>
      </c>
      <c r="Y11">
        <v>0</v>
      </c>
      <c r="Z11">
        <v>171</v>
      </c>
      <c r="AA11">
        <v>98</v>
      </c>
      <c r="AB11">
        <f t="shared" si="0"/>
        <v>269</v>
      </c>
      <c r="AC11">
        <v>2</v>
      </c>
      <c r="AD11">
        <v>0</v>
      </c>
      <c r="AE11">
        <v>157</v>
      </c>
      <c r="AF11">
        <v>0</v>
      </c>
      <c r="AG11">
        <v>0</v>
      </c>
      <c r="AH11">
        <f t="shared" si="1"/>
        <v>3</v>
      </c>
      <c r="AI11">
        <f t="shared" si="2"/>
        <v>3863</v>
      </c>
      <c r="AJ11">
        <f t="shared" si="3"/>
        <v>936</v>
      </c>
      <c r="AK11">
        <f t="shared" si="4"/>
        <v>803</v>
      </c>
    </row>
    <row r="12" spans="1:37" x14ac:dyDescent="0.35">
      <c r="A12" t="s">
        <v>52</v>
      </c>
      <c r="B12" t="s">
        <v>196</v>
      </c>
      <c r="C12">
        <v>0</v>
      </c>
      <c r="D12">
        <v>0</v>
      </c>
      <c r="E12">
        <v>32</v>
      </c>
      <c r="F12">
        <v>0</v>
      </c>
      <c r="G12">
        <v>389</v>
      </c>
      <c r="H12">
        <v>130</v>
      </c>
      <c r="I12">
        <v>0</v>
      </c>
      <c r="J12">
        <v>0</v>
      </c>
      <c r="K12">
        <v>0</v>
      </c>
      <c r="L12">
        <v>8</v>
      </c>
      <c r="M12">
        <v>0</v>
      </c>
      <c r="N12">
        <v>498</v>
      </c>
      <c r="O12">
        <v>0</v>
      </c>
      <c r="P12">
        <v>0</v>
      </c>
      <c r="Q12">
        <v>0</v>
      </c>
      <c r="R12">
        <v>487</v>
      </c>
      <c r="S12">
        <v>71</v>
      </c>
      <c r="T12">
        <v>676</v>
      </c>
      <c r="U12">
        <v>0</v>
      </c>
      <c r="V12">
        <v>44</v>
      </c>
      <c r="W12">
        <v>115</v>
      </c>
      <c r="X12">
        <v>161</v>
      </c>
      <c r="Y12">
        <v>0</v>
      </c>
      <c r="Z12">
        <v>19</v>
      </c>
      <c r="AA12">
        <v>36</v>
      </c>
      <c r="AB12">
        <f t="shared" si="0"/>
        <v>55</v>
      </c>
      <c r="AC12">
        <v>0</v>
      </c>
      <c r="AD12">
        <v>0</v>
      </c>
      <c r="AE12">
        <v>90</v>
      </c>
      <c r="AF12">
        <v>0</v>
      </c>
      <c r="AG12">
        <v>0</v>
      </c>
      <c r="AH12">
        <f t="shared" si="1"/>
        <v>32</v>
      </c>
      <c r="AI12">
        <f t="shared" si="2"/>
        <v>747</v>
      </c>
      <c r="AJ12">
        <f t="shared" si="3"/>
        <v>487</v>
      </c>
      <c r="AK12">
        <f t="shared" si="4"/>
        <v>220</v>
      </c>
    </row>
    <row r="13" spans="1:37" x14ac:dyDescent="0.35">
      <c r="A13" t="s">
        <v>95</v>
      </c>
      <c r="B13" t="s">
        <v>189</v>
      </c>
      <c r="C13">
        <v>0</v>
      </c>
      <c r="D13">
        <v>0</v>
      </c>
      <c r="E13">
        <v>27</v>
      </c>
      <c r="F13">
        <v>0</v>
      </c>
      <c r="G13">
        <v>374</v>
      </c>
      <c r="H13">
        <v>269</v>
      </c>
      <c r="I13">
        <v>850</v>
      </c>
      <c r="J13">
        <v>790</v>
      </c>
      <c r="K13">
        <v>0</v>
      </c>
      <c r="L13">
        <v>320</v>
      </c>
      <c r="M13">
        <v>0</v>
      </c>
      <c r="N13">
        <v>97</v>
      </c>
      <c r="O13">
        <v>0</v>
      </c>
      <c r="P13">
        <v>0</v>
      </c>
      <c r="Q13">
        <v>148</v>
      </c>
      <c r="R13">
        <v>921</v>
      </c>
      <c r="S13">
        <v>1305</v>
      </c>
      <c r="T13">
        <v>2707</v>
      </c>
      <c r="U13">
        <v>0</v>
      </c>
      <c r="V13">
        <v>111</v>
      </c>
      <c r="W13">
        <v>445</v>
      </c>
      <c r="X13">
        <v>216</v>
      </c>
      <c r="Y13">
        <v>0</v>
      </c>
      <c r="Z13">
        <v>84</v>
      </c>
      <c r="AA13">
        <v>73</v>
      </c>
      <c r="AB13">
        <f t="shared" si="0"/>
        <v>157</v>
      </c>
      <c r="AC13">
        <v>0</v>
      </c>
      <c r="AD13">
        <v>0</v>
      </c>
      <c r="AE13">
        <v>275</v>
      </c>
      <c r="AF13">
        <v>0</v>
      </c>
      <c r="AG13">
        <v>0</v>
      </c>
      <c r="AH13">
        <f t="shared" si="1"/>
        <v>27</v>
      </c>
      <c r="AI13">
        <f t="shared" si="2"/>
        <v>4012</v>
      </c>
      <c r="AJ13">
        <f t="shared" si="3"/>
        <v>1069</v>
      </c>
      <c r="AK13">
        <f t="shared" si="4"/>
        <v>544</v>
      </c>
    </row>
    <row r="14" spans="1:37" x14ac:dyDescent="0.35">
      <c r="A14" t="s">
        <v>96</v>
      </c>
      <c r="B14" t="s">
        <v>166</v>
      </c>
      <c r="C14">
        <v>14556</v>
      </c>
      <c r="D14">
        <v>0</v>
      </c>
      <c r="E14">
        <v>506</v>
      </c>
      <c r="F14">
        <v>25</v>
      </c>
      <c r="G14">
        <v>1425</v>
      </c>
      <c r="H14">
        <v>4246</v>
      </c>
      <c r="I14">
        <v>3640</v>
      </c>
      <c r="J14">
        <v>91</v>
      </c>
      <c r="K14">
        <v>0</v>
      </c>
      <c r="L14">
        <v>0</v>
      </c>
      <c r="M14">
        <v>242</v>
      </c>
      <c r="N14">
        <v>0</v>
      </c>
      <c r="O14">
        <v>123</v>
      </c>
      <c r="P14">
        <v>3103</v>
      </c>
      <c r="Q14">
        <v>4</v>
      </c>
      <c r="R14">
        <v>5456</v>
      </c>
      <c r="S14">
        <v>63</v>
      </c>
      <c r="T14">
        <v>11667</v>
      </c>
      <c r="U14">
        <v>700</v>
      </c>
      <c r="V14">
        <v>139</v>
      </c>
      <c r="W14">
        <v>14</v>
      </c>
      <c r="X14">
        <v>497</v>
      </c>
      <c r="Y14">
        <v>21440</v>
      </c>
      <c r="Z14">
        <v>217</v>
      </c>
      <c r="AA14">
        <v>2278</v>
      </c>
      <c r="AB14">
        <f t="shared" si="0"/>
        <v>2495</v>
      </c>
      <c r="AC14">
        <v>151</v>
      </c>
      <c r="AD14">
        <v>0</v>
      </c>
      <c r="AE14">
        <v>1356</v>
      </c>
      <c r="AF14">
        <v>0</v>
      </c>
      <c r="AG14">
        <v>4437</v>
      </c>
      <c r="AH14">
        <f t="shared" si="1"/>
        <v>506</v>
      </c>
      <c r="AI14">
        <f t="shared" si="2"/>
        <v>11730</v>
      </c>
      <c r="AJ14">
        <f t="shared" si="3"/>
        <v>5460</v>
      </c>
      <c r="AK14">
        <f t="shared" si="4"/>
        <v>5602</v>
      </c>
    </row>
    <row r="15" spans="1:37" x14ac:dyDescent="0.35">
      <c r="A15" t="s">
        <v>97</v>
      </c>
      <c r="B15" t="s">
        <v>154</v>
      </c>
      <c r="C15">
        <v>0</v>
      </c>
      <c r="D15">
        <v>0</v>
      </c>
      <c r="E15">
        <v>404</v>
      </c>
      <c r="F15">
        <v>535</v>
      </c>
      <c r="G15">
        <v>167</v>
      </c>
      <c r="H15">
        <v>30768</v>
      </c>
      <c r="I15">
        <v>0</v>
      </c>
      <c r="J15">
        <v>2651</v>
      </c>
      <c r="K15">
        <v>0</v>
      </c>
      <c r="L15">
        <v>2934</v>
      </c>
      <c r="M15">
        <v>0</v>
      </c>
      <c r="N15">
        <v>338</v>
      </c>
      <c r="O15">
        <v>0</v>
      </c>
      <c r="P15">
        <v>0</v>
      </c>
      <c r="Q15">
        <v>1652</v>
      </c>
      <c r="R15">
        <v>1990</v>
      </c>
      <c r="S15">
        <v>52766</v>
      </c>
      <c r="T15">
        <v>51019</v>
      </c>
      <c r="U15">
        <v>0</v>
      </c>
      <c r="V15">
        <v>74310</v>
      </c>
      <c r="W15">
        <v>1608</v>
      </c>
      <c r="X15">
        <v>0</v>
      </c>
      <c r="Y15">
        <v>0</v>
      </c>
      <c r="Z15">
        <v>226</v>
      </c>
      <c r="AA15">
        <v>1461</v>
      </c>
      <c r="AB15">
        <f t="shared" si="0"/>
        <v>1687</v>
      </c>
      <c r="AC15">
        <v>395</v>
      </c>
      <c r="AD15">
        <v>0</v>
      </c>
      <c r="AE15">
        <v>778</v>
      </c>
      <c r="AF15">
        <v>0</v>
      </c>
      <c r="AG15">
        <v>0</v>
      </c>
      <c r="AH15">
        <f t="shared" si="1"/>
        <v>404</v>
      </c>
      <c r="AI15">
        <f t="shared" si="2"/>
        <v>103785</v>
      </c>
      <c r="AJ15">
        <f t="shared" si="3"/>
        <v>3642</v>
      </c>
      <c r="AK15">
        <f t="shared" si="4"/>
        <v>31546</v>
      </c>
    </row>
    <row r="16" spans="1:37" x14ac:dyDescent="0.35">
      <c r="A16" t="s">
        <v>98</v>
      </c>
      <c r="B16" t="s">
        <v>170</v>
      </c>
      <c r="C16">
        <v>0</v>
      </c>
      <c r="D16">
        <v>0</v>
      </c>
      <c r="E16">
        <v>0</v>
      </c>
      <c r="F16">
        <v>0</v>
      </c>
      <c r="G16">
        <v>0</v>
      </c>
      <c r="H16">
        <v>246</v>
      </c>
      <c r="I16">
        <v>1847</v>
      </c>
      <c r="J16">
        <v>0</v>
      </c>
      <c r="K16">
        <v>5</v>
      </c>
      <c r="L16">
        <v>2</v>
      </c>
      <c r="M16">
        <v>0</v>
      </c>
      <c r="N16">
        <v>0</v>
      </c>
      <c r="O16">
        <v>0</v>
      </c>
      <c r="P16">
        <v>0</v>
      </c>
      <c r="Q16">
        <v>0</v>
      </c>
      <c r="R16">
        <v>51</v>
      </c>
      <c r="S16">
        <v>283</v>
      </c>
      <c r="T16">
        <v>72</v>
      </c>
      <c r="U16">
        <v>0</v>
      </c>
      <c r="V16">
        <v>0</v>
      </c>
      <c r="W16">
        <v>0</v>
      </c>
      <c r="X16">
        <v>134</v>
      </c>
      <c r="Y16">
        <v>0</v>
      </c>
      <c r="Z16">
        <v>0</v>
      </c>
      <c r="AA16">
        <v>10</v>
      </c>
      <c r="AB16">
        <f t="shared" si="0"/>
        <v>10</v>
      </c>
      <c r="AC16">
        <v>0</v>
      </c>
      <c r="AD16">
        <v>0</v>
      </c>
      <c r="AE16">
        <v>0</v>
      </c>
      <c r="AF16">
        <v>0</v>
      </c>
      <c r="AG16">
        <v>0</v>
      </c>
      <c r="AH16">
        <f t="shared" si="1"/>
        <v>0</v>
      </c>
      <c r="AI16">
        <f t="shared" si="2"/>
        <v>355</v>
      </c>
      <c r="AJ16">
        <f t="shared" si="3"/>
        <v>51</v>
      </c>
      <c r="AK16">
        <f t="shared" si="4"/>
        <v>246</v>
      </c>
    </row>
    <row r="17" spans="1:37" x14ac:dyDescent="0.35">
      <c r="A17" t="s">
        <v>99</v>
      </c>
      <c r="B17" t="s">
        <v>194</v>
      </c>
      <c r="C17">
        <v>243</v>
      </c>
      <c r="D17">
        <v>164</v>
      </c>
      <c r="E17">
        <v>22</v>
      </c>
      <c r="F17">
        <v>0</v>
      </c>
      <c r="G17">
        <v>243</v>
      </c>
      <c r="H17">
        <v>160</v>
      </c>
      <c r="I17">
        <v>0</v>
      </c>
      <c r="J17">
        <v>0</v>
      </c>
      <c r="K17">
        <v>0</v>
      </c>
      <c r="L17">
        <v>549</v>
      </c>
      <c r="M17">
        <v>0</v>
      </c>
      <c r="N17">
        <v>113</v>
      </c>
      <c r="O17">
        <v>0</v>
      </c>
      <c r="P17">
        <v>0</v>
      </c>
      <c r="Q17">
        <v>0</v>
      </c>
      <c r="R17">
        <v>45</v>
      </c>
      <c r="S17">
        <v>2497</v>
      </c>
      <c r="T17">
        <v>1442</v>
      </c>
      <c r="U17">
        <v>86</v>
      </c>
      <c r="V17">
        <v>3563</v>
      </c>
      <c r="W17">
        <v>0</v>
      </c>
      <c r="X17">
        <v>0</v>
      </c>
      <c r="Y17">
        <v>0</v>
      </c>
      <c r="Z17">
        <v>300</v>
      </c>
      <c r="AA17">
        <v>151</v>
      </c>
      <c r="AB17">
        <f t="shared" si="0"/>
        <v>451</v>
      </c>
      <c r="AC17">
        <v>137</v>
      </c>
      <c r="AD17">
        <v>0</v>
      </c>
      <c r="AE17">
        <v>120</v>
      </c>
      <c r="AF17">
        <v>0</v>
      </c>
      <c r="AG17">
        <v>0</v>
      </c>
      <c r="AH17">
        <f t="shared" si="1"/>
        <v>186</v>
      </c>
      <c r="AI17">
        <f t="shared" si="2"/>
        <v>3939</v>
      </c>
      <c r="AJ17">
        <f t="shared" si="3"/>
        <v>45</v>
      </c>
      <c r="AK17">
        <f t="shared" si="4"/>
        <v>280</v>
      </c>
    </row>
    <row r="18" spans="1:37" x14ac:dyDescent="0.35">
      <c r="A18" t="s">
        <v>43</v>
      </c>
      <c r="B18" t="s">
        <v>159</v>
      </c>
      <c r="C18">
        <v>6324</v>
      </c>
      <c r="D18">
        <v>46</v>
      </c>
      <c r="E18">
        <v>28</v>
      </c>
      <c r="F18">
        <v>0</v>
      </c>
      <c r="G18">
        <v>187</v>
      </c>
      <c r="H18">
        <v>211</v>
      </c>
      <c r="I18">
        <v>927</v>
      </c>
      <c r="J18">
        <v>195</v>
      </c>
      <c r="K18">
        <v>0</v>
      </c>
      <c r="L18">
        <v>370</v>
      </c>
      <c r="M18">
        <v>28</v>
      </c>
      <c r="N18">
        <v>47</v>
      </c>
      <c r="O18">
        <v>2084</v>
      </c>
      <c r="P18">
        <v>0</v>
      </c>
      <c r="Q18">
        <v>0</v>
      </c>
      <c r="R18">
        <v>14</v>
      </c>
      <c r="S18">
        <v>455</v>
      </c>
      <c r="T18">
        <v>1749</v>
      </c>
      <c r="U18">
        <v>12</v>
      </c>
      <c r="V18">
        <v>1215</v>
      </c>
      <c r="W18">
        <v>85</v>
      </c>
      <c r="X18">
        <v>84</v>
      </c>
      <c r="Y18">
        <v>29</v>
      </c>
      <c r="Z18">
        <v>171</v>
      </c>
      <c r="AA18">
        <v>110</v>
      </c>
      <c r="AB18">
        <f t="shared" si="0"/>
        <v>281</v>
      </c>
      <c r="AC18">
        <v>29</v>
      </c>
      <c r="AD18">
        <v>0</v>
      </c>
      <c r="AE18">
        <v>67</v>
      </c>
      <c r="AF18">
        <v>0</v>
      </c>
      <c r="AG18">
        <v>7</v>
      </c>
      <c r="AH18">
        <f t="shared" si="1"/>
        <v>74</v>
      </c>
      <c r="AI18">
        <f t="shared" si="2"/>
        <v>2204</v>
      </c>
      <c r="AJ18">
        <f t="shared" si="3"/>
        <v>14</v>
      </c>
      <c r="AK18">
        <f t="shared" si="4"/>
        <v>278</v>
      </c>
    </row>
    <row r="19" spans="1:37" x14ac:dyDescent="0.35">
      <c r="A19" t="s">
        <v>100</v>
      </c>
      <c r="B19" t="s">
        <v>155</v>
      </c>
      <c r="C19">
        <v>37259</v>
      </c>
      <c r="D19">
        <v>144</v>
      </c>
      <c r="E19">
        <v>1745</v>
      </c>
      <c r="F19">
        <v>147</v>
      </c>
      <c r="G19">
        <v>2662</v>
      </c>
      <c r="H19">
        <v>5867</v>
      </c>
      <c r="I19">
        <v>0</v>
      </c>
      <c r="J19">
        <v>4365</v>
      </c>
      <c r="K19">
        <v>52</v>
      </c>
      <c r="L19">
        <v>10450</v>
      </c>
      <c r="M19">
        <v>11536</v>
      </c>
      <c r="N19">
        <v>1041</v>
      </c>
      <c r="O19">
        <v>2953</v>
      </c>
      <c r="P19">
        <v>0</v>
      </c>
      <c r="Q19">
        <v>2</v>
      </c>
      <c r="R19">
        <v>16159</v>
      </c>
      <c r="S19">
        <v>0</v>
      </c>
      <c r="T19">
        <v>61772</v>
      </c>
      <c r="U19">
        <v>330</v>
      </c>
      <c r="V19">
        <v>73174</v>
      </c>
      <c r="W19">
        <v>2872</v>
      </c>
      <c r="X19">
        <v>672</v>
      </c>
      <c r="Y19">
        <v>1285</v>
      </c>
      <c r="Z19">
        <v>6845</v>
      </c>
      <c r="AA19">
        <v>3907</v>
      </c>
      <c r="AB19">
        <f t="shared" si="0"/>
        <v>10752</v>
      </c>
      <c r="AC19">
        <v>258</v>
      </c>
      <c r="AD19">
        <v>0</v>
      </c>
      <c r="AE19">
        <v>5396</v>
      </c>
      <c r="AF19">
        <v>0</v>
      </c>
      <c r="AG19">
        <v>0</v>
      </c>
      <c r="AH19">
        <f t="shared" si="1"/>
        <v>1889</v>
      </c>
      <c r="AI19">
        <f t="shared" si="2"/>
        <v>61772</v>
      </c>
      <c r="AJ19">
        <f t="shared" si="3"/>
        <v>16161</v>
      </c>
      <c r="AK19">
        <f t="shared" si="4"/>
        <v>11263</v>
      </c>
    </row>
    <row r="20" spans="1:37" x14ac:dyDescent="0.35">
      <c r="A20" t="s">
        <v>45</v>
      </c>
      <c r="B20" t="s">
        <v>157</v>
      </c>
      <c r="C20">
        <v>0</v>
      </c>
      <c r="D20">
        <v>3</v>
      </c>
      <c r="E20">
        <v>37</v>
      </c>
      <c r="F20">
        <v>6</v>
      </c>
      <c r="G20">
        <v>312</v>
      </c>
      <c r="H20">
        <v>570</v>
      </c>
      <c r="I20">
        <v>86</v>
      </c>
      <c r="J20">
        <v>318</v>
      </c>
      <c r="K20">
        <v>46</v>
      </c>
      <c r="L20">
        <v>439</v>
      </c>
      <c r="M20">
        <v>18</v>
      </c>
      <c r="N20">
        <v>93</v>
      </c>
      <c r="O20">
        <v>127</v>
      </c>
      <c r="P20">
        <v>0</v>
      </c>
      <c r="Q20">
        <v>626</v>
      </c>
      <c r="R20">
        <v>107</v>
      </c>
      <c r="S20">
        <v>4275</v>
      </c>
      <c r="T20">
        <v>1077</v>
      </c>
      <c r="U20">
        <v>5</v>
      </c>
      <c r="V20">
        <v>1939</v>
      </c>
      <c r="W20">
        <v>62</v>
      </c>
      <c r="X20">
        <v>83</v>
      </c>
      <c r="Y20">
        <v>58</v>
      </c>
      <c r="Z20">
        <v>106</v>
      </c>
      <c r="AA20">
        <v>121</v>
      </c>
      <c r="AB20">
        <f t="shared" si="0"/>
        <v>227</v>
      </c>
      <c r="AC20">
        <v>43</v>
      </c>
      <c r="AD20">
        <v>0</v>
      </c>
      <c r="AE20">
        <v>798</v>
      </c>
      <c r="AF20">
        <v>0</v>
      </c>
      <c r="AG20">
        <v>99</v>
      </c>
      <c r="AH20">
        <f t="shared" si="1"/>
        <v>40</v>
      </c>
      <c r="AI20">
        <f t="shared" si="2"/>
        <v>5352</v>
      </c>
      <c r="AJ20">
        <f t="shared" si="3"/>
        <v>733</v>
      </c>
      <c r="AK20">
        <f t="shared" si="4"/>
        <v>1368</v>
      </c>
    </row>
    <row r="21" spans="1:37" x14ac:dyDescent="0.35">
      <c r="A21" t="s">
        <v>101</v>
      </c>
      <c r="B21" t="s">
        <v>171</v>
      </c>
      <c r="C21">
        <v>1553</v>
      </c>
      <c r="D21">
        <v>3</v>
      </c>
      <c r="E21">
        <v>0</v>
      </c>
      <c r="F21">
        <v>0</v>
      </c>
      <c r="G21">
        <v>316</v>
      </c>
      <c r="H21">
        <v>181</v>
      </c>
      <c r="I21">
        <v>0</v>
      </c>
      <c r="J21">
        <v>0</v>
      </c>
      <c r="K21">
        <v>0</v>
      </c>
      <c r="L21">
        <v>138</v>
      </c>
      <c r="M21">
        <v>0</v>
      </c>
      <c r="N21">
        <v>0</v>
      </c>
      <c r="O21">
        <v>0</v>
      </c>
      <c r="P21">
        <v>0</v>
      </c>
      <c r="Q21">
        <v>0</v>
      </c>
      <c r="R21">
        <v>320</v>
      </c>
      <c r="S21">
        <v>0</v>
      </c>
      <c r="T21">
        <v>1178</v>
      </c>
      <c r="U21">
        <v>0</v>
      </c>
      <c r="V21">
        <v>0</v>
      </c>
      <c r="W21">
        <v>0</v>
      </c>
      <c r="X21">
        <v>0</v>
      </c>
      <c r="Y21">
        <v>39</v>
      </c>
      <c r="Z21">
        <v>1</v>
      </c>
      <c r="AA21">
        <v>78</v>
      </c>
      <c r="AB21">
        <f t="shared" si="0"/>
        <v>79</v>
      </c>
      <c r="AC21">
        <v>0</v>
      </c>
      <c r="AD21">
        <v>0</v>
      </c>
      <c r="AE21">
        <v>117</v>
      </c>
      <c r="AF21">
        <v>0</v>
      </c>
      <c r="AG21">
        <v>0</v>
      </c>
      <c r="AH21">
        <f t="shared" si="1"/>
        <v>3</v>
      </c>
      <c r="AI21">
        <f t="shared" si="2"/>
        <v>1178</v>
      </c>
      <c r="AJ21">
        <f t="shared" si="3"/>
        <v>320</v>
      </c>
      <c r="AK21">
        <f t="shared" si="4"/>
        <v>298</v>
      </c>
    </row>
    <row r="22" spans="1:37" x14ac:dyDescent="0.35">
      <c r="A22" t="s">
        <v>102</v>
      </c>
      <c r="B22" t="s">
        <v>172</v>
      </c>
      <c r="C22">
        <v>15820</v>
      </c>
      <c r="D22">
        <v>227</v>
      </c>
      <c r="E22">
        <v>486</v>
      </c>
      <c r="F22">
        <v>0</v>
      </c>
      <c r="G22">
        <v>47</v>
      </c>
      <c r="H22">
        <v>3316</v>
      </c>
      <c r="I22">
        <v>4059</v>
      </c>
      <c r="J22">
        <v>1033</v>
      </c>
      <c r="K22">
        <v>0</v>
      </c>
      <c r="L22">
        <v>1563</v>
      </c>
      <c r="M22">
        <v>1671</v>
      </c>
      <c r="N22">
        <v>1476</v>
      </c>
      <c r="O22">
        <v>3883</v>
      </c>
      <c r="P22">
        <v>0</v>
      </c>
      <c r="Q22">
        <v>0</v>
      </c>
      <c r="R22">
        <v>10625</v>
      </c>
      <c r="S22">
        <v>20524</v>
      </c>
      <c r="T22">
        <v>22303</v>
      </c>
      <c r="U22">
        <v>143</v>
      </c>
      <c r="V22">
        <v>23627</v>
      </c>
      <c r="W22">
        <v>1877</v>
      </c>
      <c r="X22">
        <v>398</v>
      </c>
      <c r="Y22">
        <v>2116</v>
      </c>
      <c r="Z22">
        <v>1352</v>
      </c>
      <c r="AA22">
        <v>775</v>
      </c>
      <c r="AB22">
        <f t="shared" si="0"/>
        <v>2127</v>
      </c>
      <c r="AC22">
        <v>304</v>
      </c>
      <c r="AD22">
        <v>0</v>
      </c>
      <c r="AE22">
        <v>1090</v>
      </c>
      <c r="AF22">
        <v>0</v>
      </c>
      <c r="AG22">
        <v>3468</v>
      </c>
      <c r="AH22">
        <f t="shared" si="1"/>
        <v>713</v>
      </c>
      <c r="AI22">
        <f t="shared" si="2"/>
        <v>42827</v>
      </c>
      <c r="AJ22">
        <f t="shared" si="3"/>
        <v>10625</v>
      </c>
      <c r="AK22">
        <f t="shared" si="4"/>
        <v>4406</v>
      </c>
    </row>
    <row r="23" spans="1:37" x14ac:dyDescent="0.35">
      <c r="A23" t="s">
        <v>103</v>
      </c>
      <c r="B23" t="s">
        <v>173</v>
      </c>
      <c r="C23">
        <v>16567</v>
      </c>
      <c r="D23">
        <v>0</v>
      </c>
      <c r="E23">
        <v>73</v>
      </c>
      <c r="F23">
        <v>0</v>
      </c>
      <c r="G23">
        <v>0</v>
      </c>
      <c r="H23">
        <v>2649</v>
      </c>
      <c r="I23">
        <v>1</v>
      </c>
      <c r="J23">
        <v>189</v>
      </c>
      <c r="K23">
        <v>0</v>
      </c>
      <c r="L23">
        <v>181</v>
      </c>
      <c r="M23">
        <v>0</v>
      </c>
      <c r="N23">
        <v>0</v>
      </c>
      <c r="O23">
        <v>66</v>
      </c>
      <c r="P23">
        <v>0</v>
      </c>
      <c r="Q23">
        <v>0</v>
      </c>
      <c r="R23">
        <v>866</v>
      </c>
      <c r="S23">
        <v>3985</v>
      </c>
      <c r="T23">
        <v>2344</v>
      </c>
      <c r="U23">
        <v>0</v>
      </c>
      <c r="V23">
        <v>481</v>
      </c>
      <c r="W23">
        <v>0</v>
      </c>
      <c r="X23">
        <v>0</v>
      </c>
      <c r="Y23">
        <v>62</v>
      </c>
      <c r="Z23">
        <v>0</v>
      </c>
      <c r="AA23">
        <v>255</v>
      </c>
      <c r="AB23">
        <f t="shared" si="0"/>
        <v>255</v>
      </c>
      <c r="AC23">
        <v>0</v>
      </c>
      <c r="AD23">
        <v>0</v>
      </c>
      <c r="AE23">
        <v>138</v>
      </c>
      <c r="AF23">
        <v>0</v>
      </c>
      <c r="AG23">
        <v>0</v>
      </c>
      <c r="AH23">
        <f t="shared" si="1"/>
        <v>73</v>
      </c>
      <c r="AI23">
        <f t="shared" si="2"/>
        <v>6329</v>
      </c>
      <c r="AJ23">
        <f t="shared" si="3"/>
        <v>866</v>
      </c>
      <c r="AK23">
        <f t="shared" si="4"/>
        <v>2787</v>
      </c>
    </row>
    <row r="24" spans="1:37" x14ac:dyDescent="0.35">
      <c r="A24" t="s">
        <v>104</v>
      </c>
      <c r="B24" t="s">
        <v>174</v>
      </c>
      <c r="C24">
        <v>4057</v>
      </c>
      <c r="D24">
        <v>8</v>
      </c>
      <c r="E24">
        <v>8</v>
      </c>
      <c r="F24">
        <v>0</v>
      </c>
      <c r="G24">
        <v>3</v>
      </c>
      <c r="H24">
        <v>290</v>
      </c>
      <c r="I24">
        <v>0</v>
      </c>
      <c r="J24">
        <v>130</v>
      </c>
      <c r="K24">
        <v>5</v>
      </c>
      <c r="L24">
        <v>172</v>
      </c>
      <c r="M24">
        <v>0</v>
      </c>
      <c r="N24">
        <v>12</v>
      </c>
      <c r="O24">
        <v>24</v>
      </c>
      <c r="P24">
        <v>0</v>
      </c>
      <c r="Q24">
        <v>1</v>
      </c>
      <c r="R24">
        <v>156</v>
      </c>
      <c r="S24">
        <v>54</v>
      </c>
      <c r="T24">
        <v>1210</v>
      </c>
      <c r="U24">
        <v>16</v>
      </c>
      <c r="V24">
        <v>481</v>
      </c>
      <c r="W24">
        <v>69</v>
      </c>
      <c r="X24">
        <v>0</v>
      </c>
      <c r="Y24">
        <v>8</v>
      </c>
      <c r="Z24">
        <v>69</v>
      </c>
      <c r="AA24">
        <v>13</v>
      </c>
      <c r="AB24">
        <f t="shared" si="0"/>
        <v>82</v>
      </c>
      <c r="AC24">
        <v>13</v>
      </c>
      <c r="AD24">
        <v>0</v>
      </c>
      <c r="AE24">
        <v>28</v>
      </c>
      <c r="AF24">
        <v>0</v>
      </c>
      <c r="AG24">
        <v>1063</v>
      </c>
      <c r="AH24">
        <f t="shared" si="1"/>
        <v>16</v>
      </c>
      <c r="AI24">
        <f t="shared" si="2"/>
        <v>1264</v>
      </c>
      <c r="AJ24">
        <f t="shared" si="3"/>
        <v>157</v>
      </c>
      <c r="AK24">
        <f t="shared" si="4"/>
        <v>318</v>
      </c>
    </row>
    <row r="25" spans="1:37" x14ac:dyDescent="0.35">
      <c r="A25" t="s">
        <v>105</v>
      </c>
      <c r="B25" t="s">
        <v>175</v>
      </c>
      <c r="C25">
        <v>58079</v>
      </c>
      <c r="D25">
        <v>464</v>
      </c>
      <c r="E25">
        <v>1300</v>
      </c>
      <c r="F25">
        <v>1147</v>
      </c>
      <c r="G25">
        <v>5310</v>
      </c>
      <c r="H25">
        <v>5602</v>
      </c>
      <c r="I25">
        <v>0</v>
      </c>
      <c r="J25">
        <v>0</v>
      </c>
      <c r="K25">
        <v>468</v>
      </c>
      <c r="L25">
        <v>0</v>
      </c>
      <c r="M25">
        <v>0</v>
      </c>
      <c r="N25">
        <v>430</v>
      </c>
      <c r="O25">
        <v>2419</v>
      </c>
      <c r="P25">
        <v>0</v>
      </c>
      <c r="Q25">
        <v>0</v>
      </c>
      <c r="R25">
        <v>0</v>
      </c>
      <c r="S25">
        <v>13198</v>
      </c>
      <c r="T25">
        <v>46703</v>
      </c>
      <c r="U25">
        <v>0</v>
      </c>
      <c r="V25">
        <v>2759</v>
      </c>
      <c r="W25">
        <v>0</v>
      </c>
      <c r="X25">
        <v>0</v>
      </c>
      <c r="Y25">
        <v>21942</v>
      </c>
      <c r="Z25">
        <v>1331</v>
      </c>
      <c r="AA25">
        <v>964</v>
      </c>
      <c r="AB25">
        <f t="shared" si="0"/>
        <v>2295</v>
      </c>
      <c r="AC25">
        <v>0</v>
      </c>
      <c r="AD25">
        <v>0</v>
      </c>
      <c r="AE25">
        <v>2440</v>
      </c>
      <c r="AF25">
        <v>0</v>
      </c>
      <c r="AG25">
        <v>0</v>
      </c>
      <c r="AH25">
        <f t="shared" si="1"/>
        <v>1764</v>
      </c>
      <c r="AI25">
        <f t="shared" si="2"/>
        <v>59901</v>
      </c>
      <c r="AJ25">
        <f t="shared" si="3"/>
        <v>0</v>
      </c>
      <c r="AK25">
        <f t="shared" si="4"/>
        <v>8042</v>
      </c>
    </row>
    <row r="26" spans="1:37" x14ac:dyDescent="0.35">
      <c r="A26" t="s">
        <v>42</v>
      </c>
      <c r="B26" t="s">
        <v>160</v>
      </c>
      <c r="C26">
        <v>14508</v>
      </c>
      <c r="D26">
        <v>120</v>
      </c>
      <c r="E26">
        <v>39</v>
      </c>
      <c r="F26">
        <v>29</v>
      </c>
      <c r="G26">
        <v>144</v>
      </c>
      <c r="H26">
        <v>815</v>
      </c>
      <c r="I26">
        <v>849</v>
      </c>
      <c r="J26">
        <v>110</v>
      </c>
      <c r="K26">
        <v>10</v>
      </c>
      <c r="L26">
        <v>205</v>
      </c>
      <c r="M26">
        <v>71</v>
      </c>
      <c r="N26">
        <v>41</v>
      </c>
      <c r="O26">
        <v>349</v>
      </c>
      <c r="P26">
        <v>0</v>
      </c>
      <c r="Q26">
        <v>0</v>
      </c>
      <c r="R26">
        <v>2779</v>
      </c>
      <c r="S26">
        <v>967</v>
      </c>
      <c r="T26">
        <v>0</v>
      </c>
      <c r="U26">
        <v>8</v>
      </c>
      <c r="V26">
        <v>2130</v>
      </c>
      <c r="W26">
        <v>58</v>
      </c>
      <c r="X26">
        <v>416</v>
      </c>
      <c r="Y26">
        <v>4</v>
      </c>
      <c r="Z26">
        <v>301</v>
      </c>
      <c r="AA26">
        <v>97</v>
      </c>
      <c r="AB26">
        <f t="shared" si="0"/>
        <v>398</v>
      </c>
      <c r="AC26">
        <v>22</v>
      </c>
      <c r="AD26">
        <v>0</v>
      </c>
      <c r="AE26">
        <v>183</v>
      </c>
      <c r="AF26">
        <v>0</v>
      </c>
      <c r="AG26">
        <v>6097</v>
      </c>
      <c r="AH26">
        <f t="shared" si="1"/>
        <v>159</v>
      </c>
      <c r="AI26">
        <f t="shared" si="2"/>
        <v>967</v>
      </c>
      <c r="AJ26">
        <f t="shared" si="3"/>
        <v>2779</v>
      </c>
      <c r="AK26">
        <f t="shared" si="4"/>
        <v>998</v>
      </c>
    </row>
    <row r="27" spans="1:37" x14ac:dyDescent="0.35">
      <c r="A27" t="s">
        <v>106</v>
      </c>
      <c r="B27" t="s">
        <v>176</v>
      </c>
      <c r="C27">
        <v>3391</v>
      </c>
      <c r="D27">
        <v>10</v>
      </c>
      <c r="E27">
        <v>14</v>
      </c>
      <c r="F27">
        <v>0</v>
      </c>
      <c r="G27">
        <v>285</v>
      </c>
      <c r="H27">
        <v>234</v>
      </c>
      <c r="I27">
        <v>148</v>
      </c>
      <c r="J27">
        <v>1404</v>
      </c>
      <c r="K27">
        <v>0</v>
      </c>
      <c r="L27">
        <v>0</v>
      </c>
      <c r="M27">
        <v>527</v>
      </c>
      <c r="N27">
        <v>9</v>
      </c>
      <c r="O27">
        <v>65</v>
      </c>
      <c r="P27">
        <v>0</v>
      </c>
      <c r="Q27">
        <v>0</v>
      </c>
      <c r="R27">
        <v>927</v>
      </c>
      <c r="S27">
        <v>3601</v>
      </c>
      <c r="T27">
        <v>4887</v>
      </c>
      <c r="U27">
        <v>5</v>
      </c>
      <c r="V27">
        <v>4311</v>
      </c>
      <c r="W27">
        <v>3601</v>
      </c>
      <c r="X27">
        <v>115</v>
      </c>
      <c r="Y27">
        <v>0</v>
      </c>
      <c r="Z27">
        <v>962</v>
      </c>
      <c r="AA27">
        <v>109</v>
      </c>
      <c r="AB27">
        <f t="shared" si="0"/>
        <v>1071</v>
      </c>
      <c r="AC27">
        <v>3</v>
      </c>
      <c r="AD27">
        <v>0</v>
      </c>
      <c r="AE27">
        <v>12</v>
      </c>
      <c r="AF27">
        <v>0</v>
      </c>
      <c r="AG27">
        <v>0</v>
      </c>
      <c r="AH27">
        <f t="shared" si="1"/>
        <v>24</v>
      </c>
      <c r="AI27">
        <f t="shared" si="2"/>
        <v>8488</v>
      </c>
      <c r="AJ27">
        <f t="shared" si="3"/>
        <v>927</v>
      </c>
      <c r="AK27">
        <f t="shared" si="4"/>
        <v>246</v>
      </c>
    </row>
    <row r="28" spans="1:37" x14ac:dyDescent="0.35">
      <c r="A28" t="s">
        <v>107</v>
      </c>
      <c r="B28" t="s">
        <v>177</v>
      </c>
      <c r="C28">
        <v>35000</v>
      </c>
      <c r="D28">
        <v>184</v>
      </c>
      <c r="E28">
        <v>372</v>
      </c>
      <c r="F28">
        <v>414</v>
      </c>
      <c r="G28">
        <v>15</v>
      </c>
      <c r="H28">
        <v>4593</v>
      </c>
      <c r="I28">
        <v>311</v>
      </c>
      <c r="J28">
        <v>411</v>
      </c>
      <c r="K28">
        <v>52</v>
      </c>
      <c r="L28">
        <v>306</v>
      </c>
      <c r="M28">
        <v>0</v>
      </c>
      <c r="N28">
        <v>214</v>
      </c>
      <c r="O28">
        <v>11</v>
      </c>
      <c r="P28">
        <v>0</v>
      </c>
      <c r="Q28">
        <v>0</v>
      </c>
      <c r="R28">
        <v>3164</v>
      </c>
      <c r="S28">
        <v>0</v>
      </c>
      <c r="T28">
        <v>4560</v>
      </c>
      <c r="U28">
        <v>56</v>
      </c>
      <c r="V28">
        <v>6355</v>
      </c>
      <c r="W28">
        <v>0</v>
      </c>
      <c r="X28">
        <v>0</v>
      </c>
      <c r="Y28">
        <v>0</v>
      </c>
      <c r="Z28">
        <v>10</v>
      </c>
      <c r="AA28">
        <v>319</v>
      </c>
      <c r="AB28">
        <f t="shared" si="0"/>
        <v>329</v>
      </c>
      <c r="AC28">
        <v>99</v>
      </c>
      <c r="AD28">
        <v>0</v>
      </c>
      <c r="AE28">
        <v>637</v>
      </c>
      <c r="AF28">
        <v>0</v>
      </c>
      <c r="AG28">
        <v>602</v>
      </c>
      <c r="AH28">
        <f t="shared" si="1"/>
        <v>556</v>
      </c>
      <c r="AI28">
        <f t="shared" si="2"/>
        <v>4560</v>
      </c>
      <c r="AJ28">
        <f t="shared" si="3"/>
        <v>3164</v>
      </c>
      <c r="AK28">
        <f t="shared" si="4"/>
        <v>5230</v>
      </c>
    </row>
    <row r="29" spans="1:37" x14ac:dyDescent="0.35">
      <c r="A29" t="s">
        <v>108</v>
      </c>
      <c r="B29" t="s">
        <v>178</v>
      </c>
      <c r="C29">
        <v>10016</v>
      </c>
      <c r="D29">
        <v>76</v>
      </c>
      <c r="E29">
        <v>36</v>
      </c>
      <c r="F29">
        <v>25</v>
      </c>
      <c r="G29">
        <v>35</v>
      </c>
      <c r="H29">
        <v>2582</v>
      </c>
      <c r="I29">
        <v>178</v>
      </c>
      <c r="J29">
        <v>178</v>
      </c>
      <c r="K29">
        <v>0</v>
      </c>
      <c r="L29">
        <v>542</v>
      </c>
      <c r="M29">
        <v>2804</v>
      </c>
      <c r="N29">
        <v>44</v>
      </c>
      <c r="O29">
        <v>306</v>
      </c>
      <c r="P29">
        <v>0</v>
      </c>
      <c r="Q29">
        <v>0</v>
      </c>
      <c r="R29">
        <v>0</v>
      </c>
      <c r="S29">
        <v>4476</v>
      </c>
      <c r="T29">
        <v>1549</v>
      </c>
      <c r="U29">
        <v>13</v>
      </c>
      <c r="V29">
        <v>0</v>
      </c>
      <c r="W29">
        <v>0</v>
      </c>
      <c r="X29">
        <v>0</v>
      </c>
      <c r="Y29">
        <v>98</v>
      </c>
      <c r="Z29">
        <v>276</v>
      </c>
      <c r="AA29">
        <v>111</v>
      </c>
      <c r="AB29">
        <f t="shared" si="0"/>
        <v>387</v>
      </c>
      <c r="AC29">
        <v>52</v>
      </c>
      <c r="AD29">
        <v>0</v>
      </c>
      <c r="AE29">
        <v>178</v>
      </c>
      <c r="AF29">
        <v>0</v>
      </c>
      <c r="AG29">
        <v>0</v>
      </c>
      <c r="AH29">
        <f t="shared" si="1"/>
        <v>112</v>
      </c>
      <c r="AI29">
        <f t="shared" si="2"/>
        <v>6025</v>
      </c>
      <c r="AJ29">
        <f t="shared" si="3"/>
        <v>0</v>
      </c>
      <c r="AK29">
        <f t="shared" si="4"/>
        <v>2760</v>
      </c>
    </row>
    <row r="30" spans="1:37" x14ac:dyDescent="0.35">
      <c r="A30" t="s">
        <v>109</v>
      </c>
      <c r="B30" t="s">
        <v>179</v>
      </c>
      <c r="C30">
        <v>1152</v>
      </c>
      <c r="D30">
        <v>0</v>
      </c>
      <c r="E30">
        <v>30</v>
      </c>
      <c r="F30">
        <v>7</v>
      </c>
      <c r="G30">
        <v>78</v>
      </c>
      <c r="H30">
        <v>2151</v>
      </c>
      <c r="I30">
        <v>2153</v>
      </c>
      <c r="J30">
        <v>25</v>
      </c>
      <c r="K30">
        <v>0</v>
      </c>
      <c r="L30">
        <v>0</v>
      </c>
      <c r="M30">
        <v>1041</v>
      </c>
      <c r="N30">
        <v>0</v>
      </c>
      <c r="O30">
        <v>0</v>
      </c>
      <c r="P30">
        <v>0</v>
      </c>
      <c r="Q30">
        <v>1642</v>
      </c>
      <c r="R30">
        <v>1527</v>
      </c>
      <c r="S30">
        <v>2970</v>
      </c>
      <c r="T30">
        <v>2255</v>
      </c>
      <c r="U30">
        <v>0</v>
      </c>
      <c r="V30">
        <v>8306</v>
      </c>
      <c r="W30">
        <v>0</v>
      </c>
      <c r="X30">
        <v>1496</v>
      </c>
      <c r="Y30">
        <v>0</v>
      </c>
      <c r="Z30">
        <v>84</v>
      </c>
      <c r="AA30">
        <v>1340</v>
      </c>
      <c r="AB30">
        <f t="shared" si="0"/>
        <v>1424</v>
      </c>
      <c r="AC30">
        <v>0</v>
      </c>
      <c r="AD30">
        <v>0</v>
      </c>
      <c r="AE30">
        <v>715</v>
      </c>
      <c r="AF30">
        <v>0</v>
      </c>
      <c r="AG30">
        <v>4</v>
      </c>
      <c r="AH30">
        <f t="shared" si="1"/>
        <v>30</v>
      </c>
      <c r="AI30">
        <f t="shared" si="2"/>
        <v>5225</v>
      </c>
      <c r="AJ30">
        <f t="shared" si="3"/>
        <v>3169</v>
      </c>
      <c r="AK30">
        <f t="shared" si="4"/>
        <v>2866</v>
      </c>
    </row>
    <row r="31" spans="1:37" x14ac:dyDescent="0.35">
      <c r="A31" t="s">
        <v>44</v>
      </c>
      <c r="B31" t="s">
        <v>158</v>
      </c>
      <c r="C31">
        <v>500</v>
      </c>
      <c r="D31">
        <v>0</v>
      </c>
      <c r="E31">
        <v>151</v>
      </c>
      <c r="F31">
        <v>20</v>
      </c>
      <c r="G31">
        <v>5</v>
      </c>
      <c r="H31">
        <v>808</v>
      </c>
      <c r="I31">
        <v>38</v>
      </c>
      <c r="J31">
        <v>20</v>
      </c>
      <c r="K31">
        <v>9</v>
      </c>
      <c r="L31">
        <v>122</v>
      </c>
      <c r="M31">
        <v>0</v>
      </c>
      <c r="N31">
        <v>0</v>
      </c>
      <c r="O31">
        <v>15</v>
      </c>
      <c r="P31">
        <v>0</v>
      </c>
      <c r="Q31">
        <v>1</v>
      </c>
      <c r="R31">
        <v>854</v>
      </c>
      <c r="S31">
        <v>6</v>
      </c>
      <c r="T31">
        <v>4011</v>
      </c>
      <c r="U31">
        <v>0</v>
      </c>
      <c r="V31">
        <v>1532</v>
      </c>
      <c r="W31">
        <v>4</v>
      </c>
      <c r="X31">
        <v>326</v>
      </c>
      <c r="Y31">
        <v>65</v>
      </c>
      <c r="Z31">
        <v>13</v>
      </c>
      <c r="AA31">
        <v>87</v>
      </c>
      <c r="AB31">
        <f t="shared" si="0"/>
        <v>100</v>
      </c>
      <c r="AC31">
        <v>7</v>
      </c>
      <c r="AD31">
        <v>0</v>
      </c>
      <c r="AE31">
        <v>818</v>
      </c>
      <c r="AF31">
        <v>0</v>
      </c>
      <c r="AG31">
        <v>42</v>
      </c>
      <c r="AH31">
        <f t="shared" si="1"/>
        <v>151</v>
      </c>
      <c r="AI31">
        <f t="shared" si="2"/>
        <v>4017</v>
      </c>
      <c r="AJ31">
        <f t="shared" si="3"/>
        <v>855</v>
      </c>
      <c r="AK31">
        <f t="shared" si="4"/>
        <v>1626</v>
      </c>
    </row>
    <row r="32" spans="1:37" x14ac:dyDescent="0.35">
      <c r="A32" t="s">
        <v>110</v>
      </c>
      <c r="B32" t="s">
        <v>180</v>
      </c>
      <c r="C32">
        <v>180</v>
      </c>
      <c r="D32">
        <v>65</v>
      </c>
      <c r="E32">
        <v>401</v>
      </c>
      <c r="F32">
        <v>0</v>
      </c>
      <c r="G32">
        <v>48</v>
      </c>
      <c r="H32">
        <v>1188</v>
      </c>
      <c r="I32">
        <v>1153</v>
      </c>
      <c r="J32">
        <v>315</v>
      </c>
      <c r="K32">
        <v>12</v>
      </c>
      <c r="L32">
        <v>291</v>
      </c>
      <c r="M32">
        <v>9</v>
      </c>
      <c r="N32">
        <v>213</v>
      </c>
      <c r="O32">
        <v>416</v>
      </c>
      <c r="P32">
        <v>0</v>
      </c>
      <c r="Q32">
        <v>0</v>
      </c>
      <c r="R32">
        <v>567</v>
      </c>
      <c r="S32">
        <v>0</v>
      </c>
      <c r="T32">
        <v>4419</v>
      </c>
      <c r="U32">
        <v>0</v>
      </c>
      <c r="V32">
        <v>3295</v>
      </c>
      <c r="W32">
        <v>0</v>
      </c>
      <c r="X32">
        <v>274</v>
      </c>
      <c r="Y32">
        <v>24</v>
      </c>
      <c r="Z32">
        <v>217</v>
      </c>
      <c r="AA32">
        <v>531</v>
      </c>
      <c r="AB32">
        <f t="shared" si="0"/>
        <v>748</v>
      </c>
      <c r="AC32">
        <v>64</v>
      </c>
      <c r="AD32">
        <v>0</v>
      </c>
      <c r="AE32">
        <v>1207</v>
      </c>
      <c r="AF32">
        <v>0</v>
      </c>
      <c r="AG32">
        <v>5</v>
      </c>
      <c r="AH32">
        <f t="shared" si="1"/>
        <v>466</v>
      </c>
      <c r="AI32">
        <f t="shared" si="2"/>
        <v>4419</v>
      </c>
      <c r="AJ32">
        <f t="shared" si="3"/>
        <v>567</v>
      </c>
      <c r="AK32">
        <f t="shared" si="4"/>
        <v>2395</v>
      </c>
    </row>
    <row r="33" spans="1:37" x14ac:dyDescent="0.35">
      <c r="A33" t="s">
        <v>111</v>
      </c>
      <c r="B33" t="s">
        <v>181</v>
      </c>
      <c r="C33">
        <v>2205</v>
      </c>
      <c r="D33">
        <v>340</v>
      </c>
      <c r="E33">
        <v>205</v>
      </c>
      <c r="F33">
        <v>0</v>
      </c>
      <c r="G33">
        <v>0</v>
      </c>
      <c r="H33">
        <v>1555</v>
      </c>
      <c r="I33">
        <v>0</v>
      </c>
      <c r="J33">
        <v>2466</v>
      </c>
      <c r="K33">
        <v>29</v>
      </c>
      <c r="L33">
        <v>1951</v>
      </c>
      <c r="M33">
        <v>0</v>
      </c>
      <c r="N33">
        <v>206</v>
      </c>
      <c r="O33">
        <v>59</v>
      </c>
      <c r="P33">
        <v>0</v>
      </c>
      <c r="Q33">
        <v>0</v>
      </c>
      <c r="R33">
        <v>5820</v>
      </c>
      <c r="S33">
        <v>0</v>
      </c>
      <c r="T33">
        <v>7961</v>
      </c>
      <c r="U33">
        <v>147</v>
      </c>
      <c r="V33">
        <v>26735</v>
      </c>
      <c r="W33">
        <v>0</v>
      </c>
      <c r="X33">
        <v>5726</v>
      </c>
      <c r="Y33">
        <v>0</v>
      </c>
      <c r="Z33">
        <v>2051</v>
      </c>
      <c r="AA33">
        <v>259</v>
      </c>
      <c r="AB33">
        <f t="shared" si="0"/>
        <v>2310</v>
      </c>
      <c r="AC33">
        <v>377</v>
      </c>
      <c r="AD33">
        <v>0</v>
      </c>
      <c r="AE33">
        <v>625</v>
      </c>
      <c r="AF33">
        <v>0</v>
      </c>
      <c r="AG33">
        <v>0</v>
      </c>
      <c r="AH33">
        <f t="shared" si="1"/>
        <v>545</v>
      </c>
      <c r="AI33">
        <f t="shared" si="2"/>
        <v>7961</v>
      </c>
      <c r="AJ33">
        <f t="shared" si="3"/>
        <v>5820</v>
      </c>
      <c r="AK33">
        <f t="shared" si="4"/>
        <v>2180</v>
      </c>
    </row>
    <row r="34" spans="1:37" x14ac:dyDescent="0.35">
      <c r="A34" t="s">
        <v>112</v>
      </c>
      <c r="B34" t="s">
        <v>182</v>
      </c>
      <c r="C34">
        <v>2292</v>
      </c>
      <c r="D34">
        <v>108</v>
      </c>
      <c r="E34">
        <v>181</v>
      </c>
      <c r="F34">
        <v>33</v>
      </c>
      <c r="G34">
        <v>218</v>
      </c>
      <c r="H34">
        <v>1044</v>
      </c>
      <c r="I34">
        <v>0</v>
      </c>
      <c r="J34">
        <v>313</v>
      </c>
      <c r="K34">
        <v>470</v>
      </c>
      <c r="L34">
        <v>510</v>
      </c>
      <c r="M34">
        <v>21</v>
      </c>
      <c r="N34">
        <v>303</v>
      </c>
      <c r="O34">
        <v>37</v>
      </c>
      <c r="P34">
        <v>0</v>
      </c>
      <c r="Q34">
        <v>0</v>
      </c>
      <c r="R34">
        <v>0</v>
      </c>
      <c r="S34">
        <v>4237</v>
      </c>
      <c r="T34">
        <v>8719</v>
      </c>
      <c r="U34">
        <v>147</v>
      </c>
      <c r="V34">
        <v>2157</v>
      </c>
      <c r="W34">
        <v>0</v>
      </c>
      <c r="X34">
        <v>1739</v>
      </c>
      <c r="Y34">
        <v>1053</v>
      </c>
      <c r="Z34">
        <v>309</v>
      </c>
      <c r="AA34">
        <v>598</v>
      </c>
      <c r="AB34">
        <f t="shared" si="0"/>
        <v>907</v>
      </c>
      <c r="AC34">
        <v>233</v>
      </c>
      <c r="AD34">
        <v>509</v>
      </c>
      <c r="AE34">
        <v>401</v>
      </c>
      <c r="AF34">
        <v>0</v>
      </c>
      <c r="AG34">
        <v>8</v>
      </c>
      <c r="AH34">
        <f t="shared" si="1"/>
        <v>289</v>
      </c>
      <c r="AI34">
        <f t="shared" si="2"/>
        <v>12956</v>
      </c>
      <c r="AJ34">
        <f t="shared" si="3"/>
        <v>0</v>
      </c>
      <c r="AK34">
        <f t="shared" si="4"/>
        <v>1445</v>
      </c>
    </row>
    <row r="35" spans="1:37" x14ac:dyDescent="0.35">
      <c r="A35" t="s">
        <v>39</v>
      </c>
      <c r="B35" t="s">
        <v>190</v>
      </c>
      <c r="C35">
        <v>55</v>
      </c>
      <c r="D35">
        <v>0</v>
      </c>
      <c r="E35">
        <v>30</v>
      </c>
      <c r="F35">
        <v>42</v>
      </c>
      <c r="G35">
        <v>101</v>
      </c>
      <c r="H35">
        <v>1065</v>
      </c>
      <c r="I35">
        <v>152</v>
      </c>
      <c r="J35">
        <v>226</v>
      </c>
      <c r="K35">
        <v>11</v>
      </c>
      <c r="L35">
        <v>432</v>
      </c>
      <c r="M35">
        <v>0</v>
      </c>
      <c r="N35">
        <v>82</v>
      </c>
      <c r="O35">
        <v>22</v>
      </c>
      <c r="P35">
        <v>0</v>
      </c>
      <c r="Q35">
        <v>6</v>
      </c>
      <c r="R35">
        <v>896</v>
      </c>
      <c r="S35">
        <v>1463</v>
      </c>
      <c r="T35">
        <v>2118</v>
      </c>
      <c r="U35">
        <v>0</v>
      </c>
      <c r="V35">
        <v>542</v>
      </c>
      <c r="W35">
        <v>462</v>
      </c>
      <c r="X35">
        <v>191</v>
      </c>
      <c r="Y35">
        <v>598</v>
      </c>
      <c r="Z35">
        <v>0</v>
      </c>
      <c r="AA35">
        <v>60</v>
      </c>
      <c r="AB35">
        <f t="shared" si="0"/>
        <v>60</v>
      </c>
      <c r="AC35">
        <v>0</v>
      </c>
      <c r="AD35">
        <v>0</v>
      </c>
      <c r="AE35">
        <v>0</v>
      </c>
      <c r="AF35">
        <v>0</v>
      </c>
      <c r="AG35">
        <v>0</v>
      </c>
      <c r="AH35">
        <f t="shared" si="1"/>
        <v>30</v>
      </c>
      <c r="AI35">
        <f t="shared" si="2"/>
        <v>3581</v>
      </c>
      <c r="AJ35">
        <f t="shared" si="3"/>
        <v>902</v>
      </c>
      <c r="AK35">
        <f t="shared" si="4"/>
        <v>1065</v>
      </c>
    </row>
    <row r="36" spans="1:37" x14ac:dyDescent="0.35">
      <c r="A36" t="s">
        <v>113</v>
      </c>
      <c r="B36" t="s">
        <v>156</v>
      </c>
      <c r="C36">
        <v>116454</v>
      </c>
      <c r="D36">
        <v>21129</v>
      </c>
      <c r="E36">
        <v>4358</v>
      </c>
      <c r="F36">
        <v>0</v>
      </c>
      <c r="G36">
        <v>14645</v>
      </c>
      <c r="H36">
        <v>74543</v>
      </c>
      <c r="I36">
        <v>0</v>
      </c>
      <c r="J36">
        <v>0</v>
      </c>
      <c r="K36">
        <v>0</v>
      </c>
      <c r="L36">
        <v>311269</v>
      </c>
      <c r="M36">
        <v>0</v>
      </c>
      <c r="N36">
        <v>2648</v>
      </c>
      <c r="O36">
        <v>34393</v>
      </c>
      <c r="P36">
        <v>0</v>
      </c>
      <c r="Q36">
        <v>0</v>
      </c>
      <c r="R36">
        <v>120870</v>
      </c>
      <c r="S36">
        <v>0</v>
      </c>
      <c r="T36">
        <v>180709</v>
      </c>
      <c r="U36">
        <v>5371</v>
      </c>
      <c r="V36">
        <v>0</v>
      </c>
      <c r="W36">
        <v>3919</v>
      </c>
      <c r="X36">
        <v>0</v>
      </c>
      <c r="Y36">
        <v>30</v>
      </c>
      <c r="Z36">
        <v>0</v>
      </c>
      <c r="AA36">
        <v>24668</v>
      </c>
      <c r="AB36">
        <f t="shared" si="0"/>
        <v>24668</v>
      </c>
      <c r="AC36">
        <v>15823</v>
      </c>
      <c r="AD36">
        <v>0</v>
      </c>
      <c r="AE36">
        <v>9364</v>
      </c>
      <c r="AF36">
        <v>0</v>
      </c>
      <c r="AG36">
        <v>0</v>
      </c>
      <c r="AH36">
        <f t="shared" si="1"/>
        <v>25487</v>
      </c>
      <c r="AI36">
        <f t="shared" si="2"/>
        <v>180709</v>
      </c>
      <c r="AJ36">
        <f t="shared" si="3"/>
        <v>120870</v>
      </c>
      <c r="AK36">
        <f t="shared" si="4"/>
        <v>83907</v>
      </c>
    </row>
    <row r="37" spans="1:37" x14ac:dyDescent="0.35">
      <c r="A37" t="s">
        <v>114</v>
      </c>
      <c r="B37" t="s">
        <v>183</v>
      </c>
      <c r="C37">
        <v>45000</v>
      </c>
      <c r="D37">
        <v>0</v>
      </c>
      <c r="E37">
        <v>228</v>
      </c>
      <c r="F37">
        <v>0</v>
      </c>
      <c r="G37">
        <v>0</v>
      </c>
      <c r="H37">
        <v>783</v>
      </c>
      <c r="I37">
        <v>0</v>
      </c>
      <c r="J37">
        <v>0</v>
      </c>
      <c r="K37">
        <v>0</v>
      </c>
      <c r="L37">
        <v>1990</v>
      </c>
      <c r="M37">
        <v>0</v>
      </c>
      <c r="N37">
        <v>0</v>
      </c>
      <c r="O37">
        <v>0</v>
      </c>
      <c r="P37">
        <v>0</v>
      </c>
      <c r="Q37">
        <v>0</v>
      </c>
      <c r="R37">
        <v>1207</v>
      </c>
      <c r="S37">
        <v>0</v>
      </c>
      <c r="T37">
        <v>9551</v>
      </c>
      <c r="U37">
        <v>0</v>
      </c>
      <c r="V37">
        <v>0</v>
      </c>
      <c r="W37">
        <v>0</v>
      </c>
      <c r="X37">
        <v>321</v>
      </c>
      <c r="Y37">
        <v>0</v>
      </c>
      <c r="Z37">
        <v>0</v>
      </c>
      <c r="AA37">
        <v>167</v>
      </c>
      <c r="AB37">
        <f t="shared" si="0"/>
        <v>167</v>
      </c>
      <c r="AC37">
        <v>182</v>
      </c>
      <c r="AD37">
        <v>0</v>
      </c>
      <c r="AE37">
        <v>567</v>
      </c>
      <c r="AF37">
        <v>0</v>
      </c>
      <c r="AG37">
        <v>0</v>
      </c>
      <c r="AH37">
        <f t="shared" si="1"/>
        <v>228</v>
      </c>
      <c r="AI37">
        <f t="shared" si="2"/>
        <v>9551</v>
      </c>
      <c r="AJ37">
        <f t="shared" si="3"/>
        <v>1207</v>
      </c>
      <c r="AK37">
        <f t="shared" si="4"/>
        <v>1350</v>
      </c>
    </row>
    <row r="38" spans="1:37" x14ac:dyDescent="0.35">
      <c r="A38" s="27" t="s">
        <v>48</v>
      </c>
      <c r="B38" t="s">
        <v>153</v>
      </c>
      <c r="C38">
        <v>0</v>
      </c>
      <c r="D38">
        <v>0</v>
      </c>
      <c r="E38">
        <v>0</v>
      </c>
      <c r="F38">
        <v>0</v>
      </c>
      <c r="G38">
        <v>0</v>
      </c>
      <c r="H38">
        <v>40</v>
      </c>
      <c r="I38">
        <v>0</v>
      </c>
      <c r="J38">
        <v>79</v>
      </c>
      <c r="K38">
        <v>0</v>
      </c>
      <c r="L38">
        <v>0</v>
      </c>
      <c r="M38">
        <v>0</v>
      </c>
      <c r="N38">
        <v>0</v>
      </c>
      <c r="O38">
        <v>0</v>
      </c>
      <c r="P38">
        <v>0</v>
      </c>
      <c r="Q38">
        <v>0</v>
      </c>
      <c r="R38">
        <v>50</v>
      </c>
      <c r="S38">
        <v>0</v>
      </c>
      <c r="T38">
        <v>206</v>
      </c>
      <c r="U38">
        <v>0</v>
      </c>
      <c r="V38">
        <v>0</v>
      </c>
      <c r="W38">
        <v>271</v>
      </c>
      <c r="X38">
        <v>146</v>
      </c>
      <c r="Y38">
        <v>0</v>
      </c>
      <c r="Z38">
        <v>0</v>
      </c>
      <c r="AA38">
        <v>0</v>
      </c>
      <c r="AB38">
        <f t="shared" si="0"/>
        <v>0</v>
      </c>
      <c r="AC38">
        <v>0</v>
      </c>
      <c r="AD38">
        <v>0</v>
      </c>
      <c r="AE38">
        <v>20</v>
      </c>
      <c r="AF38">
        <v>0</v>
      </c>
      <c r="AG38">
        <v>0</v>
      </c>
      <c r="AH38">
        <f t="shared" si="1"/>
        <v>0</v>
      </c>
      <c r="AI38">
        <f t="shared" si="2"/>
        <v>206</v>
      </c>
      <c r="AJ38">
        <f t="shared" si="3"/>
        <v>50</v>
      </c>
      <c r="AK38">
        <f t="shared" si="4"/>
        <v>60</v>
      </c>
    </row>
    <row r="39" spans="1:37" x14ac:dyDescent="0.35">
      <c r="A39" t="s">
        <v>115</v>
      </c>
      <c r="B39" t="s">
        <v>184</v>
      </c>
      <c r="C39">
        <v>17417</v>
      </c>
      <c r="D39">
        <v>100</v>
      </c>
      <c r="E39">
        <v>136</v>
      </c>
      <c r="F39">
        <v>4</v>
      </c>
      <c r="G39">
        <v>573</v>
      </c>
      <c r="H39">
        <v>676</v>
      </c>
      <c r="I39">
        <v>1670</v>
      </c>
      <c r="J39">
        <v>135</v>
      </c>
      <c r="K39">
        <v>100</v>
      </c>
      <c r="L39">
        <v>328</v>
      </c>
      <c r="M39">
        <v>2543</v>
      </c>
      <c r="N39">
        <v>542</v>
      </c>
      <c r="O39">
        <v>17</v>
      </c>
      <c r="P39">
        <v>0</v>
      </c>
      <c r="Q39">
        <v>0</v>
      </c>
      <c r="R39">
        <v>3015</v>
      </c>
      <c r="S39">
        <v>1346</v>
      </c>
      <c r="T39">
        <v>3231</v>
      </c>
      <c r="U39">
        <v>108</v>
      </c>
      <c r="V39">
        <v>5868</v>
      </c>
      <c r="W39">
        <v>0</v>
      </c>
      <c r="X39">
        <v>1045</v>
      </c>
      <c r="Y39">
        <v>505</v>
      </c>
      <c r="Z39">
        <v>53</v>
      </c>
      <c r="AA39">
        <v>162</v>
      </c>
      <c r="AB39">
        <f t="shared" si="0"/>
        <v>215</v>
      </c>
      <c r="AC39">
        <v>0</v>
      </c>
      <c r="AD39">
        <v>0</v>
      </c>
      <c r="AE39">
        <v>2207</v>
      </c>
      <c r="AF39">
        <v>0</v>
      </c>
      <c r="AG39">
        <v>0</v>
      </c>
      <c r="AH39">
        <f t="shared" si="1"/>
        <v>236</v>
      </c>
      <c r="AI39">
        <f t="shared" si="2"/>
        <v>4577</v>
      </c>
      <c r="AJ39">
        <f t="shared" si="3"/>
        <v>3015</v>
      </c>
      <c r="AK39">
        <f t="shared" si="4"/>
        <v>2883</v>
      </c>
    </row>
    <row r="40" spans="1:37" x14ac:dyDescent="0.35">
      <c r="A40" t="s">
        <v>116</v>
      </c>
      <c r="B40" t="s">
        <v>185</v>
      </c>
      <c r="C40">
        <v>0</v>
      </c>
      <c r="D40">
        <v>125</v>
      </c>
      <c r="E40">
        <v>38</v>
      </c>
      <c r="F40">
        <v>5</v>
      </c>
      <c r="G40">
        <v>50</v>
      </c>
      <c r="H40">
        <v>125</v>
      </c>
      <c r="I40">
        <v>258</v>
      </c>
      <c r="J40">
        <v>0</v>
      </c>
      <c r="K40">
        <v>2</v>
      </c>
      <c r="L40">
        <v>71</v>
      </c>
      <c r="M40">
        <v>0</v>
      </c>
      <c r="N40">
        <v>7</v>
      </c>
      <c r="O40">
        <v>0</v>
      </c>
      <c r="P40">
        <v>0</v>
      </c>
      <c r="Q40">
        <v>0</v>
      </c>
      <c r="R40">
        <v>5</v>
      </c>
      <c r="S40">
        <v>0</v>
      </c>
      <c r="T40">
        <v>1272</v>
      </c>
      <c r="U40">
        <v>28</v>
      </c>
      <c r="V40">
        <v>0</v>
      </c>
      <c r="W40">
        <v>0</v>
      </c>
      <c r="X40">
        <v>70</v>
      </c>
      <c r="Y40">
        <v>0</v>
      </c>
      <c r="Z40">
        <v>63</v>
      </c>
      <c r="AA40">
        <v>61</v>
      </c>
      <c r="AB40">
        <f t="shared" si="0"/>
        <v>124</v>
      </c>
      <c r="AC40">
        <v>33</v>
      </c>
      <c r="AD40">
        <v>0</v>
      </c>
      <c r="AE40">
        <v>115</v>
      </c>
      <c r="AF40">
        <v>0</v>
      </c>
      <c r="AG40">
        <v>0</v>
      </c>
      <c r="AH40">
        <f t="shared" si="1"/>
        <v>163</v>
      </c>
      <c r="AI40">
        <f t="shared" si="2"/>
        <v>1272</v>
      </c>
      <c r="AJ40">
        <f t="shared" si="3"/>
        <v>5</v>
      </c>
      <c r="AK40">
        <f t="shared" si="4"/>
        <v>240</v>
      </c>
    </row>
    <row r="41" spans="1:37" x14ac:dyDescent="0.35">
      <c r="A41" t="s">
        <v>117</v>
      </c>
      <c r="B41" t="s">
        <v>186</v>
      </c>
      <c r="C41">
        <v>505</v>
      </c>
      <c r="D41">
        <v>414</v>
      </c>
      <c r="E41">
        <v>9</v>
      </c>
      <c r="F41">
        <v>103</v>
      </c>
      <c r="G41">
        <v>406</v>
      </c>
      <c r="H41">
        <v>234</v>
      </c>
      <c r="I41">
        <v>0</v>
      </c>
      <c r="J41">
        <v>0</v>
      </c>
      <c r="K41">
        <v>128</v>
      </c>
      <c r="L41">
        <v>311</v>
      </c>
      <c r="M41">
        <v>0</v>
      </c>
      <c r="N41">
        <v>22</v>
      </c>
      <c r="O41">
        <v>0</v>
      </c>
      <c r="P41">
        <v>0</v>
      </c>
      <c r="Q41">
        <v>104</v>
      </c>
      <c r="R41">
        <v>287</v>
      </c>
      <c r="S41">
        <v>4722</v>
      </c>
      <c r="T41">
        <v>580</v>
      </c>
      <c r="U41">
        <v>13</v>
      </c>
      <c r="V41">
        <v>0</v>
      </c>
      <c r="W41">
        <v>0</v>
      </c>
      <c r="X41">
        <v>0</v>
      </c>
      <c r="Y41">
        <v>0</v>
      </c>
      <c r="Z41">
        <v>21</v>
      </c>
      <c r="AA41">
        <v>135</v>
      </c>
      <c r="AB41">
        <f t="shared" si="0"/>
        <v>156</v>
      </c>
      <c r="AC41">
        <v>13</v>
      </c>
      <c r="AD41">
        <v>0</v>
      </c>
      <c r="AE41">
        <v>47</v>
      </c>
      <c r="AF41">
        <v>0</v>
      </c>
      <c r="AG41">
        <v>0</v>
      </c>
      <c r="AH41">
        <f t="shared" si="1"/>
        <v>423</v>
      </c>
      <c r="AI41">
        <f t="shared" si="2"/>
        <v>5302</v>
      </c>
      <c r="AJ41">
        <f t="shared" si="3"/>
        <v>391</v>
      </c>
      <c r="AK41">
        <f t="shared" si="4"/>
        <v>281</v>
      </c>
    </row>
    <row r="42" spans="1:37" x14ac:dyDescent="0.35">
      <c r="A42" t="s">
        <v>118</v>
      </c>
      <c r="B42" t="s">
        <v>187</v>
      </c>
      <c r="C42">
        <v>54180</v>
      </c>
      <c r="D42">
        <v>661</v>
      </c>
      <c r="E42">
        <v>6155</v>
      </c>
      <c r="F42">
        <v>0</v>
      </c>
      <c r="G42">
        <v>3585</v>
      </c>
      <c r="H42">
        <v>29311</v>
      </c>
      <c r="I42">
        <v>0</v>
      </c>
      <c r="J42">
        <v>0</v>
      </c>
      <c r="K42">
        <v>0</v>
      </c>
      <c r="L42">
        <v>0</v>
      </c>
      <c r="M42">
        <v>577</v>
      </c>
      <c r="N42">
        <v>8072</v>
      </c>
      <c r="O42">
        <v>0</v>
      </c>
      <c r="P42">
        <v>0</v>
      </c>
      <c r="Q42">
        <v>0</v>
      </c>
      <c r="R42">
        <v>0</v>
      </c>
      <c r="S42">
        <v>146860</v>
      </c>
      <c r="T42">
        <v>140598</v>
      </c>
      <c r="U42">
        <v>0</v>
      </c>
      <c r="V42">
        <v>0</v>
      </c>
      <c r="W42">
        <v>15266</v>
      </c>
      <c r="X42">
        <v>8415</v>
      </c>
      <c r="Y42">
        <v>0</v>
      </c>
      <c r="Z42">
        <v>1783</v>
      </c>
      <c r="AA42">
        <v>14412</v>
      </c>
      <c r="AB42">
        <f t="shared" si="0"/>
        <v>16195</v>
      </c>
      <c r="AC42">
        <v>11975</v>
      </c>
      <c r="AD42">
        <v>0</v>
      </c>
      <c r="AE42">
        <v>14192</v>
      </c>
      <c r="AF42">
        <v>0</v>
      </c>
      <c r="AG42">
        <v>0</v>
      </c>
      <c r="AH42">
        <f t="shared" si="1"/>
        <v>6816</v>
      </c>
      <c r="AI42">
        <f t="shared" si="2"/>
        <v>287458</v>
      </c>
      <c r="AJ42">
        <f t="shared" si="3"/>
        <v>0</v>
      </c>
      <c r="AK42">
        <f t="shared" si="4"/>
        <v>43503</v>
      </c>
    </row>
    <row r="43" spans="1:37" x14ac:dyDescent="0.35">
      <c r="A43" t="s">
        <v>119</v>
      </c>
      <c r="B43" t="s">
        <v>188</v>
      </c>
      <c r="C43">
        <v>1455</v>
      </c>
      <c r="D43">
        <v>12</v>
      </c>
      <c r="E43">
        <v>20</v>
      </c>
      <c r="F43">
        <v>22</v>
      </c>
      <c r="G43">
        <v>250</v>
      </c>
      <c r="H43">
        <v>338</v>
      </c>
      <c r="I43">
        <v>0</v>
      </c>
      <c r="J43">
        <v>20</v>
      </c>
      <c r="K43">
        <v>21</v>
      </c>
      <c r="L43">
        <v>272</v>
      </c>
      <c r="M43">
        <v>1306</v>
      </c>
      <c r="N43">
        <v>6</v>
      </c>
      <c r="O43">
        <v>57</v>
      </c>
      <c r="P43">
        <v>0</v>
      </c>
      <c r="Q43">
        <v>600</v>
      </c>
      <c r="R43">
        <v>1112</v>
      </c>
      <c r="S43">
        <v>0</v>
      </c>
      <c r="T43">
        <v>2014</v>
      </c>
      <c r="U43">
        <v>7</v>
      </c>
      <c r="V43">
        <v>0</v>
      </c>
      <c r="W43">
        <v>0</v>
      </c>
      <c r="X43">
        <v>16</v>
      </c>
      <c r="Y43">
        <v>0</v>
      </c>
      <c r="Z43">
        <v>150</v>
      </c>
      <c r="AA43">
        <v>210</v>
      </c>
      <c r="AB43">
        <f t="shared" si="0"/>
        <v>360</v>
      </c>
      <c r="AC43">
        <v>9</v>
      </c>
      <c r="AD43">
        <v>0</v>
      </c>
      <c r="AE43">
        <v>73</v>
      </c>
      <c r="AF43">
        <v>0</v>
      </c>
      <c r="AG43">
        <v>0</v>
      </c>
      <c r="AH43">
        <f t="shared" si="1"/>
        <v>32</v>
      </c>
      <c r="AI43">
        <f t="shared" si="2"/>
        <v>2014</v>
      </c>
      <c r="AJ43">
        <f t="shared" si="3"/>
        <v>1712</v>
      </c>
      <c r="AK43">
        <f t="shared" si="4"/>
        <v>411</v>
      </c>
    </row>
    <row r="44" spans="1:37" x14ac:dyDescent="0.35">
      <c r="A44" t="s">
        <v>120</v>
      </c>
      <c r="B44" t="s">
        <v>197</v>
      </c>
      <c r="C44">
        <v>0</v>
      </c>
      <c r="D44">
        <v>588</v>
      </c>
      <c r="E44">
        <v>94</v>
      </c>
      <c r="F44">
        <v>148</v>
      </c>
      <c r="G44">
        <v>578</v>
      </c>
      <c r="H44">
        <v>2434</v>
      </c>
      <c r="I44">
        <v>25803</v>
      </c>
      <c r="J44">
        <v>633</v>
      </c>
      <c r="K44">
        <v>73</v>
      </c>
      <c r="L44">
        <v>4361</v>
      </c>
      <c r="M44">
        <v>9250</v>
      </c>
      <c r="N44">
        <v>681</v>
      </c>
      <c r="O44">
        <v>724</v>
      </c>
      <c r="P44">
        <v>0</v>
      </c>
      <c r="Q44">
        <v>0</v>
      </c>
      <c r="R44">
        <v>0</v>
      </c>
      <c r="S44">
        <v>21351</v>
      </c>
      <c r="T44">
        <v>10589</v>
      </c>
      <c r="U44">
        <v>213</v>
      </c>
      <c r="V44">
        <v>0</v>
      </c>
      <c r="W44">
        <v>3630</v>
      </c>
      <c r="X44">
        <v>3028</v>
      </c>
      <c r="Y44">
        <v>1963</v>
      </c>
      <c r="Z44">
        <v>1246</v>
      </c>
      <c r="AA44">
        <v>599</v>
      </c>
      <c r="AB44">
        <f t="shared" si="0"/>
        <v>1845</v>
      </c>
      <c r="AC44">
        <v>103</v>
      </c>
      <c r="AD44">
        <v>0</v>
      </c>
      <c r="AE44">
        <v>451</v>
      </c>
      <c r="AF44">
        <v>2</v>
      </c>
      <c r="AG44">
        <v>15200</v>
      </c>
      <c r="AH44">
        <f t="shared" si="1"/>
        <v>682</v>
      </c>
      <c r="AI44">
        <f t="shared" si="2"/>
        <v>31940</v>
      </c>
      <c r="AJ44">
        <f t="shared" si="3"/>
        <v>0</v>
      </c>
      <c r="AK44">
        <f t="shared" si="4"/>
        <v>2885</v>
      </c>
    </row>
    <row r="45" spans="1:37" x14ac:dyDescent="0.35">
      <c r="A45" t="s">
        <v>51</v>
      </c>
      <c r="B45" t="s">
        <v>195</v>
      </c>
      <c r="C45">
        <v>7500</v>
      </c>
      <c r="D45">
        <v>0</v>
      </c>
      <c r="E45">
        <v>21</v>
      </c>
      <c r="F45">
        <v>12</v>
      </c>
      <c r="G45">
        <v>340</v>
      </c>
      <c r="H45">
        <v>230</v>
      </c>
      <c r="I45">
        <v>3413</v>
      </c>
      <c r="J45">
        <v>63</v>
      </c>
      <c r="K45">
        <v>2</v>
      </c>
      <c r="L45">
        <v>615</v>
      </c>
      <c r="M45">
        <v>1075</v>
      </c>
      <c r="N45">
        <v>23</v>
      </c>
      <c r="O45">
        <v>0</v>
      </c>
      <c r="P45">
        <v>0</v>
      </c>
      <c r="Q45">
        <v>614</v>
      </c>
      <c r="R45">
        <v>654</v>
      </c>
      <c r="S45">
        <v>762</v>
      </c>
      <c r="T45">
        <v>1204</v>
      </c>
      <c r="U45">
        <v>2</v>
      </c>
      <c r="V45">
        <v>4010</v>
      </c>
      <c r="W45">
        <v>360</v>
      </c>
      <c r="X45">
        <v>857</v>
      </c>
      <c r="Y45">
        <v>0</v>
      </c>
      <c r="Z45">
        <v>0</v>
      </c>
      <c r="AA45">
        <v>226</v>
      </c>
      <c r="AB45">
        <f t="shared" si="0"/>
        <v>226</v>
      </c>
      <c r="AC45">
        <v>252</v>
      </c>
      <c r="AD45">
        <v>0</v>
      </c>
      <c r="AE45">
        <v>354</v>
      </c>
      <c r="AF45">
        <v>0</v>
      </c>
      <c r="AG45">
        <v>987</v>
      </c>
      <c r="AH45">
        <f t="shared" si="1"/>
        <v>21</v>
      </c>
      <c r="AI45">
        <f t="shared" si="2"/>
        <v>1966</v>
      </c>
      <c r="AJ45">
        <f t="shared" si="3"/>
        <v>1268</v>
      </c>
      <c r="AK45">
        <f t="shared" si="4"/>
        <v>584</v>
      </c>
    </row>
    <row r="46" spans="1:37" x14ac:dyDescent="0.35">
      <c r="A46" t="s">
        <v>121</v>
      </c>
      <c r="B46" t="s">
        <v>191</v>
      </c>
      <c r="C46">
        <v>0</v>
      </c>
      <c r="D46">
        <v>26</v>
      </c>
      <c r="E46">
        <v>0</v>
      </c>
      <c r="F46">
        <v>3</v>
      </c>
      <c r="G46">
        <v>16</v>
      </c>
      <c r="H46">
        <v>17007</v>
      </c>
      <c r="I46">
        <v>527</v>
      </c>
      <c r="J46">
        <v>0</v>
      </c>
      <c r="K46">
        <v>0</v>
      </c>
      <c r="L46">
        <v>3874</v>
      </c>
      <c r="M46">
        <v>3505</v>
      </c>
      <c r="N46">
        <v>42</v>
      </c>
      <c r="O46">
        <v>0</v>
      </c>
      <c r="P46">
        <v>0</v>
      </c>
      <c r="Q46">
        <v>7237</v>
      </c>
      <c r="R46">
        <v>0</v>
      </c>
      <c r="S46">
        <v>16407</v>
      </c>
      <c r="T46">
        <v>0</v>
      </c>
      <c r="U46">
        <v>9</v>
      </c>
      <c r="V46">
        <v>0</v>
      </c>
      <c r="W46">
        <v>0</v>
      </c>
      <c r="X46">
        <v>526</v>
      </c>
      <c r="Y46">
        <v>0</v>
      </c>
      <c r="Z46">
        <v>234</v>
      </c>
      <c r="AA46">
        <v>90</v>
      </c>
      <c r="AB46">
        <f t="shared" si="0"/>
        <v>324</v>
      </c>
      <c r="AC46">
        <v>18</v>
      </c>
      <c r="AD46">
        <v>0</v>
      </c>
      <c r="AE46">
        <v>179</v>
      </c>
      <c r="AF46">
        <v>0</v>
      </c>
      <c r="AG46">
        <v>0</v>
      </c>
      <c r="AH46">
        <f t="shared" si="1"/>
        <v>26</v>
      </c>
      <c r="AI46">
        <f t="shared" si="2"/>
        <v>16407</v>
      </c>
      <c r="AJ46">
        <f t="shared" si="3"/>
        <v>7237</v>
      </c>
      <c r="AK46">
        <f t="shared" si="4"/>
        <v>17186</v>
      </c>
    </row>
    <row r="47" spans="1:37" x14ac:dyDescent="0.35">
      <c r="A47" t="s">
        <v>122</v>
      </c>
      <c r="B47" t="s">
        <v>192</v>
      </c>
      <c r="C47">
        <v>1262</v>
      </c>
      <c r="D47">
        <v>412</v>
      </c>
      <c r="E47">
        <v>43</v>
      </c>
      <c r="F47">
        <v>404</v>
      </c>
      <c r="G47">
        <v>2016</v>
      </c>
      <c r="H47">
        <v>1701</v>
      </c>
      <c r="I47">
        <v>0</v>
      </c>
      <c r="J47">
        <v>0</v>
      </c>
      <c r="K47">
        <v>0</v>
      </c>
      <c r="L47">
        <v>1602</v>
      </c>
      <c r="M47">
        <v>2617</v>
      </c>
      <c r="N47">
        <v>602</v>
      </c>
      <c r="O47">
        <v>1232</v>
      </c>
      <c r="P47">
        <v>0</v>
      </c>
      <c r="Q47">
        <v>0</v>
      </c>
      <c r="R47">
        <v>3432</v>
      </c>
      <c r="S47">
        <v>0</v>
      </c>
      <c r="T47">
        <v>14516</v>
      </c>
      <c r="U47">
        <v>61</v>
      </c>
      <c r="V47">
        <v>17801</v>
      </c>
      <c r="W47">
        <v>0</v>
      </c>
      <c r="X47">
        <v>0</v>
      </c>
      <c r="Y47">
        <v>0</v>
      </c>
      <c r="Z47">
        <v>1284</v>
      </c>
      <c r="AA47">
        <v>424</v>
      </c>
      <c r="AB47">
        <f t="shared" si="0"/>
        <v>1708</v>
      </c>
      <c r="AC47">
        <v>606</v>
      </c>
      <c r="AD47">
        <v>0</v>
      </c>
      <c r="AE47">
        <v>325</v>
      </c>
      <c r="AF47">
        <v>0</v>
      </c>
      <c r="AG47">
        <v>0</v>
      </c>
      <c r="AH47">
        <f t="shared" si="1"/>
        <v>455</v>
      </c>
      <c r="AI47">
        <f t="shared" si="2"/>
        <v>14516</v>
      </c>
      <c r="AJ47">
        <f t="shared" si="3"/>
        <v>3432</v>
      </c>
      <c r="AK47">
        <f t="shared" si="4"/>
        <v>2026</v>
      </c>
    </row>
    <row r="48" spans="1:37" x14ac:dyDescent="0.35">
      <c r="A48" t="s">
        <v>123</v>
      </c>
      <c r="B48" t="s">
        <v>193</v>
      </c>
      <c r="C48">
        <v>2143</v>
      </c>
      <c r="D48">
        <v>205</v>
      </c>
      <c r="E48">
        <v>142</v>
      </c>
      <c r="F48">
        <v>0</v>
      </c>
      <c r="G48">
        <v>1644</v>
      </c>
      <c r="H48">
        <v>1715</v>
      </c>
      <c r="I48">
        <v>2115</v>
      </c>
      <c r="J48">
        <v>327</v>
      </c>
      <c r="K48">
        <v>10</v>
      </c>
      <c r="L48">
        <v>648</v>
      </c>
      <c r="M48">
        <v>76</v>
      </c>
      <c r="N48">
        <v>412</v>
      </c>
      <c r="O48">
        <v>718</v>
      </c>
      <c r="P48">
        <v>0</v>
      </c>
      <c r="Q48">
        <v>9</v>
      </c>
      <c r="R48">
        <v>845</v>
      </c>
      <c r="S48">
        <v>6664</v>
      </c>
      <c r="T48">
        <v>19171</v>
      </c>
      <c r="U48">
        <v>0</v>
      </c>
      <c r="V48">
        <v>9502</v>
      </c>
      <c r="W48">
        <v>1122</v>
      </c>
      <c r="X48">
        <v>368</v>
      </c>
      <c r="Y48">
        <v>1094</v>
      </c>
      <c r="Z48">
        <v>553</v>
      </c>
      <c r="AA48">
        <v>223</v>
      </c>
      <c r="AB48">
        <f t="shared" si="0"/>
        <v>776</v>
      </c>
      <c r="AC48">
        <v>459</v>
      </c>
      <c r="AD48">
        <v>0</v>
      </c>
      <c r="AE48">
        <v>244</v>
      </c>
      <c r="AF48">
        <v>0</v>
      </c>
      <c r="AG48">
        <v>5</v>
      </c>
      <c r="AH48">
        <f t="shared" si="1"/>
        <v>347</v>
      </c>
      <c r="AI48">
        <f t="shared" si="2"/>
        <v>25835</v>
      </c>
      <c r="AJ48">
        <f t="shared" si="3"/>
        <v>854</v>
      </c>
      <c r="AK48">
        <f t="shared" si="4"/>
        <v>1959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D2D8-1298-4E84-A8C5-629C82891D7C}">
  <dimension ref="A1:D30"/>
  <sheetViews>
    <sheetView topLeftCell="A7" workbookViewId="0">
      <selection activeCell="B8" sqref="B8"/>
    </sheetView>
  </sheetViews>
  <sheetFormatPr defaultColWidth="8.81640625" defaultRowHeight="14.5" x14ac:dyDescent="0.35"/>
  <cols>
    <col min="2" max="2" width="50.81640625" bestFit="1" customWidth="1"/>
    <col min="4" max="4" width="62.36328125" bestFit="1" customWidth="1"/>
  </cols>
  <sheetData>
    <row r="1" spans="1:4" x14ac:dyDescent="0.35">
      <c r="A1">
        <v>1</v>
      </c>
      <c r="B1" s="18" t="s">
        <v>126</v>
      </c>
      <c r="C1">
        <v>2</v>
      </c>
      <c r="D1" t="s">
        <v>58</v>
      </c>
    </row>
    <row r="2" spans="1:4" x14ac:dyDescent="0.35">
      <c r="A2">
        <v>2</v>
      </c>
      <c r="B2" s="17" t="s">
        <v>127</v>
      </c>
      <c r="C2">
        <v>3</v>
      </c>
      <c r="D2" t="s">
        <v>59</v>
      </c>
    </row>
    <row r="3" spans="1:4" x14ac:dyDescent="0.35">
      <c r="A3">
        <v>3</v>
      </c>
      <c r="B3" s="17" t="s">
        <v>128</v>
      </c>
      <c r="C3">
        <v>5</v>
      </c>
      <c r="D3" t="s">
        <v>60</v>
      </c>
    </row>
    <row r="4" spans="1:4" x14ac:dyDescent="0.35">
      <c r="A4" s="20">
        <v>4</v>
      </c>
      <c r="B4" s="17" t="s">
        <v>129</v>
      </c>
      <c r="C4">
        <v>12</v>
      </c>
      <c r="D4" t="s">
        <v>61</v>
      </c>
    </row>
    <row r="5" spans="1:4" x14ac:dyDescent="0.35">
      <c r="A5">
        <v>5</v>
      </c>
      <c r="B5" s="17" t="s">
        <v>130</v>
      </c>
      <c r="C5">
        <v>6</v>
      </c>
      <c r="D5" t="s">
        <v>62</v>
      </c>
    </row>
    <row r="6" spans="1:4" x14ac:dyDescent="0.35">
      <c r="A6" s="20">
        <v>6</v>
      </c>
      <c r="B6" s="17" t="s">
        <v>131</v>
      </c>
      <c r="C6">
        <v>8</v>
      </c>
      <c r="D6" t="s">
        <v>63</v>
      </c>
    </row>
    <row r="7" spans="1:4" x14ac:dyDescent="0.35">
      <c r="A7" s="20">
        <v>6</v>
      </c>
      <c r="B7" s="17" t="s">
        <v>132</v>
      </c>
      <c r="D7" t="s">
        <v>64</v>
      </c>
    </row>
    <row r="8" spans="1:4" x14ac:dyDescent="0.35">
      <c r="B8" s="17" t="s">
        <v>133</v>
      </c>
      <c r="D8" t="s">
        <v>65</v>
      </c>
    </row>
    <row r="9" spans="1:4" x14ac:dyDescent="0.35">
      <c r="A9">
        <v>7</v>
      </c>
      <c r="B9" s="17" t="s">
        <v>134</v>
      </c>
      <c r="C9">
        <v>4</v>
      </c>
      <c r="D9" t="s">
        <v>66</v>
      </c>
    </row>
    <row r="10" spans="1:4" x14ac:dyDescent="0.35">
      <c r="A10">
        <v>8</v>
      </c>
      <c r="B10" s="17" t="s">
        <v>135</v>
      </c>
      <c r="C10">
        <v>7</v>
      </c>
      <c r="D10" t="s">
        <v>67</v>
      </c>
    </row>
    <row r="11" spans="1:4" x14ac:dyDescent="0.35">
      <c r="A11">
        <v>9</v>
      </c>
      <c r="B11" s="17" t="s">
        <v>136</v>
      </c>
      <c r="D11" t="s">
        <v>68</v>
      </c>
    </row>
    <row r="12" spans="1:4" x14ac:dyDescent="0.35">
      <c r="A12" s="20">
        <v>4</v>
      </c>
      <c r="B12" s="17" t="s">
        <v>137</v>
      </c>
      <c r="C12">
        <v>9</v>
      </c>
      <c r="D12" t="s">
        <v>69</v>
      </c>
    </row>
    <row r="13" spans="1:4" x14ac:dyDescent="0.35">
      <c r="A13">
        <v>10</v>
      </c>
      <c r="B13" s="17" t="s">
        <v>138</v>
      </c>
      <c r="D13" t="s">
        <v>70</v>
      </c>
    </row>
    <row r="14" spans="1:4" x14ac:dyDescent="0.35">
      <c r="A14">
        <v>11</v>
      </c>
      <c r="B14" s="17" t="s">
        <v>139</v>
      </c>
      <c r="D14" t="s">
        <v>71</v>
      </c>
    </row>
    <row r="15" spans="1:4" x14ac:dyDescent="0.35">
      <c r="A15">
        <v>12</v>
      </c>
      <c r="B15" s="17" t="s">
        <v>140</v>
      </c>
      <c r="C15" s="20">
        <v>10</v>
      </c>
      <c r="D15" t="s">
        <v>72</v>
      </c>
    </row>
    <row r="16" spans="1:4" x14ac:dyDescent="0.35">
      <c r="A16">
        <v>13</v>
      </c>
      <c r="B16" s="17" t="s">
        <v>141</v>
      </c>
      <c r="C16" s="20">
        <v>10</v>
      </c>
      <c r="D16" t="s">
        <v>73</v>
      </c>
    </row>
    <row r="17" spans="2:4" x14ac:dyDescent="0.35">
      <c r="B17" s="17" t="s">
        <v>142</v>
      </c>
      <c r="C17" s="21">
        <v>11</v>
      </c>
      <c r="D17" t="s">
        <v>74</v>
      </c>
    </row>
    <row r="18" spans="2:4" x14ac:dyDescent="0.35">
      <c r="B18" s="17" t="s">
        <v>143</v>
      </c>
      <c r="C18" s="21">
        <v>11</v>
      </c>
      <c r="D18" t="s">
        <v>75</v>
      </c>
    </row>
    <row r="19" spans="2:4" x14ac:dyDescent="0.35">
      <c r="B19" s="17" t="s">
        <v>144</v>
      </c>
      <c r="C19">
        <v>13</v>
      </c>
      <c r="D19" t="s">
        <v>76</v>
      </c>
    </row>
    <row r="20" spans="2:4" x14ac:dyDescent="0.35">
      <c r="B20" s="17" t="s">
        <v>145</v>
      </c>
      <c r="D20" t="s">
        <v>77</v>
      </c>
    </row>
    <row r="21" spans="2:4" x14ac:dyDescent="0.35">
      <c r="B21" s="17" t="s">
        <v>146</v>
      </c>
      <c r="D21" t="s">
        <v>78</v>
      </c>
    </row>
    <row r="22" spans="2:4" x14ac:dyDescent="0.35">
      <c r="B22" s="17" t="s">
        <v>147</v>
      </c>
      <c r="D22" t="s">
        <v>79</v>
      </c>
    </row>
    <row r="23" spans="2:4" x14ac:dyDescent="0.35">
      <c r="D23" t="s">
        <v>80</v>
      </c>
    </row>
    <row r="24" spans="2:4" x14ac:dyDescent="0.35">
      <c r="D24" t="s">
        <v>81</v>
      </c>
    </row>
    <row r="25" spans="2:4" x14ac:dyDescent="0.35">
      <c r="D25" t="s">
        <v>82</v>
      </c>
    </row>
    <row r="26" spans="2:4" x14ac:dyDescent="0.35">
      <c r="D26" t="s">
        <v>83</v>
      </c>
    </row>
    <row r="27" spans="2:4" x14ac:dyDescent="0.35">
      <c r="D27" t="s">
        <v>84</v>
      </c>
    </row>
    <row r="28" spans="2:4" x14ac:dyDescent="0.35">
      <c r="D28" t="s">
        <v>85</v>
      </c>
    </row>
    <row r="29" spans="2:4" x14ac:dyDescent="0.35">
      <c r="C29">
        <v>1</v>
      </c>
      <c r="D29" s="19" t="s">
        <v>86</v>
      </c>
    </row>
    <row r="30" spans="2:4" x14ac:dyDescent="0.35">
      <c r="D30" t="s">
        <v>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A43BD-01B1-46DE-919D-116BBC5D49DD}">
  <dimension ref="A1:AU1153"/>
  <sheetViews>
    <sheetView topLeftCell="AL169" workbookViewId="0">
      <selection activeCell="AP13" sqref="AP13"/>
    </sheetView>
  </sheetViews>
  <sheetFormatPr defaultColWidth="8.81640625" defaultRowHeight="14.5" x14ac:dyDescent="0.35"/>
  <cols>
    <col min="3" max="3" width="27.1796875" customWidth="1"/>
    <col min="6" max="6" width="11.81640625" bestFit="1" customWidth="1"/>
    <col min="7" max="7" width="24.1796875" customWidth="1"/>
  </cols>
  <sheetData>
    <row r="1" spans="1:47" s="33" customFormat="1" x14ac:dyDescent="0.35">
      <c r="A1" s="33" t="s">
        <v>0</v>
      </c>
      <c r="B1" s="33" t="s">
        <v>210</v>
      </c>
      <c r="C1" s="33" t="s">
        <v>211</v>
      </c>
      <c r="D1" s="33">
        <v>2012</v>
      </c>
      <c r="E1" s="33" t="s">
        <v>0</v>
      </c>
      <c r="F1" s="33" t="s">
        <v>212</v>
      </c>
      <c r="G1" s="33" t="s">
        <v>211</v>
      </c>
      <c r="H1" s="33">
        <v>2013</v>
      </c>
      <c r="I1" s="33" t="s">
        <v>0</v>
      </c>
      <c r="J1" s="33" t="s">
        <v>213</v>
      </c>
      <c r="K1" s="33" t="s">
        <v>211</v>
      </c>
      <c r="L1" s="33">
        <v>2014</v>
      </c>
      <c r="M1" s="33" t="s">
        <v>0</v>
      </c>
      <c r="N1" s="33" t="s">
        <v>214</v>
      </c>
      <c r="O1" s="33" t="s">
        <v>211</v>
      </c>
      <c r="P1" s="33">
        <v>2015</v>
      </c>
      <c r="Q1" s="33" t="s">
        <v>0</v>
      </c>
      <c r="R1" s="33" t="s">
        <v>215</v>
      </c>
      <c r="S1" s="33" t="s">
        <v>211</v>
      </c>
      <c r="T1" s="33">
        <v>2016</v>
      </c>
      <c r="U1" s="33" t="s">
        <v>0</v>
      </c>
      <c r="V1" s="33" t="s">
        <v>216</v>
      </c>
      <c r="W1" s="33" t="s">
        <v>211</v>
      </c>
      <c r="X1" s="33">
        <v>2017</v>
      </c>
      <c r="Y1" s="33" t="s">
        <v>0</v>
      </c>
      <c r="Z1" s="33" t="s">
        <v>217</v>
      </c>
      <c r="AA1" s="33" t="s">
        <v>211</v>
      </c>
      <c r="AB1" s="33">
        <v>2018</v>
      </c>
      <c r="AC1" s="33" t="s">
        <v>0</v>
      </c>
      <c r="AD1" s="33" t="s">
        <v>218</v>
      </c>
      <c r="AE1" s="33" t="s">
        <v>211</v>
      </c>
      <c r="AF1" s="33">
        <v>2019</v>
      </c>
      <c r="AG1" s="33" t="s">
        <v>0</v>
      </c>
      <c r="AH1" s="33" t="s">
        <v>219</v>
      </c>
      <c r="AI1" s="33" t="s">
        <v>211</v>
      </c>
      <c r="AJ1" s="33">
        <v>2020</v>
      </c>
      <c r="AK1" s="33" t="s">
        <v>0</v>
      </c>
      <c r="AL1" s="33" t="s">
        <v>220</v>
      </c>
      <c r="AM1" s="33" t="s">
        <v>211</v>
      </c>
      <c r="AN1" s="33">
        <v>2021</v>
      </c>
      <c r="AO1" s="33" t="s">
        <v>0</v>
      </c>
      <c r="AP1" s="33" t="s">
        <v>221</v>
      </c>
      <c r="AQ1" s="33" t="s">
        <v>211</v>
      </c>
      <c r="AR1" s="33">
        <v>2022</v>
      </c>
      <c r="AS1" s="33" t="s">
        <v>217</v>
      </c>
      <c r="AT1" s="33" t="s">
        <v>211</v>
      </c>
      <c r="AU1" s="33" t="s">
        <v>222</v>
      </c>
    </row>
    <row r="2" spans="1:47" x14ac:dyDescent="0.35">
      <c r="A2" t="s">
        <v>162</v>
      </c>
      <c r="B2">
        <v>25188292.499999996</v>
      </c>
      <c r="C2" t="s">
        <v>135</v>
      </c>
      <c r="D2">
        <v>0</v>
      </c>
      <c r="E2" t="s">
        <v>162</v>
      </c>
      <c r="F2">
        <v>26147002.000000011</v>
      </c>
      <c r="G2" t="s">
        <v>135</v>
      </c>
      <c r="H2">
        <v>0</v>
      </c>
      <c r="I2" t="s">
        <v>162</v>
      </c>
      <c r="J2">
        <v>27128336.499999981</v>
      </c>
      <c r="K2" t="s">
        <v>135</v>
      </c>
      <c r="L2">
        <v>0</v>
      </c>
      <c r="M2" t="s">
        <v>162</v>
      </c>
      <c r="N2">
        <v>28127721.000000004</v>
      </c>
      <c r="O2" t="s">
        <v>135</v>
      </c>
      <c r="P2">
        <v>0</v>
      </c>
      <c r="Q2" t="s">
        <v>162</v>
      </c>
      <c r="R2">
        <v>29154745.500000007</v>
      </c>
      <c r="S2" t="s">
        <v>135</v>
      </c>
      <c r="T2">
        <v>0</v>
      </c>
      <c r="U2" t="s">
        <v>162</v>
      </c>
      <c r="V2">
        <v>30208628.000000015</v>
      </c>
      <c r="W2" t="s">
        <v>135</v>
      </c>
      <c r="X2">
        <v>12800</v>
      </c>
      <c r="Y2" t="s">
        <v>162</v>
      </c>
      <c r="Z2">
        <v>31273533.000000004</v>
      </c>
      <c r="AA2" t="s">
        <v>135</v>
      </c>
      <c r="AB2">
        <v>13186</v>
      </c>
      <c r="AC2" t="s">
        <v>162</v>
      </c>
      <c r="AD2">
        <v>32353587.999999993</v>
      </c>
      <c r="AE2" t="s">
        <v>135</v>
      </c>
      <c r="AF2">
        <v>0</v>
      </c>
      <c r="AG2" t="s">
        <v>162</v>
      </c>
      <c r="AH2">
        <v>33428485.999999974</v>
      </c>
      <c r="AI2" t="s">
        <v>135</v>
      </c>
      <c r="AJ2">
        <v>0</v>
      </c>
      <c r="AK2" t="s">
        <v>162</v>
      </c>
      <c r="AL2">
        <v>34503773.49999997</v>
      </c>
      <c r="AM2" t="s">
        <v>135</v>
      </c>
      <c r="AN2">
        <v>0</v>
      </c>
      <c r="AO2" t="s">
        <v>162</v>
      </c>
      <c r="AP2">
        <v>35588987.00000003</v>
      </c>
      <c r="AQ2" t="s">
        <v>135</v>
      </c>
      <c r="AR2">
        <v>21301</v>
      </c>
      <c r="AS2" t="s">
        <v>162</v>
      </c>
      <c r="AT2" t="s">
        <v>148</v>
      </c>
      <c r="AU2">
        <v>6593</v>
      </c>
    </row>
    <row r="3" spans="1:47" x14ac:dyDescent="0.35">
      <c r="C3" t="s">
        <v>139</v>
      </c>
      <c r="D3">
        <v>0</v>
      </c>
      <c r="G3" t="s">
        <v>139</v>
      </c>
      <c r="H3">
        <v>0</v>
      </c>
      <c r="K3" t="s">
        <v>139</v>
      </c>
      <c r="L3">
        <v>0</v>
      </c>
      <c r="O3" t="s">
        <v>139</v>
      </c>
      <c r="P3">
        <v>0</v>
      </c>
      <c r="S3" t="s">
        <v>139</v>
      </c>
      <c r="T3">
        <v>0</v>
      </c>
      <c r="W3" t="s">
        <v>139</v>
      </c>
      <c r="X3">
        <v>0</v>
      </c>
      <c r="AA3" t="s">
        <v>139</v>
      </c>
      <c r="AB3">
        <v>25108</v>
      </c>
      <c r="AE3" t="s">
        <v>139</v>
      </c>
      <c r="AF3">
        <v>0</v>
      </c>
      <c r="AI3" t="s">
        <v>139</v>
      </c>
      <c r="AJ3">
        <v>0</v>
      </c>
      <c r="AM3" t="s">
        <v>139</v>
      </c>
      <c r="AN3">
        <v>0</v>
      </c>
      <c r="AQ3" t="s">
        <v>139</v>
      </c>
      <c r="AR3">
        <v>89978</v>
      </c>
      <c r="AT3" t="s">
        <v>139</v>
      </c>
      <c r="AU3">
        <v>46082</v>
      </c>
    </row>
    <row r="4" spans="1:47" x14ac:dyDescent="0.35">
      <c r="C4" t="s">
        <v>138</v>
      </c>
      <c r="D4">
        <v>0</v>
      </c>
      <c r="G4" t="s">
        <v>138</v>
      </c>
      <c r="H4">
        <v>60</v>
      </c>
      <c r="K4" t="s">
        <v>138</v>
      </c>
      <c r="L4">
        <v>0</v>
      </c>
      <c r="O4" t="s">
        <v>138</v>
      </c>
      <c r="P4">
        <v>0</v>
      </c>
      <c r="S4" t="s">
        <v>138</v>
      </c>
      <c r="T4">
        <v>0</v>
      </c>
      <c r="W4" t="s">
        <v>138</v>
      </c>
      <c r="X4">
        <v>0</v>
      </c>
      <c r="AA4" t="s">
        <v>138</v>
      </c>
      <c r="AB4">
        <v>0</v>
      </c>
      <c r="AE4" t="s">
        <v>138</v>
      </c>
      <c r="AF4">
        <v>0</v>
      </c>
      <c r="AI4" t="s">
        <v>138</v>
      </c>
      <c r="AJ4">
        <v>0</v>
      </c>
      <c r="AM4" t="s">
        <v>138</v>
      </c>
      <c r="AN4">
        <v>0</v>
      </c>
      <c r="AQ4" t="s">
        <v>138</v>
      </c>
      <c r="AR4">
        <v>44</v>
      </c>
      <c r="AT4" t="s">
        <v>138</v>
      </c>
      <c r="AU4">
        <v>1438</v>
      </c>
    </row>
    <row r="5" spans="1:47" x14ac:dyDescent="0.35">
      <c r="C5" t="s">
        <v>82</v>
      </c>
      <c r="D5">
        <v>751</v>
      </c>
      <c r="G5" t="s">
        <v>82</v>
      </c>
      <c r="H5">
        <v>0</v>
      </c>
      <c r="K5" t="s">
        <v>82</v>
      </c>
      <c r="L5">
        <v>0</v>
      </c>
      <c r="O5" t="s">
        <v>82</v>
      </c>
      <c r="P5">
        <v>2781</v>
      </c>
      <c r="S5" t="s">
        <v>82</v>
      </c>
      <c r="T5">
        <v>884</v>
      </c>
      <c r="W5" t="s">
        <v>82</v>
      </c>
      <c r="X5">
        <v>0</v>
      </c>
      <c r="AA5" t="s">
        <v>82</v>
      </c>
      <c r="AB5">
        <v>260</v>
      </c>
      <c r="AE5" t="s">
        <v>82</v>
      </c>
      <c r="AF5">
        <v>0</v>
      </c>
      <c r="AI5" t="s">
        <v>82</v>
      </c>
      <c r="AJ5">
        <v>525</v>
      </c>
      <c r="AM5" t="s">
        <v>82</v>
      </c>
      <c r="AN5">
        <v>0</v>
      </c>
      <c r="AQ5" t="s">
        <v>82</v>
      </c>
      <c r="AR5">
        <v>430</v>
      </c>
      <c r="AT5" t="s">
        <v>82</v>
      </c>
      <c r="AU5">
        <v>2302</v>
      </c>
    </row>
    <row r="6" spans="1:47" x14ac:dyDescent="0.35">
      <c r="C6" t="s">
        <v>60</v>
      </c>
      <c r="D6">
        <v>353</v>
      </c>
      <c r="G6" t="s">
        <v>60</v>
      </c>
      <c r="H6">
        <v>0</v>
      </c>
      <c r="K6" t="s">
        <v>60</v>
      </c>
      <c r="L6">
        <v>0</v>
      </c>
      <c r="O6" t="s">
        <v>60</v>
      </c>
      <c r="P6">
        <v>595</v>
      </c>
      <c r="S6" t="s">
        <v>60</v>
      </c>
      <c r="T6">
        <v>181</v>
      </c>
      <c r="W6" t="s">
        <v>60</v>
      </c>
      <c r="X6">
        <v>0</v>
      </c>
      <c r="AA6" t="s">
        <v>60</v>
      </c>
      <c r="AB6">
        <v>134</v>
      </c>
      <c r="AE6" t="s">
        <v>60</v>
      </c>
      <c r="AF6">
        <v>0</v>
      </c>
      <c r="AI6" t="s">
        <v>60</v>
      </c>
      <c r="AJ6">
        <v>81</v>
      </c>
      <c r="AM6" t="s">
        <v>60</v>
      </c>
      <c r="AN6">
        <v>0</v>
      </c>
      <c r="AQ6" t="s">
        <v>60</v>
      </c>
      <c r="AR6">
        <v>156</v>
      </c>
      <c r="AT6" t="s">
        <v>60</v>
      </c>
      <c r="AU6">
        <v>1652</v>
      </c>
    </row>
    <row r="7" spans="1:47" x14ac:dyDescent="0.35">
      <c r="C7" t="s">
        <v>127</v>
      </c>
      <c r="D7">
        <v>0</v>
      </c>
      <c r="G7" t="s">
        <v>127</v>
      </c>
      <c r="H7">
        <v>0</v>
      </c>
      <c r="K7" t="s">
        <v>127</v>
      </c>
      <c r="L7">
        <v>0</v>
      </c>
      <c r="O7" t="s">
        <v>127</v>
      </c>
      <c r="P7">
        <v>0</v>
      </c>
      <c r="S7" t="s">
        <v>127</v>
      </c>
      <c r="T7">
        <v>0</v>
      </c>
      <c r="W7" t="s">
        <v>127</v>
      </c>
      <c r="X7">
        <v>0</v>
      </c>
      <c r="AA7" t="s">
        <v>127</v>
      </c>
      <c r="AB7">
        <v>1680</v>
      </c>
      <c r="AE7" t="s">
        <v>127</v>
      </c>
      <c r="AF7">
        <v>0</v>
      </c>
      <c r="AI7" t="s">
        <v>127</v>
      </c>
      <c r="AJ7">
        <v>2652</v>
      </c>
      <c r="AM7" t="s">
        <v>127</v>
      </c>
      <c r="AN7">
        <v>0</v>
      </c>
      <c r="AQ7" t="s">
        <v>127</v>
      </c>
      <c r="AR7">
        <v>5</v>
      </c>
      <c r="AT7" t="s">
        <v>58</v>
      </c>
      <c r="AU7">
        <v>1680</v>
      </c>
    </row>
    <row r="8" spans="1:47" x14ac:dyDescent="0.35">
      <c r="C8" t="s">
        <v>61</v>
      </c>
      <c r="D8">
        <v>85</v>
      </c>
      <c r="G8" t="s">
        <v>61</v>
      </c>
      <c r="H8">
        <v>0</v>
      </c>
      <c r="K8" t="s">
        <v>61</v>
      </c>
      <c r="L8">
        <v>0</v>
      </c>
      <c r="O8" t="s">
        <v>61</v>
      </c>
      <c r="P8">
        <v>870</v>
      </c>
      <c r="S8" t="s">
        <v>61</v>
      </c>
      <c r="T8">
        <v>32</v>
      </c>
      <c r="W8" t="s">
        <v>61</v>
      </c>
      <c r="X8">
        <v>0</v>
      </c>
      <c r="AA8" t="s">
        <v>61</v>
      </c>
      <c r="AB8">
        <v>4</v>
      </c>
      <c r="AE8" t="s">
        <v>61</v>
      </c>
      <c r="AF8">
        <v>0</v>
      </c>
      <c r="AI8" t="s">
        <v>61</v>
      </c>
      <c r="AJ8">
        <v>57</v>
      </c>
      <c r="AM8" t="s">
        <v>61</v>
      </c>
      <c r="AN8">
        <v>0</v>
      </c>
      <c r="AQ8" t="s">
        <v>61</v>
      </c>
      <c r="AR8">
        <v>197</v>
      </c>
      <c r="AT8" t="s">
        <v>61</v>
      </c>
      <c r="AU8">
        <v>0</v>
      </c>
    </row>
    <row r="9" spans="1:47" x14ac:dyDescent="0.35">
      <c r="C9" t="s">
        <v>62</v>
      </c>
      <c r="D9">
        <v>517</v>
      </c>
      <c r="G9" t="s">
        <v>62</v>
      </c>
      <c r="H9">
        <v>0</v>
      </c>
      <c r="K9" t="s">
        <v>62</v>
      </c>
      <c r="L9">
        <v>0</v>
      </c>
      <c r="O9" t="s">
        <v>62</v>
      </c>
      <c r="P9">
        <v>0</v>
      </c>
      <c r="S9" t="s">
        <v>62</v>
      </c>
      <c r="T9">
        <v>177</v>
      </c>
      <c r="W9" t="s">
        <v>62</v>
      </c>
      <c r="X9">
        <v>0</v>
      </c>
      <c r="AA9" t="s">
        <v>62</v>
      </c>
      <c r="AB9">
        <v>411</v>
      </c>
      <c r="AE9" t="s">
        <v>62</v>
      </c>
      <c r="AF9">
        <v>0</v>
      </c>
      <c r="AI9" t="s">
        <v>62</v>
      </c>
      <c r="AJ9">
        <v>236</v>
      </c>
      <c r="AM9" t="s">
        <v>62</v>
      </c>
      <c r="AN9">
        <v>0</v>
      </c>
      <c r="AQ9" t="s">
        <v>62</v>
      </c>
      <c r="AR9">
        <v>10</v>
      </c>
      <c r="AT9" t="s">
        <v>62</v>
      </c>
      <c r="AU9">
        <v>657</v>
      </c>
    </row>
    <row r="10" spans="1:47" x14ac:dyDescent="0.35">
      <c r="C10" t="s">
        <v>203</v>
      </c>
      <c r="D10">
        <v>0</v>
      </c>
      <c r="G10" t="s">
        <v>203</v>
      </c>
      <c r="H10">
        <v>0</v>
      </c>
      <c r="K10" t="s">
        <v>203</v>
      </c>
      <c r="L10">
        <v>0</v>
      </c>
      <c r="O10" t="s">
        <v>203</v>
      </c>
      <c r="P10">
        <v>0</v>
      </c>
      <c r="S10" t="s">
        <v>203</v>
      </c>
      <c r="T10">
        <v>0</v>
      </c>
      <c r="W10" t="s">
        <v>203</v>
      </c>
      <c r="X10">
        <v>0</v>
      </c>
      <c r="AA10" t="s">
        <v>203</v>
      </c>
      <c r="AB10">
        <v>0</v>
      </c>
      <c r="AE10" t="s">
        <v>203</v>
      </c>
      <c r="AF10">
        <v>0</v>
      </c>
      <c r="AI10" t="s">
        <v>203</v>
      </c>
      <c r="AJ10">
        <v>0</v>
      </c>
      <c r="AM10" t="s">
        <v>203</v>
      </c>
      <c r="AN10">
        <v>0</v>
      </c>
      <c r="AQ10" t="s">
        <v>203</v>
      </c>
      <c r="AR10">
        <v>0</v>
      </c>
      <c r="AT10" t="s">
        <v>64</v>
      </c>
      <c r="AU10">
        <v>0</v>
      </c>
    </row>
    <row r="11" spans="1:47" x14ac:dyDescent="0.35">
      <c r="C11" t="s">
        <v>204</v>
      </c>
      <c r="D11">
        <v>0</v>
      </c>
      <c r="G11" t="s">
        <v>204</v>
      </c>
      <c r="H11">
        <v>0</v>
      </c>
      <c r="K11" t="s">
        <v>204</v>
      </c>
      <c r="L11">
        <v>0</v>
      </c>
      <c r="O11" t="s">
        <v>204</v>
      </c>
      <c r="P11">
        <v>0</v>
      </c>
      <c r="S11" t="s">
        <v>204</v>
      </c>
      <c r="T11">
        <v>0</v>
      </c>
      <c r="W11" t="s">
        <v>204</v>
      </c>
      <c r="X11">
        <v>0</v>
      </c>
      <c r="AA11" t="s">
        <v>204</v>
      </c>
      <c r="AB11">
        <v>0</v>
      </c>
      <c r="AE11" t="s">
        <v>204</v>
      </c>
      <c r="AF11">
        <v>0</v>
      </c>
      <c r="AI11" t="s">
        <v>204</v>
      </c>
      <c r="AJ11">
        <v>0</v>
      </c>
      <c r="AM11" t="s">
        <v>204</v>
      </c>
      <c r="AN11">
        <v>0</v>
      </c>
      <c r="AQ11" t="s">
        <v>204</v>
      </c>
      <c r="AR11">
        <v>2072</v>
      </c>
      <c r="AT11" t="s">
        <v>65</v>
      </c>
      <c r="AU11">
        <v>328</v>
      </c>
    </row>
    <row r="12" spans="1:47" x14ac:dyDescent="0.35">
      <c r="C12" t="s">
        <v>205</v>
      </c>
      <c r="D12">
        <v>0</v>
      </c>
      <c r="G12" t="s">
        <v>205</v>
      </c>
      <c r="H12">
        <v>0</v>
      </c>
      <c r="K12" t="s">
        <v>205</v>
      </c>
      <c r="L12">
        <v>0</v>
      </c>
      <c r="O12" t="s">
        <v>205</v>
      </c>
      <c r="P12">
        <v>0</v>
      </c>
      <c r="S12" t="s">
        <v>205</v>
      </c>
      <c r="T12">
        <v>0</v>
      </c>
      <c r="W12" t="s">
        <v>205</v>
      </c>
      <c r="X12">
        <v>0</v>
      </c>
      <c r="AA12" t="s">
        <v>205</v>
      </c>
      <c r="AB12">
        <v>0</v>
      </c>
      <c r="AE12" t="s">
        <v>205</v>
      </c>
      <c r="AF12">
        <v>0</v>
      </c>
      <c r="AI12" t="s">
        <v>205</v>
      </c>
      <c r="AJ12">
        <v>0</v>
      </c>
      <c r="AM12" t="s">
        <v>205</v>
      </c>
      <c r="AN12">
        <v>0</v>
      </c>
      <c r="AQ12" t="s">
        <v>205</v>
      </c>
      <c r="AR12">
        <v>0</v>
      </c>
      <c r="AT12" t="s">
        <v>66</v>
      </c>
      <c r="AU12">
        <v>75</v>
      </c>
    </row>
    <row r="13" spans="1:47" x14ac:dyDescent="0.35">
      <c r="C13" t="s">
        <v>133</v>
      </c>
      <c r="D13">
        <v>0</v>
      </c>
      <c r="G13" t="s">
        <v>133</v>
      </c>
      <c r="H13">
        <v>0</v>
      </c>
      <c r="K13" t="s">
        <v>133</v>
      </c>
      <c r="L13">
        <v>0</v>
      </c>
      <c r="O13" t="s">
        <v>133</v>
      </c>
      <c r="P13">
        <v>0</v>
      </c>
      <c r="S13" t="s">
        <v>133</v>
      </c>
      <c r="T13">
        <v>0</v>
      </c>
      <c r="W13" t="s">
        <v>133</v>
      </c>
      <c r="X13">
        <v>0</v>
      </c>
      <c r="AA13" t="s">
        <v>133</v>
      </c>
      <c r="AB13">
        <v>98</v>
      </c>
      <c r="AE13" t="s">
        <v>133</v>
      </c>
      <c r="AF13">
        <v>0</v>
      </c>
      <c r="AI13" t="s">
        <v>133</v>
      </c>
      <c r="AJ13">
        <v>0</v>
      </c>
      <c r="AM13" t="s">
        <v>133</v>
      </c>
      <c r="AN13">
        <v>0</v>
      </c>
      <c r="AQ13" t="s">
        <v>133</v>
      </c>
      <c r="AR13">
        <v>9</v>
      </c>
      <c r="AT13" t="s">
        <v>79</v>
      </c>
      <c r="AU13">
        <v>468</v>
      </c>
    </row>
    <row r="14" spans="1:47" x14ac:dyDescent="0.35">
      <c r="C14" t="s">
        <v>206</v>
      </c>
      <c r="D14">
        <v>0</v>
      </c>
      <c r="G14" t="s">
        <v>206</v>
      </c>
      <c r="H14">
        <v>0</v>
      </c>
      <c r="K14" t="s">
        <v>206</v>
      </c>
      <c r="L14">
        <v>0</v>
      </c>
      <c r="O14" t="s">
        <v>206</v>
      </c>
      <c r="P14">
        <v>0</v>
      </c>
      <c r="S14" t="s">
        <v>206</v>
      </c>
      <c r="T14">
        <v>0</v>
      </c>
      <c r="W14" t="s">
        <v>206</v>
      </c>
      <c r="X14">
        <v>0</v>
      </c>
      <c r="AA14" t="s">
        <v>206</v>
      </c>
      <c r="AB14">
        <v>0</v>
      </c>
      <c r="AE14" t="s">
        <v>206</v>
      </c>
      <c r="AF14">
        <v>0</v>
      </c>
      <c r="AI14" t="s">
        <v>206</v>
      </c>
      <c r="AJ14">
        <v>0</v>
      </c>
      <c r="AM14" t="s">
        <v>206</v>
      </c>
      <c r="AN14">
        <v>0</v>
      </c>
      <c r="AQ14" t="s">
        <v>206</v>
      </c>
      <c r="AR14">
        <v>0</v>
      </c>
      <c r="AT14" t="s">
        <v>68</v>
      </c>
      <c r="AU14">
        <v>134</v>
      </c>
    </row>
    <row r="15" spans="1:47" x14ac:dyDescent="0.35">
      <c r="C15" t="s">
        <v>136</v>
      </c>
      <c r="D15">
        <v>0</v>
      </c>
      <c r="G15" t="s">
        <v>136</v>
      </c>
      <c r="H15">
        <v>0</v>
      </c>
      <c r="K15" t="s">
        <v>136</v>
      </c>
      <c r="L15">
        <v>0</v>
      </c>
      <c r="O15" t="s">
        <v>136</v>
      </c>
      <c r="P15">
        <v>0</v>
      </c>
      <c r="S15" t="s">
        <v>136</v>
      </c>
      <c r="T15">
        <v>0</v>
      </c>
      <c r="W15" t="s">
        <v>136</v>
      </c>
      <c r="X15">
        <v>0</v>
      </c>
      <c r="AA15" t="s">
        <v>136</v>
      </c>
      <c r="AB15">
        <v>0</v>
      </c>
      <c r="AE15" t="s">
        <v>136</v>
      </c>
      <c r="AF15">
        <v>0</v>
      </c>
      <c r="AI15" t="s">
        <v>136</v>
      </c>
      <c r="AJ15">
        <v>0</v>
      </c>
      <c r="AM15" t="s">
        <v>136</v>
      </c>
      <c r="AN15">
        <v>0</v>
      </c>
      <c r="AQ15" t="s">
        <v>136</v>
      </c>
      <c r="AR15">
        <v>107</v>
      </c>
      <c r="AT15" t="s">
        <v>69</v>
      </c>
      <c r="AU15">
        <v>789</v>
      </c>
    </row>
    <row r="16" spans="1:47" x14ac:dyDescent="0.35">
      <c r="C16" t="s">
        <v>207</v>
      </c>
      <c r="D16">
        <v>0</v>
      </c>
      <c r="G16" t="s">
        <v>207</v>
      </c>
      <c r="H16">
        <v>0</v>
      </c>
      <c r="K16" t="s">
        <v>207</v>
      </c>
      <c r="L16">
        <v>0</v>
      </c>
      <c r="O16" t="s">
        <v>207</v>
      </c>
      <c r="P16">
        <v>0</v>
      </c>
      <c r="S16" t="s">
        <v>207</v>
      </c>
      <c r="T16">
        <v>0</v>
      </c>
      <c r="W16" t="s">
        <v>207</v>
      </c>
      <c r="X16">
        <v>0</v>
      </c>
      <c r="AA16" t="s">
        <v>207</v>
      </c>
      <c r="AB16">
        <v>0</v>
      </c>
      <c r="AE16" t="s">
        <v>207</v>
      </c>
      <c r="AF16">
        <v>0</v>
      </c>
      <c r="AI16" t="s">
        <v>207</v>
      </c>
      <c r="AJ16">
        <v>0</v>
      </c>
      <c r="AM16" t="s">
        <v>207</v>
      </c>
      <c r="AN16">
        <v>0</v>
      </c>
      <c r="AQ16" t="s">
        <v>207</v>
      </c>
      <c r="AR16">
        <v>117</v>
      </c>
      <c r="AT16" t="s">
        <v>70</v>
      </c>
      <c r="AU16">
        <v>190</v>
      </c>
    </row>
    <row r="17" spans="1:47" x14ac:dyDescent="0.35">
      <c r="C17" t="s">
        <v>141</v>
      </c>
      <c r="D17">
        <v>0</v>
      </c>
      <c r="G17" t="s">
        <v>141</v>
      </c>
      <c r="H17">
        <v>0</v>
      </c>
      <c r="K17" t="s">
        <v>141</v>
      </c>
      <c r="L17">
        <v>0</v>
      </c>
      <c r="O17" t="s">
        <v>141</v>
      </c>
      <c r="P17">
        <v>0</v>
      </c>
      <c r="S17" t="s">
        <v>141</v>
      </c>
      <c r="T17">
        <v>0</v>
      </c>
      <c r="W17" t="s">
        <v>141</v>
      </c>
      <c r="X17">
        <v>0</v>
      </c>
      <c r="AA17" t="s">
        <v>141</v>
      </c>
      <c r="AB17">
        <v>0</v>
      </c>
      <c r="AE17" t="s">
        <v>141</v>
      </c>
      <c r="AF17">
        <v>0</v>
      </c>
      <c r="AI17" t="s">
        <v>141</v>
      </c>
      <c r="AJ17">
        <v>0</v>
      </c>
      <c r="AM17" t="s">
        <v>141</v>
      </c>
      <c r="AN17">
        <v>0</v>
      </c>
      <c r="AQ17" t="s">
        <v>141</v>
      </c>
      <c r="AR17">
        <v>6</v>
      </c>
      <c r="AT17" t="s">
        <v>76</v>
      </c>
      <c r="AU17">
        <v>56</v>
      </c>
    </row>
    <row r="18" spans="1:47" x14ac:dyDescent="0.35">
      <c r="C18" t="s">
        <v>208</v>
      </c>
      <c r="D18">
        <v>0</v>
      </c>
      <c r="G18" t="s">
        <v>208</v>
      </c>
      <c r="H18">
        <v>0</v>
      </c>
      <c r="K18" t="s">
        <v>208</v>
      </c>
      <c r="L18">
        <v>0</v>
      </c>
      <c r="O18" t="s">
        <v>208</v>
      </c>
      <c r="P18">
        <v>0</v>
      </c>
      <c r="S18" t="s">
        <v>208</v>
      </c>
      <c r="T18">
        <v>0</v>
      </c>
      <c r="W18" t="s">
        <v>208</v>
      </c>
      <c r="X18">
        <v>0</v>
      </c>
      <c r="AA18" t="s">
        <v>208</v>
      </c>
      <c r="AB18">
        <v>0</v>
      </c>
      <c r="AE18" t="s">
        <v>208</v>
      </c>
      <c r="AF18">
        <v>0</v>
      </c>
      <c r="AI18" t="s">
        <v>208</v>
      </c>
      <c r="AJ18">
        <v>0</v>
      </c>
      <c r="AM18" t="s">
        <v>208</v>
      </c>
      <c r="AN18">
        <v>0</v>
      </c>
      <c r="AQ18" t="s">
        <v>208</v>
      </c>
      <c r="AR18">
        <v>0</v>
      </c>
      <c r="AT18" t="s">
        <v>77</v>
      </c>
      <c r="AU18">
        <v>28324</v>
      </c>
    </row>
    <row r="19" spans="1:47" x14ac:dyDescent="0.35">
      <c r="C19" t="s">
        <v>209</v>
      </c>
      <c r="D19">
        <v>0</v>
      </c>
      <c r="G19" t="s">
        <v>209</v>
      </c>
      <c r="H19">
        <v>0</v>
      </c>
      <c r="K19" t="s">
        <v>209</v>
      </c>
      <c r="L19">
        <v>0</v>
      </c>
      <c r="O19" t="s">
        <v>209</v>
      </c>
      <c r="P19">
        <v>0</v>
      </c>
      <c r="S19" t="s">
        <v>209</v>
      </c>
      <c r="T19">
        <v>0</v>
      </c>
      <c r="W19" t="s">
        <v>209</v>
      </c>
      <c r="X19">
        <v>0</v>
      </c>
      <c r="AA19" t="s">
        <v>209</v>
      </c>
      <c r="AB19">
        <v>0</v>
      </c>
      <c r="AE19" t="s">
        <v>209</v>
      </c>
      <c r="AF19">
        <v>0</v>
      </c>
      <c r="AI19" t="s">
        <v>209</v>
      </c>
      <c r="AJ19">
        <v>0</v>
      </c>
      <c r="AM19" t="s">
        <v>209</v>
      </c>
      <c r="AN19">
        <v>0</v>
      </c>
      <c r="AQ19" t="s">
        <v>209</v>
      </c>
      <c r="AR19">
        <v>8431</v>
      </c>
      <c r="AT19" t="s">
        <v>78</v>
      </c>
      <c r="AU19">
        <v>0</v>
      </c>
    </row>
    <row r="20" spans="1:47" x14ac:dyDescent="0.35">
      <c r="C20" t="s">
        <v>134</v>
      </c>
      <c r="D20">
        <v>0</v>
      </c>
      <c r="G20" t="s">
        <v>134</v>
      </c>
      <c r="H20">
        <v>0</v>
      </c>
      <c r="K20" t="s">
        <v>134</v>
      </c>
      <c r="L20">
        <v>0</v>
      </c>
      <c r="O20" t="s">
        <v>134</v>
      </c>
      <c r="P20">
        <v>0</v>
      </c>
      <c r="S20" t="s">
        <v>134</v>
      </c>
      <c r="T20">
        <v>0</v>
      </c>
      <c r="W20" t="s">
        <v>134</v>
      </c>
      <c r="X20">
        <v>0</v>
      </c>
      <c r="AA20" t="s">
        <v>134</v>
      </c>
      <c r="AB20">
        <v>0</v>
      </c>
      <c r="AE20" t="s">
        <v>134</v>
      </c>
      <c r="AF20">
        <v>0</v>
      </c>
      <c r="AI20" t="s">
        <v>134</v>
      </c>
      <c r="AJ20">
        <v>0</v>
      </c>
      <c r="AM20" t="s">
        <v>134</v>
      </c>
      <c r="AN20">
        <v>0</v>
      </c>
      <c r="AQ20" t="s">
        <v>134</v>
      </c>
      <c r="AR20">
        <v>12</v>
      </c>
      <c r="AT20" t="s">
        <v>67</v>
      </c>
      <c r="AU20">
        <v>98</v>
      </c>
    </row>
    <row r="21" spans="1:47" x14ac:dyDescent="0.35">
      <c r="C21" t="s">
        <v>142</v>
      </c>
      <c r="D21">
        <v>0</v>
      </c>
      <c r="G21" t="s">
        <v>142</v>
      </c>
      <c r="H21">
        <v>0</v>
      </c>
      <c r="K21" t="s">
        <v>142</v>
      </c>
      <c r="L21">
        <v>0</v>
      </c>
      <c r="O21" t="s">
        <v>142</v>
      </c>
      <c r="P21">
        <v>0</v>
      </c>
      <c r="S21" t="s">
        <v>142</v>
      </c>
      <c r="T21">
        <v>0</v>
      </c>
      <c r="W21" t="s">
        <v>142</v>
      </c>
      <c r="X21">
        <v>0</v>
      </c>
      <c r="AA21" t="s">
        <v>142</v>
      </c>
      <c r="AB21">
        <v>0</v>
      </c>
      <c r="AE21" t="s">
        <v>142</v>
      </c>
      <c r="AF21">
        <v>0</v>
      </c>
      <c r="AI21" t="s">
        <v>142</v>
      </c>
      <c r="AJ21">
        <v>0</v>
      </c>
      <c r="AM21" t="s">
        <v>142</v>
      </c>
      <c r="AN21">
        <v>0</v>
      </c>
      <c r="AQ21" t="s">
        <v>142</v>
      </c>
      <c r="AR21">
        <v>0</v>
      </c>
      <c r="AT21" t="s">
        <v>80</v>
      </c>
      <c r="AU21">
        <v>56</v>
      </c>
    </row>
    <row r="22" spans="1:47" x14ac:dyDescent="0.35">
      <c r="C22" t="s">
        <v>83</v>
      </c>
      <c r="D22">
        <v>0</v>
      </c>
      <c r="G22" t="s">
        <v>83</v>
      </c>
      <c r="H22">
        <v>0</v>
      </c>
      <c r="K22" t="s">
        <v>83</v>
      </c>
      <c r="L22">
        <v>0</v>
      </c>
      <c r="O22" t="s">
        <v>83</v>
      </c>
      <c r="P22">
        <v>0</v>
      </c>
      <c r="S22" t="s">
        <v>83</v>
      </c>
      <c r="T22">
        <v>0</v>
      </c>
      <c r="W22" t="s">
        <v>83</v>
      </c>
      <c r="X22">
        <v>0</v>
      </c>
      <c r="AA22" t="s">
        <v>83</v>
      </c>
      <c r="AB22">
        <v>0</v>
      </c>
      <c r="AE22" t="s">
        <v>83</v>
      </c>
      <c r="AF22">
        <v>0</v>
      </c>
      <c r="AI22" t="s">
        <v>83</v>
      </c>
      <c r="AJ22">
        <v>0</v>
      </c>
      <c r="AM22" t="s">
        <v>83</v>
      </c>
      <c r="AN22">
        <v>0</v>
      </c>
      <c r="AQ22" t="s">
        <v>83</v>
      </c>
      <c r="AR22">
        <v>1195</v>
      </c>
      <c r="AT22" t="s">
        <v>83</v>
      </c>
      <c r="AU22">
        <v>1156</v>
      </c>
    </row>
    <row r="23" spans="1:47" x14ac:dyDescent="0.35">
      <c r="C23" t="s">
        <v>84</v>
      </c>
      <c r="D23">
        <v>0</v>
      </c>
      <c r="G23" t="s">
        <v>84</v>
      </c>
      <c r="H23">
        <v>0</v>
      </c>
      <c r="K23" t="s">
        <v>84</v>
      </c>
      <c r="L23">
        <v>0</v>
      </c>
      <c r="O23" t="s">
        <v>84</v>
      </c>
      <c r="P23">
        <v>0</v>
      </c>
      <c r="S23" t="s">
        <v>84</v>
      </c>
      <c r="T23">
        <v>0</v>
      </c>
      <c r="W23" t="s">
        <v>84</v>
      </c>
      <c r="X23">
        <v>0</v>
      </c>
      <c r="AA23" t="s">
        <v>84</v>
      </c>
      <c r="AB23">
        <v>0</v>
      </c>
      <c r="AE23" t="s">
        <v>84</v>
      </c>
      <c r="AF23">
        <v>0</v>
      </c>
      <c r="AI23" t="s">
        <v>84</v>
      </c>
      <c r="AJ23">
        <v>0</v>
      </c>
      <c r="AM23" t="s">
        <v>84</v>
      </c>
      <c r="AN23">
        <v>0</v>
      </c>
      <c r="AQ23" t="s">
        <v>84</v>
      </c>
      <c r="AR23">
        <v>41</v>
      </c>
      <c r="AT23" t="s">
        <v>84</v>
      </c>
      <c r="AU23">
        <v>0</v>
      </c>
    </row>
    <row r="24" spans="1:47" x14ac:dyDescent="0.35">
      <c r="C24" t="s">
        <v>126</v>
      </c>
      <c r="D24">
        <v>0</v>
      </c>
      <c r="G24" t="s">
        <v>126</v>
      </c>
      <c r="H24">
        <v>0</v>
      </c>
      <c r="K24" t="s">
        <v>223</v>
      </c>
      <c r="L24">
        <v>0</v>
      </c>
      <c r="O24" t="s">
        <v>126</v>
      </c>
      <c r="P24">
        <v>0</v>
      </c>
      <c r="S24" t="s">
        <v>126</v>
      </c>
      <c r="T24">
        <v>0</v>
      </c>
      <c r="W24" t="s">
        <v>126</v>
      </c>
      <c r="X24">
        <v>0</v>
      </c>
      <c r="AA24" t="s">
        <v>126</v>
      </c>
      <c r="AB24">
        <v>0</v>
      </c>
      <c r="AE24" t="s">
        <v>126</v>
      </c>
      <c r="AF24">
        <v>0</v>
      </c>
      <c r="AI24" t="s">
        <v>126</v>
      </c>
      <c r="AJ24">
        <v>0</v>
      </c>
      <c r="AM24" t="s">
        <v>126</v>
      </c>
      <c r="AN24">
        <v>0</v>
      </c>
      <c r="AQ24" t="s">
        <v>126</v>
      </c>
      <c r="AR24">
        <v>1</v>
      </c>
      <c r="AT24" t="s">
        <v>86</v>
      </c>
      <c r="AU24">
        <v>0</v>
      </c>
    </row>
    <row r="25" spans="1:47" x14ac:dyDescent="0.35">
      <c r="C25" t="s">
        <v>87</v>
      </c>
      <c r="D25">
        <v>0</v>
      </c>
      <c r="G25" t="s">
        <v>87</v>
      </c>
      <c r="H25">
        <v>0</v>
      </c>
      <c r="K25" t="s">
        <v>87</v>
      </c>
      <c r="L25">
        <v>0</v>
      </c>
      <c r="O25" t="s">
        <v>87</v>
      </c>
      <c r="P25">
        <v>0</v>
      </c>
      <c r="S25" t="s">
        <v>87</v>
      </c>
      <c r="T25">
        <v>0</v>
      </c>
      <c r="W25" t="s">
        <v>87</v>
      </c>
      <c r="X25">
        <v>0</v>
      </c>
      <c r="AA25" t="s">
        <v>87</v>
      </c>
      <c r="AB25">
        <v>0</v>
      </c>
      <c r="AE25" t="s">
        <v>87</v>
      </c>
      <c r="AF25">
        <v>0</v>
      </c>
      <c r="AI25" t="s">
        <v>87</v>
      </c>
      <c r="AJ25">
        <v>0</v>
      </c>
      <c r="AM25" t="s">
        <v>87</v>
      </c>
      <c r="AN25">
        <v>0</v>
      </c>
      <c r="AQ25" t="s">
        <v>87</v>
      </c>
      <c r="AR25">
        <v>0</v>
      </c>
      <c r="AT25" t="s">
        <v>87</v>
      </c>
      <c r="AU25">
        <v>16380</v>
      </c>
    </row>
    <row r="26" spans="1:47" x14ac:dyDescent="0.35">
      <c r="A26" t="s">
        <v>165</v>
      </c>
      <c r="B26">
        <v>9795479.0000000019</v>
      </c>
      <c r="C26" t="s">
        <v>135</v>
      </c>
      <c r="D26">
        <v>996</v>
      </c>
      <c r="E26" t="s">
        <v>165</v>
      </c>
      <c r="F26">
        <v>10149577.500000002</v>
      </c>
      <c r="G26" t="s">
        <v>135</v>
      </c>
      <c r="H26">
        <v>1108</v>
      </c>
      <c r="I26" t="s">
        <v>165</v>
      </c>
      <c r="J26">
        <v>10494912.499999989</v>
      </c>
      <c r="K26" t="s">
        <v>135</v>
      </c>
      <c r="L26">
        <v>1218</v>
      </c>
      <c r="M26" t="s">
        <v>165</v>
      </c>
      <c r="N26">
        <v>10727148.499999996</v>
      </c>
      <c r="O26" t="s">
        <v>135</v>
      </c>
      <c r="P26">
        <v>1016</v>
      </c>
      <c r="Q26" t="s">
        <v>165</v>
      </c>
      <c r="R26">
        <v>10903327.500000004</v>
      </c>
      <c r="S26" t="s">
        <v>135</v>
      </c>
      <c r="T26">
        <v>0</v>
      </c>
      <c r="U26" t="s">
        <v>165</v>
      </c>
      <c r="V26">
        <v>11155593.000000002</v>
      </c>
      <c r="W26" t="s">
        <v>135</v>
      </c>
      <c r="X26">
        <v>0</v>
      </c>
      <c r="Y26" t="s">
        <v>165</v>
      </c>
      <c r="Z26">
        <v>11493472.499999993</v>
      </c>
      <c r="AA26" t="s">
        <v>135</v>
      </c>
      <c r="AB26">
        <v>45</v>
      </c>
      <c r="AC26" t="s">
        <v>165</v>
      </c>
      <c r="AD26">
        <v>11874838</v>
      </c>
      <c r="AE26" t="s">
        <v>135</v>
      </c>
      <c r="AF26">
        <v>0</v>
      </c>
      <c r="AG26" t="s">
        <v>165</v>
      </c>
      <c r="AH26">
        <v>12220226.500000007</v>
      </c>
      <c r="AI26" t="s">
        <v>135</v>
      </c>
      <c r="AJ26">
        <v>1704</v>
      </c>
      <c r="AK26" t="s">
        <v>165</v>
      </c>
      <c r="AL26">
        <v>12551212.999999998</v>
      </c>
      <c r="AM26" t="s">
        <v>135</v>
      </c>
      <c r="AN26">
        <v>1816</v>
      </c>
      <c r="AO26" t="s">
        <v>165</v>
      </c>
      <c r="AP26">
        <v>12889576.499999994</v>
      </c>
      <c r="AQ26" t="s">
        <v>135</v>
      </c>
      <c r="AR26">
        <v>0</v>
      </c>
      <c r="AS26" t="s">
        <v>165</v>
      </c>
      <c r="AT26" t="s">
        <v>148</v>
      </c>
      <c r="AU26">
        <v>1084</v>
      </c>
    </row>
    <row r="27" spans="1:47" x14ac:dyDescent="0.35">
      <c r="C27" t="s">
        <v>139</v>
      </c>
      <c r="D27">
        <v>12972</v>
      </c>
      <c r="G27" t="s">
        <v>139</v>
      </c>
      <c r="H27">
        <v>13146</v>
      </c>
      <c r="K27" t="s">
        <v>139</v>
      </c>
      <c r="L27">
        <v>13638</v>
      </c>
      <c r="O27" t="s">
        <v>139</v>
      </c>
      <c r="P27">
        <v>13376</v>
      </c>
      <c r="S27" t="s">
        <v>139</v>
      </c>
      <c r="T27">
        <v>0</v>
      </c>
      <c r="W27" t="s">
        <v>139</v>
      </c>
      <c r="X27">
        <v>18142</v>
      </c>
      <c r="AA27" t="s">
        <v>139</v>
      </c>
      <c r="AB27">
        <v>18312</v>
      </c>
      <c r="AE27" t="s">
        <v>139</v>
      </c>
      <c r="AF27">
        <v>15036</v>
      </c>
      <c r="AI27" t="s">
        <v>139</v>
      </c>
      <c r="AJ27">
        <v>15426</v>
      </c>
      <c r="AM27" t="s">
        <v>139</v>
      </c>
      <c r="AN27">
        <v>18744</v>
      </c>
      <c r="AQ27" t="s">
        <v>139</v>
      </c>
      <c r="AR27">
        <v>0</v>
      </c>
      <c r="AT27" t="s">
        <v>139</v>
      </c>
      <c r="AU27">
        <v>8996</v>
      </c>
    </row>
    <row r="28" spans="1:47" x14ac:dyDescent="0.35">
      <c r="C28" t="s">
        <v>138</v>
      </c>
      <c r="D28">
        <v>32</v>
      </c>
      <c r="G28" t="s">
        <v>138</v>
      </c>
      <c r="H28">
        <v>70</v>
      </c>
      <c r="K28" t="s">
        <v>138</v>
      </c>
      <c r="L28">
        <v>48</v>
      </c>
      <c r="O28" t="s">
        <v>138</v>
      </c>
      <c r="P28">
        <v>158</v>
      </c>
      <c r="S28" t="s">
        <v>138</v>
      </c>
      <c r="T28">
        <v>0</v>
      </c>
      <c r="W28" t="s">
        <v>138</v>
      </c>
      <c r="X28">
        <v>320</v>
      </c>
      <c r="AA28" t="s">
        <v>138</v>
      </c>
      <c r="AB28">
        <v>0</v>
      </c>
      <c r="AE28" t="s">
        <v>138</v>
      </c>
      <c r="AF28">
        <v>248</v>
      </c>
      <c r="AI28" t="s">
        <v>138</v>
      </c>
      <c r="AJ28">
        <v>0</v>
      </c>
      <c r="AM28" t="s">
        <v>138</v>
      </c>
      <c r="AN28">
        <v>286</v>
      </c>
      <c r="AQ28" t="s">
        <v>138</v>
      </c>
      <c r="AR28">
        <v>0</v>
      </c>
      <c r="AT28" t="s">
        <v>138</v>
      </c>
      <c r="AU28">
        <v>160</v>
      </c>
    </row>
    <row r="29" spans="1:47" x14ac:dyDescent="0.35">
      <c r="C29" t="s">
        <v>82</v>
      </c>
      <c r="D29">
        <v>546</v>
      </c>
      <c r="G29" t="s">
        <v>82</v>
      </c>
      <c r="H29">
        <v>0</v>
      </c>
      <c r="K29" t="s">
        <v>82</v>
      </c>
      <c r="L29">
        <v>0</v>
      </c>
      <c r="O29" t="s">
        <v>82</v>
      </c>
      <c r="P29">
        <v>0</v>
      </c>
      <c r="S29" t="s">
        <v>82</v>
      </c>
      <c r="T29">
        <v>188</v>
      </c>
      <c r="W29" t="s">
        <v>82</v>
      </c>
      <c r="X29">
        <v>944</v>
      </c>
      <c r="AA29" t="s">
        <v>82</v>
      </c>
      <c r="AB29">
        <v>0</v>
      </c>
      <c r="AE29" t="s">
        <v>82</v>
      </c>
      <c r="AF29">
        <v>83</v>
      </c>
      <c r="AI29" t="s">
        <v>82</v>
      </c>
      <c r="AJ29">
        <v>1138</v>
      </c>
      <c r="AM29" t="s">
        <v>82</v>
      </c>
      <c r="AN29">
        <v>0</v>
      </c>
      <c r="AQ29" t="s">
        <v>82</v>
      </c>
      <c r="AR29">
        <v>0</v>
      </c>
      <c r="AT29" t="s">
        <v>82</v>
      </c>
      <c r="AU29">
        <v>119</v>
      </c>
    </row>
    <row r="30" spans="1:47" x14ac:dyDescent="0.35">
      <c r="C30" t="s">
        <v>60</v>
      </c>
      <c r="D30">
        <v>115</v>
      </c>
      <c r="G30" t="s">
        <v>60</v>
      </c>
      <c r="H30">
        <v>0</v>
      </c>
      <c r="K30" t="s">
        <v>60</v>
      </c>
      <c r="L30">
        <v>194</v>
      </c>
      <c r="O30" t="s">
        <v>60</v>
      </c>
      <c r="P30">
        <v>300</v>
      </c>
      <c r="S30" t="s">
        <v>60</v>
      </c>
      <c r="T30">
        <v>11</v>
      </c>
      <c r="W30" t="s">
        <v>60</v>
      </c>
      <c r="X30">
        <v>373</v>
      </c>
      <c r="AA30" t="s">
        <v>60</v>
      </c>
      <c r="AB30">
        <v>0</v>
      </c>
      <c r="AE30" t="s">
        <v>60</v>
      </c>
      <c r="AF30">
        <v>18</v>
      </c>
      <c r="AI30" t="s">
        <v>60</v>
      </c>
      <c r="AJ30">
        <v>0</v>
      </c>
      <c r="AM30" t="s">
        <v>60</v>
      </c>
      <c r="AN30">
        <v>0</v>
      </c>
      <c r="AQ30" t="s">
        <v>60</v>
      </c>
      <c r="AR30">
        <v>0</v>
      </c>
      <c r="AT30" t="s">
        <v>60</v>
      </c>
      <c r="AU30">
        <v>14</v>
      </c>
    </row>
    <row r="31" spans="1:47" x14ac:dyDescent="0.35">
      <c r="C31" t="s">
        <v>127</v>
      </c>
      <c r="D31">
        <v>0</v>
      </c>
      <c r="G31" t="s">
        <v>127</v>
      </c>
      <c r="H31">
        <v>0</v>
      </c>
      <c r="K31" t="s">
        <v>127</v>
      </c>
      <c r="L31">
        <v>0</v>
      </c>
      <c r="O31" t="s">
        <v>127</v>
      </c>
      <c r="P31">
        <v>0</v>
      </c>
      <c r="S31" t="s">
        <v>127</v>
      </c>
      <c r="T31">
        <v>0</v>
      </c>
      <c r="W31" t="s">
        <v>127</v>
      </c>
      <c r="X31">
        <v>0</v>
      </c>
      <c r="AA31" t="s">
        <v>127</v>
      </c>
      <c r="AB31">
        <v>11845</v>
      </c>
      <c r="AE31" t="s">
        <v>127</v>
      </c>
      <c r="AF31">
        <v>0</v>
      </c>
      <c r="AI31" t="s">
        <v>127</v>
      </c>
      <c r="AJ31">
        <v>11845</v>
      </c>
      <c r="AM31" t="s">
        <v>127</v>
      </c>
      <c r="AN31">
        <v>0</v>
      </c>
      <c r="AQ31" t="s">
        <v>127</v>
      </c>
      <c r="AR31">
        <v>0</v>
      </c>
      <c r="AT31" t="s">
        <v>58</v>
      </c>
      <c r="AU31">
        <v>11845</v>
      </c>
    </row>
    <row r="32" spans="1:47" x14ac:dyDescent="0.35">
      <c r="C32" t="s">
        <v>61</v>
      </c>
      <c r="D32">
        <v>44</v>
      </c>
      <c r="G32" t="s">
        <v>61</v>
      </c>
      <c r="H32">
        <v>0</v>
      </c>
      <c r="K32" t="s">
        <v>61</v>
      </c>
      <c r="L32">
        <v>0</v>
      </c>
      <c r="O32" t="s">
        <v>61</v>
      </c>
      <c r="P32">
        <v>0</v>
      </c>
      <c r="S32" t="s">
        <v>61</v>
      </c>
      <c r="T32">
        <v>42</v>
      </c>
      <c r="W32" t="s">
        <v>61</v>
      </c>
      <c r="X32">
        <v>0</v>
      </c>
      <c r="AA32" t="s">
        <v>61</v>
      </c>
      <c r="AB32">
        <v>0</v>
      </c>
      <c r="AE32" t="s">
        <v>61</v>
      </c>
      <c r="AF32">
        <v>0</v>
      </c>
      <c r="AI32" t="s">
        <v>61</v>
      </c>
      <c r="AJ32">
        <v>0</v>
      </c>
      <c r="AM32" t="s">
        <v>61</v>
      </c>
      <c r="AN32">
        <v>0</v>
      </c>
      <c r="AQ32" t="s">
        <v>61</v>
      </c>
      <c r="AR32">
        <v>0</v>
      </c>
      <c r="AT32" t="s">
        <v>61</v>
      </c>
      <c r="AU32">
        <v>10</v>
      </c>
    </row>
    <row r="33" spans="3:47" x14ac:dyDescent="0.35">
      <c r="C33" t="s">
        <v>62</v>
      </c>
      <c r="D33">
        <v>0</v>
      </c>
      <c r="G33" t="s">
        <v>62</v>
      </c>
      <c r="H33">
        <v>0</v>
      </c>
      <c r="K33" t="s">
        <v>62</v>
      </c>
      <c r="L33">
        <v>0</v>
      </c>
      <c r="O33" t="s">
        <v>62</v>
      </c>
      <c r="P33">
        <v>0</v>
      </c>
      <c r="S33" t="s">
        <v>62</v>
      </c>
      <c r="T33">
        <v>96</v>
      </c>
      <c r="W33" t="s">
        <v>62</v>
      </c>
      <c r="X33">
        <v>0</v>
      </c>
      <c r="AA33" t="s">
        <v>62</v>
      </c>
      <c r="AB33">
        <v>0</v>
      </c>
      <c r="AE33" t="s">
        <v>62</v>
      </c>
      <c r="AF33">
        <v>149</v>
      </c>
      <c r="AI33" t="s">
        <v>62</v>
      </c>
      <c r="AJ33">
        <v>0</v>
      </c>
      <c r="AM33" t="s">
        <v>62</v>
      </c>
      <c r="AN33">
        <v>0</v>
      </c>
      <c r="AQ33" t="s">
        <v>62</v>
      </c>
      <c r="AR33">
        <v>0</v>
      </c>
      <c r="AT33" t="s">
        <v>62</v>
      </c>
      <c r="AU33">
        <v>372</v>
      </c>
    </row>
    <row r="34" spans="3:47" x14ac:dyDescent="0.35">
      <c r="C34" t="s">
        <v>203</v>
      </c>
      <c r="D34">
        <v>0</v>
      </c>
      <c r="G34" t="s">
        <v>203</v>
      </c>
      <c r="H34">
        <v>0</v>
      </c>
      <c r="K34" t="s">
        <v>203</v>
      </c>
      <c r="L34">
        <v>0</v>
      </c>
      <c r="O34" t="s">
        <v>203</v>
      </c>
      <c r="P34">
        <v>0</v>
      </c>
      <c r="S34" t="s">
        <v>203</v>
      </c>
      <c r="T34">
        <v>0</v>
      </c>
      <c r="W34" t="s">
        <v>203</v>
      </c>
      <c r="X34">
        <v>0</v>
      </c>
      <c r="AA34" t="s">
        <v>203</v>
      </c>
      <c r="AB34">
        <v>0</v>
      </c>
      <c r="AE34" t="s">
        <v>203</v>
      </c>
      <c r="AF34">
        <v>0</v>
      </c>
      <c r="AI34" t="s">
        <v>203</v>
      </c>
      <c r="AJ34">
        <v>0</v>
      </c>
      <c r="AM34" t="s">
        <v>203</v>
      </c>
      <c r="AN34">
        <v>0</v>
      </c>
      <c r="AQ34" t="s">
        <v>203</v>
      </c>
      <c r="AR34">
        <v>0</v>
      </c>
      <c r="AT34" t="s">
        <v>64</v>
      </c>
      <c r="AU34">
        <v>8664</v>
      </c>
    </row>
    <row r="35" spans="3:47" x14ac:dyDescent="0.35">
      <c r="C35" t="s">
        <v>204</v>
      </c>
      <c r="D35">
        <v>0</v>
      </c>
      <c r="G35" t="s">
        <v>204</v>
      </c>
      <c r="H35">
        <v>0</v>
      </c>
      <c r="K35" t="s">
        <v>204</v>
      </c>
      <c r="L35">
        <v>0</v>
      </c>
      <c r="O35" t="s">
        <v>204</v>
      </c>
      <c r="P35">
        <v>0</v>
      </c>
      <c r="S35" t="s">
        <v>204</v>
      </c>
      <c r="T35">
        <v>0</v>
      </c>
      <c r="W35" t="s">
        <v>204</v>
      </c>
      <c r="X35">
        <v>0</v>
      </c>
      <c r="AA35" t="s">
        <v>204</v>
      </c>
      <c r="AB35">
        <v>0</v>
      </c>
      <c r="AE35" t="s">
        <v>204</v>
      </c>
      <c r="AF35">
        <v>0</v>
      </c>
      <c r="AI35" t="s">
        <v>204</v>
      </c>
      <c r="AJ35">
        <v>0</v>
      </c>
      <c r="AM35" t="s">
        <v>204</v>
      </c>
      <c r="AN35">
        <v>0</v>
      </c>
      <c r="AQ35" t="s">
        <v>204</v>
      </c>
      <c r="AR35">
        <v>0</v>
      </c>
      <c r="AT35" t="s">
        <v>65</v>
      </c>
      <c r="AU35">
        <v>1383</v>
      </c>
    </row>
    <row r="36" spans="3:47" x14ac:dyDescent="0.35">
      <c r="C36" t="s">
        <v>205</v>
      </c>
      <c r="D36">
        <v>0</v>
      </c>
      <c r="G36" t="s">
        <v>205</v>
      </c>
      <c r="H36">
        <v>0</v>
      </c>
      <c r="K36" t="s">
        <v>205</v>
      </c>
      <c r="L36">
        <v>0</v>
      </c>
      <c r="O36" t="s">
        <v>205</v>
      </c>
      <c r="P36">
        <v>0</v>
      </c>
      <c r="S36" t="s">
        <v>205</v>
      </c>
      <c r="T36">
        <v>0</v>
      </c>
      <c r="W36" t="s">
        <v>205</v>
      </c>
      <c r="X36">
        <v>0</v>
      </c>
      <c r="AA36" t="s">
        <v>205</v>
      </c>
      <c r="AB36">
        <v>0</v>
      </c>
      <c r="AE36" t="s">
        <v>205</v>
      </c>
      <c r="AF36">
        <v>0</v>
      </c>
      <c r="AI36" t="s">
        <v>205</v>
      </c>
      <c r="AJ36">
        <v>0</v>
      </c>
      <c r="AM36" t="s">
        <v>205</v>
      </c>
      <c r="AN36">
        <v>0</v>
      </c>
      <c r="AQ36" t="s">
        <v>205</v>
      </c>
      <c r="AR36">
        <v>0</v>
      </c>
      <c r="AT36" t="s">
        <v>66</v>
      </c>
      <c r="AU36">
        <v>0</v>
      </c>
    </row>
    <row r="37" spans="3:47" x14ac:dyDescent="0.35">
      <c r="C37" t="s">
        <v>133</v>
      </c>
      <c r="D37">
        <v>0</v>
      </c>
      <c r="G37" t="s">
        <v>133</v>
      </c>
      <c r="H37">
        <v>0</v>
      </c>
      <c r="K37" t="s">
        <v>133</v>
      </c>
      <c r="L37">
        <v>0</v>
      </c>
      <c r="O37" t="s">
        <v>133</v>
      </c>
      <c r="P37">
        <v>0</v>
      </c>
      <c r="S37" t="s">
        <v>133</v>
      </c>
      <c r="T37">
        <v>0</v>
      </c>
      <c r="W37" t="s">
        <v>133</v>
      </c>
      <c r="X37">
        <v>1073</v>
      </c>
      <c r="AA37" t="s">
        <v>133</v>
      </c>
      <c r="AB37">
        <v>1071</v>
      </c>
      <c r="AE37" t="s">
        <v>133</v>
      </c>
      <c r="AF37">
        <v>0</v>
      </c>
      <c r="AI37" t="s">
        <v>133</v>
      </c>
      <c r="AJ37">
        <v>0</v>
      </c>
      <c r="AM37" t="s">
        <v>133</v>
      </c>
      <c r="AN37">
        <v>0</v>
      </c>
      <c r="AQ37" t="s">
        <v>133</v>
      </c>
      <c r="AR37">
        <v>0</v>
      </c>
      <c r="AT37" t="s">
        <v>79</v>
      </c>
      <c r="AU37">
        <v>155</v>
      </c>
    </row>
    <row r="38" spans="3:47" x14ac:dyDescent="0.35">
      <c r="C38" t="s">
        <v>206</v>
      </c>
      <c r="D38">
        <v>0</v>
      </c>
      <c r="G38" t="s">
        <v>206</v>
      </c>
      <c r="H38">
        <v>0</v>
      </c>
      <c r="K38" t="s">
        <v>206</v>
      </c>
      <c r="L38">
        <v>0</v>
      </c>
      <c r="O38" t="s">
        <v>206</v>
      </c>
      <c r="P38">
        <v>0</v>
      </c>
      <c r="S38" t="s">
        <v>206</v>
      </c>
      <c r="T38">
        <v>0</v>
      </c>
      <c r="W38" t="s">
        <v>206</v>
      </c>
      <c r="X38">
        <v>0</v>
      </c>
      <c r="AA38" t="s">
        <v>206</v>
      </c>
      <c r="AB38">
        <v>0</v>
      </c>
      <c r="AE38" t="s">
        <v>206</v>
      </c>
      <c r="AF38">
        <v>0</v>
      </c>
      <c r="AI38" t="s">
        <v>206</v>
      </c>
      <c r="AJ38">
        <v>0</v>
      </c>
      <c r="AM38" t="s">
        <v>206</v>
      </c>
      <c r="AN38">
        <v>0</v>
      </c>
      <c r="AQ38" t="s">
        <v>206</v>
      </c>
      <c r="AR38">
        <v>0</v>
      </c>
      <c r="AT38" t="s">
        <v>68</v>
      </c>
      <c r="AU38">
        <v>0</v>
      </c>
    </row>
    <row r="39" spans="3:47" x14ac:dyDescent="0.35">
      <c r="C39" t="s">
        <v>136</v>
      </c>
      <c r="D39">
        <v>0</v>
      </c>
      <c r="G39" t="s">
        <v>136</v>
      </c>
      <c r="H39">
        <v>0</v>
      </c>
      <c r="K39" t="s">
        <v>136</v>
      </c>
      <c r="L39">
        <v>0</v>
      </c>
      <c r="O39" t="s">
        <v>136</v>
      </c>
      <c r="P39">
        <v>0</v>
      </c>
      <c r="S39" t="s">
        <v>136</v>
      </c>
      <c r="T39">
        <v>0</v>
      </c>
      <c r="W39" t="s">
        <v>136</v>
      </c>
      <c r="X39">
        <v>0</v>
      </c>
      <c r="AA39" t="s">
        <v>136</v>
      </c>
      <c r="AB39">
        <v>0</v>
      </c>
      <c r="AE39" t="s">
        <v>136</v>
      </c>
      <c r="AF39">
        <v>0</v>
      </c>
      <c r="AI39" t="s">
        <v>136</v>
      </c>
      <c r="AJ39">
        <v>0</v>
      </c>
      <c r="AM39" t="s">
        <v>136</v>
      </c>
      <c r="AN39">
        <v>81</v>
      </c>
      <c r="AQ39" t="s">
        <v>136</v>
      </c>
      <c r="AR39">
        <v>0</v>
      </c>
      <c r="AT39" t="s">
        <v>69</v>
      </c>
      <c r="AU39">
        <v>86</v>
      </c>
    </row>
    <row r="40" spans="3:47" x14ac:dyDescent="0.35">
      <c r="C40" t="s">
        <v>207</v>
      </c>
      <c r="D40">
        <v>0</v>
      </c>
      <c r="G40" t="s">
        <v>207</v>
      </c>
      <c r="H40">
        <v>0</v>
      </c>
      <c r="K40" t="s">
        <v>207</v>
      </c>
      <c r="L40">
        <v>0</v>
      </c>
      <c r="O40" t="s">
        <v>207</v>
      </c>
      <c r="P40">
        <v>0</v>
      </c>
      <c r="S40" t="s">
        <v>207</v>
      </c>
      <c r="T40">
        <v>0</v>
      </c>
      <c r="W40" t="s">
        <v>207</v>
      </c>
      <c r="X40">
        <v>0</v>
      </c>
      <c r="AA40" t="s">
        <v>207</v>
      </c>
      <c r="AB40">
        <v>0</v>
      </c>
      <c r="AE40" t="s">
        <v>207</v>
      </c>
      <c r="AF40">
        <v>0</v>
      </c>
      <c r="AI40" t="s">
        <v>207</v>
      </c>
      <c r="AJ40">
        <v>0</v>
      </c>
      <c r="AM40" t="s">
        <v>207</v>
      </c>
      <c r="AN40">
        <v>0</v>
      </c>
      <c r="AQ40" t="s">
        <v>207</v>
      </c>
      <c r="AR40">
        <v>0</v>
      </c>
      <c r="AT40" t="s">
        <v>70</v>
      </c>
      <c r="AU40">
        <v>108</v>
      </c>
    </row>
    <row r="41" spans="3:47" x14ac:dyDescent="0.35">
      <c r="C41" t="s">
        <v>141</v>
      </c>
      <c r="D41">
        <v>0</v>
      </c>
      <c r="G41" t="s">
        <v>141</v>
      </c>
      <c r="H41">
        <v>0</v>
      </c>
      <c r="K41" t="s">
        <v>141</v>
      </c>
      <c r="L41">
        <v>0</v>
      </c>
      <c r="O41" t="s">
        <v>141</v>
      </c>
      <c r="P41">
        <v>0</v>
      </c>
      <c r="S41" t="s">
        <v>141</v>
      </c>
      <c r="T41">
        <v>0</v>
      </c>
      <c r="W41" t="s">
        <v>141</v>
      </c>
      <c r="X41">
        <v>0</v>
      </c>
      <c r="AA41" t="s">
        <v>141</v>
      </c>
      <c r="AB41">
        <v>0</v>
      </c>
      <c r="AE41" t="s">
        <v>141</v>
      </c>
      <c r="AF41">
        <v>0</v>
      </c>
      <c r="AI41" t="s">
        <v>141</v>
      </c>
      <c r="AJ41">
        <v>0</v>
      </c>
      <c r="AM41" t="s">
        <v>141</v>
      </c>
      <c r="AN41">
        <v>0</v>
      </c>
      <c r="AQ41" t="s">
        <v>141</v>
      </c>
      <c r="AR41">
        <v>0</v>
      </c>
      <c r="AT41" t="s">
        <v>76</v>
      </c>
      <c r="AU41">
        <v>0</v>
      </c>
    </row>
    <row r="42" spans="3:47" x14ac:dyDescent="0.35">
      <c r="C42" t="s">
        <v>208</v>
      </c>
      <c r="D42">
        <v>0</v>
      </c>
      <c r="G42" t="s">
        <v>208</v>
      </c>
      <c r="H42">
        <v>0</v>
      </c>
      <c r="K42" t="s">
        <v>208</v>
      </c>
      <c r="L42">
        <v>0</v>
      </c>
      <c r="O42" t="s">
        <v>208</v>
      </c>
      <c r="P42">
        <v>0</v>
      </c>
      <c r="S42" t="s">
        <v>208</v>
      </c>
      <c r="T42">
        <v>0</v>
      </c>
      <c r="W42" t="s">
        <v>208</v>
      </c>
      <c r="X42">
        <v>2946</v>
      </c>
      <c r="AA42" t="s">
        <v>208</v>
      </c>
      <c r="AB42">
        <v>0</v>
      </c>
      <c r="AE42" t="s">
        <v>208</v>
      </c>
      <c r="AF42">
        <v>0</v>
      </c>
      <c r="AI42" t="s">
        <v>208</v>
      </c>
      <c r="AJ42">
        <v>0</v>
      </c>
      <c r="AM42" t="s">
        <v>208</v>
      </c>
      <c r="AN42">
        <v>7805</v>
      </c>
      <c r="AQ42" t="s">
        <v>208</v>
      </c>
      <c r="AR42">
        <v>0</v>
      </c>
      <c r="AT42" t="s">
        <v>77</v>
      </c>
      <c r="AU42">
        <v>2906</v>
      </c>
    </row>
    <row r="43" spans="3:47" x14ac:dyDescent="0.35">
      <c r="C43" t="s">
        <v>209</v>
      </c>
      <c r="D43">
        <v>0</v>
      </c>
      <c r="G43" t="s">
        <v>209</v>
      </c>
      <c r="H43">
        <v>0</v>
      </c>
      <c r="K43" t="s">
        <v>209</v>
      </c>
      <c r="L43">
        <v>0</v>
      </c>
      <c r="O43" t="s">
        <v>209</v>
      </c>
      <c r="P43">
        <v>0</v>
      </c>
      <c r="S43" t="s">
        <v>209</v>
      </c>
      <c r="T43">
        <v>0</v>
      </c>
      <c r="W43" t="s">
        <v>209</v>
      </c>
      <c r="X43">
        <v>9003</v>
      </c>
      <c r="AA43" t="s">
        <v>209</v>
      </c>
      <c r="AB43">
        <v>0</v>
      </c>
      <c r="AE43" t="s">
        <v>209</v>
      </c>
      <c r="AF43">
        <v>0</v>
      </c>
      <c r="AI43" t="s">
        <v>209</v>
      </c>
      <c r="AJ43">
        <v>0</v>
      </c>
      <c r="AM43" t="s">
        <v>209</v>
      </c>
      <c r="AN43">
        <v>0</v>
      </c>
      <c r="AQ43" t="s">
        <v>209</v>
      </c>
      <c r="AR43">
        <v>0</v>
      </c>
      <c r="AT43" t="s">
        <v>78</v>
      </c>
      <c r="AU43">
        <v>0</v>
      </c>
    </row>
    <row r="44" spans="3:47" x14ac:dyDescent="0.35">
      <c r="C44" t="s">
        <v>134</v>
      </c>
      <c r="D44">
        <v>0</v>
      </c>
      <c r="G44" t="s">
        <v>134</v>
      </c>
      <c r="H44">
        <v>0</v>
      </c>
      <c r="K44" t="s">
        <v>134</v>
      </c>
      <c r="L44">
        <v>0</v>
      </c>
      <c r="O44" t="s">
        <v>134</v>
      </c>
      <c r="P44">
        <v>0</v>
      </c>
      <c r="S44" t="s">
        <v>134</v>
      </c>
      <c r="T44">
        <v>0</v>
      </c>
      <c r="W44" t="s">
        <v>134</v>
      </c>
      <c r="X44">
        <v>0</v>
      </c>
      <c r="AA44" t="s">
        <v>134</v>
      </c>
      <c r="AB44">
        <v>0</v>
      </c>
      <c r="AE44" t="s">
        <v>134</v>
      </c>
      <c r="AF44">
        <v>0</v>
      </c>
      <c r="AI44" t="s">
        <v>134</v>
      </c>
      <c r="AJ44">
        <v>0</v>
      </c>
      <c r="AM44" t="s">
        <v>134</v>
      </c>
      <c r="AN44">
        <v>729</v>
      </c>
      <c r="AQ44" t="s">
        <v>134</v>
      </c>
      <c r="AR44">
        <v>0</v>
      </c>
      <c r="AT44" t="s">
        <v>67</v>
      </c>
      <c r="AU44">
        <v>1071</v>
      </c>
    </row>
    <row r="45" spans="3:47" x14ac:dyDescent="0.35">
      <c r="C45" t="s">
        <v>142</v>
      </c>
      <c r="D45">
        <v>0</v>
      </c>
      <c r="G45" t="s">
        <v>142</v>
      </c>
      <c r="H45">
        <v>0</v>
      </c>
      <c r="K45" t="s">
        <v>142</v>
      </c>
      <c r="L45">
        <v>0</v>
      </c>
      <c r="O45" t="s">
        <v>142</v>
      </c>
      <c r="P45">
        <v>0</v>
      </c>
      <c r="S45" t="s">
        <v>142</v>
      </c>
      <c r="T45">
        <v>0</v>
      </c>
      <c r="W45" t="s">
        <v>142</v>
      </c>
      <c r="X45">
        <v>0</v>
      </c>
      <c r="AA45" t="s">
        <v>142</v>
      </c>
      <c r="AB45">
        <v>0</v>
      </c>
      <c r="AE45" t="s">
        <v>142</v>
      </c>
      <c r="AF45">
        <v>0</v>
      </c>
      <c r="AI45" t="s">
        <v>142</v>
      </c>
      <c r="AJ45">
        <v>0</v>
      </c>
      <c r="AM45" t="s">
        <v>142</v>
      </c>
      <c r="AN45">
        <v>0</v>
      </c>
      <c r="AQ45" t="s">
        <v>142</v>
      </c>
      <c r="AR45">
        <v>0</v>
      </c>
      <c r="AT45" t="s">
        <v>80</v>
      </c>
      <c r="AU45">
        <v>0</v>
      </c>
    </row>
    <row r="46" spans="3:47" x14ac:dyDescent="0.35">
      <c r="C46" t="s">
        <v>83</v>
      </c>
      <c r="D46">
        <v>0</v>
      </c>
      <c r="G46" t="s">
        <v>83</v>
      </c>
      <c r="H46">
        <v>0</v>
      </c>
      <c r="K46" t="s">
        <v>83</v>
      </c>
      <c r="L46">
        <v>0</v>
      </c>
      <c r="O46" t="s">
        <v>83</v>
      </c>
      <c r="P46">
        <v>0</v>
      </c>
      <c r="S46" t="s">
        <v>83</v>
      </c>
      <c r="T46">
        <v>0</v>
      </c>
      <c r="W46" t="s">
        <v>83</v>
      </c>
      <c r="X46">
        <v>0</v>
      </c>
      <c r="AA46" t="s">
        <v>83</v>
      </c>
      <c r="AB46">
        <v>0</v>
      </c>
      <c r="AE46" t="s">
        <v>83</v>
      </c>
      <c r="AF46">
        <v>0</v>
      </c>
      <c r="AI46" t="s">
        <v>83</v>
      </c>
      <c r="AJ46">
        <v>0</v>
      </c>
      <c r="AM46" t="s">
        <v>83</v>
      </c>
      <c r="AN46">
        <v>0</v>
      </c>
      <c r="AQ46" t="s">
        <v>83</v>
      </c>
      <c r="AR46">
        <v>0</v>
      </c>
      <c r="AT46" t="s">
        <v>83</v>
      </c>
      <c r="AU46">
        <v>9</v>
      </c>
    </row>
    <row r="47" spans="3:47" x14ac:dyDescent="0.35">
      <c r="C47" t="s">
        <v>84</v>
      </c>
      <c r="D47">
        <v>0</v>
      </c>
      <c r="G47" t="s">
        <v>84</v>
      </c>
      <c r="H47">
        <v>0</v>
      </c>
      <c r="K47" t="s">
        <v>84</v>
      </c>
      <c r="L47">
        <v>0</v>
      </c>
      <c r="O47" t="s">
        <v>84</v>
      </c>
      <c r="P47">
        <v>0</v>
      </c>
      <c r="S47" t="s">
        <v>84</v>
      </c>
      <c r="T47">
        <v>0</v>
      </c>
      <c r="W47" t="s">
        <v>84</v>
      </c>
      <c r="X47">
        <v>0</v>
      </c>
      <c r="AA47" t="s">
        <v>84</v>
      </c>
      <c r="AB47">
        <v>0</v>
      </c>
      <c r="AE47" t="s">
        <v>84</v>
      </c>
      <c r="AF47">
        <v>0</v>
      </c>
      <c r="AI47" t="s">
        <v>84</v>
      </c>
      <c r="AJ47">
        <v>0</v>
      </c>
      <c r="AM47" t="s">
        <v>84</v>
      </c>
      <c r="AN47">
        <v>0</v>
      </c>
      <c r="AQ47" t="s">
        <v>84</v>
      </c>
      <c r="AR47">
        <v>0</v>
      </c>
      <c r="AT47" t="s">
        <v>84</v>
      </c>
      <c r="AU47">
        <v>0</v>
      </c>
    </row>
    <row r="48" spans="3:47" x14ac:dyDescent="0.35">
      <c r="C48" t="s">
        <v>126</v>
      </c>
      <c r="D48">
        <v>0</v>
      </c>
      <c r="G48" t="s">
        <v>126</v>
      </c>
      <c r="H48">
        <v>0</v>
      </c>
      <c r="K48" t="s">
        <v>223</v>
      </c>
      <c r="L48">
        <v>0</v>
      </c>
      <c r="O48" t="s">
        <v>126</v>
      </c>
      <c r="P48">
        <v>0</v>
      </c>
      <c r="S48" t="s">
        <v>126</v>
      </c>
      <c r="T48">
        <v>0</v>
      </c>
      <c r="W48" t="s">
        <v>126</v>
      </c>
      <c r="X48">
        <v>0</v>
      </c>
      <c r="AA48" t="s">
        <v>126</v>
      </c>
      <c r="AB48">
        <v>0</v>
      </c>
      <c r="AE48" t="s">
        <v>126</v>
      </c>
      <c r="AF48">
        <v>0</v>
      </c>
      <c r="AI48" t="s">
        <v>126</v>
      </c>
      <c r="AJ48">
        <v>0</v>
      </c>
      <c r="AM48" t="s">
        <v>126</v>
      </c>
      <c r="AN48">
        <v>5</v>
      </c>
      <c r="AQ48" t="s">
        <v>126</v>
      </c>
      <c r="AR48">
        <v>0</v>
      </c>
      <c r="AT48" t="s">
        <v>86</v>
      </c>
      <c r="AU48">
        <v>0</v>
      </c>
    </row>
    <row r="49" spans="1:47" x14ac:dyDescent="0.35">
      <c r="C49" t="s">
        <v>87</v>
      </c>
      <c r="D49">
        <v>0</v>
      </c>
      <c r="G49" t="s">
        <v>87</v>
      </c>
      <c r="H49">
        <v>0</v>
      </c>
      <c r="K49" t="s">
        <v>87</v>
      </c>
      <c r="L49">
        <v>0</v>
      </c>
      <c r="O49" t="s">
        <v>87</v>
      </c>
      <c r="P49">
        <v>0</v>
      </c>
      <c r="S49" t="s">
        <v>87</v>
      </c>
      <c r="T49">
        <v>0</v>
      </c>
      <c r="W49" t="s">
        <v>87</v>
      </c>
      <c r="X49">
        <v>0</v>
      </c>
      <c r="AA49" t="s">
        <v>87</v>
      </c>
      <c r="AB49">
        <v>0</v>
      </c>
      <c r="AE49" t="s">
        <v>87</v>
      </c>
      <c r="AF49">
        <v>0</v>
      </c>
      <c r="AI49" t="s">
        <v>87</v>
      </c>
      <c r="AJ49">
        <v>0</v>
      </c>
      <c r="AM49" t="s">
        <v>87</v>
      </c>
      <c r="AN49">
        <v>0</v>
      </c>
      <c r="AQ49" t="s">
        <v>87</v>
      </c>
      <c r="AR49">
        <v>0</v>
      </c>
      <c r="AT49" t="s">
        <v>87</v>
      </c>
      <c r="AU49">
        <v>1000</v>
      </c>
    </row>
    <row r="50" spans="1:47" x14ac:dyDescent="0.35">
      <c r="A50" t="s">
        <v>163</v>
      </c>
      <c r="B50">
        <v>10014078.499999996</v>
      </c>
      <c r="C50" t="s">
        <v>135</v>
      </c>
      <c r="D50">
        <v>26</v>
      </c>
      <c r="E50" t="s">
        <v>163</v>
      </c>
      <c r="F50">
        <v>10308730.499999994</v>
      </c>
      <c r="G50" t="s">
        <v>135</v>
      </c>
      <c r="H50">
        <v>0</v>
      </c>
      <c r="I50" t="s">
        <v>163</v>
      </c>
      <c r="J50">
        <v>10614844.000000013</v>
      </c>
      <c r="K50" t="s">
        <v>135</v>
      </c>
      <c r="L50">
        <v>191</v>
      </c>
      <c r="M50" t="s">
        <v>163</v>
      </c>
      <c r="N50">
        <v>10932783.499999994</v>
      </c>
      <c r="O50" t="s">
        <v>135</v>
      </c>
      <c r="P50">
        <v>0</v>
      </c>
      <c r="Q50" t="s">
        <v>163</v>
      </c>
      <c r="R50">
        <v>11260084.499999996</v>
      </c>
      <c r="S50" t="s">
        <v>135</v>
      </c>
      <c r="T50">
        <v>1046</v>
      </c>
      <c r="U50" t="s">
        <v>163</v>
      </c>
      <c r="V50">
        <v>11596778.499999991</v>
      </c>
      <c r="W50" t="s">
        <v>135</v>
      </c>
      <c r="X50">
        <v>0</v>
      </c>
      <c r="Y50" t="s">
        <v>163</v>
      </c>
      <c r="Z50">
        <v>11940683.499999996</v>
      </c>
      <c r="AA50" t="s">
        <v>135</v>
      </c>
      <c r="AB50">
        <v>2300</v>
      </c>
      <c r="AC50" t="s">
        <v>163</v>
      </c>
      <c r="AD50">
        <v>12290444.000000004</v>
      </c>
      <c r="AE50" t="s">
        <v>135</v>
      </c>
      <c r="AF50">
        <v>1842</v>
      </c>
      <c r="AG50" t="s">
        <v>163</v>
      </c>
      <c r="AH50">
        <v>12643123.000000002</v>
      </c>
      <c r="AI50" t="s">
        <v>135</v>
      </c>
      <c r="AJ50">
        <v>0</v>
      </c>
      <c r="AK50" t="s">
        <v>163</v>
      </c>
      <c r="AL50">
        <v>12996895</v>
      </c>
      <c r="AM50" t="s">
        <v>135</v>
      </c>
      <c r="AN50">
        <v>5861</v>
      </c>
      <c r="AO50" t="s">
        <v>163</v>
      </c>
      <c r="AP50">
        <v>13352864</v>
      </c>
      <c r="AQ50" t="s">
        <v>135</v>
      </c>
      <c r="AR50">
        <v>5567</v>
      </c>
      <c r="AS50" t="s">
        <v>163</v>
      </c>
      <c r="AT50" t="s">
        <v>148</v>
      </c>
      <c r="AU50">
        <v>710</v>
      </c>
    </row>
    <row r="51" spans="1:47" x14ac:dyDescent="0.35">
      <c r="C51" t="s">
        <v>139</v>
      </c>
      <c r="D51">
        <v>10276</v>
      </c>
      <c r="G51" t="s">
        <v>139</v>
      </c>
      <c r="H51">
        <v>9760</v>
      </c>
      <c r="K51" t="s">
        <v>139</v>
      </c>
      <c r="L51">
        <v>0</v>
      </c>
      <c r="O51" t="s">
        <v>139</v>
      </c>
      <c r="P51">
        <v>0</v>
      </c>
      <c r="S51" t="s">
        <v>139</v>
      </c>
      <c r="T51">
        <v>14448</v>
      </c>
      <c r="W51" t="s">
        <v>139</v>
      </c>
      <c r="X51">
        <v>0</v>
      </c>
      <c r="AA51" t="s">
        <v>139</v>
      </c>
      <c r="AB51">
        <v>6820</v>
      </c>
      <c r="AE51" t="s">
        <v>139</v>
      </c>
      <c r="AF51">
        <v>5340</v>
      </c>
      <c r="AI51" t="s">
        <v>139</v>
      </c>
      <c r="AJ51">
        <v>0</v>
      </c>
      <c r="AM51" t="s">
        <v>139</v>
      </c>
      <c r="AN51">
        <v>10968</v>
      </c>
      <c r="AQ51" t="s">
        <v>139</v>
      </c>
      <c r="AR51">
        <v>11786</v>
      </c>
      <c r="AT51" t="s">
        <v>139</v>
      </c>
      <c r="AU51">
        <v>3260</v>
      </c>
    </row>
    <row r="52" spans="1:47" x14ac:dyDescent="0.35">
      <c r="C52" t="s">
        <v>138</v>
      </c>
      <c r="D52">
        <v>2960</v>
      </c>
      <c r="G52" t="s">
        <v>138</v>
      </c>
      <c r="H52">
        <v>1886</v>
      </c>
      <c r="K52" t="s">
        <v>138</v>
      </c>
      <c r="L52">
        <v>0</v>
      </c>
      <c r="O52" t="s">
        <v>138</v>
      </c>
      <c r="P52">
        <v>0</v>
      </c>
      <c r="S52" t="s">
        <v>138</v>
      </c>
      <c r="T52">
        <v>2068</v>
      </c>
      <c r="W52" t="s">
        <v>138</v>
      </c>
      <c r="X52">
        <v>0</v>
      </c>
      <c r="AA52" t="s">
        <v>138</v>
      </c>
      <c r="AB52">
        <v>2110</v>
      </c>
      <c r="AE52" t="s">
        <v>138</v>
      </c>
      <c r="AF52">
        <v>1810</v>
      </c>
      <c r="AI52" t="s">
        <v>138</v>
      </c>
      <c r="AJ52">
        <v>0</v>
      </c>
      <c r="AM52" t="s">
        <v>138</v>
      </c>
      <c r="AN52">
        <v>4172</v>
      </c>
      <c r="AQ52" t="s">
        <v>138</v>
      </c>
      <c r="AR52">
        <v>4110</v>
      </c>
      <c r="AT52" t="s">
        <v>138</v>
      </c>
      <c r="AU52">
        <v>813</v>
      </c>
    </row>
    <row r="53" spans="1:47" x14ac:dyDescent="0.35">
      <c r="C53" t="s">
        <v>82</v>
      </c>
      <c r="D53">
        <v>0</v>
      </c>
      <c r="G53" t="s">
        <v>82</v>
      </c>
      <c r="H53">
        <v>0</v>
      </c>
      <c r="K53" t="s">
        <v>82</v>
      </c>
      <c r="L53">
        <v>1717</v>
      </c>
      <c r="O53" t="s">
        <v>82</v>
      </c>
      <c r="P53">
        <v>2626</v>
      </c>
      <c r="S53" t="s">
        <v>82</v>
      </c>
      <c r="T53">
        <v>1600</v>
      </c>
      <c r="W53" t="s">
        <v>82</v>
      </c>
      <c r="X53">
        <v>0</v>
      </c>
      <c r="AA53" t="s">
        <v>82</v>
      </c>
      <c r="AB53">
        <v>281</v>
      </c>
      <c r="AE53" t="s">
        <v>82</v>
      </c>
      <c r="AF53">
        <v>106</v>
      </c>
      <c r="AI53" t="s">
        <v>82</v>
      </c>
      <c r="AJ53">
        <v>0</v>
      </c>
      <c r="AM53" t="s">
        <v>82</v>
      </c>
      <c r="AN53">
        <v>505</v>
      </c>
      <c r="AQ53" t="s">
        <v>82</v>
      </c>
      <c r="AR53">
        <v>0</v>
      </c>
      <c r="AT53" t="s">
        <v>82</v>
      </c>
      <c r="AU53">
        <v>14</v>
      </c>
    </row>
    <row r="54" spans="1:47" x14ac:dyDescent="0.35">
      <c r="C54" t="s">
        <v>60</v>
      </c>
      <c r="D54">
        <v>0</v>
      </c>
      <c r="G54" t="s">
        <v>60</v>
      </c>
      <c r="H54">
        <v>0</v>
      </c>
      <c r="K54" t="s">
        <v>60</v>
      </c>
      <c r="L54">
        <v>255</v>
      </c>
      <c r="O54" t="s">
        <v>60</v>
      </c>
      <c r="P54">
        <v>658</v>
      </c>
      <c r="S54" t="s">
        <v>60</v>
      </c>
      <c r="T54">
        <v>234</v>
      </c>
      <c r="W54" t="s">
        <v>60</v>
      </c>
      <c r="X54">
        <v>0</v>
      </c>
      <c r="AA54" t="s">
        <v>60</v>
      </c>
      <c r="AB54">
        <v>0</v>
      </c>
      <c r="AE54" t="s">
        <v>60</v>
      </c>
      <c r="AF54">
        <v>32</v>
      </c>
      <c r="AI54" t="s">
        <v>60</v>
      </c>
      <c r="AJ54">
        <v>0</v>
      </c>
      <c r="AM54" t="s">
        <v>60</v>
      </c>
      <c r="AN54">
        <v>195</v>
      </c>
      <c r="AQ54" t="s">
        <v>60</v>
      </c>
      <c r="AR54">
        <v>0</v>
      </c>
      <c r="AT54" t="s">
        <v>60</v>
      </c>
      <c r="AU54">
        <v>0</v>
      </c>
    </row>
    <row r="55" spans="1:47" x14ac:dyDescent="0.35">
      <c r="C55" t="s">
        <v>127</v>
      </c>
      <c r="D55">
        <v>0</v>
      </c>
      <c r="G55" t="s">
        <v>127</v>
      </c>
      <c r="H55">
        <v>0</v>
      </c>
      <c r="K55" t="s">
        <v>127</v>
      </c>
      <c r="L55">
        <v>0</v>
      </c>
      <c r="O55" t="s">
        <v>127</v>
      </c>
      <c r="P55">
        <v>0</v>
      </c>
      <c r="S55" t="s">
        <v>127</v>
      </c>
      <c r="T55">
        <v>0</v>
      </c>
      <c r="W55" t="s">
        <v>127</v>
      </c>
      <c r="X55">
        <v>0</v>
      </c>
      <c r="AA55" t="s">
        <v>127</v>
      </c>
      <c r="AB55">
        <v>0</v>
      </c>
      <c r="AE55" t="s">
        <v>127</v>
      </c>
      <c r="AF55">
        <v>0</v>
      </c>
      <c r="AI55" t="s">
        <v>127</v>
      </c>
      <c r="AJ55">
        <v>0</v>
      </c>
      <c r="AM55" t="s">
        <v>127</v>
      </c>
      <c r="AN55">
        <v>21</v>
      </c>
      <c r="AQ55" t="s">
        <v>127</v>
      </c>
      <c r="AR55">
        <v>21</v>
      </c>
      <c r="AT55" t="s">
        <v>58</v>
      </c>
      <c r="AU55">
        <v>0</v>
      </c>
    </row>
    <row r="56" spans="1:47" x14ac:dyDescent="0.35">
      <c r="C56" t="s">
        <v>61</v>
      </c>
      <c r="D56">
        <v>0</v>
      </c>
      <c r="G56" t="s">
        <v>61</v>
      </c>
      <c r="H56">
        <v>0</v>
      </c>
      <c r="K56" t="s">
        <v>61</v>
      </c>
      <c r="L56">
        <v>0</v>
      </c>
      <c r="O56" t="s">
        <v>61</v>
      </c>
      <c r="P56">
        <v>0</v>
      </c>
      <c r="S56" t="s">
        <v>61</v>
      </c>
      <c r="T56">
        <v>0</v>
      </c>
      <c r="W56" t="s">
        <v>61</v>
      </c>
      <c r="X56">
        <v>0</v>
      </c>
      <c r="AA56" t="s">
        <v>61</v>
      </c>
      <c r="AB56">
        <v>8</v>
      </c>
      <c r="AE56" t="s">
        <v>61</v>
      </c>
      <c r="AF56">
        <v>0</v>
      </c>
      <c r="AI56" t="s">
        <v>61</v>
      </c>
      <c r="AJ56">
        <v>0</v>
      </c>
      <c r="AM56" t="s">
        <v>61</v>
      </c>
      <c r="AN56">
        <v>21</v>
      </c>
      <c r="AQ56" t="s">
        <v>61</v>
      </c>
      <c r="AR56">
        <v>0</v>
      </c>
      <c r="AT56" t="s">
        <v>61</v>
      </c>
      <c r="AU56">
        <v>0</v>
      </c>
    </row>
    <row r="57" spans="1:47" x14ac:dyDescent="0.35">
      <c r="C57" t="s">
        <v>62</v>
      </c>
      <c r="D57">
        <v>0</v>
      </c>
      <c r="G57" t="s">
        <v>62</v>
      </c>
      <c r="H57">
        <v>0</v>
      </c>
      <c r="K57" t="s">
        <v>62</v>
      </c>
      <c r="L57">
        <v>0</v>
      </c>
      <c r="O57" t="s">
        <v>62</v>
      </c>
      <c r="P57">
        <v>3830</v>
      </c>
      <c r="S57" t="s">
        <v>62</v>
      </c>
      <c r="T57">
        <v>0</v>
      </c>
      <c r="W57" t="s">
        <v>62</v>
      </c>
      <c r="X57">
        <v>0</v>
      </c>
      <c r="AA57" t="s">
        <v>62</v>
      </c>
      <c r="AB57">
        <v>429</v>
      </c>
      <c r="AE57" t="s">
        <v>62</v>
      </c>
      <c r="AF57">
        <v>0</v>
      </c>
      <c r="AI57" t="s">
        <v>62</v>
      </c>
      <c r="AJ57">
        <v>0</v>
      </c>
      <c r="AM57" t="s">
        <v>62</v>
      </c>
      <c r="AN57">
        <v>1570</v>
      </c>
      <c r="AQ57" t="s">
        <v>62</v>
      </c>
      <c r="AR57">
        <v>0</v>
      </c>
      <c r="AT57" t="s">
        <v>62</v>
      </c>
      <c r="AU57">
        <v>619</v>
      </c>
    </row>
    <row r="58" spans="1:47" x14ac:dyDescent="0.35">
      <c r="C58" t="s">
        <v>203</v>
      </c>
      <c r="D58">
        <v>0</v>
      </c>
      <c r="G58" t="s">
        <v>203</v>
      </c>
      <c r="H58">
        <v>0</v>
      </c>
      <c r="K58" t="s">
        <v>203</v>
      </c>
      <c r="L58">
        <v>0</v>
      </c>
      <c r="O58" t="s">
        <v>203</v>
      </c>
      <c r="P58">
        <v>0</v>
      </c>
      <c r="S58" t="s">
        <v>203</v>
      </c>
      <c r="T58">
        <v>0</v>
      </c>
      <c r="W58" t="s">
        <v>203</v>
      </c>
      <c r="X58">
        <v>0</v>
      </c>
      <c r="AA58" t="s">
        <v>203</v>
      </c>
      <c r="AB58">
        <v>0</v>
      </c>
      <c r="AE58" t="s">
        <v>203</v>
      </c>
      <c r="AF58">
        <v>0</v>
      </c>
      <c r="AI58" t="s">
        <v>203</v>
      </c>
      <c r="AJ58">
        <v>0</v>
      </c>
      <c r="AM58" t="s">
        <v>203</v>
      </c>
      <c r="AN58">
        <v>6809</v>
      </c>
      <c r="AQ58" t="s">
        <v>203</v>
      </c>
      <c r="AR58">
        <v>0</v>
      </c>
      <c r="AT58" t="s">
        <v>64</v>
      </c>
      <c r="AU58">
        <v>2623</v>
      </c>
    </row>
    <row r="59" spans="1:47" x14ac:dyDescent="0.35">
      <c r="C59" t="s">
        <v>204</v>
      </c>
      <c r="D59">
        <v>0</v>
      </c>
      <c r="G59" t="s">
        <v>204</v>
      </c>
      <c r="H59">
        <v>0</v>
      </c>
      <c r="K59" t="s">
        <v>204</v>
      </c>
      <c r="L59">
        <v>0</v>
      </c>
      <c r="O59" t="s">
        <v>204</v>
      </c>
      <c r="P59">
        <v>0</v>
      </c>
      <c r="S59" t="s">
        <v>204</v>
      </c>
      <c r="T59">
        <v>0</v>
      </c>
      <c r="W59" t="s">
        <v>204</v>
      </c>
      <c r="X59">
        <v>0</v>
      </c>
      <c r="AA59" t="s">
        <v>204</v>
      </c>
      <c r="AB59">
        <v>0</v>
      </c>
      <c r="AE59" t="s">
        <v>204</v>
      </c>
      <c r="AF59">
        <v>0</v>
      </c>
      <c r="AI59" t="s">
        <v>204</v>
      </c>
      <c r="AJ59">
        <v>0</v>
      </c>
      <c r="AM59" t="s">
        <v>204</v>
      </c>
      <c r="AN59">
        <v>0</v>
      </c>
      <c r="AQ59" t="s">
        <v>204</v>
      </c>
      <c r="AR59">
        <v>0</v>
      </c>
      <c r="AT59" t="s">
        <v>65</v>
      </c>
      <c r="AU59">
        <v>0</v>
      </c>
    </row>
    <row r="60" spans="1:47" x14ac:dyDescent="0.35">
      <c r="C60" t="s">
        <v>205</v>
      </c>
      <c r="D60">
        <v>0</v>
      </c>
      <c r="G60" t="s">
        <v>205</v>
      </c>
      <c r="H60">
        <v>0</v>
      </c>
      <c r="K60" t="s">
        <v>205</v>
      </c>
      <c r="L60">
        <v>0</v>
      </c>
      <c r="O60" t="s">
        <v>205</v>
      </c>
      <c r="P60">
        <v>0</v>
      </c>
      <c r="S60" t="s">
        <v>205</v>
      </c>
      <c r="T60">
        <v>0</v>
      </c>
      <c r="W60" t="s">
        <v>205</v>
      </c>
      <c r="X60">
        <v>15</v>
      </c>
      <c r="AA60" t="s">
        <v>205</v>
      </c>
      <c r="AB60">
        <v>0</v>
      </c>
      <c r="AE60" t="s">
        <v>205</v>
      </c>
      <c r="AF60">
        <v>0</v>
      </c>
      <c r="AI60" t="s">
        <v>205</v>
      </c>
      <c r="AJ60">
        <v>0</v>
      </c>
      <c r="AM60" t="s">
        <v>205</v>
      </c>
      <c r="AN60">
        <v>0</v>
      </c>
      <c r="AQ60" t="s">
        <v>205</v>
      </c>
      <c r="AR60">
        <v>0</v>
      </c>
      <c r="AT60" t="s">
        <v>66</v>
      </c>
      <c r="AU60">
        <v>0</v>
      </c>
    </row>
    <row r="61" spans="1:47" x14ac:dyDescent="0.35">
      <c r="C61" t="s">
        <v>133</v>
      </c>
      <c r="D61">
        <v>0</v>
      </c>
      <c r="G61" t="s">
        <v>133</v>
      </c>
      <c r="H61">
        <v>0</v>
      </c>
      <c r="K61" t="s">
        <v>133</v>
      </c>
      <c r="L61">
        <v>0</v>
      </c>
      <c r="O61" t="s">
        <v>133</v>
      </c>
      <c r="P61">
        <v>0</v>
      </c>
      <c r="S61" t="s">
        <v>133</v>
      </c>
      <c r="T61">
        <v>0</v>
      </c>
      <c r="W61" t="s">
        <v>133</v>
      </c>
      <c r="X61">
        <v>0</v>
      </c>
      <c r="AA61" t="s">
        <v>133</v>
      </c>
      <c r="AB61">
        <v>668</v>
      </c>
      <c r="AE61" t="s">
        <v>133</v>
      </c>
      <c r="AF61">
        <v>0</v>
      </c>
      <c r="AI61" t="s">
        <v>133</v>
      </c>
      <c r="AJ61">
        <v>0</v>
      </c>
      <c r="AM61" t="s">
        <v>133</v>
      </c>
      <c r="AN61">
        <v>0</v>
      </c>
      <c r="AQ61" t="s">
        <v>133</v>
      </c>
      <c r="AR61">
        <v>0</v>
      </c>
      <c r="AT61" t="s">
        <v>79</v>
      </c>
      <c r="AU61">
        <v>0</v>
      </c>
    </row>
    <row r="62" spans="1:47" x14ac:dyDescent="0.35">
      <c r="C62" t="s">
        <v>206</v>
      </c>
      <c r="D62">
        <v>0</v>
      </c>
      <c r="G62" t="s">
        <v>206</v>
      </c>
      <c r="H62">
        <v>0</v>
      </c>
      <c r="K62" t="s">
        <v>206</v>
      </c>
      <c r="L62">
        <v>0</v>
      </c>
      <c r="O62" t="s">
        <v>206</v>
      </c>
      <c r="P62">
        <v>0</v>
      </c>
      <c r="S62" t="s">
        <v>206</v>
      </c>
      <c r="T62">
        <v>0</v>
      </c>
      <c r="W62" t="s">
        <v>206</v>
      </c>
      <c r="X62">
        <v>0</v>
      </c>
      <c r="AA62" t="s">
        <v>206</v>
      </c>
      <c r="AB62">
        <v>0</v>
      </c>
      <c r="AE62" t="s">
        <v>206</v>
      </c>
      <c r="AF62">
        <v>0</v>
      </c>
      <c r="AI62" t="s">
        <v>206</v>
      </c>
      <c r="AJ62">
        <v>0</v>
      </c>
      <c r="AM62" t="s">
        <v>206</v>
      </c>
      <c r="AN62">
        <v>0</v>
      </c>
      <c r="AQ62" t="s">
        <v>206</v>
      </c>
      <c r="AR62">
        <v>0</v>
      </c>
      <c r="AT62" t="s">
        <v>68</v>
      </c>
      <c r="AU62">
        <v>0</v>
      </c>
    </row>
    <row r="63" spans="1:47" x14ac:dyDescent="0.35">
      <c r="C63" t="s">
        <v>136</v>
      </c>
      <c r="D63">
        <v>241</v>
      </c>
      <c r="G63" t="s">
        <v>136</v>
      </c>
      <c r="H63">
        <v>206</v>
      </c>
      <c r="K63" t="s">
        <v>136</v>
      </c>
      <c r="L63">
        <v>0</v>
      </c>
      <c r="O63" t="s">
        <v>136</v>
      </c>
      <c r="P63">
        <v>0</v>
      </c>
      <c r="S63" t="s">
        <v>136</v>
      </c>
      <c r="T63">
        <v>234</v>
      </c>
      <c r="W63" t="s">
        <v>136</v>
      </c>
      <c r="X63">
        <v>0</v>
      </c>
      <c r="AA63" t="s">
        <v>136</v>
      </c>
      <c r="AB63">
        <v>137</v>
      </c>
      <c r="AE63" t="s">
        <v>136</v>
      </c>
      <c r="AF63">
        <v>92</v>
      </c>
      <c r="AI63" t="s">
        <v>136</v>
      </c>
      <c r="AJ63">
        <v>0</v>
      </c>
      <c r="AM63" t="s">
        <v>136</v>
      </c>
      <c r="AN63">
        <v>352</v>
      </c>
      <c r="AQ63" t="s">
        <v>136</v>
      </c>
      <c r="AR63">
        <v>0</v>
      </c>
      <c r="AT63" t="s">
        <v>69</v>
      </c>
      <c r="AU63">
        <v>54</v>
      </c>
    </row>
    <row r="64" spans="1:47" x14ac:dyDescent="0.35">
      <c r="C64" t="s">
        <v>207</v>
      </c>
      <c r="D64">
        <v>0</v>
      </c>
      <c r="G64" t="s">
        <v>207</v>
      </c>
      <c r="H64">
        <v>0</v>
      </c>
      <c r="K64" t="s">
        <v>207</v>
      </c>
      <c r="L64">
        <v>0</v>
      </c>
      <c r="O64" t="s">
        <v>207</v>
      </c>
      <c r="P64">
        <v>0</v>
      </c>
      <c r="S64" t="s">
        <v>207</v>
      </c>
      <c r="T64">
        <v>0</v>
      </c>
      <c r="W64" t="s">
        <v>207</v>
      </c>
      <c r="X64">
        <v>0</v>
      </c>
      <c r="AA64" t="s">
        <v>207</v>
      </c>
      <c r="AB64">
        <v>0</v>
      </c>
      <c r="AE64" t="s">
        <v>207</v>
      </c>
      <c r="AF64">
        <v>0</v>
      </c>
      <c r="AI64" t="s">
        <v>207</v>
      </c>
      <c r="AJ64">
        <v>0</v>
      </c>
      <c r="AM64" t="s">
        <v>207</v>
      </c>
      <c r="AN64">
        <v>0</v>
      </c>
      <c r="AQ64" t="s">
        <v>207</v>
      </c>
      <c r="AR64">
        <v>0</v>
      </c>
      <c r="AT64" t="s">
        <v>70</v>
      </c>
      <c r="AU64">
        <v>0</v>
      </c>
    </row>
    <row r="65" spans="1:47" x14ac:dyDescent="0.35">
      <c r="C65" t="s">
        <v>141</v>
      </c>
      <c r="D65">
        <v>0</v>
      </c>
      <c r="G65" t="s">
        <v>141</v>
      </c>
      <c r="H65">
        <v>0</v>
      </c>
      <c r="K65" t="s">
        <v>141</v>
      </c>
      <c r="L65">
        <v>0</v>
      </c>
      <c r="O65" t="s">
        <v>141</v>
      </c>
      <c r="P65">
        <v>0</v>
      </c>
      <c r="S65" t="s">
        <v>141</v>
      </c>
      <c r="T65">
        <v>0</v>
      </c>
      <c r="W65" t="s">
        <v>141</v>
      </c>
      <c r="X65">
        <v>0</v>
      </c>
      <c r="AA65" t="s">
        <v>141</v>
      </c>
      <c r="AB65">
        <v>0</v>
      </c>
      <c r="AE65" t="s">
        <v>141</v>
      </c>
      <c r="AF65">
        <v>0</v>
      </c>
      <c r="AI65" t="s">
        <v>141</v>
      </c>
      <c r="AJ65">
        <v>0</v>
      </c>
      <c r="AM65" t="s">
        <v>141</v>
      </c>
      <c r="AN65">
        <v>0</v>
      </c>
      <c r="AQ65" t="s">
        <v>141</v>
      </c>
      <c r="AR65">
        <v>0</v>
      </c>
      <c r="AT65" t="s">
        <v>76</v>
      </c>
      <c r="AU65">
        <v>0</v>
      </c>
    </row>
    <row r="66" spans="1:47" x14ac:dyDescent="0.35">
      <c r="C66" t="s">
        <v>208</v>
      </c>
      <c r="D66">
        <v>0</v>
      </c>
      <c r="G66" t="s">
        <v>208</v>
      </c>
      <c r="H66">
        <v>0</v>
      </c>
      <c r="K66" t="s">
        <v>208</v>
      </c>
      <c r="L66">
        <v>0</v>
      </c>
      <c r="O66" t="s">
        <v>208</v>
      </c>
      <c r="P66">
        <v>0</v>
      </c>
      <c r="S66" t="s">
        <v>208</v>
      </c>
      <c r="T66">
        <v>0</v>
      </c>
      <c r="W66" t="s">
        <v>208</v>
      </c>
      <c r="X66">
        <v>0</v>
      </c>
      <c r="AA66" t="s">
        <v>208</v>
      </c>
      <c r="AB66">
        <v>0</v>
      </c>
      <c r="AE66" t="s">
        <v>208</v>
      </c>
      <c r="AF66">
        <v>0</v>
      </c>
      <c r="AI66" t="s">
        <v>208</v>
      </c>
      <c r="AJ66">
        <v>0</v>
      </c>
      <c r="AM66" t="s">
        <v>208</v>
      </c>
      <c r="AN66">
        <v>0</v>
      </c>
      <c r="AQ66" t="s">
        <v>208</v>
      </c>
      <c r="AR66">
        <v>0</v>
      </c>
      <c r="AT66" t="s">
        <v>77</v>
      </c>
      <c r="AU66">
        <v>156</v>
      </c>
    </row>
    <row r="67" spans="1:47" x14ac:dyDescent="0.35">
      <c r="C67" t="s">
        <v>209</v>
      </c>
      <c r="D67">
        <v>0</v>
      </c>
      <c r="G67" t="s">
        <v>209</v>
      </c>
      <c r="H67">
        <v>0</v>
      </c>
      <c r="K67" t="s">
        <v>209</v>
      </c>
      <c r="L67">
        <v>0</v>
      </c>
      <c r="O67" t="s">
        <v>209</v>
      </c>
      <c r="P67">
        <v>0</v>
      </c>
      <c r="S67" t="s">
        <v>209</v>
      </c>
      <c r="T67">
        <v>0</v>
      </c>
      <c r="W67" t="s">
        <v>209</v>
      </c>
      <c r="X67">
        <v>0</v>
      </c>
      <c r="AA67" t="s">
        <v>209</v>
      </c>
      <c r="AB67">
        <v>0</v>
      </c>
      <c r="AE67" t="s">
        <v>209</v>
      </c>
      <c r="AF67">
        <v>0</v>
      </c>
      <c r="AI67" t="s">
        <v>209</v>
      </c>
      <c r="AJ67">
        <v>0</v>
      </c>
      <c r="AM67" t="s">
        <v>209</v>
      </c>
      <c r="AN67">
        <v>0</v>
      </c>
      <c r="AQ67" t="s">
        <v>209</v>
      </c>
      <c r="AR67">
        <v>0</v>
      </c>
      <c r="AT67" t="s">
        <v>78</v>
      </c>
      <c r="AU67">
        <v>1994</v>
      </c>
    </row>
    <row r="68" spans="1:47" x14ac:dyDescent="0.35">
      <c r="C68" t="s">
        <v>134</v>
      </c>
      <c r="D68">
        <v>845</v>
      </c>
      <c r="G68" t="s">
        <v>134</v>
      </c>
      <c r="H68">
        <v>830</v>
      </c>
      <c r="K68" t="s">
        <v>134</v>
      </c>
      <c r="L68">
        <v>0</v>
      </c>
      <c r="O68" t="s">
        <v>134</v>
      </c>
      <c r="P68">
        <v>0</v>
      </c>
      <c r="S68" t="s">
        <v>134</v>
      </c>
      <c r="T68">
        <v>1166</v>
      </c>
      <c r="W68" t="s">
        <v>134</v>
      </c>
      <c r="X68">
        <v>0</v>
      </c>
      <c r="AA68" t="s">
        <v>134</v>
      </c>
      <c r="AB68">
        <v>0</v>
      </c>
      <c r="AE68" t="s">
        <v>134</v>
      </c>
      <c r="AF68">
        <v>0</v>
      </c>
      <c r="AI68" t="s">
        <v>134</v>
      </c>
      <c r="AJ68">
        <v>0</v>
      </c>
      <c r="AM68" t="s">
        <v>134</v>
      </c>
      <c r="AN68">
        <v>1744</v>
      </c>
      <c r="AQ68" t="s">
        <v>134</v>
      </c>
      <c r="AR68">
        <v>1602</v>
      </c>
      <c r="AT68" t="s">
        <v>67</v>
      </c>
      <c r="AU68">
        <v>241</v>
      </c>
    </row>
    <row r="69" spans="1:47" x14ac:dyDescent="0.35">
      <c r="C69" t="s">
        <v>142</v>
      </c>
      <c r="D69">
        <v>0</v>
      </c>
      <c r="G69" t="s">
        <v>142</v>
      </c>
      <c r="H69">
        <v>0</v>
      </c>
      <c r="K69" t="s">
        <v>142</v>
      </c>
      <c r="L69">
        <v>0</v>
      </c>
      <c r="O69" t="s">
        <v>142</v>
      </c>
      <c r="P69">
        <v>0</v>
      </c>
      <c r="S69" t="s">
        <v>142</v>
      </c>
      <c r="T69">
        <v>0</v>
      </c>
      <c r="W69" t="s">
        <v>142</v>
      </c>
      <c r="X69">
        <v>0</v>
      </c>
      <c r="AA69" t="s">
        <v>142</v>
      </c>
      <c r="AB69">
        <v>5086</v>
      </c>
      <c r="AE69" t="s">
        <v>142</v>
      </c>
      <c r="AF69">
        <v>0</v>
      </c>
      <c r="AI69" t="s">
        <v>142</v>
      </c>
      <c r="AJ69">
        <v>0</v>
      </c>
      <c r="AM69" t="s">
        <v>142</v>
      </c>
      <c r="AN69">
        <v>382</v>
      </c>
      <c r="AQ69" t="s">
        <v>142</v>
      </c>
      <c r="AR69">
        <v>382</v>
      </c>
      <c r="AT69" t="s">
        <v>80</v>
      </c>
      <c r="AU69">
        <v>146</v>
      </c>
    </row>
    <row r="70" spans="1:47" x14ac:dyDescent="0.35">
      <c r="C70" t="s">
        <v>83</v>
      </c>
      <c r="D70">
        <v>0</v>
      </c>
      <c r="G70" t="s">
        <v>83</v>
      </c>
      <c r="H70">
        <v>0</v>
      </c>
      <c r="K70" t="s">
        <v>83</v>
      </c>
      <c r="L70">
        <v>0</v>
      </c>
      <c r="O70" t="s">
        <v>83</v>
      </c>
      <c r="P70">
        <v>0</v>
      </c>
      <c r="S70" t="s">
        <v>83</v>
      </c>
      <c r="T70">
        <v>0</v>
      </c>
      <c r="W70" t="s">
        <v>83</v>
      </c>
      <c r="X70">
        <v>0</v>
      </c>
      <c r="AA70" t="s">
        <v>83</v>
      </c>
      <c r="AB70">
        <v>58</v>
      </c>
      <c r="AE70" t="s">
        <v>83</v>
      </c>
      <c r="AF70">
        <v>0</v>
      </c>
      <c r="AI70" t="s">
        <v>83</v>
      </c>
      <c r="AJ70">
        <v>0</v>
      </c>
      <c r="AM70" t="s">
        <v>83</v>
      </c>
      <c r="AN70">
        <v>187</v>
      </c>
      <c r="AQ70" t="s">
        <v>83</v>
      </c>
      <c r="AR70">
        <v>187</v>
      </c>
      <c r="AT70" t="s">
        <v>83</v>
      </c>
      <c r="AU70">
        <v>0</v>
      </c>
    </row>
    <row r="71" spans="1:47" x14ac:dyDescent="0.35">
      <c r="C71" t="s">
        <v>84</v>
      </c>
      <c r="D71">
        <v>0</v>
      </c>
      <c r="G71" t="s">
        <v>84</v>
      </c>
      <c r="H71">
        <v>0</v>
      </c>
      <c r="K71" t="s">
        <v>84</v>
      </c>
      <c r="L71">
        <v>0</v>
      </c>
      <c r="O71" t="s">
        <v>84</v>
      </c>
      <c r="P71">
        <v>0</v>
      </c>
      <c r="S71" t="s">
        <v>84</v>
      </c>
      <c r="T71">
        <v>0</v>
      </c>
      <c r="W71" t="s">
        <v>84</v>
      </c>
      <c r="X71">
        <v>0</v>
      </c>
      <c r="AA71" t="s">
        <v>84</v>
      </c>
      <c r="AB71">
        <v>102</v>
      </c>
      <c r="AE71" t="s">
        <v>84</v>
      </c>
      <c r="AF71">
        <v>0</v>
      </c>
      <c r="AI71" t="s">
        <v>84</v>
      </c>
      <c r="AJ71">
        <v>0</v>
      </c>
      <c r="AM71" t="s">
        <v>84</v>
      </c>
      <c r="AN71">
        <v>0</v>
      </c>
      <c r="AQ71" t="s">
        <v>84</v>
      </c>
      <c r="AR71">
        <v>0</v>
      </c>
      <c r="AT71" t="s">
        <v>84</v>
      </c>
      <c r="AU71">
        <v>0</v>
      </c>
    </row>
    <row r="72" spans="1:47" x14ac:dyDescent="0.35">
      <c r="C72" t="s">
        <v>126</v>
      </c>
      <c r="D72">
        <v>0</v>
      </c>
      <c r="G72" t="s">
        <v>126</v>
      </c>
      <c r="H72">
        <v>0</v>
      </c>
      <c r="K72" t="s">
        <v>223</v>
      </c>
      <c r="L72">
        <v>0</v>
      </c>
      <c r="O72" t="s">
        <v>126</v>
      </c>
      <c r="P72">
        <v>0</v>
      </c>
      <c r="S72" t="s">
        <v>126</v>
      </c>
      <c r="T72">
        <v>0</v>
      </c>
      <c r="W72" t="s">
        <v>126</v>
      </c>
      <c r="X72">
        <v>0</v>
      </c>
      <c r="AA72" t="s">
        <v>126</v>
      </c>
      <c r="AB72">
        <v>0</v>
      </c>
      <c r="AE72" t="s">
        <v>126</v>
      </c>
      <c r="AF72">
        <v>0</v>
      </c>
      <c r="AI72" t="s">
        <v>126</v>
      </c>
      <c r="AJ72">
        <v>0</v>
      </c>
      <c r="AM72" t="s">
        <v>126</v>
      </c>
      <c r="AN72">
        <v>0</v>
      </c>
      <c r="AQ72" t="s">
        <v>126</v>
      </c>
      <c r="AR72">
        <v>0</v>
      </c>
      <c r="AT72" t="s">
        <v>86</v>
      </c>
      <c r="AU72">
        <v>0</v>
      </c>
    </row>
    <row r="73" spans="1:47" x14ac:dyDescent="0.35">
      <c r="C73" t="s">
        <v>87</v>
      </c>
      <c r="D73">
        <v>0</v>
      </c>
      <c r="G73" t="s">
        <v>87</v>
      </c>
      <c r="H73">
        <v>10200</v>
      </c>
      <c r="K73" t="s">
        <v>87</v>
      </c>
      <c r="L73">
        <v>0</v>
      </c>
      <c r="O73" t="s">
        <v>87</v>
      </c>
      <c r="P73">
        <v>0</v>
      </c>
      <c r="S73" t="s">
        <v>87</v>
      </c>
      <c r="T73">
        <v>0</v>
      </c>
      <c r="W73" t="s">
        <v>87</v>
      </c>
      <c r="X73">
        <v>0</v>
      </c>
      <c r="AA73" t="s">
        <v>87</v>
      </c>
      <c r="AB73">
        <v>0</v>
      </c>
      <c r="AE73" t="s">
        <v>87</v>
      </c>
      <c r="AF73">
        <v>0</v>
      </c>
      <c r="AI73" t="s">
        <v>87</v>
      </c>
      <c r="AJ73">
        <v>0</v>
      </c>
      <c r="AM73" t="s">
        <v>87</v>
      </c>
      <c r="AN73">
        <v>0</v>
      </c>
      <c r="AQ73" t="s">
        <v>87</v>
      </c>
      <c r="AR73">
        <v>0</v>
      </c>
      <c r="AT73" t="s">
        <v>87</v>
      </c>
      <c r="AU73">
        <v>0</v>
      </c>
    </row>
    <row r="74" spans="1:47" x14ac:dyDescent="0.35">
      <c r="A74" t="s">
        <v>151</v>
      </c>
      <c r="B74">
        <v>17113732.499999996</v>
      </c>
      <c r="C74" t="s">
        <v>135</v>
      </c>
      <c r="D74">
        <v>1574</v>
      </c>
      <c r="E74" t="s">
        <v>151</v>
      </c>
      <c r="F74">
        <v>17636407.5</v>
      </c>
      <c r="G74" t="s">
        <v>135</v>
      </c>
      <c r="H74">
        <v>1606</v>
      </c>
      <c r="I74" t="s">
        <v>151</v>
      </c>
      <c r="J74">
        <v>18169842.499999996</v>
      </c>
      <c r="K74" t="s">
        <v>135</v>
      </c>
      <c r="L74">
        <v>1818</v>
      </c>
      <c r="M74" t="s">
        <v>151</v>
      </c>
      <c r="N74">
        <v>18718019.499999996</v>
      </c>
      <c r="O74" t="s">
        <v>135</v>
      </c>
      <c r="P74">
        <v>2378</v>
      </c>
      <c r="Q74" t="s">
        <v>151</v>
      </c>
      <c r="R74">
        <v>19275497.999999981</v>
      </c>
      <c r="S74" t="s">
        <v>135</v>
      </c>
      <c r="T74">
        <v>2404</v>
      </c>
      <c r="U74" t="s">
        <v>151</v>
      </c>
      <c r="V74">
        <v>19835858.500000007</v>
      </c>
      <c r="W74" t="s">
        <v>135</v>
      </c>
      <c r="X74">
        <v>3990</v>
      </c>
      <c r="Y74" t="s">
        <v>151</v>
      </c>
      <c r="Z74">
        <v>20392723</v>
      </c>
      <c r="AA74" t="s">
        <v>135</v>
      </c>
      <c r="AB74">
        <v>3368</v>
      </c>
      <c r="AC74" t="s">
        <v>151</v>
      </c>
      <c r="AD74">
        <v>20951638.999999996</v>
      </c>
      <c r="AE74" t="s">
        <v>135</v>
      </c>
      <c r="AF74">
        <v>5397</v>
      </c>
      <c r="AG74" t="s">
        <v>151</v>
      </c>
      <c r="AH74">
        <v>21522625.999999993</v>
      </c>
      <c r="AI74" t="s">
        <v>135</v>
      </c>
      <c r="AJ74">
        <v>4360</v>
      </c>
      <c r="AK74" t="s">
        <v>151</v>
      </c>
      <c r="AL74">
        <v>22100683.499999989</v>
      </c>
      <c r="AM74" t="s">
        <v>135</v>
      </c>
      <c r="AN74">
        <v>4684</v>
      </c>
      <c r="AO74" t="s">
        <v>151</v>
      </c>
      <c r="AP74">
        <v>22673762.000000007</v>
      </c>
      <c r="AQ74" t="s">
        <v>135</v>
      </c>
      <c r="AR74">
        <v>7587</v>
      </c>
      <c r="AS74" t="s">
        <v>151</v>
      </c>
      <c r="AT74" t="s">
        <v>148</v>
      </c>
      <c r="AU74">
        <v>1626</v>
      </c>
    </row>
    <row r="75" spans="1:47" x14ac:dyDescent="0.35">
      <c r="C75" t="s">
        <v>139</v>
      </c>
      <c r="D75">
        <v>12016</v>
      </c>
      <c r="G75" t="s">
        <v>139</v>
      </c>
      <c r="H75">
        <v>12392</v>
      </c>
      <c r="K75" t="s">
        <v>139</v>
      </c>
      <c r="L75">
        <v>12716</v>
      </c>
      <c r="O75" t="s">
        <v>139</v>
      </c>
      <c r="P75">
        <v>19496</v>
      </c>
      <c r="S75" t="s">
        <v>139</v>
      </c>
      <c r="T75">
        <v>19402</v>
      </c>
      <c r="W75" t="s">
        <v>139</v>
      </c>
      <c r="X75">
        <v>20752</v>
      </c>
      <c r="AA75" t="s">
        <v>139</v>
      </c>
      <c r="AB75">
        <v>0</v>
      </c>
      <c r="AE75" t="s">
        <v>139</v>
      </c>
      <c r="AF75">
        <v>22728</v>
      </c>
      <c r="AI75" t="s">
        <v>139</v>
      </c>
      <c r="AJ75">
        <v>23748</v>
      </c>
      <c r="AM75" t="s">
        <v>139</v>
      </c>
      <c r="AN75">
        <v>24378</v>
      </c>
      <c r="AQ75" t="s">
        <v>139</v>
      </c>
      <c r="AR75">
        <v>27922</v>
      </c>
      <c r="AT75" t="s">
        <v>139</v>
      </c>
      <c r="AU75">
        <v>10325</v>
      </c>
    </row>
    <row r="76" spans="1:47" x14ac:dyDescent="0.35">
      <c r="C76" t="s">
        <v>138</v>
      </c>
      <c r="D76">
        <v>8902</v>
      </c>
      <c r="G76" t="s">
        <v>138</v>
      </c>
      <c r="H76">
        <v>3182</v>
      </c>
      <c r="K76" t="s">
        <v>138</v>
      </c>
      <c r="L76">
        <v>3488</v>
      </c>
      <c r="O76" t="s">
        <v>138</v>
      </c>
      <c r="P76">
        <v>4766</v>
      </c>
      <c r="S76" t="s">
        <v>138</v>
      </c>
      <c r="T76">
        <v>5160</v>
      </c>
      <c r="W76" t="s">
        <v>138</v>
      </c>
      <c r="X76">
        <v>13138</v>
      </c>
      <c r="AA76" t="s">
        <v>138</v>
      </c>
      <c r="AB76">
        <v>0</v>
      </c>
      <c r="AE76" t="s">
        <v>138</v>
      </c>
      <c r="AF76">
        <v>14954</v>
      </c>
      <c r="AI76" t="s">
        <v>138</v>
      </c>
      <c r="AJ76">
        <v>15608</v>
      </c>
      <c r="AM76" t="s">
        <v>138</v>
      </c>
      <c r="AN76">
        <v>16104</v>
      </c>
      <c r="AQ76" t="s">
        <v>138</v>
      </c>
      <c r="AR76">
        <v>18588</v>
      </c>
      <c r="AT76" t="s">
        <v>138</v>
      </c>
      <c r="AU76">
        <v>6569</v>
      </c>
    </row>
    <row r="77" spans="1:47" x14ac:dyDescent="0.35">
      <c r="C77" t="s">
        <v>82</v>
      </c>
      <c r="D77">
        <v>785</v>
      </c>
      <c r="G77" t="s">
        <v>82</v>
      </c>
      <c r="H77">
        <v>0</v>
      </c>
      <c r="K77" t="s">
        <v>82</v>
      </c>
      <c r="L77">
        <v>0</v>
      </c>
      <c r="O77" t="s">
        <v>82</v>
      </c>
      <c r="P77">
        <v>1184</v>
      </c>
      <c r="S77" t="s">
        <v>82</v>
      </c>
      <c r="T77">
        <v>17091</v>
      </c>
      <c r="W77" t="s">
        <v>82</v>
      </c>
      <c r="X77">
        <v>20603</v>
      </c>
      <c r="AA77" t="s">
        <v>82</v>
      </c>
      <c r="AB77">
        <v>401</v>
      </c>
      <c r="AE77" t="s">
        <v>82</v>
      </c>
      <c r="AF77">
        <v>85</v>
      </c>
      <c r="AI77" t="s">
        <v>82</v>
      </c>
      <c r="AJ77">
        <v>0</v>
      </c>
      <c r="AM77" t="s">
        <v>82</v>
      </c>
      <c r="AN77">
        <v>232</v>
      </c>
      <c r="AQ77" t="s">
        <v>82</v>
      </c>
      <c r="AR77">
        <v>0</v>
      </c>
      <c r="AT77" t="s">
        <v>82</v>
      </c>
      <c r="AU77">
        <v>792</v>
      </c>
    </row>
    <row r="78" spans="1:47" x14ac:dyDescent="0.35">
      <c r="C78" t="s">
        <v>60</v>
      </c>
      <c r="D78">
        <v>39</v>
      </c>
      <c r="G78" t="s">
        <v>60</v>
      </c>
      <c r="H78">
        <v>0</v>
      </c>
      <c r="K78" t="s">
        <v>60</v>
      </c>
      <c r="L78">
        <v>0</v>
      </c>
      <c r="O78" t="s">
        <v>60</v>
      </c>
      <c r="P78">
        <v>392</v>
      </c>
      <c r="S78" t="s">
        <v>60</v>
      </c>
      <c r="T78">
        <v>466</v>
      </c>
      <c r="W78" t="s">
        <v>60</v>
      </c>
      <c r="X78">
        <v>5048</v>
      </c>
      <c r="AA78" t="s">
        <v>60</v>
      </c>
      <c r="AB78">
        <v>111</v>
      </c>
      <c r="AE78" t="s">
        <v>60</v>
      </c>
      <c r="AF78">
        <v>131</v>
      </c>
      <c r="AI78" t="s">
        <v>60</v>
      </c>
      <c r="AJ78">
        <v>0</v>
      </c>
      <c r="AM78" t="s">
        <v>60</v>
      </c>
      <c r="AN78">
        <v>80</v>
      </c>
      <c r="AQ78" t="s">
        <v>60</v>
      </c>
      <c r="AR78">
        <v>0</v>
      </c>
      <c r="AT78" t="s">
        <v>60</v>
      </c>
      <c r="AU78">
        <v>80</v>
      </c>
    </row>
    <row r="79" spans="1:47" x14ac:dyDescent="0.35">
      <c r="C79" t="s">
        <v>127</v>
      </c>
      <c r="D79">
        <v>2099</v>
      </c>
      <c r="G79" t="s">
        <v>127</v>
      </c>
      <c r="H79">
        <v>0</v>
      </c>
      <c r="K79" t="s">
        <v>127</v>
      </c>
      <c r="L79">
        <v>0</v>
      </c>
      <c r="O79" t="s">
        <v>127</v>
      </c>
      <c r="P79">
        <v>0</v>
      </c>
      <c r="S79" t="s">
        <v>127</v>
      </c>
      <c r="T79">
        <v>0</v>
      </c>
      <c r="W79" t="s">
        <v>127</v>
      </c>
      <c r="X79">
        <v>2749</v>
      </c>
      <c r="AA79" t="s">
        <v>127</v>
      </c>
      <c r="AB79">
        <v>0</v>
      </c>
      <c r="AE79" t="s">
        <v>127</v>
      </c>
      <c r="AF79">
        <v>2979</v>
      </c>
      <c r="AI79" t="s">
        <v>127</v>
      </c>
      <c r="AJ79">
        <v>2923</v>
      </c>
      <c r="AM79" t="s">
        <v>127</v>
      </c>
      <c r="AN79">
        <v>2947</v>
      </c>
      <c r="AQ79" t="s">
        <v>127</v>
      </c>
      <c r="AR79">
        <v>3145</v>
      </c>
      <c r="AT79" t="s">
        <v>58</v>
      </c>
      <c r="AU79">
        <v>2749</v>
      </c>
    </row>
    <row r="80" spans="1:47" x14ac:dyDescent="0.35">
      <c r="C80" t="s">
        <v>61</v>
      </c>
      <c r="D80">
        <v>128</v>
      </c>
      <c r="G80" t="s">
        <v>61</v>
      </c>
      <c r="H80">
        <v>0</v>
      </c>
      <c r="K80" t="s">
        <v>61</v>
      </c>
      <c r="L80">
        <v>0</v>
      </c>
      <c r="O80" t="s">
        <v>61</v>
      </c>
      <c r="P80">
        <v>1688</v>
      </c>
      <c r="S80" t="s">
        <v>61</v>
      </c>
      <c r="T80">
        <v>940</v>
      </c>
      <c r="W80" t="s">
        <v>61</v>
      </c>
      <c r="X80">
        <v>0</v>
      </c>
      <c r="AA80" t="s">
        <v>61</v>
      </c>
      <c r="AB80">
        <v>0</v>
      </c>
      <c r="AE80" t="s">
        <v>61</v>
      </c>
      <c r="AF80">
        <v>0</v>
      </c>
      <c r="AI80" t="s">
        <v>61</v>
      </c>
      <c r="AJ80">
        <v>0</v>
      </c>
      <c r="AM80" t="s">
        <v>61</v>
      </c>
      <c r="AN80">
        <v>15</v>
      </c>
      <c r="AQ80" t="s">
        <v>61</v>
      </c>
      <c r="AR80">
        <v>0</v>
      </c>
      <c r="AT80" t="s">
        <v>61</v>
      </c>
      <c r="AU80">
        <v>19</v>
      </c>
    </row>
    <row r="81" spans="3:47" x14ac:dyDescent="0.35">
      <c r="C81" t="s">
        <v>62</v>
      </c>
      <c r="D81">
        <v>1791</v>
      </c>
      <c r="G81" t="s">
        <v>62</v>
      </c>
      <c r="H81">
        <v>0</v>
      </c>
      <c r="K81" t="s">
        <v>62</v>
      </c>
      <c r="L81">
        <v>0</v>
      </c>
      <c r="O81" t="s">
        <v>62</v>
      </c>
      <c r="P81">
        <v>718</v>
      </c>
      <c r="S81" t="s">
        <v>62</v>
      </c>
      <c r="T81">
        <v>2367</v>
      </c>
      <c r="W81" t="s">
        <v>62</v>
      </c>
      <c r="X81">
        <v>20392</v>
      </c>
      <c r="AA81" t="s">
        <v>62</v>
      </c>
      <c r="AB81">
        <v>157</v>
      </c>
      <c r="AE81" t="s">
        <v>62</v>
      </c>
      <c r="AF81">
        <v>0</v>
      </c>
      <c r="AI81" t="s">
        <v>62</v>
      </c>
      <c r="AJ81">
        <v>0</v>
      </c>
      <c r="AM81" t="s">
        <v>62</v>
      </c>
      <c r="AN81">
        <v>31</v>
      </c>
      <c r="AQ81" t="s">
        <v>62</v>
      </c>
      <c r="AR81">
        <v>0</v>
      </c>
      <c r="AT81" t="s">
        <v>62</v>
      </c>
      <c r="AU81">
        <v>160</v>
      </c>
    </row>
    <row r="82" spans="3:47" x14ac:dyDescent="0.35">
      <c r="C82" t="s">
        <v>203</v>
      </c>
      <c r="D82">
        <v>0</v>
      </c>
      <c r="G82" t="s">
        <v>203</v>
      </c>
      <c r="H82">
        <v>0</v>
      </c>
      <c r="K82" t="s">
        <v>203</v>
      </c>
      <c r="L82">
        <v>0</v>
      </c>
      <c r="O82" t="s">
        <v>203</v>
      </c>
      <c r="P82">
        <v>0</v>
      </c>
      <c r="S82" t="s">
        <v>203</v>
      </c>
      <c r="T82">
        <v>0</v>
      </c>
      <c r="W82" t="s">
        <v>203</v>
      </c>
      <c r="X82">
        <v>0</v>
      </c>
      <c r="AA82" t="s">
        <v>203</v>
      </c>
      <c r="AB82">
        <v>0</v>
      </c>
      <c r="AE82" t="s">
        <v>203</v>
      </c>
      <c r="AF82">
        <v>0</v>
      </c>
      <c r="AI82" t="s">
        <v>203</v>
      </c>
      <c r="AJ82">
        <v>68</v>
      </c>
      <c r="AM82" t="s">
        <v>203</v>
      </c>
      <c r="AN82">
        <v>0</v>
      </c>
      <c r="AQ82" t="s">
        <v>203</v>
      </c>
      <c r="AR82">
        <v>886</v>
      </c>
      <c r="AT82" t="s">
        <v>64</v>
      </c>
      <c r="AU82">
        <v>1224</v>
      </c>
    </row>
    <row r="83" spans="3:47" x14ac:dyDescent="0.35">
      <c r="C83" t="s">
        <v>204</v>
      </c>
      <c r="D83">
        <v>0</v>
      </c>
      <c r="G83" t="s">
        <v>204</v>
      </c>
      <c r="H83">
        <v>0</v>
      </c>
      <c r="K83" t="s">
        <v>204</v>
      </c>
      <c r="L83">
        <v>0</v>
      </c>
      <c r="O83" t="s">
        <v>204</v>
      </c>
      <c r="P83">
        <v>0</v>
      </c>
      <c r="S83" t="s">
        <v>204</v>
      </c>
      <c r="T83">
        <v>0</v>
      </c>
      <c r="W83" t="s">
        <v>204</v>
      </c>
      <c r="X83">
        <v>0</v>
      </c>
      <c r="AA83" t="s">
        <v>204</v>
      </c>
      <c r="AB83">
        <v>0</v>
      </c>
      <c r="AE83" t="s">
        <v>204</v>
      </c>
      <c r="AF83">
        <v>0</v>
      </c>
      <c r="AI83" t="s">
        <v>204</v>
      </c>
      <c r="AJ83">
        <v>0</v>
      </c>
      <c r="AM83" t="s">
        <v>204</v>
      </c>
      <c r="AN83">
        <v>0</v>
      </c>
      <c r="AQ83" t="s">
        <v>204</v>
      </c>
      <c r="AR83">
        <v>0</v>
      </c>
      <c r="AT83" t="s">
        <v>65</v>
      </c>
      <c r="AU83">
        <v>653</v>
      </c>
    </row>
    <row r="84" spans="3:47" x14ac:dyDescent="0.35">
      <c r="C84" t="s">
        <v>205</v>
      </c>
      <c r="D84">
        <v>0</v>
      </c>
      <c r="G84" t="s">
        <v>205</v>
      </c>
      <c r="H84">
        <v>0</v>
      </c>
      <c r="K84" t="s">
        <v>205</v>
      </c>
      <c r="L84">
        <v>0</v>
      </c>
      <c r="O84" t="s">
        <v>205</v>
      </c>
      <c r="P84">
        <v>0</v>
      </c>
      <c r="S84" t="s">
        <v>205</v>
      </c>
      <c r="T84">
        <v>0</v>
      </c>
      <c r="W84" t="s">
        <v>205</v>
      </c>
      <c r="X84">
        <v>3</v>
      </c>
      <c r="AA84" t="s">
        <v>205</v>
      </c>
      <c r="AB84">
        <v>2</v>
      </c>
      <c r="AE84" t="s">
        <v>205</v>
      </c>
      <c r="AF84">
        <v>143</v>
      </c>
      <c r="AI84" t="s">
        <v>205</v>
      </c>
      <c r="AJ84">
        <v>0</v>
      </c>
      <c r="AM84" t="s">
        <v>205</v>
      </c>
      <c r="AN84">
        <v>0</v>
      </c>
      <c r="AQ84" t="s">
        <v>205</v>
      </c>
      <c r="AR84">
        <v>14</v>
      </c>
      <c r="AT84" t="s">
        <v>66</v>
      </c>
      <c r="AU84">
        <v>3</v>
      </c>
    </row>
    <row r="85" spans="3:47" x14ac:dyDescent="0.35">
      <c r="C85" t="s">
        <v>133</v>
      </c>
      <c r="D85">
        <v>0</v>
      </c>
      <c r="G85" t="s">
        <v>133</v>
      </c>
      <c r="H85">
        <v>0</v>
      </c>
      <c r="K85" t="s">
        <v>133</v>
      </c>
      <c r="L85">
        <v>0</v>
      </c>
      <c r="O85" t="s">
        <v>133</v>
      </c>
      <c r="P85">
        <v>0</v>
      </c>
      <c r="S85" t="s">
        <v>133</v>
      </c>
      <c r="T85">
        <v>0</v>
      </c>
      <c r="W85" t="s">
        <v>133</v>
      </c>
      <c r="X85">
        <v>699</v>
      </c>
      <c r="AA85" t="s">
        <v>133</v>
      </c>
      <c r="AB85">
        <v>648</v>
      </c>
      <c r="AE85" t="s">
        <v>133</v>
      </c>
      <c r="AF85">
        <v>800</v>
      </c>
      <c r="AI85" t="s">
        <v>133</v>
      </c>
      <c r="AJ85">
        <v>906</v>
      </c>
      <c r="AM85" t="s">
        <v>133</v>
      </c>
      <c r="AN85">
        <v>899</v>
      </c>
      <c r="AQ85" t="s">
        <v>133</v>
      </c>
      <c r="AR85">
        <v>0</v>
      </c>
      <c r="AT85" t="s">
        <v>79</v>
      </c>
      <c r="AU85">
        <v>2</v>
      </c>
    </row>
    <row r="86" spans="3:47" x14ac:dyDescent="0.35">
      <c r="C86" t="s">
        <v>206</v>
      </c>
      <c r="D86">
        <v>0</v>
      </c>
      <c r="G86" t="s">
        <v>206</v>
      </c>
      <c r="H86">
        <v>0</v>
      </c>
      <c r="K86" t="s">
        <v>206</v>
      </c>
      <c r="L86">
        <v>0</v>
      </c>
      <c r="O86" t="s">
        <v>206</v>
      </c>
      <c r="P86">
        <v>0</v>
      </c>
      <c r="S86" t="s">
        <v>206</v>
      </c>
      <c r="T86">
        <v>0</v>
      </c>
      <c r="W86" t="s">
        <v>206</v>
      </c>
      <c r="X86">
        <v>0</v>
      </c>
      <c r="AA86" t="s">
        <v>206</v>
      </c>
      <c r="AB86">
        <v>0</v>
      </c>
      <c r="AE86" t="s">
        <v>206</v>
      </c>
      <c r="AF86">
        <v>0</v>
      </c>
      <c r="AI86" t="s">
        <v>206</v>
      </c>
      <c r="AJ86">
        <v>0</v>
      </c>
      <c r="AM86" t="s">
        <v>206</v>
      </c>
      <c r="AN86">
        <v>8</v>
      </c>
      <c r="AQ86" t="s">
        <v>206</v>
      </c>
      <c r="AR86">
        <v>0</v>
      </c>
      <c r="AT86" t="s">
        <v>68</v>
      </c>
      <c r="AU86">
        <v>0</v>
      </c>
    </row>
    <row r="87" spans="3:47" x14ac:dyDescent="0.35">
      <c r="C87" t="s">
        <v>136</v>
      </c>
      <c r="D87">
        <v>109</v>
      </c>
      <c r="G87" t="s">
        <v>136</v>
      </c>
      <c r="H87">
        <v>0</v>
      </c>
      <c r="K87" t="s">
        <v>136</v>
      </c>
      <c r="L87">
        <v>0</v>
      </c>
      <c r="O87" t="s">
        <v>136</v>
      </c>
      <c r="P87">
        <v>0</v>
      </c>
      <c r="S87" t="s">
        <v>136</v>
      </c>
      <c r="T87">
        <v>0</v>
      </c>
      <c r="W87" t="s">
        <v>136</v>
      </c>
      <c r="X87">
        <v>0</v>
      </c>
      <c r="AA87" t="s">
        <v>136</v>
      </c>
      <c r="AB87">
        <v>0</v>
      </c>
      <c r="AE87" t="s">
        <v>136</v>
      </c>
      <c r="AF87">
        <v>191</v>
      </c>
      <c r="AI87" t="s">
        <v>136</v>
      </c>
      <c r="AJ87">
        <v>274</v>
      </c>
      <c r="AM87" t="s">
        <v>136</v>
      </c>
      <c r="AN87">
        <v>209</v>
      </c>
      <c r="AQ87" t="s">
        <v>136</v>
      </c>
      <c r="AR87">
        <v>0</v>
      </c>
      <c r="AT87" t="s">
        <v>69</v>
      </c>
      <c r="AU87">
        <v>128</v>
      </c>
    </row>
    <row r="88" spans="3:47" x14ac:dyDescent="0.35">
      <c r="C88" t="s">
        <v>207</v>
      </c>
      <c r="D88">
        <v>0</v>
      </c>
      <c r="G88" t="s">
        <v>207</v>
      </c>
      <c r="H88">
        <v>0</v>
      </c>
      <c r="K88" t="s">
        <v>207</v>
      </c>
      <c r="L88">
        <v>0</v>
      </c>
      <c r="O88" t="s">
        <v>207</v>
      </c>
      <c r="P88">
        <v>0</v>
      </c>
      <c r="S88" t="s">
        <v>207</v>
      </c>
      <c r="T88">
        <v>0</v>
      </c>
      <c r="W88" t="s">
        <v>207</v>
      </c>
      <c r="X88">
        <v>0</v>
      </c>
      <c r="AA88" t="s">
        <v>207</v>
      </c>
      <c r="AB88">
        <v>0</v>
      </c>
      <c r="AE88" t="s">
        <v>207</v>
      </c>
      <c r="AF88">
        <v>0</v>
      </c>
      <c r="AI88" t="s">
        <v>207</v>
      </c>
      <c r="AJ88">
        <v>0</v>
      </c>
      <c r="AM88" t="s">
        <v>207</v>
      </c>
      <c r="AN88">
        <v>0</v>
      </c>
      <c r="AQ88" t="s">
        <v>207</v>
      </c>
      <c r="AR88">
        <v>44</v>
      </c>
      <c r="AT88" t="s">
        <v>70</v>
      </c>
      <c r="AU88">
        <v>4</v>
      </c>
    </row>
    <row r="89" spans="3:47" x14ac:dyDescent="0.35">
      <c r="C89" t="s">
        <v>141</v>
      </c>
      <c r="D89">
        <v>0</v>
      </c>
      <c r="G89" t="s">
        <v>141</v>
      </c>
      <c r="H89">
        <v>0</v>
      </c>
      <c r="K89" t="s">
        <v>141</v>
      </c>
      <c r="L89">
        <v>0</v>
      </c>
      <c r="O89" t="s">
        <v>141</v>
      </c>
      <c r="P89">
        <v>0</v>
      </c>
      <c r="S89" t="s">
        <v>141</v>
      </c>
      <c r="T89">
        <v>0</v>
      </c>
      <c r="W89" t="s">
        <v>141</v>
      </c>
      <c r="X89">
        <v>3</v>
      </c>
      <c r="AA89" t="s">
        <v>141</v>
      </c>
      <c r="AB89">
        <v>0</v>
      </c>
      <c r="AE89" t="s">
        <v>141</v>
      </c>
      <c r="AF89">
        <v>0</v>
      </c>
      <c r="AI89" t="s">
        <v>141</v>
      </c>
      <c r="AJ89">
        <v>3</v>
      </c>
      <c r="AM89" t="s">
        <v>141</v>
      </c>
      <c r="AN89">
        <v>3</v>
      </c>
      <c r="AQ89" t="s">
        <v>141</v>
      </c>
      <c r="AR89">
        <v>2</v>
      </c>
      <c r="AT89" t="s">
        <v>76</v>
      </c>
      <c r="AU89">
        <v>3</v>
      </c>
    </row>
    <row r="90" spans="3:47" x14ac:dyDescent="0.35">
      <c r="C90" t="s">
        <v>208</v>
      </c>
      <c r="D90">
        <v>0</v>
      </c>
      <c r="G90" t="s">
        <v>208</v>
      </c>
      <c r="H90">
        <v>0</v>
      </c>
      <c r="K90" t="s">
        <v>208</v>
      </c>
      <c r="L90">
        <v>0</v>
      </c>
      <c r="O90" t="s">
        <v>208</v>
      </c>
      <c r="P90">
        <v>0</v>
      </c>
      <c r="S90" t="s">
        <v>208</v>
      </c>
      <c r="T90">
        <v>0</v>
      </c>
      <c r="W90" t="s">
        <v>208</v>
      </c>
      <c r="X90">
        <v>0</v>
      </c>
      <c r="AA90" t="s">
        <v>208</v>
      </c>
      <c r="AB90">
        <v>0</v>
      </c>
      <c r="AE90" t="s">
        <v>208</v>
      </c>
      <c r="AF90">
        <v>22</v>
      </c>
      <c r="AI90" t="s">
        <v>208</v>
      </c>
      <c r="AJ90">
        <v>0</v>
      </c>
      <c r="AM90" t="s">
        <v>208</v>
      </c>
      <c r="AN90">
        <v>0</v>
      </c>
      <c r="AQ90" t="s">
        <v>208</v>
      </c>
      <c r="AR90">
        <v>0</v>
      </c>
      <c r="AT90" t="s">
        <v>77</v>
      </c>
      <c r="AU90">
        <v>871</v>
      </c>
    </row>
    <row r="91" spans="3:47" x14ac:dyDescent="0.35">
      <c r="C91" t="s">
        <v>209</v>
      </c>
      <c r="D91">
        <v>0</v>
      </c>
      <c r="G91" t="s">
        <v>209</v>
      </c>
      <c r="H91">
        <v>0</v>
      </c>
      <c r="K91" t="s">
        <v>209</v>
      </c>
      <c r="L91">
        <v>0</v>
      </c>
      <c r="O91" t="s">
        <v>209</v>
      </c>
      <c r="P91">
        <v>0</v>
      </c>
      <c r="S91" t="s">
        <v>209</v>
      </c>
      <c r="T91">
        <v>0</v>
      </c>
      <c r="W91" t="s">
        <v>209</v>
      </c>
      <c r="X91">
        <v>0</v>
      </c>
      <c r="AA91" t="s">
        <v>209</v>
      </c>
      <c r="AB91">
        <v>0</v>
      </c>
      <c r="AE91" t="s">
        <v>209</v>
      </c>
      <c r="AF91">
        <v>2079</v>
      </c>
      <c r="AI91" t="s">
        <v>209</v>
      </c>
      <c r="AJ91">
        <v>0</v>
      </c>
      <c r="AM91" t="s">
        <v>209</v>
      </c>
      <c r="AN91">
        <v>0</v>
      </c>
      <c r="AQ91" t="s">
        <v>209</v>
      </c>
      <c r="AR91">
        <v>0</v>
      </c>
      <c r="AT91" t="s">
        <v>78</v>
      </c>
      <c r="AU91">
        <v>44</v>
      </c>
    </row>
    <row r="92" spans="3:47" x14ac:dyDescent="0.35">
      <c r="C92" t="s">
        <v>134</v>
      </c>
      <c r="D92">
        <v>458</v>
      </c>
      <c r="G92" t="s">
        <v>134</v>
      </c>
      <c r="H92">
        <v>0</v>
      </c>
      <c r="K92" t="s">
        <v>134</v>
      </c>
      <c r="L92">
        <v>0</v>
      </c>
      <c r="O92" t="s">
        <v>134</v>
      </c>
      <c r="P92">
        <v>0</v>
      </c>
      <c r="S92" t="s">
        <v>134</v>
      </c>
      <c r="T92">
        <v>0</v>
      </c>
      <c r="W92" t="s">
        <v>134</v>
      </c>
      <c r="X92">
        <v>0</v>
      </c>
      <c r="AA92" t="s">
        <v>134</v>
      </c>
      <c r="AB92">
        <v>0</v>
      </c>
      <c r="AE92" t="s">
        <v>134</v>
      </c>
      <c r="AF92">
        <v>0</v>
      </c>
      <c r="AI92" t="s">
        <v>134</v>
      </c>
      <c r="AJ92">
        <v>0</v>
      </c>
      <c r="AM92" t="s">
        <v>134</v>
      </c>
      <c r="AN92">
        <v>0</v>
      </c>
      <c r="AQ92" t="s">
        <v>134</v>
      </c>
      <c r="AR92">
        <v>0</v>
      </c>
      <c r="AT92" t="s">
        <v>67</v>
      </c>
      <c r="AU92">
        <v>699</v>
      </c>
    </row>
    <row r="93" spans="3:47" x14ac:dyDescent="0.35">
      <c r="C93" t="s">
        <v>142</v>
      </c>
      <c r="D93">
        <v>0</v>
      </c>
      <c r="G93" t="s">
        <v>142</v>
      </c>
      <c r="H93">
        <v>0</v>
      </c>
      <c r="K93" t="s">
        <v>142</v>
      </c>
      <c r="L93">
        <v>0</v>
      </c>
      <c r="O93" t="s">
        <v>142</v>
      </c>
      <c r="P93">
        <v>0</v>
      </c>
      <c r="S93" t="s">
        <v>142</v>
      </c>
      <c r="T93">
        <v>0</v>
      </c>
      <c r="W93" t="s">
        <v>142</v>
      </c>
      <c r="X93">
        <v>0</v>
      </c>
      <c r="AA93" t="s">
        <v>142</v>
      </c>
      <c r="AB93">
        <v>0</v>
      </c>
      <c r="AE93" t="s">
        <v>142</v>
      </c>
      <c r="AF93">
        <v>0</v>
      </c>
      <c r="AI93" t="s">
        <v>142</v>
      </c>
      <c r="AJ93">
        <v>0</v>
      </c>
      <c r="AM93" t="s">
        <v>142</v>
      </c>
      <c r="AN93">
        <v>0</v>
      </c>
      <c r="AQ93" t="s">
        <v>142</v>
      </c>
      <c r="AR93">
        <v>1698</v>
      </c>
      <c r="AT93" t="s">
        <v>80</v>
      </c>
      <c r="AU93">
        <v>0</v>
      </c>
    </row>
    <row r="94" spans="3:47" x14ac:dyDescent="0.35">
      <c r="C94" t="s">
        <v>83</v>
      </c>
      <c r="D94">
        <v>0</v>
      </c>
      <c r="G94" t="s">
        <v>83</v>
      </c>
      <c r="H94">
        <v>0</v>
      </c>
      <c r="K94" t="s">
        <v>83</v>
      </c>
      <c r="L94">
        <v>0</v>
      </c>
      <c r="O94" t="s">
        <v>83</v>
      </c>
      <c r="P94">
        <v>0</v>
      </c>
      <c r="S94" t="s">
        <v>83</v>
      </c>
      <c r="T94">
        <v>0</v>
      </c>
      <c r="W94" t="s">
        <v>83</v>
      </c>
      <c r="X94">
        <v>18</v>
      </c>
      <c r="AA94" t="s">
        <v>83</v>
      </c>
      <c r="AB94">
        <v>0</v>
      </c>
      <c r="AE94" t="s">
        <v>83</v>
      </c>
      <c r="AF94">
        <v>0</v>
      </c>
      <c r="AI94" t="s">
        <v>83</v>
      </c>
      <c r="AJ94">
        <v>22</v>
      </c>
      <c r="AM94" t="s">
        <v>83</v>
      </c>
      <c r="AN94">
        <v>47</v>
      </c>
      <c r="AQ94" t="s">
        <v>83</v>
      </c>
      <c r="AR94">
        <v>0</v>
      </c>
      <c r="AT94" t="s">
        <v>83</v>
      </c>
      <c r="AU94">
        <v>18</v>
      </c>
    </row>
    <row r="95" spans="3:47" x14ac:dyDescent="0.35">
      <c r="C95" t="s">
        <v>84</v>
      </c>
      <c r="D95">
        <v>0</v>
      </c>
      <c r="G95" t="s">
        <v>84</v>
      </c>
      <c r="H95">
        <v>0</v>
      </c>
      <c r="K95" t="s">
        <v>84</v>
      </c>
      <c r="L95">
        <v>0</v>
      </c>
      <c r="O95" t="s">
        <v>84</v>
      </c>
      <c r="P95">
        <v>0</v>
      </c>
      <c r="S95" t="s">
        <v>84</v>
      </c>
      <c r="T95">
        <v>0</v>
      </c>
      <c r="W95" t="s">
        <v>84</v>
      </c>
      <c r="X95">
        <v>0</v>
      </c>
      <c r="AA95" t="s">
        <v>84</v>
      </c>
      <c r="AB95">
        <v>0</v>
      </c>
      <c r="AE95" t="s">
        <v>84</v>
      </c>
      <c r="AF95">
        <v>34</v>
      </c>
      <c r="AI95" t="s">
        <v>84</v>
      </c>
      <c r="AJ95">
        <v>0</v>
      </c>
      <c r="AM95" t="s">
        <v>84</v>
      </c>
      <c r="AN95">
        <v>0</v>
      </c>
      <c r="AQ95" t="s">
        <v>84</v>
      </c>
      <c r="AR95">
        <v>39</v>
      </c>
      <c r="AT95" t="s">
        <v>84</v>
      </c>
      <c r="AU95">
        <v>0</v>
      </c>
    </row>
    <row r="96" spans="3:47" x14ac:dyDescent="0.35">
      <c r="C96" t="s">
        <v>126</v>
      </c>
      <c r="D96">
        <v>0</v>
      </c>
      <c r="G96" t="s">
        <v>126</v>
      </c>
      <c r="H96">
        <v>0</v>
      </c>
      <c r="K96" t="s">
        <v>223</v>
      </c>
      <c r="L96">
        <v>0</v>
      </c>
      <c r="O96" t="s">
        <v>126</v>
      </c>
      <c r="P96">
        <v>0</v>
      </c>
      <c r="S96" t="s">
        <v>126</v>
      </c>
      <c r="T96">
        <v>0</v>
      </c>
      <c r="W96" t="s">
        <v>126</v>
      </c>
      <c r="X96">
        <v>0</v>
      </c>
      <c r="AA96" t="s">
        <v>126</v>
      </c>
      <c r="AB96">
        <v>0</v>
      </c>
      <c r="AE96" t="s">
        <v>126</v>
      </c>
      <c r="AF96">
        <v>0</v>
      </c>
      <c r="AI96" t="s">
        <v>126</v>
      </c>
      <c r="AJ96">
        <v>0</v>
      </c>
      <c r="AM96" t="s">
        <v>126</v>
      </c>
      <c r="AN96">
        <v>0</v>
      </c>
      <c r="AQ96" t="s">
        <v>126</v>
      </c>
      <c r="AR96">
        <v>0</v>
      </c>
      <c r="AT96" t="s">
        <v>86</v>
      </c>
      <c r="AU96">
        <v>0</v>
      </c>
    </row>
    <row r="97" spans="1:47" x14ac:dyDescent="0.35">
      <c r="C97" t="s">
        <v>87</v>
      </c>
      <c r="D97">
        <v>0</v>
      </c>
      <c r="G97" t="s">
        <v>87</v>
      </c>
      <c r="H97">
        <v>0</v>
      </c>
      <c r="K97" t="s">
        <v>87</v>
      </c>
      <c r="L97">
        <v>0</v>
      </c>
      <c r="O97" t="s">
        <v>87</v>
      </c>
      <c r="P97">
        <v>0</v>
      </c>
      <c r="S97" t="s">
        <v>87</v>
      </c>
      <c r="T97">
        <v>0</v>
      </c>
      <c r="W97" t="s">
        <v>87</v>
      </c>
      <c r="X97">
        <v>336</v>
      </c>
      <c r="AA97" t="s">
        <v>87</v>
      </c>
      <c r="AB97">
        <v>0</v>
      </c>
      <c r="AE97" t="s">
        <v>87</v>
      </c>
      <c r="AF97">
        <v>336</v>
      </c>
      <c r="AI97" t="s">
        <v>87</v>
      </c>
      <c r="AJ97">
        <v>0</v>
      </c>
      <c r="AM97" t="s">
        <v>87</v>
      </c>
      <c r="AN97">
        <v>50</v>
      </c>
      <c r="AQ97" t="s">
        <v>87</v>
      </c>
      <c r="AR97">
        <v>0</v>
      </c>
      <c r="AT97" t="s">
        <v>87</v>
      </c>
      <c r="AU97">
        <v>336</v>
      </c>
    </row>
    <row r="98" spans="1:47" x14ac:dyDescent="0.35">
      <c r="A98" t="s">
        <v>164</v>
      </c>
      <c r="B98">
        <v>2175425.5000000005</v>
      </c>
      <c r="C98" t="s">
        <v>135</v>
      </c>
      <c r="D98">
        <v>1638</v>
      </c>
      <c r="E98" t="s">
        <v>164</v>
      </c>
      <c r="F98">
        <v>2217278.0000000009</v>
      </c>
      <c r="G98" t="s">
        <v>135</v>
      </c>
      <c r="H98">
        <v>0</v>
      </c>
      <c r="I98" t="s">
        <v>164</v>
      </c>
      <c r="J98">
        <v>2260375.5000000019</v>
      </c>
      <c r="K98" t="s">
        <v>135</v>
      </c>
      <c r="L98">
        <v>76</v>
      </c>
      <c r="M98" t="s">
        <v>164</v>
      </c>
      <c r="N98">
        <v>2305171.5000000005</v>
      </c>
      <c r="O98" t="s">
        <v>135</v>
      </c>
      <c r="P98">
        <v>0</v>
      </c>
      <c r="Q98" t="s">
        <v>164</v>
      </c>
      <c r="R98">
        <v>2352415.5000000005</v>
      </c>
      <c r="S98" t="s">
        <v>135</v>
      </c>
      <c r="T98">
        <v>1671</v>
      </c>
      <c r="U98" t="s">
        <v>164</v>
      </c>
      <c r="V98">
        <v>2401839.9999999986</v>
      </c>
      <c r="W98" t="s">
        <v>135</v>
      </c>
      <c r="X98">
        <v>0</v>
      </c>
      <c r="Y98" t="s">
        <v>164</v>
      </c>
      <c r="Z98">
        <v>2451408.4999999995</v>
      </c>
      <c r="AA98" t="s">
        <v>135</v>
      </c>
      <c r="AB98">
        <v>1850</v>
      </c>
      <c r="AC98" t="s">
        <v>164</v>
      </c>
      <c r="AD98">
        <v>2499701.5</v>
      </c>
      <c r="AE98" t="s">
        <v>135</v>
      </c>
      <c r="AF98">
        <v>1840</v>
      </c>
      <c r="AG98" t="s">
        <v>164</v>
      </c>
      <c r="AH98">
        <v>2546401.9999999986</v>
      </c>
      <c r="AI98" t="s">
        <v>135</v>
      </c>
      <c r="AJ98">
        <v>2048</v>
      </c>
      <c r="AK98" t="s">
        <v>164</v>
      </c>
      <c r="AL98">
        <v>2588422.9999999981</v>
      </c>
      <c r="AM98" t="s">
        <v>135</v>
      </c>
      <c r="AN98">
        <v>2028</v>
      </c>
      <c r="AO98" t="s">
        <v>164</v>
      </c>
      <c r="AP98">
        <v>2630296.0000000019</v>
      </c>
      <c r="AQ98" t="s">
        <v>135</v>
      </c>
      <c r="AR98">
        <v>1984</v>
      </c>
      <c r="AS98" t="s">
        <v>164</v>
      </c>
      <c r="AT98" t="s">
        <v>148</v>
      </c>
      <c r="AU98">
        <v>853</v>
      </c>
    </row>
    <row r="99" spans="1:47" x14ac:dyDescent="0.35">
      <c r="C99" t="s">
        <v>139</v>
      </c>
      <c r="D99">
        <v>11632</v>
      </c>
      <c r="G99" t="s">
        <v>139</v>
      </c>
      <c r="H99">
        <v>0</v>
      </c>
      <c r="K99" t="s">
        <v>139</v>
      </c>
      <c r="L99">
        <v>0</v>
      </c>
      <c r="O99" t="s">
        <v>139</v>
      </c>
      <c r="P99">
        <v>0</v>
      </c>
      <c r="S99" t="s">
        <v>139</v>
      </c>
      <c r="T99">
        <v>14854</v>
      </c>
      <c r="W99" t="s">
        <v>139</v>
      </c>
      <c r="X99">
        <v>0</v>
      </c>
      <c r="AA99" t="s">
        <v>139</v>
      </c>
      <c r="AB99">
        <v>15290</v>
      </c>
      <c r="AE99" t="s">
        <v>139</v>
      </c>
      <c r="AF99">
        <v>15526</v>
      </c>
      <c r="AI99" t="s">
        <v>139</v>
      </c>
      <c r="AJ99">
        <v>15542</v>
      </c>
      <c r="AM99" t="s">
        <v>139</v>
      </c>
      <c r="AN99">
        <v>15772</v>
      </c>
      <c r="AQ99" t="s">
        <v>139</v>
      </c>
      <c r="AR99">
        <v>16056</v>
      </c>
      <c r="AT99" t="s">
        <v>139</v>
      </c>
      <c r="AU99">
        <v>6935</v>
      </c>
    </row>
    <row r="100" spans="1:47" x14ac:dyDescent="0.35">
      <c r="C100" t="s">
        <v>138</v>
      </c>
      <c r="D100">
        <v>0</v>
      </c>
      <c r="G100" t="s">
        <v>138</v>
      </c>
      <c r="H100">
        <v>3002</v>
      </c>
      <c r="K100" t="s">
        <v>138</v>
      </c>
      <c r="L100">
        <v>0</v>
      </c>
      <c r="O100" t="s">
        <v>138</v>
      </c>
      <c r="P100">
        <v>0</v>
      </c>
      <c r="S100" t="s">
        <v>138</v>
      </c>
      <c r="T100">
        <v>2922</v>
      </c>
      <c r="W100" t="s">
        <v>138</v>
      </c>
      <c r="X100">
        <v>0</v>
      </c>
      <c r="AA100" t="s">
        <v>138</v>
      </c>
      <c r="AB100">
        <v>0</v>
      </c>
      <c r="AE100" t="s">
        <v>138</v>
      </c>
      <c r="AF100">
        <v>0</v>
      </c>
      <c r="AI100" t="s">
        <v>138</v>
      </c>
      <c r="AJ100">
        <v>0</v>
      </c>
      <c r="AM100" t="s">
        <v>138</v>
      </c>
      <c r="AN100">
        <v>0</v>
      </c>
      <c r="AQ100" t="s">
        <v>138</v>
      </c>
      <c r="AR100">
        <v>0</v>
      </c>
      <c r="AT100" t="s">
        <v>138</v>
      </c>
      <c r="AU100">
        <v>0</v>
      </c>
    </row>
    <row r="101" spans="1:47" x14ac:dyDescent="0.35">
      <c r="C101" t="s">
        <v>82</v>
      </c>
      <c r="D101">
        <v>37</v>
      </c>
      <c r="G101" t="s">
        <v>82</v>
      </c>
      <c r="H101">
        <v>772</v>
      </c>
      <c r="K101" t="s">
        <v>82</v>
      </c>
      <c r="L101">
        <v>0</v>
      </c>
      <c r="O101" t="s">
        <v>82</v>
      </c>
      <c r="P101">
        <v>30461</v>
      </c>
      <c r="S101" t="s">
        <v>82</v>
      </c>
      <c r="T101">
        <v>319</v>
      </c>
      <c r="W101" t="s">
        <v>82</v>
      </c>
      <c r="X101">
        <v>74</v>
      </c>
      <c r="AA101" t="s">
        <v>82</v>
      </c>
      <c r="AB101">
        <v>0</v>
      </c>
      <c r="AE101" t="s">
        <v>82</v>
      </c>
      <c r="AF101">
        <v>0</v>
      </c>
      <c r="AI101" t="s">
        <v>82</v>
      </c>
      <c r="AJ101">
        <v>2156</v>
      </c>
      <c r="AM101" t="s">
        <v>82</v>
      </c>
      <c r="AN101">
        <v>0</v>
      </c>
      <c r="AQ101" t="s">
        <v>82</v>
      </c>
      <c r="AR101">
        <v>0</v>
      </c>
      <c r="AT101" t="s">
        <v>82</v>
      </c>
      <c r="AU101">
        <v>487</v>
      </c>
    </row>
    <row r="102" spans="1:47" x14ac:dyDescent="0.35">
      <c r="C102" t="s">
        <v>60</v>
      </c>
      <c r="D102">
        <v>6</v>
      </c>
      <c r="G102" t="s">
        <v>60</v>
      </c>
      <c r="H102">
        <v>422</v>
      </c>
      <c r="K102" t="s">
        <v>60</v>
      </c>
      <c r="L102">
        <v>52</v>
      </c>
      <c r="O102" t="s">
        <v>60</v>
      </c>
      <c r="P102">
        <v>10523</v>
      </c>
      <c r="S102" t="s">
        <v>60</v>
      </c>
      <c r="T102">
        <v>66</v>
      </c>
      <c r="W102" t="s">
        <v>60</v>
      </c>
      <c r="X102">
        <v>118</v>
      </c>
      <c r="AA102" t="s">
        <v>60</v>
      </c>
      <c r="AB102">
        <v>33</v>
      </c>
      <c r="AE102" t="s">
        <v>60</v>
      </c>
      <c r="AF102">
        <v>84</v>
      </c>
      <c r="AI102" t="s">
        <v>60</v>
      </c>
      <c r="AJ102">
        <v>7018</v>
      </c>
      <c r="AM102" t="s">
        <v>60</v>
      </c>
      <c r="AN102">
        <v>0</v>
      </c>
      <c r="AQ102" t="s">
        <v>60</v>
      </c>
      <c r="AR102">
        <v>0</v>
      </c>
      <c r="AT102" t="s">
        <v>60</v>
      </c>
      <c r="AU102">
        <v>94</v>
      </c>
    </row>
    <row r="103" spans="1:47" x14ac:dyDescent="0.35">
      <c r="C103" t="s">
        <v>127</v>
      </c>
      <c r="D103">
        <v>166</v>
      </c>
      <c r="G103" t="s">
        <v>127</v>
      </c>
      <c r="H103">
        <v>0</v>
      </c>
      <c r="K103" t="s">
        <v>127</v>
      </c>
      <c r="L103">
        <v>0</v>
      </c>
      <c r="O103" t="s">
        <v>127</v>
      </c>
      <c r="P103">
        <v>0</v>
      </c>
      <c r="S103" t="s">
        <v>127</v>
      </c>
      <c r="T103">
        <v>0</v>
      </c>
      <c r="W103" t="s">
        <v>127</v>
      </c>
      <c r="X103">
        <v>0</v>
      </c>
      <c r="AA103" t="s">
        <v>127</v>
      </c>
      <c r="AB103">
        <v>0</v>
      </c>
      <c r="AE103" t="s">
        <v>127</v>
      </c>
      <c r="AF103">
        <v>0</v>
      </c>
      <c r="AI103" t="s">
        <v>127</v>
      </c>
      <c r="AJ103">
        <v>0</v>
      </c>
      <c r="AM103" t="s">
        <v>127</v>
      </c>
      <c r="AN103">
        <v>0</v>
      </c>
      <c r="AQ103" t="s">
        <v>127</v>
      </c>
      <c r="AR103">
        <v>0</v>
      </c>
      <c r="AT103" t="s">
        <v>58</v>
      </c>
      <c r="AU103">
        <v>0</v>
      </c>
    </row>
    <row r="104" spans="1:47" x14ac:dyDescent="0.35">
      <c r="C104" t="s">
        <v>61</v>
      </c>
      <c r="D104">
        <v>0</v>
      </c>
      <c r="G104" t="s">
        <v>61</v>
      </c>
      <c r="H104">
        <v>668</v>
      </c>
      <c r="K104" t="s">
        <v>61</v>
      </c>
      <c r="L104">
        <v>0</v>
      </c>
      <c r="O104" t="s">
        <v>61</v>
      </c>
      <c r="P104">
        <v>0</v>
      </c>
      <c r="S104" t="s">
        <v>61</v>
      </c>
      <c r="T104">
        <v>13</v>
      </c>
      <c r="W104" t="s">
        <v>61</v>
      </c>
      <c r="X104">
        <v>0</v>
      </c>
      <c r="AA104" t="s">
        <v>61</v>
      </c>
      <c r="AB104">
        <v>0</v>
      </c>
      <c r="AE104" t="s">
        <v>61</v>
      </c>
      <c r="AF104">
        <v>0</v>
      </c>
      <c r="AI104" t="s">
        <v>61</v>
      </c>
      <c r="AJ104">
        <v>0</v>
      </c>
      <c r="AM104" t="s">
        <v>61</v>
      </c>
      <c r="AN104">
        <v>0</v>
      </c>
      <c r="AQ104" t="s">
        <v>61</v>
      </c>
      <c r="AR104">
        <v>0</v>
      </c>
      <c r="AT104" t="s">
        <v>61</v>
      </c>
      <c r="AU104">
        <v>0</v>
      </c>
    </row>
    <row r="105" spans="1:47" x14ac:dyDescent="0.35">
      <c r="C105" t="s">
        <v>62</v>
      </c>
      <c r="D105">
        <v>0</v>
      </c>
      <c r="G105" t="s">
        <v>62</v>
      </c>
      <c r="H105">
        <v>166</v>
      </c>
      <c r="K105" t="s">
        <v>62</v>
      </c>
      <c r="L105">
        <v>0</v>
      </c>
      <c r="O105" t="s">
        <v>62</v>
      </c>
      <c r="P105">
        <v>14743</v>
      </c>
      <c r="S105" t="s">
        <v>62</v>
      </c>
      <c r="T105">
        <v>208</v>
      </c>
      <c r="W105" t="s">
        <v>62</v>
      </c>
      <c r="X105">
        <v>0</v>
      </c>
      <c r="AA105" t="s">
        <v>62</v>
      </c>
      <c r="AB105">
        <v>0</v>
      </c>
      <c r="AE105" t="s">
        <v>62</v>
      </c>
      <c r="AF105">
        <v>0</v>
      </c>
      <c r="AI105" t="s">
        <v>62</v>
      </c>
      <c r="AJ105">
        <v>0</v>
      </c>
      <c r="AM105" t="s">
        <v>62</v>
      </c>
      <c r="AN105">
        <v>0</v>
      </c>
      <c r="AQ105" t="s">
        <v>62</v>
      </c>
      <c r="AR105">
        <v>0</v>
      </c>
      <c r="AT105" t="s">
        <v>62</v>
      </c>
      <c r="AU105">
        <v>99</v>
      </c>
    </row>
    <row r="106" spans="1:47" x14ac:dyDescent="0.35">
      <c r="C106" t="s">
        <v>203</v>
      </c>
      <c r="D106">
        <v>0</v>
      </c>
      <c r="G106" t="s">
        <v>203</v>
      </c>
      <c r="H106">
        <v>0</v>
      </c>
      <c r="K106" t="s">
        <v>203</v>
      </c>
      <c r="L106">
        <v>0</v>
      </c>
      <c r="O106" t="s">
        <v>203</v>
      </c>
      <c r="P106">
        <v>0</v>
      </c>
      <c r="S106" t="s">
        <v>203</v>
      </c>
      <c r="T106">
        <v>0</v>
      </c>
      <c r="W106" t="s">
        <v>203</v>
      </c>
      <c r="X106">
        <v>0</v>
      </c>
      <c r="AA106" t="s">
        <v>203</v>
      </c>
      <c r="AB106">
        <v>1563</v>
      </c>
      <c r="AE106" t="s">
        <v>203</v>
      </c>
      <c r="AF106">
        <v>1421</v>
      </c>
      <c r="AI106" t="s">
        <v>203</v>
      </c>
      <c r="AJ106">
        <v>1423</v>
      </c>
      <c r="AM106" t="s">
        <v>203</v>
      </c>
      <c r="AN106">
        <v>1519</v>
      </c>
      <c r="AQ106" t="s">
        <v>203</v>
      </c>
      <c r="AR106">
        <v>1563</v>
      </c>
      <c r="AT106" t="s">
        <v>64</v>
      </c>
      <c r="AU106">
        <v>1622</v>
      </c>
    </row>
    <row r="107" spans="1:47" x14ac:dyDescent="0.35">
      <c r="C107" t="s">
        <v>204</v>
      </c>
      <c r="D107">
        <v>0</v>
      </c>
      <c r="G107" t="s">
        <v>204</v>
      </c>
      <c r="H107">
        <v>0</v>
      </c>
      <c r="K107" t="s">
        <v>204</v>
      </c>
      <c r="L107">
        <v>0</v>
      </c>
      <c r="O107" t="s">
        <v>204</v>
      </c>
      <c r="P107">
        <v>0</v>
      </c>
      <c r="S107" t="s">
        <v>204</v>
      </c>
      <c r="T107">
        <v>0</v>
      </c>
      <c r="W107" t="s">
        <v>204</v>
      </c>
      <c r="X107">
        <v>0</v>
      </c>
      <c r="AA107" t="s">
        <v>204</v>
      </c>
      <c r="AB107">
        <v>156</v>
      </c>
      <c r="AE107" t="s">
        <v>204</v>
      </c>
      <c r="AF107">
        <v>131</v>
      </c>
      <c r="AI107" t="s">
        <v>204</v>
      </c>
      <c r="AJ107">
        <v>125</v>
      </c>
      <c r="AM107" t="s">
        <v>204</v>
      </c>
      <c r="AN107">
        <v>147</v>
      </c>
      <c r="AQ107" t="s">
        <v>204</v>
      </c>
      <c r="AR107">
        <v>159</v>
      </c>
      <c r="AT107" t="s">
        <v>65</v>
      </c>
      <c r="AU107">
        <v>0</v>
      </c>
    </row>
    <row r="108" spans="1:47" x14ac:dyDescent="0.35">
      <c r="C108" t="s">
        <v>205</v>
      </c>
      <c r="D108">
        <v>0</v>
      </c>
      <c r="G108" t="s">
        <v>205</v>
      </c>
      <c r="H108">
        <v>0</v>
      </c>
      <c r="K108" t="s">
        <v>205</v>
      </c>
      <c r="L108">
        <v>0</v>
      </c>
      <c r="O108" t="s">
        <v>205</v>
      </c>
      <c r="P108">
        <v>0</v>
      </c>
      <c r="S108" t="s">
        <v>205</v>
      </c>
      <c r="T108">
        <v>0</v>
      </c>
      <c r="W108" t="s">
        <v>205</v>
      </c>
      <c r="X108">
        <v>0</v>
      </c>
      <c r="AA108" t="s">
        <v>205</v>
      </c>
      <c r="AB108">
        <v>27</v>
      </c>
      <c r="AE108" t="s">
        <v>205</v>
      </c>
      <c r="AF108">
        <v>33</v>
      </c>
      <c r="AI108" t="s">
        <v>205</v>
      </c>
      <c r="AJ108">
        <v>33</v>
      </c>
      <c r="AM108" t="s">
        <v>205</v>
      </c>
      <c r="AN108">
        <v>35</v>
      </c>
      <c r="AQ108" t="s">
        <v>205</v>
      </c>
      <c r="AR108">
        <v>33</v>
      </c>
      <c r="AT108" t="s">
        <v>66</v>
      </c>
      <c r="AU108">
        <v>0</v>
      </c>
    </row>
    <row r="109" spans="1:47" x14ac:dyDescent="0.35">
      <c r="C109" t="s">
        <v>133</v>
      </c>
      <c r="D109">
        <v>0</v>
      </c>
      <c r="G109" t="s">
        <v>133</v>
      </c>
      <c r="H109">
        <v>0</v>
      </c>
      <c r="K109" t="s">
        <v>133</v>
      </c>
      <c r="L109">
        <v>0</v>
      </c>
      <c r="O109" t="s">
        <v>133</v>
      </c>
      <c r="P109">
        <v>0</v>
      </c>
      <c r="S109" t="s">
        <v>133</v>
      </c>
      <c r="T109">
        <v>0</v>
      </c>
      <c r="W109" t="s">
        <v>133</v>
      </c>
      <c r="X109">
        <v>0</v>
      </c>
      <c r="AA109" t="s">
        <v>133</v>
      </c>
      <c r="AB109">
        <v>160</v>
      </c>
      <c r="AE109" t="s">
        <v>133</v>
      </c>
      <c r="AF109">
        <v>156</v>
      </c>
      <c r="AI109" t="s">
        <v>133</v>
      </c>
      <c r="AJ109">
        <v>167</v>
      </c>
      <c r="AM109" t="s">
        <v>133</v>
      </c>
      <c r="AN109">
        <v>161</v>
      </c>
      <c r="AQ109" t="s">
        <v>133</v>
      </c>
      <c r="AR109">
        <v>191</v>
      </c>
      <c r="AT109" t="s">
        <v>79</v>
      </c>
      <c r="AU109">
        <v>0</v>
      </c>
    </row>
    <row r="110" spans="1:47" x14ac:dyDescent="0.35">
      <c r="C110" t="s">
        <v>206</v>
      </c>
      <c r="D110">
        <v>0</v>
      </c>
      <c r="G110" t="s">
        <v>206</v>
      </c>
      <c r="H110">
        <v>0</v>
      </c>
      <c r="K110" t="s">
        <v>206</v>
      </c>
      <c r="L110">
        <v>0</v>
      </c>
      <c r="O110" t="s">
        <v>206</v>
      </c>
      <c r="P110">
        <v>0</v>
      </c>
      <c r="S110" t="s">
        <v>206</v>
      </c>
      <c r="T110">
        <v>0</v>
      </c>
      <c r="W110" t="s">
        <v>206</v>
      </c>
      <c r="X110">
        <v>0</v>
      </c>
      <c r="AA110" t="s">
        <v>206</v>
      </c>
      <c r="AB110">
        <v>63</v>
      </c>
      <c r="AE110" t="s">
        <v>206</v>
      </c>
      <c r="AF110">
        <v>64</v>
      </c>
      <c r="AI110" t="s">
        <v>206</v>
      </c>
      <c r="AJ110">
        <v>67</v>
      </c>
      <c r="AM110" t="s">
        <v>206</v>
      </c>
      <c r="AN110">
        <v>66</v>
      </c>
      <c r="AQ110" t="s">
        <v>206</v>
      </c>
      <c r="AR110">
        <v>63</v>
      </c>
      <c r="AT110" t="s">
        <v>68</v>
      </c>
      <c r="AU110">
        <v>0</v>
      </c>
    </row>
    <row r="111" spans="1:47" x14ac:dyDescent="0.35">
      <c r="C111" t="s">
        <v>136</v>
      </c>
      <c r="D111">
        <v>0</v>
      </c>
      <c r="G111" t="s">
        <v>136</v>
      </c>
      <c r="H111">
        <v>0</v>
      </c>
      <c r="K111" t="s">
        <v>136</v>
      </c>
      <c r="L111">
        <v>0</v>
      </c>
      <c r="O111" t="s">
        <v>136</v>
      </c>
      <c r="P111">
        <v>0</v>
      </c>
      <c r="S111" t="s">
        <v>136</v>
      </c>
      <c r="T111">
        <v>0</v>
      </c>
      <c r="W111" t="s">
        <v>136</v>
      </c>
      <c r="X111">
        <v>0</v>
      </c>
      <c r="AA111" t="s">
        <v>136</v>
      </c>
      <c r="AB111">
        <v>134</v>
      </c>
      <c r="AE111" t="s">
        <v>136</v>
      </c>
      <c r="AF111">
        <v>116</v>
      </c>
      <c r="AI111" t="s">
        <v>136</v>
      </c>
      <c r="AJ111">
        <v>117</v>
      </c>
      <c r="AM111" t="s">
        <v>136</v>
      </c>
      <c r="AN111">
        <v>123</v>
      </c>
      <c r="AQ111" t="s">
        <v>136</v>
      </c>
      <c r="AR111">
        <v>82</v>
      </c>
      <c r="AT111" t="s">
        <v>69</v>
      </c>
      <c r="AU111">
        <v>78</v>
      </c>
    </row>
    <row r="112" spans="1:47" x14ac:dyDescent="0.35">
      <c r="C112" t="s">
        <v>207</v>
      </c>
      <c r="D112">
        <v>0</v>
      </c>
      <c r="G112" t="s">
        <v>207</v>
      </c>
      <c r="H112">
        <v>0</v>
      </c>
      <c r="K112" t="s">
        <v>207</v>
      </c>
      <c r="L112">
        <v>0</v>
      </c>
      <c r="O112" t="s">
        <v>207</v>
      </c>
      <c r="P112">
        <v>0</v>
      </c>
      <c r="S112" t="s">
        <v>207</v>
      </c>
      <c r="T112">
        <v>0</v>
      </c>
      <c r="W112" t="s">
        <v>207</v>
      </c>
      <c r="X112">
        <v>0</v>
      </c>
      <c r="AA112" t="s">
        <v>207</v>
      </c>
      <c r="AB112">
        <v>73</v>
      </c>
      <c r="AE112" t="s">
        <v>207</v>
      </c>
      <c r="AF112">
        <v>110</v>
      </c>
      <c r="AI112" t="s">
        <v>207</v>
      </c>
      <c r="AJ112">
        <v>63</v>
      </c>
      <c r="AM112" t="s">
        <v>207</v>
      </c>
      <c r="AN112">
        <v>62</v>
      </c>
      <c r="AQ112" t="s">
        <v>207</v>
      </c>
      <c r="AR112">
        <v>74</v>
      </c>
      <c r="AT112" t="s">
        <v>70</v>
      </c>
      <c r="AU112">
        <v>62</v>
      </c>
    </row>
    <row r="113" spans="1:47" x14ac:dyDescent="0.35">
      <c r="C113" t="s">
        <v>141</v>
      </c>
      <c r="D113">
        <v>0</v>
      </c>
      <c r="G113" t="s">
        <v>141</v>
      </c>
      <c r="H113">
        <v>0</v>
      </c>
      <c r="K113" t="s">
        <v>141</v>
      </c>
      <c r="L113">
        <v>0</v>
      </c>
      <c r="O113" t="s">
        <v>141</v>
      </c>
      <c r="P113">
        <v>0</v>
      </c>
      <c r="S113" t="s">
        <v>141</v>
      </c>
      <c r="T113">
        <v>0</v>
      </c>
      <c r="W113" t="s">
        <v>141</v>
      </c>
      <c r="X113">
        <v>0</v>
      </c>
      <c r="AA113" t="s">
        <v>141</v>
      </c>
      <c r="AB113">
        <v>5</v>
      </c>
      <c r="AE113" t="s">
        <v>141</v>
      </c>
      <c r="AF113">
        <v>3</v>
      </c>
      <c r="AI113" t="s">
        <v>141</v>
      </c>
      <c r="AJ113">
        <v>3</v>
      </c>
      <c r="AM113" t="s">
        <v>141</v>
      </c>
      <c r="AN113">
        <v>6</v>
      </c>
      <c r="AQ113" t="s">
        <v>141</v>
      </c>
      <c r="AR113">
        <v>4</v>
      </c>
      <c r="AT113" t="s">
        <v>76</v>
      </c>
      <c r="AU113">
        <v>1</v>
      </c>
    </row>
    <row r="114" spans="1:47" x14ac:dyDescent="0.35">
      <c r="C114" t="s">
        <v>208</v>
      </c>
      <c r="D114">
        <v>0</v>
      </c>
      <c r="G114" t="s">
        <v>208</v>
      </c>
      <c r="H114">
        <v>0</v>
      </c>
      <c r="K114" t="s">
        <v>208</v>
      </c>
      <c r="L114">
        <v>0</v>
      </c>
      <c r="O114" t="s">
        <v>208</v>
      </c>
      <c r="P114">
        <v>0</v>
      </c>
      <c r="S114" t="s">
        <v>208</v>
      </c>
      <c r="T114">
        <v>0</v>
      </c>
      <c r="W114" t="s">
        <v>208</v>
      </c>
      <c r="X114">
        <v>0</v>
      </c>
      <c r="AA114" t="s">
        <v>208</v>
      </c>
      <c r="AB114">
        <v>1248</v>
      </c>
      <c r="AE114" t="s">
        <v>208</v>
      </c>
      <c r="AF114">
        <v>1376</v>
      </c>
      <c r="AI114" t="s">
        <v>208</v>
      </c>
      <c r="AJ114">
        <v>1221</v>
      </c>
      <c r="AM114" t="s">
        <v>208</v>
      </c>
      <c r="AN114">
        <v>1355</v>
      </c>
      <c r="AQ114" t="s">
        <v>208</v>
      </c>
      <c r="AR114">
        <v>1579</v>
      </c>
      <c r="AT114" t="s">
        <v>77</v>
      </c>
      <c r="AU114">
        <v>0</v>
      </c>
    </row>
    <row r="115" spans="1:47" x14ac:dyDescent="0.35">
      <c r="C115" t="s">
        <v>209</v>
      </c>
      <c r="D115">
        <v>0</v>
      </c>
      <c r="G115" t="s">
        <v>209</v>
      </c>
      <c r="H115">
        <v>0</v>
      </c>
      <c r="K115" t="s">
        <v>209</v>
      </c>
      <c r="L115">
        <v>0</v>
      </c>
      <c r="O115" t="s">
        <v>209</v>
      </c>
      <c r="P115">
        <v>0</v>
      </c>
      <c r="S115" t="s">
        <v>209</v>
      </c>
      <c r="T115">
        <v>0</v>
      </c>
      <c r="W115" t="s">
        <v>209</v>
      </c>
      <c r="X115">
        <v>0</v>
      </c>
      <c r="AA115" t="s">
        <v>209</v>
      </c>
      <c r="AB115">
        <v>3342</v>
      </c>
      <c r="AE115" t="s">
        <v>209</v>
      </c>
      <c r="AF115">
        <v>3956</v>
      </c>
      <c r="AI115" t="s">
        <v>209</v>
      </c>
      <c r="AJ115">
        <v>3691</v>
      </c>
      <c r="AM115" t="s">
        <v>209</v>
      </c>
      <c r="AN115">
        <v>3629</v>
      </c>
      <c r="AQ115" t="s">
        <v>209</v>
      </c>
      <c r="AR115">
        <v>3204</v>
      </c>
      <c r="AT115" t="s">
        <v>78</v>
      </c>
      <c r="AU115">
        <v>20</v>
      </c>
    </row>
    <row r="116" spans="1:47" x14ac:dyDescent="0.35">
      <c r="C116" t="s">
        <v>134</v>
      </c>
      <c r="D116">
        <v>0</v>
      </c>
      <c r="G116" t="s">
        <v>134</v>
      </c>
      <c r="H116">
        <v>0</v>
      </c>
      <c r="K116" t="s">
        <v>134</v>
      </c>
      <c r="L116">
        <v>0</v>
      </c>
      <c r="O116" t="s">
        <v>134</v>
      </c>
      <c r="P116">
        <v>0</v>
      </c>
      <c r="S116" t="s">
        <v>134</v>
      </c>
      <c r="T116">
        <v>0</v>
      </c>
      <c r="W116" t="s">
        <v>134</v>
      </c>
      <c r="X116">
        <v>0</v>
      </c>
      <c r="AA116" t="s">
        <v>134</v>
      </c>
      <c r="AB116">
        <v>318</v>
      </c>
      <c r="AE116" t="s">
        <v>134</v>
      </c>
      <c r="AF116">
        <v>330</v>
      </c>
      <c r="AI116" t="s">
        <v>134</v>
      </c>
      <c r="AJ116">
        <v>338</v>
      </c>
      <c r="AM116" t="s">
        <v>134</v>
      </c>
      <c r="AN116">
        <v>337</v>
      </c>
      <c r="AQ116" t="s">
        <v>134</v>
      </c>
      <c r="AR116">
        <v>318</v>
      </c>
      <c r="AT116" t="s">
        <v>67</v>
      </c>
      <c r="AU116">
        <v>460</v>
      </c>
    </row>
    <row r="117" spans="1:47" x14ac:dyDescent="0.35">
      <c r="C117" t="s">
        <v>142</v>
      </c>
      <c r="D117">
        <v>0</v>
      </c>
      <c r="G117" t="s">
        <v>142</v>
      </c>
      <c r="H117">
        <v>0</v>
      </c>
      <c r="K117" t="s">
        <v>142</v>
      </c>
      <c r="L117">
        <v>0</v>
      </c>
      <c r="O117" t="s">
        <v>142</v>
      </c>
      <c r="P117">
        <v>0</v>
      </c>
      <c r="S117" t="s">
        <v>142</v>
      </c>
      <c r="T117">
        <v>0</v>
      </c>
      <c r="W117" t="s">
        <v>142</v>
      </c>
      <c r="X117">
        <v>0</v>
      </c>
      <c r="AA117" t="s">
        <v>142</v>
      </c>
      <c r="AB117">
        <v>10</v>
      </c>
      <c r="AE117" t="s">
        <v>142</v>
      </c>
      <c r="AF117">
        <v>10</v>
      </c>
      <c r="AI117" t="s">
        <v>142</v>
      </c>
      <c r="AJ117">
        <v>10</v>
      </c>
      <c r="AM117" t="s">
        <v>142</v>
      </c>
      <c r="AN117">
        <v>11</v>
      </c>
      <c r="AQ117" t="s">
        <v>142</v>
      </c>
      <c r="AR117">
        <v>6</v>
      </c>
      <c r="AT117" t="s">
        <v>80</v>
      </c>
      <c r="AU117">
        <v>58</v>
      </c>
    </row>
    <row r="118" spans="1:47" x14ac:dyDescent="0.35">
      <c r="C118" t="s">
        <v>83</v>
      </c>
      <c r="D118">
        <v>0</v>
      </c>
      <c r="G118" t="s">
        <v>83</v>
      </c>
      <c r="H118">
        <v>0</v>
      </c>
      <c r="K118" t="s">
        <v>83</v>
      </c>
      <c r="L118">
        <v>0</v>
      </c>
      <c r="O118" t="s">
        <v>83</v>
      </c>
      <c r="P118">
        <v>0</v>
      </c>
      <c r="S118" t="s">
        <v>83</v>
      </c>
      <c r="T118">
        <v>0</v>
      </c>
      <c r="W118" t="s">
        <v>83</v>
      </c>
      <c r="X118">
        <v>0</v>
      </c>
      <c r="AA118" t="s">
        <v>83</v>
      </c>
      <c r="AB118">
        <v>42</v>
      </c>
      <c r="AE118" t="s">
        <v>83</v>
      </c>
      <c r="AF118">
        <v>38</v>
      </c>
      <c r="AI118" t="s">
        <v>83</v>
      </c>
      <c r="AJ118">
        <v>66</v>
      </c>
      <c r="AM118" t="s">
        <v>83</v>
      </c>
      <c r="AN118">
        <v>42</v>
      </c>
      <c r="AQ118" t="s">
        <v>83</v>
      </c>
      <c r="AR118">
        <v>30</v>
      </c>
      <c r="AT118" t="s">
        <v>83</v>
      </c>
      <c r="AU118">
        <v>38</v>
      </c>
    </row>
    <row r="119" spans="1:47" x14ac:dyDescent="0.35">
      <c r="C119" t="s">
        <v>84</v>
      </c>
      <c r="D119">
        <v>0</v>
      </c>
      <c r="G119" t="s">
        <v>84</v>
      </c>
      <c r="H119">
        <v>0</v>
      </c>
      <c r="K119" t="s">
        <v>84</v>
      </c>
      <c r="L119">
        <v>0</v>
      </c>
      <c r="O119" t="s">
        <v>84</v>
      </c>
      <c r="P119">
        <v>0</v>
      </c>
      <c r="S119" t="s">
        <v>84</v>
      </c>
      <c r="T119">
        <v>0</v>
      </c>
      <c r="W119" t="s">
        <v>84</v>
      </c>
      <c r="X119">
        <v>0</v>
      </c>
      <c r="AA119" t="s">
        <v>84</v>
      </c>
      <c r="AB119">
        <v>0</v>
      </c>
      <c r="AE119" t="s">
        <v>84</v>
      </c>
      <c r="AF119">
        <v>0</v>
      </c>
      <c r="AI119" t="s">
        <v>84</v>
      </c>
      <c r="AJ119">
        <v>0</v>
      </c>
      <c r="AM119" t="s">
        <v>84</v>
      </c>
      <c r="AN119">
        <v>0</v>
      </c>
      <c r="AQ119" t="s">
        <v>84</v>
      </c>
      <c r="AR119">
        <v>0</v>
      </c>
      <c r="AT119" t="s">
        <v>84</v>
      </c>
      <c r="AU119">
        <v>0</v>
      </c>
    </row>
    <row r="120" spans="1:47" x14ac:dyDescent="0.35">
      <c r="C120" t="s">
        <v>126</v>
      </c>
      <c r="D120">
        <v>0</v>
      </c>
      <c r="G120" t="s">
        <v>126</v>
      </c>
      <c r="H120">
        <v>0</v>
      </c>
      <c r="K120" t="s">
        <v>223</v>
      </c>
      <c r="L120">
        <v>0</v>
      </c>
      <c r="O120" t="s">
        <v>126</v>
      </c>
      <c r="P120">
        <v>0</v>
      </c>
      <c r="S120" t="s">
        <v>126</v>
      </c>
      <c r="T120">
        <v>0</v>
      </c>
      <c r="W120" t="s">
        <v>126</v>
      </c>
      <c r="X120">
        <v>0</v>
      </c>
      <c r="AA120" t="s">
        <v>126</v>
      </c>
      <c r="AB120">
        <v>9</v>
      </c>
      <c r="AE120" t="s">
        <v>126</v>
      </c>
      <c r="AF120">
        <v>8</v>
      </c>
      <c r="AI120" t="s">
        <v>126</v>
      </c>
      <c r="AJ120">
        <v>7</v>
      </c>
      <c r="AM120" t="s">
        <v>126</v>
      </c>
      <c r="AN120">
        <v>8</v>
      </c>
      <c r="AQ120" t="s">
        <v>126</v>
      </c>
      <c r="AR120">
        <v>11</v>
      </c>
      <c r="AT120" t="s">
        <v>86</v>
      </c>
      <c r="AU120">
        <v>0</v>
      </c>
    </row>
    <row r="121" spans="1:47" x14ac:dyDescent="0.35">
      <c r="C121" t="s">
        <v>87</v>
      </c>
      <c r="D121">
        <v>0</v>
      </c>
      <c r="G121" t="s">
        <v>87</v>
      </c>
      <c r="H121">
        <v>0</v>
      </c>
      <c r="K121" t="s">
        <v>87</v>
      </c>
      <c r="L121">
        <v>0</v>
      </c>
      <c r="O121" t="s">
        <v>87</v>
      </c>
      <c r="P121">
        <v>0</v>
      </c>
      <c r="S121" t="s">
        <v>87</v>
      </c>
      <c r="T121">
        <v>0</v>
      </c>
      <c r="W121" t="s">
        <v>87</v>
      </c>
      <c r="X121">
        <v>0</v>
      </c>
      <c r="AA121" t="s">
        <v>87</v>
      </c>
      <c r="AB121">
        <v>0</v>
      </c>
      <c r="AE121" t="s">
        <v>87</v>
      </c>
      <c r="AF121">
        <v>0</v>
      </c>
      <c r="AI121" t="s">
        <v>87</v>
      </c>
      <c r="AJ121">
        <v>0</v>
      </c>
      <c r="AM121" t="s">
        <v>87</v>
      </c>
      <c r="AN121">
        <v>0</v>
      </c>
      <c r="AQ121" t="s">
        <v>87</v>
      </c>
      <c r="AR121">
        <v>0</v>
      </c>
      <c r="AT121" t="s">
        <v>87</v>
      </c>
      <c r="AU121">
        <v>0</v>
      </c>
    </row>
    <row r="122" spans="1:47" x14ac:dyDescent="0.35">
      <c r="A122" t="s">
        <v>152</v>
      </c>
      <c r="B122">
        <v>4773305.4999999991</v>
      </c>
      <c r="C122" t="s">
        <v>135</v>
      </c>
      <c r="D122">
        <v>0</v>
      </c>
      <c r="E122" t="s">
        <v>152</v>
      </c>
      <c r="F122">
        <v>4802428.5000000065</v>
      </c>
      <c r="G122" t="s">
        <v>135</v>
      </c>
      <c r="H122">
        <v>0</v>
      </c>
      <c r="I122" t="s">
        <v>152</v>
      </c>
      <c r="J122">
        <v>4798734.5</v>
      </c>
      <c r="K122" t="s">
        <v>135</v>
      </c>
      <c r="L122">
        <v>17</v>
      </c>
      <c r="M122" t="s">
        <v>152</v>
      </c>
      <c r="N122">
        <v>4819332.9999999991</v>
      </c>
      <c r="O122" t="s">
        <v>135</v>
      </c>
      <c r="P122">
        <v>648</v>
      </c>
      <c r="Q122" t="s">
        <v>152</v>
      </c>
      <c r="R122">
        <v>4904177.5000000019</v>
      </c>
      <c r="S122" t="s">
        <v>135</v>
      </c>
      <c r="T122">
        <v>0</v>
      </c>
      <c r="U122" t="s">
        <v>152</v>
      </c>
      <c r="V122">
        <v>4996741.0000000009</v>
      </c>
      <c r="W122" t="s">
        <v>135</v>
      </c>
      <c r="X122">
        <v>0</v>
      </c>
      <c r="Y122" t="s">
        <v>152</v>
      </c>
      <c r="Z122">
        <v>5094779.9999999991</v>
      </c>
      <c r="AA122" t="s">
        <v>135</v>
      </c>
      <c r="AB122">
        <v>670</v>
      </c>
      <c r="AC122" t="s">
        <v>152</v>
      </c>
      <c r="AD122">
        <v>5209324.4999999963</v>
      </c>
      <c r="AE122" t="s">
        <v>135</v>
      </c>
      <c r="AF122">
        <v>0</v>
      </c>
      <c r="AG122" t="s">
        <v>152</v>
      </c>
      <c r="AH122">
        <v>5343019.9999999991</v>
      </c>
      <c r="AI122" t="s">
        <v>135</v>
      </c>
      <c r="AJ122">
        <v>0</v>
      </c>
      <c r="AK122" t="s">
        <v>152</v>
      </c>
      <c r="AL122">
        <v>5457154.4999999991</v>
      </c>
      <c r="AM122" t="s">
        <v>135</v>
      </c>
      <c r="AN122">
        <v>561</v>
      </c>
      <c r="AO122" t="s">
        <v>152</v>
      </c>
      <c r="AP122">
        <v>5579143.5000000047</v>
      </c>
      <c r="AQ122" t="s">
        <v>135</v>
      </c>
      <c r="AR122">
        <v>0</v>
      </c>
      <c r="AS122" t="s">
        <v>152</v>
      </c>
      <c r="AT122" t="s">
        <v>148</v>
      </c>
      <c r="AU122">
        <v>335</v>
      </c>
    </row>
    <row r="123" spans="1:47" x14ac:dyDescent="0.35">
      <c r="C123" t="s">
        <v>139</v>
      </c>
      <c r="D123">
        <v>0</v>
      </c>
      <c r="G123" t="s">
        <v>139</v>
      </c>
      <c r="H123">
        <v>0</v>
      </c>
      <c r="K123" t="s">
        <v>139</v>
      </c>
      <c r="L123">
        <v>0</v>
      </c>
      <c r="O123" t="s">
        <v>139</v>
      </c>
      <c r="P123">
        <v>644</v>
      </c>
      <c r="S123" t="s">
        <v>139</v>
      </c>
      <c r="T123">
        <v>0</v>
      </c>
      <c r="W123" t="s">
        <v>139</v>
      </c>
      <c r="X123">
        <v>0</v>
      </c>
      <c r="AA123" t="s">
        <v>139</v>
      </c>
      <c r="AB123">
        <v>2390</v>
      </c>
      <c r="AE123" t="s">
        <v>139</v>
      </c>
      <c r="AF123">
        <v>0</v>
      </c>
      <c r="AI123" t="s">
        <v>139</v>
      </c>
      <c r="AJ123">
        <v>0</v>
      </c>
      <c r="AM123" t="s">
        <v>139</v>
      </c>
      <c r="AN123">
        <v>1010</v>
      </c>
      <c r="AQ123" t="s">
        <v>139</v>
      </c>
      <c r="AR123">
        <v>0</v>
      </c>
      <c r="AT123" t="s">
        <v>139</v>
      </c>
      <c r="AU123">
        <v>751</v>
      </c>
    </row>
    <row r="124" spans="1:47" x14ac:dyDescent="0.35">
      <c r="C124" t="s">
        <v>138</v>
      </c>
      <c r="D124">
        <v>0</v>
      </c>
      <c r="G124" t="s">
        <v>138</v>
      </c>
      <c r="H124">
        <v>1028</v>
      </c>
      <c r="K124" t="s">
        <v>138</v>
      </c>
      <c r="L124">
        <v>0</v>
      </c>
      <c r="O124" t="s">
        <v>138</v>
      </c>
      <c r="P124">
        <v>1210</v>
      </c>
      <c r="S124" t="s">
        <v>138</v>
      </c>
      <c r="T124">
        <v>0</v>
      </c>
      <c r="W124" t="s">
        <v>138</v>
      </c>
      <c r="X124">
        <v>0</v>
      </c>
      <c r="AA124" t="s">
        <v>138</v>
      </c>
      <c r="AB124">
        <v>0</v>
      </c>
      <c r="AE124" t="s">
        <v>138</v>
      </c>
      <c r="AF124">
        <v>0</v>
      </c>
      <c r="AI124" t="s">
        <v>138</v>
      </c>
      <c r="AJ124">
        <v>0</v>
      </c>
      <c r="AM124" t="s">
        <v>138</v>
      </c>
      <c r="AN124">
        <v>1074</v>
      </c>
      <c r="AQ124" t="s">
        <v>138</v>
      </c>
      <c r="AR124">
        <v>0</v>
      </c>
      <c r="AT124" t="s">
        <v>138</v>
      </c>
      <c r="AU124">
        <v>444</v>
      </c>
    </row>
    <row r="125" spans="1:47" x14ac:dyDescent="0.35">
      <c r="C125" t="s">
        <v>82</v>
      </c>
      <c r="D125">
        <v>1603</v>
      </c>
      <c r="G125" t="s">
        <v>82</v>
      </c>
      <c r="H125">
        <v>382</v>
      </c>
      <c r="K125" t="s">
        <v>82</v>
      </c>
      <c r="L125">
        <v>574</v>
      </c>
      <c r="O125" t="s">
        <v>82</v>
      </c>
      <c r="P125">
        <v>0</v>
      </c>
      <c r="S125" t="s">
        <v>82</v>
      </c>
      <c r="T125">
        <v>29</v>
      </c>
      <c r="W125" t="s">
        <v>82</v>
      </c>
      <c r="X125">
        <v>971</v>
      </c>
      <c r="AA125" t="s">
        <v>82</v>
      </c>
      <c r="AB125">
        <v>483</v>
      </c>
      <c r="AE125" t="s">
        <v>82</v>
      </c>
      <c r="AF125">
        <v>1362</v>
      </c>
      <c r="AI125" t="s">
        <v>82</v>
      </c>
      <c r="AJ125">
        <v>105</v>
      </c>
      <c r="AM125" t="s">
        <v>82</v>
      </c>
      <c r="AN125">
        <v>0</v>
      </c>
      <c r="AQ125" t="s">
        <v>82</v>
      </c>
      <c r="AR125">
        <v>2695</v>
      </c>
      <c r="AT125" t="s">
        <v>82</v>
      </c>
      <c r="AU125">
        <v>36</v>
      </c>
    </row>
    <row r="126" spans="1:47" x14ac:dyDescent="0.35">
      <c r="C126" t="s">
        <v>60</v>
      </c>
      <c r="D126">
        <v>171</v>
      </c>
      <c r="G126" t="s">
        <v>60</v>
      </c>
      <c r="H126">
        <v>50</v>
      </c>
      <c r="K126" t="s">
        <v>60</v>
      </c>
      <c r="L126">
        <v>110</v>
      </c>
      <c r="O126" t="s">
        <v>60</v>
      </c>
      <c r="P126">
        <v>0</v>
      </c>
      <c r="S126" t="s">
        <v>60</v>
      </c>
      <c r="T126">
        <v>10</v>
      </c>
      <c r="W126" t="s">
        <v>60</v>
      </c>
      <c r="X126">
        <v>405</v>
      </c>
      <c r="AA126" t="s">
        <v>60</v>
      </c>
      <c r="AB126">
        <v>21</v>
      </c>
      <c r="AE126" t="s">
        <v>60</v>
      </c>
      <c r="AF126">
        <v>446</v>
      </c>
      <c r="AI126" t="s">
        <v>60</v>
      </c>
      <c r="AJ126">
        <v>0</v>
      </c>
      <c r="AM126" t="s">
        <v>60</v>
      </c>
      <c r="AN126">
        <v>0</v>
      </c>
      <c r="AQ126" t="s">
        <v>60</v>
      </c>
      <c r="AR126">
        <v>488</v>
      </c>
      <c r="AT126" t="s">
        <v>60</v>
      </c>
      <c r="AU126">
        <v>10</v>
      </c>
    </row>
    <row r="127" spans="1:47" x14ac:dyDescent="0.35">
      <c r="C127" t="s">
        <v>127</v>
      </c>
      <c r="D127">
        <v>0</v>
      </c>
      <c r="G127" t="s">
        <v>127</v>
      </c>
      <c r="H127">
        <v>0</v>
      </c>
      <c r="K127" t="s">
        <v>127</v>
      </c>
      <c r="L127">
        <v>0</v>
      </c>
      <c r="O127" t="s">
        <v>127</v>
      </c>
      <c r="P127">
        <v>0</v>
      </c>
      <c r="S127" t="s">
        <v>127</v>
      </c>
      <c r="T127">
        <v>0</v>
      </c>
      <c r="W127" t="s">
        <v>127</v>
      </c>
      <c r="X127">
        <v>0</v>
      </c>
      <c r="AA127" t="s">
        <v>127</v>
      </c>
      <c r="AB127">
        <v>115</v>
      </c>
      <c r="AE127" t="s">
        <v>127</v>
      </c>
      <c r="AF127">
        <v>0</v>
      </c>
      <c r="AI127" t="s">
        <v>127</v>
      </c>
      <c r="AJ127">
        <v>0</v>
      </c>
      <c r="AM127" t="s">
        <v>127</v>
      </c>
      <c r="AN127">
        <v>1595</v>
      </c>
      <c r="AQ127" t="s">
        <v>127</v>
      </c>
      <c r="AR127">
        <v>0</v>
      </c>
      <c r="AT127" t="s">
        <v>58</v>
      </c>
      <c r="AU127">
        <v>115</v>
      </c>
    </row>
    <row r="128" spans="1:47" x14ac:dyDescent="0.35">
      <c r="C128" t="s">
        <v>61</v>
      </c>
      <c r="D128">
        <v>15</v>
      </c>
      <c r="G128" t="s">
        <v>61</v>
      </c>
      <c r="H128">
        <v>44</v>
      </c>
      <c r="K128" t="s">
        <v>61</v>
      </c>
      <c r="L128">
        <v>44</v>
      </c>
      <c r="O128" t="s">
        <v>61</v>
      </c>
      <c r="P128">
        <v>0</v>
      </c>
      <c r="S128" t="s">
        <v>61</v>
      </c>
      <c r="T128">
        <v>11</v>
      </c>
      <c r="W128" t="s">
        <v>61</v>
      </c>
      <c r="X128">
        <v>55</v>
      </c>
      <c r="AA128" t="s">
        <v>61</v>
      </c>
      <c r="AB128">
        <v>77</v>
      </c>
      <c r="AE128" t="s">
        <v>61</v>
      </c>
      <c r="AF128">
        <v>0</v>
      </c>
      <c r="AI128" t="s">
        <v>61</v>
      </c>
      <c r="AJ128">
        <v>0</v>
      </c>
      <c r="AM128" t="s">
        <v>61</v>
      </c>
      <c r="AN128">
        <v>0</v>
      </c>
      <c r="AQ128" t="s">
        <v>61</v>
      </c>
      <c r="AR128">
        <v>1634</v>
      </c>
      <c r="AT128" t="s">
        <v>61</v>
      </c>
      <c r="AU128">
        <v>0</v>
      </c>
    </row>
    <row r="129" spans="3:47" x14ac:dyDescent="0.35">
      <c r="C129" t="s">
        <v>62</v>
      </c>
      <c r="D129">
        <v>11</v>
      </c>
      <c r="G129" t="s">
        <v>62</v>
      </c>
      <c r="H129">
        <v>257</v>
      </c>
      <c r="K129" t="s">
        <v>62</v>
      </c>
      <c r="L129">
        <v>0</v>
      </c>
      <c r="O129" t="s">
        <v>62</v>
      </c>
      <c r="P129">
        <v>0</v>
      </c>
      <c r="S129" t="s">
        <v>62</v>
      </c>
      <c r="T129">
        <v>0</v>
      </c>
      <c r="W129" t="s">
        <v>62</v>
      </c>
      <c r="X129">
        <v>669</v>
      </c>
      <c r="AA129" t="s">
        <v>62</v>
      </c>
      <c r="AB129">
        <v>0</v>
      </c>
      <c r="AE129" t="s">
        <v>62</v>
      </c>
      <c r="AF129">
        <v>0</v>
      </c>
      <c r="AI129" t="s">
        <v>62</v>
      </c>
      <c r="AJ129">
        <v>0</v>
      </c>
      <c r="AM129" t="s">
        <v>62</v>
      </c>
      <c r="AN129">
        <v>0</v>
      </c>
      <c r="AQ129" t="s">
        <v>62</v>
      </c>
      <c r="AR129">
        <v>47</v>
      </c>
      <c r="AT129" t="s">
        <v>62</v>
      </c>
      <c r="AU129">
        <v>105</v>
      </c>
    </row>
    <row r="130" spans="3:47" x14ac:dyDescent="0.35">
      <c r="C130" t="s">
        <v>203</v>
      </c>
      <c r="D130">
        <v>0</v>
      </c>
      <c r="G130" t="s">
        <v>203</v>
      </c>
      <c r="H130">
        <v>0</v>
      </c>
      <c r="K130" t="s">
        <v>203</v>
      </c>
      <c r="L130">
        <v>0</v>
      </c>
      <c r="O130" t="s">
        <v>203</v>
      </c>
      <c r="P130">
        <v>0</v>
      </c>
      <c r="S130" t="s">
        <v>203</v>
      </c>
      <c r="T130">
        <v>0</v>
      </c>
      <c r="W130" t="s">
        <v>203</v>
      </c>
      <c r="X130">
        <v>0</v>
      </c>
      <c r="AA130" t="s">
        <v>203</v>
      </c>
      <c r="AB130">
        <v>0</v>
      </c>
      <c r="AE130" t="s">
        <v>203</v>
      </c>
      <c r="AF130">
        <v>0</v>
      </c>
      <c r="AI130" t="s">
        <v>203</v>
      </c>
      <c r="AJ130">
        <v>0</v>
      </c>
      <c r="AM130" t="s">
        <v>203</v>
      </c>
      <c r="AN130">
        <v>308</v>
      </c>
      <c r="AQ130" t="s">
        <v>203</v>
      </c>
      <c r="AR130">
        <v>0</v>
      </c>
      <c r="AT130" t="s">
        <v>64</v>
      </c>
      <c r="AU130">
        <v>79</v>
      </c>
    </row>
    <row r="131" spans="3:47" x14ac:dyDescent="0.35">
      <c r="C131" t="s">
        <v>204</v>
      </c>
      <c r="D131">
        <v>0</v>
      </c>
      <c r="G131" t="s">
        <v>204</v>
      </c>
      <c r="H131">
        <v>0</v>
      </c>
      <c r="K131" t="s">
        <v>204</v>
      </c>
      <c r="L131">
        <v>0</v>
      </c>
      <c r="O131" t="s">
        <v>204</v>
      </c>
      <c r="P131">
        <v>0</v>
      </c>
      <c r="S131" t="s">
        <v>204</v>
      </c>
      <c r="T131">
        <v>0</v>
      </c>
      <c r="W131" t="s">
        <v>204</v>
      </c>
      <c r="X131">
        <v>0</v>
      </c>
      <c r="AA131" t="s">
        <v>204</v>
      </c>
      <c r="AB131">
        <v>0</v>
      </c>
      <c r="AE131" t="s">
        <v>204</v>
      </c>
      <c r="AF131">
        <v>0</v>
      </c>
      <c r="AI131" t="s">
        <v>204</v>
      </c>
      <c r="AJ131">
        <v>0</v>
      </c>
      <c r="AM131" t="s">
        <v>204</v>
      </c>
      <c r="AN131">
        <v>0</v>
      </c>
      <c r="AQ131" t="s">
        <v>204</v>
      </c>
      <c r="AR131">
        <v>0</v>
      </c>
      <c r="AT131" t="s">
        <v>65</v>
      </c>
      <c r="AU131">
        <v>22</v>
      </c>
    </row>
    <row r="132" spans="3:47" x14ac:dyDescent="0.35">
      <c r="C132" t="s">
        <v>205</v>
      </c>
      <c r="D132">
        <v>0</v>
      </c>
      <c r="G132" t="s">
        <v>205</v>
      </c>
      <c r="H132">
        <v>0</v>
      </c>
      <c r="K132" t="s">
        <v>205</v>
      </c>
      <c r="L132">
        <v>0</v>
      </c>
      <c r="O132" t="s">
        <v>205</v>
      </c>
      <c r="P132">
        <v>0</v>
      </c>
      <c r="S132" t="s">
        <v>205</v>
      </c>
      <c r="T132">
        <v>0</v>
      </c>
      <c r="W132" t="s">
        <v>205</v>
      </c>
      <c r="X132">
        <v>0</v>
      </c>
      <c r="AA132" t="s">
        <v>205</v>
      </c>
      <c r="AB132">
        <v>1</v>
      </c>
      <c r="AE132" t="s">
        <v>205</v>
      </c>
      <c r="AF132">
        <v>0</v>
      </c>
      <c r="AI132" t="s">
        <v>205</v>
      </c>
      <c r="AJ132">
        <v>0</v>
      </c>
      <c r="AM132" t="s">
        <v>205</v>
      </c>
      <c r="AN132">
        <v>0</v>
      </c>
      <c r="AQ132" t="s">
        <v>205</v>
      </c>
      <c r="AR132">
        <v>0</v>
      </c>
      <c r="AT132" t="s">
        <v>66</v>
      </c>
      <c r="AU132">
        <v>0</v>
      </c>
    </row>
    <row r="133" spans="3:47" x14ac:dyDescent="0.35">
      <c r="C133" t="s">
        <v>133</v>
      </c>
      <c r="D133">
        <v>0</v>
      </c>
      <c r="G133" t="s">
        <v>133</v>
      </c>
      <c r="H133">
        <v>0</v>
      </c>
      <c r="K133" t="s">
        <v>133</v>
      </c>
      <c r="L133">
        <v>0</v>
      </c>
      <c r="O133" t="s">
        <v>133</v>
      </c>
      <c r="P133">
        <v>0</v>
      </c>
      <c r="S133" t="s">
        <v>133</v>
      </c>
      <c r="T133">
        <v>0</v>
      </c>
      <c r="W133" t="s">
        <v>133</v>
      </c>
      <c r="X133">
        <v>0</v>
      </c>
      <c r="AA133" t="s">
        <v>133</v>
      </c>
      <c r="AB133">
        <v>112</v>
      </c>
      <c r="AE133" t="s">
        <v>133</v>
      </c>
      <c r="AF133">
        <v>0</v>
      </c>
      <c r="AI133" t="s">
        <v>133</v>
      </c>
      <c r="AJ133">
        <v>0</v>
      </c>
      <c r="AM133" t="s">
        <v>133</v>
      </c>
      <c r="AN133">
        <v>0</v>
      </c>
      <c r="AQ133" t="s">
        <v>133</v>
      </c>
      <c r="AR133">
        <v>0</v>
      </c>
      <c r="AT133" t="s">
        <v>79</v>
      </c>
      <c r="AU133">
        <v>3</v>
      </c>
    </row>
    <row r="134" spans="3:47" x14ac:dyDescent="0.35">
      <c r="C134" t="s">
        <v>206</v>
      </c>
      <c r="D134">
        <v>0</v>
      </c>
      <c r="G134" t="s">
        <v>206</v>
      </c>
      <c r="H134">
        <v>0</v>
      </c>
      <c r="K134" t="s">
        <v>206</v>
      </c>
      <c r="L134">
        <v>0</v>
      </c>
      <c r="O134" t="s">
        <v>206</v>
      </c>
      <c r="P134">
        <v>0</v>
      </c>
      <c r="S134" t="s">
        <v>206</v>
      </c>
      <c r="T134">
        <v>0</v>
      </c>
      <c r="W134" t="s">
        <v>206</v>
      </c>
      <c r="X134">
        <v>0</v>
      </c>
      <c r="AA134" t="s">
        <v>206</v>
      </c>
      <c r="AB134">
        <v>0</v>
      </c>
      <c r="AE134" t="s">
        <v>206</v>
      </c>
      <c r="AF134">
        <v>0</v>
      </c>
      <c r="AI134" t="s">
        <v>206</v>
      </c>
      <c r="AJ134">
        <v>0</v>
      </c>
      <c r="AM134" t="s">
        <v>206</v>
      </c>
      <c r="AN134">
        <v>0</v>
      </c>
      <c r="AQ134" t="s">
        <v>206</v>
      </c>
      <c r="AR134">
        <v>0</v>
      </c>
      <c r="AT134" t="s">
        <v>68</v>
      </c>
      <c r="AU134">
        <v>104</v>
      </c>
    </row>
    <row r="135" spans="3:47" x14ac:dyDescent="0.35">
      <c r="C135" t="s">
        <v>136</v>
      </c>
      <c r="D135">
        <v>0</v>
      </c>
      <c r="G135" t="s">
        <v>136</v>
      </c>
      <c r="H135">
        <v>0</v>
      </c>
      <c r="K135" t="s">
        <v>136</v>
      </c>
      <c r="L135">
        <v>0</v>
      </c>
      <c r="O135" t="s">
        <v>136</v>
      </c>
      <c r="P135">
        <v>0</v>
      </c>
      <c r="S135" t="s">
        <v>136</v>
      </c>
      <c r="T135">
        <v>0</v>
      </c>
      <c r="W135" t="s">
        <v>136</v>
      </c>
      <c r="X135">
        <v>0</v>
      </c>
      <c r="AA135" t="s">
        <v>136</v>
      </c>
      <c r="AB135">
        <v>0</v>
      </c>
      <c r="AE135" t="s">
        <v>136</v>
      </c>
      <c r="AF135">
        <v>0</v>
      </c>
      <c r="AI135" t="s">
        <v>136</v>
      </c>
      <c r="AJ135">
        <v>0</v>
      </c>
      <c r="AM135" t="s">
        <v>136</v>
      </c>
      <c r="AN135">
        <v>0</v>
      </c>
      <c r="AQ135" t="s">
        <v>136</v>
      </c>
      <c r="AR135">
        <v>0</v>
      </c>
      <c r="AT135" t="s">
        <v>69</v>
      </c>
      <c r="AU135">
        <v>3</v>
      </c>
    </row>
    <row r="136" spans="3:47" x14ac:dyDescent="0.35">
      <c r="C136" t="s">
        <v>207</v>
      </c>
      <c r="D136">
        <v>0</v>
      </c>
      <c r="G136" t="s">
        <v>207</v>
      </c>
      <c r="H136">
        <v>0</v>
      </c>
      <c r="K136" t="s">
        <v>207</v>
      </c>
      <c r="L136">
        <v>0</v>
      </c>
      <c r="O136" t="s">
        <v>207</v>
      </c>
      <c r="P136">
        <v>0</v>
      </c>
      <c r="S136" t="s">
        <v>207</v>
      </c>
      <c r="T136">
        <v>0</v>
      </c>
      <c r="W136" t="s">
        <v>207</v>
      </c>
      <c r="X136">
        <v>0</v>
      </c>
      <c r="AA136" t="s">
        <v>207</v>
      </c>
      <c r="AB136">
        <v>0</v>
      </c>
      <c r="AE136" t="s">
        <v>207</v>
      </c>
      <c r="AF136">
        <v>0</v>
      </c>
      <c r="AI136" t="s">
        <v>207</v>
      </c>
      <c r="AJ136">
        <v>0</v>
      </c>
      <c r="AM136" t="s">
        <v>207</v>
      </c>
      <c r="AN136">
        <v>0</v>
      </c>
      <c r="AQ136" t="s">
        <v>207</v>
      </c>
      <c r="AR136">
        <v>0</v>
      </c>
      <c r="AT136" t="s">
        <v>70</v>
      </c>
      <c r="AU136">
        <v>20</v>
      </c>
    </row>
    <row r="137" spans="3:47" x14ac:dyDescent="0.35">
      <c r="C137" t="s">
        <v>141</v>
      </c>
      <c r="D137">
        <v>0</v>
      </c>
      <c r="G137" t="s">
        <v>141</v>
      </c>
      <c r="H137">
        <v>0</v>
      </c>
      <c r="K137" t="s">
        <v>141</v>
      </c>
      <c r="L137">
        <v>0</v>
      </c>
      <c r="O137" t="s">
        <v>141</v>
      </c>
      <c r="P137">
        <v>0</v>
      </c>
      <c r="S137" t="s">
        <v>141</v>
      </c>
      <c r="T137">
        <v>0</v>
      </c>
      <c r="W137" t="s">
        <v>141</v>
      </c>
      <c r="X137">
        <v>0</v>
      </c>
      <c r="AA137" t="s">
        <v>141</v>
      </c>
      <c r="AB137">
        <v>0</v>
      </c>
      <c r="AE137" t="s">
        <v>141</v>
      </c>
      <c r="AF137">
        <v>0</v>
      </c>
      <c r="AI137" t="s">
        <v>141</v>
      </c>
      <c r="AJ137">
        <v>0</v>
      </c>
      <c r="AM137" t="s">
        <v>141</v>
      </c>
      <c r="AN137">
        <v>0</v>
      </c>
      <c r="AQ137" t="s">
        <v>141</v>
      </c>
      <c r="AR137">
        <v>0</v>
      </c>
      <c r="AT137" t="s">
        <v>76</v>
      </c>
      <c r="AU137">
        <v>0</v>
      </c>
    </row>
    <row r="138" spans="3:47" x14ac:dyDescent="0.35">
      <c r="C138" t="s">
        <v>208</v>
      </c>
      <c r="D138">
        <v>0</v>
      </c>
      <c r="G138" t="s">
        <v>208</v>
      </c>
      <c r="H138">
        <v>0</v>
      </c>
      <c r="K138" t="s">
        <v>208</v>
      </c>
      <c r="L138">
        <v>0</v>
      </c>
      <c r="O138" t="s">
        <v>208</v>
      </c>
      <c r="P138">
        <v>0</v>
      </c>
      <c r="S138" t="s">
        <v>208</v>
      </c>
      <c r="T138">
        <v>0</v>
      </c>
      <c r="W138" t="s">
        <v>208</v>
      </c>
      <c r="X138">
        <v>0</v>
      </c>
      <c r="AA138" t="s">
        <v>208</v>
      </c>
      <c r="AB138">
        <v>0</v>
      </c>
      <c r="AE138" t="s">
        <v>208</v>
      </c>
      <c r="AF138">
        <v>0</v>
      </c>
      <c r="AI138" t="s">
        <v>208</v>
      </c>
      <c r="AJ138">
        <v>0</v>
      </c>
      <c r="AM138" t="s">
        <v>208</v>
      </c>
      <c r="AN138">
        <v>0</v>
      </c>
      <c r="AQ138" t="s">
        <v>208</v>
      </c>
      <c r="AR138">
        <v>0</v>
      </c>
      <c r="AT138" t="s">
        <v>77</v>
      </c>
      <c r="AU138">
        <v>65</v>
      </c>
    </row>
    <row r="139" spans="3:47" x14ac:dyDescent="0.35">
      <c r="C139" t="s">
        <v>209</v>
      </c>
      <c r="D139">
        <v>0</v>
      </c>
      <c r="G139" t="s">
        <v>209</v>
      </c>
      <c r="H139">
        <v>0</v>
      </c>
      <c r="K139" t="s">
        <v>209</v>
      </c>
      <c r="L139">
        <v>0</v>
      </c>
      <c r="O139" t="s">
        <v>209</v>
      </c>
      <c r="P139">
        <v>0</v>
      </c>
      <c r="S139" t="s">
        <v>209</v>
      </c>
      <c r="T139">
        <v>0</v>
      </c>
      <c r="W139" t="s">
        <v>209</v>
      </c>
      <c r="X139">
        <v>0</v>
      </c>
      <c r="AA139" t="s">
        <v>209</v>
      </c>
      <c r="AB139">
        <v>0</v>
      </c>
      <c r="AE139" t="s">
        <v>209</v>
      </c>
      <c r="AF139">
        <v>0</v>
      </c>
      <c r="AI139" t="s">
        <v>209</v>
      </c>
      <c r="AJ139">
        <v>0</v>
      </c>
      <c r="AM139" t="s">
        <v>209</v>
      </c>
      <c r="AN139">
        <v>0</v>
      </c>
      <c r="AQ139" t="s">
        <v>209</v>
      </c>
      <c r="AR139">
        <v>0</v>
      </c>
      <c r="AT139" t="s">
        <v>78</v>
      </c>
      <c r="AU139">
        <v>14</v>
      </c>
    </row>
    <row r="140" spans="3:47" x14ac:dyDescent="0.35">
      <c r="C140" t="s">
        <v>134</v>
      </c>
      <c r="D140">
        <v>0</v>
      </c>
      <c r="G140" t="s">
        <v>134</v>
      </c>
      <c r="H140">
        <v>0</v>
      </c>
      <c r="K140" t="s">
        <v>134</v>
      </c>
      <c r="L140">
        <v>0</v>
      </c>
      <c r="O140" t="s">
        <v>134</v>
      </c>
      <c r="P140">
        <v>0</v>
      </c>
      <c r="S140" t="s">
        <v>134</v>
      </c>
      <c r="T140">
        <v>0</v>
      </c>
      <c r="W140" t="s">
        <v>134</v>
      </c>
      <c r="X140">
        <v>0</v>
      </c>
      <c r="AA140" t="s">
        <v>134</v>
      </c>
      <c r="AB140">
        <v>0</v>
      </c>
      <c r="AE140" t="s">
        <v>134</v>
      </c>
      <c r="AF140">
        <v>0</v>
      </c>
      <c r="AI140" t="s">
        <v>134</v>
      </c>
      <c r="AJ140">
        <v>0</v>
      </c>
      <c r="AM140" t="s">
        <v>134</v>
      </c>
      <c r="AN140">
        <v>47</v>
      </c>
      <c r="AQ140" t="s">
        <v>134</v>
      </c>
      <c r="AR140">
        <v>0</v>
      </c>
      <c r="AT140" t="s">
        <v>67</v>
      </c>
      <c r="AU140">
        <v>112</v>
      </c>
    </row>
    <row r="141" spans="3:47" x14ac:dyDescent="0.35">
      <c r="C141" t="s">
        <v>142</v>
      </c>
      <c r="D141">
        <v>0</v>
      </c>
      <c r="G141" t="s">
        <v>142</v>
      </c>
      <c r="H141">
        <v>0</v>
      </c>
      <c r="K141" t="s">
        <v>142</v>
      </c>
      <c r="L141">
        <v>0</v>
      </c>
      <c r="O141" t="s">
        <v>142</v>
      </c>
      <c r="P141">
        <v>0</v>
      </c>
      <c r="S141" t="s">
        <v>142</v>
      </c>
      <c r="T141">
        <v>0</v>
      </c>
      <c r="W141" t="s">
        <v>142</v>
      </c>
      <c r="X141">
        <v>0</v>
      </c>
      <c r="AA141" t="s">
        <v>142</v>
      </c>
      <c r="AB141">
        <v>0</v>
      </c>
      <c r="AE141" t="s">
        <v>142</v>
      </c>
      <c r="AF141">
        <v>0</v>
      </c>
      <c r="AI141" t="s">
        <v>142</v>
      </c>
      <c r="AJ141">
        <v>0</v>
      </c>
      <c r="AM141" t="s">
        <v>142</v>
      </c>
      <c r="AN141">
        <v>0</v>
      </c>
      <c r="AQ141" t="s">
        <v>142</v>
      </c>
      <c r="AR141">
        <v>0</v>
      </c>
      <c r="AT141" t="s">
        <v>80</v>
      </c>
      <c r="AU141">
        <v>200</v>
      </c>
    </row>
    <row r="142" spans="3:47" x14ac:dyDescent="0.35">
      <c r="C142" t="s">
        <v>83</v>
      </c>
      <c r="D142">
        <v>0</v>
      </c>
      <c r="G142" t="s">
        <v>83</v>
      </c>
      <c r="H142">
        <v>0</v>
      </c>
      <c r="K142" t="s">
        <v>83</v>
      </c>
      <c r="L142">
        <v>0</v>
      </c>
      <c r="O142" t="s">
        <v>83</v>
      </c>
      <c r="P142">
        <v>0</v>
      </c>
      <c r="S142" t="s">
        <v>83</v>
      </c>
      <c r="T142">
        <v>0</v>
      </c>
      <c r="W142" t="s">
        <v>83</v>
      </c>
      <c r="X142">
        <v>0</v>
      </c>
      <c r="AA142" t="s">
        <v>83</v>
      </c>
      <c r="AB142">
        <v>0</v>
      </c>
      <c r="AE142" t="s">
        <v>83</v>
      </c>
      <c r="AF142">
        <v>0</v>
      </c>
      <c r="AI142" t="s">
        <v>83</v>
      </c>
      <c r="AJ142">
        <v>0</v>
      </c>
      <c r="AM142" t="s">
        <v>83</v>
      </c>
      <c r="AN142">
        <v>155</v>
      </c>
      <c r="AQ142" t="s">
        <v>83</v>
      </c>
      <c r="AR142">
        <v>0</v>
      </c>
      <c r="AT142" t="s">
        <v>83</v>
      </c>
      <c r="AU142">
        <v>0</v>
      </c>
    </row>
    <row r="143" spans="3:47" x14ac:dyDescent="0.35">
      <c r="C143" t="s">
        <v>84</v>
      </c>
      <c r="D143">
        <v>0</v>
      </c>
      <c r="G143" t="s">
        <v>84</v>
      </c>
      <c r="H143">
        <v>0</v>
      </c>
      <c r="K143" t="s">
        <v>84</v>
      </c>
      <c r="L143">
        <v>0</v>
      </c>
      <c r="O143" t="s">
        <v>84</v>
      </c>
      <c r="P143">
        <v>83</v>
      </c>
      <c r="S143" t="s">
        <v>84</v>
      </c>
      <c r="T143">
        <v>0</v>
      </c>
      <c r="W143" t="s">
        <v>84</v>
      </c>
      <c r="X143">
        <v>0</v>
      </c>
      <c r="AA143" t="s">
        <v>84</v>
      </c>
      <c r="AB143">
        <v>0</v>
      </c>
      <c r="AE143" t="s">
        <v>84</v>
      </c>
      <c r="AF143">
        <v>0</v>
      </c>
      <c r="AI143" t="s">
        <v>84</v>
      </c>
      <c r="AJ143">
        <v>0</v>
      </c>
      <c r="AM143" t="s">
        <v>84</v>
      </c>
      <c r="AN143">
        <v>0</v>
      </c>
      <c r="AQ143" t="s">
        <v>84</v>
      </c>
      <c r="AR143">
        <v>0</v>
      </c>
      <c r="AT143" t="s">
        <v>84</v>
      </c>
      <c r="AU143">
        <v>0</v>
      </c>
    </row>
    <row r="144" spans="3:47" x14ac:dyDescent="0.35">
      <c r="C144" t="s">
        <v>126</v>
      </c>
      <c r="D144">
        <v>0</v>
      </c>
      <c r="G144" t="s">
        <v>126</v>
      </c>
      <c r="H144">
        <v>0</v>
      </c>
      <c r="K144" t="s">
        <v>223</v>
      </c>
      <c r="L144">
        <v>0</v>
      </c>
      <c r="O144" t="s">
        <v>126</v>
      </c>
      <c r="P144">
        <v>0</v>
      </c>
      <c r="S144" t="s">
        <v>126</v>
      </c>
      <c r="T144">
        <v>0</v>
      </c>
      <c r="W144" t="s">
        <v>126</v>
      </c>
      <c r="X144">
        <v>0</v>
      </c>
      <c r="AA144" t="s">
        <v>126</v>
      </c>
      <c r="AB144">
        <v>0</v>
      </c>
      <c r="AE144" t="s">
        <v>126</v>
      </c>
      <c r="AF144">
        <v>0</v>
      </c>
      <c r="AI144" t="s">
        <v>126</v>
      </c>
      <c r="AJ144">
        <v>0</v>
      </c>
      <c r="AM144" t="s">
        <v>126</v>
      </c>
      <c r="AN144">
        <v>0</v>
      </c>
      <c r="AQ144" t="s">
        <v>126</v>
      </c>
      <c r="AR144">
        <v>0</v>
      </c>
      <c r="AT144" t="s">
        <v>86</v>
      </c>
      <c r="AU144">
        <v>0</v>
      </c>
    </row>
    <row r="145" spans="1:47" x14ac:dyDescent="0.35">
      <c r="C145" t="s">
        <v>87</v>
      </c>
      <c r="D145">
        <v>0</v>
      </c>
      <c r="G145" t="s">
        <v>87</v>
      </c>
      <c r="H145">
        <v>0</v>
      </c>
      <c r="K145" t="s">
        <v>87</v>
      </c>
      <c r="L145">
        <v>0</v>
      </c>
      <c r="O145" t="s">
        <v>87</v>
      </c>
      <c r="P145">
        <v>0</v>
      </c>
      <c r="S145" t="s">
        <v>87</v>
      </c>
      <c r="T145">
        <v>0</v>
      </c>
      <c r="W145" t="s">
        <v>87</v>
      </c>
      <c r="X145">
        <v>0</v>
      </c>
      <c r="AA145" t="s">
        <v>87</v>
      </c>
      <c r="AB145">
        <v>0</v>
      </c>
      <c r="AE145" t="s">
        <v>87</v>
      </c>
      <c r="AF145">
        <v>0</v>
      </c>
      <c r="AI145" t="s">
        <v>87</v>
      </c>
      <c r="AJ145">
        <v>0</v>
      </c>
      <c r="AM145" t="s">
        <v>87</v>
      </c>
      <c r="AN145">
        <v>0</v>
      </c>
      <c r="AQ145" t="s">
        <v>87</v>
      </c>
      <c r="AR145">
        <v>0</v>
      </c>
      <c r="AT145" t="s">
        <v>87</v>
      </c>
      <c r="AU145">
        <v>0</v>
      </c>
    </row>
    <row r="146" spans="1:47" x14ac:dyDescent="0.35">
      <c r="A146" t="s">
        <v>166</v>
      </c>
      <c r="B146">
        <v>22010711.499999996</v>
      </c>
      <c r="C146" t="s">
        <v>135</v>
      </c>
      <c r="D146">
        <v>0</v>
      </c>
      <c r="E146" t="s">
        <v>166</v>
      </c>
      <c r="F146">
        <v>22469267.5</v>
      </c>
      <c r="G146" t="s">
        <v>135</v>
      </c>
      <c r="H146">
        <v>0</v>
      </c>
      <c r="I146" t="s">
        <v>166</v>
      </c>
      <c r="J146">
        <v>22995555.5</v>
      </c>
      <c r="K146" t="s">
        <v>135</v>
      </c>
      <c r="L146">
        <v>11036</v>
      </c>
      <c r="M146" t="s">
        <v>166</v>
      </c>
      <c r="N146">
        <v>23596741</v>
      </c>
      <c r="O146" t="s">
        <v>135</v>
      </c>
      <c r="P146">
        <v>0</v>
      </c>
      <c r="Q146" t="s">
        <v>166</v>
      </c>
      <c r="R146">
        <v>24213621.500000015</v>
      </c>
      <c r="S146" t="s">
        <v>135</v>
      </c>
      <c r="T146">
        <v>0</v>
      </c>
      <c r="U146" t="s">
        <v>166</v>
      </c>
      <c r="V146">
        <v>24848015.5</v>
      </c>
      <c r="W146" t="s">
        <v>135</v>
      </c>
      <c r="X146">
        <v>0</v>
      </c>
      <c r="Y146" t="s">
        <v>166</v>
      </c>
      <c r="Z146">
        <v>25493988.499999996</v>
      </c>
      <c r="AA146" t="s">
        <v>135</v>
      </c>
      <c r="AB146">
        <v>11204</v>
      </c>
      <c r="AC146" t="s">
        <v>166</v>
      </c>
      <c r="AD146">
        <v>26147550.999999996</v>
      </c>
      <c r="AE146" t="s">
        <v>135</v>
      </c>
      <c r="AF146">
        <v>8346</v>
      </c>
      <c r="AG146" t="s">
        <v>166</v>
      </c>
      <c r="AH146">
        <v>26811790.500000004</v>
      </c>
      <c r="AI146" t="s">
        <v>135</v>
      </c>
      <c r="AJ146">
        <v>8870</v>
      </c>
      <c r="AK146" t="s">
        <v>166</v>
      </c>
      <c r="AL146">
        <v>27478249.000000004</v>
      </c>
      <c r="AM146" t="s">
        <v>135</v>
      </c>
      <c r="AN146">
        <v>9902</v>
      </c>
      <c r="AO146" t="s">
        <v>166</v>
      </c>
      <c r="AP146">
        <v>28160542.500000004</v>
      </c>
      <c r="AQ146" t="s">
        <v>135</v>
      </c>
      <c r="AR146">
        <v>9860</v>
      </c>
      <c r="AS146" t="s">
        <v>166</v>
      </c>
      <c r="AT146" t="s">
        <v>148</v>
      </c>
      <c r="AU146">
        <v>5602</v>
      </c>
    </row>
    <row r="147" spans="1:47" x14ac:dyDescent="0.35">
      <c r="C147" t="s">
        <v>139</v>
      </c>
      <c r="D147">
        <v>0</v>
      </c>
      <c r="G147" t="s">
        <v>139</v>
      </c>
      <c r="H147">
        <v>17560</v>
      </c>
      <c r="K147" t="s">
        <v>139</v>
      </c>
      <c r="L147">
        <v>17736</v>
      </c>
      <c r="O147" t="s">
        <v>139</v>
      </c>
      <c r="P147">
        <v>21782</v>
      </c>
      <c r="S147" t="s">
        <v>139</v>
      </c>
      <c r="T147">
        <v>24264</v>
      </c>
      <c r="W147" t="s">
        <v>139</v>
      </c>
      <c r="X147">
        <v>27166</v>
      </c>
      <c r="AA147" t="s">
        <v>139</v>
      </c>
      <c r="AB147">
        <v>30326</v>
      </c>
      <c r="AE147" t="s">
        <v>139</v>
      </c>
      <c r="AF147">
        <v>22518</v>
      </c>
      <c r="AI147" t="s">
        <v>139</v>
      </c>
      <c r="AJ147">
        <v>26792</v>
      </c>
      <c r="AM147" t="s">
        <v>139</v>
      </c>
      <c r="AN147">
        <v>25774</v>
      </c>
      <c r="AQ147" t="s">
        <v>139</v>
      </c>
      <c r="AR147">
        <v>29958</v>
      </c>
      <c r="AT147" t="s">
        <v>139</v>
      </c>
      <c r="AU147">
        <v>11730</v>
      </c>
    </row>
    <row r="148" spans="1:47" x14ac:dyDescent="0.35">
      <c r="C148" t="s">
        <v>138</v>
      </c>
      <c r="D148">
        <v>0</v>
      </c>
      <c r="G148" t="s">
        <v>138</v>
      </c>
      <c r="H148">
        <v>7702</v>
      </c>
      <c r="K148" t="s">
        <v>138</v>
      </c>
      <c r="L148">
        <v>10600</v>
      </c>
      <c r="O148" t="s">
        <v>138</v>
      </c>
      <c r="P148">
        <v>0</v>
      </c>
      <c r="S148" t="s">
        <v>138</v>
      </c>
      <c r="T148">
        <v>0</v>
      </c>
      <c r="W148" t="s">
        <v>138</v>
      </c>
      <c r="X148">
        <v>0</v>
      </c>
      <c r="AA148" t="s">
        <v>138</v>
      </c>
      <c r="AB148">
        <v>0</v>
      </c>
      <c r="AE148" t="s">
        <v>138</v>
      </c>
      <c r="AF148">
        <v>11202</v>
      </c>
      <c r="AI148" t="s">
        <v>138</v>
      </c>
      <c r="AJ148">
        <v>12690</v>
      </c>
      <c r="AM148" t="s">
        <v>138</v>
      </c>
      <c r="AN148">
        <v>14148</v>
      </c>
      <c r="AQ148" t="s">
        <v>138</v>
      </c>
      <c r="AR148">
        <v>14850</v>
      </c>
      <c r="AT148" t="s">
        <v>138</v>
      </c>
      <c r="AU148">
        <v>5460</v>
      </c>
    </row>
    <row r="149" spans="1:47" x14ac:dyDescent="0.35">
      <c r="C149" t="s">
        <v>82</v>
      </c>
      <c r="D149">
        <v>0</v>
      </c>
      <c r="G149" t="s">
        <v>82</v>
      </c>
      <c r="H149">
        <v>255</v>
      </c>
      <c r="K149" t="s">
        <v>82</v>
      </c>
      <c r="L149">
        <v>0</v>
      </c>
      <c r="O149" t="s">
        <v>82</v>
      </c>
      <c r="P149">
        <v>0</v>
      </c>
      <c r="S149" t="s">
        <v>82</v>
      </c>
      <c r="T149">
        <v>0</v>
      </c>
      <c r="W149" t="s">
        <v>82</v>
      </c>
      <c r="X149">
        <v>0</v>
      </c>
      <c r="AA149" t="s">
        <v>82</v>
      </c>
      <c r="AB149">
        <v>2646</v>
      </c>
      <c r="AE149" t="s">
        <v>82</v>
      </c>
      <c r="AF149">
        <v>814</v>
      </c>
      <c r="AI149" t="s">
        <v>82</v>
      </c>
      <c r="AJ149">
        <v>0</v>
      </c>
      <c r="AM149" t="s">
        <v>82</v>
      </c>
      <c r="AN149">
        <v>233</v>
      </c>
      <c r="AQ149" t="s">
        <v>82</v>
      </c>
      <c r="AR149">
        <v>0</v>
      </c>
      <c r="AT149" t="s">
        <v>82</v>
      </c>
      <c r="AU149">
        <v>2495</v>
      </c>
    </row>
    <row r="150" spans="1:47" x14ac:dyDescent="0.35">
      <c r="C150" t="s">
        <v>60</v>
      </c>
      <c r="D150">
        <v>1764</v>
      </c>
      <c r="G150" t="s">
        <v>60</v>
      </c>
      <c r="H150">
        <v>4</v>
      </c>
      <c r="K150" t="s">
        <v>60</v>
      </c>
      <c r="L150">
        <v>21</v>
      </c>
      <c r="O150" t="s">
        <v>60</v>
      </c>
      <c r="P150">
        <v>0</v>
      </c>
      <c r="S150" t="s">
        <v>60</v>
      </c>
      <c r="T150">
        <v>0</v>
      </c>
      <c r="W150" t="s">
        <v>60</v>
      </c>
      <c r="X150">
        <v>351</v>
      </c>
      <c r="AA150" t="s">
        <v>60</v>
      </c>
      <c r="AB150">
        <v>593</v>
      </c>
      <c r="AE150" t="s">
        <v>60</v>
      </c>
      <c r="AF150">
        <v>160</v>
      </c>
      <c r="AI150" t="s">
        <v>60</v>
      </c>
      <c r="AJ150">
        <v>0</v>
      </c>
      <c r="AM150" t="s">
        <v>60</v>
      </c>
      <c r="AN150">
        <v>219</v>
      </c>
      <c r="AQ150" t="s">
        <v>60</v>
      </c>
      <c r="AR150">
        <v>79</v>
      </c>
      <c r="AT150" t="s">
        <v>60</v>
      </c>
      <c r="AU150">
        <v>506</v>
      </c>
    </row>
    <row r="151" spans="1:47" x14ac:dyDescent="0.35">
      <c r="C151" t="s">
        <v>127</v>
      </c>
      <c r="D151">
        <v>0</v>
      </c>
      <c r="G151" t="s">
        <v>127</v>
      </c>
      <c r="H151">
        <v>0</v>
      </c>
      <c r="K151" t="s">
        <v>127</v>
      </c>
      <c r="L151">
        <v>0</v>
      </c>
      <c r="O151" t="s">
        <v>127</v>
      </c>
      <c r="P151">
        <v>0</v>
      </c>
      <c r="S151" t="s">
        <v>127</v>
      </c>
      <c r="T151">
        <v>0</v>
      </c>
      <c r="W151" t="s">
        <v>127</v>
      </c>
      <c r="X151">
        <v>0</v>
      </c>
      <c r="AA151" t="s">
        <v>127</v>
      </c>
      <c r="AB151">
        <v>14556</v>
      </c>
      <c r="AE151" t="s">
        <v>127</v>
      </c>
      <c r="AF151">
        <v>0</v>
      </c>
      <c r="AI151" t="s">
        <v>127</v>
      </c>
      <c r="AJ151">
        <v>0</v>
      </c>
      <c r="AM151" t="s">
        <v>127</v>
      </c>
      <c r="AN151">
        <v>0</v>
      </c>
      <c r="AQ151" t="s">
        <v>127</v>
      </c>
      <c r="AR151">
        <v>0</v>
      </c>
      <c r="AT151" t="s">
        <v>58</v>
      </c>
      <c r="AU151">
        <v>14556</v>
      </c>
    </row>
    <row r="152" spans="1:47" x14ac:dyDescent="0.35">
      <c r="C152" t="s">
        <v>61</v>
      </c>
      <c r="D152">
        <v>0</v>
      </c>
      <c r="G152" t="s">
        <v>61</v>
      </c>
      <c r="H152">
        <v>0</v>
      </c>
      <c r="K152" t="s">
        <v>61</v>
      </c>
      <c r="L152">
        <v>0</v>
      </c>
      <c r="O152" t="s">
        <v>61</v>
      </c>
      <c r="P152">
        <v>0</v>
      </c>
      <c r="S152" t="s">
        <v>61</v>
      </c>
      <c r="T152">
        <v>0</v>
      </c>
      <c r="W152" t="s">
        <v>61</v>
      </c>
      <c r="X152">
        <v>0</v>
      </c>
      <c r="AA152" t="s">
        <v>61</v>
      </c>
      <c r="AB152">
        <v>745</v>
      </c>
      <c r="AE152" t="s">
        <v>61</v>
      </c>
      <c r="AF152">
        <v>29</v>
      </c>
      <c r="AI152" t="s">
        <v>61</v>
      </c>
      <c r="AJ152">
        <v>0</v>
      </c>
      <c r="AM152" t="s">
        <v>61</v>
      </c>
      <c r="AN152">
        <v>7</v>
      </c>
      <c r="AQ152" t="s">
        <v>61</v>
      </c>
      <c r="AR152">
        <v>0</v>
      </c>
      <c r="AT152" t="s">
        <v>61</v>
      </c>
      <c r="AU152">
        <v>25</v>
      </c>
    </row>
    <row r="153" spans="1:47" x14ac:dyDescent="0.35">
      <c r="C153" t="s">
        <v>62</v>
      </c>
      <c r="D153">
        <v>0</v>
      </c>
      <c r="G153" t="s">
        <v>62</v>
      </c>
      <c r="H153">
        <v>0</v>
      </c>
      <c r="K153" t="s">
        <v>62</v>
      </c>
      <c r="L153">
        <v>0</v>
      </c>
      <c r="O153" t="s">
        <v>62</v>
      </c>
      <c r="P153">
        <v>0</v>
      </c>
      <c r="S153" t="s">
        <v>62</v>
      </c>
      <c r="T153">
        <v>0</v>
      </c>
      <c r="W153" t="s">
        <v>62</v>
      </c>
      <c r="X153">
        <v>0</v>
      </c>
      <c r="AA153" t="s">
        <v>62</v>
      </c>
      <c r="AB153">
        <v>0</v>
      </c>
      <c r="AE153" t="s">
        <v>62</v>
      </c>
      <c r="AF153">
        <v>148</v>
      </c>
      <c r="AI153" t="s">
        <v>62</v>
      </c>
      <c r="AJ153">
        <v>0</v>
      </c>
      <c r="AM153" t="s">
        <v>62</v>
      </c>
      <c r="AN153">
        <v>835</v>
      </c>
      <c r="AQ153" t="s">
        <v>62</v>
      </c>
      <c r="AR153">
        <v>0</v>
      </c>
      <c r="AT153" t="s">
        <v>62</v>
      </c>
      <c r="AU153">
        <v>1425</v>
      </c>
    </row>
    <row r="154" spans="1:47" x14ac:dyDescent="0.35">
      <c r="C154" t="s">
        <v>203</v>
      </c>
      <c r="D154">
        <v>0</v>
      </c>
      <c r="G154" t="s">
        <v>203</v>
      </c>
      <c r="H154">
        <v>0</v>
      </c>
      <c r="K154" t="s">
        <v>203</v>
      </c>
      <c r="L154">
        <v>0</v>
      </c>
      <c r="O154" t="s">
        <v>203</v>
      </c>
      <c r="P154">
        <v>0</v>
      </c>
      <c r="S154" t="s">
        <v>203</v>
      </c>
      <c r="T154">
        <v>0</v>
      </c>
      <c r="W154" t="s">
        <v>203</v>
      </c>
      <c r="X154">
        <v>0</v>
      </c>
      <c r="AA154" t="s">
        <v>203</v>
      </c>
      <c r="AB154">
        <v>0</v>
      </c>
      <c r="AE154" t="s">
        <v>203</v>
      </c>
      <c r="AF154">
        <v>4168</v>
      </c>
      <c r="AI154" t="s">
        <v>203</v>
      </c>
      <c r="AJ154">
        <v>0</v>
      </c>
      <c r="AM154" t="s">
        <v>203</v>
      </c>
      <c r="AN154">
        <v>4221</v>
      </c>
      <c r="AQ154" t="s">
        <v>203</v>
      </c>
      <c r="AR154">
        <v>4140</v>
      </c>
      <c r="AT154" t="s">
        <v>64</v>
      </c>
      <c r="AU154">
        <v>3640</v>
      </c>
    </row>
    <row r="155" spans="1:47" x14ac:dyDescent="0.35">
      <c r="C155" t="s">
        <v>204</v>
      </c>
      <c r="D155">
        <v>0</v>
      </c>
      <c r="G155" t="s">
        <v>204</v>
      </c>
      <c r="H155">
        <v>0</v>
      </c>
      <c r="K155" t="s">
        <v>204</v>
      </c>
      <c r="L155">
        <v>0</v>
      </c>
      <c r="O155" t="s">
        <v>204</v>
      </c>
      <c r="P155">
        <v>0</v>
      </c>
      <c r="S155" t="s">
        <v>204</v>
      </c>
      <c r="T155">
        <v>0</v>
      </c>
      <c r="W155" t="s">
        <v>204</v>
      </c>
      <c r="X155">
        <v>0</v>
      </c>
      <c r="AA155" t="s">
        <v>204</v>
      </c>
      <c r="AB155">
        <v>0</v>
      </c>
      <c r="AE155" t="s">
        <v>204</v>
      </c>
      <c r="AF155">
        <v>0</v>
      </c>
      <c r="AI155" t="s">
        <v>204</v>
      </c>
      <c r="AJ155">
        <v>0</v>
      </c>
      <c r="AM155" t="s">
        <v>204</v>
      </c>
      <c r="AN155">
        <v>0</v>
      </c>
      <c r="AQ155" t="s">
        <v>204</v>
      </c>
      <c r="AR155">
        <v>0</v>
      </c>
      <c r="AT155" t="s">
        <v>65</v>
      </c>
      <c r="AU155">
        <v>91</v>
      </c>
    </row>
    <row r="156" spans="1:47" x14ac:dyDescent="0.35">
      <c r="C156" t="s">
        <v>205</v>
      </c>
      <c r="D156">
        <v>0</v>
      </c>
      <c r="G156" t="s">
        <v>205</v>
      </c>
      <c r="H156">
        <v>0</v>
      </c>
      <c r="K156" t="s">
        <v>205</v>
      </c>
      <c r="L156">
        <v>190</v>
      </c>
      <c r="O156" t="s">
        <v>205</v>
      </c>
      <c r="P156">
        <v>0</v>
      </c>
      <c r="S156" t="s">
        <v>205</v>
      </c>
      <c r="T156">
        <v>0</v>
      </c>
      <c r="W156" t="s">
        <v>205</v>
      </c>
      <c r="X156">
        <v>0</v>
      </c>
      <c r="AA156" t="s">
        <v>205</v>
      </c>
      <c r="AB156">
        <v>0</v>
      </c>
      <c r="AE156" t="s">
        <v>205</v>
      </c>
      <c r="AF156">
        <v>40</v>
      </c>
      <c r="AI156" t="s">
        <v>205</v>
      </c>
      <c r="AJ156">
        <v>0</v>
      </c>
      <c r="AM156" t="s">
        <v>205</v>
      </c>
      <c r="AN156">
        <v>0</v>
      </c>
      <c r="AQ156" t="s">
        <v>205</v>
      </c>
      <c r="AR156">
        <v>0</v>
      </c>
      <c r="AT156" t="s">
        <v>66</v>
      </c>
      <c r="AU156">
        <v>0</v>
      </c>
    </row>
    <row r="157" spans="1:47" x14ac:dyDescent="0.35">
      <c r="C157" t="s">
        <v>133</v>
      </c>
      <c r="D157">
        <v>0</v>
      </c>
      <c r="G157" t="s">
        <v>133</v>
      </c>
      <c r="H157">
        <v>0</v>
      </c>
      <c r="K157" t="s">
        <v>133</v>
      </c>
      <c r="L157">
        <v>2380</v>
      </c>
      <c r="O157" t="s">
        <v>133</v>
      </c>
      <c r="P157">
        <v>0</v>
      </c>
      <c r="S157" t="s">
        <v>133</v>
      </c>
      <c r="T157">
        <v>0</v>
      </c>
      <c r="W157" t="s">
        <v>133</v>
      </c>
      <c r="X157">
        <v>0</v>
      </c>
      <c r="AA157" t="s">
        <v>133</v>
      </c>
      <c r="AB157">
        <v>0</v>
      </c>
      <c r="AE157" t="s">
        <v>133</v>
      </c>
      <c r="AF157">
        <v>0</v>
      </c>
      <c r="AI157" t="s">
        <v>133</v>
      </c>
      <c r="AJ157">
        <v>0</v>
      </c>
      <c r="AM157" t="s">
        <v>133</v>
      </c>
      <c r="AN157">
        <v>0</v>
      </c>
      <c r="AQ157" t="s">
        <v>133</v>
      </c>
      <c r="AR157">
        <v>0</v>
      </c>
      <c r="AT157" t="s">
        <v>79</v>
      </c>
      <c r="AU157">
        <v>497</v>
      </c>
    </row>
    <row r="158" spans="1:47" x14ac:dyDescent="0.35">
      <c r="C158" t="s">
        <v>206</v>
      </c>
      <c r="D158">
        <v>0</v>
      </c>
      <c r="G158" t="s">
        <v>206</v>
      </c>
      <c r="H158">
        <v>0</v>
      </c>
      <c r="K158" t="s">
        <v>206</v>
      </c>
      <c r="L158">
        <v>0</v>
      </c>
      <c r="O158" t="s">
        <v>206</v>
      </c>
      <c r="P158">
        <v>0</v>
      </c>
      <c r="S158" t="s">
        <v>206</v>
      </c>
      <c r="T158">
        <v>0</v>
      </c>
      <c r="W158" t="s">
        <v>206</v>
      </c>
      <c r="X158">
        <v>0</v>
      </c>
      <c r="AA158" t="s">
        <v>206</v>
      </c>
      <c r="AB158">
        <v>0</v>
      </c>
      <c r="AE158" t="s">
        <v>206</v>
      </c>
      <c r="AF158">
        <v>0</v>
      </c>
      <c r="AI158" t="s">
        <v>206</v>
      </c>
      <c r="AJ158">
        <v>0</v>
      </c>
      <c r="AM158" t="s">
        <v>206</v>
      </c>
      <c r="AN158">
        <v>0</v>
      </c>
      <c r="AQ158" t="s">
        <v>206</v>
      </c>
      <c r="AR158">
        <v>0</v>
      </c>
      <c r="AT158" t="s">
        <v>68</v>
      </c>
      <c r="AU158">
        <v>242</v>
      </c>
    </row>
    <row r="159" spans="1:47" x14ac:dyDescent="0.35">
      <c r="C159" t="s">
        <v>136</v>
      </c>
      <c r="D159">
        <v>0</v>
      </c>
      <c r="G159" t="s">
        <v>136</v>
      </c>
      <c r="H159">
        <v>0</v>
      </c>
      <c r="K159" t="s">
        <v>136</v>
      </c>
      <c r="L159">
        <v>820</v>
      </c>
      <c r="O159" t="s">
        <v>136</v>
      </c>
      <c r="P159">
        <v>0</v>
      </c>
      <c r="S159" t="s">
        <v>136</v>
      </c>
      <c r="T159">
        <v>0</v>
      </c>
      <c r="W159" t="s">
        <v>136</v>
      </c>
      <c r="X159">
        <v>0</v>
      </c>
      <c r="AA159" t="s">
        <v>136</v>
      </c>
      <c r="AB159">
        <v>0</v>
      </c>
      <c r="AE159" t="s">
        <v>136</v>
      </c>
      <c r="AF159">
        <v>0</v>
      </c>
      <c r="AI159" t="s">
        <v>136</v>
      </c>
      <c r="AJ159">
        <v>0</v>
      </c>
      <c r="AM159" t="s">
        <v>136</v>
      </c>
      <c r="AN159">
        <v>0</v>
      </c>
      <c r="AQ159" t="s">
        <v>136</v>
      </c>
      <c r="AR159">
        <v>0</v>
      </c>
      <c r="AT159" t="s">
        <v>69</v>
      </c>
      <c r="AU159">
        <v>3103</v>
      </c>
    </row>
    <row r="160" spans="1:47" x14ac:dyDescent="0.35">
      <c r="C160" t="s">
        <v>207</v>
      </c>
      <c r="D160">
        <v>0</v>
      </c>
      <c r="G160" t="s">
        <v>207</v>
      </c>
      <c r="H160">
        <v>0</v>
      </c>
      <c r="K160" t="s">
        <v>207</v>
      </c>
      <c r="L160">
        <v>0</v>
      </c>
      <c r="O160" t="s">
        <v>207</v>
      </c>
      <c r="P160">
        <v>0</v>
      </c>
      <c r="S160" t="s">
        <v>207</v>
      </c>
      <c r="T160">
        <v>0</v>
      </c>
      <c r="W160" t="s">
        <v>207</v>
      </c>
      <c r="X160">
        <v>0</v>
      </c>
      <c r="AA160" t="s">
        <v>207</v>
      </c>
      <c r="AB160">
        <v>0</v>
      </c>
      <c r="AE160" t="s">
        <v>207</v>
      </c>
      <c r="AF160">
        <v>0</v>
      </c>
      <c r="AI160" t="s">
        <v>207</v>
      </c>
      <c r="AJ160">
        <v>0</v>
      </c>
      <c r="AM160" t="s">
        <v>207</v>
      </c>
      <c r="AN160">
        <v>0</v>
      </c>
      <c r="AQ160" t="s">
        <v>207</v>
      </c>
      <c r="AR160">
        <v>0</v>
      </c>
      <c r="AT160" t="s">
        <v>70</v>
      </c>
      <c r="AU160">
        <v>123</v>
      </c>
    </row>
    <row r="161" spans="1:47" x14ac:dyDescent="0.35">
      <c r="C161" t="s">
        <v>141</v>
      </c>
      <c r="D161">
        <v>0</v>
      </c>
      <c r="G161" t="s">
        <v>141</v>
      </c>
      <c r="H161">
        <v>0</v>
      </c>
      <c r="K161" t="s">
        <v>141</v>
      </c>
      <c r="L161">
        <v>70</v>
      </c>
      <c r="O161" t="s">
        <v>141</v>
      </c>
      <c r="P161">
        <v>0</v>
      </c>
      <c r="S161" t="s">
        <v>141</v>
      </c>
      <c r="T161">
        <v>0</v>
      </c>
      <c r="W161" t="s">
        <v>141</v>
      </c>
      <c r="X161">
        <v>0</v>
      </c>
      <c r="AA161" t="s">
        <v>141</v>
      </c>
      <c r="AB161">
        <v>0</v>
      </c>
      <c r="AE161" t="s">
        <v>141</v>
      </c>
      <c r="AF161">
        <v>0</v>
      </c>
      <c r="AI161" t="s">
        <v>141</v>
      </c>
      <c r="AJ161">
        <v>0</v>
      </c>
      <c r="AM161" t="s">
        <v>141</v>
      </c>
      <c r="AN161">
        <v>0</v>
      </c>
      <c r="AQ161" t="s">
        <v>141</v>
      </c>
      <c r="AR161">
        <v>0</v>
      </c>
      <c r="AT161" t="s">
        <v>76</v>
      </c>
      <c r="AU161">
        <v>700</v>
      </c>
    </row>
    <row r="162" spans="1:47" x14ac:dyDescent="0.35">
      <c r="C162" t="s">
        <v>208</v>
      </c>
      <c r="D162">
        <v>0</v>
      </c>
      <c r="G162" t="s">
        <v>208</v>
      </c>
      <c r="H162">
        <v>0</v>
      </c>
      <c r="K162" t="s">
        <v>208</v>
      </c>
      <c r="L162">
        <v>0</v>
      </c>
      <c r="O162" t="s">
        <v>208</v>
      </c>
      <c r="P162">
        <v>0</v>
      </c>
      <c r="S162" t="s">
        <v>208</v>
      </c>
      <c r="T162">
        <v>0</v>
      </c>
      <c r="W162" t="s">
        <v>208</v>
      </c>
      <c r="X162">
        <v>0</v>
      </c>
      <c r="AA162" t="s">
        <v>208</v>
      </c>
      <c r="AB162">
        <v>0</v>
      </c>
      <c r="AE162" t="s">
        <v>208</v>
      </c>
      <c r="AF162">
        <v>0</v>
      </c>
      <c r="AI162" t="s">
        <v>208</v>
      </c>
      <c r="AJ162">
        <v>0</v>
      </c>
      <c r="AM162" t="s">
        <v>208</v>
      </c>
      <c r="AN162">
        <v>0</v>
      </c>
      <c r="AQ162" t="s">
        <v>208</v>
      </c>
      <c r="AR162">
        <v>0</v>
      </c>
      <c r="AT162" t="s">
        <v>77</v>
      </c>
      <c r="AU162">
        <v>139</v>
      </c>
    </row>
    <row r="163" spans="1:47" x14ac:dyDescent="0.35">
      <c r="C163" t="s">
        <v>209</v>
      </c>
      <c r="D163">
        <v>0</v>
      </c>
      <c r="G163" t="s">
        <v>209</v>
      </c>
      <c r="H163">
        <v>0</v>
      </c>
      <c r="K163" t="s">
        <v>209</v>
      </c>
      <c r="L163">
        <v>0</v>
      </c>
      <c r="O163" t="s">
        <v>209</v>
      </c>
      <c r="P163">
        <v>0</v>
      </c>
      <c r="S163" t="s">
        <v>209</v>
      </c>
      <c r="T163">
        <v>0</v>
      </c>
      <c r="W163" t="s">
        <v>209</v>
      </c>
      <c r="X163">
        <v>0</v>
      </c>
      <c r="AA163" t="s">
        <v>209</v>
      </c>
      <c r="AB163">
        <v>0</v>
      </c>
      <c r="AE163" t="s">
        <v>209</v>
      </c>
      <c r="AF163">
        <v>3470</v>
      </c>
      <c r="AI163" t="s">
        <v>209</v>
      </c>
      <c r="AJ163">
        <v>0</v>
      </c>
      <c r="AM163" t="s">
        <v>209</v>
      </c>
      <c r="AN163">
        <v>0</v>
      </c>
      <c r="AQ163" t="s">
        <v>209</v>
      </c>
      <c r="AR163">
        <v>0</v>
      </c>
      <c r="AT163" t="s">
        <v>78</v>
      </c>
      <c r="AU163">
        <v>14</v>
      </c>
    </row>
    <row r="164" spans="1:47" x14ac:dyDescent="0.35">
      <c r="C164" t="s">
        <v>134</v>
      </c>
      <c r="D164">
        <v>0</v>
      </c>
      <c r="G164" t="s">
        <v>134</v>
      </c>
      <c r="H164">
        <v>0</v>
      </c>
      <c r="K164" t="s">
        <v>134</v>
      </c>
      <c r="L164">
        <v>1600</v>
      </c>
      <c r="O164" t="s">
        <v>134</v>
      </c>
      <c r="P164">
        <v>0</v>
      </c>
      <c r="S164" t="s">
        <v>134</v>
      </c>
      <c r="T164">
        <v>0</v>
      </c>
      <c r="W164" t="s">
        <v>134</v>
      </c>
      <c r="X164">
        <v>0</v>
      </c>
      <c r="AA164" t="s">
        <v>134</v>
      </c>
      <c r="AB164">
        <v>0</v>
      </c>
      <c r="AE164" t="s">
        <v>134</v>
      </c>
      <c r="AF164">
        <v>0</v>
      </c>
      <c r="AI164" t="s">
        <v>134</v>
      </c>
      <c r="AJ164">
        <v>0</v>
      </c>
      <c r="AM164" t="s">
        <v>134</v>
      </c>
      <c r="AN164">
        <v>0</v>
      </c>
      <c r="AQ164" t="s">
        <v>134</v>
      </c>
      <c r="AR164">
        <v>0</v>
      </c>
      <c r="AT164" t="s">
        <v>67</v>
      </c>
      <c r="AU164">
        <v>0</v>
      </c>
    </row>
    <row r="165" spans="1:47" x14ac:dyDescent="0.35">
      <c r="C165" t="s">
        <v>142</v>
      </c>
      <c r="D165">
        <v>0</v>
      </c>
      <c r="G165" t="s">
        <v>142</v>
      </c>
      <c r="H165">
        <v>0</v>
      </c>
      <c r="K165" t="s">
        <v>142</v>
      </c>
      <c r="L165">
        <v>0</v>
      </c>
      <c r="O165" t="s">
        <v>142</v>
      </c>
      <c r="P165">
        <v>0</v>
      </c>
      <c r="S165" t="s">
        <v>142</v>
      </c>
      <c r="T165">
        <v>0</v>
      </c>
      <c r="W165" t="s">
        <v>142</v>
      </c>
      <c r="X165">
        <v>0</v>
      </c>
      <c r="AA165" t="s">
        <v>142</v>
      </c>
      <c r="AB165">
        <v>0</v>
      </c>
      <c r="AE165" t="s">
        <v>142</v>
      </c>
      <c r="AF165">
        <v>0</v>
      </c>
      <c r="AI165" t="s">
        <v>142</v>
      </c>
      <c r="AJ165">
        <v>3734</v>
      </c>
      <c r="AM165" t="s">
        <v>142</v>
      </c>
      <c r="AN165">
        <v>3480</v>
      </c>
      <c r="AQ165" t="s">
        <v>142</v>
      </c>
      <c r="AR165">
        <v>3896</v>
      </c>
      <c r="AT165" t="s">
        <v>80</v>
      </c>
      <c r="AU165">
        <v>21440</v>
      </c>
    </row>
    <row r="166" spans="1:47" x14ac:dyDescent="0.35">
      <c r="C166" t="s">
        <v>83</v>
      </c>
      <c r="D166">
        <v>0</v>
      </c>
      <c r="G166" t="s">
        <v>83</v>
      </c>
      <c r="H166">
        <v>0</v>
      </c>
      <c r="K166" t="s">
        <v>83</v>
      </c>
      <c r="L166">
        <v>60</v>
      </c>
      <c r="O166" t="s">
        <v>83</v>
      </c>
      <c r="P166">
        <v>0</v>
      </c>
      <c r="S166" t="s">
        <v>83</v>
      </c>
      <c r="T166">
        <v>0</v>
      </c>
      <c r="W166" t="s">
        <v>83</v>
      </c>
      <c r="X166">
        <v>0</v>
      </c>
      <c r="AA166" t="s">
        <v>83</v>
      </c>
      <c r="AB166">
        <v>0</v>
      </c>
      <c r="AE166" t="s">
        <v>83</v>
      </c>
      <c r="AF166">
        <v>0</v>
      </c>
      <c r="AI166" t="s">
        <v>83</v>
      </c>
      <c r="AJ166">
        <v>0</v>
      </c>
      <c r="AM166" t="s">
        <v>83</v>
      </c>
      <c r="AN166">
        <v>97</v>
      </c>
      <c r="AQ166" t="s">
        <v>83</v>
      </c>
      <c r="AR166">
        <v>95</v>
      </c>
      <c r="AT166" t="s">
        <v>83</v>
      </c>
      <c r="AU166">
        <v>151</v>
      </c>
    </row>
    <row r="167" spans="1:47" x14ac:dyDescent="0.35">
      <c r="C167" t="s">
        <v>84</v>
      </c>
      <c r="D167">
        <v>0</v>
      </c>
      <c r="G167" t="s">
        <v>84</v>
      </c>
      <c r="H167">
        <v>0</v>
      </c>
      <c r="K167" t="s">
        <v>84</v>
      </c>
      <c r="L167">
        <v>0</v>
      </c>
      <c r="O167" t="s">
        <v>84</v>
      </c>
      <c r="P167">
        <v>0</v>
      </c>
      <c r="S167" t="s">
        <v>84</v>
      </c>
      <c r="T167">
        <v>0</v>
      </c>
      <c r="W167" t="s">
        <v>84</v>
      </c>
      <c r="X167">
        <v>0</v>
      </c>
      <c r="AA167" t="s">
        <v>84</v>
      </c>
      <c r="AB167">
        <v>0</v>
      </c>
      <c r="AE167" t="s">
        <v>84</v>
      </c>
      <c r="AF167">
        <v>0</v>
      </c>
      <c r="AI167" t="s">
        <v>84</v>
      </c>
      <c r="AJ167">
        <v>0</v>
      </c>
      <c r="AM167" t="s">
        <v>84</v>
      </c>
      <c r="AN167">
        <v>0</v>
      </c>
      <c r="AQ167" t="s">
        <v>84</v>
      </c>
      <c r="AR167">
        <v>0</v>
      </c>
      <c r="AT167" t="s">
        <v>84</v>
      </c>
      <c r="AU167">
        <v>0</v>
      </c>
    </row>
    <row r="168" spans="1:47" x14ac:dyDescent="0.35">
      <c r="C168" t="s">
        <v>126</v>
      </c>
      <c r="D168">
        <v>0</v>
      </c>
      <c r="G168" t="s">
        <v>126</v>
      </c>
      <c r="H168">
        <v>0</v>
      </c>
      <c r="K168" t="s">
        <v>223</v>
      </c>
      <c r="L168">
        <v>0</v>
      </c>
      <c r="O168" t="s">
        <v>126</v>
      </c>
      <c r="P168">
        <v>0</v>
      </c>
      <c r="S168" t="s">
        <v>126</v>
      </c>
      <c r="T168">
        <v>0</v>
      </c>
      <c r="W168" t="s">
        <v>126</v>
      </c>
      <c r="X168">
        <v>0</v>
      </c>
      <c r="AA168" t="s">
        <v>126</v>
      </c>
      <c r="AB168">
        <v>0</v>
      </c>
      <c r="AE168" t="s">
        <v>126</v>
      </c>
      <c r="AF168">
        <v>0</v>
      </c>
      <c r="AI168" t="s">
        <v>126</v>
      </c>
      <c r="AJ168">
        <v>0</v>
      </c>
      <c r="AM168" t="s">
        <v>126</v>
      </c>
      <c r="AN168">
        <v>0</v>
      </c>
      <c r="AQ168" t="s">
        <v>126</v>
      </c>
      <c r="AR168">
        <v>0</v>
      </c>
      <c r="AT168" t="s">
        <v>86</v>
      </c>
      <c r="AU168">
        <v>0</v>
      </c>
    </row>
    <row r="169" spans="1:47" x14ac:dyDescent="0.35">
      <c r="C169" t="s">
        <v>87</v>
      </c>
      <c r="D169">
        <v>0</v>
      </c>
      <c r="G169" t="s">
        <v>87</v>
      </c>
      <c r="H169">
        <v>0</v>
      </c>
      <c r="K169" t="s">
        <v>87</v>
      </c>
      <c r="L169">
        <v>0</v>
      </c>
      <c r="O169" t="s">
        <v>87</v>
      </c>
      <c r="P169">
        <v>0</v>
      </c>
      <c r="S169" t="s">
        <v>87</v>
      </c>
      <c r="T169">
        <v>0</v>
      </c>
      <c r="W169" t="s">
        <v>87</v>
      </c>
      <c r="X169">
        <v>0</v>
      </c>
      <c r="AA169" t="s">
        <v>87</v>
      </c>
      <c r="AB169">
        <v>0</v>
      </c>
      <c r="AE169" t="s">
        <v>87</v>
      </c>
      <c r="AF169">
        <v>0</v>
      </c>
      <c r="AI169" t="s">
        <v>87</v>
      </c>
      <c r="AJ169">
        <v>0</v>
      </c>
      <c r="AM169" t="s">
        <v>87</v>
      </c>
      <c r="AN169">
        <v>0</v>
      </c>
      <c r="AQ169" t="s">
        <v>87</v>
      </c>
      <c r="AR169">
        <v>0</v>
      </c>
      <c r="AT169" t="s">
        <v>87</v>
      </c>
      <c r="AU169">
        <v>4437</v>
      </c>
    </row>
    <row r="170" spans="1:47" x14ac:dyDescent="0.35">
      <c r="A170" t="s">
        <v>168</v>
      </c>
      <c r="B170">
        <v>21032684.000000004</v>
      </c>
      <c r="C170" t="s">
        <v>135</v>
      </c>
      <c r="D170">
        <v>0</v>
      </c>
      <c r="E170" t="s">
        <v>168</v>
      </c>
      <c r="F170">
        <v>21632850.000000004</v>
      </c>
      <c r="G170" t="s">
        <v>135</v>
      </c>
      <c r="H170">
        <v>0</v>
      </c>
      <c r="I170" t="s">
        <v>168</v>
      </c>
      <c r="J170">
        <v>22299584.999999989</v>
      </c>
      <c r="K170" t="s">
        <v>135</v>
      </c>
      <c r="L170">
        <v>0</v>
      </c>
      <c r="M170" t="s">
        <v>168</v>
      </c>
      <c r="N170">
        <v>23012646.5</v>
      </c>
      <c r="O170" t="s">
        <v>135</v>
      </c>
      <c r="P170">
        <v>0</v>
      </c>
      <c r="Q170" t="s">
        <v>168</v>
      </c>
      <c r="R170">
        <v>23711630.000000004</v>
      </c>
      <c r="S170" t="s">
        <v>135</v>
      </c>
      <c r="T170">
        <v>0</v>
      </c>
      <c r="U170" t="s">
        <v>168</v>
      </c>
      <c r="V170">
        <v>24393181.5</v>
      </c>
      <c r="W170" t="s">
        <v>135</v>
      </c>
      <c r="X170">
        <v>0</v>
      </c>
      <c r="Y170" t="s">
        <v>168</v>
      </c>
      <c r="Z170">
        <v>25076746.500000015</v>
      </c>
      <c r="AA170" t="s">
        <v>135</v>
      </c>
      <c r="AB170">
        <v>6518</v>
      </c>
      <c r="AC170" t="s">
        <v>168</v>
      </c>
      <c r="AD170">
        <v>25782340.999999996</v>
      </c>
      <c r="AE170" t="s">
        <v>135</v>
      </c>
      <c r="AF170">
        <v>0</v>
      </c>
      <c r="AG170" t="s">
        <v>168</v>
      </c>
      <c r="AH170">
        <v>26491086.500000011</v>
      </c>
      <c r="AI170" t="s">
        <v>135</v>
      </c>
      <c r="AJ170">
        <v>5930</v>
      </c>
      <c r="AK170" t="s">
        <v>168</v>
      </c>
      <c r="AL170">
        <v>27198627.999999985</v>
      </c>
      <c r="AM170" t="s">
        <v>135</v>
      </c>
      <c r="AN170">
        <v>7653</v>
      </c>
      <c r="AO170" t="s">
        <v>168</v>
      </c>
      <c r="AP170">
        <v>27914536.499999989</v>
      </c>
      <c r="AQ170" t="s">
        <v>135</v>
      </c>
      <c r="AR170">
        <v>8865</v>
      </c>
      <c r="AS170" t="s">
        <v>168</v>
      </c>
      <c r="AT170" t="s">
        <v>148</v>
      </c>
      <c r="AU170">
        <v>3259</v>
      </c>
    </row>
    <row r="171" spans="1:47" x14ac:dyDescent="0.35">
      <c r="C171" t="s">
        <v>139</v>
      </c>
      <c r="D171">
        <v>0</v>
      </c>
      <c r="G171" t="s">
        <v>139</v>
      </c>
      <c r="H171">
        <v>0</v>
      </c>
      <c r="K171" t="s">
        <v>139</v>
      </c>
      <c r="L171">
        <v>0</v>
      </c>
      <c r="O171" t="s">
        <v>139</v>
      </c>
      <c r="P171">
        <v>0</v>
      </c>
      <c r="S171" t="s">
        <v>139</v>
      </c>
      <c r="T171">
        <v>0</v>
      </c>
      <c r="W171" t="s">
        <v>139</v>
      </c>
      <c r="X171">
        <v>0</v>
      </c>
      <c r="AA171" t="s">
        <v>139</v>
      </c>
      <c r="AB171">
        <v>18312</v>
      </c>
      <c r="AE171" t="s">
        <v>139</v>
      </c>
      <c r="AF171">
        <v>0</v>
      </c>
      <c r="AI171" t="s">
        <v>139</v>
      </c>
      <c r="AJ171">
        <v>23436</v>
      </c>
      <c r="AM171" t="s">
        <v>139</v>
      </c>
      <c r="AN171">
        <v>9254</v>
      </c>
      <c r="AQ171" t="s">
        <v>139</v>
      </c>
      <c r="AR171">
        <v>32946</v>
      </c>
      <c r="AT171" t="s">
        <v>139</v>
      </c>
      <c r="AU171">
        <v>9925</v>
      </c>
    </row>
    <row r="172" spans="1:47" x14ac:dyDescent="0.35">
      <c r="C172" t="s">
        <v>138</v>
      </c>
      <c r="D172">
        <v>0</v>
      </c>
      <c r="G172" t="s">
        <v>138</v>
      </c>
      <c r="H172">
        <v>254</v>
      </c>
      <c r="K172" t="s">
        <v>138</v>
      </c>
      <c r="L172">
        <v>0</v>
      </c>
      <c r="O172" t="s">
        <v>138</v>
      </c>
      <c r="P172">
        <v>0</v>
      </c>
      <c r="S172" t="s">
        <v>138</v>
      </c>
      <c r="T172">
        <v>0</v>
      </c>
      <c r="W172" t="s">
        <v>138</v>
      </c>
      <c r="X172">
        <v>0</v>
      </c>
      <c r="AA172" t="s">
        <v>138</v>
      </c>
      <c r="AB172">
        <v>0</v>
      </c>
      <c r="AE172" t="s">
        <v>138</v>
      </c>
      <c r="AF172">
        <v>0</v>
      </c>
      <c r="AI172" t="s">
        <v>138</v>
      </c>
      <c r="AJ172">
        <v>2516</v>
      </c>
      <c r="AM172" t="s">
        <v>138</v>
      </c>
      <c r="AN172">
        <v>1408</v>
      </c>
      <c r="AQ172" t="s">
        <v>138</v>
      </c>
      <c r="AR172">
        <v>3348</v>
      </c>
      <c r="AT172" t="s">
        <v>138</v>
      </c>
      <c r="AU172">
        <v>690</v>
      </c>
    </row>
    <row r="173" spans="1:47" x14ac:dyDescent="0.35">
      <c r="C173" t="s">
        <v>82</v>
      </c>
      <c r="D173">
        <v>0</v>
      </c>
      <c r="G173" t="s">
        <v>82</v>
      </c>
      <c r="H173">
        <v>239</v>
      </c>
      <c r="K173" t="s">
        <v>82</v>
      </c>
      <c r="L173">
        <v>36</v>
      </c>
      <c r="O173" t="s">
        <v>82</v>
      </c>
      <c r="P173">
        <v>0</v>
      </c>
      <c r="S173" t="s">
        <v>82</v>
      </c>
      <c r="T173">
        <v>1687</v>
      </c>
      <c r="W173" t="s">
        <v>82</v>
      </c>
      <c r="X173">
        <v>10752</v>
      </c>
      <c r="AA173" t="s">
        <v>82</v>
      </c>
      <c r="AB173">
        <v>30461</v>
      </c>
      <c r="AE173" t="s">
        <v>82</v>
      </c>
      <c r="AF173">
        <v>227</v>
      </c>
      <c r="AI173" t="s">
        <v>82</v>
      </c>
      <c r="AJ173">
        <v>78</v>
      </c>
      <c r="AM173" t="s">
        <v>82</v>
      </c>
      <c r="AN173">
        <v>281</v>
      </c>
      <c r="AQ173" t="s">
        <v>82</v>
      </c>
      <c r="AR173">
        <v>398</v>
      </c>
      <c r="AT173" t="s">
        <v>82</v>
      </c>
      <c r="AU173">
        <v>350</v>
      </c>
    </row>
    <row r="174" spans="1:47" x14ac:dyDescent="0.35">
      <c r="C174" t="s">
        <v>60</v>
      </c>
      <c r="D174">
        <v>0</v>
      </c>
      <c r="G174" t="s">
        <v>60</v>
      </c>
      <c r="H174">
        <v>276</v>
      </c>
      <c r="K174" t="s">
        <v>60</v>
      </c>
      <c r="L174">
        <v>10</v>
      </c>
      <c r="O174" t="s">
        <v>60</v>
      </c>
      <c r="P174">
        <v>0</v>
      </c>
      <c r="S174" t="s">
        <v>60</v>
      </c>
      <c r="T174">
        <v>404</v>
      </c>
      <c r="W174" t="s">
        <v>60</v>
      </c>
      <c r="X174">
        <v>1889</v>
      </c>
      <c r="AA174" t="s">
        <v>60</v>
      </c>
      <c r="AB174">
        <v>23627</v>
      </c>
      <c r="AE174" t="s">
        <v>60</v>
      </c>
      <c r="AF174">
        <v>40</v>
      </c>
      <c r="AI174" t="s">
        <v>60</v>
      </c>
      <c r="AJ174">
        <v>112</v>
      </c>
      <c r="AM174" t="s">
        <v>60</v>
      </c>
      <c r="AN174">
        <v>74</v>
      </c>
      <c r="AQ174" t="s">
        <v>60</v>
      </c>
      <c r="AR174">
        <v>159</v>
      </c>
      <c r="AT174" t="s">
        <v>60</v>
      </c>
      <c r="AU174">
        <v>308</v>
      </c>
    </row>
    <row r="175" spans="1:47" x14ac:dyDescent="0.35">
      <c r="C175" t="s">
        <v>127</v>
      </c>
      <c r="D175">
        <v>0</v>
      </c>
      <c r="G175" t="s">
        <v>127</v>
      </c>
      <c r="H175">
        <v>0</v>
      </c>
      <c r="K175" t="s">
        <v>127</v>
      </c>
      <c r="L175">
        <v>0</v>
      </c>
      <c r="O175" t="s">
        <v>127</v>
      </c>
      <c r="P175">
        <v>0</v>
      </c>
      <c r="S175" t="s">
        <v>127</v>
      </c>
      <c r="T175">
        <v>0</v>
      </c>
      <c r="W175" t="s">
        <v>127</v>
      </c>
      <c r="X175">
        <v>0</v>
      </c>
      <c r="AA175" t="s">
        <v>127</v>
      </c>
      <c r="AB175">
        <v>0</v>
      </c>
      <c r="AE175" t="s">
        <v>127</v>
      </c>
      <c r="AF175">
        <v>0</v>
      </c>
      <c r="AI175" t="s">
        <v>127</v>
      </c>
      <c r="AJ175">
        <v>154</v>
      </c>
      <c r="AM175" t="s">
        <v>127</v>
      </c>
      <c r="AN175">
        <v>0</v>
      </c>
      <c r="AQ175" t="s">
        <v>127</v>
      </c>
      <c r="AR175">
        <v>310</v>
      </c>
      <c r="AT175" t="s">
        <v>58</v>
      </c>
      <c r="AU175">
        <v>0</v>
      </c>
    </row>
    <row r="176" spans="1:47" x14ac:dyDescent="0.35">
      <c r="C176" t="s">
        <v>61</v>
      </c>
      <c r="D176">
        <v>0</v>
      </c>
      <c r="G176" t="s">
        <v>61</v>
      </c>
      <c r="H176">
        <v>0</v>
      </c>
      <c r="K176" t="s">
        <v>61</v>
      </c>
      <c r="L176">
        <v>0</v>
      </c>
      <c r="O176" t="s">
        <v>61</v>
      </c>
      <c r="P176">
        <v>0</v>
      </c>
      <c r="S176" t="s">
        <v>61</v>
      </c>
      <c r="T176">
        <v>0</v>
      </c>
      <c r="W176" t="s">
        <v>61</v>
      </c>
      <c r="X176">
        <v>0</v>
      </c>
      <c r="AA176" t="s">
        <v>61</v>
      </c>
      <c r="AB176">
        <v>0</v>
      </c>
      <c r="AE176" t="s">
        <v>61</v>
      </c>
      <c r="AF176">
        <v>0</v>
      </c>
      <c r="AI176" t="s">
        <v>61</v>
      </c>
      <c r="AJ176">
        <v>0</v>
      </c>
      <c r="AM176" t="s">
        <v>61</v>
      </c>
      <c r="AN176">
        <v>0</v>
      </c>
      <c r="AQ176" t="s">
        <v>61</v>
      </c>
      <c r="AR176">
        <v>0</v>
      </c>
      <c r="AT176" t="s">
        <v>61</v>
      </c>
      <c r="AU176">
        <v>38</v>
      </c>
    </row>
    <row r="177" spans="3:47" x14ac:dyDescent="0.35">
      <c r="C177" t="s">
        <v>62</v>
      </c>
      <c r="D177">
        <v>0</v>
      </c>
      <c r="G177" t="s">
        <v>62</v>
      </c>
      <c r="H177">
        <v>0</v>
      </c>
      <c r="K177" t="s">
        <v>62</v>
      </c>
      <c r="L177">
        <v>0</v>
      </c>
      <c r="O177" t="s">
        <v>62</v>
      </c>
      <c r="P177">
        <v>0</v>
      </c>
      <c r="S177" t="s">
        <v>62</v>
      </c>
      <c r="T177">
        <v>0</v>
      </c>
      <c r="W177" t="s">
        <v>62</v>
      </c>
      <c r="X177">
        <v>0</v>
      </c>
      <c r="AA177" t="s">
        <v>62</v>
      </c>
      <c r="AB177">
        <v>0</v>
      </c>
      <c r="AE177" t="s">
        <v>62</v>
      </c>
      <c r="AF177">
        <v>0</v>
      </c>
      <c r="AI177" t="s">
        <v>62</v>
      </c>
      <c r="AJ177">
        <v>5</v>
      </c>
      <c r="AM177" t="s">
        <v>62</v>
      </c>
      <c r="AN177">
        <v>0</v>
      </c>
      <c r="AQ177" t="s">
        <v>62</v>
      </c>
      <c r="AR177">
        <v>0</v>
      </c>
      <c r="AT177" t="s">
        <v>62</v>
      </c>
      <c r="AU177">
        <v>238</v>
      </c>
    </row>
    <row r="178" spans="3:47" x14ac:dyDescent="0.35">
      <c r="C178" t="s">
        <v>203</v>
      </c>
      <c r="D178">
        <v>0</v>
      </c>
      <c r="G178" t="s">
        <v>203</v>
      </c>
      <c r="H178">
        <v>0</v>
      </c>
      <c r="K178" t="s">
        <v>203</v>
      </c>
      <c r="L178">
        <v>0</v>
      </c>
      <c r="O178" t="s">
        <v>203</v>
      </c>
      <c r="P178">
        <v>0</v>
      </c>
      <c r="S178" t="s">
        <v>203</v>
      </c>
      <c r="T178">
        <v>0</v>
      </c>
      <c r="W178" t="s">
        <v>203</v>
      </c>
      <c r="X178">
        <v>0</v>
      </c>
      <c r="AA178" t="s">
        <v>203</v>
      </c>
      <c r="AB178">
        <v>0</v>
      </c>
      <c r="AE178" t="s">
        <v>203</v>
      </c>
      <c r="AF178">
        <v>0</v>
      </c>
      <c r="AI178" t="s">
        <v>203</v>
      </c>
      <c r="AJ178">
        <v>5390</v>
      </c>
      <c r="AM178" t="s">
        <v>203</v>
      </c>
      <c r="AN178">
        <v>0</v>
      </c>
      <c r="AQ178" t="s">
        <v>203</v>
      </c>
      <c r="AR178">
        <v>146</v>
      </c>
      <c r="AT178" t="s">
        <v>64</v>
      </c>
      <c r="AU178">
        <v>10717</v>
      </c>
    </row>
    <row r="179" spans="3:47" x14ac:dyDescent="0.35">
      <c r="C179" t="s">
        <v>204</v>
      </c>
      <c r="D179">
        <v>0</v>
      </c>
      <c r="G179" t="s">
        <v>204</v>
      </c>
      <c r="H179">
        <v>0</v>
      </c>
      <c r="K179" t="s">
        <v>204</v>
      </c>
      <c r="L179">
        <v>0</v>
      </c>
      <c r="O179" t="s">
        <v>204</v>
      </c>
      <c r="P179">
        <v>0</v>
      </c>
      <c r="S179" t="s">
        <v>204</v>
      </c>
      <c r="T179">
        <v>0</v>
      </c>
      <c r="W179" t="s">
        <v>204</v>
      </c>
      <c r="X179">
        <v>0</v>
      </c>
      <c r="AA179" t="s">
        <v>204</v>
      </c>
      <c r="AB179">
        <v>0</v>
      </c>
      <c r="AE179" t="s">
        <v>204</v>
      </c>
      <c r="AF179">
        <v>0</v>
      </c>
      <c r="AI179" t="s">
        <v>204</v>
      </c>
      <c r="AJ179">
        <v>21</v>
      </c>
      <c r="AM179" t="s">
        <v>204</v>
      </c>
      <c r="AN179">
        <v>4216</v>
      </c>
      <c r="AQ179" t="s">
        <v>204</v>
      </c>
      <c r="AR179">
        <v>1195</v>
      </c>
      <c r="AT179" t="s">
        <v>65</v>
      </c>
      <c r="AU179">
        <v>250</v>
      </c>
    </row>
    <row r="180" spans="3:47" x14ac:dyDescent="0.35">
      <c r="C180" t="s">
        <v>205</v>
      </c>
      <c r="D180">
        <v>0</v>
      </c>
      <c r="G180" t="s">
        <v>205</v>
      </c>
      <c r="H180">
        <v>0</v>
      </c>
      <c r="K180" t="s">
        <v>205</v>
      </c>
      <c r="L180">
        <v>0</v>
      </c>
      <c r="O180" t="s">
        <v>205</v>
      </c>
      <c r="P180">
        <v>0</v>
      </c>
      <c r="S180" t="s">
        <v>205</v>
      </c>
      <c r="T180">
        <v>0</v>
      </c>
      <c r="W180" t="s">
        <v>205</v>
      </c>
      <c r="X180">
        <v>0</v>
      </c>
      <c r="AA180" t="s">
        <v>205</v>
      </c>
      <c r="AB180">
        <v>0</v>
      </c>
      <c r="AE180" t="s">
        <v>205</v>
      </c>
      <c r="AF180">
        <v>0</v>
      </c>
      <c r="AI180" t="s">
        <v>205</v>
      </c>
      <c r="AJ180">
        <v>31</v>
      </c>
      <c r="AM180" t="s">
        <v>205</v>
      </c>
      <c r="AN180">
        <v>3</v>
      </c>
      <c r="AQ180" t="s">
        <v>205</v>
      </c>
      <c r="AR180">
        <v>19</v>
      </c>
      <c r="AT180" t="s">
        <v>66</v>
      </c>
      <c r="AU180">
        <v>0</v>
      </c>
    </row>
    <row r="181" spans="3:47" x14ac:dyDescent="0.35">
      <c r="C181" t="s">
        <v>133</v>
      </c>
      <c r="D181">
        <v>0</v>
      </c>
      <c r="G181" t="s">
        <v>133</v>
      </c>
      <c r="H181">
        <v>0</v>
      </c>
      <c r="K181" t="s">
        <v>133</v>
      </c>
      <c r="L181">
        <v>0</v>
      </c>
      <c r="O181" t="s">
        <v>133</v>
      </c>
      <c r="P181">
        <v>0</v>
      </c>
      <c r="S181" t="s">
        <v>133</v>
      </c>
      <c r="T181">
        <v>0</v>
      </c>
      <c r="W181" t="s">
        <v>133</v>
      </c>
      <c r="X181">
        <v>0</v>
      </c>
      <c r="AA181" t="s">
        <v>133</v>
      </c>
      <c r="AB181">
        <v>241</v>
      </c>
      <c r="AE181" t="s">
        <v>133</v>
      </c>
      <c r="AF181">
        <v>0</v>
      </c>
      <c r="AI181" t="s">
        <v>133</v>
      </c>
      <c r="AJ181">
        <v>112</v>
      </c>
      <c r="AM181" t="s">
        <v>133</v>
      </c>
      <c r="AN181">
        <v>2247</v>
      </c>
      <c r="AQ181" t="s">
        <v>133</v>
      </c>
      <c r="AR181">
        <v>293</v>
      </c>
      <c r="AT181" t="s">
        <v>79</v>
      </c>
      <c r="AU181">
        <v>0</v>
      </c>
    </row>
    <row r="182" spans="3:47" x14ac:dyDescent="0.35">
      <c r="C182" t="s">
        <v>206</v>
      </c>
      <c r="D182">
        <v>0</v>
      </c>
      <c r="G182" t="s">
        <v>206</v>
      </c>
      <c r="H182">
        <v>0</v>
      </c>
      <c r="K182" t="s">
        <v>206</v>
      </c>
      <c r="L182">
        <v>0</v>
      </c>
      <c r="O182" t="s">
        <v>206</v>
      </c>
      <c r="P182">
        <v>0</v>
      </c>
      <c r="S182" t="s">
        <v>206</v>
      </c>
      <c r="T182">
        <v>0</v>
      </c>
      <c r="W182" t="s">
        <v>206</v>
      </c>
      <c r="X182">
        <v>0</v>
      </c>
      <c r="AA182" t="s">
        <v>206</v>
      </c>
      <c r="AB182">
        <v>0</v>
      </c>
      <c r="AE182" t="s">
        <v>206</v>
      </c>
      <c r="AF182">
        <v>0</v>
      </c>
      <c r="AI182" t="s">
        <v>206</v>
      </c>
      <c r="AJ182">
        <v>6</v>
      </c>
      <c r="AM182" t="s">
        <v>206</v>
      </c>
      <c r="AN182">
        <v>0</v>
      </c>
      <c r="AQ182" t="s">
        <v>206</v>
      </c>
      <c r="AR182">
        <v>118</v>
      </c>
      <c r="AT182" t="s">
        <v>68</v>
      </c>
      <c r="AU182">
        <v>0</v>
      </c>
    </row>
    <row r="183" spans="3:47" x14ac:dyDescent="0.35">
      <c r="C183" t="s">
        <v>136</v>
      </c>
      <c r="D183">
        <v>0</v>
      </c>
      <c r="G183" t="s">
        <v>136</v>
      </c>
      <c r="H183">
        <v>0</v>
      </c>
      <c r="K183" t="s">
        <v>136</v>
      </c>
      <c r="L183">
        <v>0</v>
      </c>
      <c r="O183" t="s">
        <v>136</v>
      </c>
      <c r="P183">
        <v>0</v>
      </c>
      <c r="S183" t="s">
        <v>136</v>
      </c>
      <c r="T183">
        <v>0</v>
      </c>
      <c r="W183" t="s">
        <v>136</v>
      </c>
      <c r="X183">
        <v>0</v>
      </c>
      <c r="AA183" t="s">
        <v>136</v>
      </c>
      <c r="AB183">
        <v>0</v>
      </c>
      <c r="AE183" t="s">
        <v>136</v>
      </c>
      <c r="AF183">
        <v>0</v>
      </c>
      <c r="AI183" t="s">
        <v>136</v>
      </c>
      <c r="AJ183">
        <v>73</v>
      </c>
      <c r="AM183" t="s">
        <v>136</v>
      </c>
      <c r="AN183">
        <v>267</v>
      </c>
      <c r="AQ183" t="s">
        <v>136</v>
      </c>
      <c r="AR183">
        <v>4864</v>
      </c>
      <c r="AT183" t="s">
        <v>69</v>
      </c>
      <c r="AU183">
        <v>124</v>
      </c>
    </row>
    <row r="184" spans="3:47" x14ac:dyDescent="0.35">
      <c r="C184" t="s">
        <v>207</v>
      </c>
      <c r="D184">
        <v>0</v>
      </c>
      <c r="G184" t="s">
        <v>207</v>
      </c>
      <c r="H184">
        <v>0</v>
      </c>
      <c r="K184" t="s">
        <v>207</v>
      </c>
      <c r="L184">
        <v>0</v>
      </c>
      <c r="O184" t="s">
        <v>207</v>
      </c>
      <c r="P184">
        <v>0</v>
      </c>
      <c r="S184" t="s">
        <v>207</v>
      </c>
      <c r="T184">
        <v>0</v>
      </c>
      <c r="W184" t="s">
        <v>207</v>
      </c>
      <c r="X184">
        <v>0</v>
      </c>
      <c r="AA184" t="s">
        <v>207</v>
      </c>
      <c r="AB184">
        <v>0</v>
      </c>
      <c r="AE184" t="s">
        <v>207</v>
      </c>
      <c r="AF184">
        <v>0</v>
      </c>
      <c r="AI184" t="s">
        <v>207</v>
      </c>
      <c r="AJ184">
        <v>4</v>
      </c>
      <c r="AM184" t="s">
        <v>207</v>
      </c>
      <c r="AN184">
        <v>0</v>
      </c>
      <c r="AQ184" t="s">
        <v>207</v>
      </c>
      <c r="AR184">
        <v>85</v>
      </c>
      <c r="AT184" t="s">
        <v>70</v>
      </c>
      <c r="AU184">
        <v>0</v>
      </c>
    </row>
    <row r="185" spans="3:47" x14ac:dyDescent="0.35">
      <c r="C185" t="s">
        <v>141</v>
      </c>
      <c r="D185">
        <v>0</v>
      </c>
      <c r="G185" t="s">
        <v>141</v>
      </c>
      <c r="H185">
        <v>0</v>
      </c>
      <c r="K185" t="s">
        <v>141</v>
      </c>
      <c r="L185">
        <v>0</v>
      </c>
      <c r="O185" t="s">
        <v>141</v>
      </c>
      <c r="P185">
        <v>0</v>
      </c>
      <c r="S185" t="s">
        <v>141</v>
      </c>
      <c r="T185">
        <v>0</v>
      </c>
      <c r="W185" t="s">
        <v>141</v>
      </c>
      <c r="X185">
        <v>0</v>
      </c>
      <c r="AA185" t="s">
        <v>141</v>
      </c>
      <c r="AB185">
        <v>0</v>
      </c>
      <c r="AE185" t="s">
        <v>141</v>
      </c>
      <c r="AF185">
        <v>0</v>
      </c>
      <c r="AI185" t="s">
        <v>141</v>
      </c>
      <c r="AJ185">
        <v>207</v>
      </c>
      <c r="AM185" t="s">
        <v>141</v>
      </c>
      <c r="AN185">
        <v>0</v>
      </c>
      <c r="AQ185" t="s">
        <v>141</v>
      </c>
      <c r="AR185">
        <v>10</v>
      </c>
      <c r="AT185" t="s">
        <v>76</v>
      </c>
      <c r="AU185">
        <v>0</v>
      </c>
    </row>
    <row r="186" spans="3:47" x14ac:dyDescent="0.35">
      <c r="C186" t="s">
        <v>208</v>
      </c>
      <c r="D186">
        <v>0</v>
      </c>
      <c r="G186" t="s">
        <v>208</v>
      </c>
      <c r="H186">
        <v>0</v>
      </c>
      <c r="K186" t="s">
        <v>208</v>
      </c>
      <c r="L186">
        <v>0</v>
      </c>
      <c r="O186" t="s">
        <v>208</v>
      </c>
      <c r="P186">
        <v>0</v>
      </c>
      <c r="S186" t="s">
        <v>208</v>
      </c>
      <c r="T186">
        <v>0</v>
      </c>
      <c r="W186" t="s">
        <v>208</v>
      </c>
      <c r="X186">
        <v>0</v>
      </c>
      <c r="AA186" t="s">
        <v>208</v>
      </c>
      <c r="AB186">
        <v>0</v>
      </c>
      <c r="AE186" t="s">
        <v>208</v>
      </c>
      <c r="AF186">
        <v>0</v>
      </c>
      <c r="AI186" t="s">
        <v>208</v>
      </c>
      <c r="AJ186">
        <v>1406</v>
      </c>
      <c r="AM186" t="s">
        <v>208</v>
      </c>
      <c r="AN186">
        <v>0</v>
      </c>
      <c r="AQ186" t="s">
        <v>208</v>
      </c>
      <c r="AR186">
        <v>5</v>
      </c>
      <c r="AT186" t="s">
        <v>77</v>
      </c>
      <c r="AU186">
        <v>0</v>
      </c>
    </row>
    <row r="187" spans="3:47" x14ac:dyDescent="0.35">
      <c r="C187" t="s">
        <v>209</v>
      </c>
      <c r="D187">
        <v>0</v>
      </c>
      <c r="G187" t="s">
        <v>209</v>
      </c>
      <c r="H187">
        <v>0</v>
      </c>
      <c r="K187" t="s">
        <v>209</v>
      </c>
      <c r="L187">
        <v>0</v>
      </c>
      <c r="O187" t="s">
        <v>209</v>
      </c>
      <c r="P187">
        <v>0</v>
      </c>
      <c r="S187" t="s">
        <v>209</v>
      </c>
      <c r="T187">
        <v>0</v>
      </c>
      <c r="W187" t="s">
        <v>209</v>
      </c>
      <c r="X187">
        <v>0</v>
      </c>
      <c r="AA187" t="s">
        <v>209</v>
      </c>
      <c r="AB187">
        <v>0</v>
      </c>
      <c r="AE187" t="s">
        <v>209</v>
      </c>
      <c r="AF187">
        <v>0</v>
      </c>
      <c r="AI187" t="s">
        <v>209</v>
      </c>
      <c r="AJ187">
        <v>152</v>
      </c>
      <c r="AM187" t="s">
        <v>209</v>
      </c>
      <c r="AN187">
        <v>0</v>
      </c>
      <c r="AQ187" t="s">
        <v>209</v>
      </c>
      <c r="AR187">
        <v>74</v>
      </c>
      <c r="AT187" t="s">
        <v>78</v>
      </c>
      <c r="AU187">
        <v>0</v>
      </c>
    </row>
    <row r="188" spans="3:47" x14ac:dyDescent="0.35">
      <c r="C188" t="s">
        <v>134</v>
      </c>
      <c r="D188">
        <v>0</v>
      </c>
      <c r="G188" t="s">
        <v>134</v>
      </c>
      <c r="H188">
        <v>0</v>
      </c>
      <c r="K188" t="s">
        <v>134</v>
      </c>
      <c r="L188">
        <v>0</v>
      </c>
      <c r="O188" t="s">
        <v>134</v>
      </c>
      <c r="P188">
        <v>0</v>
      </c>
      <c r="S188" t="s">
        <v>134</v>
      </c>
      <c r="T188">
        <v>0</v>
      </c>
      <c r="W188" t="s">
        <v>134</v>
      </c>
      <c r="X188">
        <v>0</v>
      </c>
      <c r="AA188" t="s">
        <v>134</v>
      </c>
      <c r="AB188">
        <v>0</v>
      </c>
      <c r="AE188" t="s">
        <v>134</v>
      </c>
      <c r="AF188">
        <v>0</v>
      </c>
      <c r="AI188" t="s">
        <v>134</v>
      </c>
      <c r="AJ188">
        <v>48</v>
      </c>
      <c r="AM188" t="s">
        <v>134</v>
      </c>
      <c r="AN188">
        <v>249</v>
      </c>
      <c r="AQ188" t="s">
        <v>134</v>
      </c>
      <c r="AR188">
        <v>161</v>
      </c>
      <c r="AT188" t="s">
        <v>67</v>
      </c>
      <c r="AU188">
        <v>5235</v>
      </c>
    </row>
    <row r="189" spans="3:47" x14ac:dyDescent="0.35">
      <c r="C189" t="s">
        <v>142</v>
      </c>
      <c r="D189">
        <v>0</v>
      </c>
      <c r="G189" t="s">
        <v>142</v>
      </c>
      <c r="H189">
        <v>0</v>
      </c>
      <c r="K189" t="s">
        <v>142</v>
      </c>
      <c r="L189">
        <v>0</v>
      </c>
      <c r="O189" t="s">
        <v>142</v>
      </c>
      <c r="P189">
        <v>0</v>
      </c>
      <c r="S189" t="s">
        <v>142</v>
      </c>
      <c r="T189">
        <v>0</v>
      </c>
      <c r="W189" t="s">
        <v>142</v>
      </c>
      <c r="X189">
        <v>0</v>
      </c>
      <c r="AA189" t="s">
        <v>142</v>
      </c>
      <c r="AB189">
        <v>0</v>
      </c>
      <c r="AE189" t="s">
        <v>142</v>
      </c>
      <c r="AF189">
        <v>0</v>
      </c>
      <c r="AI189" t="s">
        <v>142</v>
      </c>
      <c r="AJ189">
        <v>2098</v>
      </c>
      <c r="AM189" t="s">
        <v>142</v>
      </c>
      <c r="AN189">
        <v>0</v>
      </c>
      <c r="AQ189" t="s">
        <v>142</v>
      </c>
      <c r="AR189">
        <v>34</v>
      </c>
      <c r="AT189" t="s">
        <v>80</v>
      </c>
      <c r="AU189">
        <v>0</v>
      </c>
    </row>
    <row r="190" spans="3:47" x14ac:dyDescent="0.35">
      <c r="C190" t="s">
        <v>83</v>
      </c>
      <c r="D190">
        <v>0</v>
      </c>
      <c r="G190" t="s">
        <v>83</v>
      </c>
      <c r="H190">
        <v>0</v>
      </c>
      <c r="K190" t="s">
        <v>83</v>
      </c>
      <c r="L190">
        <v>0</v>
      </c>
      <c r="O190" t="s">
        <v>83</v>
      </c>
      <c r="P190">
        <v>0</v>
      </c>
      <c r="S190" t="s">
        <v>83</v>
      </c>
      <c r="T190">
        <v>0</v>
      </c>
      <c r="W190" t="s">
        <v>83</v>
      </c>
      <c r="X190">
        <v>0</v>
      </c>
      <c r="AA190" t="s">
        <v>83</v>
      </c>
      <c r="AB190">
        <v>0</v>
      </c>
      <c r="AE190" t="s">
        <v>83</v>
      </c>
      <c r="AF190">
        <v>0</v>
      </c>
      <c r="AI190" t="s">
        <v>83</v>
      </c>
      <c r="AJ190">
        <v>69</v>
      </c>
      <c r="AM190" t="s">
        <v>83</v>
      </c>
      <c r="AN190">
        <v>21</v>
      </c>
      <c r="AQ190" t="s">
        <v>83</v>
      </c>
      <c r="AR190">
        <v>191</v>
      </c>
      <c r="AT190" t="s">
        <v>83</v>
      </c>
      <c r="AU190">
        <v>0</v>
      </c>
    </row>
    <row r="191" spans="3:47" x14ac:dyDescent="0.35">
      <c r="C191" t="s">
        <v>84</v>
      </c>
      <c r="D191">
        <v>0</v>
      </c>
      <c r="G191" t="s">
        <v>84</v>
      </c>
      <c r="H191">
        <v>0</v>
      </c>
      <c r="K191" t="s">
        <v>84</v>
      </c>
      <c r="L191">
        <v>0</v>
      </c>
      <c r="O191" t="s">
        <v>84</v>
      </c>
      <c r="P191">
        <v>0</v>
      </c>
      <c r="S191" t="s">
        <v>84</v>
      </c>
      <c r="T191">
        <v>0</v>
      </c>
      <c r="W191" t="s">
        <v>84</v>
      </c>
      <c r="X191">
        <v>0</v>
      </c>
      <c r="AA191" t="s">
        <v>84</v>
      </c>
      <c r="AB191">
        <v>0</v>
      </c>
      <c r="AE191" t="s">
        <v>84</v>
      </c>
      <c r="AF191">
        <v>0</v>
      </c>
      <c r="AI191" t="s">
        <v>84</v>
      </c>
      <c r="AJ191">
        <v>64</v>
      </c>
      <c r="AM191" t="s">
        <v>84</v>
      </c>
      <c r="AN191">
        <v>584</v>
      </c>
      <c r="AQ191" t="s">
        <v>84</v>
      </c>
      <c r="AR191">
        <v>606</v>
      </c>
      <c r="AT191" t="s">
        <v>84</v>
      </c>
      <c r="AU191">
        <v>0</v>
      </c>
    </row>
    <row r="192" spans="3:47" x14ac:dyDescent="0.35">
      <c r="C192" t="s">
        <v>126</v>
      </c>
      <c r="D192">
        <v>0</v>
      </c>
      <c r="G192" t="s">
        <v>126</v>
      </c>
      <c r="H192">
        <v>0</v>
      </c>
      <c r="K192" t="s">
        <v>223</v>
      </c>
      <c r="L192">
        <v>0</v>
      </c>
      <c r="O192" t="s">
        <v>126</v>
      </c>
      <c r="P192">
        <v>0</v>
      </c>
      <c r="S192" t="s">
        <v>126</v>
      </c>
      <c r="T192">
        <v>0</v>
      </c>
      <c r="W192" t="s">
        <v>126</v>
      </c>
      <c r="X192">
        <v>0</v>
      </c>
      <c r="AA192" t="s">
        <v>126</v>
      </c>
      <c r="AB192">
        <v>0</v>
      </c>
      <c r="AE192" t="s">
        <v>126</v>
      </c>
      <c r="AF192">
        <v>0</v>
      </c>
      <c r="AI192" t="s">
        <v>126</v>
      </c>
      <c r="AJ192">
        <v>2</v>
      </c>
      <c r="AM192" t="s">
        <v>126</v>
      </c>
      <c r="AN192">
        <v>0</v>
      </c>
      <c r="AQ192" t="s">
        <v>126</v>
      </c>
      <c r="AR192">
        <v>0</v>
      </c>
      <c r="AT192" t="s">
        <v>86</v>
      </c>
      <c r="AU192">
        <v>0</v>
      </c>
    </row>
    <row r="193" spans="1:47" x14ac:dyDescent="0.35">
      <c r="C193" t="s">
        <v>87</v>
      </c>
      <c r="D193">
        <v>0</v>
      </c>
      <c r="G193" t="s">
        <v>87</v>
      </c>
      <c r="H193">
        <v>0</v>
      </c>
      <c r="K193" t="s">
        <v>87</v>
      </c>
      <c r="L193">
        <v>0</v>
      </c>
      <c r="O193" t="s">
        <v>87</v>
      </c>
      <c r="P193">
        <v>0</v>
      </c>
      <c r="S193" t="s">
        <v>87</v>
      </c>
      <c r="T193">
        <v>0</v>
      </c>
      <c r="W193" t="s">
        <v>87</v>
      </c>
      <c r="X193">
        <v>0</v>
      </c>
      <c r="AA193" t="s">
        <v>87</v>
      </c>
      <c r="AB193">
        <v>0</v>
      </c>
      <c r="AE193" t="s">
        <v>87</v>
      </c>
      <c r="AF193">
        <v>0</v>
      </c>
      <c r="AI193" t="s">
        <v>87</v>
      </c>
      <c r="AJ193">
        <v>7</v>
      </c>
      <c r="AM193" t="s">
        <v>87</v>
      </c>
      <c r="AN193">
        <v>0</v>
      </c>
      <c r="AQ193" t="s">
        <v>87</v>
      </c>
      <c r="AR193">
        <v>16</v>
      </c>
      <c r="AT193" t="s">
        <v>87</v>
      </c>
      <c r="AU193">
        <v>0</v>
      </c>
    </row>
    <row r="194" spans="1:47" x14ac:dyDescent="0.35">
      <c r="A194" t="s">
        <v>154</v>
      </c>
      <c r="B194">
        <v>70997869.50000006</v>
      </c>
      <c r="C194" t="s">
        <v>135</v>
      </c>
      <c r="D194">
        <v>0</v>
      </c>
      <c r="E194" t="s">
        <v>154</v>
      </c>
      <c r="F194">
        <v>73460021</v>
      </c>
      <c r="G194" t="s">
        <v>135</v>
      </c>
      <c r="H194">
        <v>12836</v>
      </c>
      <c r="I194" t="s">
        <v>154</v>
      </c>
      <c r="J194">
        <v>76035588.49999994</v>
      </c>
      <c r="K194" t="s">
        <v>135</v>
      </c>
      <c r="L194">
        <v>0</v>
      </c>
      <c r="M194" t="s">
        <v>154</v>
      </c>
      <c r="N194">
        <v>78656903.50000006</v>
      </c>
      <c r="O194" t="s">
        <v>135</v>
      </c>
      <c r="P194">
        <v>0</v>
      </c>
      <c r="Q194" t="s">
        <v>154</v>
      </c>
      <c r="R194">
        <v>81430976.499999985</v>
      </c>
      <c r="S194" t="s">
        <v>135</v>
      </c>
      <c r="T194">
        <v>200</v>
      </c>
      <c r="U194" t="s">
        <v>154</v>
      </c>
      <c r="V194">
        <v>84283273.000000045</v>
      </c>
      <c r="W194" t="s">
        <v>135</v>
      </c>
      <c r="X194">
        <v>0</v>
      </c>
      <c r="Y194" t="s">
        <v>154</v>
      </c>
      <c r="Z194">
        <v>87087354.999999985</v>
      </c>
      <c r="AA194" t="s">
        <v>135</v>
      </c>
      <c r="AB194">
        <v>0</v>
      </c>
      <c r="AC194" t="s">
        <v>154</v>
      </c>
      <c r="AD194">
        <v>89906890.500000015</v>
      </c>
      <c r="AE194" t="s">
        <v>135</v>
      </c>
      <c r="AF194">
        <v>30032</v>
      </c>
      <c r="AG194" t="s">
        <v>154</v>
      </c>
      <c r="AH194">
        <v>92853164.500000015</v>
      </c>
      <c r="AI194" t="s">
        <v>135</v>
      </c>
      <c r="AJ194">
        <v>0</v>
      </c>
      <c r="AK194" t="s">
        <v>154</v>
      </c>
      <c r="AL194">
        <v>95894118.499999985</v>
      </c>
      <c r="AM194" t="s">
        <v>135</v>
      </c>
      <c r="AN194">
        <v>33978</v>
      </c>
      <c r="AO194" t="s">
        <v>154</v>
      </c>
      <c r="AP194">
        <v>99010212</v>
      </c>
      <c r="AQ194" t="s">
        <v>135</v>
      </c>
      <c r="AR194">
        <v>36986</v>
      </c>
      <c r="AS194" t="s">
        <v>154</v>
      </c>
      <c r="AT194" t="s">
        <v>148</v>
      </c>
      <c r="AU194">
        <v>31546</v>
      </c>
    </row>
    <row r="195" spans="1:47" x14ac:dyDescent="0.35">
      <c r="C195" t="s">
        <v>139</v>
      </c>
      <c r="D195">
        <v>0</v>
      </c>
      <c r="G195" t="s">
        <v>139</v>
      </c>
      <c r="H195">
        <v>119626</v>
      </c>
      <c r="K195" t="s">
        <v>139</v>
      </c>
      <c r="L195">
        <v>0</v>
      </c>
      <c r="O195" t="s">
        <v>139</v>
      </c>
      <c r="P195">
        <v>144540</v>
      </c>
      <c r="S195" t="s">
        <v>139</v>
      </c>
      <c r="T195">
        <v>89794</v>
      </c>
      <c r="W195" t="s">
        <v>139</v>
      </c>
      <c r="X195">
        <v>146092</v>
      </c>
      <c r="AA195" t="s">
        <v>139</v>
      </c>
      <c r="AB195">
        <v>186652</v>
      </c>
      <c r="AE195" t="s">
        <v>139</v>
      </c>
      <c r="AF195">
        <v>187928</v>
      </c>
      <c r="AI195" t="s">
        <v>139</v>
      </c>
      <c r="AJ195">
        <v>0</v>
      </c>
      <c r="AM195" t="s">
        <v>139</v>
      </c>
      <c r="AN195">
        <v>203504</v>
      </c>
      <c r="AQ195" t="s">
        <v>139</v>
      </c>
      <c r="AR195">
        <v>230632</v>
      </c>
      <c r="AT195" t="s">
        <v>139</v>
      </c>
      <c r="AU195">
        <v>103785</v>
      </c>
    </row>
    <row r="196" spans="1:47" x14ac:dyDescent="0.35">
      <c r="C196" t="s">
        <v>138</v>
      </c>
      <c r="D196">
        <v>0</v>
      </c>
      <c r="G196" t="s">
        <v>138</v>
      </c>
      <c r="H196">
        <v>3110</v>
      </c>
      <c r="K196" t="s">
        <v>138</v>
      </c>
      <c r="L196">
        <v>0</v>
      </c>
      <c r="O196" t="s">
        <v>138</v>
      </c>
      <c r="P196">
        <v>0</v>
      </c>
      <c r="S196" t="s">
        <v>138</v>
      </c>
      <c r="T196">
        <v>3586</v>
      </c>
      <c r="W196" t="s">
        <v>138</v>
      </c>
      <c r="X196">
        <v>0</v>
      </c>
      <c r="AA196" t="s">
        <v>138</v>
      </c>
      <c r="AB196">
        <v>0</v>
      </c>
      <c r="AE196" t="s">
        <v>138</v>
      </c>
      <c r="AF196">
        <v>6298</v>
      </c>
      <c r="AI196" t="s">
        <v>138</v>
      </c>
      <c r="AJ196">
        <v>0</v>
      </c>
      <c r="AM196" t="s">
        <v>138</v>
      </c>
      <c r="AN196">
        <v>4186</v>
      </c>
      <c r="AQ196" t="s">
        <v>138</v>
      </c>
      <c r="AR196">
        <v>5280</v>
      </c>
      <c r="AT196" t="s">
        <v>138</v>
      </c>
      <c r="AU196">
        <v>3642</v>
      </c>
    </row>
    <row r="197" spans="1:47" x14ac:dyDescent="0.35">
      <c r="C197" t="s">
        <v>82</v>
      </c>
      <c r="D197">
        <v>409</v>
      </c>
      <c r="G197" t="s">
        <v>82</v>
      </c>
      <c r="H197">
        <v>35</v>
      </c>
      <c r="K197" t="s">
        <v>82</v>
      </c>
      <c r="L197">
        <v>177</v>
      </c>
      <c r="O197" t="s">
        <v>82</v>
      </c>
      <c r="P197">
        <v>3609</v>
      </c>
      <c r="S197" t="s">
        <v>82</v>
      </c>
      <c r="T197">
        <v>0</v>
      </c>
      <c r="W197" t="s">
        <v>82</v>
      </c>
      <c r="X197">
        <v>108</v>
      </c>
      <c r="AA197" t="s">
        <v>82</v>
      </c>
      <c r="AB197">
        <v>47</v>
      </c>
      <c r="AE197" t="s">
        <v>82</v>
      </c>
      <c r="AF197">
        <v>3532</v>
      </c>
      <c r="AI197" t="s">
        <v>82</v>
      </c>
      <c r="AJ197">
        <v>2439</v>
      </c>
      <c r="AM197" t="s">
        <v>82</v>
      </c>
      <c r="AN197">
        <v>2490</v>
      </c>
      <c r="AQ197" t="s">
        <v>82</v>
      </c>
      <c r="AR197">
        <v>487</v>
      </c>
      <c r="AT197" t="s">
        <v>82</v>
      </c>
      <c r="AU197">
        <v>1687</v>
      </c>
    </row>
    <row r="198" spans="1:47" x14ac:dyDescent="0.35">
      <c r="C198" t="s">
        <v>60</v>
      </c>
      <c r="D198">
        <v>287</v>
      </c>
      <c r="G198" t="s">
        <v>60</v>
      </c>
      <c r="H198">
        <v>44</v>
      </c>
      <c r="K198" t="s">
        <v>60</v>
      </c>
      <c r="L198">
        <v>132</v>
      </c>
      <c r="O198" t="s">
        <v>60</v>
      </c>
      <c r="P198">
        <v>2898</v>
      </c>
      <c r="S198" t="s">
        <v>60</v>
      </c>
      <c r="T198">
        <v>0</v>
      </c>
      <c r="W198" t="s">
        <v>60</v>
      </c>
      <c r="X198">
        <v>9</v>
      </c>
      <c r="AA198" t="s">
        <v>60</v>
      </c>
      <c r="AB198">
        <v>24</v>
      </c>
      <c r="AE198" t="s">
        <v>60</v>
      </c>
      <c r="AF198">
        <v>1440</v>
      </c>
      <c r="AI198" t="s">
        <v>60</v>
      </c>
      <c r="AJ198">
        <v>1004</v>
      </c>
      <c r="AM198" t="s">
        <v>60</v>
      </c>
      <c r="AN198">
        <v>2881</v>
      </c>
      <c r="AQ198" t="s">
        <v>60</v>
      </c>
      <c r="AR198">
        <v>215</v>
      </c>
      <c r="AT198" t="s">
        <v>60</v>
      </c>
      <c r="AU198">
        <v>404</v>
      </c>
    </row>
    <row r="199" spans="1:47" x14ac:dyDescent="0.35">
      <c r="C199" t="s">
        <v>127</v>
      </c>
      <c r="D199">
        <v>0</v>
      </c>
      <c r="G199" t="s">
        <v>127</v>
      </c>
      <c r="H199">
        <v>0</v>
      </c>
      <c r="K199" t="s">
        <v>127</v>
      </c>
      <c r="L199">
        <v>0</v>
      </c>
      <c r="O199" t="s">
        <v>127</v>
      </c>
      <c r="P199">
        <v>0</v>
      </c>
      <c r="S199" t="s">
        <v>127</v>
      </c>
      <c r="T199">
        <v>0</v>
      </c>
      <c r="W199" t="s">
        <v>127</v>
      </c>
      <c r="X199">
        <v>0</v>
      </c>
      <c r="AA199" t="s">
        <v>127</v>
      </c>
      <c r="AB199">
        <v>0</v>
      </c>
      <c r="AE199" t="s">
        <v>127</v>
      </c>
      <c r="AF199">
        <v>0</v>
      </c>
      <c r="AI199" t="s">
        <v>127</v>
      </c>
      <c r="AJ199">
        <v>0</v>
      </c>
      <c r="AM199" t="s">
        <v>127</v>
      </c>
      <c r="AN199">
        <v>0</v>
      </c>
      <c r="AQ199" t="s">
        <v>127</v>
      </c>
      <c r="AR199">
        <v>0</v>
      </c>
      <c r="AT199" t="s">
        <v>58</v>
      </c>
      <c r="AU199">
        <v>0</v>
      </c>
    </row>
    <row r="200" spans="1:47" x14ac:dyDescent="0.35">
      <c r="C200" t="s">
        <v>61</v>
      </c>
      <c r="D200">
        <v>19</v>
      </c>
      <c r="G200" t="s">
        <v>61</v>
      </c>
      <c r="H200">
        <v>0</v>
      </c>
      <c r="K200" t="s">
        <v>61</v>
      </c>
      <c r="L200">
        <v>361</v>
      </c>
      <c r="O200" t="s">
        <v>61</v>
      </c>
      <c r="P200">
        <v>2192</v>
      </c>
      <c r="S200" t="s">
        <v>61</v>
      </c>
      <c r="T200">
        <v>0</v>
      </c>
      <c r="W200" t="s">
        <v>61</v>
      </c>
      <c r="X200">
        <v>0</v>
      </c>
      <c r="AA200" t="s">
        <v>61</v>
      </c>
      <c r="AB200">
        <v>119</v>
      </c>
      <c r="AE200" t="s">
        <v>61</v>
      </c>
      <c r="AF200">
        <v>0</v>
      </c>
      <c r="AI200" t="s">
        <v>61</v>
      </c>
      <c r="AJ200">
        <v>776</v>
      </c>
      <c r="AM200" t="s">
        <v>61</v>
      </c>
      <c r="AN200">
        <v>91</v>
      </c>
      <c r="AQ200" t="s">
        <v>61</v>
      </c>
      <c r="AR200">
        <v>0</v>
      </c>
      <c r="AT200" t="s">
        <v>61</v>
      </c>
      <c r="AU200">
        <v>535</v>
      </c>
    </row>
    <row r="201" spans="1:47" x14ac:dyDescent="0.35">
      <c r="C201" t="s">
        <v>62</v>
      </c>
      <c r="D201">
        <v>634</v>
      </c>
      <c r="G201" t="s">
        <v>62</v>
      </c>
      <c r="H201">
        <v>0</v>
      </c>
      <c r="K201" t="s">
        <v>62</v>
      </c>
      <c r="L201">
        <v>163</v>
      </c>
      <c r="O201" t="s">
        <v>62</v>
      </c>
      <c r="P201">
        <v>1168</v>
      </c>
      <c r="S201" t="s">
        <v>62</v>
      </c>
      <c r="T201">
        <v>0</v>
      </c>
      <c r="W201" t="s">
        <v>62</v>
      </c>
      <c r="X201">
        <v>0</v>
      </c>
      <c r="AA201" t="s">
        <v>62</v>
      </c>
      <c r="AB201">
        <v>136</v>
      </c>
      <c r="AE201" t="s">
        <v>62</v>
      </c>
      <c r="AF201">
        <v>4362</v>
      </c>
      <c r="AI201" t="s">
        <v>62</v>
      </c>
      <c r="AJ201">
        <v>3788</v>
      </c>
      <c r="AM201" t="s">
        <v>62</v>
      </c>
      <c r="AN201">
        <v>2684</v>
      </c>
      <c r="AQ201" t="s">
        <v>62</v>
      </c>
      <c r="AR201">
        <v>233</v>
      </c>
      <c r="AT201" t="s">
        <v>62</v>
      </c>
      <c r="AU201">
        <v>167</v>
      </c>
    </row>
    <row r="202" spans="1:47" x14ac:dyDescent="0.35">
      <c r="C202" t="s">
        <v>203</v>
      </c>
      <c r="D202">
        <v>0</v>
      </c>
      <c r="G202" t="s">
        <v>203</v>
      </c>
      <c r="H202">
        <v>0</v>
      </c>
      <c r="K202" t="s">
        <v>203</v>
      </c>
      <c r="L202">
        <v>0</v>
      </c>
      <c r="O202" t="s">
        <v>203</v>
      </c>
      <c r="P202">
        <v>0</v>
      </c>
      <c r="S202" t="s">
        <v>203</v>
      </c>
      <c r="T202">
        <v>0</v>
      </c>
      <c r="W202" t="s">
        <v>203</v>
      </c>
      <c r="X202">
        <v>0</v>
      </c>
      <c r="AA202" t="s">
        <v>203</v>
      </c>
      <c r="AB202">
        <v>0</v>
      </c>
      <c r="AE202" t="s">
        <v>203</v>
      </c>
      <c r="AF202">
        <v>0</v>
      </c>
      <c r="AI202" t="s">
        <v>203</v>
      </c>
      <c r="AJ202">
        <v>0</v>
      </c>
      <c r="AM202" t="s">
        <v>203</v>
      </c>
      <c r="AN202">
        <v>0</v>
      </c>
      <c r="AQ202" t="s">
        <v>203</v>
      </c>
      <c r="AR202">
        <v>0</v>
      </c>
      <c r="AT202" t="s">
        <v>64</v>
      </c>
      <c r="AU202">
        <v>0</v>
      </c>
    </row>
    <row r="203" spans="1:47" x14ac:dyDescent="0.35">
      <c r="C203" t="s">
        <v>204</v>
      </c>
      <c r="D203">
        <v>0</v>
      </c>
      <c r="G203" t="s">
        <v>204</v>
      </c>
      <c r="H203">
        <v>0</v>
      </c>
      <c r="K203" t="s">
        <v>204</v>
      </c>
      <c r="L203">
        <v>0</v>
      </c>
      <c r="O203" t="s">
        <v>204</v>
      </c>
      <c r="P203">
        <v>0</v>
      </c>
      <c r="S203" t="s">
        <v>204</v>
      </c>
      <c r="T203">
        <v>0</v>
      </c>
      <c r="W203" t="s">
        <v>204</v>
      </c>
      <c r="X203">
        <v>0</v>
      </c>
      <c r="AA203" t="s">
        <v>204</v>
      </c>
      <c r="AB203">
        <v>0</v>
      </c>
      <c r="AE203" t="s">
        <v>204</v>
      </c>
      <c r="AF203">
        <v>3342</v>
      </c>
      <c r="AI203" t="s">
        <v>204</v>
      </c>
      <c r="AJ203">
        <v>0</v>
      </c>
      <c r="AM203" t="s">
        <v>204</v>
      </c>
      <c r="AN203">
        <v>3724</v>
      </c>
      <c r="AQ203" t="s">
        <v>204</v>
      </c>
      <c r="AR203">
        <v>4695</v>
      </c>
      <c r="AT203" t="s">
        <v>65</v>
      </c>
      <c r="AU203">
        <v>2651</v>
      </c>
    </row>
    <row r="204" spans="1:47" x14ac:dyDescent="0.35">
      <c r="C204" t="s">
        <v>205</v>
      </c>
      <c r="D204">
        <v>0</v>
      </c>
      <c r="G204" t="s">
        <v>205</v>
      </c>
      <c r="H204">
        <v>0</v>
      </c>
      <c r="K204" t="s">
        <v>205</v>
      </c>
      <c r="L204">
        <v>0</v>
      </c>
      <c r="O204" t="s">
        <v>205</v>
      </c>
      <c r="P204">
        <v>0</v>
      </c>
      <c r="S204" t="s">
        <v>205</v>
      </c>
      <c r="T204">
        <v>0</v>
      </c>
      <c r="W204" t="s">
        <v>205</v>
      </c>
      <c r="X204">
        <v>0</v>
      </c>
      <c r="AA204" t="s">
        <v>205</v>
      </c>
      <c r="AB204">
        <v>0</v>
      </c>
      <c r="AE204" t="s">
        <v>205</v>
      </c>
      <c r="AF204">
        <v>0</v>
      </c>
      <c r="AI204" t="s">
        <v>205</v>
      </c>
      <c r="AJ204">
        <v>0</v>
      </c>
      <c r="AM204" t="s">
        <v>205</v>
      </c>
      <c r="AN204">
        <v>0</v>
      </c>
      <c r="AQ204" t="s">
        <v>205</v>
      </c>
      <c r="AR204">
        <v>0</v>
      </c>
      <c r="AT204" t="s">
        <v>66</v>
      </c>
      <c r="AU204">
        <v>0</v>
      </c>
    </row>
    <row r="205" spans="1:47" x14ac:dyDescent="0.35">
      <c r="C205" t="s">
        <v>133</v>
      </c>
      <c r="D205">
        <v>0</v>
      </c>
      <c r="G205" t="s">
        <v>133</v>
      </c>
      <c r="H205">
        <v>2126</v>
      </c>
      <c r="K205" t="s">
        <v>133</v>
      </c>
      <c r="L205">
        <v>0</v>
      </c>
      <c r="O205" t="s">
        <v>133</v>
      </c>
      <c r="P205">
        <v>0</v>
      </c>
      <c r="S205" t="s">
        <v>133</v>
      </c>
      <c r="T205">
        <v>0</v>
      </c>
      <c r="W205" t="s">
        <v>133</v>
      </c>
      <c r="X205">
        <v>0</v>
      </c>
      <c r="AA205" t="s">
        <v>133</v>
      </c>
      <c r="AB205">
        <v>2934</v>
      </c>
      <c r="AE205" t="s">
        <v>133</v>
      </c>
      <c r="AF205">
        <v>0</v>
      </c>
      <c r="AI205" t="s">
        <v>133</v>
      </c>
      <c r="AJ205">
        <v>0</v>
      </c>
      <c r="AM205" t="s">
        <v>133</v>
      </c>
      <c r="AN205">
        <v>0</v>
      </c>
      <c r="AQ205" t="s">
        <v>133</v>
      </c>
      <c r="AR205">
        <v>0</v>
      </c>
      <c r="AT205" t="s">
        <v>79</v>
      </c>
      <c r="AU205">
        <v>0</v>
      </c>
    </row>
    <row r="206" spans="1:47" x14ac:dyDescent="0.35">
      <c r="C206" t="s">
        <v>206</v>
      </c>
      <c r="D206">
        <v>0</v>
      </c>
      <c r="G206" t="s">
        <v>206</v>
      </c>
      <c r="H206">
        <v>0</v>
      </c>
      <c r="K206" t="s">
        <v>206</v>
      </c>
      <c r="L206">
        <v>0</v>
      </c>
      <c r="O206" t="s">
        <v>206</v>
      </c>
      <c r="P206">
        <v>0</v>
      </c>
      <c r="S206" t="s">
        <v>206</v>
      </c>
      <c r="T206">
        <v>0</v>
      </c>
      <c r="W206" t="s">
        <v>206</v>
      </c>
      <c r="X206">
        <v>0</v>
      </c>
      <c r="AA206" t="s">
        <v>206</v>
      </c>
      <c r="AB206">
        <v>0</v>
      </c>
      <c r="AE206" t="s">
        <v>206</v>
      </c>
      <c r="AF206">
        <v>0</v>
      </c>
      <c r="AI206" t="s">
        <v>206</v>
      </c>
      <c r="AJ206">
        <v>0</v>
      </c>
      <c r="AM206" t="s">
        <v>206</v>
      </c>
      <c r="AN206">
        <v>0</v>
      </c>
      <c r="AQ206" t="s">
        <v>206</v>
      </c>
      <c r="AR206">
        <v>0</v>
      </c>
      <c r="AT206" t="s">
        <v>68</v>
      </c>
      <c r="AU206">
        <v>0</v>
      </c>
    </row>
    <row r="207" spans="1:47" x14ac:dyDescent="0.35">
      <c r="C207" t="s">
        <v>136</v>
      </c>
      <c r="D207">
        <v>0</v>
      </c>
      <c r="G207" t="s">
        <v>136</v>
      </c>
      <c r="H207">
        <v>287</v>
      </c>
      <c r="K207" t="s">
        <v>136</v>
      </c>
      <c r="L207">
        <v>0</v>
      </c>
      <c r="O207" t="s">
        <v>136</v>
      </c>
      <c r="P207">
        <v>0</v>
      </c>
      <c r="S207" t="s">
        <v>136</v>
      </c>
      <c r="T207">
        <v>0</v>
      </c>
      <c r="W207" t="s">
        <v>136</v>
      </c>
      <c r="X207">
        <v>0</v>
      </c>
      <c r="AA207" t="s">
        <v>136</v>
      </c>
      <c r="AB207">
        <v>0</v>
      </c>
      <c r="AE207" t="s">
        <v>136</v>
      </c>
      <c r="AF207">
        <v>0</v>
      </c>
      <c r="AI207" t="s">
        <v>136</v>
      </c>
      <c r="AJ207">
        <v>0</v>
      </c>
      <c r="AM207" t="s">
        <v>136</v>
      </c>
      <c r="AN207">
        <v>439</v>
      </c>
      <c r="AQ207" t="s">
        <v>136</v>
      </c>
      <c r="AR207">
        <v>528</v>
      </c>
      <c r="AT207" t="s">
        <v>69</v>
      </c>
      <c r="AU207">
        <v>338</v>
      </c>
    </row>
    <row r="208" spans="1:47" x14ac:dyDescent="0.35">
      <c r="C208" t="s">
        <v>207</v>
      </c>
      <c r="D208">
        <v>0</v>
      </c>
      <c r="G208" t="s">
        <v>207</v>
      </c>
      <c r="H208">
        <v>0</v>
      </c>
      <c r="K208" t="s">
        <v>207</v>
      </c>
      <c r="L208">
        <v>0</v>
      </c>
      <c r="O208" t="s">
        <v>207</v>
      </c>
      <c r="P208">
        <v>0</v>
      </c>
      <c r="S208" t="s">
        <v>207</v>
      </c>
      <c r="T208">
        <v>0</v>
      </c>
      <c r="W208" t="s">
        <v>207</v>
      </c>
      <c r="X208">
        <v>0</v>
      </c>
      <c r="AA208" t="s">
        <v>207</v>
      </c>
      <c r="AB208">
        <v>0</v>
      </c>
      <c r="AE208" t="s">
        <v>207</v>
      </c>
      <c r="AF208">
        <v>0</v>
      </c>
      <c r="AI208" t="s">
        <v>207</v>
      </c>
      <c r="AJ208">
        <v>0</v>
      </c>
      <c r="AM208" t="s">
        <v>207</v>
      </c>
      <c r="AN208">
        <v>0</v>
      </c>
      <c r="AQ208" t="s">
        <v>207</v>
      </c>
      <c r="AR208">
        <v>0</v>
      </c>
      <c r="AT208" t="s">
        <v>70</v>
      </c>
      <c r="AU208">
        <v>0</v>
      </c>
    </row>
    <row r="209" spans="1:47" x14ac:dyDescent="0.35">
      <c r="C209" t="s">
        <v>141</v>
      </c>
      <c r="D209">
        <v>0</v>
      </c>
      <c r="G209" t="s">
        <v>141</v>
      </c>
      <c r="H209">
        <v>0</v>
      </c>
      <c r="K209" t="s">
        <v>141</v>
      </c>
      <c r="L209">
        <v>0</v>
      </c>
      <c r="O209" t="s">
        <v>141</v>
      </c>
      <c r="P209">
        <v>0</v>
      </c>
      <c r="S209" t="s">
        <v>141</v>
      </c>
      <c r="T209">
        <v>0</v>
      </c>
      <c r="W209" t="s">
        <v>141</v>
      </c>
      <c r="X209">
        <v>0</v>
      </c>
      <c r="AA209" t="s">
        <v>141</v>
      </c>
      <c r="AB209">
        <v>0</v>
      </c>
      <c r="AE209" t="s">
        <v>141</v>
      </c>
      <c r="AF209">
        <v>0</v>
      </c>
      <c r="AI209" t="s">
        <v>141</v>
      </c>
      <c r="AJ209">
        <v>0</v>
      </c>
      <c r="AM209" t="s">
        <v>141</v>
      </c>
      <c r="AN209">
        <v>0</v>
      </c>
      <c r="AQ209" t="s">
        <v>141</v>
      </c>
      <c r="AR209">
        <v>0</v>
      </c>
      <c r="AT209" t="s">
        <v>76</v>
      </c>
      <c r="AU209">
        <v>0</v>
      </c>
    </row>
    <row r="210" spans="1:47" x14ac:dyDescent="0.35">
      <c r="C210" t="s">
        <v>208</v>
      </c>
      <c r="D210">
        <v>0</v>
      </c>
      <c r="G210" t="s">
        <v>208</v>
      </c>
      <c r="H210">
        <v>0</v>
      </c>
      <c r="K210" t="s">
        <v>208</v>
      </c>
      <c r="L210">
        <v>0</v>
      </c>
      <c r="O210" t="s">
        <v>208</v>
      </c>
      <c r="P210">
        <v>0</v>
      </c>
      <c r="S210" t="s">
        <v>208</v>
      </c>
      <c r="T210">
        <v>0</v>
      </c>
      <c r="W210" t="s">
        <v>208</v>
      </c>
      <c r="X210">
        <v>0</v>
      </c>
      <c r="AA210" t="s">
        <v>208</v>
      </c>
      <c r="AB210">
        <v>0</v>
      </c>
      <c r="AE210" t="s">
        <v>208</v>
      </c>
      <c r="AF210">
        <v>1939</v>
      </c>
      <c r="AI210" t="s">
        <v>208</v>
      </c>
      <c r="AJ210">
        <v>0</v>
      </c>
      <c r="AM210" t="s">
        <v>208</v>
      </c>
      <c r="AN210">
        <v>1785</v>
      </c>
      <c r="AQ210" t="s">
        <v>208</v>
      </c>
      <c r="AR210">
        <v>1803</v>
      </c>
      <c r="AT210" t="s">
        <v>77</v>
      </c>
      <c r="AU210">
        <v>74310</v>
      </c>
    </row>
    <row r="211" spans="1:47" x14ac:dyDescent="0.35">
      <c r="C211" t="s">
        <v>209</v>
      </c>
      <c r="D211">
        <v>0</v>
      </c>
      <c r="G211" t="s">
        <v>209</v>
      </c>
      <c r="H211">
        <v>0</v>
      </c>
      <c r="K211" t="s">
        <v>209</v>
      </c>
      <c r="L211">
        <v>0</v>
      </c>
      <c r="O211" t="s">
        <v>209</v>
      </c>
      <c r="P211">
        <v>0</v>
      </c>
      <c r="S211" t="s">
        <v>209</v>
      </c>
      <c r="T211">
        <v>0</v>
      </c>
      <c r="W211" t="s">
        <v>209</v>
      </c>
      <c r="X211">
        <v>0</v>
      </c>
      <c r="AA211" t="s">
        <v>209</v>
      </c>
      <c r="AB211">
        <v>0</v>
      </c>
      <c r="AE211" t="s">
        <v>209</v>
      </c>
      <c r="AF211">
        <v>0</v>
      </c>
      <c r="AI211" t="s">
        <v>209</v>
      </c>
      <c r="AJ211">
        <v>0</v>
      </c>
      <c r="AM211" t="s">
        <v>209</v>
      </c>
      <c r="AN211">
        <v>0</v>
      </c>
      <c r="AQ211" t="s">
        <v>209</v>
      </c>
      <c r="AR211">
        <v>0</v>
      </c>
      <c r="AT211" t="s">
        <v>78</v>
      </c>
      <c r="AU211">
        <v>1608</v>
      </c>
    </row>
    <row r="212" spans="1:47" x14ac:dyDescent="0.35">
      <c r="C212" t="s">
        <v>134</v>
      </c>
      <c r="D212">
        <v>0</v>
      </c>
      <c r="G212" t="s">
        <v>134</v>
      </c>
      <c r="H212">
        <v>0</v>
      </c>
      <c r="K212" t="s">
        <v>134</v>
      </c>
      <c r="L212">
        <v>0</v>
      </c>
      <c r="O212" t="s">
        <v>134</v>
      </c>
      <c r="P212">
        <v>0</v>
      </c>
      <c r="S212" t="s">
        <v>134</v>
      </c>
      <c r="T212">
        <v>0</v>
      </c>
      <c r="W212" t="s">
        <v>134</v>
      </c>
      <c r="X212">
        <v>0</v>
      </c>
      <c r="AA212" t="s">
        <v>134</v>
      </c>
      <c r="AB212">
        <v>0</v>
      </c>
      <c r="AE212" t="s">
        <v>134</v>
      </c>
      <c r="AF212">
        <v>0</v>
      </c>
      <c r="AI212" t="s">
        <v>134</v>
      </c>
      <c r="AJ212">
        <v>0</v>
      </c>
      <c r="AM212" t="s">
        <v>134</v>
      </c>
      <c r="AN212">
        <v>0</v>
      </c>
      <c r="AQ212" t="s">
        <v>134</v>
      </c>
      <c r="AR212">
        <v>0</v>
      </c>
      <c r="AT212" t="s">
        <v>67</v>
      </c>
      <c r="AU212">
        <v>2934</v>
      </c>
    </row>
    <row r="213" spans="1:47" x14ac:dyDescent="0.35">
      <c r="C213" t="s">
        <v>142</v>
      </c>
      <c r="D213">
        <v>0</v>
      </c>
      <c r="G213" t="s">
        <v>142</v>
      </c>
      <c r="H213">
        <v>0</v>
      </c>
      <c r="K213" t="s">
        <v>142</v>
      </c>
      <c r="L213">
        <v>0</v>
      </c>
      <c r="O213" t="s">
        <v>142</v>
      </c>
      <c r="P213">
        <v>0</v>
      </c>
      <c r="S213" t="s">
        <v>142</v>
      </c>
      <c r="T213">
        <v>0</v>
      </c>
      <c r="W213" t="s">
        <v>142</v>
      </c>
      <c r="X213">
        <v>0</v>
      </c>
      <c r="AA213" t="s">
        <v>142</v>
      </c>
      <c r="AB213">
        <v>0</v>
      </c>
      <c r="AE213" t="s">
        <v>142</v>
      </c>
      <c r="AF213">
        <v>0</v>
      </c>
      <c r="AI213" t="s">
        <v>142</v>
      </c>
      <c r="AJ213">
        <v>0</v>
      </c>
      <c r="AM213" t="s">
        <v>142</v>
      </c>
      <c r="AN213">
        <v>0</v>
      </c>
      <c r="AQ213" t="s">
        <v>142</v>
      </c>
      <c r="AR213">
        <v>0</v>
      </c>
      <c r="AT213" t="s">
        <v>80</v>
      </c>
      <c r="AU213">
        <v>0</v>
      </c>
    </row>
    <row r="214" spans="1:47" x14ac:dyDescent="0.35">
      <c r="C214" t="s">
        <v>83</v>
      </c>
      <c r="D214">
        <v>0</v>
      </c>
      <c r="G214" t="s">
        <v>83</v>
      </c>
      <c r="H214">
        <v>0</v>
      </c>
      <c r="K214" t="s">
        <v>83</v>
      </c>
      <c r="L214">
        <v>0</v>
      </c>
      <c r="O214" t="s">
        <v>83</v>
      </c>
      <c r="P214">
        <v>0</v>
      </c>
      <c r="S214" t="s">
        <v>83</v>
      </c>
      <c r="T214">
        <v>0</v>
      </c>
      <c r="W214" t="s">
        <v>83</v>
      </c>
      <c r="X214">
        <v>0</v>
      </c>
      <c r="AA214" t="s">
        <v>83</v>
      </c>
      <c r="AB214">
        <v>0</v>
      </c>
      <c r="AE214" t="s">
        <v>83</v>
      </c>
      <c r="AF214">
        <v>496</v>
      </c>
      <c r="AI214" t="s">
        <v>83</v>
      </c>
      <c r="AJ214">
        <v>0</v>
      </c>
      <c r="AM214" t="s">
        <v>83</v>
      </c>
      <c r="AN214">
        <v>680</v>
      </c>
      <c r="AQ214" t="s">
        <v>83</v>
      </c>
      <c r="AR214">
        <v>793</v>
      </c>
      <c r="AT214" t="s">
        <v>83</v>
      </c>
      <c r="AU214">
        <v>395</v>
      </c>
    </row>
    <row r="215" spans="1:47" x14ac:dyDescent="0.35">
      <c r="C215" t="s">
        <v>84</v>
      </c>
      <c r="D215">
        <v>0</v>
      </c>
      <c r="G215" t="s">
        <v>84</v>
      </c>
      <c r="H215">
        <v>0</v>
      </c>
      <c r="K215" t="s">
        <v>84</v>
      </c>
      <c r="L215">
        <v>0</v>
      </c>
      <c r="O215" t="s">
        <v>84</v>
      </c>
      <c r="P215">
        <v>0</v>
      </c>
      <c r="S215" t="s">
        <v>84</v>
      </c>
      <c r="T215">
        <v>0</v>
      </c>
      <c r="W215" t="s">
        <v>84</v>
      </c>
      <c r="X215">
        <v>0</v>
      </c>
      <c r="AA215" t="s">
        <v>84</v>
      </c>
      <c r="AB215">
        <v>0</v>
      </c>
      <c r="AE215" t="s">
        <v>84</v>
      </c>
      <c r="AF215">
        <v>0</v>
      </c>
      <c r="AI215" t="s">
        <v>84</v>
      </c>
      <c r="AJ215">
        <v>0</v>
      </c>
      <c r="AM215" t="s">
        <v>84</v>
      </c>
      <c r="AN215">
        <v>0</v>
      </c>
      <c r="AQ215" t="s">
        <v>84</v>
      </c>
      <c r="AR215">
        <v>0</v>
      </c>
      <c r="AT215" t="s">
        <v>84</v>
      </c>
      <c r="AU215">
        <v>0</v>
      </c>
    </row>
    <row r="216" spans="1:47" x14ac:dyDescent="0.35">
      <c r="C216" t="s">
        <v>126</v>
      </c>
      <c r="D216">
        <v>0</v>
      </c>
      <c r="G216" t="s">
        <v>126</v>
      </c>
      <c r="H216">
        <v>0</v>
      </c>
      <c r="K216" t="s">
        <v>223</v>
      </c>
      <c r="L216">
        <v>0</v>
      </c>
      <c r="O216" t="s">
        <v>126</v>
      </c>
      <c r="P216">
        <v>0</v>
      </c>
      <c r="S216" t="s">
        <v>126</v>
      </c>
      <c r="T216">
        <v>0</v>
      </c>
      <c r="W216" t="s">
        <v>126</v>
      </c>
      <c r="X216">
        <v>0</v>
      </c>
      <c r="AA216" t="s">
        <v>126</v>
      </c>
      <c r="AB216">
        <v>0</v>
      </c>
      <c r="AE216" t="s">
        <v>126</v>
      </c>
      <c r="AF216">
        <v>0</v>
      </c>
      <c r="AI216" t="s">
        <v>126</v>
      </c>
      <c r="AJ216">
        <v>0</v>
      </c>
      <c r="AM216" t="s">
        <v>126</v>
      </c>
      <c r="AN216">
        <v>0</v>
      </c>
      <c r="AQ216" t="s">
        <v>126</v>
      </c>
      <c r="AR216">
        <v>0</v>
      </c>
      <c r="AT216" t="s">
        <v>86</v>
      </c>
      <c r="AU216">
        <v>0</v>
      </c>
    </row>
    <row r="217" spans="1:47" x14ac:dyDescent="0.35">
      <c r="C217" t="s">
        <v>87</v>
      </c>
      <c r="D217">
        <v>0</v>
      </c>
      <c r="G217" t="s">
        <v>87</v>
      </c>
      <c r="H217">
        <v>0</v>
      </c>
      <c r="K217" t="s">
        <v>87</v>
      </c>
      <c r="L217">
        <v>0</v>
      </c>
      <c r="O217" t="s">
        <v>87</v>
      </c>
      <c r="P217">
        <v>0</v>
      </c>
      <c r="S217" t="s">
        <v>87</v>
      </c>
      <c r="T217">
        <v>0</v>
      </c>
      <c r="W217" t="s">
        <v>87</v>
      </c>
      <c r="X217">
        <v>0</v>
      </c>
      <c r="AA217" t="s">
        <v>87</v>
      </c>
      <c r="AB217">
        <v>0</v>
      </c>
      <c r="AE217" t="s">
        <v>87</v>
      </c>
      <c r="AF217">
        <v>0</v>
      </c>
      <c r="AI217" t="s">
        <v>87</v>
      </c>
      <c r="AJ217">
        <v>0</v>
      </c>
      <c r="AM217" t="s">
        <v>87</v>
      </c>
      <c r="AN217">
        <v>0</v>
      </c>
      <c r="AQ217" t="s">
        <v>87</v>
      </c>
      <c r="AR217">
        <v>0</v>
      </c>
      <c r="AT217" t="s">
        <v>87</v>
      </c>
      <c r="AU217">
        <v>0</v>
      </c>
    </row>
    <row r="218" spans="1:47" x14ac:dyDescent="0.35">
      <c r="A218" t="s">
        <v>189</v>
      </c>
      <c r="B218">
        <v>4713256.5000000028</v>
      </c>
      <c r="C218" t="s">
        <v>135</v>
      </c>
      <c r="D218">
        <v>0</v>
      </c>
      <c r="E218" t="s">
        <v>189</v>
      </c>
      <c r="F218">
        <v>4828066.5000000028</v>
      </c>
      <c r="G218" t="s">
        <v>135</v>
      </c>
      <c r="H218">
        <v>0</v>
      </c>
      <c r="I218" t="s">
        <v>189</v>
      </c>
      <c r="J218">
        <v>4944861.5000000019</v>
      </c>
      <c r="K218" t="s">
        <v>135</v>
      </c>
      <c r="L218">
        <v>0</v>
      </c>
      <c r="M218" t="s">
        <v>189</v>
      </c>
      <c r="N218">
        <v>5064386.0000000019</v>
      </c>
      <c r="O218" t="s">
        <v>135</v>
      </c>
      <c r="P218">
        <v>0</v>
      </c>
      <c r="Q218" t="s">
        <v>189</v>
      </c>
      <c r="R218">
        <v>5186823.4999999981</v>
      </c>
      <c r="S218" t="s">
        <v>135</v>
      </c>
      <c r="T218">
        <v>1060</v>
      </c>
      <c r="U218" t="s">
        <v>189</v>
      </c>
      <c r="V218">
        <v>5312339.5000000009</v>
      </c>
      <c r="W218" t="s">
        <v>135</v>
      </c>
      <c r="X218">
        <v>0</v>
      </c>
      <c r="Y218" t="s">
        <v>189</v>
      </c>
      <c r="Z218">
        <v>5441061.9999999972</v>
      </c>
      <c r="AA218" t="s">
        <v>135</v>
      </c>
      <c r="AB218">
        <v>1088</v>
      </c>
      <c r="AC218" t="s">
        <v>189</v>
      </c>
      <c r="AD218">
        <v>5570732.4999999953</v>
      </c>
      <c r="AE218" t="s">
        <v>135</v>
      </c>
      <c r="AF218">
        <v>0</v>
      </c>
      <c r="AG218" t="s">
        <v>189</v>
      </c>
      <c r="AH218">
        <v>5702174</v>
      </c>
      <c r="AI218" t="s">
        <v>135</v>
      </c>
      <c r="AJ218">
        <v>0</v>
      </c>
      <c r="AK218" t="s">
        <v>189</v>
      </c>
      <c r="AL218">
        <v>5835806.0000000009</v>
      </c>
      <c r="AM218" t="s">
        <v>135</v>
      </c>
      <c r="AN218">
        <v>0</v>
      </c>
      <c r="AO218" t="s">
        <v>189</v>
      </c>
      <c r="AP218">
        <v>5970424.0000000009</v>
      </c>
      <c r="AQ218" t="s">
        <v>135</v>
      </c>
      <c r="AR218">
        <v>2339</v>
      </c>
      <c r="AS218" t="s">
        <v>189</v>
      </c>
      <c r="AT218" t="s">
        <v>148</v>
      </c>
      <c r="AU218">
        <v>544</v>
      </c>
    </row>
    <row r="219" spans="1:47" x14ac:dyDescent="0.35">
      <c r="C219" t="s">
        <v>139</v>
      </c>
      <c r="D219">
        <v>0</v>
      </c>
      <c r="G219" t="s">
        <v>139</v>
      </c>
      <c r="H219">
        <v>6578</v>
      </c>
      <c r="K219" t="s">
        <v>139</v>
      </c>
      <c r="L219">
        <v>6916</v>
      </c>
      <c r="O219" t="s">
        <v>139</v>
      </c>
      <c r="P219">
        <v>7704</v>
      </c>
      <c r="S219" t="s">
        <v>139</v>
      </c>
      <c r="T219">
        <v>7434</v>
      </c>
      <c r="W219" t="s">
        <v>139</v>
      </c>
      <c r="X219">
        <v>0</v>
      </c>
      <c r="AA219" t="s">
        <v>139</v>
      </c>
      <c r="AB219">
        <v>10162</v>
      </c>
      <c r="AE219" t="s">
        <v>139</v>
      </c>
      <c r="AF219">
        <v>0</v>
      </c>
      <c r="AI219" t="s">
        <v>139</v>
      </c>
      <c r="AJ219">
        <v>0</v>
      </c>
      <c r="AM219" t="s">
        <v>139</v>
      </c>
      <c r="AN219">
        <v>0</v>
      </c>
      <c r="AQ219" t="s">
        <v>139</v>
      </c>
      <c r="AR219">
        <v>11146</v>
      </c>
      <c r="AT219" t="s">
        <v>139</v>
      </c>
      <c r="AU219">
        <v>4012</v>
      </c>
    </row>
    <row r="220" spans="1:47" x14ac:dyDescent="0.35">
      <c r="C220" t="s">
        <v>138</v>
      </c>
      <c r="D220">
        <v>0</v>
      </c>
      <c r="G220" t="s">
        <v>138</v>
      </c>
      <c r="H220">
        <v>2564</v>
      </c>
      <c r="K220" t="s">
        <v>138</v>
      </c>
      <c r="L220">
        <v>0</v>
      </c>
      <c r="O220" t="s">
        <v>138</v>
      </c>
      <c r="P220">
        <v>0</v>
      </c>
      <c r="S220" t="s">
        <v>138</v>
      </c>
      <c r="T220">
        <v>1842</v>
      </c>
      <c r="W220" t="s">
        <v>138</v>
      </c>
      <c r="X220">
        <v>0</v>
      </c>
      <c r="AA220" t="s">
        <v>138</v>
      </c>
      <c r="AB220">
        <v>0</v>
      </c>
      <c r="AE220" t="s">
        <v>138</v>
      </c>
      <c r="AF220">
        <v>0</v>
      </c>
      <c r="AI220" t="s">
        <v>138</v>
      </c>
      <c r="AJ220">
        <v>0</v>
      </c>
      <c r="AM220" t="s">
        <v>138</v>
      </c>
      <c r="AN220">
        <v>0</v>
      </c>
      <c r="AQ220" t="s">
        <v>138</v>
      </c>
      <c r="AR220">
        <v>1814</v>
      </c>
      <c r="AT220" t="s">
        <v>138</v>
      </c>
      <c r="AU220">
        <v>1069</v>
      </c>
    </row>
    <row r="221" spans="1:47" x14ac:dyDescent="0.35">
      <c r="C221" t="s">
        <v>82</v>
      </c>
      <c r="D221">
        <v>704</v>
      </c>
      <c r="G221" t="s">
        <v>82</v>
      </c>
      <c r="H221">
        <v>0</v>
      </c>
      <c r="K221" t="s">
        <v>82</v>
      </c>
      <c r="L221">
        <v>0</v>
      </c>
      <c r="O221" t="s">
        <v>82</v>
      </c>
      <c r="P221">
        <v>0</v>
      </c>
      <c r="S221" t="s">
        <v>82</v>
      </c>
      <c r="T221">
        <v>1839</v>
      </c>
      <c r="W221" t="s">
        <v>82</v>
      </c>
      <c r="X221">
        <v>207</v>
      </c>
      <c r="AA221" t="s">
        <v>82</v>
      </c>
      <c r="AB221">
        <v>0</v>
      </c>
      <c r="AE221" t="s">
        <v>82</v>
      </c>
      <c r="AF221">
        <v>0</v>
      </c>
      <c r="AI221" t="s">
        <v>82</v>
      </c>
      <c r="AJ221">
        <v>283</v>
      </c>
      <c r="AM221" t="s">
        <v>82</v>
      </c>
      <c r="AN221">
        <v>0</v>
      </c>
      <c r="AQ221" t="s">
        <v>82</v>
      </c>
      <c r="AR221">
        <v>0</v>
      </c>
      <c r="AT221" t="s">
        <v>82</v>
      </c>
      <c r="AU221">
        <v>157</v>
      </c>
    </row>
    <row r="222" spans="1:47" x14ac:dyDescent="0.35">
      <c r="C222" t="s">
        <v>60</v>
      </c>
      <c r="D222">
        <v>278</v>
      </c>
      <c r="G222" t="s">
        <v>60</v>
      </c>
      <c r="H222">
        <v>0</v>
      </c>
      <c r="K222" t="s">
        <v>60</v>
      </c>
      <c r="L222">
        <v>0</v>
      </c>
      <c r="O222" t="s">
        <v>60</v>
      </c>
      <c r="P222">
        <v>0</v>
      </c>
      <c r="S222" t="s">
        <v>60</v>
      </c>
      <c r="T222">
        <v>1037</v>
      </c>
      <c r="W222" t="s">
        <v>60</v>
      </c>
      <c r="X222">
        <v>0</v>
      </c>
      <c r="AA222" t="s">
        <v>60</v>
      </c>
      <c r="AB222">
        <v>0</v>
      </c>
      <c r="AE222" t="s">
        <v>60</v>
      </c>
      <c r="AF222">
        <v>0</v>
      </c>
      <c r="AI222" t="s">
        <v>60</v>
      </c>
      <c r="AJ222">
        <v>0</v>
      </c>
      <c r="AM222" t="s">
        <v>60</v>
      </c>
      <c r="AN222">
        <v>0</v>
      </c>
      <c r="AQ222" t="s">
        <v>60</v>
      </c>
      <c r="AR222">
        <v>0</v>
      </c>
      <c r="AT222" t="s">
        <v>60</v>
      </c>
      <c r="AU222">
        <v>27</v>
      </c>
    </row>
    <row r="223" spans="1:47" x14ac:dyDescent="0.35">
      <c r="C223" t="s">
        <v>127</v>
      </c>
      <c r="D223">
        <v>0</v>
      </c>
      <c r="G223" t="s">
        <v>127</v>
      </c>
      <c r="H223">
        <v>0</v>
      </c>
      <c r="K223" t="s">
        <v>127</v>
      </c>
      <c r="L223">
        <v>0</v>
      </c>
      <c r="O223" t="s">
        <v>127</v>
      </c>
      <c r="P223">
        <v>0</v>
      </c>
      <c r="S223" t="s">
        <v>127</v>
      </c>
      <c r="T223">
        <v>0</v>
      </c>
      <c r="W223" t="s">
        <v>127</v>
      </c>
      <c r="X223">
        <v>0</v>
      </c>
      <c r="AA223" t="s">
        <v>127</v>
      </c>
      <c r="AB223">
        <v>0</v>
      </c>
      <c r="AE223" t="s">
        <v>127</v>
      </c>
      <c r="AF223">
        <v>0</v>
      </c>
      <c r="AI223" t="s">
        <v>127</v>
      </c>
      <c r="AJ223">
        <v>0</v>
      </c>
      <c r="AM223" t="s">
        <v>127</v>
      </c>
      <c r="AN223">
        <v>0</v>
      </c>
      <c r="AQ223" t="s">
        <v>127</v>
      </c>
      <c r="AR223">
        <v>0</v>
      </c>
      <c r="AT223" t="s">
        <v>58</v>
      </c>
      <c r="AU223">
        <v>0</v>
      </c>
    </row>
    <row r="224" spans="1:47" x14ac:dyDescent="0.35">
      <c r="C224" t="s">
        <v>61</v>
      </c>
      <c r="D224">
        <v>819</v>
      </c>
      <c r="G224" t="s">
        <v>61</v>
      </c>
      <c r="H224">
        <v>0</v>
      </c>
      <c r="K224" t="s">
        <v>61</v>
      </c>
      <c r="L224">
        <v>0</v>
      </c>
      <c r="O224" t="s">
        <v>61</v>
      </c>
      <c r="P224">
        <v>0</v>
      </c>
      <c r="S224" t="s">
        <v>61</v>
      </c>
      <c r="T224">
        <v>0</v>
      </c>
      <c r="W224" t="s">
        <v>61</v>
      </c>
      <c r="X224">
        <v>0</v>
      </c>
      <c r="AA224" t="s">
        <v>61</v>
      </c>
      <c r="AB224">
        <v>0</v>
      </c>
      <c r="AE224" t="s">
        <v>61</v>
      </c>
      <c r="AF224">
        <v>0</v>
      </c>
      <c r="AI224" t="s">
        <v>61</v>
      </c>
      <c r="AJ224">
        <v>582</v>
      </c>
      <c r="AM224" t="s">
        <v>61</v>
      </c>
      <c r="AN224">
        <v>0</v>
      </c>
      <c r="AQ224" t="s">
        <v>61</v>
      </c>
      <c r="AR224">
        <v>0</v>
      </c>
      <c r="AT224" t="s">
        <v>61</v>
      </c>
      <c r="AU224">
        <v>0</v>
      </c>
    </row>
    <row r="225" spans="3:47" x14ac:dyDescent="0.35">
      <c r="C225" t="s">
        <v>62</v>
      </c>
      <c r="D225">
        <v>4104</v>
      </c>
      <c r="G225" t="s">
        <v>62</v>
      </c>
      <c r="H225">
        <v>0</v>
      </c>
      <c r="K225" t="s">
        <v>62</v>
      </c>
      <c r="L225">
        <v>0</v>
      </c>
      <c r="O225" t="s">
        <v>62</v>
      </c>
      <c r="P225">
        <v>0</v>
      </c>
      <c r="S225" t="s">
        <v>62</v>
      </c>
      <c r="T225">
        <v>2324</v>
      </c>
      <c r="W225" t="s">
        <v>62</v>
      </c>
      <c r="X225">
        <v>0</v>
      </c>
      <c r="AA225" t="s">
        <v>62</v>
      </c>
      <c r="AB225">
        <v>0</v>
      </c>
      <c r="AE225" t="s">
        <v>62</v>
      </c>
      <c r="AF225">
        <v>0</v>
      </c>
      <c r="AI225" t="s">
        <v>62</v>
      </c>
      <c r="AJ225">
        <v>0</v>
      </c>
      <c r="AM225" t="s">
        <v>62</v>
      </c>
      <c r="AN225">
        <v>0</v>
      </c>
      <c r="AQ225" t="s">
        <v>62</v>
      </c>
      <c r="AR225">
        <v>0</v>
      </c>
      <c r="AT225" t="s">
        <v>62</v>
      </c>
      <c r="AU225">
        <v>374</v>
      </c>
    </row>
    <row r="226" spans="3:47" x14ac:dyDescent="0.35">
      <c r="C226" t="s">
        <v>203</v>
      </c>
      <c r="D226">
        <v>0</v>
      </c>
      <c r="G226" t="s">
        <v>203</v>
      </c>
      <c r="H226">
        <v>0</v>
      </c>
      <c r="K226" t="s">
        <v>203</v>
      </c>
      <c r="L226">
        <v>0</v>
      </c>
      <c r="O226" t="s">
        <v>203</v>
      </c>
      <c r="P226">
        <v>0</v>
      </c>
      <c r="S226" t="s">
        <v>203</v>
      </c>
      <c r="T226">
        <v>565</v>
      </c>
      <c r="W226" t="s">
        <v>203</v>
      </c>
      <c r="X226">
        <v>0</v>
      </c>
      <c r="AA226" t="s">
        <v>203</v>
      </c>
      <c r="AB226">
        <v>0</v>
      </c>
      <c r="AE226" t="s">
        <v>203</v>
      </c>
      <c r="AF226">
        <v>0</v>
      </c>
      <c r="AI226" t="s">
        <v>203</v>
      </c>
      <c r="AJ226">
        <v>0</v>
      </c>
      <c r="AM226" t="s">
        <v>203</v>
      </c>
      <c r="AN226">
        <v>0</v>
      </c>
      <c r="AQ226" t="s">
        <v>203</v>
      </c>
      <c r="AR226">
        <v>0</v>
      </c>
      <c r="AT226" t="s">
        <v>64</v>
      </c>
      <c r="AU226">
        <v>850</v>
      </c>
    </row>
    <row r="227" spans="3:47" x14ac:dyDescent="0.35">
      <c r="C227" t="s">
        <v>204</v>
      </c>
      <c r="D227">
        <v>0</v>
      </c>
      <c r="G227" t="s">
        <v>204</v>
      </c>
      <c r="H227">
        <v>0</v>
      </c>
      <c r="K227" t="s">
        <v>204</v>
      </c>
      <c r="L227">
        <v>0</v>
      </c>
      <c r="O227" t="s">
        <v>204</v>
      </c>
      <c r="P227">
        <v>0</v>
      </c>
      <c r="S227" t="s">
        <v>204</v>
      </c>
      <c r="T227">
        <v>0</v>
      </c>
      <c r="W227" t="s">
        <v>204</v>
      </c>
      <c r="X227">
        <v>0</v>
      </c>
      <c r="AA227" t="s">
        <v>204</v>
      </c>
      <c r="AB227">
        <v>0</v>
      </c>
      <c r="AE227" t="s">
        <v>204</v>
      </c>
      <c r="AF227">
        <v>0</v>
      </c>
      <c r="AI227" t="s">
        <v>204</v>
      </c>
      <c r="AJ227">
        <v>0</v>
      </c>
      <c r="AM227" t="s">
        <v>204</v>
      </c>
      <c r="AN227">
        <v>0</v>
      </c>
      <c r="AQ227" t="s">
        <v>204</v>
      </c>
      <c r="AR227">
        <v>0</v>
      </c>
      <c r="AT227" t="s">
        <v>65</v>
      </c>
      <c r="AU227">
        <v>790</v>
      </c>
    </row>
    <row r="228" spans="3:47" x14ac:dyDescent="0.35">
      <c r="C228" t="s">
        <v>205</v>
      </c>
      <c r="D228">
        <v>0</v>
      </c>
      <c r="G228" t="s">
        <v>205</v>
      </c>
      <c r="H228">
        <v>0</v>
      </c>
      <c r="K228" t="s">
        <v>205</v>
      </c>
      <c r="L228">
        <v>0</v>
      </c>
      <c r="O228" t="s">
        <v>205</v>
      </c>
      <c r="P228">
        <v>0</v>
      </c>
      <c r="S228" t="s">
        <v>205</v>
      </c>
      <c r="T228">
        <v>0</v>
      </c>
      <c r="W228" t="s">
        <v>205</v>
      </c>
      <c r="X228">
        <v>0</v>
      </c>
      <c r="AA228" t="s">
        <v>205</v>
      </c>
      <c r="AB228">
        <v>0</v>
      </c>
      <c r="AE228" t="s">
        <v>205</v>
      </c>
      <c r="AF228">
        <v>0</v>
      </c>
      <c r="AI228" t="s">
        <v>205</v>
      </c>
      <c r="AJ228">
        <v>0</v>
      </c>
      <c r="AM228" t="s">
        <v>205</v>
      </c>
      <c r="AN228">
        <v>0</v>
      </c>
      <c r="AQ228" t="s">
        <v>205</v>
      </c>
      <c r="AR228">
        <v>0</v>
      </c>
      <c r="AT228" t="s">
        <v>66</v>
      </c>
      <c r="AU228">
        <v>0</v>
      </c>
    </row>
    <row r="229" spans="3:47" x14ac:dyDescent="0.35">
      <c r="C229" t="s">
        <v>133</v>
      </c>
      <c r="D229">
        <v>0</v>
      </c>
      <c r="G229" t="s">
        <v>133</v>
      </c>
      <c r="H229">
        <v>0</v>
      </c>
      <c r="K229" t="s">
        <v>133</v>
      </c>
      <c r="L229">
        <v>0</v>
      </c>
      <c r="O229" t="s">
        <v>133</v>
      </c>
      <c r="P229">
        <v>0</v>
      </c>
      <c r="S229" t="s">
        <v>133</v>
      </c>
      <c r="T229">
        <v>0</v>
      </c>
      <c r="W229" t="s">
        <v>133</v>
      </c>
      <c r="X229">
        <v>0</v>
      </c>
      <c r="AA229" t="s">
        <v>133</v>
      </c>
      <c r="AB229">
        <v>320</v>
      </c>
      <c r="AE229" t="s">
        <v>133</v>
      </c>
      <c r="AF229">
        <v>0</v>
      </c>
      <c r="AI229" t="s">
        <v>133</v>
      </c>
      <c r="AJ229">
        <v>0</v>
      </c>
      <c r="AM229" t="s">
        <v>133</v>
      </c>
      <c r="AN229">
        <v>0</v>
      </c>
      <c r="AQ229" t="s">
        <v>133</v>
      </c>
      <c r="AR229">
        <v>0</v>
      </c>
      <c r="AT229" t="s">
        <v>79</v>
      </c>
      <c r="AU229">
        <v>216</v>
      </c>
    </row>
    <row r="230" spans="3:47" x14ac:dyDescent="0.35">
      <c r="C230" t="s">
        <v>206</v>
      </c>
      <c r="D230">
        <v>0</v>
      </c>
      <c r="G230" t="s">
        <v>206</v>
      </c>
      <c r="H230">
        <v>0</v>
      </c>
      <c r="K230" t="s">
        <v>206</v>
      </c>
      <c r="L230">
        <v>0</v>
      </c>
      <c r="O230" t="s">
        <v>206</v>
      </c>
      <c r="P230">
        <v>0</v>
      </c>
      <c r="S230" t="s">
        <v>206</v>
      </c>
      <c r="T230">
        <v>0</v>
      </c>
      <c r="W230" t="s">
        <v>206</v>
      </c>
      <c r="X230">
        <v>0</v>
      </c>
      <c r="AA230" t="s">
        <v>206</v>
      </c>
      <c r="AB230">
        <v>0</v>
      </c>
      <c r="AE230" t="s">
        <v>206</v>
      </c>
      <c r="AF230">
        <v>0</v>
      </c>
      <c r="AI230" t="s">
        <v>206</v>
      </c>
      <c r="AJ230">
        <v>0</v>
      </c>
      <c r="AM230" t="s">
        <v>206</v>
      </c>
      <c r="AN230">
        <v>0</v>
      </c>
      <c r="AQ230" t="s">
        <v>206</v>
      </c>
      <c r="AR230">
        <v>0</v>
      </c>
      <c r="AT230" t="s">
        <v>68</v>
      </c>
      <c r="AU230">
        <v>0</v>
      </c>
    </row>
    <row r="231" spans="3:47" x14ac:dyDescent="0.35">
      <c r="C231" t="s">
        <v>136</v>
      </c>
      <c r="D231">
        <v>0</v>
      </c>
      <c r="G231" t="s">
        <v>136</v>
      </c>
      <c r="H231">
        <v>0</v>
      </c>
      <c r="K231" t="s">
        <v>136</v>
      </c>
      <c r="L231">
        <v>0</v>
      </c>
      <c r="O231" t="s">
        <v>136</v>
      </c>
      <c r="P231">
        <v>0</v>
      </c>
      <c r="S231" t="s">
        <v>136</v>
      </c>
      <c r="T231">
        <v>0</v>
      </c>
      <c r="W231" t="s">
        <v>136</v>
      </c>
      <c r="X231">
        <v>0</v>
      </c>
      <c r="AA231" t="s">
        <v>136</v>
      </c>
      <c r="AB231">
        <v>0</v>
      </c>
      <c r="AE231" t="s">
        <v>136</v>
      </c>
      <c r="AF231">
        <v>0</v>
      </c>
      <c r="AI231" t="s">
        <v>136</v>
      </c>
      <c r="AJ231">
        <v>0</v>
      </c>
      <c r="AM231" t="s">
        <v>136</v>
      </c>
      <c r="AN231">
        <v>0</v>
      </c>
      <c r="AQ231" t="s">
        <v>136</v>
      </c>
      <c r="AR231">
        <v>0</v>
      </c>
      <c r="AT231" t="s">
        <v>69</v>
      </c>
      <c r="AU231">
        <v>97</v>
      </c>
    </row>
    <row r="232" spans="3:47" x14ac:dyDescent="0.35">
      <c r="C232" t="s">
        <v>207</v>
      </c>
      <c r="D232">
        <v>0</v>
      </c>
      <c r="G232" t="s">
        <v>207</v>
      </c>
      <c r="H232">
        <v>0</v>
      </c>
      <c r="K232" t="s">
        <v>207</v>
      </c>
      <c r="L232">
        <v>0</v>
      </c>
      <c r="O232" t="s">
        <v>207</v>
      </c>
      <c r="P232">
        <v>0</v>
      </c>
      <c r="S232" t="s">
        <v>207</v>
      </c>
      <c r="T232">
        <v>0</v>
      </c>
      <c r="W232" t="s">
        <v>207</v>
      </c>
      <c r="X232">
        <v>0</v>
      </c>
      <c r="AA232" t="s">
        <v>207</v>
      </c>
      <c r="AB232">
        <v>0</v>
      </c>
      <c r="AE232" t="s">
        <v>207</v>
      </c>
      <c r="AF232">
        <v>0</v>
      </c>
      <c r="AI232" t="s">
        <v>207</v>
      </c>
      <c r="AJ232">
        <v>0</v>
      </c>
      <c r="AM232" t="s">
        <v>207</v>
      </c>
      <c r="AN232">
        <v>0</v>
      </c>
      <c r="AQ232" t="s">
        <v>207</v>
      </c>
      <c r="AR232">
        <v>0</v>
      </c>
      <c r="AT232" t="s">
        <v>70</v>
      </c>
      <c r="AU232">
        <v>0</v>
      </c>
    </row>
    <row r="233" spans="3:47" x14ac:dyDescent="0.35">
      <c r="C233" t="s">
        <v>141</v>
      </c>
      <c r="D233">
        <v>0</v>
      </c>
      <c r="G233" t="s">
        <v>141</v>
      </c>
      <c r="H233">
        <v>0</v>
      </c>
      <c r="K233" t="s">
        <v>141</v>
      </c>
      <c r="L233">
        <v>0</v>
      </c>
      <c r="O233" t="s">
        <v>141</v>
      </c>
      <c r="P233">
        <v>0</v>
      </c>
      <c r="S233" t="s">
        <v>141</v>
      </c>
      <c r="T233">
        <v>0</v>
      </c>
      <c r="W233" t="s">
        <v>141</v>
      </c>
      <c r="X233">
        <v>0</v>
      </c>
      <c r="AA233" t="s">
        <v>141</v>
      </c>
      <c r="AB233">
        <v>0</v>
      </c>
      <c r="AE233" t="s">
        <v>141</v>
      </c>
      <c r="AF233">
        <v>0</v>
      </c>
      <c r="AI233" t="s">
        <v>141</v>
      </c>
      <c r="AJ233">
        <v>0</v>
      </c>
      <c r="AM233" t="s">
        <v>141</v>
      </c>
      <c r="AN233">
        <v>0</v>
      </c>
      <c r="AQ233" t="s">
        <v>141</v>
      </c>
      <c r="AR233">
        <v>0</v>
      </c>
      <c r="AT233" t="s">
        <v>76</v>
      </c>
      <c r="AU233">
        <v>0</v>
      </c>
    </row>
    <row r="234" spans="3:47" x14ac:dyDescent="0.35">
      <c r="C234" t="s">
        <v>208</v>
      </c>
      <c r="D234">
        <v>0</v>
      </c>
      <c r="G234" t="s">
        <v>208</v>
      </c>
      <c r="H234">
        <v>0</v>
      </c>
      <c r="K234" t="s">
        <v>208</v>
      </c>
      <c r="L234">
        <v>0</v>
      </c>
      <c r="O234" t="s">
        <v>208</v>
      </c>
      <c r="P234">
        <v>0</v>
      </c>
      <c r="S234" t="s">
        <v>208</v>
      </c>
      <c r="T234">
        <v>0</v>
      </c>
      <c r="W234" t="s">
        <v>208</v>
      </c>
      <c r="X234">
        <v>0</v>
      </c>
      <c r="AA234" t="s">
        <v>208</v>
      </c>
      <c r="AB234">
        <v>0</v>
      </c>
      <c r="AE234" t="s">
        <v>208</v>
      </c>
      <c r="AF234">
        <v>0</v>
      </c>
      <c r="AI234" t="s">
        <v>208</v>
      </c>
      <c r="AJ234">
        <v>0</v>
      </c>
      <c r="AM234" t="s">
        <v>208</v>
      </c>
      <c r="AN234">
        <v>0</v>
      </c>
      <c r="AQ234" t="s">
        <v>208</v>
      </c>
      <c r="AR234">
        <v>0</v>
      </c>
      <c r="AT234" t="s">
        <v>77</v>
      </c>
      <c r="AU234">
        <v>111</v>
      </c>
    </row>
    <row r="235" spans="3:47" x14ac:dyDescent="0.35">
      <c r="C235" t="s">
        <v>209</v>
      </c>
      <c r="D235">
        <v>0</v>
      </c>
      <c r="G235" t="s">
        <v>209</v>
      </c>
      <c r="H235">
        <v>0</v>
      </c>
      <c r="K235" t="s">
        <v>209</v>
      </c>
      <c r="L235">
        <v>0</v>
      </c>
      <c r="O235" t="s">
        <v>209</v>
      </c>
      <c r="P235">
        <v>0</v>
      </c>
      <c r="S235" t="s">
        <v>209</v>
      </c>
      <c r="T235">
        <v>0</v>
      </c>
      <c r="W235" t="s">
        <v>209</v>
      </c>
      <c r="X235">
        <v>0</v>
      </c>
      <c r="AA235" t="s">
        <v>209</v>
      </c>
      <c r="AB235">
        <v>0</v>
      </c>
      <c r="AE235" t="s">
        <v>209</v>
      </c>
      <c r="AF235">
        <v>0</v>
      </c>
      <c r="AI235" t="s">
        <v>209</v>
      </c>
      <c r="AJ235">
        <v>0</v>
      </c>
      <c r="AM235" t="s">
        <v>209</v>
      </c>
      <c r="AN235">
        <v>0</v>
      </c>
      <c r="AQ235" t="s">
        <v>209</v>
      </c>
      <c r="AR235">
        <v>0</v>
      </c>
      <c r="AT235" t="s">
        <v>78</v>
      </c>
      <c r="AU235">
        <v>445</v>
      </c>
    </row>
    <row r="236" spans="3:47" x14ac:dyDescent="0.35">
      <c r="C236" t="s">
        <v>134</v>
      </c>
      <c r="D236">
        <v>0</v>
      </c>
      <c r="G236" t="s">
        <v>134</v>
      </c>
      <c r="H236">
        <v>0</v>
      </c>
      <c r="K236" t="s">
        <v>134</v>
      </c>
      <c r="L236">
        <v>0</v>
      </c>
      <c r="O236" t="s">
        <v>134</v>
      </c>
      <c r="P236">
        <v>0</v>
      </c>
      <c r="S236" t="s">
        <v>134</v>
      </c>
      <c r="T236">
        <v>0</v>
      </c>
      <c r="W236" t="s">
        <v>134</v>
      </c>
      <c r="X236">
        <v>0</v>
      </c>
      <c r="AA236" t="s">
        <v>134</v>
      </c>
      <c r="AB236">
        <v>0</v>
      </c>
      <c r="AE236" t="s">
        <v>134</v>
      </c>
      <c r="AF236">
        <v>0</v>
      </c>
      <c r="AI236" t="s">
        <v>134</v>
      </c>
      <c r="AJ236">
        <v>0</v>
      </c>
      <c r="AM236" t="s">
        <v>134</v>
      </c>
      <c r="AN236">
        <v>0</v>
      </c>
      <c r="AQ236" t="s">
        <v>134</v>
      </c>
      <c r="AR236">
        <v>777</v>
      </c>
      <c r="AT236" t="s">
        <v>67</v>
      </c>
      <c r="AU236">
        <v>320</v>
      </c>
    </row>
    <row r="237" spans="3:47" x14ac:dyDescent="0.35">
      <c r="C237" t="s">
        <v>142</v>
      </c>
      <c r="D237">
        <v>0</v>
      </c>
      <c r="G237" t="s">
        <v>142</v>
      </c>
      <c r="H237">
        <v>0</v>
      </c>
      <c r="K237" t="s">
        <v>142</v>
      </c>
      <c r="L237">
        <v>0</v>
      </c>
      <c r="O237" t="s">
        <v>142</v>
      </c>
      <c r="P237">
        <v>0</v>
      </c>
      <c r="S237" t="s">
        <v>142</v>
      </c>
      <c r="T237">
        <v>0</v>
      </c>
      <c r="W237" t="s">
        <v>142</v>
      </c>
      <c r="X237">
        <v>0</v>
      </c>
      <c r="AA237" t="s">
        <v>142</v>
      </c>
      <c r="AB237">
        <v>0</v>
      </c>
      <c r="AE237" t="s">
        <v>142</v>
      </c>
      <c r="AF237">
        <v>0</v>
      </c>
      <c r="AI237" t="s">
        <v>142</v>
      </c>
      <c r="AJ237">
        <v>0</v>
      </c>
      <c r="AM237" t="s">
        <v>142</v>
      </c>
      <c r="AN237">
        <v>0</v>
      </c>
      <c r="AQ237" t="s">
        <v>142</v>
      </c>
      <c r="AR237">
        <v>0</v>
      </c>
      <c r="AT237" t="s">
        <v>80</v>
      </c>
      <c r="AU237">
        <v>0</v>
      </c>
    </row>
    <row r="238" spans="3:47" x14ac:dyDescent="0.35">
      <c r="C238" t="s">
        <v>83</v>
      </c>
      <c r="D238">
        <v>0</v>
      </c>
      <c r="G238" t="s">
        <v>83</v>
      </c>
      <c r="H238">
        <v>0</v>
      </c>
      <c r="K238" t="s">
        <v>83</v>
      </c>
      <c r="L238">
        <v>0</v>
      </c>
      <c r="O238" t="s">
        <v>83</v>
      </c>
      <c r="P238">
        <v>0</v>
      </c>
      <c r="S238" t="s">
        <v>83</v>
      </c>
      <c r="T238">
        <v>0</v>
      </c>
      <c r="W238" t="s">
        <v>83</v>
      </c>
      <c r="X238">
        <v>0</v>
      </c>
      <c r="AA238" t="s">
        <v>83</v>
      </c>
      <c r="AB238">
        <v>0</v>
      </c>
      <c r="AE238" t="s">
        <v>83</v>
      </c>
      <c r="AF238">
        <v>0</v>
      </c>
      <c r="AI238" t="s">
        <v>83</v>
      </c>
      <c r="AJ238">
        <v>0</v>
      </c>
      <c r="AM238" t="s">
        <v>83</v>
      </c>
      <c r="AN238">
        <v>0</v>
      </c>
      <c r="AQ238" t="s">
        <v>83</v>
      </c>
      <c r="AR238">
        <v>0</v>
      </c>
      <c r="AT238" t="s">
        <v>83</v>
      </c>
      <c r="AU238">
        <v>0</v>
      </c>
    </row>
    <row r="239" spans="3:47" x14ac:dyDescent="0.35">
      <c r="C239" t="s">
        <v>84</v>
      </c>
      <c r="D239">
        <v>0</v>
      </c>
      <c r="G239" t="s">
        <v>84</v>
      </c>
      <c r="H239">
        <v>0</v>
      </c>
      <c r="K239" t="s">
        <v>84</v>
      </c>
      <c r="L239">
        <v>0</v>
      </c>
      <c r="O239" t="s">
        <v>84</v>
      </c>
      <c r="P239">
        <v>0</v>
      </c>
      <c r="S239" t="s">
        <v>84</v>
      </c>
      <c r="T239">
        <v>0</v>
      </c>
      <c r="W239" t="s">
        <v>84</v>
      </c>
      <c r="X239">
        <v>0</v>
      </c>
      <c r="AA239" t="s">
        <v>84</v>
      </c>
      <c r="AB239">
        <v>0</v>
      </c>
      <c r="AE239" t="s">
        <v>84</v>
      </c>
      <c r="AF239">
        <v>0</v>
      </c>
      <c r="AI239" t="s">
        <v>84</v>
      </c>
      <c r="AJ239">
        <v>0</v>
      </c>
      <c r="AM239" t="s">
        <v>84</v>
      </c>
      <c r="AN239">
        <v>0</v>
      </c>
      <c r="AQ239" t="s">
        <v>84</v>
      </c>
      <c r="AR239">
        <v>0</v>
      </c>
      <c r="AT239" t="s">
        <v>84</v>
      </c>
      <c r="AU239">
        <v>0</v>
      </c>
    </row>
    <row r="240" spans="3:47" x14ac:dyDescent="0.35">
      <c r="C240" t="s">
        <v>126</v>
      </c>
      <c r="D240">
        <v>0</v>
      </c>
      <c r="G240" t="s">
        <v>126</v>
      </c>
      <c r="H240">
        <v>0</v>
      </c>
      <c r="K240" t="s">
        <v>223</v>
      </c>
      <c r="L240">
        <v>0</v>
      </c>
      <c r="O240" t="s">
        <v>126</v>
      </c>
      <c r="P240">
        <v>0</v>
      </c>
      <c r="S240" t="s">
        <v>126</v>
      </c>
      <c r="T240">
        <v>0</v>
      </c>
      <c r="W240" t="s">
        <v>126</v>
      </c>
      <c r="X240">
        <v>0</v>
      </c>
      <c r="AA240" t="s">
        <v>126</v>
      </c>
      <c r="AB240">
        <v>0</v>
      </c>
      <c r="AE240" t="s">
        <v>126</v>
      </c>
      <c r="AF240">
        <v>0</v>
      </c>
      <c r="AI240" t="s">
        <v>126</v>
      </c>
      <c r="AJ240">
        <v>0</v>
      </c>
      <c r="AM240" t="s">
        <v>126</v>
      </c>
      <c r="AN240">
        <v>0</v>
      </c>
      <c r="AQ240" t="s">
        <v>126</v>
      </c>
      <c r="AR240">
        <v>0</v>
      </c>
      <c r="AT240" t="s">
        <v>86</v>
      </c>
      <c r="AU240">
        <v>0</v>
      </c>
    </row>
    <row r="241" spans="1:47" x14ac:dyDescent="0.35">
      <c r="C241" t="s">
        <v>87</v>
      </c>
      <c r="D241">
        <v>0</v>
      </c>
      <c r="G241" t="s">
        <v>87</v>
      </c>
      <c r="H241">
        <v>0</v>
      </c>
      <c r="K241" t="s">
        <v>87</v>
      </c>
      <c r="L241">
        <v>0</v>
      </c>
      <c r="O241" t="s">
        <v>87</v>
      </c>
      <c r="P241">
        <v>0</v>
      </c>
      <c r="S241" t="s">
        <v>87</v>
      </c>
      <c r="T241">
        <v>0</v>
      </c>
      <c r="W241" t="s">
        <v>87</v>
      </c>
      <c r="X241">
        <v>0</v>
      </c>
      <c r="AA241" t="s">
        <v>87</v>
      </c>
      <c r="AB241">
        <v>0</v>
      </c>
      <c r="AE241" t="s">
        <v>87</v>
      </c>
      <c r="AF241">
        <v>0</v>
      </c>
      <c r="AI241" t="s">
        <v>87</v>
      </c>
      <c r="AJ241">
        <v>0</v>
      </c>
      <c r="AM241" t="s">
        <v>87</v>
      </c>
      <c r="AN241">
        <v>0</v>
      </c>
      <c r="AQ241" t="s">
        <v>87</v>
      </c>
      <c r="AR241">
        <v>0</v>
      </c>
      <c r="AT241" t="s">
        <v>87</v>
      </c>
      <c r="AU241">
        <v>0</v>
      </c>
    </row>
    <row r="242" spans="1:47" x14ac:dyDescent="0.35">
      <c r="A242" t="s">
        <v>196</v>
      </c>
      <c r="B242">
        <v>684552.49999999988</v>
      </c>
      <c r="C242" t="s">
        <v>135</v>
      </c>
      <c r="D242">
        <v>246</v>
      </c>
      <c r="E242" t="s">
        <v>196</v>
      </c>
      <c r="F242">
        <v>699392.50000000035</v>
      </c>
      <c r="G242" t="s">
        <v>135</v>
      </c>
      <c r="H242">
        <v>0</v>
      </c>
      <c r="I242" t="s">
        <v>196</v>
      </c>
      <c r="J242">
        <v>714612.00000000012</v>
      </c>
      <c r="K242" t="s">
        <v>135</v>
      </c>
      <c r="L242">
        <v>0</v>
      </c>
      <c r="M242" t="s">
        <v>196</v>
      </c>
      <c r="N242">
        <v>730215.49999999953</v>
      </c>
      <c r="O242" t="s">
        <v>135</v>
      </c>
      <c r="P242">
        <v>0</v>
      </c>
      <c r="Q242" t="s">
        <v>196</v>
      </c>
      <c r="R242">
        <v>746232.00000000012</v>
      </c>
      <c r="S242" t="s">
        <v>135</v>
      </c>
      <c r="T242">
        <v>440</v>
      </c>
      <c r="U242" t="s">
        <v>196</v>
      </c>
      <c r="V242">
        <v>761663.99999999977</v>
      </c>
      <c r="W242" t="s">
        <v>135</v>
      </c>
      <c r="X242">
        <v>0</v>
      </c>
      <c r="Y242" t="s">
        <v>196</v>
      </c>
      <c r="Z242">
        <v>776313.5000000007</v>
      </c>
      <c r="AA242" t="s">
        <v>135</v>
      </c>
      <c r="AB242">
        <v>440</v>
      </c>
      <c r="AC242" t="s">
        <v>196</v>
      </c>
      <c r="AD242">
        <v>790986.00000000023</v>
      </c>
      <c r="AE242" t="s">
        <v>135</v>
      </c>
      <c r="AF242">
        <v>0</v>
      </c>
      <c r="AG242" t="s">
        <v>196</v>
      </c>
      <c r="AH242">
        <v>806166.00000000023</v>
      </c>
      <c r="AI242" t="s">
        <v>135</v>
      </c>
      <c r="AJ242">
        <v>708</v>
      </c>
      <c r="AK242" t="s">
        <v>196</v>
      </c>
      <c r="AL242">
        <v>821625.49999999988</v>
      </c>
      <c r="AM242" t="s">
        <v>135</v>
      </c>
      <c r="AN242">
        <v>0</v>
      </c>
      <c r="AO242" t="s">
        <v>196</v>
      </c>
      <c r="AP242">
        <v>836773.49999999977</v>
      </c>
      <c r="AQ242" t="s">
        <v>135</v>
      </c>
      <c r="AR242">
        <v>0</v>
      </c>
      <c r="AS242" t="s">
        <v>196</v>
      </c>
      <c r="AT242" t="s">
        <v>148</v>
      </c>
      <c r="AU242">
        <v>220</v>
      </c>
    </row>
    <row r="243" spans="1:47" x14ac:dyDescent="0.35">
      <c r="C243" t="s">
        <v>139</v>
      </c>
      <c r="D243">
        <v>0</v>
      </c>
      <c r="G243" t="s">
        <v>139</v>
      </c>
      <c r="H243">
        <v>0</v>
      </c>
      <c r="K243" t="s">
        <v>139</v>
      </c>
      <c r="L243">
        <v>0</v>
      </c>
      <c r="O243" t="s">
        <v>139</v>
      </c>
      <c r="P243">
        <v>0</v>
      </c>
      <c r="S243" t="s">
        <v>139</v>
      </c>
      <c r="T243">
        <v>0</v>
      </c>
      <c r="W243" t="s">
        <v>139</v>
      </c>
      <c r="X243">
        <v>0</v>
      </c>
      <c r="AA243" t="s">
        <v>139</v>
      </c>
      <c r="AB243">
        <v>1358</v>
      </c>
      <c r="AE243" t="s">
        <v>139</v>
      </c>
      <c r="AF243">
        <v>0</v>
      </c>
      <c r="AI243" t="s">
        <v>139</v>
      </c>
      <c r="AJ243">
        <v>1366</v>
      </c>
      <c r="AM243" t="s">
        <v>139</v>
      </c>
      <c r="AN243">
        <v>0</v>
      </c>
      <c r="AQ243" t="s">
        <v>139</v>
      </c>
      <c r="AR243">
        <v>0</v>
      </c>
      <c r="AT243" t="s">
        <v>139</v>
      </c>
      <c r="AU243">
        <v>747</v>
      </c>
    </row>
    <row r="244" spans="1:47" x14ac:dyDescent="0.35">
      <c r="C244" t="s">
        <v>138</v>
      </c>
      <c r="D244">
        <v>1334</v>
      </c>
      <c r="G244" t="s">
        <v>138</v>
      </c>
      <c r="H244">
        <v>590</v>
      </c>
      <c r="K244" t="s">
        <v>138</v>
      </c>
      <c r="L244">
        <v>0</v>
      </c>
      <c r="O244" t="s">
        <v>138</v>
      </c>
      <c r="P244">
        <v>0</v>
      </c>
      <c r="S244" t="s">
        <v>138</v>
      </c>
      <c r="T244">
        <v>1000</v>
      </c>
      <c r="W244" t="s">
        <v>138</v>
      </c>
      <c r="X244">
        <v>0</v>
      </c>
      <c r="AA244" t="s">
        <v>138</v>
      </c>
      <c r="AB244">
        <v>968</v>
      </c>
      <c r="AE244" t="s">
        <v>138</v>
      </c>
      <c r="AF244">
        <v>0</v>
      </c>
      <c r="AI244" t="s">
        <v>138</v>
      </c>
      <c r="AJ244">
        <v>1172</v>
      </c>
      <c r="AM244" t="s">
        <v>138</v>
      </c>
      <c r="AN244">
        <v>0</v>
      </c>
      <c r="AQ244" t="s">
        <v>138</v>
      </c>
      <c r="AR244">
        <v>0</v>
      </c>
      <c r="AT244" t="s">
        <v>138</v>
      </c>
      <c r="AU244">
        <v>487</v>
      </c>
    </row>
    <row r="245" spans="1:47" x14ac:dyDescent="0.35">
      <c r="C245" t="s">
        <v>82</v>
      </c>
      <c r="D245">
        <v>0</v>
      </c>
      <c r="G245" t="s">
        <v>82</v>
      </c>
      <c r="H245">
        <v>6</v>
      </c>
      <c r="K245" t="s">
        <v>82</v>
      </c>
      <c r="L245">
        <v>0</v>
      </c>
      <c r="O245" t="s">
        <v>82</v>
      </c>
      <c r="P245">
        <v>0</v>
      </c>
      <c r="S245" t="s">
        <v>82</v>
      </c>
      <c r="T245">
        <v>432</v>
      </c>
      <c r="W245" t="s">
        <v>82</v>
      </c>
      <c r="X245">
        <v>1462</v>
      </c>
      <c r="AA245" t="s">
        <v>82</v>
      </c>
      <c r="AB245">
        <v>0</v>
      </c>
      <c r="AE245" t="s">
        <v>82</v>
      </c>
      <c r="AF245">
        <v>0</v>
      </c>
      <c r="AI245" t="s">
        <v>82</v>
      </c>
      <c r="AJ245">
        <v>0</v>
      </c>
      <c r="AM245" t="s">
        <v>82</v>
      </c>
      <c r="AN245">
        <v>4</v>
      </c>
      <c r="AQ245" t="s">
        <v>82</v>
      </c>
      <c r="AR245">
        <v>0</v>
      </c>
      <c r="AT245" t="s">
        <v>82</v>
      </c>
      <c r="AU245">
        <v>55</v>
      </c>
    </row>
    <row r="246" spans="1:47" x14ac:dyDescent="0.35">
      <c r="C246" t="s">
        <v>60</v>
      </c>
      <c r="D246">
        <v>0</v>
      </c>
      <c r="G246" t="s">
        <v>60</v>
      </c>
      <c r="H246">
        <v>181</v>
      </c>
      <c r="K246" t="s">
        <v>60</v>
      </c>
      <c r="L246">
        <v>0</v>
      </c>
      <c r="O246" t="s">
        <v>60</v>
      </c>
      <c r="P246">
        <v>0</v>
      </c>
      <c r="S246" t="s">
        <v>60</v>
      </c>
      <c r="T246">
        <v>301</v>
      </c>
      <c r="W246" t="s">
        <v>60</v>
      </c>
      <c r="X246">
        <v>374</v>
      </c>
      <c r="AA246" t="s">
        <v>60</v>
      </c>
      <c r="AB246">
        <v>0</v>
      </c>
      <c r="AE246" t="s">
        <v>60</v>
      </c>
      <c r="AF246">
        <v>0</v>
      </c>
      <c r="AI246" t="s">
        <v>60</v>
      </c>
      <c r="AJ246">
        <v>0</v>
      </c>
      <c r="AM246" t="s">
        <v>60</v>
      </c>
      <c r="AN246">
        <v>14</v>
      </c>
      <c r="AQ246" t="s">
        <v>60</v>
      </c>
      <c r="AR246">
        <v>0</v>
      </c>
      <c r="AT246" t="s">
        <v>60</v>
      </c>
      <c r="AU246">
        <v>32</v>
      </c>
    </row>
    <row r="247" spans="1:47" x14ac:dyDescent="0.35">
      <c r="C247" t="s">
        <v>127</v>
      </c>
      <c r="D247">
        <v>0</v>
      </c>
      <c r="G247" t="s">
        <v>127</v>
      </c>
      <c r="H247">
        <v>0</v>
      </c>
      <c r="K247" t="s">
        <v>127</v>
      </c>
      <c r="L247">
        <v>0</v>
      </c>
      <c r="O247" t="s">
        <v>127</v>
      </c>
      <c r="P247">
        <v>0</v>
      </c>
      <c r="S247" t="s">
        <v>127</v>
      </c>
      <c r="T247">
        <v>0</v>
      </c>
      <c r="W247" t="s">
        <v>127</v>
      </c>
      <c r="X247">
        <v>0</v>
      </c>
      <c r="AA247" t="s">
        <v>127</v>
      </c>
      <c r="AB247">
        <v>0</v>
      </c>
      <c r="AE247" t="s">
        <v>127</v>
      </c>
      <c r="AF247">
        <v>0</v>
      </c>
      <c r="AI247" t="s">
        <v>127</v>
      </c>
      <c r="AJ247">
        <v>0</v>
      </c>
      <c r="AM247" t="s">
        <v>127</v>
      </c>
      <c r="AN247">
        <v>0</v>
      </c>
      <c r="AQ247" t="s">
        <v>127</v>
      </c>
      <c r="AR247">
        <v>0</v>
      </c>
      <c r="AT247" t="s">
        <v>58</v>
      </c>
      <c r="AU247">
        <v>0</v>
      </c>
    </row>
    <row r="248" spans="1:47" x14ac:dyDescent="0.35">
      <c r="C248" t="s">
        <v>61</v>
      </c>
      <c r="D248">
        <v>0</v>
      </c>
      <c r="G248" t="s">
        <v>61</v>
      </c>
      <c r="H248">
        <v>0</v>
      </c>
      <c r="K248" t="s">
        <v>61</v>
      </c>
      <c r="L248">
        <v>0</v>
      </c>
      <c r="O248" t="s">
        <v>61</v>
      </c>
      <c r="P248">
        <v>0</v>
      </c>
      <c r="S248" t="s">
        <v>61</v>
      </c>
      <c r="T248">
        <v>0</v>
      </c>
      <c r="W248" t="s">
        <v>61</v>
      </c>
      <c r="X248">
        <v>0</v>
      </c>
      <c r="AA248" t="s">
        <v>61</v>
      </c>
      <c r="AB248">
        <v>0</v>
      </c>
      <c r="AE248" t="s">
        <v>61</v>
      </c>
      <c r="AF248">
        <v>0</v>
      </c>
      <c r="AI248" t="s">
        <v>61</v>
      </c>
      <c r="AJ248">
        <v>0</v>
      </c>
      <c r="AM248" t="s">
        <v>61</v>
      </c>
      <c r="AN248">
        <v>0</v>
      </c>
      <c r="AQ248" t="s">
        <v>61</v>
      </c>
      <c r="AR248">
        <v>0</v>
      </c>
      <c r="AT248" t="s">
        <v>61</v>
      </c>
      <c r="AU248">
        <v>0</v>
      </c>
    </row>
    <row r="249" spans="1:47" x14ac:dyDescent="0.35">
      <c r="C249" t="s">
        <v>62</v>
      </c>
      <c r="D249">
        <v>0</v>
      </c>
      <c r="G249" t="s">
        <v>62</v>
      </c>
      <c r="H249">
        <v>755</v>
      </c>
      <c r="K249" t="s">
        <v>62</v>
      </c>
      <c r="L249">
        <v>0</v>
      </c>
      <c r="O249" t="s">
        <v>62</v>
      </c>
      <c r="P249">
        <v>0</v>
      </c>
      <c r="S249" t="s">
        <v>62</v>
      </c>
      <c r="T249">
        <v>0</v>
      </c>
      <c r="W249" t="s">
        <v>62</v>
      </c>
      <c r="X249">
        <v>0</v>
      </c>
      <c r="AA249" t="s">
        <v>62</v>
      </c>
      <c r="AB249">
        <v>0</v>
      </c>
      <c r="AE249" t="s">
        <v>62</v>
      </c>
      <c r="AF249">
        <v>0</v>
      </c>
      <c r="AI249" t="s">
        <v>62</v>
      </c>
      <c r="AJ249">
        <v>0</v>
      </c>
      <c r="AM249" t="s">
        <v>62</v>
      </c>
      <c r="AN249">
        <v>0</v>
      </c>
      <c r="AQ249" t="s">
        <v>62</v>
      </c>
      <c r="AR249">
        <v>0</v>
      </c>
      <c r="AT249" t="s">
        <v>62</v>
      </c>
      <c r="AU249">
        <v>389</v>
      </c>
    </row>
    <row r="250" spans="1:47" x14ac:dyDescent="0.35">
      <c r="C250" t="s">
        <v>203</v>
      </c>
      <c r="D250">
        <v>0</v>
      </c>
      <c r="G250" t="s">
        <v>203</v>
      </c>
      <c r="H250">
        <v>0</v>
      </c>
      <c r="K250" t="s">
        <v>203</v>
      </c>
      <c r="L250">
        <v>0</v>
      </c>
      <c r="O250" t="s">
        <v>203</v>
      </c>
      <c r="P250">
        <v>0</v>
      </c>
      <c r="S250" t="s">
        <v>203</v>
      </c>
      <c r="T250">
        <v>0</v>
      </c>
      <c r="W250" t="s">
        <v>203</v>
      </c>
      <c r="X250">
        <v>0</v>
      </c>
      <c r="AA250" t="s">
        <v>203</v>
      </c>
      <c r="AB250">
        <v>0</v>
      </c>
      <c r="AE250" t="s">
        <v>203</v>
      </c>
      <c r="AF250">
        <v>0</v>
      </c>
      <c r="AI250" t="s">
        <v>203</v>
      </c>
      <c r="AJ250">
        <v>0</v>
      </c>
      <c r="AM250" t="s">
        <v>203</v>
      </c>
      <c r="AN250">
        <v>0</v>
      </c>
      <c r="AQ250" t="s">
        <v>203</v>
      </c>
      <c r="AR250">
        <v>0</v>
      </c>
      <c r="AT250" t="s">
        <v>64</v>
      </c>
      <c r="AU250">
        <v>0</v>
      </c>
    </row>
    <row r="251" spans="1:47" x14ac:dyDescent="0.35">
      <c r="C251" t="s">
        <v>204</v>
      </c>
      <c r="D251">
        <v>0</v>
      </c>
      <c r="G251" t="s">
        <v>204</v>
      </c>
      <c r="H251">
        <v>0</v>
      </c>
      <c r="K251" t="s">
        <v>204</v>
      </c>
      <c r="L251">
        <v>0</v>
      </c>
      <c r="O251" t="s">
        <v>204</v>
      </c>
      <c r="P251">
        <v>0</v>
      </c>
      <c r="S251" t="s">
        <v>204</v>
      </c>
      <c r="T251">
        <v>0</v>
      </c>
      <c r="W251" t="s">
        <v>204</v>
      </c>
      <c r="X251">
        <v>0</v>
      </c>
      <c r="AA251" t="s">
        <v>204</v>
      </c>
      <c r="AB251">
        <v>0</v>
      </c>
      <c r="AE251" t="s">
        <v>204</v>
      </c>
      <c r="AF251">
        <v>0</v>
      </c>
      <c r="AI251" t="s">
        <v>204</v>
      </c>
      <c r="AJ251">
        <v>0</v>
      </c>
      <c r="AM251" t="s">
        <v>204</v>
      </c>
      <c r="AN251">
        <v>0</v>
      </c>
      <c r="AQ251" t="s">
        <v>204</v>
      </c>
      <c r="AR251">
        <v>0</v>
      </c>
      <c r="AT251" t="s">
        <v>65</v>
      </c>
      <c r="AU251">
        <v>0</v>
      </c>
    </row>
    <row r="252" spans="1:47" x14ac:dyDescent="0.35">
      <c r="C252" t="s">
        <v>205</v>
      </c>
      <c r="D252">
        <v>0</v>
      </c>
      <c r="G252" t="s">
        <v>205</v>
      </c>
      <c r="H252">
        <v>0</v>
      </c>
      <c r="K252" t="s">
        <v>205</v>
      </c>
      <c r="L252">
        <v>0</v>
      </c>
      <c r="O252" t="s">
        <v>205</v>
      </c>
      <c r="P252">
        <v>0</v>
      </c>
      <c r="S252" t="s">
        <v>205</v>
      </c>
      <c r="T252">
        <v>0</v>
      </c>
      <c r="W252" t="s">
        <v>205</v>
      </c>
      <c r="X252">
        <v>0</v>
      </c>
      <c r="AA252" t="s">
        <v>205</v>
      </c>
      <c r="AB252">
        <v>0</v>
      </c>
      <c r="AE252" t="s">
        <v>205</v>
      </c>
      <c r="AF252">
        <v>0</v>
      </c>
      <c r="AI252" t="s">
        <v>205</v>
      </c>
      <c r="AJ252">
        <v>0</v>
      </c>
      <c r="AM252" t="s">
        <v>205</v>
      </c>
      <c r="AN252">
        <v>0</v>
      </c>
      <c r="AQ252" t="s">
        <v>205</v>
      </c>
      <c r="AR252">
        <v>0</v>
      </c>
      <c r="AT252" t="s">
        <v>66</v>
      </c>
      <c r="AU252">
        <v>0</v>
      </c>
    </row>
    <row r="253" spans="1:47" x14ac:dyDescent="0.35">
      <c r="C253" t="s">
        <v>133</v>
      </c>
      <c r="D253">
        <v>0</v>
      </c>
      <c r="G253" t="s">
        <v>133</v>
      </c>
      <c r="H253">
        <v>0</v>
      </c>
      <c r="K253" t="s">
        <v>133</v>
      </c>
      <c r="L253">
        <v>0</v>
      </c>
      <c r="O253" t="s">
        <v>133</v>
      </c>
      <c r="P253">
        <v>0</v>
      </c>
      <c r="S253" t="s">
        <v>133</v>
      </c>
      <c r="T253">
        <v>0</v>
      </c>
      <c r="W253" t="s">
        <v>133</v>
      </c>
      <c r="X253">
        <v>0</v>
      </c>
      <c r="AA253" t="s">
        <v>133</v>
      </c>
      <c r="AB253">
        <v>0</v>
      </c>
      <c r="AE253" t="s">
        <v>133</v>
      </c>
      <c r="AF253">
        <v>0</v>
      </c>
      <c r="AI253" t="s">
        <v>133</v>
      </c>
      <c r="AJ253">
        <v>0</v>
      </c>
      <c r="AM253" t="s">
        <v>133</v>
      </c>
      <c r="AN253">
        <v>0</v>
      </c>
      <c r="AQ253" t="s">
        <v>133</v>
      </c>
      <c r="AR253">
        <v>0</v>
      </c>
      <c r="AT253" t="s">
        <v>79</v>
      </c>
      <c r="AU253">
        <v>161</v>
      </c>
    </row>
    <row r="254" spans="1:47" x14ac:dyDescent="0.35">
      <c r="C254" t="s">
        <v>206</v>
      </c>
      <c r="D254">
        <v>0</v>
      </c>
      <c r="G254" t="s">
        <v>206</v>
      </c>
      <c r="H254">
        <v>0</v>
      </c>
      <c r="K254" t="s">
        <v>206</v>
      </c>
      <c r="L254">
        <v>0</v>
      </c>
      <c r="O254" t="s">
        <v>206</v>
      </c>
      <c r="P254">
        <v>0</v>
      </c>
      <c r="S254" t="s">
        <v>206</v>
      </c>
      <c r="T254">
        <v>0</v>
      </c>
      <c r="W254" t="s">
        <v>206</v>
      </c>
      <c r="X254">
        <v>0</v>
      </c>
      <c r="AA254" t="s">
        <v>206</v>
      </c>
      <c r="AB254">
        <v>0</v>
      </c>
      <c r="AE254" t="s">
        <v>206</v>
      </c>
      <c r="AF254">
        <v>0</v>
      </c>
      <c r="AI254" t="s">
        <v>206</v>
      </c>
      <c r="AJ254">
        <v>0</v>
      </c>
      <c r="AM254" t="s">
        <v>206</v>
      </c>
      <c r="AN254">
        <v>0</v>
      </c>
      <c r="AQ254" t="s">
        <v>206</v>
      </c>
      <c r="AR254">
        <v>0</v>
      </c>
      <c r="AT254" t="s">
        <v>68</v>
      </c>
      <c r="AU254">
        <v>0</v>
      </c>
    </row>
    <row r="255" spans="1:47" x14ac:dyDescent="0.35">
      <c r="C255" t="s">
        <v>136</v>
      </c>
      <c r="D255">
        <v>0</v>
      </c>
      <c r="G255" t="s">
        <v>136</v>
      </c>
      <c r="H255">
        <v>0</v>
      </c>
      <c r="K255" t="s">
        <v>136</v>
      </c>
      <c r="L255">
        <v>0</v>
      </c>
      <c r="O255" t="s">
        <v>136</v>
      </c>
      <c r="P255">
        <v>0</v>
      </c>
      <c r="S255" t="s">
        <v>136</v>
      </c>
      <c r="T255">
        <v>0</v>
      </c>
      <c r="W255" t="s">
        <v>136</v>
      </c>
      <c r="X255">
        <v>0</v>
      </c>
      <c r="AA255" t="s">
        <v>136</v>
      </c>
      <c r="AB255">
        <v>0</v>
      </c>
      <c r="AE255" t="s">
        <v>136</v>
      </c>
      <c r="AF255">
        <v>0</v>
      </c>
      <c r="AI255" t="s">
        <v>136</v>
      </c>
      <c r="AJ255">
        <v>25</v>
      </c>
      <c r="AM255" t="s">
        <v>136</v>
      </c>
      <c r="AN255">
        <v>0</v>
      </c>
      <c r="AQ255" t="s">
        <v>136</v>
      </c>
      <c r="AR255">
        <v>0</v>
      </c>
      <c r="AT255" t="s">
        <v>69</v>
      </c>
      <c r="AU255">
        <v>498</v>
      </c>
    </row>
    <row r="256" spans="1:47" x14ac:dyDescent="0.35">
      <c r="C256" t="s">
        <v>207</v>
      </c>
      <c r="D256">
        <v>0</v>
      </c>
      <c r="G256" t="s">
        <v>207</v>
      </c>
      <c r="H256">
        <v>0</v>
      </c>
      <c r="K256" t="s">
        <v>207</v>
      </c>
      <c r="L256">
        <v>0</v>
      </c>
      <c r="O256" t="s">
        <v>207</v>
      </c>
      <c r="P256">
        <v>0</v>
      </c>
      <c r="S256" t="s">
        <v>207</v>
      </c>
      <c r="T256">
        <v>0</v>
      </c>
      <c r="W256" t="s">
        <v>207</v>
      </c>
      <c r="X256">
        <v>0</v>
      </c>
      <c r="AA256" t="s">
        <v>207</v>
      </c>
      <c r="AB256">
        <v>0</v>
      </c>
      <c r="AE256" t="s">
        <v>207</v>
      </c>
      <c r="AF256">
        <v>0</v>
      </c>
      <c r="AI256" t="s">
        <v>207</v>
      </c>
      <c r="AJ256">
        <v>0</v>
      </c>
      <c r="AM256" t="s">
        <v>207</v>
      </c>
      <c r="AN256">
        <v>0</v>
      </c>
      <c r="AQ256" t="s">
        <v>207</v>
      </c>
      <c r="AR256">
        <v>0</v>
      </c>
      <c r="AT256" t="s">
        <v>70</v>
      </c>
      <c r="AU256">
        <v>0</v>
      </c>
    </row>
    <row r="257" spans="1:47" x14ac:dyDescent="0.35">
      <c r="C257" t="s">
        <v>141</v>
      </c>
      <c r="D257">
        <v>0</v>
      </c>
      <c r="G257" t="s">
        <v>141</v>
      </c>
      <c r="H257">
        <v>0</v>
      </c>
      <c r="K257" t="s">
        <v>141</v>
      </c>
      <c r="L257">
        <v>0</v>
      </c>
      <c r="O257" t="s">
        <v>141</v>
      </c>
      <c r="P257">
        <v>0</v>
      </c>
      <c r="S257" t="s">
        <v>141</v>
      </c>
      <c r="T257">
        <v>0</v>
      </c>
      <c r="W257" t="s">
        <v>141</v>
      </c>
      <c r="X257">
        <v>0</v>
      </c>
      <c r="AA257" t="s">
        <v>141</v>
      </c>
      <c r="AB257">
        <v>0</v>
      </c>
      <c r="AE257" t="s">
        <v>141</v>
      </c>
      <c r="AF257">
        <v>0</v>
      </c>
      <c r="AI257" t="s">
        <v>141</v>
      </c>
      <c r="AJ257">
        <v>0</v>
      </c>
      <c r="AM257" t="s">
        <v>141</v>
      </c>
      <c r="AN257">
        <v>0</v>
      </c>
      <c r="AQ257" t="s">
        <v>141</v>
      </c>
      <c r="AR257">
        <v>0</v>
      </c>
      <c r="AT257" t="s">
        <v>76</v>
      </c>
      <c r="AU257">
        <v>0</v>
      </c>
    </row>
    <row r="258" spans="1:47" x14ac:dyDescent="0.35">
      <c r="C258" t="s">
        <v>208</v>
      </c>
      <c r="D258">
        <v>0</v>
      </c>
      <c r="G258" t="s">
        <v>208</v>
      </c>
      <c r="H258">
        <v>0</v>
      </c>
      <c r="K258" t="s">
        <v>208</v>
      </c>
      <c r="L258">
        <v>0</v>
      </c>
      <c r="O258" t="s">
        <v>208</v>
      </c>
      <c r="P258">
        <v>0</v>
      </c>
      <c r="S258" t="s">
        <v>208</v>
      </c>
      <c r="T258">
        <v>0</v>
      </c>
      <c r="W258" t="s">
        <v>208</v>
      </c>
      <c r="X258">
        <v>0</v>
      </c>
      <c r="AA258" t="s">
        <v>208</v>
      </c>
      <c r="AB258">
        <v>0</v>
      </c>
      <c r="AE258" t="s">
        <v>208</v>
      </c>
      <c r="AF258">
        <v>0</v>
      </c>
      <c r="AI258" t="s">
        <v>208</v>
      </c>
      <c r="AJ258">
        <v>0</v>
      </c>
      <c r="AM258" t="s">
        <v>208</v>
      </c>
      <c r="AN258">
        <v>0</v>
      </c>
      <c r="AQ258" t="s">
        <v>208</v>
      </c>
      <c r="AR258">
        <v>0</v>
      </c>
      <c r="AT258" t="s">
        <v>77</v>
      </c>
      <c r="AU258">
        <v>44</v>
      </c>
    </row>
    <row r="259" spans="1:47" x14ac:dyDescent="0.35">
      <c r="C259" t="s">
        <v>209</v>
      </c>
      <c r="D259">
        <v>0</v>
      </c>
      <c r="G259" t="s">
        <v>209</v>
      </c>
      <c r="H259">
        <v>0</v>
      </c>
      <c r="K259" t="s">
        <v>209</v>
      </c>
      <c r="L259">
        <v>0</v>
      </c>
      <c r="O259" t="s">
        <v>209</v>
      </c>
      <c r="P259">
        <v>0</v>
      </c>
      <c r="S259" t="s">
        <v>209</v>
      </c>
      <c r="T259">
        <v>0</v>
      </c>
      <c r="W259" t="s">
        <v>209</v>
      </c>
      <c r="X259">
        <v>0</v>
      </c>
      <c r="AA259" t="s">
        <v>209</v>
      </c>
      <c r="AB259">
        <v>0</v>
      </c>
      <c r="AE259" t="s">
        <v>209</v>
      </c>
      <c r="AF259">
        <v>0</v>
      </c>
      <c r="AI259" t="s">
        <v>209</v>
      </c>
      <c r="AJ259">
        <v>0</v>
      </c>
      <c r="AM259" t="s">
        <v>209</v>
      </c>
      <c r="AN259">
        <v>0</v>
      </c>
      <c r="AQ259" t="s">
        <v>209</v>
      </c>
      <c r="AR259">
        <v>0</v>
      </c>
      <c r="AT259" t="s">
        <v>78</v>
      </c>
      <c r="AU259">
        <v>115</v>
      </c>
    </row>
    <row r="260" spans="1:47" x14ac:dyDescent="0.35">
      <c r="C260" t="s">
        <v>134</v>
      </c>
      <c r="D260">
        <v>86</v>
      </c>
      <c r="G260" t="s">
        <v>134</v>
      </c>
      <c r="H260">
        <v>0</v>
      </c>
      <c r="K260" t="s">
        <v>134</v>
      </c>
      <c r="L260">
        <v>0</v>
      </c>
      <c r="O260" t="s">
        <v>134</v>
      </c>
      <c r="P260">
        <v>0</v>
      </c>
      <c r="S260" t="s">
        <v>134</v>
      </c>
      <c r="T260">
        <v>0</v>
      </c>
      <c r="W260" t="s">
        <v>134</v>
      </c>
      <c r="X260">
        <v>0</v>
      </c>
      <c r="AA260" t="s">
        <v>134</v>
      </c>
      <c r="AB260">
        <v>8</v>
      </c>
      <c r="AE260" t="s">
        <v>134</v>
      </c>
      <c r="AF260">
        <v>0</v>
      </c>
      <c r="AI260" t="s">
        <v>134</v>
      </c>
      <c r="AJ260">
        <v>16</v>
      </c>
      <c r="AM260" t="s">
        <v>134</v>
      </c>
      <c r="AN260">
        <v>0</v>
      </c>
      <c r="AQ260" t="s">
        <v>134</v>
      </c>
      <c r="AR260">
        <v>0</v>
      </c>
      <c r="AT260" t="s">
        <v>67</v>
      </c>
      <c r="AU260">
        <v>8</v>
      </c>
    </row>
    <row r="261" spans="1:47" x14ac:dyDescent="0.35">
      <c r="C261" t="s">
        <v>142</v>
      </c>
      <c r="D261">
        <v>0</v>
      </c>
      <c r="G261" t="s">
        <v>142</v>
      </c>
      <c r="H261">
        <v>0</v>
      </c>
      <c r="K261" t="s">
        <v>142</v>
      </c>
      <c r="L261">
        <v>0</v>
      </c>
      <c r="O261" t="s">
        <v>142</v>
      </c>
      <c r="P261">
        <v>0</v>
      </c>
      <c r="S261" t="s">
        <v>142</v>
      </c>
      <c r="T261">
        <v>0</v>
      </c>
      <c r="W261" t="s">
        <v>142</v>
      </c>
      <c r="X261">
        <v>0</v>
      </c>
      <c r="AA261" t="s">
        <v>142</v>
      </c>
      <c r="AB261">
        <v>0</v>
      </c>
      <c r="AE261" t="s">
        <v>142</v>
      </c>
      <c r="AF261">
        <v>0</v>
      </c>
      <c r="AI261" t="s">
        <v>142</v>
      </c>
      <c r="AJ261">
        <v>0</v>
      </c>
      <c r="AM261" t="s">
        <v>142</v>
      </c>
      <c r="AN261">
        <v>0</v>
      </c>
      <c r="AQ261" t="s">
        <v>142</v>
      </c>
      <c r="AR261">
        <v>0</v>
      </c>
      <c r="AT261" t="s">
        <v>80</v>
      </c>
      <c r="AU261">
        <v>0</v>
      </c>
    </row>
    <row r="262" spans="1:47" x14ac:dyDescent="0.35">
      <c r="C262" t="s">
        <v>83</v>
      </c>
      <c r="D262">
        <v>0</v>
      </c>
      <c r="G262" t="s">
        <v>83</v>
      </c>
      <c r="H262">
        <v>0</v>
      </c>
      <c r="K262" t="s">
        <v>83</v>
      </c>
      <c r="L262">
        <v>0</v>
      </c>
      <c r="O262" t="s">
        <v>83</v>
      </c>
      <c r="P262">
        <v>0</v>
      </c>
      <c r="S262" t="s">
        <v>83</v>
      </c>
      <c r="T262">
        <v>0</v>
      </c>
      <c r="W262" t="s">
        <v>83</v>
      </c>
      <c r="X262">
        <v>0</v>
      </c>
      <c r="AA262" t="s">
        <v>83</v>
      </c>
      <c r="AB262">
        <v>0</v>
      </c>
      <c r="AE262" t="s">
        <v>83</v>
      </c>
      <c r="AF262">
        <v>0</v>
      </c>
      <c r="AI262" t="s">
        <v>83</v>
      </c>
      <c r="AJ262">
        <v>0</v>
      </c>
      <c r="AM262" t="s">
        <v>83</v>
      </c>
      <c r="AN262">
        <v>0</v>
      </c>
      <c r="AQ262" t="s">
        <v>83</v>
      </c>
      <c r="AR262">
        <v>0</v>
      </c>
      <c r="AT262" t="s">
        <v>83</v>
      </c>
      <c r="AU262">
        <v>0</v>
      </c>
    </row>
    <row r="263" spans="1:47" x14ac:dyDescent="0.35">
      <c r="C263" t="s">
        <v>84</v>
      </c>
      <c r="D263">
        <v>0</v>
      </c>
      <c r="G263" t="s">
        <v>84</v>
      </c>
      <c r="H263">
        <v>0</v>
      </c>
      <c r="K263" t="s">
        <v>84</v>
      </c>
      <c r="L263">
        <v>0</v>
      </c>
      <c r="O263" t="s">
        <v>84</v>
      </c>
      <c r="P263">
        <v>0</v>
      </c>
      <c r="S263" t="s">
        <v>84</v>
      </c>
      <c r="T263">
        <v>0</v>
      </c>
      <c r="W263" t="s">
        <v>84</v>
      </c>
      <c r="X263">
        <v>0</v>
      </c>
      <c r="AA263" t="s">
        <v>84</v>
      </c>
      <c r="AB263">
        <v>0</v>
      </c>
      <c r="AE263" t="s">
        <v>84</v>
      </c>
      <c r="AF263">
        <v>0</v>
      </c>
      <c r="AI263" t="s">
        <v>84</v>
      </c>
      <c r="AJ263">
        <v>0</v>
      </c>
      <c r="AM263" t="s">
        <v>84</v>
      </c>
      <c r="AN263">
        <v>0</v>
      </c>
      <c r="AQ263" t="s">
        <v>84</v>
      </c>
      <c r="AR263">
        <v>0</v>
      </c>
      <c r="AT263" t="s">
        <v>84</v>
      </c>
      <c r="AU263">
        <v>0</v>
      </c>
    </row>
    <row r="264" spans="1:47" x14ac:dyDescent="0.35">
      <c r="C264" t="s">
        <v>126</v>
      </c>
      <c r="D264">
        <v>0</v>
      </c>
      <c r="G264" t="s">
        <v>126</v>
      </c>
      <c r="H264">
        <v>0</v>
      </c>
      <c r="K264" t="s">
        <v>223</v>
      </c>
      <c r="L264">
        <v>0</v>
      </c>
      <c r="O264" t="s">
        <v>126</v>
      </c>
      <c r="P264">
        <v>0</v>
      </c>
      <c r="S264" t="s">
        <v>126</v>
      </c>
      <c r="T264">
        <v>0</v>
      </c>
      <c r="W264" t="s">
        <v>126</v>
      </c>
      <c r="X264">
        <v>0</v>
      </c>
      <c r="AA264" t="s">
        <v>126</v>
      </c>
      <c r="AB264">
        <v>0</v>
      </c>
      <c r="AE264" t="s">
        <v>126</v>
      </c>
      <c r="AF264">
        <v>0</v>
      </c>
      <c r="AI264" t="s">
        <v>126</v>
      </c>
      <c r="AJ264">
        <v>0</v>
      </c>
      <c r="AM264" t="s">
        <v>126</v>
      </c>
      <c r="AN264">
        <v>0</v>
      </c>
      <c r="AQ264" t="s">
        <v>126</v>
      </c>
      <c r="AR264">
        <v>0</v>
      </c>
      <c r="AT264" t="s">
        <v>86</v>
      </c>
      <c r="AU264">
        <v>0</v>
      </c>
    </row>
    <row r="265" spans="1:47" x14ac:dyDescent="0.35">
      <c r="C265" t="s">
        <v>87</v>
      </c>
      <c r="D265">
        <v>0</v>
      </c>
      <c r="G265" t="s">
        <v>87</v>
      </c>
      <c r="H265">
        <v>0</v>
      </c>
      <c r="K265" t="s">
        <v>87</v>
      </c>
      <c r="L265">
        <v>0</v>
      </c>
      <c r="O265" t="s">
        <v>87</v>
      </c>
      <c r="P265">
        <v>0</v>
      </c>
      <c r="S265" t="s">
        <v>87</v>
      </c>
      <c r="T265">
        <v>0</v>
      </c>
      <c r="W265" t="s">
        <v>87</v>
      </c>
      <c r="X265">
        <v>0</v>
      </c>
      <c r="AA265" t="s">
        <v>87</v>
      </c>
      <c r="AB265">
        <v>0</v>
      </c>
      <c r="AE265" t="s">
        <v>87</v>
      </c>
      <c r="AF265">
        <v>0</v>
      </c>
      <c r="AI265" t="s">
        <v>87</v>
      </c>
      <c r="AJ265">
        <v>0</v>
      </c>
      <c r="AM265" t="s">
        <v>87</v>
      </c>
      <c r="AN265">
        <v>0</v>
      </c>
      <c r="AQ265" t="s">
        <v>87</v>
      </c>
      <c r="AR265">
        <v>0</v>
      </c>
      <c r="AT265" t="s">
        <v>87</v>
      </c>
      <c r="AU265">
        <v>0</v>
      </c>
    </row>
    <row r="266" spans="1:47" x14ac:dyDescent="0.35">
      <c r="A266" t="s">
        <v>167</v>
      </c>
      <c r="B266">
        <v>533864.00000000012</v>
      </c>
      <c r="C266" t="s">
        <v>135</v>
      </c>
      <c r="D266">
        <v>520</v>
      </c>
      <c r="E266" t="s">
        <v>167</v>
      </c>
      <c r="F266">
        <v>539939.99999999988</v>
      </c>
      <c r="G266" t="s">
        <v>135</v>
      </c>
      <c r="H266">
        <v>616</v>
      </c>
      <c r="I266" t="s">
        <v>167</v>
      </c>
      <c r="J266">
        <v>546076</v>
      </c>
      <c r="K266" t="s">
        <v>135</v>
      </c>
      <c r="L266">
        <v>0</v>
      </c>
      <c r="M266" t="s">
        <v>167</v>
      </c>
      <c r="N266">
        <v>552166.00000000012</v>
      </c>
      <c r="O266" t="s">
        <v>135</v>
      </c>
      <c r="P266">
        <v>820</v>
      </c>
      <c r="Q266" t="s">
        <v>167</v>
      </c>
      <c r="R266">
        <v>558394.50000000035</v>
      </c>
      <c r="S266" t="s">
        <v>135</v>
      </c>
      <c r="T266">
        <v>816</v>
      </c>
      <c r="U266" t="s">
        <v>167</v>
      </c>
      <c r="V266">
        <v>564954.00000000035</v>
      </c>
      <c r="W266" t="s">
        <v>135</v>
      </c>
      <c r="X266">
        <v>0</v>
      </c>
      <c r="Y266" t="s">
        <v>167</v>
      </c>
      <c r="Z266">
        <v>571201.5</v>
      </c>
      <c r="AA266" t="s">
        <v>135</v>
      </c>
      <c r="AB266">
        <v>916</v>
      </c>
      <c r="AC266" t="s">
        <v>167</v>
      </c>
      <c r="AD266">
        <v>577030.49999999965</v>
      </c>
      <c r="AE266" t="s">
        <v>135</v>
      </c>
      <c r="AF266">
        <v>0</v>
      </c>
      <c r="AG266" t="s">
        <v>167</v>
      </c>
      <c r="AH266">
        <v>582640.00000000023</v>
      </c>
      <c r="AI266" t="s">
        <v>135</v>
      </c>
      <c r="AJ266">
        <v>0</v>
      </c>
      <c r="AK266" t="s">
        <v>167</v>
      </c>
      <c r="AL266">
        <v>587925</v>
      </c>
      <c r="AM266" t="s">
        <v>135</v>
      </c>
      <c r="AN266">
        <v>0</v>
      </c>
      <c r="AO266" t="s">
        <v>167</v>
      </c>
      <c r="AP266">
        <v>593149.50000000012</v>
      </c>
      <c r="AQ266" t="s">
        <v>135</v>
      </c>
      <c r="AR266">
        <v>5532</v>
      </c>
      <c r="AS266" t="s">
        <v>167</v>
      </c>
      <c r="AT266" t="s">
        <v>148</v>
      </c>
      <c r="AU266">
        <v>452</v>
      </c>
    </row>
    <row r="267" spans="1:47" x14ac:dyDescent="0.35">
      <c r="C267" t="s">
        <v>139</v>
      </c>
      <c r="D267">
        <v>1102</v>
      </c>
      <c r="G267" t="s">
        <v>139</v>
      </c>
      <c r="H267">
        <v>806</v>
      </c>
      <c r="K267" t="s">
        <v>139</v>
      </c>
      <c r="L267">
        <v>952</v>
      </c>
      <c r="O267" t="s">
        <v>139</v>
      </c>
      <c r="P267">
        <v>996</v>
      </c>
      <c r="S267" t="s">
        <v>139</v>
      </c>
      <c r="T267">
        <v>1224</v>
      </c>
      <c r="W267" t="s">
        <v>139</v>
      </c>
      <c r="X267">
        <v>1376</v>
      </c>
      <c r="AA267" t="s">
        <v>139</v>
      </c>
      <c r="AB267">
        <v>1412</v>
      </c>
      <c r="AE267" t="s">
        <v>139</v>
      </c>
      <c r="AF267">
        <v>0</v>
      </c>
      <c r="AI267" t="s">
        <v>139</v>
      </c>
      <c r="AJ267">
        <v>0</v>
      </c>
      <c r="AM267" t="s">
        <v>139</v>
      </c>
      <c r="AN267">
        <v>0</v>
      </c>
      <c r="AQ267" t="s">
        <v>139</v>
      </c>
      <c r="AR267">
        <v>1882</v>
      </c>
      <c r="AT267" t="s">
        <v>139</v>
      </c>
      <c r="AU267">
        <v>768</v>
      </c>
    </row>
    <row r="268" spans="1:47" x14ac:dyDescent="0.35">
      <c r="C268" t="s">
        <v>138</v>
      </c>
      <c r="D268">
        <v>0</v>
      </c>
      <c r="G268" t="s">
        <v>138</v>
      </c>
      <c r="H268">
        <v>0</v>
      </c>
      <c r="K268" t="s">
        <v>138</v>
      </c>
      <c r="L268">
        <v>0</v>
      </c>
      <c r="O268" t="s">
        <v>138</v>
      </c>
      <c r="P268">
        <v>0</v>
      </c>
      <c r="S268" t="s">
        <v>138</v>
      </c>
      <c r="T268">
        <v>0</v>
      </c>
      <c r="W268" t="s">
        <v>138</v>
      </c>
      <c r="X268">
        <v>0</v>
      </c>
      <c r="AA268" t="s">
        <v>138</v>
      </c>
      <c r="AB268">
        <v>0</v>
      </c>
      <c r="AE268" t="s">
        <v>138</v>
      </c>
      <c r="AF268">
        <v>0</v>
      </c>
      <c r="AI268" t="s">
        <v>138</v>
      </c>
      <c r="AJ268">
        <v>0</v>
      </c>
      <c r="AM268" t="s">
        <v>138</v>
      </c>
      <c r="AN268">
        <v>0</v>
      </c>
      <c r="AQ268" t="s">
        <v>138</v>
      </c>
      <c r="AR268">
        <v>0</v>
      </c>
      <c r="AT268" t="s">
        <v>138</v>
      </c>
      <c r="AU268">
        <v>27</v>
      </c>
    </row>
    <row r="269" spans="1:47" x14ac:dyDescent="0.35">
      <c r="C269" t="s">
        <v>82</v>
      </c>
      <c r="D269">
        <v>377</v>
      </c>
      <c r="G269" t="s">
        <v>82</v>
      </c>
      <c r="H269">
        <v>0</v>
      </c>
      <c r="K269" t="s">
        <v>82</v>
      </c>
      <c r="L269">
        <v>351</v>
      </c>
      <c r="O269" t="s">
        <v>82</v>
      </c>
      <c r="P269">
        <v>0</v>
      </c>
      <c r="S269" t="s">
        <v>82</v>
      </c>
      <c r="T269">
        <v>0</v>
      </c>
      <c r="W269" t="s">
        <v>82</v>
      </c>
      <c r="X269">
        <v>0</v>
      </c>
      <c r="AA269" t="s">
        <v>82</v>
      </c>
      <c r="AB269">
        <v>2168</v>
      </c>
      <c r="AE269" t="s">
        <v>82</v>
      </c>
      <c r="AF269">
        <v>0</v>
      </c>
      <c r="AI269" t="s">
        <v>82</v>
      </c>
      <c r="AJ269">
        <v>0</v>
      </c>
      <c r="AM269" t="s">
        <v>82</v>
      </c>
      <c r="AN269">
        <v>254</v>
      </c>
      <c r="AQ269" t="s">
        <v>82</v>
      </c>
      <c r="AR269">
        <v>0</v>
      </c>
      <c r="AT269" t="s">
        <v>82</v>
      </c>
      <c r="AU269">
        <v>172</v>
      </c>
    </row>
    <row r="270" spans="1:47" x14ac:dyDescent="0.35">
      <c r="C270" t="s">
        <v>60</v>
      </c>
      <c r="D270">
        <v>147</v>
      </c>
      <c r="G270" t="s">
        <v>60</v>
      </c>
      <c r="H270">
        <v>6365</v>
      </c>
      <c r="K270" t="s">
        <v>60</v>
      </c>
      <c r="L270">
        <v>116</v>
      </c>
      <c r="O270" t="s">
        <v>60</v>
      </c>
      <c r="P270">
        <v>0</v>
      </c>
      <c r="S270" t="s">
        <v>60</v>
      </c>
      <c r="T270">
        <v>0</v>
      </c>
      <c r="W270" t="s">
        <v>60</v>
      </c>
      <c r="X270">
        <v>1210</v>
      </c>
      <c r="AA270" t="s">
        <v>60</v>
      </c>
      <c r="AB270">
        <v>570</v>
      </c>
      <c r="AE270" t="s">
        <v>60</v>
      </c>
      <c r="AF270">
        <v>577</v>
      </c>
      <c r="AI270" t="s">
        <v>60</v>
      </c>
      <c r="AJ270">
        <v>0</v>
      </c>
      <c r="AM270" t="s">
        <v>60</v>
      </c>
      <c r="AN270">
        <v>25</v>
      </c>
      <c r="AQ270" t="s">
        <v>60</v>
      </c>
      <c r="AR270">
        <v>0</v>
      </c>
      <c r="AT270" t="s">
        <v>60</v>
      </c>
      <c r="AU270">
        <v>81</v>
      </c>
    </row>
    <row r="271" spans="1:47" x14ac:dyDescent="0.35">
      <c r="C271" t="s">
        <v>127</v>
      </c>
      <c r="D271">
        <v>0</v>
      </c>
      <c r="G271" t="s">
        <v>127</v>
      </c>
      <c r="H271">
        <v>0</v>
      </c>
      <c r="K271" t="s">
        <v>127</v>
      </c>
      <c r="L271">
        <v>0</v>
      </c>
      <c r="O271" t="s">
        <v>127</v>
      </c>
      <c r="P271">
        <v>0</v>
      </c>
      <c r="S271" t="s">
        <v>127</v>
      </c>
      <c r="T271">
        <v>0</v>
      </c>
      <c r="W271" t="s">
        <v>127</v>
      </c>
      <c r="X271">
        <v>0</v>
      </c>
      <c r="AA271" t="s">
        <v>127</v>
      </c>
      <c r="AB271">
        <v>117</v>
      </c>
      <c r="AE271" t="s">
        <v>127</v>
      </c>
      <c r="AF271">
        <v>0</v>
      </c>
      <c r="AI271" t="s">
        <v>127</v>
      </c>
      <c r="AJ271">
        <v>0</v>
      </c>
      <c r="AM271" t="s">
        <v>127</v>
      </c>
      <c r="AN271">
        <v>0</v>
      </c>
      <c r="AQ271" t="s">
        <v>127</v>
      </c>
      <c r="AR271">
        <v>155</v>
      </c>
      <c r="AT271" t="s">
        <v>58</v>
      </c>
      <c r="AU271">
        <v>117</v>
      </c>
    </row>
    <row r="272" spans="1:47" x14ac:dyDescent="0.35">
      <c r="C272" t="s">
        <v>61</v>
      </c>
      <c r="D272">
        <v>130</v>
      </c>
      <c r="G272" t="s">
        <v>61</v>
      </c>
      <c r="H272">
        <v>3781</v>
      </c>
      <c r="K272" t="s">
        <v>61</v>
      </c>
      <c r="L272">
        <v>168</v>
      </c>
      <c r="O272" t="s">
        <v>61</v>
      </c>
      <c r="P272">
        <v>0</v>
      </c>
      <c r="S272" t="s">
        <v>61</v>
      </c>
      <c r="T272">
        <v>0</v>
      </c>
      <c r="W272" t="s">
        <v>61</v>
      </c>
      <c r="X272">
        <v>0</v>
      </c>
      <c r="AA272" t="s">
        <v>61</v>
      </c>
      <c r="AB272">
        <v>0</v>
      </c>
      <c r="AE272" t="s">
        <v>61</v>
      </c>
      <c r="AF272">
        <v>0</v>
      </c>
      <c r="AI272" t="s">
        <v>61</v>
      </c>
      <c r="AJ272">
        <v>0</v>
      </c>
      <c r="AM272" t="s">
        <v>61</v>
      </c>
      <c r="AN272">
        <v>6</v>
      </c>
      <c r="AQ272" t="s">
        <v>61</v>
      </c>
      <c r="AR272">
        <v>0</v>
      </c>
      <c r="AT272" t="s">
        <v>61</v>
      </c>
      <c r="AU272">
        <v>18</v>
      </c>
    </row>
    <row r="273" spans="3:47" x14ac:dyDescent="0.35">
      <c r="C273" t="s">
        <v>62</v>
      </c>
      <c r="D273">
        <v>121</v>
      </c>
      <c r="G273" t="s">
        <v>62</v>
      </c>
      <c r="H273">
        <v>3881</v>
      </c>
      <c r="K273" t="s">
        <v>62</v>
      </c>
      <c r="L273">
        <v>8</v>
      </c>
      <c r="O273" t="s">
        <v>62</v>
      </c>
      <c r="P273">
        <v>0</v>
      </c>
      <c r="S273" t="s">
        <v>62</v>
      </c>
      <c r="T273">
        <v>0</v>
      </c>
      <c r="W273" t="s">
        <v>62</v>
      </c>
      <c r="X273">
        <v>0</v>
      </c>
      <c r="AA273" t="s">
        <v>62</v>
      </c>
      <c r="AB273">
        <v>3207</v>
      </c>
      <c r="AE273" t="s">
        <v>62</v>
      </c>
      <c r="AF273">
        <v>0</v>
      </c>
      <c r="AI273" t="s">
        <v>62</v>
      </c>
      <c r="AJ273">
        <v>0</v>
      </c>
      <c r="AM273" t="s">
        <v>62</v>
      </c>
      <c r="AN273">
        <v>353</v>
      </c>
      <c r="AQ273" t="s">
        <v>62</v>
      </c>
      <c r="AR273">
        <v>0</v>
      </c>
      <c r="AT273" t="s">
        <v>62</v>
      </c>
      <c r="AU273">
        <v>1</v>
      </c>
    </row>
    <row r="274" spans="3:47" x14ac:dyDescent="0.35">
      <c r="C274" t="s">
        <v>203</v>
      </c>
      <c r="D274">
        <v>0</v>
      </c>
      <c r="G274" t="s">
        <v>203</v>
      </c>
      <c r="H274">
        <v>0</v>
      </c>
      <c r="K274" t="s">
        <v>203</v>
      </c>
      <c r="L274">
        <v>0</v>
      </c>
      <c r="O274" t="s">
        <v>203</v>
      </c>
      <c r="P274">
        <v>0</v>
      </c>
      <c r="S274" t="s">
        <v>203</v>
      </c>
      <c r="T274">
        <v>0</v>
      </c>
      <c r="W274" t="s">
        <v>203</v>
      </c>
      <c r="X274">
        <v>0</v>
      </c>
      <c r="AA274" t="s">
        <v>203</v>
      </c>
      <c r="AB274">
        <v>0</v>
      </c>
      <c r="AE274" t="s">
        <v>203</v>
      </c>
      <c r="AF274">
        <v>0</v>
      </c>
      <c r="AI274" t="s">
        <v>203</v>
      </c>
      <c r="AJ274">
        <v>0</v>
      </c>
      <c r="AM274" t="s">
        <v>203</v>
      </c>
      <c r="AN274">
        <v>0</v>
      </c>
      <c r="AQ274" t="s">
        <v>203</v>
      </c>
      <c r="AR274">
        <v>0</v>
      </c>
      <c r="AT274" t="s">
        <v>64</v>
      </c>
      <c r="AU274">
        <v>149</v>
      </c>
    </row>
    <row r="275" spans="3:47" x14ac:dyDescent="0.35">
      <c r="C275" t="s">
        <v>204</v>
      </c>
      <c r="D275">
        <v>0</v>
      </c>
      <c r="G275" t="s">
        <v>204</v>
      </c>
      <c r="H275">
        <v>0</v>
      </c>
      <c r="K275" t="s">
        <v>204</v>
      </c>
      <c r="L275">
        <v>0</v>
      </c>
      <c r="O275" t="s">
        <v>204</v>
      </c>
      <c r="P275">
        <v>0</v>
      </c>
      <c r="S275" t="s">
        <v>204</v>
      </c>
      <c r="T275">
        <v>0</v>
      </c>
      <c r="W275" t="s">
        <v>204</v>
      </c>
      <c r="X275">
        <v>0</v>
      </c>
      <c r="AA275" t="s">
        <v>204</v>
      </c>
      <c r="AB275">
        <v>0</v>
      </c>
      <c r="AE275" t="s">
        <v>204</v>
      </c>
      <c r="AF275">
        <v>0</v>
      </c>
      <c r="AI275" t="s">
        <v>204</v>
      </c>
      <c r="AJ275">
        <v>0</v>
      </c>
      <c r="AM275" t="s">
        <v>204</v>
      </c>
      <c r="AN275">
        <v>0</v>
      </c>
      <c r="AQ275" t="s">
        <v>204</v>
      </c>
      <c r="AR275">
        <v>0</v>
      </c>
      <c r="AT275" t="s">
        <v>65</v>
      </c>
      <c r="AU275">
        <v>61</v>
      </c>
    </row>
    <row r="276" spans="3:47" x14ac:dyDescent="0.35">
      <c r="C276" t="s">
        <v>205</v>
      </c>
      <c r="D276">
        <v>0</v>
      </c>
      <c r="G276" t="s">
        <v>205</v>
      </c>
      <c r="H276">
        <v>0</v>
      </c>
      <c r="K276" t="s">
        <v>205</v>
      </c>
      <c r="L276">
        <v>0</v>
      </c>
      <c r="O276" t="s">
        <v>205</v>
      </c>
      <c r="P276">
        <v>0</v>
      </c>
      <c r="S276" t="s">
        <v>205</v>
      </c>
      <c r="T276">
        <v>0</v>
      </c>
      <c r="W276" t="s">
        <v>205</v>
      </c>
      <c r="X276">
        <v>0</v>
      </c>
      <c r="AA276" t="s">
        <v>205</v>
      </c>
      <c r="AB276">
        <v>0</v>
      </c>
      <c r="AE276" t="s">
        <v>205</v>
      </c>
      <c r="AF276">
        <v>20</v>
      </c>
      <c r="AI276" t="s">
        <v>205</v>
      </c>
      <c r="AJ276">
        <v>0</v>
      </c>
      <c r="AM276" t="s">
        <v>205</v>
      </c>
      <c r="AN276">
        <v>0</v>
      </c>
      <c r="AQ276" t="s">
        <v>205</v>
      </c>
      <c r="AR276">
        <v>0</v>
      </c>
      <c r="AT276" t="s">
        <v>66</v>
      </c>
      <c r="AU276">
        <v>20</v>
      </c>
    </row>
    <row r="277" spans="3:47" x14ac:dyDescent="0.35">
      <c r="C277" t="s">
        <v>133</v>
      </c>
      <c r="D277">
        <v>0</v>
      </c>
      <c r="G277" t="s">
        <v>133</v>
      </c>
      <c r="H277">
        <v>0</v>
      </c>
      <c r="K277" t="s">
        <v>133</v>
      </c>
      <c r="L277">
        <v>0</v>
      </c>
      <c r="O277" t="s">
        <v>133</v>
      </c>
      <c r="P277">
        <v>0</v>
      </c>
      <c r="S277" t="s">
        <v>133</v>
      </c>
      <c r="T277">
        <v>0</v>
      </c>
      <c r="W277" t="s">
        <v>133</v>
      </c>
      <c r="X277">
        <v>0</v>
      </c>
      <c r="AA277" t="s">
        <v>133</v>
      </c>
      <c r="AB277">
        <v>65</v>
      </c>
      <c r="AE277" t="s">
        <v>133</v>
      </c>
      <c r="AF277">
        <v>0</v>
      </c>
      <c r="AI277" t="s">
        <v>133</v>
      </c>
      <c r="AJ277">
        <v>0</v>
      </c>
      <c r="AM277" t="s">
        <v>133</v>
      </c>
      <c r="AN277">
        <v>0</v>
      </c>
      <c r="AQ277" t="s">
        <v>133</v>
      </c>
      <c r="AR277">
        <v>0</v>
      </c>
      <c r="AT277" t="s">
        <v>79</v>
      </c>
      <c r="AU277">
        <v>11</v>
      </c>
    </row>
    <row r="278" spans="3:47" x14ac:dyDescent="0.35">
      <c r="C278" t="s">
        <v>206</v>
      </c>
      <c r="D278">
        <v>0</v>
      </c>
      <c r="G278" t="s">
        <v>206</v>
      </c>
      <c r="H278">
        <v>0</v>
      </c>
      <c r="K278" t="s">
        <v>206</v>
      </c>
      <c r="L278">
        <v>0</v>
      </c>
      <c r="O278" t="s">
        <v>206</v>
      </c>
      <c r="P278">
        <v>0</v>
      </c>
      <c r="S278" t="s">
        <v>206</v>
      </c>
      <c r="T278">
        <v>0</v>
      </c>
      <c r="W278" t="s">
        <v>206</v>
      </c>
      <c r="X278">
        <v>0</v>
      </c>
      <c r="AA278" t="s">
        <v>206</v>
      </c>
      <c r="AB278">
        <v>0</v>
      </c>
      <c r="AE278" t="s">
        <v>206</v>
      </c>
      <c r="AF278">
        <v>0</v>
      </c>
      <c r="AI278" t="s">
        <v>206</v>
      </c>
      <c r="AJ278">
        <v>0</v>
      </c>
      <c r="AM278" t="s">
        <v>206</v>
      </c>
      <c r="AN278">
        <v>0</v>
      </c>
      <c r="AQ278" t="s">
        <v>206</v>
      </c>
      <c r="AR278">
        <v>0</v>
      </c>
      <c r="AT278" t="s">
        <v>68</v>
      </c>
      <c r="AU278">
        <v>3</v>
      </c>
    </row>
    <row r="279" spans="3:47" x14ac:dyDescent="0.35">
      <c r="C279" t="s">
        <v>136</v>
      </c>
      <c r="D279">
        <v>0</v>
      </c>
      <c r="G279" t="s">
        <v>136</v>
      </c>
      <c r="H279">
        <v>0</v>
      </c>
      <c r="K279" t="s">
        <v>136</v>
      </c>
      <c r="L279">
        <v>0</v>
      </c>
      <c r="O279" t="s">
        <v>136</v>
      </c>
      <c r="P279">
        <v>0</v>
      </c>
      <c r="S279" t="s">
        <v>136</v>
      </c>
      <c r="T279">
        <v>0</v>
      </c>
      <c r="W279" t="s">
        <v>136</v>
      </c>
      <c r="X279">
        <v>0</v>
      </c>
      <c r="AA279" t="s">
        <v>136</v>
      </c>
      <c r="AB279">
        <v>0</v>
      </c>
      <c r="AE279" t="s">
        <v>136</v>
      </c>
      <c r="AF279">
        <v>0</v>
      </c>
      <c r="AI279" t="s">
        <v>136</v>
      </c>
      <c r="AJ279">
        <v>0</v>
      </c>
      <c r="AM279" t="s">
        <v>136</v>
      </c>
      <c r="AN279">
        <v>0</v>
      </c>
      <c r="AQ279" t="s">
        <v>136</v>
      </c>
      <c r="AR279">
        <v>0</v>
      </c>
      <c r="AT279" t="s">
        <v>69</v>
      </c>
      <c r="AU279">
        <v>27</v>
      </c>
    </row>
    <row r="280" spans="3:47" x14ac:dyDescent="0.35">
      <c r="C280" t="s">
        <v>207</v>
      </c>
      <c r="D280">
        <v>0</v>
      </c>
      <c r="G280" t="s">
        <v>207</v>
      </c>
      <c r="H280">
        <v>0</v>
      </c>
      <c r="K280" t="s">
        <v>207</v>
      </c>
      <c r="L280">
        <v>0</v>
      </c>
      <c r="O280" t="s">
        <v>207</v>
      </c>
      <c r="P280">
        <v>0</v>
      </c>
      <c r="S280" t="s">
        <v>207</v>
      </c>
      <c r="T280">
        <v>0</v>
      </c>
      <c r="W280" t="s">
        <v>207</v>
      </c>
      <c r="X280">
        <v>0</v>
      </c>
      <c r="AA280" t="s">
        <v>207</v>
      </c>
      <c r="AB280">
        <v>0</v>
      </c>
      <c r="AE280" t="s">
        <v>207</v>
      </c>
      <c r="AF280">
        <v>0</v>
      </c>
      <c r="AI280" t="s">
        <v>207</v>
      </c>
      <c r="AJ280">
        <v>0</v>
      </c>
      <c r="AM280" t="s">
        <v>207</v>
      </c>
      <c r="AN280">
        <v>0</v>
      </c>
      <c r="AQ280" t="s">
        <v>207</v>
      </c>
      <c r="AR280">
        <v>0</v>
      </c>
      <c r="AT280" t="s">
        <v>70</v>
      </c>
      <c r="AU280">
        <v>14</v>
      </c>
    </row>
    <row r="281" spans="3:47" x14ac:dyDescent="0.35">
      <c r="C281" t="s">
        <v>141</v>
      </c>
      <c r="D281">
        <v>0</v>
      </c>
      <c r="G281" t="s">
        <v>141</v>
      </c>
      <c r="H281">
        <v>0</v>
      </c>
      <c r="K281" t="s">
        <v>141</v>
      </c>
      <c r="L281">
        <v>0</v>
      </c>
      <c r="O281" t="s">
        <v>141</v>
      </c>
      <c r="P281">
        <v>0</v>
      </c>
      <c r="S281" t="s">
        <v>141</v>
      </c>
      <c r="T281">
        <v>0</v>
      </c>
      <c r="W281" t="s">
        <v>141</v>
      </c>
      <c r="X281">
        <v>0</v>
      </c>
      <c r="AA281" t="s">
        <v>141</v>
      </c>
      <c r="AB281">
        <v>0</v>
      </c>
      <c r="AE281" t="s">
        <v>141</v>
      </c>
      <c r="AF281">
        <v>0</v>
      </c>
      <c r="AI281" t="s">
        <v>141</v>
      </c>
      <c r="AJ281">
        <v>0</v>
      </c>
      <c r="AM281" t="s">
        <v>141</v>
      </c>
      <c r="AN281">
        <v>0</v>
      </c>
      <c r="AQ281" t="s">
        <v>141</v>
      </c>
      <c r="AR281">
        <v>4</v>
      </c>
      <c r="AT281" t="s">
        <v>76</v>
      </c>
      <c r="AU281">
        <v>40</v>
      </c>
    </row>
    <row r="282" spans="3:47" x14ac:dyDescent="0.35">
      <c r="C282" t="s">
        <v>208</v>
      </c>
      <c r="D282">
        <v>0</v>
      </c>
      <c r="G282" t="s">
        <v>208</v>
      </c>
      <c r="H282">
        <v>0</v>
      </c>
      <c r="K282" t="s">
        <v>208</v>
      </c>
      <c r="L282">
        <v>0</v>
      </c>
      <c r="O282" t="s">
        <v>208</v>
      </c>
      <c r="P282">
        <v>0</v>
      </c>
      <c r="S282" t="s">
        <v>208</v>
      </c>
      <c r="T282">
        <v>0</v>
      </c>
      <c r="W282" t="s">
        <v>208</v>
      </c>
      <c r="X282">
        <v>0</v>
      </c>
      <c r="AA282" t="s">
        <v>208</v>
      </c>
      <c r="AB282">
        <v>0</v>
      </c>
      <c r="AE282" t="s">
        <v>208</v>
      </c>
      <c r="AF282">
        <v>0</v>
      </c>
      <c r="AI282" t="s">
        <v>208</v>
      </c>
      <c r="AJ282">
        <v>0</v>
      </c>
      <c r="AM282" t="s">
        <v>208</v>
      </c>
      <c r="AN282">
        <v>0</v>
      </c>
      <c r="AQ282" t="s">
        <v>208</v>
      </c>
      <c r="AR282">
        <v>0</v>
      </c>
      <c r="AT282" t="s">
        <v>77</v>
      </c>
      <c r="AU282">
        <v>1357</v>
      </c>
    </row>
    <row r="283" spans="3:47" x14ac:dyDescent="0.35">
      <c r="C283" t="s">
        <v>209</v>
      </c>
      <c r="D283">
        <v>0</v>
      </c>
      <c r="G283" t="s">
        <v>209</v>
      </c>
      <c r="H283">
        <v>0</v>
      </c>
      <c r="K283" t="s">
        <v>209</v>
      </c>
      <c r="L283">
        <v>0</v>
      </c>
      <c r="O283" t="s">
        <v>209</v>
      </c>
      <c r="P283">
        <v>0</v>
      </c>
      <c r="S283" t="s">
        <v>209</v>
      </c>
      <c r="T283">
        <v>0</v>
      </c>
      <c r="W283" t="s">
        <v>209</v>
      </c>
      <c r="X283">
        <v>0</v>
      </c>
      <c r="AA283" t="s">
        <v>209</v>
      </c>
      <c r="AB283">
        <v>0</v>
      </c>
      <c r="AE283" t="s">
        <v>209</v>
      </c>
      <c r="AF283">
        <v>0</v>
      </c>
      <c r="AI283" t="s">
        <v>209</v>
      </c>
      <c r="AJ283">
        <v>0</v>
      </c>
      <c r="AM283" t="s">
        <v>209</v>
      </c>
      <c r="AN283">
        <v>0</v>
      </c>
      <c r="AQ283" t="s">
        <v>209</v>
      </c>
      <c r="AR283">
        <v>0</v>
      </c>
      <c r="AT283" t="s">
        <v>78</v>
      </c>
      <c r="AU283">
        <v>95</v>
      </c>
    </row>
    <row r="284" spans="3:47" x14ac:dyDescent="0.35">
      <c r="C284" t="s">
        <v>134</v>
      </c>
      <c r="D284">
        <v>0</v>
      </c>
      <c r="G284" t="s">
        <v>134</v>
      </c>
      <c r="H284">
        <v>0</v>
      </c>
      <c r="K284" t="s">
        <v>134</v>
      </c>
      <c r="L284">
        <v>0</v>
      </c>
      <c r="O284" t="s">
        <v>134</v>
      </c>
      <c r="P284">
        <v>0</v>
      </c>
      <c r="S284" t="s">
        <v>134</v>
      </c>
      <c r="T284">
        <v>0</v>
      </c>
      <c r="W284" t="s">
        <v>134</v>
      </c>
      <c r="X284">
        <v>0</v>
      </c>
      <c r="AA284" t="s">
        <v>134</v>
      </c>
      <c r="AB284">
        <v>0</v>
      </c>
      <c r="AE284" t="s">
        <v>134</v>
      </c>
      <c r="AF284">
        <v>0</v>
      </c>
      <c r="AI284" t="s">
        <v>134</v>
      </c>
      <c r="AJ284">
        <v>0</v>
      </c>
      <c r="AM284" t="s">
        <v>134</v>
      </c>
      <c r="AN284">
        <v>0</v>
      </c>
      <c r="AQ284" t="s">
        <v>134</v>
      </c>
      <c r="AR284">
        <v>0</v>
      </c>
      <c r="AT284" t="s">
        <v>67</v>
      </c>
      <c r="AU284">
        <v>65</v>
      </c>
    </row>
    <row r="285" spans="3:47" x14ac:dyDescent="0.35">
      <c r="C285" t="s">
        <v>142</v>
      </c>
      <c r="D285">
        <v>0</v>
      </c>
      <c r="G285" t="s">
        <v>142</v>
      </c>
      <c r="H285">
        <v>0</v>
      </c>
      <c r="K285" t="s">
        <v>142</v>
      </c>
      <c r="L285">
        <v>0</v>
      </c>
      <c r="O285" t="s">
        <v>142</v>
      </c>
      <c r="P285">
        <v>0</v>
      </c>
      <c r="S285" t="s">
        <v>142</v>
      </c>
      <c r="T285">
        <v>0</v>
      </c>
      <c r="W285" t="s">
        <v>142</v>
      </c>
      <c r="X285">
        <v>0</v>
      </c>
      <c r="AA285" t="s">
        <v>142</v>
      </c>
      <c r="AB285">
        <v>0</v>
      </c>
      <c r="AE285" t="s">
        <v>142</v>
      </c>
      <c r="AF285">
        <v>0</v>
      </c>
      <c r="AI285" t="s">
        <v>142</v>
      </c>
      <c r="AJ285">
        <v>0</v>
      </c>
      <c r="AM285" t="s">
        <v>142</v>
      </c>
      <c r="AN285">
        <v>0</v>
      </c>
      <c r="AQ285" t="s">
        <v>142</v>
      </c>
      <c r="AR285">
        <v>0</v>
      </c>
      <c r="AT285" t="s">
        <v>80</v>
      </c>
      <c r="AU285">
        <v>0</v>
      </c>
    </row>
    <row r="286" spans="3:47" x14ac:dyDescent="0.35">
      <c r="C286" t="s">
        <v>83</v>
      </c>
      <c r="D286">
        <v>0</v>
      </c>
      <c r="G286" t="s">
        <v>83</v>
      </c>
      <c r="H286">
        <v>0</v>
      </c>
      <c r="K286" t="s">
        <v>83</v>
      </c>
      <c r="L286">
        <v>0</v>
      </c>
      <c r="O286" t="s">
        <v>83</v>
      </c>
      <c r="P286">
        <v>0</v>
      </c>
      <c r="S286" t="s">
        <v>83</v>
      </c>
      <c r="T286">
        <v>0</v>
      </c>
      <c r="W286" t="s">
        <v>83</v>
      </c>
      <c r="X286">
        <v>0</v>
      </c>
      <c r="AA286" t="s">
        <v>83</v>
      </c>
      <c r="AB286">
        <v>0</v>
      </c>
      <c r="AE286" t="s">
        <v>83</v>
      </c>
      <c r="AF286">
        <v>0</v>
      </c>
      <c r="AI286" t="s">
        <v>83</v>
      </c>
      <c r="AJ286">
        <v>0</v>
      </c>
      <c r="AM286" t="s">
        <v>83</v>
      </c>
      <c r="AN286">
        <v>0</v>
      </c>
      <c r="AQ286" t="s">
        <v>83</v>
      </c>
      <c r="AR286">
        <v>10</v>
      </c>
      <c r="AT286" t="s">
        <v>83</v>
      </c>
      <c r="AU286">
        <v>58</v>
      </c>
    </row>
    <row r="287" spans="3:47" x14ac:dyDescent="0.35">
      <c r="C287" t="s">
        <v>84</v>
      </c>
      <c r="D287">
        <v>0</v>
      </c>
      <c r="G287" t="s">
        <v>84</v>
      </c>
      <c r="H287">
        <v>0</v>
      </c>
      <c r="K287" t="s">
        <v>84</v>
      </c>
      <c r="L287">
        <v>0</v>
      </c>
      <c r="O287" t="s">
        <v>84</v>
      </c>
      <c r="P287">
        <v>0</v>
      </c>
      <c r="S287" t="s">
        <v>84</v>
      </c>
      <c r="T287">
        <v>0</v>
      </c>
      <c r="W287" t="s">
        <v>84</v>
      </c>
      <c r="X287">
        <v>0</v>
      </c>
      <c r="AA287" t="s">
        <v>84</v>
      </c>
      <c r="AB287">
        <v>0</v>
      </c>
      <c r="AE287" t="s">
        <v>84</v>
      </c>
      <c r="AF287">
        <v>0</v>
      </c>
      <c r="AI287" t="s">
        <v>84</v>
      </c>
      <c r="AJ287">
        <v>0</v>
      </c>
      <c r="AM287" t="s">
        <v>84</v>
      </c>
      <c r="AN287">
        <v>0</v>
      </c>
      <c r="AQ287" t="s">
        <v>84</v>
      </c>
      <c r="AR287">
        <v>0</v>
      </c>
      <c r="AT287" t="s">
        <v>84</v>
      </c>
      <c r="AU287">
        <v>0</v>
      </c>
    </row>
    <row r="288" spans="3:47" x14ac:dyDescent="0.35">
      <c r="C288" t="s">
        <v>126</v>
      </c>
      <c r="D288">
        <v>0</v>
      </c>
      <c r="G288" t="s">
        <v>126</v>
      </c>
      <c r="H288">
        <v>0</v>
      </c>
      <c r="K288" t="s">
        <v>223</v>
      </c>
      <c r="L288">
        <v>0</v>
      </c>
      <c r="O288" t="s">
        <v>126</v>
      </c>
      <c r="P288">
        <v>0</v>
      </c>
      <c r="S288" t="s">
        <v>126</v>
      </c>
      <c r="T288">
        <v>0</v>
      </c>
      <c r="W288" t="s">
        <v>126</v>
      </c>
      <c r="X288">
        <v>0</v>
      </c>
      <c r="AA288" t="s">
        <v>126</v>
      </c>
      <c r="AB288">
        <v>0</v>
      </c>
      <c r="AE288" t="s">
        <v>126</v>
      </c>
      <c r="AF288">
        <v>0</v>
      </c>
      <c r="AI288" t="s">
        <v>126</v>
      </c>
      <c r="AJ288">
        <v>0</v>
      </c>
      <c r="AM288" t="s">
        <v>126</v>
      </c>
      <c r="AN288">
        <v>0</v>
      </c>
      <c r="AQ288" t="s">
        <v>126</v>
      </c>
      <c r="AR288">
        <v>0</v>
      </c>
      <c r="AT288" t="s">
        <v>86</v>
      </c>
      <c r="AU288">
        <v>0</v>
      </c>
    </row>
    <row r="289" spans="1:47" x14ac:dyDescent="0.35">
      <c r="C289" t="s">
        <v>87</v>
      </c>
      <c r="D289">
        <v>0</v>
      </c>
      <c r="G289" t="s">
        <v>87</v>
      </c>
      <c r="H289">
        <v>0</v>
      </c>
      <c r="K289" t="s">
        <v>87</v>
      </c>
      <c r="L289">
        <v>0</v>
      </c>
      <c r="O289" t="s">
        <v>87</v>
      </c>
      <c r="P289">
        <v>0</v>
      </c>
      <c r="S289" t="s">
        <v>87</v>
      </c>
      <c r="T289">
        <v>0</v>
      </c>
      <c r="W289" t="s">
        <v>87</v>
      </c>
      <c r="X289">
        <v>0</v>
      </c>
      <c r="AA289" t="s">
        <v>87</v>
      </c>
      <c r="AB289">
        <v>0</v>
      </c>
      <c r="AE289" t="s">
        <v>87</v>
      </c>
      <c r="AF289">
        <v>0</v>
      </c>
      <c r="AI289" t="s">
        <v>87</v>
      </c>
      <c r="AJ289">
        <v>0</v>
      </c>
      <c r="AM289" t="s">
        <v>87</v>
      </c>
      <c r="AN289">
        <v>0</v>
      </c>
      <c r="AQ289" t="s">
        <v>87</v>
      </c>
      <c r="AR289">
        <v>0</v>
      </c>
      <c r="AT289" t="s">
        <v>87</v>
      </c>
      <c r="AU289">
        <v>1</v>
      </c>
    </row>
    <row r="290" spans="1:47" x14ac:dyDescent="0.35">
      <c r="A290" t="s">
        <v>161</v>
      </c>
      <c r="B290">
        <v>37260562.50000003</v>
      </c>
      <c r="C290" t="s">
        <v>135</v>
      </c>
      <c r="D290">
        <v>0</v>
      </c>
      <c r="E290" t="s">
        <v>161</v>
      </c>
      <c r="F290">
        <v>38000626.500000022</v>
      </c>
      <c r="G290" t="s">
        <v>135</v>
      </c>
      <c r="H290">
        <v>4628</v>
      </c>
      <c r="I290" t="s">
        <v>161</v>
      </c>
      <c r="J290">
        <v>38760167.5</v>
      </c>
      <c r="K290" t="s">
        <v>135</v>
      </c>
      <c r="L290">
        <v>612</v>
      </c>
      <c r="M290" t="s">
        <v>161</v>
      </c>
      <c r="N290">
        <v>39543154.499999985</v>
      </c>
      <c r="O290" t="s">
        <v>135</v>
      </c>
      <c r="P290">
        <v>0</v>
      </c>
      <c r="Q290" t="s">
        <v>161</v>
      </c>
      <c r="R290">
        <v>40339328.5</v>
      </c>
      <c r="S290" t="s">
        <v>135</v>
      </c>
      <c r="T290">
        <v>148618</v>
      </c>
      <c r="U290" t="s">
        <v>161</v>
      </c>
      <c r="V290">
        <v>41136545.999999985</v>
      </c>
      <c r="W290" t="s">
        <v>135</v>
      </c>
      <c r="X290">
        <v>0</v>
      </c>
      <c r="Y290" t="s">
        <v>161</v>
      </c>
      <c r="Z290">
        <v>41927007.000000007</v>
      </c>
      <c r="AA290" t="s">
        <v>135</v>
      </c>
      <c r="AB290">
        <v>185038</v>
      </c>
      <c r="AC290" t="s">
        <v>161</v>
      </c>
      <c r="AD290">
        <v>42705368.50000003</v>
      </c>
      <c r="AE290" t="s">
        <v>135</v>
      </c>
      <c r="AF290">
        <v>84280</v>
      </c>
      <c r="AG290" t="s">
        <v>161</v>
      </c>
      <c r="AH290">
        <v>43451665.999999985</v>
      </c>
      <c r="AI290" t="s">
        <v>135</v>
      </c>
      <c r="AJ290">
        <v>0</v>
      </c>
      <c r="AK290" t="s">
        <v>161</v>
      </c>
      <c r="AL290">
        <v>44177968.500000007</v>
      </c>
      <c r="AM290" t="s">
        <v>135</v>
      </c>
      <c r="AN290">
        <v>0</v>
      </c>
      <c r="AO290" t="s">
        <v>161</v>
      </c>
      <c r="AP290">
        <v>44903225.000000007</v>
      </c>
      <c r="AQ290" t="s">
        <v>135</v>
      </c>
      <c r="AR290">
        <v>0</v>
      </c>
      <c r="AS290" t="s">
        <v>161</v>
      </c>
      <c r="AT290" t="s">
        <v>148</v>
      </c>
      <c r="AU290">
        <v>73168</v>
      </c>
    </row>
    <row r="291" spans="1:47" x14ac:dyDescent="0.35">
      <c r="C291" t="s">
        <v>139</v>
      </c>
      <c r="D291">
        <v>0</v>
      </c>
      <c r="G291" t="s">
        <v>139</v>
      </c>
      <c r="H291">
        <v>0</v>
      </c>
      <c r="K291" t="s">
        <v>139</v>
      </c>
      <c r="L291">
        <v>0</v>
      </c>
      <c r="O291" t="s">
        <v>139</v>
      </c>
      <c r="P291">
        <v>0</v>
      </c>
      <c r="S291" t="s">
        <v>139</v>
      </c>
      <c r="T291">
        <v>181916</v>
      </c>
      <c r="W291" t="s">
        <v>139</v>
      </c>
      <c r="X291">
        <v>184000</v>
      </c>
      <c r="AA291" t="s">
        <v>139</v>
      </c>
      <c r="AB291">
        <v>112822</v>
      </c>
      <c r="AE291" t="s">
        <v>139</v>
      </c>
      <c r="AF291">
        <v>8850</v>
      </c>
      <c r="AI291" t="s">
        <v>139</v>
      </c>
      <c r="AJ291">
        <v>0</v>
      </c>
      <c r="AM291" t="s">
        <v>139</v>
      </c>
      <c r="AN291">
        <v>0</v>
      </c>
      <c r="AQ291" t="s">
        <v>139</v>
      </c>
      <c r="AR291">
        <v>0</v>
      </c>
      <c r="AT291" t="s">
        <v>139</v>
      </c>
      <c r="AU291">
        <v>57705</v>
      </c>
    </row>
    <row r="292" spans="1:47" x14ac:dyDescent="0.35">
      <c r="C292" t="s">
        <v>138</v>
      </c>
      <c r="D292">
        <v>0</v>
      </c>
      <c r="G292" t="s">
        <v>138</v>
      </c>
      <c r="H292">
        <v>0</v>
      </c>
      <c r="K292" t="s">
        <v>138</v>
      </c>
      <c r="L292">
        <v>22278</v>
      </c>
      <c r="O292" t="s">
        <v>138</v>
      </c>
      <c r="P292">
        <v>0</v>
      </c>
      <c r="S292" t="s">
        <v>138</v>
      </c>
      <c r="T292">
        <v>0</v>
      </c>
      <c r="W292" t="s">
        <v>138</v>
      </c>
      <c r="X292">
        <v>0</v>
      </c>
      <c r="AA292" t="s">
        <v>138</v>
      </c>
      <c r="AB292">
        <v>17896</v>
      </c>
      <c r="AE292" t="s">
        <v>138</v>
      </c>
      <c r="AF292">
        <v>18140</v>
      </c>
      <c r="AI292" t="s">
        <v>138</v>
      </c>
      <c r="AJ292">
        <v>0</v>
      </c>
      <c r="AM292" t="s">
        <v>138</v>
      </c>
      <c r="AN292">
        <v>0</v>
      </c>
      <c r="AQ292" t="s">
        <v>138</v>
      </c>
      <c r="AR292">
        <v>0</v>
      </c>
      <c r="AT292" t="s">
        <v>138</v>
      </c>
      <c r="AU292">
        <v>8620</v>
      </c>
    </row>
    <row r="293" spans="1:47" x14ac:dyDescent="0.35">
      <c r="C293" t="s">
        <v>82</v>
      </c>
      <c r="D293">
        <v>391</v>
      </c>
      <c r="G293" t="s">
        <v>82</v>
      </c>
      <c r="H293">
        <v>54</v>
      </c>
      <c r="K293" t="s">
        <v>82</v>
      </c>
      <c r="L293">
        <v>1029</v>
      </c>
      <c r="O293" t="s">
        <v>82</v>
      </c>
      <c r="P293">
        <v>0</v>
      </c>
      <c r="S293" t="s">
        <v>82</v>
      </c>
      <c r="T293">
        <v>81</v>
      </c>
      <c r="W293" t="s">
        <v>82</v>
      </c>
      <c r="X293">
        <v>1388</v>
      </c>
      <c r="AA293" t="s">
        <v>82</v>
      </c>
      <c r="AB293">
        <v>0</v>
      </c>
      <c r="AE293" t="s">
        <v>82</v>
      </c>
      <c r="AF293">
        <v>86</v>
      </c>
      <c r="AI293" t="s">
        <v>82</v>
      </c>
      <c r="AJ293">
        <v>0</v>
      </c>
      <c r="AM293" t="s">
        <v>82</v>
      </c>
      <c r="AN293">
        <v>613</v>
      </c>
      <c r="AQ293" t="s">
        <v>82</v>
      </c>
      <c r="AR293">
        <v>0</v>
      </c>
      <c r="AT293" t="s">
        <v>82</v>
      </c>
      <c r="AU293">
        <v>14106</v>
      </c>
    </row>
    <row r="294" spans="1:47" x14ac:dyDescent="0.35">
      <c r="C294" t="s">
        <v>60</v>
      </c>
      <c r="D294">
        <v>224</v>
      </c>
      <c r="G294" t="s">
        <v>60</v>
      </c>
      <c r="H294">
        <v>0</v>
      </c>
      <c r="K294" t="s">
        <v>60</v>
      </c>
      <c r="L294">
        <v>397</v>
      </c>
      <c r="O294" t="s">
        <v>60</v>
      </c>
      <c r="P294">
        <v>0</v>
      </c>
      <c r="S294" t="s">
        <v>60</v>
      </c>
      <c r="T294">
        <v>25</v>
      </c>
      <c r="W294" t="s">
        <v>60</v>
      </c>
      <c r="X294">
        <v>0</v>
      </c>
      <c r="AA294" t="s">
        <v>60</v>
      </c>
      <c r="AB294">
        <v>0</v>
      </c>
      <c r="AE294" t="s">
        <v>60</v>
      </c>
      <c r="AF294">
        <v>5</v>
      </c>
      <c r="AI294" t="s">
        <v>60</v>
      </c>
      <c r="AJ294">
        <v>0</v>
      </c>
      <c r="AM294" t="s">
        <v>60</v>
      </c>
      <c r="AN294">
        <v>6</v>
      </c>
      <c r="AQ294" t="s">
        <v>60</v>
      </c>
      <c r="AR294">
        <v>0</v>
      </c>
      <c r="AT294" t="s">
        <v>60</v>
      </c>
      <c r="AU294">
        <v>12781</v>
      </c>
    </row>
    <row r="295" spans="1:47" x14ac:dyDescent="0.35">
      <c r="C295" t="s">
        <v>127</v>
      </c>
      <c r="D295">
        <v>0</v>
      </c>
      <c r="G295" t="s">
        <v>127</v>
      </c>
      <c r="H295">
        <v>0</v>
      </c>
      <c r="K295" t="s">
        <v>127</v>
      </c>
      <c r="L295">
        <v>0</v>
      </c>
      <c r="O295" t="s">
        <v>127</v>
      </c>
      <c r="P295">
        <v>0</v>
      </c>
      <c r="S295" t="s">
        <v>127</v>
      </c>
      <c r="T295">
        <v>0</v>
      </c>
      <c r="W295" t="s">
        <v>127</v>
      </c>
      <c r="X295">
        <v>0</v>
      </c>
      <c r="AA295" t="s">
        <v>127</v>
      </c>
      <c r="AB295">
        <v>0</v>
      </c>
      <c r="AE295" t="s">
        <v>127</v>
      </c>
      <c r="AF295">
        <v>0</v>
      </c>
      <c r="AI295" t="s">
        <v>127</v>
      </c>
      <c r="AJ295">
        <v>0</v>
      </c>
      <c r="AM295" t="s">
        <v>127</v>
      </c>
      <c r="AN295">
        <v>0</v>
      </c>
      <c r="AQ295" t="s">
        <v>127</v>
      </c>
      <c r="AR295">
        <v>0</v>
      </c>
      <c r="AT295" t="s">
        <v>58</v>
      </c>
      <c r="AU295">
        <v>0</v>
      </c>
    </row>
    <row r="296" spans="1:47" x14ac:dyDescent="0.35">
      <c r="C296" t="s">
        <v>61</v>
      </c>
      <c r="D296">
        <v>20</v>
      </c>
      <c r="G296" t="s">
        <v>61</v>
      </c>
      <c r="H296">
        <v>1</v>
      </c>
      <c r="K296" t="s">
        <v>61</v>
      </c>
      <c r="L296">
        <v>0</v>
      </c>
      <c r="O296" t="s">
        <v>61</v>
      </c>
      <c r="P296">
        <v>0</v>
      </c>
      <c r="S296" t="s">
        <v>61</v>
      </c>
      <c r="T296">
        <v>0</v>
      </c>
      <c r="W296" t="s">
        <v>61</v>
      </c>
      <c r="X296">
        <v>0</v>
      </c>
      <c r="AA296" t="s">
        <v>61</v>
      </c>
      <c r="AB296">
        <v>0</v>
      </c>
      <c r="AE296" t="s">
        <v>61</v>
      </c>
      <c r="AF296">
        <v>7</v>
      </c>
      <c r="AI296" t="s">
        <v>61</v>
      </c>
      <c r="AJ296">
        <v>0</v>
      </c>
      <c r="AM296" t="s">
        <v>61</v>
      </c>
      <c r="AN296">
        <v>0</v>
      </c>
      <c r="AQ296" t="s">
        <v>61</v>
      </c>
      <c r="AR296">
        <v>0</v>
      </c>
      <c r="AT296" t="s">
        <v>61</v>
      </c>
      <c r="AU296">
        <v>381</v>
      </c>
    </row>
    <row r="297" spans="1:47" x14ac:dyDescent="0.35">
      <c r="C297" t="s">
        <v>62</v>
      </c>
      <c r="D297">
        <v>199</v>
      </c>
      <c r="G297" t="s">
        <v>62</v>
      </c>
      <c r="H297">
        <v>0</v>
      </c>
      <c r="K297" t="s">
        <v>62</v>
      </c>
      <c r="L297">
        <v>0</v>
      </c>
      <c r="O297" t="s">
        <v>62</v>
      </c>
      <c r="P297">
        <v>0</v>
      </c>
      <c r="S297" t="s">
        <v>62</v>
      </c>
      <c r="T297">
        <v>304</v>
      </c>
      <c r="W297" t="s">
        <v>62</v>
      </c>
      <c r="X297">
        <v>0</v>
      </c>
      <c r="AA297" t="s">
        <v>62</v>
      </c>
      <c r="AB297">
        <v>0</v>
      </c>
      <c r="AE297" t="s">
        <v>62</v>
      </c>
      <c r="AF297">
        <v>20</v>
      </c>
      <c r="AI297" t="s">
        <v>62</v>
      </c>
      <c r="AJ297">
        <v>0</v>
      </c>
      <c r="AM297" t="s">
        <v>62</v>
      </c>
      <c r="AN297">
        <v>0</v>
      </c>
      <c r="AQ297" t="s">
        <v>62</v>
      </c>
      <c r="AR297">
        <v>0</v>
      </c>
      <c r="AT297" t="s">
        <v>62</v>
      </c>
      <c r="AU297">
        <v>1249</v>
      </c>
    </row>
    <row r="298" spans="1:47" x14ac:dyDescent="0.35">
      <c r="C298" t="s">
        <v>203</v>
      </c>
      <c r="D298">
        <v>0</v>
      </c>
      <c r="G298" t="s">
        <v>203</v>
      </c>
      <c r="H298">
        <v>0</v>
      </c>
      <c r="K298" t="s">
        <v>203</v>
      </c>
      <c r="L298">
        <v>0</v>
      </c>
      <c r="O298" t="s">
        <v>203</v>
      </c>
      <c r="P298">
        <v>0</v>
      </c>
      <c r="S298" t="s">
        <v>203</v>
      </c>
      <c r="T298">
        <v>0</v>
      </c>
      <c r="W298" t="s">
        <v>203</v>
      </c>
      <c r="X298">
        <v>0</v>
      </c>
      <c r="AA298" t="s">
        <v>203</v>
      </c>
      <c r="AB298">
        <v>42507</v>
      </c>
      <c r="AE298" t="s">
        <v>203</v>
      </c>
      <c r="AF298">
        <v>0</v>
      </c>
      <c r="AI298" t="s">
        <v>203</v>
      </c>
      <c r="AJ298">
        <v>0</v>
      </c>
      <c r="AM298" t="s">
        <v>203</v>
      </c>
      <c r="AN298">
        <v>0</v>
      </c>
      <c r="AQ298" t="s">
        <v>203</v>
      </c>
      <c r="AR298">
        <v>0</v>
      </c>
      <c r="AT298" t="s">
        <v>64</v>
      </c>
      <c r="AU298">
        <v>41461</v>
      </c>
    </row>
    <row r="299" spans="1:47" x14ac:dyDescent="0.35">
      <c r="C299" t="s">
        <v>204</v>
      </c>
      <c r="D299">
        <v>0</v>
      </c>
      <c r="G299" t="s">
        <v>204</v>
      </c>
      <c r="H299">
        <v>0</v>
      </c>
      <c r="K299" t="s">
        <v>204</v>
      </c>
      <c r="L299">
        <v>0</v>
      </c>
      <c r="O299" t="s">
        <v>204</v>
      </c>
      <c r="P299">
        <v>0</v>
      </c>
      <c r="S299" t="s">
        <v>204</v>
      </c>
      <c r="T299">
        <v>0</v>
      </c>
      <c r="W299" t="s">
        <v>204</v>
      </c>
      <c r="X299">
        <v>0</v>
      </c>
      <c r="AA299" t="s">
        <v>204</v>
      </c>
      <c r="AB299">
        <v>900</v>
      </c>
      <c r="AE299" t="s">
        <v>204</v>
      </c>
      <c r="AF299">
        <v>0</v>
      </c>
      <c r="AI299" t="s">
        <v>204</v>
      </c>
      <c r="AJ299">
        <v>0</v>
      </c>
      <c r="AM299" t="s">
        <v>204</v>
      </c>
      <c r="AN299">
        <v>0</v>
      </c>
      <c r="AQ299" t="s">
        <v>204</v>
      </c>
      <c r="AR299">
        <v>0</v>
      </c>
      <c r="AT299" t="s">
        <v>65</v>
      </c>
      <c r="AU299">
        <v>10838</v>
      </c>
    </row>
    <row r="300" spans="1:47" x14ac:dyDescent="0.35">
      <c r="C300" t="s">
        <v>205</v>
      </c>
      <c r="D300">
        <v>0</v>
      </c>
      <c r="G300" t="s">
        <v>205</v>
      </c>
      <c r="H300">
        <v>0</v>
      </c>
      <c r="K300" t="s">
        <v>205</v>
      </c>
      <c r="L300">
        <v>0</v>
      </c>
      <c r="O300" t="s">
        <v>205</v>
      </c>
      <c r="P300">
        <v>0</v>
      </c>
      <c r="S300" t="s">
        <v>205</v>
      </c>
      <c r="T300">
        <v>0</v>
      </c>
      <c r="W300" t="s">
        <v>205</v>
      </c>
      <c r="X300">
        <v>521</v>
      </c>
      <c r="AA300" t="s">
        <v>205</v>
      </c>
      <c r="AB300">
        <v>836</v>
      </c>
      <c r="AE300" t="s">
        <v>205</v>
      </c>
      <c r="AF300">
        <v>0</v>
      </c>
      <c r="AI300" t="s">
        <v>205</v>
      </c>
      <c r="AJ300">
        <v>0</v>
      </c>
      <c r="AM300" t="s">
        <v>205</v>
      </c>
      <c r="AN300">
        <v>0</v>
      </c>
      <c r="AQ300" t="s">
        <v>205</v>
      </c>
      <c r="AR300">
        <v>0</v>
      </c>
      <c r="AT300" t="s">
        <v>66</v>
      </c>
      <c r="AU300">
        <v>663</v>
      </c>
    </row>
    <row r="301" spans="1:47" x14ac:dyDescent="0.35">
      <c r="C301" t="s">
        <v>133</v>
      </c>
      <c r="D301">
        <v>0</v>
      </c>
      <c r="G301" t="s">
        <v>133</v>
      </c>
      <c r="H301">
        <v>0</v>
      </c>
      <c r="K301" t="s">
        <v>133</v>
      </c>
      <c r="L301">
        <v>0</v>
      </c>
      <c r="O301" t="s">
        <v>133</v>
      </c>
      <c r="P301">
        <v>0</v>
      </c>
      <c r="S301" t="s">
        <v>133</v>
      </c>
      <c r="T301">
        <v>0</v>
      </c>
      <c r="W301" t="s">
        <v>133</v>
      </c>
      <c r="X301">
        <v>0</v>
      </c>
      <c r="AA301" t="s">
        <v>133</v>
      </c>
      <c r="AB301">
        <v>136</v>
      </c>
      <c r="AE301" t="s">
        <v>133</v>
      </c>
      <c r="AF301">
        <v>0</v>
      </c>
      <c r="AI301" t="s">
        <v>133</v>
      </c>
      <c r="AJ301">
        <v>0</v>
      </c>
      <c r="AM301" t="s">
        <v>133</v>
      </c>
      <c r="AN301">
        <v>0</v>
      </c>
      <c r="AQ301" t="s">
        <v>133</v>
      </c>
      <c r="AR301">
        <v>0</v>
      </c>
      <c r="AT301" t="s">
        <v>79</v>
      </c>
      <c r="AU301">
        <v>0</v>
      </c>
    </row>
    <row r="302" spans="1:47" x14ac:dyDescent="0.35">
      <c r="C302" t="s">
        <v>206</v>
      </c>
      <c r="D302">
        <v>0</v>
      </c>
      <c r="G302" t="s">
        <v>206</v>
      </c>
      <c r="H302">
        <v>0</v>
      </c>
      <c r="K302" t="s">
        <v>206</v>
      </c>
      <c r="L302">
        <v>0</v>
      </c>
      <c r="O302" t="s">
        <v>206</v>
      </c>
      <c r="P302">
        <v>0</v>
      </c>
      <c r="S302" t="s">
        <v>206</v>
      </c>
      <c r="T302">
        <v>0</v>
      </c>
      <c r="W302" t="s">
        <v>206</v>
      </c>
      <c r="X302">
        <v>0</v>
      </c>
      <c r="AA302" t="s">
        <v>206</v>
      </c>
      <c r="AB302">
        <v>2148</v>
      </c>
      <c r="AE302" t="s">
        <v>206</v>
      </c>
      <c r="AF302">
        <v>0</v>
      </c>
      <c r="AI302" t="s">
        <v>206</v>
      </c>
      <c r="AJ302">
        <v>0</v>
      </c>
      <c r="AM302" t="s">
        <v>206</v>
      </c>
      <c r="AN302">
        <v>0</v>
      </c>
      <c r="AQ302" t="s">
        <v>206</v>
      </c>
      <c r="AR302">
        <v>0</v>
      </c>
      <c r="AT302" t="s">
        <v>68</v>
      </c>
      <c r="AU302">
        <v>2227</v>
      </c>
    </row>
    <row r="303" spans="1:47" x14ac:dyDescent="0.35">
      <c r="C303" t="s">
        <v>136</v>
      </c>
      <c r="D303">
        <v>0</v>
      </c>
      <c r="G303" t="s">
        <v>136</v>
      </c>
      <c r="H303">
        <v>0</v>
      </c>
      <c r="K303" t="s">
        <v>136</v>
      </c>
      <c r="L303">
        <v>0</v>
      </c>
      <c r="O303" t="s">
        <v>136</v>
      </c>
      <c r="P303">
        <v>0</v>
      </c>
      <c r="S303" t="s">
        <v>136</v>
      </c>
      <c r="T303">
        <v>0</v>
      </c>
      <c r="W303" t="s">
        <v>136</v>
      </c>
      <c r="X303">
        <v>0</v>
      </c>
      <c r="AA303" t="s">
        <v>136</v>
      </c>
      <c r="AB303">
        <v>6245</v>
      </c>
      <c r="AE303" t="s">
        <v>136</v>
      </c>
      <c r="AF303">
        <v>0</v>
      </c>
      <c r="AI303" t="s">
        <v>136</v>
      </c>
      <c r="AJ303">
        <v>0</v>
      </c>
      <c r="AM303" t="s">
        <v>136</v>
      </c>
      <c r="AN303">
        <v>0</v>
      </c>
      <c r="AQ303" t="s">
        <v>136</v>
      </c>
      <c r="AR303">
        <v>0</v>
      </c>
      <c r="AT303" t="s">
        <v>69</v>
      </c>
      <c r="AU303">
        <v>6176</v>
      </c>
    </row>
    <row r="304" spans="1:47" x14ac:dyDescent="0.35">
      <c r="C304" t="s">
        <v>207</v>
      </c>
      <c r="D304">
        <v>0</v>
      </c>
      <c r="G304" t="s">
        <v>207</v>
      </c>
      <c r="H304">
        <v>0</v>
      </c>
      <c r="K304" t="s">
        <v>207</v>
      </c>
      <c r="L304">
        <v>0</v>
      </c>
      <c r="O304" t="s">
        <v>207</v>
      </c>
      <c r="P304">
        <v>0</v>
      </c>
      <c r="S304" t="s">
        <v>207</v>
      </c>
      <c r="T304">
        <v>0</v>
      </c>
      <c r="W304" t="s">
        <v>207</v>
      </c>
      <c r="X304">
        <v>0</v>
      </c>
      <c r="AA304" t="s">
        <v>207</v>
      </c>
      <c r="AB304">
        <v>0</v>
      </c>
      <c r="AE304" t="s">
        <v>207</v>
      </c>
      <c r="AF304">
        <v>0</v>
      </c>
      <c r="AI304" t="s">
        <v>207</v>
      </c>
      <c r="AJ304">
        <v>0</v>
      </c>
      <c r="AM304" t="s">
        <v>207</v>
      </c>
      <c r="AN304">
        <v>0</v>
      </c>
      <c r="AQ304" t="s">
        <v>207</v>
      </c>
      <c r="AR304">
        <v>0</v>
      </c>
      <c r="AT304" t="s">
        <v>70</v>
      </c>
      <c r="AU304">
        <v>610</v>
      </c>
    </row>
    <row r="305" spans="1:47" x14ac:dyDescent="0.35">
      <c r="C305" t="s">
        <v>141</v>
      </c>
      <c r="D305">
        <v>0</v>
      </c>
      <c r="G305" t="s">
        <v>141</v>
      </c>
      <c r="H305">
        <v>0</v>
      </c>
      <c r="K305" t="s">
        <v>141</v>
      </c>
      <c r="L305">
        <v>0</v>
      </c>
      <c r="O305" t="s">
        <v>141</v>
      </c>
      <c r="P305">
        <v>0</v>
      </c>
      <c r="S305" t="s">
        <v>141</v>
      </c>
      <c r="T305">
        <v>0</v>
      </c>
      <c r="W305" t="s">
        <v>141</v>
      </c>
      <c r="X305">
        <v>0</v>
      </c>
      <c r="AA305" t="s">
        <v>141</v>
      </c>
      <c r="AB305">
        <v>1533</v>
      </c>
      <c r="AE305" t="s">
        <v>141</v>
      </c>
      <c r="AF305">
        <v>0</v>
      </c>
      <c r="AI305" t="s">
        <v>141</v>
      </c>
      <c r="AJ305">
        <v>0</v>
      </c>
      <c r="AM305" t="s">
        <v>141</v>
      </c>
      <c r="AN305">
        <v>0</v>
      </c>
      <c r="AQ305" t="s">
        <v>141</v>
      </c>
      <c r="AR305">
        <v>0</v>
      </c>
      <c r="AT305" t="s">
        <v>76</v>
      </c>
      <c r="AU305">
        <v>1218</v>
      </c>
    </row>
    <row r="306" spans="1:47" x14ac:dyDescent="0.35">
      <c r="C306" t="s">
        <v>208</v>
      </c>
      <c r="D306">
        <v>0</v>
      </c>
      <c r="G306" t="s">
        <v>208</v>
      </c>
      <c r="H306">
        <v>0</v>
      </c>
      <c r="K306" t="s">
        <v>208</v>
      </c>
      <c r="L306">
        <v>0</v>
      </c>
      <c r="O306" t="s">
        <v>208</v>
      </c>
      <c r="P306">
        <v>0</v>
      </c>
      <c r="S306" t="s">
        <v>208</v>
      </c>
      <c r="T306">
        <v>0</v>
      </c>
      <c r="W306" t="s">
        <v>208</v>
      </c>
      <c r="X306">
        <v>0</v>
      </c>
      <c r="AA306" t="s">
        <v>208</v>
      </c>
      <c r="AB306">
        <v>6184</v>
      </c>
      <c r="AE306" t="s">
        <v>208</v>
      </c>
      <c r="AF306">
        <v>0</v>
      </c>
      <c r="AI306" t="s">
        <v>208</v>
      </c>
      <c r="AJ306">
        <v>0</v>
      </c>
      <c r="AM306" t="s">
        <v>208</v>
      </c>
      <c r="AN306">
        <v>0</v>
      </c>
      <c r="AQ306" t="s">
        <v>208</v>
      </c>
      <c r="AR306">
        <v>0</v>
      </c>
      <c r="AT306" t="s">
        <v>77</v>
      </c>
      <c r="AU306">
        <v>76532</v>
      </c>
    </row>
    <row r="307" spans="1:47" x14ac:dyDescent="0.35">
      <c r="C307" t="s">
        <v>209</v>
      </c>
      <c r="D307">
        <v>0</v>
      </c>
      <c r="G307" t="s">
        <v>209</v>
      </c>
      <c r="H307">
        <v>0</v>
      </c>
      <c r="K307" t="s">
        <v>209</v>
      </c>
      <c r="L307">
        <v>0</v>
      </c>
      <c r="O307" t="s">
        <v>209</v>
      </c>
      <c r="P307">
        <v>0</v>
      </c>
      <c r="S307" t="s">
        <v>209</v>
      </c>
      <c r="T307">
        <v>0</v>
      </c>
      <c r="W307" t="s">
        <v>209</v>
      </c>
      <c r="X307">
        <v>0</v>
      </c>
      <c r="AA307" t="s">
        <v>209</v>
      </c>
      <c r="AB307">
        <v>75033</v>
      </c>
      <c r="AE307" t="s">
        <v>209</v>
      </c>
      <c r="AF307">
        <v>0</v>
      </c>
      <c r="AI307" t="s">
        <v>209</v>
      </c>
      <c r="AJ307">
        <v>0</v>
      </c>
      <c r="AM307" t="s">
        <v>209</v>
      </c>
      <c r="AN307">
        <v>0</v>
      </c>
      <c r="AQ307" t="s">
        <v>209</v>
      </c>
      <c r="AR307">
        <v>0</v>
      </c>
      <c r="AT307" t="s">
        <v>78</v>
      </c>
      <c r="AU307">
        <v>5104</v>
      </c>
    </row>
    <row r="308" spans="1:47" x14ac:dyDescent="0.35">
      <c r="C308" t="s">
        <v>134</v>
      </c>
      <c r="D308">
        <v>0</v>
      </c>
      <c r="G308" t="s">
        <v>134</v>
      </c>
      <c r="H308">
        <v>0</v>
      </c>
      <c r="K308" t="s">
        <v>134</v>
      </c>
      <c r="L308">
        <v>0</v>
      </c>
      <c r="O308" t="s">
        <v>134</v>
      </c>
      <c r="P308">
        <v>0</v>
      </c>
      <c r="S308" t="s">
        <v>134</v>
      </c>
      <c r="T308">
        <v>0</v>
      </c>
      <c r="W308" t="s">
        <v>134</v>
      </c>
      <c r="X308">
        <v>0</v>
      </c>
      <c r="AA308" t="s">
        <v>134</v>
      </c>
      <c r="AB308">
        <v>15238</v>
      </c>
      <c r="AE308" t="s">
        <v>134</v>
      </c>
      <c r="AF308">
        <v>0</v>
      </c>
      <c r="AI308" t="s">
        <v>134</v>
      </c>
      <c r="AJ308">
        <v>0</v>
      </c>
      <c r="AM308" t="s">
        <v>134</v>
      </c>
      <c r="AN308">
        <v>0</v>
      </c>
      <c r="AQ308" t="s">
        <v>134</v>
      </c>
      <c r="AR308">
        <v>0</v>
      </c>
      <c r="AT308" t="s">
        <v>67</v>
      </c>
      <c r="AU308">
        <v>14548</v>
      </c>
    </row>
    <row r="309" spans="1:47" x14ac:dyDescent="0.35">
      <c r="C309" t="s">
        <v>142</v>
      </c>
      <c r="D309">
        <v>0</v>
      </c>
      <c r="G309" t="s">
        <v>142</v>
      </c>
      <c r="H309">
        <v>0</v>
      </c>
      <c r="K309" t="s">
        <v>142</v>
      </c>
      <c r="L309">
        <v>0</v>
      </c>
      <c r="O309" t="s">
        <v>142</v>
      </c>
      <c r="P309">
        <v>0</v>
      </c>
      <c r="S309" t="s">
        <v>142</v>
      </c>
      <c r="T309">
        <v>0</v>
      </c>
      <c r="W309" t="s">
        <v>142</v>
      </c>
      <c r="X309">
        <v>0</v>
      </c>
      <c r="AA309" t="s">
        <v>142</v>
      </c>
      <c r="AB309">
        <v>365</v>
      </c>
      <c r="AE309" t="s">
        <v>142</v>
      </c>
      <c r="AF309">
        <v>128823</v>
      </c>
      <c r="AI309" t="s">
        <v>142</v>
      </c>
      <c r="AJ309">
        <v>0</v>
      </c>
      <c r="AM309" t="s">
        <v>142</v>
      </c>
      <c r="AN309">
        <v>0</v>
      </c>
      <c r="AQ309" t="s">
        <v>142</v>
      </c>
      <c r="AR309">
        <v>0</v>
      </c>
      <c r="AT309" t="s">
        <v>80</v>
      </c>
      <c r="AU309">
        <v>279</v>
      </c>
    </row>
    <row r="310" spans="1:47" x14ac:dyDescent="0.35">
      <c r="C310" t="s">
        <v>83</v>
      </c>
      <c r="D310">
        <v>0</v>
      </c>
      <c r="G310" t="s">
        <v>83</v>
      </c>
      <c r="H310">
        <v>0</v>
      </c>
      <c r="K310" t="s">
        <v>83</v>
      </c>
      <c r="L310">
        <v>0</v>
      </c>
      <c r="O310" t="s">
        <v>83</v>
      </c>
      <c r="P310">
        <v>0</v>
      </c>
      <c r="S310" t="s">
        <v>83</v>
      </c>
      <c r="T310">
        <v>0</v>
      </c>
      <c r="W310" t="s">
        <v>83</v>
      </c>
      <c r="X310">
        <v>0</v>
      </c>
      <c r="AA310" t="s">
        <v>83</v>
      </c>
      <c r="AB310">
        <v>1971</v>
      </c>
      <c r="AE310" t="s">
        <v>83</v>
      </c>
      <c r="AF310">
        <v>0</v>
      </c>
      <c r="AI310" t="s">
        <v>83</v>
      </c>
      <c r="AJ310">
        <v>0</v>
      </c>
      <c r="AM310" t="s">
        <v>83</v>
      </c>
      <c r="AN310">
        <v>0</v>
      </c>
      <c r="AQ310" t="s">
        <v>83</v>
      </c>
      <c r="AR310">
        <v>0</v>
      </c>
      <c r="AT310" t="s">
        <v>83</v>
      </c>
      <c r="AU310">
        <v>1827</v>
      </c>
    </row>
    <row r="311" spans="1:47" x14ac:dyDescent="0.35">
      <c r="C311" t="s">
        <v>84</v>
      </c>
      <c r="D311">
        <v>0</v>
      </c>
      <c r="G311" t="s">
        <v>84</v>
      </c>
      <c r="H311">
        <v>0</v>
      </c>
      <c r="K311" t="s">
        <v>84</v>
      </c>
      <c r="L311">
        <v>0</v>
      </c>
      <c r="O311" t="s">
        <v>84</v>
      </c>
      <c r="P311">
        <v>0</v>
      </c>
      <c r="S311" t="s">
        <v>84</v>
      </c>
      <c r="T311">
        <v>0</v>
      </c>
      <c r="W311" t="s">
        <v>84</v>
      </c>
      <c r="X311">
        <v>0</v>
      </c>
      <c r="AA311" t="s">
        <v>84</v>
      </c>
      <c r="AB311">
        <v>0</v>
      </c>
      <c r="AE311" t="s">
        <v>84</v>
      </c>
      <c r="AF311">
        <v>0</v>
      </c>
      <c r="AI311" t="s">
        <v>84</v>
      </c>
      <c r="AJ311">
        <v>0</v>
      </c>
      <c r="AM311" t="s">
        <v>84</v>
      </c>
      <c r="AN311">
        <v>0</v>
      </c>
      <c r="AQ311" t="s">
        <v>84</v>
      </c>
      <c r="AR311">
        <v>0</v>
      </c>
      <c r="AT311" t="s">
        <v>84</v>
      </c>
      <c r="AU311">
        <v>0</v>
      </c>
    </row>
    <row r="312" spans="1:47" x14ac:dyDescent="0.35">
      <c r="C312" t="s">
        <v>126</v>
      </c>
      <c r="D312">
        <v>0</v>
      </c>
      <c r="G312" t="s">
        <v>126</v>
      </c>
      <c r="H312">
        <v>0</v>
      </c>
      <c r="K312" t="s">
        <v>223</v>
      </c>
      <c r="L312">
        <v>0</v>
      </c>
      <c r="O312" t="s">
        <v>126</v>
      </c>
      <c r="P312">
        <v>0</v>
      </c>
      <c r="S312" t="s">
        <v>126</v>
      </c>
      <c r="T312">
        <v>0</v>
      </c>
      <c r="W312" t="s">
        <v>126</v>
      </c>
      <c r="X312">
        <v>0</v>
      </c>
      <c r="AA312" t="s">
        <v>126</v>
      </c>
      <c r="AB312">
        <v>0</v>
      </c>
      <c r="AE312" t="s">
        <v>126</v>
      </c>
      <c r="AF312">
        <v>0</v>
      </c>
      <c r="AI312" t="s">
        <v>126</v>
      </c>
      <c r="AJ312">
        <v>0</v>
      </c>
      <c r="AM312" t="s">
        <v>126</v>
      </c>
      <c r="AN312">
        <v>0</v>
      </c>
      <c r="AQ312" t="s">
        <v>126</v>
      </c>
      <c r="AR312">
        <v>0</v>
      </c>
      <c r="AT312" t="s">
        <v>86</v>
      </c>
      <c r="AU312">
        <v>0</v>
      </c>
    </row>
    <row r="313" spans="1:47" x14ac:dyDescent="0.35">
      <c r="C313" t="s">
        <v>87</v>
      </c>
      <c r="D313">
        <v>0</v>
      </c>
      <c r="G313" t="s">
        <v>87</v>
      </c>
      <c r="H313">
        <v>0</v>
      </c>
      <c r="K313" t="s">
        <v>87</v>
      </c>
      <c r="L313">
        <v>0</v>
      </c>
      <c r="O313" t="s">
        <v>87</v>
      </c>
      <c r="P313">
        <v>0</v>
      </c>
      <c r="S313" t="s">
        <v>87</v>
      </c>
      <c r="T313">
        <v>0</v>
      </c>
      <c r="W313" t="s">
        <v>87</v>
      </c>
      <c r="X313">
        <v>0</v>
      </c>
      <c r="AA313" t="s">
        <v>87</v>
      </c>
      <c r="AB313">
        <v>0</v>
      </c>
      <c r="AE313" t="s">
        <v>87</v>
      </c>
      <c r="AF313">
        <v>0</v>
      </c>
      <c r="AI313" t="s">
        <v>87</v>
      </c>
      <c r="AJ313">
        <v>0</v>
      </c>
      <c r="AM313" t="s">
        <v>87</v>
      </c>
      <c r="AN313">
        <v>0</v>
      </c>
      <c r="AQ313" t="s">
        <v>87</v>
      </c>
      <c r="AR313">
        <v>0</v>
      </c>
      <c r="AT313" t="s">
        <v>87</v>
      </c>
      <c r="AU313">
        <v>1</v>
      </c>
    </row>
    <row r="314" spans="1:47" x14ac:dyDescent="0.35">
      <c r="A314" t="s">
        <v>194</v>
      </c>
      <c r="B314">
        <v>3252595.9999999991</v>
      </c>
      <c r="C314" t="s">
        <v>135</v>
      </c>
      <c r="D314">
        <v>389</v>
      </c>
      <c r="E314" t="s">
        <v>194</v>
      </c>
      <c r="F314">
        <v>3296367</v>
      </c>
      <c r="G314" t="s">
        <v>135</v>
      </c>
      <c r="H314">
        <v>427</v>
      </c>
      <c r="I314" t="s">
        <v>194</v>
      </c>
      <c r="J314">
        <v>3323425.0000000009</v>
      </c>
      <c r="K314" t="s">
        <v>135</v>
      </c>
      <c r="L314">
        <v>484</v>
      </c>
      <c r="M314" t="s">
        <v>194</v>
      </c>
      <c r="N314">
        <v>3340005.9999999991</v>
      </c>
      <c r="O314" t="s">
        <v>135</v>
      </c>
      <c r="P314">
        <v>497</v>
      </c>
      <c r="Q314" t="s">
        <v>194</v>
      </c>
      <c r="R314">
        <v>3365287.5000000014</v>
      </c>
      <c r="S314" t="s">
        <v>135</v>
      </c>
      <c r="T314">
        <v>537</v>
      </c>
      <c r="U314" t="s">
        <v>194</v>
      </c>
      <c r="V314">
        <v>3396933.0000000019</v>
      </c>
      <c r="W314" t="s">
        <v>135</v>
      </c>
      <c r="X314">
        <v>529</v>
      </c>
      <c r="Y314" t="s">
        <v>194</v>
      </c>
      <c r="Z314">
        <v>3445374.4999999986</v>
      </c>
      <c r="AA314" t="s">
        <v>135</v>
      </c>
      <c r="AB314">
        <v>639</v>
      </c>
      <c r="AC314" t="s">
        <v>194</v>
      </c>
      <c r="AD314">
        <v>3498818.0000000014</v>
      </c>
      <c r="AE314" t="s">
        <v>135</v>
      </c>
      <c r="AF314">
        <v>576</v>
      </c>
      <c r="AG314" t="s">
        <v>194</v>
      </c>
      <c r="AH314">
        <v>3555867.9999999991</v>
      </c>
      <c r="AI314" t="s">
        <v>135</v>
      </c>
      <c r="AJ314">
        <v>662</v>
      </c>
      <c r="AK314" t="s">
        <v>194</v>
      </c>
      <c r="AL314">
        <v>3620312.0000000023</v>
      </c>
      <c r="AM314" t="s">
        <v>135</v>
      </c>
      <c r="AN314">
        <v>636</v>
      </c>
      <c r="AO314" t="s">
        <v>194</v>
      </c>
      <c r="AP314">
        <v>3684031.5000000019</v>
      </c>
      <c r="AQ314" t="s">
        <v>135</v>
      </c>
      <c r="AR314">
        <v>584</v>
      </c>
      <c r="AS314" t="s">
        <v>194</v>
      </c>
      <c r="AT314" t="s">
        <v>148</v>
      </c>
      <c r="AU314">
        <v>280</v>
      </c>
    </row>
    <row r="315" spans="1:47" x14ac:dyDescent="0.35">
      <c r="C315" t="s">
        <v>139</v>
      </c>
      <c r="D315">
        <v>0</v>
      </c>
      <c r="G315" t="s">
        <v>139</v>
      </c>
      <c r="H315">
        <v>8524</v>
      </c>
      <c r="K315" t="s">
        <v>139</v>
      </c>
      <c r="L315">
        <v>8264</v>
      </c>
      <c r="O315" t="s">
        <v>139</v>
      </c>
      <c r="P315">
        <v>7924</v>
      </c>
      <c r="S315" t="s">
        <v>139</v>
      </c>
      <c r="T315">
        <v>8968</v>
      </c>
      <c r="W315" t="s">
        <v>139</v>
      </c>
      <c r="X315">
        <v>9056</v>
      </c>
      <c r="AA315" t="s">
        <v>139</v>
      </c>
      <c r="AB315">
        <v>9942</v>
      </c>
      <c r="AE315" t="s">
        <v>139</v>
      </c>
      <c r="AF315">
        <v>0</v>
      </c>
      <c r="AI315" t="s">
        <v>139</v>
      </c>
      <c r="AJ315">
        <v>0</v>
      </c>
      <c r="AM315" t="s">
        <v>139</v>
      </c>
      <c r="AN315">
        <v>9362</v>
      </c>
      <c r="AQ315" t="s">
        <v>139</v>
      </c>
      <c r="AR315">
        <v>10014</v>
      </c>
      <c r="AT315" t="s">
        <v>139</v>
      </c>
      <c r="AU315">
        <v>3939</v>
      </c>
    </row>
    <row r="316" spans="1:47" x14ac:dyDescent="0.35">
      <c r="C316" t="s">
        <v>138</v>
      </c>
      <c r="D316">
        <v>0</v>
      </c>
      <c r="G316" t="s">
        <v>138</v>
      </c>
      <c r="H316">
        <v>0</v>
      </c>
      <c r="K316" t="s">
        <v>138</v>
      </c>
      <c r="L316">
        <v>0</v>
      </c>
      <c r="O316" t="s">
        <v>138</v>
      </c>
      <c r="P316">
        <v>0</v>
      </c>
      <c r="S316" t="s">
        <v>138</v>
      </c>
      <c r="T316">
        <v>752</v>
      </c>
      <c r="W316" t="s">
        <v>138</v>
      </c>
      <c r="X316">
        <v>0</v>
      </c>
      <c r="AA316" t="s">
        <v>138</v>
      </c>
      <c r="AB316">
        <v>0</v>
      </c>
      <c r="AE316" t="s">
        <v>138</v>
      </c>
      <c r="AF316">
        <v>0</v>
      </c>
      <c r="AI316" t="s">
        <v>138</v>
      </c>
      <c r="AJ316">
        <v>0</v>
      </c>
      <c r="AM316" t="s">
        <v>138</v>
      </c>
      <c r="AN316">
        <v>134</v>
      </c>
      <c r="AQ316" t="s">
        <v>138</v>
      </c>
      <c r="AR316">
        <v>134</v>
      </c>
      <c r="AT316" t="s">
        <v>138</v>
      </c>
      <c r="AU316">
        <v>45</v>
      </c>
    </row>
    <row r="317" spans="1:47" x14ac:dyDescent="0.35">
      <c r="C317" t="s">
        <v>82</v>
      </c>
      <c r="D317">
        <v>0</v>
      </c>
      <c r="G317" t="s">
        <v>82</v>
      </c>
      <c r="H317">
        <v>0</v>
      </c>
      <c r="K317" t="s">
        <v>82</v>
      </c>
      <c r="L317">
        <v>0</v>
      </c>
      <c r="O317" t="s">
        <v>82</v>
      </c>
      <c r="P317">
        <v>0</v>
      </c>
      <c r="S317" t="s">
        <v>82</v>
      </c>
      <c r="T317">
        <v>0</v>
      </c>
      <c r="W317" t="s">
        <v>82</v>
      </c>
      <c r="X317">
        <v>0</v>
      </c>
      <c r="AA317" t="s">
        <v>82</v>
      </c>
      <c r="AB317">
        <v>0</v>
      </c>
      <c r="AE317" t="s">
        <v>82</v>
      </c>
      <c r="AF317">
        <v>0</v>
      </c>
      <c r="AI317" t="s">
        <v>82</v>
      </c>
      <c r="AJ317">
        <v>0</v>
      </c>
      <c r="AM317" t="s">
        <v>82</v>
      </c>
      <c r="AN317">
        <v>0</v>
      </c>
      <c r="AQ317" t="s">
        <v>82</v>
      </c>
      <c r="AR317">
        <v>0</v>
      </c>
      <c r="AT317" t="s">
        <v>82</v>
      </c>
      <c r="AU317">
        <v>451</v>
      </c>
    </row>
    <row r="318" spans="1:47" x14ac:dyDescent="0.35">
      <c r="C318" t="s">
        <v>60</v>
      </c>
      <c r="D318">
        <v>0</v>
      </c>
      <c r="G318" t="s">
        <v>60</v>
      </c>
      <c r="H318">
        <v>0</v>
      </c>
      <c r="K318" t="s">
        <v>60</v>
      </c>
      <c r="L318">
        <v>0</v>
      </c>
      <c r="O318" t="s">
        <v>60</v>
      </c>
      <c r="P318">
        <v>0</v>
      </c>
      <c r="S318" t="s">
        <v>60</v>
      </c>
      <c r="T318">
        <v>0</v>
      </c>
      <c r="W318" t="s">
        <v>60</v>
      </c>
      <c r="X318">
        <v>0</v>
      </c>
      <c r="AA318" t="s">
        <v>60</v>
      </c>
      <c r="AB318">
        <v>0</v>
      </c>
      <c r="AE318" t="s">
        <v>60</v>
      </c>
      <c r="AF318">
        <v>0</v>
      </c>
      <c r="AI318" t="s">
        <v>60</v>
      </c>
      <c r="AJ318">
        <v>0</v>
      </c>
      <c r="AM318" t="s">
        <v>60</v>
      </c>
      <c r="AN318">
        <v>0</v>
      </c>
      <c r="AQ318" t="s">
        <v>60</v>
      </c>
      <c r="AR318">
        <v>55</v>
      </c>
      <c r="AT318" t="s">
        <v>60</v>
      </c>
      <c r="AU318">
        <v>186</v>
      </c>
    </row>
    <row r="319" spans="1:47" x14ac:dyDescent="0.35">
      <c r="C319" t="s">
        <v>127</v>
      </c>
      <c r="D319">
        <v>0</v>
      </c>
      <c r="G319" t="s">
        <v>127</v>
      </c>
      <c r="H319">
        <v>0</v>
      </c>
      <c r="K319" t="s">
        <v>127</v>
      </c>
      <c r="L319">
        <v>0</v>
      </c>
      <c r="O319" t="s">
        <v>127</v>
      </c>
      <c r="P319">
        <v>0</v>
      </c>
      <c r="S319" t="s">
        <v>127</v>
      </c>
      <c r="T319">
        <v>0</v>
      </c>
      <c r="W319" t="s">
        <v>127</v>
      </c>
      <c r="X319">
        <v>0</v>
      </c>
      <c r="AA319" t="s">
        <v>127</v>
      </c>
      <c r="AB319">
        <v>243</v>
      </c>
      <c r="AE319" t="s">
        <v>127</v>
      </c>
      <c r="AF319">
        <v>0</v>
      </c>
      <c r="AI319" t="s">
        <v>127</v>
      </c>
      <c r="AJ319">
        <v>6000</v>
      </c>
      <c r="AM319" t="s">
        <v>127</v>
      </c>
      <c r="AN319">
        <v>2626</v>
      </c>
      <c r="AQ319" t="s">
        <v>127</v>
      </c>
      <c r="AR319">
        <v>2626</v>
      </c>
      <c r="AT319" t="s">
        <v>58</v>
      </c>
      <c r="AU319">
        <v>243</v>
      </c>
    </row>
    <row r="320" spans="1:47" x14ac:dyDescent="0.35">
      <c r="C320" t="s">
        <v>61</v>
      </c>
      <c r="D320">
        <v>0</v>
      </c>
      <c r="G320" t="s">
        <v>61</v>
      </c>
      <c r="H320">
        <v>0</v>
      </c>
      <c r="K320" t="s">
        <v>61</v>
      </c>
      <c r="L320">
        <v>0</v>
      </c>
      <c r="O320" t="s">
        <v>61</v>
      </c>
      <c r="P320">
        <v>0</v>
      </c>
      <c r="S320" t="s">
        <v>61</v>
      </c>
      <c r="T320">
        <v>0</v>
      </c>
      <c r="W320" t="s">
        <v>61</v>
      </c>
      <c r="X320">
        <v>0</v>
      </c>
      <c r="AA320" t="s">
        <v>61</v>
      </c>
      <c r="AB320">
        <v>0</v>
      </c>
      <c r="AE320" t="s">
        <v>61</v>
      </c>
      <c r="AF320">
        <v>0</v>
      </c>
      <c r="AI320" t="s">
        <v>61</v>
      </c>
      <c r="AJ320">
        <v>0</v>
      </c>
      <c r="AM320" t="s">
        <v>61</v>
      </c>
      <c r="AN320">
        <v>0</v>
      </c>
      <c r="AQ320" t="s">
        <v>61</v>
      </c>
      <c r="AR320">
        <v>0</v>
      </c>
      <c r="AT320" t="s">
        <v>61</v>
      </c>
      <c r="AU320">
        <v>0</v>
      </c>
    </row>
    <row r="321" spans="3:47" x14ac:dyDescent="0.35">
      <c r="C321" t="s">
        <v>62</v>
      </c>
      <c r="D321">
        <v>0</v>
      </c>
      <c r="G321" t="s">
        <v>62</v>
      </c>
      <c r="H321">
        <v>0</v>
      </c>
      <c r="K321" t="s">
        <v>62</v>
      </c>
      <c r="L321">
        <v>0</v>
      </c>
      <c r="O321" t="s">
        <v>62</v>
      </c>
      <c r="P321">
        <v>0</v>
      </c>
      <c r="S321" t="s">
        <v>62</v>
      </c>
      <c r="T321">
        <v>0</v>
      </c>
      <c r="W321" t="s">
        <v>62</v>
      </c>
      <c r="X321">
        <v>0</v>
      </c>
      <c r="AA321" t="s">
        <v>62</v>
      </c>
      <c r="AB321">
        <v>0</v>
      </c>
      <c r="AE321" t="s">
        <v>62</v>
      </c>
      <c r="AF321">
        <v>0</v>
      </c>
      <c r="AI321" t="s">
        <v>62</v>
      </c>
      <c r="AJ321">
        <v>0</v>
      </c>
      <c r="AM321" t="s">
        <v>62</v>
      </c>
      <c r="AN321">
        <v>0</v>
      </c>
      <c r="AQ321" t="s">
        <v>62</v>
      </c>
      <c r="AR321">
        <v>0</v>
      </c>
      <c r="AT321" t="s">
        <v>62</v>
      </c>
      <c r="AU321">
        <v>243</v>
      </c>
    </row>
    <row r="322" spans="3:47" x14ac:dyDescent="0.35">
      <c r="C322" t="s">
        <v>203</v>
      </c>
      <c r="D322">
        <v>0</v>
      </c>
      <c r="G322" t="s">
        <v>203</v>
      </c>
      <c r="H322">
        <v>0</v>
      </c>
      <c r="K322" t="s">
        <v>203</v>
      </c>
      <c r="L322">
        <v>0</v>
      </c>
      <c r="O322" t="s">
        <v>203</v>
      </c>
      <c r="P322">
        <v>0</v>
      </c>
      <c r="S322" t="s">
        <v>203</v>
      </c>
      <c r="T322">
        <v>0</v>
      </c>
      <c r="W322" t="s">
        <v>203</v>
      </c>
      <c r="X322">
        <v>0</v>
      </c>
      <c r="AA322" t="s">
        <v>203</v>
      </c>
      <c r="AB322">
        <v>0</v>
      </c>
      <c r="AE322" t="s">
        <v>203</v>
      </c>
      <c r="AF322">
        <v>0</v>
      </c>
      <c r="AI322" t="s">
        <v>203</v>
      </c>
      <c r="AJ322">
        <v>0</v>
      </c>
      <c r="AM322" t="s">
        <v>203</v>
      </c>
      <c r="AN322">
        <v>0</v>
      </c>
      <c r="AQ322" t="s">
        <v>203</v>
      </c>
      <c r="AR322">
        <v>0</v>
      </c>
      <c r="AT322" t="s">
        <v>64</v>
      </c>
      <c r="AU322">
        <v>0</v>
      </c>
    </row>
    <row r="323" spans="3:47" x14ac:dyDescent="0.35">
      <c r="C323" t="s">
        <v>204</v>
      </c>
      <c r="D323">
        <v>0</v>
      </c>
      <c r="G323" t="s">
        <v>204</v>
      </c>
      <c r="H323">
        <v>0</v>
      </c>
      <c r="K323" t="s">
        <v>204</v>
      </c>
      <c r="L323">
        <v>0</v>
      </c>
      <c r="O323" t="s">
        <v>204</v>
      </c>
      <c r="P323">
        <v>0</v>
      </c>
      <c r="S323" t="s">
        <v>204</v>
      </c>
      <c r="T323">
        <v>0</v>
      </c>
      <c r="W323" t="s">
        <v>204</v>
      </c>
      <c r="X323">
        <v>0</v>
      </c>
      <c r="AA323" t="s">
        <v>204</v>
      </c>
      <c r="AB323">
        <v>0</v>
      </c>
      <c r="AE323" t="s">
        <v>204</v>
      </c>
      <c r="AF323">
        <v>0</v>
      </c>
      <c r="AI323" t="s">
        <v>204</v>
      </c>
      <c r="AJ323">
        <v>0</v>
      </c>
      <c r="AM323" t="s">
        <v>204</v>
      </c>
      <c r="AN323">
        <v>0</v>
      </c>
      <c r="AQ323" t="s">
        <v>204</v>
      </c>
      <c r="AR323">
        <v>381</v>
      </c>
      <c r="AT323" t="s">
        <v>65</v>
      </c>
      <c r="AU323">
        <v>0</v>
      </c>
    </row>
    <row r="324" spans="3:47" x14ac:dyDescent="0.35">
      <c r="C324" t="s">
        <v>205</v>
      </c>
      <c r="D324">
        <v>0</v>
      </c>
      <c r="G324" t="s">
        <v>205</v>
      </c>
      <c r="H324">
        <v>0</v>
      </c>
      <c r="K324" t="s">
        <v>205</v>
      </c>
      <c r="L324">
        <v>0</v>
      </c>
      <c r="O324" t="s">
        <v>205</v>
      </c>
      <c r="P324">
        <v>0</v>
      </c>
      <c r="S324" t="s">
        <v>205</v>
      </c>
      <c r="T324">
        <v>0</v>
      </c>
      <c r="W324" t="s">
        <v>205</v>
      </c>
      <c r="X324">
        <v>0</v>
      </c>
      <c r="AA324" t="s">
        <v>205</v>
      </c>
      <c r="AB324">
        <v>0</v>
      </c>
      <c r="AE324" t="s">
        <v>205</v>
      </c>
      <c r="AF324">
        <v>0</v>
      </c>
      <c r="AI324" t="s">
        <v>205</v>
      </c>
      <c r="AJ324">
        <v>0</v>
      </c>
      <c r="AM324" t="s">
        <v>205</v>
      </c>
      <c r="AN324">
        <v>0</v>
      </c>
      <c r="AQ324" t="s">
        <v>205</v>
      </c>
      <c r="AR324">
        <v>0</v>
      </c>
      <c r="AT324" t="s">
        <v>66</v>
      </c>
      <c r="AU324">
        <v>0</v>
      </c>
    </row>
    <row r="325" spans="3:47" x14ac:dyDescent="0.35">
      <c r="C325" t="s">
        <v>133</v>
      </c>
      <c r="D325">
        <v>0</v>
      </c>
      <c r="G325" t="s">
        <v>133</v>
      </c>
      <c r="H325">
        <v>0</v>
      </c>
      <c r="K325" t="s">
        <v>133</v>
      </c>
      <c r="L325">
        <v>0</v>
      </c>
      <c r="O325" t="s">
        <v>133</v>
      </c>
      <c r="P325">
        <v>0</v>
      </c>
      <c r="S325" t="s">
        <v>133</v>
      </c>
      <c r="T325">
        <v>0</v>
      </c>
      <c r="W325" t="s">
        <v>133</v>
      </c>
      <c r="X325">
        <v>0</v>
      </c>
      <c r="AA325" t="s">
        <v>133</v>
      </c>
      <c r="AB325">
        <v>549</v>
      </c>
      <c r="AE325" t="s">
        <v>133</v>
      </c>
      <c r="AF325">
        <v>0</v>
      </c>
      <c r="AI325" t="s">
        <v>133</v>
      </c>
      <c r="AJ325">
        <v>0</v>
      </c>
      <c r="AM325" t="s">
        <v>133</v>
      </c>
      <c r="AN325">
        <v>298</v>
      </c>
      <c r="AQ325" t="s">
        <v>133</v>
      </c>
      <c r="AR325">
        <v>296</v>
      </c>
      <c r="AT325" t="s">
        <v>79</v>
      </c>
      <c r="AU325">
        <v>0</v>
      </c>
    </row>
    <row r="326" spans="3:47" x14ac:dyDescent="0.35">
      <c r="C326" t="s">
        <v>206</v>
      </c>
      <c r="D326">
        <v>0</v>
      </c>
      <c r="G326" t="s">
        <v>206</v>
      </c>
      <c r="H326">
        <v>0</v>
      </c>
      <c r="K326" t="s">
        <v>206</v>
      </c>
      <c r="L326">
        <v>0</v>
      </c>
      <c r="O326" t="s">
        <v>206</v>
      </c>
      <c r="P326">
        <v>0</v>
      </c>
      <c r="S326" t="s">
        <v>206</v>
      </c>
      <c r="T326">
        <v>0</v>
      </c>
      <c r="W326" t="s">
        <v>206</v>
      </c>
      <c r="X326">
        <v>0</v>
      </c>
      <c r="AA326" t="s">
        <v>206</v>
      </c>
      <c r="AB326">
        <v>0</v>
      </c>
      <c r="AE326" t="s">
        <v>206</v>
      </c>
      <c r="AF326">
        <v>0</v>
      </c>
      <c r="AI326" t="s">
        <v>206</v>
      </c>
      <c r="AJ326">
        <v>0</v>
      </c>
      <c r="AM326" t="s">
        <v>206</v>
      </c>
      <c r="AN326">
        <v>0</v>
      </c>
      <c r="AQ326" t="s">
        <v>206</v>
      </c>
      <c r="AR326">
        <v>0</v>
      </c>
      <c r="AT326" t="s">
        <v>68</v>
      </c>
      <c r="AU326">
        <v>0</v>
      </c>
    </row>
    <row r="327" spans="3:47" x14ac:dyDescent="0.35">
      <c r="C327" t="s">
        <v>136</v>
      </c>
      <c r="D327">
        <v>0</v>
      </c>
      <c r="G327" t="s">
        <v>136</v>
      </c>
      <c r="H327">
        <v>0</v>
      </c>
      <c r="K327" t="s">
        <v>136</v>
      </c>
      <c r="L327">
        <v>0</v>
      </c>
      <c r="O327" t="s">
        <v>136</v>
      </c>
      <c r="P327">
        <v>0</v>
      </c>
      <c r="S327" t="s">
        <v>136</v>
      </c>
      <c r="T327">
        <v>0</v>
      </c>
      <c r="W327" t="s">
        <v>136</v>
      </c>
      <c r="X327">
        <v>0</v>
      </c>
      <c r="AA327" t="s">
        <v>136</v>
      </c>
      <c r="AB327">
        <v>0</v>
      </c>
      <c r="AE327" t="s">
        <v>136</v>
      </c>
      <c r="AF327">
        <v>0</v>
      </c>
      <c r="AI327" t="s">
        <v>136</v>
      </c>
      <c r="AJ327">
        <v>0</v>
      </c>
      <c r="AM327" t="s">
        <v>136</v>
      </c>
      <c r="AN327">
        <v>137</v>
      </c>
      <c r="AQ327" t="s">
        <v>136</v>
      </c>
      <c r="AR327">
        <v>141</v>
      </c>
      <c r="AT327" t="s">
        <v>69</v>
      </c>
      <c r="AU327">
        <v>113</v>
      </c>
    </row>
    <row r="328" spans="3:47" x14ac:dyDescent="0.35">
      <c r="C328" t="s">
        <v>207</v>
      </c>
      <c r="D328">
        <v>0</v>
      </c>
      <c r="G328" t="s">
        <v>207</v>
      </c>
      <c r="H328">
        <v>0</v>
      </c>
      <c r="K328" t="s">
        <v>207</v>
      </c>
      <c r="L328">
        <v>0</v>
      </c>
      <c r="O328" t="s">
        <v>207</v>
      </c>
      <c r="P328">
        <v>0</v>
      </c>
      <c r="S328" t="s">
        <v>207</v>
      </c>
      <c r="T328">
        <v>0</v>
      </c>
      <c r="W328" t="s">
        <v>207</v>
      </c>
      <c r="X328">
        <v>0</v>
      </c>
      <c r="AA328" t="s">
        <v>207</v>
      </c>
      <c r="AB328">
        <v>0</v>
      </c>
      <c r="AE328" t="s">
        <v>207</v>
      </c>
      <c r="AF328">
        <v>0</v>
      </c>
      <c r="AI328" t="s">
        <v>207</v>
      </c>
      <c r="AJ328">
        <v>0</v>
      </c>
      <c r="AM328" t="s">
        <v>207</v>
      </c>
      <c r="AN328">
        <v>0</v>
      </c>
      <c r="AQ328" t="s">
        <v>207</v>
      </c>
      <c r="AR328">
        <v>0</v>
      </c>
      <c r="AT328" t="s">
        <v>70</v>
      </c>
      <c r="AU328">
        <v>0</v>
      </c>
    </row>
    <row r="329" spans="3:47" x14ac:dyDescent="0.35">
      <c r="C329" t="s">
        <v>141</v>
      </c>
      <c r="D329">
        <v>0</v>
      </c>
      <c r="G329" t="s">
        <v>141</v>
      </c>
      <c r="H329">
        <v>0</v>
      </c>
      <c r="K329" t="s">
        <v>141</v>
      </c>
      <c r="L329">
        <v>0</v>
      </c>
      <c r="O329" t="s">
        <v>141</v>
      </c>
      <c r="P329">
        <v>0</v>
      </c>
      <c r="S329" t="s">
        <v>141</v>
      </c>
      <c r="T329">
        <v>0</v>
      </c>
      <c r="W329" t="s">
        <v>141</v>
      </c>
      <c r="X329">
        <v>0</v>
      </c>
      <c r="AA329" t="s">
        <v>141</v>
      </c>
      <c r="AB329">
        <v>0</v>
      </c>
      <c r="AE329" t="s">
        <v>141</v>
      </c>
      <c r="AF329">
        <v>0</v>
      </c>
      <c r="AI329" t="s">
        <v>141</v>
      </c>
      <c r="AJ329">
        <v>0</v>
      </c>
      <c r="AM329" t="s">
        <v>141</v>
      </c>
      <c r="AN329">
        <v>99</v>
      </c>
      <c r="AQ329" t="s">
        <v>141</v>
      </c>
      <c r="AR329">
        <v>96</v>
      </c>
      <c r="AT329" t="s">
        <v>76</v>
      </c>
      <c r="AU329">
        <v>86</v>
      </c>
    </row>
    <row r="330" spans="3:47" x14ac:dyDescent="0.35">
      <c r="C330" t="s">
        <v>208</v>
      </c>
      <c r="D330">
        <v>0</v>
      </c>
      <c r="G330" t="s">
        <v>208</v>
      </c>
      <c r="H330">
        <v>0</v>
      </c>
      <c r="K330" t="s">
        <v>208</v>
      </c>
      <c r="L330">
        <v>0</v>
      </c>
      <c r="O330" t="s">
        <v>208</v>
      </c>
      <c r="P330">
        <v>0</v>
      </c>
      <c r="S330" t="s">
        <v>208</v>
      </c>
      <c r="T330">
        <v>0</v>
      </c>
      <c r="W330" t="s">
        <v>208</v>
      </c>
      <c r="X330">
        <v>0</v>
      </c>
      <c r="AA330" t="s">
        <v>208</v>
      </c>
      <c r="AB330">
        <v>0</v>
      </c>
      <c r="AE330" t="s">
        <v>208</v>
      </c>
      <c r="AF330">
        <v>0</v>
      </c>
      <c r="AI330" t="s">
        <v>208</v>
      </c>
      <c r="AJ330">
        <v>0</v>
      </c>
      <c r="AM330" t="s">
        <v>208</v>
      </c>
      <c r="AN330">
        <v>0</v>
      </c>
      <c r="AQ330" t="s">
        <v>208</v>
      </c>
      <c r="AR330">
        <v>0</v>
      </c>
      <c r="AT330" t="s">
        <v>77</v>
      </c>
      <c r="AU330">
        <v>3563</v>
      </c>
    </row>
    <row r="331" spans="3:47" x14ac:dyDescent="0.35">
      <c r="C331" t="s">
        <v>209</v>
      </c>
      <c r="D331">
        <v>0</v>
      </c>
      <c r="G331" t="s">
        <v>209</v>
      </c>
      <c r="H331">
        <v>0</v>
      </c>
      <c r="K331" t="s">
        <v>209</v>
      </c>
      <c r="L331">
        <v>0</v>
      </c>
      <c r="O331" t="s">
        <v>209</v>
      </c>
      <c r="P331">
        <v>0</v>
      </c>
      <c r="S331" t="s">
        <v>209</v>
      </c>
      <c r="T331">
        <v>0</v>
      </c>
      <c r="W331" t="s">
        <v>209</v>
      </c>
      <c r="X331">
        <v>0</v>
      </c>
      <c r="AA331" t="s">
        <v>209</v>
      </c>
      <c r="AB331">
        <v>0</v>
      </c>
      <c r="AE331" t="s">
        <v>209</v>
      </c>
      <c r="AF331">
        <v>0</v>
      </c>
      <c r="AI331" t="s">
        <v>209</v>
      </c>
      <c r="AJ331">
        <v>0</v>
      </c>
      <c r="AM331" t="s">
        <v>209</v>
      </c>
      <c r="AN331">
        <v>0</v>
      </c>
      <c r="AQ331" t="s">
        <v>209</v>
      </c>
      <c r="AR331">
        <v>0</v>
      </c>
      <c r="AT331" t="s">
        <v>78</v>
      </c>
      <c r="AU331">
        <v>0</v>
      </c>
    </row>
    <row r="332" spans="3:47" x14ac:dyDescent="0.35">
      <c r="C332" t="s">
        <v>134</v>
      </c>
      <c r="D332">
        <v>0</v>
      </c>
      <c r="G332" t="s">
        <v>134</v>
      </c>
      <c r="H332">
        <v>0</v>
      </c>
      <c r="K332" t="s">
        <v>134</v>
      </c>
      <c r="L332">
        <v>0</v>
      </c>
      <c r="O332" t="s">
        <v>134</v>
      </c>
      <c r="P332">
        <v>0</v>
      </c>
      <c r="S332" t="s">
        <v>134</v>
      </c>
      <c r="T332">
        <v>0</v>
      </c>
      <c r="W332" t="s">
        <v>134</v>
      </c>
      <c r="X332">
        <v>0</v>
      </c>
      <c r="AA332" t="s">
        <v>134</v>
      </c>
      <c r="AB332">
        <v>0</v>
      </c>
      <c r="AE332" t="s">
        <v>134</v>
      </c>
      <c r="AF332">
        <v>0</v>
      </c>
      <c r="AI332" t="s">
        <v>134</v>
      </c>
      <c r="AJ332">
        <v>0</v>
      </c>
      <c r="AM332" t="s">
        <v>134</v>
      </c>
      <c r="AN332">
        <v>267</v>
      </c>
      <c r="AQ332" t="s">
        <v>134</v>
      </c>
      <c r="AR332">
        <v>267</v>
      </c>
      <c r="AT332" t="s">
        <v>67</v>
      </c>
      <c r="AU332">
        <v>549</v>
      </c>
    </row>
    <row r="333" spans="3:47" x14ac:dyDescent="0.35">
      <c r="C333" t="s">
        <v>142</v>
      </c>
      <c r="D333">
        <v>0</v>
      </c>
      <c r="G333" t="s">
        <v>142</v>
      </c>
      <c r="H333">
        <v>0</v>
      </c>
      <c r="K333" t="s">
        <v>142</v>
      </c>
      <c r="L333">
        <v>0</v>
      </c>
      <c r="O333" t="s">
        <v>142</v>
      </c>
      <c r="P333">
        <v>0</v>
      </c>
      <c r="S333" t="s">
        <v>142</v>
      </c>
      <c r="T333">
        <v>0</v>
      </c>
      <c r="W333" t="s">
        <v>142</v>
      </c>
      <c r="X333">
        <v>0</v>
      </c>
      <c r="AA333" t="s">
        <v>142</v>
      </c>
      <c r="AB333">
        <v>0</v>
      </c>
      <c r="AE333" t="s">
        <v>142</v>
      </c>
      <c r="AF333">
        <v>0</v>
      </c>
      <c r="AI333" t="s">
        <v>142</v>
      </c>
      <c r="AJ333">
        <v>0</v>
      </c>
      <c r="AM333" t="s">
        <v>142</v>
      </c>
      <c r="AN333">
        <v>0</v>
      </c>
      <c r="AQ333" t="s">
        <v>142</v>
      </c>
      <c r="AR333">
        <v>0</v>
      </c>
      <c r="AT333" t="s">
        <v>80</v>
      </c>
      <c r="AU333">
        <v>0</v>
      </c>
    </row>
    <row r="334" spans="3:47" x14ac:dyDescent="0.35">
      <c r="C334" t="s">
        <v>83</v>
      </c>
      <c r="D334">
        <v>0</v>
      </c>
      <c r="G334" t="s">
        <v>83</v>
      </c>
      <c r="H334">
        <v>0</v>
      </c>
      <c r="K334" t="s">
        <v>83</v>
      </c>
      <c r="L334">
        <v>0</v>
      </c>
      <c r="O334" t="s">
        <v>83</v>
      </c>
      <c r="P334">
        <v>0</v>
      </c>
      <c r="S334" t="s">
        <v>83</v>
      </c>
      <c r="T334">
        <v>0</v>
      </c>
      <c r="W334" t="s">
        <v>83</v>
      </c>
      <c r="X334">
        <v>0</v>
      </c>
      <c r="AA334" t="s">
        <v>83</v>
      </c>
      <c r="AB334">
        <v>0</v>
      </c>
      <c r="AE334" t="s">
        <v>83</v>
      </c>
      <c r="AF334">
        <v>0</v>
      </c>
      <c r="AI334" t="s">
        <v>83</v>
      </c>
      <c r="AJ334">
        <v>0</v>
      </c>
      <c r="AM334" t="s">
        <v>83</v>
      </c>
      <c r="AN334">
        <v>131</v>
      </c>
      <c r="AQ334" t="s">
        <v>83</v>
      </c>
      <c r="AR334">
        <v>130</v>
      </c>
      <c r="AT334" t="s">
        <v>83</v>
      </c>
      <c r="AU334">
        <v>137</v>
      </c>
    </row>
    <row r="335" spans="3:47" x14ac:dyDescent="0.35">
      <c r="C335" t="s">
        <v>84</v>
      </c>
      <c r="D335">
        <v>0</v>
      </c>
      <c r="G335" t="s">
        <v>84</v>
      </c>
      <c r="H335">
        <v>0</v>
      </c>
      <c r="K335" t="s">
        <v>84</v>
      </c>
      <c r="L335">
        <v>0</v>
      </c>
      <c r="O335" t="s">
        <v>84</v>
      </c>
      <c r="P335">
        <v>0</v>
      </c>
      <c r="S335" t="s">
        <v>84</v>
      </c>
      <c r="T335">
        <v>0</v>
      </c>
      <c r="W335" t="s">
        <v>84</v>
      </c>
      <c r="X335">
        <v>0</v>
      </c>
      <c r="AA335" t="s">
        <v>84</v>
      </c>
      <c r="AB335">
        <v>0</v>
      </c>
      <c r="AE335" t="s">
        <v>84</v>
      </c>
      <c r="AF335">
        <v>0</v>
      </c>
      <c r="AI335" t="s">
        <v>84</v>
      </c>
      <c r="AJ335">
        <v>0</v>
      </c>
      <c r="AM335" t="s">
        <v>84</v>
      </c>
      <c r="AN335">
        <v>6</v>
      </c>
      <c r="AQ335" t="s">
        <v>84</v>
      </c>
      <c r="AR335">
        <v>6</v>
      </c>
      <c r="AT335" t="s">
        <v>84</v>
      </c>
      <c r="AU335">
        <v>0</v>
      </c>
    </row>
    <row r="336" spans="3:47" x14ac:dyDescent="0.35">
      <c r="C336" t="s">
        <v>126</v>
      </c>
      <c r="D336">
        <v>0</v>
      </c>
      <c r="G336" t="s">
        <v>126</v>
      </c>
      <c r="H336">
        <v>0</v>
      </c>
      <c r="K336" t="s">
        <v>223</v>
      </c>
      <c r="L336">
        <v>0</v>
      </c>
      <c r="O336" t="s">
        <v>126</v>
      </c>
      <c r="P336">
        <v>0</v>
      </c>
      <c r="S336" t="s">
        <v>126</v>
      </c>
      <c r="T336">
        <v>0</v>
      </c>
      <c r="W336" t="s">
        <v>126</v>
      </c>
      <c r="X336">
        <v>0</v>
      </c>
      <c r="AA336" t="s">
        <v>126</v>
      </c>
      <c r="AB336">
        <v>0</v>
      </c>
      <c r="AE336" t="s">
        <v>126</v>
      </c>
      <c r="AF336">
        <v>0</v>
      </c>
      <c r="AI336" t="s">
        <v>126</v>
      </c>
      <c r="AJ336">
        <v>0</v>
      </c>
      <c r="AM336" t="s">
        <v>126</v>
      </c>
      <c r="AN336">
        <v>0</v>
      </c>
      <c r="AQ336" t="s">
        <v>126</v>
      </c>
      <c r="AR336">
        <v>0</v>
      </c>
      <c r="AT336" t="s">
        <v>86</v>
      </c>
      <c r="AU336">
        <v>0</v>
      </c>
    </row>
    <row r="337" spans="1:47" x14ac:dyDescent="0.35">
      <c r="C337" t="s">
        <v>87</v>
      </c>
      <c r="D337">
        <v>0</v>
      </c>
      <c r="G337" t="s">
        <v>87</v>
      </c>
      <c r="H337">
        <v>0</v>
      </c>
      <c r="K337" t="s">
        <v>87</v>
      </c>
      <c r="L337">
        <v>0</v>
      </c>
      <c r="O337" t="s">
        <v>87</v>
      </c>
      <c r="P337">
        <v>0</v>
      </c>
      <c r="S337" t="s">
        <v>87</v>
      </c>
      <c r="T337">
        <v>0</v>
      </c>
      <c r="W337" t="s">
        <v>87</v>
      </c>
      <c r="X337">
        <v>0</v>
      </c>
      <c r="AA337" t="s">
        <v>87</v>
      </c>
      <c r="AB337">
        <v>0</v>
      </c>
      <c r="AE337" t="s">
        <v>87</v>
      </c>
      <c r="AF337">
        <v>0</v>
      </c>
      <c r="AI337" t="s">
        <v>87</v>
      </c>
      <c r="AJ337">
        <v>0</v>
      </c>
      <c r="AM337" t="s">
        <v>87</v>
      </c>
      <c r="AN337">
        <v>0</v>
      </c>
      <c r="AQ337" t="s">
        <v>87</v>
      </c>
      <c r="AR337">
        <v>0</v>
      </c>
      <c r="AT337" t="s">
        <v>87</v>
      </c>
      <c r="AU337">
        <v>0</v>
      </c>
    </row>
    <row r="338" spans="1:47" x14ac:dyDescent="0.35">
      <c r="A338" t="s">
        <v>155</v>
      </c>
      <c r="B338">
        <v>94451279.50000006</v>
      </c>
      <c r="C338" t="s">
        <v>135</v>
      </c>
      <c r="D338">
        <v>0</v>
      </c>
      <c r="E338" t="s">
        <v>155</v>
      </c>
      <c r="F338">
        <v>97084366.00000003</v>
      </c>
      <c r="G338" t="s">
        <v>135</v>
      </c>
      <c r="H338">
        <v>0</v>
      </c>
      <c r="I338" t="s">
        <v>155</v>
      </c>
      <c r="J338">
        <v>99746766.49999994</v>
      </c>
      <c r="K338" t="s">
        <v>135</v>
      </c>
      <c r="L338">
        <v>0</v>
      </c>
      <c r="M338" t="s">
        <v>155</v>
      </c>
      <c r="N338">
        <v>102471895.49999996</v>
      </c>
      <c r="O338" t="s">
        <v>135</v>
      </c>
      <c r="P338">
        <v>0</v>
      </c>
      <c r="Q338" t="s">
        <v>155</v>
      </c>
      <c r="R338">
        <v>105293228.50000003</v>
      </c>
      <c r="S338" t="s">
        <v>135</v>
      </c>
      <c r="T338">
        <v>296</v>
      </c>
      <c r="U338" t="s">
        <v>155</v>
      </c>
      <c r="V338">
        <v>108197949.49999994</v>
      </c>
      <c r="W338" t="s">
        <v>135</v>
      </c>
      <c r="X338">
        <v>0</v>
      </c>
      <c r="Y338" t="s">
        <v>155</v>
      </c>
      <c r="Z338">
        <v>111129438.00000001</v>
      </c>
      <c r="AA338" t="s">
        <v>135</v>
      </c>
      <c r="AB338">
        <v>17026</v>
      </c>
      <c r="AC338" t="s">
        <v>155</v>
      </c>
      <c r="AD338">
        <v>114120593.49999996</v>
      </c>
      <c r="AE338" t="s">
        <v>135</v>
      </c>
      <c r="AF338">
        <v>11734</v>
      </c>
      <c r="AG338" t="s">
        <v>155</v>
      </c>
      <c r="AH338">
        <v>117190910.99999994</v>
      </c>
      <c r="AI338" t="s">
        <v>135</v>
      </c>
      <c r="AJ338">
        <v>27155</v>
      </c>
      <c r="AK338" t="s">
        <v>155</v>
      </c>
      <c r="AL338">
        <v>120283026.00000006</v>
      </c>
      <c r="AM338" t="s">
        <v>135</v>
      </c>
      <c r="AN338">
        <v>25424</v>
      </c>
      <c r="AO338" t="s">
        <v>155</v>
      </c>
      <c r="AP338">
        <v>123379924.50000004</v>
      </c>
      <c r="AQ338" t="s">
        <v>135</v>
      </c>
      <c r="AR338">
        <v>35754</v>
      </c>
      <c r="AS338" t="s">
        <v>155</v>
      </c>
      <c r="AT338" t="s">
        <v>148</v>
      </c>
      <c r="AU338">
        <v>11263</v>
      </c>
    </row>
    <row r="339" spans="1:47" x14ac:dyDescent="0.35">
      <c r="C339" t="s">
        <v>139</v>
      </c>
      <c r="D339">
        <v>0</v>
      </c>
      <c r="G339" t="s">
        <v>139</v>
      </c>
      <c r="H339">
        <v>0</v>
      </c>
      <c r="K339" t="s">
        <v>139</v>
      </c>
      <c r="L339">
        <v>0</v>
      </c>
      <c r="O339" t="s">
        <v>139</v>
      </c>
      <c r="P339">
        <v>0</v>
      </c>
      <c r="S339" t="s">
        <v>139</v>
      </c>
      <c r="T339">
        <v>0</v>
      </c>
      <c r="W339" t="s">
        <v>139</v>
      </c>
      <c r="X339">
        <v>176328</v>
      </c>
      <c r="AA339" t="s">
        <v>139</v>
      </c>
      <c r="AB339">
        <v>123544</v>
      </c>
      <c r="AE339" t="s">
        <v>139</v>
      </c>
      <c r="AF339">
        <v>0</v>
      </c>
      <c r="AI339" t="s">
        <v>139</v>
      </c>
      <c r="AJ339">
        <v>139648</v>
      </c>
      <c r="AM339" t="s">
        <v>139</v>
      </c>
      <c r="AN339">
        <v>139648</v>
      </c>
      <c r="AQ339" t="s">
        <v>139</v>
      </c>
      <c r="AR339">
        <v>140492</v>
      </c>
      <c r="AT339" t="s">
        <v>139</v>
      </c>
      <c r="AU339">
        <v>61772</v>
      </c>
    </row>
    <row r="340" spans="1:47" x14ac:dyDescent="0.35">
      <c r="C340" t="s">
        <v>138</v>
      </c>
      <c r="D340">
        <v>0</v>
      </c>
      <c r="G340" t="s">
        <v>138</v>
      </c>
      <c r="H340">
        <v>13850</v>
      </c>
      <c r="K340" t="s">
        <v>138</v>
      </c>
      <c r="L340">
        <v>0</v>
      </c>
      <c r="O340" t="s">
        <v>138</v>
      </c>
      <c r="P340">
        <v>0</v>
      </c>
      <c r="S340" t="s">
        <v>138</v>
      </c>
      <c r="T340">
        <v>24138</v>
      </c>
      <c r="W340" t="s">
        <v>138</v>
      </c>
      <c r="X340">
        <v>0</v>
      </c>
      <c r="AA340" t="s">
        <v>138</v>
      </c>
      <c r="AB340">
        <v>32318</v>
      </c>
      <c r="AE340" t="s">
        <v>138</v>
      </c>
      <c r="AF340">
        <v>0</v>
      </c>
      <c r="AI340" t="s">
        <v>138</v>
      </c>
      <c r="AJ340">
        <v>40710</v>
      </c>
      <c r="AM340" t="s">
        <v>138</v>
      </c>
      <c r="AN340">
        <v>40710</v>
      </c>
      <c r="AQ340" t="s">
        <v>138</v>
      </c>
      <c r="AR340">
        <v>43986</v>
      </c>
      <c r="AT340" t="s">
        <v>138</v>
      </c>
      <c r="AU340">
        <v>16161</v>
      </c>
    </row>
    <row r="341" spans="1:47" x14ac:dyDescent="0.35">
      <c r="C341" t="s">
        <v>82</v>
      </c>
      <c r="D341">
        <v>328</v>
      </c>
      <c r="G341" t="s">
        <v>82</v>
      </c>
      <c r="H341">
        <v>0</v>
      </c>
      <c r="K341" t="s">
        <v>82</v>
      </c>
      <c r="L341">
        <v>7329</v>
      </c>
      <c r="O341" t="s">
        <v>82</v>
      </c>
      <c r="P341">
        <v>894</v>
      </c>
      <c r="S341" t="s">
        <v>82</v>
      </c>
      <c r="T341">
        <v>2</v>
      </c>
      <c r="W341" t="s">
        <v>82</v>
      </c>
      <c r="X341">
        <v>0</v>
      </c>
      <c r="AA341" t="s">
        <v>82</v>
      </c>
      <c r="AB341">
        <v>995</v>
      </c>
      <c r="AE341" t="s">
        <v>82</v>
      </c>
      <c r="AF341">
        <v>15498</v>
      </c>
      <c r="AI341" t="s">
        <v>82</v>
      </c>
      <c r="AJ341">
        <v>17331</v>
      </c>
      <c r="AM341" t="s">
        <v>82</v>
      </c>
      <c r="AN341">
        <v>0</v>
      </c>
      <c r="AQ341" t="s">
        <v>82</v>
      </c>
      <c r="AR341">
        <v>75</v>
      </c>
      <c r="AT341" t="s">
        <v>82</v>
      </c>
      <c r="AU341">
        <v>10752</v>
      </c>
    </row>
    <row r="342" spans="1:47" x14ac:dyDescent="0.35">
      <c r="C342" t="s">
        <v>60</v>
      </c>
      <c r="D342">
        <v>19</v>
      </c>
      <c r="G342" t="s">
        <v>60</v>
      </c>
      <c r="H342">
        <v>0</v>
      </c>
      <c r="K342" t="s">
        <v>60</v>
      </c>
      <c r="L342">
        <v>1032</v>
      </c>
      <c r="O342" t="s">
        <v>60</v>
      </c>
      <c r="P342">
        <v>275</v>
      </c>
      <c r="S342" t="s">
        <v>60</v>
      </c>
      <c r="T342">
        <v>2</v>
      </c>
      <c r="W342" t="s">
        <v>60</v>
      </c>
      <c r="X342">
        <v>0</v>
      </c>
      <c r="AA342" t="s">
        <v>60</v>
      </c>
      <c r="AB342">
        <v>268</v>
      </c>
      <c r="AE342" t="s">
        <v>60</v>
      </c>
      <c r="AF342">
        <v>0</v>
      </c>
      <c r="AI342" t="s">
        <v>60</v>
      </c>
      <c r="AJ342">
        <v>16139</v>
      </c>
      <c r="AM342" t="s">
        <v>60</v>
      </c>
      <c r="AN342">
        <v>0</v>
      </c>
      <c r="AQ342" t="s">
        <v>60</v>
      </c>
      <c r="AR342">
        <v>121</v>
      </c>
      <c r="AT342" t="s">
        <v>60</v>
      </c>
      <c r="AU342">
        <v>1889</v>
      </c>
    </row>
    <row r="343" spans="1:47" x14ac:dyDescent="0.35">
      <c r="C343" t="s">
        <v>127</v>
      </c>
      <c r="D343">
        <v>0</v>
      </c>
      <c r="G343" t="s">
        <v>127</v>
      </c>
      <c r="H343">
        <v>0</v>
      </c>
      <c r="K343" t="s">
        <v>127</v>
      </c>
      <c r="L343">
        <v>0</v>
      </c>
      <c r="O343" t="s">
        <v>127</v>
      </c>
      <c r="P343">
        <v>0</v>
      </c>
      <c r="S343" t="s">
        <v>127</v>
      </c>
      <c r="T343">
        <v>0</v>
      </c>
      <c r="W343" t="s">
        <v>127</v>
      </c>
      <c r="X343">
        <v>0</v>
      </c>
      <c r="AA343" t="s">
        <v>127</v>
      </c>
      <c r="AB343">
        <v>37259</v>
      </c>
      <c r="AE343" t="s">
        <v>127</v>
      </c>
      <c r="AF343">
        <v>0</v>
      </c>
      <c r="AI343" t="s">
        <v>127</v>
      </c>
      <c r="AJ343">
        <v>42630</v>
      </c>
      <c r="AM343" t="s">
        <v>127</v>
      </c>
      <c r="AN343">
        <v>42630</v>
      </c>
      <c r="AQ343" t="s">
        <v>127</v>
      </c>
      <c r="AR343">
        <v>41101</v>
      </c>
      <c r="AT343" t="s">
        <v>58</v>
      </c>
      <c r="AU343">
        <v>37259</v>
      </c>
    </row>
    <row r="344" spans="1:47" x14ac:dyDescent="0.35">
      <c r="C344" t="s">
        <v>61</v>
      </c>
      <c r="D344">
        <v>50</v>
      </c>
      <c r="G344" t="s">
        <v>61</v>
      </c>
      <c r="H344">
        <v>0</v>
      </c>
      <c r="K344" t="s">
        <v>61</v>
      </c>
      <c r="L344">
        <v>0</v>
      </c>
      <c r="O344" t="s">
        <v>61</v>
      </c>
      <c r="P344">
        <v>35</v>
      </c>
      <c r="S344" t="s">
        <v>61</v>
      </c>
      <c r="T344">
        <v>0</v>
      </c>
      <c r="W344" t="s">
        <v>61</v>
      </c>
      <c r="X344">
        <v>0</v>
      </c>
      <c r="AA344" t="s">
        <v>61</v>
      </c>
      <c r="AB344">
        <v>1385</v>
      </c>
      <c r="AE344" t="s">
        <v>61</v>
      </c>
      <c r="AF344">
        <v>0</v>
      </c>
      <c r="AI344" t="s">
        <v>61</v>
      </c>
      <c r="AJ344">
        <v>0</v>
      </c>
      <c r="AM344" t="s">
        <v>61</v>
      </c>
      <c r="AN344">
        <v>0</v>
      </c>
      <c r="AQ344" t="s">
        <v>61</v>
      </c>
      <c r="AR344">
        <v>0</v>
      </c>
      <c r="AT344" t="s">
        <v>61</v>
      </c>
      <c r="AU344">
        <v>147</v>
      </c>
    </row>
    <row r="345" spans="1:47" x14ac:dyDescent="0.35">
      <c r="C345" t="s">
        <v>62</v>
      </c>
      <c r="D345">
        <v>461</v>
      </c>
      <c r="G345" t="s">
        <v>62</v>
      </c>
      <c r="H345">
        <v>0</v>
      </c>
      <c r="K345" t="s">
        <v>62</v>
      </c>
      <c r="L345">
        <v>2970</v>
      </c>
      <c r="O345" t="s">
        <v>62</v>
      </c>
      <c r="P345">
        <v>0</v>
      </c>
      <c r="S345" t="s">
        <v>62</v>
      </c>
      <c r="T345">
        <v>64</v>
      </c>
      <c r="W345" t="s">
        <v>62</v>
      </c>
      <c r="X345">
        <v>0</v>
      </c>
      <c r="AA345" t="s">
        <v>62</v>
      </c>
      <c r="AB345">
        <v>665</v>
      </c>
      <c r="AE345" t="s">
        <v>62</v>
      </c>
      <c r="AF345">
        <v>0</v>
      </c>
      <c r="AI345" t="s">
        <v>62</v>
      </c>
      <c r="AJ345">
        <v>1234</v>
      </c>
      <c r="AM345" t="s">
        <v>62</v>
      </c>
      <c r="AN345">
        <v>0</v>
      </c>
      <c r="AQ345" t="s">
        <v>62</v>
      </c>
      <c r="AR345">
        <v>0</v>
      </c>
      <c r="AT345" t="s">
        <v>62</v>
      </c>
      <c r="AU345">
        <v>2662</v>
      </c>
    </row>
    <row r="346" spans="1:47" x14ac:dyDescent="0.35">
      <c r="C346" t="s">
        <v>203</v>
      </c>
      <c r="D346">
        <v>0</v>
      </c>
      <c r="G346" t="s">
        <v>203</v>
      </c>
      <c r="H346">
        <v>0</v>
      </c>
      <c r="K346" t="s">
        <v>203</v>
      </c>
      <c r="L346">
        <v>0</v>
      </c>
      <c r="O346" t="s">
        <v>203</v>
      </c>
      <c r="P346">
        <v>0</v>
      </c>
      <c r="S346" t="s">
        <v>203</v>
      </c>
      <c r="T346">
        <v>0</v>
      </c>
      <c r="W346" t="s">
        <v>203</v>
      </c>
      <c r="X346">
        <v>0</v>
      </c>
      <c r="AA346" t="s">
        <v>203</v>
      </c>
      <c r="AB346">
        <v>0</v>
      </c>
      <c r="AE346" t="s">
        <v>203</v>
      </c>
      <c r="AF346">
        <v>0</v>
      </c>
      <c r="AI346" t="s">
        <v>203</v>
      </c>
      <c r="AJ346">
        <v>0</v>
      </c>
      <c r="AM346" t="s">
        <v>203</v>
      </c>
      <c r="AN346">
        <v>0</v>
      </c>
      <c r="AQ346" t="s">
        <v>203</v>
      </c>
      <c r="AR346">
        <v>0</v>
      </c>
      <c r="AT346" t="s">
        <v>64</v>
      </c>
      <c r="AU346">
        <v>0</v>
      </c>
    </row>
    <row r="347" spans="1:47" x14ac:dyDescent="0.35">
      <c r="C347" t="s">
        <v>204</v>
      </c>
      <c r="D347">
        <v>0</v>
      </c>
      <c r="G347" t="s">
        <v>204</v>
      </c>
      <c r="H347">
        <v>0</v>
      </c>
      <c r="K347" t="s">
        <v>204</v>
      </c>
      <c r="L347">
        <v>0</v>
      </c>
      <c r="O347" t="s">
        <v>204</v>
      </c>
      <c r="P347">
        <v>0</v>
      </c>
      <c r="S347" t="s">
        <v>204</v>
      </c>
      <c r="T347">
        <v>0</v>
      </c>
      <c r="W347" t="s">
        <v>204</v>
      </c>
      <c r="X347">
        <v>0</v>
      </c>
      <c r="AA347" t="s">
        <v>204</v>
      </c>
      <c r="AB347">
        <v>0</v>
      </c>
      <c r="AE347" t="s">
        <v>204</v>
      </c>
      <c r="AF347">
        <v>0</v>
      </c>
      <c r="AI347" t="s">
        <v>204</v>
      </c>
      <c r="AJ347">
        <v>0</v>
      </c>
      <c r="AM347" t="s">
        <v>204</v>
      </c>
      <c r="AN347">
        <v>0</v>
      </c>
      <c r="AQ347" t="s">
        <v>204</v>
      </c>
      <c r="AR347">
        <v>0</v>
      </c>
      <c r="AT347" t="s">
        <v>65</v>
      </c>
      <c r="AU347">
        <v>4365</v>
      </c>
    </row>
    <row r="348" spans="1:47" x14ac:dyDescent="0.35">
      <c r="C348" t="s">
        <v>205</v>
      </c>
      <c r="D348">
        <v>0</v>
      </c>
      <c r="G348" t="s">
        <v>205</v>
      </c>
      <c r="H348">
        <v>0</v>
      </c>
      <c r="K348" t="s">
        <v>205</v>
      </c>
      <c r="L348">
        <v>0</v>
      </c>
      <c r="O348" t="s">
        <v>205</v>
      </c>
      <c r="P348">
        <v>0</v>
      </c>
      <c r="S348" t="s">
        <v>205</v>
      </c>
      <c r="T348">
        <v>0</v>
      </c>
      <c r="W348" t="s">
        <v>205</v>
      </c>
      <c r="X348">
        <v>0</v>
      </c>
      <c r="AA348" t="s">
        <v>205</v>
      </c>
      <c r="AB348">
        <v>0</v>
      </c>
      <c r="AE348" t="s">
        <v>205</v>
      </c>
      <c r="AF348">
        <v>0</v>
      </c>
      <c r="AI348" t="s">
        <v>205</v>
      </c>
      <c r="AJ348">
        <v>22</v>
      </c>
      <c r="AM348" t="s">
        <v>205</v>
      </c>
      <c r="AN348">
        <v>17</v>
      </c>
      <c r="AQ348" t="s">
        <v>205</v>
      </c>
      <c r="AR348">
        <v>130</v>
      </c>
      <c r="AT348" t="s">
        <v>66</v>
      </c>
      <c r="AU348">
        <v>52</v>
      </c>
    </row>
    <row r="349" spans="1:47" x14ac:dyDescent="0.35">
      <c r="C349" t="s">
        <v>133</v>
      </c>
      <c r="D349">
        <v>0</v>
      </c>
      <c r="G349" t="s">
        <v>133</v>
      </c>
      <c r="H349">
        <v>0</v>
      </c>
      <c r="K349" t="s">
        <v>133</v>
      </c>
      <c r="L349">
        <v>0</v>
      </c>
      <c r="O349" t="s">
        <v>133</v>
      </c>
      <c r="P349">
        <v>0</v>
      </c>
      <c r="S349" t="s">
        <v>133</v>
      </c>
      <c r="T349">
        <v>0</v>
      </c>
      <c r="W349" t="s">
        <v>133</v>
      </c>
      <c r="X349">
        <v>0</v>
      </c>
      <c r="AA349" t="s">
        <v>133</v>
      </c>
      <c r="AB349">
        <v>10450</v>
      </c>
      <c r="AE349" t="s">
        <v>133</v>
      </c>
      <c r="AF349">
        <v>0</v>
      </c>
      <c r="AI349" t="s">
        <v>133</v>
      </c>
      <c r="AJ349">
        <v>8005</v>
      </c>
      <c r="AM349" t="s">
        <v>133</v>
      </c>
      <c r="AN349">
        <v>0</v>
      </c>
      <c r="AQ349" t="s">
        <v>133</v>
      </c>
      <c r="AR349">
        <v>0</v>
      </c>
      <c r="AT349" t="s">
        <v>79</v>
      </c>
      <c r="AU349">
        <v>672</v>
      </c>
    </row>
    <row r="350" spans="1:47" x14ac:dyDescent="0.35">
      <c r="C350" t="s">
        <v>206</v>
      </c>
      <c r="D350">
        <v>0</v>
      </c>
      <c r="G350" t="s">
        <v>206</v>
      </c>
      <c r="H350">
        <v>0</v>
      </c>
      <c r="K350" t="s">
        <v>206</v>
      </c>
      <c r="L350">
        <v>0</v>
      </c>
      <c r="O350" t="s">
        <v>206</v>
      </c>
      <c r="P350">
        <v>0</v>
      </c>
      <c r="S350" t="s">
        <v>206</v>
      </c>
      <c r="T350">
        <v>0</v>
      </c>
      <c r="W350" t="s">
        <v>206</v>
      </c>
      <c r="X350">
        <v>0</v>
      </c>
      <c r="AA350" t="s">
        <v>206</v>
      </c>
      <c r="AB350">
        <v>0</v>
      </c>
      <c r="AE350" t="s">
        <v>206</v>
      </c>
      <c r="AF350">
        <v>0</v>
      </c>
      <c r="AI350" t="s">
        <v>206</v>
      </c>
      <c r="AJ350">
        <v>0</v>
      </c>
      <c r="AM350" t="s">
        <v>206</v>
      </c>
      <c r="AN350">
        <v>0</v>
      </c>
      <c r="AQ350" t="s">
        <v>206</v>
      </c>
      <c r="AR350">
        <v>0</v>
      </c>
      <c r="AT350" t="s">
        <v>68</v>
      </c>
      <c r="AU350">
        <v>11536</v>
      </c>
    </row>
    <row r="351" spans="1:47" x14ac:dyDescent="0.35">
      <c r="C351" t="s">
        <v>136</v>
      </c>
      <c r="D351">
        <v>0</v>
      </c>
      <c r="G351" t="s">
        <v>136</v>
      </c>
      <c r="H351">
        <v>0</v>
      </c>
      <c r="K351" t="s">
        <v>136</v>
      </c>
      <c r="L351">
        <v>0</v>
      </c>
      <c r="O351" t="s">
        <v>136</v>
      </c>
      <c r="P351">
        <v>0</v>
      </c>
      <c r="S351" t="s">
        <v>136</v>
      </c>
      <c r="T351">
        <v>0</v>
      </c>
      <c r="W351" t="s">
        <v>136</v>
      </c>
      <c r="X351">
        <v>0</v>
      </c>
      <c r="AA351" t="s">
        <v>136</v>
      </c>
      <c r="AB351">
        <v>0</v>
      </c>
      <c r="AE351" t="s">
        <v>136</v>
      </c>
      <c r="AF351">
        <v>0</v>
      </c>
      <c r="AI351" t="s">
        <v>136</v>
      </c>
      <c r="AJ351">
        <v>0</v>
      </c>
      <c r="AM351" t="s">
        <v>136</v>
      </c>
      <c r="AN351">
        <v>0</v>
      </c>
      <c r="AQ351" t="s">
        <v>136</v>
      </c>
      <c r="AR351">
        <v>1469</v>
      </c>
      <c r="AT351" t="s">
        <v>69</v>
      </c>
      <c r="AU351">
        <v>1041</v>
      </c>
    </row>
    <row r="352" spans="1:47" x14ac:dyDescent="0.35">
      <c r="C352" t="s">
        <v>207</v>
      </c>
      <c r="D352">
        <v>0</v>
      </c>
      <c r="G352" t="s">
        <v>207</v>
      </c>
      <c r="H352">
        <v>0</v>
      </c>
      <c r="K352" t="s">
        <v>207</v>
      </c>
      <c r="L352">
        <v>0</v>
      </c>
      <c r="O352" t="s">
        <v>207</v>
      </c>
      <c r="P352">
        <v>0</v>
      </c>
      <c r="S352" t="s">
        <v>207</v>
      </c>
      <c r="T352">
        <v>0</v>
      </c>
      <c r="W352" t="s">
        <v>207</v>
      </c>
      <c r="X352">
        <v>0</v>
      </c>
      <c r="AA352" t="s">
        <v>207</v>
      </c>
      <c r="AB352">
        <v>0</v>
      </c>
      <c r="AE352" t="s">
        <v>207</v>
      </c>
      <c r="AF352">
        <v>0</v>
      </c>
      <c r="AI352" t="s">
        <v>207</v>
      </c>
      <c r="AJ352">
        <v>0</v>
      </c>
      <c r="AM352" t="s">
        <v>207</v>
      </c>
      <c r="AN352">
        <v>0</v>
      </c>
      <c r="AQ352" t="s">
        <v>207</v>
      </c>
      <c r="AR352">
        <v>0</v>
      </c>
      <c r="AT352" t="s">
        <v>70</v>
      </c>
      <c r="AU352">
        <v>2953</v>
      </c>
    </row>
    <row r="353" spans="1:47" x14ac:dyDescent="0.35">
      <c r="C353" t="s">
        <v>141</v>
      </c>
      <c r="D353">
        <v>0</v>
      </c>
      <c r="G353" t="s">
        <v>141</v>
      </c>
      <c r="H353">
        <v>0</v>
      </c>
      <c r="K353" t="s">
        <v>141</v>
      </c>
      <c r="L353">
        <v>0</v>
      </c>
      <c r="O353" t="s">
        <v>141</v>
      </c>
      <c r="P353">
        <v>0</v>
      </c>
      <c r="S353" t="s">
        <v>141</v>
      </c>
      <c r="T353">
        <v>0</v>
      </c>
      <c r="W353" t="s">
        <v>141</v>
      </c>
      <c r="X353">
        <v>0</v>
      </c>
      <c r="AA353" t="s">
        <v>141</v>
      </c>
      <c r="AB353">
        <v>0</v>
      </c>
      <c r="AE353" t="s">
        <v>141</v>
      </c>
      <c r="AF353">
        <v>0</v>
      </c>
      <c r="AI353" t="s">
        <v>141</v>
      </c>
      <c r="AJ353">
        <v>654</v>
      </c>
      <c r="AM353" t="s">
        <v>141</v>
      </c>
      <c r="AN353">
        <v>567</v>
      </c>
      <c r="AQ353" t="s">
        <v>141</v>
      </c>
      <c r="AR353">
        <v>383</v>
      </c>
      <c r="AT353" t="s">
        <v>76</v>
      </c>
      <c r="AU353">
        <v>330</v>
      </c>
    </row>
    <row r="354" spans="1:47" x14ac:dyDescent="0.35">
      <c r="C354" t="s">
        <v>208</v>
      </c>
      <c r="D354">
        <v>0</v>
      </c>
      <c r="G354" t="s">
        <v>208</v>
      </c>
      <c r="H354">
        <v>0</v>
      </c>
      <c r="K354" t="s">
        <v>208</v>
      </c>
      <c r="L354">
        <v>0</v>
      </c>
      <c r="O354" t="s">
        <v>208</v>
      </c>
      <c r="P354">
        <v>0</v>
      </c>
      <c r="S354" t="s">
        <v>208</v>
      </c>
      <c r="T354">
        <v>0</v>
      </c>
      <c r="W354" t="s">
        <v>208</v>
      </c>
      <c r="X354">
        <v>0</v>
      </c>
      <c r="AA354" t="s">
        <v>208</v>
      </c>
      <c r="AB354">
        <v>0</v>
      </c>
      <c r="AE354" t="s">
        <v>208</v>
      </c>
      <c r="AF354">
        <v>0</v>
      </c>
      <c r="AI354" t="s">
        <v>208</v>
      </c>
      <c r="AJ354">
        <v>0</v>
      </c>
      <c r="AM354" t="s">
        <v>208</v>
      </c>
      <c r="AN354">
        <v>0</v>
      </c>
      <c r="AQ354" t="s">
        <v>208</v>
      </c>
      <c r="AR354">
        <v>0</v>
      </c>
      <c r="AT354" t="s">
        <v>77</v>
      </c>
      <c r="AU354">
        <v>73174</v>
      </c>
    </row>
    <row r="355" spans="1:47" x14ac:dyDescent="0.35">
      <c r="C355" t="s">
        <v>209</v>
      </c>
      <c r="D355">
        <v>0</v>
      </c>
      <c r="G355" t="s">
        <v>209</v>
      </c>
      <c r="H355">
        <v>0</v>
      </c>
      <c r="K355" t="s">
        <v>209</v>
      </c>
      <c r="L355">
        <v>0</v>
      </c>
      <c r="O355" t="s">
        <v>209</v>
      </c>
      <c r="P355">
        <v>0</v>
      </c>
      <c r="S355" t="s">
        <v>209</v>
      </c>
      <c r="T355">
        <v>0</v>
      </c>
      <c r="W355" t="s">
        <v>209</v>
      </c>
      <c r="X355">
        <v>0</v>
      </c>
      <c r="AA355" t="s">
        <v>209</v>
      </c>
      <c r="AB355">
        <v>0</v>
      </c>
      <c r="AE355" t="s">
        <v>209</v>
      </c>
      <c r="AF355">
        <v>0</v>
      </c>
      <c r="AI355" t="s">
        <v>209</v>
      </c>
      <c r="AJ355">
        <v>0</v>
      </c>
      <c r="AM355" t="s">
        <v>209</v>
      </c>
      <c r="AN355">
        <v>0</v>
      </c>
      <c r="AQ355" t="s">
        <v>209</v>
      </c>
      <c r="AR355">
        <v>0</v>
      </c>
      <c r="AT355" t="s">
        <v>78</v>
      </c>
      <c r="AU355">
        <v>2872</v>
      </c>
    </row>
    <row r="356" spans="1:47" x14ac:dyDescent="0.35">
      <c r="C356" t="s">
        <v>134</v>
      </c>
      <c r="D356">
        <v>0</v>
      </c>
      <c r="G356" t="s">
        <v>134</v>
      </c>
      <c r="H356">
        <v>0</v>
      </c>
      <c r="K356" t="s">
        <v>134</v>
      </c>
      <c r="L356">
        <v>0</v>
      </c>
      <c r="O356" t="s">
        <v>134</v>
      </c>
      <c r="P356">
        <v>0</v>
      </c>
      <c r="S356" t="s">
        <v>134</v>
      </c>
      <c r="T356">
        <v>0</v>
      </c>
      <c r="W356" t="s">
        <v>134</v>
      </c>
      <c r="X356">
        <v>0</v>
      </c>
      <c r="AA356" t="s">
        <v>134</v>
      </c>
      <c r="AB356">
        <v>0</v>
      </c>
      <c r="AE356" t="s">
        <v>134</v>
      </c>
      <c r="AF356">
        <v>0</v>
      </c>
      <c r="AI356" t="s">
        <v>134</v>
      </c>
      <c r="AJ356">
        <v>4752</v>
      </c>
      <c r="AM356" t="s">
        <v>134</v>
      </c>
      <c r="AN356">
        <v>0</v>
      </c>
      <c r="AQ356" t="s">
        <v>134</v>
      </c>
      <c r="AR356">
        <v>13915</v>
      </c>
      <c r="AT356" t="s">
        <v>67</v>
      </c>
      <c r="AU356">
        <v>10450</v>
      </c>
    </row>
    <row r="357" spans="1:47" x14ac:dyDescent="0.35">
      <c r="C357" t="s">
        <v>142</v>
      </c>
      <c r="D357">
        <v>0</v>
      </c>
      <c r="G357" t="s">
        <v>142</v>
      </c>
      <c r="H357">
        <v>0</v>
      </c>
      <c r="K357" t="s">
        <v>142</v>
      </c>
      <c r="L357">
        <v>0</v>
      </c>
      <c r="O357" t="s">
        <v>142</v>
      </c>
      <c r="P357">
        <v>0</v>
      </c>
      <c r="S357" t="s">
        <v>142</v>
      </c>
      <c r="T357">
        <v>0</v>
      </c>
      <c r="W357" t="s">
        <v>142</v>
      </c>
      <c r="X357">
        <v>0</v>
      </c>
      <c r="AA357" t="s">
        <v>142</v>
      </c>
      <c r="AB357">
        <v>0</v>
      </c>
      <c r="AE357" t="s">
        <v>142</v>
      </c>
      <c r="AF357">
        <v>0</v>
      </c>
      <c r="AI357" t="s">
        <v>142</v>
      </c>
      <c r="AJ357">
        <v>1234</v>
      </c>
      <c r="AM357" t="s">
        <v>142</v>
      </c>
      <c r="AN357">
        <v>0</v>
      </c>
      <c r="AQ357" t="s">
        <v>142</v>
      </c>
      <c r="AR357">
        <v>1205</v>
      </c>
      <c r="AT357" t="s">
        <v>80</v>
      </c>
      <c r="AU357">
        <v>1285</v>
      </c>
    </row>
    <row r="358" spans="1:47" x14ac:dyDescent="0.35">
      <c r="C358" t="s">
        <v>83</v>
      </c>
      <c r="D358">
        <v>0</v>
      </c>
      <c r="G358" t="s">
        <v>83</v>
      </c>
      <c r="H358">
        <v>0</v>
      </c>
      <c r="K358" t="s">
        <v>83</v>
      </c>
      <c r="L358">
        <v>0</v>
      </c>
      <c r="O358" t="s">
        <v>83</v>
      </c>
      <c r="P358">
        <v>0</v>
      </c>
      <c r="S358" t="s">
        <v>83</v>
      </c>
      <c r="T358">
        <v>0</v>
      </c>
      <c r="W358" t="s">
        <v>83</v>
      </c>
      <c r="X358">
        <v>0</v>
      </c>
      <c r="AA358" t="s">
        <v>83</v>
      </c>
      <c r="AB358">
        <v>0</v>
      </c>
      <c r="AE358" t="s">
        <v>83</v>
      </c>
      <c r="AF358">
        <v>0</v>
      </c>
      <c r="AI358" t="s">
        <v>83</v>
      </c>
      <c r="AJ358">
        <v>249</v>
      </c>
      <c r="AM358" t="s">
        <v>83</v>
      </c>
      <c r="AN358">
        <v>0</v>
      </c>
      <c r="AQ358" t="s">
        <v>83</v>
      </c>
      <c r="AR358">
        <v>231</v>
      </c>
      <c r="AT358" t="s">
        <v>83</v>
      </c>
      <c r="AU358">
        <v>258</v>
      </c>
    </row>
    <row r="359" spans="1:47" x14ac:dyDescent="0.35">
      <c r="C359" t="s">
        <v>84</v>
      </c>
      <c r="D359">
        <v>0</v>
      </c>
      <c r="G359" t="s">
        <v>84</v>
      </c>
      <c r="H359">
        <v>0</v>
      </c>
      <c r="K359" t="s">
        <v>84</v>
      </c>
      <c r="L359">
        <v>0</v>
      </c>
      <c r="O359" t="s">
        <v>84</v>
      </c>
      <c r="P359">
        <v>0</v>
      </c>
      <c r="S359" t="s">
        <v>84</v>
      </c>
      <c r="T359">
        <v>0</v>
      </c>
      <c r="W359" t="s">
        <v>84</v>
      </c>
      <c r="X359">
        <v>0</v>
      </c>
      <c r="AA359" t="s">
        <v>84</v>
      </c>
      <c r="AB359">
        <v>0</v>
      </c>
      <c r="AE359" t="s">
        <v>84</v>
      </c>
      <c r="AF359">
        <v>0</v>
      </c>
      <c r="AI359" t="s">
        <v>84</v>
      </c>
      <c r="AJ359">
        <v>0</v>
      </c>
      <c r="AM359" t="s">
        <v>84</v>
      </c>
      <c r="AN359">
        <v>0</v>
      </c>
      <c r="AQ359" t="s">
        <v>84</v>
      </c>
      <c r="AR359">
        <v>0</v>
      </c>
      <c r="AT359" t="s">
        <v>84</v>
      </c>
      <c r="AU359">
        <v>0</v>
      </c>
    </row>
    <row r="360" spans="1:47" x14ac:dyDescent="0.35">
      <c r="C360" t="s">
        <v>126</v>
      </c>
      <c r="D360">
        <v>0</v>
      </c>
      <c r="G360" t="s">
        <v>126</v>
      </c>
      <c r="H360">
        <v>0</v>
      </c>
      <c r="K360" t="s">
        <v>223</v>
      </c>
      <c r="L360">
        <v>0</v>
      </c>
      <c r="O360" t="s">
        <v>126</v>
      </c>
      <c r="P360">
        <v>0</v>
      </c>
      <c r="S360" t="s">
        <v>126</v>
      </c>
      <c r="T360">
        <v>0</v>
      </c>
      <c r="W360" t="s">
        <v>126</v>
      </c>
      <c r="X360">
        <v>0</v>
      </c>
      <c r="AA360" t="s">
        <v>126</v>
      </c>
      <c r="AB360">
        <v>0</v>
      </c>
      <c r="AE360" t="s">
        <v>126</v>
      </c>
      <c r="AF360">
        <v>0</v>
      </c>
      <c r="AI360" t="s">
        <v>126</v>
      </c>
      <c r="AJ360">
        <v>4</v>
      </c>
      <c r="AM360" t="s">
        <v>126</v>
      </c>
      <c r="AN360">
        <v>0</v>
      </c>
      <c r="AQ360" t="s">
        <v>126</v>
      </c>
      <c r="AR360">
        <v>0</v>
      </c>
      <c r="AT360" t="s">
        <v>86</v>
      </c>
      <c r="AU360">
        <v>0</v>
      </c>
    </row>
    <row r="361" spans="1:47" x14ac:dyDescent="0.35">
      <c r="C361" t="s">
        <v>87</v>
      </c>
      <c r="D361">
        <v>0</v>
      </c>
      <c r="G361" t="s">
        <v>87</v>
      </c>
      <c r="H361">
        <v>0</v>
      </c>
      <c r="K361" t="s">
        <v>87</v>
      </c>
      <c r="L361">
        <v>0</v>
      </c>
      <c r="O361" t="s">
        <v>87</v>
      </c>
      <c r="P361">
        <v>0</v>
      </c>
      <c r="S361" t="s">
        <v>87</v>
      </c>
      <c r="T361">
        <v>0</v>
      </c>
      <c r="W361" t="s">
        <v>87</v>
      </c>
      <c r="X361">
        <v>0</v>
      </c>
      <c r="AA361" t="s">
        <v>87</v>
      </c>
      <c r="AB361">
        <v>0</v>
      </c>
      <c r="AE361" t="s">
        <v>87</v>
      </c>
      <c r="AF361">
        <v>0</v>
      </c>
      <c r="AI361" t="s">
        <v>87</v>
      </c>
      <c r="AJ361">
        <v>0</v>
      </c>
      <c r="AM361" t="s">
        <v>87</v>
      </c>
      <c r="AN361">
        <v>0</v>
      </c>
      <c r="AQ361" t="s">
        <v>87</v>
      </c>
      <c r="AR361">
        <v>0</v>
      </c>
      <c r="AT361" t="s">
        <v>87</v>
      </c>
      <c r="AU361">
        <v>0</v>
      </c>
    </row>
    <row r="362" spans="1:47" x14ac:dyDescent="0.35">
      <c r="A362" t="s">
        <v>157</v>
      </c>
      <c r="B362">
        <v>1836705</v>
      </c>
      <c r="C362" t="s">
        <v>135</v>
      </c>
      <c r="D362">
        <v>0</v>
      </c>
      <c r="E362" t="s">
        <v>157</v>
      </c>
      <c r="F362">
        <v>1902226.5000000007</v>
      </c>
      <c r="G362" t="s">
        <v>135</v>
      </c>
      <c r="H362">
        <v>0</v>
      </c>
      <c r="I362" t="s">
        <v>157</v>
      </c>
      <c r="J362">
        <v>1966855.5</v>
      </c>
      <c r="K362" t="s">
        <v>135</v>
      </c>
      <c r="L362">
        <v>0</v>
      </c>
      <c r="M362" t="s">
        <v>157</v>
      </c>
      <c r="N362">
        <v>2028517.0000000007</v>
      </c>
      <c r="O362" t="s">
        <v>135</v>
      </c>
      <c r="P362">
        <v>0</v>
      </c>
      <c r="Q362" t="s">
        <v>157</v>
      </c>
      <c r="R362">
        <v>2086205.5000000009</v>
      </c>
      <c r="S362" t="s">
        <v>135</v>
      </c>
      <c r="T362">
        <v>1430</v>
      </c>
      <c r="U362" t="s">
        <v>157</v>
      </c>
      <c r="V362">
        <v>2140215.5000000005</v>
      </c>
      <c r="W362" t="s">
        <v>135</v>
      </c>
      <c r="X362">
        <v>3543</v>
      </c>
      <c r="Y362" t="s">
        <v>157</v>
      </c>
      <c r="Z362">
        <v>2192011.5</v>
      </c>
      <c r="AA362" t="s">
        <v>135</v>
      </c>
      <c r="AB362">
        <v>2736</v>
      </c>
      <c r="AC362" t="s">
        <v>157</v>
      </c>
      <c r="AD362">
        <v>2242785.5000000005</v>
      </c>
      <c r="AE362" t="s">
        <v>135</v>
      </c>
      <c r="AF362">
        <v>3587</v>
      </c>
      <c r="AG362" t="s">
        <v>157</v>
      </c>
      <c r="AH362">
        <v>2292572.9999999981</v>
      </c>
      <c r="AI362" t="s">
        <v>135</v>
      </c>
      <c r="AJ362">
        <v>3559</v>
      </c>
      <c r="AK362" t="s">
        <v>157</v>
      </c>
      <c r="AL362">
        <v>2341178.9999999986</v>
      </c>
      <c r="AM362" t="s">
        <v>135</v>
      </c>
      <c r="AN362">
        <v>0</v>
      </c>
      <c r="AO362" t="s">
        <v>157</v>
      </c>
      <c r="AP362">
        <v>2388992.5000000005</v>
      </c>
      <c r="AQ362" t="s">
        <v>135</v>
      </c>
      <c r="AR362">
        <v>2832</v>
      </c>
      <c r="AS362" t="s">
        <v>157</v>
      </c>
      <c r="AT362" t="s">
        <v>148</v>
      </c>
      <c r="AU362">
        <v>1368</v>
      </c>
    </row>
    <row r="363" spans="1:47" x14ac:dyDescent="0.35">
      <c r="C363" t="s">
        <v>139</v>
      </c>
      <c r="D363">
        <v>0</v>
      </c>
      <c r="G363" t="s">
        <v>139</v>
      </c>
      <c r="H363">
        <v>0</v>
      </c>
      <c r="K363" t="s">
        <v>139</v>
      </c>
      <c r="L363">
        <v>0</v>
      </c>
      <c r="O363" t="s">
        <v>139</v>
      </c>
      <c r="P363">
        <v>0</v>
      </c>
      <c r="S363" t="s">
        <v>139</v>
      </c>
      <c r="T363">
        <v>9192</v>
      </c>
      <c r="W363" t="s">
        <v>139</v>
      </c>
      <c r="X363">
        <v>10700</v>
      </c>
      <c r="AA363" t="s">
        <v>139</v>
      </c>
      <c r="AB363">
        <v>12170</v>
      </c>
      <c r="AE363" t="s">
        <v>139</v>
      </c>
      <c r="AF363">
        <v>10179</v>
      </c>
      <c r="AI363" t="s">
        <v>139</v>
      </c>
      <c r="AJ363">
        <v>10963</v>
      </c>
      <c r="AM363" t="s">
        <v>139</v>
      </c>
      <c r="AN363">
        <v>0</v>
      </c>
      <c r="AQ363" t="s">
        <v>139</v>
      </c>
      <c r="AR363">
        <v>8554</v>
      </c>
      <c r="AT363" t="s">
        <v>139</v>
      </c>
      <c r="AU363">
        <v>5352</v>
      </c>
    </row>
    <row r="364" spans="1:47" x14ac:dyDescent="0.35">
      <c r="C364" t="s">
        <v>138</v>
      </c>
      <c r="D364">
        <v>0</v>
      </c>
      <c r="G364" t="s">
        <v>138</v>
      </c>
      <c r="H364">
        <v>874</v>
      </c>
      <c r="K364" t="s">
        <v>138</v>
      </c>
      <c r="L364">
        <v>0</v>
      </c>
      <c r="O364" t="s">
        <v>138</v>
      </c>
      <c r="P364">
        <v>0</v>
      </c>
      <c r="S364" t="s">
        <v>138</v>
      </c>
      <c r="T364">
        <v>1026</v>
      </c>
      <c r="W364" t="s">
        <v>138</v>
      </c>
      <c r="X364">
        <v>1466</v>
      </c>
      <c r="AA364" t="s">
        <v>138</v>
      </c>
      <c r="AB364">
        <v>0</v>
      </c>
      <c r="AE364" t="s">
        <v>138</v>
      </c>
      <c r="AF364">
        <v>1214</v>
      </c>
      <c r="AI364" t="s">
        <v>138</v>
      </c>
      <c r="AJ364">
        <v>1324</v>
      </c>
      <c r="AM364" t="s">
        <v>138</v>
      </c>
      <c r="AN364">
        <v>0</v>
      </c>
      <c r="AQ364" t="s">
        <v>138</v>
      </c>
      <c r="AR364">
        <v>1840</v>
      </c>
      <c r="AT364" t="s">
        <v>138</v>
      </c>
      <c r="AU364">
        <v>733</v>
      </c>
    </row>
    <row r="365" spans="1:47" x14ac:dyDescent="0.35">
      <c r="C365" t="s">
        <v>82</v>
      </c>
      <c r="D365">
        <v>0</v>
      </c>
      <c r="G365" t="s">
        <v>82</v>
      </c>
      <c r="H365">
        <v>98</v>
      </c>
      <c r="K365" t="s">
        <v>82</v>
      </c>
      <c r="L365">
        <v>2131</v>
      </c>
      <c r="O365" t="s">
        <v>82</v>
      </c>
      <c r="P365">
        <v>0</v>
      </c>
      <c r="S365" t="s">
        <v>82</v>
      </c>
      <c r="T365">
        <v>78</v>
      </c>
      <c r="W365" t="s">
        <v>82</v>
      </c>
      <c r="X365">
        <v>2917</v>
      </c>
      <c r="AA365" t="s">
        <v>82</v>
      </c>
      <c r="AB365">
        <v>596</v>
      </c>
      <c r="AE365" t="s">
        <v>82</v>
      </c>
      <c r="AF365">
        <v>0</v>
      </c>
      <c r="AI365" t="s">
        <v>82</v>
      </c>
      <c r="AJ365">
        <v>0</v>
      </c>
      <c r="AM365" t="s">
        <v>82</v>
      </c>
      <c r="AN365">
        <v>0</v>
      </c>
      <c r="AQ365" t="s">
        <v>82</v>
      </c>
      <c r="AR365">
        <v>0</v>
      </c>
      <c r="AT365" t="s">
        <v>82</v>
      </c>
      <c r="AU365">
        <v>227</v>
      </c>
    </row>
    <row r="366" spans="1:47" x14ac:dyDescent="0.35">
      <c r="C366" t="s">
        <v>60</v>
      </c>
      <c r="D366">
        <v>0</v>
      </c>
      <c r="G366" t="s">
        <v>60</v>
      </c>
      <c r="H366">
        <v>25</v>
      </c>
      <c r="K366" t="s">
        <v>60</v>
      </c>
      <c r="L366">
        <v>396</v>
      </c>
      <c r="O366" t="s">
        <v>60</v>
      </c>
      <c r="P366">
        <v>0</v>
      </c>
      <c r="S366" t="s">
        <v>60</v>
      </c>
      <c r="T366">
        <v>23</v>
      </c>
      <c r="W366" t="s">
        <v>60</v>
      </c>
      <c r="X366">
        <v>246</v>
      </c>
      <c r="AA366" t="s">
        <v>60</v>
      </c>
      <c r="AB366">
        <v>6</v>
      </c>
      <c r="AE366" t="s">
        <v>60</v>
      </c>
      <c r="AF366">
        <v>0</v>
      </c>
      <c r="AI366" t="s">
        <v>60</v>
      </c>
      <c r="AJ366">
        <v>0</v>
      </c>
      <c r="AM366" t="s">
        <v>60</v>
      </c>
      <c r="AN366">
        <v>0</v>
      </c>
      <c r="AQ366" t="s">
        <v>60</v>
      </c>
      <c r="AR366">
        <v>0</v>
      </c>
      <c r="AT366" t="s">
        <v>60</v>
      </c>
      <c r="AU366">
        <v>40</v>
      </c>
    </row>
    <row r="367" spans="1:47" x14ac:dyDescent="0.35">
      <c r="C367" t="s">
        <v>127</v>
      </c>
      <c r="D367">
        <v>0</v>
      </c>
      <c r="G367" t="s">
        <v>127</v>
      </c>
      <c r="H367">
        <v>0</v>
      </c>
      <c r="K367" t="s">
        <v>127</v>
      </c>
      <c r="L367">
        <v>0</v>
      </c>
      <c r="O367" t="s">
        <v>127</v>
      </c>
      <c r="P367">
        <v>0</v>
      </c>
      <c r="S367" t="s">
        <v>127</v>
      </c>
      <c r="T367">
        <v>0</v>
      </c>
      <c r="W367" t="s">
        <v>127</v>
      </c>
      <c r="X367">
        <v>0</v>
      </c>
      <c r="AA367" t="s">
        <v>127</v>
      </c>
      <c r="AB367">
        <v>0</v>
      </c>
      <c r="AE367" t="s">
        <v>127</v>
      </c>
      <c r="AF367">
        <v>117</v>
      </c>
      <c r="AI367" t="s">
        <v>127</v>
      </c>
      <c r="AJ367">
        <v>110</v>
      </c>
      <c r="AM367" t="s">
        <v>127</v>
      </c>
      <c r="AN367">
        <v>0</v>
      </c>
      <c r="AQ367" t="s">
        <v>127</v>
      </c>
      <c r="AR367">
        <v>98</v>
      </c>
      <c r="AT367" t="s">
        <v>58</v>
      </c>
      <c r="AU367">
        <v>0</v>
      </c>
    </row>
    <row r="368" spans="1:47" x14ac:dyDescent="0.35">
      <c r="C368" t="s">
        <v>61</v>
      </c>
      <c r="D368">
        <v>0</v>
      </c>
      <c r="G368" t="s">
        <v>61</v>
      </c>
      <c r="H368">
        <v>0</v>
      </c>
      <c r="K368" t="s">
        <v>61</v>
      </c>
      <c r="L368">
        <v>999</v>
      </c>
      <c r="O368" t="s">
        <v>61</v>
      </c>
      <c r="P368">
        <v>0</v>
      </c>
      <c r="S368" t="s">
        <v>61</v>
      </c>
      <c r="T368">
        <v>4</v>
      </c>
      <c r="W368" t="s">
        <v>61</v>
      </c>
      <c r="X368">
        <v>1985</v>
      </c>
      <c r="AA368" t="s">
        <v>61</v>
      </c>
      <c r="AB368">
        <v>0</v>
      </c>
      <c r="AE368" t="s">
        <v>61</v>
      </c>
      <c r="AF368">
        <v>0</v>
      </c>
      <c r="AI368" t="s">
        <v>61</v>
      </c>
      <c r="AJ368">
        <v>0</v>
      </c>
      <c r="AM368" t="s">
        <v>61</v>
      </c>
      <c r="AN368">
        <v>0</v>
      </c>
      <c r="AQ368" t="s">
        <v>61</v>
      </c>
      <c r="AR368">
        <v>0</v>
      </c>
      <c r="AT368" t="s">
        <v>61</v>
      </c>
      <c r="AU368">
        <v>6</v>
      </c>
    </row>
    <row r="369" spans="3:47" x14ac:dyDescent="0.35">
      <c r="C369" t="s">
        <v>62</v>
      </c>
      <c r="D369">
        <v>0</v>
      </c>
      <c r="G369" t="s">
        <v>62</v>
      </c>
      <c r="H369">
        <v>296</v>
      </c>
      <c r="K369" t="s">
        <v>62</v>
      </c>
      <c r="L369">
        <v>6</v>
      </c>
      <c r="O369" t="s">
        <v>62</v>
      </c>
      <c r="P369">
        <v>0</v>
      </c>
      <c r="S369" t="s">
        <v>62</v>
      </c>
      <c r="T369">
        <v>29</v>
      </c>
      <c r="W369" t="s">
        <v>62</v>
      </c>
      <c r="X369">
        <v>5029</v>
      </c>
      <c r="AA369" t="s">
        <v>62</v>
      </c>
      <c r="AB369">
        <v>0</v>
      </c>
      <c r="AE369" t="s">
        <v>62</v>
      </c>
      <c r="AF369">
        <v>0</v>
      </c>
      <c r="AI369" t="s">
        <v>62</v>
      </c>
      <c r="AJ369">
        <v>0</v>
      </c>
      <c r="AM369" t="s">
        <v>62</v>
      </c>
      <c r="AN369">
        <v>0</v>
      </c>
      <c r="AQ369" t="s">
        <v>62</v>
      </c>
      <c r="AR369">
        <v>0</v>
      </c>
      <c r="AT369" t="s">
        <v>62</v>
      </c>
      <c r="AU369">
        <v>312</v>
      </c>
    </row>
    <row r="370" spans="3:47" x14ac:dyDescent="0.35">
      <c r="C370" t="s">
        <v>203</v>
      </c>
      <c r="D370">
        <v>0</v>
      </c>
      <c r="G370" t="s">
        <v>203</v>
      </c>
      <c r="H370">
        <v>0</v>
      </c>
      <c r="K370" t="s">
        <v>203</v>
      </c>
      <c r="L370">
        <v>0</v>
      </c>
      <c r="O370" t="s">
        <v>203</v>
      </c>
      <c r="P370">
        <v>0</v>
      </c>
      <c r="S370" t="s">
        <v>203</v>
      </c>
      <c r="T370">
        <v>0</v>
      </c>
      <c r="W370" t="s">
        <v>203</v>
      </c>
      <c r="X370">
        <v>0</v>
      </c>
      <c r="AA370" t="s">
        <v>203</v>
      </c>
      <c r="AB370">
        <v>0</v>
      </c>
      <c r="AE370" t="s">
        <v>203</v>
      </c>
      <c r="AF370">
        <v>40</v>
      </c>
      <c r="AI370" t="s">
        <v>203</v>
      </c>
      <c r="AJ370">
        <v>18</v>
      </c>
      <c r="AM370" t="s">
        <v>203</v>
      </c>
      <c r="AN370">
        <v>0</v>
      </c>
      <c r="AQ370" t="s">
        <v>203</v>
      </c>
      <c r="AR370">
        <v>70</v>
      </c>
      <c r="AT370" t="s">
        <v>64</v>
      </c>
      <c r="AU370">
        <v>86</v>
      </c>
    </row>
    <row r="371" spans="3:47" x14ac:dyDescent="0.35">
      <c r="C371" t="s">
        <v>204</v>
      </c>
      <c r="D371">
        <v>0</v>
      </c>
      <c r="G371" t="s">
        <v>204</v>
      </c>
      <c r="H371">
        <v>0</v>
      </c>
      <c r="K371" t="s">
        <v>204</v>
      </c>
      <c r="L371">
        <v>0</v>
      </c>
      <c r="O371" t="s">
        <v>204</v>
      </c>
      <c r="P371">
        <v>0</v>
      </c>
      <c r="S371" t="s">
        <v>204</v>
      </c>
      <c r="T371">
        <v>0</v>
      </c>
      <c r="W371" t="s">
        <v>204</v>
      </c>
      <c r="X371">
        <v>0</v>
      </c>
      <c r="AA371" t="s">
        <v>204</v>
      </c>
      <c r="AB371">
        <v>0</v>
      </c>
      <c r="AE371" t="s">
        <v>204</v>
      </c>
      <c r="AF371">
        <v>344</v>
      </c>
      <c r="AI371" t="s">
        <v>204</v>
      </c>
      <c r="AJ371">
        <v>390</v>
      </c>
      <c r="AM371" t="s">
        <v>204</v>
      </c>
      <c r="AN371">
        <v>0</v>
      </c>
      <c r="AQ371" t="s">
        <v>204</v>
      </c>
      <c r="AR371">
        <v>0</v>
      </c>
      <c r="AT371" t="s">
        <v>65</v>
      </c>
      <c r="AU371">
        <v>318</v>
      </c>
    </row>
    <row r="372" spans="3:47" x14ac:dyDescent="0.35">
      <c r="C372" t="s">
        <v>205</v>
      </c>
      <c r="D372">
        <v>0</v>
      </c>
      <c r="G372" t="s">
        <v>205</v>
      </c>
      <c r="H372">
        <v>0</v>
      </c>
      <c r="K372" t="s">
        <v>205</v>
      </c>
      <c r="L372">
        <v>0</v>
      </c>
      <c r="O372" t="s">
        <v>205</v>
      </c>
      <c r="P372">
        <v>0</v>
      </c>
      <c r="S372" t="s">
        <v>205</v>
      </c>
      <c r="T372">
        <v>33</v>
      </c>
      <c r="W372" t="s">
        <v>205</v>
      </c>
      <c r="X372">
        <v>46</v>
      </c>
      <c r="AA372" t="s">
        <v>205</v>
      </c>
      <c r="AB372">
        <v>0</v>
      </c>
      <c r="AE372" t="s">
        <v>205</v>
      </c>
      <c r="AF372">
        <v>9</v>
      </c>
      <c r="AI372" t="s">
        <v>205</v>
      </c>
      <c r="AJ372">
        <v>9</v>
      </c>
      <c r="AM372" t="s">
        <v>205</v>
      </c>
      <c r="AN372">
        <v>0</v>
      </c>
      <c r="AQ372" t="s">
        <v>205</v>
      </c>
      <c r="AR372">
        <v>17</v>
      </c>
      <c r="AT372" t="s">
        <v>66</v>
      </c>
      <c r="AU372">
        <v>46</v>
      </c>
    </row>
    <row r="373" spans="3:47" x14ac:dyDescent="0.35">
      <c r="C373" t="s">
        <v>133</v>
      </c>
      <c r="D373">
        <v>0</v>
      </c>
      <c r="G373" t="s">
        <v>133</v>
      </c>
      <c r="H373">
        <v>0</v>
      </c>
      <c r="K373" t="s">
        <v>133</v>
      </c>
      <c r="L373">
        <v>0</v>
      </c>
      <c r="O373" t="s">
        <v>133</v>
      </c>
      <c r="P373">
        <v>0</v>
      </c>
      <c r="S373" t="s">
        <v>133</v>
      </c>
      <c r="T373">
        <v>0</v>
      </c>
      <c r="W373" t="s">
        <v>133</v>
      </c>
      <c r="X373">
        <v>0</v>
      </c>
      <c r="AA373" t="s">
        <v>133</v>
      </c>
      <c r="AB373">
        <v>439</v>
      </c>
      <c r="AE373" t="s">
        <v>133</v>
      </c>
      <c r="AF373">
        <v>454</v>
      </c>
      <c r="AI373" t="s">
        <v>133</v>
      </c>
      <c r="AJ373">
        <v>469</v>
      </c>
      <c r="AM373" t="s">
        <v>133</v>
      </c>
      <c r="AN373">
        <v>0</v>
      </c>
      <c r="AQ373" t="s">
        <v>133</v>
      </c>
      <c r="AR373">
        <v>231</v>
      </c>
      <c r="AT373" t="s">
        <v>79</v>
      </c>
      <c r="AU373">
        <v>83</v>
      </c>
    </row>
    <row r="374" spans="3:47" x14ac:dyDescent="0.35">
      <c r="C374" t="s">
        <v>206</v>
      </c>
      <c r="D374">
        <v>0</v>
      </c>
      <c r="G374" t="s">
        <v>206</v>
      </c>
      <c r="H374">
        <v>0</v>
      </c>
      <c r="K374" t="s">
        <v>206</v>
      </c>
      <c r="L374">
        <v>0</v>
      </c>
      <c r="O374" t="s">
        <v>206</v>
      </c>
      <c r="P374">
        <v>0</v>
      </c>
      <c r="S374" t="s">
        <v>206</v>
      </c>
      <c r="T374">
        <v>0</v>
      </c>
      <c r="W374" t="s">
        <v>206</v>
      </c>
      <c r="X374">
        <v>18</v>
      </c>
      <c r="AA374" t="s">
        <v>206</v>
      </c>
      <c r="AB374">
        <v>0</v>
      </c>
      <c r="AE374" t="s">
        <v>206</v>
      </c>
      <c r="AF374">
        <v>14</v>
      </c>
      <c r="AI374" t="s">
        <v>206</v>
      </c>
      <c r="AJ374">
        <v>14</v>
      </c>
      <c r="AM374" t="s">
        <v>206</v>
      </c>
      <c r="AN374">
        <v>0</v>
      </c>
      <c r="AQ374" t="s">
        <v>206</v>
      </c>
      <c r="AR374">
        <v>0</v>
      </c>
      <c r="AT374" t="s">
        <v>68</v>
      </c>
      <c r="AU374">
        <v>18</v>
      </c>
    </row>
    <row r="375" spans="3:47" x14ac:dyDescent="0.35">
      <c r="C375" t="s">
        <v>136</v>
      </c>
      <c r="D375">
        <v>0</v>
      </c>
      <c r="G375" t="s">
        <v>136</v>
      </c>
      <c r="H375">
        <v>0</v>
      </c>
      <c r="K375" t="s">
        <v>136</v>
      </c>
      <c r="L375">
        <v>0</v>
      </c>
      <c r="O375" t="s">
        <v>136</v>
      </c>
      <c r="P375">
        <v>0</v>
      </c>
      <c r="S375" t="s">
        <v>136</v>
      </c>
      <c r="T375">
        <v>66</v>
      </c>
      <c r="W375" t="s">
        <v>136</v>
      </c>
      <c r="X375">
        <v>93</v>
      </c>
      <c r="AA375" t="s">
        <v>136</v>
      </c>
      <c r="AB375">
        <v>0</v>
      </c>
      <c r="AE375" t="s">
        <v>136</v>
      </c>
      <c r="AF375">
        <v>78</v>
      </c>
      <c r="AI375" t="s">
        <v>136</v>
      </c>
      <c r="AJ375">
        <v>82</v>
      </c>
      <c r="AM375" t="s">
        <v>136</v>
      </c>
      <c r="AN375">
        <v>0</v>
      </c>
      <c r="AQ375" t="s">
        <v>136</v>
      </c>
      <c r="AR375">
        <v>478</v>
      </c>
      <c r="AT375" t="s">
        <v>69</v>
      </c>
      <c r="AU375">
        <v>93</v>
      </c>
    </row>
    <row r="376" spans="3:47" x14ac:dyDescent="0.35">
      <c r="C376" t="s">
        <v>207</v>
      </c>
      <c r="D376">
        <v>0</v>
      </c>
      <c r="G376" t="s">
        <v>207</v>
      </c>
      <c r="H376">
        <v>0</v>
      </c>
      <c r="K376" t="s">
        <v>207</v>
      </c>
      <c r="L376">
        <v>0</v>
      </c>
      <c r="O376" t="s">
        <v>207</v>
      </c>
      <c r="P376">
        <v>0</v>
      </c>
      <c r="S376" t="s">
        <v>207</v>
      </c>
      <c r="T376">
        <v>0</v>
      </c>
      <c r="W376" t="s">
        <v>207</v>
      </c>
      <c r="X376">
        <v>32</v>
      </c>
      <c r="AA376" t="s">
        <v>207</v>
      </c>
      <c r="AB376">
        <v>0</v>
      </c>
      <c r="AE376" t="s">
        <v>207</v>
      </c>
      <c r="AF376">
        <v>1</v>
      </c>
      <c r="AI376" t="s">
        <v>207</v>
      </c>
      <c r="AJ376">
        <v>0</v>
      </c>
      <c r="AM376" t="s">
        <v>207</v>
      </c>
      <c r="AN376">
        <v>0</v>
      </c>
      <c r="AQ376" t="s">
        <v>207</v>
      </c>
      <c r="AR376">
        <v>0</v>
      </c>
      <c r="AT376" t="s">
        <v>70</v>
      </c>
      <c r="AU376">
        <v>127</v>
      </c>
    </row>
    <row r="377" spans="3:47" x14ac:dyDescent="0.35">
      <c r="C377" t="s">
        <v>141</v>
      </c>
      <c r="D377">
        <v>0</v>
      </c>
      <c r="G377" t="s">
        <v>141</v>
      </c>
      <c r="H377">
        <v>0</v>
      </c>
      <c r="K377" t="s">
        <v>141</v>
      </c>
      <c r="L377">
        <v>0</v>
      </c>
      <c r="O377" t="s">
        <v>141</v>
      </c>
      <c r="P377">
        <v>0</v>
      </c>
      <c r="S377" t="s">
        <v>141</v>
      </c>
      <c r="T377">
        <v>0</v>
      </c>
      <c r="W377" t="s">
        <v>141</v>
      </c>
      <c r="X377">
        <v>5</v>
      </c>
      <c r="AA377" t="s">
        <v>141</v>
      </c>
      <c r="AB377">
        <v>0</v>
      </c>
      <c r="AE377" t="s">
        <v>141</v>
      </c>
      <c r="AF377">
        <v>9</v>
      </c>
      <c r="AI377" t="s">
        <v>141</v>
      </c>
      <c r="AJ377">
        <v>9</v>
      </c>
      <c r="AM377" t="s">
        <v>141</v>
      </c>
      <c r="AN377">
        <v>0</v>
      </c>
      <c r="AQ377" t="s">
        <v>141</v>
      </c>
      <c r="AR377">
        <v>0</v>
      </c>
      <c r="AT377" t="s">
        <v>76</v>
      </c>
      <c r="AU377">
        <v>5</v>
      </c>
    </row>
    <row r="378" spans="3:47" x14ac:dyDescent="0.35">
      <c r="C378" t="s">
        <v>208</v>
      </c>
      <c r="D378">
        <v>0</v>
      </c>
      <c r="G378" t="s">
        <v>208</v>
      </c>
      <c r="H378">
        <v>0</v>
      </c>
      <c r="K378" t="s">
        <v>208</v>
      </c>
      <c r="L378">
        <v>0</v>
      </c>
      <c r="O378" t="s">
        <v>208</v>
      </c>
      <c r="P378">
        <v>0</v>
      </c>
      <c r="S378" t="s">
        <v>208</v>
      </c>
      <c r="T378">
        <v>0</v>
      </c>
      <c r="W378" t="s">
        <v>208</v>
      </c>
      <c r="X378">
        <v>0</v>
      </c>
      <c r="AA378" t="s">
        <v>208</v>
      </c>
      <c r="AB378">
        <v>0</v>
      </c>
      <c r="AE378" t="s">
        <v>208</v>
      </c>
      <c r="AF378">
        <v>942</v>
      </c>
      <c r="AI378" t="s">
        <v>208</v>
      </c>
      <c r="AJ378">
        <v>947</v>
      </c>
      <c r="AM378" t="s">
        <v>208</v>
      </c>
      <c r="AN378">
        <v>0</v>
      </c>
      <c r="AQ378" t="s">
        <v>208</v>
      </c>
      <c r="AR378">
        <v>0</v>
      </c>
      <c r="AT378" t="s">
        <v>77</v>
      </c>
      <c r="AU378">
        <v>1939</v>
      </c>
    </row>
    <row r="379" spans="3:47" x14ac:dyDescent="0.35">
      <c r="C379" t="s">
        <v>209</v>
      </c>
      <c r="D379">
        <v>0</v>
      </c>
      <c r="G379" t="s">
        <v>209</v>
      </c>
      <c r="H379">
        <v>0</v>
      </c>
      <c r="K379" t="s">
        <v>209</v>
      </c>
      <c r="L379">
        <v>0</v>
      </c>
      <c r="O379" t="s">
        <v>209</v>
      </c>
      <c r="P379">
        <v>0</v>
      </c>
      <c r="S379" t="s">
        <v>209</v>
      </c>
      <c r="T379">
        <v>0</v>
      </c>
      <c r="W379" t="s">
        <v>209</v>
      </c>
      <c r="X379">
        <v>0</v>
      </c>
      <c r="AA379" t="s">
        <v>209</v>
      </c>
      <c r="AB379">
        <v>0</v>
      </c>
      <c r="AE379" t="s">
        <v>209</v>
      </c>
      <c r="AF379">
        <v>2595</v>
      </c>
      <c r="AI379" t="s">
        <v>209</v>
      </c>
      <c r="AJ379">
        <v>2714</v>
      </c>
      <c r="AM379" t="s">
        <v>209</v>
      </c>
      <c r="AN379">
        <v>0</v>
      </c>
      <c r="AQ379" t="s">
        <v>209</v>
      </c>
      <c r="AR379">
        <v>0</v>
      </c>
      <c r="AT379" t="s">
        <v>78</v>
      </c>
      <c r="AU379">
        <v>62</v>
      </c>
    </row>
    <row r="380" spans="3:47" x14ac:dyDescent="0.35">
      <c r="C380" t="s">
        <v>134</v>
      </c>
      <c r="D380">
        <v>0</v>
      </c>
      <c r="G380" t="s">
        <v>134</v>
      </c>
      <c r="H380">
        <v>0</v>
      </c>
      <c r="K380" t="s">
        <v>134</v>
      </c>
      <c r="L380">
        <v>0</v>
      </c>
      <c r="O380" t="s">
        <v>134</v>
      </c>
      <c r="P380">
        <v>0</v>
      </c>
      <c r="S380" t="s">
        <v>134</v>
      </c>
      <c r="T380">
        <v>287</v>
      </c>
      <c r="W380" t="s">
        <v>134</v>
      </c>
      <c r="X380">
        <v>442</v>
      </c>
      <c r="AA380" t="s">
        <v>134</v>
      </c>
      <c r="AB380">
        <v>0</v>
      </c>
      <c r="AE380" t="s">
        <v>134</v>
      </c>
      <c r="AF380">
        <v>72</v>
      </c>
      <c r="AI380" t="s">
        <v>134</v>
      </c>
      <c r="AJ380">
        <v>74</v>
      </c>
      <c r="AM380" t="s">
        <v>134</v>
      </c>
      <c r="AN380">
        <v>0</v>
      </c>
      <c r="AQ380" t="s">
        <v>134</v>
      </c>
      <c r="AR380">
        <v>228</v>
      </c>
      <c r="AT380" t="s">
        <v>67</v>
      </c>
      <c r="AU380">
        <v>439</v>
      </c>
    </row>
    <row r="381" spans="3:47" x14ac:dyDescent="0.35">
      <c r="C381" t="s">
        <v>142</v>
      </c>
      <c r="D381">
        <v>0</v>
      </c>
      <c r="G381" t="s">
        <v>142</v>
      </c>
      <c r="H381">
        <v>0</v>
      </c>
      <c r="K381" t="s">
        <v>142</v>
      </c>
      <c r="L381">
        <v>0</v>
      </c>
      <c r="O381" t="s">
        <v>142</v>
      </c>
      <c r="P381">
        <v>0</v>
      </c>
      <c r="S381" t="s">
        <v>142</v>
      </c>
      <c r="T381">
        <v>0</v>
      </c>
      <c r="W381" t="s">
        <v>142</v>
      </c>
      <c r="X381">
        <v>58</v>
      </c>
      <c r="AA381" t="s">
        <v>142</v>
      </c>
      <c r="AB381">
        <v>0</v>
      </c>
      <c r="AE381" t="s">
        <v>142</v>
      </c>
      <c r="AF381">
        <v>703</v>
      </c>
      <c r="AI381" t="s">
        <v>142</v>
      </c>
      <c r="AJ381">
        <v>615</v>
      </c>
      <c r="AM381" t="s">
        <v>142</v>
      </c>
      <c r="AN381">
        <v>0</v>
      </c>
      <c r="AQ381" t="s">
        <v>142</v>
      </c>
      <c r="AR381">
        <v>84</v>
      </c>
      <c r="AT381" t="s">
        <v>80</v>
      </c>
      <c r="AU381">
        <v>58</v>
      </c>
    </row>
    <row r="382" spans="3:47" x14ac:dyDescent="0.35">
      <c r="C382" t="s">
        <v>83</v>
      </c>
      <c r="D382">
        <v>0</v>
      </c>
      <c r="G382" t="s">
        <v>83</v>
      </c>
      <c r="H382">
        <v>0</v>
      </c>
      <c r="K382" t="s">
        <v>83</v>
      </c>
      <c r="L382">
        <v>0</v>
      </c>
      <c r="O382" t="s">
        <v>83</v>
      </c>
      <c r="P382">
        <v>0</v>
      </c>
      <c r="S382" t="s">
        <v>83</v>
      </c>
      <c r="T382">
        <v>0</v>
      </c>
      <c r="W382" t="s">
        <v>83</v>
      </c>
      <c r="X382">
        <v>43</v>
      </c>
      <c r="AA382" t="s">
        <v>83</v>
      </c>
      <c r="AB382">
        <v>0</v>
      </c>
      <c r="AE382" t="s">
        <v>83</v>
      </c>
      <c r="AF382">
        <v>43</v>
      </c>
      <c r="AI382" t="s">
        <v>83</v>
      </c>
      <c r="AJ382">
        <v>32</v>
      </c>
      <c r="AM382" t="s">
        <v>83</v>
      </c>
      <c r="AN382">
        <v>0</v>
      </c>
      <c r="AQ382" t="s">
        <v>83</v>
      </c>
      <c r="AR382">
        <v>2</v>
      </c>
      <c r="AT382" t="s">
        <v>83</v>
      </c>
      <c r="AU382">
        <v>43</v>
      </c>
    </row>
    <row r="383" spans="3:47" x14ac:dyDescent="0.35">
      <c r="C383" t="s">
        <v>84</v>
      </c>
      <c r="D383">
        <v>0</v>
      </c>
      <c r="G383" t="s">
        <v>84</v>
      </c>
      <c r="H383">
        <v>0</v>
      </c>
      <c r="K383" t="s">
        <v>84</v>
      </c>
      <c r="L383">
        <v>0</v>
      </c>
      <c r="O383" t="s">
        <v>84</v>
      </c>
      <c r="P383">
        <v>0</v>
      </c>
      <c r="S383" t="s">
        <v>84</v>
      </c>
      <c r="T383">
        <v>0</v>
      </c>
      <c r="W383" t="s">
        <v>84</v>
      </c>
      <c r="X383">
        <v>0</v>
      </c>
      <c r="AA383" t="s">
        <v>84</v>
      </c>
      <c r="AB383">
        <v>0</v>
      </c>
      <c r="AE383" t="s">
        <v>84</v>
      </c>
      <c r="AF383">
        <v>119</v>
      </c>
      <c r="AI383" t="s">
        <v>84</v>
      </c>
      <c r="AJ383">
        <v>115</v>
      </c>
      <c r="AM383" t="s">
        <v>84</v>
      </c>
      <c r="AN383">
        <v>0</v>
      </c>
      <c r="AQ383" t="s">
        <v>84</v>
      </c>
      <c r="AR383">
        <v>0</v>
      </c>
      <c r="AT383" t="s">
        <v>84</v>
      </c>
      <c r="AU383">
        <v>0</v>
      </c>
    </row>
    <row r="384" spans="3:47" x14ac:dyDescent="0.35">
      <c r="C384" t="s">
        <v>126</v>
      </c>
      <c r="D384">
        <v>0</v>
      </c>
      <c r="G384" t="s">
        <v>126</v>
      </c>
      <c r="H384">
        <v>0</v>
      </c>
      <c r="K384" t="s">
        <v>223</v>
      </c>
      <c r="L384">
        <v>0</v>
      </c>
      <c r="O384" t="s">
        <v>126</v>
      </c>
      <c r="P384">
        <v>0</v>
      </c>
      <c r="S384" t="s">
        <v>126</v>
      </c>
      <c r="T384">
        <v>0</v>
      </c>
      <c r="W384" t="s">
        <v>126</v>
      </c>
      <c r="X384">
        <v>2</v>
      </c>
      <c r="AA384" t="s">
        <v>126</v>
      </c>
      <c r="AB384">
        <v>0</v>
      </c>
      <c r="AE384" t="s">
        <v>126</v>
      </c>
      <c r="AF384">
        <v>1</v>
      </c>
      <c r="AI384" t="s">
        <v>126</v>
      </c>
      <c r="AJ384">
        <v>0</v>
      </c>
      <c r="AM384" t="s">
        <v>126</v>
      </c>
      <c r="AN384">
        <v>0</v>
      </c>
      <c r="AQ384" t="s">
        <v>126</v>
      </c>
      <c r="AR384">
        <v>0</v>
      </c>
      <c r="AT384" t="s">
        <v>86</v>
      </c>
      <c r="AU384">
        <v>0</v>
      </c>
    </row>
    <row r="385" spans="1:47" x14ac:dyDescent="0.35">
      <c r="C385" t="s">
        <v>87</v>
      </c>
      <c r="D385">
        <v>0</v>
      </c>
      <c r="G385" t="s">
        <v>87</v>
      </c>
      <c r="H385">
        <v>0</v>
      </c>
      <c r="K385" t="s">
        <v>87</v>
      </c>
      <c r="L385">
        <v>0</v>
      </c>
      <c r="O385" t="s">
        <v>87</v>
      </c>
      <c r="P385">
        <v>0</v>
      </c>
      <c r="S385" t="s">
        <v>87</v>
      </c>
      <c r="T385">
        <v>0</v>
      </c>
      <c r="W385" t="s">
        <v>87</v>
      </c>
      <c r="X385">
        <v>99</v>
      </c>
      <c r="AA385" t="s">
        <v>87</v>
      </c>
      <c r="AB385">
        <v>0</v>
      </c>
      <c r="AE385" t="s">
        <v>87</v>
      </c>
      <c r="AF385">
        <v>117</v>
      </c>
      <c r="AI385" t="s">
        <v>87</v>
      </c>
      <c r="AJ385">
        <v>112</v>
      </c>
      <c r="AM385" t="s">
        <v>87</v>
      </c>
      <c r="AN385">
        <v>0</v>
      </c>
      <c r="AQ385" t="s">
        <v>87</v>
      </c>
      <c r="AR385">
        <v>0</v>
      </c>
      <c r="AT385" t="s">
        <v>87</v>
      </c>
      <c r="AU385">
        <v>99</v>
      </c>
    </row>
    <row r="386" spans="1:47" x14ac:dyDescent="0.35">
      <c r="A386" t="s">
        <v>172</v>
      </c>
      <c r="B386">
        <v>26858761.999999993</v>
      </c>
      <c r="C386" t="s">
        <v>135</v>
      </c>
      <c r="D386">
        <v>4972</v>
      </c>
      <c r="E386" t="s">
        <v>172</v>
      </c>
      <c r="F386">
        <v>27525596.999999989</v>
      </c>
      <c r="G386" t="s">
        <v>135</v>
      </c>
      <c r="H386">
        <v>5460</v>
      </c>
      <c r="I386" t="s">
        <v>172</v>
      </c>
      <c r="J386">
        <v>28196358.499999996</v>
      </c>
      <c r="K386" t="s">
        <v>135</v>
      </c>
      <c r="L386">
        <v>6032</v>
      </c>
      <c r="M386" t="s">
        <v>172</v>
      </c>
      <c r="N386">
        <v>28870939.000000007</v>
      </c>
      <c r="O386" t="s">
        <v>135</v>
      </c>
      <c r="P386">
        <v>6526</v>
      </c>
      <c r="Q386" t="s">
        <v>172</v>
      </c>
      <c r="R386">
        <v>29554302.499999993</v>
      </c>
      <c r="S386" t="s">
        <v>135</v>
      </c>
      <c r="T386">
        <v>7236</v>
      </c>
      <c r="U386" t="s">
        <v>172</v>
      </c>
      <c r="V386">
        <v>30222261.500000004</v>
      </c>
      <c r="W386" t="s">
        <v>135</v>
      </c>
      <c r="X386">
        <v>5358</v>
      </c>
      <c r="Y386" t="s">
        <v>172</v>
      </c>
      <c r="Z386">
        <v>30870640.5</v>
      </c>
      <c r="AA386" t="s">
        <v>135</v>
      </c>
      <c r="AB386">
        <v>8812</v>
      </c>
      <c r="AC386" t="s">
        <v>172</v>
      </c>
      <c r="AD386">
        <v>31522289.999999996</v>
      </c>
      <c r="AE386" t="s">
        <v>135</v>
      </c>
      <c r="AF386">
        <v>6634</v>
      </c>
      <c r="AG386" t="s">
        <v>172</v>
      </c>
      <c r="AH386">
        <v>32180401.499999981</v>
      </c>
      <c r="AI386" t="s">
        <v>135</v>
      </c>
      <c r="AJ386">
        <v>10570</v>
      </c>
      <c r="AK386" t="s">
        <v>172</v>
      </c>
      <c r="AL386">
        <v>32833031.499999996</v>
      </c>
      <c r="AM386" t="s">
        <v>135</v>
      </c>
      <c r="AN386">
        <v>8338</v>
      </c>
      <c r="AO386" t="s">
        <v>172</v>
      </c>
      <c r="AP386">
        <v>33475870.500000011</v>
      </c>
      <c r="AQ386" t="s">
        <v>135</v>
      </c>
      <c r="AR386">
        <v>9452</v>
      </c>
      <c r="AS386" t="s">
        <v>172</v>
      </c>
      <c r="AT386" t="s">
        <v>148</v>
      </c>
      <c r="AU386">
        <v>4406</v>
      </c>
    </row>
    <row r="387" spans="1:47" x14ac:dyDescent="0.35">
      <c r="C387" t="s">
        <v>139</v>
      </c>
      <c r="D387">
        <v>0</v>
      </c>
      <c r="G387" t="s">
        <v>139</v>
      </c>
      <c r="H387">
        <v>0</v>
      </c>
      <c r="K387" t="s">
        <v>139</v>
      </c>
      <c r="L387">
        <v>74808</v>
      </c>
      <c r="O387" t="s">
        <v>139</v>
      </c>
      <c r="P387">
        <v>97878</v>
      </c>
      <c r="S387" t="s">
        <v>139</v>
      </c>
      <c r="T387">
        <v>105210</v>
      </c>
      <c r="W387" t="s">
        <v>139</v>
      </c>
      <c r="X387">
        <v>117216</v>
      </c>
      <c r="AA387" t="s">
        <v>139</v>
      </c>
      <c r="AB387">
        <v>250048</v>
      </c>
      <c r="AE387" t="s">
        <v>139</v>
      </c>
      <c r="AF387">
        <v>139578</v>
      </c>
      <c r="AI387" t="s">
        <v>139</v>
      </c>
      <c r="AJ387">
        <v>191578</v>
      </c>
      <c r="AM387" t="s">
        <v>139</v>
      </c>
      <c r="AN387">
        <v>186288</v>
      </c>
      <c r="AQ387" t="s">
        <v>139</v>
      </c>
      <c r="AR387">
        <v>205886</v>
      </c>
      <c r="AT387" t="s">
        <v>139</v>
      </c>
      <c r="AU387">
        <v>42827</v>
      </c>
    </row>
    <row r="388" spans="1:47" x14ac:dyDescent="0.35">
      <c r="C388" t="s">
        <v>138</v>
      </c>
      <c r="D388">
        <v>0</v>
      </c>
      <c r="G388" t="s">
        <v>138</v>
      </c>
      <c r="H388">
        <v>22574</v>
      </c>
      <c r="K388" t="s">
        <v>138</v>
      </c>
      <c r="L388">
        <v>0</v>
      </c>
      <c r="O388" t="s">
        <v>138</v>
      </c>
      <c r="P388">
        <v>13616</v>
      </c>
      <c r="S388" t="s">
        <v>138</v>
      </c>
      <c r="T388">
        <v>15324</v>
      </c>
      <c r="W388" t="s">
        <v>138</v>
      </c>
      <c r="X388">
        <v>19108</v>
      </c>
      <c r="AA388" t="s">
        <v>138</v>
      </c>
      <c r="AB388">
        <v>20978</v>
      </c>
      <c r="AE388" t="s">
        <v>138</v>
      </c>
      <c r="AF388">
        <v>25346</v>
      </c>
      <c r="AI388" t="s">
        <v>138</v>
      </c>
      <c r="AJ388">
        <v>33400</v>
      </c>
      <c r="AM388" t="s">
        <v>138</v>
      </c>
      <c r="AN388">
        <v>38282</v>
      </c>
      <c r="AQ388" t="s">
        <v>138</v>
      </c>
      <c r="AR388">
        <v>47764</v>
      </c>
      <c r="AT388" t="s">
        <v>138</v>
      </c>
      <c r="AU388">
        <v>10625</v>
      </c>
    </row>
    <row r="389" spans="1:47" x14ac:dyDescent="0.35">
      <c r="C389" t="s">
        <v>82</v>
      </c>
      <c r="D389">
        <v>451</v>
      </c>
      <c r="G389" t="s">
        <v>82</v>
      </c>
      <c r="H389">
        <v>216</v>
      </c>
      <c r="K389" t="s">
        <v>82</v>
      </c>
      <c r="L389">
        <v>55</v>
      </c>
      <c r="O389" t="s">
        <v>82</v>
      </c>
      <c r="P389">
        <v>1845</v>
      </c>
      <c r="S389" t="s">
        <v>82</v>
      </c>
      <c r="T389">
        <v>440</v>
      </c>
      <c r="W389" t="s">
        <v>82</v>
      </c>
      <c r="X389">
        <v>0</v>
      </c>
      <c r="AA389" t="s">
        <v>82</v>
      </c>
      <c r="AB389">
        <v>0</v>
      </c>
      <c r="AE389" t="s">
        <v>82</v>
      </c>
      <c r="AF389">
        <v>0</v>
      </c>
      <c r="AI389" t="s">
        <v>82</v>
      </c>
      <c r="AJ389">
        <v>0</v>
      </c>
      <c r="AM389" t="s">
        <v>82</v>
      </c>
      <c r="AN389">
        <v>0</v>
      </c>
      <c r="AQ389" t="s">
        <v>82</v>
      </c>
      <c r="AR389">
        <v>227</v>
      </c>
      <c r="AT389" t="s">
        <v>82</v>
      </c>
      <c r="AU389">
        <v>2127</v>
      </c>
    </row>
    <row r="390" spans="1:47" x14ac:dyDescent="0.35">
      <c r="C390" t="s">
        <v>60</v>
      </c>
      <c r="D390">
        <v>186</v>
      </c>
      <c r="G390" t="s">
        <v>60</v>
      </c>
      <c r="H390">
        <v>21</v>
      </c>
      <c r="K390" t="s">
        <v>60</v>
      </c>
      <c r="L390">
        <v>32</v>
      </c>
      <c r="O390" t="s">
        <v>60</v>
      </c>
      <c r="P390">
        <v>1450</v>
      </c>
      <c r="S390" t="s">
        <v>60</v>
      </c>
      <c r="T390">
        <v>80</v>
      </c>
      <c r="W390" t="s">
        <v>60</v>
      </c>
      <c r="X390">
        <v>0</v>
      </c>
      <c r="AA390" t="s">
        <v>60</v>
      </c>
      <c r="AB390">
        <v>0</v>
      </c>
      <c r="AE390" t="s">
        <v>60</v>
      </c>
      <c r="AF390">
        <v>0</v>
      </c>
      <c r="AI390" t="s">
        <v>60</v>
      </c>
      <c r="AJ390">
        <v>0</v>
      </c>
      <c r="AM390" t="s">
        <v>60</v>
      </c>
      <c r="AN390">
        <v>0</v>
      </c>
      <c r="AQ390" t="s">
        <v>60</v>
      </c>
      <c r="AR390">
        <v>40</v>
      </c>
      <c r="AT390" t="s">
        <v>60</v>
      </c>
      <c r="AU390">
        <v>713</v>
      </c>
    </row>
    <row r="391" spans="1:47" x14ac:dyDescent="0.35">
      <c r="C391" t="s">
        <v>127</v>
      </c>
      <c r="D391">
        <v>0</v>
      </c>
      <c r="G391" t="s">
        <v>127</v>
      </c>
      <c r="H391">
        <v>5293</v>
      </c>
      <c r="K391" t="s">
        <v>127</v>
      </c>
      <c r="L391">
        <v>0</v>
      </c>
      <c r="O391" t="s">
        <v>127</v>
      </c>
      <c r="P391">
        <v>0</v>
      </c>
      <c r="S391" t="s">
        <v>127</v>
      </c>
      <c r="T391">
        <v>0</v>
      </c>
      <c r="W391" t="s">
        <v>127</v>
      </c>
      <c r="X391">
        <v>15456</v>
      </c>
      <c r="AA391" t="s">
        <v>127</v>
      </c>
      <c r="AB391">
        <v>15820</v>
      </c>
      <c r="AE391" t="s">
        <v>127</v>
      </c>
      <c r="AF391">
        <v>0</v>
      </c>
      <c r="AI391" t="s">
        <v>127</v>
      </c>
      <c r="AJ391">
        <v>0</v>
      </c>
      <c r="AM391" t="s">
        <v>127</v>
      </c>
      <c r="AN391">
        <v>0</v>
      </c>
      <c r="AQ391" t="s">
        <v>127</v>
      </c>
      <c r="AR391">
        <v>0</v>
      </c>
      <c r="AT391" t="s">
        <v>58</v>
      </c>
      <c r="AU391">
        <v>15820</v>
      </c>
    </row>
    <row r="392" spans="1:47" x14ac:dyDescent="0.35">
      <c r="C392" t="s">
        <v>61</v>
      </c>
      <c r="D392">
        <v>0</v>
      </c>
      <c r="G392" t="s">
        <v>61</v>
      </c>
      <c r="H392">
        <v>4</v>
      </c>
      <c r="K392" t="s">
        <v>61</v>
      </c>
      <c r="L392">
        <v>0</v>
      </c>
      <c r="O392" t="s">
        <v>61</v>
      </c>
      <c r="P392">
        <v>0</v>
      </c>
      <c r="S392" t="s">
        <v>61</v>
      </c>
      <c r="T392">
        <v>19</v>
      </c>
      <c r="W392" t="s">
        <v>61</v>
      </c>
      <c r="X392">
        <v>0</v>
      </c>
      <c r="AA392" t="s">
        <v>61</v>
      </c>
      <c r="AB392">
        <v>0</v>
      </c>
      <c r="AE392" t="s">
        <v>61</v>
      </c>
      <c r="AF392">
        <v>0</v>
      </c>
      <c r="AI392" t="s">
        <v>61</v>
      </c>
      <c r="AJ392">
        <v>0</v>
      </c>
      <c r="AM392" t="s">
        <v>61</v>
      </c>
      <c r="AN392">
        <v>0</v>
      </c>
      <c r="AQ392" t="s">
        <v>61</v>
      </c>
      <c r="AR392">
        <v>6</v>
      </c>
      <c r="AT392" t="s">
        <v>61</v>
      </c>
      <c r="AU392">
        <v>0</v>
      </c>
    </row>
    <row r="393" spans="1:47" x14ac:dyDescent="0.35">
      <c r="C393" t="s">
        <v>62</v>
      </c>
      <c r="D393">
        <v>0</v>
      </c>
      <c r="G393" t="s">
        <v>62</v>
      </c>
      <c r="H393">
        <v>351</v>
      </c>
      <c r="K393" t="s">
        <v>62</v>
      </c>
      <c r="L393">
        <v>0</v>
      </c>
      <c r="O393" t="s">
        <v>62</v>
      </c>
      <c r="P393">
        <v>0</v>
      </c>
      <c r="S393" t="s">
        <v>62</v>
      </c>
      <c r="T393">
        <v>160</v>
      </c>
      <c r="W393" t="s">
        <v>62</v>
      </c>
      <c r="X393">
        <v>0</v>
      </c>
      <c r="AA393" t="s">
        <v>62</v>
      </c>
      <c r="AB393">
        <v>0</v>
      </c>
      <c r="AE393" t="s">
        <v>62</v>
      </c>
      <c r="AF393">
        <v>0</v>
      </c>
      <c r="AI393" t="s">
        <v>62</v>
      </c>
      <c r="AJ393">
        <v>0</v>
      </c>
      <c r="AM393" t="s">
        <v>62</v>
      </c>
      <c r="AN393">
        <v>0</v>
      </c>
      <c r="AQ393" t="s">
        <v>62</v>
      </c>
      <c r="AR393">
        <v>0</v>
      </c>
      <c r="AT393" t="s">
        <v>62</v>
      </c>
      <c r="AU393">
        <v>47</v>
      </c>
    </row>
    <row r="394" spans="1:47" x14ac:dyDescent="0.35">
      <c r="C394" t="s">
        <v>203</v>
      </c>
      <c r="D394">
        <v>0</v>
      </c>
      <c r="G394" t="s">
        <v>203</v>
      </c>
      <c r="H394">
        <v>0</v>
      </c>
      <c r="K394" t="s">
        <v>203</v>
      </c>
      <c r="L394">
        <v>0</v>
      </c>
      <c r="O394" t="s">
        <v>203</v>
      </c>
      <c r="P394">
        <v>0</v>
      </c>
      <c r="S394" t="s">
        <v>203</v>
      </c>
      <c r="T394">
        <v>0</v>
      </c>
      <c r="W394" t="s">
        <v>203</v>
      </c>
      <c r="X394">
        <v>0</v>
      </c>
      <c r="AA394" t="s">
        <v>203</v>
      </c>
      <c r="AB394">
        <v>0</v>
      </c>
      <c r="AE394" t="s">
        <v>203</v>
      </c>
      <c r="AF394">
        <v>0</v>
      </c>
      <c r="AI394" t="s">
        <v>203</v>
      </c>
      <c r="AJ394">
        <v>0</v>
      </c>
      <c r="AM394" t="s">
        <v>203</v>
      </c>
      <c r="AN394">
        <v>3453</v>
      </c>
      <c r="AQ394" t="s">
        <v>203</v>
      </c>
      <c r="AR394">
        <v>3602</v>
      </c>
      <c r="AT394" t="s">
        <v>64</v>
      </c>
      <c r="AU394">
        <v>4059</v>
      </c>
    </row>
    <row r="395" spans="1:47" x14ac:dyDescent="0.35">
      <c r="C395" t="s">
        <v>204</v>
      </c>
      <c r="D395">
        <v>0</v>
      </c>
      <c r="G395" t="s">
        <v>204</v>
      </c>
      <c r="H395">
        <v>0</v>
      </c>
      <c r="K395" t="s">
        <v>204</v>
      </c>
      <c r="L395">
        <v>0</v>
      </c>
      <c r="O395" t="s">
        <v>204</v>
      </c>
      <c r="P395">
        <v>0</v>
      </c>
      <c r="S395" t="s">
        <v>204</v>
      </c>
      <c r="T395">
        <v>0</v>
      </c>
      <c r="W395" t="s">
        <v>204</v>
      </c>
      <c r="X395">
        <v>0</v>
      </c>
      <c r="AA395" t="s">
        <v>204</v>
      </c>
      <c r="AB395">
        <v>0</v>
      </c>
      <c r="AE395" t="s">
        <v>204</v>
      </c>
      <c r="AF395">
        <v>0</v>
      </c>
      <c r="AI395" t="s">
        <v>204</v>
      </c>
      <c r="AJ395">
        <v>0</v>
      </c>
      <c r="AM395" t="s">
        <v>204</v>
      </c>
      <c r="AN395">
        <v>0</v>
      </c>
      <c r="AQ395" t="s">
        <v>204</v>
      </c>
      <c r="AR395">
        <v>0</v>
      </c>
      <c r="AT395" t="s">
        <v>65</v>
      </c>
      <c r="AU395">
        <v>1033</v>
      </c>
    </row>
    <row r="396" spans="1:47" x14ac:dyDescent="0.35">
      <c r="C396" t="s">
        <v>205</v>
      </c>
      <c r="D396">
        <v>0</v>
      </c>
      <c r="G396" t="s">
        <v>205</v>
      </c>
      <c r="H396">
        <v>0</v>
      </c>
      <c r="K396" t="s">
        <v>205</v>
      </c>
      <c r="L396">
        <v>0</v>
      </c>
      <c r="O396" t="s">
        <v>205</v>
      </c>
      <c r="P396">
        <v>0</v>
      </c>
      <c r="S396" t="s">
        <v>205</v>
      </c>
      <c r="T396">
        <v>30</v>
      </c>
      <c r="W396" t="s">
        <v>205</v>
      </c>
      <c r="X396">
        <v>167</v>
      </c>
      <c r="AA396" t="s">
        <v>205</v>
      </c>
      <c r="AB396">
        <v>0</v>
      </c>
      <c r="AE396" t="s">
        <v>205</v>
      </c>
      <c r="AF396">
        <v>0</v>
      </c>
      <c r="AI396" t="s">
        <v>205</v>
      </c>
      <c r="AJ396">
        <v>0</v>
      </c>
      <c r="AM396" t="s">
        <v>205</v>
      </c>
      <c r="AN396">
        <v>0</v>
      </c>
      <c r="AQ396" t="s">
        <v>205</v>
      </c>
      <c r="AR396">
        <v>0</v>
      </c>
      <c r="AT396" t="s">
        <v>66</v>
      </c>
      <c r="AU396">
        <v>0</v>
      </c>
    </row>
    <row r="397" spans="1:47" x14ac:dyDescent="0.35">
      <c r="C397" t="s">
        <v>133</v>
      </c>
      <c r="D397">
        <v>0</v>
      </c>
      <c r="G397" t="s">
        <v>133</v>
      </c>
      <c r="H397">
        <v>0</v>
      </c>
      <c r="K397" t="s">
        <v>133</v>
      </c>
      <c r="L397">
        <v>0</v>
      </c>
      <c r="O397" t="s">
        <v>133</v>
      </c>
      <c r="P397">
        <v>0</v>
      </c>
      <c r="S397" t="s">
        <v>133</v>
      </c>
      <c r="T397">
        <v>0</v>
      </c>
      <c r="W397" t="s">
        <v>133</v>
      </c>
      <c r="X397">
        <v>0</v>
      </c>
      <c r="AA397" t="s">
        <v>133</v>
      </c>
      <c r="AB397">
        <v>1563</v>
      </c>
      <c r="AE397" t="s">
        <v>133</v>
      </c>
      <c r="AF397">
        <v>0</v>
      </c>
      <c r="AI397" t="s">
        <v>133</v>
      </c>
      <c r="AJ397">
        <v>0</v>
      </c>
      <c r="AM397" t="s">
        <v>133</v>
      </c>
      <c r="AN397">
        <v>1759</v>
      </c>
      <c r="AQ397" t="s">
        <v>133</v>
      </c>
      <c r="AR397">
        <v>2139</v>
      </c>
      <c r="AT397" t="s">
        <v>79</v>
      </c>
      <c r="AU397">
        <v>398</v>
      </c>
    </row>
    <row r="398" spans="1:47" x14ac:dyDescent="0.35">
      <c r="C398" t="s">
        <v>206</v>
      </c>
      <c r="D398">
        <v>0</v>
      </c>
      <c r="G398" t="s">
        <v>206</v>
      </c>
      <c r="H398">
        <v>0</v>
      </c>
      <c r="K398" t="s">
        <v>206</v>
      </c>
      <c r="L398">
        <v>0</v>
      </c>
      <c r="O398" t="s">
        <v>206</v>
      </c>
      <c r="P398">
        <v>0</v>
      </c>
      <c r="S398" t="s">
        <v>206</v>
      </c>
      <c r="T398">
        <v>0</v>
      </c>
      <c r="W398" t="s">
        <v>206</v>
      </c>
      <c r="X398">
        <v>240</v>
      </c>
      <c r="AA398" t="s">
        <v>206</v>
      </c>
      <c r="AB398">
        <v>0</v>
      </c>
      <c r="AE398" t="s">
        <v>206</v>
      </c>
      <c r="AF398">
        <v>0</v>
      </c>
      <c r="AI398" t="s">
        <v>206</v>
      </c>
      <c r="AJ398">
        <v>0</v>
      </c>
      <c r="AM398" t="s">
        <v>206</v>
      </c>
      <c r="AN398">
        <v>2352</v>
      </c>
      <c r="AQ398" t="s">
        <v>206</v>
      </c>
      <c r="AR398">
        <v>2471</v>
      </c>
      <c r="AT398" t="s">
        <v>68</v>
      </c>
      <c r="AU398">
        <v>1671</v>
      </c>
    </row>
    <row r="399" spans="1:47" x14ac:dyDescent="0.35">
      <c r="C399" t="s">
        <v>136</v>
      </c>
      <c r="D399">
        <v>0</v>
      </c>
      <c r="G399" t="s">
        <v>136</v>
      </c>
      <c r="H399">
        <v>0</v>
      </c>
      <c r="K399" t="s">
        <v>136</v>
      </c>
      <c r="L399">
        <v>0</v>
      </c>
      <c r="O399" t="s">
        <v>136</v>
      </c>
      <c r="P399">
        <v>0</v>
      </c>
      <c r="S399" t="s">
        <v>136</v>
      </c>
      <c r="T399">
        <v>0</v>
      </c>
      <c r="W399" t="s">
        <v>136</v>
      </c>
      <c r="X399">
        <v>0</v>
      </c>
      <c r="AA399" t="s">
        <v>136</v>
      </c>
      <c r="AB399">
        <v>0</v>
      </c>
      <c r="AE399" t="s">
        <v>136</v>
      </c>
      <c r="AF399">
        <v>0</v>
      </c>
      <c r="AI399" t="s">
        <v>136</v>
      </c>
      <c r="AJ399">
        <v>0</v>
      </c>
      <c r="AM399" t="s">
        <v>136</v>
      </c>
      <c r="AN399">
        <v>1673</v>
      </c>
      <c r="AQ399" t="s">
        <v>136</v>
      </c>
      <c r="AR399">
        <v>2703</v>
      </c>
      <c r="AT399" t="s">
        <v>69</v>
      </c>
      <c r="AU399">
        <v>1476</v>
      </c>
    </row>
    <row r="400" spans="1:47" x14ac:dyDescent="0.35">
      <c r="C400" t="s">
        <v>207</v>
      </c>
      <c r="D400">
        <v>0</v>
      </c>
      <c r="G400" t="s">
        <v>207</v>
      </c>
      <c r="H400">
        <v>0</v>
      </c>
      <c r="K400" t="s">
        <v>207</v>
      </c>
      <c r="L400">
        <v>0</v>
      </c>
      <c r="O400" t="s">
        <v>207</v>
      </c>
      <c r="P400">
        <v>0</v>
      </c>
      <c r="S400" t="s">
        <v>207</v>
      </c>
      <c r="T400">
        <v>0</v>
      </c>
      <c r="W400" t="s">
        <v>207</v>
      </c>
      <c r="X400">
        <v>0</v>
      </c>
      <c r="AA400" t="s">
        <v>207</v>
      </c>
      <c r="AB400">
        <v>0</v>
      </c>
      <c r="AE400" t="s">
        <v>207</v>
      </c>
      <c r="AF400">
        <v>0</v>
      </c>
      <c r="AI400" t="s">
        <v>207</v>
      </c>
      <c r="AJ400">
        <v>0</v>
      </c>
      <c r="AM400" t="s">
        <v>207</v>
      </c>
      <c r="AN400">
        <v>3238</v>
      </c>
      <c r="AQ400" t="s">
        <v>207</v>
      </c>
      <c r="AR400">
        <v>3555</v>
      </c>
      <c r="AT400" t="s">
        <v>70</v>
      </c>
      <c r="AU400">
        <v>3883</v>
      </c>
    </row>
    <row r="401" spans="1:47" x14ac:dyDescent="0.35">
      <c r="C401" t="s">
        <v>141</v>
      </c>
      <c r="D401">
        <v>0</v>
      </c>
      <c r="G401" t="s">
        <v>141</v>
      </c>
      <c r="H401">
        <v>0</v>
      </c>
      <c r="K401" t="s">
        <v>141</v>
      </c>
      <c r="L401">
        <v>0</v>
      </c>
      <c r="O401" t="s">
        <v>141</v>
      </c>
      <c r="P401">
        <v>0</v>
      </c>
      <c r="S401" t="s">
        <v>141</v>
      </c>
      <c r="T401">
        <v>0</v>
      </c>
      <c r="W401" t="s">
        <v>141</v>
      </c>
      <c r="X401">
        <v>133</v>
      </c>
      <c r="AA401" t="s">
        <v>141</v>
      </c>
      <c r="AB401">
        <v>0</v>
      </c>
      <c r="AE401" t="s">
        <v>141</v>
      </c>
      <c r="AF401">
        <v>0</v>
      </c>
      <c r="AI401" t="s">
        <v>141</v>
      </c>
      <c r="AJ401">
        <v>0</v>
      </c>
      <c r="AM401" t="s">
        <v>141</v>
      </c>
      <c r="AN401">
        <v>235</v>
      </c>
      <c r="AQ401" t="s">
        <v>141</v>
      </c>
      <c r="AR401">
        <v>309</v>
      </c>
      <c r="AT401" t="s">
        <v>76</v>
      </c>
      <c r="AU401">
        <v>143</v>
      </c>
    </row>
    <row r="402" spans="1:47" x14ac:dyDescent="0.35">
      <c r="C402" t="s">
        <v>208</v>
      </c>
      <c r="D402">
        <v>0</v>
      </c>
      <c r="G402" t="s">
        <v>208</v>
      </c>
      <c r="H402">
        <v>0</v>
      </c>
      <c r="K402" t="s">
        <v>208</v>
      </c>
      <c r="L402">
        <v>0</v>
      </c>
      <c r="O402" t="s">
        <v>208</v>
      </c>
      <c r="P402">
        <v>0</v>
      </c>
      <c r="S402" t="s">
        <v>208</v>
      </c>
      <c r="T402">
        <v>0</v>
      </c>
      <c r="W402" t="s">
        <v>208</v>
      </c>
      <c r="X402">
        <v>0</v>
      </c>
      <c r="AA402" t="s">
        <v>208</v>
      </c>
      <c r="AB402">
        <v>0</v>
      </c>
      <c r="AE402" t="s">
        <v>208</v>
      </c>
      <c r="AF402">
        <v>0</v>
      </c>
      <c r="AI402" t="s">
        <v>208</v>
      </c>
      <c r="AJ402">
        <v>0</v>
      </c>
      <c r="AM402" t="s">
        <v>208</v>
      </c>
      <c r="AN402">
        <v>0</v>
      </c>
      <c r="AQ402" t="s">
        <v>208</v>
      </c>
      <c r="AR402">
        <v>0</v>
      </c>
      <c r="AT402" t="s">
        <v>77</v>
      </c>
      <c r="AU402">
        <v>23627</v>
      </c>
    </row>
    <row r="403" spans="1:47" x14ac:dyDescent="0.35">
      <c r="C403" t="s">
        <v>209</v>
      </c>
      <c r="D403">
        <v>0</v>
      </c>
      <c r="G403" t="s">
        <v>209</v>
      </c>
      <c r="H403">
        <v>0</v>
      </c>
      <c r="K403" t="s">
        <v>209</v>
      </c>
      <c r="L403">
        <v>0</v>
      </c>
      <c r="O403" t="s">
        <v>209</v>
      </c>
      <c r="P403">
        <v>0</v>
      </c>
      <c r="S403" t="s">
        <v>209</v>
      </c>
      <c r="T403">
        <v>0</v>
      </c>
      <c r="W403" t="s">
        <v>209</v>
      </c>
      <c r="X403">
        <v>0</v>
      </c>
      <c r="AA403" t="s">
        <v>209</v>
      </c>
      <c r="AB403">
        <v>0</v>
      </c>
      <c r="AE403" t="s">
        <v>209</v>
      </c>
      <c r="AF403">
        <v>0</v>
      </c>
      <c r="AI403" t="s">
        <v>209</v>
      </c>
      <c r="AJ403">
        <v>0</v>
      </c>
      <c r="AM403" t="s">
        <v>209</v>
      </c>
      <c r="AN403">
        <v>0</v>
      </c>
      <c r="AQ403" t="s">
        <v>209</v>
      </c>
      <c r="AR403">
        <v>0</v>
      </c>
      <c r="AT403" t="s">
        <v>78</v>
      </c>
      <c r="AU403">
        <v>1877</v>
      </c>
    </row>
    <row r="404" spans="1:47" x14ac:dyDescent="0.35">
      <c r="C404" t="s">
        <v>134</v>
      </c>
      <c r="D404">
        <v>0</v>
      </c>
      <c r="G404" t="s">
        <v>134</v>
      </c>
      <c r="H404">
        <v>3987</v>
      </c>
      <c r="K404" t="s">
        <v>134</v>
      </c>
      <c r="L404">
        <v>0</v>
      </c>
      <c r="O404" t="s">
        <v>134</v>
      </c>
      <c r="P404">
        <v>0</v>
      </c>
      <c r="S404" t="s">
        <v>134</v>
      </c>
      <c r="T404">
        <v>0</v>
      </c>
      <c r="W404" t="s">
        <v>134</v>
      </c>
      <c r="X404">
        <v>0</v>
      </c>
      <c r="AA404" t="s">
        <v>134</v>
      </c>
      <c r="AB404">
        <v>0</v>
      </c>
      <c r="AE404" t="s">
        <v>134</v>
      </c>
      <c r="AF404">
        <v>0</v>
      </c>
      <c r="AI404" t="s">
        <v>134</v>
      </c>
      <c r="AJ404">
        <v>0</v>
      </c>
      <c r="AM404" t="s">
        <v>134</v>
      </c>
      <c r="AN404">
        <v>6276</v>
      </c>
      <c r="AQ404" t="s">
        <v>134</v>
      </c>
      <c r="AR404">
        <v>477</v>
      </c>
      <c r="AT404" t="s">
        <v>67</v>
      </c>
      <c r="AU404">
        <v>1563</v>
      </c>
    </row>
    <row r="405" spans="1:47" x14ac:dyDescent="0.35">
      <c r="C405" t="s">
        <v>142</v>
      </c>
      <c r="D405">
        <v>0</v>
      </c>
      <c r="G405" t="s">
        <v>142</v>
      </c>
      <c r="H405">
        <v>0</v>
      </c>
      <c r="K405" t="s">
        <v>142</v>
      </c>
      <c r="L405">
        <v>0</v>
      </c>
      <c r="O405" t="s">
        <v>142</v>
      </c>
      <c r="P405">
        <v>0</v>
      </c>
      <c r="S405" t="s">
        <v>142</v>
      </c>
      <c r="T405">
        <v>0</v>
      </c>
      <c r="W405" t="s">
        <v>142</v>
      </c>
      <c r="X405">
        <v>0</v>
      </c>
      <c r="AA405" t="s">
        <v>142</v>
      </c>
      <c r="AB405">
        <v>0</v>
      </c>
      <c r="AE405" t="s">
        <v>142</v>
      </c>
      <c r="AF405">
        <v>0</v>
      </c>
      <c r="AI405" t="s">
        <v>142</v>
      </c>
      <c r="AJ405">
        <v>0</v>
      </c>
      <c r="AM405" t="s">
        <v>142</v>
      </c>
      <c r="AN405">
        <v>0</v>
      </c>
      <c r="AQ405" t="s">
        <v>142</v>
      </c>
      <c r="AR405">
        <v>0</v>
      </c>
      <c r="AT405" t="s">
        <v>80</v>
      </c>
      <c r="AU405">
        <v>2116</v>
      </c>
    </row>
    <row r="406" spans="1:47" x14ac:dyDescent="0.35">
      <c r="C406" t="s">
        <v>83</v>
      </c>
      <c r="D406">
        <v>0</v>
      </c>
      <c r="G406" t="s">
        <v>83</v>
      </c>
      <c r="H406">
        <v>0</v>
      </c>
      <c r="K406" t="s">
        <v>83</v>
      </c>
      <c r="L406">
        <v>0</v>
      </c>
      <c r="O406" t="s">
        <v>83</v>
      </c>
      <c r="P406">
        <v>0</v>
      </c>
      <c r="S406" t="s">
        <v>83</v>
      </c>
      <c r="T406">
        <v>0</v>
      </c>
      <c r="W406" t="s">
        <v>83</v>
      </c>
      <c r="X406">
        <v>324</v>
      </c>
      <c r="AA406" t="s">
        <v>83</v>
      </c>
      <c r="AB406">
        <v>0</v>
      </c>
      <c r="AE406" t="s">
        <v>83</v>
      </c>
      <c r="AF406">
        <v>0</v>
      </c>
      <c r="AI406" t="s">
        <v>83</v>
      </c>
      <c r="AJ406">
        <v>0</v>
      </c>
      <c r="AM406" t="s">
        <v>83</v>
      </c>
      <c r="AN406">
        <v>308</v>
      </c>
      <c r="AQ406" t="s">
        <v>83</v>
      </c>
      <c r="AR406">
        <v>381</v>
      </c>
      <c r="AT406" t="s">
        <v>83</v>
      </c>
      <c r="AU406">
        <v>304</v>
      </c>
    </row>
    <row r="407" spans="1:47" x14ac:dyDescent="0.35">
      <c r="C407" t="s">
        <v>84</v>
      </c>
      <c r="D407">
        <v>0</v>
      </c>
      <c r="G407" t="s">
        <v>84</v>
      </c>
      <c r="H407">
        <v>6118</v>
      </c>
      <c r="K407" t="s">
        <v>84</v>
      </c>
      <c r="L407">
        <v>0</v>
      </c>
      <c r="O407" t="s">
        <v>84</v>
      </c>
      <c r="P407">
        <v>0</v>
      </c>
      <c r="S407" t="s">
        <v>84</v>
      </c>
      <c r="T407">
        <v>0</v>
      </c>
      <c r="W407" t="s">
        <v>84</v>
      </c>
      <c r="X407">
        <v>0</v>
      </c>
      <c r="AA407" t="s">
        <v>84</v>
      </c>
      <c r="AB407">
        <v>0</v>
      </c>
      <c r="AE407" t="s">
        <v>84</v>
      </c>
      <c r="AF407">
        <v>0</v>
      </c>
      <c r="AI407" t="s">
        <v>84</v>
      </c>
      <c r="AJ407">
        <v>0</v>
      </c>
      <c r="AM407" t="s">
        <v>84</v>
      </c>
      <c r="AN407">
        <v>0</v>
      </c>
      <c r="AQ407" t="s">
        <v>84</v>
      </c>
      <c r="AR407">
        <v>0</v>
      </c>
      <c r="AT407" t="s">
        <v>84</v>
      </c>
      <c r="AU407">
        <v>0</v>
      </c>
    </row>
    <row r="408" spans="1:47" x14ac:dyDescent="0.35">
      <c r="C408" t="s">
        <v>126</v>
      </c>
      <c r="D408">
        <v>0</v>
      </c>
      <c r="G408" t="s">
        <v>126</v>
      </c>
      <c r="H408">
        <v>0</v>
      </c>
      <c r="K408" t="s">
        <v>223</v>
      </c>
      <c r="L408">
        <v>0</v>
      </c>
      <c r="O408" t="s">
        <v>126</v>
      </c>
      <c r="P408">
        <v>0</v>
      </c>
      <c r="S408" t="s">
        <v>126</v>
      </c>
      <c r="T408">
        <v>0</v>
      </c>
      <c r="W408" t="s">
        <v>126</v>
      </c>
      <c r="X408">
        <v>0</v>
      </c>
      <c r="AA408" t="s">
        <v>126</v>
      </c>
      <c r="AB408">
        <v>0</v>
      </c>
      <c r="AE408" t="s">
        <v>126</v>
      </c>
      <c r="AF408">
        <v>0</v>
      </c>
      <c r="AI408" t="s">
        <v>126</v>
      </c>
      <c r="AJ408">
        <v>0</v>
      </c>
      <c r="AM408" t="s">
        <v>126</v>
      </c>
      <c r="AN408">
        <v>9</v>
      </c>
      <c r="AQ408" t="s">
        <v>126</v>
      </c>
      <c r="AR408">
        <v>30</v>
      </c>
      <c r="AT408" t="s">
        <v>86</v>
      </c>
      <c r="AU408">
        <v>0</v>
      </c>
    </row>
    <row r="409" spans="1:47" x14ac:dyDescent="0.35">
      <c r="C409" t="s">
        <v>87</v>
      </c>
      <c r="D409">
        <v>0</v>
      </c>
      <c r="G409" t="s">
        <v>87</v>
      </c>
      <c r="H409">
        <v>8638</v>
      </c>
      <c r="K409" t="s">
        <v>87</v>
      </c>
      <c r="L409">
        <v>0</v>
      </c>
      <c r="O409" t="s">
        <v>87</v>
      </c>
      <c r="P409">
        <v>0</v>
      </c>
      <c r="S409" t="s">
        <v>87</v>
      </c>
      <c r="T409">
        <v>0</v>
      </c>
      <c r="W409" t="s">
        <v>87</v>
      </c>
      <c r="X409">
        <v>0</v>
      </c>
      <c r="AA409" t="s">
        <v>87</v>
      </c>
      <c r="AB409">
        <v>0</v>
      </c>
      <c r="AE409" t="s">
        <v>87</v>
      </c>
      <c r="AF409">
        <v>0</v>
      </c>
      <c r="AI409" t="s">
        <v>87</v>
      </c>
      <c r="AJ409">
        <v>0</v>
      </c>
      <c r="AM409" t="s">
        <v>87</v>
      </c>
      <c r="AN409">
        <v>7</v>
      </c>
      <c r="AQ409" t="s">
        <v>87</v>
      </c>
      <c r="AR409">
        <v>0</v>
      </c>
      <c r="AT409" t="s">
        <v>87</v>
      </c>
      <c r="AU409">
        <v>3468</v>
      </c>
    </row>
    <row r="410" spans="1:47" x14ac:dyDescent="0.35">
      <c r="A410" t="s">
        <v>173</v>
      </c>
      <c r="B410">
        <v>10788692</v>
      </c>
      <c r="C410" t="s">
        <v>135</v>
      </c>
      <c r="D410">
        <v>0</v>
      </c>
      <c r="E410" t="s">
        <v>173</v>
      </c>
      <c r="F410">
        <v>11055430.000000004</v>
      </c>
      <c r="G410" t="s">
        <v>135</v>
      </c>
      <c r="H410">
        <v>0</v>
      </c>
      <c r="I410" t="s">
        <v>173</v>
      </c>
      <c r="J410">
        <v>11333365.500000002</v>
      </c>
      <c r="K410" t="s">
        <v>135</v>
      </c>
      <c r="L410">
        <v>3688</v>
      </c>
      <c r="M410" t="s">
        <v>173</v>
      </c>
      <c r="N410">
        <v>11625998.500000007</v>
      </c>
      <c r="O410" t="s">
        <v>135</v>
      </c>
      <c r="P410">
        <v>1954</v>
      </c>
      <c r="Q410" t="s">
        <v>173</v>
      </c>
      <c r="R410">
        <v>11930984.999999998</v>
      </c>
      <c r="S410" t="s">
        <v>135</v>
      </c>
      <c r="T410">
        <v>1954</v>
      </c>
      <c r="U410" t="s">
        <v>173</v>
      </c>
      <c r="V410">
        <v>12240788.500000004</v>
      </c>
      <c r="W410" t="s">
        <v>135</v>
      </c>
      <c r="X410">
        <v>0</v>
      </c>
      <c r="Y410" t="s">
        <v>173</v>
      </c>
      <c r="Z410">
        <v>12554864.499999998</v>
      </c>
      <c r="AA410" t="s">
        <v>135</v>
      </c>
      <c r="AB410">
        <v>5574</v>
      </c>
      <c r="AC410" t="s">
        <v>173</v>
      </c>
      <c r="AD410">
        <v>12877538.499999994</v>
      </c>
      <c r="AE410" t="s">
        <v>135</v>
      </c>
      <c r="AF410">
        <v>0</v>
      </c>
      <c r="AG410" t="s">
        <v>173</v>
      </c>
      <c r="AH410">
        <v>13205152.499999998</v>
      </c>
      <c r="AI410" t="s">
        <v>135</v>
      </c>
      <c r="AJ410">
        <v>0</v>
      </c>
      <c r="AK410" t="s">
        <v>173</v>
      </c>
      <c r="AL410">
        <v>13531906.000000004</v>
      </c>
      <c r="AM410" t="s">
        <v>135</v>
      </c>
      <c r="AN410">
        <v>0</v>
      </c>
      <c r="AO410" t="s">
        <v>173</v>
      </c>
      <c r="AP410">
        <v>13859340.500000006</v>
      </c>
      <c r="AQ410" t="s">
        <v>135</v>
      </c>
      <c r="AR410">
        <v>856</v>
      </c>
      <c r="AS410" t="s">
        <v>173</v>
      </c>
      <c r="AT410" t="s">
        <v>148</v>
      </c>
      <c r="AU410">
        <v>2787</v>
      </c>
    </row>
    <row r="411" spans="1:47" x14ac:dyDescent="0.35">
      <c r="C411" t="s">
        <v>139</v>
      </c>
      <c r="D411">
        <v>0</v>
      </c>
      <c r="G411" t="s">
        <v>139</v>
      </c>
      <c r="H411">
        <v>0</v>
      </c>
      <c r="K411" t="s">
        <v>139</v>
      </c>
      <c r="L411">
        <v>11578</v>
      </c>
      <c r="O411" t="s">
        <v>139</v>
      </c>
      <c r="P411">
        <v>8778</v>
      </c>
      <c r="S411" t="s">
        <v>139</v>
      </c>
      <c r="T411">
        <v>2020</v>
      </c>
      <c r="W411" t="s">
        <v>139</v>
      </c>
      <c r="X411">
        <v>0</v>
      </c>
      <c r="AA411" t="s">
        <v>139</v>
      </c>
      <c r="AB411">
        <v>14390</v>
      </c>
      <c r="AE411" t="s">
        <v>139</v>
      </c>
      <c r="AF411">
        <v>0</v>
      </c>
      <c r="AI411" t="s">
        <v>139</v>
      </c>
      <c r="AJ411">
        <v>0</v>
      </c>
      <c r="AM411" t="s">
        <v>139</v>
      </c>
      <c r="AN411">
        <v>0</v>
      </c>
      <c r="AQ411" t="s">
        <v>139</v>
      </c>
      <c r="AR411">
        <v>8734</v>
      </c>
      <c r="AT411" t="s">
        <v>139</v>
      </c>
      <c r="AU411">
        <v>6329</v>
      </c>
    </row>
    <row r="412" spans="1:47" x14ac:dyDescent="0.35">
      <c r="C412" t="s">
        <v>138</v>
      </c>
      <c r="D412">
        <v>0</v>
      </c>
      <c r="G412" t="s">
        <v>138</v>
      </c>
      <c r="H412">
        <v>1000</v>
      </c>
      <c r="K412" t="s">
        <v>138</v>
      </c>
      <c r="L412">
        <v>1000</v>
      </c>
      <c r="O412" t="s">
        <v>138</v>
      </c>
      <c r="P412">
        <v>752</v>
      </c>
      <c r="S412" t="s">
        <v>138</v>
      </c>
      <c r="T412">
        <v>886</v>
      </c>
      <c r="W412" t="s">
        <v>138</v>
      </c>
      <c r="X412">
        <v>0</v>
      </c>
      <c r="AA412" t="s">
        <v>138</v>
      </c>
      <c r="AB412">
        <v>0</v>
      </c>
      <c r="AE412" t="s">
        <v>138</v>
      </c>
      <c r="AF412">
        <v>0</v>
      </c>
      <c r="AI412" t="s">
        <v>138</v>
      </c>
      <c r="AJ412">
        <v>0</v>
      </c>
      <c r="AM412" t="s">
        <v>138</v>
      </c>
      <c r="AN412">
        <v>0</v>
      </c>
      <c r="AQ412" t="s">
        <v>138</v>
      </c>
      <c r="AR412">
        <v>1554</v>
      </c>
      <c r="AT412" t="s">
        <v>138</v>
      </c>
      <c r="AU412">
        <v>866</v>
      </c>
    </row>
    <row r="413" spans="1:47" x14ac:dyDescent="0.35">
      <c r="C413" t="s">
        <v>82</v>
      </c>
      <c r="D413">
        <v>0</v>
      </c>
      <c r="G413" t="s">
        <v>82</v>
      </c>
      <c r="H413">
        <v>0</v>
      </c>
      <c r="K413" t="s">
        <v>82</v>
      </c>
      <c r="L413">
        <v>0</v>
      </c>
      <c r="O413" t="s">
        <v>82</v>
      </c>
      <c r="P413">
        <v>0</v>
      </c>
      <c r="S413" t="s">
        <v>82</v>
      </c>
      <c r="T413">
        <v>0</v>
      </c>
      <c r="W413" t="s">
        <v>82</v>
      </c>
      <c r="X413">
        <v>0</v>
      </c>
      <c r="AA413" t="s">
        <v>82</v>
      </c>
      <c r="AB413">
        <v>0</v>
      </c>
      <c r="AE413" t="s">
        <v>82</v>
      </c>
      <c r="AF413">
        <v>0</v>
      </c>
      <c r="AI413" t="s">
        <v>82</v>
      </c>
      <c r="AJ413">
        <v>0</v>
      </c>
      <c r="AM413" t="s">
        <v>82</v>
      </c>
      <c r="AN413">
        <v>0</v>
      </c>
      <c r="AQ413" t="s">
        <v>82</v>
      </c>
      <c r="AR413">
        <v>71</v>
      </c>
      <c r="AT413" t="s">
        <v>82</v>
      </c>
      <c r="AU413">
        <v>255</v>
      </c>
    </row>
    <row r="414" spans="1:47" x14ac:dyDescent="0.35">
      <c r="C414" t="s">
        <v>60</v>
      </c>
      <c r="D414">
        <v>0</v>
      </c>
      <c r="G414" t="s">
        <v>60</v>
      </c>
      <c r="H414">
        <v>0</v>
      </c>
      <c r="K414" t="s">
        <v>60</v>
      </c>
      <c r="L414">
        <v>0</v>
      </c>
      <c r="O414" t="s">
        <v>60</v>
      </c>
      <c r="P414">
        <v>14263</v>
      </c>
      <c r="S414" t="s">
        <v>60</v>
      </c>
      <c r="T414">
        <v>0</v>
      </c>
      <c r="W414" t="s">
        <v>60</v>
      </c>
      <c r="X414">
        <v>106</v>
      </c>
      <c r="AA414" t="s">
        <v>60</v>
      </c>
      <c r="AB414">
        <v>0</v>
      </c>
      <c r="AE414" t="s">
        <v>60</v>
      </c>
      <c r="AF414">
        <v>0</v>
      </c>
      <c r="AI414" t="s">
        <v>60</v>
      </c>
      <c r="AJ414">
        <v>0</v>
      </c>
      <c r="AM414" t="s">
        <v>60</v>
      </c>
      <c r="AN414">
        <v>0</v>
      </c>
      <c r="AQ414" t="s">
        <v>60</v>
      </c>
      <c r="AR414">
        <v>0</v>
      </c>
      <c r="AT414" t="s">
        <v>60</v>
      </c>
      <c r="AU414">
        <v>73</v>
      </c>
    </row>
    <row r="415" spans="1:47" x14ac:dyDescent="0.35">
      <c r="C415" t="s">
        <v>127</v>
      </c>
      <c r="D415">
        <v>0</v>
      </c>
      <c r="G415" t="s">
        <v>127</v>
      </c>
      <c r="H415">
        <v>0</v>
      </c>
      <c r="K415" t="s">
        <v>127</v>
      </c>
      <c r="L415">
        <v>0</v>
      </c>
      <c r="O415" t="s">
        <v>127</v>
      </c>
      <c r="P415">
        <v>6700</v>
      </c>
      <c r="S415" t="s">
        <v>127</v>
      </c>
      <c r="T415">
        <v>6700</v>
      </c>
      <c r="W415" t="s">
        <v>127</v>
      </c>
      <c r="X415">
        <v>0</v>
      </c>
      <c r="AA415" t="s">
        <v>127</v>
      </c>
      <c r="AB415">
        <v>16567</v>
      </c>
      <c r="AE415" t="s">
        <v>127</v>
      </c>
      <c r="AF415">
        <v>0</v>
      </c>
      <c r="AI415" t="s">
        <v>127</v>
      </c>
      <c r="AJ415">
        <v>0</v>
      </c>
      <c r="AM415" t="s">
        <v>127</v>
      </c>
      <c r="AN415">
        <v>0</v>
      </c>
      <c r="AQ415" t="s">
        <v>127</v>
      </c>
      <c r="AR415">
        <v>0</v>
      </c>
      <c r="AT415" t="s">
        <v>58</v>
      </c>
      <c r="AU415">
        <v>16567</v>
      </c>
    </row>
    <row r="416" spans="1:47" x14ac:dyDescent="0.35">
      <c r="C416" t="s">
        <v>61</v>
      </c>
      <c r="D416">
        <v>0</v>
      </c>
      <c r="G416" t="s">
        <v>61</v>
      </c>
      <c r="H416">
        <v>0</v>
      </c>
      <c r="K416" t="s">
        <v>61</v>
      </c>
      <c r="L416">
        <v>0</v>
      </c>
      <c r="O416" t="s">
        <v>61</v>
      </c>
      <c r="P416">
        <v>0</v>
      </c>
      <c r="S416" t="s">
        <v>61</v>
      </c>
      <c r="T416">
        <v>0</v>
      </c>
      <c r="W416" t="s">
        <v>61</v>
      </c>
      <c r="X416">
        <v>0</v>
      </c>
      <c r="AA416" t="s">
        <v>61</v>
      </c>
      <c r="AB416">
        <v>0</v>
      </c>
      <c r="AE416" t="s">
        <v>61</v>
      </c>
      <c r="AF416">
        <v>0</v>
      </c>
      <c r="AI416" t="s">
        <v>61</v>
      </c>
      <c r="AJ416">
        <v>0</v>
      </c>
      <c r="AM416" t="s">
        <v>61</v>
      </c>
      <c r="AN416">
        <v>0</v>
      </c>
      <c r="AQ416" t="s">
        <v>61</v>
      </c>
      <c r="AR416">
        <v>0</v>
      </c>
      <c r="AT416" t="s">
        <v>61</v>
      </c>
      <c r="AU416">
        <v>0</v>
      </c>
    </row>
    <row r="417" spans="3:47" x14ac:dyDescent="0.35">
      <c r="C417" t="s">
        <v>62</v>
      </c>
      <c r="D417">
        <v>0</v>
      </c>
      <c r="G417" t="s">
        <v>62</v>
      </c>
      <c r="H417">
        <v>0</v>
      </c>
      <c r="K417" t="s">
        <v>62</v>
      </c>
      <c r="L417">
        <v>0</v>
      </c>
      <c r="O417" t="s">
        <v>62</v>
      </c>
      <c r="P417">
        <v>0</v>
      </c>
      <c r="S417" t="s">
        <v>62</v>
      </c>
      <c r="T417">
        <v>0</v>
      </c>
      <c r="W417" t="s">
        <v>62</v>
      </c>
      <c r="X417">
        <v>0</v>
      </c>
      <c r="AA417" t="s">
        <v>62</v>
      </c>
      <c r="AB417">
        <v>0</v>
      </c>
      <c r="AE417" t="s">
        <v>62</v>
      </c>
      <c r="AF417">
        <v>363</v>
      </c>
      <c r="AI417" t="s">
        <v>62</v>
      </c>
      <c r="AJ417">
        <v>0</v>
      </c>
      <c r="AM417" t="s">
        <v>62</v>
      </c>
      <c r="AN417">
        <v>0</v>
      </c>
      <c r="AQ417" t="s">
        <v>62</v>
      </c>
      <c r="AR417">
        <v>0</v>
      </c>
      <c r="AT417" t="s">
        <v>62</v>
      </c>
      <c r="AU417">
        <v>0</v>
      </c>
    </row>
    <row r="418" spans="3:47" x14ac:dyDescent="0.35">
      <c r="C418" t="s">
        <v>203</v>
      </c>
      <c r="D418">
        <v>0</v>
      </c>
      <c r="G418" t="s">
        <v>203</v>
      </c>
      <c r="H418">
        <v>0</v>
      </c>
      <c r="K418" t="s">
        <v>203</v>
      </c>
      <c r="L418">
        <v>0</v>
      </c>
      <c r="O418" t="s">
        <v>203</v>
      </c>
      <c r="P418">
        <v>0</v>
      </c>
      <c r="S418" t="s">
        <v>203</v>
      </c>
      <c r="T418">
        <v>0</v>
      </c>
      <c r="W418" t="s">
        <v>203</v>
      </c>
      <c r="X418">
        <v>0</v>
      </c>
      <c r="AA418" t="s">
        <v>203</v>
      </c>
      <c r="AB418">
        <v>0</v>
      </c>
      <c r="AE418" t="s">
        <v>203</v>
      </c>
      <c r="AF418">
        <v>0</v>
      </c>
      <c r="AI418" t="s">
        <v>203</v>
      </c>
      <c r="AJ418">
        <v>0</v>
      </c>
      <c r="AM418" t="s">
        <v>203</v>
      </c>
      <c r="AN418">
        <v>0</v>
      </c>
      <c r="AQ418" t="s">
        <v>203</v>
      </c>
      <c r="AR418">
        <v>0</v>
      </c>
      <c r="AT418" t="s">
        <v>64</v>
      </c>
      <c r="AU418">
        <v>1</v>
      </c>
    </row>
    <row r="419" spans="3:47" x14ac:dyDescent="0.35">
      <c r="C419" t="s">
        <v>204</v>
      </c>
      <c r="D419">
        <v>0</v>
      </c>
      <c r="G419" t="s">
        <v>204</v>
      </c>
      <c r="H419">
        <v>0</v>
      </c>
      <c r="K419" t="s">
        <v>204</v>
      </c>
      <c r="L419">
        <v>0</v>
      </c>
      <c r="O419" t="s">
        <v>204</v>
      </c>
      <c r="P419">
        <v>0</v>
      </c>
      <c r="S419" t="s">
        <v>204</v>
      </c>
      <c r="T419">
        <v>0</v>
      </c>
      <c r="W419" t="s">
        <v>204</v>
      </c>
      <c r="X419">
        <v>0</v>
      </c>
      <c r="AA419" t="s">
        <v>204</v>
      </c>
      <c r="AB419">
        <v>0</v>
      </c>
      <c r="AE419" t="s">
        <v>204</v>
      </c>
      <c r="AF419">
        <v>0</v>
      </c>
      <c r="AI419" t="s">
        <v>204</v>
      </c>
      <c r="AJ419">
        <v>0</v>
      </c>
      <c r="AM419" t="s">
        <v>204</v>
      </c>
      <c r="AN419">
        <v>0</v>
      </c>
      <c r="AQ419" t="s">
        <v>204</v>
      </c>
      <c r="AR419">
        <v>0</v>
      </c>
      <c r="AT419" t="s">
        <v>65</v>
      </c>
      <c r="AU419">
        <v>189</v>
      </c>
    </row>
    <row r="420" spans="3:47" x14ac:dyDescent="0.35">
      <c r="C420" t="s">
        <v>205</v>
      </c>
      <c r="D420">
        <v>0</v>
      </c>
      <c r="G420" t="s">
        <v>205</v>
      </c>
      <c r="H420">
        <v>0</v>
      </c>
      <c r="K420" t="s">
        <v>205</v>
      </c>
      <c r="L420">
        <v>0</v>
      </c>
      <c r="O420" t="s">
        <v>205</v>
      </c>
      <c r="P420">
        <v>0</v>
      </c>
      <c r="S420" t="s">
        <v>205</v>
      </c>
      <c r="T420">
        <v>0</v>
      </c>
      <c r="W420" t="s">
        <v>205</v>
      </c>
      <c r="X420">
        <v>0</v>
      </c>
      <c r="AA420" t="s">
        <v>205</v>
      </c>
      <c r="AB420">
        <v>0</v>
      </c>
      <c r="AE420" t="s">
        <v>205</v>
      </c>
      <c r="AF420">
        <v>0</v>
      </c>
      <c r="AI420" t="s">
        <v>205</v>
      </c>
      <c r="AJ420">
        <v>0</v>
      </c>
      <c r="AM420" t="s">
        <v>205</v>
      </c>
      <c r="AN420">
        <v>0</v>
      </c>
      <c r="AQ420" t="s">
        <v>205</v>
      </c>
      <c r="AR420">
        <v>0</v>
      </c>
      <c r="AT420" t="s">
        <v>66</v>
      </c>
      <c r="AU420">
        <v>0</v>
      </c>
    </row>
    <row r="421" spans="3:47" x14ac:dyDescent="0.35">
      <c r="C421" t="s">
        <v>133</v>
      </c>
      <c r="D421">
        <v>0</v>
      </c>
      <c r="G421" t="s">
        <v>133</v>
      </c>
      <c r="H421">
        <v>0</v>
      </c>
      <c r="K421" t="s">
        <v>133</v>
      </c>
      <c r="L421">
        <v>0</v>
      </c>
      <c r="O421" t="s">
        <v>133</v>
      </c>
      <c r="P421">
        <v>0</v>
      </c>
      <c r="S421" t="s">
        <v>133</v>
      </c>
      <c r="T421">
        <v>0</v>
      </c>
      <c r="W421" t="s">
        <v>133</v>
      </c>
      <c r="X421">
        <v>0</v>
      </c>
      <c r="AA421" t="s">
        <v>133</v>
      </c>
      <c r="AB421">
        <v>181</v>
      </c>
      <c r="AE421" t="s">
        <v>133</v>
      </c>
      <c r="AF421">
        <v>0</v>
      </c>
      <c r="AI421" t="s">
        <v>133</v>
      </c>
      <c r="AJ421">
        <v>0</v>
      </c>
      <c r="AM421" t="s">
        <v>133</v>
      </c>
      <c r="AN421">
        <v>0</v>
      </c>
      <c r="AQ421" t="s">
        <v>133</v>
      </c>
      <c r="AR421">
        <v>0</v>
      </c>
      <c r="AT421" t="s">
        <v>79</v>
      </c>
      <c r="AU421">
        <v>0</v>
      </c>
    </row>
    <row r="422" spans="3:47" x14ac:dyDescent="0.35">
      <c r="C422" t="s">
        <v>206</v>
      </c>
      <c r="D422">
        <v>0</v>
      </c>
      <c r="G422" t="s">
        <v>206</v>
      </c>
      <c r="H422">
        <v>0</v>
      </c>
      <c r="K422" t="s">
        <v>206</v>
      </c>
      <c r="L422">
        <v>0</v>
      </c>
      <c r="O422" t="s">
        <v>206</v>
      </c>
      <c r="P422">
        <v>0</v>
      </c>
      <c r="S422" t="s">
        <v>206</v>
      </c>
      <c r="T422">
        <v>0</v>
      </c>
      <c r="W422" t="s">
        <v>206</v>
      </c>
      <c r="X422">
        <v>0</v>
      </c>
      <c r="AA422" t="s">
        <v>206</v>
      </c>
      <c r="AB422">
        <v>0</v>
      </c>
      <c r="AE422" t="s">
        <v>206</v>
      </c>
      <c r="AF422">
        <v>0</v>
      </c>
      <c r="AI422" t="s">
        <v>206</v>
      </c>
      <c r="AJ422">
        <v>0</v>
      </c>
      <c r="AM422" t="s">
        <v>206</v>
      </c>
      <c r="AN422">
        <v>0</v>
      </c>
      <c r="AQ422" t="s">
        <v>206</v>
      </c>
      <c r="AR422">
        <v>0</v>
      </c>
      <c r="AT422" t="s">
        <v>68</v>
      </c>
      <c r="AU422">
        <v>0</v>
      </c>
    </row>
    <row r="423" spans="3:47" x14ac:dyDescent="0.35">
      <c r="C423" t="s">
        <v>136</v>
      </c>
      <c r="D423">
        <v>0</v>
      </c>
      <c r="G423" t="s">
        <v>136</v>
      </c>
      <c r="H423">
        <v>0</v>
      </c>
      <c r="K423" t="s">
        <v>136</v>
      </c>
      <c r="L423">
        <v>0</v>
      </c>
      <c r="O423" t="s">
        <v>136</v>
      </c>
      <c r="P423">
        <v>0</v>
      </c>
      <c r="S423" t="s">
        <v>136</v>
      </c>
      <c r="T423">
        <v>8</v>
      </c>
      <c r="W423" t="s">
        <v>136</v>
      </c>
      <c r="X423">
        <v>0</v>
      </c>
      <c r="AA423" t="s">
        <v>136</v>
      </c>
      <c r="AB423">
        <v>0</v>
      </c>
      <c r="AE423" t="s">
        <v>136</v>
      </c>
      <c r="AF423">
        <v>0</v>
      </c>
      <c r="AI423" t="s">
        <v>136</v>
      </c>
      <c r="AJ423">
        <v>0</v>
      </c>
      <c r="AM423" t="s">
        <v>136</v>
      </c>
      <c r="AN423">
        <v>0</v>
      </c>
      <c r="AQ423" t="s">
        <v>136</v>
      </c>
      <c r="AR423">
        <v>0</v>
      </c>
      <c r="AT423" t="s">
        <v>69</v>
      </c>
      <c r="AU423">
        <v>0</v>
      </c>
    </row>
    <row r="424" spans="3:47" x14ac:dyDescent="0.35">
      <c r="C424" t="s">
        <v>207</v>
      </c>
      <c r="D424">
        <v>0</v>
      </c>
      <c r="G424" t="s">
        <v>207</v>
      </c>
      <c r="H424">
        <v>0</v>
      </c>
      <c r="K424" t="s">
        <v>207</v>
      </c>
      <c r="L424">
        <v>0</v>
      </c>
      <c r="O424" t="s">
        <v>207</v>
      </c>
      <c r="P424">
        <v>0</v>
      </c>
      <c r="S424" t="s">
        <v>207</v>
      </c>
      <c r="T424">
        <v>0</v>
      </c>
      <c r="W424" t="s">
        <v>207</v>
      </c>
      <c r="X424">
        <v>0</v>
      </c>
      <c r="AA424" t="s">
        <v>207</v>
      </c>
      <c r="AB424">
        <v>0</v>
      </c>
      <c r="AE424" t="s">
        <v>207</v>
      </c>
      <c r="AF424">
        <v>0</v>
      </c>
      <c r="AI424" t="s">
        <v>207</v>
      </c>
      <c r="AJ424">
        <v>0</v>
      </c>
      <c r="AM424" t="s">
        <v>207</v>
      </c>
      <c r="AN424">
        <v>0</v>
      </c>
      <c r="AQ424" t="s">
        <v>207</v>
      </c>
      <c r="AR424">
        <v>0</v>
      </c>
      <c r="AT424" t="s">
        <v>70</v>
      </c>
      <c r="AU424">
        <v>66</v>
      </c>
    </row>
    <row r="425" spans="3:47" x14ac:dyDescent="0.35">
      <c r="C425" t="s">
        <v>141</v>
      </c>
      <c r="D425">
        <v>0</v>
      </c>
      <c r="G425" t="s">
        <v>141</v>
      </c>
      <c r="H425">
        <v>0</v>
      </c>
      <c r="K425" t="s">
        <v>141</v>
      </c>
      <c r="L425">
        <v>0</v>
      </c>
      <c r="O425" t="s">
        <v>141</v>
      </c>
      <c r="P425">
        <v>0</v>
      </c>
      <c r="S425" t="s">
        <v>141</v>
      </c>
      <c r="T425">
        <v>0</v>
      </c>
      <c r="W425" t="s">
        <v>141</v>
      </c>
      <c r="X425">
        <v>0</v>
      </c>
      <c r="AA425" t="s">
        <v>141</v>
      </c>
      <c r="AB425">
        <v>0</v>
      </c>
      <c r="AE425" t="s">
        <v>141</v>
      </c>
      <c r="AF425">
        <v>0</v>
      </c>
      <c r="AI425" t="s">
        <v>141</v>
      </c>
      <c r="AJ425">
        <v>0</v>
      </c>
      <c r="AM425" t="s">
        <v>141</v>
      </c>
      <c r="AN425">
        <v>0</v>
      </c>
      <c r="AQ425" t="s">
        <v>141</v>
      </c>
      <c r="AR425">
        <v>0</v>
      </c>
      <c r="AT425" t="s">
        <v>76</v>
      </c>
      <c r="AU425">
        <v>0</v>
      </c>
    </row>
    <row r="426" spans="3:47" x14ac:dyDescent="0.35">
      <c r="C426" t="s">
        <v>208</v>
      </c>
      <c r="D426">
        <v>0</v>
      </c>
      <c r="G426" t="s">
        <v>208</v>
      </c>
      <c r="H426">
        <v>0</v>
      </c>
      <c r="K426" t="s">
        <v>208</v>
      </c>
      <c r="L426">
        <v>0</v>
      </c>
      <c r="O426" t="s">
        <v>208</v>
      </c>
      <c r="P426">
        <v>0</v>
      </c>
      <c r="S426" t="s">
        <v>208</v>
      </c>
      <c r="T426">
        <v>0</v>
      </c>
      <c r="W426" t="s">
        <v>208</v>
      </c>
      <c r="X426">
        <v>0</v>
      </c>
      <c r="AA426" t="s">
        <v>208</v>
      </c>
      <c r="AB426">
        <v>0</v>
      </c>
      <c r="AE426" t="s">
        <v>208</v>
      </c>
      <c r="AF426">
        <v>0</v>
      </c>
      <c r="AI426" t="s">
        <v>208</v>
      </c>
      <c r="AJ426">
        <v>0</v>
      </c>
      <c r="AM426" t="s">
        <v>208</v>
      </c>
      <c r="AN426">
        <v>0</v>
      </c>
      <c r="AQ426" t="s">
        <v>208</v>
      </c>
      <c r="AR426">
        <v>0</v>
      </c>
      <c r="AT426" t="s">
        <v>77</v>
      </c>
      <c r="AU426">
        <v>481</v>
      </c>
    </row>
    <row r="427" spans="3:47" x14ac:dyDescent="0.35">
      <c r="C427" t="s">
        <v>209</v>
      </c>
      <c r="D427">
        <v>0</v>
      </c>
      <c r="G427" t="s">
        <v>209</v>
      </c>
      <c r="H427">
        <v>0</v>
      </c>
      <c r="K427" t="s">
        <v>209</v>
      </c>
      <c r="L427">
        <v>0</v>
      </c>
      <c r="O427" t="s">
        <v>209</v>
      </c>
      <c r="P427">
        <v>0</v>
      </c>
      <c r="S427" t="s">
        <v>209</v>
      </c>
      <c r="T427">
        <v>0</v>
      </c>
      <c r="W427" t="s">
        <v>209</v>
      </c>
      <c r="X427">
        <v>0</v>
      </c>
      <c r="AA427" t="s">
        <v>209</v>
      </c>
      <c r="AB427">
        <v>0</v>
      </c>
      <c r="AE427" t="s">
        <v>209</v>
      </c>
      <c r="AF427">
        <v>0</v>
      </c>
      <c r="AI427" t="s">
        <v>209</v>
      </c>
      <c r="AJ427">
        <v>0</v>
      </c>
      <c r="AM427" t="s">
        <v>209</v>
      </c>
      <c r="AN427">
        <v>0</v>
      </c>
      <c r="AQ427" t="s">
        <v>209</v>
      </c>
      <c r="AR427">
        <v>0</v>
      </c>
      <c r="AT427" t="s">
        <v>78</v>
      </c>
      <c r="AU427">
        <v>0</v>
      </c>
    </row>
    <row r="428" spans="3:47" x14ac:dyDescent="0.35">
      <c r="C428" t="s">
        <v>134</v>
      </c>
      <c r="D428">
        <v>0</v>
      </c>
      <c r="G428" t="s">
        <v>134</v>
      </c>
      <c r="H428">
        <v>0</v>
      </c>
      <c r="K428" t="s">
        <v>134</v>
      </c>
      <c r="L428">
        <v>0</v>
      </c>
      <c r="O428" t="s">
        <v>134</v>
      </c>
      <c r="P428">
        <v>0</v>
      </c>
      <c r="S428" t="s">
        <v>134</v>
      </c>
      <c r="T428">
        <v>209</v>
      </c>
      <c r="W428" t="s">
        <v>134</v>
      </c>
      <c r="X428">
        <v>0</v>
      </c>
      <c r="AA428" t="s">
        <v>134</v>
      </c>
      <c r="AB428">
        <v>0</v>
      </c>
      <c r="AE428" t="s">
        <v>134</v>
      </c>
      <c r="AF428">
        <v>0</v>
      </c>
      <c r="AI428" t="s">
        <v>134</v>
      </c>
      <c r="AJ428">
        <v>0</v>
      </c>
      <c r="AM428" t="s">
        <v>134</v>
      </c>
      <c r="AN428">
        <v>0</v>
      </c>
      <c r="AQ428" t="s">
        <v>134</v>
      </c>
      <c r="AR428">
        <v>0</v>
      </c>
      <c r="AT428" t="s">
        <v>67</v>
      </c>
      <c r="AU428">
        <v>181</v>
      </c>
    </row>
    <row r="429" spans="3:47" x14ac:dyDescent="0.35">
      <c r="C429" t="s">
        <v>142</v>
      </c>
      <c r="D429">
        <v>0</v>
      </c>
      <c r="G429" t="s">
        <v>142</v>
      </c>
      <c r="H429">
        <v>0</v>
      </c>
      <c r="K429" t="s">
        <v>142</v>
      </c>
      <c r="L429">
        <v>0</v>
      </c>
      <c r="O429" t="s">
        <v>142</v>
      </c>
      <c r="P429">
        <v>0</v>
      </c>
      <c r="S429" t="s">
        <v>142</v>
      </c>
      <c r="T429">
        <v>0</v>
      </c>
      <c r="W429" t="s">
        <v>142</v>
      </c>
      <c r="X429">
        <v>0</v>
      </c>
      <c r="AA429" t="s">
        <v>142</v>
      </c>
      <c r="AB429">
        <v>0</v>
      </c>
      <c r="AE429" t="s">
        <v>142</v>
      </c>
      <c r="AF429">
        <v>0</v>
      </c>
      <c r="AI429" t="s">
        <v>142</v>
      </c>
      <c r="AJ429">
        <v>0</v>
      </c>
      <c r="AM429" t="s">
        <v>142</v>
      </c>
      <c r="AN429">
        <v>0</v>
      </c>
      <c r="AQ429" t="s">
        <v>142</v>
      </c>
      <c r="AR429">
        <v>0</v>
      </c>
      <c r="AT429" t="s">
        <v>80</v>
      </c>
      <c r="AU429">
        <v>62</v>
      </c>
    </row>
    <row r="430" spans="3:47" x14ac:dyDescent="0.35">
      <c r="C430" t="s">
        <v>83</v>
      </c>
      <c r="D430">
        <v>0</v>
      </c>
      <c r="G430" t="s">
        <v>83</v>
      </c>
      <c r="H430">
        <v>0</v>
      </c>
      <c r="K430" t="s">
        <v>83</v>
      </c>
      <c r="L430">
        <v>0</v>
      </c>
      <c r="O430" t="s">
        <v>83</v>
      </c>
      <c r="P430">
        <v>0</v>
      </c>
      <c r="S430" t="s">
        <v>83</v>
      </c>
      <c r="T430">
        <v>0</v>
      </c>
      <c r="W430" t="s">
        <v>83</v>
      </c>
      <c r="X430">
        <v>0</v>
      </c>
      <c r="AA430" t="s">
        <v>83</v>
      </c>
      <c r="AB430">
        <v>0</v>
      </c>
      <c r="AE430" t="s">
        <v>83</v>
      </c>
      <c r="AF430">
        <v>0</v>
      </c>
      <c r="AI430" t="s">
        <v>83</v>
      </c>
      <c r="AJ430">
        <v>0</v>
      </c>
      <c r="AM430" t="s">
        <v>83</v>
      </c>
      <c r="AN430">
        <v>0</v>
      </c>
      <c r="AQ430" t="s">
        <v>83</v>
      </c>
      <c r="AR430">
        <v>0</v>
      </c>
      <c r="AT430" t="s">
        <v>83</v>
      </c>
      <c r="AU430">
        <v>0</v>
      </c>
    </row>
    <row r="431" spans="3:47" x14ac:dyDescent="0.35">
      <c r="C431" t="s">
        <v>84</v>
      </c>
      <c r="D431">
        <v>0</v>
      </c>
      <c r="G431" t="s">
        <v>84</v>
      </c>
      <c r="H431">
        <v>0</v>
      </c>
      <c r="K431" t="s">
        <v>84</v>
      </c>
      <c r="L431">
        <v>0</v>
      </c>
      <c r="O431" t="s">
        <v>84</v>
      </c>
      <c r="P431">
        <v>0</v>
      </c>
      <c r="S431" t="s">
        <v>84</v>
      </c>
      <c r="T431">
        <v>0</v>
      </c>
      <c r="W431" t="s">
        <v>84</v>
      </c>
      <c r="X431">
        <v>0</v>
      </c>
      <c r="AA431" t="s">
        <v>84</v>
      </c>
      <c r="AB431">
        <v>0</v>
      </c>
      <c r="AE431" t="s">
        <v>84</v>
      </c>
      <c r="AF431">
        <v>0</v>
      </c>
      <c r="AI431" t="s">
        <v>84</v>
      </c>
      <c r="AJ431">
        <v>0</v>
      </c>
      <c r="AM431" t="s">
        <v>84</v>
      </c>
      <c r="AN431">
        <v>0</v>
      </c>
      <c r="AQ431" t="s">
        <v>84</v>
      </c>
      <c r="AR431">
        <v>0</v>
      </c>
      <c r="AT431" t="s">
        <v>84</v>
      </c>
      <c r="AU431">
        <v>0</v>
      </c>
    </row>
    <row r="432" spans="3:47" x14ac:dyDescent="0.35">
      <c r="C432" t="s">
        <v>126</v>
      </c>
      <c r="D432">
        <v>0</v>
      </c>
      <c r="G432" t="s">
        <v>126</v>
      </c>
      <c r="H432">
        <v>0</v>
      </c>
      <c r="K432" t="s">
        <v>223</v>
      </c>
      <c r="L432">
        <v>0</v>
      </c>
      <c r="O432" t="s">
        <v>126</v>
      </c>
      <c r="P432">
        <v>0</v>
      </c>
      <c r="S432" t="s">
        <v>126</v>
      </c>
      <c r="T432">
        <v>0</v>
      </c>
      <c r="W432" t="s">
        <v>126</v>
      </c>
      <c r="X432">
        <v>0</v>
      </c>
      <c r="AA432" t="s">
        <v>126</v>
      </c>
      <c r="AB432">
        <v>0</v>
      </c>
      <c r="AE432" t="s">
        <v>126</v>
      </c>
      <c r="AF432">
        <v>0</v>
      </c>
      <c r="AI432" t="s">
        <v>126</v>
      </c>
      <c r="AJ432">
        <v>0</v>
      </c>
      <c r="AM432" t="s">
        <v>126</v>
      </c>
      <c r="AN432">
        <v>0</v>
      </c>
      <c r="AQ432" t="s">
        <v>126</v>
      </c>
      <c r="AR432">
        <v>0</v>
      </c>
      <c r="AT432" t="s">
        <v>86</v>
      </c>
      <c r="AU432">
        <v>0</v>
      </c>
    </row>
    <row r="433" spans="1:47" x14ac:dyDescent="0.35">
      <c r="C433" t="s">
        <v>87</v>
      </c>
      <c r="D433">
        <v>0</v>
      </c>
      <c r="G433" t="s">
        <v>87</v>
      </c>
      <c r="H433">
        <v>0</v>
      </c>
      <c r="K433" t="s">
        <v>87</v>
      </c>
      <c r="L433">
        <v>0</v>
      </c>
      <c r="O433" t="s">
        <v>87</v>
      </c>
      <c r="P433">
        <v>0</v>
      </c>
      <c r="S433" t="s">
        <v>87</v>
      </c>
      <c r="T433">
        <v>0</v>
      </c>
      <c r="W433" t="s">
        <v>87</v>
      </c>
      <c r="X433">
        <v>0</v>
      </c>
      <c r="AA433" t="s">
        <v>87</v>
      </c>
      <c r="AB433">
        <v>0</v>
      </c>
      <c r="AE433" t="s">
        <v>87</v>
      </c>
      <c r="AF433">
        <v>0</v>
      </c>
      <c r="AI433" t="s">
        <v>87</v>
      </c>
      <c r="AJ433">
        <v>0</v>
      </c>
      <c r="AM433" t="s">
        <v>87</v>
      </c>
      <c r="AN433">
        <v>0</v>
      </c>
      <c r="AQ433" t="s">
        <v>87</v>
      </c>
      <c r="AR433">
        <v>0</v>
      </c>
      <c r="AT433" t="s">
        <v>87</v>
      </c>
      <c r="AU433">
        <v>0</v>
      </c>
    </row>
    <row r="434" spans="1:47" x14ac:dyDescent="0.35">
      <c r="A434" t="s">
        <v>171</v>
      </c>
      <c r="B434">
        <v>2061013.9999999993</v>
      </c>
      <c r="C434" t="s">
        <v>135</v>
      </c>
      <c r="D434">
        <v>0</v>
      </c>
      <c r="E434" t="s">
        <v>171</v>
      </c>
      <c r="F434">
        <v>2124869.5</v>
      </c>
      <c r="G434" t="s">
        <v>135</v>
      </c>
      <c r="H434">
        <v>0</v>
      </c>
      <c r="I434" t="s">
        <v>171</v>
      </c>
      <c r="J434">
        <v>2189019</v>
      </c>
      <c r="K434" t="s">
        <v>135</v>
      </c>
      <c r="L434">
        <v>0</v>
      </c>
      <c r="M434" t="s">
        <v>171</v>
      </c>
      <c r="N434">
        <v>2253133.5000000009</v>
      </c>
      <c r="O434" t="s">
        <v>135</v>
      </c>
      <c r="P434">
        <v>426</v>
      </c>
      <c r="Q434" t="s">
        <v>171</v>
      </c>
      <c r="R434">
        <v>2317205.5</v>
      </c>
      <c r="S434" t="s">
        <v>135</v>
      </c>
      <c r="T434">
        <v>1</v>
      </c>
      <c r="U434" t="s">
        <v>171</v>
      </c>
      <c r="V434">
        <v>2381181.5</v>
      </c>
      <c r="W434" t="s">
        <v>135</v>
      </c>
      <c r="X434">
        <v>464</v>
      </c>
      <c r="Y434" t="s">
        <v>171</v>
      </c>
      <c r="Z434">
        <v>2444915.5000000014</v>
      </c>
      <c r="AA434" t="s">
        <v>135</v>
      </c>
      <c r="AB434">
        <v>596</v>
      </c>
      <c r="AC434" t="s">
        <v>171</v>
      </c>
      <c r="AD434">
        <v>2508883.5000000009</v>
      </c>
      <c r="AE434" t="s">
        <v>135</v>
      </c>
      <c r="AF434">
        <v>457</v>
      </c>
      <c r="AG434" t="s">
        <v>171</v>
      </c>
      <c r="AH434">
        <v>2573994.9999999995</v>
      </c>
      <c r="AI434" t="s">
        <v>135</v>
      </c>
      <c r="AJ434">
        <v>466</v>
      </c>
      <c r="AK434" t="s">
        <v>171</v>
      </c>
      <c r="AL434">
        <v>2639915.5000000005</v>
      </c>
      <c r="AM434" t="s">
        <v>135</v>
      </c>
      <c r="AN434">
        <v>651</v>
      </c>
      <c r="AO434" t="s">
        <v>171</v>
      </c>
      <c r="AP434">
        <v>2705991.9999999995</v>
      </c>
      <c r="AQ434" t="s">
        <v>135</v>
      </c>
      <c r="AR434">
        <v>0</v>
      </c>
      <c r="AS434" t="s">
        <v>171</v>
      </c>
      <c r="AT434" t="s">
        <v>148</v>
      </c>
      <c r="AU434">
        <v>298</v>
      </c>
    </row>
    <row r="435" spans="1:47" x14ac:dyDescent="0.35">
      <c r="C435" t="s">
        <v>139</v>
      </c>
      <c r="D435">
        <v>4772</v>
      </c>
      <c r="G435" t="s">
        <v>139</v>
      </c>
      <c r="H435">
        <v>0</v>
      </c>
      <c r="K435" t="s">
        <v>139</v>
      </c>
      <c r="L435">
        <v>0</v>
      </c>
      <c r="O435" t="s">
        <v>139</v>
      </c>
      <c r="P435">
        <v>4744</v>
      </c>
      <c r="S435" t="s">
        <v>139</v>
      </c>
      <c r="T435">
        <v>0</v>
      </c>
      <c r="W435" t="s">
        <v>139</v>
      </c>
      <c r="X435">
        <v>2648</v>
      </c>
      <c r="AA435" t="s">
        <v>139</v>
      </c>
      <c r="AB435">
        <v>2996</v>
      </c>
      <c r="AE435" t="s">
        <v>139</v>
      </c>
      <c r="AF435">
        <v>1498</v>
      </c>
      <c r="AI435" t="s">
        <v>139</v>
      </c>
      <c r="AJ435">
        <v>2458</v>
      </c>
      <c r="AM435" t="s">
        <v>139</v>
      </c>
      <c r="AN435">
        <v>2808</v>
      </c>
      <c r="AQ435" t="s">
        <v>139</v>
      </c>
      <c r="AR435">
        <v>0</v>
      </c>
      <c r="AT435" t="s">
        <v>139</v>
      </c>
      <c r="AU435">
        <v>1178</v>
      </c>
    </row>
    <row r="436" spans="1:47" x14ac:dyDescent="0.35">
      <c r="C436" t="s">
        <v>138</v>
      </c>
      <c r="D436">
        <v>0</v>
      </c>
      <c r="G436" t="s">
        <v>138</v>
      </c>
      <c r="H436">
        <v>518</v>
      </c>
      <c r="K436" t="s">
        <v>138</v>
      </c>
      <c r="L436">
        <v>0</v>
      </c>
      <c r="O436" t="s">
        <v>138</v>
      </c>
      <c r="P436">
        <v>1700</v>
      </c>
      <c r="S436" t="s">
        <v>138</v>
      </c>
      <c r="T436">
        <v>0</v>
      </c>
      <c r="W436" t="s">
        <v>138</v>
      </c>
      <c r="X436">
        <v>844</v>
      </c>
      <c r="AA436" t="s">
        <v>138</v>
      </c>
      <c r="AB436">
        <v>0</v>
      </c>
      <c r="AE436" t="s">
        <v>138</v>
      </c>
      <c r="AF436">
        <v>682</v>
      </c>
      <c r="AI436" t="s">
        <v>138</v>
      </c>
      <c r="AJ436">
        <v>1080</v>
      </c>
      <c r="AM436" t="s">
        <v>138</v>
      </c>
      <c r="AN436">
        <v>758</v>
      </c>
      <c r="AQ436" t="s">
        <v>138</v>
      </c>
      <c r="AR436">
        <v>0</v>
      </c>
      <c r="AT436" t="s">
        <v>138</v>
      </c>
      <c r="AU436">
        <v>320</v>
      </c>
    </row>
    <row r="437" spans="1:47" x14ac:dyDescent="0.35">
      <c r="C437" t="s">
        <v>82</v>
      </c>
      <c r="D437">
        <v>886</v>
      </c>
      <c r="G437" t="s">
        <v>82</v>
      </c>
      <c r="H437">
        <v>0</v>
      </c>
      <c r="K437" t="s">
        <v>82</v>
      </c>
      <c r="L437">
        <v>124</v>
      </c>
      <c r="O437" t="s">
        <v>82</v>
      </c>
      <c r="P437">
        <v>156</v>
      </c>
      <c r="S437" t="s">
        <v>82</v>
      </c>
      <c r="T437">
        <v>0</v>
      </c>
      <c r="W437" t="s">
        <v>82</v>
      </c>
      <c r="X437">
        <v>360</v>
      </c>
      <c r="AA437" t="s">
        <v>82</v>
      </c>
      <c r="AB437">
        <v>157</v>
      </c>
      <c r="AE437" t="s">
        <v>82</v>
      </c>
      <c r="AF437">
        <v>60</v>
      </c>
      <c r="AI437" t="s">
        <v>82</v>
      </c>
      <c r="AJ437">
        <v>324</v>
      </c>
      <c r="AM437" t="s">
        <v>82</v>
      </c>
      <c r="AN437">
        <v>1859</v>
      </c>
      <c r="AQ437" t="s">
        <v>82</v>
      </c>
      <c r="AR437">
        <v>3224</v>
      </c>
      <c r="AT437" t="s">
        <v>82</v>
      </c>
      <c r="AU437">
        <v>79</v>
      </c>
    </row>
    <row r="438" spans="1:47" x14ac:dyDescent="0.35">
      <c r="C438" t="s">
        <v>60</v>
      </c>
      <c r="D438">
        <v>228</v>
      </c>
      <c r="G438" t="s">
        <v>60</v>
      </c>
      <c r="H438">
        <v>0</v>
      </c>
      <c r="K438" t="s">
        <v>60</v>
      </c>
      <c r="L438">
        <v>0</v>
      </c>
      <c r="O438" t="s">
        <v>60</v>
      </c>
      <c r="P438">
        <v>15</v>
      </c>
      <c r="S438" t="s">
        <v>60</v>
      </c>
      <c r="T438">
        <v>6433</v>
      </c>
      <c r="W438" t="s">
        <v>60</v>
      </c>
      <c r="X438">
        <v>54</v>
      </c>
      <c r="AA438" t="s">
        <v>60</v>
      </c>
      <c r="AB438">
        <v>27</v>
      </c>
      <c r="AE438" t="s">
        <v>60</v>
      </c>
      <c r="AF438">
        <v>30</v>
      </c>
      <c r="AI438" t="s">
        <v>60</v>
      </c>
      <c r="AJ438">
        <v>26</v>
      </c>
      <c r="AM438" t="s">
        <v>60</v>
      </c>
      <c r="AN438">
        <v>513</v>
      </c>
      <c r="AQ438" t="s">
        <v>60</v>
      </c>
      <c r="AR438">
        <v>612</v>
      </c>
      <c r="AT438" t="s">
        <v>60</v>
      </c>
      <c r="AU438">
        <v>3</v>
      </c>
    </row>
    <row r="439" spans="1:47" x14ac:dyDescent="0.35">
      <c r="C439" t="s">
        <v>127</v>
      </c>
      <c r="D439">
        <v>0</v>
      </c>
      <c r="G439" t="s">
        <v>127</v>
      </c>
      <c r="H439">
        <v>0</v>
      </c>
      <c r="K439" t="s">
        <v>127</v>
      </c>
      <c r="L439">
        <v>0</v>
      </c>
      <c r="O439" t="s">
        <v>127</v>
      </c>
      <c r="P439">
        <v>0</v>
      </c>
      <c r="S439" t="s">
        <v>127</v>
      </c>
      <c r="T439">
        <v>0</v>
      </c>
      <c r="W439" t="s">
        <v>127</v>
      </c>
      <c r="X439">
        <v>0</v>
      </c>
      <c r="AA439" t="s">
        <v>127</v>
      </c>
      <c r="AB439">
        <v>1553</v>
      </c>
      <c r="AE439" t="s">
        <v>127</v>
      </c>
      <c r="AF439">
        <v>0</v>
      </c>
      <c r="AI439" t="s">
        <v>127</v>
      </c>
      <c r="AJ439">
        <v>0</v>
      </c>
      <c r="AM439" t="s">
        <v>127</v>
      </c>
      <c r="AN439">
        <v>0</v>
      </c>
      <c r="AQ439" t="s">
        <v>127</v>
      </c>
      <c r="AR439">
        <v>0</v>
      </c>
      <c r="AT439" t="s">
        <v>58</v>
      </c>
      <c r="AU439">
        <v>1553</v>
      </c>
    </row>
    <row r="440" spans="1:47" x14ac:dyDescent="0.35">
      <c r="C440" t="s">
        <v>61</v>
      </c>
      <c r="D440">
        <v>0</v>
      </c>
      <c r="G440" t="s">
        <v>61</v>
      </c>
      <c r="H440">
        <v>0</v>
      </c>
      <c r="K440" t="s">
        <v>61</v>
      </c>
      <c r="L440">
        <v>0</v>
      </c>
      <c r="O440" t="s">
        <v>61</v>
      </c>
      <c r="P440">
        <v>0</v>
      </c>
      <c r="S440" t="s">
        <v>61</v>
      </c>
      <c r="T440">
        <v>3652</v>
      </c>
      <c r="W440" t="s">
        <v>61</v>
      </c>
      <c r="X440">
        <v>0</v>
      </c>
      <c r="AA440" t="s">
        <v>61</v>
      </c>
      <c r="AB440">
        <v>0</v>
      </c>
      <c r="AE440" t="s">
        <v>61</v>
      </c>
      <c r="AF440">
        <v>0</v>
      </c>
      <c r="AI440" t="s">
        <v>61</v>
      </c>
      <c r="AJ440">
        <v>0</v>
      </c>
      <c r="AM440" t="s">
        <v>61</v>
      </c>
      <c r="AN440">
        <v>1</v>
      </c>
      <c r="AQ440" t="s">
        <v>61</v>
      </c>
      <c r="AR440">
        <v>59</v>
      </c>
      <c r="AT440" t="s">
        <v>61</v>
      </c>
      <c r="AU440">
        <v>0</v>
      </c>
    </row>
    <row r="441" spans="1:47" x14ac:dyDescent="0.35">
      <c r="C441" t="s">
        <v>62</v>
      </c>
      <c r="D441">
        <v>0</v>
      </c>
      <c r="G441" t="s">
        <v>62</v>
      </c>
      <c r="H441">
        <v>0</v>
      </c>
      <c r="K441" t="s">
        <v>62</v>
      </c>
      <c r="L441">
        <v>0</v>
      </c>
      <c r="O441" t="s">
        <v>62</v>
      </c>
      <c r="P441">
        <v>0</v>
      </c>
      <c r="S441" t="s">
        <v>62</v>
      </c>
      <c r="T441">
        <v>3831</v>
      </c>
      <c r="W441" t="s">
        <v>62</v>
      </c>
      <c r="X441">
        <v>0</v>
      </c>
      <c r="AA441" t="s">
        <v>62</v>
      </c>
      <c r="AB441">
        <v>0</v>
      </c>
      <c r="AE441" t="s">
        <v>62</v>
      </c>
      <c r="AF441">
        <v>0</v>
      </c>
      <c r="AI441" t="s">
        <v>62</v>
      </c>
      <c r="AJ441">
        <v>0</v>
      </c>
      <c r="AM441" t="s">
        <v>62</v>
      </c>
      <c r="AN441">
        <v>2742</v>
      </c>
      <c r="AQ441" t="s">
        <v>62</v>
      </c>
      <c r="AR441">
        <v>2305</v>
      </c>
      <c r="AT441" t="s">
        <v>62</v>
      </c>
      <c r="AU441">
        <v>316</v>
      </c>
    </row>
    <row r="442" spans="1:47" x14ac:dyDescent="0.35">
      <c r="C442" t="s">
        <v>203</v>
      </c>
      <c r="D442">
        <v>0</v>
      </c>
      <c r="G442" t="s">
        <v>203</v>
      </c>
      <c r="H442">
        <v>0</v>
      </c>
      <c r="K442" t="s">
        <v>203</v>
      </c>
      <c r="L442">
        <v>0</v>
      </c>
      <c r="O442" t="s">
        <v>203</v>
      </c>
      <c r="P442">
        <v>0</v>
      </c>
      <c r="S442" t="s">
        <v>203</v>
      </c>
      <c r="T442">
        <v>0</v>
      </c>
      <c r="W442" t="s">
        <v>203</v>
      </c>
      <c r="X442">
        <v>0</v>
      </c>
      <c r="AA442" t="s">
        <v>203</v>
      </c>
      <c r="AB442">
        <v>0</v>
      </c>
      <c r="AE442" t="s">
        <v>203</v>
      </c>
      <c r="AF442">
        <v>0</v>
      </c>
      <c r="AI442" t="s">
        <v>203</v>
      </c>
      <c r="AJ442">
        <v>0</v>
      </c>
      <c r="AM442" t="s">
        <v>203</v>
      </c>
      <c r="AN442">
        <v>0</v>
      </c>
      <c r="AQ442" t="s">
        <v>203</v>
      </c>
      <c r="AR442">
        <v>0</v>
      </c>
      <c r="AT442" t="s">
        <v>64</v>
      </c>
      <c r="AU442">
        <v>0</v>
      </c>
    </row>
    <row r="443" spans="1:47" x14ac:dyDescent="0.35">
      <c r="C443" t="s">
        <v>204</v>
      </c>
      <c r="D443">
        <v>0</v>
      </c>
      <c r="G443" t="s">
        <v>204</v>
      </c>
      <c r="H443">
        <v>0</v>
      </c>
      <c r="K443" t="s">
        <v>204</v>
      </c>
      <c r="L443">
        <v>0</v>
      </c>
      <c r="O443" t="s">
        <v>204</v>
      </c>
      <c r="P443">
        <v>0</v>
      </c>
      <c r="S443" t="s">
        <v>204</v>
      </c>
      <c r="T443">
        <v>0</v>
      </c>
      <c r="W443" t="s">
        <v>204</v>
      </c>
      <c r="X443">
        <v>0</v>
      </c>
      <c r="AA443" t="s">
        <v>204</v>
      </c>
      <c r="AB443">
        <v>0</v>
      </c>
      <c r="AE443" t="s">
        <v>204</v>
      </c>
      <c r="AF443">
        <v>246</v>
      </c>
      <c r="AI443" t="s">
        <v>204</v>
      </c>
      <c r="AJ443">
        <v>479</v>
      </c>
      <c r="AM443" t="s">
        <v>204</v>
      </c>
      <c r="AN443">
        <v>522</v>
      </c>
      <c r="AQ443" t="s">
        <v>204</v>
      </c>
      <c r="AR443">
        <v>0</v>
      </c>
      <c r="AT443" t="s">
        <v>65</v>
      </c>
      <c r="AU443">
        <v>0</v>
      </c>
    </row>
    <row r="444" spans="1:47" x14ac:dyDescent="0.35">
      <c r="C444" t="s">
        <v>205</v>
      </c>
      <c r="D444">
        <v>0</v>
      </c>
      <c r="G444" t="s">
        <v>205</v>
      </c>
      <c r="H444">
        <v>0</v>
      </c>
      <c r="K444" t="s">
        <v>205</v>
      </c>
      <c r="L444">
        <v>0</v>
      </c>
      <c r="O444" t="s">
        <v>205</v>
      </c>
      <c r="P444">
        <v>3</v>
      </c>
      <c r="S444" t="s">
        <v>205</v>
      </c>
      <c r="T444">
        <v>0</v>
      </c>
      <c r="W444" t="s">
        <v>205</v>
      </c>
      <c r="X444">
        <v>0</v>
      </c>
      <c r="AA444" t="s">
        <v>205</v>
      </c>
      <c r="AB444">
        <v>7</v>
      </c>
      <c r="AE444" t="s">
        <v>205</v>
      </c>
      <c r="AF444">
        <v>95</v>
      </c>
      <c r="AI444" t="s">
        <v>205</v>
      </c>
      <c r="AJ444">
        <v>4</v>
      </c>
      <c r="AM444" t="s">
        <v>205</v>
      </c>
      <c r="AN444">
        <v>6</v>
      </c>
      <c r="AQ444" t="s">
        <v>205</v>
      </c>
      <c r="AR444">
        <v>0</v>
      </c>
      <c r="AT444" t="s">
        <v>66</v>
      </c>
      <c r="AU444">
        <v>0</v>
      </c>
    </row>
    <row r="445" spans="1:47" x14ac:dyDescent="0.35">
      <c r="C445" t="s">
        <v>133</v>
      </c>
      <c r="D445">
        <v>0</v>
      </c>
      <c r="G445" t="s">
        <v>133</v>
      </c>
      <c r="H445">
        <v>0</v>
      </c>
      <c r="K445" t="s">
        <v>133</v>
      </c>
      <c r="L445">
        <v>0</v>
      </c>
      <c r="O445" t="s">
        <v>133</v>
      </c>
      <c r="P445">
        <v>11</v>
      </c>
      <c r="S445" t="s">
        <v>133</v>
      </c>
      <c r="T445">
        <v>0</v>
      </c>
      <c r="W445" t="s">
        <v>133</v>
      </c>
      <c r="X445">
        <v>0</v>
      </c>
      <c r="AA445" t="s">
        <v>133</v>
      </c>
      <c r="AB445">
        <v>138</v>
      </c>
      <c r="AE445" t="s">
        <v>133</v>
      </c>
      <c r="AF445">
        <v>22</v>
      </c>
      <c r="AI445" t="s">
        <v>133</v>
      </c>
      <c r="AJ445">
        <v>13</v>
      </c>
      <c r="AM445" t="s">
        <v>133</v>
      </c>
      <c r="AN445">
        <v>18</v>
      </c>
      <c r="AQ445" t="s">
        <v>133</v>
      </c>
      <c r="AR445">
        <v>0</v>
      </c>
      <c r="AT445" t="s">
        <v>79</v>
      </c>
      <c r="AU445">
        <v>0</v>
      </c>
    </row>
    <row r="446" spans="1:47" x14ac:dyDescent="0.35">
      <c r="C446" t="s">
        <v>206</v>
      </c>
      <c r="D446">
        <v>0</v>
      </c>
      <c r="G446" t="s">
        <v>206</v>
      </c>
      <c r="H446">
        <v>0</v>
      </c>
      <c r="K446" t="s">
        <v>206</v>
      </c>
      <c r="L446">
        <v>0</v>
      </c>
      <c r="O446" t="s">
        <v>206</v>
      </c>
      <c r="P446">
        <v>0</v>
      </c>
      <c r="S446" t="s">
        <v>206</v>
      </c>
      <c r="T446">
        <v>0</v>
      </c>
      <c r="W446" t="s">
        <v>206</v>
      </c>
      <c r="X446">
        <v>0</v>
      </c>
      <c r="AA446" t="s">
        <v>206</v>
      </c>
      <c r="AB446">
        <v>0</v>
      </c>
      <c r="AE446" t="s">
        <v>206</v>
      </c>
      <c r="AF446">
        <v>0</v>
      </c>
      <c r="AI446" t="s">
        <v>206</v>
      </c>
      <c r="AJ446">
        <v>0</v>
      </c>
      <c r="AM446" t="s">
        <v>206</v>
      </c>
      <c r="AN446">
        <v>0</v>
      </c>
      <c r="AQ446" t="s">
        <v>206</v>
      </c>
      <c r="AR446">
        <v>0</v>
      </c>
      <c r="AT446" t="s">
        <v>68</v>
      </c>
      <c r="AU446">
        <v>0</v>
      </c>
    </row>
    <row r="447" spans="1:47" x14ac:dyDescent="0.35">
      <c r="C447" t="s">
        <v>136</v>
      </c>
      <c r="D447">
        <v>0</v>
      </c>
      <c r="G447" t="s">
        <v>136</v>
      </c>
      <c r="H447">
        <v>0</v>
      </c>
      <c r="K447" t="s">
        <v>136</v>
      </c>
      <c r="L447">
        <v>0</v>
      </c>
      <c r="O447" t="s">
        <v>136</v>
      </c>
      <c r="P447">
        <v>32</v>
      </c>
      <c r="S447" t="s">
        <v>136</v>
      </c>
      <c r="T447">
        <v>0</v>
      </c>
      <c r="W447" t="s">
        <v>136</v>
      </c>
      <c r="X447">
        <v>0</v>
      </c>
      <c r="AA447" t="s">
        <v>136</v>
      </c>
      <c r="AB447">
        <v>0</v>
      </c>
      <c r="AE447" t="s">
        <v>136</v>
      </c>
      <c r="AF447">
        <v>149</v>
      </c>
      <c r="AI447" t="s">
        <v>136</v>
      </c>
      <c r="AJ447">
        <v>173</v>
      </c>
      <c r="AM447" t="s">
        <v>136</v>
      </c>
      <c r="AN447">
        <v>172</v>
      </c>
      <c r="AQ447" t="s">
        <v>136</v>
      </c>
      <c r="AR447">
        <v>0</v>
      </c>
      <c r="AT447" t="s">
        <v>69</v>
      </c>
      <c r="AU447">
        <v>0</v>
      </c>
    </row>
    <row r="448" spans="1:47" x14ac:dyDescent="0.35">
      <c r="C448" t="s">
        <v>207</v>
      </c>
      <c r="D448">
        <v>0</v>
      </c>
      <c r="G448" t="s">
        <v>207</v>
      </c>
      <c r="H448">
        <v>0</v>
      </c>
      <c r="K448" t="s">
        <v>207</v>
      </c>
      <c r="L448">
        <v>0</v>
      </c>
      <c r="O448" t="s">
        <v>207</v>
      </c>
      <c r="P448">
        <v>0</v>
      </c>
      <c r="S448" t="s">
        <v>207</v>
      </c>
      <c r="T448">
        <v>0</v>
      </c>
      <c r="W448" t="s">
        <v>207</v>
      </c>
      <c r="X448">
        <v>0</v>
      </c>
      <c r="AA448" t="s">
        <v>207</v>
      </c>
      <c r="AB448">
        <v>0</v>
      </c>
      <c r="AE448" t="s">
        <v>207</v>
      </c>
      <c r="AF448">
        <v>0</v>
      </c>
      <c r="AI448" t="s">
        <v>207</v>
      </c>
      <c r="AJ448">
        <v>0</v>
      </c>
      <c r="AM448" t="s">
        <v>207</v>
      </c>
      <c r="AN448">
        <v>0</v>
      </c>
      <c r="AQ448" t="s">
        <v>207</v>
      </c>
      <c r="AR448">
        <v>0</v>
      </c>
      <c r="AT448" t="s">
        <v>70</v>
      </c>
      <c r="AU448">
        <v>0</v>
      </c>
    </row>
    <row r="449" spans="1:47" x14ac:dyDescent="0.35">
      <c r="C449" t="s">
        <v>141</v>
      </c>
      <c r="D449">
        <v>0</v>
      </c>
      <c r="G449" t="s">
        <v>141</v>
      </c>
      <c r="H449">
        <v>0</v>
      </c>
      <c r="K449" t="s">
        <v>141</v>
      </c>
      <c r="L449">
        <v>0</v>
      </c>
      <c r="O449" t="s">
        <v>141</v>
      </c>
      <c r="P449">
        <v>17</v>
      </c>
      <c r="S449" t="s">
        <v>141</v>
      </c>
      <c r="T449">
        <v>0</v>
      </c>
      <c r="W449" t="s">
        <v>141</v>
      </c>
      <c r="X449">
        <v>0</v>
      </c>
      <c r="AA449" t="s">
        <v>141</v>
      </c>
      <c r="AB449">
        <v>0</v>
      </c>
      <c r="AE449" t="s">
        <v>141</v>
      </c>
      <c r="AF449">
        <v>16</v>
      </c>
      <c r="AI449" t="s">
        <v>141</v>
      </c>
      <c r="AJ449">
        <v>20</v>
      </c>
      <c r="AM449" t="s">
        <v>141</v>
      </c>
      <c r="AN449">
        <v>18</v>
      </c>
      <c r="AQ449" t="s">
        <v>141</v>
      </c>
      <c r="AR449">
        <v>0</v>
      </c>
      <c r="AT449" t="s">
        <v>76</v>
      </c>
      <c r="AU449">
        <v>0</v>
      </c>
    </row>
    <row r="450" spans="1:47" x14ac:dyDescent="0.35">
      <c r="C450" t="s">
        <v>208</v>
      </c>
      <c r="D450">
        <v>0</v>
      </c>
      <c r="G450" t="s">
        <v>208</v>
      </c>
      <c r="H450">
        <v>0</v>
      </c>
      <c r="K450" t="s">
        <v>208</v>
      </c>
      <c r="L450">
        <v>0</v>
      </c>
      <c r="O450" t="s">
        <v>208</v>
      </c>
      <c r="P450">
        <v>0</v>
      </c>
      <c r="S450" t="s">
        <v>208</v>
      </c>
      <c r="T450">
        <v>0</v>
      </c>
      <c r="W450" t="s">
        <v>208</v>
      </c>
      <c r="X450">
        <v>0</v>
      </c>
      <c r="AA450" t="s">
        <v>208</v>
      </c>
      <c r="AB450">
        <v>0</v>
      </c>
      <c r="AE450" t="s">
        <v>208</v>
      </c>
      <c r="AF450">
        <v>0</v>
      </c>
      <c r="AI450" t="s">
        <v>208</v>
      </c>
      <c r="AJ450">
        <v>0</v>
      </c>
      <c r="AM450" t="s">
        <v>208</v>
      </c>
      <c r="AN450">
        <v>0</v>
      </c>
      <c r="AQ450" t="s">
        <v>208</v>
      </c>
      <c r="AR450">
        <v>0</v>
      </c>
      <c r="AT450" t="s">
        <v>77</v>
      </c>
      <c r="AU450">
        <v>0</v>
      </c>
    </row>
    <row r="451" spans="1:47" x14ac:dyDescent="0.35">
      <c r="C451" t="s">
        <v>209</v>
      </c>
      <c r="D451">
        <v>0</v>
      </c>
      <c r="G451" t="s">
        <v>209</v>
      </c>
      <c r="H451">
        <v>0</v>
      </c>
      <c r="K451" t="s">
        <v>209</v>
      </c>
      <c r="L451">
        <v>0</v>
      </c>
      <c r="O451" t="s">
        <v>209</v>
      </c>
      <c r="P451">
        <v>0</v>
      </c>
      <c r="S451" t="s">
        <v>209</v>
      </c>
      <c r="T451">
        <v>0</v>
      </c>
      <c r="W451" t="s">
        <v>209</v>
      </c>
      <c r="X451">
        <v>0</v>
      </c>
      <c r="AA451" t="s">
        <v>209</v>
      </c>
      <c r="AB451">
        <v>0</v>
      </c>
      <c r="AE451" t="s">
        <v>209</v>
      </c>
      <c r="AF451">
        <v>0</v>
      </c>
      <c r="AI451" t="s">
        <v>209</v>
      </c>
      <c r="AJ451">
        <v>2253</v>
      </c>
      <c r="AM451" t="s">
        <v>209</v>
      </c>
      <c r="AN451">
        <v>2193</v>
      </c>
      <c r="AQ451" t="s">
        <v>209</v>
      </c>
      <c r="AR451">
        <v>0</v>
      </c>
      <c r="AT451" t="s">
        <v>78</v>
      </c>
      <c r="AU451">
        <v>0</v>
      </c>
    </row>
    <row r="452" spans="1:47" x14ac:dyDescent="0.35">
      <c r="C452" t="s">
        <v>134</v>
      </c>
      <c r="D452">
        <v>0</v>
      </c>
      <c r="G452" t="s">
        <v>134</v>
      </c>
      <c r="H452">
        <v>0</v>
      </c>
      <c r="K452" t="s">
        <v>134</v>
      </c>
      <c r="L452">
        <v>0</v>
      </c>
      <c r="O452" t="s">
        <v>134</v>
      </c>
      <c r="P452">
        <v>141</v>
      </c>
      <c r="S452" t="s">
        <v>134</v>
      </c>
      <c r="T452">
        <v>0</v>
      </c>
      <c r="W452" t="s">
        <v>134</v>
      </c>
      <c r="X452">
        <v>0</v>
      </c>
      <c r="AA452" t="s">
        <v>134</v>
      </c>
      <c r="AB452">
        <v>0</v>
      </c>
      <c r="AE452" t="s">
        <v>134</v>
      </c>
      <c r="AF452">
        <v>0</v>
      </c>
      <c r="AI452" t="s">
        <v>134</v>
      </c>
      <c r="AJ452">
        <v>0</v>
      </c>
      <c r="AM452" t="s">
        <v>134</v>
      </c>
      <c r="AN452">
        <v>0</v>
      </c>
      <c r="AQ452" t="s">
        <v>134</v>
      </c>
      <c r="AR452">
        <v>0</v>
      </c>
      <c r="AT452" t="s">
        <v>67</v>
      </c>
      <c r="AU452">
        <v>138</v>
      </c>
    </row>
    <row r="453" spans="1:47" x14ac:dyDescent="0.35">
      <c r="C453" t="s">
        <v>142</v>
      </c>
      <c r="D453">
        <v>0</v>
      </c>
      <c r="G453" t="s">
        <v>142</v>
      </c>
      <c r="H453">
        <v>0</v>
      </c>
      <c r="K453" t="s">
        <v>142</v>
      </c>
      <c r="L453">
        <v>0</v>
      </c>
      <c r="O453" t="s">
        <v>142</v>
      </c>
      <c r="P453">
        <v>0</v>
      </c>
      <c r="S453" t="s">
        <v>142</v>
      </c>
      <c r="T453">
        <v>0</v>
      </c>
      <c r="W453" t="s">
        <v>142</v>
      </c>
      <c r="X453">
        <v>0</v>
      </c>
      <c r="AA453" t="s">
        <v>142</v>
      </c>
      <c r="AB453">
        <v>0</v>
      </c>
      <c r="AE453" t="s">
        <v>142</v>
      </c>
      <c r="AF453">
        <v>0</v>
      </c>
      <c r="AI453" t="s">
        <v>142</v>
      </c>
      <c r="AJ453">
        <v>0</v>
      </c>
      <c r="AM453" t="s">
        <v>142</v>
      </c>
      <c r="AN453">
        <v>0</v>
      </c>
      <c r="AQ453" t="s">
        <v>142</v>
      </c>
      <c r="AR453">
        <v>0</v>
      </c>
      <c r="AT453" t="s">
        <v>80</v>
      </c>
      <c r="AU453">
        <v>39</v>
      </c>
    </row>
    <row r="454" spans="1:47" x14ac:dyDescent="0.35">
      <c r="C454" t="s">
        <v>83</v>
      </c>
      <c r="D454">
        <v>0</v>
      </c>
      <c r="G454" t="s">
        <v>83</v>
      </c>
      <c r="H454">
        <v>0</v>
      </c>
      <c r="K454" t="s">
        <v>83</v>
      </c>
      <c r="L454">
        <v>0</v>
      </c>
      <c r="O454" t="s">
        <v>83</v>
      </c>
      <c r="P454">
        <v>20</v>
      </c>
      <c r="S454" t="s">
        <v>83</v>
      </c>
      <c r="T454">
        <v>0</v>
      </c>
      <c r="W454" t="s">
        <v>83</v>
      </c>
      <c r="X454">
        <v>0</v>
      </c>
      <c r="AA454" t="s">
        <v>83</v>
      </c>
      <c r="AB454">
        <v>0</v>
      </c>
      <c r="AE454" t="s">
        <v>83</v>
      </c>
      <c r="AF454">
        <v>23</v>
      </c>
      <c r="AI454" t="s">
        <v>83</v>
      </c>
      <c r="AJ454">
        <v>32</v>
      </c>
      <c r="AM454" t="s">
        <v>83</v>
      </c>
      <c r="AN454">
        <v>24</v>
      </c>
      <c r="AQ454" t="s">
        <v>83</v>
      </c>
      <c r="AR454">
        <v>0</v>
      </c>
      <c r="AT454" t="s">
        <v>83</v>
      </c>
      <c r="AU454">
        <v>0</v>
      </c>
    </row>
    <row r="455" spans="1:47" x14ac:dyDescent="0.35">
      <c r="C455" t="s">
        <v>84</v>
      </c>
      <c r="D455">
        <v>127</v>
      </c>
      <c r="G455" t="s">
        <v>84</v>
      </c>
      <c r="H455">
        <v>0</v>
      </c>
      <c r="K455" t="s">
        <v>84</v>
      </c>
      <c r="L455">
        <v>0</v>
      </c>
      <c r="O455" t="s">
        <v>84</v>
      </c>
      <c r="P455">
        <v>0</v>
      </c>
      <c r="S455" t="s">
        <v>84</v>
      </c>
      <c r="T455">
        <v>0</v>
      </c>
      <c r="W455" t="s">
        <v>84</v>
      </c>
      <c r="X455">
        <v>0</v>
      </c>
      <c r="AA455" t="s">
        <v>84</v>
      </c>
      <c r="AB455">
        <v>0</v>
      </c>
      <c r="AE455" t="s">
        <v>84</v>
      </c>
      <c r="AF455">
        <v>0</v>
      </c>
      <c r="AI455" t="s">
        <v>84</v>
      </c>
      <c r="AJ455">
        <v>0</v>
      </c>
      <c r="AM455" t="s">
        <v>84</v>
      </c>
      <c r="AN455">
        <v>0</v>
      </c>
      <c r="AQ455" t="s">
        <v>84</v>
      </c>
      <c r="AR455">
        <v>0</v>
      </c>
      <c r="AT455" t="s">
        <v>84</v>
      </c>
      <c r="AU455">
        <v>0</v>
      </c>
    </row>
    <row r="456" spans="1:47" x14ac:dyDescent="0.35">
      <c r="C456" t="s">
        <v>126</v>
      </c>
      <c r="D456">
        <v>0</v>
      </c>
      <c r="G456" t="s">
        <v>126</v>
      </c>
      <c r="H456">
        <v>0</v>
      </c>
      <c r="K456" t="s">
        <v>223</v>
      </c>
      <c r="L456">
        <v>0</v>
      </c>
      <c r="O456" t="s">
        <v>126</v>
      </c>
      <c r="P456">
        <v>0</v>
      </c>
      <c r="S456" t="s">
        <v>126</v>
      </c>
      <c r="T456">
        <v>0</v>
      </c>
      <c r="W456" t="s">
        <v>126</v>
      </c>
      <c r="X456">
        <v>0</v>
      </c>
      <c r="AA456" t="s">
        <v>126</v>
      </c>
      <c r="AB456">
        <v>0</v>
      </c>
      <c r="AE456" t="s">
        <v>126</v>
      </c>
      <c r="AF456">
        <v>0</v>
      </c>
      <c r="AI456" t="s">
        <v>126</v>
      </c>
      <c r="AJ456">
        <v>0</v>
      </c>
      <c r="AM456" t="s">
        <v>126</v>
      </c>
      <c r="AN456">
        <v>0</v>
      </c>
      <c r="AQ456" t="s">
        <v>126</v>
      </c>
      <c r="AR456">
        <v>0</v>
      </c>
      <c r="AT456" t="s">
        <v>86</v>
      </c>
      <c r="AU456">
        <v>0</v>
      </c>
    </row>
    <row r="457" spans="1:47" x14ac:dyDescent="0.35">
      <c r="C457" t="s">
        <v>87</v>
      </c>
      <c r="D457">
        <v>656</v>
      </c>
      <c r="G457" t="s">
        <v>87</v>
      </c>
      <c r="H457">
        <v>0</v>
      </c>
      <c r="K457" t="s">
        <v>87</v>
      </c>
      <c r="L457">
        <v>0</v>
      </c>
      <c r="O457" t="s">
        <v>87</v>
      </c>
      <c r="P457">
        <v>0</v>
      </c>
      <c r="S457" t="s">
        <v>87</v>
      </c>
      <c r="T457">
        <v>0</v>
      </c>
      <c r="W457" t="s">
        <v>87</v>
      </c>
      <c r="X457">
        <v>0</v>
      </c>
      <c r="AA457" t="s">
        <v>87</v>
      </c>
      <c r="AB457">
        <v>0</v>
      </c>
      <c r="AE457" t="s">
        <v>87</v>
      </c>
      <c r="AF457">
        <v>0</v>
      </c>
      <c r="AI457" t="s">
        <v>87</v>
      </c>
      <c r="AJ457">
        <v>0</v>
      </c>
      <c r="AM457" t="s">
        <v>87</v>
      </c>
      <c r="AN457">
        <v>0</v>
      </c>
      <c r="AQ457" t="s">
        <v>87</v>
      </c>
      <c r="AR457">
        <v>0</v>
      </c>
      <c r="AT457" t="s">
        <v>87</v>
      </c>
      <c r="AU457">
        <v>0</v>
      </c>
    </row>
    <row r="458" spans="1:47" x14ac:dyDescent="0.35">
      <c r="A458" t="s">
        <v>174</v>
      </c>
      <c r="B458">
        <v>1652717.4999999998</v>
      </c>
      <c r="C458" t="s">
        <v>135</v>
      </c>
      <c r="D458">
        <v>0</v>
      </c>
      <c r="E458" t="s">
        <v>174</v>
      </c>
      <c r="F458">
        <v>1697752.4999999995</v>
      </c>
      <c r="G458" t="s">
        <v>135</v>
      </c>
      <c r="H458">
        <v>0</v>
      </c>
      <c r="I458" t="s">
        <v>174</v>
      </c>
      <c r="J458">
        <v>1743309.0000000002</v>
      </c>
      <c r="K458" t="s">
        <v>135</v>
      </c>
      <c r="L458">
        <v>0</v>
      </c>
      <c r="M458" t="s">
        <v>174</v>
      </c>
      <c r="N458">
        <v>1788919.0000000005</v>
      </c>
      <c r="O458" t="s">
        <v>135</v>
      </c>
      <c r="P458">
        <v>708</v>
      </c>
      <c r="Q458" t="s">
        <v>174</v>
      </c>
      <c r="R458">
        <v>1834551.4999999995</v>
      </c>
      <c r="S458" t="s">
        <v>135</v>
      </c>
      <c r="T458">
        <v>388</v>
      </c>
      <c r="U458" t="s">
        <v>174</v>
      </c>
      <c r="V458">
        <v>1879826.5000000005</v>
      </c>
      <c r="W458" t="s">
        <v>135</v>
      </c>
      <c r="X458">
        <v>0</v>
      </c>
      <c r="Y458" t="s">
        <v>174</v>
      </c>
      <c r="Z458">
        <v>1924954.4999999988</v>
      </c>
      <c r="AA458" t="s">
        <v>135</v>
      </c>
      <c r="AB458">
        <v>1181</v>
      </c>
      <c r="AC458" t="s">
        <v>174</v>
      </c>
      <c r="AD458">
        <v>1970456.5</v>
      </c>
      <c r="AE458" t="s">
        <v>135</v>
      </c>
      <c r="AF458">
        <v>0</v>
      </c>
      <c r="AG458" t="s">
        <v>174</v>
      </c>
      <c r="AH458">
        <v>2015827.9999999998</v>
      </c>
      <c r="AI458" t="s">
        <v>135</v>
      </c>
      <c r="AJ458">
        <v>781</v>
      </c>
      <c r="AK458" t="s">
        <v>174</v>
      </c>
      <c r="AL458">
        <v>2060720.9999999991</v>
      </c>
      <c r="AM458" t="s">
        <v>135</v>
      </c>
      <c r="AN458">
        <v>916</v>
      </c>
      <c r="AO458" t="s">
        <v>174</v>
      </c>
      <c r="AP458">
        <v>2105565.4999999991</v>
      </c>
      <c r="AQ458" t="s">
        <v>135</v>
      </c>
      <c r="AR458">
        <v>885</v>
      </c>
      <c r="AS458" t="s">
        <v>174</v>
      </c>
      <c r="AT458" t="s">
        <v>148</v>
      </c>
      <c r="AU458">
        <v>318</v>
      </c>
    </row>
    <row r="459" spans="1:47" x14ac:dyDescent="0.35">
      <c r="C459" t="s">
        <v>139</v>
      </c>
      <c r="D459">
        <v>0</v>
      </c>
      <c r="G459" t="s">
        <v>139</v>
      </c>
      <c r="H459">
        <v>1468</v>
      </c>
      <c r="K459" t="s">
        <v>139</v>
      </c>
      <c r="L459">
        <v>1899</v>
      </c>
      <c r="O459" t="s">
        <v>139</v>
      </c>
      <c r="P459">
        <v>2098</v>
      </c>
      <c r="S459" t="s">
        <v>139</v>
      </c>
      <c r="T459">
        <v>2006</v>
      </c>
      <c r="W459" t="s">
        <v>139</v>
      </c>
      <c r="X459">
        <v>0</v>
      </c>
      <c r="AA459" t="s">
        <v>139</v>
      </c>
      <c r="AB459">
        <v>1488</v>
      </c>
      <c r="AE459" t="s">
        <v>139</v>
      </c>
      <c r="AF459">
        <v>0</v>
      </c>
      <c r="AI459" t="s">
        <v>139</v>
      </c>
      <c r="AJ459">
        <v>2782</v>
      </c>
      <c r="AM459" t="s">
        <v>139</v>
      </c>
      <c r="AN459">
        <v>3912</v>
      </c>
      <c r="AQ459" t="s">
        <v>139</v>
      </c>
      <c r="AR459">
        <v>3758</v>
      </c>
      <c r="AT459" t="s">
        <v>139</v>
      </c>
      <c r="AU459">
        <v>1264</v>
      </c>
    </row>
    <row r="460" spans="1:47" x14ac:dyDescent="0.35">
      <c r="C460" t="s">
        <v>138</v>
      </c>
      <c r="D460">
        <v>0</v>
      </c>
      <c r="G460" t="s">
        <v>138</v>
      </c>
      <c r="H460">
        <v>306</v>
      </c>
      <c r="K460" t="s">
        <v>138</v>
      </c>
      <c r="L460">
        <v>0</v>
      </c>
      <c r="O460" t="s">
        <v>138</v>
      </c>
      <c r="P460">
        <v>0</v>
      </c>
      <c r="S460" t="s">
        <v>138</v>
      </c>
      <c r="T460">
        <v>250</v>
      </c>
      <c r="W460" t="s">
        <v>138</v>
      </c>
      <c r="X460">
        <v>0</v>
      </c>
      <c r="AA460" t="s">
        <v>138</v>
      </c>
      <c r="AB460">
        <v>0</v>
      </c>
      <c r="AE460" t="s">
        <v>138</v>
      </c>
      <c r="AF460">
        <v>0</v>
      </c>
      <c r="AI460" t="s">
        <v>138</v>
      </c>
      <c r="AJ460">
        <v>370</v>
      </c>
      <c r="AM460" t="s">
        <v>138</v>
      </c>
      <c r="AN460">
        <v>426</v>
      </c>
      <c r="AQ460" t="s">
        <v>138</v>
      </c>
      <c r="AR460">
        <v>394</v>
      </c>
      <c r="AT460" t="s">
        <v>138</v>
      </c>
      <c r="AU460">
        <v>157</v>
      </c>
    </row>
    <row r="461" spans="1:47" x14ac:dyDescent="0.35">
      <c r="C461" t="s">
        <v>82</v>
      </c>
      <c r="D461">
        <v>0</v>
      </c>
      <c r="G461" t="s">
        <v>82</v>
      </c>
      <c r="H461">
        <v>0</v>
      </c>
      <c r="K461" t="s">
        <v>82</v>
      </c>
      <c r="L461">
        <v>74</v>
      </c>
      <c r="O461" t="s">
        <v>82</v>
      </c>
      <c r="P461">
        <v>1539</v>
      </c>
      <c r="S461" t="s">
        <v>82</v>
      </c>
      <c r="T461">
        <v>0</v>
      </c>
      <c r="W461" t="s">
        <v>82</v>
      </c>
      <c r="X461">
        <v>0</v>
      </c>
      <c r="AA461" t="s">
        <v>82</v>
      </c>
      <c r="AB461">
        <v>0</v>
      </c>
      <c r="AE461" t="s">
        <v>82</v>
      </c>
      <c r="AF461">
        <v>0</v>
      </c>
      <c r="AI461" t="s">
        <v>82</v>
      </c>
      <c r="AJ461">
        <v>0</v>
      </c>
      <c r="AM461" t="s">
        <v>82</v>
      </c>
      <c r="AN461">
        <v>0</v>
      </c>
      <c r="AQ461" t="s">
        <v>82</v>
      </c>
      <c r="AR461">
        <v>0</v>
      </c>
      <c r="AT461" t="s">
        <v>82</v>
      </c>
      <c r="AU461">
        <v>82</v>
      </c>
    </row>
    <row r="462" spans="1:47" x14ac:dyDescent="0.35">
      <c r="C462" t="s">
        <v>60</v>
      </c>
      <c r="D462">
        <v>0</v>
      </c>
      <c r="G462" t="s">
        <v>60</v>
      </c>
      <c r="H462">
        <v>0</v>
      </c>
      <c r="K462" t="s">
        <v>60</v>
      </c>
      <c r="L462">
        <v>0</v>
      </c>
      <c r="O462" t="s">
        <v>60</v>
      </c>
      <c r="P462">
        <v>46</v>
      </c>
      <c r="S462" t="s">
        <v>60</v>
      </c>
      <c r="T462">
        <v>0</v>
      </c>
      <c r="W462" t="s">
        <v>60</v>
      </c>
      <c r="X462">
        <v>0</v>
      </c>
      <c r="AA462" t="s">
        <v>60</v>
      </c>
      <c r="AB462">
        <v>0</v>
      </c>
      <c r="AE462" t="s">
        <v>60</v>
      </c>
      <c r="AF462">
        <v>0</v>
      </c>
      <c r="AI462" t="s">
        <v>60</v>
      </c>
      <c r="AJ462">
        <v>0</v>
      </c>
      <c r="AM462" t="s">
        <v>60</v>
      </c>
      <c r="AN462">
        <v>0</v>
      </c>
      <c r="AQ462" t="s">
        <v>60</v>
      </c>
      <c r="AR462">
        <v>53</v>
      </c>
      <c r="AT462" t="s">
        <v>60</v>
      </c>
      <c r="AU462">
        <v>16</v>
      </c>
    </row>
    <row r="463" spans="1:47" x14ac:dyDescent="0.35">
      <c r="C463" t="s">
        <v>127</v>
      </c>
      <c r="D463">
        <v>0</v>
      </c>
      <c r="G463" t="s">
        <v>127</v>
      </c>
      <c r="H463">
        <v>0</v>
      </c>
      <c r="K463" t="s">
        <v>127</v>
      </c>
      <c r="L463">
        <v>0</v>
      </c>
      <c r="O463" t="s">
        <v>127</v>
      </c>
      <c r="P463">
        <v>0</v>
      </c>
      <c r="S463" t="s">
        <v>127</v>
      </c>
      <c r="T463">
        <v>0</v>
      </c>
      <c r="W463" t="s">
        <v>127</v>
      </c>
      <c r="X463">
        <v>0</v>
      </c>
      <c r="AA463" t="s">
        <v>127</v>
      </c>
      <c r="AB463">
        <v>3481</v>
      </c>
      <c r="AE463" t="s">
        <v>127</v>
      </c>
      <c r="AF463">
        <v>0</v>
      </c>
      <c r="AI463" t="s">
        <v>127</v>
      </c>
      <c r="AJ463">
        <v>3711</v>
      </c>
      <c r="AM463" t="s">
        <v>127</v>
      </c>
      <c r="AN463">
        <v>0</v>
      </c>
      <c r="AQ463" t="s">
        <v>127</v>
      </c>
      <c r="AR463">
        <v>3975</v>
      </c>
      <c r="AT463" t="s">
        <v>58</v>
      </c>
      <c r="AU463">
        <v>4057</v>
      </c>
    </row>
    <row r="464" spans="1:47" x14ac:dyDescent="0.35">
      <c r="C464" t="s">
        <v>61</v>
      </c>
      <c r="D464">
        <v>0</v>
      </c>
      <c r="G464" t="s">
        <v>61</v>
      </c>
      <c r="H464">
        <v>0</v>
      </c>
      <c r="K464" t="s">
        <v>61</v>
      </c>
      <c r="L464">
        <v>0</v>
      </c>
      <c r="O464" t="s">
        <v>61</v>
      </c>
      <c r="P464">
        <v>496</v>
      </c>
      <c r="S464" t="s">
        <v>61</v>
      </c>
      <c r="T464">
        <v>0</v>
      </c>
      <c r="W464" t="s">
        <v>61</v>
      </c>
      <c r="X464">
        <v>0</v>
      </c>
      <c r="AA464" t="s">
        <v>61</v>
      </c>
      <c r="AB464">
        <v>0</v>
      </c>
      <c r="AE464" t="s">
        <v>61</v>
      </c>
      <c r="AF464">
        <v>0</v>
      </c>
      <c r="AI464" t="s">
        <v>61</v>
      </c>
      <c r="AJ464">
        <v>0</v>
      </c>
      <c r="AM464" t="s">
        <v>61</v>
      </c>
      <c r="AN464">
        <v>0</v>
      </c>
      <c r="AQ464" t="s">
        <v>61</v>
      </c>
      <c r="AR464">
        <v>0</v>
      </c>
      <c r="AT464" t="s">
        <v>61</v>
      </c>
      <c r="AU464">
        <v>0</v>
      </c>
    </row>
    <row r="465" spans="3:47" x14ac:dyDescent="0.35">
      <c r="C465" t="s">
        <v>62</v>
      </c>
      <c r="D465">
        <v>0</v>
      </c>
      <c r="G465" t="s">
        <v>62</v>
      </c>
      <c r="H465">
        <v>0</v>
      </c>
      <c r="K465" t="s">
        <v>62</v>
      </c>
      <c r="L465">
        <v>0</v>
      </c>
      <c r="O465" t="s">
        <v>62</v>
      </c>
      <c r="P465">
        <v>0</v>
      </c>
      <c r="S465" t="s">
        <v>62</v>
      </c>
      <c r="T465">
        <v>0</v>
      </c>
      <c r="W465" t="s">
        <v>62</v>
      </c>
      <c r="X465">
        <v>0</v>
      </c>
      <c r="AA465" t="s">
        <v>62</v>
      </c>
      <c r="AB465">
        <v>0</v>
      </c>
      <c r="AE465" t="s">
        <v>62</v>
      </c>
      <c r="AF465">
        <v>0</v>
      </c>
      <c r="AI465" t="s">
        <v>62</v>
      </c>
      <c r="AJ465">
        <v>0</v>
      </c>
      <c r="AM465" t="s">
        <v>62</v>
      </c>
      <c r="AN465">
        <v>0</v>
      </c>
      <c r="AQ465" t="s">
        <v>62</v>
      </c>
      <c r="AR465">
        <v>0</v>
      </c>
      <c r="AT465" t="s">
        <v>62</v>
      </c>
      <c r="AU465">
        <v>3</v>
      </c>
    </row>
    <row r="466" spans="3:47" x14ac:dyDescent="0.35">
      <c r="C466" t="s">
        <v>203</v>
      </c>
      <c r="D466">
        <v>0</v>
      </c>
      <c r="G466" t="s">
        <v>203</v>
      </c>
      <c r="H466">
        <v>0</v>
      </c>
      <c r="K466" t="s">
        <v>203</v>
      </c>
      <c r="L466">
        <v>0</v>
      </c>
      <c r="O466" t="s">
        <v>203</v>
      </c>
      <c r="P466">
        <v>0</v>
      </c>
      <c r="S466" t="s">
        <v>203</v>
      </c>
      <c r="T466">
        <v>0</v>
      </c>
      <c r="W466" t="s">
        <v>203</v>
      </c>
      <c r="X466">
        <v>0</v>
      </c>
      <c r="AA466" t="s">
        <v>203</v>
      </c>
      <c r="AB466">
        <v>0</v>
      </c>
      <c r="AE466" t="s">
        <v>203</v>
      </c>
      <c r="AF466">
        <v>0</v>
      </c>
      <c r="AI466" t="s">
        <v>203</v>
      </c>
      <c r="AJ466">
        <v>0</v>
      </c>
      <c r="AM466" t="s">
        <v>203</v>
      </c>
      <c r="AN466">
        <v>0</v>
      </c>
      <c r="AQ466" t="s">
        <v>203</v>
      </c>
      <c r="AR466">
        <v>0</v>
      </c>
      <c r="AT466" t="s">
        <v>64</v>
      </c>
      <c r="AU466">
        <v>0</v>
      </c>
    </row>
    <row r="467" spans="3:47" x14ac:dyDescent="0.35">
      <c r="C467" t="s">
        <v>204</v>
      </c>
      <c r="D467">
        <v>0</v>
      </c>
      <c r="G467" t="s">
        <v>204</v>
      </c>
      <c r="H467">
        <v>0</v>
      </c>
      <c r="K467" t="s">
        <v>204</v>
      </c>
      <c r="L467">
        <v>0</v>
      </c>
      <c r="O467" t="s">
        <v>204</v>
      </c>
      <c r="P467">
        <v>0</v>
      </c>
      <c r="S467" t="s">
        <v>204</v>
      </c>
      <c r="T467">
        <v>0</v>
      </c>
      <c r="W467" t="s">
        <v>204</v>
      </c>
      <c r="X467">
        <v>0</v>
      </c>
      <c r="AA467" t="s">
        <v>204</v>
      </c>
      <c r="AB467">
        <v>0</v>
      </c>
      <c r="AE467" t="s">
        <v>204</v>
      </c>
      <c r="AF467">
        <v>0</v>
      </c>
      <c r="AI467" t="s">
        <v>204</v>
      </c>
      <c r="AJ467">
        <v>0</v>
      </c>
      <c r="AM467" t="s">
        <v>204</v>
      </c>
      <c r="AN467">
        <v>0</v>
      </c>
      <c r="AQ467" t="s">
        <v>204</v>
      </c>
      <c r="AR467">
        <v>0</v>
      </c>
      <c r="AT467" t="s">
        <v>65</v>
      </c>
      <c r="AU467">
        <v>130</v>
      </c>
    </row>
    <row r="468" spans="3:47" x14ac:dyDescent="0.35">
      <c r="C468" t="s">
        <v>205</v>
      </c>
      <c r="D468">
        <v>0</v>
      </c>
      <c r="G468" t="s">
        <v>205</v>
      </c>
      <c r="H468">
        <v>0</v>
      </c>
      <c r="K468" t="s">
        <v>205</v>
      </c>
      <c r="L468">
        <v>0</v>
      </c>
      <c r="O468" t="s">
        <v>205</v>
      </c>
      <c r="P468">
        <v>0</v>
      </c>
      <c r="S468" t="s">
        <v>205</v>
      </c>
      <c r="T468">
        <v>4</v>
      </c>
      <c r="W468" t="s">
        <v>205</v>
      </c>
      <c r="X468">
        <v>0</v>
      </c>
      <c r="AA468" t="s">
        <v>205</v>
      </c>
      <c r="AB468">
        <v>0</v>
      </c>
      <c r="AE468" t="s">
        <v>205</v>
      </c>
      <c r="AF468">
        <v>0</v>
      </c>
      <c r="AI468" t="s">
        <v>205</v>
      </c>
      <c r="AJ468">
        <v>8</v>
      </c>
      <c r="AM468" t="s">
        <v>205</v>
      </c>
      <c r="AN468">
        <v>3</v>
      </c>
      <c r="AQ468" t="s">
        <v>205</v>
      </c>
      <c r="AR468">
        <v>2</v>
      </c>
      <c r="AT468" t="s">
        <v>66</v>
      </c>
      <c r="AU468">
        <v>5</v>
      </c>
    </row>
    <row r="469" spans="3:47" x14ac:dyDescent="0.35">
      <c r="C469" t="s">
        <v>133</v>
      </c>
      <c r="D469">
        <v>0</v>
      </c>
      <c r="G469" t="s">
        <v>133</v>
      </c>
      <c r="H469">
        <v>0</v>
      </c>
      <c r="K469" t="s">
        <v>133</v>
      </c>
      <c r="L469">
        <v>0</v>
      </c>
      <c r="O469" t="s">
        <v>133</v>
      </c>
      <c r="P469">
        <v>0</v>
      </c>
      <c r="S469" t="s">
        <v>133</v>
      </c>
      <c r="T469">
        <v>158</v>
      </c>
      <c r="W469" t="s">
        <v>133</v>
      </c>
      <c r="X469">
        <v>0</v>
      </c>
      <c r="AA469" t="s">
        <v>133</v>
      </c>
      <c r="AB469">
        <v>53</v>
      </c>
      <c r="AE469" t="s">
        <v>133</v>
      </c>
      <c r="AF469">
        <v>0</v>
      </c>
      <c r="AI469" t="s">
        <v>133</v>
      </c>
      <c r="AJ469">
        <v>285</v>
      </c>
      <c r="AM469" t="s">
        <v>133</v>
      </c>
      <c r="AN469">
        <v>200</v>
      </c>
      <c r="AQ469" t="s">
        <v>133</v>
      </c>
      <c r="AR469">
        <v>1</v>
      </c>
      <c r="AT469" t="s">
        <v>79</v>
      </c>
      <c r="AU469">
        <v>0</v>
      </c>
    </row>
    <row r="470" spans="3:47" x14ac:dyDescent="0.35">
      <c r="C470" t="s">
        <v>206</v>
      </c>
      <c r="D470">
        <v>0</v>
      </c>
      <c r="G470" t="s">
        <v>206</v>
      </c>
      <c r="H470">
        <v>0</v>
      </c>
      <c r="K470" t="s">
        <v>206</v>
      </c>
      <c r="L470">
        <v>0</v>
      </c>
      <c r="O470" t="s">
        <v>206</v>
      </c>
      <c r="P470">
        <v>0</v>
      </c>
      <c r="S470" t="s">
        <v>206</v>
      </c>
      <c r="T470">
        <v>0</v>
      </c>
      <c r="W470" t="s">
        <v>206</v>
      </c>
      <c r="X470">
        <v>0</v>
      </c>
      <c r="AA470" t="s">
        <v>206</v>
      </c>
      <c r="AB470">
        <v>0</v>
      </c>
      <c r="AE470" t="s">
        <v>206</v>
      </c>
      <c r="AF470">
        <v>0</v>
      </c>
      <c r="AI470" t="s">
        <v>206</v>
      </c>
      <c r="AJ470">
        <v>0</v>
      </c>
      <c r="AM470" t="s">
        <v>206</v>
      </c>
      <c r="AN470">
        <v>0</v>
      </c>
      <c r="AQ470" t="s">
        <v>206</v>
      </c>
      <c r="AR470">
        <v>0</v>
      </c>
      <c r="AT470" t="s">
        <v>68</v>
      </c>
      <c r="AU470">
        <v>0</v>
      </c>
    </row>
    <row r="471" spans="3:47" x14ac:dyDescent="0.35">
      <c r="C471" t="s">
        <v>136</v>
      </c>
      <c r="D471">
        <v>0</v>
      </c>
      <c r="G471" t="s">
        <v>136</v>
      </c>
      <c r="H471">
        <v>0</v>
      </c>
      <c r="K471" t="s">
        <v>136</v>
      </c>
      <c r="L471">
        <v>0</v>
      </c>
      <c r="O471" t="s">
        <v>136</v>
      </c>
      <c r="P471">
        <v>0</v>
      </c>
      <c r="S471" t="s">
        <v>136</v>
      </c>
      <c r="T471">
        <v>0</v>
      </c>
      <c r="W471" t="s">
        <v>136</v>
      </c>
      <c r="X471">
        <v>0</v>
      </c>
      <c r="AA471" t="s">
        <v>136</v>
      </c>
      <c r="AB471">
        <v>17</v>
      </c>
      <c r="AE471" t="s">
        <v>136</v>
      </c>
      <c r="AF471">
        <v>0</v>
      </c>
      <c r="AI471" t="s">
        <v>136</v>
      </c>
      <c r="AJ471">
        <v>3</v>
      </c>
      <c r="AM471" t="s">
        <v>136</v>
      </c>
      <c r="AN471">
        <v>2</v>
      </c>
      <c r="AQ471" t="s">
        <v>136</v>
      </c>
      <c r="AR471">
        <v>51</v>
      </c>
      <c r="AT471" t="s">
        <v>69</v>
      </c>
      <c r="AU471">
        <v>12</v>
      </c>
    </row>
    <row r="472" spans="3:47" x14ac:dyDescent="0.35">
      <c r="C472" t="s">
        <v>207</v>
      </c>
      <c r="D472">
        <v>0</v>
      </c>
      <c r="G472" t="s">
        <v>207</v>
      </c>
      <c r="H472">
        <v>0</v>
      </c>
      <c r="K472" t="s">
        <v>207</v>
      </c>
      <c r="L472">
        <v>0</v>
      </c>
      <c r="O472" t="s">
        <v>207</v>
      </c>
      <c r="P472">
        <v>0</v>
      </c>
      <c r="S472" t="s">
        <v>207</v>
      </c>
      <c r="T472">
        <v>0</v>
      </c>
      <c r="W472" t="s">
        <v>207</v>
      </c>
      <c r="X472">
        <v>0</v>
      </c>
      <c r="AA472" t="s">
        <v>207</v>
      </c>
      <c r="AB472">
        <v>1</v>
      </c>
      <c r="AE472" t="s">
        <v>207</v>
      </c>
      <c r="AF472">
        <v>0</v>
      </c>
      <c r="AI472" t="s">
        <v>207</v>
      </c>
      <c r="AJ472">
        <v>0</v>
      </c>
      <c r="AM472" t="s">
        <v>207</v>
      </c>
      <c r="AN472">
        <v>0</v>
      </c>
      <c r="AQ472" t="s">
        <v>207</v>
      </c>
      <c r="AR472">
        <v>0</v>
      </c>
      <c r="AT472" t="s">
        <v>70</v>
      </c>
      <c r="AU472">
        <v>24</v>
      </c>
    </row>
    <row r="473" spans="3:47" x14ac:dyDescent="0.35">
      <c r="C473" t="s">
        <v>141</v>
      </c>
      <c r="D473">
        <v>0</v>
      </c>
      <c r="G473" t="s">
        <v>141</v>
      </c>
      <c r="H473">
        <v>0</v>
      </c>
      <c r="K473" t="s">
        <v>141</v>
      </c>
      <c r="L473">
        <v>0</v>
      </c>
      <c r="O473" t="s">
        <v>141</v>
      </c>
      <c r="P473">
        <v>0</v>
      </c>
      <c r="S473" t="s">
        <v>141</v>
      </c>
      <c r="T473">
        <v>0</v>
      </c>
      <c r="W473" t="s">
        <v>141</v>
      </c>
      <c r="X473">
        <v>0</v>
      </c>
      <c r="AA473" t="s">
        <v>141</v>
      </c>
      <c r="AB473">
        <v>1</v>
      </c>
      <c r="AE473" t="s">
        <v>141</v>
      </c>
      <c r="AF473">
        <v>0</v>
      </c>
      <c r="AI473" t="s">
        <v>141</v>
      </c>
      <c r="AJ473">
        <v>9</v>
      </c>
      <c r="AM473" t="s">
        <v>141</v>
      </c>
      <c r="AN473">
        <v>10</v>
      </c>
      <c r="AQ473" t="s">
        <v>141</v>
      </c>
      <c r="AR473">
        <v>0</v>
      </c>
      <c r="AT473" t="s">
        <v>76</v>
      </c>
      <c r="AU473">
        <v>16</v>
      </c>
    </row>
    <row r="474" spans="3:47" x14ac:dyDescent="0.35">
      <c r="C474" t="s">
        <v>208</v>
      </c>
      <c r="D474">
        <v>0</v>
      </c>
      <c r="G474" t="s">
        <v>208</v>
      </c>
      <c r="H474">
        <v>0</v>
      </c>
      <c r="K474" t="s">
        <v>208</v>
      </c>
      <c r="L474">
        <v>0</v>
      </c>
      <c r="O474" t="s">
        <v>208</v>
      </c>
      <c r="P474">
        <v>0</v>
      </c>
      <c r="S474" t="s">
        <v>208</v>
      </c>
      <c r="T474">
        <v>0</v>
      </c>
      <c r="W474" t="s">
        <v>208</v>
      </c>
      <c r="X474">
        <v>0</v>
      </c>
      <c r="AA474" t="s">
        <v>208</v>
      </c>
      <c r="AB474">
        <v>0</v>
      </c>
      <c r="AE474" t="s">
        <v>208</v>
      </c>
      <c r="AF474">
        <v>0</v>
      </c>
      <c r="AI474" t="s">
        <v>208</v>
      </c>
      <c r="AJ474">
        <v>149</v>
      </c>
      <c r="AM474" t="s">
        <v>208</v>
      </c>
      <c r="AN474">
        <v>0</v>
      </c>
      <c r="AQ474" t="s">
        <v>208</v>
      </c>
      <c r="AR474">
        <v>10</v>
      </c>
      <c r="AT474" t="s">
        <v>77</v>
      </c>
      <c r="AU474">
        <v>481</v>
      </c>
    </row>
    <row r="475" spans="3:47" x14ac:dyDescent="0.35">
      <c r="C475" t="s">
        <v>209</v>
      </c>
      <c r="D475">
        <v>0</v>
      </c>
      <c r="G475" t="s">
        <v>209</v>
      </c>
      <c r="H475">
        <v>0</v>
      </c>
      <c r="K475" t="s">
        <v>209</v>
      </c>
      <c r="L475">
        <v>0</v>
      </c>
      <c r="O475" t="s">
        <v>209</v>
      </c>
      <c r="P475">
        <v>0</v>
      </c>
      <c r="S475" t="s">
        <v>209</v>
      </c>
      <c r="T475">
        <v>0</v>
      </c>
      <c r="W475" t="s">
        <v>209</v>
      </c>
      <c r="X475">
        <v>0</v>
      </c>
      <c r="AA475" t="s">
        <v>209</v>
      </c>
      <c r="AB475">
        <v>0</v>
      </c>
      <c r="AE475" t="s">
        <v>209</v>
      </c>
      <c r="AF475">
        <v>0</v>
      </c>
      <c r="AI475" t="s">
        <v>209</v>
      </c>
      <c r="AJ475">
        <v>115</v>
      </c>
      <c r="AM475" t="s">
        <v>209</v>
      </c>
      <c r="AN475">
        <v>86</v>
      </c>
      <c r="AQ475" t="s">
        <v>209</v>
      </c>
      <c r="AR475">
        <v>64</v>
      </c>
      <c r="AT475" t="s">
        <v>78</v>
      </c>
      <c r="AU475">
        <v>69</v>
      </c>
    </row>
    <row r="476" spans="3:47" x14ac:dyDescent="0.35">
      <c r="C476" t="s">
        <v>134</v>
      </c>
      <c r="D476">
        <v>0</v>
      </c>
      <c r="G476" t="s">
        <v>134</v>
      </c>
      <c r="H476">
        <v>0</v>
      </c>
      <c r="K476" t="s">
        <v>134</v>
      </c>
      <c r="L476">
        <v>0</v>
      </c>
      <c r="O476" t="s">
        <v>134</v>
      </c>
      <c r="P476">
        <v>0</v>
      </c>
      <c r="S476" t="s">
        <v>134</v>
      </c>
      <c r="T476">
        <v>16</v>
      </c>
      <c r="W476" t="s">
        <v>134</v>
      </c>
      <c r="X476">
        <v>0</v>
      </c>
      <c r="AA476" t="s">
        <v>134</v>
      </c>
      <c r="AB476">
        <v>0</v>
      </c>
      <c r="AE476" t="s">
        <v>134</v>
      </c>
      <c r="AF476">
        <v>0</v>
      </c>
      <c r="AI476" t="s">
        <v>134</v>
      </c>
      <c r="AJ476">
        <v>1</v>
      </c>
      <c r="AM476" t="s">
        <v>134</v>
      </c>
      <c r="AN476">
        <v>1</v>
      </c>
      <c r="AQ476" t="s">
        <v>134</v>
      </c>
      <c r="AR476">
        <v>197</v>
      </c>
      <c r="AT476" t="s">
        <v>67</v>
      </c>
      <c r="AU476">
        <v>172</v>
      </c>
    </row>
    <row r="477" spans="3:47" x14ac:dyDescent="0.35">
      <c r="C477" t="s">
        <v>142</v>
      </c>
      <c r="D477">
        <v>0</v>
      </c>
      <c r="G477" t="s">
        <v>142</v>
      </c>
      <c r="H477">
        <v>0</v>
      </c>
      <c r="K477" t="s">
        <v>142</v>
      </c>
      <c r="L477">
        <v>0</v>
      </c>
      <c r="O477" t="s">
        <v>142</v>
      </c>
      <c r="P477">
        <v>0</v>
      </c>
      <c r="S477" t="s">
        <v>142</v>
      </c>
      <c r="T477">
        <v>11</v>
      </c>
      <c r="W477" t="s">
        <v>142</v>
      </c>
      <c r="X477">
        <v>0</v>
      </c>
      <c r="AA477" t="s">
        <v>142</v>
      </c>
      <c r="AB477">
        <v>0</v>
      </c>
      <c r="AE477" t="s">
        <v>142</v>
      </c>
      <c r="AF477">
        <v>0</v>
      </c>
      <c r="AI477" t="s">
        <v>142</v>
      </c>
      <c r="AJ477">
        <v>2</v>
      </c>
      <c r="AM477" t="s">
        <v>142</v>
      </c>
      <c r="AN477">
        <v>0</v>
      </c>
      <c r="AQ477" t="s">
        <v>142</v>
      </c>
      <c r="AR477">
        <v>0</v>
      </c>
      <c r="AT477" t="s">
        <v>80</v>
      </c>
      <c r="AU477">
        <v>8</v>
      </c>
    </row>
    <row r="478" spans="3:47" x14ac:dyDescent="0.35">
      <c r="C478" t="s">
        <v>83</v>
      </c>
      <c r="D478">
        <v>0</v>
      </c>
      <c r="G478" t="s">
        <v>83</v>
      </c>
      <c r="H478">
        <v>0</v>
      </c>
      <c r="K478" t="s">
        <v>83</v>
      </c>
      <c r="L478">
        <v>0</v>
      </c>
      <c r="O478" t="s">
        <v>83</v>
      </c>
      <c r="P478">
        <v>0</v>
      </c>
      <c r="S478" t="s">
        <v>83</v>
      </c>
      <c r="T478">
        <v>0</v>
      </c>
      <c r="W478" t="s">
        <v>83</v>
      </c>
      <c r="X478">
        <v>0</v>
      </c>
      <c r="AA478" t="s">
        <v>83</v>
      </c>
      <c r="AB478">
        <v>15</v>
      </c>
      <c r="AE478" t="s">
        <v>83</v>
      </c>
      <c r="AF478">
        <v>0</v>
      </c>
      <c r="AI478" t="s">
        <v>83</v>
      </c>
      <c r="AJ478">
        <v>4</v>
      </c>
      <c r="AM478" t="s">
        <v>83</v>
      </c>
      <c r="AN478">
        <v>6</v>
      </c>
      <c r="AQ478" t="s">
        <v>83</v>
      </c>
      <c r="AR478">
        <v>5</v>
      </c>
      <c r="AT478" t="s">
        <v>83</v>
      </c>
      <c r="AU478">
        <v>13</v>
      </c>
    </row>
    <row r="479" spans="3:47" x14ac:dyDescent="0.35">
      <c r="C479" t="s">
        <v>84</v>
      </c>
      <c r="D479">
        <v>0</v>
      </c>
      <c r="G479" t="s">
        <v>84</v>
      </c>
      <c r="H479">
        <v>0</v>
      </c>
      <c r="K479" t="s">
        <v>84</v>
      </c>
      <c r="L479">
        <v>0</v>
      </c>
      <c r="O479" t="s">
        <v>84</v>
      </c>
      <c r="P479">
        <v>0</v>
      </c>
      <c r="S479" t="s">
        <v>84</v>
      </c>
      <c r="T479">
        <v>0</v>
      </c>
      <c r="W479" t="s">
        <v>84</v>
      </c>
      <c r="X479">
        <v>0</v>
      </c>
      <c r="AA479" t="s">
        <v>84</v>
      </c>
      <c r="AB479">
        <v>53</v>
      </c>
      <c r="AE479" t="s">
        <v>84</v>
      </c>
      <c r="AF479">
        <v>0</v>
      </c>
      <c r="AI479" t="s">
        <v>84</v>
      </c>
      <c r="AJ479">
        <v>61</v>
      </c>
      <c r="AM479" t="s">
        <v>84</v>
      </c>
      <c r="AN479">
        <v>16</v>
      </c>
      <c r="AQ479" t="s">
        <v>84</v>
      </c>
      <c r="AR479">
        <v>68</v>
      </c>
      <c r="AT479" t="s">
        <v>84</v>
      </c>
      <c r="AU479">
        <v>0</v>
      </c>
    </row>
    <row r="480" spans="3:47" x14ac:dyDescent="0.35">
      <c r="C480" t="s">
        <v>126</v>
      </c>
      <c r="D480">
        <v>0</v>
      </c>
      <c r="G480" t="s">
        <v>126</v>
      </c>
      <c r="H480">
        <v>0</v>
      </c>
      <c r="K480" t="s">
        <v>223</v>
      </c>
      <c r="L480">
        <v>0</v>
      </c>
      <c r="O480" t="s">
        <v>126</v>
      </c>
      <c r="P480">
        <v>0</v>
      </c>
      <c r="S480" t="s">
        <v>126</v>
      </c>
      <c r="T480">
        <v>0</v>
      </c>
      <c r="W480" t="s">
        <v>126</v>
      </c>
      <c r="X480">
        <v>0</v>
      </c>
      <c r="AA480" t="s">
        <v>126</v>
      </c>
      <c r="AB480">
        <v>0</v>
      </c>
      <c r="AE480" t="s">
        <v>126</v>
      </c>
      <c r="AF480">
        <v>0</v>
      </c>
      <c r="AI480" t="s">
        <v>126</v>
      </c>
      <c r="AJ480">
        <v>0</v>
      </c>
      <c r="AM480" t="s">
        <v>126</v>
      </c>
      <c r="AN480">
        <v>0</v>
      </c>
      <c r="AQ480" t="s">
        <v>126</v>
      </c>
      <c r="AR480">
        <v>0</v>
      </c>
      <c r="AT480" t="s">
        <v>86</v>
      </c>
      <c r="AU480">
        <v>0</v>
      </c>
    </row>
    <row r="481" spans="1:47" x14ac:dyDescent="0.35">
      <c r="C481" t="s">
        <v>87</v>
      </c>
      <c r="D481">
        <v>0</v>
      </c>
      <c r="G481" t="s">
        <v>87</v>
      </c>
      <c r="H481">
        <v>0</v>
      </c>
      <c r="K481" t="s">
        <v>87</v>
      </c>
      <c r="L481">
        <v>0</v>
      </c>
      <c r="O481" t="s">
        <v>87</v>
      </c>
      <c r="P481">
        <v>0</v>
      </c>
      <c r="S481" t="s">
        <v>87</v>
      </c>
      <c r="T481">
        <v>0</v>
      </c>
      <c r="W481" t="s">
        <v>87</v>
      </c>
      <c r="X481">
        <v>0</v>
      </c>
      <c r="AA481" t="s">
        <v>87</v>
      </c>
      <c r="AB481">
        <v>0</v>
      </c>
      <c r="AE481" t="s">
        <v>87</v>
      </c>
      <c r="AF481">
        <v>0</v>
      </c>
      <c r="AI481" t="s">
        <v>87</v>
      </c>
      <c r="AJ481">
        <v>0</v>
      </c>
      <c r="AM481" t="s">
        <v>87</v>
      </c>
      <c r="AN481">
        <v>0</v>
      </c>
      <c r="AQ481" t="s">
        <v>87</v>
      </c>
      <c r="AR481">
        <v>0</v>
      </c>
      <c r="AT481" t="s">
        <v>87</v>
      </c>
      <c r="AU481">
        <v>1063</v>
      </c>
    </row>
    <row r="482" spans="1:47" x14ac:dyDescent="0.35">
      <c r="A482" t="s">
        <v>170</v>
      </c>
      <c r="B482">
        <v>1193635.4999999998</v>
      </c>
      <c r="C482" t="s">
        <v>135</v>
      </c>
      <c r="D482">
        <v>0</v>
      </c>
      <c r="E482" t="s">
        <v>170</v>
      </c>
      <c r="F482">
        <v>1243941.0000000002</v>
      </c>
      <c r="G482" t="s">
        <v>135</v>
      </c>
      <c r="H482">
        <v>0</v>
      </c>
      <c r="I482" t="s">
        <v>170</v>
      </c>
      <c r="J482">
        <v>1295183.0000000005</v>
      </c>
      <c r="K482" t="s">
        <v>135</v>
      </c>
      <c r="L482">
        <v>0</v>
      </c>
      <c r="M482" t="s">
        <v>170</v>
      </c>
      <c r="N482">
        <v>1346973.0000000005</v>
      </c>
      <c r="O482" t="s">
        <v>135</v>
      </c>
      <c r="P482">
        <v>0</v>
      </c>
      <c r="Q482" t="s">
        <v>170</v>
      </c>
      <c r="R482">
        <v>1398926.5</v>
      </c>
      <c r="S482" t="s">
        <v>135</v>
      </c>
      <c r="T482">
        <v>0</v>
      </c>
      <c r="U482" t="s">
        <v>170</v>
      </c>
      <c r="V482">
        <v>1450694.0000000005</v>
      </c>
      <c r="W482" t="s">
        <v>135</v>
      </c>
      <c r="X482">
        <v>1014</v>
      </c>
      <c r="Y482" t="s">
        <v>170</v>
      </c>
      <c r="Z482">
        <v>1502091.5000000002</v>
      </c>
      <c r="AA482" t="s">
        <v>135</v>
      </c>
      <c r="AB482">
        <v>0</v>
      </c>
      <c r="AC482" t="s">
        <v>170</v>
      </c>
      <c r="AD482">
        <v>1553030.5000000002</v>
      </c>
      <c r="AE482" t="s">
        <v>135</v>
      </c>
      <c r="AF482">
        <v>0</v>
      </c>
      <c r="AG482" t="s">
        <v>170</v>
      </c>
      <c r="AH482">
        <v>1596048.5000000009</v>
      </c>
      <c r="AI482" t="s">
        <v>135</v>
      </c>
      <c r="AJ482">
        <v>0</v>
      </c>
      <c r="AK482" t="s">
        <v>170</v>
      </c>
      <c r="AL482">
        <v>1634465.5000000002</v>
      </c>
      <c r="AM482" t="s">
        <v>135</v>
      </c>
      <c r="AN482">
        <v>0</v>
      </c>
      <c r="AO482" t="s">
        <v>170</v>
      </c>
      <c r="AP482">
        <v>1674908</v>
      </c>
      <c r="AQ482" t="s">
        <v>135</v>
      </c>
      <c r="AR482">
        <v>478</v>
      </c>
      <c r="AS482" t="s">
        <v>170</v>
      </c>
      <c r="AT482" t="s">
        <v>148</v>
      </c>
      <c r="AU482">
        <v>246</v>
      </c>
    </row>
    <row r="483" spans="1:47" x14ac:dyDescent="0.35">
      <c r="C483" t="s">
        <v>139</v>
      </c>
      <c r="D483">
        <v>0</v>
      </c>
      <c r="G483" t="s">
        <v>139</v>
      </c>
      <c r="H483">
        <v>0</v>
      </c>
      <c r="K483" t="s">
        <v>139</v>
      </c>
      <c r="L483">
        <v>0</v>
      </c>
      <c r="O483" t="s">
        <v>139</v>
      </c>
      <c r="P483">
        <v>0</v>
      </c>
      <c r="S483" t="s">
        <v>139</v>
      </c>
      <c r="T483">
        <v>0</v>
      </c>
      <c r="W483" t="s">
        <v>139</v>
      </c>
      <c r="X483">
        <v>1268</v>
      </c>
      <c r="AA483" t="s">
        <v>139</v>
      </c>
      <c r="AB483">
        <v>0</v>
      </c>
      <c r="AE483" t="s">
        <v>139</v>
      </c>
      <c r="AF483">
        <v>0</v>
      </c>
      <c r="AI483" t="s">
        <v>139</v>
      </c>
      <c r="AJ483">
        <v>0</v>
      </c>
      <c r="AM483" t="s">
        <v>139</v>
      </c>
      <c r="AN483">
        <v>0</v>
      </c>
      <c r="AQ483" t="s">
        <v>139</v>
      </c>
      <c r="AR483">
        <v>2750</v>
      </c>
      <c r="AT483" t="s">
        <v>139</v>
      </c>
      <c r="AU483">
        <v>355</v>
      </c>
    </row>
    <row r="484" spans="1:47" x14ac:dyDescent="0.35">
      <c r="C484" t="s">
        <v>138</v>
      </c>
      <c r="D484">
        <v>0</v>
      </c>
      <c r="G484" t="s">
        <v>138</v>
      </c>
      <c r="H484">
        <v>0</v>
      </c>
      <c r="K484" t="s">
        <v>138</v>
      </c>
      <c r="L484">
        <v>0</v>
      </c>
      <c r="O484" t="s">
        <v>138</v>
      </c>
      <c r="P484">
        <v>0</v>
      </c>
      <c r="S484" t="s">
        <v>138</v>
      </c>
      <c r="T484">
        <v>0</v>
      </c>
      <c r="W484" t="s">
        <v>138</v>
      </c>
      <c r="X484">
        <v>0</v>
      </c>
      <c r="AA484" t="s">
        <v>138</v>
      </c>
      <c r="AB484">
        <v>0</v>
      </c>
      <c r="AE484" t="s">
        <v>138</v>
      </c>
      <c r="AF484">
        <v>0</v>
      </c>
      <c r="AI484" t="s">
        <v>138</v>
      </c>
      <c r="AJ484">
        <v>0</v>
      </c>
      <c r="AM484" t="s">
        <v>138</v>
      </c>
      <c r="AN484">
        <v>0</v>
      </c>
      <c r="AQ484" t="s">
        <v>138</v>
      </c>
      <c r="AR484">
        <v>46</v>
      </c>
      <c r="AT484" t="s">
        <v>138</v>
      </c>
      <c r="AU484">
        <v>51</v>
      </c>
    </row>
    <row r="485" spans="1:47" x14ac:dyDescent="0.35">
      <c r="C485" t="s">
        <v>82</v>
      </c>
      <c r="D485">
        <v>918</v>
      </c>
      <c r="G485" t="s">
        <v>82</v>
      </c>
      <c r="H485">
        <v>255</v>
      </c>
      <c r="K485" t="s">
        <v>82</v>
      </c>
      <c r="L485">
        <v>29</v>
      </c>
      <c r="O485" t="s">
        <v>82</v>
      </c>
      <c r="P485">
        <v>2295</v>
      </c>
      <c r="S485" t="s">
        <v>82</v>
      </c>
      <c r="T485">
        <v>93</v>
      </c>
      <c r="W485" t="s">
        <v>82</v>
      </c>
      <c r="X485">
        <v>27</v>
      </c>
      <c r="AA485" t="s">
        <v>82</v>
      </c>
      <c r="AB485">
        <v>621</v>
      </c>
      <c r="AE485" t="s">
        <v>82</v>
      </c>
      <c r="AF485">
        <v>182</v>
      </c>
      <c r="AI485" t="s">
        <v>82</v>
      </c>
      <c r="AJ485">
        <v>748</v>
      </c>
      <c r="AM485" t="s">
        <v>82</v>
      </c>
      <c r="AN485">
        <v>2192</v>
      </c>
      <c r="AQ485" t="s">
        <v>82</v>
      </c>
      <c r="AR485">
        <v>690</v>
      </c>
      <c r="AT485" t="s">
        <v>82</v>
      </c>
      <c r="AU485">
        <v>10</v>
      </c>
    </row>
    <row r="486" spans="1:47" x14ac:dyDescent="0.35">
      <c r="C486" t="s">
        <v>60</v>
      </c>
      <c r="D486">
        <v>713</v>
      </c>
      <c r="G486" t="s">
        <v>60</v>
      </c>
      <c r="H486">
        <v>73</v>
      </c>
      <c r="K486" t="s">
        <v>60</v>
      </c>
      <c r="L486">
        <v>8</v>
      </c>
      <c r="O486" t="s">
        <v>60</v>
      </c>
      <c r="P486">
        <v>841</v>
      </c>
      <c r="S486" t="s">
        <v>60</v>
      </c>
      <c r="T486">
        <v>3</v>
      </c>
      <c r="W486" t="s">
        <v>60</v>
      </c>
      <c r="X486">
        <v>225</v>
      </c>
      <c r="AA486" t="s">
        <v>60</v>
      </c>
      <c r="AB486">
        <v>112</v>
      </c>
      <c r="AE486" t="s">
        <v>60</v>
      </c>
      <c r="AF486">
        <v>83</v>
      </c>
      <c r="AI486" t="s">
        <v>60</v>
      </c>
      <c r="AJ486">
        <v>466</v>
      </c>
      <c r="AM486" t="s">
        <v>60</v>
      </c>
      <c r="AN486">
        <v>294</v>
      </c>
      <c r="AQ486" t="s">
        <v>60</v>
      </c>
      <c r="AR486">
        <v>128</v>
      </c>
      <c r="AT486" t="s">
        <v>60</v>
      </c>
      <c r="AU486">
        <v>0</v>
      </c>
    </row>
    <row r="487" spans="1:47" x14ac:dyDescent="0.35">
      <c r="C487" t="s">
        <v>127</v>
      </c>
      <c r="D487">
        <v>0</v>
      </c>
      <c r="G487" t="s">
        <v>127</v>
      </c>
      <c r="H487">
        <v>0</v>
      </c>
      <c r="K487" t="s">
        <v>127</v>
      </c>
      <c r="L487">
        <v>0</v>
      </c>
      <c r="O487" t="s">
        <v>127</v>
      </c>
      <c r="P487">
        <v>0</v>
      </c>
      <c r="S487" t="s">
        <v>127</v>
      </c>
      <c r="T487">
        <v>0</v>
      </c>
      <c r="W487" t="s">
        <v>127</v>
      </c>
      <c r="X487">
        <v>0</v>
      </c>
      <c r="AA487" t="s">
        <v>127</v>
      </c>
      <c r="AB487">
        <v>0</v>
      </c>
      <c r="AE487" t="s">
        <v>127</v>
      </c>
      <c r="AF487">
        <v>0</v>
      </c>
      <c r="AI487" t="s">
        <v>127</v>
      </c>
      <c r="AJ487">
        <v>0</v>
      </c>
      <c r="AM487" t="s">
        <v>127</v>
      </c>
      <c r="AN487">
        <v>0</v>
      </c>
      <c r="AQ487" t="s">
        <v>127</v>
      </c>
      <c r="AR487">
        <v>146</v>
      </c>
      <c r="AT487" t="s">
        <v>58</v>
      </c>
      <c r="AU487">
        <v>0</v>
      </c>
    </row>
    <row r="488" spans="1:47" x14ac:dyDescent="0.35">
      <c r="C488" t="s">
        <v>61</v>
      </c>
      <c r="D488">
        <v>0</v>
      </c>
      <c r="G488" t="s">
        <v>61</v>
      </c>
      <c r="H488">
        <v>0</v>
      </c>
      <c r="K488" t="s">
        <v>61</v>
      </c>
      <c r="L488">
        <v>5</v>
      </c>
      <c r="O488" t="s">
        <v>61</v>
      </c>
      <c r="P488">
        <v>1147</v>
      </c>
      <c r="S488" t="s">
        <v>61</v>
      </c>
      <c r="T488">
        <v>0</v>
      </c>
      <c r="W488" t="s">
        <v>61</v>
      </c>
      <c r="X488">
        <v>0</v>
      </c>
      <c r="AA488" t="s">
        <v>61</v>
      </c>
      <c r="AB488">
        <v>0</v>
      </c>
      <c r="AE488" t="s">
        <v>61</v>
      </c>
      <c r="AF488">
        <v>6</v>
      </c>
      <c r="AI488" t="s">
        <v>61</v>
      </c>
      <c r="AJ488">
        <v>0</v>
      </c>
      <c r="AM488" t="s">
        <v>61</v>
      </c>
      <c r="AN488">
        <v>620</v>
      </c>
      <c r="AQ488" t="s">
        <v>61</v>
      </c>
      <c r="AR488">
        <v>25</v>
      </c>
      <c r="AT488" t="s">
        <v>61</v>
      </c>
      <c r="AU488">
        <v>0</v>
      </c>
    </row>
    <row r="489" spans="1:47" x14ac:dyDescent="0.35">
      <c r="C489" t="s">
        <v>62</v>
      </c>
      <c r="D489">
        <v>0</v>
      </c>
      <c r="G489" t="s">
        <v>62</v>
      </c>
      <c r="H489">
        <v>0</v>
      </c>
      <c r="K489" t="s">
        <v>62</v>
      </c>
      <c r="L489">
        <v>1</v>
      </c>
      <c r="O489" t="s">
        <v>62</v>
      </c>
      <c r="P489">
        <v>5310</v>
      </c>
      <c r="S489" t="s">
        <v>62</v>
      </c>
      <c r="T489">
        <v>0</v>
      </c>
      <c r="W489" t="s">
        <v>62</v>
      </c>
      <c r="X489">
        <v>0</v>
      </c>
      <c r="AA489" t="s">
        <v>62</v>
      </c>
      <c r="AB489">
        <v>0</v>
      </c>
      <c r="AE489" t="s">
        <v>62</v>
      </c>
      <c r="AF489">
        <v>0</v>
      </c>
      <c r="AI489" t="s">
        <v>62</v>
      </c>
      <c r="AJ489">
        <v>0</v>
      </c>
      <c r="AM489" t="s">
        <v>62</v>
      </c>
      <c r="AN489">
        <v>0</v>
      </c>
      <c r="AQ489" t="s">
        <v>62</v>
      </c>
      <c r="AR489">
        <v>134</v>
      </c>
      <c r="AT489" t="s">
        <v>62</v>
      </c>
      <c r="AU489">
        <v>0</v>
      </c>
    </row>
    <row r="490" spans="1:47" x14ac:dyDescent="0.35">
      <c r="C490" t="s">
        <v>203</v>
      </c>
      <c r="D490">
        <v>0</v>
      </c>
      <c r="G490" t="s">
        <v>203</v>
      </c>
      <c r="H490">
        <v>0</v>
      </c>
      <c r="K490" t="s">
        <v>203</v>
      </c>
      <c r="L490">
        <v>0</v>
      </c>
      <c r="O490" t="s">
        <v>203</v>
      </c>
      <c r="P490">
        <v>0</v>
      </c>
      <c r="S490" t="s">
        <v>203</v>
      </c>
      <c r="T490">
        <v>0</v>
      </c>
      <c r="W490" t="s">
        <v>203</v>
      </c>
      <c r="X490">
        <v>0</v>
      </c>
      <c r="AA490" t="s">
        <v>203</v>
      </c>
      <c r="AB490">
        <v>0</v>
      </c>
      <c r="AE490" t="s">
        <v>203</v>
      </c>
      <c r="AF490">
        <v>0</v>
      </c>
      <c r="AI490" t="s">
        <v>203</v>
      </c>
      <c r="AJ490">
        <v>0</v>
      </c>
      <c r="AM490" t="s">
        <v>203</v>
      </c>
      <c r="AN490">
        <v>0</v>
      </c>
      <c r="AQ490" t="s">
        <v>203</v>
      </c>
      <c r="AR490">
        <v>0</v>
      </c>
      <c r="AT490" t="s">
        <v>64</v>
      </c>
      <c r="AU490">
        <v>1847</v>
      </c>
    </row>
    <row r="491" spans="1:47" x14ac:dyDescent="0.35">
      <c r="C491" t="s">
        <v>204</v>
      </c>
      <c r="D491">
        <v>0</v>
      </c>
      <c r="G491" t="s">
        <v>204</v>
      </c>
      <c r="H491">
        <v>0</v>
      </c>
      <c r="K491" t="s">
        <v>204</v>
      </c>
      <c r="L491">
        <v>0</v>
      </c>
      <c r="O491" t="s">
        <v>204</v>
      </c>
      <c r="P491">
        <v>0</v>
      </c>
      <c r="S491" t="s">
        <v>204</v>
      </c>
      <c r="T491">
        <v>0</v>
      </c>
      <c r="W491" t="s">
        <v>204</v>
      </c>
      <c r="X491">
        <v>0</v>
      </c>
      <c r="AA491" t="s">
        <v>204</v>
      </c>
      <c r="AB491">
        <v>0</v>
      </c>
      <c r="AE491" t="s">
        <v>204</v>
      </c>
      <c r="AF491">
        <v>0</v>
      </c>
      <c r="AI491" t="s">
        <v>204</v>
      </c>
      <c r="AJ491">
        <v>0</v>
      </c>
      <c r="AM491" t="s">
        <v>204</v>
      </c>
      <c r="AN491">
        <v>0</v>
      </c>
      <c r="AQ491" t="s">
        <v>204</v>
      </c>
      <c r="AR491">
        <v>0</v>
      </c>
      <c r="AT491" t="s">
        <v>65</v>
      </c>
      <c r="AU491">
        <v>0</v>
      </c>
    </row>
    <row r="492" spans="1:47" x14ac:dyDescent="0.35">
      <c r="C492" t="s">
        <v>205</v>
      </c>
      <c r="D492">
        <v>0</v>
      </c>
      <c r="G492" t="s">
        <v>205</v>
      </c>
      <c r="H492">
        <v>0</v>
      </c>
      <c r="K492" t="s">
        <v>205</v>
      </c>
      <c r="L492">
        <v>0</v>
      </c>
      <c r="O492" t="s">
        <v>205</v>
      </c>
      <c r="P492">
        <v>0</v>
      </c>
      <c r="S492" t="s">
        <v>205</v>
      </c>
      <c r="T492">
        <v>0</v>
      </c>
      <c r="W492" t="s">
        <v>205</v>
      </c>
      <c r="X492">
        <v>0</v>
      </c>
      <c r="AA492" t="s">
        <v>205</v>
      </c>
      <c r="AB492">
        <v>0</v>
      </c>
      <c r="AE492" t="s">
        <v>205</v>
      </c>
      <c r="AF492">
        <v>0</v>
      </c>
      <c r="AI492" t="s">
        <v>205</v>
      </c>
      <c r="AJ492">
        <v>0</v>
      </c>
      <c r="AM492" t="s">
        <v>205</v>
      </c>
      <c r="AN492">
        <v>0</v>
      </c>
      <c r="AQ492" t="s">
        <v>205</v>
      </c>
      <c r="AR492">
        <v>0</v>
      </c>
      <c r="AT492" t="s">
        <v>66</v>
      </c>
      <c r="AU492">
        <v>5</v>
      </c>
    </row>
    <row r="493" spans="1:47" x14ac:dyDescent="0.35">
      <c r="C493" t="s">
        <v>133</v>
      </c>
      <c r="D493">
        <v>0</v>
      </c>
      <c r="G493" t="s">
        <v>133</v>
      </c>
      <c r="H493">
        <v>0</v>
      </c>
      <c r="K493" t="s">
        <v>133</v>
      </c>
      <c r="L493">
        <v>0</v>
      </c>
      <c r="O493" t="s">
        <v>133</v>
      </c>
      <c r="P493">
        <v>0</v>
      </c>
      <c r="S493" t="s">
        <v>133</v>
      </c>
      <c r="T493">
        <v>0</v>
      </c>
      <c r="W493" t="s">
        <v>133</v>
      </c>
      <c r="X493">
        <v>0</v>
      </c>
      <c r="AA493" t="s">
        <v>133</v>
      </c>
      <c r="AB493">
        <v>2</v>
      </c>
      <c r="AE493" t="s">
        <v>133</v>
      </c>
      <c r="AF493">
        <v>0</v>
      </c>
      <c r="AI493" t="s">
        <v>133</v>
      </c>
      <c r="AJ493">
        <v>0</v>
      </c>
      <c r="AM493" t="s">
        <v>133</v>
      </c>
      <c r="AN493">
        <v>0</v>
      </c>
      <c r="AQ493" t="s">
        <v>133</v>
      </c>
      <c r="AR493">
        <v>0</v>
      </c>
      <c r="AT493" t="s">
        <v>79</v>
      </c>
      <c r="AU493">
        <v>134</v>
      </c>
    </row>
    <row r="494" spans="1:47" x14ac:dyDescent="0.35">
      <c r="C494" t="s">
        <v>206</v>
      </c>
      <c r="D494">
        <v>0</v>
      </c>
      <c r="G494" t="s">
        <v>206</v>
      </c>
      <c r="H494">
        <v>0</v>
      </c>
      <c r="K494" t="s">
        <v>206</v>
      </c>
      <c r="L494">
        <v>0</v>
      </c>
      <c r="O494" t="s">
        <v>206</v>
      </c>
      <c r="P494">
        <v>0</v>
      </c>
      <c r="S494" t="s">
        <v>206</v>
      </c>
      <c r="T494">
        <v>0</v>
      </c>
      <c r="W494" t="s">
        <v>206</v>
      </c>
      <c r="X494">
        <v>0</v>
      </c>
      <c r="AA494" t="s">
        <v>206</v>
      </c>
      <c r="AB494">
        <v>0</v>
      </c>
      <c r="AE494" t="s">
        <v>206</v>
      </c>
      <c r="AF494">
        <v>0</v>
      </c>
      <c r="AI494" t="s">
        <v>206</v>
      </c>
      <c r="AJ494">
        <v>0</v>
      </c>
      <c r="AM494" t="s">
        <v>206</v>
      </c>
      <c r="AN494">
        <v>0</v>
      </c>
      <c r="AQ494" t="s">
        <v>206</v>
      </c>
      <c r="AR494">
        <v>282</v>
      </c>
      <c r="AT494" t="s">
        <v>68</v>
      </c>
      <c r="AU494">
        <v>0</v>
      </c>
    </row>
    <row r="495" spans="1:47" x14ac:dyDescent="0.35">
      <c r="C495" t="s">
        <v>136</v>
      </c>
      <c r="D495">
        <v>0</v>
      </c>
      <c r="G495" t="s">
        <v>136</v>
      </c>
      <c r="H495">
        <v>0</v>
      </c>
      <c r="K495" t="s">
        <v>136</v>
      </c>
      <c r="L495">
        <v>0</v>
      </c>
      <c r="O495" t="s">
        <v>136</v>
      </c>
      <c r="P495">
        <v>0</v>
      </c>
      <c r="S495" t="s">
        <v>136</v>
      </c>
      <c r="T495">
        <v>0</v>
      </c>
      <c r="W495" t="s">
        <v>136</v>
      </c>
      <c r="X495">
        <v>0</v>
      </c>
      <c r="AA495" t="s">
        <v>136</v>
      </c>
      <c r="AB495">
        <v>0</v>
      </c>
      <c r="AE495" t="s">
        <v>136</v>
      </c>
      <c r="AF495">
        <v>0</v>
      </c>
      <c r="AI495" t="s">
        <v>136</v>
      </c>
      <c r="AJ495">
        <v>0</v>
      </c>
      <c r="AM495" t="s">
        <v>136</v>
      </c>
      <c r="AN495">
        <v>0</v>
      </c>
      <c r="AQ495" t="s">
        <v>136</v>
      </c>
      <c r="AR495">
        <v>0</v>
      </c>
      <c r="AT495" t="s">
        <v>69</v>
      </c>
      <c r="AU495">
        <v>0</v>
      </c>
    </row>
    <row r="496" spans="1:47" x14ac:dyDescent="0.35">
      <c r="C496" t="s">
        <v>207</v>
      </c>
      <c r="D496">
        <v>0</v>
      </c>
      <c r="G496" t="s">
        <v>207</v>
      </c>
      <c r="H496">
        <v>0</v>
      </c>
      <c r="K496" t="s">
        <v>207</v>
      </c>
      <c r="L496">
        <v>0</v>
      </c>
      <c r="O496" t="s">
        <v>207</v>
      </c>
      <c r="P496">
        <v>0</v>
      </c>
      <c r="S496" t="s">
        <v>207</v>
      </c>
      <c r="T496">
        <v>0</v>
      </c>
      <c r="W496" t="s">
        <v>207</v>
      </c>
      <c r="X496">
        <v>0</v>
      </c>
      <c r="AA496" t="s">
        <v>207</v>
      </c>
      <c r="AB496">
        <v>0</v>
      </c>
      <c r="AE496" t="s">
        <v>207</v>
      </c>
      <c r="AF496">
        <v>0</v>
      </c>
      <c r="AI496" t="s">
        <v>207</v>
      </c>
      <c r="AJ496">
        <v>0</v>
      </c>
      <c r="AM496" t="s">
        <v>207</v>
      </c>
      <c r="AN496">
        <v>0</v>
      </c>
      <c r="AQ496" t="s">
        <v>207</v>
      </c>
      <c r="AR496">
        <v>0</v>
      </c>
      <c r="AT496" t="s">
        <v>70</v>
      </c>
      <c r="AU496">
        <v>0</v>
      </c>
    </row>
    <row r="497" spans="1:47" x14ac:dyDescent="0.35">
      <c r="C497" t="s">
        <v>141</v>
      </c>
      <c r="D497">
        <v>0</v>
      </c>
      <c r="G497" t="s">
        <v>141</v>
      </c>
      <c r="H497">
        <v>0</v>
      </c>
      <c r="K497" t="s">
        <v>141</v>
      </c>
      <c r="L497">
        <v>0</v>
      </c>
      <c r="O497" t="s">
        <v>141</v>
      </c>
      <c r="P497">
        <v>0</v>
      </c>
      <c r="S497" t="s">
        <v>141</v>
      </c>
      <c r="T497">
        <v>0</v>
      </c>
      <c r="W497" t="s">
        <v>141</v>
      </c>
      <c r="X497">
        <v>0</v>
      </c>
      <c r="AA497" t="s">
        <v>141</v>
      </c>
      <c r="AB497">
        <v>0</v>
      </c>
      <c r="AE497" t="s">
        <v>141</v>
      </c>
      <c r="AF497">
        <v>0</v>
      </c>
      <c r="AI497" t="s">
        <v>141</v>
      </c>
      <c r="AJ497">
        <v>0</v>
      </c>
      <c r="AM497" t="s">
        <v>141</v>
      </c>
      <c r="AN497">
        <v>0</v>
      </c>
      <c r="AQ497" t="s">
        <v>141</v>
      </c>
      <c r="AR497">
        <v>0</v>
      </c>
      <c r="AT497" t="s">
        <v>76</v>
      </c>
      <c r="AU497">
        <v>0</v>
      </c>
    </row>
    <row r="498" spans="1:47" x14ac:dyDescent="0.35">
      <c r="C498" t="s">
        <v>208</v>
      </c>
      <c r="D498">
        <v>0</v>
      </c>
      <c r="G498" t="s">
        <v>208</v>
      </c>
      <c r="H498">
        <v>0</v>
      </c>
      <c r="K498" t="s">
        <v>208</v>
      </c>
      <c r="L498">
        <v>0</v>
      </c>
      <c r="O498" t="s">
        <v>208</v>
      </c>
      <c r="P498">
        <v>0</v>
      </c>
      <c r="S498" t="s">
        <v>208</v>
      </c>
      <c r="T498">
        <v>0</v>
      </c>
      <c r="W498" t="s">
        <v>208</v>
      </c>
      <c r="X498">
        <v>0</v>
      </c>
      <c r="AA498" t="s">
        <v>208</v>
      </c>
      <c r="AB498">
        <v>0</v>
      </c>
      <c r="AE498" t="s">
        <v>208</v>
      </c>
      <c r="AF498">
        <v>0</v>
      </c>
      <c r="AI498" t="s">
        <v>208</v>
      </c>
      <c r="AJ498">
        <v>0</v>
      </c>
      <c r="AM498" t="s">
        <v>208</v>
      </c>
      <c r="AN498">
        <v>0</v>
      </c>
      <c r="AQ498" t="s">
        <v>208</v>
      </c>
      <c r="AR498">
        <v>0</v>
      </c>
      <c r="AT498" t="s">
        <v>77</v>
      </c>
      <c r="AU498">
        <v>0</v>
      </c>
    </row>
    <row r="499" spans="1:47" x14ac:dyDescent="0.35">
      <c r="C499" t="s">
        <v>209</v>
      </c>
      <c r="D499">
        <v>0</v>
      </c>
      <c r="G499" t="s">
        <v>209</v>
      </c>
      <c r="H499">
        <v>0</v>
      </c>
      <c r="K499" t="s">
        <v>209</v>
      </c>
      <c r="L499">
        <v>0</v>
      </c>
      <c r="O499" t="s">
        <v>209</v>
      </c>
      <c r="P499">
        <v>0</v>
      </c>
      <c r="S499" t="s">
        <v>209</v>
      </c>
      <c r="T499">
        <v>0</v>
      </c>
      <c r="W499" t="s">
        <v>209</v>
      </c>
      <c r="X499">
        <v>0</v>
      </c>
      <c r="AA499" t="s">
        <v>209</v>
      </c>
      <c r="AB499">
        <v>0</v>
      </c>
      <c r="AE499" t="s">
        <v>209</v>
      </c>
      <c r="AF499">
        <v>0</v>
      </c>
      <c r="AI499" t="s">
        <v>209</v>
      </c>
      <c r="AJ499">
        <v>0</v>
      </c>
      <c r="AM499" t="s">
        <v>209</v>
      </c>
      <c r="AN499">
        <v>0</v>
      </c>
      <c r="AQ499" t="s">
        <v>209</v>
      </c>
      <c r="AR499">
        <v>0</v>
      </c>
      <c r="AT499" t="s">
        <v>78</v>
      </c>
      <c r="AU499">
        <v>0</v>
      </c>
    </row>
    <row r="500" spans="1:47" x14ac:dyDescent="0.35">
      <c r="C500" t="s">
        <v>134</v>
      </c>
      <c r="D500">
        <v>0</v>
      </c>
      <c r="G500" t="s">
        <v>134</v>
      </c>
      <c r="H500">
        <v>0</v>
      </c>
      <c r="K500" t="s">
        <v>134</v>
      </c>
      <c r="L500">
        <v>0</v>
      </c>
      <c r="O500" t="s">
        <v>134</v>
      </c>
      <c r="P500">
        <v>0</v>
      </c>
      <c r="S500" t="s">
        <v>134</v>
      </c>
      <c r="T500">
        <v>0</v>
      </c>
      <c r="W500" t="s">
        <v>134</v>
      </c>
      <c r="X500">
        <v>0</v>
      </c>
      <c r="AA500" t="s">
        <v>134</v>
      </c>
      <c r="AB500">
        <v>0</v>
      </c>
      <c r="AE500" t="s">
        <v>134</v>
      </c>
      <c r="AF500">
        <v>0</v>
      </c>
      <c r="AI500" t="s">
        <v>134</v>
      </c>
      <c r="AJ500">
        <v>0</v>
      </c>
      <c r="AM500" t="s">
        <v>134</v>
      </c>
      <c r="AN500">
        <v>0</v>
      </c>
      <c r="AQ500" t="s">
        <v>134</v>
      </c>
      <c r="AR500">
        <v>228</v>
      </c>
      <c r="AT500" t="s">
        <v>67</v>
      </c>
      <c r="AU500">
        <v>2</v>
      </c>
    </row>
    <row r="501" spans="1:47" x14ac:dyDescent="0.35">
      <c r="C501" t="s">
        <v>142</v>
      </c>
      <c r="D501">
        <v>0</v>
      </c>
      <c r="G501" t="s">
        <v>142</v>
      </c>
      <c r="H501">
        <v>0</v>
      </c>
      <c r="K501" t="s">
        <v>142</v>
      </c>
      <c r="L501">
        <v>0</v>
      </c>
      <c r="O501" t="s">
        <v>142</v>
      </c>
      <c r="P501">
        <v>0</v>
      </c>
      <c r="S501" t="s">
        <v>142</v>
      </c>
      <c r="T501">
        <v>0</v>
      </c>
      <c r="W501" t="s">
        <v>142</v>
      </c>
      <c r="X501">
        <v>0</v>
      </c>
      <c r="AA501" t="s">
        <v>142</v>
      </c>
      <c r="AB501">
        <v>0</v>
      </c>
      <c r="AE501" t="s">
        <v>142</v>
      </c>
      <c r="AF501">
        <v>0</v>
      </c>
      <c r="AI501" t="s">
        <v>142</v>
      </c>
      <c r="AJ501">
        <v>0</v>
      </c>
      <c r="AM501" t="s">
        <v>142</v>
      </c>
      <c r="AN501">
        <v>0</v>
      </c>
      <c r="AQ501" t="s">
        <v>142</v>
      </c>
      <c r="AR501">
        <v>101</v>
      </c>
      <c r="AT501" t="s">
        <v>80</v>
      </c>
      <c r="AU501">
        <v>0</v>
      </c>
    </row>
    <row r="502" spans="1:47" x14ac:dyDescent="0.35">
      <c r="C502" t="s">
        <v>83</v>
      </c>
      <c r="D502">
        <v>0</v>
      </c>
      <c r="G502" t="s">
        <v>83</v>
      </c>
      <c r="H502">
        <v>0</v>
      </c>
      <c r="K502" t="s">
        <v>83</v>
      </c>
      <c r="L502">
        <v>0</v>
      </c>
      <c r="O502" t="s">
        <v>83</v>
      </c>
      <c r="P502">
        <v>0</v>
      </c>
      <c r="S502" t="s">
        <v>83</v>
      </c>
      <c r="T502">
        <v>0</v>
      </c>
      <c r="W502" t="s">
        <v>83</v>
      </c>
      <c r="X502">
        <v>0</v>
      </c>
      <c r="AA502" t="s">
        <v>83</v>
      </c>
      <c r="AB502">
        <v>0</v>
      </c>
      <c r="AE502" t="s">
        <v>83</v>
      </c>
      <c r="AF502">
        <v>0</v>
      </c>
      <c r="AI502" t="s">
        <v>83</v>
      </c>
      <c r="AJ502">
        <v>0</v>
      </c>
      <c r="AM502" t="s">
        <v>83</v>
      </c>
      <c r="AN502">
        <v>0</v>
      </c>
      <c r="AQ502" t="s">
        <v>83</v>
      </c>
      <c r="AR502">
        <v>0</v>
      </c>
      <c r="AT502" t="s">
        <v>83</v>
      </c>
      <c r="AU502">
        <v>0</v>
      </c>
    </row>
    <row r="503" spans="1:47" x14ac:dyDescent="0.35">
      <c r="C503" t="s">
        <v>84</v>
      </c>
      <c r="D503">
        <v>0</v>
      </c>
      <c r="G503" t="s">
        <v>84</v>
      </c>
      <c r="H503">
        <v>0</v>
      </c>
      <c r="K503" t="s">
        <v>84</v>
      </c>
      <c r="L503">
        <v>0</v>
      </c>
      <c r="O503" t="s">
        <v>84</v>
      </c>
      <c r="P503">
        <v>0</v>
      </c>
      <c r="S503" t="s">
        <v>84</v>
      </c>
      <c r="T503">
        <v>0</v>
      </c>
      <c r="W503" t="s">
        <v>84</v>
      </c>
      <c r="X503">
        <v>0</v>
      </c>
      <c r="AA503" t="s">
        <v>84</v>
      </c>
      <c r="AB503">
        <v>0</v>
      </c>
      <c r="AE503" t="s">
        <v>84</v>
      </c>
      <c r="AF503">
        <v>0</v>
      </c>
      <c r="AI503" t="s">
        <v>84</v>
      </c>
      <c r="AJ503">
        <v>0</v>
      </c>
      <c r="AM503" t="s">
        <v>84</v>
      </c>
      <c r="AN503">
        <v>0</v>
      </c>
      <c r="AQ503" t="s">
        <v>84</v>
      </c>
      <c r="AR503">
        <v>0</v>
      </c>
      <c r="AT503" t="s">
        <v>84</v>
      </c>
      <c r="AU503">
        <v>0</v>
      </c>
    </row>
    <row r="504" spans="1:47" x14ac:dyDescent="0.35">
      <c r="C504" t="s">
        <v>126</v>
      </c>
      <c r="D504">
        <v>0</v>
      </c>
      <c r="G504" t="s">
        <v>126</v>
      </c>
      <c r="H504">
        <v>0</v>
      </c>
      <c r="K504" t="s">
        <v>223</v>
      </c>
      <c r="L504">
        <v>0</v>
      </c>
      <c r="O504" t="s">
        <v>126</v>
      </c>
      <c r="P504">
        <v>0</v>
      </c>
      <c r="S504" t="s">
        <v>126</v>
      </c>
      <c r="T504">
        <v>0</v>
      </c>
      <c r="W504" t="s">
        <v>126</v>
      </c>
      <c r="X504">
        <v>0</v>
      </c>
      <c r="AA504" t="s">
        <v>126</v>
      </c>
      <c r="AB504">
        <v>0</v>
      </c>
      <c r="AE504" t="s">
        <v>126</v>
      </c>
      <c r="AF504">
        <v>0</v>
      </c>
      <c r="AI504" t="s">
        <v>126</v>
      </c>
      <c r="AJ504">
        <v>0</v>
      </c>
      <c r="AM504" t="s">
        <v>126</v>
      </c>
      <c r="AN504">
        <v>0</v>
      </c>
      <c r="AQ504" t="s">
        <v>126</v>
      </c>
      <c r="AR504">
        <v>0</v>
      </c>
      <c r="AT504" t="s">
        <v>86</v>
      </c>
      <c r="AU504">
        <v>0</v>
      </c>
    </row>
    <row r="505" spans="1:47" x14ac:dyDescent="0.35">
      <c r="C505" t="s">
        <v>87</v>
      </c>
      <c r="D505">
        <v>0</v>
      </c>
      <c r="G505" t="s">
        <v>87</v>
      </c>
      <c r="H505">
        <v>0</v>
      </c>
      <c r="K505" t="s">
        <v>87</v>
      </c>
      <c r="L505">
        <v>0</v>
      </c>
      <c r="O505" t="s">
        <v>87</v>
      </c>
      <c r="P505">
        <v>0</v>
      </c>
      <c r="S505" t="s">
        <v>87</v>
      </c>
      <c r="T505">
        <v>0</v>
      </c>
      <c r="W505" t="s">
        <v>87</v>
      </c>
      <c r="X505">
        <v>0</v>
      </c>
      <c r="AA505" t="s">
        <v>87</v>
      </c>
      <c r="AB505">
        <v>0</v>
      </c>
      <c r="AE505" t="s">
        <v>87</v>
      </c>
      <c r="AF505">
        <v>0</v>
      </c>
      <c r="AI505" t="s">
        <v>87</v>
      </c>
      <c r="AJ505">
        <v>0</v>
      </c>
      <c r="AM505" t="s">
        <v>87</v>
      </c>
      <c r="AN505">
        <v>0</v>
      </c>
      <c r="AQ505" t="s">
        <v>87</v>
      </c>
      <c r="AR505">
        <v>0</v>
      </c>
      <c r="AT505" t="s">
        <v>87</v>
      </c>
      <c r="AU505">
        <v>0</v>
      </c>
    </row>
    <row r="506" spans="1:47" x14ac:dyDescent="0.35">
      <c r="A506" t="s">
        <v>175</v>
      </c>
      <c r="B506">
        <v>43725806.500000007</v>
      </c>
      <c r="C506" t="s">
        <v>135</v>
      </c>
      <c r="D506">
        <v>16184</v>
      </c>
      <c r="E506" t="s">
        <v>175</v>
      </c>
      <c r="F506">
        <v>44792368.000000007</v>
      </c>
      <c r="G506" t="s">
        <v>135</v>
      </c>
      <c r="H506">
        <v>17493</v>
      </c>
      <c r="I506" t="s">
        <v>175</v>
      </c>
      <c r="J506">
        <v>45831863.500000007</v>
      </c>
      <c r="K506" t="s">
        <v>135</v>
      </c>
      <c r="L506">
        <v>18971</v>
      </c>
      <c r="M506" t="s">
        <v>175</v>
      </c>
      <c r="N506">
        <v>46851488.499999993</v>
      </c>
      <c r="O506" t="s">
        <v>135</v>
      </c>
      <c r="P506">
        <v>0</v>
      </c>
      <c r="Q506" t="s">
        <v>175</v>
      </c>
      <c r="R506">
        <v>47894670</v>
      </c>
      <c r="S506" t="s">
        <v>135</v>
      </c>
      <c r="T506">
        <v>380</v>
      </c>
      <c r="U506" t="s">
        <v>175</v>
      </c>
      <c r="V506">
        <v>48948137.000000037</v>
      </c>
      <c r="W506" t="s">
        <v>135</v>
      </c>
      <c r="X506">
        <v>0</v>
      </c>
      <c r="Y506" t="s">
        <v>175</v>
      </c>
      <c r="Z506">
        <v>49953303.999999993</v>
      </c>
      <c r="AA506" t="s">
        <v>135</v>
      </c>
      <c r="AB506">
        <v>20964</v>
      </c>
      <c r="AC506" t="s">
        <v>175</v>
      </c>
      <c r="AD506">
        <v>50951450</v>
      </c>
      <c r="AE506" t="s">
        <v>135</v>
      </c>
      <c r="AF506">
        <v>0</v>
      </c>
      <c r="AG506" t="s">
        <v>175</v>
      </c>
      <c r="AH506">
        <v>51985779.999999993</v>
      </c>
      <c r="AI506" t="s">
        <v>135</v>
      </c>
      <c r="AJ506">
        <v>0</v>
      </c>
      <c r="AK506" t="s">
        <v>175</v>
      </c>
      <c r="AL506">
        <v>53005614.000000022</v>
      </c>
      <c r="AM506" t="s">
        <v>135</v>
      </c>
      <c r="AN506">
        <v>12377</v>
      </c>
      <c r="AO506" t="s">
        <v>175</v>
      </c>
      <c r="AP506">
        <v>54027486.999999985</v>
      </c>
      <c r="AQ506" t="s">
        <v>135</v>
      </c>
      <c r="AR506">
        <v>13340</v>
      </c>
      <c r="AS506" t="s">
        <v>175</v>
      </c>
      <c r="AT506" t="s">
        <v>148</v>
      </c>
      <c r="AU506">
        <v>8042</v>
      </c>
    </row>
    <row r="507" spans="1:47" x14ac:dyDescent="0.35">
      <c r="C507" t="s">
        <v>139</v>
      </c>
      <c r="D507">
        <v>123538</v>
      </c>
      <c r="G507" t="s">
        <v>139</v>
      </c>
      <c r="H507">
        <v>80584</v>
      </c>
      <c r="K507" t="s">
        <v>139</v>
      </c>
      <c r="L507">
        <v>86622</v>
      </c>
      <c r="O507" t="s">
        <v>139</v>
      </c>
      <c r="P507">
        <v>82826</v>
      </c>
      <c r="S507" t="s">
        <v>139</v>
      </c>
      <c r="T507">
        <v>97474</v>
      </c>
      <c r="W507" t="s">
        <v>139</v>
      </c>
      <c r="X507">
        <v>106336</v>
      </c>
      <c r="AA507" t="s">
        <v>139</v>
      </c>
      <c r="AB507">
        <v>119802</v>
      </c>
      <c r="AE507" t="s">
        <v>139</v>
      </c>
      <c r="AF507">
        <v>0</v>
      </c>
      <c r="AI507" t="s">
        <v>139</v>
      </c>
      <c r="AJ507">
        <v>0</v>
      </c>
      <c r="AM507" t="s">
        <v>139</v>
      </c>
      <c r="AN507">
        <v>69176</v>
      </c>
      <c r="AQ507" t="s">
        <v>139</v>
      </c>
      <c r="AR507">
        <v>69268</v>
      </c>
      <c r="AT507" t="s">
        <v>139</v>
      </c>
      <c r="AU507">
        <v>59901</v>
      </c>
    </row>
    <row r="508" spans="1:47" x14ac:dyDescent="0.35">
      <c r="C508" t="s">
        <v>138</v>
      </c>
      <c r="D508">
        <v>0</v>
      </c>
      <c r="G508" t="s">
        <v>138</v>
      </c>
      <c r="H508">
        <v>0</v>
      </c>
      <c r="K508" t="s">
        <v>138</v>
      </c>
      <c r="L508">
        <v>0</v>
      </c>
      <c r="O508" t="s">
        <v>138</v>
      </c>
      <c r="P508">
        <v>0</v>
      </c>
      <c r="S508" t="s">
        <v>138</v>
      </c>
      <c r="T508">
        <v>4184</v>
      </c>
      <c r="W508" t="s">
        <v>138</v>
      </c>
      <c r="X508">
        <v>0</v>
      </c>
      <c r="AA508" t="s">
        <v>138</v>
      </c>
      <c r="AB508">
        <v>0</v>
      </c>
      <c r="AE508" t="s">
        <v>138</v>
      </c>
      <c r="AF508">
        <v>0</v>
      </c>
      <c r="AI508" t="s">
        <v>138</v>
      </c>
      <c r="AJ508">
        <v>0</v>
      </c>
      <c r="AM508" t="s">
        <v>138</v>
      </c>
      <c r="AN508">
        <v>0</v>
      </c>
      <c r="AQ508" t="s">
        <v>138</v>
      </c>
      <c r="AR508">
        <v>274</v>
      </c>
      <c r="AT508" t="s">
        <v>138</v>
      </c>
      <c r="AU508">
        <v>0</v>
      </c>
    </row>
    <row r="509" spans="1:47" x14ac:dyDescent="0.35">
      <c r="C509" t="s">
        <v>82</v>
      </c>
      <c r="D509">
        <v>531</v>
      </c>
      <c r="G509" t="s">
        <v>82</v>
      </c>
      <c r="H509">
        <v>2310</v>
      </c>
      <c r="K509" t="s">
        <v>82</v>
      </c>
      <c r="L509">
        <v>0</v>
      </c>
      <c r="O509" t="s">
        <v>82</v>
      </c>
      <c r="P509">
        <v>1080</v>
      </c>
      <c r="S509" t="s">
        <v>82</v>
      </c>
      <c r="T509">
        <v>170</v>
      </c>
      <c r="W509" t="s">
        <v>82</v>
      </c>
      <c r="X509">
        <v>0</v>
      </c>
      <c r="AA509" t="s">
        <v>82</v>
      </c>
      <c r="AB509">
        <v>0</v>
      </c>
      <c r="AE509" t="s">
        <v>82</v>
      </c>
      <c r="AF509">
        <v>11741</v>
      </c>
      <c r="AI509" t="s">
        <v>82</v>
      </c>
      <c r="AJ509">
        <v>0</v>
      </c>
      <c r="AM509" t="s">
        <v>82</v>
      </c>
      <c r="AN509">
        <v>0</v>
      </c>
      <c r="AQ509" t="s">
        <v>82</v>
      </c>
      <c r="AR509">
        <v>0</v>
      </c>
      <c r="AT509" t="s">
        <v>82</v>
      </c>
      <c r="AU509">
        <v>2295</v>
      </c>
    </row>
    <row r="510" spans="1:47" x14ac:dyDescent="0.35">
      <c r="C510" t="s">
        <v>60</v>
      </c>
      <c r="D510">
        <v>401</v>
      </c>
      <c r="G510" t="s">
        <v>60</v>
      </c>
      <c r="H510">
        <v>536</v>
      </c>
      <c r="K510" t="s">
        <v>60</v>
      </c>
      <c r="L510">
        <v>0</v>
      </c>
      <c r="O510" t="s">
        <v>60</v>
      </c>
      <c r="P510">
        <v>236</v>
      </c>
      <c r="S510" t="s">
        <v>60</v>
      </c>
      <c r="T510">
        <v>178</v>
      </c>
      <c r="W510" t="s">
        <v>60</v>
      </c>
      <c r="X510">
        <v>0</v>
      </c>
      <c r="AA510" t="s">
        <v>60</v>
      </c>
      <c r="AB510">
        <v>0</v>
      </c>
      <c r="AE510" t="s">
        <v>60</v>
      </c>
      <c r="AF510">
        <v>13262</v>
      </c>
      <c r="AI510" t="s">
        <v>60</v>
      </c>
      <c r="AJ510">
        <v>0</v>
      </c>
      <c r="AM510" t="s">
        <v>60</v>
      </c>
      <c r="AN510">
        <v>0</v>
      </c>
      <c r="AQ510" t="s">
        <v>60</v>
      </c>
      <c r="AR510">
        <v>0</v>
      </c>
      <c r="AT510" t="s">
        <v>60</v>
      </c>
      <c r="AU510">
        <v>1764</v>
      </c>
    </row>
    <row r="511" spans="1:47" x14ac:dyDescent="0.35">
      <c r="C511" t="s">
        <v>127</v>
      </c>
      <c r="D511">
        <v>0</v>
      </c>
      <c r="G511" t="s">
        <v>127</v>
      </c>
      <c r="H511">
        <v>0</v>
      </c>
      <c r="K511" t="s">
        <v>127</v>
      </c>
      <c r="L511">
        <v>0</v>
      </c>
      <c r="O511" t="s">
        <v>127</v>
      </c>
      <c r="P511">
        <v>0</v>
      </c>
      <c r="S511" t="s">
        <v>127</v>
      </c>
      <c r="T511">
        <v>0</v>
      </c>
      <c r="W511" t="s">
        <v>127</v>
      </c>
      <c r="X511">
        <v>0</v>
      </c>
      <c r="AA511" t="s">
        <v>127</v>
      </c>
      <c r="AB511">
        <v>58079</v>
      </c>
      <c r="AE511" t="s">
        <v>127</v>
      </c>
      <c r="AF511">
        <v>0</v>
      </c>
      <c r="AI511" t="s">
        <v>127</v>
      </c>
      <c r="AJ511">
        <v>91653</v>
      </c>
      <c r="AM511" t="s">
        <v>127</v>
      </c>
      <c r="AN511">
        <v>86490</v>
      </c>
      <c r="AQ511" t="s">
        <v>127</v>
      </c>
      <c r="AR511">
        <v>86423</v>
      </c>
      <c r="AT511" t="s">
        <v>58</v>
      </c>
      <c r="AU511">
        <v>58079</v>
      </c>
    </row>
    <row r="512" spans="1:47" x14ac:dyDescent="0.35">
      <c r="C512" t="s">
        <v>61</v>
      </c>
      <c r="D512">
        <v>0</v>
      </c>
      <c r="G512" t="s">
        <v>61</v>
      </c>
      <c r="H512">
        <v>211</v>
      </c>
      <c r="K512" t="s">
        <v>61</v>
      </c>
      <c r="L512">
        <v>0</v>
      </c>
      <c r="O512" t="s">
        <v>61</v>
      </c>
      <c r="P512">
        <v>0</v>
      </c>
      <c r="S512" t="s">
        <v>61</v>
      </c>
      <c r="T512">
        <v>0</v>
      </c>
      <c r="W512" t="s">
        <v>61</v>
      </c>
      <c r="X512">
        <v>0</v>
      </c>
      <c r="AA512" t="s">
        <v>61</v>
      </c>
      <c r="AB512">
        <v>0</v>
      </c>
      <c r="AE512" t="s">
        <v>61</v>
      </c>
      <c r="AF512">
        <v>3877</v>
      </c>
      <c r="AI512" t="s">
        <v>61</v>
      </c>
      <c r="AJ512">
        <v>0</v>
      </c>
      <c r="AM512" t="s">
        <v>61</v>
      </c>
      <c r="AN512">
        <v>0</v>
      </c>
      <c r="AQ512" t="s">
        <v>61</v>
      </c>
      <c r="AR512">
        <v>0</v>
      </c>
      <c r="AT512" t="s">
        <v>61</v>
      </c>
      <c r="AU512">
        <v>1147</v>
      </c>
    </row>
    <row r="513" spans="3:47" x14ac:dyDescent="0.35">
      <c r="C513" t="s">
        <v>62</v>
      </c>
      <c r="D513">
        <v>0</v>
      </c>
      <c r="G513" t="s">
        <v>62</v>
      </c>
      <c r="H513">
        <v>0</v>
      </c>
      <c r="K513" t="s">
        <v>62</v>
      </c>
      <c r="L513">
        <v>0</v>
      </c>
      <c r="O513" t="s">
        <v>62</v>
      </c>
      <c r="P513">
        <v>201</v>
      </c>
      <c r="S513" t="s">
        <v>62</v>
      </c>
      <c r="T513">
        <v>146</v>
      </c>
      <c r="W513" t="s">
        <v>62</v>
      </c>
      <c r="X513">
        <v>0</v>
      </c>
      <c r="AA513" t="s">
        <v>62</v>
      </c>
      <c r="AB513">
        <v>0</v>
      </c>
      <c r="AE513" t="s">
        <v>62</v>
      </c>
      <c r="AF513">
        <v>3730</v>
      </c>
      <c r="AI513" t="s">
        <v>62</v>
      </c>
      <c r="AJ513">
        <v>0</v>
      </c>
      <c r="AM513" t="s">
        <v>62</v>
      </c>
      <c r="AN513">
        <v>0</v>
      </c>
      <c r="AQ513" t="s">
        <v>62</v>
      </c>
      <c r="AR513">
        <v>0</v>
      </c>
      <c r="AT513" t="s">
        <v>62</v>
      </c>
      <c r="AU513">
        <v>5310</v>
      </c>
    </row>
    <row r="514" spans="3:47" x14ac:dyDescent="0.35">
      <c r="C514" t="s">
        <v>203</v>
      </c>
      <c r="D514">
        <v>0</v>
      </c>
      <c r="G514" t="s">
        <v>203</v>
      </c>
      <c r="H514">
        <v>0</v>
      </c>
      <c r="K514" t="s">
        <v>203</v>
      </c>
      <c r="L514">
        <v>0</v>
      </c>
      <c r="O514" t="s">
        <v>203</v>
      </c>
      <c r="P514">
        <v>0</v>
      </c>
      <c r="S514" t="s">
        <v>203</v>
      </c>
      <c r="T514">
        <v>0</v>
      </c>
      <c r="W514" t="s">
        <v>203</v>
      </c>
      <c r="X514">
        <v>0</v>
      </c>
      <c r="AA514" t="s">
        <v>203</v>
      </c>
      <c r="AB514">
        <v>0</v>
      </c>
      <c r="AE514" t="s">
        <v>203</v>
      </c>
      <c r="AF514">
        <v>0</v>
      </c>
      <c r="AI514" t="s">
        <v>203</v>
      </c>
      <c r="AJ514">
        <v>0</v>
      </c>
      <c r="AM514" t="s">
        <v>203</v>
      </c>
      <c r="AN514">
        <v>0</v>
      </c>
      <c r="AQ514" t="s">
        <v>203</v>
      </c>
      <c r="AR514">
        <v>0</v>
      </c>
      <c r="AT514" t="s">
        <v>64</v>
      </c>
      <c r="AU514">
        <v>0</v>
      </c>
    </row>
    <row r="515" spans="3:47" x14ac:dyDescent="0.35">
      <c r="C515" t="s">
        <v>204</v>
      </c>
      <c r="D515">
        <v>0</v>
      </c>
      <c r="G515" t="s">
        <v>204</v>
      </c>
      <c r="H515">
        <v>0</v>
      </c>
      <c r="K515" t="s">
        <v>204</v>
      </c>
      <c r="L515">
        <v>0</v>
      </c>
      <c r="O515" t="s">
        <v>204</v>
      </c>
      <c r="P515">
        <v>0</v>
      </c>
      <c r="S515" t="s">
        <v>204</v>
      </c>
      <c r="T515">
        <v>0</v>
      </c>
      <c r="W515" t="s">
        <v>204</v>
      </c>
      <c r="X515">
        <v>0</v>
      </c>
      <c r="AA515" t="s">
        <v>204</v>
      </c>
      <c r="AB515">
        <v>0</v>
      </c>
      <c r="AE515" t="s">
        <v>204</v>
      </c>
      <c r="AF515">
        <v>0</v>
      </c>
      <c r="AI515" t="s">
        <v>204</v>
      </c>
      <c r="AJ515">
        <v>0</v>
      </c>
      <c r="AM515" t="s">
        <v>204</v>
      </c>
      <c r="AN515">
        <v>0</v>
      </c>
      <c r="AQ515" t="s">
        <v>204</v>
      </c>
      <c r="AR515">
        <v>0</v>
      </c>
      <c r="AT515" t="s">
        <v>65</v>
      </c>
      <c r="AU515">
        <v>0</v>
      </c>
    </row>
    <row r="516" spans="3:47" x14ac:dyDescent="0.35">
      <c r="C516" t="s">
        <v>205</v>
      </c>
      <c r="D516">
        <v>0</v>
      </c>
      <c r="G516" t="s">
        <v>205</v>
      </c>
      <c r="H516">
        <v>0</v>
      </c>
      <c r="K516" t="s">
        <v>205</v>
      </c>
      <c r="L516">
        <v>0</v>
      </c>
      <c r="O516" t="s">
        <v>205</v>
      </c>
      <c r="P516">
        <v>0</v>
      </c>
      <c r="S516" t="s">
        <v>205</v>
      </c>
      <c r="T516">
        <v>0</v>
      </c>
      <c r="W516" t="s">
        <v>205</v>
      </c>
      <c r="X516">
        <v>0</v>
      </c>
      <c r="AA516" t="s">
        <v>205</v>
      </c>
      <c r="AB516">
        <v>0</v>
      </c>
      <c r="AE516" t="s">
        <v>205</v>
      </c>
      <c r="AF516">
        <v>468</v>
      </c>
      <c r="AI516" t="s">
        <v>205</v>
      </c>
      <c r="AJ516">
        <v>0</v>
      </c>
      <c r="AM516" t="s">
        <v>205</v>
      </c>
      <c r="AN516">
        <v>261</v>
      </c>
      <c r="AQ516" t="s">
        <v>205</v>
      </c>
      <c r="AR516">
        <v>181</v>
      </c>
      <c r="AT516" t="s">
        <v>66</v>
      </c>
      <c r="AU516">
        <v>468</v>
      </c>
    </row>
    <row r="517" spans="3:47" x14ac:dyDescent="0.35">
      <c r="C517" t="s">
        <v>133</v>
      </c>
      <c r="D517">
        <v>0</v>
      </c>
      <c r="G517" t="s">
        <v>133</v>
      </c>
      <c r="H517">
        <v>0</v>
      </c>
      <c r="K517" t="s">
        <v>133</v>
      </c>
      <c r="L517">
        <v>0</v>
      </c>
      <c r="O517" t="s">
        <v>133</v>
      </c>
      <c r="P517">
        <v>0</v>
      </c>
      <c r="S517" t="s">
        <v>133</v>
      </c>
      <c r="T517">
        <v>0</v>
      </c>
      <c r="W517" t="s">
        <v>133</v>
      </c>
      <c r="X517">
        <v>0</v>
      </c>
      <c r="AA517" t="s">
        <v>133</v>
      </c>
      <c r="AB517">
        <v>0</v>
      </c>
      <c r="AE517" t="s">
        <v>133</v>
      </c>
      <c r="AF517">
        <v>0</v>
      </c>
      <c r="AI517" t="s">
        <v>133</v>
      </c>
      <c r="AJ517">
        <v>0</v>
      </c>
      <c r="AM517" t="s">
        <v>133</v>
      </c>
      <c r="AN517">
        <v>5019</v>
      </c>
      <c r="AQ517" t="s">
        <v>133</v>
      </c>
      <c r="AR517">
        <v>4663</v>
      </c>
      <c r="AT517" t="s">
        <v>79</v>
      </c>
      <c r="AU517">
        <v>0</v>
      </c>
    </row>
    <row r="518" spans="3:47" x14ac:dyDescent="0.35">
      <c r="C518" t="s">
        <v>206</v>
      </c>
      <c r="D518">
        <v>0</v>
      </c>
      <c r="G518" t="s">
        <v>206</v>
      </c>
      <c r="H518">
        <v>0</v>
      </c>
      <c r="K518" t="s">
        <v>206</v>
      </c>
      <c r="L518">
        <v>0</v>
      </c>
      <c r="O518" t="s">
        <v>206</v>
      </c>
      <c r="P518">
        <v>0</v>
      </c>
      <c r="S518" t="s">
        <v>206</v>
      </c>
      <c r="T518">
        <v>0</v>
      </c>
      <c r="W518" t="s">
        <v>206</v>
      </c>
      <c r="X518">
        <v>0</v>
      </c>
      <c r="AA518" t="s">
        <v>206</v>
      </c>
      <c r="AB518">
        <v>0</v>
      </c>
      <c r="AE518" t="s">
        <v>206</v>
      </c>
      <c r="AF518">
        <v>0</v>
      </c>
      <c r="AI518" t="s">
        <v>206</v>
      </c>
      <c r="AJ518">
        <v>0</v>
      </c>
      <c r="AM518" t="s">
        <v>206</v>
      </c>
      <c r="AN518">
        <v>0</v>
      </c>
      <c r="AQ518" t="s">
        <v>206</v>
      </c>
      <c r="AR518">
        <v>0</v>
      </c>
      <c r="AT518" t="s">
        <v>68</v>
      </c>
      <c r="AU518">
        <v>0</v>
      </c>
    </row>
    <row r="519" spans="3:47" x14ac:dyDescent="0.35">
      <c r="C519" t="s">
        <v>136</v>
      </c>
      <c r="D519">
        <v>0</v>
      </c>
      <c r="G519" t="s">
        <v>136</v>
      </c>
      <c r="H519">
        <v>0</v>
      </c>
      <c r="K519" t="s">
        <v>136</v>
      </c>
      <c r="L519">
        <v>0</v>
      </c>
      <c r="O519" t="s">
        <v>136</v>
      </c>
      <c r="P519">
        <v>0</v>
      </c>
      <c r="S519" t="s">
        <v>136</v>
      </c>
      <c r="T519">
        <v>0</v>
      </c>
      <c r="W519" t="s">
        <v>136</v>
      </c>
      <c r="X519">
        <v>0</v>
      </c>
      <c r="AA519" t="s">
        <v>136</v>
      </c>
      <c r="AB519">
        <v>430</v>
      </c>
      <c r="AE519" t="s">
        <v>136</v>
      </c>
      <c r="AF519">
        <v>0</v>
      </c>
      <c r="AI519" t="s">
        <v>136</v>
      </c>
      <c r="AJ519">
        <v>0</v>
      </c>
      <c r="AM519" t="s">
        <v>136</v>
      </c>
      <c r="AN519">
        <v>717</v>
      </c>
      <c r="AQ519" t="s">
        <v>136</v>
      </c>
      <c r="AR519">
        <v>0</v>
      </c>
      <c r="AT519" t="s">
        <v>69</v>
      </c>
      <c r="AU519">
        <v>430</v>
      </c>
    </row>
    <row r="520" spans="3:47" x14ac:dyDescent="0.35">
      <c r="C520" t="s">
        <v>207</v>
      </c>
      <c r="D520">
        <v>0</v>
      </c>
      <c r="G520" t="s">
        <v>207</v>
      </c>
      <c r="H520">
        <v>0</v>
      </c>
      <c r="K520" t="s">
        <v>207</v>
      </c>
      <c r="L520">
        <v>0</v>
      </c>
      <c r="O520" t="s">
        <v>207</v>
      </c>
      <c r="P520">
        <v>0</v>
      </c>
      <c r="S520" t="s">
        <v>207</v>
      </c>
      <c r="T520">
        <v>0</v>
      </c>
      <c r="W520" t="s">
        <v>207</v>
      </c>
      <c r="X520">
        <v>0</v>
      </c>
      <c r="AA520" t="s">
        <v>207</v>
      </c>
      <c r="AB520">
        <v>714</v>
      </c>
      <c r="AE520" t="s">
        <v>207</v>
      </c>
      <c r="AF520">
        <v>0</v>
      </c>
      <c r="AI520" t="s">
        <v>207</v>
      </c>
      <c r="AJ520">
        <v>0</v>
      </c>
      <c r="AM520" t="s">
        <v>207</v>
      </c>
      <c r="AN520">
        <v>0</v>
      </c>
      <c r="AQ520" t="s">
        <v>207</v>
      </c>
      <c r="AR520">
        <v>0</v>
      </c>
      <c r="AT520" t="s">
        <v>70</v>
      </c>
      <c r="AU520">
        <v>2419</v>
      </c>
    </row>
    <row r="521" spans="3:47" x14ac:dyDescent="0.35">
      <c r="C521" t="s">
        <v>141</v>
      </c>
      <c r="D521">
        <v>0</v>
      </c>
      <c r="G521" t="s">
        <v>141</v>
      </c>
      <c r="H521">
        <v>0</v>
      </c>
      <c r="K521" t="s">
        <v>141</v>
      </c>
      <c r="L521">
        <v>0</v>
      </c>
      <c r="O521" t="s">
        <v>141</v>
      </c>
      <c r="P521">
        <v>0</v>
      </c>
      <c r="S521" t="s">
        <v>141</v>
      </c>
      <c r="T521">
        <v>0</v>
      </c>
      <c r="W521" t="s">
        <v>141</v>
      </c>
      <c r="X521">
        <v>0</v>
      </c>
      <c r="AA521" t="s">
        <v>141</v>
      </c>
      <c r="AB521">
        <v>0</v>
      </c>
      <c r="AE521" t="s">
        <v>141</v>
      </c>
      <c r="AF521">
        <v>0</v>
      </c>
      <c r="AI521" t="s">
        <v>141</v>
      </c>
      <c r="AJ521">
        <v>0</v>
      </c>
      <c r="AM521" t="s">
        <v>141</v>
      </c>
      <c r="AN521">
        <v>0</v>
      </c>
      <c r="AQ521" t="s">
        <v>141</v>
      </c>
      <c r="AR521">
        <v>0</v>
      </c>
      <c r="AT521" t="s">
        <v>76</v>
      </c>
      <c r="AU521">
        <v>0</v>
      </c>
    </row>
    <row r="522" spans="3:47" x14ac:dyDescent="0.35">
      <c r="C522" t="s">
        <v>208</v>
      </c>
      <c r="D522">
        <v>0</v>
      </c>
      <c r="G522" t="s">
        <v>208</v>
      </c>
      <c r="H522">
        <v>0</v>
      </c>
      <c r="K522" t="s">
        <v>208</v>
      </c>
      <c r="L522">
        <v>0</v>
      </c>
      <c r="O522" t="s">
        <v>208</v>
      </c>
      <c r="P522">
        <v>0</v>
      </c>
      <c r="S522" t="s">
        <v>208</v>
      </c>
      <c r="T522">
        <v>0</v>
      </c>
      <c r="W522" t="s">
        <v>208</v>
      </c>
      <c r="X522">
        <v>0</v>
      </c>
      <c r="AA522" t="s">
        <v>208</v>
      </c>
      <c r="AB522">
        <v>0</v>
      </c>
      <c r="AE522" t="s">
        <v>208</v>
      </c>
      <c r="AF522">
        <v>0</v>
      </c>
      <c r="AI522" t="s">
        <v>208</v>
      </c>
      <c r="AJ522">
        <v>0</v>
      </c>
      <c r="AM522" t="s">
        <v>208</v>
      </c>
      <c r="AN522">
        <v>3295</v>
      </c>
      <c r="AQ522" t="s">
        <v>208</v>
      </c>
      <c r="AR522">
        <v>0</v>
      </c>
      <c r="AT522" t="s">
        <v>77</v>
      </c>
      <c r="AU522">
        <v>2759</v>
      </c>
    </row>
    <row r="523" spans="3:47" x14ac:dyDescent="0.35">
      <c r="C523" t="s">
        <v>209</v>
      </c>
      <c r="D523">
        <v>0</v>
      </c>
      <c r="G523" t="s">
        <v>209</v>
      </c>
      <c r="H523">
        <v>0</v>
      </c>
      <c r="K523" t="s">
        <v>209</v>
      </c>
      <c r="L523">
        <v>0</v>
      </c>
      <c r="O523" t="s">
        <v>209</v>
      </c>
      <c r="P523">
        <v>0</v>
      </c>
      <c r="S523" t="s">
        <v>209</v>
      </c>
      <c r="T523">
        <v>0</v>
      </c>
      <c r="W523" t="s">
        <v>209</v>
      </c>
      <c r="X523">
        <v>0</v>
      </c>
      <c r="AA523" t="s">
        <v>209</v>
      </c>
      <c r="AB523">
        <v>0</v>
      </c>
      <c r="AE523" t="s">
        <v>209</v>
      </c>
      <c r="AF523">
        <v>0</v>
      </c>
      <c r="AI523" t="s">
        <v>209</v>
      </c>
      <c r="AJ523">
        <v>0</v>
      </c>
      <c r="AM523" t="s">
        <v>209</v>
      </c>
      <c r="AN523">
        <v>11129</v>
      </c>
      <c r="AQ523" t="s">
        <v>209</v>
      </c>
      <c r="AR523">
        <v>0</v>
      </c>
      <c r="AT523" t="s">
        <v>78</v>
      </c>
      <c r="AU523">
        <v>0</v>
      </c>
    </row>
    <row r="524" spans="3:47" x14ac:dyDescent="0.35">
      <c r="C524" t="s">
        <v>134</v>
      </c>
      <c r="D524">
        <v>0</v>
      </c>
      <c r="G524" t="s">
        <v>134</v>
      </c>
      <c r="H524">
        <v>0</v>
      </c>
      <c r="K524" t="s">
        <v>134</v>
      </c>
      <c r="L524">
        <v>0</v>
      </c>
      <c r="O524" t="s">
        <v>134</v>
      </c>
      <c r="P524">
        <v>0</v>
      </c>
      <c r="S524" t="s">
        <v>134</v>
      </c>
      <c r="T524">
        <v>0</v>
      </c>
      <c r="W524" t="s">
        <v>134</v>
      </c>
      <c r="X524">
        <v>0</v>
      </c>
      <c r="AA524" t="s">
        <v>134</v>
      </c>
      <c r="AB524">
        <v>0</v>
      </c>
      <c r="AE524" t="s">
        <v>134</v>
      </c>
      <c r="AF524">
        <v>0</v>
      </c>
      <c r="AI524" t="s">
        <v>134</v>
      </c>
      <c r="AJ524">
        <v>0</v>
      </c>
      <c r="AM524" t="s">
        <v>134</v>
      </c>
      <c r="AN524">
        <v>0</v>
      </c>
      <c r="AQ524" t="s">
        <v>134</v>
      </c>
      <c r="AR524">
        <v>636</v>
      </c>
      <c r="AT524" t="s">
        <v>67</v>
      </c>
      <c r="AU524">
        <v>0</v>
      </c>
    </row>
    <row r="525" spans="3:47" x14ac:dyDescent="0.35">
      <c r="C525" t="s">
        <v>142</v>
      </c>
      <c r="D525">
        <v>0</v>
      </c>
      <c r="G525" t="s">
        <v>142</v>
      </c>
      <c r="H525">
        <v>0</v>
      </c>
      <c r="K525" t="s">
        <v>142</v>
      </c>
      <c r="L525">
        <v>0</v>
      </c>
      <c r="O525" t="s">
        <v>142</v>
      </c>
      <c r="P525">
        <v>0</v>
      </c>
      <c r="S525" t="s">
        <v>142</v>
      </c>
      <c r="T525">
        <v>0</v>
      </c>
      <c r="W525" t="s">
        <v>142</v>
      </c>
      <c r="X525">
        <v>0</v>
      </c>
      <c r="AA525" t="s">
        <v>142</v>
      </c>
      <c r="AB525">
        <v>21942</v>
      </c>
      <c r="AE525" t="s">
        <v>142</v>
      </c>
      <c r="AF525">
        <v>0</v>
      </c>
      <c r="AI525" t="s">
        <v>142</v>
      </c>
      <c r="AJ525">
        <v>0</v>
      </c>
      <c r="AM525" t="s">
        <v>142</v>
      </c>
      <c r="AN525">
        <v>8087</v>
      </c>
      <c r="AQ525" t="s">
        <v>142</v>
      </c>
      <c r="AR525">
        <v>8639</v>
      </c>
      <c r="AT525" t="s">
        <v>80</v>
      </c>
      <c r="AU525">
        <v>21942</v>
      </c>
    </row>
    <row r="526" spans="3:47" x14ac:dyDescent="0.35">
      <c r="C526" t="s">
        <v>83</v>
      </c>
      <c r="D526">
        <v>0</v>
      </c>
      <c r="G526" t="s">
        <v>83</v>
      </c>
      <c r="H526">
        <v>0</v>
      </c>
      <c r="K526" t="s">
        <v>83</v>
      </c>
      <c r="L526">
        <v>0</v>
      </c>
      <c r="O526" t="s">
        <v>83</v>
      </c>
      <c r="P526">
        <v>0</v>
      </c>
      <c r="S526" t="s">
        <v>83</v>
      </c>
      <c r="T526">
        <v>0</v>
      </c>
      <c r="W526" t="s">
        <v>83</v>
      </c>
      <c r="X526">
        <v>0</v>
      </c>
      <c r="AA526" t="s">
        <v>83</v>
      </c>
      <c r="AB526">
        <v>0</v>
      </c>
      <c r="AE526" t="s">
        <v>83</v>
      </c>
      <c r="AF526">
        <v>0</v>
      </c>
      <c r="AI526" t="s">
        <v>83</v>
      </c>
      <c r="AJ526">
        <v>0</v>
      </c>
      <c r="AM526" t="s">
        <v>83</v>
      </c>
      <c r="AN526">
        <v>718</v>
      </c>
      <c r="AQ526" t="s">
        <v>83</v>
      </c>
      <c r="AR526">
        <v>631</v>
      </c>
      <c r="AT526" t="s">
        <v>83</v>
      </c>
      <c r="AU526">
        <v>0</v>
      </c>
    </row>
    <row r="527" spans="3:47" x14ac:dyDescent="0.35">
      <c r="C527" t="s">
        <v>84</v>
      </c>
      <c r="D527">
        <v>0</v>
      </c>
      <c r="G527" t="s">
        <v>84</v>
      </c>
      <c r="H527">
        <v>0</v>
      </c>
      <c r="K527" t="s">
        <v>84</v>
      </c>
      <c r="L527">
        <v>0</v>
      </c>
      <c r="O527" t="s">
        <v>84</v>
      </c>
      <c r="P527">
        <v>0</v>
      </c>
      <c r="S527" t="s">
        <v>84</v>
      </c>
      <c r="T527">
        <v>0</v>
      </c>
      <c r="W527" t="s">
        <v>84</v>
      </c>
      <c r="X527">
        <v>0</v>
      </c>
      <c r="AA527" t="s">
        <v>84</v>
      </c>
      <c r="AB527">
        <v>0</v>
      </c>
      <c r="AE527" t="s">
        <v>84</v>
      </c>
      <c r="AF527">
        <v>0</v>
      </c>
      <c r="AI527" t="s">
        <v>84</v>
      </c>
      <c r="AJ527">
        <v>0</v>
      </c>
      <c r="AM527" t="s">
        <v>84</v>
      </c>
      <c r="AN527">
        <v>749</v>
      </c>
      <c r="AQ527" t="s">
        <v>84</v>
      </c>
      <c r="AR527">
        <v>642</v>
      </c>
      <c r="AT527" t="s">
        <v>84</v>
      </c>
      <c r="AU527">
        <v>0</v>
      </c>
    </row>
    <row r="528" spans="3:47" x14ac:dyDescent="0.35">
      <c r="C528" t="s">
        <v>126</v>
      </c>
      <c r="D528">
        <v>0</v>
      </c>
      <c r="G528" t="s">
        <v>126</v>
      </c>
      <c r="H528">
        <v>0</v>
      </c>
      <c r="K528" t="s">
        <v>223</v>
      </c>
      <c r="L528">
        <v>0</v>
      </c>
      <c r="O528" t="s">
        <v>126</v>
      </c>
      <c r="P528">
        <v>0</v>
      </c>
      <c r="S528" t="s">
        <v>126</v>
      </c>
      <c r="T528">
        <v>0</v>
      </c>
      <c r="W528" t="s">
        <v>126</v>
      </c>
      <c r="X528">
        <v>0</v>
      </c>
      <c r="AA528" t="s">
        <v>126</v>
      </c>
      <c r="AB528">
        <v>0</v>
      </c>
      <c r="AE528" t="s">
        <v>126</v>
      </c>
      <c r="AF528">
        <v>0</v>
      </c>
      <c r="AI528" t="s">
        <v>126</v>
      </c>
      <c r="AJ528">
        <v>0</v>
      </c>
      <c r="AM528" t="s">
        <v>126</v>
      </c>
      <c r="AN528">
        <v>0</v>
      </c>
      <c r="AQ528" t="s">
        <v>126</v>
      </c>
      <c r="AR528">
        <v>0</v>
      </c>
      <c r="AT528" t="s">
        <v>86</v>
      </c>
      <c r="AU528">
        <v>0</v>
      </c>
    </row>
    <row r="529" spans="1:47" x14ac:dyDescent="0.35">
      <c r="C529" t="s">
        <v>87</v>
      </c>
      <c r="D529">
        <v>0</v>
      </c>
      <c r="G529" t="s">
        <v>87</v>
      </c>
      <c r="H529">
        <v>0</v>
      </c>
      <c r="K529" t="s">
        <v>87</v>
      </c>
      <c r="L529">
        <v>0</v>
      </c>
      <c r="O529" t="s">
        <v>87</v>
      </c>
      <c r="P529">
        <v>0</v>
      </c>
      <c r="S529" t="s">
        <v>87</v>
      </c>
      <c r="T529">
        <v>0</v>
      </c>
      <c r="W529" t="s">
        <v>87</v>
      </c>
      <c r="X529">
        <v>0</v>
      </c>
      <c r="AA529" t="s">
        <v>87</v>
      </c>
      <c r="AB529">
        <v>0</v>
      </c>
      <c r="AE529" t="s">
        <v>87</v>
      </c>
      <c r="AF529">
        <v>0</v>
      </c>
      <c r="AI529" t="s">
        <v>87</v>
      </c>
      <c r="AJ529">
        <v>0</v>
      </c>
      <c r="AM529" t="s">
        <v>87</v>
      </c>
      <c r="AN529">
        <v>0</v>
      </c>
      <c r="AQ529" t="s">
        <v>87</v>
      </c>
      <c r="AR529">
        <v>0</v>
      </c>
      <c r="AT529" t="s">
        <v>87</v>
      </c>
      <c r="AU529">
        <v>0</v>
      </c>
    </row>
    <row r="530" spans="1:47" x14ac:dyDescent="0.35">
      <c r="A530" t="s">
        <v>176</v>
      </c>
      <c r="B530">
        <v>4331740.4999999991</v>
      </c>
      <c r="C530" t="s">
        <v>135</v>
      </c>
      <c r="D530">
        <v>0</v>
      </c>
      <c r="E530" t="s">
        <v>176</v>
      </c>
      <c r="F530">
        <v>4427312.4999999991</v>
      </c>
      <c r="G530" t="s">
        <v>135</v>
      </c>
      <c r="H530">
        <v>0</v>
      </c>
      <c r="I530" t="s">
        <v>176</v>
      </c>
      <c r="J530">
        <v>4519397.9999999981</v>
      </c>
      <c r="K530" t="s">
        <v>135</v>
      </c>
      <c r="L530">
        <v>0</v>
      </c>
      <c r="M530" t="s">
        <v>176</v>
      </c>
      <c r="N530">
        <v>4612328.9999999972</v>
      </c>
      <c r="O530" t="s">
        <v>135</v>
      </c>
      <c r="P530">
        <v>336</v>
      </c>
      <c r="Q530" t="s">
        <v>176</v>
      </c>
      <c r="R530">
        <v>4706097.5000000009</v>
      </c>
      <c r="S530" t="s">
        <v>135</v>
      </c>
      <c r="T530">
        <v>468</v>
      </c>
      <c r="U530" t="s">
        <v>176</v>
      </c>
      <c r="V530">
        <v>4796630.9999999963</v>
      </c>
      <c r="W530" t="s">
        <v>135</v>
      </c>
      <c r="X530">
        <v>496</v>
      </c>
      <c r="Y530" t="s">
        <v>176</v>
      </c>
      <c r="Z530">
        <v>4889391</v>
      </c>
      <c r="AA530" t="s">
        <v>135</v>
      </c>
      <c r="AB530">
        <v>1407</v>
      </c>
      <c r="AC530" t="s">
        <v>176</v>
      </c>
      <c r="AD530">
        <v>4985289.0000000075</v>
      </c>
      <c r="AE530" t="s">
        <v>135</v>
      </c>
      <c r="AF530">
        <v>1508</v>
      </c>
      <c r="AG530" t="s">
        <v>176</v>
      </c>
      <c r="AH530">
        <v>5087584.5000000019</v>
      </c>
      <c r="AI530" t="s">
        <v>135</v>
      </c>
      <c r="AJ530">
        <v>1611</v>
      </c>
      <c r="AK530" t="s">
        <v>176</v>
      </c>
      <c r="AL530">
        <v>5193415.5000000019</v>
      </c>
      <c r="AM530" t="s">
        <v>135</v>
      </c>
      <c r="AN530">
        <v>1861</v>
      </c>
      <c r="AO530" t="s">
        <v>176</v>
      </c>
      <c r="AP530">
        <v>5302681.0000000028</v>
      </c>
      <c r="AQ530" t="s">
        <v>135</v>
      </c>
      <c r="AR530">
        <v>2025</v>
      </c>
      <c r="AS530" t="s">
        <v>176</v>
      </c>
      <c r="AT530" t="s">
        <v>148</v>
      </c>
      <c r="AU530">
        <v>246</v>
      </c>
    </row>
    <row r="531" spans="1:47" x14ac:dyDescent="0.35">
      <c r="C531" t="s">
        <v>139</v>
      </c>
      <c r="D531">
        <v>0</v>
      </c>
      <c r="G531" t="s">
        <v>139</v>
      </c>
      <c r="H531">
        <v>0</v>
      </c>
      <c r="K531" t="s">
        <v>139</v>
      </c>
      <c r="L531">
        <v>0</v>
      </c>
      <c r="O531" t="s">
        <v>139</v>
      </c>
      <c r="P531">
        <v>0</v>
      </c>
      <c r="S531" t="s">
        <v>139</v>
      </c>
      <c r="T531">
        <v>0</v>
      </c>
      <c r="W531" t="s">
        <v>139</v>
      </c>
      <c r="X531">
        <v>0</v>
      </c>
      <c r="AA531" t="s">
        <v>139</v>
      </c>
      <c r="AB531">
        <v>4526</v>
      </c>
      <c r="AE531" t="s">
        <v>139</v>
      </c>
      <c r="AF531">
        <v>3956</v>
      </c>
      <c r="AI531" t="s">
        <v>139</v>
      </c>
      <c r="AJ531">
        <v>4832</v>
      </c>
      <c r="AM531" t="s">
        <v>139</v>
      </c>
      <c r="AN531">
        <v>3522</v>
      </c>
      <c r="AQ531" t="s">
        <v>139</v>
      </c>
      <c r="AR531">
        <v>6880</v>
      </c>
      <c r="AT531" t="s">
        <v>139</v>
      </c>
      <c r="AU531">
        <v>8488</v>
      </c>
    </row>
    <row r="532" spans="1:47" x14ac:dyDescent="0.35">
      <c r="C532" t="s">
        <v>138</v>
      </c>
      <c r="D532">
        <v>0</v>
      </c>
      <c r="G532" t="s">
        <v>138</v>
      </c>
      <c r="H532">
        <v>1612</v>
      </c>
      <c r="K532" t="s">
        <v>138</v>
      </c>
      <c r="L532">
        <v>0</v>
      </c>
      <c r="O532" t="s">
        <v>138</v>
      </c>
      <c r="P532">
        <v>0</v>
      </c>
      <c r="S532" t="s">
        <v>138</v>
      </c>
      <c r="T532">
        <v>0</v>
      </c>
      <c r="W532" t="s">
        <v>138</v>
      </c>
      <c r="X532">
        <v>0</v>
      </c>
      <c r="AA532" t="s">
        <v>138</v>
      </c>
      <c r="AB532">
        <v>1784</v>
      </c>
      <c r="AE532" t="s">
        <v>138</v>
      </c>
      <c r="AF532">
        <v>1534</v>
      </c>
      <c r="AI532" t="s">
        <v>138</v>
      </c>
      <c r="AJ532">
        <v>1744</v>
      </c>
      <c r="AM532" t="s">
        <v>138</v>
      </c>
      <c r="AN532">
        <v>1590</v>
      </c>
      <c r="AQ532" t="s">
        <v>138</v>
      </c>
      <c r="AR532">
        <v>1538</v>
      </c>
      <c r="AT532" t="s">
        <v>138</v>
      </c>
      <c r="AU532">
        <v>927</v>
      </c>
    </row>
    <row r="533" spans="1:47" x14ac:dyDescent="0.35">
      <c r="C533" t="s">
        <v>82</v>
      </c>
      <c r="D533">
        <v>0</v>
      </c>
      <c r="G533" t="s">
        <v>82</v>
      </c>
      <c r="H533">
        <v>0</v>
      </c>
      <c r="K533" t="s">
        <v>82</v>
      </c>
      <c r="L533">
        <v>998</v>
      </c>
      <c r="O533" t="s">
        <v>82</v>
      </c>
      <c r="P533">
        <v>0</v>
      </c>
      <c r="S533" t="s">
        <v>82</v>
      </c>
      <c r="T533">
        <v>221</v>
      </c>
      <c r="W533" t="s">
        <v>82</v>
      </c>
      <c r="X533">
        <v>0</v>
      </c>
      <c r="AA533" t="s">
        <v>82</v>
      </c>
      <c r="AB533">
        <v>0</v>
      </c>
      <c r="AE533" t="s">
        <v>82</v>
      </c>
      <c r="AF533">
        <v>235</v>
      </c>
      <c r="AI533" t="s">
        <v>82</v>
      </c>
      <c r="AJ533">
        <v>0</v>
      </c>
      <c r="AM533" t="s">
        <v>82</v>
      </c>
      <c r="AN533">
        <v>0</v>
      </c>
      <c r="AQ533" t="s">
        <v>82</v>
      </c>
      <c r="AR533">
        <v>404</v>
      </c>
      <c r="AT533" t="s">
        <v>82</v>
      </c>
      <c r="AU533">
        <v>1071</v>
      </c>
    </row>
    <row r="534" spans="1:47" x14ac:dyDescent="0.35">
      <c r="C534" t="s">
        <v>60</v>
      </c>
      <c r="D534">
        <v>0</v>
      </c>
      <c r="G534" t="s">
        <v>60</v>
      </c>
      <c r="H534">
        <v>0</v>
      </c>
      <c r="K534" t="s">
        <v>60</v>
      </c>
      <c r="L534">
        <v>385</v>
      </c>
      <c r="O534" t="s">
        <v>60</v>
      </c>
      <c r="P534">
        <v>0</v>
      </c>
      <c r="S534" t="s">
        <v>60</v>
      </c>
      <c r="T534">
        <v>57</v>
      </c>
      <c r="W534" t="s">
        <v>60</v>
      </c>
      <c r="X534">
        <v>0</v>
      </c>
      <c r="AA534" t="s">
        <v>60</v>
      </c>
      <c r="AB534">
        <v>0</v>
      </c>
      <c r="AE534" t="s">
        <v>60</v>
      </c>
      <c r="AF534">
        <v>0</v>
      </c>
      <c r="AI534" t="s">
        <v>60</v>
      </c>
      <c r="AJ534">
        <v>0</v>
      </c>
      <c r="AM534" t="s">
        <v>60</v>
      </c>
      <c r="AN534">
        <v>0</v>
      </c>
      <c r="AQ534" t="s">
        <v>60</v>
      </c>
      <c r="AR534">
        <v>147</v>
      </c>
      <c r="AT534" t="s">
        <v>60</v>
      </c>
      <c r="AU534">
        <v>24</v>
      </c>
    </row>
    <row r="535" spans="1:47" x14ac:dyDescent="0.35">
      <c r="C535" t="s">
        <v>127</v>
      </c>
      <c r="D535">
        <v>0</v>
      </c>
      <c r="G535" t="s">
        <v>127</v>
      </c>
      <c r="H535">
        <v>0</v>
      </c>
      <c r="K535" t="s">
        <v>127</v>
      </c>
      <c r="L535">
        <v>0</v>
      </c>
      <c r="O535" t="s">
        <v>127</v>
      </c>
      <c r="P535">
        <v>0</v>
      </c>
      <c r="S535" t="s">
        <v>127</v>
      </c>
      <c r="T535">
        <v>0</v>
      </c>
      <c r="W535" t="s">
        <v>127</v>
      </c>
      <c r="X535">
        <v>0</v>
      </c>
      <c r="AA535" t="s">
        <v>127</v>
      </c>
      <c r="AB535">
        <v>3391</v>
      </c>
      <c r="AE535" t="s">
        <v>127</v>
      </c>
      <c r="AF535">
        <v>0</v>
      </c>
      <c r="AI535" t="s">
        <v>127</v>
      </c>
      <c r="AJ535">
        <v>12625</v>
      </c>
      <c r="AM535" t="s">
        <v>127</v>
      </c>
      <c r="AN535">
        <v>0</v>
      </c>
      <c r="AQ535" t="s">
        <v>127</v>
      </c>
      <c r="AR535">
        <v>0</v>
      </c>
      <c r="AT535" t="s">
        <v>58</v>
      </c>
      <c r="AU535">
        <v>3391</v>
      </c>
    </row>
    <row r="536" spans="1:47" x14ac:dyDescent="0.35">
      <c r="C536" t="s">
        <v>61</v>
      </c>
      <c r="D536">
        <v>0</v>
      </c>
      <c r="G536" t="s">
        <v>61</v>
      </c>
      <c r="H536">
        <v>0</v>
      </c>
      <c r="K536" t="s">
        <v>61</v>
      </c>
      <c r="L536">
        <v>0</v>
      </c>
      <c r="O536" t="s">
        <v>61</v>
      </c>
      <c r="P536">
        <v>0</v>
      </c>
      <c r="S536" t="s">
        <v>61</v>
      </c>
      <c r="T536">
        <v>8</v>
      </c>
      <c r="W536" t="s">
        <v>61</v>
      </c>
      <c r="X536">
        <v>0</v>
      </c>
      <c r="AA536" t="s">
        <v>61</v>
      </c>
      <c r="AB536">
        <v>0</v>
      </c>
      <c r="AE536" t="s">
        <v>61</v>
      </c>
      <c r="AF536">
        <v>0</v>
      </c>
      <c r="AI536" t="s">
        <v>61</v>
      </c>
      <c r="AJ536">
        <v>0</v>
      </c>
      <c r="AM536" t="s">
        <v>61</v>
      </c>
      <c r="AN536">
        <v>0</v>
      </c>
      <c r="AQ536" t="s">
        <v>61</v>
      </c>
      <c r="AR536">
        <v>0</v>
      </c>
      <c r="AT536" t="s">
        <v>61</v>
      </c>
      <c r="AU536">
        <v>0</v>
      </c>
    </row>
    <row r="537" spans="1:47" x14ac:dyDescent="0.35">
      <c r="C537" t="s">
        <v>62</v>
      </c>
      <c r="D537">
        <v>0</v>
      </c>
      <c r="G537" t="s">
        <v>62</v>
      </c>
      <c r="H537">
        <v>0</v>
      </c>
      <c r="K537" t="s">
        <v>62</v>
      </c>
      <c r="L537">
        <v>2036</v>
      </c>
      <c r="O537" t="s">
        <v>62</v>
      </c>
      <c r="P537">
        <v>0</v>
      </c>
      <c r="S537" t="s">
        <v>62</v>
      </c>
      <c r="T537">
        <v>344</v>
      </c>
      <c r="W537" t="s">
        <v>62</v>
      </c>
      <c r="X537">
        <v>0</v>
      </c>
      <c r="AA537" t="s">
        <v>62</v>
      </c>
      <c r="AB537">
        <v>0</v>
      </c>
      <c r="AE537" t="s">
        <v>62</v>
      </c>
      <c r="AF537">
        <v>0</v>
      </c>
      <c r="AI537" t="s">
        <v>62</v>
      </c>
      <c r="AJ537">
        <v>0</v>
      </c>
      <c r="AM537" t="s">
        <v>62</v>
      </c>
      <c r="AN537">
        <v>0</v>
      </c>
      <c r="AQ537" t="s">
        <v>62</v>
      </c>
      <c r="AR537">
        <v>0</v>
      </c>
      <c r="AT537" t="s">
        <v>62</v>
      </c>
      <c r="AU537">
        <v>285</v>
      </c>
    </row>
    <row r="538" spans="1:47" x14ac:dyDescent="0.35">
      <c r="C538" t="s">
        <v>203</v>
      </c>
      <c r="D538">
        <v>0</v>
      </c>
      <c r="G538" t="s">
        <v>203</v>
      </c>
      <c r="H538">
        <v>0</v>
      </c>
      <c r="K538" t="s">
        <v>203</v>
      </c>
      <c r="L538">
        <v>0</v>
      </c>
      <c r="O538" t="s">
        <v>203</v>
      </c>
      <c r="P538">
        <v>0</v>
      </c>
      <c r="S538" t="s">
        <v>203</v>
      </c>
      <c r="T538">
        <v>0</v>
      </c>
      <c r="W538" t="s">
        <v>203</v>
      </c>
      <c r="X538">
        <v>0</v>
      </c>
      <c r="AA538" t="s">
        <v>203</v>
      </c>
      <c r="AB538">
        <v>0</v>
      </c>
      <c r="AE538" t="s">
        <v>203</v>
      </c>
      <c r="AF538">
        <v>0</v>
      </c>
      <c r="AI538" t="s">
        <v>203</v>
      </c>
      <c r="AJ538">
        <v>0</v>
      </c>
      <c r="AM538" t="s">
        <v>203</v>
      </c>
      <c r="AN538">
        <v>0</v>
      </c>
      <c r="AQ538" t="s">
        <v>203</v>
      </c>
      <c r="AR538">
        <v>0</v>
      </c>
      <c r="AT538" t="s">
        <v>64</v>
      </c>
      <c r="AU538">
        <v>148</v>
      </c>
    </row>
    <row r="539" spans="1:47" x14ac:dyDescent="0.35">
      <c r="C539" t="s">
        <v>204</v>
      </c>
      <c r="D539">
        <v>0</v>
      </c>
      <c r="G539" t="s">
        <v>204</v>
      </c>
      <c r="H539">
        <v>0</v>
      </c>
      <c r="K539" t="s">
        <v>204</v>
      </c>
      <c r="L539">
        <v>0</v>
      </c>
      <c r="O539" t="s">
        <v>204</v>
      </c>
      <c r="P539">
        <v>0</v>
      </c>
      <c r="S539" t="s">
        <v>204</v>
      </c>
      <c r="T539">
        <v>0</v>
      </c>
      <c r="W539" t="s">
        <v>204</v>
      </c>
      <c r="X539">
        <v>0</v>
      </c>
      <c r="AA539" t="s">
        <v>204</v>
      </c>
      <c r="AB539">
        <v>0</v>
      </c>
      <c r="AE539" t="s">
        <v>204</v>
      </c>
      <c r="AF539">
        <v>0</v>
      </c>
      <c r="AI539" t="s">
        <v>204</v>
      </c>
      <c r="AJ539">
        <v>0</v>
      </c>
      <c r="AM539" t="s">
        <v>204</v>
      </c>
      <c r="AN539">
        <v>0</v>
      </c>
      <c r="AQ539" t="s">
        <v>204</v>
      </c>
      <c r="AR539">
        <v>0</v>
      </c>
      <c r="AT539" t="s">
        <v>65</v>
      </c>
      <c r="AU539">
        <v>1404</v>
      </c>
    </row>
    <row r="540" spans="1:47" x14ac:dyDescent="0.35">
      <c r="C540" t="s">
        <v>205</v>
      </c>
      <c r="D540">
        <v>0</v>
      </c>
      <c r="G540" t="s">
        <v>205</v>
      </c>
      <c r="H540">
        <v>0</v>
      </c>
      <c r="K540" t="s">
        <v>205</v>
      </c>
      <c r="L540">
        <v>0</v>
      </c>
      <c r="O540" t="s">
        <v>205</v>
      </c>
      <c r="P540">
        <v>0</v>
      </c>
      <c r="S540" t="s">
        <v>205</v>
      </c>
      <c r="T540">
        <v>0</v>
      </c>
      <c r="W540" t="s">
        <v>205</v>
      </c>
      <c r="X540">
        <v>0</v>
      </c>
      <c r="AA540" t="s">
        <v>205</v>
      </c>
      <c r="AB540">
        <v>0</v>
      </c>
      <c r="AE540" t="s">
        <v>205</v>
      </c>
      <c r="AF540">
        <v>0</v>
      </c>
      <c r="AI540" t="s">
        <v>205</v>
      </c>
      <c r="AJ540">
        <v>0</v>
      </c>
      <c r="AM540" t="s">
        <v>205</v>
      </c>
      <c r="AN540">
        <v>0</v>
      </c>
      <c r="AQ540" t="s">
        <v>205</v>
      </c>
      <c r="AR540">
        <v>0</v>
      </c>
      <c r="AT540" t="s">
        <v>66</v>
      </c>
      <c r="AU540">
        <v>0</v>
      </c>
    </row>
    <row r="541" spans="1:47" x14ac:dyDescent="0.35">
      <c r="C541" t="s">
        <v>133</v>
      </c>
      <c r="D541">
        <v>0</v>
      </c>
      <c r="G541" t="s">
        <v>133</v>
      </c>
      <c r="H541">
        <v>0</v>
      </c>
      <c r="K541" t="s">
        <v>133</v>
      </c>
      <c r="L541">
        <v>0</v>
      </c>
      <c r="O541" t="s">
        <v>133</v>
      </c>
      <c r="P541">
        <v>0</v>
      </c>
      <c r="S541" t="s">
        <v>133</v>
      </c>
      <c r="T541">
        <v>0</v>
      </c>
      <c r="W541" t="s">
        <v>133</v>
      </c>
      <c r="X541">
        <v>0</v>
      </c>
      <c r="AA541" t="s">
        <v>133</v>
      </c>
      <c r="AB541">
        <v>0</v>
      </c>
      <c r="AE541" t="s">
        <v>133</v>
      </c>
      <c r="AF541">
        <v>0</v>
      </c>
      <c r="AI541" t="s">
        <v>133</v>
      </c>
      <c r="AJ541">
        <v>0</v>
      </c>
      <c r="AM541" t="s">
        <v>133</v>
      </c>
      <c r="AN541">
        <v>0</v>
      </c>
      <c r="AQ541" t="s">
        <v>133</v>
      </c>
      <c r="AR541">
        <v>0</v>
      </c>
      <c r="AT541" t="s">
        <v>79</v>
      </c>
      <c r="AU541">
        <v>115</v>
      </c>
    </row>
    <row r="542" spans="1:47" x14ac:dyDescent="0.35">
      <c r="C542" t="s">
        <v>206</v>
      </c>
      <c r="D542">
        <v>0</v>
      </c>
      <c r="G542" t="s">
        <v>206</v>
      </c>
      <c r="H542">
        <v>0</v>
      </c>
      <c r="K542" t="s">
        <v>206</v>
      </c>
      <c r="L542">
        <v>0</v>
      </c>
      <c r="O542" t="s">
        <v>206</v>
      </c>
      <c r="P542">
        <v>0</v>
      </c>
      <c r="S542" t="s">
        <v>206</v>
      </c>
      <c r="T542">
        <v>0</v>
      </c>
      <c r="W542" t="s">
        <v>206</v>
      </c>
      <c r="X542">
        <v>0</v>
      </c>
      <c r="AA542" t="s">
        <v>206</v>
      </c>
      <c r="AB542">
        <v>0</v>
      </c>
      <c r="AE542" t="s">
        <v>206</v>
      </c>
      <c r="AF542">
        <v>0</v>
      </c>
      <c r="AI542" t="s">
        <v>206</v>
      </c>
      <c r="AJ542">
        <v>0</v>
      </c>
      <c r="AM542" t="s">
        <v>206</v>
      </c>
      <c r="AN542">
        <v>0</v>
      </c>
      <c r="AQ542" t="s">
        <v>206</v>
      </c>
      <c r="AR542">
        <v>0</v>
      </c>
      <c r="AT542" t="s">
        <v>68</v>
      </c>
      <c r="AU542">
        <v>527</v>
      </c>
    </row>
    <row r="543" spans="1:47" x14ac:dyDescent="0.35">
      <c r="C543" t="s">
        <v>136</v>
      </c>
      <c r="D543">
        <v>0</v>
      </c>
      <c r="G543" t="s">
        <v>136</v>
      </c>
      <c r="H543">
        <v>0</v>
      </c>
      <c r="K543" t="s">
        <v>136</v>
      </c>
      <c r="L543">
        <v>0</v>
      </c>
      <c r="O543" t="s">
        <v>136</v>
      </c>
      <c r="P543">
        <v>0</v>
      </c>
      <c r="S543" t="s">
        <v>136</v>
      </c>
      <c r="T543">
        <v>0</v>
      </c>
      <c r="W543" t="s">
        <v>136</v>
      </c>
      <c r="X543">
        <v>0</v>
      </c>
      <c r="AA543" t="s">
        <v>136</v>
      </c>
      <c r="AB543">
        <v>0</v>
      </c>
      <c r="AE543" t="s">
        <v>136</v>
      </c>
      <c r="AF543">
        <v>0</v>
      </c>
      <c r="AI543" t="s">
        <v>136</v>
      </c>
      <c r="AJ543">
        <v>0</v>
      </c>
      <c r="AM543" t="s">
        <v>136</v>
      </c>
      <c r="AN543">
        <v>0</v>
      </c>
      <c r="AQ543" t="s">
        <v>136</v>
      </c>
      <c r="AR543">
        <v>0</v>
      </c>
      <c r="AT543" t="s">
        <v>69</v>
      </c>
      <c r="AU543">
        <v>9</v>
      </c>
    </row>
    <row r="544" spans="1:47" x14ac:dyDescent="0.35">
      <c r="C544" t="s">
        <v>207</v>
      </c>
      <c r="D544">
        <v>0</v>
      </c>
      <c r="G544" t="s">
        <v>207</v>
      </c>
      <c r="H544">
        <v>0</v>
      </c>
      <c r="K544" t="s">
        <v>207</v>
      </c>
      <c r="L544">
        <v>0</v>
      </c>
      <c r="O544" t="s">
        <v>207</v>
      </c>
      <c r="P544">
        <v>0</v>
      </c>
      <c r="S544" t="s">
        <v>207</v>
      </c>
      <c r="T544">
        <v>0</v>
      </c>
      <c r="W544" t="s">
        <v>207</v>
      </c>
      <c r="X544">
        <v>0</v>
      </c>
      <c r="AA544" t="s">
        <v>207</v>
      </c>
      <c r="AB544">
        <v>0</v>
      </c>
      <c r="AE544" t="s">
        <v>207</v>
      </c>
      <c r="AF544">
        <v>0</v>
      </c>
      <c r="AI544" t="s">
        <v>207</v>
      </c>
      <c r="AJ544">
        <v>0</v>
      </c>
      <c r="AM544" t="s">
        <v>207</v>
      </c>
      <c r="AN544">
        <v>0</v>
      </c>
      <c r="AQ544" t="s">
        <v>207</v>
      </c>
      <c r="AR544">
        <v>0</v>
      </c>
      <c r="AT544" t="s">
        <v>70</v>
      </c>
      <c r="AU544">
        <v>65</v>
      </c>
    </row>
    <row r="545" spans="1:47" x14ac:dyDescent="0.35">
      <c r="C545" t="s">
        <v>141</v>
      </c>
      <c r="D545">
        <v>0</v>
      </c>
      <c r="G545" t="s">
        <v>141</v>
      </c>
      <c r="H545">
        <v>0</v>
      </c>
      <c r="K545" t="s">
        <v>141</v>
      </c>
      <c r="L545">
        <v>0</v>
      </c>
      <c r="O545" t="s">
        <v>141</v>
      </c>
      <c r="P545">
        <v>0</v>
      </c>
      <c r="S545" t="s">
        <v>141</v>
      </c>
      <c r="T545">
        <v>0</v>
      </c>
      <c r="W545" t="s">
        <v>141</v>
      </c>
      <c r="X545">
        <v>0</v>
      </c>
      <c r="AA545" t="s">
        <v>141</v>
      </c>
      <c r="AB545">
        <v>0</v>
      </c>
      <c r="AE545" t="s">
        <v>141</v>
      </c>
      <c r="AF545">
        <v>0</v>
      </c>
      <c r="AI545" t="s">
        <v>141</v>
      </c>
      <c r="AJ545">
        <v>0</v>
      </c>
      <c r="AM545" t="s">
        <v>141</v>
      </c>
      <c r="AN545">
        <v>0</v>
      </c>
      <c r="AQ545" t="s">
        <v>141</v>
      </c>
      <c r="AR545">
        <v>0</v>
      </c>
      <c r="AT545" t="s">
        <v>76</v>
      </c>
      <c r="AU545">
        <v>5</v>
      </c>
    </row>
    <row r="546" spans="1:47" x14ac:dyDescent="0.35">
      <c r="C546" t="s">
        <v>208</v>
      </c>
      <c r="D546">
        <v>0</v>
      </c>
      <c r="G546" t="s">
        <v>208</v>
      </c>
      <c r="H546">
        <v>0</v>
      </c>
      <c r="K546" t="s">
        <v>208</v>
      </c>
      <c r="L546">
        <v>0</v>
      </c>
      <c r="O546" t="s">
        <v>208</v>
      </c>
      <c r="P546">
        <v>0</v>
      </c>
      <c r="S546" t="s">
        <v>208</v>
      </c>
      <c r="T546">
        <v>0</v>
      </c>
      <c r="W546" t="s">
        <v>208</v>
      </c>
      <c r="X546">
        <v>0</v>
      </c>
      <c r="AA546" t="s">
        <v>208</v>
      </c>
      <c r="AB546">
        <v>0</v>
      </c>
      <c r="AE546" t="s">
        <v>208</v>
      </c>
      <c r="AF546">
        <v>0</v>
      </c>
      <c r="AI546" t="s">
        <v>208</v>
      </c>
      <c r="AJ546">
        <v>0</v>
      </c>
      <c r="AM546" t="s">
        <v>208</v>
      </c>
      <c r="AN546">
        <v>0</v>
      </c>
      <c r="AQ546" t="s">
        <v>208</v>
      </c>
      <c r="AR546">
        <v>0</v>
      </c>
      <c r="AT546" t="s">
        <v>77</v>
      </c>
      <c r="AU546">
        <v>4311</v>
      </c>
    </row>
    <row r="547" spans="1:47" x14ac:dyDescent="0.35">
      <c r="C547" t="s">
        <v>209</v>
      </c>
      <c r="D547">
        <v>0</v>
      </c>
      <c r="G547" t="s">
        <v>209</v>
      </c>
      <c r="H547">
        <v>0</v>
      </c>
      <c r="K547" t="s">
        <v>209</v>
      </c>
      <c r="L547">
        <v>0</v>
      </c>
      <c r="O547" t="s">
        <v>209</v>
      </c>
      <c r="P547">
        <v>0</v>
      </c>
      <c r="S547" t="s">
        <v>209</v>
      </c>
      <c r="T547">
        <v>0</v>
      </c>
      <c r="W547" t="s">
        <v>209</v>
      </c>
      <c r="X547">
        <v>0</v>
      </c>
      <c r="AA547" t="s">
        <v>209</v>
      </c>
      <c r="AB547">
        <v>0</v>
      </c>
      <c r="AE547" t="s">
        <v>209</v>
      </c>
      <c r="AF547">
        <v>0</v>
      </c>
      <c r="AI547" t="s">
        <v>209</v>
      </c>
      <c r="AJ547">
        <v>0</v>
      </c>
      <c r="AM547" t="s">
        <v>209</v>
      </c>
      <c r="AN547">
        <v>0</v>
      </c>
      <c r="AQ547" t="s">
        <v>209</v>
      </c>
      <c r="AR547">
        <v>0</v>
      </c>
      <c r="AT547" t="s">
        <v>78</v>
      </c>
      <c r="AU547">
        <v>3601</v>
      </c>
    </row>
    <row r="548" spans="1:47" x14ac:dyDescent="0.35">
      <c r="C548" t="s">
        <v>134</v>
      </c>
      <c r="D548">
        <v>0</v>
      </c>
      <c r="G548" t="s">
        <v>134</v>
      </c>
      <c r="H548">
        <v>0</v>
      </c>
      <c r="K548" t="s">
        <v>134</v>
      </c>
      <c r="L548">
        <v>0</v>
      </c>
      <c r="O548" t="s">
        <v>134</v>
      </c>
      <c r="P548">
        <v>0</v>
      </c>
      <c r="S548" t="s">
        <v>134</v>
      </c>
      <c r="T548">
        <v>0</v>
      </c>
      <c r="W548" t="s">
        <v>134</v>
      </c>
      <c r="X548">
        <v>0</v>
      </c>
      <c r="AA548" t="s">
        <v>134</v>
      </c>
      <c r="AB548">
        <v>0</v>
      </c>
      <c r="AE548" t="s">
        <v>134</v>
      </c>
      <c r="AF548">
        <v>0</v>
      </c>
      <c r="AI548" t="s">
        <v>134</v>
      </c>
      <c r="AJ548">
        <v>0</v>
      </c>
      <c r="AM548" t="s">
        <v>134</v>
      </c>
      <c r="AN548">
        <v>0</v>
      </c>
      <c r="AQ548" t="s">
        <v>134</v>
      </c>
      <c r="AR548">
        <v>0</v>
      </c>
      <c r="AT548" t="s">
        <v>67</v>
      </c>
      <c r="AU548">
        <v>0</v>
      </c>
    </row>
    <row r="549" spans="1:47" x14ac:dyDescent="0.35">
      <c r="C549" t="s">
        <v>142</v>
      </c>
      <c r="D549">
        <v>0</v>
      </c>
      <c r="G549" t="s">
        <v>142</v>
      </c>
      <c r="H549">
        <v>0</v>
      </c>
      <c r="K549" t="s">
        <v>142</v>
      </c>
      <c r="L549">
        <v>0</v>
      </c>
      <c r="O549" t="s">
        <v>142</v>
      </c>
      <c r="P549">
        <v>0</v>
      </c>
      <c r="S549" t="s">
        <v>142</v>
      </c>
      <c r="T549">
        <v>0</v>
      </c>
      <c r="W549" t="s">
        <v>142</v>
      </c>
      <c r="X549">
        <v>0</v>
      </c>
      <c r="AA549" t="s">
        <v>142</v>
      </c>
      <c r="AB549">
        <v>0</v>
      </c>
      <c r="AE549" t="s">
        <v>142</v>
      </c>
      <c r="AF549">
        <v>0</v>
      </c>
      <c r="AI549" t="s">
        <v>142</v>
      </c>
      <c r="AJ549">
        <v>0</v>
      </c>
      <c r="AM549" t="s">
        <v>142</v>
      </c>
      <c r="AN549">
        <v>0</v>
      </c>
      <c r="AQ549" t="s">
        <v>142</v>
      </c>
      <c r="AR549">
        <v>0</v>
      </c>
      <c r="AT549" t="s">
        <v>80</v>
      </c>
      <c r="AU549">
        <v>0</v>
      </c>
    </row>
    <row r="550" spans="1:47" x14ac:dyDescent="0.35">
      <c r="C550" t="s">
        <v>83</v>
      </c>
      <c r="D550">
        <v>0</v>
      </c>
      <c r="G550" t="s">
        <v>83</v>
      </c>
      <c r="H550">
        <v>0</v>
      </c>
      <c r="K550" t="s">
        <v>83</v>
      </c>
      <c r="L550">
        <v>0</v>
      </c>
      <c r="O550" t="s">
        <v>83</v>
      </c>
      <c r="P550">
        <v>0</v>
      </c>
      <c r="S550" t="s">
        <v>83</v>
      </c>
      <c r="T550">
        <v>0</v>
      </c>
      <c r="W550" t="s">
        <v>83</v>
      </c>
      <c r="X550">
        <v>0</v>
      </c>
      <c r="AA550" t="s">
        <v>83</v>
      </c>
      <c r="AB550">
        <v>0</v>
      </c>
      <c r="AE550" t="s">
        <v>83</v>
      </c>
      <c r="AF550">
        <v>0</v>
      </c>
      <c r="AI550" t="s">
        <v>83</v>
      </c>
      <c r="AJ550">
        <v>0</v>
      </c>
      <c r="AM550" t="s">
        <v>83</v>
      </c>
      <c r="AN550">
        <v>0</v>
      </c>
      <c r="AQ550" t="s">
        <v>83</v>
      </c>
      <c r="AR550">
        <v>0</v>
      </c>
      <c r="AT550" t="s">
        <v>83</v>
      </c>
      <c r="AU550">
        <v>3</v>
      </c>
    </row>
    <row r="551" spans="1:47" x14ac:dyDescent="0.35">
      <c r="C551" t="s">
        <v>84</v>
      </c>
      <c r="D551">
        <v>0</v>
      </c>
      <c r="G551" t="s">
        <v>84</v>
      </c>
      <c r="H551">
        <v>0</v>
      </c>
      <c r="K551" t="s">
        <v>84</v>
      </c>
      <c r="L551">
        <v>0</v>
      </c>
      <c r="O551" t="s">
        <v>84</v>
      </c>
      <c r="P551">
        <v>0</v>
      </c>
      <c r="S551" t="s">
        <v>84</v>
      </c>
      <c r="T551">
        <v>0</v>
      </c>
      <c r="W551" t="s">
        <v>84</v>
      </c>
      <c r="X551">
        <v>0</v>
      </c>
      <c r="AA551" t="s">
        <v>84</v>
      </c>
      <c r="AB551">
        <v>0</v>
      </c>
      <c r="AE551" t="s">
        <v>84</v>
      </c>
      <c r="AF551">
        <v>0</v>
      </c>
      <c r="AI551" t="s">
        <v>84</v>
      </c>
      <c r="AJ551">
        <v>0</v>
      </c>
      <c r="AM551" t="s">
        <v>84</v>
      </c>
      <c r="AN551">
        <v>0</v>
      </c>
      <c r="AQ551" t="s">
        <v>84</v>
      </c>
      <c r="AR551">
        <v>0</v>
      </c>
      <c r="AT551" t="s">
        <v>84</v>
      </c>
      <c r="AU551">
        <v>0</v>
      </c>
    </row>
    <row r="552" spans="1:47" x14ac:dyDescent="0.35">
      <c r="C552" t="s">
        <v>126</v>
      </c>
      <c r="D552">
        <v>0</v>
      </c>
      <c r="G552" t="s">
        <v>126</v>
      </c>
      <c r="H552">
        <v>0</v>
      </c>
      <c r="K552" t="s">
        <v>223</v>
      </c>
      <c r="L552">
        <v>0</v>
      </c>
      <c r="O552" t="s">
        <v>126</v>
      </c>
      <c r="P552">
        <v>0</v>
      </c>
      <c r="S552" t="s">
        <v>126</v>
      </c>
      <c r="T552">
        <v>0</v>
      </c>
      <c r="W552" t="s">
        <v>126</v>
      </c>
      <c r="X552">
        <v>0</v>
      </c>
      <c r="AA552" t="s">
        <v>126</v>
      </c>
      <c r="AB552">
        <v>0</v>
      </c>
      <c r="AE552" t="s">
        <v>126</v>
      </c>
      <c r="AF552">
        <v>0</v>
      </c>
      <c r="AI552" t="s">
        <v>126</v>
      </c>
      <c r="AJ552">
        <v>0</v>
      </c>
      <c r="AM552" t="s">
        <v>126</v>
      </c>
      <c r="AN552">
        <v>0</v>
      </c>
      <c r="AQ552" t="s">
        <v>126</v>
      </c>
      <c r="AR552">
        <v>0</v>
      </c>
      <c r="AT552" t="s">
        <v>86</v>
      </c>
      <c r="AU552">
        <v>0</v>
      </c>
    </row>
    <row r="553" spans="1:47" x14ac:dyDescent="0.35">
      <c r="C553" t="s">
        <v>87</v>
      </c>
      <c r="D553">
        <v>0</v>
      </c>
      <c r="G553" t="s">
        <v>87</v>
      </c>
      <c r="H553">
        <v>0</v>
      </c>
      <c r="K553" t="s">
        <v>87</v>
      </c>
      <c r="L553">
        <v>0</v>
      </c>
      <c r="O553" t="s">
        <v>87</v>
      </c>
      <c r="P553">
        <v>0</v>
      </c>
      <c r="S553" t="s">
        <v>87</v>
      </c>
      <c r="T553">
        <v>0</v>
      </c>
      <c r="W553" t="s">
        <v>87</v>
      </c>
      <c r="X553">
        <v>0</v>
      </c>
      <c r="AA553" t="s">
        <v>87</v>
      </c>
      <c r="AB553">
        <v>0</v>
      </c>
      <c r="AE553" t="s">
        <v>87</v>
      </c>
      <c r="AF553">
        <v>0</v>
      </c>
      <c r="AI553" t="s">
        <v>87</v>
      </c>
      <c r="AJ553">
        <v>0</v>
      </c>
      <c r="AM553" t="s">
        <v>87</v>
      </c>
      <c r="AN553">
        <v>0</v>
      </c>
      <c r="AQ553" t="s">
        <v>87</v>
      </c>
      <c r="AR553">
        <v>0</v>
      </c>
      <c r="AT553" t="s">
        <v>87</v>
      </c>
      <c r="AU553">
        <v>0</v>
      </c>
    </row>
    <row r="554" spans="1:47" x14ac:dyDescent="0.35">
      <c r="A554" t="s">
        <v>160</v>
      </c>
      <c r="B554">
        <v>2054717.9999999998</v>
      </c>
      <c r="C554" t="s">
        <v>135</v>
      </c>
      <c r="D554">
        <v>0</v>
      </c>
      <c r="E554" t="s">
        <v>160</v>
      </c>
      <c r="F554">
        <v>2073938.4999999998</v>
      </c>
      <c r="G554" t="s">
        <v>135</v>
      </c>
      <c r="H554">
        <v>0</v>
      </c>
      <c r="I554" t="s">
        <v>160</v>
      </c>
      <c r="J554">
        <v>2095242.4999999993</v>
      </c>
      <c r="K554" t="s">
        <v>135</v>
      </c>
      <c r="L554">
        <v>0</v>
      </c>
      <c r="M554" t="s">
        <v>160</v>
      </c>
      <c r="N554">
        <v>2118520.5000000019</v>
      </c>
      <c r="O554" t="s">
        <v>135</v>
      </c>
      <c r="P554">
        <v>0</v>
      </c>
      <c r="Q554" t="s">
        <v>160</v>
      </c>
      <c r="R554">
        <v>2143872.0000000023</v>
      </c>
      <c r="S554" t="s">
        <v>135</v>
      </c>
      <c r="T554">
        <v>0</v>
      </c>
      <c r="U554" t="s">
        <v>160</v>
      </c>
      <c r="V554">
        <v>2170616.9999999995</v>
      </c>
      <c r="W554" t="s">
        <v>135</v>
      </c>
      <c r="X554">
        <v>0</v>
      </c>
      <c r="Y554" t="s">
        <v>160</v>
      </c>
      <c r="Z554">
        <v>2198017</v>
      </c>
      <c r="AA554" t="s">
        <v>135</v>
      </c>
      <c r="AB554">
        <v>1996</v>
      </c>
      <c r="AC554" t="s">
        <v>160</v>
      </c>
      <c r="AD554">
        <v>2225701.4999999995</v>
      </c>
      <c r="AE554" t="s">
        <v>135</v>
      </c>
      <c r="AF554">
        <v>0</v>
      </c>
      <c r="AG554" t="s">
        <v>160</v>
      </c>
      <c r="AH554">
        <v>2254100.0000000005</v>
      </c>
      <c r="AI554" t="s">
        <v>135</v>
      </c>
      <c r="AJ554">
        <v>0</v>
      </c>
      <c r="AK554" t="s">
        <v>160</v>
      </c>
      <c r="AL554">
        <v>2281454.5000000014</v>
      </c>
      <c r="AM554" t="s">
        <v>135</v>
      </c>
      <c r="AN554">
        <v>0</v>
      </c>
      <c r="AO554" t="s">
        <v>160</v>
      </c>
      <c r="AP554">
        <v>2305825.5000000019</v>
      </c>
      <c r="AQ554" t="s">
        <v>135</v>
      </c>
      <c r="AR554">
        <v>748</v>
      </c>
      <c r="AS554" t="s">
        <v>160</v>
      </c>
      <c r="AT554" t="s">
        <v>148</v>
      </c>
      <c r="AU554">
        <v>998</v>
      </c>
    </row>
    <row r="555" spans="1:47" x14ac:dyDescent="0.35">
      <c r="C555" t="s">
        <v>139</v>
      </c>
      <c r="D555">
        <v>0</v>
      </c>
      <c r="G555" t="s">
        <v>139</v>
      </c>
      <c r="H555">
        <v>0</v>
      </c>
      <c r="K555" t="s">
        <v>139</v>
      </c>
      <c r="L555">
        <v>0</v>
      </c>
      <c r="O555" t="s">
        <v>139</v>
      </c>
      <c r="P555">
        <v>0</v>
      </c>
      <c r="S555" t="s">
        <v>139</v>
      </c>
      <c r="T555">
        <v>0</v>
      </c>
      <c r="W555" t="s">
        <v>139</v>
      </c>
      <c r="X555">
        <v>0</v>
      </c>
      <c r="AA555" t="s">
        <v>139</v>
      </c>
      <c r="AB555">
        <v>13732</v>
      </c>
      <c r="AE555" t="s">
        <v>139</v>
      </c>
      <c r="AF555">
        <v>0</v>
      </c>
      <c r="AI555" t="s">
        <v>139</v>
      </c>
      <c r="AJ555">
        <v>0</v>
      </c>
      <c r="AM555" t="s">
        <v>139</v>
      </c>
      <c r="AN555">
        <v>0</v>
      </c>
      <c r="AQ555" t="s">
        <v>139</v>
      </c>
      <c r="AR555">
        <v>0</v>
      </c>
      <c r="AT555" t="s">
        <v>139</v>
      </c>
      <c r="AU555">
        <v>967</v>
      </c>
    </row>
    <row r="556" spans="1:47" x14ac:dyDescent="0.35">
      <c r="C556" t="s">
        <v>138</v>
      </c>
      <c r="D556">
        <v>0</v>
      </c>
      <c r="G556" t="s">
        <v>138</v>
      </c>
      <c r="H556">
        <v>0</v>
      </c>
      <c r="K556" t="s">
        <v>138</v>
      </c>
      <c r="L556">
        <v>0</v>
      </c>
      <c r="O556" t="s">
        <v>138</v>
      </c>
      <c r="P556">
        <v>0</v>
      </c>
      <c r="S556" t="s">
        <v>138</v>
      </c>
      <c r="T556">
        <v>0</v>
      </c>
      <c r="W556" t="s">
        <v>138</v>
      </c>
      <c r="X556">
        <v>0</v>
      </c>
      <c r="AA556" t="s">
        <v>138</v>
      </c>
      <c r="AB556">
        <v>0</v>
      </c>
      <c r="AE556" t="s">
        <v>138</v>
      </c>
      <c r="AF556">
        <v>0</v>
      </c>
      <c r="AI556" t="s">
        <v>138</v>
      </c>
      <c r="AJ556">
        <v>0</v>
      </c>
      <c r="AM556" t="s">
        <v>138</v>
      </c>
      <c r="AN556">
        <v>0</v>
      </c>
      <c r="AQ556" t="s">
        <v>138</v>
      </c>
      <c r="AR556">
        <v>0</v>
      </c>
      <c r="AT556" t="s">
        <v>138</v>
      </c>
      <c r="AU556">
        <v>2779</v>
      </c>
    </row>
    <row r="557" spans="1:47" x14ac:dyDescent="0.35">
      <c r="C557" t="s">
        <v>82</v>
      </c>
      <c r="D557">
        <v>0</v>
      </c>
      <c r="G557" t="s">
        <v>82</v>
      </c>
      <c r="H557">
        <v>318</v>
      </c>
      <c r="K557" t="s">
        <v>82</v>
      </c>
      <c r="L557">
        <v>76</v>
      </c>
      <c r="O557" t="s">
        <v>82</v>
      </c>
      <c r="P557">
        <v>128</v>
      </c>
      <c r="S557" t="s">
        <v>82</v>
      </c>
      <c r="T557">
        <v>0</v>
      </c>
      <c r="W557" t="s">
        <v>82</v>
      </c>
      <c r="X557">
        <v>0</v>
      </c>
      <c r="AA557" t="s">
        <v>82</v>
      </c>
      <c r="AB557">
        <v>0</v>
      </c>
      <c r="AE557" t="s">
        <v>82</v>
      </c>
      <c r="AF557">
        <v>0</v>
      </c>
      <c r="AI557" t="s">
        <v>82</v>
      </c>
      <c r="AJ557">
        <v>580</v>
      </c>
      <c r="AM557" t="s">
        <v>82</v>
      </c>
      <c r="AN557">
        <v>0</v>
      </c>
      <c r="AQ557" t="s">
        <v>82</v>
      </c>
      <c r="AR557">
        <v>0</v>
      </c>
      <c r="AT557" t="s">
        <v>82</v>
      </c>
      <c r="AU557">
        <v>398</v>
      </c>
    </row>
    <row r="558" spans="1:47" x14ac:dyDescent="0.35">
      <c r="C558" t="s">
        <v>60</v>
      </c>
      <c r="D558">
        <v>0</v>
      </c>
      <c r="G558" t="s">
        <v>60</v>
      </c>
      <c r="H558">
        <v>66</v>
      </c>
      <c r="K558" t="s">
        <v>60</v>
      </c>
      <c r="L558">
        <v>117</v>
      </c>
      <c r="O558" t="s">
        <v>60</v>
      </c>
      <c r="P558">
        <v>50</v>
      </c>
      <c r="S558" t="s">
        <v>60</v>
      </c>
      <c r="T558">
        <v>0</v>
      </c>
      <c r="W558" t="s">
        <v>60</v>
      </c>
      <c r="X558">
        <v>0</v>
      </c>
      <c r="AA558" t="s">
        <v>60</v>
      </c>
      <c r="AB558">
        <v>0</v>
      </c>
      <c r="AE558" t="s">
        <v>60</v>
      </c>
      <c r="AF558">
        <v>0</v>
      </c>
      <c r="AI558" t="s">
        <v>60</v>
      </c>
      <c r="AJ558">
        <v>117</v>
      </c>
      <c r="AM558" t="s">
        <v>60</v>
      </c>
      <c r="AN558">
        <v>0</v>
      </c>
      <c r="AQ558" t="s">
        <v>60</v>
      </c>
      <c r="AR558">
        <v>0</v>
      </c>
      <c r="AT558" t="s">
        <v>60</v>
      </c>
      <c r="AU558">
        <v>159</v>
      </c>
    </row>
    <row r="559" spans="1:47" x14ac:dyDescent="0.35">
      <c r="C559" t="s">
        <v>127</v>
      </c>
      <c r="D559">
        <v>0</v>
      </c>
      <c r="G559" t="s">
        <v>127</v>
      </c>
      <c r="H559">
        <v>0</v>
      </c>
      <c r="K559" t="s">
        <v>127</v>
      </c>
      <c r="L559">
        <v>0</v>
      </c>
      <c r="O559" t="s">
        <v>127</v>
      </c>
      <c r="P559">
        <v>0</v>
      </c>
      <c r="S559" t="s">
        <v>127</v>
      </c>
      <c r="T559">
        <v>0</v>
      </c>
      <c r="W559" t="s">
        <v>127</v>
      </c>
      <c r="X559">
        <v>0</v>
      </c>
      <c r="AA559" t="s">
        <v>127</v>
      </c>
      <c r="AB559">
        <v>14508</v>
      </c>
      <c r="AE559" t="s">
        <v>127</v>
      </c>
      <c r="AF559">
        <v>0</v>
      </c>
      <c r="AI559" t="s">
        <v>127</v>
      </c>
      <c r="AJ559">
        <v>0</v>
      </c>
      <c r="AM559" t="s">
        <v>127</v>
      </c>
      <c r="AN559">
        <v>0</v>
      </c>
      <c r="AQ559" t="s">
        <v>127</v>
      </c>
      <c r="AR559">
        <v>9196</v>
      </c>
      <c r="AT559" t="s">
        <v>58</v>
      </c>
      <c r="AU559">
        <v>14508</v>
      </c>
    </row>
    <row r="560" spans="1:47" x14ac:dyDescent="0.35">
      <c r="C560" t="s">
        <v>61</v>
      </c>
      <c r="D560">
        <v>0</v>
      </c>
      <c r="G560" t="s">
        <v>61</v>
      </c>
      <c r="H560">
        <v>11</v>
      </c>
      <c r="K560" t="s">
        <v>61</v>
      </c>
      <c r="L560">
        <v>0</v>
      </c>
      <c r="O560" t="s">
        <v>61</v>
      </c>
      <c r="P560">
        <v>16</v>
      </c>
      <c r="S560" t="s">
        <v>61</v>
      </c>
      <c r="T560">
        <v>0</v>
      </c>
      <c r="W560" t="s">
        <v>61</v>
      </c>
      <c r="X560">
        <v>0</v>
      </c>
      <c r="AA560" t="s">
        <v>61</v>
      </c>
      <c r="AB560">
        <v>0</v>
      </c>
      <c r="AE560" t="s">
        <v>61</v>
      </c>
      <c r="AF560">
        <v>0</v>
      </c>
      <c r="AI560" t="s">
        <v>61</v>
      </c>
      <c r="AJ560">
        <v>43</v>
      </c>
      <c r="AM560" t="s">
        <v>61</v>
      </c>
      <c r="AN560">
        <v>0</v>
      </c>
      <c r="AQ560" t="s">
        <v>61</v>
      </c>
      <c r="AR560">
        <v>0</v>
      </c>
      <c r="AT560" t="s">
        <v>61</v>
      </c>
      <c r="AU560">
        <v>29</v>
      </c>
    </row>
    <row r="561" spans="3:47" x14ac:dyDescent="0.35">
      <c r="C561" t="s">
        <v>62</v>
      </c>
      <c r="D561">
        <v>0</v>
      </c>
      <c r="G561" t="s">
        <v>62</v>
      </c>
      <c r="H561">
        <v>205</v>
      </c>
      <c r="K561" t="s">
        <v>62</v>
      </c>
      <c r="L561">
        <v>0</v>
      </c>
      <c r="O561" t="s">
        <v>62</v>
      </c>
      <c r="P561">
        <v>142</v>
      </c>
      <c r="S561" t="s">
        <v>62</v>
      </c>
      <c r="T561">
        <v>0</v>
      </c>
      <c r="W561" t="s">
        <v>62</v>
      </c>
      <c r="X561">
        <v>0</v>
      </c>
      <c r="AA561" t="s">
        <v>62</v>
      </c>
      <c r="AB561">
        <v>0</v>
      </c>
      <c r="AE561" t="s">
        <v>62</v>
      </c>
      <c r="AF561">
        <v>0</v>
      </c>
      <c r="AI561" t="s">
        <v>62</v>
      </c>
      <c r="AJ561">
        <v>0</v>
      </c>
      <c r="AM561" t="s">
        <v>62</v>
      </c>
      <c r="AN561">
        <v>0</v>
      </c>
      <c r="AQ561" t="s">
        <v>62</v>
      </c>
      <c r="AR561">
        <v>0</v>
      </c>
      <c r="AT561" t="s">
        <v>62</v>
      </c>
      <c r="AU561">
        <v>144</v>
      </c>
    </row>
    <row r="562" spans="3:47" x14ac:dyDescent="0.35">
      <c r="C562" t="s">
        <v>203</v>
      </c>
      <c r="D562">
        <v>0</v>
      </c>
      <c r="G562" t="s">
        <v>203</v>
      </c>
      <c r="H562">
        <v>0</v>
      </c>
      <c r="K562" t="s">
        <v>203</v>
      </c>
      <c r="L562">
        <v>0</v>
      </c>
      <c r="O562" t="s">
        <v>203</v>
      </c>
      <c r="P562">
        <v>0</v>
      </c>
      <c r="S562" t="s">
        <v>203</v>
      </c>
      <c r="T562">
        <v>0</v>
      </c>
      <c r="W562" t="s">
        <v>203</v>
      </c>
      <c r="X562">
        <v>0</v>
      </c>
      <c r="AA562" t="s">
        <v>203</v>
      </c>
      <c r="AB562">
        <v>0</v>
      </c>
      <c r="AE562" t="s">
        <v>203</v>
      </c>
      <c r="AF562">
        <v>0</v>
      </c>
      <c r="AI562" t="s">
        <v>203</v>
      </c>
      <c r="AJ562">
        <v>0</v>
      </c>
      <c r="AM562" t="s">
        <v>203</v>
      </c>
      <c r="AN562">
        <v>0</v>
      </c>
      <c r="AQ562" t="s">
        <v>203</v>
      </c>
      <c r="AR562">
        <v>0</v>
      </c>
      <c r="AT562" t="s">
        <v>64</v>
      </c>
      <c r="AU562">
        <v>849</v>
      </c>
    </row>
    <row r="563" spans="3:47" x14ac:dyDescent="0.35">
      <c r="C563" t="s">
        <v>204</v>
      </c>
      <c r="D563">
        <v>0</v>
      </c>
      <c r="G563" t="s">
        <v>204</v>
      </c>
      <c r="H563">
        <v>0</v>
      </c>
      <c r="K563" t="s">
        <v>204</v>
      </c>
      <c r="L563">
        <v>0</v>
      </c>
      <c r="O563" t="s">
        <v>204</v>
      </c>
      <c r="P563">
        <v>0</v>
      </c>
      <c r="S563" t="s">
        <v>204</v>
      </c>
      <c r="T563">
        <v>0</v>
      </c>
      <c r="W563" t="s">
        <v>204</v>
      </c>
      <c r="X563">
        <v>0</v>
      </c>
      <c r="AA563" t="s">
        <v>204</v>
      </c>
      <c r="AB563">
        <v>0</v>
      </c>
      <c r="AE563" t="s">
        <v>204</v>
      </c>
      <c r="AF563">
        <v>0</v>
      </c>
      <c r="AI563" t="s">
        <v>204</v>
      </c>
      <c r="AJ563">
        <v>0</v>
      </c>
      <c r="AM563" t="s">
        <v>204</v>
      </c>
      <c r="AN563">
        <v>0</v>
      </c>
      <c r="AQ563" t="s">
        <v>204</v>
      </c>
      <c r="AR563">
        <v>33</v>
      </c>
      <c r="AT563" t="s">
        <v>65</v>
      </c>
      <c r="AU563">
        <v>110</v>
      </c>
    </row>
    <row r="564" spans="3:47" x14ac:dyDescent="0.35">
      <c r="C564" t="s">
        <v>205</v>
      </c>
      <c r="D564">
        <v>0</v>
      </c>
      <c r="G564" t="s">
        <v>205</v>
      </c>
      <c r="H564">
        <v>0</v>
      </c>
      <c r="K564" t="s">
        <v>205</v>
      </c>
      <c r="L564">
        <v>0</v>
      </c>
      <c r="O564" t="s">
        <v>205</v>
      </c>
      <c r="P564">
        <v>0</v>
      </c>
      <c r="S564" t="s">
        <v>205</v>
      </c>
      <c r="T564">
        <v>0</v>
      </c>
      <c r="W564" t="s">
        <v>205</v>
      </c>
      <c r="X564">
        <v>0</v>
      </c>
      <c r="AA564" t="s">
        <v>205</v>
      </c>
      <c r="AB564">
        <v>0</v>
      </c>
      <c r="AE564" t="s">
        <v>205</v>
      </c>
      <c r="AF564">
        <v>6</v>
      </c>
      <c r="AI564" t="s">
        <v>205</v>
      </c>
      <c r="AJ564">
        <v>0</v>
      </c>
      <c r="AM564" t="s">
        <v>205</v>
      </c>
      <c r="AN564">
        <v>0</v>
      </c>
      <c r="AQ564" t="s">
        <v>205</v>
      </c>
      <c r="AR564">
        <v>5</v>
      </c>
      <c r="AT564" t="s">
        <v>66</v>
      </c>
      <c r="AU564">
        <v>10</v>
      </c>
    </row>
    <row r="565" spans="3:47" x14ac:dyDescent="0.35">
      <c r="C565" t="s">
        <v>133</v>
      </c>
      <c r="D565">
        <v>0</v>
      </c>
      <c r="G565" t="s">
        <v>133</v>
      </c>
      <c r="H565">
        <v>0</v>
      </c>
      <c r="K565" t="s">
        <v>133</v>
      </c>
      <c r="L565">
        <v>0</v>
      </c>
      <c r="O565" t="s">
        <v>133</v>
      </c>
      <c r="P565">
        <v>0</v>
      </c>
      <c r="S565" t="s">
        <v>133</v>
      </c>
      <c r="T565">
        <v>0</v>
      </c>
      <c r="W565" t="s">
        <v>133</v>
      </c>
      <c r="X565">
        <v>0</v>
      </c>
      <c r="AA565" t="s">
        <v>133</v>
      </c>
      <c r="AB565">
        <v>205</v>
      </c>
      <c r="AE565" t="s">
        <v>133</v>
      </c>
      <c r="AF565">
        <v>0</v>
      </c>
      <c r="AI565" t="s">
        <v>133</v>
      </c>
      <c r="AJ565">
        <v>0</v>
      </c>
      <c r="AM565" t="s">
        <v>133</v>
      </c>
      <c r="AN565">
        <v>0</v>
      </c>
      <c r="AQ565" t="s">
        <v>133</v>
      </c>
      <c r="AR565">
        <v>0</v>
      </c>
      <c r="AT565" t="s">
        <v>79</v>
      </c>
      <c r="AU565">
        <v>416</v>
      </c>
    </row>
    <row r="566" spans="3:47" x14ac:dyDescent="0.35">
      <c r="C566" t="s">
        <v>206</v>
      </c>
      <c r="D566">
        <v>0</v>
      </c>
      <c r="G566" t="s">
        <v>206</v>
      </c>
      <c r="H566">
        <v>0</v>
      </c>
      <c r="K566" t="s">
        <v>206</v>
      </c>
      <c r="L566">
        <v>0</v>
      </c>
      <c r="O566" t="s">
        <v>206</v>
      </c>
      <c r="P566">
        <v>0</v>
      </c>
      <c r="S566" t="s">
        <v>206</v>
      </c>
      <c r="T566">
        <v>0</v>
      </c>
      <c r="W566" t="s">
        <v>206</v>
      </c>
      <c r="X566">
        <v>0</v>
      </c>
      <c r="AA566" t="s">
        <v>206</v>
      </c>
      <c r="AB566">
        <v>0</v>
      </c>
      <c r="AE566" t="s">
        <v>206</v>
      </c>
      <c r="AF566">
        <v>0</v>
      </c>
      <c r="AI566" t="s">
        <v>206</v>
      </c>
      <c r="AJ566">
        <v>0</v>
      </c>
      <c r="AM566" t="s">
        <v>206</v>
      </c>
      <c r="AN566">
        <v>0</v>
      </c>
      <c r="AQ566" t="s">
        <v>206</v>
      </c>
      <c r="AR566">
        <v>5</v>
      </c>
      <c r="AT566" t="s">
        <v>68</v>
      </c>
      <c r="AU566">
        <v>71</v>
      </c>
    </row>
    <row r="567" spans="3:47" x14ac:dyDescent="0.35">
      <c r="C567" t="s">
        <v>136</v>
      </c>
      <c r="D567">
        <v>0</v>
      </c>
      <c r="G567" t="s">
        <v>136</v>
      </c>
      <c r="H567">
        <v>0</v>
      </c>
      <c r="K567" t="s">
        <v>136</v>
      </c>
      <c r="L567">
        <v>0</v>
      </c>
      <c r="O567" t="s">
        <v>136</v>
      </c>
      <c r="P567">
        <v>0</v>
      </c>
      <c r="S567" t="s">
        <v>136</v>
      </c>
      <c r="T567">
        <v>0</v>
      </c>
      <c r="W567" t="s">
        <v>136</v>
      </c>
      <c r="X567">
        <v>0</v>
      </c>
      <c r="AA567" t="s">
        <v>136</v>
      </c>
      <c r="AB567">
        <v>0</v>
      </c>
      <c r="AE567" t="s">
        <v>136</v>
      </c>
      <c r="AF567">
        <v>0</v>
      </c>
      <c r="AI567" t="s">
        <v>136</v>
      </c>
      <c r="AJ567">
        <v>0</v>
      </c>
      <c r="AM567" t="s">
        <v>136</v>
      </c>
      <c r="AN567">
        <v>0</v>
      </c>
      <c r="AQ567" t="s">
        <v>136</v>
      </c>
      <c r="AR567">
        <v>76</v>
      </c>
      <c r="AT567" t="s">
        <v>69</v>
      </c>
      <c r="AU567">
        <v>41</v>
      </c>
    </row>
    <row r="568" spans="3:47" x14ac:dyDescent="0.35">
      <c r="C568" t="s">
        <v>207</v>
      </c>
      <c r="D568">
        <v>0</v>
      </c>
      <c r="G568" t="s">
        <v>207</v>
      </c>
      <c r="H568">
        <v>0</v>
      </c>
      <c r="K568" t="s">
        <v>207</v>
      </c>
      <c r="L568">
        <v>0</v>
      </c>
      <c r="O568" t="s">
        <v>207</v>
      </c>
      <c r="P568">
        <v>0</v>
      </c>
      <c r="S568" t="s">
        <v>207</v>
      </c>
      <c r="T568">
        <v>0</v>
      </c>
      <c r="W568" t="s">
        <v>207</v>
      </c>
      <c r="X568">
        <v>0</v>
      </c>
      <c r="AA568" t="s">
        <v>207</v>
      </c>
      <c r="AB568">
        <v>0</v>
      </c>
      <c r="AE568" t="s">
        <v>207</v>
      </c>
      <c r="AF568">
        <v>0</v>
      </c>
      <c r="AI568" t="s">
        <v>207</v>
      </c>
      <c r="AJ568">
        <v>0</v>
      </c>
      <c r="AM568" t="s">
        <v>207</v>
      </c>
      <c r="AN568">
        <v>0</v>
      </c>
      <c r="AQ568" t="s">
        <v>207</v>
      </c>
      <c r="AR568">
        <v>0</v>
      </c>
      <c r="AT568" t="s">
        <v>70</v>
      </c>
      <c r="AU568">
        <v>349</v>
      </c>
    </row>
    <row r="569" spans="3:47" x14ac:dyDescent="0.35">
      <c r="C569" t="s">
        <v>141</v>
      </c>
      <c r="D569">
        <v>0</v>
      </c>
      <c r="G569" t="s">
        <v>141</v>
      </c>
      <c r="H569">
        <v>0</v>
      </c>
      <c r="K569" t="s">
        <v>141</v>
      </c>
      <c r="L569">
        <v>0</v>
      </c>
      <c r="O569" t="s">
        <v>141</v>
      </c>
      <c r="P569">
        <v>0</v>
      </c>
      <c r="S569" t="s">
        <v>141</v>
      </c>
      <c r="T569">
        <v>0</v>
      </c>
      <c r="W569" t="s">
        <v>141</v>
      </c>
      <c r="X569">
        <v>0</v>
      </c>
      <c r="AA569" t="s">
        <v>141</v>
      </c>
      <c r="AB569">
        <v>0</v>
      </c>
      <c r="AE569" t="s">
        <v>141</v>
      </c>
      <c r="AF569">
        <v>0</v>
      </c>
      <c r="AI569" t="s">
        <v>141</v>
      </c>
      <c r="AJ569">
        <v>0</v>
      </c>
      <c r="AM569" t="s">
        <v>141</v>
      </c>
      <c r="AN569">
        <v>0</v>
      </c>
      <c r="AQ569" t="s">
        <v>141</v>
      </c>
      <c r="AR569">
        <v>3</v>
      </c>
      <c r="AT569" t="s">
        <v>76</v>
      </c>
      <c r="AU569">
        <v>8</v>
      </c>
    </row>
    <row r="570" spans="3:47" x14ac:dyDescent="0.35">
      <c r="C570" t="s">
        <v>208</v>
      </c>
      <c r="D570">
        <v>0</v>
      </c>
      <c r="G570" t="s">
        <v>208</v>
      </c>
      <c r="H570">
        <v>0</v>
      </c>
      <c r="K570" t="s">
        <v>208</v>
      </c>
      <c r="L570">
        <v>0</v>
      </c>
      <c r="O570" t="s">
        <v>208</v>
      </c>
      <c r="P570">
        <v>0</v>
      </c>
      <c r="S570" t="s">
        <v>208</v>
      </c>
      <c r="T570">
        <v>0</v>
      </c>
      <c r="W570" t="s">
        <v>208</v>
      </c>
      <c r="X570">
        <v>0</v>
      </c>
      <c r="AA570" t="s">
        <v>208</v>
      </c>
      <c r="AB570">
        <v>0</v>
      </c>
      <c r="AE570" t="s">
        <v>208</v>
      </c>
      <c r="AF570">
        <v>0</v>
      </c>
      <c r="AI570" t="s">
        <v>208</v>
      </c>
      <c r="AJ570">
        <v>0</v>
      </c>
      <c r="AM570" t="s">
        <v>208</v>
      </c>
      <c r="AN570">
        <v>0</v>
      </c>
      <c r="AQ570" t="s">
        <v>208</v>
      </c>
      <c r="AR570">
        <v>620</v>
      </c>
      <c r="AT570" t="s">
        <v>77</v>
      </c>
      <c r="AU570">
        <v>2130</v>
      </c>
    </row>
    <row r="571" spans="3:47" x14ac:dyDescent="0.35">
      <c r="C571" t="s">
        <v>209</v>
      </c>
      <c r="D571">
        <v>0</v>
      </c>
      <c r="G571" t="s">
        <v>209</v>
      </c>
      <c r="H571">
        <v>0</v>
      </c>
      <c r="K571" t="s">
        <v>209</v>
      </c>
      <c r="L571">
        <v>0</v>
      </c>
      <c r="O571" t="s">
        <v>209</v>
      </c>
      <c r="P571">
        <v>0</v>
      </c>
      <c r="S571" t="s">
        <v>209</v>
      </c>
      <c r="T571">
        <v>0</v>
      </c>
      <c r="W571" t="s">
        <v>209</v>
      </c>
      <c r="X571">
        <v>0</v>
      </c>
      <c r="AA571" t="s">
        <v>209</v>
      </c>
      <c r="AB571">
        <v>0</v>
      </c>
      <c r="AE571" t="s">
        <v>209</v>
      </c>
      <c r="AF571">
        <v>0</v>
      </c>
      <c r="AI571" t="s">
        <v>209</v>
      </c>
      <c r="AJ571">
        <v>0</v>
      </c>
      <c r="AM571" t="s">
        <v>209</v>
      </c>
      <c r="AN571">
        <v>0</v>
      </c>
      <c r="AQ571" t="s">
        <v>209</v>
      </c>
      <c r="AR571">
        <v>0</v>
      </c>
      <c r="AT571" t="s">
        <v>78</v>
      </c>
      <c r="AU571">
        <v>58</v>
      </c>
    </row>
    <row r="572" spans="3:47" x14ac:dyDescent="0.35">
      <c r="C572" t="s">
        <v>134</v>
      </c>
      <c r="D572">
        <v>0</v>
      </c>
      <c r="G572" t="s">
        <v>134</v>
      </c>
      <c r="H572">
        <v>0</v>
      </c>
      <c r="K572" t="s">
        <v>134</v>
      </c>
      <c r="L572">
        <v>0</v>
      </c>
      <c r="O572" t="s">
        <v>134</v>
      </c>
      <c r="P572">
        <v>0</v>
      </c>
      <c r="S572" t="s">
        <v>134</v>
      </c>
      <c r="T572">
        <v>0</v>
      </c>
      <c r="W572" t="s">
        <v>134</v>
      </c>
      <c r="X572">
        <v>0</v>
      </c>
      <c r="AA572" t="s">
        <v>134</v>
      </c>
      <c r="AB572">
        <v>0</v>
      </c>
      <c r="AE572" t="s">
        <v>134</v>
      </c>
      <c r="AF572">
        <v>0</v>
      </c>
      <c r="AI572" t="s">
        <v>134</v>
      </c>
      <c r="AJ572">
        <v>0</v>
      </c>
      <c r="AM572" t="s">
        <v>134</v>
      </c>
      <c r="AN572">
        <v>0</v>
      </c>
      <c r="AQ572" t="s">
        <v>134</v>
      </c>
      <c r="AR572">
        <v>28</v>
      </c>
      <c r="AT572" t="s">
        <v>67</v>
      </c>
      <c r="AU572">
        <v>205</v>
      </c>
    </row>
    <row r="573" spans="3:47" x14ac:dyDescent="0.35">
      <c r="C573" t="s">
        <v>142</v>
      </c>
      <c r="D573">
        <v>0</v>
      </c>
      <c r="G573" t="s">
        <v>142</v>
      </c>
      <c r="H573">
        <v>0</v>
      </c>
      <c r="K573" t="s">
        <v>142</v>
      </c>
      <c r="L573">
        <v>0</v>
      </c>
      <c r="O573" t="s">
        <v>142</v>
      </c>
      <c r="P573">
        <v>0</v>
      </c>
      <c r="S573" t="s">
        <v>142</v>
      </c>
      <c r="T573">
        <v>0</v>
      </c>
      <c r="W573" t="s">
        <v>142</v>
      </c>
      <c r="X573">
        <v>0</v>
      </c>
      <c r="AA573" t="s">
        <v>142</v>
      </c>
      <c r="AB573">
        <v>0</v>
      </c>
      <c r="AE573" t="s">
        <v>142</v>
      </c>
      <c r="AF573">
        <v>0</v>
      </c>
      <c r="AI573" t="s">
        <v>142</v>
      </c>
      <c r="AJ573">
        <v>0</v>
      </c>
      <c r="AM573" t="s">
        <v>142</v>
      </c>
      <c r="AN573">
        <v>0</v>
      </c>
      <c r="AQ573" t="s">
        <v>142</v>
      </c>
      <c r="AR573">
        <v>2</v>
      </c>
      <c r="AT573" t="s">
        <v>80</v>
      </c>
      <c r="AU573">
        <v>4</v>
      </c>
    </row>
    <row r="574" spans="3:47" x14ac:dyDescent="0.35">
      <c r="C574" t="s">
        <v>83</v>
      </c>
      <c r="D574">
        <v>0</v>
      </c>
      <c r="G574" t="s">
        <v>83</v>
      </c>
      <c r="H574">
        <v>0</v>
      </c>
      <c r="K574" t="s">
        <v>83</v>
      </c>
      <c r="L574">
        <v>0</v>
      </c>
      <c r="O574" t="s">
        <v>83</v>
      </c>
      <c r="P574">
        <v>0</v>
      </c>
      <c r="S574" t="s">
        <v>83</v>
      </c>
      <c r="T574">
        <v>0</v>
      </c>
      <c r="W574" t="s">
        <v>83</v>
      </c>
      <c r="X574">
        <v>0</v>
      </c>
      <c r="AA574" t="s">
        <v>83</v>
      </c>
      <c r="AB574">
        <v>0</v>
      </c>
      <c r="AE574" t="s">
        <v>83</v>
      </c>
      <c r="AF574">
        <v>0</v>
      </c>
      <c r="AI574" t="s">
        <v>83</v>
      </c>
      <c r="AJ574">
        <v>0</v>
      </c>
      <c r="AM574" t="s">
        <v>83</v>
      </c>
      <c r="AN574">
        <v>0</v>
      </c>
      <c r="AQ574" t="s">
        <v>83</v>
      </c>
      <c r="AR574">
        <v>7</v>
      </c>
      <c r="AT574" t="s">
        <v>83</v>
      </c>
      <c r="AU574">
        <v>22</v>
      </c>
    </row>
    <row r="575" spans="3:47" x14ac:dyDescent="0.35">
      <c r="C575" t="s">
        <v>84</v>
      </c>
      <c r="D575">
        <v>0</v>
      </c>
      <c r="G575" t="s">
        <v>84</v>
      </c>
      <c r="H575">
        <v>0</v>
      </c>
      <c r="K575" t="s">
        <v>84</v>
      </c>
      <c r="L575">
        <v>0</v>
      </c>
      <c r="O575" t="s">
        <v>84</v>
      </c>
      <c r="P575">
        <v>0</v>
      </c>
      <c r="S575" t="s">
        <v>84</v>
      </c>
      <c r="T575">
        <v>0</v>
      </c>
      <c r="W575" t="s">
        <v>84</v>
      </c>
      <c r="X575">
        <v>0</v>
      </c>
      <c r="AA575" t="s">
        <v>84</v>
      </c>
      <c r="AB575">
        <v>0</v>
      </c>
      <c r="AE575" t="s">
        <v>84</v>
      </c>
      <c r="AF575">
        <v>0</v>
      </c>
      <c r="AI575" t="s">
        <v>84</v>
      </c>
      <c r="AJ575">
        <v>0</v>
      </c>
      <c r="AM575" t="s">
        <v>84</v>
      </c>
      <c r="AN575">
        <v>0</v>
      </c>
      <c r="AQ575" t="s">
        <v>84</v>
      </c>
      <c r="AR575">
        <v>0</v>
      </c>
      <c r="AT575" t="s">
        <v>84</v>
      </c>
      <c r="AU575">
        <v>0</v>
      </c>
    </row>
    <row r="576" spans="3:47" x14ac:dyDescent="0.35">
      <c r="C576" t="s">
        <v>126</v>
      </c>
      <c r="D576">
        <v>0</v>
      </c>
      <c r="G576" t="s">
        <v>126</v>
      </c>
      <c r="H576">
        <v>0</v>
      </c>
      <c r="K576" t="s">
        <v>223</v>
      </c>
      <c r="L576">
        <v>0</v>
      </c>
      <c r="O576" t="s">
        <v>126</v>
      </c>
      <c r="P576">
        <v>0</v>
      </c>
      <c r="S576" t="s">
        <v>126</v>
      </c>
      <c r="T576">
        <v>0</v>
      </c>
      <c r="W576" t="s">
        <v>126</v>
      </c>
      <c r="X576">
        <v>0</v>
      </c>
      <c r="AA576" t="s">
        <v>126</v>
      </c>
      <c r="AB576">
        <v>0</v>
      </c>
      <c r="AE576" t="s">
        <v>126</v>
      </c>
      <c r="AF576">
        <v>0</v>
      </c>
      <c r="AI576" t="s">
        <v>126</v>
      </c>
      <c r="AJ576">
        <v>0</v>
      </c>
      <c r="AM576" t="s">
        <v>126</v>
      </c>
      <c r="AN576">
        <v>0</v>
      </c>
      <c r="AQ576" t="s">
        <v>126</v>
      </c>
      <c r="AR576">
        <v>0</v>
      </c>
      <c r="AT576" t="s">
        <v>86</v>
      </c>
      <c r="AU576">
        <v>0</v>
      </c>
    </row>
    <row r="577" spans="1:47" x14ac:dyDescent="0.35">
      <c r="C577" t="s">
        <v>87</v>
      </c>
      <c r="D577">
        <v>0</v>
      </c>
      <c r="G577" t="s">
        <v>87</v>
      </c>
      <c r="H577">
        <v>0</v>
      </c>
      <c r="K577" t="s">
        <v>87</v>
      </c>
      <c r="L577">
        <v>0</v>
      </c>
      <c r="O577" t="s">
        <v>87</v>
      </c>
      <c r="P577">
        <v>0</v>
      </c>
      <c r="S577" t="s">
        <v>87</v>
      </c>
      <c r="T577">
        <v>0</v>
      </c>
      <c r="W577" t="s">
        <v>87</v>
      </c>
      <c r="X577">
        <v>0</v>
      </c>
      <c r="AA577" t="s">
        <v>87</v>
      </c>
      <c r="AB577">
        <v>0</v>
      </c>
      <c r="AE577" t="s">
        <v>87</v>
      </c>
      <c r="AF577">
        <v>0</v>
      </c>
      <c r="AI577" t="s">
        <v>87</v>
      </c>
      <c r="AJ577">
        <v>0</v>
      </c>
      <c r="AM577" t="s">
        <v>87</v>
      </c>
      <c r="AN577">
        <v>0</v>
      </c>
      <c r="AQ577" t="s">
        <v>87</v>
      </c>
      <c r="AR577">
        <v>0</v>
      </c>
      <c r="AT577" t="s">
        <v>87</v>
      </c>
      <c r="AU577">
        <v>6097</v>
      </c>
    </row>
    <row r="578" spans="1:47" x14ac:dyDescent="0.35">
      <c r="A578" t="s">
        <v>177</v>
      </c>
      <c r="B578">
        <v>22966240</v>
      </c>
      <c r="C578" t="s">
        <v>135</v>
      </c>
      <c r="D578">
        <v>6376</v>
      </c>
      <c r="E578" t="s">
        <v>177</v>
      </c>
      <c r="F578">
        <v>23588073.5</v>
      </c>
      <c r="G578" t="s">
        <v>135</v>
      </c>
      <c r="H578">
        <v>7046</v>
      </c>
      <c r="I578" t="s">
        <v>177</v>
      </c>
      <c r="J578">
        <v>24215975.500000019</v>
      </c>
      <c r="K578" t="s">
        <v>135</v>
      </c>
      <c r="L578">
        <v>8550</v>
      </c>
      <c r="M578" t="s">
        <v>177</v>
      </c>
      <c r="N578">
        <v>24850912.500000015</v>
      </c>
      <c r="O578" t="s">
        <v>135</v>
      </c>
      <c r="P578">
        <v>0</v>
      </c>
      <c r="Q578" t="s">
        <v>177</v>
      </c>
      <c r="R578">
        <v>25501940.499999996</v>
      </c>
      <c r="S578" t="s">
        <v>135</v>
      </c>
      <c r="T578">
        <v>35</v>
      </c>
      <c r="U578" t="s">
        <v>177</v>
      </c>
      <c r="V578">
        <v>26169542.000000015</v>
      </c>
      <c r="W578" t="s">
        <v>135</v>
      </c>
      <c r="X578">
        <v>0</v>
      </c>
      <c r="Y578" t="s">
        <v>177</v>
      </c>
      <c r="Z578">
        <v>26846541</v>
      </c>
      <c r="AA578" t="s">
        <v>135</v>
      </c>
      <c r="AB578">
        <v>0</v>
      </c>
      <c r="AC578" t="s">
        <v>177</v>
      </c>
      <c r="AD578">
        <v>27533134.000000015</v>
      </c>
      <c r="AE578" t="s">
        <v>135</v>
      </c>
      <c r="AF578">
        <v>0</v>
      </c>
      <c r="AG578" t="s">
        <v>177</v>
      </c>
      <c r="AH578">
        <v>28225176.500000007</v>
      </c>
      <c r="AI578" t="s">
        <v>135</v>
      </c>
      <c r="AJ578">
        <v>0</v>
      </c>
      <c r="AK578" t="s">
        <v>177</v>
      </c>
      <c r="AL578">
        <v>28915652.500000004</v>
      </c>
      <c r="AM578" t="s">
        <v>135</v>
      </c>
      <c r="AN578">
        <v>0</v>
      </c>
      <c r="AO578" t="s">
        <v>177</v>
      </c>
      <c r="AP578">
        <v>29611714.000000004</v>
      </c>
      <c r="AQ578" t="s">
        <v>135</v>
      </c>
      <c r="AR578">
        <v>0</v>
      </c>
      <c r="AS578" t="s">
        <v>177</v>
      </c>
      <c r="AT578" t="s">
        <v>148</v>
      </c>
      <c r="AU578">
        <v>5230</v>
      </c>
    </row>
    <row r="579" spans="1:47" x14ac:dyDescent="0.35">
      <c r="C579" t="s">
        <v>139</v>
      </c>
      <c r="D579">
        <v>6766</v>
      </c>
      <c r="G579" t="s">
        <v>139</v>
      </c>
      <c r="H579">
        <v>6876</v>
      </c>
      <c r="K579" t="s">
        <v>139</v>
      </c>
      <c r="L579">
        <v>0</v>
      </c>
      <c r="O579" t="s">
        <v>139</v>
      </c>
      <c r="P579">
        <v>0</v>
      </c>
      <c r="S579" t="s">
        <v>139</v>
      </c>
      <c r="T579">
        <v>0</v>
      </c>
      <c r="W579" t="s">
        <v>139</v>
      </c>
      <c r="X579">
        <v>0</v>
      </c>
      <c r="AA579" t="s">
        <v>139</v>
      </c>
      <c r="AB579">
        <v>7666</v>
      </c>
      <c r="AE579" t="s">
        <v>139</v>
      </c>
      <c r="AF579">
        <v>0</v>
      </c>
      <c r="AI579" t="s">
        <v>139</v>
      </c>
      <c r="AJ579">
        <v>0</v>
      </c>
      <c r="AM579" t="s">
        <v>139</v>
      </c>
      <c r="AN579">
        <v>0</v>
      </c>
      <c r="AQ579" t="s">
        <v>139</v>
      </c>
      <c r="AR579">
        <v>0</v>
      </c>
      <c r="AT579" t="s">
        <v>139</v>
      </c>
      <c r="AU579">
        <v>4560</v>
      </c>
    </row>
    <row r="580" spans="1:47" x14ac:dyDescent="0.35">
      <c r="C580" t="s">
        <v>138</v>
      </c>
      <c r="D580">
        <v>2950</v>
      </c>
      <c r="G580" t="s">
        <v>138</v>
      </c>
      <c r="H580">
        <v>6800</v>
      </c>
      <c r="K580" t="s">
        <v>138</v>
      </c>
      <c r="L580">
        <v>0</v>
      </c>
      <c r="O580" t="s">
        <v>138</v>
      </c>
      <c r="P580">
        <v>0</v>
      </c>
      <c r="S580" t="s">
        <v>138</v>
      </c>
      <c r="T580">
        <v>3166</v>
      </c>
      <c r="W580" t="s">
        <v>138</v>
      </c>
      <c r="X580">
        <v>5862</v>
      </c>
      <c r="AA580" t="s">
        <v>138</v>
      </c>
      <c r="AB580">
        <v>7988</v>
      </c>
      <c r="AE580" t="s">
        <v>138</v>
      </c>
      <c r="AF580">
        <v>0</v>
      </c>
      <c r="AI580" t="s">
        <v>138</v>
      </c>
      <c r="AJ580">
        <v>0</v>
      </c>
      <c r="AM580" t="s">
        <v>138</v>
      </c>
      <c r="AN580">
        <v>0</v>
      </c>
      <c r="AQ580" t="s">
        <v>138</v>
      </c>
      <c r="AR580">
        <v>0</v>
      </c>
      <c r="AT580" t="s">
        <v>138</v>
      </c>
      <c r="AU580">
        <v>3164</v>
      </c>
    </row>
    <row r="581" spans="1:47" x14ac:dyDescent="0.35">
      <c r="C581" t="s">
        <v>82</v>
      </c>
      <c r="D581">
        <v>0</v>
      </c>
      <c r="G581" t="s">
        <v>82</v>
      </c>
      <c r="H581">
        <v>0</v>
      </c>
      <c r="K581" t="s">
        <v>82</v>
      </c>
      <c r="L581">
        <v>118</v>
      </c>
      <c r="O581" t="s">
        <v>82</v>
      </c>
      <c r="P581">
        <v>0</v>
      </c>
      <c r="S581" t="s">
        <v>82</v>
      </c>
      <c r="T581">
        <v>0</v>
      </c>
      <c r="W581" t="s">
        <v>82</v>
      </c>
      <c r="X581">
        <v>0</v>
      </c>
      <c r="AA581" t="s">
        <v>82</v>
      </c>
      <c r="AB581">
        <v>0</v>
      </c>
      <c r="AE581" t="s">
        <v>82</v>
      </c>
      <c r="AF581">
        <v>0</v>
      </c>
      <c r="AI581" t="s">
        <v>82</v>
      </c>
      <c r="AJ581">
        <v>13</v>
      </c>
      <c r="AM581" t="s">
        <v>82</v>
      </c>
      <c r="AN581">
        <v>0</v>
      </c>
      <c r="AQ581" t="s">
        <v>82</v>
      </c>
      <c r="AR581">
        <v>0</v>
      </c>
      <c r="AT581" t="s">
        <v>82</v>
      </c>
      <c r="AU581">
        <v>329</v>
      </c>
    </row>
    <row r="582" spans="1:47" x14ac:dyDescent="0.35">
      <c r="C582" t="s">
        <v>60</v>
      </c>
      <c r="D582">
        <v>0</v>
      </c>
      <c r="G582" t="s">
        <v>60</v>
      </c>
      <c r="H582">
        <v>4081</v>
      </c>
      <c r="K582" t="s">
        <v>60</v>
      </c>
      <c r="L582">
        <v>0</v>
      </c>
      <c r="O582" t="s">
        <v>60</v>
      </c>
      <c r="P582">
        <v>0</v>
      </c>
      <c r="S582" t="s">
        <v>60</v>
      </c>
      <c r="T582">
        <v>0</v>
      </c>
      <c r="W582" t="s">
        <v>60</v>
      </c>
      <c r="X582">
        <v>0</v>
      </c>
      <c r="AA582" t="s">
        <v>60</v>
      </c>
      <c r="AB582">
        <v>0</v>
      </c>
      <c r="AE582" t="s">
        <v>60</v>
      </c>
      <c r="AF582">
        <v>0</v>
      </c>
      <c r="AI582" t="s">
        <v>60</v>
      </c>
      <c r="AJ582">
        <v>9</v>
      </c>
      <c r="AM582" t="s">
        <v>60</v>
      </c>
      <c r="AN582">
        <v>91</v>
      </c>
      <c r="AQ582" t="s">
        <v>60</v>
      </c>
      <c r="AR582">
        <v>0</v>
      </c>
      <c r="AT582" t="s">
        <v>60</v>
      </c>
      <c r="AU582">
        <v>556</v>
      </c>
    </row>
    <row r="583" spans="1:47" x14ac:dyDescent="0.35">
      <c r="C583" t="s">
        <v>127</v>
      </c>
      <c r="D583">
        <v>0</v>
      </c>
      <c r="G583" t="s">
        <v>127</v>
      </c>
      <c r="H583">
        <v>0</v>
      </c>
      <c r="K583" t="s">
        <v>127</v>
      </c>
      <c r="L583">
        <v>0</v>
      </c>
      <c r="O583" t="s">
        <v>127</v>
      </c>
      <c r="P583">
        <v>0</v>
      </c>
      <c r="S583" t="s">
        <v>127</v>
      </c>
      <c r="T583">
        <v>0</v>
      </c>
      <c r="W583" t="s">
        <v>127</v>
      </c>
      <c r="X583">
        <v>0</v>
      </c>
      <c r="AA583" t="s">
        <v>127</v>
      </c>
      <c r="AB583">
        <v>35000</v>
      </c>
      <c r="AE583" t="s">
        <v>127</v>
      </c>
      <c r="AF583">
        <v>38338</v>
      </c>
      <c r="AI583" t="s">
        <v>127</v>
      </c>
      <c r="AJ583">
        <v>41616</v>
      </c>
      <c r="AM583" t="s">
        <v>127</v>
      </c>
      <c r="AN583">
        <v>41616</v>
      </c>
      <c r="AQ583" t="s">
        <v>127</v>
      </c>
      <c r="AR583">
        <v>0</v>
      </c>
      <c r="AT583" t="s">
        <v>58</v>
      </c>
      <c r="AU583">
        <v>35000</v>
      </c>
    </row>
    <row r="584" spans="1:47" x14ac:dyDescent="0.35">
      <c r="C584" t="s">
        <v>61</v>
      </c>
      <c r="D584">
        <v>0</v>
      </c>
      <c r="G584" t="s">
        <v>61</v>
      </c>
      <c r="H584">
        <v>0</v>
      </c>
      <c r="K584" t="s">
        <v>61</v>
      </c>
      <c r="L584">
        <v>0</v>
      </c>
      <c r="O584" t="s">
        <v>61</v>
      </c>
      <c r="P584">
        <v>0</v>
      </c>
      <c r="S584" t="s">
        <v>61</v>
      </c>
      <c r="T584">
        <v>0</v>
      </c>
      <c r="W584" t="s">
        <v>61</v>
      </c>
      <c r="X584">
        <v>0</v>
      </c>
      <c r="AA584" t="s">
        <v>61</v>
      </c>
      <c r="AB584">
        <v>0</v>
      </c>
      <c r="AE584" t="s">
        <v>61</v>
      </c>
      <c r="AF584">
        <v>0</v>
      </c>
      <c r="AI584" t="s">
        <v>61</v>
      </c>
      <c r="AJ584">
        <v>0</v>
      </c>
      <c r="AM584" t="s">
        <v>61</v>
      </c>
      <c r="AN584">
        <v>0</v>
      </c>
      <c r="AQ584" t="s">
        <v>61</v>
      </c>
      <c r="AR584">
        <v>0</v>
      </c>
      <c r="AT584" t="s">
        <v>61</v>
      </c>
      <c r="AU584">
        <v>414</v>
      </c>
    </row>
    <row r="585" spans="1:47" x14ac:dyDescent="0.35">
      <c r="C585" t="s">
        <v>62</v>
      </c>
      <c r="D585">
        <v>0</v>
      </c>
      <c r="G585" t="s">
        <v>62</v>
      </c>
      <c r="H585">
        <v>0</v>
      </c>
      <c r="K585" t="s">
        <v>62</v>
      </c>
      <c r="L585">
        <v>174</v>
      </c>
      <c r="O585" t="s">
        <v>62</v>
      </c>
      <c r="P585">
        <v>0</v>
      </c>
      <c r="S585" t="s">
        <v>62</v>
      </c>
      <c r="T585">
        <v>0</v>
      </c>
      <c r="W585" t="s">
        <v>62</v>
      </c>
      <c r="X585">
        <v>0</v>
      </c>
      <c r="AA585" t="s">
        <v>62</v>
      </c>
      <c r="AB585">
        <v>0</v>
      </c>
      <c r="AE585" t="s">
        <v>62</v>
      </c>
      <c r="AF585">
        <v>0</v>
      </c>
      <c r="AI585" t="s">
        <v>62</v>
      </c>
      <c r="AJ585">
        <v>254</v>
      </c>
      <c r="AM585" t="s">
        <v>62</v>
      </c>
      <c r="AN585">
        <v>0</v>
      </c>
      <c r="AQ585" t="s">
        <v>62</v>
      </c>
      <c r="AR585">
        <v>0</v>
      </c>
      <c r="AT585" t="s">
        <v>62</v>
      </c>
      <c r="AU585">
        <v>15</v>
      </c>
    </row>
    <row r="586" spans="1:47" x14ac:dyDescent="0.35">
      <c r="C586" t="s">
        <v>203</v>
      </c>
      <c r="D586">
        <v>0</v>
      </c>
      <c r="G586" t="s">
        <v>203</v>
      </c>
      <c r="H586">
        <v>0</v>
      </c>
      <c r="K586" t="s">
        <v>203</v>
      </c>
      <c r="L586">
        <v>0</v>
      </c>
      <c r="O586" t="s">
        <v>203</v>
      </c>
      <c r="P586">
        <v>0</v>
      </c>
      <c r="S586" t="s">
        <v>203</v>
      </c>
      <c r="T586">
        <v>0</v>
      </c>
      <c r="W586" t="s">
        <v>203</v>
      </c>
      <c r="X586">
        <v>0</v>
      </c>
      <c r="AA586" t="s">
        <v>203</v>
      </c>
      <c r="AB586">
        <v>0</v>
      </c>
      <c r="AE586" t="s">
        <v>203</v>
      </c>
      <c r="AF586">
        <v>0</v>
      </c>
      <c r="AI586" t="s">
        <v>203</v>
      </c>
      <c r="AJ586">
        <v>0</v>
      </c>
      <c r="AM586" t="s">
        <v>203</v>
      </c>
      <c r="AN586">
        <v>0</v>
      </c>
      <c r="AQ586" t="s">
        <v>203</v>
      </c>
      <c r="AR586">
        <v>0</v>
      </c>
      <c r="AT586" t="s">
        <v>64</v>
      </c>
      <c r="AU586">
        <v>311</v>
      </c>
    </row>
    <row r="587" spans="1:47" x14ac:dyDescent="0.35">
      <c r="C587" t="s">
        <v>204</v>
      </c>
      <c r="D587">
        <v>0</v>
      </c>
      <c r="G587" t="s">
        <v>204</v>
      </c>
      <c r="H587">
        <v>0</v>
      </c>
      <c r="K587" t="s">
        <v>204</v>
      </c>
      <c r="L587">
        <v>0</v>
      </c>
      <c r="O587" t="s">
        <v>204</v>
      </c>
      <c r="P587">
        <v>0</v>
      </c>
      <c r="S587" t="s">
        <v>204</v>
      </c>
      <c r="T587">
        <v>0</v>
      </c>
      <c r="W587" t="s">
        <v>204</v>
      </c>
      <c r="X587">
        <v>0</v>
      </c>
      <c r="AA587" t="s">
        <v>204</v>
      </c>
      <c r="AB587">
        <v>0</v>
      </c>
      <c r="AE587" t="s">
        <v>204</v>
      </c>
      <c r="AF587">
        <v>0</v>
      </c>
      <c r="AI587" t="s">
        <v>204</v>
      </c>
      <c r="AJ587">
        <v>0</v>
      </c>
      <c r="AM587" t="s">
        <v>204</v>
      </c>
      <c r="AN587">
        <v>0</v>
      </c>
      <c r="AQ587" t="s">
        <v>204</v>
      </c>
      <c r="AR587">
        <v>0</v>
      </c>
      <c r="AT587" t="s">
        <v>65</v>
      </c>
      <c r="AU587">
        <v>411</v>
      </c>
    </row>
    <row r="588" spans="1:47" x14ac:dyDescent="0.35">
      <c r="C588" t="s">
        <v>205</v>
      </c>
      <c r="D588">
        <v>0</v>
      </c>
      <c r="G588" t="s">
        <v>205</v>
      </c>
      <c r="H588">
        <v>0</v>
      </c>
      <c r="K588" t="s">
        <v>205</v>
      </c>
      <c r="L588">
        <v>0</v>
      </c>
      <c r="O588" t="s">
        <v>205</v>
      </c>
      <c r="P588">
        <v>0</v>
      </c>
      <c r="S588" t="s">
        <v>205</v>
      </c>
      <c r="T588">
        <v>0</v>
      </c>
      <c r="W588" t="s">
        <v>205</v>
      </c>
      <c r="X588">
        <v>0</v>
      </c>
      <c r="AA588" t="s">
        <v>205</v>
      </c>
      <c r="AB588">
        <v>0</v>
      </c>
      <c r="AE588" t="s">
        <v>205</v>
      </c>
      <c r="AF588">
        <v>12</v>
      </c>
      <c r="AI588" t="s">
        <v>205</v>
      </c>
      <c r="AJ588">
        <v>0</v>
      </c>
      <c r="AM588" t="s">
        <v>205</v>
      </c>
      <c r="AN588">
        <v>0</v>
      </c>
      <c r="AQ588" t="s">
        <v>205</v>
      </c>
      <c r="AR588">
        <v>0</v>
      </c>
      <c r="AT588" t="s">
        <v>66</v>
      </c>
      <c r="AU588">
        <v>52</v>
      </c>
    </row>
    <row r="589" spans="1:47" x14ac:dyDescent="0.35">
      <c r="C589" t="s">
        <v>133</v>
      </c>
      <c r="D589">
        <v>0</v>
      </c>
      <c r="G589" t="s">
        <v>133</v>
      </c>
      <c r="H589">
        <v>0</v>
      </c>
      <c r="K589" t="s">
        <v>133</v>
      </c>
      <c r="L589">
        <v>0</v>
      </c>
      <c r="O589" t="s">
        <v>133</v>
      </c>
      <c r="P589">
        <v>0</v>
      </c>
      <c r="S589" t="s">
        <v>133</v>
      </c>
      <c r="T589">
        <v>0</v>
      </c>
      <c r="W589" t="s">
        <v>133</v>
      </c>
      <c r="X589">
        <v>0</v>
      </c>
      <c r="AA589" t="s">
        <v>133</v>
      </c>
      <c r="AB589">
        <v>306</v>
      </c>
      <c r="AE589" t="s">
        <v>133</v>
      </c>
      <c r="AF589">
        <v>0</v>
      </c>
      <c r="AI589" t="s">
        <v>133</v>
      </c>
      <c r="AJ589">
        <v>0</v>
      </c>
      <c r="AM589" t="s">
        <v>133</v>
      </c>
      <c r="AN589">
        <v>0</v>
      </c>
      <c r="AQ589" t="s">
        <v>133</v>
      </c>
      <c r="AR589">
        <v>0</v>
      </c>
      <c r="AT589" t="s">
        <v>79</v>
      </c>
      <c r="AU589">
        <v>0</v>
      </c>
    </row>
    <row r="590" spans="1:47" x14ac:dyDescent="0.35">
      <c r="C590" t="s">
        <v>206</v>
      </c>
      <c r="D590">
        <v>0</v>
      </c>
      <c r="G590" t="s">
        <v>206</v>
      </c>
      <c r="H590">
        <v>0</v>
      </c>
      <c r="K590" t="s">
        <v>206</v>
      </c>
      <c r="L590">
        <v>0</v>
      </c>
      <c r="O590" t="s">
        <v>206</v>
      </c>
      <c r="P590">
        <v>0</v>
      </c>
      <c r="S590" t="s">
        <v>206</v>
      </c>
      <c r="T590">
        <v>0</v>
      </c>
      <c r="W590" t="s">
        <v>206</v>
      </c>
      <c r="X590">
        <v>0</v>
      </c>
      <c r="AA590" t="s">
        <v>206</v>
      </c>
      <c r="AB590">
        <v>0</v>
      </c>
      <c r="AE590" t="s">
        <v>206</v>
      </c>
      <c r="AF590">
        <v>0</v>
      </c>
      <c r="AI590" t="s">
        <v>206</v>
      </c>
      <c r="AJ590">
        <v>0</v>
      </c>
      <c r="AM590" t="s">
        <v>206</v>
      </c>
      <c r="AN590">
        <v>0</v>
      </c>
      <c r="AQ590" t="s">
        <v>206</v>
      </c>
      <c r="AR590">
        <v>0</v>
      </c>
      <c r="AT590" t="s">
        <v>68</v>
      </c>
      <c r="AU590">
        <v>0</v>
      </c>
    </row>
    <row r="591" spans="1:47" x14ac:dyDescent="0.35">
      <c r="C591" t="s">
        <v>136</v>
      </c>
      <c r="D591">
        <v>0</v>
      </c>
      <c r="G591" t="s">
        <v>136</v>
      </c>
      <c r="H591">
        <v>0</v>
      </c>
      <c r="K591" t="s">
        <v>136</v>
      </c>
      <c r="L591">
        <v>0</v>
      </c>
      <c r="O591" t="s">
        <v>136</v>
      </c>
      <c r="P591">
        <v>0</v>
      </c>
      <c r="S591" t="s">
        <v>136</v>
      </c>
      <c r="T591">
        <v>0</v>
      </c>
      <c r="W591" t="s">
        <v>136</v>
      </c>
      <c r="X591">
        <v>0</v>
      </c>
      <c r="AA591" t="s">
        <v>136</v>
      </c>
      <c r="AB591">
        <v>0</v>
      </c>
      <c r="AE591" t="s">
        <v>136</v>
      </c>
      <c r="AF591">
        <v>0</v>
      </c>
      <c r="AI591" t="s">
        <v>136</v>
      </c>
      <c r="AJ591">
        <v>0</v>
      </c>
      <c r="AM591" t="s">
        <v>136</v>
      </c>
      <c r="AN591">
        <v>0</v>
      </c>
      <c r="AQ591" t="s">
        <v>136</v>
      </c>
      <c r="AR591">
        <v>0</v>
      </c>
      <c r="AT591" t="s">
        <v>69</v>
      </c>
      <c r="AU591">
        <v>214</v>
      </c>
    </row>
    <row r="592" spans="1:47" x14ac:dyDescent="0.35">
      <c r="C592" t="s">
        <v>207</v>
      </c>
      <c r="D592">
        <v>0</v>
      </c>
      <c r="G592" t="s">
        <v>207</v>
      </c>
      <c r="H592">
        <v>0</v>
      </c>
      <c r="K592" t="s">
        <v>207</v>
      </c>
      <c r="L592">
        <v>0</v>
      </c>
      <c r="O592" t="s">
        <v>207</v>
      </c>
      <c r="P592">
        <v>0</v>
      </c>
      <c r="S592" t="s">
        <v>207</v>
      </c>
      <c r="T592">
        <v>0</v>
      </c>
      <c r="W592" t="s">
        <v>207</v>
      </c>
      <c r="X592">
        <v>0</v>
      </c>
      <c r="AA592" t="s">
        <v>207</v>
      </c>
      <c r="AB592">
        <v>0</v>
      </c>
      <c r="AE592" t="s">
        <v>207</v>
      </c>
      <c r="AF592">
        <v>0</v>
      </c>
      <c r="AI592" t="s">
        <v>207</v>
      </c>
      <c r="AJ592">
        <v>0</v>
      </c>
      <c r="AM592" t="s">
        <v>207</v>
      </c>
      <c r="AN592">
        <v>0</v>
      </c>
      <c r="AQ592" t="s">
        <v>207</v>
      </c>
      <c r="AR592">
        <v>0</v>
      </c>
      <c r="AT592" t="s">
        <v>70</v>
      </c>
      <c r="AU592">
        <v>11</v>
      </c>
    </row>
    <row r="593" spans="1:47" x14ac:dyDescent="0.35">
      <c r="C593" t="s">
        <v>141</v>
      </c>
      <c r="D593">
        <v>0</v>
      </c>
      <c r="G593" t="s">
        <v>141</v>
      </c>
      <c r="H593">
        <v>0</v>
      </c>
      <c r="K593" t="s">
        <v>141</v>
      </c>
      <c r="L593">
        <v>0</v>
      </c>
      <c r="O593" t="s">
        <v>141</v>
      </c>
      <c r="P593">
        <v>0</v>
      </c>
      <c r="S593" t="s">
        <v>141</v>
      </c>
      <c r="T593">
        <v>0</v>
      </c>
      <c r="W593" t="s">
        <v>141</v>
      </c>
      <c r="X593">
        <v>0</v>
      </c>
      <c r="AA593" t="s">
        <v>141</v>
      </c>
      <c r="AB593">
        <v>0</v>
      </c>
      <c r="AE593" t="s">
        <v>141</v>
      </c>
      <c r="AF593">
        <v>0</v>
      </c>
      <c r="AI593" t="s">
        <v>141</v>
      </c>
      <c r="AJ593">
        <v>0</v>
      </c>
      <c r="AM593" t="s">
        <v>141</v>
      </c>
      <c r="AN593">
        <v>0</v>
      </c>
      <c r="AQ593" t="s">
        <v>141</v>
      </c>
      <c r="AR593">
        <v>0</v>
      </c>
      <c r="AT593" t="s">
        <v>76</v>
      </c>
      <c r="AU593">
        <v>56</v>
      </c>
    </row>
    <row r="594" spans="1:47" x14ac:dyDescent="0.35">
      <c r="C594" t="s">
        <v>208</v>
      </c>
      <c r="D594">
        <v>0</v>
      </c>
      <c r="G594" t="s">
        <v>208</v>
      </c>
      <c r="H594">
        <v>0</v>
      </c>
      <c r="K594" t="s">
        <v>208</v>
      </c>
      <c r="L594">
        <v>0</v>
      </c>
      <c r="O594" t="s">
        <v>208</v>
      </c>
      <c r="P594">
        <v>0</v>
      </c>
      <c r="S594" t="s">
        <v>208</v>
      </c>
      <c r="T594">
        <v>0</v>
      </c>
      <c r="W594" t="s">
        <v>208</v>
      </c>
      <c r="X594">
        <v>0</v>
      </c>
      <c r="AA594" t="s">
        <v>208</v>
      </c>
      <c r="AB594">
        <v>0</v>
      </c>
      <c r="AE594" t="s">
        <v>208</v>
      </c>
      <c r="AF594">
        <v>0</v>
      </c>
      <c r="AI594" t="s">
        <v>208</v>
      </c>
      <c r="AJ594">
        <v>0</v>
      </c>
      <c r="AM594" t="s">
        <v>208</v>
      </c>
      <c r="AN594">
        <v>0</v>
      </c>
      <c r="AQ594" t="s">
        <v>208</v>
      </c>
      <c r="AR594">
        <v>0</v>
      </c>
      <c r="AT594" t="s">
        <v>77</v>
      </c>
      <c r="AU594">
        <v>6355</v>
      </c>
    </row>
    <row r="595" spans="1:47" x14ac:dyDescent="0.35">
      <c r="C595" t="s">
        <v>209</v>
      </c>
      <c r="D595">
        <v>0</v>
      </c>
      <c r="G595" t="s">
        <v>209</v>
      </c>
      <c r="H595">
        <v>0</v>
      </c>
      <c r="K595" t="s">
        <v>209</v>
      </c>
      <c r="L595">
        <v>0</v>
      </c>
      <c r="O595" t="s">
        <v>209</v>
      </c>
      <c r="P595">
        <v>0</v>
      </c>
      <c r="S595" t="s">
        <v>209</v>
      </c>
      <c r="T595">
        <v>0</v>
      </c>
      <c r="W595" t="s">
        <v>209</v>
      </c>
      <c r="X595">
        <v>0</v>
      </c>
      <c r="AA595" t="s">
        <v>209</v>
      </c>
      <c r="AB595">
        <v>0</v>
      </c>
      <c r="AE595" t="s">
        <v>209</v>
      </c>
      <c r="AF595">
        <v>0</v>
      </c>
      <c r="AI595" t="s">
        <v>209</v>
      </c>
      <c r="AJ595">
        <v>0</v>
      </c>
      <c r="AM595" t="s">
        <v>209</v>
      </c>
      <c r="AN595">
        <v>0</v>
      </c>
      <c r="AQ595" t="s">
        <v>209</v>
      </c>
      <c r="AR595">
        <v>0</v>
      </c>
      <c r="AT595" t="s">
        <v>78</v>
      </c>
      <c r="AU595">
        <v>0</v>
      </c>
    </row>
    <row r="596" spans="1:47" x14ac:dyDescent="0.35">
      <c r="C596" t="s">
        <v>134</v>
      </c>
      <c r="D596">
        <v>0</v>
      </c>
      <c r="G596" t="s">
        <v>134</v>
      </c>
      <c r="H596">
        <v>0</v>
      </c>
      <c r="K596" t="s">
        <v>134</v>
      </c>
      <c r="L596">
        <v>0</v>
      </c>
      <c r="O596" t="s">
        <v>134</v>
      </c>
      <c r="P596">
        <v>0</v>
      </c>
      <c r="S596" t="s">
        <v>134</v>
      </c>
      <c r="T596">
        <v>0</v>
      </c>
      <c r="W596" t="s">
        <v>134</v>
      </c>
      <c r="X596">
        <v>0</v>
      </c>
      <c r="AA596" t="s">
        <v>134</v>
      </c>
      <c r="AB596">
        <v>0</v>
      </c>
      <c r="AE596" t="s">
        <v>134</v>
      </c>
      <c r="AF596">
        <v>0</v>
      </c>
      <c r="AI596" t="s">
        <v>134</v>
      </c>
      <c r="AJ596">
        <v>0</v>
      </c>
      <c r="AM596" t="s">
        <v>134</v>
      </c>
      <c r="AN596">
        <v>0</v>
      </c>
      <c r="AQ596" t="s">
        <v>134</v>
      </c>
      <c r="AR596">
        <v>0</v>
      </c>
      <c r="AT596" t="s">
        <v>67</v>
      </c>
      <c r="AU596">
        <v>306</v>
      </c>
    </row>
    <row r="597" spans="1:47" x14ac:dyDescent="0.35">
      <c r="C597" t="s">
        <v>142</v>
      </c>
      <c r="D597">
        <v>0</v>
      </c>
      <c r="G597" t="s">
        <v>142</v>
      </c>
      <c r="H597">
        <v>0</v>
      </c>
      <c r="K597" t="s">
        <v>142</v>
      </c>
      <c r="L597">
        <v>0</v>
      </c>
      <c r="O597" t="s">
        <v>142</v>
      </c>
      <c r="P597">
        <v>0</v>
      </c>
      <c r="S597" t="s">
        <v>142</v>
      </c>
      <c r="T597">
        <v>0</v>
      </c>
      <c r="W597" t="s">
        <v>142</v>
      </c>
      <c r="X597">
        <v>0</v>
      </c>
      <c r="AA597" t="s">
        <v>142</v>
      </c>
      <c r="AB597">
        <v>0</v>
      </c>
      <c r="AE597" t="s">
        <v>142</v>
      </c>
      <c r="AF597">
        <v>0</v>
      </c>
      <c r="AI597" t="s">
        <v>142</v>
      </c>
      <c r="AJ597">
        <v>0</v>
      </c>
      <c r="AM597" t="s">
        <v>142</v>
      </c>
      <c r="AN597">
        <v>0</v>
      </c>
      <c r="AQ597" t="s">
        <v>142</v>
      </c>
      <c r="AR597">
        <v>0</v>
      </c>
      <c r="AT597" t="s">
        <v>80</v>
      </c>
      <c r="AU597">
        <v>0</v>
      </c>
    </row>
    <row r="598" spans="1:47" x14ac:dyDescent="0.35">
      <c r="C598" t="s">
        <v>83</v>
      </c>
      <c r="D598">
        <v>0</v>
      </c>
      <c r="G598" t="s">
        <v>83</v>
      </c>
      <c r="H598">
        <v>0</v>
      </c>
      <c r="K598" t="s">
        <v>83</v>
      </c>
      <c r="L598">
        <v>0</v>
      </c>
      <c r="O598" t="s">
        <v>83</v>
      </c>
      <c r="P598">
        <v>0</v>
      </c>
      <c r="S598" t="s">
        <v>83</v>
      </c>
      <c r="T598">
        <v>0</v>
      </c>
      <c r="W598" t="s">
        <v>83</v>
      </c>
      <c r="X598">
        <v>0</v>
      </c>
      <c r="AA598" t="s">
        <v>83</v>
      </c>
      <c r="AB598">
        <v>0</v>
      </c>
      <c r="AE598" t="s">
        <v>83</v>
      </c>
      <c r="AF598">
        <v>0</v>
      </c>
      <c r="AI598" t="s">
        <v>83</v>
      </c>
      <c r="AJ598">
        <v>0</v>
      </c>
      <c r="AM598" t="s">
        <v>83</v>
      </c>
      <c r="AN598">
        <v>0</v>
      </c>
      <c r="AQ598" t="s">
        <v>83</v>
      </c>
      <c r="AR598">
        <v>0</v>
      </c>
      <c r="AT598" t="s">
        <v>83</v>
      </c>
      <c r="AU598">
        <v>99</v>
      </c>
    </row>
    <row r="599" spans="1:47" x14ac:dyDescent="0.35">
      <c r="C599" t="s">
        <v>84</v>
      </c>
      <c r="D599">
        <v>0</v>
      </c>
      <c r="G599" t="s">
        <v>84</v>
      </c>
      <c r="H599">
        <v>0</v>
      </c>
      <c r="K599" t="s">
        <v>84</v>
      </c>
      <c r="L599">
        <v>0</v>
      </c>
      <c r="O599" t="s">
        <v>84</v>
      </c>
      <c r="P599">
        <v>0</v>
      </c>
      <c r="S599" t="s">
        <v>84</v>
      </c>
      <c r="T599">
        <v>0</v>
      </c>
      <c r="W599" t="s">
        <v>84</v>
      </c>
      <c r="X599">
        <v>0</v>
      </c>
      <c r="AA599" t="s">
        <v>84</v>
      </c>
      <c r="AB599">
        <v>0</v>
      </c>
      <c r="AE599" t="s">
        <v>84</v>
      </c>
      <c r="AF599">
        <v>0</v>
      </c>
      <c r="AI599" t="s">
        <v>84</v>
      </c>
      <c r="AJ599">
        <v>0</v>
      </c>
      <c r="AM599" t="s">
        <v>84</v>
      </c>
      <c r="AN599">
        <v>0</v>
      </c>
      <c r="AQ599" t="s">
        <v>84</v>
      </c>
      <c r="AR599">
        <v>0</v>
      </c>
      <c r="AT599" t="s">
        <v>84</v>
      </c>
      <c r="AU599">
        <v>0</v>
      </c>
    </row>
    <row r="600" spans="1:47" x14ac:dyDescent="0.35">
      <c r="C600" t="s">
        <v>126</v>
      </c>
      <c r="D600">
        <v>0</v>
      </c>
      <c r="G600" t="s">
        <v>126</v>
      </c>
      <c r="H600">
        <v>0</v>
      </c>
      <c r="K600" t="s">
        <v>223</v>
      </c>
      <c r="L600">
        <v>0</v>
      </c>
      <c r="O600" t="s">
        <v>126</v>
      </c>
      <c r="P600">
        <v>0</v>
      </c>
      <c r="S600" t="s">
        <v>126</v>
      </c>
      <c r="T600">
        <v>0</v>
      </c>
      <c r="W600" t="s">
        <v>126</v>
      </c>
      <c r="X600">
        <v>0</v>
      </c>
      <c r="AA600" t="s">
        <v>126</v>
      </c>
      <c r="AB600">
        <v>0</v>
      </c>
      <c r="AE600" t="s">
        <v>126</v>
      </c>
      <c r="AF600">
        <v>0</v>
      </c>
      <c r="AI600" t="s">
        <v>126</v>
      </c>
      <c r="AJ600">
        <v>0</v>
      </c>
      <c r="AM600" t="s">
        <v>126</v>
      </c>
      <c r="AN600">
        <v>0</v>
      </c>
      <c r="AQ600" t="s">
        <v>126</v>
      </c>
      <c r="AR600">
        <v>0</v>
      </c>
      <c r="AT600" t="s">
        <v>86</v>
      </c>
      <c r="AU600">
        <v>0</v>
      </c>
    </row>
    <row r="601" spans="1:47" x14ac:dyDescent="0.35">
      <c r="C601" t="s">
        <v>87</v>
      </c>
      <c r="D601">
        <v>0</v>
      </c>
      <c r="G601" t="s">
        <v>87</v>
      </c>
      <c r="H601">
        <v>0</v>
      </c>
      <c r="K601" t="s">
        <v>87</v>
      </c>
      <c r="L601">
        <v>0</v>
      </c>
      <c r="O601" t="s">
        <v>87</v>
      </c>
      <c r="P601">
        <v>0</v>
      </c>
      <c r="S601" t="s">
        <v>87</v>
      </c>
      <c r="T601">
        <v>0</v>
      </c>
      <c r="W601" t="s">
        <v>87</v>
      </c>
      <c r="X601">
        <v>0</v>
      </c>
      <c r="AA601" t="s">
        <v>87</v>
      </c>
      <c r="AB601">
        <v>0</v>
      </c>
      <c r="AE601" t="s">
        <v>87</v>
      </c>
      <c r="AF601">
        <v>0</v>
      </c>
      <c r="AI601" t="s">
        <v>87</v>
      </c>
      <c r="AJ601">
        <v>0</v>
      </c>
      <c r="AM601" t="s">
        <v>87</v>
      </c>
      <c r="AN601">
        <v>0</v>
      </c>
      <c r="AQ601" t="s">
        <v>87</v>
      </c>
      <c r="AR601">
        <v>0</v>
      </c>
      <c r="AT601" t="s">
        <v>87</v>
      </c>
      <c r="AU601">
        <v>602</v>
      </c>
    </row>
    <row r="602" spans="1:47" x14ac:dyDescent="0.35">
      <c r="A602" t="s">
        <v>179</v>
      </c>
      <c r="B602">
        <v>16514686.999999991</v>
      </c>
      <c r="C602" t="s">
        <v>135</v>
      </c>
      <c r="D602">
        <v>3525</v>
      </c>
      <c r="E602" t="s">
        <v>179</v>
      </c>
      <c r="F602">
        <v>17004032.499999996</v>
      </c>
      <c r="G602" t="s">
        <v>135</v>
      </c>
      <c r="H602">
        <v>4063</v>
      </c>
      <c r="I602" t="s">
        <v>179</v>
      </c>
      <c r="J602">
        <v>17551814.000000004</v>
      </c>
      <c r="K602" t="s">
        <v>135</v>
      </c>
      <c r="L602">
        <v>3576</v>
      </c>
      <c r="M602" t="s">
        <v>179</v>
      </c>
      <c r="N602">
        <v>18112906.500000004</v>
      </c>
      <c r="O602" t="s">
        <v>135</v>
      </c>
      <c r="P602">
        <v>3583</v>
      </c>
      <c r="Q602" t="s">
        <v>179</v>
      </c>
      <c r="R602">
        <v>18700106</v>
      </c>
      <c r="S602" t="s">
        <v>135</v>
      </c>
      <c r="T602">
        <v>4570</v>
      </c>
      <c r="U602" t="s">
        <v>179</v>
      </c>
      <c r="V602">
        <v>19311354.499999996</v>
      </c>
      <c r="W602" t="s">
        <v>135</v>
      </c>
      <c r="X602">
        <v>4576</v>
      </c>
      <c r="Y602" t="s">
        <v>179</v>
      </c>
      <c r="Z602">
        <v>19934298.000000004</v>
      </c>
      <c r="AA602" t="s">
        <v>135</v>
      </c>
      <c r="AB602">
        <v>5155</v>
      </c>
      <c r="AC602" t="s">
        <v>179</v>
      </c>
      <c r="AD602">
        <v>20567423.999999989</v>
      </c>
      <c r="AE602" t="s">
        <v>135</v>
      </c>
      <c r="AF602">
        <v>0</v>
      </c>
      <c r="AG602" t="s">
        <v>179</v>
      </c>
      <c r="AH602">
        <v>21224040.000000004</v>
      </c>
      <c r="AI602" t="s">
        <v>135</v>
      </c>
      <c r="AJ602">
        <v>0</v>
      </c>
      <c r="AK602" t="s">
        <v>179</v>
      </c>
      <c r="AL602">
        <v>21904982.999999996</v>
      </c>
      <c r="AM602" t="s">
        <v>135</v>
      </c>
      <c r="AN602">
        <v>0</v>
      </c>
      <c r="AO602" t="s">
        <v>179</v>
      </c>
      <c r="AP602">
        <v>22593590.500000022</v>
      </c>
      <c r="AQ602" t="s">
        <v>135</v>
      </c>
      <c r="AR602">
        <v>8998</v>
      </c>
      <c r="AS602" t="s">
        <v>179</v>
      </c>
      <c r="AT602" t="s">
        <v>148</v>
      </c>
      <c r="AU602">
        <v>2866</v>
      </c>
    </row>
    <row r="603" spans="1:47" x14ac:dyDescent="0.35">
      <c r="C603" t="s">
        <v>139</v>
      </c>
      <c r="D603">
        <v>8514</v>
      </c>
      <c r="G603" t="s">
        <v>139</v>
      </c>
      <c r="H603">
        <v>0</v>
      </c>
      <c r="K603" t="s">
        <v>139</v>
      </c>
      <c r="L603">
        <v>0</v>
      </c>
      <c r="O603" t="s">
        <v>139</v>
      </c>
      <c r="P603">
        <v>0</v>
      </c>
      <c r="S603" t="s">
        <v>139</v>
      </c>
      <c r="T603">
        <v>9530</v>
      </c>
      <c r="W603" t="s">
        <v>139</v>
      </c>
      <c r="X603">
        <v>0</v>
      </c>
      <c r="AA603" t="s">
        <v>139</v>
      </c>
      <c r="AB603">
        <v>11986</v>
      </c>
      <c r="AE603" t="s">
        <v>139</v>
      </c>
      <c r="AF603">
        <v>0</v>
      </c>
      <c r="AI603" t="s">
        <v>139</v>
      </c>
      <c r="AJ603">
        <v>0</v>
      </c>
      <c r="AM603" t="s">
        <v>139</v>
      </c>
      <c r="AN603">
        <v>0</v>
      </c>
      <c r="AQ603" t="s">
        <v>139</v>
      </c>
      <c r="AR603">
        <v>12654</v>
      </c>
      <c r="AT603" t="s">
        <v>139</v>
      </c>
      <c r="AU603">
        <v>5225</v>
      </c>
    </row>
    <row r="604" spans="1:47" x14ac:dyDescent="0.35">
      <c r="C604" t="s">
        <v>138</v>
      </c>
      <c r="D604">
        <v>3540</v>
      </c>
      <c r="G604" t="s">
        <v>138</v>
      </c>
      <c r="H604">
        <v>3922</v>
      </c>
      <c r="K604" t="s">
        <v>138</v>
      </c>
      <c r="L604">
        <v>0</v>
      </c>
      <c r="O604" t="s">
        <v>138</v>
      </c>
      <c r="P604">
        <v>0</v>
      </c>
      <c r="S604" t="s">
        <v>138</v>
      </c>
      <c r="T604">
        <v>5314</v>
      </c>
      <c r="W604" t="s">
        <v>138</v>
      </c>
      <c r="X604">
        <v>0</v>
      </c>
      <c r="AA604" t="s">
        <v>138</v>
      </c>
      <c r="AB604">
        <v>6470</v>
      </c>
      <c r="AE604" t="s">
        <v>138</v>
      </c>
      <c r="AF604">
        <v>0</v>
      </c>
      <c r="AI604" t="s">
        <v>138</v>
      </c>
      <c r="AJ604">
        <v>0</v>
      </c>
      <c r="AM604" t="s">
        <v>138</v>
      </c>
      <c r="AN604">
        <v>0</v>
      </c>
      <c r="AQ604" t="s">
        <v>138</v>
      </c>
      <c r="AR604">
        <v>3258</v>
      </c>
      <c r="AT604" t="s">
        <v>138</v>
      </c>
      <c r="AU604">
        <v>3169</v>
      </c>
    </row>
    <row r="605" spans="1:47" x14ac:dyDescent="0.35">
      <c r="C605" t="s">
        <v>82</v>
      </c>
      <c r="D605">
        <v>4</v>
      </c>
      <c r="G605" t="s">
        <v>82</v>
      </c>
      <c r="H605">
        <v>218</v>
      </c>
      <c r="K605" t="s">
        <v>82</v>
      </c>
      <c r="L605">
        <v>194</v>
      </c>
      <c r="O605" t="s">
        <v>82</v>
      </c>
      <c r="P605">
        <v>514</v>
      </c>
      <c r="S605" t="s">
        <v>82</v>
      </c>
      <c r="T605">
        <v>0</v>
      </c>
      <c r="W605" t="s">
        <v>82</v>
      </c>
      <c r="X605">
        <v>0</v>
      </c>
      <c r="AA605" t="s">
        <v>82</v>
      </c>
      <c r="AB605">
        <v>0</v>
      </c>
      <c r="AE605" t="s">
        <v>82</v>
      </c>
      <c r="AF605">
        <v>170</v>
      </c>
      <c r="AI605" t="s">
        <v>82</v>
      </c>
      <c r="AJ605">
        <v>109</v>
      </c>
      <c r="AM605" t="s">
        <v>82</v>
      </c>
      <c r="AN605">
        <v>82</v>
      </c>
      <c r="AQ605" t="s">
        <v>82</v>
      </c>
      <c r="AR605">
        <v>36980</v>
      </c>
      <c r="AT605" t="s">
        <v>82</v>
      </c>
      <c r="AU605">
        <v>1424</v>
      </c>
    </row>
    <row r="606" spans="1:47" x14ac:dyDescent="0.35">
      <c r="C606" t="s">
        <v>60</v>
      </c>
      <c r="D606">
        <v>0</v>
      </c>
      <c r="G606" t="s">
        <v>60</v>
      </c>
      <c r="H606">
        <v>0</v>
      </c>
      <c r="K606" t="s">
        <v>60</v>
      </c>
      <c r="L606">
        <v>107</v>
      </c>
      <c r="O606" t="s">
        <v>60</v>
      </c>
      <c r="P606">
        <v>385</v>
      </c>
      <c r="S606" t="s">
        <v>60</v>
      </c>
      <c r="T606">
        <v>0</v>
      </c>
      <c r="W606" t="s">
        <v>60</v>
      </c>
      <c r="X606">
        <v>0</v>
      </c>
      <c r="AA606" t="s">
        <v>60</v>
      </c>
      <c r="AB606">
        <v>0</v>
      </c>
      <c r="AE606" t="s">
        <v>60</v>
      </c>
      <c r="AF606">
        <v>121</v>
      </c>
      <c r="AI606" t="s">
        <v>60</v>
      </c>
      <c r="AJ606">
        <v>34</v>
      </c>
      <c r="AM606" t="s">
        <v>60</v>
      </c>
      <c r="AN606">
        <v>53</v>
      </c>
      <c r="AQ606" t="s">
        <v>60</v>
      </c>
      <c r="AR606">
        <v>11642</v>
      </c>
      <c r="AT606" t="s">
        <v>60</v>
      </c>
      <c r="AU606">
        <v>30</v>
      </c>
    </row>
    <row r="607" spans="1:47" x14ac:dyDescent="0.35">
      <c r="C607" t="s">
        <v>127</v>
      </c>
      <c r="D607">
        <v>0</v>
      </c>
      <c r="G607" t="s">
        <v>127</v>
      </c>
      <c r="H607">
        <v>0</v>
      </c>
      <c r="K607" t="s">
        <v>127</v>
      </c>
      <c r="L607">
        <v>0</v>
      </c>
      <c r="O607" t="s">
        <v>127</v>
      </c>
      <c r="P607">
        <v>0</v>
      </c>
      <c r="S607" t="s">
        <v>127</v>
      </c>
      <c r="T607">
        <v>0</v>
      </c>
      <c r="W607" t="s">
        <v>127</v>
      </c>
      <c r="X607">
        <v>0</v>
      </c>
      <c r="AA607" t="s">
        <v>127</v>
      </c>
      <c r="AB607">
        <v>1152</v>
      </c>
      <c r="AE607" t="s">
        <v>127</v>
      </c>
      <c r="AF607">
        <v>0</v>
      </c>
      <c r="AI607" t="s">
        <v>127</v>
      </c>
      <c r="AJ607">
        <v>3303</v>
      </c>
      <c r="AM607" t="s">
        <v>127</v>
      </c>
      <c r="AN607">
        <v>0</v>
      </c>
      <c r="AQ607" t="s">
        <v>127</v>
      </c>
      <c r="AR607">
        <v>0</v>
      </c>
      <c r="AT607" t="s">
        <v>58</v>
      </c>
      <c r="AU607">
        <v>1152</v>
      </c>
    </row>
    <row r="608" spans="1:47" x14ac:dyDescent="0.35">
      <c r="C608" t="s">
        <v>61</v>
      </c>
      <c r="D608">
        <v>0</v>
      </c>
      <c r="G608" t="s">
        <v>61</v>
      </c>
      <c r="H608">
        <v>0</v>
      </c>
      <c r="K608" t="s">
        <v>61</v>
      </c>
      <c r="L608">
        <v>0</v>
      </c>
      <c r="O608" t="s">
        <v>61</v>
      </c>
      <c r="P608">
        <v>0</v>
      </c>
      <c r="S608" t="s">
        <v>61</v>
      </c>
      <c r="T608">
        <v>0</v>
      </c>
      <c r="W608" t="s">
        <v>61</v>
      </c>
      <c r="X608">
        <v>0</v>
      </c>
      <c r="AA608" t="s">
        <v>61</v>
      </c>
      <c r="AB608">
        <v>0</v>
      </c>
      <c r="AE608" t="s">
        <v>61</v>
      </c>
      <c r="AF608">
        <v>0</v>
      </c>
      <c r="AI608" t="s">
        <v>61</v>
      </c>
      <c r="AJ608">
        <v>0</v>
      </c>
      <c r="AM608" t="s">
        <v>61</v>
      </c>
      <c r="AN608">
        <v>0</v>
      </c>
      <c r="AQ608" t="s">
        <v>61</v>
      </c>
      <c r="AR608">
        <v>3342</v>
      </c>
      <c r="AT608" t="s">
        <v>61</v>
      </c>
      <c r="AU608">
        <v>7</v>
      </c>
    </row>
    <row r="609" spans="3:47" x14ac:dyDescent="0.35">
      <c r="C609" t="s">
        <v>62</v>
      </c>
      <c r="D609">
        <v>0</v>
      </c>
      <c r="G609" t="s">
        <v>62</v>
      </c>
      <c r="H609">
        <v>0</v>
      </c>
      <c r="K609" t="s">
        <v>62</v>
      </c>
      <c r="L609">
        <v>0</v>
      </c>
      <c r="O609" t="s">
        <v>62</v>
      </c>
      <c r="P609">
        <v>0</v>
      </c>
      <c r="S609" t="s">
        <v>62</v>
      </c>
      <c r="T609">
        <v>0</v>
      </c>
      <c r="W609" t="s">
        <v>62</v>
      </c>
      <c r="X609">
        <v>0</v>
      </c>
      <c r="AA609" t="s">
        <v>62</v>
      </c>
      <c r="AB609">
        <v>0</v>
      </c>
      <c r="AE609" t="s">
        <v>62</v>
      </c>
      <c r="AF609">
        <v>146</v>
      </c>
      <c r="AI609" t="s">
        <v>62</v>
      </c>
      <c r="AJ609">
        <v>0</v>
      </c>
      <c r="AM609" t="s">
        <v>62</v>
      </c>
      <c r="AN609">
        <v>0</v>
      </c>
      <c r="AQ609" t="s">
        <v>62</v>
      </c>
      <c r="AR609">
        <v>3642</v>
      </c>
      <c r="AT609" t="s">
        <v>62</v>
      </c>
      <c r="AU609">
        <v>78</v>
      </c>
    </row>
    <row r="610" spans="3:47" x14ac:dyDescent="0.35">
      <c r="C610" t="s">
        <v>203</v>
      </c>
      <c r="D610">
        <v>0</v>
      </c>
      <c r="G610" t="s">
        <v>203</v>
      </c>
      <c r="H610">
        <v>0</v>
      </c>
      <c r="K610" t="s">
        <v>203</v>
      </c>
      <c r="L610">
        <v>0</v>
      </c>
      <c r="O610" t="s">
        <v>203</v>
      </c>
      <c r="P610">
        <v>0</v>
      </c>
      <c r="S610" t="s">
        <v>203</v>
      </c>
      <c r="T610">
        <v>0</v>
      </c>
      <c r="W610" t="s">
        <v>203</v>
      </c>
      <c r="X610">
        <v>0</v>
      </c>
      <c r="AA610" t="s">
        <v>203</v>
      </c>
      <c r="AB610">
        <v>0</v>
      </c>
      <c r="AE610" t="s">
        <v>203</v>
      </c>
      <c r="AF610">
        <v>0</v>
      </c>
      <c r="AI610" t="s">
        <v>203</v>
      </c>
      <c r="AJ610">
        <v>0</v>
      </c>
      <c r="AM610" t="s">
        <v>203</v>
      </c>
      <c r="AN610">
        <v>0</v>
      </c>
      <c r="AQ610" t="s">
        <v>203</v>
      </c>
      <c r="AR610">
        <v>0</v>
      </c>
      <c r="AT610" t="s">
        <v>64</v>
      </c>
      <c r="AU610">
        <v>2153</v>
      </c>
    </row>
    <row r="611" spans="3:47" x14ac:dyDescent="0.35">
      <c r="C611" t="s">
        <v>204</v>
      </c>
      <c r="D611">
        <v>0</v>
      </c>
      <c r="G611" t="s">
        <v>204</v>
      </c>
      <c r="H611">
        <v>0</v>
      </c>
      <c r="K611" t="s">
        <v>204</v>
      </c>
      <c r="L611">
        <v>0</v>
      </c>
      <c r="O611" t="s">
        <v>204</v>
      </c>
      <c r="P611">
        <v>0</v>
      </c>
      <c r="S611" t="s">
        <v>204</v>
      </c>
      <c r="T611">
        <v>0</v>
      </c>
      <c r="W611" t="s">
        <v>204</v>
      </c>
      <c r="X611">
        <v>0</v>
      </c>
      <c r="AA611" t="s">
        <v>204</v>
      </c>
      <c r="AB611">
        <v>13</v>
      </c>
      <c r="AE611" t="s">
        <v>204</v>
      </c>
      <c r="AF611">
        <v>0</v>
      </c>
      <c r="AI611" t="s">
        <v>204</v>
      </c>
      <c r="AJ611">
        <v>0</v>
      </c>
      <c r="AM611" t="s">
        <v>204</v>
      </c>
      <c r="AN611">
        <v>0</v>
      </c>
      <c r="AQ611" t="s">
        <v>204</v>
      </c>
      <c r="AR611">
        <v>0</v>
      </c>
      <c r="AT611" t="s">
        <v>65</v>
      </c>
      <c r="AU611">
        <v>25</v>
      </c>
    </row>
    <row r="612" spans="3:47" x14ac:dyDescent="0.35">
      <c r="C612" t="s">
        <v>205</v>
      </c>
      <c r="D612">
        <v>0</v>
      </c>
      <c r="G612" t="s">
        <v>205</v>
      </c>
      <c r="H612">
        <v>0</v>
      </c>
      <c r="K612" t="s">
        <v>205</v>
      </c>
      <c r="L612">
        <v>0</v>
      </c>
      <c r="O612" t="s">
        <v>205</v>
      </c>
      <c r="P612">
        <v>0</v>
      </c>
      <c r="S612" t="s">
        <v>205</v>
      </c>
      <c r="T612">
        <v>0</v>
      </c>
      <c r="W612" t="s">
        <v>205</v>
      </c>
      <c r="X612">
        <v>0</v>
      </c>
      <c r="AA612" t="s">
        <v>205</v>
      </c>
      <c r="AB612">
        <v>15</v>
      </c>
      <c r="AE612" t="s">
        <v>205</v>
      </c>
      <c r="AF612">
        <v>0</v>
      </c>
      <c r="AI612" t="s">
        <v>205</v>
      </c>
      <c r="AJ612">
        <v>0</v>
      </c>
      <c r="AM612" t="s">
        <v>205</v>
      </c>
      <c r="AN612">
        <v>0</v>
      </c>
      <c r="AQ612" t="s">
        <v>205</v>
      </c>
      <c r="AR612">
        <v>0</v>
      </c>
      <c r="AT612" t="s">
        <v>66</v>
      </c>
      <c r="AU612">
        <v>0</v>
      </c>
    </row>
    <row r="613" spans="3:47" x14ac:dyDescent="0.35">
      <c r="C613" t="s">
        <v>133</v>
      </c>
      <c r="D613">
        <v>0</v>
      </c>
      <c r="G613" t="s">
        <v>133</v>
      </c>
      <c r="H613">
        <v>0</v>
      </c>
      <c r="K613" t="s">
        <v>133</v>
      </c>
      <c r="L613">
        <v>0</v>
      </c>
      <c r="O613" t="s">
        <v>133</v>
      </c>
      <c r="P613">
        <v>0</v>
      </c>
      <c r="S613" t="s">
        <v>133</v>
      </c>
      <c r="T613">
        <v>0</v>
      </c>
      <c r="W613" t="s">
        <v>133</v>
      </c>
      <c r="X613">
        <v>0</v>
      </c>
      <c r="AA613" t="s">
        <v>133</v>
      </c>
      <c r="AB613">
        <v>0</v>
      </c>
      <c r="AE613" t="s">
        <v>133</v>
      </c>
      <c r="AF613">
        <v>0</v>
      </c>
      <c r="AI613" t="s">
        <v>133</v>
      </c>
      <c r="AJ613">
        <v>0</v>
      </c>
      <c r="AM613" t="s">
        <v>133</v>
      </c>
      <c r="AN613">
        <v>0</v>
      </c>
      <c r="AQ613" t="s">
        <v>133</v>
      </c>
      <c r="AR613">
        <v>0</v>
      </c>
      <c r="AT613" t="s">
        <v>79</v>
      </c>
      <c r="AU613">
        <v>1496</v>
      </c>
    </row>
    <row r="614" spans="3:47" x14ac:dyDescent="0.35">
      <c r="C614" t="s">
        <v>206</v>
      </c>
      <c r="D614">
        <v>0</v>
      </c>
      <c r="G614" t="s">
        <v>206</v>
      </c>
      <c r="H614">
        <v>0</v>
      </c>
      <c r="K614" t="s">
        <v>206</v>
      </c>
      <c r="L614">
        <v>0</v>
      </c>
      <c r="O614" t="s">
        <v>206</v>
      </c>
      <c r="P614">
        <v>0</v>
      </c>
      <c r="S614" t="s">
        <v>206</v>
      </c>
      <c r="T614">
        <v>0</v>
      </c>
      <c r="W614" t="s">
        <v>206</v>
      </c>
      <c r="X614">
        <v>0</v>
      </c>
      <c r="AA614" t="s">
        <v>206</v>
      </c>
      <c r="AB614">
        <v>1022</v>
      </c>
      <c r="AE614" t="s">
        <v>206</v>
      </c>
      <c r="AF614">
        <v>0</v>
      </c>
      <c r="AI614" t="s">
        <v>206</v>
      </c>
      <c r="AJ614">
        <v>0</v>
      </c>
      <c r="AM614" t="s">
        <v>206</v>
      </c>
      <c r="AN614">
        <v>0</v>
      </c>
      <c r="AQ614" t="s">
        <v>206</v>
      </c>
      <c r="AR614">
        <v>1481</v>
      </c>
      <c r="AT614" t="s">
        <v>68</v>
      </c>
      <c r="AU614">
        <v>1041</v>
      </c>
    </row>
    <row r="615" spans="3:47" x14ac:dyDescent="0.35">
      <c r="C615" t="s">
        <v>136</v>
      </c>
      <c r="D615">
        <v>0</v>
      </c>
      <c r="G615" t="s">
        <v>136</v>
      </c>
      <c r="H615">
        <v>0</v>
      </c>
      <c r="K615" t="s">
        <v>136</v>
      </c>
      <c r="L615">
        <v>0</v>
      </c>
      <c r="O615" t="s">
        <v>136</v>
      </c>
      <c r="P615">
        <v>0</v>
      </c>
      <c r="S615" t="s">
        <v>136</v>
      </c>
      <c r="T615">
        <v>0</v>
      </c>
      <c r="W615" t="s">
        <v>136</v>
      </c>
      <c r="X615">
        <v>0</v>
      </c>
      <c r="AA615" t="s">
        <v>136</v>
      </c>
      <c r="AB615">
        <v>0</v>
      </c>
      <c r="AE615" t="s">
        <v>136</v>
      </c>
      <c r="AF615">
        <v>0</v>
      </c>
      <c r="AI615" t="s">
        <v>136</v>
      </c>
      <c r="AJ615">
        <v>0</v>
      </c>
      <c r="AM615" t="s">
        <v>136</v>
      </c>
      <c r="AN615">
        <v>0</v>
      </c>
      <c r="AQ615" t="s">
        <v>136</v>
      </c>
      <c r="AR615">
        <v>0</v>
      </c>
      <c r="AT615" t="s">
        <v>69</v>
      </c>
      <c r="AU615">
        <v>0</v>
      </c>
    </row>
    <row r="616" spans="3:47" x14ac:dyDescent="0.35">
      <c r="C616" t="s">
        <v>207</v>
      </c>
      <c r="D616">
        <v>0</v>
      </c>
      <c r="G616" t="s">
        <v>207</v>
      </c>
      <c r="H616">
        <v>0</v>
      </c>
      <c r="K616" t="s">
        <v>207</v>
      </c>
      <c r="L616">
        <v>0</v>
      </c>
      <c r="O616" t="s">
        <v>207</v>
      </c>
      <c r="P616">
        <v>0</v>
      </c>
      <c r="S616" t="s">
        <v>207</v>
      </c>
      <c r="T616">
        <v>0</v>
      </c>
      <c r="W616" t="s">
        <v>207</v>
      </c>
      <c r="X616">
        <v>0</v>
      </c>
      <c r="AA616" t="s">
        <v>207</v>
      </c>
      <c r="AB616">
        <v>0</v>
      </c>
      <c r="AE616" t="s">
        <v>207</v>
      </c>
      <c r="AF616">
        <v>0</v>
      </c>
      <c r="AI616" t="s">
        <v>207</v>
      </c>
      <c r="AJ616">
        <v>0</v>
      </c>
      <c r="AM616" t="s">
        <v>207</v>
      </c>
      <c r="AN616">
        <v>0</v>
      </c>
      <c r="AQ616" t="s">
        <v>207</v>
      </c>
      <c r="AR616">
        <v>0</v>
      </c>
      <c r="AT616" t="s">
        <v>70</v>
      </c>
      <c r="AU616">
        <v>0</v>
      </c>
    </row>
    <row r="617" spans="3:47" x14ac:dyDescent="0.35">
      <c r="C617" t="s">
        <v>141</v>
      </c>
      <c r="D617">
        <v>0</v>
      </c>
      <c r="G617" t="s">
        <v>141</v>
      </c>
      <c r="H617">
        <v>0</v>
      </c>
      <c r="K617" t="s">
        <v>141</v>
      </c>
      <c r="L617">
        <v>0</v>
      </c>
      <c r="O617" t="s">
        <v>141</v>
      </c>
      <c r="P617">
        <v>0</v>
      </c>
      <c r="S617" t="s">
        <v>141</v>
      </c>
      <c r="T617">
        <v>0</v>
      </c>
      <c r="W617" t="s">
        <v>141</v>
      </c>
      <c r="X617">
        <v>0</v>
      </c>
      <c r="AA617" t="s">
        <v>141</v>
      </c>
      <c r="AB617">
        <v>0</v>
      </c>
      <c r="AE617" t="s">
        <v>141</v>
      </c>
      <c r="AF617">
        <v>0</v>
      </c>
      <c r="AI617" t="s">
        <v>141</v>
      </c>
      <c r="AJ617">
        <v>0</v>
      </c>
      <c r="AM617" t="s">
        <v>141</v>
      </c>
      <c r="AN617">
        <v>0</v>
      </c>
      <c r="AQ617" t="s">
        <v>141</v>
      </c>
      <c r="AR617">
        <v>0</v>
      </c>
      <c r="AT617" t="s">
        <v>76</v>
      </c>
      <c r="AU617">
        <v>0</v>
      </c>
    </row>
    <row r="618" spans="3:47" x14ac:dyDescent="0.35">
      <c r="C618" t="s">
        <v>208</v>
      </c>
      <c r="D618">
        <v>0</v>
      </c>
      <c r="G618" t="s">
        <v>208</v>
      </c>
      <c r="H618">
        <v>0</v>
      </c>
      <c r="K618" t="s">
        <v>208</v>
      </c>
      <c r="L618">
        <v>0</v>
      </c>
      <c r="O618" t="s">
        <v>208</v>
      </c>
      <c r="P618">
        <v>0</v>
      </c>
      <c r="S618" t="s">
        <v>208</v>
      </c>
      <c r="T618">
        <v>0</v>
      </c>
      <c r="W618" t="s">
        <v>208</v>
      </c>
      <c r="X618">
        <v>0</v>
      </c>
      <c r="AA618" t="s">
        <v>208</v>
      </c>
      <c r="AB618">
        <v>0</v>
      </c>
      <c r="AE618" t="s">
        <v>208</v>
      </c>
      <c r="AF618">
        <v>0</v>
      </c>
      <c r="AI618" t="s">
        <v>208</v>
      </c>
      <c r="AJ618">
        <v>0</v>
      </c>
      <c r="AM618" t="s">
        <v>208</v>
      </c>
      <c r="AN618">
        <v>0</v>
      </c>
      <c r="AQ618" t="s">
        <v>208</v>
      </c>
      <c r="AR618">
        <v>0</v>
      </c>
      <c r="AT618" t="s">
        <v>77</v>
      </c>
      <c r="AU618">
        <v>8306</v>
      </c>
    </row>
    <row r="619" spans="3:47" x14ac:dyDescent="0.35">
      <c r="C619" t="s">
        <v>209</v>
      </c>
      <c r="D619">
        <v>0</v>
      </c>
      <c r="G619" t="s">
        <v>209</v>
      </c>
      <c r="H619">
        <v>0</v>
      </c>
      <c r="K619" t="s">
        <v>209</v>
      </c>
      <c r="L619">
        <v>0</v>
      </c>
      <c r="O619" t="s">
        <v>209</v>
      </c>
      <c r="P619">
        <v>0</v>
      </c>
      <c r="S619" t="s">
        <v>209</v>
      </c>
      <c r="T619">
        <v>0</v>
      </c>
      <c r="W619" t="s">
        <v>209</v>
      </c>
      <c r="X619">
        <v>0</v>
      </c>
      <c r="AA619" t="s">
        <v>209</v>
      </c>
      <c r="AB619">
        <v>0</v>
      </c>
      <c r="AE619" t="s">
        <v>209</v>
      </c>
      <c r="AF619">
        <v>0</v>
      </c>
      <c r="AI619" t="s">
        <v>209</v>
      </c>
      <c r="AJ619">
        <v>0</v>
      </c>
      <c r="AM619" t="s">
        <v>209</v>
      </c>
      <c r="AN619">
        <v>0</v>
      </c>
      <c r="AQ619" t="s">
        <v>209</v>
      </c>
      <c r="AR619">
        <v>0</v>
      </c>
      <c r="AT619" t="s">
        <v>78</v>
      </c>
      <c r="AU619">
        <v>0</v>
      </c>
    </row>
    <row r="620" spans="3:47" x14ac:dyDescent="0.35">
      <c r="C620" t="s">
        <v>134</v>
      </c>
      <c r="D620">
        <v>0</v>
      </c>
      <c r="G620" t="s">
        <v>134</v>
      </c>
      <c r="H620">
        <v>0</v>
      </c>
      <c r="K620" t="s">
        <v>134</v>
      </c>
      <c r="L620">
        <v>0</v>
      </c>
      <c r="O620" t="s">
        <v>134</v>
      </c>
      <c r="P620">
        <v>0</v>
      </c>
      <c r="S620" t="s">
        <v>134</v>
      </c>
      <c r="T620">
        <v>0</v>
      </c>
      <c r="W620" t="s">
        <v>134</v>
      </c>
      <c r="X620">
        <v>0</v>
      </c>
      <c r="AA620" t="s">
        <v>134</v>
      </c>
      <c r="AB620">
        <v>0</v>
      </c>
      <c r="AE620" t="s">
        <v>134</v>
      </c>
      <c r="AF620">
        <v>0</v>
      </c>
      <c r="AI620" t="s">
        <v>134</v>
      </c>
      <c r="AJ620">
        <v>0</v>
      </c>
      <c r="AM620" t="s">
        <v>134</v>
      </c>
      <c r="AN620">
        <v>0</v>
      </c>
      <c r="AQ620" t="s">
        <v>134</v>
      </c>
      <c r="AR620">
        <v>0</v>
      </c>
      <c r="AT620" t="s">
        <v>67</v>
      </c>
      <c r="AU620">
        <v>0</v>
      </c>
    </row>
    <row r="621" spans="3:47" x14ac:dyDescent="0.35">
      <c r="C621" t="s">
        <v>142</v>
      </c>
      <c r="D621">
        <v>0</v>
      </c>
      <c r="G621" t="s">
        <v>142</v>
      </c>
      <c r="H621">
        <v>0</v>
      </c>
      <c r="K621" t="s">
        <v>142</v>
      </c>
      <c r="L621">
        <v>0</v>
      </c>
      <c r="O621" t="s">
        <v>142</v>
      </c>
      <c r="P621">
        <v>0</v>
      </c>
      <c r="S621" t="s">
        <v>142</v>
      </c>
      <c r="T621">
        <v>0</v>
      </c>
      <c r="W621" t="s">
        <v>142</v>
      </c>
      <c r="X621">
        <v>0</v>
      </c>
      <c r="AA621" t="s">
        <v>142</v>
      </c>
      <c r="AB621">
        <v>0</v>
      </c>
      <c r="AE621" t="s">
        <v>142</v>
      </c>
      <c r="AF621">
        <v>0</v>
      </c>
      <c r="AI621" t="s">
        <v>142</v>
      </c>
      <c r="AJ621">
        <v>0</v>
      </c>
      <c r="AM621" t="s">
        <v>142</v>
      </c>
      <c r="AN621">
        <v>0</v>
      </c>
      <c r="AQ621" t="s">
        <v>142</v>
      </c>
      <c r="AR621">
        <v>0</v>
      </c>
      <c r="AT621" t="s">
        <v>80</v>
      </c>
      <c r="AU621">
        <v>0</v>
      </c>
    </row>
    <row r="622" spans="3:47" x14ac:dyDescent="0.35">
      <c r="C622" t="s">
        <v>83</v>
      </c>
      <c r="D622">
        <v>0</v>
      </c>
      <c r="G622" t="s">
        <v>83</v>
      </c>
      <c r="H622">
        <v>0</v>
      </c>
      <c r="K622" t="s">
        <v>83</v>
      </c>
      <c r="L622">
        <v>0</v>
      </c>
      <c r="O622" t="s">
        <v>83</v>
      </c>
      <c r="P622">
        <v>0</v>
      </c>
      <c r="S622" t="s">
        <v>83</v>
      </c>
      <c r="T622">
        <v>0</v>
      </c>
      <c r="W622" t="s">
        <v>83</v>
      </c>
      <c r="X622">
        <v>0</v>
      </c>
      <c r="AA622" t="s">
        <v>83</v>
      </c>
      <c r="AB622">
        <v>0</v>
      </c>
      <c r="AE622" t="s">
        <v>83</v>
      </c>
      <c r="AF622">
        <v>0</v>
      </c>
      <c r="AI622" t="s">
        <v>83</v>
      </c>
      <c r="AJ622">
        <v>0</v>
      </c>
      <c r="AM622" t="s">
        <v>83</v>
      </c>
      <c r="AN622">
        <v>0</v>
      </c>
      <c r="AQ622" t="s">
        <v>83</v>
      </c>
      <c r="AR622">
        <v>0</v>
      </c>
      <c r="AT622" t="s">
        <v>83</v>
      </c>
      <c r="AU622">
        <v>0</v>
      </c>
    </row>
    <row r="623" spans="3:47" x14ac:dyDescent="0.35">
      <c r="C623" t="s">
        <v>84</v>
      </c>
      <c r="D623">
        <v>0</v>
      </c>
      <c r="G623" t="s">
        <v>84</v>
      </c>
      <c r="H623">
        <v>0</v>
      </c>
      <c r="K623" t="s">
        <v>84</v>
      </c>
      <c r="L623">
        <v>0</v>
      </c>
      <c r="O623" t="s">
        <v>84</v>
      </c>
      <c r="P623">
        <v>0</v>
      </c>
      <c r="S623" t="s">
        <v>84</v>
      </c>
      <c r="T623">
        <v>0</v>
      </c>
      <c r="W623" t="s">
        <v>84</v>
      </c>
      <c r="X623">
        <v>0</v>
      </c>
      <c r="AA623" t="s">
        <v>84</v>
      </c>
      <c r="AB623">
        <v>0</v>
      </c>
      <c r="AE623" t="s">
        <v>84</v>
      </c>
      <c r="AF623">
        <v>0</v>
      </c>
      <c r="AI623" t="s">
        <v>84</v>
      </c>
      <c r="AJ623">
        <v>0</v>
      </c>
      <c r="AM623" t="s">
        <v>84</v>
      </c>
      <c r="AN623">
        <v>0</v>
      </c>
      <c r="AQ623" t="s">
        <v>84</v>
      </c>
      <c r="AR623">
        <v>0</v>
      </c>
      <c r="AT623" t="s">
        <v>84</v>
      </c>
      <c r="AU623">
        <v>0</v>
      </c>
    </row>
    <row r="624" spans="3:47" x14ac:dyDescent="0.35">
      <c r="C624" t="s">
        <v>126</v>
      </c>
      <c r="D624">
        <v>0</v>
      </c>
      <c r="G624" t="s">
        <v>126</v>
      </c>
      <c r="H624">
        <v>0</v>
      </c>
      <c r="K624" t="s">
        <v>223</v>
      </c>
      <c r="L624">
        <v>0</v>
      </c>
      <c r="O624" t="s">
        <v>126</v>
      </c>
      <c r="P624">
        <v>0</v>
      </c>
      <c r="S624" t="s">
        <v>126</v>
      </c>
      <c r="T624">
        <v>0</v>
      </c>
      <c r="W624" t="s">
        <v>126</v>
      </c>
      <c r="X624">
        <v>0</v>
      </c>
      <c r="AA624" t="s">
        <v>126</v>
      </c>
      <c r="AB624">
        <v>0</v>
      </c>
      <c r="AE624" t="s">
        <v>126</v>
      </c>
      <c r="AF624">
        <v>0</v>
      </c>
      <c r="AI624" t="s">
        <v>126</v>
      </c>
      <c r="AJ624">
        <v>0</v>
      </c>
      <c r="AM624" t="s">
        <v>126</v>
      </c>
      <c r="AN624">
        <v>0</v>
      </c>
      <c r="AQ624" t="s">
        <v>126</v>
      </c>
      <c r="AR624">
        <v>0</v>
      </c>
      <c r="AT624" t="s">
        <v>86</v>
      </c>
      <c r="AU624">
        <v>0</v>
      </c>
    </row>
    <row r="625" spans="1:47" x14ac:dyDescent="0.35">
      <c r="C625" t="s">
        <v>87</v>
      </c>
      <c r="D625">
        <v>0</v>
      </c>
      <c r="G625" t="s">
        <v>87</v>
      </c>
      <c r="H625">
        <v>0</v>
      </c>
      <c r="K625" t="s">
        <v>87</v>
      </c>
      <c r="L625">
        <v>0</v>
      </c>
      <c r="O625" t="s">
        <v>87</v>
      </c>
      <c r="P625">
        <v>0</v>
      </c>
      <c r="S625" t="s">
        <v>87</v>
      </c>
      <c r="T625">
        <v>0</v>
      </c>
      <c r="W625" t="s">
        <v>87</v>
      </c>
      <c r="X625">
        <v>0</v>
      </c>
      <c r="AA625" t="s">
        <v>87</v>
      </c>
      <c r="AB625">
        <v>0</v>
      </c>
      <c r="AE625" t="s">
        <v>87</v>
      </c>
      <c r="AF625">
        <v>0</v>
      </c>
      <c r="AI625" t="s">
        <v>87</v>
      </c>
      <c r="AJ625">
        <v>0</v>
      </c>
      <c r="AM625" t="s">
        <v>87</v>
      </c>
      <c r="AN625">
        <v>0</v>
      </c>
      <c r="AQ625" t="s">
        <v>87</v>
      </c>
      <c r="AR625">
        <v>0</v>
      </c>
      <c r="AT625" t="s">
        <v>87</v>
      </c>
      <c r="AU625">
        <v>4</v>
      </c>
    </row>
    <row r="626" spans="1:47" x14ac:dyDescent="0.35">
      <c r="A626" t="s">
        <v>181</v>
      </c>
      <c r="B626">
        <v>24487610.999999996</v>
      </c>
      <c r="C626" t="s">
        <v>135</v>
      </c>
      <c r="D626">
        <v>2716</v>
      </c>
      <c r="E626" t="s">
        <v>181</v>
      </c>
      <c r="F626">
        <v>25251730.999999993</v>
      </c>
      <c r="G626" t="s">
        <v>135</v>
      </c>
      <c r="H626">
        <v>2904</v>
      </c>
      <c r="I626" t="s">
        <v>181</v>
      </c>
      <c r="J626">
        <v>26038704.499999993</v>
      </c>
      <c r="K626" t="s">
        <v>135</v>
      </c>
      <c r="L626">
        <v>0</v>
      </c>
      <c r="M626" t="s">
        <v>181</v>
      </c>
      <c r="N626">
        <v>26843245.5</v>
      </c>
      <c r="O626" t="s">
        <v>135</v>
      </c>
      <c r="P626">
        <v>38</v>
      </c>
      <c r="Q626" t="s">
        <v>181</v>
      </c>
      <c r="R626">
        <v>27696492.499999989</v>
      </c>
      <c r="S626" t="s">
        <v>135</v>
      </c>
      <c r="T626">
        <v>57</v>
      </c>
      <c r="U626" t="s">
        <v>181</v>
      </c>
      <c r="V626">
        <v>28569441.000000015</v>
      </c>
      <c r="W626" t="s">
        <v>135</v>
      </c>
      <c r="X626">
        <v>4985</v>
      </c>
      <c r="Y626" t="s">
        <v>181</v>
      </c>
      <c r="Z626">
        <v>29423878.499999993</v>
      </c>
      <c r="AA626" t="s">
        <v>135</v>
      </c>
      <c r="AB626">
        <v>5147</v>
      </c>
      <c r="AC626" t="s">
        <v>181</v>
      </c>
      <c r="AD626">
        <v>30285595.000000004</v>
      </c>
      <c r="AE626" t="s">
        <v>135</v>
      </c>
      <c r="AF626">
        <v>5993</v>
      </c>
      <c r="AG626" t="s">
        <v>181</v>
      </c>
      <c r="AH626">
        <v>31178238.999999996</v>
      </c>
      <c r="AI626" t="s">
        <v>135</v>
      </c>
      <c r="AJ626">
        <v>6064</v>
      </c>
      <c r="AK626" t="s">
        <v>181</v>
      </c>
      <c r="AL626">
        <v>32077072.000000011</v>
      </c>
      <c r="AM626" t="s">
        <v>135</v>
      </c>
      <c r="AN626">
        <v>6016</v>
      </c>
      <c r="AO626" t="s">
        <v>181</v>
      </c>
      <c r="AP626">
        <v>32969518.500000007</v>
      </c>
      <c r="AQ626" t="s">
        <v>135</v>
      </c>
      <c r="AR626">
        <v>6140</v>
      </c>
      <c r="AS626" t="s">
        <v>181</v>
      </c>
      <c r="AT626" t="s">
        <v>148</v>
      </c>
      <c r="AU626">
        <v>2180</v>
      </c>
    </row>
    <row r="627" spans="1:47" x14ac:dyDescent="0.35">
      <c r="C627" t="s">
        <v>139</v>
      </c>
      <c r="D627">
        <v>11652</v>
      </c>
      <c r="G627" t="s">
        <v>139</v>
      </c>
      <c r="H627">
        <v>12864</v>
      </c>
      <c r="K627" t="s">
        <v>139</v>
      </c>
      <c r="L627">
        <v>12696</v>
      </c>
      <c r="O627" t="s">
        <v>139</v>
      </c>
      <c r="P627">
        <v>13854</v>
      </c>
      <c r="S627" t="s">
        <v>139</v>
      </c>
      <c r="T627">
        <v>15320</v>
      </c>
      <c r="W627" t="s">
        <v>139</v>
      </c>
      <c r="X627">
        <v>15922</v>
      </c>
      <c r="AA627" t="s">
        <v>139</v>
      </c>
      <c r="AB627">
        <v>16306</v>
      </c>
      <c r="AE627" t="s">
        <v>139</v>
      </c>
      <c r="AF627">
        <v>16358</v>
      </c>
      <c r="AI627" t="s">
        <v>139</v>
      </c>
      <c r="AJ627">
        <v>17662</v>
      </c>
      <c r="AM627" t="s">
        <v>139</v>
      </c>
      <c r="AN627">
        <v>21856</v>
      </c>
      <c r="AQ627" t="s">
        <v>139</v>
      </c>
      <c r="AR627">
        <v>19550</v>
      </c>
      <c r="AT627" t="s">
        <v>139</v>
      </c>
      <c r="AU627">
        <v>7961</v>
      </c>
    </row>
    <row r="628" spans="1:47" x14ac:dyDescent="0.35">
      <c r="C628" t="s">
        <v>138</v>
      </c>
      <c r="D628">
        <v>8522</v>
      </c>
      <c r="G628" t="s">
        <v>138</v>
      </c>
      <c r="H628">
        <v>8530</v>
      </c>
      <c r="K628" t="s">
        <v>138</v>
      </c>
      <c r="L628">
        <v>9298</v>
      </c>
      <c r="O628" t="s">
        <v>138</v>
      </c>
      <c r="P628">
        <v>10316</v>
      </c>
      <c r="S628" t="s">
        <v>138</v>
      </c>
      <c r="T628">
        <v>11410</v>
      </c>
      <c r="W628" t="s">
        <v>138</v>
      </c>
      <c r="X628">
        <v>11640</v>
      </c>
      <c r="AA628" t="s">
        <v>138</v>
      </c>
      <c r="AB628">
        <v>12042</v>
      </c>
      <c r="AE628" t="s">
        <v>138</v>
      </c>
      <c r="AF628">
        <v>12350</v>
      </c>
      <c r="AI628" t="s">
        <v>138</v>
      </c>
      <c r="AJ628">
        <v>12648</v>
      </c>
      <c r="AM628" t="s">
        <v>138</v>
      </c>
      <c r="AN628">
        <v>14556</v>
      </c>
      <c r="AQ628" t="s">
        <v>138</v>
      </c>
      <c r="AR628">
        <v>14240</v>
      </c>
      <c r="AT628" t="s">
        <v>138</v>
      </c>
      <c r="AU628">
        <v>5820</v>
      </c>
    </row>
    <row r="629" spans="1:47" x14ac:dyDescent="0.35">
      <c r="C629" t="s">
        <v>82</v>
      </c>
      <c r="D629">
        <v>20</v>
      </c>
      <c r="G629" t="s">
        <v>82</v>
      </c>
      <c r="H629">
        <v>0</v>
      </c>
      <c r="K629" t="s">
        <v>82</v>
      </c>
      <c r="L629">
        <v>0</v>
      </c>
      <c r="O629" t="s">
        <v>82</v>
      </c>
      <c r="P629">
        <v>0</v>
      </c>
      <c r="S629" t="s">
        <v>82</v>
      </c>
      <c r="T629">
        <v>20035</v>
      </c>
      <c r="W629" t="s">
        <v>82</v>
      </c>
      <c r="X629">
        <v>0</v>
      </c>
      <c r="AA629" t="s">
        <v>82</v>
      </c>
      <c r="AB629">
        <v>0</v>
      </c>
      <c r="AE629" t="s">
        <v>82</v>
      </c>
      <c r="AF629">
        <v>0</v>
      </c>
      <c r="AI629" t="s">
        <v>82</v>
      </c>
      <c r="AJ629">
        <v>0</v>
      </c>
      <c r="AM629" t="s">
        <v>82</v>
      </c>
      <c r="AN629">
        <v>0</v>
      </c>
      <c r="AQ629" t="s">
        <v>82</v>
      </c>
      <c r="AR629">
        <v>0</v>
      </c>
      <c r="AT629" t="s">
        <v>82</v>
      </c>
      <c r="AU629">
        <v>2310</v>
      </c>
    </row>
    <row r="630" spans="1:47" x14ac:dyDescent="0.35">
      <c r="C630" t="s">
        <v>60</v>
      </c>
      <c r="D630">
        <v>0</v>
      </c>
      <c r="G630" t="s">
        <v>60</v>
      </c>
      <c r="H630">
        <v>0</v>
      </c>
      <c r="K630" t="s">
        <v>60</v>
      </c>
      <c r="L630">
        <v>0</v>
      </c>
      <c r="O630" t="s">
        <v>60</v>
      </c>
      <c r="P630">
        <v>0</v>
      </c>
      <c r="S630" t="s">
        <v>60</v>
      </c>
      <c r="T630">
        <v>0</v>
      </c>
      <c r="W630" t="s">
        <v>60</v>
      </c>
      <c r="X630">
        <v>0</v>
      </c>
      <c r="AA630" t="s">
        <v>60</v>
      </c>
      <c r="AB630">
        <v>0</v>
      </c>
      <c r="AE630" t="s">
        <v>60</v>
      </c>
      <c r="AF630">
        <v>0</v>
      </c>
      <c r="AI630" t="s">
        <v>60</v>
      </c>
      <c r="AJ630">
        <v>0</v>
      </c>
      <c r="AM630" t="s">
        <v>60</v>
      </c>
      <c r="AN630">
        <v>0</v>
      </c>
      <c r="AQ630" t="s">
        <v>60</v>
      </c>
      <c r="AR630">
        <v>0</v>
      </c>
      <c r="AT630" t="s">
        <v>60</v>
      </c>
      <c r="AU630">
        <v>545</v>
      </c>
    </row>
    <row r="631" spans="1:47" x14ac:dyDescent="0.35">
      <c r="C631" t="s">
        <v>127</v>
      </c>
      <c r="D631">
        <v>1213</v>
      </c>
      <c r="G631" t="s">
        <v>127</v>
      </c>
      <c r="H631">
        <v>1204</v>
      </c>
      <c r="K631" t="s">
        <v>127</v>
      </c>
      <c r="L631">
        <v>0</v>
      </c>
      <c r="O631" t="s">
        <v>127</v>
      </c>
      <c r="P631">
        <v>0</v>
      </c>
      <c r="S631" t="s">
        <v>127</v>
      </c>
      <c r="T631">
        <v>0</v>
      </c>
      <c r="W631" t="s">
        <v>127</v>
      </c>
      <c r="X631">
        <v>1991</v>
      </c>
      <c r="AA631" t="s">
        <v>127</v>
      </c>
      <c r="AB631">
        <v>4787</v>
      </c>
      <c r="AE631" t="s">
        <v>127</v>
      </c>
      <c r="AF631">
        <v>6632</v>
      </c>
      <c r="AI631" t="s">
        <v>127</v>
      </c>
      <c r="AJ631">
        <v>6696</v>
      </c>
      <c r="AM631" t="s">
        <v>127</v>
      </c>
      <c r="AN631">
        <v>7329</v>
      </c>
      <c r="AQ631" t="s">
        <v>127</v>
      </c>
      <c r="AR631">
        <v>6992</v>
      </c>
      <c r="AT631" t="s">
        <v>58</v>
      </c>
      <c r="AU631">
        <v>2205</v>
      </c>
    </row>
    <row r="632" spans="1:47" x14ac:dyDescent="0.35">
      <c r="C632" t="s">
        <v>61</v>
      </c>
      <c r="D632">
        <v>0</v>
      </c>
      <c r="G632" t="s">
        <v>61</v>
      </c>
      <c r="H632">
        <v>0</v>
      </c>
      <c r="K632" t="s">
        <v>61</v>
      </c>
      <c r="L632">
        <v>0</v>
      </c>
      <c r="O632" t="s">
        <v>61</v>
      </c>
      <c r="P632">
        <v>0</v>
      </c>
      <c r="S632" t="s">
        <v>61</v>
      </c>
      <c r="T632">
        <v>0</v>
      </c>
      <c r="W632" t="s">
        <v>61</v>
      </c>
      <c r="X632">
        <v>0</v>
      </c>
      <c r="AA632" t="s">
        <v>61</v>
      </c>
      <c r="AB632">
        <v>0</v>
      </c>
      <c r="AE632" t="s">
        <v>61</v>
      </c>
      <c r="AF632">
        <v>0</v>
      </c>
      <c r="AI632" t="s">
        <v>61</v>
      </c>
      <c r="AJ632">
        <v>0</v>
      </c>
      <c r="AM632" t="s">
        <v>61</v>
      </c>
      <c r="AN632">
        <v>0</v>
      </c>
      <c r="AQ632" t="s">
        <v>61</v>
      </c>
      <c r="AR632">
        <v>0</v>
      </c>
      <c r="AT632" t="s">
        <v>61</v>
      </c>
      <c r="AU632">
        <v>0</v>
      </c>
    </row>
    <row r="633" spans="1:47" x14ac:dyDescent="0.35">
      <c r="C633" t="s">
        <v>62</v>
      </c>
      <c r="D633">
        <v>85</v>
      </c>
      <c r="G633" t="s">
        <v>62</v>
      </c>
      <c r="H633">
        <v>0</v>
      </c>
      <c r="K633" t="s">
        <v>62</v>
      </c>
      <c r="L633">
        <v>0</v>
      </c>
      <c r="O633" t="s">
        <v>62</v>
      </c>
      <c r="P633">
        <v>0</v>
      </c>
      <c r="S633" t="s">
        <v>62</v>
      </c>
      <c r="T633">
        <v>0</v>
      </c>
      <c r="W633" t="s">
        <v>62</v>
      </c>
      <c r="X633">
        <v>0</v>
      </c>
      <c r="AA633" t="s">
        <v>62</v>
      </c>
      <c r="AB633">
        <v>0</v>
      </c>
      <c r="AE633" t="s">
        <v>62</v>
      </c>
      <c r="AF633">
        <v>0</v>
      </c>
      <c r="AI633" t="s">
        <v>62</v>
      </c>
      <c r="AJ633">
        <v>0</v>
      </c>
      <c r="AM633" t="s">
        <v>62</v>
      </c>
      <c r="AN633">
        <v>0</v>
      </c>
      <c r="AQ633" t="s">
        <v>62</v>
      </c>
      <c r="AR633">
        <v>0</v>
      </c>
      <c r="AT633" t="s">
        <v>62</v>
      </c>
      <c r="AU633">
        <v>0</v>
      </c>
    </row>
    <row r="634" spans="1:47" x14ac:dyDescent="0.35">
      <c r="C634" t="s">
        <v>203</v>
      </c>
      <c r="D634">
        <v>0</v>
      </c>
      <c r="G634" t="s">
        <v>203</v>
      </c>
      <c r="H634">
        <v>0</v>
      </c>
      <c r="K634" t="s">
        <v>203</v>
      </c>
      <c r="L634">
        <v>0</v>
      </c>
      <c r="O634" t="s">
        <v>203</v>
      </c>
      <c r="P634">
        <v>0</v>
      </c>
      <c r="S634" t="s">
        <v>203</v>
      </c>
      <c r="T634">
        <v>0</v>
      </c>
      <c r="W634" t="s">
        <v>203</v>
      </c>
      <c r="X634">
        <v>0</v>
      </c>
      <c r="AA634" t="s">
        <v>203</v>
      </c>
      <c r="AB634">
        <v>0</v>
      </c>
      <c r="AE634" t="s">
        <v>203</v>
      </c>
      <c r="AF634">
        <v>0</v>
      </c>
      <c r="AI634" t="s">
        <v>203</v>
      </c>
      <c r="AJ634">
        <v>0</v>
      </c>
      <c r="AM634" t="s">
        <v>203</v>
      </c>
      <c r="AN634">
        <v>0</v>
      </c>
      <c r="AQ634" t="s">
        <v>203</v>
      </c>
      <c r="AR634">
        <v>0</v>
      </c>
      <c r="AT634" t="s">
        <v>64</v>
      </c>
      <c r="AU634">
        <v>0</v>
      </c>
    </row>
    <row r="635" spans="1:47" x14ac:dyDescent="0.35">
      <c r="C635" t="s">
        <v>204</v>
      </c>
      <c r="D635">
        <v>0</v>
      </c>
      <c r="G635" t="s">
        <v>204</v>
      </c>
      <c r="H635">
        <v>0</v>
      </c>
      <c r="K635" t="s">
        <v>204</v>
      </c>
      <c r="L635">
        <v>0</v>
      </c>
      <c r="O635" t="s">
        <v>204</v>
      </c>
      <c r="P635">
        <v>0</v>
      </c>
      <c r="S635" t="s">
        <v>204</v>
      </c>
      <c r="T635">
        <v>0</v>
      </c>
      <c r="W635" t="s">
        <v>204</v>
      </c>
      <c r="X635">
        <v>2466</v>
      </c>
      <c r="AA635" t="s">
        <v>204</v>
      </c>
      <c r="AB635">
        <v>0</v>
      </c>
      <c r="AE635" t="s">
        <v>204</v>
      </c>
      <c r="AF635">
        <v>2789</v>
      </c>
      <c r="AI635" t="s">
        <v>204</v>
      </c>
      <c r="AJ635">
        <v>2954</v>
      </c>
      <c r="AM635" t="s">
        <v>204</v>
      </c>
      <c r="AN635">
        <v>3318</v>
      </c>
      <c r="AQ635" t="s">
        <v>204</v>
      </c>
      <c r="AR635">
        <v>3337</v>
      </c>
      <c r="AT635" t="s">
        <v>65</v>
      </c>
      <c r="AU635">
        <v>2466</v>
      </c>
    </row>
    <row r="636" spans="1:47" x14ac:dyDescent="0.35">
      <c r="C636" t="s">
        <v>205</v>
      </c>
      <c r="D636">
        <v>33</v>
      </c>
      <c r="G636" t="s">
        <v>205</v>
      </c>
      <c r="H636">
        <v>44</v>
      </c>
      <c r="K636" t="s">
        <v>205</v>
      </c>
      <c r="L636">
        <v>0</v>
      </c>
      <c r="O636" t="s">
        <v>205</v>
      </c>
      <c r="P636">
        <v>212</v>
      </c>
      <c r="S636" t="s">
        <v>205</v>
      </c>
      <c r="T636">
        <v>0</v>
      </c>
      <c r="W636" t="s">
        <v>205</v>
      </c>
      <c r="X636">
        <v>29</v>
      </c>
      <c r="AA636" t="s">
        <v>205</v>
      </c>
      <c r="AB636">
        <v>304</v>
      </c>
      <c r="AE636" t="s">
        <v>205</v>
      </c>
      <c r="AF636">
        <v>54</v>
      </c>
      <c r="AI636" t="s">
        <v>205</v>
      </c>
      <c r="AJ636">
        <v>0</v>
      </c>
      <c r="AM636" t="s">
        <v>205</v>
      </c>
      <c r="AN636">
        <v>0</v>
      </c>
      <c r="AQ636" t="s">
        <v>205</v>
      </c>
      <c r="AR636">
        <v>72</v>
      </c>
      <c r="AT636" t="s">
        <v>66</v>
      </c>
      <c r="AU636">
        <v>29</v>
      </c>
    </row>
    <row r="637" spans="1:47" x14ac:dyDescent="0.35">
      <c r="C637" t="s">
        <v>133</v>
      </c>
      <c r="D637">
        <v>0</v>
      </c>
      <c r="G637" t="s">
        <v>133</v>
      </c>
      <c r="H637">
        <v>0</v>
      </c>
      <c r="K637" t="s">
        <v>133</v>
      </c>
      <c r="L637">
        <v>0</v>
      </c>
      <c r="O637" t="s">
        <v>133</v>
      </c>
      <c r="P637">
        <v>0</v>
      </c>
      <c r="S637" t="s">
        <v>133</v>
      </c>
      <c r="T637">
        <v>0</v>
      </c>
      <c r="W637" t="s">
        <v>133</v>
      </c>
      <c r="X637">
        <v>0</v>
      </c>
      <c r="AA637" t="s">
        <v>133</v>
      </c>
      <c r="AB637">
        <v>0</v>
      </c>
      <c r="AE637" t="s">
        <v>133</v>
      </c>
      <c r="AF637">
        <v>2055</v>
      </c>
      <c r="AI637" t="s">
        <v>133</v>
      </c>
      <c r="AJ637">
        <v>2041</v>
      </c>
      <c r="AM637" t="s">
        <v>133</v>
      </c>
      <c r="AN637">
        <v>1912</v>
      </c>
      <c r="AQ637" t="s">
        <v>133</v>
      </c>
      <c r="AR637">
        <v>335</v>
      </c>
      <c r="AT637" t="s">
        <v>79</v>
      </c>
      <c r="AU637">
        <v>5726</v>
      </c>
    </row>
    <row r="638" spans="1:47" x14ac:dyDescent="0.35">
      <c r="C638" t="s">
        <v>206</v>
      </c>
      <c r="D638">
        <v>0</v>
      </c>
      <c r="G638" t="s">
        <v>206</v>
      </c>
      <c r="H638">
        <v>0</v>
      </c>
      <c r="K638" t="s">
        <v>206</v>
      </c>
      <c r="L638">
        <v>0</v>
      </c>
      <c r="O638" t="s">
        <v>206</v>
      </c>
      <c r="P638">
        <v>0</v>
      </c>
      <c r="S638" t="s">
        <v>206</v>
      </c>
      <c r="T638">
        <v>0</v>
      </c>
      <c r="W638" t="s">
        <v>206</v>
      </c>
      <c r="X638">
        <v>0</v>
      </c>
      <c r="AA638" t="s">
        <v>206</v>
      </c>
      <c r="AB638">
        <v>0</v>
      </c>
      <c r="AE638" t="s">
        <v>206</v>
      </c>
      <c r="AF638">
        <v>0</v>
      </c>
      <c r="AI638" t="s">
        <v>206</v>
      </c>
      <c r="AJ638">
        <v>0</v>
      </c>
      <c r="AM638" t="s">
        <v>206</v>
      </c>
      <c r="AN638">
        <v>0</v>
      </c>
      <c r="AQ638" t="s">
        <v>206</v>
      </c>
      <c r="AR638">
        <v>0</v>
      </c>
      <c r="AT638" t="s">
        <v>68</v>
      </c>
      <c r="AU638">
        <v>0</v>
      </c>
    </row>
    <row r="639" spans="1:47" x14ac:dyDescent="0.35">
      <c r="C639" t="s">
        <v>136</v>
      </c>
      <c r="D639">
        <v>267</v>
      </c>
      <c r="G639" t="s">
        <v>136</v>
      </c>
      <c r="H639">
        <v>238</v>
      </c>
      <c r="K639" t="s">
        <v>136</v>
      </c>
      <c r="L639">
        <v>0</v>
      </c>
      <c r="O639" t="s">
        <v>136</v>
      </c>
      <c r="P639">
        <v>0</v>
      </c>
      <c r="S639" t="s">
        <v>136</v>
      </c>
      <c r="T639">
        <v>0</v>
      </c>
      <c r="W639" t="s">
        <v>136</v>
      </c>
      <c r="X639">
        <v>290</v>
      </c>
      <c r="AA639" t="s">
        <v>136</v>
      </c>
      <c r="AB639">
        <v>0</v>
      </c>
      <c r="AE639" t="s">
        <v>136</v>
      </c>
      <c r="AF639">
        <v>315</v>
      </c>
      <c r="AI639" t="s">
        <v>136</v>
      </c>
      <c r="AJ639">
        <v>301</v>
      </c>
      <c r="AM639" t="s">
        <v>136</v>
      </c>
      <c r="AN639">
        <v>264</v>
      </c>
      <c r="AQ639" t="s">
        <v>136</v>
      </c>
      <c r="AR639">
        <v>276</v>
      </c>
      <c r="AT639" t="s">
        <v>69</v>
      </c>
      <c r="AU639">
        <v>206</v>
      </c>
    </row>
    <row r="640" spans="1:47" x14ac:dyDescent="0.35">
      <c r="C640" t="s">
        <v>207</v>
      </c>
      <c r="D640">
        <v>0</v>
      </c>
      <c r="G640" t="s">
        <v>207</v>
      </c>
      <c r="H640">
        <v>0</v>
      </c>
      <c r="K640" t="s">
        <v>207</v>
      </c>
      <c r="L640">
        <v>0</v>
      </c>
      <c r="O640" t="s">
        <v>207</v>
      </c>
      <c r="P640">
        <v>0</v>
      </c>
      <c r="S640" t="s">
        <v>207</v>
      </c>
      <c r="T640">
        <v>0</v>
      </c>
      <c r="W640" t="s">
        <v>207</v>
      </c>
      <c r="X640">
        <v>0</v>
      </c>
      <c r="AA640" t="s">
        <v>207</v>
      </c>
      <c r="AB640">
        <v>0</v>
      </c>
      <c r="AE640" t="s">
        <v>207</v>
      </c>
      <c r="AF640">
        <v>0</v>
      </c>
      <c r="AI640" t="s">
        <v>207</v>
      </c>
      <c r="AJ640">
        <v>0</v>
      </c>
      <c r="AM640" t="s">
        <v>207</v>
      </c>
      <c r="AN640">
        <v>0</v>
      </c>
      <c r="AQ640" t="s">
        <v>207</v>
      </c>
      <c r="AR640">
        <v>172</v>
      </c>
      <c r="AT640" t="s">
        <v>70</v>
      </c>
      <c r="AU640">
        <v>59</v>
      </c>
    </row>
    <row r="641" spans="1:47" x14ac:dyDescent="0.35">
      <c r="C641" t="s">
        <v>141</v>
      </c>
      <c r="D641">
        <v>76</v>
      </c>
      <c r="G641" t="s">
        <v>141</v>
      </c>
      <c r="H641">
        <v>115</v>
      </c>
      <c r="K641" t="s">
        <v>141</v>
      </c>
      <c r="L641">
        <v>0</v>
      </c>
      <c r="O641" t="s">
        <v>141</v>
      </c>
      <c r="P641">
        <v>0</v>
      </c>
      <c r="S641" t="s">
        <v>141</v>
      </c>
      <c r="T641">
        <v>0</v>
      </c>
      <c r="W641" t="s">
        <v>141</v>
      </c>
      <c r="X641">
        <v>147</v>
      </c>
      <c r="AA641" t="s">
        <v>141</v>
      </c>
      <c r="AB641">
        <v>150</v>
      </c>
      <c r="AE641" t="s">
        <v>141</v>
      </c>
      <c r="AF641">
        <v>165</v>
      </c>
      <c r="AI641" t="s">
        <v>141</v>
      </c>
      <c r="AJ641">
        <v>156</v>
      </c>
      <c r="AM641" t="s">
        <v>141</v>
      </c>
      <c r="AN641">
        <v>151</v>
      </c>
      <c r="AQ641" t="s">
        <v>141</v>
      </c>
      <c r="AR641">
        <v>154</v>
      </c>
      <c r="AT641" t="s">
        <v>76</v>
      </c>
      <c r="AU641">
        <v>147</v>
      </c>
    </row>
    <row r="642" spans="1:47" x14ac:dyDescent="0.35">
      <c r="C642" t="s">
        <v>208</v>
      </c>
      <c r="D642">
        <v>0</v>
      </c>
      <c r="G642" t="s">
        <v>208</v>
      </c>
      <c r="H642">
        <v>0</v>
      </c>
      <c r="K642" t="s">
        <v>208</v>
      </c>
      <c r="L642">
        <v>0</v>
      </c>
      <c r="O642" t="s">
        <v>208</v>
      </c>
      <c r="P642">
        <v>0</v>
      </c>
      <c r="S642" t="s">
        <v>208</v>
      </c>
      <c r="T642">
        <v>0</v>
      </c>
      <c r="W642" t="s">
        <v>208</v>
      </c>
      <c r="X642">
        <v>34992</v>
      </c>
      <c r="AA642" t="s">
        <v>208</v>
      </c>
      <c r="AB642">
        <v>0</v>
      </c>
      <c r="AE642" t="s">
        <v>208</v>
      </c>
      <c r="AF642">
        <v>399</v>
      </c>
      <c r="AI642" t="s">
        <v>208</v>
      </c>
      <c r="AJ642">
        <v>8308</v>
      </c>
      <c r="AM642" t="s">
        <v>208</v>
      </c>
      <c r="AN642">
        <v>3530</v>
      </c>
      <c r="AQ642" t="s">
        <v>208</v>
      </c>
      <c r="AR642">
        <v>696</v>
      </c>
      <c r="AT642" t="s">
        <v>77</v>
      </c>
      <c r="AU642">
        <v>26735</v>
      </c>
    </row>
    <row r="643" spans="1:47" x14ac:dyDescent="0.35">
      <c r="C643" t="s">
        <v>209</v>
      </c>
      <c r="D643">
        <v>0</v>
      </c>
      <c r="G643" t="s">
        <v>209</v>
      </c>
      <c r="H643">
        <v>0</v>
      </c>
      <c r="K643" t="s">
        <v>209</v>
      </c>
      <c r="L643">
        <v>0</v>
      </c>
      <c r="O643" t="s">
        <v>209</v>
      </c>
      <c r="P643">
        <v>0</v>
      </c>
      <c r="S643" t="s">
        <v>209</v>
      </c>
      <c r="T643">
        <v>0</v>
      </c>
      <c r="W643" t="s">
        <v>209</v>
      </c>
      <c r="X643">
        <v>26735</v>
      </c>
      <c r="AA643" t="s">
        <v>209</v>
      </c>
      <c r="AB643">
        <v>0</v>
      </c>
      <c r="AE643" t="s">
        <v>209</v>
      </c>
      <c r="AF643">
        <v>16937</v>
      </c>
      <c r="AI643" t="s">
        <v>209</v>
      </c>
      <c r="AJ643">
        <v>14416</v>
      </c>
      <c r="AM643" t="s">
        <v>209</v>
      </c>
      <c r="AN643">
        <v>10717</v>
      </c>
      <c r="AQ643" t="s">
        <v>209</v>
      </c>
      <c r="AR643">
        <v>12261</v>
      </c>
      <c r="AT643" t="s">
        <v>78</v>
      </c>
      <c r="AU643">
        <v>0</v>
      </c>
    </row>
    <row r="644" spans="1:47" x14ac:dyDescent="0.35">
      <c r="C644" t="s">
        <v>134</v>
      </c>
      <c r="D644">
        <v>1425</v>
      </c>
      <c r="G644" t="s">
        <v>134</v>
      </c>
      <c r="H644">
        <v>1465</v>
      </c>
      <c r="K644" t="s">
        <v>134</v>
      </c>
      <c r="L644">
        <v>0</v>
      </c>
      <c r="O644" t="s">
        <v>134</v>
      </c>
      <c r="P644">
        <v>0</v>
      </c>
      <c r="S644" t="s">
        <v>134</v>
      </c>
      <c r="T644">
        <v>0</v>
      </c>
      <c r="W644" t="s">
        <v>134</v>
      </c>
      <c r="X644">
        <v>1958</v>
      </c>
      <c r="AA644" t="s">
        <v>134</v>
      </c>
      <c r="AB644">
        <v>0</v>
      </c>
      <c r="AE644" t="s">
        <v>134</v>
      </c>
      <c r="AF644">
        <v>0</v>
      </c>
      <c r="AI644" t="s">
        <v>134</v>
      </c>
      <c r="AJ644">
        <v>0</v>
      </c>
      <c r="AM644" t="s">
        <v>134</v>
      </c>
      <c r="AN644">
        <v>301</v>
      </c>
      <c r="AQ644" t="s">
        <v>134</v>
      </c>
      <c r="AR644">
        <v>2040</v>
      </c>
      <c r="AT644" t="s">
        <v>67</v>
      </c>
      <c r="AU644">
        <v>1951</v>
      </c>
    </row>
    <row r="645" spans="1:47" x14ac:dyDescent="0.35">
      <c r="C645" t="s">
        <v>142</v>
      </c>
      <c r="D645">
        <v>0</v>
      </c>
      <c r="G645" t="s">
        <v>142</v>
      </c>
      <c r="H645">
        <v>0</v>
      </c>
      <c r="K645" t="s">
        <v>142</v>
      </c>
      <c r="L645">
        <v>0</v>
      </c>
      <c r="O645" t="s">
        <v>142</v>
      </c>
      <c r="P645">
        <v>0</v>
      </c>
      <c r="S645" t="s">
        <v>142</v>
      </c>
      <c r="T645">
        <v>0</v>
      </c>
      <c r="W645" t="s">
        <v>142</v>
      </c>
      <c r="X645">
        <v>6281</v>
      </c>
      <c r="AA645" t="s">
        <v>142</v>
      </c>
      <c r="AB645">
        <v>0</v>
      </c>
      <c r="AE645" t="s">
        <v>142</v>
      </c>
      <c r="AF645">
        <v>6665</v>
      </c>
      <c r="AI645" t="s">
        <v>142</v>
      </c>
      <c r="AJ645">
        <v>0</v>
      </c>
      <c r="AM645" t="s">
        <v>142</v>
      </c>
      <c r="AN645">
        <v>0</v>
      </c>
      <c r="AQ645" t="s">
        <v>142</v>
      </c>
      <c r="AR645">
        <v>6873</v>
      </c>
      <c r="AT645" t="s">
        <v>80</v>
      </c>
      <c r="AU645">
        <v>0</v>
      </c>
    </row>
    <row r="646" spans="1:47" x14ac:dyDescent="0.35">
      <c r="C646" t="s">
        <v>83</v>
      </c>
      <c r="D646">
        <v>281</v>
      </c>
      <c r="G646" t="s">
        <v>83</v>
      </c>
      <c r="H646">
        <v>287</v>
      </c>
      <c r="K646" t="s">
        <v>83</v>
      </c>
      <c r="L646">
        <v>0</v>
      </c>
      <c r="O646" t="s">
        <v>83</v>
      </c>
      <c r="P646">
        <v>0</v>
      </c>
      <c r="S646" t="s">
        <v>83</v>
      </c>
      <c r="T646">
        <v>0</v>
      </c>
      <c r="W646" t="s">
        <v>83</v>
      </c>
      <c r="X646">
        <v>377</v>
      </c>
      <c r="AA646" t="s">
        <v>83</v>
      </c>
      <c r="AB646">
        <v>362</v>
      </c>
      <c r="AE646" t="s">
        <v>83</v>
      </c>
      <c r="AF646">
        <v>395</v>
      </c>
      <c r="AI646" t="s">
        <v>83</v>
      </c>
      <c r="AJ646">
        <v>444</v>
      </c>
      <c r="AM646" t="s">
        <v>83</v>
      </c>
      <c r="AN646">
        <v>535</v>
      </c>
      <c r="AQ646" t="s">
        <v>83</v>
      </c>
      <c r="AR646">
        <v>497</v>
      </c>
      <c r="AT646" t="s">
        <v>83</v>
      </c>
      <c r="AU646">
        <v>377</v>
      </c>
    </row>
    <row r="647" spans="1:47" x14ac:dyDescent="0.35">
      <c r="C647" t="s">
        <v>84</v>
      </c>
      <c r="D647">
        <v>0</v>
      </c>
      <c r="G647" t="s">
        <v>84</v>
      </c>
      <c r="H647">
        <v>0</v>
      </c>
      <c r="K647" t="s">
        <v>84</v>
      </c>
      <c r="L647">
        <v>0</v>
      </c>
      <c r="O647" t="s">
        <v>84</v>
      </c>
      <c r="P647">
        <v>0</v>
      </c>
      <c r="S647" t="s">
        <v>84</v>
      </c>
      <c r="T647">
        <v>0</v>
      </c>
      <c r="W647" t="s">
        <v>84</v>
      </c>
      <c r="X647">
        <v>287</v>
      </c>
      <c r="AA647" t="s">
        <v>84</v>
      </c>
      <c r="AB647">
        <v>338</v>
      </c>
      <c r="AE647" t="s">
        <v>84</v>
      </c>
      <c r="AF647">
        <v>422</v>
      </c>
      <c r="AI647" t="s">
        <v>84</v>
      </c>
      <c r="AJ647">
        <v>554</v>
      </c>
      <c r="AM647" t="s">
        <v>84</v>
      </c>
      <c r="AN647">
        <v>552</v>
      </c>
      <c r="AQ647" t="s">
        <v>84</v>
      </c>
      <c r="AR647">
        <v>342</v>
      </c>
      <c r="AT647" t="s">
        <v>84</v>
      </c>
      <c r="AU647">
        <v>0</v>
      </c>
    </row>
    <row r="648" spans="1:47" x14ac:dyDescent="0.35">
      <c r="C648" t="s">
        <v>126</v>
      </c>
      <c r="D648">
        <v>0</v>
      </c>
      <c r="G648" t="s">
        <v>126</v>
      </c>
      <c r="H648">
        <v>0</v>
      </c>
      <c r="K648" t="s">
        <v>223</v>
      </c>
      <c r="L648">
        <v>0</v>
      </c>
      <c r="O648" t="s">
        <v>126</v>
      </c>
      <c r="P648">
        <v>0</v>
      </c>
      <c r="S648" t="s">
        <v>126</v>
      </c>
      <c r="T648">
        <v>0</v>
      </c>
      <c r="W648" t="s">
        <v>126</v>
      </c>
      <c r="X648">
        <v>2</v>
      </c>
      <c r="AA648" t="s">
        <v>126</v>
      </c>
      <c r="AB648">
        <v>3</v>
      </c>
      <c r="AE648" t="s">
        <v>126</v>
      </c>
      <c r="AF648">
        <v>2</v>
      </c>
      <c r="AI648" t="s">
        <v>126</v>
      </c>
      <c r="AJ648">
        <v>0</v>
      </c>
      <c r="AM648" t="s">
        <v>126</v>
      </c>
      <c r="AN648">
        <v>0</v>
      </c>
      <c r="AQ648" t="s">
        <v>126</v>
      </c>
      <c r="AR648">
        <v>0</v>
      </c>
      <c r="AT648" t="s">
        <v>86</v>
      </c>
      <c r="AU648">
        <v>0</v>
      </c>
    </row>
    <row r="649" spans="1:47" x14ac:dyDescent="0.35">
      <c r="C649" t="s">
        <v>87</v>
      </c>
      <c r="D649">
        <v>0</v>
      </c>
      <c r="G649" t="s">
        <v>87</v>
      </c>
      <c r="H649">
        <v>0</v>
      </c>
      <c r="K649" t="s">
        <v>87</v>
      </c>
      <c r="L649">
        <v>0</v>
      </c>
      <c r="O649" t="s">
        <v>87</v>
      </c>
      <c r="P649">
        <v>0</v>
      </c>
      <c r="S649" t="s">
        <v>87</v>
      </c>
      <c r="T649">
        <v>0</v>
      </c>
      <c r="W649" t="s">
        <v>87</v>
      </c>
      <c r="X649">
        <v>0</v>
      </c>
      <c r="AA649" t="s">
        <v>87</v>
      </c>
      <c r="AB649">
        <v>0</v>
      </c>
      <c r="AE649" t="s">
        <v>87</v>
      </c>
      <c r="AF649">
        <v>0</v>
      </c>
      <c r="AI649" t="s">
        <v>87</v>
      </c>
      <c r="AJ649">
        <v>0</v>
      </c>
      <c r="AM649" t="s">
        <v>87</v>
      </c>
      <c r="AN649">
        <v>0</v>
      </c>
      <c r="AQ649" t="s">
        <v>87</v>
      </c>
      <c r="AR649">
        <v>99942</v>
      </c>
      <c r="AT649" t="s">
        <v>87</v>
      </c>
      <c r="AU649">
        <v>0</v>
      </c>
    </row>
    <row r="650" spans="1:47" x14ac:dyDescent="0.35">
      <c r="A650" t="s">
        <v>158</v>
      </c>
      <c r="B650">
        <v>3636113.5000000009</v>
      </c>
      <c r="C650" t="s">
        <v>135</v>
      </c>
      <c r="D650">
        <v>0</v>
      </c>
      <c r="E650" t="s">
        <v>158</v>
      </c>
      <c r="F650">
        <v>3742958.9999999981</v>
      </c>
      <c r="G650" t="s">
        <v>135</v>
      </c>
      <c r="H650">
        <v>0</v>
      </c>
      <c r="I650" t="s">
        <v>158</v>
      </c>
      <c r="J650">
        <v>3843173.9999999991</v>
      </c>
      <c r="K650" t="s">
        <v>135</v>
      </c>
      <c r="L650">
        <v>1244</v>
      </c>
      <c r="M650" t="s">
        <v>158</v>
      </c>
      <c r="N650">
        <v>3946219.4999999991</v>
      </c>
      <c r="O650" t="s">
        <v>135</v>
      </c>
      <c r="P650">
        <v>1384</v>
      </c>
      <c r="Q650" t="s">
        <v>158</v>
      </c>
      <c r="R650">
        <v>4051890.5000000014</v>
      </c>
      <c r="S650" t="s">
        <v>135</v>
      </c>
      <c r="T650">
        <v>0</v>
      </c>
      <c r="U650" t="s">
        <v>158</v>
      </c>
      <c r="V650">
        <v>4160014.4999999995</v>
      </c>
      <c r="W650" t="s">
        <v>135</v>
      </c>
      <c r="X650">
        <v>1582</v>
      </c>
      <c r="Y650" t="s">
        <v>158</v>
      </c>
      <c r="Z650">
        <v>4270711.4999999972</v>
      </c>
      <c r="AA650" t="s">
        <v>135</v>
      </c>
      <c r="AB650">
        <v>1700</v>
      </c>
      <c r="AC650" t="s">
        <v>158</v>
      </c>
      <c r="AD650">
        <v>4383848.5000000009</v>
      </c>
      <c r="AE650" t="s">
        <v>135</v>
      </c>
      <c r="AF650">
        <v>1794</v>
      </c>
      <c r="AG650" t="s">
        <v>158</v>
      </c>
      <c r="AH650">
        <v>4498603.4999999953</v>
      </c>
      <c r="AI650" t="s">
        <v>135</v>
      </c>
      <c r="AJ650">
        <v>1868</v>
      </c>
      <c r="AK650" t="s">
        <v>158</v>
      </c>
      <c r="AL650">
        <v>4614974</v>
      </c>
      <c r="AM650" t="s">
        <v>135</v>
      </c>
      <c r="AN650">
        <v>2070</v>
      </c>
      <c r="AO650" t="s">
        <v>158</v>
      </c>
      <c r="AP650">
        <v>4736138.9999999991</v>
      </c>
      <c r="AQ650" t="s">
        <v>135</v>
      </c>
      <c r="AR650">
        <v>2236</v>
      </c>
      <c r="AS650" t="s">
        <v>158</v>
      </c>
      <c r="AT650" t="s">
        <v>148</v>
      </c>
      <c r="AU650">
        <v>1626</v>
      </c>
    </row>
    <row r="651" spans="1:47" x14ac:dyDescent="0.35">
      <c r="C651" t="s">
        <v>139</v>
      </c>
      <c r="D651">
        <v>0</v>
      </c>
      <c r="G651" t="s">
        <v>139</v>
      </c>
      <c r="H651">
        <v>0</v>
      </c>
      <c r="K651" t="s">
        <v>139</v>
      </c>
      <c r="L651">
        <v>7692</v>
      </c>
      <c r="O651" t="s">
        <v>139</v>
      </c>
      <c r="P651">
        <v>8274</v>
      </c>
      <c r="S651" t="s">
        <v>139</v>
      </c>
      <c r="T651">
        <v>0</v>
      </c>
      <c r="W651" t="s">
        <v>139</v>
      </c>
      <c r="X651">
        <v>9142</v>
      </c>
      <c r="AA651" t="s">
        <v>139</v>
      </c>
      <c r="AB651">
        <v>8223</v>
      </c>
      <c r="AE651" t="s">
        <v>139</v>
      </c>
      <c r="AF651">
        <v>8738</v>
      </c>
      <c r="AI651" t="s">
        <v>139</v>
      </c>
      <c r="AJ651">
        <v>8580</v>
      </c>
      <c r="AM651" t="s">
        <v>139</v>
      </c>
      <c r="AN651">
        <v>12312</v>
      </c>
      <c r="AQ651" t="s">
        <v>139</v>
      </c>
      <c r="AR651">
        <v>13006</v>
      </c>
      <c r="AT651" t="s">
        <v>139</v>
      </c>
      <c r="AU651">
        <v>4017</v>
      </c>
    </row>
    <row r="652" spans="1:47" x14ac:dyDescent="0.35">
      <c r="C652" t="s">
        <v>138</v>
      </c>
      <c r="D652">
        <v>0</v>
      </c>
      <c r="G652" t="s">
        <v>138</v>
      </c>
      <c r="H652">
        <v>736</v>
      </c>
      <c r="K652" t="s">
        <v>138</v>
      </c>
      <c r="L652">
        <v>0</v>
      </c>
      <c r="O652" t="s">
        <v>138</v>
      </c>
      <c r="P652">
        <v>0</v>
      </c>
      <c r="S652" t="s">
        <v>138</v>
      </c>
      <c r="T652">
        <v>0</v>
      </c>
      <c r="W652" t="s">
        <v>138</v>
      </c>
      <c r="X652">
        <v>0</v>
      </c>
      <c r="AA652" t="s">
        <v>138</v>
      </c>
      <c r="AB652">
        <v>1342</v>
      </c>
      <c r="AE652" t="s">
        <v>138</v>
      </c>
      <c r="AF652">
        <v>1864</v>
      </c>
      <c r="AI652" t="s">
        <v>138</v>
      </c>
      <c r="AJ652">
        <v>2054</v>
      </c>
      <c r="AM652" t="s">
        <v>138</v>
      </c>
      <c r="AN652">
        <v>2504</v>
      </c>
      <c r="AQ652" t="s">
        <v>138</v>
      </c>
      <c r="AR652">
        <v>2680</v>
      </c>
      <c r="AT652" t="s">
        <v>138</v>
      </c>
      <c r="AU652">
        <v>855</v>
      </c>
    </row>
    <row r="653" spans="1:47" x14ac:dyDescent="0.35">
      <c r="C653" t="s">
        <v>82</v>
      </c>
      <c r="D653">
        <v>3445</v>
      </c>
      <c r="G653" t="s">
        <v>82</v>
      </c>
      <c r="H653">
        <v>975</v>
      </c>
      <c r="K653" t="s">
        <v>82</v>
      </c>
      <c r="L653">
        <v>0</v>
      </c>
      <c r="O653" t="s">
        <v>82</v>
      </c>
      <c r="P653">
        <v>333</v>
      </c>
      <c r="S653" t="s">
        <v>82</v>
      </c>
      <c r="T653">
        <v>0</v>
      </c>
      <c r="W653" t="s">
        <v>82</v>
      </c>
      <c r="X653">
        <v>0</v>
      </c>
      <c r="AA653" t="s">
        <v>82</v>
      </c>
      <c r="AB653">
        <v>0</v>
      </c>
      <c r="AE653" t="s">
        <v>82</v>
      </c>
      <c r="AF653">
        <v>0</v>
      </c>
      <c r="AI653" t="s">
        <v>82</v>
      </c>
      <c r="AJ653">
        <v>0</v>
      </c>
      <c r="AM653" t="s">
        <v>82</v>
      </c>
      <c r="AN653">
        <v>0</v>
      </c>
      <c r="AQ653" t="s">
        <v>82</v>
      </c>
      <c r="AR653">
        <v>0</v>
      </c>
      <c r="AT653" t="s">
        <v>82</v>
      </c>
      <c r="AU653">
        <v>100</v>
      </c>
    </row>
    <row r="654" spans="1:47" x14ac:dyDescent="0.35">
      <c r="C654" t="s">
        <v>60</v>
      </c>
      <c r="D654">
        <v>695</v>
      </c>
      <c r="G654" t="s">
        <v>60</v>
      </c>
      <c r="H654">
        <v>209</v>
      </c>
      <c r="K654" t="s">
        <v>60</v>
      </c>
      <c r="L654">
        <v>0</v>
      </c>
      <c r="O654" t="s">
        <v>60</v>
      </c>
      <c r="P654">
        <v>204</v>
      </c>
      <c r="S654" t="s">
        <v>60</v>
      </c>
      <c r="T654">
        <v>0</v>
      </c>
      <c r="W654" t="s">
        <v>60</v>
      </c>
      <c r="X654">
        <v>0</v>
      </c>
      <c r="AA654" t="s">
        <v>60</v>
      </c>
      <c r="AB654">
        <v>12751</v>
      </c>
      <c r="AE654" t="s">
        <v>60</v>
      </c>
      <c r="AF654">
        <v>0</v>
      </c>
      <c r="AI654" t="s">
        <v>60</v>
      </c>
      <c r="AJ654">
        <v>0</v>
      </c>
      <c r="AM654" t="s">
        <v>60</v>
      </c>
      <c r="AN654">
        <v>0</v>
      </c>
      <c r="AQ654" t="s">
        <v>60</v>
      </c>
      <c r="AR654">
        <v>0</v>
      </c>
      <c r="AT654" t="s">
        <v>60</v>
      </c>
      <c r="AU654">
        <v>151</v>
      </c>
    </row>
    <row r="655" spans="1:47" x14ac:dyDescent="0.35">
      <c r="C655" t="s">
        <v>127</v>
      </c>
      <c r="D655">
        <v>0</v>
      </c>
      <c r="G655" t="s">
        <v>127</v>
      </c>
      <c r="H655">
        <v>0</v>
      </c>
      <c r="K655" t="s">
        <v>127</v>
      </c>
      <c r="L655">
        <v>0</v>
      </c>
      <c r="O655" t="s">
        <v>127</v>
      </c>
      <c r="P655">
        <v>0</v>
      </c>
      <c r="S655" t="s">
        <v>127</v>
      </c>
      <c r="T655">
        <v>0</v>
      </c>
      <c r="W655" t="s">
        <v>127</v>
      </c>
      <c r="X655">
        <v>0</v>
      </c>
      <c r="AA655" t="s">
        <v>127</v>
      </c>
      <c r="AB655">
        <v>0</v>
      </c>
      <c r="AE655" t="s">
        <v>127</v>
      </c>
      <c r="AF655">
        <v>0</v>
      </c>
      <c r="AI655" t="s">
        <v>127</v>
      </c>
      <c r="AJ655">
        <v>0</v>
      </c>
      <c r="AM655" t="s">
        <v>127</v>
      </c>
      <c r="AN655">
        <v>0</v>
      </c>
      <c r="AQ655" t="s">
        <v>127</v>
      </c>
      <c r="AR655">
        <v>0</v>
      </c>
      <c r="AT655" t="s">
        <v>58</v>
      </c>
      <c r="AU655">
        <v>500</v>
      </c>
    </row>
    <row r="656" spans="1:47" x14ac:dyDescent="0.35">
      <c r="C656" t="s">
        <v>61</v>
      </c>
      <c r="D656">
        <v>1172</v>
      </c>
      <c r="G656" t="s">
        <v>61</v>
      </c>
      <c r="H656">
        <v>35</v>
      </c>
      <c r="K656" t="s">
        <v>61</v>
      </c>
      <c r="L656">
        <v>0</v>
      </c>
      <c r="O656" t="s">
        <v>61</v>
      </c>
      <c r="P656">
        <v>12</v>
      </c>
      <c r="S656" t="s">
        <v>61</v>
      </c>
      <c r="T656">
        <v>4</v>
      </c>
      <c r="W656" t="s">
        <v>61</v>
      </c>
      <c r="X656">
        <v>0</v>
      </c>
      <c r="AA656" t="s">
        <v>61</v>
      </c>
      <c r="AB656">
        <v>4038</v>
      </c>
      <c r="AE656" t="s">
        <v>61</v>
      </c>
      <c r="AF656">
        <v>0</v>
      </c>
      <c r="AI656" t="s">
        <v>61</v>
      </c>
      <c r="AJ656">
        <v>0</v>
      </c>
      <c r="AM656" t="s">
        <v>61</v>
      </c>
      <c r="AN656">
        <v>0</v>
      </c>
      <c r="AQ656" t="s">
        <v>61</v>
      </c>
      <c r="AR656">
        <v>0</v>
      </c>
      <c r="AT656" t="s">
        <v>61</v>
      </c>
      <c r="AU656">
        <v>20</v>
      </c>
    </row>
    <row r="657" spans="3:47" x14ac:dyDescent="0.35">
      <c r="C657" t="s">
        <v>62</v>
      </c>
      <c r="D657">
        <v>0</v>
      </c>
      <c r="G657" t="s">
        <v>62</v>
      </c>
      <c r="H657">
        <v>209</v>
      </c>
      <c r="K657" t="s">
        <v>62</v>
      </c>
      <c r="L657">
        <v>0</v>
      </c>
      <c r="O657" t="s">
        <v>62</v>
      </c>
      <c r="P657">
        <v>53</v>
      </c>
      <c r="S657" t="s">
        <v>62</v>
      </c>
      <c r="T657">
        <v>0</v>
      </c>
      <c r="W657" t="s">
        <v>62</v>
      </c>
      <c r="X657">
        <v>0</v>
      </c>
      <c r="AA657" t="s">
        <v>62</v>
      </c>
      <c r="AB657">
        <v>4745</v>
      </c>
      <c r="AE657" t="s">
        <v>62</v>
      </c>
      <c r="AF657">
        <v>0</v>
      </c>
      <c r="AI657" t="s">
        <v>62</v>
      </c>
      <c r="AJ657">
        <v>0</v>
      </c>
      <c r="AM657" t="s">
        <v>62</v>
      </c>
      <c r="AN657">
        <v>0</v>
      </c>
      <c r="AQ657" t="s">
        <v>62</v>
      </c>
      <c r="AR657">
        <v>0</v>
      </c>
      <c r="AT657" t="s">
        <v>62</v>
      </c>
      <c r="AU657">
        <v>5</v>
      </c>
    </row>
    <row r="658" spans="3:47" x14ac:dyDescent="0.35">
      <c r="C658" t="s">
        <v>203</v>
      </c>
      <c r="D658">
        <v>0</v>
      </c>
      <c r="G658" t="s">
        <v>203</v>
      </c>
      <c r="H658">
        <v>0</v>
      </c>
      <c r="K658" t="s">
        <v>203</v>
      </c>
      <c r="L658">
        <v>0</v>
      </c>
      <c r="O658" t="s">
        <v>203</v>
      </c>
      <c r="P658">
        <v>0</v>
      </c>
      <c r="S658" t="s">
        <v>203</v>
      </c>
      <c r="T658">
        <v>0</v>
      </c>
      <c r="W658" t="s">
        <v>203</v>
      </c>
      <c r="X658">
        <v>0</v>
      </c>
      <c r="AA658" t="s">
        <v>203</v>
      </c>
      <c r="AB658">
        <v>0</v>
      </c>
      <c r="AE658" t="s">
        <v>203</v>
      </c>
      <c r="AF658">
        <v>0</v>
      </c>
      <c r="AI658" t="s">
        <v>203</v>
      </c>
      <c r="AJ658">
        <v>0</v>
      </c>
      <c r="AM658" t="s">
        <v>203</v>
      </c>
      <c r="AN658">
        <v>0</v>
      </c>
      <c r="AQ658" t="s">
        <v>203</v>
      </c>
      <c r="AR658">
        <v>0</v>
      </c>
      <c r="AT658" t="s">
        <v>64</v>
      </c>
      <c r="AU658">
        <v>38</v>
      </c>
    </row>
    <row r="659" spans="3:47" x14ac:dyDescent="0.35">
      <c r="C659" t="s">
        <v>204</v>
      </c>
      <c r="D659">
        <v>0</v>
      </c>
      <c r="G659" t="s">
        <v>204</v>
      </c>
      <c r="H659">
        <v>0</v>
      </c>
      <c r="K659" t="s">
        <v>204</v>
      </c>
      <c r="L659">
        <v>0</v>
      </c>
      <c r="O659" t="s">
        <v>204</v>
      </c>
      <c r="P659">
        <v>0</v>
      </c>
      <c r="S659" t="s">
        <v>204</v>
      </c>
      <c r="T659">
        <v>0</v>
      </c>
      <c r="W659" t="s">
        <v>204</v>
      </c>
      <c r="X659">
        <v>0</v>
      </c>
      <c r="AA659" t="s">
        <v>204</v>
      </c>
      <c r="AB659">
        <v>0</v>
      </c>
      <c r="AE659" t="s">
        <v>204</v>
      </c>
      <c r="AF659">
        <v>0</v>
      </c>
      <c r="AI659" t="s">
        <v>204</v>
      </c>
      <c r="AJ659">
        <v>0</v>
      </c>
      <c r="AM659" t="s">
        <v>204</v>
      </c>
      <c r="AN659">
        <v>0</v>
      </c>
      <c r="AQ659" t="s">
        <v>204</v>
      </c>
      <c r="AR659">
        <v>0</v>
      </c>
      <c r="AT659" t="s">
        <v>65</v>
      </c>
      <c r="AU659">
        <v>20</v>
      </c>
    </row>
    <row r="660" spans="3:47" x14ac:dyDescent="0.35">
      <c r="C660" t="s">
        <v>205</v>
      </c>
      <c r="D660">
        <v>0</v>
      </c>
      <c r="G660" t="s">
        <v>205</v>
      </c>
      <c r="H660">
        <v>0</v>
      </c>
      <c r="K660" t="s">
        <v>205</v>
      </c>
      <c r="L660">
        <v>0</v>
      </c>
      <c r="O660" t="s">
        <v>205</v>
      </c>
      <c r="P660">
        <v>0</v>
      </c>
      <c r="S660" t="s">
        <v>205</v>
      </c>
      <c r="T660">
        <v>0</v>
      </c>
      <c r="W660" t="s">
        <v>205</v>
      </c>
      <c r="X660">
        <v>0</v>
      </c>
      <c r="AA660" t="s">
        <v>205</v>
      </c>
      <c r="AB660">
        <v>0</v>
      </c>
      <c r="AE660" t="s">
        <v>205</v>
      </c>
      <c r="AF660">
        <v>0</v>
      </c>
      <c r="AI660" t="s">
        <v>205</v>
      </c>
      <c r="AJ660">
        <v>0</v>
      </c>
      <c r="AM660" t="s">
        <v>205</v>
      </c>
      <c r="AN660">
        <v>0</v>
      </c>
      <c r="AQ660" t="s">
        <v>205</v>
      </c>
      <c r="AR660">
        <v>0</v>
      </c>
      <c r="AT660" t="s">
        <v>66</v>
      </c>
      <c r="AU660">
        <v>9</v>
      </c>
    </row>
    <row r="661" spans="3:47" x14ac:dyDescent="0.35">
      <c r="C661" t="s">
        <v>133</v>
      </c>
      <c r="D661">
        <v>0</v>
      </c>
      <c r="G661" t="s">
        <v>133</v>
      </c>
      <c r="H661">
        <v>0</v>
      </c>
      <c r="K661" t="s">
        <v>133</v>
      </c>
      <c r="L661">
        <v>0</v>
      </c>
      <c r="O661" t="s">
        <v>133</v>
      </c>
      <c r="P661">
        <v>0</v>
      </c>
      <c r="S661" t="s">
        <v>133</v>
      </c>
      <c r="T661">
        <v>0</v>
      </c>
      <c r="W661" t="s">
        <v>133</v>
      </c>
      <c r="X661">
        <v>0</v>
      </c>
      <c r="AA661" t="s">
        <v>133</v>
      </c>
      <c r="AB661">
        <v>0</v>
      </c>
      <c r="AE661" t="s">
        <v>133</v>
      </c>
      <c r="AF661">
        <v>0</v>
      </c>
      <c r="AI661" t="s">
        <v>133</v>
      </c>
      <c r="AJ661">
        <v>0</v>
      </c>
      <c r="AM661" t="s">
        <v>133</v>
      </c>
      <c r="AN661">
        <v>0</v>
      </c>
      <c r="AQ661" t="s">
        <v>133</v>
      </c>
      <c r="AR661">
        <v>0</v>
      </c>
      <c r="AT661" t="s">
        <v>79</v>
      </c>
      <c r="AU661">
        <v>326</v>
      </c>
    </row>
    <row r="662" spans="3:47" x14ac:dyDescent="0.35">
      <c r="C662" t="s">
        <v>206</v>
      </c>
      <c r="D662">
        <v>0</v>
      </c>
      <c r="G662" t="s">
        <v>206</v>
      </c>
      <c r="H662">
        <v>0</v>
      </c>
      <c r="K662" t="s">
        <v>206</v>
      </c>
      <c r="L662">
        <v>0</v>
      </c>
      <c r="O662" t="s">
        <v>206</v>
      </c>
      <c r="P662">
        <v>0</v>
      </c>
      <c r="S662" t="s">
        <v>206</v>
      </c>
      <c r="T662">
        <v>0</v>
      </c>
      <c r="W662" t="s">
        <v>206</v>
      </c>
      <c r="X662">
        <v>0</v>
      </c>
      <c r="AA662" t="s">
        <v>206</v>
      </c>
      <c r="AB662">
        <v>0</v>
      </c>
      <c r="AE662" t="s">
        <v>206</v>
      </c>
      <c r="AF662">
        <v>0</v>
      </c>
      <c r="AI662" t="s">
        <v>206</v>
      </c>
      <c r="AJ662">
        <v>0</v>
      </c>
      <c r="AM662" t="s">
        <v>206</v>
      </c>
      <c r="AN662">
        <v>0</v>
      </c>
      <c r="AQ662" t="s">
        <v>206</v>
      </c>
      <c r="AR662">
        <v>0</v>
      </c>
      <c r="AT662" t="s">
        <v>68</v>
      </c>
      <c r="AU662">
        <v>0</v>
      </c>
    </row>
    <row r="663" spans="3:47" x14ac:dyDescent="0.35">
      <c r="C663" t="s">
        <v>136</v>
      </c>
      <c r="D663">
        <v>0</v>
      </c>
      <c r="G663" t="s">
        <v>136</v>
      </c>
      <c r="H663">
        <v>0</v>
      </c>
      <c r="K663" t="s">
        <v>136</v>
      </c>
      <c r="L663">
        <v>0</v>
      </c>
      <c r="O663" t="s">
        <v>136</v>
      </c>
      <c r="P663">
        <v>0</v>
      </c>
      <c r="S663" t="s">
        <v>136</v>
      </c>
      <c r="T663">
        <v>0</v>
      </c>
      <c r="W663" t="s">
        <v>136</v>
      </c>
      <c r="X663">
        <v>0</v>
      </c>
      <c r="AA663" t="s">
        <v>136</v>
      </c>
      <c r="AB663">
        <v>0</v>
      </c>
      <c r="AE663" t="s">
        <v>136</v>
      </c>
      <c r="AF663">
        <v>0</v>
      </c>
      <c r="AI663" t="s">
        <v>136</v>
      </c>
      <c r="AJ663">
        <v>0</v>
      </c>
      <c r="AM663" t="s">
        <v>136</v>
      </c>
      <c r="AN663">
        <v>0</v>
      </c>
      <c r="AQ663" t="s">
        <v>136</v>
      </c>
      <c r="AR663">
        <v>0</v>
      </c>
      <c r="AT663" t="s">
        <v>69</v>
      </c>
      <c r="AU663">
        <v>0</v>
      </c>
    </row>
    <row r="664" spans="3:47" x14ac:dyDescent="0.35">
      <c r="C664" t="s">
        <v>207</v>
      </c>
      <c r="D664">
        <v>0</v>
      </c>
      <c r="G664" t="s">
        <v>207</v>
      </c>
      <c r="H664">
        <v>0</v>
      </c>
      <c r="K664" t="s">
        <v>207</v>
      </c>
      <c r="L664">
        <v>0</v>
      </c>
      <c r="O664" t="s">
        <v>207</v>
      </c>
      <c r="P664">
        <v>0</v>
      </c>
      <c r="S664" t="s">
        <v>207</v>
      </c>
      <c r="T664">
        <v>0</v>
      </c>
      <c r="W664" t="s">
        <v>207</v>
      </c>
      <c r="X664">
        <v>0</v>
      </c>
      <c r="AA664" t="s">
        <v>207</v>
      </c>
      <c r="AB664">
        <v>0</v>
      </c>
      <c r="AE664" t="s">
        <v>207</v>
      </c>
      <c r="AF664">
        <v>0</v>
      </c>
      <c r="AI664" t="s">
        <v>207</v>
      </c>
      <c r="AJ664">
        <v>0</v>
      </c>
      <c r="AM664" t="s">
        <v>207</v>
      </c>
      <c r="AN664">
        <v>0</v>
      </c>
      <c r="AQ664" t="s">
        <v>207</v>
      </c>
      <c r="AR664">
        <v>0</v>
      </c>
      <c r="AT664" t="s">
        <v>70</v>
      </c>
      <c r="AU664">
        <v>15</v>
      </c>
    </row>
    <row r="665" spans="3:47" x14ac:dyDescent="0.35">
      <c r="C665" t="s">
        <v>141</v>
      </c>
      <c r="D665">
        <v>0</v>
      </c>
      <c r="G665" t="s">
        <v>141</v>
      </c>
      <c r="H665">
        <v>0</v>
      </c>
      <c r="K665" t="s">
        <v>141</v>
      </c>
      <c r="L665">
        <v>0</v>
      </c>
      <c r="O665" t="s">
        <v>141</v>
      </c>
      <c r="P665">
        <v>0</v>
      </c>
      <c r="S665" t="s">
        <v>141</v>
      </c>
      <c r="T665">
        <v>0</v>
      </c>
      <c r="W665" t="s">
        <v>141</v>
      </c>
      <c r="X665">
        <v>0</v>
      </c>
      <c r="AA665" t="s">
        <v>141</v>
      </c>
      <c r="AB665">
        <v>0</v>
      </c>
      <c r="AE665" t="s">
        <v>141</v>
      </c>
      <c r="AF665">
        <v>0</v>
      </c>
      <c r="AI665" t="s">
        <v>141</v>
      </c>
      <c r="AJ665">
        <v>0</v>
      </c>
      <c r="AM665" t="s">
        <v>141</v>
      </c>
      <c r="AN665">
        <v>0</v>
      </c>
      <c r="AQ665" t="s">
        <v>141</v>
      </c>
      <c r="AR665">
        <v>0</v>
      </c>
      <c r="AT665" t="s">
        <v>76</v>
      </c>
      <c r="AU665">
        <v>0</v>
      </c>
    </row>
    <row r="666" spans="3:47" x14ac:dyDescent="0.35">
      <c r="C666" t="s">
        <v>208</v>
      </c>
      <c r="D666">
        <v>0</v>
      </c>
      <c r="G666" t="s">
        <v>208</v>
      </c>
      <c r="H666">
        <v>0</v>
      </c>
      <c r="K666" t="s">
        <v>208</v>
      </c>
      <c r="L666">
        <v>0</v>
      </c>
      <c r="O666" t="s">
        <v>208</v>
      </c>
      <c r="P666">
        <v>0</v>
      </c>
      <c r="S666" t="s">
        <v>208</v>
      </c>
      <c r="T666">
        <v>0</v>
      </c>
      <c r="W666" t="s">
        <v>208</v>
      </c>
      <c r="X666">
        <v>0</v>
      </c>
      <c r="AA666" t="s">
        <v>208</v>
      </c>
      <c r="AB666">
        <v>0</v>
      </c>
      <c r="AE666" t="s">
        <v>208</v>
      </c>
      <c r="AF666">
        <v>0</v>
      </c>
      <c r="AI666" t="s">
        <v>208</v>
      </c>
      <c r="AJ666">
        <v>0</v>
      </c>
      <c r="AM666" t="s">
        <v>208</v>
      </c>
      <c r="AN666">
        <v>0</v>
      </c>
      <c r="AQ666" t="s">
        <v>208</v>
      </c>
      <c r="AR666">
        <v>0</v>
      </c>
      <c r="AT666" t="s">
        <v>77</v>
      </c>
      <c r="AU666">
        <v>1532</v>
      </c>
    </row>
    <row r="667" spans="3:47" x14ac:dyDescent="0.35">
      <c r="C667" t="s">
        <v>209</v>
      </c>
      <c r="D667">
        <v>0</v>
      </c>
      <c r="G667" t="s">
        <v>209</v>
      </c>
      <c r="H667">
        <v>0</v>
      </c>
      <c r="K667" t="s">
        <v>209</v>
      </c>
      <c r="L667">
        <v>0</v>
      </c>
      <c r="O667" t="s">
        <v>209</v>
      </c>
      <c r="P667">
        <v>0</v>
      </c>
      <c r="S667" t="s">
        <v>209</v>
      </c>
      <c r="T667">
        <v>0</v>
      </c>
      <c r="W667" t="s">
        <v>209</v>
      </c>
      <c r="X667">
        <v>0</v>
      </c>
      <c r="AA667" t="s">
        <v>209</v>
      </c>
      <c r="AB667">
        <v>0</v>
      </c>
      <c r="AE667" t="s">
        <v>209</v>
      </c>
      <c r="AF667">
        <v>0</v>
      </c>
      <c r="AI667" t="s">
        <v>209</v>
      </c>
      <c r="AJ667">
        <v>0</v>
      </c>
      <c r="AM667" t="s">
        <v>209</v>
      </c>
      <c r="AN667">
        <v>0</v>
      </c>
      <c r="AQ667" t="s">
        <v>209</v>
      </c>
      <c r="AR667">
        <v>0</v>
      </c>
      <c r="AT667" t="s">
        <v>78</v>
      </c>
      <c r="AU667">
        <v>4</v>
      </c>
    </row>
    <row r="668" spans="3:47" x14ac:dyDescent="0.35">
      <c r="C668" t="s">
        <v>134</v>
      </c>
      <c r="D668">
        <v>0</v>
      </c>
      <c r="G668" t="s">
        <v>134</v>
      </c>
      <c r="H668">
        <v>0</v>
      </c>
      <c r="K668" t="s">
        <v>134</v>
      </c>
      <c r="L668">
        <v>0</v>
      </c>
      <c r="O668" t="s">
        <v>134</v>
      </c>
      <c r="P668">
        <v>0</v>
      </c>
      <c r="S668" t="s">
        <v>134</v>
      </c>
      <c r="T668">
        <v>0</v>
      </c>
      <c r="W668" t="s">
        <v>134</v>
      </c>
      <c r="X668">
        <v>0</v>
      </c>
      <c r="AA668" t="s">
        <v>134</v>
      </c>
      <c r="AB668">
        <v>0</v>
      </c>
      <c r="AE668" t="s">
        <v>134</v>
      </c>
      <c r="AF668">
        <v>0</v>
      </c>
      <c r="AI668" t="s">
        <v>134</v>
      </c>
      <c r="AJ668">
        <v>0</v>
      </c>
      <c r="AM668" t="s">
        <v>134</v>
      </c>
      <c r="AN668">
        <v>0</v>
      </c>
      <c r="AQ668" t="s">
        <v>134</v>
      </c>
      <c r="AR668">
        <v>0</v>
      </c>
      <c r="AT668" t="s">
        <v>67</v>
      </c>
      <c r="AU668">
        <v>122</v>
      </c>
    </row>
    <row r="669" spans="3:47" x14ac:dyDescent="0.35">
      <c r="C669" t="s">
        <v>142</v>
      </c>
      <c r="D669">
        <v>0</v>
      </c>
      <c r="G669" t="s">
        <v>142</v>
      </c>
      <c r="H669">
        <v>0</v>
      </c>
      <c r="K669" t="s">
        <v>142</v>
      </c>
      <c r="L669">
        <v>0</v>
      </c>
      <c r="O669" t="s">
        <v>142</v>
      </c>
      <c r="P669">
        <v>0</v>
      </c>
      <c r="S669" t="s">
        <v>142</v>
      </c>
      <c r="T669">
        <v>0</v>
      </c>
      <c r="W669" t="s">
        <v>142</v>
      </c>
      <c r="X669">
        <v>0</v>
      </c>
      <c r="AA669" t="s">
        <v>142</v>
      </c>
      <c r="AB669">
        <v>0</v>
      </c>
      <c r="AE669" t="s">
        <v>142</v>
      </c>
      <c r="AF669">
        <v>0</v>
      </c>
      <c r="AI669" t="s">
        <v>142</v>
      </c>
      <c r="AJ669">
        <v>0</v>
      </c>
      <c r="AM669" t="s">
        <v>142</v>
      </c>
      <c r="AN669">
        <v>0</v>
      </c>
      <c r="AQ669" t="s">
        <v>142</v>
      </c>
      <c r="AR669">
        <v>0</v>
      </c>
      <c r="AT669" t="s">
        <v>80</v>
      </c>
      <c r="AU669">
        <v>65</v>
      </c>
    </row>
    <row r="670" spans="3:47" x14ac:dyDescent="0.35">
      <c r="C670" t="s">
        <v>83</v>
      </c>
      <c r="D670">
        <v>0</v>
      </c>
      <c r="G670" t="s">
        <v>83</v>
      </c>
      <c r="H670">
        <v>0</v>
      </c>
      <c r="K670" t="s">
        <v>83</v>
      </c>
      <c r="L670">
        <v>0</v>
      </c>
      <c r="O670" t="s">
        <v>83</v>
      </c>
      <c r="P670">
        <v>0</v>
      </c>
      <c r="S670" t="s">
        <v>83</v>
      </c>
      <c r="T670">
        <v>0</v>
      </c>
      <c r="W670" t="s">
        <v>83</v>
      </c>
      <c r="X670">
        <v>0</v>
      </c>
      <c r="AA670" t="s">
        <v>83</v>
      </c>
      <c r="AB670">
        <v>0</v>
      </c>
      <c r="AE670" t="s">
        <v>83</v>
      </c>
      <c r="AF670">
        <v>0</v>
      </c>
      <c r="AI670" t="s">
        <v>83</v>
      </c>
      <c r="AJ670">
        <v>0</v>
      </c>
      <c r="AM670" t="s">
        <v>83</v>
      </c>
      <c r="AN670">
        <v>0</v>
      </c>
      <c r="AQ670" t="s">
        <v>83</v>
      </c>
      <c r="AR670">
        <v>0</v>
      </c>
      <c r="AT670" t="s">
        <v>83</v>
      </c>
      <c r="AU670">
        <v>7</v>
      </c>
    </row>
    <row r="671" spans="3:47" x14ac:dyDescent="0.35">
      <c r="C671" t="s">
        <v>84</v>
      </c>
      <c r="D671">
        <v>0</v>
      </c>
      <c r="G671" t="s">
        <v>84</v>
      </c>
      <c r="H671">
        <v>0</v>
      </c>
      <c r="K671" t="s">
        <v>84</v>
      </c>
      <c r="L671">
        <v>0</v>
      </c>
      <c r="O671" t="s">
        <v>84</v>
      </c>
      <c r="P671">
        <v>0</v>
      </c>
      <c r="S671" t="s">
        <v>84</v>
      </c>
      <c r="T671">
        <v>0</v>
      </c>
      <c r="W671" t="s">
        <v>84</v>
      </c>
      <c r="X671">
        <v>0</v>
      </c>
      <c r="AA671" t="s">
        <v>84</v>
      </c>
      <c r="AB671">
        <v>0</v>
      </c>
      <c r="AE671" t="s">
        <v>84</v>
      </c>
      <c r="AF671">
        <v>0</v>
      </c>
      <c r="AI671" t="s">
        <v>84</v>
      </c>
      <c r="AJ671">
        <v>0</v>
      </c>
      <c r="AM671" t="s">
        <v>84</v>
      </c>
      <c r="AN671">
        <v>0</v>
      </c>
      <c r="AQ671" t="s">
        <v>84</v>
      </c>
      <c r="AR671">
        <v>0</v>
      </c>
      <c r="AT671" t="s">
        <v>84</v>
      </c>
      <c r="AU671">
        <v>0</v>
      </c>
    </row>
    <row r="672" spans="3:47" x14ac:dyDescent="0.35">
      <c r="C672" t="s">
        <v>126</v>
      </c>
      <c r="D672">
        <v>0</v>
      </c>
      <c r="G672" t="s">
        <v>126</v>
      </c>
      <c r="H672">
        <v>0</v>
      </c>
      <c r="K672" t="s">
        <v>223</v>
      </c>
      <c r="L672">
        <v>0</v>
      </c>
      <c r="O672" t="s">
        <v>126</v>
      </c>
      <c r="P672">
        <v>0</v>
      </c>
      <c r="S672" t="s">
        <v>126</v>
      </c>
      <c r="T672">
        <v>0</v>
      </c>
      <c r="W672" t="s">
        <v>126</v>
      </c>
      <c r="X672">
        <v>0</v>
      </c>
      <c r="AA672" t="s">
        <v>126</v>
      </c>
      <c r="AB672">
        <v>0</v>
      </c>
      <c r="AE672" t="s">
        <v>126</v>
      </c>
      <c r="AF672">
        <v>0</v>
      </c>
      <c r="AI672" t="s">
        <v>126</v>
      </c>
      <c r="AJ672">
        <v>0</v>
      </c>
      <c r="AM672" t="s">
        <v>126</v>
      </c>
      <c r="AN672">
        <v>0</v>
      </c>
      <c r="AQ672" t="s">
        <v>126</v>
      </c>
      <c r="AR672">
        <v>0</v>
      </c>
      <c r="AT672" t="s">
        <v>86</v>
      </c>
      <c r="AU672">
        <v>0</v>
      </c>
    </row>
    <row r="673" spans="1:47" x14ac:dyDescent="0.35">
      <c r="C673" t="s">
        <v>87</v>
      </c>
      <c r="D673">
        <v>0</v>
      </c>
      <c r="G673" t="s">
        <v>87</v>
      </c>
      <c r="H673">
        <v>0</v>
      </c>
      <c r="K673" t="s">
        <v>87</v>
      </c>
      <c r="L673">
        <v>0</v>
      </c>
      <c r="O673" t="s">
        <v>87</v>
      </c>
      <c r="P673">
        <v>0</v>
      </c>
      <c r="S673" t="s">
        <v>87</v>
      </c>
      <c r="T673">
        <v>0</v>
      </c>
      <c r="W673" t="s">
        <v>87</v>
      </c>
      <c r="X673">
        <v>0</v>
      </c>
      <c r="AA673" t="s">
        <v>87</v>
      </c>
      <c r="AB673">
        <v>0</v>
      </c>
      <c r="AE673" t="s">
        <v>87</v>
      </c>
      <c r="AF673">
        <v>0</v>
      </c>
      <c r="AI673" t="s">
        <v>87</v>
      </c>
      <c r="AJ673">
        <v>0</v>
      </c>
      <c r="AM673" t="s">
        <v>87</v>
      </c>
      <c r="AN673">
        <v>0</v>
      </c>
      <c r="AQ673" t="s">
        <v>87</v>
      </c>
      <c r="AR673">
        <v>0</v>
      </c>
      <c r="AT673" t="s">
        <v>87</v>
      </c>
      <c r="AU673">
        <v>42</v>
      </c>
    </row>
    <row r="674" spans="1:47" x14ac:dyDescent="0.35">
      <c r="A674" t="s">
        <v>180</v>
      </c>
      <c r="B674">
        <v>1288744.5000000005</v>
      </c>
      <c r="C674" t="s">
        <v>135</v>
      </c>
      <c r="D674">
        <v>3444</v>
      </c>
      <c r="E674" t="s">
        <v>180</v>
      </c>
      <c r="F674">
        <v>1290691.4999999998</v>
      </c>
      <c r="G674" t="s">
        <v>135</v>
      </c>
      <c r="H674">
        <v>4092</v>
      </c>
      <c r="I674" t="s">
        <v>180</v>
      </c>
      <c r="J674">
        <v>1292113.5000000002</v>
      </c>
      <c r="K674" t="s">
        <v>135</v>
      </c>
      <c r="L674">
        <v>4858</v>
      </c>
      <c r="M674" t="s">
        <v>180</v>
      </c>
      <c r="N674">
        <v>1293153</v>
      </c>
      <c r="O674" t="s">
        <v>135</v>
      </c>
      <c r="P674">
        <v>5100</v>
      </c>
      <c r="Q674" t="s">
        <v>180</v>
      </c>
      <c r="R674">
        <v>1293911.0000000005</v>
      </c>
      <c r="S674" t="s">
        <v>135</v>
      </c>
      <c r="T674">
        <v>5538</v>
      </c>
      <c r="U674" t="s">
        <v>180</v>
      </c>
      <c r="V674">
        <v>1294740.5000000002</v>
      </c>
      <c r="W674" t="s">
        <v>135</v>
      </c>
      <c r="X674">
        <v>5854</v>
      </c>
      <c r="Y674" t="s">
        <v>180</v>
      </c>
      <c r="Z674">
        <v>1295381.5000000005</v>
      </c>
      <c r="AA674" t="s">
        <v>135</v>
      </c>
      <c r="AB674">
        <v>4790</v>
      </c>
      <c r="AC674" t="s">
        <v>180</v>
      </c>
      <c r="AD674">
        <v>1296279.0000000002</v>
      </c>
      <c r="AE674" t="s">
        <v>135</v>
      </c>
      <c r="AF674">
        <v>6580</v>
      </c>
      <c r="AG674" t="s">
        <v>180</v>
      </c>
      <c r="AH674">
        <v>1297827.5</v>
      </c>
      <c r="AI674" t="s">
        <v>135</v>
      </c>
      <c r="AJ674">
        <v>7101</v>
      </c>
      <c r="AK674" t="s">
        <v>180</v>
      </c>
      <c r="AL674">
        <v>1298914.4999999995</v>
      </c>
      <c r="AM674" t="s">
        <v>135</v>
      </c>
      <c r="AN674">
        <v>0</v>
      </c>
      <c r="AO674" t="s">
        <v>180</v>
      </c>
      <c r="AP674">
        <v>1299468.9999999986</v>
      </c>
      <c r="AQ674" t="s">
        <v>135</v>
      </c>
      <c r="AR674">
        <v>3224</v>
      </c>
      <c r="AS674" t="s">
        <v>180</v>
      </c>
      <c r="AT674" t="s">
        <v>148</v>
      </c>
      <c r="AU674">
        <v>2395</v>
      </c>
    </row>
    <row r="675" spans="1:47" x14ac:dyDescent="0.35">
      <c r="C675" t="s">
        <v>139</v>
      </c>
      <c r="D675">
        <v>7474</v>
      </c>
      <c r="G675" t="s">
        <v>139</v>
      </c>
      <c r="H675">
        <v>7926</v>
      </c>
      <c r="K675" t="s">
        <v>139</v>
      </c>
      <c r="L675">
        <v>8250</v>
      </c>
      <c r="O675" t="s">
        <v>139</v>
      </c>
      <c r="P675">
        <v>8522</v>
      </c>
      <c r="S675" t="s">
        <v>139</v>
      </c>
      <c r="T675">
        <v>8268</v>
      </c>
      <c r="W675" t="s">
        <v>139</v>
      </c>
      <c r="X675">
        <v>8890</v>
      </c>
      <c r="AA675" t="s">
        <v>139</v>
      </c>
      <c r="AB675">
        <v>9972</v>
      </c>
      <c r="AE675" t="s">
        <v>139</v>
      </c>
      <c r="AF675">
        <v>0</v>
      </c>
      <c r="AI675" t="s">
        <v>139</v>
      </c>
      <c r="AJ675">
        <v>0</v>
      </c>
      <c r="AM675" t="s">
        <v>139</v>
      </c>
      <c r="AN675">
        <v>0</v>
      </c>
      <c r="AQ675" t="s">
        <v>139</v>
      </c>
      <c r="AR675">
        <v>7800</v>
      </c>
      <c r="AT675" t="s">
        <v>139</v>
      </c>
      <c r="AU675">
        <v>4419</v>
      </c>
    </row>
    <row r="676" spans="1:47" x14ac:dyDescent="0.35">
      <c r="C676" t="s">
        <v>138</v>
      </c>
      <c r="D676">
        <v>0</v>
      </c>
      <c r="G676" t="s">
        <v>138</v>
      </c>
      <c r="H676">
        <v>0</v>
      </c>
      <c r="K676" t="s">
        <v>138</v>
      </c>
      <c r="L676">
        <v>0</v>
      </c>
      <c r="O676" t="s">
        <v>138</v>
      </c>
      <c r="P676">
        <v>0</v>
      </c>
      <c r="S676" t="s">
        <v>138</v>
      </c>
      <c r="T676">
        <v>0</v>
      </c>
      <c r="W676" t="s">
        <v>138</v>
      </c>
      <c r="X676">
        <v>0</v>
      </c>
      <c r="AA676" t="s">
        <v>138</v>
      </c>
      <c r="AB676">
        <v>0</v>
      </c>
      <c r="AE676" t="s">
        <v>138</v>
      </c>
      <c r="AF676">
        <v>0</v>
      </c>
      <c r="AI676" t="s">
        <v>138</v>
      </c>
      <c r="AJ676">
        <v>0</v>
      </c>
      <c r="AM676" t="s">
        <v>138</v>
      </c>
      <c r="AN676">
        <v>0</v>
      </c>
      <c r="AQ676" t="s">
        <v>138</v>
      </c>
      <c r="AR676">
        <v>0</v>
      </c>
      <c r="AT676" t="s">
        <v>138</v>
      </c>
      <c r="AU676">
        <v>567</v>
      </c>
    </row>
    <row r="677" spans="1:47" x14ac:dyDescent="0.35">
      <c r="C677" t="s">
        <v>82</v>
      </c>
      <c r="D677">
        <v>0</v>
      </c>
      <c r="G677" t="s">
        <v>82</v>
      </c>
      <c r="H677">
        <v>73</v>
      </c>
      <c r="K677" t="s">
        <v>82</v>
      </c>
      <c r="L677">
        <v>24</v>
      </c>
      <c r="O677" t="s">
        <v>82</v>
      </c>
      <c r="P677">
        <v>0</v>
      </c>
      <c r="S677" t="s">
        <v>82</v>
      </c>
      <c r="T677">
        <v>1159</v>
      </c>
      <c r="W677" t="s">
        <v>82</v>
      </c>
      <c r="X677">
        <v>759</v>
      </c>
      <c r="AA677" t="s">
        <v>82</v>
      </c>
      <c r="AB677">
        <v>0</v>
      </c>
      <c r="AE677" t="s">
        <v>82</v>
      </c>
      <c r="AF677">
        <v>14</v>
      </c>
      <c r="AI677" t="s">
        <v>82</v>
      </c>
      <c r="AJ677">
        <v>0</v>
      </c>
      <c r="AM677" t="s">
        <v>82</v>
      </c>
      <c r="AN677">
        <v>0</v>
      </c>
      <c r="AQ677" t="s">
        <v>82</v>
      </c>
      <c r="AR677">
        <v>258</v>
      </c>
      <c r="AT677" t="s">
        <v>82</v>
      </c>
      <c r="AU677">
        <v>748</v>
      </c>
    </row>
    <row r="678" spans="1:47" x14ac:dyDescent="0.35">
      <c r="C678" t="s">
        <v>60</v>
      </c>
      <c r="D678">
        <v>0</v>
      </c>
      <c r="G678" t="s">
        <v>60</v>
      </c>
      <c r="H678">
        <v>27</v>
      </c>
      <c r="K678" t="s">
        <v>60</v>
      </c>
      <c r="L678">
        <v>18</v>
      </c>
      <c r="O678" t="s">
        <v>60</v>
      </c>
      <c r="P678">
        <v>0</v>
      </c>
      <c r="S678" t="s">
        <v>60</v>
      </c>
      <c r="T678">
        <v>312</v>
      </c>
      <c r="W678" t="s">
        <v>60</v>
      </c>
      <c r="X678">
        <v>293</v>
      </c>
      <c r="AA678" t="s">
        <v>60</v>
      </c>
      <c r="AB678">
        <v>0</v>
      </c>
      <c r="AE678" t="s">
        <v>60</v>
      </c>
      <c r="AF678">
        <v>0</v>
      </c>
      <c r="AI678" t="s">
        <v>60</v>
      </c>
      <c r="AJ678">
        <v>0</v>
      </c>
      <c r="AM678" t="s">
        <v>60</v>
      </c>
      <c r="AN678">
        <v>0</v>
      </c>
      <c r="AQ678" t="s">
        <v>60</v>
      </c>
      <c r="AR678">
        <v>0</v>
      </c>
      <c r="AT678" t="s">
        <v>60</v>
      </c>
      <c r="AU678">
        <v>466</v>
      </c>
    </row>
    <row r="679" spans="1:47" x14ac:dyDescent="0.35">
      <c r="C679" t="s">
        <v>127</v>
      </c>
      <c r="D679">
        <v>0</v>
      </c>
      <c r="G679" t="s">
        <v>127</v>
      </c>
      <c r="H679">
        <v>0</v>
      </c>
      <c r="K679" t="s">
        <v>127</v>
      </c>
      <c r="L679">
        <v>0</v>
      </c>
      <c r="O679" t="s">
        <v>127</v>
      </c>
      <c r="P679">
        <v>0</v>
      </c>
      <c r="S679" t="s">
        <v>127</v>
      </c>
      <c r="T679">
        <v>0</v>
      </c>
      <c r="W679" t="s">
        <v>127</v>
      </c>
      <c r="X679">
        <v>0</v>
      </c>
      <c r="AA679" t="s">
        <v>127</v>
      </c>
      <c r="AB679">
        <v>180</v>
      </c>
      <c r="AE679" t="s">
        <v>127</v>
      </c>
      <c r="AF679">
        <v>0</v>
      </c>
      <c r="AI679" t="s">
        <v>127</v>
      </c>
      <c r="AJ679">
        <v>163</v>
      </c>
      <c r="AM679" t="s">
        <v>127</v>
      </c>
      <c r="AN679">
        <v>0</v>
      </c>
      <c r="AQ679" t="s">
        <v>127</v>
      </c>
      <c r="AR679">
        <v>916</v>
      </c>
      <c r="AT679" t="s">
        <v>58</v>
      </c>
      <c r="AU679">
        <v>180</v>
      </c>
    </row>
    <row r="680" spans="1:47" x14ac:dyDescent="0.35">
      <c r="C680" t="s">
        <v>61</v>
      </c>
      <c r="D680">
        <v>0</v>
      </c>
      <c r="G680" t="s">
        <v>61</v>
      </c>
      <c r="H680">
        <v>0</v>
      </c>
      <c r="K680" t="s">
        <v>61</v>
      </c>
      <c r="L680">
        <v>0</v>
      </c>
      <c r="O680" t="s">
        <v>61</v>
      </c>
      <c r="P680">
        <v>0</v>
      </c>
      <c r="S680" t="s">
        <v>61</v>
      </c>
      <c r="T680">
        <v>202</v>
      </c>
      <c r="W680" t="s">
        <v>61</v>
      </c>
      <c r="X680">
        <v>61</v>
      </c>
      <c r="AA680" t="s">
        <v>61</v>
      </c>
      <c r="AB680">
        <v>0</v>
      </c>
      <c r="AE680" t="s">
        <v>61</v>
      </c>
      <c r="AF680">
        <v>1</v>
      </c>
      <c r="AI680" t="s">
        <v>61</v>
      </c>
      <c r="AJ680">
        <v>0</v>
      </c>
      <c r="AM680" t="s">
        <v>61</v>
      </c>
      <c r="AN680">
        <v>0</v>
      </c>
      <c r="AQ680" t="s">
        <v>61</v>
      </c>
      <c r="AR680">
        <v>0</v>
      </c>
      <c r="AT680" t="s">
        <v>61</v>
      </c>
      <c r="AU680">
        <v>0</v>
      </c>
    </row>
    <row r="681" spans="1:47" x14ac:dyDescent="0.35">
      <c r="C681" t="s">
        <v>62</v>
      </c>
      <c r="D681">
        <v>0</v>
      </c>
      <c r="G681" t="s">
        <v>62</v>
      </c>
      <c r="H681">
        <v>0</v>
      </c>
      <c r="K681" t="s">
        <v>62</v>
      </c>
      <c r="L681">
        <v>0</v>
      </c>
      <c r="O681" t="s">
        <v>62</v>
      </c>
      <c r="P681">
        <v>0</v>
      </c>
      <c r="S681" t="s">
        <v>62</v>
      </c>
      <c r="T681">
        <v>1796</v>
      </c>
      <c r="W681" t="s">
        <v>62</v>
      </c>
      <c r="X681">
        <v>1843</v>
      </c>
      <c r="AA681" t="s">
        <v>62</v>
      </c>
      <c r="AB681">
        <v>0</v>
      </c>
      <c r="AE681" t="s">
        <v>62</v>
      </c>
      <c r="AF681">
        <v>311</v>
      </c>
      <c r="AI681" t="s">
        <v>62</v>
      </c>
      <c r="AJ681">
        <v>0</v>
      </c>
      <c r="AM681" t="s">
        <v>62</v>
      </c>
      <c r="AN681">
        <v>0</v>
      </c>
      <c r="AQ681" t="s">
        <v>62</v>
      </c>
      <c r="AR681">
        <v>0</v>
      </c>
      <c r="AT681" t="s">
        <v>62</v>
      </c>
      <c r="AU681">
        <v>48</v>
      </c>
    </row>
    <row r="682" spans="1:47" x14ac:dyDescent="0.35">
      <c r="C682" t="s">
        <v>203</v>
      </c>
      <c r="D682">
        <v>0</v>
      </c>
      <c r="G682" t="s">
        <v>203</v>
      </c>
      <c r="H682">
        <v>0</v>
      </c>
      <c r="K682" t="s">
        <v>203</v>
      </c>
      <c r="L682">
        <v>0</v>
      </c>
      <c r="O682" t="s">
        <v>203</v>
      </c>
      <c r="P682">
        <v>0</v>
      </c>
      <c r="S682" t="s">
        <v>203</v>
      </c>
      <c r="T682">
        <v>0</v>
      </c>
      <c r="W682" t="s">
        <v>203</v>
      </c>
      <c r="X682">
        <v>0</v>
      </c>
      <c r="AA682" t="s">
        <v>203</v>
      </c>
      <c r="AB682">
        <v>0</v>
      </c>
      <c r="AE682" t="s">
        <v>203</v>
      </c>
      <c r="AF682">
        <v>0</v>
      </c>
      <c r="AI682" t="s">
        <v>203</v>
      </c>
      <c r="AJ682">
        <v>0</v>
      </c>
      <c r="AM682" t="s">
        <v>203</v>
      </c>
      <c r="AN682">
        <v>0</v>
      </c>
      <c r="AQ682" t="s">
        <v>203</v>
      </c>
      <c r="AR682">
        <v>0</v>
      </c>
      <c r="AT682" t="s">
        <v>64</v>
      </c>
      <c r="AU682">
        <v>1153</v>
      </c>
    </row>
    <row r="683" spans="1:47" x14ac:dyDescent="0.35">
      <c r="C683" t="s">
        <v>204</v>
      </c>
      <c r="D683">
        <v>0</v>
      </c>
      <c r="G683" t="s">
        <v>204</v>
      </c>
      <c r="H683">
        <v>0</v>
      </c>
      <c r="K683" t="s">
        <v>204</v>
      </c>
      <c r="L683">
        <v>0</v>
      </c>
      <c r="O683" t="s">
        <v>204</v>
      </c>
      <c r="P683">
        <v>0</v>
      </c>
      <c r="S683" t="s">
        <v>204</v>
      </c>
      <c r="T683">
        <v>0</v>
      </c>
      <c r="W683" t="s">
        <v>204</v>
      </c>
      <c r="X683">
        <v>0</v>
      </c>
      <c r="AA683" t="s">
        <v>204</v>
      </c>
      <c r="AB683">
        <v>0</v>
      </c>
      <c r="AE683" t="s">
        <v>204</v>
      </c>
      <c r="AF683">
        <v>0</v>
      </c>
      <c r="AI683" t="s">
        <v>204</v>
      </c>
      <c r="AJ683">
        <v>0</v>
      </c>
      <c r="AM683" t="s">
        <v>204</v>
      </c>
      <c r="AN683">
        <v>0</v>
      </c>
      <c r="AQ683" t="s">
        <v>204</v>
      </c>
      <c r="AR683">
        <v>0</v>
      </c>
      <c r="AT683" t="s">
        <v>65</v>
      </c>
      <c r="AU683">
        <v>315</v>
      </c>
    </row>
    <row r="684" spans="1:47" x14ac:dyDescent="0.35">
      <c r="C684" t="s">
        <v>205</v>
      </c>
      <c r="D684">
        <v>0</v>
      </c>
      <c r="G684" t="s">
        <v>205</v>
      </c>
      <c r="H684">
        <v>0</v>
      </c>
      <c r="K684" t="s">
        <v>205</v>
      </c>
      <c r="L684">
        <v>0</v>
      </c>
      <c r="O684" t="s">
        <v>205</v>
      </c>
      <c r="P684">
        <v>0</v>
      </c>
      <c r="S684" t="s">
        <v>205</v>
      </c>
      <c r="T684">
        <v>0</v>
      </c>
      <c r="W684" t="s">
        <v>205</v>
      </c>
      <c r="X684">
        <v>0</v>
      </c>
      <c r="AA684" t="s">
        <v>205</v>
      </c>
      <c r="AB684">
        <v>0</v>
      </c>
      <c r="AE684" t="s">
        <v>205</v>
      </c>
      <c r="AF684">
        <v>15</v>
      </c>
      <c r="AI684" t="s">
        <v>205</v>
      </c>
      <c r="AJ684">
        <v>0</v>
      </c>
      <c r="AM684" t="s">
        <v>205</v>
      </c>
      <c r="AN684">
        <v>0</v>
      </c>
      <c r="AQ684" t="s">
        <v>205</v>
      </c>
      <c r="AR684">
        <v>0</v>
      </c>
      <c r="AT684" t="s">
        <v>66</v>
      </c>
      <c r="AU684">
        <v>12</v>
      </c>
    </row>
    <row r="685" spans="1:47" x14ac:dyDescent="0.35">
      <c r="C685" t="s">
        <v>133</v>
      </c>
      <c r="D685">
        <v>0</v>
      </c>
      <c r="G685" t="s">
        <v>133</v>
      </c>
      <c r="H685">
        <v>0</v>
      </c>
      <c r="K685" t="s">
        <v>133</v>
      </c>
      <c r="L685">
        <v>0</v>
      </c>
      <c r="O685" t="s">
        <v>133</v>
      </c>
      <c r="P685">
        <v>0</v>
      </c>
      <c r="S685" t="s">
        <v>133</v>
      </c>
      <c r="T685">
        <v>0</v>
      </c>
      <c r="W685" t="s">
        <v>133</v>
      </c>
      <c r="X685">
        <v>0</v>
      </c>
      <c r="AA685" t="s">
        <v>133</v>
      </c>
      <c r="AB685">
        <v>291</v>
      </c>
      <c r="AE685" t="s">
        <v>133</v>
      </c>
      <c r="AF685">
        <v>0</v>
      </c>
      <c r="AI685" t="s">
        <v>133</v>
      </c>
      <c r="AJ685">
        <v>0</v>
      </c>
      <c r="AM685" t="s">
        <v>133</v>
      </c>
      <c r="AN685">
        <v>0</v>
      </c>
      <c r="AQ685" t="s">
        <v>133</v>
      </c>
      <c r="AR685">
        <v>270</v>
      </c>
      <c r="AT685" t="s">
        <v>79</v>
      </c>
      <c r="AU685">
        <v>274</v>
      </c>
    </row>
    <row r="686" spans="1:47" x14ac:dyDescent="0.35">
      <c r="C686" t="s">
        <v>206</v>
      </c>
      <c r="D686">
        <v>0</v>
      </c>
      <c r="G686" t="s">
        <v>206</v>
      </c>
      <c r="H686">
        <v>0</v>
      </c>
      <c r="K686" t="s">
        <v>206</v>
      </c>
      <c r="L686">
        <v>0</v>
      </c>
      <c r="O686" t="s">
        <v>206</v>
      </c>
      <c r="P686">
        <v>0</v>
      </c>
      <c r="S686" t="s">
        <v>206</v>
      </c>
      <c r="T686">
        <v>0</v>
      </c>
      <c r="W686" t="s">
        <v>206</v>
      </c>
      <c r="X686">
        <v>0</v>
      </c>
      <c r="AA686" t="s">
        <v>206</v>
      </c>
      <c r="AB686">
        <v>0</v>
      </c>
      <c r="AE686" t="s">
        <v>206</v>
      </c>
      <c r="AF686">
        <v>0</v>
      </c>
      <c r="AI686" t="s">
        <v>206</v>
      </c>
      <c r="AJ686">
        <v>0</v>
      </c>
      <c r="AM686" t="s">
        <v>206</v>
      </c>
      <c r="AN686">
        <v>0</v>
      </c>
      <c r="AQ686" t="s">
        <v>206</v>
      </c>
      <c r="AR686">
        <v>0</v>
      </c>
      <c r="AT686" t="s">
        <v>68</v>
      </c>
      <c r="AU686">
        <v>9</v>
      </c>
    </row>
    <row r="687" spans="1:47" x14ac:dyDescent="0.35">
      <c r="C687" t="s">
        <v>136</v>
      </c>
      <c r="D687">
        <v>0</v>
      </c>
      <c r="G687" t="s">
        <v>136</v>
      </c>
      <c r="H687">
        <v>0</v>
      </c>
      <c r="K687" t="s">
        <v>136</v>
      </c>
      <c r="L687">
        <v>0</v>
      </c>
      <c r="O687" t="s">
        <v>136</v>
      </c>
      <c r="P687">
        <v>0</v>
      </c>
      <c r="S687" t="s">
        <v>136</v>
      </c>
      <c r="T687">
        <v>0</v>
      </c>
      <c r="W687" t="s">
        <v>136</v>
      </c>
      <c r="X687">
        <v>0</v>
      </c>
      <c r="AA687" t="s">
        <v>136</v>
      </c>
      <c r="AB687">
        <v>0</v>
      </c>
      <c r="AE687" t="s">
        <v>136</v>
      </c>
      <c r="AF687">
        <v>0</v>
      </c>
      <c r="AI687" t="s">
        <v>136</v>
      </c>
      <c r="AJ687">
        <v>0</v>
      </c>
      <c r="AM687" t="s">
        <v>136</v>
      </c>
      <c r="AN687">
        <v>0</v>
      </c>
      <c r="AQ687" t="s">
        <v>136</v>
      </c>
      <c r="AR687">
        <v>0</v>
      </c>
      <c r="AT687" t="s">
        <v>69</v>
      </c>
      <c r="AU687">
        <v>213</v>
      </c>
    </row>
    <row r="688" spans="1:47" x14ac:dyDescent="0.35">
      <c r="C688" t="s">
        <v>207</v>
      </c>
      <c r="D688">
        <v>0</v>
      </c>
      <c r="G688" t="s">
        <v>207</v>
      </c>
      <c r="H688">
        <v>0</v>
      </c>
      <c r="K688" t="s">
        <v>207</v>
      </c>
      <c r="L688">
        <v>0</v>
      </c>
      <c r="O688" t="s">
        <v>207</v>
      </c>
      <c r="P688">
        <v>0</v>
      </c>
      <c r="S688" t="s">
        <v>207</v>
      </c>
      <c r="T688">
        <v>0</v>
      </c>
      <c r="W688" t="s">
        <v>207</v>
      </c>
      <c r="X688">
        <v>0</v>
      </c>
      <c r="AA688" t="s">
        <v>207</v>
      </c>
      <c r="AB688">
        <v>0</v>
      </c>
      <c r="AE688" t="s">
        <v>207</v>
      </c>
      <c r="AF688">
        <v>0</v>
      </c>
      <c r="AI688" t="s">
        <v>207</v>
      </c>
      <c r="AJ688">
        <v>0</v>
      </c>
      <c r="AM688" t="s">
        <v>207</v>
      </c>
      <c r="AN688">
        <v>0</v>
      </c>
      <c r="AQ688" t="s">
        <v>207</v>
      </c>
      <c r="AR688">
        <v>378</v>
      </c>
      <c r="AT688" t="s">
        <v>70</v>
      </c>
      <c r="AU688">
        <v>416</v>
      </c>
    </row>
    <row r="689" spans="1:47" x14ac:dyDescent="0.35">
      <c r="C689" t="s">
        <v>141</v>
      </c>
      <c r="D689">
        <v>0</v>
      </c>
      <c r="G689" t="s">
        <v>141</v>
      </c>
      <c r="H689">
        <v>0</v>
      </c>
      <c r="K689" t="s">
        <v>141</v>
      </c>
      <c r="L689">
        <v>0</v>
      </c>
      <c r="O689" t="s">
        <v>141</v>
      </c>
      <c r="P689">
        <v>0</v>
      </c>
      <c r="S689" t="s">
        <v>141</v>
      </c>
      <c r="T689">
        <v>0</v>
      </c>
      <c r="W689" t="s">
        <v>141</v>
      </c>
      <c r="X689">
        <v>0</v>
      </c>
      <c r="AA689" t="s">
        <v>141</v>
      </c>
      <c r="AB689">
        <v>0</v>
      </c>
      <c r="AE689" t="s">
        <v>141</v>
      </c>
      <c r="AF689">
        <v>0</v>
      </c>
      <c r="AI689" t="s">
        <v>141</v>
      </c>
      <c r="AJ689">
        <v>0</v>
      </c>
      <c r="AM689" t="s">
        <v>141</v>
      </c>
      <c r="AN689">
        <v>0</v>
      </c>
      <c r="AQ689" t="s">
        <v>141</v>
      </c>
      <c r="AR689">
        <v>6</v>
      </c>
      <c r="AT689" t="s">
        <v>76</v>
      </c>
      <c r="AU689">
        <v>0</v>
      </c>
    </row>
    <row r="690" spans="1:47" x14ac:dyDescent="0.35">
      <c r="C690" t="s">
        <v>208</v>
      </c>
      <c r="D690">
        <v>0</v>
      </c>
      <c r="G690" t="s">
        <v>208</v>
      </c>
      <c r="H690">
        <v>0</v>
      </c>
      <c r="K690" t="s">
        <v>208</v>
      </c>
      <c r="L690">
        <v>0</v>
      </c>
      <c r="O690" t="s">
        <v>208</v>
      </c>
      <c r="P690">
        <v>0</v>
      </c>
      <c r="S690" t="s">
        <v>208</v>
      </c>
      <c r="T690">
        <v>0</v>
      </c>
      <c r="W690" t="s">
        <v>208</v>
      </c>
      <c r="X690">
        <v>0</v>
      </c>
      <c r="AA690" t="s">
        <v>208</v>
      </c>
      <c r="AB690">
        <v>0</v>
      </c>
      <c r="AE690" t="s">
        <v>208</v>
      </c>
      <c r="AF690">
        <v>0</v>
      </c>
      <c r="AI690" t="s">
        <v>208</v>
      </c>
      <c r="AJ690">
        <v>0</v>
      </c>
      <c r="AM690" t="s">
        <v>208</v>
      </c>
      <c r="AN690">
        <v>0</v>
      </c>
      <c r="AQ690" t="s">
        <v>208</v>
      </c>
      <c r="AR690">
        <v>0</v>
      </c>
      <c r="AT690" t="s">
        <v>77</v>
      </c>
      <c r="AU690">
        <v>3295</v>
      </c>
    </row>
    <row r="691" spans="1:47" x14ac:dyDescent="0.35">
      <c r="C691" t="s">
        <v>209</v>
      </c>
      <c r="D691">
        <v>0</v>
      </c>
      <c r="G691" t="s">
        <v>209</v>
      </c>
      <c r="H691">
        <v>0</v>
      </c>
      <c r="K691" t="s">
        <v>209</v>
      </c>
      <c r="L691">
        <v>0</v>
      </c>
      <c r="O691" t="s">
        <v>209</v>
      </c>
      <c r="P691">
        <v>0</v>
      </c>
      <c r="S691" t="s">
        <v>209</v>
      </c>
      <c r="T691">
        <v>0</v>
      </c>
      <c r="W691" t="s">
        <v>209</v>
      </c>
      <c r="X691">
        <v>0</v>
      </c>
      <c r="AA691" t="s">
        <v>209</v>
      </c>
      <c r="AB691">
        <v>0</v>
      </c>
      <c r="AE691" t="s">
        <v>209</v>
      </c>
      <c r="AF691">
        <v>0</v>
      </c>
      <c r="AI691" t="s">
        <v>209</v>
      </c>
      <c r="AJ691">
        <v>0</v>
      </c>
      <c r="AM691" t="s">
        <v>209</v>
      </c>
      <c r="AN691">
        <v>0</v>
      </c>
      <c r="AQ691" t="s">
        <v>209</v>
      </c>
      <c r="AR691">
        <v>0</v>
      </c>
      <c r="AT691" t="s">
        <v>78</v>
      </c>
      <c r="AU691">
        <v>0</v>
      </c>
    </row>
    <row r="692" spans="1:47" x14ac:dyDescent="0.35">
      <c r="C692" t="s">
        <v>134</v>
      </c>
      <c r="D692">
        <v>0</v>
      </c>
      <c r="G692" t="s">
        <v>134</v>
      </c>
      <c r="H692">
        <v>0</v>
      </c>
      <c r="K692" t="s">
        <v>134</v>
      </c>
      <c r="L692">
        <v>0</v>
      </c>
      <c r="O692" t="s">
        <v>134</v>
      </c>
      <c r="P692">
        <v>0</v>
      </c>
      <c r="S692" t="s">
        <v>134</v>
      </c>
      <c r="T692">
        <v>0</v>
      </c>
      <c r="W692" t="s">
        <v>134</v>
      </c>
      <c r="X692">
        <v>0</v>
      </c>
      <c r="AA692" t="s">
        <v>134</v>
      </c>
      <c r="AB692">
        <v>0</v>
      </c>
      <c r="AE692" t="s">
        <v>134</v>
      </c>
      <c r="AF692">
        <v>0</v>
      </c>
      <c r="AI692" t="s">
        <v>134</v>
      </c>
      <c r="AJ692">
        <v>0</v>
      </c>
      <c r="AM692" t="s">
        <v>134</v>
      </c>
      <c r="AN692">
        <v>0</v>
      </c>
      <c r="AQ692" t="s">
        <v>134</v>
      </c>
      <c r="AR692">
        <v>224</v>
      </c>
      <c r="AT692" t="s">
        <v>67</v>
      </c>
      <c r="AU692">
        <v>291</v>
      </c>
    </row>
    <row r="693" spans="1:47" x14ac:dyDescent="0.35">
      <c r="C693" t="s">
        <v>142</v>
      </c>
      <c r="D693">
        <v>0</v>
      </c>
      <c r="G693" t="s">
        <v>142</v>
      </c>
      <c r="H693">
        <v>0</v>
      </c>
      <c r="K693" t="s">
        <v>142</v>
      </c>
      <c r="L693">
        <v>0</v>
      </c>
      <c r="O693" t="s">
        <v>142</v>
      </c>
      <c r="P693">
        <v>0</v>
      </c>
      <c r="S693" t="s">
        <v>142</v>
      </c>
      <c r="T693">
        <v>0</v>
      </c>
      <c r="W693" t="s">
        <v>142</v>
      </c>
      <c r="X693">
        <v>0</v>
      </c>
      <c r="AA693" t="s">
        <v>142</v>
      </c>
      <c r="AB693">
        <v>0</v>
      </c>
      <c r="AE693" t="s">
        <v>142</v>
      </c>
      <c r="AF693">
        <v>0</v>
      </c>
      <c r="AI693" t="s">
        <v>142</v>
      </c>
      <c r="AJ693">
        <v>0</v>
      </c>
      <c r="AM693" t="s">
        <v>142</v>
      </c>
      <c r="AN693">
        <v>0</v>
      </c>
      <c r="AQ693" t="s">
        <v>142</v>
      </c>
      <c r="AR693">
        <v>0</v>
      </c>
      <c r="AT693" t="s">
        <v>80</v>
      </c>
      <c r="AU693">
        <v>24</v>
      </c>
    </row>
    <row r="694" spans="1:47" x14ac:dyDescent="0.35">
      <c r="C694" t="s">
        <v>83</v>
      </c>
      <c r="D694">
        <v>0</v>
      </c>
      <c r="G694" t="s">
        <v>83</v>
      </c>
      <c r="H694">
        <v>0</v>
      </c>
      <c r="K694" t="s">
        <v>83</v>
      </c>
      <c r="L694">
        <v>0</v>
      </c>
      <c r="O694" t="s">
        <v>83</v>
      </c>
      <c r="P694">
        <v>0</v>
      </c>
      <c r="S694" t="s">
        <v>83</v>
      </c>
      <c r="T694">
        <v>0</v>
      </c>
      <c r="W694" t="s">
        <v>83</v>
      </c>
      <c r="X694">
        <v>0</v>
      </c>
      <c r="AA694" t="s">
        <v>83</v>
      </c>
      <c r="AB694">
        <v>0</v>
      </c>
      <c r="AE694" t="s">
        <v>83</v>
      </c>
      <c r="AF694">
        <v>0</v>
      </c>
      <c r="AI694" t="s">
        <v>83</v>
      </c>
      <c r="AJ694">
        <v>0</v>
      </c>
      <c r="AM694" t="s">
        <v>83</v>
      </c>
      <c r="AN694">
        <v>0</v>
      </c>
      <c r="AQ694" t="s">
        <v>83</v>
      </c>
      <c r="AR694">
        <v>0</v>
      </c>
      <c r="AT694" t="s">
        <v>83</v>
      </c>
      <c r="AU694">
        <v>64</v>
      </c>
    </row>
    <row r="695" spans="1:47" x14ac:dyDescent="0.35">
      <c r="C695" t="s">
        <v>84</v>
      </c>
      <c r="D695">
        <v>0</v>
      </c>
      <c r="G695" t="s">
        <v>84</v>
      </c>
      <c r="H695">
        <v>0</v>
      </c>
      <c r="K695" t="s">
        <v>84</v>
      </c>
      <c r="L695">
        <v>0</v>
      </c>
      <c r="O695" t="s">
        <v>84</v>
      </c>
      <c r="P695">
        <v>0</v>
      </c>
      <c r="S695" t="s">
        <v>84</v>
      </c>
      <c r="T695">
        <v>0</v>
      </c>
      <c r="W695" t="s">
        <v>84</v>
      </c>
      <c r="X695">
        <v>0</v>
      </c>
      <c r="AA695" t="s">
        <v>84</v>
      </c>
      <c r="AB695">
        <v>0</v>
      </c>
      <c r="AE695" t="s">
        <v>84</v>
      </c>
      <c r="AF695">
        <v>0</v>
      </c>
      <c r="AI695" t="s">
        <v>84</v>
      </c>
      <c r="AJ695">
        <v>0</v>
      </c>
      <c r="AM695" t="s">
        <v>84</v>
      </c>
      <c r="AN695">
        <v>0</v>
      </c>
      <c r="AQ695" t="s">
        <v>84</v>
      </c>
      <c r="AR695">
        <v>0</v>
      </c>
      <c r="AT695" t="s">
        <v>84</v>
      </c>
      <c r="AU695">
        <v>0</v>
      </c>
    </row>
    <row r="696" spans="1:47" x14ac:dyDescent="0.35">
      <c r="C696" t="s">
        <v>126</v>
      </c>
      <c r="D696">
        <v>0</v>
      </c>
      <c r="G696" t="s">
        <v>126</v>
      </c>
      <c r="H696">
        <v>0</v>
      </c>
      <c r="K696" t="s">
        <v>223</v>
      </c>
      <c r="L696">
        <v>0</v>
      </c>
      <c r="O696" t="s">
        <v>126</v>
      </c>
      <c r="P696">
        <v>0</v>
      </c>
      <c r="S696" t="s">
        <v>126</v>
      </c>
      <c r="T696">
        <v>0</v>
      </c>
      <c r="W696" t="s">
        <v>126</v>
      </c>
      <c r="X696">
        <v>0</v>
      </c>
      <c r="AA696" t="s">
        <v>126</v>
      </c>
      <c r="AB696">
        <v>0</v>
      </c>
      <c r="AE696" t="s">
        <v>126</v>
      </c>
      <c r="AF696">
        <v>0</v>
      </c>
      <c r="AI696" t="s">
        <v>126</v>
      </c>
      <c r="AJ696">
        <v>0</v>
      </c>
      <c r="AM696" t="s">
        <v>126</v>
      </c>
      <c r="AN696">
        <v>0</v>
      </c>
      <c r="AQ696" t="s">
        <v>126</v>
      </c>
      <c r="AR696">
        <v>27</v>
      </c>
      <c r="AT696" t="s">
        <v>86</v>
      </c>
      <c r="AU696">
        <v>0</v>
      </c>
    </row>
    <row r="697" spans="1:47" x14ac:dyDescent="0.35">
      <c r="C697" t="s">
        <v>87</v>
      </c>
      <c r="D697">
        <v>0</v>
      </c>
      <c r="G697" t="s">
        <v>87</v>
      </c>
      <c r="H697">
        <v>0</v>
      </c>
      <c r="K697" t="s">
        <v>87</v>
      </c>
      <c r="L697">
        <v>0</v>
      </c>
      <c r="O697" t="s">
        <v>87</v>
      </c>
      <c r="P697">
        <v>0</v>
      </c>
      <c r="S697" t="s">
        <v>87</v>
      </c>
      <c r="T697">
        <v>0</v>
      </c>
      <c r="W697" t="s">
        <v>87</v>
      </c>
      <c r="X697">
        <v>0</v>
      </c>
      <c r="AA697" t="s">
        <v>87</v>
      </c>
      <c r="AB697">
        <v>0</v>
      </c>
      <c r="AE697" t="s">
        <v>87</v>
      </c>
      <c r="AF697">
        <v>0</v>
      </c>
      <c r="AI697" t="s">
        <v>87</v>
      </c>
      <c r="AJ697">
        <v>0</v>
      </c>
      <c r="AM697" t="s">
        <v>87</v>
      </c>
      <c r="AN697">
        <v>0</v>
      </c>
      <c r="AQ697" t="s">
        <v>87</v>
      </c>
      <c r="AR697">
        <v>0</v>
      </c>
      <c r="AT697" t="s">
        <v>87</v>
      </c>
      <c r="AU697">
        <v>5</v>
      </c>
    </row>
    <row r="698" spans="1:47" x14ac:dyDescent="0.35">
      <c r="A698" t="s">
        <v>178</v>
      </c>
      <c r="B698">
        <v>15581250.5</v>
      </c>
      <c r="C698" t="s">
        <v>135</v>
      </c>
      <c r="D698">
        <v>0</v>
      </c>
      <c r="E698" t="s">
        <v>178</v>
      </c>
      <c r="F698">
        <v>16024775.499999996</v>
      </c>
      <c r="G698" t="s">
        <v>135</v>
      </c>
      <c r="H698">
        <v>400</v>
      </c>
      <c r="I698" t="s">
        <v>178</v>
      </c>
      <c r="J698">
        <v>16477966.500000002</v>
      </c>
      <c r="K698" t="s">
        <v>135</v>
      </c>
      <c r="L698">
        <v>68</v>
      </c>
      <c r="M698" t="s">
        <v>178</v>
      </c>
      <c r="N698">
        <v>16938941.500000004</v>
      </c>
      <c r="O698" t="s">
        <v>135</v>
      </c>
      <c r="P698">
        <v>0</v>
      </c>
      <c r="Q698" t="s">
        <v>178</v>
      </c>
      <c r="R698">
        <v>17405623.5</v>
      </c>
      <c r="S698" t="s">
        <v>135</v>
      </c>
      <c r="T698">
        <v>1093</v>
      </c>
      <c r="U698" t="s">
        <v>178</v>
      </c>
      <c r="V698">
        <v>17881167.000000004</v>
      </c>
      <c r="W698" t="s">
        <v>135</v>
      </c>
      <c r="X698">
        <v>11</v>
      </c>
      <c r="Y698" t="s">
        <v>178</v>
      </c>
      <c r="Z698">
        <v>18367882.999999985</v>
      </c>
      <c r="AA698" t="s">
        <v>135</v>
      </c>
      <c r="AB698">
        <v>5520</v>
      </c>
      <c r="AC698" t="s">
        <v>178</v>
      </c>
      <c r="AD698">
        <v>18867336.499999993</v>
      </c>
      <c r="AE698" t="s">
        <v>135</v>
      </c>
      <c r="AF698">
        <v>0</v>
      </c>
      <c r="AG698" t="s">
        <v>178</v>
      </c>
      <c r="AH698">
        <v>19377061.499999985</v>
      </c>
      <c r="AI698" t="s">
        <v>135</v>
      </c>
      <c r="AJ698">
        <v>2265</v>
      </c>
      <c r="AK698" t="s">
        <v>178</v>
      </c>
      <c r="AL698">
        <v>19889742.000000011</v>
      </c>
      <c r="AM698" t="s">
        <v>135</v>
      </c>
      <c r="AN698">
        <v>0</v>
      </c>
      <c r="AO698" t="s">
        <v>178</v>
      </c>
      <c r="AP698">
        <v>20405316.500000019</v>
      </c>
      <c r="AQ698" t="s">
        <v>135</v>
      </c>
      <c r="AR698">
        <v>2121</v>
      </c>
      <c r="AS698" t="s">
        <v>178</v>
      </c>
      <c r="AT698" t="s">
        <v>148</v>
      </c>
      <c r="AU698">
        <v>2760</v>
      </c>
    </row>
    <row r="699" spans="1:47" x14ac:dyDescent="0.35">
      <c r="C699" t="s">
        <v>139</v>
      </c>
      <c r="D699">
        <v>0</v>
      </c>
      <c r="G699" t="s">
        <v>139</v>
      </c>
      <c r="H699">
        <v>7090</v>
      </c>
      <c r="K699" t="s">
        <v>139</v>
      </c>
      <c r="L699">
        <v>0</v>
      </c>
      <c r="O699" t="s">
        <v>139</v>
      </c>
      <c r="P699">
        <v>0</v>
      </c>
      <c r="S699" t="s">
        <v>139</v>
      </c>
      <c r="T699">
        <v>9146</v>
      </c>
      <c r="W699" t="s">
        <v>139</v>
      </c>
      <c r="X699">
        <v>0</v>
      </c>
      <c r="AA699" t="s">
        <v>139</v>
      </c>
      <c r="AB699">
        <v>15914</v>
      </c>
      <c r="AE699" t="s">
        <v>139</v>
      </c>
      <c r="AF699">
        <v>0</v>
      </c>
      <c r="AI699" t="s">
        <v>139</v>
      </c>
      <c r="AJ699">
        <v>32965</v>
      </c>
      <c r="AM699" t="s">
        <v>139</v>
      </c>
      <c r="AN699">
        <v>0</v>
      </c>
      <c r="AQ699" t="s">
        <v>139</v>
      </c>
      <c r="AR699">
        <v>19184</v>
      </c>
      <c r="AT699" t="s">
        <v>139</v>
      </c>
      <c r="AU699">
        <v>6025</v>
      </c>
    </row>
    <row r="700" spans="1:47" x14ac:dyDescent="0.35">
      <c r="C700" t="s">
        <v>138</v>
      </c>
      <c r="D700">
        <v>0</v>
      </c>
      <c r="G700" t="s">
        <v>138</v>
      </c>
      <c r="H700">
        <v>96</v>
      </c>
      <c r="K700" t="s">
        <v>138</v>
      </c>
      <c r="L700">
        <v>0</v>
      </c>
      <c r="O700" t="s">
        <v>138</v>
      </c>
      <c r="P700">
        <v>0</v>
      </c>
      <c r="S700" t="s">
        <v>138</v>
      </c>
      <c r="T700">
        <v>1136</v>
      </c>
      <c r="W700" t="s">
        <v>138</v>
      </c>
      <c r="X700">
        <v>0</v>
      </c>
      <c r="AA700" t="s">
        <v>138</v>
      </c>
      <c r="AB700">
        <v>0</v>
      </c>
      <c r="AE700" t="s">
        <v>138</v>
      </c>
      <c r="AF700">
        <v>0</v>
      </c>
      <c r="AI700" t="s">
        <v>138</v>
      </c>
      <c r="AJ700">
        <v>0</v>
      </c>
      <c r="AM700" t="s">
        <v>138</v>
      </c>
      <c r="AN700">
        <v>0</v>
      </c>
      <c r="AQ700" t="s">
        <v>138</v>
      </c>
      <c r="AR700">
        <v>1232</v>
      </c>
      <c r="AT700" t="s">
        <v>138</v>
      </c>
      <c r="AU700">
        <v>0</v>
      </c>
    </row>
    <row r="701" spans="1:47" x14ac:dyDescent="0.35">
      <c r="C701" t="s">
        <v>82</v>
      </c>
      <c r="D701">
        <v>4</v>
      </c>
      <c r="G701" t="s">
        <v>82</v>
      </c>
      <c r="H701">
        <v>199</v>
      </c>
      <c r="K701" t="s">
        <v>82</v>
      </c>
      <c r="L701">
        <v>0</v>
      </c>
      <c r="O701" t="s">
        <v>82</v>
      </c>
      <c r="P701">
        <v>0</v>
      </c>
      <c r="S701" t="s">
        <v>82</v>
      </c>
      <c r="T701">
        <v>0</v>
      </c>
      <c r="W701" t="s">
        <v>82</v>
      </c>
      <c r="X701">
        <v>0</v>
      </c>
      <c r="AA701" t="s">
        <v>82</v>
      </c>
      <c r="AB701">
        <v>570</v>
      </c>
      <c r="AE701" t="s">
        <v>82</v>
      </c>
      <c r="AF701">
        <v>107</v>
      </c>
      <c r="AI701" t="s">
        <v>82</v>
      </c>
      <c r="AJ701">
        <v>40</v>
      </c>
      <c r="AM701" t="s">
        <v>82</v>
      </c>
      <c r="AN701">
        <v>0</v>
      </c>
      <c r="AQ701" t="s">
        <v>82</v>
      </c>
      <c r="AR701">
        <v>0</v>
      </c>
      <c r="AT701" t="s">
        <v>82</v>
      </c>
      <c r="AU701">
        <v>387</v>
      </c>
    </row>
    <row r="702" spans="1:47" x14ac:dyDescent="0.35">
      <c r="C702" t="s">
        <v>60</v>
      </c>
      <c r="D702">
        <v>4</v>
      </c>
      <c r="G702" t="s">
        <v>60</v>
      </c>
      <c r="H702">
        <v>88</v>
      </c>
      <c r="K702" t="s">
        <v>60</v>
      </c>
      <c r="L702">
        <v>0</v>
      </c>
      <c r="O702" t="s">
        <v>60</v>
      </c>
      <c r="P702">
        <v>0</v>
      </c>
      <c r="S702" t="s">
        <v>60</v>
      </c>
      <c r="T702">
        <v>0</v>
      </c>
      <c r="W702" t="s">
        <v>60</v>
      </c>
      <c r="X702">
        <v>0</v>
      </c>
      <c r="AA702" t="s">
        <v>60</v>
      </c>
      <c r="AB702">
        <v>916</v>
      </c>
      <c r="AE702" t="s">
        <v>60</v>
      </c>
      <c r="AF702">
        <v>50</v>
      </c>
      <c r="AI702" t="s">
        <v>60</v>
      </c>
      <c r="AJ702">
        <v>15</v>
      </c>
      <c r="AM702" t="s">
        <v>60</v>
      </c>
      <c r="AN702">
        <v>0</v>
      </c>
      <c r="AQ702" t="s">
        <v>60</v>
      </c>
      <c r="AR702">
        <v>0</v>
      </c>
      <c r="AT702" t="s">
        <v>60</v>
      </c>
      <c r="AU702">
        <v>112</v>
      </c>
    </row>
    <row r="703" spans="1:47" x14ac:dyDescent="0.35">
      <c r="C703" t="s">
        <v>127</v>
      </c>
      <c r="D703">
        <v>0</v>
      </c>
      <c r="G703" t="s">
        <v>127</v>
      </c>
      <c r="H703">
        <v>0</v>
      </c>
      <c r="K703" t="s">
        <v>127</v>
      </c>
      <c r="L703">
        <v>0</v>
      </c>
      <c r="O703" t="s">
        <v>127</v>
      </c>
      <c r="P703">
        <v>0</v>
      </c>
      <c r="S703" t="s">
        <v>127</v>
      </c>
      <c r="T703">
        <v>0</v>
      </c>
      <c r="W703" t="s">
        <v>127</v>
      </c>
      <c r="X703">
        <v>0</v>
      </c>
      <c r="AA703" t="s">
        <v>127</v>
      </c>
      <c r="AB703">
        <v>10016</v>
      </c>
      <c r="AE703" t="s">
        <v>127</v>
      </c>
      <c r="AF703">
        <v>0</v>
      </c>
      <c r="AI703" t="s">
        <v>127</v>
      </c>
      <c r="AJ703">
        <v>0</v>
      </c>
      <c r="AM703" t="s">
        <v>127</v>
      </c>
      <c r="AN703">
        <v>0</v>
      </c>
      <c r="AQ703" t="s">
        <v>127</v>
      </c>
      <c r="AR703">
        <v>10747</v>
      </c>
      <c r="AT703" t="s">
        <v>58</v>
      </c>
      <c r="AU703">
        <v>10016</v>
      </c>
    </row>
    <row r="704" spans="1:47" x14ac:dyDescent="0.35">
      <c r="C704" t="s">
        <v>61</v>
      </c>
      <c r="D704">
        <v>0</v>
      </c>
      <c r="G704" t="s">
        <v>61</v>
      </c>
      <c r="H704">
        <v>0</v>
      </c>
      <c r="K704" t="s">
        <v>61</v>
      </c>
      <c r="L704">
        <v>0</v>
      </c>
      <c r="O704" t="s">
        <v>61</v>
      </c>
      <c r="P704">
        <v>0</v>
      </c>
      <c r="S704" t="s">
        <v>61</v>
      </c>
      <c r="T704">
        <v>0</v>
      </c>
      <c r="W704" t="s">
        <v>61</v>
      </c>
      <c r="X704">
        <v>0</v>
      </c>
      <c r="AA704" t="s">
        <v>61</v>
      </c>
      <c r="AB704">
        <v>0</v>
      </c>
      <c r="AE704" t="s">
        <v>61</v>
      </c>
      <c r="AF704">
        <v>0</v>
      </c>
      <c r="AI704" t="s">
        <v>61</v>
      </c>
      <c r="AJ704">
        <v>9</v>
      </c>
      <c r="AM704" t="s">
        <v>61</v>
      </c>
      <c r="AN704">
        <v>0</v>
      </c>
      <c r="AQ704" t="s">
        <v>61</v>
      </c>
      <c r="AR704">
        <v>0</v>
      </c>
      <c r="AT704" t="s">
        <v>61</v>
      </c>
      <c r="AU704">
        <v>25</v>
      </c>
    </row>
    <row r="705" spans="3:47" x14ac:dyDescent="0.35">
      <c r="C705" t="s">
        <v>62</v>
      </c>
      <c r="D705">
        <v>0</v>
      </c>
      <c r="G705" t="s">
        <v>62</v>
      </c>
      <c r="H705">
        <v>0</v>
      </c>
      <c r="K705" t="s">
        <v>62</v>
      </c>
      <c r="L705">
        <v>0</v>
      </c>
      <c r="O705" t="s">
        <v>62</v>
      </c>
      <c r="P705">
        <v>0</v>
      </c>
      <c r="S705" t="s">
        <v>62</v>
      </c>
      <c r="T705">
        <v>0</v>
      </c>
      <c r="W705" t="s">
        <v>62</v>
      </c>
      <c r="X705">
        <v>0</v>
      </c>
      <c r="AA705" t="s">
        <v>62</v>
      </c>
      <c r="AB705">
        <v>0</v>
      </c>
      <c r="AE705" t="s">
        <v>62</v>
      </c>
      <c r="AF705">
        <v>0</v>
      </c>
      <c r="AI705" t="s">
        <v>62</v>
      </c>
      <c r="AJ705">
        <v>0</v>
      </c>
      <c r="AM705" t="s">
        <v>62</v>
      </c>
      <c r="AN705">
        <v>0</v>
      </c>
      <c r="AQ705" t="s">
        <v>62</v>
      </c>
      <c r="AR705">
        <v>0</v>
      </c>
      <c r="AT705" t="s">
        <v>62</v>
      </c>
      <c r="AU705">
        <v>35</v>
      </c>
    </row>
    <row r="706" spans="3:47" x14ac:dyDescent="0.35">
      <c r="C706" t="s">
        <v>203</v>
      </c>
      <c r="D706">
        <v>0</v>
      </c>
      <c r="G706" t="s">
        <v>203</v>
      </c>
      <c r="H706">
        <v>0</v>
      </c>
      <c r="K706" t="s">
        <v>203</v>
      </c>
      <c r="L706">
        <v>0</v>
      </c>
      <c r="O706" t="s">
        <v>203</v>
      </c>
      <c r="P706">
        <v>0</v>
      </c>
      <c r="S706" t="s">
        <v>203</v>
      </c>
      <c r="T706">
        <v>0</v>
      </c>
      <c r="W706" t="s">
        <v>203</v>
      </c>
      <c r="X706">
        <v>0</v>
      </c>
      <c r="AA706" t="s">
        <v>203</v>
      </c>
      <c r="AB706">
        <v>0</v>
      </c>
      <c r="AE706" t="s">
        <v>203</v>
      </c>
      <c r="AF706">
        <v>0</v>
      </c>
      <c r="AI706" t="s">
        <v>203</v>
      </c>
      <c r="AJ706">
        <v>0</v>
      </c>
      <c r="AM706" t="s">
        <v>203</v>
      </c>
      <c r="AN706">
        <v>0</v>
      </c>
      <c r="AQ706" t="s">
        <v>203</v>
      </c>
      <c r="AR706">
        <v>0</v>
      </c>
      <c r="AT706" t="s">
        <v>64</v>
      </c>
      <c r="AU706">
        <v>178</v>
      </c>
    </row>
    <row r="707" spans="3:47" x14ac:dyDescent="0.35">
      <c r="C707" t="s">
        <v>204</v>
      </c>
      <c r="D707">
        <v>0</v>
      </c>
      <c r="G707" t="s">
        <v>204</v>
      </c>
      <c r="H707">
        <v>0</v>
      </c>
      <c r="K707" t="s">
        <v>204</v>
      </c>
      <c r="L707">
        <v>0</v>
      </c>
      <c r="O707" t="s">
        <v>204</v>
      </c>
      <c r="P707">
        <v>0</v>
      </c>
      <c r="S707" t="s">
        <v>204</v>
      </c>
      <c r="T707">
        <v>0</v>
      </c>
      <c r="W707" t="s">
        <v>204</v>
      </c>
      <c r="X707">
        <v>0</v>
      </c>
      <c r="AA707" t="s">
        <v>204</v>
      </c>
      <c r="AB707">
        <v>0</v>
      </c>
      <c r="AE707" t="s">
        <v>204</v>
      </c>
      <c r="AF707">
        <v>0</v>
      </c>
      <c r="AI707" t="s">
        <v>204</v>
      </c>
      <c r="AJ707">
        <v>2630</v>
      </c>
      <c r="AM707" t="s">
        <v>204</v>
      </c>
      <c r="AN707">
        <v>0</v>
      </c>
      <c r="AQ707" t="s">
        <v>204</v>
      </c>
      <c r="AR707">
        <v>561</v>
      </c>
      <c r="AT707" t="s">
        <v>65</v>
      </c>
      <c r="AU707">
        <v>178</v>
      </c>
    </row>
    <row r="708" spans="3:47" x14ac:dyDescent="0.35">
      <c r="C708" t="s">
        <v>205</v>
      </c>
      <c r="D708">
        <v>0</v>
      </c>
      <c r="G708" t="s">
        <v>205</v>
      </c>
      <c r="H708">
        <v>0</v>
      </c>
      <c r="K708" t="s">
        <v>205</v>
      </c>
      <c r="L708">
        <v>0</v>
      </c>
      <c r="O708" t="s">
        <v>205</v>
      </c>
      <c r="P708">
        <v>0</v>
      </c>
      <c r="S708" t="s">
        <v>205</v>
      </c>
      <c r="T708">
        <v>0</v>
      </c>
      <c r="W708" t="s">
        <v>205</v>
      </c>
      <c r="X708">
        <v>0</v>
      </c>
      <c r="AA708" t="s">
        <v>205</v>
      </c>
      <c r="AB708">
        <v>0</v>
      </c>
      <c r="AE708" t="s">
        <v>205</v>
      </c>
      <c r="AF708">
        <v>0</v>
      </c>
      <c r="AI708" t="s">
        <v>205</v>
      </c>
      <c r="AJ708">
        <v>0</v>
      </c>
      <c r="AM708" t="s">
        <v>205</v>
      </c>
      <c r="AN708">
        <v>0</v>
      </c>
      <c r="AQ708" t="s">
        <v>205</v>
      </c>
      <c r="AR708">
        <v>12</v>
      </c>
      <c r="AT708" t="s">
        <v>66</v>
      </c>
      <c r="AU708">
        <v>0</v>
      </c>
    </row>
    <row r="709" spans="3:47" x14ac:dyDescent="0.35">
      <c r="C709" t="s">
        <v>133</v>
      </c>
      <c r="D709">
        <v>0</v>
      </c>
      <c r="G709" t="s">
        <v>133</v>
      </c>
      <c r="H709">
        <v>0</v>
      </c>
      <c r="K709" t="s">
        <v>133</v>
      </c>
      <c r="L709">
        <v>0</v>
      </c>
      <c r="O709" t="s">
        <v>133</v>
      </c>
      <c r="P709">
        <v>0</v>
      </c>
      <c r="S709" t="s">
        <v>133</v>
      </c>
      <c r="T709">
        <v>0</v>
      </c>
      <c r="W709" t="s">
        <v>133</v>
      </c>
      <c r="X709">
        <v>0</v>
      </c>
      <c r="AA709" t="s">
        <v>133</v>
      </c>
      <c r="AB709">
        <v>542</v>
      </c>
      <c r="AE709" t="s">
        <v>133</v>
      </c>
      <c r="AF709">
        <v>0</v>
      </c>
      <c r="AI709" t="s">
        <v>133</v>
      </c>
      <c r="AJ709">
        <v>743</v>
      </c>
      <c r="AM709" t="s">
        <v>133</v>
      </c>
      <c r="AN709">
        <v>0</v>
      </c>
      <c r="AQ709" t="s">
        <v>133</v>
      </c>
      <c r="AR709">
        <v>81</v>
      </c>
      <c r="AT709" t="s">
        <v>79</v>
      </c>
      <c r="AU709">
        <v>0</v>
      </c>
    </row>
    <row r="710" spans="3:47" x14ac:dyDescent="0.35">
      <c r="C710" t="s">
        <v>206</v>
      </c>
      <c r="D710">
        <v>0</v>
      </c>
      <c r="G710" t="s">
        <v>206</v>
      </c>
      <c r="H710">
        <v>0</v>
      </c>
      <c r="K710" t="s">
        <v>206</v>
      </c>
      <c r="L710">
        <v>0</v>
      </c>
      <c r="O710" t="s">
        <v>206</v>
      </c>
      <c r="P710">
        <v>0</v>
      </c>
      <c r="S710" t="s">
        <v>206</v>
      </c>
      <c r="T710">
        <v>0</v>
      </c>
      <c r="W710" t="s">
        <v>206</v>
      </c>
      <c r="X710">
        <v>0</v>
      </c>
      <c r="AA710" t="s">
        <v>206</v>
      </c>
      <c r="AB710">
        <v>0</v>
      </c>
      <c r="AE710" t="s">
        <v>206</v>
      </c>
      <c r="AF710">
        <v>0</v>
      </c>
      <c r="AI710" t="s">
        <v>206</v>
      </c>
      <c r="AJ710">
        <v>1809</v>
      </c>
      <c r="AM710" t="s">
        <v>206</v>
      </c>
      <c r="AN710">
        <v>0</v>
      </c>
      <c r="AQ710" t="s">
        <v>206</v>
      </c>
      <c r="AR710">
        <v>1661</v>
      </c>
      <c r="AT710" t="s">
        <v>68</v>
      </c>
      <c r="AU710">
        <v>2804</v>
      </c>
    </row>
    <row r="711" spans="3:47" x14ac:dyDescent="0.35">
      <c r="C711" t="s">
        <v>136</v>
      </c>
      <c r="D711">
        <v>0</v>
      </c>
      <c r="G711" t="s">
        <v>136</v>
      </c>
      <c r="H711">
        <v>0</v>
      </c>
      <c r="K711" t="s">
        <v>136</v>
      </c>
      <c r="L711">
        <v>0</v>
      </c>
      <c r="O711" t="s">
        <v>136</v>
      </c>
      <c r="P711">
        <v>0</v>
      </c>
      <c r="S711" t="s">
        <v>136</v>
      </c>
      <c r="T711">
        <v>0</v>
      </c>
      <c r="W711" t="s">
        <v>136</v>
      </c>
      <c r="X711">
        <v>0</v>
      </c>
      <c r="AA711" t="s">
        <v>136</v>
      </c>
      <c r="AB711">
        <v>0</v>
      </c>
      <c r="AE711" t="s">
        <v>136</v>
      </c>
      <c r="AF711">
        <v>0</v>
      </c>
      <c r="AI711" t="s">
        <v>136</v>
      </c>
      <c r="AJ711">
        <v>0</v>
      </c>
      <c r="AM711" t="s">
        <v>136</v>
      </c>
      <c r="AN711">
        <v>0</v>
      </c>
      <c r="AQ711" t="s">
        <v>136</v>
      </c>
      <c r="AR711">
        <v>610</v>
      </c>
      <c r="AT711" t="s">
        <v>69</v>
      </c>
      <c r="AU711">
        <v>44</v>
      </c>
    </row>
    <row r="712" spans="3:47" x14ac:dyDescent="0.35">
      <c r="C712" t="s">
        <v>207</v>
      </c>
      <c r="D712">
        <v>0</v>
      </c>
      <c r="G712" t="s">
        <v>207</v>
      </c>
      <c r="H712">
        <v>0</v>
      </c>
      <c r="K712" t="s">
        <v>207</v>
      </c>
      <c r="L712">
        <v>0</v>
      </c>
      <c r="O712" t="s">
        <v>207</v>
      </c>
      <c r="P712">
        <v>0</v>
      </c>
      <c r="S712" t="s">
        <v>207</v>
      </c>
      <c r="T712">
        <v>0</v>
      </c>
      <c r="W712" t="s">
        <v>207</v>
      </c>
      <c r="X712">
        <v>0</v>
      </c>
      <c r="AA712" t="s">
        <v>207</v>
      </c>
      <c r="AB712">
        <v>0</v>
      </c>
      <c r="AE712" t="s">
        <v>207</v>
      </c>
      <c r="AF712">
        <v>0</v>
      </c>
      <c r="AI712" t="s">
        <v>207</v>
      </c>
      <c r="AJ712">
        <v>0</v>
      </c>
      <c r="AM712" t="s">
        <v>207</v>
      </c>
      <c r="AN712">
        <v>0</v>
      </c>
      <c r="AQ712" t="s">
        <v>207</v>
      </c>
      <c r="AR712">
        <v>0</v>
      </c>
      <c r="AT712" t="s">
        <v>70</v>
      </c>
      <c r="AU712">
        <v>306</v>
      </c>
    </row>
    <row r="713" spans="3:47" x14ac:dyDescent="0.35">
      <c r="C713" t="s">
        <v>141</v>
      </c>
      <c r="D713">
        <v>0</v>
      </c>
      <c r="G713" t="s">
        <v>141</v>
      </c>
      <c r="H713">
        <v>0</v>
      </c>
      <c r="K713" t="s">
        <v>141</v>
      </c>
      <c r="L713">
        <v>0</v>
      </c>
      <c r="O713" t="s">
        <v>141</v>
      </c>
      <c r="P713">
        <v>0</v>
      </c>
      <c r="S713" t="s">
        <v>141</v>
      </c>
      <c r="T713">
        <v>0</v>
      </c>
      <c r="W713" t="s">
        <v>141</v>
      </c>
      <c r="X713">
        <v>0</v>
      </c>
      <c r="AA713" t="s">
        <v>141</v>
      </c>
      <c r="AB713">
        <v>0</v>
      </c>
      <c r="AE713" t="s">
        <v>141</v>
      </c>
      <c r="AF713">
        <v>0</v>
      </c>
      <c r="AI713" t="s">
        <v>141</v>
      </c>
      <c r="AJ713">
        <v>91</v>
      </c>
      <c r="AM713" t="s">
        <v>141</v>
      </c>
      <c r="AN713">
        <v>0</v>
      </c>
      <c r="AQ713" t="s">
        <v>141</v>
      </c>
      <c r="AR713">
        <v>73</v>
      </c>
      <c r="AT713" t="s">
        <v>76</v>
      </c>
      <c r="AU713">
        <v>13</v>
      </c>
    </row>
    <row r="714" spans="3:47" x14ac:dyDescent="0.35">
      <c r="C714" t="s">
        <v>208</v>
      </c>
      <c r="D714">
        <v>0</v>
      </c>
      <c r="G714" t="s">
        <v>208</v>
      </c>
      <c r="H714">
        <v>0</v>
      </c>
      <c r="K714" t="s">
        <v>208</v>
      </c>
      <c r="L714">
        <v>0</v>
      </c>
      <c r="O714" t="s">
        <v>208</v>
      </c>
      <c r="P714">
        <v>0</v>
      </c>
      <c r="S714" t="s">
        <v>208</v>
      </c>
      <c r="T714">
        <v>0</v>
      </c>
      <c r="W714" t="s">
        <v>208</v>
      </c>
      <c r="X714">
        <v>0</v>
      </c>
      <c r="AA714" t="s">
        <v>208</v>
      </c>
      <c r="AB714">
        <v>0</v>
      </c>
      <c r="AE714" t="s">
        <v>208</v>
      </c>
      <c r="AF714">
        <v>0</v>
      </c>
      <c r="AI714" t="s">
        <v>208</v>
      </c>
      <c r="AJ714">
        <v>0</v>
      </c>
      <c r="AM714" t="s">
        <v>208</v>
      </c>
      <c r="AN714">
        <v>0</v>
      </c>
      <c r="AQ714" t="s">
        <v>208</v>
      </c>
      <c r="AR714">
        <v>0</v>
      </c>
      <c r="AT714" t="s">
        <v>77</v>
      </c>
      <c r="AU714">
        <v>0</v>
      </c>
    </row>
    <row r="715" spans="3:47" x14ac:dyDescent="0.35">
      <c r="C715" t="s">
        <v>209</v>
      </c>
      <c r="D715">
        <v>0</v>
      </c>
      <c r="G715" t="s">
        <v>209</v>
      </c>
      <c r="H715">
        <v>0</v>
      </c>
      <c r="K715" t="s">
        <v>209</v>
      </c>
      <c r="L715">
        <v>0</v>
      </c>
      <c r="O715" t="s">
        <v>209</v>
      </c>
      <c r="P715">
        <v>0</v>
      </c>
      <c r="S715" t="s">
        <v>209</v>
      </c>
      <c r="T715">
        <v>0</v>
      </c>
      <c r="W715" t="s">
        <v>209</v>
      </c>
      <c r="X715">
        <v>0</v>
      </c>
      <c r="AA715" t="s">
        <v>209</v>
      </c>
      <c r="AB715">
        <v>0</v>
      </c>
      <c r="AE715" t="s">
        <v>209</v>
      </c>
      <c r="AF715">
        <v>0</v>
      </c>
      <c r="AI715" t="s">
        <v>209</v>
      </c>
      <c r="AJ715">
        <v>0</v>
      </c>
      <c r="AM715" t="s">
        <v>209</v>
      </c>
      <c r="AN715">
        <v>0</v>
      </c>
      <c r="AQ715" t="s">
        <v>209</v>
      </c>
      <c r="AR715">
        <v>11178</v>
      </c>
      <c r="AT715" t="s">
        <v>78</v>
      </c>
      <c r="AU715">
        <v>0</v>
      </c>
    </row>
    <row r="716" spans="3:47" x14ac:dyDescent="0.35">
      <c r="C716" t="s">
        <v>134</v>
      </c>
      <c r="D716">
        <v>0</v>
      </c>
      <c r="G716" t="s">
        <v>134</v>
      </c>
      <c r="H716">
        <v>0</v>
      </c>
      <c r="K716" t="s">
        <v>134</v>
      </c>
      <c r="L716">
        <v>0</v>
      </c>
      <c r="O716" t="s">
        <v>134</v>
      </c>
      <c r="P716">
        <v>0</v>
      </c>
      <c r="S716" t="s">
        <v>134</v>
      </c>
      <c r="T716">
        <v>397</v>
      </c>
      <c r="W716" t="s">
        <v>134</v>
      </c>
      <c r="X716">
        <v>0</v>
      </c>
      <c r="AA716" t="s">
        <v>134</v>
      </c>
      <c r="AB716">
        <v>0</v>
      </c>
      <c r="AE716" t="s">
        <v>134</v>
      </c>
      <c r="AF716">
        <v>0</v>
      </c>
      <c r="AI716" t="s">
        <v>134</v>
      </c>
      <c r="AJ716">
        <v>282</v>
      </c>
      <c r="AM716" t="s">
        <v>134</v>
      </c>
      <c r="AN716">
        <v>0</v>
      </c>
      <c r="AQ716" t="s">
        <v>134</v>
      </c>
      <c r="AR716">
        <v>189</v>
      </c>
      <c r="AT716" t="s">
        <v>67</v>
      </c>
      <c r="AU716">
        <v>542</v>
      </c>
    </row>
    <row r="717" spans="3:47" x14ac:dyDescent="0.35">
      <c r="C717" t="s">
        <v>142</v>
      </c>
      <c r="D717">
        <v>0</v>
      </c>
      <c r="G717" t="s">
        <v>142</v>
      </c>
      <c r="H717">
        <v>0</v>
      </c>
      <c r="K717" t="s">
        <v>142</v>
      </c>
      <c r="L717">
        <v>0</v>
      </c>
      <c r="O717" t="s">
        <v>142</v>
      </c>
      <c r="P717">
        <v>0</v>
      </c>
      <c r="S717" t="s">
        <v>142</v>
      </c>
      <c r="T717">
        <v>1159</v>
      </c>
      <c r="W717" t="s">
        <v>142</v>
      </c>
      <c r="X717">
        <v>0</v>
      </c>
      <c r="AA717" t="s">
        <v>142</v>
      </c>
      <c r="AB717">
        <v>0</v>
      </c>
      <c r="AE717" t="s">
        <v>142</v>
      </c>
      <c r="AF717">
        <v>0</v>
      </c>
      <c r="AI717" t="s">
        <v>142</v>
      </c>
      <c r="AJ717">
        <v>0</v>
      </c>
      <c r="AM717" t="s">
        <v>142</v>
      </c>
      <c r="AN717">
        <v>0</v>
      </c>
      <c r="AQ717" t="s">
        <v>142</v>
      </c>
      <c r="AR717">
        <v>37</v>
      </c>
      <c r="AT717" t="s">
        <v>80</v>
      </c>
      <c r="AU717">
        <v>98</v>
      </c>
    </row>
    <row r="718" spans="3:47" x14ac:dyDescent="0.35">
      <c r="C718" t="s">
        <v>83</v>
      </c>
      <c r="D718">
        <v>0</v>
      </c>
      <c r="G718" t="s">
        <v>83</v>
      </c>
      <c r="H718">
        <v>0</v>
      </c>
      <c r="K718" t="s">
        <v>83</v>
      </c>
      <c r="L718">
        <v>0</v>
      </c>
      <c r="O718" t="s">
        <v>83</v>
      </c>
      <c r="P718">
        <v>0</v>
      </c>
      <c r="S718" t="s">
        <v>83</v>
      </c>
      <c r="T718">
        <v>0</v>
      </c>
      <c r="W718" t="s">
        <v>83</v>
      </c>
      <c r="X718">
        <v>0</v>
      </c>
      <c r="AA718" t="s">
        <v>83</v>
      </c>
      <c r="AB718">
        <v>0</v>
      </c>
      <c r="AE718" t="s">
        <v>83</v>
      </c>
      <c r="AF718">
        <v>0</v>
      </c>
      <c r="AI718" t="s">
        <v>83</v>
      </c>
      <c r="AJ718">
        <v>152</v>
      </c>
      <c r="AM718" t="s">
        <v>83</v>
      </c>
      <c r="AN718">
        <v>0</v>
      </c>
      <c r="AQ718" t="s">
        <v>83</v>
      </c>
      <c r="AR718">
        <v>248</v>
      </c>
      <c r="AT718" t="s">
        <v>83</v>
      </c>
      <c r="AU718">
        <v>52</v>
      </c>
    </row>
    <row r="719" spans="3:47" x14ac:dyDescent="0.35">
      <c r="C719" t="s">
        <v>84</v>
      </c>
      <c r="D719">
        <v>0</v>
      </c>
      <c r="G719" t="s">
        <v>84</v>
      </c>
      <c r="H719">
        <v>0</v>
      </c>
      <c r="K719" t="s">
        <v>84</v>
      </c>
      <c r="L719">
        <v>0</v>
      </c>
      <c r="O719" t="s">
        <v>84</v>
      </c>
      <c r="P719">
        <v>0</v>
      </c>
      <c r="S719" t="s">
        <v>84</v>
      </c>
      <c r="T719">
        <v>0</v>
      </c>
      <c r="W719" t="s">
        <v>84</v>
      </c>
      <c r="X719">
        <v>0</v>
      </c>
      <c r="AA719" t="s">
        <v>84</v>
      </c>
      <c r="AB719">
        <v>0</v>
      </c>
      <c r="AE719" t="s">
        <v>84</v>
      </c>
      <c r="AF719">
        <v>0</v>
      </c>
      <c r="AI719" t="s">
        <v>84</v>
      </c>
      <c r="AJ719">
        <v>0</v>
      </c>
      <c r="AM719" t="s">
        <v>84</v>
      </c>
      <c r="AN719">
        <v>0</v>
      </c>
      <c r="AQ719" t="s">
        <v>84</v>
      </c>
      <c r="AR719">
        <v>72</v>
      </c>
      <c r="AT719" t="s">
        <v>84</v>
      </c>
      <c r="AU719">
        <v>0</v>
      </c>
    </row>
    <row r="720" spans="3:47" x14ac:dyDescent="0.35">
      <c r="C720" t="s">
        <v>126</v>
      </c>
      <c r="D720">
        <v>0</v>
      </c>
      <c r="G720" t="s">
        <v>126</v>
      </c>
      <c r="H720">
        <v>0</v>
      </c>
      <c r="K720" t="s">
        <v>223</v>
      </c>
      <c r="L720">
        <v>0</v>
      </c>
      <c r="O720" t="s">
        <v>126</v>
      </c>
      <c r="P720">
        <v>0</v>
      </c>
      <c r="S720" t="s">
        <v>126</v>
      </c>
      <c r="T720">
        <v>0</v>
      </c>
      <c r="W720" t="s">
        <v>126</v>
      </c>
      <c r="X720">
        <v>0</v>
      </c>
      <c r="AA720" t="s">
        <v>126</v>
      </c>
      <c r="AB720">
        <v>0</v>
      </c>
      <c r="AE720" t="s">
        <v>126</v>
      </c>
      <c r="AF720">
        <v>0</v>
      </c>
      <c r="AI720" t="s">
        <v>126</v>
      </c>
      <c r="AJ720">
        <v>0</v>
      </c>
      <c r="AM720" t="s">
        <v>126</v>
      </c>
      <c r="AN720">
        <v>0</v>
      </c>
      <c r="AQ720" t="s">
        <v>126</v>
      </c>
      <c r="AR720">
        <v>0</v>
      </c>
      <c r="AT720" t="s">
        <v>86</v>
      </c>
      <c r="AU720">
        <v>0</v>
      </c>
    </row>
    <row r="721" spans="1:47" x14ac:dyDescent="0.35">
      <c r="C721" t="s">
        <v>87</v>
      </c>
      <c r="D721">
        <v>0</v>
      </c>
      <c r="G721" t="s">
        <v>87</v>
      </c>
      <c r="H721">
        <v>0</v>
      </c>
      <c r="K721" t="s">
        <v>87</v>
      </c>
      <c r="L721">
        <v>0</v>
      </c>
      <c r="O721" t="s">
        <v>87</v>
      </c>
      <c r="P721">
        <v>0</v>
      </c>
      <c r="S721" t="s">
        <v>87</v>
      </c>
      <c r="T721">
        <v>0</v>
      </c>
      <c r="W721" t="s">
        <v>87</v>
      </c>
      <c r="X721">
        <v>0</v>
      </c>
      <c r="AA721" t="s">
        <v>87</v>
      </c>
      <c r="AB721">
        <v>0</v>
      </c>
      <c r="AE721" t="s">
        <v>87</v>
      </c>
      <c r="AF721">
        <v>0</v>
      </c>
      <c r="AI721" t="s">
        <v>87</v>
      </c>
      <c r="AJ721">
        <v>0</v>
      </c>
      <c r="AM721" t="s">
        <v>87</v>
      </c>
      <c r="AN721">
        <v>0</v>
      </c>
      <c r="AQ721" t="s">
        <v>87</v>
      </c>
      <c r="AR721">
        <v>2</v>
      </c>
      <c r="AT721" t="s">
        <v>87</v>
      </c>
      <c r="AU721">
        <v>0</v>
      </c>
    </row>
    <row r="722" spans="1:47" x14ac:dyDescent="0.35">
      <c r="A722" t="s">
        <v>182</v>
      </c>
      <c r="B722">
        <v>2167470.0000000023</v>
      </c>
      <c r="C722" t="s">
        <v>135</v>
      </c>
      <c r="D722">
        <v>0</v>
      </c>
      <c r="E722" t="s">
        <v>182</v>
      </c>
      <c r="F722">
        <v>2204510.0000000005</v>
      </c>
      <c r="G722" t="s">
        <v>135</v>
      </c>
      <c r="H722">
        <v>113</v>
      </c>
      <c r="I722" t="s">
        <v>182</v>
      </c>
      <c r="J722">
        <v>2243000.9999999991</v>
      </c>
      <c r="K722" t="s">
        <v>135</v>
      </c>
      <c r="L722">
        <v>24</v>
      </c>
      <c r="M722" t="s">
        <v>182</v>
      </c>
      <c r="N722">
        <v>2282703.9999999995</v>
      </c>
      <c r="O722" t="s">
        <v>135</v>
      </c>
      <c r="P722">
        <v>0</v>
      </c>
      <c r="Q722" t="s">
        <v>182</v>
      </c>
      <c r="R722">
        <v>2323352</v>
      </c>
      <c r="S722" t="s">
        <v>135</v>
      </c>
      <c r="T722">
        <v>0</v>
      </c>
      <c r="U722" t="s">
        <v>182</v>
      </c>
      <c r="V722">
        <v>2364533.5000000009</v>
      </c>
      <c r="W722" t="s">
        <v>135</v>
      </c>
      <c r="X722">
        <v>2842</v>
      </c>
      <c r="Y722" t="s">
        <v>182</v>
      </c>
      <c r="Z722">
        <v>2405680.5000000005</v>
      </c>
      <c r="AA722" t="s">
        <v>135</v>
      </c>
      <c r="AB722">
        <v>1726</v>
      </c>
      <c r="AC722" t="s">
        <v>182</v>
      </c>
      <c r="AD722">
        <v>2446644.4999999977</v>
      </c>
      <c r="AE722" t="s">
        <v>135</v>
      </c>
      <c r="AF722">
        <v>1931</v>
      </c>
      <c r="AG722" t="s">
        <v>182</v>
      </c>
      <c r="AH722">
        <v>2489097.9999999991</v>
      </c>
      <c r="AI722" t="s">
        <v>135</v>
      </c>
      <c r="AJ722">
        <v>2230</v>
      </c>
      <c r="AK722" t="s">
        <v>182</v>
      </c>
      <c r="AL722">
        <v>2530150.5000000014</v>
      </c>
      <c r="AM722" t="s">
        <v>135</v>
      </c>
      <c r="AN722">
        <v>2549</v>
      </c>
      <c r="AO722" t="s">
        <v>182</v>
      </c>
      <c r="AP722">
        <v>2567012.4999999995</v>
      </c>
      <c r="AQ722" t="s">
        <v>135</v>
      </c>
      <c r="AR722">
        <v>3012</v>
      </c>
      <c r="AS722" t="s">
        <v>182</v>
      </c>
      <c r="AT722" t="s">
        <v>148</v>
      </c>
      <c r="AU722">
        <v>1445</v>
      </c>
    </row>
    <row r="723" spans="1:47" x14ac:dyDescent="0.35">
      <c r="C723" t="s">
        <v>139</v>
      </c>
      <c r="D723">
        <v>0</v>
      </c>
      <c r="G723" t="s">
        <v>139</v>
      </c>
      <c r="H723">
        <v>8220</v>
      </c>
      <c r="K723" t="s">
        <v>139</v>
      </c>
      <c r="L723">
        <v>8424</v>
      </c>
      <c r="O723" t="s">
        <v>139</v>
      </c>
      <c r="P723">
        <v>8730</v>
      </c>
      <c r="S723" t="s">
        <v>139</v>
      </c>
      <c r="T723">
        <v>9632</v>
      </c>
      <c r="W723" t="s">
        <v>139</v>
      </c>
      <c r="X723">
        <v>9706</v>
      </c>
      <c r="AA723" t="s">
        <v>139</v>
      </c>
      <c r="AB723">
        <v>10614</v>
      </c>
      <c r="AE723" t="s">
        <v>139</v>
      </c>
      <c r="AF723">
        <v>11806</v>
      </c>
      <c r="AI723" t="s">
        <v>139</v>
      </c>
      <c r="AJ723">
        <v>12880</v>
      </c>
      <c r="AM723" t="s">
        <v>139</v>
      </c>
      <c r="AN723">
        <v>14332</v>
      </c>
      <c r="AQ723" t="s">
        <v>139</v>
      </c>
      <c r="AR723">
        <v>17210</v>
      </c>
      <c r="AT723" t="s">
        <v>139</v>
      </c>
      <c r="AU723">
        <v>12956</v>
      </c>
    </row>
    <row r="724" spans="1:47" x14ac:dyDescent="0.35">
      <c r="C724" t="s">
        <v>138</v>
      </c>
      <c r="D724">
        <v>0</v>
      </c>
      <c r="G724" t="s">
        <v>138</v>
      </c>
      <c r="H724">
        <v>0</v>
      </c>
      <c r="K724" t="s">
        <v>138</v>
      </c>
      <c r="L724">
        <v>0</v>
      </c>
      <c r="O724" t="s">
        <v>138</v>
      </c>
      <c r="P724">
        <v>0</v>
      </c>
      <c r="S724" t="s">
        <v>138</v>
      </c>
      <c r="T724">
        <v>0</v>
      </c>
      <c r="W724" t="s">
        <v>138</v>
      </c>
      <c r="X724">
        <v>0</v>
      </c>
      <c r="AA724" t="s">
        <v>138</v>
      </c>
      <c r="AB724">
        <v>10</v>
      </c>
      <c r="AE724" t="s">
        <v>138</v>
      </c>
      <c r="AF724">
        <v>10</v>
      </c>
      <c r="AI724" t="s">
        <v>138</v>
      </c>
      <c r="AJ724">
        <v>10</v>
      </c>
      <c r="AM724" t="s">
        <v>138</v>
      </c>
      <c r="AN724">
        <v>12</v>
      </c>
      <c r="AQ724" t="s">
        <v>138</v>
      </c>
      <c r="AR724">
        <v>14</v>
      </c>
      <c r="AT724" t="s">
        <v>138</v>
      </c>
      <c r="AU724">
        <v>0</v>
      </c>
    </row>
    <row r="725" spans="1:47" x14ac:dyDescent="0.35">
      <c r="C725" t="s">
        <v>82</v>
      </c>
      <c r="D725">
        <v>0</v>
      </c>
      <c r="G725" t="s">
        <v>82</v>
      </c>
      <c r="H725">
        <v>0</v>
      </c>
      <c r="K725" t="s">
        <v>82</v>
      </c>
      <c r="L725">
        <v>0</v>
      </c>
      <c r="O725" t="s">
        <v>82</v>
      </c>
      <c r="P725">
        <v>0</v>
      </c>
      <c r="S725" t="s">
        <v>82</v>
      </c>
      <c r="T725">
        <v>0</v>
      </c>
      <c r="W725" t="s">
        <v>82</v>
      </c>
      <c r="X725">
        <v>79</v>
      </c>
      <c r="AA725" t="s">
        <v>82</v>
      </c>
      <c r="AB725">
        <v>0</v>
      </c>
      <c r="AE725" t="s">
        <v>82</v>
      </c>
      <c r="AF725">
        <v>0</v>
      </c>
      <c r="AI725" t="s">
        <v>82</v>
      </c>
      <c r="AJ725">
        <v>104</v>
      </c>
      <c r="AM725" t="s">
        <v>82</v>
      </c>
      <c r="AN725">
        <v>0</v>
      </c>
      <c r="AQ725" t="s">
        <v>82</v>
      </c>
      <c r="AR725">
        <v>142</v>
      </c>
      <c r="AT725" t="s">
        <v>82</v>
      </c>
      <c r="AU725">
        <v>907</v>
      </c>
    </row>
    <row r="726" spans="1:47" x14ac:dyDescent="0.35">
      <c r="C726" t="s">
        <v>60</v>
      </c>
      <c r="D726">
        <v>0</v>
      </c>
      <c r="G726" t="s">
        <v>60</v>
      </c>
      <c r="H726">
        <v>0</v>
      </c>
      <c r="K726" t="s">
        <v>60</v>
      </c>
      <c r="L726">
        <v>0</v>
      </c>
      <c r="O726" t="s">
        <v>60</v>
      </c>
      <c r="P726">
        <v>0</v>
      </c>
      <c r="S726" t="s">
        <v>60</v>
      </c>
      <c r="T726">
        <v>0</v>
      </c>
      <c r="W726" t="s">
        <v>60</v>
      </c>
      <c r="X726">
        <v>0</v>
      </c>
      <c r="AA726" t="s">
        <v>60</v>
      </c>
      <c r="AB726">
        <v>0</v>
      </c>
      <c r="AE726" t="s">
        <v>60</v>
      </c>
      <c r="AF726">
        <v>0</v>
      </c>
      <c r="AI726" t="s">
        <v>60</v>
      </c>
      <c r="AJ726">
        <v>17</v>
      </c>
      <c r="AM726" t="s">
        <v>60</v>
      </c>
      <c r="AN726">
        <v>0</v>
      </c>
      <c r="AQ726" t="s">
        <v>60</v>
      </c>
      <c r="AR726">
        <v>0</v>
      </c>
      <c r="AT726" t="s">
        <v>60</v>
      </c>
      <c r="AU726">
        <v>289</v>
      </c>
    </row>
    <row r="727" spans="1:47" x14ac:dyDescent="0.35">
      <c r="C727" t="s">
        <v>127</v>
      </c>
      <c r="D727">
        <v>0</v>
      </c>
      <c r="G727" t="s">
        <v>127</v>
      </c>
      <c r="H727">
        <v>0</v>
      </c>
      <c r="K727" t="s">
        <v>127</v>
      </c>
      <c r="L727">
        <v>0</v>
      </c>
      <c r="O727" t="s">
        <v>127</v>
      </c>
      <c r="P727">
        <v>0</v>
      </c>
      <c r="S727" t="s">
        <v>127</v>
      </c>
      <c r="T727">
        <v>0</v>
      </c>
      <c r="W727" t="s">
        <v>127</v>
      </c>
      <c r="X727">
        <v>0</v>
      </c>
      <c r="AA727" t="s">
        <v>127</v>
      </c>
      <c r="AB727">
        <v>2292</v>
      </c>
      <c r="AE727" t="s">
        <v>127</v>
      </c>
      <c r="AF727">
        <v>0</v>
      </c>
      <c r="AI727" t="s">
        <v>127</v>
      </c>
      <c r="AJ727">
        <v>0</v>
      </c>
      <c r="AM727" t="s">
        <v>127</v>
      </c>
      <c r="AN727">
        <v>0</v>
      </c>
      <c r="AQ727" t="s">
        <v>127</v>
      </c>
      <c r="AR727">
        <v>0</v>
      </c>
      <c r="AT727" t="s">
        <v>58</v>
      </c>
      <c r="AU727">
        <v>2292</v>
      </c>
    </row>
    <row r="728" spans="1:47" x14ac:dyDescent="0.35">
      <c r="C728" t="s">
        <v>61</v>
      </c>
      <c r="D728">
        <v>0</v>
      </c>
      <c r="G728" t="s">
        <v>61</v>
      </c>
      <c r="H728">
        <v>0</v>
      </c>
      <c r="K728" t="s">
        <v>61</v>
      </c>
      <c r="L728">
        <v>0</v>
      </c>
      <c r="O728" t="s">
        <v>61</v>
      </c>
      <c r="P728">
        <v>0</v>
      </c>
      <c r="S728" t="s">
        <v>61</v>
      </c>
      <c r="T728">
        <v>0</v>
      </c>
      <c r="W728" t="s">
        <v>61</v>
      </c>
      <c r="X728">
        <v>0</v>
      </c>
      <c r="AA728" t="s">
        <v>61</v>
      </c>
      <c r="AB728">
        <v>0</v>
      </c>
      <c r="AE728" t="s">
        <v>61</v>
      </c>
      <c r="AF728">
        <v>0</v>
      </c>
      <c r="AI728" t="s">
        <v>61</v>
      </c>
      <c r="AJ728">
        <v>0</v>
      </c>
      <c r="AM728" t="s">
        <v>61</v>
      </c>
      <c r="AN728">
        <v>0</v>
      </c>
      <c r="AQ728" t="s">
        <v>61</v>
      </c>
      <c r="AR728">
        <v>0</v>
      </c>
      <c r="AT728" t="s">
        <v>61</v>
      </c>
      <c r="AU728">
        <v>33</v>
      </c>
    </row>
    <row r="729" spans="1:47" x14ac:dyDescent="0.35">
      <c r="C729" t="s">
        <v>62</v>
      </c>
      <c r="D729">
        <v>0</v>
      </c>
      <c r="G729" t="s">
        <v>62</v>
      </c>
      <c r="H729">
        <v>0</v>
      </c>
      <c r="K729" t="s">
        <v>62</v>
      </c>
      <c r="L729">
        <v>0</v>
      </c>
      <c r="O729" t="s">
        <v>62</v>
      </c>
      <c r="P729">
        <v>0</v>
      </c>
      <c r="S729" t="s">
        <v>62</v>
      </c>
      <c r="T729">
        <v>0</v>
      </c>
      <c r="W729" t="s">
        <v>62</v>
      </c>
      <c r="X729">
        <v>0</v>
      </c>
      <c r="AA729" t="s">
        <v>62</v>
      </c>
      <c r="AB729">
        <v>0</v>
      </c>
      <c r="AE729" t="s">
        <v>62</v>
      </c>
      <c r="AF729">
        <v>0</v>
      </c>
      <c r="AI729" t="s">
        <v>62</v>
      </c>
      <c r="AJ729">
        <v>172</v>
      </c>
      <c r="AM729" t="s">
        <v>62</v>
      </c>
      <c r="AN729">
        <v>0</v>
      </c>
      <c r="AQ729" t="s">
        <v>62</v>
      </c>
      <c r="AR729">
        <v>0</v>
      </c>
      <c r="AT729" t="s">
        <v>62</v>
      </c>
      <c r="AU729">
        <v>218</v>
      </c>
    </row>
    <row r="730" spans="1:47" x14ac:dyDescent="0.35">
      <c r="C730" t="s">
        <v>203</v>
      </c>
      <c r="D730">
        <v>0</v>
      </c>
      <c r="G730" t="s">
        <v>203</v>
      </c>
      <c r="H730">
        <v>0</v>
      </c>
      <c r="K730" t="s">
        <v>203</v>
      </c>
      <c r="L730">
        <v>0</v>
      </c>
      <c r="O730" t="s">
        <v>203</v>
      </c>
      <c r="P730">
        <v>0</v>
      </c>
      <c r="S730" t="s">
        <v>203</v>
      </c>
      <c r="T730">
        <v>0</v>
      </c>
      <c r="W730" t="s">
        <v>203</v>
      </c>
      <c r="X730">
        <v>0</v>
      </c>
      <c r="AA730" t="s">
        <v>203</v>
      </c>
      <c r="AB730">
        <v>0</v>
      </c>
      <c r="AE730" t="s">
        <v>203</v>
      </c>
      <c r="AF730">
        <v>0</v>
      </c>
      <c r="AI730" t="s">
        <v>203</v>
      </c>
      <c r="AJ730">
        <v>0</v>
      </c>
      <c r="AM730" t="s">
        <v>203</v>
      </c>
      <c r="AN730">
        <v>0</v>
      </c>
      <c r="AQ730" t="s">
        <v>203</v>
      </c>
      <c r="AR730">
        <v>889</v>
      </c>
      <c r="AT730" t="s">
        <v>64</v>
      </c>
      <c r="AU730">
        <v>0</v>
      </c>
    </row>
    <row r="731" spans="1:47" x14ac:dyDescent="0.35">
      <c r="C731" t="s">
        <v>204</v>
      </c>
      <c r="D731">
        <v>0</v>
      </c>
      <c r="G731" t="s">
        <v>204</v>
      </c>
      <c r="H731">
        <v>0</v>
      </c>
      <c r="K731" t="s">
        <v>204</v>
      </c>
      <c r="L731">
        <v>0</v>
      </c>
      <c r="O731" t="s">
        <v>204</v>
      </c>
      <c r="P731">
        <v>0</v>
      </c>
      <c r="S731" t="s">
        <v>204</v>
      </c>
      <c r="T731">
        <v>0</v>
      </c>
      <c r="W731" t="s">
        <v>204</v>
      </c>
      <c r="X731">
        <v>0</v>
      </c>
      <c r="AA731" t="s">
        <v>204</v>
      </c>
      <c r="AB731">
        <v>0</v>
      </c>
      <c r="AE731" t="s">
        <v>204</v>
      </c>
      <c r="AF731">
        <v>0</v>
      </c>
      <c r="AI731" t="s">
        <v>204</v>
      </c>
      <c r="AJ731">
        <v>0</v>
      </c>
      <c r="AM731" t="s">
        <v>204</v>
      </c>
      <c r="AN731">
        <v>0</v>
      </c>
      <c r="AQ731" t="s">
        <v>204</v>
      </c>
      <c r="AR731">
        <v>51</v>
      </c>
      <c r="AT731" t="s">
        <v>65</v>
      </c>
      <c r="AU731">
        <v>313</v>
      </c>
    </row>
    <row r="732" spans="1:47" x14ac:dyDescent="0.35">
      <c r="C732" t="s">
        <v>205</v>
      </c>
      <c r="D732">
        <v>0</v>
      </c>
      <c r="G732" t="s">
        <v>205</v>
      </c>
      <c r="H732">
        <v>0</v>
      </c>
      <c r="K732" t="s">
        <v>205</v>
      </c>
      <c r="L732">
        <v>0</v>
      </c>
      <c r="O732" t="s">
        <v>205</v>
      </c>
      <c r="P732">
        <v>0</v>
      </c>
      <c r="S732" t="s">
        <v>205</v>
      </c>
      <c r="T732">
        <v>0</v>
      </c>
      <c r="W732" t="s">
        <v>205</v>
      </c>
      <c r="X732">
        <v>0</v>
      </c>
      <c r="AA732" t="s">
        <v>205</v>
      </c>
      <c r="AB732">
        <v>0</v>
      </c>
      <c r="AE732" t="s">
        <v>205</v>
      </c>
      <c r="AF732">
        <v>137</v>
      </c>
      <c r="AI732" t="s">
        <v>205</v>
      </c>
      <c r="AJ732">
        <v>0</v>
      </c>
      <c r="AM732" t="s">
        <v>205</v>
      </c>
      <c r="AN732">
        <v>0</v>
      </c>
      <c r="AQ732" t="s">
        <v>205</v>
      </c>
      <c r="AR732">
        <v>0</v>
      </c>
      <c r="AT732" t="s">
        <v>66</v>
      </c>
      <c r="AU732">
        <v>470</v>
      </c>
    </row>
    <row r="733" spans="1:47" x14ac:dyDescent="0.35">
      <c r="C733" t="s">
        <v>133</v>
      </c>
      <c r="D733">
        <v>0</v>
      </c>
      <c r="G733" t="s">
        <v>133</v>
      </c>
      <c r="H733">
        <v>0</v>
      </c>
      <c r="K733" t="s">
        <v>133</v>
      </c>
      <c r="L733">
        <v>0</v>
      </c>
      <c r="O733" t="s">
        <v>133</v>
      </c>
      <c r="P733">
        <v>0</v>
      </c>
      <c r="S733" t="s">
        <v>133</v>
      </c>
      <c r="T733">
        <v>0</v>
      </c>
      <c r="W733" t="s">
        <v>133</v>
      </c>
      <c r="X733">
        <v>0</v>
      </c>
      <c r="AA733" t="s">
        <v>133</v>
      </c>
      <c r="AB733">
        <v>0</v>
      </c>
      <c r="AE733" t="s">
        <v>133</v>
      </c>
      <c r="AF733">
        <v>503</v>
      </c>
      <c r="AI733" t="s">
        <v>133</v>
      </c>
      <c r="AJ733">
        <v>99</v>
      </c>
      <c r="AM733" t="s">
        <v>133</v>
      </c>
      <c r="AN733">
        <v>0</v>
      </c>
      <c r="AQ733" t="s">
        <v>133</v>
      </c>
      <c r="AR733">
        <v>0</v>
      </c>
      <c r="AT733" t="s">
        <v>79</v>
      </c>
      <c r="AU733">
        <v>1739</v>
      </c>
    </row>
    <row r="734" spans="1:47" x14ac:dyDescent="0.35">
      <c r="C734" t="s">
        <v>206</v>
      </c>
      <c r="D734">
        <v>0</v>
      </c>
      <c r="G734" t="s">
        <v>206</v>
      </c>
      <c r="H734">
        <v>0</v>
      </c>
      <c r="K734" t="s">
        <v>206</v>
      </c>
      <c r="L734">
        <v>0</v>
      </c>
      <c r="O734" t="s">
        <v>206</v>
      </c>
      <c r="P734">
        <v>0</v>
      </c>
      <c r="S734" t="s">
        <v>206</v>
      </c>
      <c r="T734">
        <v>0</v>
      </c>
      <c r="W734" t="s">
        <v>206</v>
      </c>
      <c r="X734">
        <v>0</v>
      </c>
      <c r="AA734" t="s">
        <v>206</v>
      </c>
      <c r="AB734">
        <v>3</v>
      </c>
      <c r="AE734" t="s">
        <v>206</v>
      </c>
      <c r="AF734">
        <v>3</v>
      </c>
      <c r="AI734" t="s">
        <v>206</v>
      </c>
      <c r="AJ734">
        <v>3</v>
      </c>
      <c r="AM734" t="s">
        <v>206</v>
      </c>
      <c r="AN734">
        <v>3</v>
      </c>
      <c r="AQ734" t="s">
        <v>206</v>
      </c>
      <c r="AR734">
        <v>5</v>
      </c>
      <c r="AT734" t="s">
        <v>68</v>
      </c>
      <c r="AU734">
        <v>21</v>
      </c>
    </row>
    <row r="735" spans="1:47" x14ac:dyDescent="0.35">
      <c r="C735" t="s">
        <v>136</v>
      </c>
      <c r="D735">
        <v>0</v>
      </c>
      <c r="G735" t="s">
        <v>136</v>
      </c>
      <c r="H735">
        <v>0</v>
      </c>
      <c r="K735" t="s">
        <v>136</v>
      </c>
      <c r="L735">
        <v>0</v>
      </c>
      <c r="O735" t="s">
        <v>136</v>
      </c>
      <c r="P735">
        <v>0</v>
      </c>
      <c r="S735" t="s">
        <v>136</v>
      </c>
      <c r="T735">
        <v>0</v>
      </c>
      <c r="W735" t="s">
        <v>136</v>
      </c>
      <c r="X735">
        <v>0</v>
      </c>
      <c r="AA735" t="s">
        <v>136</v>
      </c>
      <c r="AB735">
        <v>0</v>
      </c>
      <c r="AE735" t="s">
        <v>136</v>
      </c>
      <c r="AF735">
        <v>291</v>
      </c>
      <c r="AI735" t="s">
        <v>136</v>
      </c>
      <c r="AJ735">
        <v>0</v>
      </c>
      <c r="AM735" t="s">
        <v>136</v>
      </c>
      <c r="AN735">
        <v>0</v>
      </c>
      <c r="AQ735" t="s">
        <v>136</v>
      </c>
      <c r="AR735">
        <v>289</v>
      </c>
      <c r="AT735" t="s">
        <v>69</v>
      </c>
      <c r="AU735">
        <v>303</v>
      </c>
    </row>
    <row r="736" spans="1:47" x14ac:dyDescent="0.35">
      <c r="C736" t="s">
        <v>207</v>
      </c>
      <c r="D736">
        <v>0</v>
      </c>
      <c r="G736" t="s">
        <v>207</v>
      </c>
      <c r="H736">
        <v>0</v>
      </c>
      <c r="K736" t="s">
        <v>207</v>
      </c>
      <c r="L736">
        <v>0</v>
      </c>
      <c r="O736" t="s">
        <v>207</v>
      </c>
      <c r="P736">
        <v>0</v>
      </c>
      <c r="S736" t="s">
        <v>207</v>
      </c>
      <c r="T736">
        <v>0</v>
      </c>
      <c r="W736" t="s">
        <v>207</v>
      </c>
      <c r="X736">
        <v>0</v>
      </c>
      <c r="AA736" t="s">
        <v>207</v>
      </c>
      <c r="AB736">
        <v>0</v>
      </c>
      <c r="AE736" t="s">
        <v>207</v>
      </c>
      <c r="AF736">
        <v>0</v>
      </c>
      <c r="AI736" t="s">
        <v>207</v>
      </c>
      <c r="AJ736">
        <v>0</v>
      </c>
      <c r="AM736" t="s">
        <v>207</v>
      </c>
      <c r="AN736">
        <v>0</v>
      </c>
      <c r="AQ736" t="s">
        <v>207</v>
      </c>
      <c r="AR736">
        <v>0</v>
      </c>
      <c r="AT736" t="s">
        <v>70</v>
      </c>
      <c r="AU736">
        <v>37</v>
      </c>
    </row>
    <row r="737" spans="1:47" x14ac:dyDescent="0.35">
      <c r="C737" t="s">
        <v>141</v>
      </c>
      <c r="D737">
        <v>0</v>
      </c>
      <c r="G737" t="s">
        <v>141</v>
      </c>
      <c r="H737">
        <v>0</v>
      </c>
      <c r="K737" t="s">
        <v>141</v>
      </c>
      <c r="L737">
        <v>0</v>
      </c>
      <c r="O737" t="s">
        <v>141</v>
      </c>
      <c r="P737">
        <v>0</v>
      </c>
      <c r="S737" t="s">
        <v>141</v>
      </c>
      <c r="T737">
        <v>0</v>
      </c>
      <c r="W737" t="s">
        <v>141</v>
      </c>
      <c r="X737">
        <v>0</v>
      </c>
      <c r="AA737" t="s">
        <v>141</v>
      </c>
      <c r="AB737">
        <v>84</v>
      </c>
      <c r="AE737" t="s">
        <v>141</v>
      </c>
      <c r="AF737">
        <v>99</v>
      </c>
      <c r="AI737" t="s">
        <v>141</v>
      </c>
      <c r="AJ737">
        <v>95</v>
      </c>
      <c r="AM737" t="s">
        <v>141</v>
      </c>
      <c r="AN737">
        <v>99</v>
      </c>
      <c r="AQ737" t="s">
        <v>141</v>
      </c>
      <c r="AR737">
        <v>107</v>
      </c>
      <c r="AT737" t="s">
        <v>76</v>
      </c>
      <c r="AU737">
        <v>147</v>
      </c>
    </row>
    <row r="738" spans="1:47" x14ac:dyDescent="0.35">
      <c r="C738" t="s">
        <v>208</v>
      </c>
      <c r="D738">
        <v>0</v>
      </c>
      <c r="G738" t="s">
        <v>208</v>
      </c>
      <c r="H738">
        <v>0</v>
      </c>
      <c r="K738" t="s">
        <v>208</v>
      </c>
      <c r="L738">
        <v>0</v>
      </c>
      <c r="O738" t="s">
        <v>208</v>
      </c>
      <c r="P738">
        <v>0</v>
      </c>
      <c r="S738" t="s">
        <v>208</v>
      </c>
      <c r="T738">
        <v>0</v>
      </c>
      <c r="W738" t="s">
        <v>208</v>
      </c>
      <c r="X738">
        <v>0</v>
      </c>
      <c r="AA738" t="s">
        <v>208</v>
      </c>
      <c r="AB738">
        <v>0</v>
      </c>
      <c r="AE738" t="s">
        <v>208</v>
      </c>
      <c r="AF738">
        <v>0</v>
      </c>
      <c r="AI738" t="s">
        <v>208</v>
      </c>
      <c r="AJ738">
        <v>0</v>
      </c>
      <c r="AM738" t="s">
        <v>208</v>
      </c>
      <c r="AN738">
        <v>0</v>
      </c>
      <c r="AQ738" t="s">
        <v>208</v>
      </c>
      <c r="AR738">
        <v>0</v>
      </c>
      <c r="AT738" t="s">
        <v>77</v>
      </c>
      <c r="AU738">
        <v>2157</v>
      </c>
    </row>
    <row r="739" spans="1:47" x14ac:dyDescent="0.35">
      <c r="C739" t="s">
        <v>209</v>
      </c>
      <c r="D739">
        <v>0</v>
      </c>
      <c r="G739" t="s">
        <v>209</v>
      </c>
      <c r="H739">
        <v>0</v>
      </c>
      <c r="K739" t="s">
        <v>209</v>
      </c>
      <c r="L739">
        <v>0</v>
      </c>
      <c r="O739" t="s">
        <v>209</v>
      </c>
      <c r="P739">
        <v>0</v>
      </c>
      <c r="S739" t="s">
        <v>209</v>
      </c>
      <c r="T739">
        <v>0</v>
      </c>
      <c r="W739" t="s">
        <v>209</v>
      </c>
      <c r="X739">
        <v>0</v>
      </c>
      <c r="AA739" t="s">
        <v>209</v>
      </c>
      <c r="AB739">
        <v>0</v>
      </c>
      <c r="AE739" t="s">
        <v>209</v>
      </c>
      <c r="AF739">
        <v>0</v>
      </c>
      <c r="AI739" t="s">
        <v>209</v>
      </c>
      <c r="AJ739">
        <v>0</v>
      </c>
      <c r="AM739" t="s">
        <v>209</v>
      </c>
      <c r="AN739">
        <v>0</v>
      </c>
      <c r="AQ739" t="s">
        <v>209</v>
      </c>
      <c r="AR739">
        <v>0</v>
      </c>
      <c r="AT739" t="s">
        <v>78</v>
      </c>
      <c r="AU739">
        <v>0</v>
      </c>
    </row>
    <row r="740" spans="1:47" x14ac:dyDescent="0.35">
      <c r="C740" t="s">
        <v>134</v>
      </c>
      <c r="D740">
        <v>0</v>
      </c>
      <c r="G740" t="s">
        <v>134</v>
      </c>
      <c r="H740">
        <v>0</v>
      </c>
      <c r="K740" t="s">
        <v>134</v>
      </c>
      <c r="L740">
        <v>0</v>
      </c>
      <c r="O740" t="s">
        <v>134</v>
      </c>
      <c r="P740">
        <v>0</v>
      </c>
      <c r="S740" t="s">
        <v>134</v>
      </c>
      <c r="T740">
        <v>0</v>
      </c>
      <c r="W740" t="s">
        <v>134</v>
      </c>
      <c r="X740">
        <v>0</v>
      </c>
      <c r="AA740" t="s">
        <v>134</v>
      </c>
      <c r="AB740">
        <v>140</v>
      </c>
      <c r="AE740" t="s">
        <v>134</v>
      </c>
      <c r="AF740">
        <v>0</v>
      </c>
      <c r="AI740" t="s">
        <v>134</v>
      </c>
      <c r="AJ740">
        <v>99</v>
      </c>
      <c r="AM740" t="s">
        <v>134</v>
      </c>
      <c r="AN740">
        <v>99</v>
      </c>
      <c r="AQ740" t="s">
        <v>134</v>
      </c>
      <c r="AR740">
        <v>1065</v>
      </c>
      <c r="AT740" t="s">
        <v>67</v>
      </c>
      <c r="AU740">
        <v>510</v>
      </c>
    </row>
    <row r="741" spans="1:47" x14ac:dyDescent="0.35">
      <c r="C741" t="s">
        <v>142</v>
      </c>
      <c r="D741">
        <v>0</v>
      </c>
      <c r="G741" t="s">
        <v>142</v>
      </c>
      <c r="H741">
        <v>0</v>
      </c>
      <c r="K741" t="s">
        <v>142</v>
      </c>
      <c r="L741">
        <v>0</v>
      </c>
      <c r="O741" t="s">
        <v>142</v>
      </c>
      <c r="P741">
        <v>0</v>
      </c>
      <c r="S741" t="s">
        <v>142</v>
      </c>
      <c r="T741">
        <v>0</v>
      </c>
      <c r="W741" t="s">
        <v>142</v>
      </c>
      <c r="X741">
        <v>0</v>
      </c>
      <c r="AA741" t="s">
        <v>142</v>
      </c>
      <c r="AB741">
        <v>52</v>
      </c>
      <c r="AE741" t="s">
        <v>142</v>
      </c>
      <c r="AF741">
        <v>53</v>
      </c>
      <c r="AI741" t="s">
        <v>142</v>
      </c>
      <c r="AJ741">
        <v>54</v>
      </c>
      <c r="AM741" t="s">
        <v>142</v>
      </c>
      <c r="AN741">
        <v>63</v>
      </c>
      <c r="AQ741" t="s">
        <v>142</v>
      </c>
      <c r="AR741">
        <v>82</v>
      </c>
      <c r="AT741" t="s">
        <v>80</v>
      </c>
      <c r="AU741">
        <v>1053</v>
      </c>
    </row>
    <row r="742" spans="1:47" x14ac:dyDescent="0.35">
      <c r="C742" t="s">
        <v>83</v>
      </c>
      <c r="D742">
        <v>0</v>
      </c>
      <c r="G742" t="s">
        <v>83</v>
      </c>
      <c r="H742">
        <v>0</v>
      </c>
      <c r="K742" t="s">
        <v>83</v>
      </c>
      <c r="L742">
        <v>0</v>
      </c>
      <c r="O742" t="s">
        <v>83</v>
      </c>
      <c r="P742">
        <v>0</v>
      </c>
      <c r="S742" t="s">
        <v>83</v>
      </c>
      <c r="T742">
        <v>0</v>
      </c>
      <c r="W742" t="s">
        <v>83</v>
      </c>
      <c r="X742">
        <v>0</v>
      </c>
      <c r="AA742" t="s">
        <v>83</v>
      </c>
      <c r="AB742">
        <v>118</v>
      </c>
      <c r="AE742" t="s">
        <v>83</v>
      </c>
      <c r="AF742">
        <v>123</v>
      </c>
      <c r="AI742" t="s">
        <v>83</v>
      </c>
      <c r="AJ742">
        <v>134</v>
      </c>
      <c r="AM742" t="s">
        <v>83</v>
      </c>
      <c r="AN742">
        <v>140</v>
      </c>
      <c r="AQ742" t="s">
        <v>83</v>
      </c>
      <c r="AR742">
        <v>144</v>
      </c>
      <c r="AT742" t="s">
        <v>83</v>
      </c>
      <c r="AU742">
        <v>233</v>
      </c>
    </row>
    <row r="743" spans="1:47" x14ac:dyDescent="0.35">
      <c r="C743" t="s">
        <v>84</v>
      </c>
      <c r="D743">
        <v>0</v>
      </c>
      <c r="G743" t="s">
        <v>84</v>
      </c>
      <c r="H743">
        <v>0</v>
      </c>
      <c r="K743" t="s">
        <v>84</v>
      </c>
      <c r="L743">
        <v>0</v>
      </c>
      <c r="O743" t="s">
        <v>84</v>
      </c>
      <c r="P743">
        <v>0</v>
      </c>
      <c r="S743" t="s">
        <v>84</v>
      </c>
      <c r="T743">
        <v>0</v>
      </c>
      <c r="W743" t="s">
        <v>84</v>
      </c>
      <c r="X743">
        <v>0</v>
      </c>
      <c r="AA743" t="s">
        <v>84</v>
      </c>
      <c r="AB743">
        <v>0</v>
      </c>
      <c r="AE743" t="s">
        <v>84</v>
      </c>
      <c r="AF743">
        <v>0</v>
      </c>
      <c r="AI743" t="s">
        <v>84</v>
      </c>
      <c r="AJ743">
        <v>0</v>
      </c>
      <c r="AM743" t="s">
        <v>84</v>
      </c>
      <c r="AN743">
        <v>0</v>
      </c>
      <c r="AQ743" t="s">
        <v>84</v>
      </c>
      <c r="AR743">
        <v>0</v>
      </c>
      <c r="AT743" t="s">
        <v>84</v>
      </c>
      <c r="AU743">
        <v>509</v>
      </c>
    </row>
    <row r="744" spans="1:47" x14ac:dyDescent="0.35">
      <c r="C744" t="s">
        <v>126</v>
      </c>
      <c r="D744">
        <v>0</v>
      </c>
      <c r="G744" t="s">
        <v>126</v>
      </c>
      <c r="H744">
        <v>0</v>
      </c>
      <c r="K744" t="s">
        <v>223</v>
      </c>
      <c r="L744">
        <v>0</v>
      </c>
      <c r="O744" t="s">
        <v>126</v>
      </c>
      <c r="P744">
        <v>0</v>
      </c>
      <c r="S744" t="s">
        <v>126</v>
      </c>
      <c r="T744">
        <v>0</v>
      </c>
      <c r="W744" t="s">
        <v>126</v>
      </c>
      <c r="X744">
        <v>0</v>
      </c>
      <c r="AA744" t="s">
        <v>126</v>
      </c>
      <c r="AB744">
        <v>0</v>
      </c>
      <c r="AE744" t="s">
        <v>126</v>
      </c>
      <c r="AF744">
        <v>0</v>
      </c>
      <c r="AI744" t="s">
        <v>126</v>
      </c>
      <c r="AJ744">
        <v>0</v>
      </c>
      <c r="AM744" t="s">
        <v>126</v>
      </c>
      <c r="AN744">
        <v>0</v>
      </c>
      <c r="AQ744" t="s">
        <v>126</v>
      </c>
      <c r="AR744">
        <v>0</v>
      </c>
      <c r="AT744" t="s">
        <v>86</v>
      </c>
      <c r="AU744">
        <v>0</v>
      </c>
    </row>
    <row r="745" spans="1:47" x14ac:dyDescent="0.35">
      <c r="C745" t="s">
        <v>87</v>
      </c>
      <c r="D745">
        <v>0</v>
      </c>
      <c r="G745" t="s">
        <v>87</v>
      </c>
      <c r="H745">
        <v>0</v>
      </c>
      <c r="K745" t="s">
        <v>87</v>
      </c>
      <c r="L745">
        <v>0</v>
      </c>
      <c r="O745" t="s">
        <v>87</v>
      </c>
      <c r="P745">
        <v>0</v>
      </c>
      <c r="S745" t="s">
        <v>87</v>
      </c>
      <c r="T745">
        <v>0</v>
      </c>
      <c r="W745" t="s">
        <v>87</v>
      </c>
      <c r="X745">
        <v>0</v>
      </c>
      <c r="AA745" t="s">
        <v>87</v>
      </c>
      <c r="AB745">
        <v>0</v>
      </c>
      <c r="AE745" t="s">
        <v>87</v>
      </c>
      <c r="AF745">
        <v>0</v>
      </c>
      <c r="AI745" t="s">
        <v>87</v>
      </c>
      <c r="AJ745">
        <v>0</v>
      </c>
      <c r="AM745" t="s">
        <v>87</v>
      </c>
      <c r="AN745">
        <v>0</v>
      </c>
      <c r="AQ745" t="s">
        <v>87</v>
      </c>
      <c r="AR745">
        <v>0</v>
      </c>
      <c r="AT745" t="s">
        <v>87</v>
      </c>
      <c r="AU745">
        <v>8</v>
      </c>
    </row>
    <row r="746" spans="1:47" x14ac:dyDescent="0.35">
      <c r="A746" t="s">
        <v>190</v>
      </c>
      <c r="B746">
        <v>17954407.000000004</v>
      </c>
      <c r="C746" t="s">
        <v>135</v>
      </c>
      <c r="D746">
        <v>1904</v>
      </c>
      <c r="E746" t="s">
        <v>190</v>
      </c>
      <c r="F746">
        <v>18653199</v>
      </c>
      <c r="G746" t="s">
        <v>135</v>
      </c>
      <c r="H746">
        <v>1892</v>
      </c>
      <c r="I746" t="s">
        <v>190</v>
      </c>
      <c r="J746">
        <v>19372013.999999993</v>
      </c>
      <c r="K746" t="s">
        <v>135</v>
      </c>
      <c r="L746">
        <v>1119</v>
      </c>
      <c r="M746" t="s">
        <v>190</v>
      </c>
      <c r="N746">
        <v>20128123.999999989</v>
      </c>
      <c r="O746" t="s">
        <v>135</v>
      </c>
      <c r="P746">
        <v>1268</v>
      </c>
      <c r="Q746" t="s">
        <v>190</v>
      </c>
      <c r="R746">
        <v>20921743.000000011</v>
      </c>
      <c r="S746" t="s">
        <v>135</v>
      </c>
      <c r="T746">
        <v>1362</v>
      </c>
      <c r="U746" t="s">
        <v>190</v>
      </c>
      <c r="V746">
        <v>21737922.000000011</v>
      </c>
      <c r="W746" t="s">
        <v>135</v>
      </c>
      <c r="X746">
        <v>950</v>
      </c>
      <c r="Y746" t="s">
        <v>190</v>
      </c>
      <c r="Z746">
        <v>22577057.999999996</v>
      </c>
      <c r="AA746" t="s">
        <v>135</v>
      </c>
      <c r="AB746">
        <v>1745</v>
      </c>
      <c r="AC746" t="s">
        <v>190</v>
      </c>
      <c r="AD746">
        <v>23443392.999999978</v>
      </c>
      <c r="AE746" t="s">
        <v>135</v>
      </c>
      <c r="AF746">
        <v>1776</v>
      </c>
      <c r="AG746" t="s">
        <v>190</v>
      </c>
      <c r="AH746">
        <v>24333638.499999985</v>
      </c>
      <c r="AI746" t="s">
        <v>135</v>
      </c>
      <c r="AJ746">
        <v>1670</v>
      </c>
      <c r="AK746" t="s">
        <v>190</v>
      </c>
      <c r="AL746">
        <v>25252721.999999989</v>
      </c>
      <c r="AM746" t="s">
        <v>135</v>
      </c>
      <c r="AN746">
        <v>0</v>
      </c>
      <c r="AO746" t="s">
        <v>190</v>
      </c>
      <c r="AP746">
        <v>26207976.5</v>
      </c>
      <c r="AQ746" t="s">
        <v>135</v>
      </c>
      <c r="AR746">
        <v>1415</v>
      </c>
      <c r="AS746" t="s">
        <v>190</v>
      </c>
      <c r="AT746" t="s">
        <v>148</v>
      </c>
      <c r="AU746">
        <v>1065</v>
      </c>
    </row>
    <row r="747" spans="1:47" x14ac:dyDescent="0.35">
      <c r="C747" t="s">
        <v>139</v>
      </c>
      <c r="D747">
        <v>0</v>
      </c>
      <c r="G747" t="s">
        <v>139</v>
      </c>
      <c r="H747">
        <v>6578</v>
      </c>
      <c r="K747" t="s">
        <v>139</v>
      </c>
      <c r="L747">
        <v>9880</v>
      </c>
      <c r="O747" t="s">
        <v>139</v>
      </c>
      <c r="P747">
        <v>6506</v>
      </c>
      <c r="S747" t="s">
        <v>139</v>
      </c>
      <c r="T747">
        <v>9492</v>
      </c>
      <c r="W747" t="s">
        <v>139</v>
      </c>
      <c r="X747">
        <v>0</v>
      </c>
      <c r="AA747" t="s">
        <v>139</v>
      </c>
      <c r="AB747">
        <v>8251</v>
      </c>
      <c r="AE747" t="s">
        <v>139</v>
      </c>
      <c r="AF747">
        <v>0</v>
      </c>
      <c r="AI747" t="s">
        <v>139</v>
      </c>
      <c r="AJ747">
        <v>0</v>
      </c>
      <c r="AM747" t="s">
        <v>139</v>
      </c>
      <c r="AN747">
        <v>0</v>
      </c>
      <c r="AQ747" t="s">
        <v>139</v>
      </c>
      <c r="AR747">
        <v>9130</v>
      </c>
      <c r="AT747" t="s">
        <v>139</v>
      </c>
      <c r="AU747">
        <v>3581</v>
      </c>
    </row>
    <row r="748" spans="1:47" x14ac:dyDescent="0.35">
      <c r="C748" t="s">
        <v>138</v>
      </c>
      <c r="D748">
        <v>1788</v>
      </c>
      <c r="G748" t="s">
        <v>138</v>
      </c>
      <c r="H748">
        <v>1672</v>
      </c>
      <c r="K748" t="s">
        <v>138</v>
      </c>
      <c r="L748">
        <v>1918</v>
      </c>
      <c r="O748" t="s">
        <v>138</v>
      </c>
      <c r="P748">
        <v>1648</v>
      </c>
      <c r="S748" t="s">
        <v>138</v>
      </c>
      <c r="T748">
        <v>1712</v>
      </c>
      <c r="W748" t="s">
        <v>138</v>
      </c>
      <c r="X748">
        <v>0</v>
      </c>
      <c r="AA748" t="s">
        <v>138</v>
      </c>
      <c r="AB748">
        <v>1812</v>
      </c>
      <c r="AE748" t="s">
        <v>138</v>
      </c>
      <c r="AF748">
        <v>0</v>
      </c>
      <c r="AI748" t="s">
        <v>138</v>
      </c>
      <c r="AJ748">
        <v>0</v>
      </c>
      <c r="AM748" t="s">
        <v>138</v>
      </c>
      <c r="AN748">
        <v>0</v>
      </c>
      <c r="AQ748" t="s">
        <v>138</v>
      </c>
      <c r="AR748">
        <v>1436</v>
      </c>
      <c r="AT748" t="s">
        <v>138</v>
      </c>
      <c r="AU748">
        <v>902</v>
      </c>
    </row>
    <row r="749" spans="1:47" x14ac:dyDescent="0.35">
      <c r="C749" t="s">
        <v>82</v>
      </c>
      <c r="D749">
        <v>0</v>
      </c>
      <c r="G749" t="s">
        <v>82</v>
      </c>
      <c r="H749">
        <v>0</v>
      </c>
      <c r="K749" t="s">
        <v>82</v>
      </c>
      <c r="L749">
        <v>0</v>
      </c>
      <c r="O749" t="s">
        <v>82</v>
      </c>
      <c r="P749">
        <v>0</v>
      </c>
      <c r="S749" t="s">
        <v>82</v>
      </c>
      <c r="T749">
        <v>0</v>
      </c>
      <c r="W749" t="s">
        <v>82</v>
      </c>
      <c r="X749">
        <v>0</v>
      </c>
      <c r="AA749" t="s">
        <v>82</v>
      </c>
      <c r="AB749">
        <v>2100</v>
      </c>
      <c r="AE749" t="s">
        <v>82</v>
      </c>
      <c r="AF749">
        <v>0</v>
      </c>
      <c r="AI749" t="s">
        <v>82</v>
      </c>
      <c r="AJ749">
        <v>0</v>
      </c>
      <c r="AM749" t="s">
        <v>82</v>
      </c>
      <c r="AN749">
        <v>0</v>
      </c>
      <c r="AQ749" t="s">
        <v>82</v>
      </c>
      <c r="AR749">
        <v>0</v>
      </c>
      <c r="AT749" t="s">
        <v>82</v>
      </c>
      <c r="AU749">
        <v>60</v>
      </c>
    </row>
    <row r="750" spans="1:47" x14ac:dyDescent="0.35">
      <c r="C750" t="s">
        <v>60</v>
      </c>
      <c r="D750">
        <v>0</v>
      </c>
      <c r="G750" t="s">
        <v>60</v>
      </c>
      <c r="H750">
        <v>0</v>
      </c>
      <c r="K750" t="s">
        <v>60</v>
      </c>
      <c r="L750">
        <v>0</v>
      </c>
      <c r="O750" t="s">
        <v>60</v>
      </c>
      <c r="P750">
        <v>0</v>
      </c>
      <c r="S750" t="s">
        <v>60</v>
      </c>
      <c r="T750">
        <v>0</v>
      </c>
      <c r="W750" t="s">
        <v>60</v>
      </c>
      <c r="X750">
        <v>0</v>
      </c>
      <c r="AA750" t="s">
        <v>60</v>
      </c>
      <c r="AB750">
        <v>0</v>
      </c>
      <c r="AE750" t="s">
        <v>60</v>
      </c>
      <c r="AF750">
        <v>0</v>
      </c>
      <c r="AI750" t="s">
        <v>60</v>
      </c>
      <c r="AJ750">
        <v>4</v>
      </c>
      <c r="AM750" t="s">
        <v>60</v>
      </c>
      <c r="AN750">
        <v>0</v>
      </c>
      <c r="AQ750" t="s">
        <v>60</v>
      </c>
      <c r="AR750">
        <v>0</v>
      </c>
      <c r="AT750" t="s">
        <v>60</v>
      </c>
      <c r="AU750">
        <v>30</v>
      </c>
    </row>
    <row r="751" spans="1:47" x14ac:dyDescent="0.35">
      <c r="C751" t="s">
        <v>127</v>
      </c>
      <c r="D751">
        <v>0</v>
      </c>
      <c r="G751" t="s">
        <v>127</v>
      </c>
      <c r="H751">
        <v>6560</v>
      </c>
      <c r="K751" t="s">
        <v>127</v>
      </c>
      <c r="L751">
        <v>0</v>
      </c>
      <c r="O751" t="s">
        <v>127</v>
      </c>
      <c r="P751">
        <v>0</v>
      </c>
      <c r="S751" t="s">
        <v>127</v>
      </c>
      <c r="T751">
        <v>0</v>
      </c>
      <c r="W751" t="s">
        <v>127</v>
      </c>
      <c r="X751">
        <v>0</v>
      </c>
      <c r="AA751" t="s">
        <v>127</v>
      </c>
      <c r="AB751">
        <v>0</v>
      </c>
      <c r="AE751" t="s">
        <v>127</v>
      </c>
      <c r="AF751">
        <v>0</v>
      </c>
      <c r="AI751" t="s">
        <v>127</v>
      </c>
      <c r="AJ751">
        <v>21429</v>
      </c>
      <c r="AM751" t="s">
        <v>127</v>
      </c>
      <c r="AN751">
        <v>0</v>
      </c>
      <c r="AQ751" t="s">
        <v>127</v>
      </c>
      <c r="AR751">
        <v>2239</v>
      </c>
      <c r="AT751" t="s">
        <v>58</v>
      </c>
      <c r="AU751">
        <v>55</v>
      </c>
    </row>
    <row r="752" spans="1:47" x14ac:dyDescent="0.35">
      <c r="C752" t="s">
        <v>61</v>
      </c>
      <c r="D752">
        <v>0</v>
      </c>
      <c r="G752" t="s">
        <v>61</v>
      </c>
      <c r="H752">
        <v>0</v>
      </c>
      <c r="K752" t="s">
        <v>61</v>
      </c>
      <c r="L752">
        <v>0</v>
      </c>
      <c r="O752" t="s">
        <v>61</v>
      </c>
      <c r="P752">
        <v>0</v>
      </c>
      <c r="S752" t="s">
        <v>61</v>
      </c>
      <c r="T752">
        <v>0</v>
      </c>
      <c r="W752" t="s">
        <v>61</v>
      </c>
      <c r="X752">
        <v>0</v>
      </c>
      <c r="AA752" t="s">
        <v>61</v>
      </c>
      <c r="AB752">
        <v>0</v>
      </c>
      <c r="AE752" t="s">
        <v>61</v>
      </c>
      <c r="AF752">
        <v>0</v>
      </c>
      <c r="AI752" t="s">
        <v>61</v>
      </c>
      <c r="AJ752">
        <v>0</v>
      </c>
      <c r="AM752" t="s">
        <v>61</v>
      </c>
      <c r="AN752">
        <v>0</v>
      </c>
      <c r="AQ752" t="s">
        <v>61</v>
      </c>
      <c r="AR752">
        <v>0</v>
      </c>
      <c r="AT752" t="s">
        <v>61</v>
      </c>
      <c r="AU752">
        <v>42</v>
      </c>
    </row>
    <row r="753" spans="3:47" x14ac:dyDescent="0.35">
      <c r="C753" t="s">
        <v>62</v>
      </c>
      <c r="D753">
        <v>0</v>
      </c>
      <c r="G753" t="s">
        <v>62</v>
      </c>
      <c r="H753">
        <v>0</v>
      </c>
      <c r="K753" t="s">
        <v>62</v>
      </c>
      <c r="L753">
        <v>0</v>
      </c>
      <c r="O753" t="s">
        <v>62</v>
      </c>
      <c r="P753">
        <v>0</v>
      </c>
      <c r="S753" t="s">
        <v>62</v>
      </c>
      <c r="T753">
        <v>0</v>
      </c>
      <c r="W753" t="s">
        <v>62</v>
      </c>
      <c r="X753">
        <v>0</v>
      </c>
      <c r="AA753" t="s">
        <v>62</v>
      </c>
      <c r="AB753">
        <v>0</v>
      </c>
      <c r="AE753" t="s">
        <v>62</v>
      </c>
      <c r="AF753">
        <v>0</v>
      </c>
      <c r="AI753" t="s">
        <v>62</v>
      </c>
      <c r="AJ753">
        <v>0</v>
      </c>
      <c r="AM753" t="s">
        <v>62</v>
      </c>
      <c r="AN753">
        <v>0</v>
      </c>
      <c r="AQ753" t="s">
        <v>62</v>
      </c>
      <c r="AR753">
        <v>0</v>
      </c>
      <c r="AT753" t="s">
        <v>62</v>
      </c>
      <c r="AU753">
        <v>101</v>
      </c>
    </row>
    <row r="754" spans="3:47" x14ac:dyDescent="0.35">
      <c r="C754" t="s">
        <v>203</v>
      </c>
      <c r="D754">
        <v>0</v>
      </c>
      <c r="G754" t="s">
        <v>203</v>
      </c>
      <c r="H754">
        <v>0</v>
      </c>
      <c r="K754" t="s">
        <v>203</v>
      </c>
      <c r="L754">
        <v>0</v>
      </c>
      <c r="O754" t="s">
        <v>203</v>
      </c>
      <c r="P754">
        <v>0</v>
      </c>
      <c r="S754" t="s">
        <v>203</v>
      </c>
      <c r="T754">
        <v>0</v>
      </c>
      <c r="W754" t="s">
        <v>203</v>
      </c>
      <c r="X754">
        <v>0</v>
      </c>
      <c r="AA754" t="s">
        <v>203</v>
      </c>
      <c r="AB754">
        <v>95</v>
      </c>
      <c r="AE754" t="s">
        <v>203</v>
      </c>
      <c r="AF754">
        <v>0</v>
      </c>
      <c r="AI754" t="s">
        <v>203</v>
      </c>
      <c r="AJ754">
        <v>0</v>
      </c>
      <c r="AM754" t="s">
        <v>203</v>
      </c>
      <c r="AN754">
        <v>0</v>
      </c>
      <c r="AQ754" t="s">
        <v>203</v>
      </c>
      <c r="AR754">
        <v>0</v>
      </c>
      <c r="AT754" t="s">
        <v>64</v>
      </c>
      <c r="AU754">
        <v>152</v>
      </c>
    </row>
    <row r="755" spans="3:47" x14ac:dyDescent="0.35">
      <c r="C755" t="s">
        <v>204</v>
      </c>
      <c r="D755">
        <v>0</v>
      </c>
      <c r="G755" t="s">
        <v>204</v>
      </c>
      <c r="H755">
        <v>0</v>
      </c>
      <c r="K755" t="s">
        <v>204</v>
      </c>
      <c r="L755">
        <v>0</v>
      </c>
      <c r="O755" t="s">
        <v>204</v>
      </c>
      <c r="P755">
        <v>0</v>
      </c>
      <c r="S755" t="s">
        <v>204</v>
      </c>
      <c r="T755">
        <v>0</v>
      </c>
      <c r="W755" t="s">
        <v>204</v>
      </c>
      <c r="X755">
        <v>0</v>
      </c>
      <c r="AA755" t="s">
        <v>204</v>
      </c>
      <c r="AB755">
        <v>0</v>
      </c>
      <c r="AE755" t="s">
        <v>204</v>
      </c>
      <c r="AF755">
        <v>0</v>
      </c>
      <c r="AI755" t="s">
        <v>204</v>
      </c>
      <c r="AJ755">
        <v>0</v>
      </c>
      <c r="AM755" t="s">
        <v>204</v>
      </c>
      <c r="AN755">
        <v>0</v>
      </c>
      <c r="AQ755" t="s">
        <v>204</v>
      </c>
      <c r="AR755">
        <v>0</v>
      </c>
      <c r="AT755" t="s">
        <v>65</v>
      </c>
      <c r="AU755">
        <v>226</v>
      </c>
    </row>
    <row r="756" spans="3:47" x14ac:dyDescent="0.35">
      <c r="C756" t="s">
        <v>205</v>
      </c>
      <c r="D756">
        <v>0</v>
      </c>
      <c r="G756" t="s">
        <v>205</v>
      </c>
      <c r="H756">
        <v>0</v>
      </c>
      <c r="K756" t="s">
        <v>205</v>
      </c>
      <c r="L756">
        <v>0</v>
      </c>
      <c r="O756" t="s">
        <v>205</v>
      </c>
      <c r="P756">
        <v>0</v>
      </c>
      <c r="S756" t="s">
        <v>205</v>
      </c>
      <c r="T756">
        <v>0</v>
      </c>
      <c r="W756" t="s">
        <v>205</v>
      </c>
      <c r="X756">
        <v>0</v>
      </c>
      <c r="AA756" t="s">
        <v>205</v>
      </c>
      <c r="AB756">
        <v>0</v>
      </c>
      <c r="AE756" t="s">
        <v>205</v>
      </c>
      <c r="AF756">
        <v>0</v>
      </c>
      <c r="AI756" t="s">
        <v>205</v>
      </c>
      <c r="AJ756">
        <v>0</v>
      </c>
      <c r="AM756" t="s">
        <v>205</v>
      </c>
      <c r="AN756">
        <v>0</v>
      </c>
      <c r="AQ756" t="s">
        <v>205</v>
      </c>
      <c r="AR756">
        <v>6</v>
      </c>
      <c r="AT756" t="s">
        <v>66</v>
      </c>
      <c r="AU756">
        <v>11</v>
      </c>
    </row>
    <row r="757" spans="3:47" x14ac:dyDescent="0.35">
      <c r="C757" t="s">
        <v>133</v>
      </c>
      <c r="D757">
        <v>0</v>
      </c>
      <c r="G757" t="s">
        <v>133</v>
      </c>
      <c r="H757">
        <v>0</v>
      </c>
      <c r="K757" t="s">
        <v>133</v>
      </c>
      <c r="L757">
        <v>0</v>
      </c>
      <c r="O757" t="s">
        <v>133</v>
      </c>
      <c r="P757">
        <v>0</v>
      </c>
      <c r="S757" t="s">
        <v>133</v>
      </c>
      <c r="T757">
        <v>0</v>
      </c>
      <c r="W757" t="s">
        <v>133</v>
      </c>
      <c r="X757">
        <v>0</v>
      </c>
      <c r="AA757" t="s">
        <v>133</v>
      </c>
      <c r="AB757">
        <v>432</v>
      </c>
      <c r="AE757" t="s">
        <v>133</v>
      </c>
      <c r="AF757">
        <v>0</v>
      </c>
      <c r="AI757" t="s">
        <v>133</v>
      </c>
      <c r="AJ757">
        <v>0</v>
      </c>
      <c r="AM757" t="s">
        <v>133</v>
      </c>
      <c r="AN757">
        <v>0</v>
      </c>
      <c r="AQ757" t="s">
        <v>133</v>
      </c>
      <c r="AR757">
        <v>0</v>
      </c>
      <c r="AT757" t="s">
        <v>79</v>
      </c>
      <c r="AU757">
        <v>191</v>
      </c>
    </row>
    <row r="758" spans="3:47" x14ac:dyDescent="0.35">
      <c r="C758" t="s">
        <v>206</v>
      </c>
      <c r="D758">
        <v>0</v>
      </c>
      <c r="G758" t="s">
        <v>206</v>
      </c>
      <c r="H758">
        <v>0</v>
      </c>
      <c r="K758" t="s">
        <v>206</v>
      </c>
      <c r="L758">
        <v>0</v>
      </c>
      <c r="O758" t="s">
        <v>206</v>
      </c>
      <c r="P758">
        <v>0</v>
      </c>
      <c r="S758" t="s">
        <v>206</v>
      </c>
      <c r="T758">
        <v>0</v>
      </c>
      <c r="W758" t="s">
        <v>206</v>
      </c>
      <c r="X758">
        <v>0</v>
      </c>
      <c r="AA758" t="s">
        <v>206</v>
      </c>
      <c r="AB758">
        <v>439</v>
      </c>
      <c r="AE758" t="s">
        <v>206</v>
      </c>
      <c r="AF758">
        <v>0</v>
      </c>
      <c r="AI758" t="s">
        <v>206</v>
      </c>
      <c r="AJ758">
        <v>0</v>
      </c>
      <c r="AM758" t="s">
        <v>206</v>
      </c>
      <c r="AN758">
        <v>0</v>
      </c>
      <c r="AQ758" t="s">
        <v>206</v>
      </c>
      <c r="AR758">
        <v>0</v>
      </c>
      <c r="AT758" t="s">
        <v>68</v>
      </c>
      <c r="AU758">
        <v>0</v>
      </c>
    </row>
    <row r="759" spans="3:47" x14ac:dyDescent="0.35">
      <c r="C759" t="s">
        <v>136</v>
      </c>
      <c r="D759">
        <v>0</v>
      </c>
      <c r="G759" t="s">
        <v>136</v>
      </c>
      <c r="H759">
        <v>0</v>
      </c>
      <c r="K759" t="s">
        <v>136</v>
      </c>
      <c r="L759">
        <v>0</v>
      </c>
      <c r="O759" t="s">
        <v>136</v>
      </c>
      <c r="P759">
        <v>0</v>
      </c>
      <c r="S759" t="s">
        <v>136</v>
      </c>
      <c r="T759">
        <v>0</v>
      </c>
      <c r="W759" t="s">
        <v>136</v>
      </c>
      <c r="X759">
        <v>0</v>
      </c>
      <c r="AA759" t="s">
        <v>136</v>
      </c>
      <c r="AB759">
        <v>0</v>
      </c>
      <c r="AE759" t="s">
        <v>136</v>
      </c>
      <c r="AF759">
        <v>0</v>
      </c>
      <c r="AI759" t="s">
        <v>136</v>
      </c>
      <c r="AJ759">
        <v>0</v>
      </c>
      <c r="AM759" t="s">
        <v>136</v>
      </c>
      <c r="AN759">
        <v>0</v>
      </c>
      <c r="AQ759" t="s">
        <v>136</v>
      </c>
      <c r="AR759">
        <v>0</v>
      </c>
      <c r="AT759" t="s">
        <v>69</v>
      </c>
      <c r="AU759">
        <v>82</v>
      </c>
    </row>
    <row r="760" spans="3:47" x14ac:dyDescent="0.35">
      <c r="C760" t="s">
        <v>207</v>
      </c>
      <c r="D760">
        <v>0</v>
      </c>
      <c r="G760" t="s">
        <v>207</v>
      </c>
      <c r="H760">
        <v>0</v>
      </c>
      <c r="K760" t="s">
        <v>207</v>
      </c>
      <c r="L760">
        <v>0</v>
      </c>
      <c r="O760" t="s">
        <v>207</v>
      </c>
      <c r="P760">
        <v>0</v>
      </c>
      <c r="S760" t="s">
        <v>207</v>
      </c>
      <c r="T760">
        <v>0</v>
      </c>
      <c r="W760" t="s">
        <v>207</v>
      </c>
      <c r="X760">
        <v>0</v>
      </c>
      <c r="AA760" t="s">
        <v>207</v>
      </c>
      <c r="AB760">
        <v>0</v>
      </c>
      <c r="AE760" t="s">
        <v>207</v>
      </c>
      <c r="AF760">
        <v>0</v>
      </c>
      <c r="AI760" t="s">
        <v>207</v>
      </c>
      <c r="AJ760">
        <v>0</v>
      </c>
      <c r="AM760" t="s">
        <v>207</v>
      </c>
      <c r="AN760">
        <v>0</v>
      </c>
      <c r="AQ760" t="s">
        <v>207</v>
      </c>
      <c r="AR760">
        <v>0</v>
      </c>
      <c r="AT760" t="s">
        <v>70</v>
      </c>
      <c r="AU760">
        <v>22</v>
      </c>
    </row>
    <row r="761" spans="3:47" x14ac:dyDescent="0.35">
      <c r="C761" t="s">
        <v>141</v>
      </c>
      <c r="D761">
        <v>0</v>
      </c>
      <c r="G761" t="s">
        <v>141</v>
      </c>
      <c r="H761">
        <v>0</v>
      </c>
      <c r="K761" t="s">
        <v>141</v>
      </c>
      <c r="L761">
        <v>0</v>
      </c>
      <c r="O761" t="s">
        <v>141</v>
      </c>
      <c r="P761">
        <v>0</v>
      </c>
      <c r="S761" t="s">
        <v>141</v>
      </c>
      <c r="T761">
        <v>0</v>
      </c>
      <c r="W761" t="s">
        <v>141</v>
      </c>
      <c r="X761">
        <v>0</v>
      </c>
      <c r="AA761" t="s">
        <v>141</v>
      </c>
      <c r="AB761">
        <v>0</v>
      </c>
      <c r="AE761" t="s">
        <v>141</v>
      </c>
      <c r="AF761">
        <v>0</v>
      </c>
      <c r="AI761" t="s">
        <v>141</v>
      </c>
      <c r="AJ761">
        <v>0</v>
      </c>
      <c r="AM761" t="s">
        <v>141</v>
      </c>
      <c r="AN761">
        <v>0</v>
      </c>
      <c r="AQ761" t="s">
        <v>141</v>
      </c>
      <c r="AR761">
        <v>0</v>
      </c>
      <c r="AT761" t="s">
        <v>76</v>
      </c>
      <c r="AU761">
        <v>0</v>
      </c>
    </row>
    <row r="762" spans="3:47" x14ac:dyDescent="0.35">
      <c r="C762" t="s">
        <v>208</v>
      </c>
      <c r="D762">
        <v>0</v>
      </c>
      <c r="G762" t="s">
        <v>208</v>
      </c>
      <c r="H762">
        <v>0</v>
      </c>
      <c r="K762" t="s">
        <v>208</v>
      </c>
      <c r="L762">
        <v>0</v>
      </c>
      <c r="O762" t="s">
        <v>208</v>
      </c>
      <c r="P762">
        <v>0</v>
      </c>
      <c r="S762" t="s">
        <v>208</v>
      </c>
      <c r="T762">
        <v>0</v>
      </c>
      <c r="W762" t="s">
        <v>208</v>
      </c>
      <c r="X762">
        <v>0</v>
      </c>
      <c r="AA762" t="s">
        <v>208</v>
      </c>
      <c r="AB762">
        <v>0</v>
      </c>
      <c r="AE762" t="s">
        <v>208</v>
      </c>
      <c r="AF762">
        <v>0</v>
      </c>
      <c r="AI762" t="s">
        <v>208</v>
      </c>
      <c r="AJ762">
        <v>0</v>
      </c>
      <c r="AM762" t="s">
        <v>208</v>
      </c>
      <c r="AN762">
        <v>0</v>
      </c>
      <c r="AQ762" t="s">
        <v>208</v>
      </c>
      <c r="AR762">
        <v>0</v>
      </c>
      <c r="AT762" t="s">
        <v>77</v>
      </c>
      <c r="AU762">
        <v>542</v>
      </c>
    </row>
    <row r="763" spans="3:47" x14ac:dyDescent="0.35">
      <c r="C763" t="s">
        <v>209</v>
      </c>
      <c r="D763">
        <v>0</v>
      </c>
      <c r="G763" t="s">
        <v>209</v>
      </c>
      <c r="H763">
        <v>0</v>
      </c>
      <c r="K763" t="s">
        <v>209</v>
      </c>
      <c r="L763">
        <v>0</v>
      </c>
      <c r="O763" t="s">
        <v>209</v>
      </c>
      <c r="P763">
        <v>0</v>
      </c>
      <c r="S763" t="s">
        <v>209</v>
      </c>
      <c r="T763">
        <v>0</v>
      </c>
      <c r="W763" t="s">
        <v>209</v>
      </c>
      <c r="X763">
        <v>0</v>
      </c>
      <c r="AA763" t="s">
        <v>209</v>
      </c>
      <c r="AB763">
        <v>249</v>
      </c>
      <c r="AE763" t="s">
        <v>209</v>
      </c>
      <c r="AF763">
        <v>0</v>
      </c>
      <c r="AI763" t="s">
        <v>209</v>
      </c>
      <c r="AJ763">
        <v>0</v>
      </c>
      <c r="AM763" t="s">
        <v>209</v>
      </c>
      <c r="AN763">
        <v>0</v>
      </c>
      <c r="AQ763" t="s">
        <v>209</v>
      </c>
      <c r="AR763">
        <v>0</v>
      </c>
      <c r="AT763" t="s">
        <v>78</v>
      </c>
      <c r="AU763">
        <v>462</v>
      </c>
    </row>
    <row r="764" spans="3:47" x14ac:dyDescent="0.35">
      <c r="C764" t="s">
        <v>134</v>
      </c>
      <c r="D764">
        <v>0</v>
      </c>
      <c r="G764" t="s">
        <v>134</v>
      </c>
      <c r="H764">
        <v>0</v>
      </c>
      <c r="K764" t="s">
        <v>134</v>
      </c>
      <c r="L764">
        <v>0</v>
      </c>
      <c r="O764" t="s">
        <v>134</v>
      </c>
      <c r="P764">
        <v>0</v>
      </c>
      <c r="S764" t="s">
        <v>134</v>
      </c>
      <c r="T764">
        <v>0</v>
      </c>
      <c r="W764" t="s">
        <v>134</v>
      </c>
      <c r="X764">
        <v>0</v>
      </c>
      <c r="AA764" t="s">
        <v>134</v>
      </c>
      <c r="AB764">
        <v>0</v>
      </c>
      <c r="AE764" t="s">
        <v>134</v>
      </c>
      <c r="AF764">
        <v>0</v>
      </c>
      <c r="AI764" t="s">
        <v>134</v>
      </c>
      <c r="AJ764">
        <v>0</v>
      </c>
      <c r="AM764" t="s">
        <v>134</v>
      </c>
      <c r="AN764">
        <v>0</v>
      </c>
      <c r="AQ764" t="s">
        <v>134</v>
      </c>
      <c r="AR764">
        <v>418</v>
      </c>
      <c r="AT764" t="s">
        <v>67</v>
      </c>
      <c r="AU764">
        <v>432</v>
      </c>
    </row>
    <row r="765" spans="3:47" x14ac:dyDescent="0.35">
      <c r="C765" t="s">
        <v>142</v>
      </c>
      <c r="D765">
        <v>0</v>
      </c>
      <c r="G765" t="s">
        <v>142</v>
      </c>
      <c r="H765">
        <v>0</v>
      </c>
      <c r="K765" t="s">
        <v>142</v>
      </c>
      <c r="L765">
        <v>0</v>
      </c>
      <c r="O765" t="s">
        <v>142</v>
      </c>
      <c r="P765">
        <v>0</v>
      </c>
      <c r="S765" t="s">
        <v>142</v>
      </c>
      <c r="T765">
        <v>0</v>
      </c>
      <c r="W765" t="s">
        <v>142</v>
      </c>
      <c r="X765">
        <v>0</v>
      </c>
      <c r="AA765" t="s">
        <v>142</v>
      </c>
      <c r="AB765">
        <v>0</v>
      </c>
      <c r="AE765" t="s">
        <v>142</v>
      </c>
      <c r="AF765">
        <v>0</v>
      </c>
      <c r="AI765" t="s">
        <v>142</v>
      </c>
      <c r="AJ765">
        <v>0</v>
      </c>
      <c r="AM765" t="s">
        <v>142</v>
      </c>
      <c r="AN765">
        <v>0</v>
      </c>
      <c r="AQ765" t="s">
        <v>142</v>
      </c>
      <c r="AR765">
        <v>1592</v>
      </c>
      <c r="AT765" t="s">
        <v>80</v>
      </c>
      <c r="AU765">
        <v>598</v>
      </c>
    </row>
    <row r="766" spans="3:47" x14ac:dyDescent="0.35">
      <c r="C766" t="s">
        <v>83</v>
      </c>
      <c r="D766">
        <v>0</v>
      </c>
      <c r="G766" t="s">
        <v>83</v>
      </c>
      <c r="H766">
        <v>0</v>
      </c>
      <c r="K766" t="s">
        <v>83</v>
      </c>
      <c r="L766">
        <v>0</v>
      </c>
      <c r="O766" t="s">
        <v>83</v>
      </c>
      <c r="P766">
        <v>0</v>
      </c>
      <c r="S766" t="s">
        <v>83</v>
      </c>
      <c r="T766">
        <v>0</v>
      </c>
      <c r="W766" t="s">
        <v>83</v>
      </c>
      <c r="X766">
        <v>0</v>
      </c>
      <c r="AA766" t="s">
        <v>83</v>
      </c>
      <c r="AB766">
        <v>0</v>
      </c>
      <c r="AE766" t="s">
        <v>83</v>
      </c>
      <c r="AF766">
        <v>0</v>
      </c>
      <c r="AI766" t="s">
        <v>83</v>
      </c>
      <c r="AJ766">
        <v>0</v>
      </c>
      <c r="AM766" t="s">
        <v>83</v>
      </c>
      <c r="AN766">
        <v>0</v>
      </c>
      <c r="AQ766" t="s">
        <v>83</v>
      </c>
      <c r="AR766">
        <v>0</v>
      </c>
      <c r="AT766" t="s">
        <v>83</v>
      </c>
      <c r="AU766">
        <v>0</v>
      </c>
    </row>
    <row r="767" spans="3:47" x14ac:dyDescent="0.35">
      <c r="C767" t="s">
        <v>84</v>
      </c>
      <c r="D767">
        <v>0</v>
      </c>
      <c r="G767" t="s">
        <v>84</v>
      </c>
      <c r="H767">
        <v>0</v>
      </c>
      <c r="K767" t="s">
        <v>84</v>
      </c>
      <c r="L767">
        <v>0</v>
      </c>
      <c r="O767" t="s">
        <v>84</v>
      </c>
      <c r="P767">
        <v>0</v>
      </c>
      <c r="S767" t="s">
        <v>84</v>
      </c>
      <c r="T767">
        <v>0</v>
      </c>
      <c r="W767" t="s">
        <v>84</v>
      </c>
      <c r="X767">
        <v>0</v>
      </c>
      <c r="AA767" t="s">
        <v>84</v>
      </c>
      <c r="AB767">
        <v>0</v>
      </c>
      <c r="AE767" t="s">
        <v>84</v>
      </c>
      <c r="AF767">
        <v>0</v>
      </c>
      <c r="AI767" t="s">
        <v>84</v>
      </c>
      <c r="AJ767">
        <v>0</v>
      </c>
      <c r="AM767" t="s">
        <v>84</v>
      </c>
      <c r="AN767">
        <v>0</v>
      </c>
      <c r="AQ767" t="s">
        <v>84</v>
      </c>
      <c r="AR767">
        <v>0</v>
      </c>
      <c r="AT767" t="s">
        <v>84</v>
      </c>
      <c r="AU767">
        <v>0</v>
      </c>
    </row>
    <row r="768" spans="3:47" x14ac:dyDescent="0.35">
      <c r="C768" t="s">
        <v>126</v>
      </c>
      <c r="D768">
        <v>0</v>
      </c>
      <c r="G768" t="s">
        <v>126</v>
      </c>
      <c r="H768">
        <v>0</v>
      </c>
      <c r="K768" t="s">
        <v>223</v>
      </c>
      <c r="L768">
        <v>0</v>
      </c>
      <c r="O768" t="s">
        <v>126</v>
      </c>
      <c r="P768">
        <v>0</v>
      </c>
      <c r="S768" t="s">
        <v>126</v>
      </c>
      <c r="T768">
        <v>0</v>
      </c>
      <c r="W768" t="s">
        <v>126</v>
      </c>
      <c r="X768">
        <v>0</v>
      </c>
      <c r="AA768" t="s">
        <v>126</v>
      </c>
      <c r="AB768">
        <v>0</v>
      </c>
      <c r="AE768" t="s">
        <v>126</v>
      </c>
      <c r="AF768">
        <v>0</v>
      </c>
      <c r="AI768" t="s">
        <v>126</v>
      </c>
      <c r="AJ768">
        <v>0</v>
      </c>
      <c r="AM768" t="s">
        <v>126</v>
      </c>
      <c r="AN768">
        <v>0</v>
      </c>
      <c r="AQ768" t="s">
        <v>126</v>
      </c>
      <c r="AR768">
        <v>0</v>
      </c>
      <c r="AT768" t="s">
        <v>86</v>
      </c>
      <c r="AU768">
        <v>0</v>
      </c>
    </row>
    <row r="769" spans="1:47" x14ac:dyDescent="0.35">
      <c r="C769" t="s">
        <v>87</v>
      </c>
      <c r="D769">
        <v>0</v>
      </c>
      <c r="G769" t="s">
        <v>87</v>
      </c>
      <c r="H769">
        <v>0</v>
      </c>
      <c r="K769" t="s">
        <v>87</v>
      </c>
      <c r="L769">
        <v>0</v>
      </c>
      <c r="O769" t="s">
        <v>87</v>
      </c>
      <c r="P769">
        <v>0</v>
      </c>
      <c r="S769" t="s">
        <v>87</v>
      </c>
      <c r="T769">
        <v>0</v>
      </c>
      <c r="W769" t="s">
        <v>87</v>
      </c>
      <c r="X769">
        <v>0</v>
      </c>
      <c r="AA769" t="s">
        <v>87</v>
      </c>
      <c r="AB769">
        <v>0</v>
      </c>
      <c r="AE769" t="s">
        <v>87</v>
      </c>
      <c r="AF769">
        <v>0</v>
      </c>
      <c r="AI769" t="s">
        <v>87</v>
      </c>
      <c r="AJ769">
        <v>0</v>
      </c>
      <c r="AM769" t="s">
        <v>87</v>
      </c>
      <c r="AN769">
        <v>0</v>
      </c>
      <c r="AQ769" t="s">
        <v>87</v>
      </c>
      <c r="AR769">
        <v>0</v>
      </c>
      <c r="AT769" t="s">
        <v>87</v>
      </c>
      <c r="AU769">
        <v>0</v>
      </c>
    </row>
    <row r="770" spans="1:47" x14ac:dyDescent="0.35">
      <c r="A770" t="s">
        <v>156</v>
      </c>
      <c r="B770">
        <v>170075931.5</v>
      </c>
      <c r="C770" t="s">
        <v>135</v>
      </c>
      <c r="D770">
        <v>144</v>
      </c>
      <c r="E770" t="s">
        <v>156</v>
      </c>
      <c r="F770">
        <v>174726123.50000006</v>
      </c>
      <c r="G770" t="s">
        <v>135</v>
      </c>
      <c r="H770">
        <v>131518</v>
      </c>
      <c r="I770" t="s">
        <v>156</v>
      </c>
      <c r="J770">
        <v>179379016.5</v>
      </c>
      <c r="K770" t="s">
        <v>135</v>
      </c>
      <c r="L770">
        <v>2281</v>
      </c>
      <c r="M770" t="s">
        <v>156</v>
      </c>
      <c r="N770">
        <v>183995784.49999991</v>
      </c>
      <c r="O770" t="s">
        <v>135</v>
      </c>
      <c r="P770">
        <v>0</v>
      </c>
      <c r="Q770" t="s">
        <v>156</v>
      </c>
      <c r="R770">
        <v>188666930.99999988</v>
      </c>
      <c r="S770" t="s">
        <v>135</v>
      </c>
      <c r="T770">
        <v>167130</v>
      </c>
      <c r="U770" t="s">
        <v>156</v>
      </c>
      <c r="V770">
        <v>193495906.50000003</v>
      </c>
      <c r="W770" t="s">
        <v>135</v>
      </c>
      <c r="X770">
        <v>0</v>
      </c>
      <c r="Y770" t="s">
        <v>156</v>
      </c>
      <c r="Z770">
        <v>198387623.50000006</v>
      </c>
      <c r="AA770" t="s">
        <v>135</v>
      </c>
      <c r="AB770">
        <v>149976</v>
      </c>
      <c r="AC770" t="s">
        <v>156</v>
      </c>
      <c r="AD770">
        <v>203304491.50000006</v>
      </c>
      <c r="AE770" t="s">
        <v>135</v>
      </c>
      <c r="AF770">
        <v>159688</v>
      </c>
      <c r="AG770" t="s">
        <v>156</v>
      </c>
      <c r="AH770">
        <v>208327404.49999994</v>
      </c>
      <c r="AI770" t="s">
        <v>135</v>
      </c>
      <c r="AJ770">
        <v>0</v>
      </c>
      <c r="AK770" t="s">
        <v>156</v>
      </c>
      <c r="AL770">
        <v>213401322.49999997</v>
      </c>
      <c r="AM770" t="s">
        <v>135</v>
      </c>
      <c r="AN770">
        <v>168695</v>
      </c>
      <c r="AO770" t="s">
        <v>156</v>
      </c>
      <c r="AP770">
        <v>218541211.50000003</v>
      </c>
      <c r="AQ770" t="s">
        <v>135</v>
      </c>
      <c r="AR770">
        <v>172576</v>
      </c>
      <c r="AS770" t="s">
        <v>156</v>
      </c>
      <c r="AT770" t="s">
        <v>148</v>
      </c>
      <c r="AU770">
        <v>83907</v>
      </c>
    </row>
    <row r="771" spans="1:47" x14ac:dyDescent="0.35">
      <c r="C771" t="s">
        <v>139</v>
      </c>
      <c r="D771">
        <v>0</v>
      </c>
      <c r="G771" t="s">
        <v>139</v>
      </c>
      <c r="H771">
        <v>149840</v>
      </c>
      <c r="K771" t="s">
        <v>139</v>
      </c>
      <c r="L771">
        <v>0</v>
      </c>
      <c r="O771" t="s">
        <v>139</v>
      </c>
      <c r="P771">
        <v>0</v>
      </c>
      <c r="S771" t="s">
        <v>139</v>
      </c>
      <c r="T771">
        <v>370202</v>
      </c>
      <c r="W771" t="s">
        <v>139</v>
      </c>
      <c r="X771">
        <v>0</v>
      </c>
      <c r="AA771" t="s">
        <v>139</v>
      </c>
      <c r="AB771">
        <v>220210</v>
      </c>
      <c r="AE771" t="s">
        <v>139</v>
      </c>
      <c r="AF771">
        <v>361418</v>
      </c>
      <c r="AI771" t="s">
        <v>139</v>
      </c>
      <c r="AJ771">
        <v>0</v>
      </c>
      <c r="AM771" t="s">
        <v>139</v>
      </c>
      <c r="AN771">
        <v>535392</v>
      </c>
      <c r="AQ771" t="s">
        <v>139</v>
      </c>
      <c r="AR771">
        <v>441362</v>
      </c>
      <c r="AT771" t="s">
        <v>139</v>
      </c>
      <c r="AU771">
        <v>180709</v>
      </c>
    </row>
    <row r="772" spans="1:47" x14ac:dyDescent="0.35">
      <c r="C772" t="s">
        <v>138</v>
      </c>
      <c r="D772">
        <v>0</v>
      </c>
      <c r="G772" t="s">
        <v>138</v>
      </c>
      <c r="H772">
        <v>202550</v>
      </c>
      <c r="K772" t="s">
        <v>138</v>
      </c>
      <c r="L772">
        <v>0</v>
      </c>
      <c r="O772" t="s">
        <v>138</v>
      </c>
      <c r="P772">
        <v>0</v>
      </c>
      <c r="S772" t="s">
        <v>138</v>
      </c>
      <c r="T772">
        <v>282550</v>
      </c>
      <c r="W772" t="s">
        <v>138</v>
      </c>
      <c r="X772">
        <v>0</v>
      </c>
      <c r="AA772" t="s">
        <v>138</v>
      </c>
      <c r="AB772">
        <v>142474</v>
      </c>
      <c r="AE772" t="s">
        <v>138</v>
      </c>
      <c r="AF772">
        <v>241740</v>
      </c>
      <c r="AI772" t="s">
        <v>138</v>
      </c>
      <c r="AJ772">
        <v>0</v>
      </c>
      <c r="AM772" t="s">
        <v>138</v>
      </c>
      <c r="AN772">
        <v>263844</v>
      </c>
      <c r="AQ772" t="s">
        <v>138</v>
      </c>
      <c r="AR772">
        <v>293574</v>
      </c>
      <c r="AT772" t="s">
        <v>138</v>
      </c>
      <c r="AU772">
        <v>120870</v>
      </c>
    </row>
    <row r="773" spans="1:47" x14ac:dyDescent="0.35">
      <c r="C773" t="s">
        <v>82</v>
      </c>
      <c r="D773">
        <v>0</v>
      </c>
      <c r="G773" t="s">
        <v>82</v>
      </c>
      <c r="H773">
        <v>0</v>
      </c>
      <c r="K773" t="s">
        <v>82</v>
      </c>
      <c r="L773">
        <v>0</v>
      </c>
      <c r="O773" t="s">
        <v>82</v>
      </c>
      <c r="P773">
        <v>0</v>
      </c>
      <c r="S773" t="s">
        <v>82</v>
      </c>
      <c r="T773">
        <v>459</v>
      </c>
      <c r="W773" t="s">
        <v>82</v>
      </c>
      <c r="X773">
        <v>571</v>
      </c>
      <c r="AA773" t="s">
        <v>82</v>
      </c>
      <c r="AB773">
        <v>105</v>
      </c>
      <c r="AE773" t="s">
        <v>82</v>
      </c>
      <c r="AF773">
        <v>0</v>
      </c>
      <c r="AI773" t="s">
        <v>82</v>
      </c>
      <c r="AJ773">
        <v>588</v>
      </c>
      <c r="AM773" t="s">
        <v>82</v>
      </c>
      <c r="AN773">
        <v>419</v>
      </c>
      <c r="AQ773" t="s">
        <v>82</v>
      </c>
      <c r="AR773">
        <v>1332</v>
      </c>
      <c r="AT773" t="s">
        <v>82</v>
      </c>
      <c r="AU773">
        <v>24668</v>
      </c>
    </row>
    <row r="774" spans="1:47" x14ac:dyDescent="0.35">
      <c r="C774" t="s">
        <v>60</v>
      </c>
      <c r="D774">
        <v>0</v>
      </c>
      <c r="G774" t="s">
        <v>60</v>
      </c>
      <c r="H774">
        <v>0</v>
      </c>
      <c r="K774" t="s">
        <v>60</v>
      </c>
      <c r="L774">
        <v>0</v>
      </c>
      <c r="O774" t="s">
        <v>60</v>
      </c>
      <c r="P774">
        <v>0</v>
      </c>
      <c r="S774" t="s">
        <v>60</v>
      </c>
      <c r="T774">
        <v>56</v>
      </c>
      <c r="W774" t="s">
        <v>60</v>
      </c>
      <c r="X774">
        <v>115</v>
      </c>
      <c r="AA774" t="s">
        <v>60</v>
      </c>
      <c r="AB774">
        <v>0</v>
      </c>
      <c r="AE774" t="s">
        <v>60</v>
      </c>
      <c r="AF774">
        <v>0</v>
      </c>
      <c r="AI774" t="s">
        <v>60</v>
      </c>
      <c r="AJ774">
        <v>230</v>
      </c>
      <c r="AM774" t="s">
        <v>60</v>
      </c>
      <c r="AN774">
        <v>30</v>
      </c>
      <c r="AQ774" t="s">
        <v>60</v>
      </c>
      <c r="AR774">
        <v>416</v>
      </c>
      <c r="AT774" t="s">
        <v>60</v>
      </c>
      <c r="AU774">
        <v>25487</v>
      </c>
    </row>
    <row r="775" spans="1:47" x14ac:dyDescent="0.35">
      <c r="C775" t="s">
        <v>127</v>
      </c>
      <c r="D775">
        <v>0</v>
      </c>
      <c r="G775" t="s">
        <v>127</v>
      </c>
      <c r="H775">
        <v>0</v>
      </c>
      <c r="K775" t="s">
        <v>127</v>
      </c>
      <c r="L775">
        <v>0</v>
      </c>
      <c r="O775" t="s">
        <v>127</v>
      </c>
      <c r="P775">
        <v>0</v>
      </c>
      <c r="S775" t="s">
        <v>127</v>
      </c>
      <c r="T775">
        <v>0</v>
      </c>
      <c r="W775" t="s">
        <v>127</v>
      </c>
      <c r="X775">
        <v>0</v>
      </c>
      <c r="AA775" t="s">
        <v>127</v>
      </c>
      <c r="AB775">
        <v>116454</v>
      </c>
      <c r="AE775" t="s">
        <v>127</v>
      </c>
      <c r="AF775">
        <v>116454</v>
      </c>
      <c r="AI775" t="s">
        <v>127</v>
      </c>
      <c r="AJ775">
        <v>0</v>
      </c>
      <c r="AM775" t="s">
        <v>127</v>
      </c>
      <c r="AN775">
        <v>7912</v>
      </c>
      <c r="AQ775" t="s">
        <v>127</v>
      </c>
      <c r="AR775">
        <v>154477</v>
      </c>
      <c r="AT775" t="s">
        <v>58</v>
      </c>
      <c r="AU775">
        <v>116454</v>
      </c>
    </row>
    <row r="776" spans="1:47" x14ac:dyDescent="0.35">
      <c r="C776" t="s">
        <v>61</v>
      </c>
      <c r="D776">
        <v>0</v>
      </c>
      <c r="G776" t="s">
        <v>61</v>
      </c>
      <c r="H776">
        <v>0</v>
      </c>
      <c r="K776" t="s">
        <v>61</v>
      </c>
      <c r="L776">
        <v>0</v>
      </c>
      <c r="O776" t="s">
        <v>61</v>
      </c>
      <c r="P776">
        <v>0</v>
      </c>
      <c r="S776" t="s">
        <v>61</v>
      </c>
      <c r="T776">
        <v>44</v>
      </c>
      <c r="W776" t="s">
        <v>61</v>
      </c>
      <c r="X776">
        <v>48</v>
      </c>
      <c r="AA776" t="s">
        <v>61</v>
      </c>
      <c r="AB776">
        <v>7</v>
      </c>
      <c r="AE776" t="s">
        <v>61</v>
      </c>
      <c r="AF776">
        <v>0</v>
      </c>
      <c r="AI776" t="s">
        <v>61</v>
      </c>
      <c r="AJ776">
        <v>71</v>
      </c>
      <c r="AM776" t="s">
        <v>61</v>
      </c>
      <c r="AN776">
        <v>77</v>
      </c>
      <c r="AQ776" t="s">
        <v>61</v>
      </c>
      <c r="AR776">
        <v>0</v>
      </c>
      <c r="AT776" t="s">
        <v>61</v>
      </c>
      <c r="AU776">
        <v>0</v>
      </c>
    </row>
    <row r="777" spans="1:47" x14ac:dyDescent="0.35">
      <c r="C777" t="s">
        <v>62</v>
      </c>
      <c r="D777">
        <v>0</v>
      </c>
      <c r="G777" t="s">
        <v>62</v>
      </c>
      <c r="H777">
        <v>0</v>
      </c>
      <c r="K777" t="s">
        <v>62</v>
      </c>
      <c r="L777">
        <v>0</v>
      </c>
      <c r="O777" t="s">
        <v>62</v>
      </c>
      <c r="P777">
        <v>0</v>
      </c>
      <c r="S777" t="s">
        <v>62</v>
      </c>
      <c r="T777">
        <v>311</v>
      </c>
      <c r="W777" t="s">
        <v>62</v>
      </c>
      <c r="X777">
        <v>0</v>
      </c>
      <c r="AA777" t="s">
        <v>62</v>
      </c>
      <c r="AB777">
        <v>0</v>
      </c>
      <c r="AE777" t="s">
        <v>62</v>
      </c>
      <c r="AF777">
        <v>0</v>
      </c>
      <c r="AI777" t="s">
        <v>62</v>
      </c>
      <c r="AJ777">
        <v>0</v>
      </c>
      <c r="AM777" t="s">
        <v>62</v>
      </c>
      <c r="AN777">
        <v>0</v>
      </c>
      <c r="AQ777" t="s">
        <v>62</v>
      </c>
      <c r="AR777">
        <v>0</v>
      </c>
      <c r="AT777" t="s">
        <v>62</v>
      </c>
      <c r="AU777">
        <v>14645</v>
      </c>
    </row>
    <row r="778" spans="1:47" x14ac:dyDescent="0.35">
      <c r="C778" t="s">
        <v>203</v>
      </c>
      <c r="D778">
        <v>0</v>
      </c>
      <c r="G778" t="s">
        <v>203</v>
      </c>
      <c r="H778">
        <v>0</v>
      </c>
      <c r="K778" t="s">
        <v>203</v>
      </c>
      <c r="L778">
        <v>0</v>
      </c>
      <c r="O778" t="s">
        <v>203</v>
      </c>
      <c r="P778">
        <v>0</v>
      </c>
      <c r="S778" t="s">
        <v>203</v>
      </c>
      <c r="T778">
        <v>0</v>
      </c>
      <c r="W778" t="s">
        <v>203</v>
      </c>
      <c r="X778">
        <v>0</v>
      </c>
      <c r="AA778" t="s">
        <v>203</v>
      </c>
      <c r="AB778">
        <v>0</v>
      </c>
      <c r="AE778" t="s">
        <v>203</v>
      </c>
      <c r="AF778">
        <v>0</v>
      </c>
      <c r="AI778" t="s">
        <v>203</v>
      </c>
      <c r="AJ778">
        <v>0</v>
      </c>
      <c r="AM778" t="s">
        <v>203</v>
      </c>
      <c r="AN778">
        <v>0</v>
      </c>
      <c r="AQ778" t="s">
        <v>203</v>
      </c>
      <c r="AR778">
        <v>0</v>
      </c>
      <c r="AT778" t="s">
        <v>64</v>
      </c>
      <c r="AU778">
        <v>0</v>
      </c>
    </row>
    <row r="779" spans="1:47" x14ac:dyDescent="0.35">
      <c r="C779" t="s">
        <v>204</v>
      </c>
      <c r="D779">
        <v>0</v>
      </c>
      <c r="G779" t="s">
        <v>204</v>
      </c>
      <c r="H779">
        <v>0</v>
      </c>
      <c r="K779" t="s">
        <v>204</v>
      </c>
      <c r="L779">
        <v>0</v>
      </c>
      <c r="O779" t="s">
        <v>204</v>
      </c>
      <c r="P779">
        <v>0</v>
      </c>
      <c r="S779" t="s">
        <v>204</v>
      </c>
      <c r="T779">
        <v>0</v>
      </c>
      <c r="W779" t="s">
        <v>204</v>
      </c>
      <c r="X779">
        <v>0</v>
      </c>
      <c r="AA779" t="s">
        <v>204</v>
      </c>
      <c r="AB779">
        <v>0</v>
      </c>
      <c r="AE779" t="s">
        <v>204</v>
      </c>
      <c r="AF779">
        <v>0</v>
      </c>
      <c r="AI779" t="s">
        <v>204</v>
      </c>
      <c r="AJ779">
        <v>0</v>
      </c>
      <c r="AM779" t="s">
        <v>204</v>
      </c>
      <c r="AN779">
        <v>0</v>
      </c>
      <c r="AQ779" t="s">
        <v>204</v>
      </c>
      <c r="AR779">
        <v>0</v>
      </c>
      <c r="AT779" t="s">
        <v>65</v>
      </c>
      <c r="AU779">
        <v>0</v>
      </c>
    </row>
    <row r="780" spans="1:47" x14ac:dyDescent="0.35">
      <c r="C780" t="s">
        <v>205</v>
      </c>
      <c r="D780">
        <v>0</v>
      </c>
      <c r="G780" t="s">
        <v>205</v>
      </c>
      <c r="H780">
        <v>0</v>
      </c>
      <c r="K780" t="s">
        <v>205</v>
      </c>
      <c r="L780">
        <v>0</v>
      </c>
      <c r="O780" t="s">
        <v>205</v>
      </c>
      <c r="P780">
        <v>0</v>
      </c>
      <c r="S780" t="s">
        <v>205</v>
      </c>
      <c r="T780">
        <v>0</v>
      </c>
      <c r="W780" t="s">
        <v>205</v>
      </c>
      <c r="X780">
        <v>0</v>
      </c>
      <c r="AA780" t="s">
        <v>205</v>
      </c>
      <c r="AB780">
        <v>6165</v>
      </c>
      <c r="AE780" t="s">
        <v>205</v>
      </c>
      <c r="AF780">
        <v>7</v>
      </c>
      <c r="AI780" t="s">
        <v>205</v>
      </c>
      <c r="AJ780">
        <v>0</v>
      </c>
      <c r="AM780" t="s">
        <v>205</v>
      </c>
      <c r="AN780">
        <v>48589</v>
      </c>
      <c r="AQ780" t="s">
        <v>205</v>
      </c>
      <c r="AR780">
        <v>280</v>
      </c>
      <c r="AT780" t="s">
        <v>66</v>
      </c>
      <c r="AU780">
        <v>0</v>
      </c>
    </row>
    <row r="781" spans="1:47" x14ac:dyDescent="0.35">
      <c r="C781" t="s">
        <v>133</v>
      </c>
      <c r="D781">
        <v>0</v>
      </c>
      <c r="G781" t="s">
        <v>133</v>
      </c>
      <c r="H781">
        <v>0</v>
      </c>
      <c r="K781" t="s">
        <v>133</v>
      </c>
      <c r="L781">
        <v>0</v>
      </c>
      <c r="O781" t="s">
        <v>133</v>
      </c>
      <c r="P781">
        <v>0</v>
      </c>
      <c r="S781" t="s">
        <v>133</v>
      </c>
      <c r="T781">
        <v>0</v>
      </c>
      <c r="W781" t="s">
        <v>133</v>
      </c>
      <c r="X781">
        <v>0</v>
      </c>
      <c r="AA781" t="s">
        <v>133</v>
      </c>
      <c r="AB781">
        <v>26677</v>
      </c>
      <c r="AE781" t="s">
        <v>133</v>
      </c>
      <c r="AF781">
        <v>26677</v>
      </c>
      <c r="AI781" t="s">
        <v>133</v>
      </c>
      <c r="AJ781">
        <v>0</v>
      </c>
      <c r="AM781" t="s">
        <v>133</v>
      </c>
      <c r="AN781">
        <v>37181</v>
      </c>
      <c r="AQ781" t="s">
        <v>133</v>
      </c>
      <c r="AR781">
        <v>36833</v>
      </c>
      <c r="AT781" t="s">
        <v>79</v>
      </c>
      <c r="AU781">
        <v>0</v>
      </c>
    </row>
    <row r="782" spans="1:47" x14ac:dyDescent="0.35">
      <c r="C782" t="s">
        <v>206</v>
      </c>
      <c r="D782">
        <v>0</v>
      </c>
      <c r="G782" t="s">
        <v>206</v>
      </c>
      <c r="H782">
        <v>0</v>
      </c>
      <c r="K782" t="s">
        <v>206</v>
      </c>
      <c r="L782">
        <v>0</v>
      </c>
      <c r="O782" t="s">
        <v>206</v>
      </c>
      <c r="P782">
        <v>0</v>
      </c>
      <c r="S782" t="s">
        <v>206</v>
      </c>
      <c r="T782">
        <v>0</v>
      </c>
      <c r="W782" t="s">
        <v>206</v>
      </c>
      <c r="X782">
        <v>0</v>
      </c>
      <c r="AA782" t="s">
        <v>206</v>
      </c>
      <c r="AB782">
        <v>0</v>
      </c>
      <c r="AE782" t="s">
        <v>206</v>
      </c>
      <c r="AF782">
        <v>0</v>
      </c>
      <c r="AI782" t="s">
        <v>206</v>
      </c>
      <c r="AJ782">
        <v>0</v>
      </c>
      <c r="AM782" t="s">
        <v>206</v>
      </c>
      <c r="AN782">
        <v>0</v>
      </c>
      <c r="AQ782" t="s">
        <v>206</v>
      </c>
      <c r="AR782">
        <v>0</v>
      </c>
      <c r="AT782" t="s">
        <v>68</v>
      </c>
      <c r="AU782">
        <v>0</v>
      </c>
    </row>
    <row r="783" spans="1:47" x14ac:dyDescent="0.35">
      <c r="C783" t="s">
        <v>136</v>
      </c>
      <c r="D783">
        <v>0</v>
      </c>
      <c r="G783" t="s">
        <v>136</v>
      </c>
      <c r="H783">
        <v>0</v>
      </c>
      <c r="K783" t="s">
        <v>136</v>
      </c>
      <c r="L783">
        <v>0</v>
      </c>
      <c r="O783" t="s">
        <v>136</v>
      </c>
      <c r="P783">
        <v>0</v>
      </c>
      <c r="S783" t="s">
        <v>136</v>
      </c>
      <c r="T783">
        <v>0</v>
      </c>
      <c r="W783" t="s">
        <v>136</v>
      </c>
      <c r="X783">
        <v>0</v>
      </c>
      <c r="AA783" t="s">
        <v>136</v>
      </c>
      <c r="AB783">
        <v>2578</v>
      </c>
      <c r="AE783" t="s">
        <v>136</v>
      </c>
      <c r="AF783">
        <v>369</v>
      </c>
      <c r="AI783" t="s">
        <v>136</v>
      </c>
      <c r="AJ783">
        <v>0</v>
      </c>
      <c r="AM783" t="s">
        <v>136</v>
      </c>
      <c r="AN783">
        <v>0</v>
      </c>
      <c r="AQ783" t="s">
        <v>136</v>
      </c>
      <c r="AR783">
        <v>4262</v>
      </c>
      <c r="AT783" t="s">
        <v>69</v>
      </c>
      <c r="AU783">
        <v>2648</v>
      </c>
    </row>
    <row r="784" spans="1:47" x14ac:dyDescent="0.35">
      <c r="C784" t="s">
        <v>207</v>
      </c>
      <c r="D784">
        <v>0</v>
      </c>
      <c r="G784" t="s">
        <v>207</v>
      </c>
      <c r="H784">
        <v>0</v>
      </c>
      <c r="K784" t="s">
        <v>207</v>
      </c>
      <c r="L784">
        <v>0</v>
      </c>
      <c r="O784" t="s">
        <v>207</v>
      </c>
      <c r="P784">
        <v>0</v>
      </c>
      <c r="S784" t="s">
        <v>207</v>
      </c>
      <c r="T784">
        <v>0</v>
      </c>
      <c r="W784" t="s">
        <v>207</v>
      </c>
      <c r="X784">
        <v>0</v>
      </c>
      <c r="AA784" t="s">
        <v>207</v>
      </c>
      <c r="AB784">
        <v>0</v>
      </c>
      <c r="AE784" t="s">
        <v>207</v>
      </c>
      <c r="AF784">
        <v>27247</v>
      </c>
      <c r="AI784" t="s">
        <v>207</v>
      </c>
      <c r="AJ784">
        <v>0</v>
      </c>
      <c r="AM784" t="s">
        <v>207</v>
      </c>
      <c r="AN784">
        <v>0</v>
      </c>
      <c r="AQ784" t="s">
        <v>207</v>
      </c>
      <c r="AR784">
        <v>0</v>
      </c>
      <c r="AT784" t="s">
        <v>70</v>
      </c>
      <c r="AU784">
        <v>34393</v>
      </c>
    </row>
    <row r="785" spans="1:47" x14ac:dyDescent="0.35">
      <c r="C785" t="s">
        <v>141</v>
      </c>
      <c r="D785">
        <v>0</v>
      </c>
      <c r="G785" t="s">
        <v>141</v>
      </c>
      <c r="H785">
        <v>0</v>
      </c>
      <c r="K785" t="s">
        <v>141</v>
      </c>
      <c r="L785">
        <v>0</v>
      </c>
      <c r="O785" t="s">
        <v>141</v>
      </c>
      <c r="P785">
        <v>0</v>
      </c>
      <c r="S785" t="s">
        <v>141</v>
      </c>
      <c r="T785">
        <v>0</v>
      </c>
      <c r="W785" t="s">
        <v>141</v>
      </c>
      <c r="X785">
        <v>0</v>
      </c>
      <c r="AA785" t="s">
        <v>141</v>
      </c>
      <c r="AB785">
        <v>4626</v>
      </c>
      <c r="AE785" t="s">
        <v>141</v>
      </c>
      <c r="AF785">
        <v>4429</v>
      </c>
      <c r="AI785" t="s">
        <v>141</v>
      </c>
      <c r="AJ785">
        <v>0</v>
      </c>
      <c r="AM785" t="s">
        <v>141</v>
      </c>
      <c r="AN785">
        <v>5485</v>
      </c>
      <c r="AQ785" t="s">
        <v>141</v>
      </c>
      <c r="AR785">
        <v>5632</v>
      </c>
      <c r="AT785" t="s">
        <v>76</v>
      </c>
      <c r="AU785">
        <v>5371</v>
      </c>
    </row>
    <row r="786" spans="1:47" x14ac:dyDescent="0.35">
      <c r="C786" t="s">
        <v>208</v>
      </c>
      <c r="D786">
        <v>0</v>
      </c>
      <c r="G786" t="s">
        <v>208</v>
      </c>
      <c r="H786">
        <v>0</v>
      </c>
      <c r="K786" t="s">
        <v>208</v>
      </c>
      <c r="L786">
        <v>0</v>
      </c>
      <c r="O786" t="s">
        <v>208</v>
      </c>
      <c r="P786">
        <v>0</v>
      </c>
      <c r="S786" t="s">
        <v>208</v>
      </c>
      <c r="T786">
        <v>0</v>
      </c>
      <c r="W786" t="s">
        <v>208</v>
      </c>
      <c r="X786">
        <v>0</v>
      </c>
      <c r="AA786" t="s">
        <v>208</v>
      </c>
      <c r="AB786">
        <v>0</v>
      </c>
      <c r="AE786" t="s">
        <v>208</v>
      </c>
      <c r="AF786">
        <v>0</v>
      </c>
      <c r="AI786" t="s">
        <v>208</v>
      </c>
      <c r="AJ786">
        <v>0</v>
      </c>
      <c r="AM786" t="s">
        <v>208</v>
      </c>
      <c r="AN786">
        <v>0</v>
      </c>
      <c r="AQ786" t="s">
        <v>208</v>
      </c>
      <c r="AR786">
        <v>0</v>
      </c>
      <c r="AT786" t="s">
        <v>77</v>
      </c>
      <c r="AU786">
        <v>0</v>
      </c>
    </row>
    <row r="787" spans="1:47" x14ac:dyDescent="0.35">
      <c r="C787" t="s">
        <v>209</v>
      </c>
      <c r="D787">
        <v>0</v>
      </c>
      <c r="G787" t="s">
        <v>209</v>
      </c>
      <c r="H787">
        <v>0</v>
      </c>
      <c r="K787" t="s">
        <v>209</v>
      </c>
      <c r="L787">
        <v>0</v>
      </c>
      <c r="O787" t="s">
        <v>209</v>
      </c>
      <c r="P787">
        <v>0</v>
      </c>
      <c r="S787" t="s">
        <v>209</v>
      </c>
      <c r="T787">
        <v>0</v>
      </c>
      <c r="W787" t="s">
        <v>209</v>
      </c>
      <c r="X787">
        <v>0</v>
      </c>
      <c r="AA787" t="s">
        <v>209</v>
      </c>
      <c r="AB787">
        <v>0</v>
      </c>
      <c r="AE787" t="s">
        <v>209</v>
      </c>
      <c r="AF787">
        <v>0</v>
      </c>
      <c r="AI787" t="s">
        <v>209</v>
      </c>
      <c r="AJ787">
        <v>0</v>
      </c>
      <c r="AM787" t="s">
        <v>209</v>
      </c>
      <c r="AN787">
        <v>0</v>
      </c>
      <c r="AQ787" t="s">
        <v>209</v>
      </c>
      <c r="AR787">
        <v>0</v>
      </c>
      <c r="AT787" t="s">
        <v>78</v>
      </c>
      <c r="AU787">
        <v>3919</v>
      </c>
    </row>
    <row r="788" spans="1:47" x14ac:dyDescent="0.35">
      <c r="C788" t="s">
        <v>134</v>
      </c>
      <c r="D788">
        <v>0</v>
      </c>
      <c r="G788" t="s">
        <v>134</v>
      </c>
      <c r="H788">
        <v>0</v>
      </c>
      <c r="K788" t="s">
        <v>134</v>
      </c>
      <c r="L788">
        <v>0</v>
      </c>
      <c r="O788" t="s">
        <v>134</v>
      </c>
      <c r="P788">
        <v>0</v>
      </c>
      <c r="S788" t="s">
        <v>134</v>
      </c>
      <c r="T788">
        <v>0</v>
      </c>
      <c r="W788" t="s">
        <v>134</v>
      </c>
      <c r="X788">
        <v>0</v>
      </c>
      <c r="AA788" t="s">
        <v>134</v>
      </c>
      <c r="AB788">
        <v>29246</v>
      </c>
      <c r="AE788" t="s">
        <v>134</v>
      </c>
      <c r="AF788">
        <v>29803</v>
      </c>
      <c r="AI788" t="s">
        <v>134</v>
      </c>
      <c r="AJ788">
        <v>0</v>
      </c>
      <c r="AM788" t="s">
        <v>134</v>
      </c>
      <c r="AN788">
        <v>34554</v>
      </c>
      <c r="AQ788" t="s">
        <v>134</v>
      </c>
      <c r="AR788">
        <v>38712</v>
      </c>
      <c r="AT788" t="s">
        <v>67</v>
      </c>
      <c r="AU788">
        <v>311269</v>
      </c>
    </row>
    <row r="789" spans="1:47" x14ac:dyDescent="0.35">
      <c r="C789" t="s">
        <v>142</v>
      </c>
      <c r="D789">
        <v>0</v>
      </c>
      <c r="G789" t="s">
        <v>142</v>
      </c>
      <c r="H789">
        <v>0</v>
      </c>
      <c r="K789" t="s">
        <v>142</v>
      </c>
      <c r="L789">
        <v>0</v>
      </c>
      <c r="O789" t="s">
        <v>142</v>
      </c>
      <c r="P789">
        <v>0</v>
      </c>
      <c r="S789" t="s">
        <v>142</v>
      </c>
      <c r="T789">
        <v>0</v>
      </c>
      <c r="W789" t="s">
        <v>142</v>
      </c>
      <c r="X789">
        <v>0</v>
      </c>
      <c r="AA789" t="s">
        <v>142</v>
      </c>
      <c r="AB789">
        <v>0</v>
      </c>
      <c r="AE789" t="s">
        <v>142</v>
      </c>
      <c r="AF789">
        <v>0</v>
      </c>
      <c r="AI789" t="s">
        <v>142</v>
      </c>
      <c r="AJ789">
        <v>0</v>
      </c>
      <c r="AM789" t="s">
        <v>142</v>
      </c>
      <c r="AN789">
        <v>0</v>
      </c>
      <c r="AQ789" t="s">
        <v>142</v>
      </c>
      <c r="AR789">
        <v>0</v>
      </c>
      <c r="AT789" t="s">
        <v>80</v>
      </c>
      <c r="AU789">
        <v>30</v>
      </c>
    </row>
    <row r="790" spans="1:47" x14ac:dyDescent="0.35">
      <c r="C790" t="s">
        <v>83</v>
      </c>
      <c r="D790">
        <v>0</v>
      </c>
      <c r="G790" t="s">
        <v>83</v>
      </c>
      <c r="H790">
        <v>0</v>
      </c>
      <c r="K790" t="s">
        <v>83</v>
      </c>
      <c r="L790">
        <v>0</v>
      </c>
      <c r="O790" t="s">
        <v>83</v>
      </c>
      <c r="P790">
        <v>0</v>
      </c>
      <c r="S790" t="s">
        <v>83</v>
      </c>
      <c r="T790">
        <v>0</v>
      </c>
      <c r="W790" t="s">
        <v>83</v>
      </c>
      <c r="X790">
        <v>0</v>
      </c>
      <c r="AA790" t="s">
        <v>83</v>
      </c>
      <c r="AB790">
        <v>5153</v>
      </c>
      <c r="AE790" t="s">
        <v>83</v>
      </c>
      <c r="AF790">
        <v>5089</v>
      </c>
      <c r="AI790" t="s">
        <v>83</v>
      </c>
      <c r="AJ790">
        <v>0</v>
      </c>
      <c r="AM790" t="s">
        <v>83</v>
      </c>
      <c r="AN790">
        <v>0</v>
      </c>
      <c r="AQ790" t="s">
        <v>83</v>
      </c>
      <c r="AR790">
        <v>6479</v>
      </c>
      <c r="AT790" t="s">
        <v>83</v>
      </c>
      <c r="AU790">
        <v>15823</v>
      </c>
    </row>
    <row r="791" spans="1:47" x14ac:dyDescent="0.35">
      <c r="C791" t="s">
        <v>84</v>
      </c>
      <c r="D791">
        <v>0</v>
      </c>
      <c r="G791" t="s">
        <v>84</v>
      </c>
      <c r="H791">
        <v>68565</v>
      </c>
      <c r="K791" t="s">
        <v>84</v>
      </c>
      <c r="L791">
        <v>0</v>
      </c>
      <c r="O791" t="s">
        <v>84</v>
      </c>
      <c r="P791">
        <v>0</v>
      </c>
      <c r="S791" t="s">
        <v>84</v>
      </c>
      <c r="T791">
        <v>0</v>
      </c>
      <c r="W791" t="s">
        <v>84</v>
      </c>
      <c r="X791">
        <v>0</v>
      </c>
      <c r="AA791" t="s">
        <v>84</v>
      </c>
      <c r="AB791">
        <v>0</v>
      </c>
      <c r="AE791" t="s">
        <v>84</v>
      </c>
      <c r="AF791">
        <v>0</v>
      </c>
      <c r="AI791" t="s">
        <v>84</v>
      </c>
      <c r="AJ791">
        <v>0</v>
      </c>
      <c r="AM791" t="s">
        <v>84</v>
      </c>
      <c r="AN791">
        <v>0</v>
      </c>
      <c r="AQ791" t="s">
        <v>84</v>
      </c>
      <c r="AR791">
        <v>0</v>
      </c>
      <c r="AT791" t="s">
        <v>84</v>
      </c>
      <c r="AU791">
        <v>0</v>
      </c>
    </row>
    <row r="792" spans="1:47" x14ac:dyDescent="0.35">
      <c r="C792" t="s">
        <v>126</v>
      </c>
      <c r="D792">
        <v>0</v>
      </c>
      <c r="G792" t="s">
        <v>126</v>
      </c>
      <c r="H792">
        <v>0</v>
      </c>
      <c r="K792" t="s">
        <v>223</v>
      </c>
      <c r="L792">
        <v>0</v>
      </c>
      <c r="O792" t="s">
        <v>126</v>
      </c>
      <c r="P792">
        <v>0</v>
      </c>
      <c r="S792" t="s">
        <v>126</v>
      </c>
      <c r="T792">
        <v>0</v>
      </c>
      <c r="W792" t="s">
        <v>126</v>
      </c>
      <c r="X792">
        <v>0</v>
      </c>
      <c r="AA792" t="s">
        <v>126</v>
      </c>
      <c r="AB792">
        <v>56</v>
      </c>
      <c r="AE792" t="s">
        <v>126</v>
      </c>
      <c r="AF792">
        <v>79</v>
      </c>
      <c r="AI792" t="s">
        <v>126</v>
      </c>
      <c r="AJ792">
        <v>0</v>
      </c>
      <c r="AM792" t="s">
        <v>126</v>
      </c>
      <c r="AN792">
        <v>0</v>
      </c>
      <c r="AQ792" t="s">
        <v>126</v>
      </c>
      <c r="AR792">
        <v>168</v>
      </c>
      <c r="AT792" t="s">
        <v>86</v>
      </c>
      <c r="AU792">
        <v>0</v>
      </c>
    </row>
    <row r="793" spans="1:47" x14ac:dyDescent="0.35">
      <c r="C793" t="s">
        <v>87</v>
      </c>
      <c r="D793">
        <v>0</v>
      </c>
      <c r="G793" t="s">
        <v>87</v>
      </c>
      <c r="H793">
        <v>262512</v>
      </c>
      <c r="K793" t="s">
        <v>87</v>
      </c>
      <c r="L793">
        <v>0</v>
      </c>
      <c r="O793" t="s">
        <v>87</v>
      </c>
      <c r="P793">
        <v>0</v>
      </c>
      <c r="S793" t="s">
        <v>87</v>
      </c>
      <c r="T793">
        <v>0</v>
      </c>
      <c r="W793" t="s">
        <v>87</v>
      </c>
      <c r="X793">
        <v>0</v>
      </c>
      <c r="AA793" t="s">
        <v>87</v>
      </c>
      <c r="AB793">
        <v>0</v>
      </c>
      <c r="AE793" t="s">
        <v>87</v>
      </c>
      <c r="AF793">
        <v>32</v>
      </c>
      <c r="AI793" t="s">
        <v>87</v>
      </c>
      <c r="AJ793">
        <v>0</v>
      </c>
      <c r="AM793" t="s">
        <v>87</v>
      </c>
      <c r="AN793">
        <v>0</v>
      </c>
      <c r="AQ793" t="s">
        <v>87</v>
      </c>
      <c r="AR793">
        <v>0</v>
      </c>
      <c r="AT793" t="s">
        <v>87</v>
      </c>
      <c r="AU793">
        <v>0</v>
      </c>
    </row>
    <row r="794" spans="1:47" x14ac:dyDescent="0.35">
      <c r="A794" t="s">
        <v>183</v>
      </c>
      <c r="B794">
        <v>10840333.999999994</v>
      </c>
      <c r="C794" t="s">
        <v>135</v>
      </c>
      <c r="D794">
        <v>0</v>
      </c>
      <c r="E794" t="s">
        <v>183</v>
      </c>
      <c r="F794">
        <v>11101349.499999996</v>
      </c>
      <c r="G794" t="s">
        <v>135</v>
      </c>
      <c r="H794">
        <v>2208</v>
      </c>
      <c r="I794" t="s">
        <v>183</v>
      </c>
      <c r="J794">
        <v>11368451.500000004</v>
      </c>
      <c r="K794" t="s">
        <v>135</v>
      </c>
      <c r="L794">
        <v>2098</v>
      </c>
      <c r="M794" t="s">
        <v>183</v>
      </c>
      <c r="N794">
        <v>11642959</v>
      </c>
      <c r="O794" t="s">
        <v>135</v>
      </c>
      <c r="P794">
        <v>2568</v>
      </c>
      <c r="Q794" t="s">
        <v>183</v>
      </c>
      <c r="R794">
        <v>11930899.500000007</v>
      </c>
      <c r="S794" t="s">
        <v>135</v>
      </c>
      <c r="T794">
        <v>2918</v>
      </c>
      <c r="U794" t="s">
        <v>183</v>
      </c>
      <c r="V794">
        <v>12230339</v>
      </c>
      <c r="W794" t="s">
        <v>135</v>
      </c>
      <c r="X794">
        <v>3830</v>
      </c>
      <c r="Y794" t="s">
        <v>183</v>
      </c>
      <c r="Z794">
        <v>12531807.499999998</v>
      </c>
      <c r="AA794" t="s">
        <v>135</v>
      </c>
      <c r="AB794">
        <v>3296</v>
      </c>
      <c r="AC794" t="s">
        <v>183</v>
      </c>
      <c r="AD794">
        <v>12835028</v>
      </c>
      <c r="AE794" t="s">
        <v>135</v>
      </c>
      <c r="AF794">
        <v>2984</v>
      </c>
      <c r="AG794" t="s">
        <v>183</v>
      </c>
      <c r="AH794">
        <v>13146361.500000002</v>
      </c>
      <c r="AI794" t="s">
        <v>135</v>
      </c>
      <c r="AJ794">
        <v>0</v>
      </c>
      <c r="AK794" t="s">
        <v>183</v>
      </c>
      <c r="AL794">
        <v>13461887.499999998</v>
      </c>
      <c r="AM794" t="s">
        <v>135</v>
      </c>
      <c r="AN794">
        <v>0</v>
      </c>
      <c r="AO794" t="s">
        <v>183</v>
      </c>
      <c r="AP794">
        <v>13776697.499999994</v>
      </c>
      <c r="AQ794" t="s">
        <v>135</v>
      </c>
      <c r="AR794">
        <v>0</v>
      </c>
      <c r="AS794" t="s">
        <v>183</v>
      </c>
      <c r="AT794" t="s">
        <v>148</v>
      </c>
      <c r="AU794">
        <v>1350</v>
      </c>
    </row>
    <row r="795" spans="1:47" x14ac:dyDescent="0.35">
      <c r="C795" t="s">
        <v>139</v>
      </c>
      <c r="D795">
        <v>0</v>
      </c>
      <c r="G795" t="s">
        <v>139</v>
      </c>
      <c r="H795">
        <v>0</v>
      </c>
      <c r="K795" t="s">
        <v>139</v>
      </c>
      <c r="L795">
        <v>19250</v>
      </c>
      <c r="O795" t="s">
        <v>139</v>
      </c>
      <c r="P795">
        <v>20734</v>
      </c>
      <c r="S795" t="s">
        <v>139</v>
      </c>
      <c r="T795">
        <v>22562</v>
      </c>
      <c r="W795" t="s">
        <v>139</v>
      </c>
      <c r="X795">
        <v>1290</v>
      </c>
      <c r="AA795" t="s">
        <v>139</v>
      </c>
      <c r="AB795">
        <v>26690</v>
      </c>
      <c r="AE795" t="s">
        <v>139</v>
      </c>
      <c r="AF795">
        <v>20818</v>
      </c>
      <c r="AI795" t="s">
        <v>139</v>
      </c>
      <c r="AJ795">
        <v>0</v>
      </c>
      <c r="AM795" t="s">
        <v>139</v>
      </c>
      <c r="AN795">
        <v>0</v>
      </c>
      <c r="AQ795" t="s">
        <v>139</v>
      </c>
      <c r="AR795">
        <v>0</v>
      </c>
      <c r="AT795" t="s">
        <v>139</v>
      </c>
      <c r="AU795">
        <v>9551</v>
      </c>
    </row>
    <row r="796" spans="1:47" x14ac:dyDescent="0.35">
      <c r="C796" t="s">
        <v>138</v>
      </c>
      <c r="D796">
        <v>0</v>
      </c>
      <c r="G796" t="s">
        <v>138</v>
      </c>
      <c r="H796">
        <v>1244</v>
      </c>
      <c r="K796" t="s">
        <v>138</v>
      </c>
      <c r="L796">
        <v>1384</v>
      </c>
      <c r="O796" t="s">
        <v>138</v>
      </c>
      <c r="P796">
        <v>1736</v>
      </c>
      <c r="S796" t="s">
        <v>138</v>
      </c>
      <c r="T796">
        <v>2140</v>
      </c>
      <c r="W796" t="s">
        <v>138</v>
      </c>
      <c r="X796">
        <v>4288</v>
      </c>
      <c r="AA796" t="s">
        <v>138</v>
      </c>
      <c r="AB796">
        <v>2942</v>
      </c>
      <c r="AE796" t="s">
        <v>138</v>
      </c>
      <c r="AF796">
        <v>3122</v>
      </c>
      <c r="AI796" t="s">
        <v>138</v>
      </c>
      <c r="AJ796">
        <v>0</v>
      </c>
      <c r="AM796" t="s">
        <v>138</v>
      </c>
      <c r="AN796">
        <v>0</v>
      </c>
      <c r="AQ796" t="s">
        <v>138</v>
      </c>
      <c r="AR796">
        <v>0</v>
      </c>
      <c r="AT796" t="s">
        <v>138</v>
      </c>
      <c r="AU796">
        <v>1207</v>
      </c>
    </row>
    <row r="797" spans="1:47" x14ac:dyDescent="0.35">
      <c r="C797" t="s">
        <v>82</v>
      </c>
      <c r="D797">
        <v>0</v>
      </c>
      <c r="G797" t="s">
        <v>82</v>
      </c>
      <c r="H797">
        <v>0</v>
      </c>
      <c r="K797" t="s">
        <v>82</v>
      </c>
      <c r="L797">
        <v>0</v>
      </c>
      <c r="O797" t="s">
        <v>82</v>
      </c>
      <c r="P797">
        <v>0</v>
      </c>
      <c r="S797" t="s">
        <v>82</v>
      </c>
      <c r="T797">
        <v>0</v>
      </c>
      <c r="W797" t="s">
        <v>82</v>
      </c>
      <c r="X797">
        <v>0</v>
      </c>
      <c r="AA797" t="s">
        <v>82</v>
      </c>
      <c r="AB797">
        <v>497</v>
      </c>
      <c r="AE797" t="s">
        <v>82</v>
      </c>
      <c r="AF797">
        <v>194</v>
      </c>
      <c r="AI797" t="s">
        <v>82</v>
      </c>
      <c r="AJ797">
        <v>0</v>
      </c>
      <c r="AM797" t="s">
        <v>82</v>
      </c>
      <c r="AN797">
        <v>114</v>
      </c>
      <c r="AQ797" t="s">
        <v>82</v>
      </c>
      <c r="AR797">
        <v>143</v>
      </c>
      <c r="AT797" t="s">
        <v>82</v>
      </c>
      <c r="AU797">
        <v>167</v>
      </c>
    </row>
    <row r="798" spans="1:47" x14ac:dyDescent="0.35">
      <c r="C798" t="s">
        <v>60</v>
      </c>
      <c r="D798">
        <v>0</v>
      </c>
      <c r="G798" t="s">
        <v>60</v>
      </c>
      <c r="H798">
        <v>0</v>
      </c>
      <c r="K798" t="s">
        <v>60</v>
      </c>
      <c r="L798">
        <v>0</v>
      </c>
      <c r="O798" t="s">
        <v>60</v>
      </c>
      <c r="P798">
        <v>0</v>
      </c>
      <c r="S798" t="s">
        <v>60</v>
      </c>
      <c r="T798">
        <v>0</v>
      </c>
      <c r="W798" t="s">
        <v>60</v>
      </c>
      <c r="X798">
        <v>0</v>
      </c>
      <c r="AA798" t="s">
        <v>60</v>
      </c>
      <c r="AB798">
        <v>380</v>
      </c>
      <c r="AE798" t="s">
        <v>60</v>
      </c>
      <c r="AF798">
        <v>234</v>
      </c>
      <c r="AI798" t="s">
        <v>60</v>
      </c>
      <c r="AJ798">
        <v>0</v>
      </c>
      <c r="AM798" t="s">
        <v>60</v>
      </c>
      <c r="AN798">
        <v>127</v>
      </c>
      <c r="AQ798" t="s">
        <v>60</v>
      </c>
      <c r="AR798">
        <v>0</v>
      </c>
      <c r="AT798" t="s">
        <v>60</v>
      </c>
      <c r="AU798">
        <v>228</v>
      </c>
    </row>
    <row r="799" spans="1:47" x14ac:dyDescent="0.35">
      <c r="C799" t="s">
        <v>127</v>
      </c>
      <c r="D799">
        <v>0</v>
      </c>
      <c r="G799" t="s">
        <v>127</v>
      </c>
      <c r="H799">
        <v>0</v>
      </c>
      <c r="K799" t="s">
        <v>127</v>
      </c>
      <c r="L799">
        <v>0</v>
      </c>
      <c r="O799" t="s">
        <v>127</v>
      </c>
      <c r="P799">
        <v>0</v>
      </c>
      <c r="S799" t="s">
        <v>127</v>
      </c>
      <c r="T799">
        <v>0</v>
      </c>
      <c r="W799" t="s">
        <v>127</v>
      </c>
      <c r="X799">
        <v>0</v>
      </c>
      <c r="AA799" t="s">
        <v>127</v>
      </c>
      <c r="AB799">
        <v>45000</v>
      </c>
      <c r="AE799" t="s">
        <v>127</v>
      </c>
      <c r="AF799">
        <v>0</v>
      </c>
      <c r="AI799" t="s">
        <v>127</v>
      </c>
      <c r="AJ799">
        <v>58567</v>
      </c>
      <c r="AM799" t="s">
        <v>127</v>
      </c>
      <c r="AN799">
        <v>0</v>
      </c>
      <c r="AQ799" t="s">
        <v>127</v>
      </c>
      <c r="AR799">
        <v>0</v>
      </c>
      <c r="AT799" t="s">
        <v>58</v>
      </c>
      <c r="AU799">
        <v>45000</v>
      </c>
    </row>
    <row r="800" spans="1:47" x14ac:dyDescent="0.35">
      <c r="C800" t="s">
        <v>61</v>
      </c>
      <c r="D800">
        <v>0</v>
      </c>
      <c r="G800" t="s">
        <v>61</v>
      </c>
      <c r="H800">
        <v>0</v>
      </c>
      <c r="K800" t="s">
        <v>61</v>
      </c>
      <c r="L800">
        <v>0</v>
      </c>
      <c r="O800" t="s">
        <v>61</v>
      </c>
      <c r="P800">
        <v>0</v>
      </c>
      <c r="S800" t="s">
        <v>61</v>
      </c>
      <c r="T800">
        <v>0</v>
      </c>
      <c r="W800" t="s">
        <v>61</v>
      </c>
      <c r="X800">
        <v>0</v>
      </c>
      <c r="AA800" t="s">
        <v>61</v>
      </c>
      <c r="AB800">
        <v>0</v>
      </c>
      <c r="AE800" t="s">
        <v>61</v>
      </c>
      <c r="AF800">
        <v>0</v>
      </c>
      <c r="AI800" t="s">
        <v>61</v>
      </c>
      <c r="AJ800">
        <v>0</v>
      </c>
      <c r="AM800" t="s">
        <v>61</v>
      </c>
      <c r="AN800">
        <v>207</v>
      </c>
      <c r="AQ800" t="s">
        <v>61</v>
      </c>
      <c r="AR800">
        <v>0</v>
      </c>
      <c r="AT800" t="s">
        <v>61</v>
      </c>
      <c r="AU800">
        <v>0</v>
      </c>
    </row>
    <row r="801" spans="3:47" x14ac:dyDescent="0.35">
      <c r="C801" t="s">
        <v>62</v>
      </c>
      <c r="D801">
        <v>0</v>
      </c>
      <c r="G801" t="s">
        <v>62</v>
      </c>
      <c r="H801">
        <v>0</v>
      </c>
      <c r="K801" t="s">
        <v>62</v>
      </c>
      <c r="L801">
        <v>0</v>
      </c>
      <c r="O801" t="s">
        <v>62</v>
      </c>
      <c r="P801">
        <v>0</v>
      </c>
      <c r="S801" t="s">
        <v>62</v>
      </c>
      <c r="T801">
        <v>0</v>
      </c>
      <c r="W801" t="s">
        <v>62</v>
      </c>
      <c r="X801">
        <v>0</v>
      </c>
      <c r="AA801" t="s">
        <v>62</v>
      </c>
      <c r="AB801">
        <v>0</v>
      </c>
      <c r="AE801" t="s">
        <v>62</v>
      </c>
      <c r="AF801">
        <v>0</v>
      </c>
      <c r="AI801" t="s">
        <v>62</v>
      </c>
      <c r="AJ801">
        <v>0</v>
      </c>
      <c r="AM801" t="s">
        <v>62</v>
      </c>
      <c r="AN801">
        <v>226</v>
      </c>
      <c r="AQ801" t="s">
        <v>62</v>
      </c>
      <c r="AR801">
        <v>0</v>
      </c>
      <c r="AT801" t="s">
        <v>62</v>
      </c>
      <c r="AU801">
        <v>0</v>
      </c>
    </row>
    <row r="802" spans="3:47" x14ac:dyDescent="0.35">
      <c r="C802" t="s">
        <v>203</v>
      </c>
      <c r="D802">
        <v>0</v>
      </c>
      <c r="G802" t="s">
        <v>203</v>
      </c>
      <c r="H802">
        <v>0</v>
      </c>
      <c r="K802" t="s">
        <v>203</v>
      </c>
      <c r="L802">
        <v>0</v>
      </c>
      <c r="O802" t="s">
        <v>203</v>
      </c>
      <c r="P802">
        <v>0</v>
      </c>
      <c r="S802" t="s">
        <v>203</v>
      </c>
      <c r="T802">
        <v>0</v>
      </c>
      <c r="W802" t="s">
        <v>203</v>
      </c>
      <c r="X802">
        <v>0</v>
      </c>
      <c r="AA802" t="s">
        <v>203</v>
      </c>
      <c r="AB802">
        <v>0</v>
      </c>
      <c r="AE802" t="s">
        <v>203</v>
      </c>
      <c r="AF802">
        <v>0</v>
      </c>
      <c r="AI802" t="s">
        <v>203</v>
      </c>
      <c r="AJ802">
        <v>0</v>
      </c>
      <c r="AM802" t="s">
        <v>203</v>
      </c>
      <c r="AN802">
        <v>0</v>
      </c>
      <c r="AQ802" t="s">
        <v>203</v>
      </c>
      <c r="AR802">
        <v>0</v>
      </c>
      <c r="AT802" t="s">
        <v>64</v>
      </c>
      <c r="AU802">
        <v>0</v>
      </c>
    </row>
    <row r="803" spans="3:47" x14ac:dyDescent="0.35">
      <c r="C803" t="s">
        <v>204</v>
      </c>
      <c r="D803">
        <v>0</v>
      </c>
      <c r="G803" t="s">
        <v>204</v>
      </c>
      <c r="H803">
        <v>0</v>
      </c>
      <c r="K803" t="s">
        <v>204</v>
      </c>
      <c r="L803">
        <v>0</v>
      </c>
      <c r="O803" t="s">
        <v>204</v>
      </c>
      <c r="P803">
        <v>0</v>
      </c>
      <c r="S803" t="s">
        <v>204</v>
      </c>
      <c r="T803">
        <v>0</v>
      </c>
      <c r="W803" t="s">
        <v>204</v>
      </c>
      <c r="X803">
        <v>0</v>
      </c>
      <c r="AA803" t="s">
        <v>204</v>
      </c>
      <c r="AB803">
        <v>0</v>
      </c>
      <c r="AE803" t="s">
        <v>204</v>
      </c>
      <c r="AF803">
        <v>0</v>
      </c>
      <c r="AI803" t="s">
        <v>204</v>
      </c>
      <c r="AJ803">
        <v>0</v>
      </c>
      <c r="AM803" t="s">
        <v>204</v>
      </c>
      <c r="AN803">
        <v>0</v>
      </c>
      <c r="AQ803" t="s">
        <v>204</v>
      </c>
      <c r="AR803">
        <v>0</v>
      </c>
      <c r="AT803" t="s">
        <v>65</v>
      </c>
      <c r="AU803">
        <v>0</v>
      </c>
    </row>
    <row r="804" spans="3:47" x14ac:dyDescent="0.35">
      <c r="C804" t="s">
        <v>205</v>
      </c>
      <c r="D804">
        <v>0</v>
      </c>
      <c r="G804" t="s">
        <v>205</v>
      </c>
      <c r="H804">
        <v>0</v>
      </c>
      <c r="K804" t="s">
        <v>205</v>
      </c>
      <c r="L804">
        <v>0</v>
      </c>
      <c r="O804" t="s">
        <v>205</v>
      </c>
      <c r="P804">
        <v>23</v>
      </c>
      <c r="S804" t="s">
        <v>205</v>
      </c>
      <c r="T804">
        <v>0</v>
      </c>
      <c r="W804" t="s">
        <v>205</v>
      </c>
      <c r="X804">
        <v>0</v>
      </c>
      <c r="AA804" t="s">
        <v>205</v>
      </c>
      <c r="AB804">
        <v>0</v>
      </c>
      <c r="AE804" t="s">
        <v>205</v>
      </c>
      <c r="AF804">
        <v>0</v>
      </c>
      <c r="AI804" t="s">
        <v>205</v>
      </c>
      <c r="AJ804">
        <v>0</v>
      </c>
      <c r="AM804" t="s">
        <v>205</v>
      </c>
      <c r="AN804">
        <v>0</v>
      </c>
      <c r="AQ804" t="s">
        <v>205</v>
      </c>
      <c r="AR804">
        <v>0</v>
      </c>
      <c r="AT804" t="s">
        <v>66</v>
      </c>
      <c r="AU804">
        <v>0</v>
      </c>
    </row>
    <row r="805" spans="3:47" x14ac:dyDescent="0.35">
      <c r="C805" t="s">
        <v>133</v>
      </c>
      <c r="D805">
        <v>0</v>
      </c>
      <c r="G805" t="s">
        <v>133</v>
      </c>
      <c r="H805">
        <v>0</v>
      </c>
      <c r="K805" t="s">
        <v>133</v>
      </c>
      <c r="L805">
        <v>0</v>
      </c>
      <c r="O805" t="s">
        <v>133</v>
      </c>
      <c r="P805">
        <v>0</v>
      </c>
      <c r="S805" t="s">
        <v>133</v>
      </c>
      <c r="T805">
        <v>0</v>
      </c>
      <c r="W805" t="s">
        <v>133</v>
      </c>
      <c r="X805">
        <v>0</v>
      </c>
      <c r="AA805" t="s">
        <v>133</v>
      </c>
      <c r="AB805">
        <v>1990</v>
      </c>
      <c r="AE805" t="s">
        <v>133</v>
      </c>
      <c r="AF805">
        <v>0</v>
      </c>
      <c r="AI805" t="s">
        <v>133</v>
      </c>
      <c r="AJ805">
        <v>0</v>
      </c>
      <c r="AM805" t="s">
        <v>133</v>
      </c>
      <c r="AN805">
        <v>0</v>
      </c>
      <c r="AQ805" t="s">
        <v>133</v>
      </c>
      <c r="AR805">
        <v>0</v>
      </c>
      <c r="AT805" t="s">
        <v>79</v>
      </c>
      <c r="AU805">
        <v>321</v>
      </c>
    </row>
    <row r="806" spans="3:47" x14ac:dyDescent="0.35">
      <c r="C806" t="s">
        <v>206</v>
      </c>
      <c r="D806">
        <v>0</v>
      </c>
      <c r="G806" t="s">
        <v>206</v>
      </c>
      <c r="H806">
        <v>0</v>
      </c>
      <c r="K806" t="s">
        <v>206</v>
      </c>
      <c r="L806">
        <v>0</v>
      </c>
      <c r="O806" t="s">
        <v>206</v>
      </c>
      <c r="P806">
        <v>0</v>
      </c>
      <c r="S806" t="s">
        <v>206</v>
      </c>
      <c r="T806">
        <v>0</v>
      </c>
      <c r="W806" t="s">
        <v>206</v>
      </c>
      <c r="X806">
        <v>0</v>
      </c>
      <c r="AA806" t="s">
        <v>206</v>
      </c>
      <c r="AB806">
        <v>0</v>
      </c>
      <c r="AE806" t="s">
        <v>206</v>
      </c>
      <c r="AF806">
        <v>0</v>
      </c>
      <c r="AI806" t="s">
        <v>206</v>
      </c>
      <c r="AJ806">
        <v>0</v>
      </c>
      <c r="AM806" t="s">
        <v>206</v>
      </c>
      <c r="AN806">
        <v>0</v>
      </c>
      <c r="AQ806" t="s">
        <v>206</v>
      </c>
      <c r="AR806">
        <v>0</v>
      </c>
      <c r="AT806" t="s">
        <v>68</v>
      </c>
      <c r="AU806">
        <v>0</v>
      </c>
    </row>
    <row r="807" spans="3:47" x14ac:dyDescent="0.35">
      <c r="C807" t="s">
        <v>136</v>
      </c>
      <c r="D807">
        <v>0</v>
      </c>
      <c r="G807" t="s">
        <v>136</v>
      </c>
      <c r="H807">
        <v>0</v>
      </c>
      <c r="K807" t="s">
        <v>136</v>
      </c>
      <c r="L807">
        <v>0</v>
      </c>
      <c r="O807" t="s">
        <v>136</v>
      </c>
      <c r="P807">
        <v>116</v>
      </c>
      <c r="S807" t="s">
        <v>136</v>
      </c>
      <c r="T807">
        <v>0</v>
      </c>
      <c r="W807" t="s">
        <v>136</v>
      </c>
      <c r="X807">
        <v>0</v>
      </c>
      <c r="AA807" t="s">
        <v>136</v>
      </c>
      <c r="AB807">
        <v>152</v>
      </c>
      <c r="AE807" t="s">
        <v>136</v>
      </c>
      <c r="AF807">
        <v>0</v>
      </c>
      <c r="AI807" t="s">
        <v>136</v>
      </c>
      <c r="AJ807">
        <v>0</v>
      </c>
      <c r="AM807" t="s">
        <v>136</v>
      </c>
      <c r="AN807">
        <v>0</v>
      </c>
      <c r="AQ807" t="s">
        <v>136</v>
      </c>
      <c r="AR807">
        <v>0</v>
      </c>
      <c r="AT807" t="s">
        <v>69</v>
      </c>
      <c r="AU807">
        <v>0</v>
      </c>
    </row>
    <row r="808" spans="3:47" x14ac:dyDescent="0.35">
      <c r="C808" t="s">
        <v>207</v>
      </c>
      <c r="D808">
        <v>0</v>
      </c>
      <c r="G808" t="s">
        <v>207</v>
      </c>
      <c r="H808">
        <v>0</v>
      </c>
      <c r="K808" t="s">
        <v>207</v>
      </c>
      <c r="L808">
        <v>0</v>
      </c>
      <c r="O808" t="s">
        <v>207</v>
      </c>
      <c r="P808">
        <v>0</v>
      </c>
      <c r="S808" t="s">
        <v>207</v>
      </c>
      <c r="T808">
        <v>0</v>
      </c>
      <c r="W808" t="s">
        <v>207</v>
      </c>
      <c r="X808">
        <v>0</v>
      </c>
      <c r="AA808" t="s">
        <v>207</v>
      </c>
      <c r="AB808">
        <v>0</v>
      </c>
      <c r="AE808" t="s">
        <v>207</v>
      </c>
      <c r="AF808">
        <v>0</v>
      </c>
      <c r="AI808" t="s">
        <v>207</v>
      </c>
      <c r="AJ808">
        <v>0</v>
      </c>
      <c r="AM808" t="s">
        <v>207</v>
      </c>
      <c r="AN808">
        <v>0</v>
      </c>
      <c r="AQ808" t="s">
        <v>207</v>
      </c>
      <c r="AR808">
        <v>0</v>
      </c>
      <c r="AT808" t="s">
        <v>70</v>
      </c>
      <c r="AU808">
        <v>0</v>
      </c>
    </row>
    <row r="809" spans="3:47" x14ac:dyDescent="0.35">
      <c r="C809" t="s">
        <v>141</v>
      </c>
      <c r="D809">
        <v>0</v>
      </c>
      <c r="G809" t="s">
        <v>141</v>
      </c>
      <c r="H809">
        <v>0</v>
      </c>
      <c r="K809" t="s">
        <v>141</v>
      </c>
      <c r="L809">
        <v>0</v>
      </c>
      <c r="O809" t="s">
        <v>141</v>
      </c>
      <c r="P809">
        <v>0</v>
      </c>
      <c r="S809" t="s">
        <v>141</v>
      </c>
      <c r="T809">
        <v>0</v>
      </c>
      <c r="W809" t="s">
        <v>141</v>
      </c>
      <c r="X809">
        <v>0</v>
      </c>
      <c r="AA809" t="s">
        <v>141</v>
      </c>
      <c r="AB809">
        <v>13</v>
      </c>
      <c r="AE809" t="s">
        <v>141</v>
      </c>
      <c r="AF809">
        <v>0</v>
      </c>
      <c r="AI809" t="s">
        <v>141</v>
      </c>
      <c r="AJ809">
        <v>0</v>
      </c>
      <c r="AM809" t="s">
        <v>141</v>
      </c>
      <c r="AN809">
        <v>0</v>
      </c>
      <c r="AQ809" t="s">
        <v>141</v>
      </c>
      <c r="AR809">
        <v>0</v>
      </c>
      <c r="AT809" t="s">
        <v>76</v>
      </c>
      <c r="AU809">
        <v>0</v>
      </c>
    </row>
    <row r="810" spans="3:47" x14ac:dyDescent="0.35">
      <c r="C810" t="s">
        <v>208</v>
      </c>
      <c r="D810">
        <v>0</v>
      </c>
      <c r="G810" t="s">
        <v>208</v>
      </c>
      <c r="H810">
        <v>0</v>
      </c>
      <c r="K810" t="s">
        <v>208</v>
      </c>
      <c r="L810">
        <v>0</v>
      </c>
      <c r="O810" t="s">
        <v>208</v>
      </c>
      <c r="P810">
        <v>0</v>
      </c>
      <c r="S810" t="s">
        <v>208</v>
      </c>
      <c r="T810">
        <v>0</v>
      </c>
      <c r="W810" t="s">
        <v>208</v>
      </c>
      <c r="X810">
        <v>0</v>
      </c>
      <c r="AA810" t="s">
        <v>208</v>
      </c>
      <c r="AB810">
        <v>0</v>
      </c>
      <c r="AE810" t="s">
        <v>208</v>
      </c>
      <c r="AF810">
        <v>0</v>
      </c>
      <c r="AI810" t="s">
        <v>208</v>
      </c>
      <c r="AJ810">
        <v>0</v>
      </c>
      <c r="AM810" t="s">
        <v>208</v>
      </c>
      <c r="AN810">
        <v>0</v>
      </c>
      <c r="AQ810" t="s">
        <v>208</v>
      </c>
      <c r="AR810">
        <v>0</v>
      </c>
      <c r="AT810" t="s">
        <v>77</v>
      </c>
      <c r="AU810">
        <v>0</v>
      </c>
    </row>
    <row r="811" spans="3:47" x14ac:dyDescent="0.35">
      <c r="C811" t="s">
        <v>209</v>
      </c>
      <c r="D811">
        <v>0</v>
      </c>
      <c r="G811" t="s">
        <v>209</v>
      </c>
      <c r="H811">
        <v>0</v>
      </c>
      <c r="K811" t="s">
        <v>209</v>
      </c>
      <c r="L811">
        <v>0</v>
      </c>
      <c r="O811" t="s">
        <v>209</v>
      </c>
      <c r="P811">
        <v>0</v>
      </c>
      <c r="S811" t="s">
        <v>209</v>
      </c>
      <c r="T811">
        <v>0</v>
      </c>
      <c r="W811" t="s">
        <v>209</v>
      </c>
      <c r="X811">
        <v>0</v>
      </c>
      <c r="AA811" t="s">
        <v>209</v>
      </c>
      <c r="AB811">
        <v>0</v>
      </c>
      <c r="AE811" t="s">
        <v>209</v>
      </c>
      <c r="AF811">
        <v>0</v>
      </c>
      <c r="AI811" t="s">
        <v>209</v>
      </c>
      <c r="AJ811">
        <v>0</v>
      </c>
      <c r="AM811" t="s">
        <v>209</v>
      </c>
      <c r="AN811">
        <v>0</v>
      </c>
      <c r="AQ811" t="s">
        <v>209</v>
      </c>
      <c r="AR811">
        <v>0</v>
      </c>
      <c r="AT811" t="s">
        <v>78</v>
      </c>
      <c r="AU811">
        <v>0</v>
      </c>
    </row>
    <row r="812" spans="3:47" x14ac:dyDescent="0.35">
      <c r="C812" t="s">
        <v>134</v>
      </c>
      <c r="D812">
        <v>0</v>
      </c>
      <c r="G812" t="s">
        <v>134</v>
      </c>
      <c r="H812">
        <v>0</v>
      </c>
      <c r="K812" t="s">
        <v>134</v>
      </c>
      <c r="L812">
        <v>0</v>
      </c>
      <c r="O812" t="s">
        <v>134</v>
      </c>
      <c r="P812">
        <v>1545</v>
      </c>
      <c r="S812" t="s">
        <v>134</v>
      </c>
      <c r="T812">
        <v>0</v>
      </c>
      <c r="W812" t="s">
        <v>134</v>
      </c>
      <c r="X812">
        <v>1990</v>
      </c>
      <c r="AA812" t="s">
        <v>134</v>
      </c>
      <c r="AB812">
        <v>0</v>
      </c>
      <c r="AE812" t="s">
        <v>134</v>
      </c>
      <c r="AF812">
        <v>0</v>
      </c>
      <c r="AI812" t="s">
        <v>134</v>
      </c>
      <c r="AJ812">
        <v>0</v>
      </c>
      <c r="AM812" t="s">
        <v>134</v>
      </c>
      <c r="AN812">
        <v>0</v>
      </c>
      <c r="AQ812" t="s">
        <v>134</v>
      </c>
      <c r="AR812">
        <v>0</v>
      </c>
      <c r="AT812" t="s">
        <v>67</v>
      </c>
      <c r="AU812">
        <v>1990</v>
      </c>
    </row>
    <row r="813" spans="3:47" x14ac:dyDescent="0.35">
      <c r="C813" t="s">
        <v>142</v>
      </c>
      <c r="D813">
        <v>0</v>
      </c>
      <c r="G813" t="s">
        <v>142</v>
      </c>
      <c r="H813">
        <v>0</v>
      </c>
      <c r="K813" t="s">
        <v>142</v>
      </c>
      <c r="L813">
        <v>0</v>
      </c>
      <c r="O813" t="s">
        <v>142</v>
      </c>
      <c r="P813">
        <v>0</v>
      </c>
      <c r="S813" t="s">
        <v>142</v>
      </c>
      <c r="T813">
        <v>0</v>
      </c>
      <c r="W813" t="s">
        <v>142</v>
      </c>
      <c r="X813">
        <v>0</v>
      </c>
      <c r="AA813" t="s">
        <v>142</v>
      </c>
      <c r="AB813">
        <v>0</v>
      </c>
      <c r="AE813" t="s">
        <v>142</v>
      </c>
      <c r="AF813">
        <v>0</v>
      </c>
      <c r="AI813" t="s">
        <v>142</v>
      </c>
      <c r="AJ813">
        <v>0</v>
      </c>
      <c r="AM813" t="s">
        <v>142</v>
      </c>
      <c r="AN813">
        <v>0</v>
      </c>
      <c r="AQ813" t="s">
        <v>142</v>
      </c>
      <c r="AR813">
        <v>0</v>
      </c>
      <c r="AT813" t="s">
        <v>80</v>
      </c>
      <c r="AU813">
        <v>0</v>
      </c>
    </row>
    <row r="814" spans="3:47" x14ac:dyDescent="0.35">
      <c r="C814" t="s">
        <v>83</v>
      </c>
      <c r="D814">
        <v>0</v>
      </c>
      <c r="G814" t="s">
        <v>83</v>
      </c>
      <c r="H814">
        <v>0</v>
      </c>
      <c r="K814" t="s">
        <v>83</v>
      </c>
      <c r="L814">
        <v>0</v>
      </c>
      <c r="O814" t="s">
        <v>83</v>
      </c>
      <c r="P814">
        <v>125</v>
      </c>
      <c r="S814" t="s">
        <v>83</v>
      </c>
      <c r="T814">
        <v>0</v>
      </c>
      <c r="W814" t="s">
        <v>83</v>
      </c>
      <c r="X814">
        <v>182</v>
      </c>
      <c r="AA814" t="s">
        <v>83</v>
      </c>
      <c r="AB814">
        <v>225</v>
      </c>
      <c r="AE814" t="s">
        <v>83</v>
      </c>
      <c r="AF814">
        <v>0</v>
      </c>
      <c r="AI814" t="s">
        <v>83</v>
      </c>
      <c r="AJ814">
        <v>0</v>
      </c>
      <c r="AM814" t="s">
        <v>83</v>
      </c>
      <c r="AN814">
        <v>0</v>
      </c>
      <c r="AQ814" t="s">
        <v>83</v>
      </c>
      <c r="AR814">
        <v>0</v>
      </c>
      <c r="AT814" t="s">
        <v>83</v>
      </c>
      <c r="AU814">
        <v>182</v>
      </c>
    </row>
    <row r="815" spans="3:47" x14ac:dyDescent="0.35">
      <c r="C815" t="s">
        <v>84</v>
      </c>
      <c r="D815">
        <v>0</v>
      </c>
      <c r="G815" t="s">
        <v>84</v>
      </c>
      <c r="H815">
        <v>0</v>
      </c>
      <c r="K815" t="s">
        <v>84</v>
      </c>
      <c r="L815">
        <v>0</v>
      </c>
      <c r="O815" t="s">
        <v>84</v>
      </c>
      <c r="P815">
        <v>886</v>
      </c>
      <c r="S815" t="s">
        <v>84</v>
      </c>
      <c r="T815">
        <v>0</v>
      </c>
      <c r="W815" t="s">
        <v>84</v>
      </c>
      <c r="X815">
        <v>0</v>
      </c>
      <c r="AA815" t="s">
        <v>84</v>
      </c>
      <c r="AB815">
        <v>0</v>
      </c>
      <c r="AE815" t="s">
        <v>84</v>
      </c>
      <c r="AF815">
        <v>0</v>
      </c>
      <c r="AI815" t="s">
        <v>84</v>
      </c>
      <c r="AJ815">
        <v>0</v>
      </c>
      <c r="AM815" t="s">
        <v>84</v>
      </c>
      <c r="AN815">
        <v>0</v>
      </c>
      <c r="AQ815" t="s">
        <v>84</v>
      </c>
      <c r="AR815">
        <v>0</v>
      </c>
      <c r="AT815" t="s">
        <v>84</v>
      </c>
      <c r="AU815">
        <v>0</v>
      </c>
    </row>
    <row r="816" spans="3:47" x14ac:dyDescent="0.35">
      <c r="C816" t="s">
        <v>126</v>
      </c>
      <c r="D816">
        <v>0</v>
      </c>
      <c r="G816" t="s">
        <v>126</v>
      </c>
      <c r="H816">
        <v>0</v>
      </c>
      <c r="K816" t="s">
        <v>223</v>
      </c>
      <c r="L816">
        <v>0</v>
      </c>
      <c r="O816" t="s">
        <v>126</v>
      </c>
      <c r="P816">
        <v>0</v>
      </c>
      <c r="S816" t="s">
        <v>126</v>
      </c>
      <c r="T816">
        <v>0</v>
      </c>
      <c r="W816" t="s">
        <v>126</v>
      </c>
      <c r="X816">
        <v>0</v>
      </c>
      <c r="AA816" t="s">
        <v>126</v>
      </c>
      <c r="AB816">
        <v>0</v>
      </c>
      <c r="AE816" t="s">
        <v>126</v>
      </c>
      <c r="AF816">
        <v>0</v>
      </c>
      <c r="AI816" t="s">
        <v>126</v>
      </c>
      <c r="AJ816">
        <v>0</v>
      </c>
      <c r="AM816" t="s">
        <v>126</v>
      </c>
      <c r="AN816">
        <v>0</v>
      </c>
      <c r="AQ816" t="s">
        <v>126</v>
      </c>
      <c r="AR816">
        <v>0</v>
      </c>
      <c r="AT816" t="s">
        <v>86</v>
      </c>
      <c r="AU816">
        <v>0</v>
      </c>
    </row>
    <row r="817" spans="1:47" x14ac:dyDescent="0.35">
      <c r="C817" t="s">
        <v>87</v>
      </c>
      <c r="D817">
        <v>0</v>
      </c>
      <c r="G817" t="s">
        <v>87</v>
      </c>
      <c r="H817">
        <v>0</v>
      </c>
      <c r="K817" t="s">
        <v>87</v>
      </c>
      <c r="L817">
        <v>0</v>
      </c>
      <c r="O817" t="s">
        <v>87</v>
      </c>
      <c r="P817">
        <v>0</v>
      </c>
      <c r="S817" t="s">
        <v>87</v>
      </c>
      <c r="T817">
        <v>0</v>
      </c>
      <c r="W817" t="s">
        <v>87</v>
      </c>
      <c r="X817">
        <v>0</v>
      </c>
      <c r="AA817" t="s">
        <v>87</v>
      </c>
      <c r="AB817">
        <v>0</v>
      </c>
      <c r="AE817" t="s">
        <v>87</v>
      </c>
      <c r="AF817">
        <v>0</v>
      </c>
      <c r="AI817" t="s">
        <v>87</v>
      </c>
      <c r="AJ817">
        <v>0</v>
      </c>
      <c r="AM817" t="s">
        <v>87</v>
      </c>
      <c r="AN817">
        <v>0</v>
      </c>
      <c r="AQ817" t="s">
        <v>87</v>
      </c>
      <c r="AR817">
        <v>0</v>
      </c>
      <c r="AT817" t="s">
        <v>87</v>
      </c>
      <c r="AU817">
        <v>0</v>
      </c>
    </row>
    <row r="818" spans="1:47" x14ac:dyDescent="0.35">
      <c r="A818" t="s">
        <v>184</v>
      </c>
      <c r="B818">
        <v>13231833.000000002</v>
      </c>
      <c r="C818" t="s">
        <v>135</v>
      </c>
      <c r="D818">
        <v>0</v>
      </c>
      <c r="E818" t="s">
        <v>184</v>
      </c>
      <c r="F818">
        <v>13595565.499999993</v>
      </c>
      <c r="G818" t="s">
        <v>135</v>
      </c>
      <c r="H818">
        <v>42</v>
      </c>
      <c r="I818" t="s">
        <v>184</v>
      </c>
      <c r="J818">
        <v>13970307.499999993</v>
      </c>
      <c r="K818" t="s">
        <v>135</v>
      </c>
      <c r="L818">
        <v>0</v>
      </c>
      <c r="M818" t="s">
        <v>184</v>
      </c>
      <c r="N818">
        <v>14356180.500000004</v>
      </c>
      <c r="O818" t="s">
        <v>135</v>
      </c>
      <c r="P818">
        <v>72</v>
      </c>
      <c r="Q818" t="s">
        <v>184</v>
      </c>
      <c r="R818">
        <v>14751356.499999994</v>
      </c>
      <c r="S818" t="s">
        <v>135</v>
      </c>
      <c r="T818">
        <v>3195</v>
      </c>
      <c r="U818" t="s">
        <v>184</v>
      </c>
      <c r="V818">
        <v>15157793.000000006</v>
      </c>
      <c r="W818" t="s">
        <v>135</v>
      </c>
      <c r="X818">
        <v>2132</v>
      </c>
      <c r="Y818" t="s">
        <v>184</v>
      </c>
      <c r="Z818">
        <v>15574908.999999998</v>
      </c>
      <c r="AA818" t="s">
        <v>135</v>
      </c>
      <c r="AB818">
        <v>0</v>
      </c>
      <c r="AC818" t="s">
        <v>184</v>
      </c>
      <c r="AD818">
        <v>16000781.500000006</v>
      </c>
      <c r="AE818" t="s">
        <v>135</v>
      </c>
      <c r="AF818">
        <v>5952</v>
      </c>
      <c r="AG818" t="s">
        <v>184</v>
      </c>
      <c r="AH818">
        <v>16436119.999999993</v>
      </c>
      <c r="AI818" t="s">
        <v>135</v>
      </c>
      <c r="AJ818">
        <v>3606</v>
      </c>
      <c r="AK818" t="s">
        <v>184</v>
      </c>
      <c r="AL818">
        <v>16876719.999999996</v>
      </c>
      <c r="AM818" t="s">
        <v>135</v>
      </c>
      <c r="AN818">
        <v>4634</v>
      </c>
      <c r="AO818" t="s">
        <v>184</v>
      </c>
      <c r="AP818">
        <v>17316449</v>
      </c>
      <c r="AQ818" t="s">
        <v>135</v>
      </c>
      <c r="AR818">
        <v>4876</v>
      </c>
      <c r="AS818" t="s">
        <v>184</v>
      </c>
      <c r="AT818" t="s">
        <v>148</v>
      </c>
      <c r="AU818">
        <v>2883</v>
      </c>
    </row>
    <row r="819" spans="1:47" x14ac:dyDescent="0.35">
      <c r="C819" t="s">
        <v>139</v>
      </c>
      <c r="D819">
        <v>0</v>
      </c>
      <c r="G819" t="s">
        <v>139</v>
      </c>
      <c r="H819">
        <v>0</v>
      </c>
      <c r="K819" t="s">
        <v>139</v>
      </c>
      <c r="L819">
        <v>0</v>
      </c>
      <c r="O819" t="s">
        <v>139</v>
      </c>
      <c r="P819">
        <v>3364</v>
      </c>
      <c r="S819" t="s">
        <v>139</v>
      </c>
      <c r="T819">
        <v>4980</v>
      </c>
      <c r="W819" t="s">
        <v>139</v>
      </c>
      <c r="X819">
        <v>5640</v>
      </c>
      <c r="AA819" t="s">
        <v>139</v>
      </c>
      <c r="AB819">
        <v>0</v>
      </c>
      <c r="AE819" t="s">
        <v>139</v>
      </c>
      <c r="AF819">
        <v>14883</v>
      </c>
      <c r="AI819" t="s">
        <v>139</v>
      </c>
      <c r="AJ819">
        <v>7600</v>
      </c>
      <c r="AM819" t="s">
        <v>139</v>
      </c>
      <c r="AN819">
        <v>12954</v>
      </c>
      <c r="AQ819" t="s">
        <v>139</v>
      </c>
      <c r="AR819">
        <v>9474</v>
      </c>
      <c r="AT819" t="s">
        <v>139</v>
      </c>
      <c r="AU819">
        <v>4577</v>
      </c>
    </row>
    <row r="820" spans="1:47" x14ac:dyDescent="0.35">
      <c r="C820" t="s">
        <v>138</v>
      </c>
      <c r="D820">
        <v>0</v>
      </c>
      <c r="G820" t="s">
        <v>138</v>
      </c>
      <c r="H820">
        <v>7892</v>
      </c>
      <c r="K820" t="s">
        <v>138</v>
      </c>
      <c r="L820">
        <v>0</v>
      </c>
      <c r="O820" t="s">
        <v>138</v>
      </c>
      <c r="P820">
        <v>2232</v>
      </c>
      <c r="S820" t="s">
        <v>138</v>
      </c>
      <c r="T820">
        <v>4004</v>
      </c>
      <c r="W820" t="s">
        <v>138</v>
      </c>
      <c r="X820">
        <v>4004</v>
      </c>
      <c r="AA820" t="s">
        <v>138</v>
      </c>
      <c r="AB820">
        <v>0</v>
      </c>
      <c r="AE820" t="s">
        <v>138</v>
      </c>
      <c r="AF820">
        <v>5312</v>
      </c>
      <c r="AI820" t="s">
        <v>138</v>
      </c>
      <c r="AJ820">
        <v>4122</v>
      </c>
      <c r="AM820" t="s">
        <v>138</v>
      </c>
      <c r="AN820">
        <v>5478</v>
      </c>
      <c r="AQ820" t="s">
        <v>138</v>
      </c>
      <c r="AR820">
        <v>5606</v>
      </c>
      <c r="AT820" t="s">
        <v>138</v>
      </c>
      <c r="AU820">
        <v>3015</v>
      </c>
    </row>
    <row r="821" spans="1:47" x14ac:dyDescent="0.35">
      <c r="C821" t="s">
        <v>82</v>
      </c>
      <c r="D821">
        <v>0</v>
      </c>
      <c r="G821" t="s">
        <v>82</v>
      </c>
      <c r="H821">
        <v>0</v>
      </c>
      <c r="K821" t="s">
        <v>82</v>
      </c>
      <c r="L821">
        <v>34261</v>
      </c>
      <c r="O821" t="s">
        <v>82</v>
      </c>
      <c r="P821">
        <v>0</v>
      </c>
      <c r="S821" t="s">
        <v>82</v>
      </c>
      <c r="T821">
        <v>0</v>
      </c>
      <c r="W821" t="s">
        <v>82</v>
      </c>
      <c r="X821">
        <v>50</v>
      </c>
      <c r="AA821" t="s">
        <v>82</v>
      </c>
      <c r="AB821">
        <v>45</v>
      </c>
      <c r="AE821" t="s">
        <v>82</v>
      </c>
      <c r="AF821">
        <v>0</v>
      </c>
      <c r="AI821" t="s">
        <v>82</v>
      </c>
      <c r="AJ821">
        <v>584</v>
      </c>
      <c r="AM821" t="s">
        <v>82</v>
      </c>
      <c r="AN821">
        <v>0</v>
      </c>
      <c r="AQ821" t="s">
        <v>82</v>
      </c>
      <c r="AR821">
        <v>17</v>
      </c>
      <c r="AT821" t="s">
        <v>82</v>
      </c>
      <c r="AU821">
        <v>215</v>
      </c>
    </row>
    <row r="822" spans="1:47" x14ac:dyDescent="0.35">
      <c r="C822" t="s">
        <v>60</v>
      </c>
      <c r="D822">
        <v>0</v>
      </c>
      <c r="G822" t="s">
        <v>60</v>
      </c>
      <c r="H822">
        <v>0</v>
      </c>
      <c r="K822" t="s">
        <v>60</v>
      </c>
      <c r="L822">
        <v>10770</v>
      </c>
      <c r="O822" t="s">
        <v>60</v>
      </c>
      <c r="P822">
        <v>0</v>
      </c>
      <c r="S822" t="s">
        <v>60</v>
      </c>
      <c r="T822">
        <v>0</v>
      </c>
      <c r="W822" t="s">
        <v>60</v>
      </c>
      <c r="X822">
        <v>30</v>
      </c>
      <c r="AA822" t="s">
        <v>60</v>
      </c>
      <c r="AB822">
        <v>276</v>
      </c>
      <c r="AE822" t="s">
        <v>60</v>
      </c>
      <c r="AF822">
        <v>0</v>
      </c>
      <c r="AI822" t="s">
        <v>60</v>
      </c>
      <c r="AJ822">
        <v>327</v>
      </c>
      <c r="AM822" t="s">
        <v>60</v>
      </c>
      <c r="AN822">
        <v>0</v>
      </c>
      <c r="AQ822" t="s">
        <v>60</v>
      </c>
      <c r="AR822">
        <v>18</v>
      </c>
      <c r="AT822" t="s">
        <v>60</v>
      </c>
      <c r="AU822">
        <v>236</v>
      </c>
    </row>
    <row r="823" spans="1:47" x14ac:dyDescent="0.35">
      <c r="C823" t="s">
        <v>127</v>
      </c>
      <c r="D823">
        <v>0</v>
      </c>
      <c r="G823" t="s">
        <v>127</v>
      </c>
      <c r="H823">
        <v>0</v>
      </c>
      <c r="K823" t="s">
        <v>127</v>
      </c>
      <c r="L823">
        <v>0</v>
      </c>
      <c r="O823" t="s">
        <v>127</v>
      </c>
      <c r="P823">
        <v>770</v>
      </c>
      <c r="S823" t="s">
        <v>127</v>
      </c>
      <c r="T823">
        <v>5</v>
      </c>
      <c r="W823" t="s">
        <v>127</v>
      </c>
      <c r="X823">
        <v>5</v>
      </c>
      <c r="AA823" t="s">
        <v>127</v>
      </c>
      <c r="AB823">
        <v>17417</v>
      </c>
      <c r="AE823" t="s">
        <v>127</v>
      </c>
      <c r="AF823">
        <v>1116</v>
      </c>
      <c r="AI823" t="s">
        <v>127</v>
      </c>
      <c r="AJ823">
        <v>0</v>
      </c>
      <c r="AM823" t="s">
        <v>127</v>
      </c>
      <c r="AN823">
        <v>16443</v>
      </c>
      <c r="AQ823" t="s">
        <v>127</v>
      </c>
      <c r="AR823">
        <v>18757</v>
      </c>
      <c r="AT823" t="s">
        <v>58</v>
      </c>
      <c r="AU823">
        <v>17417</v>
      </c>
    </row>
    <row r="824" spans="1:47" x14ac:dyDescent="0.35">
      <c r="C824" t="s">
        <v>61</v>
      </c>
      <c r="D824">
        <v>0</v>
      </c>
      <c r="G824" t="s">
        <v>61</v>
      </c>
      <c r="H824">
        <v>0</v>
      </c>
      <c r="K824" t="s">
        <v>61</v>
      </c>
      <c r="L824">
        <v>0</v>
      </c>
      <c r="O824" t="s">
        <v>61</v>
      </c>
      <c r="P824">
        <v>0</v>
      </c>
      <c r="S824" t="s">
        <v>61</v>
      </c>
      <c r="T824">
        <v>0</v>
      </c>
      <c r="W824" t="s">
        <v>61</v>
      </c>
      <c r="X824">
        <v>0</v>
      </c>
      <c r="AA824" t="s">
        <v>61</v>
      </c>
      <c r="AB824">
        <v>0</v>
      </c>
      <c r="AE824" t="s">
        <v>61</v>
      </c>
      <c r="AF824">
        <v>0</v>
      </c>
      <c r="AI824" t="s">
        <v>61</v>
      </c>
      <c r="AJ824">
        <v>0</v>
      </c>
      <c r="AM824" t="s">
        <v>61</v>
      </c>
      <c r="AN824">
        <v>0</v>
      </c>
      <c r="AQ824" t="s">
        <v>61</v>
      </c>
      <c r="AR824">
        <v>0</v>
      </c>
      <c r="AT824" t="s">
        <v>61</v>
      </c>
      <c r="AU824">
        <v>4</v>
      </c>
    </row>
    <row r="825" spans="1:47" x14ac:dyDescent="0.35">
      <c r="C825" t="s">
        <v>62</v>
      </c>
      <c r="D825">
        <v>0</v>
      </c>
      <c r="G825" t="s">
        <v>62</v>
      </c>
      <c r="H825">
        <v>0</v>
      </c>
      <c r="K825" t="s">
        <v>62</v>
      </c>
      <c r="L825">
        <v>3518</v>
      </c>
      <c r="O825" t="s">
        <v>62</v>
      </c>
      <c r="P825">
        <v>0</v>
      </c>
      <c r="S825" t="s">
        <v>62</v>
      </c>
      <c r="T825">
        <v>0</v>
      </c>
      <c r="W825" t="s">
        <v>62</v>
      </c>
      <c r="X825">
        <v>0</v>
      </c>
      <c r="AA825" t="s">
        <v>62</v>
      </c>
      <c r="AB825">
        <v>1925</v>
      </c>
      <c r="AE825" t="s">
        <v>62</v>
      </c>
      <c r="AF825">
        <v>0</v>
      </c>
      <c r="AI825" t="s">
        <v>62</v>
      </c>
      <c r="AJ825">
        <v>2494</v>
      </c>
      <c r="AM825" t="s">
        <v>62</v>
      </c>
      <c r="AN825">
        <v>0</v>
      </c>
      <c r="AQ825" t="s">
        <v>62</v>
      </c>
      <c r="AR825">
        <v>0</v>
      </c>
      <c r="AT825" t="s">
        <v>62</v>
      </c>
      <c r="AU825">
        <v>573</v>
      </c>
    </row>
    <row r="826" spans="1:47" x14ac:dyDescent="0.35">
      <c r="C826" t="s">
        <v>203</v>
      </c>
      <c r="D826">
        <v>0</v>
      </c>
      <c r="G826" t="s">
        <v>203</v>
      </c>
      <c r="H826">
        <v>0</v>
      </c>
      <c r="K826" t="s">
        <v>203</v>
      </c>
      <c r="L826">
        <v>0</v>
      </c>
      <c r="O826" t="s">
        <v>203</v>
      </c>
      <c r="P826">
        <v>0</v>
      </c>
      <c r="S826" t="s">
        <v>203</v>
      </c>
      <c r="T826">
        <v>0</v>
      </c>
      <c r="W826" t="s">
        <v>203</v>
      </c>
      <c r="X826">
        <v>0</v>
      </c>
      <c r="AA826" t="s">
        <v>203</v>
      </c>
      <c r="AB826">
        <v>0</v>
      </c>
      <c r="AE826" t="s">
        <v>203</v>
      </c>
      <c r="AF826">
        <v>15422</v>
      </c>
      <c r="AI826" t="s">
        <v>203</v>
      </c>
      <c r="AJ826">
        <v>0</v>
      </c>
      <c r="AM826" t="s">
        <v>203</v>
      </c>
      <c r="AN826">
        <v>949</v>
      </c>
      <c r="AQ826" t="s">
        <v>203</v>
      </c>
      <c r="AR826">
        <v>3378</v>
      </c>
      <c r="AT826" t="s">
        <v>64</v>
      </c>
      <c r="AU826">
        <v>1670</v>
      </c>
    </row>
    <row r="827" spans="1:47" x14ac:dyDescent="0.35">
      <c r="C827" t="s">
        <v>204</v>
      </c>
      <c r="D827">
        <v>0</v>
      </c>
      <c r="G827" t="s">
        <v>204</v>
      </c>
      <c r="H827">
        <v>0</v>
      </c>
      <c r="K827" t="s">
        <v>204</v>
      </c>
      <c r="L827">
        <v>0</v>
      </c>
      <c r="O827" t="s">
        <v>204</v>
      </c>
      <c r="P827">
        <v>0</v>
      </c>
      <c r="S827" t="s">
        <v>204</v>
      </c>
      <c r="T827">
        <v>0</v>
      </c>
      <c r="W827" t="s">
        <v>204</v>
      </c>
      <c r="X827">
        <v>0</v>
      </c>
      <c r="AA827" t="s">
        <v>204</v>
      </c>
      <c r="AB827">
        <v>0</v>
      </c>
      <c r="AE827" t="s">
        <v>204</v>
      </c>
      <c r="AF827">
        <v>686</v>
      </c>
      <c r="AI827" t="s">
        <v>204</v>
      </c>
      <c r="AJ827">
        <v>27</v>
      </c>
      <c r="AM827" t="s">
        <v>204</v>
      </c>
      <c r="AN827">
        <v>188</v>
      </c>
      <c r="AQ827" t="s">
        <v>204</v>
      </c>
      <c r="AR827">
        <v>0</v>
      </c>
      <c r="AT827" t="s">
        <v>65</v>
      </c>
      <c r="AU827">
        <v>135</v>
      </c>
    </row>
    <row r="828" spans="1:47" x14ac:dyDescent="0.35">
      <c r="C828" t="s">
        <v>205</v>
      </c>
      <c r="D828">
        <v>0</v>
      </c>
      <c r="G828" t="s">
        <v>205</v>
      </c>
      <c r="H828">
        <v>0</v>
      </c>
      <c r="K828" t="s">
        <v>205</v>
      </c>
      <c r="L828">
        <v>0</v>
      </c>
      <c r="O828" t="s">
        <v>205</v>
      </c>
      <c r="P828">
        <v>0</v>
      </c>
      <c r="S828" t="s">
        <v>205</v>
      </c>
      <c r="T828">
        <v>57</v>
      </c>
      <c r="W828" t="s">
        <v>205</v>
      </c>
      <c r="X828">
        <v>0</v>
      </c>
      <c r="AA828" t="s">
        <v>205</v>
      </c>
      <c r="AB828">
        <v>0</v>
      </c>
      <c r="AE828" t="s">
        <v>205</v>
      </c>
      <c r="AF828">
        <v>22</v>
      </c>
      <c r="AI828" t="s">
        <v>205</v>
      </c>
      <c r="AJ828">
        <v>13</v>
      </c>
      <c r="AM828" t="s">
        <v>205</v>
      </c>
      <c r="AN828">
        <v>98</v>
      </c>
      <c r="AQ828" t="s">
        <v>205</v>
      </c>
      <c r="AR828">
        <v>15</v>
      </c>
      <c r="AT828" t="s">
        <v>66</v>
      </c>
      <c r="AU828">
        <v>100</v>
      </c>
    </row>
    <row r="829" spans="1:47" x14ac:dyDescent="0.35">
      <c r="C829" t="s">
        <v>133</v>
      </c>
      <c r="D829">
        <v>0</v>
      </c>
      <c r="G829" t="s">
        <v>133</v>
      </c>
      <c r="H829">
        <v>0</v>
      </c>
      <c r="K829" t="s">
        <v>133</v>
      </c>
      <c r="L829">
        <v>0</v>
      </c>
      <c r="O829" t="s">
        <v>133</v>
      </c>
      <c r="P829">
        <v>0</v>
      </c>
      <c r="S829" t="s">
        <v>133</v>
      </c>
      <c r="T829">
        <v>0</v>
      </c>
      <c r="W829" t="s">
        <v>133</v>
      </c>
      <c r="X829">
        <v>37</v>
      </c>
      <c r="AA829" t="s">
        <v>133</v>
      </c>
      <c r="AB829">
        <v>328</v>
      </c>
      <c r="AE829" t="s">
        <v>133</v>
      </c>
      <c r="AF829">
        <v>715</v>
      </c>
      <c r="AI829" t="s">
        <v>133</v>
      </c>
      <c r="AJ829">
        <v>101</v>
      </c>
      <c r="AM829" t="s">
        <v>133</v>
      </c>
      <c r="AN829">
        <v>434</v>
      </c>
      <c r="AQ829" t="s">
        <v>133</v>
      </c>
      <c r="AR829">
        <v>0</v>
      </c>
      <c r="AT829" t="s">
        <v>79</v>
      </c>
      <c r="AU829">
        <v>1045</v>
      </c>
    </row>
    <row r="830" spans="1:47" x14ac:dyDescent="0.35">
      <c r="C830" t="s">
        <v>206</v>
      </c>
      <c r="D830">
        <v>0</v>
      </c>
      <c r="G830" t="s">
        <v>206</v>
      </c>
      <c r="H830">
        <v>0</v>
      </c>
      <c r="K830" t="s">
        <v>206</v>
      </c>
      <c r="L830">
        <v>0</v>
      </c>
      <c r="O830" t="s">
        <v>206</v>
      </c>
      <c r="P830">
        <v>0</v>
      </c>
      <c r="S830" t="s">
        <v>206</v>
      </c>
      <c r="T830">
        <v>0</v>
      </c>
      <c r="W830" t="s">
        <v>206</v>
      </c>
      <c r="X830">
        <v>0</v>
      </c>
      <c r="AA830" t="s">
        <v>206</v>
      </c>
      <c r="AB830">
        <v>0</v>
      </c>
      <c r="AE830" t="s">
        <v>206</v>
      </c>
      <c r="AF830">
        <v>2112</v>
      </c>
      <c r="AI830" t="s">
        <v>206</v>
      </c>
      <c r="AJ830">
        <v>1482</v>
      </c>
      <c r="AM830" t="s">
        <v>206</v>
      </c>
      <c r="AN830">
        <v>0</v>
      </c>
      <c r="AQ830" t="s">
        <v>206</v>
      </c>
      <c r="AR830">
        <v>0</v>
      </c>
      <c r="AT830" t="s">
        <v>68</v>
      </c>
      <c r="AU830">
        <v>2543</v>
      </c>
    </row>
    <row r="831" spans="1:47" x14ac:dyDescent="0.35">
      <c r="C831" t="s">
        <v>136</v>
      </c>
      <c r="D831">
        <v>0</v>
      </c>
      <c r="G831" t="s">
        <v>136</v>
      </c>
      <c r="H831">
        <v>22</v>
      </c>
      <c r="K831" t="s">
        <v>136</v>
      </c>
      <c r="L831">
        <v>0</v>
      </c>
      <c r="O831" t="s">
        <v>136</v>
      </c>
      <c r="P831">
        <v>0</v>
      </c>
      <c r="S831" t="s">
        <v>136</v>
      </c>
      <c r="T831">
        <v>78</v>
      </c>
      <c r="W831" t="s">
        <v>136</v>
      </c>
      <c r="X831">
        <v>0</v>
      </c>
      <c r="AA831" t="s">
        <v>136</v>
      </c>
      <c r="AB831">
        <v>0</v>
      </c>
      <c r="AE831" t="s">
        <v>136</v>
      </c>
      <c r="AF831">
        <v>124</v>
      </c>
      <c r="AI831" t="s">
        <v>136</v>
      </c>
      <c r="AJ831">
        <v>121</v>
      </c>
      <c r="AM831" t="s">
        <v>136</v>
      </c>
      <c r="AN831">
        <v>123</v>
      </c>
      <c r="AQ831" t="s">
        <v>136</v>
      </c>
      <c r="AR831">
        <v>237</v>
      </c>
      <c r="AT831" t="s">
        <v>69</v>
      </c>
      <c r="AU831">
        <v>542</v>
      </c>
    </row>
    <row r="832" spans="1:47" x14ac:dyDescent="0.35">
      <c r="C832" t="s">
        <v>207</v>
      </c>
      <c r="D832">
        <v>0</v>
      </c>
      <c r="G832" t="s">
        <v>207</v>
      </c>
      <c r="H832">
        <v>0</v>
      </c>
      <c r="K832" t="s">
        <v>207</v>
      </c>
      <c r="L832">
        <v>0</v>
      </c>
      <c r="O832" t="s">
        <v>207</v>
      </c>
      <c r="P832">
        <v>0</v>
      </c>
      <c r="S832" t="s">
        <v>207</v>
      </c>
      <c r="T832">
        <v>0</v>
      </c>
      <c r="W832" t="s">
        <v>207</v>
      </c>
      <c r="X832">
        <v>0</v>
      </c>
      <c r="AA832" t="s">
        <v>207</v>
      </c>
      <c r="AB832">
        <v>0</v>
      </c>
      <c r="AE832" t="s">
        <v>207</v>
      </c>
      <c r="AF832">
        <v>123</v>
      </c>
      <c r="AI832" t="s">
        <v>207</v>
      </c>
      <c r="AJ832">
        <v>0</v>
      </c>
      <c r="AM832" t="s">
        <v>207</v>
      </c>
      <c r="AN832">
        <v>2</v>
      </c>
      <c r="AQ832" t="s">
        <v>207</v>
      </c>
      <c r="AR832">
        <v>0</v>
      </c>
      <c r="AT832" t="s">
        <v>70</v>
      </c>
      <c r="AU832">
        <v>17</v>
      </c>
    </row>
    <row r="833" spans="1:47" x14ac:dyDescent="0.35">
      <c r="C833" t="s">
        <v>141</v>
      </c>
      <c r="D833">
        <v>0</v>
      </c>
      <c r="G833" t="s">
        <v>141</v>
      </c>
      <c r="H833">
        <v>0</v>
      </c>
      <c r="K833" t="s">
        <v>141</v>
      </c>
      <c r="L833">
        <v>0</v>
      </c>
      <c r="O833" t="s">
        <v>141</v>
      </c>
      <c r="P833">
        <v>0</v>
      </c>
      <c r="S833" t="s">
        <v>141</v>
      </c>
      <c r="T833">
        <v>0</v>
      </c>
      <c r="W833" t="s">
        <v>141</v>
      </c>
      <c r="X833">
        <v>0</v>
      </c>
      <c r="AA833" t="s">
        <v>141</v>
      </c>
      <c r="AB833">
        <v>0</v>
      </c>
      <c r="AE833" t="s">
        <v>141</v>
      </c>
      <c r="AF833">
        <v>1</v>
      </c>
      <c r="AI833" t="s">
        <v>141</v>
      </c>
      <c r="AJ833">
        <v>0</v>
      </c>
      <c r="AM833" t="s">
        <v>141</v>
      </c>
      <c r="AN833">
        <v>107</v>
      </c>
      <c r="AQ833" t="s">
        <v>141</v>
      </c>
      <c r="AR833">
        <v>0</v>
      </c>
      <c r="AT833" t="s">
        <v>76</v>
      </c>
      <c r="AU833">
        <v>108</v>
      </c>
    </row>
    <row r="834" spans="1:47" x14ac:dyDescent="0.35">
      <c r="C834" t="s">
        <v>208</v>
      </c>
      <c r="D834">
        <v>0</v>
      </c>
      <c r="G834" t="s">
        <v>208</v>
      </c>
      <c r="H834">
        <v>0</v>
      </c>
      <c r="K834" t="s">
        <v>208</v>
      </c>
      <c r="L834">
        <v>0</v>
      </c>
      <c r="O834" t="s">
        <v>208</v>
      </c>
      <c r="P834">
        <v>0</v>
      </c>
      <c r="S834" t="s">
        <v>208</v>
      </c>
      <c r="T834">
        <v>0</v>
      </c>
      <c r="W834" t="s">
        <v>208</v>
      </c>
      <c r="X834">
        <v>0</v>
      </c>
      <c r="AA834" t="s">
        <v>208</v>
      </c>
      <c r="AB834">
        <v>0</v>
      </c>
      <c r="AE834" t="s">
        <v>208</v>
      </c>
      <c r="AF834">
        <v>3647</v>
      </c>
      <c r="AI834" t="s">
        <v>208</v>
      </c>
      <c r="AJ834">
        <v>0</v>
      </c>
      <c r="AM834" t="s">
        <v>208</v>
      </c>
      <c r="AN834">
        <v>16</v>
      </c>
      <c r="AQ834" t="s">
        <v>208</v>
      </c>
      <c r="AR834">
        <v>0</v>
      </c>
      <c r="AT834" t="s">
        <v>77</v>
      </c>
      <c r="AU834">
        <v>5868</v>
      </c>
    </row>
    <row r="835" spans="1:47" x14ac:dyDescent="0.35">
      <c r="C835" t="s">
        <v>209</v>
      </c>
      <c r="D835">
        <v>0</v>
      </c>
      <c r="G835" t="s">
        <v>209</v>
      </c>
      <c r="H835">
        <v>0</v>
      </c>
      <c r="K835" t="s">
        <v>209</v>
      </c>
      <c r="L835">
        <v>0</v>
      </c>
      <c r="O835" t="s">
        <v>209</v>
      </c>
      <c r="P835">
        <v>0</v>
      </c>
      <c r="S835" t="s">
        <v>209</v>
      </c>
      <c r="T835">
        <v>0</v>
      </c>
      <c r="W835" t="s">
        <v>209</v>
      </c>
      <c r="X835">
        <v>0</v>
      </c>
      <c r="AA835" t="s">
        <v>209</v>
      </c>
      <c r="AB835">
        <v>0</v>
      </c>
      <c r="AE835" t="s">
        <v>209</v>
      </c>
      <c r="AF835">
        <v>1722</v>
      </c>
      <c r="AI835" t="s">
        <v>209</v>
      </c>
      <c r="AJ835">
        <v>0</v>
      </c>
      <c r="AM835" t="s">
        <v>209</v>
      </c>
      <c r="AN835">
        <v>344</v>
      </c>
      <c r="AQ835" t="s">
        <v>209</v>
      </c>
      <c r="AR835">
        <v>0</v>
      </c>
      <c r="AT835" t="s">
        <v>78</v>
      </c>
      <c r="AU835">
        <v>0</v>
      </c>
    </row>
    <row r="836" spans="1:47" x14ac:dyDescent="0.35">
      <c r="C836" t="s">
        <v>134</v>
      </c>
      <c r="D836">
        <v>0</v>
      </c>
      <c r="G836" t="s">
        <v>134</v>
      </c>
      <c r="H836">
        <v>546</v>
      </c>
      <c r="K836" t="s">
        <v>134</v>
      </c>
      <c r="L836">
        <v>0</v>
      </c>
      <c r="O836" t="s">
        <v>134</v>
      </c>
      <c r="P836">
        <v>0</v>
      </c>
      <c r="S836" t="s">
        <v>134</v>
      </c>
      <c r="T836">
        <v>37</v>
      </c>
      <c r="W836" t="s">
        <v>134</v>
      </c>
      <c r="X836">
        <v>0</v>
      </c>
      <c r="AA836" t="s">
        <v>134</v>
      </c>
      <c r="AB836">
        <v>0</v>
      </c>
      <c r="AE836" t="s">
        <v>134</v>
      </c>
      <c r="AF836">
        <v>0</v>
      </c>
      <c r="AI836" t="s">
        <v>134</v>
      </c>
      <c r="AJ836">
        <v>323</v>
      </c>
      <c r="AM836" t="s">
        <v>134</v>
      </c>
      <c r="AN836">
        <v>14</v>
      </c>
      <c r="AQ836" t="s">
        <v>134</v>
      </c>
      <c r="AR836">
        <v>252</v>
      </c>
      <c r="AT836" t="s">
        <v>67</v>
      </c>
      <c r="AU836">
        <v>328</v>
      </c>
    </row>
    <row r="837" spans="1:47" x14ac:dyDescent="0.35">
      <c r="C837" t="s">
        <v>142</v>
      </c>
      <c r="D837">
        <v>0</v>
      </c>
      <c r="G837" t="s">
        <v>142</v>
      </c>
      <c r="H837">
        <v>11</v>
      </c>
      <c r="K837" t="s">
        <v>142</v>
      </c>
      <c r="L837">
        <v>0</v>
      </c>
      <c r="O837" t="s">
        <v>142</v>
      </c>
      <c r="P837">
        <v>0</v>
      </c>
      <c r="S837" t="s">
        <v>142</v>
      </c>
      <c r="T837">
        <v>0</v>
      </c>
      <c r="W837" t="s">
        <v>142</v>
      </c>
      <c r="X837">
        <v>0</v>
      </c>
      <c r="AA837" t="s">
        <v>142</v>
      </c>
      <c r="AB837">
        <v>0</v>
      </c>
      <c r="AE837" t="s">
        <v>142</v>
      </c>
      <c r="AF837">
        <v>2352</v>
      </c>
      <c r="AI837" t="s">
        <v>142</v>
      </c>
      <c r="AJ837">
        <v>662</v>
      </c>
      <c r="AM837" t="s">
        <v>142</v>
      </c>
      <c r="AN837">
        <v>917</v>
      </c>
      <c r="AQ837" t="s">
        <v>142</v>
      </c>
      <c r="AR837">
        <v>1083</v>
      </c>
      <c r="AT837" t="s">
        <v>80</v>
      </c>
      <c r="AU837">
        <v>505</v>
      </c>
    </row>
    <row r="838" spans="1:47" x14ac:dyDescent="0.35">
      <c r="C838" t="s">
        <v>83</v>
      </c>
      <c r="D838">
        <v>0</v>
      </c>
      <c r="G838" t="s">
        <v>83</v>
      </c>
      <c r="H838">
        <v>11</v>
      </c>
      <c r="K838" t="s">
        <v>83</v>
      </c>
      <c r="L838">
        <v>0</v>
      </c>
      <c r="O838" t="s">
        <v>83</v>
      </c>
      <c r="P838">
        <v>0</v>
      </c>
      <c r="S838" t="s">
        <v>83</v>
      </c>
      <c r="T838">
        <v>0</v>
      </c>
      <c r="W838" t="s">
        <v>83</v>
      </c>
      <c r="X838">
        <v>0</v>
      </c>
      <c r="AA838" t="s">
        <v>83</v>
      </c>
      <c r="AB838">
        <v>0</v>
      </c>
      <c r="AE838" t="s">
        <v>83</v>
      </c>
      <c r="AF838">
        <v>0</v>
      </c>
      <c r="AI838" t="s">
        <v>83</v>
      </c>
      <c r="AJ838">
        <v>98</v>
      </c>
      <c r="AM838" t="s">
        <v>83</v>
      </c>
      <c r="AN838">
        <v>0</v>
      </c>
      <c r="AQ838" t="s">
        <v>83</v>
      </c>
      <c r="AR838">
        <v>94</v>
      </c>
      <c r="AT838" t="s">
        <v>83</v>
      </c>
      <c r="AU838">
        <v>0</v>
      </c>
    </row>
    <row r="839" spans="1:47" x14ac:dyDescent="0.35">
      <c r="C839" t="s">
        <v>84</v>
      </c>
      <c r="D839">
        <v>0</v>
      </c>
      <c r="G839" t="s">
        <v>84</v>
      </c>
      <c r="H839">
        <v>0</v>
      </c>
      <c r="K839" t="s">
        <v>84</v>
      </c>
      <c r="L839">
        <v>0</v>
      </c>
      <c r="O839" t="s">
        <v>84</v>
      </c>
      <c r="P839">
        <v>0</v>
      </c>
      <c r="S839" t="s">
        <v>84</v>
      </c>
      <c r="T839">
        <v>0</v>
      </c>
      <c r="W839" t="s">
        <v>84</v>
      </c>
      <c r="X839">
        <v>0</v>
      </c>
      <c r="AA839" t="s">
        <v>84</v>
      </c>
      <c r="AB839">
        <v>0</v>
      </c>
      <c r="AE839" t="s">
        <v>84</v>
      </c>
      <c r="AF839">
        <v>402</v>
      </c>
      <c r="AI839" t="s">
        <v>84</v>
      </c>
      <c r="AJ839">
        <v>491</v>
      </c>
      <c r="AM839" t="s">
        <v>84</v>
      </c>
      <c r="AN839">
        <v>173</v>
      </c>
      <c r="AQ839" t="s">
        <v>84</v>
      </c>
      <c r="AR839">
        <v>543</v>
      </c>
      <c r="AT839" t="s">
        <v>84</v>
      </c>
      <c r="AU839">
        <v>0</v>
      </c>
    </row>
    <row r="840" spans="1:47" x14ac:dyDescent="0.35">
      <c r="C840" t="s">
        <v>126</v>
      </c>
      <c r="D840">
        <v>0</v>
      </c>
      <c r="G840" t="s">
        <v>126</v>
      </c>
      <c r="H840">
        <v>0</v>
      </c>
      <c r="K840" t="s">
        <v>223</v>
      </c>
      <c r="L840">
        <v>0</v>
      </c>
      <c r="O840" t="s">
        <v>126</v>
      </c>
      <c r="P840">
        <v>0</v>
      </c>
      <c r="S840" t="s">
        <v>126</v>
      </c>
      <c r="T840">
        <v>0</v>
      </c>
      <c r="W840" t="s">
        <v>126</v>
      </c>
      <c r="X840">
        <v>0</v>
      </c>
      <c r="AA840" t="s">
        <v>126</v>
      </c>
      <c r="AB840">
        <v>0</v>
      </c>
      <c r="AE840" t="s">
        <v>126</v>
      </c>
      <c r="AF840">
        <v>2</v>
      </c>
      <c r="AI840" t="s">
        <v>126</v>
      </c>
      <c r="AJ840">
        <v>1</v>
      </c>
      <c r="AM840" t="s">
        <v>126</v>
      </c>
      <c r="AN840">
        <v>0</v>
      </c>
      <c r="AQ840" t="s">
        <v>126</v>
      </c>
      <c r="AR840">
        <v>0</v>
      </c>
      <c r="AT840" t="s">
        <v>86</v>
      </c>
      <c r="AU840">
        <v>0</v>
      </c>
    </row>
    <row r="841" spans="1:47" x14ac:dyDescent="0.35">
      <c r="C841" t="s">
        <v>87</v>
      </c>
      <c r="D841">
        <v>0</v>
      </c>
      <c r="G841" t="s">
        <v>87</v>
      </c>
      <c r="H841">
        <v>54</v>
      </c>
      <c r="K841" t="s">
        <v>87</v>
      </c>
      <c r="L841">
        <v>0</v>
      </c>
      <c r="O841" t="s">
        <v>87</v>
      </c>
      <c r="P841">
        <v>0</v>
      </c>
      <c r="S841" t="s">
        <v>87</v>
      </c>
      <c r="T841">
        <v>0</v>
      </c>
      <c r="W841" t="s">
        <v>87</v>
      </c>
      <c r="X841">
        <v>0</v>
      </c>
      <c r="AA841" t="s">
        <v>87</v>
      </c>
      <c r="AB841">
        <v>0</v>
      </c>
      <c r="AE841" t="s">
        <v>87</v>
      </c>
      <c r="AF841">
        <v>0</v>
      </c>
      <c r="AI841" t="s">
        <v>87</v>
      </c>
      <c r="AJ841">
        <v>0</v>
      </c>
      <c r="AM841" t="s">
        <v>87</v>
      </c>
      <c r="AN841">
        <v>0</v>
      </c>
      <c r="AQ841" t="s">
        <v>87</v>
      </c>
      <c r="AR841">
        <v>0</v>
      </c>
      <c r="AT841" t="s">
        <v>87</v>
      </c>
      <c r="AU841">
        <v>0</v>
      </c>
    </row>
    <row r="842" spans="1:47" x14ac:dyDescent="0.35">
      <c r="A842" t="s">
        <v>186</v>
      </c>
      <c r="B842">
        <v>6788587.5000000037</v>
      </c>
      <c r="C842" t="s">
        <v>135</v>
      </c>
      <c r="D842">
        <v>8</v>
      </c>
      <c r="E842" t="s">
        <v>186</v>
      </c>
      <c r="F842">
        <v>6964858.4999999972</v>
      </c>
      <c r="G842" t="s">
        <v>135</v>
      </c>
      <c r="H842">
        <v>0</v>
      </c>
      <c r="I842" t="s">
        <v>186</v>
      </c>
      <c r="J842">
        <v>7140688.0000000028</v>
      </c>
      <c r="K842" t="s">
        <v>135</v>
      </c>
      <c r="L842">
        <v>1</v>
      </c>
      <c r="M842" t="s">
        <v>186</v>
      </c>
      <c r="N842">
        <v>7314773</v>
      </c>
      <c r="O842" t="s">
        <v>135</v>
      </c>
      <c r="P842">
        <v>0</v>
      </c>
      <c r="Q842" t="s">
        <v>186</v>
      </c>
      <c r="R842">
        <v>7493912.9999999981</v>
      </c>
      <c r="S842" t="s">
        <v>135</v>
      </c>
      <c r="T842">
        <v>0</v>
      </c>
      <c r="U842" t="s">
        <v>186</v>
      </c>
      <c r="V842">
        <v>7677565.5000000019</v>
      </c>
      <c r="W842" t="s">
        <v>135</v>
      </c>
      <c r="X842">
        <v>0</v>
      </c>
      <c r="Y842" t="s">
        <v>186</v>
      </c>
      <c r="Z842">
        <v>7861281</v>
      </c>
      <c r="AA842" t="s">
        <v>135</v>
      </c>
      <c r="AB842">
        <v>1132</v>
      </c>
      <c r="AC842" t="s">
        <v>186</v>
      </c>
      <c r="AD842">
        <v>8046828.5</v>
      </c>
      <c r="AE842" t="s">
        <v>135</v>
      </c>
      <c r="AF842">
        <v>538</v>
      </c>
      <c r="AG842" t="s">
        <v>186</v>
      </c>
      <c r="AH842">
        <v>8233970.4999999991</v>
      </c>
      <c r="AI842" t="s">
        <v>135</v>
      </c>
      <c r="AJ842">
        <v>1152</v>
      </c>
      <c r="AK842" t="s">
        <v>186</v>
      </c>
      <c r="AL842">
        <v>8420641.0000000037</v>
      </c>
      <c r="AM842" t="s">
        <v>135</v>
      </c>
      <c r="AN842">
        <v>0</v>
      </c>
      <c r="AO842" t="s">
        <v>186</v>
      </c>
      <c r="AP842">
        <v>8605718.0000000056</v>
      </c>
      <c r="AQ842" t="s">
        <v>135</v>
      </c>
      <c r="AR842">
        <v>753</v>
      </c>
      <c r="AS842" t="s">
        <v>186</v>
      </c>
      <c r="AT842" t="s">
        <v>148</v>
      </c>
      <c r="AU842">
        <v>281</v>
      </c>
    </row>
    <row r="843" spans="1:47" x14ac:dyDescent="0.35">
      <c r="C843" t="s">
        <v>139</v>
      </c>
      <c r="D843">
        <v>0</v>
      </c>
      <c r="G843" t="s">
        <v>139</v>
      </c>
      <c r="H843">
        <v>12212</v>
      </c>
      <c r="K843" t="s">
        <v>139</v>
      </c>
      <c r="L843">
        <v>12216</v>
      </c>
      <c r="O843" t="s">
        <v>139</v>
      </c>
      <c r="P843">
        <v>11746</v>
      </c>
      <c r="S843" t="s">
        <v>139</v>
      </c>
      <c r="T843">
        <v>10320</v>
      </c>
      <c r="W843" t="s">
        <v>139</v>
      </c>
      <c r="X843">
        <v>11960</v>
      </c>
      <c r="AA843" t="s">
        <v>139</v>
      </c>
      <c r="AB843">
        <v>11514</v>
      </c>
      <c r="AE843" t="s">
        <v>139</v>
      </c>
      <c r="AF843">
        <v>8622</v>
      </c>
      <c r="AI843" t="s">
        <v>139</v>
      </c>
      <c r="AJ843">
        <v>2080</v>
      </c>
      <c r="AM843" t="s">
        <v>139</v>
      </c>
      <c r="AN843">
        <v>0</v>
      </c>
      <c r="AQ843" t="s">
        <v>139</v>
      </c>
      <c r="AR843">
        <v>14712</v>
      </c>
      <c r="AT843" t="s">
        <v>139</v>
      </c>
      <c r="AU843">
        <v>5302</v>
      </c>
    </row>
    <row r="844" spans="1:47" x14ac:dyDescent="0.35">
      <c r="C844" t="s">
        <v>138</v>
      </c>
      <c r="D844">
        <v>0</v>
      </c>
      <c r="G844" t="s">
        <v>138</v>
      </c>
      <c r="H844">
        <v>4374</v>
      </c>
      <c r="K844" t="s">
        <v>138</v>
      </c>
      <c r="L844">
        <v>1170</v>
      </c>
      <c r="O844" t="s">
        <v>138</v>
      </c>
      <c r="P844">
        <v>0</v>
      </c>
      <c r="S844" t="s">
        <v>138</v>
      </c>
      <c r="T844">
        <v>626</v>
      </c>
      <c r="W844" t="s">
        <v>138</v>
      </c>
      <c r="X844">
        <v>0</v>
      </c>
      <c r="AA844" t="s">
        <v>138</v>
      </c>
      <c r="AB844">
        <v>0</v>
      </c>
      <c r="AE844" t="s">
        <v>138</v>
      </c>
      <c r="AF844">
        <v>4746</v>
      </c>
      <c r="AI844" t="s">
        <v>138</v>
      </c>
      <c r="AJ844">
        <v>1278</v>
      </c>
      <c r="AM844" t="s">
        <v>138</v>
      </c>
      <c r="AN844">
        <v>0</v>
      </c>
      <c r="AQ844" t="s">
        <v>138</v>
      </c>
      <c r="AR844">
        <v>4542</v>
      </c>
      <c r="AT844" t="s">
        <v>138</v>
      </c>
      <c r="AU844">
        <v>391</v>
      </c>
    </row>
    <row r="845" spans="1:47" x14ac:dyDescent="0.35">
      <c r="C845" t="s">
        <v>82</v>
      </c>
      <c r="D845">
        <v>0</v>
      </c>
      <c r="G845" t="s">
        <v>82</v>
      </c>
      <c r="H845">
        <v>0</v>
      </c>
      <c r="K845" t="s">
        <v>82</v>
      </c>
      <c r="L845">
        <v>0</v>
      </c>
      <c r="O845" t="s">
        <v>82</v>
      </c>
      <c r="P845">
        <v>0</v>
      </c>
      <c r="S845" t="s">
        <v>82</v>
      </c>
      <c r="T845">
        <v>0</v>
      </c>
      <c r="W845" t="s">
        <v>82</v>
      </c>
      <c r="X845">
        <v>0</v>
      </c>
      <c r="AA845" t="s">
        <v>82</v>
      </c>
      <c r="AB845">
        <v>0</v>
      </c>
      <c r="AE845" t="s">
        <v>82</v>
      </c>
      <c r="AF845">
        <v>0</v>
      </c>
      <c r="AI845" t="s">
        <v>82</v>
      </c>
      <c r="AJ845">
        <v>78</v>
      </c>
      <c r="AM845" t="s">
        <v>82</v>
      </c>
      <c r="AN845">
        <v>4740</v>
      </c>
      <c r="AQ845" t="s">
        <v>82</v>
      </c>
      <c r="AR845">
        <v>0</v>
      </c>
      <c r="AT845" t="s">
        <v>82</v>
      </c>
      <c r="AU845">
        <v>156</v>
      </c>
    </row>
    <row r="846" spans="1:47" x14ac:dyDescent="0.35">
      <c r="C846" t="s">
        <v>60</v>
      </c>
      <c r="D846">
        <v>0</v>
      </c>
      <c r="G846" t="s">
        <v>60</v>
      </c>
      <c r="H846">
        <v>0</v>
      </c>
      <c r="K846" t="s">
        <v>60</v>
      </c>
      <c r="L846">
        <v>0</v>
      </c>
      <c r="O846" t="s">
        <v>60</v>
      </c>
      <c r="P846">
        <v>0</v>
      </c>
      <c r="S846" t="s">
        <v>60</v>
      </c>
      <c r="T846">
        <v>0</v>
      </c>
      <c r="W846" t="s">
        <v>60</v>
      </c>
      <c r="X846">
        <v>0</v>
      </c>
      <c r="AA846" t="s">
        <v>60</v>
      </c>
      <c r="AB846">
        <v>0</v>
      </c>
      <c r="AE846" t="s">
        <v>60</v>
      </c>
      <c r="AF846">
        <v>0</v>
      </c>
      <c r="AI846" t="s">
        <v>60</v>
      </c>
      <c r="AJ846">
        <v>0</v>
      </c>
      <c r="AM846" t="s">
        <v>60</v>
      </c>
      <c r="AN846">
        <v>610</v>
      </c>
      <c r="AQ846" t="s">
        <v>60</v>
      </c>
      <c r="AR846">
        <v>0</v>
      </c>
      <c r="AT846" t="s">
        <v>60</v>
      </c>
      <c r="AU846">
        <v>423</v>
      </c>
    </row>
    <row r="847" spans="1:47" x14ac:dyDescent="0.35">
      <c r="C847" t="s">
        <v>127</v>
      </c>
      <c r="D847">
        <v>0</v>
      </c>
      <c r="G847" t="s">
        <v>127</v>
      </c>
      <c r="H847">
        <v>0</v>
      </c>
      <c r="K847" t="s">
        <v>127</v>
      </c>
      <c r="L847">
        <v>0</v>
      </c>
      <c r="O847" t="s">
        <v>127</v>
      </c>
      <c r="P847">
        <v>0</v>
      </c>
      <c r="S847" t="s">
        <v>127</v>
      </c>
      <c r="T847">
        <v>14622</v>
      </c>
      <c r="W847" t="s">
        <v>127</v>
      </c>
      <c r="X847">
        <v>0</v>
      </c>
      <c r="AA847" t="s">
        <v>127</v>
      </c>
      <c r="AB847">
        <v>0</v>
      </c>
      <c r="AE847" t="s">
        <v>127</v>
      </c>
      <c r="AF847">
        <v>15000</v>
      </c>
      <c r="AI847" t="s">
        <v>127</v>
      </c>
      <c r="AJ847">
        <v>13966</v>
      </c>
      <c r="AM847" t="s">
        <v>127</v>
      </c>
      <c r="AN847">
        <v>0</v>
      </c>
      <c r="AQ847" t="s">
        <v>127</v>
      </c>
      <c r="AR847">
        <v>0</v>
      </c>
      <c r="AT847" t="s">
        <v>58</v>
      </c>
      <c r="AU847">
        <v>505</v>
      </c>
    </row>
    <row r="848" spans="1:47" x14ac:dyDescent="0.35">
      <c r="C848" t="s">
        <v>61</v>
      </c>
      <c r="D848">
        <v>0</v>
      </c>
      <c r="G848" t="s">
        <v>61</v>
      </c>
      <c r="H848">
        <v>0</v>
      </c>
      <c r="K848" t="s">
        <v>61</v>
      </c>
      <c r="L848">
        <v>0</v>
      </c>
      <c r="O848" t="s">
        <v>61</v>
      </c>
      <c r="P848">
        <v>0</v>
      </c>
      <c r="S848" t="s">
        <v>61</v>
      </c>
      <c r="T848">
        <v>0</v>
      </c>
      <c r="W848" t="s">
        <v>61</v>
      </c>
      <c r="X848">
        <v>0</v>
      </c>
      <c r="AA848" t="s">
        <v>61</v>
      </c>
      <c r="AB848">
        <v>0</v>
      </c>
      <c r="AE848" t="s">
        <v>61</v>
      </c>
      <c r="AF848">
        <v>0</v>
      </c>
      <c r="AI848" t="s">
        <v>61</v>
      </c>
      <c r="AJ848">
        <v>0</v>
      </c>
      <c r="AM848" t="s">
        <v>61</v>
      </c>
      <c r="AN848">
        <v>120</v>
      </c>
      <c r="AQ848" t="s">
        <v>61</v>
      </c>
      <c r="AR848">
        <v>0</v>
      </c>
      <c r="AT848" t="s">
        <v>61</v>
      </c>
      <c r="AU848">
        <v>103</v>
      </c>
    </row>
    <row r="849" spans="3:47" x14ac:dyDescent="0.35">
      <c r="C849" t="s">
        <v>62</v>
      </c>
      <c r="D849">
        <v>0</v>
      </c>
      <c r="G849" t="s">
        <v>62</v>
      </c>
      <c r="H849">
        <v>0</v>
      </c>
      <c r="K849" t="s">
        <v>62</v>
      </c>
      <c r="L849">
        <v>0</v>
      </c>
      <c r="O849" t="s">
        <v>62</v>
      </c>
      <c r="P849">
        <v>0</v>
      </c>
      <c r="S849" t="s">
        <v>62</v>
      </c>
      <c r="T849">
        <v>0</v>
      </c>
      <c r="W849" t="s">
        <v>62</v>
      </c>
      <c r="X849">
        <v>0</v>
      </c>
      <c r="AA849" t="s">
        <v>62</v>
      </c>
      <c r="AB849">
        <v>0</v>
      </c>
      <c r="AE849" t="s">
        <v>62</v>
      </c>
      <c r="AF849">
        <v>0</v>
      </c>
      <c r="AI849" t="s">
        <v>62</v>
      </c>
      <c r="AJ849">
        <v>0</v>
      </c>
      <c r="AM849" t="s">
        <v>62</v>
      </c>
      <c r="AN849">
        <v>790</v>
      </c>
      <c r="AQ849" t="s">
        <v>62</v>
      </c>
      <c r="AR849">
        <v>0</v>
      </c>
      <c r="AT849" t="s">
        <v>62</v>
      </c>
      <c r="AU849">
        <v>406</v>
      </c>
    </row>
    <row r="850" spans="3:47" x14ac:dyDescent="0.35">
      <c r="C850" t="s">
        <v>203</v>
      </c>
      <c r="D850">
        <v>0</v>
      </c>
      <c r="G850" t="s">
        <v>203</v>
      </c>
      <c r="H850">
        <v>0</v>
      </c>
      <c r="K850" t="s">
        <v>203</v>
      </c>
      <c r="L850">
        <v>0</v>
      </c>
      <c r="O850" t="s">
        <v>203</v>
      </c>
      <c r="P850">
        <v>0</v>
      </c>
      <c r="S850" t="s">
        <v>203</v>
      </c>
      <c r="T850">
        <v>0</v>
      </c>
      <c r="W850" t="s">
        <v>203</v>
      </c>
      <c r="X850">
        <v>0</v>
      </c>
      <c r="AA850" t="s">
        <v>203</v>
      </c>
      <c r="AB850">
        <v>0</v>
      </c>
      <c r="AE850" t="s">
        <v>203</v>
      </c>
      <c r="AF850">
        <v>0</v>
      </c>
      <c r="AI850" t="s">
        <v>203</v>
      </c>
      <c r="AJ850">
        <v>2251</v>
      </c>
      <c r="AM850" t="s">
        <v>203</v>
      </c>
      <c r="AN850">
        <v>0</v>
      </c>
      <c r="AQ850" t="s">
        <v>203</v>
      </c>
      <c r="AR850">
        <v>0</v>
      </c>
      <c r="AT850" t="s">
        <v>64</v>
      </c>
      <c r="AU850">
        <v>0</v>
      </c>
    </row>
    <row r="851" spans="3:47" x14ac:dyDescent="0.35">
      <c r="C851" t="s">
        <v>204</v>
      </c>
      <c r="D851">
        <v>0</v>
      </c>
      <c r="G851" t="s">
        <v>204</v>
      </c>
      <c r="H851">
        <v>0</v>
      </c>
      <c r="K851" t="s">
        <v>204</v>
      </c>
      <c r="L851">
        <v>0</v>
      </c>
      <c r="O851" t="s">
        <v>204</v>
      </c>
      <c r="P851">
        <v>0</v>
      </c>
      <c r="S851" t="s">
        <v>204</v>
      </c>
      <c r="T851">
        <v>0</v>
      </c>
      <c r="W851" t="s">
        <v>204</v>
      </c>
      <c r="X851">
        <v>0</v>
      </c>
      <c r="AA851" t="s">
        <v>204</v>
      </c>
      <c r="AB851">
        <v>0</v>
      </c>
      <c r="AE851" t="s">
        <v>204</v>
      </c>
      <c r="AF851">
        <v>93</v>
      </c>
      <c r="AI851" t="s">
        <v>204</v>
      </c>
      <c r="AJ851">
        <v>487</v>
      </c>
      <c r="AM851" t="s">
        <v>204</v>
      </c>
      <c r="AN851">
        <v>0</v>
      </c>
      <c r="AQ851" t="s">
        <v>204</v>
      </c>
      <c r="AR851">
        <v>0</v>
      </c>
      <c r="AT851" t="s">
        <v>65</v>
      </c>
      <c r="AU851">
        <v>0</v>
      </c>
    </row>
    <row r="852" spans="3:47" x14ac:dyDescent="0.35">
      <c r="C852" t="s">
        <v>205</v>
      </c>
      <c r="D852">
        <v>0</v>
      </c>
      <c r="G852" t="s">
        <v>205</v>
      </c>
      <c r="H852">
        <v>0</v>
      </c>
      <c r="K852" t="s">
        <v>205</v>
      </c>
      <c r="L852">
        <v>0</v>
      </c>
      <c r="O852" t="s">
        <v>205</v>
      </c>
      <c r="P852">
        <v>0</v>
      </c>
      <c r="S852" t="s">
        <v>205</v>
      </c>
      <c r="T852">
        <v>0</v>
      </c>
      <c r="W852" t="s">
        <v>205</v>
      </c>
      <c r="X852">
        <v>0</v>
      </c>
      <c r="AA852" t="s">
        <v>205</v>
      </c>
      <c r="AB852">
        <v>0</v>
      </c>
      <c r="AE852" t="s">
        <v>205</v>
      </c>
      <c r="AF852">
        <v>25</v>
      </c>
      <c r="AI852" t="s">
        <v>205</v>
      </c>
      <c r="AJ852">
        <v>530</v>
      </c>
      <c r="AM852" t="s">
        <v>205</v>
      </c>
      <c r="AN852">
        <v>0</v>
      </c>
      <c r="AQ852" t="s">
        <v>205</v>
      </c>
      <c r="AR852">
        <v>13</v>
      </c>
      <c r="AT852" t="s">
        <v>66</v>
      </c>
      <c r="AU852">
        <v>128</v>
      </c>
    </row>
    <row r="853" spans="3:47" x14ac:dyDescent="0.35">
      <c r="C853" t="s">
        <v>133</v>
      </c>
      <c r="D853">
        <v>0</v>
      </c>
      <c r="G853" t="s">
        <v>133</v>
      </c>
      <c r="H853">
        <v>0</v>
      </c>
      <c r="K853" t="s">
        <v>133</v>
      </c>
      <c r="L853">
        <v>0</v>
      </c>
      <c r="O853" t="s">
        <v>133</v>
      </c>
      <c r="P853">
        <v>0</v>
      </c>
      <c r="S853" t="s">
        <v>133</v>
      </c>
      <c r="T853">
        <v>0</v>
      </c>
      <c r="W853" t="s">
        <v>133</v>
      </c>
      <c r="X853">
        <v>0</v>
      </c>
      <c r="AA853" t="s">
        <v>133</v>
      </c>
      <c r="AB853">
        <v>311</v>
      </c>
      <c r="AE853" t="s">
        <v>133</v>
      </c>
      <c r="AF853">
        <v>0</v>
      </c>
      <c r="AI853" t="s">
        <v>133</v>
      </c>
      <c r="AJ853">
        <v>114</v>
      </c>
      <c r="AM853" t="s">
        <v>133</v>
      </c>
      <c r="AN853">
        <v>0</v>
      </c>
      <c r="AQ853" t="s">
        <v>133</v>
      </c>
      <c r="AR853">
        <v>0</v>
      </c>
      <c r="AT853" t="s">
        <v>79</v>
      </c>
      <c r="AU853">
        <v>0</v>
      </c>
    </row>
    <row r="854" spans="3:47" x14ac:dyDescent="0.35">
      <c r="C854" t="s">
        <v>206</v>
      </c>
      <c r="D854">
        <v>0</v>
      </c>
      <c r="G854" t="s">
        <v>206</v>
      </c>
      <c r="H854">
        <v>0</v>
      </c>
      <c r="K854" t="s">
        <v>206</v>
      </c>
      <c r="L854">
        <v>0</v>
      </c>
      <c r="O854" t="s">
        <v>206</v>
      </c>
      <c r="P854">
        <v>0</v>
      </c>
      <c r="S854" t="s">
        <v>206</v>
      </c>
      <c r="T854">
        <v>0</v>
      </c>
      <c r="W854" t="s">
        <v>206</v>
      </c>
      <c r="X854">
        <v>0</v>
      </c>
      <c r="AA854" t="s">
        <v>206</v>
      </c>
      <c r="AB854">
        <v>0</v>
      </c>
      <c r="AE854" t="s">
        <v>206</v>
      </c>
      <c r="AF854">
        <v>0</v>
      </c>
      <c r="AI854" t="s">
        <v>206</v>
      </c>
      <c r="AJ854">
        <v>0</v>
      </c>
      <c r="AM854" t="s">
        <v>206</v>
      </c>
      <c r="AN854">
        <v>0</v>
      </c>
      <c r="AQ854" t="s">
        <v>206</v>
      </c>
      <c r="AR854">
        <v>0</v>
      </c>
      <c r="AT854" t="s">
        <v>68</v>
      </c>
      <c r="AU854">
        <v>0</v>
      </c>
    </row>
    <row r="855" spans="3:47" x14ac:dyDescent="0.35">
      <c r="C855" t="s">
        <v>136</v>
      </c>
      <c r="D855">
        <v>0</v>
      </c>
      <c r="G855" t="s">
        <v>136</v>
      </c>
      <c r="H855">
        <v>0</v>
      </c>
      <c r="K855" t="s">
        <v>136</v>
      </c>
      <c r="L855">
        <v>0</v>
      </c>
      <c r="O855" t="s">
        <v>136</v>
      </c>
      <c r="P855">
        <v>0</v>
      </c>
      <c r="S855" t="s">
        <v>136</v>
      </c>
      <c r="T855">
        <v>0</v>
      </c>
      <c r="W855" t="s">
        <v>136</v>
      </c>
      <c r="X855">
        <v>0</v>
      </c>
      <c r="AA855" t="s">
        <v>136</v>
      </c>
      <c r="AB855">
        <v>0</v>
      </c>
      <c r="AE855" t="s">
        <v>136</v>
      </c>
      <c r="AF855">
        <v>36</v>
      </c>
      <c r="AI855" t="s">
        <v>136</v>
      </c>
      <c r="AJ855">
        <v>0</v>
      </c>
      <c r="AM855" t="s">
        <v>136</v>
      </c>
      <c r="AN855">
        <v>0</v>
      </c>
      <c r="AQ855" t="s">
        <v>136</v>
      </c>
      <c r="AR855">
        <v>38</v>
      </c>
      <c r="AT855" t="s">
        <v>69</v>
      </c>
      <c r="AU855">
        <v>22</v>
      </c>
    </row>
    <row r="856" spans="3:47" x14ac:dyDescent="0.35">
      <c r="C856" t="s">
        <v>207</v>
      </c>
      <c r="D856">
        <v>0</v>
      </c>
      <c r="G856" t="s">
        <v>207</v>
      </c>
      <c r="H856">
        <v>0</v>
      </c>
      <c r="K856" t="s">
        <v>207</v>
      </c>
      <c r="L856">
        <v>0</v>
      </c>
      <c r="O856" t="s">
        <v>207</v>
      </c>
      <c r="P856">
        <v>0</v>
      </c>
      <c r="S856" t="s">
        <v>207</v>
      </c>
      <c r="T856">
        <v>0</v>
      </c>
      <c r="W856" t="s">
        <v>207</v>
      </c>
      <c r="X856">
        <v>0</v>
      </c>
      <c r="AA856" t="s">
        <v>207</v>
      </c>
      <c r="AB856">
        <v>0</v>
      </c>
      <c r="AE856" t="s">
        <v>207</v>
      </c>
      <c r="AF856">
        <v>64</v>
      </c>
      <c r="AI856" t="s">
        <v>207</v>
      </c>
      <c r="AJ856">
        <v>0</v>
      </c>
      <c r="AM856" t="s">
        <v>207</v>
      </c>
      <c r="AN856">
        <v>0</v>
      </c>
      <c r="AQ856" t="s">
        <v>207</v>
      </c>
      <c r="AR856">
        <v>195</v>
      </c>
      <c r="AT856" t="s">
        <v>70</v>
      </c>
      <c r="AU856">
        <v>0</v>
      </c>
    </row>
    <row r="857" spans="3:47" x14ac:dyDescent="0.35">
      <c r="C857" t="s">
        <v>141</v>
      </c>
      <c r="D857">
        <v>0</v>
      </c>
      <c r="G857" t="s">
        <v>141</v>
      </c>
      <c r="H857">
        <v>0</v>
      </c>
      <c r="K857" t="s">
        <v>141</v>
      </c>
      <c r="L857">
        <v>0</v>
      </c>
      <c r="O857" t="s">
        <v>141</v>
      </c>
      <c r="P857">
        <v>0</v>
      </c>
      <c r="S857" t="s">
        <v>141</v>
      </c>
      <c r="T857">
        <v>0</v>
      </c>
      <c r="W857" t="s">
        <v>141</v>
      </c>
      <c r="X857">
        <v>0</v>
      </c>
      <c r="AA857" t="s">
        <v>141</v>
      </c>
      <c r="AB857">
        <v>0</v>
      </c>
      <c r="AE857" t="s">
        <v>141</v>
      </c>
      <c r="AF857">
        <v>15</v>
      </c>
      <c r="AI857" t="s">
        <v>141</v>
      </c>
      <c r="AJ857">
        <v>1</v>
      </c>
      <c r="AM857" t="s">
        <v>141</v>
      </c>
      <c r="AN857">
        <v>0</v>
      </c>
      <c r="AQ857" t="s">
        <v>141</v>
      </c>
      <c r="AR857">
        <v>2</v>
      </c>
      <c r="AT857" t="s">
        <v>76</v>
      </c>
      <c r="AU857">
        <v>13</v>
      </c>
    </row>
    <row r="858" spans="3:47" x14ac:dyDescent="0.35">
      <c r="C858" t="s">
        <v>208</v>
      </c>
      <c r="D858">
        <v>0</v>
      </c>
      <c r="G858" t="s">
        <v>208</v>
      </c>
      <c r="H858">
        <v>0</v>
      </c>
      <c r="K858" t="s">
        <v>208</v>
      </c>
      <c r="L858">
        <v>0</v>
      </c>
      <c r="O858" t="s">
        <v>208</v>
      </c>
      <c r="P858">
        <v>0</v>
      </c>
      <c r="S858" t="s">
        <v>208</v>
      </c>
      <c r="T858">
        <v>0</v>
      </c>
      <c r="W858" t="s">
        <v>208</v>
      </c>
      <c r="X858">
        <v>0</v>
      </c>
      <c r="AA858" t="s">
        <v>208</v>
      </c>
      <c r="AB858">
        <v>0</v>
      </c>
      <c r="AE858" t="s">
        <v>208</v>
      </c>
      <c r="AF858">
        <v>0</v>
      </c>
      <c r="AI858" t="s">
        <v>208</v>
      </c>
      <c r="AJ858">
        <v>0</v>
      </c>
      <c r="AM858" t="s">
        <v>208</v>
      </c>
      <c r="AN858">
        <v>0</v>
      </c>
      <c r="AQ858" t="s">
        <v>208</v>
      </c>
      <c r="AR858">
        <v>0</v>
      </c>
      <c r="AT858" t="s">
        <v>77</v>
      </c>
      <c r="AU858">
        <v>0</v>
      </c>
    </row>
    <row r="859" spans="3:47" x14ac:dyDescent="0.35">
      <c r="C859" t="s">
        <v>209</v>
      </c>
      <c r="D859">
        <v>0</v>
      </c>
      <c r="G859" t="s">
        <v>209</v>
      </c>
      <c r="H859">
        <v>0</v>
      </c>
      <c r="K859" t="s">
        <v>209</v>
      </c>
      <c r="L859">
        <v>0</v>
      </c>
      <c r="O859" t="s">
        <v>209</v>
      </c>
      <c r="P859">
        <v>0</v>
      </c>
      <c r="S859" t="s">
        <v>209</v>
      </c>
      <c r="T859">
        <v>0</v>
      </c>
      <c r="W859" t="s">
        <v>209</v>
      </c>
      <c r="X859">
        <v>0</v>
      </c>
      <c r="AA859" t="s">
        <v>209</v>
      </c>
      <c r="AB859">
        <v>0</v>
      </c>
      <c r="AE859" t="s">
        <v>209</v>
      </c>
      <c r="AF859">
        <v>0</v>
      </c>
      <c r="AI859" t="s">
        <v>209</v>
      </c>
      <c r="AJ859">
        <v>0</v>
      </c>
      <c r="AM859" t="s">
        <v>209</v>
      </c>
      <c r="AN859">
        <v>0</v>
      </c>
      <c r="AQ859" t="s">
        <v>209</v>
      </c>
      <c r="AR859">
        <v>0</v>
      </c>
      <c r="AT859" t="s">
        <v>78</v>
      </c>
      <c r="AU859">
        <v>0</v>
      </c>
    </row>
    <row r="860" spans="3:47" x14ac:dyDescent="0.35">
      <c r="C860" t="s">
        <v>134</v>
      </c>
      <c r="D860">
        <v>0</v>
      </c>
      <c r="G860" t="s">
        <v>134</v>
      </c>
      <c r="H860">
        <v>0</v>
      </c>
      <c r="K860" t="s">
        <v>134</v>
      </c>
      <c r="L860">
        <v>0</v>
      </c>
      <c r="O860" t="s">
        <v>134</v>
      </c>
      <c r="P860">
        <v>0</v>
      </c>
      <c r="S860" t="s">
        <v>134</v>
      </c>
      <c r="T860">
        <v>0</v>
      </c>
      <c r="W860" t="s">
        <v>134</v>
      </c>
      <c r="X860">
        <v>0</v>
      </c>
      <c r="AA860" t="s">
        <v>134</v>
      </c>
      <c r="AB860">
        <v>0</v>
      </c>
      <c r="AE860" t="s">
        <v>134</v>
      </c>
      <c r="AF860">
        <v>342</v>
      </c>
      <c r="AI860" t="s">
        <v>134</v>
      </c>
      <c r="AJ860">
        <v>0</v>
      </c>
      <c r="AM860" t="s">
        <v>134</v>
      </c>
      <c r="AN860">
        <v>0</v>
      </c>
      <c r="AQ860" t="s">
        <v>134</v>
      </c>
      <c r="AR860">
        <v>298</v>
      </c>
      <c r="AT860" t="s">
        <v>67</v>
      </c>
      <c r="AU860">
        <v>311</v>
      </c>
    </row>
    <row r="861" spans="3:47" x14ac:dyDescent="0.35">
      <c r="C861" t="s">
        <v>142</v>
      </c>
      <c r="D861">
        <v>0</v>
      </c>
      <c r="G861" t="s">
        <v>142</v>
      </c>
      <c r="H861">
        <v>0</v>
      </c>
      <c r="K861" t="s">
        <v>142</v>
      </c>
      <c r="L861">
        <v>0</v>
      </c>
      <c r="O861" t="s">
        <v>142</v>
      </c>
      <c r="P861">
        <v>0</v>
      </c>
      <c r="S861" t="s">
        <v>142</v>
      </c>
      <c r="T861">
        <v>0</v>
      </c>
      <c r="W861" t="s">
        <v>142</v>
      </c>
      <c r="X861">
        <v>0</v>
      </c>
      <c r="AA861" t="s">
        <v>142</v>
      </c>
      <c r="AB861">
        <v>0</v>
      </c>
      <c r="AE861" t="s">
        <v>142</v>
      </c>
      <c r="AF861">
        <v>319</v>
      </c>
      <c r="AI861" t="s">
        <v>142</v>
      </c>
      <c r="AJ861">
        <v>650</v>
      </c>
      <c r="AM861" t="s">
        <v>142</v>
      </c>
      <c r="AN861">
        <v>0</v>
      </c>
      <c r="AQ861" t="s">
        <v>142</v>
      </c>
      <c r="AR861">
        <v>0</v>
      </c>
      <c r="AT861" t="s">
        <v>80</v>
      </c>
      <c r="AU861">
        <v>0</v>
      </c>
    </row>
    <row r="862" spans="3:47" x14ac:dyDescent="0.35">
      <c r="C862" t="s">
        <v>83</v>
      </c>
      <c r="D862">
        <v>0</v>
      </c>
      <c r="G862" t="s">
        <v>83</v>
      </c>
      <c r="H862">
        <v>0</v>
      </c>
      <c r="K862" t="s">
        <v>83</v>
      </c>
      <c r="L862">
        <v>0</v>
      </c>
      <c r="O862" t="s">
        <v>83</v>
      </c>
      <c r="P862">
        <v>0</v>
      </c>
      <c r="S862" t="s">
        <v>83</v>
      </c>
      <c r="T862">
        <v>0</v>
      </c>
      <c r="W862" t="s">
        <v>83</v>
      </c>
      <c r="X862">
        <v>0</v>
      </c>
      <c r="AA862" t="s">
        <v>83</v>
      </c>
      <c r="AB862">
        <v>0</v>
      </c>
      <c r="AE862" t="s">
        <v>83</v>
      </c>
      <c r="AF862">
        <v>8</v>
      </c>
      <c r="AI862" t="s">
        <v>83</v>
      </c>
      <c r="AJ862">
        <v>6</v>
      </c>
      <c r="AM862" t="s">
        <v>83</v>
      </c>
      <c r="AN862">
        <v>0</v>
      </c>
      <c r="AQ862" t="s">
        <v>83</v>
      </c>
      <c r="AR862">
        <v>0</v>
      </c>
      <c r="AT862" t="s">
        <v>83</v>
      </c>
      <c r="AU862">
        <v>13</v>
      </c>
    </row>
    <row r="863" spans="3:47" x14ac:dyDescent="0.35">
      <c r="C863" t="s">
        <v>84</v>
      </c>
      <c r="D863">
        <v>0</v>
      </c>
      <c r="G863" t="s">
        <v>84</v>
      </c>
      <c r="H863">
        <v>0</v>
      </c>
      <c r="K863" t="s">
        <v>84</v>
      </c>
      <c r="L863">
        <v>1511</v>
      </c>
      <c r="O863" t="s">
        <v>84</v>
      </c>
      <c r="P863">
        <v>0</v>
      </c>
      <c r="S863" t="s">
        <v>84</v>
      </c>
      <c r="T863">
        <v>0</v>
      </c>
      <c r="W863" t="s">
        <v>84</v>
      </c>
      <c r="X863">
        <v>0</v>
      </c>
      <c r="AA863" t="s">
        <v>84</v>
      </c>
      <c r="AB863">
        <v>0</v>
      </c>
      <c r="AE863" t="s">
        <v>84</v>
      </c>
      <c r="AF863">
        <v>0</v>
      </c>
      <c r="AI863" t="s">
        <v>84</v>
      </c>
      <c r="AJ863">
        <v>0</v>
      </c>
      <c r="AM863" t="s">
        <v>84</v>
      </c>
      <c r="AN863">
        <v>0</v>
      </c>
      <c r="AQ863" t="s">
        <v>84</v>
      </c>
      <c r="AR863">
        <v>0</v>
      </c>
      <c r="AT863" t="s">
        <v>84</v>
      </c>
      <c r="AU863">
        <v>0</v>
      </c>
    </row>
    <row r="864" spans="3:47" x14ac:dyDescent="0.35">
      <c r="C864" t="s">
        <v>126</v>
      </c>
      <c r="D864">
        <v>0</v>
      </c>
      <c r="G864" t="s">
        <v>126</v>
      </c>
      <c r="H864">
        <v>0</v>
      </c>
      <c r="K864" t="s">
        <v>223</v>
      </c>
      <c r="L864">
        <v>0</v>
      </c>
      <c r="O864" t="s">
        <v>126</v>
      </c>
      <c r="P864">
        <v>0</v>
      </c>
      <c r="S864" t="s">
        <v>126</v>
      </c>
      <c r="T864">
        <v>0</v>
      </c>
      <c r="W864" t="s">
        <v>126</v>
      </c>
      <c r="X864">
        <v>0</v>
      </c>
      <c r="AA864" t="s">
        <v>126</v>
      </c>
      <c r="AB864">
        <v>0</v>
      </c>
      <c r="AE864" t="s">
        <v>126</v>
      </c>
      <c r="AF864">
        <v>0</v>
      </c>
      <c r="AI864" t="s">
        <v>126</v>
      </c>
      <c r="AJ864">
        <v>0</v>
      </c>
      <c r="AM864" t="s">
        <v>126</v>
      </c>
      <c r="AN864">
        <v>0</v>
      </c>
      <c r="AQ864" t="s">
        <v>126</v>
      </c>
      <c r="AR864">
        <v>0</v>
      </c>
      <c r="AT864" t="s">
        <v>86</v>
      </c>
      <c r="AU864">
        <v>0</v>
      </c>
    </row>
    <row r="865" spans="1:47" x14ac:dyDescent="0.35">
      <c r="C865" t="s">
        <v>87</v>
      </c>
      <c r="D865">
        <v>0</v>
      </c>
      <c r="G865" t="s">
        <v>87</v>
      </c>
      <c r="H865">
        <v>0</v>
      </c>
      <c r="K865" t="s">
        <v>87</v>
      </c>
      <c r="L865">
        <v>3046</v>
      </c>
      <c r="O865" t="s">
        <v>87</v>
      </c>
      <c r="P865">
        <v>0</v>
      </c>
      <c r="S865" t="s">
        <v>87</v>
      </c>
      <c r="T865">
        <v>0</v>
      </c>
      <c r="W865" t="s">
        <v>87</v>
      </c>
      <c r="X865">
        <v>0</v>
      </c>
      <c r="AA865" t="s">
        <v>87</v>
      </c>
      <c r="AB865">
        <v>0</v>
      </c>
      <c r="AE865" t="s">
        <v>87</v>
      </c>
      <c r="AF865">
        <v>0</v>
      </c>
      <c r="AI865" t="s">
        <v>87</v>
      </c>
      <c r="AJ865">
        <v>0</v>
      </c>
      <c r="AM865" t="s">
        <v>87</v>
      </c>
      <c r="AN865">
        <v>0</v>
      </c>
      <c r="AQ865" t="s">
        <v>87</v>
      </c>
      <c r="AR865">
        <v>0</v>
      </c>
      <c r="AT865" t="s">
        <v>87</v>
      </c>
      <c r="AU865">
        <v>0</v>
      </c>
    </row>
    <row r="866" spans="1:47" x14ac:dyDescent="0.35">
      <c r="A866" t="s">
        <v>188</v>
      </c>
      <c r="B866">
        <v>10701604.500000004</v>
      </c>
      <c r="C866" t="s">
        <v>135</v>
      </c>
      <c r="D866">
        <v>0</v>
      </c>
      <c r="E866" t="s">
        <v>188</v>
      </c>
      <c r="F866">
        <v>11106031.000000004</v>
      </c>
      <c r="G866" t="s">
        <v>135</v>
      </c>
      <c r="H866">
        <v>32</v>
      </c>
      <c r="I866" t="s">
        <v>188</v>
      </c>
      <c r="J866">
        <v>11213284.499999998</v>
      </c>
      <c r="K866" t="s">
        <v>135</v>
      </c>
      <c r="L866">
        <v>0</v>
      </c>
      <c r="M866" t="s">
        <v>188</v>
      </c>
      <c r="N866">
        <v>11194299.499999998</v>
      </c>
      <c r="O866" t="s">
        <v>135</v>
      </c>
      <c r="P866">
        <v>0</v>
      </c>
      <c r="Q866" t="s">
        <v>188</v>
      </c>
      <c r="R866">
        <v>11066105</v>
      </c>
      <c r="S866" t="s">
        <v>135</v>
      </c>
      <c r="T866">
        <v>0</v>
      </c>
      <c r="U866" t="s">
        <v>188</v>
      </c>
      <c r="V866">
        <v>10658225.499999994</v>
      </c>
      <c r="W866" t="s">
        <v>135</v>
      </c>
      <c r="X866">
        <v>1</v>
      </c>
      <c r="Y866" t="s">
        <v>188</v>
      </c>
      <c r="Z866">
        <v>10395329.5</v>
      </c>
      <c r="AA866" t="s">
        <v>135</v>
      </c>
      <c r="AB866">
        <v>822</v>
      </c>
      <c r="AC866" t="s">
        <v>188</v>
      </c>
      <c r="AD866">
        <v>10447665.999999998</v>
      </c>
      <c r="AE866" t="s">
        <v>135</v>
      </c>
      <c r="AF866">
        <v>747</v>
      </c>
      <c r="AG866" t="s">
        <v>188</v>
      </c>
      <c r="AH866">
        <v>10606227.000000002</v>
      </c>
      <c r="AI866" t="s">
        <v>135</v>
      </c>
      <c r="AJ866">
        <v>995</v>
      </c>
      <c r="AK866" t="s">
        <v>188</v>
      </c>
      <c r="AL866">
        <v>10748272.499999998</v>
      </c>
      <c r="AM866" t="s">
        <v>135</v>
      </c>
      <c r="AN866">
        <v>0</v>
      </c>
      <c r="AO866" t="s">
        <v>188</v>
      </c>
      <c r="AP866">
        <v>10913163.5</v>
      </c>
      <c r="AQ866" t="s">
        <v>135</v>
      </c>
      <c r="AR866">
        <v>0</v>
      </c>
      <c r="AS866" t="s">
        <v>188</v>
      </c>
      <c r="AT866" t="s">
        <v>148</v>
      </c>
      <c r="AU866">
        <v>411</v>
      </c>
    </row>
    <row r="867" spans="1:47" x14ac:dyDescent="0.35">
      <c r="C867" t="s">
        <v>139</v>
      </c>
      <c r="D867">
        <v>0</v>
      </c>
      <c r="G867" t="s">
        <v>139</v>
      </c>
      <c r="H867">
        <v>0</v>
      </c>
      <c r="K867" t="s">
        <v>139</v>
      </c>
      <c r="L867">
        <v>0</v>
      </c>
      <c r="O867" t="s">
        <v>139</v>
      </c>
      <c r="P867">
        <v>0</v>
      </c>
      <c r="S867" t="s">
        <v>139</v>
      </c>
      <c r="T867">
        <v>0</v>
      </c>
      <c r="W867" t="s">
        <v>139</v>
      </c>
      <c r="X867">
        <v>0</v>
      </c>
      <c r="AA867" t="s">
        <v>139</v>
      </c>
      <c r="AB867">
        <v>7452</v>
      </c>
      <c r="AE867" t="s">
        <v>139</v>
      </c>
      <c r="AF867">
        <v>7428</v>
      </c>
      <c r="AI867" t="s">
        <v>139</v>
      </c>
      <c r="AJ867">
        <v>9060</v>
      </c>
      <c r="AM867" t="s">
        <v>139</v>
      </c>
      <c r="AN867">
        <v>0</v>
      </c>
      <c r="AQ867" t="s">
        <v>139</v>
      </c>
      <c r="AR867">
        <v>0</v>
      </c>
      <c r="AT867" t="s">
        <v>139</v>
      </c>
      <c r="AU867">
        <v>2014</v>
      </c>
    </row>
    <row r="868" spans="1:47" x14ac:dyDescent="0.35">
      <c r="C868" t="s">
        <v>138</v>
      </c>
      <c r="D868">
        <v>0</v>
      </c>
      <c r="G868" t="s">
        <v>138</v>
      </c>
      <c r="H868">
        <v>0</v>
      </c>
      <c r="K868" t="s">
        <v>138</v>
      </c>
      <c r="L868">
        <v>0</v>
      </c>
      <c r="O868" t="s">
        <v>138</v>
      </c>
      <c r="P868">
        <v>0</v>
      </c>
      <c r="S868" t="s">
        <v>138</v>
      </c>
      <c r="T868">
        <v>0</v>
      </c>
      <c r="W868" t="s">
        <v>138</v>
      </c>
      <c r="X868">
        <v>0</v>
      </c>
      <c r="AA868" t="s">
        <v>138</v>
      </c>
      <c r="AB868">
        <v>0</v>
      </c>
      <c r="AE868" t="s">
        <v>138</v>
      </c>
      <c r="AF868">
        <v>4760</v>
      </c>
      <c r="AI868" t="s">
        <v>138</v>
      </c>
      <c r="AJ868">
        <v>6040</v>
      </c>
      <c r="AM868" t="s">
        <v>138</v>
      </c>
      <c r="AN868">
        <v>0</v>
      </c>
      <c r="AQ868" t="s">
        <v>138</v>
      </c>
      <c r="AR868">
        <v>0</v>
      </c>
      <c r="AT868" t="s">
        <v>138</v>
      </c>
      <c r="AU868">
        <v>1712</v>
      </c>
    </row>
    <row r="869" spans="1:47" x14ac:dyDescent="0.35">
      <c r="C869" t="s">
        <v>82</v>
      </c>
      <c r="D869">
        <v>0</v>
      </c>
      <c r="G869" t="s">
        <v>82</v>
      </c>
      <c r="H869">
        <v>0</v>
      </c>
      <c r="K869" t="s">
        <v>82</v>
      </c>
      <c r="L869">
        <v>0</v>
      </c>
      <c r="O869" t="s">
        <v>82</v>
      </c>
      <c r="P869">
        <v>0</v>
      </c>
      <c r="S869" t="s">
        <v>82</v>
      </c>
      <c r="T869">
        <v>0</v>
      </c>
      <c r="W869" t="s">
        <v>82</v>
      </c>
      <c r="X869">
        <v>32485</v>
      </c>
      <c r="AA869" t="s">
        <v>82</v>
      </c>
      <c r="AB869">
        <v>0</v>
      </c>
      <c r="AE869" t="s">
        <v>82</v>
      </c>
      <c r="AF869">
        <v>0</v>
      </c>
      <c r="AI869" t="s">
        <v>82</v>
      </c>
      <c r="AJ869">
        <v>0</v>
      </c>
      <c r="AM869" t="s">
        <v>82</v>
      </c>
      <c r="AN869">
        <v>0</v>
      </c>
      <c r="AQ869" t="s">
        <v>82</v>
      </c>
      <c r="AR869">
        <v>0</v>
      </c>
      <c r="AT869" t="s">
        <v>82</v>
      </c>
      <c r="AU869">
        <v>360</v>
      </c>
    </row>
    <row r="870" spans="1:47" x14ac:dyDescent="0.35">
      <c r="C870" t="s">
        <v>60</v>
      </c>
      <c r="D870">
        <v>68</v>
      </c>
      <c r="G870" t="s">
        <v>60</v>
      </c>
      <c r="H870">
        <v>0</v>
      </c>
      <c r="K870" t="s">
        <v>60</v>
      </c>
      <c r="L870">
        <v>0</v>
      </c>
      <c r="O870" t="s">
        <v>60</v>
      </c>
      <c r="P870">
        <v>0</v>
      </c>
      <c r="S870" t="s">
        <v>60</v>
      </c>
      <c r="T870">
        <v>0</v>
      </c>
      <c r="W870" t="s">
        <v>60</v>
      </c>
      <c r="X870">
        <v>10504</v>
      </c>
      <c r="AA870" t="s">
        <v>60</v>
      </c>
      <c r="AB870">
        <v>0</v>
      </c>
      <c r="AE870" t="s">
        <v>60</v>
      </c>
      <c r="AF870">
        <v>0</v>
      </c>
      <c r="AI870" t="s">
        <v>60</v>
      </c>
      <c r="AJ870">
        <v>21</v>
      </c>
      <c r="AM870" t="s">
        <v>60</v>
      </c>
      <c r="AN870">
        <v>0</v>
      </c>
      <c r="AQ870" t="s">
        <v>60</v>
      </c>
      <c r="AR870">
        <v>0</v>
      </c>
      <c r="AT870" t="s">
        <v>60</v>
      </c>
      <c r="AU870">
        <v>32</v>
      </c>
    </row>
    <row r="871" spans="1:47" x14ac:dyDescent="0.35">
      <c r="C871" t="s">
        <v>127</v>
      </c>
      <c r="D871">
        <v>0</v>
      </c>
      <c r="G871" t="s">
        <v>127</v>
      </c>
      <c r="H871">
        <v>0</v>
      </c>
      <c r="K871" t="s">
        <v>127</v>
      </c>
      <c r="L871">
        <v>0</v>
      </c>
      <c r="O871" t="s">
        <v>127</v>
      </c>
      <c r="P871">
        <v>0</v>
      </c>
      <c r="S871" t="s">
        <v>127</v>
      </c>
      <c r="T871">
        <v>0</v>
      </c>
      <c r="W871" t="s">
        <v>127</v>
      </c>
      <c r="X871">
        <v>0</v>
      </c>
      <c r="AA871" t="s">
        <v>127</v>
      </c>
      <c r="AB871">
        <v>1455</v>
      </c>
      <c r="AE871" t="s">
        <v>127</v>
      </c>
      <c r="AF871">
        <v>850</v>
      </c>
      <c r="AI871" t="s">
        <v>127</v>
      </c>
      <c r="AJ871">
        <v>2826</v>
      </c>
      <c r="AM871" t="s">
        <v>127</v>
      </c>
      <c r="AN871">
        <v>0</v>
      </c>
      <c r="AQ871" t="s">
        <v>127</v>
      </c>
      <c r="AR871">
        <v>0</v>
      </c>
      <c r="AT871" t="s">
        <v>58</v>
      </c>
      <c r="AU871">
        <v>1455</v>
      </c>
    </row>
    <row r="872" spans="1:47" x14ac:dyDescent="0.35">
      <c r="C872" t="s">
        <v>61</v>
      </c>
      <c r="D872">
        <v>0</v>
      </c>
      <c r="G872" t="s">
        <v>61</v>
      </c>
      <c r="H872">
        <v>0</v>
      </c>
      <c r="K872" t="s">
        <v>61</v>
      </c>
      <c r="L872">
        <v>0</v>
      </c>
      <c r="O872" t="s">
        <v>61</v>
      </c>
      <c r="P872">
        <v>0</v>
      </c>
      <c r="S872" t="s">
        <v>61</v>
      </c>
      <c r="T872">
        <v>0</v>
      </c>
      <c r="W872" t="s">
        <v>61</v>
      </c>
      <c r="X872">
        <v>0</v>
      </c>
      <c r="AA872" t="s">
        <v>61</v>
      </c>
      <c r="AB872">
        <v>0</v>
      </c>
      <c r="AE872" t="s">
        <v>61</v>
      </c>
      <c r="AF872">
        <v>0</v>
      </c>
      <c r="AI872" t="s">
        <v>61</v>
      </c>
      <c r="AJ872">
        <v>0</v>
      </c>
      <c r="AM872" t="s">
        <v>61</v>
      </c>
      <c r="AN872">
        <v>0</v>
      </c>
      <c r="AQ872" t="s">
        <v>61</v>
      </c>
      <c r="AR872">
        <v>0</v>
      </c>
      <c r="AT872" t="s">
        <v>61</v>
      </c>
      <c r="AU872">
        <v>22</v>
      </c>
    </row>
    <row r="873" spans="1:47" x14ac:dyDescent="0.35">
      <c r="C873" t="s">
        <v>62</v>
      </c>
      <c r="D873">
        <v>0</v>
      </c>
      <c r="G873" t="s">
        <v>62</v>
      </c>
      <c r="H873">
        <v>0</v>
      </c>
      <c r="K873" t="s">
        <v>62</v>
      </c>
      <c r="L873">
        <v>0</v>
      </c>
      <c r="O873" t="s">
        <v>62</v>
      </c>
      <c r="P873">
        <v>0</v>
      </c>
      <c r="S873" t="s">
        <v>62</v>
      </c>
      <c r="T873">
        <v>0</v>
      </c>
      <c r="W873" t="s">
        <v>62</v>
      </c>
      <c r="X873">
        <v>3435</v>
      </c>
      <c r="AA873" t="s">
        <v>62</v>
      </c>
      <c r="AB873">
        <v>0</v>
      </c>
      <c r="AE873" t="s">
        <v>62</v>
      </c>
      <c r="AF873">
        <v>0</v>
      </c>
      <c r="AI873" t="s">
        <v>62</v>
      </c>
      <c r="AJ873">
        <v>0</v>
      </c>
      <c r="AM873" t="s">
        <v>62</v>
      </c>
      <c r="AN873">
        <v>0</v>
      </c>
      <c r="AQ873" t="s">
        <v>62</v>
      </c>
      <c r="AR873">
        <v>0</v>
      </c>
      <c r="AT873" t="s">
        <v>62</v>
      </c>
      <c r="AU873">
        <v>250</v>
      </c>
    </row>
    <row r="874" spans="1:47" x14ac:dyDescent="0.35">
      <c r="C874" t="s">
        <v>203</v>
      </c>
      <c r="D874">
        <v>0</v>
      </c>
      <c r="G874" t="s">
        <v>203</v>
      </c>
      <c r="H874">
        <v>0</v>
      </c>
      <c r="K874" t="s">
        <v>203</v>
      </c>
      <c r="L874">
        <v>0</v>
      </c>
      <c r="O874" t="s">
        <v>203</v>
      </c>
      <c r="P874">
        <v>0</v>
      </c>
      <c r="S874" t="s">
        <v>203</v>
      </c>
      <c r="T874">
        <v>0</v>
      </c>
      <c r="W874" t="s">
        <v>203</v>
      </c>
      <c r="X874">
        <v>0</v>
      </c>
      <c r="AA874" t="s">
        <v>203</v>
      </c>
      <c r="AB874">
        <v>0</v>
      </c>
      <c r="AE874" t="s">
        <v>203</v>
      </c>
      <c r="AF874">
        <v>5870</v>
      </c>
      <c r="AI874" t="s">
        <v>203</v>
      </c>
      <c r="AJ874">
        <v>0</v>
      </c>
      <c r="AM874" t="s">
        <v>203</v>
      </c>
      <c r="AN874">
        <v>0</v>
      </c>
      <c r="AQ874" t="s">
        <v>203</v>
      </c>
      <c r="AR874">
        <v>0</v>
      </c>
      <c r="AT874" t="s">
        <v>64</v>
      </c>
      <c r="AU874">
        <v>0</v>
      </c>
    </row>
    <row r="875" spans="1:47" x14ac:dyDescent="0.35">
      <c r="C875" t="s">
        <v>204</v>
      </c>
      <c r="D875">
        <v>0</v>
      </c>
      <c r="G875" t="s">
        <v>204</v>
      </c>
      <c r="H875">
        <v>0</v>
      </c>
      <c r="K875" t="s">
        <v>204</v>
      </c>
      <c r="L875">
        <v>0</v>
      </c>
      <c r="O875" t="s">
        <v>204</v>
      </c>
      <c r="P875">
        <v>0</v>
      </c>
      <c r="S875" t="s">
        <v>204</v>
      </c>
      <c r="T875">
        <v>0</v>
      </c>
      <c r="W875" t="s">
        <v>204</v>
      </c>
      <c r="X875">
        <v>0</v>
      </c>
      <c r="AA875" t="s">
        <v>204</v>
      </c>
      <c r="AB875">
        <v>0</v>
      </c>
      <c r="AE875" t="s">
        <v>204</v>
      </c>
      <c r="AF875">
        <v>0</v>
      </c>
      <c r="AI875" t="s">
        <v>204</v>
      </c>
      <c r="AJ875">
        <v>0</v>
      </c>
      <c r="AM875" t="s">
        <v>204</v>
      </c>
      <c r="AN875">
        <v>0</v>
      </c>
      <c r="AQ875" t="s">
        <v>204</v>
      </c>
      <c r="AR875">
        <v>0</v>
      </c>
      <c r="AT875" t="s">
        <v>65</v>
      </c>
      <c r="AU875">
        <v>20</v>
      </c>
    </row>
    <row r="876" spans="1:47" x14ac:dyDescent="0.35">
      <c r="C876" t="s">
        <v>205</v>
      </c>
      <c r="D876">
        <v>0</v>
      </c>
      <c r="G876" t="s">
        <v>205</v>
      </c>
      <c r="H876">
        <v>0</v>
      </c>
      <c r="K876" t="s">
        <v>205</v>
      </c>
      <c r="L876">
        <v>0</v>
      </c>
      <c r="O876" t="s">
        <v>205</v>
      </c>
      <c r="P876">
        <v>0</v>
      </c>
      <c r="S876" t="s">
        <v>205</v>
      </c>
      <c r="T876">
        <v>0</v>
      </c>
      <c r="W876" t="s">
        <v>205</v>
      </c>
      <c r="X876">
        <v>0</v>
      </c>
      <c r="AA876" t="s">
        <v>205</v>
      </c>
      <c r="AB876">
        <v>2</v>
      </c>
      <c r="AE876" t="s">
        <v>205</v>
      </c>
      <c r="AF876">
        <v>0</v>
      </c>
      <c r="AI876" t="s">
        <v>205</v>
      </c>
      <c r="AJ876">
        <v>0</v>
      </c>
      <c r="AM876" t="s">
        <v>205</v>
      </c>
      <c r="AN876">
        <v>0</v>
      </c>
      <c r="AQ876" t="s">
        <v>205</v>
      </c>
      <c r="AR876">
        <v>0</v>
      </c>
      <c r="AT876" t="s">
        <v>66</v>
      </c>
      <c r="AU876">
        <v>21</v>
      </c>
    </row>
    <row r="877" spans="1:47" x14ac:dyDescent="0.35">
      <c r="C877" t="s">
        <v>133</v>
      </c>
      <c r="D877">
        <v>0</v>
      </c>
      <c r="G877" t="s">
        <v>133</v>
      </c>
      <c r="H877">
        <v>0</v>
      </c>
      <c r="K877" t="s">
        <v>133</v>
      </c>
      <c r="L877">
        <v>0</v>
      </c>
      <c r="O877" t="s">
        <v>133</v>
      </c>
      <c r="P877">
        <v>0</v>
      </c>
      <c r="S877" t="s">
        <v>133</v>
      </c>
      <c r="T877">
        <v>0</v>
      </c>
      <c r="W877" t="s">
        <v>133</v>
      </c>
      <c r="X877">
        <v>0</v>
      </c>
      <c r="AA877" t="s">
        <v>133</v>
      </c>
      <c r="AB877">
        <v>272</v>
      </c>
      <c r="AE877" t="s">
        <v>133</v>
      </c>
      <c r="AF877">
        <v>485</v>
      </c>
      <c r="AI877" t="s">
        <v>133</v>
      </c>
      <c r="AJ877">
        <v>635</v>
      </c>
      <c r="AM877" t="s">
        <v>133</v>
      </c>
      <c r="AN877">
        <v>0</v>
      </c>
      <c r="AQ877" t="s">
        <v>133</v>
      </c>
      <c r="AR877">
        <v>0</v>
      </c>
      <c r="AT877" t="s">
        <v>79</v>
      </c>
      <c r="AU877">
        <v>16</v>
      </c>
    </row>
    <row r="878" spans="1:47" x14ac:dyDescent="0.35">
      <c r="C878" t="s">
        <v>206</v>
      </c>
      <c r="D878">
        <v>0</v>
      </c>
      <c r="G878" t="s">
        <v>206</v>
      </c>
      <c r="H878">
        <v>0</v>
      </c>
      <c r="K878" t="s">
        <v>206</v>
      </c>
      <c r="L878">
        <v>0</v>
      </c>
      <c r="O878" t="s">
        <v>206</v>
      </c>
      <c r="P878">
        <v>0</v>
      </c>
      <c r="S878" t="s">
        <v>206</v>
      </c>
      <c r="T878">
        <v>0</v>
      </c>
      <c r="W878" t="s">
        <v>206</v>
      </c>
      <c r="X878">
        <v>0</v>
      </c>
      <c r="AA878" t="s">
        <v>206</v>
      </c>
      <c r="AB878">
        <v>0</v>
      </c>
      <c r="AE878" t="s">
        <v>206</v>
      </c>
      <c r="AF878">
        <v>0</v>
      </c>
      <c r="AI878" t="s">
        <v>206</v>
      </c>
      <c r="AJ878">
        <v>0</v>
      </c>
      <c r="AM878" t="s">
        <v>206</v>
      </c>
      <c r="AN878">
        <v>0</v>
      </c>
      <c r="AQ878" t="s">
        <v>206</v>
      </c>
      <c r="AR878">
        <v>0</v>
      </c>
      <c r="AT878" t="s">
        <v>68</v>
      </c>
      <c r="AU878">
        <v>1306</v>
      </c>
    </row>
    <row r="879" spans="1:47" x14ac:dyDescent="0.35">
      <c r="C879" t="s">
        <v>136</v>
      </c>
      <c r="D879">
        <v>0</v>
      </c>
      <c r="G879" t="s">
        <v>136</v>
      </c>
      <c r="H879">
        <v>0</v>
      </c>
      <c r="K879" t="s">
        <v>136</v>
      </c>
      <c r="L879">
        <v>0</v>
      </c>
      <c r="O879" t="s">
        <v>136</v>
      </c>
      <c r="P879">
        <v>0</v>
      </c>
      <c r="S879" t="s">
        <v>136</v>
      </c>
      <c r="T879">
        <v>0</v>
      </c>
      <c r="W879" t="s">
        <v>136</v>
      </c>
      <c r="X879">
        <v>0</v>
      </c>
      <c r="AA879" t="s">
        <v>136</v>
      </c>
      <c r="AB879">
        <v>0</v>
      </c>
      <c r="AE879" t="s">
        <v>136</v>
      </c>
      <c r="AF879">
        <v>13</v>
      </c>
      <c r="AI879" t="s">
        <v>136</v>
      </c>
      <c r="AJ879">
        <v>16</v>
      </c>
      <c r="AM879" t="s">
        <v>136</v>
      </c>
      <c r="AN879">
        <v>0</v>
      </c>
      <c r="AQ879" t="s">
        <v>136</v>
      </c>
      <c r="AR879">
        <v>0</v>
      </c>
      <c r="AT879" t="s">
        <v>69</v>
      </c>
      <c r="AU879">
        <v>6</v>
      </c>
    </row>
    <row r="880" spans="1:47" x14ac:dyDescent="0.35">
      <c r="C880" t="s">
        <v>207</v>
      </c>
      <c r="D880">
        <v>0</v>
      </c>
      <c r="G880" t="s">
        <v>207</v>
      </c>
      <c r="H880">
        <v>0</v>
      </c>
      <c r="K880" t="s">
        <v>207</v>
      </c>
      <c r="L880">
        <v>0</v>
      </c>
      <c r="O880" t="s">
        <v>207</v>
      </c>
      <c r="P880">
        <v>0</v>
      </c>
      <c r="S880" t="s">
        <v>207</v>
      </c>
      <c r="T880">
        <v>0</v>
      </c>
      <c r="W880" t="s">
        <v>207</v>
      </c>
      <c r="X880">
        <v>0</v>
      </c>
      <c r="AA880" t="s">
        <v>207</v>
      </c>
      <c r="AB880">
        <v>0</v>
      </c>
      <c r="AE880" t="s">
        <v>207</v>
      </c>
      <c r="AF880">
        <v>850</v>
      </c>
      <c r="AI880" t="s">
        <v>207</v>
      </c>
      <c r="AJ880">
        <v>1006</v>
      </c>
      <c r="AM880" t="s">
        <v>207</v>
      </c>
      <c r="AN880">
        <v>0</v>
      </c>
      <c r="AQ880" t="s">
        <v>207</v>
      </c>
      <c r="AR880">
        <v>0</v>
      </c>
      <c r="AT880" t="s">
        <v>70</v>
      </c>
      <c r="AU880">
        <v>57</v>
      </c>
    </row>
    <row r="881" spans="1:47" x14ac:dyDescent="0.35">
      <c r="C881" t="s">
        <v>141</v>
      </c>
      <c r="D881">
        <v>0</v>
      </c>
      <c r="G881" t="s">
        <v>141</v>
      </c>
      <c r="H881">
        <v>0</v>
      </c>
      <c r="K881" t="s">
        <v>141</v>
      </c>
      <c r="L881">
        <v>0</v>
      </c>
      <c r="O881" t="s">
        <v>141</v>
      </c>
      <c r="P881">
        <v>0</v>
      </c>
      <c r="S881" t="s">
        <v>141</v>
      </c>
      <c r="T881">
        <v>0</v>
      </c>
      <c r="W881" t="s">
        <v>141</v>
      </c>
      <c r="X881">
        <v>0</v>
      </c>
      <c r="AA881" t="s">
        <v>141</v>
      </c>
      <c r="AB881">
        <v>0</v>
      </c>
      <c r="AE881" t="s">
        <v>141</v>
      </c>
      <c r="AF881">
        <v>13</v>
      </c>
      <c r="AI881" t="s">
        <v>141</v>
      </c>
      <c r="AJ881">
        <v>24</v>
      </c>
      <c r="AM881" t="s">
        <v>141</v>
      </c>
      <c r="AN881">
        <v>0</v>
      </c>
      <c r="AQ881" t="s">
        <v>141</v>
      </c>
      <c r="AR881">
        <v>0</v>
      </c>
      <c r="AT881" t="s">
        <v>76</v>
      </c>
      <c r="AU881">
        <v>7</v>
      </c>
    </row>
    <row r="882" spans="1:47" x14ac:dyDescent="0.35">
      <c r="C882" t="s">
        <v>208</v>
      </c>
      <c r="D882">
        <v>0</v>
      </c>
      <c r="G882" t="s">
        <v>208</v>
      </c>
      <c r="H882">
        <v>0</v>
      </c>
      <c r="K882" t="s">
        <v>208</v>
      </c>
      <c r="L882">
        <v>0</v>
      </c>
      <c r="O882" t="s">
        <v>208</v>
      </c>
      <c r="P882">
        <v>0</v>
      </c>
      <c r="S882" t="s">
        <v>208</v>
      </c>
      <c r="T882">
        <v>0</v>
      </c>
      <c r="W882" t="s">
        <v>208</v>
      </c>
      <c r="X882">
        <v>0</v>
      </c>
      <c r="AA882" t="s">
        <v>208</v>
      </c>
      <c r="AB882">
        <v>0</v>
      </c>
      <c r="AE882" t="s">
        <v>208</v>
      </c>
      <c r="AF882">
        <v>0</v>
      </c>
      <c r="AI882" t="s">
        <v>208</v>
      </c>
      <c r="AJ882">
        <v>0</v>
      </c>
      <c r="AM882" t="s">
        <v>208</v>
      </c>
      <c r="AN882">
        <v>0</v>
      </c>
      <c r="AQ882" t="s">
        <v>208</v>
      </c>
      <c r="AR882">
        <v>0</v>
      </c>
      <c r="AT882" t="s">
        <v>77</v>
      </c>
      <c r="AU882">
        <v>0</v>
      </c>
    </row>
    <row r="883" spans="1:47" x14ac:dyDescent="0.35">
      <c r="C883" t="s">
        <v>209</v>
      </c>
      <c r="D883">
        <v>0</v>
      </c>
      <c r="G883" t="s">
        <v>209</v>
      </c>
      <c r="H883">
        <v>0</v>
      </c>
      <c r="K883" t="s">
        <v>209</v>
      </c>
      <c r="L883">
        <v>0</v>
      </c>
      <c r="O883" t="s">
        <v>209</v>
      </c>
      <c r="P883">
        <v>0</v>
      </c>
      <c r="S883" t="s">
        <v>209</v>
      </c>
      <c r="T883">
        <v>0</v>
      </c>
      <c r="W883" t="s">
        <v>209</v>
      </c>
      <c r="X883">
        <v>0</v>
      </c>
      <c r="AA883" t="s">
        <v>209</v>
      </c>
      <c r="AB883">
        <v>0</v>
      </c>
      <c r="AE883" t="s">
        <v>209</v>
      </c>
      <c r="AF883">
        <v>0</v>
      </c>
      <c r="AI883" t="s">
        <v>209</v>
      </c>
      <c r="AJ883">
        <v>0</v>
      </c>
      <c r="AM883" t="s">
        <v>209</v>
      </c>
      <c r="AN883">
        <v>0</v>
      </c>
      <c r="AQ883" t="s">
        <v>209</v>
      </c>
      <c r="AR883">
        <v>0</v>
      </c>
      <c r="AT883" t="s">
        <v>78</v>
      </c>
      <c r="AU883">
        <v>0</v>
      </c>
    </row>
    <row r="884" spans="1:47" x14ac:dyDescent="0.35">
      <c r="C884" t="s">
        <v>134</v>
      </c>
      <c r="D884">
        <v>0</v>
      </c>
      <c r="G884" t="s">
        <v>134</v>
      </c>
      <c r="H884">
        <v>0</v>
      </c>
      <c r="K884" t="s">
        <v>134</v>
      </c>
      <c r="L884">
        <v>0</v>
      </c>
      <c r="O884" t="s">
        <v>134</v>
      </c>
      <c r="P884">
        <v>0</v>
      </c>
      <c r="S884" t="s">
        <v>134</v>
      </c>
      <c r="T884">
        <v>0</v>
      </c>
      <c r="W884" t="s">
        <v>134</v>
      </c>
      <c r="X884">
        <v>0</v>
      </c>
      <c r="AA884" t="s">
        <v>134</v>
      </c>
      <c r="AB884">
        <v>0</v>
      </c>
      <c r="AE884" t="s">
        <v>134</v>
      </c>
      <c r="AF884">
        <v>0</v>
      </c>
      <c r="AI884" t="s">
        <v>134</v>
      </c>
      <c r="AJ884">
        <v>0</v>
      </c>
      <c r="AM884" t="s">
        <v>134</v>
      </c>
      <c r="AN884">
        <v>0</v>
      </c>
      <c r="AQ884" t="s">
        <v>134</v>
      </c>
      <c r="AR884">
        <v>0</v>
      </c>
      <c r="AT884" t="s">
        <v>67</v>
      </c>
      <c r="AU884">
        <v>272</v>
      </c>
    </row>
    <row r="885" spans="1:47" x14ac:dyDescent="0.35">
      <c r="C885" t="s">
        <v>142</v>
      </c>
      <c r="D885">
        <v>0</v>
      </c>
      <c r="G885" t="s">
        <v>142</v>
      </c>
      <c r="H885">
        <v>0</v>
      </c>
      <c r="K885" t="s">
        <v>142</v>
      </c>
      <c r="L885">
        <v>0</v>
      </c>
      <c r="O885" t="s">
        <v>142</v>
      </c>
      <c r="P885">
        <v>0</v>
      </c>
      <c r="S885" t="s">
        <v>142</v>
      </c>
      <c r="T885">
        <v>0</v>
      </c>
      <c r="W885" t="s">
        <v>142</v>
      </c>
      <c r="X885">
        <v>0</v>
      </c>
      <c r="AA885" t="s">
        <v>142</v>
      </c>
      <c r="AB885">
        <v>0</v>
      </c>
      <c r="AE885" t="s">
        <v>142</v>
      </c>
      <c r="AF885">
        <v>580</v>
      </c>
      <c r="AI885" t="s">
        <v>142</v>
      </c>
      <c r="AJ885">
        <v>623</v>
      </c>
      <c r="AM885" t="s">
        <v>142</v>
      </c>
      <c r="AN885">
        <v>0</v>
      </c>
      <c r="AQ885" t="s">
        <v>142</v>
      </c>
      <c r="AR885">
        <v>0</v>
      </c>
      <c r="AT885" t="s">
        <v>80</v>
      </c>
      <c r="AU885">
        <v>0</v>
      </c>
    </row>
    <row r="886" spans="1:47" x14ac:dyDescent="0.35">
      <c r="C886" t="s">
        <v>83</v>
      </c>
      <c r="D886">
        <v>0</v>
      </c>
      <c r="G886" t="s">
        <v>83</v>
      </c>
      <c r="H886">
        <v>0</v>
      </c>
      <c r="K886" t="s">
        <v>83</v>
      </c>
      <c r="L886">
        <v>0</v>
      </c>
      <c r="O886" t="s">
        <v>83</v>
      </c>
      <c r="P886">
        <v>0</v>
      </c>
      <c r="S886" t="s">
        <v>83</v>
      </c>
      <c r="T886">
        <v>0</v>
      </c>
      <c r="W886" t="s">
        <v>83</v>
      </c>
      <c r="X886">
        <v>0</v>
      </c>
      <c r="AA886" t="s">
        <v>83</v>
      </c>
      <c r="AB886">
        <v>0</v>
      </c>
      <c r="AE886" t="s">
        <v>83</v>
      </c>
      <c r="AF886">
        <v>11</v>
      </c>
      <c r="AI886" t="s">
        <v>83</v>
      </c>
      <c r="AJ886">
        <v>17</v>
      </c>
      <c r="AM886" t="s">
        <v>83</v>
      </c>
      <c r="AN886">
        <v>0</v>
      </c>
      <c r="AQ886" t="s">
        <v>83</v>
      </c>
      <c r="AR886">
        <v>0</v>
      </c>
      <c r="AT886" t="s">
        <v>83</v>
      </c>
      <c r="AU886">
        <v>9</v>
      </c>
    </row>
    <row r="887" spans="1:47" x14ac:dyDescent="0.35">
      <c r="C887" t="s">
        <v>84</v>
      </c>
      <c r="D887">
        <v>0</v>
      </c>
      <c r="G887" t="s">
        <v>84</v>
      </c>
      <c r="H887">
        <v>0</v>
      </c>
      <c r="K887" t="s">
        <v>84</v>
      </c>
      <c r="L887">
        <v>0</v>
      </c>
      <c r="O887" t="s">
        <v>84</v>
      </c>
      <c r="P887">
        <v>0</v>
      </c>
      <c r="S887" t="s">
        <v>84</v>
      </c>
      <c r="T887">
        <v>0</v>
      </c>
      <c r="W887" t="s">
        <v>84</v>
      </c>
      <c r="X887">
        <v>0</v>
      </c>
      <c r="AA887" t="s">
        <v>84</v>
      </c>
      <c r="AB887">
        <v>0</v>
      </c>
      <c r="AE887" t="s">
        <v>84</v>
      </c>
      <c r="AF887">
        <v>0</v>
      </c>
      <c r="AI887" t="s">
        <v>84</v>
      </c>
      <c r="AJ887">
        <v>0</v>
      </c>
      <c r="AM887" t="s">
        <v>84</v>
      </c>
      <c r="AN887">
        <v>0</v>
      </c>
      <c r="AQ887" t="s">
        <v>84</v>
      </c>
      <c r="AR887">
        <v>0</v>
      </c>
      <c r="AT887" t="s">
        <v>84</v>
      </c>
      <c r="AU887">
        <v>0</v>
      </c>
    </row>
    <row r="888" spans="1:47" x14ac:dyDescent="0.35">
      <c r="C888" t="s">
        <v>126</v>
      </c>
      <c r="D888">
        <v>0</v>
      </c>
      <c r="G888" t="s">
        <v>126</v>
      </c>
      <c r="H888">
        <v>0</v>
      </c>
      <c r="K888" t="s">
        <v>223</v>
      </c>
      <c r="L888">
        <v>0</v>
      </c>
      <c r="O888" t="s">
        <v>126</v>
      </c>
      <c r="P888">
        <v>0</v>
      </c>
      <c r="S888" t="s">
        <v>126</v>
      </c>
      <c r="T888">
        <v>0</v>
      </c>
      <c r="W888" t="s">
        <v>126</v>
      </c>
      <c r="X888">
        <v>0</v>
      </c>
      <c r="AA888" t="s">
        <v>126</v>
      </c>
      <c r="AB888">
        <v>0</v>
      </c>
      <c r="AE888" t="s">
        <v>126</v>
      </c>
      <c r="AF888">
        <v>0</v>
      </c>
      <c r="AI888" t="s">
        <v>126</v>
      </c>
      <c r="AJ888">
        <v>0</v>
      </c>
      <c r="AM888" t="s">
        <v>126</v>
      </c>
      <c r="AN888">
        <v>0</v>
      </c>
      <c r="AQ888" t="s">
        <v>126</v>
      </c>
      <c r="AR888">
        <v>0</v>
      </c>
      <c r="AT888" t="s">
        <v>86</v>
      </c>
      <c r="AU888">
        <v>0</v>
      </c>
    </row>
    <row r="889" spans="1:47" x14ac:dyDescent="0.35">
      <c r="C889" t="s">
        <v>87</v>
      </c>
      <c r="D889">
        <v>0</v>
      </c>
      <c r="G889" t="s">
        <v>87</v>
      </c>
      <c r="H889">
        <v>0</v>
      </c>
      <c r="K889" t="s">
        <v>87</v>
      </c>
      <c r="L889">
        <v>0</v>
      </c>
      <c r="O889" t="s">
        <v>87</v>
      </c>
      <c r="P889">
        <v>0</v>
      </c>
      <c r="S889" t="s">
        <v>87</v>
      </c>
      <c r="T889">
        <v>0</v>
      </c>
      <c r="W889" t="s">
        <v>87</v>
      </c>
      <c r="X889">
        <v>0</v>
      </c>
      <c r="AA889" t="s">
        <v>87</v>
      </c>
      <c r="AB889">
        <v>0</v>
      </c>
      <c r="AE889" t="s">
        <v>87</v>
      </c>
      <c r="AF889">
        <v>0</v>
      </c>
      <c r="AI889" t="s">
        <v>87</v>
      </c>
      <c r="AJ889">
        <v>0</v>
      </c>
      <c r="AM889" t="s">
        <v>87</v>
      </c>
      <c r="AN889">
        <v>0</v>
      </c>
      <c r="AQ889" t="s">
        <v>87</v>
      </c>
      <c r="AR889">
        <v>0</v>
      </c>
      <c r="AT889" t="s">
        <v>87</v>
      </c>
      <c r="AU889">
        <v>0</v>
      </c>
    </row>
    <row r="890" spans="1:47" x14ac:dyDescent="0.35">
      <c r="A890" t="s">
        <v>153</v>
      </c>
      <c r="B890">
        <v>189924.5</v>
      </c>
      <c r="C890" t="s">
        <v>135</v>
      </c>
      <c r="D890">
        <v>0</v>
      </c>
      <c r="E890" t="s">
        <v>153</v>
      </c>
      <c r="F890">
        <v>193756.99999999997</v>
      </c>
      <c r="G890" t="s">
        <v>135</v>
      </c>
      <c r="H890">
        <v>0</v>
      </c>
      <c r="I890" t="s">
        <v>153</v>
      </c>
      <c r="J890">
        <v>197496.99999999994</v>
      </c>
      <c r="K890" t="s">
        <v>135</v>
      </c>
      <c r="L890">
        <v>0</v>
      </c>
      <c r="M890" t="s">
        <v>153</v>
      </c>
      <c r="N890">
        <v>201123.50000000012</v>
      </c>
      <c r="O890" t="s">
        <v>135</v>
      </c>
      <c r="P890">
        <v>126</v>
      </c>
      <c r="Q890" t="s">
        <v>153</v>
      </c>
      <c r="R890">
        <v>204632.49999999985</v>
      </c>
      <c r="S890" t="s">
        <v>135</v>
      </c>
      <c r="T890">
        <v>0</v>
      </c>
      <c r="U890" t="s">
        <v>153</v>
      </c>
      <c r="V890">
        <v>208036.50000000012</v>
      </c>
      <c r="W890" t="s">
        <v>135</v>
      </c>
      <c r="X890">
        <v>0</v>
      </c>
      <c r="Y890" t="s">
        <v>153</v>
      </c>
      <c r="Z890">
        <v>211344</v>
      </c>
      <c r="AA890" t="s">
        <v>135</v>
      </c>
      <c r="AB890">
        <v>0</v>
      </c>
      <c r="AC890" t="s">
        <v>153</v>
      </c>
      <c r="AD890">
        <v>214599.00000000006</v>
      </c>
      <c r="AE890" t="s">
        <v>135</v>
      </c>
      <c r="AF890">
        <v>213</v>
      </c>
      <c r="AG890" t="s">
        <v>153</v>
      </c>
      <c r="AH890">
        <v>218640.99999999997</v>
      </c>
      <c r="AI890" t="s">
        <v>135</v>
      </c>
      <c r="AJ890">
        <v>0</v>
      </c>
      <c r="AK890" t="s">
        <v>153</v>
      </c>
      <c r="AL890">
        <v>223107.49999999991</v>
      </c>
      <c r="AM890" t="s">
        <v>135</v>
      </c>
      <c r="AN890">
        <v>0</v>
      </c>
      <c r="AO890" t="s">
        <v>153</v>
      </c>
      <c r="AP890">
        <v>227379.5</v>
      </c>
      <c r="AQ890" t="s">
        <v>135</v>
      </c>
      <c r="AR890">
        <v>0</v>
      </c>
      <c r="AS890" t="s">
        <v>153</v>
      </c>
      <c r="AT890" t="s">
        <v>148</v>
      </c>
      <c r="AU890">
        <v>60</v>
      </c>
    </row>
    <row r="891" spans="1:47" x14ac:dyDescent="0.35">
      <c r="C891" t="s">
        <v>139</v>
      </c>
      <c r="D891">
        <v>0</v>
      </c>
      <c r="G891" t="s">
        <v>139</v>
      </c>
      <c r="H891">
        <v>0</v>
      </c>
      <c r="K891" t="s">
        <v>139</v>
      </c>
      <c r="L891">
        <v>0</v>
      </c>
      <c r="O891" t="s">
        <v>139</v>
      </c>
      <c r="P891">
        <v>884</v>
      </c>
      <c r="S891" t="s">
        <v>139</v>
      </c>
      <c r="T891">
        <v>0</v>
      </c>
      <c r="W891" t="s">
        <v>139</v>
      </c>
      <c r="X891">
        <v>0</v>
      </c>
      <c r="AA891" t="s">
        <v>139</v>
      </c>
      <c r="AB891">
        <v>812</v>
      </c>
      <c r="AE891" t="s">
        <v>139</v>
      </c>
      <c r="AF891">
        <v>880</v>
      </c>
      <c r="AI891" t="s">
        <v>139</v>
      </c>
      <c r="AJ891">
        <v>0</v>
      </c>
      <c r="AM891" t="s">
        <v>139</v>
      </c>
      <c r="AN891">
        <v>0</v>
      </c>
      <c r="AQ891" t="s">
        <v>139</v>
      </c>
      <c r="AR891">
        <v>0</v>
      </c>
      <c r="AT891" t="s">
        <v>139</v>
      </c>
      <c r="AU891">
        <v>206</v>
      </c>
    </row>
    <row r="892" spans="1:47" x14ac:dyDescent="0.35">
      <c r="C892" t="s">
        <v>138</v>
      </c>
      <c r="D892">
        <v>0</v>
      </c>
      <c r="G892" t="s">
        <v>138</v>
      </c>
      <c r="H892">
        <v>62</v>
      </c>
      <c r="K892" t="s">
        <v>138</v>
      </c>
      <c r="L892">
        <v>0</v>
      </c>
      <c r="O892" t="s">
        <v>138</v>
      </c>
      <c r="P892">
        <v>0</v>
      </c>
      <c r="S892" t="s">
        <v>138</v>
      </c>
      <c r="T892">
        <v>0</v>
      </c>
      <c r="W892" t="s">
        <v>138</v>
      </c>
      <c r="X892">
        <v>0</v>
      </c>
      <c r="AA892" t="s">
        <v>138</v>
      </c>
      <c r="AB892">
        <v>0</v>
      </c>
      <c r="AE892" t="s">
        <v>138</v>
      </c>
      <c r="AF892">
        <v>44</v>
      </c>
      <c r="AI892" t="s">
        <v>138</v>
      </c>
      <c r="AJ892">
        <v>0</v>
      </c>
      <c r="AM892" t="s">
        <v>138</v>
      </c>
      <c r="AN892">
        <v>0</v>
      </c>
      <c r="AQ892" t="s">
        <v>138</v>
      </c>
      <c r="AR892">
        <v>0</v>
      </c>
      <c r="AT892" t="s">
        <v>138</v>
      </c>
      <c r="AU892">
        <v>50</v>
      </c>
    </row>
    <row r="893" spans="1:47" x14ac:dyDescent="0.35">
      <c r="C893" t="s">
        <v>82</v>
      </c>
      <c r="D893">
        <v>0</v>
      </c>
      <c r="G893" t="s">
        <v>82</v>
      </c>
      <c r="H893">
        <v>82</v>
      </c>
      <c r="K893" t="s">
        <v>82</v>
      </c>
      <c r="L893">
        <v>2683</v>
      </c>
      <c r="O893" t="s">
        <v>82</v>
      </c>
      <c r="P893">
        <v>617</v>
      </c>
      <c r="S893" t="s">
        <v>82</v>
      </c>
      <c r="T893">
        <v>27</v>
      </c>
      <c r="W893" t="s">
        <v>82</v>
      </c>
      <c r="X893">
        <v>821</v>
      </c>
      <c r="AA893" t="s">
        <v>82</v>
      </c>
      <c r="AB893">
        <v>1721</v>
      </c>
      <c r="AE893" t="s">
        <v>82</v>
      </c>
      <c r="AF893">
        <v>349</v>
      </c>
      <c r="AI893" t="s">
        <v>82</v>
      </c>
      <c r="AJ893">
        <v>3797</v>
      </c>
      <c r="AM893" t="s">
        <v>82</v>
      </c>
      <c r="AN893">
        <v>1057</v>
      </c>
      <c r="AQ893" t="s">
        <v>82</v>
      </c>
      <c r="AR893">
        <v>0</v>
      </c>
      <c r="AT893" t="s">
        <v>82</v>
      </c>
      <c r="AU893">
        <v>0</v>
      </c>
    </row>
    <row r="894" spans="1:47" x14ac:dyDescent="0.35">
      <c r="C894" t="s">
        <v>60</v>
      </c>
      <c r="D894">
        <v>84</v>
      </c>
      <c r="G894" t="s">
        <v>60</v>
      </c>
      <c r="H894">
        <v>22</v>
      </c>
      <c r="K894" t="s">
        <v>60</v>
      </c>
      <c r="L894">
        <v>528</v>
      </c>
      <c r="O894" t="s">
        <v>60</v>
      </c>
      <c r="P894">
        <v>6</v>
      </c>
      <c r="S894" t="s">
        <v>60</v>
      </c>
      <c r="T894">
        <v>225</v>
      </c>
      <c r="W894" t="s">
        <v>60</v>
      </c>
      <c r="X894">
        <v>264</v>
      </c>
      <c r="AA894" t="s">
        <v>60</v>
      </c>
      <c r="AB894">
        <v>0</v>
      </c>
      <c r="AE894" t="s">
        <v>60</v>
      </c>
      <c r="AF894">
        <v>78</v>
      </c>
      <c r="AI894" t="s">
        <v>60</v>
      </c>
      <c r="AJ894">
        <v>689</v>
      </c>
      <c r="AM894" t="s">
        <v>60</v>
      </c>
      <c r="AN894">
        <v>256</v>
      </c>
      <c r="AQ894" t="s">
        <v>60</v>
      </c>
      <c r="AR894">
        <v>0</v>
      </c>
      <c r="AT894" t="s">
        <v>60</v>
      </c>
      <c r="AU894">
        <v>0</v>
      </c>
    </row>
    <row r="895" spans="1:47" x14ac:dyDescent="0.35">
      <c r="C895" t="s">
        <v>127</v>
      </c>
      <c r="D895">
        <v>0</v>
      </c>
      <c r="G895" t="s">
        <v>127</v>
      </c>
      <c r="H895">
        <v>0</v>
      </c>
      <c r="K895" t="s">
        <v>127</v>
      </c>
      <c r="L895">
        <v>0</v>
      </c>
      <c r="O895" t="s">
        <v>127</v>
      </c>
      <c r="P895">
        <v>0</v>
      </c>
      <c r="S895" t="s">
        <v>127</v>
      </c>
      <c r="T895">
        <v>0</v>
      </c>
      <c r="W895" t="s">
        <v>127</v>
      </c>
      <c r="X895">
        <v>0</v>
      </c>
      <c r="AA895" t="s">
        <v>127</v>
      </c>
      <c r="AB895">
        <v>0</v>
      </c>
      <c r="AE895" t="s">
        <v>127</v>
      </c>
      <c r="AF895">
        <v>0</v>
      </c>
      <c r="AI895" t="s">
        <v>127</v>
      </c>
      <c r="AJ895">
        <v>0</v>
      </c>
      <c r="AM895" t="s">
        <v>127</v>
      </c>
      <c r="AN895">
        <v>0</v>
      </c>
      <c r="AQ895" t="s">
        <v>127</v>
      </c>
      <c r="AR895">
        <v>0</v>
      </c>
      <c r="AT895" t="s">
        <v>58</v>
      </c>
      <c r="AU895">
        <v>0</v>
      </c>
    </row>
    <row r="896" spans="1:47" x14ac:dyDescent="0.35">
      <c r="C896" t="s">
        <v>61</v>
      </c>
      <c r="D896">
        <v>0</v>
      </c>
      <c r="G896" t="s">
        <v>61</v>
      </c>
      <c r="H896">
        <v>4</v>
      </c>
      <c r="K896" t="s">
        <v>61</v>
      </c>
      <c r="L896">
        <v>2217</v>
      </c>
      <c r="O896" t="s">
        <v>61</v>
      </c>
      <c r="P896">
        <v>0</v>
      </c>
      <c r="S896" t="s">
        <v>61</v>
      </c>
      <c r="T896">
        <v>0</v>
      </c>
      <c r="W896" t="s">
        <v>61</v>
      </c>
      <c r="X896">
        <v>61</v>
      </c>
      <c r="AA896" t="s">
        <v>61</v>
      </c>
      <c r="AB896">
        <v>0</v>
      </c>
      <c r="AE896" t="s">
        <v>61</v>
      </c>
      <c r="AF896">
        <v>14</v>
      </c>
      <c r="AI896" t="s">
        <v>61</v>
      </c>
      <c r="AJ896">
        <v>1344</v>
      </c>
      <c r="AM896" t="s">
        <v>61</v>
      </c>
      <c r="AN896">
        <v>44</v>
      </c>
      <c r="AQ896" t="s">
        <v>61</v>
      </c>
      <c r="AR896">
        <v>0</v>
      </c>
      <c r="AT896" t="s">
        <v>61</v>
      </c>
      <c r="AU896">
        <v>0</v>
      </c>
    </row>
    <row r="897" spans="3:47" x14ac:dyDescent="0.35">
      <c r="C897" t="s">
        <v>62</v>
      </c>
      <c r="D897">
        <v>0</v>
      </c>
      <c r="G897" t="s">
        <v>62</v>
      </c>
      <c r="H897">
        <v>24</v>
      </c>
      <c r="K897" t="s">
        <v>62</v>
      </c>
      <c r="L897">
        <v>4286</v>
      </c>
      <c r="O897" t="s">
        <v>62</v>
      </c>
      <c r="P897">
        <v>0</v>
      </c>
      <c r="S897" t="s">
        <v>62</v>
      </c>
      <c r="T897">
        <v>0</v>
      </c>
      <c r="W897" t="s">
        <v>62</v>
      </c>
      <c r="X897">
        <v>548</v>
      </c>
      <c r="AA897" t="s">
        <v>62</v>
      </c>
      <c r="AB897">
        <v>0</v>
      </c>
      <c r="AE897" t="s">
        <v>62</v>
      </c>
      <c r="AF897">
        <v>26</v>
      </c>
      <c r="AI897" t="s">
        <v>62</v>
      </c>
      <c r="AJ897">
        <v>0</v>
      </c>
      <c r="AM897" t="s">
        <v>62</v>
      </c>
      <c r="AN897">
        <v>245</v>
      </c>
      <c r="AQ897" t="s">
        <v>62</v>
      </c>
      <c r="AR897">
        <v>0</v>
      </c>
      <c r="AT897" t="s">
        <v>62</v>
      </c>
      <c r="AU897">
        <v>0</v>
      </c>
    </row>
    <row r="898" spans="3:47" x14ac:dyDescent="0.35">
      <c r="C898" t="s">
        <v>203</v>
      </c>
      <c r="D898">
        <v>0</v>
      </c>
      <c r="G898" t="s">
        <v>203</v>
      </c>
      <c r="H898">
        <v>0</v>
      </c>
      <c r="K898" t="s">
        <v>203</v>
      </c>
      <c r="L898">
        <v>0</v>
      </c>
      <c r="O898" t="s">
        <v>203</v>
      </c>
      <c r="P898">
        <v>0</v>
      </c>
      <c r="S898" t="s">
        <v>203</v>
      </c>
      <c r="T898">
        <v>0</v>
      </c>
      <c r="W898" t="s">
        <v>203</v>
      </c>
      <c r="X898">
        <v>0</v>
      </c>
      <c r="AA898" t="s">
        <v>203</v>
      </c>
      <c r="AB898">
        <v>0</v>
      </c>
      <c r="AE898" t="s">
        <v>203</v>
      </c>
      <c r="AF898">
        <v>0</v>
      </c>
      <c r="AI898" t="s">
        <v>203</v>
      </c>
      <c r="AJ898">
        <v>0</v>
      </c>
      <c r="AM898" t="s">
        <v>203</v>
      </c>
      <c r="AN898">
        <v>0</v>
      </c>
      <c r="AQ898" t="s">
        <v>203</v>
      </c>
      <c r="AR898">
        <v>0</v>
      </c>
      <c r="AT898" t="s">
        <v>64</v>
      </c>
      <c r="AU898">
        <v>0</v>
      </c>
    </row>
    <row r="899" spans="3:47" x14ac:dyDescent="0.35">
      <c r="C899" t="s">
        <v>204</v>
      </c>
      <c r="D899">
        <v>0</v>
      </c>
      <c r="G899" t="s">
        <v>204</v>
      </c>
      <c r="H899">
        <v>0</v>
      </c>
      <c r="K899" t="s">
        <v>204</v>
      </c>
      <c r="L899">
        <v>0</v>
      </c>
      <c r="O899" t="s">
        <v>204</v>
      </c>
      <c r="P899">
        <v>0</v>
      </c>
      <c r="S899" t="s">
        <v>204</v>
      </c>
      <c r="T899">
        <v>0</v>
      </c>
      <c r="W899" t="s">
        <v>204</v>
      </c>
      <c r="X899">
        <v>0</v>
      </c>
      <c r="AA899" t="s">
        <v>204</v>
      </c>
      <c r="AB899">
        <v>0</v>
      </c>
      <c r="AE899" t="s">
        <v>204</v>
      </c>
      <c r="AF899">
        <v>0</v>
      </c>
      <c r="AI899" t="s">
        <v>204</v>
      </c>
      <c r="AJ899">
        <v>0</v>
      </c>
      <c r="AM899" t="s">
        <v>204</v>
      </c>
      <c r="AN899">
        <v>0</v>
      </c>
      <c r="AQ899" t="s">
        <v>204</v>
      </c>
      <c r="AR899">
        <v>0</v>
      </c>
      <c r="AT899" t="s">
        <v>65</v>
      </c>
      <c r="AU899">
        <v>79</v>
      </c>
    </row>
    <row r="900" spans="3:47" x14ac:dyDescent="0.35">
      <c r="C900" t="s">
        <v>205</v>
      </c>
      <c r="D900">
        <v>0</v>
      </c>
      <c r="G900" t="s">
        <v>205</v>
      </c>
      <c r="H900">
        <v>0</v>
      </c>
      <c r="K900" t="s">
        <v>205</v>
      </c>
      <c r="L900">
        <v>0</v>
      </c>
      <c r="O900" t="s">
        <v>205</v>
      </c>
      <c r="P900">
        <v>0</v>
      </c>
      <c r="S900" t="s">
        <v>205</v>
      </c>
      <c r="T900">
        <v>0</v>
      </c>
      <c r="W900" t="s">
        <v>205</v>
      </c>
      <c r="X900">
        <v>0</v>
      </c>
      <c r="AA900" t="s">
        <v>205</v>
      </c>
      <c r="AB900">
        <v>0</v>
      </c>
      <c r="AE900" t="s">
        <v>205</v>
      </c>
      <c r="AF900">
        <v>0</v>
      </c>
      <c r="AI900" t="s">
        <v>205</v>
      </c>
      <c r="AJ900">
        <v>0</v>
      </c>
      <c r="AM900" t="s">
        <v>205</v>
      </c>
      <c r="AN900">
        <v>0</v>
      </c>
      <c r="AQ900" t="s">
        <v>205</v>
      </c>
      <c r="AR900">
        <v>0</v>
      </c>
      <c r="AT900" t="s">
        <v>66</v>
      </c>
      <c r="AU900">
        <v>0</v>
      </c>
    </row>
    <row r="901" spans="3:47" x14ac:dyDescent="0.35">
      <c r="C901" t="s">
        <v>133</v>
      </c>
      <c r="D901">
        <v>0</v>
      </c>
      <c r="G901" t="s">
        <v>133</v>
      </c>
      <c r="H901">
        <v>0</v>
      </c>
      <c r="K901" t="s">
        <v>133</v>
      </c>
      <c r="L901">
        <v>0</v>
      </c>
      <c r="O901" t="s">
        <v>133</v>
      </c>
      <c r="P901">
        <v>0</v>
      </c>
      <c r="S901" t="s">
        <v>133</v>
      </c>
      <c r="T901">
        <v>0</v>
      </c>
      <c r="W901" t="s">
        <v>133</v>
      </c>
      <c r="X901">
        <v>0</v>
      </c>
      <c r="AA901" t="s">
        <v>133</v>
      </c>
      <c r="AB901">
        <v>0</v>
      </c>
      <c r="AE901" t="s">
        <v>133</v>
      </c>
      <c r="AF901">
        <v>0</v>
      </c>
      <c r="AI901" t="s">
        <v>133</v>
      </c>
      <c r="AJ901">
        <v>0</v>
      </c>
      <c r="AM901" t="s">
        <v>133</v>
      </c>
      <c r="AN901">
        <v>0</v>
      </c>
      <c r="AQ901" t="s">
        <v>133</v>
      </c>
      <c r="AR901">
        <v>0</v>
      </c>
      <c r="AT901" t="s">
        <v>79</v>
      </c>
      <c r="AU901">
        <v>146</v>
      </c>
    </row>
    <row r="902" spans="3:47" x14ac:dyDescent="0.35">
      <c r="C902" t="s">
        <v>206</v>
      </c>
      <c r="D902">
        <v>0</v>
      </c>
      <c r="G902" t="s">
        <v>206</v>
      </c>
      <c r="H902">
        <v>0</v>
      </c>
      <c r="K902" t="s">
        <v>206</v>
      </c>
      <c r="L902">
        <v>0</v>
      </c>
      <c r="O902" t="s">
        <v>206</v>
      </c>
      <c r="P902">
        <v>0</v>
      </c>
      <c r="S902" t="s">
        <v>206</v>
      </c>
      <c r="T902">
        <v>0</v>
      </c>
      <c r="W902" t="s">
        <v>206</v>
      </c>
      <c r="X902">
        <v>0</v>
      </c>
      <c r="AA902" t="s">
        <v>206</v>
      </c>
      <c r="AB902">
        <v>0</v>
      </c>
      <c r="AE902" t="s">
        <v>206</v>
      </c>
      <c r="AF902">
        <v>0</v>
      </c>
      <c r="AI902" t="s">
        <v>206</v>
      </c>
      <c r="AJ902">
        <v>0</v>
      </c>
      <c r="AM902" t="s">
        <v>206</v>
      </c>
      <c r="AN902">
        <v>0</v>
      </c>
      <c r="AQ902" t="s">
        <v>206</v>
      </c>
      <c r="AR902">
        <v>0</v>
      </c>
      <c r="AT902" t="s">
        <v>68</v>
      </c>
      <c r="AU902">
        <v>0</v>
      </c>
    </row>
    <row r="903" spans="3:47" x14ac:dyDescent="0.35">
      <c r="C903" t="s">
        <v>136</v>
      </c>
      <c r="D903">
        <v>0</v>
      </c>
      <c r="G903" t="s">
        <v>136</v>
      </c>
      <c r="H903">
        <v>0</v>
      </c>
      <c r="K903" t="s">
        <v>136</v>
      </c>
      <c r="L903">
        <v>0</v>
      </c>
      <c r="O903" t="s">
        <v>136</v>
      </c>
      <c r="P903">
        <v>0</v>
      </c>
      <c r="S903" t="s">
        <v>136</v>
      </c>
      <c r="T903">
        <v>0</v>
      </c>
      <c r="W903" t="s">
        <v>136</v>
      </c>
      <c r="X903">
        <v>0</v>
      </c>
      <c r="AA903" t="s">
        <v>136</v>
      </c>
      <c r="AB903">
        <v>0</v>
      </c>
      <c r="AE903" t="s">
        <v>136</v>
      </c>
      <c r="AF903">
        <v>0</v>
      </c>
      <c r="AI903" t="s">
        <v>136</v>
      </c>
      <c r="AJ903">
        <v>0</v>
      </c>
      <c r="AM903" t="s">
        <v>136</v>
      </c>
      <c r="AN903">
        <v>0</v>
      </c>
      <c r="AQ903" t="s">
        <v>136</v>
      </c>
      <c r="AR903">
        <v>0</v>
      </c>
      <c r="AT903" t="s">
        <v>69</v>
      </c>
      <c r="AU903">
        <v>0</v>
      </c>
    </row>
    <row r="904" spans="3:47" x14ac:dyDescent="0.35">
      <c r="C904" t="s">
        <v>207</v>
      </c>
      <c r="D904">
        <v>0</v>
      </c>
      <c r="G904" t="s">
        <v>207</v>
      </c>
      <c r="H904">
        <v>0</v>
      </c>
      <c r="K904" t="s">
        <v>207</v>
      </c>
      <c r="L904">
        <v>0</v>
      </c>
      <c r="O904" t="s">
        <v>207</v>
      </c>
      <c r="P904">
        <v>0</v>
      </c>
      <c r="S904" t="s">
        <v>207</v>
      </c>
      <c r="T904">
        <v>0</v>
      </c>
      <c r="W904" t="s">
        <v>207</v>
      </c>
      <c r="X904">
        <v>0</v>
      </c>
      <c r="AA904" t="s">
        <v>207</v>
      </c>
      <c r="AB904">
        <v>0</v>
      </c>
      <c r="AE904" t="s">
        <v>207</v>
      </c>
      <c r="AF904">
        <v>0</v>
      </c>
      <c r="AI904" t="s">
        <v>207</v>
      </c>
      <c r="AJ904">
        <v>0</v>
      </c>
      <c r="AM904" t="s">
        <v>207</v>
      </c>
      <c r="AN904">
        <v>0</v>
      </c>
      <c r="AQ904" t="s">
        <v>207</v>
      </c>
      <c r="AR904">
        <v>0</v>
      </c>
      <c r="AT904" t="s">
        <v>70</v>
      </c>
      <c r="AU904">
        <v>0</v>
      </c>
    </row>
    <row r="905" spans="3:47" x14ac:dyDescent="0.35">
      <c r="C905" t="s">
        <v>141</v>
      </c>
      <c r="D905">
        <v>0</v>
      </c>
      <c r="G905" t="s">
        <v>141</v>
      </c>
      <c r="H905">
        <v>0</v>
      </c>
      <c r="K905" t="s">
        <v>141</v>
      </c>
      <c r="L905">
        <v>0</v>
      </c>
      <c r="O905" t="s">
        <v>141</v>
      </c>
      <c r="P905">
        <v>0</v>
      </c>
      <c r="S905" t="s">
        <v>141</v>
      </c>
      <c r="T905">
        <v>0</v>
      </c>
      <c r="W905" t="s">
        <v>141</v>
      </c>
      <c r="X905">
        <v>0</v>
      </c>
      <c r="AA905" t="s">
        <v>141</v>
      </c>
      <c r="AB905">
        <v>0</v>
      </c>
      <c r="AE905" t="s">
        <v>141</v>
      </c>
      <c r="AF905">
        <v>0</v>
      </c>
      <c r="AI905" t="s">
        <v>141</v>
      </c>
      <c r="AJ905">
        <v>0</v>
      </c>
      <c r="AM905" t="s">
        <v>141</v>
      </c>
      <c r="AN905">
        <v>0</v>
      </c>
      <c r="AQ905" t="s">
        <v>141</v>
      </c>
      <c r="AR905">
        <v>0</v>
      </c>
      <c r="AT905" t="s">
        <v>76</v>
      </c>
      <c r="AU905">
        <v>0</v>
      </c>
    </row>
    <row r="906" spans="3:47" x14ac:dyDescent="0.35">
      <c r="C906" t="s">
        <v>208</v>
      </c>
      <c r="D906">
        <v>0</v>
      </c>
      <c r="G906" t="s">
        <v>208</v>
      </c>
      <c r="H906">
        <v>0</v>
      </c>
      <c r="K906" t="s">
        <v>208</v>
      </c>
      <c r="L906">
        <v>0</v>
      </c>
      <c r="O906" t="s">
        <v>208</v>
      </c>
      <c r="P906">
        <v>0</v>
      </c>
      <c r="S906" t="s">
        <v>208</v>
      </c>
      <c r="T906">
        <v>0</v>
      </c>
      <c r="W906" t="s">
        <v>208</v>
      </c>
      <c r="X906">
        <v>0</v>
      </c>
      <c r="AA906" t="s">
        <v>208</v>
      </c>
      <c r="AB906">
        <v>0</v>
      </c>
      <c r="AE906" t="s">
        <v>208</v>
      </c>
      <c r="AF906">
        <v>0</v>
      </c>
      <c r="AI906" t="s">
        <v>208</v>
      </c>
      <c r="AJ906">
        <v>0</v>
      </c>
      <c r="AM906" t="s">
        <v>208</v>
      </c>
      <c r="AN906">
        <v>0</v>
      </c>
      <c r="AQ906" t="s">
        <v>208</v>
      </c>
      <c r="AR906">
        <v>0</v>
      </c>
      <c r="AT906" t="s">
        <v>77</v>
      </c>
      <c r="AU906">
        <v>0</v>
      </c>
    </row>
    <row r="907" spans="3:47" x14ac:dyDescent="0.35">
      <c r="C907" t="s">
        <v>209</v>
      </c>
      <c r="D907">
        <v>0</v>
      </c>
      <c r="G907" t="s">
        <v>209</v>
      </c>
      <c r="H907">
        <v>0</v>
      </c>
      <c r="K907" t="s">
        <v>209</v>
      </c>
      <c r="L907">
        <v>0</v>
      </c>
      <c r="O907" t="s">
        <v>209</v>
      </c>
      <c r="P907">
        <v>0</v>
      </c>
      <c r="S907" t="s">
        <v>209</v>
      </c>
      <c r="T907">
        <v>0</v>
      </c>
      <c r="W907" t="s">
        <v>209</v>
      </c>
      <c r="X907">
        <v>0</v>
      </c>
      <c r="AA907" t="s">
        <v>209</v>
      </c>
      <c r="AB907">
        <v>0</v>
      </c>
      <c r="AE907" t="s">
        <v>209</v>
      </c>
      <c r="AF907">
        <v>0</v>
      </c>
      <c r="AI907" t="s">
        <v>209</v>
      </c>
      <c r="AJ907">
        <v>0</v>
      </c>
      <c r="AM907" t="s">
        <v>209</v>
      </c>
      <c r="AN907">
        <v>0</v>
      </c>
      <c r="AQ907" t="s">
        <v>209</v>
      </c>
      <c r="AR907">
        <v>0</v>
      </c>
      <c r="AT907" t="s">
        <v>78</v>
      </c>
      <c r="AU907">
        <v>271</v>
      </c>
    </row>
    <row r="908" spans="3:47" x14ac:dyDescent="0.35">
      <c r="C908" t="s">
        <v>134</v>
      </c>
      <c r="D908">
        <v>0</v>
      </c>
      <c r="G908" t="s">
        <v>134</v>
      </c>
      <c r="H908">
        <v>0</v>
      </c>
      <c r="K908" t="s">
        <v>134</v>
      </c>
      <c r="L908">
        <v>0</v>
      </c>
      <c r="O908" t="s">
        <v>134</v>
      </c>
      <c r="P908">
        <v>0</v>
      </c>
      <c r="S908" t="s">
        <v>134</v>
      </c>
      <c r="T908">
        <v>0</v>
      </c>
      <c r="W908" t="s">
        <v>134</v>
      </c>
      <c r="X908">
        <v>0</v>
      </c>
      <c r="AA908" t="s">
        <v>134</v>
      </c>
      <c r="AB908">
        <v>0</v>
      </c>
      <c r="AE908" t="s">
        <v>134</v>
      </c>
      <c r="AF908">
        <v>0</v>
      </c>
      <c r="AI908" t="s">
        <v>134</v>
      </c>
      <c r="AJ908">
        <v>0</v>
      </c>
      <c r="AM908" t="s">
        <v>134</v>
      </c>
      <c r="AN908">
        <v>0</v>
      </c>
      <c r="AQ908" t="s">
        <v>134</v>
      </c>
      <c r="AR908">
        <v>0</v>
      </c>
      <c r="AT908" t="s">
        <v>67</v>
      </c>
      <c r="AU908">
        <v>0</v>
      </c>
    </row>
    <row r="909" spans="3:47" x14ac:dyDescent="0.35">
      <c r="C909" t="s">
        <v>142</v>
      </c>
      <c r="D909">
        <v>0</v>
      </c>
      <c r="G909" t="s">
        <v>142</v>
      </c>
      <c r="H909">
        <v>0</v>
      </c>
      <c r="K909" t="s">
        <v>142</v>
      </c>
      <c r="L909">
        <v>0</v>
      </c>
      <c r="O909" t="s">
        <v>142</v>
      </c>
      <c r="P909">
        <v>0</v>
      </c>
      <c r="S909" t="s">
        <v>142</v>
      </c>
      <c r="T909">
        <v>0</v>
      </c>
      <c r="W909" t="s">
        <v>142</v>
      </c>
      <c r="X909">
        <v>0</v>
      </c>
      <c r="AA909" t="s">
        <v>142</v>
      </c>
      <c r="AB909">
        <v>0</v>
      </c>
      <c r="AE909" t="s">
        <v>142</v>
      </c>
      <c r="AF909">
        <v>0</v>
      </c>
      <c r="AI909" t="s">
        <v>142</v>
      </c>
      <c r="AJ909">
        <v>0</v>
      </c>
      <c r="AM909" t="s">
        <v>142</v>
      </c>
      <c r="AN909">
        <v>0</v>
      </c>
      <c r="AQ909" t="s">
        <v>142</v>
      </c>
      <c r="AR909">
        <v>0</v>
      </c>
      <c r="AT909" t="s">
        <v>80</v>
      </c>
      <c r="AU909">
        <v>0</v>
      </c>
    </row>
    <row r="910" spans="3:47" x14ac:dyDescent="0.35">
      <c r="C910" t="s">
        <v>83</v>
      </c>
      <c r="D910">
        <v>0</v>
      </c>
      <c r="G910" t="s">
        <v>83</v>
      </c>
      <c r="H910">
        <v>0</v>
      </c>
      <c r="K910" t="s">
        <v>83</v>
      </c>
      <c r="L910">
        <v>0</v>
      </c>
      <c r="O910" t="s">
        <v>83</v>
      </c>
      <c r="P910">
        <v>0</v>
      </c>
      <c r="S910" t="s">
        <v>83</v>
      </c>
      <c r="T910">
        <v>0</v>
      </c>
      <c r="W910" t="s">
        <v>83</v>
      </c>
      <c r="X910">
        <v>0</v>
      </c>
      <c r="AA910" t="s">
        <v>83</v>
      </c>
      <c r="AB910">
        <v>0</v>
      </c>
      <c r="AE910" t="s">
        <v>83</v>
      </c>
      <c r="AF910">
        <v>0</v>
      </c>
      <c r="AI910" t="s">
        <v>83</v>
      </c>
      <c r="AJ910">
        <v>0</v>
      </c>
      <c r="AM910" t="s">
        <v>83</v>
      </c>
      <c r="AN910">
        <v>0</v>
      </c>
      <c r="AQ910" t="s">
        <v>83</v>
      </c>
      <c r="AR910">
        <v>0</v>
      </c>
      <c r="AT910" t="s">
        <v>83</v>
      </c>
      <c r="AU910">
        <v>0</v>
      </c>
    </row>
    <row r="911" spans="3:47" x14ac:dyDescent="0.35">
      <c r="C911" t="s">
        <v>84</v>
      </c>
      <c r="D911">
        <v>0</v>
      </c>
      <c r="G911" t="s">
        <v>84</v>
      </c>
      <c r="H911">
        <v>0</v>
      </c>
      <c r="K911" t="s">
        <v>84</v>
      </c>
      <c r="L911">
        <v>0</v>
      </c>
      <c r="O911" t="s">
        <v>84</v>
      </c>
      <c r="P911">
        <v>0</v>
      </c>
      <c r="S911" t="s">
        <v>84</v>
      </c>
      <c r="T911">
        <v>0</v>
      </c>
      <c r="W911" t="s">
        <v>84</v>
      </c>
      <c r="X911">
        <v>0</v>
      </c>
      <c r="AA911" t="s">
        <v>84</v>
      </c>
      <c r="AB911">
        <v>0</v>
      </c>
      <c r="AE911" t="s">
        <v>84</v>
      </c>
      <c r="AF911">
        <v>0</v>
      </c>
      <c r="AI911" t="s">
        <v>84</v>
      </c>
      <c r="AJ911">
        <v>0</v>
      </c>
      <c r="AM911" t="s">
        <v>84</v>
      </c>
      <c r="AN911">
        <v>0</v>
      </c>
      <c r="AQ911" t="s">
        <v>84</v>
      </c>
      <c r="AR911">
        <v>0</v>
      </c>
      <c r="AT911" t="s">
        <v>84</v>
      </c>
      <c r="AU911">
        <v>0</v>
      </c>
    </row>
    <row r="912" spans="3:47" x14ac:dyDescent="0.35">
      <c r="C912" t="s">
        <v>126</v>
      </c>
      <c r="D912">
        <v>0</v>
      </c>
      <c r="G912" t="s">
        <v>126</v>
      </c>
      <c r="H912">
        <v>0</v>
      </c>
      <c r="K912" t="s">
        <v>223</v>
      </c>
      <c r="L912">
        <v>0</v>
      </c>
      <c r="O912" t="s">
        <v>126</v>
      </c>
      <c r="P912">
        <v>0</v>
      </c>
      <c r="S912" t="s">
        <v>126</v>
      </c>
      <c r="T912">
        <v>0</v>
      </c>
      <c r="W912" t="s">
        <v>126</v>
      </c>
      <c r="X912">
        <v>0</v>
      </c>
      <c r="AA912" t="s">
        <v>126</v>
      </c>
      <c r="AB912">
        <v>0</v>
      </c>
      <c r="AE912" t="s">
        <v>126</v>
      </c>
      <c r="AF912">
        <v>0</v>
      </c>
      <c r="AI912" t="s">
        <v>126</v>
      </c>
      <c r="AJ912">
        <v>0</v>
      </c>
      <c r="AM912" t="s">
        <v>126</v>
      </c>
      <c r="AN912">
        <v>0</v>
      </c>
      <c r="AQ912" t="s">
        <v>126</v>
      </c>
      <c r="AR912">
        <v>0</v>
      </c>
      <c r="AT912" t="s">
        <v>86</v>
      </c>
      <c r="AU912">
        <v>0</v>
      </c>
    </row>
    <row r="913" spans="1:47" x14ac:dyDescent="0.35">
      <c r="C913" t="s">
        <v>87</v>
      </c>
      <c r="D913">
        <v>0</v>
      </c>
      <c r="G913" t="s">
        <v>87</v>
      </c>
      <c r="H913">
        <v>0</v>
      </c>
      <c r="K913" t="s">
        <v>87</v>
      </c>
      <c r="L913">
        <v>0</v>
      </c>
      <c r="O913" t="s">
        <v>87</v>
      </c>
      <c r="P913">
        <v>0</v>
      </c>
      <c r="S913" t="s">
        <v>87</v>
      </c>
      <c r="T913">
        <v>0</v>
      </c>
      <c r="W913" t="s">
        <v>87</v>
      </c>
      <c r="X913">
        <v>0</v>
      </c>
      <c r="AA913" t="s">
        <v>87</v>
      </c>
      <c r="AB913">
        <v>0</v>
      </c>
      <c r="AE913" t="s">
        <v>87</v>
      </c>
      <c r="AF913">
        <v>0</v>
      </c>
      <c r="AI913" t="s">
        <v>87</v>
      </c>
      <c r="AJ913">
        <v>0</v>
      </c>
      <c r="AM913" t="s">
        <v>87</v>
      </c>
      <c r="AN913">
        <v>0</v>
      </c>
      <c r="AQ913" t="s">
        <v>87</v>
      </c>
      <c r="AR913">
        <v>0</v>
      </c>
      <c r="AT913" t="s">
        <v>87</v>
      </c>
      <c r="AU913">
        <v>0</v>
      </c>
    </row>
    <row r="914" spans="1:47" x14ac:dyDescent="0.35">
      <c r="A914" t="s">
        <v>159</v>
      </c>
      <c r="B914">
        <v>1111443.9999999998</v>
      </c>
      <c r="C914" t="s">
        <v>135</v>
      </c>
      <c r="D914">
        <v>0</v>
      </c>
      <c r="E914" t="s">
        <v>159</v>
      </c>
      <c r="F914">
        <v>1118318.9999999998</v>
      </c>
      <c r="G914" t="s">
        <v>135</v>
      </c>
      <c r="H914">
        <v>0</v>
      </c>
      <c r="I914" t="s">
        <v>159</v>
      </c>
      <c r="J914">
        <v>1125865.0000000005</v>
      </c>
      <c r="K914" t="s">
        <v>135</v>
      </c>
      <c r="L914">
        <v>0</v>
      </c>
      <c r="M914" t="s">
        <v>159</v>
      </c>
      <c r="N914">
        <v>1133935.9999999998</v>
      </c>
      <c r="O914" t="s">
        <v>135</v>
      </c>
      <c r="P914">
        <v>0</v>
      </c>
      <c r="Q914" t="s">
        <v>159</v>
      </c>
      <c r="R914">
        <v>1142524</v>
      </c>
      <c r="S914" t="s">
        <v>135</v>
      </c>
      <c r="T914">
        <v>220</v>
      </c>
      <c r="U914" t="s">
        <v>159</v>
      </c>
      <c r="V914">
        <v>1151390.5000000002</v>
      </c>
      <c r="W914" t="s">
        <v>135</v>
      </c>
      <c r="X914">
        <v>425</v>
      </c>
      <c r="Y914" t="s">
        <v>159</v>
      </c>
      <c r="Z914">
        <v>1160427.5</v>
      </c>
      <c r="AA914" t="s">
        <v>135</v>
      </c>
      <c r="AB914">
        <v>556</v>
      </c>
      <c r="AC914" t="s">
        <v>159</v>
      </c>
      <c r="AD914">
        <v>1169612.9999999998</v>
      </c>
      <c r="AE914" t="s">
        <v>135</v>
      </c>
      <c r="AF914">
        <v>0</v>
      </c>
      <c r="AG914" t="s">
        <v>159</v>
      </c>
      <c r="AH914">
        <v>1180654.9999999998</v>
      </c>
      <c r="AI914" t="s">
        <v>135</v>
      </c>
      <c r="AJ914">
        <v>330</v>
      </c>
      <c r="AK914" t="s">
        <v>159</v>
      </c>
      <c r="AL914">
        <v>1192271.0000000002</v>
      </c>
      <c r="AM914" t="s">
        <v>135</v>
      </c>
      <c r="AN914">
        <v>0</v>
      </c>
      <c r="AO914" t="s">
        <v>159</v>
      </c>
      <c r="AP914">
        <v>1201670.4999999995</v>
      </c>
      <c r="AQ914" t="s">
        <v>135</v>
      </c>
      <c r="AR914">
        <v>4063</v>
      </c>
      <c r="AS914" t="s">
        <v>159</v>
      </c>
      <c r="AT914" t="s">
        <v>148</v>
      </c>
      <c r="AU914">
        <v>278</v>
      </c>
    </row>
    <row r="915" spans="1:47" x14ac:dyDescent="0.35">
      <c r="C915" t="s">
        <v>139</v>
      </c>
      <c r="D915">
        <v>0</v>
      </c>
      <c r="G915" t="s">
        <v>139</v>
      </c>
      <c r="H915">
        <v>7470</v>
      </c>
      <c r="K915" t="s">
        <v>139</v>
      </c>
      <c r="L915">
        <v>7694</v>
      </c>
      <c r="O915" t="s">
        <v>139</v>
      </c>
      <c r="P915">
        <v>7952</v>
      </c>
      <c r="S915" t="s">
        <v>139</v>
      </c>
      <c r="T915">
        <v>8400</v>
      </c>
      <c r="W915" t="s">
        <v>139</v>
      </c>
      <c r="X915">
        <v>8862</v>
      </c>
      <c r="AA915" t="s">
        <v>139</v>
      </c>
      <c r="AB915">
        <v>9412</v>
      </c>
      <c r="AE915" t="s">
        <v>139</v>
      </c>
      <c r="AF915">
        <v>0</v>
      </c>
      <c r="AI915" t="s">
        <v>139</v>
      </c>
      <c r="AJ915">
        <v>6881</v>
      </c>
      <c r="AM915" t="s">
        <v>139</v>
      </c>
      <c r="AN915">
        <v>0</v>
      </c>
      <c r="AQ915" t="s">
        <v>139</v>
      </c>
      <c r="AR915">
        <v>7648</v>
      </c>
      <c r="AT915" t="s">
        <v>139</v>
      </c>
      <c r="AU915">
        <v>2204</v>
      </c>
    </row>
    <row r="916" spans="1:47" x14ac:dyDescent="0.35">
      <c r="C916" t="s">
        <v>138</v>
      </c>
      <c r="D916">
        <v>0</v>
      </c>
      <c r="G916" t="s">
        <v>138</v>
      </c>
      <c r="H916">
        <v>0</v>
      </c>
      <c r="K916" t="s">
        <v>138</v>
      </c>
      <c r="L916">
        <v>0</v>
      </c>
      <c r="O916" t="s">
        <v>138</v>
      </c>
      <c r="P916">
        <v>0</v>
      </c>
      <c r="S916" t="s">
        <v>138</v>
      </c>
      <c r="T916">
        <v>0</v>
      </c>
      <c r="W916" t="s">
        <v>138</v>
      </c>
      <c r="X916">
        <v>0</v>
      </c>
      <c r="AA916" t="s">
        <v>138</v>
      </c>
      <c r="AB916">
        <v>0</v>
      </c>
      <c r="AE916" t="s">
        <v>138</v>
      </c>
      <c r="AF916">
        <v>0</v>
      </c>
      <c r="AI916" t="s">
        <v>138</v>
      </c>
      <c r="AJ916">
        <v>0</v>
      </c>
      <c r="AM916" t="s">
        <v>138</v>
      </c>
      <c r="AN916">
        <v>0</v>
      </c>
      <c r="AQ916" t="s">
        <v>138</v>
      </c>
      <c r="AR916">
        <v>0</v>
      </c>
      <c r="AT916" t="s">
        <v>138</v>
      </c>
      <c r="AU916">
        <v>14</v>
      </c>
    </row>
    <row r="917" spans="1:47" x14ac:dyDescent="0.35">
      <c r="C917" t="s">
        <v>82</v>
      </c>
      <c r="D917">
        <v>3320</v>
      </c>
      <c r="G917" t="s">
        <v>82</v>
      </c>
      <c r="H917">
        <v>0</v>
      </c>
      <c r="K917" t="s">
        <v>82</v>
      </c>
      <c r="L917">
        <v>488</v>
      </c>
      <c r="O917" t="s">
        <v>82</v>
      </c>
      <c r="P917">
        <v>65</v>
      </c>
      <c r="S917" t="s">
        <v>82</v>
      </c>
      <c r="T917">
        <v>0</v>
      </c>
      <c r="W917" t="s">
        <v>82</v>
      </c>
      <c r="X917">
        <v>0</v>
      </c>
      <c r="AA917" t="s">
        <v>82</v>
      </c>
      <c r="AB917">
        <v>921</v>
      </c>
      <c r="AE917" t="s">
        <v>82</v>
      </c>
      <c r="AF917">
        <v>0</v>
      </c>
      <c r="AI917" t="s">
        <v>82</v>
      </c>
      <c r="AJ917">
        <v>0</v>
      </c>
      <c r="AM917" t="s">
        <v>82</v>
      </c>
      <c r="AN917">
        <v>0</v>
      </c>
      <c r="AQ917" t="s">
        <v>82</v>
      </c>
      <c r="AR917">
        <v>15498</v>
      </c>
      <c r="AT917" t="s">
        <v>82</v>
      </c>
      <c r="AU917">
        <v>281</v>
      </c>
    </row>
    <row r="918" spans="1:47" x14ac:dyDescent="0.35">
      <c r="C918" t="s">
        <v>60</v>
      </c>
      <c r="D918">
        <v>768</v>
      </c>
      <c r="G918" t="s">
        <v>60</v>
      </c>
      <c r="H918">
        <v>0</v>
      </c>
      <c r="K918" t="s">
        <v>60</v>
      </c>
      <c r="L918">
        <v>214</v>
      </c>
      <c r="O918" t="s">
        <v>60</v>
      </c>
      <c r="P918">
        <v>13</v>
      </c>
      <c r="S918" t="s">
        <v>60</v>
      </c>
      <c r="T918">
        <v>0</v>
      </c>
      <c r="W918" t="s">
        <v>60</v>
      </c>
      <c r="X918">
        <v>0</v>
      </c>
      <c r="AA918" t="s">
        <v>60</v>
      </c>
      <c r="AB918">
        <v>275</v>
      </c>
      <c r="AE918" t="s">
        <v>60</v>
      </c>
      <c r="AF918">
        <v>0</v>
      </c>
      <c r="AI918" t="s">
        <v>60</v>
      </c>
      <c r="AJ918">
        <v>0</v>
      </c>
      <c r="AM918" t="s">
        <v>60</v>
      </c>
      <c r="AN918">
        <v>0</v>
      </c>
      <c r="AQ918" t="s">
        <v>60</v>
      </c>
      <c r="AR918">
        <v>338</v>
      </c>
      <c r="AT918" t="s">
        <v>60</v>
      </c>
      <c r="AU918">
        <v>74</v>
      </c>
    </row>
    <row r="919" spans="1:47" x14ac:dyDescent="0.35">
      <c r="C919" t="s">
        <v>127</v>
      </c>
      <c r="D919">
        <v>0</v>
      </c>
      <c r="G919" t="s">
        <v>127</v>
      </c>
      <c r="H919">
        <v>0</v>
      </c>
      <c r="K919" t="s">
        <v>127</v>
      </c>
      <c r="L919">
        <v>0</v>
      </c>
      <c r="O919" t="s">
        <v>127</v>
      </c>
      <c r="P919">
        <v>0</v>
      </c>
      <c r="S919" t="s">
        <v>127</v>
      </c>
      <c r="T919">
        <v>0</v>
      </c>
      <c r="W919" t="s">
        <v>127</v>
      </c>
      <c r="X919">
        <v>0</v>
      </c>
      <c r="AA919" t="s">
        <v>127</v>
      </c>
      <c r="AB919">
        <v>6324</v>
      </c>
      <c r="AE919" t="s">
        <v>127</v>
      </c>
      <c r="AF919">
        <v>0</v>
      </c>
      <c r="AI919" t="s">
        <v>127</v>
      </c>
      <c r="AJ919">
        <v>5386</v>
      </c>
      <c r="AM919" t="s">
        <v>127</v>
      </c>
      <c r="AN919">
        <v>0</v>
      </c>
      <c r="AQ919" t="s">
        <v>127</v>
      </c>
      <c r="AR919">
        <v>0</v>
      </c>
      <c r="AT919" t="s">
        <v>58</v>
      </c>
      <c r="AU919">
        <v>6324</v>
      </c>
    </row>
    <row r="920" spans="1:47" x14ac:dyDescent="0.35">
      <c r="C920" t="s">
        <v>61</v>
      </c>
      <c r="D920">
        <v>0</v>
      </c>
      <c r="G920" t="s">
        <v>61</v>
      </c>
      <c r="H920">
        <v>0</v>
      </c>
      <c r="K920" t="s">
        <v>61</v>
      </c>
      <c r="L920">
        <v>0</v>
      </c>
      <c r="O920" t="s">
        <v>61</v>
      </c>
      <c r="P920">
        <v>15</v>
      </c>
      <c r="S920" t="s">
        <v>61</v>
      </c>
      <c r="T920">
        <v>0</v>
      </c>
      <c r="W920" t="s">
        <v>61</v>
      </c>
      <c r="X920">
        <v>0</v>
      </c>
      <c r="AA920" t="s">
        <v>61</v>
      </c>
      <c r="AB920">
        <v>31</v>
      </c>
      <c r="AE920" t="s">
        <v>61</v>
      </c>
      <c r="AF920">
        <v>0</v>
      </c>
      <c r="AI920" t="s">
        <v>61</v>
      </c>
      <c r="AJ920">
        <v>0</v>
      </c>
      <c r="AM920" t="s">
        <v>61</v>
      </c>
      <c r="AN920">
        <v>0</v>
      </c>
      <c r="AQ920" t="s">
        <v>61</v>
      </c>
      <c r="AR920">
        <v>688</v>
      </c>
      <c r="AT920" t="s">
        <v>61</v>
      </c>
      <c r="AU920">
        <v>0</v>
      </c>
    </row>
    <row r="921" spans="1:47" x14ac:dyDescent="0.35">
      <c r="C921" t="s">
        <v>62</v>
      </c>
      <c r="D921">
        <v>4646</v>
      </c>
      <c r="G921" t="s">
        <v>62</v>
      </c>
      <c r="H921">
        <v>0</v>
      </c>
      <c r="K921" t="s">
        <v>62</v>
      </c>
      <c r="L921">
        <v>234</v>
      </c>
      <c r="O921" t="s">
        <v>62</v>
      </c>
      <c r="P921">
        <v>428</v>
      </c>
      <c r="S921" t="s">
        <v>62</v>
      </c>
      <c r="T921">
        <v>0</v>
      </c>
      <c r="W921" t="s">
        <v>62</v>
      </c>
      <c r="X921">
        <v>0</v>
      </c>
      <c r="AA921" t="s">
        <v>62</v>
      </c>
      <c r="AB921">
        <v>275</v>
      </c>
      <c r="AE921" t="s">
        <v>62</v>
      </c>
      <c r="AF921">
        <v>0</v>
      </c>
      <c r="AI921" t="s">
        <v>62</v>
      </c>
      <c r="AJ921">
        <v>0</v>
      </c>
      <c r="AM921" t="s">
        <v>62</v>
      </c>
      <c r="AN921">
        <v>0</v>
      </c>
      <c r="AQ921" t="s">
        <v>62</v>
      </c>
      <c r="AR921">
        <v>2886</v>
      </c>
      <c r="AT921" t="s">
        <v>62</v>
      </c>
      <c r="AU921">
        <v>187</v>
      </c>
    </row>
    <row r="922" spans="1:47" x14ac:dyDescent="0.35">
      <c r="C922" t="s">
        <v>203</v>
      </c>
      <c r="D922">
        <v>0</v>
      </c>
      <c r="G922" t="s">
        <v>203</v>
      </c>
      <c r="H922">
        <v>0</v>
      </c>
      <c r="K922" t="s">
        <v>203</v>
      </c>
      <c r="L922">
        <v>0</v>
      </c>
      <c r="O922" t="s">
        <v>203</v>
      </c>
      <c r="P922">
        <v>0</v>
      </c>
      <c r="S922" t="s">
        <v>203</v>
      </c>
      <c r="T922">
        <v>0</v>
      </c>
      <c r="W922" t="s">
        <v>203</v>
      </c>
      <c r="X922">
        <v>0</v>
      </c>
      <c r="AA922" t="s">
        <v>203</v>
      </c>
      <c r="AB922">
        <v>0</v>
      </c>
      <c r="AE922" t="s">
        <v>203</v>
      </c>
      <c r="AF922">
        <v>0</v>
      </c>
      <c r="AI922" t="s">
        <v>203</v>
      </c>
      <c r="AJ922">
        <v>0</v>
      </c>
      <c r="AM922" t="s">
        <v>203</v>
      </c>
      <c r="AN922">
        <v>0</v>
      </c>
      <c r="AQ922" t="s">
        <v>203</v>
      </c>
      <c r="AR922">
        <v>0</v>
      </c>
      <c r="AT922" t="s">
        <v>64</v>
      </c>
      <c r="AU922">
        <v>927</v>
      </c>
    </row>
    <row r="923" spans="1:47" x14ac:dyDescent="0.35">
      <c r="C923" t="s">
        <v>204</v>
      </c>
      <c r="D923">
        <v>0</v>
      </c>
      <c r="G923" t="s">
        <v>204</v>
      </c>
      <c r="H923">
        <v>0</v>
      </c>
      <c r="K923" t="s">
        <v>204</v>
      </c>
      <c r="L923">
        <v>0</v>
      </c>
      <c r="O923" t="s">
        <v>204</v>
      </c>
      <c r="P923">
        <v>0</v>
      </c>
      <c r="S923" t="s">
        <v>204</v>
      </c>
      <c r="T923">
        <v>0</v>
      </c>
      <c r="W923" t="s">
        <v>204</v>
      </c>
      <c r="X923">
        <v>0</v>
      </c>
      <c r="AA923" t="s">
        <v>204</v>
      </c>
      <c r="AB923">
        <v>0</v>
      </c>
      <c r="AE923" t="s">
        <v>204</v>
      </c>
      <c r="AF923">
        <v>0</v>
      </c>
      <c r="AI923" t="s">
        <v>204</v>
      </c>
      <c r="AJ923">
        <v>0</v>
      </c>
      <c r="AM923" t="s">
        <v>204</v>
      </c>
      <c r="AN923">
        <v>0</v>
      </c>
      <c r="AQ923" t="s">
        <v>204</v>
      </c>
      <c r="AR923">
        <v>0</v>
      </c>
      <c r="AT923" t="s">
        <v>65</v>
      </c>
      <c r="AU923">
        <v>195</v>
      </c>
    </row>
    <row r="924" spans="1:47" x14ac:dyDescent="0.35">
      <c r="C924" t="s">
        <v>205</v>
      </c>
      <c r="D924">
        <v>0</v>
      </c>
      <c r="G924" t="s">
        <v>205</v>
      </c>
      <c r="H924">
        <v>0</v>
      </c>
      <c r="K924" t="s">
        <v>205</v>
      </c>
      <c r="L924">
        <v>0</v>
      </c>
      <c r="O924" t="s">
        <v>205</v>
      </c>
      <c r="P924">
        <v>0</v>
      </c>
      <c r="S924" t="s">
        <v>205</v>
      </c>
      <c r="T924">
        <v>0</v>
      </c>
      <c r="W924" t="s">
        <v>205</v>
      </c>
      <c r="X924">
        <v>0</v>
      </c>
      <c r="AA924" t="s">
        <v>205</v>
      </c>
      <c r="AB924">
        <v>0</v>
      </c>
      <c r="AE924" t="s">
        <v>205</v>
      </c>
      <c r="AF924">
        <v>3</v>
      </c>
      <c r="AI924" t="s">
        <v>205</v>
      </c>
      <c r="AJ924">
        <v>0</v>
      </c>
      <c r="AM924" t="s">
        <v>205</v>
      </c>
      <c r="AN924">
        <v>0</v>
      </c>
      <c r="AQ924" t="s">
        <v>205</v>
      </c>
      <c r="AR924">
        <v>0</v>
      </c>
      <c r="AT924" t="s">
        <v>66</v>
      </c>
      <c r="AU924">
        <v>0</v>
      </c>
    </row>
    <row r="925" spans="1:47" x14ac:dyDescent="0.35">
      <c r="C925" t="s">
        <v>133</v>
      </c>
      <c r="D925">
        <v>0</v>
      </c>
      <c r="G925" t="s">
        <v>133</v>
      </c>
      <c r="H925">
        <v>0</v>
      </c>
      <c r="K925" t="s">
        <v>133</v>
      </c>
      <c r="L925">
        <v>0</v>
      </c>
      <c r="O925" t="s">
        <v>133</v>
      </c>
      <c r="P925">
        <v>0</v>
      </c>
      <c r="S925" t="s">
        <v>133</v>
      </c>
      <c r="T925">
        <v>0</v>
      </c>
      <c r="W925" t="s">
        <v>133</v>
      </c>
      <c r="X925">
        <v>0</v>
      </c>
      <c r="AA925" t="s">
        <v>133</v>
      </c>
      <c r="AB925">
        <v>370</v>
      </c>
      <c r="AE925" t="s">
        <v>133</v>
      </c>
      <c r="AF925">
        <v>0</v>
      </c>
      <c r="AI925" t="s">
        <v>133</v>
      </c>
      <c r="AJ925">
        <v>0</v>
      </c>
      <c r="AM925" t="s">
        <v>133</v>
      </c>
      <c r="AN925">
        <v>0</v>
      </c>
      <c r="AQ925" t="s">
        <v>133</v>
      </c>
      <c r="AR925">
        <v>0</v>
      </c>
      <c r="AT925" t="s">
        <v>79</v>
      </c>
      <c r="AU925">
        <v>84</v>
      </c>
    </row>
    <row r="926" spans="1:47" x14ac:dyDescent="0.35">
      <c r="C926" t="s">
        <v>206</v>
      </c>
      <c r="D926">
        <v>0</v>
      </c>
      <c r="G926" t="s">
        <v>206</v>
      </c>
      <c r="H926">
        <v>0</v>
      </c>
      <c r="K926" t="s">
        <v>206</v>
      </c>
      <c r="L926">
        <v>0</v>
      </c>
      <c r="O926" t="s">
        <v>206</v>
      </c>
      <c r="P926">
        <v>0</v>
      </c>
      <c r="S926" t="s">
        <v>206</v>
      </c>
      <c r="T926">
        <v>0</v>
      </c>
      <c r="W926" t="s">
        <v>206</v>
      </c>
      <c r="X926">
        <v>0</v>
      </c>
      <c r="AA926" t="s">
        <v>206</v>
      </c>
      <c r="AB926">
        <v>0</v>
      </c>
      <c r="AE926" t="s">
        <v>206</v>
      </c>
      <c r="AF926">
        <v>0</v>
      </c>
      <c r="AI926" t="s">
        <v>206</v>
      </c>
      <c r="AJ926">
        <v>30</v>
      </c>
      <c r="AM926" t="s">
        <v>206</v>
      </c>
      <c r="AN926">
        <v>0</v>
      </c>
      <c r="AQ926" t="s">
        <v>206</v>
      </c>
      <c r="AR926">
        <v>0</v>
      </c>
      <c r="AT926" t="s">
        <v>68</v>
      </c>
      <c r="AU926">
        <v>28</v>
      </c>
    </row>
    <row r="927" spans="1:47" x14ac:dyDescent="0.35">
      <c r="C927" t="s">
        <v>136</v>
      </c>
      <c r="D927">
        <v>0</v>
      </c>
      <c r="G927" t="s">
        <v>136</v>
      </c>
      <c r="H927">
        <v>0</v>
      </c>
      <c r="K927" t="s">
        <v>136</v>
      </c>
      <c r="L927">
        <v>0</v>
      </c>
      <c r="O927" t="s">
        <v>136</v>
      </c>
      <c r="P927">
        <v>0</v>
      </c>
      <c r="S927" t="s">
        <v>136</v>
      </c>
      <c r="T927">
        <v>0</v>
      </c>
      <c r="W927" t="s">
        <v>136</v>
      </c>
      <c r="X927">
        <v>0</v>
      </c>
      <c r="AA927" t="s">
        <v>136</v>
      </c>
      <c r="AB927">
        <v>0</v>
      </c>
      <c r="AE927" t="s">
        <v>136</v>
      </c>
      <c r="AF927">
        <v>0</v>
      </c>
      <c r="AI927" t="s">
        <v>136</v>
      </c>
      <c r="AJ927">
        <v>53</v>
      </c>
      <c r="AM927" t="s">
        <v>136</v>
      </c>
      <c r="AN927">
        <v>0</v>
      </c>
      <c r="AQ927" t="s">
        <v>136</v>
      </c>
      <c r="AR927">
        <v>0</v>
      </c>
      <c r="AT927" t="s">
        <v>69</v>
      </c>
      <c r="AU927">
        <v>47</v>
      </c>
    </row>
    <row r="928" spans="1:47" x14ac:dyDescent="0.35">
      <c r="C928" t="s">
        <v>207</v>
      </c>
      <c r="D928">
        <v>0</v>
      </c>
      <c r="G928" t="s">
        <v>207</v>
      </c>
      <c r="H928">
        <v>0</v>
      </c>
      <c r="K928" t="s">
        <v>207</v>
      </c>
      <c r="L928">
        <v>0</v>
      </c>
      <c r="O928" t="s">
        <v>207</v>
      </c>
      <c r="P928">
        <v>0</v>
      </c>
      <c r="S928" t="s">
        <v>207</v>
      </c>
      <c r="T928">
        <v>0</v>
      </c>
      <c r="W928" t="s">
        <v>207</v>
      </c>
      <c r="X928">
        <v>0</v>
      </c>
      <c r="AA928" t="s">
        <v>207</v>
      </c>
      <c r="AB928">
        <v>0</v>
      </c>
      <c r="AE928" t="s">
        <v>207</v>
      </c>
      <c r="AF928">
        <v>0</v>
      </c>
      <c r="AI928" t="s">
        <v>207</v>
      </c>
      <c r="AJ928">
        <v>0</v>
      </c>
      <c r="AM928" t="s">
        <v>207</v>
      </c>
      <c r="AN928">
        <v>0</v>
      </c>
      <c r="AQ928" t="s">
        <v>207</v>
      </c>
      <c r="AR928">
        <v>0</v>
      </c>
      <c r="AT928" t="s">
        <v>70</v>
      </c>
      <c r="AU928">
        <v>2084</v>
      </c>
    </row>
    <row r="929" spans="1:47" x14ac:dyDescent="0.35">
      <c r="C929" t="s">
        <v>141</v>
      </c>
      <c r="D929">
        <v>0</v>
      </c>
      <c r="G929" t="s">
        <v>141</v>
      </c>
      <c r="H929">
        <v>0</v>
      </c>
      <c r="K929" t="s">
        <v>141</v>
      </c>
      <c r="L929">
        <v>0</v>
      </c>
      <c r="O929" t="s">
        <v>141</v>
      </c>
      <c r="P929">
        <v>0</v>
      </c>
      <c r="S929" t="s">
        <v>141</v>
      </c>
      <c r="T929">
        <v>0</v>
      </c>
      <c r="W929" t="s">
        <v>141</v>
      </c>
      <c r="X929">
        <v>0</v>
      </c>
      <c r="AA929" t="s">
        <v>141</v>
      </c>
      <c r="AB929">
        <v>0</v>
      </c>
      <c r="AE929" t="s">
        <v>141</v>
      </c>
      <c r="AF929">
        <v>0</v>
      </c>
      <c r="AI929" t="s">
        <v>141</v>
      </c>
      <c r="AJ929">
        <v>6</v>
      </c>
      <c r="AM929" t="s">
        <v>141</v>
      </c>
      <c r="AN929">
        <v>0</v>
      </c>
      <c r="AQ929" t="s">
        <v>141</v>
      </c>
      <c r="AR929">
        <v>0</v>
      </c>
      <c r="AT929" t="s">
        <v>76</v>
      </c>
      <c r="AU929">
        <v>12</v>
      </c>
    </row>
    <row r="930" spans="1:47" x14ac:dyDescent="0.35">
      <c r="C930" t="s">
        <v>208</v>
      </c>
      <c r="D930">
        <v>0</v>
      </c>
      <c r="G930" t="s">
        <v>208</v>
      </c>
      <c r="H930">
        <v>0</v>
      </c>
      <c r="K930" t="s">
        <v>208</v>
      </c>
      <c r="L930">
        <v>0</v>
      </c>
      <c r="O930" t="s">
        <v>208</v>
      </c>
      <c r="P930">
        <v>0</v>
      </c>
      <c r="S930" t="s">
        <v>208</v>
      </c>
      <c r="T930">
        <v>0</v>
      </c>
      <c r="W930" t="s">
        <v>208</v>
      </c>
      <c r="X930">
        <v>0</v>
      </c>
      <c r="AA930" t="s">
        <v>208</v>
      </c>
      <c r="AB930">
        <v>0</v>
      </c>
      <c r="AE930" t="s">
        <v>208</v>
      </c>
      <c r="AF930">
        <v>0</v>
      </c>
      <c r="AI930" t="s">
        <v>208</v>
      </c>
      <c r="AJ930">
        <v>52</v>
      </c>
      <c r="AM930" t="s">
        <v>208</v>
      </c>
      <c r="AN930">
        <v>0</v>
      </c>
      <c r="AQ930" t="s">
        <v>208</v>
      </c>
      <c r="AR930">
        <v>0</v>
      </c>
      <c r="AT930" t="s">
        <v>77</v>
      </c>
      <c r="AU930">
        <v>1215</v>
      </c>
    </row>
    <row r="931" spans="1:47" x14ac:dyDescent="0.35">
      <c r="C931" t="s">
        <v>209</v>
      </c>
      <c r="D931">
        <v>0</v>
      </c>
      <c r="G931" t="s">
        <v>209</v>
      </c>
      <c r="H931">
        <v>0</v>
      </c>
      <c r="K931" t="s">
        <v>209</v>
      </c>
      <c r="L931">
        <v>0</v>
      </c>
      <c r="O931" t="s">
        <v>209</v>
      </c>
      <c r="P931">
        <v>0</v>
      </c>
      <c r="S931" t="s">
        <v>209</v>
      </c>
      <c r="T931">
        <v>0</v>
      </c>
      <c r="W931" t="s">
        <v>209</v>
      </c>
      <c r="X931">
        <v>0</v>
      </c>
      <c r="AA931" t="s">
        <v>209</v>
      </c>
      <c r="AB931">
        <v>0</v>
      </c>
      <c r="AE931" t="s">
        <v>209</v>
      </c>
      <c r="AF931">
        <v>0</v>
      </c>
      <c r="AI931" t="s">
        <v>209</v>
      </c>
      <c r="AJ931">
        <v>1861</v>
      </c>
      <c r="AM931" t="s">
        <v>209</v>
      </c>
      <c r="AN931">
        <v>0</v>
      </c>
      <c r="AQ931" t="s">
        <v>209</v>
      </c>
      <c r="AR931">
        <v>0</v>
      </c>
      <c r="AT931" t="s">
        <v>78</v>
      </c>
      <c r="AU931">
        <v>85</v>
      </c>
    </row>
    <row r="932" spans="1:47" x14ac:dyDescent="0.35">
      <c r="C932" t="s">
        <v>134</v>
      </c>
      <c r="D932">
        <v>0</v>
      </c>
      <c r="G932" t="s">
        <v>134</v>
      </c>
      <c r="H932">
        <v>0</v>
      </c>
      <c r="K932" t="s">
        <v>134</v>
      </c>
      <c r="L932">
        <v>0</v>
      </c>
      <c r="O932" t="s">
        <v>134</v>
      </c>
      <c r="P932">
        <v>0</v>
      </c>
      <c r="S932" t="s">
        <v>134</v>
      </c>
      <c r="T932">
        <v>0</v>
      </c>
      <c r="W932" t="s">
        <v>134</v>
      </c>
      <c r="X932">
        <v>0</v>
      </c>
      <c r="AA932" t="s">
        <v>134</v>
      </c>
      <c r="AB932">
        <v>0</v>
      </c>
      <c r="AE932" t="s">
        <v>134</v>
      </c>
      <c r="AF932">
        <v>0</v>
      </c>
      <c r="AI932" t="s">
        <v>134</v>
      </c>
      <c r="AJ932">
        <v>0</v>
      </c>
      <c r="AM932" t="s">
        <v>134</v>
      </c>
      <c r="AN932">
        <v>0</v>
      </c>
      <c r="AQ932" t="s">
        <v>134</v>
      </c>
      <c r="AR932">
        <v>0</v>
      </c>
      <c r="AT932" t="s">
        <v>67</v>
      </c>
      <c r="AU932">
        <v>370</v>
      </c>
    </row>
    <row r="933" spans="1:47" x14ac:dyDescent="0.35">
      <c r="C933" t="s">
        <v>142</v>
      </c>
      <c r="D933">
        <v>0</v>
      </c>
      <c r="G933" t="s">
        <v>142</v>
      </c>
      <c r="H933">
        <v>0</v>
      </c>
      <c r="K933" t="s">
        <v>142</v>
      </c>
      <c r="L933">
        <v>0</v>
      </c>
      <c r="O933" t="s">
        <v>142</v>
      </c>
      <c r="P933">
        <v>0</v>
      </c>
      <c r="S933" t="s">
        <v>142</v>
      </c>
      <c r="T933">
        <v>0</v>
      </c>
      <c r="W933" t="s">
        <v>142</v>
      </c>
      <c r="X933">
        <v>0</v>
      </c>
      <c r="AA933" t="s">
        <v>142</v>
      </c>
      <c r="AB933">
        <v>0</v>
      </c>
      <c r="AE933" t="s">
        <v>142</v>
      </c>
      <c r="AF933">
        <v>0</v>
      </c>
      <c r="AI933" t="s">
        <v>142</v>
      </c>
      <c r="AJ933">
        <v>0</v>
      </c>
      <c r="AM933" t="s">
        <v>142</v>
      </c>
      <c r="AN933">
        <v>0</v>
      </c>
      <c r="AQ933" t="s">
        <v>142</v>
      </c>
      <c r="AR933">
        <v>0</v>
      </c>
      <c r="AT933" t="s">
        <v>80</v>
      </c>
      <c r="AU933">
        <v>29</v>
      </c>
    </row>
    <row r="934" spans="1:47" x14ac:dyDescent="0.35">
      <c r="C934" t="s">
        <v>83</v>
      </c>
      <c r="D934">
        <v>0</v>
      </c>
      <c r="G934" t="s">
        <v>83</v>
      </c>
      <c r="H934">
        <v>0</v>
      </c>
      <c r="K934" t="s">
        <v>83</v>
      </c>
      <c r="L934">
        <v>0</v>
      </c>
      <c r="O934" t="s">
        <v>83</v>
      </c>
      <c r="P934">
        <v>0</v>
      </c>
      <c r="S934" t="s">
        <v>83</v>
      </c>
      <c r="T934">
        <v>0</v>
      </c>
      <c r="W934" t="s">
        <v>83</v>
      </c>
      <c r="X934">
        <v>0</v>
      </c>
      <c r="AA934" t="s">
        <v>83</v>
      </c>
      <c r="AB934">
        <v>0</v>
      </c>
      <c r="AE934" t="s">
        <v>83</v>
      </c>
      <c r="AF934">
        <v>0</v>
      </c>
      <c r="AI934" t="s">
        <v>83</v>
      </c>
      <c r="AJ934">
        <v>15</v>
      </c>
      <c r="AM934" t="s">
        <v>83</v>
      </c>
      <c r="AN934">
        <v>0</v>
      </c>
      <c r="AQ934" t="s">
        <v>83</v>
      </c>
      <c r="AR934">
        <v>0</v>
      </c>
      <c r="AT934" t="s">
        <v>83</v>
      </c>
      <c r="AU934">
        <v>29</v>
      </c>
    </row>
    <row r="935" spans="1:47" x14ac:dyDescent="0.35">
      <c r="C935" t="s">
        <v>84</v>
      </c>
      <c r="D935">
        <v>0</v>
      </c>
      <c r="G935" t="s">
        <v>84</v>
      </c>
      <c r="H935">
        <v>0</v>
      </c>
      <c r="K935" t="s">
        <v>84</v>
      </c>
      <c r="L935">
        <v>0</v>
      </c>
      <c r="O935" t="s">
        <v>84</v>
      </c>
      <c r="P935">
        <v>0</v>
      </c>
      <c r="S935" t="s">
        <v>84</v>
      </c>
      <c r="T935">
        <v>0</v>
      </c>
      <c r="W935" t="s">
        <v>84</v>
      </c>
      <c r="X935">
        <v>0</v>
      </c>
      <c r="AA935" t="s">
        <v>84</v>
      </c>
      <c r="AB935">
        <v>0</v>
      </c>
      <c r="AE935" t="s">
        <v>84</v>
      </c>
      <c r="AF935">
        <v>0</v>
      </c>
      <c r="AI935" t="s">
        <v>84</v>
      </c>
      <c r="AJ935">
        <v>38</v>
      </c>
      <c r="AM935" t="s">
        <v>84</v>
      </c>
      <c r="AN935">
        <v>0</v>
      </c>
      <c r="AQ935" t="s">
        <v>84</v>
      </c>
      <c r="AR935">
        <v>0</v>
      </c>
      <c r="AT935" t="s">
        <v>84</v>
      </c>
      <c r="AU935">
        <v>0</v>
      </c>
    </row>
    <row r="936" spans="1:47" x14ac:dyDescent="0.35">
      <c r="C936" t="s">
        <v>126</v>
      </c>
      <c r="D936">
        <v>0</v>
      </c>
      <c r="G936" t="s">
        <v>126</v>
      </c>
      <c r="H936">
        <v>0</v>
      </c>
      <c r="K936" t="s">
        <v>223</v>
      </c>
      <c r="L936">
        <v>0</v>
      </c>
      <c r="O936" t="s">
        <v>126</v>
      </c>
      <c r="P936">
        <v>0</v>
      </c>
      <c r="S936" t="s">
        <v>126</v>
      </c>
      <c r="T936">
        <v>0</v>
      </c>
      <c r="W936" t="s">
        <v>126</v>
      </c>
      <c r="X936">
        <v>0</v>
      </c>
      <c r="AA936" t="s">
        <v>126</v>
      </c>
      <c r="AB936">
        <v>0</v>
      </c>
      <c r="AE936" t="s">
        <v>126</v>
      </c>
      <c r="AF936">
        <v>0</v>
      </c>
      <c r="AI936" t="s">
        <v>126</v>
      </c>
      <c r="AJ936">
        <v>7</v>
      </c>
      <c r="AM936" t="s">
        <v>126</v>
      </c>
      <c r="AN936">
        <v>0</v>
      </c>
      <c r="AQ936" t="s">
        <v>126</v>
      </c>
      <c r="AR936">
        <v>0</v>
      </c>
      <c r="AT936" t="s">
        <v>86</v>
      </c>
      <c r="AU936">
        <v>0</v>
      </c>
    </row>
    <row r="937" spans="1:47" x14ac:dyDescent="0.35">
      <c r="C937" t="s">
        <v>87</v>
      </c>
      <c r="D937">
        <v>0</v>
      </c>
      <c r="G937" t="s">
        <v>87</v>
      </c>
      <c r="H937">
        <v>0</v>
      </c>
      <c r="K937" t="s">
        <v>87</v>
      </c>
      <c r="L937">
        <v>0</v>
      </c>
      <c r="O937" t="s">
        <v>87</v>
      </c>
      <c r="P937">
        <v>0</v>
      </c>
      <c r="S937" t="s">
        <v>87</v>
      </c>
      <c r="T937">
        <v>0</v>
      </c>
      <c r="W937" t="s">
        <v>87</v>
      </c>
      <c r="X937">
        <v>0</v>
      </c>
      <c r="AA937" t="s">
        <v>87</v>
      </c>
      <c r="AB937">
        <v>0</v>
      </c>
      <c r="AE937" t="s">
        <v>87</v>
      </c>
      <c r="AF937">
        <v>0</v>
      </c>
      <c r="AI937" t="s">
        <v>87</v>
      </c>
      <c r="AJ937">
        <v>0</v>
      </c>
      <c r="AM937" t="s">
        <v>87</v>
      </c>
      <c r="AN937">
        <v>0</v>
      </c>
      <c r="AQ937" t="s">
        <v>87</v>
      </c>
      <c r="AR937">
        <v>0</v>
      </c>
      <c r="AT937" t="s">
        <v>87</v>
      </c>
      <c r="AU937">
        <v>7</v>
      </c>
    </row>
    <row r="938" spans="1:47" x14ac:dyDescent="0.35">
      <c r="A938" t="s">
        <v>185</v>
      </c>
      <c r="B938">
        <v>95308.999999999985</v>
      </c>
      <c r="C938" t="s">
        <v>135</v>
      </c>
      <c r="D938">
        <v>186</v>
      </c>
      <c r="E938" t="s">
        <v>185</v>
      </c>
      <c r="F938">
        <v>96714</v>
      </c>
      <c r="G938" t="s">
        <v>135</v>
      </c>
      <c r="H938">
        <v>0</v>
      </c>
      <c r="I938" t="s">
        <v>185</v>
      </c>
      <c r="J938">
        <v>98000.999999999927</v>
      </c>
      <c r="K938" t="s">
        <v>135</v>
      </c>
      <c r="L938">
        <v>0</v>
      </c>
      <c r="M938" t="s">
        <v>185</v>
      </c>
      <c r="N938">
        <v>99239.999999999971</v>
      </c>
      <c r="O938" t="s">
        <v>135</v>
      </c>
      <c r="P938">
        <v>4</v>
      </c>
      <c r="Q938" t="s">
        <v>185</v>
      </c>
      <c r="R938">
        <v>100508.49999999997</v>
      </c>
      <c r="S938" t="s">
        <v>135</v>
      </c>
      <c r="T938">
        <v>410</v>
      </c>
      <c r="U938" t="s">
        <v>185</v>
      </c>
      <c r="V938">
        <v>101810.50000000001</v>
      </c>
      <c r="W938" t="s">
        <v>135</v>
      </c>
      <c r="X938">
        <v>39</v>
      </c>
      <c r="Y938" t="s">
        <v>185</v>
      </c>
      <c r="Z938">
        <v>103101.00000000003</v>
      </c>
      <c r="AA938" t="s">
        <v>135</v>
      </c>
      <c r="AB938">
        <v>537</v>
      </c>
      <c r="AC938" t="s">
        <v>185</v>
      </c>
      <c r="AD938">
        <v>104372.49999999997</v>
      </c>
      <c r="AE938" t="s">
        <v>135</v>
      </c>
      <c r="AF938">
        <v>479</v>
      </c>
      <c r="AG938" t="s">
        <v>185</v>
      </c>
      <c r="AH938">
        <v>105529.99999999997</v>
      </c>
      <c r="AI938" t="s">
        <v>135</v>
      </c>
      <c r="AJ938">
        <v>0</v>
      </c>
      <c r="AK938" t="s">
        <v>185</v>
      </c>
      <c r="AL938">
        <v>106470.49999999996</v>
      </c>
      <c r="AM938" t="s">
        <v>135</v>
      </c>
      <c r="AN938">
        <v>0</v>
      </c>
      <c r="AO938" t="s">
        <v>185</v>
      </c>
      <c r="AP938">
        <v>107118.5</v>
      </c>
      <c r="AQ938" t="s">
        <v>135</v>
      </c>
      <c r="AR938">
        <v>923</v>
      </c>
      <c r="AS938" t="s">
        <v>185</v>
      </c>
      <c r="AT938" t="s">
        <v>148</v>
      </c>
      <c r="AU938">
        <v>240</v>
      </c>
    </row>
    <row r="939" spans="1:47" x14ac:dyDescent="0.35">
      <c r="C939" t="s">
        <v>139</v>
      </c>
      <c r="D939">
        <v>838</v>
      </c>
      <c r="G939" t="s">
        <v>139</v>
      </c>
      <c r="H939">
        <v>0</v>
      </c>
      <c r="K939" t="s">
        <v>139</v>
      </c>
      <c r="L939">
        <v>0</v>
      </c>
      <c r="O939" t="s">
        <v>139</v>
      </c>
      <c r="P939">
        <v>0</v>
      </c>
      <c r="S939" t="s">
        <v>139</v>
      </c>
      <c r="T939">
        <v>1368</v>
      </c>
      <c r="W939" t="s">
        <v>139</v>
      </c>
      <c r="X939">
        <v>0</v>
      </c>
      <c r="AA939" t="s">
        <v>139</v>
      </c>
      <c r="AB939">
        <v>2223</v>
      </c>
      <c r="AE939" t="s">
        <v>139</v>
      </c>
      <c r="AF939">
        <v>0</v>
      </c>
      <c r="AI939" t="s">
        <v>139</v>
      </c>
      <c r="AJ939">
        <v>0</v>
      </c>
      <c r="AM939" t="s">
        <v>139</v>
      </c>
      <c r="AN939">
        <v>0</v>
      </c>
      <c r="AQ939" t="s">
        <v>139</v>
      </c>
      <c r="AR939">
        <v>1246</v>
      </c>
      <c r="AT939" t="s">
        <v>139</v>
      </c>
      <c r="AU939">
        <v>1272</v>
      </c>
    </row>
    <row r="940" spans="1:47" x14ac:dyDescent="0.35">
      <c r="C940" t="s">
        <v>138</v>
      </c>
      <c r="D940">
        <v>0</v>
      </c>
      <c r="G940" t="s">
        <v>138</v>
      </c>
      <c r="H940">
        <v>0</v>
      </c>
      <c r="K940" t="s">
        <v>138</v>
      </c>
      <c r="L940">
        <v>0</v>
      </c>
      <c r="O940" t="s">
        <v>138</v>
      </c>
      <c r="P940">
        <v>0</v>
      </c>
      <c r="S940" t="s">
        <v>138</v>
      </c>
      <c r="T940">
        <v>178</v>
      </c>
      <c r="W940" t="s">
        <v>138</v>
      </c>
      <c r="X940">
        <v>0</v>
      </c>
      <c r="AA940" t="s">
        <v>138</v>
      </c>
      <c r="AB940">
        <v>316</v>
      </c>
      <c r="AE940" t="s">
        <v>138</v>
      </c>
      <c r="AF940">
        <v>0</v>
      </c>
      <c r="AI940" t="s">
        <v>138</v>
      </c>
      <c r="AJ940">
        <v>0</v>
      </c>
      <c r="AM940" t="s">
        <v>138</v>
      </c>
      <c r="AN940">
        <v>0</v>
      </c>
      <c r="AQ940" t="s">
        <v>138</v>
      </c>
      <c r="AR940">
        <v>312</v>
      </c>
      <c r="AT940" t="s">
        <v>138</v>
      </c>
      <c r="AU940">
        <v>5</v>
      </c>
    </row>
    <row r="941" spans="1:47" x14ac:dyDescent="0.35">
      <c r="C941" t="s">
        <v>82</v>
      </c>
      <c r="D941">
        <v>0</v>
      </c>
      <c r="G941" t="s">
        <v>82</v>
      </c>
      <c r="H941">
        <v>0</v>
      </c>
      <c r="K941" t="s">
        <v>82</v>
      </c>
      <c r="L941">
        <v>217</v>
      </c>
      <c r="O941" t="s">
        <v>82</v>
      </c>
      <c r="P941">
        <v>0</v>
      </c>
      <c r="S941" t="s">
        <v>82</v>
      </c>
      <c r="T941">
        <v>0</v>
      </c>
      <c r="W941" t="s">
        <v>82</v>
      </c>
      <c r="X941">
        <v>0</v>
      </c>
      <c r="AA941" t="s">
        <v>82</v>
      </c>
      <c r="AB941">
        <v>0</v>
      </c>
      <c r="AE941" t="s">
        <v>82</v>
      </c>
      <c r="AF941">
        <v>0</v>
      </c>
      <c r="AI941" t="s">
        <v>82</v>
      </c>
      <c r="AJ941">
        <v>0</v>
      </c>
      <c r="AM941" t="s">
        <v>82</v>
      </c>
      <c r="AN941">
        <v>0</v>
      </c>
      <c r="AQ941" t="s">
        <v>82</v>
      </c>
      <c r="AR941">
        <v>0</v>
      </c>
      <c r="AT941" t="s">
        <v>82</v>
      </c>
      <c r="AU941">
        <v>124</v>
      </c>
    </row>
    <row r="942" spans="1:47" x14ac:dyDescent="0.35">
      <c r="C942" t="s">
        <v>60</v>
      </c>
      <c r="D942">
        <v>0</v>
      </c>
      <c r="G942" t="s">
        <v>60</v>
      </c>
      <c r="H942">
        <v>0</v>
      </c>
      <c r="K942" t="s">
        <v>60</v>
      </c>
      <c r="L942">
        <v>0</v>
      </c>
      <c r="O942" t="s">
        <v>60</v>
      </c>
      <c r="P942">
        <v>0</v>
      </c>
      <c r="S942" t="s">
        <v>60</v>
      </c>
      <c r="T942">
        <v>0</v>
      </c>
      <c r="W942" t="s">
        <v>60</v>
      </c>
      <c r="X942">
        <v>0</v>
      </c>
      <c r="AA942" t="s">
        <v>60</v>
      </c>
      <c r="AB942">
        <v>0</v>
      </c>
      <c r="AE942" t="s">
        <v>60</v>
      </c>
      <c r="AF942">
        <v>0</v>
      </c>
      <c r="AI942" t="s">
        <v>60</v>
      </c>
      <c r="AJ942">
        <v>0</v>
      </c>
      <c r="AM942" t="s">
        <v>60</v>
      </c>
      <c r="AN942">
        <v>0</v>
      </c>
      <c r="AQ942" t="s">
        <v>60</v>
      </c>
      <c r="AR942">
        <v>0</v>
      </c>
      <c r="AT942" t="s">
        <v>60</v>
      </c>
      <c r="AU942">
        <v>163</v>
      </c>
    </row>
    <row r="943" spans="1:47" x14ac:dyDescent="0.35">
      <c r="C943" t="s">
        <v>127</v>
      </c>
      <c r="D943">
        <v>0</v>
      </c>
      <c r="G943" t="s">
        <v>127</v>
      </c>
      <c r="H943">
        <v>0</v>
      </c>
      <c r="K943" t="s">
        <v>127</v>
      </c>
      <c r="L943">
        <v>0</v>
      </c>
      <c r="O943" t="s">
        <v>127</v>
      </c>
      <c r="P943">
        <v>0</v>
      </c>
      <c r="S943" t="s">
        <v>127</v>
      </c>
      <c r="T943">
        <v>0</v>
      </c>
      <c r="W943" t="s">
        <v>127</v>
      </c>
      <c r="X943">
        <v>0</v>
      </c>
      <c r="AA943" t="s">
        <v>127</v>
      </c>
      <c r="AB943">
        <v>0</v>
      </c>
      <c r="AE943" t="s">
        <v>127</v>
      </c>
      <c r="AF943">
        <v>0</v>
      </c>
      <c r="AI943" t="s">
        <v>127</v>
      </c>
      <c r="AJ943">
        <v>0</v>
      </c>
      <c r="AM943" t="s">
        <v>127</v>
      </c>
      <c r="AN943">
        <v>0</v>
      </c>
      <c r="AQ943" t="s">
        <v>127</v>
      </c>
      <c r="AR943">
        <v>0</v>
      </c>
      <c r="AT943" t="s">
        <v>58</v>
      </c>
      <c r="AU943">
        <v>0</v>
      </c>
    </row>
    <row r="944" spans="1:47" x14ac:dyDescent="0.35">
      <c r="C944" t="s">
        <v>61</v>
      </c>
      <c r="D944">
        <v>0</v>
      </c>
      <c r="G944" t="s">
        <v>61</v>
      </c>
      <c r="H944">
        <v>0</v>
      </c>
      <c r="K944" t="s">
        <v>61</v>
      </c>
      <c r="L944">
        <v>0</v>
      </c>
      <c r="O944" t="s">
        <v>61</v>
      </c>
      <c r="P944">
        <v>0</v>
      </c>
      <c r="S944" t="s">
        <v>61</v>
      </c>
      <c r="T944">
        <v>0</v>
      </c>
      <c r="W944" t="s">
        <v>61</v>
      </c>
      <c r="X944">
        <v>0</v>
      </c>
      <c r="AA944" t="s">
        <v>61</v>
      </c>
      <c r="AB944">
        <v>0</v>
      </c>
      <c r="AE944" t="s">
        <v>61</v>
      </c>
      <c r="AF944">
        <v>0</v>
      </c>
      <c r="AI944" t="s">
        <v>61</v>
      </c>
      <c r="AJ944">
        <v>0</v>
      </c>
      <c r="AM944" t="s">
        <v>61</v>
      </c>
      <c r="AN944">
        <v>0</v>
      </c>
      <c r="AQ944" t="s">
        <v>61</v>
      </c>
      <c r="AR944">
        <v>0</v>
      </c>
      <c r="AT944" t="s">
        <v>61</v>
      </c>
      <c r="AU944">
        <v>5</v>
      </c>
    </row>
    <row r="945" spans="3:47" x14ac:dyDescent="0.35">
      <c r="C945" t="s">
        <v>62</v>
      </c>
      <c r="D945">
        <v>0</v>
      </c>
      <c r="G945" t="s">
        <v>62</v>
      </c>
      <c r="H945">
        <v>0</v>
      </c>
      <c r="K945" t="s">
        <v>62</v>
      </c>
      <c r="L945">
        <v>0</v>
      </c>
      <c r="O945" t="s">
        <v>62</v>
      </c>
      <c r="P945">
        <v>0</v>
      </c>
      <c r="S945" t="s">
        <v>62</v>
      </c>
      <c r="T945">
        <v>0</v>
      </c>
      <c r="W945" t="s">
        <v>62</v>
      </c>
      <c r="X945">
        <v>0</v>
      </c>
      <c r="AA945" t="s">
        <v>62</v>
      </c>
      <c r="AB945">
        <v>0</v>
      </c>
      <c r="AE945" t="s">
        <v>62</v>
      </c>
      <c r="AF945">
        <v>0</v>
      </c>
      <c r="AI945" t="s">
        <v>62</v>
      </c>
      <c r="AJ945">
        <v>0</v>
      </c>
      <c r="AM945" t="s">
        <v>62</v>
      </c>
      <c r="AN945">
        <v>0</v>
      </c>
      <c r="AQ945" t="s">
        <v>62</v>
      </c>
      <c r="AR945">
        <v>0</v>
      </c>
      <c r="AT945" t="s">
        <v>62</v>
      </c>
      <c r="AU945">
        <v>50</v>
      </c>
    </row>
    <row r="946" spans="3:47" x14ac:dyDescent="0.35">
      <c r="C946" t="s">
        <v>203</v>
      </c>
      <c r="D946">
        <v>0</v>
      </c>
      <c r="G946" t="s">
        <v>203</v>
      </c>
      <c r="H946">
        <v>0</v>
      </c>
      <c r="K946" t="s">
        <v>203</v>
      </c>
      <c r="L946">
        <v>0</v>
      </c>
      <c r="O946" t="s">
        <v>203</v>
      </c>
      <c r="P946">
        <v>0</v>
      </c>
      <c r="S946" t="s">
        <v>203</v>
      </c>
      <c r="T946">
        <v>0</v>
      </c>
      <c r="W946" t="s">
        <v>203</v>
      </c>
      <c r="X946">
        <v>0</v>
      </c>
      <c r="AA946" t="s">
        <v>203</v>
      </c>
      <c r="AB946">
        <v>0</v>
      </c>
      <c r="AE946" t="s">
        <v>203</v>
      </c>
      <c r="AF946">
        <v>0</v>
      </c>
      <c r="AI946" t="s">
        <v>203</v>
      </c>
      <c r="AJ946">
        <v>0</v>
      </c>
      <c r="AM946" t="s">
        <v>203</v>
      </c>
      <c r="AN946">
        <v>0</v>
      </c>
      <c r="AQ946" t="s">
        <v>203</v>
      </c>
      <c r="AR946">
        <v>0</v>
      </c>
      <c r="AT946" t="s">
        <v>64</v>
      </c>
      <c r="AU946">
        <v>258</v>
      </c>
    </row>
    <row r="947" spans="3:47" x14ac:dyDescent="0.35">
      <c r="C947" t="s">
        <v>204</v>
      </c>
      <c r="D947">
        <v>0</v>
      </c>
      <c r="G947" t="s">
        <v>204</v>
      </c>
      <c r="H947">
        <v>0</v>
      </c>
      <c r="K947" t="s">
        <v>204</v>
      </c>
      <c r="L947">
        <v>0</v>
      </c>
      <c r="O947" t="s">
        <v>204</v>
      </c>
      <c r="P947">
        <v>0</v>
      </c>
      <c r="S947" t="s">
        <v>204</v>
      </c>
      <c r="T947">
        <v>0</v>
      </c>
      <c r="W947" t="s">
        <v>204</v>
      </c>
      <c r="X947">
        <v>0</v>
      </c>
      <c r="AA947" t="s">
        <v>204</v>
      </c>
      <c r="AB947">
        <v>0</v>
      </c>
      <c r="AE947" t="s">
        <v>204</v>
      </c>
      <c r="AF947">
        <v>0</v>
      </c>
      <c r="AI947" t="s">
        <v>204</v>
      </c>
      <c r="AJ947">
        <v>0</v>
      </c>
      <c r="AM947" t="s">
        <v>204</v>
      </c>
      <c r="AN947">
        <v>0</v>
      </c>
      <c r="AQ947" t="s">
        <v>204</v>
      </c>
      <c r="AR947">
        <v>0</v>
      </c>
      <c r="AT947" t="s">
        <v>65</v>
      </c>
      <c r="AU947">
        <v>0</v>
      </c>
    </row>
    <row r="948" spans="3:47" x14ac:dyDescent="0.35">
      <c r="C948" t="s">
        <v>205</v>
      </c>
      <c r="D948">
        <v>0</v>
      </c>
      <c r="G948" t="s">
        <v>205</v>
      </c>
      <c r="H948">
        <v>0</v>
      </c>
      <c r="K948" t="s">
        <v>205</v>
      </c>
      <c r="L948">
        <v>0</v>
      </c>
      <c r="O948" t="s">
        <v>205</v>
      </c>
      <c r="P948">
        <v>0</v>
      </c>
      <c r="S948" t="s">
        <v>205</v>
      </c>
      <c r="T948">
        <v>0</v>
      </c>
      <c r="W948" t="s">
        <v>205</v>
      </c>
      <c r="X948">
        <v>0</v>
      </c>
      <c r="AA948" t="s">
        <v>205</v>
      </c>
      <c r="AB948">
        <v>0</v>
      </c>
      <c r="AE948" t="s">
        <v>205</v>
      </c>
      <c r="AF948">
        <v>14</v>
      </c>
      <c r="AI948" t="s">
        <v>205</v>
      </c>
      <c r="AJ948">
        <v>0</v>
      </c>
      <c r="AM948" t="s">
        <v>205</v>
      </c>
      <c r="AN948">
        <v>4</v>
      </c>
      <c r="AQ948" t="s">
        <v>205</v>
      </c>
      <c r="AR948">
        <v>0</v>
      </c>
      <c r="AT948" t="s">
        <v>66</v>
      </c>
      <c r="AU948">
        <v>2</v>
      </c>
    </row>
    <row r="949" spans="3:47" x14ac:dyDescent="0.35">
      <c r="C949" t="s">
        <v>133</v>
      </c>
      <c r="D949">
        <v>0</v>
      </c>
      <c r="G949" t="s">
        <v>133</v>
      </c>
      <c r="H949">
        <v>0</v>
      </c>
      <c r="K949" t="s">
        <v>133</v>
      </c>
      <c r="L949">
        <v>0</v>
      </c>
      <c r="O949" t="s">
        <v>133</v>
      </c>
      <c r="P949">
        <v>0</v>
      </c>
      <c r="S949" t="s">
        <v>133</v>
      </c>
      <c r="T949">
        <v>0</v>
      </c>
      <c r="W949" t="s">
        <v>133</v>
      </c>
      <c r="X949">
        <v>0</v>
      </c>
      <c r="AA949" t="s">
        <v>133</v>
      </c>
      <c r="AB949">
        <v>71</v>
      </c>
      <c r="AE949" t="s">
        <v>133</v>
      </c>
      <c r="AF949">
        <v>0</v>
      </c>
      <c r="AI949" t="s">
        <v>133</v>
      </c>
      <c r="AJ949">
        <v>0</v>
      </c>
      <c r="AM949" t="s">
        <v>133</v>
      </c>
      <c r="AN949">
        <v>0</v>
      </c>
      <c r="AQ949" t="s">
        <v>133</v>
      </c>
      <c r="AR949">
        <v>0</v>
      </c>
      <c r="AT949" t="s">
        <v>79</v>
      </c>
      <c r="AU949">
        <v>70</v>
      </c>
    </row>
    <row r="950" spans="3:47" x14ac:dyDescent="0.35">
      <c r="C950" t="s">
        <v>206</v>
      </c>
      <c r="D950">
        <v>0</v>
      </c>
      <c r="G950" t="s">
        <v>206</v>
      </c>
      <c r="H950">
        <v>0</v>
      </c>
      <c r="K950" t="s">
        <v>206</v>
      </c>
      <c r="L950">
        <v>0</v>
      </c>
      <c r="O950" t="s">
        <v>206</v>
      </c>
      <c r="P950">
        <v>0</v>
      </c>
      <c r="S950" t="s">
        <v>206</v>
      </c>
      <c r="T950">
        <v>0</v>
      </c>
      <c r="W950" t="s">
        <v>206</v>
      </c>
      <c r="X950">
        <v>0</v>
      </c>
      <c r="AA950" t="s">
        <v>206</v>
      </c>
      <c r="AB950">
        <v>0</v>
      </c>
      <c r="AE950" t="s">
        <v>206</v>
      </c>
      <c r="AF950">
        <v>0</v>
      </c>
      <c r="AI950" t="s">
        <v>206</v>
      </c>
      <c r="AJ950">
        <v>0</v>
      </c>
      <c r="AM950" t="s">
        <v>206</v>
      </c>
      <c r="AN950">
        <v>0</v>
      </c>
      <c r="AQ950" t="s">
        <v>206</v>
      </c>
      <c r="AR950">
        <v>0</v>
      </c>
      <c r="AT950" t="s">
        <v>68</v>
      </c>
      <c r="AU950">
        <v>0</v>
      </c>
    </row>
    <row r="951" spans="3:47" x14ac:dyDescent="0.35">
      <c r="C951" t="s">
        <v>136</v>
      </c>
      <c r="D951">
        <v>0</v>
      </c>
      <c r="G951" t="s">
        <v>136</v>
      </c>
      <c r="H951">
        <v>0</v>
      </c>
      <c r="K951" t="s">
        <v>136</v>
      </c>
      <c r="L951">
        <v>0</v>
      </c>
      <c r="O951" t="s">
        <v>136</v>
      </c>
      <c r="P951">
        <v>0</v>
      </c>
      <c r="S951" t="s">
        <v>136</v>
      </c>
      <c r="T951">
        <v>0</v>
      </c>
      <c r="W951" t="s">
        <v>136</v>
      </c>
      <c r="X951">
        <v>0</v>
      </c>
      <c r="AA951" t="s">
        <v>136</v>
      </c>
      <c r="AB951">
        <v>0</v>
      </c>
      <c r="AE951" t="s">
        <v>136</v>
      </c>
      <c r="AF951">
        <v>0</v>
      </c>
      <c r="AI951" t="s">
        <v>136</v>
      </c>
      <c r="AJ951">
        <v>0</v>
      </c>
      <c r="AM951" t="s">
        <v>136</v>
      </c>
      <c r="AN951">
        <v>0</v>
      </c>
      <c r="AQ951" t="s">
        <v>136</v>
      </c>
      <c r="AR951">
        <v>0</v>
      </c>
      <c r="AT951" t="s">
        <v>69</v>
      </c>
      <c r="AU951">
        <v>7</v>
      </c>
    </row>
    <row r="952" spans="3:47" x14ac:dyDescent="0.35">
      <c r="C952" t="s">
        <v>207</v>
      </c>
      <c r="D952">
        <v>0</v>
      </c>
      <c r="G952" t="s">
        <v>207</v>
      </c>
      <c r="H952">
        <v>0</v>
      </c>
      <c r="K952" t="s">
        <v>207</v>
      </c>
      <c r="L952">
        <v>0</v>
      </c>
      <c r="O952" t="s">
        <v>207</v>
      </c>
      <c r="P952">
        <v>0</v>
      </c>
      <c r="S952" t="s">
        <v>207</v>
      </c>
      <c r="T952">
        <v>0</v>
      </c>
      <c r="W952" t="s">
        <v>207</v>
      </c>
      <c r="X952">
        <v>0</v>
      </c>
      <c r="AA952" t="s">
        <v>207</v>
      </c>
      <c r="AB952">
        <v>0</v>
      </c>
      <c r="AE952" t="s">
        <v>207</v>
      </c>
      <c r="AF952">
        <v>0</v>
      </c>
      <c r="AI952" t="s">
        <v>207</v>
      </c>
      <c r="AJ952">
        <v>0</v>
      </c>
      <c r="AM952" t="s">
        <v>207</v>
      </c>
      <c r="AN952">
        <v>0</v>
      </c>
      <c r="AQ952" t="s">
        <v>207</v>
      </c>
      <c r="AR952">
        <v>0</v>
      </c>
      <c r="AT952" t="s">
        <v>70</v>
      </c>
      <c r="AU952">
        <v>0</v>
      </c>
    </row>
    <row r="953" spans="3:47" x14ac:dyDescent="0.35">
      <c r="C953" t="s">
        <v>141</v>
      </c>
      <c r="D953">
        <v>0</v>
      </c>
      <c r="G953" t="s">
        <v>141</v>
      </c>
      <c r="H953">
        <v>0</v>
      </c>
      <c r="K953" t="s">
        <v>141</v>
      </c>
      <c r="L953">
        <v>0</v>
      </c>
      <c r="O953" t="s">
        <v>141</v>
      </c>
      <c r="P953">
        <v>0</v>
      </c>
      <c r="S953" t="s">
        <v>141</v>
      </c>
      <c r="T953">
        <v>0</v>
      </c>
      <c r="W953" t="s">
        <v>141</v>
      </c>
      <c r="X953">
        <v>0</v>
      </c>
      <c r="AA953" t="s">
        <v>141</v>
      </c>
      <c r="AB953">
        <v>0</v>
      </c>
      <c r="AE953" t="s">
        <v>141</v>
      </c>
      <c r="AF953">
        <v>0</v>
      </c>
      <c r="AI953" t="s">
        <v>141</v>
      </c>
      <c r="AJ953">
        <v>0</v>
      </c>
      <c r="AM953" t="s">
        <v>141</v>
      </c>
      <c r="AN953">
        <v>22</v>
      </c>
      <c r="AQ953" t="s">
        <v>141</v>
      </c>
      <c r="AR953">
        <v>0</v>
      </c>
      <c r="AT953" t="s">
        <v>76</v>
      </c>
      <c r="AU953">
        <v>28</v>
      </c>
    </row>
    <row r="954" spans="3:47" x14ac:dyDescent="0.35">
      <c r="C954" t="s">
        <v>208</v>
      </c>
      <c r="D954">
        <v>0</v>
      </c>
      <c r="G954" t="s">
        <v>208</v>
      </c>
      <c r="H954">
        <v>0</v>
      </c>
      <c r="K954" t="s">
        <v>208</v>
      </c>
      <c r="L954">
        <v>0</v>
      </c>
      <c r="O954" t="s">
        <v>208</v>
      </c>
      <c r="P954">
        <v>0</v>
      </c>
      <c r="S954" t="s">
        <v>208</v>
      </c>
      <c r="T954">
        <v>0</v>
      </c>
      <c r="W954" t="s">
        <v>208</v>
      </c>
      <c r="X954">
        <v>0</v>
      </c>
      <c r="AA954" t="s">
        <v>208</v>
      </c>
      <c r="AB954">
        <v>0</v>
      </c>
      <c r="AE954" t="s">
        <v>208</v>
      </c>
      <c r="AF954">
        <v>0</v>
      </c>
      <c r="AI954" t="s">
        <v>208</v>
      </c>
      <c r="AJ954">
        <v>0</v>
      </c>
      <c r="AM954" t="s">
        <v>208</v>
      </c>
      <c r="AN954">
        <v>0</v>
      </c>
      <c r="AQ954" t="s">
        <v>208</v>
      </c>
      <c r="AR954">
        <v>0</v>
      </c>
      <c r="AT954" t="s">
        <v>77</v>
      </c>
      <c r="AU954">
        <v>0</v>
      </c>
    </row>
    <row r="955" spans="3:47" x14ac:dyDescent="0.35">
      <c r="C955" t="s">
        <v>209</v>
      </c>
      <c r="D955">
        <v>0</v>
      </c>
      <c r="G955" t="s">
        <v>209</v>
      </c>
      <c r="H955">
        <v>0</v>
      </c>
      <c r="K955" t="s">
        <v>209</v>
      </c>
      <c r="L955">
        <v>0</v>
      </c>
      <c r="O955" t="s">
        <v>209</v>
      </c>
      <c r="P955">
        <v>0</v>
      </c>
      <c r="S955" t="s">
        <v>209</v>
      </c>
      <c r="T955">
        <v>0</v>
      </c>
      <c r="W955" t="s">
        <v>209</v>
      </c>
      <c r="X955">
        <v>0</v>
      </c>
      <c r="AA955" t="s">
        <v>209</v>
      </c>
      <c r="AB955">
        <v>0</v>
      </c>
      <c r="AE955" t="s">
        <v>209</v>
      </c>
      <c r="AF955">
        <v>0</v>
      </c>
      <c r="AI955" t="s">
        <v>209</v>
      </c>
      <c r="AJ955">
        <v>0</v>
      </c>
      <c r="AM955" t="s">
        <v>209</v>
      </c>
      <c r="AN955">
        <v>0</v>
      </c>
      <c r="AQ955" t="s">
        <v>209</v>
      </c>
      <c r="AR955">
        <v>0</v>
      </c>
      <c r="AT955" t="s">
        <v>78</v>
      </c>
      <c r="AU955">
        <v>0</v>
      </c>
    </row>
    <row r="956" spans="3:47" x14ac:dyDescent="0.35">
      <c r="C956" t="s">
        <v>134</v>
      </c>
      <c r="D956">
        <v>0</v>
      </c>
      <c r="G956" t="s">
        <v>134</v>
      </c>
      <c r="H956">
        <v>0</v>
      </c>
      <c r="K956" t="s">
        <v>134</v>
      </c>
      <c r="L956">
        <v>0</v>
      </c>
      <c r="O956" t="s">
        <v>134</v>
      </c>
      <c r="P956">
        <v>0</v>
      </c>
      <c r="S956" t="s">
        <v>134</v>
      </c>
      <c r="T956">
        <v>0</v>
      </c>
      <c r="W956" t="s">
        <v>134</v>
      </c>
      <c r="X956">
        <v>0</v>
      </c>
      <c r="AA956" t="s">
        <v>134</v>
      </c>
      <c r="AB956">
        <v>0</v>
      </c>
      <c r="AE956" t="s">
        <v>134</v>
      </c>
      <c r="AF956">
        <v>0</v>
      </c>
      <c r="AI956" t="s">
        <v>134</v>
      </c>
      <c r="AJ956">
        <v>0</v>
      </c>
      <c r="AM956" t="s">
        <v>134</v>
      </c>
      <c r="AN956">
        <v>0</v>
      </c>
      <c r="AQ956" t="s">
        <v>134</v>
      </c>
      <c r="AR956">
        <v>0</v>
      </c>
      <c r="AT956" t="s">
        <v>67</v>
      </c>
      <c r="AU956">
        <v>71</v>
      </c>
    </row>
    <row r="957" spans="3:47" x14ac:dyDescent="0.35">
      <c r="C957" t="s">
        <v>142</v>
      </c>
      <c r="D957">
        <v>0</v>
      </c>
      <c r="G957" t="s">
        <v>142</v>
      </c>
      <c r="H957">
        <v>0</v>
      </c>
      <c r="K957" t="s">
        <v>142</v>
      </c>
      <c r="L957">
        <v>0</v>
      </c>
      <c r="O957" t="s">
        <v>142</v>
      </c>
      <c r="P957">
        <v>0</v>
      </c>
      <c r="S957" t="s">
        <v>142</v>
      </c>
      <c r="T957">
        <v>0</v>
      </c>
      <c r="W957" t="s">
        <v>142</v>
      </c>
      <c r="X957">
        <v>0</v>
      </c>
      <c r="AA957" t="s">
        <v>142</v>
      </c>
      <c r="AB957">
        <v>0</v>
      </c>
      <c r="AE957" t="s">
        <v>142</v>
      </c>
      <c r="AF957">
        <v>0</v>
      </c>
      <c r="AI957" t="s">
        <v>142</v>
      </c>
      <c r="AJ957">
        <v>0</v>
      </c>
      <c r="AM957" t="s">
        <v>142</v>
      </c>
      <c r="AN957">
        <v>0</v>
      </c>
      <c r="AQ957" t="s">
        <v>142</v>
      </c>
      <c r="AR957">
        <v>0</v>
      </c>
      <c r="AT957" t="s">
        <v>80</v>
      </c>
      <c r="AU957">
        <v>0</v>
      </c>
    </row>
    <row r="958" spans="3:47" x14ac:dyDescent="0.35">
      <c r="C958" t="s">
        <v>83</v>
      </c>
      <c r="D958">
        <v>0</v>
      </c>
      <c r="G958" t="s">
        <v>83</v>
      </c>
      <c r="H958">
        <v>0</v>
      </c>
      <c r="K958" t="s">
        <v>83</v>
      </c>
      <c r="L958">
        <v>0</v>
      </c>
      <c r="O958" t="s">
        <v>83</v>
      </c>
      <c r="P958">
        <v>0</v>
      </c>
      <c r="S958" t="s">
        <v>83</v>
      </c>
      <c r="T958">
        <v>0</v>
      </c>
      <c r="W958" t="s">
        <v>83</v>
      </c>
      <c r="X958">
        <v>0</v>
      </c>
      <c r="AA958" t="s">
        <v>83</v>
      </c>
      <c r="AB958">
        <v>0</v>
      </c>
      <c r="AE958" t="s">
        <v>83</v>
      </c>
      <c r="AF958">
        <v>0</v>
      </c>
      <c r="AI958" t="s">
        <v>83</v>
      </c>
      <c r="AJ958">
        <v>0</v>
      </c>
      <c r="AM958" t="s">
        <v>83</v>
      </c>
      <c r="AN958">
        <v>60</v>
      </c>
      <c r="AQ958" t="s">
        <v>83</v>
      </c>
      <c r="AR958">
        <v>0</v>
      </c>
      <c r="AT958" t="s">
        <v>83</v>
      </c>
      <c r="AU958">
        <v>33</v>
      </c>
    </row>
    <row r="959" spans="3:47" x14ac:dyDescent="0.35">
      <c r="C959" t="s">
        <v>84</v>
      </c>
      <c r="D959">
        <v>0</v>
      </c>
      <c r="G959" t="s">
        <v>84</v>
      </c>
      <c r="H959">
        <v>0</v>
      </c>
      <c r="K959" t="s">
        <v>84</v>
      </c>
      <c r="L959">
        <v>0</v>
      </c>
      <c r="O959" t="s">
        <v>84</v>
      </c>
      <c r="P959">
        <v>0</v>
      </c>
      <c r="S959" t="s">
        <v>84</v>
      </c>
      <c r="T959">
        <v>0</v>
      </c>
      <c r="W959" t="s">
        <v>84</v>
      </c>
      <c r="X959">
        <v>0</v>
      </c>
      <c r="AA959" t="s">
        <v>84</v>
      </c>
      <c r="AB959">
        <v>0</v>
      </c>
      <c r="AE959" t="s">
        <v>84</v>
      </c>
      <c r="AF959">
        <v>0</v>
      </c>
      <c r="AI959" t="s">
        <v>84</v>
      </c>
      <c r="AJ959">
        <v>0</v>
      </c>
      <c r="AM959" t="s">
        <v>84</v>
      </c>
      <c r="AN959">
        <v>2</v>
      </c>
      <c r="AQ959" t="s">
        <v>84</v>
      </c>
      <c r="AR959">
        <v>0</v>
      </c>
      <c r="AT959" t="s">
        <v>84</v>
      </c>
      <c r="AU959">
        <v>0</v>
      </c>
    </row>
    <row r="960" spans="3:47" x14ac:dyDescent="0.35">
      <c r="C960" t="s">
        <v>126</v>
      </c>
      <c r="D960">
        <v>0</v>
      </c>
      <c r="G960" t="s">
        <v>126</v>
      </c>
      <c r="H960">
        <v>0</v>
      </c>
      <c r="K960" t="s">
        <v>223</v>
      </c>
      <c r="L960">
        <v>0</v>
      </c>
      <c r="O960" t="s">
        <v>126</v>
      </c>
      <c r="P960">
        <v>0</v>
      </c>
      <c r="S960" t="s">
        <v>126</v>
      </c>
      <c r="T960">
        <v>0</v>
      </c>
      <c r="W960" t="s">
        <v>126</v>
      </c>
      <c r="X960">
        <v>0</v>
      </c>
      <c r="AA960" t="s">
        <v>126</v>
      </c>
      <c r="AB960">
        <v>0</v>
      </c>
      <c r="AE960" t="s">
        <v>126</v>
      </c>
      <c r="AF960">
        <v>0</v>
      </c>
      <c r="AI960" t="s">
        <v>126</v>
      </c>
      <c r="AJ960">
        <v>0</v>
      </c>
      <c r="AM960" t="s">
        <v>126</v>
      </c>
      <c r="AN960">
        <v>5</v>
      </c>
      <c r="AQ960" t="s">
        <v>126</v>
      </c>
      <c r="AR960">
        <v>0</v>
      </c>
      <c r="AT960" t="s">
        <v>86</v>
      </c>
      <c r="AU960">
        <v>0</v>
      </c>
    </row>
    <row r="961" spans="1:47" x14ac:dyDescent="0.35">
      <c r="C961" t="s">
        <v>87</v>
      </c>
      <c r="D961">
        <v>0</v>
      </c>
      <c r="G961" t="s">
        <v>87</v>
      </c>
      <c r="H961">
        <v>0</v>
      </c>
      <c r="K961" t="s">
        <v>87</v>
      </c>
      <c r="L961">
        <v>0</v>
      </c>
      <c r="O961" t="s">
        <v>87</v>
      </c>
      <c r="P961">
        <v>0</v>
      </c>
      <c r="S961" t="s">
        <v>87</v>
      </c>
      <c r="T961">
        <v>0</v>
      </c>
      <c r="W961" t="s">
        <v>87</v>
      </c>
      <c r="X961">
        <v>0</v>
      </c>
      <c r="AA961" t="s">
        <v>87</v>
      </c>
      <c r="AB961">
        <v>0</v>
      </c>
      <c r="AE961" t="s">
        <v>87</v>
      </c>
      <c r="AF961">
        <v>0</v>
      </c>
      <c r="AI961" t="s">
        <v>87</v>
      </c>
      <c r="AJ961">
        <v>0</v>
      </c>
      <c r="AM961" t="s">
        <v>87</v>
      </c>
      <c r="AN961">
        <v>2</v>
      </c>
      <c r="AQ961" t="s">
        <v>87</v>
      </c>
      <c r="AR961">
        <v>0</v>
      </c>
      <c r="AT961" t="s">
        <v>87</v>
      </c>
      <c r="AU961">
        <v>0</v>
      </c>
    </row>
    <row r="962" spans="1:47" x14ac:dyDescent="0.35">
      <c r="A962" t="s">
        <v>169</v>
      </c>
      <c r="B962">
        <v>12754906</v>
      </c>
      <c r="C962" t="s">
        <v>135</v>
      </c>
      <c r="D962">
        <v>1056</v>
      </c>
      <c r="E962" t="s">
        <v>169</v>
      </c>
      <c r="F962">
        <v>13216766.5</v>
      </c>
      <c r="G962" t="s">
        <v>135</v>
      </c>
      <c r="H962">
        <v>1146</v>
      </c>
      <c r="I962" t="s">
        <v>169</v>
      </c>
      <c r="J962">
        <v>13697125.5</v>
      </c>
      <c r="K962" t="s">
        <v>135</v>
      </c>
      <c r="L962">
        <v>1216</v>
      </c>
      <c r="M962" t="s">
        <v>169</v>
      </c>
      <c r="N962">
        <v>14140274</v>
      </c>
      <c r="O962" t="s">
        <v>135</v>
      </c>
      <c r="P962">
        <v>1392</v>
      </c>
      <c r="Q962" t="s">
        <v>169</v>
      </c>
      <c r="R962">
        <v>14592585.000000004</v>
      </c>
      <c r="S962" t="s">
        <v>135</v>
      </c>
      <c r="T962">
        <v>1080</v>
      </c>
      <c r="U962" t="s">
        <v>169</v>
      </c>
      <c r="V962">
        <v>15085884.000000006</v>
      </c>
      <c r="W962" t="s">
        <v>135</v>
      </c>
      <c r="X962">
        <v>1302</v>
      </c>
      <c r="Y962" t="s">
        <v>169</v>
      </c>
      <c r="Z962">
        <v>15604210</v>
      </c>
      <c r="AA962" t="s">
        <v>135</v>
      </c>
      <c r="AB962">
        <v>1606</v>
      </c>
      <c r="AC962" t="s">
        <v>169</v>
      </c>
      <c r="AD962">
        <v>16126866</v>
      </c>
      <c r="AE962" t="s">
        <v>135</v>
      </c>
      <c r="AF962">
        <v>1905</v>
      </c>
      <c r="AG962" t="s">
        <v>169</v>
      </c>
      <c r="AH962">
        <v>16644701.499999996</v>
      </c>
      <c r="AI962" t="s">
        <v>135</v>
      </c>
      <c r="AJ962">
        <v>2023</v>
      </c>
      <c r="AK962" t="s">
        <v>169</v>
      </c>
      <c r="AL962">
        <v>17179739.999999996</v>
      </c>
      <c r="AM962" t="s">
        <v>135</v>
      </c>
      <c r="AN962">
        <v>2260</v>
      </c>
      <c r="AO962" t="s">
        <v>169</v>
      </c>
      <c r="AP962">
        <v>17723314.500000004</v>
      </c>
      <c r="AQ962" t="s">
        <v>135</v>
      </c>
      <c r="AR962">
        <v>3311</v>
      </c>
      <c r="AS962" t="s">
        <v>169</v>
      </c>
      <c r="AT962" t="s">
        <v>148</v>
      </c>
      <c r="AU962">
        <v>803</v>
      </c>
    </row>
    <row r="963" spans="1:47" x14ac:dyDescent="0.35">
      <c r="C963" t="s">
        <v>139</v>
      </c>
      <c r="D963">
        <v>6282</v>
      </c>
      <c r="G963" t="s">
        <v>139</v>
      </c>
      <c r="H963">
        <v>7212</v>
      </c>
      <c r="K963" t="s">
        <v>139</v>
      </c>
      <c r="L963">
        <v>7212</v>
      </c>
      <c r="O963" t="s">
        <v>139</v>
      </c>
      <c r="P963">
        <v>7126</v>
      </c>
      <c r="S963" t="s">
        <v>139</v>
      </c>
      <c r="T963">
        <v>6212</v>
      </c>
      <c r="W963" t="s">
        <v>139</v>
      </c>
      <c r="X963">
        <v>6974</v>
      </c>
      <c r="AA963" t="s">
        <v>139</v>
      </c>
      <c r="AB963">
        <v>9598</v>
      </c>
      <c r="AE963" t="s">
        <v>139</v>
      </c>
      <c r="AF963">
        <v>0</v>
      </c>
      <c r="AI963" t="s">
        <v>139</v>
      </c>
      <c r="AJ963">
        <v>5246</v>
      </c>
      <c r="AM963" t="s">
        <v>139</v>
      </c>
      <c r="AN963">
        <v>5354</v>
      </c>
      <c r="AQ963" t="s">
        <v>139</v>
      </c>
      <c r="AR963">
        <v>5866</v>
      </c>
      <c r="AT963" t="s">
        <v>139</v>
      </c>
      <c r="AU963">
        <v>3863</v>
      </c>
    </row>
    <row r="964" spans="1:47" x14ac:dyDescent="0.35">
      <c r="C964" t="s">
        <v>138</v>
      </c>
      <c r="D964">
        <v>832</v>
      </c>
      <c r="G964" t="s">
        <v>138</v>
      </c>
      <c r="H964">
        <v>902</v>
      </c>
      <c r="K964" t="s">
        <v>138</v>
      </c>
      <c r="L964">
        <v>0</v>
      </c>
      <c r="O964" t="s">
        <v>138</v>
      </c>
      <c r="P964">
        <v>0</v>
      </c>
      <c r="S964" t="s">
        <v>138</v>
      </c>
      <c r="T964">
        <v>0</v>
      </c>
      <c r="W964" t="s">
        <v>138</v>
      </c>
      <c r="X964">
        <v>0</v>
      </c>
      <c r="AA964" t="s">
        <v>138</v>
      </c>
      <c r="AB964">
        <v>0</v>
      </c>
      <c r="AE964" t="s">
        <v>138</v>
      </c>
      <c r="AF964">
        <v>1178</v>
      </c>
      <c r="AI964" t="s">
        <v>138</v>
      </c>
      <c r="AJ964">
        <v>1420</v>
      </c>
      <c r="AM964" t="s">
        <v>138</v>
      </c>
      <c r="AN964">
        <v>1442</v>
      </c>
      <c r="AQ964" t="s">
        <v>138</v>
      </c>
      <c r="AR964">
        <v>1566</v>
      </c>
      <c r="AT964" t="s">
        <v>138</v>
      </c>
      <c r="AU964">
        <v>936</v>
      </c>
    </row>
    <row r="965" spans="1:47" x14ac:dyDescent="0.35">
      <c r="C965" t="s">
        <v>82</v>
      </c>
      <c r="D965">
        <v>19687</v>
      </c>
      <c r="G965" t="s">
        <v>82</v>
      </c>
      <c r="H965">
        <v>2302</v>
      </c>
      <c r="K965" t="s">
        <v>82</v>
      </c>
      <c r="L965">
        <v>351</v>
      </c>
      <c r="O965" t="s">
        <v>82</v>
      </c>
      <c r="P965">
        <v>591</v>
      </c>
      <c r="S965" t="s">
        <v>82</v>
      </c>
      <c r="T965">
        <v>119</v>
      </c>
      <c r="W965" t="s">
        <v>82</v>
      </c>
      <c r="X965">
        <v>172</v>
      </c>
      <c r="AA965" t="s">
        <v>82</v>
      </c>
      <c r="AB965">
        <v>14</v>
      </c>
      <c r="AE965" t="s">
        <v>82</v>
      </c>
      <c r="AF965">
        <v>269</v>
      </c>
      <c r="AI965" t="s">
        <v>82</v>
      </c>
      <c r="AJ965">
        <v>2495</v>
      </c>
      <c r="AM965" t="s">
        <v>82</v>
      </c>
      <c r="AN965">
        <v>10</v>
      </c>
      <c r="AQ965" t="s">
        <v>82</v>
      </c>
      <c r="AR965">
        <v>78</v>
      </c>
      <c r="AT965" t="s">
        <v>82</v>
      </c>
      <c r="AU965">
        <v>269</v>
      </c>
    </row>
    <row r="966" spans="1:47" x14ac:dyDescent="0.35">
      <c r="C966" t="s">
        <v>60</v>
      </c>
      <c r="D966">
        <v>15483</v>
      </c>
      <c r="G966" t="s">
        <v>60</v>
      </c>
      <c r="H966">
        <v>1652</v>
      </c>
      <c r="K966" t="s">
        <v>60</v>
      </c>
      <c r="L966">
        <v>12</v>
      </c>
      <c r="O966" t="s">
        <v>60</v>
      </c>
      <c r="P966">
        <v>123</v>
      </c>
      <c r="S966" t="s">
        <v>60</v>
      </c>
      <c r="T966">
        <v>14</v>
      </c>
      <c r="W966" t="s">
        <v>60</v>
      </c>
      <c r="X966">
        <v>81</v>
      </c>
      <c r="AA966" t="s">
        <v>60</v>
      </c>
      <c r="AB966">
        <v>0</v>
      </c>
      <c r="AE966" t="s">
        <v>60</v>
      </c>
      <c r="AF966">
        <v>3</v>
      </c>
      <c r="AI966" t="s">
        <v>60</v>
      </c>
      <c r="AJ966">
        <v>506</v>
      </c>
      <c r="AM966" t="s">
        <v>60</v>
      </c>
      <c r="AN966">
        <v>0</v>
      </c>
      <c r="AQ966" t="s">
        <v>60</v>
      </c>
      <c r="AR966">
        <v>14</v>
      </c>
      <c r="AT966" t="s">
        <v>60</v>
      </c>
      <c r="AU966">
        <v>3</v>
      </c>
    </row>
    <row r="967" spans="1:47" x14ac:dyDescent="0.35">
      <c r="C967" t="s">
        <v>127</v>
      </c>
      <c r="D967">
        <v>0</v>
      </c>
      <c r="G967" t="s">
        <v>127</v>
      </c>
      <c r="H967">
        <v>0</v>
      </c>
      <c r="K967" t="s">
        <v>127</v>
      </c>
      <c r="L967">
        <v>0</v>
      </c>
      <c r="O967" t="s">
        <v>127</v>
      </c>
      <c r="P967">
        <v>0</v>
      </c>
      <c r="S967" t="s">
        <v>127</v>
      </c>
      <c r="T967">
        <v>0</v>
      </c>
      <c r="W967" t="s">
        <v>127</v>
      </c>
      <c r="X967">
        <v>0</v>
      </c>
      <c r="AA967" t="s">
        <v>127</v>
      </c>
      <c r="AB967">
        <v>0</v>
      </c>
      <c r="AE967" t="s">
        <v>127</v>
      </c>
      <c r="AF967">
        <v>0</v>
      </c>
      <c r="AI967" t="s">
        <v>127</v>
      </c>
      <c r="AJ967">
        <v>592</v>
      </c>
      <c r="AM967" t="s">
        <v>127</v>
      </c>
      <c r="AN967">
        <v>8077</v>
      </c>
      <c r="AQ967" t="s">
        <v>127</v>
      </c>
      <c r="AR967">
        <v>0</v>
      </c>
      <c r="AT967" t="s">
        <v>58</v>
      </c>
      <c r="AU967">
        <v>7</v>
      </c>
    </row>
    <row r="968" spans="1:47" x14ac:dyDescent="0.35">
      <c r="C968" t="s">
        <v>61</v>
      </c>
      <c r="D968">
        <v>406</v>
      </c>
      <c r="G968" t="s">
        <v>61</v>
      </c>
      <c r="H968">
        <v>0</v>
      </c>
      <c r="K968" t="s">
        <v>61</v>
      </c>
      <c r="L968">
        <v>0</v>
      </c>
      <c r="O968" t="s">
        <v>61</v>
      </c>
      <c r="P968">
        <v>43</v>
      </c>
      <c r="S968" t="s">
        <v>61</v>
      </c>
      <c r="T968">
        <v>0</v>
      </c>
      <c r="W968" t="s">
        <v>61</v>
      </c>
      <c r="X968">
        <v>0</v>
      </c>
      <c r="AA968" t="s">
        <v>61</v>
      </c>
      <c r="AB968">
        <v>0</v>
      </c>
      <c r="AE968" t="s">
        <v>61</v>
      </c>
      <c r="AF968">
        <v>0</v>
      </c>
      <c r="AI968" t="s">
        <v>61</v>
      </c>
      <c r="AJ968">
        <v>0</v>
      </c>
      <c r="AM968" t="s">
        <v>61</v>
      </c>
      <c r="AN968">
        <v>0</v>
      </c>
      <c r="AQ968" t="s">
        <v>61</v>
      </c>
      <c r="AR968">
        <v>0</v>
      </c>
      <c r="AT968" t="s">
        <v>61</v>
      </c>
      <c r="AU968">
        <v>58</v>
      </c>
    </row>
    <row r="969" spans="1:47" x14ac:dyDescent="0.35">
      <c r="C969" t="s">
        <v>62</v>
      </c>
      <c r="D969">
        <v>1258</v>
      </c>
      <c r="G969" t="s">
        <v>62</v>
      </c>
      <c r="H969">
        <v>0</v>
      </c>
      <c r="K969" t="s">
        <v>62</v>
      </c>
      <c r="L969">
        <v>255</v>
      </c>
      <c r="O969" t="s">
        <v>62</v>
      </c>
      <c r="P969">
        <v>0</v>
      </c>
      <c r="S969" t="s">
        <v>62</v>
      </c>
      <c r="T969">
        <v>0</v>
      </c>
      <c r="W969" t="s">
        <v>62</v>
      </c>
      <c r="X969">
        <v>0</v>
      </c>
      <c r="AA969" t="s">
        <v>62</v>
      </c>
      <c r="AB969">
        <v>0</v>
      </c>
      <c r="AE969" t="s">
        <v>62</v>
      </c>
      <c r="AF969">
        <v>0</v>
      </c>
      <c r="AI969" t="s">
        <v>62</v>
      </c>
      <c r="AJ969">
        <v>0</v>
      </c>
      <c r="AM969" t="s">
        <v>62</v>
      </c>
      <c r="AN969">
        <v>0</v>
      </c>
      <c r="AQ969" t="s">
        <v>62</v>
      </c>
      <c r="AR969">
        <v>0</v>
      </c>
      <c r="AT969" t="s">
        <v>62</v>
      </c>
      <c r="AU969">
        <v>76</v>
      </c>
    </row>
    <row r="970" spans="1:47" x14ac:dyDescent="0.35">
      <c r="C970" t="s">
        <v>203</v>
      </c>
      <c r="D970">
        <v>0</v>
      </c>
      <c r="G970" t="s">
        <v>203</v>
      </c>
      <c r="H970">
        <v>0</v>
      </c>
      <c r="K970" t="s">
        <v>203</v>
      </c>
      <c r="L970">
        <v>0</v>
      </c>
      <c r="O970" t="s">
        <v>203</v>
      </c>
      <c r="P970">
        <v>0</v>
      </c>
      <c r="S970" t="s">
        <v>203</v>
      </c>
      <c r="T970">
        <v>0</v>
      </c>
      <c r="W970" t="s">
        <v>203</v>
      </c>
      <c r="X970">
        <v>0</v>
      </c>
      <c r="AA970" t="s">
        <v>203</v>
      </c>
      <c r="AB970">
        <v>0</v>
      </c>
      <c r="AE970" t="s">
        <v>203</v>
      </c>
      <c r="AF970">
        <v>208</v>
      </c>
      <c r="AI970" t="s">
        <v>203</v>
      </c>
      <c r="AJ970">
        <v>0</v>
      </c>
      <c r="AM970" t="s">
        <v>203</v>
      </c>
      <c r="AN970">
        <v>0</v>
      </c>
      <c r="AQ970" t="s">
        <v>203</v>
      </c>
      <c r="AR970">
        <v>0</v>
      </c>
      <c r="AT970" t="s">
        <v>64</v>
      </c>
      <c r="AU970">
        <v>738</v>
      </c>
    </row>
    <row r="971" spans="1:47" x14ac:dyDescent="0.35">
      <c r="C971" t="s">
        <v>204</v>
      </c>
      <c r="D971">
        <v>0</v>
      </c>
      <c r="G971" t="s">
        <v>204</v>
      </c>
      <c r="H971">
        <v>0</v>
      </c>
      <c r="K971" t="s">
        <v>204</v>
      </c>
      <c r="L971">
        <v>0</v>
      </c>
      <c r="O971" t="s">
        <v>204</v>
      </c>
      <c r="P971">
        <v>0</v>
      </c>
      <c r="S971" t="s">
        <v>204</v>
      </c>
      <c r="T971">
        <v>0</v>
      </c>
      <c r="W971" t="s">
        <v>204</v>
      </c>
      <c r="X971">
        <v>0</v>
      </c>
      <c r="AA971" t="s">
        <v>204</v>
      </c>
      <c r="AB971">
        <v>0</v>
      </c>
      <c r="AE971" t="s">
        <v>204</v>
      </c>
      <c r="AF971">
        <v>109</v>
      </c>
      <c r="AI971" t="s">
        <v>204</v>
      </c>
      <c r="AJ971">
        <v>0</v>
      </c>
      <c r="AM971" t="s">
        <v>204</v>
      </c>
      <c r="AN971">
        <v>371</v>
      </c>
      <c r="AQ971" t="s">
        <v>204</v>
      </c>
      <c r="AR971">
        <v>0</v>
      </c>
      <c r="AT971" t="s">
        <v>65</v>
      </c>
      <c r="AU971">
        <v>732</v>
      </c>
    </row>
    <row r="972" spans="1:47" x14ac:dyDescent="0.35">
      <c r="C972" t="s">
        <v>205</v>
      </c>
      <c r="D972">
        <v>0</v>
      </c>
      <c r="G972" t="s">
        <v>205</v>
      </c>
      <c r="H972">
        <v>0</v>
      </c>
      <c r="K972" t="s">
        <v>205</v>
      </c>
      <c r="L972">
        <v>0</v>
      </c>
      <c r="O972" t="s">
        <v>205</v>
      </c>
      <c r="P972">
        <v>0</v>
      </c>
      <c r="S972" t="s">
        <v>205</v>
      </c>
      <c r="T972">
        <v>0</v>
      </c>
      <c r="W972" t="s">
        <v>205</v>
      </c>
      <c r="X972">
        <v>0</v>
      </c>
      <c r="AA972" t="s">
        <v>205</v>
      </c>
      <c r="AB972">
        <v>0</v>
      </c>
      <c r="AE972" t="s">
        <v>205</v>
      </c>
      <c r="AF972">
        <v>0</v>
      </c>
      <c r="AI972" t="s">
        <v>205</v>
      </c>
      <c r="AJ972">
        <v>0</v>
      </c>
      <c r="AM972" t="s">
        <v>205</v>
      </c>
      <c r="AN972">
        <v>4</v>
      </c>
      <c r="AQ972" t="s">
        <v>205</v>
      </c>
      <c r="AR972">
        <v>11</v>
      </c>
      <c r="AT972" t="s">
        <v>66</v>
      </c>
      <c r="AU972">
        <v>0</v>
      </c>
    </row>
    <row r="973" spans="1:47" x14ac:dyDescent="0.35">
      <c r="C973" t="s">
        <v>133</v>
      </c>
      <c r="D973">
        <v>0</v>
      </c>
      <c r="G973" t="s">
        <v>133</v>
      </c>
      <c r="H973">
        <v>0</v>
      </c>
      <c r="K973" t="s">
        <v>133</v>
      </c>
      <c r="L973">
        <v>0</v>
      </c>
      <c r="O973" t="s">
        <v>133</v>
      </c>
      <c r="P973">
        <v>0</v>
      </c>
      <c r="S973" t="s">
        <v>133</v>
      </c>
      <c r="T973">
        <v>0</v>
      </c>
      <c r="W973" t="s">
        <v>133</v>
      </c>
      <c r="X973">
        <v>0</v>
      </c>
      <c r="AA973" t="s">
        <v>133</v>
      </c>
      <c r="AB973">
        <v>749</v>
      </c>
      <c r="AE973" t="s">
        <v>133</v>
      </c>
      <c r="AF973">
        <v>0</v>
      </c>
      <c r="AI973" t="s">
        <v>133</v>
      </c>
      <c r="AJ973">
        <v>0</v>
      </c>
      <c r="AM973" t="s">
        <v>133</v>
      </c>
      <c r="AN973">
        <v>848</v>
      </c>
      <c r="AQ973" t="s">
        <v>133</v>
      </c>
      <c r="AR973">
        <v>1028</v>
      </c>
      <c r="AT973" t="s">
        <v>79</v>
      </c>
      <c r="AU973">
        <v>814</v>
      </c>
    </row>
    <row r="974" spans="1:47" x14ac:dyDescent="0.35">
      <c r="C974" t="s">
        <v>206</v>
      </c>
      <c r="D974">
        <v>0</v>
      </c>
      <c r="G974" t="s">
        <v>206</v>
      </c>
      <c r="H974">
        <v>0</v>
      </c>
      <c r="K974" t="s">
        <v>206</v>
      </c>
      <c r="L974">
        <v>0</v>
      </c>
      <c r="O974" t="s">
        <v>206</v>
      </c>
      <c r="P974">
        <v>0</v>
      </c>
      <c r="S974" t="s">
        <v>206</v>
      </c>
      <c r="T974">
        <v>0</v>
      </c>
      <c r="W974" t="s">
        <v>206</v>
      </c>
      <c r="X974">
        <v>0</v>
      </c>
      <c r="AA974" t="s">
        <v>206</v>
      </c>
      <c r="AB974">
        <v>0</v>
      </c>
      <c r="AE974" t="s">
        <v>206</v>
      </c>
      <c r="AF974">
        <v>0</v>
      </c>
      <c r="AI974" t="s">
        <v>206</v>
      </c>
      <c r="AJ974">
        <v>0</v>
      </c>
      <c r="AM974" t="s">
        <v>206</v>
      </c>
      <c r="AN974">
        <v>104</v>
      </c>
      <c r="AQ974" t="s">
        <v>206</v>
      </c>
      <c r="AR974">
        <v>104</v>
      </c>
      <c r="AT974" t="s">
        <v>68</v>
      </c>
      <c r="AU974">
        <v>42</v>
      </c>
    </row>
    <row r="975" spans="1:47" x14ac:dyDescent="0.35">
      <c r="C975" t="s">
        <v>136</v>
      </c>
      <c r="D975">
        <v>0</v>
      </c>
      <c r="G975" t="s">
        <v>136</v>
      </c>
      <c r="H975">
        <v>0</v>
      </c>
      <c r="K975" t="s">
        <v>136</v>
      </c>
      <c r="L975">
        <v>0</v>
      </c>
      <c r="O975" t="s">
        <v>136</v>
      </c>
      <c r="P975">
        <v>0</v>
      </c>
      <c r="S975" t="s">
        <v>136</v>
      </c>
      <c r="T975">
        <v>0</v>
      </c>
      <c r="W975" t="s">
        <v>136</v>
      </c>
      <c r="X975">
        <v>0</v>
      </c>
      <c r="AA975" t="s">
        <v>136</v>
      </c>
      <c r="AB975">
        <v>0</v>
      </c>
      <c r="AE975" t="s">
        <v>136</v>
      </c>
      <c r="AF975">
        <v>48</v>
      </c>
      <c r="AI975" t="s">
        <v>136</v>
      </c>
      <c r="AJ975">
        <v>0</v>
      </c>
      <c r="AM975" t="s">
        <v>136</v>
      </c>
      <c r="AN975">
        <v>0</v>
      </c>
      <c r="AQ975" t="s">
        <v>136</v>
      </c>
      <c r="AR975">
        <v>0</v>
      </c>
      <c r="AT975" t="s">
        <v>69</v>
      </c>
      <c r="AU975">
        <v>25</v>
      </c>
    </row>
    <row r="976" spans="1:47" x14ac:dyDescent="0.35">
      <c r="C976" t="s">
        <v>207</v>
      </c>
      <c r="D976">
        <v>0</v>
      </c>
      <c r="G976" t="s">
        <v>207</v>
      </c>
      <c r="H976">
        <v>0</v>
      </c>
      <c r="K976" t="s">
        <v>207</v>
      </c>
      <c r="L976">
        <v>0</v>
      </c>
      <c r="O976" t="s">
        <v>207</v>
      </c>
      <c r="P976">
        <v>0</v>
      </c>
      <c r="S976" t="s">
        <v>207</v>
      </c>
      <c r="T976">
        <v>0</v>
      </c>
      <c r="W976" t="s">
        <v>207</v>
      </c>
      <c r="X976">
        <v>0</v>
      </c>
      <c r="AA976" t="s">
        <v>207</v>
      </c>
      <c r="AB976">
        <v>0</v>
      </c>
      <c r="AE976" t="s">
        <v>207</v>
      </c>
      <c r="AF976">
        <v>0</v>
      </c>
      <c r="AI976" t="s">
        <v>207</v>
      </c>
      <c r="AJ976">
        <v>0</v>
      </c>
      <c r="AM976" t="s">
        <v>207</v>
      </c>
      <c r="AN976">
        <v>0</v>
      </c>
      <c r="AQ976" t="s">
        <v>207</v>
      </c>
      <c r="AR976">
        <v>0</v>
      </c>
      <c r="AT976" t="s">
        <v>70</v>
      </c>
      <c r="AU976">
        <v>6</v>
      </c>
    </row>
    <row r="977" spans="1:47" x14ac:dyDescent="0.35">
      <c r="C977" t="s">
        <v>141</v>
      </c>
      <c r="D977">
        <v>0</v>
      </c>
      <c r="G977" t="s">
        <v>141</v>
      </c>
      <c r="H977">
        <v>0</v>
      </c>
      <c r="K977" t="s">
        <v>141</v>
      </c>
      <c r="L977">
        <v>0</v>
      </c>
      <c r="O977" t="s">
        <v>141</v>
      </c>
      <c r="P977">
        <v>0</v>
      </c>
      <c r="S977" t="s">
        <v>141</v>
      </c>
      <c r="T977">
        <v>0</v>
      </c>
      <c r="W977" t="s">
        <v>141</v>
      </c>
      <c r="X977">
        <v>0</v>
      </c>
      <c r="AA977" t="s">
        <v>141</v>
      </c>
      <c r="AB977">
        <v>0</v>
      </c>
      <c r="AE977" t="s">
        <v>141</v>
      </c>
      <c r="AF977">
        <v>50</v>
      </c>
      <c r="AI977" t="s">
        <v>141</v>
      </c>
      <c r="AJ977">
        <v>1</v>
      </c>
      <c r="AM977" t="s">
        <v>141</v>
      </c>
      <c r="AN977">
        <v>0</v>
      </c>
      <c r="AQ977" t="s">
        <v>141</v>
      </c>
      <c r="AR977">
        <v>0</v>
      </c>
      <c r="AT977" t="s">
        <v>76</v>
      </c>
      <c r="AU977">
        <v>6</v>
      </c>
    </row>
    <row r="978" spans="1:47" x14ac:dyDescent="0.35">
      <c r="C978" t="s">
        <v>208</v>
      </c>
      <c r="D978">
        <v>0</v>
      </c>
      <c r="G978" t="s">
        <v>208</v>
      </c>
      <c r="H978">
        <v>0</v>
      </c>
      <c r="K978" t="s">
        <v>208</v>
      </c>
      <c r="L978">
        <v>0</v>
      </c>
      <c r="O978" t="s">
        <v>208</v>
      </c>
      <c r="P978">
        <v>0</v>
      </c>
      <c r="S978" t="s">
        <v>208</v>
      </c>
      <c r="T978">
        <v>0</v>
      </c>
      <c r="W978" t="s">
        <v>208</v>
      </c>
      <c r="X978">
        <v>0</v>
      </c>
      <c r="AA978" t="s">
        <v>208</v>
      </c>
      <c r="AB978">
        <v>0</v>
      </c>
      <c r="AE978" t="s">
        <v>208</v>
      </c>
      <c r="AF978">
        <v>6</v>
      </c>
      <c r="AI978" t="s">
        <v>208</v>
      </c>
      <c r="AJ978">
        <v>0</v>
      </c>
      <c r="AM978" t="s">
        <v>208</v>
      </c>
      <c r="AN978">
        <v>0</v>
      </c>
      <c r="AQ978" t="s">
        <v>208</v>
      </c>
      <c r="AR978">
        <v>0</v>
      </c>
      <c r="AT978" t="s">
        <v>77</v>
      </c>
      <c r="AU978">
        <v>436</v>
      </c>
    </row>
    <row r="979" spans="1:47" x14ac:dyDescent="0.35">
      <c r="C979" t="s">
        <v>209</v>
      </c>
      <c r="D979">
        <v>0</v>
      </c>
      <c r="G979" t="s">
        <v>209</v>
      </c>
      <c r="H979">
        <v>0</v>
      </c>
      <c r="K979" t="s">
        <v>209</v>
      </c>
      <c r="L979">
        <v>0</v>
      </c>
      <c r="O979" t="s">
        <v>209</v>
      </c>
      <c r="P979">
        <v>0</v>
      </c>
      <c r="S979" t="s">
        <v>209</v>
      </c>
      <c r="T979">
        <v>0</v>
      </c>
      <c r="W979" t="s">
        <v>209</v>
      </c>
      <c r="X979">
        <v>0</v>
      </c>
      <c r="AA979" t="s">
        <v>209</v>
      </c>
      <c r="AB979">
        <v>0</v>
      </c>
      <c r="AE979" t="s">
        <v>209</v>
      </c>
      <c r="AF979">
        <v>791</v>
      </c>
      <c r="AI979" t="s">
        <v>209</v>
      </c>
      <c r="AJ979">
        <v>0</v>
      </c>
      <c r="AM979" t="s">
        <v>209</v>
      </c>
      <c r="AN979">
        <v>0</v>
      </c>
      <c r="AQ979" t="s">
        <v>209</v>
      </c>
      <c r="AR979">
        <v>0</v>
      </c>
      <c r="AT979" t="s">
        <v>78</v>
      </c>
      <c r="AU979">
        <v>90</v>
      </c>
    </row>
    <row r="980" spans="1:47" x14ac:dyDescent="0.35">
      <c r="C980" t="s">
        <v>134</v>
      </c>
      <c r="D980">
        <v>0</v>
      </c>
      <c r="G980" t="s">
        <v>134</v>
      </c>
      <c r="H980">
        <v>0</v>
      </c>
      <c r="K980" t="s">
        <v>134</v>
      </c>
      <c r="L980">
        <v>0</v>
      </c>
      <c r="O980" t="s">
        <v>134</v>
      </c>
      <c r="P980">
        <v>0</v>
      </c>
      <c r="S980" t="s">
        <v>134</v>
      </c>
      <c r="T980">
        <v>0</v>
      </c>
      <c r="W980" t="s">
        <v>134</v>
      </c>
      <c r="X980">
        <v>0</v>
      </c>
      <c r="AA980" t="s">
        <v>134</v>
      </c>
      <c r="AB980">
        <v>0</v>
      </c>
      <c r="AE980" t="s">
        <v>134</v>
      </c>
      <c r="AF980">
        <v>0</v>
      </c>
      <c r="AI980" t="s">
        <v>134</v>
      </c>
      <c r="AJ980">
        <v>0</v>
      </c>
      <c r="AM980" t="s">
        <v>134</v>
      </c>
      <c r="AN980">
        <v>848</v>
      </c>
      <c r="AQ980" t="s">
        <v>134</v>
      </c>
      <c r="AR980">
        <v>1028</v>
      </c>
      <c r="AT980" t="s">
        <v>67</v>
      </c>
      <c r="AU980">
        <v>749</v>
      </c>
    </row>
    <row r="981" spans="1:47" x14ac:dyDescent="0.35">
      <c r="C981" t="s">
        <v>142</v>
      </c>
      <c r="D981">
        <v>0</v>
      </c>
      <c r="G981" t="s">
        <v>142</v>
      </c>
      <c r="H981">
        <v>0</v>
      </c>
      <c r="K981" t="s">
        <v>142</v>
      </c>
      <c r="L981">
        <v>0</v>
      </c>
      <c r="O981" t="s">
        <v>142</v>
      </c>
      <c r="P981">
        <v>0</v>
      </c>
      <c r="S981" t="s">
        <v>142</v>
      </c>
      <c r="T981">
        <v>0</v>
      </c>
      <c r="W981" t="s">
        <v>142</v>
      </c>
      <c r="X981">
        <v>0</v>
      </c>
      <c r="AA981" t="s">
        <v>142</v>
      </c>
      <c r="AB981">
        <v>0</v>
      </c>
      <c r="AE981" t="s">
        <v>142</v>
      </c>
      <c r="AF981">
        <v>0</v>
      </c>
      <c r="AI981" t="s">
        <v>142</v>
      </c>
      <c r="AJ981">
        <v>0</v>
      </c>
      <c r="AM981" t="s">
        <v>142</v>
      </c>
      <c r="AN981">
        <v>0</v>
      </c>
      <c r="AQ981" t="s">
        <v>142</v>
      </c>
      <c r="AR981">
        <v>0</v>
      </c>
      <c r="AT981" t="s">
        <v>80</v>
      </c>
      <c r="AU981">
        <v>0</v>
      </c>
    </row>
    <row r="982" spans="1:47" x14ac:dyDescent="0.35">
      <c r="C982" t="s">
        <v>83</v>
      </c>
      <c r="D982">
        <v>0</v>
      </c>
      <c r="G982" t="s">
        <v>83</v>
      </c>
      <c r="H982">
        <v>0</v>
      </c>
      <c r="K982" t="s">
        <v>83</v>
      </c>
      <c r="L982">
        <v>0</v>
      </c>
      <c r="O982" t="s">
        <v>83</v>
      </c>
      <c r="P982">
        <v>0</v>
      </c>
      <c r="S982" t="s">
        <v>83</v>
      </c>
      <c r="T982">
        <v>0</v>
      </c>
      <c r="W982" t="s">
        <v>83</v>
      </c>
      <c r="X982">
        <v>0</v>
      </c>
      <c r="AA982" t="s">
        <v>83</v>
      </c>
      <c r="AB982">
        <v>0</v>
      </c>
      <c r="AE982" t="s">
        <v>83</v>
      </c>
      <c r="AF982">
        <v>18</v>
      </c>
      <c r="AI982" t="s">
        <v>83</v>
      </c>
      <c r="AJ982">
        <v>0</v>
      </c>
      <c r="AM982" t="s">
        <v>83</v>
      </c>
      <c r="AN982">
        <v>0</v>
      </c>
      <c r="AQ982" t="s">
        <v>83</v>
      </c>
      <c r="AR982">
        <v>0</v>
      </c>
      <c r="AT982" t="s">
        <v>83</v>
      </c>
      <c r="AU982">
        <v>2</v>
      </c>
    </row>
    <row r="983" spans="1:47" x14ac:dyDescent="0.35">
      <c r="C983" t="s">
        <v>84</v>
      </c>
      <c r="D983">
        <v>0</v>
      </c>
      <c r="G983" t="s">
        <v>84</v>
      </c>
      <c r="H983">
        <v>0</v>
      </c>
      <c r="K983" t="s">
        <v>84</v>
      </c>
      <c r="L983">
        <v>0</v>
      </c>
      <c r="O983" t="s">
        <v>84</v>
      </c>
      <c r="P983">
        <v>0</v>
      </c>
      <c r="S983" t="s">
        <v>84</v>
      </c>
      <c r="T983">
        <v>0</v>
      </c>
      <c r="W983" t="s">
        <v>84</v>
      </c>
      <c r="X983">
        <v>0</v>
      </c>
      <c r="AA983" t="s">
        <v>84</v>
      </c>
      <c r="AB983">
        <v>0</v>
      </c>
      <c r="AE983" t="s">
        <v>84</v>
      </c>
      <c r="AF983">
        <v>19</v>
      </c>
      <c r="AI983" t="s">
        <v>84</v>
      </c>
      <c r="AJ983">
        <v>0</v>
      </c>
      <c r="AM983" t="s">
        <v>84</v>
      </c>
      <c r="AN983">
        <v>0</v>
      </c>
      <c r="AQ983" t="s">
        <v>84</v>
      </c>
      <c r="AR983">
        <v>0</v>
      </c>
      <c r="AT983" t="s">
        <v>84</v>
      </c>
      <c r="AU983">
        <v>0</v>
      </c>
    </row>
    <row r="984" spans="1:47" x14ac:dyDescent="0.35">
      <c r="C984" t="s">
        <v>126</v>
      </c>
      <c r="D984">
        <v>0</v>
      </c>
      <c r="G984" t="s">
        <v>126</v>
      </c>
      <c r="H984">
        <v>0</v>
      </c>
      <c r="K984" t="s">
        <v>223</v>
      </c>
      <c r="L984">
        <v>0</v>
      </c>
      <c r="O984" t="s">
        <v>126</v>
      </c>
      <c r="P984">
        <v>0</v>
      </c>
      <c r="S984" t="s">
        <v>126</v>
      </c>
      <c r="T984">
        <v>0</v>
      </c>
      <c r="W984" t="s">
        <v>126</v>
      </c>
      <c r="X984">
        <v>0</v>
      </c>
      <c r="AA984" t="s">
        <v>126</v>
      </c>
      <c r="AB984">
        <v>0</v>
      </c>
      <c r="AE984" t="s">
        <v>126</v>
      </c>
      <c r="AF984">
        <v>0</v>
      </c>
      <c r="AI984" t="s">
        <v>126</v>
      </c>
      <c r="AJ984">
        <v>0</v>
      </c>
      <c r="AM984" t="s">
        <v>126</v>
      </c>
      <c r="AN984">
        <v>0</v>
      </c>
      <c r="AQ984" t="s">
        <v>126</v>
      </c>
      <c r="AR984">
        <v>0</v>
      </c>
      <c r="AT984" t="s">
        <v>86</v>
      </c>
      <c r="AU984">
        <v>0</v>
      </c>
    </row>
    <row r="985" spans="1:47" x14ac:dyDescent="0.35">
      <c r="C985" t="s">
        <v>87</v>
      </c>
      <c r="D985">
        <v>0</v>
      </c>
      <c r="G985" t="s">
        <v>87</v>
      </c>
      <c r="H985">
        <v>0</v>
      </c>
      <c r="K985" t="s">
        <v>87</v>
      </c>
      <c r="L985">
        <v>0</v>
      </c>
      <c r="O985" t="s">
        <v>87</v>
      </c>
      <c r="P985">
        <v>0</v>
      </c>
      <c r="S985" t="s">
        <v>87</v>
      </c>
      <c r="T985">
        <v>0</v>
      </c>
      <c r="W985" t="s">
        <v>87</v>
      </c>
      <c r="X985">
        <v>0</v>
      </c>
      <c r="AA985" t="s">
        <v>87</v>
      </c>
      <c r="AB985">
        <v>0</v>
      </c>
      <c r="AE985" t="s">
        <v>87</v>
      </c>
      <c r="AF985">
        <v>0</v>
      </c>
      <c r="AI985" t="s">
        <v>87</v>
      </c>
      <c r="AJ985">
        <v>0</v>
      </c>
      <c r="AM985" t="s">
        <v>87</v>
      </c>
      <c r="AN985">
        <v>0</v>
      </c>
      <c r="AQ985" t="s">
        <v>87</v>
      </c>
      <c r="AR985">
        <v>21983</v>
      </c>
      <c r="AT985" t="s">
        <v>87</v>
      </c>
      <c r="AU985">
        <v>0</v>
      </c>
    </row>
    <row r="986" spans="1:47" x14ac:dyDescent="0.35">
      <c r="A986" t="s">
        <v>195</v>
      </c>
      <c r="B986">
        <v>6926634.5000000009</v>
      </c>
      <c r="C986" t="s">
        <v>135</v>
      </c>
      <c r="D986">
        <v>49</v>
      </c>
      <c r="E986" t="s">
        <v>195</v>
      </c>
      <c r="F986">
        <v>7106229</v>
      </c>
      <c r="G986" t="s">
        <v>135</v>
      </c>
      <c r="H986">
        <v>53</v>
      </c>
      <c r="I986" t="s">
        <v>195</v>
      </c>
      <c r="J986">
        <v>7288383.0000000009</v>
      </c>
      <c r="K986" t="s">
        <v>135</v>
      </c>
      <c r="L986">
        <v>0</v>
      </c>
      <c r="M986" t="s">
        <v>195</v>
      </c>
      <c r="N986">
        <v>7473228.5</v>
      </c>
      <c r="O986" t="s">
        <v>135</v>
      </c>
      <c r="P986">
        <v>722</v>
      </c>
      <c r="Q986" t="s">
        <v>195</v>
      </c>
      <c r="R986">
        <v>7661353.5000000019</v>
      </c>
      <c r="S986" t="s">
        <v>135</v>
      </c>
      <c r="T986">
        <v>964</v>
      </c>
      <c r="U986" t="s">
        <v>195</v>
      </c>
      <c r="V986">
        <v>7852795.0000000037</v>
      </c>
      <c r="W986" t="s">
        <v>135</v>
      </c>
      <c r="X986">
        <v>1490</v>
      </c>
      <c r="Y986" t="s">
        <v>195</v>
      </c>
      <c r="Z986">
        <v>8046679</v>
      </c>
      <c r="AA986" t="s">
        <v>135</v>
      </c>
      <c r="AB986">
        <v>1633</v>
      </c>
      <c r="AC986" t="s">
        <v>195</v>
      </c>
      <c r="AD986">
        <v>8243094.5000000047</v>
      </c>
      <c r="AE986" t="s">
        <v>135</v>
      </c>
      <c r="AF986">
        <v>1651</v>
      </c>
      <c r="AG986" t="s">
        <v>195</v>
      </c>
      <c r="AH986">
        <v>8442580</v>
      </c>
      <c r="AI986" t="s">
        <v>135</v>
      </c>
      <c r="AJ986">
        <v>1619</v>
      </c>
      <c r="AK986" t="s">
        <v>195</v>
      </c>
      <c r="AL986">
        <v>8644828.9999999981</v>
      </c>
      <c r="AM986" t="s">
        <v>135</v>
      </c>
      <c r="AN986">
        <v>1369</v>
      </c>
      <c r="AO986" t="s">
        <v>195</v>
      </c>
      <c r="AP986">
        <v>8848698.5000000019</v>
      </c>
      <c r="AQ986" t="s">
        <v>135</v>
      </c>
      <c r="AR986">
        <v>1641</v>
      </c>
      <c r="AS986" t="s">
        <v>195</v>
      </c>
      <c r="AT986" t="s">
        <v>148</v>
      </c>
      <c r="AU986">
        <v>584</v>
      </c>
    </row>
    <row r="987" spans="1:47" x14ac:dyDescent="0.35">
      <c r="C987" t="s">
        <v>139</v>
      </c>
      <c r="D987">
        <v>0</v>
      </c>
      <c r="G987" t="s">
        <v>139</v>
      </c>
      <c r="H987">
        <v>0</v>
      </c>
      <c r="K987" t="s">
        <v>139</v>
      </c>
      <c r="L987">
        <v>0</v>
      </c>
      <c r="O987" t="s">
        <v>139</v>
      </c>
      <c r="P987">
        <v>2682</v>
      </c>
      <c r="S987" t="s">
        <v>139</v>
      </c>
      <c r="T987">
        <v>2838</v>
      </c>
      <c r="W987" t="s">
        <v>139</v>
      </c>
      <c r="X987">
        <v>3932</v>
      </c>
      <c r="AA987" t="s">
        <v>139</v>
      </c>
      <c r="AB987">
        <v>3902</v>
      </c>
      <c r="AE987" t="s">
        <v>139</v>
      </c>
      <c r="AF987">
        <v>4268</v>
      </c>
      <c r="AI987" t="s">
        <v>139</v>
      </c>
      <c r="AJ987">
        <v>4910</v>
      </c>
      <c r="AM987" t="s">
        <v>139</v>
      </c>
      <c r="AN987">
        <v>3892</v>
      </c>
      <c r="AQ987" t="s">
        <v>139</v>
      </c>
      <c r="AR987">
        <v>5260</v>
      </c>
      <c r="AT987" t="s">
        <v>139</v>
      </c>
      <c r="AU987">
        <v>1966</v>
      </c>
    </row>
    <row r="988" spans="1:47" x14ac:dyDescent="0.35">
      <c r="C988" t="s">
        <v>138</v>
      </c>
      <c r="D988">
        <v>0</v>
      </c>
      <c r="G988" t="s">
        <v>138</v>
      </c>
      <c r="H988">
        <v>1590</v>
      </c>
      <c r="K988" t="s">
        <v>138</v>
      </c>
      <c r="L988">
        <v>0</v>
      </c>
      <c r="O988" t="s">
        <v>138</v>
      </c>
      <c r="P988">
        <v>1738</v>
      </c>
      <c r="S988" t="s">
        <v>138</v>
      </c>
      <c r="T988">
        <v>1922</v>
      </c>
      <c r="W988" t="s">
        <v>138</v>
      </c>
      <c r="X988">
        <v>2536</v>
      </c>
      <c r="AA988" t="s">
        <v>138</v>
      </c>
      <c r="AB988">
        <v>2570</v>
      </c>
      <c r="AE988" t="s">
        <v>138</v>
      </c>
      <c r="AF988">
        <v>3238</v>
      </c>
      <c r="AI988" t="s">
        <v>138</v>
      </c>
      <c r="AJ988">
        <v>3486</v>
      </c>
      <c r="AM988" t="s">
        <v>138</v>
      </c>
      <c r="AN988">
        <v>2964</v>
      </c>
      <c r="AQ988" t="s">
        <v>138</v>
      </c>
      <c r="AR988">
        <v>3728</v>
      </c>
      <c r="AT988" t="s">
        <v>138</v>
      </c>
      <c r="AU988">
        <v>1268</v>
      </c>
    </row>
    <row r="989" spans="1:47" x14ac:dyDescent="0.35">
      <c r="C989" t="s">
        <v>82</v>
      </c>
      <c r="D989">
        <v>4</v>
      </c>
      <c r="G989" t="s">
        <v>82</v>
      </c>
      <c r="H989">
        <v>0</v>
      </c>
      <c r="K989" t="s">
        <v>82</v>
      </c>
      <c r="L989">
        <v>0</v>
      </c>
      <c r="O989" t="s">
        <v>82</v>
      </c>
      <c r="P989">
        <v>68</v>
      </c>
      <c r="S989" t="s">
        <v>82</v>
      </c>
      <c r="T989">
        <v>0</v>
      </c>
      <c r="W989" t="s">
        <v>82</v>
      </c>
      <c r="X989">
        <v>0</v>
      </c>
      <c r="AA989" t="s">
        <v>82</v>
      </c>
      <c r="AB989">
        <v>0</v>
      </c>
      <c r="AE989" t="s">
        <v>82</v>
      </c>
      <c r="AF989">
        <v>0</v>
      </c>
      <c r="AI989" t="s">
        <v>82</v>
      </c>
      <c r="AJ989">
        <v>0</v>
      </c>
      <c r="AM989" t="s">
        <v>82</v>
      </c>
      <c r="AN989">
        <v>0</v>
      </c>
      <c r="AQ989" t="s">
        <v>82</v>
      </c>
      <c r="AR989">
        <v>2076</v>
      </c>
      <c r="AT989" t="s">
        <v>82</v>
      </c>
      <c r="AU989">
        <v>226</v>
      </c>
    </row>
    <row r="990" spans="1:47" x14ac:dyDescent="0.35">
      <c r="C990" t="s">
        <v>60</v>
      </c>
      <c r="D990">
        <v>0</v>
      </c>
      <c r="G990" t="s">
        <v>60</v>
      </c>
      <c r="H990">
        <v>0</v>
      </c>
      <c r="K990" t="s">
        <v>60</v>
      </c>
      <c r="L990">
        <v>0</v>
      </c>
      <c r="O990" t="s">
        <v>60</v>
      </c>
      <c r="P990">
        <v>0</v>
      </c>
      <c r="S990" t="s">
        <v>60</v>
      </c>
      <c r="T990">
        <v>0</v>
      </c>
      <c r="W990" t="s">
        <v>60</v>
      </c>
      <c r="X990">
        <v>0</v>
      </c>
      <c r="AA990" t="s">
        <v>60</v>
      </c>
      <c r="AB990">
        <v>0</v>
      </c>
      <c r="AE990" t="s">
        <v>60</v>
      </c>
      <c r="AF990">
        <v>0</v>
      </c>
      <c r="AI990" t="s">
        <v>60</v>
      </c>
      <c r="AJ990">
        <v>0</v>
      </c>
      <c r="AM990" t="s">
        <v>60</v>
      </c>
      <c r="AN990">
        <v>0</v>
      </c>
      <c r="AQ990" t="s">
        <v>60</v>
      </c>
      <c r="AR990">
        <v>985</v>
      </c>
      <c r="AT990" t="s">
        <v>60</v>
      </c>
      <c r="AU990">
        <v>21</v>
      </c>
    </row>
    <row r="991" spans="1:47" x14ac:dyDescent="0.35">
      <c r="C991" t="s">
        <v>127</v>
      </c>
      <c r="D991">
        <v>0</v>
      </c>
      <c r="G991" t="s">
        <v>127</v>
      </c>
      <c r="H991">
        <v>0</v>
      </c>
      <c r="K991" t="s">
        <v>127</v>
      </c>
      <c r="L991">
        <v>0</v>
      </c>
      <c r="O991" t="s">
        <v>127</v>
      </c>
      <c r="P991">
        <v>0</v>
      </c>
      <c r="S991" t="s">
        <v>127</v>
      </c>
      <c r="T991">
        <v>0</v>
      </c>
      <c r="W991" t="s">
        <v>127</v>
      </c>
      <c r="X991">
        <v>7545</v>
      </c>
      <c r="AA991" t="s">
        <v>127</v>
      </c>
      <c r="AB991">
        <v>7086</v>
      </c>
      <c r="AE991" t="s">
        <v>127</v>
      </c>
      <c r="AF991">
        <v>0</v>
      </c>
      <c r="AI991" t="s">
        <v>127</v>
      </c>
      <c r="AJ991">
        <v>7386</v>
      </c>
      <c r="AM991" t="s">
        <v>127</v>
      </c>
      <c r="AN991">
        <v>7500</v>
      </c>
      <c r="AQ991" t="s">
        <v>127</v>
      </c>
      <c r="AR991">
        <v>0</v>
      </c>
      <c r="AT991" t="s">
        <v>58</v>
      </c>
      <c r="AU991">
        <v>7500</v>
      </c>
    </row>
    <row r="992" spans="1:47" x14ac:dyDescent="0.35">
      <c r="C992" t="s">
        <v>61</v>
      </c>
      <c r="D992">
        <v>0</v>
      </c>
      <c r="G992" t="s">
        <v>61</v>
      </c>
      <c r="H992">
        <v>0</v>
      </c>
      <c r="K992" t="s">
        <v>61</v>
      </c>
      <c r="L992">
        <v>0</v>
      </c>
      <c r="O992" t="s">
        <v>61</v>
      </c>
      <c r="P992">
        <v>0</v>
      </c>
      <c r="S992" t="s">
        <v>61</v>
      </c>
      <c r="T992">
        <v>0</v>
      </c>
      <c r="W992" t="s">
        <v>61</v>
      </c>
      <c r="X992">
        <v>0</v>
      </c>
      <c r="AA992" t="s">
        <v>61</v>
      </c>
      <c r="AB992">
        <v>0</v>
      </c>
      <c r="AE992" t="s">
        <v>61</v>
      </c>
      <c r="AF992">
        <v>0</v>
      </c>
      <c r="AI992" t="s">
        <v>61</v>
      </c>
      <c r="AJ992">
        <v>0</v>
      </c>
      <c r="AM992" t="s">
        <v>61</v>
      </c>
      <c r="AN992">
        <v>0</v>
      </c>
      <c r="AQ992" t="s">
        <v>61</v>
      </c>
      <c r="AR992">
        <v>0</v>
      </c>
      <c r="AT992" t="s">
        <v>61</v>
      </c>
      <c r="AU992">
        <v>12</v>
      </c>
    </row>
    <row r="993" spans="3:47" x14ac:dyDescent="0.35">
      <c r="C993" t="s">
        <v>62</v>
      </c>
      <c r="D993">
        <v>0</v>
      </c>
      <c r="G993" t="s">
        <v>62</v>
      </c>
      <c r="H993">
        <v>0</v>
      </c>
      <c r="K993" t="s">
        <v>62</v>
      </c>
      <c r="L993">
        <v>0</v>
      </c>
      <c r="O993" t="s">
        <v>62</v>
      </c>
      <c r="P993">
        <v>0</v>
      </c>
      <c r="S993" t="s">
        <v>62</v>
      </c>
      <c r="T993">
        <v>0</v>
      </c>
      <c r="W993" t="s">
        <v>62</v>
      </c>
      <c r="X993">
        <v>0</v>
      </c>
      <c r="AA993" t="s">
        <v>62</v>
      </c>
      <c r="AB993">
        <v>0</v>
      </c>
      <c r="AE993" t="s">
        <v>62</v>
      </c>
      <c r="AF993">
        <v>0</v>
      </c>
      <c r="AI993" t="s">
        <v>62</v>
      </c>
      <c r="AJ993">
        <v>0</v>
      </c>
      <c r="AM993" t="s">
        <v>62</v>
      </c>
      <c r="AN993">
        <v>0</v>
      </c>
      <c r="AQ993" t="s">
        <v>62</v>
      </c>
      <c r="AR993">
        <v>0</v>
      </c>
      <c r="AT993" t="s">
        <v>62</v>
      </c>
      <c r="AU993">
        <v>340</v>
      </c>
    </row>
    <row r="994" spans="3:47" x14ac:dyDescent="0.35">
      <c r="C994" t="s">
        <v>203</v>
      </c>
      <c r="D994">
        <v>0</v>
      </c>
      <c r="G994" t="s">
        <v>203</v>
      </c>
      <c r="H994">
        <v>0</v>
      </c>
      <c r="K994" t="s">
        <v>203</v>
      </c>
      <c r="L994">
        <v>0</v>
      </c>
      <c r="O994" t="s">
        <v>203</v>
      </c>
      <c r="P994">
        <v>0</v>
      </c>
      <c r="S994" t="s">
        <v>203</v>
      </c>
      <c r="T994">
        <v>2249</v>
      </c>
      <c r="W994" t="s">
        <v>203</v>
      </c>
      <c r="X994">
        <v>3474</v>
      </c>
      <c r="AA994" t="s">
        <v>203</v>
      </c>
      <c r="AB994">
        <v>3903</v>
      </c>
      <c r="AE994" t="s">
        <v>203</v>
      </c>
      <c r="AF994">
        <v>3845</v>
      </c>
      <c r="AI994" t="s">
        <v>203</v>
      </c>
      <c r="AJ994">
        <v>4622</v>
      </c>
      <c r="AM994" t="s">
        <v>203</v>
      </c>
      <c r="AN994">
        <v>2974</v>
      </c>
      <c r="AQ994" t="s">
        <v>203</v>
      </c>
      <c r="AR994">
        <v>0</v>
      </c>
      <c r="AT994" t="s">
        <v>64</v>
      </c>
      <c r="AU994">
        <v>3413</v>
      </c>
    </row>
    <row r="995" spans="3:47" x14ac:dyDescent="0.35">
      <c r="C995" t="s">
        <v>204</v>
      </c>
      <c r="D995">
        <v>0</v>
      </c>
      <c r="G995" t="s">
        <v>204</v>
      </c>
      <c r="H995">
        <v>0</v>
      </c>
      <c r="K995" t="s">
        <v>204</v>
      </c>
      <c r="L995">
        <v>0</v>
      </c>
      <c r="O995" t="s">
        <v>204</v>
      </c>
      <c r="P995">
        <v>0</v>
      </c>
      <c r="S995" t="s">
        <v>204</v>
      </c>
      <c r="T995">
        <v>0</v>
      </c>
      <c r="W995" t="s">
        <v>204</v>
      </c>
      <c r="X995">
        <v>0</v>
      </c>
      <c r="AA995" t="s">
        <v>204</v>
      </c>
      <c r="AB995">
        <v>0</v>
      </c>
      <c r="AE995" t="s">
        <v>204</v>
      </c>
      <c r="AF995">
        <v>0</v>
      </c>
      <c r="AI995" t="s">
        <v>204</v>
      </c>
      <c r="AJ995">
        <v>0</v>
      </c>
      <c r="AM995" t="s">
        <v>204</v>
      </c>
      <c r="AN995">
        <v>0</v>
      </c>
      <c r="AQ995" t="s">
        <v>204</v>
      </c>
      <c r="AR995">
        <v>1377</v>
      </c>
      <c r="AT995" t="s">
        <v>65</v>
      </c>
      <c r="AU995">
        <v>63</v>
      </c>
    </row>
    <row r="996" spans="3:47" x14ac:dyDescent="0.35">
      <c r="C996" t="s">
        <v>205</v>
      </c>
      <c r="D996">
        <v>0</v>
      </c>
      <c r="G996" t="s">
        <v>205</v>
      </c>
      <c r="H996">
        <v>0</v>
      </c>
      <c r="K996" t="s">
        <v>205</v>
      </c>
      <c r="L996">
        <v>0</v>
      </c>
      <c r="O996" t="s">
        <v>205</v>
      </c>
      <c r="P996">
        <v>0</v>
      </c>
      <c r="S996" t="s">
        <v>205</v>
      </c>
      <c r="T996">
        <v>50</v>
      </c>
      <c r="W996" t="s">
        <v>205</v>
      </c>
      <c r="X996">
        <v>64</v>
      </c>
      <c r="AA996" t="s">
        <v>205</v>
      </c>
      <c r="AB996">
        <v>55</v>
      </c>
      <c r="AE996" t="s">
        <v>205</v>
      </c>
      <c r="AF996">
        <v>16</v>
      </c>
      <c r="AI996" t="s">
        <v>205</v>
      </c>
      <c r="AJ996">
        <v>8</v>
      </c>
      <c r="AM996" t="s">
        <v>205</v>
      </c>
      <c r="AN996">
        <v>19</v>
      </c>
      <c r="AQ996" t="s">
        <v>205</v>
      </c>
      <c r="AR996">
        <v>19</v>
      </c>
      <c r="AT996" t="s">
        <v>66</v>
      </c>
      <c r="AU996">
        <v>2</v>
      </c>
    </row>
    <row r="997" spans="3:47" x14ac:dyDescent="0.35">
      <c r="C997" t="s">
        <v>133</v>
      </c>
      <c r="D997">
        <v>0</v>
      </c>
      <c r="G997" t="s">
        <v>133</v>
      </c>
      <c r="H997">
        <v>0</v>
      </c>
      <c r="K997" t="s">
        <v>133</v>
      </c>
      <c r="L997">
        <v>0</v>
      </c>
      <c r="O997" t="s">
        <v>133</v>
      </c>
      <c r="P997">
        <v>407</v>
      </c>
      <c r="S997" t="s">
        <v>133</v>
      </c>
      <c r="T997">
        <v>276</v>
      </c>
      <c r="W997" t="s">
        <v>133</v>
      </c>
      <c r="X997">
        <v>454</v>
      </c>
      <c r="AA997" t="s">
        <v>133</v>
      </c>
      <c r="AB997">
        <v>460</v>
      </c>
      <c r="AE997" t="s">
        <v>133</v>
      </c>
      <c r="AF997">
        <v>518</v>
      </c>
      <c r="AI997" t="s">
        <v>133</v>
      </c>
      <c r="AJ997">
        <v>589</v>
      </c>
      <c r="AM997" t="s">
        <v>133</v>
      </c>
      <c r="AN997">
        <v>446</v>
      </c>
      <c r="AQ997" t="s">
        <v>133</v>
      </c>
      <c r="AR997">
        <v>0</v>
      </c>
      <c r="AT997" t="s">
        <v>79</v>
      </c>
      <c r="AU997">
        <v>857</v>
      </c>
    </row>
    <row r="998" spans="3:47" x14ac:dyDescent="0.35">
      <c r="C998" t="s">
        <v>206</v>
      </c>
      <c r="D998">
        <v>0</v>
      </c>
      <c r="G998" t="s">
        <v>206</v>
      </c>
      <c r="H998">
        <v>0</v>
      </c>
      <c r="K998" t="s">
        <v>206</v>
      </c>
      <c r="L998">
        <v>0</v>
      </c>
      <c r="O998" t="s">
        <v>206</v>
      </c>
      <c r="P998">
        <v>0</v>
      </c>
      <c r="S998" t="s">
        <v>206</v>
      </c>
      <c r="T998">
        <v>0</v>
      </c>
      <c r="W998" t="s">
        <v>206</v>
      </c>
      <c r="X998">
        <v>0</v>
      </c>
      <c r="AA998" t="s">
        <v>206</v>
      </c>
      <c r="AB998">
        <v>0</v>
      </c>
      <c r="AE998" t="s">
        <v>206</v>
      </c>
      <c r="AF998">
        <v>0</v>
      </c>
      <c r="AI998" t="s">
        <v>206</v>
      </c>
      <c r="AJ998">
        <v>997</v>
      </c>
      <c r="AM998" t="s">
        <v>206</v>
      </c>
      <c r="AN998">
        <v>0</v>
      </c>
      <c r="AQ998" t="s">
        <v>206</v>
      </c>
      <c r="AR998">
        <v>595</v>
      </c>
      <c r="AT998" t="s">
        <v>68</v>
      </c>
      <c r="AU998">
        <v>1075</v>
      </c>
    </row>
    <row r="999" spans="3:47" x14ac:dyDescent="0.35">
      <c r="C999" t="s">
        <v>136</v>
      </c>
      <c r="D999">
        <v>0</v>
      </c>
      <c r="G999" t="s">
        <v>136</v>
      </c>
      <c r="H999">
        <v>0</v>
      </c>
      <c r="K999" t="s">
        <v>136</v>
      </c>
      <c r="L999">
        <v>0</v>
      </c>
      <c r="O999" t="s">
        <v>136</v>
      </c>
      <c r="P999">
        <v>0</v>
      </c>
      <c r="S999" t="s">
        <v>136</v>
      </c>
      <c r="T999">
        <v>112</v>
      </c>
      <c r="W999" t="s">
        <v>136</v>
      </c>
      <c r="X999">
        <v>151</v>
      </c>
      <c r="AA999" t="s">
        <v>136</v>
      </c>
      <c r="AB999">
        <v>148</v>
      </c>
      <c r="AE999" t="s">
        <v>136</v>
      </c>
      <c r="AF999">
        <v>139</v>
      </c>
      <c r="AI999" t="s">
        <v>136</v>
      </c>
      <c r="AJ999">
        <v>280</v>
      </c>
      <c r="AM999" t="s">
        <v>136</v>
      </c>
      <c r="AN999">
        <v>95</v>
      </c>
      <c r="AQ999" t="s">
        <v>136</v>
      </c>
      <c r="AR999">
        <v>0</v>
      </c>
      <c r="AT999" t="s">
        <v>69</v>
      </c>
      <c r="AU999">
        <v>23</v>
      </c>
    </row>
    <row r="1000" spans="3:47" x14ac:dyDescent="0.35">
      <c r="C1000" t="s">
        <v>207</v>
      </c>
      <c r="D1000">
        <v>0</v>
      </c>
      <c r="G1000" t="s">
        <v>207</v>
      </c>
      <c r="H1000">
        <v>0</v>
      </c>
      <c r="K1000" t="s">
        <v>207</v>
      </c>
      <c r="L1000">
        <v>0</v>
      </c>
      <c r="O1000" t="s">
        <v>207</v>
      </c>
      <c r="P1000">
        <v>0</v>
      </c>
      <c r="S1000" t="s">
        <v>207</v>
      </c>
      <c r="T1000">
        <v>0</v>
      </c>
      <c r="W1000" t="s">
        <v>207</v>
      </c>
      <c r="X1000">
        <v>0</v>
      </c>
      <c r="AA1000" t="s">
        <v>207</v>
      </c>
      <c r="AB1000">
        <v>0</v>
      </c>
      <c r="AE1000" t="s">
        <v>207</v>
      </c>
      <c r="AF1000">
        <v>0</v>
      </c>
      <c r="AI1000" t="s">
        <v>207</v>
      </c>
      <c r="AJ1000">
        <v>0</v>
      </c>
      <c r="AM1000" t="s">
        <v>207</v>
      </c>
      <c r="AN1000">
        <v>0</v>
      </c>
      <c r="AQ1000" t="s">
        <v>207</v>
      </c>
      <c r="AR1000">
        <v>0</v>
      </c>
      <c r="AT1000" t="s">
        <v>70</v>
      </c>
      <c r="AU1000">
        <v>0</v>
      </c>
    </row>
    <row r="1001" spans="3:47" x14ac:dyDescent="0.35">
      <c r="C1001" t="s">
        <v>141</v>
      </c>
      <c r="D1001">
        <v>0</v>
      </c>
      <c r="G1001" t="s">
        <v>141</v>
      </c>
      <c r="H1001">
        <v>0</v>
      </c>
      <c r="K1001" t="s">
        <v>141</v>
      </c>
      <c r="L1001">
        <v>0</v>
      </c>
      <c r="O1001" t="s">
        <v>141</v>
      </c>
      <c r="P1001">
        <v>0</v>
      </c>
      <c r="S1001" t="s">
        <v>141</v>
      </c>
      <c r="T1001">
        <v>2</v>
      </c>
      <c r="W1001" t="s">
        <v>141</v>
      </c>
      <c r="X1001">
        <v>6</v>
      </c>
      <c r="AA1001" t="s">
        <v>141</v>
      </c>
      <c r="AB1001">
        <v>5</v>
      </c>
      <c r="AE1001" t="s">
        <v>141</v>
      </c>
      <c r="AF1001">
        <v>4</v>
      </c>
      <c r="AI1001" t="s">
        <v>141</v>
      </c>
      <c r="AJ1001">
        <v>3</v>
      </c>
      <c r="AM1001" t="s">
        <v>141</v>
      </c>
      <c r="AN1001">
        <v>1</v>
      </c>
      <c r="AQ1001" t="s">
        <v>141</v>
      </c>
      <c r="AR1001">
        <v>2</v>
      </c>
      <c r="AT1001" t="s">
        <v>76</v>
      </c>
      <c r="AU1001">
        <v>2</v>
      </c>
    </row>
    <row r="1002" spans="3:47" x14ac:dyDescent="0.35">
      <c r="C1002" t="s">
        <v>208</v>
      </c>
      <c r="D1002">
        <v>0</v>
      </c>
      <c r="G1002" t="s">
        <v>208</v>
      </c>
      <c r="H1002">
        <v>0</v>
      </c>
      <c r="K1002" t="s">
        <v>208</v>
      </c>
      <c r="L1002">
        <v>0</v>
      </c>
      <c r="O1002" t="s">
        <v>208</v>
      </c>
      <c r="P1002">
        <v>0</v>
      </c>
      <c r="S1002" t="s">
        <v>208</v>
      </c>
      <c r="T1002">
        <v>1340</v>
      </c>
      <c r="W1002" t="s">
        <v>208</v>
      </c>
      <c r="X1002">
        <v>1364</v>
      </c>
      <c r="AA1002" t="s">
        <v>208</v>
      </c>
      <c r="AB1002">
        <v>1353</v>
      </c>
      <c r="AE1002" t="s">
        <v>208</v>
      </c>
      <c r="AF1002">
        <v>1353</v>
      </c>
      <c r="AI1002" t="s">
        <v>208</v>
      </c>
      <c r="AJ1002">
        <v>2137</v>
      </c>
      <c r="AM1002" t="s">
        <v>208</v>
      </c>
      <c r="AN1002">
        <v>2139</v>
      </c>
      <c r="AQ1002" t="s">
        <v>208</v>
      </c>
      <c r="AR1002">
        <v>0</v>
      </c>
      <c r="AT1002" t="s">
        <v>77</v>
      </c>
      <c r="AU1002">
        <v>4010</v>
      </c>
    </row>
    <row r="1003" spans="3:47" x14ac:dyDescent="0.35">
      <c r="C1003" t="s">
        <v>209</v>
      </c>
      <c r="D1003">
        <v>0</v>
      </c>
      <c r="G1003" t="s">
        <v>209</v>
      </c>
      <c r="H1003">
        <v>0</v>
      </c>
      <c r="K1003" t="s">
        <v>209</v>
      </c>
      <c r="L1003">
        <v>0</v>
      </c>
      <c r="O1003" t="s">
        <v>209</v>
      </c>
      <c r="P1003">
        <v>0</v>
      </c>
      <c r="S1003" t="s">
        <v>209</v>
      </c>
      <c r="T1003">
        <v>1264</v>
      </c>
      <c r="W1003" t="s">
        <v>209</v>
      </c>
      <c r="X1003">
        <v>1806</v>
      </c>
      <c r="AA1003" t="s">
        <v>209</v>
      </c>
      <c r="AB1003">
        <v>1554</v>
      </c>
      <c r="AE1003" t="s">
        <v>209</v>
      </c>
      <c r="AF1003">
        <v>1948</v>
      </c>
      <c r="AI1003" t="s">
        <v>209</v>
      </c>
      <c r="AJ1003">
        <v>1371</v>
      </c>
      <c r="AM1003" t="s">
        <v>209</v>
      </c>
      <c r="AN1003">
        <v>0</v>
      </c>
      <c r="AQ1003" t="s">
        <v>209</v>
      </c>
      <c r="AR1003">
        <v>0</v>
      </c>
      <c r="AT1003" t="s">
        <v>78</v>
      </c>
      <c r="AU1003">
        <v>360</v>
      </c>
    </row>
    <row r="1004" spans="3:47" x14ac:dyDescent="0.35">
      <c r="C1004" t="s">
        <v>134</v>
      </c>
      <c r="D1004">
        <v>0</v>
      </c>
      <c r="G1004" t="s">
        <v>134</v>
      </c>
      <c r="H1004">
        <v>0</v>
      </c>
      <c r="K1004" t="s">
        <v>134</v>
      </c>
      <c r="L1004">
        <v>0</v>
      </c>
      <c r="O1004" t="s">
        <v>134</v>
      </c>
      <c r="P1004">
        <v>0</v>
      </c>
      <c r="S1004" t="s">
        <v>134</v>
      </c>
      <c r="T1004">
        <v>129</v>
      </c>
      <c r="W1004" t="s">
        <v>134</v>
      </c>
      <c r="X1004">
        <v>201</v>
      </c>
      <c r="AA1004" t="s">
        <v>134</v>
      </c>
      <c r="AB1004">
        <v>183</v>
      </c>
      <c r="AE1004" t="s">
        <v>134</v>
      </c>
      <c r="AF1004">
        <v>195</v>
      </c>
      <c r="AI1004" t="s">
        <v>134</v>
      </c>
      <c r="AJ1004">
        <v>338</v>
      </c>
      <c r="AM1004" t="s">
        <v>134</v>
      </c>
      <c r="AN1004">
        <v>149</v>
      </c>
      <c r="AQ1004" t="s">
        <v>134</v>
      </c>
      <c r="AR1004">
        <v>887</v>
      </c>
      <c r="AT1004" t="s">
        <v>67</v>
      </c>
      <c r="AU1004">
        <v>615</v>
      </c>
    </row>
    <row r="1005" spans="3:47" x14ac:dyDescent="0.35">
      <c r="C1005" t="s">
        <v>142</v>
      </c>
      <c r="D1005">
        <v>0</v>
      </c>
      <c r="G1005" t="s">
        <v>142</v>
      </c>
      <c r="H1005">
        <v>0</v>
      </c>
      <c r="K1005" t="s">
        <v>142</v>
      </c>
      <c r="L1005">
        <v>0</v>
      </c>
      <c r="O1005" t="s">
        <v>142</v>
      </c>
      <c r="P1005">
        <v>0</v>
      </c>
      <c r="S1005" t="s">
        <v>142</v>
      </c>
      <c r="T1005">
        <v>638</v>
      </c>
      <c r="W1005" t="s">
        <v>142</v>
      </c>
      <c r="X1005">
        <v>945</v>
      </c>
      <c r="AA1005" t="s">
        <v>142</v>
      </c>
      <c r="AB1005">
        <v>978</v>
      </c>
      <c r="AE1005" t="s">
        <v>142</v>
      </c>
      <c r="AF1005">
        <v>817</v>
      </c>
      <c r="AI1005" t="s">
        <v>142</v>
      </c>
      <c r="AJ1005">
        <v>0</v>
      </c>
      <c r="AM1005" t="s">
        <v>142</v>
      </c>
      <c r="AN1005">
        <v>813</v>
      </c>
      <c r="AQ1005" t="s">
        <v>142</v>
      </c>
      <c r="AR1005">
        <v>390</v>
      </c>
      <c r="AT1005" t="s">
        <v>80</v>
      </c>
      <c r="AU1005">
        <v>0</v>
      </c>
    </row>
    <row r="1006" spans="3:47" x14ac:dyDescent="0.35">
      <c r="C1006" t="s">
        <v>83</v>
      </c>
      <c r="D1006">
        <v>0</v>
      </c>
      <c r="G1006" t="s">
        <v>83</v>
      </c>
      <c r="H1006">
        <v>0</v>
      </c>
      <c r="K1006" t="s">
        <v>83</v>
      </c>
      <c r="L1006">
        <v>0</v>
      </c>
      <c r="O1006" t="s">
        <v>83</v>
      </c>
      <c r="P1006">
        <v>231</v>
      </c>
      <c r="S1006" t="s">
        <v>83</v>
      </c>
      <c r="T1006">
        <v>152</v>
      </c>
      <c r="W1006" t="s">
        <v>83</v>
      </c>
      <c r="X1006">
        <v>174</v>
      </c>
      <c r="AA1006" t="s">
        <v>83</v>
      </c>
      <c r="AB1006">
        <v>160</v>
      </c>
      <c r="AE1006" t="s">
        <v>83</v>
      </c>
      <c r="AF1006">
        <v>175</v>
      </c>
      <c r="AI1006" t="s">
        <v>83</v>
      </c>
      <c r="AJ1006">
        <v>230</v>
      </c>
      <c r="AM1006" t="s">
        <v>83</v>
      </c>
      <c r="AN1006">
        <v>161</v>
      </c>
      <c r="AQ1006" t="s">
        <v>83</v>
      </c>
      <c r="AR1006">
        <v>183</v>
      </c>
      <c r="AT1006" t="s">
        <v>83</v>
      </c>
      <c r="AU1006">
        <v>252</v>
      </c>
    </row>
    <row r="1007" spans="3:47" x14ac:dyDescent="0.35">
      <c r="C1007" t="s">
        <v>84</v>
      </c>
      <c r="D1007">
        <v>0</v>
      </c>
      <c r="G1007" t="s">
        <v>84</v>
      </c>
      <c r="H1007">
        <v>0</v>
      </c>
      <c r="K1007" t="s">
        <v>84</v>
      </c>
      <c r="L1007">
        <v>0</v>
      </c>
      <c r="O1007" t="s">
        <v>84</v>
      </c>
      <c r="P1007">
        <v>0</v>
      </c>
      <c r="S1007" t="s">
        <v>84</v>
      </c>
      <c r="T1007">
        <v>14</v>
      </c>
      <c r="W1007" t="s">
        <v>84</v>
      </c>
      <c r="X1007">
        <v>62</v>
      </c>
      <c r="AA1007" t="s">
        <v>84</v>
      </c>
      <c r="AB1007">
        <v>62</v>
      </c>
      <c r="AE1007" t="s">
        <v>84</v>
      </c>
      <c r="AF1007">
        <v>62</v>
      </c>
      <c r="AI1007" t="s">
        <v>84</v>
      </c>
      <c r="AJ1007">
        <v>66</v>
      </c>
      <c r="AM1007" t="s">
        <v>84</v>
      </c>
      <c r="AN1007">
        <v>56</v>
      </c>
      <c r="AQ1007" t="s">
        <v>84</v>
      </c>
      <c r="AR1007">
        <v>0</v>
      </c>
      <c r="AT1007" t="s">
        <v>84</v>
      </c>
      <c r="AU1007">
        <v>0</v>
      </c>
    </row>
    <row r="1008" spans="3:47" x14ac:dyDescent="0.35">
      <c r="C1008" t="s">
        <v>126</v>
      </c>
      <c r="D1008">
        <v>0</v>
      </c>
      <c r="G1008" t="s">
        <v>126</v>
      </c>
      <c r="H1008">
        <v>0</v>
      </c>
      <c r="K1008" t="s">
        <v>223</v>
      </c>
      <c r="L1008">
        <v>0</v>
      </c>
      <c r="O1008" t="s">
        <v>126</v>
      </c>
      <c r="P1008">
        <v>0</v>
      </c>
      <c r="S1008" t="s">
        <v>126</v>
      </c>
      <c r="T1008">
        <v>9</v>
      </c>
      <c r="W1008" t="s">
        <v>126</v>
      </c>
      <c r="X1008">
        <v>21</v>
      </c>
      <c r="AA1008" t="s">
        <v>126</v>
      </c>
      <c r="AB1008">
        <v>25</v>
      </c>
      <c r="AE1008" t="s">
        <v>126</v>
      </c>
      <c r="AF1008">
        <v>35</v>
      </c>
      <c r="AI1008" t="s">
        <v>126</v>
      </c>
      <c r="AJ1008">
        <v>83</v>
      </c>
      <c r="AM1008" t="s">
        <v>126</v>
      </c>
      <c r="AN1008">
        <v>33</v>
      </c>
      <c r="AQ1008" t="s">
        <v>126</v>
      </c>
      <c r="AR1008">
        <v>0</v>
      </c>
      <c r="AT1008" t="s">
        <v>86</v>
      </c>
      <c r="AU1008">
        <v>0</v>
      </c>
    </row>
    <row r="1009" spans="1:47" x14ac:dyDescent="0.35">
      <c r="C1009" t="s">
        <v>87</v>
      </c>
      <c r="D1009">
        <v>0</v>
      </c>
      <c r="G1009" t="s">
        <v>87</v>
      </c>
      <c r="H1009">
        <v>0</v>
      </c>
      <c r="K1009" t="s">
        <v>87</v>
      </c>
      <c r="L1009">
        <v>0</v>
      </c>
      <c r="O1009" t="s">
        <v>87</v>
      </c>
      <c r="P1009">
        <v>0</v>
      </c>
      <c r="S1009" t="s">
        <v>87</v>
      </c>
      <c r="T1009">
        <v>0</v>
      </c>
      <c r="W1009" t="s">
        <v>87</v>
      </c>
      <c r="X1009">
        <v>0</v>
      </c>
      <c r="AA1009" t="s">
        <v>87</v>
      </c>
      <c r="AB1009">
        <v>0</v>
      </c>
      <c r="AE1009" t="s">
        <v>87</v>
      </c>
      <c r="AF1009">
        <v>0</v>
      </c>
      <c r="AI1009" t="s">
        <v>87</v>
      </c>
      <c r="AJ1009">
        <v>0</v>
      </c>
      <c r="AM1009" t="s">
        <v>87</v>
      </c>
      <c r="AN1009">
        <v>0</v>
      </c>
      <c r="AQ1009" t="s">
        <v>87</v>
      </c>
      <c r="AR1009">
        <v>0</v>
      </c>
      <c r="AT1009" t="s">
        <v>87</v>
      </c>
      <c r="AU1009">
        <v>987</v>
      </c>
    </row>
    <row r="1010" spans="1:47" x14ac:dyDescent="0.35">
      <c r="A1010" t="s">
        <v>197</v>
      </c>
      <c r="B1010">
        <v>47786137.499999993</v>
      </c>
      <c r="C1010" t="s">
        <v>135</v>
      </c>
      <c r="D1010">
        <v>2962</v>
      </c>
      <c r="E1010" t="s">
        <v>197</v>
      </c>
      <c r="F1010">
        <v>49253643.5</v>
      </c>
      <c r="G1010" t="s">
        <v>135</v>
      </c>
      <c r="H1010">
        <v>0</v>
      </c>
      <c r="I1010" t="s">
        <v>197</v>
      </c>
      <c r="J1010">
        <v>50814551.500000022</v>
      </c>
      <c r="K1010" t="s">
        <v>135</v>
      </c>
      <c r="L1010">
        <v>6036</v>
      </c>
      <c r="M1010" t="s">
        <v>197</v>
      </c>
      <c r="N1010">
        <v>52542823.5</v>
      </c>
      <c r="O1010" t="s">
        <v>135</v>
      </c>
      <c r="P1010">
        <v>0</v>
      </c>
      <c r="Q1010" t="s">
        <v>197</v>
      </c>
      <c r="R1010">
        <v>54401801.500000007</v>
      </c>
      <c r="S1010" t="s">
        <v>135</v>
      </c>
      <c r="T1010">
        <v>67</v>
      </c>
      <c r="U1010" t="s">
        <v>197</v>
      </c>
      <c r="V1010">
        <v>56267032.000000007</v>
      </c>
      <c r="W1010" t="s">
        <v>135</v>
      </c>
      <c r="X1010">
        <v>0</v>
      </c>
      <c r="Y1010" t="s">
        <v>197</v>
      </c>
      <c r="Z1010">
        <v>58090443.000000007</v>
      </c>
      <c r="AA1010" t="s">
        <v>135</v>
      </c>
      <c r="AB1010">
        <v>5770</v>
      </c>
      <c r="AC1010" t="s">
        <v>197</v>
      </c>
      <c r="AD1010">
        <v>59872579</v>
      </c>
      <c r="AE1010" t="s">
        <v>135</v>
      </c>
      <c r="AF1010">
        <v>0</v>
      </c>
      <c r="AG1010" t="s">
        <v>197</v>
      </c>
      <c r="AH1010">
        <v>61704517.99999997</v>
      </c>
      <c r="AI1010" t="s">
        <v>135</v>
      </c>
      <c r="AJ1010">
        <v>0</v>
      </c>
      <c r="AK1010" t="s">
        <v>197</v>
      </c>
      <c r="AL1010">
        <v>63588333.999999993</v>
      </c>
      <c r="AM1010" t="s">
        <v>135</v>
      </c>
      <c r="AN1010">
        <v>0</v>
      </c>
      <c r="AO1010" t="s">
        <v>197</v>
      </c>
      <c r="AP1010">
        <v>65497748.000000045</v>
      </c>
      <c r="AQ1010" t="s">
        <v>135</v>
      </c>
      <c r="AR1010">
        <v>17386</v>
      </c>
      <c r="AS1010" t="s">
        <v>197</v>
      </c>
      <c r="AT1010" t="s">
        <v>148</v>
      </c>
      <c r="AU1010">
        <v>2885</v>
      </c>
    </row>
    <row r="1011" spans="1:47" x14ac:dyDescent="0.35">
      <c r="C1011" t="s">
        <v>139</v>
      </c>
      <c r="D1011">
        <v>41600</v>
      </c>
      <c r="G1011" t="s">
        <v>139</v>
      </c>
      <c r="H1011">
        <v>0</v>
      </c>
      <c r="K1011" t="s">
        <v>139</v>
      </c>
      <c r="L1011">
        <v>43104</v>
      </c>
      <c r="O1011" t="s">
        <v>139</v>
      </c>
      <c r="P1011">
        <v>0</v>
      </c>
      <c r="S1011" t="s">
        <v>139</v>
      </c>
      <c r="T1011">
        <v>0</v>
      </c>
      <c r="W1011" t="s">
        <v>139</v>
      </c>
      <c r="X1011">
        <v>63880</v>
      </c>
      <c r="AA1011" t="s">
        <v>139</v>
      </c>
      <c r="AB1011">
        <v>63880</v>
      </c>
      <c r="AE1011" t="s">
        <v>139</v>
      </c>
      <c r="AF1011">
        <v>0</v>
      </c>
      <c r="AI1011" t="s">
        <v>139</v>
      </c>
      <c r="AJ1011">
        <v>0</v>
      </c>
      <c r="AM1011" t="s">
        <v>139</v>
      </c>
      <c r="AN1011">
        <v>0</v>
      </c>
      <c r="AQ1011" t="s">
        <v>139</v>
      </c>
      <c r="AR1011">
        <v>0</v>
      </c>
      <c r="AT1011" t="s">
        <v>139</v>
      </c>
      <c r="AU1011">
        <v>31940</v>
      </c>
    </row>
    <row r="1012" spans="1:47" x14ac:dyDescent="0.35">
      <c r="C1012" t="s">
        <v>138</v>
      </c>
      <c r="D1012">
        <v>0</v>
      </c>
      <c r="G1012" t="s">
        <v>138</v>
      </c>
      <c r="H1012">
        <v>0</v>
      </c>
      <c r="K1012" t="s">
        <v>138</v>
      </c>
      <c r="L1012">
        <v>0</v>
      </c>
      <c r="O1012" t="s">
        <v>138</v>
      </c>
      <c r="P1012">
        <v>0</v>
      </c>
      <c r="S1012" t="s">
        <v>138</v>
      </c>
      <c r="T1012">
        <v>0</v>
      </c>
      <c r="W1012" t="s">
        <v>138</v>
      </c>
      <c r="X1012">
        <v>0</v>
      </c>
      <c r="AA1012" t="s">
        <v>138</v>
      </c>
      <c r="AB1012">
        <v>0</v>
      </c>
      <c r="AE1012" t="s">
        <v>138</v>
      </c>
      <c r="AF1012">
        <v>0</v>
      </c>
      <c r="AI1012" t="s">
        <v>138</v>
      </c>
      <c r="AJ1012">
        <v>0</v>
      </c>
      <c r="AM1012" t="s">
        <v>138</v>
      </c>
      <c r="AN1012">
        <v>0</v>
      </c>
      <c r="AQ1012" t="s">
        <v>138</v>
      </c>
      <c r="AR1012">
        <v>0</v>
      </c>
      <c r="AT1012" t="s">
        <v>138</v>
      </c>
      <c r="AU1012">
        <v>0</v>
      </c>
    </row>
    <row r="1013" spans="1:47" x14ac:dyDescent="0.35">
      <c r="C1013" t="s">
        <v>82</v>
      </c>
      <c r="D1013">
        <v>20962</v>
      </c>
      <c r="G1013" t="s">
        <v>82</v>
      </c>
      <c r="H1013">
        <v>0</v>
      </c>
      <c r="K1013" t="s">
        <v>82</v>
      </c>
      <c r="L1013">
        <v>0</v>
      </c>
      <c r="O1013" t="s">
        <v>82</v>
      </c>
      <c r="P1013">
        <v>53</v>
      </c>
      <c r="S1013" t="s">
        <v>82</v>
      </c>
      <c r="T1013">
        <v>1200</v>
      </c>
      <c r="W1013" t="s">
        <v>82</v>
      </c>
      <c r="X1013">
        <v>1223</v>
      </c>
      <c r="AA1013" t="s">
        <v>82</v>
      </c>
      <c r="AB1013">
        <v>378</v>
      </c>
      <c r="AE1013" t="s">
        <v>82</v>
      </c>
      <c r="AF1013">
        <v>0</v>
      </c>
      <c r="AI1013" t="s">
        <v>82</v>
      </c>
      <c r="AJ1013">
        <v>0</v>
      </c>
      <c r="AM1013" t="s">
        <v>82</v>
      </c>
      <c r="AN1013">
        <v>16</v>
      </c>
      <c r="AQ1013" t="s">
        <v>82</v>
      </c>
      <c r="AR1013">
        <v>656</v>
      </c>
      <c r="AT1013" t="s">
        <v>82</v>
      </c>
      <c r="AU1013">
        <v>1845</v>
      </c>
    </row>
    <row r="1014" spans="1:47" x14ac:dyDescent="0.35">
      <c r="C1014" t="s">
        <v>60</v>
      </c>
      <c r="D1014">
        <v>9658</v>
      </c>
      <c r="G1014" t="s">
        <v>60</v>
      </c>
      <c r="H1014">
        <v>0</v>
      </c>
      <c r="K1014" t="s">
        <v>60</v>
      </c>
      <c r="L1014">
        <v>0</v>
      </c>
      <c r="O1014" t="s">
        <v>60</v>
      </c>
      <c r="P1014">
        <v>0</v>
      </c>
      <c r="S1014" t="s">
        <v>60</v>
      </c>
      <c r="T1014">
        <v>0</v>
      </c>
      <c r="W1014" t="s">
        <v>60</v>
      </c>
      <c r="X1014">
        <v>282</v>
      </c>
      <c r="AA1014" t="s">
        <v>60</v>
      </c>
      <c r="AB1014">
        <v>233</v>
      </c>
      <c r="AE1014" t="s">
        <v>60</v>
      </c>
      <c r="AF1014">
        <v>0</v>
      </c>
      <c r="AI1014" t="s">
        <v>60</v>
      </c>
      <c r="AJ1014">
        <v>0</v>
      </c>
      <c r="AM1014" t="s">
        <v>60</v>
      </c>
      <c r="AN1014">
        <v>18</v>
      </c>
      <c r="AQ1014" t="s">
        <v>60</v>
      </c>
      <c r="AR1014">
        <v>465</v>
      </c>
      <c r="AT1014" t="s">
        <v>60</v>
      </c>
      <c r="AU1014">
        <v>682</v>
      </c>
    </row>
    <row r="1015" spans="1:47" x14ac:dyDescent="0.35">
      <c r="C1015" t="s">
        <v>127</v>
      </c>
      <c r="D1015">
        <v>0</v>
      </c>
      <c r="G1015" t="s">
        <v>127</v>
      </c>
      <c r="H1015">
        <v>0</v>
      </c>
      <c r="K1015" t="s">
        <v>127</v>
      </c>
      <c r="L1015">
        <v>0</v>
      </c>
      <c r="O1015" t="s">
        <v>127</v>
      </c>
      <c r="P1015">
        <v>0</v>
      </c>
      <c r="S1015" t="s">
        <v>127</v>
      </c>
      <c r="T1015">
        <v>0</v>
      </c>
      <c r="W1015" t="s">
        <v>127</v>
      </c>
      <c r="X1015">
        <v>0</v>
      </c>
      <c r="AA1015" t="s">
        <v>127</v>
      </c>
      <c r="AB1015">
        <v>0</v>
      </c>
      <c r="AE1015" t="s">
        <v>127</v>
      </c>
      <c r="AF1015">
        <v>0</v>
      </c>
      <c r="AI1015" t="s">
        <v>127</v>
      </c>
      <c r="AJ1015">
        <v>0</v>
      </c>
      <c r="AM1015" t="s">
        <v>127</v>
      </c>
      <c r="AN1015">
        <v>0</v>
      </c>
      <c r="AQ1015" t="s">
        <v>127</v>
      </c>
      <c r="AR1015">
        <v>20737</v>
      </c>
      <c r="AT1015" t="s">
        <v>58</v>
      </c>
      <c r="AU1015">
        <v>0</v>
      </c>
    </row>
    <row r="1016" spans="1:47" x14ac:dyDescent="0.35">
      <c r="C1016" t="s">
        <v>61</v>
      </c>
      <c r="D1016">
        <v>0</v>
      </c>
      <c r="G1016" t="s">
        <v>61</v>
      </c>
      <c r="H1016">
        <v>0</v>
      </c>
      <c r="K1016" t="s">
        <v>61</v>
      </c>
      <c r="L1016">
        <v>0</v>
      </c>
      <c r="O1016" t="s">
        <v>61</v>
      </c>
      <c r="P1016">
        <v>0</v>
      </c>
      <c r="S1016" t="s">
        <v>61</v>
      </c>
      <c r="T1016">
        <v>0</v>
      </c>
      <c r="W1016" t="s">
        <v>61</v>
      </c>
      <c r="X1016">
        <v>49</v>
      </c>
      <c r="AA1016" t="s">
        <v>61</v>
      </c>
      <c r="AB1016">
        <v>855</v>
      </c>
      <c r="AE1016" t="s">
        <v>61</v>
      </c>
      <c r="AF1016">
        <v>0</v>
      </c>
      <c r="AI1016" t="s">
        <v>61</v>
      </c>
      <c r="AJ1016">
        <v>0</v>
      </c>
      <c r="AM1016" t="s">
        <v>61</v>
      </c>
      <c r="AN1016">
        <v>0</v>
      </c>
      <c r="AQ1016" t="s">
        <v>61</v>
      </c>
      <c r="AR1016">
        <v>65</v>
      </c>
      <c r="AT1016" t="s">
        <v>61</v>
      </c>
      <c r="AU1016">
        <v>148</v>
      </c>
    </row>
    <row r="1017" spans="1:47" x14ac:dyDescent="0.35">
      <c r="C1017" t="s">
        <v>62</v>
      </c>
      <c r="D1017">
        <v>3255</v>
      </c>
      <c r="G1017" t="s">
        <v>62</v>
      </c>
      <c r="H1017">
        <v>0</v>
      </c>
      <c r="K1017" t="s">
        <v>62</v>
      </c>
      <c r="L1017">
        <v>0</v>
      </c>
      <c r="O1017" t="s">
        <v>62</v>
      </c>
      <c r="P1017">
        <v>0</v>
      </c>
      <c r="S1017" t="s">
        <v>62</v>
      </c>
      <c r="T1017">
        <v>0</v>
      </c>
      <c r="W1017" t="s">
        <v>62</v>
      </c>
      <c r="X1017">
        <v>566</v>
      </c>
      <c r="AA1017" t="s">
        <v>62</v>
      </c>
      <c r="AB1017">
        <v>1905</v>
      </c>
      <c r="AE1017" t="s">
        <v>62</v>
      </c>
      <c r="AF1017">
        <v>0</v>
      </c>
      <c r="AI1017" t="s">
        <v>62</v>
      </c>
      <c r="AJ1017">
        <v>0</v>
      </c>
      <c r="AM1017" t="s">
        <v>62</v>
      </c>
      <c r="AN1017">
        <v>0</v>
      </c>
      <c r="AQ1017" t="s">
        <v>62</v>
      </c>
      <c r="AR1017">
        <v>929</v>
      </c>
      <c r="AT1017" t="s">
        <v>62</v>
      </c>
      <c r="AU1017">
        <v>578</v>
      </c>
    </row>
    <row r="1018" spans="1:47" x14ac:dyDescent="0.35">
      <c r="C1018" t="s">
        <v>203</v>
      </c>
      <c r="D1018">
        <v>0</v>
      </c>
      <c r="G1018" t="s">
        <v>203</v>
      </c>
      <c r="H1018">
        <v>0</v>
      </c>
      <c r="K1018" t="s">
        <v>203</v>
      </c>
      <c r="L1018">
        <v>0</v>
      </c>
      <c r="O1018" t="s">
        <v>203</v>
      </c>
      <c r="P1018">
        <v>0</v>
      </c>
      <c r="S1018" t="s">
        <v>203</v>
      </c>
      <c r="T1018">
        <v>0</v>
      </c>
      <c r="W1018" t="s">
        <v>203</v>
      </c>
      <c r="X1018">
        <v>0</v>
      </c>
      <c r="AA1018" t="s">
        <v>203</v>
      </c>
      <c r="AB1018">
        <v>0</v>
      </c>
      <c r="AE1018" t="s">
        <v>203</v>
      </c>
      <c r="AF1018">
        <v>0</v>
      </c>
      <c r="AI1018" t="s">
        <v>203</v>
      </c>
      <c r="AJ1018">
        <v>0</v>
      </c>
      <c r="AM1018" t="s">
        <v>203</v>
      </c>
      <c r="AN1018">
        <v>0</v>
      </c>
      <c r="AQ1018" t="s">
        <v>203</v>
      </c>
      <c r="AR1018">
        <v>0</v>
      </c>
      <c r="AT1018" t="s">
        <v>64</v>
      </c>
      <c r="AU1018">
        <v>25803</v>
      </c>
    </row>
    <row r="1019" spans="1:47" x14ac:dyDescent="0.35">
      <c r="C1019" t="s">
        <v>204</v>
      </c>
      <c r="D1019">
        <v>0</v>
      </c>
      <c r="G1019" t="s">
        <v>204</v>
      </c>
      <c r="H1019">
        <v>0</v>
      </c>
      <c r="K1019" t="s">
        <v>204</v>
      </c>
      <c r="L1019">
        <v>0</v>
      </c>
      <c r="O1019" t="s">
        <v>204</v>
      </c>
      <c r="P1019">
        <v>0</v>
      </c>
      <c r="S1019" t="s">
        <v>204</v>
      </c>
      <c r="T1019">
        <v>0</v>
      </c>
      <c r="W1019" t="s">
        <v>204</v>
      </c>
      <c r="X1019">
        <v>0</v>
      </c>
      <c r="AA1019" t="s">
        <v>204</v>
      </c>
      <c r="AB1019">
        <v>0</v>
      </c>
      <c r="AE1019" t="s">
        <v>204</v>
      </c>
      <c r="AF1019">
        <v>0</v>
      </c>
      <c r="AI1019" t="s">
        <v>204</v>
      </c>
      <c r="AJ1019">
        <v>0</v>
      </c>
      <c r="AM1019" t="s">
        <v>204</v>
      </c>
      <c r="AN1019">
        <v>0</v>
      </c>
      <c r="AQ1019" t="s">
        <v>204</v>
      </c>
      <c r="AR1019">
        <v>0</v>
      </c>
      <c r="AT1019" t="s">
        <v>65</v>
      </c>
      <c r="AU1019">
        <v>633</v>
      </c>
    </row>
    <row r="1020" spans="1:47" x14ac:dyDescent="0.35">
      <c r="C1020" t="s">
        <v>205</v>
      </c>
      <c r="D1020">
        <v>60</v>
      </c>
      <c r="G1020" t="s">
        <v>205</v>
      </c>
      <c r="H1020">
        <v>0</v>
      </c>
      <c r="K1020" t="s">
        <v>205</v>
      </c>
      <c r="L1020">
        <v>0</v>
      </c>
      <c r="O1020" t="s">
        <v>205</v>
      </c>
      <c r="P1020">
        <v>0</v>
      </c>
      <c r="S1020" t="s">
        <v>205</v>
      </c>
      <c r="T1020">
        <v>0</v>
      </c>
      <c r="W1020" t="s">
        <v>205</v>
      </c>
      <c r="X1020">
        <v>0</v>
      </c>
      <c r="AA1020" t="s">
        <v>205</v>
      </c>
      <c r="AB1020">
        <v>89</v>
      </c>
      <c r="AE1020" t="s">
        <v>205</v>
      </c>
      <c r="AF1020">
        <v>0</v>
      </c>
      <c r="AI1020" t="s">
        <v>205</v>
      </c>
      <c r="AJ1020">
        <v>0</v>
      </c>
      <c r="AM1020" t="s">
        <v>205</v>
      </c>
      <c r="AN1020">
        <v>0</v>
      </c>
      <c r="AQ1020" t="s">
        <v>205</v>
      </c>
      <c r="AR1020">
        <v>12</v>
      </c>
      <c r="AT1020" t="s">
        <v>66</v>
      </c>
      <c r="AU1020">
        <v>73</v>
      </c>
    </row>
    <row r="1021" spans="1:47" x14ac:dyDescent="0.35">
      <c r="C1021" t="s">
        <v>133</v>
      </c>
      <c r="D1021">
        <v>89</v>
      </c>
      <c r="G1021" t="s">
        <v>133</v>
      </c>
      <c r="H1021">
        <v>0</v>
      </c>
      <c r="K1021" t="s">
        <v>133</v>
      </c>
      <c r="L1021">
        <v>93</v>
      </c>
      <c r="O1021" t="s">
        <v>133</v>
      </c>
      <c r="P1021">
        <v>0</v>
      </c>
      <c r="S1021" t="s">
        <v>133</v>
      </c>
      <c r="T1021">
        <v>0</v>
      </c>
      <c r="W1021" t="s">
        <v>133</v>
      </c>
      <c r="X1021">
        <v>0</v>
      </c>
      <c r="AA1021" t="s">
        <v>133</v>
      </c>
      <c r="AB1021">
        <v>4361</v>
      </c>
      <c r="AE1021" t="s">
        <v>133</v>
      </c>
      <c r="AF1021">
        <v>0</v>
      </c>
      <c r="AI1021" t="s">
        <v>133</v>
      </c>
      <c r="AJ1021">
        <v>0</v>
      </c>
      <c r="AM1021" t="s">
        <v>133</v>
      </c>
      <c r="AN1021">
        <v>0</v>
      </c>
      <c r="AQ1021" t="s">
        <v>133</v>
      </c>
      <c r="AR1021">
        <v>1198</v>
      </c>
      <c r="AT1021" t="s">
        <v>79</v>
      </c>
      <c r="AU1021">
        <v>3028</v>
      </c>
    </row>
    <row r="1022" spans="1:47" x14ac:dyDescent="0.35">
      <c r="C1022" t="s">
        <v>206</v>
      </c>
      <c r="D1022">
        <v>0</v>
      </c>
      <c r="G1022" t="s">
        <v>206</v>
      </c>
      <c r="H1022">
        <v>0</v>
      </c>
      <c r="K1022" t="s">
        <v>206</v>
      </c>
      <c r="L1022">
        <v>0</v>
      </c>
      <c r="O1022" t="s">
        <v>206</v>
      </c>
      <c r="P1022">
        <v>0</v>
      </c>
      <c r="S1022" t="s">
        <v>206</v>
      </c>
      <c r="T1022">
        <v>0</v>
      </c>
      <c r="W1022" t="s">
        <v>206</v>
      </c>
      <c r="X1022">
        <v>0</v>
      </c>
      <c r="AA1022" t="s">
        <v>206</v>
      </c>
      <c r="AB1022">
        <v>0</v>
      </c>
      <c r="AE1022" t="s">
        <v>206</v>
      </c>
      <c r="AF1022">
        <v>0</v>
      </c>
      <c r="AI1022" t="s">
        <v>206</v>
      </c>
      <c r="AJ1022">
        <v>0</v>
      </c>
      <c r="AM1022" t="s">
        <v>206</v>
      </c>
      <c r="AN1022">
        <v>0</v>
      </c>
      <c r="AQ1022" t="s">
        <v>206</v>
      </c>
      <c r="AR1022">
        <v>2337</v>
      </c>
      <c r="AT1022" t="s">
        <v>68</v>
      </c>
      <c r="AU1022">
        <v>9250</v>
      </c>
    </row>
    <row r="1023" spans="1:47" x14ac:dyDescent="0.35">
      <c r="C1023" t="s">
        <v>136</v>
      </c>
      <c r="D1023">
        <v>223</v>
      </c>
      <c r="G1023" t="s">
        <v>136</v>
      </c>
      <c r="H1023">
        <v>0</v>
      </c>
      <c r="K1023" t="s">
        <v>136</v>
      </c>
      <c r="L1023">
        <v>0</v>
      </c>
      <c r="O1023" t="s">
        <v>136</v>
      </c>
      <c r="P1023">
        <v>0</v>
      </c>
      <c r="S1023" t="s">
        <v>136</v>
      </c>
      <c r="T1023">
        <v>0</v>
      </c>
      <c r="W1023" t="s">
        <v>136</v>
      </c>
      <c r="X1023">
        <v>0</v>
      </c>
      <c r="AA1023" t="s">
        <v>136</v>
      </c>
      <c r="AB1023">
        <v>0</v>
      </c>
      <c r="AE1023" t="s">
        <v>136</v>
      </c>
      <c r="AF1023">
        <v>0</v>
      </c>
      <c r="AI1023" t="s">
        <v>136</v>
      </c>
      <c r="AJ1023">
        <v>0</v>
      </c>
      <c r="AM1023" t="s">
        <v>136</v>
      </c>
      <c r="AN1023">
        <v>0</v>
      </c>
      <c r="AQ1023" t="s">
        <v>136</v>
      </c>
      <c r="AR1023">
        <v>543</v>
      </c>
      <c r="AT1023" t="s">
        <v>69</v>
      </c>
      <c r="AU1023">
        <v>681</v>
      </c>
    </row>
    <row r="1024" spans="1:47" x14ac:dyDescent="0.35">
      <c r="C1024" t="s">
        <v>207</v>
      </c>
      <c r="D1024">
        <v>470</v>
      </c>
      <c r="G1024" t="s">
        <v>207</v>
      </c>
      <c r="H1024">
        <v>0</v>
      </c>
      <c r="K1024" t="s">
        <v>207</v>
      </c>
      <c r="L1024">
        <v>0</v>
      </c>
      <c r="O1024" t="s">
        <v>207</v>
      </c>
      <c r="P1024">
        <v>0</v>
      </c>
      <c r="S1024" t="s">
        <v>207</v>
      </c>
      <c r="T1024">
        <v>0</v>
      </c>
      <c r="W1024" t="s">
        <v>207</v>
      </c>
      <c r="X1024">
        <v>0</v>
      </c>
      <c r="AA1024" t="s">
        <v>207</v>
      </c>
      <c r="AB1024">
        <v>0</v>
      </c>
      <c r="AE1024" t="s">
        <v>207</v>
      </c>
      <c r="AF1024">
        <v>0</v>
      </c>
      <c r="AI1024" t="s">
        <v>207</v>
      </c>
      <c r="AJ1024">
        <v>0</v>
      </c>
      <c r="AM1024" t="s">
        <v>207</v>
      </c>
      <c r="AN1024">
        <v>0</v>
      </c>
      <c r="AQ1024" t="s">
        <v>207</v>
      </c>
      <c r="AR1024">
        <v>724</v>
      </c>
      <c r="AT1024" t="s">
        <v>70</v>
      </c>
      <c r="AU1024">
        <v>724</v>
      </c>
    </row>
    <row r="1025" spans="1:47" x14ac:dyDescent="0.35">
      <c r="C1025" t="s">
        <v>141</v>
      </c>
      <c r="D1025">
        <v>82</v>
      </c>
      <c r="G1025" t="s">
        <v>141</v>
      </c>
      <c r="H1025">
        <v>0</v>
      </c>
      <c r="K1025" t="s">
        <v>141</v>
      </c>
      <c r="L1025">
        <v>0</v>
      </c>
      <c r="O1025" t="s">
        <v>141</v>
      </c>
      <c r="P1025">
        <v>0</v>
      </c>
      <c r="S1025" t="s">
        <v>141</v>
      </c>
      <c r="T1025">
        <v>0</v>
      </c>
      <c r="W1025" t="s">
        <v>141</v>
      </c>
      <c r="X1025">
        <v>0</v>
      </c>
      <c r="AA1025" t="s">
        <v>141</v>
      </c>
      <c r="AB1025">
        <v>0</v>
      </c>
      <c r="AE1025" t="s">
        <v>141</v>
      </c>
      <c r="AF1025">
        <v>0</v>
      </c>
      <c r="AI1025" t="s">
        <v>141</v>
      </c>
      <c r="AJ1025">
        <v>0</v>
      </c>
      <c r="AM1025" t="s">
        <v>141</v>
      </c>
      <c r="AN1025">
        <v>0</v>
      </c>
      <c r="AQ1025" t="s">
        <v>141</v>
      </c>
      <c r="AR1025">
        <v>201</v>
      </c>
      <c r="AT1025" t="s">
        <v>76</v>
      </c>
      <c r="AU1025">
        <v>213</v>
      </c>
    </row>
    <row r="1026" spans="1:47" x14ac:dyDescent="0.35">
      <c r="C1026" t="s">
        <v>208</v>
      </c>
      <c r="D1026">
        <v>0</v>
      </c>
      <c r="G1026" t="s">
        <v>208</v>
      </c>
      <c r="H1026">
        <v>0</v>
      </c>
      <c r="K1026" t="s">
        <v>208</v>
      </c>
      <c r="L1026">
        <v>0</v>
      </c>
      <c r="O1026" t="s">
        <v>208</v>
      </c>
      <c r="P1026">
        <v>0</v>
      </c>
      <c r="S1026" t="s">
        <v>208</v>
      </c>
      <c r="T1026">
        <v>0</v>
      </c>
      <c r="W1026" t="s">
        <v>208</v>
      </c>
      <c r="X1026">
        <v>0</v>
      </c>
      <c r="AA1026" t="s">
        <v>208</v>
      </c>
      <c r="AB1026">
        <v>0</v>
      </c>
      <c r="AE1026" t="s">
        <v>208</v>
      </c>
      <c r="AF1026">
        <v>0</v>
      </c>
      <c r="AI1026" t="s">
        <v>208</v>
      </c>
      <c r="AJ1026">
        <v>0</v>
      </c>
      <c r="AM1026" t="s">
        <v>208</v>
      </c>
      <c r="AN1026">
        <v>0</v>
      </c>
      <c r="AQ1026" t="s">
        <v>208</v>
      </c>
      <c r="AR1026">
        <v>0</v>
      </c>
      <c r="AT1026" t="s">
        <v>77</v>
      </c>
      <c r="AU1026">
        <v>0</v>
      </c>
    </row>
    <row r="1027" spans="1:47" x14ac:dyDescent="0.35">
      <c r="C1027" t="s">
        <v>209</v>
      </c>
      <c r="D1027">
        <v>0</v>
      </c>
      <c r="G1027" t="s">
        <v>209</v>
      </c>
      <c r="H1027">
        <v>0</v>
      </c>
      <c r="K1027" t="s">
        <v>209</v>
      </c>
      <c r="L1027">
        <v>0</v>
      </c>
      <c r="O1027" t="s">
        <v>209</v>
      </c>
      <c r="P1027">
        <v>0</v>
      </c>
      <c r="S1027" t="s">
        <v>209</v>
      </c>
      <c r="T1027">
        <v>0</v>
      </c>
      <c r="W1027" t="s">
        <v>209</v>
      </c>
      <c r="X1027">
        <v>0</v>
      </c>
      <c r="AA1027" t="s">
        <v>209</v>
      </c>
      <c r="AB1027">
        <v>0</v>
      </c>
      <c r="AE1027" t="s">
        <v>209</v>
      </c>
      <c r="AF1027">
        <v>0</v>
      </c>
      <c r="AI1027" t="s">
        <v>209</v>
      </c>
      <c r="AJ1027">
        <v>0</v>
      </c>
      <c r="AM1027" t="s">
        <v>209</v>
      </c>
      <c r="AN1027">
        <v>0</v>
      </c>
      <c r="AQ1027" t="s">
        <v>209</v>
      </c>
      <c r="AR1027">
        <v>2</v>
      </c>
      <c r="AT1027" t="s">
        <v>78</v>
      </c>
      <c r="AU1027">
        <v>3630</v>
      </c>
    </row>
    <row r="1028" spans="1:47" x14ac:dyDescent="0.35">
      <c r="C1028" t="s">
        <v>134</v>
      </c>
      <c r="D1028">
        <v>1997</v>
      </c>
      <c r="G1028" t="s">
        <v>134</v>
      </c>
      <c r="H1028">
        <v>0</v>
      </c>
      <c r="K1028" t="s">
        <v>134</v>
      </c>
      <c r="L1028">
        <v>2508</v>
      </c>
      <c r="O1028" t="s">
        <v>134</v>
      </c>
      <c r="P1028">
        <v>0</v>
      </c>
      <c r="S1028" t="s">
        <v>134</v>
      </c>
      <c r="T1028">
        <v>0</v>
      </c>
      <c r="W1028" t="s">
        <v>134</v>
      </c>
      <c r="X1028">
        <v>0</v>
      </c>
      <c r="AA1028" t="s">
        <v>134</v>
      </c>
      <c r="AB1028">
        <v>0</v>
      </c>
      <c r="AE1028" t="s">
        <v>134</v>
      </c>
      <c r="AF1028">
        <v>0</v>
      </c>
      <c r="AI1028" t="s">
        <v>134</v>
      </c>
      <c r="AJ1028">
        <v>0</v>
      </c>
      <c r="AM1028" t="s">
        <v>134</v>
      </c>
      <c r="AN1028">
        <v>0</v>
      </c>
      <c r="AQ1028" t="s">
        <v>134</v>
      </c>
      <c r="AR1028">
        <v>4743</v>
      </c>
      <c r="AT1028" t="s">
        <v>67</v>
      </c>
      <c r="AU1028">
        <v>4361</v>
      </c>
    </row>
    <row r="1029" spans="1:47" x14ac:dyDescent="0.35">
      <c r="C1029" t="s">
        <v>142</v>
      </c>
      <c r="D1029">
        <v>8787</v>
      </c>
      <c r="G1029" t="s">
        <v>142</v>
      </c>
      <c r="H1029">
        <v>0</v>
      </c>
      <c r="K1029" t="s">
        <v>142</v>
      </c>
      <c r="L1029">
        <v>10536</v>
      </c>
      <c r="O1029" t="s">
        <v>142</v>
      </c>
      <c r="P1029">
        <v>0</v>
      </c>
      <c r="S1029" t="s">
        <v>142</v>
      </c>
      <c r="T1029">
        <v>0</v>
      </c>
      <c r="W1029" t="s">
        <v>142</v>
      </c>
      <c r="X1029">
        <v>0</v>
      </c>
      <c r="AA1029" t="s">
        <v>142</v>
      </c>
      <c r="AB1029">
        <v>0</v>
      </c>
      <c r="AE1029" t="s">
        <v>142</v>
      </c>
      <c r="AF1029">
        <v>0</v>
      </c>
      <c r="AI1029" t="s">
        <v>142</v>
      </c>
      <c r="AJ1029">
        <v>0</v>
      </c>
      <c r="AM1029" t="s">
        <v>142</v>
      </c>
      <c r="AN1029">
        <v>0</v>
      </c>
      <c r="AQ1029" t="s">
        <v>142</v>
      </c>
      <c r="AR1029">
        <v>71119</v>
      </c>
      <c r="AT1029" t="s">
        <v>80</v>
      </c>
      <c r="AU1029">
        <v>1963</v>
      </c>
    </row>
    <row r="1030" spans="1:47" x14ac:dyDescent="0.35">
      <c r="C1030" t="s">
        <v>83</v>
      </c>
      <c r="D1030">
        <v>130</v>
      </c>
      <c r="G1030" t="s">
        <v>83</v>
      </c>
      <c r="H1030">
        <v>0</v>
      </c>
      <c r="K1030" t="s">
        <v>83</v>
      </c>
      <c r="L1030">
        <v>0</v>
      </c>
      <c r="O1030" t="s">
        <v>83</v>
      </c>
      <c r="P1030">
        <v>0</v>
      </c>
      <c r="S1030" t="s">
        <v>83</v>
      </c>
      <c r="T1030">
        <v>0</v>
      </c>
      <c r="W1030" t="s">
        <v>83</v>
      </c>
      <c r="X1030">
        <v>0</v>
      </c>
      <c r="AA1030" t="s">
        <v>83</v>
      </c>
      <c r="AB1030">
        <v>0</v>
      </c>
      <c r="AE1030" t="s">
        <v>83</v>
      </c>
      <c r="AF1030">
        <v>0</v>
      </c>
      <c r="AI1030" t="s">
        <v>83</v>
      </c>
      <c r="AJ1030">
        <v>0</v>
      </c>
      <c r="AM1030" t="s">
        <v>83</v>
      </c>
      <c r="AN1030">
        <v>0</v>
      </c>
      <c r="AQ1030" t="s">
        <v>83</v>
      </c>
      <c r="AR1030">
        <v>1358</v>
      </c>
      <c r="AT1030" t="s">
        <v>83</v>
      </c>
      <c r="AU1030">
        <v>103</v>
      </c>
    </row>
    <row r="1031" spans="1:47" x14ac:dyDescent="0.35">
      <c r="C1031" t="s">
        <v>84</v>
      </c>
      <c r="D1031">
        <v>0</v>
      </c>
      <c r="G1031" t="s">
        <v>84</v>
      </c>
      <c r="H1031">
        <v>0</v>
      </c>
      <c r="K1031" t="s">
        <v>84</v>
      </c>
      <c r="L1031">
        <v>0</v>
      </c>
      <c r="O1031" t="s">
        <v>84</v>
      </c>
      <c r="P1031">
        <v>0</v>
      </c>
      <c r="S1031" t="s">
        <v>84</v>
      </c>
      <c r="T1031">
        <v>0</v>
      </c>
      <c r="W1031" t="s">
        <v>84</v>
      </c>
      <c r="X1031">
        <v>0</v>
      </c>
      <c r="AA1031" t="s">
        <v>84</v>
      </c>
      <c r="AB1031">
        <v>0</v>
      </c>
      <c r="AE1031" t="s">
        <v>84</v>
      </c>
      <c r="AF1031">
        <v>0</v>
      </c>
      <c r="AI1031" t="s">
        <v>84</v>
      </c>
      <c r="AJ1031">
        <v>0</v>
      </c>
      <c r="AM1031" t="s">
        <v>84</v>
      </c>
      <c r="AN1031">
        <v>0</v>
      </c>
      <c r="AQ1031" t="s">
        <v>84</v>
      </c>
      <c r="AR1031">
        <v>0</v>
      </c>
      <c r="AT1031" t="s">
        <v>84</v>
      </c>
      <c r="AU1031">
        <v>0</v>
      </c>
    </row>
    <row r="1032" spans="1:47" x14ac:dyDescent="0.35">
      <c r="C1032" t="s">
        <v>126</v>
      </c>
      <c r="D1032">
        <v>0</v>
      </c>
      <c r="G1032" t="s">
        <v>126</v>
      </c>
      <c r="H1032">
        <v>0</v>
      </c>
      <c r="K1032" t="s">
        <v>223</v>
      </c>
      <c r="L1032">
        <v>0</v>
      </c>
      <c r="O1032" t="s">
        <v>126</v>
      </c>
      <c r="P1032">
        <v>0</v>
      </c>
      <c r="S1032" t="s">
        <v>126</v>
      </c>
      <c r="T1032">
        <v>0</v>
      </c>
      <c r="W1032" t="s">
        <v>126</v>
      </c>
      <c r="X1032">
        <v>0</v>
      </c>
      <c r="AA1032" t="s">
        <v>126</v>
      </c>
      <c r="AB1032">
        <v>0</v>
      </c>
      <c r="AE1032" t="s">
        <v>126</v>
      </c>
      <c r="AF1032">
        <v>0</v>
      </c>
      <c r="AI1032" t="s">
        <v>126</v>
      </c>
      <c r="AJ1032">
        <v>0</v>
      </c>
      <c r="AM1032" t="s">
        <v>126</v>
      </c>
      <c r="AN1032">
        <v>0</v>
      </c>
      <c r="AQ1032" t="s">
        <v>126</v>
      </c>
      <c r="AR1032">
        <v>2</v>
      </c>
      <c r="AT1032" t="s">
        <v>86</v>
      </c>
      <c r="AU1032">
        <v>2</v>
      </c>
    </row>
    <row r="1033" spans="1:47" x14ac:dyDescent="0.35">
      <c r="C1033" t="s">
        <v>87</v>
      </c>
      <c r="D1033">
        <v>0</v>
      </c>
      <c r="G1033" t="s">
        <v>87</v>
      </c>
      <c r="H1033">
        <v>0</v>
      </c>
      <c r="K1033" t="s">
        <v>87</v>
      </c>
      <c r="L1033">
        <v>0</v>
      </c>
      <c r="O1033" t="s">
        <v>87</v>
      </c>
      <c r="P1033">
        <v>0</v>
      </c>
      <c r="S1033" t="s">
        <v>87</v>
      </c>
      <c r="T1033">
        <v>0</v>
      </c>
      <c r="W1033" t="s">
        <v>87</v>
      </c>
      <c r="X1033">
        <v>0</v>
      </c>
      <c r="AA1033" t="s">
        <v>87</v>
      </c>
      <c r="AB1033">
        <v>0</v>
      </c>
      <c r="AE1033" t="s">
        <v>87</v>
      </c>
      <c r="AF1033">
        <v>0</v>
      </c>
      <c r="AI1033" t="s">
        <v>87</v>
      </c>
      <c r="AJ1033">
        <v>0</v>
      </c>
      <c r="AM1033" t="s">
        <v>87</v>
      </c>
      <c r="AN1033">
        <v>0</v>
      </c>
      <c r="AQ1033" t="s">
        <v>87</v>
      </c>
      <c r="AR1033">
        <v>4710</v>
      </c>
      <c r="AT1033" t="s">
        <v>87</v>
      </c>
      <c r="AU1033">
        <v>15200</v>
      </c>
    </row>
    <row r="1034" spans="1:47" x14ac:dyDescent="0.35">
      <c r="A1034" t="s">
        <v>191</v>
      </c>
      <c r="B1034">
        <v>34273295.000000015</v>
      </c>
      <c r="C1034" t="s">
        <v>135</v>
      </c>
      <c r="D1034">
        <v>6740</v>
      </c>
      <c r="E1034" t="s">
        <v>191</v>
      </c>
      <c r="F1034">
        <v>35273569.999999993</v>
      </c>
      <c r="G1034" t="s">
        <v>135</v>
      </c>
      <c r="H1034">
        <v>0</v>
      </c>
      <c r="I1034" t="s">
        <v>191</v>
      </c>
      <c r="J1034">
        <v>36336539.50000003</v>
      </c>
      <c r="K1034" t="s">
        <v>135</v>
      </c>
      <c r="L1034">
        <v>0</v>
      </c>
      <c r="M1034" t="s">
        <v>191</v>
      </c>
      <c r="N1034">
        <v>37477355.999999978</v>
      </c>
      <c r="O1034" t="s">
        <v>135</v>
      </c>
      <c r="P1034">
        <v>7290</v>
      </c>
      <c r="Q1034" t="s">
        <v>191</v>
      </c>
      <c r="R1034">
        <v>38748298.999999978</v>
      </c>
      <c r="S1034" t="s">
        <v>135</v>
      </c>
      <c r="T1034">
        <v>42</v>
      </c>
      <c r="U1034" t="s">
        <v>191</v>
      </c>
      <c r="V1034">
        <v>40127084.999999978</v>
      </c>
      <c r="W1034" t="s">
        <v>135</v>
      </c>
      <c r="X1034">
        <v>13836</v>
      </c>
      <c r="Y1034" t="s">
        <v>191</v>
      </c>
      <c r="Z1034">
        <v>41515395.000000015</v>
      </c>
      <c r="AA1034" t="s">
        <v>135</v>
      </c>
      <c r="AB1034">
        <v>0</v>
      </c>
      <c r="AC1034" t="s">
        <v>191</v>
      </c>
      <c r="AD1034">
        <v>42949080.000000015</v>
      </c>
      <c r="AE1034" t="s">
        <v>135</v>
      </c>
      <c r="AF1034">
        <v>0</v>
      </c>
      <c r="AG1034" t="s">
        <v>191</v>
      </c>
      <c r="AH1034">
        <v>44404611.000000007</v>
      </c>
      <c r="AI1034" t="s">
        <v>135</v>
      </c>
      <c r="AJ1034">
        <v>14062</v>
      </c>
      <c r="AK1034" t="s">
        <v>191</v>
      </c>
      <c r="AL1034">
        <v>45853778.000000022</v>
      </c>
      <c r="AM1034" t="s">
        <v>135</v>
      </c>
      <c r="AN1034">
        <v>0</v>
      </c>
      <c r="AO1034" t="s">
        <v>191</v>
      </c>
      <c r="AP1034">
        <v>47249584.999999978</v>
      </c>
      <c r="AQ1034" t="s">
        <v>135</v>
      </c>
      <c r="AR1034">
        <v>17454</v>
      </c>
      <c r="AS1034" t="s">
        <v>191</v>
      </c>
      <c r="AT1034" t="s">
        <v>148</v>
      </c>
      <c r="AU1034">
        <v>17186</v>
      </c>
    </row>
    <row r="1035" spans="1:47" x14ac:dyDescent="0.35">
      <c r="C1035" t="s">
        <v>139</v>
      </c>
      <c r="D1035">
        <v>81632</v>
      </c>
      <c r="G1035" t="s">
        <v>139</v>
      </c>
      <c r="H1035">
        <v>80298</v>
      </c>
      <c r="K1035" t="s">
        <v>139</v>
      </c>
      <c r="L1035">
        <v>90776</v>
      </c>
      <c r="O1035" t="s">
        <v>139</v>
      </c>
      <c r="P1035">
        <v>101362</v>
      </c>
      <c r="S1035" t="s">
        <v>139</v>
      </c>
      <c r="T1035">
        <v>110456</v>
      </c>
      <c r="W1035" t="s">
        <v>139</v>
      </c>
      <c r="X1035">
        <v>120912</v>
      </c>
      <c r="AA1035" t="s">
        <v>139</v>
      </c>
      <c r="AB1035">
        <v>105814</v>
      </c>
      <c r="AE1035" t="s">
        <v>139</v>
      </c>
      <c r="AF1035">
        <v>0</v>
      </c>
      <c r="AI1035" t="s">
        <v>139</v>
      </c>
      <c r="AJ1035">
        <v>102654</v>
      </c>
      <c r="AM1035" t="s">
        <v>139</v>
      </c>
      <c r="AN1035">
        <v>0</v>
      </c>
      <c r="AQ1035" t="s">
        <v>139</v>
      </c>
      <c r="AR1035">
        <v>148394</v>
      </c>
      <c r="AT1035" t="s">
        <v>139</v>
      </c>
      <c r="AU1035">
        <v>16407</v>
      </c>
    </row>
    <row r="1036" spans="1:47" x14ac:dyDescent="0.35">
      <c r="C1036" t="s">
        <v>138</v>
      </c>
      <c r="D1036">
        <v>0</v>
      </c>
      <c r="G1036" t="s">
        <v>138</v>
      </c>
      <c r="H1036">
        <v>14000</v>
      </c>
      <c r="K1036" t="s">
        <v>138</v>
      </c>
      <c r="L1036">
        <v>0</v>
      </c>
      <c r="O1036" t="s">
        <v>138</v>
      </c>
      <c r="P1036">
        <v>17630</v>
      </c>
      <c r="S1036" t="s">
        <v>138</v>
      </c>
      <c r="T1036">
        <v>19604</v>
      </c>
      <c r="W1036" t="s">
        <v>138</v>
      </c>
      <c r="X1036">
        <v>0</v>
      </c>
      <c r="AA1036" t="s">
        <v>138</v>
      </c>
      <c r="AB1036">
        <v>0</v>
      </c>
      <c r="AE1036" t="s">
        <v>138</v>
      </c>
      <c r="AF1036">
        <v>0</v>
      </c>
      <c r="AI1036" t="s">
        <v>138</v>
      </c>
      <c r="AJ1036">
        <v>47092</v>
      </c>
      <c r="AM1036" t="s">
        <v>138</v>
      </c>
      <c r="AN1036">
        <v>0</v>
      </c>
      <c r="AQ1036" t="s">
        <v>138</v>
      </c>
      <c r="AR1036">
        <v>65914</v>
      </c>
      <c r="AT1036" t="s">
        <v>138</v>
      </c>
      <c r="AU1036">
        <v>7237</v>
      </c>
    </row>
    <row r="1037" spans="1:47" x14ac:dyDescent="0.35">
      <c r="C1037" t="s">
        <v>82</v>
      </c>
      <c r="D1037">
        <v>72</v>
      </c>
      <c r="G1037" t="s">
        <v>82</v>
      </c>
      <c r="H1037">
        <v>0</v>
      </c>
      <c r="K1037" t="s">
        <v>82</v>
      </c>
      <c r="L1037">
        <v>0</v>
      </c>
      <c r="O1037" t="s">
        <v>82</v>
      </c>
      <c r="P1037">
        <v>0</v>
      </c>
      <c r="S1037" t="s">
        <v>82</v>
      </c>
      <c r="T1037">
        <v>0</v>
      </c>
      <c r="W1037" t="s">
        <v>82</v>
      </c>
      <c r="X1037">
        <v>0</v>
      </c>
      <c r="AA1037" t="s">
        <v>82</v>
      </c>
      <c r="AB1037">
        <v>0</v>
      </c>
      <c r="AE1037" t="s">
        <v>82</v>
      </c>
      <c r="AF1037">
        <v>2202</v>
      </c>
      <c r="AI1037" t="s">
        <v>82</v>
      </c>
      <c r="AJ1037">
        <v>0</v>
      </c>
      <c r="AM1037" t="s">
        <v>82</v>
      </c>
      <c r="AN1037">
        <v>17</v>
      </c>
      <c r="AQ1037" t="s">
        <v>82</v>
      </c>
      <c r="AR1037">
        <v>170</v>
      </c>
      <c r="AT1037" t="s">
        <v>82</v>
      </c>
      <c r="AU1037">
        <v>324</v>
      </c>
    </row>
    <row r="1038" spans="1:47" x14ac:dyDescent="0.35">
      <c r="C1038" t="s">
        <v>60</v>
      </c>
      <c r="D1038">
        <v>0</v>
      </c>
      <c r="G1038" t="s">
        <v>60</v>
      </c>
      <c r="H1038">
        <v>0</v>
      </c>
      <c r="K1038" t="s">
        <v>60</v>
      </c>
      <c r="L1038">
        <v>0</v>
      </c>
      <c r="O1038" t="s">
        <v>60</v>
      </c>
      <c r="P1038">
        <v>0</v>
      </c>
      <c r="S1038" t="s">
        <v>60</v>
      </c>
      <c r="T1038">
        <v>0</v>
      </c>
      <c r="W1038" t="s">
        <v>60</v>
      </c>
      <c r="X1038">
        <v>0</v>
      </c>
      <c r="AA1038" t="s">
        <v>60</v>
      </c>
      <c r="AB1038">
        <v>0</v>
      </c>
      <c r="AE1038" t="s">
        <v>60</v>
      </c>
      <c r="AF1038">
        <v>1045</v>
      </c>
      <c r="AI1038" t="s">
        <v>60</v>
      </c>
      <c r="AJ1038">
        <v>0</v>
      </c>
      <c r="AM1038" t="s">
        <v>60</v>
      </c>
      <c r="AN1038">
        <v>111</v>
      </c>
      <c r="AQ1038" t="s">
        <v>60</v>
      </c>
      <c r="AR1038">
        <v>0</v>
      </c>
      <c r="AT1038" t="s">
        <v>60</v>
      </c>
      <c r="AU1038">
        <v>26</v>
      </c>
    </row>
    <row r="1039" spans="1:47" x14ac:dyDescent="0.35">
      <c r="C1039" t="s">
        <v>127</v>
      </c>
      <c r="D1039">
        <v>0</v>
      </c>
      <c r="G1039" t="s">
        <v>127</v>
      </c>
      <c r="H1039">
        <v>0</v>
      </c>
      <c r="K1039" t="s">
        <v>127</v>
      </c>
      <c r="L1039">
        <v>0</v>
      </c>
      <c r="O1039" t="s">
        <v>127</v>
      </c>
      <c r="P1039">
        <v>179175</v>
      </c>
      <c r="S1039" t="s">
        <v>127</v>
      </c>
      <c r="T1039">
        <v>0</v>
      </c>
      <c r="W1039" t="s">
        <v>127</v>
      </c>
      <c r="X1039">
        <v>0</v>
      </c>
      <c r="AA1039" t="s">
        <v>127</v>
      </c>
      <c r="AB1039">
        <v>0</v>
      </c>
      <c r="AE1039" t="s">
        <v>127</v>
      </c>
      <c r="AF1039">
        <v>179000</v>
      </c>
      <c r="AI1039" t="s">
        <v>127</v>
      </c>
      <c r="AJ1039">
        <v>0</v>
      </c>
      <c r="AM1039" t="s">
        <v>127</v>
      </c>
      <c r="AN1039">
        <v>0</v>
      </c>
      <c r="AQ1039" t="s">
        <v>127</v>
      </c>
      <c r="AR1039">
        <v>0</v>
      </c>
      <c r="AT1039" t="s">
        <v>58</v>
      </c>
      <c r="AU1039">
        <v>0</v>
      </c>
    </row>
    <row r="1040" spans="1:47" x14ac:dyDescent="0.35">
      <c r="C1040" t="s">
        <v>61</v>
      </c>
      <c r="D1040">
        <v>0</v>
      </c>
      <c r="G1040" t="s">
        <v>61</v>
      </c>
      <c r="H1040">
        <v>0</v>
      </c>
      <c r="K1040" t="s">
        <v>61</v>
      </c>
      <c r="L1040">
        <v>0</v>
      </c>
      <c r="O1040" t="s">
        <v>61</v>
      </c>
      <c r="P1040">
        <v>0</v>
      </c>
      <c r="S1040" t="s">
        <v>61</v>
      </c>
      <c r="T1040">
        <v>0</v>
      </c>
      <c r="W1040" t="s">
        <v>61</v>
      </c>
      <c r="X1040">
        <v>0</v>
      </c>
      <c r="AA1040" t="s">
        <v>61</v>
      </c>
      <c r="AB1040">
        <v>0</v>
      </c>
      <c r="AE1040" t="s">
        <v>61</v>
      </c>
      <c r="AF1040">
        <v>0</v>
      </c>
      <c r="AI1040" t="s">
        <v>61</v>
      </c>
      <c r="AJ1040">
        <v>0</v>
      </c>
      <c r="AM1040" t="s">
        <v>61</v>
      </c>
      <c r="AN1040">
        <v>0</v>
      </c>
      <c r="AQ1040" t="s">
        <v>61</v>
      </c>
      <c r="AR1040">
        <v>0</v>
      </c>
      <c r="AT1040" t="s">
        <v>61</v>
      </c>
      <c r="AU1040">
        <v>3</v>
      </c>
    </row>
    <row r="1041" spans="3:47" x14ac:dyDescent="0.35">
      <c r="C1041" t="s">
        <v>62</v>
      </c>
      <c r="D1041">
        <v>0</v>
      </c>
      <c r="G1041" t="s">
        <v>62</v>
      </c>
      <c r="H1041">
        <v>0</v>
      </c>
      <c r="K1041" t="s">
        <v>62</v>
      </c>
      <c r="L1041">
        <v>0</v>
      </c>
      <c r="O1041" t="s">
        <v>62</v>
      </c>
      <c r="P1041">
        <v>0</v>
      </c>
      <c r="S1041" t="s">
        <v>62</v>
      </c>
      <c r="T1041">
        <v>5112</v>
      </c>
      <c r="W1041" t="s">
        <v>62</v>
      </c>
      <c r="X1041">
        <v>0</v>
      </c>
      <c r="AA1041" t="s">
        <v>62</v>
      </c>
      <c r="AB1041">
        <v>0</v>
      </c>
      <c r="AE1041" t="s">
        <v>62</v>
      </c>
      <c r="AF1041">
        <v>0</v>
      </c>
      <c r="AI1041" t="s">
        <v>62</v>
      </c>
      <c r="AJ1041">
        <v>0</v>
      </c>
      <c r="AM1041" t="s">
        <v>62</v>
      </c>
      <c r="AN1041">
        <v>0</v>
      </c>
      <c r="AQ1041" t="s">
        <v>62</v>
      </c>
      <c r="AR1041">
        <v>0</v>
      </c>
      <c r="AT1041" t="s">
        <v>62</v>
      </c>
      <c r="AU1041">
        <v>16</v>
      </c>
    </row>
    <row r="1042" spans="3:47" x14ac:dyDescent="0.35">
      <c r="C1042" t="s">
        <v>203</v>
      </c>
      <c r="D1042">
        <v>0</v>
      </c>
      <c r="G1042" t="s">
        <v>203</v>
      </c>
      <c r="H1042">
        <v>0</v>
      </c>
      <c r="K1042" t="s">
        <v>203</v>
      </c>
      <c r="L1042">
        <v>0</v>
      </c>
      <c r="O1042" t="s">
        <v>203</v>
      </c>
      <c r="P1042">
        <v>0</v>
      </c>
      <c r="S1042" t="s">
        <v>203</v>
      </c>
      <c r="T1042">
        <v>0</v>
      </c>
      <c r="W1042" t="s">
        <v>203</v>
      </c>
      <c r="X1042">
        <v>0</v>
      </c>
      <c r="AA1042" t="s">
        <v>203</v>
      </c>
      <c r="AB1042">
        <v>0</v>
      </c>
      <c r="AE1042" t="s">
        <v>203</v>
      </c>
      <c r="AF1042">
        <v>0</v>
      </c>
      <c r="AI1042" t="s">
        <v>203</v>
      </c>
      <c r="AJ1042">
        <v>0</v>
      </c>
      <c r="AM1042" t="s">
        <v>203</v>
      </c>
      <c r="AN1042">
        <v>0</v>
      </c>
      <c r="AQ1042" t="s">
        <v>203</v>
      </c>
      <c r="AR1042">
        <v>0</v>
      </c>
      <c r="AT1042" t="s">
        <v>64</v>
      </c>
      <c r="AU1042">
        <v>527</v>
      </c>
    </row>
    <row r="1043" spans="3:47" x14ac:dyDescent="0.35">
      <c r="C1043" t="s">
        <v>204</v>
      </c>
      <c r="D1043">
        <v>0</v>
      </c>
      <c r="G1043" t="s">
        <v>204</v>
      </c>
      <c r="H1043">
        <v>0</v>
      </c>
      <c r="K1043" t="s">
        <v>204</v>
      </c>
      <c r="L1043">
        <v>0</v>
      </c>
      <c r="O1043" t="s">
        <v>204</v>
      </c>
      <c r="P1043">
        <v>0</v>
      </c>
      <c r="S1043" t="s">
        <v>204</v>
      </c>
      <c r="T1043">
        <v>0</v>
      </c>
      <c r="W1043" t="s">
        <v>204</v>
      </c>
      <c r="X1043">
        <v>0</v>
      </c>
      <c r="AA1043" t="s">
        <v>204</v>
      </c>
      <c r="AB1043">
        <v>0</v>
      </c>
      <c r="AE1043" t="s">
        <v>204</v>
      </c>
      <c r="AF1043">
        <v>0</v>
      </c>
      <c r="AI1043" t="s">
        <v>204</v>
      </c>
      <c r="AJ1043">
        <v>0</v>
      </c>
      <c r="AM1043" t="s">
        <v>204</v>
      </c>
      <c r="AN1043">
        <v>0</v>
      </c>
      <c r="AQ1043" t="s">
        <v>204</v>
      </c>
      <c r="AR1043">
        <v>0</v>
      </c>
      <c r="AT1043" t="s">
        <v>65</v>
      </c>
      <c r="AU1043">
        <v>0</v>
      </c>
    </row>
    <row r="1044" spans="3:47" x14ac:dyDescent="0.35">
      <c r="C1044" t="s">
        <v>205</v>
      </c>
      <c r="D1044">
        <v>0</v>
      </c>
      <c r="G1044" t="s">
        <v>205</v>
      </c>
      <c r="H1044">
        <v>0</v>
      </c>
      <c r="K1044" t="s">
        <v>205</v>
      </c>
      <c r="L1044">
        <v>0</v>
      </c>
      <c r="O1044" t="s">
        <v>205</v>
      </c>
      <c r="P1044">
        <v>227</v>
      </c>
      <c r="S1044" t="s">
        <v>205</v>
      </c>
      <c r="T1044">
        <v>0</v>
      </c>
      <c r="W1044" t="s">
        <v>205</v>
      </c>
      <c r="X1044">
        <v>0</v>
      </c>
      <c r="AA1044" t="s">
        <v>205</v>
      </c>
      <c r="AB1044">
        <v>0</v>
      </c>
      <c r="AE1044" t="s">
        <v>205</v>
      </c>
      <c r="AF1044">
        <v>30</v>
      </c>
      <c r="AI1044" t="s">
        <v>205</v>
      </c>
      <c r="AJ1044">
        <v>0</v>
      </c>
      <c r="AM1044" t="s">
        <v>205</v>
      </c>
      <c r="AN1044">
        <v>0</v>
      </c>
      <c r="AQ1044" t="s">
        <v>205</v>
      </c>
      <c r="AR1044">
        <v>0</v>
      </c>
      <c r="AT1044" t="s">
        <v>66</v>
      </c>
      <c r="AU1044">
        <v>0</v>
      </c>
    </row>
    <row r="1045" spans="3:47" x14ac:dyDescent="0.35">
      <c r="C1045" t="s">
        <v>133</v>
      </c>
      <c r="D1045">
        <v>0</v>
      </c>
      <c r="G1045" t="s">
        <v>133</v>
      </c>
      <c r="H1045">
        <v>0</v>
      </c>
      <c r="K1045" t="s">
        <v>133</v>
      </c>
      <c r="L1045">
        <v>0</v>
      </c>
      <c r="O1045" t="s">
        <v>133</v>
      </c>
      <c r="P1045">
        <v>0</v>
      </c>
      <c r="S1045" t="s">
        <v>133</v>
      </c>
      <c r="T1045">
        <v>0</v>
      </c>
      <c r="W1045" t="s">
        <v>133</v>
      </c>
      <c r="X1045">
        <v>0</v>
      </c>
      <c r="AA1045" t="s">
        <v>133</v>
      </c>
      <c r="AB1045">
        <v>3874</v>
      </c>
      <c r="AE1045" t="s">
        <v>133</v>
      </c>
      <c r="AF1045">
        <v>0</v>
      </c>
      <c r="AI1045" t="s">
        <v>133</v>
      </c>
      <c r="AJ1045">
        <v>0</v>
      </c>
      <c r="AM1045" t="s">
        <v>133</v>
      </c>
      <c r="AN1045">
        <v>0</v>
      </c>
      <c r="AQ1045" t="s">
        <v>133</v>
      </c>
      <c r="AR1045">
        <v>3309</v>
      </c>
      <c r="AT1045" t="s">
        <v>79</v>
      </c>
      <c r="AU1045">
        <v>526</v>
      </c>
    </row>
    <row r="1046" spans="3:47" x14ac:dyDescent="0.35">
      <c r="C1046" t="s">
        <v>206</v>
      </c>
      <c r="D1046">
        <v>0</v>
      </c>
      <c r="G1046" t="s">
        <v>206</v>
      </c>
      <c r="H1046">
        <v>0</v>
      </c>
      <c r="K1046" t="s">
        <v>206</v>
      </c>
      <c r="L1046">
        <v>0</v>
      </c>
      <c r="O1046" t="s">
        <v>206</v>
      </c>
      <c r="P1046">
        <v>0</v>
      </c>
      <c r="S1046" t="s">
        <v>206</v>
      </c>
      <c r="T1046">
        <v>0</v>
      </c>
      <c r="W1046" t="s">
        <v>206</v>
      </c>
      <c r="X1046">
        <v>0</v>
      </c>
      <c r="AA1046" t="s">
        <v>206</v>
      </c>
      <c r="AB1046">
        <v>0</v>
      </c>
      <c r="AE1046" t="s">
        <v>206</v>
      </c>
      <c r="AF1046">
        <v>0</v>
      </c>
      <c r="AI1046" t="s">
        <v>206</v>
      </c>
      <c r="AJ1046">
        <v>0</v>
      </c>
      <c r="AM1046" t="s">
        <v>206</v>
      </c>
      <c r="AN1046">
        <v>0</v>
      </c>
      <c r="AQ1046" t="s">
        <v>206</v>
      </c>
      <c r="AR1046">
        <v>14531</v>
      </c>
      <c r="AT1046" t="s">
        <v>68</v>
      </c>
      <c r="AU1046">
        <v>3505</v>
      </c>
    </row>
    <row r="1047" spans="3:47" x14ac:dyDescent="0.35">
      <c r="C1047" t="s">
        <v>136</v>
      </c>
      <c r="D1047">
        <v>0</v>
      </c>
      <c r="G1047" t="s">
        <v>136</v>
      </c>
      <c r="H1047">
        <v>0</v>
      </c>
      <c r="K1047" t="s">
        <v>136</v>
      </c>
      <c r="L1047">
        <v>0</v>
      </c>
      <c r="O1047" t="s">
        <v>136</v>
      </c>
      <c r="P1047">
        <v>121</v>
      </c>
      <c r="S1047" t="s">
        <v>136</v>
      </c>
      <c r="T1047">
        <v>0</v>
      </c>
      <c r="W1047" t="s">
        <v>136</v>
      </c>
      <c r="X1047">
        <v>0</v>
      </c>
      <c r="AA1047" t="s">
        <v>136</v>
      </c>
      <c r="AB1047">
        <v>0</v>
      </c>
      <c r="AE1047" t="s">
        <v>136</v>
      </c>
      <c r="AF1047">
        <v>0</v>
      </c>
      <c r="AI1047" t="s">
        <v>136</v>
      </c>
      <c r="AJ1047">
        <v>0</v>
      </c>
      <c r="AM1047" t="s">
        <v>136</v>
      </c>
      <c r="AN1047">
        <v>0</v>
      </c>
      <c r="AQ1047" t="s">
        <v>136</v>
      </c>
      <c r="AR1047">
        <v>1249</v>
      </c>
      <c r="AT1047" t="s">
        <v>69</v>
      </c>
      <c r="AU1047">
        <v>42</v>
      </c>
    </row>
    <row r="1048" spans="3:47" x14ac:dyDescent="0.35">
      <c r="C1048" t="s">
        <v>207</v>
      </c>
      <c r="D1048">
        <v>0</v>
      </c>
      <c r="G1048" t="s">
        <v>207</v>
      </c>
      <c r="H1048">
        <v>0</v>
      </c>
      <c r="K1048" t="s">
        <v>207</v>
      </c>
      <c r="L1048">
        <v>0</v>
      </c>
      <c r="O1048" t="s">
        <v>207</v>
      </c>
      <c r="P1048">
        <v>0</v>
      </c>
      <c r="S1048" t="s">
        <v>207</v>
      </c>
      <c r="T1048">
        <v>0</v>
      </c>
      <c r="W1048" t="s">
        <v>207</v>
      </c>
      <c r="X1048">
        <v>0</v>
      </c>
      <c r="AA1048" t="s">
        <v>207</v>
      </c>
      <c r="AB1048">
        <v>0</v>
      </c>
      <c r="AE1048" t="s">
        <v>207</v>
      </c>
      <c r="AF1048">
        <v>0</v>
      </c>
      <c r="AI1048" t="s">
        <v>207</v>
      </c>
      <c r="AJ1048">
        <v>0</v>
      </c>
      <c r="AM1048" t="s">
        <v>207</v>
      </c>
      <c r="AN1048">
        <v>0</v>
      </c>
      <c r="AQ1048" t="s">
        <v>207</v>
      </c>
      <c r="AR1048">
        <v>0</v>
      </c>
      <c r="AT1048" t="s">
        <v>70</v>
      </c>
      <c r="AU1048">
        <v>0</v>
      </c>
    </row>
    <row r="1049" spans="3:47" x14ac:dyDescent="0.35">
      <c r="C1049" t="s">
        <v>141</v>
      </c>
      <c r="D1049">
        <v>0</v>
      </c>
      <c r="G1049" t="s">
        <v>141</v>
      </c>
      <c r="H1049">
        <v>0</v>
      </c>
      <c r="K1049" t="s">
        <v>141</v>
      </c>
      <c r="L1049">
        <v>0</v>
      </c>
      <c r="O1049" t="s">
        <v>141</v>
      </c>
      <c r="P1049">
        <v>0</v>
      </c>
      <c r="S1049" t="s">
        <v>141</v>
      </c>
      <c r="T1049">
        <v>0</v>
      </c>
      <c r="W1049" t="s">
        <v>141</v>
      </c>
      <c r="X1049">
        <v>0</v>
      </c>
      <c r="AA1049" t="s">
        <v>141</v>
      </c>
      <c r="AB1049">
        <v>0</v>
      </c>
      <c r="AE1049" t="s">
        <v>141</v>
      </c>
      <c r="AF1049">
        <v>0</v>
      </c>
      <c r="AI1049" t="s">
        <v>141</v>
      </c>
      <c r="AJ1049">
        <v>0</v>
      </c>
      <c r="AM1049" t="s">
        <v>141</v>
      </c>
      <c r="AN1049">
        <v>0</v>
      </c>
      <c r="AQ1049" t="s">
        <v>141</v>
      </c>
      <c r="AR1049">
        <v>0</v>
      </c>
      <c r="AT1049" t="s">
        <v>76</v>
      </c>
      <c r="AU1049">
        <v>9</v>
      </c>
    </row>
    <row r="1050" spans="3:47" x14ac:dyDescent="0.35">
      <c r="C1050" t="s">
        <v>208</v>
      </c>
      <c r="D1050">
        <v>0</v>
      </c>
      <c r="G1050" t="s">
        <v>208</v>
      </c>
      <c r="H1050">
        <v>0</v>
      </c>
      <c r="K1050" t="s">
        <v>208</v>
      </c>
      <c r="L1050">
        <v>0</v>
      </c>
      <c r="O1050" t="s">
        <v>208</v>
      </c>
      <c r="P1050">
        <v>0</v>
      </c>
      <c r="S1050" t="s">
        <v>208</v>
      </c>
      <c r="T1050">
        <v>0</v>
      </c>
      <c r="W1050" t="s">
        <v>208</v>
      </c>
      <c r="X1050">
        <v>0</v>
      </c>
      <c r="AA1050" t="s">
        <v>208</v>
      </c>
      <c r="AB1050">
        <v>0</v>
      </c>
      <c r="AE1050" t="s">
        <v>208</v>
      </c>
      <c r="AF1050">
        <v>0</v>
      </c>
      <c r="AI1050" t="s">
        <v>208</v>
      </c>
      <c r="AJ1050">
        <v>0</v>
      </c>
      <c r="AM1050" t="s">
        <v>208</v>
      </c>
      <c r="AN1050">
        <v>0</v>
      </c>
      <c r="AQ1050" t="s">
        <v>208</v>
      </c>
      <c r="AR1050">
        <v>0</v>
      </c>
      <c r="AT1050" t="s">
        <v>77</v>
      </c>
      <c r="AU1050">
        <v>0</v>
      </c>
    </row>
    <row r="1051" spans="3:47" x14ac:dyDescent="0.35">
      <c r="C1051" t="s">
        <v>209</v>
      </c>
      <c r="D1051">
        <v>0</v>
      </c>
      <c r="G1051" t="s">
        <v>209</v>
      </c>
      <c r="H1051">
        <v>0</v>
      </c>
      <c r="K1051" t="s">
        <v>209</v>
      </c>
      <c r="L1051">
        <v>0</v>
      </c>
      <c r="O1051" t="s">
        <v>209</v>
      </c>
      <c r="P1051">
        <v>0</v>
      </c>
      <c r="S1051" t="s">
        <v>209</v>
      </c>
      <c r="T1051">
        <v>0</v>
      </c>
      <c r="W1051" t="s">
        <v>209</v>
      </c>
      <c r="X1051">
        <v>0</v>
      </c>
      <c r="AA1051" t="s">
        <v>209</v>
      </c>
      <c r="AB1051">
        <v>0</v>
      </c>
      <c r="AE1051" t="s">
        <v>209</v>
      </c>
      <c r="AF1051">
        <v>0</v>
      </c>
      <c r="AI1051" t="s">
        <v>209</v>
      </c>
      <c r="AJ1051">
        <v>0</v>
      </c>
      <c r="AM1051" t="s">
        <v>209</v>
      </c>
      <c r="AN1051">
        <v>0</v>
      </c>
      <c r="AQ1051" t="s">
        <v>209</v>
      </c>
      <c r="AR1051">
        <v>0</v>
      </c>
      <c r="AT1051" t="s">
        <v>78</v>
      </c>
      <c r="AU1051">
        <v>0</v>
      </c>
    </row>
    <row r="1052" spans="3:47" x14ac:dyDescent="0.35">
      <c r="C1052" t="s">
        <v>134</v>
      </c>
      <c r="D1052">
        <v>0</v>
      </c>
      <c r="G1052" t="s">
        <v>134</v>
      </c>
      <c r="H1052">
        <v>0</v>
      </c>
      <c r="K1052" t="s">
        <v>134</v>
      </c>
      <c r="L1052">
        <v>0</v>
      </c>
      <c r="O1052" t="s">
        <v>134</v>
      </c>
      <c r="P1052">
        <v>2447</v>
      </c>
      <c r="S1052" t="s">
        <v>134</v>
      </c>
      <c r="T1052">
        <v>0</v>
      </c>
      <c r="W1052" t="s">
        <v>134</v>
      </c>
      <c r="X1052">
        <v>0</v>
      </c>
      <c r="AA1052" t="s">
        <v>134</v>
      </c>
      <c r="AB1052">
        <v>0</v>
      </c>
      <c r="AE1052" t="s">
        <v>134</v>
      </c>
      <c r="AF1052">
        <v>0</v>
      </c>
      <c r="AI1052" t="s">
        <v>134</v>
      </c>
      <c r="AJ1052">
        <v>0</v>
      </c>
      <c r="AM1052" t="s">
        <v>134</v>
      </c>
      <c r="AN1052">
        <v>0</v>
      </c>
      <c r="AQ1052" t="s">
        <v>134</v>
      </c>
      <c r="AR1052">
        <v>13380</v>
      </c>
      <c r="AT1052" t="s">
        <v>67</v>
      </c>
      <c r="AU1052">
        <v>3874</v>
      </c>
    </row>
    <row r="1053" spans="3:47" x14ac:dyDescent="0.35">
      <c r="C1053" t="s">
        <v>142</v>
      </c>
      <c r="D1053">
        <v>0</v>
      </c>
      <c r="G1053" t="s">
        <v>142</v>
      </c>
      <c r="H1053">
        <v>0</v>
      </c>
      <c r="K1053" t="s">
        <v>142</v>
      </c>
      <c r="L1053">
        <v>0</v>
      </c>
      <c r="O1053" t="s">
        <v>142</v>
      </c>
      <c r="P1053">
        <v>0</v>
      </c>
      <c r="S1053" t="s">
        <v>142</v>
      </c>
      <c r="T1053">
        <v>0</v>
      </c>
      <c r="W1053" t="s">
        <v>142</v>
      </c>
      <c r="X1053">
        <v>0</v>
      </c>
      <c r="AA1053" t="s">
        <v>142</v>
      </c>
      <c r="AB1053">
        <v>0</v>
      </c>
      <c r="AE1053" t="s">
        <v>142</v>
      </c>
      <c r="AF1053">
        <v>0</v>
      </c>
      <c r="AI1053" t="s">
        <v>142</v>
      </c>
      <c r="AJ1053">
        <v>0</v>
      </c>
      <c r="AM1053" t="s">
        <v>142</v>
      </c>
      <c r="AN1053">
        <v>0</v>
      </c>
      <c r="AQ1053" t="s">
        <v>142</v>
      </c>
      <c r="AR1053">
        <v>0</v>
      </c>
      <c r="AT1053" t="s">
        <v>80</v>
      </c>
      <c r="AU1053">
        <v>0</v>
      </c>
    </row>
    <row r="1054" spans="3:47" x14ac:dyDescent="0.35">
      <c r="C1054" t="s">
        <v>83</v>
      </c>
      <c r="D1054">
        <v>0</v>
      </c>
      <c r="G1054" t="s">
        <v>83</v>
      </c>
      <c r="H1054">
        <v>0</v>
      </c>
      <c r="K1054" t="s">
        <v>83</v>
      </c>
      <c r="L1054">
        <v>0</v>
      </c>
      <c r="O1054" t="s">
        <v>83</v>
      </c>
      <c r="P1054">
        <v>114</v>
      </c>
      <c r="S1054" t="s">
        <v>83</v>
      </c>
      <c r="T1054">
        <v>0</v>
      </c>
      <c r="W1054" t="s">
        <v>83</v>
      </c>
      <c r="X1054">
        <v>0</v>
      </c>
      <c r="AA1054" t="s">
        <v>83</v>
      </c>
      <c r="AB1054">
        <v>0</v>
      </c>
      <c r="AE1054" t="s">
        <v>83</v>
      </c>
      <c r="AF1054">
        <v>0</v>
      </c>
      <c r="AI1054" t="s">
        <v>83</v>
      </c>
      <c r="AJ1054">
        <v>0</v>
      </c>
      <c r="AM1054" t="s">
        <v>83</v>
      </c>
      <c r="AN1054">
        <v>0</v>
      </c>
      <c r="AQ1054" t="s">
        <v>83</v>
      </c>
      <c r="AR1054">
        <v>572</v>
      </c>
      <c r="AT1054" t="s">
        <v>83</v>
      </c>
      <c r="AU1054">
        <v>18</v>
      </c>
    </row>
    <row r="1055" spans="3:47" x14ac:dyDescent="0.35">
      <c r="C1055" t="s">
        <v>84</v>
      </c>
      <c r="D1055">
        <v>6046</v>
      </c>
      <c r="G1055" t="s">
        <v>84</v>
      </c>
      <c r="H1055">
        <v>0</v>
      </c>
      <c r="K1055" t="s">
        <v>84</v>
      </c>
      <c r="L1055">
        <v>0</v>
      </c>
      <c r="O1055" t="s">
        <v>84</v>
      </c>
      <c r="P1055">
        <v>0</v>
      </c>
      <c r="S1055" t="s">
        <v>84</v>
      </c>
      <c r="T1055">
        <v>0</v>
      </c>
      <c r="W1055" t="s">
        <v>84</v>
      </c>
      <c r="X1055">
        <v>0</v>
      </c>
      <c r="AA1055" t="s">
        <v>84</v>
      </c>
      <c r="AB1055">
        <v>0</v>
      </c>
      <c r="AE1055" t="s">
        <v>84</v>
      </c>
      <c r="AF1055">
        <v>0</v>
      </c>
      <c r="AI1055" t="s">
        <v>84</v>
      </c>
      <c r="AJ1055">
        <v>0</v>
      </c>
      <c r="AM1055" t="s">
        <v>84</v>
      </c>
      <c r="AN1055">
        <v>0</v>
      </c>
      <c r="AQ1055" t="s">
        <v>84</v>
      </c>
      <c r="AR1055">
        <v>0</v>
      </c>
      <c r="AT1055" t="s">
        <v>84</v>
      </c>
      <c r="AU1055">
        <v>0</v>
      </c>
    </row>
    <row r="1056" spans="3:47" x14ac:dyDescent="0.35">
      <c r="C1056" t="s">
        <v>126</v>
      </c>
      <c r="D1056">
        <v>0</v>
      </c>
      <c r="G1056" t="s">
        <v>126</v>
      </c>
      <c r="H1056">
        <v>0</v>
      </c>
      <c r="K1056" t="s">
        <v>223</v>
      </c>
      <c r="L1056">
        <v>0</v>
      </c>
      <c r="O1056" t="s">
        <v>126</v>
      </c>
      <c r="P1056">
        <v>0</v>
      </c>
      <c r="S1056" t="s">
        <v>126</v>
      </c>
      <c r="T1056">
        <v>0</v>
      </c>
      <c r="W1056" t="s">
        <v>126</v>
      </c>
      <c r="X1056">
        <v>0</v>
      </c>
      <c r="AA1056" t="s">
        <v>126</v>
      </c>
      <c r="AB1056">
        <v>0</v>
      </c>
      <c r="AE1056" t="s">
        <v>126</v>
      </c>
      <c r="AF1056">
        <v>0</v>
      </c>
      <c r="AI1056" t="s">
        <v>126</v>
      </c>
      <c r="AJ1056">
        <v>0</v>
      </c>
      <c r="AM1056" t="s">
        <v>126</v>
      </c>
      <c r="AN1056">
        <v>0</v>
      </c>
      <c r="AQ1056" t="s">
        <v>126</v>
      </c>
      <c r="AR1056">
        <v>0</v>
      </c>
      <c r="AT1056" t="s">
        <v>86</v>
      </c>
      <c r="AU1056">
        <v>0</v>
      </c>
    </row>
    <row r="1057" spans="1:47" x14ac:dyDescent="0.35">
      <c r="C1057" t="s">
        <v>87</v>
      </c>
      <c r="D1057">
        <v>19791</v>
      </c>
      <c r="G1057" t="s">
        <v>87</v>
      </c>
      <c r="H1057">
        <v>0</v>
      </c>
      <c r="K1057" t="s">
        <v>87</v>
      </c>
      <c r="L1057">
        <v>0</v>
      </c>
      <c r="O1057" t="s">
        <v>87</v>
      </c>
      <c r="P1057">
        <v>0</v>
      </c>
      <c r="S1057" t="s">
        <v>87</v>
      </c>
      <c r="T1057">
        <v>0</v>
      </c>
      <c r="W1057" t="s">
        <v>87</v>
      </c>
      <c r="X1057">
        <v>0</v>
      </c>
      <c r="AA1057" t="s">
        <v>87</v>
      </c>
      <c r="AB1057">
        <v>0</v>
      </c>
      <c r="AE1057" t="s">
        <v>87</v>
      </c>
      <c r="AF1057">
        <v>0</v>
      </c>
      <c r="AI1057" t="s">
        <v>87</v>
      </c>
      <c r="AJ1057">
        <v>0</v>
      </c>
      <c r="AM1057" t="s">
        <v>87</v>
      </c>
      <c r="AN1057">
        <v>0</v>
      </c>
      <c r="AQ1057" t="s">
        <v>87</v>
      </c>
      <c r="AR1057">
        <v>0</v>
      </c>
      <c r="AT1057" t="s">
        <v>87</v>
      </c>
      <c r="AU1057">
        <v>0</v>
      </c>
    </row>
    <row r="1058" spans="1:47" x14ac:dyDescent="0.35">
      <c r="A1058" t="s">
        <v>187</v>
      </c>
      <c r="B1058">
        <v>53145033.000000007</v>
      </c>
      <c r="C1058" t="s">
        <v>135</v>
      </c>
      <c r="D1058">
        <v>0</v>
      </c>
      <c r="E1058" t="s">
        <v>187</v>
      </c>
      <c r="F1058">
        <v>53873616</v>
      </c>
      <c r="G1058" t="s">
        <v>135</v>
      </c>
      <c r="H1058">
        <v>0</v>
      </c>
      <c r="I1058" t="s">
        <v>187</v>
      </c>
      <c r="J1058">
        <v>54729550.99999997</v>
      </c>
      <c r="K1058" t="s">
        <v>135</v>
      </c>
      <c r="L1058">
        <v>5084</v>
      </c>
      <c r="M1058" t="s">
        <v>187</v>
      </c>
      <c r="N1058">
        <v>55876503.999999993</v>
      </c>
      <c r="O1058" t="s">
        <v>135</v>
      </c>
      <c r="P1058">
        <v>1143</v>
      </c>
      <c r="Q1058" t="s">
        <v>187</v>
      </c>
      <c r="R1058">
        <v>56422273.499999985</v>
      </c>
      <c r="S1058" t="s">
        <v>135</v>
      </c>
      <c r="T1058">
        <v>87529</v>
      </c>
      <c r="U1058" t="s">
        <v>187</v>
      </c>
      <c r="V1058">
        <v>56641209.500000007</v>
      </c>
      <c r="W1058" t="s">
        <v>135</v>
      </c>
      <c r="X1058">
        <v>89306</v>
      </c>
      <c r="Y1058" t="s">
        <v>187</v>
      </c>
      <c r="Z1058">
        <v>57339635.000000015</v>
      </c>
      <c r="AA1058" t="s">
        <v>135</v>
      </c>
      <c r="AB1058">
        <v>87006</v>
      </c>
      <c r="AC1058" t="s">
        <v>187</v>
      </c>
      <c r="AD1058">
        <v>58087054.999999985</v>
      </c>
      <c r="AE1058" t="s">
        <v>135</v>
      </c>
      <c r="AF1058">
        <v>92786</v>
      </c>
      <c r="AG1058" t="s">
        <v>187</v>
      </c>
      <c r="AH1058">
        <v>58801926.500000022</v>
      </c>
      <c r="AI1058" t="s">
        <v>135</v>
      </c>
      <c r="AJ1058">
        <v>0</v>
      </c>
      <c r="AK1058" t="s">
        <v>187</v>
      </c>
      <c r="AL1058">
        <v>59392255</v>
      </c>
      <c r="AM1058" t="s">
        <v>135</v>
      </c>
      <c r="AN1058">
        <v>99093</v>
      </c>
      <c r="AO1058" t="s">
        <v>187</v>
      </c>
      <c r="AP1058">
        <v>59893885.5</v>
      </c>
      <c r="AQ1058" t="s">
        <v>135</v>
      </c>
      <c r="AR1058">
        <v>0</v>
      </c>
      <c r="AS1058" t="s">
        <v>187</v>
      </c>
      <c r="AT1058" t="s">
        <v>148</v>
      </c>
      <c r="AU1058">
        <v>43503</v>
      </c>
    </row>
    <row r="1059" spans="1:47" x14ac:dyDescent="0.35">
      <c r="C1059" t="s">
        <v>139</v>
      </c>
      <c r="D1059">
        <v>117444</v>
      </c>
      <c r="G1059" t="s">
        <v>139</v>
      </c>
      <c r="H1059">
        <v>0</v>
      </c>
      <c r="K1059" t="s">
        <v>139</v>
      </c>
      <c r="L1059">
        <v>0</v>
      </c>
      <c r="O1059" t="s">
        <v>139</v>
      </c>
      <c r="P1059">
        <v>0</v>
      </c>
      <c r="S1059" t="s">
        <v>139</v>
      </c>
      <c r="T1059">
        <v>0</v>
      </c>
      <c r="W1059" t="s">
        <v>139</v>
      </c>
      <c r="X1059">
        <v>0</v>
      </c>
      <c r="AA1059" t="s">
        <v>139</v>
      </c>
      <c r="AB1059">
        <v>141104</v>
      </c>
      <c r="AE1059" t="s">
        <v>139</v>
      </c>
      <c r="AF1059">
        <v>129276</v>
      </c>
      <c r="AI1059" t="s">
        <v>139</v>
      </c>
      <c r="AJ1059">
        <v>122056</v>
      </c>
      <c r="AM1059" t="s">
        <v>139</v>
      </c>
      <c r="AN1059">
        <v>0</v>
      </c>
      <c r="AQ1059" t="s">
        <v>139</v>
      </c>
      <c r="AR1059">
        <v>0</v>
      </c>
      <c r="AT1059" t="s">
        <v>139</v>
      </c>
      <c r="AU1059">
        <v>287458</v>
      </c>
    </row>
    <row r="1060" spans="1:47" x14ac:dyDescent="0.35">
      <c r="C1060" t="s">
        <v>138</v>
      </c>
      <c r="D1060">
        <v>0</v>
      </c>
      <c r="G1060" t="s">
        <v>138</v>
      </c>
      <c r="H1060">
        <v>0</v>
      </c>
      <c r="K1060" t="s">
        <v>138</v>
      </c>
      <c r="L1060">
        <v>0</v>
      </c>
      <c r="O1060" t="s">
        <v>138</v>
      </c>
      <c r="P1060">
        <v>0</v>
      </c>
      <c r="S1060" t="s">
        <v>138</v>
      </c>
      <c r="T1060">
        <v>2568</v>
      </c>
      <c r="W1060" t="s">
        <v>138</v>
      </c>
      <c r="X1060">
        <v>0</v>
      </c>
      <c r="AA1060" t="s">
        <v>138</v>
      </c>
      <c r="AB1060">
        <v>0</v>
      </c>
      <c r="AE1060" t="s">
        <v>138</v>
      </c>
      <c r="AF1060">
        <v>0</v>
      </c>
      <c r="AI1060" t="s">
        <v>138</v>
      </c>
      <c r="AJ1060">
        <v>0</v>
      </c>
      <c r="AM1060" t="s">
        <v>138</v>
      </c>
      <c r="AN1060">
        <v>0</v>
      </c>
      <c r="AQ1060" t="s">
        <v>138</v>
      </c>
      <c r="AR1060">
        <v>0</v>
      </c>
      <c r="AT1060" t="s">
        <v>138</v>
      </c>
      <c r="AU1060">
        <v>0</v>
      </c>
    </row>
    <row r="1061" spans="1:47" x14ac:dyDescent="0.35">
      <c r="C1061" t="s">
        <v>82</v>
      </c>
      <c r="D1061">
        <v>0</v>
      </c>
      <c r="G1061" t="s">
        <v>82</v>
      </c>
      <c r="H1061">
        <v>0</v>
      </c>
      <c r="K1061" t="s">
        <v>82</v>
      </c>
      <c r="L1061">
        <v>0</v>
      </c>
      <c r="O1061" t="s">
        <v>82</v>
      </c>
      <c r="P1061">
        <v>0</v>
      </c>
      <c r="S1061" t="s">
        <v>82</v>
      </c>
      <c r="T1061">
        <v>2355</v>
      </c>
      <c r="W1061" t="s">
        <v>82</v>
      </c>
      <c r="X1061">
        <v>0</v>
      </c>
      <c r="AA1061" t="s">
        <v>82</v>
      </c>
      <c r="AB1061">
        <v>0</v>
      </c>
      <c r="AE1061" t="s">
        <v>82</v>
      </c>
      <c r="AF1061">
        <v>0</v>
      </c>
      <c r="AI1061" t="s">
        <v>82</v>
      </c>
      <c r="AJ1061">
        <v>0</v>
      </c>
      <c r="AM1061" t="s">
        <v>82</v>
      </c>
      <c r="AN1061">
        <v>494</v>
      </c>
      <c r="AQ1061" t="s">
        <v>82</v>
      </c>
      <c r="AR1061">
        <v>0</v>
      </c>
      <c r="AT1061" t="s">
        <v>82</v>
      </c>
      <c r="AU1061">
        <v>16195</v>
      </c>
    </row>
    <row r="1062" spans="1:47" x14ac:dyDescent="0.35">
      <c r="C1062" t="s">
        <v>60</v>
      </c>
      <c r="D1062">
        <v>0</v>
      </c>
      <c r="G1062" t="s">
        <v>60</v>
      </c>
      <c r="H1062">
        <v>0</v>
      </c>
      <c r="K1062" t="s">
        <v>60</v>
      </c>
      <c r="L1062">
        <v>0</v>
      </c>
      <c r="O1062" t="s">
        <v>60</v>
      </c>
      <c r="P1062">
        <v>0</v>
      </c>
      <c r="S1062" t="s">
        <v>60</v>
      </c>
      <c r="T1062">
        <v>1090</v>
      </c>
      <c r="W1062" t="s">
        <v>60</v>
      </c>
      <c r="X1062">
        <v>0</v>
      </c>
      <c r="AA1062" t="s">
        <v>60</v>
      </c>
      <c r="AB1062">
        <v>0</v>
      </c>
      <c r="AE1062" t="s">
        <v>60</v>
      </c>
      <c r="AF1062">
        <v>0</v>
      </c>
      <c r="AI1062" t="s">
        <v>60</v>
      </c>
      <c r="AJ1062">
        <v>0</v>
      </c>
      <c r="AM1062" t="s">
        <v>60</v>
      </c>
      <c r="AN1062">
        <v>366</v>
      </c>
      <c r="AQ1062" t="s">
        <v>60</v>
      </c>
      <c r="AR1062">
        <v>0</v>
      </c>
      <c r="AT1062" t="s">
        <v>60</v>
      </c>
      <c r="AU1062">
        <v>6816</v>
      </c>
    </row>
    <row r="1063" spans="1:47" x14ac:dyDescent="0.35">
      <c r="C1063" t="s">
        <v>127</v>
      </c>
      <c r="D1063">
        <v>0</v>
      </c>
      <c r="G1063" t="s">
        <v>127</v>
      </c>
      <c r="H1063">
        <v>0</v>
      </c>
      <c r="K1063" t="s">
        <v>127</v>
      </c>
      <c r="L1063">
        <v>0</v>
      </c>
      <c r="O1063" t="s">
        <v>127</v>
      </c>
      <c r="P1063">
        <v>0</v>
      </c>
      <c r="S1063" t="s">
        <v>127</v>
      </c>
      <c r="T1063">
        <v>0</v>
      </c>
      <c r="W1063" t="s">
        <v>127</v>
      </c>
      <c r="X1063">
        <v>0</v>
      </c>
      <c r="AA1063" t="s">
        <v>127</v>
      </c>
      <c r="AB1063">
        <v>54180</v>
      </c>
      <c r="AE1063" t="s">
        <v>127</v>
      </c>
      <c r="AF1063">
        <v>0</v>
      </c>
      <c r="AI1063" t="s">
        <v>127</v>
      </c>
      <c r="AJ1063">
        <v>0</v>
      </c>
      <c r="AM1063" t="s">
        <v>127</v>
      </c>
      <c r="AN1063">
        <v>0</v>
      </c>
      <c r="AQ1063" t="s">
        <v>127</v>
      </c>
      <c r="AR1063">
        <v>63290</v>
      </c>
      <c r="AT1063" t="s">
        <v>58</v>
      </c>
      <c r="AU1063">
        <v>54180</v>
      </c>
    </row>
    <row r="1064" spans="1:47" x14ac:dyDescent="0.35">
      <c r="C1064" t="s">
        <v>61</v>
      </c>
      <c r="D1064">
        <v>0</v>
      </c>
      <c r="G1064" t="s">
        <v>61</v>
      </c>
      <c r="H1064">
        <v>0</v>
      </c>
      <c r="K1064" t="s">
        <v>61</v>
      </c>
      <c r="L1064">
        <v>0</v>
      </c>
      <c r="O1064" t="s">
        <v>61</v>
      </c>
      <c r="P1064">
        <v>0</v>
      </c>
      <c r="S1064" t="s">
        <v>61</v>
      </c>
      <c r="T1064">
        <v>0</v>
      </c>
      <c r="W1064" t="s">
        <v>61</v>
      </c>
      <c r="X1064">
        <v>0</v>
      </c>
      <c r="AA1064" t="s">
        <v>61</v>
      </c>
      <c r="AB1064">
        <v>0</v>
      </c>
      <c r="AE1064" t="s">
        <v>61</v>
      </c>
      <c r="AF1064">
        <v>0</v>
      </c>
      <c r="AI1064" t="s">
        <v>61</v>
      </c>
      <c r="AJ1064">
        <v>0</v>
      </c>
      <c r="AM1064" t="s">
        <v>61</v>
      </c>
      <c r="AN1064">
        <v>0</v>
      </c>
      <c r="AQ1064" t="s">
        <v>61</v>
      </c>
      <c r="AR1064">
        <v>0</v>
      </c>
      <c r="AT1064" t="s">
        <v>61</v>
      </c>
      <c r="AU1064">
        <v>0</v>
      </c>
    </row>
    <row r="1065" spans="1:47" x14ac:dyDescent="0.35">
      <c r="C1065" t="s">
        <v>62</v>
      </c>
      <c r="D1065">
        <v>0</v>
      </c>
      <c r="G1065" t="s">
        <v>62</v>
      </c>
      <c r="H1065">
        <v>0</v>
      </c>
      <c r="K1065" t="s">
        <v>62</v>
      </c>
      <c r="L1065">
        <v>0</v>
      </c>
      <c r="O1065" t="s">
        <v>62</v>
      </c>
      <c r="P1065">
        <v>0</v>
      </c>
      <c r="S1065" t="s">
        <v>62</v>
      </c>
      <c r="T1065">
        <v>0</v>
      </c>
      <c r="W1065" t="s">
        <v>62</v>
      </c>
      <c r="X1065">
        <v>0</v>
      </c>
      <c r="AA1065" t="s">
        <v>62</v>
      </c>
      <c r="AB1065">
        <v>0</v>
      </c>
      <c r="AE1065" t="s">
        <v>62</v>
      </c>
      <c r="AF1065">
        <v>0</v>
      </c>
      <c r="AI1065" t="s">
        <v>62</v>
      </c>
      <c r="AJ1065">
        <v>0</v>
      </c>
      <c r="AM1065" t="s">
        <v>62</v>
      </c>
      <c r="AN1065">
        <v>0</v>
      </c>
      <c r="AQ1065" t="s">
        <v>62</v>
      </c>
      <c r="AR1065">
        <v>0</v>
      </c>
      <c r="AT1065" t="s">
        <v>62</v>
      </c>
      <c r="AU1065">
        <v>3585</v>
      </c>
    </row>
    <row r="1066" spans="1:47" x14ac:dyDescent="0.35">
      <c r="C1066" t="s">
        <v>203</v>
      </c>
      <c r="D1066">
        <v>0</v>
      </c>
      <c r="G1066" t="s">
        <v>203</v>
      </c>
      <c r="H1066">
        <v>0</v>
      </c>
      <c r="K1066" t="s">
        <v>203</v>
      </c>
      <c r="L1066">
        <v>0</v>
      </c>
      <c r="O1066" t="s">
        <v>203</v>
      </c>
      <c r="P1066">
        <v>0</v>
      </c>
      <c r="S1066" t="s">
        <v>203</v>
      </c>
      <c r="T1066">
        <v>0</v>
      </c>
      <c r="W1066" t="s">
        <v>203</v>
      </c>
      <c r="X1066">
        <v>0</v>
      </c>
      <c r="AA1066" t="s">
        <v>203</v>
      </c>
      <c r="AB1066">
        <v>0</v>
      </c>
      <c r="AE1066" t="s">
        <v>203</v>
      </c>
      <c r="AF1066">
        <v>0</v>
      </c>
      <c r="AI1066" t="s">
        <v>203</v>
      </c>
      <c r="AJ1066">
        <v>0</v>
      </c>
      <c r="AM1066" t="s">
        <v>203</v>
      </c>
      <c r="AN1066">
        <v>0</v>
      </c>
      <c r="AQ1066" t="s">
        <v>203</v>
      </c>
      <c r="AR1066">
        <v>2857</v>
      </c>
      <c r="AT1066" t="s">
        <v>64</v>
      </c>
      <c r="AU1066">
        <v>0</v>
      </c>
    </row>
    <row r="1067" spans="1:47" x14ac:dyDescent="0.35">
      <c r="C1067" t="s">
        <v>204</v>
      </c>
      <c r="D1067">
        <v>0</v>
      </c>
      <c r="G1067" t="s">
        <v>204</v>
      </c>
      <c r="H1067">
        <v>0</v>
      </c>
      <c r="K1067" t="s">
        <v>204</v>
      </c>
      <c r="L1067">
        <v>0</v>
      </c>
      <c r="O1067" t="s">
        <v>204</v>
      </c>
      <c r="P1067">
        <v>0</v>
      </c>
      <c r="S1067" t="s">
        <v>204</v>
      </c>
      <c r="T1067">
        <v>0</v>
      </c>
      <c r="W1067" t="s">
        <v>204</v>
      </c>
      <c r="X1067">
        <v>0</v>
      </c>
      <c r="AA1067" t="s">
        <v>204</v>
      </c>
      <c r="AB1067">
        <v>0</v>
      </c>
      <c r="AE1067" t="s">
        <v>204</v>
      </c>
      <c r="AF1067">
        <v>0</v>
      </c>
      <c r="AI1067" t="s">
        <v>204</v>
      </c>
      <c r="AJ1067">
        <v>0</v>
      </c>
      <c r="AM1067" t="s">
        <v>204</v>
      </c>
      <c r="AN1067">
        <v>0</v>
      </c>
      <c r="AQ1067" t="s">
        <v>204</v>
      </c>
      <c r="AR1067">
        <v>26692</v>
      </c>
      <c r="AT1067" t="s">
        <v>65</v>
      </c>
      <c r="AU1067">
        <v>0</v>
      </c>
    </row>
    <row r="1068" spans="1:47" x14ac:dyDescent="0.35">
      <c r="C1068" t="s">
        <v>205</v>
      </c>
      <c r="D1068">
        <v>0</v>
      </c>
      <c r="G1068" t="s">
        <v>205</v>
      </c>
      <c r="H1068">
        <v>0</v>
      </c>
      <c r="K1068" t="s">
        <v>205</v>
      </c>
      <c r="L1068">
        <v>0</v>
      </c>
      <c r="O1068" t="s">
        <v>205</v>
      </c>
      <c r="P1068">
        <v>0</v>
      </c>
      <c r="S1068" t="s">
        <v>205</v>
      </c>
      <c r="T1068">
        <v>0</v>
      </c>
      <c r="W1068" t="s">
        <v>205</v>
      </c>
      <c r="X1068">
        <v>3330</v>
      </c>
      <c r="AA1068" t="s">
        <v>205</v>
      </c>
      <c r="AB1068">
        <v>0</v>
      </c>
      <c r="AE1068" t="s">
        <v>205</v>
      </c>
      <c r="AF1068">
        <v>0</v>
      </c>
      <c r="AI1068" t="s">
        <v>205</v>
      </c>
      <c r="AJ1068">
        <v>0</v>
      </c>
      <c r="AM1068" t="s">
        <v>205</v>
      </c>
      <c r="AN1068">
        <v>0</v>
      </c>
      <c r="AQ1068" t="s">
        <v>205</v>
      </c>
      <c r="AR1068">
        <v>329</v>
      </c>
      <c r="AT1068" t="s">
        <v>66</v>
      </c>
      <c r="AU1068">
        <v>0</v>
      </c>
    </row>
    <row r="1069" spans="1:47" x14ac:dyDescent="0.35">
      <c r="C1069" t="s">
        <v>133</v>
      </c>
      <c r="D1069">
        <v>133</v>
      </c>
      <c r="G1069" t="s">
        <v>133</v>
      </c>
      <c r="H1069">
        <v>144</v>
      </c>
      <c r="K1069" t="s">
        <v>133</v>
      </c>
      <c r="L1069">
        <v>145</v>
      </c>
      <c r="O1069" t="s">
        <v>133</v>
      </c>
      <c r="P1069">
        <v>149</v>
      </c>
      <c r="S1069" t="s">
        <v>133</v>
      </c>
      <c r="T1069">
        <v>4802</v>
      </c>
      <c r="W1069" t="s">
        <v>133</v>
      </c>
      <c r="X1069">
        <v>5267</v>
      </c>
      <c r="AA1069" t="s">
        <v>133</v>
      </c>
      <c r="AB1069">
        <v>5455</v>
      </c>
      <c r="AE1069" t="s">
        <v>133</v>
      </c>
      <c r="AF1069">
        <v>9939</v>
      </c>
      <c r="AI1069" t="s">
        <v>133</v>
      </c>
      <c r="AJ1069">
        <v>0</v>
      </c>
      <c r="AM1069" t="s">
        <v>133</v>
      </c>
      <c r="AN1069">
        <v>6166</v>
      </c>
      <c r="AQ1069" t="s">
        <v>133</v>
      </c>
      <c r="AR1069">
        <v>13</v>
      </c>
      <c r="AT1069" t="s">
        <v>79</v>
      </c>
      <c r="AU1069">
        <v>8415</v>
      </c>
    </row>
    <row r="1070" spans="1:47" x14ac:dyDescent="0.35">
      <c r="C1070" t="s">
        <v>206</v>
      </c>
      <c r="D1070">
        <v>0</v>
      </c>
      <c r="G1070" t="s">
        <v>206</v>
      </c>
      <c r="H1070">
        <v>0</v>
      </c>
      <c r="K1070" t="s">
        <v>206</v>
      </c>
      <c r="L1070">
        <v>0</v>
      </c>
      <c r="O1070" t="s">
        <v>206</v>
      </c>
      <c r="P1070">
        <v>0</v>
      </c>
      <c r="S1070" t="s">
        <v>206</v>
      </c>
      <c r="T1070">
        <v>0</v>
      </c>
      <c r="W1070" t="s">
        <v>206</v>
      </c>
      <c r="X1070">
        <v>0</v>
      </c>
      <c r="AA1070" t="s">
        <v>206</v>
      </c>
      <c r="AB1070">
        <v>0</v>
      </c>
      <c r="AE1070" t="s">
        <v>206</v>
      </c>
      <c r="AF1070">
        <v>0</v>
      </c>
      <c r="AI1070" t="s">
        <v>206</v>
      </c>
      <c r="AJ1070">
        <v>0</v>
      </c>
      <c r="AM1070" t="s">
        <v>206</v>
      </c>
      <c r="AN1070">
        <v>0</v>
      </c>
      <c r="AQ1070" t="s">
        <v>206</v>
      </c>
      <c r="AR1070">
        <v>0</v>
      </c>
      <c r="AT1070" t="s">
        <v>68</v>
      </c>
      <c r="AU1070">
        <v>577</v>
      </c>
    </row>
    <row r="1071" spans="1:47" x14ac:dyDescent="0.35">
      <c r="C1071" t="s">
        <v>136</v>
      </c>
      <c r="D1071">
        <v>8095</v>
      </c>
      <c r="G1071" t="s">
        <v>136</v>
      </c>
      <c r="H1071">
        <v>8476</v>
      </c>
      <c r="K1071" t="s">
        <v>136</v>
      </c>
      <c r="L1071">
        <v>8924</v>
      </c>
      <c r="O1071" t="s">
        <v>136</v>
      </c>
      <c r="P1071">
        <v>9175</v>
      </c>
      <c r="S1071" t="s">
        <v>136</v>
      </c>
      <c r="T1071">
        <v>8484</v>
      </c>
      <c r="W1071" t="s">
        <v>136</v>
      </c>
      <c r="X1071">
        <v>8681</v>
      </c>
      <c r="AA1071" t="s">
        <v>136</v>
      </c>
      <c r="AB1071">
        <v>8878</v>
      </c>
      <c r="AE1071" t="s">
        <v>136</v>
      </c>
      <c r="AF1071">
        <v>0</v>
      </c>
      <c r="AI1071" t="s">
        <v>136</v>
      </c>
      <c r="AJ1071">
        <v>0</v>
      </c>
      <c r="AM1071" t="s">
        <v>136</v>
      </c>
      <c r="AN1071">
        <v>9281</v>
      </c>
      <c r="AQ1071" t="s">
        <v>136</v>
      </c>
      <c r="AR1071">
        <v>0</v>
      </c>
      <c r="AT1071" t="s">
        <v>69</v>
      </c>
      <c r="AU1071">
        <v>8072</v>
      </c>
    </row>
    <row r="1072" spans="1:47" x14ac:dyDescent="0.35">
      <c r="C1072" t="s">
        <v>207</v>
      </c>
      <c r="D1072">
        <v>0</v>
      </c>
      <c r="G1072" t="s">
        <v>207</v>
      </c>
      <c r="H1072">
        <v>0</v>
      </c>
      <c r="K1072" t="s">
        <v>207</v>
      </c>
      <c r="L1072">
        <v>0</v>
      </c>
      <c r="O1072" t="s">
        <v>207</v>
      </c>
      <c r="P1072">
        <v>0</v>
      </c>
      <c r="S1072" t="s">
        <v>207</v>
      </c>
      <c r="T1072">
        <v>0</v>
      </c>
      <c r="W1072" t="s">
        <v>207</v>
      </c>
      <c r="X1072">
        <v>0</v>
      </c>
      <c r="AA1072" t="s">
        <v>207</v>
      </c>
      <c r="AB1072">
        <v>0</v>
      </c>
      <c r="AE1072" t="s">
        <v>207</v>
      </c>
      <c r="AF1072">
        <v>0</v>
      </c>
      <c r="AI1072" t="s">
        <v>207</v>
      </c>
      <c r="AJ1072">
        <v>0</v>
      </c>
      <c r="AM1072" t="s">
        <v>207</v>
      </c>
      <c r="AN1072">
        <v>0</v>
      </c>
      <c r="AQ1072" t="s">
        <v>207</v>
      </c>
      <c r="AR1072">
        <v>0</v>
      </c>
      <c r="AT1072" t="s">
        <v>70</v>
      </c>
      <c r="AU1072">
        <v>0</v>
      </c>
    </row>
    <row r="1073" spans="1:47" x14ac:dyDescent="0.35">
      <c r="C1073" t="s">
        <v>141</v>
      </c>
      <c r="D1073">
        <v>3453</v>
      </c>
      <c r="G1073" t="s">
        <v>141</v>
      </c>
      <c r="H1073">
        <v>3588</v>
      </c>
      <c r="K1073" t="s">
        <v>141</v>
      </c>
      <c r="L1073">
        <v>3705</v>
      </c>
      <c r="O1073" t="s">
        <v>141</v>
      </c>
      <c r="P1073">
        <v>3783</v>
      </c>
      <c r="S1073" t="s">
        <v>141</v>
      </c>
      <c r="T1073">
        <v>3725</v>
      </c>
      <c r="W1073" t="s">
        <v>141</v>
      </c>
      <c r="X1073">
        <v>3790</v>
      </c>
      <c r="AA1073" t="s">
        <v>141</v>
      </c>
      <c r="AB1073">
        <v>3848</v>
      </c>
      <c r="AE1073" t="s">
        <v>141</v>
      </c>
      <c r="AF1073">
        <v>3830</v>
      </c>
      <c r="AI1073" t="s">
        <v>141</v>
      </c>
      <c r="AJ1073">
        <v>0</v>
      </c>
      <c r="AM1073" t="s">
        <v>141</v>
      </c>
      <c r="AN1073">
        <v>4012</v>
      </c>
      <c r="AQ1073" t="s">
        <v>141</v>
      </c>
      <c r="AR1073">
        <v>255</v>
      </c>
      <c r="AT1073" t="s">
        <v>76</v>
      </c>
      <c r="AU1073">
        <v>0</v>
      </c>
    </row>
    <row r="1074" spans="1:47" x14ac:dyDescent="0.35">
      <c r="C1074" t="s">
        <v>208</v>
      </c>
      <c r="D1074">
        <v>0</v>
      </c>
      <c r="G1074" t="s">
        <v>208</v>
      </c>
      <c r="H1074">
        <v>0</v>
      </c>
      <c r="K1074" t="s">
        <v>208</v>
      </c>
      <c r="L1074">
        <v>0</v>
      </c>
      <c r="O1074" t="s">
        <v>208</v>
      </c>
      <c r="P1074">
        <v>0</v>
      </c>
      <c r="S1074" t="s">
        <v>208</v>
      </c>
      <c r="T1074">
        <v>0</v>
      </c>
      <c r="W1074" t="s">
        <v>208</v>
      </c>
      <c r="X1074">
        <v>0</v>
      </c>
      <c r="AA1074" t="s">
        <v>208</v>
      </c>
      <c r="AB1074">
        <v>0</v>
      </c>
      <c r="AE1074" t="s">
        <v>208</v>
      </c>
      <c r="AF1074">
        <v>0</v>
      </c>
      <c r="AI1074" t="s">
        <v>208</v>
      </c>
      <c r="AJ1074">
        <v>0</v>
      </c>
      <c r="AM1074" t="s">
        <v>208</v>
      </c>
      <c r="AN1074">
        <v>0</v>
      </c>
      <c r="AQ1074" t="s">
        <v>208</v>
      </c>
      <c r="AR1074">
        <v>15459</v>
      </c>
      <c r="AT1074" t="s">
        <v>77</v>
      </c>
      <c r="AU1074">
        <v>0</v>
      </c>
    </row>
    <row r="1075" spans="1:47" x14ac:dyDescent="0.35">
      <c r="C1075" t="s">
        <v>209</v>
      </c>
      <c r="D1075">
        <v>0</v>
      </c>
      <c r="G1075" t="s">
        <v>209</v>
      </c>
      <c r="H1075">
        <v>0</v>
      </c>
      <c r="K1075" t="s">
        <v>209</v>
      </c>
      <c r="L1075">
        <v>0</v>
      </c>
      <c r="O1075" t="s">
        <v>209</v>
      </c>
      <c r="P1075">
        <v>0</v>
      </c>
      <c r="S1075" t="s">
        <v>209</v>
      </c>
      <c r="T1075">
        <v>0</v>
      </c>
      <c r="W1075" t="s">
        <v>209</v>
      </c>
      <c r="X1075">
        <v>0</v>
      </c>
      <c r="AA1075" t="s">
        <v>209</v>
      </c>
      <c r="AB1075">
        <v>0</v>
      </c>
      <c r="AE1075" t="s">
        <v>209</v>
      </c>
      <c r="AF1075">
        <v>0</v>
      </c>
      <c r="AI1075" t="s">
        <v>209</v>
      </c>
      <c r="AJ1075">
        <v>0</v>
      </c>
      <c r="AM1075" t="s">
        <v>209</v>
      </c>
      <c r="AN1075">
        <v>0</v>
      </c>
      <c r="AQ1075" t="s">
        <v>209</v>
      </c>
      <c r="AR1075">
        <v>0</v>
      </c>
      <c r="AT1075" t="s">
        <v>78</v>
      </c>
      <c r="AU1075">
        <v>15266</v>
      </c>
    </row>
    <row r="1076" spans="1:47" x14ac:dyDescent="0.35">
      <c r="C1076" t="s">
        <v>134</v>
      </c>
      <c r="D1076">
        <v>171</v>
      </c>
      <c r="G1076" t="s">
        <v>134</v>
      </c>
      <c r="H1076">
        <v>273</v>
      </c>
      <c r="K1076" t="s">
        <v>134</v>
      </c>
      <c r="L1076">
        <v>326</v>
      </c>
      <c r="O1076" t="s">
        <v>134</v>
      </c>
      <c r="P1076">
        <v>453</v>
      </c>
      <c r="S1076" t="s">
        <v>134</v>
      </c>
      <c r="T1076">
        <v>5377</v>
      </c>
      <c r="W1076" t="s">
        <v>134</v>
      </c>
      <c r="X1076">
        <v>5525</v>
      </c>
      <c r="AA1076" t="s">
        <v>134</v>
      </c>
      <c r="AB1076">
        <v>5731</v>
      </c>
      <c r="AE1076" t="s">
        <v>134</v>
      </c>
      <c r="AF1076">
        <v>0</v>
      </c>
      <c r="AI1076" t="s">
        <v>134</v>
      </c>
      <c r="AJ1076">
        <v>0</v>
      </c>
      <c r="AM1076" t="s">
        <v>134</v>
      </c>
      <c r="AN1076">
        <v>6353</v>
      </c>
      <c r="AQ1076" t="s">
        <v>134</v>
      </c>
      <c r="AR1076">
        <v>0</v>
      </c>
      <c r="AT1076" t="s">
        <v>67</v>
      </c>
      <c r="AU1076">
        <v>0</v>
      </c>
    </row>
    <row r="1077" spans="1:47" x14ac:dyDescent="0.35">
      <c r="C1077" t="s">
        <v>142</v>
      </c>
      <c r="D1077">
        <v>90</v>
      </c>
      <c r="G1077" t="s">
        <v>142</v>
      </c>
      <c r="H1077">
        <v>217</v>
      </c>
      <c r="K1077" t="s">
        <v>142</v>
      </c>
      <c r="L1077">
        <v>362</v>
      </c>
      <c r="O1077" t="s">
        <v>142</v>
      </c>
      <c r="P1077">
        <v>474</v>
      </c>
      <c r="S1077" t="s">
        <v>142</v>
      </c>
      <c r="T1077">
        <v>0</v>
      </c>
      <c r="W1077" t="s">
        <v>142</v>
      </c>
      <c r="X1077">
        <v>8919</v>
      </c>
      <c r="AA1077" t="s">
        <v>142</v>
      </c>
      <c r="AB1077">
        <v>0</v>
      </c>
      <c r="AE1077" t="s">
        <v>142</v>
      </c>
      <c r="AF1077">
        <v>0</v>
      </c>
      <c r="AI1077" t="s">
        <v>142</v>
      </c>
      <c r="AJ1077">
        <v>0</v>
      </c>
      <c r="AM1077" t="s">
        <v>142</v>
      </c>
      <c r="AN1077">
        <v>3870</v>
      </c>
      <c r="AQ1077" t="s">
        <v>142</v>
      </c>
      <c r="AR1077">
        <v>20327</v>
      </c>
      <c r="AT1077" t="s">
        <v>80</v>
      </c>
      <c r="AU1077">
        <v>0</v>
      </c>
    </row>
    <row r="1078" spans="1:47" x14ac:dyDescent="0.35">
      <c r="C1078" t="s">
        <v>83</v>
      </c>
      <c r="D1078">
        <v>7791</v>
      </c>
      <c r="G1078" t="s">
        <v>83</v>
      </c>
      <c r="H1078">
        <v>8185</v>
      </c>
      <c r="K1078" t="s">
        <v>83</v>
      </c>
      <c r="L1078">
        <v>8781</v>
      </c>
      <c r="O1078" t="s">
        <v>83</v>
      </c>
      <c r="P1078">
        <v>9289</v>
      </c>
      <c r="S1078" t="s">
        <v>83</v>
      </c>
      <c r="T1078">
        <v>7451</v>
      </c>
      <c r="W1078" t="s">
        <v>83</v>
      </c>
      <c r="X1078">
        <v>7704</v>
      </c>
      <c r="AA1078" t="s">
        <v>83</v>
      </c>
      <c r="AB1078">
        <v>7922</v>
      </c>
      <c r="AE1078" t="s">
        <v>83</v>
      </c>
      <c r="AF1078">
        <v>8110</v>
      </c>
      <c r="AI1078" t="s">
        <v>83</v>
      </c>
      <c r="AJ1078">
        <v>0</v>
      </c>
      <c r="AM1078" t="s">
        <v>83</v>
      </c>
      <c r="AN1078">
        <v>8509</v>
      </c>
      <c r="AQ1078" t="s">
        <v>83</v>
      </c>
      <c r="AR1078">
        <v>1555</v>
      </c>
      <c r="AT1078" t="s">
        <v>83</v>
      </c>
      <c r="AU1078">
        <v>11975</v>
      </c>
    </row>
    <row r="1079" spans="1:47" x14ac:dyDescent="0.35">
      <c r="C1079" t="s">
        <v>84</v>
      </c>
      <c r="D1079">
        <v>0</v>
      </c>
      <c r="G1079" t="s">
        <v>84</v>
      </c>
      <c r="H1079">
        <v>0</v>
      </c>
      <c r="K1079" t="s">
        <v>84</v>
      </c>
      <c r="L1079">
        <v>0</v>
      </c>
      <c r="O1079" t="s">
        <v>84</v>
      </c>
      <c r="P1079">
        <v>0</v>
      </c>
      <c r="S1079" t="s">
        <v>84</v>
      </c>
      <c r="T1079">
        <v>0</v>
      </c>
      <c r="W1079" t="s">
        <v>84</v>
      </c>
      <c r="X1079">
        <v>27694</v>
      </c>
      <c r="AA1079" t="s">
        <v>84</v>
      </c>
      <c r="AB1079">
        <v>0</v>
      </c>
      <c r="AE1079" t="s">
        <v>84</v>
      </c>
      <c r="AF1079">
        <v>0</v>
      </c>
      <c r="AI1079" t="s">
        <v>84</v>
      </c>
      <c r="AJ1079">
        <v>0</v>
      </c>
      <c r="AM1079" t="s">
        <v>84</v>
      </c>
      <c r="AN1079">
        <v>0</v>
      </c>
      <c r="AQ1079" t="s">
        <v>84</v>
      </c>
      <c r="AR1079">
        <v>15754</v>
      </c>
      <c r="AT1079" t="s">
        <v>84</v>
      </c>
      <c r="AU1079">
        <v>0</v>
      </c>
    </row>
    <row r="1080" spans="1:47" x14ac:dyDescent="0.35">
      <c r="C1080" t="s">
        <v>126</v>
      </c>
      <c r="D1080">
        <v>2285</v>
      </c>
      <c r="G1080" t="s">
        <v>126</v>
      </c>
      <c r="H1080">
        <v>2586</v>
      </c>
      <c r="K1080" t="s">
        <v>223</v>
      </c>
      <c r="L1080">
        <v>2746</v>
      </c>
      <c r="O1080" t="s">
        <v>126</v>
      </c>
      <c r="P1080">
        <v>2913</v>
      </c>
      <c r="S1080" t="s">
        <v>126</v>
      </c>
      <c r="T1080">
        <v>3140</v>
      </c>
      <c r="W1080" t="s">
        <v>126</v>
      </c>
      <c r="X1080">
        <v>3323</v>
      </c>
      <c r="AA1080" t="s">
        <v>126</v>
      </c>
      <c r="AB1080">
        <v>3512</v>
      </c>
      <c r="AE1080" t="s">
        <v>126</v>
      </c>
      <c r="AF1080">
        <v>3676</v>
      </c>
      <c r="AI1080" t="s">
        <v>126</v>
      </c>
      <c r="AJ1080">
        <v>0</v>
      </c>
      <c r="AM1080" t="s">
        <v>126</v>
      </c>
      <c r="AN1080">
        <v>4037</v>
      </c>
      <c r="AQ1080" t="s">
        <v>126</v>
      </c>
      <c r="AR1080">
        <v>586</v>
      </c>
      <c r="AT1080" t="s">
        <v>86</v>
      </c>
      <c r="AU1080">
        <v>0</v>
      </c>
    </row>
    <row r="1081" spans="1:47" x14ac:dyDescent="0.35">
      <c r="C1081" t="s">
        <v>87</v>
      </c>
      <c r="D1081">
        <v>0</v>
      </c>
      <c r="G1081" t="s">
        <v>87</v>
      </c>
      <c r="H1081">
        <v>0</v>
      </c>
      <c r="K1081" t="s">
        <v>87</v>
      </c>
      <c r="L1081">
        <v>0</v>
      </c>
      <c r="O1081" t="s">
        <v>87</v>
      </c>
      <c r="P1081">
        <v>0</v>
      </c>
      <c r="S1081" t="s">
        <v>87</v>
      </c>
      <c r="T1081">
        <v>0</v>
      </c>
      <c r="W1081" t="s">
        <v>87</v>
      </c>
      <c r="X1081">
        <v>49732</v>
      </c>
      <c r="AA1081" t="s">
        <v>87</v>
      </c>
      <c r="AB1081">
        <v>0</v>
      </c>
      <c r="AE1081" t="s">
        <v>87</v>
      </c>
      <c r="AF1081">
        <v>0</v>
      </c>
      <c r="AI1081" t="s">
        <v>87</v>
      </c>
      <c r="AJ1081">
        <v>0</v>
      </c>
      <c r="AM1081" t="s">
        <v>87</v>
      </c>
      <c r="AN1081">
        <v>0</v>
      </c>
      <c r="AQ1081" t="s">
        <v>87</v>
      </c>
      <c r="AR1081">
        <v>9</v>
      </c>
      <c r="AT1081" t="s">
        <v>87</v>
      </c>
      <c r="AU1081">
        <v>0</v>
      </c>
    </row>
    <row r="1082" spans="1:47" x14ac:dyDescent="0.35">
      <c r="A1082" t="s">
        <v>192</v>
      </c>
      <c r="B1082">
        <v>14744657.999999998</v>
      </c>
      <c r="C1082" t="s">
        <v>135</v>
      </c>
      <c r="D1082">
        <v>156</v>
      </c>
      <c r="E1082" t="s">
        <v>192</v>
      </c>
      <c r="F1082">
        <v>15234975.999999991</v>
      </c>
      <c r="G1082" t="s">
        <v>135</v>
      </c>
      <c r="H1082">
        <v>0</v>
      </c>
      <c r="I1082" t="s">
        <v>192</v>
      </c>
      <c r="J1082">
        <v>15737792.999999998</v>
      </c>
      <c r="K1082" t="s">
        <v>135</v>
      </c>
      <c r="L1082">
        <v>0</v>
      </c>
      <c r="M1082" t="s">
        <v>192</v>
      </c>
      <c r="N1082">
        <v>16248229.999999996</v>
      </c>
      <c r="O1082" t="s">
        <v>135</v>
      </c>
      <c r="P1082">
        <v>0</v>
      </c>
      <c r="Q1082" t="s">
        <v>192</v>
      </c>
      <c r="R1082">
        <v>16767760.499999996</v>
      </c>
      <c r="S1082" t="s">
        <v>135</v>
      </c>
      <c r="T1082">
        <v>3074</v>
      </c>
      <c r="U1082" t="s">
        <v>192</v>
      </c>
      <c r="V1082">
        <v>17298053.500000004</v>
      </c>
      <c r="W1082" t="s">
        <v>135</v>
      </c>
      <c r="X1082">
        <v>0</v>
      </c>
      <c r="Y1082" t="s">
        <v>192</v>
      </c>
      <c r="Z1082">
        <v>17835892.999999981</v>
      </c>
      <c r="AA1082" t="s">
        <v>135</v>
      </c>
      <c r="AB1082">
        <v>8042</v>
      </c>
      <c r="AC1082" t="s">
        <v>192</v>
      </c>
      <c r="AD1082">
        <v>18380476.500000004</v>
      </c>
      <c r="AE1082" t="s">
        <v>135</v>
      </c>
      <c r="AF1082">
        <v>8772</v>
      </c>
      <c r="AG1082" t="s">
        <v>192</v>
      </c>
      <c r="AH1082">
        <v>18927715.000000022</v>
      </c>
      <c r="AI1082" t="s">
        <v>135</v>
      </c>
      <c r="AJ1082">
        <v>9636</v>
      </c>
      <c r="AK1082" t="s">
        <v>192</v>
      </c>
      <c r="AL1082">
        <v>19473124.999999996</v>
      </c>
      <c r="AM1082" t="s">
        <v>135</v>
      </c>
      <c r="AN1082">
        <v>11546</v>
      </c>
      <c r="AO1082" t="s">
        <v>192</v>
      </c>
      <c r="AP1082">
        <v>20017675.000000004</v>
      </c>
      <c r="AQ1082" t="s">
        <v>135</v>
      </c>
      <c r="AR1082">
        <v>11020</v>
      </c>
      <c r="AS1082" t="s">
        <v>192</v>
      </c>
      <c r="AT1082" t="s">
        <v>148</v>
      </c>
      <c r="AU1082">
        <v>2026</v>
      </c>
    </row>
    <row r="1083" spans="1:47" x14ac:dyDescent="0.35">
      <c r="C1083" t="s">
        <v>139</v>
      </c>
      <c r="D1083">
        <v>0</v>
      </c>
      <c r="G1083" t="s">
        <v>139</v>
      </c>
      <c r="H1083">
        <v>0</v>
      </c>
      <c r="K1083" t="s">
        <v>139</v>
      </c>
      <c r="L1083">
        <v>0</v>
      </c>
      <c r="O1083" t="s">
        <v>139</v>
      </c>
      <c r="P1083">
        <v>0</v>
      </c>
      <c r="S1083" t="s">
        <v>139</v>
      </c>
      <c r="T1083">
        <v>0</v>
      </c>
      <c r="W1083" t="s">
        <v>139</v>
      </c>
      <c r="X1083">
        <v>31382</v>
      </c>
      <c r="AA1083" t="s">
        <v>139</v>
      </c>
      <c r="AB1083">
        <v>41492</v>
      </c>
      <c r="AE1083" t="s">
        <v>139</v>
      </c>
      <c r="AF1083">
        <v>46070</v>
      </c>
      <c r="AI1083" t="s">
        <v>139</v>
      </c>
      <c r="AJ1083">
        <v>55348</v>
      </c>
      <c r="AM1083" t="s">
        <v>139</v>
      </c>
      <c r="AN1083">
        <v>65084</v>
      </c>
      <c r="AQ1083" t="s">
        <v>139</v>
      </c>
      <c r="AR1083">
        <v>67558</v>
      </c>
      <c r="AT1083" t="s">
        <v>139</v>
      </c>
      <c r="AU1083">
        <v>14516</v>
      </c>
    </row>
    <row r="1084" spans="1:47" x14ac:dyDescent="0.35">
      <c r="C1084" t="s">
        <v>138</v>
      </c>
      <c r="D1084">
        <v>0</v>
      </c>
      <c r="G1084" t="s">
        <v>138</v>
      </c>
      <c r="H1084">
        <v>5546</v>
      </c>
      <c r="K1084" t="s">
        <v>138</v>
      </c>
      <c r="L1084">
        <v>0</v>
      </c>
      <c r="O1084" t="s">
        <v>138</v>
      </c>
      <c r="P1084">
        <v>0</v>
      </c>
      <c r="S1084" t="s">
        <v>138</v>
      </c>
      <c r="T1084">
        <v>6666</v>
      </c>
      <c r="W1084" t="s">
        <v>138</v>
      </c>
      <c r="X1084">
        <v>0</v>
      </c>
      <c r="AA1084" t="s">
        <v>138</v>
      </c>
      <c r="AB1084">
        <v>4274</v>
      </c>
      <c r="AE1084" t="s">
        <v>138</v>
      </c>
      <c r="AF1084">
        <v>6446</v>
      </c>
      <c r="AI1084" t="s">
        <v>138</v>
      </c>
      <c r="AJ1084">
        <v>6624</v>
      </c>
      <c r="AM1084" t="s">
        <v>138</v>
      </c>
      <c r="AN1084">
        <v>7492</v>
      </c>
      <c r="AQ1084" t="s">
        <v>138</v>
      </c>
      <c r="AR1084">
        <v>18404</v>
      </c>
      <c r="AT1084" t="s">
        <v>138</v>
      </c>
      <c r="AU1084">
        <v>3432</v>
      </c>
    </row>
    <row r="1085" spans="1:47" x14ac:dyDescent="0.35">
      <c r="C1085" t="s">
        <v>82</v>
      </c>
      <c r="D1085">
        <v>0</v>
      </c>
      <c r="G1085" t="s">
        <v>82</v>
      </c>
      <c r="H1085">
        <v>460</v>
      </c>
      <c r="K1085" t="s">
        <v>82</v>
      </c>
      <c r="L1085">
        <v>1491</v>
      </c>
      <c r="O1085" t="s">
        <v>82</v>
      </c>
      <c r="P1085">
        <v>0</v>
      </c>
      <c r="S1085" t="s">
        <v>82</v>
      </c>
      <c r="T1085">
        <v>0</v>
      </c>
      <c r="W1085" t="s">
        <v>82</v>
      </c>
      <c r="X1085">
        <v>371</v>
      </c>
      <c r="AA1085" t="s">
        <v>82</v>
      </c>
      <c r="AB1085">
        <v>0</v>
      </c>
      <c r="AE1085" t="s">
        <v>82</v>
      </c>
      <c r="AF1085">
        <v>0</v>
      </c>
      <c r="AI1085" t="s">
        <v>82</v>
      </c>
      <c r="AJ1085">
        <v>0</v>
      </c>
      <c r="AM1085" t="s">
        <v>82</v>
      </c>
      <c r="AN1085">
        <v>0</v>
      </c>
      <c r="AQ1085" t="s">
        <v>82</v>
      </c>
      <c r="AR1085">
        <v>0</v>
      </c>
      <c r="AT1085" t="s">
        <v>82</v>
      </c>
      <c r="AU1085">
        <v>1708</v>
      </c>
    </row>
    <row r="1086" spans="1:47" x14ac:dyDescent="0.35">
      <c r="C1086" t="s">
        <v>60</v>
      </c>
      <c r="D1086">
        <v>0</v>
      </c>
      <c r="G1086" t="s">
        <v>60</v>
      </c>
      <c r="H1086">
        <v>351</v>
      </c>
      <c r="K1086" t="s">
        <v>60</v>
      </c>
      <c r="L1086">
        <v>374</v>
      </c>
      <c r="O1086" t="s">
        <v>60</v>
      </c>
      <c r="P1086">
        <v>0</v>
      </c>
      <c r="S1086" t="s">
        <v>60</v>
      </c>
      <c r="T1086">
        <v>0</v>
      </c>
      <c r="W1086" t="s">
        <v>60</v>
      </c>
      <c r="X1086">
        <v>54</v>
      </c>
      <c r="AA1086" t="s">
        <v>60</v>
      </c>
      <c r="AB1086">
        <v>0</v>
      </c>
      <c r="AE1086" t="s">
        <v>60</v>
      </c>
      <c r="AF1086">
        <v>0</v>
      </c>
      <c r="AI1086" t="s">
        <v>60</v>
      </c>
      <c r="AJ1086">
        <v>10395</v>
      </c>
      <c r="AM1086" t="s">
        <v>60</v>
      </c>
      <c r="AN1086">
        <v>0</v>
      </c>
      <c r="AQ1086" t="s">
        <v>60</v>
      </c>
      <c r="AR1086">
        <v>0</v>
      </c>
      <c r="AT1086" t="s">
        <v>60</v>
      </c>
      <c r="AU1086">
        <v>455</v>
      </c>
    </row>
    <row r="1087" spans="1:47" x14ac:dyDescent="0.35">
      <c r="C1087" t="s">
        <v>127</v>
      </c>
      <c r="D1087">
        <v>0</v>
      </c>
      <c r="G1087" t="s">
        <v>127</v>
      </c>
      <c r="H1087">
        <v>0</v>
      </c>
      <c r="K1087" t="s">
        <v>127</v>
      </c>
      <c r="L1087">
        <v>0</v>
      </c>
      <c r="O1087" t="s">
        <v>127</v>
      </c>
      <c r="P1087">
        <v>0</v>
      </c>
      <c r="S1087" t="s">
        <v>127</v>
      </c>
      <c r="T1087">
        <v>0</v>
      </c>
      <c r="W1087" t="s">
        <v>127</v>
      </c>
      <c r="X1087">
        <v>0</v>
      </c>
      <c r="AA1087" t="s">
        <v>127</v>
      </c>
      <c r="AB1087">
        <v>1283</v>
      </c>
      <c r="AE1087" t="s">
        <v>127</v>
      </c>
      <c r="AF1087">
        <v>1846</v>
      </c>
      <c r="AI1087" t="s">
        <v>127</v>
      </c>
      <c r="AJ1087">
        <v>41669</v>
      </c>
      <c r="AM1087" t="s">
        <v>127</v>
      </c>
      <c r="AN1087">
        <v>0</v>
      </c>
      <c r="AQ1087" t="s">
        <v>127</v>
      </c>
      <c r="AR1087">
        <v>2421</v>
      </c>
      <c r="AT1087" t="s">
        <v>58</v>
      </c>
      <c r="AU1087">
        <v>1262</v>
      </c>
    </row>
    <row r="1088" spans="1:47" x14ac:dyDescent="0.35">
      <c r="C1088" t="s">
        <v>61</v>
      </c>
      <c r="D1088">
        <v>0</v>
      </c>
      <c r="G1088" t="s">
        <v>61</v>
      </c>
      <c r="H1088">
        <v>0</v>
      </c>
      <c r="K1088" t="s">
        <v>61</v>
      </c>
      <c r="L1088">
        <v>0</v>
      </c>
      <c r="O1088" t="s">
        <v>61</v>
      </c>
      <c r="P1088">
        <v>0</v>
      </c>
      <c r="S1088" t="s">
        <v>61</v>
      </c>
      <c r="T1088">
        <v>0</v>
      </c>
      <c r="W1088" t="s">
        <v>61</v>
      </c>
      <c r="X1088">
        <v>66</v>
      </c>
      <c r="AA1088" t="s">
        <v>61</v>
      </c>
      <c r="AB1088">
        <v>0</v>
      </c>
      <c r="AE1088" t="s">
        <v>61</v>
      </c>
      <c r="AF1088">
        <v>0</v>
      </c>
      <c r="AI1088" t="s">
        <v>61</v>
      </c>
      <c r="AJ1088">
        <v>0</v>
      </c>
      <c r="AM1088" t="s">
        <v>61</v>
      </c>
      <c r="AN1088">
        <v>0</v>
      </c>
      <c r="AQ1088" t="s">
        <v>61</v>
      </c>
      <c r="AR1088">
        <v>0</v>
      </c>
      <c r="AT1088" t="s">
        <v>61</v>
      </c>
      <c r="AU1088">
        <v>404</v>
      </c>
    </row>
    <row r="1089" spans="3:47" x14ac:dyDescent="0.35">
      <c r="C1089" t="s">
        <v>62</v>
      </c>
      <c r="D1089">
        <v>0</v>
      </c>
      <c r="G1089" t="s">
        <v>62</v>
      </c>
      <c r="H1089">
        <v>0</v>
      </c>
      <c r="K1089" t="s">
        <v>62</v>
      </c>
      <c r="L1089">
        <v>0</v>
      </c>
      <c r="O1089" t="s">
        <v>62</v>
      </c>
      <c r="P1089">
        <v>0</v>
      </c>
      <c r="S1089" t="s">
        <v>62</v>
      </c>
      <c r="T1089">
        <v>0</v>
      </c>
      <c r="W1089" t="s">
        <v>62</v>
      </c>
      <c r="X1089">
        <v>0</v>
      </c>
      <c r="AA1089" t="s">
        <v>62</v>
      </c>
      <c r="AB1089">
        <v>0</v>
      </c>
      <c r="AE1089" t="s">
        <v>62</v>
      </c>
      <c r="AF1089">
        <v>0</v>
      </c>
      <c r="AI1089" t="s">
        <v>62</v>
      </c>
      <c r="AJ1089">
        <v>3330</v>
      </c>
      <c r="AM1089" t="s">
        <v>62</v>
      </c>
      <c r="AN1089">
        <v>0</v>
      </c>
      <c r="AQ1089" t="s">
        <v>62</v>
      </c>
      <c r="AR1089">
        <v>0</v>
      </c>
      <c r="AT1089" t="s">
        <v>62</v>
      </c>
      <c r="AU1089">
        <v>2016</v>
      </c>
    </row>
    <row r="1090" spans="3:47" x14ac:dyDescent="0.35">
      <c r="C1090" t="s">
        <v>203</v>
      </c>
      <c r="D1090">
        <v>0</v>
      </c>
      <c r="G1090" t="s">
        <v>203</v>
      </c>
      <c r="H1090">
        <v>0</v>
      </c>
      <c r="K1090" t="s">
        <v>203</v>
      </c>
      <c r="L1090">
        <v>0</v>
      </c>
      <c r="O1090" t="s">
        <v>203</v>
      </c>
      <c r="P1090">
        <v>0</v>
      </c>
      <c r="S1090" t="s">
        <v>203</v>
      </c>
      <c r="T1090">
        <v>0</v>
      </c>
      <c r="W1090" t="s">
        <v>203</v>
      </c>
      <c r="X1090">
        <v>0</v>
      </c>
      <c r="AA1090" t="s">
        <v>203</v>
      </c>
      <c r="AB1090">
        <v>119</v>
      </c>
      <c r="AE1090" t="s">
        <v>203</v>
      </c>
      <c r="AF1090">
        <v>0</v>
      </c>
      <c r="AI1090" t="s">
        <v>203</v>
      </c>
      <c r="AJ1090">
        <v>0</v>
      </c>
      <c r="AM1090" t="s">
        <v>203</v>
      </c>
      <c r="AN1090">
        <v>0</v>
      </c>
      <c r="AQ1090" t="s">
        <v>203</v>
      </c>
      <c r="AR1090">
        <v>0</v>
      </c>
      <c r="AT1090" t="s">
        <v>64</v>
      </c>
      <c r="AU1090">
        <v>0</v>
      </c>
    </row>
    <row r="1091" spans="3:47" x14ac:dyDescent="0.35">
      <c r="C1091" t="s">
        <v>204</v>
      </c>
      <c r="D1091">
        <v>0</v>
      </c>
      <c r="G1091" t="s">
        <v>204</v>
      </c>
      <c r="H1091">
        <v>0</v>
      </c>
      <c r="K1091" t="s">
        <v>204</v>
      </c>
      <c r="L1091">
        <v>0</v>
      </c>
      <c r="O1091" t="s">
        <v>204</v>
      </c>
      <c r="P1091">
        <v>0</v>
      </c>
      <c r="S1091" t="s">
        <v>204</v>
      </c>
      <c r="T1091">
        <v>0</v>
      </c>
      <c r="W1091" t="s">
        <v>204</v>
      </c>
      <c r="X1091">
        <v>0</v>
      </c>
      <c r="AA1091" t="s">
        <v>204</v>
      </c>
      <c r="AB1091">
        <v>0</v>
      </c>
      <c r="AE1091" t="s">
        <v>204</v>
      </c>
      <c r="AF1091">
        <v>0</v>
      </c>
      <c r="AI1091" t="s">
        <v>204</v>
      </c>
      <c r="AJ1091">
        <v>0</v>
      </c>
      <c r="AM1091" t="s">
        <v>204</v>
      </c>
      <c r="AN1091">
        <v>0</v>
      </c>
      <c r="AQ1091" t="s">
        <v>204</v>
      </c>
      <c r="AR1091">
        <v>0</v>
      </c>
      <c r="AT1091" t="s">
        <v>65</v>
      </c>
      <c r="AU1091">
        <v>0</v>
      </c>
    </row>
    <row r="1092" spans="3:47" x14ac:dyDescent="0.35">
      <c r="C1092" t="s">
        <v>205</v>
      </c>
      <c r="D1092">
        <v>53</v>
      </c>
      <c r="G1092" t="s">
        <v>205</v>
      </c>
      <c r="H1092">
        <v>0</v>
      </c>
      <c r="K1092" t="s">
        <v>205</v>
      </c>
      <c r="L1092">
        <v>0</v>
      </c>
      <c r="O1092" t="s">
        <v>205</v>
      </c>
      <c r="P1092">
        <v>0</v>
      </c>
      <c r="S1092" t="s">
        <v>205</v>
      </c>
      <c r="T1092">
        <v>0</v>
      </c>
      <c r="W1092" t="s">
        <v>205</v>
      </c>
      <c r="X1092">
        <v>0</v>
      </c>
      <c r="AA1092" t="s">
        <v>205</v>
      </c>
      <c r="AB1092">
        <v>0</v>
      </c>
      <c r="AE1092" t="s">
        <v>205</v>
      </c>
      <c r="AF1092">
        <v>0</v>
      </c>
      <c r="AI1092" t="s">
        <v>205</v>
      </c>
      <c r="AJ1092">
        <v>0</v>
      </c>
      <c r="AM1092" t="s">
        <v>205</v>
      </c>
      <c r="AN1092">
        <v>0</v>
      </c>
      <c r="AQ1092" t="s">
        <v>205</v>
      </c>
      <c r="AR1092">
        <v>28</v>
      </c>
      <c r="AT1092" t="s">
        <v>66</v>
      </c>
      <c r="AU1092">
        <v>0</v>
      </c>
    </row>
    <row r="1093" spans="3:47" x14ac:dyDescent="0.35">
      <c r="C1093" t="s">
        <v>133</v>
      </c>
      <c r="D1093">
        <v>184</v>
      </c>
      <c r="G1093" t="s">
        <v>133</v>
      </c>
      <c r="H1093">
        <v>0</v>
      </c>
      <c r="K1093" t="s">
        <v>133</v>
      </c>
      <c r="L1093">
        <v>0</v>
      </c>
      <c r="O1093" t="s">
        <v>133</v>
      </c>
      <c r="P1093">
        <v>0</v>
      </c>
      <c r="S1093" t="s">
        <v>133</v>
      </c>
      <c r="T1093">
        <v>921</v>
      </c>
      <c r="W1093" t="s">
        <v>133</v>
      </c>
      <c r="X1093">
        <v>0</v>
      </c>
      <c r="AA1093" t="s">
        <v>133</v>
      </c>
      <c r="AB1093">
        <v>18</v>
      </c>
      <c r="AE1093" t="s">
        <v>133</v>
      </c>
      <c r="AF1093">
        <v>18</v>
      </c>
      <c r="AI1093" t="s">
        <v>133</v>
      </c>
      <c r="AJ1093">
        <v>19</v>
      </c>
      <c r="AM1093" t="s">
        <v>133</v>
      </c>
      <c r="AN1093">
        <v>19</v>
      </c>
      <c r="AQ1093" t="s">
        <v>133</v>
      </c>
      <c r="AR1093">
        <v>388</v>
      </c>
      <c r="AT1093" t="s">
        <v>79</v>
      </c>
      <c r="AU1093">
        <v>0</v>
      </c>
    </row>
    <row r="1094" spans="3:47" x14ac:dyDescent="0.35">
      <c r="C1094" t="s">
        <v>206</v>
      </c>
      <c r="D1094">
        <v>0</v>
      </c>
      <c r="G1094" t="s">
        <v>206</v>
      </c>
      <c r="H1094">
        <v>0</v>
      </c>
      <c r="K1094" t="s">
        <v>206</v>
      </c>
      <c r="L1094">
        <v>0</v>
      </c>
      <c r="O1094" t="s">
        <v>206</v>
      </c>
      <c r="P1094">
        <v>0</v>
      </c>
      <c r="S1094" t="s">
        <v>206</v>
      </c>
      <c r="T1094">
        <v>0</v>
      </c>
      <c r="W1094" t="s">
        <v>206</v>
      </c>
      <c r="X1094">
        <v>0</v>
      </c>
      <c r="AA1094" t="s">
        <v>206</v>
      </c>
      <c r="AB1094">
        <v>0</v>
      </c>
      <c r="AE1094" t="s">
        <v>206</v>
      </c>
      <c r="AF1094">
        <v>0</v>
      </c>
      <c r="AI1094" t="s">
        <v>206</v>
      </c>
      <c r="AJ1094">
        <v>0</v>
      </c>
      <c r="AM1094" t="s">
        <v>206</v>
      </c>
      <c r="AN1094">
        <v>0</v>
      </c>
      <c r="AQ1094" t="s">
        <v>206</v>
      </c>
      <c r="AR1094">
        <v>7144</v>
      </c>
      <c r="AT1094" t="s">
        <v>68</v>
      </c>
      <c r="AU1094">
        <v>2617</v>
      </c>
    </row>
    <row r="1095" spans="3:47" x14ac:dyDescent="0.35">
      <c r="C1095" t="s">
        <v>136</v>
      </c>
      <c r="D1095">
        <v>500</v>
      </c>
      <c r="G1095" t="s">
        <v>136</v>
      </c>
      <c r="H1095">
        <v>0</v>
      </c>
      <c r="K1095" t="s">
        <v>136</v>
      </c>
      <c r="L1095">
        <v>0</v>
      </c>
      <c r="O1095" t="s">
        <v>136</v>
      </c>
      <c r="P1095">
        <v>0</v>
      </c>
      <c r="S1095" t="s">
        <v>136</v>
      </c>
      <c r="T1095">
        <v>419</v>
      </c>
      <c r="W1095" t="s">
        <v>136</v>
      </c>
      <c r="X1095">
        <v>0</v>
      </c>
      <c r="AA1095" t="s">
        <v>136</v>
      </c>
      <c r="AB1095">
        <v>761</v>
      </c>
      <c r="AE1095" t="s">
        <v>136</v>
      </c>
      <c r="AF1095">
        <v>929</v>
      </c>
      <c r="AI1095" t="s">
        <v>136</v>
      </c>
      <c r="AJ1095">
        <v>1075</v>
      </c>
      <c r="AM1095" t="s">
        <v>136</v>
      </c>
      <c r="AN1095">
        <v>1375</v>
      </c>
      <c r="AQ1095" t="s">
        <v>136</v>
      </c>
      <c r="AR1095">
        <v>2633</v>
      </c>
      <c r="AT1095" t="s">
        <v>69</v>
      </c>
      <c r="AU1095">
        <v>602</v>
      </c>
    </row>
    <row r="1096" spans="3:47" x14ac:dyDescent="0.35">
      <c r="C1096" t="s">
        <v>207</v>
      </c>
      <c r="D1096">
        <v>0</v>
      </c>
      <c r="G1096" t="s">
        <v>207</v>
      </c>
      <c r="H1096">
        <v>0</v>
      </c>
      <c r="K1096" t="s">
        <v>207</v>
      </c>
      <c r="L1096">
        <v>0</v>
      </c>
      <c r="O1096" t="s">
        <v>207</v>
      </c>
      <c r="P1096">
        <v>0</v>
      </c>
      <c r="S1096" t="s">
        <v>207</v>
      </c>
      <c r="T1096">
        <v>0</v>
      </c>
      <c r="W1096" t="s">
        <v>207</v>
      </c>
      <c r="X1096">
        <v>0</v>
      </c>
      <c r="AA1096" t="s">
        <v>207</v>
      </c>
      <c r="AB1096">
        <v>67</v>
      </c>
      <c r="AE1096" t="s">
        <v>207</v>
      </c>
      <c r="AF1096">
        <v>0</v>
      </c>
      <c r="AI1096" t="s">
        <v>207</v>
      </c>
      <c r="AJ1096">
        <v>0</v>
      </c>
      <c r="AM1096" t="s">
        <v>207</v>
      </c>
      <c r="AN1096">
        <v>0</v>
      </c>
      <c r="AQ1096" t="s">
        <v>207</v>
      </c>
      <c r="AR1096">
        <v>0</v>
      </c>
      <c r="AT1096" t="s">
        <v>70</v>
      </c>
      <c r="AU1096">
        <v>1232</v>
      </c>
    </row>
    <row r="1097" spans="3:47" x14ac:dyDescent="0.35">
      <c r="C1097" t="s">
        <v>141</v>
      </c>
      <c r="D1097">
        <v>18</v>
      </c>
      <c r="G1097" t="s">
        <v>141</v>
      </c>
      <c r="H1097">
        <v>0</v>
      </c>
      <c r="K1097" t="s">
        <v>141</v>
      </c>
      <c r="L1097">
        <v>0</v>
      </c>
      <c r="O1097" t="s">
        <v>141</v>
      </c>
      <c r="P1097">
        <v>0</v>
      </c>
      <c r="S1097" t="s">
        <v>141</v>
      </c>
      <c r="T1097">
        <v>0</v>
      </c>
      <c r="W1097" t="s">
        <v>141</v>
      </c>
      <c r="X1097">
        <v>0</v>
      </c>
      <c r="AA1097" t="s">
        <v>141</v>
      </c>
      <c r="AB1097">
        <v>16</v>
      </c>
      <c r="AE1097" t="s">
        <v>141</v>
      </c>
      <c r="AF1097">
        <v>0</v>
      </c>
      <c r="AI1097" t="s">
        <v>141</v>
      </c>
      <c r="AJ1097">
        <v>0</v>
      </c>
      <c r="AM1097" t="s">
        <v>141</v>
      </c>
      <c r="AN1097">
        <v>0</v>
      </c>
      <c r="AQ1097" t="s">
        <v>141</v>
      </c>
      <c r="AR1097">
        <v>137</v>
      </c>
      <c r="AT1097" t="s">
        <v>76</v>
      </c>
      <c r="AU1097">
        <v>61</v>
      </c>
    </row>
    <row r="1098" spans="3:47" x14ac:dyDescent="0.35">
      <c r="C1098" t="s">
        <v>208</v>
      </c>
      <c r="D1098">
        <v>0</v>
      </c>
      <c r="G1098" t="s">
        <v>208</v>
      </c>
      <c r="H1098">
        <v>0</v>
      </c>
      <c r="K1098" t="s">
        <v>208</v>
      </c>
      <c r="L1098">
        <v>0</v>
      </c>
      <c r="O1098" t="s">
        <v>208</v>
      </c>
      <c r="P1098">
        <v>0</v>
      </c>
      <c r="S1098" t="s">
        <v>208</v>
      </c>
      <c r="T1098">
        <v>0</v>
      </c>
      <c r="W1098" t="s">
        <v>208</v>
      </c>
      <c r="X1098">
        <v>0</v>
      </c>
      <c r="AA1098" t="s">
        <v>208</v>
      </c>
      <c r="AB1098">
        <v>0</v>
      </c>
      <c r="AE1098" t="s">
        <v>208</v>
      </c>
      <c r="AF1098">
        <v>0</v>
      </c>
      <c r="AI1098" t="s">
        <v>208</v>
      </c>
      <c r="AJ1098">
        <v>0</v>
      </c>
      <c r="AM1098" t="s">
        <v>208</v>
      </c>
      <c r="AN1098">
        <v>0</v>
      </c>
      <c r="AQ1098" t="s">
        <v>208</v>
      </c>
      <c r="AR1098">
        <v>0</v>
      </c>
      <c r="AT1098" t="s">
        <v>77</v>
      </c>
      <c r="AU1098">
        <v>17801</v>
      </c>
    </row>
    <row r="1099" spans="3:47" x14ac:dyDescent="0.35">
      <c r="C1099" t="s">
        <v>209</v>
      </c>
      <c r="D1099">
        <v>0</v>
      </c>
      <c r="G1099" t="s">
        <v>209</v>
      </c>
      <c r="H1099">
        <v>0</v>
      </c>
      <c r="K1099" t="s">
        <v>209</v>
      </c>
      <c r="L1099">
        <v>0</v>
      </c>
      <c r="O1099" t="s">
        <v>209</v>
      </c>
      <c r="P1099">
        <v>0</v>
      </c>
      <c r="S1099" t="s">
        <v>209</v>
      </c>
      <c r="T1099">
        <v>0</v>
      </c>
      <c r="W1099" t="s">
        <v>209</v>
      </c>
      <c r="X1099">
        <v>0</v>
      </c>
      <c r="AA1099" t="s">
        <v>209</v>
      </c>
      <c r="AB1099">
        <v>0</v>
      </c>
      <c r="AE1099" t="s">
        <v>209</v>
      </c>
      <c r="AF1099">
        <v>0</v>
      </c>
      <c r="AI1099" t="s">
        <v>209</v>
      </c>
      <c r="AJ1099">
        <v>0</v>
      </c>
      <c r="AM1099" t="s">
        <v>209</v>
      </c>
      <c r="AN1099">
        <v>0</v>
      </c>
      <c r="AQ1099" t="s">
        <v>209</v>
      </c>
      <c r="AR1099">
        <v>0</v>
      </c>
      <c r="AT1099" t="s">
        <v>78</v>
      </c>
      <c r="AU1099">
        <v>0</v>
      </c>
    </row>
    <row r="1100" spans="3:47" x14ac:dyDescent="0.35">
      <c r="C1100" t="s">
        <v>134</v>
      </c>
      <c r="D1100">
        <v>1126</v>
      </c>
      <c r="G1100" t="s">
        <v>134</v>
      </c>
      <c r="H1100">
        <v>0</v>
      </c>
      <c r="K1100" t="s">
        <v>134</v>
      </c>
      <c r="L1100">
        <v>0</v>
      </c>
      <c r="O1100" t="s">
        <v>134</v>
      </c>
      <c r="P1100">
        <v>0</v>
      </c>
      <c r="S1100" t="s">
        <v>134</v>
      </c>
      <c r="T1100">
        <v>0</v>
      </c>
      <c r="W1100" t="s">
        <v>134</v>
      </c>
      <c r="X1100">
        <v>0</v>
      </c>
      <c r="AA1100" t="s">
        <v>134</v>
      </c>
      <c r="AB1100">
        <v>1712</v>
      </c>
      <c r="AE1100" t="s">
        <v>134</v>
      </c>
      <c r="AF1100">
        <v>2045</v>
      </c>
      <c r="AI1100" t="s">
        <v>134</v>
      </c>
      <c r="AJ1100">
        <v>2506</v>
      </c>
      <c r="AM1100" t="s">
        <v>134</v>
      </c>
      <c r="AN1100">
        <v>3182</v>
      </c>
      <c r="AQ1100" t="s">
        <v>134</v>
      </c>
      <c r="AR1100">
        <v>1474</v>
      </c>
      <c r="AT1100" t="s">
        <v>67</v>
      </c>
      <c r="AU1100">
        <v>1602</v>
      </c>
    </row>
    <row r="1101" spans="3:47" x14ac:dyDescent="0.35">
      <c r="C1101" t="s">
        <v>142</v>
      </c>
      <c r="D1101">
        <v>3141</v>
      </c>
      <c r="G1101" t="s">
        <v>142</v>
      </c>
      <c r="H1101">
        <v>0</v>
      </c>
      <c r="K1101" t="s">
        <v>142</v>
      </c>
      <c r="L1101">
        <v>0</v>
      </c>
      <c r="O1101" t="s">
        <v>142</v>
      </c>
      <c r="P1101">
        <v>0</v>
      </c>
      <c r="S1101" t="s">
        <v>142</v>
      </c>
      <c r="T1101">
        <v>1814</v>
      </c>
      <c r="W1101" t="s">
        <v>142</v>
      </c>
      <c r="X1101">
        <v>0</v>
      </c>
      <c r="AA1101" t="s">
        <v>142</v>
      </c>
      <c r="AB1101">
        <v>3616</v>
      </c>
      <c r="AE1101" t="s">
        <v>142</v>
      </c>
      <c r="AF1101">
        <v>4562</v>
      </c>
      <c r="AI1101" t="s">
        <v>142</v>
      </c>
      <c r="AJ1101">
        <v>5544</v>
      </c>
      <c r="AM1101" t="s">
        <v>142</v>
      </c>
      <c r="AN1101">
        <v>8281</v>
      </c>
      <c r="AQ1101" t="s">
        <v>142</v>
      </c>
      <c r="AR1101">
        <v>970</v>
      </c>
      <c r="AT1101" t="s">
        <v>80</v>
      </c>
      <c r="AU1101">
        <v>0</v>
      </c>
    </row>
    <row r="1102" spans="3:47" x14ac:dyDescent="0.35">
      <c r="C1102" t="s">
        <v>83</v>
      </c>
      <c r="D1102">
        <v>485</v>
      </c>
      <c r="G1102" t="s">
        <v>83</v>
      </c>
      <c r="H1102">
        <v>0</v>
      </c>
      <c r="K1102" t="s">
        <v>83</v>
      </c>
      <c r="L1102">
        <v>0</v>
      </c>
      <c r="O1102" t="s">
        <v>83</v>
      </c>
      <c r="P1102">
        <v>0</v>
      </c>
      <c r="S1102" t="s">
        <v>83</v>
      </c>
      <c r="T1102">
        <v>432</v>
      </c>
      <c r="W1102" t="s">
        <v>83</v>
      </c>
      <c r="X1102">
        <v>0</v>
      </c>
      <c r="AA1102" t="s">
        <v>83</v>
      </c>
      <c r="AB1102">
        <v>739</v>
      </c>
      <c r="AE1102" t="s">
        <v>83</v>
      </c>
      <c r="AF1102">
        <v>864</v>
      </c>
      <c r="AI1102" t="s">
        <v>83</v>
      </c>
      <c r="AJ1102">
        <v>1036</v>
      </c>
      <c r="AM1102" t="s">
        <v>83</v>
      </c>
      <c r="AN1102">
        <v>1324</v>
      </c>
      <c r="AQ1102" t="s">
        <v>83</v>
      </c>
      <c r="AR1102">
        <v>1239</v>
      </c>
      <c r="AT1102" t="s">
        <v>83</v>
      </c>
      <c r="AU1102">
        <v>606</v>
      </c>
    </row>
    <row r="1103" spans="3:47" x14ac:dyDescent="0.35">
      <c r="C1103" t="s">
        <v>84</v>
      </c>
      <c r="D1103">
        <v>0</v>
      </c>
      <c r="G1103" t="s">
        <v>84</v>
      </c>
      <c r="H1103">
        <v>0</v>
      </c>
      <c r="K1103" t="s">
        <v>84</v>
      </c>
      <c r="L1103">
        <v>0</v>
      </c>
      <c r="O1103" t="s">
        <v>84</v>
      </c>
      <c r="P1103">
        <v>0</v>
      </c>
      <c r="S1103" t="s">
        <v>84</v>
      </c>
      <c r="T1103">
        <v>0</v>
      </c>
      <c r="W1103" t="s">
        <v>84</v>
      </c>
      <c r="X1103">
        <v>0</v>
      </c>
      <c r="AA1103" t="s">
        <v>84</v>
      </c>
      <c r="AB1103">
        <v>0</v>
      </c>
      <c r="AE1103" t="s">
        <v>84</v>
      </c>
      <c r="AF1103">
        <v>0</v>
      </c>
      <c r="AI1103" t="s">
        <v>84</v>
      </c>
      <c r="AJ1103">
        <v>0</v>
      </c>
      <c r="AM1103" t="s">
        <v>84</v>
      </c>
      <c r="AN1103">
        <v>0</v>
      </c>
      <c r="AQ1103" t="s">
        <v>84</v>
      </c>
      <c r="AR1103">
        <v>0</v>
      </c>
      <c r="AT1103" t="s">
        <v>84</v>
      </c>
      <c r="AU1103">
        <v>0</v>
      </c>
    </row>
    <row r="1104" spans="3:47" x14ac:dyDescent="0.35">
      <c r="C1104" t="s">
        <v>126</v>
      </c>
      <c r="D1104">
        <v>0</v>
      </c>
      <c r="G1104" t="s">
        <v>126</v>
      </c>
      <c r="H1104">
        <v>0</v>
      </c>
      <c r="K1104" t="s">
        <v>223</v>
      </c>
      <c r="L1104">
        <v>0</v>
      </c>
      <c r="O1104" t="s">
        <v>126</v>
      </c>
      <c r="P1104">
        <v>0</v>
      </c>
      <c r="S1104" t="s">
        <v>126</v>
      </c>
      <c r="T1104">
        <v>0</v>
      </c>
      <c r="W1104" t="s">
        <v>126</v>
      </c>
      <c r="X1104">
        <v>0</v>
      </c>
      <c r="AA1104" t="s">
        <v>126</v>
      </c>
      <c r="AB1104">
        <v>0</v>
      </c>
      <c r="AE1104" t="s">
        <v>126</v>
      </c>
      <c r="AF1104">
        <v>0</v>
      </c>
      <c r="AI1104" t="s">
        <v>126</v>
      </c>
      <c r="AJ1104">
        <v>0</v>
      </c>
      <c r="AM1104" t="s">
        <v>126</v>
      </c>
      <c r="AN1104">
        <v>0</v>
      </c>
      <c r="AQ1104" t="s">
        <v>126</v>
      </c>
      <c r="AR1104">
        <v>2</v>
      </c>
      <c r="AT1104" t="s">
        <v>86</v>
      </c>
      <c r="AU1104">
        <v>0</v>
      </c>
    </row>
    <row r="1105" spans="1:47" x14ac:dyDescent="0.35">
      <c r="C1105" t="s">
        <v>87</v>
      </c>
      <c r="D1105">
        <v>0</v>
      </c>
      <c r="G1105" t="s">
        <v>87</v>
      </c>
      <c r="H1105">
        <v>0</v>
      </c>
      <c r="K1105" t="s">
        <v>87</v>
      </c>
      <c r="L1105">
        <v>0</v>
      </c>
      <c r="O1105" t="s">
        <v>87</v>
      </c>
      <c r="P1105">
        <v>0</v>
      </c>
      <c r="S1105" t="s">
        <v>87</v>
      </c>
      <c r="T1105">
        <v>0</v>
      </c>
      <c r="W1105" t="s">
        <v>87</v>
      </c>
      <c r="X1105">
        <v>0</v>
      </c>
      <c r="AA1105" t="s">
        <v>87</v>
      </c>
      <c r="AB1105">
        <v>0</v>
      </c>
      <c r="AE1105" t="s">
        <v>87</v>
      </c>
      <c r="AF1105">
        <v>0</v>
      </c>
      <c r="AI1105" t="s">
        <v>87</v>
      </c>
      <c r="AJ1105">
        <v>0</v>
      </c>
      <c r="AM1105" t="s">
        <v>87</v>
      </c>
      <c r="AN1105">
        <v>0</v>
      </c>
      <c r="AQ1105" t="s">
        <v>87</v>
      </c>
      <c r="AR1105">
        <v>0</v>
      </c>
      <c r="AT1105" t="s">
        <v>87</v>
      </c>
      <c r="AU1105">
        <v>0</v>
      </c>
    </row>
    <row r="1106" spans="1:47" x14ac:dyDescent="0.35">
      <c r="A1106" t="s">
        <v>193</v>
      </c>
      <c r="B1106">
        <v>13265331.000000002</v>
      </c>
      <c r="C1106" t="s">
        <v>135</v>
      </c>
      <c r="D1106">
        <v>2118</v>
      </c>
      <c r="E1106" t="s">
        <v>193</v>
      </c>
      <c r="F1106">
        <v>13555421.500000011</v>
      </c>
      <c r="G1106" t="s">
        <v>135</v>
      </c>
      <c r="H1106">
        <v>2228</v>
      </c>
      <c r="I1106" t="s">
        <v>193</v>
      </c>
      <c r="J1106">
        <v>13855753.000000004</v>
      </c>
      <c r="K1106" t="s">
        <v>135</v>
      </c>
      <c r="L1106">
        <v>3561</v>
      </c>
      <c r="M1106" t="s">
        <v>193</v>
      </c>
      <c r="N1106">
        <v>14154937</v>
      </c>
      <c r="O1106" t="s">
        <v>135</v>
      </c>
      <c r="P1106">
        <v>5462</v>
      </c>
      <c r="Q1106" t="s">
        <v>193</v>
      </c>
      <c r="R1106">
        <v>14452704.499999994</v>
      </c>
      <c r="S1106" t="s">
        <v>135</v>
      </c>
      <c r="T1106">
        <v>5458</v>
      </c>
      <c r="U1106" t="s">
        <v>193</v>
      </c>
      <c r="V1106">
        <v>14751100.999999998</v>
      </c>
      <c r="W1106" t="s">
        <v>135</v>
      </c>
      <c r="X1106">
        <v>5734</v>
      </c>
      <c r="Y1106" t="s">
        <v>193</v>
      </c>
      <c r="Z1106">
        <v>15052184.000000007</v>
      </c>
      <c r="AA1106" t="s">
        <v>135</v>
      </c>
      <c r="AB1106">
        <v>6665</v>
      </c>
      <c r="AC1106" t="s">
        <v>193</v>
      </c>
      <c r="AD1106">
        <v>15354607.5</v>
      </c>
      <c r="AE1106" t="s">
        <v>135</v>
      </c>
      <c r="AF1106">
        <v>0</v>
      </c>
      <c r="AG1106" t="s">
        <v>193</v>
      </c>
      <c r="AH1106">
        <v>15669665.999999998</v>
      </c>
      <c r="AI1106" t="s">
        <v>135</v>
      </c>
      <c r="AJ1106">
        <v>5914</v>
      </c>
      <c r="AK1106" t="s">
        <v>193</v>
      </c>
      <c r="AL1106">
        <v>15993524.000000002</v>
      </c>
      <c r="AM1106" t="s">
        <v>135</v>
      </c>
      <c r="AN1106">
        <v>0</v>
      </c>
      <c r="AO1106" t="s">
        <v>193</v>
      </c>
      <c r="AP1106">
        <v>16320536.999999996</v>
      </c>
      <c r="AQ1106" t="s">
        <v>135</v>
      </c>
      <c r="AR1106">
        <v>6133</v>
      </c>
      <c r="AS1106" t="s">
        <v>193</v>
      </c>
      <c r="AT1106" t="s">
        <v>148</v>
      </c>
      <c r="AU1106">
        <v>1959</v>
      </c>
    </row>
    <row r="1107" spans="1:47" x14ac:dyDescent="0.35">
      <c r="C1107" t="s">
        <v>139</v>
      </c>
      <c r="D1107">
        <v>31072</v>
      </c>
      <c r="G1107" t="s">
        <v>139</v>
      </c>
      <c r="H1107">
        <v>37444</v>
      </c>
      <c r="K1107" t="s">
        <v>139</v>
      </c>
      <c r="L1107">
        <v>44810</v>
      </c>
      <c r="O1107" t="s">
        <v>139</v>
      </c>
      <c r="P1107">
        <v>41532</v>
      </c>
      <c r="S1107" t="s">
        <v>139</v>
      </c>
      <c r="T1107">
        <v>42747</v>
      </c>
      <c r="W1107" t="s">
        <v>139</v>
      </c>
      <c r="X1107">
        <v>59965</v>
      </c>
      <c r="AA1107" t="s">
        <v>139</v>
      </c>
      <c r="AB1107">
        <v>67752</v>
      </c>
      <c r="AE1107" t="s">
        <v>139</v>
      </c>
      <c r="AF1107">
        <v>0</v>
      </c>
      <c r="AI1107" t="s">
        <v>139</v>
      </c>
      <c r="AJ1107">
        <v>44998</v>
      </c>
      <c r="AM1107" t="s">
        <v>139</v>
      </c>
      <c r="AN1107">
        <v>0</v>
      </c>
      <c r="AQ1107" t="s">
        <v>139</v>
      </c>
      <c r="AR1107">
        <v>64364</v>
      </c>
      <c r="AT1107" t="s">
        <v>139</v>
      </c>
      <c r="AU1107">
        <v>25835</v>
      </c>
    </row>
    <row r="1108" spans="1:47" x14ac:dyDescent="0.35">
      <c r="C1108" t="s">
        <v>138</v>
      </c>
      <c r="D1108">
        <v>0</v>
      </c>
      <c r="G1108" t="s">
        <v>138</v>
      </c>
      <c r="H1108">
        <v>0</v>
      </c>
      <c r="K1108" t="s">
        <v>138</v>
      </c>
      <c r="L1108">
        <v>0</v>
      </c>
      <c r="O1108" t="s">
        <v>138</v>
      </c>
      <c r="P1108">
        <v>0</v>
      </c>
      <c r="S1108" t="s">
        <v>138</v>
      </c>
      <c r="T1108">
        <v>0</v>
      </c>
      <c r="W1108" t="s">
        <v>138</v>
      </c>
      <c r="X1108">
        <v>17612</v>
      </c>
      <c r="AA1108" t="s">
        <v>138</v>
      </c>
      <c r="AB1108">
        <v>0</v>
      </c>
      <c r="AE1108" t="s">
        <v>138</v>
      </c>
      <c r="AF1108">
        <v>0</v>
      </c>
      <c r="AI1108" t="s">
        <v>138</v>
      </c>
      <c r="AJ1108">
        <v>18586</v>
      </c>
      <c r="AM1108" t="s">
        <v>138</v>
      </c>
      <c r="AN1108">
        <v>0</v>
      </c>
      <c r="AQ1108" t="s">
        <v>138</v>
      </c>
      <c r="AR1108">
        <v>5592</v>
      </c>
      <c r="AT1108" t="s">
        <v>138</v>
      </c>
      <c r="AU1108">
        <v>854</v>
      </c>
    </row>
    <row r="1109" spans="1:47" x14ac:dyDescent="0.35">
      <c r="C1109" t="s">
        <v>82</v>
      </c>
      <c r="D1109">
        <v>51</v>
      </c>
      <c r="G1109" t="s">
        <v>82</v>
      </c>
      <c r="H1109">
        <v>0</v>
      </c>
      <c r="K1109" t="s">
        <v>82</v>
      </c>
      <c r="L1109">
        <v>0</v>
      </c>
      <c r="O1109" t="s">
        <v>82</v>
      </c>
      <c r="P1109">
        <v>394</v>
      </c>
      <c r="S1109" t="s">
        <v>82</v>
      </c>
      <c r="T1109">
        <v>0</v>
      </c>
      <c r="W1109" t="s">
        <v>82</v>
      </c>
      <c r="X1109">
        <v>0</v>
      </c>
      <c r="AA1109" t="s">
        <v>82</v>
      </c>
      <c r="AB1109">
        <v>0</v>
      </c>
      <c r="AE1109" t="s">
        <v>82</v>
      </c>
      <c r="AF1109">
        <v>0</v>
      </c>
      <c r="AI1109" t="s">
        <v>82</v>
      </c>
      <c r="AJ1109">
        <v>351</v>
      </c>
      <c r="AM1109" t="s">
        <v>82</v>
      </c>
      <c r="AN1109">
        <v>0</v>
      </c>
      <c r="AQ1109" t="s">
        <v>82</v>
      </c>
      <c r="AR1109">
        <v>0</v>
      </c>
      <c r="AT1109" t="s">
        <v>82</v>
      </c>
      <c r="AU1109">
        <v>776</v>
      </c>
    </row>
    <row r="1110" spans="1:47" x14ac:dyDescent="0.35">
      <c r="C1110" t="s">
        <v>60</v>
      </c>
      <c r="D1110">
        <v>30</v>
      </c>
      <c r="G1110" t="s">
        <v>60</v>
      </c>
      <c r="H1110">
        <v>0</v>
      </c>
      <c r="K1110" t="s">
        <v>60</v>
      </c>
      <c r="L1110">
        <v>0</v>
      </c>
      <c r="O1110" t="s">
        <v>60</v>
      </c>
      <c r="P1110">
        <v>236</v>
      </c>
      <c r="S1110" t="s">
        <v>60</v>
      </c>
      <c r="T1110">
        <v>0</v>
      </c>
      <c r="W1110" t="s">
        <v>60</v>
      </c>
      <c r="X1110">
        <v>0</v>
      </c>
      <c r="AA1110" t="s">
        <v>60</v>
      </c>
      <c r="AB1110">
        <v>0</v>
      </c>
      <c r="AE1110" t="s">
        <v>60</v>
      </c>
      <c r="AF1110">
        <v>0</v>
      </c>
      <c r="AI1110" t="s">
        <v>60</v>
      </c>
      <c r="AJ1110">
        <v>38</v>
      </c>
      <c r="AM1110" t="s">
        <v>60</v>
      </c>
      <c r="AN1110">
        <v>0</v>
      </c>
      <c r="AQ1110" t="s">
        <v>60</v>
      </c>
      <c r="AR1110">
        <v>0</v>
      </c>
      <c r="AT1110" t="s">
        <v>60</v>
      </c>
      <c r="AU1110">
        <v>347</v>
      </c>
    </row>
    <row r="1111" spans="1:47" x14ac:dyDescent="0.35">
      <c r="C1111" t="s">
        <v>127</v>
      </c>
      <c r="D1111">
        <v>0</v>
      </c>
      <c r="G1111" t="s">
        <v>127</v>
      </c>
      <c r="H1111">
        <v>0</v>
      </c>
      <c r="K1111" t="s">
        <v>127</v>
      </c>
      <c r="L1111">
        <v>0</v>
      </c>
      <c r="O1111" t="s">
        <v>127</v>
      </c>
      <c r="P1111">
        <v>11200</v>
      </c>
      <c r="S1111" t="s">
        <v>127</v>
      </c>
      <c r="T1111">
        <v>0</v>
      </c>
      <c r="W1111" t="s">
        <v>127</v>
      </c>
      <c r="X1111">
        <v>15000</v>
      </c>
      <c r="AA1111" t="s">
        <v>127</v>
      </c>
      <c r="AB1111">
        <v>15888</v>
      </c>
      <c r="AE1111" t="s">
        <v>127</v>
      </c>
      <c r="AF1111">
        <v>0</v>
      </c>
      <c r="AI1111" t="s">
        <v>127</v>
      </c>
      <c r="AJ1111">
        <v>0</v>
      </c>
      <c r="AM1111" t="s">
        <v>127</v>
      </c>
      <c r="AN1111">
        <v>0</v>
      </c>
      <c r="AQ1111" t="s">
        <v>127</v>
      </c>
      <c r="AR1111">
        <v>19722</v>
      </c>
      <c r="AT1111" t="s">
        <v>58</v>
      </c>
      <c r="AU1111">
        <v>2143</v>
      </c>
    </row>
    <row r="1112" spans="1:47" x14ac:dyDescent="0.35">
      <c r="C1112" t="s">
        <v>61</v>
      </c>
      <c r="D1112">
        <v>0</v>
      </c>
      <c r="G1112" t="s">
        <v>61</v>
      </c>
      <c r="H1112">
        <v>0</v>
      </c>
      <c r="K1112" t="s">
        <v>61</v>
      </c>
      <c r="L1112">
        <v>0</v>
      </c>
      <c r="O1112" t="s">
        <v>61</v>
      </c>
      <c r="P1112">
        <v>845</v>
      </c>
      <c r="S1112" t="s">
        <v>61</v>
      </c>
      <c r="T1112">
        <v>0</v>
      </c>
      <c r="W1112" t="s">
        <v>61</v>
      </c>
      <c r="X1112">
        <v>0</v>
      </c>
      <c r="AA1112" t="s">
        <v>61</v>
      </c>
      <c r="AB1112">
        <v>0</v>
      </c>
      <c r="AE1112" t="s">
        <v>61</v>
      </c>
      <c r="AF1112">
        <v>0</v>
      </c>
      <c r="AI1112" t="s">
        <v>61</v>
      </c>
      <c r="AJ1112">
        <v>0</v>
      </c>
      <c r="AM1112" t="s">
        <v>61</v>
      </c>
      <c r="AN1112">
        <v>0</v>
      </c>
      <c r="AQ1112" t="s">
        <v>61</v>
      </c>
      <c r="AR1112">
        <v>0</v>
      </c>
      <c r="AT1112" t="s">
        <v>61</v>
      </c>
      <c r="AU1112">
        <v>0</v>
      </c>
    </row>
    <row r="1113" spans="1:47" x14ac:dyDescent="0.35">
      <c r="C1113" t="s">
        <v>62</v>
      </c>
      <c r="D1113">
        <v>0</v>
      </c>
      <c r="G1113" t="s">
        <v>62</v>
      </c>
      <c r="H1113">
        <v>0</v>
      </c>
      <c r="K1113" t="s">
        <v>62</v>
      </c>
      <c r="L1113">
        <v>0</v>
      </c>
      <c r="O1113" t="s">
        <v>62</v>
      </c>
      <c r="P1113">
        <v>1885</v>
      </c>
      <c r="S1113" t="s">
        <v>62</v>
      </c>
      <c r="T1113">
        <v>0</v>
      </c>
      <c r="W1113" t="s">
        <v>62</v>
      </c>
      <c r="X1113">
        <v>0</v>
      </c>
      <c r="AA1113" t="s">
        <v>62</v>
      </c>
      <c r="AB1113">
        <v>0</v>
      </c>
      <c r="AE1113" t="s">
        <v>62</v>
      </c>
      <c r="AF1113">
        <v>0</v>
      </c>
      <c r="AI1113" t="s">
        <v>62</v>
      </c>
      <c r="AJ1113">
        <v>91</v>
      </c>
      <c r="AM1113" t="s">
        <v>62</v>
      </c>
      <c r="AN1113">
        <v>0</v>
      </c>
      <c r="AQ1113" t="s">
        <v>62</v>
      </c>
      <c r="AR1113">
        <v>0</v>
      </c>
      <c r="AT1113" t="s">
        <v>62</v>
      </c>
      <c r="AU1113">
        <v>1644</v>
      </c>
    </row>
    <row r="1114" spans="1:47" x14ac:dyDescent="0.35">
      <c r="C1114" t="s">
        <v>203</v>
      </c>
      <c r="D1114">
        <v>0</v>
      </c>
      <c r="G1114" t="s">
        <v>203</v>
      </c>
      <c r="H1114">
        <v>0</v>
      </c>
      <c r="K1114" t="s">
        <v>203</v>
      </c>
      <c r="L1114">
        <v>0</v>
      </c>
      <c r="O1114" t="s">
        <v>203</v>
      </c>
      <c r="P1114">
        <v>0</v>
      </c>
      <c r="S1114" t="s">
        <v>203</v>
      </c>
      <c r="T1114">
        <v>551</v>
      </c>
      <c r="W1114" t="s">
        <v>203</v>
      </c>
      <c r="X1114">
        <v>607</v>
      </c>
      <c r="AA1114" t="s">
        <v>203</v>
      </c>
      <c r="AB1114">
        <v>2021</v>
      </c>
      <c r="AE1114" t="s">
        <v>203</v>
      </c>
      <c r="AF1114">
        <v>0</v>
      </c>
      <c r="AI1114" t="s">
        <v>203</v>
      </c>
      <c r="AJ1114">
        <v>0</v>
      </c>
      <c r="AM1114" t="s">
        <v>203</v>
      </c>
      <c r="AN1114">
        <v>0</v>
      </c>
      <c r="AQ1114" t="s">
        <v>203</v>
      </c>
      <c r="AR1114">
        <v>0</v>
      </c>
      <c r="AT1114" t="s">
        <v>64</v>
      </c>
      <c r="AU1114">
        <v>2115</v>
      </c>
    </row>
    <row r="1115" spans="1:47" x14ac:dyDescent="0.35">
      <c r="C1115" t="s">
        <v>204</v>
      </c>
      <c r="D1115">
        <v>0</v>
      </c>
      <c r="G1115" t="s">
        <v>204</v>
      </c>
      <c r="H1115">
        <v>0</v>
      </c>
      <c r="K1115" t="s">
        <v>204</v>
      </c>
      <c r="L1115">
        <v>229</v>
      </c>
      <c r="O1115" t="s">
        <v>204</v>
      </c>
      <c r="P1115">
        <v>270</v>
      </c>
      <c r="S1115" t="s">
        <v>204</v>
      </c>
      <c r="T1115">
        <v>257</v>
      </c>
      <c r="W1115" t="s">
        <v>204</v>
      </c>
      <c r="X1115">
        <v>451</v>
      </c>
      <c r="AA1115" t="s">
        <v>204</v>
      </c>
      <c r="AB1115">
        <v>414</v>
      </c>
      <c r="AE1115" t="s">
        <v>204</v>
      </c>
      <c r="AF1115">
        <v>0</v>
      </c>
      <c r="AI1115" t="s">
        <v>204</v>
      </c>
      <c r="AJ1115">
        <v>0</v>
      </c>
      <c r="AM1115" t="s">
        <v>204</v>
      </c>
      <c r="AN1115">
        <v>0</v>
      </c>
      <c r="AQ1115" t="s">
        <v>204</v>
      </c>
      <c r="AR1115">
        <v>0</v>
      </c>
      <c r="AT1115" t="s">
        <v>65</v>
      </c>
      <c r="AU1115">
        <v>327</v>
      </c>
    </row>
    <row r="1116" spans="1:47" x14ac:dyDescent="0.35">
      <c r="C1116" t="s">
        <v>205</v>
      </c>
      <c r="D1116">
        <v>27</v>
      </c>
      <c r="G1116" t="s">
        <v>205</v>
      </c>
      <c r="H1116">
        <v>26</v>
      </c>
      <c r="K1116" t="s">
        <v>205</v>
      </c>
      <c r="L1116">
        <v>26</v>
      </c>
      <c r="O1116" t="s">
        <v>205</v>
      </c>
      <c r="P1116">
        <v>0</v>
      </c>
      <c r="S1116" t="s">
        <v>205</v>
      </c>
      <c r="T1116">
        <v>17</v>
      </c>
      <c r="W1116" t="s">
        <v>205</v>
      </c>
      <c r="X1116">
        <v>0</v>
      </c>
      <c r="AA1116" t="s">
        <v>205</v>
      </c>
      <c r="AB1116">
        <v>40</v>
      </c>
      <c r="AE1116" t="s">
        <v>205</v>
      </c>
      <c r="AF1116">
        <v>25</v>
      </c>
      <c r="AI1116" t="s">
        <v>205</v>
      </c>
      <c r="AJ1116">
        <v>0</v>
      </c>
      <c r="AM1116" t="s">
        <v>205</v>
      </c>
      <c r="AN1116">
        <v>0</v>
      </c>
      <c r="AQ1116" t="s">
        <v>205</v>
      </c>
      <c r="AR1116">
        <v>0</v>
      </c>
      <c r="AT1116" t="s">
        <v>66</v>
      </c>
      <c r="AU1116">
        <v>10</v>
      </c>
    </row>
    <row r="1117" spans="1:47" x14ac:dyDescent="0.35">
      <c r="C1117" t="s">
        <v>133</v>
      </c>
      <c r="D1117">
        <v>352</v>
      </c>
      <c r="G1117" t="s">
        <v>133</v>
      </c>
      <c r="H1117">
        <v>343</v>
      </c>
      <c r="K1117" t="s">
        <v>133</v>
      </c>
      <c r="L1117">
        <v>0</v>
      </c>
      <c r="O1117" t="s">
        <v>133</v>
      </c>
      <c r="P1117">
        <v>0</v>
      </c>
      <c r="S1117" t="s">
        <v>133</v>
      </c>
      <c r="T1117">
        <v>0</v>
      </c>
      <c r="W1117" t="s">
        <v>133</v>
      </c>
      <c r="X1117">
        <v>0</v>
      </c>
      <c r="AA1117" t="s">
        <v>133</v>
      </c>
      <c r="AB1117">
        <v>644</v>
      </c>
      <c r="AE1117" t="s">
        <v>133</v>
      </c>
      <c r="AF1117">
        <v>0</v>
      </c>
      <c r="AI1117" t="s">
        <v>133</v>
      </c>
      <c r="AJ1117">
        <v>0</v>
      </c>
      <c r="AM1117" t="s">
        <v>133</v>
      </c>
      <c r="AN1117">
        <v>0</v>
      </c>
      <c r="AQ1117" t="s">
        <v>133</v>
      </c>
      <c r="AR1117">
        <v>757</v>
      </c>
      <c r="AT1117" t="s">
        <v>79</v>
      </c>
      <c r="AU1117">
        <v>368</v>
      </c>
    </row>
    <row r="1118" spans="1:47" x14ac:dyDescent="0.35">
      <c r="C1118" t="s">
        <v>206</v>
      </c>
      <c r="D1118">
        <v>0</v>
      </c>
      <c r="G1118" t="s">
        <v>206</v>
      </c>
      <c r="H1118">
        <v>0</v>
      </c>
      <c r="K1118" t="s">
        <v>206</v>
      </c>
      <c r="L1118">
        <v>0</v>
      </c>
      <c r="O1118" t="s">
        <v>206</v>
      </c>
      <c r="P1118">
        <v>0</v>
      </c>
      <c r="S1118" t="s">
        <v>206</v>
      </c>
      <c r="T1118">
        <v>0</v>
      </c>
      <c r="W1118" t="s">
        <v>206</v>
      </c>
      <c r="X1118">
        <v>0</v>
      </c>
      <c r="AA1118" t="s">
        <v>206</v>
      </c>
      <c r="AB1118">
        <v>164</v>
      </c>
      <c r="AE1118" t="s">
        <v>206</v>
      </c>
      <c r="AF1118">
        <v>0</v>
      </c>
      <c r="AI1118" t="s">
        <v>206</v>
      </c>
      <c r="AJ1118">
        <v>0</v>
      </c>
      <c r="AM1118" t="s">
        <v>206</v>
      </c>
      <c r="AN1118">
        <v>0</v>
      </c>
      <c r="AQ1118" t="s">
        <v>206</v>
      </c>
      <c r="AR1118">
        <v>0</v>
      </c>
      <c r="AT1118" t="s">
        <v>68</v>
      </c>
      <c r="AU1118">
        <v>76</v>
      </c>
    </row>
    <row r="1119" spans="1:47" x14ac:dyDescent="0.35">
      <c r="C1119" t="s">
        <v>136</v>
      </c>
      <c r="D1119">
        <v>233</v>
      </c>
      <c r="G1119" t="s">
        <v>136</v>
      </c>
      <c r="H1119">
        <v>239</v>
      </c>
      <c r="K1119" t="s">
        <v>136</v>
      </c>
      <c r="L1119">
        <v>312</v>
      </c>
      <c r="O1119" t="s">
        <v>136</v>
      </c>
      <c r="P1119">
        <v>511</v>
      </c>
      <c r="S1119" t="s">
        <v>136</v>
      </c>
      <c r="T1119">
        <v>320</v>
      </c>
      <c r="W1119" t="s">
        <v>136</v>
      </c>
      <c r="X1119">
        <v>417</v>
      </c>
      <c r="AA1119" t="s">
        <v>136</v>
      </c>
      <c r="AB1119">
        <v>480</v>
      </c>
      <c r="AE1119" t="s">
        <v>136</v>
      </c>
      <c r="AF1119">
        <v>0</v>
      </c>
      <c r="AI1119" t="s">
        <v>136</v>
      </c>
      <c r="AJ1119">
        <v>0</v>
      </c>
      <c r="AM1119" t="s">
        <v>136</v>
      </c>
      <c r="AN1119">
        <v>0</v>
      </c>
      <c r="AQ1119" t="s">
        <v>136</v>
      </c>
      <c r="AR1119">
        <v>0</v>
      </c>
      <c r="AT1119" t="s">
        <v>69</v>
      </c>
      <c r="AU1119">
        <v>412</v>
      </c>
    </row>
    <row r="1120" spans="1:47" x14ac:dyDescent="0.35">
      <c r="C1120" t="s">
        <v>207</v>
      </c>
      <c r="D1120">
        <v>0</v>
      </c>
      <c r="G1120" t="s">
        <v>207</v>
      </c>
      <c r="H1120">
        <v>0</v>
      </c>
      <c r="K1120" t="s">
        <v>207</v>
      </c>
      <c r="L1120">
        <v>0</v>
      </c>
      <c r="O1120" t="s">
        <v>207</v>
      </c>
      <c r="P1120">
        <v>0</v>
      </c>
      <c r="S1120" t="s">
        <v>207</v>
      </c>
      <c r="T1120">
        <v>678</v>
      </c>
      <c r="W1120" t="s">
        <v>207</v>
      </c>
      <c r="X1120">
        <v>605</v>
      </c>
      <c r="AA1120" t="s">
        <v>207</v>
      </c>
      <c r="AB1120">
        <v>703</v>
      </c>
      <c r="AE1120" t="s">
        <v>207</v>
      </c>
      <c r="AF1120">
        <v>0</v>
      </c>
      <c r="AI1120" t="s">
        <v>207</v>
      </c>
      <c r="AJ1120">
        <v>0</v>
      </c>
      <c r="AM1120" t="s">
        <v>207</v>
      </c>
      <c r="AN1120">
        <v>0</v>
      </c>
      <c r="AQ1120" t="s">
        <v>207</v>
      </c>
      <c r="AR1120">
        <v>0</v>
      </c>
      <c r="AT1120" t="s">
        <v>70</v>
      </c>
      <c r="AU1120">
        <v>718</v>
      </c>
    </row>
    <row r="1121" spans="1:47" x14ac:dyDescent="0.35">
      <c r="C1121" t="s">
        <v>141</v>
      </c>
      <c r="D1121">
        <v>0</v>
      </c>
      <c r="G1121" t="s">
        <v>141</v>
      </c>
      <c r="H1121">
        <v>0</v>
      </c>
      <c r="K1121" t="s">
        <v>141</v>
      </c>
      <c r="L1121">
        <v>0</v>
      </c>
      <c r="O1121" t="s">
        <v>141</v>
      </c>
      <c r="P1121">
        <v>0</v>
      </c>
      <c r="S1121" t="s">
        <v>141</v>
      </c>
      <c r="T1121">
        <v>13</v>
      </c>
      <c r="W1121" t="s">
        <v>141</v>
      </c>
      <c r="X1121">
        <v>20</v>
      </c>
      <c r="AA1121" t="s">
        <v>141</v>
      </c>
      <c r="AB1121">
        <v>20</v>
      </c>
      <c r="AE1121" t="s">
        <v>141</v>
      </c>
      <c r="AF1121">
        <v>0</v>
      </c>
      <c r="AI1121" t="s">
        <v>141</v>
      </c>
      <c r="AJ1121">
        <v>0</v>
      </c>
      <c r="AM1121" t="s">
        <v>141</v>
      </c>
      <c r="AN1121">
        <v>0</v>
      </c>
      <c r="AQ1121" t="s">
        <v>141</v>
      </c>
      <c r="AR1121">
        <v>0</v>
      </c>
      <c r="AT1121" t="s">
        <v>76</v>
      </c>
      <c r="AU1121">
        <v>0</v>
      </c>
    </row>
    <row r="1122" spans="1:47" x14ac:dyDescent="0.35">
      <c r="C1122" t="s">
        <v>208</v>
      </c>
      <c r="D1122">
        <v>0</v>
      </c>
      <c r="G1122" t="s">
        <v>208</v>
      </c>
      <c r="H1122">
        <v>0</v>
      </c>
      <c r="K1122" t="s">
        <v>208</v>
      </c>
      <c r="L1122">
        <v>0</v>
      </c>
      <c r="O1122" t="s">
        <v>208</v>
      </c>
      <c r="P1122">
        <v>0</v>
      </c>
      <c r="S1122" t="s">
        <v>208</v>
      </c>
      <c r="T1122">
        <v>0</v>
      </c>
      <c r="W1122" t="s">
        <v>208</v>
      </c>
      <c r="X1122">
        <v>1733</v>
      </c>
      <c r="AA1122" t="s">
        <v>208</v>
      </c>
      <c r="AB1122">
        <v>0</v>
      </c>
      <c r="AE1122" t="s">
        <v>208</v>
      </c>
      <c r="AF1122">
        <v>0</v>
      </c>
      <c r="AI1122" t="s">
        <v>208</v>
      </c>
      <c r="AJ1122">
        <v>0</v>
      </c>
      <c r="AM1122" t="s">
        <v>208</v>
      </c>
      <c r="AN1122">
        <v>0</v>
      </c>
      <c r="AQ1122" t="s">
        <v>208</v>
      </c>
      <c r="AR1122">
        <v>0</v>
      </c>
      <c r="AT1122" t="s">
        <v>77</v>
      </c>
      <c r="AU1122">
        <v>9502</v>
      </c>
    </row>
    <row r="1123" spans="1:47" x14ac:dyDescent="0.35">
      <c r="C1123" t="s">
        <v>209</v>
      </c>
      <c r="D1123">
        <v>0</v>
      </c>
      <c r="G1123" t="s">
        <v>209</v>
      </c>
      <c r="H1123">
        <v>0</v>
      </c>
      <c r="K1123" t="s">
        <v>209</v>
      </c>
      <c r="L1123">
        <v>0</v>
      </c>
      <c r="O1123" t="s">
        <v>209</v>
      </c>
      <c r="P1123">
        <v>0</v>
      </c>
      <c r="S1123" t="s">
        <v>209</v>
      </c>
      <c r="T1123">
        <v>0</v>
      </c>
      <c r="W1123" t="s">
        <v>209</v>
      </c>
      <c r="X1123">
        <v>0</v>
      </c>
      <c r="AA1123" t="s">
        <v>209</v>
      </c>
      <c r="AB1123">
        <v>0</v>
      </c>
      <c r="AE1123" t="s">
        <v>209</v>
      </c>
      <c r="AF1123">
        <v>0</v>
      </c>
      <c r="AI1123" t="s">
        <v>209</v>
      </c>
      <c r="AJ1123">
        <v>0</v>
      </c>
      <c r="AM1123" t="s">
        <v>209</v>
      </c>
      <c r="AN1123">
        <v>0</v>
      </c>
      <c r="AQ1123" t="s">
        <v>209</v>
      </c>
      <c r="AR1123">
        <v>0</v>
      </c>
      <c r="AT1123" t="s">
        <v>78</v>
      </c>
      <c r="AU1123">
        <v>1122</v>
      </c>
    </row>
    <row r="1124" spans="1:47" x14ac:dyDescent="0.35">
      <c r="C1124" t="s">
        <v>134</v>
      </c>
      <c r="D1124">
        <v>0</v>
      </c>
      <c r="G1124" t="s">
        <v>134</v>
      </c>
      <c r="H1124">
        <v>0</v>
      </c>
      <c r="K1124" t="s">
        <v>134</v>
      </c>
      <c r="L1124">
        <v>519</v>
      </c>
      <c r="O1124" t="s">
        <v>134</v>
      </c>
      <c r="P1124">
        <v>644</v>
      </c>
      <c r="S1124" t="s">
        <v>134</v>
      </c>
      <c r="T1124">
        <v>600</v>
      </c>
      <c r="W1124" t="s">
        <v>134</v>
      </c>
      <c r="X1124">
        <v>781</v>
      </c>
      <c r="AA1124" t="s">
        <v>134</v>
      </c>
      <c r="AB1124">
        <v>1126</v>
      </c>
      <c r="AE1124" t="s">
        <v>134</v>
      </c>
      <c r="AF1124">
        <v>0</v>
      </c>
      <c r="AI1124" t="s">
        <v>134</v>
      </c>
      <c r="AJ1124">
        <v>0</v>
      </c>
      <c r="AM1124" t="s">
        <v>134</v>
      </c>
      <c r="AN1124">
        <v>0</v>
      </c>
      <c r="AQ1124" t="s">
        <v>134</v>
      </c>
      <c r="AR1124">
        <v>795</v>
      </c>
      <c r="AT1124" t="s">
        <v>67</v>
      </c>
      <c r="AU1124">
        <v>648</v>
      </c>
    </row>
    <row r="1125" spans="1:47" x14ac:dyDescent="0.35">
      <c r="C1125" t="s">
        <v>142</v>
      </c>
      <c r="D1125">
        <v>0</v>
      </c>
      <c r="G1125" t="s">
        <v>142</v>
      </c>
      <c r="H1125">
        <v>0</v>
      </c>
      <c r="K1125" t="s">
        <v>142</v>
      </c>
      <c r="L1125">
        <v>145</v>
      </c>
      <c r="O1125" t="s">
        <v>142</v>
      </c>
      <c r="P1125">
        <v>0</v>
      </c>
      <c r="S1125" t="s">
        <v>142</v>
      </c>
      <c r="T1125">
        <v>130</v>
      </c>
      <c r="W1125" t="s">
        <v>142</v>
      </c>
      <c r="X1125">
        <v>174</v>
      </c>
      <c r="AA1125" t="s">
        <v>142</v>
      </c>
      <c r="AB1125">
        <v>0</v>
      </c>
      <c r="AE1125" t="s">
        <v>142</v>
      </c>
      <c r="AF1125">
        <v>0</v>
      </c>
      <c r="AI1125" t="s">
        <v>142</v>
      </c>
      <c r="AJ1125">
        <v>0</v>
      </c>
      <c r="AM1125" t="s">
        <v>142</v>
      </c>
      <c r="AN1125">
        <v>0</v>
      </c>
      <c r="AQ1125" t="s">
        <v>142</v>
      </c>
      <c r="AR1125">
        <v>0</v>
      </c>
      <c r="AT1125" t="s">
        <v>80</v>
      </c>
      <c r="AU1125">
        <v>1094</v>
      </c>
    </row>
    <row r="1126" spans="1:47" x14ac:dyDescent="0.35">
      <c r="C1126" t="s">
        <v>83</v>
      </c>
      <c r="D1126">
        <v>377</v>
      </c>
      <c r="G1126" t="s">
        <v>83</v>
      </c>
      <c r="H1126">
        <v>419</v>
      </c>
      <c r="K1126" t="s">
        <v>83</v>
      </c>
      <c r="L1126">
        <v>413</v>
      </c>
      <c r="O1126" t="s">
        <v>83</v>
      </c>
      <c r="P1126">
        <v>472</v>
      </c>
      <c r="S1126" t="s">
        <v>83</v>
      </c>
      <c r="T1126">
        <v>432</v>
      </c>
      <c r="W1126" t="s">
        <v>83</v>
      </c>
      <c r="X1126">
        <v>503</v>
      </c>
      <c r="AA1126" t="s">
        <v>83</v>
      </c>
      <c r="AB1126">
        <v>688</v>
      </c>
      <c r="AE1126" t="s">
        <v>83</v>
      </c>
      <c r="AF1126">
        <v>0</v>
      </c>
      <c r="AI1126" t="s">
        <v>83</v>
      </c>
      <c r="AJ1126">
        <v>0</v>
      </c>
      <c r="AM1126" t="s">
        <v>83</v>
      </c>
      <c r="AN1126">
        <v>0</v>
      </c>
      <c r="AQ1126" t="s">
        <v>83</v>
      </c>
      <c r="AR1126">
        <v>957</v>
      </c>
      <c r="AT1126" t="s">
        <v>83</v>
      </c>
      <c r="AU1126">
        <v>459</v>
      </c>
    </row>
    <row r="1127" spans="1:47" x14ac:dyDescent="0.35">
      <c r="C1127" t="s">
        <v>84</v>
      </c>
      <c r="D1127">
        <v>0</v>
      </c>
      <c r="G1127" t="s">
        <v>84</v>
      </c>
      <c r="H1127">
        <v>0</v>
      </c>
      <c r="K1127" t="s">
        <v>84</v>
      </c>
      <c r="L1127">
        <v>0</v>
      </c>
      <c r="O1127" t="s">
        <v>84</v>
      </c>
      <c r="P1127">
        <v>0</v>
      </c>
      <c r="S1127" t="s">
        <v>84</v>
      </c>
      <c r="T1127">
        <v>0</v>
      </c>
      <c r="W1127" t="s">
        <v>84</v>
      </c>
      <c r="X1127">
        <v>0</v>
      </c>
      <c r="AA1127" t="s">
        <v>84</v>
      </c>
      <c r="AB1127">
        <v>12</v>
      </c>
      <c r="AE1127" t="s">
        <v>84</v>
      </c>
      <c r="AF1127">
        <v>0</v>
      </c>
      <c r="AI1127" t="s">
        <v>84</v>
      </c>
      <c r="AJ1127">
        <v>0</v>
      </c>
      <c r="AM1127" t="s">
        <v>84</v>
      </c>
      <c r="AN1127">
        <v>0</v>
      </c>
      <c r="AQ1127" t="s">
        <v>84</v>
      </c>
      <c r="AR1127">
        <v>84</v>
      </c>
      <c r="AT1127" t="s">
        <v>84</v>
      </c>
      <c r="AU1127">
        <v>0</v>
      </c>
    </row>
    <row r="1128" spans="1:47" x14ac:dyDescent="0.35">
      <c r="C1128" t="s">
        <v>126</v>
      </c>
      <c r="D1128">
        <v>0</v>
      </c>
      <c r="G1128" t="s">
        <v>126</v>
      </c>
      <c r="H1128">
        <v>0</v>
      </c>
      <c r="K1128" t="s">
        <v>223</v>
      </c>
      <c r="L1128">
        <v>0</v>
      </c>
      <c r="O1128" t="s">
        <v>126</v>
      </c>
      <c r="P1128">
        <v>0</v>
      </c>
      <c r="S1128" t="s">
        <v>126</v>
      </c>
      <c r="T1128">
        <v>0</v>
      </c>
      <c r="W1128" t="s">
        <v>126</v>
      </c>
      <c r="X1128">
        <v>0</v>
      </c>
      <c r="AA1128" t="s">
        <v>126</v>
      </c>
      <c r="AB1128">
        <v>0</v>
      </c>
      <c r="AE1128" t="s">
        <v>126</v>
      </c>
      <c r="AF1128">
        <v>0</v>
      </c>
      <c r="AI1128" t="s">
        <v>126</v>
      </c>
      <c r="AJ1128">
        <v>0</v>
      </c>
      <c r="AM1128" t="s">
        <v>126</v>
      </c>
      <c r="AN1128">
        <v>0</v>
      </c>
      <c r="AQ1128" t="s">
        <v>126</v>
      </c>
      <c r="AR1128">
        <v>0</v>
      </c>
      <c r="AT1128" t="s">
        <v>86</v>
      </c>
      <c r="AU1128">
        <v>0</v>
      </c>
    </row>
    <row r="1129" spans="1:47" x14ac:dyDescent="0.35">
      <c r="C1129" t="s">
        <v>87</v>
      </c>
      <c r="D1129">
        <v>0</v>
      </c>
      <c r="G1129" t="s">
        <v>87</v>
      </c>
      <c r="H1129">
        <v>0</v>
      </c>
      <c r="K1129" t="s">
        <v>87</v>
      </c>
      <c r="L1129">
        <v>0</v>
      </c>
      <c r="O1129" t="s">
        <v>87</v>
      </c>
      <c r="P1129">
        <v>0</v>
      </c>
      <c r="S1129" t="s">
        <v>87</v>
      </c>
      <c r="T1129">
        <v>0</v>
      </c>
      <c r="W1129" t="s">
        <v>87</v>
      </c>
      <c r="X1129">
        <v>596</v>
      </c>
      <c r="AA1129" t="s">
        <v>87</v>
      </c>
      <c r="AB1129">
        <v>1215</v>
      </c>
      <c r="AE1129" t="s">
        <v>87</v>
      </c>
      <c r="AF1129">
        <v>0</v>
      </c>
      <c r="AI1129" t="s">
        <v>87</v>
      </c>
      <c r="AJ1129">
        <v>0</v>
      </c>
      <c r="AM1129" t="s">
        <v>87</v>
      </c>
      <c r="AN1129">
        <v>0</v>
      </c>
      <c r="AQ1129" t="s">
        <v>87</v>
      </c>
      <c r="AR1129">
        <v>0</v>
      </c>
      <c r="AT1129" t="s">
        <v>87</v>
      </c>
      <c r="AU1129">
        <v>5</v>
      </c>
    </row>
    <row r="1130" spans="1:47" x14ac:dyDescent="0.35">
      <c r="A1130" t="s">
        <v>9</v>
      </c>
      <c r="B1130">
        <v>919028967.00000012</v>
      </c>
      <c r="C1130" t="s">
        <v>135</v>
      </c>
      <c r="D1130">
        <v>57929</v>
      </c>
      <c r="E1130" t="s">
        <v>9</v>
      </c>
      <c r="F1130">
        <v>944292669</v>
      </c>
      <c r="G1130" t="s">
        <v>135</v>
      </c>
      <c r="H1130">
        <v>201911</v>
      </c>
      <c r="I1130" t="s">
        <v>9</v>
      </c>
      <c r="J1130">
        <v>969991847.99999988</v>
      </c>
      <c r="K1130" t="s">
        <v>135</v>
      </c>
      <c r="L1130">
        <v>83859</v>
      </c>
      <c r="M1130" t="s">
        <v>9</v>
      </c>
      <c r="N1130">
        <v>996342964.99999988</v>
      </c>
      <c r="O1130" t="s">
        <v>135</v>
      </c>
      <c r="P1130">
        <v>45461</v>
      </c>
      <c r="Q1130" t="s">
        <v>9</v>
      </c>
      <c r="R1130">
        <v>1022861293.4999999</v>
      </c>
      <c r="S1130" t="s">
        <v>135</v>
      </c>
      <c r="T1130">
        <v>453687</v>
      </c>
      <c r="U1130" t="s">
        <v>9</v>
      </c>
      <c r="V1130">
        <v>1049513589.5000001</v>
      </c>
      <c r="W1130" t="s">
        <v>135</v>
      </c>
      <c r="X1130">
        <v>167089</v>
      </c>
      <c r="Y1130" t="s">
        <v>9</v>
      </c>
      <c r="Z1130">
        <v>1076956971</v>
      </c>
      <c r="AA1130" t="s">
        <v>135</v>
      </c>
      <c r="AB1130">
        <v>580378</v>
      </c>
      <c r="AC1130" t="s">
        <v>9</v>
      </c>
      <c r="AD1130">
        <v>1105078064.5</v>
      </c>
      <c r="AE1130" t="s">
        <v>135</v>
      </c>
      <c r="AF1130">
        <v>450022</v>
      </c>
      <c r="AG1130" t="s">
        <v>9</v>
      </c>
      <c r="AH1130">
        <v>1133815125</v>
      </c>
      <c r="AI1130" t="s">
        <v>135</v>
      </c>
      <c r="AJ1130">
        <v>128959</v>
      </c>
      <c r="AK1130" t="s">
        <v>9</v>
      </c>
      <c r="AL1130">
        <v>1162657991.5</v>
      </c>
      <c r="AM1130" t="s">
        <v>135</v>
      </c>
      <c r="AN1130">
        <v>414918</v>
      </c>
      <c r="AO1130" t="s">
        <v>9</v>
      </c>
      <c r="AP1130">
        <v>1191645698.5</v>
      </c>
      <c r="AQ1130" t="s">
        <v>135</v>
      </c>
      <c r="AR1130">
        <v>434257</v>
      </c>
      <c r="AS1130">
        <v>0</v>
      </c>
      <c r="AT1130" t="s">
        <v>148</v>
      </c>
      <c r="AU1130">
        <v>334167</v>
      </c>
    </row>
    <row r="1131" spans="1:47" x14ac:dyDescent="0.35">
      <c r="C1131" t="s">
        <v>139</v>
      </c>
      <c r="D1131">
        <v>489582</v>
      </c>
      <c r="G1131" t="s">
        <v>139</v>
      </c>
      <c r="H1131">
        <v>614474</v>
      </c>
      <c r="K1131" t="s">
        <v>139</v>
      </c>
      <c r="L1131">
        <v>507133</v>
      </c>
      <c r="O1131" t="s">
        <v>139</v>
      </c>
      <c r="P1131">
        <v>656054</v>
      </c>
      <c r="S1131" t="s">
        <v>139</v>
      </c>
      <c r="T1131">
        <v>1219679</v>
      </c>
      <c r="W1131" t="s">
        <v>139</v>
      </c>
      <c r="X1131">
        <v>1179537</v>
      </c>
      <c r="AA1131" t="s">
        <v>139</v>
      </c>
      <c r="AB1131">
        <v>1782389</v>
      </c>
      <c r="AE1131" t="s">
        <v>139</v>
      </c>
      <c r="AF1131">
        <v>1063702</v>
      </c>
      <c r="AI1131" t="s">
        <v>139</v>
      </c>
      <c r="AJ1131">
        <v>891491</v>
      </c>
      <c r="AM1131" t="s">
        <v>139</v>
      </c>
      <c r="AN1131">
        <v>1395296</v>
      </c>
      <c r="AQ1131" t="s">
        <v>139</v>
      </c>
      <c r="AR1131">
        <v>1773060</v>
      </c>
      <c r="AT1131" t="s">
        <v>139</v>
      </c>
      <c r="AU1131">
        <v>1093957</v>
      </c>
    </row>
    <row r="1132" spans="1:47" x14ac:dyDescent="0.35">
      <c r="C1132" t="s">
        <v>138</v>
      </c>
      <c r="D1132">
        <v>30860</v>
      </c>
      <c r="G1132" t="s">
        <v>138</v>
      </c>
      <c r="H1132">
        <v>324098</v>
      </c>
      <c r="K1132" t="s">
        <v>138</v>
      </c>
      <c r="L1132">
        <v>51184</v>
      </c>
      <c r="O1132" t="s">
        <v>138</v>
      </c>
      <c r="P1132">
        <v>57502</v>
      </c>
      <c r="S1132" t="s">
        <v>138</v>
      </c>
      <c r="T1132">
        <v>406134</v>
      </c>
      <c r="W1132" t="s">
        <v>138</v>
      </c>
      <c r="X1132">
        <v>80818</v>
      </c>
      <c r="AA1132" t="s">
        <v>138</v>
      </c>
      <c r="AB1132">
        <v>258294</v>
      </c>
      <c r="AE1132" t="s">
        <v>138</v>
      </c>
      <c r="AF1132">
        <v>366238</v>
      </c>
      <c r="AI1132" t="s">
        <v>138</v>
      </c>
      <c r="AJ1132">
        <v>213974</v>
      </c>
      <c r="AM1132" t="s">
        <v>138</v>
      </c>
      <c r="AN1132">
        <v>421570</v>
      </c>
      <c r="AQ1132" t="s">
        <v>138</v>
      </c>
      <c r="AR1132">
        <v>567662</v>
      </c>
      <c r="AT1132" t="s">
        <v>138</v>
      </c>
      <c r="AU1132">
        <v>217551</v>
      </c>
    </row>
    <row r="1133" spans="1:47" x14ac:dyDescent="0.35">
      <c r="C1133" t="s">
        <v>82</v>
      </c>
      <c r="D1133">
        <v>56286</v>
      </c>
      <c r="G1133" t="s">
        <v>82</v>
      </c>
      <c r="H1133">
        <v>9249</v>
      </c>
      <c r="K1133" t="s">
        <v>82</v>
      </c>
      <c r="L1133">
        <v>54527</v>
      </c>
      <c r="O1133" t="s">
        <v>82</v>
      </c>
      <c r="P1133">
        <v>51233</v>
      </c>
      <c r="S1133" t="s">
        <v>82</v>
      </c>
      <c r="T1133">
        <v>50508</v>
      </c>
      <c r="W1133" t="s">
        <v>82</v>
      </c>
      <c r="X1133">
        <v>76344</v>
      </c>
      <c r="AA1133" t="s">
        <v>82</v>
      </c>
      <c r="AB1133">
        <v>45467</v>
      </c>
      <c r="AE1133" t="s">
        <v>82</v>
      </c>
      <c r="AF1133">
        <v>37316</v>
      </c>
      <c r="AI1133" t="s">
        <v>82</v>
      </c>
      <c r="AJ1133">
        <v>33866</v>
      </c>
      <c r="AM1133" t="s">
        <v>82</v>
      </c>
      <c r="AN1133">
        <v>15612</v>
      </c>
      <c r="AQ1133" t="s">
        <v>82</v>
      </c>
      <c r="AR1133">
        <v>66051</v>
      </c>
      <c r="AT1133" t="s">
        <v>82</v>
      </c>
      <c r="AU1133">
        <v>94098</v>
      </c>
    </row>
    <row r="1134" spans="1:47" x14ac:dyDescent="0.35">
      <c r="C1134" t="s">
        <v>60</v>
      </c>
      <c r="D1134">
        <v>31721</v>
      </c>
      <c r="G1134" t="s">
        <v>60</v>
      </c>
      <c r="H1134">
        <v>14493</v>
      </c>
      <c r="K1134" t="s">
        <v>60</v>
      </c>
      <c r="L1134">
        <v>15280</v>
      </c>
      <c r="O1134" t="s">
        <v>60</v>
      </c>
      <c r="P1134">
        <v>33509</v>
      </c>
      <c r="S1134" t="s">
        <v>60</v>
      </c>
      <c r="T1134">
        <v>11208</v>
      </c>
      <c r="W1134" t="s">
        <v>60</v>
      </c>
      <c r="X1134">
        <v>22031</v>
      </c>
      <c r="AA1134" t="s">
        <v>60</v>
      </c>
      <c r="AB1134">
        <v>40357</v>
      </c>
      <c r="AE1134" t="s">
        <v>60</v>
      </c>
      <c r="AF1134">
        <v>17839</v>
      </c>
      <c r="AI1134" t="s">
        <v>60</v>
      </c>
      <c r="AJ1134">
        <v>37248</v>
      </c>
      <c r="AM1134" t="s">
        <v>60</v>
      </c>
      <c r="AN1134">
        <v>5963</v>
      </c>
      <c r="AQ1134" t="s">
        <v>60</v>
      </c>
      <c r="AR1134">
        <v>16131</v>
      </c>
      <c r="AT1134" t="s">
        <v>60</v>
      </c>
      <c r="AU1134">
        <v>58028</v>
      </c>
    </row>
    <row r="1135" spans="1:47" x14ac:dyDescent="0.35">
      <c r="C1135" t="s">
        <v>127</v>
      </c>
      <c r="D1135">
        <v>3478</v>
      </c>
      <c r="G1135" t="s">
        <v>127</v>
      </c>
      <c r="H1135">
        <v>13057</v>
      </c>
      <c r="K1135" t="s">
        <v>127</v>
      </c>
      <c r="L1135">
        <v>0</v>
      </c>
      <c r="O1135" t="s">
        <v>127</v>
      </c>
      <c r="P1135">
        <v>197845</v>
      </c>
      <c r="S1135" t="s">
        <v>127</v>
      </c>
      <c r="T1135">
        <v>21327</v>
      </c>
      <c r="W1135" t="s">
        <v>127</v>
      </c>
      <c r="X1135">
        <v>42746</v>
      </c>
      <c r="AA1135" t="s">
        <v>127</v>
      </c>
      <c r="AB1135">
        <v>497728</v>
      </c>
      <c r="AE1135" t="s">
        <v>127</v>
      </c>
      <c r="AF1135">
        <v>362332</v>
      </c>
      <c r="AI1135" t="s">
        <v>127</v>
      </c>
      <c r="AJ1135">
        <v>377902</v>
      </c>
      <c r="AM1135" t="s">
        <v>127</v>
      </c>
      <c r="AN1135">
        <v>225186</v>
      </c>
      <c r="AQ1135" t="s">
        <v>127</v>
      </c>
      <c r="AR1135">
        <v>447499</v>
      </c>
      <c r="AT1135" t="s">
        <v>58</v>
      </c>
      <c r="AU1135">
        <v>486186</v>
      </c>
    </row>
    <row r="1136" spans="1:47" x14ac:dyDescent="0.35">
      <c r="C1136" t="s">
        <v>61</v>
      </c>
      <c r="D1136">
        <v>2888</v>
      </c>
      <c r="G1136" t="s">
        <v>61</v>
      </c>
      <c r="H1136">
        <v>4759</v>
      </c>
      <c r="K1136" t="s">
        <v>61</v>
      </c>
      <c r="L1136">
        <v>3794</v>
      </c>
      <c r="O1136" t="s">
        <v>61</v>
      </c>
      <c r="P1136">
        <v>7359</v>
      </c>
      <c r="S1136" t="s">
        <v>61</v>
      </c>
      <c r="T1136">
        <v>4971</v>
      </c>
      <c r="W1136" t="s">
        <v>61</v>
      </c>
      <c r="X1136">
        <v>2325</v>
      </c>
      <c r="AA1136" t="s">
        <v>61</v>
      </c>
      <c r="AB1136">
        <v>7269</v>
      </c>
      <c r="AE1136" t="s">
        <v>61</v>
      </c>
      <c r="AF1136">
        <v>3934</v>
      </c>
      <c r="AI1136" t="s">
        <v>61</v>
      </c>
      <c r="AJ1136">
        <v>2882</v>
      </c>
      <c r="AM1136" t="s">
        <v>61</v>
      </c>
      <c r="AN1136">
        <v>1209</v>
      </c>
      <c r="AQ1136" t="s">
        <v>61</v>
      </c>
      <c r="AR1136">
        <v>6016</v>
      </c>
      <c r="AT1136" t="s">
        <v>61</v>
      </c>
      <c r="AU1136">
        <v>3655</v>
      </c>
    </row>
    <row r="1137" spans="3:47" x14ac:dyDescent="0.35">
      <c r="C1137" t="s">
        <v>62</v>
      </c>
      <c r="D1137">
        <v>17082</v>
      </c>
      <c r="G1137" t="s">
        <v>62</v>
      </c>
      <c r="H1137">
        <v>6144</v>
      </c>
      <c r="K1137" t="s">
        <v>62</v>
      </c>
      <c r="L1137">
        <v>13651</v>
      </c>
      <c r="O1137" t="s">
        <v>62</v>
      </c>
      <c r="P1137">
        <v>28478</v>
      </c>
      <c r="S1137" t="s">
        <v>62</v>
      </c>
      <c r="T1137">
        <v>17269</v>
      </c>
      <c r="W1137" t="s">
        <v>62</v>
      </c>
      <c r="X1137">
        <v>32482</v>
      </c>
      <c r="AA1137" t="s">
        <v>62</v>
      </c>
      <c r="AB1137">
        <v>13855</v>
      </c>
      <c r="AE1137" t="s">
        <v>62</v>
      </c>
      <c r="AF1137">
        <v>9255</v>
      </c>
      <c r="AI1137" t="s">
        <v>62</v>
      </c>
      <c r="AJ1137">
        <v>11604</v>
      </c>
      <c r="AM1137" t="s">
        <v>62</v>
      </c>
      <c r="AN1137">
        <v>9476</v>
      </c>
      <c r="AQ1137" t="s">
        <v>62</v>
      </c>
      <c r="AR1137">
        <v>10186</v>
      </c>
      <c r="AT1137" t="s">
        <v>62</v>
      </c>
      <c r="AU1137">
        <v>40043</v>
      </c>
    </row>
    <row r="1138" spans="3:47" x14ac:dyDescent="0.35">
      <c r="C1138" t="s">
        <v>203</v>
      </c>
      <c r="D1138">
        <v>0</v>
      </c>
      <c r="G1138" t="s">
        <v>203</v>
      </c>
      <c r="H1138">
        <v>0</v>
      </c>
      <c r="K1138" t="s">
        <v>203</v>
      </c>
      <c r="L1138">
        <v>0</v>
      </c>
      <c r="O1138" t="s">
        <v>203</v>
      </c>
      <c r="P1138">
        <v>0</v>
      </c>
      <c r="S1138" t="s">
        <v>203</v>
      </c>
      <c r="T1138">
        <v>3365</v>
      </c>
      <c r="W1138" t="s">
        <v>203</v>
      </c>
      <c r="X1138">
        <v>4081</v>
      </c>
      <c r="AA1138" t="s">
        <v>203</v>
      </c>
      <c r="AB1138">
        <v>50208</v>
      </c>
      <c r="AE1138" t="s">
        <v>203</v>
      </c>
      <c r="AF1138">
        <v>30974</v>
      </c>
      <c r="AI1138" t="s">
        <v>203</v>
      </c>
      <c r="AJ1138">
        <v>13772</v>
      </c>
      <c r="AM1138" t="s">
        <v>203</v>
      </c>
      <c r="AN1138">
        <v>20233</v>
      </c>
      <c r="AQ1138" t="s">
        <v>203</v>
      </c>
      <c r="AR1138">
        <v>17531</v>
      </c>
      <c r="AT1138" t="s">
        <v>64</v>
      </c>
      <c r="AU1138">
        <v>117455</v>
      </c>
    </row>
    <row r="1139" spans="3:47" x14ac:dyDescent="0.35">
      <c r="C1139" t="s">
        <v>204</v>
      </c>
      <c r="D1139">
        <v>0</v>
      </c>
      <c r="G1139" t="s">
        <v>204</v>
      </c>
      <c r="H1139">
        <v>0</v>
      </c>
      <c r="K1139" t="s">
        <v>204</v>
      </c>
      <c r="L1139">
        <v>229</v>
      </c>
      <c r="O1139" t="s">
        <v>204</v>
      </c>
      <c r="P1139">
        <v>270</v>
      </c>
      <c r="S1139" t="s">
        <v>204</v>
      </c>
      <c r="T1139">
        <v>257</v>
      </c>
      <c r="W1139" t="s">
        <v>204</v>
      </c>
      <c r="X1139">
        <v>2917</v>
      </c>
      <c r="AA1139" t="s">
        <v>204</v>
      </c>
      <c r="AB1139">
        <v>1483</v>
      </c>
      <c r="AE1139" t="s">
        <v>204</v>
      </c>
      <c r="AF1139">
        <v>7740</v>
      </c>
      <c r="AI1139" t="s">
        <v>204</v>
      </c>
      <c r="AJ1139">
        <v>7113</v>
      </c>
      <c r="AM1139" t="s">
        <v>204</v>
      </c>
      <c r="AN1139">
        <v>12486</v>
      </c>
      <c r="AQ1139" t="s">
        <v>204</v>
      </c>
      <c r="AR1139">
        <v>40553</v>
      </c>
      <c r="AT1139" t="s">
        <v>65</v>
      </c>
      <c r="AU1139">
        <v>30754</v>
      </c>
    </row>
    <row r="1140" spans="3:47" x14ac:dyDescent="0.35">
      <c r="C1140" t="s">
        <v>205</v>
      </c>
      <c r="D1140">
        <v>173</v>
      </c>
      <c r="G1140" t="s">
        <v>205</v>
      </c>
      <c r="H1140">
        <v>70</v>
      </c>
      <c r="K1140" t="s">
        <v>205</v>
      </c>
      <c r="L1140">
        <v>216</v>
      </c>
      <c r="O1140" t="s">
        <v>205</v>
      </c>
      <c r="P1140">
        <v>465</v>
      </c>
      <c r="S1140" t="s">
        <v>205</v>
      </c>
      <c r="T1140">
        <v>191</v>
      </c>
      <c r="W1140" t="s">
        <v>205</v>
      </c>
      <c r="X1140">
        <v>4175</v>
      </c>
      <c r="AA1140" t="s">
        <v>205</v>
      </c>
      <c r="AB1140">
        <v>7543</v>
      </c>
      <c r="AE1140" t="s">
        <v>205</v>
      </c>
      <c r="AF1140">
        <v>1174</v>
      </c>
      <c r="AI1140" t="s">
        <v>205</v>
      </c>
      <c r="AJ1140">
        <v>658</v>
      </c>
      <c r="AM1140" t="s">
        <v>205</v>
      </c>
      <c r="AN1140">
        <v>49039</v>
      </c>
      <c r="AQ1140" t="s">
        <v>205</v>
      </c>
      <c r="AR1140">
        <v>1198</v>
      </c>
      <c r="AT1140" t="s">
        <v>66</v>
      </c>
      <c r="AU1140">
        <v>2266</v>
      </c>
    </row>
    <row r="1141" spans="3:47" x14ac:dyDescent="0.35">
      <c r="C1141" t="s">
        <v>133</v>
      </c>
      <c r="D1141">
        <v>758</v>
      </c>
      <c r="G1141" t="s">
        <v>133</v>
      </c>
      <c r="H1141">
        <v>2613</v>
      </c>
      <c r="K1141" t="s">
        <v>133</v>
      </c>
      <c r="L1141">
        <v>2618</v>
      </c>
      <c r="O1141" t="s">
        <v>133</v>
      </c>
      <c r="P1141">
        <v>567</v>
      </c>
      <c r="S1141" t="s">
        <v>133</v>
      </c>
      <c r="T1141">
        <v>6157</v>
      </c>
      <c r="W1141" t="s">
        <v>133</v>
      </c>
      <c r="X1141">
        <v>7530</v>
      </c>
      <c r="AA1141" t="s">
        <v>133</v>
      </c>
      <c r="AB1141">
        <v>67184</v>
      </c>
      <c r="AE1141" t="s">
        <v>133</v>
      </c>
      <c r="AF1141">
        <v>42342</v>
      </c>
      <c r="AI1141" t="s">
        <v>133</v>
      </c>
      <c r="AJ1141">
        <v>14298</v>
      </c>
      <c r="AM1141" t="s">
        <v>133</v>
      </c>
      <c r="AN1141">
        <v>57607</v>
      </c>
      <c r="AQ1141" t="s">
        <v>133</v>
      </c>
      <c r="AR1141">
        <v>52035</v>
      </c>
      <c r="AT1141" t="s">
        <v>79</v>
      </c>
      <c r="AU1141">
        <v>370104</v>
      </c>
    </row>
    <row r="1142" spans="3:47" x14ac:dyDescent="0.35">
      <c r="C1142" t="s">
        <v>206</v>
      </c>
      <c r="D1142">
        <v>0</v>
      </c>
      <c r="G1142" t="s">
        <v>206</v>
      </c>
      <c r="H1142">
        <v>0</v>
      </c>
      <c r="K1142" t="s">
        <v>206</v>
      </c>
      <c r="L1142">
        <v>0</v>
      </c>
      <c r="O1142" t="s">
        <v>206</v>
      </c>
      <c r="P1142">
        <v>0</v>
      </c>
      <c r="S1142" t="s">
        <v>206</v>
      </c>
      <c r="T1142">
        <v>0</v>
      </c>
      <c r="W1142" t="s">
        <v>206</v>
      </c>
      <c r="X1142">
        <v>258</v>
      </c>
      <c r="AA1142" t="s">
        <v>206</v>
      </c>
      <c r="AB1142">
        <v>3839</v>
      </c>
      <c r="AE1142" t="s">
        <v>206</v>
      </c>
      <c r="AF1142">
        <v>2193</v>
      </c>
      <c r="AI1142" t="s">
        <v>206</v>
      </c>
      <c r="AJ1142">
        <v>4408</v>
      </c>
      <c r="AM1142" t="s">
        <v>206</v>
      </c>
      <c r="AN1142">
        <v>2533</v>
      </c>
      <c r="AQ1142" t="s">
        <v>206</v>
      </c>
      <c r="AR1142">
        <v>30797</v>
      </c>
      <c r="AT1142" t="s">
        <v>68</v>
      </c>
      <c r="AU1142">
        <v>41427</v>
      </c>
    </row>
    <row r="1143" spans="3:47" x14ac:dyDescent="0.35">
      <c r="C1143" t="s">
        <v>136</v>
      </c>
      <c r="D1143">
        <v>9668</v>
      </c>
      <c r="G1143" t="s">
        <v>136</v>
      </c>
      <c r="H1143">
        <v>9468</v>
      </c>
      <c r="K1143" t="s">
        <v>136</v>
      </c>
      <c r="L1143">
        <v>10056</v>
      </c>
      <c r="O1143" t="s">
        <v>136</v>
      </c>
      <c r="P1143">
        <v>9955</v>
      </c>
      <c r="S1143" t="s">
        <v>136</v>
      </c>
      <c r="T1143">
        <v>9721</v>
      </c>
      <c r="W1143" t="s">
        <v>136</v>
      </c>
      <c r="X1143">
        <v>9632</v>
      </c>
      <c r="AA1143" t="s">
        <v>136</v>
      </c>
      <c r="AB1143">
        <v>19960</v>
      </c>
      <c r="AE1143" t="s">
        <v>136</v>
      </c>
      <c r="AF1143">
        <v>2890</v>
      </c>
      <c r="AI1143" t="s">
        <v>136</v>
      </c>
      <c r="AJ1143">
        <v>2593</v>
      </c>
      <c r="AM1143" t="s">
        <v>136</v>
      </c>
      <c r="AN1143">
        <v>15310</v>
      </c>
      <c r="AQ1143" t="s">
        <v>136</v>
      </c>
      <c r="AR1143">
        <v>20636</v>
      </c>
      <c r="AT1143" t="s">
        <v>69</v>
      </c>
      <c r="AU1143">
        <v>25804</v>
      </c>
    </row>
    <row r="1144" spans="3:47" x14ac:dyDescent="0.35">
      <c r="C1144" t="s">
        <v>207</v>
      </c>
      <c r="D1144">
        <v>470</v>
      </c>
      <c r="G1144" t="s">
        <v>207</v>
      </c>
      <c r="H1144">
        <v>0</v>
      </c>
      <c r="K1144" t="s">
        <v>207</v>
      </c>
      <c r="L1144">
        <v>0</v>
      </c>
      <c r="O1144" t="s">
        <v>207</v>
      </c>
      <c r="P1144">
        <v>0</v>
      </c>
      <c r="S1144" t="s">
        <v>207</v>
      </c>
      <c r="T1144">
        <v>678</v>
      </c>
      <c r="W1144" t="s">
        <v>207</v>
      </c>
      <c r="X1144">
        <v>637</v>
      </c>
      <c r="AA1144" t="s">
        <v>207</v>
      </c>
      <c r="AB1144">
        <v>1558</v>
      </c>
      <c r="AE1144" t="s">
        <v>207</v>
      </c>
      <c r="AF1144">
        <v>28395</v>
      </c>
      <c r="AI1144" t="s">
        <v>207</v>
      </c>
      <c r="AJ1144">
        <v>1073</v>
      </c>
      <c r="AM1144" t="s">
        <v>207</v>
      </c>
      <c r="AN1144">
        <v>3302</v>
      </c>
      <c r="AQ1144" t="s">
        <v>207</v>
      </c>
      <c r="AR1144">
        <v>5344</v>
      </c>
      <c r="AT1144" t="s">
        <v>70</v>
      </c>
      <c r="AU1144">
        <v>51114</v>
      </c>
    </row>
    <row r="1145" spans="3:47" x14ac:dyDescent="0.35">
      <c r="C1145" t="s">
        <v>141</v>
      </c>
      <c r="D1145">
        <v>3629</v>
      </c>
      <c r="G1145" t="s">
        <v>141</v>
      </c>
      <c r="H1145">
        <v>3703</v>
      </c>
      <c r="K1145" t="s">
        <v>141</v>
      </c>
      <c r="L1145">
        <v>3775</v>
      </c>
      <c r="O1145" t="s">
        <v>141</v>
      </c>
      <c r="P1145">
        <v>3800</v>
      </c>
      <c r="S1145" t="s">
        <v>141</v>
      </c>
      <c r="T1145">
        <v>3740</v>
      </c>
      <c r="W1145" t="s">
        <v>141</v>
      </c>
      <c r="X1145">
        <v>4104</v>
      </c>
      <c r="AA1145" t="s">
        <v>141</v>
      </c>
      <c r="AB1145">
        <v>10301</v>
      </c>
      <c r="AE1145" t="s">
        <v>141</v>
      </c>
      <c r="AF1145">
        <v>8634</v>
      </c>
      <c r="AI1145" t="s">
        <v>141</v>
      </c>
      <c r="AJ1145">
        <v>1282</v>
      </c>
      <c r="AM1145" t="s">
        <v>141</v>
      </c>
      <c r="AN1145">
        <v>10815</v>
      </c>
      <c r="AQ1145" t="s">
        <v>141</v>
      </c>
      <c r="AR1145">
        <v>7386</v>
      </c>
      <c r="AT1145" t="s">
        <v>76</v>
      </c>
      <c r="AU1145">
        <v>3103</v>
      </c>
    </row>
    <row r="1146" spans="3:47" x14ac:dyDescent="0.35">
      <c r="C1146" t="s">
        <v>208</v>
      </c>
      <c r="D1146">
        <v>0</v>
      </c>
      <c r="G1146" t="s">
        <v>208</v>
      </c>
      <c r="H1146">
        <v>0</v>
      </c>
      <c r="K1146" t="s">
        <v>208</v>
      </c>
      <c r="L1146">
        <v>0</v>
      </c>
      <c r="O1146" t="s">
        <v>208</v>
      </c>
      <c r="P1146">
        <v>0</v>
      </c>
      <c r="S1146" t="s">
        <v>208</v>
      </c>
      <c r="T1146">
        <v>1340</v>
      </c>
      <c r="W1146" t="s">
        <v>208</v>
      </c>
      <c r="X1146">
        <v>41035</v>
      </c>
      <c r="AA1146" t="s">
        <v>208</v>
      </c>
      <c r="AB1146">
        <v>8785</v>
      </c>
      <c r="AE1146" t="s">
        <v>208</v>
      </c>
      <c r="AF1146">
        <v>9684</v>
      </c>
      <c r="AI1146" t="s">
        <v>208</v>
      </c>
      <c r="AJ1146">
        <v>14220</v>
      </c>
      <c r="AM1146" t="s">
        <v>208</v>
      </c>
      <c r="AN1146">
        <v>19925</v>
      </c>
      <c r="AQ1146" t="s">
        <v>208</v>
      </c>
      <c r="AR1146">
        <v>20172</v>
      </c>
      <c r="AT1146" t="s">
        <v>77</v>
      </c>
      <c r="AU1146">
        <v>8804</v>
      </c>
    </row>
    <row r="1147" spans="3:47" x14ac:dyDescent="0.35">
      <c r="C1147" t="s">
        <v>209</v>
      </c>
      <c r="D1147">
        <v>0</v>
      </c>
      <c r="G1147" t="s">
        <v>209</v>
      </c>
      <c r="H1147">
        <v>0</v>
      </c>
      <c r="K1147" t="s">
        <v>209</v>
      </c>
      <c r="L1147">
        <v>0</v>
      </c>
      <c r="O1147" t="s">
        <v>209</v>
      </c>
      <c r="P1147">
        <v>0</v>
      </c>
      <c r="S1147" t="s">
        <v>209</v>
      </c>
      <c r="T1147">
        <v>1264</v>
      </c>
      <c r="W1147" t="s">
        <v>209</v>
      </c>
      <c r="X1147">
        <v>37544</v>
      </c>
      <c r="AA1147" t="s">
        <v>209</v>
      </c>
      <c r="AB1147">
        <v>80178</v>
      </c>
      <c r="AE1147" t="s">
        <v>209</v>
      </c>
      <c r="AF1147">
        <v>33498</v>
      </c>
      <c r="AI1147" t="s">
        <v>209</v>
      </c>
      <c r="AJ1147">
        <v>26573</v>
      </c>
      <c r="AM1147" t="s">
        <v>209</v>
      </c>
      <c r="AN1147">
        <v>28098</v>
      </c>
      <c r="AQ1147" t="s">
        <v>209</v>
      </c>
      <c r="AR1147">
        <v>35214</v>
      </c>
      <c r="AT1147" t="s">
        <v>78</v>
      </c>
      <c r="AU1147">
        <v>385034</v>
      </c>
    </row>
    <row r="1148" spans="3:47" x14ac:dyDescent="0.35">
      <c r="C1148" t="s">
        <v>134</v>
      </c>
      <c r="D1148">
        <v>6108</v>
      </c>
      <c r="G1148" t="s">
        <v>134</v>
      </c>
      <c r="H1148">
        <v>7101</v>
      </c>
      <c r="K1148" t="s">
        <v>134</v>
      </c>
      <c r="L1148">
        <v>4953</v>
      </c>
      <c r="O1148" t="s">
        <v>134</v>
      </c>
      <c r="P1148">
        <v>5230</v>
      </c>
      <c r="S1148" t="s">
        <v>134</v>
      </c>
      <c r="T1148">
        <v>8218</v>
      </c>
      <c r="W1148" t="s">
        <v>134</v>
      </c>
      <c r="X1148">
        <v>10897</v>
      </c>
      <c r="AA1148" t="s">
        <v>134</v>
      </c>
      <c r="AB1148">
        <v>53702</v>
      </c>
      <c r="AE1148" t="s">
        <v>134</v>
      </c>
      <c r="AF1148">
        <v>32787</v>
      </c>
      <c r="AI1148" t="s">
        <v>134</v>
      </c>
      <c r="AJ1148">
        <v>8777</v>
      </c>
      <c r="AM1148" t="s">
        <v>134</v>
      </c>
      <c r="AN1148">
        <v>55150</v>
      </c>
      <c r="AQ1148" t="s">
        <v>134</v>
      </c>
      <c r="AR1148">
        <v>84351</v>
      </c>
      <c r="AT1148" t="s">
        <v>67</v>
      </c>
      <c r="AU1148">
        <v>43201</v>
      </c>
    </row>
    <row r="1149" spans="3:47" x14ac:dyDescent="0.35">
      <c r="C1149" t="s">
        <v>142</v>
      </c>
      <c r="D1149">
        <v>12018</v>
      </c>
      <c r="G1149" t="s">
        <v>142</v>
      </c>
      <c r="H1149">
        <v>228</v>
      </c>
      <c r="K1149" t="s">
        <v>142</v>
      </c>
      <c r="L1149">
        <v>11043</v>
      </c>
      <c r="O1149" t="s">
        <v>142</v>
      </c>
      <c r="P1149">
        <v>474</v>
      </c>
      <c r="S1149" t="s">
        <v>142</v>
      </c>
      <c r="T1149">
        <v>3752</v>
      </c>
      <c r="W1149" t="s">
        <v>142</v>
      </c>
      <c r="X1149">
        <v>16377</v>
      </c>
      <c r="AA1149" t="s">
        <v>142</v>
      </c>
      <c r="AB1149">
        <v>32049</v>
      </c>
      <c r="AE1149" t="s">
        <v>142</v>
      </c>
      <c r="AF1149">
        <v>144884</v>
      </c>
      <c r="AI1149" t="s">
        <v>142</v>
      </c>
      <c r="AJ1149">
        <v>15226</v>
      </c>
      <c r="AM1149" t="s">
        <v>142</v>
      </c>
      <c r="AN1149">
        <v>25904</v>
      </c>
      <c r="AQ1149" t="s">
        <v>142</v>
      </c>
      <c r="AR1149">
        <v>118520</v>
      </c>
      <c r="AT1149" t="s">
        <v>80</v>
      </c>
      <c r="AU1149">
        <v>28773</v>
      </c>
    </row>
    <row r="1150" spans="3:47" x14ac:dyDescent="0.35">
      <c r="C1150" t="s">
        <v>83</v>
      </c>
      <c r="D1150">
        <v>9064</v>
      </c>
      <c r="G1150" t="s">
        <v>83</v>
      </c>
      <c r="H1150">
        <v>8902</v>
      </c>
      <c r="K1150" t="s">
        <v>83</v>
      </c>
      <c r="L1150">
        <v>9254</v>
      </c>
      <c r="O1150" t="s">
        <v>83</v>
      </c>
      <c r="P1150">
        <v>10251</v>
      </c>
      <c r="S1150" t="s">
        <v>83</v>
      </c>
      <c r="T1150">
        <v>8467</v>
      </c>
      <c r="W1150" t="s">
        <v>83</v>
      </c>
      <c r="X1150">
        <v>9325</v>
      </c>
      <c r="AA1150" t="s">
        <v>83</v>
      </c>
      <c r="AB1150">
        <v>17453</v>
      </c>
      <c r="AE1150" t="s">
        <v>83</v>
      </c>
      <c r="AF1150">
        <v>15393</v>
      </c>
      <c r="AI1150" t="s">
        <v>83</v>
      </c>
      <c r="AJ1150">
        <v>2606</v>
      </c>
      <c r="AM1150" t="s">
        <v>83</v>
      </c>
      <c r="AN1150">
        <v>13145</v>
      </c>
      <c r="AQ1150" t="s">
        <v>83</v>
      </c>
      <c r="AR1150">
        <v>17214</v>
      </c>
      <c r="AT1150" t="s">
        <v>83</v>
      </c>
      <c r="AU1150">
        <v>53152</v>
      </c>
    </row>
    <row r="1151" spans="3:47" x14ac:dyDescent="0.35">
      <c r="C1151" t="s">
        <v>84</v>
      </c>
      <c r="D1151">
        <v>6173</v>
      </c>
      <c r="G1151" t="s">
        <v>84</v>
      </c>
      <c r="H1151">
        <v>74683</v>
      </c>
      <c r="K1151" t="s">
        <v>84</v>
      </c>
      <c r="L1151">
        <v>1511</v>
      </c>
      <c r="O1151" t="s">
        <v>84</v>
      </c>
      <c r="P1151">
        <v>969</v>
      </c>
      <c r="S1151" t="s">
        <v>84</v>
      </c>
      <c r="T1151">
        <v>14</v>
      </c>
      <c r="W1151" t="s">
        <v>84</v>
      </c>
      <c r="X1151">
        <v>28043</v>
      </c>
      <c r="AA1151" t="s">
        <v>84</v>
      </c>
      <c r="AB1151">
        <v>567</v>
      </c>
      <c r="AE1151" t="s">
        <v>84</v>
      </c>
      <c r="AF1151">
        <v>1058</v>
      </c>
      <c r="AI1151" t="s">
        <v>84</v>
      </c>
      <c r="AJ1151">
        <v>1389</v>
      </c>
      <c r="AM1151" t="s">
        <v>84</v>
      </c>
      <c r="AN1151">
        <v>2138</v>
      </c>
      <c r="AQ1151" t="s">
        <v>84</v>
      </c>
      <c r="AR1151">
        <v>18197</v>
      </c>
      <c r="AT1151" t="s">
        <v>84</v>
      </c>
      <c r="AU1151">
        <v>34768</v>
      </c>
    </row>
    <row r="1152" spans="3:47" x14ac:dyDescent="0.35">
      <c r="C1152" t="s">
        <v>126</v>
      </c>
      <c r="D1152">
        <v>2285</v>
      </c>
      <c r="G1152" t="s">
        <v>126</v>
      </c>
      <c r="H1152">
        <v>2586</v>
      </c>
      <c r="K1152" t="s">
        <v>223</v>
      </c>
      <c r="L1152">
        <v>2746</v>
      </c>
      <c r="O1152" t="s">
        <v>126</v>
      </c>
      <c r="P1152">
        <v>2913</v>
      </c>
      <c r="S1152" t="s">
        <v>126</v>
      </c>
      <c r="T1152">
        <v>3149</v>
      </c>
      <c r="W1152" t="s">
        <v>126</v>
      </c>
      <c r="X1152">
        <v>3348</v>
      </c>
      <c r="AA1152" t="s">
        <v>126</v>
      </c>
      <c r="AB1152">
        <v>3605</v>
      </c>
      <c r="AE1152" t="s">
        <v>126</v>
      </c>
      <c r="AF1152">
        <v>3803</v>
      </c>
      <c r="AI1152" t="s">
        <v>126</v>
      </c>
      <c r="AJ1152">
        <v>104</v>
      </c>
      <c r="AM1152" t="s">
        <v>126</v>
      </c>
      <c r="AN1152">
        <v>4097</v>
      </c>
      <c r="AQ1152" t="s">
        <v>126</v>
      </c>
      <c r="AR1152">
        <v>827</v>
      </c>
      <c r="AT1152" t="s">
        <v>86</v>
      </c>
      <c r="AU1152">
        <v>509</v>
      </c>
    </row>
    <row r="1153" spans="3:47" x14ac:dyDescent="0.35">
      <c r="C1153" t="s">
        <v>87</v>
      </c>
      <c r="D1153">
        <v>20447</v>
      </c>
      <c r="G1153" t="s">
        <v>87</v>
      </c>
      <c r="H1153">
        <v>281404</v>
      </c>
      <c r="K1153" t="s">
        <v>87</v>
      </c>
      <c r="L1153">
        <v>3046</v>
      </c>
      <c r="O1153" t="s">
        <v>87</v>
      </c>
      <c r="P1153">
        <v>0</v>
      </c>
      <c r="S1153" t="s">
        <v>87</v>
      </c>
      <c r="T1153">
        <v>0</v>
      </c>
      <c r="W1153" t="s">
        <v>87</v>
      </c>
      <c r="X1153">
        <v>50763</v>
      </c>
      <c r="AA1153" t="s">
        <v>87</v>
      </c>
      <c r="AB1153">
        <v>1215</v>
      </c>
      <c r="AE1153" t="s">
        <v>87</v>
      </c>
      <c r="AF1153">
        <v>485</v>
      </c>
      <c r="AI1153" t="s">
        <v>87</v>
      </c>
      <c r="AJ1153">
        <v>119</v>
      </c>
      <c r="AM1153" t="s">
        <v>87</v>
      </c>
      <c r="AN1153">
        <v>59</v>
      </c>
      <c r="AQ1153" t="s">
        <v>87</v>
      </c>
      <c r="AR1153">
        <v>126662</v>
      </c>
      <c r="AT1153" t="s">
        <v>87</v>
      </c>
      <c r="AU1153">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354BD-DF55-4CB7-9D3B-D53D7A48BB36}">
  <dimension ref="A1:AW1181"/>
  <sheetViews>
    <sheetView workbookViewId="0">
      <selection activeCell="B29" sqref="B29:E41"/>
    </sheetView>
  </sheetViews>
  <sheetFormatPr defaultColWidth="8.81640625" defaultRowHeight="14.5" x14ac:dyDescent="0.35"/>
  <cols>
    <col min="1" max="1" width="56.6328125" bestFit="1" customWidth="1"/>
    <col min="2" max="3" width="10.81640625" bestFit="1" customWidth="1"/>
    <col min="4" max="4" width="50.36328125" bestFit="1" customWidth="1"/>
    <col min="5" max="36" width="8.6328125" customWidth="1"/>
    <col min="38" max="44" width="8.6328125" customWidth="1"/>
    <col min="49" max="49" width="10.6328125" bestFit="1"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25188292.499999996</v>
      </c>
      <c r="C2">
        <v>9795479.0000000019</v>
      </c>
      <c r="D2">
        <v>10014078.499999996</v>
      </c>
      <c r="E2">
        <v>17113732.499999996</v>
      </c>
      <c r="F2">
        <v>2175425.5000000005</v>
      </c>
      <c r="G2">
        <v>4773305.4999999991</v>
      </c>
      <c r="H2">
        <v>22010711.499999996</v>
      </c>
      <c r="I2">
        <v>21032684.000000004</v>
      </c>
      <c r="J2">
        <v>70997869.50000006</v>
      </c>
      <c r="K2">
        <v>4713256.5000000028</v>
      </c>
      <c r="L2">
        <v>684552.49999999988</v>
      </c>
      <c r="M2">
        <v>533864.00000000012</v>
      </c>
      <c r="N2">
        <v>37260562.50000003</v>
      </c>
      <c r="O2">
        <v>3252595.9999999991</v>
      </c>
      <c r="P2">
        <v>94451279.50000006</v>
      </c>
      <c r="Q2">
        <v>1836705</v>
      </c>
      <c r="R2">
        <v>26858761.999999993</v>
      </c>
      <c r="S2">
        <v>10788692</v>
      </c>
      <c r="T2">
        <v>2061013.9999999993</v>
      </c>
      <c r="U2">
        <v>1652717.4999999998</v>
      </c>
      <c r="V2">
        <v>1193635.4999999998</v>
      </c>
      <c r="W2">
        <v>43725806.500000007</v>
      </c>
      <c r="X2">
        <v>4331740.4999999991</v>
      </c>
      <c r="Y2">
        <v>2054717.9999999998</v>
      </c>
      <c r="Z2">
        <v>22966240</v>
      </c>
      <c r="AA2">
        <v>16514686.999999991</v>
      </c>
      <c r="AB2">
        <v>24487610.999999996</v>
      </c>
      <c r="AC2">
        <v>3636113.5000000009</v>
      </c>
      <c r="AD2">
        <v>1288744.5000000005</v>
      </c>
      <c r="AE2">
        <v>15581250.5</v>
      </c>
      <c r="AF2">
        <v>2167470.0000000023</v>
      </c>
      <c r="AG2">
        <v>17954407.000000004</v>
      </c>
      <c r="AH2">
        <v>170075931.5</v>
      </c>
      <c r="AI2">
        <v>10840333.999999994</v>
      </c>
      <c r="AJ2">
        <v>13231833.000000002</v>
      </c>
      <c r="AK2">
        <v>6788587.5000000037</v>
      </c>
      <c r="AL2">
        <v>10701604.500000004</v>
      </c>
      <c r="AM2">
        <v>189924.5</v>
      </c>
      <c r="AN2">
        <v>1111443.9999999998</v>
      </c>
      <c r="AO2">
        <v>95308.999999999985</v>
      </c>
      <c r="AP2">
        <v>12754906</v>
      </c>
      <c r="AQ2">
        <v>6926634.5000000009</v>
      </c>
      <c r="AR2">
        <v>47786137.499999993</v>
      </c>
      <c r="AS2">
        <v>34273295.000000015</v>
      </c>
      <c r="AT2">
        <v>53145033.000000007</v>
      </c>
      <c r="AU2">
        <v>14744657.999999998</v>
      </c>
      <c r="AV2">
        <v>13265331.000000002</v>
      </c>
      <c r="AW2">
        <v>919028967.00000012</v>
      </c>
    </row>
    <row r="3" spans="1:49" x14ac:dyDescent="0.35">
      <c r="A3" t="s">
        <v>135</v>
      </c>
      <c r="B3">
        <v>0</v>
      </c>
      <c r="C3">
        <v>996</v>
      </c>
      <c r="D3">
        <v>26</v>
      </c>
      <c r="E3">
        <v>1574</v>
      </c>
      <c r="F3">
        <v>1638</v>
      </c>
      <c r="G3">
        <v>0</v>
      </c>
      <c r="H3">
        <v>0</v>
      </c>
      <c r="I3">
        <v>0</v>
      </c>
      <c r="J3">
        <v>0</v>
      </c>
      <c r="K3">
        <v>0</v>
      </c>
      <c r="L3">
        <v>246</v>
      </c>
      <c r="M3">
        <v>520</v>
      </c>
      <c r="N3">
        <v>0</v>
      </c>
      <c r="O3">
        <v>389</v>
      </c>
      <c r="P3">
        <v>0</v>
      </c>
      <c r="Q3">
        <v>0</v>
      </c>
      <c r="R3">
        <v>4972</v>
      </c>
      <c r="S3">
        <v>0</v>
      </c>
      <c r="T3">
        <v>0</v>
      </c>
      <c r="U3">
        <v>0</v>
      </c>
      <c r="V3">
        <v>0</v>
      </c>
      <c r="W3">
        <v>16184</v>
      </c>
      <c r="X3">
        <v>0</v>
      </c>
      <c r="Y3">
        <v>0</v>
      </c>
      <c r="Z3">
        <v>6376</v>
      </c>
      <c r="AA3">
        <v>3525</v>
      </c>
      <c r="AB3">
        <v>2716</v>
      </c>
      <c r="AC3">
        <v>0</v>
      </c>
      <c r="AD3">
        <v>3444</v>
      </c>
      <c r="AE3">
        <v>0</v>
      </c>
      <c r="AF3">
        <v>0</v>
      </c>
      <c r="AG3">
        <v>1904</v>
      </c>
      <c r="AH3">
        <v>144</v>
      </c>
      <c r="AI3">
        <v>0</v>
      </c>
      <c r="AJ3">
        <v>0</v>
      </c>
      <c r="AK3">
        <v>8</v>
      </c>
      <c r="AL3">
        <v>0</v>
      </c>
      <c r="AM3">
        <v>0</v>
      </c>
      <c r="AN3">
        <v>0</v>
      </c>
      <c r="AO3">
        <v>186</v>
      </c>
      <c r="AP3">
        <v>1056</v>
      </c>
      <c r="AQ3">
        <v>49</v>
      </c>
      <c r="AR3">
        <v>2962</v>
      </c>
      <c r="AS3">
        <v>6740</v>
      </c>
      <c r="AT3">
        <v>0</v>
      </c>
      <c r="AU3">
        <v>156</v>
      </c>
      <c r="AV3">
        <v>2118</v>
      </c>
      <c r="AW3">
        <v>57929</v>
      </c>
    </row>
    <row r="4" spans="1:49" x14ac:dyDescent="0.35">
      <c r="A4" t="s">
        <v>139</v>
      </c>
      <c r="B4">
        <v>0</v>
      </c>
      <c r="C4">
        <v>12972</v>
      </c>
      <c r="D4">
        <v>10276</v>
      </c>
      <c r="E4">
        <v>12016</v>
      </c>
      <c r="F4">
        <v>11632</v>
      </c>
      <c r="G4">
        <v>0</v>
      </c>
      <c r="H4">
        <v>0</v>
      </c>
      <c r="I4">
        <v>0</v>
      </c>
      <c r="J4">
        <v>0</v>
      </c>
      <c r="K4">
        <v>0</v>
      </c>
      <c r="L4">
        <v>0</v>
      </c>
      <c r="M4">
        <v>1102</v>
      </c>
      <c r="N4">
        <v>0</v>
      </c>
      <c r="O4">
        <v>0</v>
      </c>
      <c r="P4">
        <v>0</v>
      </c>
      <c r="Q4">
        <v>0</v>
      </c>
      <c r="R4">
        <v>0</v>
      </c>
      <c r="S4">
        <v>0</v>
      </c>
      <c r="T4">
        <v>4772</v>
      </c>
      <c r="U4">
        <v>0</v>
      </c>
      <c r="V4">
        <v>0</v>
      </c>
      <c r="W4">
        <v>123538</v>
      </c>
      <c r="X4">
        <v>0</v>
      </c>
      <c r="Y4">
        <v>0</v>
      </c>
      <c r="Z4">
        <v>6766</v>
      </c>
      <c r="AA4">
        <v>8514</v>
      </c>
      <c r="AB4">
        <v>11652</v>
      </c>
      <c r="AC4">
        <v>0</v>
      </c>
      <c r="AD4">
        <v>7474</v>
      </c>
      <c r="AE4">
        <v>0</v>
      </c>
      <c r="AF4">
        <v>0</v>
      </c>
      <c r="AG4">
        <v>0</v>
      </c>
      <c r="AH4">
        <v>0</v>
      </c>
      <c r="AI4">
        <v>0</v>
      </c>
      <c r="AJ4">
        <v>0</v>
      </c>
      <c r="AK4">
        <v>0</v>
      </c>
      <c r="AL4">
        <v>0</v>
      </c>
      <c r="AM4">
        <v>0</v>
      </c>
      <c r="AN4">
        <v>0</v>
      </c>
      <c r="AO4">
        <v>838</v>
      </c>
      <c r="AP4">
        <v>6282</v>
      </c>
      <c r="AQ4">
        <v>0</v>
      </c>
      <c r="AR4">
        <v>41600</v>
      </c>
      <c r="AS4">
        <v>81632</v>
      </c>
      <c r="AT4">
        <v>117444</v>
      </c>
      <c r="AU4">
        <v>0</v>
      </c>
      <c r="AV4">
        <v>31072</v>
      </c>
      <c r="AW4">
        <v>489582</v>
      </c>
    </row>
    <row r="5" spans="1:49" x14ac:dyDescent="0.35">
      <c r="A5" t="s">
        <v>138</v>
      </c>
      <c r="B5">
        <v>0</v>
      </c>
      <c r="C5">
        <v>32</v>
      </c>
      <c r="D5">
        <v>2960</v>
      </c>
      <c r="E5">
        <v>8902</v>
      </c>
      <c r="F5">
        <v>0</v>
      </c>
      <c r="G5">
        <v>0</v>
      </c>
      <c r="H5">
        <v>0</v>
      </c>
      <c r="I5">
        <v>0</v>
      </c>
      <c r="J5">
        <v>0</v>
      </c>
      <c r="K5">
        <v>0</v>
      </c>
      <c r="L5">
        <v>1334</v>
      </c>
      <c r="M5">
        <v>0</v>
      </c>
      <c r="N5">
        <v>0</v>
      </c>
      <c r="O5">
        <v>0</v>
      </c>
      <c r="P5">
        <v>0</v>
      </c>
      <c r="Q5">
        <v>0</v>
      </c>
      <c r="R5">
        <v>0</v>
      </c>
      <c r="S5">
        <v>0</v>
      </c>
      <c r="T5">
        <v>0</v>
      </c>
      <c r="U5">
        <v>0</v>
      </c>
      <c r="V5">
        <v>0</v>
      </c>
      <c r="W5">
        <v>0</v>
      </c>
      <c r="X5">
        <v>0</v>
      </c>
      <c r="Y5">
        <v>0</v>
      </c>
      <c r="Z5">
        <v>2950</v>
      </c>
      <c r="AA5">
        <v>3540</v>
      </c>
      <c r="AB5">
        <v>8522</v>
      </c>
      <c r="AC5">
        <v>0</v>
      </c>
      <c r="AD5">
        <v>0</v>
      </c>
      <c r="AE5">
        <v>0</v>
      </c>
      <c r="AF5">
        <v>0</v>
      </c>
      <c r="AG5">
        <v>1788</v>
      </c>
      <c r="AH5">
        <v>0</v>
      </c>
      <c r="AI5">
        <v>0</v>
      </c>
      <c r="AJ5">
        <v>0</v>
      </c>
      <c r="AK5">
        <v>0</v>
      </c>
      <c r="AL5">
        <v>0</v>
      </c>
      <c r="AM5">
        <v>0</v>
      </c>
      <c r="AN5">
        <v>0</v>
      </c>
      <c r="AO5">
        <v>0</v>
      </c>
      <c r="AP5">
        <v>832</v>
      </c>
      <c r="AQ5">
        <v>0</v>
      </c>
      <c r="AR5">
        <v>0</v>
      </c>
      <c r="AS5">
        <v>0</v>
      </c>
      <c r="AT5">
        <v>0</v>
      </c>
      <c r="AU5">
        <v>0</v>
      </c>
      <c r="AV5">
        <v>0</v>
      </c>
      <c r="AW5">
        <v>30860</v>
      </c>
    </row>
    <row r="6" spans="1:49" x14ac:dyDescent="0.35">
      <c r="A6" t="s">
        <v>82</v>
      </c>
      <c r="B6">
        <v>751</v>
      </c>
      <c r="C6">
        <v>546</v>
      </c>
      <c r="D6">
        <v>0</v>
      </c>
      <c r="E6">
        <v>785</v>
      </c>
      <c r="F6">
        <v>37</v>
      </c>
      <c r="G6">
        <v>1603</v>
      </c>
      <c r="H6">
        <v>0</v>
      </c>
      <c r="I6">
        <v>0</v>
      </c>
      <c r="J6">
        <v>409</v>
      </c>
      <c r="K6">
        <v>704</v>
      </c>
      <c r="L6">
        <v>0</v>
      </c>
      <c r="M6">
        <v>377</v>
      </c>
      <c r="N6">
        <v>391</v>
      </c>
      <c r="O6">
        <v>0</v>
      </c>
      <c r="P6">
        <v>328</v>
      </c>
      <c r="Q6">
        <v>0</v>
      </c>
      <c r="R6">
        <v>451</v>
      </c>
      <c r="S6">
        <v>0</v>
      </c>
      <c r="T6">
        <v>886</v>
      </c>
      <c r="U6">
        <v>0</v>
      </c>
      <c r="V6">
        <v>918</v>
      </c>
      <c r="W6">
        <v>531</v>
      </c>
      <c r="X6">
        <v>0</v>
      </c>
      <c r="Y6">
        <v>0</v>
      </c>
      <c r="Z6">
        <v>0</v>
      </c>
      <c r="AA6">
        <v>4</v>
      </c>
      <c r="AB6">
        <v>20</v>
      </c>
      <c r="AC6">
        <v>3445</v>
      </c>
      <c r="AD6">
        <v>0</v>
      </c>
      <c r="AE6">
        <v>4</v>
      </c>
      <c r="AF6">
        <v>0</v>
      </c>
      <c r="AG6">
        <v>0</v>
      </c>
      <c r="AH6">
        <v>0</v>
      </c>
      <c r="AI6">
        <v>0</v>
      </c>
      <c r="AJ6">
        <v>0</v>
      </c>
      <c r="AK6">
        <v>0</v>
      </c>
      <c r="AL6">
        <v>0</v>
      </c>
      <c r="AM6">
        <v>0</v>
      </c>
      <c r="AN6">
        <v>3320</v>
      </c>
      <c r="AO6">
        <v>0</v>
      </c>
      <c r="AP6">
        <v>19687</v>
      </c>
      <c r="AQ6">
        <v>4</v>
      </c>
      <c r="AR6">
        <v>20962</v>
      </c>
      <c r="AS6">
        <v>72</v>
      </c>
      <c r="AT6">
        <v>0</v>
      </c>
      <c r="AU6">
        <v>0</v>
      </c>
      <c r="AV6">
        <v>51</v>
      </c>
      <c r="AW6">
        <v>56286</v>
      </c>
    </row>
    <row r="7" spans="1:49" x14ac:dyDescent="0.35">
      <c r="A7" t="s">
        <v>60</v>
      </c>
      <c r="B7">
        <v>353</v>
      </c>
      <c r="C7">
        <v>115</v>
      </c>
      <c r="D7">
        <v>0</v>
      </c>
      <c r="E7">
        <v>39</v>
      </c>
      <c r="F7">
        <v>6</v>
      </c>
      <c r="G7">
        <v>171</v>
      </c>
      <c r="H7">
        <v>1764</v>
      </c>
      <c r="I7">
        <v>0</v>
      </c>
      <c r="J7">
        <v>287</v>
      </c>
      <c r="K7">
        <v>278</v>
      </c>
      <c r="L7">
        <v>0</v>
      </c>
      <c r="M7">
        <v>147</v>
      </c>
      <c r="N7">
        <v>224</v>
      </c>
      <c r="O7">
        <v>0</v>
      </c>
      <c r="P7">
        <v>19</v>
      </c>
      <c r="Q7">
        <v>0</v>
      </c>
      <c r="R7">
        <v>186</v>
      </c>
      <c r="S7">
        <v>0</v>
      </c>
      <c r="T7">
        <v>228</v>
      </c>
      <c r="U7">
        <v>0</v>
      </c>
      <c r="V7">
        <v>713</v>
      </c>
      <c r="W7">
        <v>401</v>
      </c>
      <c r="X7">
        <v>0</v>
      </c>
      <c r="Y7">
        <v>0</v>
      </c>
      <c r="Z7">
        <v>0</v>
      </c>
      <c r="AA7">
        <v>0</v>
      </c>
      <c r="AB7">
        <v>0</v>
      </c>
      <c r="AC7">
        <v>695</v>
      </c>
      <c r="AD7">
        <v>0</v>
      </c>
      <c r="AE7">
        <v>4</v>
      </c>
      <c r="AF7">
        <v>0</v>
      </c>
      <c r="AG7">
        <v>0</v>
      </c>
      <c r="AH7">
        <v>0</v>
      </c>
      <c r="AI7">
        <v>0</v>
      </c>
      <c r="AJ7">
        <v>0</v>
      </c>
      <c r="AK7">
        <v>0</v>
      </c>
      <c r="AL7">
        <v>68</v>
      </c>
      <c r="AM7">
        <v>84</v>
      </c>
      <c r="AN7">
        <v>768</v>
      </c>
      <c r="AO7">
        <v>0</v>
      </c>
      <c r="AP7">
        <v>15483</v>
      </c>
      <c r="AQ7">
        <v>0</v>
      </c>
      <c r="AR7">
        <v>9658</v>
      </c>
      <c r="AS7">
        <v>0</v>
      </c>
      <c r="AT7">
        <v>0</v>
      </c>
      <c r="AU7">
        <v>0</v>
      </c>
      <c r="AV7">
        <v>30</v>
      </c>
      <c r="AW7">
        <v>31721</v>
      </c>
    </row>
    <row r="8" spans="1:49" x14ac:dyDescent="0.35">
      <c r="A8" t="s">
        <v>127</v>
      </c>
      <c r="E8">
        <v>2099</v>
      </c>
      <c r="F8">
        <v>166</v>
      </c>
      <c r="AB8">
        <v>1213</v>
      </c>
      <c r="AW8">
        <v>3478</v>
      </c>
    </row>
    <row r="9" spans="1:49" x14ac:dyDescent="0.35">
      <c r="A9" t="s">
        <v>61</v>
      </c>
      <c r="B9">
        <v>85</v>
      </c>
      <c r="C9">
        <v>44</v>
      </c>
      <c r="D9">
        <v>0</v>
      </c>
      <c r="E9">
        <v>128</v>
      </c>
      <c r="F9">
        <v>0</v>
      </c>
      <c r="G9">
        <v>15</v>
      </c>
      <c r="H9">
        <v>0</v>
      </c>
      <c r="I9">
        <v>0</v>
      </c>
      <c r="J9">
        <v>19</v>
      </c>
      <c r="K9">
        <v>819</v>
      </c>
      <c r="L9">
        <v>0</v>
      </c>
      <c r="M9">
        <v>130</v>
      </c>
      <c r="N9">
        <v>20</v>
      </c>
      <c r="O9">
        <v>0</v>
      </c>
      <c r="P9">
        <v>50</v>
      </c>
      <c r="Q9">
        <v>0</v>
      </c>
      <c r="R9">
        <v>0</v>
      </c>
      <c r="S9">
        <v>0</v>
      </c>
      <c r="T9">
        <v>0</v>
      </c>
      <c r="U9">
        <v>0</v>
      </c>
      <c r="V9">
        <v>0</v>
      </c>
      <c r="W9">
        <v>0</v>
      </c>
      <c r="X9">
        <v>0</v>
      </c>
      <c r="Y9">
        <v>0</v>
      </c>
      <c r="Z9">
        <v>0</v>
      </c>
      <c r="AA9">
        <v>0</v>
      </c>
      <c r="AB9">
        <v>0</v>
      </c>
      <c r="AC9">
        <v>1172</v>
      </c>
      <c r="AD9">
        <v>0</v>
      </c>
      <c r="AE9">
        <v>0</v>
      </c>
      <c r="AF9">
        <v>0</v>
      </c>
      <c r="AG9">
        <v>0</v>
      </c>
      <c r="AH9">
        <v>0</v>
      </c>
      <c r="AI9">
        <v>0</v>
      </c>
      <c r="AJ9">
        <v>0</v>
      </c>
      <c r="AK9">
        <v>0</v>
      </c>
      <c r="AL9">
        <v>0</v>
      </c>
      <c r="AM9">
        <v>0</v>
      </c>
      <c r="AN9">
        <v>0</v>
      </c>
      <c r="AO9">
        <v>0</v>
      </c>
      <c r="AP9">
        <v>406</v>
      </c>
      <c r="AQ9">
        <v>0</v>
      </c>
      <c r="AR9">
        <v>0</v>
      </c>
      <c r="AS9">
        <v>0</v>
      </c>
      <c r="AT9">
        <v>0</v>
      </c>
      <c r="AU9">
        <v>0</v>
      </c>
      <c r="AV9">
        <v>0</v>
      </c>
      <c r="AW9">
        <v>2888</v>
      </c>
    </row>
    <row r="10" spans="1:49" x14ac:dyDescent="0.35">
      <c r="A10" t="s">
        <v>62</v>
      </c>
      <c r="B10">
        <v>517</v>
      </c>
      <c r="C10">
        <v>0</v>
      </c>
      <c r="D10">
        <v>0</v>
      </c>
      <c r="E10">
        <v>1791</v>
      </c>
      <c r="F10">
        <v>0</v>
      </c>
      <c r="G10">
        <v>11</v>
      </c>
      <c r="H10">
        <v>0</v>
      </c>
      <c r="I10">
        <v>0</v>
      </c>
      <c r="J10">
        <v>634</v>
      </c>
      <c r="K10">
        <v>4104</v>
      </c>
      <c r="L10">
        <v>0</v>
      </c>
      <c r="M10">
        <v>121</v>
      </c>
      <c r="N10">
        <v>199</v>
      </c>
      <c r="O10">
        <v>0</v>
      </c>
      <c r="P10">
        <v>461</v>
      </c>
      <c r="Q10">
        <v>0</v>
      </c>
      <c r="R10">
        <v>0</v>
      </c>
      <c r="S10">
        <v>0</v>
      </c>
      <c r="T10">
        <v>0</v>
      </c>
      <c r="U10">
        <v>0</v>
      </c>
      <c r="V10">
        <v>0</v>
      </c>
      <c r="W10">
        <v>0</v>
      </c>
      <c r="X10">
        <v>0</v>
      </c>
      <c r="Y10">
        <v>0</v>
      </c>
      <c r="Z10">
        <v>0</v>
      </c>
      <c r="AA10">
        <v>0</v>
      </c>
      <c r="AB10">
        <v>85</v>
      </c>
      <c r="AC10">
        <v>0</v>
      </c>
      <c r="AD10">
        <v>0</v>
      </c>
      <c r="AE10">
        <v>0</v>
      </c>
      <c r="AF10">
        <v>0</v>
      </c>
      <c r="AG10">
        <v>0</v>
      </c>
      <c r="AH10">
        <v>0</v>
      </c>
      <c r="AI10">
        <v>0</v>
      </c>
      <c r="AJ10">
        <v>0</v>
      </c>
      <c r="AK10">
        <v>0</v>
      </c>
      <c r="AL10">
        <v>0</v>
      </c>
      <c r="AM10">
        <v>0</v>
      </c>
      <c r="AN10">
        <v>4646</v>
      </c>
      <c r="AO10">
        <v>0</v>
      </c>
      <c r="AP10">
        <v>1258</v>
      </c>
      <c r="AQ10">
        <v>0</v>
      </c>
      <c r="AR10">
        <v>3255</v>
      </c>
      <c r="AS10">
        <v>0</v>
      </c>
      <c r="AT10">
        <v>0</v>
      </c>
      <c r="AU10">
        <v>0</v>
      </c>
      <c r="AV10">
        <v>0</v>
      </c>
      <c r="AW10">
        <v>17082</v>
      </c>
    </row>
    <row r="11" spans="1:49" x14ac:dyDescent="0.35">
      <c r="A11" t="s">
        <v>203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row>
    <row r="12" spans="1:49" x14ac:dyDescent="0.35">
      <c r="A12" t="s">
        <v>204</v>
      </c>
    </row>
    <row r="13" spans="1:49" x14ac:dyDescent="0.35">
      <c r="A13" t="s">
        <v>205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33</v>
      </c>
      <c r="AC13">
        <v>0</v>
      </c>
      <c r="AD13">
        <v>0</v>
      </c>
      <c r="AE13">
        <v>0</v>
      </c>
      <c r="AF13">
        <v>0</v>
      </c>
      <c r="AG13">
        <v>0</v>
      </c>
      <c r="AH13">
        <v>0</v>
      </c>
      <c r="AI13">
        <v>0</v>
      </c>
      <c r="AJ13">
        <v>0</v>
      </c>
      <c r="AK13">
        <v>0</v>
      </c>
      <c r="AL13">
        <v>0</v>
      </c>
      <c r="AM13">
        <v>0</v>
      </c>
      <c r="AN13">
        <v>0</v>
      </c>
      <c r="AO13">
        <v>0</v>
      </c>
      <c r="AP13">
        <v>0</v>
      </c>
      <c r="AQ13">
        <v>0</v>
      </c>
      <c r="AR13">
        <v>60</v>
      </c>
      <c r="AS13">
        <v>0</v>
      </c>
      <c r="AT13">
        <v>0</v>
      </c>
      <c r="AU13">
        <v>53</v>
      </c>
      <c r="AV13">
        <v>27</v>
      </c>
      <c r="AW13">
        <v>173</v>
      </c>
    </row>
    <row r="14" spans="1:49" x14ac:dyDescent="0.35">
      <c r="A14" t="s">
        <v>133</v>
      </c>
      <c r="AR14">
        <v>89</v>
      </c>
      <c r="AT14">
        <v>133</v>
      </c>
      <c r="AU14">
        <v>184</v>
      </c>
      <c r="AV14">
        <v>352</v>
      </c>
      <c r="AW14">
        <v>758</v>
      </c>
    </row>
    <row r="15" spans="1:49" x14ac:dyDescent="0.35">
      <c r="A15" t="s">
        <v>206</v>
      </c>
    </row>
    <row r="16" spans="1:49" x14ac:dyDescent="0.35">
      <c r="A16" t="s">
        <v>136</v>
      </c>
      <c r="D16">
        <v>241</v>
      </c>
      <c r="E16">
        <v>109</v>
      </c>
      <c r="AB16">
        <v>267</v>
      </c>
      <c r="AR16">
        <v>223</v>
      </c>
      <c r="AT16">
        <v>8095</v>
      </c>
      <c r="AU16">
        <v>500</v>
      </c>
      <c r="AV16">
        <v>233</v>
      </c>
      <c r="AW16">
        <v>9668</v>
      </c>
    </row>
    <row r="17" spans="1:49" x14ac:dyDescent="0.35">
      <c r="A17" t="s">
        <v>207</v>
      </c>
      <c r="AR17">
        <v>470</v>
      </c>
      <c r="AW17">
        <v>470</v>
      </c>
    </row>
    <row r="18" spans="1:49" x14ac:dyDescent="0.35">
      <c r="A18" t="s">
        <v>141</v>
      </c>
      <c r="AB18">
        <v>76</v>
      </c>
      <c r="AR18">
        <v>82</v>
      </c>
      <c r="AT18">
        <v>3453</v>
      </c>
      <c r="AU18">
        <v>18</v>
      </c>
      <c r="AW18">
        <v>3629</v>
      </c>
    </row>
    <row r="19" spans="1:49" x14ac:dyDescent="0.35">
      <c r="A19" t="s">
        <v>208</v>
      </c>
    </row>
    <row r="20" spans="1:49" x14ac:dyDescent="0.35">
      <c r="A20" t="s">
        <v>209</v>
      </c>
    </row>
    <row r="21" spans="1:49" x14ac:dyDescent="0.35">
      <c r="A21" t="s">
        <v>134</v>
      </c>
      <c r="D21">
        <v>845</v>
      </c>
      <c r="E21">
        <v>458</v>
      </c>
      <c r="L21">
        <v>86</v>
      </c>
      <c r="AB21">
        <v>1425</v>
      </c>
      <c r="AR21">
        <v>1997</v>
      </c>
      <c r="AT21">
        <v>171</v>
      </c>
      <c r="AU21">
        <v>1126</v>
      </c>
      <c r="AW21">
        <v>6108</v>
      </c>
    </row>
    <row r="22" spans="1:49" x14ac:dyDescent="0.35">
      <c r="A22" t="s">
        <v>142</v>
      </c>
      <c r="AR22">
        <v>8787</v>
      </c>
      <c r="AT22">
        <v>90</v>
      </c>
      <c r="AU22">
        <v>3141</v>
      </c>
      <c r="AW22">
        <v>12018</v>
      </c>
    </row>
    <row r="23" spans="1:49" x14ac:dyDescent="0.35">
      <c r="A23" t="s">
        <v>83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281</v>
      </c>
      <c r="AC23">
        <v>0</v>
      </c>
      <c r="AD23">
        <v>0</v>
      </c>
      <c r="AE23">
        <v>0</v>
      </c>
      <c r="AF23">
        <v>0</v>
      </c>
      <c r="AG23">
        <v>0</v>
      </c>
      <c r="AH23">
        <v>0</v>
      </c>
      <c r="AI23">
        <v>0</v>
      </c>
      <c r="AJ23">
        <v>0</v>
      </c>
      <c r="AK23">
        <v>0</v>
      </c>
      <c r="AL23">
        <v>0</v>
      </c>
      <c r="AM23">
        <v>0</v>
      </c>
      <c r="AN23">
        <v>0</v>
      </c>
      <c r="AO23">
        <v>0</v>
      </c>
      <c r="AP23">
        <v>0</v>
      </c>
      <c r="AQ23">
        <v>0</v>
      </c>
      <c r="AR23">
        <v>130</v>
      </c>
      <c r="AS23">
        <v>0</v>
      </c>
      <c r="AT23">
        <v>7791</v>
      </c>
      <c r="AU23">
        <v>485</v>
      </c>
      <c r="AV23">
        <v>377</v>
      </c>
      <c r="AW23">
        <v>9064</v>
      </c>
    </row>
    <row r="24" spans="1:49" x14ac:dyDescent="0.35">
      <c r="A24" t="s">
        <v>84</v>
      </c>
      <c r="B24">
        <v>0</v>
      </c>
      <c r="C24">
        <v>0</v>
      </c>
      <c r="D24">
        <v>0</v>
      </c>
      <c r="E24">
        <v>0</v>
      </c>
      <c r="F24">
        <v>0</v>
      </c>
      <c r="G24">
        <v>0</v>
      </c>
      <c r="H24">
        <v>0</v>
      </c>
      <c r="I24">
        <v>0</v>
      </c>
      <c r="J24">
        <v>0</v>
      </c>
      <c r="K24">
        <v>0</v>
      </c>
      <c r="L24">
        <v>0</v>
      </c>
      <c r="M24">
        <v>0</v>
      </c>
      <c r="N24">
        <v>0</v>
      </c>
      <c r="O24">
        <v>0</v>
      </c>
      <c r="P24">
        <v>0</v>
      </c>
      <c r="Q24">
        <v>0</v>
      </c>
      <c r="R24">
        <v>0</v>
      </c>
      <c r="S24">
        <v>0</v>
      </c>
      <c r="T24">
        <v>127</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6046</v>
      </c>
      <c r="AT24">
        <v>0</v>
      </c>
      <c r="AU24">
        <v>0</v>
      </c>
      <c r="AV24">
        <v>0</v>
      </c>
      <c r="AW24">
        <v>6173</v>
      </c>
    </row>
    <row r="25" spans="1:49" x14ac:dyDescent="0.35">
      <c r="A25" t="s">
        <v>126</v>
      </c>
      <c r="AT25">
        <v>2285</v>
      </c>
      <c r="AW25">
        <v>2285</v>
      </c>
    </row>
    <row r="26" spans="1:49" x14ac:dyDescent="0.35">
      <c r="A26" t="s">
        <v>87</v>
      </c>
      <c r="B26">
        <v>0</v>
      </c>
      <c r="C26">
        <v>0</v>
      </c>
      <c r="D26">
        <v>0</v>
      </c>
      <c r="E26">
        <v>0</v>
      </c>
      <c r="F26">
        <v>0</v>
      </c>
      <c r="G26">
        <v>0</v>
      </c>
      <c r="H26">
        <v>0</v>
      </c>
      <c r="I26">
        <v>0</v>
      </c>
      <c r="J26">
        <v>0</v>
      </c>
      <c r="K26">
        <v>0</v>
      </c>
      <c r="L26">
        <v>0</v>
      </c>
      <c r="M26">
        <v>0</v>
      </c>
      <c r="N26">
        <v>0</v>
      </c>
      <c r="O26">
        <v>0</v>
      </c>
      <c r="P26">
        <v>0</v>
      </c>
      <c r="Q26">
        <v>0</v>
      </c>
      <c r="R26">
        <v>0</v>
      </c>
      <c r="S26">
        <v>0</v>
      </c>
      <c r="T26">
        <v>656</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19791</v>
      </c>
      <c r="AT26">
        <v>0</v>
      </c>
      <c r="AU26">
        <v>0</v>
      </c>
      <c r="AV26">
        <v>0</v>
      </c>
      <c r="AW26">
        <v>20447</v>
      </c>
    </row>
    <row r="29" spans="1:49" x14ac:dyDescent="0.35">
      <c r="B29" t="s">
        <v>0</v>
      </c>
      <c r="C29" t="s">
        <v>210</v>
      </c>
      <c r="D29" t="s">
        <v>211</v>
      </c>
      <c r="E29">
        <v>2012</v>
      </c>
    </row>
    <row r="30" spans="1:49" x14ac:dyDescent="0.35">
      <c r="B30" t="str">
        <f>B1</f>
        <v>AGO</v>
      </c>
      <c r="C30">
        <f>B2</f>
        <v>25188292.499999996</v>
      </c>
      <c r="D30" t="str">
        <f t="shared" ref="D30:D52" si="0">A3</f>
        <v>Medical Doctors</v>
      </c>
      <c r="E30">
        <f t="shared" ref="E30:E52" si="1">B3</f>
        <v>0</v>
      </c>
    </row>
    <row r="31" spans="1:49" x14ac:dyDescent="0.35">
      <c r="D31" t="str">
        <f t="shared" si="0"/>
        <v>Nursing Personnel</v>
      </c>
      <c r="E31">
        <f t="shared" si="1"/>
        <v>0</v>
      </c>
    </row>
    <row r="32" spans="1:49" x14ac:dyDescent="0.35">
      <c r="D32" t="str">
        <f t="shared" si="0"/>
        <v>Midwifery personnel</v>
      </c>
      <c r="E32">
        <f t="shared" si="1"/>
        <v>0</v>
      </c>
    </row>
    <row r="33" spans="4:5" x14ac:dyDescent="0.35">
      <c r="D33" t="str">
        <f t="shared" si="0"/>
        <v>Pharmacists</v>
      </c>
      <c r="E33">
        <f t="shared" si="1"/>
        <v>751</v>
      </c>
    </row>
    <row r="34" spans="4:5" x14ac:dyDescent="0.35">
      <c r="D34" t="str">
        <f t="shared" si="0"/>
        <v>Dentists</v>
      </c>
      <c r="E34">
        <f t="shared" si="1"/>
        <v>353</v>
      </c>
    </row>
    <row r="35" spans="4:5" x14ac:dyDescent="0.35">
      <c r="D35" t="str">
        <f t="shared" si="0"/>
        <v xml:space="preserve">Community Health Workers </v>
      </c>
      <c r="E35">
        <f t="shared" si="1"/>
        <v>0</v>
      </c>
    </row>
    <row r="36" spans="4:5" x14ac:dyDescent="0.35">
      <c r="D36" t="str">
        <f t="shared" si="0"/>
        <v>Dieticians and nutritionists</v>
      </c>
      <c r="E36">
        <f t="shared" si="1"/>
        <v>85</v>
      </c>
    </row>
    <row r="37" spans="4:5" x14ac:dyDescent="0.35">
      <c r="D37" t="str">
        <f t="shared" si="0"/>
        <v>Environmental and occupational health &amp; hygiene workers</v>
      </c>
      <c r="E37">
        <f t="shared" si="1"/>
        <v>517</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9795479.0000000019</v>
      </c>
      <c r="D54" t="str">
        <f t="shared" ref="D54:D117" si="3">D30</f>
        <v>Medical Doctors</v>
      </c>
      <c r="E54">
        <f t="shared" ref="E54:E77" si="4">C3</f>
        <v>996</v>
      </c>
    </row>
    <row r="55" spans="2:5" x14ac:dyDescent="0.35">
      <c r="D55" t="str">
        <f t="shared" si="3"/>
        <v>Nursing Personnel</v>
      </c>
      <c r="E55">
        <f t="shared" si="4"/>
        <v>12972</v>
      </c>
    </row>
    <row r="56" spans="2:5" x14ac:dyDescent="0.35">
      <c r="D56" t="str">
        <f t="shared" si="3"/>
        <v>Midwifery personnel</v>
      </c>
      <c r="E56">
        <f t="shared" si="4"/>
        <v>32</v>
      </c>
    </row>
    <row r="57" spans="2:5" x14ac:dyDescent="0.35">
      <c r="D57" t="str">
        <f t="shared" si="3"/>
        <v>Pharmacists</v>
      </c>
      <c r="E57">
        <f t="shared" si="4"/>
        <v>546</v>
      </c>
    </row>
    <row r="58" spans="2:5" x14ac:dyDescent="0.35">
      <c r="D58" t="str">
        <f t="shared" si="3"/>
        <v>Dentists</v>
      </c>
      <c r="E58">
        <f t="shared" si="4"/>
        <v>115</v>
      </c>
    </row>
    <row r="59" spans="2:5" x14ac:dyDescent="0.35">
      <c r="D59" t="str">
        <f t="shared" si="3"/>
        <v xml:space="preserve">Community Health Workers </v>
      </c>
      <c r="E59">
        <f t="shared" si="4"/>
        <v>0</v>
      </c>
    </row>
    <row r="60" spans="2:5" x14ac:dyDescent="0.35">
      <c r="D60" t="str">
        <f t="shared" si="3"/>
        <v>Dieticians and nutritionists</v>
      </c>
      <c r="E60">
        <f t="shared" si="4"/>
        <v>44</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10014078.499999996</v>
      </c>
      <c r="D78" t="str">
        <f t="shared" si="3"/>
        <v>Medical Doctors</v>
      </c>
      <c r="E78">
        <f t="shared" ref="E78:E101" si="5">D3</f>
        <v>26</v>
      </c>
    </row>
    <row r="79" spans="2:5" x14ac:dyDescent="0.35">
      <c r="D79" t="str">
        <f t="shared" si="3"/>
        <v>Nursing Personnel</v>
      </c>
      <c r="E79">
        <f t="shared" si="5"/>
        <v>10276</v>
      </c>
    </row>
    <row r="80" spans="2:5" x14ac:dyDescent="0.35">
      <c r="D80" t="str">
        <f t="shared" si="3"/>
        <v>Midwifery personnel</v>
      </c>
      <c r="E80">
        <f t="shared" si="5"/>
        <v>2960</v>
      </c>
    </row>
    <row r="81" spans="4:5" x14ac:dyDescent="0.35">
      <c r="D81" t="str">
        <f t="shared" si="3"/>
        <v>Pharmacists</v>
      </c>
      <c r="E81">
        <f t="shared" si="5"/>
        <v>0</v>
      </c>
    </row>
    <row r="82" spans="4:5" x14ac:dyDescent="0.35">
      <c r="D82" t="str">
        <f t="shared" si="3"/>
        <v>Dentists</v>
      </c>
      <c r="E82">
        <f t="shared" si="5"/>
        <v>0</v>
      </c>
    </row>
    <row r="83" spans="4:5" x14ac:dyDescent="0.35">
      <c r="D83" t="str">
        <f t="shared" si="3"/>
        <v xml:space="preserve">Community Health Workers </v>
      </c>
      <c r="E83">
        <f t="shared" si="5"/>
        <v>0</v>
      </c>
    </row>
    <row r="84" spans="4:5" x14ac:dyDescent="0.35">
      <c r="D84" t="str">
        <f t="shared" si="3"/>
        <v>Dieticians and nutritionists</v>
      </c>
      <c r="E84">
        <f t="shared" si="5"/>
        <v>0</v>
      </c>
    </row>
    <row r="85" spans="4:5" x14ac:dyDescent="0.35">
      <c r="D85" t="str">
        <f t="shared" si="3"/>
        <v>Environmental and occupational health &amp; hygiene workers</v>
      </c>
      <c r="E85">
        <f t="shared" si="5"/>
        <v>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241</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845</v>
      </c>
    </row>
    <row r="97" spans="2:5" x14ac:dyDescent="0.35">
      <c r="D97" t="str">
        <f t="shared" si="3"/>
        <v xml:space="preserve">Paramedical Practitioners </v>
      </c>
      <c r="E97">
        <f t="shared" si="5"/>
        <v>0</v>
      </c>
    </row>
    <row r="98" spans="2:5" x14ac:dyDescent="0.35">
      <c r="D98" t="str">
        <f t="shared" si="3"/>
        <v>Physiotherapists and physiotherapy assistants</v>
      </c>
      <c r="E98">
        <f t="shared" si="5"/>
        <v>0</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17113732.499999996</v>
      </c>
      <c r="D102" s="29" t="str">
        <f t="shared" si="3"/>
        <v>Medical Doctors</v>
      </c>
      <c r="E102">
        <f t="shared" ref="E102:E125" si="6">E3</f>
        <v>1574</v>
      </c>
    </row>
    <row r="103" spans="2:5" x14ac:dyDescent="0.35">
      <c r="D103" s="29" t="str">
        <f t="shared" si="3"/>
        <v>Nursing Personnel</v>
      </c>
      <c r="E103">
        <f t="shared" si="6"/>
        <v>12016</v>
      </c>
    </row>
    <row r="104" spans="2:5" x14ac:dyDescent="0.35">
      <c r="D104" s="29" t="str">
        <f t="shared" si="3"/>
        <v>Midwifery personnel</v>
      </c>
      <c r="E104">
        <f t="shared" si="6"/>
        <v>8902</v>
      </c>
    </row>
    <row r="105" spans="2:5" x14ac:dyDescent="0.35">
      <c r="D105" s="29" t="str">
        <f t="shared" si="3"/>
        <v>Pharmacists</v>
      </c>
      <c r="E105">
        <f t="shared" si="6"/>
        <v>785</v>
      </c>
    </row>
    <row r="106" spans="2:5" x14ac:dyDescent="0.35">
      <c r="D106" s="29" t="str">
        <f t="shared" si="3"/>
        <v>Dentists</v>
      </c>
      <c r="E106">
        <f t="shared" si="6"/>
        <v>39</v>
      </c>
    </row>
    <row r="107" spans="2:5" x14ac:dyDescent="0.35">
      <c r="D107" s="29" t="str">
        <f t="shared" si="3"/>
        <v xml:space="preserve">Community Health Workers </v>
      </c>
      <c r="E107">
        <f t="shared" si="6"/>
        <v>2099</v>
      </c>
    </row>
    <row r="108" spans="2:5" x14ac:dyDescent="0.35">
      <c r="D108" s="29" t="str">
        <f t="shared" si="3"/>
        <v>Dieticians and nutritionists</v>
      </c>
      <c r="E108">
        <f t="shared" si="6"/>
        <v>128</v>
      </c>
    </row>
    <row r="109" spans="2:5" x14ac:dyDescent="0.35">
      <c r="D109" s="29" t="str">
        <f t="shared" si="3"/>
        <v>Environmental and occupational health &amp; hygiene workers</v>
      </c>
      <c r="E109">
        <f t="shared" si="6"/>
        <v>1791</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0</v>
      </c>
    </row>
    <row r="113" spans="2:5" x14ac:dyDescent="0.35">
      <c r="D113" s="29" t="str">
        <f t="shared" si="3"/>
        <v xml:space="preserve">Medical and Pathology Laboratory scientists </v>
      </c>
      <c r="E113">
        <f t="shared" si="6"/>
        <v>0</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109</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0</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458</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0</v>
      </c>
    </row>
    <row r="123" spans="2:5" x14ac:dyDescent="0.35">
      <c r="D123" s="29" t="str">
        <f t="shared" si="7"/>
        <v>Social workers</v>
      </c>
      <c r="E123">
        <f t="shared" si="6"/>
        <v>0</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0</v>
      </c>
    </row>
    <row r="126" spans="2:5" x14ac:dyDescent="0.35">
      <c r="B126" t="str">
        <f>F1</f>
        <v>BWA</v>
      </c>
      <c r="C126">
        <f>F2</f>
        <v>2175425.5000000005</v>
      </c>
      <c r="D126" s="29" t="str">
        <f t="shared" si="7"/>
        <v>Medical Doctors</v>
      </c>
      <c r="E126">
        <f t="shared" ref="E126:E149" si="8">F3</f>
        <v>1638</v>
      </c>
    </row>
    <row r="127" spans="2:5" x14ac:dyDescent="0.35">
      <c r="D127" s="29" t="str">
        <f t="shared" si="7"/>
        <v>Nursing Personnel</v>
      </c>
      <c r="E127">
        <f t="shared" si="8"/>
        <v>11632</v>
      </c>
    </row>
    <row r="128" spans="2:5" x14ac:dyDescent="0.35">
      <c r="D128" s="29" t="str">
        <f t="shared" si="7"/>
        <v>Midwifery personnel</v>
      </c>
      <c r="E128">
        <f t="shared" si="8"/>
        <v>0</v>
      </c>
    </row>
    <row r="129" spans="4:5" x14ac:dyDescent="0.35">
      <c r="D129" s="29" t="str">
        <f t="shared" si="7"/>
        <v>Pharmacists</v>
      </c>
      <c r="E129">
        <f t="shared" si="8"/>
        <v>37</v>
      </c>
    </row>
    <row r="130" spans="4:5" x14ac:dyDescent="0.35">
      <c r="D130" s="29" t="str">
        <f t="shared" si="7"/>
        <v>Dentists</v>
      </c>
      <c r="E130">
        <f t="shared" si="8"/>
        <v>6</v>
      </c>
    </row>
    <row r="131" spans="4:5" x14ac:dyDescent="0.35">
      <c r="D131" s="29" t="str">
        <f t="shared" si="7"/>
        <v xml:space="preserve">Community Health Workers </v>
      </c>
      <c r="E131">
        <f t="shared" si="8"/>
        <v>166</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0</v>
      </c>
    </row>
    <row r="134" spans="4:5" x14ac:dyDescent="0.35">
      <c r="D134" s="29" t="str">
        <f t="shared" si="7"/>
        <v>Personal care workers in health service</v>
      </c>
      <c r="E134">
        <f t="shared" si="8"/>
        <v>0</v>
      </c>
    </row>
    <row r="135" spans="4:5" x14ac:dyDescent="0.35">
      <c r="D135" s="29" t="str">
        <f t="shared" si="7"/>
        <v xml:space="preserve">Managerial staff </v>
      </c>
      <c r="E135">
        <f t="shared" si="8"/>
        <v>0</v>
      </c>
    </row>
    <row r="136" spans="4:5" x14ac:dyDescent="0.35">
      <c r="D136" s="29" t="str">
        <f t="shared" si="7"/>
        <v xml:space="preserve">Medical and dental Prosthetic Technicians </v>
      </c>
      <c r="E136">
        <f t="shared" si="8"/>
        <v>0</v>
      </c>
    </row>
    <row r="137" spans="4:5" x14ac:dyDescent="0.35">
      <c r="D137" s="29" t="str">
        <f t="shared" si="7"/>
        <v xml:space="preserve">Medical and Pathology Laboratory scientists </v>
      </c>
      <c r="E137">
        <f t="shared" si="8"/>
        <v>0</v>
      </c>
    </row>
    <row r="138" spans="4:5" x14ac:dyDescent="0.35">
      <c r="D138" s="29" t="str">
        <f t="shared" si="7"/>
        <v xml:space="preserve">Medical Assistants </v>
      </c>
      <c r="E138">
        <f t="shared" si="8"/>
        <v>0</v>
      </c>
    </row>
    <row r="139" spans="4:5" x14ac:dyDescent="0.35">
      <c r="D139" s="29" t="str">
        <f t="shared" si="7"/>
        <v xml:space="preserve">Medical Imaging and Therapeutic Equipment Technicians </v>
      </c>
      <c r="E139">
        <f t="shared" si="8"/>
        <v>0</v>
      </c>
    </row>
    <row r="140" spans="4:5" x14ac:dyDescent="0.35">
      <c r="D140" s="29" t="str">
        <f t="shared" si="7"/>
        <v xml:space="preserve">Medical Records and Health Information Technicians </v>
      </c>
      <c r="E140">
        <f t="shared" si="8"/>
        <v>0</v>
      </c>
    </row>
    <row r="141" spans="4:5" x14ac:dyDescent="0.35">
      <c r="D141" s="29" t="str">
        <f t="shared" si="7"/>
        <v xml:space="preserve">Optometrists and Ophthalmic Opticians </v>
      </c>
      <c r="E141">
        <f t="shared" si="8"/>
        <v>0</v>
      </c>
    </row>
    <row r="142" spans="4:5" x14ac:dyDescent="0.35">
      <c r="D142" s="29" t="str">
        <f t="shared" si="7"/>
        <v xml:space="preserve">Other non-medical professional staff </v>
      </c>
      <c r="E142">
        <f t="shared" si="8"/>
        <v>0</v>
      </c>
    </row>
    <row r="143" spans="4:5" x14ac:dyDescent="0.35">
      <c r="D143" s="29" t="str">
        <f t="shared" si="7"/>
        <v xml:space="preserve">Other non-medical support staff </v>
      </c>
      <c r="E143">
        <f t="shared" si="8"/>
        <v>0</v>
      </c>
    </row>
    <row r="144" spans="4:5" x14ac:dyDescent="0.35">
      <c r="D144" s="29" t="str">
        <f t="shared" si="7"/>
        <v xml:space="preserve">Medical and Pathology Laboratory Technicians </v>
      </c>
      <c r="E144">
        <f t="shared" si="8"/>
        <v>0</v>
      </c>
    </row>
    <row r="145" spans="2:5" x14ac:dyDescent="0.35">
      <c r="D145" s="29" t="str">
        <f t="shared" si="7"/>
        <v xml:space="preserve">Paramedical Practitioners </v>
      </c>
      <c r="E145">
        <f t="shared" si="8"/>
        <v>0</v>
      </c>
    </row>
    <row r="146" spans="2:5" x14ac:dyDescent="0.35">
      <c r="D146" s="29" t="str">
        <f t="shared" si="7"/>
        <v>Physiotherapists and physiotherapy assistants</v>
      </c>
      <c r="E146">
        <f t="shared" si="8"/>
        <v>0</v>
      </c>
    </row>
    <row r="147" spans="2:5" x14ac:dyDescent="0.35">
      <c r="D147" s="29" t="str">
        <f t="shared" si="7"/>
        <v>Social workers</v>
      </c>
      <c r="E147">
        <f t="shared" si="8"/>
        <v>0</v>
      </c>
    </row>
    <row r="148" spans="2:5" x14ac:dyDescent="0.35">
      <c r="D148" s="29" t="str">
        <f t="shared" si="7"/>
        <v xml:space="preserve">Audiologists and Speech Therapists </v>
      </c>
      <c r="E148">
        <f t="shared" si="8"/>
        <v>0</v>
      </c>
    </row>
    <row r="149" spans="2:5" x14ac:dyDescent="0.35">
      <c r="D149" s="29" t="str">
        <f t="shared" si="7"/>
        <v>Traditional and complementary medicine practitioners</v>
      </c>
      <c r="E149">
        <f t="shared" si="8"/>
        <v>0</v>
      </c>
    </row>
    <row r="150" spans="2:5" x14ac:dyDescent="0.35">
      <c r="B150" t="str">
        <f>G1</f>
        <v>CAF</v>
      </c>
      <c r="C150">
        <f>G2</f>
        <v>4773305.4999999991</v>
      </c>
      <c r="D150" s="30" t="str">
        <f t="shared" si="7"/>
        <v>Medical Doctors</v>
      </c>
      <c r="E150">
        <f t="shared" ref="E150:E173" si="9">G3</f>
        <v>0</v>
      </c>
    </row>
    <row r="151" spans="2:5" x14ac:dyDescent="0.35">
      <c r="D151" s="30" t="str">
        <f t="shared" si="7"/>
        <v>Nursing Personnel</v>
      </c>
      <c r="E151">
        <f t="shared" si="9"/>
        <v>0</v>
      </c>
    </row>
    <row r="152" spans="2:5" x14ac:dyDescent="0.35">
      <c r="D152" s="30" t="str">
        <f t="shared" si="7"/>
        <v>Midwifery personnel</v>
      </c>
      <c r="E152">
        <f t="shared" si="9"/>
        <v>0</v>
      </c>
    </row>
    <row r="153" spans="2:5" x14ac:dyDescent="0.35">
      <c r="D153" s="30" t="str">
        <f t="shared" si="7"/>
        <v>Pharmacists</v>
      </c>
      <c r="E153">
        <f t="shared" si="9"/>
        <v>1603</v>
      </c>
    </row>
    <row r="154" spans="2:5" x14ac:dyDescent="0.35">
      <c r="D154" s="30" t="str">
        <f t="shared" si="7"/>
        <v>Dentists</v>
      </c>
      <c r="E154">
        <f t="shared" si="9"/>
        <v>171</v>
      </c>
    </row>
    <row r="155" spans="2:5" x14ac:dyDescent="0.35">
      <c r="D155" s="30" t="str">
        <f t="shared" si="7"/>
        <v xml:space="preserve">Community Health Workers </v>
      </c>
      <c r="E155">
        <f t="shared" si="9"/>
        <v>0</v>
      </c>
    </row>
    <row r="156" spans="2:5" x14ac:dyDescent="0.35">
      <c r="D156" s="30" t="str">
        <f t="shared" si="7"/>
        <v>Dieticians and nutritionists</v>
      </c>
      <c r="E156">
        <f t="shared" si="9"/>
        <v>15</v>
      </c>
    </row>
    <row r="157" spans="2:5" x14ac:dyDescent="0.35">
      <c r="D157" s="30" t="str">
        <f t="shared" si="7"/>
        <v>Environmental and occupational health &amp; hygiene workers</v>
      </c>
      <c r="E157">
        <f t="shared" si="9"/>
        <v>11</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22010711.499999996</v>
      </c>
      <c r="D174" s="31" t="str">
        <f t="shared" si="7"/>
        <v>Medical Doctors</v>
      </c>
      <c r="E174">
        <f t="shared" ref="E174:E197" si="10">H3</f>
        <v>0</v>
      </c>
    </row>
    <row r="175" spans="2:5" x14ac:dyDescent="0.35">
      <c r="D175" s="30" t="str">
        <f t="shared" si="7"/>
        <v>Nursing Personnel</v>
      </c>
      <c r="E175">
        <f t="shared" si="10"/>
        <v>0</v>
      </c>
    </row>
    <row r="176" spans="2:5" x14ac:dyDescent="0.35">
      <c r="D176" s="30" t="str">
        <f t="shared" si="7"/>
        <v>Midwifery personnel</v>
      </c>
      <c r="E176">
        <f t="shared" si="10"/>
        <v>0</v>
      </c>
    </row>
    <row r="177" spans="4:5" x14ac:dyDescent="0.35">
      <c r="D177" s="30" t="str">
        <f t="shared" si="7"/>
        <v>Pharmacists</v>
      </c>
      <c r="E177">
        <f t="shared" si="10"/>
        <v>0</v>
      </c>
    </row>
    <row r="178" spans="4:5" x14ac:dyDescent="0.35">
      <c r="D178" s="30" t="str">
        <f t="shared" si="7"/>
        <v>Dentists</v>
      </c>
      <c r="E178">
        <f t="shared" si="10"/>
        <v>1764</v>
      </c>
    </row>
    <row r="179" spans="4:5" x14ac:dyDescent="0.35">
      <c r="D179" s="30" t="str">
        <f t="shared" si="7"/>
        <v xml:space="preserve">Community Health Workers </v>
      </c>
      <c r="E179">
        <f t="shared" si="10"/>
        <v>0</v>
      </c>
    </row>
    <row r="180" spans="4:5" x14ac:dyDescent="0.35">
      <c r="D180" s="30" t="str">
        <f t="shared" si="7"/>
        <v>Dieticians and nutritionists</v>
      </c>
      <c r="E180">
        <f t="shared" si="10"/>
        <v>0</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0</v>
      </c>
    </row>
    <row r="194" spans="2:5" x14ac:dyDescent="0.35">
      <c r="D194" s="30" t="str">
        <f t="shared" si="11"/>
        <v>Physiotherapists and physiotherapy assistants</v>
      </c>
      <c r="E194">
        <f t="shared" si="10"/>
        <v>0</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21032684.000000004</v>
      </c>
      <c r="D198" s="30" t="str">
        <f t="shared" si="11"/>
        <v>Medical Doctors</v>
      </c>
      <c r="E198">
        <f t="shared" ref="E198:E221" si="12">I3</f>
        <v>0</v>
      </c>
    </row>
    <row r="199" spans="2:5" x14ac:dyDescent="0.35">
      <c r="D199" s="30" t="str">
        <f t="shared" si="11"/>
        <v>Nursing Personnel</v>
      </c>
      <c r="E199">
        <f t="shared" si="12"/>
        <v>0</v>
      </c>
    </row>
    <row r="200" spans="2:5" x14ac:dyDescent="0.35">
      <c r="D200" s="30" t="str">
        <f t="shared" si="11"/>
        <v>Midwifery personnel</v>
      </c>
      <c r="E200">
        <f t="shared" si="12"/>
        <v>0</v>
      </c>
    </row>
    <row r="201" spans="2:5" x14ac:dyDescent="0.35">
      <c r="D201" s="30" t="str">
        <f t="shared" si="11"/>
        <v>Pharmacists</v>
      </c>
      <c r="E201">
        <f t="shared" si="12"/>
        <v>0</v>
      </c>
    </row>
    <row r="202" spans="2:5" x14ac:dyDescent="0.35">
      <c r="D202" s="30" t="str">
        <f t="shared" si="11"/>
        <v>Dentists</v>
      </c>
      <c r="E202">
        <f t="shared" si="12"/>
        <v>0</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0</v>
      </c>
    </row>
    <row r="208" spans="2:5" x14ac:dyDescent="0.35">
      <c r="D208" s="30" t="str">
        <f t="shared" si="11"/>
        <v xml:space="preserve">Medical and dental Prosthetic Technicians </v>
      </c>
      <c r="E208">
        <f t="shared" si="12"/>
        <v>0</v>
      </c>
    </row>
    <row r="209" spans="2:5" x14ac:dyDescent="0.35">
      <c r="D209" s="30" t="str">
        <f t="shared" si="11"/>
        <v xml:space="preserve">Medical and Pathology Laboratory scientists </v>
      </c>
      <c r="E209">
        <f t="shared" si="12"/>
        <v>0</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0</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0</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0</v>
      </c>
    </row>
    <row r="219" spans="2:5" x14ac:dyDescent="0.35">
      <c r="D219" s="30" t="str">
        <f t="shared" si="11"/>
        <v>Social workers</v>
      </c>
      <c r="E219">
        <f t="shared" si="12"/>
        <v>0</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70997869.50000006</v>
      </c>
      <c r="D222" s="29" t="str">
        <f t="shared" si="11"/>
        <v>Medical Doctors</v>
      </c>
      <c r="E222">
        <f t="shared" ref="E222:E245" si="13">J3</f>
        <v>0</v>
      </c>
    </row>
    <row r="223" spans="2:5" x14ac:dyDescent="0.35">
      <c r="D223" s="30" t="str">
        <f t="shared" si="11"/>
        <v>Nursing Personnel</v>
      </c>
      <c r="E223">
        <f t="shared" si="13"/>
        <v>0</v>
      </c>
    </row>
    <row r="224" spans="2:5" x14ac:dyDescent="0.35">
      <c r="D224" s="30" t="str">
        <f t="shared" si="11"/>
        <v>Midwifery personnel</v>
      </c>
      <c r="E224">
        <f t="shared" si="13"/>
        <v>0</v>
      </c>
    </row>
    <row r="225" spans="4:5" x14ac:dyDescent="0.35">
      <c r="D225" s="30" t="str">
        <f t="shared" si="11"/>
        <v>Pharmacists</v>
      </c>
      <c r="E225">
        <f t="shared" si="13"/>
        <v>409</v>
      </c>
    </row>
    <row r="226" spans="4:5" x14ac:dyDescent="0.35">
      <c r="D226" s="30" t="str">
        <f t="shared" si="11"/>
        <v>Dentists</v>
      </c>
      <c r="E226">
        <f t="shared" si="13"/>
        <v>287</v>
      </c>
    </row>
    <row r="227" spans="4:5" x14ac:dyDescent="0.35">
      <c r="D227" s="30" t="str">
        <f t="shared" si="11"/>
        <v xml:space="preserve">Community Health Workers </v>
      </c>
      <c r="E227">
        <f t="shared" si="13"/>
        <v>0</v>
      </c>
    </row>
    <row r="228" spans="4:5" x14ac:dyDescent="0.35">
      <c r="D228" s="30" t="str">
        <f t="shared" si="11"/>
        <v>Dieticians and nutritionists</v>
      </c>
      <c r="E228">
        <f t="shared" si="13"/>
        <v>19</v>
      </c>
    </row>
    <row r="229" spans="4:5" x14ac:dyDescent="0.35">
      <c r="D229" s="30" t="str">
        <f t="shared" si="11"/>
        <v>Environmental and occupational health &amp; hygiene workers</v>
      </c>
      <c r="E229">
        <f t="shared" si="13"/>
        <v>634</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0</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0</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0</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0</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4713256.5000000028</v>
      </c>
      <c r="D246" s="29" t="str">
        <f t="shared" ref="D246:D309" si="14">D222</f>
        <v>Medical Doctors</v>
      </c>
      <c r="E246">
        <f t="shared" ref="E246:E269" si="15">K3</f>
        <v>0</v>
      </c>
    </row>
    <row r="247" spans="2:5" x14ac:dyDescent="0.35">
      <c r="D247" s="30" t="str">
        <f t="shared" si="14"/>
        <v>Nursing Personnel</v>
      </c>
      <c r="E247">
        <f t="shared" si="15"/>
        <v>0</v>
      </c>
    </row>
    <row r="248" spans="2:5" x14ac:dyDescent="0.35">
      <c r="D248" s="30" t="str">
        <f t="shared" si="14"/>
        <v>Midwifery personnel</v>
      </c>
      <c r="E248">
        <f t="shared" si="15"/>
        <v>0</v>
      </c>
    </row>
    <row r="249" spans="2:5" x14ac:dyDescent="0.35">
      <c r="D249" s="30" t="str">
        <f t="shared" si="14"/>
        <v>Pharmacists</v>
      </c>
      <c r="E249">
        <f t="shared" si="15"/>
        <v>704</v>
      </c>
    </row>
    <row r="250" spans="2:5" x14ac:dyDescent="0.35">
      <c r="D250" s="30" t="str">
        <f t="shared" si="14"/>
        <v>Dentists</v>
      </c>
      <c r="E250">
        <f t="shared" si="15"/>
        <v>278</v>
      </c>
    </row>
    <row r="251" spans="2:5" x14ac:dyDescent="0.35">
      <c r="D251" s="30" t="str">
        <f t="shared" si="14"/>
        <v xml:space="preserve">Community Health Workers </v>
      </c>
      <c r="E251">
        <f t="shared" si="15"/>
        <v>0</v>
      </c>
    </row>
    <row r="252" spans="2:5" x14ac:dyDescent="0.35">
      <c r="D252" s="30" t="str">
        <f t="shared" si="14"/>
        <v>Dieticians and nutritionists</v>
      </c>
      <c r="E252">
        <f t="shared" si="15"/>
        <v>819</v>
      </c>
    </row>
    <row r="253" spans="2:5" x14ac:dyDescent="0.35">
      <c r="D253" s="30" t="str">
        <f t="shared" si="14"/>
        <v>Environmental and occupational health &amp; hygiene workers</v>
      </c>
      <c r="E253">
        <f t="shared" si="15"/>
        <v>4104</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684552.49999999988</v>
      </c>
      <c r="D270" s="29" t="str">
        <f t="shared" si="14"/>
        <v>Medical Doctors</v>
      </c>
      <c r="E270">
        <f t="shared" ref="E270:E293" si="16">L3</f>
        <v>246</v>
      </c>
    </row>
    <row r="271" spans="2:5" x14ac:dyDescent="0.35">
      <c r="D271" s="30" t="str">
        <f t="shared" si="14"/>
        <v>Nursing Personnel</v>
      </c>
      <c r="E271">
        <f t="shared" si="16"/>
        <v>0</v>
      </c>
    </row>
    <row r="272" spans="2:5" x14ac:dyDescent="0.35">
      <c r="D272" s="30" t="str">
        <f t="shared" si="14"/>
        <v>Midwifery personnel</v>
      </c>
      <c r="E272">
        <f t="shared" si="16"/>
        <v>1334</v>
      </c>
    </row>
    <row r="273" spans="4:5" x14ac:dyDescent="0.35">
      <c r="D273" s="30" t="str">
        <f t="shared" si="14"/>
        <v>Pharmacists</v>
      </c>
      <c r="E273">
        <f t="shared" si="16"/>
        <v>0</v>
      </c>
    </row>
    <row r="274" spans="4:5" x14ac:dyDescent="0.35">
      <c r="D274" s="30" t="str">
        <f t="shared" si="14"/>
        <v>Dentists</v>
      </c>
      <c r="E274">
        <f t="shared" si="16"/>
        <v>0</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86</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533864.00000000012</v>
      </c>
      <c r="D294" s="29" t="str">
        <f t="shared" si="14"/>
        <v>Medical Doctors</v>
      </c>
      <c r="E294">
        <f t="shared" ref="E294:E317" si="17">M3</f>
        <v>520</v>
      </c>
    </row>
    <row r="295" spans="2:5" x14ac:dyDescent="0.35">
      <c r="D295" s="30" t="str">
        <f t="shared" si="14"/>
        <v>Nursing Personnel</v>
      </c>
      <c r="E295">
        <f t="shared" si="17"/>
        <v>1102</v>
      </c>
    </row>
    <row r="296" spans="2:5" x14ac:dyDescent="0.35">
      <c r="D296" s="30" t="str">
        <f t="shared" si="14"/>
        <v>Midwifery personnel</v>
      </c>
      <c r="E296">
        <f t="shared" si="17"/>
        <v>0</v>
      </c>
    </row>
    <row r="297" spans="2:5" x14ac:dyDescent="0.35">
      <c r="D297" s="30" t="str">
        <f t="shared" si="14"/>
        <v>Pharmacists</v>
      </c>
      <c r="E297">
        <f t="shared" si="17"/>
        <v>377</v>
      </c>
    </row>
    <row r="298" spans="2:5" x14ac:dyDescent="0.35">
      <c r="D298" s="30" t="str">
        <f t="shared" si="14"/>
        <v>Dentists</v>
      </c>
      <c r="E298">
        <f t="shared" si="17"/>
        <v>147</v>
      </c>
    </row>
    <row r="299" spans="2:5" x14ac:dyDescent="0.35">
      <c r="D299" s="30" t="str">
        <f t="shared" si="14"/>
        <v xml:space="preserve">Community Health Workers </v>
      </c>
      <c r="E299">
        <f t="shared" si="17"/>
        <v>0</v>
      </c>
    </row>
    <row r="300" spans="2:5" x14ac:dyDescent="0.35">
      <c r="D300" s="30" t="str">
        <f t="shared" si="14"/>
        <v>Dieticians and nutritionists</v>
      </c>
      <c r="E300">
        <f t="shared" si="17"/>
        <v>130</v>
      </c>
    </row>
    <row r="301" spans="2:5" x14ac:dyDescent="0.35">
      <c r="D301" s="30" t="str">
        <f t="shared" si="14"/>
        <v>Environmental and occupational health &amp; hygiene workers</v>
      </c>
      <c r="E301">
        <f t="shared" si="17"/>
        <v>121</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37260562.50000003</v>
      </c>
      <c r="D318" s="29" t="str">
        <f t="shared" si="18"/>
        <v>Medical Doctors</v>
      </c>
      <c r="E318">
        <f t="shared" ref="E318:E341" si="19">N3</f>
        <v>0</v>
      </c>
    </row>
    <row r="319" spans="2:5" x14ac:dyDescent="0.35">
      <c r="D319" s="30" t="str">
        <f t="shared" si="18"/>
        <v>Nursing Personnel</v>
      </c>
      <c r="E319">
        <f t="shared" si="19"/>
        <v>0</v>
      </c>
    </row>
    <row r="320" spans="2:5" x14ac:dyDescent="0.35">
      <c r="D320" s="30" t="str">
        <f t="shared" si="18"/>
        <v>Midwifery personnel</v>
      </c>
      <c r="E320">
        <f t="shared" si="19"/>
        <v>0</v>
      </c>
    </row>
    <row r="321" spans="4:5" x14ac:dyDescent="0.35">
      <c r="D321" s="30" t="str">
        <f t="shared" si="18"/>
        <v>Pharmacists</v>
      </c>
      <c r="E321">
        <f t="shared" si="19"/>
        <v>391</v>
      </c>
    </row>
    <row r="322" spans="4:5" x14ac:dyDescent="0.35">
      <c r="D322" s="30" t="str">
        <f t="shared" si="18"/>
        <v>Dentists</v>
      </c>
      <c r="E322">
        <f t="shared" si="19"/>
        <v>224</v>
      </c>
    </row>
    <row r="323" spans="4:5" x14ac:dyDescent="0.35">
      <c r="D323" s="30" t="str">
        <f t="shared" si="18"/>
        <v xml:space="preserve">Community Health Workers </v>
      </c>
      <c r="E323">
        <f t="shared" si="19"/>
        <v>0</v>
      </c>
    </row>
    <row r="324" spans="4:5" x14ac:dyDescent="0.35">
      <c r="D324" s="30" t="str">
        <f t="shared" si="18"/>
        <v>Dieticians and nutritionists</v>
      </c>
      <c r="E324">
        <f t="shared" si="19"/>
        <v>20</v>
      </c>
    </row>
    <row r="325" spans="4:5" x14ac:dyDescent="0.35">
      <c r="D325" s="30" t="str">
        <f t="shared" si="18"/>
        <v>Environmental and occupational health &amp; hygiene workers</v>
      </c>
      <c r="E325">
        <f t="shared" si="19"/>
        <v>199</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3252595.9999999991</v>
      </c>
      <c r="D342" s="29" t="str">
        <f t="shared" si="18"/>
        <v>Medical Doctors</v>
      </c>
      <c r="E342">
        <f t="shared" ref="E342:E365" si="20">O3</f>
        <v>389</v>
      </c>
    </row>
    <row r="343" spans="2:5" x14ac:dyDescent="0.35">
      <c r="D343" s="30" t="str">
        <f t="shared" si="18"/>
        <v>Nursing Personnel</v>
      </c>
      <c r="E343">
        <f t="shared" si="20"/>
        <v>0</v>
      </c>
    </row>
    <row r="344" spans="2:5" x14ac:dyDescent="0.35">
      <c r="D344" s="30" t="str">
        <f t="shared" si="18"/>
        <v>Midwifery personnel</v>
      </c>
      <c r="E344">
        <f t="shared" si="20"/>
        <v>0</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0</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0</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94451279.50000006</v>
      </c>
      <c r="D366" s="29" t="str">
        <f t="shared" ref="D366:D429" si="22">D342</f>
        <v>Medical Doctors</v>
      </c>
      <c r="E366">
        <f t="shared" ref="E366:E389" si="23">P3</f>
        <v>0</v>
      </c>
    </row>
    <row r="367" spans="2:5" x14ac:dyDescent="0.35">
      <c r="D367" s="30" t="str">
        <f t="shared" si="22"/>
        <v>Nursing Personnel</v>
      </c>
      <c r="E367">
        <f t="shared" si="23"/>
        <v>0</v>
      </c>
    </row>
    <row r="368" spans="2:5" x14ac:dyDescent="0.35">
      <c r="D368" s="30" t="str">
        <f t="shared" si="22"/>
        <v>Midwifery personnel</v>
      </c>
      <c r="E368">
        <f t="shared" si="23"/>
        <v>0</v>
      </c>
    </row>
    <row r="369" spans="4:5" x14ac:dyDescent="0.35">
      <c r="D369" s="30" t="str">
        <f t="shared" si="22"/>
        <v>Pharmacists</v>
      </c>
      <c r="E369">
        <f t="shared" si="23"/>
        <v>328</v>
      </c>
    </row>
    <row r="370" spans="4:5" x14ac:dyDescent="0.35">
      <c r="D370" s="30" t="str">
        <f t="shared" si="22"/>
        <v>Dentists</v>
      </c>
      <c r="E370">
        <f t="shared" si="23"/>
        <v>19</v>
      </c>
    </row>
    <row r="371" spans="4:5" x14ac:dyDescent="0.35">
      <c r="D371" s="30" t="str">
        <f t="shared" si="22"/>
        <v xml:space="preserve">Community Health Workers </v>
      </c>
      <c r="E371">
        <f t="shared" si="23"/>
        <v>0</v>
      </c>
    </row>
    <row r="372" spans="4:5" x14ac:dyDescent="0.35">
      <c r="D372" s="30" t="str">
        <f t="shared" si="22"/>
        <v>Dieticians and nutritionists</v>
      </c>
      <c r="E372">
        <f t="shared" si="23"/>
        <v>50</v>
      </c>
    </row>
    <row r="373" spans="4:5" x14ac:dyDescent="0.35">
      <c r="D373" s="30" t="str">
        <f t="shared" si="22"/>
        <v>Environmental and occupational health &amp; hygiene workers</v>
      </c>
      <c r="E373">
        <f t="shared" si="23"/>
        <v>461</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0</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0</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1836705</v>
      </c>
      <c r="D390" s="29" t="str">
        <f t="shared" si="22"/>
        <v>Medical Doctors</v>
      </c>
      <c r="E390">
        <f t="shared" ref="E390:E413" si="24">Q3</f>
        <v>0</v>
      </c>
    </row>
    <row r="391" spans="2:5" x14ac:dyDescent="0.35">
      <c r="D391" s="30" t="str">
        <f t="shared" si="22"/>
        <v>Nursing Personnel</v>
      </c>
      <c r="E391">
        <f t="shared" si="24"/>
        <v>0</v>
      </c>
    </row>
    <row r="392" spans="2:5" x14ac:dyDescent="0.35">
      <c r="D392" s="30" t="str">
        <f t="shared" si="22"/>
        <v>Midwifery personnel</v>
      </c>
      <c r="E392">
        <f t="shared" si="24"/>
        <v>0</v>
      </c>
    </row>
    <row r="393" spans="2:5" x14ac:dyDescent="0.35">
      <c r="D393" s="30" t="str">
        <f t="shared" si="22"/>
        <v>Pharmacists</v>
      </c>
      <c r="E393">
        <f t="shared" si="24"/>
        <v>0</v>
      </c>
    </row>
    <row r="394" spans="2:5" x14ac:dyDescent="0.35">
      <c r="D394" s="30" t="str">
        <f t="shared" si="22"/>
        <v>Dentists</v>
      </c>
      <c r="E394">
        <f t="shared" si="24"/>
        <v>0</v>
      </c>
    </row>
    <row r="395" spans="2:5" x14ac:dyDescent="0.35">
      <c r="D395" s="30" t="str">
        <f t="shared" si="22"/>
        <v xml:space="preserve">Community Health Workers </v>
      </c>
      <c r="E395">
        <f t="shared" si="24"/>
        <v>0</v>
      </c>
    </row>
    <row r="396" spans="2:5" x14ac:dyDescent="0.35">
      <c r="D396" s="30" t="str">
        <f t="shared" si="22"/>
        <v>Dieticians and nutritionists</v>
      </c>
      <c r="E396">
        <f t="shared" si="24"/>
        <v>0</v>
      </c>
    </row>
    <row r="397" spans="2:5" x14ac:dyDescent="0.35">
      <c r="D397" s="30" t="str">
        <f t="shared" si="22"/>
        <v>Environmental and occupational health &amp; hygiene workers</v>
      </c>
      <c r="E397">
        <f t="shared" si="24"/>
        <v>0</v>
      </c>
    </row>
    <row r="398" spans="2:5" x14ac:dyDescent="0.35">
      <c r="D398" s="30" t="str">
        <f t="shared" si="22"/>
        <v>Personal care workers in health service</v>
      </c>
      <c r="E398">
        <f t="shared" si="24"/>
        <v>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0</v>
      </c>
    </row>
    <row r="401" spans="2:5" x14ac:dyDescent="0.35">
      <c r="D401" s="30" t="str">
        <f t="shared" si="22"/>
        <v xml:space="preserve">Medical and Pathology Laboratory scientists </v>
      </c>
      <c r="E401">
        <f t="shared" si="24"/>
        <v>0</v>
      </c>
    </row>
    <row r="402" spans="2:5" x14ac:dyDescent="0.35">
      <c r="D402" s="30" t="str">
        <f t="shared" si="22"/>
        <v xml:space="preserve">Medical Assistants </v>
      </c>
      <c r="E402">
        <f t="shared" si="24"/>
        <v>0</v>
      </c>
    </row>
    <row r="403" spans="2:5" x14ac:dyDescent="0.35">
      <c r="D403" s="30" t="str">
        <f t="shared" si="22"/>
        <v xml:space="preserve">Medical Imaging and Therapeutic Equipment Technicians </v>
      </c>
      <c r="E403">
        <f t="shared" si="24"/>
        <v>0</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0</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0</v>
      </c>
    </row>
    <row r="409" spans="2:5" x14ac:dyDescent="0.35">
      <c r="D409" s="30" t="str">
        <f t="shared" si="22"/>
        <v xml:space="preserve">Paramedical Practitioners </v>
      </c>
      <c r="E409">
        <f t="shared" si="24"/>
        <v>0</v>
      </c>
    </row>
    <row r="410" spans="2:5" x14ac:dyDescent="0.35">
      <c r="D410" s="30" t="str">
        <f t="shared" si="22"/>
        <v>Physiotherapists and physiotherapy assistants</v>
      </c>
      <c r="E410">
        <f t="shared" si="24"/>
        <v>0</v>
      </c>
    </row>
    <row r="411" spans="2:5" x14ac:dyDescent="0.35">
      <c r="D411" s="30" t="str">
        <f t="shared" si="22"/>
        <v>Social workers</v>
      </c>
      <c r="E411">
        <f t="shared" si="24"/>
        <v>0</v>
      </c>
    </row>
    <row r="412" spans="2:5" x14ac:dyDescent="0.35">
      <c r="D412" s="30" t="str">
        <f t="shared" si="22"/>
        <v xml:space="preserve">Audiologists and Speech Therapists </v>
      </c>
      <c r="E412">
        <f t="shared" si="24"/>
        <v>0</v>
      </c>
    </row>
    <row r="413" spans="2:5" x14ac:dyDescent="0.35">
      <c r="D413" s="30" t="str">
        <f t="shared" si="22"/>
        <v>Traditional and complementary medicine practitioners</v>
      </c>
      <c r="E413">
        <f t="shared" si="24"/>
        <v>0</v>
      </c>
    </row>
    <row r="414" spans="2:5" x14ac:dyDescent="0.35">
      <c r="B414" t="str">
        <f>R1</f>
        <v>GHA</v>
      </c>
      <c r="C414">
        <f>R2</f>
        <v>26858761.999999993</v>
      </c>
      <c r="D414" s="29" t="str">
        <f t="shared" si="22"/>
        <v>Medical Doctors</v>
      </c>
      <c r="E414">
        <f t="shared" ref="E414:E437" si="25">R3</f>
        <v>4972</v>
      </c>
    </row>
    <row r="415" spans="2:5" x14ac:dyDescent="0.35">
      <c r="D415" s="30" t="str">
        <f t="shared" si="22"/>
        <v>Nursing Personnel</v>
      </c>
      <c r="E415">
        <f t="shared" si="25"/>
        <v>0</v>
      </c>
    </row>
    <row r="416" spans="2:5" x14ac:dyDescent="0.35">
      <c r="D416" s="30" t="str">
        <f t="shared" si="22"/>
        <v>Midwifery personnel</v>
      </c>
      <c r="E416">
        <f t="shared" si="25"/>
        <v>0</v>
      </c>
    </row>
    <row r="417" spans="4:5" x14ac:dyDescent="0.35">
      <c r="D417" s="30" t="str">
        <f t="shared" si="22"/>
        <v>Pharmacists</v>
      </c>
      <c r="E417">
        <f t="shared" si="25"/>
        <v>451</v>
      </c>
    </row>
    <row r="418" spans="4:5" x14ac:dyDescent="0.35">
      <c r="D418" s="30" t="str">
        <f t="shared" si="22"/>
        <v>Dentists</v>
      </c>
      <c r="E418">
        <f t="shared" si="25"/>
        <v>186</v>
      </c>
    </row>
    <row r="419" spans="4:5" x14ac:dyDescent="0.35">
      <c r="D419" s="30" t="str">
        <f t="shared" si="22"/>
        <v xml:space="preserve">Community Health Workers </v>
      </c>
      <c r="E419">
        <f t="shared" si="25"/>
        <v>0</v>
      </c>
    </row>
    <row r="420" spans="4:5" x14ac:dyDescent="0.35">
      <c r="D420" s="30" t="str">
        <f t="shared" si="22"/>
        <v>Dieticians and nutritionists</v>
      </c>
      <c r="E420">
        <f t="shared" si="25"/>
        <v>0</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0</v>
      </c>
    </row>
    <row r="426" spans="4:5" x14ac:dyDescent="0.35">
      <c r="D426" s="30" t="str">
        <f t="shared" si="22"/>
        <v xml:space="preserve">Medical Assistants </v>
      </c>
      <c r="E426">
        <f t="shared" si="25"/>
        <v>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0</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0</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0</v>
      </c>
    </row>
    <row r="435" spans="2:5" x14ac:dyDescent="0.35">
      <c r="D435" s="30" t="str">
        <f t="shared" si="26"/>
        <v>Social workers</v>
      </c>
      <c r="E435">
        <f t="shared" si="25"/>
        <v>0</v>
      </c>
    </row>
    <row r="436" spans="2:5" x14ac:dyDescent="0.35">
      <c r="D436" s="30" t="str">
        <f t="shared" si="26"/>
        <v xml:space="preserve">Audiologists and Speech Therapists </v>
      </c>
      <c r="E436">
        <f t="shared" si="25"/>
        <v>0</v>
      </c>
    </row>
    <row r="437" spans="2:5" x14ac:dyDescent="0.35">
      <c r="D437" s="30" t="str">
        <f t="shared" si="26"/>
        <v>Traditional and complementary medicine practitioners</v>
      </c>
      <c r="E437">
        <f t="shared" si="25"/>
        <v>0</v>
      </c>
    </row>
    <row r="438" spans="2:5" x14ac:dyDescent="0.35">
      <c r="B438" t="str">
        <f>S1</f>
        <v>GIN</v>
      </c>
      <c r="C438">
        <f>S2</f>
        <v>10788692</v>
      </c>
      <c r="D438" s="29" t="str">
        <f t="shared" si="26"/>
        <v>Medical Doctors</v>
      </c>
      <c r="E438">
        <f t="shared" ref="E438:E461" si="27">S3</f>
        <v>0</v>
      </c>
    </row>
    <row r="439" spans="2:5" x14ac:dyDescent="0.35">
      <c r="D439" s="30" t="str">
        <f t="shared" si="26"/>
        <v>Nursing Personnel</v>
      </c>
      <c r="E439">
        <f t="shared" si="27"/>
        <v>0</v>
      </c>
    </row>
    <row r="440" spans="2:5" x14ac:dyDescent="0.35">
      <c r="D440" s="30" t="str">
        <f t="shared" si="26"/>
        <v>Midwifery personnel</v>
      </c>
      <c r="E440">
        <f t="shared" si="27"/>
        <v>0</v>
      </c>
    </row>
    <row r="441" spans="2:5" x14ac:dyDescent="0.35">
      <c r="D441" s="30" t="str">
        <f t="shared" si="26"/>
        <v>Pharmacists</v>
      </c>
      <c r="E441">
        <f t="shared" si="27"/>
        <v>0</v>
      </c>
    </row>
    <row r="442" spans="2:5" x14ac:dyDescent="0.35">
      <c r="D442" s="30" t="str">
        <f t="shared" si="26"/>
        <v>Dentists</v>
      </c>
      <c r="E442">
        <f t="shared" si="27"/>
        <v>0</v>
      </c>
    </row>
    <row r="443" spans="2:5" x14ac:dyDescent="0.35">
      <c r="D443" s="30" t="str">
        <f t="shared" si="26"/>
        <v xml:space="preserve">Community Health Workers </v>
      </c>
      <c r="E443">
        <f t="shared" si="27"/>
        <v>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2061013.9999999993</v>
      </c>
      <c r="D462" s="29" t="str">
        <f t="shared" si="26"/>
        <v>Medical Doctors</v>
      </c>
      <c r="E462">
        <f t="shared" ref="E462:E485" si="28">T3</f>
        <v>0</v>
      </c>
    </row>
    <row r="463" spans="2:5" x14ac:dyDescent="0.35">
      <c r="D463" s="30" t="str">
        <f t="shared" si="26"/>
        <v>Nursing Personnel</v>
      </c>
      <c r="E463">
        <f t="shared" si="28"/>
        <v>4772</v>
      </c>
    </row>
    <row r="464" spans="2:5" x14ac:dyDescent="0.35">
      <c r="D464" s="30" t="str">
        <f t="shared" si="26"/>
        <v>Midwifery personnel</v>
      </c>
      <c r="E464">
        <f t="shared" si="28"/>
        <v>0</v>
      </c>
    </row>
    <row r="465" spans="4:5" x14ac:dyDescent="0.35">
      <c r="D465" s="30" t="str">
        <f t="shared" si="26"/>
        <v>Pharmacists</v>
      </c>
      <c r="E465">
        <f t="shared" si="28"/>
        <v>886</v>
      </c>
    </row>
    <row r="466" spans="4:5" x14ac:dyDescent="0.35">
      <c r="D466" s="30" t="str">
        <f t="shared" si="26"/>
        <v>Dentists</v>
      </c>
      <c r="E466">
        <f t="shared" si="28"/>
        <v>228</v>
      </c>
    </row>
    <row r="467" spans="4:5" x14ac:dyDescent="0.35">
      <c r="D467" s="30" t="str">
        <f t="shared" si="26"/>
        <v xml:space="preserve">Community Health Workers </v>
      </c>
      <c r="E467">
        <f t="shared" si="28"/>
        <v>0</v>
      </c>
    </row>
    <row r="468" spans="4:5" x14ac:dyDescent="0.35">
      <c r="D468" s="30" t="str">
        <f t="shared" si="26"/>
        <v>Dieticians and nutritionists</v>
      </c>
      <c r="E468">
        <f t="shared" si="28"/>
        <v>0</v>
      </c>
    </row>
    <row r="469" spans="4:5" x14ac:dyDescent="0.35">
      <c r="D469" s="30" t="str">
        <f t="shared" si="26"/>
        <v>Environmental and occupational health &amp; hygiene workers</v>
      </c>
      <c r="E469">
        <f t="shared" si="28"/>
        <v>0</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0</v>
      </c>
    </row>
    <row r="472" spans="4:5" x14ac:dyDescent="0.35">
      <c r="D472" s="30" t="str">
        <f t="shared" si="26"/>
        <v xml:space="preserve">Medical and dental Prosthetic Technicians </v>
      </c>
      <c r="E472">
        <f t="shared" si="28"/>
        <v>0</v>
      </c>
    </row>
    <row r="473" spans="4:5" x14ac:dyDescent="0.35">
      <c r="D473" s="30" t="str">
        <f t="shared" si="26"/>
        <v xml:space="preserve">Medical and Pathology Laboratory scientists </v>
      </c>
      <c r="E473">
        <f t="shared" si="28"/>
        <v>0</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0</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0</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0</v>
      </c>
    </row>
    <row r="483" spans="2:5" x14ac:dyDescent="0.35">
      <c r="D483" s="30" t="str">
        <f t="shared" si="26"/>
        <v>Social workers</v>
      </c>
      <c r="E483">
        <f t="shared" si="28"/>
        <v>127</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656</v>
      </c>
    </row>
    <row r="486" spans="2:5" x14ac:dyDescent="0.35">
      <c r="B486" t="str">
        <f>U1</f>
        <v>GNB</v>
      </c>
      <c r="C486">
        <f>U2</f>
        <v>1652717.4999999998</v>
      </c>
      <c r="D486" s="29" t="str">
        <f t="shared" si="26"/>
        <v>Medical Doctors</v>
      </c>
      <c r="E486">
        <f t="shared" ref="E486:E509" si="29">U3</f>
        <v>0</v>
      </c>
    </row>
    <row r="487" spans="2:5" x14ac:dyDescent="0.35">
      <c r="D487" s="30" t="str">
        <f t="shared" si="26"/>
        <v>Nursing Personnel</v>
      </c>
      <c r="E487">
        <f t="shared" si="29"/>
        <v>0</v>
      </c>
    </row>
    <row r="488" spans="2:5" x14ac:dyDescent="0.35">
      <c r="D488" s="30" t="str">
        <f t="shared" si="26"/>
        <v>Midwifery personnel</v>
      </c>
      <c r="E488">
        <f t="shared" si="29"/>
        <v>0</v>
      </c>
    </row>
    <row r="489" spans="2:5" x14ac:dyDescent="0.35">
      <c r="D489" s="30" t="str">
        <f t="shared" si="26"/>
        <v>Pharmacists</v>
      </c>
      <c r="E489">
        <f t="shared" si="29"/>
        <v>0</v>
      </c>
    </row>
    <row r="490" spans="2:5" x14ac:dyDescent="0.35">
      <c r="D490" s="30" t="str">
        <f t="shared" si="26"/>
        <v>Dentists</v>
      </c>
      <c r="E490">
        <f t="shared" si="29"/>
        <v>0</v>
      </c>
    </row>
    <row r="491" spans="2:5" x14ac:dyDescent="0.35">
      <c r="D491" s="30" t="str">
        <f t="shared" si="26"/>
        <v xml:space="preserve">Community Health Workers </v>
      </c>
      <c r="E491">
        <f t="shared" si="29"/>
        <v>0</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0</v>
      </c>
    </row>
    <row r="497" spans="2:5" x14ac:dyDescent="0.35">
      <c r="D497" s="30" t="str">
        <f t="shared" si="30"/>
        <v xml:space="preserve">Medical and Pathology Laboratory scientists </v>
      </c>
      <c r="E497">
        <f t="shared" si="29"/>
        <v>0</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0</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0</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0</v>
      </c>
    </row>
    <row r="504" spans="2:5" x14ac:dyDescent="0.35">
      <c r="D504" s="30" t="str">
        <f t="shared" si="30"/>
        <v xml:space="preserve">Medical and Pathology Laboratory Technicians </v>
      </c>
      <c r="E504">
        <f t="shared" si="29"/>
        <v>0</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0</v>
      </c>
    </row>
    <row r="507" spans="2:5" x14ac:dyDescent="0.35">
      <c r="D507" s="30" t="str">
        <f t="shared" si="30"/>
        <v>Social workers</v>
      </c>
      <c r="E507">
        <f t="shared" si="29"/>
        <v>0</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1193635.4999999998</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918</v>
      </c>
    </row>
    <row r="514" spans="4:5" x14ac:dyDescent="0.35">
      <c r="D514" s="30" t="str">
        <f t="shared" si="30"/>
        <v>Dentists</v>
      </c>
      <c r="E514">
        <f t="shared" si="31"/>
        <v>713</v>
      </c>
    </row>
    <row r="515" spans="4:5" x14ac:dyDescent="0.35">
      <c r="D515" s="30" t="str">
        <f t="shared" si="30"/>
        <v xml:space="preserve">Community Health Workers </v>
      </c>
      <c r="E515">
        <f t="shared" si="31"/>
        <v>0</v>
      </c>
    </row>
    <row r="516" spans="4:5" x14ac:dyDescent="0.35">
      <c r="D516" s="30" t="str">
        <f t="shared" si="30"/>
        <v>Dieticians and nutritionists</v>
      </c>
      <c r="E516">
        <f t="shared" si="31"/>
        <v>0</v>
      </c>
    </row>
    <row r="517" spans="4:5" x14ac:dyDescent="0.35">
      <c r="D517" s="30" t="str">
        <f t="shared" si="30"/>
        <v>Environmental and occupational health &amp; hygiene workers</v>
      </c>
      <c r="E517">
        <f t="shared" si="31"/>
        <v>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43725806.500000007</v>
      </c>
      <c r="D534" s="29" t="str">
        <f t="shared" si="30"/>
        <v>Medical Doctors</v>
      </c>
      <c r="E534">
        <f t="shared" ref="E534:E557" si="32">W3</f>
        <v>16184</v>
      </c>
    </row>
    <row r="535" spans="2:5" x14ac:dyDescent="0.35">
      <c r="D535" s="30" t="str">
        <f t="shared" si="30"/>
        <v>Nursing Personnel</v>
      </c>
      <c r="E535">
        <f t="shared" si="32"/>
        <v>123538</v>
      </c>
    </row>
    <row r="536" spans="2:5" x14ac:dyDescent="0.35">
      <c r="D536" s="30" t="str">
        <f t="shared" si="30"/>
        <v>Midwifery personnel</v>
      </c>
      <c r="E536">
        <f t="shared" si="32"/>
        <v>0</v>
      </c>
    </row>
    <row r="537" spans="2:5" x14ac:dyDescent="0.35">
      <c r="D537" s="30" t="str">
        <f t="shared" si="30"/>
        <v>Pharmacists</v>
      </c>
      <c r="E537">
        <f t="shared" si="32"/>
        <v>531</v>
      </c>
    </row>
    <row r="538" spans="2:5" x14ac:dyDescent="0.35">
      <c r="D538" s="30" t="str">
        <f t="shared" si="30"/>
        <v>Dentists</v>
      </c>
      <c r="E538">
        <f t="shared" si="32"/>
        <v>401</v>
      </c>
    </row>
    <row r="539" spans="2:5" x14ac:dyDescent="0.35">
      <c r="D539" s="30" t="str">
        <f t="shared" si="30"/>
        <v xml:space="preserve">Community Health Workers </v>
      </c>
      <c r="E539">
        <f t="shared" si="32"/>
        <v>0</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0</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0</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4331740.4999999991</v>
      </c>
      <c r="D558" s="29" t="str">
        <f t="shared" ref="D558:D621" si="33">D534</f>
        <v>Medical Doctors</v>
      </c>
      <c r="E558">
        <f t="shared" ref="E558:E581" si="34">X3</f>
        <v>0</v>
      </c>
    </row>
    <row r="559" spans="2:5" x14ac:dyDescent="0.35">
      <c r="D559" s="30" t="str">
        <f t="shared" si="33"/>
        <v>Nursing Personnel</v>
      </c>
      <c r="E559">
        <f t="shared" si="34"/>
        <v>0</v>
      </c>
    </row>
    <row r="560" spans="2:5" x14ac:dyDescent="0.35">
      <c r="D560" s="30" t="str">
        <f t="shared" si="33"/>
        <v>Midwifery personnel</v>
      </c>
      <c r="E560">
        <f t="shared" si="34"/>
        <v>0</v>
      </c>
    </row>
    <row r="561" spans="4:5" x14ac:dyDescent="0.35">
      <c r="D561" s="30" t="str">
        <f t="shared" si="33"/>
        <v>Pharmacists</v>
      </c>
      <c r="E561">
        <f t="shared" si="34"/>
        <v>0</v>
      </c>
    </row>
    <row r="562" spans="4:5" x14ac:dyDescent="0.35">
      <c r="D562" s="30" t="str">
        <f t="shared" si="33"/>
        <v>Dentists</v>
      </c>
      <c r="E562">
        <f t="shared" si="34"/>
        <v>0</v>
      </c>
    </row>
    <row r="563" spans="4:5" x14ac:dyDescent="0.35">
      <c r="D563" s="30" t="str">
        <f t="shared" si="33"/>
        <v xml:space="preserve">Community Health Workers </v>
      </c>
      <c r="E563">
        <f t="shared" si="34"/>
        <v>0</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2054717.9999999998</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0</v>
      </c>
    </row>
    <row r="586" spans="2:5" x14ac:dyDescent="0.35">
      <c r="D586" s="30" t="str">
        <f t="shared" si="33"/>
        <v>Dentists</v>
      </c>
      <c r="E586">
        <f t="shared" si="35"/>
        <v>0</v>
      </c>
    </row>
    <row r="587" spans="2:5" x14ac:dyDescent="0.35">
      <c r="D587" s="30" t="str">
        <f t="shared" si="33"/>
        <v xml:space="preserve">Community Health Workers </v>
      </c>
      <c r="E587">
        <f t="shared" si="35"/>
        <v>0</v>
      </c>
    </row>
    <row r="588" spans="2:5" x14ac:dyDescent="0.35">
      <c r="D588" s="30" t="str">
        <f t="shared" si="33"/>
        <v>Dieticians and nutritionists</v>
      </c>
      <c r="E588">
        <f t="shared" si="35"/>
        <v>0</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22966240</v>
      </c>
      <c r="D606" s="29" t="str">
        <f t="shared" si="33"/>
        <v>Medical Doctors</v>
      </c>
      <c r="E606">
        <f t="shared" ref="E606:E629" si="36">Z3</f>
        <v>6376</v>
      </c>
    </row>
    <row r="607" spans="2:5" x14ac:dyDescent="0.35">
      <c r="D607" s="30" t="str">
        <f t="shared" si="33"/>
        <v>Nursing Personnel</v>
      </c>
      <c r="E607">
        <f t="shared" si="36"/>
        <v>6766</v>
      </c>
    </row>
    <row r="608" spans="2:5" x14ac:dyDescent="0.35">
      <c r="D608" s="30" t="str">
        <f t="shared" si="33"/>
        <v>Midwifery personnel</v>
      </c>
      <c r="E608">
        <f t="shared" si="36"/>
        <v>2950</v>
      </c>
    </row>
    <row r="609" spans="4:5" x14ac:dyDescent="0.35">
      <c r="D609" s="30" t="str">
        <f t="shared" si="33"/>
        <v>Pharmacists</v>
      </c>
      <c r="E609">
        <f t="shared" si="36"/>
        <v>0</v>
      </c>
    </row>
    <row r="610" spans="4:5" x14ac:dyDescent="0.35">
      <c r="D610" s="30" t="str">
        <f t="shared" si="33"/>
        <v>Dentists</v>
      </c>
      <c r="E610">
        <f t="shared" si="36"/>
        <v>0</v>
      </c>
    </row>
    <row r="611" spans="4:5" x14ac:dyDescent="0.35">
      <c r="D611" s="30" t="str">
        <f t="shared" si="33"/>
        <v xml:space="preserve">Community Health Workers </v>
      </c>
      <c r="E611">
        <f t="shared" si="36"/>
        <v>0</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16514686.999999991</v>
      </c>
      <c r="D630" s="29" t="str">
        <f t="shared" si="37"/>
        <v>Medical Doctors</v>
      </c>
      <c r="E630">
        <f t="shared" ref="E630:E653" si="38">AA3</f>
        <v>3525</v>
      </c>
    </row>
    <row r="631" spans="2:5" x14ac:dyDescent="0.35">
      <c r="D631" s="30" t="str">
        <f t="shared" si="37"/>
        <v>Nursing Personnel</v>
      </c>
      <c r="E631">
        <f t="shared" si="38"/>
        <v>8514</v>
      </c>
    </row>
    <row r="632" spans="2:5" x14ac:dyDescent="0.35">
      <c r="D632" s="30" t="str">
        <f t="shared" si="37"/>
        <v>Midwifery personnel</v>
      </c>
      <c r="E632">
        <f t="shared" si="38"/>
        <v>3540</v>
      </c>
    </row>
    <row r="633" spans="2:5" x14ac:dyDescent="0.35">
      <c r="D633" s="30" t="str">
        <f t="shared" si="37"/>
        <v>Pharmacists</v>
      </c>
      <c r="E633">
        <f t="shared" si="38"/>
        <v>4</v>
      </c>
    </row>
    <row r="634" spans="2:5" x14ac:dyDescent="0.35">
      <c r="D634" s="30" t="str">
        <f t="shared" si="37"/>
        <v>Dentists</v>
      </c>
      <c r="E634">
        <f t="shared" si="38"/>
        <v>0</v>
      </c>
    </row>
    <row r="635" spans="2:5" x14ac:dyDescent="0.35">
      <c r="D635" s="30" t="str">
        <f t="shared" si="37"/>
        <v xml:space="preserve">Community Health Workers </v>
      </c>
      <c r="E635">
        <f t="shared" si="38"/>
        <v>0</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24487610.999999996</v>
      </c>
      <c r="D654" s="32" t="str">
        <f t="shared" si="37"/>
        <v>Medical Doctors</v>
      </c>
      <c r="E654">
        <f t="shared" ref="E654:E677" si="39">AB3</f>
        <v>2716</v>
      </c>
    </row>
    <row r="655" spans="2:5" x14ac:dyDescent="0.35">
      <c r="D655" s="30" t="str">
        <f t="shared" si="37"/>
        <v>Nursing Personnel</v>
      </c>
      <c r="E655">
        <f t="shared" si="39"/>
        <v>11652</v>
      </c>
    </row>
    <row r="656" spans="2:5" x14ac:dyDescent="0.35">
      <c r="D656" s="30" t="str">
        <f t="shared" si="37"/>
        <v>Midwifery personnel</v>
      </c>
      <c r="E656">
        <f t="shared" si="39"/>
        <v>8522</v>
      </c>
    </row>
    <row r="657" spans="4:5" x14ac:dyDescent="0.35">
      <c r="D657" s="30" t="str">
        <f t="shared" si="37"/>
        <v>Pharmacists</v>
      </c>
      <c r="E657">
        <f t="shared" si="39"/>
        <v>20</v>
      </c>
    </row>
    <row r="658" spans="4:5" x14ac:dyDescent="0.35">
      <c r="D658" s="30" t="str">
        <f t="shared" si="37"/>
        <v>Dentists</v>
      </c>
      <c r="E658">
        <f t="shared" si="39"/>
        <v>0</v>
      </c>
    </row>
    <row r="659" spans="4:5" x14ac:dyDescent="0.35">
      <c r="D659" s="30" t="str">
        <f t="shared" si="37"/>
        <v xml:space="preserve">Community Health Workers </v>
      </c>
      <c r="E659">
        <f t="shared" si="39"/>
        <v>1213</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85</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0</v>
      </c>
    </row>
    <row r="664" spans="4:5" x14ac:dyDescent="0.35">
      <c r="D664" s="30" t="str">
        <f t="shared" si="37"/>
        <v xml:space="preserve">Medical and dental Prosthetic Technicians </v>
      </c>
      <c r="E664">
        <f t="shared" si="39"/>
        <v>33</v>
      </c>
    </row>
    <row r="665" spans="4:5" x14ac:dyDescent="0.35">
      <c r="D665" s="30" t="str">
        <f t="shared" si="37"/>
        <v xml:space="preserve">Medical and Pathology Laboratory scientists </v>
      </c>
      <c r="E665">
        <f t="shared" si="39"/>
        <v>0</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267</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76</v>
      </c>
    </row>
    <row r="670" spans="4:5" x14ac:dyDescent="0.35">
      <c r="D670" s="30" t="str">
        <f t="shared" si="37"/>
        <v xml:space="preserve">Other non-medical professional staff </v>
      </c>
      <c r="E670">
        <f t="shared" si="39"/>
        <v>0</v>
      </c>
    </row>
    <row r="671" spans="4:5" x14ac:dyDescent="0.35">
      <c r="D671" s="30" t="str">
        <f t="shared" si="37"/>
        <v xml:space="preserve">Other non-medical support staff </v>
      </c>
      <c r="E671">
        <f t="shared" si="39"/>
        <v>0</v>
      </c>
    </row>
    <row r="672" spans="4:5" x14ac:dyDescent="0.35">
      <c r="D672" s="30" t="str">
        <f t="shared" si="37"/>
        <v xml:space="preserve">Medical and Pathology Laboratory Technicians </v>
      </c>
      <c r="E672">
        <f t="shared" si="39"/>
        <v>1425</v>
      </c>
    </row>
    <row r="673" spans="2:5" x14ac:dyDescent="0.35">
      <c r="D673" s="30" t="str">
        <f t="shared" si="37"/>
        <v xml:space="preserve">Paramedical Practitioners </v>
      </c>
      <c r="E673">
        <f t="shared" si="39"/>
        <v>0</v>
      </c>
    </row>
    <row r="674" spans="2:5" x14ac:dyDescent="0.35">
      <c r="D674" s="30" t="str">
        <f t="shared" si="37"/>
        <v>Physiotherapists and physiotherapy assistants</v>
      </c>
      <c r="E674">
        <f t="shared" si="39"/>
        <v>281</v>
      </c>
    </row>
    <row r="675" spans="2:5" x14ac:dyDescent="0.35">
      <c r="D675" s="30" t="str">
        <f t="shared" si="37"/>
        <v>Social workers</v>
      </c>
      <c r="E675">
        <f t="shared" si="39"/>
        <v>0</v>
      </c>
    </row>
    <row r="676" spans="2:5" x14ac:dyDescent="0.35">
      <c r="D676" s="30" t="str">
        <f t="shared" si="37"/>
        <v xml:space="preserve">Audiologists and Speech Therapists </v>
      </c>
      <c r="E676">
        <f t="shared" si="39"/>
        <v>0</v>
      </c>
    </row>
    <row r="677" spans="2:5" x14ac:dyDescent="0.35">
      <c r="D677" s="30" t="str">
        <f t="shared" si="37"/>
        <v>Traditional and complementary medicine practitioners</v>
      </c>
      <c r="E677">
        <f t="shared" si="39"/>
        <v>0</v>
      </c>
    </row>
    <row r="678" spans="2:5" x14ac:dyDescent="0.35">
      <c r="B678" t="str">
        <f>AC1</f>
        <v>MRT</v>
      </c>
      <c r="C678">
        <f>AC2</f>
        <v>3636113.5000000009</v>
      </c>
      <c r="D678" s="29" t="str">
        <f t="shared" si="37"/>
        <v>Medical Doctors</v>
      </c>
      <c r="E678">
        <f t="shared" ref="E678:E701" si="40">AC3</f>
        <v>0</v>
      </c>
    </row>
    <row r="679" spans="2:5" x14ac:dyDescent="0.35">
      <c r="D679" s="30" t="str">
        <f t="shared" si="37"/>
        <v>Nursing Personnel</v>
      </c>
      <c r="E679">
        <f t="shared" si="40"/>
        <v>0</v>
      </c>
    </row>
    <row r="680" spans="2:5" x14ac:dyDescent="0.35">
      <c r="D680" s="30" t="str">
        <f t="shared" si="37"/>
        <v>Midwifery personnel</v>
      </c>
      <c r="E680">
        <f t="shared" si="40"/>
        <v>0</v>
      </c>
    </row>
    <row r="681" spans="2:5" x14ac:dyDescent="0.35">
      <c r="D681" s="30" t="str">
        <f t="shared" si="37"/>
        <v>Pharmacists</v>
      </c>
      <c r="E681">
        <f t="shared" si="40"/>
        <v>3445</v>
      </c>
    </row>
    <row r="682" spans="2:5" x14ac:dyDescent="0.35">
      <c r="D682" s="30" t="str">
        <f t="shared" si="37"/>
        <v>Dentists</v>
      </c>
      <c r="E682">
        <f t="shared" si="40"/>
        <v>695</v>
      </c>
    </row>
    <row r="683" spans="2:5" x14ac:dyDescent="0.35">
      <c r="D683" s="30" t="str">
        <f t="shared" si="37"/>
        <v xml:space="preserve">Community Health Workers </v>
      </c>
      <c r="E683">
        <f t="shared" si="40"/>
        <v>0</v>
      </c>
    </row>
    <row r="684" spans="2:5" x14ac:dyDescent="0.35">
      <c r="D684" s="30" t="str">
        <f t="shared" si="37"/>
        <v>Dieticians and nutritionists</v>
      </c>
      <c r="E684">
        <f t="shared" si="40"/>
        <v>1172</v>
      </c>
    </row>
    <row r="685" spans="2:5" x14ac:dyDescent="0.35">
      <c r="D685" s="30" t="str">
        <f t="shared" si="37"/>
        <v>Environmental and occupational health &amp; hygiene workers</v>
      </c>
      <c r="E685">
        <f t="shared" si="40"/>
        <v>0</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1288744.5000000005</v>
      </c>
      <c r="D702" s="29" t="str">
        <f t="shared" si="41"/>
        <v>Medical Doctors</v>
      </c>
      <c r="E702">
        <f t="shared" ref="E702:E725" si="42">AD3</f>
        <v>3444</v>
      </c>
    </row>
    <row r="703" spans="2:5" x14ac:dyDescent="0.35">
      <c r="D703" s="30" t="str">
        <f t="shared" si="41"/>
        <v>Nursing Personnel</v>
      </c>
      <c r="E703">
        <f t="shared" si="42"/>
        <v>7474</v>
      </c>
    </row>
    <row r="704" spans="2:5" x14ac:dyDescent="0.35">
      <c r="D704" s="30" t="str">
        <f t="shared" si="41"/>
        <v>Midwifery personnel</v>
      </c>
      <c r="E704">
        <f t="shared" si="42"/>
        <v>0</v>
      </c>
    </row>
    <row r="705" spans="4:5" x14ac:dyDescent="0.35">
      <c r="D705" s="30" t="str">
        <f t="shared" si="41"/>
        <v>Pharmacists</v>
      </c>
      <c r="E705">
        <f t="shared" si="42"/>
        <v>0</v>
      </c>
    </row>
    <row r="706" spans="4:5" x14ac:dyDescent="0.35">
      <c r="D706" s="30" t="str">
        <f t="shared" si="41"/>
        <v>Dentists</v>
      </c>
      <c r="E706">
        <f t="shared" si="42"/>
        <v>0</v>
      </c>
    </row>
    <row r="707" spans="4:5" x14ac:dyDescent="0.35">
      <c r="D707" s="30" t="str">
        <f t="shared" si="41"/>
        <v xml:space="preserve">Community Health Workers </v>
      </c>
      <c r="E707">
        <f t="shared" si="42"/>
        <v>0</v>
      </c>
    </row>
    <row r="708" spans="4:5" x14ac:dyDescent="0.35">
      <c r="D708" s="30" t="str">
        <f t="shared" si="41"/>
        <v>Dieticians and nutritionists</v>
      </c>
      <c r="E708">
        <f t="shared" si="42"/>
        <v>0</v>
      </c>
    </row>
    <row r="709" spans="4:5" x14ac:dyDescent="0.35">
      <c r="D709" s="30" t="str">
        <f t="shared" si="41"/>
        <v>Environmental and occupational health &amp; hygiene workers</v>
      </c>
      <c r="E709">
        <f t="shared" si="42"/>
        <v>0</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15581250.5</v>
      </c>
      <c r="D726" s="29" t="str">
        <f t="shared" si="41"/>
        <v>Medical Doctors</v>
      </c>
      <c r="E726">
        <f t="shared" ref="E726:E749" si="43">AE3</f>
        <v>0</v>
      </c>
    </row>
    <row r="727" spans="2:5" x14ac:dyDescent="0.35">
      <c r="D727" s="30" t="str">
        <f t="shared" si="41"/>
        <v>Nursing Personnel</v>
      </c>
      <c r="E727">
        <f t="shared" si="43"/>
        <v>0</v>
      </c>
    </row>
    <row r="728" spans="2:5" x14ac:dyDescent="0.35">
      <c r="D728" s="30" t="str">
        <f t="shared" si="41"/>
        <v>Midwifery personnel</v>
      </c>
      <c r="E728">
        <f t="shared" si="43"/>
        <v>0</v>
      </c>
    </row>
    <row r="729" spans="2:5" x14ac:dyDescent="0.35">
      <c r="D729" s="30" t="str">
        <f t="shared" si="41"/>
        <v>Pharmacists</v>
      </c>
      <c r="E729">
        <f t="shared" si="43"/>
        <v>4</v>
      </c>
    </row>
    <row r="730" spans="2:5" x14ac:dyDescent="0.35">
      <c r="D730" s="30" t="str">
        <f t="shared" si="41"/>
        <v>Dentists</v>
      </c>
      <c r="E730">
        <f t="shared" si="43"/>
        <v>4</v>
      </c>
    </row>
    <row r="731" spans="2:5" x14ac:dyDescent="0.35">
      <c r="D731" s="30" t="str">
        <f t="shared" si="41"/>
        <v xml:space="preserve">Community Health Workers </v>
      </c>
      <c r="E731">
        <f t="shared" si="43"/>
        <v>0</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0</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0</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2167470.0000000023</v>
      </c>
      <c r="D750" s="29" t="str">
        <f t="shared" ref="D750:D813" si="44">D726</f>
        <v>Medical Doctors</v>
      </c>
      <c r="E750">
        <f t="shared" ref="E750:E773" si="45">AF3</f>
        <v>0</v>
      </c>
    </row>
    <row r="751" spans="2:5" x14ac:dyDescent="0.35">
      <c r="D751" s="30" t="str">
        <f t="shared" si="44"/>
        <v>Nursing Personnel</v>
      </c>
      <c r="E751">
        <f t="shared" si="45"/>
        <v>0</v>
      </c>
    </row>
    <row r="752" spans="2:5" x14ac:dyDescent="0.35">
      <c r="D752" s="30" t="str">
        <f t="shared" si="44"/>
        <v>Midwifery personnel</v>
      </c>
      <c r="E752">
        <f t="shared" si="45"/>
        <v>0</v>
      </c>
    </row>
    <row r="753" spans="4:5" x14ac:dyDescent="0.35">
      <c r="D753" s="30" t="str">
        <f t="shared" si="44"/>
        <v>Pharmacists</v>
      </c>
      <c r="E753">
        <f t="shared" si="45"/>
        <v>0</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0</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0</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0</v>
      </c>
    </row>
    <row r="769" spans="2:5" x14ac:dyDescent="0.35">
      <c r="D769" s="30" t="str">
        <f t="shared" si="44"/>
        <v xml:space="preserve">Paramedical Practitioners </v>
      </c>
      <c r="E769">
        <f t="shared" si="45"/>
        <v>0</v>
      </c>
    </row>
    <row r="770" spans="2:5" x14ac:dyDescent="0.35">
      <c r="D770" s="30" t="str">
        <f t="shared" si="44"/>
        <v>Physiotherapists and physiotherapy assistants</v>
      </c>
      <c r="E770">
        <f t="shared" si="45"/>
        <v>0</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17954407.000000004</v>
      </c>
      <c r="D774" s="29" t="str">
        <f t="shared" si="44"/>
        <v>Medical Doctors</v>
      </c>
      <c r="E774">
        <f t="shared" ref="E774:E797" si="46">AG3</f>
        <v>1904</v>
      </c>
    </row>
    <row r="775" spans="2:5" x14ac:dyDescent="0.35">
      <c r="D775" s="30" t="str">
        <f t="shared" si="44"/>
        <v>Nursing Personnel</v>
      </c>
      <c r="E775">
        <f t="shared" si="46"/>
        <v>0</v>
      </c>
    </row>
    <row r="776" spans="2:5" x14ac:dyDescent="0.35">
      <c r="D776" s="30" t="str">
        <f t="shared" si="44"/>
        <v>Midwifery personnel</v>
      </c>
      <c r="E776">
        <f t="shared" si="46"/>
        <v>1788</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170075931.5</v>
      </c>
      <c r="D798" s="29" t="str">
        <f t="shared" si="44"/>
        <v>Medical Doctors</v>
      </c>
      <c r="E798">
        <f t="shared" ref="E798:E821" si="47">AH3</f>
        <v>144</v>
      </c>
    </row>
    <row r="799" spans="2:5" x14ac:dyDescent="0.35">
      <c r="D799" s="30" t="str">
        <f t="shared" si="44"/>
        <v>Nursing Personnel</v>
      </c>
      <c r="E799">
        <f t="shared" si="47"/>
        <v>0</v>
      </c>
    </row>
    <row r="800" spans="2:5" x14ac:dyDescent="0.35">
      <c r="D800" s="30" t="str">
        <f t="shared" si="44"/>
        <v>Midwifery personnel</v>
      </c>
      <c r="E800">
        <f t="shared" si="47"/>
        <v>0</v>
      </c>
    </row>
    <row r="801" spans="4:5" x14ac:dyDescent="0.35">
      <c r="D801" s="30" t="str">
        <f t="shared" si="44"/>
        <v>Pharmacists</v>
      </c>
      <c r="E801">
        <f t="shared" si="47"/>
        <v>0</v>
      </c>
    </row>
    <row r="802" spans="4:5" x14ac:dyDescent="0.35">
      <c r="D802" s="30" t="str">
        <f t="shared" si="44"/>
        <v>Dentists</v>
      </c>
      <c r="E802">
        <f t="shared" si="47"/>
        <v>0</v>
      </c>
    </row>
    <row r="803" spans="4:5" x14ac:dyDescent="0.35">
      <c r="D803" s="30" t="str">
        <f t="shared" si="44"/>
        <v xml:space="preserve">Community Health Workers </v>
      </c>
      <c r="E803">
        <f t="shared" si="47"/>
        <v>0</v>
      </c>
    </row>
    <row r="804" spans="4:5" x14ac:dyDescent="0.35">
      <c r="D804" s="30" t="str">
        <f t="shared" si="44"/>
        <v>Dieticians and nutritionists</v>
      </c>
      <c r="E804">
        <f t="shared" si="47"/>
        <v>0</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0</v>
      </c>
    </row>
    <row r="809" spans="4:5" x14ac:dyDescent="0.35">
      <c r="D809" s="30" t="str">
        <f t="shared" si="44"/>
        <v xml:space="preserve">Medical and Pathology Laboratory scientists </v>
      </c>
      <c r="E809">
        <f t="shared" si="47"/>
        <v>0</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0</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0</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0</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0</v>
      </c>
    </row>
    <row r="819" spans="2:5" x14ac:dyDescent="0.35">
      <c r="D819" s="30" t="str">
        <f t="shared" si="48"/>
        <v>Social workers</v>
      </c>
      <c r="E819">
        <f t="shared" si="47"/>
        <v>0</v>
      </c>
    </row>
    <row r="820" spans="2:5" x14ac:dyDescent="0.35">
      <c r="D820" s="30" t="str">
        <f t="shared" si="48"/>
        <v xml:space="preserve">Audiologists and Speech Therapists </v>
      </c>
      <c r="E820">
        <f t="shared" si="47"/>
        <v>0</v>
      </c>
    </row>
    <row r="821" spans="2:5" x14ac:dyDescent="0.35">
      <c r="D821" s="30" t="str">
        <f t="shared" si="48"/>
        <v>Traditional and complementary medicine practitioners</v>
      </c>
      <c r="E821">
        <f t="shared" si="47"/>
        <v>0</v>
      </c>
    </row>
    <row r="822" spans="2:5" x14ac:dyDescent="0.35">
      <c r="B822" t="str">
        <f>AI1</f>
        <v>RWA</v>
      </c>
      <c r="C822">
        <f>AI2</f>
        <v>10840333.999999994</v>
      </c>
      <c r="D822" s="29" t="str">
        <f t="shared" si="48"/>
        <v>Medical Doctors</v>
      </c>
      <c r="E822">
        <f t="shared" ref="E822:E845" si="49">AI3</f>
        <v>0</v>
      </c>
    </row>
    <row r="823" spans="2:5" x14ac:dyDescent="0.35">
      <c r="D823" s="30" t="str">
        <f t="shared" si="48"/>
        <v>Nursing Personnel</v>
      </c>
      <c r="E823">
        <f t="shared" si="49"/>
        <v>0</v>
      </c>
    </row>
    <row r="824" spans="2:5" x14ac:dyDescent="0.35">
      <c r="D824" s="30" t="str">
        <f t="shared" si="48"/>
        <v>Midwifery personnel</v>
      </c>
      <c r="E824">
        <f t="shared" si="49"/>
        <v>0</v>
      </c>
    </row>
    <row r="825" spans="2:5" x14ac:dyDescent="0.35">
      <c r="D825" s="30" t="str">
        <f t="shared" si="48"/>
        <v>Pharmacists</v>
      </c>
      <c r="E825">
        <f t="shared" si="49"/>
        <v>0</v>
      </c>
    </row>
    <row r="826" spans="2:5" x14ac:dyDescent="0.35">
      <c r="D826" s="30" t="str">
        <f t="shared" si="48"/>
        <v>Dentists</v>
      </c>
      <c r="E826">
        <f t="shared" si="49"/>
        <v>0</v>
      </c>
    </row>
    <row r="827" spans="2:5" x14ac:dyDescent="0.35">
      <c r="D827" s="30" t="str">
        <f t="shared" si="48"/>
        <v xml:space="preserve">Community Health Workers </v>
      </c>
      <c r="E827">
        <f t="shared" si="49"/>
        <v>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0</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13231833.000000002</v>
      </c>
      <c r="D846" s="29" t="str">
        <f t="shared" si="48"/>
        <v>Medical Doctors</v>
      </c>
      <c r="E846">
        <f t="shared" ref="E846:E869" si="50">AJ3</f>
        <v>0</v>
      </c>
    </row>
    <row r="847" spans="2:5" x14ac:dyDescent="0.35">
      <c r="D847" s="30" t="str">
        <f t="shared" si="48"/>
        <v>Nursing Personnel</v>
      </c>
      <c r="E847">
        <f t="shared" si="50"/>
        <v>0</v>
      </c>
    </row>
    <row r="848" spans="2:5" x14ac:dyDescent="0.35">
      <c r="D848" s="30" t="str">
        <f t="shared" si="48"/>
        <v>Midwifery personnel</v>
      </c>
      <c r="E848">
        <f t="shared" si="50"/>
        <v>0</v>
      </c>
    </row>
    <row r="849" spans="4:5" x14ac:dyDescent="0.35">
      <c r="D849" s="30" t="str">
        <f t="shared" si="48"/>
        <v>Pharmacists</v>
      </c>
      <c r="E849">
        <f t="shared" si="50"/>
        <v>0</v>
      </c>
    </row>
    <row r="850" spans="4:5" x14ac:dyDescent="0.35">
      <c r="D850" s="30" t="str">
        <f t="shared" si="48"/>
        <v>Dentists</v>
      </c>
      <c r="E850">
        <f t="shared" si="50"/>
        <v>0</v>
      </c>
    </row>
    <row r="851" spans="4:5" x14ac:dyDescent="0.35">
      <c r="D851" s="30" t="str">
        <f t="shared" si="48"/>
        <v xml:space="preserve">Community Health Workers </v>
      </c>
      <c r="E851">
        <f t="shared" si="50"/>
        <v>0</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0</v>
      </c>
    </row>
    <row r="854" spans="4:5" x14ac:dyDescent="0.35">
      <c r="D854" s="30" t="str">
        <f t="shared" si="48"/>
        <v>Personal care workers in health service</v>
      </c>
      <c r="E854">
        <f t="shared" si="50"/>
        <v>0</v>
      </c>
    </row>
    <row r="855" spans="4:5" x14ac:dyDescent="0.35">
      <c r="D855" s="30" t="str">
        <f t="shared" si="48"/>
        <v xml:space="preserve">Managerial staff </v>
      </c>
      <c r="E855">
        <f t="shared" si="50"/>
        <v>0</v>
      </c>
    </row>
    <row r="856" spans="4:5" x14ac:dyDescent="0.35">
      <c r="D856" s="30" t="str">
        <f t="shared" si="48"/>
        <v xml:space="preserve">Medical and dental Prosthetic Technicians </v>
      </c>
      <c r="E856">
        <f t="shared" si="50"/>
        <v>0</v>
      </c>
    </row>
    <row r="857" spans="4:5" x14ac:dyDescent="0.35">
      <c r="D857" s="30" t="str">
        <f t="shared" si="48"/>
        <v xml:space="preserve">Medical and Pathology Laboratory scientists </v>
      </c>
      <c r="E857">
        <f t="shared" si="50"/>
        <v>0</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0</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0</v>
      </c>
    </row>
    <row r="865" spans="2:5" x14ac:dyDescent="0.35">
      <c r="D865" s="30" t="str">
        <f t="shared" si="48"/>
        <v xml:space="preserve">Paramedical Practitioners </v>
      </c>
      <c r="E865">
        <f t="shared" si="50"/>
        <v>0</v>
      </c>
    </row>
    <row r="866" spans="2:5" x14ac:dyDescent="0.35">
      <c r="D866" s="30" t="str">
        <f t="shared" si="48"/>
        <v>Physiotherapists and physiotherapy assistants</v>
      </c>
      <c r="E866">
        <f t="shared" si="50"/>
        <v>0</v>
      </c>
    </row>
    <row r="867" spans="2:5" x14ac:dyDescent="0.35">
      <c r="D867" s="30" t="str">
        <f t="shared" si="48"/>
        <v>Social workers</v>
      </c>
      <c r="E867">
        <f t="shared" si="50"/>
        <v>0</v>
      </c>
    </row>
    <row r="868" spans="2:5" x14ac:dyDescent="0.35">
      <c r="D868" s="30" t="str">
        <f t="shared" si="48"/>
        <v xml:space="preserve">Audiologists and Speech Therapists </v>
      </c>
      <c r="E868">
        <f t="shared" si="50"/>
        <v>0</v>
      </c>
    </row>
    <row r="869" spans="2:5" x14ac:dyDescent="0.35">
      <c r="D869" s="30" t="str">
        <f t="shared" si="48"/>
        <v>Traditional and complementary medicine practitioners</v>
      </c>
      <c r="E869">
        <f t="shared" si="50"/>
        <v>0</v>
      </c>
    </row>
    <row r="870" spans="2:5" x14ac:dyDescent="0.35">
      <c r="B870" t="str">
        <f>AK1</f>
        <v>SLE</v>
      </c>
      <c r="C870">
        <f>AK2</f>
        <v>6788587.5000000037</v>
      </c>
      <c r="D870" s="29" t="str">
        <f t="shared" si="48"/>
        <v>Medical Doctors</v>
      </c>
      <c r="E870">
        <f t="shared" ref="E870:E893" si="51">AK3</f>
        <v>8</v>
      </c>
    </row>
    <row r="871" spans="2:5" x14ac:dyDescent="0.35">
      <c r="D871" s="30" t="str">
        <f t="shared" si="48"/>
        <v>Nursing Personnel</v>
      </c>
      <c r="E871">
        <f t="shared" si="51"/>
        <v>0</v>
      </c>
    </row>
    <row r="872" spans="2:5" x14ac:dyDescent="0.35">
      <c r="D872" s="30" t="str">
        <f t="shared" si="48"/>
        <v>Midwifery personnel</v>
      </c>
      <c r="E872">
        <f t="shared" si="51"/>
        <v>0</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0</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0</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0</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10701604.500000004</v>
      </c>
      <c r="D894" s="29" t="str">
        <f t="shared" si="52"/>
        <v>Medical Doctors</v>
      </c>
      <c r="E894">
        <f t="shared" ref="E894:E917" si="53">AL3</f>
        <v>0</v>
      </c>
    </row>
    <row r="895" spans="2:5" x14ac:dyDescent="0.35">
      <c r="D895" s="30" t="str">
        <f t="shared" si="52"/>
        <v>Nursing Personnel</v>
      </c>
      <c r="E895">
        <f t="shared" si="53"/>
        <v>0</v>
      </c>
    </row>
    <row r="896" spans="2:5" x14ac:dyDescent="0.35">
      <c r="D896" s="30" t="str">
        <f t="shared" si="52"/>
        <v>Midwifery personnel</v>
      </c>
      <c r="E896">
        <f t="shared" si="53"/>
        <v>0</v>
      </c>
    </row>
    <row r="897" spans="4:5" x14ac:dyDescent="0.35">
      <c r="D897" s="30" t="str">
        <f t="shared" si="52"/>
        <v>Pharmacists</v>
      </c>
      <c r="E897">
        <f t="shared" si="53"/>
        <v>0</v>
      </c>
    </row>
    <row r="898" spans="4:5" x14ac:dyDescent="0.35">
      <c r="D898" s="30" t="str">
        <f t="shared" si="52"/>
        <v>Dentists</v>
      </c>
      <c r="E898">
        <f t="shared" si="53"/>
        <v>68</v>
      </c>
    </row>
    <row r="899" spans="4:5" x14ac:dyDescent="0.35">
      <c r="D899" s="30" t="str">
        <f t="shared" si="52"/>
        <v xml:space="preserve">Community Health Workers </v>
      </c>
      <c r="E899">
        <f t="shared" si="53"/>
        <v>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0</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189924.5</v>
      </c>
      <c r="D918" s="29" t="str">
        <f t="shared" si="52"/>
        <v>Medical Doctors</v>
      </c>
      <c r="E918">
        <f t="shared" ref="E918:E941" si="54">AM3</f>
        <v>0</v>
      </c>
    </row>
    <row r="919" spans="2:5" x14ac:dyDescent="0.35">
      <c r="D919" s="30" t="str">
        <f t="shared" si="52"/>
        <v>Nursing Personnel</v>
      </c>
      <c r="E919">
        <f t="shared" si="54"/>
        <v>0</v>
      </c>
    </row>
    <row r="920" spans="2:5" x14ac:dyDescent="0.35">
      <c r="D920" s="30" t="str">
        <f t="shared" si="52"/>
        <v>Midwifery personnel</v>
      </c>
      <c r="E920">
        <f t="shared" si="54"/>
        <v>0</v>
      </c>
    </row>
    <row r="921" spans="2:5" x14ac:dyDescent="0.35">
      <c r="D921" s="30" t="str">
        <f t="shared" si="52"/>
        <v>Pharmacists</v>
      </c>
      <c r="E921">
        <f t="shared" si="54"/>
        <v>0</v>
      </c>
    </row>
    <row r="922" spans="2:5" x14ac:dyDescent="0.35">
      <c r="D922" s="30" t="str">
        <f t="shared" si="52"/>
        <v>Dentists</v>
      </c>
      <c r="E922">
        <f t="shared" si="54"/>
        <v>84</v>
      </c>
    </row>
    <row r="923" spans="2:5" x14ac:dyDescent="0.35">
      <c r="D923" s="30" t="str">
        <f t="shared" si="52"/>
        <v xml:space="preserve">Community Health Workers </v>
      </c>
      <c r="E923">
        <f t="shared" si="54"/>
        <v>0</v>
      </c>
    </row>
    <row r="924" spans="2:5" x14ac:dyDescent="0.35">
      <c r="D924" s="30" t="str">
        <f t="shared" si="52"/>
        <v>Dieticians and nutritionists</v>
      </c>
      <c r="E924">
        <f t="shared" si="54"/>
        <v>0</v>
      </c>
    </row>
    <row r="925" spans="2:5" x14ac:dyDescent="0.35">
      <c r="D925" s="30" t="str">
        <f t="shared" si="52"/>
        <v>Environmental and occupational health &amp; hygiene workers</v>
      </c>
      <c r="E925">
        <f t="shared" si="54"/>
        <v>0</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1111443.9999999998</v>
      </c>
      <c r="D942" s="29" t="str">
        <f t="shared" ref="D942:D1005" si="55">D918</f>
        <v>Medical Doctors</v>
      </c>
      <c r="E942">
        <f t="shared" ref="E942:E965" si="56">AN3</f>
        <v>0</v>
      </c>
    </row>
    <row r="943" spans="2:5" x14ac:dyDescent="0.35">
      <c r="D943" s="30" t="str">
        <f t="shared" si="55"/>
        <v>Nursing Personnel</v>
      </c>
      <c r="E943">
        <f t="shared" si="56"/>
        <v>0</v>
      </c>
    </row>
    <row r="944" spans="2:5" x14ac:dyDescent="0.35">
      <c r="D944" s="30" t="str">
        <f t="shared" si="55"/>
        <v>Midwifery personnel</v>
      </c>
      <c r="E944">
        <f t="shared" si="56"/>
        <v>0</v>
      </c>
    </row>
    <row r="945" spans="4:5" x14ac:dyDescent="0.35">
      <c r="D945" s="30" t="str">
        <f t="shared" si="55"/>
        <v>Pharmacists</v>
      </c>
      <c r="E945">
        <f t="shared" si="56"/>
        <v>3320</v>
      </c>
    </row>
    <row r="946" spans="4:5" x14ac:dyDescent="0.35">
      <c r="D946" s="30" t="str">
        <f t="shared" si="55"/>
        <v>Dentists</v>
      </c>
      <c r="E946">
        <f t="shared" si="56"/>
        <v>768</v>
      </c>
    </row>
    <row r="947" spans="4:5" x14ac:dyDescent="0.35">
      <c r="D947" s="30" t="str">
        <f t="shared" si="55"/>
        <v xml:space="preserve">Community Health Workers </v>
      </c>
      <c r="E947">
        <f t="shared" si="56"/>
        <v>0</v>
      </c>
    </row>
    <row r="948" spans="4:5" x14ac:dyDescent="0.35">
      <c r="D948" s="30" t="str">
        <f t="shared" si="55"/>
        <v>Dieticians and nutritionists</v>
      </c>
      <c r="E948">
        <f t="shared" si="56"/>
        <v>0</v>
      </c>
    </row>
    <row r="949" spans="4:5" x14ac:dyDescent="0.35">
      <c r="D949" s="30" t="str">
        <f t="shared" si="55"/>
        <v>Environmental and occupational health &amp; hygiene workers</v>
      </c>
      <c r="E949">
        <f t="shared" si="56"/>
        <v>4646</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95308.999999999985</v>
      </c>
      <c r="D966" s="29" t="str">
        <f t="shared" si="55"/>
        <v>Medical Doctors</v>
      </c>
      <c r="E966">
        <f t="shared" ref="E966:E989" si="57">AO3</f>
        <v>186</v>
      </c>
    </row>
    <row r="967" spans="2:5" x14ac:dyDescent="0.35">
      <c r="D967" s="30" t="str">
        <f t="shared" si="55"/>
        <v>Nursing Personnel</v>
      </c>
      <c r="E967">
        <f t="shared" si="57"/>
        <v>838</v>
      </c>
    </row>
    <row r="968" spans="2:5" x14ac:dyDescent="0.35">
      <c r="D968" s="30" t="str">
        <f t="shared" si="55"/>
        <v>Midwifery personnel</v>
      </c>
      <c r="E968">
        <f t="shared" si="57"/>
        <v>0</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12754906</v>
      </c>
      <c r="D990" s="29" t="str">
        <f t="shared" si="55"/>
        <v>Medical Doctors</v>
      </c>
      <c r="E990">
        <f t="shared" ref="E990:E1013" si="58">AP3</f>
        <v>1056</v>
      </c>
    </row>
    <row r="991" spans="2:5" x14ac:dyDescent="0.35">
      <c r="D991" s="30" t="str">
        <f t="shared" si="55"/>
        <v>Nursing Personnel</v>
      </c>
      <c r="E991">
        <f t="shared" si="58"/>
        <v>6282</v>
      </c>
    </row>
    <row r="992" spans="2:5" x14ac:dyDescent="0.35">
      <c r="D992" s="30" t="str">
        <f t="shared" si="55"/>
        <v>Midwifery personnel</v>
      </c>
      <c r="E992">
        <f t="shared" si="58"/>
        <v>832</v>
      </c>
    </row>
    <row r="993" spans="4:5" x14ac:dyDescent="0.35">
      <c r="D993" s="30" t="str">
        <f t="shared" si="55"/>
        <v>Pharmacists</v>
      </c>
      <c r="E993">
        <f t="shared" si="58"/>
        <v>19687</v>
      </c>
    </row>
    <row r="994" spans="4:5" x14ac:dyDescent="0.35">
      <c r="D994" s="30" t="str">
        <f t="shared" si="55"/>
        <v>Dentists</v>
      </c>
      <c r="E994">
        <f t="shared" si="58"/>
        <v>15483</v>
      </c>
    </row>
    <row r="995" spans="4:5" x14ac:dyDescent="0.35">
      <c r="D995" s="30" t="str">
        <f t="shared" si="55"/>
        <v xml:space="preserve">Community Health Workers </v>
      </c>
      <c r="E995">
        <f t="shared" si="58"/>
        <v>0</v>
      </c>
    </row>
    <row r="996" spans="4:5" x14ac:dyDescent="0.35">
      <c r="D996" s="30" t="str">
        <f t="shared" si="55"/>
        <v>Dieticians and nutritionists</v>
      </c>
      <c r="E996">
        <f t="shared" si="58"/>
        <v>406</v>
      </c>
    </row>
    <row r="997" spans="4:5" x14ac:dyDescent="0.35">
      <c r="D997" s="30" t="str">
        <f t="shared" si="55"/>
        <v>Environmental and occupational health &amp; hygiene workers</v>
      </c>
      <c r="E997">
        <f t="shared" si="58"/>
        <v>1258</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0</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6926634.5000000009</v>
      </c>
      <c r="D1014" s="29" t="str">
        <f t="shared" si="59"/>
        <v>Medical Doctors</v>
      </c>
      <c r="E1014">
        <f t="shared" ref="E1014:E1037" si="60">AQ3</f>
        <v>49</v>
      </c>
    </row>
    <row r="1015" spans="2:5" x14ac:dyDescent="0.35">
      <c r="D1015" s="30" t="str">
        <f t="shared" si="59"/>
        <v>Nursing Personnel</v>
      </c>
      <c r="E1015">
        <f t="shared" si="60"/>
        <v>0</v>
      </c>
    </row>
    <row r="1016" spans="2:5" x14ac:dyDescent="0.35">
      <c r="D1016" s="30" t="str">
        <f t="shared" si="59"/>
        <v>Midwifery personnel</v>
      </c>
      <c r="E1016">
        <f t="shared" si="60"/>
        <v>0</v>
      </c>
    </row>
    <row r="1017" spans="2:5" x14ac:dyDescent="0.35">
      <c r="D1017" s="30" t="str">
        <f t="shared" si="59"/>
        <v>Pharmacists</v>
      </c>
      <c r="E1017">
        <f t="shared" si="60"/>
        <v>4</v>
      </c>
    </row>
    <row r="1018" spans="2:5" x14ac:dyDescent="0.35">
      <c r="D1018" s="30" t="str">
        <f t="shared" si="59"/>
        <v>Dentists</v>
      </c>
      <c r="E1018">
        <f t="shared" si="60"/>
        <v>0</v>
      </c>
    </row>
    <row r="1019" spans="2:5" x14ac:dyDescent="0.35">
      <c r="D1019" s="30" t="str">
        <f t="shared" si="59"/>
        <v xml:space="preserve">Community Health Workers </v>
      </c>
      <c r="E1019">
        <f t="shared" si="60"/>
        <v>0</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0</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0</v>
      </c>
    </row>
    <row r="1025" spans="2:5" x14ac:dyDescent="0.35">
      <c r="D1025" s="30" t="str">
        <f t="shared" si="59"/>
        <v xml:space="preserve">Medical and Pathology Laboratory scientists </v>
      </c>
      <c r="E1025">
        <f t="shared" si="60"/>
        <v>0</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0</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0</v>
      </c>
    </row>
    <row r="1030" spans="2:5" x14ac:dyDescent="0.35">
      <c r="D1030" s="30" t="str">
        <f t="shared" si="59"/>
        <v xml:space="preserve">Other non-medical professional staff </v>
      </c>
      <c r="E1030">
        <f t="shared" si="60"/>
        <v>0</v>
      </c>
    </row>
    <row r="1031" spans="2:5" x14ac:dyDescent="0.35">
      <c r="D1031" s="30" t="str">
        <f t="shared" si="59"/>
        <v xml:space="preserve">Other non-medical support staff </v>
      </c>
      <c r="E1031">
        <f t="shared" si="60"/>
        <v>0</v>
      </c>
    </row>
    <row r="1032" spans="2:5" x14ac:dyDescent="0.35">
      <c r="D1032" s="30" t="str">
        <f t="shared" si="59"/>
        <v xml:space="preserve">Medical and Pathology Laboratory Technicians </v>
      </c>
      <c r="E1032">
        <f t="shared" si="60"/>
        <v>0</v>
      </c>
    </row>
    <row r="1033" spans="2:5" x14ac:dyDescent="0.35">
      <c r="D1033" s="30" t="str">
        <f t="shared" si="59"/>
        <v xml:space="preserve">Paramedical Practitioners </v>
      </c>
      <c r="E1033">
        <f t="shared" si="60"/>
        <v>0</v>
      </c>
    </row>
    <row r="1034" spans="2:5" x14ac:dyDescent="0.35">
      <c r="D1034" s="30" t="str">
        <f t="shared" si="59"/>
        <v>Physiotherapists and physiotherapy assistants</v>
      </c>
      <c r="E1034">
        <f t="shared" si="60"/>
        <v>0</v>
      </c>
    </row>
    <row r="1035" spans="2:5" x14ac:dyDescent="0.35">
      <c r="D1035" s="30" t="str">
        <f t="shared" si="59"/>
        <v>Social workers</v>
      </c>
      <c r="E1035">
        <f t="shared" si="60"/>
        <v>0</v>
      </c>
    </row>
    <row r="1036" spans="2:5" x14ac:dyDescent="0.35">
      <c r="D1036" s="30" t="str">
        <f t="shared" si="59"/>
        <v xml:space="preserve">Audiologists and Speech Therapists </v>
      </c>
      <c r="E1036">
        <f t="shared" si="60"/>
        <v>0</v>
      </c>
    </row>
    <row r="1037" spans="2:5" x14ac:dyDescent="0.35">
      <c r="D1037" s="30" t="str">
        <f t="shared" si="59"/>
        <v>Traditional and complementary medicine practitioners</v>
      </c>
      <c r="E1037">
        <f t="shared" si="60"/>
        <v>0</v>
      </c>
    </row>
    <row r="1038" spans="2:5" x14ac:dyDescent="0.35">
      <c r="B1038" t="str">
        <f>AR1</f>
        <v>TZA</v>
      </c>
      <c r="C1038">
        <f>AR2</f>
        <v>47786137.499999993</v>
      </c>
      <c r="D1038" s="29" t="str">
        <f t="shared" si="59"/>
        <v>Medical Doctors</v>
      </c>
      <c r="E1038">
        <f t="shared" ref="E1038:E1061" si="61">AR3</f>
        <v>2962</v>
      </c>
    </row>
    <row r="1039" spans="2:5" x14ac:dyDescent="0.35">
      <c r="D1039" s="30" t="str">
        <f t="shared" si="59"/>
        <v>Nursing Personnel</v>
      </c>
      <c r="E1039">
        <f t="shared" si="61"/>
        <v>41600</v>
      </c>
    </row>
    <row r="1040" spans="2:5" x14ac:dyDescent="0.35">
      <c r="D1040" s="30" t="str">
        <f t="shared" si="59"/>
        <v>Midwifery personnel</v>
      </c>
      <c r="E1040">
        <f t="shared" si="61"/>
        <v>0</v>
      </c>
    </row>
    <row r="1041" spans="4:5" x14ac:dyDescent="0.35">
      <c r="D1041" s="30" t="str">
        <f t="shared" si="59"/>
        <v>Pharmacists</v>
      </c>
      <c r="E1041">
        <f t="shared" si="61"/>
        <v>20962</v>
      </c>
    </row>
    <row r="1042" spans="4:5" x14ac:dyDescent="0.35">
      <c r="D1042" s="30" t="str">
        <f t="shared" si="59"/>
        <v>Dentists</v>
      </c>
      <c r="E1042">
        <f t="shared" si="61"/>
        <v>9658</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0</v>
      </c>
    </row>
    <row r="1045" spans="4:5" x14ac:dyDescent="0.35">
      <c r="D1045" s="30" t="str">
        <f t="shared" si="59"/>
        <v>Environmental and occupational health &amp; hygiene workers</v>
      </c>
      <c r="E1045">
        <f t="shared" si="61"/>
        <v>3255</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60</v>
      </c>
    </row>
    <row r="1049" spans="4:5" x14ac:dyDescent="0.35">
      <c r="D1049" s="30" t="str">
        <f t="shared" si="59"/>
        <v xml:space="preserve">Medical and Pathology Laboratory scientists </v>
      </c>
      <c r="E1049">
        <f t="shared" si="61"/>
        <v>89</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223</v>
      </c>
    </row>
    <row r="1052" spans="4:5" x14ac:dyDescent="0.35">
      <c r="D1052" s="30" t="str">
        <f t="shared" si="59"/>
        <v xml:space="preserve">Medical Records and Health Information Technicians </v>
      </c>
      <c r="E1052">
        <f t="shared" si="61"/>
        <v>470</v>
      </c>
    </row>
    <row r="1053" spans="4:5" x14ac:dyDescent="0.35">
      <c r="D1053" s="30" t="str">
        <f t="shared" si="59"/>
        <v xml:space="preserve">Optometrists and Ophthalmic Opticians </v>
      </c>
      <c r="E1053">
        <f t="shared" si="61"/>
        <v>82</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1997</v>
      </c>
    </row>
    <row r="1057" spans="2:5" x14ac:dyDescent="0.35">
      <c r="D1057" s="30" t="str">
        <f t="shared" si="59"/>
        <v xml:space="preserve">Paramedical Practitioners </v>
      </c>
      <c r="E1057">
        <f t="shared" si="61"/>
        <v>8787</v>
      </c>
    </row>
    <row r="1058" spans="2:5" x14ac:dyDescent="0.35">
      <c r="D1058" s="30" t="str">
        <f t="shared" si="59"/>
        <v>Physiotherapists and physiotherapy assistants</v>
      </c>
      <c r="E1058">
        <f t="shared" si="61"/>
        <v>130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34273295.000000015</v>
      </c>
      <c r="D1062" s="29" t="str">
        <f t="shared" si="59"/>
        <v>Medical Doctors</v>
      </c>
      <c r="E1062">
        <f t="shared" ref="E1062:E1085" si="62">AS3</f>
        <v>6740</v>
      </c>
    </row>
    <row r="1063" spans="2:5" x14ac:dyDescent="0.35">
      <c r="D1063" s="30" t="str">
        <f t="shared" si="59"/>
        <v>Nursing Personnel</v>
      </c>
      <c r="E1063">
        <f t="shared" si="62"/>
        <v>81632</v>
      </c>
    </row>
    <row r="1064" spans="2:5" x14ac:dyDescent="0.35">
      <c r="D1064" s="30" t="str">
        <f t="shared" si="59"/>
        <v>Midwifery personnel</v>
      </c>
      <c r="E1064">
        <f t="shared" si="62"/>
        <v>0</v>
      </c>
    </row>
    <row r="1065" spans="2:5" x14ac:dyDescent="0.35">
      <c r="D1065" s="30" t="str">
        <f t="shared" si="59"/>
        <v>Pharmacists</v>
      </c>
      <c r="E1065">
        <f t="shared" si="62"/>
        <v>72</v>
      </c>
    </row>
    <row r="1066" spans="2:5" x14ac:dyDescent="0.35">
      <c r="D1066" s="30" t="str">
        <f t="shared" si="59"/>
        <v>Dentists</v>
      </c>
      <c r="E1066">
        <f t="shared" si="62"/>
        <v>0</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6046</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19791</v>
      </c>
    </row>
    <row r="1086" spans="2:5" x14ac:dyDescent="0.35">
      <c r="B1086" t="str">
        <f>AT1</f>
        <v>ZAF</v>
      </c>
      <c r="C1086">
        <f>AT2</f>
        <v>53145033.000000007</v>
      </c>
      <c r="D1086" s="29" t="str">
        <f t="shared" si="63"/>
        <v>Medical Doctors</v>
      </c>
      <c r="E1086">
        <f t="shared" ref="E1086:E1109" si="64">AT3</f>
        <v>0</v>
      </c>
    </row>
    <row r="1087" spans="2:5" x14ac:dyDescent="0.35">
      <c r="D1087" s="30" t="str">
        <f t="shared" si="63"/>
        <v>Nursing Personnel</v>
      </c>
      <c r="E1087">
        <f t="shared" si="64"/>
        <v>117444</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133</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8095</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3453</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171</v>
      </c>
    </row>
    <row r="1105" spans="2:5" x14ac:dyDescent="0.35">
      <c r="D1105" s="30" t="str">
        <f t="shared" si="63"/>
        <v xml:space="preserve">Paramedical Practitioners </v>
      </c>
      <c r="E1105">
        <f t="shared" si="64"/>
        <v>90</v>
      </c>
    </row>
    <row r="1106" spans="2:5" x14ac:dyDescent="0.35">
      <c r="D1106" s="30" t="str">
        <f t="shared" si="63"/>
        <v>Physiotherapists and physiotherapy assistants</v>
      </c>
      <c r="E1106">
        <f t="shared" si="64"/>
        <v>7791</v>
      </c>
    </row>
    <row r="1107" spans="2:5" x14ac:dyDescent="0.35">
      <c r="D1107" s="30" t="str">
        <f t="shared" si="63"/>
        <v>Social workers</v>
      </c>
      <c r="E1107">
        <f t="shared" si="64"/>
        <v>0</v>
      </c>
    </row>
    <row r="1108" spans="2:5" x14ac:dyDescent="0.35">
      <c r="D1108" s="30" t="str">
        <f t="shared" si="63"/>
        <v xml:space="preserve">Audiologists and Speech Therapists </v>
      </c>
      <c r="E1108">
        <f t="shared" si="64"/>
        <v>2285</v>
      </c>
    </row>
    <row r="1109" spans="2:5" x14ac:dyDescent="0.35">
      <c r="D1109" s="30" t="str">
        <f t="shared" si="63"/>
        <v>Traditional and complementary medicine practitioners</v>
      </c>
      <c r="E1109">
        <f t="shared" si="64"/>
        <v>0</v>
      </c>
    </row>
    <row r="1110" spans="2:5" x14ac:dyDescent="0.35">
      <c r="B1110" t="str">
        <f>AU1</f>
        <v>ZMB</v>
      </c>
      <c r="C1110">
        <f>AU2</f>
        <v>14744657.999999998</v>
      </c>
      <c r="D1110" s="29" t="str">
        <f t="shared" si="63"/>
        <v>Medical Doctors</v>
      </c>
      <c r="E1110">
        <f t="shared" ref="E1110:E1133" si="65">AU3</f>
        <v>156</v>
      </c>
    </row>
    <row r="1111" spans="2:5" x14ac:dyDescent="0.35">
      <c r="D1111" s="30" t="str">
        <f t="shared" si="63"/>
        <v>Nursing Personnel</v>
      </c>
      <c r="E1111">
        <f t="shared" si="65"/>
        <v>0</v>
      </c>
    </row>
    <row r="1112" spans="2:5" x14ac:dyDescent="0.35">
      <c r="D1112" s="30" t="str">
        <f t="shared" si="63"/>
        <v>Midwifery personnel</v>
      </c>
      <c r="E1112">
        <f t="shared" si="65"/>
        <v>0</v>
      </c>
    </row>
    <row r="1113" spans="2:5" x14ac:dyDescent="0.35">
      <c r="D1113" s="30" t="str">
        <f t="shared" si="63"/>
        <v>Pharmacists</v>
      </c>
      <c r="E1113">
        <f t="shared" si="65"/>
        <v>0</v>
      </c>
    </row>
    <row r="1114" spans="2:5" x14ac:dyDescent="0.35">
      <c r="D1114" s="30" t="str">
        <f t="shared" si="63"/>
        <v>Dentists</v>
      </c>
      <c r="E1114">
        <f t="shared" si="65"/>
        <v>0</v>
      </c>
    </row>
    <row r="1115" spans="2:5" x14ac:dyDescent="0.35">
      <c r="D1115" s="30" t="str">
        <f t="shared" si="63"/>
        <v xml:space="preserve">Community Health Workers </v>
      </c>
      <c r="E1115">
        <f t="shared" si="65"/>
        <v>0</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53</v>
      </c>
    </row>
    <row r="1121" spans="2:5" x14ac:dyDescent="0.35">
      <c r="D1121" s="30" t="str">
        <f t="shared" si="63"/>
        <v xml:space="preserve">Medical and Pathology Laboratory scientists </v>
      </c>
      <c r="E1121">
        <f t="shared" si="65"/>
        <v>184</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500</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18</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1126</v>
      </c>
    </row>
    <row r="1129" spans="2:5" x14ac:dyDescent="0.35">
      <c r="D1129" s="30" t="str">
        <f t="shared" si="63"/>
        <v xml:space="preserve">Paramedical Practitioners </v>
      </c>
      <c r="E1129">
        <f t="shared" si="65"/>
        <v>3141</v>
      </c>
    </row>
    <row r="1130" spans="2:5" x14ac:dyDescent="0.35">
      <c r="D1130" s="30" t="str">
        <f t="shared" si="63"/>
        <v>Physiotherapists and physiotherapy assistants</v>
      </c>
      <c r="E1130">
        <f t="shared" si="65"/>
        <v>485</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13265331.000000002</v>
      </c>
      <c r="D1134" s="29" t="str">
        <f t="shared" ref="D1134:D1180" si="66">D1110</f>
        <v>Medical Doctors</v>
      </c>
      <c r="E1134">
        <f t="shared" ref="E1134:E1157" si="67">AV3</f>
        <v>2118</v>
      </c>
    </row>
    <row r="1135" spans="2:5" x14ac:dyDescent="0.35">
      <c r="D1135" s="30" t="str">
        <f t="shared" si="66"/>
        <v>Nursing Personnel</v>
      </c>
      <c r="E1135">
        <f t="shared" si="67"/>
        <v>31072</v>
      </c>
    </row>
    <row r="1136" spans="2:5" x14ac:dyDescent="0.35">
      <c r="D1136" s="30" t="str">
        <f t="shared" si="66"/>
        <v>Midwifery personnel</v>
      </c>
      <c r="E1136">
        <f t="shared" si="67"/>
        <v>0</v>
      </c>
    </row>
    <row r="1137" spans="4:5" x14ac:dyDescent="0.35">
      <c r="D1137" s="30" t="str">
        <f t="shared" si="66"/>
        <v>Pharmacists</v>
      </c>
      <c r="E1137">
        <f t="shared" si="67"/>
        <v>51</v>
      </c>
    </row>
    <row r="1138" spans="4:5" x14ac:dyDescent="0.35">
      <c r="D1138" s="30" t="str">
        <f t="shared" si="66"/>
        <v>Dentists</v>
      </c>
      <c r="E1138">
        <f t="shared" si="67"/>
        <v>30</v>
      </c>
    </row>
    <row r="1139" spans="4:5" x14ac:dyDescent="0.35">
      <c r="D1139" s="30" t="str">
        <f t="shared" si="66"/>
        <v xml:space="preserve">Community Health Workers </v>
      </c>
      <c r="E1139">
        <f t="shared" si="67"/>
        <v>0</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0</v>
      </c>
    </row>
    <row r="1143" spans="4:5" x14ac:dyDescent="0.35">
      <c r="D1143" s="30" t="str">
        <f t="shared" si="66"/>
        <v xml:space="preserve">Managerial staff </v>
      </c>
      <c r="E1143">
        <f t="shared" si="67"/>
        <v>0</v>
      </c>
    </row>
    <row r="1144" spans="4:5" x14ac:dyDescent="0.35">
      <c r="D1144" s="30" t="str">
        <f t="shared" si="66"/>
        <v xml:space="preserve">Medical and dental Prosthetic Technicians </v>
      </c>
      <c r="E1144">
        <f t="shared" si="67"/>
        <v>27</v>
      </c>
    </row>
    <row r="1145" spans="4:5" x14ac:dyDescent="0.35">
      <c r="D1145" s="30" t="str">
        <f t="shared" si="66"/>
        <v xml:space="preserve">Medical and Pathology Laboratory scientists </v>
      </c>
      <c r="E1145">
        <f t="shared" si="67"/>
        <v>352</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233</v>
      </c>
    </row>
    <row r="1148" spans="4:5" x14ac:dyDescent="0.35">
      <c r="D1148" s="30" t="str">
        <f t="shared" si="66"/>
        <v xml:space="preserve">Medical Records and Health Information Technicians </v>
      </c>
      <c r="E1148">
        <f t="shared" si="67"/>
        <v>0</v>
      </c>
    </row>
    <row r="1149" spans="4:5" x14ac:dyDescent="0.35">
      <c r="D1149" s="30" t="str">
        <f t="shared" si="66"/>
        <v xml:space="preserve">Optometrists and Ophthalmic Opticians </v>
      </c>
      <c r="E1149">
        <f t="shared" si="67"/>
        <v>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0</v>
      </c>
    </row>
    <row r="1153" spans="2:5" x14ac:dyDescent="0.35">
      <c r="D1153" s="30" t="str">
        <f t="shared" si="66"/>
        <v xml:space="preserve">Paramedical Practitioners </v>
      </c>
      <c r="E1153">
        <f t="shared" si="67"/>
        <v>0</v>
      </c>
    </row>
    <row r="1154" spans="2:5" x14ac:dyDescent="0.35">
      <c r="D1154" s="30" t="str">
        <f t="shared" si="66"/>
        <v>Physiotherapists and physiotherapy assistants</v>
      </c>
      <c r="E1154">
        <f t="shared" si="67"/>
        <v>377</v>
      </c>
    </row>
    <row r="1155" spans="2:5" x14ac:dyDescent="0.35">
      <c r="D1155" s="30" t="str">
        <f t="shared" si="66"/>
        <v>Social workers</v>
      </c>
      <c r="E1155">
        <f t="shared" si="67"/>
        <v>0</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919028967.00000012</v>
      </c>
      <c r="D1158" s="29" t="str">
        <f t="shared" si="66"/>
        <v>Medical Doctors</v>
      </c>
      <c r="E1158">
        <f t="shared" ref="E1158:E1181" si="68">AW3</f>
        <v>57929</v>
      </c>
    </row>
    <row r="1159" spans="2:5" x14ac:dyDescent="0.35">
      <c r="D1159" s="30" t="str">
        <f t="shared" si="66"/>
        <v>Nursing Personnel</v>
      </c>
      <c r="E1159">
        <f t="shared" si="68"/>
        <v>489582</v>
      </c>
    </row>
    <row r="1160" spans="2:5" x14ac:dyDescent="0.35">
      <c r="D1160" s="30" t="str">
        <f t="shared" si="66"/>
        <v>Midwifery personnel</v>
      </c>
      <c r="E1160">
        <f t="shared" si="68"/>
        <v>30860</v>
      </c>
    </row>
    <row r="1161" spans="2:5" x14ac:dyDescent="0.35">
      <c r="D1161" s="30" t="str">
        <f t="shared" si="66"/>
        <v>Pharmacists</v>
      </c>
      <c r="E1161">
        <f t="shared" si="68"/>
        <v>56286</v>
      </c>
    </row>
    <row r="1162" spans="2:5" x14ac:dyDescent="0.35">
      <c r="D1162" s="30" t="str">
        <f t="shared" si="66"/>
        <v>Dentists</v>
      </c>
      <c r="E1162">
        <f t="shared" si="68"/>
        <v>31721</v>
      </c>
    </row>
    <row r="1163" spans="2:5" x14ac:dyDescent="0.35">
      <c r="D1163" s="30" t="str">
        <f t="shared" si="66"/>
        <v xml:space="preserve">Community Health Workers </v>
      </c>
      <c r="E1163">
        <f t="shared" si="68"/>
        <v>3478</v>
      </c>
    </row>
    <row r="1164" spans="2:5" x14ac:dyDescent="0.35">
      <c r="D1164" s="30" t="str">
        <f t="shared" si="66"/>
        <v>Dieticians and nutritionists</v>
      </c>
      <c r="E1164">
        <f t="shared" si="68"/>
        <v>2888</v>
      </c>
    </row>
    <row r="1165" spans="2:5" x14ac:dyDescent="0.35">
      <c r="D1165" s="30" t="str">
        <f t="shared" si="66"/>
        <v>Environmental and occupational health &amp; hygiene workers</v>
      </c>
      <c r="E1165">
        <f t="shared" si="68"/>
        <v>17082</v>
      </c>
    </row>
    <row r="1166" spans="2:5" x14ac:dyDescent="0.35">
      <c r="D1166" s="30" t="str">
        <f t="shared" si="66"/>
        <v>Personal care workers in health service</v>
      </c>
      <c r="E1166">
        <f t="shared" si="68"/>
        <v>0</v>
      </c>
    </row>
    <row r="1167" spans="2:5" x14ac:dyDescent="0.35">
      <c r="D1167" s="30" t="str">
        <f t="shared" si="66"/>
        <v xml:space="preserve">Managerial staff </v>
      </c>
      <c r="E1167">
        <f t="shared" si="68"/>
        <v>0</v>
      </c>
    </row>
    <row r="1168" spans="2:5" x14ac:dyDescent="0.35">
      <c r="D1168" s="30" t="str">
        <f t="shared" si="66"/>
        <v xml:space="preserve">Medical and dental Prosthetic Technicians </v>
      </c>
      <c r="E1168">
        <f t="shared" si="68"/>
        <v>173</v>
      </c>
    </row>
    <row r="1169" spans="4:5" x14ac:dyDescent="0.35">
      <c r="D1169" s="30" t="str">
        <f t="shared" si="66"/>
        <v xml:space="preserve">Medical and Pathology Laboratory scientists </v>
      </c>
      <c r="E1169">
        <f t="shared" si="68"/>
        <v>758</v>
      </c>
    </row>
    <row r="1170" spans="4:5" x14ac:dyDescent="0.35">
      <c r="D1170" s="30" t="str">
        <f t="shared" si="66"/>
        <v xml:space="preserve">Medical Assistants </v>
      </c>
      <c r="E1170">
        <f t="shared" si="68"/>
        <v>0</v>
      </c>
    </row>
    <row r="1171" spans="4:5" x14ac:dyDescent="0.35">
      <c r="D1171" s="30" t="str">
        <f t="shared" si="66"/>
        <v xml:space="preserve">Medical Imaging and Therapeutic Equipment Technicians </v>
      </c>
      <c r="E1171">
        <f t="shared" si="68"/>
        <v>9668</v>
      </c>
    </row>
    <row r="1172" spans="4:5" x14ac:dyDescent="0.35">
      <c r="D1172" s="30" t="str">
        <f t="shared" si="66"/>
        <v xml:space="preserve">Medical Records and Health Information Technicians </v>
      </c>
      <c r="E1172">
        <f t="shared" si="68"/>
        <v>470</v>
      </c>
    </row>
    <row r="1173" spans="4:5" x14ac:dyDescent="0.35">
      <c r="D1173" s="30" t="str">
        <f t="shared" si="66"/>
        <v xml:space="preserve">Optometrists and Ophthalmic Opticians </v>
      </c>
      <c r="E1173">
        <f t="shared" si="68"/>
        <v>3629</v>
      </c>
    </row>
    <row r="1174" spans="4:5" x14ac:dyDescent="0.35">
      <c r="D1174" s="30" t="str">
        <f t="shared" si="66"/>
        <v xml:space="preserve">Other non-medical professional staff </v>
      </c>
      <c r="E1174">
        <f t="shared" si="68"/>
        <v>0</v>
      </c>
    </row>
    <row r="1175" spans="4:5" x14ac:dyDescent="0.35">
      <c r="D1175" s="30" t="str">
        <f t="shared" si="66"/>
        <v xml:space="preserve">Other non-medical support staff </v>
      </c>
      <c r="E1175">
        <f t="shared" si="68"/>
        <v>0</v>
      </c>
    </row>
    <row r="1176" spans="4:5" x14ac:dyDescent="0.35">
      <c r="D1176" s="30" t="str">
        <f t="shared" si="66"/>
        <v xml:space="preserve">Medical and Pathology Laboratory Technicians </v>
      </c>
      <c r="E1176">
        <f t="shared" si="68"/>
        <v>6108</v>
      </c>
    </row>
    <row r="1177" spans="4:5" x14ac:dyDescent="0.35">
      <c r="D1177" s="30" t="str">
        <f t="shared" si="66"/>
        <v xml:space="preserve">Paramedical Practitioners </v>
      </c>
      <c r="E1177">
        <f t="shared" si="68"/>
        <v>12018</v>
      </c>
    </row>
    <row r="1178" spans="4:5" x14ac:dyDescent="0.35">
      <c r="D1178" s="30" t="str">
        <f t="shared" si="66"/>
        <v>Physiotherapists and physiotherapy assistants</v>
      </c>
      <c r="E1178">
        <f t="shared" si="68"/>
        <v>9064</v>
      </c>
    </row>
    <row r="1179" spans="4:5" x14ac:dyDescent="0.35">
      <c r="D1179" s="30" t="str">
        <f t="shared" si="66"/>
        <v>Social workers</v>
      </c>
      <c r="E1179">
        <f t="shared" si="68"/>
        <v>6173</v>
      </c>
    </row>
    <row r="1180" spans="4:5" x14ac:dyDescent="0.35">
      <c r="D1180" s="30" t="str">
        <f t="shared" si="66"/>
        <v xml:space="preserve">Audiologists and Speech Therapists </v>
      </c>
      <c r="E1180">
        <f t="shared" si="68"/>
        <v>2285</v>
      </c>
    </row>
    <row r="1181" spans="4:5" x14ac:dyDescent="0.35">
      <c r="D1181" s="30" t="str">
        <f t="shared" ref="D1181" si="69">D1157</f>
        <v>Traditional and complementary medicine practitioners</v>
      </c>
      <c r="E1181">
        <f t="shared" si="68"/>
        <v>20447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0D5E-88F2-464F-ABF4-8919CD97D5E0}">
  <dimension ref="A1:AW1181"/>
  <sheetViews>
    <sheetView workbookViewId="0">
      <selection activeCell="A2" sqref="A2:XFD2"/>
    </sheetView>
  </sheetViews>
  <sheetFormatPr defaultColWidth="8.81640625" defaultRowHeight="14.5" x14ac:dyDescent="0.35"/>
  <cols>
    <col min="1" max="1" width="56.6328125" bestFit="1"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26147002.000000011</v>
      </c>
      <c r="C2">
        <v>10149577.500000002</v>
      </c>
      <c r="D2">
        <v>10308730.499999994</v>
      </c>
      <c r="E2">
        <v>17636407.5</v>
      </c>
      <c r="F2">
        <v>2217278.0000000009</v>
      </c>
      <c r="G2">
        <v>4802428.5000000065</v>
      </c>
      <c r="H2">
        <v>22469267.5</v>
      </c>
      <c r="I2">
        <v>21632850.000000004</v>
      </c>
      <c r="J2">
        <v>73460021</v>
      </c>
      <c r="K2">
        <v>4828066.5000000028</v>
      </c>
      <c r="L2">
        <v>699392.50000000035</v>
      </c>
      <c r="M2">
        <v>539939.99999999988</v>
      </c>
      <c r="N2">
        <v>38000626.500000022</v>
      </c>
      <c r="O2">
        <v>3296367</v>
      </c>
      <c r="P2">
        <v>97084366.00000003</v>
      </c>
      <c r="Q2">
        <v>1902226.5000000007</v>
      </c>
      <c r="R2">
        <v>27525596.999999989</v>
      </c>
      <c r="S2">
        <v>11055430.000000004</v>
      </c>
      <c r="T2">
        <v>2124869.5</v>
      </c>
      <c r="U2">
        <v>1697752.4999999995</v>
      </c>
      <c r="V2">
        <v>1243941.0000000002</v>
      </c>
      <c r="W2">
        <v>44792368.000000007</v>
      </c>
      <c r="X2">
        <v>4427312.4999999991</v>
      </c>
      <c r="Y2">
        <v>2073938.4999999998</v>
      </c>
      <c r="Z2">
        <v>23588073.5</v>
      </c>
      <c r="AA2">
        <v>17004032.499999996</v>
      </c>
      <c r="AB2">
        <v>25251730.999999993</v>
      </c>
      <c r="AC2">
        <v>3742958.9999999981</v>
      </c>
      <c r="AD2">
        <v>1290691.4999999998</v>
      </c>
      <c r="AE2">
        <v>16024775.499999996</v>
      </c>
      <c r="AF2">
        <v>2204510.0000000005</v>
      </c>
      <c r="AG2">
        <v>18653199</v>
      </c>
      <c r="AH2">
        <v>174726123.50000006</v>
      </c>
      <c r="AI2">
        <v>11101349.499999996</v>
      </c>
      <c r="AJ2">
        <v>13595565.499999993</v>
      </c>
      <c r="AK2">
        <v>6964858.4999999972</v>
      </c>
      <c r="AL2">
        <v>11106031.000000004</v>
      </c>
      <c r="AM2">
        <v>193756.99999999997</v>
      </c>
      <c r="AN2">
        <v>1118318.9999999998</v>
      </c>
      <c r="AO2">
        <v>96714</v>
      </c>
      <c r="AP2">
        <v>13216766.5</v>
      </c>
      <c r="AQ2">
        <v>7106229</v>
      </c>
      <c r="AR2">
        <v>49253643.5</v>
      </c>
      <c r="AS2">
        <v>35273569.999999993</v>
      </c>
      <c r="AT2">
        <v>53873616</v>
      </c>
      <c r="AU2">
        <v>15234975.999999991</v>
      </c>
      <c r="AV2">
        <v>13555421.500000011</v>
      </c>
      <c r="AW2">
        <v>944292669</v>
      </c>
    </row>
    <row r="3" spans="1:49" x14ac:dyDescent="0.35">
      <c r="A3" t="s">
        <v>135</v>
      </c>
      <c r="B3">
        <v>0</v>
      </c>
      <c r="C3">
        <v>1108</v>
      </c>
      <c r="D3">
        <v>0</v>
      </c>
      <c r="E3">
        <v>1606</v>
      </c>
      <c r="F3">
        <v>0</v>
      </c>
      <c r="G3">
        <v>0</v>
      </c>
      <c r="H3">
        <v>0</v>
      </c>
      <c r="I3">
        <v>0</v>
      </c>
      <c r="J3">
        <v>12836</v>
      </c>
      <c r="K3">
        <v>0</v>
      </c>
      <c r="L3">
        <v>0</v>
      </c>
      <c r="M3">
        <v>616</v>
      </c>
      <c r="N3">
        <v>4628</v>
      </c>
      <c r="O3">
        <v>427</v>
      </c>
      <c r="P3">
        <v>0</v>
      </c>
      <c r="Q3">
        <v>0</v>
      </c>
      <c r="R3">
        <v>5460</v>
      </c>
      <c r="S3">
        <v>0</v>
      </c>
      <c r="T3">
        <v>0</v>
      </c>
      <c r="U3">
        <v>0</v>
      </c>
      <c r="V3">
        <v>0</v>
      </c>
      <c r="W3">
        <v>17493</v>
      </c>
      <c r="X3">
        <v>0</v>
      </c>
      <c r="Y3">
        <v>0</v>
      </c>
      <c r="Z3">
        <v>7046</v>
      </c>
      <c r="AA3">
        <v>4063</v>
      </c>
      <c r="AB3">
        <v>2904</v>
      </c>
      <c r="AC3">
        <v>0</v>
      </c>
      <c r="AD3">
        <v>4092</v>
      </c>
      <c r="AE3">
        <v>400</v>
      </c>
      <c r="AF3">
        <v>113</v>
      </c>
      <c r="AG3">
        <v>1892</v>
      </c>
      <c r="AH3">
        <v>131518</v>
      </c>
      <c r="AI3">
        <v>2208</v>
      </c>
      <c r="AJ3">
        <v>42</v>
      </c>
      <c r="AK3">
        <v>0</v>
      </c>
      <c r="AL3">
        <v>32</v>
      </c>
      <c r="AM3">
        <v>0</v>
      </c>
      <c r="AN3">
        <v>0</v>
      </c>
      <c r="AO3">
        <v>0</v>
      </c>
      <c r="AP3">
        <v>1146</v>
      </c>
      <c r="AQ3">
        <v>53</v>
      </c>
      <c r="AR3">
        <v>0</v>
      </c>
      <c r="AS3">
        <v>0</v>
      </c>
      <c r="AT3">
        <v>0</v>
      </c>
      <c r="AU3">
        <v>0</v>
      </c>
      <c r="AV3">
        <v>2228</v>
      </c>
      <c r="AW3">
        <v>201911</v>
      </c>
    </row>
    <row r="4" spans="1:49" x14ac:dyDescent="0.35">
      <c r="A4" t="s">
        <v>139</v>
      </c>
      <c r="B4">
        <v>0</v>
      </c>
      <c r="C4">
        <v>13146</v>
      </c>
      <c r="D4">
        <v>9760</v>
      </c>
      <c r="E4">
        <v>12392</v>
      </c>
      <c r="F4">
        <v>0</v>
      </c>
      <c r="G4">
        <v>0</v>
      </c>
      <c r="H4">
        <v>17560</v>
      </c>
      <c r="I4">
        <v>0</v>
      </c>
      <c r="J4">
        <v>119626</v>
      </c>
      <c r="K4">
        <v>6578</v>
      </c>
      <c r="L4">
        <v>0</v>
      </c>
      <c r="M4">
        <v>806</v>
      </c>
      <c r="N4">
        <v>0</v>
      </c>
      <c r="O4">
        <v>8524</v>
      </c>
      <c r="P4">
        <v>0</v>
      </c>
      <c r="Q4">
        <v>0</v>
      </c>
      <c r="R4">
        <v>0</v>
      </c>
      <c r="S4">
        <v>0</v>
      </c>
      <c r="T4">
        <v>0</v>
      </c>
      <c r="U4">
        <v>1468</v>
      </c>
      <c r="V4">
        <v>0</v>
      </c>
      <c r="W4">
        <v>80584</v>
      </c>
      <c r="X4">
        <v>0</v>
      </c>
      <c r="Y4">
        <v>0</v>
      </c>
      <c r="Z4">
        <v>6876</v>
      </c>
      <c r="AA4">
        <v>0</v>
      </c>
      <c r="AB4">
        <v>12864</v>
      </c>
      <c r="AC4">
        <v>0</v>
      </c>
      <c r="AD4">
        <v>7926</v>
      </c>
      <c r="AE4">
        <v>7090</v>
      </c>
      <c r="AF4">
        <v>8220</v>
      </c>
      <c r="AG4">
        <v>6578</v>
      </c>
      <c r="AH4">
        <v>149840</v>
      </c>
      <c r="AI4">
        <v>0</v>
      </c>
      <c r="AJ4">
        <v>0</v>
      </c>
      <c r="AK4">
        <v>12212</v>
      </c>
      <c r="AL4">
        <v>0</v>
      </c>
      <c r="AM4">
        <v>0</v>
      </c>
      <c r="AN4">
        <v>7470</v>
      </c>
      <c r="AO4">
        <v>0</v>
      </c>
      <c r="AP4">
        <v>7212</v>
      </c>
      <c r="AQ4">
        <v>0</v>
      </c>
      <c r="AR4">
        <v>0</v>
      </c>
      <c r="AS4">
        <v>80298</v>
      </c>
      <c r="AT4">
        <v>0</v>
      </c>
      <c r="AU4">
        <v>0</v>
      </c>
      <c r="AV4">
        <v>37444</v>
      </c>
      <c r="AW4">
        <v>614474</v>
      </c>
    </row>
    <row r="5" spans="1:49" x14ac:dyDescent="0.35">
      <c r="A5" t="s">
        <v>138</v>
      </c>
      <c r="B5">
        <v>60</v>
      </c>
      <c r="C5">
        <v>70</v>
      </c>
      <c r="D5">
        <v>1886</v>
      </c>
      <c r="E5">
        <v>3182</v>
      </c>
      <c r="F5">
        <v>3002</v>
      </c>
      <c r="G5">
        <v>1028</v>
      </c>
      <c r="H5">
        <v>7702</v>
      </c>
      <c r="I5">
        <v>254</v>
      </c>
      <c r="J5">
        <v>3110</v>
      </c>
      <c r="K5">
        <v>2564</v>
      </c>
      <c r="L5">
        <v>590</v>
      </c>
      <c r="M5">
        <v>0</v>
      </c>
      <c r="N5">
        <v>0</v>
      </c>
      <c r="O5">
        <v>0</v>
      </c>
      <c r="P5">
        <v>13850</v>
      </c>
      <c r="Q5">
        <v>874</v>
      </c>
      <c r="R5">
        <v>22574</v>
      </c>
      <c r="S5">
        <v>1000</v>
      </c>
      <c r="T5">
        <v>518</v>
      </c>
      <c r="U5">
        <v>306</v>
      </c>
      <c r="V5">
        <v>0</v>
      </c>
      <c r="W5">
        <v>0</v>
      </c>
      <c r="X5">
        <v>1612</v>
      </c>
      <c r="Y5">
        <v>0</v>
      </c>
      <c r="Z5">
        <v>6800</v>
      </c>
      <c r="AA5">
        <v>3922</v>
      </c>
      <c r="AB5">
        <v>8530</v>
      </c>
      <c r="AC5">
        <v>736</v>
      </c>
      <c r="AD5">
        <v>0</v>
      </c>
      <c r="AE5">
        <v>96</v>
      </c>
      <c r="AF5">
        <v>0</v>
      </c>
      <c r="AG5">
        <v>1672</v>
      </c>
      <c r="AH5">
        <v>202550</v>
      </c>
      <c r="AI5">
        <v>1244</v>
      </c>
      <c r="AJ5">
        <v>7892</v>
      </c>
      <c r="AK5">
        <v>4374</v>
      </c>
      <c r="AL5">
        <v>0</v>
      </c>
      <c r="AM5">
        <v>62</v>
      </c>
      <c r="AN5">
        <v>0</v>
      </c>
      <c r="AO5">
        <v>0</v>
      </c>
      <c r="AP5">
        <v>902</v>
      </c>
      <c r="AQ5">
        <v>1590</v>
      </c>
      <c r="AR5">
        <v>0</v>
      </c>
      <c r="AS5">
        <v>14000</v>
      </c>
      <c r="AT5">
        <v>0</v>
      </c>
      <c r="AU5">
        <v>5546</v>
      </c>
      <c r="AV5">
        <v>0</v>
      </c>
      <c r="AW5">
        <v>324098</v>
      </c>
    </row>
    <row r="6" spans="1:49" x14ac:dyDescent="0.35">
      <c r="A6" t="s">
        <v>82</v>
      </c>
      <c r="B6">
        <v>0</v>
      </c>
      <c r="C6">
        <v>0</v>
      </c>
      <c r="D6">
        <v>0</v>
      </c>
      <c r="E6">
        <v>0</v>
      </c>
      <c r="F6">
        <v>772</v>
      </c>
      <c r="G6">
        <v>382</v>
      </c>
      <c r="H6">
        <v>255</v>
      </c>
      <c r="I6">
        <v>239</v>
      </c>
      <c r="J6">
        <v>35</v>
      </c>
      <c r="K6">
        <v>0</v>
      </c>
      <c r="L6">
        <v>6</v>
      </c>
      <c r="M6">
        <v>0</v>
      </c>
      <c r="N6">
        <v>54</v>
      </c>
      <c r="O6">
        <v>0</v>
      </c>
      <c r="P6">
        <v>0</v>
      </c>
      <c r="Q6">
        <v>98</v>
      </c>
      <c r="R6">
        <v>216</v>
      </c>
      <c r="S6">
        <v>0</v>
      </c>
      <c r="T6">
        <v>0</v>
      </c>
      <c r="U6">
        <v>0</v>
      </c>
      <c r="V6">
        <v>255</v>
      </c>
      <c r="W6">
        <v>2310</v>
      </c>
      <c r="X6">
        <v>0</v>
      </c>
      <c r="Y6">
        <v>318</v>
      </c>
      <c r="Z6">
        <v>0</v>
      </c>
      <c r="AA6">
        <v>218</v>
      </c>
      <c r="AB6">
        <v>0</v>
      </c>
      <c r="AC6">
        <v>975</v>
      </c>
      <c r="AD6">
        <v>73</v>
      </c>
      <c r="AE6">
        <v>199</v>
      </c>
      <c r="AF6">
        <v>0</v>
      </c>
      <c r="AG6">
        <v>0</v>
      </c>
      <c r="AH6">
        <v>0</v>
      </c>
      <c r="AI6">
        <v>0</v>
      </c>
      <c r="AJ6">
        <v>0</v>
      </c>
      <c r="AK6">
        <v>0</v>
      </c>
      <c r="AL6">
        <v>0</v>
      </c>
      <c r="AM6">
        <v>82</v>
      </c>
      <c r="AN6">
        <v>0</v>
      </c>
      <c r="AO6">
        <v>0</v>
      </c>
      <c r="AP6">
        <v>2302</v>
      </c>
      <c r="AQ6">
        <v>0</v>
      </c>
      <c r="AR6">
        <v>0</v>
      </c>
      <c r="AS6">
        <v>0</v>
      </c>
      <c r="AT6">
        <v>0</v>
      </c>
      <c r="AU6">
        <v>460</v>
      </c>
      <c r="AV6">
        <v>0</v>
      </c>
      <c r="AW6">
        <v>9249</v>
      </c>
    </row>
    <row r="7" spans="1:49" x14ac:dyDescent="0.35">
      <c r="A7" t="s">
        <v>60</v>
      </c>
      <c r="B7">
        <v>0</v>
      </c>
      <c r="C7">
        <v>0</v>
      </c>
      <c r="D7">
        <v>0</v>
      </c>
      <c r="E7">
        <v>0</v>
      </c>
      <c r="F7">
        <v>422</v>
      </c>
      <c r="G7">
        <v>50</v>
      </c>
      <c r="H7">
        <v>4</v>
      </c>
      <c r="I7">
        <v>276</v>
      </c>
      <c r="J7">
        <v>44</v>
      </c>
      <c r="K7">
        <v>0</v>
      </c>
      <c r="L7">
        <v>181</v>
      </c>
      <c r="M7">
        <v>6365</v>
      </c>
      <c r="N7">
        <v>0</v>
      </c>
      <c r="O7">
        <v>0</v>
      </c>
      <c r="P7">
        <v>0</v>
      </c>
      <c r="Q7">
        <v>25</v>
      </c>
      <c r="R7">
        <v>21</v>
      </c>
      <c r="S7">
        <v>0</v>
      </c>
      <c r="T7">
        <v>0</v>
      </c>
      <c r="U7">
        <v>0</v>
      </c>
      <c r="V7">
        <v>73</v>
      </c>
      <c r="W7">
        <v>536</v>
      </c>
      <c r="X7">
        <v>0</v>
      </c>
      <c r="Y7">
        <v>66</v>
      </c>
      <c r="Z7">
        <v>4081</v>
      </c>
      <c r="AA7">
        <v>0</v>
      </c>
      <c r="AB7">
        <v>0</v>
      </c>
      <c r="AC7">
        <v>209</v>
      </c>
      <c r="AD7">
        <v>27</v>
      </c>
      <c r="AE7">
        <v>88</v>
      </c>
      <c r="AF7">
        <v>0</v>
      </c>
      <c r="AG7">
        <v>0</v>
      </c>
      <c r="AH7">
        <v>0</v>
      </c>
      <c r="AI7">
        <v>0</v>
      </c>
      <c r="AJ7">
        <v>0</v>
      </c>
      <c r="AK7">
        <v>0</v>
      </c>
      <c r="AL7">
        <v>0</v>
      </c>
      <c r="AM7">
        <v>22</v>
      </c>
      <c r="AN7">
        <v>0</v>
      </c>
      <c r="AO7">
        <v>0</v>
      </c>
      <c r="AP7">
        <v>1652</v>
      </c>
      <c r="AQ7">
        <v>0</v>
      </c>
      <c r="AR7">
        <v>0</v>
      </c>
      <c r="AS7">
        <v>0</v>
      </c>
      <c r="AT7">
        <v>0</v>
      </c>
      <c r="AU7">
        <v>351</v>
      </c>
      <c r="AV7">
        <v>0</v>
      </c>
      <c r="AW7">
        <v>14493</v>
      </c>
    </row>
    <row r="8" spans="1:49" x14ac:dyDescent="0.35">
      <c r="A8" t="s">
        <v>127</v>
      </c>
      <c r="R8">
        <v>5293</v>
      </c>
      <c r="AB8">
        <v>1204</v>
      </c>
      <c r="AG8">
        <v>6560</v>
      </c>
      <c r="AW8">
        <v>13057</v>
      </c>
    </row>
    <row r="9" spans="1:49" x14ac:dyDescent="0.35">
      <c r="A9" t="s">
        <v>61</v>
      </c>
      <c r="B9">
        <v>0</v>
      </c>
      <c r="C9">
        <v>0</v>
      </c>
      <c r="D9">
        <v>0</v>
      </c>
      <c r="E9">
        <v>0</v>
      </c>
      <c r="F9">
        <v>668</v>
      </c>
      <c r="G9">
        <v>44</v>
      </c>
      <c r="H9">
        <v>0</v>
      </c>
      <c r="I9">
        <v>0</v>
      </c>
      <c r="J9">
        <v>0</v>
      </c>
      <c r="K9">
        <v>0</v>
      </c>
      <c r="L9">
        <v>0</v>
      </c>
      <c r="M9">
        <v>3781</v>
      </c>
      <c r="N9">
        <v>1</v>
      </c>
      <c r="O9">
        <v>0</v>
      </c>
      <c r="P9">
        <v>0</v>
      </c>
      <c r="Q9">
        <v>0</v>
      </c>
      <c r="R9">
        <v>4</v>
      </c>
      <c r="S9">
        <v>0</v>
      </c>
      <c r="T9">
        <v>0</v>
      </c>
      <c r="U9">
        <v>0</v>
      </c>
      <c r="V9">
        <v>0</v>
      </c>
      <c r="W9">
        <v>211</v>
      </c>
      <c r="X9">
        <v>0</v>
      </c>
      <c r="Y9">
        <v>11</v>
      </c>
      <c r="Z9">
        <v>0</v>
      </c>
      <c r="AA9">
        <v>0</v>
      </c>
      <c r="AB9">
        <v>0</v>
      </c>
      <c r="AC9">
        <v>35</v>
      </c>
      <c r="AD9">
        <v>0</v>
      </c>
      <c r="AE9">
        <v>0</v>
      </c>
      <c r="AF9">
        <v>0</v>
      </c>
      <c r="AG9">
        <v>0</v>
      </c>
      <c r="AH9">
        <v>0</v>
      </c>
      <c r="AI9">
        <v>0</v>
      </c>
      <c r="AJ9">
        <v>0</v>
      </c>
      <c r="AK9">
        <v>0</v>
      </c>
      <c r="AL9">
        <v>0</v>
      </c>
      <c r="AM9">
        <v>4</v>
      </c>
      <c r="AN9">
        <v>0</v>
      </c>
      <c r="AO9">
        <v>0</v>
      </c>
      <c r="AP9">
        <v>0</v>
      </c>
      <c r="AQ9">
        <v>0</v>
      </c>
      <c r="AR9">
        <v>0</v>
      </c>
      <c r="AS9">
        <v>0</v>
      </c>
      <c r="AT9">
        <v>0</v>
      </c>
      <c r="AU9">
        <v>0</v>
      </c>
      <c r="AV9">
        <v>0</v>
      </c>
      <c r="AW9">
        <v>4759</v>
      </c>
    </row>
    <row r="10" spans="1:49" x14ac:dyDescent="0.35">
      <c r="A10" t="s">
        <v>62</v>
      </c>
      <c r="B10">
        <v>0</v>
      </c>
      <c r="C10">
        <v>0</v>
      </c>
      <c r="D10">
        <v>0</v>
      </c>
      <c r="E10">
        <v>0</v>
      </c>
      <c r="F10">
        <v>166</v>
      </c>
      <c r="G10">
        <v>257</v>
      </c>
      <c r="H10">
        <v>0</v>
      </c>
      <c r="I10">
        <v>0</v>
      </c>
      <c r="J10">
        <v>0</v>
      </c>
      <c r="K10">
        <v>0</v>
      </c>
      <c r="L10">
        <v>755</v>
      </c>
      <c r="M10">
        <v>3881</v>
      </c>
      <c r="N10">
        <v>0</v>
      </c>
      <c r="O10">
        <v>0</v>
      </c>
      <c r="P10">
        <v>0</v>
      </c>
      <c r="Q10">
        <v>296</v>
      </c>
      <c r="R10">
        <v>351</v>
      </c>
      <c r="S10">
        <v>0</v>
      </c>
      <c r="T10">
        <v>0</v>
      </c>
      <c r="U10">
        <v>0</v>
      </c>
      <c r="V10">
        <v>0</v>
      </c>
      <c r="W10">
        <v>0</v>
      </c>
      <c r="X10">
        <v>0</v>
      </c>
      <c r="Y10">
        <v>205</v>
      </c>
      <c r="Z10">
        <v>0</v>
      </c>
      <c r="AA10">
        <v>0</v>
      </c>
      <c r="AB10">
        <v>0</v>
      </c>
      <c r="AC10">
        <v>209</v>
      </c>
      <c r="AD10">
        <v>0</v>
      </c>
      <c r="AE10">
        <v>0</v>
      </c>
      <c r="AF10">
        <v>0</v>
      </c>
      <c r="AG10">
        <v>0</v>
      </c>
      <c r="AH10">
        <v>0</v>
      </c>
      <c r="AI10">
        <v>0</v>
      </c>
      <c r="AJ10">
        <v>0</v>
      </c>
      <c r="AK10">
        <v>0</v>
      </c>
      <c r="AL10">
        <v>0</v>
      </c>
      <c r="AM10">
        <v>24</v>
      </c>
      <c r="AN10">
        <v>0</v>
      </c>
      <c r="AO10">
        <v>0</v>
      </c>
      <c r="AP10">
        <v>0</v>
      </c>
      <c r="AQ10">
        <v>0</v>
      </c>
      <c r="AR10">
        <v>0</v>
      </c>
      <c r="AS10">
        <v>0</v>
      </c>
      <c r="AT10">
        <v>0</v>
      </c>
      <c r="AU10">
        <v>0</v>
      </c>
      <c r="AV10">
        <v>0</v>
      </c>
      <c r="AW10">
        <v>6144</v>
      </c>
    </row>
    <row r="11" spans="1:49" x14ac:dyDescent="0.35">
      <c r="A11" t="s">
        <v>203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row>
    <row r="12" spans="1:49" x14ac:dyDescent="0.35">
      <c r="A12" t="s">
        <v>204</v>
      </c>
    </row>
    <row r="13" spans="1:49" x14ac:dyDescent="0.35">
      <c r="A13" t="s">
        <v>205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44</v>
      </c>
      <c r="AC13">
        <v>0</v>
      </c>
      <c r="AD13">
        <v>0</v>
      </c>
      <c r="AE13">
        <v>0</v>
      </c>
      <c r="AF13">
        <v>0</v>
      </c>
      <c r="AG13">
        <v>0</v>
      </c>
      <c r="AH13">
        <v>0</v>
      </c>
      <c r="AI13">
        <v>0</v>
      </c>
      <c r="AJ13">
        <v>0</v>
      </c>
      <c r="AK13">
        <v>0</v>
      </c>
      <c r="AL13">
        <v>0</v>
      </c>
      <c r="AM13">
        <v>0</v>
      </c>
      <c r="AN13">
        <v>0</v>
      </c>
      <c r="AO13">
        <v>0</v>
      </c>
      <c r="AP13">
        <v>0</v>
      </c>
      <c r="AQ13">
        <v>0</v>
      </c>
      <c r="AR13">
        <v>0</v>
      </c>
      <c r="AS13">
        <v>0</v>
      </c>
      <c r="AT13">
        <v>0</v>
      </c>
      <c r="AU13">
        <v>0</v>
      </c>
      <c r="AV13">
        <v>26</v>
      </c>
      <c r="AW13">
        <v>70</v>
      </c>
    </row>
    <row r="14" spans="1:49" x14ac:dyDescent="0.35">
      <c r="A14" t="s">
        <v>133</v>
      </c>
      <c r="J14">
        <v>2126</v>
      </c>
      <c r="AT14">
        <v>144</v>
      </c>
      <c r="AV14">
        <v>343</v>
      </c>
      <c r="AW14">
        <v>2613</v>
      </c>
    </row>
    <row r="15" spans="1:49" x14ac:dyDescent="0.35">
      <c r="A15" t="s">
        <v>206</v>
      </c>
    </row>
    <row r="16" spans="1:49" x14ac:dyDescent="0.35">
      <c r="A16" t="s">
        <v>136</v>
      </c>
      <c r="D16">
        <v>206</v>
      </c>
      <c r="J16">
        <v>287</v>
      </c>
      <c r="AB16">
        <v>238</v>
      </c>
      <c r="AJ16">
        <v>22</v>
      </c>
      <c r="AT16">
        <v>8476</v>
      </c>
      <c r="AV16">
        <v>239</v>
      </c>
      <c r="AW16">
        <v>9468</v>
      </c>
    </row>
    <row r="17" spans="1:49" x14ac:dyDescent="0.35">
      <c r="A17" t="s">
        <v>207</v>
      </c>
    </row>
    <row r="18" spans="1:49" x14ac:dyDescent="0.35">
      <c r="A18" t="s">
        <v>141</v>
      </c>
      <c r="AB18">
        <v>115</v>
      </c>
      <c r="AT18">
        <v>3588</v>
      </c>
      <c r="AW18">
        <v>3703</v>
      </c>
    </row>
    <row r="19" spans="1:49" x14ac:dyDescent="0.35">
      <c r="A19" t="s">
        <v>208</v>
      </c>
    </row>
    <row r="20" spans="1:49" x14ac:dyDescent="0.35">
      <c r="A20" t="s">
        <v>209</v>
      </c>
    </row>
    <row r="21" spans="1:49" x14ac:dyDescent="0.35">
      <c r="A21" t="s">
        <v>134</v>
      </c>
      <c r="D21">
        <v>830</v>
      </c>
      <c r="R21">
        <v>3987</v>
      </c>
      <c r="AB21">
        <v>1465</v>
      </c>
      <c r="AJ21">
        <v>546</v>
      </c>
      <c r="AT21">
        <v>273</v>
      </c>
      <c r="AW21">
        <v>7101</v>
      </c>
    </row>
    <row r="22" spans="1:49" x14ac:dyDescent="0.35">
      <c r="A22" t="s">
        <v>142</v>
      </c>
      <c r="AJ22">
        <v>11</v>
      </c>
      <c r="AT22">
        <v>217</v>
      </c>
      <c r="AW22">
        <v>228</v>
      </c>
    </row>
    <row r="23" spans="1:49" x14ac:dyDescent="0.35">
      <c r="A23" t="s">
        <v>83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287</v>
      </c>
      <c r="AC23">
        <v>0</v>
      </c>
      <c r="AD23">
        <v>0</v>
      </c>
      <c r="AE23">
        <v>0</v>
      </c>
      <c r="AF23">
        <v>0</v>
      </c>
      <c r="AG23">
        <v>0</v>
      </c>
      <c r="AH23">
        <v>0</v>
      </c>
      <c r="AI23">
        <v>0</v>
      </c>
      <c r="AJ23">
        <v>11</v>
      </c>
      <c r="AK23">
        <v>0</v>
      </c>
      <c r="AL23">
        <v>0</v>
      </c>
      <c r="AM23">
        <v>0</v>
      </c>
      <c r="AN23">
        <v>0</v>
      </c>
      <c r="AO23">
        <v>0</v>
      </c>
      <c r="AP23">
        <v>0</v>
      </c>
      <c r="AQ23">
        <v>0</v>
      </c>
      <c r="AR23">
        <v>0</v>
      </c>
      <c r="AS23">
        <v>0</v>
      </c>
      <c r="AT23">
        <v>8185</v>
      </c>
      <c r="AU23">
        <v>0</v>
      </c>
      <c r="AV23">
        <v>419</v>
      </c>
      <c r="AW23">
        <v>8902</v>
      </c>
    </row>
    <row r="24" spans="1:49" x14ac:dyDescent="0.35">
      <c r="A24" t="s">
        <v>84</v>
      </c>
      <c r="B24">
        <v>0</v>
      </c>
      <c r="C24">
        <v>0</v>
      </c>
      <c r="D24">
        <v>0</v>
      </c>
      <c r="E24">
        <v>0</v>
      </c>
      <c r="F24">
        <v>0</v>
      </c>
      <c r="G24">
        <v>0</v>
      </c>
      <c r="H24">
        <v>0</v>
      </c>
      <c r="I24">
        <v>0</v>
      </c>
      <c r="J24">
        <v>0</v>
      </c>
      <c r="K24">
        <v>0</v>
      </c>
      <c r="L24">
        <v>0</v>
      </c>
      <c r="M24">
        <v>0</v>
      </c>
      <c r="N24">
        <v>0</v>
      </c>
      <c r="O24">
        <v>0</v>
      </c>
      <c r="P24">
        <v>0</v>
      </c>
      <c r="Q24">
        <v>0</v>
      </c>
      <c r="R24">
        <v>6118</v>
      </c>
      <c r="S24">
        <v>0</v>
      </c>
      <c r="T24">
        <v>0</v>
      </c>
      <c r="U24">
        <v>0</v>
      </c>
      <c r="V24">
        <v>0</v>
      </c>
      <c r="W24">
        <v>0</v>
      </c>
      <c r="X24">
        <v>0</v>
      </c>
      <c r="Y24">
        <v>0</v>
      </c>
      <c r="Z24">
        <v>0</v>
      </c>
      <c r="AA24">
        <v>0</v>
      </c>
      <c r="AB24">
        <v>0</v>
      </c>
      <c r="AC24">
        <v>0</v>
      </c>
      <c r="AD24">
        <v>0</v>
      </c>
      <c r="AE24">
        <v>0</v>
      </c>
      <c r="AF24">
        <v>0</v>
      </c>
      <c r="AG24">
        <v>0</v>
      </c>
      <c r="AH24">
        <v>68565</v>
      </c>
      <c r="AI24">
        <v>0</v>
      </c>
      <c r="AJ24">
        <v>0</v>
      </c>
      <c r="AK24">
        <v>0</v>
      </c>
      <c r="AL24">
        <v>0</v>
      </c>
      <c r="AM24">
        <v>0</v>
      </c>
      <c r="AN24">
        <v>0</v>
      </c>
      <c r="AO24">
        <v>0</v>
      </c>
      <c r="AP24">
        <v>0</v>
      </c>
      <c r="AQ24">
        <v>0</v>
      </c>
      <c r="AR24">
        <v>0</v>
      </c>
      <c r="AS24">
        <v>0</v>
      </c>
      <c r="AT24">
        <v>0</v>
      </c>
      <c r="AU24">
        <v>0</v>
      </c>
      <c r="AV24">
        <v>0</v>
      </c>
      <c r="AW24">
        <v>74683</v>
      </c>
    </row>
    <row r="25" spans="1:49" x14ac:dyDescent="0.35">
      <c r="A25" t="s">
        <v>126</v>
      </c>
      <c r="AT25">
        <v>2586</v>
      </c>
      <c r="AW25">
        <v>2586</v>
      </c>
    </row>
    <row r="26" spans="1:49" x14ac:dyDescent="0.35">
      <c r="A26" t="s">
        <v>87</v>
      </c>
      <c r="B26">
        <v>0</v>
      </c>
      <c r="C26">
        <v>0</v>
      </c>
      <c r="D26">
        <v>10200</v>
      </c>
      <c r="E26">
        <v>0</v>
      </c>
      <c r="F26">
        <v>0</v>
      </c>
      <c r="G26">
        <v>0</v>
      </c>
      <c r="H26">
        <v>0</v>
      </c>
      <c r="I26">
        <v>0</v>
      </c>
      <c r="J26">
        <v>0</v>
      </c>
      <c r="K26">
        <v>0</v>
      </c>
      <c r="L26">
        <v>0</v>
      </c>
      <c r="M26">
        <v>0</v>
      </c>
      <c r="N26">
        <v>0</v>
      </c>
      <c r="O26">
        <v>0</v>
      </c>
      <c r="P26">
        <v>0</v>
      </c>
      <c r="Q26">
        <v>0</v>
      </c>
      <c r="R26">
        <v>8638</v>
      </c>
      <c r="S26">
        <v>0</v>
      </c>
      <c r="T26">
        <v>0</v>
      </c>
      <c r="U26">
        <v>0</v>
      </c>
      <c r="V26">
        <v>0</v>
      </c>
      <c r="W26">
        <v>0</v>
      </c>
      <c r="X26">
        <v>0</v>
      </c>
      <c r="Y26">
        <v>0</v>
      </c>
      <c r="Z26">
        <v>0</v>
      </c>
      <c r="AA26">
        <v>0</v>
      </c>
      <c r="AB26">
        <v>0</v>
      </c>
      <c r="AC26">
        <v>0</v>
      </c>
      <c r="AD26">
        <v>0</v>
      </c>
      <c r="AE26">
        <v>0</v>
      </c>
      <c r="AF26">
        <v>0</v>
      </c>
      <c r="AG26">
        <v>0</v>
      </c>
      <c r="AH26">
        <v>262512</v>
      </c>
      <c r="AI26">
        <v>0</v>
      </c>
      <c r="AJ26">
        <v>54</v>
      </c>
      <c r="AK26">
        <v>0</v>
      </c>
      <c r="AL26">
        <v>0</v>
      </c>
      <c r="AM26">
        <v>0</v>
      </c>
      <c r="AN26">
        <v>0</v>
      </c>
      <c r="AO26">
        <v>0</v>
      </c>
      <c r="AP26">
        <v>0</v>
      </c>
      <c r="AQ26">
        <v>0</v>
      </c>
      <c r="AR26">
        <v>0</v>
      </c>
      <c r="AS26">
        <v>0</v>
      </c>
      <c r="AT26">
        <v>0</v>
      </c>
      <c r="AU26">
        <v>0</v>
      </c>
      <c r="AV26">
        <v>0</v>
      </c>
      <c r="AW26">
        <v>281404</v>
      </c>
    </row>
    <row r="29" spans="1:49" x14ac:dyDescent="0.35">
      <c r="B29" t="s">
        <v>0</v>
      </c>
      <c r="C29" t="s">
        <v>210</v>
      </c>
      <c r="D29" t="s">
        <v>211</v>
      </c>
      <c r="E29">
        <v>2012</v>
      </c>
    </row>
    <row r="30" spans="1:49" x14ac:dyDescent="0.35">
      <c r="B30" t="str">
        <f>B1</f>
        <v>AGO</v>
      </c>
      <c r="C30">
        <f>B2</f>
        <v>26147002.000000011</v>
      </c>
      <c r="D30" t="str">
        <f t="shared" ref="D30:D52" si="0">A3</f>
        <v>Medical Doctors</v>
      </c>
      <c r="E30">
        <f t="shared" ref="E30:E52" si="1">B3</f>
        <v>0</v>
      </c>
    </row>
    <row r="31" spans="1:49" x14ac:dyDescent="0.35">
      <c r="D31" t="str">
        <f t="shared" si="0"/>
        <v>Nursing Personnel</v>
      </c>
      <c r="E31">
        <f t="shared" si="1"/>
        <v>0</v>
      </c>
    </row>
    <row r="32" spans="1:49" x14ac:dyDescent="0.35">
      <c r="D32" t="str">
        <f t="shared" si="0"/>
        <v>Midwifery personnel</v>
      </c>
      <c r="E32">
        <f t="shared" si="1"/>
        <v>60</v>
      </c>
    </row>
    <row r="33" spans="4:5" x14ac:dyDescent="0.35">
      <c r="D33" t="str">
        <f t="shared" si="0"/>
        <v>Pharmacists</v>
      </c>
      <c r="E33">
        <f t="shared" si="1"/>
        <v>0</v>
      </c>
    </row>
    <row r="34" spans="4:5" x14ac:dyDescent="0.35">
      <c r="D34" t="str">
        <f t="shared" si="0"/>
        <v>Dentists</v>
      </c>
      <c r="E34">
        <f t="shared" si="1"/>
        <v>0</v>
      </c>
    </row>
    <row r="35" spans="4:5" x14ac:dyDescent="0.35">
      <c r="D35" t="str">
        <f t="shared" si="0"/>
        <v xml:space="preserve">Community Health Workers </v>
      </c>
      <c r="E35">
        <f t="shared" si="1"/>
        <v>0</v>
      </c>
    </row>
    <row r="36" spans="4:5" x14ac:dyDescent="0.35">
      <c r="D36" t="str">
        <f t="shared" si="0"/>
        <v>Dieticians and nutritionists</v>
      </c>
      <c r="E36">
        <f t="shared" si="1"/>
        <v>0</v>
      </c>
    </row>
    <row r="37" spans="4:5" x14ac:dyDescent="0.35">
      <c r="D37" t="str">
        <f t="shared" si="0"/>
        <v>Environmental and occupational health &amp; hygiene workers</v>
      </c>
      <c r="E37">
        <f t="shared" si="1"/>
        <v>0</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10149577.500000002</v>
      </c>
      <c r="D54" t="str">
        <f t="shared" ref="D54:D117" si="3">D30</f>
        <v>Medical Doctors</v>
      </c>
      <c r="E54">
        <f t="shared" ref="E54:E77" si="4">C3</f>
        <v>1108</v>
      </c>
    </row>
    <row r="55" spans="2:5" x14ac:dyDescent="0.35">
      <c r="D55" t="str">
        <f t="shared" si="3"/>
        <v>Nursing Personnel</v>
      </c>
      <c r="E55">
        <f t="shared" si="4"/>
        <v>13146</v>
      </c>
    </row>
    <row r="56" spans="2:5" x14ac:dyDescent="0.35">
      <c r="D56" t="str">
        <f t="shared" si="3"/>
        <v>Midwifery personnel</v>
      </c>
      <c r="E56">
        <f t="shared" si="4"/>
        <v>70</v>
      </c>
    </row>
    <row r="57" spans="2:5" x14ac:dyDescent="0.35">
      <c r="D57" t="str">
        <f t="shared" si="3"/>
        <v>Pharmacists</v>
      </c>
      <c r="E57">
        <f t="shared" si="4"/>
        <v>0</v>
      </c>
    </row>
    <row r="58" spans="2:5" x14ac:dyDescent="0.35">
      <c r="D58" t="str">
        <f t="shared" si="3"/>
        <v>Dentists</v>
      </c>
      <c r="E58">
        <f t="shared" si="4"/>
        <v>0</v>
      </c>
    </row>
    <row r="59" spans="2:5" x14ac:dyDescent="0.35">
      <c r="D59" t="str">
        <f t="shared" si="3"/>
        <v xml:space="preserve">Community Health Workers </v>
      </c>
      <c r="E59">
        <f t="shared" si="4"/>
        <v>0</v>
      </c>
    </row>
    <row r="60" spans="2:5" x14ac:dyDescent="0.35">
      <c r="D60" t="str">
        <f t="shared" si="3"/>
        <v>Dieticians and nutritionists</v>
      </c>
      <c r="E60">
        <f t="shared" si="4"/>
        <v>0</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10308730.499999994</v>
      </c>
      <c r="D78" t="str">
        <f t="shared" si="3"/>
        <v>Medical Doctors</v>
      </c>
      <c r="E78">
        <f t="shared" ref="E78:E101" si="5">D3</f>
        <v>0</v>
      </c>
    </row>
    <row r="79" spans="2:5" x14ac:dyDescent="0.35">
      <c r="D79" t="str">
        <f t="shared" si="3"/>
        <v>Nursing Personnel</v>
      </c>
      <c r="E79">
        <f t="shared" si="5"/>
        <v>9760</v>
      </c>
    </row>
    <row r="80" spans="2:5" x14ac:dyDescent="0.35">
      <c r="D80" t="str">
        <f t="shared" si="3"/>
        <v>Midwifery personnel</v>
      </c>
      <c r="E80">
        <f t="shared" si="5"/>
        <v>1886</v>
      </c>
    </row>
    <row r="81" spans="4:5" x14ac:dyDescent="0.35">
      <c r="D81" t="str">
        <f t="shared" si="3"/>
        <v>Pharmacists</v>
      </c>
      <c r="E81">
        <f t="shared" si="5"/>
        <v>0</v>
      </c>
    </row>
    <row r="82" spans="4:5" x14ac:dyDescent="0.35">
      <c r="D82" t="str">
        <f t="shared" si="3"/>
        <v>Dentists</v>
      </c>
      <c r="E82">
        <f t="shared" si="5"/>
        <v>0</v>
      </c>
    </row>
    <row r="83" spans="4:5" x14ac:dyDescent="0.35">
      <c r="D83" t="str">
        <f t="shared" si="3"/>
        <v xml:space="preserve">Community Health Workers </v>
      </c>
      <c r="E83">
        <f t="shared" si="5"/>
        <v>0</v>
      </c>
    </row>
    <row r="84" spans="4:5" x14ac:dyDescent="0.35">
      <c r="D84" t="str">
        <f t="shared" si="3"/>
        <v>Dieticians and nutritionists</v>
      </c>
      <c r="E84">
        <f t="shared" si="5"/>
        <v>0</v>
      </c>
    </row>
    <row r="85" spans="4:5" x14ac:dyDescent="0.35">
      <c r="D85" t="str">
        <f t="shared" si="3"/>
        <v>Environmental and occupational health &amp; hygiene workers</v>
      </c>
      <c r="E85">
        <f t="shared" si="5"/>
        <v>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206</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830</v>
      </c>
    </row>
    <row r="97" spans="2:5" x14ac:dyDescent="0.35">
      <c r="D97" t="str">
        <f t="shared" si="3"/>
        <v xml:space="preserve">Paramedical Practitioners </v>
      </c>
      <c r="E97">
        <f t="shared" si="5"/>
        <v>0</v>
      </c>
    </row>
    <row r="98" spans="2:5" x14ac:dyDescent="0.35">
      <c r="D98" t="str">
        <f t="shared" si="3"/>
        <v>Physiotherapists and physiotherapy assistants</v>
      </c>
      <c r="E98">
        <f t="shared" si="5"/>
        <v>0</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10200</v>
      </c>
    </row>
    <row r="102" spans="2:5" x14ac:dyDescent="0.35">
      <c r="B102" t="str">
        <f>E1</f>
        <v>BFA</v>
      </c>
      <c r="C102">
        <f>E2</f>
        <v>17636407.5</v>
      </c>
      <c r="D102" s="29" t="str">
        <f t="shared" si="3"/>
        <v>Medical Doctors</v>
      </c>
      <c r="E102">
        <f t="shared" ref="E102:E125" si="6">E3</f>
        <v>1606</v>
      </c>
    </row>
    <row r="103" spans="2:5" x14ac:dyDescent="0.35">
      <c r="D103" s="29" t="str">
        <f t="shared" si="3"/>
        <v>Nursing Personnel</v>
      </c>
      <c r="E103">
        <f t="shared" si="6"/>
        <v>12392</v>
      </c>
    </row>
    <row r="104" spans="2:5" x14ac:dyDescent="0.35">
      <c r="D104" s="29" t="str">
        <f t="shared" si="3"/>
        <v>Midwifery personnel</v>
      </c>
      <c r="E104">
        <f t="shared" si="6"/>
        <v>3182</v>
      </c>
    </row>
    <row r="105" spans="2:5" x14ac:dyDescent="0.35">
      <c r="D105" s="29" t="str">
        <f t="shared" si="3"/>
        <v>Pharmacists</v>
      </c>
      <c r="E105">
        <f t="shared" si="6"/>
        <v>0</v>
      </c>
    </row>
    <row r="106" spans="2:5" x14ac:dyDescent="0.35">
      <c r="D106" s="29" t="str">
        <f t="shared" si="3"/>
        <v>Dentists</v>
      </c>
      <c r="E106">
        <f t="shared" si="6"/>
        <v>0</v>
      </c>
    </row>
    <row r="107" spans="2:5" x14ac:dyDescent="0.35">
      <c r="D107" s="29" t="str">
        <f t="shared" si="3"/>
        <v xml:space="preserve">Community Health Workers </v>
      </c>
      <c r="E107">
        <f t="shared" si="6"/>
        <v>0</v>
      </c>
    </row>
    <row r="108" spans="2:5" x14ac:dyDescent="0.35">
      <c r="D108" s="29" t="str">
        <f t="shared" si="3"/>
        <v>Dieticians and nutritionists</v>
      </c>
      <c r="E108">
        <f t="shared" si="6"/>
        <v>0</v>
      </c>
    </row>
    <row r="109" spans="2:5" x14ac:dyDescent="0.35">
      <c r="D109" s="29" t="str">
        <f t="shared" si="3"/>
        <v>Environmental and occupational health &amp; hygiene workers</v>
      </c>
      <c r="E109">
        <f t="shared" si="6"/>
        <v>0</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0</v>
      </c>
    </row>
    <row r="113" spans="2:5" x14ac:dyDescent="0.35">
      <c r="D113" s="29" t="str">
        <f t="shared" si="3"/>
        <v xml:space="preserve">Medical and Pathology Laboratory scientists </v>
      </c>
      <c r="E113">
        <f t="shared" si="6"/>
        <v>0</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0</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0</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0</v>
      </c>
    </row>
    <row r="123" spans="2:5" x14ac:dyDescent="0.35">
      <c r="D123" s="29" t="str">
        <f t="shared" si="7"/>
        <v>Social workers</v>
      </c>
      <c r="E123">
        <f t="shared" si="6"/>
        <v>0</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0</v>
      </c>
    </row>
    <row r="126" spans="2:5" x14ac:dyDescent="0.35">
      <c r="B126" t="str">
        <f>F1</f>
        <v>BWA</v>
      </c>
      <c r="C126">
        <f>F2</f>
        <v>2217278.0000000009</v>
      </c>
      <c r="D126" s="29" t="str">
        <f t="shared" si="7"/>
        <v>Medical Doctors</v>
      </c>
      <c r="E126">
        <f t="shared" ref="E126:E149" si="8">F3</f>
        <v>0</v>
      </c>
    </row>
    <row r="127" spans="2:5" x14ac:dyDescent="0.35">
      <c r="D127" s="29" t="str">
        <f t="shared" si="7"/>
        <v>Nursing Personnel</v>
      </c>
      <c r="E127">
        <f t="shared" si="8"/>
        <v>0</v>
      </c>
    </row>
    <row r="128" spans="2:5" x14ac:dyDescent="0.35">
      <c r="D128" s="29" t="str">
        <f t="shared" si="7"/>
        <v>Midwifery personnel</v>
      </c>
      <c r="E128">
        <f t="shared" si="8"/>
        <v>3002</v>
      </c>
    </row>
    <row r="129" spans="4:5" x14ac:dyDescent="0.35">
      <c r="D129" s="29" t="str">
        <f t="shared" si="7"/>
        <v>Pharmacists</v>
      </c>
      <c r="E129">
        <f t="shared" si="8"/>
        <v>772</v>
      </c>
    </row>
    <row r="130" spans="4:5" x14ac:dyDescent="0.35">
      <c r="D130" s="29" t="str">
        <f t="shared" si="7"/>
        <v>Dentists</v>
      </c>
      <c r="E130">
        <f t="shared" si="8"/>
        <v>422</v>
      </c>
    </row>
    <row r="131" spans="4:5" x14ac:dyDescent="0.35">
      <c r="D131" s="29" t="str">
        <f t="shared" si="7"/>
        <v xml:space="preserve">Community Health Workers </v>
      </c>
      <c r="E131">
        <f t="shared" si="8"/>
        <v>0</v>
      </c>
    </row>
    <row r="132" spans="4:5" x14ac:dyDescent="0.35">
      <c r="D132" s="29" t="str">
        <f t="shared" si="7"/>
        <v>Dieticians and nutritionists</v>
      </c>
      <c r="E132">
        <f t="shared" si="8"/>
        <v>668</v>
      </c>
    </row>
    <row r="133" spans="4:5" x14ac:dyDescent="0.35">
      <c r="D133" s="29" t="str">
        <f t="shared" si="7"/>
        <v>Environmental and occupational health &amp; hygiene workers</v>
      </c>
      <c r="E133">
        <f t="shared" si="8"/>
        <v>166</v>
      </c>
    </row>
    <row r="134" spans="4:5" x14ac:dyDescent="0.35">
      <c r="D134" s="29" t="str">
        <f t="shared" si="7"/>
        <v>Personal care workers in health service</v>
      </c>
      <c r="E134">
        <f t="shared" si="8"/>
        <v>0</v>
      </c>
    </row>
    <row r="135" spans="4:5" x14ac:dyDescent="0.35">
      <c r="D135" s="29" t="str">
        <f t="shared" si="7"/>
        <v xml:space="preserve">Managerial staff </v>
      </c>
      <c r="E135">
        <f t="shared" si="8"/>
        <v>0</v>
      </c>
    </row>
    <row r="136" spans="4:5" x14ac:dyDescent="0.35">
      <c r="D136" s="29" t="str">
        <f t="shared" si="7"/>
        <v xml:space="preserve">Medical and dental Prosthetic Technicians </v>
      </c>
      <c r="E136">
        <f t="shared" si="8"/>
        <v>0</v>
      </c>
    </row>
    <row r="137" spans="4:5" x14ac:dyDescent="0.35">
      <c r="D137" s="29" t="str">
        <f t="shared" si="7"/>
        <v xml:space="preserve">Medical and Pathology Laboratory scientists </v>
      </c>
      <c r="E137">
        <f t="shared" si="8"/>
        <v>0</v>
      </c>
    </row>
    <row r="138" spans="4:5" x14ac:dyDescent="0.35">
      <c r="D138" s="29" t="str">
        <f t="shared" si="7"/>
        <v xml:space="preserve">Medical Assistants </v>
      </c>
      <c r="E138">
        <f t="shared" si="8"/>
        <v>0</v>
      </c>
    </row>
    <row r="139" spans="4:5" x14ac:dyDescent="0.35">
      <c r="D139" s="29" t="str">
        <f t="shared" si="7"/>
        <v xml:space="preserve">Medical Imaging and Therapeutic Equipment Technicians </v>
      </c>
      <c r="E139">
        <f t="shared" si="8"/>
        <v>0</v>
      </c>
    </row>
    <row r="140" spans="4:5" x14ac:dyDescent="0.35">
      <c r="D140" s="29" t="str">
        <f t="shared" si="7"/>
        <v xml:space="preserve">Medical Records and Health Information Technicians </v>
      </c>
      <c r="E140">
        <f t="shared" si="8"/>
        <v>0</v>
      </c>
    </row>
    <row r="141" spans="4:5" x14ac:dyDescent="0.35">
      <c r="D141" s="29" t="str">
        <f t="shared" si="7"/>
        <v xml:space="preserve">Optometrists and Ophthalmic Opticians </v>
      </c>
      <c r="E141">
        <f t="shared" si="8"/>
        <v>0</v>
      </c>
    </row>
    <row r="142" spans="4:5" x14ac:dyDescent="0.35">
      <c r="D142" s="29" t="str">
        <f t="shared" si="7"/>
        <v xml:space="preserve">Other non-medical professional staff </v>
      </c>
      <c r="E142">
        <f t="shared" si="8"/>
        <v>0</v>
      </c>
    </row>
    <row r="143" spans="4:5" x14ac:dyDescent="0.35">
      <c r="D143" s="29" t="str">
        <f t="shared" si="7"/>
        <v xml:space="preserve">Other non-medical support staff </v>
      </c>
      <c r="E143">
        <f t="shared" si="8"/>
        <v>0</v>
      </c>
    </row>
    <row r="144" spans="4:5" x14ac:dyDescent="0.35">
      <c r="D144" s="29" t="str">
        <f t="shared" si="7"/>
        <v xml:space="preserve">Medical and Pathology Laboratory Technicians </v>
      </c>
      <c r="E144">
        <f t="shared" si="8"/>
        <v>0</v>
      </c>
    </row>
    <row r="145" spans="2:5" x14ac:dyDescent="0.35">
      <c r="D145" s="29" t="str">
        <f t="shared" si="7"/>
        <v xml:space="preserve">Paramedical Practitioners </v>
      </c>
      <c r="E145">
        <f t="shared" si="8"/>
        <v>0</v>
      </c>
    </row>
    <row r="146" spans="2:5" x14ac:dyDescent="0.35">
      <c r="D146" s="29" t="str">
        <f t="shared" si="7"/>
        <v>Physiotherapists and physiotherapy assistants</v>
      </c>
      <c r="E146">
        <f t="shared" si="8"/>
        <v>0</v>
      </c>
    </row>
    <row r="147" spans="2:5" x14ac:dyDescent="0.35">
      <c r="D147" s="29" t="str">
        <f t="shared" si="7"/>
        <v>Social workers</v>
      </c>
      <c r="E147">
        <f t="shared" si="8"/>
        <v>0</v>
      </c>
    </row>
    <row r="148" spans="2:5" x14ac:dyDescent="0.35">
      <c r="D148" s="29" t="str">
        <f t="shared" si="7"/>
        <v xml:space="preserve">Audiologists and Speech Therapists </v>
      </c>
      <c r="E148">
        <f t="shared" si="8"/>
        <v>0</v>
      </c>
    </row>
    <row r="149" spans="2:5" x14ac:dyDescent="0.35">
      <c r="D149" s="29" t="str">
        <f t="shared" si="7"/>
        <v>Traditional and complementary medicine practitioners</v>
      </c>
      <c r="E149">
        <f t="shared" si="8"/>
        <v>0</v>
      </c>
    </row>
    <row r="150" spans="2:5" x14ac:dyDescent="0.35">
      <c r="B150" t="str">
        <f>G1</f>
        <v>CAF</v>
      </c>
      <c r="C150">
        <f>G2</f>
        <v>4802428.5000000065</v>
      </c>
      <c r="D150" s="30" t="str">
        <f t="shared" si="7"/>
        <v>Medical Doctors</v>
      </c>
      <c r="E150">
        <f t="shared" ref="E150:E173" si="9">G3</f>
        <v>0</v>
      </c>
    </row>
    <row r="151" spans="2:5" x14ac:dyDescent="0.35">
      <c r="D151" s="30" t="str">
        <f t="shared" si="7"/>
        <v>Nursing Personnel</v>
      </c>
      <c r="E151">
        <f t="shared" si="9"/>
        <v>0</v>
      </c>
    </row>
    <row r="152" spans="2:5" x14ac:dyDescent="0.35">
      <c r="D152" s="30" t="str">
        <f t="shared" si="7"/>
        <v>Midwifery personnel</v>
      </c>
      <c r="E152">
        <f t="shared" si="9"/>
        <v>1028</v>
      </c>
    </row>
    <row r="153" spans="2:5" x14ac:dyDescent="0.35">
      <c r="D153" s="30" t="str">
        <f t="shared" si="7"/>
        <v>Pharmacists</v>
      </c>
      <c r="E153">
        <f t="shared" si="9"/>
        <v>382</v>
      </c>
    </row>
    <row r="154" spans="2:5" x14ac:dyDescent="0.35">
      <c r="D154" s="30" t="str">
        <f t="shared" si="7"/>
        <v>Dentists</v>
      </c>
      <c r="E154">
        <f t="shared" si="9"/>
        <v>50</v>
      </c>
    </row>
    <row r="155" spans="2:5" x14ac:dyDescent="0.35">
      <c r="D155" s="30" t="str">
        <f t="shared" si="7"/>
        <v xml:space="preserve">Community Health Workers </v>
      </c>
      <c r="E155">
        <f t="shared" si="9"/>
        <v>0</v>
      </c>
    </row>
    <row r="156" spans="2:5" x14ac:dyDescent="0.35">
      <c r="D156" s="30" t="str">
        <f t="shared" si="7"/>
        <v>Dieticians and nutritionists</v>
      </c>
      <c r="E156">
        <f t="shared" si="9"/>
        <v>44</v>
      </c>
    </row>
    <row r="157" spans="2:5" x14ac:dyDescent="0.35">
      <c r="D157" s="30" t="str">
        <f t="shared" si="7"/>
        <v>Environmental and occupational health &amp; hygiene workers</v>
      </c>
      <c r="E157">
        <f t="shared" si="9"/>
        <v>257</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22469267.5</v>
      </c>
      <c r="D174" s="31" t="str">
        <f t="shared" si="7"/>
        <v>Medical Doctors</v>
      </c>
      <c r="E174">
        <f t="shared" ref="E174:E197" si="10">H3</f>
        <v>0</v>
      </c>
    </row>
    <row r="175" spans="2:5" x14ac:dyDescent="0.35">
      <c r="D175" s="30" t="str">
        <f t="shared" si="7"/>
        <v>Nursing Personnel</v>
      </c>
      <c r="E175">
        <f t="shared" si="10"/>
        <v>17560</v>
      </c>
    </row>
    <row r="176" spans="2:5" x14ac:dyDescent="0.35">
      <c r="D176" s="30" t="str">
        <f t="shared" si="7"/>
        <v>Midwifery personnel</v>
      </c>
      <c r="E176">
        <f t="shared" si="10"/>
        <v>7702</v>
      </c>
    </row>
    <row r="177" spans="4:5" x14ac:dyDescent="0.35">
      <c r="D177" s="30" t="str">
        <f t="shared" si="7"/>
        <v>Pharmacists</v>
      </c>
      <c r="E177">
        <f t="shared" si="10"/>
        <v>255</v>
      </c>
    </row>
    <row r="178" spans="4:5" x14ac:dyDescent="0.35">
      <c r="D178" s="30" t="str">
        <f t="shared" si="7"/>
        <v>Dentists</v>
      </c>
      <c r="E178">
        <f t="shared" si="10"/>
        <v>4</v>
      </c>
    </row>
    <row r="179" spans="4:5" x14ac:dyDescent="0.35">
      <c r="D179" s="30" t="str">
        <f t="shared" si="7"/>
        <v xml:space="preserve">Community Health Workers </v>
      </c>
      <c r="E179">
        <f t="shared" si="10"/>
        <v>0</v>
      </c>
    </row>
    <row r="180" spans="4:5" x14ac:dyDescent="0.35">
      <c r="D180" s="30" t="str">
        <f t="shared" si="7"/>
        <v>Dieticians and nutritionists</v>
      </c>
      <c r="E180">
        <f t="shared" si="10"/>
        <v>0</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0</v>
      </c>
    </row>
    <row r="194" spans="2:5" x14ac:dyDescent="0.35">
      <c r="D194" s="30" t="str">
        <f t="shared" si="11"/>
        <v>Physiotherapists and physiotherapy assistants</v>
      </c>
      <c r="E194">
        <f t="shared" si="10"/>
        <v>0</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21632850.000000004</v>
      </c>
      <c r="D198" s="30" t="str">
        <f t="shared" si="11"/>
        <v>Medical Doctors</v>
      </c>
      <c r="E198">
        <f t="shared" ref="E198:E221" si="12">I3</f>
        <v>0</v>
      </c>
    </row>
    <row r="199" spans="2:5" x14ac:dyDescent="0.35">
      <c r="D199" s="30" t="str">
        <f t="shared" si="11"/>
        <v>Nursing Personnel</v>
      </c>
      <c r="E199">
        <f t="shared" si="12"/>
        <v>0</v>
      </c>
    </row>
    <row r="200" spans="2:5" x14ac:dyDescent="0.35">
      <c r="D200" s="30" t="str">
        <f t="shared" si="11"/>
        <v>Midwifery personnel</v>
      </c>
      <c r="E200">
        <f t="shared" si="12"/>
        <v>254</v>
      </c>
    </row>
    <row r="201" spans="2:5" x14ac:dyDescent="0.35">
      <c r="D201" s="30" t="str">
        <f t="shared" si="11"/>
        <v>Pharmacists</v>
      </c>
      <c r="E201">
        <f t="shared" si="12"/>
        <v>239</v>
      </c>
    </row>
    <row r="202" spans="2:5" x14ac:dyDescent="0.35">
      <c r="D202" s="30" t="str">
        <f t="shared" si="11"/>
        <v>Dentists</v>
      </c>
      <c r="E202">
        <f t="shared" si="12"/>
        <v>276</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0</v>
      </c>
    </row>
    <row r="208" spans="2:5" x14ac:dyDescent="0.35">
      <c r="D208" s="30" t="str">
        <f t="shared" si="11"/>
        <v xml:space="preserve">Medical and dental Prosthetic Technicians </v>
      </c>
      <c r="E208">
        <f t="shared" si="12"/>
        <v>0</v>
      </c>
    </row>
    <row r="209" spans="2:5" x14ac:dyDescent="0.35">
      <c r="D209" s="30" t="str">
        <f t="shared" si="11"/>
        <v xml:space="preserve">Medical and Pathology Laboratory scientists </v>
      </c>
      <c r="E209">
        <f t="shared" si="12"/>
        <v>0</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0</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0</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0</v>
      </c>
    </row>
    <row r="219" spans="2:5" x14ac:dyDescent="0.35">
      <c r="D219" s="30" t="str">
        <f t="shared" si="11"/>
        <v>Social workers</v>
      </c>
      <c r="E219">
        <f t="shared" si="12"/>
        <v>0</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73460021</v>
      </c>
      <c r="D222" s="29" t="str">
        <f t="shared" si="11"/>
        <v>Medical Doctors</v>
      </c>
      <c r="E222">
        <f t="shared" ref="E222:E245" si="13">J3</f>
        <v>12836</v>
      </c>
    </row>
    <row r="223" spans="2:5" x14ac:dyDescent="0.35">
      <c r="D223" s="30" t="str">
        <f t="shared" si="11"/>
        <v>Nursing Personnel</v>
      </c>
      <c r="E223">
        <f t="shared" si="13"/>
        <v>119626</v>
      </c>
    </row>
    <row r="224" spans="2:5" x14ac:dyDescent="0.35">
      <c r="D224" s="30" t="str">
        <f t="shared" si="11"/>
        <v>Midwifery personnel</v>
      </c>
      <c r="E224">
        <f t="shared" si="13"/>
        <v>3110</v>
      </c>
    </row>
    <row r="225" spans="4:5" x14ac:dyDescent="0.35">
      <c r="D225" s="30" t="str">
        <f t="shared" si="11"/>
        <v>Pharmacists</v>
      </c>
      <c r="E225">
        <f t="shared" si="13"/>
        <v>35</v>
      </c>
    </row>
    <row r="226" spans="4:5" x14ac:dyDescent="0.35">
      <c r="D226" s="30" t="str">
        <f t="shared" si="11"/>
        <v>Dentists</v>
      </c>
      <c r="E226">
        <f t="shared" si="13"/>
        <v>44</v>
      </c>
    </row>
    <row r="227" spans="4:5" x14ac:dyDescent="0.35">
      <c r="D227" s="30" t="str">
        <f t="shared" si="11"/>
        <v xml:space="preserve">Community Health Workers </v>
      </c>
      <c r="E227">
        <f t="shared" si="13"/>
        <v>0</v>
      </c>
    </row>
    <row r="228" spans="4:5" x14ac:dyDescent="0.35">
      <c r="D228" s="30" t="str">
        <f t="shared" si="11"/>
        <v>Dieticians and nutritionists</v>
      </c>
      <c r="E228">
        <f t="shared" si="13"/>
        <v>0</v>
      </c>
    </row>
    <row r="229" spans="4:5" x14ac:dyDescent="0.35">
      <c r="D229" s="30" t="str">
        <f t="shared" si="11"/>
        <v>Environmental and occupational health &amp; hygiene workers</v>
      </c>
      <c r="E229">
        <f t="shared" si="13"/>
        <v>0</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0</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2126</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287</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0</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0</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4828066.5000000028</v>
      </c>
      <c r="D246" s="29" t="str">
        <f t="shared" ref="D246:D309" si="14">D222</f>
        <v>Medical Doctors</v>
      </c>
      <c r="E246">
        <f t="shared" ref="E246:E269" si="15">K3</f>
        <v>0</v>
      </c>
    </row>
    <row r="247" spans="2:5" x14ac:dyDescent="0.35">
      <c r="D247" s="30" t="str">
        <f t="shared" si="14"/>
        <v>Nursing Personnel</v>
      </c>
      <c r="E247">
        <f t="shared" si="15"/>
        <v>6578</v>
      </c>
    </row>
    <row r="248" spans="2:5" x14ac:dyDescent="0.35">
      <c r="D248" s="30" t="str">
        <f t="shared" si="14"/>
        <v>Midwifery personnel</v>
      </c>
      <c r="E248">
        <f t="shared" si="15"/>
        <v>2564</v>
      </c>
    </row>
    <row r="249" spans="2:5" x14ac:dyDescent="0.35">
      <c r="D249" s="30" t="str">
        <f t="shared" si="14"/>
        <v>Pharmacists</v>
      </c>
      <c r="E249">
        <f t="shared" si="15"/>
        <v>0</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699392.50000000035</v>
      </c>
      <c r="D270" s="29" t="str">
        <f t="shared" si="14"/>
        <v>Medical Doctors</v>
      </c>
      <c r="E270">
        <f t="shared" ref="E270:E293" si="16">L3</f>
        <v>0</v>
      </c>
    </row>
    <row r="271" spans="2:5" x14ac:dyDescent="0.35">
      <c r="D271" s="30" t="str">
        <f t="shared" si="14"/>
        <v>Nursing Personnel</v>
      </c>
      <c r="E271">
        <f t="shared" si="16"/>
        <v>0</v>
      </c>
    </row>
    <row r="272" spans="2:5" x14ac:dyDescent="0.35">
      <c r="D272" s="30" t="str">
        <f t="shared" si="14"/>
        <v>Midwifery personnel</v>
      </c>
      <c r="E272">
        <f t="shared" si="16"/>
        <v>590</v>
      </c>
    </row>
    <row r="273" spans="4:5" x14ac:dyDescent="0.35">
      <c r="D273" s="30" t="str">
        <f t="shared" si="14"/>
        <v>Pharmacists</v>
      </c>
      <c r="E273">
        <f t="shared" si="16"/>
        <v>6</v>
      </c>
    </row>
    <row r="274" spans="4:5" x14ac:dyDescent="0.35">
      <c r="D274" s="30" t="str">
        <f t="shared" si="14"/>
        <v>Dentists</v>
      </c>
      <c r="E274">
        <f t="shared" si="16"/>
        <v>181</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755</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0</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539939.99999999988</v>
      </c>
      <c r="D294" s="29" t="str">
        <f t="shared" si="14"/>
        <v>Medical Doctors</v>
      </c>
      <c r="E294">
        <f t="shared" ref="E294:E317" si="17">M3</f>
        <v>616</v>
      </c>
    </row>
    <row r="295" spans="2:5" x14ac:dyDescent="0.35">
      <c r="D295" s="30" t="str">
        <f t="shared" si="14"/>
        <v>Nursing Personnel</v>
      </c>
      <c r="E295">
        <f t="shared" si="17"/>
        <v>806</v>
      </c>
    </row>
    <row r="296" spans="2:5" x14ac:dyDescent="0.35">
      <c r="D296" s="30" t="str">
        <f t="shared" si="14"/>
        <v>Midwifery personnel</v>
      </c>
      <c r="E296">
        <f t="shared" si="17"/>
        <v>0</v>
      </c>
    </row>
    <row r="297" spans="2:5" x14ac:dyDescent="0.35">
      <c r="D297" s="30" t="str">
        <f t="shared" si="14"/>
        <v>Pharmacists</v>
      </c>
      <c r="E297">
        <f t="shared" si="17"/>
        <v>0</v>
      </c>
    </row>
    <row r="298" spans="2:5" x14ac:dyDescent="0.35">
      <c r="D298" s="30" t="str">
        <f t="shared" si="14"/>
        <v>Dentists</v>
      </c>
      <c r="E298">
        <f t="shared" si="17"/>
        <v>6365</v>
      </c>
    </row>
    <row r="299" spans="2:5" x14ac:dyDescent="0.35">
      <c r="D299" s="30" t="str">
        <f t="shared" si="14"/>
        <v xml:space="preserve">Community Health Workers </v>
      </c>
      <c r="E299">
        <f t="shared" si="17"/>
        <v>0</v>
      </c>
    </row>
    <row r="300" spans="2:5" x14ac:dyDescent="0.35">
      <c r="D300" s="30" t="str">
        <f t="shared" si="14"/>
        <v>Dieticians and nutritionists</v>
      </c>
      <c r="E300">
        <f t="shared" si="17"/>
        <v>3781</v>
      </c>
    </row>
    <row r="301" spans="2:5" x14ac:dyDescent="0.35">
      <c r="D301" s="30" t="str">
        <f t="shared" si="14"/>
        <v>Environmental and occupational health &amp; hygiene workers</v>
      </c>
      <c r="E301">
        <f t="shared" si="17"/>
        <v>3881</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38000626.500000022</v>
      </c>
      <c r="D318" s="29" t="str">
        <f t="shared" si="18"/>
        <v>Medical Doctors</v>
      </c>
      <c r="E318">
        <f t="shared" ref="E318:E341" si="19">N3</f>
        <v>4628</v>
      </c>
    </row>
    <row r="319" spans="2:5" x14ac:dyDescent="0.35">
      <c r="D319" s="30" t="str">
        <f t="shared" si="18"/>
        <v>Nursing Personnel</v>
      </c>
      <c r="E319">
        <f t="shared" si="19"/>
        <v>0</v>
      </c>
    </row>
    <row r="320" spans="2:5" x14ac:dyDescent="0.35">
      <c r="D320" s="30" t="str">
        <f t="shared" si="18"/>
        <v>Midwifery personnel</v>
      </c>
      <c r="E320">
        <f t="shared" si="19"/>
        <v>0</v>
      </c>
    </row>
    <row r="321" spans="4:5" x14ac:dyDescent="0.35">
      <c r="D321" s="30" t="str">
        <f t="shared" si="18"/>
        <v>Pharmacists</v>
      </c>
      <c r="E321">
        <f t="shared" si="19"/>
        <v>54</v>
      </c>
    </row>
    <row r="322" spans="4:5" x14ac:dyDescent="0.35">
      <c r="D322" s="30" t="str">
        <f t="shared" si="18"/>
        <v>Dentists</v>
      </c>
      <c r="E322">
        <f t="shared" si="19"/>
        <v>0</v>
      </c>
    </row>
    <row r="323" spans="4:5" x14ac:dyDescent="0.35">
      <c r="D323" s="30" t="str">
        <f t="shared" si="18"/>
        <v xml:space="preserve">Community Health Workers </v>
      </c>
      <c r="E323">
        <f t="shared" si="19"/>
        <v>0</v>
      </c>
    </row>
    <row r="324" spans="4:5" x14ac:dyDescent="0.35">
      <c r="D324" s="30" t="str">
        <f t="shared" si="18"/>
        <v>Dieticians and nutritionists</v>
      </c>
      <c r="E324">
        <f t="shared" si="19"/>
        <v>1</v>
      </c>
    </row>
    <row r="325" spans="4:5" x14ac:dyDescent="0.35">
      <c r="D325" s="30" t="str">
        <f t="shared" si="18"/>
        <v>Environmental and occupational health &amp; hygiene workers</v>
      </c>
      <c r="E325">
        <f t="shared" si="19"/>
        <v>0</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3296367</v>
      </c>
      <c r="D342" s="29" t="str">
        <f t="shared" si="18"/>
        <v>Medical Doctors</v>
      </c>
      <c r="E342">
        <f t="shared" ref="E342:E365" si="20">O3</f>
        <v>427</v>
      </c>
    </row>
    <row r="343" spans="2:5" x14ac:dyDescent="0.35">
      <c r="D343" s="30" t="str">
        <f t="shared" si="18"/>
        <v>Nursing Personnel</v>
      </c>
      <c r="E343">
        <f t="shared" si="20"/>
        <v>8524</v>
      </c>
    </row>
    <row r="344" spans="2:5" x14ac:dyDescent="0.35">
      <c r="D344" s="30" t="str">
        <f t="shared" si="18"/>
        <v>Midwifery personnel</v>
      </c>
      <c r="E344">
        <f t="shared" si="20"/>
        <v>0</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0</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0</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97084366.00000003</v>
      </c>
      <c r="D366" s="29" t="str">
        <f t="shared" ref="D366:D429" si="22">D342</f>
        <v>Medical Doctors</v>
      </c>
      <c r="E366">
        <f t="shared" ref="E366:E389" si="23">P3</f>
        <v>0</v>
      </c>
    </row>
    <row r="367" spans="2:5" x14ac:dyDescent="0.35">
      <c r="D367" s="30" t="str">
        <f t="shared" si="22"/>
        <v>Nursing Personnel</v>
      </c>
      <c r="E367">
        <f t="shared" si="23"/>
        <v>0</v>
      </c>
    </row>
    <row r="368" spans="2:5" x14ac:dyDescent="0.35">
      <c r="D368" s="30" t="str">
        <f t="shared" si="22"/>
        <v>Midwifery personnel</v>
      </c>
      <c r="E368">
        <f t="shared" si="23"/>
        <v>13850</v>
      </c>
    </row>
    <row r="369" spans="4:5" x14ac:dyDescent="0.35">
      <c r="D369" s="30" t="str">
        <f t="shared" si="22"/>
        <v>Pharmacists</v>
      </c>
      <c r="E369">
        <f t="shared" si="23"/>
        <v>0</v>
      </c>
    </row>
    <row r="370" spans="4:5" x14ac:dyDescent="0.35">
      <c r="D370" s="30" t="str">
        <f t="shared" si="22"/>
        <v>Dentists</v>
      </c>
      <c r="E370">
        <f t="shared" si="23"/>
        <v>0</v>
      </c>
    </row>
    <row r="371" spans="4:5" x14ac:dyDescent="0.35">
      <c r="D371" s="30" t="str">
        <f t="shared" si="22"/>
        <v xml:space="preserve">Community Health Workers </v>
      </c>
      <c r="E371">
        <f t="shared" si="23"/>
        <v>0</v>
      </c>
    </row>
    <row r="372" spans="4:5" x14ac:dyDescent="0.35">
      <c r="D372" s="30" t="str">
        <f t="shared" si="22"/>
        <v>Dieticians and nutritionists</v>
      </c>
      <c r="E372">
        <f t="shared" si="23"/>
        <v>0</v>
      </c>
    </row>
    <row r="373" spans="4:5" x14ac:dyDescent="0.35">
      <c r="D373" s="30" t="str">
        <f t="shared" si="22"/>
        <v>Environmental and occupational health &amp; hygiene workers</v>
      </c>
      <c r="E373">
        <f t="shared" si="23"/>
        <v>0</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0</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0</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1902226.5000000007</v>
      </c>
      <c r="D390" s="29" t="str">
        <f t="shared" si="22"/>
        <v>Medical Doctors</v>
      </c>
      <c r="E390">
        <f t="shared" ref="E390:E413" si="24">Q3</f>
        <v>0</v>
      </c>
    </row>
    <row r="391" spans="2:5" x14ac:dyDescent="0.35">
      <c r="D391" s="30" t="str">
        <f t="shared" si="22"/>
        <v>Nursing Personnel</v>
      </c>
      <c r="E391">
        <f t="shared" si="24"/>
        <v>0</v>
      </c>
    </row>
    <row r="392" spans="2:5" x14ac:dyDescent="0.35">
      <c r="D392" s="30" t="str">
        <f t="shared" si="22"/>
        <v>Midwifery personnel</v>
      </c>
      <c r="E392">
        <f t="shared" si="24"/>
        <v>874</v>
      </c>
    </row>
    <row r="393" spans="2:5" x14ac:dyDescent="0.35">
      <c r="D393" s="30" t="str">
        <f t="shared" si="22"/>
        <v>Pharmacists</v>
      </c>
      <c r="E393">
        <f t="shared" si="24"/>
        <v>98</v>
      </c>
    </row>
    <row r="394" spans="2:5" x14ac:dyDescent="0.35">
      <c r="D394" s="30" t="str">
        <f t="shared" si="22"/>
        <v>Dentists</v>
      </c>
      <c r="E394">
        <f t="shared" si="24"/>
        <v>25</v>
      </c>
    </row>
    <row r="395" spans="2:5" x14ac:dyDescent="0.35">
      <c r="D395" s="30" t="str">
        <f t="shared" si="22"/>
        <v xml:space="preserve">Community Health Workers </v>
      </c>
      <c r="E395">
        <f t="shared" si="24"/>
        <v>0</v>
      </c>
    </row>
    <row r="396" spans="2:5" x14ac:dyDescent="0.35">
      <c r="D396" s="30" t="str">
        <f t="shared" si="22"/>
        <v>Dieticians and nutritionists</v>
      </c>
      <c r="E396">
        <f t="shared" si="24"/>
        <v>0</v>
      </c>
    </row>
    <row r="397" spans="2:5" x14ac:dyDescent="0.35">
      <c r="D397" s="30" t="str">
        <f t="shared" si="22"/>
        <v>Environmental and occupational health &amp; hygiene workers</v>
      </c>
      <c r="E397">
        <f t="shared" si="24"/>
        <v>296</v>
      </c>
    </row>
    <row r="398" spans="2:5" x14ac:dyDescent="0.35">
      <c r="D398" s="30" t="str">
        <f t="shared" si="22"/>
        <v>Personal care workers in health service</v>
      </c>
      <c r="E398">
        <f t="shared" si="24"/>
        <v>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0</v>
      </c>
    </row>
    <row r="401" spans="2:5" x14ac:dyDescent="0.35">
      <c r="D401" s="30" t="str">
        <f t="shared" si="22"/>
        <v xml:space="preserve">Medical and Pathology Laboratory scientists </v>
      </c>
      <c r="E401">
        <f t="shared" si="24"/>
        <v>0</v>
      </c>
    </row>
    <row r="402" spans="2:5" x14ac:dyDescent="0.35">
      <c r="D402" s="30" t="str">
        <f t="shared" si="22"/>
        <v xml:space="preserve">Medical Assistants </v>
      </c>
      <c r="E402">
        <f t="shared" si="24"/>
        <v>0</v>
      </c>
    </row>
    <row r="403" spans="2:5" x14ac:dyDescent="0.35">
      <c r="D403" s="30" t="str">
        <f t="shared" si="22"/>
        <v xml:space="preserve">Medical Imaging and Therapeutic Equipment Technicians </v>
      </c>
      <c r="E403">
        <f t="shared" si="24"/>
        <v>0</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0</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0</v>
      </c>
    </row>
    <row r="409" spans="2:5" x14ac:dyDescent="0.35">
      <c r="D409" s="30" t="str">
        <f t="shared" si="22"/>
        <v xml:space="preserve">Paramedical Practitioners </v>
      </c>
      <c r="E409">
        <f t="shared" si="24"/>
        <v>0</v>
      </c>
    </row>
    <row r="410" spans="2:5" x14ac:dyDescent="0.35">
      <c r="D410" s="30" t="str">
        <f t="shared" si="22"/>
        <v>Physiotherapists and physiotherapy assistants</v>
      </c>
      <c r="E410">
        <f t="shared" si="24"/>
        <v>0</v>
      </c>
    </row>
    <row r="411" spans="2:5" x14ac:dyDescent="0.35">
      <c r="D411" s="30" t="str">
        <f t="shared" si="22"/>
        <v>Social workers</v>
      </c>
      <c r="E411">
        <f t="shared" si="24"/>
        <v>0</v>
      </c>
    </row>
    <row r="412" spans="2:5" x14ac:dyDescent="0.35">
      <c r="D412" s="30" t="str">
        <f t="shared" si="22"/>
        <v xml:space="preserve">Audiologists and Speech Therapists </v>
      </c>
      <c r="E412">
        <f t="shared" si="24"/>
        <v>0</v>
      </c>
    </row>
    <row r="413" spans="2:5" x14ac:dyDescent="0.35">
      <c r="D413" s="30" t="str">
        <f t="shared" si="22"/>
        <v>Traditional and complementary medicine practitioners</v>
      </c>
      <c r="E413">
        <f t="shared" si="24"/>
        <v>0</v>
      </c>
    </row>
    <row r="414" spans="2:5" x14ac:dyDescent="0.35">
      <c r="B414" t="str">
        <f>R1</f>
        <v>GHA</v>
      </c>
      <c r="C414">
        <f>R2</f>
        <v>27525596.999999989</v>
      </c>
      <c r="D414" s="29" t="str">
        <f t="shared" si="22"/>
        <v>Medical Doctors</v>
      </c>
      <c r="E414">
        <f t="shared" ref="E414:E437" si="25">R3</f>
        <v>5460</v>
      </c>
    </row>
    <row r="415" spans="2:5" x14ac:dyDescent="0.35">
      <c r="D415" s="30" t="str">
        <f t="shared" si="22"/>
        <v>Nursing Personnel</v>
      </c>
      <c r="E415">
        <f t="shared" si="25"/>
        <v>0</v>
      </c>
    </row>
    <row r="416" spans="2:5" x14ac:dyDescent="0.35">
      <c r="D416" s="30" t="str">
        <f t="shared" si="22"/>
        <v>Midwifery personnel</v>
      </c>
      <c r="E416">
        <f t="shared" si="25"/>
        <v>22574</v>
      </c>
    </row>
    <row r="417" spans="4:5" x14ac:dyDescent="0.35">
      <c r="D417" s="30" t="str">
        <f t="shared" si="22"/>
        <v>Pharmacists</v>
      </c>
      <c r="E417">
        <f t="shared" si="25"/>
        <v>216</v>
      </c>
    </row>
    <row r="418" spans="4:5" x14ac:dyDescent="0.35">
      <c r="D418" s="30" t="str">
        <f t="shared" si="22"/>
        <v>Dentists</v>
      </c>
      <c r="E418">
        <f t="shared" si="25"/>
        <v>21</v>
      </c>
    </row>
    <row r="419" spans="4:5" x14ac:dyDescent="0.35">
      <c r="D419" s="30" t="str">
        <f t="shared" si="22"/>
        <v xml:space="preserve">Community Health Workers </v>
      </c>
      <c r="E419">
        <f t="shared" si="25"/>
        <v>5293</v>
      </c>
    </row>
    <row r="420" spans="4:5" x14ac:dyDescent="0.35">
      <c r="D420" s="30" t="str">
        <f t="shared" si="22"/>
        <v>Dieticians and nutritionists</v>
      </c>
      <c r="E420">
        <f t="shared" si="25"/>
        <v>4</v>
      </c>
    </row>
    <row r="421" spans="4:5" x14ac:dyDescent="0.35">
      <c r="D421" s="30" t="str">
        <f t="shared" si="22"/>
        <v>Environmental and occupational health &amp; hygiene workers</v>
      </c>
      <c r="E421">
        <f t="shared" si="25"/>
        <v>351</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0</v>
      </c>
    </row>
    <row r="426" spans="4:5" x14ac:dyDescent="0.35">
      <c r="D426" s="30" t="str">
        <f t="shared" si="22"/>
        <v xml:space="preserve">Medical Assistants </v>
      </c>
      <c r="E426">
        <f t="shared" si="25"/>
        <v>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0</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3987</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0</v>
      </c>
    </row>
    <row r="435" spans="2:5" x14ac:dyDescent="0.35">
      <c r="D435" s="30" t="str">
        <f t="shared" si="26"/>
        <v>Social workers</v>
      </c>
      <c r="E435">
        <f t="shared" si="25"/>
        <v>6118</v>
      </c>
    </row>
    <row r="436" spans="2:5" x14ac:dyDescent="0.35">
      <c r="D436" s="30" t="str">
        <f t="shared" si="26"/>
        <v xml:space="preserve">Audiologists and Speech Therapists </v>
      </c>
      <c r="E436">
        <f t="shared" si="25"/>
        <v>0</v>
      </c>
    </row>
    <row r="437" spans="2:5" x14ac:dyDescent="0.35">
      <c r="D437" s="30" t="str">
        <f t="shared" si="26"/>
        <v>Traditional and complementary medicine practitioners</v>
      </c>
      <c r="E437">
        <f t="shared" si="25"/>
        <v>8638</v>
      </c>
    </row>
    <row r="438" spans="2:5" x14ac:dyDescent="0.35">
      <c r="B438" t="str">
        <f>S1</f>
        <v>GIN</v>
      </c>
      <c r="C438">
        <f>S2</f>
        <v>11055430.000000004</v>
      </c>
      <c r="D438" s="29" t="str">
        <f t="shared" si="26"/>
        <v>Medical Doctors</v>
      </c>
      <c r="E438">
        <f t="shared" ref="E438:E461" si="27">S3</f>
        <v>0</v>
      </c>
    </row>
    <row r="439" spans="2:5" x14ac:dyDescent="0.35">
      <c r="D439" s="30" t="str">
        <f t="shared" si="26"/>
        <v>Nursing Personnel</v>
      </c>
      <c r="E439">
        <f t="shared" si="27"/>
        <v>0</v>
      </c>
    </row>
    <row r="440" spans="2:5" x14ac:dyDescent="0.35">
      <c r="D440" s="30" t="str">
        <f t="shared" si="26"/>
        <v>Midwifery personnel</v>
      </c>
      <c r="E440">
        <f t="shared" si="27"/>
        <v>1000</v>
      </c>
    </row>
    <row r="441" spans="2:5" x14ac:dyDescent="0.35">
      <c r="D441" s="30" t="str">
        <f t="shared" si="26"/>
        <v>Pharmacists</v>
      </c>
      <c r="E441">
        <f t="shared" si="27"/>
        <v>0</v>
      </c>
    </row>
    <row r="442" spans="2:5" x14ac:dyDescent="0.35">
      <c r="D442" s="30" t="str">
        <f t="shared" si="26"/>
        <v>Dentists</v>
      </c>
      <c r="E442">
        <f t="shared" si="27"/>
        <v>0</v>
      </c>
    </row>
    <row r="443" spans="2:5" x14ac:dyDescent="0.35">
      <c r="D443" s="30" t="str">
        <f t="shared" si="26"/>
        <v xml:space="preserve">Community Health Workers </v>
      </c>
      <c r="E443">
        <f t="shared" si="27"/>
        <v>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2124869.5</v>
      </c>
      <c r="D462" s="29" t="str">
        <f t="shared" si="26"/>
        <v>Medical Doctors</v>
      </c>
      <c r="E462">
        <f t="shared" ref="E462:E485" si="28">T3</f>
        <v>0</v>
      </c>
    </row>
    <row r="463" spans="2:5" x14ac:dyDescent="0.35">
      <c r="D463" s="30" t="str">
        <f t="shared" si="26"/>
        <v>Nursing Personnel</v>
      </c>
      <c r="E463">
        <f t="shared" si="28"/>
        <v>0</v>
      </c>
    </row>
    <row r="464" spans="2:5" x14ac:dyDescent="0.35">
      <c r="D464" s="30" t="str">
        <f t="shared" si="26"/>
        <v>Midwifery personnel</v>
      </c>
      <c r="E464">
        <f t="shared" si="28"/>
        <v>518</v>
      </c>
    </row>
    <row r="465" spans="4:5" x14ac:dyDescent="0.35">
      <c r="D465" s="30" t="str">
        <f t="shared" si="26"/>
        <v>Pharmacists</v>
      </c>
      <c r="E465">
        <f t="shared" si="28"/>
        <v>0</v>
      </c>
    </row>
    <row r="466" spans="4:5" x14ac:dyDescent="0.35">
      <c r="D466" s="30" t="str">
        <f t="shared" si="26"/>
        <v>Dentists</v>
      </c>
      <c r="E466">
        <f t="shared" si="28"/>
        <v>0</v>
      </c>
    </row>
    <row r="467" spans="4:5" x14ac:dyDescent="0.35">
      <c r="D467" s="30" t="str">
        <f t="shared" si="26"/>
        <v xml:space="preserve">Community Health Workers </v>
      </c>
      <c r="E467">
        <f t="shared" si="28"/>
        <v>0</v>
      </c>
    </row>
    <row r="468" spans="4:5" x14ac:dyDescent="0.35">
      <c r="D468" s="30" t="str">
        <f t="shared" si="26"/>
        <v>Dieticians and nutritionists</v>
      </c>
      <c r="E468">
        <f t="shared" si="28"/>
        <v>0</v>
      </c>
    </row>
    <row r="469" spans="4:5" x14ac:dyDescent="0.35">
      <c r="D469" s="30" t="str">
        <f t="shared" si="26"/>
        <v>Environmental and occupational health &amp; hygiene workers</v>
      </c>
      <c r="E469">
        <f t="shared" si="28"/>
        <v>0</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0</v>
      </c>
    </row>
    <row r="472" spans="4:5" x14ac:dyDescent="0.35">
      <c r="D472" s="30" t="str">
        <f t="shared" si="26"/>
        <v xml:space="preserve">Medical and dental Prosthetic Technicians </v>
      </c>
      <c r="E472">
        <f t="shared" si="28"/>
        <v>0</v>
      </c>
    </row>
    <row r="473" spans="4:5" x14ac:dyDescent="0.35">
      <c r="D473" s="30" t="str">
        <f t="shared" si="26"/>
        <v xml:space="preserve">Medical and Pathology Laboratory scientists </v>
      </c>
      <c r="E473">
        <f t="shared" si="28"/>
        <v>0</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0</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0</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0</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1697752.4999999995</v>
      </c>
      <c r="D486" s="29" t="str">
        <f t="shared" si="26"/>
        <v>Medical Doctors</v>
      </c>
      <c r="E486">
        <f t="shared" ref="E486:E509" si="29">U3</f>
        <v>0</v>
      </c>
    </row>
    <row r="487" spans="2:5" x14ac:dyDescent="0.35">
      <c r="D487" s="30" t="str">
        <f t="shared" si="26"/>
        <v>Nursing Personnel</v>
      </c>
      <c r="E487">
        <f t="shared" si="29"/>
        <v>1468</v>
      </c>
    </row>
    <row r="488" spans="2:5" x14ac:dyDescent="0.35">
      <c r="D488" s="30" t="str">
        <f t="shared" si="26"/>
        <v>Midwifery personnel</v>
      </c>
      <c r="E488">
        <f t="shared" si="29"/>
        <v>306</v>
      </c>
    </row>
    <row r="489" spans="2:5" x14ac:dyDescent="0.35">
      <c r="D489" s="30" t="str">
        <f t="shared" si="26"/>
        <v>Pharmacists</v>
      </c>
      <c r="E489">
        <f t="shared" si="29"/>
        <v>0</v>
      </c>
    </row>
    <row r="490" spans="2:5" x14ac:dyDescent="0.35">
      <c r="D490" s="30" t="str">
        <f t="shared" si="26"/>
        <v>Dentists</v>
      </c>
      <c r="E490">
        <f t="shared" si="29"/>
        <v>0</v>
      </c>
    </row>
    <row r="491" spans="2:5" x14ac:dyDescent="0.35">
      <c r="D491" s="30" t="str">
        <f t="shared" si="26"/>
        <v xml:space="preserve">Community Health Workers </v>
      </c>
      <c r="E491">
        <f t="shared" si="29"/>
        <v>0</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0</v>
      </c>
    </row>
    <row r="497" spans="2:5" x14ac:dyDescent="0.35">
      <c r="D497" s="30" t="str">
        <f t="shared" si="30"/>
        <v xml:space="preserve">Medical and Pathology Laboratory scientists </v>
      </c>
      <c r="E497">
        <f t="shared" si="29"/>
        <v>0</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0</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0</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0</v>
      </c>
    </row>
    <row r="504" spans="2:5" x14ac:dyDescent="0.35">
      <c r="D504" s="30" t="str">
        <f t="shared" si="30"/>
        <v xml:space="preserve">Medical and Pathology Laboratory Technicians </v>
      </c>
      <c r="E504">
        <f t="shared" si="29"/>
        <v>0</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0</v>
      </c>
    </row>
    <row r="507" spans="2:5" x14ac:dyDescent="0.35">
      <c r="D507" s="30" t="str">
        <f t="shared" si="30"/>
        <v>Social workers</v>
      </c>
      <c r="E507">
        <f t="shared" si="29"/>
        <v>0</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1243941.0000000002</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255</v>
      </c>
    </row>
    <row r="514" spans="4:5" x14ac:dyDescent="0.35">
      <c r="D514" s="30" t="str">
        <f t="shared" si="30"/>
        <v>Dentists</v>
      </c>
      <c r="E514">
        <f t="shared" si="31"/>
        <v>73</v>
      </c>
    </row>
    <row r="515" spans="4:5" x14ac:dyDescent="0.35">
      <c r="D515" s="30" t="str">
        <f t="shared" si="30"/>
        <v xml:space="preserve">Community Health Workers </v>
      </c>
      <c r="E515">
        <f t="shared" si="31"/>
        <v>0</v>
      </c>
    </row>
    <row r="516" spans="4:5" x14ac:dyDescent="0.35">
      <c r="D516" s="30" t="str">
        <f t="shared" si="30"/>
        <v>Dieticians and nutritionists</v>
      </c>
      <c r="E516">
        <f t="shared" si="31"/>
        <v>0</v>
      </c>
    </row>
    <row r="517" spans="4:5" x14ac:dyDescent="0.35">
      <c r="D517" s="30" t="str">
        <f t="shared" si="30"/>
        <v>Environmental and occupational health &amp; hygiene workers</v>
      </c>
      <c r="E517">
        <f t="shared" si="31"/>
        <v>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44792368.000000007</v>
      </c>
      <c r="D534" s="29" t="str">
        <f t="shared" si="30"/>
        <v>Medical Doctors</v>
      </c>
      <c r="E534">
        <f t="shared" ref="E534:E557" si="32">W3</f>
        <v>17493</v>
      </c>
    </row>
    <row r="535" spans="2:5" x14ac:dyDescent="0.35">
      <c r="D535" s="30" t="str">
        <f t="shared" si="30"/>
        <v>Nursing Personnel</v>
      </c>
      <c r="E535">
        <f t="shared" si="32"/>
        <v>80584</v>
      </c>
    </row>
    <row r="536" spans="2:5" x14ac:dyDescent="0.35">
      <c r="D536" s="30" t="str">
        <f t="shared" si="30"/>
        <v>Midwifery personnel</v>
      </c>
      <c r="E536">
        <f t="shared" si="32"/>
        <v>0</v>
      </c>
    </row>
    <row r="537" spans="2:5" x14ac:dyDescent="0.35">
      <c r="D537" s="30" t="str">
        <f t="shared" si="30"/>
        <v>Pharmacists</v>
      </c>
      <c r="E537">
        <f t="shared" si="32"/>
        <v>2310</v>
      </c>
    </row>
    <row r="538" spans="2:5" x14ac:dyDescent="0.35">
      <c r="D538" s="30" t="str">
        <f t="shared" si="30"/>
        <v>Dentists</v>
      </c>
      <c r="E538">
        <f t="shared" si="32"/>
        <v>536</v>
      </c>
    </row>
    <row r="539" spans="2:5" x14ac:dyDescent="0.35">
      <c r="D539" s="30" t="str">
        <f t="shared" si="30"/>
        <v xml:space="preserve">Community Health Workers </v>
      </c>
      <c r="E539">
        <f t="shared" si="32"/>
        <v>0</v>
      </c>
    </row>
    <row r="540" spans="2:5" x14ac:dyDescent="0.35">
      <c r="D540" s="30" t="str">
        <f t="shared" si="30"/>
        <v>Dieticians and nutritionists</v>
      </c>
      <c r="E540">
        <f t="shared" si="32"/>
        <v>211</v>
      </c>
    </row>
    <row r="541" spans="2:5" x14ac:dyDescent="0.35">
      <c r="D541" s="30" t="str">
        <f t="shared" si="30"/>
        <v>Environmental and occupational health &amp; hygiene workers</v>
      </c>
      <c r="E541">
        <f t="shared" si="32"/>
        <v>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0</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0</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4427312.4999999991</v>
      </c>
      <c r="D558" s="29" t="str">
        <f t="shared" ref="D558:D621" si="33">D534</f>
        <v>Medical Doctors</v>
      </c>
      <c r="E558">
        <f t="shared" ref="E558:E581" si="34">X3</f>
        <v>0</v>
      </c>
    </row>
    <row r="559" spans="2:5" x14ac:dyDescent="0.35">
      <c r="D559" s="30" t="str">
        <f t="shared" si="33"/>
        <v>Nursing Personnel</v>
      </c>
      <c r="E559">
        <f t="shared" si="34"/>
        <v>0</v>
      </c>
    </row>
    <row r="560" spans="2:5" x14ac:dyDescent="0.35">
      <c r="D560" s="30" t="str">
        <f t="shared" si="33"/>
        <v>Midwifery personnel</v>
      </c>
      <c r="E560">
        <f t="shared" si="34"/>
        <v>1612</v>
      </c>
    </row>
    <row r="561" spans="4:5" x14ac:dyDescent="0.35">
      <c r="D561" s="30" t="str">
        <f t="shared" si="33"/>
        <v>Pharmacists</v>
      </c>
      <c r="E561">
        <f t="shared" si="34"/>
        <v>0</v>
      </c>
    </row>
    <row r="562" spans="4:5" x14ac:dyDescent="0.35">
      <c r="D562" s="30" t="str">
        <f t="shared" si="33"/>
        <v>Dentists</v>
      </c>
      <c r="E562">
        <f t="shared" si="34"/>
        <v>0</v>
      </c>
    </row>
    <row r="563" spans="4:5" x14ac:dyDescent="0.35">
      <c r="D563" s="30" t="str">
        <f t="shared" si="33"/>
        <v xml:space="preserve">Community Health Workers </v>
      </c>
      <c r="E563">
        <f t="shared" si="34"/>
        <v>0</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2073938.4999999998</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318</v>
      </c>
    </row>
    <row r="586" spans="2:5" x14ac:dyDescent="0.35">
      <c r="D586" s="30" t="str">
        <f t="shared" si="33"/>
        <v>Dentists</v>
      </c>
      <c r="E586">
        <f t="shared" si="35"/>
        <v>66</v>
      </c>
    </row>
    <row r="587" spans="2:5" x14ac:dyDescent="0.35">
      <c r="D587" s="30" t="str">
        <f t="shared" si="33"/>
        <v xml:space="preserve">Community Health Workers </v>
      </c>
      <c r="E587">
        <f t="shared" si="35"/>
        <v>0</v>
      </c>
    </row>
    <row r="588" spans="2:5" x14ac:dyDescent="0.35">
      <c r="D588" s="30" t="str">
        <f t="shared" si="33"/>
        <v>Dieticians and nutritionists</v>
      </c>
      <c r="E588">
        <f t="shared" si="35"/>
        <v>11</v>
      </c>
    </row>
    <row r="589" spans="2:5" x14ac:dyDescent="0.35">
      <c r="D589" s="30" t="str">
        <f t="shared" si="33"/>
        <v>Environmental and occupational health &amp; hygiene workers</v>
      </c>
      <c r="E589">
        <f t="shared" si="35"/>
        <v>205</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23588073.5</v>
      </c>
      <c r="D606" s="29" t="str">
        <f t="shared" si="33"/>
        <v>Medical Doctors</v>
      </c>
      <c r="E606">
        <f t="shared" ref="E606:E629" si="36">Z3</f>
        <v>7046</v>
      </c>
    </row>
    <row r="607" spans="2:5" x14ac:dyDescent="0.35">
      <c r="D607" s="30" t="str">
        <f t="shared" si="33"/>
        <v>Nursing Personnel</v>
      </c>
      <c r="E607">
        <f t="shared" si="36"/>
        <v>6876</v>
      </c>
    </row>
    <row r="608" spans="2:5" x14ac:dyDescent="0.35">
      <c r="D608" s="30" t="str">
        <f t="shared" si="33"/>
        <v>Midwifery personnel</v>
      </c>
      <c r="E608">
        <f t="shared" si="36"/>
        <v>6800</v>
      </c>
    </row>
    <row r="609" spans="4:5" x14ac:dyDescent="0.35">
      <c r="D609" s="30" t="str">
        <f t="shared" si="33"/>
        <v>Pharmacists</v>
      </c>
      <c r="E609">
        <f t="shared" si="36"/>
        <v>0</v>
      </c>
    </row>
    <row r="610" spans="4:5" x14ac:dyDescent="0.35">
      <c r="D610" s="30" t="str">
        <f t="shared" si="33"/>
        <v>Dentists</v>
      </c>
      <c r="E610">
        <f t="shared" si="36"/>
        <v>4081</v>
      </c>
    </row>
    <row r="611" spans="4:5" x14ac:dyDescent="0.35">
      <c r="D611" s="30" t="str">
        <f t="shared" si="33"/>
        <v xml:space="preserve">Community Health Workers </v>
      </c>
      <c r="E611">
        <f t="shared" si="36"/>
        <v>0</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17004032.499999996</v>
      </c>
      <c r="D630" s="29" t="str">
        <f t="shared" si="37"/>
        <v>Medical Doctors</v>
      </c>
      <c r="E630">
        <f t="shared" ref="E630:E653" si="38">AA3</f>
        <v>4063</v>
      </c>
    </row>
    <row r="631" spans="2:5" x14ac:dyDescent="0.35">
      <c r="D631" s="30" t="str">
        <f t="shared" si="37"/>
        <v>Nursing Personnel</v>
      </c>
      <c r="E631">
        <f t="shared" si="38"/>
        <v>0</v>
      </c>
    </row>
    <row r="632" spans="2:5" x14ac:dyDescent="0.35">
      <c r="D632" s="30" t="str">
        <f t="shared" si="37"/>
        <v>Midwifery personnel</v>
      </c>
      <c r="E632">
        <f t="shared" si="38"/>
        <v>3922</v>
      </c>
    </row>
    <row r="633" spans="2:5" x14ac:dyDescent="0.35">
      <c r="D633" s="30" t="str">
        <f t="shared" si="37"/>
        <v>Pharmacists</v>
      </c>
      <c r="E633">
        <f t="shared" si="38"/>
        <v>218</v>
      </c>
    </row>
    <row r="634" spans="2:5" x14ac:dyDescent="0.35">
      <c r="D634" s="30" t="str">
        <f t="shared" si="37"/>
        <v>Dentists</v>
      </c>
      <c r="E634">
        <f t="shared" si="38"/>
        <v>0</v>
      </c>
    </row>
    <row r="635" spans="2:5" x14ac:dyDescent="0.35">
      <c r="D635" s="30" t="str">
        <f t="shared" si="37"/>
        <v xml:space="preserve">Community Health Workers </v>
      </c>
      <c r="E635">
        <f t="shared" si="38"/>
        <v>0</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25251730.999999993</v>
      </c>
      <c r="D654" s="32" t="str">
        <f t="shared" si="37"/>
        <v>Medical Doctors</v>
      </c>
      <c r="E654">
        <f t="shared" ref="E654:E677" si="39">AB3</f>
        <v>2904</v>
      </c>
    </row>
    <row r="655" spans="2:5" x14ac:dyDescent="0.35">
      <c r="D655" s="30" t="str">
        <f t="shared" si="37"/>
        <v>Nursing Personnel</v>
      </c>
      <c r="E655">
        <f t="shared" si="39"/>
        <v>12864</v>
      </c>
    </row>
    <row r="656" spans="2:5" x14ac:dyDescent="0.35">
      <c r="D656" s="30" t="str">
        <f t="shared" si="37"/>
        <v>Midwifery personnel</v>
      </c>
      <c r="E656">
        <f t="shared" si="39"/>
        <v>8530</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1204</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0</v>
      </c>
    </row>
    <row r="664" spans="4:5" x14ac:dyDescent="0.35">
      <c r="D664" s="30" t="str">
        <f t="shared" si="37"/>
        <v xml:space="preserve">Medical and dental Prosthetic Technicians </v>
      </c>
      <c r="E664">
        <f t="shared" si="39"/>
        <v>44</v>
      </c>
    </row>
    <row r="665" spans="4:5" x14ac:dyDescent="0.35">
      <c r="D665" s="30" t="str">
        <f t="shared" si="37"/>
        <v xml:space="preserve">Medical and Pathology Laboratory scientists </v>
      </c>
      <c r="E665">
        <f t="shared" si="39"/>
        <v>0</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238</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115</v>
      </c>
    </row>
    <row r="670" spans="4:5" x14ac:dyDescent="0.35">
      <c r="D670" s="30" t="str">
        <f t="shared" si="37"/>
        <v xml:space="preserve">Other non-medical professional staff </v>
      </c>
      <c r="E670">
        <f t="shared" si="39"/>
        <v>0</v>
      </c>
    </row>
    <row r="671" spans="4:5" x14ac:dyDescent="0.35">
      <c r="D671" s="30" t="str">
        <f t="shared" si="37"/>
        <v xml:space="preserve">Other non-medical support staff </v>
      </c>
      <c r="E671">
        <f t="shared" si="39"/>
        <v>0</v>
      </c>
    </row>
    <row r="672" spans="4:5" x14ac:dyDescent="0.35">
      <c r="D672" s="30" t="str">
        <f t="shared" si="37"/>
        <v xml:space="preserve">Medical and Pathology Laboratory Technicians </v>
      </c>
      <c r="E672">
        <f t="shared" si="39"/>
        <v>1465</v>
      </c>
    </row>
    <row r="673" spans="2:5" x14ac:dyDescent="0.35">
      <c r="D673" s="30" t="str">
        <f t="shared" si="37"/>
        <v xml:space="preserve">Paramedical Practitioners </v>
      </c>
      <c r="E673">
        <f t="shared" si="39"/>
        <v>0</v>
      </c>
    </row>
    <row r="674" spans="2:5" x14ac:dyDescent="0.35">
      <c r="D674" s="30" t="str">
        <f t="shared" si="37"/>
        <v>Physiotherapists and physiotherapy assistants</v>
      </c>
      <c r="E674">
        <f t="shared" si="39"/>
        <v>287</v>
      </c>
    </row>
    <row r="675" spans="2:5" x14ac:dyDescent="0.35">
      <c r="D675" s="30" t="str">
        <f t="shared" si="37"/>
        <v>Social workers</v>
      </c>
      <c r="E675">
        <f t="shared" si="39"/>
        <v>0</v>
      </c>
    </row>
    <row r="676" spans="2:5" x14ac:dyDescent="0.35">
      <c r="D676" s="30" t="str">
        <f t="shared" si="37"/>
        <v xml:space="preserve">Audiologists and Speech Therapists </v>
      </c>
      <c r="E676">
        <f t="shared" si="39"/>
        <v>0</v>
      </c>
    </row>
    <row r="677" spans="2:5" x14ac:dyDescent="0.35">
      <c r="D677" s="30" t="str">
        <f t="shared" si="37"/>
        <v>Traditional and complementary medicine practitioners</v>
      </c>
      <c r="E677">
        <f t="shared" si="39"/>
        <v>0</v>
      </c>
    </row>
    <row r="678" spans="2:5" x14ac:dyDescent="0.35">
      <c r="B678" t="str">
        <f>AC1</f>
        <v>MRT</v>
      </c>
      <c r="C678">
        <f>AC2</f>
        <v>3742958.9999999981</v>
      </c>
      <c r="D678" s="29" t="str">
        <f t="shared" si="37"/>
        <v>Medical Doctors</v>
      </c>
      <c r="E678">
        <f t="shared" ref="E678:E701" si="40">AC3</f>
        <v>0</v>
      </c>
    </row>
    <row r="679" spans="2:5" x14ac:dyDescent="0.35">
      <c r="D679" s="30" t="str">
        <f t="shared" si="37"/>
        <v>Nursing Personnel</v>
      </c>
      <c r="E679">
        <f t="shared" si="40"/>
        <v>0</v>
      </c>
    </row>
    <row r="680" spans="2:5" x14ac:dyDescent="0.35">
      <c r="D680" s="30" t="str">
        <f t="shared" si="37"/>
        <v>Midwifery personnel</v>
      </c>
      <c r="E680">
        <f t="shared" si="40"/>
        <v>736</v>
      </c>
    </row>
    <row r="681" spans="2:5" x14ac:dyDescent="0.35">
      <c r="D681" s="30" t="str">
        <f t="shared" si="37"/>
        <v>Pharmacists</v>
      </c>
      <c r="E681">
        <f t="shared" si="40"/>
        <v>975</v>
      </c>
    </row>
    <row r="682" spans="2:5" x14ac:dyDescent="0.35">
      <c r="D682" s="30" t="str">
        <f t="shared" si="37"/>
        <v>Dentists</v>
      </c>
      <c r="E682">
        <f t="shared" si="40"/>
        <v>209</v>
      </c>
    </row>
    <row r="683" spans="2:5" x14ac:dyDescent="0.35">
      <c r="D683" s="30" t="str">
        <f t="shared" si="37"/>
        <v xml:space="preserve">Community Health Workers </v>
      </c>
      <c r="E683">
        <f t="shared" si="40"/>
        <v>0</v>
      </c>
    </row>
    <row r="684" spans="2:5" x14ac:dyDescent="0.35">
      <c r="D684" s="30" t="str">
        <f t="shared" si="37"/>
        <v>Dieticians and nutritionists</v>
      </c>
      <c r="E684">
        <f t="shared" si="40"/>
        <v>35</v>
      </c>
    </row>
    <row r="685" spans="2:5" x14ac:dyDescent="0.35">
      <c r="D685" s="30" t="str">
        <f t="shared" si="37"/>
        <v>Environmental and occupational health &amp; hygiene workers</v>
      </c>
      <c r="E685">
        <f t="shared" si="40"/>
        <v>209</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1290691.4999999998</v>
      </c>
      <c r="D702" s="29" t="str">
        <f t="shared" si="41"/>
        <v>Medical Doctors</v>
      </c>
      <c r="E702">
        <f t="shared" ref="E702:E725" si="42">AD3</f>
        <v>4092</v>
      </c>
    </row>
    <row r="703" spans="2:5" x14ac:dyDescent="0.35">
      <c r="D703" s="30" t="str">
        <f t="shared" si="41"/>
        <v>Nursing Personnel</v>
      </c>
      <c r="E703">
        <f t="shared" si="42"/>
        <v>7926</v>
      </c>
    </row>
    <row r="704" spans="2:5" x14ac:dyDescent="0.35">
      <c r="D704" s="30" t="str">
        <f t="shared" si="41"/>
        <v>Midwifery personnel</v>
      </c>
      <c r="E704">
        <f t="shared" si="42"/>
        <v>0</v>
      </c>
    </row>
    <row r="705" spans="4:5" x14ac:dyDescent="0.35">
      <c r="D705" s="30" t="str">
        <f t="shared" si="41"/>
        <v>Pharmacists</v>
      </c>
      <c r="E705">
        <f t="shared" si="42"/>
        <v>73</v>
      </c>
    </row>
    <row r="706" spans="4:5" x14ac:dyDescent="0.35">
      <c r="D706" s="30" t="str">
        <f t="shared" si="41"/>
        <v>Dentists</v>
      </c>
      <c r="E706">
        <f t="shared" si="42"/>
        <v>27</v>
      </c>
    </row>
    <row r="707" spans="4:5" x14ac:dyDescent="0.35">
      <c r="D707" s="30" t="str">
        <f t="shared" si="41"/>
        <v xml:space="preserve">Community Health Workers </v>
      </c>
      <c r="E707">
        <f t="shared" si="42"/>
        <v>0</v>
      </c>
    </row>
    <row r="708" spans="4:5" x14ac:dyDescent="0.35">
      <c r="D708" s="30" t="str">
        <f t="shared" si="41"/>
        <v>Dieticians and nutritionists</v>
      </c>
      <c r="E708">
        <f t="shared" si="42"/>
        <v>0</v>
      </c>
    </row>
    <row r="709" spans="4:5" x14ac:dyDescent="0.35">
      <c r="D709" s="30" t="str">
        <f t="shared" si="41"/>
        <v>Environmental and occupational health &amp; hygiene workers</v>
      </c>
      <c r="E709">
        <f t="shared" si="42"/>
        <v>0</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16024775.499999996</v>
      </c>
      <c r="D726" s="29" t="str">
        <f t="shared" si="41"/>
        <v>Medical Doctors</v>
      </c>
      <c r="E726">
        <f t="shared" ref="E726:E749" si="43">AE3</f>
        <v>400</v>
      </c>
    </row>
    <row r="727" spans="2:5" x14ac:dyDescent="0.35">
      <c r="D727" s="30" t="str">
        <f t="shared" si="41"/>
        <v>Nursing Personnel</v>
      </c>
      <c r="E727">
        <f t="shared" si="43"/>
        <v>7090</v>
      </c>
    </row>
    <row r="728" spans="2:5" x14ac:dyDescent="0.35">
      <c r="D728" s="30" t="str">
        <f t="shared" si="41"/>
        <v>Midwifery personnel</v>
      </c>
      <c r="E728">
        <f t="shared" si="43"/>
        <v>96</v>
      </c>
    </row>
    <row r="729" spans="2:5" x14ac:dyDescent="0.35">
      <c r="D729" s="30" t="str">
        <f t="shared" si="41"/>
        <v>Pharmacists</v>
      </c>
      <c r="E729">
        <f t="shared" si="43"/>
        <v>199</v>
      </c>
    </row>
    <row r="730" spans="2:5" x14ac:dyDescent="0.35">
      <c r="D730" s="30" t="str">
        <f t="shared" si="41"/>
        <v>Dentists</v>
      </c>
      <c r="E730">
        <f t="shared" si="43"/>
        <v>88</v>
      </c>
    </row>
    <row r="731" spans="2:5" x14ac:dyDescent="0.35">
      <c r="D731" s="30" t="str">
        <f t="shared" si="41"/>
        <v xml:space="preserve">Community Health Workers </v>
      </c>
      <c r="E731">
        <f t="shared" si="43"/>
        <v>0</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0</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0</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2204510.0000000005</v>
      </c>
      <c r="D750" s="29" t="str">
        <f t="shared" ref="D750:D813" si="44">D726</f>
        <v>Medical Doctors</v>
      </c>
      <c r="E750">
        <f t="shared" ref="E750:E773" si="45">AF3</f>
        <v>113</v>
      </c>
    </row>
    <row r="751" spans="2:5" x14ac:dyDescent="0.35">
      <c r="D751" s="30" t="str">
        <f t="shared" si="44"/>
        <v>Nursing Personnel</v>
      </c>
      <c r="E751">
        <f t="shared" si="45"/>
        <v>8220</v>
      </c>
    </row>
    <row r="752" spans="2:5" x14ac:dyDescent="0.35">
      <c r="D752" s="30" t="str">
        <f t="shared" si="44"/>
        <v>Midwifery personnel</v>
      </c>
      <c r="E752">
        <f t="shared" si="45"/>
        <v>0</v>
      </c>
    </row>
    <row r="753" spans="4:5" x14ac:dyDescent="0.35">
      <c r="D753" s="30" t="str">
        <f t="shared" si="44"/>
        <v>Pharmacists</v>
      </c>
      <c r="E753">
        <f t="shared" si="45"/>
        <v>0</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0</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0</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0</v>
      </c>
    </row>
    <row r="769" spans="2:5" x14ac:dyDescent="0.35">
      <c r="D769" s="30" t="str">
        <f t="shared" si="44"/>
        <v xml:space="preserve">Paramedical Practitioners </v>
      </c>
      <c r="E769">
        <f t="shared" si="45"/>
        <v>0</v>
      </c>
    </row>
    <row r="770" spans="2:5" x14ac:dyDescent="0.35">
      <c r="D770" s="30" t="str">
        <f t="shared" si="44"/>
        <v>Physiotherapists and physiotherapy assistants</v>
      </c>
      <c r="E770">
        <f t="shared" si="45"/>
        <v>0</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18653199</v>
      </c>
      <c r="D774" s="29" t="str">
        <f t="shared" si="44"/>
        <v>Medical Doctors</v>
      </c>
      <c r="E774">
        <f t="shared" ref="E774:E797" si="46">AG3</f>
        <v>1892</v>
      </c>
    </row>
    <row r="775" spans="2:5" x14ac:dyDescent="0.35">
      <c r="D775" s="30" t="str">
        <f t="shared" si="44"/>
        <v>Nursing Personnel</v>
      </c>
      <c r="E775">
        <f t="shared" si="46"/>
        <v>6578</v>
      </c>
    </row>
    <row r="776" spans="2:5" x14ac:dyDescent="0.35">
      <c r="D776" s="30" t="str">
        <f t="shared" si="44"/>
        <v>Midwifery personnel</v>
      </c>
      <c r="E776">
        <f t="shared" si="46"/>
        <v>1672</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6560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174726123.50000006</v>
      </c>
      <c r="D798" s="29" t="str">
        <f t="shared" si="44"/>
        <v>Medical Doctors</v>
      </c>
      <c r="E798">
        <f t="shared" ref="E798:E821" si="47">AH3</f>
        <v>131518</v>
      </c>
    </row>
    <row r="799" spans="2:5" x14ac:dyDescent="0.35">
      <c r="D799" s="30" t="str">
        <f t="shared" si="44"/>
        <v>Nursing Personnel</v>
      </c>
      <c r="E799">
        <f t="shared" si="47"/>
        <v>149840</v>
      </c>
    </row>
    <row r="800" spans="2:5" x14ac:dyDescent="0.35">
      <c r="D800" s="30" t="str">
        <f t="shared" si="44"/>
        <v>Midwifery personnel</v>
      </c>
      <c r="E800">
        <f t="shared" si="47"/>
        <v>202550</v>
      </c>
    </row>
    <row r="801" spans="4:5" x14ac:dyDescent="0.35">
      <c r="D801" s="30" t="str">
        <f t="shared" si="44"/>
        <v>Pharmacists</v>
      </c>
      <c r="E801">
        <f t="shared" si="47"/>
        <v>0</v>
      </c>
    </row>
    <row r="802" spans="4:5" x14ac:dyDescent="0.35">
      <c r="D802" s="30" t="str">
        <f t="shared" si="44"/>
        <v>Dentists</v>
      </c>
      <c r="E802">
        <f t="shared" si="47"/>
        <v>0</v>
      </c>
    </row>
    <row r="803" spans="4:5" x14ac:dyDescent="0.35">
      <c r="D803" s="30" t="str">
        <f t="shared" si="44"/>
        <v xml:space="preserve">Community Health Workers </v>
      </c>
      <c r="E803">
        <f t="shared" si="47"/>
        <v>0</v>
      </c>
    </row>
    <row r="804" spans="4:5" x14ac:dyDescent="0.35">
      <c r="D804" s="30" t="str">
        <f t="shared" si="44"/>
        <v>Dieticians and nutritionists</v>
      </c>
      <c r="E804">
        <f t="shared" si="47"/>
        <v>0</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0</v>
      </c>
    </row>
    <row r="809" spans="4:5" x14ac:dyDescent="0.35">
      <c r="D809" s="30" t="str">
        <f t="shared" si="44"/>
        <v xml:space="preserve">Medical and Pathology Laboratory scientists </v>
      </c>
      <c r="E809">
        <f t="shared" si="47"/>
        <v>0</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0</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0</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0</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0</v>
      </c>
    </row>
    <row r="819" spans="2:5" x14ac:dyDescent="0.35">
      <c r="D819" s="30" t="str">
        <f t="shared" si="48"/>
        <v>Social workers</v>
      </c>
      <c r="E819">
        <f t="shared" si="47"/>
        <v>68565</v>
      </c>
    </row>
    <row r="820" spans="2:5" x14ac:dyDescent="0.35">
      <c r="D820" s="30" t="str">
        <f t="shared" si="48"/>
        <v xml:space="preserve">Audiologists and Speech Therapists </v>
      </c>
      <c r="E820">
        <f t="shared" si="47"/>
        <v>0</v>
      </c>
    </row>
    <row r="821" spans="2:5" x14ac:dyDescent="0.35">
      <c r="D821" s="30" t="str">
        <f t="shared" si="48"/>
        <v>Traditional and complementary medicine practitioners</v>
      </c>
      <c r="E821">
        <f t="shared" si="47"/>
        <v>262512</v>
      </c>
    </row>
    <row r="822" spans="2:5" x14ac:dyDescent="0.35">
      <c r="B822" t="str">
        <f>AI1</f>
        <v>RWA</v>
      </c>
      <c r="C822">
        <f>AI2</f>
        <v>11101349.499999996</v>
      </c>
      <c r="D822" s="29" t="str">
        <f t="shared" si="48"/>
        <v>Medical Doctors</v>
      </c>
      <c r="E822">
        <f t="shared" ref="E822:E845" si="49">AI3</f>
        <v>2208</v>
      </c>
    </row>
    <row r="823" spans="2:5" x14ac:dyDescent="0.35">
      <c r="D823" s="30" t="str">
        <f t="shared" si="48"/>
        <v>Nursing Personnel</v>
      </c>
      <c r="E823">
        <f t="shared" si="49"/>
        <v>0</v>
      </c>
    </row>
    <row r="824" spans="2:5" x14ac:dyDescent="0.35">
      <c r="D824" s="30" t="str">
        <f t="shared" si="48"/>
        <v>Midwifery personnel</v>
      </c>
      <c r="E824">
        <f t="shared" si="49"/>
        <v>1244</v>
      </c>
    </row>
    <row r="825" spans="2:5" x14ac:dyDescent="0.35">
      <c r="D825" s="30" t="str">
        <f t="shared" si="48"/>
        <v>Pharmacists</v>
      </c>
      <c r="E825">
        <f t="shared" si="49"/>
        <v>0</v>
      </c>
    </row>
    <row r="826" spans="2:5" x14ac:dyDescent="0.35">
      <c r="D826" s="30" t="str">
        <f t="shared" si="48"/>
        <v>Dentists</v>
      </c>
      <c r="E826">
        <f t="shared" si="49"/>
        <v>0</v>
      </c>
    </row>
    <row r="827" spans="2:5" x14ac:dyDescent="0.35">
      <c r="D827" s="30" t="str">
        <f t="shared" si="48"/>
        <v xml:space="preserve">Community Health Workers </v>
      </c>
      <c r="E827">
        <f t="shared" si="49"/>
        <v>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0</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13595565.499999993</v>
      </c>
      <c r="D846" s="29" t="str">
        <f t="shared" si="48"/>
        <v>Medical Doctors</v>
      </c>
      <c r="E846">
        <f t="shared" ref="E846:E869" si="50">AJ3</f>
        <v>42</v>
      </c>
    </row>
    <row r="847" spans="2:5" x14ac:dyDescent="0.35">
      <c r="D847" s="30" t="str">
        <f t="shared" si="48"/>
        <v>Nursing Personnel</v>
      </c>
      <c r="E847">
        <f t="shared" si="50"/>
        <v>0</v>
      </c>
    </row>
    <row r="848" spans="2:5" x14ac:dyDescent="0.35">
      <c r="D848" s="30" t="str">
        <f t="shared" si="48"/>
        <v>Midwifery personnel</v>
      </c>
      <c r="E848">
        <f t="shared" si="50"/>
        <v>7892</v>
      </c>
    </row>
    <row r="849" spans="4:5" x14ac:dyDescent="0.35">
      <c r="D849" s="30" t="str">
        <f t="shared" si="48"/>
        <v>Pharmacists</v>
      </c>
      <c r="E849">
        <f t="shared" si="50"/>
        <v>0</v>
      </c>
    </row>
    <row r="850" spans="4:5" x14ac:dyDescent="0.35">
      <c r="D850" s="30" t="str">
        <f t="shared" si="48"/>
        <v>Dentists</v>
      </c>
      <c r="E850">
        <f t="shared" si="50"/>
        <v>0</v>
      </c>
    </row>
    <row r="851" spans="4:5" x14ac:dyDescent="0.35">
      <c r="D851" s="30" t="str">
        <f t="shared" si="48"/>
        <v xml:space="preserve">Community Health Workers </v>
      </c>
      <c r="E851">
        <f t="shared" si="50"/>
        <v>0</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0</v>
      </c>
    </row>
    <row r="854" spans="4:5" x14ac:dyDescent="0.35">
      <c r="D854" s="30" t="str">
        <f t="shared" si="48"/>
        <v>Personal care workers in health service</v>
      </c>
      <c r="E854">
        <f t="shared" si="50"/>
        <v>0</v>
      </c>
    </row>
    <row r="855" spans="4:5" x14ac:dyDescent="0.35">
      <c r="D855" s="30" t="str">
        <f t="shared" si="48"/>
        <v xml:space="preserve">Managerial staff </v>
      </c>
      <c r="E855">
        <f t="shared" si="50"/>
        <v>0</v>
      </c>
    </row>
    <row r="856" spans="4:5" x14ac:dyDescent="0.35">
      <c r="D856" s="30" t="str">
        <f t="shared" si="48"/>
        <v xml:space="preserve">Medical and dental Prosthetic Technicians </v>
      </c>
      <c r="E856">
        <f t="shared" si="50"/>
        <v>0</v>
      </c>
    </row>
    <row r="857" spans="4:5" x14ac:dyDescent="0.35">
      <c r="D857" s="30" t="str">
        <f t="shared" si="48"/>
        <v xml:space="preserve">Medical and Pathology Laboratory scientists </v>
      </c>
      <c r="E857">
        <f t="shared" si="50"/>
        <v>0</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22</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546</v>
      </c>
    </row>
    <row r="865" spans="2:5" x14ac:dyDescent="0.35">
      <c r="D865" s="30" t="str">
        <f t="shared" si="48"/>
        <v xml:space="preserve">Paramedical Practitioners </v>
      </c>
      <c r="E865">
        <f t="shared" si="50"/>
        <v>11</v>
      </c>
    </row>
    <row r="866" spans="2:5" x14ac:dyDescent="0.35">
      <c r="D866" s="30" t="str">
        <f t="shared" si="48"/>
        <v>Physiotherapists and physiotherapy assistants</v>
      </c>
      <c r="E866">
        <f t="shared" si="50"/>
        <v>11</v>
      </c>
    </row>
    <row r="867" spans="2:5" x14ac:dyDescent="0.35">
      <c r="D867" s="30" t="str">
        <f t="shared" si="48"/>
        <v>Social workers</v>
      </c>
      <c r="E867">
        <f t="shared" si="50"/>
        <v>0</v>
      </c>
    </row>
    <row r="868" spans="2:5" x14ac:dyDescent="0.35">
      <c r="D868" s="30" t="str">
        <f t="shared" si="48"/>
        <v xml:space="preserve">Audiologists and Speech Therapists </v>
      </c>
      <c r="E868">
        <f t="shared" si="50"/>
        <v>0</v>
      </c>
    </row>
    <row r="869" spans="2:5" x14ac:dyDescent="0.35">
      <c r="D869" s="30" t="str">
        <f t="shared" si="48"/>
        <v>Traditional and complementary medicine practitioners</v>
      </c>
      <c r="E869">
        <f t="shared" si="50"/>
        <v>54</v>
      </c>
    </row>
    <row r="870" spans="2:5" x14ac:dyDescent="0.35">
      <c r="B870" t="str">
        <f>AK1</f>
        <v>SLE</v>
      </c>
      <c r="C870">
        <f>AK2</f>
        <v>6964858.4999999972</v>
      </c>
      <c r="D870" s="29" t="str">
        <f t="shared" si="48"/>
        <v>Medical Doctors</v>
      </c>
      <c r="E870">
        <f t="shared" ref="E870:E893" si="51">AK3</f>
        <v>0</v>
      </c>
    </row>
    <row r="871" spans="2:5" x14ac:dyDescent="0.35">
      <c r="D871" s="30" t="str">
        <f t="shared" si="48"/>
        <v>Nursing Personnel</v>
      </c>
      <c r="E871">
        <f t="shared" si="51"/>
        <v>12212</v>
      </c>
    </row>
    <row r="872" spans="2:5" x14ac:dyDescent="0.35">
      <c r="D872" s="30" t="str">
        <f t="shared" si="48"/>
        <v>Midwifery personnel</v>
      </c>
      <c r="E872">
        <f t="shared" si="51"/>
        <v>4374</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0</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0</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0</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11106031.000000004</v>
      </c>
      <c r="D894" s="29" t="str">
        <f t="shared" si="52"/>
        <v>Medical Doctors</v>
      </c>
      <c r="E894">
        <f t="shared" ref="E894:E917" si="53">AL3</f>
        <v>32</v>
      </c>
    </row>
    <row r="895" spans="2:5" x14ac:dyDescent="0.35">
      <c r="D895" s="30" t="str">
        <f t="shared" si="52"/>
        <v>Nursing Personnel</v>
      </c>
      <c r="E895">
        <f t="shared" si="53"/>
        <v>0</v>
      </c>
    </row>
    <row r="896" spans="2:5" x14ac:dyDescent="0.35">
      <c r="D896" s="30" t="str">
        <f t="shared" si="52"/>
        <v>Midwifery personnel</v>
      </c>
      <c r="E896">
        <f t="shared" si="53"/>
        <v>0</v>
      </c>
    </row>
    <row r="897" spans="4:5" x14ac:dyDescent="0.35">
      <c r="D897" s="30" t="str">
        <f t="shared" si="52"/>
        <v>Pharmacists</v>
      </c>
      <c r="E897">
        <f t="shared" si="53"/>
        <v>0</v>
      </c>
    </row>
    <row r="898" spans="4:5" x14ac:dyDescent="0.35">
      <c r="D898" s="30" t="str">
        <f t="shared" si="52"/>
        <v>Dentists</v>
      </c>
      <c r="E898">
        <f t="shared" si="53"/>
        <v>0</v>
      </c>
    </row>
    <row r="899" spans="4:5" x14ac:dyDescent="0.35">
      <c r="D899" s="30" t="str">
        <f t="shared" si="52"/>
        <v xml:space="preserve">Community Health Workers </v>
      </c>
      <c r="E899">
        <f t="shared" si="53"/>
        <v>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0</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193756.99999999997</v>
      </c>
      <c r="D918" s="29" t="str">
        <f t="shared" si="52"/>
        <v>Medical Doctors</v>
      </c>
      <c r="E918">
        <f t="shared" ref="E918:E941" si="54">AM3</f>
        <v>0</v>
      </c>
    </row>
    <row r="919" spans="2:5" x14ac:dyDescent="0.35">
      <c r="D919" s="30" t="str">
        <f t="shared" si="52"/>
        <v>Nursing Personnel</v>
      </c>
      <c r="E919">
        <f t="shared" si="54"/>
        <v>0</v>
      </c>
    </row>
    <row r="920" spans="2:5" x14ac:dyDescent="0.35">
      <c r="D920" s="30" t="str">
        <f t="shared" si="52"/>
        <v>Midwifery personnel</v>
      </c>
      <c r="E920">
        <f t="shared" si="54"/>
        <v>62</v>
      </c>
    </row>
    <row r="921" spans="2:5" x14ac:dyDescent="0.35">
      <c r="D921" s="30" t="str">
        <f t="shared" si="52"/>
        <v>Pharmacists</v>
      </c>
      <c r="E921">
        <f t="shared" si="54"/>
        <v>82</v>
      </c>
    </row>
    <row r="922" spans="2:5" x14ac:dyDescent="0.35">
      <c r="D922" s="30" t="str">
        <f t="shared" si="52"/>
        <v>Dentists</v>
      </c>
      <c r="E922">
        <f t="shared" si="54"/>
        <v>22</v>
      </c>
    </row>
    <row r="923" spans="2:5" x14ac:dyDescent="0.35">
      <c r="D923" s="30" t="str">
        <f t="shared" si="52"/>
        <v xml:space="preserve">Community Health Workers </v>
      </c>
      <c r="E923">
        <f t="shared" si="54"/>
        <v>0</v>
      </c>
    </row>
    <row r="924" spans="2:5" x14ac:dyDescent="0.35">
      <c r="D924" s="30" t="str">
        <f t="shared" si="52"/>
        <v>Dieticians and nutritionists</v>
      </c>
      <c r="E924">
        <f t="shared" si="54"/>
        <v>4</v>
      </c>
    </row>
    <row r="925" spans="2:5" x14ac:dyDescent="0.35">
      <c r="D925" s="30" t="str">
        <f t="shared" si="52"/>
        <v>Environmental and occupational health &amp; hygiene workers</v>
      </c>
      <c r="E925">
        <f t="shared" si="54"/>
        <v>24</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1118318.9999999998</v>
      </c>
      <c r="D942" s="29" t="str">
        <f t="shared" ref="D942:D1005" si="55">D918</f>
        <v>Medical Doctors</v>
      </c>
      <c r="E942">
        <f t="shared" ref="E942:E965" si="56">AN3</f>
        <v>0</v>
      </c>
    </row>
    <row r="943" spans="2:5" x14ac:dyDescent="0.35">
      <c r="D943" s="30" t="str">
        <f t="shared" si="55"/>
        <v>Nursing Personnel</v>
      </c>
      <c r="E943">
        <f t="shared" si="56"/>
        <v>7470</v>
      </c>
    </row>
    <row r="944" spans="2:5" x14ac:dyDescent="0.35">
      <c r="D944" s="30" t="str">
        <f t="shared" si="55"/>
        <v>Midwifery personnel</v>
      </c>
      <c r="E944">
        <f t="shared" si="56"/>
        <v>0</v>
      </c>
    </row>
    <row r="945" spans="4:5" x14ac:dyDescent="0.35">
      <c r="D945" s="30" t="str">
        <f t="shared" si="55"/>
        <v>Pharmacists</v>
      </c>
      <c r="E945">
        <f t="shared" si="56"/>
        <v>0</v>
      </c>
    </row>
    <row r="946" spans="4:5" x14ac:dyDescent="0.35">
      <c r="D946" s="30" t="str">
        <f t="shared" si="55"/>
        <v>Dentists</v>
      </c>
      <c r="E946">
        <f t="shared" si="56"/>
        <v>0</v>
      </c>
    </row>
    <row r="947" spans="4:5" x14ac:dyDescent="0.35">
      <c r="D947" s="30" t="str">
        <f t="shared" si="55"/>
        <v xml:space="preserve">Community Health Workers </v>
      </c>
      <c r="E947">
        <f t="shared" si="56"/>
        <v>0</v>
      </c>
    </row>
    <row r="948" spans="4:5" x14ac:dyDescent="0.35">
      <c r="D948" s="30" t="str">
        <f t="shared" si="55"/>
        <v>Dieticians and nutritionists</v>
      </c>
      <c r="E948">
        <f t="shared" si="56"/>
        <v>0</v>
      </c>
    </row>
    <row r="949" spans="4:5" x14ac:dyDescent="0.35">
      <c r="D949" s="30" t="str">
        <f t="shared" si="55"/>
        <v>Environmental and occupational health &amp; hygiene workers</v>
      </c>
      <c r="E949">
        <f t="shared" si="56"/>
        <v>0</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96714</v>
      </c>
      <c r="D966" s="29" t="str">
        <f t="shared" si="55"/>
        <v>Medical Doctors</v>
      </c>
      <c r="E966">
        <f t="shared" ref="E966:E989" si="57">AO3</f>
        <v>0</v>
      </c>
    </row>
    <row r="967" spans="2:5" x14ac:dyDescent="0.35">
      <c r="D967" s="30" t="str">
        <f t="shared" si="55"/>
        <v>Nursing Personnel</v>
      </c>
      <c r="E967">
        <f t="shared" si="57"/>
        <v>0</v>
      </c>
    </row>
    <row r="968" spans="2:5" x14ac:dyDescent="0.35">
      <c r="D968" s="30" t="str">
        <f t="shared" si="55"/>
        <v>Midwifery personnel</v>
      </c>
      <c r="E968">
        <f t="shared" si="57"/>
        <v>0</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13216766.5</v>
      </c>
      <c r="D990" s="29" t="str">
        <f t="shared" si="55"/>
        <v>Medical Doctors</v>
      </c>
      <c r="E990">
        <f t="shared" ref="E990:E1013" si="58">AP3</f>
        <v>1146</v>
      </c>
    </row>
    <row r="991" spans="2:5" x14ac:dyDescent="0.35">
      <c r="D991" s="30" t="str">
        <f t="shared" si="55"/>
        <v>Nursing Personnel</v>
      </c>
      <c r="E991">
        <f t="shared" si="58"/>
        <v>7212</v>
      </c>
    </row>
    <row r="992" spans="2:5" x14ac:dyDescent="0.35">
      <c r="D992" s="30" t="str">
        <f t="shared" si="55"/>
        <v>Midwifery personnel</v>
      </c>
      <c r="E992">
        <f t="shared" si="58"/>
        <v>902</v>
      </c>
    </row>
    <row r="993" spans="4:5" x14ac:dyDescent="0.35">
      <c r="D993" s="30" t="str">
        <f t="shared" si="55"/>
        <v>Pharmacists</v>
      </c>
      <c r="E993">
        <f t="shared" si="58"/>
        <v>2302</v>
      </c>
    </row>
    <row r="994" spans="4:5" x14ac:dyDescent="0.35">
      <c r="D994" s="30" t="str">
        <f t="shared" si="55"/>
        <v>Dentists</v>
      </c>
      <c r="E994">
        <f t="shared" si="58"/>
        <v>1652</v>
      </c>
    </row>
    <row r="995" spans="4:5" x14ac:dyDescent="0.35">
      <c r="D995" s="30" t="str">
        <f t="shared" si="55"/>
        <v xml:space="preserve">Community Health Workers </v>
      </c>
      <c r="E995">
        <f t="shared" si="58"/>
        <v>0</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0</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7106229</v>
      </c>
      <c r="D1014" s="29" t="str">
        <f t="shared" si="59"/>
        <v>Medical Doctors</v>
      </c>
      <c r="E1014">
        <f t="shared" ref="E1014:E1037" si="60">AQ3</f>
        <v>53</v>
      </c>
    </row>
    <row r="1015" spans="2:5" x14ac:dyDescent="0.35">
      <c r="D1015" s="30" t="str">
        <f t="shared" si="59"/>
        <v>Nursing Personnel</v>
      </c>
      <c r="E1015">
        <f t="shared" si="60"/>
        <v>0</v>
      </c>
    </row>
    <row r="1016" spans="2:5" x14ac:dyDescent="0.35">
      <c r="D1016" s="30" t="str">
        <f t="shared" si="59"/>
        <v>Midwifery personnel</v>
      </c>
      <c r="E1016">
        <f t="shared" si="60"/>
        <v>1590</v>
      </c>
    </row>
    <row r="1017" spans="2:5" x14ac:dyDescent="0.35">
      <c r="D1017" s="30" t="str">
        <f t="shared" si="59"/>
        <v>Pharmacists</v>
      </c>
      <c r="E1017">
        <f t="shared" si="60"/>
        <v>0</v>
      </c>
    </row>
    <row r="1018" spans="2:5" x14ac:dyDescent="0.35">
      <c r="D1018" s="30" t="str">
        <f t="shared" si="59"/>
        <v>Dentists</v>
      </c>
      <c r="E1018">
        <f t="shared" si="60"/>
        <v>0</v>
      </c>
    </row>
    <row r="1019" spans="2:5" x14ac:dyDescent="0.35">
      <c r="D1019" s="30" t="str">
        <f t="shared" si="59"/>
        <v xml:space="preserve">Community Health Workers </v>
      </c>
      <c r="E1019">
        <f t="shared" si="60"/>
        <v>0</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0</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0</v>
      </c>
    </row>
    <row r="1025" spans="2:5" x14ac:dyDescent="0.35">
      <c r="D1025" s="30" t="str">
        <f t="shared" si="59"/>
        <v xml:space="preserve">Medical and Pathology Laboratory scientists </v>
      </c>
      <c r="E1025">
        <f t="shared" si="60"/>
        <v>0</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0</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0</v>
      </c>
    </row>
    <row r="1030" spans="2:5" x14ac:dyDescent="0.35">
      <c r="D1030" s="30" t="str">
        <f t="shared" si="59"/>
        <v xml:space="preserve">Other non-medical professional staff </v>
      </c>
      <c r="E1030">
        <f t="shared" si="60"/>
        <v>0</v>
      </c>
    </row>
    <row r="1031" spans="2:5" x14ac:dyDescent="0.35">
      <c r="D1031" s="30" t="str">
        <f t="shared" si="59"/>
        <v xml:space="preserve">Other non-medical support staff </v>
      </c>
      <c r="E1031">
        <f t="shared" si="60"/>
        <v>0</v>
      </c>
    </row>
    <row r="1032" spans="2:5" x14ac:dyDescent="0.35">
      <c r="D1032" s="30" t="str">
        <f t="shared" si="59"/>
        <v xml:space="preserve">Medical and Pathology Laboratory Technicians </v>
      </c>
      <c r="E1032">
        <f t="shared" si="60"/>
        <v>0</v>
      </c>
    </row>
    <row r="1033" spans="2:5" x14ac:dyDescent="0.35">
      <c r="D1033" s="30" t="str">
        <f t="shared" si="59"/>
        <v xml:space="preserve">Paramedical Practitioners </v>
      </c>
      <c r="E1033">
        <f t="shared" si="60"/>
        <v>0</v>
      </c>
    </row>
    <row r="1034" spans="2:5" x14ac:dyDescent="0.35">
      <c r="D1034" s="30" t="str">
        <f t="shared" si="59"/>
        <v>Physiotherapists and physiotherapy assistants</v>
      </c>
      <c r="E1034">
        <f t="shared" si="60"/>
        <v>0</v>
      </c>
    </row>
    <row r="1035" spans="2:5" x14ac:dyDescent="0.35">
      <c r="D1035" s="30" t="str">
        <f t="shared" si="59"/>
        <v>Social workers</v>
      </c>
      <c r="E1035">
        <f t="shared" si="60"/>
        <v>0</v>
      </c>
    </row>
    <row r="1036" spans="2:5" x14ac:dyDescent="0.35">
      <c r="D1036" s="30" t="str">
        <f t="shared" si="59"/>
        <v xml:space="preserve">Audiologists and Speech Therapists </v>
      </c>
      <c r="E1036">
        <f t="shared" si="60"/>
        <v>0</v>
      </c>
    </row>
    <row r="1037" spans="2:5" x14ac:dyDescent="0.35">
      <c r="D1037" s="30" t="str">
        <f t="shared" si="59"/>
        <v>Traditional and complementary medicine practitioners</v>
      </c>
      <c r="E1037">
        <f t="shared" si="60"/>
        <v>0</v>
      </c>
    </row>
    <row r="1038" spans="2:5" x14ac:dyDescent="0.35">
      <c r="B1038" t="str">
        <f>AR1</f>
        <v>TZA</v>
      </c>
      <c r="C1038">
        <f>AR2</f>
        <v>49253643.5</v>
      </c>
      <c r="D1038" s="29" t="str">
        <f t="shared" si="59"/>
        <v>Medical Doctors</v>
      </c>
      <c r="E1038">
        <f t="shared" ref="E1038:E1061" si="61">AR3</f>
        <v>0</v>
      </c>
    </row>
    <row r="1039" spans="2:5" x14ac:dyDescent="0.35">
      <c r="D1039" s="30" t="str">
        <f t="shared" si="59"/>
        <v>Nursing Personnel</v>
      </c>
      <c r="E1039">
        <f t="shared" si="61"/>
        <v>0</v>
      </c>
    </row>
    <row r="1040" spans="2:5" x14ac:dyDescent="0.35">
      <c r="D1040" s="30" t="str">
        <f t="shared" si="59"/>
        <v>Midwifery personnel</v>
      </c>
      <c r="E1040">
        <f t="shared" si="61"/>
        <v>0</v>
      </c>
    </row>
    <row r="1041" spans="4:5" x14ac:dyDescent="0.35">
      <c r="D1041" s="30" t="str">
        <f t="shared" si="59"/>
        <v>Pharmacists</v>
      </c>
      <c r="E1041">
        <f t="shared" si="61"/>
        <v>0</v>
      </c>
    </row>
    <row r="1042" spans="4:5" x14ac:dyDescent="0.35">
      <c r="D1042" s="30" t="str">
        <f t="shared" si="59"/>
        <v>Dentists</v>
      </c>
      <c r="E1042">
        <f t="shared" si="61"/>
        <v>0</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0</v>
      </c>
    </row>
    <row r="1045" spans="4:5" x14ac:dyDescent="0.35">
      <c r="D1045" s="30" t="str">
        <f t="shared" si="59"/>
        <v>Environmental and occupational health &amp; hygiene workers</v>
      </c>
      <c r="E1045">
        <f t="shared" si="61"/>
        <v>0</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0</v>
      </c>
    </row>
    <row r="1049" spans="4:5" x14ac:dyDescent="0.35">
      <c r="D1049" s="30" t="str">
        <f t="shared" si="59"/>
        <v xml:space="preserve">Medical and Pathology Laboratory scientists </v>
      </c>
      <c r="E1049">
        <f t="shared" si="61"/>
        <v>0</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0</v>
      </c>
    </row>
    <row r="1057" spans="2:5" x14ac:dyDescent="0.35">
      <c r="D1057" s="30" t="str">
        <f t="shared" si="59"/>
        <v xml:space="preserve">Paramedical Practitioners </v>
      </c>
      <c r="E1057">
        <f t="shared" si="61"/>
        <v>0</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35273569.999999993</v>
      </c>
      <c r="D1062" s="29" t="str">
        <f t="shared" si="59"/>
        <v>Medical Doctors</v>
      </c>
      <c r="E1062">
        <f t="shared" ref="E1062:E1085" si="62">AS3</f>
        <v>0</v>
      </c>
    </row>
    <row r="1063" spans="2:5" x14ac:dyDescent="0.35">
      <c r="D1063" s="30" t="str">
        <f t="shared" si="59"/>
        <v>Nursing Personnel</v>
      </c>
      <c r="E1063">
        <f t="shared" si="62"/>
        <v>80298</v>
      </c>
    </row>
    <row r="1064" spans="2:5" x14ac:dyDescent="0.35">
      <c r="D1064" s="30" t="str">
        <f t="shared" si="59"/>
        <v>Midwifery personnel</v>
      </c>
      <c r="E1064">
        <f t="shared" si="62"/>
        <v>14000</v>
      </c>
    </row>
    <row r="1065" spans="2:5" x14ac:dyDescent="0.35">
      <c r="D1065" s="30" t="str">
        <f t="shared" si="59"/>
        <v>Pharmacists</v>
      </c>
      <c r="E1065">
        <f t="shared" si="62"/>
        <v>0</v>
      </c>
    </row>
    <row r="1066" spans="2:5" x14ac:dyDescent="0.35">
      <c r="D1066" s="30" t="str">
        <f t="shared" si="59"/>
        <v>Dentists</v>
      </c>
      <c r="E1066">
        <f t="shared" si="62"/>
        <v>0</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53873616</v>
      </c>
      <c r="D1086" s="29" t="str">
        <f t="shared" si="63"/>
        <v>Medical Doctors</v>
      </c>
      <c r="E1086">
        <f t="shared" ref="E1086:E1109" si="64">AT3</f>
        <v>0</v>
      </c>
    </row>
    <row r="1087" spans="2:5" x14ac:dyDescent="0.35">
      <c r="D1087" s="30" t="str">
        <f t="shared" si="63"/>
        <v>Nursing Personnel</v>
      </c>
      <c r="E1087">
        <f t="shared" si="64"/>
        <v>0</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144</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8476</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3588</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273</v>
      </c>
    </row>
    <row r="1105" spans="2:5" x14ac:dyDescent="0.35">
      <c r="D1105" s="30" t="str">
        <f t="shared" si="63"/>
        <v xml:space="preserve">Paramedical Practitioners </v>
      </c>
      <c r="E1105">
        <f t="shared" si="64"/>
        <v>217</v>
      </c>
    </row>
    <row r="1106" spans="2:5" x14ac:dyDescent="0.35">
      <c r="D1106" s="30" t="str">
        <f t="shared" si="63"/>
        <v>Physiotherapists and physiotherapy assistants</v>
      </c>
      <c r="E1106">
        <f t="shared" si="64"/>
        <v>8185</v>
      </c>
    </row>
    <row r="1107" spans="2:5" x14ac:dyDescent="0.35">
      <c r="D1107" s="30" t="str">
        <f t="shared" si="63"/>
        <v>Social workers</v>
      </c>
      <c r="E1107">
        <f t="shared" si="64"/>
        <v>0</v>
      </c>
    </row>
    <row r="1108" spans="2:5" x14ac:dyDescent="0.35">
      <c r="D1108" s="30" t="str">
        <f t="shared" si="63"/>
        <v xml:space="preserve">Audiologists and Speech Therapists </v>
      </c>
      <c r="E1108">
        <f t="shared" si="64"/>
        <v>2586</v>
      </c>
    </row>
    <row r="1109" spans="2:5" x14ac:dyDescent="0.35">
      <c r="D1109" s="30" t="str">
        <f t="shared" si="63"/>
        <v>Traditional and complementary medicine practitioners</v>
      </c>
      <c r="E1109">
        <f t="shared" si="64"/>
        <v>0</v>
      </c>
    </row>
    <row r="1110" spans="2:5" x14ac:dyDescent="0.35">
      <c r="B1110" t="str">
        <f>AU1</f>
        <v>ZMB</v>
      </c>
      <c r="C1110">
        <f>AU2</f>
        <v>15234975.999999991</v>
      </c>
      <c r="D1110" s="29" t="str">
        <f t="shared" si="63"/>
        <v>Medical Doctors</v>
      </c>
      <c r="E1110">
        <f t="shared" ref="E1110:E1133" si="65">AU3</f>
        <v>0</v>
      </c>
    </row>
    <row r="1111" spans="2:5" x14ac:dyDescent="0.35">
      <c r="D1111" s="30" t="str">
        <f t="shared" si="63"/>
        <v>Nursing Personnel</v>
      </c>
      <c r="E1111">
        <f t="shared" si="65"/>
        <v>0</v>
      </c>
    </row>
    <row r="1112" spans="2:5" x14ac:dyDescent="0.35">
      <c r="D1112" s="30" t="str">
        <f t="shared" si="63"/>
        <v>Midwifery personnel</v>
      </c>
      <c r="E1112">
        <f t="shared" si="65"/>
        <v>5546</v>
      </c>
    </row>
    <row r="1113" spans="2:5" x14ac:dyDescent="0.35">
      <c r="D1113" s="30" t="str">
        <f t="shared" si="63"/>
        <v>Pharmacists</v>
      </c>
      <c r="E1113">
        <f t="shared" si="65"/>
        <v>460</v>
      </c>
    </row>
    <row r="1114" spans="2:5" x14ac:dyDescent="0.35">
      <c r="D1114" s="30" t="str">
        <f t="shared" si="63"/>
        <v>Dentists</v>
      </c>
      <c r="E1114">
        <f t="shared" si="65"/>
        <v>351</v>
      </c>
    </row>
    <row r="1115" spans="2:5" x14ac:dyDescent="0.35">
      <c r="D1115" s="30" t="str">
        <f t="shared" si="63"/>
        <v xml:space="preserve">Community Health Workers </v>
      </c>
      <c r="E1115">
        <f t="shared" si="65"/>
        <v>0</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0</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0</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0</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0</v>
      </c>
    </row>
    <row r="1129" spans="2:5" x14ac:dyDescent="0.35">
      <c r="D1129" s="30" t="str">
        <f t="shared" si="63"/>
        <v xml:space="preserve">Paramedical Practitioners </v>
      </c>
      <c r="E1129">
        <f t="shared" si="65"/>
        <v>0</v>
      </c>
    </row>
    <row r="1130" spans="2:5" x14ac:dyDescent="0.35">
      <c r="D1130" s="30" t="str">
        <f t="shared" si="63"/>
        <v>Physiotherapists and physiotherapy assistants</v>
      </c>
      <c r="E1130">
        <f t="shared" si="65"/>
        <v>0</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13555421.500000011</v>
      </c>
      <c r="D1134" s="29" t="str">
        <f t="shared" ref="D1134:D1180" si="66">D1110</f>
        <v>Medical Doctors</v>
      </c>
      <c r="E1134">
        <f t="shared" ref="E1134:E1157" si="67">AV3</f>
        <v>2228</v>
      </c>
    </row>
    <row r="1135" spans="2:5" x14ac:dyDescent="0.35">
      <c r="D1135" s="30" t="str">
        <f t="shared" si="66"/>
        <v>Nursing Personnel</v>
      </c>
      <c r="E1135">
        <f t="shared" si="67"/>
        <v>37444</v>
      </c>
    </row>
    <row r="1136" spans="2:5" x14ac:dyDescent="0.35">
      <c r="D1136" s="30" t="str">
        <f t="shared" si="66"/>
        <v>Midwifery personnel</v>
      </c>
      <c r="E1136">
        <f t="shared" si="67"/>
        <v>0</v>
      </c>
    </row>
    <row r="1137" spans="4:5" x14ac:dyDescent="0.35">
      <c r="D1137" s="30" t="str">
        <f t="shared" si="66"/>
        <v>Pharmacists</v>
      </c>
      <c r="E1137">
        <f t="shared" si="67"/>
        <v>0</v>
      </c>
    </row>
    <row r="1138" spans="4:5" x14ac:dyDescent="0.35">
      <c r="D1138" s="30" t="str">
        <f t="shared" si="66"/>
        <v>Dentists</v>
      </c>
      <c r="E1138">
        <f t="shared" si="67"/>
        <v>0</v>
      </c>
    </row>
    <row r="1139" spans="4:5" x14ac:dyDescent="0.35">
      <c r="D1139" s="30" t="str">
        <f t="shared" si="66"/>
        <v xml:space="preserve">Community Health Workers </v>
      </c>
      <c r="E1139">
        <f t="shared" si="67"/>
        <v>0</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0</v>
      </c>
    </row>
    <row r="1143" spans="4:5" x14ac:dyDescent="0.35">
      <c r="D1143" s="30" t="str">
        <f t="shared" si="66"/>
        <v xml:space="preserve">Managerial staff </v>
      </c>
      <c r="E1143">
        <f t="shared" si="67"/>
        <v>0</v>
      </c>
    </row>
    <row r="1144" spans="4:5" x14ac:dyDescent="0.35">
      <c r="D1144" s="30" t="str">
        <f t="shared" si="66"/>
        <v xml:space="preserve">Medical and dental Prosthetic Technicians </v>
      </c>
      <c r="E1144">
        <f t="shared" si="67"/>
        <v>26</v>
      </c>
    </row>
    <row r="1145" spans="4:5" x14ac:dyDescent="0.35">
      <c r="D1145" s="30" t="str">
        <f t="shared" si="66"/>
        <v xml:space="preserve">Medical and Pathology Laboratory scientists </v>
      </c>
      <c r="E1145">
        <f t="shared" si="67"/>
        <v>343</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239</v>
      </c>
    </row>
    <row r="1148" spans="4:5" x14ac:dyDescent="0.35">
      <c r="D1148" s="30" t="str">
        <f t="shared" si="66"/>
        <v xml:space="preserve">Medical Records and Health Information Technicians </v>
      </c>
      <c r="E1148">
        <f t="shared" si="67"/>
        <v>0</v>
      </c>
    </row>
    <row r="1149" spans="4:5" x14ac:dyDescent="0.35">
      <c r="D1149" s="30" t="str">
        <f t="shared" si="66"/>
        <v xml:space="preserve">Optometrists and Ophthalmic Opticians </v>
      </c>
      <c r="E1149">
        <f t="shared" si="67"/>
        <v>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0</v>
      </c>
    </row>
    <row r="1153" spans="2:5" x14ac:dyDescent="0.35">
      <c r="D1153" s="30" t="str">
        <f t="shared" si="66"/>
        <v xml:space="preserve">Paramedical Practitioners </v>
      </c>
      <c r="E1153">
        <f t="shared" si="67"/>
        <v>0</v>
      </c>
    </row>
    <row r="1154" spans="2:5" x14ac:dyDescent="0.35">
      <c r="D1154" s="30" t="str">
        <f t="shared" si="66"/>
        <v>Physiotherapists and physiotherapy assistants</v>
      </c>
      <c r="E1154">
        <f t="shared" si="67"/>
        <v>419</v>
      </c>
    </row>
    <row r="1155" spans="2:5" x14ac:dyDescent="0.35">
      <c r="D1155" s="30" t="str">
        <f t="shared" si="66"/>
        <v>Social workers</v>
      </c>
      <c r="E1155">
        <f t="shared" si="67"/>
        <v>0</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944292669</v>
      </c>
      <c r="D1158" s="29" t="str">
        <f t="shared" si="66"/>
        <v>Medical Doctors</v>
      </c>
      <c r="E1158">
        <f t="shared" ref="E1158:E1181" si="68">AW3</f>
        <v>201911</v>
      </c>
    </row>
    <row r="1159" spans="2:5" x14ac:dyDescent="0.35">
      <c r="D1159" s="30" t="str">
        <f t="shared" si="66"/>
        <v>Nursing Personnel</v>
      </c>
      <c r="E1159">
        <f t="shared" si="68"/>
        <v>614474</v>
      </c>
    </row>
    <row r="1160" spans="2:5" x14ac:dyDescent="0.35">
      <c r="D1160" s="30" t="str">
        <f t="shared" si="66"/>
        <v>Midwifery personnel</v>
      </c>
      <c r="E1160">
        <f t="shared" si="68"/>
        <v>324098</v>
      </c>
    </row>
    <row r="1161" spans="2:5" x14ac:dyDescent="0.35">
      <c r="D1161" s="30" t="str">
        <f t="shared" si="66"/>
        <v>Pharmacists</v>
      </c>
      <c r="E1161">
        <f t="shared" si="68"/>
        <v>9249</v>
      </c>
    </row>
    <row r="1162" spans="2:5" x14ac:dyDescent="0.35">
      <c r="D1162" s="30" t="str">
        <f t="shared" si="66"/>
        <v>Dentists</v>
      </c>
      <c r="E1162">
        <f t="shared" si="68"/>
        <v>14493</v>
      </c>
    </row>
    <row r="1163" spans="2:5" x14ac:dyDescent="0.35">
      <c r="D1163" s="30" t="str">
        <f t="shared" si="66"/>
        <v xml:space="preserve">Community Health Workers </v>
      </c>
      <c r="E1163">
        <f t="shared" si="68"/>
        <v>13057</v>
      </c>
    </row>
    <row r="1164" spans="2:5" x14ac:dyDescent="0.35">
      <c r="D1164" s="30" t="str">
        <f t="shared" si="66"/>
        <v>Dieticians and nutritionists</v>
      </c>
      <c r="E1164">
        <f t="shared" si="68"/>
        <v>4759</v>
      </c>
    </row>
    <row r="1165" spans="2:5" x14ac:dyDescent="0.35">
      <c r="D1165" s="30" t="str">
        <f t="shared" si="66"/>
        <v>Environmental and occupational health &amp; hygiene workers</v>
      </c>
      <c r="E1165">
        <f t="shared" si="68"/>
        <v>6144</v>
      </c>
    </row>
    <row r="1166" spans="2:5" x14ac:dyDescent="0.35">
      <c r="D1166" s="30" t="str">
        <f t="shared" si="66"/>
        <v>Personal care workers in health service</v>
      </c>
      <c r="E1166">
        <f t="shared" si="68"/>
        <v>0</v>
      </c>
    </row>
    <row r="1167" spans="2:5" x14ac:dyDescent="0.35">
      <c r="D1167" s="30" t="str">
        <f t="shared" si="66"/>
        <v xml:space="preserve">Managerial staff </v>
      </c>
      <c r="E1167">
        <f t="shared" si="68"/>
        <v>0</v>
      </c>
    </row>
    <row r="1168" spans="2:5" x14ac:dyDescent="0.35">
      <c r="D1168" s="30" t="str">
        <f t="shared" si="66"/>
        <v xml:space="preserve">Medical and dental Prosthetic Technicians </v>
      </c>
      <c r="E1168">
        <f t="shared" si="68"/>
        <v>70</v>
      </c>
    </row>
    <row r="1169" spans="4:5" x14ac:dyDescent="0.35">
      <c r="D1169" s="30" t="str">
        <f t="shared" si="66"/>
        <v xml:space="preserve">Medical and Pathology Laboratory scientists </v>
      </c>
      <c r="E1169">
        <f t="shared" si="68"/>
        <v>2613</v>
      </c>
    </row>
    <row r="1170" spans="4:5" x14ac:dyDescent="0.35">
      <c r="D1170" s="30" t="str">
        <f t="shared" si="66"/>
        <v xml:space="preserve">Medical Assistants </v>
      </c>
      <c r="E1170">
        <f t="shared" si="68"/>
        <v>0</v>
      </c>
    </row>
    <row r="1171" spans="4:5" x14ac:dyDescent="0.35">
      <c r="D1171" s="30" t="str">
        <f t="shared" si="66"/>
        <v xml:space="preserve">Medical Imaging and Therapeutic Equipment Technicians </v>
      </c>
      <c r="E1171">
        <f t="shared" si="68"/>
        <v>9468</v>
      </c>
    </row>
    <row r="1172" spans="4:5" x14ac:dyDescent="0.35">
      <c r="D1172" s="30" t="str">
        <f t="shared" si="66"/>
        <v xml:space="preserve">Medical Records and Health Information Technicians </v>
      </c>
      <c r="E1172">
        <f t="shared" si="68"/>
        <v>0</v>
      </c>
    </row>
    <row r="1173" spans="4:5" x14ac:dyDescent="0.35">
      <c r="D1173" s="30" t="str">
        <f t="shared" si="66"/>
        <v xml:space="preserve">Optometrists and Ophthalmic Opticians </v>
      </c>
      <c r="E1173">
        <f t="shared" si="68"/>
        <v>3703</v>
      </c>
    </row>
    <row r="1174" spans="4:5" x14ac:dyDescent="0.35">
      <c r="D1174" s="30" t="str">
        <f t="shared" si="66"/>
        <v xml:space="preserve">Other non-medical professional staff </v>
      </c>
      <c r="E1174">
        <f t="shared" si="68"/>
        <v>0</v>
      </c>
    </row>
    <row r="1175" spans="4:5" x14ac:dyDescent="0.35">
      <c r="D1175" s="30" t="str">
        <f t="shared" si="66"/>
        <v xml:space="preserve">Other non-medical support staff </v>
      </c>
      <c r="E1175">
        <f t="shared" si="68"/>
        <v>0</v>
      </c>
    </row>
    <row r="1176" spans="4:5" x14ac:dyDescent="0.35">
      <c r="D1176" s="30" t="str">
        <f t="shared" si="66"/>
        <v xml:space="preserve">Medical and Pathology Laboratory Technicians </v>
      </c>
      <c r="E1176">
        <f t="shared" si="68"/>
        <v>7101</v>
      </c>
    </row>
    <row r="1177" spans="4:5" x14ac:dyDescent="0.35">
      <c r="D1177" s="30" t="str">
        <f t="shared" si="66"/>
        <v xml:space="preserve">Paramedical Practitioners </v>
      </c>
      <c r="E1177">
        <f t="shared" si="68"/>
        <v>228</v>
      </c>
    </row>
    <row r="1178" spans="4:5" x14ac:dyDescent="0.35">
      <c r="D1178" s="30" t="str">
        <f t="shared" si="66"/>
        <v>Physiotherapists and physiotherapy assistants</v>
      </c>
      <c r="E1178">
        <f t="shared" si="68"/>
        <v>8902</v>
      </c>
    </row>
    <row r="1179" spans="4:5" x14ac:dyDescent="0.35">
      <c r="D1179" s="30" t="str">
        <f t="shared" si="66"/>
        <v>Social workers</v>
      </c>
      <c r="E1179">
        <f t="shared" si="68"/>
        <v>74683</v>
      </c>
    </row>
    <row r="1180" spans="4:5" x14ac:dyDescent="0.35">
      <c r="D1180" s="30" t="str">
        <f t="shared" si="66"/>
        <v xml:space="preserve">Audiologists and Speech Therapists </v>
      </c>
      <c r="E1180">
        <f t="shared" si="68"/>
        <v>2586</v>
      </c>
    </row>
    <row r="1181" spans="4:5" x14ac:dyDescent="0.35">
      <c r="D1181" s="30" t="str">
        <f t="shared" ref="D1181" si="69">D1157</f>
        <v>Traditional and complementary medicine practitioners</v>
      </c>
      <c r="E1181">
        <f t="shared" si="68"/>
        <v>281404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F21D-C6BC-4DA4-AB91-E426C4B9CC24}">
  <dimension ref="A1:AW1181"/>
  <sheetViews>
    <sheetView topLeftCell="A25" workbookViewId="0">
      <selection activeCell="D29" sqref="D29:E29"/>
    </sheetView>
  </sheetViews>
  <sheetFormatPr defaultColWidth="8.81640625" defaultRowHeight="14.5" x14ac:dyDescent="0.35"/>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27128336.499999981</v>
      </c>
      <c r="C2">
        <v>10494912.499999989</v>
      </c>
      <c r="D2">
        <v>10614844.000000013</v>
      </c>
      <c r="E2">
        <v>18169842.499999996</v>
      </c>
      <c r="F2">
        <v>2260375.5000000019</v>
      </c>
      <c r="G2">
        <v>4798734.5</v>
      </c>
      <c r="H2">
        <v>22995555.5</v>
      </c>
      <c r="I2">
        <v>22299584.999999989</v>
      </c>
      <c r="J2">
        <v>76035588.49999994</v>
      </c>
      <c r="K2">
        <v>4944861.5000000019</v>
      </c>
      <c r="L2">
        <v>714612.00000000012</v>
      </c>
      <c r="M2">
        <v>546076</v>
      </c>
      <c r="N2">
        <v>38760167.5</v>
      </c>
      <c r="O2">
        <v>3323425.0000000009</v>
      </c>
      <c r="P2">
        <v>99746766.49999994</v>
      </c>
      <c r="Q2">
        <v>1966855.5</v>
      </c>
      <c r="R2">
        <v>28196358.499999996</v>
      </c>
      <c r="S2">
        <v>11333365.500000002</v>
      </c>
      <c r="T2">
        <v>2189019</v>
      </c>
      <c r="U2">
        <v>1743309.0000000002</v>
      </c>
      <c r="V2">
        <v>1295183.0000000005</v>
      </c>
      <c r="W2">
        <v>45831863.500000007</v>
      </c>
      <c r="X2">
        <v>4519397.9999999981</v>
      </c>
      <c r="Y2">
        <v>2095242.4999999993</v>
      </c>
      <c r="Z2">
        <v>24215975.500000019</v>
      </c>
      <c r="AA2">
        <v>17551814.000000004</v>
      </c>
      <c r="AB2">
        <v>26038704.499999993</v>
      </c>
      <c r="AC2">
        <v>3843173.9999999991</v>
      </c>
      <c r="AD2">
        <v>1292113.5000000002</v>
      </c>
      <c r="AE2">
        <v>16477966.500000002</v>
      </c>
      <c r="AF2">
        <v>2243000.9999999991</v>
      </c>
      <c r="AG2">
        <v>19372013.999999993</v>
      </c>
      <c r="AH2">
        <v>179379016.5</v>
      </c>
      <c r="AI2">
        <v>11368451.500000004</v>
      </c>
      <c r="AJ2">
        <v>13970307.499999993</v>
      </c>
      <c r="AK2">
        <v>7140688.0000000028</v>
      </c>
      <c r="AL2">
        <v>11213284.499999998</v>
      </c>
      <c r="AM2">
        <v>197496.99999999994</v>
      </c>
      <c r="AN2">
        <v>1125865.0000000005</v>
      </c>
      <c r="AO2">
        <v>98000.999999999927</v>
      </c>
      <c r="AP2">
        <v>13697125.5</v>
      </c>
      <c r="AQ2">
        <v>7288383.0000000009</v>
      </c>
      <c r="AR2">
        <v>50814551.500000022</v>
      </c>
      <c r="AS2">
        <v>36336539.50000003</v>
      </c>
      <c r="AT2">
        <v>54729550.99999997</v>
      </c>
      <c r="AU2">
        <v>15737792.999999998</v>
      </c>
      <c r="AV2">
        <v>13855753.000000004</v>
      </c>
      <c r="AW2">
        <v>969991847.99999988</v>
      </c>
    </row>
    <row r="3" spans="1:49" x14ac:dyDescent="0.35">
      <c r="A3" t="s">
        <v>135</v>
      </c>
      <c r="B3">
        <v>0</v>
      </c>
      <c r="C3">
        <v>1218</v>
      </c>
      <c r="D3">
        <v>191</v>
      </c>
      <c r="E3">
        <v>1818</v>
      </c>
      <c r="F3">
        <v>76</v>
      </c>
      <c r="G3">
        <v>17</v>
      </c>
      <c r="H3">
        <v>11036</v>
      </c>
      <c r="I3">
        <v>0</v>
      </c>
      <c r="J3">
        <v>0</v>
      </c>
      <c r="K3">
        <v>0</v>
      </c>
      <c r="L3">
        <v>0</v>
      </c>
      <c r="M3">
        <v>0</v>
      </c>
      <c r="N3">
        <v>612</v>
      </c>
      <c r="O3">
        <v>484</v>
      </c>
      <c r="P3">
        <v>0</v>
      </c>
      <c r="Q3">
        <v>0</v>
      </c>
      <c r="R3">
        <v>6032</v>
      </c>
      <c r="S3">
        <v>3688</v>
      </c>
      <c r="T3">
        <v>0</v>
      </c>
      <c r="U3">
        <v>0</v>
      </c>
      <c r="V3">
        <v>0</v>
      </c>
      <c r="W3">
        <v>18971</v>
      </c>
      <c r="X3">
        <v>0</v>
      </c>
      <c r="Y3">
        <v>0</v>
      </c>
      <c r="Z3">
        <v>8550</v>
      </c>
      <c r="AA3">
        <v>3576</v>
      </c>
      <c r="AB3">
        <v>0</v>
      </c>
      <c r="AC3">
        <v>1244</v>
      </c>
      <c r="AD3">
        <v>4858</v>
      </c>
      <c r="AE3">
        <v>68</v>
      </c>
      <c r="AF3">
        <v>24</v>
      </c>
      <c r="AG3">
        <v>1119</v>
      </c>
      <c r="AH3">
        <v>2281</v>
      </c>
      <c r="AI3">
        <v>2098</v>
      </c>
      <c r="AJ3">
        <v>0</v>
      </c>
      <c r="AK3">
        <v>1</v>
      </c>
      <c r="AL3">
        <v>0</v>
      </c>
      <c r="AM3">
        <v>0</v>
      </c>
      <c r="AN3">
        <v>0</v>
      </c>
      <c r="AO3">
        <v>0</v>
      </c>
      <c r="AP3">
        <v>1216</v>
      </c>
      <c r="AQ3">
        <v>0</v>
      </c>
      <c r="AR3">
        <v>6036</v>
      </c>
      <c r="AS3">
        <v>0</v>
      </c>
      <c r="AT3">
        <v>5084</v>
      </c>
      <c r="AU3">
        <v>0</v>
      </c>
      <c r="AV3">
        <v>3561</v>
      </c>
      <c r="AW3">
        <v>83859</v>
      </c>
    </row>
    <row r="4" spans="1:49" x14ac:dyDescent="0.35">
      <c r="A4" t="s">
        <v>139</v>
      </c>
      <c r="B4">
        <v>0</v>
      </c>
      <c r="C4">
        <v>13638</v>
      </c>
      <c r="D4">
        <v>0</v>
      </c>
      <c r="E4">
        <v>12716</v>
      </c>
      <c r="F4">
        <v>0</v>
      </c>
      <c r="G4">
        <v>0</v>
      </c>
      <c r="H4">
        <v>17736</v>
      </c>
      <c r="I4">
        <v>0</v>
      </c>
      <c r="J4">
        <v>0</v>
      </c>
      <c r="K4">
        <v>6916</v>
      </c>
      <c r="L4">
        <v>0</v>
      </c>
      <c r="M4">
        <v>952</v>
      </c>
      <c r="N4">
        <v>0</v>
      </c>
      <c r="O4">
        <v>8264</v>
      </c>
      <c r="P4">
        <v>0</v>
      </c>
      <c r="Q4">
        <v>0</v>
      </c>
      <c r="R4">
        <v>74808</v>
      </c>
      <c r="S4">
        <v>11578</v>
      </c>
      <c r="T4">
        <v>0</v>
      </c>
      <c r="U4">
        <v>1899</v>
      </c>
      <c r="V4">
        <v>0</v>
      </c>
      <c r="W4">
        <v>86622</v>
      </c>
      <c r="X4">
        <v>0</v>
      </c>
      <c r="Y4">
        <v>0</v>
      </c>
      <c r="Z4">
        <v>0</v>
      </c>
      <c r="AA4">
        <v>0</v>
      </c>
      <c r="AB4">
        <v>12696</v>
      </c>
      <c r="AC4">
        <v>7692</v>
      </c>
      <c r="AD4">
        <v>8250</v>
      </c>
      <c r="AE4">
        <v>0</v>
      </c>
      <c r="AF4">
        <v>8424</v>
      </c>
      <c r="AG4">
        <v>9880</v>
      </c>
      <c r="AH4">
        <v>0</v>
      </c>
      <c r="AI4">
        <v>19250</v>
      </c>
      <c r="AJ4">
        <v>0</v>
      </c>
      <c r="AK4">
        <v>12216</v>
      </c>
      <c r="AL4">
        <v>0</v>
      </c>
      <c r="AM4">
        <v>0</v>
      </c>
      <c r="AN4">
        <v>7694</v>
      </c>
      <c r="AO4">
        <v>0</v>
      </c>
      <c r="AP4">
        <v>7212</v>
      </c>
      <c r="AQ4">
        <v>0</v>
      </c>
      <c r="AR4">
        <v>43104</v>
      </c>
      <c r="AS4">
        <v>90776</v>
      </c>
      <c r="AT4">
        <v>0</v>
      </c>
      <c r="AU4">
        <v>0</v>
      </c>
      <c r="AV4">
        <v>44810</v>
      </c>
      <c r="AW4">
        <v>507133</v>
      </c>
    </row>
    <row r="5" spans="1:49" x14ac:dyDescent="0.35">
      <c r="A5" t="s">
        <v>138</v>
      </c>
      <c r="B5">
        <v>0</v>
      </c>
      <c r="C5">
        <v>48</v>
      </c>
      <c r="D5">
        <v>0</v>
      </c>
      <c r="E5">
        <v>3488</v>
      </c>
      <c r="F5">
        <v>0</v>
      </c>
      <c r="G5">
        <v>0</v>
      </c>
      <c r="H5">
        <v>10600</v>
      </c>
      <c r="I5">
        <v>0</v>
      </c>
      <c r="J5">
        <v>0</v>
      </c>
      <c r="K5">
        <v>0</v>
      </c>
      <c r="L5">
        <v>0</v>
      </c>
      <c r="M5">
        <v>0</v>
      </c>
      <c r="N5">
        <v>22278</v>
      </c>
      <c r="O5">
        <v>0</v>
      </c>
      <c r="P5">
        <v>0</v>
      </c>
      <c r="Q5">
        <v>0</v>
      </c>
      <c r="R5">
        <v>0</v>
      </c>
      <c r="S5">
        <v>1000</v>
      </c>
      <c r="T5">
        <v>0</v>
      </c>
      <c r="U5">
        <v>0</v>
      </c>
      <c r="V5">
        <v>0</v>
      </c>
      <c r="W5">
        <v>0</v>
      </c>
      <c r="X5">
        <v>0</v>
      </c>
      <c r="Y5">
        <v>0</v>
      </c>
      <c r="Z5">
        <v>0</v>
      </c>
      <c r="AA5">
        <v>0</v>
      </c>
      <c r="AB5">
        <v>9298</v>
      </c>
      <c r="AC5">
        <v>0</v>
      </c>
      <c r="AD5">
        <v>0</v>
      </c>
      <c r="AE5">
        <v>0</v>
      </c>
      <c r="AF5">
        <v>0</v>
      </c>
      <c r="AG5">
        <v>1918</v>
      </c>
      <c r="AH5">
        <v>0</v>
      </c>
      <c r="AI5">
        <v>1384</v>
      </c>
      <c r="AJ5">
        <v>0</v>
      </c>
      <c r="AK5">
        <v>1170</v>
      </c>
      <c r="AL5">
        <v>0</v>
      </c>
      <c r="AM5">
        <v>0</v>
      </c>
      <c r="AN5">
        <v>0</v>
      </c>
      <c r="AO5">
        <v>0</v>
      </c>
      <c r="AP5">
        <v>0</v>
      </c>
      <c r="AQ5">
        <v>0</v>
      </c>
      <c r="AR5">
        <v>0</v>
      </c>
      <c r="AS5">
        <v>0</v>
      </c>
      <c r="AT5">
        <v>0</v>
      </c>
      <c r="AU5">
        <v>0</v>
      </c>
      <c r="AV5">
        <v>0</v>
      </c>
      <c r="AW5">
        <v>51184</v>
      </c>
    </row>
    <row r="6" spans="1:49" x14ac:dyDescent="0.35">
      <c r="A6" t="s">
        <v>82</v>
      </c>
      <c r="B6">
        <v>0</v>
      </c>
      <c r="C6">
        <v>0</v>
      </c>
      <c r="D6">
        <v>1717</v>
      </c>
      <c r="E6">
        <v>0</v>
      </c>
      <c r="F6">
        <v>0</v>
      </c>
      <c r="G6">
        <v>574</v>
      </c>
      <c r="H6">
        <v>0</v>
      </c>
      <c r="I6">
        <v>36</v>
      </c>
      <c r="J6">
        <v>177</v>
      </c>
      <c r="K6">
        <v>0</v>
      </c>
      <c r="L6">
        <v>0</v>
      </c>
      <c r="M6">
        <v>351</v>
      </c>
      <c r="N6">
        <v>1029</v>
      </c>
      <c r="O6">
        <v>0</v>
      </c>
      <c r="P6">
        <v>7329</v>
      </c>
      <c r="Q6">
        <v>2131</v>
      </c>
      <c r="R6">
        <v>55</v>
      </c>
      <c r="S6">
        <v>0</v>
      </c>
      <c r="T6">
        <v>124</v>
      </c>
      <c r="U6">
        <v>74</v>
      </c>
      <c r="V6">
        <v>29</v>
      </c>
      <c r="W6">
        <v>0</v>
      </c>
      <c r="X6">
        <v>998</v>
      </c>
      <c r="Y6">
        <v>76</v>
      </c>
      <c r="Z6">
        <v>118</v>
      </c>
      <c r="AA6">
        <v>194</v>
      </c>
      <c r="AB6">
        <v>0</v>
      </c>
      <c r="AC6">
        <v>0</v>
      </c>
      <c r="AD6">
        <v>24</v>
      </c>
      <c r="AE6">
        <v>0</v>
      </c>
      <c r="AF6">
        <v>0</v>
      </c>
      <c r="AG6">
        <v>0</v>
      </c>
      <c r="AH6">
        <v>0</v>
      </c>
      <c r="AI6">
        <v>0</v>
      </c>
      <c r="AJ6">
        <v>34261</v>
      </c>
      <c r="AK6">
        <v>0</v>
      </c>
      <c r="AL6">
        <v>0</v>
      </c>
      <c r="AM6">
        <v>2683</v>
      </c>
      <c r="AN6">
        <v>488</v>
      </c>
      <c r="AO6">
        <v>217</v>
      </c>
      <c r="AP6">
        <v>351</v>
      </c>
      <c r="AQ6">
        <v>0</v>
      </c>
      <c r="AR6">
        <v>0</v>
      </c>
      <c r="AS6">
        <v>0</v>
      </c>
      <c r="AT6">
        <v>0</v>
      </c>
      <c r="AU6">
        <v>1491</v>
      </c>
      <c r="AV6">
        <v>0</v>
      </c>
      <c r="AW6">
        <v>54527</v>
      </c>
    </row>
    <row r="7" spans="1:49" x14ac:dyDescent="0.35">
      <c r="A7" t="s">
        <v>60</v>
      </c>
      <c r="B7">
        <v>0</v>
      </c>
      <c r="C7">
        <v>194</v>
      </c>
      <c r="D7">
        <v>255</v>
      </c>
      <c r="E7">
        <v>0</v>
      </c>
      <c r="F7">
        <v>52</v>
      </c>
      <c r="G7">
        <v>110</v>
      </c>
      <c r="H7">
        <v>21</v>
      </c>
      <c r="I7">
        <v>10</v>
      </c>
      <c r="J7">
        <v>132</v>
      </c>
      <c r="K7">
        <v>0</v>
      </c>
      <c r="L7">
        <v>0</v>
      </c>
      <c r="M7">
        <v>116</v>
      </c>
      <c r="N7">
        <v>397</v>
      </c>
      <c r="O7">
        <v>0</v>
      </c>
      <c r="P7">
        <v>1032</v>
      </c>
      <c r="Q7">
        <v>396</v>
      </c>
      <c r="R7">
        <v>32</v>
      </c>
      <c r="S7">
        <v>0</v>
      </c>
      <c r="T7">
        <v>0</v>
      </c>
      <c r="U7">
        <v>0</v>
      </c>
      <c r="V7">
        <v>8</v>
      </c>
      <c r="W7">
        <v>0</v>
      </c>
      <c r="X7">
        <v>385</v>
      </c>
      <c r="Y7">
        <v>117</v>
      </c>
      <c r="Z7">
        <v>0</v>
      </c>
      <c r="AA7">
        <v>107</v>
      </c>
      <c r="AB7">
        <v>0</v>
      </c>
      <c r="AC7">
        <v>0</v>
      </c>
      <c r="AD7">
        <v>18</v>
      </c>
      <c r="AE7">
        <v>0</v>
      </c>
      <c r="AF7">
        <v>0</v>
      </c>
      <c r="AG7">
        <v>0</v>
      </c>
      <c r="AH7">
        <v>0</v>
      </c>
      <c r="AI7">
        <v>0</v>
      </c>
      <c r="AJ7">
        <v>10770</v>
      </c>
      <c r="AK7">
        <v>0</v>
      </c>
      <c r="AL7">
        <v>0</v>
      </c>
      <c r="AM7">
        <v>528</v>
      </c>
      <c r="AN7">
        <v>214</v>
      </c>
      <c r="AO7">
        <v>0</v>
      </c>
      <c r="AP7">
        <v>12</v>
      </c>
      <c r="AQ7">
        <v>0</v>
      </c>
      <c r="AR7">
        <v>0</v>
      </c>
      <c r="AS7">
        <v>0</v>
      </c>
      <c r="AT7">
        <v>0</v>
      </c>
      <c r="AU7">
        <v>374</v>
      </c>
      <c r="AV7">
        <v>0</v>
      </c>
      <c r="AW7">
        <v>15280</v>
      </c>
    </row>
    <row r="8" spans="1:49" x14ac:dyDescent="0.35">
      <c r="A8" t="s">
        <v>127</v>
      </c>
    </row>
    <row r="9" spans="1:49" x14ac:dyDescent="0.35">
      <c r="A9" t="s">
        <v>61</v>
      </c>
      <c r="B9">
        <v>0</v>
      </c>
      <c r="C9">
        <v>0</v>
      </c>
      <c r="D9">
        <v>0</v>
      </c>
      <c r="E9">
        <v>0</v>
      </c>
      <c r="F9">
        <v>0</v>
      </c>
      <c r="G9">
        <v>44</v>
      </c>
      <c r="H9">
        <v>0</v>
      </c>
      <c r="I9">
        <v>0</v>
      </c>
      <c r="J9">
        <v>361</v>
      </c>
      <c r="K9">
        <v>0</v>
      </c>
      <c r="L9">
        <v>0</v>
      </c>
      <c r="M9">
        <v>168</v>
      </c>
      <c r="N9">
        <v>0</v>
      </c>
      <c r="O9">
        <v>0</v>
      </c>
      <c r="P9">
        <v>0</v>
      </c>
      <c r="Q9">
        <v>999</v>
      </c>
      <c r="R9">
        <v>0</v>
      </c>
      <c r="S9">
        <v>0</v>
      </c>
      <c r="T9">
        <v>0</v>
      </c>
      <c r="U9">
        <v>0</v>
      </c>
      <c r="V9">
        <v>5</v>
      </c>
      <c r="W9">
        <v>0</v>
      </c>
      <c r="X9">
        <v>0</v>
      </c>
      <c r="Y9">
        <v>0</v>
      </c>
      <c r="Z9">
        <v>0</v>
      </c>
      <c r="AA9">
        <v>0</v>
      </c>
      <c r="AB9">
        <v>0</v>
      </c>
      <c r="AC9">
        <v>0</v>
      </c>
      <c r="AD9">
        <v>0</v>
      </c>
      <c r="AE9">
        <v>0</v>
      </c>
      <c r="AF9">
        <v>0</v>
      </c>
      <c r="AG9">
        <v>0</v>
      </c>
      <c r="AH9">
        <v>0</v>
      </c>
      <c r="AI9">
        <v>0</v>
      </c>
      <c r="AJ9">
        <v>0</v>
      </c>
      <c r="AK9">
        <v>0</v>
      </c>
      <c r="AL9">
        <v>0</v>
      </c>
      <c r="AM9">
        <v>2217</v>
      </c>
      <c r="AN9">
        <v>0</v>
      </c>
      <c r="AO9">
        <v>0</v>
      </c>
      <c r="AP9">
        <v>0</v>
      </c>
      <c r="AQ9">
        <v>0</v>
      </c>
      <c r="AR9">
        <v>0</v>
      </c>
      <c r="AS9">
        <v>0</v>
      </c>
      <c r="AT9">
        <v>0</v>
      </c>
      <c r="AU9">
        <v>0</v>
      </c>
      <c r="AV9">
        <v>0</v>
      </c>
      <c r="AW9">
        <v>3794</v>
      </c>
    </row>
    <row r="10" spans="1:49" x14ac:dyDescent="0.35">
      <c r="A10" t="s">
        <v>62</v>
      </c>
      <c r="B10">
        <v>0</v>
      </c>
      <c r="C10">
        <v>0</v>
      </c>
      <c r="D10">
        <v>0</v>
      </c>
      <c r="E10">
        <v>0</v>
      </c>
      <c r="F10">
        <v>0</v>
      </c>
      <c r="G10">
        <v>0</v>
      </c>
      <c r="H10">
        <v>0</v>
      </c>
      <c r="I10">
        <v>0</v>
      </c>
      <c r="J10">
        <v>163</v>
      </c>
      <c r="K10">
        <v>0</v>
      </c>
      <c r="L10">
        <v>0</v>
      </c>
      <c r="M10">
        <v>8</v>
      </c>
      <c r="N10">
        <v>0</v>
      </c>
      <c r="O10">
        <v>0</v>
      </c>
      <c r="P10">
        <v>2970</v>
      </c>
      <c r="Q10">
        <v>6</v>
      </c>
      <c r="R10">
        <v>0</v>
      </c>
      <c r="S10">
        <v>0</v>
      </c>
      <c r="T10">
        <v>0</v>
      </c>
      <c r="U10">
        <v>0</v>
      </c>
      <c r="V10">
        <v>1</v>
      </c>
      <c r="W10">
        <v>0</v>
      </c>
      <c r="X10">
        <v>2036</v>
      </c>
      <c r="Y10">
        <v>0</v>
      </c>
      <c r="Z10">
        <v>174</v>
      </c>
      <c r="AA10">
        <v>0</v>
      </c>
      <c r="AB10">
        <v>0</v>
      </c>
      <c r="AC10">
        <v>0</v>
      </c>
      <c r="AD10">
        <v>0</v>
      </c>
      <c r="AE10">
        <v>0</v>
      </c>
      <c r="AF10">
        <v>0</v>
      </c>
      <c r="AG10">
        <v>0</v>
      </c>
      <c r="AH10">
        <v>0</v>
      </c>
      <c r="AI10">
        <v>0</v>
      </c>
      <c r="AJ10">
        <v>3518</v>
      </c>
      <c r="AK10">
        <v>0</v>
      </c>
      <c r="AL10">
        <v>0</v>
      </c>
      <c r="AM10">
        <v>4286</v>
      </c>
      <c r="AN10">
        <v>234</v>
      </c>
      <c r="AO10">
        <v>0</v>
      </c>
      <c r="AP10">
        <v>255</v>
      </c>
      <c r="AQ10">
        <v>0</v>
      </c>
      <c r="AR10">
        <v>0</v>
      </c>
      <c r="AS10">
        <v>0</v>
      </c>
      <c r="AT10">
        <v>0</v>
      </c>
      <c r="AU10">
        <v>0</v>
      </c>
      <c r="AV10">
        <v>0</v>
      </c>
      <c r="AW10">
        <v>13651</v>
      </c>
    </row>
    <row r="11" spans="1:49" x14ac:dyDescent="0.35">
      <c r="A11" t="s">
        <v>203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row>
    <row r="12" spans="1:49" x14ac:dyDescent="0.35">
      <c r="A12" t="s">
        <v>204</v>
      </c>
      <c r="AV12">
        <v>229</v>
      </c>
      <c r="AW12">
        <v>229</v>
      </c>
    </row>
    <row r="13" spans="1:49" x14ac:dyDescent="0.35">
      <c r="A13" t="s">
        <v>205</v>
      </c>
      <c r="B13">
        <v>0</v>
      </c>
      <c r="C13">
        <v>0</v>
      </c>
      <c r="D13">
        <v>0</v>
      </c>
      <c r="E13">
        <v>0</v>
      </c>
      <c r="F13">
        <v>0</v>
      </c>
      <c r="G13">
        <v>0</v>
      </c>
      <c r="H13">
        <v>190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26</v>
      </c>
      <c r="AW13">
        <v>216</v>
      </c>
    </row>
    <row r="14" spans="1:49" x14ac:dyDescent="0.35">
      <c r="A14" t="s">
        <v>133</v>
      </c>
      <c r="H14">
        <v>2380</v>
      </c>
      <c r="AR14">
        <v>93</v>
      </c>
      <c r="AT14">
        <v>145</v>
      </c>
      <c r="AW14">
        <v>2618</v>
      </c>
    </row>
    <row r="15" spans="1:49" x14ac:dyDescent="0.35">
      <c r="A15" t="s">
        <v>206</v>
      </c>
    </row>
    <row r="16" spans="1:49" x14ac:dyDescent="0.35">
      <c r="A16" t="s">
        <v>136</v>
      </c>
      <c r="H16">
        <v>820</v>
      </c>
      <c r="AT16">
        <v>8924</v>
      </c>
      <c r="AV16">
        <v>312</v>
      </c>
      <c r="AW16">
        <v>10056</v>
      </c>
    </row>
    <row r="17" spans="1:49" x14ac:dyDescent="0.35">
      <c r="A17" t="s">
        <v>207</v>
      </c>
    </row>
    <row r="18" spans="1:49" x14ac:dyDescent="0.35">
      <c r="A18" t="s">
        <v>141</v>
      </c>
      <c r="H18">
        <v>70</v>
      </c>
      <c r="AT18">
        <v>3705</v>
      </c>
      <c r="AW18">
        <v>3775</v>
      </c>
    </row>
    <row r="19" spans="1:49" x14ac:dyDescent="0.35">
      <c r="A19" t="s">
        <v>208</v>
      </c>
    </row>
    <row r="20" spans="1:49" x14ac:dyDescent="0.35">
      <c r="A20" t="s">
        <v>209</v>
      </c>
    </row>
    <row r="21" spans="1:49" x14ac:dyDescent="0.35">
      <c r="A21" t="s">
        <v>134</v>
      </c>
      <c r="H21">
        <v>1600</v>
      </c>
      <c r="AR21">
        <v>2508</v>
      </c>
      <c r="AT21">
        <v>326</v>
      </c>
      <c r="AV21">
        <v>519</v>
      </c>
      <c r="AW21">
        <v>4953</v>
      </c>
    </row>
    <row r="22" spans="1:49" x14ac:dyDescent="0.35">
      <c r="A22" t="s">
        <v>142</v>
      </c>
      <c r="AR22">
        <v>10536</v>
      </c>
      <c r="AT22">
        <v>362</v>
      </c>
      <c r="AV22">
        <v>145</v>
      </c>
      <c r="AW22">
        <v>11043</v>
      </c>
    </row>
    <row r="23" spans="1:49" x14ac:dyDescent="0.35">
      <c r="A23" t="s">
        <v>83</v>
      </c>
      <c r="B23">
        <v>0</v>
      </c>
      <c r="C23">
        <v>0</v>
      </c>
      <c r="D23">
        <v>0</v>
      </c>
      <c r="E23">
        <v>0</v>
      </c>
      <c r="F23">
        <v>0</v>
      </c>
      <c r="G23">
        <v>0</v>
      </c>
      <c r="H23">
        <v>60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8781</v>
      </c>
      <c r="AU23">
        <v>0</v>
      </c>
      <c r="AV23">
        <v>413</v>
      </c>
      <c r="AW23">
        <v>9254</v>
      </c>
    </row>
    <row r="24" spans="1:49" x14ac:dyDescent="0.35">
      <c r="A24" t="s">
        <v>84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1511</v>
      </c>
      <c r="AL24">
        <v>0</v>
      </c>
      <c r="AM24">
        <v>0</v>
      </c>
      <c r="AN24">
        <v>0</v>
      </c>
      <c r="AO24">
        <v>0</v>
      </c>
      <c r="AP24">
        <v>0</v>
      </c>
      <c r="AQ24">
        <v>0</v>
      </c>
      <c r="AR24">
        <v>0</v>
      </c>
      <c r="AS24">
        <v>0</v>
      </c>
      <c r="AT24">
        <v>0</v>
      </c>
      <c r="AU24">
        <v>0</v>
      </c>
      <c r="AV24">
        <v>0</v>
      </c>
      <c r="AW24">
        <v>1511</v>
      </c>
    </row>
    <row r="25" spans="1:49" x14ac:dyDescent="0.35">
      <c r="A25" t="s">
        <v>223</v>
      </c>
      <c r="AT25">
        <v>2746</v>
      </c>
      <c r="AW25">
        <v>2746</v>
      </c>
    </row>
    <row r="26" spans="1:49" x14ac:dyDescent="0.35">
      <c r="A26" t="s">
        <v>87</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3046</v>
      </c>
      <c r="AL26">
        <v>0</v>
      </c>
      <c r="AM26">
        <v>0</v>
      </c>
      <c r="AN26">
        <v>0</v>
      </c>
      <c r="AO26">
        <v>0</v>
      </c>
      <c r="AP26">
        <v>0</v>
      </c>
      <c r="AQ26">
        <v>0</v>
      </c>
      <c r="AR26">
        <v>0</v>
      </c>
      <c r="AS26">
        <v>0</v>
      </c>
      <c r="AT26">
        <v>0</v>
      </c>
      <c r="AU26">
        <v>0</v>
      </c>
      <c r="AV26">
        <v>0</v>
      </c>
      <c r="AW26">
        <v>3046</v>
      </c>
    </row>
    <row r="29" spans="1:49" x14ac:dyDescent="0.35">
      <c r="B29" t="s">
        <v>0</v>
      </c>
      <c r="C29" t="s">
        <v>210</v>
      </c>
      <c r="D29" t="s">
        <v>211</v>
      </c>
      <c r="E29">
        <v>2012</v>
      </c>
    </row>
    <row r="30" spans="1:49" x14ac:dyDescent="0.35">
      <c r="B30" t="str">
        <f>B1</f>
        <v>AGO</v>
      </c>
      <c r="C30">
        <f>B2</f>
        <v>27128336.499999981</v>
      </c>
      <c r="D30" t="str">
        <f t="shared" ref="D30:D52" si="0">A3</f>
        <v>Medical Doctors</v>
      </c>
      <c r="E30">
        <f t="shared" ref="E30:E52" si="1">B3</f>
        <v>0</v>
      </c>
    </row>
    <row r="31" spans="1:49" x14ac:dyDescent="0.35">
      <c r="D31" t="str">
        <f t="shared" si="0"/>
        <v>Nursing Personnel</v>
      </c>
      <c r="E31">
        <f t="shared" si="1"/>
        <v>0</v>
      </c>
    </row>
    <row r="32" spans="1:49" x14ac:dyDescent="0.35">
      <c r="D32" t="str">
        <f t="shared" si="0"/>
        <v>Midwifery personnel</v>
      </c>
      <c r="E32">
        <f t="shared" si="1"/>
        <v>0</v>
      </c>
    </row>
    <row r="33" spans="4:5" x14ac:dyDescent="0.35">
      <c r="D33" t="str">
        <f t="shared" si="0"/>
        <v>Pharmacists</v>
      </c>
      <c r="E33">
        <f t="shared" si="1"/>
        <v>0</v>
      </c>
    </row>
    <row r="34" spans="4:5" x14ac:dyDescent="0.35">
      <c r="D34" t="str">
        <f t="shared" si="0"/>
        <v>Dentists</v>
      </c>
      <c r="E34">
        <f t="shared" si="1"/>
        <v>0</v>
      </c>
    </row>
    <row r="35" spans="4:5" x14ac:dyDescent="0.35">
      <c r="D35" t="str">
        <f t="shared" si="0"/>
        <v xml:space="preserve">Community Health Workers </v>
      </c>
      <c r="E35">
        <f t="shared" si="1"/>
        <v>0</v>
      </c>
    </row>
    <row r="36" spans="4:5" x14ac:dyDescent="0.35">
      <c r="D36" t="str">
        <f t="shared" si="0"/>
        <v>Dieticians and nutritionists</v>
      </c>
      <c r="E36">
        <f t="shared" si="1"/>
        <v>0</v>
      </c>
    </row>
    <row r="37" spans="4:5" x14ac:dyDescent="0.35">
      <c r="D37" t="str">
        <f t="shared" si="0"/>
        <v>Environmental and occupational health &amp; hygiene workers</v>
      </c>
      <c r="E37">
        <f t="shared" si="1"/>
        <v>0</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 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10494912.499999989</v>
      </c>
      <c r="D54" t="str">
        <f t="shared" ref="D54:D117" si="3">D30</f>
        <v>Medical Doctors</v>
      </c>
      <c r="E54">
        <f t="shared" ref="E54:E77" si="4">C3</f>
        <v>1218</v>
      </c>
    </row>
    <row r="55" spans="2:5" x14ac:dyDescent="0.35">
      <c r="D55" t="str">
        <f t="shared" si="3"/>
        <v>Nursing Personnel</v>
      </c>
      <c r="E55">
        <f t="shared" si="4"/>
        <v>13638</v>
      </c>
    </row>
    <row r="56" spans="2:5" x14ac:dyDescent="0.35">
      <c r="D56" t="str">
        <f t="shared" si="3"/>
        <v>Midwifery personnel</v>
      </c>
      <c r="E56">
        <f t="shared" si="4"/>
        <v>48</v>
      </c>
    </row>
    <row r="57" spans="2:5" x14ac:dyDescent="0.35">
      <c r="D57" t="str">
        <f t="shared" si="3"/>
        <v>Pharmacists</v>
      </c>
      <c r="E57">
        <f t="shared" si="4"/>
        <v>0</v>
      </c>
    </row>
    <row r="58" spans="2:5" x14ac:dyDescent="0.35">
      <c r="D58" t="str">
        <f t="shared" si="3"/>
        <v>Dentists</v>
      </c>
      <c r="E58">
        <f t="shared" si="4"/>
        <v>194</v>
      </c>
    </row>
    <row r="59" spans="2:5" x14ac:dyDescent="0.35">
      <c r="D59" t="str">
        <f t="shared" si="3"/>
        <v xml:space="preserve">Community Health Workers </v>
      </c>
      <c r="E59">
        <f t="shared" si="4"/>
        <v>0</v>
      </c>
    </row>
    <row r="60" spans="2:5" x14ac:dyDescent="0.35">
      <c r="D60" t="str">
        <f t="shared" si="3"/>
        <v>Dieticians and nutritionists</v>
      </c>
      <c r="E60">
        <f t="shared" si="4"/>
        <v>0</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 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10614844.000000013</v>
      </c>
      <c r="D78" t="str">
        <f t="shared" si="3"/>
        <v>Medical Doctors</v>
      </c>
      <c r="E78">
        <f t="shared" ref="E78:E101" si="5">D3</f>
        <v>191</v>
      </c>
    </row>
    <row r="79" spans="2:5" x14ac:dyDescent="0.35">
      <c r="D79" t="str">
        <f t="shared" si="3"/>
        <v>Nursing Personnel</v>
      </c>
      <c r="E79">
        <f t="shared" si="5"/>
        <v>0</v>
      </c>
    </row>
    <row r="80" spans="2:5" x14ac:dyDescent="0.35">
      <c r="D80" t="str">
        <f t="shared" si="3"/>
        <v>Midwifery personnel</v>
      </c>
      <c r="E80">
        <f t="shared" si="5"/>
        <v>0</v>
      </c>
    </row>
    <row r="81" spans="4:5" x14ac:dyDescent="0.35">
      <c r="D81" t="str">
        <f t="shared" si="3"/>
        <v>Pharmacists</v>
      </c>
      <c r="E81">
        <f t="shared" si="5"/>
        <v>1717</v>
      </c>
    </row>
    <row r="82" spans="4:5" x14ac:dyDescent="0.35">
      <c r="D82" t="str">
        <f t="shared" si="3"/>
        <v>Dentists</v>
      </c>
      <c r="E82">
        <f t="shared" si="5"/>
        <v>255</v>
      </c>
    </row>
    <row r="83" spans="4:5" x14ac:dyDescent="0.35">
      <c r="D83" t="str">
        <f t="shared" si="3"/>
        <v xml:space="preserve">Community Health Workers </v>
      </c>
      <c r="E83">
        <f t="shared" si="5"/>
        <v>0</v>
      </c>
    </row>
    <row r="84" spans="4:5" x14ac:dyDescent="0.35">
      <c r="D84" t="str">
        <f t="shared" si="3"/>
        <v>Dieticians and nutritionists</v>
      </c>
      <c r="E84">
        <f t="shared" si="5"/>
        <v>0</v>
      </c>
    </row>
    <row r="85" spans="4:5" x14ac:dyDescent="0.35">
      <c r="D85" t="str">
        <f t="shared" si="3"/>
        <v>Environmental and occupational health &amp; hygiene workers</v>
      </c>
      <c r="E85">
        <f t="shared" si="5"/>
        <v>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0</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0</v>
      </c>
    </row>
    <row r="97" spans="2:5" x14ac:dyDescent="0.35">
      <c r="D97" t="str">
        <f t="shared" si="3"/>
        <v xml:space="preserve">Paramedical Practitioners </v>
      </c>
      <c r="E97">
        <f t="shared" si="5"/>
        <v>0</v>
      </c>
    </row>
    <row r="98" spans="2:5" x14ac:dyDescent="0.35">
      <c r="D98" t="str">
        <f t="shared" si="3"/>
        <v>Physiotherapists and physiotherapy assistants</v>
      </c>
      <c r="E98">
        <f t="shared" si="5"/>
        <v>0</v>
      </c>
    </row>
    <row r="99" spans="2:5" x14ac:dyDescent="0.35">
      <c r="D99" t="str">
        <f t="shared" si="3"/>
        <v>Social workers</v>
      </c>
      <c r="E99">
        <f t="shared" si="5"/>
        <v>0</v>
      </c>
    </row>
    <row r="100" spans="2:5" x14ac:dyDescent="0.35">
      <c r="D100" t="str">
        <f t="shared" si="3"/>
        <v xml:space="preserve"> 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18169842.499999996</v>
      </c>
      <c r="D102" s="29" t="str">
        <f t="shared" si="3"/>
        <v>Medical Doctors</v>
      </c>
      <c r="E102">
        <f t="shared" ref="E102:E125" si="6">E3</f>
        <v>1818</v>
      </c>
    </row>
    <row r="103" spans="2:5" x14ac:dyDescent="0.35">
      <c r="D103" s="29" t="str">
        <f t="shared" si="3"/>
        <v>Nursing Personnel</v>
      </c>
      <c r="E103">
        <f t="shared" si="6"/>
        <v>12716</v>
      </c>
    </row>
    <row r="104" spans="2:5" x14ac:dyDescent="0.35">
      <c r="D104" s="29" t="str">
        <f t="shared" si="3"/>
        <v>Midwifery personnel</v>
      </c>
      <c r="E104">
        <f t="shared" si="6"/>
        <v>3488</v>
      </c>
    </row>
    <row r="105" spans="2:5" x14ac:dyDescent="0.35">
      <c r="D105" s="29" t="str">
        <f t="shared" si="3"/>
        <v>Pharmacists</v>
      </c>
      <c r="E105">
        <f t="shared" si="6"/>
        <v>0</v>
      </c>
    </row>
    <row r="106" spans="2:5" x14ac:dyDescent="0.35">
      <c r="D106" s="29" t="str">
        <f t="shared" si="3"/>
        <v>Dentists</v>
      </c>
      <c r="E106">
        <f t="shared" si="6"/>
        <v>0</v>
      </c>
    </row>
    <row r="107" spans="2:5" x14ac:dyDescent="0.35">
      <c r="D107" s="29" t="str">
        <f t="shared" si="3"/>
        <v xml:space="preserve">Community Health Workers </v>
      </c>
      <c r="E107">
        <f t="shared" si="6"/>
        <v>0</v>
      </c>
    </row>
    <row r="108" spans="2:5" x14ac:dyDescent="0.35">
      <c r="D108" s="29" t="str">
        <f t="shared" si="3"/>
        <v>Dieticians and nutritionists</v>
      </c>
      <c r="E108">
        <f t="shared" si="6"/>
        <v>0</v>
      </c>
    </row>
    <row r="109" spans="2:5" x14ac:dyDescent="0.35">
      <c r="D109" s="29" t="str">
        <f t="shared" si="3"/>
        <v>Environmental and occupational health &amp; hygiene workers</v>
      </c>
      <c r="E109">
        <f t="shared" si="6"/>
        <v>0</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0</v>
      </c>
    </row>
    <row r="113" spans="2:5" x14ac:dyDescent="0.35">
      <c r="D113" s="29" t="str">
        <f t="shared" si="3"/>
        <v xml:space="preserve">Medical and Pathology Laboratory scientists </v>
      </c>
      <c r="E113">
        <f t="shared" si="6"/>
        <v>0</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0</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0</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0</v>
      </c>
    </row>
    <row r="123" spans="2:5" x14ac:dyDescent="0.35">
      <c r="D123" s="29" t="str">
        <f t="shared" si="7"/>
        <v>Social workers</v>
      </c>
      <c r="E123">
        <f t="shared" si="6"/>
        <v>0</v>
      </c>
    </row>
    <row r="124" spans="2:5" x14ac:dyDescent="0.35">
      <c r="D124" s="29" t="str">
        <f t="shared" si="7"/>
        <v xml:space="preserve"> Audiologists and Speech Therapists </v>
      </c>
      <c r="E124">
        <f t="shared" si="6"/>
        <v>0</v>
      </c>
    </row>
    <row r="125" spans="2:5" x14ac:dyDescent="0.35">
      <c r="D125" s="29" t="str">
        <f t="shared" si="7"/>
        <v>Traditional and complementary medicine practitioners</v>
      </c>
      <c r="E125">
        <f t="shared" si="6"/>
        <v>0</v>
      </c>
    </row>
    <row r="126" spans="2:5" x14ac:dyDescent="0.35">
      <c r="B126" t="str">
        <f>F1</f>
        <v>BWA</v>
      </c>
      <c r="C126">
        <f>F2</f>
        <v>2260375.5000000019</v>
      </c>
      <c r="D126" s="29" t="str">
        <f t="shared" si="7"/>
        <v>Medical Doctors</v>
      </c>
      <c r="E126">
        <f t="shared" ref="E126:E149" si="8">F3</f>
        <v>76</v>
      </c>
    </row>
    <row r="127" spans="2:5" x14ac:dyDescent="0.35">
      <c r="D127" s="29" t="str">
        <f t="shared" si="7"/>
        <v>Nursing Personnel</v>
      </c>
      <c r="E127">
        <f t="shared" si="8"/>
        <v>0</v>
      </c>
    </row>
    <row r="128" spans="2:5" x14ac:dyDescent="0.35">
      <c r="D128" s="29" t="str">
        <f t="shared" si="7"/>
        <v>Midwifery personnel</v>
      </c>
      <c r="E128">
        <f t="shared" si="8"/>
        <v>0</v>
      </c>
    </row>
    <row r="129" spans="4:5" x14ac:dyDescent="0.35">
      <c r="D129" s="29" t="str">
        <f t="shared" si="7"/>
        <v>Pharmacists</v>
      </c>
      <c r="E129">
        <f t="shared" si="8"/>
        <v>0</v>
      </c>
    </row>
    <row r="130" spans="4:5" x14ac:dyDescent="0.35">
      <c r="D130" s="29" t="str">
        <f t="shared" si="7"/>
        <v>Dentists</v>
      </c>
      <c r="E130">
        <f t="shared" si="8"/>
        <v>52</v>
      </c>
    </row>
    <row r="131" spans="4:5" x14ac:dyDescent="0.35">
      <c r="D131" s="29" t="str">
        <f t="shared" si="7"/>
        <v xml:space="preserve">Community Health Workers </v>
      </c>
      <c r="E131">
        <f t="shared" si="8"/>
        <v>0</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0</v>
      </c>
    </row>
    <row r="134" spans="4:5" x14ac:dyDescent="0.35">
      <c r="D134" s="29" t="str">
        <f t="shared" si="7"/>
        <v>Personal care workers in health service</v>
      </c>
      <c r="E134">
        <f t="shared" si="8"/>
        <v>0</v>
      </c>
    </row>
    <row r="135" spans="4:5" x14ac:dyDescent="0.35">
      <c r="D135" s="29" t="str">
        <f t="shared" si="7"/>
        <v xml:space="preserve">Managerial staff </v>
      </c>
      <c r="E135">
        <f t="shared" si="8"/>
        <v>0</v>
      </c>
    </row>
    <row r="136" spans="4:5" x14ac:dyDescent="0.35">
      <c r="D136" s="29" t="str">
        <f t="shared" si="7"/>
        <v xml:space="preserve">Medical and dental Prosthetic Technicians </v>
      </c>
      <c r="E136">
        <f t="shared" si="8"/>
        <v>0</v>
      </c>
    </row>
    <row r="137" spans="4:5" x14ac:dyDescent="0.35">
      <c r="D137" s="29" t="str">
        <f t="shared" si="7"/>
        <v xml:space="preserve">Medical and Pathology Laboratory scientists </v>
      </c>
      <c r="E137">
        <f t="shared" si="8"/>
        <v>0</v>
      </c>
    </row>
    <row r="138" spans="4:5" x14ac:dyDescent="0.35">
      <c r="D138" s="29" t="str">
        <f t="shared" si="7"/>
        <v xml:space="preserve">Medical Assistants </v>
      </c>
      <c r="E138">
        <f t="shared" si="8"/>
        <v>0</v>
      </c>
    </row>
    <row r="139" spans="4:5" x14ac:dyDescent="0.35">
      <c r="D139" s="29" t="str">
        <f t="shared" si="7"/>
        <v xml:space="preserve">Medical Imaging and Therapeutic Equipment Technicians </v>
      </c>
      <c r="E139">
        <f t="shared" si="8"/>
        <v>0</v>
      </c>
    </row>
    <row r="140" spans="4:5" x14ac:dyDescent="0.35">
      <c r="D140" s="29" t="str">
        <f t="shared" si="7"/>
        <v xml:space="preserve">Medical Records and Health Information Technicians </v>
      </c>
      <c r="E140">
        <f t="shared" si="8"/>
        <v>0</v>
      </c>
    </row>
    <row r="141" spans="4:5" x14ac:dyDescent="0.35">
      <c r="D141" s="29" t="str">
        <f t="shared" si="7"/>
        <v xml:space="preserve">Optometrists and Ophthalmic Opticians </v>
      </c>
      <c r="E141">
        <f t="shared" si="8"/>
        <v>0</v>
      </c>
    </row>
    <row r="142" spans="4:5" x14ac:dyDescent="0.35">
      <c r="D142" s="29" t="str">
        <f t="shared" si="7"/>
        <v xml:space="preserve">Other non-medical professional staff </v>
      </c>
      <c r="E142">
        <f t="shared" si="8"/>
        <v>0</v>
      </c>
    </row>
    <row r="143" spans="4:5" x14ac:dyDescent="0.35">
      <c r="D143" s="29" t="str">
        <f t="shared" si="7"/>
        <v xml:space="preserve">Other non-medical support staff </v>
      </c>
      <c r="E143">
        <f t="shared" si="8"/>
        <v>0</v>
      </c>
    </row>
    <row r="144" spans="4:5" x14ac:dyDescent="0.35">
      <c r="D144" s="29" t="str">
        <f t="shared" si="7"/>
        <v xml:space="preserve">Medical and Pathology Laboratory Technicians </v>
      </c>
      <c r="E144">
        <f t="shared" si="8"/>
        <v>0</v>
      </c>
    </row>
    <row r="145" spans="2:5" x14ac:dyDescent="0.35">
      <c r="D145" s="29" t="str">
        <f t="shared" si="7"/>
        <v xml:space="preserve">Paramedical Practitioners </v>
      </c>
      <c r="E145">
        <f t="shared" si="8"/>
        <v>0</v>
      </c>
    </row>
    <row r="146" spans="2:5" x14ac:dyDescent="0.35">
      <c r="D146" s="29" t="str">
        <f t="shared" si="7"/>
        <v>Physiotherapists and physiotherapy assistants</v>
      </c>
      <c r="E146">
        <f t="shared" si="8"/>
        <v>0</v>
      </c>
    </row>
    <row r="147" spans="2:5" x14ac:dyDescent="0.35">
      <c r="D147" s="29" t="str">
        <f t="shared" si="7"/>
        <v>Social workers</v>
      </c>
      <c r="E147">
        <f t="shared" si="8"/>
        <v>0</v>
      </c>
    </row>
    <row r="148" spans="2:5" x14ac:dyDescent="0.35">
      <c r="D148" s="29" t="str">
        <f t="shared" si="7"/>
        <v xml:space="preserve"> Audiologists and Speech Therapists </v>
      </c>
      <c r="E148">
        <f t="shared" si="8"/>
        <v>0</v>
      </c>
    </row>
    <row r="149" spans="2:5" x14ac:dyDescent="0.35">
      <c r="D149" s="29" t="str">
        <f t="shared" si="7"/>
        <v>Traditional and complementary medicine practitioners</v>
      </c>
      <c r="E149">
        <f t="shared" si="8"/>
        <v>0</v>
      </c>
    </row>
    <row r="150" spans="2:5" x14ac:dyDescent="0.35">
      <c r="B150" t="str">
        <f>G1</f>
        <v>CAF</v>
      </c>
      <c r="C150">
        <f>G2</f>
        <v>4798734.5</v>
      </c>
      <c r="D150" s="30" t="str">
        <f t="shared" si="7"/>
        <v>Medical Doctors</v>
      </c>
      <c r="E150">
        <f t="shared" ref="E150:E173" si="9">G3</f>
        <v>17</v>
      </c>
    </row>
    <row r="151" spans="2:5" x14ac:dyDescent="0.35">
      <c r="D151" s="30" t="str">
        <f t="shared" si="7"/>
        <v>Nursing Personnel</v>
      </c>
      <c r="E151">
        <f t="shared" si="9"/>
        <v>0</v>
      </c>
    </row>
    <row r="152" spans="2:5" x14ac:dyDescent="0.35">
      <c r="D152" s="30" t="str">
        <f t="shared" si="7"/>
        <v>Midwifery personnel</v>
      </c>
      <c r="E152">
        <f t="shared" si="9"/>
        <v>0</v>
      </c>
    </row>
    <row r="153" spans="2:5" x14ac:dyDescent="0.35">
      <c r="D153" s="30" t="str">
        <f t="shared" si="7"/>
        <v>Pharmacists</v>
      </c>
      <c r="E153">
        <f t="shared" si="9"/>
        <v>574</v>
      </c>
    </row>
    <row r="154" spans="2:5" x14ac:dyDescent="0.35">
      <c r="D154" s="30" t="str">
        <f t="shared" si="7"/>
        <v>Dentists</v>
      </c>
      <c r="E154">
        <f t="shared" si="9"/>
        <v>110</v>
      </c>
    </row>
    <row r="155" spans="2:5" x14ac:dyDescent="0.35">
      <c r="D155" s="30" t="str">
        <f t="shared" si="7"/>
        <v xml:space="preserve">Community Health Workers </v>
      </c>
      <c r="E155">
        <f t="shared" si="9"/>
        <v>0</v>
      </c>
    </row>
    <row r="156" spans="2:5" x14ac:dyDescent="0.35">
      <c r="D156" s="30" t="str">
        <f t="shared" si="7"/>
        <v>Dieticians and nutritionists</v>
      </c>
      <c r="E156">
        <f t="shared" si="9"/>
        <v>44</v>
      </c>
    </row>
    <row r="157" spans="2:5" x14ac:dyDescent="0.35">
      <c r="D157" s="30" t="str">
        <f t="shared" si="7"/>
        <v>Environmental and occupational health &amp; hygiene workers</v>
      </c>
      <c r="E157">
        <f t="shared" si="9"/>
        <v>0</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 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22995555.5</v>
      </c>
      <c r="D174" s="31" t="str">
        <f t="shared" si="7"/>
        <v>Medical Doctors</v>
      </c>
      <c r="E174">
        <f t="shared" ref="E174:E197" si="10">H3</f>
        <v>11036</v>
      </c>
    </row>
    <row r="175" spans="2:5" x14ac:dyDescent="0.35">
      <c r="D175" s="30" t="str">
        <f t="shared" si="7"/>
        <v>Nursing Personnel</v>
      </c>
      <c r="E175">
        <f t="shared" si="10"/>
        <v>17736</v>
      </c>
    </row>
    <row r="176" spans="2:5" x14ac:dyDescent="0.35">
      <c r="D176" s="30" t="str">
        <f t="shared" si="7"/>
        <v>Midwifery personnel</v>
      </c>
      <c r="E176">
        <f t="shared" si="10"/>
        <v>10600</v>
      </c>
    </row>
    <row r="177" spans="4:5" x14ac:dyDescent="0.35">
      <c r="D177" s="30" t="str">
        <f t="shared" si="7"/>
        <v>Pharmacists</v>
      </c>
      <c r="E177">
        <f t="shared" si="10"/>
        <v>0</v>
      </c>
    </row>
    <row r="178" spans="4:5" x14ac:dyDescent="0.35">
      <c r="D178" s="30" t="str">
        <f t="shared" si="7"/>
        <v>Dentists</v>
      </c>
      <c r="E178">
        <f t="shared" si="10"/>
        <v>21</v>
      </c>
    </row>
    <row r="179" spans="4:5" x14ac:dyDescent="0.35">
      <c r="D179" s="30" t="str">
        <f t="shared" si="7"/>
        <v xml:space="preserve">Community Health Workers </v>
      </c>
      <c r="E179">
        <f t="shared" si="10"/>
        <v>0</v>
      </c>
    </row>
    <row r="180" spans="4:5" x14ac:dyDescent="0.35">
      <c r="D180" s="30" t="str">
        <f t="shared" si="7"/>
        <v>Dieticians and nutritionists</v>
      </c>
      <c r="E180">
        <f t="shared" si="10"/>
        <v>0</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190</v>
      </c>
    </row>
    <row r="185" spans="4:5" x14ac:dyDescent="0.35">
      <c r="D185" s="30" t="str">
        <f t="shared" si="11"/>
        <v xml:space="preserve">Medical and Pathology Laboratory scientists </v>
      </c>
      <c r="E185">
        <f t="shared" si="10"/>
        <v>2380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820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70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1600</v>
      </c>
    </row>
    <row r="193" spans="2:5" x14ac:dyDescent="0.35">
      <c r="D193" s="30" t="str">
        <f t="shared" si="11"/>
        <v xml:space="preserve">Paramedical Practitioners </v>
      </c>
      <c r="E193">
        <f t="shared" si="10"/>
        <v>0</v>
      </c>
    </row>
    <row r="194" spans="2:5" x14ac:dyDescent="0.35">
      <c r="D194" s="30" t="str">
        <f t="shared" si="11"/>
        <v>Physiotherapists and physiotherapy assistants</v>
      </c>
      <c r="E194">
        <f t="shared" si="10"/>
        <v>60</v>
      </c>
    </row>
    <row r="195" spans="2:5" x14ac:dyDescent="0.35">
      <c r="D195" s="30" t="str">
        <f t="shared" si="11"/>
        <v>Social workers</v>
      </c>
      <c r="E195">
        <f t="shared" si="10"/>
        <v>0</v>
      </c>
    </row>
    <row r="196" spans="2:5" x14ac:dyDescent="0.35">
      <c r="D196" s="30" t="str">
        <f t="shared" si="11"/>
        <v xml:space="preserve"> 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22299584.999999989</v>
      </c>
      <c r="D198" s="30" t="str">
        <f t="shared" si="11"/>
        <v>Medical Doctors</v>
      </c>
      <c r="E198">
        <f t="shared" ref="E198:E221" si="12">I3</f>
        <v>0</v>
      </c>
    </row>
    <row r="199" spans="2:5" x14ac:dyDescent="0.35">
      <c r="D199" s="30" t="str">
        <f t="shared" si="11"/>
        <v>Nursing Personnel</v>
      </c>
      <c r="E199">
        <f t="shared" si="12"/>
        <v>0</v>
      </c>
    </row>
    <row r="200" spans="2:5" x14ac:dyDescent="0.35">
      <c r="D200" s="30" t="str">
        <f t="shared" si="11"/>
        <v>Midwifery personnel</v>
      </c>
      <c r="E200">
        <f t="shared" si="12"/>
        <v>0</v>
      </c>
    </row>
    <row r="201" spans="2:5" x14ac:dyDescent="0.35">
      <c r="D201" s="30" t="str">
        <f t="shared" si="11"/>
        <v>Pharmacists</v>
      </c>
      <c r="E201">
        <f t="shared" si="12"/>
        <v>36</v>
      </c>
    </row>
    <row r="202" spans="2:5" x14ac:dyDescent="0.35">
      <c r="D202" s="30" t="str">
        <f t="shared" si="11"/>
        <v>Dentists</v>
      </c>
      <c r="E202">
        <f t="shared" si="12"/>
        <v>10</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0</v>
      </c>
    </row>
    <row r="208" spans="2:5" x14ac:dyDescent="0.35">
      <c r="D208" s="30" t="str">
        <f t="shared" si="11"/>
        <v xml:space="preserve">Medical and dental Prosthetic Technicians </v>
      </c>
      <c r="E208">
        <f t="shared" si="12"/>
        <v>0</v>
      </c>
    </row>
    <row r="209" spans="2:5" x14ac:dyDescent="0.35">
      <c r="D209" s="30" t="str">
        <f t="shared" si="11"/>
        <v xml:space="preserve">Medical and Pathology Laboratory scientists </v>
      </c>
      <c r="E209">
        <f t="shared" si="12"/>
        <v>0</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0</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0</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0</v>
      </c>
    </row>
    <row r="219" spans="2:5" x14ac:dyDescent="0.35">
      <c r="D219" s="30" t="str">
        <f t="shared" si="11"/>
        <v>Social workers</v>
      </c>
      <c r="E219">
        <f t="shared" si="12"/>
        <v>0</v>
      </c>
    </row>
    <row r="220" spans="2:5" x14ac:dyDescent="0.35">
      <c r="D220" s="30" t="str">
        <f t="shared" si="11"/>
        <v xml:space="preserve"> 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76035588.49999994</v>
      </c>
      <c r="D222" s="29" t="str">
        <f t="shared" si="11"/>
        <v>Medical Doctors</v>
      </c>
      <c r="E222">
        <f t="shared" ref="E222:E245" si="13">J3</f>
        <v>0</v>
      </c>
    </row>
    <row r="223" spans="2:5" x14ac:dyDescent="0.35">
      <c r="D223" s="30" t="str">
        <f t="shared" si="11"/>
        <v>Nursing Personnel</v>
      </c>
      <c r="E223">
        <f t="shared" si="13"/>
        <v>0</v>
      </c>
    </row>
    <row r="224" spans="2:5" x14ac:dyDescent="0.35">
      <c r="D224" s="30" t="str">
        <f t="shared" si="11"/>
        <v>Midwifery personnel</v>
      </c>
      <c r="E224">
        <f t="shared" si="13"/>
        <v>0</v>
      </c>
    </row>
    <row r="225" spans="4:5" x14ac:dyDescent="0.35">
      <c r="D225" s="30" t="str">
        <f t="shared" si="11"/>
        <v>Pharmacists</v>
      </c>
      <c r="E225">
        <f t="shared" si="13"/>
        <v>177</v>
      </c>
    </row>
    <row r="226" spans="4:5" x14ac:dyDescent="0.35">
      <c r="D226" s="30" t="str">
        <f t="shared" si="11"/>
        <v>Dentists</v>
      </c>
      <c r="E226">
        <f t="shared" si="13"/>
        <v>132</v>
      </c>
    </row>
    <row r="227" spans="4:5" x14ac:dyDescent="0.35">
      <c r="D227" s="30" t="str">
        <f t="shared" si="11"/>
        <v xml:space="preserve">Community Health Workers </v>
      </c>
      <c r="E227">
        <f t="shared" si="13"/>
        <v>0</v>
      </c>
    </row>
    <row r="228" spans="4:5" x14ac:dyDescent="0.35">
      <c r="D228" s="30" t="str">
        <f t="shared" si="11"/>
        <v>Dieticians and nutritionists</v>
      </c>
      <c r="E228">
        <f t="shared" si="13"/>
        <v>361</v>
      </c>
    </row>
    <row r="229" spans="4:5" x14ac:dyDescent="0.35">
      <c r="D229" s="30" t="str">
        <f t="shared" si="11"/>
        <v>Environmental and occupational health &amp; hygiene workers</v>
      </c>
      <c r="E229">
        <f t="shared" si="13"/>
        <v>163</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0</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0</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0</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0</v>
      </c>
    </row>
    <row r="243" spans="2:5" x14ac:dyDescent="0.35">
      <c r="D243" s="30" t="str">
        <f t="shared" si="11"/>
        <v>Social workers</v>
      </c>
      <c r="E243">
        <f t="shared" si="13"/>
        <v>0</v>
      </c>
    </row>
    <row r="244" spans="2:5" x14ac:dyDescent="0.35">
      <c r="D244" s="30" t="str">
        <f t="shared" si="11"/>
        <v xml:space="preserve"> 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4944861.5000000019</v>
      </c>
      <c r="D246" s="29" t="str">
        <f t="shared" ref="D246:D309" si="14">D222</f>
        <v>Medical Doctors</v>
      </c>
      <c r="E246">
        <f t="shared" ref="E246:E269" si="15">K3</f>
        <v>0</v>
      </c>
    </row>
    <row r="247" spans="2:5" x14ac:dyDescent="0.35">
      <c r="D247" s="30" t="str">
        <f t="shared" si="14"/>
        <v>Nursing Personnel</v>
      </c>
      <c r="E247">
        <f t="shared" si="15"/>
        <v>6916</v>
      </c>
    </row>
    <row r="248" spans="2:5" x14ac:dyDescent="0.35">
      <c r="D248" s="30" t="str">
        <f t="shared" si="14"/>
        <v>Midwifery personnel</v>
      </c>
      <c r="E248">
        <f t="shared" si="15"/>
        <v>0</v>
      </c>
    </row>
    <row r="249" spans="2:5" x14ac:dyDescent="0.35">
      <c r="D249" s="30" t="str">
        <f t="shared" si="14"/>
        <v>Pharmacists</v>
      </c>
      <c r="E249">
        <f t="shared" si="15"/>
        <v>0</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 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714612.00000000012</v>
      </c>
      <c r="D270" s="29" t="str">
        <f t="shared" si="14"/>
        <v>Medical Doctors</v>
      </c>
      <c r="E270">
        <f t="shared" ref="E270:E293" si="16">L3</f>
        <v>0</v>
      </c>
    </row>
    <row r="271" spans="2:5" x14ac:dyDescent="0.35">
      <c r="D271" s="30" t="str">
        <f t="shared" si="14"/>
        <v>Nursing Personnel</v>
      </c>
      <c r="E271">
        <f t="shared" si="16"/>
        <v>0</v>
      </c>
    </row>
    <row r="272" spans="2:5" x14ac:dyDescent="0.35">
      <c r="D272" s="30" t="str">
        <f t="shared" si="14"/>
        <v>Midwifery personnel</v>
      </c>
      <c r="E272">
        <f t="shared" si="16"/>
        <v>0</v>
      </c>
    </row>
    <row r="273" spans="4:5" x14ac:dyDescent="0.35">
      <c r="D273" s="30" t="str">
        <f t="shared" si="14"/>
        <v>Pharmacists</v>
      </c>
      <c r="E273">
        <f t="shared" si="16"/>
        <v>0</v>
      </c>
    </row>
    <row r="274" spans="4:5" x14ac:dyDescent="0.35">
      <c r="D274" s="30" t="str">
        <f t="shared" si="14"/>
        <v>Dentists</v>
      </c>
      <c r="E274">
        <f t="shared" si="16"/>
        <v>0</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0</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 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546076</v>
      </c>
      <c r="D294" s="29" t="str">
        <f t="shared" si="14"/>
        <v>Medical Doctors</v>
      </c>
      <c r="E294">
        <f t="shared" ref="E294:E317" si="17">M3</f>
        <v>0</v>
      </c>
    </row>
    <row r="295" spans="2:5" x14ac:dyDescent="0.35">
      <c r="D295" s="30" t="str">
        <f t="shared" si="14"/>
        <v>Nursing Personnel</v>
      </c>
      <c r="E295">
        <f t="shared" si="17"/>
        <v>952</v>
      </c>
    </row>
    <row r="296" spans="2:5" x14ac:dyDescent="0.35">
      <c r="D296" s="30" t="str">
        <f t="shared" si="14"/>
        <v>Midwifery personnel</v>
      </c>
      <c r="E296">
        <f t="shared" si="17"/>
        <v>0</v>
      </c>
    </row>
    <row r="297" spans="2:5" x14ac:dyDescent="0.35">
      <c r="D297" s="30" t="str">
        <f t="shared" si="14"/>
        <v>Pharmacists</v>
      </c>
      <c r="E297">
        <f t="shared" si="17"/>
        <v>351</v>
      </c>
    </row>
    <row r="298" spans="2:5" x14ac:dyDescent="0.35">
      <c r="D298" s="30" t="str">
        <f t="shared" si="14"/>
        <v>Dentists</v>
      </c>
      <c r="E298">
        <f t="shared" si="17"/>
        <v>116</v>
      </c>
    </row>
    <row r="299" spans="2:5" x14ac:dyDescent="0.35">
      <c r="D299" s="30" t="str">
        <f t="shared" si="14"/>
        <v xml:space="preserve">Community Health Workers </v>
      </c>
      <c r="E299">
        <f t="shared" si="17"/>
        <v>0</v>
      </c>
    </row>
    <row r="300" spans="2:5" x14ac:dyDescent="0.35">
      <c r="D300" s="30" t="str">
        <f t="shared" si="14"/>
        <v>Dieticians and nutritionists</v>
      </c>
      <c r="E300">
        <f t="shared" si="17"/>
        <v>168</v>
      </c>
    </row>
    <row r="301" spans="2:5" x14ac:dyDescent="0.35">
      <c r="D301" s="30" t="str">
        <f t="shared" si="14"/>
        <v>Environmental and occupational health &amp; hygiene workers</v>
      </c>
      <c r="E301">
        <f t="shared" si="17"/>
        <v>8</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 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38760167.5</v>
      </c>
      <c r="D318" s="29" t="str">
        <f t="shared" si="18"/>
        <v>Medical Doctors</v>
      </c>
      <c r="E318">
        <f t="shared" ref="E318:E341" si="19">N3</f>
        <v>612</v>
      </c>
    </row>
    <row r="319" spans="2:5" x14ac:dyDescent="0.35">
      <c r="D319" s="30" t="str">
        <f t="shared" si="18"/>
        <v>Nursing Personnel</v>
      </c>
      <c r="E319">
        <f t="shared" si="19"/>
        <v>0</v>
      </c>
    </row>
    <row r="320" spans="2:5" x14ac:dyDescent="0.35">
      <c r="D320" s="30" t="str">
        <f t="shared" si="18"/>
        <v>Midwifery personnel</v>
      </c>
      <c r="E320">
        <f t="shared" si="19"/>
        <v>22278</v>
      </c>
    </row>
    <row r="321" spans="4:5" x14ac:dyDescent="0.35">
      <c r="D321" s="30" t="str">
        <f t="shared" si="18"/>
        <v>Pharmacists</v>
      </c>
      <c r="E321">
        <f t="shared" si="19"/>
        <v>1029</v>
      </c>
    </row>
    <row r="322" spans="4:5" x14ac:dyDescent="0.35">
      <c r="D322" s="30" t="str">
        <f t="shared" si="18"/>
        <v>Dentists</v>
      </c>
      <c r="E322">
        <f t="shared" si="19"/>
        <v>397</v>
      </c>
    </row>
    <row r="323" spans="4:5" x14ac:dyDescent="0.35">
      <c r="D323" s="30" t="str">
        <f t="shared" si="18"/>
        <v xml:space="preserve">Community Health Workers </v>
      </c>
      <c r="E323">
        <f t="shared" si="19"/>
        <v>0</v>
      </c>
    </row>
    <row r="324" spans="4:5" x14ac:dyDescent="0.35">
      <c r="D324" s="30" t="str">
        <f t="shared" si="18"/>
        <v>Dieticians and nutritionists</v>
      </c>
      <c r="E324">
        <f t="shared" si="19"/>
        <v>0</v>
      </c>
    </row>
    <row r="325" spans="4:5" x14ac:dyDescent="0.35">
      <c r="D325" s="30" t="str">
        <f t="shared" si="18"/>
        <v>Environmental and occupational health &amp; hygiene workers</v>
      </c>
      <c r="E325">
        <f t="shared" si="19"/>
        <v>0</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 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3323425.0000000009</v>
      </c>
      <c r="D342" s="29" t="str">
        <f t="shared" si="18"/>
        <v>Medical Doctors</v>
      </c>
      <c r="E342">
        <f t="shared" ref="E342:E365" si="20">O3</f>
        <v>484</v>
      </c>
    </row>
    <row r="343" spans="2:5" x14ac:dyDescent="0.35">
      <c r="D343" s="30" t="str">
        <f t="shared" si="18"/>
        <v>Nursing Personnel</v>
      </c>
      <c r="E343">
        <f t="shared" si="20"/>
        <v>8264</v>
      </c>
    </row>
    <row r="344" spans="2:5" x14ac:dyDescent="0.35">
      <c r="D344" s="30" t="str">
        <f t="shared" si="18"/>
        <v>Midwifery personnel</v>
      </c>
      <c r="E344">
        <f t="shared" si="20"/>
        <v>0</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0</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0</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 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99746766.49999994</v>
      </c>
      <c r="D366" s="29" t="str">
        <f t="shared" ref="D366:D429" si="22">D342</f>
        <v>Medical Doctors</v>
      </c>
      <c r="E366">
        <f t="shared" ref="E366:E389" si="23">P3</f>
        <v>0</v>
      </c>
    </row>
    <row r="367" spans="2:5" x14ac:dyDescent="0.35">
      <c r="D367" s="30" t="str">
        <f t="shared" si="22"/>
        <v>Nursing Personnel</v>
      </c>
      <c r="E367">
        <f t="shared" si="23"/>
        <v>0</v>
      </c>
    </row>
    <row r="368" spans="2:5" x14ac:dyDescent="0.35">
      <c r="D368" s="30" t="str">
        <f t="shared" si="22"/>
        <v>Midwifery personnel</v>
      </c>
      <c r="E368">
        <f t="shared" si="23"/>
        <v>0</v>
      </c>
    </row>
    <row r="369" spans="4:5" x14ac:dyDescent="0.35">
      <c r="D369" s="30" t="str">
        <f t="shared" si="22"/>
        <v>Pharmacists</v>
      </c>
      <c r="E369">
        <f t="shared" si="23"/>
        <v>7329</v>
      </c>
    </row>
    <row r="370" spans="4:5" x14ac:dyDescent="0.35">
      <c r="D370" s="30" t="str">
        <f t="shared" si="22"/>
        <v>Dentists</v>
      </c>
      <c r="E370">
        <f t="shared" si="23"/>
        <v>1032</v>
      </c>
    </row>
    <row r="371" spans="4:5" x14ac:dyDescent="0.35">
      <c r="D371" s="30" t="str">
        <f t="shared" si="22"/>
        <v xml:space="preserve">Community Health Workers </v>
      </c>
      <c r="E371">
        <f t="shared" si="23"/>
        <v>0</v>
      </c>
    </row>
    <row r="372" spans="4:5" x14ac:dyDescent="0.35">
      <c r="D372" s="30" t="str">
        <f t="shared" si="22"/>
        <v>Dieticians and nutritionists</v>
      </c>
      <c r="E372">
        <f t="shared" si="23"/>
        <v>0</v>
      </c>
    </row>
    <row r="373" spans="4:5" x14ac:dyDescent="0.35">
      <c r="D373" s="30" t="str">
        <f t="shared" si="22"/>
        <v>Environmental and occupational health &amp; hygiene workers</v>
      </c>
      <c r="E373">
        <f t="shared" si="23"/>
        <v>2970</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0</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0</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 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1966855.5</v>
      </c>
      <c r="D390" s="29" t="str">
        <f t="shared" si="22"/>
        <v>Medical Doctors</v>
      </c>
      <c r="E390">
        <f t="shared" ref="E390:E413" si="24">Q3</f>
        <v>0</v>
      </c>
    </row>
    <row r="391" spans="2:5" x14ac:dyDescent="0.35">
      <c r="D391" s="30" t="str">
        <f t="shared" si="22"/>
        <v>Nursing Personnel</v>
      </c>
      <c r="E391">
        <f t="shared" si="24"/>
        <v>0</v>
      </c>
    </row>
    <row r="392" spans="2:5" x14ac:dyDescent="0.35">
      <c r="D392" s="30" t="str">
        <f t="shared" si="22"/>
        <v>Midwifery personnel</v>
      </c>
      <c r="E392">
        <f t="shared" si="24"/>
        <v>0</v>
      </c>
    </row>
    <row r="393" spans="2:5" x14ac:dyDescent="0.35">
      <c r="D393" s="30" t="str">
        <f t="shared" si="22"/>
        <v>Pharmacists</v>
      </c>
      <c r="E393">
        <f t="shared" si="24"/>
        <v>2131</v>
      </c>
    </row>
    <row r="394" spans="2:5" x14ac:dyDescent="0.35">
      <c r="D394" s="30" t="str">
        <f t="shared" si="22"/>
        <v>Dentists</v>
      </c>
      <c r="E394">
        <f t="shared" si="24"/>
        <v>396</v>
      </c>
    </row>
    <row r="395" spans="2:5" x14ac:dyDescent="0.35">
      <c r="D395" s="30" t="str">
        <f t="shared" si="22"/>
        <v xml:space="preserve">Community Health Workers </v>
      </c>
      <c r="E395">
        <f t="shared" si="24"/>
        <v>0</v>
      </c>
    </row>
    <row r="396" spans="2:5" x14ac:dyDescent="0.35">
      <c r="D396" s="30" t="str">
        <f t="shared" si="22"/>
        <v>Dieticians and nutritionists</v>
      </c>
      <c r="E396">
        <f t="shared" si="24"/>
        <v>999</v>
      </c>
    </row>
    <row r="397" spans="2:5" x14ac:dyDescent="0.35">
      <c r="D397" s="30" t="str">
        <f t="shared" si="22"/>
        <v>Environmental and occupational health &amp; hygiene workers</v>
      </c>
      <c r="E397">
        <f t="shared" si="24"/>
        <v>6</v>
      </c>
    </row>
    <row r="398" spans="2:5" x14ac:dyDescent="0.35">
      <c r="D398" s="30" t="str">
        <f t="shared" si="22"/>
        <v>Personal care workers in health service</v>
      </c>
      <c r="E398">
        <f t="shared" si="24"/>
        <v>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0</v>
      </c>
    </row>
    <row r="401" spans="2:5" x14ac:dyDescent="0.35">
      <c r="D401" s="30" t="str">
        <f t="shared" si="22"/>
        <v xml:space="preserve">Medical and Pathology Laboratory scientists </v>
      </c>
      <c r="E401">
        <f t="shared" si="24"/>
        <v>0</v>
      </c>
    </row>
    <row r="402" spans="2:5" x14ac:dyDescent="0.35">
      <c r="D402" s="30" t="str">
        <f t="shared" si="22"/>
        <v xml:space="preserve">Medical Assistants </v>
      </c>
      <c r="E402">
        <f t="shared" si="24"/>
        <v>0</v>
      </c>
    </row>
    <row r="403" spans="2:5" x14ac:dyDescent="0.35">
      <c r="D403" s="30" t="str">
        <f t="shared" si="22"/>
        <v xml:space="preserve">Medical Imaging and Therapeutic Equipment Technicians </v>
      </c>
      <c r="E403">
        <f t="shared" si="24"/>
        <v>0</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0</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0</v>
      </c>
    </row>
    <row r="409" spans="2:5" x14ac:dyDescent="0.35">
      <c r="D409" s="30" t="str">
        <f t="shared" si="22"/>
        <v xml:space="preserve">Paramedical Practitioners </v>
      </c>
      <c r="E409">
        <f t="shared" si="24"/>
        <v>0</v>
      </c>
    </row>
    <row r="410" spans="2:5" x14ac:dyDescent="0.35">
      <c r="D410" s="30" t="str">
        <f t="shared" si="22"/>
        <v>Physiotherapists and physiotherapy assistants</v>
      </c>
      <c r="E410">
        <f t="shared" si="24"/>
        <v>0</v>
      </c>
    </row>
    <row r="411" spans="2:5" x14ac:dyDescent="0.35">
      <c r="D411" s="30" t="str">
        <f t="shared" si="22"/>
        <v>Social workers</v>
      </c>
      <c r="E411">
        <f t="shared" si="24"/>
        <v>0</v>
      </c>
    </row>
    <row r="412" spans="2:5" x14ac:dyDescent="0.35">
      <c r="D412" s="30" t="str">
        <f t="shared" si="22"/>
        <v xml:space="preserve"> Audiologists and Speech Therapists </v>
      </c>
      <c r="E412">
        <f t="shared" si="24"/>
        <v>0</v>
      </c>
    </row>
    <row r="413" spans="2:5" x14ac:dyDescent="0.35">
      <c r="D413" s="30" t="str">
        <f t="shared" si="22"/>
        <v>Traditional and complementary medicine practitioners</v>
      </c>
      <c r="E413">
        <f t="shared" si="24"/>
        <v>0</v>
      </c>
    </row>
    <row r="414" spans="2:5" x14ac:dyDescent="0.35">
      <c r="B414" t="str">
        <f>R1</f>
        <v>GHA</v>
      </c>
      <c r="C414">
        <f>R2</f>
        <v>28196358.499999996</v>
      </c>
      <c r="D414" s="29" t="str">
        <f t="shared" si="22"/>
        <v>Medical Doctors</v>
      </c>
      <c r="E414">
        <f t="shared" ref="E414:E437" si="25">R3</f>
        <v>6032</v>
      </c>
    </row>
    <row r="415" spans="2:5" x14ac:dyDescent="0.35">
      <c r="D415" s="30" t="str">
        <f t="shared" si="22"/>
        <v>Nursing Personnel</v>
      </c>
      <c r="E415">
        <f t="shared" si="25"/>
        <v>74808</v>
      </c>
    </row>
    <row r="416" spans="2:5" x14ac:dyDescent="0.35">
      <c r="D416" s="30" t="str">
        <f t="shared" si="22"/>
        <v>Midwifery personnel</v>
      </c>
      <c r="E416">
        <f t="shared" si="25"/>
        <v>0</v>
      </c>
    </row>
    <row r="417" spans="4:5" x14ac:dyDescent="0.35">
      <c r="D417" s="30" t="str">
        <f t="shared" si="22"/>
        <v>Pharmacists</v>
      </c>
      <c r="E417">
        <f t="shared" si="25"/>
        <v>55</v>
      </c>
    </row>
    <row r="418" spans="4:5" x14ac:dyDescent="0.35">
      <c r="D418" s="30" t="str">
        <f t="shared" si="22"/>
        <v>Dentists</v>
      </c>
      <c r="E418">
        <f t="shared" si="25"/>
        <v>32</v>
      </c>
    </row>
    <row r="419" spans="4:5" x14ac:dyDescent="0.35">
      <c r="D419" s="30" t="str">
        <f t="shared" si="22"/>
        <v xml:space="preserve">Community Health Workers </v>
      </c>
      <c r="E419">
        <f t="shared" si="25"/>
        <v>0</v>
      </c>
    </row>
    <row r="420" spans="4:5" x14ac:dyDescent="0.35">
      <c r="D420" s="30" t="str">
        <f t="shared" si="22"/>
        <v>Dieticians and nutritionists</v>
      </c>
      <c r="E420">
        <f t="shared" si="25"/>
        <v>0</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0</v>
      </c>
    </row>
    <row r="426" spans="4:5" x14ac:dyDescent="0.35">
      <c r="D426" s="30" t="str">
        <f t="shared" si="22"/>
        <v xml:space="preserve">Medical Assistants </v>
      </c>
      <c r="E426">
        <f t="shared" si="25"/>
        <v>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0</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0</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0</v>
      </c>
    </row>
    <row r="435" spans="2:5" x14ac:dyDescent="0.35">
      <c r="D435" s="30" t="str">
        <f t="shared" si="26"/>
        <v>Social workers</v>
      </c>
      <c r="E435">
        <f t="shared" si="25"/>
        <v>0</v>
      </c>
    </row>
    <row r="436" spans="2:5" x14ac:dyDescent="0.35">
      <c r="D436" s="30" t="str">
        <f t="shared" si="26"/>
        <v xml:space="preserve"> Audiologists and Speech Therapists </v>
      </c>
      <c r="E436">
        <f t="shared" si="25"/>
        <v>0</v>
      </c>
    </row>
    <row r="437" spans="2:5" x14ac:dyDescent="0.35">
      <c r="D437" s="30" t="str">
        <f t="shared" si="26"/>
        <v>Traditional and complementary medicine practitioners</v>
      </c>
      <c r="E437">
        <f t="shared" si="25"/>
        <v>0</v>
      </c>
    </row>
    <row r="438" spans="2:5" x14ac:dyDescent="0.35">
      <c r="B438" t="str">
        <f>S1</f>
        <v>GIN</v>
      </c>
      <c r="C438">
        <f>S2</f>
        <v>11333365.500000002</v>
      </c>
      <c r="D438" s="29" t="str">
        <f t="shared" si="26"/>
        <v>Medical Doctors</v>
      </c>
      <c r="E438">
        <f t="shared" ref="E438:E461" si="27">S3</f>
        <v>3688</v>
      </c>
    </row>
    <row r="439" spans="2:5" x14ac:dyDescent="0.35">
      <c r="D439" s="30" t="str">
        <f t="shared" si="26"/>
        <v>Nursing Personnel</v>
      </c>
      <c r="E439">
        <f t="shared" si="27"/>
        <v>11578</v>
      </c>
    </row>
    <row r="440" spans="2:5" x14ac:dyDescent="0.35">
      <c r="D440" s="30" t="str">
        <f t="shared" si="26"/>
        <v>Midwifery personnel</v>
      </c>
      <c r="E440">
        <f t="shared" si="27"/>
        <v>1000</v>
      </c>
    </row>
    <row r="441" spans="2:5" x14ac:dyDescent="0.35">
      <c r="D441" s="30" t="str">
        <f t="shared" si="26"/>
        <v>Pharmacists</v>
      </c>
      <c r="E441">
        <f t="shared" si="27"/>
        <v>0</v>
      </c>
    </row>
    <row r="442" spans="2:5" x14ac:dyDescent="0.35">
      <c r="D442" s="30" t="str">
        <f t="shared" si="26"/>
        <v>Dentists</v>
      </c>
      <c r="E442">
        <f t="shared" si="27"/>
        <v>0</v>
      </c>
    </row>
    <row r="443" spans="2:5" x14ac:dyDescent="0.35">
      <c r="D443" s="30" t="str">
        <f t="shared" si="26"/>
        <v xml:space="preserve">Community Health Workers </v>
      </c>
      <c r="E443">
        <f t="shared" si="27"/>
        <v>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 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2189019</v>
      </c>
      <c r="D462" s="29" t="str">
        <f t="shared" si="26"/>
        <v>Medical Doctors</v>
      </c>
      <c r="E462">
        <f t="shared" ref="E462:E485" si="28">T3</f>
        <v>0</v>
      </c>
    </row>
    <row r="463" spans="2:5" x14ac:dyDescent="0.35">
      <c r="D463" s="30" t="str">
        <f t="shared" si="26"/>
        <v>Nursing Personnel</v>
      </c>
      <c r="E463">
        <f t="shared" si="28"/>
        <v>0</v>
      </c>
    </row>
    <row r="464" spans="2:5" x14ac:dyDescent="0.35">
      <c r="D464" s="30" t="str">
        <f t="shared" si="26"/>
        <v>Midwifery personnel</v>
      </c>
      <c r="E464">
        <f t="shared" si="28"/>
        <v>0</v>
      </c>
    </row>
    <row r="465" spans="4:5" x14ac:dyDescent="0.35">
      <c r="D465" s="30" t="str">
        <f t="shared" si="26"/>
        <v>Pharmacists</v>
      </c>
      <c r="E465">
        <f t="shared" si="28"/>
        <v>124</v>
      </c>
    </row>
    <row r="466" spans="4:5" x14ac:dyDescent="0.35">
      <c r="D466" s="30" t="str">
        <f t="shared" si="26"/>
        <v>Dentists</v>
      </c>
      <c r="E466">
        <f t="shared" si="28"/>
        <v>0</v>
      </c>
    </row>
    <row r="467" spans="4:5" x14ac:dyDescent="0.35">
      <c r="D467" s="30" t="str">
        <f t="shared" si="26"/>
        <v xml:space="preserve">Community Health Workers </v>
      </c>
      <c r="E467">
        <f t="shared" si="28"/>
        <v>0</v>
      </c>
    </row>
    <row r="468" spans="4:5" x14ac:dyDescent="0.35">
      <c r="D468" s="30" t="str">
        <f t="shared" si="26"/>
        <v>Dieticians and nutritionists</v>
      </c>
      <c r="E468">
        <f t="shared" si="28"/>
        <v>0</v>
      </c>
    </row>
    <row r="469" spans="4:5" x14ac:dyDescent="0.35">
      <c r="D469" s="30" t="str">
        <f t="shared" si="26"/>
        <v>Environmental and occupational health &amp; hygiene workers</v>
      </c>
      <c r="E469">
        <f t="shared" si="28"/>
        <v>0</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0</v>
      </c>
    </row>
    <row r="472" spans="4:5" x14ac:dyDescent="0.35">
      <c r="D472" s="30" t="str">
        <f t="shared" si="26"/>
        <v xml:space="preserve">Medical and dental Prosthetic Technicians </v>
      </c>
      <c r="E472">
        <f t="shared" si="28"/>
        <v>0</v>
      </c>
    </row>
    <row r="473" spans="4:5" x14ac:dyDescent="0.35">
      <c r="D473" s="30" t="str">
        <f t="shared" si="26"/>
        <v xml:space="preserve">Medical and Pathology Laboratory scientists </v>
      </c>
      <c r="E473">
        <f t="shared" si="28"/>
        <v>0</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0</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0</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0</v>
      </c>
    </row>
    <row r="483" spans="2:5" x14ac:dyDescent="0.35">
      <c r="D483" s="30" t="str">
        <f t="shared" si="26"/>
        <v>Social workers</v>
      </c>
      <c r="E483">
        <f t="shared" si="28"/>
        <v>0</v>
      </c>
    </row>
    <row r="484" spans="2:5" x14ac:dyDescent="0.35">
      <c r="D484" s="30" t="str">
        <f t="shared" si="26"/>
        <v xml:space="preserve"> 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1743309.0000000002</v>
      </c>
      <c r="D486" s="29" t="str">
        <f t="shared" si="26"/>
        <v>Medical Doctors</v>
      </c>
      <c r="E486">
        <f t="shared" ref="E486:E509" si="29">U3</f>
        <v>0</v>
      </c>
    </row>
    <row r="487" spans="2:5" x14ac:dyDescent="0.35">
      <c r="D487" s="30" t="str">
        <f t="shared" si="26"/>
        <v>Nursing Personnel</v>
      </c>
      <c r="E487">
        <f t="shared" si="29"/>
        <v>1899</v>
      </c>
    </row>
    <row r="488" spans="2:5" x14ac:dyDescent="0.35">
      <c r="D488" s="30" t="str">
        <f t="shared" si="26"/>
        <v>Midwifery personnel</v>
      </c>
      <c r="E488">
        <f t="shared" si="29"/>
        <v>0</v>
      </c>
    </row>
    <row r="489" spans="2:5" x14ac:dyDescent="0.35">
      <c r="D489" s="30" t="str">
        <f t="shared" si="26"/>
        <v>Pharmacists</v>
      </c>
      <c r="E489">
        <f t="shared" si="29"/>
        <v>74</v>
      </c>
    </row>
    <row r="490" spans="2:5" x14ac:dyDescent="0.35">
      <c r="D490" s="30" t="str">
        <f t="shared" si="26"/>
        <v>Dentists</v>
      </c>
      <c r="E490">
        <f t="shared" si="29"/>
        <v>0</v>
      </c>
    </row>
    <row r="491" spans="2:5" x14ac:dyDescent="0.35">
      <c r="D491" s="30" t="str">
        <f t="shared" si="26"/>
        <v xml:space="preserve">Community Health Workers </v>
      </c>
      <c r="E491">
        <f t="shared" si="29"/>
        <v>0</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0</v>
      </c>
    </row>
    <row r="497" spans="2:5" x14ac:dyDescent="0.35">
      <c r="D497" s="30" t="str">
        <f t="shared" si="30"/>
        <v xml:space="preserve">Medical and Pathology Laboratory scientists </v>
      </c>
      <c r="E497">
        <f t="shared" si="29"/>
        <v>0</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0</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0</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0</v>
      </c>
    </row>
    <row r="504" spans="2:5" x14ac:dyDescent="0.35">
      <c r="D504" s="30" t="str">
        <f t="shared" si="30"/>
        <v xml:space="preserve">Medical and Pathology Laboratory Technicians </v>
      </c>
      <c r="E504">
        <f t="shared" si="29"/>
        <v>0</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0</v>
      </c>
    </row>
    <row r="507" spans="2:5" x14ac:dyDescent="0.35">
      <c r="D507" s="30" t="str">
        <f t="shared" si="30"/>
        <v>Social workers</v>
      </c>
      <c r="E507">
        <f t="shared" si="29"/>
        <v>0</v>
      </c>
    </row>
    <row r="508" spans="2:5" x14ac:dyDescent="0.35">
      <c r="D508" s="30" t="str">
        <f t="shared" si="30"/>
        <v xml:space="preserve"> 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1295183.0000000005</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29</v>
      </c>
    </row>
    <row r="514" spans="4:5" x14ac:dyDescent="0.35">
      <c r="D514" s="30" t="str">
        <f t="shared" si="30"/>
        <v>Dentists</v>
      </c>
      <c r="E514">
        <f t="shared" si="31"/>
        <v>8</v>
      </c>
    </row>
    <row r="515" spans="4:5" x14ac:dyDescent="0.35">
      <c r="D515" s="30" t="str">
        <f t="shared" si="30"/>
        <v xml:space="preserve">Community Health Workers </v>
      </c>
      <c r="E515">
        <f t="shared" si="31"/>
        <v>0</v>
      </c>
    </row>
    <row r="516" spans="4:5" x14ac:dyDescent="0.35">
      <c r="D516" s="30" t="str">
        <f t="shared" si="30"/>
        <v>Dieticians and nutritionists</v>
      </c>
      <c r="E516">
        <f t="shared" si="31"/>
        <v>5</v>
      </c>
    </row>
    <row r="517" spans="4:5" x14ac:dyDescent="0.35">
      <c r="D517" s="30" t="str">
        <f t="shared" si="30"/>
        <v>Environmental and occupational health &amp; hygiene workers</v>
      </c>
      <c r="E517">
        <f t="shared" si="31"/>
        <v>1</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 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45831863.500000007</v>
      </c>
      <c r="D534" s="29" t="str">
        <f t="shared" si="30"/>
        <v>Medical Doctors</v>
      </c>
      <c r="E534">
        <f t="shared" ref="E534:E557" si="32">W3</f>
        <v>18971</v>
      </c>
    </row>
    <row r="535" spans="2:5" x14ac:dyDescent="0.35">
      <c r="D535" s="30" t="str">
        <f t="shared" si="30"/>
        <v>Nursing Personnel</v>
      </c>
      <c r="E535">
        <f t="shared" si="32"/>
        <v>86622</v>
      </c>
    </row>
    <row r="536" spans="2:5" x14ac:dyDescent="0.35">
      <c r="D536" s="30" t="str">
        <f t="shared" si="30"/>
        <v>Midwifery personnel</v>
      </c>
      <c r="E536">
        <f t="shared" si="32"/>
        <v>0</v>
      </c>
    </row>
    <row r="537" spans="2:5" x14ac:dyDescent="0.35">
      <c r="D537" s="30" t="str">
        <f t="shared" si="30"/>
        <v>Pharmacists</v>
      </c>
      <c r="E537">
        <f t="shared" si="32"/>
        <v>0</v>
      </c>
    </row>
    <row r="538" spans="2:5" x14ac:dyDescent="0.35">
      <c r="D538" s="30" t="str">
        <f t="shared" si="30"/>
        <v>Dentists</v>
      </c>
      <c r="E538">
        <f t="shared" si="32"/>
        <v>0</v>
      </c>
    </row>
    <row r="539" spans="2:5" x14ac:dyDescent="0.35">
      <c r="D539" s="30" t="str">
        <f t="shared" si="30"/>
        <v xml:space="preserve">Community Health Workers </v>
      </c>
      <c r="E539">
        <f t="shared" si="32"/>
        <v>0</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0</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0</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 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4519397.9999999981</v>
      </c>
      <c r="D558" s="29" t="str">
        <f t="shared" ref="D558:D621" si="33">D534</f>
        <v>Medical Doctors</v>
      </c>
      <c r="E558">
        <f t="shared" ref="E558:E581" si="34">X3</f>
        <v>0</v>
      </c>
    </row>
    <row r="559" spans="2:5" x14ac:dyDescent="0.35">
      <c r="D559" s="30" t="str">
        <f t="shared" si="33"/>
        <v>Nursing Personnel</v>
      </c>
      <c r="E559">
        <f t="shared" si="34"/>
        <v>0</v>
      </c>
    </row>
    <row r="560" spans="2:5" x14ac:dyDescent="0.35">
      <c r="D560" s="30" t="str">
        <f t="shared" si="33"/>
        <v>Midwifery personnel</v>
      </c>
      <c r="E560">
        <f t="shared" si="34"/>
        <v>0</v>
      </c>
    </row>
    <row r="561" spans="4:5" x14ac:dyDescent="0.35">
      <c r="D561" s="30" t="str">
        <f t="shared" si="33"/>
        <v>Pharmacists</v>
      </c>
      <c r="E561">
        <f t="shared" si="34"/>
        <v>998</v>
      </c>
    </row>
    <row r="562" spans="4:5" x14ac:dyDescent="0.35">
      <c r="D562" s="30" t="str">
        <f t="shared" si="33"/>
        <v>Dentists</v>
      </c>
      <c r="E562">
        <f t="shared" si="34"/>
        <v>385</v>
      </c>
    </row>
    <row r="563" spans="4:5" x14ac:dyDescent="0.35">
      <c r="D563" s="30" t="str">
        <f t="shared" si="33"/>
        <v xml:space="preserve">Community Health Workers </v>
      </c>
      <c r="E563">
        <f t="shared" si="34"/>
        <v>0</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2036</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 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2095242.4999999993</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76</v>
      </c>
    </row>
    <row r="586" spans="2:5" x14ac:dyDescent="0.35">
      <c r="D586" s="30" t="str">
        <f t="shared" si="33"/>
        <v>Dentists</v>
      </c>
      <c r="E586">
        <f t="shared" si="35"/>
        <v>117</v>
      </c>
    </row>
    <row r="587" spans="2:5" x14ac:dyDescent="0.35">
      <c r="D587" s="30" t="str">
        <f t="shared" si="33"/>
        <v xml:space="preserve">Community Health Workers </v>
      </c>
      <c r="E587">
        <f t="shared" si="35"/>
        <v>0</v>
      </c>
    </row>
    <row r="588" spans="2:5" x14ac:dyDescent="0.35">
      <c r="D588" s="30" t="str">
        <f t="shared" si="33"/>
        <v>Dieticians and nutritionists</v>
      </c>
      <c r="E588">
        <f t="shared" si="35"/>
        <v>0</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 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24215975.500000019</v>
      </c>
      <c r="D606" s="29" t="str">
        <f t="shared" si="33"/>
        <v>Medical Doctors</v>
      </c>
      <c r="E606">
        <f t="shared" ref="E606:E629" si="36">Z3</f>
        <v>8550</v>
      </c>
    </row>
    <row r="607" spans="2:5" x14ac:dyDescent="0.35">
      <c r="D607" s="30" t="str">
        <f t="shared" si="33"/>
        <v>Nursing Personnel</v>
      </c>
      <c r="E607">
        <f t="shared" si="36"/>
        <v>0</v>
      </c>
    </row>
    <row r="608" spans="2:5" x14ac:dyDescent="0.35">
      <c r="D608" s="30" t="str">
        <f t="shared" si="33"/>
        <v>Midwifery personnel</v>
      </c>
      <c r="E608">
        <f t="shared" si="36"/>
        <v>0</v>
      </c>
    </row>
    <row r="609" spans="4:5" x14ac:dyDescent="0.35">
      <c r="D609" s="30" t="str">
        <f t="shared" si="33"/>
        <v>Pharmacists</v>
      </c>
      <c r="E609">
        <f t="shared" si="36"/>
        <v>118</v>
      </c>
    </row>
    <row r="610" spans="4:5" x14ac:dyDescent="0.35">
      <c r="D610" s="30" t="str">
        <f t="shared" si="33"/>
        <v>Dentists</v>
      </c>
      <c r="E610">
        <f t="shared" si="36"/>
        <v>0</v>
      </c>
    </row>
    <row r="611" spans="4:5" x14ac:dyDescent="0.35">
      <c r="D611" s="30" t="str">
        <f t="shared" si="33"/>
        <v xml:space="preserve">Community Health Workers </v>
      </c>
      <c r="E611">
        <f t="shared" si="36"/>
        <v>0</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174</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 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17551814.000000004</v>
      </c>
      <c r="D630" s="29" t="str">
        <f t="shared" si="37"/>
        <v>Medical Doctors</v>
      </c>
      <c r="E630">
        <f t="shared" ref="E630:E653" si="38">AA3</f>
        <v>3576</v>
      </c>
    </row>
    <row r="631" spans="2:5" x14ac:dyDescent="0.35">
      <c r="D631" s="30" t="str">
        <f t="shared" si="37"/>
        <v>Nursing Personnel</v>
      </c>
      <c r="E631">
        <f t="shared" si="38"/>
        <v>0</v>
      </c>
    </row>
    <row r="632" spans="2:5" x14ac:dyDescent="0.35">
      <c r="D632" s="30" t="str">
        <f t="shared" si="37"/>
        <v>Midwifery personnel</v>
      </c>
      <c r="E632">
        <f t="shared" si="38"/>
        <v>0</v>
      </c>
    </row>
    <row r="633" spans="2:5" x14ac:dyDescent="0.35">
      <c r="D633" s="30" t="str">
        <f t="shared" si="37"/>
        <v>Pharmacists</v>
      </c>
      <c r="E633">
        <f t="shared" si="38"/>
        <v>194</v>
      </c>
    </row>
    <row r="634" spans="2:5" x14ac:dyDescent="0.35">
      <c r="D634" s="30" t="str">
        <f t="shared" si="37"/>
        <v>Dentists</v>
      </c>
      <c r="E634">
        <f t="shared" si="38"/>
        <v>107</v>
      </c>
    </row>
    <row r="635" spans="2:5" x14ac:dyDescent="0.35">
      <c r="D635" s="30" t="str">
        <f t="shared" si="37"/>
        <v xml:space="preserve">Community Health Workers </v>
      </c>
      <c r="E635">
        <f t="shared" si="38"/>
        <v>0</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 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26038704.499999993</v>
      </c>
      <c r="D654" s="32" t="str">
        <f t="shared" si="37"/>
        <v>Medical Doctors</v>
      </c>
      <c r="E654">
        <f t="shared" ref="E654:E677" si="39">AB3</f>
        <v>0</v>
      </c>
    </row>
    <row r="655" spans="2:5" x14ac:dyDescent="0.35">
      <c r="D655" s="30" t="str">
        <f t="shared" si="37"/>
        <v>Nursing Personnel</v>
      </c>
      <c r="E655">
        <f t="shared" si="39"/>
        <v>12696</v>
      </c>
    </row>
    <row r="656" spans="2:5" x14ac:dyDescent="0.35">
      <c r="D656" s="30" t="str">
        <f t="shared" si="37"/>
        <v>Midwifery personnel</v>
      </c>
      <c r="E656">
        <f t="shared" si="39"/>
        <v>9298</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0</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0</v>
      </c>
    </row>
    <row r="664" spans="4:5" x14ac:dyDescent="0.35">
      <c r="D664" s="30" t="str">
        <f t="shared" si="37"/>
        <v xml:space="preserve">Medical and dental Prosthetic Technicians </v>
      </c>
      <c r="E664">
        <f t="shared" si="39"/>
        <v>0</v>
      </c>
    </row>
    <row r="665" spans="4:5" x14ac:dyDescent="0.35">
      <c r="D665" s="30" t="str">
        <f t="shared" si="37"/>
        <v xml:space="preserve">Medical and Pathology Laboratory scientists </v>
      </c>
      <c r="E665">
        <f t="shared" si="39"/>
        <v>0</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0</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0</v>
      </c>
    </row>
    <row r="670" spans="4:5" x14ac:dyDescent="0.35">
      <c r="D670" s="30" t="str">
        <f t="shared" si="37"/>
        <v xml:space="preserve">Other non-medical professional staff </v>
      </c>
      <c r="E670">
        <f t="shared" si="39"/>
        <v>0</v>
      </c>
    </row>
    <row r="671" spans="4:5" x14ac:dyDescent="0.35">
      <c r="D671" s="30" t="str">
        <f t="shared" si="37"/>
        <v xml:space="preserve">Other non-medical support staff </v>
      </c>
      <c r="E671">
        <f t="shared" si="39"/>
        <v>0</v>
      </c>
    </row>
    <row r="672" spans="4:5" x14ac:dyDescent="0.35">
      <c r="D672" s="30" t="str">
        <f t="shared" si="37"/>
        <v xml:space="preserve">Medical and Pathology Laboratory Technicians </v>
      </c>
      <c r="E672">
        <f t="shared" si="39"/>
        <v>0</v>
      </c>
    </row>
    <row r="673" spans="2:5" x14ac:dyDescent="0.35">
      <c r="D673" s="30" t="str">
        <f t="shared" si="37"/>
        <v xml:space="preserve">Paramedical Practitioners </v>
      </c>
      <c r="E673">
        <f t="shared" si="39"/>
        <v>0</v>
      </c>
    </row>
    <row r="674" spans="2:5" x14ac:dyDescent="0.35">
      <c r="D674" s="30" t="str">
        <f t="shared" si="37"/>
        <v>Physiotherapists and physiotherapy assistants</v>
      </c>
      <c r="E674">
        <f t="shared" si="39"/>
        <v>0</v>
      </c>
    </row>
    <row r="675" spans="2:5" x14ac:dyDescent="0.35">
      <c r="D675" s="30" t="str">
        <f t="shared" si="37"/>
        <v>Social workers</v>
      </c>
      <c r="E675">
        <f t="shared" si="39"/>
        <v>0</v>
      </c>
    </row>
    <row r="676" spans="2:5" x14ac:dyDescent="0.35">
      <c r="D676" s="30" t="str">
        <f t="shared" si="37"/>
        <v xml:space="preserve"> Audiologists and Speech Therapists </v>
      </c>
      <c r="E676">
        <f t="shared" si="39"/>
        <v>0</v>
      </c>
    </row>
    <row r="677" spans="2:5" x14ac:dyDescent="0.35">
      <c r="D677" s="30" t="str">
        <f t="shared" si="37"/>
        <v>Traditional and complementary medicine practitioners</v>
      </c>
      <c r="E677">
        <f t="shared" si="39"/>
        <v>0</v>
      </c>
    </row>
    <row r="678" spans="2:5" x14ac:dyDescent="0.35">
      <c r="B678" t="str">
        <f>AC1</f>
        <v>MRT</v>
      </c>
      <c r="C678">
        <f>AC2</f>
        <v>3843173.9999999991</v>
      </c>
      <c r="D678" s="29" t="str">
        <f t="shared" si="37"/>
        <v>Medical Doctors</v>
      </c>
      <c r="E678">
        <f t="shared" ref="E678:E701" si="40">AC3</f>
        <v>1244</v>
      </c>
    </row>
    <row r="679" spans="2:5" x14ac:dyDescent="0.35">
      <c r="D679" s="30" t="str">
        <f t="shared" si="37"/>
        <v>Nursing Personnel</v>
      </c>
      <c r="E679">
        <f t="shared" si="40"/>
        <v>7692</v>
      </c>
    </row>
    <row r="680" spans="2:5" x14ac:dyDescent="0.35">
      <c r="D680" s="30" t="str">
        <f t="shared" si="37"/>
        <v>Midwifery personnel</v>
      </c>
      <c r="E680">
        <f t="shared" si="40"/>
        <v>0</v>
      </c>
    </row>
    <row r="681" spans="2:5" x14ac:dyDescent="0.35">
      <c r="D681" s="30" t="str">
        <f t="shared" si="37"/>
        <v>Pharmacists</v>
      </c>
      <c r="E681">
        <f t="shared" si="40"/>
        <v>0</v>
      </c>
    </row>
    <row r="682" spans="2:5" x14ac:dyDescent="0.35">
      <c r="D682" s="30" t="str">
        <f t="shared" si="37"/>
        <v>Dentists</v>
      </c>
      <c r="E682">
        <f t="shared" si="40"/>
        <v>0</v>
      </c>
    </row>
    <row r="683" spans="2:5" x14ac:dyDescent="0.35">
      <c r="D683" s="30" t="str">
        <f t="shared" si="37"/>
        <v xml:space="preserve">Community Health Workers </v>
      </c>
      <c r="E683">
        <f t="shared" si="40"/>
        <v>0</v>
      </c>
    </row>
    <row r="684" spans="2:5" x14ac:dyDescent="0.35">
      <c r="D684" s="30" t="str">
        <f t="shared" si="37"/>
        <v>Dieticians and nutritionists</v>
      </c>
      <c r="E684">
        <f t="shared" si="40"/>
        <v>0</v>
      </c>
    </row>
    <row r="685" spans="2:5" x14ac:dyDescent="0.35">
      <c r="D685" s="30" t="str">
        <f t="shared" si="37"/>
        <v>Environmental and occupational health &amp; hygiene workers</v>
      </c>
      <c r="E685">
        <f t="shared" si="40"/>
        <v>0</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 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1292113.5000000002</v>
      </c>
      <c r="D702" s="29" t="str">
        <f t="shared" si="41"/>
        <v>Medical Doctors</v>
      </c>
      <c r="E702">
        <f t="shared" ref="E702:E725" si="42">AD3</f>
        <v>4858</v>
      </c>
    </row>
    <row r="703" spans="2:5" x14ac:dyDescent="0.35">
      <c r="D703" s="30" t="str">
        <f t="shared" si="41"/>
        <v>Nursing Personnel</v>
      </c>
      <c r="E703">
        <f t="shared" si="42"/>
        <v>8250</v>
      </c>
    </row>
    <row r="704" spans="2:5" x14ac:dyDescent="0.35">
      <c r="D704" s="30" t="str">
        <f t="shared" si="41"/>
        <v>Midwifery personnel</v>
      </c>
      <c r="E704">
        <f t="shared" si="42"/>
        <v>0</v>
      </c>
    </row>
    <row r="705" spans="4:5" x14ac:dyDescent="0.35">
      <c r="D705" s="30" t="str">
        <f t="shared" si="41"/>
        <v>Pharmacists</v>
      </c>
      <c r="E705">
        <f t="shared" si="42"/>
        <v>24</v>
      </c>
    </row>
    <row r="706" spans="4:5" x14ac:dyDescent="0.35">
      <c r="D706" s="30" t="str">
        <f t="shared" si="41"/>
        <v>Dentists</v>
      </c>
      <c r="E706">
        <f t="shared" si="42"/>
        <v>18</v>
      </c>
    </row>
    <row r="707" spans="4:5" x14ac:dyDescent="0.35">
      <c r="D707" s="30" t="str">
        <f t="shared" si="41"/>
        <v xml:space="preserve">Community Health Workers </v>
      </c>
      <c r="E707">
        <f t="shared" si="42"/>
        <v>0</v>
      </c>
    </row>
    <row r="708" spans="4:5" x14ac:dyDescent="0.35">
      <c r="D708" s="30" t="str">
        <f t="shared" si="41"/>
        <v>Dieticians and nutritionists</v>
      </c>
      <c r="E708">
        <f t="shared" si="42"/>
        <v>0</v>
      </c>
    </row>
    <row r="709" spans="4:5" x14ac:dyDescent="0.35">
      <c r="D709" s="30" t="str">
        <f t="shared" si="41"/>
        <v>Environmental and occupational health &amp; hygiene workers</v>
      </c>
      <c r="E709">
        <f t="shared" si="42"/>
        <v>0</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 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16477966.500000002</v>
      </c>
      <c r="D726" s="29" t="str">
        <f t="shared" si="41"/>
        <v>Medical Doctors</v>
      </c>
      <c r="E726">
        <f t="shared" ref="E726:E749" si="43">AE3</f>
        <v>68</v>
      </c>
    </row>
    <row r="727" spans="2:5" x14ac:dyDescent="0.35">
      <c r="D727" s="30" t="str">
        <f t="shared" si="41"/>
        <v>Nursing Personnel</v>
      </c>
      <c r="E727">
        <f t="shared" si="43"/>
        <v>0</v>
      </c>
    </row>
    <row r="728" spans="2:5" x14ac:dyDescent="0.35">
      <c r="D728" s="30" t="str">
        <f t="shared" si="41"/>
        <v>Midwifery personnel</v>
      </c>
      <c r="E728">
        <f t="shared" si="43"/>
        <v>0</v>
      </c>
    </row>
    <row r="729" spans="2:5" x14ac:dyDescent="0.35">
      <c r="D729" s="30" t="str">
        <f t="shared" si="41"/>
        <v>Pharmacists</v>
      </c>
      <c r="E729">
        <f t="shared" si="43"/>
        <v>0</v>
      </c>
    </row>
    <row r="730" spans="2:5" x14ac:dyDescent="0.35">
      <c r="D730" s="30" t="str">
        <f t="shared" si="41"/>
        <v>Dentists</v>
      </c>
      <c r="E730">
        <f t="shared" si="43"/>
        <v>0</v>
      </c>
    </row>
    <row r="731" spans="2:5" x14ac:dyDescent="0.35">
      <c r="D731" s="30" t="str">
        <f t="shared" si="41"/>
        <v xml:space="preserve">Community Health Workers </v>
      </c>
      <c r="E731">
        <f t="shared" si="43"/>
        <v>0</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0</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0</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 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2243000.9999999991</v>
      </c>
      <c r="D750" s="29" t="str">
        <f t="shared" ref="D750:D813" si="44">D726</f>
        <v>Medical Doctors</v>
      </c>
      <c r="E750">
        <f t="shared" ref="E750:E773" si="45">AF3</f>
        <v>24</v>
      </c>
    </row>
    <row r="751" spans="2:5" x14ac:dyDescent="0.35">
      <c r="D751" s="30" t="str">
        <f t="shared" si="44"/>
        <v>Nursing Personnel</v>
      </c>
      <c r="E751">
        <f t="shared" si="45"/>
        <v>8424</v>
      </c>
    </row>
    <row r="752" spans="2:5" x14ac:dyDescent="0.35">
      <c r="D752" s="30" t="str">
        <f t="shared" si="44"/>
        <v>Midwifery personnel</v>
      </c>
      <c r="E752">
        <f t="shared" si="45"/>
        <v>0</v>
      </c>
    </row>
    <row r="753" spans="4:5" x14ac:dyDescent="0.35">
      <c r="D753" s="30" t="str">
        <f t="shared" si="44"/>
        <v>Pharmacists</v>
      </c>
      <c r="E753">
        <f t="shared" si="45"/>
        <v>0</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0</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0</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0</v>
      </c>
    </row>
    <row r="769" spans="2:5" x14ac:dyDescent="0.35">
      <c r="D769" s="30" t="str">
        <f t="shared" si="44"/>
        <v xml:space="preserve">Paramedical Practitioners </v>
      </c>
      <c r="E769">
        <f t="shared" si="45"/>
        <v>0</v>
      </c>
    </row>
    <row r="770" spans="2:5" x14ac:dyDescent="0.35">
      <c r="D770" s="30" t="str">
        <f t="shared" si="44"/>
        <v>Physiotherapists and physiotherapy assistants</v>
      </c>
      <c r="E770">
        <f t="shared" si="45"/>
        <v>0</v>
      </c>
    </row>
    <row r="771" spans="2:5" x14ac:dyDescent="0.35">
      <c r="D771" s="30" t="str">
        <f t="shared" si="44"/>
        <v>Social workers</v>
      </c>
      <c r="E771">
        <f t="shared" si="45"/>
        <v>0</v>
      </c>
    </row>
    <row r="772" spans="2:5" x14ac:dyDescent="0.35">
      <c r="D772" s="30" t="str">
        <f t="shared" si="44"/>
        <v xml:space="preserve"> 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19372013.999999993</v>
      </c>
      <c r="D774" s="29" t="str">
        <f t="shared" si="44"/>
        <v>Medical Doctors</v>
      </c>
      <c r="E774">
        <f t="shared" ref="E774:E797" si="46">AG3</f>
        <v>1119</v>
      </c>
    </row>
    <row r="775" spans="2:5" x14ac:dyDescent="0.35">
      <c r="D775" s="30" t="str">
        <f t="shared" si="44"/>
        <v>Nursing Personnel</v>
      </c>
      <c r="E775">
        <f t="shared" si="46"/>
        <v>9880</v>
      </c>
    </row>
    <row r="776" spans="2:5" x14ac:dyDescent="0.35">
      <c r="D776" s="30" t="str">
        <f t="shared" si="44"/>
        <v>Midwifery personnel</v>
      </c>
      <c r="E776">
        <f t="shared" si="46"/>
        <v>1918</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 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179379016.5</v>
      </c>
      <c r="D798" s="29" t="str">
        <f t="shared" si="44"/>
        <v>Medical Doctors</v>
      </c>
      <c r="E798">
        <f t="shared" ref="E798:E821" si="47">AH3</f>
        <v>2281</v>
      </c>
    </row>
    <row r="799" spans="2:5" x14ac:dyDescent="0.35">
      <c r="D799" s="30" t="str">
        <f t="shared" si="44"/>
        <v>Nursing Personnel</v>
      </c>
      <c r="E799">
        <f t="shared" si="47"/>
        <v>0</v>
      </c>
    </row>
    <row r="800" spans="2:5" x14ac:dyDescent="0.35">
      <c r="D800" s="30" t="str">
        <f t="shared" si="44"/>
        <v>Midwifery personnel</v>
      </c>
      <c r="E800">
        <f t="shared" si="47"/>
        <v>0</v>
      </c>
    </row>
    <row r="801" spans="4:5" x14ac:dyDescent="0.35">
      <c r="D801" s="30" t="str">
        <f t="shared" si="44"/>
        <v>Pharmacists</v>
      </c>
      <c r="E801">
        <f t="shared" si="47"/>
        <v>0</v>
      </c>
    </row>
    <row r="802" spans="4:5" x14ac:dyDescent="0.35">
      <c r="D802" s="30" t="str">
        <f t="shared" si="44"/>
        <v>Dentists</v>
      </c>
      <c r="E802">
        <f t="shared" si="47"/>
        <v>0</v>
      </c>
    </row>
    <row r="803" spans="4:5" x14ac:dyDescent="0.35">
      <c r="D803" s="30" t="str">
        <f t="shared" si="44"/>
        <v xml:space="preserve">Community Health Workers </v>
      </c>
      <c r="E803">
        <f t="shared" si="47"/>
        <v>0</v>
      </c>
    </row>
    <row r="804" spans="4:5" x14ac:dyDescent="0.35">
      <c r="D804" s="30" t="str">
        <f t="shared" si="44"/>
        <v>Dieticians and nutritionists</v>
      </c>
      <c r="E804">
        <f t="shared" si="47"/>
        <v>0</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0</v>
      </c>
    </row>
    <row r="809" spans="4:5" x14ac:dyDescent="0.35">
      <c r="D809" s="30" t="str">
        <f t="shared" si="44"/>
        <v xml:space="preserve">Medical and Pathology Laboratory scientists </v>
      </c>
      <c r="E809">
        <f t="shared" si="47"/>
        <v>0</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0</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0</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0</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0</v>
      </c>
    </row>
    <row r="819" spans="2:5" x14ac:dyDescent="0.35">
      <c r="D819" s="30" t="str">
        <f t="shared" si="48"/>
        <v>Social workers</v>
      </c>
      <c r="E819">
        <f t="shared" si="47"/>
        <v>0</v>
      </c>
    </row>
    <row r="820" spans="2:5" x14ac:dyDescent="0.35">
      <c r="D820" s="30" t="str">
        <f t="shared" si="48"/>
        <v xml:space="preserve"> Audiologists and Speech Therapists </v>
      </c>
      <c r="E820">
        <f t="shared" si="47"/>
        <v>0</v>
      </c>
    </row>
    <row r="821" spans="2:5" x14ac:dyDescent="0.35">
      <c r="D821" s="30" t="str">
        <f t="shared" si="48"/>
        <v>Traditional and complementary medicine practitioners</v>
      </c>
      <c r="E821">
        <f t="shared" si="47"/>
        <v>0</v>
      </c>
    </row>
    <row r="822" spans="2:5" x14ac:dyDescent="0.35">
      <c r="B822" t="str">
        <f>AI1</f>
        <v>RWA</v>
      </c>
      <c r="C822">
        <f>AI2</f>
        <v>11368451.500000004</v>
      </c>
      <c r="D822" s="29" t="str">
        <f t="shared" si="48"/>
        <v>Medical Doctors</v>
      </c>
      <c r="E822">
        <f t="shared" ref="E822:E845" si="49">AI3</f>
        <v>2098</v>
      </c>
    </row>
    <row r="823" spans="2:5" x14ac:dyDescent="0.35">
      <c r="D823" s="30" t="str">
        <f t="shared" si="48"/>
        <v>Nursing Personnel</v>
      </c>
      <c r="E823">
        <f t="shared" si="49"/>
        <v>19250</v>
      </c>
    </row>
    <row r="824" spans="2:5" x14ac:dyDescent="0.35">
      <c r="D824" s="30" t="str">
        <f t="shared" si="48"/>
        <v>Midwifery personnel</v>
      </c>
      <c r="E824">
        <f t="shared" si="49"/>
        <v>1384</v>
      </c>
    </row>
    <row r="825" spans="2:5" x14ac:dyDescent="0.35">
      <c r="D825" s="30" t="str">
        <f t="shared" si="48"/>
        <v>Pharmacists</v>
      </c>
      <c r="E825">
        <f t="shared" si="49"/>
        <v>0</v>
      </c>
    </row>
    <row r="826" spans="2:5" x14ac:dyDescent="0.35">
      <c r="D826" s="30" t="str">
        <f t="shared" si="48"/>
        <v>Dentists</v>
      </c>
      <c r="E826">
        <f t="shared" si="49"/>
        <v>0</v>
      </c>
    </row>
    <row r="827" spans="2:5" x14ac:dyDescent="0.35">
      <c r="D827" s="30" t="str">
        <f t="shared" si="48"/>
        <v xml:space="preserve">Community Health Workers </v>
      </c>
      <c r="E827">
        <f t="shared" si="49"/>
        <v>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0</v>
      </c>
    </row>
    <row r="843" spans="2:5" x14ac:dyDescent="0.35">
      <c r="D843" s="30" t="str">
        <f t="shared" si="48"/>
        <v>Social workers</v>
      </c>
      <c r="E843">
        <f t="shared" si="49"/>
        <v>0</v>
      </c>
    </row>
    <row r="844" spans="2:5" x14ac:dyDescent="0.35">
      <c r="D844" s="30" t="str">
        <f t="shared" si="48"/>
        <v xml:space="preserve"> 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13970307.499999993</v>
      </c>
      <c r="D846" s="29" t="str">
        <f t="shared" si="48"/>
        <v>Medical Doctors</v>
      </c>
      <c r="E846">
        <f t="shared" ref="E846:E869" si="50">AJ3</f>
        <v>0</v>
      </c>
    </row>
    <row r="847" spans="2:5" x14ac:dyDescent="0.35">
      <c r="D847" s="30" t="str">
        <f t="shared" si="48"/>
        <v>Nursing Personnel</v>
      </c>
      <c r="E847">
        <f t="shared" si="50"/>
        <v>0</v>
      </c>
    </row>
    <row r="848" spans="2:5" x14ac:dyDescent="0.35">
      <c r="D848" s="30" t="str">
        <f t="shared" si="48"/>
        <v>Midwifery personnel</v>
      </c>
      <c r="E848">
        <f t="shared" si="50"/>
        <v>0</v>
      </c>
    </row>
    <row r="849" spans="4:5" x14ac:dyDescent="0.35">
      <c r="D849" s="30" t="str">
        <f t="shared" si="48"/>
        <v>Pharmacists</v>
      </c>
      <c r="E849">
        <f t="shared" si="50"/>
        <v>34261</v>
      </c>
    </row>
    <row r="850" spans="4:5" x14ac:dyDescent="0.35">
      <c r="D850" s="30" t="str">
        <f t="shared" si="48"/>
        <v>Dentists</v>
      </c>
      <c r="E850">
        <f t="shared" si="50"/>
        <v>10770</v>
      </c>
    </row>
    <row r="851" spans="4:5" x14ac:dyDescent="0.35">
      <c r="D851" s="30" t="str">
        <f t="shared" si="48"/>
        <v xml:space="preserve">Community Health Workers </v>
      </c>
      <c r="E851">
        <f t="shared" si="50"/>
        <v>0</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3518</v>
      </c>
    </row>
    <row r="854" spans="4:5" x14ac:dyDescent="0.35">
      <c r="D854" s="30" t="str">
        <f t="shared" si="48"/>
        <v>Personal care workers in health service</v>
      </c>
      <c r="E854">
        <f t="shared" si="50"/>
        <v>0</v>
      </c>
    </row>
    <row r="855" spans="4:5" x14ac:dyDescent="0.35">
      <c r="D855" s="30" t="str">
        <f t="shared" si="48"/>
        <v xml:space="preserve">Managerial staff </v>
      </c>
      <c r="E855">
        <f t="shared" si="50"/>
        <v>0</v>
      </c>
    </row>
    <row r="856" spans="4:5" x14ac:dyDescent="0.35">
      <c r="D856" s="30" t="str">
        <f t="shared" si="48"/>
        <v xml:space="preserve">Medical and dental Prosthetic Technicians </v>
      </c>
      <c r="E856">
        <f t="shared" si="50"/>
        <v>0</v>
      </c>
    </row>
    <row r="857" spans="4:5" x14ac:dyDescent="0.35">
      <c r="D857" s="30" t="str">
        <f t="shared" si="48"/>
        <v xml:space="preserve">Medical and Pathology Laboratory scientists </v>
      </c>
      <c r="E857">
        <f t="shared" si="50"/>
        <v>0</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0</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0</v>
      </c>
    </row>
    <row r="865" spans="2:5" x14ac:dyDescent="0.35">
      <c r="D865" s="30" t="str">
        <f t="shared" si="48"/>
        <v xml:space="preserve">Paramedical Practitioners </v>
      </c>
      <c r="E865">
        <f t="shared" si="50"/>
        <v>0</v>
      </c>
    </row>
    <row r="866" spans="2:5" x14ac:dyDescent="0.35">
      <c r="D866" s="30" t="str">
        <f t="shared" si="48"/>
        <v>Physiotherapists and physiotherapy assistants</v>
      </c>
      <c r="E866">
        <f t="shared" si="50"/>
        <v>0</v>
      </c>
    </row>
    <row r="867" spans="2:5" x14ac:dyDescent="0.35">
      <c r="D867" s="30" t="str">
        <f t="shared" si="48"/>
        <v>Social workers</v>
      </c>
      <c r="E867">
        <f t="shared" si="50"/>
        <v>0</v>
      </c>
    </row>
    <row r="868" spans="2:5" x14ac:dyDescent="0.35">
      <c r="D868" s="30" t="str">
        <f t="shared" si="48"/>
        <v xml:space="preserve"> Audiologists and Speech Therapists </v>
      </c>
      <c r="E868">
        <f t="shared" si="50"/>
        <v>0</v>
      </c>
    </row>
    <row r="869" spans="2:5" x14ac:dyDescent="0.35">
      <c r="D869" s="30" t="str">
        <f t="shared" si="48"/>
        <v>Traditional and complementary medicine practitioners</v>
      </c>
      <c r="E869">
        <f t="shared" si="50"/>
        <v>0</v>
      </c>
    </row>
    <row r="870" spans="2:5" x14ac:dyDescent="0.35">
      <c r="B870" t="str">
        <f>AK1</f>
        <v>SLE</v>
      </c>
      <c r="C870">
        <f>AK2</f>
        <v>7140688.0000000028</v>
      </c>
      <c r="D870" s="29" t="str">
        <f t="shared" si="48"/>
        <v>Medical Doctors</v>
      </c>
      <c r="E870">
        <f t="shared" ref="E870:E893" si="51">AK3</f>
        <v>1</v>
      </c>
    </row>
    <row r="871" spans="2:5" x14ac:dyDescent="0.35">
      <c r="D871" s="30" t="str">
        <f t="shared" si="48"/>
        <v>Nursing Personnel</v>
      </c>
      <c r="E871">
        <f t="shared" si="51"/>
        <v>12216</v>
      </c>
    </row>
    <row r="872" spans="2:5" x14ac:dyDescent="0.35">
      <c r="D872" s="30" t="str">
        <f t="shared" si="48"/>
        <v>Midwifery personnel</v>
      </c>
      <c r="E872">
        <f t="shared" si="51"/>
        <v>1170</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0</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0</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0</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1511</v>
      </c>
    </row>
    <row r="892" spans="2:5" x14ac:dyDescent="0.35">
      <c r="D892" s="30" t="str">
        <f t="shared" si="52"/>
        <v xml:space="preserve"> Audiologists and Speech Therapists </v>
      </c>
      <c r="E892">
        <f t="shared" si="51"/>
        <v>0</v>
      </c>
    </row>
    <row r="893" spans="2:5" x14ac:dyDescent="0.35">
      <c r="D893" s="30" t="str">
        <f t="shared" si="52"/>
        <v>Traditional and complementary medicine practitioners</v>
      </c>
      <c r="E893">
        <f t="shared" si="51"/>
        <v>3046</v>
      </c>
    </row>
    <row r="894" spans="2:5" x14ac:dyDescent="0.35">
      <c r="B894" t="str">
        <f>AL1</f>
        <v>SSD</v>
      </c>
      <c r="C894">
        <f>AL2</f>
        <v>11213284.499999998</v>
      </c>
      <c r="D894" s="29" t="str">
        <f t="shared" si="52"/>
        <v>Medical Doctors</v>
      </c>
      <c r="E894">
        <f t="shared" ref="E894:E917" si="53">AL3</f>
        <v>0</v>
      </c>
    </row>
    <row r="895" spans="2:5" x14ac:dyDescent="0.35">
      <c r="D895" s="30" t="str">
        <f t="shared" si="52"/>
        <v>Nursing Personnel</v>
      </c>
      <c r="E895">
        <f t="shared" si="53"/>
        <v>0</v>
      </c>
    </row>
    <row r="896" spans="2:5" x14ac:dyDescent="0.35">
      <c r="D896" s="30" t="str">
        <f t="shared" si="52"/>
        <v>Midwifery personnel</v>
      </c>
      <c r="E896">
        <f t="shared" si="53"/>
        <v>0</v>
      </c>
    </row>
    <row r="897" spans="4:5" x14ac:dyDescent="0.35">
      <c r="D897" s="30" t="str">
        <f t="shared" si="52"/>
        <v>Pharmacists</v>
      </c>
      <c r="E897">
        <f t="shared" si="53"/>
        <v>0</v>
      </c>
    </row>
    <row r="898" spans="4:5" x14ac:dyDescent="0.35">
      <c r="D898" s="30" t="str">
        <f t="shared" si="52"/>
        <v>Dentists</v>
      </c>
      <c r="E898">
        <f t="shared" si="53"/>
        <v>0</v>
      </c>
    </row>
    <row r="899" spans="4:5" x14ac:dyDescent="0.35">
      <c r="D899" s="30" t="str">
        <f t="shared" si="52"/>
        <v xml:space="preserve">Community Health Workers </v>
      </c>
      <c r="E899">
        <f t="shared" si="53"/>
        <v>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0</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 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197496.99999999994</v>
      </c>
      <c r="D918" s="29" t="str">
        <f t="shared" si="52"/>
        <v>Medical Doctors</v>
      </c>
      <c r="E918">
        <f t="shared" ref="E918:E941" si="54">AM3</f>
        <v>0</v>
      </c>
    </row>
    <row r="919" spans="2:5" x14ac:dyDescent="0.35">
      <c r="D919" s="30" t="str">
        <f t="shared" si="52"/>
        <v>Nursing Personnel</v>
      </c>
      <c r="E919">
        <f t="shared" si="54"/>
        <v>0</v>
      </c>
    </row>
    <row r="920" spans="2:5" x14ac:dyDescent="0.35">
      <c r="D920" s="30" t="str">
        <f t="shared" si="52"/>
        <v>Midwifery personnel</v>
      </c>
      <c r="E920">
        <f t="shared" si="54"/>
        <v>0</v>
      </c>
    </row>
    <row r="921" spans="2:5" x14ac:dyDescent="0.35">
      <c r="D921" s="30" t="str">
        <f t="shared" si="52"/>
        <v>Pharmacists</v>
      </c>
      <c r="E921">
        <f t="shared" si="54"/>
        <v>2683</v>
      </c>
    </row>
    <row r="922" spans="2:5" x14ac:dyDescent="0.35">
      <c r="D922" s="30" t="str">
        <f t="shared" si="52"/>
        <v>Dentists</v>
      </c>
      <c r="E922">
        <f t="shared" si="54"/>
        <v>528</v>
      </c>
    </row>
    <row r="923" spans="2:5" x14ac:dyDescent="0.35">
      <c r="D923" s="30" t="str">
        <f t="shared" si="52"/>
        <v xml:space="preserve">Community Health Workers </v>
      </c>
      <c r="E923">
        <f t="shared" si="54"/>
        <v>0</v>
      </c>
    </row>
    <row r="924" spans="2:5" x14ac:dyDescent="0.35">
      <c r="D924" s="30" t="str">
        <f t="shared" si="52"/>
        <v>Dieticians and nutritionists</v>
      </c>
      <c r="E924">
        <f t="shared" si="54"/>
        <v>2217</v>
      </c>
    </row>
    <row r="925" spans="2:5" x14ac:dyDescent="0.35">
      <c r="D925" s="30" t="str">
        <f t="shared" si="52"/>
        <v>Environmental and occupational health &amp; hygiene workers</v>
      </c>
      <c r="E925">
        <f t="shared" si="54"/>
        <v>4286</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 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1125865.0000000005</v>
      </c>
      <c r="D942" s="29" t="str">
        <f t="shared" ref="D942:D1005" si="55">D918</f>
        <v>Medical Doctors</v>
      </c>
      <c r="E942">
        <f t="shared" ref="E942:E965" si="56">AN3</f>
        <v>0</v>
      </c>
    </row>
    <row r="943" spans="2:5" x14ac:dyDescent="0.35">
      <c r="D943" s="30" t="str">
        <f t="shared" si="55"/>
        <v>Nursing Personnel</v>
      </c>
      <c r="E943">
        <f t="shared" si="56"/>
        <v>7694</v>
      </c>
    </row>
    <row r="944" spans="2:5" x14ac:dyDescent="0.35">
      <c r="D944" s="30" t="str">
        <f t="shared" si="55"/>
        <v>Midwifery personnel</v>
      </c>
      <c r="E944">
        <f t="shared" si="56"/>
        <v>0</v>
      </c>
    </row>
    <row r="945" spans="4:5" x14ac:dyDescent="0.35">
      <c r="D945" s="30" t="str">
        <f t="shared" si="55"/>
        <v>Pharmacists</v>
      </c>
      <c r="E945">
        <f t="shared" si="56"/>
        <v>488</v>
      </c>
    </row>
    <row r="946" spans="4:5" x14ac:dyDescent="0.35">
      <c r="D946" s="30" t="str">
        <f t="shared" si="55"/>
        <v>Dentists</v>
      </c>
      <c r="E946">
        <f t="shared" si="56"/>
        <v>214</v>
      </c>
    </row>
    <row r="947" spans="4:5" x14ac:dyDescent="0.35">
      <c r="D947" s="30" t="str">
        <f t="shared" si="55"/>
        <v xml:space="preserve">Community Health Workers </v>
      </c>
      <c r="E947">
        <f t="shared" si="56"/>
        <v>0</v>
      </c>
    </row>
    <row r="948" spans="4:5" x14ac:dyDescent="0.35">
      <c r="D948" s="30" t="str">
        <f t="shared" si="55"/>
        <v>Dieticians and nutritionists</v>
      </c>
      <c r="E948">
        <f t="shared" si="56"/>
        <v>0</v>
      </c>
    </row>
    <row r="949" spans="4:5" x14ac:dyDescent="0.35">
      <c r="D949" s="30" t="str">
        <f t="shared" si="55"/>
        <v>Environmental and occupational health &amp; hygiene workers</v>
      </c>
      <c r="E949">
        <f t="shared" si="56"/>
        <v>234</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 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98000.999999999927</v>
      </c>
      <c r="D966" s="29" t="str">
        <f t="shared" si="55"/>
        <v>Medical Doctors</v>
      </c>
      <c r="E966">
        <f t="shared" ref="E966:E989" si="57">AO3</f>
        <v>0</v>
      </c>
    </row>
    <row r="967" spans="2:5" x14ac:dyDescent="0.35">
      <c r="D967" s="30" t="str">
        <f t="shared" si="55"/>
        <v>Nursing Personnel</v>
      </c>
      <c r="E967">
        <f t="shared" si="57"/>
        <v>0</v>
      </c>
    </row>
    <row r="968" spans="2:5" x14ac:dyDescent="0.35">
      <c r="D968" s="30" t="str">
        <f t="shared" si="55"/>
        <v>Midwifery personnel</v>
      </c>
      <c r="E968">
        <f t="shared" si="57"/>
        <v>0</v>
      </c>
    </row>
    <row r="969" spans="2:5" x14ac:dyDescent="0.35">
      <c r="D969" s="30" t="str">
        <f t="shared" si="55"/>
        <v>Pharmacists</v>
      </c>
      <c r="E969">
        <f t="shared" si="57"/>
        <v>217</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 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13697125.5</v>
      </c>
      <c r="D990" s="29" t="str">
        <f t="shared" si="55"/>
        <v>Medical Doctors</v>
      </c>
      <c r="E990">
        <f t="shared" ref="E990:E1013" si="58">AP3</f>
        <v>1216</v>
      </c>
    </row>
    <row r="991" spans="2:5" x14ac:dyDescent="0.35">
      <c r="D991" s="30" t="str">
        <f t="shared" si="55"/>
        <v>Nursing Personnel</v>
      </c>
      <c r="E991">
        <f t="shared" si="58"/>
        <v>7212</v>
      </c>
    </row>
    <row r="992" spans="2:5" x14ac:dyDescent="0.35">
      <c r="D992" s="30" t="str">
        <f t="shared" si="55"/>
        <v>Midwifery personnel</v>
      </c>
      <c r="E992">
        <f t="shared" si="58"/>
        <v>0</v>
      </c>
    </row>
    <row r="993" spans="4:5" x14ac:dyDescent="0.35">
      <c r="D993" s="30" t="str">
        <f t="shared" si="55"/>
        <v>Pharmacists</v>
      </c>
      <c r="E993">
        <f t="shared" si="58"/>
        <v>351</v>
      </c>
    </row>
    <row r="994" spans="4:5" x14ac:dyDescent="0.35">
      <c r="D994" s="30" t="str">
        <f t="shared" si="55"/>
        <v>Dentists</v>
      </c>
      <c r="E994">
        <f t="shared" si="58"/>
        <v>12</v>
      </c>
    </row>
    <row r="995" spans="4:5" x14ac:dyDescent="0.35">
      <c r="D995" s="30" t="str">
        <f t="shared" si="55"/>
        <v xml:space="preserve">Community Health Workers </v>
      </c>
      <c r="E995">
        <f t="shared" si="58"/>
        <v>0</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255</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0</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 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7288383.0000000009</v>
      </c>
      <c r="D1014" s="29" t="str">
        <f t="shared" si="59"/>
        <v>Medical Doctors</v>
      </c>
      <c r="E1014">
        <f t="shared" ref="E1014:E1037" si="60">AQ3</f>
        <v>0</v>
      </c>
    </row>
    <row r="1015" spans="2:5" x14ac:dyDescent="0.35">
      <c r="D1015" s="30" t="str">
        <f t="shared" si="59"/>
        <v>Nursing Personnel</v>
      </c>
      <c r="E1015">
        <f t="shared" si="60"/>
        <v>0</v>
      </c>
    </row>
    <row r="1016" spans="2:5" x14ac:dyDescent="0.35">
      <c r="D1016" s="30" t="str">
        <f t="shared" si="59"/>
        <v>Midwifery personnel</v>
      </c>
      <c r="E1016">
        <f t="shared" si="60"/>
        <v>0</v>
      </c>
    </row>
    <row r="1017" spans="2:5" x14ac:dyDescent="0.35">
      <c r="D1017" s="30" t="str">
        <f t="shared" si="59"/>
        <v>Pharmacists</v>
      </c>
      <c r="E1017">
        <f t="shared" si="60"/>
        <v>0</v>
      </c>
    </row>
    <row r="1018" spans="2:5" x14ac:dyDescent="0.35">
      <c r="D1018" s="30" t="str">
        <f t="shared" si="59"/>
        <v>Dentists</v>
      </c>
      <c r="E1018">
        <f t="shared" si="60"/>
        <v>0</v>
      </c>
    </row>
    <row r="1019" spans="2:5" x14ac:dyDescent="0.35">
      <c r="D1019" s="30" t="str">
        <f t="shared" si="59"/>
        <v xml:space="preserve">Community Health Workers </v>
      </c>
      <c r="E1019">
        <f t="shared" si="60"/>
        <v>0</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0</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0</v>
      </c>
    </row>
    <row r="1025" spans="2:5" x14ac:dyDescent="0.35">
      <c r="D1025" s="30" t="str">
        <f t="shared" si="59"/>
        <v xml:space="preserve">Medical and Pathology Laboratory scientists </v>
      </c>
      <c r="E1025">
        <f t="shared" si="60"/>
        <v>0</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0</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0</v>
      </c>
    </row>
    <row r="1030" spans="2:5" x14ac:dyDescent="0.35">
      <c r="D1030" s="30" t="str">
        <f t="shared" si="59"/>
        <v xml:space="preserve">Other non-medical professional staff </v>
      </c>
      <c r="E1030">
        <f t="shared" si="60"/>
        <v>0</v>
      </c>
    </row>
    <row r="1031" spans="2:5" x14ac:dyDescent="0.35">
      <c r="D1031" s="30" t="str">
        <f t="shared" si="59"/>
        <v xml:space="preserve">Other non-medical support staff </v>
      </c>
      <c r="E1031">
        <f t="shared" si="60"/>
        <v>0</v>
      </c>
    </row>
    <row r="1032" spans="2:5" x14ac:dyDescent="0.35">
      <c r="D1032" s="30" t="str">
        <f t="shared" si="59"/>
        <v xml:space="preserve">Medical and Pathology Laboratory Technicians </v>
      </c>
      <c r="E1032">
        <f t="shared" si="60"/>
        <v>0</v>
      </c>
    </row>
    <row r="1033" spans="2:5" x14ac:dyDescent="0.35">
      <c r="D1033" s="30" t="str">
        <f t="shared" si="59"/>
        <v xml:space="preserve">Paramedical Practitioners </v>
      </c>
      <c r="E1033">
        <f t="shared" si="60"/>
        <v>0</v>
      </c>
    </row>
    <row r="1034" spans="2:5" x14ac:dyDescent="0.35">
      <c r="D1034" s="30" t="str">
        <f t="shared" si="59"/>
        <v>Physiotherapists and physiotherapy assistants</v>
      </c>
      <c r="E1034">
        <f t="shared" si="60"/>
        <v>0</v>
      </c>
    </row>
    <row r="1035" spans="2:5" x14ac:dyDescent="0.35">
      <c r="D1035" s="30" t="str">
        <f t="shared" si="59"/>
        <v>Social workers</v>
      </c>
      <c r="E1035">
        <f t="shared" si="60"/>
        <v>0</v>
      </c>
    </row>
    <row r="1036" spans="2:5" x14ac:dyDescent="0.35">
      <c r="D1036" s="30" t="str">
        <f t="shared" si="59"/>
        <v xml:space="preserve"> Audiologists and Speech Therapists </v>
      </c>
      <c r="E1036">
        <f t="shared" si="60"/>
        <v>0</v>
      </c>
    </row>
    <row r="1037" spans="2:5" x14ac:dyDescent="0.35">
      <c r="D1037" s="30" t="str">
        <f t="shared" si="59"/>
        <v>Traditional and complementary medicine practitioners</v>
      </c>
      <c r="E1037">
        <f t="shared" si="60"/>
        <v>0</v>
      </c>
    </row>
    <row r="1038" spans="2:5" x14ac:dyDescent="0.35">
      <c r="B1038" t="str">
        <f>AR1</f>
        <v>TZA</v>
      </c>
      <c r="C1038">
        <f>AR2</f>
        <v>50814551.500000022</v>
      </c>
      <c r="D1038" s="29" t="str">
        <f t="shared" si="59"/>
        <v>Medical Doctors</v>
      </c>
      <c r="E1038">
        <f t="shared" ref="E1038:E1061" si="61">AR3</f>
        <v>6036</v>
      </c>
    </row>
    <row r="1039" spans="2:5" x14ac:dyDescent="0.35">
      <c r="D1039" s="30" t="str">
        <f t="shared" si="59"/>
        <v>Nursing Personnel</v>
      </c>
      <c r="E1039">
        <f t="shared" si="61"/>
        <v>43104</v>
      </c>
    </row>
    <row r="1040" spans="2:5" x14ac:dyDescent="0.35">
      <c r="D1040" s="30" t="str">
        <f t="shared" si="59"/>
        <v>Midwifery personnel</v>
      </c>
      <c r="E1040">
        <f t="shared" si="61"/>
        <v>0</v>
      </c>
    </row>
    <row r="1041" spans="4:5" x14ac:dyDescent="0.35">
      <c r="D1041" s="30" t="str">
        <f t="shared" si="59"/>
        <v>Pharmacists</v>
      </c>
      <c r="E1041">
        <f t="shared" si="61"/>
        <v>0</v>
      </c>
    </row>
    <row r="1042" spans="4:5" x14ac:dyDescent="0.35">
      <c r="D1042" s="30" t="str">
        <f t="shared" si="59"/>
        <v>Dentists</v>
      </c>
      <c r="E1042">
        <f t="shared" si="61"/>
        <v>0</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0</v>
      </c>
    </row>
    <row r="1045" spans="4:5" x14ac:dyDescent="0.35">
      <c r="D1045" s="30" t="str">
        <f t="shared" si="59"/>
        <v>Environmental and occupational health &amp; hygiene workers</v>
      </c>
      <c r="E1045">
        <f t="shared" si="61"/>
        <v>0</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0</v>
      </c>
    </row>
    <row r="1049" spans="4:5" x14ac:dyDescent="0.35">
      <c r="D1049" s="30" t="str">
        <f t="shared" si="59"/>
        <v xml:space="preserve">Medical and Pathology Laboratory scientists </v>
      </c>
      <c r="E1049">
        <f t="shared" si="61"/>
        <v>93</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2508</v>
      </c>
    </row>
    <row r="1057" spans="2:5" x14ac:dyDescent="0.35">
      <c r="D1057" s="30" t="str">
        <f t="shared" si="59"/>
        <v xml:space="preserve">Paramedical Practitioners </v>
      </c>
      <c r="E1057">
        <f t="shared" si="61"/>
        <v>10536</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 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36336539.50000003</v>
      </c>
      <c r="D1062" s="29" t="str">
        <f t="shared" si="59"/>
        <v>Medical Doctors</v>
      </c>
      <c r="E1062">
        <f t="shared" ref="E1062:E1085" si="62">AS3</f>
        <v>0</v>
      </c>
    </row>
    <row r="1063" spans="2:5" x14ac:dyDescent="0.35">
      <c r="D1063" s="30" t="str">
        <f t="shared" si="59"/>
        <v>Nursing Personnel</v>
      </c>
      <c r="E1063">
        <f t="shared" si="62"/>
        <v>90776</v>
      </c>
    </row>
    <row r="1064" spans="2:5" x14ac:dyDescent="0.35">
      <c r="D1064" s="30" t="str">
        <f t="shared" si="59"/>
        <v>Midwifery personnel</v>
      </c>
      <c r="E1064">
        <f t="shared" si="62"/>
        <v>0</v>
      </c>
    </row>
    <row r="1065" spans="2:5" x14ac:dyDescent="0.35">
      <c r="D1065" s="30" t="str">
        <f t="shared" si="59"/>
        <v>Pharmacists</v>
      </c>
      <c r="E1065">
        <f t="shared" si="62"/>
        <v>0</v>
      </c>
    </row>
    <row r="1066" spans="2:5" x14ac:dyDescent="0.35">
      <c r="D1066" s="30" t="str">
        <f t="shared" si="59"/>
        <v>Dentists</v>
      </c>
      <c r="E1066">
        <f t="shared" si="62"/>
        <v>0</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0</v>
      </c>
    </row>
    <row r="1084" spans="2:5" x14ac:dyDescent="0.35">
      <c r="D1084" s="30" t="str">
        <f t="shared" si="63"/>
        <v xml:space="preserve"> 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54729550.99999997</v>
      </c>
      <c r="D1086" s="29" t="str">
        <f t="shared" si="63"/>
        <v>Medical Doctors</v>
      </c>
      <c r="E1086">
        <f t="shared" ref="E1086:E1109" si="64">AT3</f>
        <v>5084</v>
      </c>
    </row>
    <row r="1087" spans="2:5" x14ac:dyDescent="0.35">
      <c r="D1087" s="30" t="str">
        <f t="shared" si="63"/>
        <v>Nursing Personnel</v>
      </c>
      <c r="E1087">
        <f t="shared" si="64"/>
        <v>0</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145</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8924</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3705</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326</v>
      </c>
    </row>
    <row r="1105" spans="2:5" x14ac:dyDescent="0.35">
      <c r="D1105" s="30" t="str">
        <f t="shared" si="63"/>
        <v xml:space="preserve">Paramedical Practitioners </v>
      </c>
      <c r="E1105">
        <f t="shared" si="64"/>
        <v>362</v>
      </c>
    </row>
    <row r="1106" spans="2:5" x14ac:dyDescent="0.35">
      <c r="D1106" s="30" t="str">
        <f t="shared" si="63"/>
        <v>Physiotherapists and physiotherapy assistants</v>
      </c>
      <c r="E1106">
        <f t="shared" si="64"/>
        <v>8781</v>
      </c>
    </row>
    <row r="1107" spans="2:5" x14ac:dyDescent="0.35">
      <c r="D1107" s="30" t="str">
        <f t="shared" si="63"/>
        <v>Social workers</v>
      </c>
      <c r="E1107">
        <f t="shared" si="64"/>
        <v>0</v>
      </c>
    </row>
    <row r="1108" spans="2:5" x14ac:dyDescent="0.35">
      <c r="D1108" s="30" t="str">
        <f t="shared" si="63"/>
        <v xml:space="preserve"> Audiologists and Speech Therapists </v>
      </c>
      <c r="E1108">
        <f t="shared" si="64"/>
        <v>2746</v>
      </c>
    </row>
    <row r="1109" spans="2:5" x14ac:dyDescent="0.35">
      <c r="D1109" s="30" t="str">
        <f t="shared" si="63"/>
        <v>Traditional and complementary medicine practitioners</v>
      </c>
      <c r="E1109">
        <f t="shared" si="64"/>
        <v>0</v>
      </c>
    </row>
    <row r="1110" spans="2:5" x14ac:dyDescent="0.35">
      <c r="B1110" t="str">
        <f>AU1</f>
        <v>ZMB</v>
      </c>
      <c r="C1110">
        <f>AU2</f>
        <v>15737792.999999998</v>
      </c>
      <c r="D1110" s="29" t="str">
        <f t="shared" si="63"/>
        <v>Medical Doctors</v>
      </c>
      <c r="E1110">
        <f t="shared" ref="E1110:E1133" si="65">AU3</f>
        <v>0</v>
      </c>
    </row>
    <row r="1111" spans="2:5" x14ac:dyDescent="0.35">
      <c r="D1111" s="30" t="str">
        <f t="shared" si="63"/>
        <v>Nursing Personnel</v>
      </c>
      <c r="E1111">
        <f t="shared" si="65"/>
        <v>0</v>
      </c>
    </row>
    <row r="1112" spans="2:5" x14ac:dyDescent="0.35">
      <c r="D1112" s="30" t="str">
        <f t="shared" si="63"/>
        <v>Midwifery personnel</v>
      </c>
      <c r="E1112">
        <f t="shared" si="65"/>
        <v>0</v>
      </c>
    </row>
    <row r="1113" spans="2:5" x14ac:dyDescent="0.35">
      <c r="D1113" s="30" t="str">
        <f t="shared" si="63"/>
        <v>Pharmacists</v>
      </c>
      <c r="E1113">
        <f t="shared" si="65"/>
        <v>1491</v>
      </c>
    </row>
    <row r="1114" spans="2:5" x14ac:dyDescent="0.35">
      <c r="D1114" s="30" t="str">
        <f t="shared" si="63"/>
        <v>Dentists</v>
      </c>
      <c r="E1114">
        <f t="shared" si="65"/>
        <v>374</v>
      </c>
    </row>
    <row r="1115" spans="2:5" x14ac:dyDescent="0.35">
      <c r="D1115" s="30" t="str">
        <f t="shared" si="63"/>
        <v xml:space="preserve">Community Health Workers </v>
      </c>
      <c r="E1115">
        <f t="shared" si="65"/>
        <v>0</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0</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0</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0</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0</v>
      </c>
    </row>
    <row r="1129" spans="2:5" x14ac:dyDescent="0.35">
      <c r="D1129" s="30" t="str">
        <f t="shared" si="63"/>
        <v xml:space="preserve">Paramedical Practitioners </v>
      </c>
      <c r="E1129">
        <f t="shared" si="65"/>
        <v>0</v>
      </c>
    </row>
    <row r="1130" spans="2:5" x14ac:dyDescent="0.35">
      <c r="D1130" s="30" t="str">
        <f t="shared" si="63"/>
        <v>Physiotherapists and physiotherapy assistants</v>
      </c>
      <c r="E1130">
        <f t="shared" si="65"/>
        <v>0</v>
      </c>
    </row>
    <row r="1131" spans="2:5" x14ac:dyDescent="0.35">
      <c r="D1131" s="30" t="str">
        <f t="shared" si="63"/>
        <v>Social workers</v>
      </c>
      <c r="E1131">
        <f t="shared" si="65"/>
        <v>0</v>
      </c>
    </row>
    <row r="1132" spans="2:5" x14ac:dyDescent="0.35">
      <c r="D1132" s="30" t="str">
        <f t="shared" si="63"/>
        <v xml:space="preserve"> 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13855753.000000004</v>
      </c>
      <c r="D1134" s="29" t="str">
        <f t="shared" ref="D1134:D1180" si="66">D1110</f>
        <v>Medical Doctors</v>
      </c>
      <c r="E1134">
        <f t="shared" ref="E1134:E1157" si="67">AV3</f>
        <v>3561</v>
      </c>
    </row>
    <row r="1135" spans="2:5" x14ac:dyDescent="0.35">
      <c r="D1135" s="30" t="str">
        <f t="shared" si="66"/>
        <v>Nursing Personnel</v>
      </c>
      <c r="E1135">
        <f t="shared" si="67"/>
        <v>44810</v>
      </c>
    </row>
    <row r="1136" spans="2:5" x14ac:dyDescent="0.35">
      <c r="D1136" s="30" t="str">
        <f t="shared" si="66"/>
        <v>Midwifery personnel</v>
      </c>
      <c r="E1136">
        <f t="shared" si="67"/>
        <v>0</v>
      </c>
    </row>
    <row r="1137" spans="4:5" x14ac:dyDescent="0.35">
      <c r="D1137" s="30" t="str">
        <f t="shared" si="66"/>
        <v>Pharmacists</v>
      </c>
      <c r="E1137">
        <f t="shared" si="67"/>
        <v>0</v>
      </c>
    </row>
    <row r="1138" spans="4:5" x14ac:dyDescent="0.35">
      <c r="D1138" s="30" t="str">
        <f t="shared" si="66"/>
        <v>Dentists</v>
      </c>
      <c r="E1138">
        <f t="shared" si="67"/>
        <v>0</v>
      </c>
    </row>
    <row r="1139" spans="4:5" x14ac:dyDescent="0.35">
      <c r="D1139" s="30" t="str">
        <f t="shared" si="66"/>
        <v xml:space="preserve">Community Health Workers </v>
      </c>
      <c r="E1139">
        <f t="shared" si="67"/>
        <v>0</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0</v>
      </c>
    </row>
    <row r="1143" spans="4:5" x14ac:dyDescent="0.35">
      <c r="D1143" s="30" t="str">
        <f t="shared" si="66"/>
        <v xml:space="preserve">Managerial staff </v>
      </c>
      <c r="E1143">
        <f t="shared" si="67"/>
        <v>229</v>
      </c>
    </row>
    <row r="1144" spans="4:5" x14ac:dyDescent="0.35">
      <c r="D1144" s="30" t="str">
        <f t="shared" si="66"/>
        <v xml:space="preserve">Medical and dental Prosthetic Technicians </v>
      </c>
      <c r="E1144">
        <f t="shared" si="67"/>
        <v>26</v>
      </c>
    </row>
    <row r="1145" spans="4:5" x14ac:dyDescent="0.35">
      <c r="D1145" s="30" t="str">
        <f t="shared" si="66"/>
        <v xml:space="preserve">Medical and Pathology Laboratory scientists </v>
      </c>
      <c r="E1145">
        <f t="shared" si="67"/>
        <v>0</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312</v>
      </c>
    </row>
    <row r="1148" spans="4:5" x14ac:dyDescent="0.35">
      <c r="D1148" s="30" t="str">
        <f t="shared" si="66"/>
        <v xml:space="preserve">Medical Records and Health Information Technicians </v>
      </c>
      <c r="E1148">
        <f t="shared" si="67"/>
        <v>0</v>
      </c>
    </row>
    <row r="1149" spans="4:5" x14ac:dyDescent="0.35">
      <c r="D1149" s="30" t="str">
        <f t="shared" si="66"/>
        <v xml:space="preserve">Optometrists and Ophthalmic Opticians </v>
      </c>
      <c r="E1149">
        <f t="shared" si="67"/>
        <v>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519</v>
      </c>
    </row>
    <row r="1153" spans="2:5" x14ac:dyDescent="0.35">
      <c r="D1153" s="30" t="str">
        <f t="shared" si="66"/>
        <v xml:space="preserve">Paramedical Practitioners </v>
      </c>
      <c r="E1153">
        <f t="shared" si="67"/>
        <v>145</v>
      </c>
    </row>
    <row r="1154" spans="2:5" x14ac:dyDescent="0.35">
      <c r="D1154" s="30" t="str">
        <f t="shared" si="66"/>
        <v>Physiotherapists and physiotherapy assistants</v>
      </c>
      <c r="E1154">
        <f t="shared" si="67"/>
        <v>413</v>
      </c>
    </row>
    <row r="1155" spans="2:5" x14ac:dyDescent="0.35">
      <c r="D1155" s="30" t="str">
        <f t="shared" si="66"/>
        <v>Social workers</v>
      </c>
      <c r="E1155">
        <f t="shared" si="67"/>
        <v>0</v>
      </c>
    </row>
    <row r="1156" spans="2:5" x14ac:dyDescent="0.35">
      <c r="D1156" s="30" t="str">
        <f t="shared" si="66"/>
        <v xml:space="preserve"> 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969991847.99999988</v>
      </c>
      <c r="D1158" s="29" t="str">
        <f t="shared" si="66"/>
        <v>Medical Doctors</v>
      </c>
      <c r="E1158">
        <f t="shared" ref="E1158:E1181" si="68">AW3</f>
        <v>83859</v>
      </c>
    </row>
    <row r="1159" spans="2:5" x14ac:dyDescent="0.35">
      <c r="D1159" s="30" t="str">
        <f t="shared" si="66"/>
        <v>Nursing Personnel</v>
      </c>
      <c r="E1159">
        <f t="shared" si="68"/>
        <v>507133</v>
      </c>
    </row>
    <row r="1160" spans="2:5" x14ac:dyDescent="0.35">
      <c r="D1160" s="30" t="str">
        <f t="shared" si="66"/>
        <v>Midwifery personnel</v>
      </c>
      <c r="E1160">
        <f t="shared" si="68"/>
        <v>51184</v>
      </c>
    </row>
    <row r="1161" spans="2:5" x14ac:dyDescent="0.35">
      <c r="D1161" s="30" t="str">
        <f t="shared" si="66"/>
        <v>Pharmacists</v>
      </c>
      <c r="E1161">
        <f t="shared" si="68"/>
        <v>54527</v>
      </c>
    </row>
    <row r="1162" spans="2:5" x14ac:dyDescent="0.35">
      <c r="D1162" s="30" t="str">
        <f t="shared" si="66"/>
        <v>Dentists</v>
      </c>
      <c r="E1162">
        <f t="shared" si="68"/>
        <v>15280</v>
      </c>
    </row>
    <row r="1163" spans="2:5" x14ac:dyDescent="0.35">
      <c r="D1163" s="30" t="str">
        <f t="shared" si="66"/>
        <v xml:space="preserve">Community Health Workers </v>
      </c>
      <c r="E1163">
        <f t="shared" si="68"/>
        <v>0</v>
      </c>
    </row>
    <row r="1164" spans="2:5" x14ac:dyDescent="0.35">
      <c r="D1164" s="30" t="str">
        <f t="shared" si="66"/>
        <v>Dieticians and nutritionists</v>
      </c>
      <c r="E1164">
        <f t="shared" si="68"/>
        <v>3794</v>
      </c>
    </row>
    <row r="1165" spans="2:5" x14ac:dyDescent="0.35">
      <c r="D1165" s="30" t="str">
        <f t="shared" si="66"/>
        <v>Environmental and occupational health &amp; hygiene workers</v>
      </c>
      <c r="E1165">
        <f t="shared" si="68"/>
        <v>13651</v>
      </c>
    </row>
    <row r="1166" spans="2:5" x14ac:dyDescent="0.35">
      <c r="D1166" s="30" t="str">
        <f t="shared" si="66"/>
        <v>Personal care workers in health service</v>
      </c>
      <c r="E1166">
        <f t="shared" si="68"/>
        <v>0</v>
      </c>
    </row>
    <row r="1167" spans="2:5" x14ac:dyDescent="0.35">
      <c r="D1167" s="30" t="str">
        <f t="shared" si="66"/>
        <v xml:space="preserve">Managerial staff </v>
      </c>
      <c r="E1167">
        <f t="shared" si="68"/>
        <v>229</v>
      </c>
    </row>
    <row r="1168" spans="2:5" x14ac:dyDescent="0.35">
      <c r="D1168" s="30" t="str">
        <f t="shared" si="66"/>
        <v xml:space="preserve">Medical and dental Prosthetic Technicians </v>
      </c>
      <c r="E1168">
        <f t="shared" si="68"/>
        <v>216</v>
      </c>
    </row>
    <row r="1169" spans="4:5" x14ac:dyDescent="0.35">
      <c r="D1169" s="30" t="str">
        <f t="shared" si="66"/>
        <v xml:space="preserve">Medical and Pathology Laboratory scientists </v>
      </c>
      <c r="E1169">
        <f t="shared" si="68"/>
        <v>2618</v>
      </c>
    </row>
    <row r="1170" spans="4:5" x14ac:dyDescent="0.35">
      <c r="D1170" s="30" t="str">
        <f t="shared" si="66"/>
        <v xml:space="preserve">Medical Assistants </v>
      </c>
      <c r="E1170">
        <f t="shared" si="68"/>
        <v>0</v>
      </c>
    </row>
    <row r="1171" spans="4:5" x14ac:dyDescent="0.35">
      <c r="D1171" s="30" t="str">
        <f t="shared" si="66"/>
        <v xml:space="preserve">Medical Imaging and Therapeutic Equipment Technicians </v>
      </c>
      <c r="E1171">
        <f t="shared" si="68"/>
        <v>10056</v>
      </c>
    </row>
    <row r="1172" spans="4:5" x14ac:dyDescent="0.35">
      <c r="D1172" s="30" t="str">
        <f t="shared" si="66"/>
        <v xml:space="preserve">Medical Records and Health Information Technicians </v>
      </c>
      <c r="E1172">
        <f t="shared" si="68"/>
        <v>0</v>
      </c>
    </row>
    <row r="1173" spans="4:5" x14ac:dyDescent="0.35">
      <c r="D1173" s="30" t="str">
        <f t="shared" si="66"/>
        <v xml:space="preserve">Optometrists and Ophthalmic Opticians </v>
      </c>
      <c r="E1173">
        <f t="shared" si="68"/>
        <v>3775</v>
      </c>
    </row>
    <row r="1174" spans="4:5" x14ac:dyDescent="0.35">
      <c r="D1174" s="30" t="str">
        <f t="shared" si="66"/>
        <v xml:space="preserve">Other non-medical professional staff </v>
      </c>
      <c r="E1174">
        <f t="shared" si="68"/>
        <v>0</v>
      </c>
    </row>
    <row r="1175" spans="4:5" x14ac:dyDescent="0.35">
      <c r="D1175" s="30" t="str">
        <f t="shared" si="66"/>
        <v xml:space="preserve">Other non-medical support staff </v>
      </c>
      <c r="E1175">
        <f t="shared" si="68"/>
        <v>0</v>
      </c>
    </row>
    <row r="1176" spans="4:5" x14ac:dyDescent="0.35">
      <c r="D1176" s="30" t="str">
        <f t="shared" si="66"/>
        <v xml:space="preserve">Medical and Pathology Laboratory Technicians </v>
      </c>
      <c r="E1176">
        <f t="shared" si="68"/>
        <v>4953</v>
      </c>
    </row>
    <row r="1177" spans="4:5" x14ac:dyDescent="0.35">
      <c r="D1177" s="30" t="str">
        <f t="shared" si="66"/>
        <v xml:space="preserve">Paramedical Practitioners </v>
      </c>
      <c r="E1177">
        <f t="shared" si="68"/>
        <v>11043</v>
      </c>
    </row>
    <row r="1178" spans="4:5" x14ac:dyDescent="0.35">
      <c r="D1178" s="30" t="str">
        <f t="shared" si="66"/>
        <v>Physiotherapists and physiotherapy assistants</v>
      </c>
      <c r="E1178">
        <f t="shared" si="68"/>
        <v>9254</v>
      </c>
    </row>
    <row r="1179" spans="4:5" x14ac:dyDescent="0.35">
      <c r="D1179" s="30" t="str">
        <f t="shared" si="66"/>
        <v>Social workers</v>
      </c>
      <c r="E1179">
        <f t="shared" si="68"/>
        <v>1511</v>
      </c>
    </row>
    <row r="1180" spans="4:5" x14ac:dyDescent="0.35">
      <c r="D1180" s="30" t="str">
        <f t="shared" si="66"/>
        <v xml:space="preserve"> Audiologists and Speech Therapists </v>
      </c>
      <c r="E1180">
        <f t="shared" si="68"/>
        <v>2746</v>
      </c>
    </row>
    <row r="1181" spans="4:5" x14ac:dyDescent="0.35">
      <c r="D1181" s="30" t="str">
        <f t="shared" ref="D1181" si="69">D1157</f>
        <v>Traditional and complementary medicine practitioners</v>
      </c>
      <c r="E1181">
        <f t="shared" si="68"/>
        <v>3046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A6D91-3FE6-4074-B0BF-6E16F58047E5}">
  <dimension ref="A1:AW1181"/>
  <sheetViews>
    <sheetView topLeftCell="AE1" workbookViewId="0">
      <selection activeCell="A2" sqref="A2:AW2"/>
    </sheetView>
  </sheetViews>
  <sheetFormatPr defaultColWidth="8.81640625" defaultRowHeight="14.5" x14ac:dyDescent="0.35"/>
  <cols>
    <col min="1" max="1" width="56.6328125" bestFit="1"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28127721.000000004</v>
      </c>
      <c r="C2">
        <v>10727148.499999996</v>
      </c>
      <c r="D2">
        <v>10932783.499999994</v>
      </c>
      <c r="E2">
        <v>18718019.499999996</v>
      </c>
      <c r="F2">
        <v>2305171.5000000005</v>
      </c>
      <c r="G2">
        <v>4819332.9999999991</v>
      </c>
      <c r="H2">
        <v>23596741</v>
      </c>
      <c r="I2">
        <v>23012646.5</v>
      </c>
      <c r="J2">
        <v>78656903.50000006</v>
      </c>
      <c r="K2">
        <v>5064386.0000000019</v>
      </c>
      <c r="L2">
        <v>730215.49999999953</v>
      </c>
      <c r="M2">
        <v>552166.00000000012</v>
      </c>
      <c r="N2">
        <v>39543154.499999985</v>
      </c>
      <c r="O2">
        <v>3340005.9999999991</v>
      </c>
      <c r="P2">
        <v>102471895.49999996</v>
      </c>
      <c r="Q2">
        <v>2028517.0000000007</v>
      </c>
      <c r="R2">
        <v>28870939.000000007</v>
      </c>
      <c r="S2">
        <v>11625998.500000007</v>
      </c>
      <c r="T2">
        <v>2253133.5000000009</v>
      </c>
      <c r="U2">
        <v>1788919.0000000005</v>
      </c>
      <c r="V2">
        <v>1346973.0000000005</v>
      </c>
      <c r="W2">
        <v>46851488.499999993</v>
      </c>
      <c r="X2">
        <v>4612328.9999999972</v>
      </c>
      <c r="Y2">
        <v>2118520.5000000019</v>
      </c>
      <c r="Z2">
        <v>24850912.500000015</v>
      </c>
      <c r="AA2">
        <v>18112906.500000004</v>
      </c>
      <c r="AB2">
        <v>26843245.5</v>
      </c>
      <c r="AC2">
        <v>3946219.4999999991</v>
      </c>
      <c r="AD2">
        <v>1293153</v>
      </c>
      <c r="AE2">
        <v>16938941.500000004</v>
      </c>
      <c r="AF2">
        <v>2282703.9999999995</v>
      </c>
      <c r="AG2">
        <v>20128123.999999989</v>
      </c>
      <c r="AH2">
        <v>183995784.49999991</v>
      </c>
      <c r="AI2">
        <v>11642959</v>
      </c>
      <c r="AJ2">
        <v>14356180.500000004</v>
      </c>
      <c r="AK2">
        <v>7314773</v>
      </c>
      <c r="AL2">
        <v>11194299.499999998</v>
      </c>
      <c r="AM2">
        <v>201123.50000000012</v>
      </c>
      <c r="AN2">
        <v>1133935.9999999998</v>
      </c>
      <c r="AO2">
        <v>99239.999999999971</v>
      </c>
      <c r="AP2">
        <v>14140274</v>
      </c>
      <c r="AQ2">
        <v>7473228.5</v>
      </c>
      <c r="AR2">
        <v>52542823.5</v>
      </c>
      <c r="AS2">
        <v>37477355.999999978</v>
      </c>
      <c r="AT2">
        <v>55876503.999999993</v>
      </c>
      <c r="AU2">
        <v>16248229.999999996</v>
      </c>
      <c r="AV2">
        <v>14154937</v>
      </c>
      <c r="AW2">
        <v>996342964.99999988</v>
      </c>
    </row>
    <row r="3" spans="1:49" x14ac:dyDescent="0.35">
      <c r="A3" t="s">
        <v>135</v>
      </c>
      <c r="B3">
        <v>0</v>
      </c>
      <c r="C3">
        <v>1016</v>
      </c>
      <c r="D3">
        <v>0</v>
      </c>
      <c r="E3">
        <v>2378</v>
      </c>
      <c r="F3">
        <v>0</v>
      </c>
      <c r="G3">
        <v>648</v>
      </c>
      <c r="H3">
        <v>0</v>
      </c>
      <c r="I3">
        <v>0</v>
      </c>
      <c r="J3">
        <v>0</v>
      </c>
      <c r="K3">
        <v>0</v>
      </c>
      <c r="L3">
        <v>0</v>
      </c>
      <c r="M3">
        <v>820</v>
      </c>
      <c r="N3">
        <v>0</v>
      </c>
      <c r="O3">
        <v>497</v>
      </c>
      <c r="P3">
        <v>0</v>
      </c>
      <c r="Q3">
        <v>0</v>
      </c>
      <c r="R3">
        <v>6526</v>
      </c>
      <c r="S3">
        <v>1954</v>
      </c>
      <c r="T3">
        <v>426</v>
      </c>
      <c r="U3">
        <v>708</v>
      </c>
      <c r="V3">
        <v>0</v>
      </c>
      <c r="W3">
        <v>0</v>
      </c>
      <c r="X3">
        <v>336</v>
      </c>
      <c r="Y3">
        <v>0</v>
      </c>
      <c r="Z3">
        <v>0</v>
      </c>
      <c r="AA3">
        <v>3583</v>
      </c>
      <c r="AB3">
        <v>38</v>
      </c>
      <c r="AC3">
        <v>1384</v>
      </c>
      <c r="AD3">
        <v>5100</v>
      </c>
      <c r="AE3">
        <v>0</v>
      </c>
      <c r="AF3">
        <v>0</v>
      </c>
      <c r="AG3">
        <v>1268</v>
      </c>
      <c r="AH3">
        <v>0</v>
      </c>
      <c r="AI3">
        <v>2568</v>
      </c>
      <c r="AJ3">
        <v>72</v>
      </c>
      <c r="AK3">
        <v>0</v>
      </c>
      <c r="AL3">
        <v>0</v>
      </c>
      <c r="AM3">
        <v>126</v>
      </c>
      <c r="AN3">
        <v>0</v>
      </c>
      <c r="AO3">
        <v>4</v>
      </c>
      <c r="AP3">
        <v>1392</v>
      </c>
      <c r="AQ3">
        <v>722</v>
      </c>
      <c r="AR3">
        <v>0</v>
      </c>
      <c r="AS3">
        <v>7290</v>
      </c>
      <c r="AT3">
        <v>1143</v>
      </c>
      <c r="AU3">
        <v>0</v>
      </c>
      <c r="AV3">
        <v>5462</v>
      </c>
      <c r="AW3">
        <v>45461</v>
      </c>
    </row>
    <row r="4" spans="1:49" x14ac:dyDescent="0.35">
      <c r="A4" t="s">
        <v>139</v>
      </c>
      <c r="B4">
        <v>0</v>
      </c>
      <c r="C4">
        <v>13376</v>
      </c>
      <c r="D4">
        <v>0</v>
      </c>
      <c r="E4">
        <v>19496</v>
      </c>
      <c r="F4">
        <v>0</v>
      </c>
      <c r="G4">
        <v>644</v>
      </c>
      <c r="H4">
        <v>21782</v>
      </c>
      <c r="I4">
        <v>0</v>
      </c>
      <c r="J4">
        <v>144540</v>
      </c>
      <c r="K4">
        <v>7704</v>
      </c>
      <c r="L4">
        <v>0</v>
      </c>
      <c r="M4">
        <v>996</v>
      </c>
      <c r="N4">
        <v>0</v>
      </c>
      <c r="O4">
        <v>7924</v>
      </c>
      <c r="P4">
        <v>0</v>
      </c>
      <c r="Q4">
        <v>0</v>
      </c>
      <c r="R4">
        <v>97878</v>
      </c>
      <c r="S4">
        <v>8778</v>
      </c>
      <c r="T4">
        <v>4744</v>
      </c>
      <c r="U4">
        <v>2098</v>
      </c>
      <c r="V4">
        <v>0</v>
      </c>
      <c r="W4">
        <v>82826</v>
      </c>
      <c r="X4">
        <v>0</v>
      </c>
      <c r="Y4">
        <v>0</v>
      </c>
      <c r="Z4">
        <v>0</v>
      </c>
      <c r="AA4">
        <v>0</v>
      </c>
      <c r="AB4">
        <v>13854</v>
      </c>
      <c r="AC4">
        <v>8274</v>
      </c>
      <c r="AD4">
        <v>8522</v>
      </c>
      <c r="AE4">
        <v>0</v>
      </c>
      <c r="AF4">
        <v>8730</v>
      </c>
      <c r="AG4">
        <v>6506</v>
      </c>
      <c r="AH4">
        <v>0</v>
      </c>
      <c r="AI4">
        <v>20734</v>
      </c>
      <c r="AJ4">
        <v>3364</v>
      </c>
      <c r="AK4">
        <v>11746</v>
      </c>
      <c r="AL4">
        <v>0</v>
      </c>
      <c r="AM4">
        <v>884</v>
      </c>
      <c r="AN4">
        <v>7952</v>
      </c>
      <c r="AO4">
        <v>0</v>
      </c>
      <c r="AP4">
        <v>7126</v>
      </c>
      <c r="AQ4">
        <v>2682</v>
      </c>
      <c r="AR4">
        <v>0</v>
      </c>
      <c r="AS4">
        <v>101362</v>
      </c>
      <c r="AT4">
        <v>0</v>
      </c>
      <c r="AU4">
        <v>0</v>
      </c>
      <c r="AV4">
        <v>41532</v>
      </c>
      <c r="AW4">
        <v>656054</v>
      </c>
    </row>
    <row r="5" spans="1:49" x14ac:dyDescent="0.35">
      <c r="A5" t="s">
        <v>138</v>
      </c>
      <c r="B5">
        <v>0</v>
      </c>
      <c r="C5">
        <v>158</v>
      </c>
      <c r="D5">
        <v>0</v>
      </c>
      <c r="E5">
        <v>4766</v>
      </c>
      <c r="F5">
        <v>0</v>
      </c>
      <c r="G5">
        <v>1210</v>
      </c>
      <c r="H5">
        <v>0</v>
      </c>
      <c r="I5">
        <v>0</v>
      </c>
      <c r="J5">
        <v>0</v>
      </c>
      <c r="K5">
        <v>0</v>
      </c>
      <c r="L5">
        <v>0</v>
      </c>
      <c r="M5">
        <v>0</v>
      </c>
      <c r="N5">
        <v>0</v>
      </c>
      <c r="O5">
        <v>0</v>
      </c>
      <c r="P5">
        <v>0</v>
      </c>
      <c r="Q5">
        <v>0</v>
      </c>
      <c r="R5">
        <v>13616</v>
      </c>
      <c r="S5">
        <v>752</v>
      </c>
      <c r="T5">
        <v>1700</v>
      </c>
      <c r="U5">
        <v>0</v>
      </c>
      <c r="V5">
        <v>0</v>
      </c>
      <c r="W5">
        <v>0</v>
      </c>
      <c r="X5">
        <v>0</v>
      </c>
      <c r="Y5">
        <v>0</v>
      </c>
      <c r="Z5">
        <v>0</v>
      </c>
      <c r="AA5">
        <v>0</v>
      </c>
      <c r="AB5">
        <v>10316</v>
      </c>
      <c r="AC5">
        <v>0</v>
      </c>
      <c r="AD5">
        <v>0</v>
      </c>
      <c r="AE5">
        <v>0</v>
      </c>
      <c r="AF5">
        <v>0</v>
      </c>
      <c r="AG5">
        <v>1648</v>
      </c>
      <c r="AH5">
        <v>0</v>
      </c>
      <c r="AI5">
        <v>1736</v>
      </c>
      <c r="AJ5">
        <v>2232</v>
      </c>
      <c r="AK5">
        <v>0</v>
      </c>
      <c r="AL5">
        <v>0</v>
      </c>
      <c r="AM5">
        <v>0</v>
      </c>
      <c r="AN5">
        <v>0</v>
      </c>
      <c r="AO5">
        <v>0</v>
      </c>
      <c r="AP5">
        <v>0</v>
      </c>
      <c r="AQ5">
        <v>1738</v>
      </c>
      <c r="AR5">
        <v>0</v>
      </c>
      <c r="AS5">
        <v>17630</v>
      </c>
      <c r="AT5">
        <v>0</v>
      </c>
      <c r="AU5">
        <v>0</v>
      </c>
      <c r="AV5">
        <v>0</v>
      </c>
      <c r="AW5">
        <v>57502</v>
      </c>
    </row>
    <row r="6" spans="1:49" x14ac:dyDescent="0.35">
      <c r="A6" t="s">
        <v>82</v>
      </c>
      <c r="B6">
        <v>2781</v>
      </c>
      <c r="C6">
        <v>0</v>
      </c>
      <c r="D6">
        <v>2626</v>
      </c>
      <c r="E6">
        <v>1184</v>
      </c>
      <c r="F6">
        <v>30461</v>
      </c>
      <c r="G6">
        <v>0</v>
      </c>
      <c r="H6">
        <v>0</v>
      </c>
      <c r="I6">
        <v>0</v>
      </c>
      <c r="J6">
        <v>3609</v>
      </c>
      <c r="K6">
        <v>0</v>
      </c>
      <c r="L6">
        <v>0</v>
      </c>
      <c r="M6">
        <v>0</v>
      </c>
      <c r="N6">
        <v>0</v>
      </c>
      <c r="O6">
        <v>0</v>
      </c>
      <c r="P6">
        <v>894</v>
      </c>
      <c r="Q6">
        <v>0</v>
      </c>
      <c r="R6">
        <v>1845</v>
      </c>
      <c r="S6">
        <v>0</v>
      </c>
      <c r="T6">
        <v>156</v>
      </c>
      <c r="U6">
        <v>1539</v>
      </c>
      <c r="V6">
        <v>2295</v>
      </c>
      <c r="W6">
        <v>1080</v>
      </c>
      <c r="X6">
        <v>0</v>
      </c>
      <c r="Y6">
        <v>128</v>
      </c>
      <c r="Z6">
        <v>0</v>
      </c>
      <c r="AA6">
        <v>514</v>
      </c>
      <c r="AB6">
        <v>0</v>
      </c>
      <c r="AC6">
        <v>333</v>
      </c>
      <c r="AD6">
        <v>0</v>
      </c>
      <c r="AE6">
        <v>0</v>
      </c>
      <c r="AF6">
        <v>0</v>
      </c>
      <c r="AG6">
        <v>0</v>
      </c>
      <c r="AH6">
        <v>0</v>
      </c>
      <c r="AI6">
        <v>0</v>
      </c>
      <c r="AJ6">
        <v>0</v>
      </c>
      <c r="AK6">
        <v>0</v>
      </c>
      <c r="AL6">
        <v>0</v>
      </c>
      <c r="AM6">
        <v>617</v>
      </c>
      <c r="AN6">
        <v>65</v>
      </c>
      <c r="AO6">
        <v>0</v>
      </c>
      <c r="AP6">
        <v>591</v>
      </c>
      <c r="AQ6">
        <v>68</v>
      </c>
      <c r="AR6">
        <v>53</v>
      </c>
      <c r="AS6">
        <v>0</v>
      </c>
      <c r="AT6">
        <v>0</v>
      </c>
      <c r="AU6">
        <v>0</v>
      </c>
      <c r="AV6">
        <v>394</v>
      </c>
      <c r="AW6">
        <v>51233</v>
      </c>
    </row>
    <row r="7" spans="1:49" x14ac:dyDescent="0.35">
      <c r="A7" t="s">
        <v>60</v>
      </c>
      <c r="B7">
        <v>595</v>
      </c>
      <c r="C7">
        <v>300</v>
      </c>
      <c r="D7">
        <v>658</v>
      </c>
      <c r="E7">
        <v>392</v>
      </c>
      <c r="F7">
        <v>10523</v>
      </c>
      <c r="G7">
        <v>0</v>
      </c>
      <c r="H7">
        <v>0</v>
      </c>
      <c r="I7">
        <v>0</v>
      </c>
      <c r="J7">
        <v>2898</v>
      </c>
      <c r="K7">
        <v>0</v>
      </c>
      <c r="L7">
        <v>0</v>
      </c>
      <c r="M7">
        <v>0</v>
      </c>
      <c r="N7">
        <v>0</v>
      </c>
      <c r="O7">
        <v>0</v>
      </c>
      <c r="P7">
        <v>275</v>
      </c>
      <c r="Q7">
        <v>0</v>
      </c>
      <c r="R7">
        <v>1450</v>
      </c>
      <c r="S7">
        <v>14263</v>
      </c>
      <c r="T7">
        <v>15</v>
      </c>
      <c r="U7">
        <v>46</v>
      </c>
      <c r="V7">
        <v>841</v>
      </c>
      <c r="W7">
        <v>236</v>
      </c>
      <c r="X7">
        <v>0</v>
      </c>
      <c r="Y7">
        <v>50</v>
      </c>
      <c r="Z7">
        <v>0</v>
      </c>
      <c r="AA7">
        <v>385</v>
      </c>
      <c r="AB7">
        <v>0</v>
      </c>
      <c r="AC7">
        <v>204</v>
      </c>
      <c r="AD7">
        <v>0</v>
      </c>
      <c r="AE7">
        <v>0</v>
      </c>
      <c r="AF7">
        <v>0</v>
      </c>
      <c r="AG7">
        <v>0</v>
      </c>
      <c r="AH7">
        <v>0</v>
      </c>
      <c r="AI7">
        <v>0</v>
      </c>
      <c r="AJ7">
        <v>0</v>
      </c>
      <c r="AK7">
        <v>0</v>
      </c>
      <c r="AL7">
        <v>0</v>
      </c>
      <c r="AM7">
        <v>6</v>
      </c>
      <c r="AN7">
        <v>13</v>
      </c>
      <c r="AO7">
        <v>0</v>
      </c>
      <c r="AP7">
        <v>123</v>
      </c>
      <c r="AQ7">
        <v>0</v>
      </c>
      <c r="AR7">
        <v>0</v>
      </c>
      <c r="AS7">
        <v>0</v>
      </c>
      <c r="AT7">
        <v>0</v>
      </c>
      <c r="AU7">
        <v>0</v>
      </c>
      <c r="AV7">
        <v>236</v>
      </c>
      <c r="AW7">
        <v>33509</v>
      </c>
    </row>
    <row r="8" spans="1:49" x14ac:dyDescent="0.35">
      <c r="A8" t="s">
        <v>127</v>
      </c>
      <c r="S8">
        <v>6700</v>
      </c>
      <c r="AJ8">
        <v>770</v>
      </c>
      <c r="AS8">
        <v>179175</v>
      </c>
      <c r="AV8">
        <v>11200</v>
      </c>
      <c r="AW8">
        <v>197845</v>
      </c>
    </row>
    <row r="9" spans="1:49" x14ac:dyDescent="0.35">
      <c r="A9" t="s">
        <v>61</v>
      </c>
      <c r="B9">
        <v>870</v>
      </c>
      <c r="C9">
        <v>0</v>
      </c>
      <c r="D9">
        <v>0</v>
      </c>
      <c r="E9">
        <v>1688</v>
      </c>
      <c r="F9">
        <v>0</v>
      </c>
      <c r="G9">
        <v>0</v>
      </c>
      <c r="H9">
        <v>0</v>
      </c>
      <c r="I9">
        <v>0</v>
      </c>
      <c r="J9">
        <v>2192</v>
      </c>
      <c r="K9">
        <v>0</v>
      </c>
      <c r="L9">
        <v>0</v>
      </c>
      <c r="M9">
        <v>0</v>
      </c>
      <c r="N9">
        <v>0</v>
      </c>
      <c r="O9">
        <v>0</v>
      </c>
      <c r="P9">
        <v>35</v>
      </c>
      <c r="Q9">
        <v>0</v>
      </c>
      <c r="R9">
        <v>0</v>
      </c>
      <c r="S9">
        <v>0</v>
      </c>
      <c r="T9">
        <v>0</v>
      </c>
      <c r="U9">
        <v>496</v>
      </c>
      <c r="V9">
        <v>1147</v>
      </c>
      <c r="W9">
        <v>0</v>
      </c>
      <c r="X9">
        <v>0</v>
      </c>
      <c r="Y9">
        <v>16</v>
      </c>
      <c r="Z9">
        <v>0</v>
      </c>
      <c r="AA9">
        <v>0</v>
      </c>
      <c r="AB9">
        <v>0</v>
      </c>
      <c r="AC9">
        <v>12</v>
      </c>
      <c r="AD9">
        <v>0</v>
      </c>
      <c r="AE9">
        <v>0</v>
      </c>
      <c r="AF9">
        <v>0</v>
      </c>
      <c r="AG9">
        <v>0</v>
      </c>
      <c r="AH9">
        <v>0</v>
      </c>
      <c r="AI9">
        <v>0</v>
      </c>
      <c r="AJ9">
        <v>0</v>
      </c>
      <c r="AK9">
        <v>0</v>
      </c>
      <c r="AL9">
        <v>0</v>
      </c>
      <c r="AM9">
        <v>0</v>
      </c>
      <c r="AN9">
        <v>15</v>
      </c>
      <c r="AO9">
        <v>0</v>
      </c>
      <c r="AP9">
        <v>43</v>
      </c>
      <c r="AQ9">
        <v>0</v>
      </c>
      <c r="AR9">
        <v>0</v>
      </c>
      <c r="AS9">
        <v>0</v>
      </c>
      <c r="AT9">
        <v>0</v>
      </c>
      <c r="AU9">
        <v>0</v>
      </c>
      <c r="AV9">
        <v>845</v>
      </c>
      <c r="AW9">
        <v>7359</v>
      </c>
    </row>
    <row r="10" spans="1:49" x14ac:dyDescent="0.35">
      <c r="A10" t="s">
        <v>62</v>
      </c>
      <c r="B10">
        <v>0</v>
      </c>
      <c r="C10">
        <v>0</v>
      </c>
      <c r="D10">
        <v>3830</v>
      </c>
      <c r="E10">
        <v>718</v>
      </c>
      <c r="F10">
        <v>14743</v>
      </c>
      <c r="G10">
        <v>0</v>
      </c>
      <c r="H10">
        <v>0</v>
      </c>
      <c r="I10">
        <v>0</v>
      </c>
      <c r="J10">
        <v>1168</v>
      </c>
      <c r="K10">
        <v>0</v>
      </c>
      <c r="L10">
        <v>0</v>
      </c>
      <c r="M10">
        <v>0</v>
      </c>
      <c r="N10">
        <v>0</v>
      </c>
      <c r="O10">
        <v>0</v>
      </c>
      <c r="P10">
        <v>0</v>
      </c>
      <c r="Q10">
        <v>0</v>
      </c>
      <c r="R10">
        <v>0</v>
      </c>
      <c r="S10">
        <v>0</v>
      </c>
      <c r="T10">
        <v>0</v>
      </c>
      <c r="U10">
        <v>0</v>
      </c>
      <c r="V10">
        <v>5310</v>
      </c>
      <c r="W10">
        <v>201</v>
      </c>
      <c r="X10">
        <v>0</v>
      </c>
      <c r="Y10">
        <v>142</v>
      </c>
      <c r="Z10">
        <v>0</v>
      </c>
      <c r="AA10">
        <v>0</v>
      </c>
      <c r="AB10">
        <v>0</v>
      </c>
      <c r="AC10">
        <v>53</v>
      </c>
      <c r="AD10">
        <v>0</v>
      </c>
      <c r="AE10">
        <v>0</v>
      </c>
      <c r="AF10">
        <v>0</v>
      </c>
      <c r="AG10">
        <v>0</v>
      </c>
      <c r="AH10">
        <v>0</v>
      </c>
      <c r="AI10">
        <v>0</v>
      </c>
      <c r="AJ10">
        <v>0</v>
      </c>
      <c r="AK10">
        <v>0</v>
      </c>
      <c r="AL10">
        <v>0</v>
      </c>
      <c r="AM10">
        <v>0</v>
      </c>
      <c r="AN10">
        <v>428</v>
      </c>
      <c r="AO10">
        <v>0</v>
      </c>
      <c r="AP10">
        <v>0</v>
      </c>
      <c r="AQ10">
        <v>0</v>
      </c>
      <c r="AR10">
        <v>0</v>
      </c>
      <c r="AS10">
        <v>0</v>
      </c>
      <c r="AT10">
        <v>0</v>
      </c>
      <c r="AU10">
        <v>0</v>
      </c>
      <c r="AV10">
        <v>1885</v>
      </c>
      <c r="AW10">
        <v>28478</v>
      </c>
    </row>
    <row r="11" spans="1:49" x14ac:dyDescent="0.35">
      <c r="A11" t="s">
        <v>203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row>
    <row r="12" spans="1:49" x14ac:dyDescent="0.35">
      <c r="A12" t="s">
        <v>204</v>
      </c>
      <c r="AV12">
        <v>270</v>
      </c>
      <c r="AW12">
        <v>270</v>
      </c>
    </row>
    <row r="13" spans="1:49" x14ac:dyDescent="0.35">
      <c r="A13" t="s">
        <v>205</v>
      </c>
      <c r="B13">
        <v>0</v>
      </c>
      <c r="C13">
        <v>0</v>
      </c>
      <c r="D13">
        <v>0</v>
      </c>
      <c r="E13">
        <v>0</v>
      </c>
      <c r="F13">
        <v>0</v>
      </c>
      <c r="G13">
        <v>0</v>
      </c>
      <c r="H13">
        <v>0</v>
      </c>
      <c r="I13">
        <v>0</v>
      </c>
      <c r="J13">
        <v>0</v>
      </c>
      <c r="K13">
        <v>0</v>
      </c>
      <c r="L13">
        <v>0</v>
      </c>
      <c r="M13">
        <v>0</v>
      </c>
      <c r="N13">
        <v>0</v>
      </c>
      <c r="O13">
        <v>0</v>
      </c>
      <c r="P13">
        <v>0</v>
      </c>
      <c r="Q13">
        <v>0</v>
      </c>
      <c r="R13">
        <v>0</v>
      </c>
      <c r="S13">
        <v>0</v>
      </c>
      <c r="T13">
        <v>3</v>
      </c>
      <c r="U13">
        <v>0</v>
      </c>
      <c r="V13">
        <v>0</v>
      </c>
      <c r="W13">
        <v>0</v>
      </c>
      <c r="X13">
        <v>0</v>
      </c>
      <c r="Y13">
        <v>0</v>
      </c>
      <c r="Z13">
        <v>0</v>
      </c>
      <c r="AA13">
        <v>0</v>
      </c>
      <c r="AB13">
        <v>212</v>
      </c>
      <c r="AC13">
        <v>0</v>
      </c>
      <c r="AD13">
        <v>0</v>
      </c>
      <c r="AE13">
        <v>0</v>
      </c>
      <c r="AF13">
        <v>0</v>
      </c>
      <c r="AG13">
        <v>0</v>
      </c>
      <c r="AH13">
        <v>0</v>
      </c>
      <c r="AI13">
        <v>23</v>
      </c>
      <c r="AJ13">
        <v>0</v>
      </c>
      <c r="AK13">
        <v>0</v>
      </c>
      <c r="AL13">
        <v>0</v>
      </c>
      <c r="AM13">
        <v>0</v>
      </c>
      <c r="AN13">
        <v>0</v>
      </c>
      <c r="AO13">
        <v>0</v>
      </c>
      <c r="AP13">
        <v>0</v>
      </c>
      <c r="AQ13">
        <v>0</v>
      </c>
      <c r="AR13">
        <v>0</v>
      </c>
      <c r="AS13">
        <v>227</v>
      </c>
      <c r="AT13">
        <v>0</v>
      </c>
      <c r="AU13">
        <v>0</v>
      </c>
      <c r="AV13">
        <v>0</v>
      </c>
      <c r="AW13">
        <v>465</v>
      </c>
    </row>
    <row r="14" spans="1:49" x14ac:dyDescent="0.35">
      <c r="A14" t="s">
        <v>133</v>
      </c>
      <c r="T14">
        <v>11</v>
      </c>
      <c r="AQ14">
        <v>407</v>
      </c>
      <c r="AT14">
        <v>149</v>
      </c>
      <c r="AW14">
        <v>567</v>
      </c>
    </row>
    <row r="15" spans="1:49" x14ac:dyDescent="0.35">
      <c r="A15" t="s">
        <v>206</v>
      </c>
    </row>
    <row r="16" spans="1:49" x14ac:dyDescent="0.35">
      <c r="A16" t="s">
        <v>136</v>
      </c>
      <c r="T16">
        <v>32</v>
      </c>
      <c r="AI16">
        <v>116</v>
      </c>
      <c r="AS16">
        <v>121</v>
      </c>
      <c r="AT16">
        <v>9175</v>
      </c>
      <c r="AV16">
        <v>511</v>
      </c>
      <c r="AW16">
        <v>9955</v>
      </c>
    </row>
    <row r="17" spans="1:49" x14ac:dyDescent="0.35">
      <c r="A17" t="s">
        <v>207</v>
      </c>
    </row>
    <row r="18" spans="1:49" x14ac:dyDescent="0.35">
      <c r="A18" t="s">
        <v>141</v>
      </c>
      <c r="T18">
        <v>17</v>
      </c>
      <c r="AT18">
        <v>3783</v>
      </c>
      <c r="AW18">
        <v>3800</v>
      </c>
    </row>
    <row r="19" spans="1:49" x14ac:dyDescent="0.35">
      <c r="A19" t="s">
        <v>208</v>
      </c>
    </row>
    <row r="20" spans="1:49" x14ac:dyDescent="0.35">
      <c r="A20" t="s">
        <v>209</v>
      </c>
    </row>
    <row r="21" spans="1:49" x14ac:dyDescent="0.35">
      <c r="A21" t="s">
        <v>134</v>
      </c>
      <c r="T21">
        <v>141</v>
      </c>
      <c r="AI21">
        <v>1545</v>
      </c>
      <c r="AS21">
        <v>2447</v>
      </c>
      <c r="AT21">
        <v>453</v>
      </c>
      <c r="AV21">
        <v>644</v>
      </c>
      <c r="AW21">
        <v>5230</v>
      </c>
    </row>
    <row r="22" spans="1:49" x14ac:dyDescent="0.35">
      <c r="A22" t="s">
        <v>142</v>
      </c>
      <c r="AT22">
        <v>474</v>
      </c>
      <c r="AW22">
        <v>474</v>
      </c>
    </row>
    <row r="23" spans="1:49" x14ac:dyDescent="0.35">
      <c r="A23" t="s">
        <v>83</v>
      </c>
      <c r="B23">
        <v>0</v>
      </c>
      <c r="C23">
        <v>0</v>
      </c>
      <c r="D23">
        <v>0</v>
      </c>
      <c r="E23">
        <v>0</v>
      </c>
      <c r="F23">
        <v>0</v>
      </c>
      <c r="G23">
        <v>0</v>
      </c>
      <c r="H23">
        <v>0</v>
      </c>
      <c r="I23">
        <v>0</v>
      </c>
      <c r="J23">
        <v>0</v>
      </c>
      <c r="K23">
        <v>0</v>
      </c>
      <c r="L23">
        <v>0</v>
      </c>
      <c r="M23">
        <v>0</v>
      </c>
      <c r="N23">
        <v>0</v>
      </c>
      <c r="O23">
        <v>0</v>
      </c>
      <c r="P23">
        <v>0</v>
      </c>
      <c r="Q23">
        <v>0</v>
      </c>
      <c r="R23">
        <v>0</v>
      </c>
      <c r="S23">
        <v>0</v>
      </c>
      <c r="T23">
        <v>20</v>
      </c>
      <c r="U23">
        <v>0</v>
      </c>
      <c r="V23">
        <v>0</v>
      </c>
      <c r="W23">
        <v>0</v>
      </c>
      <c r="X23">
        <v>0</v>
      </c>
      <c r="Y23">
        <v>0</v>
      </c>
      <c r="Z23">
        <v>0</v>
      </c>
      <c r="AA23">
        <v>0</v>
      </c>
      <c r="AB23">
        <v>0</v>
      </c>
      <c r="AC23">
        <v>0</v>
      </c>
      <c r="AD23">
        <v>0</v>
      </c>
      <c r="AE23">
        <v>0</v>
      </c>
      <c r="AF23">
        <v>0</v>
      </c>
      <c r="AG23">
        <v>0</v>
      </c>
      <c r="AH23">
        <v>0</v>
      </c>
      <c r="AI23">
        <v>125</v>
      </c>
      <c r="AJ23">
        <v>0</v>
      </c>
      <c r="AK23">
        <v>0</v>
      </c>
      <c r="AL23">
        <v>0</v>
      </c>
      <c r="AM23">
        <v>0</v>
      </c>
      <c r="AN23">
        <v>0</v>
      </c>
      <c r="AO23">
        <v>0</v>
      </c>
      <c r="AP23">
        <v>0</v>
      </c>
      <c r="AQ23">
        <v>231</v>
      </c>
      <c r="AR23">
        <v>0</v>
      </c>
      <c r="AS23">
        <v>114</v>
      </c>
      <c r="AT23">
        <v>9289</v>
      </c>
      <c r="AU23">
        <v>0</v>
      </c>
      <c r="AV23">
        <v>472</v>
      </c>
      <c r="AW23">
        <v>10251</v>
      </c>
    </row>
    <row r="24" spans="1:49" x14ac:dyDescent="0.35">
      <c r="A24" t="s">
        <v>84</v>
      </c>
      <c r="B24">
        <v>0</v>
      </c>
      <c r="C24">
        <v>0</v>
      </c>
      <c r="D24">
        <v>0</v>
      </c>
      <c r="E24">
        <v>0</v>
      </c>
      <c r="F24">
        <v>0</v>
      </c>
      <c r="G24">
        <v>83</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886</v>
      </c>
      <c r="AJ24">
        <v>0</v>
      </c>
      <c r="AK24">
        <v>0</v>
      </c>
      <c r="AL24">
        <v>0</v>
      </c>
      <c r="AM24">
        <v>0</v>
      </c>
      <c r="AN24">
        <v>0</v>
      </c>
      <c r="AO24">
        <v>0</v>
      </c>
      <c r="AP24">
        <v>0</v>
      </c>
      <c r="AQ24">
        <v>0</v>
      </c>
      <c r="AR24">
        <v>0</v>
      </c>
      <c r="AS24">
        <v>0</v>
      </c>
      <c r="AT24">
        <v>0</v>
      </c>
      <c r="AU24">
        <v>0</v>
      </c>
      <c r="AV24">
        <v>0</v>
      </c>
      <c r="AW24">
        <v>969</v>
      </c>
    </row>
    <row r="25" spans="1:49" x14ac:dyDescent="0.35">
      <c r="A25" t="s">
        <v>126</v>
      </c>
      <c r="AT25">
        <v>2913</v>
      </c>
      <c r="AW25">
        <v>2913</v>
      </c>
    </row>
    <row r="26" spans="1:49" x14ac:dyDescent="0.35">
      <c r="A26" t="s">
        <v>87</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row>
    <row r="29" spans="1:49" x14ac:dyDescent="0.35">
      <c r="B29" t="s">
        <v>0</v>
      </c>
      <c r="C29" t="s">
        <v>210</v>
      </c>
      <c r="D29" t="s">
        <v>211</v>
      </c>
      <c r="E29">
        <v>2012</v>
      </c>
    </row>
    <row r="30" spans="1:49" x14ac:dyDescent="0.35">
      <c r="B30" t="str">
        <f>B1</f>
        <v>AGO</v>
      </c>
      <c r="C30">
        <f>B2</f>
        <v>28127721.000000004</v>
      </c>
      <c r="D30" t="str">
        <f t="shared" ref="D30:D52" si="0">A3</f>
        <v>Medical Doctors</v>
      </c>
      <c r="E30">
        <f t="shared" ref="E30:E52" si="1">B3</f>
        <v>0</v>
      </c>
    </row>
    <row r="31" spans="1:49" x14ac:dyDescent="0.35">
      <c r="D31" t="str">
        <f t="shared" si="0"/>
        <v>Nursing Personnel</v>
      </c>
      <c r="E31">
        <f t="shared" si="1"/>
        <v>0</v>
      </c>
    </row>
    <row r="32" spans="1:49" x14ac:dyDescent="0.35">
      <c r="D32" t="str">
        <f t="shared" si="0"/>
        <v>Midwifery personnel</v>
      </c>
      <c r="E32">
        <f t="shared" si="1"/>
        <v>0</v>
      </c>
    </row>
    <row r="33" spans="4:5" x14ac:dyDescent="0.35">
      <c r="D33" t="str">
        <f t="shared" si="0"/>
        <v>Pharmacists</v>
      </c>
      <c r="E33">
        <f t="shared" si="1"/>
        <v>2781</v>
      </c>
    </row>
    <row r="34" spans="4:5" x14ac:dyDescent="0.35">
      <c r="D34" t="str">
        <f t="shared" si="0"/>
        <v>Dentists</v>
      </c>
      <c r="E34">
        <f t="shared" si="1"/>
        <v>595</v>
      </c>
    </row>
    <row r="35" spans="4:5" x14ac:dyDescent="0.35">
      <c r="D35" t="str">
        <f t="shared" si="0"/>
        <v xml:space="preserve">Community Health Workers </v>
      </c>
      <c r="E35">
        <f t="shared" si="1"/>
        <v>0</v>
      </c>
    </row>
    <row r="36" spans="4:5" x14ac:dyDescent="0.35">
      <c r="D36" t="str">
        <f t="shared" si="0"/>
        <v>Dieticians and nutritionists</v>
      </c>
      <c r="E36">
        <f t="shared" si="1"/>
        <v>870</v>
      </c>
    </row>
    <row r="37" spans="4:5" x14ac:dyDescent="0.35">
      <c r="D37" t="str">
        <f t="shared" si="0"/>
        <v>Environmental and occupational health &amp; hygiene workers</v>
      </c>
      <c r="E37">
        <f t="shared" si="1"/>
        <v>0</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10727148.499999996</v>
      </c>
      <c r="D54" t="str">
        <f t="shared" ref="D54:D117" si="3">D30</f>
        <v>Medical Doctors</v>
      </c>
      <c r="E54">
        <f t="shared" ref="E54:E77" si="4">C3</f>
        <v>1016</v>
      </c>
    </row>
    <row r="55" spans="2:5" x14ac:dyDescent="0.35">
      <c r="D55" t="str">
        <f t="shared" si="3"/>
        <v>Nursing Personnel</v>
      </c>
      <c r="E55">
        <f t="shared" si="4"/>
        <v>13376</v>
      </c>
    </row>
    <row r="56" spans="2:5" x14ac:dyDescent="0.35">
      <c r="D56" t="str">
        <f t="shared" si="3"/>
        <v>Midwifery personnel</v>
      </c>
      <c r="E56">
        <f t="shared" si="4"/>
        <v>158</v>
      </c>
    </row>
    <row r="57" spans="2:5" x14ac:dyDescent="0.35">
      <c r="D57" t="str">
        <f t="shared" si="3"/>
        <v>Pharmacists</v>
      </c>
      <c r="E57">
        <f t="shared" si="4"/>
        <v>0</v>
      </c>
    </row>
    <row r="58" spans="2:5" x14ac:dyDescent="0.35">
      <c r="D58" t="str">
        <f t="shared" si="3"/>
        <v>Dentists</v>
      </c>
      <c r="E58">
        <f t="shared" si="4"/>
        <v>300</v>
      </c>
    </row>
    <row r="59" spans="2:5" x14ac:dyDescent="0.35">
      <c r="D59" t="str">
        <f t="shared" si="3"/>
        <v xml:space="preserve">Community Health Workers </v>
      </c>
      <c r="E59">
        <f t="shared" si="4"/>
        <v>0</v>
      </c>
    </row>
    <row r="60" spans="2:5" x14ac:dyDescent="0.35">
      <c r="D60" t="str">
        <f t="shared" si="3"/>
        <v>Dieticians and nutritionists</v>
      </c>
      <c r="E60">
        <f t="shared" si="4"/>
        <v>0</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10932783.499999994</v>
      </c>
      <c r="D78" t="str">
        <f t="shared" si="3"/>
        <v>Medical Doctors</v>
      </c>
      <c r="E78">
        <f t="shared" ref="E78:E101" si="5">D3</f>
        <v>0</v>
      </c>
    </row>
    <row r="79" spans="2:5" x14ac:dyDescent="0.35">
      <c r="D79" t="str">
        <f t="shared" si="3"/>
        <v>Nursing Personnel</v>
      </c>
      <c r="E79">
        <f t="shared" si="5"/>
        <v>0</v>
      </c>
    </row>
    <row r="80" spans="2:5" x14ac:dyDescent="0.35">
      <c r="D80" t="str">
        <f t="shared" si="3"/>
        <v>Midwifery personnel</v>
      </c>
      <c r="E80">
        <f t="shared" si="5"/>
        <v>0</v>
      </c>
    </row>
    <row r="81" spans="4:5" x14ac:dyDescent="0.35">
      <c r="D81" t="str">
        <f t="shared" si="3"/>
        <v>Pharmacists</v>
      </c>
      <c r="E81">
        <f t="shared" si="5"/>
        <v>2626</v>
      </c>
    </row>
    <row r="82" spans="4:5" x14ac:dyDescent="0.35">
      <c r="D82" t="str">
        <f t="shared" si="3"/>
        <v>Dentists</v>
      </c>
      <c r="E82">
        <f t="shared" si="5"/>
        <v>658</v>
      </c>
    </row>
    <row r="83" spans="4:5" x14ac:dyDescent="0.35">
      <c r="D83" t="str">
        <f t="shared" si="3"/>
        <v xml:space="preserve">Community Health Workers </v>
      </c>
      <c r="E83">
        <f t="shared" si="5"/>
        <v>0</v>
      </c>
    </row>
    <row r="84" spans="4:5" x14ac:dyDescent="0.35">
      <c r="D84" t="str">
        <f t="shared" si="3"/>
        <v>Dieticians and nutritionists</v>
      </c>
      <c r="E84">
        <f t="shared" si="5"/>
        <v>0</v>
      </c>
    </row>
    <row r="85" spans="4:5" x14ac:dyDescent="0.35">
      <c r="D85" t="str">
        <f t="shared" si="3"/>
        <v>Environmental and occupational health &amp; hygiene workers</v>
      </c>
      <c r="E85">
        <f t="shared" si="5"/>
        <v>3830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0</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0</v>
      </c>
    </row>
    <row r="97" spans="2:5" x14ac:dyDescent="0.35">
      <c r="D97" t="str">
        <f t="shared" si="3"/>
        <v xml:space="preserve">Paramedical Practitioners </v>
      </c>
      <c r="E97">
        <f t="shared" si="5"/>
        <v>0</v>
      </c>
    </row>
    <row r="98" spans="2:5" x14ac:dyDescent="0.35">
      <c r="D98" t="str">
        <f t="shared" si="3"/>
        <v>Physiotherapists and physiotherapy assistants</v>
      </c>
      <c r="E98">
        <f t="shared" si="5"/>
        <v>0</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18718019.499999996</v>
      </c>
      <c r="D102" s="29" t="str">
        <f t="shared" si="3"/>
        <v>Medical Doctors</v>
      </c>
      <c r="E102">
        <f t="shared" ref="E102:E125" si="6">E3</f>
        <v>2378</v>
      </c>
    </row>
    <row r="103" spans="2:5" x14ac:dyDescent="0.35">
      <c r="D103" s="29" t="str">
        <f t="shared" si="3"/>
        <v>Nursing Personnel</v>
      </c>
      <c r="E103">
        <f t="shared" si="6"/>
        <v>19496</v>
      </c>
    </row>
    <row r="104" spans="2:5" x14ac:dyDescent="0.35">
      <c r="D104" s="29" t="str">
        <f t="shared" si="3"/>
        <v>Midwifery personnel</v>
      </c>
      <c r="E104">
        <f t="shared" si="6"/>
        <v>4766</v>
      </c>
    </row>
    <row r="105" spans="2:5" x14ac:dyDescent="0.35">
      <c r="D105" s="29" t="str">
        <f t="shared" si="3"/>
        <v>Pharmacists</v>
      </c>
      <c r="E105">
        <f t="shared" si="6"/>
        <v>1184</v>
      </c>
    </row>
    <row r="106" spans="2:5" x14ac:dyDescent="0.35">
      <c r="D106" s="29" t="str">
        <f t="shared" si="3"/>
        <v>Dentists</v>
      </c>
      <c r="E106">
        <f t="shared" si="6"/>
        <v>392</v>
      </c>
    </row>
    <row r="107" spans="2:5" x14ac:dyDescent="0.35">
      <c r="D107" s="29" t="str">
        <f t="shared" si="3"/>
        <v xml:space="preserve">Community Health Workers </v>
      </c>
      <c r="E107">
        <f t="shared" si="6"/>
        <v>0</v>
      </c>
    </row>
    <row r="108" spans="2:5" x14ac:dyDescent="0.35">
      <c r="D108" s="29" t="str">
        <f t="shared" si="3"/>
        <v>Dieticians and nutritionists</v>
      </c>
      <c r="E108">
        <f t="shared" si="6"/>
        <v>1688</v>
      </c>
    </row>
    <row r="109" spans="2:5" x14ac:dyDescent="0.35">
      <c r="D109" s="29" t="str">
        <f t="shared" si="3"/>
        <v>Environmental and occupational health &amp; hygiene workers</v>
      </c>
      <c r="E109">
        <f t="shared" si="6"/>
        <v>718</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0</v>
      </c>
    </row>
    <row r="113" spans="2:5" x14ac:dyDescent="0.35">
      <c r="D113" s="29" t="str">
        <f t="shared" si="3"/>
        <v xml:space="preserve">Medical and Pathology Laboratory scientists </v>
      </c>
      <c r="E113">
        <f t="shared" si="6"/>
        <v>0</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0</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0</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0</v>
      </c>
    </row>
    <row r="123" spans="2:5" x14ac:dyDescent="0.35">
      <c r="D123" s="29" t="str">
        <f t="shared" si="7"/>
        <v>Social workers</v>
      </c>
      <c r="E123">
        <f t="shared" si="6"/>
        <v>0</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0</v>
      </c>
    </row>
    <row r="126" spans="2:5" x14ac:dyDescent="0.35">
      <c r="B126" t="str">
        <f>F1</f>
        <v>BWA</v>
      </c>
      <c r="C126">
        <f>F2</f>
        <v>2305171.5000000005</v>
      </c>
      <c r="D126" s="29" t="str">
        <f t="shared" si="7"/>
        <v>Medical Doctors</v>
      </c>
      <c r="E126">
        <f t="shared" ref="E126:E149" si="8">F3</f>
        <v>0</v>
      </c>
    </row>
    <row r="127" spans="2:5" x14ac:dyDescent="0.35">
      <c r="D127" s="29" t="str">
        <f t="shared" si="7"/>
        <v>Nursing Personnel</v>
      </c>
      <c r="E127">
        <f t="shared" si="8"/>
        <v>0</v>
      </c>
    </row>
    <row r="128" spans="2:5" x14ac:dyDescent="0.35">
      <c r="D128" s="29" t="str">
        <f t="shared" si="7"/>
        <v>Midwifery personnel</v>
      </c>
      <c r="E128">
        <f t="shared" si="8"/>
        <v>0</v>
      </c>
    </row>
    <row r="129" spans="4:5" x14ac:dyDescent="0.35">
      <c r="D129" s="29" t="str">
        <f t="shared" si="7"/>
        <v>Pharmacists</v>
      </c>
      <c r="E129">
        <f t="shared" si="8"/>
        <v>30461</v>
      </c>
    </row>
    <row r="130" spans="4:5" x14ac:dyDescent="0.35">
      <c r="D130" s="29" t="str">
        <f t="shared" si="7"/>
        <v>Dentists</v>
      </c>
      <c r="E130">
        <f t="shared" si="8"/>
        <v>10523</v>
      </c>
    </row>
    <row r="131" spans="4:5" x14ac:dyDescent="0.35">
      <c r="D131" s="29" t="str">
        <f t="shared" si="7"/>
        <v xml:space="preserve">Community Health Workers </v>
      </c>
      <c r="E131">
        <f t="shared" si="8"/>
        <v>0</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14743</v>
      </c>
    </row>
    <row r="134" spans="4:5" x14ac:dyDescent="0.35">
      <c r="D134" s="29" t="str">
        <f t="shared" si="7"/>
        <v>Personal care workers in health service</v>
      </c>
      <c r="E134">
        <f t="shared" si="8"/>
        <v>0</v>
      </c>
    </row>
    <row r="135" spans="4:5" x14ac:dyDescent="0.35">
      <c r="D135" s="29" t="str">
        <f t="shared" si="7"/>
        <v xml:space="preserve">Managerial staff </v>
      </c>
      <c r="E135">
        <f t="shared" si="8"/>
        <v>0</v>
      </c>
    </row>
    <row r="136" spans="4:5" x14ac:dyDescent="0.35">
      <c r="D136" s="29" t="str">
        <f t="shared" si="7"/>
        <v xml:space="preserve">Medical and dental Prosthetic Technicians </v>
      </c>
      <c r="E136">
        <f t="shared" si="8"/>
        <v>0</v>
      </c>
    </row>
    <row r="137" spans="4:5" x14ac:dyDescent="0.35">
      <c r="D137" s="29" t="str">
        <f t="shared" si="7"/>
        <v xml:space="preserve">Medical and Pathology Laboratory scientists </v>
      </c>
      <c r="E137">
        <f t="shared" si="8"/>
        <v>0</v>
      </c>
    </row>
    <row r="138" spans="4:5" x14ac:dyDescent="0.35">
      <c r="D138" s="29" t="str">
        <f t="shared" si="7"/>
        <v xml:space="preserve">Medical Assistants </v>
      </c>
      <c r="E138">
        <f t="shared" si="8"/>
        <v>0</v>
      </c>
    </row>
    <row r="139" spans="4:5" x14ac:dyDescent="0.35">
      <c r="D139" s="29" t="str">
        <f t="shared" si="7"/>
        <v xml:space="preserve">Medical Imaging and Therapeutic Equipment Technicians </v>
      </c>
      <c r="E139">
        <f t="shared" si="8"/>
        <v>0</v>
      </c>
    </row>
    <row r="140" spans="4:5" x14ac:dyDescent="0.35">
      <c r="D140" s="29" t="str">
        <f t="shared" si="7"/>
        <v xml:space="preserve">Medical Records and Health Information Technicians </v>
      </c>
      <c r="E140">
        <f t="shared" si="8"/>
        <v>0</v>
      </c>
    </row>
    <row r="141" spans="4:5" x14ac:dyDescent="0.35">
      <c r="D141" s="29" t="str">
        <f t="shared" si="7"/>
        <v xml:space="preserve">Optometrists and Ophthalmic Opticians </v>
      </c>
      <c r="E141">
        <f t="shared" si="8"/>
        <v>0</v>
      </c>
    </row>
    <row r="142" spans="4:5" x14ac:dyDescent="0.35">
      <c r="D142" s="29" t="str">
        <f t="shared" si="7"/>
        <v xml:space="preserve">Other non-medical professional staff </v>
      </c>
      <c r="E142">
        <f t="shared" si="8"/>
        <v>0</v>
      </c>
    </row>
    <row r="143" spans="4:5" x14ac:dyDescent="0.35">
      <c r="D143" s="29" t="str">
        <f t="shared" si="7"/>
        <v xml:space="preserve">Other non-medical support staff </v>
      </c>
      <c r="E143">
        <f t="shared" si="8"/>
        <v>0</v>
      </c>
    </row>
    <row r="144" spans="4:5" x14ac:dyDescent="0.35">
      <c r="D144" s="29" t="str">
        <f t="shared" si="7"/>
        <v xml:space="preserve">Medical and Pathology Laboratory Technicians </v>
      </c>
      <c r="E144">
        <f t="shared" si="8"/>
        <v>0</v>
      </c>
    </row>
    <row r="145" spans="2:5" x14ac:dyDescent="0.35">
      <c r="D145" s="29" t="str">
        <f t="shared" si="7"/>
        <v xml:space="preserve">Paramedical Practitioners </v>
      </c>
      <c r="E145">
        <f t="shared" si="8"/>
        <v>0</v>
      </c>
    </row>
    <row r="146" spans="2:5" x14ac:dyDescent="0.35">
      <c r="D146" s="29" t="str">
        <f t="shared" si="7"/>
        <v>Physiotherapists and physiotherapy assistants</v>
      </c>
      <c r="E146">
        <f t="shared" si="8"/>
        <v>0</v>
      </c>
    </row>
    <row r="147" spans="2:5" x14ac:dyDescent="0.35">
      <c r="D147" s="29" t="str">
        <f t="shared" si="7"/>
        <v>Social workers</v>
      </c>
      <c r="E147">
        <f t="shared" si="8"/>
        <v>0</v>
      </c>
    </row>
    <row r="148" spans="2:5" x14ac:dyDescent="0.35">
      <c r="D148" s="29" t="str">
        <f t="shared" si="7"/>
        <v xml:space="preserve">Audiologists and Speech Therapists </v>
      </c>
      <c r="E148">
        <f t="shared" si="8"/>
        <v>0</v>
      </c>
    </row>
    <row r="149" spans="2:5" x14ac:dyDescent="0.35">
      <c r="D149" s="29" t="str">
        <f t="shared" si="7"/>
        <v>Traditional and complementary medicine practitioners</v>
      </c>
      <c r="E149">
        <f t="shared" si="8"/>
        <v>0</v>
      </c>
    </row>
    <row r="150" spans="2:5" x14ac:dyDescent="0.35">
      <c r="B150" t="str">
        <f>G1</f>
        <v>CAF</v>
      </c>
      <c r="C150">
        <f>G2</f>
        <v>4819332.9999999991</v>
      </c>
      <c r="D150" s="30" t="str">
        <f t="shared" si="7"/>
        <v>Medical Doctors</v>
      </c>
      <c r="E150">
        <f t="shared" ref="E150:E173" si="9">G3</f>
        <v>648</v>
      </c>
    </row>
    <row r="151" spans="2:5" x14ac:dyDescent="0.35">
      <c r="D151" s="30" t="str">
        <f t="shared" si="7"/>
        <v>Nursing Personnel</v>
      </c>
      <c r="E151">
        <f t="shared" si="9"/>
        <v>644</v>
      </c>
    </row>
    <row r="152" spans="2:5" x14ac:dyDescent="0.35">
      <c r="D152" s="30" t="str">
        <f t="shared" si="7"/>
        <v>Midwifery personnel</v>
      </c>
      <c r="E152">
        <f t="shared" si="9"/>
        <v>1210</v>
      </c>
    </row>
    <row r="153" spans="2:5" x14ac:dyDescent="0.35">
      <c r="D153" s="30" t="str">
        <f t="shared" si="7"/>
        <v>Pharmacists</v>
      </c>
      <c r="E153">
        <f t="shared" si="9"/>
        <v>0</v>
      </c>
    </row>
    <row r="154" spans="2:5" x14ac:dyDescent="0.35">
      <c r="D154" s="30" t="str">
        <f t="shared" si="7"/>
        <v>Dentists</v>
      </c>
      <c r="E154">
        <f t="shared" si="9"/>
        <v>0</v>
      </c>
    </row>
    <row r="155" spans="2:5" x14ac:dyDescent="0.35">
      <c r="D155" s="30" t="str">
        <f t="shared" si="7"/>
        <v xml:space="preserve">Community Health Workers </v>
      </c>
      <c r="E155">
        <f t="shared" si="9"/>
        <v>0</v>
      </c>
    </row>
    <row r="156" spans="2:5" x14ac:dyDescent="0.35">
      <c r="D156" s="30" t="str">
        <f t="shared" si="7"/>
        <v>Dieticians and nutritionists</v>
      </c>
      <c r="E156">
        <f t="shared" si="9"/>
        <v>0</v>
      </c>
    </row>
    <row r="157" spans="2:5" x14ac:dyDescent="0.35">
      <c r="D157" s="30" t="str">
        <f t="shared" si="7"/>
        <v>Environmental and occupational health &amp; hygiene workers</v>
      </c>
      <c r="E157">
        <f t="shared" si="9"/>
        <v>0</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83</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23596741</v>
      </c>
      <c r="D174" s="31" t="str">
        <f t="shared" si="7"/>
        <v>Medical Doctors</v>
      </c>
      <c r="E174">
        <f t="shared" ref="E174:E197" si="10">H3</f>
        <v>0</v>
      </c>
    </row>
    <row r="175" spans="2:5" x14ac:dyDescent="0.35">
      <c r="D175" s="30" t="str">
        <f t="shared" si="7"/>
        <v>Nursing Personnel</v>
      </c>
      <c r="E175">
        <f t="shared" si="10"/>
        <v>21782</v>
      </c>
    </row>
    <row r="176" spans="2:5" x14ac:dyDescent="0.35">
      <c r="D176" s="30" t="str">
        <f t="shared" si="7"/>
        <v>Midwifery personnel</v>
      </c>
      <c r="E176">
        <f t="shared" si="10"/>
        <v>0</v>
      </c>
    </row>
    <row r="177" spans="4:5" x14ac:dyDescent="0.35">
      <c r="D177" s="30" t="str">
        <f t="shared" si="7"/>
        <v>Pharmacists</v>
      </c>
      <c r="E177">
        <f t="shared" si="10"/>
        <v>0</v>
      </c>
    </row>
    <row r="178" spans="4:5" x14ac:dyDescent="0.35">
      <c r="D178" s="30" t="str">
        <f t="shared" si="7"/>
        <v>Dentists</v>
      </c>
      <c r="E178">
        <f t="shared" si="10"/>
        <v>0</v>
      </c>
    </row>
    <row r="179" spans="4:5" x14ac:dyDescent="0.35">
      <c r="D179" s="30" t="str">
        <f t="shared" si="7"/>
        <v xml:space="preserve">Community Health Workers </v>
      </c>
      <c r="E179">
        <f t="shared" si="10"/>
        <v>0</v>
      </c>
    </row>
    <row r="180" spans="4:5" x14ac:dyDescent="0.35">
      <c r="D180" s="30" t="str">
        <f t="shared" si="7"/>
        <v>Dieticians and nutritionists</v>
      </c>
      <c r="E180">
        <f t="shared" si="10"/>
        <v>0</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0</v>
      </c>
    </row>
    <row r="194" spans="2:5" x14ac:dyDescent="0.35">
      <c r="D194" s="30" t="str">
        <f t="shared" si="11"/>
        <v>Physiotherapists and physiotherapy assistants</v>
      </c>
      <c r="E194">
        <f t="shared" si="10"/>
        <v>0</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23012646.5</v>
      </c>
      <c r="D198" s="30" t="str">
        <f t="shared" si="11"/>
        <v>Medical Doctors</v>
      </c>
      <c r="E198">
        <f t="shared" ref="E198:E221" si="12">I3</f>
        <v>0</v>
      </c>
    </row>
    <row r="199" spans="2:5" x14ac:dyDescent="0.35">
      <c r="D199" s="30" t="str">
        <f t="shared" si="11"/>
        <v>Nursing Personnel</v>
      </c>
      <c r="E199">
        <f t="shared" si="12"/>
        <v>0</v>
      </c>
    </row>
    <row r="200" spans="2:5" x14ac:dyDescent="0.35">
      <c r="D200" s="30" t="str">
        <f t="shared" si="11"/>
        <v>Midwifery personnel</v>
      </c>
      <c r="E200">
        <f t="shared" si="12"/>
        <v>0</v>
      </c>
    </row>
    <row r="201" spans="2:5" x14ac:dyDescent="0.35">
      <c r="D201" s="30" t="str">
        <f t="shared" si="11"/>
        <v>Pharmacists</v>
      </c>
      <c r="E201">
        <f t="shared" si="12"/>
        <v>0</v>
      </c>
    </row>
    <row r="202" spans="2:5" x14ac:dyDescent="0.35">
      <c r="D202" s="30" t="str">
        <f t="shared" si="11"/>
        <v>Dentists</v>
      </c>
      <c r="E202">
        <f t="shared" si="12"/>
        <v>0</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0</v>
      </c>
    </row>
    <row r="208" spans="2:5" x14ac:dyDescent="0.35">
      <c r="D208" s="30" t="str">
        <f t="shared" si="11"/>
        <v xml:space="preserve">Medical and dental Prosthetic Technicians </v>
      </c>
      <c r="E208">
        <f t="shared" si="12"/>
        <v>0</v>
      </c>
    </row>
    <row r="209" spans="2:5" x14ac:dyDescent="0.35">
      <c r="D209" s="30" t="str">
        <f t="shared" si="11"/>
        <v xml:space="preserve">Medical and Pathology Laboratory scientists </v>
      </c>
      <c r="E209">
        <f t="shared" si="12"/>
        <v>0</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0</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0</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0</v>
      </c>
    </row>
    <row r="219" spans="2:5" x14ac:dyDescent="0.35">
      <c r="D219" s="30" t="str">
        <f t="shared" si="11"/>
        <v>Social workers</v>
      </c>
      <c r="E219">
        <f t="shared" si="12"/>
        <v>0</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78656903.50000006</v>
      </c>
      <c r="D222" s="29" t="str">
        <f t="shared" si="11"/>
        <v>Medical Doctors</v>
      </c>
      <c r="E222">
        <f t="shared" ref="E222:E245" si="13">J3</f>
        <v>0</v>
      </c>
    </row>
    <row r="223" spans="2:5" x14ac:dyDescent="0.35">
      <c r="D223" s="30" t="str">
        <f t="shared" si="11"/>
        <v>Nursing Personnel</v>
      </c>
      <c r="E223">
        <f t="shared" si="13"/>
        <v>144540</v>
      </c>
    </row>
    <row r="224" spans="2:5" x14ac:dyDescent="0.35">
      <c r="D224" s="30" t="str">
        <f t="shared" si="11"/>
        <v>Midwifery personnel</v>
      </c>
      <c r="E224">
        <f t="shared" si="13"/>
        <v>0</v>
      </c>
    </row>
    <row r="225" spans="4:5" x14ac:dyDescent="0.35">
      <c r="D225" s="30" t="str">
        <f t="shared" si="11"/>
        <v>Pharmacists</v>
      </c>
      <c r="E225">
        <f t="shared" si="13"/>
        <v>3609</v>
      </c>
    </row>
    <row r="226" spans="4:5" x14ac:dyDescent="0.35">
      <c r="D226" s="30" t="str">
        <f t="shared" si="11"/>
        <v>Dentists</v>
      </c>
      <c r="E226">
        <f t="shared" si="13"/>
        <v>2898</v>
      </c>
    </row>
    <row r="227" spans="4:5" x14ac:dyDescent="0.35">
      <c r="D227" s="30" t="str">
        <f t="shared" si="11"/>
        <v xml:space="preserve">Community Health Workers </v>
      </c>
      <c r="E227">
        <f t="shared" si="13"/>
        <v>0</v>
      </c>
    </row>
    <row r="228" spans="4:5" x14ac:dyDescent="0.35">
      <c r="D228" s="30" t="str">
        <f t="shared" si="11"/>
        <v>Dieticians and nutritionists</v>
      </c>
      <c r="E228">
        <f t="shared" si="13"/>
        <v>2192</v>
      </c>
    </row>
    <row r="229" spans="4:5" x14ac:dyDescent="0.35">
      <c r="D229" s="30" t="str">
        <f t="shared" si="11"/>
        <v>Environmental and occupational health &amp; hygiene workers</v>
      </c>
      <c r="E229">
        <f t="shared" si="13"/>
        <v>1168</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0</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0</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0</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0</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5064386.0000000019</v>
      </c>
      <c r="D246" s="29" t="str">
        <f t="shared" ref="D246:D309" si="14">D222</f>
        <v>Medical Doctors</v>
      </c>
      <c r="E246">
        <f t="shared" ref="E246:E269" si="15">K3</f>
        <v>0</v>
      </c>
    </row>
    <row r="247" spans="2:5" x14ac:dyDescent="0.35">
      <c r="D247" s="30" t="str">
        <f t="shared" si="14"/>
        <v>Nursing Personnel</v>
      </c>
      <c r="E247">
        <f t="shared" si="15"/>
        <v>7704</v>
      </c>
    </row>
    <row r="248" spans="2:5" x14ac:dyDescent="0.35">
      <c r="D248" s="30" t="str">
        <f t="shared" si="14"/>
        <v>Midwifery personnel</v>
      </c>
      <c r="E248">
        <f t="shared" si="15"/>
        <v>0</v>
      </c>
    </row>
    <row r="249" spans="2:5" x14ac:dyDescent="0.35">
      <c r="D249" s="30" t="str">
        <f t="shared" si="14"/>
        <v>Pharmacists</v>
      </c>
      <c r="E249">
        <f t="shared" si="15"/>
        <v>0</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730215.49999999953</v>
      </c>
      <c r="D270" s="29" t="str">
        <f t="shared" si="14"/>
        <v>Medical Doctors</v>
      </c>
      <c r="E270">
        <f t="shared" ref="E270:E293" si="16">L3</f>
        <v>0</v>
      </c>
    </row>
    <row r="271" spans="2:5" x14ac:dyDescent="0.35">
      <c r="D271" s="30" t="str">
        <f t="shared" si="14"/>
        <v>Nursing Personnel</v>
      </c>
      <c r="E271">
        <f t="shared" si="16"/>
        <v>0</v>
      </c>
    </row>
    <row r="272" spans="2:5" x14ac:dyDescent="0.35">
      <c r="D272" s="30" t="str">
        <f t="shared" si="14"/>
        <v>Midwifery personnel</v>
      </c>
      <c r="E272">
        <f t="shared" si="16"/>
        <v>0</v>
      </c>
    </row>
    <row r="273" spans="4:5" x14ac:dyDescent="0.35">
      <c r="D273" s="30" t="str">
        <f t="shared" si="14"/>
        <v>Pharmacists</v>
      </c>
      <c r="E273">
        <f t="shared" si="16"/>
        <v>0</v>
      </c>
    </row>
    <row r="274" spans="4:5" x14ac:dyDescent="0.35">
      <c r="D274" s="30" t="str">
        <f t="shared" si="14"/>
        <v>Dentists</v>
      </c>
      <c r="E274">
        <f t="shared" si="16"/>
        <v>0</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0</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552166.00000000012</v>
      </c>
      <c r="D294" s="29" t="str">
        <f t="shared" si="14"/>
        <v>Medical Doctors</v>
      </c>
      <c r="E294">
        <f t="shared" ref="E294:E317" si="17">M3</f>
        <v>820</v>
      </c>
    </row>
    <row r="295" spans="2:5" x14ac:dyDescent="0.35">
      <c r="D295" s="30" t="str">
        <f t="shared" si="14"/>
        <v>Nursing Personnel</v>
      </c>
      <c r="E295">
        <f t="shared" si="17"/>
        <v>996</v>
      </c>
    </row>
    <row r="296" spans="2:5" x14ac:dyDescent="0.35">
      <c r="D296" s="30" t="str">
        <f t="shared" si="14"/>
        <v>Midwifery personnel</v>
      </c>
      <c r="E296">
        <f t="shared" si="17"/>
        <v>0</v>
      </c>
    </row>
    <row r="297" spans="2:5" x14ac:dyDescent="0.35">
      <c r="D297" s="30" t="str">
        <f t="shared" si="14"/>
        <v>Pharmacists</v>
      </c>
      <c r="E297">
        <f t="shared" si="17"/>
        <v>0</v>
      </c>
    </row>
    <row r="298" spans="2:5" x14ac:dyDescent="0.35">
      <c r="D298" s="30" t="str">
        <f t="shared" si="14"/>
        <v>Dentists</v>
      </c>
      <c r="E298">
        <f t="shared" si="17"/>
        <v>0</v>
      </c>
    </row>
    <row r="299" spans="2:5" x14ac:dyDescent="0.35">
      <c r="D299" s="30" t="str">
        <f t="shared" si="14"/>
        <v xml:space="preserve">Community Health Workers </v>
      </c>
      <c r="E299">
        <f t="shared" si="17"/>
        <v>0</v>
      </c>
    </row>
    <row r="300" spans="2:5" x14ac:dyDescent="0.35">
      <c r="D300" s="30" t="str">
        <f t="shared" si="14"/>
        <v>Dieticians and nutritionists</v>
      </c>
      <c r="E300">
        <f t="shared" si="17"/>
        <v>0</v>
      </c>
    </row>
    <row r="301" spans="2:5" x14ac:dyDescent="0.35">
      <c r="D301" s="30" t="str">
        <f t="shared" si="14"/>
        <v>Environmental and occupational health &amp; hygiene workers</v>
      </c>
      <c r="E301">
        <f t="shared" si="17"/>
        <v>0</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39543154.499999985</v>
      </c>
      <c r="D318" s="29" t="str">
        <f t="shared" si="18"/>
        <v>Medical Doctors</v>
      </c>
      <c r="E318">
        <f t="shared" ref="E318:E341" si="19">N3</f>
        <v>0</v>
      </c>
    </row>
    <row r="319" spans="2:5" x14ac:dyDescent="0.35">
      <c r="D319" s="30" t="str">
        <f t="shared" si="18"/>
        <v>Nursing Personnel</v>
      </c>
      <c r="E319">
        <f t="shared" si="19"/>
        <v>0</v>
      </c>
    </row>
    <row r="320" spans="2:5" x14ac:dyDescent="0.35">
      <c r="D320" s="30" t="str">
        <f t="shared" si="18"/>
        <v>Midwifery personnel</v>
      </c>
      <c r="E320">
        <f t="shared" si="19"/>
        <v>0</v>
      </c>
    </row>
    <row r="321" spans="4:5" x14ac:dyDescent="0.35">
      <c r="D321" s="30" t="str">
        <f t="shared" si="18"/>
        <v>Pharmacists</v>
      </c>
      <c r="E321">
        <f t="shared" si="19"/>
        <v>0</v>
      </c>
    </row>
    <row r="322" spans="4:5" x14ac:dyDescent="0.35">
      <c r="D322" s="30" t="str">
        <f t="shared" si="18"/>
        <v>Dentists</v>
      </c>
      <c r="E322">
        <f t="shared" si="19"/>
        <v>0</v>
      </c>
    </row>
    <row r="323" spans="4:5" x14ac:dyDescent="0.35">
      <c r="D323" s="30" t="str">
        <f t="shared" si="18"/>
        <v xml:space="preserve">Community Health Workers </v>
      </c>
      <c r="E323">
        <f t="shared" si="19"/>
        <v>0</v>
      </c>
    </row>
    <row r="324" spans="4:5" x14ac:dyDescent="0.35">
      <c r="D324" s="30" t="str">
        <f t="shared" si="18"/>
        <v>Dieticians and nutritionists</v>
      </c>
      <c r="E324">
        <f t="shared" si="19"/>
        <v>0</v>
      </c>
    </row>
    <row r="325" spans="4:5" x14ac:dyDescent="0.35">
      <c r="D325" s="30" t="str">
        <f t="shared" si="18"/>
        <v>Environmental and occupational health &amp; hygiene workers</v>
      </c>
      <c r="E325">
        <f t="shared" si="19"/>
        <v>0</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3340005.9999999991</v>
      </c>
      <c r="D342" s="29" t="str">
        <f t="shared" si="18"/>
        <v>Medical Doctors</v>
      </c>
      <c r="E342">
        <f t="shared" ref="E342:E365" si="20">O3</f>
        <v>497</v>
      </c>
    </row>
    <row r="343" spans="2:5" x14ac:dyDescent="0.35">
      <c r="D343" s="30" t="str">
        <f t="shared" si="18"/>
        <v>Nursing Personnel</v>
      </c>
      <c r="E343">
        <f t="shared" si="20"/>
        <v>7924</v>
      </c>
    </row>
    <row r="344" spans="2:5" x14ac:dyDescent="0.35">
      <c r="D344" s="30" t="str">
        <f t="shared" si="18"/>
        <v>Midwifery personnel</v>
      </c>
      <c r="E344">
        <f t="shared" si="20"/>
        <v>0</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0</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0</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102471895.49999996</v>
      </c>
      <c r="D366" s="29" t="str">
        <f t="shared" ref="D366:D429" si="22">D342</f>
        <v>Medical Doctors</v>
      </c>
      <c r="E366">
        <f t="shared" ref="E366:E389" si="23">P3</f>
        <v>0</v>
      </c>
    </row>
    <row r="367" spans="2:5" x14ac:dyDescent="0.35">
      <c r="D367" s="30" t="str">
        <f t="shared" si="22"/>
        <v>Nursing Personnel</v>
      </c>
      <c r="E367">
        <f t="shared" si="23"/>
        <v>0</v>
      </c>
    </row>
    <row r="368" spans="2:5" x14ac:dyDescent="0.35">
      <c r="D368" s="30" t="str">
        <f t="shared" si="22"/>
        <v>Midwifery personnel</v>
      </c>
      <c r="E368">
        <f t="shared" si="23"/>
        <v>0</v>
      </c>
    </row>
    <row r="369" spans="4:5" x14ac:dyDescent="0.35">
      <c r="D369" s="30" t="str">
        <f t="shared" si="22"/>
        <v>Pharmacists</v>
      </c>
      <c r="E369">
        <f t="shared" si="23"/>
        <v>894</v>
      </c>
    </row>
    <row r="370" spans="4:5" x14ac:dyDescent="0.35">
      <c r="D370" s="30" t="str">
        <f t="shared" si="22"/>
        <v>Dentists</v>
      </c>
      <c r="E370">
        <f t="shared" si="23"/>
        <v>275</v>
      </c>
    </row>
    <row r="371" spans="4:5" x14ac:dyDescent="0.35">
      <c r="D371" s="30" t="str">
        <f t="shared" si="22"/>
        <v xml:space="preserve">Community Health Workers </v>
      </c>
      <c r="E371">
        <f t="shared" si="23"/>
        <v>0</v>
      </c>
    </row>
    <row r="372" spans="4:5" x14ac:dyDescent="0.35">
      <c r="D372" s="30" t="str">
        <f t="shared" si="22"/>
        <v>Dieticians and nutritionists</v>
      </c>
      <c r="E372">
        <f t="shared" si="23"/>
        <v>35</v>
      </c>
    </row>
    <row r="373" spans="4:5" x14ac:dyDescent="0.35">
      <c r="D373" s="30" t="str">
        <f t="shared" si="22"/>
        <v>Environmental and occupational health &amp; hygiene workers</v>
      </c>
      <c r="E373">
        <f t="shared" si="23"/>
        <v>0</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0</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0</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2028517.0000000007</v>
      </c>
      <c r="D390" s="29" t="str">
        <f t="shared" si="22"/>
        <v>Medical Doctors</v>
      </c>
      <c r="E390">
        <f t="shared" ref="E390:E413" si="24">Q3</f>
        <v>0</v>
      </c>
    </row>
    <row r="391" spans="2:5" x14ac:dyDescent="0.35">
      <c r="D391" s="30" t="str">
        <f t="shared" si="22"/>
        <v>Nursing Personnel</v>
      </c>
      <c r="E391">
        <f t="shared" si="24"/>
        <v>0</v>
      </c>
    </row>
    <row r="392" spans="2:5" x14ac:dyDescent="0.35">
      <c r="D392" s="30" t="str">
        <f t="shared" si="22"/>
        <v>Midwifery personnel</v>
      </c>
      <c r="E392">
        <f t="shared" si="24"/>
        <v>0</v>
      </c>
    </row>
    <row r="393" spans="2:5" x14ac:dyDescent="0.35">
      <c r="D393" s="30" t="str">
        <f t="shared" si="22"/>
        <v>Pharmacists</v>
      </c>
      <c r="E393">
        <f t="shared" si="24"/>
        <v>0</v>
      </c>
    </row>
    <row r="394" spans="2:5" x14ac:dyDescent="0.35">
      <c r="D394" s="30" t="str">
        <f t="shared" si="22"/>
        <v>Dentists</v>
      </c>
      <c r="E394">
        <f t="shared" si="24"/>
        <v>0</v>
      </c>
    </row>
    <row r="395" spans="2:5" x14ac:dyDescent="0.35">
      <c r="D395" s="30" t="str">
        <f t="shared" si="22"/>
        <v xml:space="preserve">Community Health Workers </v>
      </c>
      <c r="E395">
        <f t="shared" si="24"/>
        <v>0</v>
      </c>
    </row>
    <row r="396" spans="2:5" x14ac:dyDescent="0.35">
      <c r="D396" s="30" t="str">
        <f t="shared" si="22"/>
        <v>Dieticians and nutritionists</v>
      </c>
      <c r="E396">
        <f t="shared" si="24"/>
        <v>0</v>
      </c>
    </row>
    <row r="397" spans="2:5" x14ac:dyDescent="0.35">
      <c r="D397" s="30" t="str">
        <f t="shared" si="22"/>
        <v>Environmental and occupational health &amp; hygiene workers</v>
      </c>
      <c r="E397">
        <f t="shared" si="24"/>
        <v>0</v>
      </c>
    </row>
    <row r="398" spans="2:5" x14ac:dyDescent="0.35">
      <c r="D398" s="30" t="str">
        <f t="shared" si="22"/>
        <v>Personal care workers in health service</v>
      </c>
      <c r="E398">
        <f t="shared" si="24"/>
        <v>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0</v>
      </c>
    </row>
    <row r="401" spans="2:5" x14ac:dyDescent="0.35">
      <c r="D401" s="30" t="str">
        <f t="shared" si="22"/>
        <v xml:space="preserve">Medical and Pathology Laboratory scientists </v>
      </c>
      <c r="E401">
        <f t="shared" si="24"/>
        <v>0</v>
      </c>
    </row>
    <row r="402" spans="2:5" x14ac:dyDescent="0.35">
      <c r="D402" s="30" t="str">
        <f t="shared" si="22"/>
        <v xml:space="preserve">Medical Assistants </v>
      </c>
      <c r="E402">
        <f t="shared" si="24"/>
        <v>0</v>
      </c>
    </row>
    <row r="403" spans="2:5" x14ac:dyDescent="0.35">
      <c r="D403" s="30" t="str">
        <f t="shared" si="22"/>
        <v xml:space="preserve">Medical Imaging and Therapeutic Equipment Technicians </v>
      </c>
      <c r="E403">
        <f t="shared" si="24"/>
        <v>0</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0</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0</v>
      </c>
    </row>
    <row r="409" spans="2:5" x14ac:dyDescent="0.35">
      <c r="D409" s="30" t="str">
        <f t="shared" si="22"/>
        <v xml:space="preserve">Paramedical Practitioners </v>
      </c>
      <c r="E409">
        <f t="shared" si="24"/>
        <v>0</v>
      </c>
    </row>
    <row r="410" spans="2:5" x14ac:dyDescent="0.35">
      <c r="D410" s="30" t="str">
        <f t="shared" si="22"/>
        <v>Physiotherapists and physiotherapy assistants</v>
      </c>
      <c r="E410">
        <f t="shared" si="24"/>
        <v>0</v>
      </c>
    </row>
    <row r="411" spans="2:5" x14ac:dyDescent="0.35">
      <c r="D411" s="30" t="str">
        <f t="shared" si="22"/>
        <v>Social workers</v>
      </c>
      <c r="E411">
        <f t="shared" si="24"/>
        <v>0</v>
      </c>
    </row>
    <row r="412" spans="2:5" x14ac:dyDescent="0.35">
      <c r="D412" s="30" t="str">
        <f t="shared" si="22"/>
        <v xml:space="preserve">Audiologists and Speech Therapists </v>
      </c>
      <c r="E412">
        <f t="shared" si="24"/>
        <v>0</v>
      </c>
    </row>
    <row r="413" spans="2:5" x14ac:dyDescent="0.35">
      <c r="D413" s="30" t="str">
        <f t="shared" si="22"/>
        <v>Traditional and complementary medicine practitioners</v>
      </c>
      <c r="E413">
        <f t="shared" si="24"/>
        <v>0</v>
      </c>
    </row>
    <row r="414" spans="2:5" x14ac:dyDescent="0.35">
      <c r="B414" t="str">
        <f>R1</f>
        <v>GHA</v>
      </c>
      <c r="C414">
        <f>R2</f>
        <v>28870939.000000007</v>
      </c>
      <c r="D414" s="29" t="str">
        <f t="shared" si="22"/>
        <v>Medical Doctors</v>
      </c>
      <c r="E414">
        <f t="shared" ref="E414:E437" si="25">R3</f>
        <v>6526</v>
      </c>
    </row>
    <row r="415" spans="2:5" x14ac:dyDescent="0.35">
      <c r="D415" s="30" t="str">
        <f t="shared" si="22"/>
        <v>Nursing Personnel</v>
      </c>
      <c r="E415">
        <f t="shared" si="25"/>
        <v>97878</v>
      </c>
    </row>
    <row r="416" spans="2:5" x14ac:dyDescent="0.35">
      <c r="D416" s="30" t="str">
        <f t="shared" si="22"/>
        <v>Midwifery personnel</v>
      </c>
      <c r="E416">
        <f t="shared" si="25"/>
        <v>13616</v>
      </c>
    </row>
    <row r="417" spans="4:5" x14ac:dyDescent="0.35">
      <c r="D417" s="30" t="str">
        <f t="shared" si="22"/>
        <v>Pharmacists</v>
      </c>
      <c r="E417">
        <f t="shared" si="25"/>
        <v>1845</v>
      </c>
    </row>
    <row r="418" spans="4:5" x14ac:dyDescent="0.35">
      <c r="D418" s="30" t="str">
        <f t="shared" si="22"/>
        <v>Dentists</v>
      </c>
      <c r="E418">
        <f t="shared" si="25"/>
        <v>1450</v>
      </c>
    </row>
    <row r="419" spans="4:5" x14ac:dyDescent="0.35">
      <c r="D419" s="30" t="str">
        <f t="shared" si="22"/>
        <v xml:space="preserve">Community Health Workers </v>
      </c>
      <c r="E419">
        <f t="shared" si="25"/>
        <v>0</v>
      </c>
    </row>
    <row r="420" spans="4:5" x14ac:dyDescent="0.35">
      <c r="D420" s="30" t="str">
        <f t="shared" si="22"/>
        <v>Dieticians and nutritionists</v>
      </c>
      <c r="E420">
        <f t="shared" si="25"/>
        <v>0</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0</v>
      </c>
    </row>
    <row r="426" spans="4:5" x14ac:dyDescent="0.35">
      <c r="D426" s="30" t="str">
        <f t="shared" si="22"/>
        <v xml:space="preserve">Medical Assistants </v>
      </c>
      <c r="E426">
        <f t="shared" si="25"/>
        <v>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0</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0</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0</v>
      </c>
    </row>
    <row r="435" spans="2:5" x14ac:dyDescent="0.35">
      <c r="D435" s="30" t="str">
        <f t="shared" si="26"/>
        <v>Social workers</v>
      </c>
      <c r="E435">
        <f t="shared" si="25"/>
        <v>0</v>
      </c>
    </row>
    <row r="436" spans="2:5" x14ac:dyDescent="0.35">
      <c r="D436" s="30" t="str">
        <f t="shared" si="26"/>
        <v xml:space="preserve">Audiologists and Speech Therapists </v>
      </c>
      <c r="E436">
        <f t="shared" si="25"/>
        <v>0</v>
      </c>
    </row>
    <row r="437" spans="2:5" x14ac:dyDescent="0.35">
      <c r="D437" s="30" t="str">
        <f t="shared" si="26"/>
        <v>Traditional and complementary medicine practitioners</v>
      </c>
      <c r="E437">
        <f t="shared" si="25"/>
        <v>0</v>
      </c>
    </row>
    <row r="438" spans="2:5" x14ac:dyDescent="0.35">
      <c r="B438" t="str">
        <f>S1</f>
        <v>GIN</v>
      </c>
      <c r="C438">
        <f>S2</f>
        <v>11625998.500000007</v>
      </c>
      <c r="D438" s="29" t="str">
        <f t="shared" si="26"/>
        <v>Medical Doctors</v>
      </c>
      <c r="E438">
        <f t="shared" ref="E438:E461" si="27">S3</f>
        <v>1954</v>
      </c>
    </row>
    <row r="439" spans="2:5" x14ac:dyDescent="0.35">
      <c r="D439" s="30" t="str">
        <f t="shared" si="26"/>
        <v>Nursing Personnel</v>
      </c>
      <c r="E439">
        <f t="shared" si="27"/>
        <v>8778</v>
      </c>
    </row>
    <row r="440" spans="2:5" x14ac:dyDescent="0.35">
      <c r="D440" s="30" t="str">
        <f t="shared" si="26"/>
        <v>Midwifery personnel</v>
      </c>
      <c r="E440">
        <f t="shared" si="27"/>
        <v>752</v>
      </c>
    </row>
    <row r="441" spans="2:5" x14ac:dyDescent="0.35">
      <c r="D441" s="30" t="str">
        <f t="shared" si="26"/>
        <v>Pharmacists</v>
      </c>
      <c r="E441">
        <f t="shared" si="27"/>
        <v>0</v>
      </c>
    </row>
    <row r="442" spans="2:5" x14ac:dyDescent="0.35">
      <c r="D442" s="30" t="str">
        <f t="shared" si="26"/>
        <v>Dentists</v>
      </c>
      <c r="E442">
        <f t="shared" si="27"/>
        <v>14263</v>
      </c>
    </row>
    <row r="443" spans="2:5" x14ac:dyDescent="0.35">
      <c r="D443" s="30" t="str">
        <f t="shared" si="26"/>
        <v xml:space="preserve">Community Health Workers </v>
      </c>
      <c r="E443">
        <f t="shared" si="27"/>
        <v>6700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2253133.5000000009</v>
      </c>
      <c r="D462" s="29" t="str">
        <f t="shared" si="26"/>
        <v>Medical Doctors</v>
      </c>
      <c r="E462">
        <f t="shared" ref="E462:E485" si="28">T3</f>
        <v>426</v>
      </c>
    </row>
    <row r="463" spans="2:5" x14ac:dyDescent="0.35">
      <c r="D463" s="30" t="str">
        <f t="shared" si="26"/>
        <v>Nursing Personnel</v>
      </c>
      <c r="E463">
        <f t="shared" si="28"/>
        <v>4744</v>
      </c>
    </row>
    <row r="464" spans="2:5" x14ac:dyDescent="0.35">
      <c r="D464" s="30" t="str">
        <f t="shared" si="26"/>
        <v>Midwifery personnel</v>
      </c>
      <c r="E464">
        <f t="shared" si="28"/>
        <v>1700</v>
      </c>
    </row>
    <row r="465" spans="4:5" x14ac:dyDescent="0.35">
      <c r="D465" s="30" t="str">
        <f t="shared" si="26"/>
        <v>Pharmacists</v>
      </c>
      <c r="E465">
        <f t="shared" si="28"/>
        <v>156</v>
      </c>
    </row>
    <row r="466" spans="4:5" x14ac:dyDescent="0.35">
      <c r="D466" s="30" t="str">
        <f t="shared" si="26"/>
        <v>Dentists</v>
      </c>
      <c r="E466">
        <f t="shared" si="28"/>
        <v>15</v>
      </c>
    </row>
    <row r="467" spans="4:5" x14ac:dyDescent="0.35">
      <c r="D467" s="30" t="str">
        <f t="shared" si="26"/>
        <v xml:space="preserve">Community Health Workers </v>
      </c>
      <c r="E467">
        <f t="shared" si="28"/>
        <v>0</v>
      </c>
    </row>
    <row r="468" spans="4:5" x14ac:dyDescent="0.35">
      <c r="D468" s="30" t="str">
        <f t="shared" si="26"/>
        <v>Dieticians and nutritionists</v>
      </c>
      <c r="E468">
        <f t="shared" si="28"/>
        <v>0</v>
      </c>
    </row>
    <row r="469" spans="4:5" x14ac:dyDescent="0.35">
      <c r="D469" s="30" t="str">
        <f t="shared" si="26"/>
        <v>Environmental and occupational health &amp; hygiene workers</v>
      </c>
      <c r="E469">
        <f t="shared" si="28"/>
        <v>0</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0</v>
      </c>
    </row>
    <row r="472" spans="4:5" x14ac:dyDescent="0.35">
      <c r="D472" s="30" t="str">
        <f t="shared" si="26"/>
        <v xml:space="preserve">Medical and dental Prosthetic Technicians </v>
      </c>
      <c r="E472">
        <f t="shared" si="28"/>
        <v>3</v>
      </c>
    </row>
    <row r="473" spans="4:5" x14ac:dyDescent="0.35">
      <c r="D473" s="30" t="str">
        <f t="shared" si="26"/>
        <v xml:space="preserve">Medical and Pathology Laboratory scientists </v>
      </c>
      <c r="E473">
        <f t="shared" si="28"/>
        <v>11</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32</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17</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141</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20</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1788919.0000000005</v>
      </c>
      <c r="D486" s="29" t="str">
        <f t="shared" si="26"/>
        <v>Medical Doctors</v>
      </c>
      <c r="E486">
        <f t="shared" ref="E486:E509" si="29">U3</f>
        <v>708</v>
      </c>
    </row>
    <row r="487" spans="2:5" x14ac:dyDescent="0.35">
      <c r="D487" s="30" t="str">
        <f t="shared" si="26"/>
        <v>Nursing Personnel</v>
      </c>
      <c r="E487">
        <f t="shared" si="29"/>
        <v>2098</v>
      </c>
    </row>
    <row r="488" spans="2:5" x14ac:dyDescent="0.35">
      <c r="D488" s="30" t="str">
        <f t="shared" si="26"/>
        <v>Midwifery personnel</v>
      </c>
      <c r="E488">
        <f t="shared" si="29"/>
        <v>0</v>
      </c>
    </row>
    <row r="489" spans="2:5" x14ac:dyDescent="0.35">
      <c r="D489" s="30" t="str">
        <f t="shared" si="26"/>
        <v>Pharmacists</v>
      </c>
      <c r="E489">
        <f t="shared" si="29"/>
        <v>1539</v>
      </c>
    </row>
    <row r="490" spans="2:5" x14ac:dyDescent="0.35">
      <c r="D490" s="30" t="str">
        <f t="shared" si="26"/>
        <v>Dentists</v>
      </c>
      <c r="E490">
        <f t="shared" si="29"/>
        <v>46</v>
      </c>
    </row>
    <row r="491" spans="2:5" x14ac:dyDescent="0.35">
      <c r="D491" s="30" t="str">
        <f t="shared" si="26"/>
        <v xml:space="preserve">Community Health Workers </v>
      </c>
      <c r="E491">
        <f t="shared" si="29"/>
        <v>0</v>
      </c>
    </row>
    <row r="492" spans="2:5" x14ac:dyDescent="0.35">
      <c r="D492" s="30" t="str">
        <f t="shared" si="26"/>
        <v>Dieticians and nutritionists</v>
      </c>
      <c r="E492">
        <f t="shared" si="29"/>
        <v>496</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0</v>
      </c>
    </row>
    <row r="497" spans="2:5" x14ac:dyDescent="0.35">
      <c r="D497" s="30" t="str">
        <f t="shared" si="30"/>
        <v xml:space="preserve">Medical and Pathology Laboratory scientists </v>
      </c>
      <c r="E497">
        <f t="shared" si="29"/>
        <v>0</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0</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0</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0</v>
      </c>
    </row>
    <row r="504" spans="2:5" x14ac:dyDescent="0.35">
      <c r="D504" s="30" t="str">
        <f t="shared" si="30"/>
        <v xml:space="preserve">Medical and Pathology Laboratory Technicians </v>
      </c>
      <c r="E504">
        <f t="shared" si="29"/>
        <v>0</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0</v>
      </c>
    </row>
    <row r="507" spans="2:5" x14ac:dyDescent="0.35">
      <c r="D507" s="30" t="str">
        <f t="shared" si="30"/>
        <v>Social workers</v>
      </c>
      <c r="E507">
        <f t="shared" si="29"/>
        <v>0</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1346973.0000000005</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2295</v>
      </c>
    </row>
    <row r="514" spans="4:5" x14ac:dyDescent="0.35">
      <c r="D514" s="30" t="str">
        <f t="shared" si="30"/>
        <v>Dentists</v>
      </c>
      <c r="E514">
        <f t="shared" si="31"/>
        <v>841</v>
      </c>
    </row>
    <row r="515" spans="4:5" x14ac:dyDescent="0.35">
      <c r="D515" s="30" t="str">
        <f t="shared" si="30"/>
        <v xml:space="preserve">Community Health Workers </v>
      </c>
      <c r="E515">
        <f t="shared" si="31"/>
        <v>0</v>
      </c>
    </row>
    <row r="516" spans="4:5" x14ac:dyDescent="0.35">
      <c r="D516" s="30" t="str">
        <f t="shared" si="30"/>
        <v>Dieticians and nutritionists</v>
      </c>
      <c r="E516">
        <f t="shared" si="31"/>
        <v>1147</v>
      </c>
    </row>
    <row r="517" spans="4:5" x14ac:dyDescent="0.35">
      <c r="D517" s="30" t="str">
        <f t="shared" si="30"/>
        <v>Environmental and occupational health &amp; hygiene workers</v>
      </c>
      <c r="E517">
        <f t="shared" si="31"/>
        <v>5310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46851488.499999993</v>
      </c>
      <c r="D534" s="29" t="str">
        <f t="shared" si="30"/>
        <v>Medical Doctors</v>
      </c>
      <c r="E534">
        <f t="shared" ref="E534:E557" si="32">W3</f>
        <v>0</v>
      </c>
    </row>
    <row r="535" spans="2:5" x14ac:dyDescent="0.35">
      <c r="D535" s="30" t="str">
        <f t="shared" si="30"/>
        <v>Nursing Personnel</v>
      </c>
      <c r="E535">
        <f t="shared" si="32"/>
        <v>82826</v>
      </c>
    </row>
    <row r="536" spans="2:5" x14ac:dyDescent="0.35">
      <c r="D536" s="30" t="str">
        <f t="shared" si="30"/>
        <v>Midwifery personnel</v>
      </c>
      <c r="E536">
        <f t="shared" si="32"/>
        <v>0</v>
      </c>
    </row>
    <row r="537" spans="2:5" x14ac:dyDescent="0.35">
      <c r="D537" s="30" t="str">
        <f t="shared" si="30"/>
        <v>Pharmacists</v>
      </c>
      <c r="E537">
        <f t="shared" si="32"/>
        <v>1080</v>
      </c>
    </row>
    <row r="538" spans="2:5" x14ac:dyDescent="0.35">
      <c r="D538" s="30" t="str">
        <f t="shared" si="30"/>
        <v>Dentists</v>
      </c>
      <c r="E538">
        <f t="shared" si="32"/>
        <v>236</v>
      </c>
    </row>
    <row r="539" spans="2:5" x14ac:dyDescent="0.35">
      <c r="D539" s="30" t="str">
        <f t="shared" si="30"/>
        <v xml:space="preserve">Community Health Workers </v>
      </c>
      <c r="E539">
        <f t="shared" si="32"/>
        <v>0</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201</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0</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0</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4612328.9999999972</v>
      </c>
      <c r="D558" s="29" t="str">
        <f t="shared" ref="D558:D621" si="33">D534</f>
        <v>Medical Doctors</v>
      </c>
      <c r="E558">
        <f t="shared" ref="E558:E581" si="34">X3</f>
        <v>336</v>
      </c>
    </row>
    <row r="559" spans="2:5" x14ac:dyDescent="0.35">
      <c r="D559" s="30" t="str">
        <f t="shared" si="33"/>
        <v>Nursing Personnel</v>
      </c>
      <c r="E559">
        <f t="shared" si="34"/>
        <v>0</v>
      </c>
    </row>
    <row r="560" spans="2:5" x14ac:dyDescent="0.35">
      <c r="D560" s="30" t="str">
        <f t="shared" si="33"/>
        <v>Midwifery personnel</v>
      </c>
      <c r="E560">
        <f t="shared" si="34"/>
        <v>0</v>
      </c>
    </row>
    <row r="561" spans="4:5" x14ac:dyDescent="0.35">
      <c r="D561" s="30" t="str">
        <f t="shared" si="33"/>
        <v>Pharmacists</v>
      </c>
      <c r="E561">
        <f t="shared" si="34"/>
        <v>0</v>
      </c>
    </row>
    <row r="562" spans="4:5" x14ac:dyDescent="0.35">
      <c r="D562" s="30" t="str">
        <f t="shared" si="33"/>
        <v>Dentists</v>
      </c>
      <c r="E562">
        <f t="shared" si="34"/>
        <v>0</v>
      </c>
    </row>
    <row r="563" spans="4:5" x14ac:dyDescent="0.35">
      <c r="D563" s="30" t="str">
        <f t="shared" si="33"/>
        <v xml:space="preserve">Community Health Workers </v>
      </c>
      <c r="E563">
        <f t="shared" si="34"/>
        <v>0</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2118520.5000000019</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128</v>
      </c>
    </row>
    <row r="586" spans="2:5" x14ac:dyDescent="0.35">
      <c r="D586" s="30" t="str">
        <f t="shared" si="33"/>
        <v>Dentists</v>
      </c>
      <c r="E586">
        <f t="shared" si="35"/>
        <v>50</v>
      </c>
    </row>
    <row r="587" spans="2:5" x14ac:dyDescent="0.35">
      <c r="D587" s="30" t="str">
        <f t="shared" si="33"/>
        <v xml:space="preserve">Community Health Workers </v>
      </c>
      <c r="E587">
        <f t="shared" si="35"/>
        <v>0</v>
      </c>
    </row>
    <row r="588" spans="2:5" x14ac:dyDescent="0.35">
      <c r="D588" s="30" t="str">
        <f t="shared" si="33"/>
        <v>Dieticians and nutritionists</v>
      </c>
      <c r="E588">
        <f t="shared" si="35"/>
        <v>16</v>
      </c>
    </row>
    <row r="589" spans="2:5" x14ac:dyDescent="0.35">
      <c r="D589" s="30" t="str">
        <f t="shared" si="33"/>
        <v>Environmental and occupational health &amp; hygiene workers</v>
      </c>
      <c r="E589">
        <f t="shared" si="35"/>
        <v>142</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24850912.500000015</v>
      </c>
      <c r="D606" s="29" t="str">
        <f t="shared" si="33"/>
        <v>Medical Doctors</v>
      </c>
      <c r="E606">
        <f t="shared" ref="E606:E629" si="36">Z3</f>
        <v>0</v>
      </c>
    </row>
    <row r="607" spans="2:5" x14ac:dyDescent="0.35">
      <c r="D607" s="30" t="str">
        <f t="shared" si="33"/>
        <v>Nursing Personnel</v>
      </c>
      <c r="E607">
        <f t="shared" si="36"/>
        <v>0</v>
      </c>
    </row>
    <row r="608" spans="2:5" x14ac:dyDescent="0.35">
      <c r="D608" s="30" t="str">
        <f t="shared" si="33"/>
        <v>Midwifery personnel</v>
      </c>
      <c r="E608">
        <f t="shared" si="36"/>
        <v>0</v>
      </c>
    </row>
    <row r="609" spans="4:5" x14ac:dyDescent="0.35">
      <c r="D609" s="30" t="str">
        <f t="shared" si="33"/>
        <v>Pharmacists</v>
      </c>
      <c r="E609">
        <f t="shared" si="36"/>
        <v>0</v>
      </c>
    </row>
    <row r="610" spans="4:5" x14ac:dyDescent="0.35">
      <c r="D610" s="30" t="str">
        <f t="shared" si="33"/>
        <v>Dentists</v>
      </c>
      <c r="E610">
        <f t="shared" si="36"/>
        <v>0</v>
      </c>
    </row>
    <row r="611" spans="4:5" x14ac:dyDescent="0.35">
      <c r="D611" s="30" t="str">
        <f t="shared" si="33"/>
        <v xml:space="preserve">Community Health Workers </v>
      </c>
      <c r="E611">
        <f t="shared" si="36"/>
        <v>0</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18112906.500000004</v>
      </c>
      <c r="D630" s="29" t="str">
        <f t="shared" si="37"/>
        <v>Medical Doctors</v>
      </c>
      <c r="E630">
        <f t="shared" ref="E630:E653" si="38">AA3</f>
        <v>3583</v>
      </c>
    </row>
    <row r="631" spans="2:5" x14ac:dyDescent="0.35">
      <c r="D631" s="30" t="str">
        <f t="shared" si="37"/>
        <v>Nursing Personnel</v>
      </c>
      <c r="E631">
        <f t="shared" si="38"/>
        <v>0</v>
      </c>
    </row>
    <row r="632" spans="2:5" x14ac:dyDescent="0.35">
      <c r="D632" s="30" t="str">
        <f t="shared" si="37"/>
        <v>Midwifery personnel</v>
      </c>
      <c r="E632">
        <f t="shared" si="38"/>
        <v>0</v>
      </c>
    </row>
    <row r="633" spans="2:5" x14ac:dyDescent="0.35">
      <c r="D633" s="30" t="str">
        <f t="shared" si="37"/>
        <v>Pharmacists</v>
      </c>
      <c r="E633">
        <f t="shared" si="38"/>
        <v>514</v>
      </c>
    </row>
    <row r="634" spans="2:5" x14ac:dyDescent="0.35">
      <c r="D634" s="30" t="str">
        <f t="shared" si="37"/>
        <v>Dentists</v>
      </c>
      <c r="E634">
        <f t="shared" si="38"/>
        <v>385</v>
      </c>
    </row>
    <row r="635" spans="2:5" x14ac:dyDescent="0.35">
      <c r="D635" s="30" t="str">
        <f t="shared" si="37"/>
        <v xml:space="preserve">Community Health Workers </v>
      </c>
      <c r="E635">
        <f t="shared" si="38"/>
        <v>0</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26843245.5</v>
      </c>
      <c r="D654" s="32" t="str">
        <f t="shared" si="37"/>
        <v>Medical Doctors</v>
      </c>
      <c r="E654">
        <f t="shared" ref="E654:E677" si="39">AB3</f>
        <v>38</v>
      </c>
    </row>
    <row r="655" spans="2:5" x14ac:dyDescent="0.35">
      <c r="D655" s="30" t="str">
        <f t="shared" si="37"/>
        <v>Nursing Personnel</v>
      </c>
      <c r="E655">
        <f t="shared" si="39"/>
        <v>13854</v>
      </c>
    </row>
    <row r="656" spans="2:5" x14ac:dyDescent="0.35">
      <c r="D656" s="30" t="str">
        <f t="shared" si="37"/>
        <v>Midwifery personnel</v>
      </c>
      <c r="E656">
        <f t="shared" si="39"/>
        <v>10316</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0</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0</v>
      </c>
    </row>
    <row r="664" spans="4:5" x14ac:dyDescent="0.35">
      <c r="D664" s="30" t="str">
        <f t="shared" si="37"/>
        <v xml:space="preserve">Medical and dental Prosthetic Technicians </v>
      </c>
      <c r="E664">
        <f t="shared" si="39"/>
        <v>212</v>
      </c>
    </row>
    <row r="665" spans="4:5" x14ac:dyDescent="0.35">
      <c r="D665" s="30" t="str">
        <f t="shared" si="37"/>
        <v xml:space="preserve">Medical and Pathology Laboratory scientists </v>
      </c>
      <c r="E665">
        <f t="shared" si="39"/>
        <v>0</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0</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0</v>
      </c>
    </row>
    <row r="670" spans="4:5" x14ac:dyDescent="0.35">
      <c r="D670" s="30" t="str">
        <f t="shared" si="37"/>
        <v xml:space="preserve">Other non-medical professional staff </v>
      </c>
      <c r="E670">
        <f t="shared" si="39"/>
        <v>0</v>
      </c>
    </row>
    <row r="671" spans="4:5" x14ac:dyDescent="0.35">
      <c r="D671" s="30" t="str">
        <f t="shared" si="37"/>
        <v xml:space="preserve">Other non-medical support staff </v>
      </c>
      <c r="E671">
        <f t="shared" si="39"/>
        <v>0</v>
      </c>
    </row>
    <row r="672" spans="4:5" x14ac:dyDescent="0.35">
      <c r="D672" s="30" t="str">
        <f t="shared" si="37"/>
        <v xml:space="preserve">Medical and Pathology Laboratory Technicians </v>
      </c>
      <c r="E672">
        <f t="shared" si="39"/>
        <v>0</v>
      </c>
    </row>
    <row r="673" spans="2:5" x14ac:dyDescent="0.35">
      <c r="D673" s="30" t="str">
        <f t="shared" si="37"/>
        <v xml:space="preserve">Paramedical Practitioners </v>
      </c>
      <c r="E673">
        <f t="shared" si="39"/>
        <v>0</v>
      </c>
    </row>
    <row r="674" spans="2:5" x14ac:dyDescent="0.35">
      <c r="D674" s="30" t="str">
        <f t="shared" si="37"/>
        <v>Physiotherapists and physiotherapy assistants</v>
      </c>
      <c r="E674">
        <f t="shared" si="39"/>
        <v>0</v>
      </c>
    </row>
    <row r="675" spans="2:5" x14ac:dyDescent="0.35">
      <c r="D675" s="30" t="str">
        <f t="shared" si="37"/>
        <v>Social workers</v>
      </c>
      <c r="E675">
        <f t="shared" si="39"/>
        <v>0</v>
      </c>
    </row>
    <row r="676" spans="2:5" x14ac:dyDescent="0.35">
      <c r="D676" s="30" t="str">
        <f t="shared" si="37"/>
        <v xml:space="preserve">Audiologists and Speech Therapists </v>
      </c>
      <c r="E676">
        <f t="shared" si="39"/>
        <v>0</v>
      </c>
    </row>
    <row r="677" spans="2:5" x14ac:dyDescent="0.35">
      <c r="D677" s="30" t="str">
        <f t="shared" si="37"/>
        <v>Traditional and complementary medicine practitioners</v>
      </c>
      <c r="E677">
        <f t="shared" si="39"/>
        <v>0</v>
      </c>
    </row>
    <row r="678" spans="2:5" x14ac:dyDescent="0.35">
      <c r="B678" t="str">
        <f>AC1</f>
        <v>MRT</v>
      </c>
      <c r="C678">
        <f>AC2</f>
        <v>3946219.4999999991</v>
      </c>
      <c r="D678" s="29" t="str">
        <f t="shared" si="37"/>
        <v>Medical Doctors</v>
      </c>
      <c r="E678">
        <f t="shared" ref="E678:E701" si="40">AC3</f>
        <v>1384</v>
      </c>
    </row>
    <row r="679" spans="2:5" x14ac:dyDescent="0.35">
      <c r="D679" s="30" t="str">
        <f t="shared" si="37"/>
        <v>Nursing Personnel</v>
      </c>
      <c r="E679">
        <f t="shared" si="40"/>
        <v>8274</v>
      </c>
    </row>
    <row r="680" spans="2:5" x14ac:dyDescent="0.35">
      <c r="D680" s="30" t="str">
        <f t="shared" si="37"/>
        <v>Midwifery personnel</v>
      </c>
      <c r="E680">
        <f t="shared" si="40"/>
        <v>0</v>
      </c>
    </row>
    <row r="681" spans="2:5" x14ac:dyDescent="0.35">
      <c r="D681" s="30" t="str">
        <f t="shared" si="37"/>
        <v>Pharmacists</v>
      </c>
      <c r="E681">
        <f t="shared" si="40"/>
        <v>333</v>
      </c>
    </row>
    <row r="682" spans="2:5" x14ac:dyDescent="0.35">
      <c r="D682" s="30" t="str">
        <f t="shared" si="37"/>
        <v>Dentists</v>
      </c>
      <c r="E682">
        <f t="shared" si="40"/>
        <v>204</v>
      </c>
    </row>
    <row r="683" spans="2:5" x14ac:dyDescent="0.35">
      <c r="D683" s="30" t="str">
        <f t="shared" si="37"/>
        <v xml:space="preserve">Community Health Workers </v>
      </c>
      <c r="E683">
        <f t="shared" si="40"/>
        <v>0</v>
      </c>
    </row>
    <row r="684" spans="2:5" x14ac:dyDescent="0.35">
      <c r="D684" s="30" t="str">
        <f t="shared" si="37"/>
        <v>Dieticians and nutritionists</v>
      </c>
      <c r="E684">
        <f t="shared" si="40"/>
        <v>12</v>
      </c>
    </row>
    <row r="685" spans="2:5" x14ac:dyDescent="0.35">
      <c r="D685" s="30" t="str">
        <f t="shared" si="37"/>
        <v>Environmental and occupational health &amp; hygiene workers</v>
      </c>
      <c r="E685">
        <f t="shared" si="40"/>
        <v>53</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1293153</v>
      </c>
      <c r="D702" s="29" t="str">
        <f t="shared" si="41"/>
        <v>Medical Doctors</v>
      </c>
      <c r="E702">
        <f t="shared" ref="E702:E725" si="42">AD3</f>
        <v>5100</v>
      </c>
    </row>
    <row r="703" spans="2:5" x14ac:dyDescent="0.35">
      <c r="D703" s="30" t="str">
        <f t="shared" si="41"/>
        <v>Nursing Personnel</v>
      </c>
      <c r="E703">
        <f t="shared" si="42"/>
        <v>8522</v>
      </c>
    </row>
    <row r="704" spans="2:5" x14ac:dyDescent="0.35">
      <c r="D704" s="30" t="str">
        <f t="shared" si="41"/>
        <v>Midwifery personnel</v>
      </c>
      <c r="E704">
        <f t="shared" si="42"/>
        <v>0</v>
      </c>
    </row>
    <row r="705" spans="4:5" x14ac:dyDescent="0.35">
      <c r="D705" s="30" t="str">
        <f t="shared" si="41"/>
        <v>Pharmacists</v>
      </c>
      <c r="E705">
        <f t="shared" si="42"/>
        <v>0</v>
      </c>
    </row>
    <row r="706" spans="4:5" x14ac:dyDescent="0.35">
      <c r="D706" s="30" t="str">
        <f t="shared" si="41"/>
        <v>Dentists</v>
      </c>
      <c r="E706">
        <f t="shared" si="42"/>
        <v>0</v>
      </c>
    </row>
    <row r="707" spans="4:5" x14ac:dyDescent="0.35">
      <c r="D707" s="30" t="str">
        <f t="shared" si="41"/>
        <v xml:space="preserve">Community Health Workers </v>
      </c>
      <c r="E707">
        <f t="shared" si="42"/>
        <v>0</v>
      </c>
    </row>
    <row r="708" spans="4:5" x14ac:dyDescent="0.35">
      <c r="D708" s="30" t="str">
        <f t="shared" si="41"/>
        <v>Dieticians and nutritionists</v>
      </c>
      <c r="E708">
        <f t="shared" si="42"/>
        <v>0</v>
      </c>
    </row>
    <row r="709" spans="4:5" x14ac:dyDescent="0.35">
      <c r="D709" s="30" t="str">
        <f t="shared" si="41"/>
        <v>Environmental and occupational health &amp; hygiene workers</v>
      </c>
      <c r="E709">
        <f t="shared" si="42"/>
        <v>0</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16938941.500000004</v>
      </c>
      <c r="D726" s="29" t="str">
        <f t="shared" si="41"/>
        <v>Medical Doctors</v>
      </c>
      <c r="E726">
        <f t="shared" ref="E726:E749" si="43">AE3</f>
        <v>0</v>
      </c>
    </row>
    <row r="727" spans="2:5" x14ac:dyDescent="0.35">
      <c r="D727" s="30" t="str">
        <f t="shared" si="41"/>
        <v>Nursing Personnel</v>
      </c>
      <c r="E727">
        <f t="shared" si="43"/>
        <v>0</v>
      </c>
    </row>
    <row r="728" spans="2:5" x14ac:dyDescent="0.35">
      <c r="D728" s="30" t="str">
        <f t="shared" si="41"/>
        <v>Midwifery personnel</v>
      </c>
      <c r="E728">
        <f t="shared" si="43"/>
        <v>0</v>
      </c>
    </row>
    <row r="729" spans="2:5" x14ac:dyDescent="0.35">
      <c r="D729" s="30" t="str">
        <f t="shared" si="41"/>
        <v>Pharmacists</v>
      </c>
      <c r="E729">
        <f t="shared" si="43"/>
        <v>0</v>
      </c>
    </row>
    <row r="730" spans="2:5" x14ac:dyDescent="0.35">
      <c r="D730" s="30" t="str">
        <f t="shared" si="41"/>
        <v>Dentists</v>
      </c>
      <c r="E730">
        <f t="shared" si="43"/>
        <v>0</v>
      </c>
    </row>
    <row r="731" spans="2:5" x14ac:dyDescent="0.35">
      <c r="D731" s="30" t="str">
        <f t="shared" si="41"/>
        <v xml:space="preserve">Community Health Workers </v>
      </c>
      <c r="E731">
        <f t="shared" si="43"/>
        <v>0</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0</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0</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2282703.9999999995</v>
      </c>
      <c r="D750" s="29" t="str">
        <f t="shared" ref="D750:D813" si="44">D726</f>
        <v>Medical Doctors</v>
      </c>
      <c r="E750">
        <f t="shared" ref="E750:E773" si="45">AF3</f>
        <v>0</v>
      </c>
    </row>
    <row r="751" spans="2:5" x14ac:dyDescent="0.35">
      <c r="D751" s="30" t="str">
        <f t="shared" si="44"/>
        <v>Nursing Personnel</v>
      </c>
      <c r="E751">
        <f t="shared" si="45"/>
        <v>8730</v>
      </c>
    </row>
    <row r="752" spans="2:5" x14ac:dyDescent="0.35">
      <c r="D752" s="30" t="str">
        <f t="shared" si="44"/>
        <v>Midwifery personnel</v>
      </c>
      <c r="E752">
        <f t="shared" si="45"/>
        <v>0</v>
      </c>
    </row>
    <row r="753" spans="4:5" x14ac:dyDescent="0.35">
      <c r="D753" s="30" t="str">
        <f t="shared" si="44"/>
        <v>Pharmacists</v>
      </c>
      <c r="E753">
        <f t="shared" si="45"/>
        <v>0</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0</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0</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0</v>
      </c>
    </row>
    <row r="769" spans="2:5" x14ac:dyDescent="0.35">
      <c r="D769" s="30" t="str">
        <f t="shared" si="44"/>
        <v xml:space="preserve">Paramedical Practitioners </v>
      </c>
      <c r="E769">
        <f t="shared" si="45"/>
        <v>0</v>
      </c>
    </row>
    <row r="770" spans="2:5" x14ac:dyDescent="0.35">
      <c r="D770" s="30" t="str">
        <f t="shared" si="44"/>
        <v>Physiotherapists and physiotherapy assistants</v>
      </c>
      <c r="E770">
        <f t="shared" si="45"/>
        <v>0</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20128123.999999989</v>
      </c>
      <c r="D774" s="29" t="str">
        <f t="shared" si="44"/>
        <v>Medical Doctors</v>
      </c>
      <c r="E774">
        <f t="shared" ref="E774:E797" si="46">AG3</f>
        <v>1268</v>
      </c>
    </row>
    <row r="775" spans="2:5" x14ac:dyDescent="0.35">
      <c r="D775" s="30" t="str">
        <f t="shared" si="44"/>
        <v>Nursing Personnel</v>
      </c>
      <c r="E775">
        <f t="shared" si="46"/>
        <v>6506</v>
      </c>
    </row>
    <row r="776" spans="2:5" x14ac:dyDescent="0.35">
      <c r="D776" s="30" t="str">
        <f t="shared" si="44"/>
        <v>Midwifery personnel</v>
      </c>
      <c r="E776">
        <f t="shared" si="46"/>
        <v>1648</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183995784.49999991</v>
      </c>
      <c r="D798" s="29" t="str">
        <f t="shared" si="44"/>
        <v>Medical Doctors</v>
      </c>
      <c r="E798">
        <f t="shared" ref="E798:E821" si="47">AH3</f>
        <v>0</v>
      </c>
    </row>
    <row r="799" spans="2:5" x14ac:dyDescent="0.35">
      <c r="D799" s="30" t="str">
        <f t="shared" si="44"/>
        <v>Nursing Personnel</v>
      </c>
      <c r="E799">
        <f t="shared" si="47"/>
        <v>0</v>
      </c>
    </row>
    <row r="800" spans="2:5" x14ac:dyDescent="0.35">
      <c r="D800" s="30" t="str">
        <f t="shared" si="44"/>
        <v>Midwifery personnel</v>
      </c>
      <c r="E800">
        <f t="shared" si="47"/>
        <v>0</v>
      </c>
    </row>
    <row r="801" spans="4:5" x14ac:dyDescent="0.35">
      <c r="D801" s="30" t="str">
        <f t="shared" si="44"/>
        <v>Pharmacists</v>
      </c>
      <c r="E801">
        <f t="shared" si="47"/>
        <v>0</v>
      </c>
    </row>
    <row r="802" spans="4:5" x14ac:dyDescent="0.35">
      <c r="D802" s="30" t="str">
        <f t="shared" si="44"/>
        <v>Dentists</v>
      </c>
      <c r="E802">
        <f t="shared" si="47"/>
        <v>0</v>
      </c>
    </row>
    <row r="803" spans="4:5" x14ac:dyDescent="0.35">
      <c r="D803" s="30" t="str">
        <f t="shared" si="44"/>
        <v xml:space="preserve">Community Health Workers </v>
      </c>
      <c r="E803">
        <f t="shared" si="47"/>
        <v>0</v>
      </c>
    </row>
    <row r="804" spans="4:5" x14ac:dyDescent="0.35">
      <c r="D804" s="30" t="str">
        <f t="shared" si="44"/>
        <v>Dieticians and nutritionists</v>
      </c>
      <c r="E804">
        <f t="shared" si="47"/>
        <v>0</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0</v>
      </c>
    </row>
    <row r="809" spans="4:5" x14ac:dyDescent="0.35">
      <c r="D809" s="30" t="str">
        <f t="shared" si="44"/>
        <v xml:space="preserve">Medical and Pathology Laboratory scientists </v>
      </c>
      <c r="E809">
        <f t="shared" si="47"/>
        <v>0</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0</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0</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0</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0</v>
      </c>
    </row>
    <row r="819" spans="2:5" x14ac:dyDescent="0.35">
      <c r="D819" s="30" t="str">
        <f t="shared" si="48"/>
        <v>Social workers</v>
      </c>
      <c r="E819">
        <f t="shared" si="47"/>
        <v>0</v>
      </c>
    </row>
    <row r="820" spans="2:5" x14ac:dyDescent="0.35">
      <c r="D820" s="30" t="str">
        <f t="shared" si="48"/>
        <v xml:space="preserve">Audiologists and Speech Therapists </v>
      </c>
      <c r="E820">
        <f t="shared" si="47"/>
        <v>0</v>
      </c>
    </row>
    <row r="821" spans="2:5" x14ac:dyDescent="0.35">
      <c r="D821" s="30" t="str">
        <f t="shared" si="48"/>
        <v>Traditional and complementary medicine practitioners</v>
      </c>
      <c r="E821">
        <f t="shared" si="47"/>
        <v>0</v>
      </c>
    </row>
    <row r="822" spans="2:5" x14ac:dyDescent="0.35">
      <c r="B822" t="str">
        <f>AI1</f>
        <v>RWA</v>
      </c>
      <c r="C822">
        <f>AI2</f>
        <v>11642959</v>
      </c>
      <c r="D822" s="29" t="str">
        <f t="shared" si="48"/>
        <v>Medical Doctors</v>
      </c>
      <c r="E822">
        <f t="shared" ref="E822:E845" si="49">AI3</f>
        <v>2568</v>
      </c>
    </row>
    <row r="823" spans="2:5" x14ac:dyDescent="0.35">
      <c r="D823" s="30" t="str">
        <f t="shared" si="48"/>
        <v>Nursing Personnel</v>
      </c>
      <c r="E823">
        <f t="shared" si="49"/>
        <v>20734</v>
      </c>
    </row>
    <row r="824" spans="2:5" x14ac:dyDescent="0.35">
      <c r="D824" s="30" t="str">
        <f t="shared" si="48"/>
        <v>Midwifery personnel</v>
      </c>
      <c r="E824">
        <f t="shared" si="49"/>
        <v>1736</v>
      </c>
    </row>
    <row r="825" spans="2:5" x14ac:dyDescent="0.35">
      <c r="D825" s="30" t="str">
        <f t="shared" si="48"/>
        <v>Pharmacists</v>
      </c>
      <c r="E825">
        <f t="shared" si="49"/>
        <v>0</v>
      </c>
    </row>
    <row r="826" spans="2:5" x14ac:dyDescent="0.35">
      <c r="D826" s="30" t="str">
        <f t="shared" si="48"/>
        <v>Dentists</v>
      </c>
      <c r="E826">
        <f t="shared" si="49"/>
        <v>0</v>
      </c>
    </row>
    <row r="827" spans="2:5" x14ac:dyDescent="0.35">
      <c r="D827" s="30" t="str">
        <f t="shared" si="48"/>
        <v xml:space="preserve">Community Health Workers </v>
      </c>
      <c r="E827">
        <f t="shared" si="49"/>
        <v>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23</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116</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1545</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125</v>
      </c>
    </row>
    <row r="843" spans="2:5" x14ac:dyDescent="0.35">
      <c r="D843" s="30" t="str">
        <f t="shared" si="48"/>
        <v>Social workers</v>
      </c>
      <c r="E843">
        <f t="shared" si="49"/>
        <v>886</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14356180.500000004</v>
      </c>
      <c r="D846" s="29" t="str">
        <f t="shared" si="48"/>
        <v>Medical Doctors</v>
      </c>
      <c r="E846">
        <f t="shared" ref="E846:E869" si="50">AJ3</f>
        <v>72</v>
      </c>
    </row>
    <row r="847" spans="2:5" x14ac:dyDescent="0.35">
      <c r="D847" s="30" t="str">
        <f t="shared" si="48"/>
        <v>Nursing Personnel</v>
      </c>
      <c r="E847">
        <f t="shared" si="50"/>
        <v>3364</v>
      </c>
    </row>
    <row r="848" spans="2:5" x14ac:dyDescent="0.35">
      <c r="D848" s="30" t="str">
        <f t="shared" si="48"/>
        <v>Midwifery personnel</v>
      </c>
      <c r="E848">
        <f t="shared" si="50"/>
        <v>2232</v>
      </c>
    </row>
    <row r="849" spans="4:5" x14ac:dyDescent="0.35">
      <c r="D849" s="30" t="str">
        <f t="shared" si="48"/>
        <v>Pharmacists</v>
      </c>
      <c r="E849">
        <f t="shared" si="50"/>
        <v>0</v>
      </c>
    </row>
    <row r="850" spans="4:5" x14ac:dyDescent="0.35">
      <c r="D850" s="30" t="str">
        <f t="shared" si="48"/>
        <v>Dentists</v>
      </c>
      <c r="E850">
        <f t="shared" si="50"/>
        <v>0</v>
      </c>
    </row>
    <row r="851" spans="4:5" x14ac:dyDescent="0.35">
      <c r="D851" s="30" t="str">
        <f t="shared" si="48"/>
        <v xml:space="preserve">Community Health Workers </v>
      </c>
      <c r="E851">
        <f t="shared" si="50"/>
        <v>770</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0</v>
      </c>
    </row>
    <row r="854" spans="4:5" x14ac:dyDescent="0.35">
      <c r="D854" s="30" t="str">
        <f t="shared" si="48"/>
        <v>Personal care workers in health service</v>
      </c>
      <c r="E854">
        <f t="shared" si="50"/>
        <v>0</v>
      </c>
    </row>
    <row r="855" spans="4:5" x14ac:dyDescent="0.35">
      <c r="D855" s="30" t="str">
        <f t="shared" si="48"/>
        <v xml:space="preserve">Managerial staff </v>
      </c>
      <c r="E855">
        <f t="shared" si="50"/>
        <v>0</v>
      </c>
    </row>
    <row r="856" spans="4:5" x14ac:dyDescent="0.35">
      <c r="D856" s="30" t="str">
        <f t="shared" si="48"/>
        <v xml:space="preserve">Medical and dental Prosthetic Technicians </v>
      </c>
      <c r="E856">
        <f t="shared" si="50"/>
        <v>0</v>
      </c>
    </row>
    <row r="857" spans="4:5" x14ac:dyDescent="0.35">
      <c r="D857" s="30" t="str">
        <f t="shared" si="48"/>
        <v xml:space="preserve">Medical and Pathology Laboratory scientists </v>
      </c>
      <c r="E857">
        <f t="shared" si="50"/>
        <v>0</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0</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0</v>
      </c>
    </row>
    <row r="865" spans="2:5" x14ac:dyDescent="0.35">
      <c r="D865" s="30" t="str">
        <f t="shared" si="48"/>
        <v xml:space="preserve">Paramedical Practitioners </v>
      </c>
      <c r="E865">
        <f t="shared" si="50"/>
        <v>0</v>
      </c>
    </row>
    <row r="866" spans="2:5" x14ac:dyDescent="0.35">
      <c r="D866" s="30" t="str">
        <f t="shared" si="48"/>
        <v>Physiotherapists and physiotherapy assistants</v>
      </c>
      <c r="E866">
        <f t="shared" si="50"/>
        <v>0</v>
      </c>
    </row>
    <row r="867" spans="2:5" x14ac:dyDescent="0.35">
      <c r="D867" s="30" t="str">
        <f t="shared" si="48"/>
        <v>Social workers</v>
      </c>
      <c r="E867">
        <f t="shared" si="50"/>
        <v>0</v>
      </c>
    </row>
    <row r="868" spans="2:5" x14ac:dyDescent="0.35">
      <c r="D868" s="30" t="str">
        <f t="shared" si="48"/>
        <v xml:space="preserve">Audiologists and Speech Therapists </v>
      </c>
      <c r="E868">
        <f t="shared" si="50"/>
        <v>0</v>
      </c>
    </row>
    <row r="869" spans="2:5" x14ac:dyDescent="0.35">
      <c r="D869" s="30" t="str">
        <f t="shared" si="48"/>
        <v>Traditional and complementary medicine practitioners</v>
      </c>
      <c r="E869">
        <f t="shared" si="50"/>
        <v>0</v>
      </c>
    </row>
    <row r="870" spans="2:5" x14ac:dyDescent="0.35">
      <c r="B870" t="str">
        <f>AK1</f>
        <v>SLE</v>
      </c>
      <c r="C870">
        <f>AK2</f>
        <v>7314773</v>
      </c>
      <c r="D870" s="29" t="str">
        <f t="shared" si="48"/>
        <v>Medical Doctors</v>
      </c>
      <c r="E870">
        <f t="shared" ref="E870:E893" si="51">AK3</f>
        <v>0</v>
      </c>
    </row>
    <row r="871" spans="2:5" x14ac:dyDescent="0.35">
      <c r="D871" s="30" t="str">
        <f t="shared" si="48"/>
        <v>Nursing Personnel</v>
      </c>
      <c r="E871">
        <f t="shared" si="51"/>
        <v>11746</v>
      </c>
    </row>
    <row r="872" spans="2:5" x14ac:dyDescent="0.35">
      <c r="D872" s="30" t="str">
        <f t="shared" si="48"/>
        <v>Midwifery personnel</v>
      </c>
      <c r="E872">
        <f t="shared" si="51"/>
        <v>0</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0</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0</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0</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11194299.499999998</v>
      </c>
      <c r="D894" s="29" t="str">
        <f t="shared" si="52"/>
        <v>Medical Doctors</v>
      </c>
      <c r="E894">
        <f t="shared" ref="E894:E917" si="53">AL3</f>
        <v>0</v>
      </c>
    </row>
    <row r="895" spans="2:5" x14ac:dyDescent="0.35">
      <c r="D895" s="30" t="str">
        <f t="shared" si="52"/>
        <v>Nursing Personnel</v>
      </c>
      <c r="E895">
        <f t="shared" si="53"/>
        <v>0</v>
      </c>
    </row>
    <row r="896" spans="2:5" x14ac:dyDescent="0.35">
      <c r="D896" s="30" t="str">
        <f t="shared" si="52"/>
        <v>Midwifery personnel</v>
      </c>
      <c r="E896">
        <f t="shared" si="53"/>
        <v>0</v>
      </c>
    </row>
    <row r="897" spans="4:5" x14ac:dyDescent="0.35">
      <c r="D897" s="30" t="str">
        <f t="shared" si="52"/>
        <v>Pharmacists</v>
      </c>
      <c r="E897">
        <f t="shared" si="53"/>
        <v>0</v>
      </c>
    </row>
    <row r="898" spans="4:5" x14ac:dyDescent="0.35">
      <c r="D898" s="30" t="str">
        <f t="shared" si="52"/>
        <v>Dentists</v>
      </c>
      <c r="E898">
        <f t="shared" si="53"/>
        <v>0</v>
      </c>
    </row>
    <row r="899" spans="4:5" x14ac:dyDescent="0.35">
      <c r="D899" s="30" t="str">
        <f t="shared" si="52"/>
        <v xml:space="preserve">Community Health Workers </v>
      </c>
      <c r="E899">
        <f t="shared" si="53"/>
        <v>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0</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201123.50000000012</v>
      </c>
      <c r="D918" s="29" t="str">
        <f t="shared" si="52"/>
        <v>Medical Doctors</v>
      </c>
      <c r="E918">
        <f t="shared" ref="E918:E941" si="54">AM3</f>
        <v>126</v>
      </c>
    </row>
    <row r="919" spans="2:5" x14ac:dyDescent="0.35">
      <c r="D919" s="30" t="str">
        <f t="shared" si="52"/>
        <v>Nursing Personnel</v>
      </c>
      <c r="E919">
        <f t="shared" si="54"/>
        <v>884</v>
      </c>
    </row>
    <row r="920" spans="2:5" x14ac:dyDescent="0.35">
      <c r="D920" s="30" t="str">
        <f t="shared" si="52"/>
        <v>Midwifery personnel</v>
      </c>
      <c r="E920">
        <f t="shared" si="54"/>
        <v>0</v>
      </c>
    </row>
    <row r="921" spans="2:5" x14ac:dyDescent="0.35">
      <c r="D921" s="30" t="str">
        <f t="shared" si="52"/>
        <v>Pharmacists</v>
      </c>
      <c r="E921">
        <f t="shared" si="54"/>
        <v>617</v>
      </c>
    </row>
    <row r="922" spans="2:5" x14ac:dyDescent="0.35">
      <c r="D922" s="30" t="str">
        <f t="shared" si="52"/>
        <v>Dentists</v>
      </c>
      <c r="E922">
        <f t="shared" si="54"/>
        <v>6</v>
      </c>
    </row>
    <row r="923" spans="2:5" x14ac:dyDescent="0.35">
      <c r="D923" s="30" t="str">
        <f t="shared" si="52"/>
        <v xml:space="preserve">Community Health Workers </v>
      </c>
      <c r="E923">
        <f t="shared" si="54"/>
        <v>0</v>
      </c>
    </row>
    <row r="924" spans="2:5" x14ac:dyDescent="0.35">
      <c r="D924" s="30" t="str">
        <f t="shared" si="52"/>
        <v>Dieticians and nutritionists</v>
      </c>
      <c r="E924">
        <f t="shared" si="54"/>
        <v>0</v>
      </c>
    </row>
    <row r="925" spans="2:5" x14ac:dyDescent="0.35">
      <c r="D925" s="30" t="str">
        <f t="shared" si="52"/>
        <v>Environmental and occupational health &amp; hygiene workers</v>
      </c>
      <c r="E925">
        <f t="shared" si="54"/>
        <v>0</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1133935.9999999998</v>
      </c>
      <c r="D942" s="29" t="str">
        <f t="shared" ref="D942:D1005" si="55">D918</f>
        <v>Medical Doctors</v>
      </c>
      <c r="E942">
        <f t="shared" ref="E942:E965" si="56">AN3</f>
        <v>0</v>
      </c>
    </row>
    <row r="943" spans="2:5" x14ac:dyDescent="0.35">
      <c r="D943" s="30" t="str">
        <f t="shared" si="55"/>
        <v>Nursing Personnel</v>
      </c>
      <c r="E943">
        <f t="shared" si="56"/>
        <v>7952</v>
      </c>
    </row>
    <row r="944" spans="2:5" x14ac:dyDescent="0.35">
      <c r="D944" s="30" t="str">
        <f t="shared" si="55"/>
        <v>Midwifery personnel</v>
      </c>
      <c r="E944">
        <f t="shared" si="56"/>
        <v>0</v>
      </c>
    </row>
    <row r="945" spans="4:5" x14ac:dyDescent="0.35">
      <c r="D945" s="30" t="str">
        <f t="shared" si="55"/>
        <v>Pharmacists</v>
      </c>
      <c r="E945">
        <f t="shared" si="56"/>
        <v>65</v>
      </c>
    </row>
    <row r="946" spans="4:5" x14ac:dyDescent="0.35">
      <c r="D946" s="30" t="str">
        <f t="shared" si="55"/>
        <v>Dentists</v>
      </c>
      <c r="E946">
        <f t="shared" si="56"/>
        <v>13</v>
      </c>
    </row>
    <row r="947" spans="4:5" x14ac:dyDescent="0.35">
      <c r="D947" s="30" t="str">
        <f t="shared" si="55"/>
        <v xml:space="preserve">Community Health Workers </v>
      </c>
      <c r="E947">
        <f t="shared" si="56"/>
        <v>0</v>
      </c>
    </row>
    <row r="948" spans="4:5" x14ac:dyDescent="0.35">
      <c r="D948" s="30" t="str">
        <f t="shared" si="55"/>
        <v>Dieticians and nutritionists</v>
      </c>
      <c r="E948">
        <f t="shared" si="56"/>
        <v>15</v>
      </c>
    </row>
    <row r="949" spans="4:5" x14ac:dyDescent="0.35">
      <c r="D949" s="30" t="str">
        <f t="shared" si="55"/>
        <v>Environmental and occupational health &amp; hygiene workers</v>
      </c>
      <c r="E949">
        <f t="shared" si="56"/>
        <v>428</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99239.999999999971</v>
      </c>
      <c r="D966" s="29" t="str">
        <f t="shared" si="55"/>
        <v>Medical Doctors</v>
      </c>
      <c r="E966">
        <f t="shared" ref="E966:E989" si="57">AO3</f>
        <v>4</v>
      </c>
    </row>
    <row r="967" spans="2:5" x14ac:dyDescent="0.35">
      <c r="D967" s="30" t="str">
        <f t="shared" si="55"/>
        <v>Nursing Personnel</v>
      </c>
      <c r="E967">
        <f t="shared" si="57"/>
        <v>0</v>
      </c>
    </row>
    <row r="968" spans="2:5" x14ac:dyDescent="0.35">
      <c r="D968" s="30" t="str">
        <f t="shared" si="55"/>
        <v>Midwifery personnel</v>
      </c>
      <c r="E968">
        <f t="shared" si="57"/>
        <v>0</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14140274</v>
      </c>
      <c r="D990" s="29" t="str">
        <f t="shared" si="55"/>
        <v>Medical Doctors</v>
      </c>
      <c r="E990">
        <f t="shared" ref="E990:E1013" si="58">AP3</f>
        <v>1392</v>
      </c>
    </row>
    <row r="991" spans="2:5" x14ac:dyDescent="0.35">
      <c r="D991" s="30" t="str">
        <f t="shared" si="55"/>
        <v>Nursing Personnel</v>
      </c>
      <c r="E991">
        <f t="shared" si="58"/>
        <v>7126</v>
      </c>
    </row>
    <row r="992" spans="2:5" x14ac:dyDescent="0.35">
      <c r="D992" s="30" t="str">
        <f t="shared" si="55"/>
        <v>Midwifery personnel</v>
      </c>
      <c r="E992">
        <f t="shared" si="58"/>
        <v>0</v>
      </c>
    </row>
    <row r="993" spans="4:5" x14ac:dyDescent="0.35">
      <c r="D993" s="30" t="str">
        <f t="shared" si="55"/>
        <v>Pharmacists</v>
      </c>
      <c r="E993">
        <f t="shared" si="58"/>
        <v>591</v>
      </c>
    </row>
    <row r="994" spans="4:5" x14ac:dyDescent="0.35">
      <c r="D994" s="30" t="str">
        <f t="shared" si="55"/>
        <v>Dentists</v>
      </c>
      <c r="E994">
        <f t="shared" si="58"/>
        <v>123</v>
      </c>
    </row>
    <row r="995" spans="4:5" x14ac:dyDescent="0.35">
      <c r="D995" s="30" t="str">
        <f t="shared" si="55"/>
        <v xml:space="preserve">Community Health Workers </v>
      </c>
      <c r="E995">
        <f t="shared" si="58"/>
        <v>0</v>
      </c>
    </row>
    <row r="996" spans="4:5" x14ac:dyDescent="0.35">
      <c r="D996" s="30" t="str">
        <f t="shared" si="55"/>
        <v>Dieticians and nutritionists</v>
      </c>
      <c r="E996">
        <f t="shared" si="58"/>
        <v>43</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0</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7473228.5</v>
      </c>
      <c r="D1014" s="29" t="str">
        <f t="shared" si="59"/>
        <v>Medical Doctors</v>
      </c>
      <c r="E1014">
        <f t="shared" ref="E1014:E1037" si="60">AQ3</f>
        <v>722</v>
      </c>
    </row>
    <row r="1015" spans="2:5" x14ac:dyDescent="0.35">
      <c r="D1015" s="30" t="str">
        <f t="shared" si="59"/>
        <v>Nursing Personnel</v>
      </c>
      <c r="E1015">
        <f t="shared" si="60"/>
        <v>2682</v>
      </c>
    </row>
    <row r="1016" spans="2:5" x14ac:dyDescent="0.35">
      <c r="D1016" s="30" t="str">
        <f t="shared" si="59"/>
        <v>Midwifery personnel</v>
      </c>
      <c r="E1016">
        <f t="shared" si="60"/>
        <v>1738</v>
      </c>
    </row>
    <row r="1017" spans="2:5" x14ac:dyDescent="0.35">
      <c r="D1017" s="30" t="str">
        <f t="shared" si="59"/>
        <v>Pharmacists</v>
      </c>
      <c r="E1017">
        <f t="shared" si="60"/>
        <v>68</v>
      </c>
    </row>
    <row r="1018" spans="2:5" x14ac:dyDescent="0.35">
      <c r="D1018" s="30" t="str">
        <f t="shared" si="59"/>
        <v>Dentists</v>
      </c>
      <c r="E1018">
        <f t="shared" si="60"/>
        <v>0</v>
      </c>
    </row>
    <row r="1019" spans="2:5" x14ac:dyDescent="0.35">
      <c r="D1019" s="30" t="str">
        <f t="shared" si="59"/>
        <v xml:space="preserve">Community Health Workers </v>
      </c>
      <c r="E1019">
        <f t="shared" si="60"/>
        <v>0</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0</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0</v>
      </c>
    </row>
    <row r="1025" spans="2:5" x14ac:dyDescent="0.35">
      <c r="D1025" s="30" t="str">
        <f t="shared" si="59"/>
        <v xml:space="preserve">Medical and Pathology Laboratory scientists </v>
      </c>
      <c r="E1025">
        <f t="shared" si="60"/>
        <v>407</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0</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0</v>
      </c>
    </row>
    <row r="1030" spans="2:5" x14ac:dyDescent="0.35">
      <c r="D1030" s="30" t="str">
        <f t="shared" si="59"/>
        <v xml:space="preserve">Other non-medical professional staff </v>
      </c>
      <c r="E1030">
        <f t="shared" si="60"/>
        <v>0</v>
      </c>
    </row>
    <row r="1031" spans="2:5" x14ac:dyDescent="0.35">
      <c r="D1031" s="30" t="str">
        <f t="shared" si="59"/>
        <v xml:space="preserve">Other non-medical support staff </v>
      </c>
      <c r="E1031">
        <f t="shared" si="60"/>
        <v>0</v>
      </c>
    </row>
    <row r="1032" spans="2:5" x14ac:dyDescent="0.35">
      <c r="D1032" s="30" t="str">
        <f t="shared" si="59"/>
        <v xml:space="preserve">Medical and Pathology Laboratory Technicians </v>
      </c>
      <c r="E1032">
        <f t="shared" si="60"/>
        <v>0</v>
      </c>
    </row>
    <row r="1033" spans="2:5" x14ac:dyDescent="0.35">
      <c r="D1033" s="30" t="str">
        <f t="shared" si="59"/>
        <v xml:space="preserve">Paramedical Practitioners </v>
      </c>
      <c r="E1033">
        <f t="shared" si="60"/>
        <v>0</v>
      </c>
    </row>
    <row r="1034" spans="2:5" x14ac:dyDescent="0.35">
      <c r="D1034" s="30" t="str">
        <f t="shared" si="59"/>
        <v>Physiotherapists and physiotherapy assistants</v>
      </c>
      <c r="E1034">
        <f t="shared" si="60"/>
        <v>231</v>
      </c>
    </row>
    <row r="1035" spans="2:5" x14ac:dyDescent="0.35">
      <c r="D1035" s="30" t="str">
        <f t="shared" si="59"/>
        <v>Social workers</v>
      </c>
      <c r="E1035">
        <f t="shared" si="60"/>
        <v>0</v>
      </c>
    </row>
    <row r="1036" spans="2:5" x14ac:dyDescent="0.35">
      <c r="D1036" s="30" t="str">
        <f t="shared" si="59"/>
        <v xml:space="preserve">Audiologists and Speech Therapists </v>
      </c>
      <c r="E1036">
        <f t="shared" si="60"/>
        <v>0</v>
      </c>
    </row>
    <row r="1037" spans="2:5" x14ac:dyDescent="0.35">
      <c r="D1037" s="30" t="str">
        <f t="shared" si="59"/>
        <v>Traditional and complementary medicine practitioners</v>
      </c>
      <c r="E1037">
        <f t="shared" si="60"/>
        <v>0</v>
      </c>
    </row>
    <row r="1038" spans="2:5" x14ac:dyDescent="0.35">
      <c r="B1038" t="str">
        <f>AR1</f>
        <v>TZA</v>
      </c>
      <c r="C1038">
        <f>AR2</f>
        <v>52542823.5</v>
      </c>
      <c r="D1038" s="29" t="str">
        <f t="shared" si="59"/>
        <v>Medical Doctors</v>
      </c>
      <c r="E1038">
        <f t="shared" ref="E1038:E1061" si="61">AR3</f>
        <v>0</v>
      </c>
    </row>
    <row r="1039" spans="2:5" x14ac:dyDescent="0.35">
      <c r="D1039" s="30" t="str">
        <f t="shared" si="59"/>
        <v>Nursing Personnel</v>
      </c>
      <c r="E1039">
        <f t="shared" si="61"/>
        <v>0</v>
      </c>
    </row>
    <row r="1040" spans="2:5" x14ac:dyDescent="0.35">
      <c r="D1040" s="30" t="str">
        <f t="shared" si="59"/>
        <v>Midwifery personnel</v>
      </c>
      <c r="E1040">
        <f t="shared" si="61"/>
        <v>0</v>
      </c>
    </row>
    <row r="1041" spans="4:5" x14ac:dyDescent="0.35">
      <c r="D1041" s="30" t="str">
        <f t="shared" si="59"/>
        <v>Pharmacists</v>
      </c>
      <c r="E1041">
        <f t="shared" si="61"/>
        <v>53</v>
      </c>
    </row>
    <row r="1042" spans="4:5" x14ac:dyDescent="0.35">
      <c r="D1042" s="30" t="str">
        <f t="shared" si="59"/>
        <v>Dentists</v>
      </c>
      <c r="E1042">
        <f t="shared" si="61"/>
        <v>0</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0</v>
      </c>
    </row>
    <row r="1045" spans="4:5" x14ac:dyDescent="0.35">
      <c r="D1045" s="30" t="str">
        <f t="shared" si="59"/>
        <v>Environmental and occupational health &amp; hygiene workers</v>
      </c>
      <c r="E1045">
        <f t="shared" si="61"/>
        <v>0</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0</v>
      </c>
    </row>
    <row r="1049" spans="4:5" x14ac:dyDescent="0.35">
      <c r="D1049" s="30" t="str">
        <f t="shared" si="59"/>
        <v xml:space="preserve">Medical and Pathology Laboratory scientists </v>
      </c>
      <c r="E1049">
        <f t="shared" si="61"/>
        <v>0</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0</v>
      </c>
    </row>
    <row r="1057" spans="2:5" x14ac:dyDescent="0.35">
      <c r="D1057" s="30" t="str">
        <f t="shared" si="59"/>
        <v xml:space="preserve">Paramedical Practitioners </v>
      </c>
      <c r="E1057">
        <f t="shared" si="61"/>
        <v>0</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37477355.999999978</v>
      </c>
      <c r="D1062" s="29" t="str">
        <f t="shared" si="59"/>
        <v>Medical Doctors</v>
      </c>
      <c r="E1062">
        <f t="shared" ref="E1062:E1085" si="62">AS3</f>
        <v>7290</v>
      </c>
    </row>
    <row r="1063" spans="2:5" x14ac:dyDescent="0.35">
      <c r="D1063" s="30" t="str">
        <f t="shared" si="59"/>
        <v>Nursing Personnel</v>
      </c>
      <c r="E1063">
        <f t="shared" si="62"/>
        <v>101362</v>
      </c>
    </row>
    <row r="1064" spans="2:5" x14ac:dyDescent="0.35">
      <c r="D1064" s="30" t="str">
        <f t="shared" si="59"/>
        <v>Midwifery personnel</v>
      </c>
      <c r="E1064">
        <f t="shared" si="62"/>
        <v>17630</v>
      </c>
    </row>
    <row r="1065" spans="2:5" x14ac:dyDescent="0.35">
      <c r="D1065" s="30" t="str">
        <f t="shared" si="59"/>
        <v>Pharmacists</v>
      </c>
      <c r="E1065">
        <f t="shared" si="62"/>
        <v>0</v>
      </c>
    </row>
    <row r="1066" spans="2:5" x14ac:dyDescent="0.35">
      <c r="D1066" s="30" t="str">
        <f t="shared" si="59"/>
        <v>Dentists</v>
      </c>
      <c r="E1066">
        <f t="shared" si="62"/>
        <v>0</v>
      </c>
    </row>
    <row r="1067" spans="2:5" x14ac:dyDescent="0.35">
      <c r="D1067" s="30" t="str">
        <f t="shared" si="59"/>
        <v xml:space="preserve">Community Health Workers </v>
      </c>
      <c r="E1067">
        <f t="shared" si="62"/>
        <v>179175</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227</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121</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2447</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114</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55876503.999999993</v>
      </c>
      <c r="D1086" s="29" t="str">
        <f t="shared" si="63"/>
        <v>Medical Doctors</v>
      </c>
      <c r="E1086">
        <f t="shared" ref="E1086:E1109" si="64">AT3</f>
        <v>1143</v>
      </c>
    </row>
    <row r="1087" spans="2:5" x14ac:dyDescent="0.35">
      <c r="D1087" s="30" t="str">
        <f t="shared" si="63"/>
        <v>Nursing Personnel</v>
      </c>
      <c r="E1087">
        <f t="shared" si="64"/>
        <v>0</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149</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9175</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3783</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453</v>
      </c>
    </row>
    <row r="1105" spans="2:5" x14ac:dyDescent="0.35">
      <c r="D1105" s="30" t="str">
        <f t="shared" si="63"/>
        <v xml:space="preserve">Paramedical Practitioners </v>
      </c>
      <c r="E1105">
        <f t="shared" si="64"/>
        <v>474</v>
      </c>
    </row>
    <row r="1106" spans="2:5" x14ac:dyDescent="0.35">
      <c r="D1106" s="30" t="str">
        <f t="shared" si="63"/>
        <v>Physiotherapists and physiotherapy assistants</v>
      </c>
      <c r="E1106">
        <f t="shared" si="64"/>
        <v>9289</v>
      </c>
    </row>
    <row r="1107" spans="2:5" x14ac:dyDescent="0.35">
      <c r="D1107" s="30" t="str">
        <f t="shared" si="63"/>
        <v>Social workers</v>
      </c>
      <c r="E1107">
        <f t="shared" si="64"/>
        <v>0</v>
      </c>
    </row>
    <row r="1108" spans="2:5" x14ac:dyDescent="0.35">
      <c r="D1108" s="30" t="str">
        <f t="shared" si="63"/>
        <v xml:space="preserve">Audiologists and Speech Therapists </v>
      </c>
      <c r="E1108">
        <f t="shared" si="64"/>
        <v>2913</v>
      </c>
    </row>
    <row r="1109" spans="2:5" x14ac:dyDescent="0.35">
      <c r="D1109" s="30" t="str">
        <f t="shared" si="63"/>
        <v>Traditional and complementary medicine practitioners</v>
      </c>
      <c r="E1109">
        <f t="shared" si="64"/>
        <v>0</v>
      </c>
    </row>
    <row r="1110" spans="2:5" x14ac:dyDescent="0.35">
      <c r="B1110" t="str">
        <f>AU1</f>
        <v>ZMB</v>
      </c>
      <c r="C1110">
        <f>AU2</f>
        <v>16248229.999999996</v>
      </c>
      <c r="D1110" s="29" t="str">
        <f t="shared" si="63"/>
        <v>Medical Doctors</v>
      </c>
      <c r="E1110">
        <f t="shared" ref="E1110:E1133" si="65">AU3</f>
        <v>0</v>
      </c>
    </row>
    <row r="1111" spans="2:5" x14ac:dyDescent="0.35">
      <c r="D1111" s="30" t="str">
        <f t="shared" si="63"/>
        <v>Nursing Personnel</v>
      </c>
      <c r="E1111">
        <f t="shared" si="65"/>
        <v>0</v>
      </c>
    </row>
    <row r="1112" spans="2:5" x14ac:dyDescent="0.35">
      <c r="D1112" s="30" t="str">
        <f t="shared" si="63"/>
        <v>Midwifery personnel</v>
      </c>
      <c r="E1112">
        <f t="shared" si="65"/>
        <v>0</v>
      </c>
    </row>
    <row r="1113" spans="2:5" x14ac:dyDescent="0.35">
      <c r="D1113" s="30" t="str">
        <f t="shared" si="63"/>
        <v>Pharmacists</v>
      </c>
      <c r="E1113">
        <f t="shared" si="65"/>
        <v>0</v>
      </c>
    </row>
    <row r="1114" spans="2:5" x14ac:dyDescent="0.35">
      <c r="D1114" s="30" t="str">
        <f t="shared" si="63"/>
        <v>Dentists</v>
      </c>
      <c r="E1114">
        <f t="shared" si="65"/>
        <v>0</v>
      </c>
    </row>
    <row r="1115" spans="2:5" x14ac:dyDescent="0.35">
      <c r="D1115" s="30" t="str">
        <f t="shared" si="63"/>
        <v xml:space="preserve">Community Health Workers </v>
      </c>
      <c r="E1115">
        <f t="shared" si="65"/>
        <v>0</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0</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0</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0</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0</v>
      </c>
    </row>
    <row r="1129" spans="2:5" x14ac:dyDescent="0.35">
      <c r="D1129" s="30" t="str">
        <f t="shared" si="63"/>
        <v xml:space="preserve">Paramedical Practitioners </v>
      </c>
      <c r="E1129">
        <f t="shared" si="65"/>
        <v>0</v>
      </c>
    </row>
    <row r="1130" spans="2:5" x14ac:dyDescent="0.35">
      <c r="D1130" s="30" t="str">
        <f t="shared" si="63"/>
        <v>Physiotherapists and physiotherapy assistants</v>
      </c>
      <c r="E1130">
        <f t="shared" si="65"/>
        <v>0</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14154937</v>
      </c>
      <c r="D1134" s="29" t="str">
        <f t="shared" ref="D1134:D1180" si="66">D1110</f>
        <v>Medical Doctors</v>
      </c>
      <c r="E1134">
        <f t="shared" ref="E1134:E1157" si="67">AV3</f>
        <v>5462</v>
      </c>
    </row>
    <row r="1135" spans="2:5" x14ac:dyDescent="0.35">
      <c r="D1135" s="30" t="str">
        <f t="shared" si="66"/>
        <v>Nursing Personnel</v>
      </c>
      <c r="E1135">
        <f t="shared" si="67"/>
        <v>41532</v>
      </c>
    </row>
    <row r="1136" spans="2:5" x14ac:dyDescent="0.35">
      <c r="D1136" s="30" t="str">
        <f t="shared" si="66"/>
        <v>Midwifery personnel</v>
      </c>
      <c r="E1136">
        <f t="shared" si="67"/>
        <v>0</v>
      </c>
    </row>
    <row r="1137" spans="4:5" x14ac:dyDescent="0.35">
      <c r="D1137" s="30" t="str">
        <f t="shared" si="66"/>
        <v>Pharmacists</v>
      </c>
      <c r="E1137">
        <f t="shared" si="67"/>
        <v>394</v>
      </c>
    </row>
    <row r="1138" spans="4:5" x14ac:dyDescent="0.35">
      <c r="D1138" s="30" t="str">
        <f t="shared" si="66"/>
        <v>Dentists</v>
      </c>
      <c r="E1138">
        <f t="shared" si="67"/>
        <v>236</v>
      </c>
    </row>
    <row r="1139" spans="4:5" x14ac:dyDescent="0.35">
      <c r="D1139" s="30" t="str">
        <f t="shared" si="66"/>
        <v xml:space="preserve">Community Health Workers </v>
      </c>
      <c r="E1139">
        <f t="shared" si="67"/>
        <v>11200</v>
      </c>
    </row>
    <row r="1140" spans="4:5" x14ac:dyDescent="0.35">
      <c r="D1140" s="30" t="str">
        <f t="shared" si="66"/>
        <v>Dieticians and nutritionists</v>
      </c>
      <c r="E1140">
        <f t="shared" si="67"/>
        <v>845</v>
      </c>
    </row>
    <row r="1141" spans="4:5" x14ac:dyDescent="0.35">
      <c r="D1141" s="30" t="str">
        <f t="shared" si="66"/>
        <v>Environmental and occupational health &amp; hygiene workers</v>
      </c>
      <c r="E1141">
        <f t="shared" si="67"/>
        <v>1885</v>
      </c>
    </row>
    <row r="1142" spans="4:5" x14ac:dyDescent="0.35">
      <c r="D1142" s="30" t="str">
        <f t="shared" si="66"/>
        <v>Personal care workers in health service</v>
      </c>
      <c r="E1142">
        <f t="shared" si="67"/>
        <v>0</v>
      </c>
    </row>
    <row r="1143" spans="4:5" x14ac:dyDescent="0.35">
      <c r="D1143" s="30" t="str">
        <f t="shared" si="66"/>
        <v xml:space="preserve">Managerial staff </v>
      </c>
      <c r="E1143">
        <f t="shared" si="67"/>
        <v>270</v>
      </c>
    </row>
    <row r="1144" spans="4:5" x14ac:dyDescent="0.35">
      <c r="D1144" s="30" t="str">
        <f t="shared" si="66"/>
        <v xml:space="preserve">Medical and dental Prosthetic Technicians </v>
      </c>
      <c r="E1144">
        <f t="shared" si="67"/>
        <v>0</v>
      </c>
    </row>
    <row r="1145" spans="4:5" x14ac:dyDescent="0.35">
      <c r="D1145" s="30" t="str">
        <f t="shared" si="66"/>
        <v xml:space="preserve">Medical and Pathology Laboratory scientists </v>
      </c>
      <c r="E1145">
        <f t="shared" si="67"/>
        <v>0</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511</v>
      </c>
    </row>
    <row r="1148" spans="4:5" x14ac:dyDescent="0.35">
      <c r="D1148" s="30" t="str">
        <f t="shared" si="66"/>
        <v xml:space="preserve">Medical Records and Health Information Technicians </v>
      </c>
      <c r="E1148">
        <f t="shared" si="67"/>
        <v>0</v>
      </c>
    </row>
    <row r="1149" spans="4:5" x14ac:dyDescent="0.35">
      <c r="D1149" s="30" t="str">
        <f t="shared" si="66"/>
        <v xml:space="preserve">Optometrists and Ophthalmic Opticians </v>
      </c>
      <c r="E1149">
        <f t="shared" si="67"/>
        <v>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644</v>
      </c>
    </row>
    <row r="1153" spans="2:5" x14ac:dyDescent="0.35">
      <c r="D1153" s="30" t="str">
        <f t="shared" si="66"/>
        <v xml:space="preserve">Paramedical Practitioners </v>
      </c>
      <c r="E1153">
        <f t="shared" si="67"/>
        <v>0</v>
      </c>
    </row>
    <row r="1154" spans="2:5" x14ac:dyDescent="0.35">
      <c r="D1154" s="30" t="str">
        <f t="shared" si="66"/>
        <v>Physiotherapists and physiotherapy assistants</v>
      </c>
      <c r="E1154">
        <f t="shared" si="67"/>
        <v>472</v>
      </c>
    </row>
    <row r="1155" spans="2:5" x14ac:dyDescent="0.35">
      <c r="D1155" s="30" t="str">
        <f t="shared" si="66"/>
        <v>Social workers</v>
      </c>
      <c r="E1155">
        <f t="shared" si="67"/>
        <v>0</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996342964.99999988</v>
      </c>
      <c r="D1158" s="29" t="str">
        <f t="shared" si="66"/>
        <v>Medical Doctors</v>
      </c>
      <c r="E1158">
        <f t="shared" ref="E1158:E1181" si="68">AW3</f>
        <v>45461</v>
      </c>
    </row>
    <row r="1159" spans="2:5" x14ac:dyDescent="0.35">
      <c r="D1159" s="30" t="str">
        <f t="shared" si="66"/>
        <v>Nursing Personnel</v>
      </c>
      <c r="E1159">
        <f t="shared" si="68"/>
        <v>656054</v>
      </c>
    </row>
    <row r="1160" spans="2:5" x14ac:dyDescent="0.35">
      <c r="D1160" s="30" t="str">
        <f t="shared" si="66"/>
        <v>Midwifery personnel</v>
      </c>
      <c r="E1160">
        <f t="shared" si="68"/>
        <v>57502</v>
      </c>
    </row>
    <row r="1161" spans="2:5" x14ac:dyDescent="0.35">
      <c r="D1161" s="30" t="str">
        <f t="shared" si="66"/>
        <v>Pharmacists</v>
      </c>
      <c r="E1161">
        <f t="shared" si="68"/>
        <v>51233</v>
      </c>
    </row>
    <row r="1162" spans="2:5" x14ac:dyDescent="0.35">
      <c r="D1162" s="30" t="str">
        <f t="shared" si="66"/>
        <v>Dentists</v>
      </c>
      <c r="E1162">
        <f t="shared" si="68"/>
        <v>33509</v>
      </c>
    </row>
    <row r="1163" spans="2:5" x14ac:dyDescent="0.35">
      <c r="D1163" s="30" t="str">
        <f t="shared" si="66"/>
        <v xml:space="preserve">Community Health Workers </v>
      </c>
      <c r="E1163">
        <f t="shared" si="68"/>
        <v>197845</v>
      </c>
    </row>
    <row r="1164" spans="2:5" x14ac:dyDescent="0.35">
      <c r="D1164" s="30" t="str">
        <f t="shared" si="66"/>
        <v>Dieticians and nutritionists</v>
      </c>
      <c r="E1164">
        <f t="shared" si="68"/>
        <v>7359</v>
      </c>
    </row>
    <row r="1165" spans="2:5" x14ac:dyDescent="0.35">
      <c r="D1165" s="30" t="str">
        <f t="shared" si="66"/>
        <v>Environmental and occupational health &amp; hygiene workers</v>
      </c>
      <c r="E1165">
        <f t="shared" si="68"/>
        <v>28478</v>
      </c>
    </row>
    <row r="1166" spans="2:5" x14ac:dyDescent="0.35">
      <c r="D1166" s="30" t="str">
        <f t="shared" si="66"/>
        <v>Personal care workers in health service</v>
      </c>
      <c r="E1166">
        <f t="shared" si="68"/>
        <v>0</v>
      </c>
    </row>
    <row r="1167" spans="2:5" x14ac:dyDescent="0.35">
      <c r="D1167" s="30" t="str">
        <f t="shared" si="66"/>
        <v xml:space="preserve">Managerial staff </v>
      </c>
      <c r="E1167">
        <f t="shared" si="68"/>
        <v>270</v>
      </c>
    </row>
    <row r="1168" spans="2:5" x14ac:dyDescent="0.35">
      <c r="D1168" s="30" t="str">
        <f t="shared" si="66"/>
        <v xml:space="preserve">Medical and dental Prosthetic Technicians </v>
      </c>
      <c r="E1168">
        <f t="shared" si="68"/>
        <v>465</v>
      </c>
    </row>
    <row r="1169" spans="4:5" x14ac:dyDescent="0.35">
      <c r="D1169" s="30" t="str">
        <f t="shared" si="66"/>
        <v xml:space="preserve">Medical and Pathology Laboratory scientists </v>
      </c>
      <c r="E1169">
        <f t="shared" si="68"/>
        <v>567</v>
      </c>
    </row>
    <row r="1170" spans="4:5" x14ac:dyDescent="0.35">
      <c r="D1170" s="30" t="str">
        <f t="shared" si="66"/>
        <v xml:space="preserve">Medical Assistants </v>
      </c>
      <c r="E1170">
        <f t="shared" si="68"/>
        <v>0</v>
      </c>
    </row>
    <row r="1171" spans="4:5" x14ac:dyDescent="0.35">
      <c r="D1171" s="30" t="str">
        <f t="shared" si="66"/>
        <v xml:space="preserve">Medical Imaging and Therapeutic Equipment Technicians </v>
      </c>
      <c r="E1171">
        <f t="shared" si="68"/>
        <v>9955</v>
      </c>
    </row>
    <row r="1172" spans="4:5" x14ac:dyDescent="0.35">
      <c r="D1172" s="30" t="str">
        <f t="shared" si="66"/>
        <v xml:space="preserve">Medical Records and Health Information Technicians </v>
      </c>
      <c r="E1172">
        <f t="shared" si="68"/>
        <v>0</v>
      </c>
    </row>
    <row r="1173" spans="4:5" x14ac:dyDescent="0.35">
      <c r="D1173" s="30" t="str">
        <f t="shared" si="66"/>
        <v xml:space="preserve">Optometrists and Ophthalmic Opticians </v>
      </c>
      <c r="E1173">
        <f t="shared" si="68"/>
        <v>3800</v>
      </c>
    </row>
    <row r="1174" spans="4:5" x14ac:dyDescent="0.35">
      <c r="D1174" s="30" t="str">
        <f t="shared" si="66"/>
        <v xml:space="preserve">Other non-medical professional staff </v>
      </c>
      <c r="E1174">
        <f t="shared" si="68"/>
        <v>0</v>
      </c>
    </row>
    <row r="1175" spans="4:5" x14ac:dyDescent="0.35">
      <c r="D1175" s="30" t="str">
        <f t="shared" si="66"/>
        <v xml:space="preserve">Other non-medical support staff </v>
      </c>
      <c r="E1175">
        <f t="shared" si="68"/>
        <v>0</v>
      </c>
    </row>
    <row r="1176" spans="4:5" x14ac:dyDescent="0.35">
      <c r="D1176" s="30" t="str">
        <f t="shared" si="66"/>
        <v xml:space="preserve">Medical and Pathology Laboratory Technicians </v>
      </c>
      <c r="E1176">
        <f t="shared" si="68"/>
        <v>5230</v>
      </c>
    </row>
    <row r="1177" spans="4:5" x14ac:dyDescent="0.35">
      <c r="D1177" s="30" t="str">
        <f t="shared" si="66"/>
        <v xml:space="preserve">Paramedical Practitioners </v>
      </c>
      <c r="E1177">
        <f t="shared" si="68"/>
        <v>474</v>
      </c>
    </row>
    <row r="1178" spans="4:5" x14ac:dyDescent="0.35">
      <c r="D1178" s="30" t="str">
        <f t="shared" si="66"/>
        <v>Physiotherapists and physiotherapy assistants</v>
      </c>
      <c r="E1178">
        <f t="shared" si="68"/>
        <v>10251</v>
      </c>
    </row>
    <row r="1179" spans="4:5" x14ac:dyDescent="0.35">
      <c r="D1179" s="30" t="str">
        <f t="shared" si="66"/>
        <v>Social workers</v>
      </c>
      <c r="E1179">
        <f t="shared" si="68"/>
        <v>969</v>
      </c>
    </row>
    <row r="1180" spans="4:5" x14ac:dyDescent="0.35">
      <c r="D1180" s="30" t="str">
        <f t="shared" si="66"/>
        <v xml:space="preserve">Audiologists and Speech Therapists </v>
      </c>
      <c r="E1180">
        <f t="shared" si="68"/>
        <v>2913</v>
      </c>
    </row>
    <row r="1181" spans="4:5" x14ac:dyDescent="0.35">
      <c r="D1181" s="30" t="str">
        <f t="shared" ref="D1181" si="69">D1157</f>
        <v>Traditional and complementary medicine practitioners</v>
      </c>
      <c r="E1181">
        <f t="shared" si="68"/>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E95FA-7E18-4576-AE74-33EDB6695107}">
  <dimension ref="A1:AW1181"/>
  <sheetViews>
    <sheetView topLeftCell="AE1" workbookViewId="0">
      <selection activeCell="A2" sqref="A2:AW2"/>
    </sheetView>
  </sheetViews>
  <sheetFormatPr defaultColWidth="8.81640625" defaultRowHeight="14.5" x14ac:dyDescent="0.35"/>
  <cols>
    <col min="1" max="1" width="56.6328125" bestFit="1"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29154745.500000007</v>
      </c>
      <c r="C2">
        <v>10903327.500000004</v>
      </c>
      <c r="D2">
        <v>11260084.499999996</v>
      </c>
      <c r="E2">
        <v>19275497.999999981</v>
      </c>
      <c r="F2">
        <v>2352415.5000000005</v>
      </c>
      <c r="G2">
        <v>4904177.5000000019</v>
      </c>
      <c r="H2">
        <v>24213621.500000015</v>
      </c>
      <c r="I2">
        <v>23711630.000000004</v>
      </c>
      <c r="J2">
        <v>81430976.499999985</v>
      </c>
      <c r="K2">
        <v>5186823.4999999981</v>
      </c>
      <c r="L2">
        <v>746232.00000000012</v>
      </c>
      <c r="M2">
        <v>558394.50000000035</v>
      </c>
      <c r="N2">
        <v>40339328.5</v>
      </c>
      <c r="O2">
        <v>3365287.5000000014</v>
      </c>
      <c r="P2">
        <v>105293228.50000003</v>
      </c>
      <c r="Q2">
        <v>2086205.5000000009</v>
      </c>
      <c r="R2">
        <v>29554302.499999993</v>
      </c>
      <c r="S2">
        <v>11930984.999999998</v>
      </c>
      <c r="T2">
        <v>2317205.5</v>
      </c>
      <c r="U2">
        <v>1834551.4999999995</v>
      </c>
      <c r="V2">
        <v>1398926.5</v>
      </c>
      <c r="W2">
        <v>47894670</v>
      </c>
      <c r="X2">
        <v>4706097.5000000009</v>
      </c>
      <c r="Y2">
        <v>2143872.0000000023</v>
      </c>
      <c r="Z2">
        <v>25501940.499999996</v>
      </c>
      <c r="AA2">
        <v>18700106</v>
      </c>
      <c r="AB2">
        <v>27696492.499999989</v>
      </c>
      <c r="AC2">
        <v>4051890.5000000014</v>
      </c>
      <c r="AD2">
        <v>1293911.0000000005</v>
      </c>
      <c r="AE2">
        <v>17405623.5</v>
      </c>
      <c r="AF2">
        <v>2323352</v>
      </c>
      <c r="AG2">
        <v>20921743.000000011</v>
      </c>
      <c r="AH2">
        <v>188666930.99999988</v>
      </c>
      <c r="AI2">
        <v>11930899.500000007</v>
      </c>
      <c r="AJ2">
        <v>14751356.499999994</v>
      </c>
      <c r="AK2">
        <v>7493912.9999999981</v>
      </c>
      <c r="AL2">
        <v>11066105</v>
      </c>
      <c r="AM2">
        <v>204632.49999999985</v>
      </c>
      <c r="AN2">
        <v>1142524</v>
      </c>
      <c r="AO2">
        <v>100508.49999999997</v>
      </c>
      <c r="AP2">
        <v>14592585.000000004</v>
      </c>
      <c r="AQ2">
        <v>7661353.5000000019</v>
      </c>
      <c r="AR2">
        <v>54401801.500000007</v>
      </c>
      <c r="AS2">
        <v>38748298.999999978</v>
      </c>
      <c r="AT2">
        <v>56422273.499999985</v>
      </c>
      <c r="AU2">
        <v>16767760.499999996</v>
      </c>
      <c r="AV2">
        <v>14452704.499999994</v>
      </c>
      <c r="AW2">
        <v>1022861293.4999999</v>
      </c>
    </row>
    <row r="3" spans="1:49" x14ac:dyDescent="0.35">
      <c r="A3" t="s">
        <v>135</v>
      </c>
      <c r="B3">
        <v>0</v>
      </c>
      <c r="C3">
        <v>0</v>
      </c>
      <c r="D3">
        <v>1046</v>
      </c>
      <c r="E3">
        <v>2404</v>
      </c>
      <c r="F3">
        <v>1671</v>
      </c>
      <c r="G3">
        <v>0</v>
      </c>
      <c r="H3">
        <v>0</v>
      </c>
      <c r="I3">
        <v>0</v>
      </c>
      <c r="J3">
        <v>200</v>
      </c>
      <c r="K3">
        <v>1060</v>
      </c>
      <c r="L3">
        <v>440</v>
      </c>
      <c r="M3">
        <v>816</v>
      </c>
      <c r="N3">
        <v>148618</v>
      </c>
      <c r="O3">
        <v>537</v>
      </c>
      <c r="P3">
        <v>296</v>
      </c>
      <c r="Q3">
        <v>1430</v>
      </c>
      <c r="R3">
        <v>7236</v>
      </c>
      <c r="S3">
        <v>1954</v>
      </c>
      <c r="T3">
        <v>1</v>
      </c>
      <c r="U3">
        <v>388</v>
      </c>
      <c r="V3">
        <v>0</v>
      </c>
      <c r="W3">
        <v>380</v>
      </c>
      <c r="X3">
        <v>468</v>
      </c>
      <c r="Y3">
        <v>0</v>
      </c>
      <c r="Z3">
        <v>35</v>
      </c>
      <c r="AA3">
        <v>4570</v>
      </c>
      <c r="AB3">
        <v>57</v>
      </c>
      <c r="AC3">
        <v>0</v>
      </c>
      <c r="AD3">
        <v>5538</v>
      </c>
      <c r="AE3">
        <v>1093</v>
      </c>
      <c r="AF3">
        <v>0</v>
      </c>
      <c r="AG3">
        <v>1362</v>
      </c>
      <c r="AH3">
        <v>167130</v>
      </c>
      <c r="AI3">
        <v>2918</v>
      </c>
      <c r="AJ3">
        <v>3195</v>
      </c>
      <c r="AK3">
        <v>0</v>
      </c>
      <c r="AL3">
        <v>0</v>
      </c>
      <c r="AM3">
        <v>0</v>
      </c>
      <c r="AN3">
        <v>220</v>
      </c>
      <c r="AO3">
        <v>410</v>
      </c>
      <c r="AP3">
        <v>1080</v>
      </c>
      <c r="AQ3">
        <v>964</v>
      </c>
      <c r="AR3">
        <v>67</v>
      </c>
      <c r="AS3">
        <v>42</v>
      </c>
      <c r="AT3">
        <v>87529</v>
      </c>
      <c r="AU3">
        <v>3074</v>
      </c>
      <c r="AV3">
        <v>5458</v>
      </c>
      <c r="AW3">
        <v>453687</v>
      </c>
    </row>
    <row r="4" spans="1:49" x14ac:dyDescent="0.35">
      <c r="A4" t="s">
        <v>139</v>
      </c>
      <c r="B4">
        <v>0</v>
      </c>
      <c r="C4">
        <v>0</v>
      </c>
      <c r="D4">
        <v>14448</v>
      </c>
      <c r="E4">
        <v>19402</v>
      </c>
      <c r="F4">
        <v>14854</v>
      </c>
      <c r="G4">
        <v>0</v>
      </c>
      <c r="H4">
        <v>24264</v>
      </c>
      <c r="I4">
        <v>0</v>
      </c>
      <c r="J4">
        <v>89794</v>
      </c>
      <c r="K4">
        <v>7434</v>
      </c>
      <c r="L4">
        <v>0</v>
      </c>
      <c r="M4">
        <v>1224</v>
      </c>
      <c r="N4">
        <v>181916</v>
      </c>
      <c r="O4">
        <v>8968</v>
      </c>
      <c r="P4">
        <v>0</v>
      </c>
      <c r="Q4">
        <v>9192</v>
      </c>
      <c r="R4">
        <v>105210</v>
      </c>
      <c r="S4">
        <v>2020</v>
      </c>
      <c r="T4">
        <v>0</v>
      </c>
      <c r="U4">
        <v>2006</v>
      </c>
      <c r="V4">
        <v>0</v>
      </c>
      <c r="W4">
        <v>97474</v>
      </c>
      <c r="X4">
        <v>0</v>
      </c>
      <c r="Y4">
        <v>0</v>
      </c>
      <c r="Z4">
        <v>0</v>
      </c>
      <c r="AA4">
        <v>9530</v>
      </c>
      <c r="AB4">
        <v>15320</v>
      </c>
      <c r="AC4">
        <v>0</v>
      </c>
      <c r="AD4">
        <v>8268</v>
      </c>
      <c r="AE4">
        <v>9146</v>
      </c>
      <c r="AF4">
        <v>9632</v>
      </c>
      <c r="AG4">
        <v>9492</v>
      </c>
      <c r="AH4">
        <v>370202</v>
      </c>
      <c r="AI4">
        <v>22562</v>
      </c>
      <c r="AJ4">
        <v>4980</v>
      </c>
      <c r="AK4">
        <v>10320</v>
      </c>
      <c r="AL4">
        <v>0</v>
      </c>
      <c r="AM4">
        <v>0</v>
      </c>
      <c r="AN4">
        <v>8400</v>
      </c>
      <c r="AO4">
        <v>1368</v>
      </c>
      <c r="AP4">
        <v>6212</v>
      </c>
      <c r="AQ4">
        <v>2838</v>
      </c>
      <c r="AR4">
        <v>0</v>
      </c>
      <c r="AS4">
        <v>110456</v>
      </c>
      <c r="AT4">
        <v>0</v>
      </c>
      <c r="AU4">
        <v>0</v>
      </c>
      <c r="AV4">
        <v>42747</v>
      </c>
      <c r="AW4">
        <v>1219679</v>
      </c>
    </row>
    <row r="5" spans="1:49" x14ac:dyDescent="0.35">
      <c r="A5" t="s">
        <v>138</v>
      </c>
      <c r="B5">
        <v>0</v>
      </c>
      <c r="C5">
        <v>0</v>
      </c>
      <c r="D5">
        <v>2068</v>
      </c>
      <c r="E5">
        <v>5160</v>
      </c>
      <c r="F5">
        <v>2922</v>
      </c>
      <c r="G5">
        <v>0</v>
      </c>
      <c r="H5">
        <v>0</v>
      </c>
      <c r="I5">
        <v>0</v>
      </c>
      <c r="J5">
        <v>3586</v>
      </c>
      <c r="K5">
        <v>1842</v>
      </c>
      <c r="L5">
        <v>1000</v>
      </c>
      <c r="M5">
        <v>0</v>
      </c>
      <c r="N5">
        <v>0</v>
      </c>
      <c r="O5">
        <v>752</v>
      </c>
      <c r="P5">
        <v>24138</v>
      </c>
      <c r="Q5">
        <v>1026</v>
      </c>
      <c r="R5">
        <v>15324</v>
      </c>
      <c r="S5">
        <v>886</v>
      </c>
      <c r="T5">
        <v>0</v>
      </c>
      <c r="U5">
        <v>250</v>
      </c>
      <c r="V5">
        <v>0</v>
      </c>
      <c r="W5">
        <v>4184</v>
      </c>
      <c r="X5">
        <v>0</v>
      </c>
      <c r="Y5">
        <v>0</v>
      </c>
      <c r="Z5">
        <v>3166</v>
      </c>
      <c r="AA5">
        <v>5314</v>
      </c>
      <c r="AB5">
        <v>11410</v>
      </c>
      <c r="AC5">
        <v>0</v>
      </c>
      <c r="AD5">
        <v>0</v>
      </c>
      <c r="AE5">
        <v>1136</v>
      </c>
      <c r="AF5">
        <v>0</v>
      </c>
      <c r="AG5">
        <v>1712</v>
      </c>
      <c r="AH5">
        <v>282550</v>
      </c>
      <c r="AI5">
        <v>2140</v>
      </c>
      <c r="AJ5">
        <v>4004</v>
      </c>
      <c r="AK5">
        <v>626</v>
      </c>
      <c r="AL5">
        <v>0</v>
      </c>
      <c r="AM5">
        <v>0</v>
      </c>
      <c r="AN5">
        <v>0</v>
      </c>
      <c r="AO5">
        <v>178</v>
      </c>
      <c r="AP5">
        <v>0</v>
      </c>
      <c r="AQ5">
        <v>1922</v>
      </c>
      <c r="AR5">
        <v>0</v>
      </c>
      <c r="AS5">
        <v>19604</v>
      </c>
      <c r="AT5">
        <v>2568</v>
      </c>
      <c r="AU5">
        <v>6666</v>
      </c>
      <c r="AV5">
        <v>0</v>
      </c>
      <c r="AW5">
        <v>406134</v>
      </c>
    </row>
    <row r="6" spans="1:49" x14ac:dyDescent="0.35">
      <c r="A6" t="s">
        <v>82</v>
      </c>
      <c r="B6">
        <v>884</v>
      </c>
      <c r="C6">
        <v>188</v>
      </c>
      <c r="D6">
        <v>1600</v>
      </c>
      <c r="E6">
        <v>17091</v>
      </c>
      <c r="F6">
        <v>319</v>
      </c>
      <c r="G6">
        <v>29</v>
      </c>
      <c r="H6">
        <v>0</v>
      </c>
      <c r="I6">
        <v>1687</v>
      </c>
      <c r="J6">
        <v>0</v>
      </c>
      <c r="K6">
        <v>1839</v>
      </c>
      <c r="L6">
        <v>432</v>
      </c>
      <c r="M6">
        <v>0</v>
      </c>
      <c r="N6">
        <v>81</v>
      </c>
      <c r="O6">
        <v>0</v>
      </c>
      <c r="P6">
        <v>2</v>
      </c>
      <c r="Q6">
        <v>78</v>
      </c>
      <c r="R6">
        <v>440</v>
      </c>
      <c r="S6">
        <v>0</v>
      </c>
      <c r="T6">
        <v>0</v>
      </c>
      <c r="U6">
        <v>0</v>
      </c>
      <c r="V6">
        <v>93</v>
      </c>
      <c r="W6">
        <v>170</v>
      </c>
      <c r="X6">
        <v>221</v>
      </c>
      <c r="Y6">
        <v>0</v>
      </c>
      <c r="Z6">
        <v>0</v>
      </c>
      <c r="AA6">
        <v>0</v>
      </c>
      <c r="AB6">
        <v>20035</v>
      </c>
      <c r="AC6">
        <v>0</v>
      </c>
      <c r="AD6">
        <v>1159</v>
      </c>
      <c r="AE6">
        <v>0</v>
      </c>
      <c r="AF6">
        <v>0</v>
      </c>
      <c r="AG6">
        <v>0</v>
      </c>
      <c r="AH6">
        <v>459</v>
      </c>
      <c r="AI6">
        <v>0</v>
      </c>
      <c r="AJ6">
        <v>0</v>
      </c>
      <c r="AK6">
        <v>0</v>
      </c>
      <c r="AL6">
        <v>0</v>
      </c>
      <c r="AM6">
        <v>27</v>
      </c>
      <c r="AN6">
        <v>0</v>
      </c>
      <c r="AO6">
        <v>0</v>
      </c>
      <c r="AP6">
        <v>119</v>
      </c>
      <c r="AQ6">
        <v>0</v>
      </c>
      <c r="AR6">
        <v>1200</v>
      </c>
      <c r="AS6">
        <v>0</v>
      </c>
      <c r="AT6">
        <v>2355</v>
      </c>
      <c r="AU6">
        <v>0</v>
      </c>
      <c r="AV6">
        <v>0</v>
      </c>
      <c r="AW6">
        <v>50508</v>
      </c>
    </row>
    <row r="7" spans="1:49" x14ac:dyDescent="0.35">
      <c r="A7" t="s">
        <v>60</v>
      </c>
      <c r="B7">
        <v>181</v>
      </c>
      <c r="C7">
        <v>11</v>
      </c>
      <c r="D7">
        <v>234</v>
      </c>
      <c r="E7">
        <v>466</v>
      </c>
      <c r="F7">
        <v>66</v>
      </c>
      <c r="G7">
        <v>10</v>
      </c>
      <c r="H7">
        <v>0</v>
      </c>
      <c r="I7">
        <v>404</v>
      </c>
      <c r="J7">
        <v>0</v>
      </c>
      <c r="K7">
        <v>1037</v>
      </c>
      <c r="L7">
        <v>301</v>
      </c>
      <c r="M7">
        <v>0</v>
      </c>
      <c r="N7">
        <v>25</v>
      </c>
      <c r="O7">
        <v>0</v>
      </c>
      <c r="P7">
        <v>2</v>
      </c>
      <c r="Q7">
        <v>23</v>
      </c>
      <c r="R7">
        <v>80</v>
      </c>
      <c r="S7">
        <v>0</v>
      </c>
      <c r="T7">
        <v>6433</v>
      </c>
      <c r="U7">
        <v>0</v>
      </c>
      <c r="V7">
        <v>3</v>
      </c>
      <c r="W7">
        <v>178</v>
      </c>
      <c r="X7">
        <v>57</v>
      </c>
      <c r="Y7">
        <v>0</v>
      </c>
      <c r="Z7">
        <v>0</v>
      </c>
      <c r="AA7">
        <v>0</v>
      </c>
      <c r="AB7">
        <v>0</v>
      </c>
      <c r="AC7">
        <v>0</v>
      </c>
      <c r="AD7">
        <v>312</v>
      </c>
      <c r="AE7">
        <v>0</v>
      </c>
      <c r="AF7">
        <v>0</v>
      </c>
      <c r="AG7">
        <v>0</v>
      </c>
      <c r="AH7">
        <v>56</v>
      </c>
      <c r="AI7">
        <v>0</v>
      </c>
      <c r="AJ7">
        <v>0</v>
      </c>
      <c r="AK7">
        <v>0</v>
      </c>
      <c r="AL7">
        <v>0</v>
      </c>
      <c r="AM7">
        <v>225</v>
      </c>
      <c r="AN7">
        <v>0</v>
      </c>
      <c r="AO7">
        <v>0</v>
      </c>
      <c r="AP7">
        <v>14</v>
      </c>
      <c r="AQ7">
        <v>0</v>
      </c>
      <c r="AR7">
        <v>0</v>
      </c>
      <c r="AS7">
        <v>0</v>
      </c>
      <c r="AT7">
        <v>1090</v>
      </c>
      <c r="AU7">
        <v>0</v>
      </c>
      <c r="AV7">
        <v>0</v>
      </c>
      <c r="AW7">
        <v>11208</v>
      </c>
    </row>
    <row r="8" spans="1:49" x14ac:dyDescent="0.35">
      <c r="A8" t="s">
        <v>127</v>
      </c>
      <c r="S8">
        <v>6700</v>
      </c>
      <c r="AJ8">
        <v>5</v>
      </c>
      <c r="AK8">
        <v>14622</v>
      </c>
      <c r="AW8">
        <v>21327</v>
      </c>
    </row>
    <row r="9" spans="1:49" x14ac:dyDescent="0.35">
      <c r="A9" t="s">
        <v>61</v>
      </c>
      <c r="B9">
        <v>32</v>
      </c>
      <c r="C9">
        <v>42</v>
      </c>
      <c r="D9">
        <v>0</v>
      </c>
      <c r="E9">
        <v>940</v>
      </c>
      <c r="F9">
        <v>13</v>
      </c>
      <c r="G9">
        <v>11</v>
      </c>
      <c r="H9">
        <v>0</v>
      </c>
      <c r="I9">
        <v>0</v>
      </c>
      <c r="J9">
        <v>0</v>
      </c>
      <c r="K9">
        <v>0</v>
      </c>
      <c r="L9">
        <v>0</v>
      </c>
      <c r="M9">
        <v>0</v>
      </c>
      <c r="N9">
        <v>0</v>
      </c>
      <c r="O9">
        <v>0</v>
      </c>
      <c r="P9">
        <v>0</v>
      </c>
      <c r="Q9">
        <v>4</v>
      </c>
      <c r="R9">
        <v>19</v>
      </c>
      <c r="S9">
        <v>0</v>
      </c>
      <c r="T9">
        <v>3652</v>
      </c>
      <c r="U9">
        <v>0</v>
      </c>
      <c r="V9">
        <v>0</v>
      </c>
      <c r="W9">
        <v>0</v>
      </c>
      <c r="X9">
        <v>8</v>
      </c>
      <c r="Y9">
        <v>0</v>
      </c>
      <c r="Z9">
        <v>0</v>
      </c>
      <c r="AA9">
        <v>0</v>
      </c>
      <c r="AB9">
        <v>0</v>
      </c>
      <c r="AC9">
        <v>4</v>
      </c>
      <c r="AD9">
        <v>202</v>
      </c>
      <c r="AE9">
        <v>0</v>
      </c>
      <c r="AF9">
        <v>0</v>
      </c>
      <c r="AG9">
        <v>0</v>
      </c>
      <c r="AH9">
        <v>44</v>
      </c>
      <c r="AI9">
        <v>0</v>
      </c>
      <c r="AJ9">
        <v>0</v>
      </c>
      <c r="AK9">
        <v>0</v>
      </c>
      <c r="AL9">
        <v>0</v>
      </c>
      <c r="AM9">
        <v>0</v>
      </c>
      <c r="AN9">
        <v>0</v>
      </c>
      <c r="AO9">
        <v>0</v>
      </c>
      <c r="AP9">
        <v>0</v>
      </c>
      <c r="AQ9">
        <v>0</v>
      </c>
      <c r="AR9">
        <v>0</v>
      </c>
      <c r="AS9">
        <v>0</v>
      </c>
      <c r="AT9">
        <v>0</v>
      </c>
      <c r="AU9">
        <v>0</v>
      </c>
      <c r="AV9">
        <v>0</v>
      </c>
      <c r="AW9">
        <v>4971</v>
      </c>
    </row>
    <row r="10" spans="1:49" x14ac:dyDescent="0.35">
      <c r="A10" t="s">
        <v>62</v>
      </c>
      <c r="B10">
        <v>177</v>
      </c>
      <c r="C10">
        <v>96</v>
      </c>
      <c r="D10">
        <v>0</v>
      </c>
      <c r="E10">
        <v>2367</v>
      </c>
      <c r="F10">
        <v>208</v>
      </c>
      <c r="G10">
        <v>0</v>
      </c>
      <c r="H10">
        <v>0</v>
      </c>
      <c r="I10">
        <v>0</v>
      </c>
      <c r="J10">
        <v>0</v>
      </c>
      <c r="K10">
        <v>2324</v>
      </c>
      <c r="L10">
        <v>0</v>
      </c>
      <c r="M10">
        <v>0</v>
      </c>
      <c r="N10">
        <v>304</v>
      </c>
      <c r="O10">
        <v>0</v>
      </c>
      <c r="P10">
        <v>64</v>
      </c>
      <c r="Q10">
        <v>29</v>
      </c>
      <c r="R10">
        <v>160</v>
      </c>
      <c r="S10">
        <v>0</v>
      </c>
      <c r="T10">
        <v>3831</v>
      </c>
      <c r="U10">
        <v>0</v>
      </c>
      <c r="V10">
        <v>0</v>
      </c>
      <c r="W10">
        <v>146</v>
      </c>
      <c r="X10">
        <v>344</v>
      </c>
      <c r="Y10">
        <v>0</v>
      </c>
      <c r="Z10">
        <v>0</v>
      </c>
      <c r="AA10">
        <v>0</v>
      </c>
      <c r="AB10">
        <v>0</v>
      </c>
      <c r="AC10">
        <v>0</v>
      </c>
      <c r="AD10">
        <v>1796</v>
      </c>
      <c r="AE10">
        <v>0</v>
      </c>
      <c r="AF10">
        <v>0</v>
      </c>
      <c r="AG10">
        <v>0</v>
      </c>
      <c r="AH10">
        <v>311</v>
      </c>
      <c r="AI10">
        <v>0</v>
      </c>
      <c r="AJ10">
        <v>0</v>
      </c>
      <c r="AK10">
        <v>0</v>
      </c>
      <c r="AL10">
        <v>0</v>
      </c>
      <c r="AM10">
        <v>0</v>
      </c>
      <c r="AN10">
        <v>0</v>
      </c>
      <c r="AO10">
        <v>0</v>
      </c>
      <c r="AP10">
        <v>0</v>
      </c>
      <c r="AQ10">
        <v>0</v>
      </c>
      <c r="AR10">
        <v>0</v>
      </c>
      <c r="AS10">
        <v>5112</v>
      </c>
      <c r="AT10">
        <v>0</v>
      </c>
      <c r="AU10">
        <v>0</v>
      </c>
      <c r="AV10">
        <v>0</v>
      </c>
      <c r="AW10">
        <v>17269</v>
      </c>
    </row>
    <row r="11" spans="1:49" x14ac:dyDescent="0.35">
      <c r="A11" t="s">
        <v>203</v>
      </c>
      <c r="B11">
        <v>0</v>
      </c>
      <c r="C11">
        <v>0</v>
      </c>
      <c r="D11">
        <v>0</v>
      </c>
      <c r="E11">
        <v>0</v>
      </c>
      <c r="F11">
        <v>0</v>
      </c>
      <c r="G11">
        <v>0</v>
      </c>
      <c r="H11">
        <v>0</v>
      </c>
      <c r="I11">
        <v>0</v>
      </c>
      <c r="J11">
        <v>0</v>
      </c>
      <c r="K11">
        <v>565</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2249</v>
      </c>
      <c r="AR11">
        <v>0</v>
      </c>
      <c r="AS11">
        <v>0</v>
      </c>
      <c r="AT11">
        <v>0</v>
      </c>
      <c r="AU11">
        <v>0</v>
      </c>
      <c r="AV11">
        <v>551</v>
      </c>
      <c r="AW11">
        <v>3365</v>
      </c>
    </row>
    <row r="12" spans="1:49" x14ac:dyDescent="0.35">
      <c r="A12" t="s">
        <v>204</v>
      </c>
      <c r="AV12">
        <v>257</v>
      </c>
      <c r="AW12">
        <v>257</v>
      </c>
    </row>
    <row r="13" spans="1:49" x14ac:dyDescent="0.35">
      <c r="A13" t="s">
        <v>205</v>
      </c>
      <c r="B13">
        <v>0</v>
      </c>
      <c r="C13">
        <v>0</v>
      </c>
      <c r="D13">
        <v>0</v>
      </c>
      <c r="E13">
        <v>0</v>
      </c>
      <c r="F13">
        <v>0</v>
      </c>
      <c r="G13">
        <v>0</v>
      </c>
      <c r="H13">
        <v>0</v>
      </c>
      <c r="I13">
        <v>0</v>
      </c>
      <c r="J13">
        <v>0</v>
      </c>
      <c r="K13">
        <v>0</v>
      </c>
      <c r="L13">
        <v>0</v>
      </c>
      <c r="M13">
        <v>0</v>
      </c>
      <c r="N13">
        <v>0</v>
      </c>
      <c r="O13">
        <v>0</v>
      </c>
      <c r="P13">
        <v>0</v>
      </c>
      <c r="Q13">
        <v>33</v>
      </c>
      <c r="R13">
        <v>30</v>
      </c>
      <c r="S13">
        <v>0</v>
      </c>
      <c r="T13">
        <v>0</v>
      </c>
      <c r="U13">
        <v>4</v>
      </c>
      <c r="V13">
        <v>0</v>
      </c>
      <c r="W13">
        <v>0</v>
      </c>
      <c r="X13">
        <v>0</v>
      </c>
      <c r="Y13">
        <v>0</v>
      </c>
      <c r="Z13">
        <v>0</v>
      </c>
      <c r="AA13">
        <v>0</v>
      </c>
      <c r="AB13">
        <v>0</v>
      </c>
      <c r="AC13">
        <v>0</v>
      </c>
      <c r="AD13">
        <v>0</v>
      </c>
      <c r="AE13">
        <v>0</v>
      </c>
      <c r="AF13">
        <v>0</v>
      </c>
      <c r="AG13">
        <v>0</v>
      </c>
      <c r="AH13">
        <v>0</v>
      </c>
      <c r="AI13">
        <v>0</v>
      </c>
      <c r="AJ13">
        <v>57</v>
      </c>
      <c r="AK13">
        <v>0</v>
      </c>
      <c r="AL13">
        <v>0</v>
      </c>
      <c r="AM13">
        <v>0</v>
      </c>
      <c r="AN13">
        <v>0</v>
      </c>
      <c r="AO13">
        <v>0</v>
      </c>
      <c r="AP13">
        <v>0</v>
      </c>
      <c r="AQ13">
        <v>50</v>
      </c>
      <c r="AR13">
        <v>0</v>
      </c>
      <c r="AS13">
        <v>0</v>
      </c>
      <c r="AT13">
        <v>0</v>
      </c>
      <c r="AU13">
        <v>0</v>
      </c>
      <c r="AV13">
        <v>17</v>
      </c>
      <c r="AW13">
        <v>191</v>
      </c>
    </row>
    <row r="14" spans="1:49" x14ac:dyDescent="0.35">
      <c r="A14" t="s">
        <v>133</v>
      </c>
      <c r="U14">
        <v>158</v>
      </c>
      <c r="AQ14">
        <v>276</v>
      </c>
      <c r="AT14">
        <v>4802</v>
      </c>
      <c r="AU14">
        <v>921</v>
      </c>
      <c r="AW14">
        <v>6157</v>
      </c>
    </row>
    <row r="15" spans="1:49" x14ac:dyDescent="0.35">
      <c r="A15" t="s">
        <v>206</v>
      </c>
    </row>
    <row r="16" spans="1:49" x14ac:dyDescent="0.35">
      <c r="A16" t="s">
        <v>136</v>
      </c>
      <c r="D16">
        <v>234</v>
      </c>
      <c r="Q16">
        <v>66</v>
      </c>
      <c r="S16">
        <v>8</v>
      </c>
      <c r="AJ16">
        <v>78</v>
      </c>
      <c r="AQ16">
        <v>112</v>
      </c>
      <c r="AT16">
        <v>8484</v>
      </c>
      <c r="AU16">
        <v>419</v>
      </c>
      <c r="AV16">
        <v>320</v>
      </c>
      <c r="AW16">
        <v>9721</v>
      </c>
    </row>
    <row r="17" spans="1:49" x14ac:dyDescent="0.35">
      <c r="A17" t="s">
        <v>207</v>
      </c>
      <c r="AV17">
        <v>678</v>
      </c>
      <c r="AW17">
        <v>678</v>
      </c>
    </row>
    <row r="18" spans="1:49" x14ac:dyDescent="0.35">
      <c r="A18" t="s">
        <v>141</v>
      </c>
      <c r="AQ18">
        <v>2</v>
      </c>
      <c r="AT18">
        <v>3725</v>
      </c>
      <c r="AV18">
        <v>13</v>
      </c>
      <c r="AW18">
        <v>3740</v>
      </c>
    </row>
    <row r="19" spans="1:49" x14ac:dyDescent="0.35">
      <c r="A19" t="s">
        <v>208</v>
      </c>
      <c r="AQ19">
        <v>1340</v>
      </c>
      <c r="AW19">
        <v>1340</v>
      </c>
    </row>
    <row r="20" spans="1:49" x14ac:dyDescent="0.35">
      <c r="A20" t="s">
        <v>209</v>
      </c>
      <c r="AQ20">
        <v>1264</v>
      </c>
      <c r="AW20">
        <v>1264</v>
      </c>
    </row>
    <row r="21" spans="1:49" x14ac:dyDescent="0.35">
      <c r="A21" t="s">
        <v>134</v>
      </c>
      <c r="D21">
        <v>1166</v>
      </c>
      <c r="Q21">
        <v>287</v>
      </c>
      <c r="S21">
        <v>209</v>
      </c>
      <c r="U21">
        <v>16</v>
      </c>
      <c r="AE21">
        <v>397</v>
      </c>
      <c r="AJ21">
        <v>37</v>
      </c>
      <c r="AQ21">
        <v>129</v>
      </c>
      <c r="AT21">
        <v>5377</v>
      </c>
      <c r="AV21">
        <v>600</v>
      </c>
      <c r="AW21">
        <v>8218</v>
      </c>
    </row>
    <row r="22" spans="1:49" x14ac:dyDescent="0.35">
      <c r="A22" t="s">
        <v>142</v>
      </c>
      <c r="U22">
        <v>11</v>
      </c>
      <c r="AE22">
        <v>1159</v>
      </c>
      <c r="AQ22">
        <v>638</v>
      </c>
      <c r="AU22">
        <v>1814</v>
      </c>
      <c r="AV22">
        <v>130</v>
      </c>
      <c r="AW22">
        <v>3752</v>
      </c>
    </row>
    <row r="23" spans="1:49" x14ac:dyDescent="0.35">
      <c r="A23" t="s">
        <v>83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152</v>
      </c>
      <c r="AR23">
        <v>0</v>
      </c>
      <c r="AS23">
        <v>0</v>
      </c>
      <c r="AT23">
        <v>7451</v>
      </c>
      <c r="AU23">
        <v>432</v>
      </c>
      <c r="AV23">
        <v>432</v>
      </c>
      <c r="AW23">
        <v>8467</v>
      </c>
    </row>
    <row r="24" spans="1:49" x14ac:dyDescent="0.35">
      <c r="A24" t="s">
        <v>84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14</v>
      </c>
      <c r="AR24">
        <v>0</v>
      </c>
      <c r="AS24">
        <v>0</v>
      </c>
      <c r="AT24">
        <v>0</v>
      </c>
      <c r="AU24">
        <v>0</v>
      </c>
      <c r="AV24">
        <v>0</v>
      </c>
      <c r="AW24">
        <v>14</v>
      </c>
    </row>
    <row r="25" spans="1:49" x14ac:dyDescent="0.35">
      <c r="A25" t="s">
        <v>126</v>
      </c>
      <c r="AQ25">
        <v>9</v>
      </c>
      <c r="AT25">
        <v>3140</v>
      </c>
      <c r="AW25">
        <v>3149</v>
      </c>
    </row>
    <row r="26" spans="1:49" x14ac:dyDescent="0.35">
      <c r="A26" t="s">
        <v>87</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row>
    <row r="29" spans="1:49" x14ac:dyDescent="0.35">
      <c r="B29" t="s">
        <v>0</v>
      </c>
      <c r="C29" t="s">
        <v>210</v>
      </c>
      <c r="D29" t="s">
        <v>211</v>
      </c>
      <c r="E29">
        <v>2012</v>
      </c>
    </row>
    <row r="30" spans="1:49" x14ac:dyDescent="0.35">
      <c r="B30" t="str">
        <f>B1</f>
        <v>AGO</v>
      </c>
      <c r="C30">
        <f>B2</f>
        <v>29154745.500000007</v>
      </c>
      <c r="D30" t="str">
        <f t="shared" ref="D30:D52" si="0">A3</f>
        <v>Medical Doctors</v>
      </c>
      <c r="E30">
        <f t="shared" ref="E30:E52" si="1">B3</f>
        <v>0</v>
      </c>
    </row>
    <row r="31" spans="1:49" x14ac:dyDescent="0.35">
      <c r="D31" t="str">
        <f t="shared" si="0"/>
        <v>Nursing Personnel</v>
      </c>
      <c r="E31">
        <f t="shared" si="1"/>
        <v>0</v>
      </c>
    </row>
    <row r="32" spans="1:49" x14ac:dyDescent="0.35">
      <c r="D32" t="str">
        <f t="shared" si="0"/>
        <v>Midwifery personnel</v>
      </c>
      <c r="E32">
        <f t="shared" si="1"/>
        <v>0</v>
      </c>
    </row>
    <row r="33" spans="4:5" x14ac:dyDescent="0.35">
      <c r="D33" t="str">
        <f t="shared" si="0"/>
        <v>Pharmacists</v>
      </c>
      <c r="E33">
        <f t="shared" si="1"/>
        <v>884</v>
      </c>
    </row>
    <row r="34" spans="4:5" x14ac:dyDescent="0.35">
      <c r="D34" t="str">
        <f t="shared" si="0"/>
        <v>Dentists</v>
      </c>
      <c r="E34">
        <f t="shared" si="1"/>
        <v>181</v>
      </c>
    </row>
    <row r="35" spans="4:5" x14ac:dyDescent="0.35">
      <c r="D35" t="str">
        <f t="shared" si="0"/>
        <v xml:space="preserve">Community Health Workers </v>
      </c>
      <c r="E35">
        <f t="shared" si="1"/>
        <v>0</v>
      </c>
    </row>
    <row r="36" spans="4:5" x14ac:dyDescent="0.35">
      <c r="D36" t="str">
        <f t="shared" si="0"/>
        <v>Dieticians and nutritionists</v>
      </c>
      <c r="E36">
        <f t="shared" si="1"/>
        <v>32</v>
      </c>
    </row>
    <row r="37" spans="4:5" x14ac:dyDescent="0.35">
      <c r="D37" t="str">
        <f t="shared" si="0"/>
        <v>Environmental and occupational health &amp; hygiene workers</v>
      </c>
      <c r="E37">
        <f t="shared" si="1"/>
        <v>177</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10903327.500000004</v>
      </c>
      <c r="D54" t="str">
        <f t="shared" ref="D54:D117" si="3">D30</f>
        <v>Medical Doctors</v>
      </c>
      <c r="E54">
        <f t="shared" ref="E54:E77" si="4">C3</f>
        <v>0</v>
      </c>
    </row>
    <row r="55" spans="2:5" x14ac:dyDescent="0.35">
      <c r="D55" t="str">
        <f t="shared" si="3"/>
        <v>Nursing Personnel</v>
      </c>
      <c r="E55">
        <f t="shared" si="4"/>
        <v>0</v>
      </c>
    </row>
    <row r="56" spans="2:5" x14ac:dyDescent="0.35">
      <c r="D56" t="str">
        <f t="shared" si="3"/>
        <v>Midwifery personnel</v>
      </c>
      <c r="E56">
        <f t="shared" si="4"/>
        <v>0</v>
      </c>
    </row>
    <row r="57" spans="2:5" x14ac:dyDescent="0.35">
      <c r="D57" t="str">
        <f t="shared" si="3"/>
        <v>Pharmacists</v>
      </c>
      <c r="E57">
        <f t="shared" si="4"/>
        <v>188</v>
      </c>
    </row>
    <row r="58" spans="2:5" x14ac:dyDescent="0.35">
      <c r="D58" t="str">
        <f t="shared" si="3"/>
        <v>Dentists</v>
      </c>
      <c r="E58">
        <f t="shared" si="4"/>
        <v>11</v>
      </c>
    </row>
    <row r="59" spans="2:5" x14ac:dyDescent="0.35">
      <c r="D59" t="str">
        <f t="shared" si="3"/>
        <v xml:space="preserve">Community Health Workers </v>
      </c>
      <c r="E59">
        <f t="shared" si="4"/>
        <v>0</v>
      </c>
    </row>
    <row r="60" spans="2:5" x14ac:dyDescent="0.35">
      <c r="D60" t="str">
        <f t="shared" si="3"/>
        <v>Dieticians and nutritionists</v>
      </c>
      <c r="E60">
        <f t="shared" si="4"/>
        <v>42</v>
      </c>
    </row>
    <row r="61" spans="2:5" x14ac:dyDescent="0.35">
      <c r="D61" t="str">
        <f t="shared" si="3"/>
        <v>Environmental and occupational health &amp; hygiene workers</v>
      </c>
      <c r="E61">
        <f t="shared" si="4"/>
        <v>96</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11260084.499999996</v>
      </c>
      <c r="D78" t="str">
        <f t="shared" si="3"/>
        <v>Medical Doctors</v>
      </c>
      <c r="E78">
        <f t="shared" ref="E78:E101" si="5">D3</f>
        <v>1046</v>
      </c>
    </row>
    <row r="79" spans="2:5" x14ac:dyDescent="0.35">
      <c r="D79" t="str">
        <f t="shared" si="3"/>
        <v>Nursing Personnel</v>
      </c>
      <c r="E79">
        <f t="shared" si="5"/>
        <v>14448</v>
      </c>
    </row>
    <row r="80" spans="2:5" x14ac:dyDescent="0.35">
      <c r="D80" t="str">
        <f t="shared" si="3"/>
        <v>Midwifery personnel</v>
      </c>
      <c r="E80">
        <f t="shared" si="5"/>
        <v>2068</v>
      </c>
    </row>
    <row r="81" spans="4:5" x14ac:dyDescent="0.35">
      <c r="D81" t="str">
        <f t="shared" si="3"/>
        <v>Pharmacists</v>
      </c>
      <c r="E81">
        <f t="shared" si="5"/>
        <v>1600</v>
      </c>
    </row>
    <row r="82" spans="4:5" x14ac:dyDescent="0.35">
      <c r="D82" t="str">
        <f t="shared" si="3"/>
        <v>Dentists</v>
      </c>
      <c r="E82">
        <f t="shared" si="5"/>
        <v>234</v>
      </c>
    </row>
    <row r="83" spans="4:5" x14ac:dyDescent="0.35">
      <c r="D83" t="str">
        <f t="shared" si="3"/>
        <v xml:space="preserve">Community Health Workers </v>
      </c>
      <c r="E83">
        <f t="shared" si="5"/>
        <v>0</v>
      </c>
    </row>
    <row r="84" spans="4:5" x14ac:dyDescent="0.35">
      <c r="D84" t="str">
        <f t="shared" si="3"/>
        <v>Dieticians and nutritionists</v>
      </c>
      <c r="E84">
        <f t="shared" si="5"/>
        <v>0</v>
      </c>
    </row>
    <row r="85" spans="4:5" x14ac:dyDescent="0.35">
      <c r="D85" t="str">
        <f t="shared" si="3"/>
        <v>Environmental and occupational health &amp; hygiene workers</v>
      </c>
      <c r="E85">
        <f t="shared" si="5"/>
        <v>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234</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1166</v>
      </c>
    </row>
    <row r="97" spans="2:5" x14ac:dyDescent="0.35">
      <c r="D97" t="str">
        <f t="shared" si="3"/>
        <v xml:space="preserve">Paramedical Practitioners </v>
      </c>
      <c r="E97">
        <f t="shared" si="5"/>
        <v>0</v>
      </c>
    </row>
    <row r="98" spans="2:5" x14ac:dyDescent="0.35">
      <c r="D98" t="str">
        <f t="shared" si="3"/>
        <v>Physiotherapists and physiotherapy assistants</v>
      </c>
      <c r="E98">
        <f t="shared" si="5"/>
        <v>0</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19275497.999999981</v>
      </c>
      <c r="D102" s="29" t="str">
        <f t="shared" si="3"/>
        <v>Medical Doctors</v>
      </c>
      <c r="E102">
        <f t="shared" ref="E102:E125" si="6">E3</f>
        <v>2404</v>
      </c>
    </row>
    <row r="103" spans="2:5" x14ac:dyDescent="0.35">
      <c r="D103" s="29" t="str">
        <f t="shared" si="3"/>
        <v>Nursing Personnel</v>
      </c>
      <c r="E103">
        <f t="shared" si="6"/>
        <v>19402</v>
      </c>
    </row>
    <row r="104" spans="2:5" x14ac:dyDescent="0.35">
      <c r="D104" s="29" t="str">
        <f t="shared" si="3"/>
        <v>Midwifery personnel</v>
      </c>
      <c r="E104">
        <f t="shared" si="6"/>
        <v>5160</v>
      </c>
    </row>
    <row r="105" spans="2:5" x14ac:dyDescent="0.35">
      <c r="D105" s="29" t="str">
        <f t="shared" si="3"/>
        <v>Pharmacists</v>
      </c>
      <c r="E105">
        <f t="shared" si="6"/>
        <v>17091</v>
      </c>
    </row>
    <row r="106" spans="2:5" x14ac:dyDescent="0.35">
      <c r="D106" s="29" t="str">
        <f t="shared" si="3"/>
        <v>Dentists</v>
      </c>
      <c r="E106">
        <f t="shared" si="6"/>
        <v>466</v>
      </c>
    </row>
    <row r="107" spans="2:5" x14ac:dyDescent="0.35">
      <c r="D107" s="29" t="str">
        <f t="shared" si="3"/>
        <v xml:space="preserve">Community Health Workers </v>
      </c>
      <c r="E107">
        <f t="shared" si="6"/>
        <v>0</v>
      </c>
    </row>
    <row r="108" spans="2:5" x14ac:dyDescent="0.35">
      <c r="D108" s="29" t="str">
        <f t="shared" si="3"/>
        <v>Dieticians and nutritionists</v>
      </c>
      <c r="E108">
        <f t="shared" si="6"/>
        <v>940</v>
      </c>
    </row>
    <row r="109" spans="2:5" x14ac:dyDescent="0.35">
      <c r="D109" s="29" t="str">
        <f t="shared" si="3"/>
        <v>Environmental and occupational health &amp; hygiene workers</v>
      </c>
      <c r="E109">
        <f t="shared" si="6"/>
        <v>2367</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0</v>
      </c>
    </row>
    <row r="113" spans="2:5" x14ac:dyDescent="0.35">
      <c r="D113" s="29" t="str">
        <f t="shared" si="3"/>
        <v xml:space="preserve">Medical and Pathology Laboratory scientists </v>
      </c>
      <c r="E113">
        <f t="shared" si="6"/>
        <v>0</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0</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0</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0</v>
      </c>
    </row>
    <row r="123" spans="2:5" x14ac:dyDescent="0.35">
      <c r="D123" s="29" t="str">
        <f t="shared" si="7"/>
        <v>Social workers</v>
      </c>
      <c r="E123">
        <f t="shared" si="6"/>
        <v>0</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0</v>
      </c>
    </row>
    <row r="126" spans="2:5" x14ac:dyDescent="0.35">
      <c r="B126" t="str">
        <f>F1</f>
        <v>BWA</v>
      </c>
      <c r="C126">
        <f>F2</f>
        <v>2352415.5000000005</v>
      </c>
      <c r="D126" s="29" t="str">
        <f t="shared" si="7"/>
        <v>Medical Doctors</v>
      </c>
      <c r="E126">
        <f t="shared" ref="E126:E149" si="8">F3</f>
        <v>1671</v>
      </c>
    </row>
    <row r="127" spans="2:5" x14ac:dyDescent="0.35">
      <c r="D127" s="29" t="str">
        <f t="shared" si="7"/>
        <v>Nursing Personnel</v>
      </c>
      <c r="E127">
        <f t="shared" si="8"/>
        <v>14854</v>
      </c>
    </row>
    <row r="128" spans="2:5" x14ac:dyDescent="0.35">
      <c r="D128" s="29" t="str">
        <f t="shared" si="7"/>
        <v>Midwifery personnel</v>
      </c>
      <c r="E128">
        <f t="shared" si="8"/>
        <v>2922</v>
      </c>
    </row>
    <row r="129" spans="4:5" x14ac:dyDescent="0.35">
      <c r="D129" s="29" t="str">
        <f t="shared" si="7"/>
        <v>Pharmacists</v>
      </c>
      <c r="E129">
        <f t="shared" si="8"/>
        <v>319</v>
      </c>
    </row>
    <row r="130" spans="4:5" x14ac:dyDescent="0.35">
      <c r="D130" s="29" t="str">
        <f t="shared" si="7"/>
        <v>Dentists</v>
      </c>
      <c r="E130">
        <f t="shared" si="8"/>
        <v>66</v>
      </c>
    </row>
    <row r="131" spans="4:5" x14ac:dyDescent="0.35">
      <c r="D131" s="29" t="str">
        <f t="shared" si="7"/>
        <v xml:space="preserve">Community Health Workers </v>
      </c>
      <c r="E131">
        <f t="shared" si="8"/>
        <v>0</v>
      </c>
    </row>
    <row r="132" spans="4:5" x14ac:dyDescent="0.35">
      <c r="D132" s="29" t="str">
        <f t="shared" si="7"/>
        <v>Dieticians and nutritionists</v>
      </c>
      <c r="E132">
        <f t="shared" si="8"/>
        <v>13</v>
      </c>
    </row>
    <row r="133" spans="4:5" x14ac:dyDescent="0.35">
      <c r="D133" s="29" t="str">
        <f t="shared" si="7"/>
        <v>Environmental and occupational health &amp; hygiene workers</v>
      </c>
      <c r="E133">
        <f t="shared" si="8"/>
        <v>208</v>
      </c>
    </row>
    <row r="134" spans="4:5" x14ac:dyDescent="0.35">
      <c r="D134" s="29" t="str">
        <f t="shared" si="7"/>
        <v>Personal care workers in health service</v>
      </c>
      <c r="E134">
        <f t="shared" si="8"/>
        <v>0</v>
      </c>
    </row>
    <row r="135" spans="4:5" x14ac:dyDescent="0.35">
      <c r="D135" s="29" t="str">
        <f t="shared" si="7"/>
        <v xml:space="preserve">Managerial staff </v>
      </c>
      <c r="E135">
        <f t="shared" si="8"/>
        <v>0</v>
      </c>
    </row>
    <row r="136" spans="4:5" x14ac:dyDescent="0.35">
      <c r="D136" s="29" t="str">
        <f t="shared" si="7"/>
        <v xml:space="preserve">Medical and dental Prosthetic Technicians </v>
      </c>
      <c r="E136">
        <f t="shared" si="8"/>
        <v>0</v>
      </c>
    </row>
    <row r="137" spans="4:5" x14ac:dyDescent="0.35">
      <c r="D137" s="29" t="str">
        <f t="shared" si="7"/>
        <v xml:space="preserve">Medical and Pathology Laboratory scientists </v>
      </c>
      <c r="E137">
        <f t="shared" si="8"/>
        <v>0</v>
      </c>
    </row>
    <row r="138" spans="4:5" x14ac:dyDescent="0.35">
      <c r="D138" s="29" t="str">
        <f t="shared" si="7"/>
        <v xml:space="preserve">Medical Assistants </v>
      </c>
      <c r="E138">
        <f t="shared" si="8"/>
        <v>0</v>
      </c>
    </row>
    <row r="139" spans="4:5" x14ac:dyDescent="0.35">
      <c r="D139" s="29" t="str">
        <f t="shared" si="7"/>
        <v xml:space="preserve">Medical Imaging and Therapeutic Equipment Technicians </v>
      </c>
      <c r="E139">
        <f t="shared" si="8"/>
        <v>0</v>
      </c>
    </row>
    <row r="140" spans="4:5" x14ac:dyDescent="0.35">
      <c r="D140" s="29" t="str">
        <f t="shared" si="7"/>
        <v xml:space="preserve">Medical Records and Health Information Technicians </v>
      </c>
      <c r="E140">
        <f t="shared" si="8"/>
        <v>0</v>
      </c>
    </row>
    <row r="141" spans="4:5" x14ac:dyDescent="0.35">
      <c r="D141" s="29" t="str">
        <f t="shared" si="7"/>
        <v xml:space="preserve">Optometrists and Ophthalmic Opticians </v>
      </c>
      <c r="E141">
        <f t="shared" si="8"/>
        <v>0</v>
      </c>
    </row>
    <row r="142" spans="4:5" x14ac:dyDescent="0.35">
      <c r="D142" s="29" t="str">
        <f t="shared" si="7"/>
        <v xml:space="preserve">Other non-medical professional staff </v>
      </c>
      <c r="E142">
        <f t="shared" si="8"/>
        <v>0</v>
      </c>
    </row>
    <row r="143" spans="4:5" x14ac:dyDescent="0.35">
      <c r="D143" s="29" t="str">
        <f t="shared" si="7"/>
        <v xml:space="preserve">Other non-medical support staff </v>
      </c>
      <c r="E143">
        <f t="shared" si="8"/>
        <v>0</v>
      </c>
    </row>
    <row r="144" spans="4:5" x14ac:dyDescent="0.35">
      <c r="D144" s="29" t="str">
        <f t="shared" si="7"/>
        <v xml:space="preserve">Medical and Pathology Laboratory Technicians </v>
      </c>
      <c r="E144">
        <f t="shared" si="8"/>
        <v>0</v>
      </c>
    </row>
    <row r="145" spans="2:5" x14ac:dyDescent="0.35">
      <c r="D145" s="29" t="str">
        <f t="shared" si="7"/>
        <v xml:space="preserve">Paramedical Practitioners </v>
      </c>
      <c r="E145">
        <f t="shared" si="8"/>
        <v>0</v>
      </c>
    </row>
    <row r="146" spans="2:5" x14ac:dyDescent="0.35">
      <c r="D146" s="29" t="str">
        <f t="shared" si="7"/>
        <v>Physiotherapists and physiotherapy assistants</v>
      </c>
      <c r="E146">
        <f t="shared" si="8"/>
        <v>0</v>
      </c>
    </row>
    <row r="147" spans="2:5" x14ac:dyDescent="0.35">
      <c r="D147" s="29" t="str">
        <f t="shared" si="7"/>
        <v>Social workers</v>
      </c>
      <c r="E147">
        <f t="shared" si="8"/>
        <v>0</v>
      </c>
    </row>
    <row r="148" spans="2:5" x14ac:dyDescent="0.35">
      <c r="D148" s="29" t="str">
        <f t="shared" si="7"/>
        <v xml:space="preserve">Audiologists and Speech Therapists </v>
      </c>
      <c r="E148">
        <f t="shared" si="8"/>
        <v>0</v>
      </c>
    </row>
    <row r="149" spans="2:5" x14ac:dyDescent="0.35">
      <c r="D149" s="29" t="str">
        <f t="shared" si="7"/>
        <v>Traditional and complementary medicine practitioners</v>
      </c>
      <c r="E149">
        <f t="shared" si="8"/>
        <v>0</v>
      </c>
    </row>
    <row r="150" spans="2:5" x14ac:dyDescent="0.35">
      <c r="B150" t="str">
        <f>G1</f>
        <v>CAF</v>
      </c>
      <c r="C150">
        <f>G2</f>
        <v>4904177.5000000019</v>
      </c>
      <c r="D150" s="30" t="str">
        <f t="shared" si="7"/>
        <v>Medical Doctors</v>
      </c>
      <c r="E150">
        <f t="shared" ref="E150:E173" si="9">G3</f>
        <v>0</v>
      </c>
    </row>
    <row r="151" spans="2:5" x14ac:dyDescent="0.35">
      <c r="D151" s="30" t="str">
        <f t="shared" si="7"/>
        <v>Nursing Personnel</v>
      </c>
      <c r="E151">
        <f t="shared" si="9"/>
        <v>0</v>
      </c>
    </row>
    <row r="152" spans="2:5" x14ac:dyDescent="0.35">
      <c r="D152" s="30" t="str">
        <f t="shared" si="7"/>
        <v>Midwifery personnel</v>
      </c>
      <c r="E152">
        <f t="shared" si="9"/>
        <v>0</v>
      </c>
    </row>
    <row r="153" spans="2:5" x14ac:dyDescent="0.35">
      <c r="D153" s="30" t="str">
        <f t="shared" si="7"/>
        <v>Pharmacists</v>
      </c>
      <c r="E153">
        <f t="shared" si="9"/>
        <v>29</v>
      </c>
    </row>
    <row r="154" spans="2:5" x14ac:dyDescent="0.35">
      <c r="D154" s="30" t="str">
        <f t="shared" si="7"/>
        <v>Dentists</v>
      </c>
      <c r="E154">
        <f t="shared" si="9"/>
        <v>10</v>
      </c>
    </row>
    <row r="155" spans="2:5" x14ac:dyDescent="0.35">
      <c r="D155" s="30" t="str">
        <f t="shared" si="7"/>
        <v xml:space="preserve">Community Health Workers </v>
      </c>
      <c r="E155">
        <f t="shared" si="9"/>
        <v>0</v>
      </c>
    </row>
    <row r="156" spans="2:5" x14ac:dyDescent="0.35">
      <c r="D156" s="30" t="str">
        <f t="shared" si="7"/>
        <v>Dieticians and nutritionists</v>
      </c>
      <c r="E156">
        <f t="shared" si="9"/>
        <v>11</v>
      </c>
    </row>
    <row r="157" spans="2:5" x14ac:dyDescent="0.35">
      <c r="D157" s="30" t="str">
        <f t="shared" si="7"/>
        <v>Environmental and occupational health &amp; hygiene workers</v>
      </c>
      <c r="E157">
        <f t="shared" si="9"/>
        <v>0</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24213621.500000015</v>
      </c>
      <c r="D174" s="31" t="str">
        <f t="shared" si="7"/>
        <v>Medical Doctors</v>
      </c>
      <c r="E174">
        <f t="shared" ref="E174:E197" si="10">H3</f>
        <v>0</v>
      </c>
    </row>
    <row r="175" spans="2:5" x14ac:dyDescent="0.35">
      <c r="D175" s="30" t="str">
        <f t="shared" si="7"/>
        <v>Nursing Personnel</v>
      </c>
      <c r="E175">
        <f t="shared" si="10"/>
        <v>24264</v>
      </c>
    </row>
    <row r="176" spans="2:5" x14ac:dyDescent="0.35">
      <c r="D176" s="30" t="str">
        <f t="shared" si="7"/>
        <v>Midwifery personnel</v>
      </c>
      <c r="E176">
        <f t="shared" si="10"/>
        <v>0</v>
      </c>
    </row>
    <row r="177" spans="4:5" x14ac:dyDescent="0.35">
      <c r="D177" s="30" t="str">
        <f t="shared" si="7"/>
        <v>Pharmacists</v>
      </c>
      <c r="E177">
        <f t="shared" si="10"/>
        <v>0</v>
      </c>
    </row>
    <row r="178" spans="4:5" x14ac:dyDescent="0.35">
      <c r="D178" s="30" t="str">
        <f t="shared" si="7"/>
        <v>Dentists</v>
      </c>
      <c r="E178">
        <f t="shared" si="10"/>
        <v>0</v>
      </c>
    </row>
    <row r="179" spans="4:5" x14ac:dyDescent="0.35">
      <c r="D179" s="30" t="str">
        <f t="shared" si="7"/>
        <v xml:space="preserve">Community Health Workers </v>
      </c>
      <c r="E179">
        <f t="shared" si="10"/>
        <v>0</v>
      </c>
    </row>
    <row r="180" spans="4:5" x14ac:dyDescent="0.35">
      <c r="D180" s="30" t="str">
        <f t="shared" si="7"/>
        <v>Dieticians and nutritionists</v>
      </c>
      <c r="E180">
        <f t="shared" si="10"/>
        <v>0</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0</v>
      </c>
    </row>
    <row r="194" spans="2:5" x14ac:dyDescent="0.35">
      <c r="D194" s="30" t="str">
        <f t="shared" si="11"/>
        <v>Physiotherapists and physiotherapy assistants</v>
      </c>
      <c r="E194">
        <f t="shared" si="10"/>
        <v>0</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23711630.000000004</v>
      </c>
      <c r="D198" s="30" t="str">
        <f t="shared" si="11"/>
        <v>Medical Doctors</v>
      </c>
      <c r="E198">
        <f t="shared" ref="E198:E221" si="12">I3</f>
        <v>0</v>
      </c>
    </row>
    <row r="199" spans="2:5" x14ac:dyDescent="0.35">
      <c r="D199" s="30" t="str">
        <f t="shared" si="11"/>
        <v>Nursing Personnel</v>
      </c>
      <c r="E199">
        <f t="shared" si="12"/>
        <v>0</v>
      </c>
    </row>
    <row r="200" spans="2:5" x14ac:dyDescent="0.35">
      <c r="D200" s="30" t="str">
        <f t="shared" si="11"/>
        <v>Midwifery personnel</v>
      </c>
      <c r="E200">
        <f t="shared" si="12"/>
        <v>0</v>
      </c>
    </row>
    <row r="201" spans="2:5" x14ac:dyDescent="0.35">
      <c r="D201" s="30" t="str">
        <f t="shared" si="11"/>
        <v>Pharmacists</v>
      </c>
      <c r="E201">
        <f t="shared" si="12"/>
        <v>1687</v>
      </c>
    </row>
    <row r="202" spans="2:5" x14ac:dyDescent="0.35">
      <c r="D202" s="30" t="str">
        <f t="shared" si="11"/>
        <v>Dentists</v>
      </c>
      <c r="E202">
        <f t="shared" si="12"/>
        <v>404</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0</v>
      </c>
    </row>
    <row r="208" spans="2:5" x14ac:dyDescent="0.35">
      <c r="D208" s="30" t="str">
        <f t="shared" si="11"/>
        <v xml:space="preserve">Medical and dental Prosthetic Technicians </v>
      </c>
      <c r="E208">
        <f t="shared" si="12"/>
        <v>0</v>
      </c>
    </row>
    <row r="209" spans="2:5" x14ac:dyDescent="0.35">
      <c r="D209" s="30" t="str">
        <f t="shared" si="11"/>
        <v xml:space="preserve">Medical and Pathology Laboratory scientists </v>
      </c>
      <c r="E209">
        <f t="shared" si="12"/>
        <v>0</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0</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0</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0</v>
      </c>
    </row>
    <row r="219" spans="2:5" x14ac:dyDescent="0.35">
      <c r="D219" s="30" t="str">
        <f t="shared" si="11"/>
        <v>Social workers</v>
      </c>
      <c r="E219">
        <f t="shared" si="12"/>
        <v>0</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81430976.499999985</v>
      </c>
      <c r="D222" s="29" t="str">
        <f t="shared" si="11"/>
        <v>Medical Doctors</v>
      </c>
      <c r="E222">
        <f t="shared" ref="E222:E245" si="13">J3</f>
        <v>200</v>
      </c>
    </row>
    <row r="223" spans="2:5" x14ac:dyDescent="0.35">
      <c r="D223" s="30" t="str">
        <f t="shared" si="11"/>
        <v>Nursing Personnel</v>
      </c>
      <c r="E223">
        <f t="shared" si="13"/>
        <v>89794</v>
      </c>
    </row>
    <row r="224" spans="2:5" x14ac:dyDescent="0.35">
      <c r="D224" s="30" t="str">
        <f t="shared" si="11"/>
        <v>Midwifery personnel</v>
      </c>
      <c r="E224">
        <f t="shared" si="13"/>
        <v>3586</v>
      </c>
    </row>
    <row r="225" spans="4:5" x14ac:dyDescent="0.35">
      <c r="D225" s="30" t="str">
        <f t="shared" si="11"/>
        <v>Pharmacists</v>
      </c>
      <c r="E225">
        <f t="shared" si="13"/>
        <v>0</v>
      </c>
    </row>
    <row r="226" spans="4:5" x14ac:dyDescent="0.35">
      <c r="D226" s="30" t="str">
        <f t="shared" si="11"/>
        <v>Dentists</v>
      </c>
      <c r="E226">
        <f t="shared" si="13"/>
        <v>0</v>
      </c>
    </row>
    <row r="227" spans="4:5" x14ac:dyDescent="0.35">
      <c r="D227" s="30" t="str">
        <f t="shared" si="11"/>
        <v xml:space="preserve">Community Health Workers </v>
      </c>
      <c r="E227">
        <f t="shared" si="13"/>
        <v>0</v>
      </c>
    </row>
    <row r="228" spans="4:5" x14ac:dyDescent="0.35">
      <c r="D228" s="30" t="str">
        <f t="shared" si="11"/>
        <v>Dieticians and nutritionists</v>
      </c>
      <c r="E228">
        <f t="shared" si="13"/>
        <v>0</v>
      </c>
    </row>
    <row r="229" spans="4:5" x14ac:dyDescent="0.35">
      <c r="D229" s="30" t="str">
        <f t="shared" si="11"/>
        <v>Environmental and occupational health &amp; hygiene workers</v>
      </c>
      <c r="E229">
        <f t="shared" si="13"/>
        <v>0</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0</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0</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0</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0</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5186823.4999999981</v>
      </c>
      <c r="D246" s="29" t="str">
        <f t="shared" ref="D246:D309" si="14">D222</f>
        <v>Medical Doctors</v>
      </c>
      <c r="E246">
        <f t="shared" ref="E246:E269" si="15">K3</f>
        <v>1060</v>
      </c>
    </row>
    <row r="247" spans="2:5" x14ac:dyDescent="0.35">
      <c r="D247" s="30" t="str">
        <f t="shared" si="14"/>
        <v>Nursing Personnel</v>
      </c>
      <c r="E247">
        <f t="shared" si="15"/>
        <v>7434</v>
      </c>
    </row>
    <row r="248" spans="2:5" x14ac:dyDescent="0.35">
      <c r="D248" s="30" t="str">
        <f t="shared" si="14"/>
        <v>Midwifery personnel</v>
      </c>
      <c r="E248">
        <f t="shared" si="15"/>
        <v>1842</v>
      </c>
    </row>
    <row r="249" spans="2:5" x14ac:dyDescent="0.35">
      <c r="D249" s="30" t="str">
        <f t="shared" si="14"/>
        <v>Pharmacists</v>
      </c>
      <c r="E249">
        <f t="shared" si="15"/>
        <v>1839</v>
      </c>
    </row>
    <row r="250" spans="2:5" x14ac:dyDescent="0.35">
      <c r="D250" s="30" t="str">
        <f t="shared" si="14"/>
        <v>Dentists</v>
      </c>
      <c r="E250">
        <f t="shared" si="15"/>
        <v>1037</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2324</v>
      </c>
    </row>
    <row r="254" spans="2:5" x14ac:dyDescent="0.35">
      <c r="D254" s="30" t="str">
        <f t="shared" si="14"/>
        <v>Personal care workers in health service</v>
      </c>
      <c r="E254">
        <f t="shared" si="15"/>
        <v>565</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746232.00000000012</v>
      </c>
      <c r="D270" s="29" t="str">
        <f t="shared" si="14"/>
        <v>Medical Doctors</v>
      </c>
      <c r="E270">
        <f t="shared" ref="E270:E293" si="16">L3</f>
        <v>440</v>
      </c>
    </row>
    <row r="271" spans="2:5" x14ac:dyDescent="0.35">
      <c r="D271" s="30" t="str">
        <f t="shared" si="14"/>
        <v>Nursing Personnel</v>
      </c>
      <c r="E271">
        <f t="shared" si="16"/>
        <v>0</v>
      </c>
    </row>
    <row r="272" spans="2:5" x14ac:dyDescent="0.35">
      <c r="D272" s="30" t="str">
        <f t="shared" si="14"/>
        <v>Midwifery personnel</v>
      </c>
      <c r="E272">
        <f t="shared" si="16"/>
        <v>1000</v>
      </c>
    </row>
    <row r="273" spans="4:5" x14ac:dyDescent="0.35">
      <c r="D273" s="30" t="str">
        <f t="shared" si="14"/>
        <v>Pharmacists</v>
      </c>
      <c r="E273">
        <f t="shared" si="16"/>
        <v>432</v>
      </c>
    </row>
    <row r="274" spans="4:5" x14ac:dyDescent="0.35">
      <c r="D274" s="30" t="str">
        <f t="shared" si="14"/>
        <v>Dentists</v>
      </c>
      <c r="E274">
        <f t="shared" si="16"/>
        <v>301</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0</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558394.50000000035</v>
      </c>
      <c r="D294" s="29" t="str">
        <f t="shared" si="14"/>
        <v>Medical Doctors</v>
      </c>
      <c r="E294">
        <f t="shared" ref="E294:E317" si="17">M3</f>
        <v>816</v>
      </c>
    </row>
    <row r="295" spans="2:5" x14ac:dyDescent="0.35">
      <c r="D295" s="30" t="str">
        <f t="shared" si="14"/>
        <v>Nursing Personnel</v>
      </c>
      <c r="E295">
        <f t="shared" si="17"/>
        <v>1224</v>
      </c>
    </row>
    <row r="296" spans="2:5" x14ac:dyDescent="0.35">
      <c r="D296" s="30" t="str">
        <f t="shared" si="14"/>
        <v>Midwifery personnel</v>
      </c>
      <c r="E296">
        <f t="shared" si="17"/>
        <v>0</v>
      </c>
    </row>
    <row r="297" spans="2:5" x14ac:dyDescent="0.35">
      <c r="D297" s="30" t="str">
        <f t="shared" si="14"/>
        <v>Pharmacists</v>
      </c>
      <c r="E297">
        <f t="shared" si="17"/>
        <v>0</v>
      </c>
    </row>
    <row r="298" spans="2:5" x14ac:dyDescent="0.35">
      <c r="D298" s="30" t="str">
        <f t="shared" si="14"/>
        <v>Dentists</v>
      </c>
      <c r="E298">
        <f t="shared" si="17"/>
        <v>0</v>
      </c>
    </row>
    <row r="299" spans="2:5" x14ac:dyDescent="0.35">
      <c r="D299" s="30" t="str">
        <f t="shared" si="14"/>
        <v xml:space="preserve">Community Health Workers </v>
      </c>
      <c r="E299">
        <f t="shared" si="17"/>
        <v>0</v>
      </c>
    </row>
    <row r="300" spans="2:5" x14ac:dyDescent="0.35">
      <c r="D300" s="30" t="str">
        <f t="shared" si="14"/>
        <v>Dieticians and nutritionists</v>
      </c>
      <c r="E300">
        <f t="shared" si="17"/>
        <v>0</v>
      </c>
    </row>
    <row r="301" spans="2:5" x14ac:dyDescent="0.35">
      <c r="D301" s="30" t="str">
        <f t="shared" si="14"/>
        <v>Environmental and occupational health &amp; hygiene workers</v>
      </c>
      <c r="E301">
        <f t="shared" si="17"/>
        <v>0</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40339328.5</v>
      </c>
      <c r="D318" s="29" t="str">
        <f t="shared" si="18"/>
        <v>Medical Doctors</v>
      </c>
      <c r="E318">
        <f t="shared" ref="E318:E341" si="19">N3</f>
        <v>148618</v>
      </c>
    </row>
    <row r="319" spans="2:5" x14ac:dyDescent="0.35">
      <c r="D319" s="30" t="str">
        <f t="shared" si="18"/>
        <v>Nursing Personnel</v>
      </c>
      <c r="E319">
        <f t="shared" si="19"/>
        <v>181916</v>
      </c>
    </row>
    <row r="320" spans="2:5" x14ac:dyDescent="0.35">
      <c r="D320" s="30" t="str">
        <f t="shared" si="18"/>
        <v>Midwifery personnel</v>
      </c>
      <c r="E320">
        <f t="shared" si="19"/>
        <v>0</v>
      </c>
    </row>
    <row r="321" spans="4:5" x14ac:dyDescent="0.35">
      <c r="D321" s="30" t="str">
        <f t="shared" si="18"/>
        <v>Pharmacists</v>
      </c>
      <c r="E321">
        <f t="shared" si="19"/>
        <v>81</v>
      </c>
    </row>
    <row r="322" spans="4:5" x14ac:dyDescent="0.35">
      <c r="D322" s="30" t="str">
        <f t="shared" si="18"/>
        <v>Dentists</v>
      </c>
      <c r="E322">
        <f t="shared" si="19"/>
        <v>25</v>
      </c>
    </row>
    <row r="323" spans="4:5" x14ac:dyDescent="0.35">
      <c r="D323" s="30" t="str">
        <f t="shared" si="18"/>
        <v xml:space="preserve">Community Health Workers </v>
      </c>
      <c r="E323">
        <f t="shared" si="19"/>
        <v>0</v>
      </c>
    </row>
    <row r="324" spans="4:5" x14ac:dyDescent="0.35">
      <c r="D324" s="30" t="str">
        <f t="shared" si="18"/>
        <v>Dieticians and nutritionists</v>
      </c>
      <c r="E324">
        <f t="shared" si="19"/>
        <v>0</v>
      </c>
    </row>
    <row r="325" spans="4:5" x14ac:dyDescent="0.35">
      <c r="D325" s="30" t="str">
        <f t="shared" si="18"/>
        <v>Environmental and occupational health &amp; hygiene workers</v>
      </c>
      <c r="E325">
        <f t="shared" si="19"/>
        <v>304</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3365287.5000000014</v>
      </c>
      <c r="D342" s="29" t="str">
        <f t="shared" si="18"/>
        <v>Medical Doctors</v>
      </c>
      <c r="E342">
        <f t="shared" ref="E342:E365" si="20">O3</f>
        <v>537</v>
      </c>
    </row>
    <row r="343" spans="2:5" x14ac:dyDescent="0.35">
      <c r="D343" s="30" t="str">
        <f t="shared" si="18"/>
        <v>Nursing Personnel</v>
      </c>
      <c r="E343">
        <f t="shared" si="20"/>
        <v>8968</v>
      </c>
    </row>
    <row r="344" spans="2:5" x14ac:dyDescent="0.35">
      <c r="D344" s="30" t="str">
        <f t="shared" si="18"/>
        <v>Midwifery personnel</v>
      </c>
      <c r="E344">
        <f t="shared" si="20"/>
        <v>752</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0</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0</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105293228.50000003</v>
      </c>
      <c r="D366" s="29" t="str">
        <f t="shared" ref="D366:D429" si="22">D342</f>
        <v>Medical Doctors</v>
      </c>
      <c r="E366">
        <f t="shared" ref="E366:E389" si="23">P3</f>
        <v>296</v>
      </c>
    </row>
    <row r="367" spans="2:5" x14ac:dyDescent="0.35">
      <c r="D367" s="30" t="str">
        <f t="shared" si="22"/>
        <v>Nursing Personnel</v>
      </c>
      <c r="E367">
        <f t="shared" si="23"/>
        <v>0</v>
      </c>
    </row>
    <row r="368" spans="2:5" x14ac:dyDescent="0.35">
      <c r="D368" s="30" t="str">
        <f t="shared" si="22"/>
        <v>Midwifery personnel</v>
      </c>
      <c r="E368">
        <f t="shared" si="23"/>
        <v>24138</v>
      </c>
    </row>
    <row r="369" spans="4:5" x14ac:dyDescent="0.35">
      <c r="D369" s="30" t="str">
        <f t="shared" si="22"/>
        <v>Pharmacists</v>
      </c>
      <c r="E369">
        <f t="shared" si="23"/>
        <v>2</v>
      </c>
    </row>
    <row r="370" spans="4:5" x14ac:dyDescent="0.35">
      <c r="D370" s="30" t="str">
        <f t="shared" si="22"/>
        <v>Dentists</v>
      </c>
      <c r="E370">
        <f t="shared" si="23"/>
        <v>2</v>
      </c>
    </row>
    <row r="371" spans="4:5" x14ac:dyDescent="0.35">
      <c r="D371" s="30" t="str">
        <f t="shared" si="22"/>
        <v xml:space="preserve">Community Health Workers </v>
      </c>
      <c r="E371">
        <f t="shared" si="23"/>
        <v>0</v>
      </c>
    </row>
    <row r="372" spans="4:5" x14ac:dyDescent="0.35">
      <c r="D372" s="30" t="str">
        <f t="shared" si="22"/>
        <v>Dieticians and nutritionists</v>
      </c>
      <c r="E372">
        <f t="shared" si="23"/>
        <v>0</v>
      </c>
    </row>
    <row r="373" spans="4:5" x14ac:dyDescent="0.35">
      <c r="D373" s="30" t="str">
        <f t="shared" si="22"/>
        <v>Environmental and occupational health &amp; hygiene workers</v>
      </c>
      <c r="E373">
        <f t="shared" si="23"/>
        <v>64</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0</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0</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2086205.5000000009</v>
      </c>
      <c r="D390" s="29" t="str">
        <f t="shared" si="22"/>
        <v>Medical Doctors</v>
      </c>
      <c r="E390">
        <f t="shared" ref="E390:E413" si="24">Q3</f>
        <v>1430</v>
      </c>
    </row>
    <row r="391" spans="2:5" x14ac:dyDescent="0.35">
      <c r="D391" s="30" t="str">
        <f t="shared" si="22"/>
        <v>Nursing Personnel</v>
      </c>
      <c r="E391">
        <f t="shared" si="24"/>
        <v>9192</v>
      </c>
    </row>
    <row r="392" spans="2:5" x14ac:dyDescent="0.35">
      <c r="D392" s="30" t="str">
        <f t="shared" si="22"/>
        <v>Midwifery personnel</v>
      </c>
      <c r="E392">
        <f t="shared" si="24"/>
        <v>1026</v>
      </c>
    </row>
    <row r="393" spans="2:5" x14ac:dyDescent="0.35">
      <c r="D393" s="30" t="str">
        <f t="shared" si="22"/>
        <v>Pharmacists</v>
      </c>
      <c r="E393">
        <f t="shared" si="24"/>
        <v>78</v>
      </c>
    </row>
    <row r="394" spans="2:5" x14ac:dyDescent="0.35">
      <c r="D394" s="30" t="str">
        <f t="shared" si="22"/>
        <v>Dentists</v>
      </c>
      <c r="E394">
        <f t="shared" si="24"/>
        <v>23</v>
      </c>
    </row>
    <row r="395" spans="2:5" x14ac:dyDescent="0.35">
      <c r="D395" s="30" t="str">
        <f t="shared" si="22"/>
        <v xml:space="preserve">Community Health Workers </v>
      </c>
      <c r="E395">
        <f t="shared" si="24"/>
        <v>0</v>
      </c>
    </row>
    <row r="396" spans="2:5" x14ac:dyDescent="0.35">
      <c r="D396" s="30" t="str">
        <f t="shared" si="22"/>
        <v>Dieticians and nutritionists</v>
      </c>
      <c r="E396">
        <f t="shared" si="24"/>
        <v>4</v>
      </c>
    </row>
    <row r="397" spans="2:5" x14ac:dyDescent="0.35">
      <c r="D397" s="30" t="str">
        <f t="shared" si="22"/>
        <v>Environmental and occupational health &amp; hygiene workers</v>
      </c>
      <c r="E397">
        <f t="shared" si="24"/>
        <v>29</v>
      </c>
    </row>
    <row r="398" spans="2:5" x14ac:dyDescent="0.35">
      <c r="D398" s="30" t="str">
        <f t="shared" si="22"/>
        <v>Personal care workers in health service</v>
      </c>
      <c r="E398">
        <f t="shared" si="24"/>
        <v>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33</v>
      </c>
    </row>
    <row r="401" spans="2:5" x14ac:dyDescent="0.35">
      <c r="D401" s="30" t="str">
        <f t="shared" si="22"/>
        <v xml:space="preserve">Medical and Pathology Laboratory scientists </v>
      </c>
      <c r="E401">
        <f t="shared" si="24"/>
        <v>0</v>
      </c>
    </row>
    <row r="402" spans="2:5" x14ac:dyDescent="0.35">
      <c r="D402" s="30" t="str">
        <f t="shared" si="22"/>
        <v xml:space="preserve">Medical Assistants </v>
      </c>
      <c r="E402">
        <f t="shared" si="24"/>
        <v>0</v>
      </c>
    </row>
    <row r="403" spans="2:5" x14ac:dyDescent="0.35">
      <c r="D403" s="30" t="str">
        <f t="shared" si="22"/>
        <v xml:space="preserve">Medical Imaging and Therapeutic Equipment Technicians </v>
      </c>
      <c r="E403">
        <f t="shared" si="24"/>
        <v>66</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0</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287</v>
      </c>
    </row>
    <row r="409" spans="2:5" x14ac:dyDescent="0.35">
      <c r="D409" s="30" t="str">
        <f t="shared" si="22"/>
        <v xml:space="preserve">Paramedical Practitioners </v>
      </c>
      <c r="E409">
        <f t="shared" si="24"/>
        <v>0</v>
      </c>
    </row>
    <row r="410" spans="2:5" x14ac:dyDescent="0.35">
      <c r="D410" s="30" t="str">
        <f t="shared" si="22"/>
        <v>Physiotherapists and physiotherapy assistants</v>
      </c>
      <c r="E410">
        <f t="shared" si="24"/>
        <v>0</v>
      </c>
    </row>
    <row r="411" spans="2:5" x14ac:dyDescent="0.35">
      <c r="D411" s="30" t="str">
        <f t="shared" si="22"/>
        <v>Social workers</v>
      </c>
      <c r="E411">
        <f t="shared" si="24"/>
        <v>0</v>
      </c>
    </row>
    <row r="412" spans="2:5" x14ac:dyDescent="0.35">
      <c r="D412" s="30" t="str">
        <f t="shared" si="22"/>
        <v xml:space="preserve">Audiologists and Speech Therapists </v>
      </c>
      <c r="E412">
        <f t="shared" si="24"/>
        <v>0</v>
      </c>
    </row>
    <row r="413" spans="2:5" x14ac:dyDescent="0.35">
      <c r="D413" s="30" t="str">
        <f t="shared" si="22"/>
        <v>Traditional and complementary medicine practitioners</v>
      </c>
      <c r="E413">
        <f t="shared" si="24"/>
        <v>0</v>
      </c>
    </row>
    <row r="414" spans="2:5" x14ac:dyDescent="0.35">
      <c r="B414" t="str">
        <f>R1</f>
        <v>GHA</v>
      </c>
      <c r="C414">
        <f>R2</f>
        <v>29554302.499999993</v>
      </c>
      <c r="D414" s="29" t="str">
        <f t="shared" si="22"/>
        <v>Medical Doctors</v>
      </c>
      <c r="E414">
        <f t="shared" ref="E414:E437" si="25">R3</f>
        <v>7236</v>
      </c>
    </row>
    <row r="415" spans="2:5" x14ac:dyDescent="0.35">
      <c r="D415" s="30" t="str">
        <f t="shared" si="22"/>
        <v>Nursing Personnel</v>
      </c>
      <c r="E415">
        <f t="shared" si="25"/>
        <v>105210</v>
      </c>
    </row>
    <row r="416" spans="2:5" x14ac:dyDescent="0.35">
      <c r="D416" s="30" t="str">
        <f t="shared" si="22"/>
        <v>Midwifery personnel</v>
      </c>
      <c r="E416">
        <f t="shared" si="25"/>
        <v>15324</v>
      </c>
    </row>
    <row r="417" spans="4:5" x14ac:dyDescent="0.35">
      <c r="D417" s="30" t="str">
        <f t="shared" si="22"/>
        <v>Pharmacists</v>
      </c>
      <c r="E417">
        <f t="shared" si="25"/>
        <v>440</v>
      </c>
    </row>
    <row r="418" spans="4:5" x14ac:dyDescent="0.35">
      <c r="D418" s="30" t="str">
        <f t="shared" si="22"/>
        <v>Dentists</v>
      </c>
      <c r="E418">
        <f t="shared" si="25"/>
        <v>80</v>
      </c>
    </row>
    <row r="419" spans="4:5" x14ac:dyDescent="0.35">
      <c r="D419" s="30" t="str">
        <f t="shared" si="22"/>
        <v xml:space="preserve">Community Health Workers </v>
      </c>
      <c r="E419">
        <f t="shared" si="25"/>
        <v>0</v>
      </c>
    </row>
    <row r="420" spans="4:5" x14ac:dyDescent="0.35">
      <c r="D420" s="30" t="str">
        <f t="shared" si="22"/>
        <v>Dieticians and nutritionists</v>
      </c>
      <c r="E420">
        <f t="shared" si="25"/>
        <v>19</v>
      </c>
    </row>
    <row r="421" spans="4:5" x14ac:dyDescent="0.35">
      <c r="D421" s="30" t="str">
        <f t="shared" si="22"/>
        <v>Environmental and occupational health &amp; hygiene workers</v>
      </c>
      <c r="E421">
        <f t="shared" si="25"/>
        <v>160</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30</v>
      </c>
    </row>
    <row r="425" spans="4:5" x14ac:dyDescent="0.35">
      <c r="D425" s="30" t="str">
        <f t="shared" si="22"/>
        <v xml:space="preserve">Medical and Pathology Laboratory scientists </v>
      </c>
      <c r="E425">
        <f t="shared" si="25"/>
        <v>0</v>
      </c>
    </row>
    <row r="426" spans="4:5" x14ac:dyDescent="0.35">
      <c r="D426" s="30" t="str">
        <f t="shared" si="22"/>
        <v xml:space="preserve">Medical Assistants </v>
      </c>
      <c r="E426">
        <f t="shared" si="25"/>
        <v>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0</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0</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0</v>
      </c>
    </row>
    <row r="435" spans="2:5" x14ac:dyDescent="0.35">
      <c r="D435" s="30" t="str">
        <f t="shared" si="26"/>
        <v>Social workers</v>
      </c>
      <c r="E435">
        <f t="shared" si="25"/>
        <v>0</v>
      </c>
    </row>
    <row r="436" spans="2:5" x14ac:dyDescent="0.35">
      <c r="D436" s="30" t="str">
        <f t="shared" si="26"/>
        <v xml:space="preserve">Audiologists and Speech Therapists </v>
      </c>
      <c r="E436">
        <f t="shared" si="25"/>
        <v>0</v>
      </c>
    </row>
    <row r="437" spans="2:5" x14ac:dyDescent="0.35">
      <c r="D437" s="30" t="str">
        <f t="shared" si="26"/>
        <v>Traditional and complementary medicine practitioners</v>
      </c>
      <c r="E437">
        <f t="shared" si="25"/>
        <v>0</v>
      </c>
    </row>
    <row r="438" spans="2:5" x14ac:dyDescent="0.35">
      <c r="B438" t="str">
        <f>S1</f>
        <v>GIN</v>
      </c>
      <c r="C438">
        <f>S2</f>
        <v>11930984.999999998</v>
      </c>
      <c r="D438" s="29" t="str">
        <f t="shared" si="26"/>
        <v>Medical Doctors</v>
      </c>
      <c r="E438">
        <f t="shared" ref="E438:E461" si="27">S3</f>
        <v>1954</v>
      </c>
    </row>
    <row r="439" spans="2:5" x14ac:dyDescent="0.35">
      <c r="D439" s="30" t="str">
        <f t="shared" si="26"/>
        <v>Nursing Personnel</v>
      </c>
      <c r="E439">
        <f t="shared" si="27"/>
        <v>2020</v>
      </c>
    </row>
    <row r="440" spans="2:5" x14ac:dyDescent="0.35">
      <c r="D440" s="30" t="str">
        <f t="shared" si="26"/>
        <v>Midwifery personnel</v>
      </c>
      <c r="E440">
        <f t="shared" si="27"/>
        <v>886</v>
      </c>
    </row>
    <row r="441" spans="2:5" x14ac:dyDescent="0.35">
      <c r="D441" s="30" t="str">
        <f t="shared" si="26"/>
        <v>Pharmacists</v>
      </c>
      <c r="E441">
        <f t="shared" si="27"/>
        <v>0</v>
      </c>
    </row>
    <row r="442" spans="2:5" x14ac:dyDescent="0.35">
      <c r="D442" s="30" t="str">
        <f t="shared" si="26"/>
        <v>Dentists</v>
      </c>
      <c r="E442">
        <f t="shared" si="27"/>
        <v>0</v>
      </c>
    </row>
    <row r="443" spans="2:5" x14ac:dyDescent="0.35">
      <c r="D443" s="30" t="str">
        <f t="shared" si="26"/>
        <v xml:space="preserve">Community Health Workers </v>
      </c>
      <c r="E443">
        <f t="shared" si="27"/>
        <v>6700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8</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209</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2317205.5</v>
      </c>
      <c r="D462" s="29" t="str">
        <f t="shared" si="26"/>
        <v>Medical Doctors</v>
      </c>
      <c r="E462">
        <f t="shared" ref="E462:E485" si="28">T3</f>
        <v>1</v>
      </c>
    </row>
    <row r="463" spans="2:5" x14ac:dyDescent="0.35">
      <c r="D463" s="30" t="str">
        <f t="shared" si="26"/>
        <v>Nursing Personnel</v>
      </c>
      <c r="E463">
        <f t="shared" si="28"/>
        <v>0</v>
      </c>
    </row>
    <row r="464" spans="2:5" x14ac:dyDescent="0.35">
      <c r="D464" s="30" t="str">
        <f t="shared" si="26"/>
        <v>Midwifery personnel</v>
      </c>
      <c r="E464">
        <f t="shared" si="28"/>
        <v>0</v>
      </c>
    </row>
    <row r="465" spans="4:5" x14ac:dyDescent="0.35">
      <c r="D465" s="30" t="str">
        <f t="shared" si="26"/>
        <v>Pharmacists</v>
      </c>
      <c r="E465">
        <f t="shared" si="28"/>
        <v>0</v>
      </c>
    </row>
    <row r="466" spans="4:5" x14ac:dyDescent="0.35">
      <c r="D466" s="30" t="str">
        <f t="shared" si="26"/>
        <v>Dentists</v>
      </c>
      <c r="E466">
        <f t="shared" si="28"/>
        <v>6433</v>
      </c>
    </row>
    <row r="467" spans="4:5" x14ac:dyDescent="0.35">
      <c r="D467" s="30" t="str">
        <f t="shared" si="26"/>
        <v xml:space="preserve">Community Health Workers </v>
      </c>
      <c r="E467">
        <f t="shared" si="28"/>
        <v>0</v>
      </c>
    </row>
    <row r="468" spans="4:5" x14ac:dyDescent="0.35">
      <c r="D468" s="30" t="str">
        <f t="shared" si="26"/>
        <v>Dieticians and nutritionists</v>
      </c>
      <c r="E468">
        <f t="shared" si="28"/>
        <v>3652</v>
      </c>
    </row>
    <row r="469" spans="4:5" x14ac:dyDescent="0.35">
      <c r="D469" s="30" t="str">
        <f t="shared" si="26"/>
        <v>Environmental and occupational health &amp; hygiene workers</v>
      </c>
      <c r="E469">
        <f t="shared" si="28"/>
        <v>3831</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0</v>
      </c>
    </row>
    <row r="472" spans="4:5" x14ac:dyDescent="0.35">
      <c r="D472" s="30" t="str">
        <f t="shared" si="26"/>
        <v xml:space="preserve">Medical and dental Prosthetic Technicians </v>
      </c>
      <c r="E472">
        <f t="shared" si="28"/>
        <v>0</v>
      </c>
    </row>
    <row r="473" spans="4:5" x14ac:dyDescent="0.35">
      <c r="D473" s="30" t="str">
        <f t="shared" si="26"/>
        <v xml:space="preserve">Medical and Pathology Laboratory scientists </v>
      </c>
      <c r="E473">
        <f t="shared" si="28"/>
        <v>0</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0</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0</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0</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1834551.4999999995</v>
      </c>
      <c r="D486" s="29" t="str">
        <f t="shared" si="26"/>
        <v>Medical Doctors</v>
      </c>
      <c r="E486">
        <f t="shared" ref="E486:E509" si="29">U3</f>
        <v>388</v>
      </c>
    </row>
    <row r="487" spans="2:5" x14ac:dyDescent="0.35">
      <c r="D487" s="30" t="str">
        <f t="shared" si="26"/>
        <v>Nursing Personnel</v>
      </c>
      <c r="E487">
        <f t="shared" si="29"/>
        <v>2006</v>
      </c>
    </row>
    <row r="488" spans="2:5" x14ac:dyDescent="0.35">
      <c r="D488" s="30" t="str">
        <f t="shared" si="26"/>
        <v>Midwifery personnel</v>
      </c>
      <c r="E488">
        <f t="shared" si="29"/>
        <v>250</v>
      </c>
    </row>
    <row r="489" spans="2:5" x14ac:dyDescent="0.35">
      <c r="D489" s="30" t="str">
        <f t="shared" si="26"/>
        <v>Pharmacists</v>
      </c>
      <c r="E489">
        <f t="shared" si="29"/>
        <v>0</v>
      </c>
    </row>
    <row r="490" spans="2:5" x14ac:dyDescent="0.35">
      <c r="D490" s="30" t="str">
        <f t="shared" si="26"/>
        <v>Dentists</v>
      </c>
      <c r="E490">
        <f t="shared" si="29"/>
        <v>0</v>
      </c>
    </row>
    <row r="491" spans="2:5" x14ac:dyDescent="0.35">
      <c r="D491" s="30" t="str">
        <f t="shared" si="26"/>
        <v xml:space="preserve">Community Health Workers </v>
      </c>
      <c r="E491">
        <f t="shared" si="29"/>
        <v>0</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4</v>
      </c>
    </row>
    <row r="497" spans="2:5" x14ac:dyDescent="0.35">
      <c r="D497" s="30" t="str">
        <f t="shared" si="30"/>
        <v xml:space="preserve">Medical and Pathology Laboratory scientists </v>
      </c>
      <c r="E497">
        <f t="shared" si="29"/>
        <v>158</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0</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0</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0</v>
      </c>
    </row>
    <row r="504" spans="2:5" x14ac:dyDescent="0.35">
      <c r="D504" s="30" t="str">
        <f t="shared" si="30"/>
        <v xml:space="preserve">Medical and Pathology Laboratory Technicians </v>
      </c>
      <c r="E504">
        <f t="shared" si="29"/>
        <v>16</v>
      </c>
    </row>
    <row r="505" spans="2:5" x14ac:dyDescent="0.35">
      <c r="D505" s="30" t="str">
        <f t="shared" si="30"/>
        <v xml:space="preserve">Paramedical Practitioners </v>
      </c>
      <c r="E505">
        <f t="shared" si="29"/>
        <v>11</v>
      </c>
    </row>
    <row r="506" spans="2:5" x14ac:dyDescent="0.35">
      <c r="D506" s="30" t="str">
        <f t="shared" si="30"/>
        <v>Physiotherapists and physiotherapy assistants</v>
      </c>
      <c r="E506">
        <f t="shared" si="29"/>
        <v>0</v>
      </c>
    </row>
    <row r="507" spans="2:5" x14ac:dyDescent="0.35">
      <c r="D507" s="30" t="str">
        <f t="shared" si="30"/>
        <v>Social workers</v>
      </c>
      <c r="E507">
        <f t="shared" si="29"/>
        <v>0</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1398926.5</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93</v>
      </c>
    </row>
    <row r="514" spans="4:5" x14ac:dyDescent="0.35">
      <c r="D514" s="30" t="str">
        <f t="shared" si="30"/>
        <v>Dentists</v>
      </c>
      <c r="E514">
        <f t="shared" si="31"/>
        <v>3</v>
      </c>
    </row>
    <row r="515" spans="4:5" x14ac:dyDescent="0.35">
      <c r="D515" s="30" t="str">
        <f t="shared" si="30"/>
        <v xml:space="preserve">Community Health Workers </v>
      </c>
      <c r="E515">
        <f t="shared" si="31"/>
        <v>0</v>
      </c>
    </row>
    <row r="516" spans="4:5" x14ac:dyDescent="0.35">
      <c r="D516" s="30" t="str">
        <f t="shared" si="30"/>
        <v>Dieticians and nutritionists</v>
      </c>
      <c r="E516">
        <f t="shared" si="31"/>
        <v>0</v>
      </c>
    </row>
    <row r="517" spans="4:5" x14ac:dyDescent="0.35">
      <c r="D517" s="30" t="str">
        <f t="shared" si="30"/>
        <v>Environmental and occupational health &amp; hygiene workers</v>
      </c>
      <c r="E517">
        <f t="shared" si="31"/>
        <v>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47894670</v>
      </c>
      <c r="D534" s="29" t="str">
        <f t="shared" si="30"/>
        <v>Medical Doctors</v>
      </c>
      <c r="E534">
        <f t="shared" ref="E534:E557" si="32">W3</f>
        <v>380</v>
      </c>
    </row>
    <row r="535" spans="2:5" x14ac:dyDescent="0.35">
      <c r="D535" s="30" t="str">
        <f t="shared" si="30"/>
        <v>Nursing Personnel</v>
      </c>
      <c r="E535">
        <f t="shared" si="32"/>
        <v>97474</v>
      </c>
    </row>
    <row r="536" spans="2:5" x14ac:dyDescent="0.35">
      <c r="D536" s="30" t="str">
        <f t="shared" si="30"/>
        <v>Midwifery personnel</v>
      </c>
      <c r="E536">
        <f t="shared" si="32"/>
        <v>4184</v>
      </c>
    </row>
    <row r="537" spans="2:5" x14ac:dyDescent="0.35">
      <c r="D537" s="30" t="str">
        <f t="shared" si="30"/>
        <v>Pharmacists</v>
      </c>
      <c r="E537">
        <f t="shared" si="32"/>
        <v>170</v>
      </c>
    </row>
    <row r="538" spans="2:5" x14ac:dyDescent="0.35">
      <c r="D538" s="30" t="str">
        <f t="shared" si="30"/>
        <v>Dentists</v>
      </c>
      <c r="E538">
        <f t="shared" si="32"/>
        <v>178</v>
      </c>
    </row>
    <row r="539" spans="2:5" x14ac:dyDescent="0.35">
      <c r="D539" s="30" t="str">
        <f t="shared" si="30"/>
        <v xml:space="preserve">Community Health Workers </v>
      </c>
      <c r="E539">
        <f t="shared" si="32"/>
        <v>0</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146</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0</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0</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4706097.5000000009</v>
      </c>
      <c r="D558" s="29" t="str">
        <f t="shared" ref="D558:D621" si="33">D534</f>
        <v>Medical Doctors</v>
      </c>
      <c r="E558">
        <f t="shared" ref="E558:E581" si="34">X3</f>
        <v>468</v>
      </c>
    </row>
    <row r="559" spans="2:5" x14ac:dyDescent="0.35">
      <c r="D559" s="30" t="str">
        <f t="shared" si="33"/>
        <v>Nursing Personnel</v>
      </c>
      <c r="E559">
        <f t="shared" si="34"/>
        <v>0</v>
      </c>
    </row>
    <row r="560" spans="2:5" x14ac:dyDescent="0.35">
      <c r="D560" s="30" t="str">
        <f t="shared" si="33"/>
        <v>Midwifery personnel</v>
      </c>
      <c r="E560">
        <f t="shared" si="34"/>
        <v>0</v>
      </c>
    </row>
    <row r="561" spans="4:5" x14ac:dyDescent="0.35">
      <c r="D561" s="30" t="str">
        <f t="shared" si="33"/>
        <v>Pharmacists</v>
      </c>
      <c r="E561">
        <f t="shared" si="34"/>
        <v>221</v>
      </c>
    </row>
    <row r="562" spans="4:5" x14ac:dyDescent="0.35">
      <c r="D562" s="30" t="str">
        <f t="shared" si="33"/>
        <v>Dentists</v>
      </c>
      <c r="E562">
        <f t="shared" si="34"/>
        <v>57</v>
      </c>
    </row>
    <row r="563" spans="4:5" x14ac:dyDescent="0.35">
      <c r="D563" s="30" t="str">
        <f t="shared" si="33"/>
        <v xml:space="preserve">Community Health Workers </v>
      </c>
      <c r="E563">
        <f t="shared" si="34"/>
        <v>0</v>
      </c>
    </row>
    <row r="564" spans="4:5" x14ac:dyDescent="0.35">
      <c r="D564" s="30" t="str">
        <f t="shared" si="33"/>
        <v>Dieticians and nutritionists</v>
      </c>
      <c r="E564">
        <f t="shared" si="34"/>
        <v>8</v>
      </c>
    </row>
    <row r="565" spans="4:5" x14ac:dyDescent="0.35">
      <c r="D565" s="30" t="str">
        <f t="shared" si="33"/>
        <v>Environmental and occupational health &amp; hygiene workers</v>
      </c>
      <c r="E565">
        <f t="shared" si="34"/>
        <v>344</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2143872.0000000023</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0</v>
      </c>
    </row>
    <row r="586" spans="2:5" x14ac:dyDescent="0.35">
      <c r="D586" s="30" t="str">
        <f t="shared" si="33"/>
        <v>Dentists</v>
      </c>
      <c r="E586">
        <f t="shared" si="35"/>
        <v>0</v>
      </c>
    </row>
    <row r="587" spans="2:5" x14ac:dyDescent="0.35">
      <c r="D587" s="30" t="str">
        <f t="shared" si="33"/>
        <v xml:space="preserve">Community Health Workers </v>
      </c>
      <c r="E587">
        <f t="shared" si="35"/>
        <v>0</v>
      </c>
    </row>
    <row r="588" spans="2:5" x14ac:dyDescent="0.35">
      <c r="D588" s="30" t="str">
        <f t="shared" si="33"/>
        <v>Dieticians and nutritionists</v>
      </c>
      <c r="E588">
        <f t="shared" si="35"/>
        <v>0</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25501940.499999996</v>
      </c>
      <c r="D606" s="29" t="str">
        <f t="shared" si="33"/>
        <v>Medical Doctors</v>
      </c>
      <c r="E606">
        <f t="shared" ref="E606:E629" si="36">Z3</f>
        <v>35</v>
      </c>
    </row>
    <row r="607" spans="2:5" x14ac:dyDescent="0.35">
      <c r="D607" s="30" t="str">
        <f t="shared" si="33"/>
        <v>Nursing Personnel</v>
      </c>
      <c r="E607">
        <f t="shared" si="36"/>
        <v>0</v>
      </c>
    </row>
    <row r="608" spans="2:5" x14ac:dyDescent="0.35">
      <c r="D608" s="30" t="str">
        <f t="shared" si="33"/>
        <v>Midwifery personnel</v>
      </c>
      <c r="E608">
        <f t="shared" si="36"/>
        <v>3166</v>
      </c>
    </row>
    <row r="609" spans="4:5" x14ac:dyDescent="0.35">
      <c r="D609" s="30" t="str">
        <f t="shared" si="33"/>
        <v>Pharmacists</v>
      </c>
      <c r="E609">
        <f t="shared" si="36"/>
        <v>0</v>
      </c>
    </row>
    <row r="610" spans="4:5" x14ac:dyDescent="0.35">
      <c r="D610" s="30" t="str">
        <f t="shared" si="33"/>
        <v>Dentists</v>
      </c>
      <c r="E610">
        <f t="shared" si="36"/>
        <v>0</v>
      </c>
    </row>
    <row r="611" spans="4:5" x14ac:dyDescent="0.35">
      <c r="D611" s="30" t="str">
        <f t="shared" si="33"/>
        <v xml:space="preserve">Community Health Workers </v>
      </c>
      <c r="E611">
        <f t="shared" si="36"/>
        <v>0</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18700106</v>
      </c>
      <c r="D630" s="29" t="str">
        <f t="shared" si="37"/>
        <v>Medical Doctors</v>
      </c>
      <c r="E630">
        <f t="shared" ref="E630:E653" si="38">AA3</f>
        <v>4570</v>
      </c>
    </row>
    <row r="631" spans="2:5" x14ac:dyDescent="0.35">
      <c r="D631" s="30" t="str">
        <f t="shared" si="37"/>
        <v>Nursing Personnel</v>
      </c>
      <c r="E631">
        <f t="shared" si="38"/>
        <v>9530</v>
      </c>
    </row>
    <row r="632" spans="2:5" x14ac:dyDescent="0.35">
      <c r="D632" s="30" t="str">
        <f t="shared" si="37"/>
        <v>Midwifery personnel</v>
      </c>
      <c r="E632">
        <f t="shared" si="38"/>
        <v>5314</v>
      </c>
    </row>
    <row r="633" spans="2:5" x14ac:dyDescent="0.35">
      <c r="D633" s="30" t="str">
        <f t="shared" si="37"/>
        <v>Pharmacists</v>
      </c>
      <c r="E633">
        <f t="shared" si="38"/>
        <v>0</v>
      </c>
    </row>
    <row r="634" spans="2:5" x14ac:dyDescent="0.35">
      <c r="D634" s="30" t="str">
        <f t="shared" si="37"/>
        <v>Dentists</v>
      </c>
      <c r="E634">
        <f t="shared" si="38"/>
        <v>0</v>
      </c>
    </row>
    <row r="635" spans="2:5" x14ac:dyDescent="0.35">
      <c r="D635" s="30" t="str">
        <f t="shared" si="37"/>
        <v xml:space="preserve">Community Health Workers </v>
      </c>
      <c r="E635">
        <f t="shared" si="38"/>
        <v>0</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27696492.499999989</v>
      </c>
      <c r="D654" s="32" t="str">
        <f t="shared" si="37"/>
        <v>Medical Doctors</v>
      </c>
      <c r="E654">
        <f t="shared" ref="E654:E677" si="39">AB3</f>
        <v>57</v>
      </c>
    </row>
    <row r="655" spans="2:5" x14ac:dyDescent="0.35">
      <c r="D655" s="30" t="str">
        <f t="shared" si="37"/>
        <v>Nursing Personnel</v>
      </c>
      <c r="E655">
        <f t="shared" si="39"/>
        <v>15320</v>
      </c>
    </row>
    <row r="656" spans="2:5" x14ac:dyDescent="0.35">
      <c r="D656" s="30" t="str">
        <f t="shared" si="37"/>
        <v>Midwifery personnel</v>
      </c>
      <c r="E656">
        <f t="shared" si="39"/>
        <v>11410</v>
      </c>
    </row>
    <row r="657" spans="4:5" x14ac:dyDescent="0.35">
      <c r="D657" s="30" t="str">
        <f t="shared" si="37"/>
        <v>Pharmacists</v>
      </c>
      <c r="E657">
        <f t="shared" si="39"/>
        <v>20035</v>
      </c>
    </row>
    <row r="658" spans="4:5" x14ac:dyDescent="0.35">
      <c r="D658" s="30" t="str">
        <f t="shared" si="37"/>
        <v>Dentists</v>
      </c>
      <c r="E658">
        <f t="shared" si="39"/>
        <v>0</v>
      </c>
    </row>
    <row r="659" spans="4:5" x14ac:dyDescent="0.35">
      <c r="D659" s="30" t="str">
        <f t="shared" si="37"/>
        <v xml:space="preserve">Community Health Workers </v>
      </c>
      <c r="E659">
        <f t="shared" si="39"/>
        <v>0</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0</v>
      </c>
    </row>
    <row r="664" spans="4:5" x14ac:dyDescent="0.35">
      <c r="D664" s="30" t="str">
        <f t="shared" si="37"/>
        <v xml:space="preserve">Medical and dental Prosthetic Technicians </v>
      </c>
      <c r="E664">
        <f t="shared" si="39"/>
        <v>0</v>
      </c>
    </row>
    <row r="665" spans="4:5" x14ac:dyDescent="0.35">
      <c r="D665" s="30" t="str">
        <f t="shared" si="37"/>
        <v xml:space="preserve">Medical and Pathology Laboratory scientists </v>
      </c>
      <c r="E665">
        <f t="shared" si="39"/>
        <v>0</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0</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0</v>
      </c>
    </row>
    <row r="670" spans="4:5" x14ac:dyDescent="0.35">
      <c r="D670" s="30" t="str">
        <f t="shared" si="37"/>
        <v xml:space="preserve">Other non-medical professional staff </v>
      </c>
      <c r="E670">
        <f t="shared" si="39"/>
        <v>0</v>
      </c>
    </row>
    <row r="671" spans="4:5" x14ac:dyDescent="0.35">
      <c r="D671" s="30" t="str">
        <f t="shared" si="37"/>
        <v xml:space="preserve">Other non-medical support staff </v>
      </c>
      <c r="E671">
        <f t="shared" si="39"/>
        <v>0</v>
      </c>
    </row>
    <row r="672" spans="4:5" x14ac:dyDescent="0.35">
      <c r="D672" s="30" t="str">
        <f t="shared" si="37"/>
        <v xml:space="preserve">Medical and Pathology Laboratory Technicians </v>
      </c>
      <c r="E672">
        <f t="shared" si="39"/>
        <v>0</v>
      </c>
    </row>
    <row r="673" spans="2:5" x14ac:dyDescent="0.35">
      <c r="D673" s="30" t="str">
        <f t="shared" si="37"/>
        <v xml:space="preserve">Paramedical Practitioners </v>
      </c>
      <c r="E673">
        <f t="shared" si="39"/>
        <v>0</v>
      </c>
    </row>
    <row r="674" spans="2:5" x14ac:dyDescent="0.35">
      <c r="D674" s="30" t="str">
        <f t="shared" si="37"/>
        <v>Physiotherapists and physiotherapy assistants</v>
      </c>
      <c r="E674">
        <f t="shared" si="39"/>
        <v>0</v>
      </c>
    </row>
    <row r="675" spans="2:5" x14ac:dyDescent="0.35">
      <c r="D675" s="30" t="str">
        <f t="shared" si="37"/>
        <v>Social workers</v>
      </c>
      <c r="E675">
        <f t="shared" si="39"/>
        <v>0</v>
      </c>
    </row>
    <row r="676" spans="2:5" x14ac:dyDescent="0.35">
      <c r="D676" s="30" t="str">
        <f t="shared" si="37"/>
        <v xml:space="preserve">Audiologists and Speech Therapists </v>
      </c>
      <c r="E676">
        <f t="shared" si="39"/>
        <v>0</v>
      </c>
    </row>
    <row r="677" spans="2:5" x14ac:dyDescent="0.35">
      <c r="D677" s="30" t="str">
        <f t="shared" si="37"/>
        <v>Traditional and complementary medicine practitioners</v>
      </c>
      <c r="E677">
        <f t="shared" si="39"/>
        <v>0</v>
      </c>
    </row>
    <row r="678" spans="2:5" x14ac:dyDescent="0.35">
      <c r="B678" t="str">
        <f>AC1</f>
        <v>MRT</v>
      </c>
      <c r="C678">
        <f>AC2</f>
        <v>4051890.5000000014</v>
      </c>
      <c r="D678" s="29" t="str">
        <f t="shared" si="37"/>
        <v>Medical Doctors</v>
      </c>
      <c r="E678">
        <f t="shared" ref="E678:E701" si="40">AC3</f>
        <v>0</v>
      </c>
    </row>
    <row r="679" spans="2:5" x14ac:dyDescent="0.35">
      <c r="D679" s="30" t="str">
        <f t="shared" si="37"/>
        <v>Nursing Personnel</v>
      </c>
      <c r="E679">
        <f t="shared" si="40"/>
        <v>0</v>
      </c>
    </row>
    <row r="680" spans="2:5" x14ac:dyDescent="0.35">
      <c r="D680" s="30" t="str">
        <f t="shared" si="37"/>
        <v>Midwifery personnel</v>
      </c>
      <c r="E680">
        <f t="shared" si="40"/>
        <v>0</v>
      </c>
    </row>
    <row r="681" spans="2:5" x14ac:dyDescent="0.35">
      <c r="D681" s="30" t="str">
        <f t="shared" si="37"/>
        <v>Pharmacists</v>
      </c>
      <c r="E681">
        <f t="shared" si="40"/>
        <v>0</v>
      </c>
    </row>
    <row r="682" spans="2:5" x14ac:dyDescent="0.35">
      <c r="D682" s="30" t="str">
        <f t="shared" si="37"/>
        <v>Dentists</v>
      </c>
      <c r="E682">
        <f t="shared" si="40"/>
        <v>0</v>
      </c>
    </row>
    <row r="683" spans="2:5" x14ac:dyDescent="0.35">
      <c r="D683" s="30" t="str">
        <f t="shared" si="37"/>
        <v xml:space="preserve">Community Health Workers </v>
      </c>
      <c r="E683">
        <f t="shared" si="40"/>
        <v>0</v>
      </c>
    </row>
    <row r="684" spans="2:5" x14ac:dyDescent="0.35">
      <c r="D684" s="30" t="str">
        <f t="shared" si="37"/>
        <v>Dieticians and nutritionists</v>
      </c>
      <c r="E684">
        <f t="shared" si="40"/>
        <v>4</v>
      </c>
    </row>
    <row r="685" spans="2:5" x14ac:dyDescent="0.35">
      <c r="D685" s="30" t="str">
        <f t="shared" si="37"/>
        <v>Environmental and occupational health &amp; hygiene workers</v>
      </c>
      <c r="E685">
        <f t="shared" si="40"/>
        <v>0</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1293911.0000000005</v>
      </c>
      <c r="D702" s="29" t="str">
        <f t="shared" si="41"/>
        <v>Medical Doctors</v>
      </c>
      <c r="E702">
        <f t="shared" ref="E702:E725" si="42">AD3</f>
        <v>5538</v>
      </c>
    </row>
    <row r="703" spans="2:5" x14ac:dyDescent="0.35">
      <c r="D703" s="30" t="str">
        <f t="shared" si="41"/>
        <v>Nursing Personnel</v>
      </c>
      <c r="E703">
        <f t="shared" si="42"/>
        <v>8268</v>
      </c>
    </row>
    <row r="704" spans="2:5" x14ac:dyDescent="0.35">
      <c r="D704" s="30" t="str">
        <f t="shared" si="41"/>
        <v>Midwifery personnel</v>
      </c>
      <c r="E704">
        <f t="shared" si="42"/>
        <v>0</v>
      </c>
    </row>
    <row r="705" spans="4:5" x14ac:dyDescent="0.35">
      <c r="D705" s="30" t="str">
        <f t="shared" si="41"/>
        <v>Pharmacists</v>
      </c>
      <c r="E705">
        <f t="shared" si="42"/>
        <v>1159</v>
      </c>
    </row>
    <row r="706" spans="4:5" x14ac:dyDescent="0.35">
      <c r="D706" s="30" t="str">
        <f t="shared" si="41"/>
        <v>Dentists</v>
      </c>
      <c r="E706">
        <f t="shared" si="42"/>
        <v>312</v>
      </c>
    </row>
    <row r="707" spans="4:5" x14ac:dyDescent="0.35">
      <c r="D707" s="30" t="str">
        <f t="shared" si="41"/>
        <v xml:space="preserve">Community Health Workers </v>
      </c>
      <c r="E707">
        <f t="shared" si="42"/>
        <v>0</v>
      </c>
    </row>
    <row r="708" spans="4:5" x14ac:dyDescent="0.35">
      <c r="D708" s="30" t="str">
        <f t="shared" si="41"/>
        <v>Dieticians and nutritionists</v>
      </c>
      <c r="E708">
        <f t="shared" si="42"/>
        <v>202</v>
      </c>
    </row>
    <row r="709" spans="4:5" x14ac:dyDescent="0.35">
      <c r="D709" s="30" t="str">
        <f t="shared" si="41"/>
        <v>Environmental and occupational health &amp; hygiene workers</v>
      </c>
      <c r="E709">
        <f t="shared" si="42"/>
        <v>1796</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17405623.5</v>
      </c>
      <c r="D726" s="29" t="str">
        <f t="shared" si="41"/>
        <v>Medical Doctors</v>
      </c>
      <c r="E726">
        <f t="shared" ref="E726:E749" si="43">AE3</f>
        <v>1093</v>
      </c>
    </row>
    <row r="727" spans="2:5" x14ac:dyDescent="0.35">
      <c r="D727" s="30" t="str">
        <f t="shared" si="41"/>
        <v>Nursing Personnel</v>
      </c>
      <c r="E727">
        <f t="shared" si="43"/>
        <v>9146</v>
      </c>
    </row>
    <row r="728" spans="2:5" x14ac:dyDescent="0.35">
      <c r="D728" s="30" t="str">
        <f t="shared" si="41"/>
        <v>Midwifery personnel</v>
      </c>
      <c r="E728">
        <f t="shared" si="43"/>
        <v>1136</v>
      </c>
    </row>
    <row r="729" spans="2:5" x14ac:dyDescent="0.35">
      <c r="D729" s="30" t="str">
        <f t="shared" si="41"/>
        <v>Pharmacists</v>
      </c>
      <c r="E729">
        <f t="shared" si="43"/>
        <v>0</v>
      </c>
    </row>
    <row r="730" spans="2:5" x14ac:dyDescent="0.35">
      <c r="D730" s="30" t="str">
        <f t="shared" si="41"/>
        <v>Dentists</v>
      </c>
      <c r="E730">
        <f t="shared" si="43"/>
        <v>0</v>
      </c>
    </row>
    <row r="731" spans="2:5" x14ac:dyDescent="0.35">
      <c r="D731" s="30" t="str">
        <f t="shared" si="41"/>
        <v xml:space="preserve">Community Health Workers </v>
      </c>
      <c r="E731">
        <f t="shared" si="43"/>
        <v>0</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0</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397</v>
      </c>
    </row>
    <row r="745" spans="2:5" x14ac:dyDescent="0.35">
      <c r="D745" s="30" t="str">
        <f t="shared" si="41"/>
        <v xml:space="preserve">Paramedical Practitioners </v>
      </c>
      <c r="E745">
        <f t="shared" si="43"/>
        <v>1159</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2323352</v>
      </c>
      <c r="D750" s="29" t="str">
        <f t="shared" ref="D750:D813" si="44">D726</f>
        <v>Medical Doctors</v>
      </c>
      <c r="E750">
        <f t="shared" ref="E750:E773" si="45">AF3</f>
        <v>0</v>
      </c>
    </row>
    <row r="751" spans="2:5" x14ac:dyDescent="0.35">
      <c r="D751" s="30" t="str">
        <f t="shared" si="44"/>
        <v>Nursing Personnel</v>
      </c>
      <c r="E751">
        <f t="shared" si="45"/>
        <v>9632</v>
      </c>
    </row>
    <row r="752" spans="2:5" x14ac:dyDescent="0.35">
      <c r="D752" s="30" t="str">
        <f t="shared" si="44"/>
        <v>Midwifery personnel</v>
      </c>
      <c r="E752">
        <f t="shared" si="45"/>
        <v>0</v>
      </c>
    </row>
    <row r="753" spans="4:5" x14ac:dyDescent="0.35">
      <c r="D753" s="30" t="str">
        <f t="shared" si="44"/>
        <v>Pharmacists</v>
      </c>
      <c r="E753">
        <f t="shared" si="45"/>
        <v>0</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0</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0</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0</v>
      </c>
    </row>
    <row r="769" spans="2:5" x14ac:dyDescent="0.35">
      <c r="D769" s="30" t="str">
        <f t="shared" si="44"/>
        <v xml:space="preserve">Paramedical Practitioners </v>
      </c>
      <c r="E769">
        <f t="shared" si="45"/>
        <v>0</v>
      </c>
    </row>
    <row r="770" spans="2:5" x14ac:dyDescent="0.35">
      <c r="D770" s="30" t="str">
        <f t="shared" si="44"/>
        <v>Physiotherapists and physiotherapy assistants</v>
      </c>
      <c r="E770">
        <f t="shared" si="45"/>
        <v>0</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20921743.000000011</v>
      </c>
      <c r="D774" s="29" t="str">
        <f t="shared" si="44"/>
        <v>Medical Doctors</v>
      </c>
      <c r="E774">
        <f t="shared" ref="E774:E797" si="46">AG3</f>
        <v>1362</v>
      </c>
    </row>
    <row r="775" spans="2:5" x14ac:dyDescent="0.35">
      <c r="D775" s="30" t="str">
        <f t="shared" si="44"/>
        <v>Nursing Personnel</v>
      </c>
      <c r="E775">
        <f t="shared" si="46"/>
        <v>9492</v>
      </c>
    </row>
    <row r="776" spans="2:5" x14ac:dyDescent="0.35">
      <c r="D776" s="30" t="str">
        <f t="shared" si="44"/>
        <v>Midwifery personnel</v>
      </c>
      <c r="E776">
        <f t="shared" si="46"/>
        <v>1712</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188666930.99999988</v>
      </c>
      <c r="D798" s="29" t="str">
        <f t="shared" si="44"/>
        <v>Medical Doctors</v>
      </c>
      <c r="E798">
        <f t="shared" ref="E798:E821" si="47">AH3</f>
        <v>167130</v>
      </c>
    </row>
    <row r="799" spans="2:5" x14ac:dyDescent="0.35">
      <c r="D799" s="30" t="str">
        <f t="shared" si="44"/>
        <v>Nursing Personnel</v>
      </c>
      <c r="E799">
        <f t="shared" si="47"/>
        <v>370202</v>
      </c>
    </row>
    <row r="800" spans="2:5" x14ac:dyDescent="0.35">
      <c r="D800" s="30" t="str">
        <f t="shared" si="44"/>
        <v>Midwifery personnel</v>
      </c>
      <c r="E800">
        <f t="shared" si="47"/>
        <v>282550</v>
      </c>
    </row>
    <row r="801" spans="4:5" x14ac:dyDescent="0.35">
      <c r="D801" s="30" t="str">
        <f t="shared" si="44"/>
        <v>Pharmacists</v>
      </c>
      <c r="E801">
        <f t="shared" si="47"/>
        <v>459</v>
      </c>
    </row>
    <row r="802" spans="4:5" x14ac:dyDescent="0.35">
      <c r="D802" s="30" t="str">
        <f t="shared" si="44"/>
        <v>Dentists</v>
      </c>
      <c r="E802">
        <f t="shared" si="47"/>
        <v>56</v>
      </c>
    </row>
    <row r="803" spans="4:5" x14ac:dyDescent="0.35">
      <c r="D803" s="30" t="str">
        <f t="shared" si="44"/>
        <v xml:space="preserve">Community Health Workers </v>
      </c>
      <c r="E803">
        <f t="shared" si="47"/>
        <v>0</v>
      </c>
    </row>
    <row r="804" spans="4:5" x14ac:dyDescent="0.35">
      <c r="D804" s="30" t="str">
        <f t="shared" si="44"/>
        <v>Dieticians and nutritionists</v>
      </c>
      <c r="E804">
        <f t="shared" si="47"/>
        <v>44</v>
      </c>
    </row>
    <row r="805" spans="4:5" x14ac:dyDescent="0.35">
      <c r="D805" s="30" t="str">
        <f t="shared" si="44"/>
        <v>Environmental and occupational health &amp; hygiene workers</v>
      </c>
      <c r="E805">
        <f t="shared" si="47"/>
        <v>311</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0</v>
      </c>
    </row>
    <row r="809" spans="4:5" x14ac:dyDescent="0.35">
      <c r="D809" s="30" t="str">
        <f t="shared" si="44"/>
        <v xml:space="preserve">Medical and Pathology Laboratory scientists </v>
      </c>
      <c r="E809">
        <f t="shared" si="47"/>
        <v>0</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0</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0</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0</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0</v>
      </c>
    </row>
    <row r="819" spans="2:5" x14ac:dyDescent="0.35">
      <c r="D819" s="30" t="str">
        <f t="shared" si="48"/>
        <v>Social workers</v>
      </c>
      <c r="E819">
        <f t="shared" si="47"/>
        <v>0</v>
      </c>
    </row>
    <row r="820" spans="2:5" x14ac:dyDescent="0.35">
      <c r="D820" s="30" t="str">
        <f t="shared" si="48"/>
        <v xml:space="preserve">Audiologists and Speech Therapists </v>
      </c>
      <c r="E820">
        <f t="shared" si="47"/>
        <v>0</v>
      </c>
    </row>
    <row r="821" spans="2:5" x14ac:dyDescent="0.35">
      <c r="D821" s="30" t="str">
        <f t="shared" si="48"/>
        <v>Traditional and complementary medicine practitioners</v>
      </c>
      <c r="E821">
        <f t="shared" si="47"/>
        <v>0</v>
      </c>
    </row>
    <row r="822" spans="2:5" x14ac:dyDescent="0.35">
      <c r="B822" t="str">
        <f>AI1</f>
        <v>RWA</v>
      </c>
      <c r="C822">
        <f>AI2</f>
        <v>11930899.500000007</v>
      </c>
      <c r="D822" s="29" t="str">
        <f t="shared" si="48"/>
        <v>Medical Doctors</v>
      </c>
      <c r="E822">
        <f t="shared" ref="E822:E845" si="49">AI3</f>
        <v>2918</v>
      </c>
    </row>
    <row r="823" spans="2:5" x14ac:dyDescent="0.35">
      <c r="D823" s="30" t="str">
        <f t="shared" si="48"/>
        <v>Nursing Personnel</v>
      </c>
      <c r="E823">
        <f t="shared" si="49"/>
        <v>22562</v>
      </c>
    </row>
    <row r="824" spans="2:5" x14ac:dyDescent="0.35">
      <c r="D824" s="30" t="str">
        <f t="shared" si="48"/>
        <v>Midwifery personnel</v>
      </c>
      <c r="E824">
        <f t="shared" si="49"/>
        <v>2140</v>
      </c>
    </row>
    <row r="825" spans="2:5" x14ac:dyDescent="0.35">
      <c r="D825" s="30" t="str">
        <f t="shared" si="48"/>
        <v>Pharmacists</v>
      </c>
      <c r="E825">
        <f t="shared" si="49"/>
        <v>0</v>
      </c>
    </row>
    <row r="826" spans="2:5" x14ac:dyDescent="0.35">
      <c r="D826" s="30" t="str">
        <f t="shared" si="48"/>
        <v>Dentists</v>
      </c>
      <c r="E826">
        <f t="shared" si="49"/>
        <v>0</v>
      </c>
    </row>
    <row r="827" spans="2:5" x14ac:dyDescent="0.35">
      <c r="D827" s="30" t="str">
        <f t="shared" si="48"/>
        <v xml:space="preserve">Community Health Workers </v>
      </c>
      <c r="E827">
        <f t="shared" si="49"/>
        <v>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0</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14751356.499999994</v>
      </c>
      <c r="D846" s="29" t="str">
        <f t="shared" si="48"/>
        <v>Medical Doctors</v>
      </c>
      <c r="E846">
        <f t="shared" ref="E846:E869" si="50">AJ3</f>
        <v>3195</v>
      </c>
    </row>
    <row r="847" spans="2:5" x14ac:dyDescent="0.35">
      <c r="D847" s="30" t="str">
        <f t="shared" si="48"/>
        <v>Nursing Personnel</v>
      </c>
      <c r="E847">
        <f t="shared" si="50"/>
        <v>4980</v>
      </c>
    </row>
    <row r="848" spans="2:5" x14ac:dyDescent="0.35">
      <c r="D848" s="30" t="str">
        <f t="shared" si="48"/>
        <v>Midwifery personnel</v>
      </c>
      <c r="E848">
        <f t="shared" si="50"/>
        <v>4004</v>
      </c>
    </row>
    <row r="849" spans="4:5" x14ac:dyDescent="0.35">
      <c r="D849" s="30" t="str">
        <f t="shared" si="48"/>
        <v>Pharmacists</v>
      </c>
      <c r="E849">
        <f t="shared" si="50"/>
        <v>0</v>
      </c>
    </row>
    <row r="850" spans="4:5" x14ac:dyDescent="0.35">
      <c r="D850" s="30" t="str">
        <f t="shared" si="48"/>
        <v>Dentists</v>
      </c>
      <c r="E850">
        <f t="shared" si="50"/>
        <v>0</v>
      </c>
    </row>
    <row r="851" spans="4:5" x14ac:dyDescent="0.35">
      <c r="D851" s="30" t="str">
        <f t="shared" si="48"/>
        <v xml:space="preserve">Community Health Workers </v>
      </c>
      <c r="E851">
        <f t="shared" si="50"/>
        <v>5</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0</v>
      </c>
    </row>
    <row r="854" spans="4:5" x14ac:dyDescent="0.35">
      <c r="D854" s="30" t="str">
        <f t="shared" si="48"/>
        <v>Personal care workers in health service</v>
      </c>
      <c r="E854">
        <f t="shared" si="50"/>
        <v>0</v>
      </c>
    </row>
    <row r="855" spans="4:5" x14ac:dyDescent="0.35">
      <c r="D855" s="30" t="str">
        <f t="shared" si="48"/>
        <v xml:space="preserve">Managerial staff </v>
      </c>
      <c r="E855">
        <f t="shared" si="50"/>
        <v>0</v>
      </c>
    </row>
    <row r="856" spans="4:5" x14ac:dyDescent="0.35">
      <c r="D856" s="30" t="str">
        <f t="shared" si="48"/>
        <v xml:space="preserve">Medical and dental Prosthetic Technicians </v>
      </c>
      <c r="E856">
        <f t="shared" si="50"/>
        <v>57</v>
      </c>
    </row>
    <row r="857" spans="4:5" x14ac:dyDescent="0.35">
      <c r="D857" s="30" t="str">
        <f t="shared" si="48"/>
        <v xml:space="preserve">Medical and Pathology Laboratory scientists </v>
      </c>
      <c r="E857">
        <f t="shared" si="50"/>
        <v>0</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78</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37</v>
      </c>
    </row>
    <row r="865" spans="2:5" x14ac:dyDescent="0.35">
      <c r="D865" s="30" t="str">
        <f t="shared" si="48"/>
        <v xml:space="preserve">Paramedical Practitioners </v>
      </c>
      <c r="E865">
        <f t="shared" si="50"/>
        <v>0</v>
      </c>
    </row>
    <row r="866" spans="2:5" x14ac:dyDescent="0.35">
      <c r="D866" s="30" t="str">
        <f t="shared" si="48"/>
        <v>Physiotherapists and physiotherapy assistants</v>
      </c>
      <c r="E866">
        <f t="shared" si="50"/>
        <v>0</v>
      </c>
    </row>
    <row r="867" spans="2:5" x14ac:dyDescent="0.35">
      <c r="D867" s="30" t="str">
        <f t="shared" si="48"/>
        <v>Social workers</v>
      </c>
      <c r="E867">
        <f t="shared" si="50"/>
        <v>0</v>
      </c>
    </row>
    <row r="868" spans="2:5" x14ac:dyDescent="0.35">
      <c r="D868" s="30" t="str">
        <f t="shared" si="48"/>
        <v xml:space="preserve">Audiologists and Speech Therapists </v>
      </c>
      <c r="E868">
        <f t="shared" si="50"/>
        <v>0</v>
      </c>
    </row>
    <row r="869" spans="2:5" x14ac:dyDescent="0.35">
      <c r="D869" s="30" t="str">
        <f t="shared" si="48"/>
        <v>Traditional and complementary medicine practitioners</v>
      </c>
      <c r="E869">
        <f t="shared" si="50"/>
        <v>0</v>
      </c>
    </row>
    <row r="870" spans="2:5" x14ac:dyDescent="0.35">
      <c r="B870" t="str">
        <f>AK1</f>
        <v>SLE</v>
      </c>
      <c r="C870">
        <f>AK2</f>
        <v>7493912.9999999981</v>
      </c>
      <c r="D870" s="29" t="str">
        <f t="shared" si="48"/>
        <v>Medical Doctors</v>
      </c>
      <c r="E870">
        <f t="shared" ref="E870:E893" si="51">AK3</f>
        <v>0</v>
      </c>
    </row>
    <row r="871" spans="2:5" x14ac:dyDescent="0.35">
      <c r="D871" s="30" t="str">
        <f t="shared" si="48"/>
        <v>Nursing Personnel</v>
      </c>
      <c r="E871">
        <f t="shared" si="51"/>
        <v>10320</v>
      </c>
    </row>
    <row r="872" spans="2:5" x14ac:dyDescent="0.35">
      <c r="D872" s="30" t="str">
        <f t="shared" si="48"/>
        <v>Midwifery personnel</v>
      </c>
      <c r="E872">
        <f t="shared" si="51"/>
        <v>626</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14622</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0</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0</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11066105</v>
      </c>
      <c r="D894" s="29" t="str">
        <f t="shared" si="52"/>
        <v>Medical Doctors</v>
      </c>
      <c r="E894">
        <f t="shared" ref="E894:E917" si="53">AL3</f>
        <v>0</v>
      </c>
    </row>
    <row r="895" spans="2:5" x14ac:dyDescent="0.35">
      <c r="D895" s="30" t="str">
        <f t="shared" si="52"/>
        <v>Nursing Personnel</v>
      </c>
      <c r="E895">
        <f t="shared" si="53"/>
        <v>0</v>
      </c>
    </row>
    <row r="896" spans="2:5" x14ac:dyDescent="0.35">
      <c r="D896" s="30" t="str">
        <f t="shared" si="52"/>
        <v>Midwifery personnel</v>
      </c>
      <c r="E896">
        <f t="shared" si="53"/>
        <v>0</v>
      </c>
    </row>
    <row r="897" spans="4:5" x14ac:dyDescent="0.35">
      <c r="D897" s="30" t="str">
        <f t="shared" si="52"/>
        <v>Pharmacists</v>
      </c>
      <c r="E897">
        <f t="shared" si="53"/>
        <v>0</v>
      </c>
    </row>
    <row r="898" spans="4:5" x14ac:dyDescent="0.35">
      <c r="D898" s="30" t="str">
        <f t="shared" si="52"/>
        <v>Dentists</v>
      </c>
      <c r="E898">
        <f t="shared" si="53"/>
        <v>0</v>
      </c>
    </row>
    <row r="899" spans="4:5" x14ac:dyDescent="0.35">
      <c r="D899" s="30" t="str">
        <f t="shared" si="52"/>
        <v xml:space="preserve">Community Health Workers </v>
      </c>
      <c r="E899">
        <f t="shared" si="53"/>
        <v>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0</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204632.49999999985</v>
      </c>
      <c r="D918" s="29" t="str">
        <f t="shared" si="52"/>
        <v>Medical Doctors</v>
      </c>
      <c r="E918">
        <f t="shared" ref="E918:E941" si="54">AM3</f>
        <v>0</v>
      </c>
    </row>
    <row r="919" spans="2:5" x14ac:dyDescent="0.35">
      <c r="D919" s="30" t="str">
        <f t="shared" si="52"/>
        <v>Nursing Personnel</v>
      </c>
      <c r="E919">
        <f t="shared" si="54"/>
        <v>0</v>
      </c>
    </row>
    <row r="920" spans="2:5" x14ac:dyDescent="0.35">
      <c r="D920" s="30" t="str">
        <f t="shared" si="52"/>
        <v>Midwifery personnel</v>
      </c>
      <c r="E920">
        <f t="shared" si="54"/>
        <v>0</v>
      </c>
    </row>
    <row r="921" spans="2:5" x14ac:dyDescent="0.35">
      <c r="D921" s="30" t="str">
        <f t="shared" si="52"/>
        <v>Pharmacists</v>
      </c>
      <c r="E921">
        <f t="shared" si="54"/>
        <v>27</v>
      </c>
    </row>
    <row r="922" spans="2:5" x14ac:dyDescent="0.35">
      <c r="D922" s="30" t="str">
        <f t="shared" si="52"/>
        <v>Dentists</v>
      </c>
      <c r="E922">
        <f t="shared" si="54"/>
        <v>225</v>
      </c>
    </row>
    <row r="923" spans="2:5" x14ac:dyDescent="0.35">
      <c r="D923" s="30" t="str">
        <f t="shared" si="52"/>
        <v xml:space="preserve">Community Health Workers </v>
      </c>
      <c r="E923">
        <f t="shared" si="54"/>
        <v>0</v>
      </c>
    </row>
    <row r="924" spans="2:5" x14ac:dyDescent="0.35">
      <c r="D924" s="30" t="str">
        <f t="shared" si="52"/>
        <v>Dieticians and nutritionists</v>
      </c>
      <c r="E924">
        <f t="shared" si="54"/>
        <v>0</v>
      </c>
    </row>
    <row r="925" spans="2:5" x14ac:dyDescent="0.35">
      <c r="D925" s="30" t="str">
        <f t="shared" si="52"/>
        <v>Environmental and occupational health &amp; hygiene workers</v>
      </c>
      <c r="E925">
        <f t="shared" si="54"/>
        <v>0</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1142524</v>
      </c>
      <c r="D942" s="29" t="str">
        <f t="shared" ref="D942:D1005" si="55">D918</f>
        <v>Medical Doctors</v>
      </c>
      <c r="E942">
        <f t="shared" ref="E942:E965" si="56">AN3</f>
        <v>220</v>
      </c>
    </row>
    <row r="943" spans="2:5" x14ac:dyDescent="0.35">
      <c r="D943" s="30" t="str">
        <f t="shared" si="55"/>
        <v>Nursing Personnel</v>
      </c>
      <c r="E943">
        <f t="shared" si="56"/>
        <v>8400</v>
      </c>
    </row>
    <row r="944" spans="2:5" x14ac:dyDescent="0.35">
      <c r="D944" s="30" t="str">
        <f t="shared" si="55"/>
        <v>Midwifery personnel</v>
      </c>
      <c r="E944">
        <f t="shared" si="56"/>
        <v>0</v>
      </c>
    </row>
    <row r="945" spans="4:5" x14ac:dyDescent="0.35">
      <c r="D945" s="30" t="str">
        <f t="shared" si="55"/>
        <v>Pharmacists</v>
      </c>
      <c r="E945">
        <f t="shared" si="56"/>
        <v>0</v>
      </c>
    </row>
    <row r="946" spans="4:5" x14ac:dyDescent="0.35">
      <c r="D946" s="30" t="str">
        <f t="shared" si="55"/>
        <v>Dentists</v>
      </c>
      <c r="E946">
        <f t="shared" si="56"/>
        <v>0</v>
      </c>
    </row>
    <row r="947" spans="4:5" x14ac:dyDescent="0.35">
      <c r="D947" s="30" t="str">
        <f t="shared" si="55"/>
        <v xml:space="preserve">Community Health Workers </v>
      </c>
      <c r="E947">
        <f t="shared" si="56"/>
        <v>0</v>
      </c>
    </row>
    <row r="948" spans="4:5" x14ac:dyDescent="0.35">
      <c r="D948" s="30" t="str">
        <f t="shared" si="55"/>
        <v>Dieticians and nutritionists</v>
      </c>
      <c r="E948">
        <f t="shared" si="56"/>
        <v>0</v>
      </c>
    </row>
    <row r="949" spans="4:5" x14ac:dyDescent="0.35">
      <c r="D949" s="30" t="str">
        <f t="shared" si="55"/>
        <v>Environmental and occupational health &amp; hygiene workers</v>
      </c>
      <c r="E949">
        <f t="shared" si="56"/>
        <v>0</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100508.49999999997</v>
      </c>
      <c r="D966" s="29" t="str">
        <f t="shared" si="55"/>
        <v>Medical Doctors</v>
      </c>
      <c r="E966">
        <f t="shared" ref="E966:E989" si="57">AO3</f>
        <v>410</v>
      </c>
    </row>
    <row r="967" spans="2:5" x14ac:dyDescent="0.35">
      <c r="D967" s="30" t="str">
        <f t="shared" si="55"/>
        <v>Nursing Personnel</v>
      </c>
      <c r="E967">
        <f t="shared" si="57"/>
        <v>1368</v>
      </c>
    </row>
    <row r="968" spans="2:5" x14ac:dyDescent="0.35">
      <c r="D968" s="30" t="str">
        <f t="shared" si="55"/>
        <v>Midwifery personnel</v>
      </c>
      <c r="E968">
        <f t="shared" si="57"/>
        <v>178</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14592585.000000004</v>
      </c>
      <c r="D990" s="29" t="str">
        <f t="shared" si="55"/>
        <v>Medical Doctors</v>
      </c>
      <c r="E990">
        <f t="shared" ref="E990:E1013" si="58">AP3</f>
        <v>1080</v>
      </c>
    </row>
    <row r="991" spans="2:5" x14ac:dyDescent="0.35">
      <c r="D991" s="30" t="str">
        <f t="shared" si="55"/>
        <v>Nursing Personnel</v>
      </c>
      <c r="E991">
        <f t="shared" si="58"/>
        <v>6212</v>
      </c>
    </row>
    <row r="992" spans="2:5" x14ac:dyDescent="0.35">
      <c r="D992" s="30" t="str">
        <f t="shared" si="55"/>
        <v>Midwifery personnel</v>
      </c>
      <c r="E992">
        <f t="shared" si="58"/>
        <v>0</v>
      </c>
    </row>
    <row r="993" spans="4:5" x14ac:dyDescent="0.35">
      <c r="D993" s="30" t="str">
        <f t="shared" si="55"/>
        <v>Pharmacists</v>
      </c>
      <c r="E993">
        <f t="shared" si="58"/>
        <v>119</v>
      </c>
    </row>
    <row r="994" spans="4:5" x14ac:dyDescent="0.35">
      <c r="D994" s="30" t="str">
        <f t="shared" si="55"/>
        <v>Dentists</v>
      </c>
      <c r="E994">
        <f t="shared" si="58"/>
        <v>14</v>
      </c>
    </row>
    <row r="995" spans="4:5" x14ac:dyDescent="0.35">
      <c r="D995" s="30" t="str">
        <f t="shared" si="55"/>
        <v xml:space="preserve">Community Health Workers </v>
      </c>
      <c r="E995">
        <f t="shared" si="58"/>
        <v>0</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0</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7661353.5000000019</v>
      </c>
      <c r="D1014" s="29" t="str">
        <f t="shared" si="59"/>
        <v>Medical Doctors</v>
      </c>
      <c r="E1014">
        <f t="shared" ref="E1014:E1037" si="60">AQ3</f>
        <v>964</v>
      </c>
    </row>
    <row r="1015" spans="2:5" x14ac:dyDescent="0.35">
      <c r="D1015" s="30" t="str">
        <f t="shared" si="59"/>
        <v>Nursing Personnel</v>
      </c>
      <c r="E1015">
        <f t="shared" si="60"/>
        <v>2838</v>
      </c>
    </row>
    <row r="1016" spans="2:5" x14ac:dyDescent="0.35">
      <c r="D1016" s="30" t="str">
        <f t="shared" si="59"/>
        <v>Midwifery personnel</v>
      </c>
      <c r="E1016">
        <f t="shared" si="60"/>
        <v>1922</v>
      </c>
    </row>
    <row r="1017" spans="2:5" x14ac:dyDescent="0.35">
      <c r="D1017" s="30" t="str">
        <f t="shared" si="59"/>
        <v>Pharmacists</v>
      </c>
      <c r="E1017">
        <f t="shared" si="60"/>
        <v>0</v>
      </c>
    </row>
    <row r="1018" spans="2:5" x14ac:dyDescent="0.35">
      <c r="D1018" s="30" t="str">
        <f t="shared" si="59"/>
        <v>Dentists</v>
      </c>
      <c r="E1018">
        <f t="shared" si="60"/>
        <v>0</v>
      </c>
    </row>
    <row r="1019" spans="2:5" x14ac:dyDescent="0.35">
      <c r="D1019" s="30" t="str">
        <f t="shared" si="59"/>
        <v xml:space="preserve">Community Health Workers </v>
      </c>
      <c r="E1019">
        <f t="shared" si="60"/>
        <v>0</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2249</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50</v>
      </c>
    </row>
    <row r="1025" spans="2:5" x14ac:dyDescent="0.35">
      <c r="D1025" s="30" t="str">
        <f t="shared" si="59"/>
        <v xml:space="preserve">Medical and Pathology Laboratory scientists </v>
      </c>
      <c r="E1025">
        <f t="shared" si="60"/>
        <v>276</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112</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2</v>
      </c>
    </row>
    <row r="1030" spans="2:5" x14ac:dyDescent="0.35">
      <c r="D1030" s="30" t="str">
        <f t="shared" si="59"/>
        <v xml:space="preserve">Other non-medical professional staff </v>
      </c>
      <c r="E1030">
        <f t="shared" si="60"/>
        <v>1340</v>
      </c>
    </row>
    <row r="1031" spans="2:5" x14ac:dyDescent="0.35">
      <c r="D1031" s="30" t="str">
        <f t="shared" si="59"/>
        <v xml:space="preserve">Other non-medical support staff </v>
      </c>
      <c r="E1031">
        <f t="shared" si="60"/>
        <v>1264</v>
      </c>
    </row>
    <row r="1032" spans="2:5" x14ac:dyDescent="0.35">
      <c r="D1032" s="30" t="str">
        <f t="shared" si="59"/>
        <v xml:space="preserve">Medical and Pathology Laboratory Technicians </v>
      </c>
      <c r="E1032">
        <f t="shared" si="60"/>
        <v>129</v>
      </c>
    </row>
    <row r="1033" spans="2:5" x14ac:dyDescent="0.35">
      <c r="D1033" s="30" t="str">
        <f t="shared" si="59"/>
        <v xml:space="preserve">Paramedical Practitioners </v>
      </c>
      <c r="E1033">
        <f t="shared" si="60"/>
        <v>638</v>
      </c>
    </row>
    <row r="1034" spans="2:5" x14ac:dyDescent="0.35">
      <c r="D1034" s="30" t="str">
        <f t="shared" si="59"/>
        <v>Physiotherapists and physiotherapy assistants</v>
      </c>
      <c r="E1034">
        <f t="shared" si="60"/>
        <v>152</v>
      </c>
    </row>
    <row r="1035" spans="2:5" x14ac:dyDescent="0.35">
      <c r="D1035" s="30" t="str">
        <f t="shared" si="59"/>
        <v>Social workers</v>
      </c>
      <c r="E1035">
        <f t="shared" si="60"/>
        <v>14</v>
      </c>
    </row>
    <row r="1036" spans="2:5" x14ac:dyDescent="0.35">
      <c r="D1036" s="30" t="str">
        <f t="shared" si="59"/>
        <v xml:space="preserve">Audiologists and Speech Therapists </v>
      </c>
      <c r="E1036">
        <f t="shared" si="60"/>
        <v>9</v>
      </c>
    </row>
    <row r="1037" spans="2:5" x14ac:dyDescent="0.35">
      <c r="D1037" s="30" t="str">
        <f t="shared" si="59"/>
        <v>Traditional and complementary medicine practitioners</v>
      </c>
      <c r="E1037">
        <f t="shared" si="60"/>
        <v>0</v>
      </c>
    </row>
    <row r="1038" spans="2:5" x14ac:dyDescent="0.35">
      <c r="B1038" t="str">
        <f>AR1</f>
        <v>TZA</v>
      </c>
      <c r="C1038">
        <f>AR2</f>
        <v>54401801.500000007</v>
      </c>
      <c r="D1038" s="29" t="str">
        <f t="shared" si="59"/>
        <v>Medical Doctors</v>
      </c>
      <c r="E1038">
        <f t="shared" ref="E1038:E1061" si="61">AR3</f>
        <v>67</v>
      </c>
    </row>
    <row r="1039" spans="2:5" x14ac:dyDescent="0.35">
      <c r="D1039" s="30" t="str">
        <f t="shared" si="59"/>
        <v>Nursing Personnel</v>
      </c>
      <c r="E1039">
        <f t="shared" si="61"/>
        <v>0</v>
      </c>
    </row>
    <row r="1040" spans="2:5" x14ac:dyDescent="0.35">
      <c r="D1040" s="30" t="str">
        <f t="shared" si="59"/>
        <v>Midwifery personnel</v>
      </c>
      <c r="E1040">
        <f t="shared" si="61"/>
        <v>0</v>
      </c>
    </row>
    <row r="1041" spans="4:5" x14ac:dyDescent="0.35">
      <c r="D1041" s="30" t="str">
        <f t="shared" si="59"/>
        <v>Pharmacists</v>
      </c>
      <c r="E1041">
        <f t="shared" si="61"/>
        <v>1200</v>
      </c>
    </row>
    <row r="1042" spans="4:5" x14ac:dyDescent="0.35">
      <c r="D1042" s="30" t="str">
        <f t="shared" si="59"/>
        <v>Dentists</v>
      </c>
      <c r="E1042">
        <f t="shared" si="61"/>
        <v>0</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0</v>
      </c>
    </row>
    <row r="1045" spans="4:5" x14ac:dyDescent="0.35">
      <c r="D1045" s="30" t="str">
        <f t="shared" si="59"/>
        <v>Environmental and occupational health &amp; hygiene workers</v>
      </c>
      <c r="E1045">
        <f t="shared" si="61"/>
        <v>0</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0</v>
      </c>
    </row>
    <row r="1049" spans="4:5" x14ac:dyDescent="0.35">
      <c r="D1049" s="30" t="str">
        <f t="shared" si="59"/>
        <v xml:space="preserve">Medical and Pathology Laboratory scientists </v>
      </c>
      <c r="E1049">
        <f t="shared" si="61"/>
        <v>0</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0</v>
      </c>
    </row>
    <row r="1057" spans="2:5" x14ac:dyDescent="0.35">
      <c r="D1057" s="30" t="str">
        <f t="shared" si="59"/>
        <v xml:space="preserve">Paramedical Practitioners </v>
      </c>
      <c r="E1057">
        <f t="shared" si="61"/>
        <v>0</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38748298.999999978</v>
      </c>
      <c r="D1062" s="29" t="str">
        <f t="shared" si="59"/>
        <v>Medical Doctors</v>
      </c>
      <c r="E1062">
        <f t="shared" ref="E1062:E1085" si="62">AS3</f>
        <v>42</v>
      </c>
    </row>
    <row r="1063" spans="2:5" x14ac:dyDescent="0.35">
      <c r="D1063" s="30" t="str">
        <f t="shared" si="59"/>
        <v>Nursing Personnel</v>
      </c>
      <c r="E1063">
        <f t="shared" si="62"/>
        <v>110456</v>
      </c>
    </row>
    <row r="1064" spans="2:5" x14ac:dyDescent="0.35">
      <c r="D1064" s="30" t="str">
        <f t="shared" si="59"/>
        <v>Midwifery personnel</v>
      </c>
      <c r="E1064">
        <f t="shared" si="62"/>
        <v>19604</v>
      </c>
    </row>
    <row r="1065" spans="2:5" x14ac:dyDescent="0.35">
      <c r="D1065" s="30" t="str">
        <f t="shared" si="59"/>
        <v>Pharmacists</v>
      </c>
      <c r="E1065">
        <f t="shared" si="62"/>
        <v>0</v>
      </c>
    </row>
    <row r="1066" spans="2:5" x14ac:dyDescent="0.35">
      <c r="D1066" s="30" t="str">
        <f t="shared" si="59"/>
        <v>Dentists</v>
      </c>
      <c r="E1066">
        <f t="shared" si="62"/>
        <v>0</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5112</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56422273.499999985</v>
      </c>
      <c r="D1086" s="29" t="str">
        <f t="shared" si="63"/>
        <v>Medical Doctors</v>
      </c>
      <c r="E1086">
        <f t="shared" ref="E1086:E1109" si="64">AT3</f>
        <v>87529</v>
      </c>
    </row>
    <row r="1087" spans="2:5" x14ac:dyDescent="0.35">
      <c r="D1087" s="30" t="str">
        <f t="shared" si="63"/>
        <v>Nursing Personnel</v>
      </c>
      <c r="E1087">
        <f t="shared" si="64"/>
        <v>0</v>
      </c>
    </row>
    <row r="1088" spans="2:5" x14ac:dyDescent="0.35">
      <c r="D1088" s="30" t="str">
        <f t="shared" si="63"/>
        <v>Midwifery personnel</v>
      </c>
      <c r="E1088">
        <f t="shared" si="64"/>
        <v>2568</v>
      </c>
    </row>
    <row r="1089" spans="4:5" x14ac:dyDescent="0.35">
      <c r="D1089" s="30" t="str">
        <f t="shared" si="63"/>
        <v>Pharmacists</v>
      </c>
      <c r="E1089">
        <f t="shared" si="64"/>
        <v>2355</v>
      </c>
    </row>
    <row r="1090" spans="4:5" x14ac:dyDescent="0.35">
      <c r="D1090" s="30" t="str">
        <f t="shared" si="63"/>
        <v>Dentists</v>
      </c>
      <c r="E1090">
        <f t="shared" si="64"/>
        <v>1090</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4802</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8484</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3725</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5377</v>
      </c>
    </row>
    <row r="1105" spans="2:5" x14ac:dyDescent="0.35">
      <c r="D1105" s="30" t="str">
        <f t="shared" si="63"/>
        <v xml:space="preserve">Paramedical Practitioners </v>
      </c>
      <c r="E1105">
        <f t="shared" si="64"/>
        <v>0</v>
      </c>
    </row>
    <row r="1106" spans="2:5" x14ac:dyDescent="0.35">
      <c r="D1106" s="30" t="str">
        <f t="shared" si="63"/>
        <v>Physiotherapists and physiotherapy assistants</v>
      </c>
      <c r="E1106">
        <f t="shared" si="64"/>
        <v>7451</v>
      </c>
    </row>
    <row r="1107" spans="2:5" x14ac:dyDescent="0.35">
      <c r="D1107" s="30" t="str">
        <f t="shared" si="63"/>
        <v>Social workers</v>
      </c>
      <c r="E1107">
        <f t="shared" si="64"/>
        <v>0</v>
      </c>
    </row>
    <row r="1108" spans="2:5" x14ac:dyDescent="0.35">
      <c r="D1108" s="30" t="str">
        <f t="shared" si="63"/>
        <v xml:space="preserve">Audiologists and Speech Therapists </v>
      </c>
      <c r="E1108">
        <f t="shared" si="64"/>
        <v>3140</v>
      </c>
    </row>
    <row r="1109" spans="2:5" x14ac:dyDescent="0.35">
      <c r="D1109" s="30" t="str">
        <f t="shared" si="63"/>
        <v>Traditional and complementary medicine practitioners</v>
      </c>
      <c r="E1109">
        <f t="shared" si="64"/>
        <v>0</v>
      </c>
    </row>
    <row r="1110" spans="2:5" x14ac:dyDescent="0.35">
      <c r="B1110" t="str">
        <f>AU1</f>
        <v>ZMB</v>
      </c>
      <c r="C1110">
        <f>AU2</f>
        <v>16767760.499999996</v>
      </c>
      <c r="D1110" s="29" t="str">
        <f t="shared" si="63"/>
        <v>Medical Doctors</v>
      </c>
      <c r="E1110">
        <f t="shared" ref="E1110:E1133" si="65">AU3</f>
        <v>3074</v>
      </c>
    </row>
    <row r="1111" spans="2:5" x14ac:dyDescent="0.35">
      <c r="D1111" s="30" t="str">
        <f t="shared" si="63"/>
        <v>Nursing Personnel</v>
      </c>
      <c r="E1111">
        <f t="shared" si="65"/>
        <v>0</v>
      </c>
    </row>
    <row r="1112" spans="2:5" x14ac:dyDescent="0.35">
      <c r="D1112" s="30" t="str">
        <f t="shared" si="63"/>
        <v>Midwifery personnel</v>
      </c>
      <c r="E1112">
        <f t="shared" si="65"/>
        <v>6666</v>
      </c>
    </row>
    <row r="1113" spans="2:5" x14ac:dyDescent="0.35">
      <c r="D1113" s="30" t="str">
        <f t="shared" si="63"/>
        <v>Pharmacists</v>
      </c>
      <c r="E1113">
        <f t="shared" si="65"/>
        <v>0</v>
      </c>
    </row>
    <row r="1114" spans="2:5" x14ac:dyDescent="0.35">
      <c r="D1114" s="30" t="str">
        <f t="shared" si="63"/>
        <v>Dentists</v>
      </c>
      <c r="E1114">
        <f t="shared" si="65"/>
        <v>0</v>
      </c>
    </row>
    <row r="1115" spans="2:5" x14ac:dyDescent="0.35">
      <c r="D1115" s="30" t="str">
        <f t="shared" si="63"/>
        <v xml:space="preserve">Community Health Workers </v>
      </c>
      <c r="E1115">
        <f t="shared" si="65"/>
        <v>0</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921</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419</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0</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0</v>
      </c>
    </row>
    <row r="1129" spans="2:5" x14ac:dyDescent="0.35">
      <c r="D1129" s="30" t="str">
        <f t="shared" si="63"/>
        <v xml:space="preserve">Paramedical Practitioners </v>
      </c>
      <c r="E1129">
        <f t="shared" si="65"/>
        <v>1814</v>
      </c>
    </row>
    <row r="1130" spans="2:5" x14ac:dyDescent="0.35">
      <c r="D1130" s="30" t="str">
        <f t="shared" si="63"/>
        <v>Physiotherapists and physiotherapy assistants</v>
      </c>
      <c r="E1130">
        <f t="shared" si="65"/>
        <v>432</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14452704.499999994</v>
      </c>
      <c r="D1134" s="29" t="str">
        <f t="shared" ref="D1134:D1180" si="66">D1110</f>
        <v>Medical Doctors</v>
      </c>
      <c r="E1134">
        <f t="shared" ref="E1134:E1157" si="67">AV3</f>
        <v>5458</v>
      </c>
    </row>
    <row r="1135" spans="2:5" x14ac:dyDescent="0.35">
      <c r="D1135" s="30" t="str">
        <f t="shared" si="66"/>
        <v>Nursing Personnel</v>
      </c>
      <c r="E1135">
        <f t="shared" si="67"/>
        <v>42747</v>
      </c>
    </row>
    <row r="1136" spans="2:5" x14ac:dyDescent="0.35">
      <c r="D1136" s="30" t="str">
        <f t="shared" si="66"/>
        <v>Midwifery personnel</v>
      </c>
      <c r="E1136">
        <f t="shared" si="67"/>
        <v>0</v>
      </c>
    </row>
    <row r="1137" spans="4:5" x14ac:dyDescent="0.35">
      <c r="D1137" s="30" t="str">
        <f t="shared" si="66"/>
        <v>Pharmacists</v>
      </c>
      <c r="E1137">
        <f t="shared" si="67"/>
        <v>0</v>
      </c>
    </row>
    <row r="1138" spans="4:5" x14ac:dyDescent="0.35">
      <c r="D1138" s="30" t="str">
        <f t="shared" si="66"/>
        <v>Dentists</v>
      </c>
      <c r="E1138">
        <f t="shared" si="67"/>
        <v>0</v>
      </c>
    </row>
    <row r="1139" spans="4:5" x14ac:dyDescent="0.35">
      <c r="D1139" s="30" t="str">
        <f t="shared" si="66"/>
        <v xml:space="preserve">Community Health Workers </v>
      </c>
      <c r="E1139">
        <f t="shared" si="67"/>
        <v>0</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551</v>
      </c>
    </row>
    <row r="1143" spans="4:5" x14ac:dyDescent="0.35">
      <c r="D1143" s="30" t="str">
        <f t="shared" si="66"/>
        <v xml:space="preserve">Managerial staff </v>
      </c>
      <c r="E1143">
        <f t="shared" si="67"/>
        <v>257</v>
      </c>
    </row>
    <row r="1144" spans="4:5" x14ac:dyDescent="0.35">
      <c r="D1144" s="30" t="str">
        <f t="shared" si="66"/>
        <v xml:space="preserve">Medical and dental Prosthetic Technicians </v>
      </c>
      <c r="E1144">
        <f t="shared" si="67"/>
        <v>17</v>
      </c>
    </row>
    <row r="1145" spans="4:5" x14ac:dyDescent="0.35">
      <c r="D1145" s="30" t="str">
        <f t="shared" si="66"/>
        <v xml:space="preserve">Medical and Pathology Laboratory scientists </v>
      </c>
      <c r="E1145">
        <f t="shared" si="67"/>
        <v>0</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320</v>
      </c>
    </row>
    <row r="1148" spans="4:5" x14ac:dyDescent="0.35">
      <c r="D1148" s="30" t="str">
        <f t="shared" si="66"/>
        <v xml:space="preserve">Medical Records and Health Information Technicians </v>
      </c>
      <c r="E1148">
        <f t="shared" si="67"/>
        <v>678</v>
      </c>
    </row>
    <row r="1149" spans="4:5" x14ac:dyDescent="0.35">
      <c r="D1149" s="30" t="str">
        <f t="shared" si="66"/>
        <v xml:space="preserve">Optometrists and Ophthalmic Opticians </v>
      </c>
      <c r="E1149">
        <f t="shared" si="67"/>
        <v>13</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600</v>
      </c>
    </row>
    <row r="1153" spans="2:5" x14ac:dyDescent="0.35">
      <c r="D1153" s="30" t="str">
        <f t="shared" si="66"/>
        <v xml:space="preserve">Paramedical Practitioners </v>
      </c>
      <c r="E1153">
        <f t="shared" si="67"/>
        <v>130</v>
      </c>
    </row>
    <row r="1154" spans="2:5" x14ac:dyDescent="0.35">
      <c r="D1154" s="30" t="str">
        <f t="shared" si="66"/>
        <v>Physiotherapists and physiotherapy assistants</v>
      </c>
      <c r="E1154">
        <f t="shared" si="67"/>
        <v>432</v>
      </c>
    </row>
    <row r="1155" spans="2:5" x14ac:dyDescent="0.35">
      <c r="D1155" s="30" t="str">
        <f t="shared" si="66"/>
        <v>Social workers</v>
      </c>
      <c r="E1155">
        <f t="shared" si="67"/>
        <v>0</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1022861293.4999999</v>
      </c>
      <c r="D1158" s="29" t="str">
        <f t="shared" si="66"/>
        <v>Medical Doctors</v>
      </c>
      <c r="E1158">
        <f t="shared" ref="E1158:E1181" si="68">AW3</f>
        <v>453687</v>
      </c>
    </row>
    <row r="1159" spans="2:5" x14ac:dyDescent="0.35">
      <c r="D1159" s="30" t="str">
        <f t="shared" si="66"/>
        <v>Nursing Personnel</v>
      </c>
      <c r="E1159">
        <f t="shared" si="68"/>
        <v>1219679</v>
      </c>
    </row>
    <row r="1160" spans="2:5" x14ac:dyDescent="0.35">
      <c r="D1160" s="30" t="str">
        <f t="shared" si="66"/>
        <v>Midwifery personnel</v>
      </c>
      <c r="E1160">
        <f t="shared" si="68"/>
        <v>406134</v>
      </c>
    </row>
    <row r="1161" spans="2:5" x14ac:dyDescent="0.35">
      <c r="D1161" s="30" t="str">
        <f t="shared" si="66"/>
        <v>Pharmacists</v>
      </c>
      <c r="E1161">
        <f t="shared" si="68"/>
        <v>50508</v>
      </c>
    </row>
    <row r="1162" spans="2:5" x14ac:dyDescent="0.35">
      <c r="D1162" s="30" t="str">
        <f t="shared" si="66"/>
        <v>Dentists</v>
      </c>
      <c r="E1162">
        <f t="shared" si="68"/>
        <v>11208</v>
      </c>
    </row>
    <row r="1163" spans="2:5" x14ac:dyDescent="0.35">
      <c r="D1163" s="30" t="str">
        <f t="shared" si="66"/>
        <v xml:space="preserve">Community Health Workers </v>
      </c>
      <c r="E1163">
        <f t="shared" si="68"/>
        <v>21327</v>
      </c>
    </row>
    <row r="1164" spans="2:5" x14ac:dyDescent="0.35">
      <c r="D1164" s="30" t="str">
        <f t="shared" si="66"/>
        <v>Dieticians and nutritionists</v>
      </c>
      <c r="E1164">
        <f t="shared" si="68"/>
        <v>4971</v>
      </c>
    </row>
    <row r="1165" spans="2:5" x14ac:dyDescent="0.35">
      <c r="D1165" s="30" t="str">
        <f t="shared" si="66"/>
        <v>Environmental and occupational health &amp; hygiene workers</v>
      </c>
      <c r="E1165">
        <f t="shared" si="68"/>
        <v>17269</v>
      </c>
    </row>
    <row r="1166" spans="2:5" x14ac:dyDescent="0.35">
      <c r="D1166" s="30" t="str">
        <f t="shared" si="66"/>
        <v>Personal care workers in health service</v>
      </c>
      <c r="E1166">
        <f t="shared" si="68"/>
        <v>3365</v>
      </c>
    </row>
    <row r="1167" spans="2:5" x14ac:dyDescent="0.35">
      <c r="D1167" s="30" t="str">
        <f t="shared" si="66"/>
        <v xml:space="preserve">Managerial staff </v>
      </c>
      <c r="E1167">
        <f t="shared" si="68"/>
        <v>257</v>
      </c>
    </row>
    <row r="1168" spans="2:5" x14ac:dyDescent="0.35">
      <c r="D1168" s="30" t="str">
        <f t="shared" si="66"/>
        <v xml:space="preserve">Medical and dental Prosthetic Technicians </v>
      </c>
      <c r="E1168">
        <f t="shared" si="68"/>
        <v>191</v>
      </c>
    </row>
    <row r="1169" spans="4:5" x14ac:dyDescent="0.35">
      <c r="D1169" s="30" t="str">
        <f t="shared" si="66"/>
        <v xml:space="preserve">Medical and Pathology Laboratory scientists </v>
      </c>
      <c r="E1169">
        <f t="shared" si="68"/>
        <v>6157</v>
      </c>
    </row>
    <row r="1170" spans="4:5" x14ac:dyDescent="0.35">
      <c r="D1170" s="30" t="str">
        <f t="shared" si="66"/>
        <v xml:space="preserve">Medical Assistants </v>
      </c>
      <c r="E1170">
        <f t="shared" si="68"/>
        <v>0</v>
      </c>
    </row>
    <row r="1171" spans="4:5" x14ac:dyDescent="0.35">
      <c r="D1171" s="30" t="str">
        <f t="shared" si="66"/>
        <v xml:space="preserve">Medical Imaging and Therapeutic Equipment Technicians </v>
      </c>
      <c r="E1171">
        <f t="shared" si="68"/>
        <v>9721</v>
      </c>
    </row>
    <row r="1172" spans="4:5" x14ac:dyDescent="0.35">
      <c r="D1172" s="30" t="str">
        <f t="shared" si="66"/>
        <v xml:space="preserve">Medical Records and Health Information Technicians </v>
      </c>
      <c r="E1172">
        <f t="shared" si="68"/>
        <v>678</v>
      </c>
    </row>
    <row r="1173" spans="4:5" x14ac:dyDescent="0.35">
      <c r="D1173" s="30" t="str">
        <f t="shared" si="66"/>
        <v xml:space="preserve">Optometrists and Ophthalmic Opticians </v>
      </c>
      <c r="E1173">
        <f t="shared" si="68"/>
        <v>3740</v>
      </c>
    </row>
    <row r="1174" spans="4:5" x14ac:dyDescent="0.35">
      <c r="D1174" s="30" t="str">
        <f t="shared" si="66"/>
        <v xml:space="preserve">Other non-medical professional staff </v>
      </c>
      <c r="E1174">
        <f t="shared" si="68"/>
        <v>1340</v>
      </c>
    </row>
    <row r="1175" spans="4:5" x14ac:dyDescent="0.35">
      <c r="D1175" s="30" t="str">
        <f t="shared" si="66"/>
        <v xml:space="preserve">Other non-medical support staff </v>
      </c>
      <c r="E1175">
        <f t="shared" si="68"/>
        <v>1264</v>
      </c>
    </row>
    <row r="1176" spans="4:5" x14ac:dyDescent="0.35">
      <c r="D1176" s="30" t="str">
        <f t="shared" si="66"/>
        <v xml:space="preserve">Medical and Pathology Laboratory Technicians </v>
      </c>
      <c r="E1176">
        <f t="shared" si="68"/>
        <v>8218</v>
      </c>
    </row>
    <row r="1177" spans="4:5" x14ac:dyDescent="0.35">
      <c r="D1177" s="30" t="str">
        <f t="shared" si="66"/>
        <v xml:space="preserve">Paramedical Practitioners </v>
      </c>
      <c r="E1177">
        <f t="shared" si="68"/>
        <v>3752</v>
      </c>
    </row>
    <row r="1178" spans="4:5" x14ac:dyDescent="0.35">
      <c r="D1178" s="30" t="str">
        <f t="shared" si="66"/>
        <v>Physiotherapists and physiotherapy assistants</v>
      </c>
      <c r="E1178">
        <f t="shared" si="68"/>
        <v>8467</v>
      </c>
    </row>
    <row r="1179" spans="4:5" x14ac:dyDescent="0.35">
      <c r="D1179" s="30" t="str">
        <f t="shared" si="66"/>
        <v>Social workers</v>
      </c>
      <c r="E1179">
        <f t="shared" si="68"/>
        <v>14</v>
      </c>
    </row>
    <row r="1180" spans="4:5" x14ac:dyDescent="0.35">
      <c r="D1180" s="30" t="str">
        <f t="shared" si="66"/>
        <v xml:space="preserve">Audiologists and Speech Therapists </v>
      </c>
      <c r="E1180">
        <f t="shared" si="68"/>
        <v>3149</v>
      </c>
    </row>
    <row r="1181" spans="4:5" x14ac:dyDescent="0.35">
      <c r="D1181" s="30" t="str">
        <f t="shared" ref="D1181" si="69">D1157</f>
        <v>Traditional and complementary medicine practitioners</v>
      </c>
      <c r="E1181">
        <f t="shared" si="68"/>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4F39A-45E4-4019-96A3-394D343B5304}">
  <dimension ref="A1:AW1181"/>
  <sheetViews>
    <sheetView topLeftCell="AE1" workbookViewId="0">
      <selection activeCell="A2" sqref="A2:AW2"/>
    </sheetView>
  </sheetViews>
  <sheetFormatPr defaultColWidth="8.81640625" defaultRowHeight="14.5" x14ac:dyDescent="0.35"/>
  <cols>
    <col min="1" max="1" width="56.6328125" bestFit="1"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30208628.000000015</v>
      </c>
      <c r="C2">
        <v>11155593.000000002</v>
      </c>
      <c r="D2">
        <v>11596778.499999991</v>
      </c>
      <c r="E2">
        <v>19835858.500000007</v>
      </c>
      <c r="F2">
        <v>2401839.9999999986</v>
      </c>
      <c r="G2">
        <v>4996741.0000000009</v>
      </c>
      <c r="H2">
        <v>24848015.5</v>
      </c>
      <c r="I2">
        <v>24393181.5</v>
      </c>
      <c r="J2">
        <v>84283273.000000045</v>
      </c>
      <c r="K2">
        <v>5312339.5000000009</v>
      </c>
      <c r="L2">
        <v>761663.99999999977</v>
      </c>
      <c r="M2">
        <v>564954.00000000035</v>
      </c>
      <c r="N2">
        <v>41136545.999999985</v>
      </c>
      <c r="O2">
        <v>3396933.0000000019</v>
      </c>
      <c r="P2">
        <v>108197949.49999994</v>
      </c>
      <c r="Q2">
        <v>2140215.5000000005</v>
      </c>
      <c r="R2">
        <v>30222261.500000004</v>
      </c>
      <c r="S2">
        <v>12240788.500000004</v>
      </c>
      <c r="T2">
        <v>2381181.5</v>
      </c>
      <c r="U2">
        <v>1879826.5000000005</v>
      </c>
      <c r="V2">
        <v>1450694.0000000005</v>
      </c>
      <c r="W2">
        <v>48948137.000000037</v>
      </c>
      <c r="X2">
        <v>4796630.9999999963</v>
      </c>
      <c r="Y2">
        <v>2170616.9999999995</v>
      </c>
      <c r="Z2">
        <v>26169542.000000015</v>
      </c>
      <c r="AA2">
        <v>19311354.499999996</v>
      </c>
      <c r="AB2">
        <v>28569441.000000015</v>
      </c>
      <c r="AC2">
        <v>4160014.4999999995</v>
      </c>
      <c r="AD2">
        <v>1294740.5000000002</v>
      </c>
      <c r="AE2">
        <v>17881167.000000004</v>
      </c>
      <c r="AF2">
        <v>2364533.5000000009</v>
      </c>
      <c r="AG2">
        <v>21737922.000000011</v>
      </c>
      <c r="AH2">
        <v>193495906.50000003</v>
      </c>
      <c r="AI2">
        <v>12230339</v>
      </c>
      <c r="AJ2">
        <v>15157793.000000006</v>
      </c>
      <c r="AK2">
        <v>7677565.5000000019</v>
      </c>
      <c r="AL2">
        <v>10658225.499999994</v>
      </c>
      <c r="AM2">
        <v>208036.50000000012</v>
      </c>
      <c r="AN2">
        <v>1151390.5000000002</v>
      </c>
      <c r="AO2">
        <v>101810.50000000001</v>
      </c>
      <c r="AP2">
        <v>15085884.000000006</v>
      </c>
      <c r="AQ2">
        <v>7852795.0000000037</v>
      </c>
      <c r="AR2">
        <v>56267032.000000007</v>
      </c>
      <c r="AS2">
        <v>40127084.999999978</v>
      </c>
      <c r="AT2">
        <v>56641209.500000007</v>
      </c>
      <c r="AU2">
        <v>17298053.500000004</v>
      </c>
      <c r="AV2">
        <v>14751100.999999998</v>
      </c>
      <c r="AW2">
        <v>1049513589.5000001</v>
      </c>
    </row>
    <row r="3" spans="1:49" x14ac:dyDescent="0.35">
      <c r="A3" t="s">
        <v>135</v>
      </c>
      <c r="B3">
        <v>12800</v>
      </c>
      <c r="C3">
        <v>0</v>
      </c>
      <c r="D3">
        <v>0</v>
      </c>
      <c r="E3">
        <v>3990</v>
      </c>
      <c r="F3">
        <v>0</v>
      </c>
      <c r="G3">
        <v>0</v>
      </c>
      <c r="H3">
        <v>0</v>
      </c>
      <c r="I3">
        <v>0</v>
      </c>
      <c r="J3">
        <v>0</v>
      </c>
      <c r="K3">
        <v>0</v>
      </c>
      <c r="L3">
        <v>0</v>
      </c>
      <c r="M3">
        <v>0</v>
      </c>
      <c r="N3">
        <v>0</v>
      </c>
      <c r="O3">
        <v>529</v>
      </c>
      <c r="P3">
        <v>0</v>
      </c>
      <c r="Q3">
        <v>3543</v>
      </c>
      <c r="R3">
        <v>5358</v>
      </c>
      <c r="S3">
        <v>0</v>
      </c>
      <c r="T3">
        <v>464</v>
      </c>
      <c r="U3">
        <v>0</v>
      </c>
      <c r="V3">
        <v>1014</v>
      </c>
      <c r="W3">
        <v>0</v>
      </c>
      <c r="X3">
        <v>496</v>
      </c>
      <c r="Y3">
        <v>0</v>
      </c>
      <c r="Z3">
        <v>0</v>
      </c>
      <c r="AA3">
        <v>4576</v>
      </c>
      <c r="AB3">
        <v>4985</v>
      </c>
      <c r="AC3">
        <v>1582</v>
      </c>
      <c r="AD3">
        <v>5854</v>
      </c>
      <c r="AE3">
        <v>11</v>
      </c>
      <c r="AF3">
        <v>2842</v>
      </c>
      <c r="AG3">
        <v>950</v>
      </c>
      <c r="AH3">
        <v>0</v>
      </c>
      <c r="AI3">
        <v>3830</v>
      </c>
      <c r="AJ3">
        <v>2132</v>
      </c>
      <c r="AK3">
        <v>0</v>
      </c>
      <c r="AL3">
        <v>1</v>
      </c>
      <c r="AM3">
        <v>0</v>
      </c>
      <c r="AN3">
        <v>425</v>
      </c>
      <c r="AO3">
        <v>39</v>
      </c>
      <c r="AP3">
        <v>1302</v>
      </c>
      <c r="AQ3">
        <v>1490</v>
      </c>
      <c r="AR3">
        <v>0</v>
      </c>
      <c r="AS3">
        <v>13836</v>
      </c>
      <c r="AT3">
        <v>89306</v>
      </c>
      <c r="AU3">
        <v>0</v>
      </c>
      <c r="AV3">
        <v>5734</v>
      </c>
      <c r="AW3">
        <v>167089</v>
      </c>
    </row>
    <row r="4" spans="1:49" x14ac:dyDescent="0.35">
      <c r="A4" t="s">
        <v>139</v>
      </c>
      <c r="B4">
        <v>0</v>
      </c>
      <c r="C4">
        <v>18142</v>
      </c>
      <c r="D4">
        <v>0</v>
      </c>
      <c r="E4">
        <v>20752</v>
      </c>
      <c r="F4">
        <v>0</v>
      </c>
      <c r="G4">
        <v>0</v>
      </c>
      <c r="H4">
        <v>27166</v>
      </c>
      <c r="I4">
        <v>0</v>
      </c>
      <c r="J4">
        <v>146092</v>
      </c>
      <c r="K4">
        <v>0</v>
      </c>
      <c r="L4">
        <v>0</v>
      </c>
      <c r="M4">
        <v>1376</v>
      </c>
      <c r="N4">
        <v>184000</v>
      </c>
      <c r="O4">
        <v>9056</v>
      </c>
      <c r="P4">
        <v>176328</v>
      </c>
      <c r="Q4">
        <v>10700</v>
      </c>
      <c r="R4">
        <v>117216</v>
      </c>
      <c r="S4">
        <v>0</v>
      </c>
      <c r="T4">
        <v>2648</v>
      </c>
      <c r="U4">
        <v>0</v>
      </c>
      <c r="V4">
        <v>1268</v>
      </c>
      <c r="W4">
        <v>106336</v>
      </c>
      <c r="X4">
        <v>0</v>
      </c>
      <c r="Y4">
        <v>0</v>
      </c>
      <c r="Z4">
        <v>0</v>
      </c>
      <c r="AA4">
        <v>0</v>
      </c>
      <c r="AB4">
        <v>15922</v>
      </c>
      <c r="AC4">
        <v>9142</v>
      </c>
      <c r="AD4">
        <v>8890</v>
      </c>
      <c r="AE4">
        <v>0</v>
      </c>
      <c r="AF4">
        <v>9706</v>
      </c>
      <c r="AG4">
        <v>0</v>
      </c>
      <c r="AH4">
        <v>0</v>
      </c>
      <c r="AI4">
        <v>1290</v>
      </c>
      <c r="AJ4">
        <v>5640</v>
      </c>
      <c r="AK4">
        <v>11960</v>
      </c>
      <c r="AL4">
        <v>0</v>
      </c>
      <c r="AM4">
        <v>0</v>
      </c>
      <c r="AN4">
        <v>8862</v>
      </c>
      <c r="AO4">
        <v>0</v>
      </c>
      <c r="AP4">
        <v>6974</v>
      </c>
      <c r="AQ4">
        <v>3932</v>
      </c>
      <c r="AR4">
        <v>63880</v>
      </c>
      <c r="AS4">
        <v>120912</v>
      </c>
      <c r="AT4">
        <v>0</v>
      </c>
      <c r="AU4">
        <v>31382</v>
      </c>
      <c r="AV4">
        <v>59965</v>
      </c>
      <c r="AW4">
        <v>1179537</v>
      </c>
    </row>
    <row r="5" spans="1:49" x14ac:dyDescent="0.35">
      <c r="A5" t="s">
        <v>138</v>
      </c>
      <c r="B5">
        <v>0</v>
      </c>
      <c r="C5">
        <v>320</v>
      </c>
      <c r="D5">
        <v>0</v>
      </c>
      <c r="E5">
        <v>13138</v>
      </c>
      <c r="F5">
        <v>0</v>
      </c>
      <c r="G5">
        <v>0</v>
      </c>
      <c r="H5">
        <v>0</v>
      </c>
      <c r="I5">
        <v>0</v>
      </c>
      <c r="J5">
        <v>0</v>
      </c>
      <c r="K5">
        <v>0</v>
      </c>
      <c r="L5">
        <v>0</v>
      </c>
      <c r="M5">
        <v>0</v>
      </c>
      <c r="N5">
        <v>0</v>
      </c>
      <c r="O5">
        <v>0</v>
      </c>
      <c r="P5">
        <v>0</v>
      </c>
      <c r="Q5">
        <v>1466</v>
      </c>
      <c r="R5">
        <v>19108</v>
      </c>
      <c r="S5">
        <v>0</v>
      </c>
      <c r="T5">
        <v>844</v>
      </c>
      <c r="U5">
        <v>0</v>
      </c>
      <c r="V5">
        <v>0</v>
      </c>
      <c r="W5">
        <v>0</v>
      </c>
      <c r="X5">
        <v>0</v>
      </c>
      <c r="Y5">
        <v>0</v>
      </c>
      <c r="Z5">
        <v>5862</v>
      </c>
      <c r="AA5">
        <v>0</v>
      </c>
      <c r="AB5">
        <v>11640</v>
      </c>
      <c r="AC5">
        <v>0</v>
      </c>
      <c r="AD5">
        <v>0</v>
      </c>
      <c r="AE5">
        <v>0</v>
      </c>
      <c r="AF5">
        <v>0</v>
      </c>
      <c r="AG5">
        <v>0</v>
      </c>
      <c r="AH5">
        <v>0</v>
      </c>
      <c r="AI5">
        <v>4288</v>
      </c>
      <c r="AJ5">
        <v>4004</v>
      </c>
      <c r="AK5">
        <v>0</v>
      </c>
      <c r="AL5">
        <v>0</v>
      </c>
      <c r="AM5">
        <v>0</v>
      </c>
      <c r="AN5">
        <v>0</v>
      </c>
      <c r="AO5">
        <v>0</v>
      </c>
      <c r="AP5">
        <v>0</v>
      </c>
      <c r="AQ5">
        <v>2536</v>
      </c>
      <c r="AR5">
        <v>0</v>
      </c>
      <c r="AS5">
        <v>0</v>
      </c>
      <c r="AT5">
        <v>0</v>
      </c>
      <c r="AU5">
        <v>0</v>
      </c>
      <c r="AV5">
        <v>17612</v>
      </c>
      <c r="AW5">
        <v>80818</v>
      </c>
    </row>
    <row r="6" spans="1:49" x14ac:dyDescent="0.35">
      <c r="A6" t="s">
        <v>82</v>
      </c>
      <c r="B6">
        <v>0</v>
      </c>
      <c r="C6">
        <v>944</v>
      </c>
      <c r="D6">
        <v>0</v>
      </c>
      <c r="E6">
        <v>20603</v>
      </c>
      <c r="F6">
        <v>74</v>
      </c>
      <c r="G6">
        <v>971</v>
      </c>
      <c r="H6">
        <v>0</v>
      </c>
      <c r="I6">
        <v>10752</v>
      </c>
      <c r="J6">
        <v>108</v>
      </c>
      <c r="K6">
        <v>207</v>
      </c>
      <c r="L6">
        <v>1462</v>
      </c>
      <c r="M6">
        <v>0</v>
      </c>
      <c r="N6">
        <v>1388</v>
      </c>
      <c r="O6">
        <v>0</v>
      </c>
      <c r="P6">
        <v>0</v>
      </c>
      <c r="Q6">
        <v>2917</v>
      </c>
      <c r="R6">
        <v>0</v>
      </c>
      <c r="S6">
        <v>0</v>
      </c>
      <c r="T6">
        <v>360</v>
      </c>
      <c r="U6">
        <v>0</v>
      </c>
      <c r="V6">
        <v>27</v>
      </c>
      <c r="W6">
        <v>0</v>
      </c>
      <c r="X6">
        <v>0</v>
      </c>
      <c r="Y6">
        <v>0</v>
      </c>
      <c r="Z6">
        <v>0</v>
      </c>
      <c r="AA6">
        <v>0</v>
      </c>
      <c r="AB6">
        <v>0</v>
      </c>
      <c r="AC6">
        <v>0</v>
      </c>
      <c r="AD6">
        <v>759</v>
      </c>
      <c r="AE6">
        <v>0</v>
      </c>
      <c r="AF6">
        <v>79</v>
      </c>
      <c r="AG6">
        <v>0</v>
      </c>
      <c r="AH6">
        <v>571</v>
      </c>
      <c r="AI6">
        <v>0</v>
      </c>
      <c r="AJ6">
        <v>50</v>
      </c>
      <c r="AK6">
        <v>0</v>
      </c>
      <c r="AL6">
        <v>32485</v>
      </c>
      <c r="AM6">
        <v>821</v>
      </c>
      <c r="AN6">
        <v>0</v>
      </c>
      <c r="AO6">
        <v>0</v>
      </c>
      <c r="AP6">
        <v>172</v>
      </c>
      <c r="AQ6">
        <v>0</v>
      </c>
      <c r="AR6">
        <v>1223</v>
      </c>
      <c r="AS6">
        <v>0</v>
      </c>
      <c r="AT6">
        <v>0</v>
      </c>
      <c r="AU6">
        <v>371</v>
      </c>
      <c r="AV6">
        <v>0</v>
      </c>
      <c r="AW6">
        <v>76344</v>
      </c>
    </row>
    <row r="7" spans="1:49" x14ac:dyDescent="0.35">
      <c r="A7" t="s">
        <v>60</v>
      </c>
      <c r="B7">
        <v>0</v>
      </c>
      <c r="C7">
        <v>373</v>
      </c>
      <c r="D7">
        <v>0</v>
      </c>
      <c r="E7">
        <v>5048</v>
      </c>
      <c r="F7">
        <v>118</v>
      </c>
      <c r="G7">
        <v>405</v>
      </c>
      <c r="H7">
        <v>351</v>
      </c>
      <c r="I7">
        <v>1889</v>
      </c>
      <c r="J7">
        <v>9</v>
      </c>
      <c r="K7">
        <v>0</v>
      </c>
      <c r="L7">
        <v>374</v>
      </c>
      <c r="M7">
        <v>1210</v>
      </c>
      <c r="N7">
        <v>0</v>
      </c>
      <c r="O7">
        <v>0</v>
      </c>
      <c r="P7">
        <v>0</v>
      </c>
      <c r="Q7">
        <v>246</v>
      </c>
      <c r="R7">
        <v>0</v>
      </c>
      <c r="S7">
        <v>106</v>
      </c>
      <c r="T7">
        <v>54</v>
      </c>
      <c r="U7">
        <v>0</v>
      </c>
      <c r="V7">
        <v>225</v>
      </c>
      <c r="W7">
        <v>0</v>
      </c>
      <c r="X7">
        <v>0</v>
      </c>
      <c r="Y7">
        <v>0</v>
      </c>
      <c r="Z7">
        <v>0</v>
      </c>
      <c r="AA7">
        <v>0</v>
      </c>
      <c r="AB7">
        <v>0</v>
      </c>
      <c r="AC7">
        <v>0</v>
      </c>
      <c r="AD7">
        <v>293</v>
      </c>
      <c r="AE7">
        <v>0</v>
      </c>
      <c r="AF7">
        <v>0</v>
      </c>
      <c r="AG7">
        <v>0</v>
      </c>
      <c r="AH7">
        <v>115</v>
      </c>
      <c r="AI7">
        <v>0</v>
      </c>
      <c r="AJ7">
        <v>30</v>
      </c>
      <c r="AK7">
        <v>0</v>
      </c>
      <c r="AL7">
        <v>10504</v>
      </c>
      <c r="AM7">
        <v>264</v>
      </c>
      <c r="AN7">
        <v>0</v>
      </c>
      <c r="AO7">
        <v>0</v>
      </c>
      <c r="AP7">
        <v>81</v>
      </c>
      <c r="AQ7">
        <v>0</v>
      </c>
      <c r="AR7">
        <v>282</v>
      </c>
      <c r="AS7">
        <v>0</v>
      </c>
      <c r="AT7">
        <v>0</v>
      </c>
      <c r="AU7">
        <v>54</v>
      </c>
      <c r="AV7">
        <v>0</v>
      </c>
      <c r="AW7">
        <v>22031</v>
      </c>
    </row>
    <row r="8" spans="1:49" x14ac:dyDescent="0.35">
      <c r="A8" t="s">
        <v>127</v>
      </c>
      <c r="E8">
        <v>2749</v>
      </c>
      <c r="R8">
        <v>15456</v>
      </c>
      <c r="AB8">
        <v>1991</v>
      </c>
      <c r="AJ8">
        <v>5</v>
      </c>
      <c r="AQ8">
        <v>7545</v>
      </c>
      <c r="AV8">
        <v>15000</v>
      </c>
      <c r="AW8">
        <v>42746</v>
      </c>
    </row>
    <row r="9" spans="1:49" x14ac:dyDescent="0.35">
      <c r="A9" t="s">
        <v>61</v>
      </c>
      <c r="B9">
        <v>0</v>
      </c>
      <c r="C9">
        <v>0</v>
      </c>
      <c r="D9">
        <v>0</v>
      </c>
      <c r="E9">
        <v>0</v>
      </c>
      <c r="F9">
        <v>0</v>
      </c>
      <c r="G9">
        <v>55</v>
      </c>
      <c r="H9">
        <v>0</v>
      </c>
      <c r="I9">
        <v>0</v>
      </c>
      <c r="J9">
        <v>0</v>
      </c>
      <c r="K9">
        <v>0</v>
      </c>
      <c r="L9">
        <v>0</v>
      </c>
      <c r="M9">
        <v>0</v>
      </c>
      <c r="N9">
        <v>0</v>
      </c>
      <c r="O9">
        <v>0</v>
      </c>
      <c r="P9">
        <v>0</v>
      </c>
      <c r="Q9">
        <v>1985</v>
      </c>
      <c r="R9">
        <v>0</v>
      </c>
      <c r="S9">
        <v>0</v>
      </c>
      <c r="T9">
        <v>0</v>
      </c>
      <c r="U9">
        <v>0</v>
      </c>
      <c r="V9">
        <v>0</v>
      </c>
      <c r="W9">
        <v>0</v>
      </c>
      <c r="X9">
        <v>0</v>
      </c>
      <c r="Y9">
        <v>0</v>
      </c>
      <c r="Z9">
        <v>0</v>
      </c>
      <c r="AA9">
        <v>0</v>
      </c>
      <c r="AB9">
        <v>0</v>
      </c>
      <c r="AC9">
        <v>0</v>
      </c>
      <c r="AD9">
        <v>61</v>
      </c>
      <c r="AE9">
        <v>0</v>
      </c>
      <c r="AF9">
        <v>0</v>
      </c>
      <c r="AG9">
        <v>0</v>
      </c>
      <c r="AH9">
        <v>48</v>
      </c>
      <c r="AI9">
        <v>0</v>
      </c>
      <c r="AJ9">
        <v>0</v>
      </c>
      <c r="AK9">
        <v>0</v>
      </c>
      <c r="AL9">
        <v>0</v>
      </c>
      <c r="AM9">
        <v>61</v>
      </c>
      <c r="AN9">
        <v>0</v>
      </c>
      <c r="AO9">
        <v>0</v>
      </c>
      <c r="AP9">
        <v>0</v>
      </c>
      <c r="AQ9">
        <v>0</v>
      </c>
      <c r="AR9">
        <v>49</v>
      </c>
      <c r="AS9">
        <v>0</v>
      </c>
      <c r="AT9">
        <v>0</v>
      </c>
      <c r="AU9">
        <v>66</v>
      </c>
      <c r="AV9">
        <v>0</v>
      </c>
      <c r="AW9">
        <v>2325</v>
      </c>
    </row>
    <row r="10" spans="1:49" x14ac:dyDescent="0.35">
      <c r="A10" t="s">
        <v>62</v>
      </c>
      <c r="B10">
        <v>0</v>
      </c>
      <c r="C10">
        <v>0</v>
      </c>
      <c r="D10">
        <v>0</v>
      </c>
      <c r="E10">
        <v>20392</v>
      </c>
      <c r="F10">
        <v>0</v>
      </c>
      <c r="G10">
        <v>669</v>
      </c>
      <c r="H10">
        <v>0</v>
      </c>
      <c r="I10">
        <v>0</v>
      </c>
      <c r="J10">
        <v>0</v>
      </c>
      <c r="K10">
        <v>0</v>
      </c>
      <c r="L10">
        <v>0</v>
      </c>
      <c r="M10">
        <v>0</v>
      </c>
      <c r="N10">
        <v>0</v>
      </c>
      <c r="O10">
        <v>0</v>
      </c>
      <c r="P10">
        <v>0</v>
      </c>
      <c r="Q10">
        <v>5029</v>
      </c>
      <c r="R10">
        <v>0</v>
      </c>
      <c r="S10">
        <v>0</v>
      </c>
      <c r="T10">
        <v>0</v>
      </c>
      <c r="U10">
        <v>0</v>
      </c>
      <c r="V10">
        <v>0</v>
      </c>
      <c r="W10">
        <v>0</v>
      </c>
      <c r="X10">
        <v>0</v>
      </c>
      <c r="Y10">
        <v>0</v>
      </c>
      <c r="Z10">
        <v>0</v>
      </c>
      <c r="AA10">
        <v>0</v>
      </c>
      <c r="AB10">
        <v>0</v>
      </c>
      <c r="AC10">
        <v>0</v>
      </c>
      <c r="AD10">
        <v>1843</v>
      </c>
      <c r="AE10">
        <v>0</v>
      </c>
      <c r="AF10">
        <v>0</v>
      </c>
      <c r="AG10">
        <v>0</v>
      </c>
      <c r="AH10">
        <v>0</v>
      </c>
      <c r="AI10">
        <v>0</v>
      </c>
      <c r="AJ10">
        <v>0</v>
      </c>
      <c r="AK10">
        <v>0</v>
      </c>
      <c r="AL10">
        <v>3435</v>
      </c>
      <c r="AM10">
        <v>548</v>
      </c>
      <c r="AN10">
        <v>0</v>
      </c>
      <c r="AO10">
        <v>0</v>
      </c>
      <c r="AP10">
        <v>0</v>
      </c>
      <c r="AQ10">
        <v>0</v>
      </c>
      <c r="AR10">
        <v>566</v>
      </c>
      <c r="AS10">
        <v>0</v>
      </c>
      <c r="AT10">
        <v>0</v>
      </c>
      <c r="AU10">
        <v>0</v>
      </c>
      <c r="AV10">
        <v>0</v>
      </c>
      <c r="AW10">
        <v>32482</v>
      </c>
    </row>
    <row r="11" spans="1:49" x14ac:dyDescent="0.35">
      <c r="A11" t="s">
        <v>203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3474</v>
      </c>
      <c r="AR11">
        <v>0</v>
      </c>
      <c r="AS11">
        <v>0</v>
      </c>
      <c r="AT11">
        <v>0</v>
      </c>
      <c r="AU11">
        <v>0</v>
      </c>
      <c r="AV11">
        <v>607</v>
      </c>
      <c r="AW11">
        <v>4081</v>
      </c>
    </row>
    <row r="12" spans="1:49" x14ac:dyDescent="0.35">
      <c r="A12" t="s">
        <v>204</v>
      </c>
      <c r="AB12">
        <v>2466</v>
      </c>
      <c r="AV12">
        <v>451</v>
      </c>
      <c r="AW12">
        <v>2917</v>
      </c>
    </row>
    <row r="13" spans="1:49" x14ac:dyDescent="0.35">
      <c r="A13" t="s">
        <v>205</v>
      </c>
      <c r="B13">
        <v>0</v>
      </c>
      <c r="C13">
        <v>0</v>
      </c>
      <c r="D13">
        <v>15</v>
      </c>
      <c r="E13">
        <v>3</v>
      </c>
      <c r="F13">
        <v>0</v>
      </c>
      <c r="G13">
        <v>0</v>
      </c>
      <c r="H13">
        <v>0</v>
      </c>
      <c r="I13">
        <v>0</v>
      </c>
      <c r="J13">
        <v>0</v>
      </c>
      <c r="K13">
        <v>0</v>
      </c>
      <c r="L13">
        <v>0</v>
      </c>
      <c r="M13">
        <v>0</v>
      </c>
      <c r="N13">
        <v>521</v>
      </c>
      <c r="O13">
        <v>0</v>
      </c>
      <c r="P13">
        <v>0</v>
      </c>
      <c r="Q13">
        <v>46</v>
      </c>
      <c r="R13">
        <v>167</v>
      </c>
      <c r="S13">
        <v>0</v>
      </c>
      <c r="T13">
        <v>0</v>
      </c>
      <c r="U13">
        <v>0</v>
      </c>
      <c r="V13">
        <v>0</v>
      </c>
      <c r="W13">
        <v>0</v>
      </c>
      <c r="X13">
        <v>0</v>
      </c>
      <c r="Y13">
        <v>0</v>
      </c>
      <c r="Z13">
        <v>0</v>
      </c>
      <c r="AA13">
        <v>0</v>
      </c>
      <c r="AB13">
        <v>29</v>
      </c>
      <c r="AC13">
        <v>0</v>
      </c>
      <c r="AD13">
        <v>0</v>
      </c>
      <c r="AE13">
        <v>0</v>
      </c>
      <c r="AF13">
        <v>0</v>
      </c>
      <c r="AG13">
        <v>0</v>
      </c>
      <c r="AH13">
        <v>0</v>
      </c>
      <c r="AI13">
        <v>0</v>
      </c>
      <c r="AJ13">
        <v>0</v>
      </c>
      <c r="AK13">
        <v>0</v>
      </c>
      <c r="AL13">
        <v>0</v>
      </c>
      <c r="AM13">
        <v>0</v>
      </c>
      <c r="AN13">
        <v>0</v>
      </c>
      <c r="AO13">
        <v>0</v>
      </c>
      <c r="AP13">
        <v>0</v>
      </c>
      <c r="AQ13">
        <v>64</v>
      </c>
      <c r="AR13">
        <v>0</v>
      </c>
      <c r="AS13">
        <v>0</v>
      </c>
      <c r="AT13">
        <v>3330</v>
      </c>
      <c r="AU13">
        <v>0</v>
      </c>
      <c r="AV13">
        <v>0</v>
      </c>
      <c r="AW13">
        <v>4175</v>
      </c>
    </row>
    <row r="14" spans="1:49" x14ac:dyDescent="0.35">
      <c r="A14" t="s">
        <v>133</v>
      </c>
      <c r="C14">
        <v>1073</v>
      </c>
      <c r="E14">
        <v>699</v>
      </c>
      <c r="AJ14">
        <v>37</v>
      </c>
      <c r="AQ14">
        <v>454</v>
      </c>
      <c r="AT14">
        <v>5267</v>
      </c>
      <c r="AW14">
        <v>7530</v>
      </c>
    </row>
    <row r="15" spans="1:49" x14ac:dyDescent="0.35">
      <c r="A15" t="s">
        <v>206</v>
      </c>
      <c r="Q15">
        <v>18</v>
      </c>
      <c r="R15">
        <v>240</v>
      </c>
      <c r="AW15">
        <v>258</v>
      </c>
    </row>
    <row r="16" spans="1:49" x14ac:dyDescent="0.35">
      <c r="A16" t="s">
        <v>136</v>
      </c>
      <c r="Q16">
        <v>93</v>
      </c>
      <c r="AB16">
        <v>290</v>
      </c>
      <c r="AQ16">
        <v>151</v>
      </c>
      <c r="AT16">
        <v>8681</v>
      </c>
      <c r="AV16">
        <v>417</v>
      </c>
      <c r="AW16">
        <v>9632</v>
      </c>
    </row>
    <row r="17" spans="1:49" x14ac:dyDescent="0.35">
      <c r="A17" t="s">
        <v>207</v>
      </c>
      <c r="Q17">
        <v>32</v>
      </c>
      <c r="AV17">
        <v>605</v>
      </c>
      <c r="AW17">
        <v>637</v>
      </c>
    </row>
    <row r="18" spans="1:49" x14ac:dyDescent="0.35">
      <c r="A18" t="s">
        <v>141</v>
      </c>
      <c r="E18">
        <v>3</v>
      </c>
      <c r="Q18">
        <v>5</v>
      </c>
      <c r="R18">
        <v>133</v>
      </c>
      <c r="AB18">
        <v>147</v>
      </c>
      <c r="AQ18">
        <v>6</v>
      </c>
      <c r="AT18">
        <v>3790</v>
      </c>
      <c r="AV18">
        <v>20</v>
      </c>
      <c r="AW18">
        <v>4104</v>
      </c>
    </row>
    <row r="19" spans="1:49" x14ac:dyDescent="0.35">
      <c r="A19" t="s">
        <v>208</v>
      </c>
      <c r="C19">
        <v>2946</v>
      </c>
      <c r="AB19">
        <v>34992</v>
      </c>
      <c r="AQ19">
        <v>1364</v>
      </c>
      <c r="AV19">
        <v>1733</v>
      </c>
      <c r="AW19">
        <v>41035</v>
      </c>
    </row>
    <row r="20" spans="1:49" x14ac:dyDescent="0.35">
      <c r="A20" t="s">
        <v>209</v>
      </c>
      <c r="C20">
        <v>9003</v>
      </c>
      <c r="AB20">
        <v>26735</v>
      </c>
      <c r="AQ20">
        <v>1806</v>
      </c>
      <c r="AW20">
        <v>37544</v>
      </c>
    </row>
    <row r="21" spans="1:49" x14ac:dyDescent="0.35">
      <c r="A21" t="s">
        <v>134</v>
      </c>
      <c r="Q21">
        <v>442</v>
      </c>
      <c r="AB21">
        <v>1958</v>
      </c>
      <c r="AI21">
        <v>1990</v>
      </c>
      <c r="AQ21">
        <v>201</v>
      </c>
      <c r="AT21">
        <v>5525</v>
      </c>
      <c r="AV21">
        <v>781</v>
      </c>
      <c r="AW21">
        <v>10897</v>
      </c>
    </row>
    <row r="22" spans="1:49" x14ac:dyDescent="0.35">
      <c r="A22" t="s">
        <v>142</v>
      </c>
      <c r="Q22">
        <v>58</v>
      </c>
      <c r="AB22">
        <v>6281</v>
      </c>
      <c r="AQ22">
        <v>945</v>
      </c>
      <c r="AT22">
        <v>8919</v>
      </c>
      <c r="AV22">
        <v>174</v>
      </c>
      <c r="AW22">
        <v>16377</v>
      </c>
    </row>
    <row r="23" spans="1:49" x14ac:dyDescent="0.35">
      <c r="A23" t="s">
        <v>83</v>
      </c>
      <c r="B23">
        <v>0</v>
      </c>
      <c r="C23">
        <v>0</v>
      </c>
      <c r="D23">
        <v>0</v>
      </c>
      <c r="E23">
        <v>18</v>
      </c>
      <c r="F23">
        <v>0</v>
      </c>
      <c r="G23">
        <v>0</v>
      </c>
      <c r="H23">
        <v>0</v>
      </c>
      <c r="I23">
        <v>0</v>
      </c>
      <c r="J23">
        <v>0</v>
      </c>
      <c r="K23">
        <v>0</v>
      </c>
      <c r="L23">
        <v>0</v>
      </c>
      <c r="M23">
        <v>0</v>
      </c>
      <c r="N23">
        <v>0</v>
      </c>
      <c r="O23">
        <v>0</v>
      </c>
      <c r="P23">
        <v>0</v>
      </c>
      <c r="Q23">
        <v>43</v>
      </c>
      <c r="R23">
        <v>324</v>
      </c>
      <c r="S23">
        <v>0</v>
      </c>
      <c r="T23">
        <v>0</v>
      </c>
      <c r="U23">
        <v>0</v>
      </c>
      <c r="V23">
        <v>0</v>
      </c>
      <c r="W23">
        <v>0</v>
      </c>
      <c r="X23">
        <v>0</v>
      </c>
      <c r="Y23">
        <v>0</v>
      </c>
      <c r="Z23">
        <v>0</v>
      </c>
      <c r="AA23">
        <v>0</v>
      </c>
      <c r="AB23">
        <v>377</v>
      </c>
      <c r="AC23">
        <v>0</v>
      </c>
      <c r="AD23">
        <v>0</v>
      </c>
      <c r="AE23">
        <v>0</v>
      </c>
      <c r="AF23">
        <v>0</v>
      </c>
      <c r="AG23">
        <v>0</v>
      </c>
      <c r="AH23">
        <v>0</v>
      </c>
      <c r="AI23">
        <v>182</v>
      </c>
      <c r="AJ23">
        <v>0</v>
      </c>
      <c r="AK23">
        <v>0</v>
      </c>
      <c r="AL23">
        <v>0</v>
      </c>
      <c r="AM23">
        <v>0</v>
      </c>
      <c r="AN23">
        <v>0</v>
      </c>
      <c r="AO23">
        <v>0</v>
      </c>
      <c r="AP23">
        <v>0</v>
      </c>
      <c r="AQ23">
        <v>174</v>
      </c>
      <c r="AR23">
        <v>0</v>
      </c>
      <c r="AS23">
        <v>0</v>
      </c>
      <c r="AT23">
        <v>7704</v>
      </c>
      <c r="AU23">
        <v>0</v>
      </c>
      <c r="AV23">
        <v>503</v>
      </c>
      <c r="AW23">
        <v>9325</v>
      </c>
    </row>
    <row r="24" spans="1:49" x14ac:dyDescent="0.35">
      <c r="A24" t="s">
        <v>84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287</v>
      </c>
      <c r="AC24">
        <v>0</v>
      </c>
      <c r="AD24">
        <v>0</v>
      </c>
      <c r="AE24">
        <v>0</v>
      </c>
      <c r="AF24">
        <v>0</v>
      </c>
      <c r="AG24">
        <v>0</v>
      </c>
      <c r="AH24">
        <v>0</v>
      </c>
      <c r="AI24">
        <v>0</v>
      </c>
      <c r="AJ24">
        <v>0</v>
      </c>
      <c r="AK24">
        <v>0</v>
      </c>
      <c r="AL24">
        <v>0</v>
      </c>
      <c r="AM24">
        <v>0</v>
      </c>
      <c r="AN24">
        <v>0</v>
      </c>
      <c r="AO24">
        <v>0</v>
      </c>
      <c r="AP24">
        <v>0</v>
      </c>
      <c r="AQ24">
        <v>62</v>
      </c>
      <c r="AR24">
        <v>0</v>
      </c>
      <c r="AS24">
        <v>0</v>
      </c>
      <c r="AT24">
        <v>27694</v>
      </c>
      <c r="AU24">
        <v>0</v>
      </c>
      <c r="AV24">
        <v>0</v>
      </c>
      <c r="AW24">
        <v>28043</v>
      </c>
    </row>
    <row r="25" spans="1:49" x14ac:dyDescent="0.35">
      <c r="A25" t="s">
        <v>126</v>
      </c>
      <c r="Q25">
        <v>2</v>
      </c>
      <c r="AB25">
        <v>2</v>
      </c>
      <c r="AQ25">
        <v>21</v>
      </c>
      <c r="AT25">
        <v>3323</v>
      </c>
      <c r="AW25">
        <v>3348</v>
      </c>
    </row>
    <row r="26" spans="1:49" x14ac:dyDescent="0.35">
      <c r="A26" t="s">
        <v>87</v>
      </c>
      <c r="B26">
        <v>0</v>
      </c>
      <c r="C26">
        <v>0</v>
      </c>
      <c r="D26">
        <v>0</v>
      </c>
      <c r="E26">
        <v>336</v>
      </c>
      <c r="F26">
        <v>0</v>
      </c>
      <c r="G26">
        <v>0</v>
      </c>
      <c r="H26">
        <v>0</v>
      </c>
      <c r="I26">
        <v>0</v>
      </c>
      <c r="J26">
        <v>0</v>
      </c>
      <c r="K26">
        <v>0</v>
      </c>
      <c r="L26">
        <v>0</v>
      </c>
      <c r="M26">
        <v>0</v>
      </c>
      <c r="N26">
        <v>0</v>
      </c>
      <c r="O26">
        <v>0</v>
      </c>
      <c r="P26">
        <v>0</v>
      </c>
      <c r="Q26">
        <v>99</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49732</v>
      </c>
      <c r="AU26">
        <v>0</v>
      </c>
      <c r="AV26">
        <v>596</v>
      </c>
      <c r="AW26">
        <v>50763</v>
      </c>
    </row>
    <row r="29" spans="1:49" x14ac:dyDescent="0.35">
      <c r="B29" t="s">
        <v>0</v>
      </c>
      <c r="C29" t="s">
        <v>210</v>
      </c>
      <c r="D29" t="s">
        <v>211</v>
      </c>
      <c r="E29">
        <v>2012</v>
      </c>
    </row>
    <row r="30" spans="1:49" x14ac:dyDescent="0.35">
      <c r="B30" t="str">
        <f>B1</f>
        <v>AGO</v>
      </c>
      <c r="C30">
        <f>B2</f>
        <v>30208628.000000015</v>
      </c>
      <c r="D30" t="str">
        <f t="shared" ref="D30:D52" si="0">A3</f>
        <v>Medical Doctors</v>
      </c>
      <c r="E30">
        <f t="shared" ref="E30:E52" si="1">B3</f>
        <v>12800</v>
      </c>
    </row>
    <row r="31" spans="1:49" x14ac:dyDescent="0.35">
      <c r="D31" t="str">
        <f t="shared" si="0"/>
        <v>Nursing Personnel</v>
      </c>
      <c r="E31">
        <f t="shared" si="1"/>
        <v>0</v>
      </c>
    </row>
    <row r="32" spans="1:49" x14ac:dyDescent="0.35">
      <c r="D32" t="str">
        <f t="shared" si="0"/>
        <v>Midwifery personnel</v>
      </c>
      <c r="E32">
        <f t="shared" si="1"/>
        <v>0</v>
      </c>
    </row>
    <row r="33" spans="4:5" x14ac:dyDescent="0.35">
      <c r="D33" t="str">
        <f t="shared" si="0"/>
        <v>Pharmacists</v>
      </c>
      <c r="E33">
        <f t="shared" si="1"/>
        <v>0</v>
      </c>
    </row>
    <row r="34" spans="4:5" x14ac:dyDescent="0.35">
      <c r="D34" t="str">
        <f t="shared" si="0"/>
        <v>Dentists</v>
      </c>
      <c r="E34">
        <f t="shared" si="1"/>
        <v>0</v>
      </c>
    </row>
    <row r="35" spans="4:5" x14ac:dyDescent="0.35">
      <c r="D35" t="str">
        <f t="shared" si="0"/>
        <v xml:space="preserve">Community Health Workers </v>
      </c>
      <c r="E35">
        <f t="shared" si="1"/>
        <v>0</v>
      </c>
    </row>
    <row r="36" spans="4:5" x14ac:dyDescent="0.35">
      <c r="D36" t="str">
        <f t="shared" si="0"/>
        <v>Dieticians and nutritionists</v>
      </c>
      <c r="E36">
        <f t="shared" si="1"/>
        <v>0</v>
      </c>
    </row>
    <row r="37" spans="4:5" x14ac:dyDescent="0.35">
      <c r="D37" t="str">
        <f t="shared" si="0"/>
        <v>Environmental and occupational health &amp; hygiene workers</v>
      </c>
      <c r="E37">
        <f t="shared" si="1"/>
        <v>0</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11155593.000000002</v>
      </c>
      <c r="D54" t="str">
        <f t="shared" ref="D54:D117" si="3">D30</f>
        <v>Medical Doctors</v>
      </c>
      <c r="E54">
        <f t="shared" ref="E54:E77" si="4">C3</f>
        <v>0</v>
      </c>
    </row>
    <row r="55" spans="2:5" x14ac:dyDescent="0.35">
      <c r="D55" t="str">
        <f t="shared" si="3"/>
        <v>Nursing Personnel</v>
      </c>
      <c r="E55">
        <f t="shared" si="4"/>
        <v>18142</v>
      </c>
    </row>
    <row r="56" spans="2:5" x14ac:dyDescent="0.35">
      <c r="D56" t="str">
        <f t="shared" si="3"/>
        <v>Midwifery personnel</v>
      </c>
      <c r="E56">
        <f t="shared" si="4"/>
        <v>320</v>
      </c>
    </row>
    <row r="57" spans="2:5" x14ac:dyDescent="0.35">
      <c r="D57" t="str">
        <f t="shared" si="3"/>
        <v>Pharmacists</v>
      </c>
      <c r="E57">
        <f t="shared" si="4"/>
        <v>944</v>
      </c>
    </row>
    <row r="58" spans="2:5" x14ac:dyDescent="0.35">
      <c r="D58" t="str">
        <f t="shared" si="3"/>
        <v>Dentists</v>
      </c>
      <c r="E58">
        <f t="shared" si="4"/>
        <v>373</v>
      </c>
    </row>
    <row r="59" spans="2:5" x14ac:dyDescent="0.35">
      <c r="D59" t="str">
        <f t="shared" si="3"/>
        <v xml:space="preserve">Community Health Workers </v>
      </c>
      <c r="E59">
        <f t="shared" si="4"/>
        <v>0</v>
      </c>
    </row>
    <row r="60" spans="2:5" x14ac:dyDescent="0.35">
      <c r="D60" t="str">
        <f t="shared" si="3"/>
        <v>Dieticians and nutritionists</v>
      </c>
      <c r="E60">
        <f t="shared" si="4"/>
        <v>0</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1073</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2946</v>
      </c>
    </row>
    <row r="71" spans="2:5" x14ac:dyDescent="0.35">
      <c r="D71" t="str">
        <f t="shared" si="3"/>
        <v xml:space="preserve">Other non-medical support staff </v>
      </c>
      <c r="E71">
        <f t="shared" si="4"/>
        <v>9003</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11596778.499999991</v>
      </c>
      <c r="D78" t="str">
        <f t="shared" si="3"/>
        <v>Medical Doctors</v>
      </c>
      <c r="E78">
        <f t="shared" ref="E78:E101" si="5">D3</f>
        <v>0</v>
      </c>
    </row>
    <row r="79" spans="2:5" x14ac:dyDescent="0.35">
      <c r="D79" t="str">
        <f t="shared" si="3"/>
        <v>Nursing Personnel</v>
      </c>
      <c r="E79">
        <f t="shared" si="5"/>
        <v>0</v>
      </c>
    </row>
    <row r="80" spans="2:5" x14ac:dyDescent="0.35">
      <c r="D80" t="str">
        <f t="shared" si="3"/>
        <v>Midwifery personnel</v>
      </c>
      <c r="E80">
        <f t="shared" si="5"/>
        <v>0</v>
      </c>
    </row>
    <row r="81" spans="4:5" x14ac:dyDescent="0.35">
      <c r="D81" t="str">
        <f t="shared" si="3"/>
        <v>Pharmacists</v>
      </c>
      <c r="E81">
        <f t="shared" si="5"/>
        <v>0</v>
      </c>
    </row>
    <row r="82" spans="4:5" x14ac:dyDescent="0.35">
      <c r="D82" t="str">
        <f t="shared" si="3"/>
        <v>Dentists</v>
      </c>
      <c r="E82">
        <f t="shared" si="5"/>
        <v>0</v>
      </c>
    </row>
    <row r="83" spans="4:5" x14ac:dyDescent="0.35">
      <c r="D83" t="str">
        <f t="shared" si="3"/>
        <v xml:space="preserve">Community Health Workers </v>
      </c>
      <c r="E83">
        <f t="shared" si="5"/>
        <v>0</v>
      </c>
    </row>
    <row r="84" spans="4:5" x14ac:dyDescent="0.35">
      <c r="D84" t="str">
        <f t="shared" si="3"/>
        <v>Dieticians and nutritionists</v>
      </c>
      <c r="E84">
        <f t="shared" si="5"/>
        <v>0</v>
      </c>
    </row>
    <row r="85" spans="4:5" x14ac:dyDescent="0.35">
      <c r="D85" t="str">
        <f t="shared" si="3"/>
        <v>Environmental and occupational health &amp; hygiene workers</v>
      </c>
      <c r="E85">
        <f t="shared" si="5"/>
        <v>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15</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0</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0</v>
      </c>
    </row>
    <row r="97" spans="2:5" x14ac:dyDescent="0.35">
      <c r="D97" t="str">
        <f t="shared" si="3"/>
        <v xml:space="preserve">Paramedical Practitioners </v>
      </c>
      <c r="E97">
        <f t="shared" si="5"/>
        <v>0</v>
      </c>
    </row>
    <row r="98" spans="2:5" x14ac:dyDescent="0.35">
      <c r="D98" t="str">
        <f t="shared" si="3"/>
        <v>Physiotherapists and physiotherapy assistants</v>
      </c>
      <c r="E98">
        <f t="shared" si="5"/>
        <v>0</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19835858.500000007</v>
      </c>
      <c r="D102" s="29" t="str">
        <f t="shared" si="3"/>
        <v>Medical Doctors</v>
      </c>
      <c r="E102">
        <f t="shared" ref="E102:E125" si="6">E3</f>
        <v>3990</v>
      </c>
    </row>
    <row r="103" spans="2:5" x14ac:dyDescent="0.35">
      <c r="D103" s="29" t="str">
        <f t="shared" si="3"/>
        <v>Nursing Personnel</v>
      </c>
      <c r="E103">
        <f t="shared" si="6"/>
        <v>20752</v>
      </c>
    </row>
    <row r="104" spans="2:5" x14ac:dyDescent="0.35">
      <c r="D104" s="29" t="str">
        <f t="shared" si="3"/>
        <v>Midwifery personnel</v>
      </c>
      <c r="E104">
        <f t="shared" si="6"/>
        <v>13138</v>
      </c>
    </row>
    <row r="105" spans="2:5" x14ac:dyDescent="0.35">
      <c r="D105" s="29" t="str">
        <f t="shared" si="3"/>
        <v>Pharmacists</v>
      </c>
      <c r="E105">
        <f t="shared" si="6"/>
        <v>20603</v>
      </c>
    </row>
    <row r="106" spans="2:5" x14ac:dyDescent="0.35">
      <c r="D106" s="29" t="str">
        <f t="shared" si="3"/>
        <v>Dentists</v>
      </c>
      <c r="E106">
        <f t="shared" si="6"/>
        <v>5048</v>
      </c>
    </row>
    <row r="107" spans="2:5" x14ac:dyDescent="0.35">
      <c r="D107" s="29" t="str">
        <f t="shared" si="3"/>
        <v xml:space="preserve">Community Health Workers </v>
      </c>
      <c r="E107">
        <f t="shared" si="6"/>
        <v>2749</v>
      </c>
    </row>
    <row r="108" spans="2:5" x14ac:dyDescent="0.35">
      <c r="D108" s="29" t="str">
        <f t="shared" si="3"/>
        <v>Dieticians and nutritionists</v>
      </c>
      <c r="E108">
        <f t="shared" si="6"/>
        <v>0</v>
      </c>
    </row>
    <row r="109" spans="2:5" x14ac:dyDescent="0.35">
      <c r="D109" s="29" t="str">
        <f t="shared" si="3"/>
        <v>Environmental and occupational health &amp; hygiene workers</v>
      </c>
      <c r="E109">
        <f t="shared" si="6"/>
        <v>20392</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3</v>
      </c>
    </row>
    <row r="113" spans="2:5" x14ac:dyDescent="0.35">
      <c r="D113" s="29" t="str">
        <f t="shared" si="3"/>
        <v xml:space="preserve">Medical and Pathology Laboratory scientists </v>
      </c>
      <c r="E113">
        <f t="shared" si="6"/>
        <v>699</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0</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3</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18</v>
      </c>
    </row>
    <row r="123" spans="2:5" x14ac:dyDescent="0.35">
      <c r="D123" s="29" t="str">
        <f t="shared" si="7"/>
        <v>Social workers</v>
      </c>
      <c r="E123">
        <f t="shared" si="6"/>
        <v>0</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336</v>
      </c>
    </row>
    <row r="126" spans="2:5" x14ac:dyDescent="0.35">
      <c r="B126" t="str">
        <f>F1</f>
        <v>BWA</v>
      </c>
      <c r="C126">
        <f>F2</f>
        <v>2401839.9999999986</v>
      </c>
      <c r="D126" s="29" t="str">
        <f t="shared" si="7"/>
        <v>Medical Doctors</v>
      </c>
      <c r="E126">
        <f t="shared" ref="E126:E149" si="8">F3</f>
        <v>0</v>
      </c>
    </row>
    <row r="127" spans="2:5" x14ac:dyDescent="0.35">
      <c r="D127" s="29" t="str">
        <f t="shared" si="7"/>
        <v>Nursing Personnel</v>
      </c>
      <c r="E127">
        <f t="shared" si="8"/>
        <v>0</v>
      </c>
    </row>
    <row r="128" spans="2:5" x14ac:dyDescent="0.35">
      <c r="D128" s="29" t="str">
        <f t="shared" si="7"/>
        <v>Midwifery personnel</v>
      </c>
      <c r="E128">
        <f t="shared" si="8"/>
        <v>0</v>
      </c>
    </row>
    <row r="129" spans="4:5" x14ac:dyDescent="0.35">
      <c r="D129" s="29" t="str">
        <f t="shared" si="7"/>
        <v>Pharmacists</v>
      </c>
      <c r="E129">
        <f t="shared" si="8"/>
        <v>74</v>
      </c>
    </row>
    <row r="130" spans="4:5" x14ac:dyDescent="0.35">
      <c r="D130" s="29" t="str">
        <f t="shared" si="7"/>
        <v>Dentists</v>
      </c>
      <c r="E130">
        <f t="shared" si="8"/>
        <v>118</v>
      </c>
    </row>
    <row r="131" spans="4:5" x14ac:dyDescent="0.35">
      <c r="D131" s="29" t="str">
        <f t="shared" si="7"/>
        <v xml:space="preserve">Community Health Workers </v>
      </c>
      <c r="E131">
        <f t="shared" si="8"/>
        <v>0</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0</v>
      </c>
    </row>
    <row r="134" spans="4:5" x14ac:dyDescent="0.35">
      <c r="D134" s="29" t="str">
        <f t="shared" si="7"/>
        <v>Personal care workers in health service</v>
      </c>
      <c r="E134">
        <f t="shared" si="8"/>
        <v>0</v>
      </c>
    </row>
    <row r="135" spans="4:5" x14ac:dyDescent="0.35">
      <c r="D135" s="29" t="str">
        <f t="shared" si="7"/>
        <v xml:space="preserve">Managerial staff </v>
      </c>
      <c r="E135">
        <f t="shared" si="8"/>
        <v>0</v>
      </c>
    </row>
    <row r="136" spans="4:5" x14ac:dyDescent="0.35">
      <c r="D136" s="29" t="str">
        <f t="shared" si="7"/>
        <v xml:space="preserve">Medical and dental Prosthetic Technicians </v>
      </c>
      <c r="E136">
        <f t="shared" si="8"/>
        <v>0</v>
      </c>
    </row>
    <row r="137" spans="4:5" x14ac:dyDescent="0.35">
      <c r="D137" s="29" t="str">
        <f t="shared" si="7"/>
        <v xml:space="preserve">Medical and Pathology Laboratory scientists </v>
      </c>
      <c r="E137">
        <f t="shared" si="8"/>
        <v>0</v>
      </c>
    </row>
    <row r="138" spans="4:5" x14ac:dyDescent="0.35">
      <c r="D138" s="29" t="str">
        <f t="shared" si="7"/>
        <v xml:space="preserve">Medical Assistants </v>
      </c>
      <c r="E138">
        <f t="shared" si="8"/>
        <v>0</v>
      </c>
    </row>
    <row r="139" spans="4:5" x14ac:dyDescent="0.35">
      <c r="D139" s="29" t="str">
        <f t="shared" si="7"/>
        <v xml:space="preserve">Medical Imaging and Therapeutic Equipment Technicians </v>
      </c>
      <c r="E139">
        <f t="shared" si="8"/>
        <v>0</v>
      </c>
    </row>
    <row r="140" spans="4:5" x14ac:dyDescent="0.35">
      <c r="D140" s="29" t="str">
        <f t="shared" si="7"/>
        <v xml:space="preserve">Medical Records and Health Information Technicians </v>
      </c>
      <c r="E140">
        <f t="shared" si="8"/>
        <v>0</v>
      </c>
    </row>
    <row r="141" spans="4:5" x14ac:dyDescent="0.35">
      <c r="D141" s="29" t="str">
        <f t="shared" si="7"/>
        <v xml:space="preserve">Optometrists and Ophthalmic Opticians </v>
      </c>
      <c r="E141">
        <f t="shared" si="8"/>
        <v>0</v>
      </c>
    </row>
    <row r="142" spans="4:5" x14ac:dyDescent="0.35">
      <c r="D142" s="29" t="str">
        <f t="shared" si="7"/>
        <v xml:space="preserve">Other non-medical professional staff </v>
      </c>
      <c r="E142">
        <f t="shared" si="8"/>
        <v>0</v>
      </c>
    </row>
    <row r="143" spans="4:5" x14ac:dyDescent="0.35">
      <c r="D143" s="29" t="str">
        <f t="shared" si="7"/>
        <v xml:space="preserve">Other non-medical support staff </v>
      </c>
      <c r="E143">
        <f t="shared" si="8"/>
        <v>0</v>
      </c>
    </row>
    <row r="144" spans="4:5" x14ac:dyDescent="0.35">
      <c r="D144" s="29" t="str">
        <f t="shared" si="7"/>
        <v xml:space="preserve">Medical and Pathology Laboratory Technicians </v>
      </c>
      <c r="E144">
        <f t="shared" si="8"/>
        <v>0</v>
      </c>
    </row>
    <row r="145" spans="2:5" x14ac:dyDescent="0.35">
      <c r="D145" s="29" t="str">
        <f t="shared" si="7"/>
        <v xml:space="preserve">Paramedical Practitioners </v>
      </c>
      <c r="E145">
        <f t="shared" si="8"/>
        <v>0</v>
      </c>
    </row>
    <row r="146" spans="2:5" x14ac:dyDescent="0.35">
      <c r="D146" s="29" t="str">
        <f t="shared" si="7"/>
        <v>Physiotherapists and physiotherapy assistants</v>
      </c>
      <c r="E146">
        <f t="shared" si="8"/>
        <v>0</v>
      </c>
    </row>
    <row r="147" spans="2:5" x14ac:dyDescent="0.35">
      <c r="D147" s="29" t="str">
        <f t="shared" si="7"/>
        <v>Social workers</v>
      </c>
      <c r="E147">
        <f t="shared" si="8"/>
        <v>0</v>
      </c>
    </row>
    <row r="148" spans="2:5" x14ac:dyDescent="0.35">
      <c r="D148" s="29" t="str">
        <f t="shared" si="7"/>
        <v xml:space="preserve">Audiologists and Speech Therapists </v>
      </c>
      <c r="E148">
        <f t="shared" si="8"/>
        <v>0</v>
      </c>
    </row>
    <row r="149" spans="2:5" x14ac:dyDescent="0.35">
      <c r="D149" s="29" t="str">
        <f t="shared" si="7"/>
        <v>Traditional and complementary medicine practitioners</v>
      </c>
      <c r="E149">
        <f t="shared" si="8"/>
        <v>0</v>
      </c>
    </row>
    <row r="150" spans="2:5" x14ac:dyDescent="0.35">
      <c r="B150" t="str">
        <f>G1</f>
        <v>CAF</v>
      </c>
      <c r="C150">
        <f>G2</f>
        <v>4996741.0000000009</v>
      </c>
      <c r="D150" s="30" t="str">
        <f t="shared" si="7"/>
        <v>Medical Doctors</v>
      </c>
      <c r="E150">
        <f t="shared" ref="E150:E173" si="9">G3</f>
        <v>0</v>
      </c>
    </row>
    <row r="151" spans="2:5" x14ac:dyDescent="0.35">
      <c r="D151" s="30" t="str">
        <f t="shared" si="7"/>
        <v>Nursing Personnel</v>
      </c>
      <c r="E151">
        <f t="shared" si="9"/>
        <v>0</v>
      </c>
    </row>
    <row r="152" spans="2:5" x14ac:dyDescent="0.35">
      <c r="D152" s="30" t="str">
        <f t="shared" si="7"/>
        <v>Midwifery personnel</v>
      </c>
      <c r="E152">
        <f t="shared" si="9"/>
        <v>0</v>
      </c>
    </row>
    <row r="153" spans="2:5" x14ac:dyDescent="0.35">
      <c r="D153" s="30" t="str">
        <f t="shared" si="7"/>
        <v>Pharmacists</v>
      </c>
      <c r="E153">
        <f t="shared" si="9"/>
        <v>971</v>
      </c>
    </row>
    <row r="154" spans="2:5" x14ac:dyDescent="0.35">
      <c r="D154" s="30" t="str">
        <f t="shared" si="7"/>
        <v>Dentists</v>
      </c>
      <c r="E154">
        <f t="shared" si="9"/>
        <v>405</v>
      </c>
    </row>
    <row r="155" spans="2:5" x14ac:dyDescent="0.35">
      <c r="D155" s="30" t="str">
        <f t="shared" si="7"/>
        <v xml:space="preserve">Community Health Workers </v>
      </c>
      <c r="E155">
        <f t="shared" si="9"/>
        <v>0</v>
      </c>
    </row>
    <row r="156" spans="2:5" x14ac:dyDescent="0.35">
      <c r="D156" s="30" t="str">
        <f t="shared" si="7"/>
        <v>Dieticians and nutritionists</v>
      </c>
      <c r="E156">
        <f t="shared" si="9"/>
        <v>55</v>
      </c>
    </row>
    <row r="157" spans="2:5" x14ac:dyDescent="0.35">
      <c r="D157" s="30" t="str">
        <f t="shared" si="7"/>
        <v>Environmental and occupational health &amp; hygiene workers</v>
      </c>
      <c r="E157">
        <f t="shared" si="9"/>
        <v>669</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24848015.5</v>
      </c>
      <c r="D174" s="31" t="str">
        <f t="shared" si="7"/>
        <v>Medical Doctors</v>
      </c>
      <c r="E174">
        <f t="shared" ref="E174:E197" si="10">H3</f>
        <v>0</v>
      </c>
    </row>
    <row r="175" spans="2:5" x14ac:dyDescent="0.35">
      <c r="D175" s="30" t="str">
        <f t="shared" si="7"/>
        <v>Nursing Personnel</v>
      </c>
      <c r="E175">
        <f t="shared" si="10"/>
        <v>27166</v>
      </c>
    </row>
    <row r="176" spans="2:5" x14ac:dyDescent="0.35">
      <c r="D176" s="30" t="str">
        <f t="shared" si="7"/>
        <v>Midwifery personnel</v>
      </c>
      <c r="E176">
        <f t="shared" si="10"/>
        <v>0</v>
      </c>
    </row>
    <row r="177" spans="4:5" x14ac:dyDescent="0.35">
      <c r="D177" s="30" t="str">
        <f t="shared" si="7"/>
        <v>Pharmacists</v>
      </c>
      <c r="E177">
        <f t="shared" si="10"/>
        <v>0</v>
      </c>
    </row>
    <row r="178" spans="4:5" x14ac:dyDescent="0.35">
      <c r="D178" s="30" t="str">
        <f t="shared" si="7"/>
        <v>Dentists</v>
      </c>
      <c r="E178">
        <f t="shared" si="10"/>
        <v>351</v>
      </c>
    </row>
    <row r="179" spans="4:5" x14ac:dyDescent="0.35">
      <c r="D179" s="30" t="str">
        <f t="shared" si="7"/>
        <v xml:space="preserve">Community Health Workers </v>
      </c>
      <c r="E179">
        <f t="shared" si="10"/>
        <v>0</v>
      </c>
    </row>
    <row r="180" spans="4:5" x14ac:dyDescent="0.35">
      <c r="D180" s="30" t="str">
        <f t="shared" si="7"/>
        <v>Dieticians and nutritionists</v>
      </c>
      <c r="E180">
        <f t="shared" si="10"/>
        <v>0</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0</v>
      </c>
    </row>
    <row r="194" spans="2:5" x14ac:dyDescent="0.35">
      <c r="D194" s="30" t="str">
        <f t="shared" si="11"/>
        <v>Physiotherapists and physiotherapy assistants</v>
      </c>
      <c r="E194">
        <f t="shared" si="10"/>
        <v>0</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24393181.5</v>
      </c>
      <c r="D198" s="30" t="str">
        <f t="shared" si="11"/>
        <v>Medical Doctors</v>
      </c>
      <c r="E198">
        <f t="shared" ref="E198:E221" si="12">I3</f>
        <v>0</v>
      </c>
    </row>
    <row r="199" spans="2:5" x14ac:dyDescent="0.35">
      <c r="D199" s="30" t="str">
        <f t="shared" si="11"/>
        <v>Nursing Personnel</v>
      </c>
      <c r="E199">
        <f t="shared" si="12"/>
        <v>0</v>
      </c>
    </row>
    <row r="200" spans="2:5" x14ac:dyDescent="0.35">
      <c r="D200" s="30" t="str">
        <f t="shared" si="11"/>
        <v>Midwifery personnel</v>
      </c>
      <c r="E200">
        <f t="shared" si="12"/>
        <v>0</v>
      </c>
    </row>
    <row r="201" spans="2:5" x14ac:dyDescent="0.35">
      <c r="D201" s="30" t="str">
        <f t="shared" si="11"/>
        <v>Pharmacists</v>
      </c>
      <c r="E201">
        <f t="shared" si="12"/>
        <v>10752</v>
      </c>
    </row>
    <row r="202" spans="2:5" x14ac:dyDescent="0.35">
      <c r="D202" s="30" t="str">
        <f t="shared" si="11"/>
        <v>Dentists</v>
      </c>
      <c r="E202">
        <f t="shared" si="12"/>
        <v>1889</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0</v>
      </c>
    </row>
    <row r="208" spans="2:5" x14ac:dyDescent="0.35">
      <c r="D208" s="30" t="str">
        <f t="shared" si="11"/>
        <v xml:space="preserve">Medical and dental Prosthetic Technicians </v>
      </c>
      <c r="E208">
        <f t="shared" si="12"/>
        <v>0</v>
      </c>
    </row>
    <row r="209" spans="2:5" x14ac:dyDescent="0.35">
      <c r="D209" s="30" t="str">
        <f t="shared" si="11"/>
        <v xml:space="preserve">Medical and Pathology Laboratory scientists </v>
      </c>
      <c r="E209">
        <f t="shared" si="12"/>
        <v>0</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0</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0</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0</v>
      </c>
    </row>
    <row r="219" spans="2:5" x14ac:dyDescent="0.35">
      <c r="D219" s="30" t="str">
        <f t="shared" si="11"/>
        <v>Social workers</v>
      </c>
      <c r="E219">
        <f t="shared" si="12"/>
        <v>0</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84283273.000000045</v>
      </c>
      <c r="D222" s="29" t="str">
        <f t="shared" si="11"/>
        <v>Medical Doctors</v>
      </c>
      <c r="E222">
        <f t="shared" ref="E222:E245" si="13">J3</f>
        <v>0</v>
      </c>
    </row>
    <row r="223" spans="2:5" x14ac:dyDescent="0.35">
      <c r="D223" s="30" t="str">
        <f t="shared" si="11"/>
        <v>Nursing Personnel</v>
      </c>
      <c r="E223">
        <f t="shared" si="13"/>
        <v>146092</v>
      </c>
    </row>
    <row r="224" spans="2:5" x14ac:dyDescent="0.35">
      <c r="D224" s="30" t="str">
        <f t="shared" si="11"/>
        <v>Midwifery personnel</v>
      </c>
      <c r="E224">
        <f t="shared" si="13"/>
        <v>0</v>
      </c>
    </row>
    <row r="225" spans="4:5" x14ac:dyDescent="0.35">
      <c r="D225" s="30" t="str">
        <f t="shared" si="11"/>
        <v>Pharmacists</v>
      </c>
      <c r="E225">
        <f t="shared" si="13"/>
        <v>108</v>
      </c>
    </row>
    <row r="226" spans="4:5" x14ac:dyDescent="0.35">
      <c r="D226" s="30" t="str">
        <f t="shared" si="11"/>
        <v>Dentists</v>
      </c>
      <c r="E226">
        <f t="shared" si="13"/>
        <v>9</v>
      </c>
    </row>
    <row r="227" spans="4:5" x14ac:dyDescent="0.35">
      <c r="D227" s="30" t="str">
        <f t="shared" si="11"/>
        <v xml:space="preserve">Community Health Workers </v>
      </c>
      <c r="E227">
        <f t="shared" si="13"/>
        <v>0</v>
      </c>
    </row>
    <row r="228" spans="4:5" x14ac:dyDescent="0.35">
      <c r="D228" s="30" t="str">
        <f t="shared" si="11"/>
        <v>Dieticians and nutritionists</v>
      </c>
      <c r="E228">
        <f t="shared" si="13"/>
        <v>0</v>
      </c>
    </row>
    <row r="229" spans="4:5" x14ac:dyDescent="0.35">
      <c r="D229" s="30" t="str">
        <f t="shared" si="11"/>
        <v>Environmental and occupational health &amp; hygiene workers</v>
      </c>
      <c r="E229">
        <f t="shared" si="13"/>
        <v>0</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0</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0</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0</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0</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5312339.5000000009</v>
      </c>
      <c r="D246" s="29" t="str">
        <f t="shared" ref="D246:D309" si="14">D222</f>
        <v>Medical Doctors</v>
      </c>
      <c r="E246">
        <f t="shared" ref="E246:E269" si="15">K3</f>
        <v>0</v>
      </c>
    </row>
    <row r="247" spans="2:5" x14ac:dyDescent="0.35">
      <c r="D247" s="30" t="str">
        <f t="shared" si="14"/>
        <v>Nursing Personnel</v>
      </c>
      <c r="E247">
        <f t="shared" si="15"/>
        <v>0</v>
      </c>
    </row>
    <row r="248" spans="2:5" x14ac:dyDescent="0.35">
      <c r="D248" s="30" t="str">
        <f t="shared" si="14"/>
        <v>Midwifery personnel</v>
      </c>
      <c r="E248">
        <f t="shared" si="15"/>
        <v>0</v>
      </c>
    </row>
    <row r="249" spans="2:5" x14ac:dyDescent="0.35">
      <c r="D249" s="30" t="str">
        <f t="shared" si="14"/>
        <v>Pharmacists</v>
      </c>
      <c r="E249">
        <f t="shared" si="15"/>
        <v>207</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761663.99999999977</v>
      </c>
      <c r="D270" s="29" t="str">
        <f t="shared" si="14"/>
        <v>Medical Doctors</v>
      </c>
      <c r="E270">
        <f t="shared" ref="E270:E293" si="16">L3</f>
        <v>0</v>
      </c>
    </row>
    <row r="271" spans="2:5" x14ac:dyDescent="0.35">
      <c r="D271" s="30" t="str">
        <f t="shared" si="14"/>
        <v>Nursing Personnel</v>
      </c>
      <c r="E271">
        <f t="shared" si="16"/>
        <v>0</v>
      </c>
    </row>
    <row r="272" spans="2:5" x14ac:dyDescent="0.35">
      <c r="D272" s="30" t="str">
        <f t="shared" si="14"/>
        <v>Midwifery personnel</v>
      </c>
      <c r="E272">
        <f t="shared" si="16"/>
        <v>0</v>
      </c>
    </row>
    <row r="273" spans="4:5" x14ac:dyDescent="0.35">
      <c r="D273" s="30" t="str">
        <f t="shared" si="14"/>
        <v>Pharmacists</v>
      </c>
      <c r="E273">
        <f t="shared" si="16"/>
        <v>1462</v>
      </c>
    </row>
    <row r="274" spans="4:5" x14ac:dyDescent="0.35">
      <c r="D274" s="30" t="str">
        <f t="shared" si="14"/>
        <v>Dentists</v>
      </c>
      <c r="E274">
        <f t="shared" si="16"/>
        <v>374</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0</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564954.00000000035</v>
      </c>
      <c r="D294" s="29" t="str">
        <f t="shared" si="14"/>
        <v>Medical Doctors</v>
      </c>
      <c r="E294">
        <f t="shared" ref="E294:E317" si="17">M3</f>
        <v>0</v>
      </c>
    </row>
    <row r="295" spans="2:5" x14ac:dyDescent="0.35">
      <c r="D295" s="30" t="str">
        <f t="shared" si="14"/>
        <v>Nursing Personnel</v>
      </c>
      <c r="E295">
        <f t="shared" si="17"/>
        <v>1376</v>
      </c>
    </row>
    <row r="296" spans="2:5" x14ac:dyDescent="0.35">
      <c r="D296" s="30" t="str">
        <f t="shared" si="14"/>
        <v>Midwifery personnel</v>
      </c>
      <c r="E296">
        <f t="shared" si="17"/>
        <v>0</v>
      </c>
    </row>
    <row r="297" spans="2:5" x14ac:dyDescent="0.35">
      <c r="D297" s="30" t="str">
        <f t="shared" si="14"/>
        <v>Pharmacists</v>
      </c>
      <c r="E297">
        <f t="shared" si="17"/>
        <v>0</v>
      </c>
    </row>
    <row r="298" spans="2:5" x14ac:dyDescent="0.35">
      <c r="D298" s="30" t="str">
        <f t="shared" si="14"/>
        <v>Dentists</v>
      </c>
      <c r="E298">
        <f t="shared" si="17"/>
        <v>1210</v>
      </c>
    </row>
    <row r="299" spans="2:5" x14ac:dyDescent="0.35">
      <c r="D299" s="30" t="str">
        <f t="shared" si="14"/>
        <v xml:space="preserve">Community Health Workers </v>
      </c>
      <c r="E299">
        <f t="shared" si="17"/>
        <v>0</v>
      </c>
    </row>
    <row r="300" spans="2:5" x14ac:dyDescent="0.35">
      <c r="D300" s="30" t="str">
        <f t="shared" si="14"/>
        <v>Dieticians and nutritionists</v>
      </c>
      <c r="E300">
        <f t="shared" si="17"/>
        <v>0</v>
      </c>
    </row>
    <row r="301" spans="2:5" x14ac:dyDescent="0.35">
      <c r="D301" s="30" t="str">
        <f t="shared" si="14"/>
        <v>Environmental and occupational health &amp; hygiene workers</v>
      </c>
      <c r="E301">
        <f t="shared" si="17"/>
        <v>0</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41136545.999999985</v>
      </c>
      <c r="D318" s="29" t="str">
        <f t="shared" si="18"/>
        <v>Medical Doctors</v>
      </c>
      <c r="E318">
        <f t="shared" ref="E318:E341" si="19">N3</f>
        <v>0</v>
      </c>
    </row>
    <row r="319" spans="2:5" x14ac:dyDescent="0.35">
      <c r="D319" s="30" t="str">
        <f t="shared" si="18"/>
        <v>Nursing Personnel</v>
      </c>
      <c r="E319">
        <f t="shared" si="19"/>
        <v>184000</v>
      </c>
    </row>
    <row r="320" spans="2:5" x14ac:dyDescent="0.35">
      <c r="D320" s="30" t="str">
        <f t="shared" si="18"/>
        <v>Midwifery personnel</v>
      </c>
      <c r="E320">
        <f t="shared" si="19"/>
        <v>0</v>
      </c>
    </row>
    <row r="321" spans="4:5" x14ac:dyDescent="0.35">
      <c r="D321" s="30" t="str">
        <f t="shared" si="18"/>
        <v>Pharmacists</v>
      </c>
      <c r="E321">
        <f t="shared" si="19"/>
        <v>1388</v>
      </c>
    </row>
    <row r="322" spans="4:5" x14ac:dyDescent="0.35">
      <c r="D322" s="30" t="str">
        <f t="shared" si="18"/>
        <v>Dentists</v>
      </c>
      <c r="E322">
        <f t="shared" si="19"/>
        <v>0</v>
      </c>
    </row>
    <row r="323" spans="4:5" x14ac:dyDescent="0.35">
      <c r="D323" s="30" t="str">
        <f t="shared" si="18"/>
        <v xml:space="preserve">Community Health Workers </v>
      </c>
      <c r="E323">
        <f t="shared" si="19"/>
        <v>0</v>
      </c>
    </row>
    <row r="324" spans="4:5" x14ac:dyDescent="0.35">
      <c r="D324" s="30" t="str">
        <f t="shared" si="18"/>
        <v>Dieticians and nutritionists</v>
      </c>
      <c r="E324">
        <f t="shared" si="19"/>
        <v>0</v>
      </c>
    </row>
    <row r="325" spans="4:5" x14ac:dyDescent="0.35">
      <c r="D325" s="30" t="str">
        <f t="shared" si="18"/>
        <v>Environmental and occupational health &amp; hygiene workers</v>
      </c>
      <c r="E325">
        <f t="shared" si="19"/>
        <v>0</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521</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3396933.0000000019</v>
      </c>
      <c r="D342" s="29" t="str">
        <f t="shared" si="18"/>
        <v>Medical Doctors</v>
      </c>
      <c r="E342">
        <f t="shared" ref="E342:E365" si="20">O3</f>
        <v>529</v>
      </c>
    </row>
    <row r="343" spans="2:5" x14ac:dyDescent="0.35">
      <c r="D343" s="30" t="str">
        <f t="shared" si="18"/>
        <v>Nursing Personnel</v>
      </c>
      <c r="E343">
        <f t="shared" si="20"/>
        <v>9056</v>
      </c>
    </row>
    <row r="344" spans="2:5" x14ac:dyDescent="0.35">
      <c r="D344" s="30" t="str">
        <f t="shared" si="18"/>
        <v>Midwifery personnel</v>
      </c>
      <c r="E344">
        <f t="shared" si="20"/>
        <v>0</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0</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0</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108197949.49999994</v>
      </c>
      <c r="D366" s="29" t="str">
        <f t="shared" ref="D366:D429" si="22">D342</f>
        <v>Medical Doctors</v>
      </c>
      <c r="E366">
        <f t="shared" ref="E366:E389" si="23">P3</f>
        <v>0</v>
      </c>
    </row>
    <row r="367" spans="2:5" x14ac:dyDescent="0.35">
      <c r="D367" s="30" t="str">
        <f t="shared" si="22"/>
        <v>Nursing Personnel</v>
      </c>
      <c r="E367">
        <f t="shared" si="23"/>
        <v>176328</v>
      </c>
    </row>
    <row r="368" spans="2:5" x14ac:dyDescent="0.35">
      <c r="D368" s="30" t="str">
        <f t="shared" si="22"/>
        <v>Midwifery personnel</v>
      </c>
      <c r="E368">
        <f t="shared" si="23"/>
        <v>0</v>
      </c>
    </row>
    <row r="369" spans="4:5" x14ac:dyDescent="0.35">
      <c r="D369" s="30" t="str">
        <f t="shared" si="22"/>
        <v>Pharmacists</v>
      </c>
      <c r="E369">
        <f t="shared" si="23"/>
        <v>0</v>
      </c>
    </row>
    <row r="370" spans="4:5" x14ac:dyDescent="0.35">
      <c r="D370" s="30" t="str">
        <f t="shared" si="22"/>
        <v>Dentists</v>
      </c>
      <c r="E370">
        <f t="shared" si="23"/>
        <v>0</v>
      </c>
    </row>
    <row r="371" spans="4:5" x14ac:dyDescent="0.35">
      <c r="D371" s="30" t="str">
        <f t="shared" si="22"/>
        <v xml:space="preserve">Community Health Workers </v>
      </c>
      <c r="E371">
        <f t="shared" si="23"/>
        <v>0</v>
      </c>
    </row>
    <row r="372" spans="4:5" x14ac:dyDescent="0.35">
      <c r="D372" s="30" t="str">
        <f t="shared" si="22"/>
        <v>Dieticians and nutritionists</v>
      </c>
      <c r="E372">
        <f t="shared" si="23"/>
        <v>0</v>
      </c>
    </row>
    <row r="373" spans="4:5" x14ac:dyDescent="0.35">
      <c r="D373" s="30" t="str">
        <f t="shared" si="22"/>
        <v>Environmental and occupational health &amp; hygiene workers</v>
      </c>
      <c r="E373">
        <f t="shared" si="23"/>
        <v>0</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0</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0</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2140215.5000000005</v>
      </c>
      <c r="D390" s="29" t="str">
        <f t="shared" si="22"/>
        <v>Medical Doctors</v>
      </c>
      <c r="E390">
        <f t="shared" ref="E390:E413" si="24">Q3</f>
        <v>3543</v>
      </c>
    </row>
    <row r="391" spans="2:5" x14ac:dyDescent="0.35">
      <c r="D391" s="30" t="str">
        <f t="shared" si="22"/>
        <v>Nursing Personnel</v>
      </c>
      <c r="E391">
        <f t="shared" si="24"/>
        <v>10700</v>
      </c>
    </row>
    <row r="392" spans="2:5" x14ac:dyDescent="0.35">
      <c r="D392" s="30" t="str">
        <f t="shared" si="22"/>
        <v>Midwifery personnel</v>
      </c>
      <c r="E392">
        <f t="shared" si="24"/>
        <v>1466</v>
      </c>
    </row>
    <row r="393" spans="2:5" x14ac:dyDescent="0.35">
      <c r="D393" s="30" t="str">
        <f t="shared" si="22"/>
        <v>Pharmacists</v>
      </c>
      <c r="E393">
        <f t="shared" si="24"/>
        <v>2917</v>
      </c>
    </row>
    <row r="394" spans="2:5" x14ac:dyDescent="0.35">
      <c r="D394" s="30" t="str">
        <f t="shared" si="22"/>
        <v>Dentists</v>
      </c>
      <c r="E394">
        <f t="shared" si="24"/>
        <v>246</v>
      </c>
    </row>
    <row r="395" spans="2:5" x14ac:dyDescent="0.35">
      <c r="D395" s="30" t="str">
        <f t="shared" si="22"/>
        <v xml:space="preserve">Community Health Workers </v>
      </c>
      <c r="E395">
        <f t="shared" si="24"/>
        <v>0</v>
      </c>
    </row>
    <row r="396" spans="2:5" x14ac:dyDescent="0.35">
      <c r="D396" s="30" t="str">
        <f t="shared" si="22"/>
        <v>Dieticians and nutritionists</v>
      </c>
      <c r="E396">
        <f t="shared" si="24"/>
        <v>1985</v>
      </c>
    </row>
    <row r="397" spans="2:5" x14ac:dyDescent="0.35">
      <c r="D397" s="30" t="str">
        <f t="shared" si="22"/>
        <v>Environmental and occupational health &amp; hygiene workers</v>
      </c>
      <c r="E397">
        <f t="shared" si="24"/>
        <v>5029</v>
      </c>
    </row>
    <row r="398" spans="2:5" x14ac:dyDescent="0.35">
      <c r="D398" s="30" t="str">
        <f t="shared" si="22"/>
        <v>Personal care workers in health service</v>
      </c>
      <c r="E398">
        <f t="shared" si="24"/>
        <v>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46</v>
      </c>
    </row>
    <row r="401" spans="2:5" x14ac:dyDescent="0.35">
      <c r="D401" s="30" t="str">
        <f t="shared" si="22"/>
        <v xml:space="preserve">Medical and Pathology Laboratory scientists </v>
      </c>
      <c r="E401">
        <f t="shared" si="24"/>
        <v>0</v>
      </c>
    </row>
    <row r="402" spans="2:5" x14ac:dyDescent="0.35">
      <c r="D402" s="30" t="str">
        <f t="shared" si="22"/>
        <v xml:space="preserve">Medical Assistants </v>
      </c>
      <c r="E402">
        <f t="shared" si="24"/>
        <v>18</v>
      </c>
    </row>
    <row r="403" spans="2:5" x14ac:dyDescent="0.35">
      <c r="D403" s="30" t="str">
        <f t="shared" si="22"/>
        <v xml:space="preserve">Medical Imaging and Therapeutic Equipment Technicians </v>
      </c>
      <c r="E403">
        <f t="shared" si="24"/>
        <v>93</v>
      </c>
    </row>
    <row r="404" spans="2:5" x14ac:dyDescent="0.35">
      <c r="D404" s="30" t="str">
        <f t="shared" si="22"/>
        <v xml:space="preserve">Medical Records and Health Information Technicians </v>
      </c>
      <c r="E404">
        <f t="shared" si="24"/>
        <v>32</v>
      </c>
    </row>
    <row r="405" spans="2:5" x14ac:dyDescent="0.35">
      <c r="D405" s="30" t="str">
        <f t="shared" si="22"/>
        <v xml:space="preserve">Optometrists and Ophthalmic Opticians </v>
      </c>
      <c r="E405">
        <f t="shared" si="24"/>
        <v>5</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442</v>
      </c>
    </row>
    <row r="409" spans="2:5" x14ac:dyDescent="0.35">
      <c r="D409" s="30" t="str">
        <f t="shared" si="22"/>
        <v xml:space="preserve">Paramedical Practitioners </v>
      </c>
      <c r="E409">
        <f t="shared" si="24"/>
        <v>58</v>
      </c>
    </row>
    <row r="410" spans="2:5" x14ac:dyDescent="0.35">
      <c r="D410" s="30" t="str">
        <f t="shared" si="22"/>
        <v>Physiotherapists and physiotherapy assistants</v>
      </c>
      <c r="E410">
        <f t="shared" si="24"/>
        <v>43</v>
      </c>
    </row>
    <row r="411" spans="2:5" x14ac:dyDescent="0.35">
      <c r="D411" s="30" t="str">
        <f t="shared" si="22"/>
        <v>Social workers</v>
      </c>
      <c r="E411">
        <f t="shared" si="24"/>
        <v>0</v>
      </c>
    </row>
    <row r="412" spans="2:5" x14ac:dyDescent="0.35">
      <c r="D412" s="30" t="str">
        <f t="shared" si="22"/>
        <v xml:space="preserve">Audiologists and Speech Therapists </v>
      </c>
      <c r="E412">
        <f t="shared" si="24"/>
        <v>2</v>
      </c>
    </row>
    <row r="413" spans="2:5" x14ac:dyDescent="0.35">
      <c r="D413" s="30" t="str">
        <f t="shared" si="22"/>
        <v>Traditional and complementary medicine practitioners</v>
      </c>
      <c r="E413">
        <f t="shared" si="24"/>
        <v>99</v>
      </c>
    </row>
    <row r="414" spans="2:5" x14ac:dyDescent="0.35">
      <c r="B414" t="str">
        <f>R1</f>
        <v>GHA</v>
      </c>
      <c r="C414">
        <f>R2</f>
        <v>30222261.500000004</v>
      </c>
      <c r="D414" s="29" t="str">
        <f t="shared" si="22"/>
        <v>Medical Doctors</v>
      </c>
      <c r="E414">
        <f t="shared" ref="E414:E437" si="25">R3</f>
        <v>5358</v>
      </c>
    </row>
    <row r="415" spans="2:5" x14ac:dyDescent="0.35">
      <c r="D415" s="30" t="str">
        <f t="shared" si="22"/>
        <v>Nursing Personnel</v>
      </c>
      <c r="E415">
        <f t="shared" si="25"/>
        <v>117216</v>
      </c>
    </row>
    <row r="416" spans="2:5" x14ac:dyDescent="0.35">
      <c r="D416" s="30" t="str">
        <f t="shared" si="22"/>
        <v>Midwifery personnel</v>
      </c>
      <c r="E416">
        <f t="shared" si="25"/>
        <v>19108</v>
      </c>
    </row>
    <row r="417" spans="4:5" x14ac:dyDescent="0.35">
      <c r="D417" s="30" t="str">
        <f t="shared" si="22"/>
        <v>Pharmacists</v>
      </c>
      <c r="E417">
        <f t="shared" si="25"/>
        <v>0</v>
      </c>
    </row>
    <row r="418" spans="4:5" x14ac:dyDescent="0.35">
      <c r="D418" s="30" t="str">
        <f t="shared" si="22"/>
        <v>Dentists</v>
      </c>
      <c r="E418">
        <f t="shared" si="25"/>
        <v>0</v>
      </c>
    </row>
    <row r="419" spans="4:5" x14ac:dyDescent="0.35">
      <c r="D419" s="30" t="str">
        <f t="shared" si="22"/>
        <v xml:space="preserve">Community Health Workers </v>
      </c>
      <c r="E419">
        <f t="shared" si="25"/>
        <v>15456</v>
      </c>
    </row>
    <row r="420" spans="4:5" x14ac:dyDescent="0.35">
      <c r="D420" s="30" t="str">
        <f t="shared" si="22"/>
        <v>Dieticians and nutritionists</v>
      </c>
      <c r="E420">
        <f t="shared" si="25"/>
        <v>0</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167</v>
      </c>
    </row>
    <row r="425" spans="4:5" x14ac:dyDescent="0.35">
      <c r="D425" s="30" t="str">
        <f t="shared" si="22"/>
        <v xml:space="preserve">Medical and Pathology Laboratory scientists </v>
      </c>
      <c r="E425">
        <f t="shared" si="25"/>
        <v>0</v>
      </c>
    </row>
    <row r="426" spans="4:5" x14ac:dyDescent="0.35">
      <c r="D426" s="30" t="str">
        <f t="shared" si="22"/>
        <v xml:space="preserve">Medical Assistants </v>
      </c>
      <c r="E426">
        <f t="shared" si="25"/>
        <v>240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133</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0</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324</v>
      </c>
    </row>
    <row r="435" spans="2:5" x14ac:dyDescent="0.35">
      <c r="D435" s="30" t="str">
        <f t="shared" si="26"/>
        <v>Social workers</v>
      </c>
      <c r="E435">
        <f t="shared" si="25"/>
        <v>0</v>
      </c>
    </row>
    <row r="436" spans="2:5" x14ac:dyDescent="0.35">
      <c r="D436" s="30" t="str">
        <f t="shared" si="26"/>
        <v xml:space="preserve">Audiologists and Speech Therapists </v>
      </c>
      <c r="E436">
        <f t="shared" si="25"/>
        <v>0</v>
      </c>
    </row>
    <row r="437" spans="2:5" x14ac:dyDescent="0.35">
      <c r="D437" s="30" t="str">
        <f t="shared" si="26"/>
        <v>Traditional and complementary medicine practitioners</v>
      </c>
      <c r="E437">
        <f t="shared" si="25"/>
        <v>0</v>
      </c>
    </row>
    <row r="438" spans="2:5" x14ac:dyDescent="0.35">
      <c r="B438" t="str">
        <f>S1</f>
        <v>GIN</v>
      </c>
      <c r="C438">
        <f>S2</f>
        <v>12240788.500000004</v>
      </c>
      <c r="D438" s="29" t="str">
        <f t="shared" si="26"/>
        <v>Medical Doctors</v>
      </c>
      <c r="E438">
        <f t="shared" ref="E438:E461" si="27">S3</f>
        <v>0</v>
      </c>
    </row>
    <row r="439" spans="2:5" x14ac:dyDescent="0.35">
      <c r="D439" s="30" t="str">
        <f t="shared" si="26"/>
        <v>Nursing Personnel</v>
      </c>
      <c r="E439">
        <f t="shared" si="27"/>
        <v>0</v>
      </c>
    </row>
    <row r="440" spans="2:5" x14ac:dyDescent="0.35">
      <c r="D440" s="30" t="str">
        <f t="shared" si="26"/>
        <v>Midwifery personnel</v>
      </c>
      <c r="E440">
        <f t="shared" si="27"/>
        <v>0</v>
      </c>
    </row>
    <row r="441" spans="2:5" x14ac:dyDescent="0.35">
      <c r="D441" s="30" t="str">
        <f t="shared" si="26"/>
        <v>Pharmacists</v>
      </c>
      <c r="E441">
        <f t="shared" si="27"/>
        <v>0</v>
      </c>
    </row>
    <row r="442" spans="2:5" x14ac:dyDescent="0.35">
      <c r="D442" s="30" t="str">
        <f t="shared" si="26"/>
        <v>Dentists</v>
      </c>
      <c r="E442">
        <f t="shared" si="27"/>
        <v>106</v>
      </c>
    </row>
    <row r="443" spans="2:5" x14ac:dyDescent="0.35">
      <c r="D443" s="30" t="str">
        <f t="shared" si="26"/>
        <v xml:space="preserve">Community Health Workers </v>
      </c>
      <c r="E443">
        <f t="shared" si="27"/>
        <v>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2381181.5</v>
      </c>
      <c r="D462" s="29" t="str">
        <f t="shared" si="26"/>
        <v>Medical Doctors</v>
      </c>
      <c r="E462">
        <f t="shared" ref="E462:E485" si="28">T3</f>
        <v>464</v>
      </c>
    </row>
    <row r="463" spans="2:5" x14ac:dyDescent="0.35">
      <c r="D463" s="30" t="str">
        <f t="shared" si="26"/>
        <v>Nursing Personnel</v>
      </c>
      <c r="E463">
        <f t="shared" si="28"/>
        <v>2648</v>
      </c>
    </row>
    <row r="464" spans="2:5" x14ac:dyDescent="0.35">
      <c r="D464" s="30" t="str">
        <f t="shared" si="26"/>
        <v>Midwifery personnel</v>
      </c>
      <c r="E464">
        <f t="shared" si="28"/>
        <v>844</v>
      </c>
    </row>
    <row r="465" spans="4:5" x14ac:dyDescent="0.35">
      <c r="D465" s="30" t="str">
        <f t="shared" si="26"/>
        <v>Pharmacists</v>
      </c>
      <c r="E465">
        <f t="shared" si="28"/>
        <v>360</v>
      </c>
    </row>
    <row r="466" spans="4:5" x14ac:dyDescent="0.35">
      <c r="D466" s="30" t="str">
        <f t="shared" si="26"/>
        <v>Dentists</v>
      </c>
      <c r="E466">
        <f t="shared" si="28"/>
        <v>54</v>
      </c>
    </row>
    <row r="467" spans="4:5" x14ac:dyDescent="0.35">
      <c r="D467" s="30" t="str">
        <f t="shared" si="26"/>
        <v xml:space="preserve">Community Health Workers </v>
      </c>
      <c r="E467">
        <f t="shared" si="28"/>
        <v>0</v>
      </c>
    </row>
    <row r="468" spans="4:5" x14ac:dyDescent="0.35">
      <c r="D468" s="30" t="str">
        <f t="shared" si="26"/>
        <v>Dieticians and nutritionists</v>
      </c>
      <c r="E468">
        <f t="shared" si="28"/>
        <v>0</v>
      </c>
    </row>
    <row r="469" spans="4:5" x14ac:dyDescent="0.35">
      <c r="D469" s="30" t="str">
        <f t="shared" si="26"/>
        <v>Environmental and occupational health &amp; hygiene workers</v>
      </c>
      <c r="E469">
        <f t="shared" si="28"/>
        <v>0</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0</v>
      </c>
    </row>
    <row r="472" spans="4:5" x14ac:dyDescent="0.35">
      <c r="D472" s="30" t="str">
        <f t="shared" si="26"/>
        <v xml:space="preserve">Medical and dental Prosthetic Technicians </v>
      </c>
      <c r="E472">
        <f t="shared" si="28"/>
        <v>0</v>
      </c>
    </row>
    <row r="473" spans="4:5" x14ac:dyDescent="0.35">
      <c r="D473" s="30" t="str">
        <f t="shared" si="26"/>
        <v xml:space="preserve">Medical and Pathology Laboratory scientists </v>
      </c>
      <c r="E473">
        <f t="shared" si="28"/>
        <v>0</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0</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0</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0</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1879826.5000000005</v>
      </c>
      <c r="D486" s="29" t="str">
        <f t="shared" si="26"/>
        <v>Medical Doctors</v>
      </c>
      <c r="E486">
        <f t="shared" ref="E486:E509" si="29">U3</f>
        <v>0</v>
      </c>
    </row>
    <row r="487" spans="2:5" x14ac:dyDescent="0.35">
      <c r="D487" s="30" t="str">
        <f t="shared" si="26"/>
        <v>Nursing Personnel</v>
      </c>
      <c r="E487">
        <f t="shared" si="29"/>
        <v>0</v>
      </c>
    </row>
    <row r="488" spans="2:5" x14ac:dyDescent="0.35">
      <c r="D488" s="30" t="str">
        <f t="shared" si="26"/>
        <v>Midwifery personnel</v>
      </c>
      <c r="E488">
        <f t="shared" si="29"/>
        <v>0</v>
      </c>
    </row>
    <row r="489" spans="2:5" x14ac:dyDescent="0.35">
      <c r="D489" s="30" t="str">
        <f t="shared" si="26"/>
        <v>Pharmacists</v>
      </c>
      <c r="E489">
        <f t="shared" si="29"/>
        <v>0</v>
      </c>
    </row>
    <row r="490" spans="2:5" x14ac:dyDescent="0.35">
      <c r="D490" s="30" t="str">
        <f t="shared" si="26"/>
        <v>Dentists</v>
      </c>
      <c r="E490">
        <f t="shared" si="29"/>
        <v>0</v>
      </c>
    </row>
    <row r="491" spans="2:5" x14ac:dyDescent="0.35">
      <c r="D491" s="30" t="str">
        <f t="shared" si="26"/>
        <v xml:space="preserve">Community Health Workers </v>
      </c>
      <c r="E491">
        <f t="shared" si="29"/>
        <v>0</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0</v>
      </c>
    </row>
    <row r="497" spans="2:5" x14ac:dyDescent="0.35">
      <c r="D497" s="30" t="str">
        <f t="shared" si="30"/>
        <v xml:space="preserve">Medical and Pathology Laboratory scientists </v>
      </c>
      <c r="E497">
        <f t="shared" si="29"/>
        <v>0</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0</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0</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0</v>
      </c>
    </row>
    <row r="504" spans="2:5" x14ac:dyDescent="0.35">
      <c r="D504" s="30" t="str">
        <f t="shared" si="30"/>
        <v xml:space="preserve">Medical and Pathology Laboratory Technicians </v>
      </c>
      <c r="E504">
        <f t="shared" si="29"/>
        <v>0</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0</v>
      </c>
    </row>
    <row r="507" spans="2:5" x14ac:dyDescent="0.35">
      <c r="D507" s="30" t="str">
        <f t="shared" si="30"/>
        <v>Social workers</v>
      </c>
      <c r="E507">
        <f t="shared" si="29"/>
        <v>0</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1450694.0000000005</v>
      </c>
      <c r="D510" s="29" t="str">
        <f t="shared" si="30"/>
        <v>Medical Doctors</v>
      </c>
      <c r="E510">
        <f t="shared" ref="E510:E533" si="31">V3</f>
        <v>1014</v>
      </c>
    </row>
    <row r="511" spans="2:5" x14ac:dyDescent="0.35">
      <c r="D511" s="30" t="str">
        <f t="shared" si="30"/>
        <v>Nursing Personnel</v>
      </c>
      <c r="E511">
        <f t="shared" si="31"/>
        <v>1268</v>
      </c>
    </row>
    <row r="512" spans="2:5" x14ac:dyDescent="0.35">
      <c r="D512" s="30" t="str">
        <f t="shared" si="30"/>
        <v>Midwifery personnel</v>
      </c>
      <c r="E512">
        <f t="shared" si="31"/>
        <v>0</v>
      </c>
    </row>
    <row r="513" spans="4:5" x14ac:dyDescent="0.35">
      <c r="D513" s="30" t="str">
        <f t="shared" si="30"/>
        <v>Pharmacists</v>
      </c>
      <c r="E513">
        <f t="shared" si="31"/>
        <v>27</v>
      </c>
    </row>
    <row r="514" spans="4:5" x14ac:dyDescent="0.35">
      <c r="D514" s="30" t="str">
        <f t="shared" si="30"/>
        <v>Dentists</v>
      </c>
      <c r="E514">
        <f t="shared" si="31"/>
        <v>225</v>
      </c>
    </row>
    <row r="515" spans="4:5" x14ac:dyDescent="0.35">
      <c r="D515" s="30" t="str">
        <f t="shared" si="30"/>
        <v xml:space="preserve">Community Health Workers </v>
      </c>
      <c r="E515">
        <f t="shared" si="31"/>
        <v>0</v>
      </c>
    </row>
    <row r="516" spans="4:5" x14ac:dyDescent="0.35">
      <c r="D516" s="30" t="str">
        <f t="shared" si="30"/>
        <v>Dieticians and nutritionists</v>
      </c>
      <c r="E516">
        <f t="shared" si="31"/>
        <v>0</v>
      </c>
    </row>
    <row r="517" spans="4:5" x14ac:dyDescent="0.35">
      <c r="D517" s="30" t="str">
        <f t="shared" si="30"/>
        <v>Environmental and occupational health &amp; hygiene workers</v>
      </c>
      <c r="E517">
        <f t="shared" si="31"/>
        <v>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48948137.000000037</v>
      </c>
      <c r="D534" s="29" t="str">
        <f t="shared" si="30"/>
        <v>Medical Doctors</v>
      </c>
      <c r="E534">
        <f t="shared" ref="E534:E557" si="32">W3</f>
        <v>0</v>
      </c>
    </row>
    <row r="535" spans="2:5" x14ac:dyDescent="0.35">
      <c r="D535" s="30" t="str">
        <f t="shared" si="30"/>
        <v>Nursing Personnel</v>
      </c>
      <c r="E535">
        <f t="shared" si="32"/>
        <v>106336</v>
      </c>
    </row>
    <row r="536" spans="2:5" x14ac:dyDescent="0.35">
      <c r="D536" s="30" t="str">
        <f t="shared" si="30"/>
        <v>Midwifery personnel</v>
      </c>
      <c r="E536">
        <f t="shared" si="32"/>
        <v>0</v>
      </c>
    </row>
    <row r="537" spans="2:5" x14ac:dyDescent="0.35">
      <c r="D537" s="30" t="str">
        <f t="shared" si="30"/>
        <v>Pharmacists</v>
      </c>
      <c r="E537">
        <f t="shared" si="32"/>
        <v>0</v>
      </c>
    </row>
    <row r="538" spans="2:5" x14ac:dyDescent="0.35">
      <c r="D538" s="30" t="str">
        <f t="shared" si="30"/>
        <v>Dentists</v>
      </c>
      <c r="E538">
        <f t="shared" si="32"/>
        <v>0</v>
      </c>
    </row>
    <row r="539" spans="2:5" x14ac:dyDescent="0.35">
      <c r="D539" s="30" t="str">
        <f t="shared" si="30"/>
        <v xml:space="preserve">Community Health Workers </v>
      </c>
      <c r="E539">
        <f t="shared" si="32"/>
        <v>0</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0</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0</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4796630.9999999963</v>
      </c>
      <c r="D558" s="29" t="str">
        <f t="shared" ref="D558:D621" si="33">D534</f>
        <v>Medical Doctors</v>
      </c>
      <c r="E558">
        <f t="shared" ref="E558:E581" si="34">X3</f>
        <v>496</v>
      </c>
    </row>
    <row r="559" spans="2:5" x14ac:dyDescent="0.35">
      <c r="D559" s="30" t="str">
        <f t="shared" si="33"/>
        <v>Nursing Personnel</v>
      </c>
      <c r="E559">
        <f t="shared" si="34"/>
        <v>0</v>
      </c>
    </row>
    <row r="560" spans="2:5" x14ac:dyDescent="0.35">
      <c r="D560" s="30" t="str">
        <f t="shared" si="33"/>
        <v>Midwifery personnel</v>
      </c>
      <c r="E560">
        <f t="shared" si="34"/>
        <v>0</v>
      </c>
    </row>
    <row r="561" spans="4:5" x14ac:dyDescent="0.35">
      <c r="D561" s="30" t="str">
        <f t="shared" si="33"/>
        <v>Pharmacists</v>
      </c>
      <c r="E561">
        <f t="shared" si="34"/>
        <v>0</v>
      </c>
    </row>
    <row r="562" spans="4:5" x14ac:dyDescent="0.35">
      <c r="D562" s="30" t="str">
        <f t="shared" si="33"/>
        <v>Dentists</v>
      </c>
      <c r="E562">
        <f t="shared" si="34"/>
        <v>0</v>
      </c>
    </row>
    <row r="563" spans="4:5" x14ac:dyDescent="0.35">
      <c r="D563" s="30" t="str">
        <f t="shared" si="33"/>
        <v xml:space="preserve">Community Health Workers </v>
      </c>
      <c r="E563">
        <f t="shared" si="34"/>
        <v>0</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2170616.9999999995</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0</v>
      </c>
    </row>
    <row r="586" spans="2:5" x14ac:dyDescent="0.35">
      <c r="D586" s="30" t="str">
        <f t="shared" si="33"/>
        <v>Dentists</v>
      </c>
      <c r="E586">
        <f t="shared" si="35"/>
        <v>0</v>
      </c>
    </row>
    <row r="587" spans="2:5" x14ac:dyDescent="0.35">
      <c r="D587" s="30" t="str">
        <f t="shared" si="33"/>
        <v xml:space="preserve">Community Health Workers </v>
      </c>
      <c r="E587">
        <f t="shared" si="35"/>
        <v>0</v>
      </c>
    </row>
    <row r="588" spans="2:5" x14ac:dyDescent="0.35">
      <c r="D588" s="30" t="str">
        <f t="shared" si="33"/>
        <v>Dieticians and nutritionists</v>
      </c>
      <c r="E588">
        <f t="shared" si="35"/>
        <v>0</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26169542.000000015</v>
      </c>
      <c r="D606" s="29" t="str">
        <f t="shared" si="33"/>
        <v>Medical Doctors</v>
      </c>
      <c r="E606">
        <f t="shared" ref="E606:E629" si="36">Z3</f>
        <v>0</v>
      </c>
    </row>
    <row r="607" spans="2:5" x14ac:dyDescent="0.35">
      <c r="D607" s="30" t="str">
        <f t="shared" si="33"/>
        <v>Nursing Personnel</v>
      </c>
      <c r="E607">
        <f t="shared" si="36"/>
        <v>0</v>
      </c>
    </row>
    <row r="608" spans="2:5" x14ac:dyDescent="0.35">
      <c r="D608" s="30" t="str">
        <f t="shared" si="33"/>
        <v>Midwifery personnel</v>
      </c>
      <c r="E608">
        <f t="shared" si="36"/>
        <v>5862</v>
      </c>
    </row>
    <row r="609" spans="4:5" x14ac:dyDescent="0.35">
      <c r="D609" s="30" t="str">
        <f t="shared" si="33"/>
        <v>Pharmacists</v>
      </c>
      <c r="E609">
        <f t="shared" si="36"/>
        <v>0</v>
      </c>
    </row>
    <row r="610" spans="4:5" x14ac:dyDescent="0.35">
      <c r="D610" s="30" t="str">
        <f t="shared" si="33"/>
        <v>Dentists</v>
      </c>
      <c r="E610">
        <f t="shared" si="36"/>
        <v>0</v>
      </c>
    </row>
    <row r="611" spans="4:5" x14ac:dyDescent="0.35">
      <c r="D611" s="30" t="str">
        <f t="shared" si="33"/>
        <v xml:space="preserve">Community Health Workers </v>
      </c>
      <c r="E611">
        <f t="shared" si="36"/>
        <v>0</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19311354.499999996</v>
      </c>
      <c r="D630" s="29" t="str">
        <f t="shared" si="37"/>
        <v>Medical Doctors</v>
      </c>
      <c r="E630">
        <f t="shared" ref="E630:E653" si="38">AA3</f>
        <v>4576</v>
      </c>
    </row>
    <row r="631" spans="2:5" x14ac:dyDescent="0.35">
      <c r="D631" s="30" t="str">
        <f t="shared" si="37"/>
        <v>Nursing Personnel</v>
      </c>
      <c r="E631">
        <f t="shared" si="38"/>
        <v>0</v>
      </c>
    </row>
    <row r="632" spans="2:5" x14ac:dyDescent="0.35">
      <c r="D632" s="30" t="str">
        <f t="shared" si="37"/>
        <v>Midwifery personnel</v>
      </c>
      <c r="E632">
        <f t="shared" si="38"/>
        <v>0</v>
      </c>
    </row>
    <row r="633" spans="2:5" x14ac:dyDescent="0.35">
      <c r="D633" s="30" t="str">
        <f t="shared" si="37"/>
        <v>Pharmacists</v>
      </c>
      <c r="E633">
        <f t="shared" si="38"/>
        <v>0</v>
      </c>
    </row>
    <row r="634" spans="2:5" x14ac:dyDescent="0.35">
      <c r="D634" s="30" t="str">
        <f t="shared" si="37"/>
        <v>Dentists</v>
      </c>
      <c r="E634">
        <f t="shared" si="38"/>
        <v>0</v>
      </c>
    </row>
    <row r="635" spans="2:5" x14ac:dyDescent="0.35">
      <c r="D635" s="30" t="str">
        <f t="shared" si="37"/>
        <v xml:space="preserve">Community Health Workers </v>
      </c>
      <c r="E635">
        <f t="shared" si="38"/>
        <v>0</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28569441.000000015</v>
      </c>
      <c r="D654" s="32" t="str">
        <f t="shared" si="37"/>
        <v>Medical Doctors</v>
      </c>
      <c r="E654">
        <f t="shared" ref="E654:E677" si="39">AB3</f>
        <v>4985</v>
      </c>
    </row>
    <row r="655" spans="2:5" x14ac:dyDescent="0.35">
      <c r="D655" s="30" t="str">
        <f t="shared" si="37"/>
        <v>Nursing Personnel</v>
      </c>
      <c r="E655">
        <f t="shared" si="39"/>
        <v>15922</v>
      </c>
    </row>
    <row r="656" spans="2:5" x14ac:dyDescent="0.35">
      <c r="D656" s="30" t="str">
        <f t="shared" si="37"/>
        <v>Midwifery personnel</v>
      </c>
      <c r="E656">
        <f t="shared" si="39"/>
        <v>11640</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1991</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2466</v>
      </c>
    </row>
    <row r="664" spans="4:5" x14ac:dyDescent="0.35">
      <c r="D664" s="30" t="str">
        <f t="shared" si="37"/>
        <v xml:space="preserve">Medical and dental Prosthetic Technicians </v>
      </c>
      <c r="E664">
        <f t="shared" si="39"/>
        <v>29</v>
      </c>
    </row>
    <row r="665" spans="4:5" x14ac:dyDescent="0.35">
      <c r="D665" s="30" t="str">
        <f t="shared" si="37"/>
        <v xml:space="preserve">Medical and Pathology Laboratory scientists </v>
      </c>
      <c r="E665">
        <f t="shared" si="39"/>
        <v>0</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290</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147</v>
      </c>
    </row>
    <row r="670" spans="4:5" x14ac:dyDescent="0.35">
      <c r="D670" s="30" t="str">
        <f t="shared" si="37"/>
        <v xml:space="preserve">Other non-medical professional staff </v>
      </c>
      <c r="E670">
        <f t="shared" si="39"/>
        <v>34992</v>
      </c>
    </row>
    <row r="671" spans="4:5" x14ac:dyDescent="0.35">
      <c r="D671" s="30" t="str">
        <f t="shared" si="37"/>
        <v xml:space="preserve">Other non-medical support staff </v>
      </c>
      <c r="E671">
        <f t="shared" si="39"/>
        <v>26735</v>
      </c>
    </row>
    <row r="672" spans="4:5" x14ac:dyDescent="0.35">
      <c r="D672" s="30" t="str">
        <f t="shared" si="37"/>
        <v xml:space="preserve">Medical and Pathology Laboratory Technicians </v>
      </c>
      <c r="E672">
        <f t="shared" si="39"/>
        <v>1958</v>
      </c>
    </row>
    <row r="673" spans="2:5" x14ac:dyDescent="0.35">
      <c r="D673" s="30" t="str">
        <f t="shared" si="37"/>
        <v xml:space="preserve">Paramedical Practitioners </v>
      </c>
      <c r="E673">
        <f t="shared" si="39"/>
        <v>6281</v>
      </c>
    </row>
    <row r="674" spans="2:5" x14ac:dyDescent="0.35">
      <c r="D674" s="30" t="str">
        <f t="shared" si="37"/>
        <v>Physiotherapists and physiotherapy assistants</v>
      </c>
      <c r="E674">
        <f t="shared" si="39"/>
        <v>377</v>
      </c>
    </row>
    <row r="675" spans="2:5" x14ac:dyDescent="0.35">
      <c r="D675" s="30" t="str">
        <f t="shared" si="37"/>
        <v>Social workers</v>
      </c>
      <c r="E675">
        <f t="shared" si="39"/>
        <v>287</v>
      </c>
    </row>
    <row r="676" spans="2:5" x14ac:dyDescent="0.35">
      <c r="D676" s="30" t="str">
        <f t="shared" si="37"/>
        <v xml:space="preserve">Audiologists and Speech Therapists </v>
      </c>
      <c r="E676">
        <f t="shared" si="39"/>
        <v>2</v>
      </c>
    </row>
    <row r="677" spans="2:5" x14ac:dyDescent="0.35">
      <c r="D677" s="30" t="str">
        <f t="shared" si="37"/>
        <v>Traditional and complementary medicine practitioners</v>
      </c>
      <c r="E677">
        <f t="shared" si="39"/>
        <v>0</v>
      </c>
    </row>
    <row r="678" spans="2:5" x14ac:dyDescent="0.35">
      <c r="B678" t="str">
        <f>AC1</f>
        <v>MRT</v>
      </c>
      <c r="C678">
        <f>AC2</f>
        <v>4160014.4999999995</v>
      </c>
      <c r="D678" s="29" t="str">
        <f t="shared" si="37"/>
        <v>Medical Doctors</v>
      </c>
      <c r="E678">
        <f t="shared" ref="E678:E701" si="40">AC3</f>
        <v>1582</v>
      </c>
    </row>
    <row r="679" spans="2:5" x14ac:dyDescent="0.35">
      <c r="D679" s="30" t="str">
        <f t="shared" si="37"/>
        <v>Nursing Personnel</v>
      </c>
      <c r="E679">
        <f t="shared" si="40"/>
        <v>9142</v>
      </c>
    </row>
    <row r="680" spans="2:5" x14ac:dyDescent="0.35">
      <c r="D680" s="30" t="str">
        <f t="shared" si="37"/>
        <v>Midwifery personnel</v>
      </c>
      <c r="E680">
        <f t="shared" si="40"/>
        <v>0</v>
      </c>
    </row>
    <row r="681" spans="2:5" x14ac:dyDescent="0.35">
      <c r="D681" s="30" t="str">
        <f t="shared" si="37"/>
        <v>Pharmacists</v>
      </c>
      <c r="E681">
        <f t="shared" si="40"/>
        <v>0</v>
      </c>
    </row>
    <row r="682" spans="2:5" x14ac:dyDescent="0.35">
      <c r="D682" s="30" t="str">
        <f t="shared" si="37"/>
        <v>Dentists</v>
      </c>
      <c r="E682">
        <f t="shared" si="40"/>
        <v>0</v>
      </c>
    </row>
    <row r="683" spans="2:5" x14ac:dyDescent="0.35">
      <c r="D683" s="30" t="str">
        <f t="shared" si="37"/>
        <v xml:space="preserve">Community Health Workers </v>
      </c>
      <c r="E683">
        <f t="shared" si="40"/>
        <v>0</v>
      </c>
    </row>
    <row r="684" spans="2:5" x14ac:dyDescent="0.35">
      <c r="D684" s="30" t="str">
        <f t="shared" si="37"/>
        <v>Dieticians and nutritionists</v>
      </c>
      <c r="E684">
        <f t="shared" si="40"/>
        <v>0</v>
      </c>
    </row>
    <row r="685" spans="2:5" x14ac:dyDescent="0.35">
      <c r="D685" s="30" t="str">
        <f t="shared" si="37"/>
        <v>Environmental and occupational health &amp; hygiene workers</v>
      </c>
      <c r="E685">
        <f t="shared" si="40"/>
        <v>0</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1294740.5000000002</v>
      </c>
      <c r="D702" s="29" t="str">
        <f t="shared" si="41"/>
        <v>Medical Doctors</v>
      </c>
      <c r="E702">
        <f t="shared" ref="E702:E725" si="42">AD3</f>
        <v>5854</v>
      </c>
    </row>
    <row r="703" spans="2:5" x14ac:dyDescent="0.35">
      <c r="D703" s="30" t="str">
        <f t="shared" si="41"/>
        <v>Nursing Personnel</v>
      </c>
      <c r="E703">
        <f t="shared" si="42"/>
        <v>8890</v>
      </c>
    </row>
    <row r="704" spans="2:5" x14ac:dyDescent="0.35">
      <c r="D704" s="30" t="str">
        <f t="shared" si="41"/>
        <v>Midwifery personnel</v>
      </c>
      <c r="E704">
        <f t="shared" si="42"/>
        <v>0</v>
      </c>
    </row>
    <row r="705" spans="4:5" x14ac:dyDescent="0.35">
      <c r="D705" s="30" t="str">
        <f t="shared" si="41"/>
        <v>Pharmacists</v>
      </c>
      <c r="E705">
        <f t="shared" si="42"/>
        <v>759</v>
      </c>
    </row>
    <row r="706" spans="4:5" x14ac:dyDescent="0.35">
      <c r="D706" s="30" t="str">
        <f t="shared" si="41"/>
        <v>Dentists</v>
      </c>
      <c r="E706">
        <f t="shared" si="42"/>
        <v>293</v>
      </c>
    </row>
    <row r="707" spans="4:5" x14ac:dyDescent="0.35">
      <c r="D707" s="30" t="str">
        <f t="shared" si="41"/>
        <v xml:space="preserve">Community Health Workers </v>
      </c>
      <c r="E707">
        <f t="shared" si="42"/>
        <v>0</v>
      </c>
    </row>
    <row r="708" spans="4:5" x14ac:dyDescent="0.35">
      <c r="D708" s="30" t="str">
        <f t="shared" si="41"/>
        <v>Dieticians and nutritionists</v>
      </c>
      <c r="E708">
        <f t="shared" si="42"/>
        <v>61</v>
      </c>
    </row>
    <row r="709" spans="4:5" x14ac:dyDescent="0.35">
      <c r="D709" s="30" t="str">
        <f t="shared" si="41"/>
        <v>Environmental and occupational health &amp; hygiene workers</v>
      </c>
      <c r="E709">
        <f t="shared" si="42"/>
        <v>1843</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17881167.000000004</v>
      </c>
      <c r="D726" s="29" t="str">
        <f t="shared" si="41"/>
        <v>Medical Doctors</v>
      </c>
      <c r="E726">
        <f t="shared" ref="E726:E749" si="43">AE3</f>
        <v>11</v>
      </c>
    </row>
    <row r="727" spans="2:5" x14ac:dyDescent="0.35">
      <c r="D727" s="30" t="str">
        <f t="shared" si="41"/>
        <v>Nursing Personnel</v>
      </c>
      <c r="E727">
        <f t="shared" si="43"/>
        <v>0</v>
      </c>
    </row>
    <row r="728" spans="2:5" x14ac:dyDescent="0.35">
      <c r="D728" s="30" t="str">
        <f t="shared" si="41"/>
        <v>Midwifery personnel</v>
      </c>
      <c r="E728">
        <f t="shared" si="43"/>
        <v>0</v>
      </c>
    </row>
    <row r="729" spans="2:5" x14ac:dyDescent="0.35">
      <c r="D729" s="30" t="str">
        <f t="shared" si="41"/>
        <v>Pharmacists</v>
      </c>
      <c r="E729">
        <f t="shared" si="43"/>
        <v>0</v>
      </c>
    </row>
    <row r="730" spans="2:5" x14ac:dyDescent="0.35">
      <c r="D730" s="30" t="str">
        <f t="shared" si="41"/>
        <v>Dentists</v>
      </c>
      <c r="E730">
        <f t="shared" si="43"/>
        <v>0</v>
      </c>
    </row>
    <row r="731" spans="2:5" x14ac:dyDescent="0.35">
      <c r="D731" s="30" t="str">
        <f t="shared" si="41"/>
        <v xml:space="preserve">Community Health Workers </v>
      </c>
      <c r="E731">
        <f t="shared" si="43"/>
        <v>0</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0</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0</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2364533.5000000009</v>
      </c>
      <c r="D750" s="29" t="str">
        <f t="shared" ref="D750:D813" si="44">D726</f>
        <v>Medical Doctors</v>
      </c>
      <c r="E750">
        <f t="shared" ref="E750:E773" si="45">AF3</f>
        <v>2842</v>
      </c>
    </row>
    <row r="751" spans="2:5" x14ac:dyDescent="0.35">
      <c r="D751" s="30" t="str">
        <f t="shared" si="44"/>
        <v>Nursing Personnel</v>
      </c>
      <c r="E751">
        <f t="shared" si="45"/>
        <v>9706</v>
      </c>
    </row>
    <row r="752" spans="2:5" x14ac:dyDescent="0.35">
      <c r="D752" s="30" t="str">
        <f t="shared" si="44"/>
        <v>Midwifery personnel</v>
      </c>
      <c r="E752">
        <f t="shared" si="45"/>
        <v>0</v>
      </c>
    </row>
    <row r="753" spans="4:5" x14ac:dyDescent="0.35">
      <c r="D753" s="30" t="str">
        <f t="shared" si="44"/>
        <v>Pharmacists</v>
      </c>
      <c r="E753">
        <f t="shared" si="45"/>
        <v>79</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0</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0</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0</v>
      </c>
    </row>
    <row r="769" spans="2:5" x14ac:dyDescent="0.35">
      <c r="D769" s="30" t="str">
        <f t="shared" si="44"/>
        <v xml:space="preserve">Paramedical Practitioners </v>
      </c>
      <c r="E769">
        <f t="shared" si="45"/>
        <v>0</v>
      </c>
    </row>
    <row r="770" spans="2:5" x14ac:dyDescent="0.35">
      <c r="D770" s="30" t="str">
        <f t="shared" si="44"/>
        <v>Physiotherapists and physiotherapy assistants</v>
      </c>
      <c r="E770">
        <f t="shared" si="45"/>
        <v>0</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21737922.000000011</v>
      </c>
      <c r="D774" s="29" t="str">
        <f t="shared" si="44"/>
        <v>Medical Doctors</v>
      </c>
      <c r="E774">
        <f t="shared" ref="E774:E797" si="46">AG3</f>
        <v>950</v>
      </c>
    </row>
    <row r="775" spans="2:5" x14ac:dyDescent="0.35">
      <c r="D775" s="30" t="str">
        <f t="shared" si="44"/>
        <v>Nursing Personnel</v>
      </c>
      <c r="E775">
        <f t="shared" si="46"/>
        <v>0</v>
      </c>
    </row>
    <row r="776" spans="2:5" x14ac:dyDescent="0.35">
      <c r="D776" s="30" t="str">
        <f t="shared" si="44"/>
        <v>Midwifery personnel</v>
      </c>
      <c r="E776">
        <f t="shared" si="46"/>
        <v>0</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193495906.50000003</v>
      </c>
      <c r="D798" s="29" t="str">
        <f t="shared" si="44"/>
        <v>Medical Doctors</v>
      </c>
      <c r="E798">
        <f t="shared" ref="E798:E821" si="47">AH3</f>
        <v>0</v>
      </c>
    </row>
    <row r="799" spans="2:5" x14ac:dyDescent="0.35">
      <c r="D799" s="30" t="str">
        <f t="shared" si="44"/>
        <v>Nursing Personnel</v>
      </c>
      <c r="E799">
        <f t="shared" si="47"/>
        <v>0</v>
      </c>
    </row>
    <row r="800" spans="2:5" x14ac:dyDescent="0.35">
      <c r="D800" s="30" t="str">
        <f t="shared" si="44"/>
        <v>Midwifery personnel</v>
      </c>
      <c r="E800">
        <f t="shared" si="47"/>
        <v>0</v>
      </c>
    </row>
    <row r="801" spans="4:5" x14ac:dyDescent="0.35">
      <c r="D801" s="30" t="str">
        <f t="shared" si="44"/>
        <v>Pharmacists</v>
      </c>
      <c r="E801">
        <f t="shared" si="47"/>
        <v>571</v>
      </c>
    </row>
    <row r="802" spans="4:5" x14ac:dyDescent="0.35">
      <c r="D802" s="30" t="str">
        <f t="shared" si="44"/>
        <v>Dentists</v>
      </c>
      <c r="E802">
        <f t="shared" si="47"/>
        <v>115</v>
      </c>
    </row>
    <row r="803" spans="4:5" x14ac:dyDescent="0.35">
      <c r="D803" s="30" t="str">
        <f t="shared" si="44"/>
        <v xml:space="preserve">Community Health Workers </v>
      </c>
      <c r="E803">
        <f t="shared" si="47"/>
        <v>0</v>
      </c>
    </row>
    <row r="804" spans="4:5" x14ac:dyDescent="0.35">
      <c r="D804" s="30" t="str">
        <f t="shared" si="44"/>
        <v>Dieticians and nutritionists</v>
      </c>
      <c r="E804">
        <f t="shared" si="47"/>
        <v>48</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0</v>
      </c>
    </row>
    <row r="809" spans="4:5" x14ac:dyDescent="0.35">
      <c r="D809" s="30" t="str">
        <f t="shared" si="44"/>
        <v xml:space="preserve">Medical and Pathology Laboratory scientists </v>
      </c>
      <c r="E809">
        <f t="shared" si="47"/>
        <v>0</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0</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0</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0</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0</v>
      </c>
    </row>
    <row r="819" spans="2:5" x14ac:dyDescent="0.35">
      <c r="D819" s="30" t="str">
        <f t="shared" si="48"/>
        <v>Social workers</v>
      </c>
      <c r="E819">
        <f t="shared" si="47"/>
        <v>0</v>
      </c>
    </row>
    <row r="820" spans="2:5" x14ac:dyDescent="0.35">
      <c r="D820" s="30" t="str">
        <f t="shared" si="48"/>
        <v xml:space="preserve">Audiologists and Speech Therapists </v>
      </c>
      <c r="E820">
        <f t="shared" si="47"/>
        <v>0</v>
      </c>
    </row>
    <row r="821" spans="2:5" x14ac:dyDescent="0.35">
      <c r="D821" s="30" t="str">
        <f t="shared" si="48"/>
        <v>Traditional and complementary medicine practitioners</v>
      </c>
      <c r="E821">
        <f t="shared" si="47"/>
        <v>0</v>
      </c>
    </row>
    <row r="822" spans="2:5" x14ac:dyDescent="0.35">
      <c r="B822" t="str">
        <f>AI1</f>
        <v>RWA</v>
      </c>
      <c r="C822">
        <f>AI2</f>
        <v>12230339</v>
      </c>
      <c r="D822" s="29" t="str">
        <f t="shared" si="48"/>
        <v>Medical Doctors</v>
      </c>
      <c r="E822">
        <f t="shared" ref="E822:E845" si="49">AI3</f>
        <v>3830</v>
      </c>
    </row>
    <row r="823" spans="2:5" x14ac:dyDescent="0.35">
      <c r="D823" s="30" t="str">
        <f t="shared" si="48"/>
        <v>Nursing Personnel</v>
      </c>
      <c r="E823">
        <f t="shared" si="49"/>
        <v>1290</v>
      </c>
    </row>
    <row r="824" spans="2:5" x14ac:dyDescent="0.35">
      <c r="D824" s="30" t="str">
        <f t="shared" si="48"/>
        <v>Midwifery personnel</v>
      </c>
      <c r="E824">
        <f t="shared" si="49"/>
        <v>4288</v>
      </c>
    </row>
    <row r="825" spans="2:5" x14ac:dyDescent="0.35">
      <c r="D825" s="30" t="str">
        <f t="shared" si="48"/>
        <v>Pharmacists</v>
      </c>
      <c r="E825">
        <f t="shared" si="49"/>
        <v>0</v>
      </c>
    </row>
    <row r="826" spans="2:5" x14ac:dyDescent="0.35">
      <c r="D826" s="30" t="str">
        <f t="shared" si="48"/>
        <v>Dentists</v>
      </c>
      <c r="E826">
        <f t="shared" si="49"/>
        <v>0</v>
      </c>
    </row>
    <row r="827" spans="2:5" x14ac:dyDescent="0.35">
      <c r="D827" s="30" t="str">
        <f t="shared" si="48"/>
        <v xml:space="preserve">Community Health Workers </v>
      </c>
      <c r="E827">
        <f t="shared" si="49"/>
        <v>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1990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182</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15157793.000000006</v>
      </c>
      <c r="D846" s="29" t="str">
        <f t="shared" si="48"/>
        <v>Medical Doctors</v>
      </c>
      <c r="E846">
        <f t="shared" ref="E846:E869" si="50">AJ3</f>
        <v>2132</v>
      </c>
    </row>
    <row r="847" spans="2:5" x14ac:dyDescent="0.35">
      <c r="D847" s="30" t="str">
        <f t="shared" si="48"/>
        <v>Nursing Personnel</v>
      </c>
      <c r="E847">
        <f t="shared" si="50"/>
        <v>5640</v>
      </c>
    </row>
    <row r="848" spans="2:5" x14ac:dyDescent="0.35">
      <c r="D848" s="30" t="str">
        <f t="shared" si="48"/>
        <v>Midwifery personnel</v>
      </c>
      <c r="E848">
        <f t="shared" si="50"/>
        <v>4004</v>
      </c>
    </row>
    <row r="849" spans="4:5" x14ac:dyDescent="0.35">
      <c r="D849" s="30" t="str">
        <f t="shared" si="48"/>
        <v>Pharmacists</v>
      </c>
      <c r="E849">
        <f t="shared" si="50"/>
        <v>50</v>
      </c>
    </row>
    <row r="850" spans="4:5" x14ac:dyDescent="0.35">
      <c r="D850" s="30" t="str">
        <f t="shared" si="48"/>
        <v>Dentists</v>
      </c>
      <c r="E850">
        <f t="shared" si="50"/>
        <v>30</v>
      </c>
    </row>
    <row r="851" spans="4:5" x14ac:dyDescent="0.35">
      <c r="D851" s="30" t="str">
        <f t="shared" si="48"/>
        <v xml:space="preserve">Community Health Workers </v>
      </c>
      <c r="E851">
        <f t="shared" si="50"/>
        <v>5</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0</v>
      </c>
    </row>
    <row r="854" spans="4:5" x14ac:dyDescent="0.35">
      <c r="D854" s="30" t="str">
        <f t="shared" si="48"/>
        <v>Personal care workers in health service</v>
      </c>
      <c r="E854">
        <f t="shared" si="50"/>
        <v>0</v>
      </c>
    </row>
    <row r="855" spans="4:5" x14ac:dyDescent="0.35">
      <c r="D855" s="30" t="str">
        <f t="shared" si="48"/>
        <v xml:space="preserve">Managerial staff </v>
      </c>
      <c r="E855">
        <f t="shared" si="50"/>
        <v>0</v>
      </c>
    </row>
    <row r="856" spans="4:5" x14ac:dyDescent="0.35">
      <c r="D856" s="30" t="str">
        <f t="shared" si="48"/>
        <v xml:space="preserve">Medical and dental Prosthetic Technicians </v>
      </c>
      <c r="E856">
        <f t="shared" si="50"/>
        <v>0</v>
      </c>
    </row>
    <row r="857" spans="4:5" x14ac:dyDescent="0.35">
      <c r="D857" s="30" t="str">
        <f t="shared" si="48"/>
        <v xml:space="preserve">Medical and Pathology Laboratory scientists </v>
      </c>
      <c r="E857">
        <f t="shared" si="50"/>
        <v>37</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0</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0</v>
      </c>
    </row>
    <row r="865" spans="2:5" x14ac:dyDescent="0.35">
      <c r="D865" s="30" t="str">
        <f t="shared" si="48"/>
        <v xml:space="preserve">Paramedical Practitioners </v>
      </c>
      <c r="E865">
        <f t="shared" si="50"/>
        <v>0</v>
      </c>
    </row>
    <row r="866" spans="2:5" x14ac:dyDescent="0.35">
      <c r="D866" s="30" t="str">
        <f t="shared" si="48"/>
        <v>Physiotherapists and physiotherapy assistants</v>
      </c>
      <c r="E866">
        <f t="shared" si="50"/>
        <v>0</v>
      </c>
    </row>
    <row r="867" spans="2:5" x14ac:dyDescent="0.35">
      <c r="D867" s="30" t="str">
        <f t="shared" si="48"/>
        <v>Social workers</v>
      </c>
      <c r="E867">
        <f t="shared" si="50"/>
        <v>0</v>
      </c>
    </row>
    <row r="868" spans="2:5" x14ac:dyDescent="0.35">
      <c r="D868" s="30" t="str">
        <f t="shared" si="48"/>
        <v xml:space="preserve">Audiologists and Speech Therapists </v>
      </c>
      <c r="E868">
        <f t="shared" si="50"/>
        <v>0</v>
      </c>
    </row>
    <row r="869" spans="2:5" x14ac:dyDescent="0.35">
      <c r="D869" s="30" t="str">
        <f t="shared" si="48"/>
        <v>Traditional and complementary medicine practitioners</v>
      </c>
      <c r="E869">
        <f t="shared" si="50"/>
        <v>0</v>
      </c>
    </row>
    <row r="870" spans="2:5" x14ac:dyDescent="0.35">
      <c r="B870" t="str">
        <f>AK1</f>
        <v>SLE</v>
      </c>
      <c r="C870">
        <f>AK2</f>
        <v>7677565.5000000019</v>
      </c>
      <c r="D870" s="29" t="str">
        <f t="shared" si="48"/>
        <v>Medical Doctors</v>
      </c>
      <c r="E870">
        <f t="shared" ref="E870:E893" si="51">AK3</f>
        <v>0</v>
      </c>
    </row>
    <row r="871" spans="2:5" x14ac:dyDescent="0.35">
      <c r="D871" s="30" t="str">
        <f t="shared" si="48"/>
        <v>Nursing Personnel</v>
      </c>
      <c r="E871">
        <f t="shared" si="51"/>
        <v>11960</v>
      </c>
    </row>
    <row r="872" spans="2:5" x14ac:dyDescent="0.35">
      <c r="D872" s="30" t="str">
        <f t="shared" si="48"/>
        <v>Midwifery personnel</v>
      </c>
      <c r="E872">
        <f t="shared" si="51"/>
        <v>0</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0</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0</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0</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10658225.499999994</v>
      </c>
      <c r="D894" s="29" t="str">
        <f t="shared" si="52"/>
        <v>Medical Doctors</v>
      </c>
      <c r="E894">
        <f t="shared" ref="E894:E917" si="53">AL3</f>
        <v>1</v>
      </c>
    </row>
    <row r="895" spans="2:5" x14ac:dyDescent="0.35">
      <c r="D895" s="30" t="str">
        <f t="shared" si="52"/>
        <v>Nursing Personnel</v>
      </c>
      <c r="E895">
        <f t="shared" si="53"/>
        <v>0</v>
      </c>
    </row>
    <row r="896" spans="2:5" x14ac:dyDescent="0.35">
      <c r="D896" s="30" t="str">
        <f t="shared" si="52"/>
        <v>Midwifery personnel</v>
      </c>
      <c r="E896">
        <f t="shared" si="53"/>
        <v>0</v>
      </c>
    </row>
    <row r="897" spans="4:5" x14ac:dyDescent="0.35">
      <c r="D897" s="30" t="str">
        <f t="shared" si="52"/>
        <v>Pharmacists</v>
      </c>
      <c r="E897">
        <f t="shared" si="53"/>
        <v>32485</v>
      </c>
    </row>
    <row r="898" spans="4:5" x14ac:dyDescent="0.35">
      <c r="D898" s="30" t="str">
        <f t="shared" si="52"/>
        <v>Dentists</v>
      </c>
      <c r="E898">
        <f t="shared" si="53"/>
        <v>10504</v>
      </c>
    </row>
    <row r="899" spans="4:5" x14ac:dyDescent="0.35">
      <c r="D899" s="30" t="str">
        <f t="shared" si="52"/>
        <v xml:space="preserve">Community Health Workers </v>
      </c>
      <c r="E899">
        <f t="shared" si="53"/>
        <v>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3435</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0</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208036.50000000012</v>
      </c>
      <c r="D918" s="29" t="str">
        <f t="shared" si="52"/>
        <v>Medical Doctors</v>
      </c>
      <c r="E918">
        <f t="shared" ref="E918:E941" si="54">AM3</f>
        <v>0</v>
      </c>
    </row>
    <row r="919" spans="2:5" x14ac:dyDescent="0.35">
      <c r="D919" s="30" t="str">
        <f t="shared" si="52"/>
        <v>Nursing Personnel</v>
      </c>
      <c r="E919">
        <f t="shared" si="54"/>
        <v>0</v>
      </c>
    </row>
    <row r="920" spans="2:5" x14ac:dyDescent="0.35">
      <c r="D920" s="30" t="str">
        <f t="shared" si="52"/>
        <v>Midwifery personnel</v>
      </c>
      <c r="E920">
        <f t="shared" si="54"/>
        <v>0</v>
      </c>
    </row>
    <row r="921" spans="2:5" x14ac:dyDescent="0.35">
      <c r="D921" s="30" t="str">
        <f t="shared" si="52"/>
        <v>Pharmacists</v>
      </c>
      <c r="E921">
        <f t="shared" si="54"/>
        <v>821</v>
      </c>
    </row>
    <row r="922" spans="2:5" x14ac:dyDescent="0.35">
      <c r="D922" s="30" t="str">
        <f t="shared" si="52"/>
        <v>Dentists</v>
      </c>
      <c r="E922">
        <f t="shared" si="54"/>
        <v>264</v>
      </c>
    </row>
    <row r="923" spans="2:5" x14ac:dyDescent="0.35">
      <c r="D923" s="30" t="str">
        <f t="shared" si="52"/>
        <v xml:space="preserve">Community Health Workers </v>
      </c>
      <c r="E923">
        <f t="shared" si="54"/>
        <v>0</v>
      </c>
    </row>
    <row r="924" spans="2:5" x14ac:dyDescent="0.35">
      <c r="D924" s="30" t="str">
        <f t="shared" si="52"/>
        <v>Dieticians and nutritionists</v>
      </c>
      <c r="E924">
        <f t="shared" si="54"/>
        <v>61</v>
      </c>
    </row>
    <row r="925" spans="2:5" x14ac:dyDescent="0.35">
      <c r="D925" s="30" t="str">
        <f t="shared" si="52"/>
        <v>Environmental and occupational health &amp; hygiene workers</v>
      </c>
      <c r="E925">
        <f t="shared" si="54"/>
        <v>548</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1151390.5000000002</v>
      </c>
      <c r="D942" s="29" t="str">
        <f t="shared" ref="D942:D1005" si="55">D918</f>
        <v>Medical Doctors</v>
      </c>
      <c r="E942">
        <f t="shared" ref="E942:E965" si="56">AN3</f>
        <v>425</v>
      </c>
    </row>
    <row r="943" spans="2:5" x14ac:dyDescent="0.35">
      <c r="D943" s="30" t="str">
        <f t="shared" si="55"/>
        <v>Nursing Personnel</v>
      </c>
      <c r="E943">
        <f t="shared" si="56"/>
        <v>8862</v>
      </c>
    </row>
    <row r="944" spans="2:5" x14ac:dyDescent="0.35">
      <c r="D944" s="30" t="str">
        <f t="shared" si="55"/>
        <v>Midwifery personnel</v>
      </c>
      <c r="E944">
        <f t="shared" si="56"/>
        <v>0</v>
      </c>
    </row>
    <row r="945" spans="4:5" x14ac:dyDescent="0.35">
      <c r="D945" s="30" t="str">
        <f t="shared" si="55"/>
        <v>Pharmacists</v>
      </c>
      <c r="E945">
        <f t="shared" si="56"/>
        <v>0</v>
      </c>
    </row>
    <row r="946" spans="4:5" x14ac:dyDescent="0.35">
      <c r="D946" s="30" t="str">
        <f t="shared" si="55"/>
        <v>Dentists</v>
      </c>
      <c r="E946">
        <f t="shared" si="56"/>
        <v>0</v>
      </c>
    </row>
    <row r="947" spans="4:5" x14ac:dyDescent="0.35">
      <c r="D947" s="30" t="str">
        <f t="shared" si="55"/>
        <v xml:space="preserve">Community Health Workers </v>
      </c>
      <c r="E947">
        <f t="shared" si="56"/>
        <v>0</v>
      </c>
    </row>
    <row r="948" spans="4:5" x14ac:dyDescent="0.35">
      <c r="D948" s="30" t="str">
        <f t="shared" si="55"/>
        <v>Dieticians and nutritionists</v>
      </c>
      <c r="E948">
        <f t="shared" si="56"/>
        <v>0</v>
      </c>
    </row>
    <row r="949" spans="4:5" x14ac:dyDescent="0.35">
      <c r="D949" s="30" t="str">
        <f t="shared" si="55"/>
        <v>Environmental and occupational health &amp; hygiene workers</v>
      </c>
      <c r="E949">
        <f t="shared" si="56"/>
        <v>0</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101810.50000000001</v>
      </c>
      <c r="D966" s="29" t="str">
        <f t="shared" si="55"/>
        <v>Medical Doctors</v>
      </c>
      <c r="E966">
        <f t="shared" ref="E966:E989" si="57">AO3</f>
        <v>39</v>
      </c>
    </row>
    <row r="967" spans="2:5" x14ac:dyDescent="0.35">
      <c r="D967" s="30" t="str">
        <f t="shared" si="55"/>
        <v>Nursing Personnel</v>
      </c>
      <c r="E967">
        <f t="shared" si="57"/>
        <v>0</v>
      </c>
    </row>
    <row r="968" spans="2:5" x14ac:dyDescent="0.35">
      <c r="D968" s="30" t="str">
        <f t="shared" si="55"/>
        <v>Midwifery personnel</v>
      </c>
      <c r="E968">
        <f t="shared" si="57"/>
        <v>0</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15085884.000000006</v>
      </c>
      <c r="D990" s="29" t="str">
        <f t="shared" si="55"/>
        <v>Medical Doctors</v>
      </c>
      <c r="E990">
        <f t="shared" ref="E990:E1013" si="58">AP3</f>
        <v>1302</v>
      </c>
    </row>
    <row r="991" spans="2:5" x14ac:dyDescent="0.35">
      <c r="D991" s="30" t="str">
        <f t="shared" si="55"/>
        <v>Nursing Personnel</v>
      </c>
      <c r="E991">
        <f t="shared" si="58"/>
        <v>6974</v>
      </c>
    </row>
    <row r="992" spans="2:5" x14ac:dyDescent="0.35">
      <c r="D992" s="30" t="str">
        <f t="shared" si="55"/>
        <v>Midwifery personnel</v>
      </c>
      <c r="E992">
        <f t="shared" si="58"/>
        <v>0</v>
      </c>
    </row>
    <row r="993" spans="4:5" x14ac:dyDescent="0.35">
      <c r="D993" s="30" t="str">
        <f t="shared" si="55"/>
        <v>Pharmacists</v>
      </c>
      <c r="E993">
        <f t="shared" si="58"/>
        <v>172</v>
      </c>
    </row>
    <row r="994" spans="4:5" x14ac:dyDescent="0.35">
      <c r="D994" s="30" t="str">
        <f t="shared" si="55"/>
        <v>Dentists</v>
      </c>
      <c r="E994">
        <f t="shared" si="58"/>
        <v>81</v>
      </c>
    </row>
    <row r="995" spans="4:5" x14ac:dyDescent="0.35">
      <c r="D995" s="30" t="str">
        <f t="shared" si="55"/>
        <v xml:space="preserve">Community Health Workers </v>
      </c>
      <c r="E995">
        <f t="shared" si="58"/>
        <v>0</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0</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7852795.0000000037</v>
      </c>
      <c r="D1014" s="29" t="str">
        <f t="shared" si="59"/>
        <v>Medical Doctors</v>
      </c>
      <c r="E1014">
        <f t="shared" ref="E1014:E1037" si="60">AQ3</f>
        <v>1490</v>
      </c>
    </row>
    <row r="1015" spans="2:5" x14ac:dyDescent="0.35">
      <c r="D1015" s="30" t="str">
        <f t="shared" si="59"/>
        <v>Nursing Personnel</v>
      </c>
      <c r="E1015">
        <f t="shared" si="60"/>
        <v>3932</v>
      </c>
    </row>
    <row r="1016" spans="2:5" x14ac:dyDescent="0.35">
      <c r="D1016" s="30" t="str">
        <f t="shared" si="59"/>
        <v>Midwifery personnel</v>
      </c>
      <c r="E1016">
        <f t="shared" si="60"/>
        <v>2536</v>
      </c>
    </row>
    <row r="1017" spans="2:5" x14ac:dyDescent="0.35">
      <c r="D1017" s="30" t="str">
        <f t="shared" si="59"/>
        <v>Pharmacists</v>
      </c>
      <c r="E1017">
        <f t="shared" si="60"/>
        <v>0</v>
      </c>
    </row>
    <row r="1018" spans="2:5" x14ac:dyDescent="0.35">
      <c r="D1018" s="30" t="str">
        <f t="shared" si="59"/>
        <v>Dentists</v>
      </c>
      <c r="E1018">
        <f t="shared" si="60"/>
        <v>0</v>
      </c>
    </row>
    <row r="1019" spans="2:5" x14ac:dyDescent="0.35">
      <c r="D1019" s="30" t="str">
        <f t="shared" si="59"/>
        <v xml:space="preserve">Community Health Workers </v>
      </c>
      <c r="E1019">
        <f t="shared" si="60"/>
        <v>7545</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3474</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64</v>
      </c>
    </row>
    <row r="1025" spans="2:5" x14ac:dyDescent="0.35">
      <c r="D1025" s="30" t="str">
        <f t="shared" si="59"/>
        <v xml:space="preserve">Medical and Pathology Laboratory scientists </v>
      </c>
      <c r="E1025">
        <f t="shared" si="60"/>
        <v>454</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151</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6</v>
      </c>
    </row>
    <row r="1030" spans="2:5" x14ac:dyDescent="0.35">
      <c r="D1030" s="30" t="str">
        <f t="shared" si="59"/>
        <v xml:space="preserve">Other non-medical professional staff </v>
      </c>
      <c r="E1030">
        <f t="shared" si="60"/>
        <v>1364</v>
      </c>
    </row>
    <row r="1031" spans="2:5" x14ac:dyDescent="0.35">
      <c r="D1031" s="30" t="str">
        <f t="shared" si="59"/>
        <v xml:space="preserve">Other non-medical support staff </v>
      </c>
      <c r="E1031">
        <f t="shared" si="60"/>
        <v>1806</v>
      </c>
    </row>
    <row r="1032" spans="2:5" x14ac:dyDescent="0.35">
      <c r="D1032" s="30" t="str">
        <f t="shared" si="59"/>
        <v xml:space="preserve">Medical and Pathology Laboratory Technicians </v>
      </c>
      <c r="E1032">
        <f t="shared" si="60"/>
        <v>201</v>
      </c>
    </row>
    <row r="1033" spans="2:5" x14ac:dyDescent="0.35">
      <c r="D1033" s="30" t="str">
        <f t="shared" si="59"/>
        <v xml:space="preserve">Paramedical Practitioners </v>
      </c>
      <c r="E1033">
        <f t="shared" si="60"/>
        <v>945</v>
      </c>
    </row>
    <row r="1034" spans="2:5" x14ac:dyDescent="0.35">
      <c r="D1034" s="30" t="str">
        <f t="shared" si="59"/>
        <v>Physiotherapists and physiotherapy assistants</v>
      </c>
      <c r="E1034">
        <f t="shared" si="60"/>
        <v>174</v>
      </c>
    </row>
    <row r="1035" spans="2:5" x14ac:dyDescent="0.35">
      <c r="D1035" s="30" t="str">
        <f t="shared" si="59"/>
        <v>Social workers</v>
      </c>
      <c r="E1035">
        <f t="shared" si="60"/>
        <v>62</v>
      </c>
    </row>
    <row r="1036" spans="2:5" x14ac:dyDescent="0.35">
      <c r="D1036" s="30" t="str">
        <f t="shared" si="59"/>
        <v xml:space="preserve">Audiologists and Speech Therapists </v>
      </c>
      <c r="E1036">
        <f t="shared" si="60"/>
        <v>21</v>
      </c>
    </row>
    <row r="1037" spans="2:5" x14ac:dyDescent="0.35">
      <c r="D1037" s="30" t="str">
        <f t="shared" si="59"/>
        <v>Traditional and complementary medicine practitioners</v>
      </c>
      <c r="E1037">
        <f t="shared" si="60"/>
        <v>0</v>
      </c>
    </row>
    <row r="1038" spans="2:5" x14ac:dyDescent="0.35">
      <c r="B1038" t="str">
        <f>AR1</f>
        <v>TZA</v>
      </c>
      <c r="C1038">
        <f>AR2</f>
        <v>56267032.000000007</v>
      </c>
      <c r="D1038" s="29" t="str">
        <f t="shared" si="59"/>
        <v>Medical Doctors</v>
      </c>
      <c r="E1038">
        <f t="shared" ref="E1038:E1061" si="61">AR3</f>
        <v>0</v>
      </c>
    </row>
    <row r="1039" spans="2:5" x14ac:dyDescent="0.35">
      <c r="D1039" s="30" t="str">
        <f t="shared" si="59"/>
        <v>Nursing Personnel</v>
      </c>
      <c r="E1039">
        <f t="shared" si="61"/>
        <v>63880</v>
      </c>
    </row>
    <row r="1040" spans="2:5" x14ac:dyDescent="0.35">
      <c r="D1040" s="30" t="str">
        <f t="shared" si="59"/>
        <v>Midwifery personnel</v>
      </c>
      <c r="E1040">
        <f t="shared" si="61"/>
        <v>0</v>
      </c>
    </row>
    <row r="1041" spans="4:5" x14ac:dyDescent="0.35">
      <c r="D1041" s="30" t="str">
        <f t="shared" si="59"/>
        <v>Pharmacists</v>
      </c>
      <c r="E1041">
        <f t="shared" si="61"/>
        <v>1223</v>
      </c>
    </row>
    <row r="1042" spans="4:5" x14ac:dyDescent="0.35">
      <c r="D1042" s="30" t="str">
        <f t="shared" si="59"/>
        <v>Dentists</v>
      </c>
      <c r="E1042">
        <f t="shared" si="61"/>
        <v>282</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49</v>
      </c>
    </row>
    <row r="1045" spans="4:5" x14ac:dyDescent="0.35">
      <c r="D1045" s="30" t="str">
        <f t="shared" si="59"/>
        <v>Environmental and occupational health &amp; hygiene workers</v>
      </c>
      <c r="E1045">
        <f t="shared" si="61"/>
        <v>566</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0</v>
      </c>
    </row>
    <row r="1049" spans="4:5" x14ac:dyDescent="0.35">
      <c r="D1049" s="30" t="str">
        <f t="shared" si="59"/>
        <v xml:space="preserve">Medical and Pathology Laboratory scientists </v>
      </c>
      <c r="E1049">
        <f t="shared" si="61"/>
        <v>0</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0</v>
      </c>
    </row>
    <row r="1057" spans="2:5" x14ac:dyDescent="0.35">
      <c r="D1057" s="30" t="str">
        <f t="shared" si="59"/>
        <v xml:space="preserve">Paramedical Practitioners </v>
      </c>
      <c r="E1057">
        <f t="shared" si="61"/>
        <v>0</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40127084.999999978</v>
      </c>
      <c r="D1062" s="29" t="str">
        <f t="shared" si="59"/>
        <v>Medical Doctors</v>
      </c>
      <c r="E1062">
        <f t="shared" ref="E1062:E1085" si="62">AS3</f>
        <v>13836</v>
      </c>
    </row>
    <row r="1063" spans="2:5" x14ac:dyDescent="0.35">
      <c r="D1063" s="30" t="str">
        <f t="shared" si="59"/>
        <v>Nursing Personnel</v>
      </c>
      <c r="E1063">
        <f t="shared" si="62"/>
        <v>120912</v>
      </c>
    </row>
    <row r="1064" spans="2:5" x14ac:dyDescent="0.35">
      <c r="D1064" s="30" t="str">
        <f t="shared" si="59"/>
        <v>Midwifery personnel</v>
      </c>
      <c r="E1064">
        <f t="shared" si="62"/>
        <v>0</v>
      </c>
    </row>
    <row r="1065" spans="2:5" x14ac:dyDescent="0.35">
      <c r="D1065" s="30" t="str">
        <f t="shared" si="59"/>
        <v>Pharmacists</v>
      </c>
      <c r="E1065">
        <f t="shared" si="62"/>
        <v>0</v>
      </c>
    </row>
    <row r="1066" spans="2:5" x14ac:dyDescent="0.35">
      <c r="D1066" s="30" t="str">
        <f t="shared" si="59"/>
        <v>Dentists</v>
      </c>
      <c r="E1066">
        <f t="shared" si="62"/>
        <v>0</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56641209.500000007</v>
      </c>
      <c r="D1086" s="29" t="str">
        <f t="shared" si="63"/>
        <v>Medical Doctors</v>
      </c>
      <c r="E1086">
        <f t="shared" ref="E1086:E1109" si="64">AT3</f>
        <v>89306</v>
      </c>
    </row>
    <row r="1087" spans="2:5" x14ac:dyDescent="0.35">
      <c r="D1087" s="30" t="str">
        <f t="shared" si="63"/>
        <v>Nursing Personnel</v>
      </c>
      <c r="E1087">
        <f t="shared" si="64"/>
        <v>0</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3330</v>
      </c>
    </row>
    <row r="1097" spans="4:5" x14ac:dyDescent="0.35">
      <c r="D1097" s="30" t="str">
        <f t="shared" si="63"/>
        <v xml:space="preserve">Medical and Pathology Laboratory scientists </v>
      </c>
      <c r="E1097">
        <f t="shared" si="64"/>
        <v>5267</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8681</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3790</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5525</v>
      </c>
    </row>
    <row r="1105" spans="2:5" x14ac:dyDescent="0.35">
      <c r="D1105" s="30" t="str">
        <f t="shared" si="63"/>
        <v xml:space="preserve">Paramedical Practitioners </v>
      </c>
      <c r="E1105">
        <f t="shared" si="64"/>
        <v>8919</v>
      </c>
    </row>
    <row r="1106" spans="2:5" x14ac:dyDescent="0.35">
      <c r="D1106" s="30" t="str">
        <f t="shared" si="63"/>
        <v>Physiotherapists and physiotherapy assistants</v>
      </c>
      <c r="E1106">
        <f t="shared" si="64"/>
        <v>7704</v>
      </c>
    </row>
    <row r="1107" spans="2:5" x14ac:dyDescent="0.35">
      <c r="D1107" s="30" t="str">
        <f t="shared" si="63"/>
        <v>Social workers</v>
      </c>
      <c r="E1107">
        <f t="shared" si="64"/>
        <v>27694</v>
      </c>
    </row>
    <row r="1108" spans="2:5" x14ac:dyDescent="0.35">
      <c r="D1108" s="30" t="str">
        <f t="shared" si="63"/>
        <v xml:space="preserve">Audiologists and Speech Therapists </v>
      </c>
      <c r="E1108">
        <f t="shared" si="64"/>
        <v>3323</v>
      </c>
    </row>
    <row r="1109" spans="2:5" x14ac:dyDescent="0.35">
      <c r="D1109" s="30" t="str">
        <f t="shared" si="63"/>
        <v>Traditional and complementary medicine practitioners</v>
      </c>
      <c r="E1109">
        <f t="shared" si="64"/>
        <v>49732</v>
      </c>
    </row>
    <row r="1110" spans="2:5" x14ac:dyDescent="0.35">
      <c r="B1110" t="str">
        <f>AU1</f>
        <v>ZMB</v>
      </c>
      <c r="C1110">
        <f>AU2</f>
        <v>17298053.500000004</v>
      </c>
      <c r="D1110" s="29" t="str">
        <f t="shared" si="63"/>
        <v>Medical Doctors</v>
      </c>
      <c r="E1110">
        <f t="shared" ref="E1110:E1133" si="65">AU3</f>
        <v>0</v>
      </c>
    </row>
    <row r="1111" spans="2:5" x14ac:dyDescent="0.35">
      <c r="D1111" s="30" t="str">
        <f t="shared" si="63"/>
        <v>Nursing Personnel</v>
      </c>
      <c r="E1111">
        <f t="shared" si="65"/>
        <v>31382</v>
      </c>
    </row>
    <row r="1112" spans="2:5" x14ac:dyDescent="0.35">
      <c r="D1112" s="30" t="str">
        <f t="shared" si="63"/>
        <v>Midwifery personnel</v>
      </c>
      <c r="E1112">
        <f t="shared" si="65"/>
        <v>0</v>
      </c>
    </row>
    <row r="1113" spans="2:5" x14ac:dyDescent="0.35">
      <c r="D1113" s="30" t="str">
        <f t="shared" si="63"/>
        <v>Pharmacists</v>
      </c>
      <c r="E1113">
        <f t="shared" si="65"/>
        <v>371</v>
      </c>
    </row>
    <row r="1114" spans="2:5" x14ac:dyDescent="0.35">
      <c r="D1114" s="30" t="str">
        <f t="shared" si="63"/>
        <v>Dentists</v>
      </c>
      <c r="E1114">
        <f t="shared" si="65"/>
        <v>54</v>
      </c>
    </row>
    <row r="1115" spans="2:5" x14ac:dyDescent="0.35">
      <c r="D1115" s="30" t="str">
        <f t="shared" si="63"/>
        <v xml:space="preserve">Community Health Workers </v>
      </c>
      <c r="E1115">
        <f t="shared" si="65"/>
        <v>0</v>
      </c>
    </row>
    <row r="1116" spans="2:5" x14ac:dyDescent="0.35">
      <c r="D1116" s="30" t="str">
        <f t="shared" si="63"/>
        <v>Dieticians and nutritionists</v>
      </c>
      <c r="E1116">
        <f t="shared" si="65"/>
        <v>66</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0</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0</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0</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0</v>
      </c>
    </row>
    <row r="1129" spans="2:5" x14ac:dyDescent="0.35">
      <c r="D1129" s="30" t="str">
        <f t="shared" si="63"/>
        <v xml:space="preserve">Paramedical Practitioners </v>
      </c>
      <c r="E1129">
        <f t="shared" si="65"/>
        <v>0</v>
      </c>
    </row>
    <row r="1130" spans="2:5" x14ac:dyDescent="0.35">
      <c r="D1130" s="30" t="str">
        <f t="shared" si="63"/>
        <v>Physiotherapists and physiotherapy assistants</v>
      </c>
      <c r="E1130">
        <f t="shared" si="65"/>
        <v>0</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14751100.999999998</v>
      </c>
      <c r="D1134" s="29" t="str">
        <f t="shared" ref="D1134:D1180" si="66">D1110</f>
        <v>Medical Doctors</v>
      </c>
      <c r="E1134">
        <f t="shared" ref="E1134:E1157" si="67">AV3</f>
        <v>5734</v>
      </c>
    </row>
    <row r="1135" spans="2:5" x14ac:dyDescent="0.35">
      <c r="D1135" s="30" t="str">
        <f t="shared" si="66"/>
        <v>Nursing Personnel</v>
      </c>
      <c r="E1135">
        <f t="shared" si="67"/>
        <v>59965</v>
      </c>
    </row>
    <row r="1136" spans="2:5" x14ac:dyDescent="0.35">
      <c r="D1136" s="30" t="str">
        <f t="shared" si="66"/>
        <v>Midwifery personnel</v>
      </c>
      <c r="E1136">
        <f t="shared" si="67"/>
        <v>17612</v>
      </c>
    </row>
    <row r="1137" spans="4:5" x14ac:dyDescent="0.35">
      <c r="D1137" s="30" t="str">
        <f t="shared" si="66"/>
        <v>Pharmacists</v>
      </c>
      <c r="E1137">
        <f t="shared" si="67"/>
        <v>0</v>
      </c>
    </row>
    <row r="1138" spans="4:5" x14ac:dyDescent="0.35">
      <c r="D1138" s="30" t="str">
        <f t="shared" si="66"/>
        <v>Dentists</v>
      </c>
      <c r="E1138">
        <f t="shared" si="67"/>
        <v>0</v>
      </c>
    </row>
    <row r="1139" spans="4:5" x14ac:dyDescent="0.35">
      <c r="D1139" s="30" t="str">
        <f t="shared" si="66"/>
        <v xml:space="preserve">Community Health Workers </v>
      </c>
      <c r="E1139">
        <f t="shared" si="67"/>
        <v>15000</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607</v>
      </c>
    </row>
    <row r="1143" spans="4:5" x14ac:dyDescent="0.35">
      <c r="D1143" s="30" t="str">
        <f t="shared" si="66"/>
        <v xml:space="preserve">Managerial staff </v>
      </c>
      <c r="E1143">
        <f t="shared" si="67"/>
        <v>451</v>
      </c>
    </row>
    <row r="1144" spans="4:5" x14ac:dyDescent="0.35">
      <c r="D1144" s="30" t="str">
        <f t="shared" si="66"/>
        <v xml:space="preserve">Medical and dental Prosthetic Technicians </v>
      </c>
      <c r="E1144">
        <f t="shared" si="67"/>
        <v>0</v>
      </c>
    </row>
    <row r="1145" spans="4:5" x14ac:dyDescent="0.35">
      <c r="D1145" s="30" t="str">
        <f t="shared" si="66"/>
        <v xml:space="preserve">Medical and Pathology Laboratory scientists </v>
      </c>
      <c r="E1145">
        <f t="shared" si="67"/>
        <v>0</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417</v>
      </c>
    </row>
    <row r="1148" spans="4:5" x14ac:dyDescent="0.35">
      <c r="D1148" s="30" t="str">
        <f t="shared" si="66"/>
        <v xml:space="preserve">Medical Records and Health Information Technicians </v>
      </c>
      <c r="E1148">
        <f t="shared" si="67"/>
        <v>605</v>
      </c>
    </row>
    <row r="1149" spans="4:5" x14ac:dyDescent="0.35">
      <c r="D1149" s="30" t="str">
        <f t="shared" si="66"/>
        <v xml:space="preserve">Optometrists and Ophthalmic Opticians </v>
      </c>
      <c r="E1149">
        <f t="shared" si="67"/>
        <v>20</v>
      </c>
    </row>
    <row r="1150" spans="4:5" x14ac:dyDescent="0.35">
      <c r="D1150" s="30" t="str">
        <f t="shared" si="66"/>
        <v xml:space="preserve">Other non-medical professional staff </v>
      </c>
      <c r="E1150">
        <f t="shared" si="67"/>
        <v>1733</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781</v>
      </c>
    </row>
    <row r="1153" spans="2:5" x14ac:dyDescent="0.35">
      <c r="D1153" s="30" t="str">
        <f t="shared" si="66"/>
        <v xml:space="preserve">Paramedical Practitioners </v>
      </c>
      <c r="E1153">
        <f t="shared" si="67"/>
        <v>174</v>
      </c>
    </row>
    <row r="1154" spans="2:5" x14ac:dyDescent="0.35">
      <c r="D1154" s="30" t="str">
        <f t="shared" si="66"/>
        <v>Physiotherapists and physiotherapy assistants</v>
      </c>
      <c r="E1154">
        <f t="shared" si="67"/>
        <v>503</v>
      </c>
    </row>
    <row r="1155" spans="2:5" x14ac:dyDescent="0.35">
      <c r="D1155" s="30" t="str">
        <f t="shared" si="66"/>
        <v>Social workers</v>
      </c>
      <c r="E1155">
        <f t="shared" si="67"/>
        <v>0</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596</v>
      </c>
    </row>
    <row r="1158" spans="2:5" x14ac:dyDescent="0.35">
      <c r="B1158" t="s">
        <v>9</v>
      </c>
      <c r="C1158">
        <f>AW2</f>
        <v>1049513589.5000001</v>
      </c>
      <c r="D1158" s="29" t="str">
        <f t="shared" si="66"/>
        <v>Medical Doctors</v>
      </c>
      <c r="E1158">
        <f t="shared" ref="E1158:E1181" si="68">AW3</f>
        <v>167089</v>
      </c>
    </row>
    <row r="1159" spans="2:5" x14ac:dyDescent="0.35">
      <c r="D1159" s="30" t="str">
        <f t="shared" si="66"/>
        <v>Nursing Personnel</v>
      </c>
      <c r="E1159">
        <f t="shared" si="68"/>
        <v>1179537</v>
      </c>
    </row>
    <row r="1160" spans="2:5" x14ac:dyDescent="0.35">
      <c r="D1160" s="30" t="str">
        <f t="shared" si="66"/>
        <v>Midwifery personnel</v>
      </c>
      <c r="E1160">
        <f t="shared" si="68"/>
        <v>80818</v>
      </c>
    </row>
    <row r="1161" spans="2:5" x14ac:dyDescent="0.35">
      <c r="D1161" s="30" t="str">
        <f t="shared" si="66"/>
        <v>Pharmacists</v>
      </c>
      <c r="E1161">
        <f t="shared" si="68"/>
        <v>76344</v>
      </c>
    </row>
    <row r="1162" spans="2:5" x14ac:dyDescent="0.35">
      <c r="D1162" s="30" t="str">
        <f t="shared" si="66"/>
        <v>Dentists</v>
      </c>
      <c r="E1162">
        <f t="shared" si="68"/>
        <v>22031</v>
      </c>
    </row>
    <row r="1163" spans="2:5" x14ac:dyDescent="0.35">
      <c r="D1163" s="30" t="str">
        <f t="shared" si="66"/>
        <v xml:space="preserve">Community Health Workers </v>
      </c>
      <c r="E1163">
        <f t="shared" si="68"/>
        <v>42746</v>
      </c>
    </row>
    <row r="1164" spans="2:5" x14ac:dyDescent="0.35">
      <c r="D1164" s="30" t="str">
        <f t="shared" si="66"/>
        <v>Dieticians and nutritionists</v>
      </c>
      <c r="E1164">
        <f t="shared" si="68"/>
        <v>2325</v>
      </c>
    </row>
    <row r="1165" spans="2:5" x14ac:dyDescent="0.35">
      <c r="D1165" s="30" t="str">
        <f t="shared" si="66"/>
        <v>Environmental and occupational health &amp; hygiene workers</v>
      </c>
      <c r="E1165">
        <f t="shared" si="68"/>
        <v>32482</v>
      </c>
    </row>
    <row r="1166" spans="2:5" x14ac:dyDescent="0.35">
      <c r="D1166" s="30" t="str">
        <f t="shared" si="66"/>
        <v>Personal care workers in health service</v>
      </c>
      <c r="E1166">
        <f t="shared" si="68"/>
        <v>4081</v>
      </c>
    </row>
    <row r="1167" spans="2:5" x14ac:dyDescent="0.35">
      <c r="D1167" s="30" t="str">
        <f t="shared" si="66"/>
        <v xml:space="preserve">Managerial staff </v>
      </c>
      <c r="E1167">
        <f t="shared" si="68"/>
        <v>2917</v>
      </c>
    </row>
    <row r="1168" spans="2:5" x14ac:dyDescent="0.35">
      <c r="D1168" s="30" t="str">
        <f t="shared" si="66"/>
        <v xml:space="preserve">Medical and dental Prosthetic Technicians </v>
      </c>
      <c r="E1168">
        <f t="shared" si="68"/>
        <v>4175</v>
      </c>
    </row>
    <row r="1169" spans="4:5" x14ac:dyDescent="0.35">
      <c r="D1169" s="30" t="str">
        <f t="shared" si="66"/>
        <v xml:space="preserve">Medical and Pathology Laboratory scientists </v>
      </c>
      <c r="E1169">
        <f t="shared" si="68"/>
        <v>7530</v>
      </c>
    </row>
    <row r="1170" spans="4:5" x14ac:dyDescent="0.35">
      <c r="D1170" s="30" t="str">
        <f t="shared" si="66"/>
        <v xml:space="preserve">Medical Assistants </v>
      </c>
      <c r="E1170">
        <f t="shared" si="68"/>
        <v>258</v>
      </c>
    </row>
    <row r="1171" spans="4:5" x14ac:dyDescent="0.35">
      <c r="D1171" s="30" t="str">
        <f t="shared" si="66"/>
        <v xml:space="preserve">Medical Imaging and Therapeutic Equipment Technicians </v>
      </c>
      <c r="E1171">
        <f t="shared" si="68"/>
        <v>9632</v>
      </c>
    </row>
    <row r="1172" spans="4:5" x14ac:dyDescent="0.35">
      <c r="D1172" s="30" t="str">
        <f t="shared" si="66"/>
        <v xml:space="preserve">Medical Records and Health Information Technicians </v>
      </c>
      <c r="E1172">
        <f t="shared" si="68"/>
        <v>637</v>
      </c>
    </row>
    <row r="1173" spans="4:5" x14ac:dyDescent="0.35">
      <c r="D1173" s="30" t="str">
        <f t="shared" si="66"/>
        <v xml:space="preserve">Optometrists and Ophthalmic Opticians </v>
      </c>
      <c r="E1173">
        <f t="shared" si="68"/>
        <v>4104</v>
      </c>
    </row>
    <row r="1174" spans="4:5" x14ac:dyDescent="0.35">
      <c r="D1174" s="30" t="str">
        <f t="shared" si="66"/>
        <v xml:space="preserve">Other non-medical professional staff </v>
      </c>
      <c r="E1174">
        <f t="shared" si="68"/>
        <v>41035</v>
      </c>
    </row>
    <row r="1175" spans="4:5" x14ac:dyDescent="0.35">
      <c r="D1175" s="30" t="str">
        <f t="shared" si="66"/>
        <v xml:space="preserve">Other non-medical support staff </v>
      </c>
      <c r="E1175">
        <f t="shared" si="68"/>
        <v>37544</v>
      </c>
    </row>
    <row r="1176" spans="4:5" x14ac:dyDescent="0.35">
      <c r="D1176" s="30" t="str">
        <f t="shared" si="66"/>
        <v xml:space="preserve">Medical and Pathology Laboratory Technicians </v>
      </c>
      <c r="E1176">
        <f t="shared" si="68"/>
        <v>10897</v>
      </c>
    </row>
    <row r="1177" spans="4:5" x14ac:dyDescent="0.35">
      <c r="D1177" s="30" t="str">
        <f t="shared" si="66"/>
        <v xml:space="preserve">Paramedical Practitioners </v>
      </c>
      <c r="E1177">
        <f t="shared" si="68"/>
        <v>16377</v>
      </c>
    </row>
    <row r="1178" spans="4:5" x14ac:dyDescent="0.35">
      <c r="D1178" s="30" t="str">
        <f t="shared" si="66"/>
        <v>Physiotherapists and physiotherapy assistants</v>
      </c>
      <c r="E1178">
        <f t="shared" si="68"/>
        <v>9325</v>
      </c>
    </row>
    <row r="1179" spans="4:5" x14ac:dyDescent="0.35">
      <c r="D1179" s="30" t="str">
        <f t="shared" si="66"/>
        <v>Social workers</v>
      </c>
      <c r="E1179">
        <f t="shared" si="68"/>
        <v>28043</v>
      </c>
    </row>
    <row r="1180" spans="4:5" x14ac:dyDescent="0.35">
      <c r="D1180" s="30" t="str">
        <f t="shared" si="66"/>
        <v xml:space="preserve">Audiologists and Speech Therapists </v>
      </c>
      <c r="E1180">
        <f t="shared" si="68"/>
        <v>3348</v>
      </c>
    </row>
    <row r="1181" spans="4:5" x14ac:dyDescent="0.35">
      <c r="D1181" s="30" t="str">
        <f t="shared" ref="D1181" si="69">D1157</f>
        <v>Traditional and complementary medicine practitioners</v>
      </c>
      <c r="E1181">
        <f t="shared" si="68"/>
        <v>50763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5D811-F7B4-43C9-8C70-ECD5A14838FF}">
  <dimension ref="A1:AW1181"/>
  <sheetViews>
    <sheetView topLeftCell="AE1" workbookViewId="0">
      <selection activeCell="A2" sqref="A2:AW2"/>
    </sheetView>
  </sheetViews>
  <sheetFormatPr defaultColWidth="8.81640625" defaultRowHeight="14.5" x14ac:dyDescent="0.35"/>
  <cols>
    <col min="1" max="1" width="18.81640625" customWidth="1"/>
    <col min="4" max="4" width="14.6328125"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31273533.000000004</v>
      </c>
      <c r="C2">
        <v>11493472.499999993</v>
      </c>
      <c r="D2">
        <v>11940683.499999996</v>
      </c>
      <c r="E2">
        <v>20392723</v>
      </c>
      <c r="F2">
        <v>2451408.4999999995</v>
      </c>
      <c r="G2">
        <v>5094779.9999999991</v>
      </c>
      <c r="H2">
        <v>25493988.499999996</v>
      </c>
      <c r="I2">
        <v>25076746.500000015</v>
      </c>
      <c r="J2">
        <v>87087354.999999985</v>
      </c>
      <c r="K2">
        <v>5441061.9999999972</v>
      </c>
      <c r="L2">
        <v>776313.5000000007</v>
      </c>
      <c r="M2">
        <v>571201.5</v>
      </c>
      <c r="N2">
        <v>41927007.000000007</v>
      </c>
      <c r="O2">
        <v>3445374.4999999986</v>
      </c>
      <c r="P2">
        <v>111129438.00000001</v>
      </c>
      <c r="Q2">
        <v>2192011.5</v>
      </c>
      <c r="R2">
        <v>30870640.5</v>
      </c>
      <c r="S2">
        <v>12554864.499999998</v>
      </c>
      <c r="T2">
        <v>2444915.5000000014</v>
      </c>
      <c r="U2">
        <v>1924954.4999999988</v>
      </c>
      <c r="V2">
        <v>1502091.5000000002</v>
      </c>
      <c r="W2">
        <v>49953303.999999993</v>
      </c>
      <c r="X2">
        <v>4889391</v>
      </c>
      <c r="Y2">
        <v>2198017</v>
      </c>
      <c r="Z2">
        <v>26846541</v>
      </c>
      <c r="AA2">
        <v>19934298.000000004</v>
      </c>
      <c r="AB2">
        <v>29423878.499999993</v>
      </c>
      <c r="AC2">
        <v>4270711.4999999972</v>
      </c>
      <c r="AD2">
        <v>1295381.5000000005</v>
      </c>
      <c r="AE2">
        <v>18367882.999999985</v>
      </c>
      <c r="AF2">
        <v>2405680.5000000005</v>
      </c>
      <c r="AG2">
        <v>22577057.999999996</v>
      </c>
      <c r="AH2">
        <v>198387623.50000006</v>
      </c>
      <c r="AI2">
        <v>12531807.499999998</v>
      </c>
      <c r="AJ2">
        <v>15574908.999999998</v>
      </c>
      <c r="AK2">
        <v>7861281</v>
      </c>
      <c r="AL2">
        <v>10395329.5</v>
      </c>
      <c r="AM2">
        <v>211344</v>
      </c>
      <c r="AN2">
        <v>1160427.5</v>
      </c>
      <c r="AO2">
        <v>103101.00000000003</v>
      </c>
      <c r="AP2">
        <v>15604210</v>
      </c>
      <c r="AQ2">
        <v>8046679</v>
      </c>
      <c r="AR2">
        <v>58090443.000000007</v>
      </c>
      <c r="AS2">
        <v>41515395.000000015</v>
      </c>
      <c r="AT2">
        <v>57339635.000000015</v>
      </c>
      <c r="AU2">
        <v>17835892.999999981</v>
      </c>
      <c r="AV2">
        <v>15052184.000000007</v>
      </c>
      <c r="AW2">
        <v>1076956971</v>
      </c>
    </row>
    <row r="3" spans="1:49" x14ac:dyDescent="0.35">
      <c r="A3" t="s">
        <v>135</v>
      </c>
      <c r="B3">
        <v>13186</v>
      </c>
      <c r="C3">
        <v>45</v>
      </c>
      <c r="D3">
        <v>2300</v>
      </c>
      <c r="E3">
        <v>3368</v>
      </c>
      <c r="F3">
        <v>1850</v>
      </c>
      <c r="G3">
        <v>670</v>
      </c>
      <c r="H3">
        <v>11204</v>
      </c>
      <c r="I3">
        <v>6518</v>
      </c>
      <c r="J3">
        <v>0</v>
      </c>
      <c r="K3">
        <v>1088</v>
      </c>
      <c r="L3">
        <v>440</v>
      </c>
      <c r="M3">
        <v>916</v>
      </c>
      <c r="N3">
        <v>185038</v>
      </c>
      <c r="O3">
        <v>639</v>
      </c>
      <c r="P3">
        <v>17026</v>
      </c>
      <c r="Q3">
        <v>2736</v>
      </c>
      <c r="R3">
        <v>8812</v>
      </c>
      <c r="S3">
        <v>5574</v>
      </c>
      <c r="T3">
        <v>596</v>
      </c>
      <c r="U3">
        <v>1181</v>
      </c>
      <c r="V3">
        <v>0</v>
      </c>
      <c r="W3">
        <v>20964</v>
      </c>
      <c r="X3">
        <v>1407</v>
      </c>
      <c r="Y3">
        <v>1996</v>
      </c>
      <c r="Z3">
        <v>0</v>
      </c>
      <c r="AA3">
        <v>5155</v>
      </c>
      <c r="AB3">
        <v>5147</v>
      </c>
      <c r="AC3">
        <v>1700</v>
      </c>
      <c r="AD3">
        <v>4790</v>
      </c>
      <c r="AE3">
        <v>5520</v>
      </c>
      <c r="AF3">
        <v>1726</v>
      </c>
      <c r="AG3">
        <v>1745</v>
      </c>
      <c r="AH3">
        <v>149976</v>
      </c>
      <c r="AI3">
        <v>3296</v>
      </c>
      <c r="AJ3">
        <v>0</v>
      </c>
      <c r="AK3">
        <v>1132</v>
      </c>
      <c r="AL3">
        <v>822</v>
      </c>
      <c r="AM3">
        <v>0</v>
      </c>
      <c r="AN3">
        <v>556</v>
      </c>
      <c r="AO3">
        <v>537</v>
      </c>
      <c r="AP3">
        <v>1606</v>
      </c>
      <c r="AQ3">
        <v>1633</v>
      </c>
      <c r="AR3">
        <v>5770</v>
      </c>
      <c r="AS3">
        <v>0</v>
      </c>
      <c r="AT3">
        <v>87006</v>
      </c>
      <c r="AU3">
        <v>8042</v>
      </c>
      <c r="AV3">
        <v>6665</v>
      </c>
      <c r="AW3">
        <v>580378</v>
      </c>
    </row>
    <row r="4" spans="1:49" x14ac:dyDescent="0.35">
      <c r="A4" t="s">
        <v>139</v>
      </c>
      <c r="B4">
        <v>25108</v>
      </c>
      <c r="C4">
        <v>18312</v>
      </c>
      <c r="D4">
        <v>6820</v>
      </c>
      <c r="E4">
        <v>0</v>
      </c>
      <c r="F4">
        <v>15290</v>
      </c>
      <c r="G4">
        <v>2390</v>
      </c>
      <c r="H4">
        <v>30326</v>
      </c>
      <c r="I4">
        <v>18312</v>
      </c>
      <c r="J4">
        <v>186652</v>
      </c>
      <c r="K4">
        <v>10162</v>
      </c>
      <c r="L4">
        <v>1358</v>
      </c>
      <c r="M4">
        <v>1412</v>
      </c>
      <c r="N4">
        <v>112822</v>
      </c>
      <c r="O4">
        <v>9942</v>
      </c>
      <c r="P4">
        <v>123544</v>
      </c>
      <c r="Q4">
        <v>12170</v>
      </c>
      <c r="R4">
        <v>250048</v>
      </c>
      <c r="S4">
        <v>14390</v>
      </c>
      <c r="T4">
        <v>2996</v>
      </c>
      <c r="U4">
        <v>1488</v>
      </c>
      <c r="V4">
        <v>0</v>
      </c>
      <c r="W4">
        <v>119802</v>
      </c>
      <c r="X4">
        <v>4526</v>
      </c>
      <c r="Y4">
        <v>13732</v>
      </c>
      <c r="Z4">
        <v>7666</v>
      </c>
      <c r="AA4">
        <v>11986</v>
      </c>
      <c r="AB4">
        <v>16306</v>
      </c>
      <c r="AC4">
        <v>8223</v>
      </c>
      <c r="AD4">
        <v>9972</v>
      </c>
      <c r="AE4">
        <v>15914</v>
      </c>
      <c r="AF4">
        <v>10614</v>
      </c>
      <c r="AG4">
        <v>8251</v>
      </c>
      <c r="AH4">
        <v>220210</v>
      </c>
      <c r="AI4">
        <v>26690</v>
      </c>
      <c r="AJ4">
        <v>0</v>
      </c>
      <c r="AK4">
        <v>11514</v>
      </c>
      <c r="AL4">
        <v>7452</v>
      </c>
      <c r="AM4">
        <v>812</v>
      </c>
      <c r="AN4">
        <v>9412</v>
      </c>
      <c r="AO4">
        <v>2223</v>
      </c>
      <c r="AP4">
        <v>9598</v>
      </c>
      <c r="AQ4">
        <v>3902</v>
      </c>
      <c r="AR4">
        <v>63880</v>
      </c>
      <c r="AS4">
        <v>105814</v>
      </c>
      <c r="AT4">
        <v>141104</v>
      </c>
      <c r="AU4">
        <v>41492</v>
      </c>
      <c r="AV4">
        <v>67752</v>
      </c>
      <c r="AW4">
        <v>1782389</v>
      </c>
    </row>
    <row r="5" spans="1:49" x14ac:dyDescent="0.35">
      <c r="A5" t="s">
        <v>138</v>
      </c>
      <c r="B5">
        <v>0</v>
      </c>
      <c r="C5">
        <v>0</v>
      </c>
      <c r="D5">
        <v>2110</v>
      </c>
      <c r="E5">
        <v>0</v>
      </c>
      <c r="F5">
        <v>0</v>
      </c>
      <c r="G5">
        <v>0</v>
      </c>
      <c r="H5">
        <v>0</v>
      </c>
      <c r="I5">
        <v>0</v>
      </c>
      <c r="J5">
        <v>0</v>
      </c>
      <c r="K5">
        <v>0</v>
      </c>
      <c r="L5">
        <v>968</v>
      </c>
      <c r="M5">
        <v>0</v>
      </c>
      <c r="N5">
        <v>17896</v>
      </c>
      <c r="O5">
        <v>0</v>
      </c>
      <c r="P5">
        <v>32318</v>
      </c>
      <c r="Q5">
        <v>0</v>
      </c>
      <c r="R5">
        <v>20978</v>
      </c>
      <c r="S5">
        <v>0</v>
      </c>
      <c r="T5">
        <v>0</v>
      </c>
      <c r="U5">
        <v>0</v>
      </c>
      <c r="V5">
        <v>0</v>
      </c>
      <c r="W5">
        <v>0</v>
      </c>
      <c r="X5">
        <v>1784</v>
      </c>
      <c r="Y5">
        <v>0</v>
      </c>
      <c r="Z5">
        <v>7988</v>
      </c>
      <c r="AA5">
        <v>6470</v>
      </c>
      <c r="AB5">
        <v>12042</v>
      </c>
      <c r="AC5">
        <v>1342</v>
      </c>
      <c r="AD5">
        <v>0</v>
      </c>
      <c r="AE5">
        <v>0</v>
      </c>
      <c r="AF5">
        <v>10</v>
      </c>
      <c r="AG5">
        <v>1812</v>
      </c>
      <c r="AH5">
        <v>142474</v>
      </c>
      <c r="AI5">
        <v>2942</v>
      </c>
      <c r="AJ5">
        <v>0</v>
      </c>
      <c r="AK5">
        <v>0</v>
      </c>
      <c r="AL5">
        <v>0</v>
      </c>
      <c r="AM5">
        <v>0</v>
      </c>
      <c r="AN5">
        <v>0</v>
      </c>
      <c r="AO5">
        <v>316</v>
      </c>
      <c r="AP5">
        <v>0</v>
      </c>
      <c r="AQ5">
        <v>2570</v>
      </c>
      <c r="AR5">
        <v>0</v>
      </c>
      <c r="AS5">
        <v>0</v>
      </c>
      <c r="AT5">
        <v>0</v>
      </c>
      <c r="AU5">
        <v>4274</v>
      </c>
      <c r="AV5">
        <v>0</v>
      </c>
      <c r="AW5">
        <v>258294</v>
      </c>
    </row>
    <row r="6" spans="1:49" x14ac:dyDescent="0.35">
      <c r="A6" t="s">
        <v>82</v>
      </c>
      <c r="B6">
        <v>260</v>
      </c>
      <c r="C6">
        <v>0</v>
      </c>
      <c r="D6">
        <v>281</v>
      </c>
      <c r="E6">
        <v>401</v>
      </c>
      <c r="F6">
        <v>0</v>
      </c>
      <c r="G6">
        <v>483</v>
      </c>
      <c r="H6">
        <v>2646</v>
      </c>
      <c r="I6">
        <v>30461</v>
      </c>
      <c r="J6">
        <v>47</v>
      </c>
      <c r="K6">
        <v>0</v>
      </c>
      <c r="L6">
        <v>0</v>
      </c>
      <c r="M6">
        <v>2168</v>
      </c>
      <c r="N6">
        <v>0</v>
      </c>
      <c r="O6">
        <v>0</v>
      </c>
      <c r="P6">
        <v>995</v>
      </c>
      <c r="Q6">
        <v>596</v>
      </c>
      <c r="R6">
        <v>0</v>
      </c>
      <c r="S6">
        <v>0</v>
      </c>
      <c r="T6">
        <v>157</v>
      </c>
      <c r="U6">
        <v>0</v>
      </c>
      <c r="V6">
        <v>621</v>
      </c>
      <c r="W6">
        <v>0</v>
      </c>
      <c r="X6">
        <v>0</v>
      </c>
      <c r="Y6">
        <v>0</v>
      </c>
      <c r="Z6">
        <v>0</v>
      </c>
      <c r="AA6">
        <v>0</v>
      </c>
      <c r="AB6">
        <v>0</v>
      </c>
      <c r="AC6">
        <v>0</v>
      </c>
      <c r="AD6">
        <v>0</v>
      </c>
      <c r="AE6">
        <v>570</v>
      </c>
      <c r="AF6">
        <v>0</v>
      </c>
      <c r="AG6">
        <v>2100</v>
      </c>
      <c r="AH6">
        <v>105</v>
      </c>
      <c r="AI6">
        <v>497</v>
      </c>
      <c r="AJ6">
        <v>45</v>
      </c>
      <c r="AK6">
        <v>0</v>
      </c>
      <c r="AL6">
        <v>0</v>
      </c>
      <c r="AM6">
        <v>1721</v>
      </c>
      <c r="AN6">
        <v>921</v>
      </c>
      <c r="AO6">
        <v>0</v>
      </c>
      <c r="AP6">
        <v>14</v>
      </c>
      <c r="AQ6">
        <v>0</v>
      </c>
      <c r="AR6">
        <v>378</v>
      </c>
      <c r="AS6">
        <v>0</v>
      </c>
      <c r="AT6">
        <v>0</v>
      </c>
      <c r="AU6">
        <v>0</v>
      </c>
      <c r="AV6">
        <v>0</v>
      </c>
      <c r="AW6">
        <v>45467</v>
      </c>
    </row>
    <row r="7" spans="1:49" x14ac:dyDescent="0.35">
      <c r="A7" t="s">
        <v>60</v>
      </c>
      <c r="B7">
        <v>134</v>
      </c>
      <c r="C7">
        <v>0</v>
      </c>
      <c r="D7">
        <v>0</v>
      </c>
      <c r="E7">
        <v>111</v>
      </c>
      <c r="F7">
        <v>33</v>
      </c>
      <c r="G7">
        <v>21</v>
      </c>
      <c r="H7">
        <v>593</v>
      </c>
      <c r="I7">
        <v>23627</v>
      </c>
      <c r="J7">
        <v>24</v>
      </c>
      <c r="K7">
        <v>0</v>
      </c>
      <c r="L7">
        <v>0</v>
      </c>
      <c r="M7">
        <v>570</v>
      </c>
      <c r="N7">
        <v>0</v>
      </c>
      <c r="O7">
        <v>0</v>
      </c>
      <c r="P7">
        <v>268</v>
      </c>
      <c r="Q7">
        <v>6</v>
      </c>
      <c r="R7">
        <v>0</v>
      </c>
      <c r="S7">
        <v>0</v>
      </c>
      <c r="T7">
        <v>27</v>
      </c>
      <c r="U7">
        <v>0</v>
      </c>
      <c r="V7">
        <v>112</v>
      </c>
      <c r="W7">
        <v>0</v>
      </c>
      <c r="X7">
        <v>0</v>
      </c>
      <c r="Y7">
        <v>0</v>
      </c>
      <c r="Z7">
        <v>0</v>
      </c>
      <c r="AA7">
        <v>0</v>
      </c>
      <c r="AB7">
        <v>0</v>
      </c>
      <c r="AC7">
        <v>12751</v>
      </c>
      <c r="AD7">
        <v>0</v>
      </c>
      <c r="AE7">
        <v>916</v>
      </c>
      <c r="AF7">
        <v>0</v>
      </c>
      <c r="AG7">
        <v>0</v>
      </c>
      <c r="AH7">
        <v>0</v>
      </c>
      <c r="AI7">
        <v>380</v>
      </c>
      <c r="AJ7">
        <v>276</v>
      </c>
      <c r="AK7">
        <v>0</v>
      </c>
      <c r="AL7">
        <v>0</v>
      </c>
      <c r="AM7">
        <v>0</v>
      </c>
      <c r="AN7">
        <v>275</v>
      </c>
      <c r="AO7">
        <v>0</v>
      </c>
      <c r="AP7">
        <v>0</v>
      </c>
      <c r="AQ7">
        <v>0</v>
      </c>
      <c r="AR7">
        <v>233</v>
      </c>
      <c r="AS7">
        <v>0</v>
      </c>
      <c r="AT7">
        <v>0</v>
      </c>
      <c r="AU7">
        <v>0</v>
      </c>
      <c r="AV7">
        <v>0</v>
      </c>
      <c r="AW7">
        <v>40357</v>
      </c>
    </row>
    <row r="8" spans="1:49" x14ac:dyDescent="0.35">
      <c r="A8" t="s">
        <v>127</v>
      </c>
      <c r="B8">
        <v>1680</v>
      </c>
      <c r="C8">
        <v>11845</v>
      </c>
      <c r="G8">
        <v>115</v>
      </c>
      <c r="H8">
        <v>14556</v>
      </c>
      <c r="M8">
        <v>117</v>
      </c>
      <c r="O8">
        <v>243</v>
      </c>
      <c r="P8">
        <v>37259</v>
      </c>
      <c r="R8">
        <v>15820</v>
      </c>
      <c r="S8">
        <v>16567</v>
      </c>
      <c r="T8">
        <v>1553</v>
      </c>
      <c r="U8">
        <v>3481</v>
      </c>
      <c r="W8">
        <v>58079</v>
      </c>
      <c r="X8">
        <v>3391</v>
      </c>
      <c r="Y8">
        <v>14508</v>
      </c>
      <c r="Z8">
        <v>35000</v>
      </c>
      <c r="AA8">
        <v>1152</v>
      </c>
      <c r="AB8">
        <v>4787</v>
      </c>
      <c r="AD8">
        <v>180</v>
      </c>
      <c r="AE8">
        <v>10016</v>
      </c>
      <c r="AF8">
        <v>2292</v>
      </c>
      <c r="AH8">
        <v>116454</v>
      </c>
      <c r="AI8">
        <v>45000</v>
      </c>
      <c r="AJ8">
        <v>17417</v>
      </c>
      <c r="AL8">
        <v>1455</v>
      </c>
      <c r="AN8">
        <v>6324</v>
      </c>
      <c r="AQ8">
        <v>7086</v>
      </c>
      <c r="AT8">
        <v>54180</v>
      </c>
      <c r="AU8">
        <v>1283</v>
      </c>
      <c r="AV8">
        <v>15888</v>
      </c>
      <c r="AW8">
        <v>497728</v>
      </c>
    </row>
    <row r="9" spans="1:49" x14ac:dyDescent="0.35">
      <c r="A9" t="s">
        <v>61</v>
      </c>
      <c r="B9">
        <v>4</v>
      </c>
      <c r="C9">
        <v>0</v>
      </c>
      <c r="D9">
        <v>8</v>
      </c>
      <c r="E9">
        <v>0</v>
      </c>
      <c r="F9">
        <v>0</v>
      </c>
      <c r="G9">
        <v>77</v>
      </c>
      <c r="H9">
        <v>745</v>
      </c>
      <c r="I9">
        <v>0</v>
      </c>
      <c r="J9">
        <v>119</v>
      </c>
      <c r="K9">
        <v>0</v>
      </c>
      <c r="L9">
        <v>0</v>
      </c>
      <c r="M9">
        <v>0</v>
      </c>
      <c r="N9">
        <v>0</v>
      </c>
      <c r="O9">
        <v>0</v>
      </c>
      <c r="P9">
        <v>1385</v>
      </c>
      <c r="Q9">
        <v>0</v>
      </c>
      <c r="R9">
        <v>0</v>
      </c>
      <c r="S9">
        <v>0</v>
      </c>
      <c r="T9">
        <v>0</v>
      </c>
      <c r="U9">
        <v>0</v>
      </c>
      <c r="V9">
        <v>0</v>
      </c>
      <c r="W9">
        <v>0</v>
      </c>
      <c r="X9">
        <v>0</v>
      </c>
      <c r="Y9">
        <v>0</v>
      </c>
      <c r="Z9">
        <v>0</v>
      </c>
      <c r="AA9">
        <v>0</v>
      </c>
      <c r="AB9">
        <v>0</v>
      </c>
      <c r="AC9">
        <v>4038</v>
      </c>
      <c r="AD9">
        <v>0</v>
      </c>
      <c r="AE9">
        <v>0</v>
      </c>
      <c r="AF9">
        <v>0</v>
      </c>
      <c r="AG9">
        <v>0</v>
      </c>
      <c r="AH9">
        <v>7</v>
      </c>
      <c r="AI9">
        <v>0</v>
      </c>
      <c r="AJ9">
        <v>0</v>
      </c>
      <c r="AK9">
        <v>0</v>
      </c>
      <c r="AL9">
        <v>0</v>
      </c>
      <c r="AM9">
        <v>0</v>
      </c>
      <c r="AN9">
        <v>31</v>
      </c>
      <c r="AO9">
        <v>0</v>
      </c>
      <c r="AP9">
        <v>0</v>
      </c>
      <c r="AQ9">
        <v>0</v>
      </c>
      <c r="AR9">
        <v>855</v>
      </c>
      <c r="AS9">
        <v>0</v>
      </c>
      <c r="AT9">
        <v>0</v>
      </c>
      <c r="AU9">
        <v>0</v>
      </c>
      <c r="AV9">
        <v>0</v>
      </c>
      <c r="AW9">
        <v>7269</v>
      </c>
    </row>
    <row r="10" spans="1:49" x14ac:dyDescent="0.35">
      <c r="A10" t="s">
        <v>62</v>
      </c>
      <c r="B10">
        <v>411</v>
      </c>
      <c r="C10">
        <v>0</v>
      </c>
      <c r="D10">
        <v>429</v>
      </c>
      <c r="E10">
        <v>157</v>
      </c>
      <c r="F10">
        <v>0</v>
      </c>
      <c r="G10">
        <v>0</v>
      </c>
      <c r="H10">
        <v>0</v>
      </c>
      <c r="I10">
        <v>0</v>
      </c>
      <c r="J10">
        <v>136</v>
      </c>
      <c r="K10">
        <v>0</v>
      </c>
      <c r="L10">
        <v>0</v>
      </c>
      <c r="M10">
        <v>3207</v>
      </c>
      <c r="N10">
        <v>0</v>
      </c>
      <c r="O10">
        <v>0</v>
      </c>
      <c r="P10">
        <v>665</v>
      </c>
      <c r="Q10">
        <v>0</v>
      </c>
      <c r="R10">
        <v>0</v>
      </c>
      <c r="S10">
        <v>0</v>
      </c>
      <c r="T10">
        <v>0</v>
      </c>
      <c r="U10">
        <v>0</v>
      </c>
      <c r="V10">
        <v>0</v>
      </c>
      <c r="W10">
        <v>0</v>
      </c>
      <c r="X10">
        <v>0</v>
      </c>
      <c r="Y10">
        <v>0</v>
      </c>
      <c r="Z10">
        <v>0</v>
      </c>
      <c r="AA10">
        <v>0</v>
      </c>
      <c r="AB10">
        <v>0</v>
      </c>
      <c r="AC10">
        <v>4745</v>
      </c>
      <c r="AD10">
        <v>0</v>
      </c>
      <c r="AE10">
        <v>0</v>
      </c>
      <c r="AF10">
        <v>0</v>
      </c>
      <c r="AG10">
        <v>0</v>
      </c>
      <c r="AH10">
        <v>0</v>
      </c>
      <c r="AI10">
        <v>0</v>
      </c>
      <c r="AJ10">
        <v>1925</v>
      </c>
      <c r="AK10">
        <v>0</v>
      </c>
      <c r="AL10">
        <v>0</v>
      </c>
      <c r="AM10">
        <v>0</v>
      </c>
      <c r="AN10">
        <v>275</v>
      </c>
      <c r="AO10">
        <v>0</v>
      </c>
      <c r="AP10">
        <v>0</v>
      </c>
      <c r="AQ10">
        <v>0</v>
      </c>
      <c r="AR10">
        <v>1905</v>
      </c>
      <c r="AS10">
        <v>0</v>
      </c>
      <c r="AT10">
        <v>0</v>
      </c>
      <c r="AU10">
        <v>0</v>
      </c>
      <c r="AV10">
        <v>0</v>
      </c>
      <c r="AW10">
        <v>13855</v>
      </c>
    </row>
    <row r="11" spans="1:49" x14ac:dyDescent="0.35">
      <c r="A11" t="s">
        <v>203</v>
      </c>
      <c r="B11">
        <v>0</v>
      </c>
      <c r="C11">
        <v>0</v>
      </c>
      <c r="D11">
        <v>0</v>
      </c>
      <c r="E11">
        <v>0</v>
      </c>
      <c r="F11">
        <v>1563</v>
      </c>
      <c r="G11">
        <v>0</v>
      </c>
      <c r="H11">
        <v>0</v>
      </c>
      <c r="I11">
        <v>0</v>
      </c>
      <c r="J11">
        <v>0</v>
      </c>
      <c r="K11">
        <v>0</v>
      </c>
      <c r="L11">
        <v>0</v>
      </c>
      <c r="M11">
        <v>0</v>
      </c>
      <c r="N11">
        <v>42507</v>
      </c>
      <c r="O11">
        <v>0</v>
      </c>
      <c r="P11">
        <v>0</v>
      </c>
      <c r="Q11">
        <v>0</v>
      </c>
      <c r="R11">
        <v>0</v>
      </c>
      <c r="S11">
        <v>0</v>
      </c>
      <c r="T11">
        <v>0</v>
      </c>
      <c r="U11">
        <v>0</v>
      </c>
      <c r="V11">
        <v>0</v>
      </c>
      <c r="W11">
        <v>0</v>
      </c>
      <c r="X11">
        <v>0</v>
      </c>
      <c r="Y11">
        <v>0</v>
      </c>
      <c r="Z11">
        <v>0</v>
      </c>
      <c r="AA11">
        <v>0</v>
      </c>
      <c r="AB11">
        <v>0</v>
      </c>
      <c r="AC11">
        <v>0</v>
      </c>
      <c r="AD11">
        <v>0</v>
      </c>
      <c r="AE11">
        <v>0</v>
      </c>
      <c r="AF11">
        <v>0</v>
      </c>
      <c r="AG11">
        <v>95</v>
      </c>
      <c r="AH11">
        <v>0</v>
      </c>
      <c r="AI11">
        <v>0</v>
      </c>
      <c r="AJ11">
        <v>0</v>
      </c>
      <c r="AK11">
        <v>0</v>
      </c>
      <c r="AL11">
        <v>0</v>
      </c>
      <c r="AM11">
        <v>0</v>
      </c>
      <c r="AN11">
        <v>0</v>
      </c>
      <c r="AO11">
        <v>0</v>
      </c>
      <c r="AP11">
        <v>0</v>
      </c>
      <c r="AQ11">
        <v>3903</v>
      </c>
      <c r="AR11">
        <v>0</v>
      </c>
      <c r="AS11">
        <v>0</v>
      </c>
      <c r="AT11">
        <v>0</v>
      </c>
      <c r="AU11">
        <v>119</v>
      </c>
      <c r="AV11">
        <v>2021</v>
      </c>
      <c r="AW11">
        <v>50208</v>
      </c>
    </row>
    <row r="12" spans="1:49" x14ac:dyDescent="0.35">
      <c r="A12" t="s">
        <v>204</v>
      </c>
      <c r="F12">
        <v>156</v>
      </c>
      <c r="N12">
        <v>900</v>
      </c>
      <c r="U12">
        <v>0</v>
      </c>
      <c r="AA12">
        <v>13</v>
      </c>
      <c r="AV12">
        <v>414</v>
      </c>
      <c r="AW12">
        <v>1483</v>
      </c>
    </row>
    <row r="13" spans="1:49" x14ac:dyDescent="0.35">
      <c r="A13" t="s">
        <v>205</v>
      </c>
      <c r="B13">
        <v>0</v>
      </c>
      <c r="C13">
        <v>0</v>
      </c>
      <c r="D13">
        <v>0</v>
      </c>
      <c r="E13">
        <v>2</v>
      </c>
      <c r="F13">
        <v>27</v>
      </c>
      <c r="G13">
        <v>1</v>
      </c>
      <c r="H13">
        <v>0</v>
      </c>
      <c r="I13">
        <v>0</v>
      </c>
      <c r="J13">
        <v>0</v>
      </c>
      <c r="K13">
        <v>0</v>
      </c>
      <c r="L13">
        <v>0</v>
      </c>
      <c r="M13">
        <v>0</v>
      </c>
      <c r="N13">
        <v>836</v>
      </c>
      <c r="O13">
        <v>0</v>
      </c>
      <c r="P13">
        <v>0</v>
      </c>
      <c r="Q13">
        <v>0</v>
      </c>
      <c r="R13">
        <v>0</v>
      </c>
      <c r="S13">
        <v>0</v>
      </c>
      <c r="T13">
        <v>7</v>
      </c>
      <c r="U13">
        <v>0</v>
      </c>
      <c r="V13">
        <v>0</v>
      </c>
      <c r="W13">
        <v>0</v>
      </c>
      <c r="X13">
        <v>0</v>
      </c>
      <c r="Y13">
        <v>0</v>
      </c>
      <c r="Z13">
        <v>0</v>
      </c>
      <c r="AA13">
        <v>15</v>
      </c>
      <c r="AB13">
        <v>304</v>
      </c>
      <c r="AC13">
        <v>0</v>
      </c>
      <c r="AD13">
        <v>0</v>
      </c>
      <c r="AE13">
        <v>0</v>
      </c>
      <c r="AF13">
        <v>0</v>
      </c>
      <c r="AG13">
        <v>0</v>
      </c>
      <c r="AH13">
        <v>6165</v>
      </c>
      <c r="AI13">
        <v>0</v>
      </c>
      <c r="AJ13">
        <v>0</v>
      </c>
      <c r="AK13">
        <v>0</v>
      </c>
      <c r="AL13">
        <v>2</v>
      </c>
      <c r="AM13">
        <v>0</v>
      </c>
      <c r="AN13">
        <v>0</v>
      </c>
      <c r="AO13">
        <v>0</v>
      </c>
      <c r="AP13">
        <v>0</v>
      </c>
      <c r="AQ13">
        <v>55</v>
      </c>
      <c r="AR13">
        <v>89</v>
      </c>
      <c r="AS13">
        <v>0</v>
      </c>
      <c r="AT13">
        <v>0</v>
      </c>
      <c r="AU13">
        <v>0</v>
      </c>
      <c r="AV13">
        <v>40</v>
      </c>
      <c r="AW13">
        <v>7543</v>
      </c>
    </row>
    <row r="14" spans="1:49" x14ac:dyDescent="0.35">
      <c r="A14" t="s">
        <v>133</v>
      </c>
      <c r="B14">
        <v>98</v>
      </c>
      <c r="C14">
        <v>1071</v>
      </c>
      <c r="D14">
        <v>668</v>
      </c>
      <c r="E14">
        <v>648</v>
      </c>
      <c r="F14">
        <v>160</v>
      </c>
      <c r="G14">
        <v>112</v>
      </c>
      <c r="I14">
        <v>241</v>
      </c>
      <c r="J14">
        <v>2934</v>
      </c>
      <c r="K14">
        <v>320</v>
      </c>
      <c r="M14">
        <v>65</v>
      </c>
      <c r="N14">
        <v>136</v>
      </c>
      <c r="O14">
        <v>549</v>
      </c>
      <c r="P14">
        <v>10450</v>
      </c>
      <c r="Q14">
        <v>439</v>
      </c>
      <c r="R14">
        <v>1563</v>
      </c>
      <c r="S14">
        <v>181</v>
      </c>
      <c r="T14">
        <v>138</v>
      </c>
      <c r="U14">
        <v>53</v>
      </c>
      <c r="V14">
        <v>2</v>
      </c>
      <c r="Y14">
        <v>205</v>
      </c>
      <c r="Z14">
        <v>306</v>
      </c>
      <c r="AD14">
        <v>291</v>
      </c>
      <c r="AE14">
        <v>542</v>
      </c>
      <c r="AG14">
        <v>432</v>
      </c>
      <c r="AH14">
        <v>26677</v>
      </c>
      <c r="AI14">
        <v>1990</v>
      </c>
      <c r="AJ14">
        <v>328</v>
      </c>
      <c r="AK14">
        <v>311</v>
      </c>
      <c r="AL14">
        <v>272</v>
      </c>
      <c r="AN14">
        <v>370</v>
      </c>
      <c r="AO14">
        <v>71</v>
      </c>
      <c r="AP14">
        <v>749</v>
      </c>
      <c r="AQ14">
        <v>460</v>
      </c>
      <c r="AR14">
        <v>4361</v>
      </c>
      <c r="AS14">
        <v>3874</v>
      </c>
      <c r="AT14">
        <v>5455</v>
      </c>
      <c r="AU14">
        <v>18</v>
      </c>
      <c r="AV14">
        <v>644</v>
      </c>
      <c r="AW14">
        <v>67184</v>
      </c>
    </row>
    <row r="15" spans="1:49" x14ac:dyDescent="0.35">
      <c r="A15" t="s">
        <v>206</v>
      </c>
      <c r="F15">
        <v>63</v>
      </c>
      <c r="N15">
        <v>2148</v>
      </c>
      <c r="U15">
        <v>0</v>
      </c>
      <c r="AA15">
        <v>1022</v>
      </c>
      <c r="AF15">
        <v>3</v>
      </c>
      <c r="AG15">
        <v>439</v>
      </c>
      <c r="AV15">
        <v>164</v>
      </c>
      <c r="AW15">
        <v>3839</v>
      </c>
    </row>
    <row r="16" spans="1:49" x14ac:dyDescent="0.35">
      <c r="A16" t="s">
        <v>136</v>
      </c>
      <c r="D16">
        <v>137</v>
      </c>
      <c r="F16">
        <v>134</v>
      </c>
      <c r="N16">
        <v>6245</v>
      </c>
      <c r="U16">
        <v>17</v>
      </c>
      <c r="W16">
        <v>430</v>
      </c>
      <c r="AH16">
        <v>2578</v>
      </c>
      <c r="AI16">
        <v>152</v>
      </c>
      <c r="AQ16">
        <v>148</v>
      </c>
      <c r="AT16">
        <v>8878</v>
      </c>
      <c r="AU16">
        <v>761</v>
      </c>
      <c r="AV16">
        <v>480</v>
      </c>
      <c r="AW16">
        <v>19960</v>
      </c>
    </row>
    <row r="17" spans="1:49" x14ac:dyDescent="0.35">
      <c r="A17" t="s">
        <v>207</v>
      </c>
      <c r="F17">
        <v>73</v>
      </c>
      <c r="U17">
        <v>1</v>
      </c>
      <c r="W17">
        <v>714</v>
      </c>
      <c r="AU17">
        <v>67</v>
      </c>
      <c r="AV17">
        <v>703</v>
      </c>
      <c r="AW17">
        <v>1558</v>
      </c>
    </row>
    <row r="18" spans="1:49" x14ac:dyDescent="0.35">
      <c r="A18" t="s">
        <v>141</v>
      </c>
      <c r="F18">
        <v>5</v>
      </c>
      <c r="N18">
        <v>1533</v>
      </c>
      <c r="U18">
        <v>1</v>
      </c>
      <c r="AB18">
        <v>150</v>
      </c>
      <c r="AF18">
        <v>84</v>
      </c>
      <c r="AH18">
        <v>4626</v>
      </c>
      <c r="AI18">
        <v>13</v>
      </c>
      <c r="AQ18">
        <v>5</v>
      </c>
      <c r="AT18">
        <v>3848</v>
      </c>
      <c r="AU18">
        <v>16</v>
      </c>
      <c r="AV18">
        <v>20</v>
      </c>
      <c r="AW18">
        <v>10301</v>
      </c>
    </row>
    <row r="19" spans="1:49" x14ac:dyDescent="0.35">
      <c r="A19" t="s">
        <v>208</v>
      </c>
      <c r="F19">
        <v>1248</v>
      </c>
      <c r="N19">
        <v>6184</v>
      </c>
      <c r="U19">
        <v>0</v>
      </c>
      <c r="AQ19">
        <v>1353</v>
      </c>
      <c r="AW19">
        <v>8785</v>
      </c>
    </row>
    <row r="20" spans="1:49" x14ac:dyDescent="0.35">
      <c r="A20" t="s">
        <v>209</v>
      </c>
      <c r="F20">
        <v>3342</v>
      </c>
      <c r="N20">
        <v>75033</v>
      </c>
      <c r="U20">
        <v>0</v>
      </c>
      <c r="AG20">
        <v>249</v>
      </c>
      <c r="AQ20">
        <v>1554</v>
      </c>
      <c r="AW20">
        <v>80178</v>
      </c>
    </row>
    <row r="21" spans="1:49" x14ac:dyDescent="0.35">
      <c r="A21" t="s">
        <v>134</v>
      </c>
      <c r="F21">
        <v>318</v>
      </c>
      <c r="L21">
        <v>8</v>
      </c>
      <c r="N21">
        <v>15238</v>
      </c>
      <c r="U21">
        <v>0</v>
      </c>
      <c r="AF21">
        <v>140</v>
      </c>
      <c r="AH21">
        <v>29246</v>
      </c>
      <c r="AQ21">
        <v>183</v>
      </c>
      <c r="AT21">
        <v>5731</v>
      </c>
      <c r="AU21">
        <v>1712</v>
      </c>
      <c r="AV21">
        <v>1126</v>
      </c>
      <c r="AW21">
        <v>53702</v>
      </c>
    </row>
    <row r="22" spans="1:49" x14ac:dyDescent="0.35">
      <c r="A22" t="s">
        <v>142</v>
      </c>
      <c r="D22">
        <v>5086</v>
      </c>
      <c r="F22">
        <v>10</v>
      </c>
      <c r="N22">
        <v>365</v>
      </c>
      <c r="U22">
        <v>0</v>
      </c>
      <c r="W22">
        <v>21942</v>
      </c>
      <c r="AF22">
        <v>52</v>
      </c>
      <c r="AQ22">
        <v>978</v>
      </c>
      <c r="AU22">
        <v>3616</v>
      </c>
      <c r="AW22">
        <v>32049</v>
      </c>
    </row>
    <row r="23" spans="1:49" x14ac:dyDescent="0.35">
      <c r="A23" t="s">
        <v>83</v>
      </c>
      <c r="B23">
        <v>0</v>
      </c>
      <c r="C23">
        <v>0</v>
      </c>
      <c r="D23">
        <v>58</v>
      </c>
      <c r="E23">
        <v>0</v>
      </c>
      <c r="F23">
        <v>42</v>
      </c>
      <c r="G23">
        <v>0</v>
      </c>
      <c r="H23">
        <v>0</v>
      </c>
      <c r="I23">
        <v>0</v>
      </c>
      <c r="J23">
        <v>0</v>
      </c>
      <c r="K23">
        <v>0</v>
      </c>
      <c r="L23">
        <v>0</v>
      </c>
      <c r="M23">
        <v>0</v>
      </c>
      <c r="N23">
        <v>1971</v>
      </c>
      <c r="O23">
        <v>0</v>
      </c>
      <c r="P23">
        <v>0</v>
      </c>
      <c r="Q23">
        <v>0</v>
      </c>
      <c r="R23">
        <v>0</v>
      </c>
      <c r="S23">
        <v>0</v>
      </c>
      <c r="T23">
        <v>0</v>
      </c>
      <c r="U23">
        <v>15</v>
      </c>
      <c r="V23">
        <v>0</v>
      </c>
      <c r="W23">
        <v>0</v>
      </c>
      <c r="X23">
        <v>0</v>
      </c>
      <c r="Y23">
        <v>0</v>
      </c>
      <c r="Z23">
        <v>0</v>
      </c>
      <c r="AA23">
        <v>0</v>
      </c>
      <c r="AB23">
        <v>362</v>
      </c>
      <c r="AC23">
        <v>0</v>
      </c>
      <c r="AD23">
        <v>0</v>
      </c>
      <c r="AE23">
        <v>0</v>
      </c>
      <c r="AF23">
        <v>118</v>
      </c>
      <c r="AG23">
        <v>0</v>
      </c>
      <c r="AH23">
        <v>5153</v>
      </c>
      <c r="AI23">
        <v>225</v>
      </c>
      <c r="AJ23">
        <v>0</v>
      </c>
      <c r="AK23">
        <v>0</v>
      </c>
      <c r="AL23">
        <v>0</v>
      </c>
      <c r="AM23">
        <v>0</v>
      </c>
      <c r="AN23">
        <v>0</v>
      </c>
      <c r="AO23">
        <v>0</v>
      </c>
      <c r="AP23">
        <v>0</v>
      </c>
      <c r="AQ23">
        <v>160</v>
      </c>
      <c r="AR23">
        <v>0</v>
      </c>
      <c r="AS23">
        <v>0</v>
      </c>
      <c r="AT23">
        <v>7922</v>
      </c>
      <c r="AU23">
        <v>739</v>
      </c>
      <c r="AV23">
        <v>688</v>
      </c>
      <c r="AW23">
        <v>17453</v>
      </c>
    </row>
    <row r="24" spans="1:49" x14ac:dyDescent="0.35">
      <c r="A24" t="s">
        <v>84</v>
      </c>
      <c r="B24">
        <v>0</v>
      </c>
      <c r="C24">
        <v>0</v>
      </c>
      <c r="D24">
        <v>102</v>
      </c>
      <c r="E24">
        <v>0</v>
      </c>
      <c r="F24">
        <v>0</v>
      </c>
      <c r="G24">
        <v>0</v>
      </c>
      <c r="H24">
        <v>0</v>
      </c>
      <c r="I24">
        <v>0</v>
      </c>
      <c r="J24">
        <v>0</v>
      </c>
      <c r="K24">
        <v>0</v>
      </c>
      <c r="L24">
        <v>0</v>
      </c>
      <c r="M24">
        <v>0</v>
      </c>
      <c r="N24">
        <v>0</v>
      </c>
      <c r="O24">
        <v>0</v>
      </c>
      <c r="P24">
        <v>0</v>
      </c>
      <c r="Q24">
        <v>0</v>
      </c>
      <c r="R24">
        <v>0</v>
      </c>
      <c r="S24">
        <v>0</v>
      </c>
      <c r="T24">
        <v>0</v>
      </c>
      <c r="U24">
        <v>53</v>
      </c>
      <c r="V24">
        <v>0</v>
      </c>
      <c r="W24">
        <v>0</v>
      </c>
      <c r="X24">
        <v>0</v>
      </c>
      <c r="Y24">
        <v>0</v>
      </c>
      <c r="Z24">
        <v>0</v>
      </c>
      <c r="AA24">
        <v>0</v>
      </c>
      <c r="AB24">
        <v>338</v>
      </c>
      <c r="AC24">
        <v>0</v>
      </c>
      <c r="AD24">
        <v>0</v>
      </c>
      <c r="AE24">
        <v>0</v>
      </c>
      <c r="AF24">
        <v>0</v>
      </c>
      <c r="AG24">
        <v>0</v>
      </c>
      <c r="AH24">
        <v>0</v>
      </c>
      <c r="AI24">
        <v>0</v>
      </c>
      <c r="AJ24">
        <v>0</v>
      </c>
      <c r="AK24">
        <v>0</v>
      </c>
      <c r="AL24">
        <v>0</v>
      </c>
      <c r="AM24">
        <v>0</v>
      </c>
      <c r="AN24">
        <v>0</v>
      </c>
      <c r="AO24">
        <v>0</v>
      </c>
      <c r="AP24">
        <v>0</v>
      </c>
      <c r="AQ24">
        <v>62</v>
      </c>
      <c r="AR24">
        <v>0</v>
      </c>
      <c r="AS24">
        <v>0</v>
      </c>
      <c r="AT24">
        <v>0</v>
      </c>
      <c r="AU24">
        <v>0</v>
      </c>
      <c r="AV24">
        <v>12</v>
      </c>
      <c r="AW24">
        <v>567</v>
      </c>
    </row>
    <row r="25" spans="1:49" x14ac:dyDescent="0.35">
      <c r="A25" t="s">
        <v>126</v>
      </c>
      <c r="F25">
        <v>9</v>
      </c>
      <c r="U25">
        <v>0</v>
      </c>
      <c r="AB25">
        <v>3</v>
      </c>
      <c r="AH25">
        <v>56</v>
      </c>
      <c r="AQ25">
        <v>25</v>
      </c>
      <c r="AT25">
        <v>3512</v>
      </c>
      <c r="AW25">
        <v>3605</v>
      </c>
    </row>
    <row r="26" spans="1:49" x14ac:dyDescent="0.35">
      <c r="A26" t="s">
        <v>87</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1215</v>
      </c>
      <c r="AW26">
        <v>1215</v>
      </c>
    </row>
    <row r="29" spans="1:49" x14ac:dyDescent="0.35">
      <c r="B29" t="s">
        <v>0</v>
      </c>
      <c r="C29" t="s">
        <v>210</v>
      </c>
      <c r="D29" t="s">
        <v>211</v>
      </c>
      <c r="E29">
        <v>2012</v>
      </c>
    </row>
    <row r="30" spans="1:49" x14ac:dyDescent="0.35">
      <c r="B30" t="str">
        <f>B1</f>
        <v>AGO</v>
      </c>
      <c r="C30">
        <f>B2</f>
        <v>31273533.000000004</v>
      </c>
      <c r="D30" t="str">
        <f t="shared" ref="D30:D52" si="0">A3</f>
        <v>Medical Doctors</v>
      </c>
      <c r="E30">
        <f t="shared" ref="E30:E52" si="1">B3</f>
        <v>13186</v>
      </c>
    </row>
    <row r="31" spans="1:49" x14ac:dyDescent="0.35">
      <c r="D31" t="str">
        <f t="shared" si="0"/>
        <v>Nursing Personnel</v>
      </c>
      <c r="E31">
        <f t="shared" si="1"/>
        <v>25108</v>
      </c>
    </row>
    <row r="32" spans="1:49" x14ac:dyDescent="0.35">
      <c r="D32" t="str">
        <f t="shared" si="0"/>
        <v>Midwifery personnel</v>
      </c>
      <c r="E32">
        <f t="shared" si="1"/>
        <v>0</v>
      </c>
    </row>
    <row r="33" spans="4:5" x14ac:dyDescent="0.35">
      <c r="D33" t="str">
        <f t="shared" si="0"/>
        <v>Pharmacists</v>
      </c>
      <c r="E33">
        <f t="shared" si="1"/>
        <v>260</v>
      </c>
    </row>
    <row r="34" spans="4:5" x14ac:dyDescent="0.35">
      <c r="D34" t="str">
        <f t="shared" si="0"/>
        <v>Dentists</v>
      </c>
      <c r="E34">
        <f t="shared" si="1"/>
        <v>134</v>
      </c>
    </row>
    <row r="35" spans="4:5" x14ac:dyDescent="0.35">
      <c r="D35" t="str">
        <f t="shared" si="0"/>
        <v xml:space="preserve">Community Health Workers </v>
      </c>
      <c r="E35">
        <f t="shared" si="1"/>
        <v>1680</v>
      </c>
    </row>
    <row r="36" spans="4:5" x14ac:dyDescent="0.35">
      <c r="D36" t="str">
        <f t="shared" si="0"/>
        <v>Dieticians and nutritionists</v>
      </c>
      <c r="E36">
        <f t="shared" si="1"/>
        <v>4</v>
      </c>
    </row>
    <row r="37" spans="4:5" x14ac:dyDescent="0.35">
      <c r="D37" t="str">
        <f t="shared" si="0"/>
        <v>Environmental and occupational health &amp; hygiene workers</v>
      </c>
      <c r="E37">
        <f t="shared" si="1"/>
        <v>411</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98</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11493472.499999993</v>
      </c>
      <c r="D54" t="str">
        <f t="shared" ref="D54:D117" si="3">D30</f>
        <v>Medical Doctors</v>
      </c>
      <c r="E54">
        <f t="shared" ref="E54:E77" si="4">C3</f>
        <v>45</v>
      </c>
    </row>
    <row r="55" spans="2:5" x14ac:dyDescent="0.35">
      <c r="D55" t="str">
        <f t="shared" si="3"/>
        <v>Nursing Personnel</v>
      </c>
      <c r="E55">
        <f t="shared" si="4"/>
        <v>18312</v>
      </c>
    </row>
    <row r="56" spans="2:5" x14ac:dyDescent="0.35">
      <c r="D56" t="str">
        <f t="shared" si="3"/>
        <v>Midwifery personnel</v>
      </c>
      <c r="E56">
        <f t="shared" si="4"/>
        <v>0</v>
      </c>
    </row>
    <row r="57" spans="2:5" x14ac:dyDescent="0.35">
      <c r="D57" t="str">
        <f t="shared" si="3"/>
        <v>Pharmacists</v>
      </c>
      <c r="E57">
        <f t="shared" si="4"/>
        <v>0</v>
      </c>
    </row>
    <row r="58" spans="2:5" x14ac:dyDescent="0.35">
      <c r="D58" t="str">
        <f t="shared" si="3"/>
        <v>Dentists</v>
      </c>
      <c r="E58">
        <f t="shared" si="4"/>
        <v>0</v>
      </c>
    </row>
    <row r="59" spans="2:5" x14ac:dyDescent="0.35">
      <c r="D59" t="str">
        <f t="shared" si="3"/>
        <v xml:space="preserve">Community Health Workers </v>
      </c>
      <c r="E59">
        <f t="shared" si="4"/>
        <v>11845</v>
      </c>
    </row>
    <row r="60" spans="2:5" x14ac:dyDescent="0.35">
      <c r="D60" t="str">
        <f t="shared" si="3"/>
        <v>Dieticians and nutritionists</v>
      </c>
      <c r="E60">
        <f t="shared" si="4"/>
        <v>0</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1071</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11940683.499999996</v>
      </c>
      <c r="D78" t="str">
        <f t="shared" si="3"/>
        <v>Medical Doctors</v>
      </c>
      <c r="E78">
        <f t="shared" ref="E78:E101" si="5">D3</f>
        <v>2300</v>
      </c>
    </row>
    <row r="79" spans="2:5" x14ac:dyDescent="0.35">
      <c r="D79" t="str">
        <f t="shared" si="3"/>
        <v>Nursing Personnel</v>
      </c>
      <c r="E79">
        <f t="shared" si="5"/>
        <v>6820</v>
      </c>
    </row>
    <row r="80" spans="2:5" x14ac:dyDescent="0.35">
      <c r="D80" t="str">
        <f t="shared" si="3"/>
        <v>Midwifery personnel</v>
      </c>
      <c r="E80">
        <f t="shared" si="5"/>
        <v>2110</v>
      </c>
    </row>
    <row r="81" spans="4:5" x14ac:dyDescent="0.35">
      <c r="D81" t="str">
        <f t="shared" si="3"/>
        <v>Pharmacists</v>
      </c>
      <c r="E81">
        <f t="shared" si="5"/>
        <v>281</v>
      </c>
    </row>
    <row r="82" spans="4:5" x14ac:dyDescent="0.35">
      <c r="D82" t="str">
        <f t="shared" si="3"/>
        <v>Dentists</v>
      </c>
      <c r="E82">
        <f t="shared" si="5"/>
        <v>0</v>
      </c>
    </row>
    <row r="83" spans="4:5" x14ac:dyDescent="0.35">
      <c r="D83" t="str">
        <f t="shared" si="3"/>
        <v xml:space="preserve">Community Health Workers </v>
      </c>
      <c r="E83">
        <f t="shared" si="5"/>
        <v>0</v>
      </c>
    </row>
    <row r="84" spans="4:5" x14ac:dyDescent="0.35">
      <c r="D84" t="str">
        <f t="shared" si="3"/>
        <v>Dieticians and nutritionists</v>
      </c>
      <c r="E84">
        <f t="shared" si="5"/>
        <v>8</v>
      </c>
    </row>
    <row r="85" spans="4:5" x14ac:dyDescent="0.35">
      <c r="D85" t="str">
        <f t="shared" si="3"/>
        <v>Environmental and occupational health &amp; hygiene workers</v>
      </c>
      <c r="E85">
        <f t="shared" si="5"/>
        <v>429</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668</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137</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0</v>
      </c>
    </row>
    <row r="97" spans="2:5" x14ac:dyDescent="0.35">
      <c r="D97" t="str">
        <f t="shared" si="3"/>
        <v xml:space="preserve">Paramedical Practitioners </v>
      </c>
      <c r="E97">
        <f t="shared" si="5"/>
        <v>5086</v>
      </c>
    </row>
    <row r="98" spans="2:5" x14ac:dyDescent="0.35">
      <c r="D98" t="str">
        <f t="shared" si="3"/>
        <v>Physiotherapists and physiotherapy assistants</v>
      </c>
      <c r="E98">
        <f t="shared" si="5"/>
        <v>58</v>
      </c>
    </row>
    <row r="99" spans="2:5" x14ac:dyDescent="0.35">
      <c r="D99" t="str">
        <f t="shared" si="3"/>
        <v>Social workers</v>
      </c>
      <c r="E99">
        <f t="shared" si="5"/>
        <v>102</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20392723</v>
      </c>
      <c r="D102" s="29" t="str">
        <f t="shared" si="3"/>
        <v>Medical Doctors</v>
      </c>
      <c r="E102">
        <f t="shared" ref="E102:E125" si="6">E3</f>
        <v>3368</v>
      </c>
    </row>
    <row r="103" spans="2:5" x14ac:dyDescent="0.35">
      <c r="D103" s="29" t="str">
        <f t="shared" si="3"/>
        <v>Nursing Personnel</v>
      </c>
      <c r="E103">
        <f t="shared" si="6"/>
        <v>0</v>
      </c>
    </row>
    <row r="104" spans="2:5" x14ac:dyDescent="0.35">
      <c r="D104" s="29" t="str">
        <f t="shared" si="3"/>
        <v>Midwifery personnel</v>
      </c>
      <c r="E104">
        <f t="shared" si="6"/>
        <v>0</v>
      </c>
    </row>
    <row r="105" spans="2:5" x14ac:dyDescent="0.35">
      <c r="D105" s="29" t="str">
        <f t="shared" si="3"/>
        <v>Pharmacists</v>
      </c>
      <c r="E105">
        <f t="shared" si="6"/>
        <v>401</v>
      </c>
    </row>
    <row r="106" spans="2:5" x14ac:dyDescent="0.35">
      <c r="D106" s="29" t="str">
        <f t="shared" si="3"/>
        <v>Dentists</v>
      </c>
      <c r="E106">
        <f t="shared" si="6"/>
        <v>111</v>
      </c>
    </row>
    <row r="107" spans="2:5" x14ac:dyDescent="0.35">
      <c r="D107" s="29" t="str">
        <f t="shared" si="3"/>
        <v xml:space="preserve">Community Health Workers </v>
      </c>
      <c r="E107">
        <f t="shared" si="6"/>
        <v>0</v>
      </c>
    </row>
    <row r="108" spans="2:5" x14ac:dyDescent="0.35">
      <c r="D108" s="29" t="str">
        <f t="shared" si="3"/>
        <v>Dieticians and nutritionists</v>
      </c>
      <c r="E108">
        <f t="shared" si="6"/>
        <v>0</v>
      </c>
    </row>
    <row r="109" spans="2:5" x14ac:dyDescent="0.35">
      <c r="D109" s="29" t="str">
        <f t="shared" si="3"/>
        <v>Environmental and occupational health &amp; hygiene workers</v>
      </c>
      <c r="E109">
        <f t="shared" si="6"/>
        <v>157</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2</v>
      </c>
    </row>
    <row r="113" spans="2:5" x14ac:dyDescent="0.35">
      <c r="D113" s="29" t="str">
        <f t="shared" si="3"/>
        <v xml:space="preserve">Medical and Pathology Laboratory scientists </v>
      </c>
      <c r="E113">
        <f t="shared" si="6"/>
        <v>648</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0</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0</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0</v>
      </c>
    </row>
    <row r="123" spans="2:5" x14ac:dyDescent="0.35">
      <c r="D123" s="29" t="str">
        <f t="shared" si="7"/>
        <v>Social workers</v>
      </c>
      <c r="E123">
        <f t="shared" si="6"/>
        <v>0</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0</v>
      </c>
    </row>
    <row r="126" spans="2:5" x14ac:dyDescent="0.35">
      <c r="B126" t="str">
        <f>F1</f>
        <v>BWA</v>
      </c>
      <c r="C126">
        <f>F2</f>
        <v>2451408.4999999995</v>
      </c>
      <c r="D126" s="29" t="str">
        <f t="shared" si="7"/>
        <v>Medical Doctors</v>
      </c>
      <c r="E126">
        <f t="shared" ref="E126:E149" si="8">F3</f>
        <v>1850</v>
      </c>
    </row>
    <row r="127" spans="2:5" x14ac:dyDescent="0.35">
      <c r="D127" s="29" t="str">
        <f t="shared" si="7"/>
        <v>Nursing Personnel</v>
      </c>
      <c r="E127">
        <f t="shared" si="8"/>
        <v>15290</v>
      </c>
    </row>
    <row r="128" spans="2:5" x14ac:dyDescent="0.35">
      <c r="D128" s="29" t="str">
        <f t="shared" si="7"/>
        <v>Midwifery personnel</v>
      </c>
      <c r="E128">
        <f t="shared" si="8"/>
        <v>0</v>
      </c>
    </row>
    <row r="129" spans="4:5" x14ac:dyDescent="0.35">
      <c r="D129" s="29" t="str">
        <f t="shared" si="7"/>
        <v>Pharmacists</v>
      </c>
      <c r="E129">
        <f t="shared" si="8"/>
        <v>0</v>
      </c>
    </row>
    <row r="130" spans="4:5" x14ac:dyDescent="0.35">
      <c r="D130" s="29" t="str">
        <f t="shared" si="7"/>
        <v>Dentists</v>
      </c>
      <c r="E130">
        <f t="shared" si="8"/>
        <v>33</v>
      </c>
    </row>
    <row r="131" spans="4:5" x14ac:dyDescent="0.35">
      <c r="D131" s="29" t="str">
        <f t="shared" si="7"/>
        <v xml:space="preserve">Community Health Workers </v>
      </c>
      <c r="E131">
        <f t="shared" si="8"/>
        <v>0</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0</v>
      </c>
    </row>
    <row r="134" spans="4:5" x14ac:dyDescent="0.35">
      <c r="D134" s="29" t="str">
        <f t="shared" si="7"/>
        <v>Personal care workers in health service</v>
      </c>
      <c r="E134">
        <f t="shared" si="8"/>
        <v>1563</v>
      </c>
    </row>
    <row r="135" spans="4:5" x14ac:dyDescent="0.35">
      <c r="D135" s="29" t="str">
        <f t="shared" si="7"/>
        <v xml:space="preserve">Managerial staff </v>
      </c>
      <c r="E135">
        <f t="shared" si="8"/>
        <v>156</v>
      </c>
    </row>
    <row r="136" spans="4:5" x14ac:dyDescent="0.35">
      <c r="D136" s="29" t="str">
        <f t="shared" si="7"/>
        <v xml:space="preserve">Medical and dental Prosthetic Technicians </v>
      </c>
      <c r="E136">
        <f t="shared" si="8"/>
        <v>27</v>
      </c>
    </row>
    <row r="137" spans="4:5" x14ac:dyDescent="0.35">
      <c r="D137" s="29" t="str">
        <f t="shared" si="7"/>
        <v xml:space="preserve">Medical and Pathology Laboratory scientists </v>
      </c>
      <c r="E137">
        <f t="shared" si="8"/>
        <v>160</v>
      </c>
    </row>
    <row r="138" spans="4:5" x14ac:dyDescent="0.35">
      <c r="D138" s="29" t="str">
        <f t="shared" si="7"/>
        <v xml:space="preserve">Medical Assistants </v>
      </c>
      <c r="E138">
        <f t="shared" si="8"/>
        <v>63</v>
      </c>
    </row>
    <row r="139" spans="4:5" x14ac:dyDescent="0.35">
      <c r="D139" s="29" t="str">
        <f t="shared" si="7"/>
        <v xml:space="preserve">Medical Imaging and Therapeutic Equipment Technicians </v>
      </c>
      <c r="E139">
        <f t="shared" si="8"/>
        <v>134</v>
      </c>
    </row>
    <row r="140" spans="4:5" x14ac:dyDescent="0.35">
      <c r="D140" s="29" t="str">
        <f t="shared" si="7"/>
        <v xml:space="preserve">Medical Records and Health Information Technicians </v>
      </c>
      <c r="E140">
        <f t="shared" si="8"/>
        <v>73</v>
      </c>
    </row>
    <row r="141" spans="4:5" x14ac:dyDescent="0.35">
      <c r="D141" s="29" t="str">
        <f t="shared" si="7"/>
        <v xml:space="preserve">Optometrists and Ophthalmic Opticians </v>
      </c>
      <c r="E141">
        <f t="shared" si="8"/>
        <v>5</v>
      </c>
    </row>
    <row r="142" spans="4:5" x14ac:dyDescent="0.35">
      <c r="D142" s="29" t="str">
        <f t="shared" si="7"/>
        <v xml:space="preserve">Other non-medical professional staff </v>
      </c>
      <c r="E142">
        <f t="shared" si="8"/>
        <v>1248</v>
      </c>
    </row>
    <row r="143" spans="4:5" x14ac:dyDescent="0.35">
      <c r="D143" s="29" t="str">
        <f t="shared" si="7"/>
        <v xml:space="preserve">Other non-medical support staff </v>
      </c>
      <c r="E143">
        <f t="shared" si="8"/>
        <v>3342</v>
      </c>
    </row>
    <row r="144" spans="4:5" x14ac:dyDescent="0.35">
      <c r="D144" s="29" t="str">
        <f t="shared" si="7"/>
        <v xml:space="preserve">Medical and Pathology Laboratory Technicians </v>
      </c>
      <c r="E144">
        <f t="shared" si="8"/>
        <v>318</v>
      </c>
    </row>
    <row r="145" spans="2:5" x14ac:dyDescent="0.35">
      <c r="D145" s="29" t="str">
        <f t="shared" si="7"/>
        <v xml:space="preserve">Paramedical Practitioners </v>
      </c>
      <c r="E145">
        <f t="shared" si="8"/>
        <v>10</v>
      </c>
    </row>
    <row r="146" spans="2:5" x14ac:dyDescent="0.35">
      <c r="D146" s="29" t="str">
        <f t="shared" si="7"/>
        <v>Physiotherapists and physiotherapy assistants</v>
      </c>
      <c r="E146">
        <f t="shared" si="8"/>
        <v>42</v>
      </c>
    </row>
    <row r="147" spans="2:5" x14ac:dyDescent="0.35">
      <c r="D147" s="29" t="str">
        <f t="shared" si="7"/>
        <v>Social workers</v>
      </c>
      <c r="E147">
        <f t="shared" si="8"/>
        <v>0</v>
      </c>
    </row>
    <row r="148" spans="2:5" x14ac:dyDescent="0.35">
      <c r="D148" s="29" t="str">
        <f t="shared" si="7"/>
        <v xml:space="preserve">Audiologists and Speech Therapists </v>
      </c>
      <c r="E148">
        <f t="shared" si="8"/>
        <v>9</v>
      </c>
    </row>
    <row r="149" spans="2:5" x14ac:dyDescent="0.35">
      <c r="D149" s="29" t="str">
        <f t="shared" si="7"/>
        <v>Traditional and complementary medicine practitioners</v>
      </c>
      <c r="E149">
        <f t="shared" si="8"/>
        <v>0</v>
      </c>
    </row>
    <row r="150" spans="2:5" x14ac:dyDescent="0.35">
      <c r="B150" t="str">
        <f>G1</f>
        <v>CAF</v>
      </c>
      <c r="C150">
        <f>G2</f>
        <v>5094779.9999999991</v>
      </c>
      <c r="D150" s="30" t="str">
        <f t="shared" si="7"/>
        <v>Medical Doctors</v>
      </c>
      <c r="E150">
        <f t="shared" ref="E150:E173" si="9">G3</f>
        <v>670</v>
      </c>
    </row>
    <row r="151" spans="2:5" x14ac:dyDescent="0.35">
      <c r="D151" s="30" t="str">
        <f t="shared" si="7"/>
        <v>Nursing Personnel</v>
      </c>
      <c r="E151">
        <f t="shared" si="9"/>
        <v>2390</v>
      </c>
    </row>
    <row r="152" spans="2:5" x14ac:dyDescent="0.35">
      <c r="D152" s="30" t="str">
        <f t="shared" si="7"/>
        <v>Midwifery personnel</v>
      </c>
      <c r="E152">
        <f t="shared" si="9"/>
        <v>0</v>
      </c>
    </row>
    <row r="153" spans="2:5" x14ac:dyDescent="0.35">
      <c r="D153" s="30" t="str">
        <f t="shared" si="7"/>
        <v>Pharmacists</v>
      </c>
      <c r="E153">
        <f t="shared" si="9"/>
        <v>483</v>
      </c>
    </row>
    <row r="154" spans="2:5" x14ac:dyDescent="0.35">
      <c r="D154" s="30" t="str">
        <f t="shared" si="7"/>
        <v>Dentists</v>
      </c>
      <c r="E154">
        <f t="shared" si="9"/>
        <v>21</v>
      </c>
    </row>
    <row r="155" spans="2:5" x14ac:dyDescent="0.35">
      <c r="D155" s="30" t="str">
        <f t="shared" si="7"/>
        <v xml:space="preserve">Community Health Workers </v>
      </c>
      <c r="E155">
        <f t="shared" si="9"/>
        <v>115</v>
      </c>
    </row>
    <row r="156" spans="2:5" x14ac:dyDescent="0.35">
      <c r="D156" s="30" t="str">
        <f t="shared" si="7"/>
        <v>Dieticians and nutritionists</v>
      </c>
      <c r="E156">
        <f t="shared" si="9"/>
        <v>77</v>
      </c>
    </row>
    <row r="157" spans="2:5" x14ac:dyDescent="0.35">
      <c r="D157" s="30" t="str">
        <f t="shared" si="7"/>
        <v>Environmental and occupational health &amp; hygiene workers</v>
      </c>
      <c r="E157">
        <f t="shared" si="9"/>
        <v>0</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1</v>
      </c>
    </row>
    <row r="161" spans="2:5" x14ac:dyDescent="0.35">
      <c r="D161" s="30" t="str">
        <f t="shared" si="7"/>
        <v xml:space="preserve">Medical and Pathology Laboratory scientists </v>
      </c>
      <c r="E161">
        <f t="shared" si="9"/>
        <v>112</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25493988.499999996</v>
      </c>
      <c r="D174" s="31" t="str">
        <f t="shared" si="7"/>
        <v>Medical Doctors</v>
      </c>
      <c r="E174">
        <f t="shared" ref="E174:E197" si="10">H3</f>
        <v>11204</v>
      </c>
    </row>
    <row r="175" spans="2:5" x14ac:dyDescent="0.35">
      <c r="D175" s="30" t="str">
        <f t="shared" si="7"/>
        <v>Nursing Personnel</v>
      </c>
      <c r="E175">
        <f t="shared" si="10"/>
        <v>30326</v>
      </c>
    </row>
    <row r="176" spans="2:5" x14ac:dyDescent="0.35">
      <c r="D176" s="30" t="str">
        <f t="shared" si="7"/>
        <v>Midwifery personnel</v>
      </c>
      <c r="E176">
        <f t="shared" si="10"/>
        <v>0</v>
      </c>
    </row>
    <row r="177" spans="4:5" x14ac:dyDescent="0.35">
      <c r="D177" s="30" t="str">
        <f t="shared" si="7"/>
        <v>Pharmacists</v>
      </c>
      <c r="E177">
        <f t="shared" si="10"/>
        <v>2646</v>
      </c>
    </row>
    <row r="178" spans="4:5" x14ac:dyDescent="0.35">
      <c r="D178" s="30" t="str">
        <f t="shared" si="7"/>
        <v>Dentists</v>
      </c>
      <c r="E178">
        <f t="shared" si="10"/>
        <v>593</v>
      </c>
    </row>
    <row r="179" spans="4:5" x14ac:dyDescent="0.35">
      <c r="D179" s="30" t="str">
        <f t="shared" si="7"/>
        <v xml:space="preserve">Community Health Workers </v>
      </c>
      <c r="E179">
        <f t="shared" si="10"/>
        <v>14556</v>
      </c>
    </row>
    <row r="180" spans="4:5" x14ac:dyDescent="0.35">
      <c r="D180" s="30" t="str">
        <f t="shared" si="7"/>
        <v>Dieticians and nutritionists</v>
      </c>
      <c r="E180">
        <f t="shared" si="10"/>
        <v>745</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0</v>
      </c>
    </row>
    <row r="194" spans="2:5" x14ac:dyDescent="0.35">
      <c r="D194" s="30" t="str">
        <f t="shared" si="11"/>
        <v>Physiotherapists and physiotherapy assistants</v>
      </c>
      <c r="E194">
        <f t="shared" si="10"/>
        <v>0</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25076746.500000015</v>
      </c>
      <c r="D198" s="30" t="str">
        <f t="shared" si="11"/>
        <v>Medical Doctors</v>
      </c>
      <c r="E198">
        <f t="shared" ref="E198:E221" si="12">I3</f>
        <v>6518</v>
      </c>
    </row>
    <row r="199" spans="2:5" x14ac:dyDescent="0.35">
      <c r="D199" s="30" t="str">
        <f t="shared" si="11"/>
        <v>Nursing Personnel</v>
      </c>
      <c r="E199">
        <f t="shared" si="12"/>
        <v>18312</v>
      </c>
    </row>
    <row r="200" spans="2:5" x14ac:dyDescent="0.35">
      <c r="D200" s="30" t="str">
        <f t="shared" si="11"/>
        <v>Midwifery personnel</v>
      </c>
      <c r="E200">
        <f t="shared" si="12"/>
        <v>0</v>
      </c>
    </row>
    <row r="201" spans="2:5" x14ac:dyDescent="0.35">
      <c r="D201" s="30" t="str">
        <f t="shared" si="11"/>
        <v>Pharmacists</v>
      </c>
      <c r="E201">
        <f t="shared" si="12"/>
        <v>30461</v>
      </c>
    </row>
    <row r="202" spans="2:5" x14ac:dyDescent="0.35">
      <c r="D202" s="30" t="str">
        <f t="shared" si="11"/>
        <v>Dentists</v>
      </c>
      <c r="E202">
        <f t="shared" si="12"/>
        <v>23627</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0</v>
      </c>
    </row>
    <row r="208" spans="2:5" x14ac:dyDescent="0.35">
      <c r="D208" s="30" t="str">
        <f t="shared" si="11"/>
        <v xml:space="preserve">Medical and dental Prosthetic Technicians </v>
      </c>
      <c r="E208">
        <f t="shared" si="12"/>
        <v>0</v>
      </c>
    </row>
    <row r="209" spans="2:5" x14ac:dyDescent="0.35">
      <c r="D209" s="30" t="str">
        <f t="shared" si="11"/>
        <v xml:space="preserve">Medical and Pathology Laboratory scientists </v>
      </c>
      <c r="E209">
        <f t="shared" si="12"/>
        <v>241</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0</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0</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0</v>
      </c>
    </row>
    <row r="219" spans="2:5" x14ac:dyDescent="0.35">
      <c r="D219" s="30" t="str">
        <f t="shared" si="11"/>
        <v>Social workers</v>
      </c>
      <c r="E219">
        <f t="shared" si="12"/>
        <v>0</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87087354.999999985</v>
      </c>
      <c r="D222" s="29" t="str">
        <f t="shared" si="11"/>
        <v>Medical Doctors</v>
      </c>
      <c r="E222">
        <f t="shared" ref="E222:E245" si="13">J3</f>
        <v>0</v>
      </c>
    </row>
    <row r="223" spans="2:5" x14ac:dyDescent="0.35">
      <c r="D223" s="30" t="str">
        <f t="shared" si="11"/>
        <v>Nursing Personnel</v>
      </c>
      <c r="E223">
        <f t="shared" si="13"/>
        <v>186652</v>
      </c>
    </row>
    <row r="224" spans="2:5" x14ac:dyDescent="0.35">
      <c r="D224" s="30" t="str">
        <f t="shared" si="11"/>
        <v>Midwifery personnel</v>
      </c>
      <c r="E224">
        <f t="shared" si="13"/>
        <v>0</v>
      </c>
    </row>
    <row r="225" spans="4:5" x14ac:dyDescent="0.35">
      <c r="D225" s="30" t="str">
        <f t="shared" si="11"/>
        <v>Pharmacists</v>
      </c>
      <c r="E225">
        <f t="shared" si="13"/>
        <v>47</v>
      </c>
    </row>
    <row r="226" spans="4:5" x14ac:dyDescent="0.35">
      <c r="D226" s="30" t="str">
        <f t="shared" si="11"/>
        <v>Dentists</v>
      </c>
      <c r="E226">
        <f t="shared" si="13"/>
        <v>24</v>
      </c>
    </row>
    <row r="227" spans="4:5" x14ac:dyDescent="0.35">
      <c r="D227" s="30" t="str">
        <f t="shared" si="11"/>
        <v xml:space="preserve">Community Health Workers </v>
      </c>
      <c r="E227">
        <f t="shared" si="13"/>
        <v>0</v>
      </c>
    </row>
    <row r="228" spans="4:5" x14ac:dyDescent="0.35">
      <c r="D228" s="30" t="str">
        <f t="shared" si="11"/>
        <v>Dieticians and nutritionists</v>
      </c>
      <c r="E228">
        <f t="shared" si="13"/>
        <v>119</v>
      </c>
    </row>
    <row r="229" spans="4:5" x14ac:dyDescent="0.35">
      <c r="D229" s="30" t="str">
        <f t="shared" si="11"/>
        <v>Environmental and occupational health &amp; hygiene workers</v>
      </c>
      <c r="E229">
        <f t="shared" si="13"/>
        <v>136</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0</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2934</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0</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0</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0</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5441061.9999999972</v>
      </c>
      <c r="D246" s="29" t="str">
        <f t="shared" ref="D246:D309" si="14">D222</f>
        <v>Medical Doctors</v>
      </c>
      <c r="E246">
        <f t="shared" ref="E246:E269" si="15">K3</f>
        <v>1088</v>
      </c>
    </row>
    <row r="247" spans="2:5" x14ac:dyDescent="0.35">
      <c r="D247" s="30" t="str">
        <f t="shared" si="14"/>
        <v>Nursing Personnel</v>
      </c>
      <c r="E247">
        <f t="shared" si="15"/>
        <v>10162</v>
      </c>
    </row>
    <row r="248" spans="2:5" x14ac:dyDescent="0.35">
      <c r="D248" s="30" t="str">
        <f t="shared" si="14"/>
        <v>Midwifery personnel</v>
      </c>
      <c r="E248">
        <f t="shared" si="15"/>
        <v>0</v>
      </c>
    </row>
    <row r="249" spans="2:5" x14ac:dyDescent="0.35">
      <c r="D249" s="30" t="str">
        <f t="shared" si="14"/>
        <v>Pharmacists</v>
      </c>
      <c r="E249">
        <f t="shared" si="15"/>
        <v>0</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320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776313.5000000007</v>
      </c>
      <c r="D270" s="29" t="str">
        <f t="shared" si="14"/>
        <v>Medical Doctors</v>
      </c>
      <c r="E270">
        <f t="shared" ref="E270:E293" si="16">L3</f>
        <v>440</v>
      </c>
    </row>
    <row r="271" spans="2:5" x14ac:dyDescent="0.35">
      <c r="D271" s="30" t="str">
        <f t="shared" si="14"/>
        <v>Nursing Personnel</v>
      </c>
      <c r="E271">
        <f t="shared" si="16"/>
        <v>1358</v>
      </c>
    </row>
    <row r="272" spans="2:5" x14ac:dyDescent="0.35">
      <c r="D272" s="30" t="str">
        <f t="shared" si="14"/>
        <v>Midwifery personnel</v>
      </c>
      <c r="E272">
        <f t="shared" si="16"/>
        <v>968</v>
      </c>
    </row>
    <row r="273" spans="4:5" x14ac:dyDescent="0.35">
      <c r="D273" s="30" t="str">
        <f t="shared" si="14"/>
        <v>Pharmacists</v>
      </c>
      <c r="E273">
        <f t="shared" si="16"/>
        <v>0</v>
      </c>
    </row>
    <row r="274" spans="4:5" x14ac:dyDescent="0.35">
      <c r="D274" s="30" t="str">
        <f t="shared" si="14"/>
        <v>Dentists</v>
      </c>
      <c r="E274">
        <f t="shared" si="16"/>
        <v>0</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8</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571201.5</v>
      </c>
      <c r="D294" s="29" t="str">
        <f t="shared" si="14"/>
        <v>Medical Doctors</v>
      </c>
      <c r="E294">
        <f t="shared" ref="E294:E317" si="17">M3</f>
        <v>916</v>
      </c>
    </row>
    <row r="295" spans="2:5" x14ac:dyDescent="0.35">
      <c r="D295" s="30" t="str">
        <f t="shared" si="14"/>
        <v>Nursing Personnel</v>
      </c>
      <c r="E295">
        <f t="shared" si="17"/>
        <v>1412</v>
      </c>
    </row>
    <row r="296" spans="2:5" x14ac:dyDescent="0.35">
      <c r="D296" s="30" t="str">
        <f t="shared" si="14"/>
        <v>Midwifery personnel</v>
      </c>
      <c r="E296">
        <f t="shared" si="17"/>
        <v>0</v>
      </c>
    </row>
    <row r="297" spans="2:5" x14ac:dyDescent="0.35">
      <c r="D297" s="30" t="str">
        <f t="shared" si="14"/>
        <v>Pharmacists</v>
      </c>
      <c r="E297">
        <f t="shared" si="17"/>
        <v>2168</v>
      </c>
    </row>
    <row r="298" spans="2:5" x14ac:dyDescent="0.35">
      <c r="D298" s="30" t="str">
        <f t="shared" si="14"/>
        <v>Dentists</v>
      </c>
      <c r="E298">
        <f t="shared" si="17"/>
        <v>570</v>
      </c>
    </row>
    <row r="299" spans="2:5" x14ac:dyDescent="0.35">
      <c r="D299" s="30" t="str">
        <f t="shared" si="14"/>
        <v xml:space="preserve">Community Health Workers </v>
      </c>
      <c r="E299">
        <f t="shared" si="17"/>
        <v>117</v>
      </c>
    </row>
    <row r="300" spans="2:5" x14ac:dyDescent="0.35">
      <c r="D300" s="30" t="str">
        <f t="shared" si="14"/>
        <v>Dieticians and nutritionists</v>
      </c>
      <c r="E300">
        <f t="shared" si="17"/>
        <v>0</v>
      </c>
    </row>
    <row r="301" spans="2:5" x14ac:dyDescent="0.35">
      <c r="D301" s="30" t="str">
        <f t="shared" si="14"/>
        <v>Environmental and occupational health &amp; hygiene workers</v>
      </c>
      <c r="E301">
        <f t="shared" si="17"/>
        <v>3207</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65</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41927007.000000007</v>
      </c>
      <c r="D318" s="29" t="str">
        <f t="shared" si="18"/>
        <v>Medical Doctors</v>
      </c>
      <c r="E318">
        <f t="shared" ref="E318:E341" si="19">N3</f>
        <v>185038</v>
      </c>
    </row>
    <row r="319" spans="2:5" x14ac:dyDescent="0.35">
      <c r="D319" s="30" t="str">
        <f t="shared" si="18"/>
        <v>Nursing Personnel</v>
      </c>
      <c r="E319">
        <f t="shared" si="19"/>
        <v>112822</v>
      </c>
    </row>
    <row r="320" spans="2:5" x14ac:dyDescent="0.35">
      <c r="D320" s="30" t="str">
        <f t="shared" si="18"/>
        <v>Midwifery personnel</v>
      </c>
      <c r="E320">
        <f t="shared" si="19"/>
        <v>17896</v>
      </c>
    </row>
    <row r="321" spans="4:5" x14ac:dyDescent="0.35">
      <c r="D321" s="30" t="str">
        <f t="shared" si="18"/>
        <v>Pharmacists</v>
      </c>
      <c r="E321">
        <f t="shared" si="19"/>
        <v>0</v>
      </c>
    </row>
    <row r="322" spans="4:5" x14ac:dyDescent="0.35">
      <c r="D322" s="30" t="str">
        <f t="shared" si="18"/>
        <v>Dentists</v>
      </c>
      <c r="E322">
        <f t="shared" si="19"/>
        <v>0</v>
      </c>
    </row>
    <row r="323" spans="4:5" x14ac:dyDescent="0.35">
      <c r="D323" s="30" t="str">
        <f t="shared" si="18"/>
        <v xml:space="preserve">Community Health Workers </v>
      </c>
      <c r="E323">
        <f t="shared" si="19"/>
        <v>0</v>
      </c>
    </row>
    <row r="324" spans="4:5" x14ac:dyDescent="0.35">
      <c r="D324" s="30" t="str">
        <f t="shared" si="18"/>
        <v>Dieticians and nutritionists</v>
      </c>
      <c r="E324">
        <f t="shared" si="19"/>
        <v>0</v>
      </c>
    </row>
    <row r="325" spans="4:5" x14ac:dyDescent="0.35">
      <c r="D325" s="30" t="str">
        <f t="shared" si="18"/>
        <v>Environmental and occupational health &amp; hygiene workers</v>
      </c>
      <c r="E325">
        <f t="shared" si="19"/>
        <v>0</v>
      </c>
    </row>
    <row r="326" spans="4:5" x14ac:dyDescent="0.35">
      <c r="D326" s="30" t="str">
        <f t="shared" si="18"/>
        <v>Personal care workers in health service</v>
      </c>
      <c r="E326">
        <f t="shared" si="19"/>
        <v>42507</v>
      </c>
    </row>
    <row r="327" spans="4:5" x14ac:dyDescent="0.35">
      <c r="D327" s="30" t="str">
        <f t="shared" si="18"/>
        <v xml:space="preserve">Managerial staff </v>
      </c>
      <c r="E327">
        <f t="shared" si="19"/>
        <v>900</v>
      </c>
    </row>
    <row r="328" spans="4:5" x14ac:dyDescent="0.35">
      <c r="D328" s="30" t="str">
        <f t="shared" si="18"/>
        <v xml:space="preserve">Medical and dental Prosthetic Technicians </v>
      </c>
      <c r="E328">
        <f t="shared" si="19"/>
        <v>836</v>
      </c>
    </row>
    <row r="329" spans="4:5" x14ac:dyDescent="0.35">
      <c r="D329" s="30" t="str">
        <f t="shared" si="18"/>
        <v xml:space="preserve">Medical and Pathology Laboratory scientists </v>
      </c>
      <c r="E329">
        <f t="shared" si="19"/>
        <v>136</v>
      </c>
    </row>
    <row r="330" spans="4:5" x14ac:dyDescent="0.35">
      <c r="D330" s="30" t="str">
        <f t="shared" si="18"/>
        <v xml:space="preserve">Medical Assistants </v>
      </c>
      <c r="E330">
        <f t="shared" si="19"/>
        <v>2148</v>
      </c>
    </row>
    <row r="331" spans="4:5" x14ac:dyDescent="0.35">
      <c r="D331" s="30" t="str">
        <f t="shared" si="18"/>
        <v xml:space="preserve">Medical Imaging and Therapeutic Equipment Technicians </v>
      </c>
      <c r="E331">
        <f t="shared" si="19"/>
        <v>6245</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1533</v>
      </c>
    </row>
    <row r="334" spans="4:5" x14ac:dyDescent="0.35">
      <c r="D334" s="30" t="str">
        <f t="shared" si="18"/>
        <v xml:space="preserve">Other non-medical professional staff </v>
      </c>
      <c r="E334">
        <f t="shared" si="19"/>
        <v>6184</v>
      </c>
    </row>
    <row r="335" spans="4:5" x14ac:dyDescent="0.35">
      <c r="D335" s="30" t="str">
        <f t="shared" si="18"/>
        <v xml:space="preserve">Other non-medical support staff </v>
      </c>
      <c r="E335">
        <f t="shared" si="19"/>
        <v>75033</v>
      </c>
    </row>
    <row r="336" spans="4:5" x14ac:dyDescent="0.35">
      <c r="D336" s="30" t="str">
        <f t="shared" si="18"/>
        <v xml:space="preserve">Medical and Pathology Laboratory Technicians </v>
      </c>
      <c r="E336">
        <f t="shared" si="19"/>
        <v>15238</v>
      </c>
    </row>
    <row r="337" spans="2:5" x14ac:dyDescent="0.35">
      <c r="D337" s="30" t="str">
        <f t="shared" si="18"/>
        <v xml:space="preserve">Paramedical Practitioners </v>
      </c>
      <c r="E337">
        <f t="shared" si="19"/>
        <v>365</v>
      </c>
    </row>
    <row r="338" spans="2:5" x14ac:dyDescent="0.35">
      <c r="D338" s="30" t="str">
        <f t="shared" si="18"/>
        <v>Physiotherapists and physiotherapy assistants</v>
      </c>
      <c r="E338">
        <f t="shared" si="19"/>
        <v>1971</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3445374.4999999986</v>
      </c>
      <c r="D342" s="29" t="str">
        <f t="shared" si="18"/>
        <v>Medical Doctors</v>
      </c>
      <c r="E342">
        <f t="shared" ref="E342:E365" si="20">O3</f>
        <v>639</v>
      </c>
    </row>
    <row r="343" spans="2:5" x14ac:dyDescent="0.35">
      <c r="D343" s="30" t="str">
        <f t="shared" si="18"/>
        <v>Nursing Personnel</v>
      </c>
      <c r="E343">
        <f t="shared" si="20"/>
        <v>9942</v>
      </c>
    </row>
    <row r="344" spans="2:5" x14ac:dyDescent="0.35">
      <c r="D344" s="30" t="str">
        <f t="shared" si="18"/>
        <v>Midwifery personnel</v>
      </c>
      <c r="E344">
        <f t="shared" si="20"/>
        <v>0</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243</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549</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111129438.00000001</v>
      </c>
      <c r="D366" s="29" t="str">
        <f t="shared" ref="D366:D429" si="22">D342</f>
        <v>Medical Doctors</v>
      </c>
      <c r="E366">
        <f t="shared" ref="E366:E389" si="23">P3</f>
        <v>17026</v>
      </c>
    </row>
    <row r="367" spans="2:5" x14ac:dyDescent="0.35">
      <c r="D367" s="30" t="str">
        <f t="shared" si="22"/>
        <v>Nursing Personnel</v>
      </c>
      <c r="E367">
        <f t="shared" si="23"/>
        <v>123544</v>
      </c>
    </row>
    <row r="368" spans="2:5" x14ac:dyDescent="0.35">
      <c r="D368" s="30" t="str">
        <f t="shared" si="22"/>
        <v>Midwifery personnel</v>
      </c>
      <c r="E368">
        <f t="shared" si="23"/>
        <v>32318</v>
      </c>
    </row>
    <row r="369" spans="4:5" x14ac:dyDescent="0.35">
      <c r="D369" s="30" t="str">
        <f t="shared" si="22"/>
        <v>Pharmacists</v>
      </c>
      <c r="E369">
        <f t="shared" si="23"/>
        <v>995</v>
      </c>
    </row>
    <row r="370" spans="4:5" x14ac:dyDescent="0.35">
      <c r="D370" s="30" t="str">
        <f t="shared" si="22"/>
        <v>Dentists</v>
      </c>
      <c r="E370">
        <f t="shared" si="23"/>
        <v>268</v>
      </c>
    </row>
    <row r="371" spans="4:5" x14ac:dyDescent="0.35">
      <c r="D371" s="30" t="str">
        <f t="shared" si="22"/>
        <v xml:space="preserve">Community Health Workers </v>
      </c>
      <c r="E371">
        <f t="shared" si="23"/>
        <v>37259</v>
      </c>
    </row>
    <row r="372" spans="4:5" x14ac:dyDescent="0.35">
      <c r="D372" s="30" t="str">
        <f t="shared" si="22"/>
        <v>Dieticians and nutritionists</v>
      </c>
      <c r="E372">
        <f t="shared" si="23"/>
        <v>1385</v>
      </c>
    </row>
    <row r="373" spans="4:5" x14ac:dyDescent="0.35">
      <c r="D373" s="30" t="str">
        <f t="shared" si="22"/>
        <v>Environmental and occupational health &amp; hygiene workers</v>
      </c>
      <c r="E373">
        <f t="shared" si="23"/>
        <v>665</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0</v>
      </c>
    </row>
    <row r="377" spans="4:5" x14ac:dyDescent="0.35">
      <c r="D377" s="30" t="str">
        <f t="shared" si="22"/>
        <v xml:space="preserve">Medical and Pathology Laboratory scientists </v>
      </c>
      <c r="E377">
        <f t="shared" si="23"/>
        <v>10450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0</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2192011.5</v>
      </c>
      <c r="D390" s="29" t="str">
        <f t="shared" si="22"/>
        <v>Medical Doctors</v>
      </c>
      <c r="E390">
        <f t="shared" ref="E390:E413" si="24">Q3</f>
        <v>2736</v>
      </c>
    </row>
    <row r="391" spans="2:5" x14ac:dyDescent="0.35">
      <c r="D391" s="30" t="str">
        <f t="shared" si="22"/>
        <v>Nursing Personnel</v>
      </c>
      <c r="E391">
        <f t="shared" si="24"/>
        <v>12170</v>
      </c>
    </row>
    <row r="392" spans="2:5" x14ac:dyDescent="0.35">
      <c r="D392" s="30" t="str">
        <f t="shared" si="22"/>
        <v>Midwifery personnel</v>
      </c>
      <c r="E392">
        <f t="shared" si="24"/>
        <v>0</v>
      </c>
    </row>
    <row r="393" spans="2:5" x14ac:dyDescent="0.35">
      <c r="D393" s="30" t="str">
        <f t="shared" si="22"/>
        <v>Pharmacists</v>
      </c>
      <c r="E393">
        <f t="shared" si="24"/>
        <v>596</v>
      </c>
    </row>
    <row r="394" spans="2:5" x14ac:dyDescent="0.35">
      <c r="D394" s="30" t="str">
        <f t="shared" si="22"/>
        <v>Dentists</v>
      </c>
      <c r="E394">
        <f t="shared" si="24"/>
        <v>6</v>
      </c>
    </row>
    <row r="395" spans="2:5" x14ac:dyDescent="0.35">
      <c r="D395" s="30" t="str">
        <f t="shared" si="22"/>
        <v xml:space="preserve">Community Health Workers </v>
      </c>
      <c r="E395">
        <f t="shared" si="24"/>
        <v>0</v>
      </c>
    </row>
    <row r="396" spans="2:5" x14ac:dyDescent="0.35">
      <c r="D396" s="30" t="str">
        <f t="shared" si="22"/>
        <v>Dieticians and nutritionists</v>
      </c>
      <c r="E396">
        <f t="shared" si="24"/>
        <v>0</v>
      </c>
    </row>
    <row r="397" spans="2:5" x14ac:dyDescent="0.35">
      <c r="D397" s="30" t="str">
        <f t="shared" si="22"/>
        <v>Environmental and occupational health &amp; hygiene workers</v>
      </c>
      <c r="E397">
        <f t="shared" si="24"/>
        <v>0</v>
      </c>
    </row>
    <row r="398" spans="2:5" x14ac:dyDescent="0.35">
      <c r="D398" s="30" t="str">
        <f t="shared" si="22"/>
        <v>Personal care workers in health service</v>
      </c>
      <c r="E398">
        <f t="shared" si="24"/>
        <v>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0</v>
      </c>
    </row>
    <row r="401" spans="2:5" x14ac:dyDescent="0.35">
      <c r="D401" s="30" t="str">
        <f t="shared" si="22"/>
        <v xml:space="preserve">Medical and Pathology Laboratory scientists </v>
      </c>
      <c r="E401">
        <f t="shared" si="24"/>
        <v>439</v>
      </c>
    </row>
    <row r="402" spans="2:5" x14ac:dyDescent="0.35">
      <c r="D402" s="30" t="str">
        <f t="shared" si="22"/>
        <v xml:space="preserve">Medical Assistants </v>
      </c>
      <c r="E402">
        <f t="shared" si="24"/>
        <v>0</v>
      </c>
    </row>
    <row r="403" spans="2:5" x14ac:dyDescent="0.35">
      <c r="D403" s="30" t="str">
        <f t="shared" si="22"/>
        <v xml:space="preserve">Medical Imaging and Therapeutic Equipment Technicians </v>
      </c>
      <c r="E403">
        <f t="shared" si="24"/>
        <v>0</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0</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0</v>
      </c>
    </row>
    <row r="409" spans="2:5" x14ac:dyDescent="0.35">
      <c r="D409" s="30" t="str">
        <f t="shared" si="22"/>
        <v xml:space="preserve">Paramedical Practitioners </v>
      </c>
      <c r="E409">
        <f t="shared" si="24"/>
        <v>0</v>
      </c>
    </row>
    <row r="410" spans="2:5" x14ac:dyDescent="0.35">
      <c r="D410" s="30" t="str">
        <f t="shared" si="22"/>
        <v>Physiotherapists and physiotherapy assistants</v>
      </c>
      <c r="E410">
        <f t="shared" si="24"/>
        <v>0</v>
      </c>
    </row>
    <row r="411" spans="2:5" x14ac:dyDescent="0.35">
      <c r="D411" s="30" t="str">
        <f t="shared" si="22"/>
        <v>Social workers</v>
      </c>
      <c r="E411">
        <f t="shared" si="24"/>
        <v>0</v>
      </c>
    </row>
    <row r="412" spans="2:5" x14ac:dyDescent="0.35">
      <c r="D412" s="30" t="str">
        <f t="shared" si="22"/>
        <v xml:space="preserve">Audiologists and Speech Therapists </v>
      </c>
      <c r="E412">
        <f t="shared" si="24"/>
        <v>0</v>
      </c>
    </row>
    <row r="413" spans="2:5" x14ac:dyDescent="0.35">
      <c r="D413" s="30" t="str">
        <f t="shared" si="22"/>
        <v>Traditional and complementary medicine practitioners</v>
      </c>
      <c r="E413">
        <f t="shared" si="24"/>
        <v>0</v>
      </c>
    </row>
    <row r="414" spans="2:5" x14ac:dyDescent="0.35">
      <c r="B414" t="str">
        <f>R1</f>
        <v>GHA</v>
      </c>
      <c r="C414">
        <f>R2</f>
        <v>30870640.5</v>
      </c>
      <c r="D414" s="29" t="str">
        <f t="shared" si="22"/>
        <v>Medical Doctors</v>
      </c>
      <c r="E414">
        <f t="shared" ref="E414:E437" si="25">R3</f>
        <v>8812</v>
      </c>
    </row>
    <row r="415" spans="2:5" x14ac:dyDescent="0.35">
      <c r="D415" s="30" t="str">
        <f t="shared" si="22"/>
        <v>Nursing Personnel</v>
      </c>
      <c r="E415">
        <f t="shared" si="25"/>
        <v>250048</v>
      </c>
    </row>
    <row r="416" spans="2:5" x14ac:dyDescent="0.35">
      <c r="D416" s="30" t="str">
        <f t="shared" si="22"/>
        <v>Midwifery personnel</v>
      </c>
      <c r="E416">
        <f t="shared" si="25"/>
        <v>20978</v>
      </c>
    </row>
    <row r="417" spans="4:5" x14ac:dyDescent="0.35">
      <c r="D417" s="30" t="str">
        <f t="shared" si="22"/>
        <v>Pharmacists</v>
      </c>
      <c r="E417">
        <f t="shared" si="25"/>
        <v>0</v>
      </c>
    </row>
    <row r="418" spans="4:5" x14ac:dyDescent="0.35">
      <c r="D418" s="30" t="str">
        <f t="shared" si="22"/>
        <v>Dentists</v>
      </c>
      <c r="E418">
        <f t="shared" si="25"/>
        <v>0</v>
      </c>
    </row>
    <row r="419" spans="4:5" x14ac:dyDescent="0.35">
      <c r="D419" s="30" t="str">
        <f t="shared" si="22"/>
        <v xml:space="preserve">Community Health Workers </v>
      </c>
      <c r="E419">
        <f t="shared" si="25"/>
        <v>15820</v>
      </c>
    </row>
    <row r="420" spans="4:5" x14ac:dyDescent="0.35">
      <c r="D420" s="30" t="str">
        <f t="shared" si="22"/>
        <v>Dieticians and nutritionists</v>
      </c>
      <c r="E420">
        <f t="shared" si="25"/>
        <v>0</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1563</v>
      </c>
    </row>
    <row r="426" spans="4:5" x14ac:dyDescent="0.35">
      <c r="D426" s="30" t="str">
        <f t="shared" si="22"/>
        <v xml:space="preserve">Medical Assistants </v>
      </c>
      <c r="E426">
        <f t="shared" si="25"/>
        <v>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0</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0</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0</v>
      </c>
    </row>
    <row r="435" spans="2:5" x14ac:dyDescent="0.35">
      <c r="D435" s="30" t="str">
        <f t="shared" si="26"/>
        <v>Social workers</v>
      </c>
      <c r="E435">
        <f t="shared" si="25"/>
        <v>0</v>
      </c>
    </row>
    <row r="436" spans="2:5" x14ac:dyDescent="0.35">
      <c r="D436" s="30" t="str">
        <f t="shared" si="26"/>
        <v xml:space="preserve">Audiologists and Speech Therapists </v>
      </c>
      <c r="E436">
        <f t="shared" si="25"/>
        <v>0</v>
      </c>
    </row>
    <row r="437" spans="2:5" x14ac:dyDescent="0.35">
      <c r="D437" s="30" t="str">
        <f t="shared" si="26"/>
        <v>Traditional and complementary medicine practitioners</v>
      </c>
      <c r="E437">
        <f t="shared" si="25"/>
        <v>0</v>
      </c>
    </row>
    <row r="438" spans="2:5" x14ac:dyDescent="0.35">
      <c r="B438" t="str">
        <f>S1</f>
        <v>GIN</v>
      </c>
      <c r="C438">
        <f>S2</f>
        <v>12554864.499999998</v>
      </c>
      <c r="D438" s="29" t="str">
        <f t="shared" si="26"/>
        <v>Medical Doctors</v>
      </c>
      <c r="E438">
        <f t="shared" ref="E438:E461" si="27">S3</f>
        <v>5574</v>
      </c>
    </row>
    <row r="439" spans="2:5" x14ac:dyDescent="0.35">
      <c r="D439" s="30" t="str">
        <f t="shared" si="26"/>
        <v>Nursing Personnel</v>
      </c>
      <c r="E439">
        <f t="shared" si="27"/>
        <v>14390</v>
      </c>
    </row>
    <row r="440" spans="2:5" x14ac:dyDescent="0.35">
      <c r="D440" s="30" t="str">
        <f t="shared" si="26"/>
        <v>Midwifery personnel</v>
      </c>
      <c r="E440">
        <f t="shared" si="27"/>
        <v>0</v>
      </c>
    </row>
    <row r="441" spans="2:5" x14ac:dyDescent="0.35">
      <c r="D441" s="30" t="str">
        <f t="shared" si="26"/>
        <v>Pharmacists</v>
      </c>
      <c r="E441">
        <f t="shared" si="27"/>
        <v>0</v>
      </c>
    </row>
    <row r="442" spans="2:5" x14ac:dyDescent="0.35">
      <c r="D442" s="30" t="str">
        <f t="shared" si="26"/>
        <v>Dentists</v>
      </c>
      <c r="E442">
        <f t="shared" si="27"/>
        <v>0</v>
      </c>
    </row>
    <row r="443" spans="2:5" x14ac:dyDescent="0.35">
      <c r="D443" s="30" t="str">
        <f t="shared" si="26"/>
        <v xml:space="preserve">Community Health Workers </v>
      </c>
      <c r="E443">
        <f t="shared" si="27"/>
        <v>16567</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181</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2444915.5000000014</v>
      </c>
      <c r="D462" s="29" t="str">
        <f t="shared" si="26"/>
        <v>Medical Doctors</v>
      </c>
      <c r="E462">
        <f t="shared" ref="E462:E485" si="28">T3</f>
        <v>596</v>
      </c>
    </row>
    <row r="463" spans="2:5" x14ac:dyDescent="0.35">
      <c r="D463" s="30" t="str">
        <f t="shared" si="26"/>
        <v>Nursing Personnel</v>
      </c>
      <c r="E463">
        <f t="shared" si="28"/>
        <v>2996</v>
      </c>
    </row>
    <row r="464" spans="2:5" x14ac:dyDescent="0.35">
      <c r="D464" s="30" t="str">
        <f t="shared" si="26"/>
        <v>Midwifery personnel</v>
      </c>
      <c r="E464">
        <f t="shared" si="28"/>
        <v>0</v>
      </c>
    </row>
    <row r="465" spans="4:5" x14ac:dyDescent="0.35">
      <c r="D465" s="30" t="str">
        <f t="shared" si="26"/>
        <v>Pharmacists</v>
      </c>
      <c r="E465">
        <f t="shared" si="28"/>
        <v>157</v>
      </c>
    </row>
    <row r="466" spans="4:5" x14ac:dyDescent="0.35">
      <c r="D466" s="30" t="str">
        <f t="shared" si="26"/>
        <v>Dentists</v>
      </c>
      <c r="E466">
        <f t="shared" si="28"/>
        <v>27</v>
      </c>
    </row>
    <row r="467" spans="4:5" x14ac:dyDescent="0.35">
      <c r="D467" s="30" t="str">
        <f t="shared" si="26"/>
        <v xml:space="preserve">Community Health Workers </v>
      </c>
      <c r="E467">
        <f t="shared" si="28"/>
        <v>1553</v>
      </c>
    </row>
    <row r="468" spans="4:5" x14ac:dyDescent="0.35">
      <c r="D468" s="30" t="str">
        <f t="shared" si="26"/>
        <v>Dieticians and nutritionists</v>
      </c>
      <c r="E468">
        <f t="shared" si="28"/>
        <v>0</v>
      </c>
    </row>
    <row r="469" spans="4:5" x14ac:dyDescent="0.35">
      <c r="D469" s="30" t="str">
        <f t="shared" si="26"/>
        <v>Environmental and occupational health &amp; hygiene workers</v>
      </c>
      <c r="E469">
        <f t="shared" si="28"/>
        <v>0</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0</v>
      </c>
    </row>
    <row r="472" spans="4:5" x14ac:dyDescent="0.35">
      <c r="D472" s="30" t="str">
        <f t="shared" si="26"/>
        <v xml:space="preserve">Medical and dental Prosthetic Technicians </v>
      </c>
      <c r="E472">
        <f t="shared" si="28"/>
        <v>7</v>
      </c>
    </row>
    <row r="473" spans="4:5" x14ac:dyDescent="0.35">
      <c r="D473" s="30" t="str">
        <f t="shared" si="26"/>
        <v xml:space="preserve">Medical and Pathology Laboratory scientists </v>
      </c>
      <c r="E473">
        <f t="shared" si="28"/>
        <v>138</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0</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0</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0</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1924954.4999999988</v>
      </c>
      <c r="D486" s="29" t="str">
        <f t="shared" si="26"/>
        <v>Medical Doctors</v>
      </c>
      <c r="E486">
        <f t="shared" ref="E486:E509" si="29">U3</f>
        <v>1181</v>
      </c>
    </row>
    <row r="487" spans="2:5" x14ac:dyDescent="0.35">
      <c r="D487" s="30" t="str">
        <f t="shared" si="26"/>
        <v>Nursing Personnel</v>
      </c>
      <c r="E487">
        <f t="shared" si="29"/>
        <v>1488</v>
      </c>
    </row>
    <row r="488" spans="2:5" x14ac:dyDescent="0.35">
      <c r="D488" s="30" t="str">
        <f t="shared" si="26"/>
        <v>Midwifery personnel</v>
      </c>
      <c r="E488">
        <f t="shared" si="29"/>
        <v>0</v>
      </c>
    </row>
    <row r="489" spans="2:5" x14ac:dyDescent="0.35">
      <c r="D489" s="30" t="str">
        <f t="shared" si="26"/>
        <v>Pharmacists</v>
      </c>
      <c r="E489">
        <f t="shared" si="29"/>
        <v>0</v>
      </c>
    </row>
    <row r="490" spans="2:5" x14ac:dyDescent="0.35">
      <c r="D490" s="30" t="str">
        <f t="shared" si="26"/>
        <v>Dentists</v>
      </c>
      <c r="E490">
        <f t="shared" si="29"/>
        <v>0</v>
      </c>
    </row>
    <row r="491" spans="2:5" x14ac:dyDescent="0.35">
      <c r="D491" s="30" t="str">
        <f t="shared" si="26"/>
        <v xml:space="preserve">Community Health Workers </v>
      </c>
      <c r="E491">
        <f t="shared" si="29"/>
        <v>3481</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0</v>
      </c>
    </row>
    <row r="497" spans="2:5" x14ac:dyDescent="0.35">
      <c r="D497" s="30" t="str">
        <f t="shared" si="30"/>
        <v xml:space="preserve">Medical and Pathology Laboratory scientists </v>
      </c>
      <c r="E497">
        <f t="shared" si="29"/>
        <v>53</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17</v>
      </c>
    </row>
    <row r="500" spans="2:5" x14ac:dyDescent="0.35">
      <c r="D500" s="30" t="str">
        <f t="shared" si="30"/>
        <v xml:space="preserve">Medical Records and Health Information Technicians </v>
      </c>
      <c r="E500">
        <f t="shared" si="29"/>
        <v>1</v>
      </c>
    </row>
    <row r="501" spans="2:5" x14ac:dyDescent="0.35">
      <c r="D501" s="30" t="str">
        <f t="shared" si="30"/>
        <v xml:space="preserve">Optometrists and Ophthalmic Opticians </v>
      </c>
      <c r="E501">
        <f t="shared" si="29"/>
        <v>1</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0</v>
      </c>
    </row>
    <row r="504" spans="2:5" x14ac:dyDescent="0.35">
      <c r="D504" s="30" t="str">
        <f t="shared" si="30"/>
        <v xml:space="preserve">Medical and Pathology Laboratory Technicians </v>
      </c>
      <c r="E504">
        <f t="shared" si="29"/>
        <v>0</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15</v>
      </c>
    </row>
    <row r="507" spans="2:5" x14ac:dyDescent="0.35">
      <c r="D507" s="30" t="str">
        <f t="shared" si="30"/>
        <v>Social workers</v>
      </c>
      <c r="E507">
        <f t="shared" si="29"/>
        <v>53</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1502091.5000000002</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621</v>
      </c>
    </row>
    <row r="514" spans="4:5" x14ac:dyDescent="0.35">
      <c r="D514" s="30" t="str">
        <f t="shared" si="30"/>
        <v>Dentists</v>
      </c>
      <c r="E514">
        <f t="shared" si="31"/>
        <v>112</v>
      </c>
    </row>
    <row r="515" spans="4:5" x14ac:dyDescent="0.35">
      <c r="D515" s="30" t="str">
        <f t="shared" si="30"/>
        <v xml:space="preserve">Community Health Workers </v>
      </c>
      <c r="E515">
        <f t="shared" si="31"/>
        <v>0</v>
      </c>
    </row>
    <row r="516" spans="4:5" x14ac:dyDescent="0.35">
      <c r="D516" s="30" t="str">
        <f t="shared" si="30"/>
        <v>Dieticians and nutritionists</v>
      </c>
      <c r="E516">
        <f t="shared" si="31"/>
        <v>0</v>
      </c>
    </row>
    <row r="517" spans="4:5" x14ac:dyDescent="0.35">
      <c r="D517" s="30" t="str">
        <f t="shared" si="30"/>
        <v>Environmental and occupational health &amp; hygiene workers</v>
      </c>
      <c r="E517">
        <f t="shared" si="31"/>
        <v>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2</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49953303.999999993</v>
      </c>
      <c r="D534" s="29" t="str">
        <f t="shared" si="30"/>
        <v>Medical Doctors</v>
      </c>
      <c r="E534">
        <f t="shared" ref="E534:E557" si="32">W3</f>
        <v>20964</v>
      </c>
    </row>
    <row r="535" spans="2:5" x14ac:dyDescent="0.35">
      <c r="D535" s="30" t="str">
        <f t="shared" si="30"/>
        <v>Nursing Personnel</v>
      </c>
      <c r="E535">
        <f t="shared" si="32"/>
        <v>119802</v>
      </c>
    </row>
    <row r="536" spans="2:5" x14ac:dyDescent="0.35">
      <c r="D536" s="30" t="str">
        <f t="shared" si="30"/>
        <v>Midwifery personnel</v>
      </c>
      <c r="E536">
        <f t="shared" si="32"/>
        <v>0</v>
      </c>
    </row>
    <row r="537" spans="2:5" x14ac:dyDescent="0.35">
      <c r="D537" s="30" t="str">
        <f t="shared" si="30"/>
        <v>Pharmacists</v>
      </c>
      <c r="E537">
        <f t="shared" si="32"/>
        <v>0</v>
      </c>
    </row>
    <row r="538" spans="2:5" x14ac:dyDescent="0.35">
      <c r="D538" s="30" t="str">
        <f t="shared" si="30"/>
        <v>Dentists</v>
      </c>
      <c r="E538">
        <f t="shared" si="32"/>
        <v>0</v>
      </c>
    </row>
    <row r="539" spans="2:5" x14ac:dyDescent="0.35">
      <c r="D539" s="30" t="str">
        <f t="shared" si="30"/>
        <v xml:space="preserve">Community Health Workers </v>
      </c>
      <c r="E539">
        <f t="shared" si="32"/>
        <v>58079</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0</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430</v>
      </c>
    </row>
    <row r="548" spans="2:5" x14ac:dyDescent="0.35">
      <c r="D548" s="30" t="str">
        <f t="shared" si="30"/>
        <v xml:space="preserve">Medical Records and Health Information Technicians </v>
      </c>
      <c r="E548">
        <f t="shared" si="32"/>
        <v>714</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21942</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4889391</v>
      </c>
      <c r="D558" s="29" t="str">
        <f t="shared" ref="D558:D621" si="33">D534</f>
        <v>Medical Doctors</v>
      </c>
      <c r="E558">
        <f t="shared" ref="E558:E581" si="34">X3</f>
        <v>1407</v>
      </c>
    </row>
    <row r="559" spans="2:5" x14ac:dyDescent="0.35">
      <c r="D559" s="30" t="str">
        <f t="shared" si="33"/>
        <v>Nursing Personnel</v>
      </c>
      <c r="E559">
        <f t="shared" si="34"/>
        <v>4526</v>
      </c>
    </row>
    <row r="560" spans="2:5" x14ac:dyDescent="0.35">
      <c r="D560" s="30" t="str">
        <f t="shared" si="33"/>
        <v>Midwifery personnel</v>
      </c>
      <c r="E560">
        <f t="shared" si="34"/>
        <v>1784</v>
      </c>
    </row>
    <row r="561" spans="4:5" x14ac:dyDescent="0.35">
      <c r="D561" s="30" t="str">
        <f t="shared" si="33"/>
        <v>Pharmacists</v>
      </c>
      <c r="E561">
        <f t="shared" si="34"/>
        <v>0</v>
      </c>
    </row>
    <row r="562" spans="4:5" x14ac:dyDescent="0.35">
      <c r="D562" s="30" t="str">
        <f t="shared" si="33"/>
        <v>Dentists</v>
      </c>
      <c r="E562">
        <f t="shared" si="34"/>
        <v>0</v>
      </c>
    </row>
    <row r="563" spans="4:5" x14ac:dyDescent="0.35">
      <c r="D563" s="30" t="str">
        <f t="shared" si="33"/>
        <v xml:space="preserve">Community Health Workers </v>
      </c>
      <c r="E563">
        <f t="shared" si="34"/>
        <v>3391</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2198017</v>
      </c>
      <c r="D582" s="29" t="str">
        <f t="shared" si="33"/>
        <v>Medical Doctors</v>
      </c>
      <c r="E582">
        <f t="shared" ref="E582:E605" si="35">Y3</f>
        <v>1996</v>
      </c>
    </row>
    <row r="583" spans="2:5" x14ac:dyDescent="0.35">
      <c r="D583" s="30" t="str">
        <f t="shared" si="33"/>
        <v>Nursing Personnel</v>
      </c>
      <c r="E583">
        <f t="shared" si="35"/>
        <v>13732</v>
      </c>
    </row>
    <row r="584" spans="2:5" x14ac:dyDescent="0.35">
      <c r="D584" s="30" t="str">
        <f t="shared" si="33"/>
        <v>Midwifery personnel</v>
      </c>
      <c r="E584">
        <f t="shared" si="35"/>
        <v>0</v>
      </c>
    </row>
    <row r="585" spans="2:5" x14ac:dyDescent="0.35">
      <c r="D585" s="30" t="str">
        <f t="shared" si="33"/>
        <v>Pharmacists</v>
      </c>
      <c r="E585">
        <f t="shared" si="35"/>
        <v>0</v>
      </c>
    </row>
    <row r="586" spans="2:5" x14ac:dyDescent="0.35">
      <c r="D586" s="30" t="str">
        <f t="shared" si="33"/>
        <v>Dentists</v>
      </c>
      <c r="E586">
        <f t="shared" si="35"/>
        <v>0</v>
      </c>
    </row>
    <row r="587" spans="2:5" x14ac:dyDescent="0.35">
      <c r="D587" s="30" t="str">
        <f t="shared" si="33"/>
        <v xml:space="preserve">Community Health Workers </v>
      </c>
      <c r="E587">
        <f t="shared" si="35"/>
        <v>14508</v>
      </c>
    </row>
    <row r="588" spans="2:5" x14ac:dyDescent="0.35">
      <c r="D588" s="30" t="str">
        <f t="shared" si="33"/>
        <v>Dieticians and nutritionists</v>
      </c>
      <c r="E588">
        <f t="shared" si="35"/>
        <v>0</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205</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26846541</v>
      </c>
      <c r="D606" s="29" t="str">
        <f t="shared" si="33"/>
        <v>Medical Doctors</v>
      </c>
      <c r="E606">
        <f t="shared" ref="E606:E629" si="36">Z3</f>
        <v>0</v>
      </c>
    </row>
    <row r="607" spans="2:5" x14ac:dyDescent="0.35">
      <c r="D607" s="30" t="str">
        <f t="shared" si="33"/>
        <v>Nursing Personnel</v>
      </c>
      <c r="E607">
        <f t="shared" si="36"/>
        <v>7666</v>
      </c>
    </row>
    <row r="608" spans="2:5" x14ac:dyDescent="0.35">
      <c r="D608" s="30" t="str">
        <f t="shared" si="33"/>
        <v>Midwifery personnel</v>
      </c>
      <c r="E608">
        <f t="shared" si="36"/>
        <v>7988</v>
      </c>
    </row>
    <row r="609" spans="4:5" x14ac:dyDescent="0.35">
      <c r="D609" s="30" t="str">
        <f t="shared" si="33"/>
        <v>Pharmacists</v>
      </c>
      <c r="E609">
        <f t="shared" si="36"/>
        <v>0</v>
      </c>
    </row>
    <row r="610" spans="4:5" x14ac:dyDescent="0.35">
      <c r="D610" s="30" t="str">
        <f t="shared" si="33"/>
        <v>Dentists</v>
      </c>
      <c r="E610">
        <f t="shared" si="36"/>
        <v>0</v>
      </c>
    </row>
    <row r="611" spans="4:5" x14ac:dyDescent="0.35">
      <c r="D611" s="30" t="str">
        <f t="shared" si="33"/>
        <v xml:space="preserve">Community Health Workers </v>
      </c>
      <c r="E611">
        <f t="shared" si="36"/>
        <v>35000</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306</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19934298.000000004</v>
      </c>
      <c r="D630" s="29" t="str">
        <f t="shared" si="37"/>
        <v>Medical Doctors</v>
      </c>
      <c r="E630">
        <f t="shared" ref="E630:E653" si="38">AA3</f>
        <v>5155</v>
      </c>
    </row>
    <row r="631" spans="2:5" x14ac:dyDescent="0.35">
      <c r="D631" s="30" t="str">
        <f t="shared" si="37"/>
        <v>Nursing Personnel</v>
      </c>
      <c r="E631">
        <f t="shared" si="38"/>
        <v>11986</v>
      </c>
    </row>
    <row r="632" spans="2:5" x14ac:dyDescent="0.35">
      <c r="D632" s="30" t="str">
        <f t="shared" si="37"/>
        <v>Midwifery personnel</v>
      </c>
      <c r="E632">
        <f t="shared" si="38"/>
        <v>6470</v>
      </c>
    </row>
    <row r="633" spans="2:5" x14ac:dyDescent="0.35">
      <c r="D633" s="30" t="str">
        <f t="shared" si="37"/>
        <v>Pharmacists</v>
      </c>
      <c r="E633">
        <f t="shared" si="38"/>
        <v>0</v>
      </c>
    </row>
    <row r="634" spans="2:5" x14ac:dyDescent="0.35">
      <c r="D634" s="30" t="str">
        <f t="shared" si="37"/>
        <v>Dentists</v>
      </c>
      <c r="E634">
        <f t="shared" si="38"/>
        <v>0</v>
      </c>
    </row>
    <row r="635" spans="2:5" x14ac:dyDescent="0.35">
      <c r="D635" s="30" t="str">
        <f t="shared" si="37"/>
        <v xml:space="preserve">Community Health Workers </v>
      </c>
      <c r="E635">
        <f t="shared" si="38"/>
        <v>1152</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13</v>
      </c>
    </row>
    <row r="640" spans="2:5" x14ac:dyDescent="0.35">
      <c r="D640" s="30" t="str">
        <f t="shared" si="37"/>
        <v xml:space="preserve">Medical and dental Prosthetic Technicians </v>
      </c>
      <c r="E640">
        <f t="shared" si="38"/>
        <v>15</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1022</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29423878.499999993</v>
      </c>
      <c r="D654" s="32" t="str">
        <f t="shared" si="37"/>
        <v>Medical Doctors</v>
      </c>
      <c r="E654">
        <f t="shared" ref="E654:E677" si="39">AB3</f>
        <v>5147</v>
      </c>
    </row>
    <row r="655" spans="2:5" x14ac:dyDescent="0.35">
      <c r="D655" s="30" t="str">
        <f t="shared" si="37"/>
        <v>Nursing Personnel</v>
      </c>
      <c r="E655">
        <f t="shared" si="39"/>
        <v>16306</v>
      </c>
    </row>
    <row r="656" spans="2:5" x14ac:dyDescent="0.35">
      <c r="D656" s="30" t="str">
        <f t="shared" si="37"/>
        <v>Midwifery personnel</v>
      </c>
      <c r="E656">
        <f t="shared" si="39"/>
        <v>12042</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4787</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0</v>
      </c>
    </row>
    <row r="664" spans="4:5" x14ac:dyDescent="0.35">
      <c r="D664" s="30" t="str">
        <f t="shared" si="37"/>
        <v xml:space="preserve">Medical and dental Prosthetic Technicians </v>
      </c>
      <c r="E664">
        <f t="shared" si="39"/>
        <v>304</v>
      </c>
    </row>
    <row r="665" spans="4:5" x14ac:dyDescent="0.35">
      <c r="D665" s="30" t="str">
        <f t="shared" si="37"/>
        <v xml:space="preserve">Medical and Pathology Laboratory scientists </v>
      </c>
      <c r="E665">
        <f t="shared" si="39"/>
        <v>0</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0</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150</v>
      </c>
    </row>
    <row r="670" spans="4:5" x14ac:dyDescent="0.35">
      <c r="D670" s="30" t="str">
        <f t="shared" si="37"/>
        <v xml:space="preserve">Other non-medical professional staff </v>
      </c>
      <c r="E670">
        <f t="shared" si="39"/>
        <v>0</v>
      </c>
    </row>
    <row r="671" spans="4:5" x14ac:dyDescent="0.35">
      <c r="D671" s="30" t="str">
        <f t="shared" si="37"/>
        <v xml:space="preserve">Other non-medical support staff </v>
      </c>
      <c r="E671">
        <f t="shared" si="39"/>
        <v>0</v>
      </c>
    </row>
    <row r="672" spans="4:5" x14ac:dyDescent="0.35">
      <c r="D672" s="30" t="str">
        <f t="shared" si="37"/>
        <v xml:space="preserve">Medical and Pathology Laboratory Technicians </v>
      </c>
      <c r="E672">
        <f t="shared" si="39"/>
        <v>0</v>
      </c>
    </row>
    <row r="673" spans="2:5" x14ac:dyDescent="0.35">
      <c r="D673" s="30" t="str">
        <f t="shared" si="37"/>
        <v xml:space="preserve">Paramedical Practitioners </v>
      </c>
      <c r="E673">
        <f t="shared" si="39"/>
        <v>0</v>
      </c>
    </row>
    <row r="674" spans="2:5" x14ac:dyDescent="0.35">
      <c r="D674" s="30" t="str">
        <f t="shared" si="37"/>
        <v>Physiotherapists and physiotherapy assistants</v>
      </c>
      <c r="E674">
        <f t="shared" si="39"/>
        <v>362</v>
      </c>
    </row>
    <row r="675" spans="2:5" x14ac:dyDescent="0.35">
      <c r="D675" s="30" t="str">
        <f t="shared" si="37"/>
        <v>Social workers</v>
      </c>
      <c r="E675">
        <f t="shared" si="39"/>
        <v>338</v>
      </c>
    </row>
    <row r="676" spans="2:5" x14ac:dyDescent="0.35">
      <c r="D676" s="30" t="str">
        <f t="shared" si="37"/>
        <v xml:space="preserve">Audiologists and Speech Therapists </v>
      </c>
      <c r="E676">
        <f t="shared" si="39"/>
        <v>3</v>
      </c>
    </row>
    <row r="677" spans="2:5" x14ac:dyDescent="0.35">
      <c r="D677" s="30" t="str">
        <f t="shared" si="37"/>
        <v>Traditional and complementary medicine practitioners</v>
      </c>
      <c r="E677">
        <f t="shared" si="39"/>
        <v>0</v>
      </c>
    </row>
    <row r="678" spans="2:5" x14ac:dyDescent="0.35">
      <c r="B678" t="str">
        <f>AC1</f>
        <v>MRT</v>
      </c>
      <c r="C678">
        <f>AC2</f>
        <v>4270711.4999999972</v>
      </c>
      <c r="D678" s="29" t="str">
        <f t="shared" si="37"/>
        <v>Medical Doctors</v>
      </c>
      <c r="E678">
        <f t="shared" ref="E678:E701" si="40">AC3</f>
        <v>1700</v>
      </c>
    </row>
    <row r="679" spans="2:5" x14ac:dyDescent="0.35">
      <c r="D679" s="30" t="str">
        <f t="shared" si="37"/>
        <v>Nursing Personnel</v>
      </c>
      <c r="E679">
        <f t="shared" si="40"/>
        <v>8223</v>
      </c>
    </row>
    <row r="680" spans="2:5" x14ac:dyDescent="0.35">
      <c r="D680" s="30" t="str">
        <f t="shared" si="37"/>
        <v>Midwifery personnel</v>
      </c>
      <c r="E680">
        <f t="shared" si="40"/>
        <v>1342</v>
      </c>
    </row>
    <row r="681" spans="2:5" x14ac:dyDescent="0.35">
      <c r="D681" s="30" t="str">
        <f t="shared" si="37"/>
        <v>Pharmacists</v>
      </c>
      <c r="E681">
        <f t="shared" si="40"/>
        <v>0</v>
      </c>
    </row>
    <row r="682" spans="2:5" x14ac:dyDescent="0.35">
      <c r="D682" s="30" t="str">
        <f t="shared" si="37"/>
        <v>Dentists</v>
      </c>
      <c r="E682">
        <f t="shared" si="40"/>
        <v>12751</v>
      </c>
    </row>
    <row r="683" spans="2:5" x14ac:dyDescent="0.35">
      <c r="D683" s="30" t="str">
        <f t="shared" si="37"/>
        <v xml:space="preserve">Community Health Workers </v>
      </c>
      <c r="E683">
        <f t="shared" si="40"/>
        <v>0</v>
      </c>
    </row>
    <row r="684" spans="2:5" x14ac:dyDescent="0.35">
      <c r="D684" s="30" t="str">
        <f t="shared" si="37"/>
        <v>Dieticians and nutritionists</v>
      </c>
      <c r="E684">
        <f t="shared" si="40"/>
        <v>4038</v>
      </c>
    </row>
    <row r="685" spans="2:5" x14ac:dyDescent="0.35">
      <c r="D685" s="30" t="str">
        <f t="shared" si="37"/>
        <v>Environmental and occupational health &amp; hygiene workers</v>
      </c>
      <c r="E685">
        <f t="shared" si="40"/>
        <v>4745</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1295381.5000000005</v>
      </c>
      <c r="D702" s="29" t="str">
        <f t="shared" si="41"/>
        <v>Medical Doctors</v>
      </c>
      <c r="E702">
        <f t="shared" ref="E702:E725" si="42">AD3</f>
        <v>4790</v>
      </c>
    </row>
    <row r="703" spans="2:5" x14ac:dyDescent="0.35">
      <c r="D703" s="30" t="str">
        <f t="shared" si="41"/>
        <v>Nursing Personnel</v>
      </c>
      <c r="E703">
        <f t="shared" si="42"/>
        <v>9972</v>
      </c>
    </row>
    <row r="704" spans="2:5" x14ac:dyDescent="0.35">
      <c r="D704" s="30" t="str">
        <f t="shared" si="41"/>
        <v>Midwifery personnel</v>
      </c>
      <c r="E704">
        <f t="shared" si="42"/>
        <v>0</v>
      </c>
    </row>
    <row r="705" spans="4:5" x14ac:dyDescent="0.35">
      <c r="D705" s="30" t="str">
        <f t="shared" si="41"/>
        <v>Pharmacists</v>
      </c>
      <c r="E705">
        <f t="shared" si="42"/>
        <v>0</v>
      </c>
    </row>
    <row r="706" spans="4:5" x14ac:dyDescent="0.35">
      <c r="D706" s="30" t="str">
        <f t="shared" si="41"/>
        <v>Dentists</v>
      </c>
      <c r="E706">
        <f t="shared" si="42"/>
        <v>0</v>
      </c>
    </row>
    <row r="707" spans="4:5" x14ac:dyDescent="0.35">
      <c r="D707" s="30" t="str">
        <f t="shared" si="41"/>
        <v xml:space="preserve">Community Health Workers </v>
      </c>
      <c r="E707">
        <f t="shared" si="42"/>
        <v>180</v>
      </c>
    </row>
    <row r="708" spans="4:5" x14ac:dyDescent="0.35">
      <c r="D708" s="30" t="str">
        <f t="shared" si="41"/>
        <v>Dieticians and nutritionists</v>
      </c>
      <c r="E708">
        <f t="shared" si="42"/>
        <v>0</v>
      </c>
    </row>
    <row r="709" spans="4:5" x14ac:dyDescent="0.35">
      <c r="D709" s="30" t="str">
        <f t="shared" si="41"/>
        <v>Environmental and occupational health &amp; hygiene workers</v>
      </c>
      <c r="E709">
        <f t="shared" si="42"/>
        <v>0</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291</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18367882.999999985</v>
      </c>
      <c r="D726" s="29" t="str">
        <f t="shared" si="41"/>
        <v>Medical Doctors</v>
      </c>
      <c r="E726">
        <f t="shared" ref="E726:E749" si="43">AE3</f>
        <v>5520</v>
      </c>
    </row>
    <row r="727" spans="2:5" x14ac:dyDescent="0.35">
      <c r="D727" s="30" t="str">
        <f t="shared" si="41"/>
        <v>Nursing Personnel</v>
      </c>
      <c r="E727">
        <f t="shared" si="43"/>
        <v>15914</v>
      </c>
    </row>
    <row r="728" spans="2:5" x14ac:dyDescent="0.35">
      <c r="D728" s="30" t="str">
        <f t="shared" si="41"/>
        <v>Midwifery personnel</v>
      </c>
      <c r="E728">
        <f t="shared" si="43"/>
        <v>0</v>
      </c>
    </row>
    <row r="729" spans="2:5" x14ac:dyDescent="0.35">
      <c r="D729" s="30" t="str">
        <f t="shared" si="41"/>
        <v>Pharmacists</v>
      </c>
      <c r="E729">
        <f t="shared" si="43"/>
        <v>570</v>
      </c>
    </row>
    <row r="730" spans="2:5" x14ac:dyDescent="0.35">
      <c r="D730" s="30" t="str">
        <f t="shared" si="41"/>
        <v>Dentists</v>
      </c>
      <c r="E730">
        <f t="shared" si="43"/>
        <v>916</v>
      </c>
    </row>
    <row r="731" spans="2:5" x14ac:dyDescent="0.35">
      <c r="D731" s="30" t="str">
        <f t="shared" si="41"/>
        <v xml:space="preserve">Community Health Workers </v>
      </c>
      <c r="E731">
        <f t="shared" si="43"/>
        <v>10016</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542</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0</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2405680.5000000005</v>
      </c>
      <c r="D750" s="29" t="str">
        <f t="shared" ref="D750:D813" si="44">D726</f>
        <v>Medical Doctors</v>
      </c>
      <c r="E750">
        <f t="shared" ref="E750:E773" si="45">AF3</f>
        <v>1726</v>
      </c>
    </row>
    <row r="751" spans="2:5" x14ac:dyDescent="0.35">
      <c r="D751" s="30" t="str">
        <f t="shared" si="44"/>
        <v>Nursing Personnel</v>
      </c>
      <c r="E751">
        <f t="shared" si="45"/>
        <v>10614</v>
      </c>
    </row>
    <row r="752" spans="2:5" x14ac:dyDescent="0.35">
      <c r="D752" s="30" t="str">
        <f t="shared" si="44"/>
        <v>Midwifery personnel</v>
      </c>
      <c r="E752">
        <f t="shared" si="45"/>
        <v>10</v>
      </c>
    </row>
    <row r="753" spans="4:5" x14ac:dyDescent="0.35">
      <c r="D753" s="30" t="str">
        <f t="shared" si="44"/>
        <v>Pharmacists</v>
      </c>
      <c r="E753">
        <f t="shared" si="45"/>
        <v>0</v>
      </c>
    </row>
    <row r="754" spans="4:5" x14ac:dyDescent="0.35">
      <c r="D754" s="30" t="str">
        <f t="shared" si="44"/>
        <v>Dentists</v>
      </c>
      <c r="E754">
        <f t="shared" si="45"/>
        <v>0</v>
      </c>
    </row>
    <row r="755" spans="4:5" x14ac:dyDescent="0.35">
      <c r="D755" s="30" t="str">
        <f t="shared" si="44"/>
        <v xml:space="preserve">Community Health Workers </v>
      </c>
      <c r="E755">
        <f t="shared" si="45"/>
        <v>2292</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3</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84</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140</v>
      </c>
    </row>
    <row r="769" spans="2:5" x14ac:dyDescent="0.35">
      <c r="D769" s="30" t="str">
        <f t="shared" si="44"/>
        <v xml:space="preserve">Paramedical Practitioners </v>
      </c>
      <c r="E769">
        <f t="shared" si="45"/>
        <v>52</v>
      </c>
    </row>
    <row r="770" spans="2:5" x14ac:dyDescent="0.35">
      <c r="D770" s="30" t="str">
        <f t="shared" si="44"/>
        <v>Physiotherapists and physiotherapy assistants</v>
      </c>
      <c r="E770">
        <f t="shared" si="45"/>
        <v>118</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22577057.999999996</v>
      </c>
      <c r="D774" s="29" t="str">
        <f t="shared" si="44"/>
        <v>Medical Doctors</v>
      </c>
      <c r="E774">
        <f t="shared" ref="E774:E797" si="46">AG3</f>
        <v>1745</v>
      </c>
    </row>
    <row r="775" spans="2:5" x14ac:dyDescent="0.35">
      <c r="D775" s="30" t="str">
        <f t="shared" si="44"/>
        <v>Nursing Personnel</v>
      </c>
      <c r="E775">
        <f t="shared" si="46"/>
        <v>8251</v>
      </c>
    </row>
    <row r="776" spans="2:5" x14ac:dyDescent="0.35">
      <c r="D776" s="30" t="str">
        <f t="shared" si="44"/>
        <v>Midwifery personnel</v>
      </c>
      <c r="E776">
        <f t="shared" si="46"/>
        <v>1812</v>
      </c>
    </row>
    <row r="777" spans="2:5" x14ac:dyDescent="0.35">
      <c r="D777" s="30" t="str">
        <f t="shared" si="44"/>
        <v>Pharmacists</v>
      </c>
      <c r="E777">
        <f t="shared" si="46"/>
        <v>2100</v>
      </c>
    </row>
    <row r="778" spans="2:5" x14ac:dyDescent="0.35">
      <c r="D778" s="30" t="str">
        <f t="shared" si="44"/>
        <v>Dentists</v>
      </c>
      <c r="E778">
        <f t="shared" si="46"/>
        <v>0</v>
      </c>
    </row>
    <row r="779" spans="2:5" x14ac:dyDescent="0.35">
      <c r="D779" s="30" t="str">
        <f t="shared" si="44"/>
        <v xml:space="preserve">Community Health Workers </v>
      </c>
      <c r="E779">
        <f t="shared" si="46"/>
        <v>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95</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432</v>
      </c>
    </row>
    <row r="786" spans="2:5" x14ac:dyDescent="0.35">
      <c r="D786" s="30" t="str">
        <f t="shared" si="44"/>
        <v xml:space="preserve">Medical Assistants </v>
      </c>
      <c r="E786">
        <f t="shared" si="46"/>
        <v>439</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249</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198387623.50000006</v>
      </c>
      <c r="D798" s="29" t="str">
        <f t="shared" si="44"/>
        <v>Medical Doctors</v>
      </c>
      <c r="E798">
        <f t="shared" ref="E798:E821" si="47">AH3</f>
        <v>149976</v>
      </c>
    </row>
    <row r="799" spans="2:5" x14ac:dyDescent="0.35">
      <c r="D799" s="30" t="str">
        <f t="shared" si="44"/>
        <v>Nursing Personnel</v>
      </c>
      <c r="E799">
        <f t="shared" si="47"/>
        <v>220210</v>
      </c>
    </row>
    <row r="800" spans="2:5" x14ac:dyDescent="0.35">
      <c r="D800" s="30" t="str">
        <f t="shared" si="44"/>
        <v>Midwifery personnel</v>
      </c>
      <c r="E800">
        <f t="shared" si="47"/>
        <v>142474</v>
      </c>
    </row>
    <row r="801" spans="4:5" x14ac:dyDescent="0.35">
      <c r="D801" s="30" t="str">
        <f t="shared" si="44"/>
        <v>Pharmacists</v>
      </c>
      <c r="E801">
        <f t="shared" si="47"/>
        <v>105</v>
      </c>
    </row>
    <row r="802" spans="4:5" x14ac:dyDescent="0.35">
      <c r="D802" s="30" t="str">
        <f t="shared" si="44"/>
        <v>Dentists</v>
      </c>
      <c r="E802">
        <f t="shared" si="47"/>
        <v>0</v>
      </c>
    </row>
    <row r="803" spans="4:5" x14ac:dyDescent="0.35">
      <c r="D803" s="30" t="str">
        <f t="shared" si="44"/>
        <v xml:space="preserve">Community Health Workers </v>
      </c>
      <c r="E803">
        <f t="shared" si="47"/>
        <v>116454</v>
      </c>
    </row>
    <row r="804" spans="4:5" x14ac:dyDescent="0.35">
      <c r="D804" s="30" t="str">
        <f t="shared" si="44"/>
        <v>Dieticians and nutritionists</v>
      </c>
      <c r="E804">
        <f t="shared" si="47"/>
        <v>7</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6165</v>
      </c>
    </row>
    <row r="809" spans="4:5" x14ac:dyDescent="0.35">
      <c r="D809" s="30" t="str">
        <f t="shared" si="44"/>
        <v xml:space="preserve">Medical and Pathology Laboratory scientists </v>
      </c>
      <c r="E809">
        <f t="shared" si="47"/>
        <v>26677</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2578</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4626</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29246</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5153</v>
      </c>
    </row>
    <row r="819" spans="2:5" x14ac:dyDescent="0.35">
      <c r="D819" s="30" t="str">
        <f t="shared" si="48"/>
        <v>Social workers</v>
      </c>
      <c r="E819">
        <f t="shared" si="47"/>
        <v>0</v>
      </c>
    </row>
    <row r="820" spans="2:5" x14ac:dyDescent="0.35">
      <c r="D820" s="30" t="str">
        <f t="shared" si="48"/>
        <v xml:space="preserve">Audiologists and Speech Therapists </v>
      </c>
      <c r="E820">
        <f t="shared" si="47"/>
        <v>56</v>
      </c>
    </row>
    <row r="821" spans="2:5" x14ac:dyDescent="0.35">
      <c r="D821" s="30" t="str">
        <f t="shared" si="48"/>
        <v>Traditional and complementary medicine practitioners</v>
      </c>
      <c r="E821">
        <f t="shared" si="47"/>
        <v>0</v>
      </c>
    </row>
    <row r="822" spans="2:5" x14ac:dyDescent="0.35">
      <c r="B822" t="str">
        <f>AI1</f>
        <v>RWA</v>
      </c>
      <c r="C822">
        <f>AI2</f>
        <v>12531807.499999998</v>
      </c>
      <c r="D822" s="29" t="str">
        <f t="shared" si="48"/>
        <v>Medical Doctors</v>
      </c>
      <c r="E822">
        <f t="shared" ref="E822:E845" si="49">AI3</f>
        <v>3296</v>
      </c>
    </row>
    <row r="823" spans="2:5" x14ac:dyDescent="0.35">
      <c r="D823" s="30" t="str">
        <f t="shared" si="48"/>
        <v>Nursing Personnel</v>
      </c>
      <c r="E823">
        <f t="shared" si="49"/>
        <v>26690</v>
      </c>
    </row>
    <row r="824" spans="2:5" x14ac:dyDescent="0.35">
      <c r="D824" s="30" t="str">
        <f t="shared" si="48"/>
        <v>Midwifery personnel</v>
      </c>
      <c r="E824">
        <f t="shared" si="49"/>
        <v>2942</v>
      </c>
    </row>
    <row r="825" spans="2:5" x14ac:dyDescent="0.35">
      <c r="D825" s="30" t="str">
        <f t="shared" si="48"/>
        <v>Pharmacists</v>
      </c>
      <c r="E825">
        <f t="shared" si="49"/>
        <v>497</v>
      </c>
    </row>
    <row r="826" spans="2:5" x14ac:dyDescent="0.35">
      <c r="D826" s="30" t="str">
        <f t="shared" si="48"/>
        <v>Dentists</v>
      </c>
      <c r="E826">
        <f t="shared" si="49"/>
        <v>380</v>
      </c>
    </row>
    <row r="827" spans="2:5" x14ac:dyDescent="0.35">
      <c r="D827" s="30" t="str">
        <f t="shared" si="48"/>
        <v xml:space="preserve">Community Health Workers </v>
      </c>
      <c r="E827">
        <f t="shared" si="49"/>
        <v>45000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1990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152</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13</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225</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15574908.999999998</v>
      </c>
      <c r="D846" s="29" t="str">
        <f t="shared" si="48"/>
        <v>Medical Doctors</v>
      </c>
      <c r="E846">
        <f t="shared" ref="E846:E869" si="50">AJ3</f>
        <v>0</v>
      </c>
    </row>
    <row r="847" spans="2:5" x14ac:dyDescent="0.35">
      <c r="D847" s="30" t="str">
        <f t="shared" si="48"/>
        <v>Nursing Personnel</v>
      </c>
      <c r="E847">
        <f t="shared" si="50"/>
        <v>0</v>
      </c>
    </row>
    <row r="848" spans="2:5" x14ac:dyDescent="0.35">
      <c r="D848" s="30" t="str">
        <f t="shared" si="48"/>
        <v>Midwifery personnel</v>
      </c>
      <c r="E848">
        <f t="shared" si="50"/>
        <v>0</v>
      </c>
    </row>
    <row r="849" spans="4:5" x14ac:dyDescent="0.35">
      <c r="D849" s="30" t="str">
        <f t="shared" si="48"/>
        <v>Pharmacists</v>
      </c>
      <c r="E849">
        <f t="shared" si="50"/>
        <v>45</v>
      </c>
    </row>
    <row r="850" spans="4:5" x14ac:dyDescent="0.35">
      <c r="D850" s="30" t="str">
        <f t="shared" si="48"/>
        <v>Dentists</v>
      </c>
      <c r="E850">
        <f t="shared" si="50"/>
        <v>276</v>
      </c>
    </row>
    <row r="851" spans="4:5" x14ac:dyDescent="0.35">
      <c r="D851" s="30" t="str">
        <f t="shared" si="48"/>
        <v xml:space="preserve">Community Health Workers </v>
      </c>
      <c r="E851">
        <f t="shared" si="50"/>
        <v>17417</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1925</v>
      </c>
    </row>
    <row r="854" spans="4:5" x14ac:dyDescent="0.35">
      <c r="D854" s="30" t="str">
        <f t="shared" si="48"/>
        <v>Personal care workers in health service</v>
      </c>
      <c r="E854">
        <f t="shared" si="50"/>
        <v>0</v>
      </c>
    </row>
    <row r="855" spans="4:5" x14ac:dyDescent="0.35">
      <c r="D855" s="30" t="str">
        <f t="shared" si="48"/>
        <v xml:space="preserve">Managerial staff </v>
      </c>
      <c r="E855">
        <f t="shared" si="50"/>
        <v>0</v>
      </c>
    </row>
    <row r="856" spans="4:5" x14ac:dyDescent="0.35">
      <c r="D856" s="30" t="str">
        <f t="shared" si="48"/>
        <v xml:space="preserve">Medical and dental Prosthetic Technicians </v>
      </c>
      <c r="E856">
        <f t="shared" si="50"/>
        <v>0</v>
      </c>
    </row>
    <row r="857" spans="4:5" x14ac:dyDescent="0.35">
      <c r="D857" s="30" t="str">
        <f t="shared" si="48"/>
        <v xml:space="preserve">Medical and Pathology Laboratory scientists </v>
      </c>
      <c r="E857">
        <f t="shared" si="50"/>
        <v>328</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0</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0</v>
      </c>
    </row>
    <row r="865" spans="2:5" x14ac:dyDescent="0.35">
      <c r="D865" s="30" t="str">
        <f t="shared" si="48"/>
        <v xml:space="preserve">Paramedical Practitioners </v>
      </c>
      <c r="E865">
        <f t="shared" si="50"/>
        <v>0</v>
      </c>
    </row>
    <row r="866" spans="2:5" x14ac:dyDescent="0.35">
      <c r="D866" s="30" t="str">
        <f t="shared" si="48"/>
        <v>Physiotherapists and physiotherapy assistants</v>
      </c>
      <c r="E866">
        <f t="shared" si="50"/>
        <v>0</v>
      </c>
    </row>
    <row r="867" spans="2:5" x14ac:dyDescent="0.35">
      <c r="D867" s="30" t="str">
        <f t="shared" si="48"/>
        <v>Social workers</v>
      </c>
      <c r="E867">
        <f t="shared" si="50"/>
        <v>0</v>
      </c>
    </row>
    <row r="868" spans="2:5" x14ac:dyDescent="0.35">
      <c r="D868" s="30" t="str">
        <f t="shared" si="48"/>
        <v xml:space="preserve">Audiologists and Speech Therapists </v>
      </c>
      <c r="E868">
        <f t="shared" si="50"/>
        <v>0</v>
      </c>
    </row>
    <row r="869" spans="2:5" x14ac:dyDescent="0.35">
      <c r="D869" s="30" t="str">
        <f t="shared" si="48"/>
        <v>Traditional and complementary medicine practitioners</v>
      </c>
      <c r="E869">
        <f t="shared" si="50"/>
        <v>0</v>
      </c>
    </row>
    <row r="870" spans="2:5" x14ac:dyDescent="0.35">
      <c r="B870" t="str">
        <f>AK1</f>
        <v>SLE</v>
      </c>
      <c r="C870">
        <f>AK2</f>
        <v>7861281</v>
      </c>
      <c r="D870" s="29" t="str">
        <f t="shared" si="48"/>
        <v>Medical Doctors</v>
      </c>
      <c r="E870">
        <f t="shared" ref="E870:E893" si="51">AK3</f>
        <v>1132</v>
      </c>
    </row>
    <row r="871" spans="2:5" x14ac:dyDescent="0.35">
      <c r="D871" s="30" t="str">
        <f t="shared" si="48"/>
        <v>Nursing Personnel</v>
      </c>
      <c r="E871">
        <f t="shared" si="51"/>
        <v>11514</v>
      </c>
    </row>
    <row r="872" spans="2:5" x14ac:dyDescent="0.35">
      <c r="D872" s="30" t="str">
        <f t="shared" si="48"/>
        <v>Midwifery personnel</v>
      </c>
      <c r="E872">
        <f t="shared" si="51"/>
        <v>0</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0</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0</v>
      </c>
    </row>
    <row r="881" spans="2:5" x14ac:dyDescent="0.35">
      <c r="D881" s="30" t="str">
        <f t="shared" si="52"/>
        <v xml:space="preserve">Medical and Pathology Laboratory scientists </v>
      </c>
      <c r="E881">
        <f t="shared" si="51"/>
        <v>311</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0</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10395329.5</v>
      </c>
      <c r="D894" s="29" t="str">
        <f t="shared" si="52"/>
        <v>Medical Doctors</v>
      </c>
      <c r="E894">
        <f t="shared" ref="E894:E917" si="53">AL3</f>
        <v>822</v>
      </c>
    </row>
    <row r="895" spans="2:5" x14ac:dyDescent="0.35">
      <c r="D895" s="30" t="str">
        <f t="shared" si="52"/>
        <v>Nursing Personnel</v>
      </c>
      <c r="E895">
        <f t="shared" si="53"/>
        <v>7452</v>
      </c>
    </row>
    <row r="896" spans="2:5" x14ac:dyDescent="0.35">
      <c r="D896" s="30" t="str">
        <f t="shared" si="52"/>
        <v>Midwifery personnel</v>
      </c>
      <c r="E896">
        <f t="shared" si="53"/>
        <v>0</v>
      </c>
    </row>
    <row r="897" spans="4:5" x14ac:dyDescent="0.35">
      <c r="D897" s="30" t="str">
        <f t="shared" si="52"/>
        <v>Pharmacists</v>
      </c>
      <c r="E897">
        <f t="shared" si="53"/>
        <v>0</v>
      </c>
    </row>
    <row r="898" spans="4:5" x14ac:dyDescent="0.35">
      <c r="D898" s="30" t="str">
        <f t="shared" si="52"/>
        <v>Dentists</v>
      </c>
      <c r="E898">
        <f t="shared" si="53"/>
        <v>0</v>
      </c>
    </row>
    <row r="899" spans="4:5" x14ac:dyDescent="0.35">
      <c r="D899" s="30" t="str">
        <f t="shared" si="52"/>
        <v xml:space="preserve">Community Health Workers </v>
      </c>
      <c r="E899">
        <f t="shared" si="53"/>
        <v>1455</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2</v>
      </c>
    </row>
    <row r="905" spans="4:5" x14ac:dyDescent="0.35">
      <c r="D905" s="30" t="str">
        <f t="shared" si="52"/>
        <v xml:space="preserve">Medical and Pathology Laboratory scientists </v>
      </c>
      <c r="E905">
        <f t="shared" si="53"/>
        <v>272</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211344</v>
      </c>
      <c r="D918" s="29" t="str">
        <f t="shared" si="52"/>
        <v>Medical Doctors</v>
      </c>
      <c r="E918">
        <f t="shared" ref="E918:E941" si="54">AM3</f>
        <v>0</v>
      </c>
    </row>
    <row r="919" spans="2:5" x14ac:dyDescent="0.35">
      <c r="D919" s="30" t="str">
        <f t="shared" si="52"/>
        <v>Nursing Personnel</v>
      </c>
      <c r="E919">
        <f t="shared" si="54"/>
        <v>812</v>
      </c>
    </row>
    <row r="920" spans="2:5" x14ac:dyDescent="0.35">
      <c r="D920" s="30" t="str">
        <f t="shared" si="52"/>
        <v>Midwifery personnel</v>
      </c>
      <c r="E920">
        <f t="shared" si="54"/>
        <v>0</v>
      </c>
    </row>
    <row r="921" spans="2:5" x14ac:dyDescent="0.35">
      <c r="D921" s="30" t="str">
        <f t="shared" si="52"/>
        <v>Pharmacists</v>
      </c>
      <c r="E921">
        <f t="shared" si="54"/>
        <v>1721</v>
      </c>
    </row>
    <row r="922" spans="2:5" x14ac:dyDescent="0.35">
      <c r="D922" s="30" t="str">
        <f t="shared" si="52"/>
        <v>Dentists</v>
      </c>
      <c r="E922">
        <f t="shared" si="54"/>
        <v>0</v>
      </c>
    </row>
    <row r="923" spans="2:5" x14ac:dyDescent="0.35">
      <c r="D923" s="30" t="str">
        <f t="shared" si="52"/>
        <v xml:space="preserve">Community Health Workers </v>
      </c>
      <c r="E923">
        <f t="shared" si="54"/>
        <v>0</v>
      </c>
    </row>
    <row r="924" spans="2:5" x14ac:dyDescent="0.35">
      <c r="D924" s="30" t="str">
        <f t="shared" si="52"/>
        <v>Dieticians and nutritionists</v>
      </c>
      <c r="E924">
        <f t="shared" si="54"/>
        <v>0</v>
      </c>
    </row>
    <row r="925" spans="2:5" x14ac:dyDescent="0.35">
      <c r="D925" s="30" t="str">
        <f t="shared" si="52"/>
        <v>Environmental and occupational health &amp; hygiene workers</v>
      </c>
      <c r="E925">
        <f t="shared" si="54"/>
        <v>0</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1160427.5</v>
      </c>
      <c r="D942" s="29" t="str">
        <f t="shared" ref="D942:D1005" si="55">D918</f>
        <v>Medical Doctors</v>
      </c>
      <c r="E942">
        <f t="shared" ref="E942:E965" si="56">AN3</f>
        <v>556</v>
      </c>
    </row>
    <row r="943" spans="2:5" x14ac:dyDescent="0.35">
      <c r="D943" s="30" t="str">
        <f t="shared" si="55"/>
        <v>Nursing Personnel</v>
      </c>
      <c r="E943">
        <f t="shared" si="56"/>
        <v>9412</v>
      </c>
    </row>
    <row r="944" spans="2:5" x14ac:dyDescent="0.35">
      <c r="D944" s="30" t="str">
        <f t="shared" si="55"/>
        <v>Midwifery personnel</v>
      </c>
      <c r="E944">
        <f t="shared" si="56"/>
        <v>0</v>
      </c>
    </row>
    <row r="945" spans="4:5" x14ac:dyDescent="0.35">
      <c r="D945" s="30" t="str">
        <f t="shared" si="55"/>
        <v>Pharmacists</v>
      </c>
      <c r="E945">
        <f t="shared" si="56"/>
        <v>921</v>
      </c>
    </row>
    <row r="946" spans="4:5" x14ac:dyDescent="0.35">
      <c r="D946" s="30" t="str">
        <f t="shared" si="55"/>
        <v>Dentists</v>
      </c>
      <c r="E946">
        <f t="shared" si="56"/>
        <v>275</v>
      </c>
    </row>
    <row r="947" spans="4:5" x14ac:dyDescent="0.35">
      <c r="D947" s="30" t="str">
        <f t="shared" si="55"/>
        <v xml:space="preserve">Community Health Workers </v>
      </c>
      <c r="E947">
        <f t="shared" si="56"/>
        <v>6324</v>
      </c>
    </row>
    <row r="948" spans="4:5" x14ac:dyDescent="0.35">
      <c r="D948" s="30" t="str">
        <f t="shared" si="55"/>
        <v>Dieticians and nutritionists</v>
      </c>
      <c r="E948">
        <f t="shared" si="56"/>
        <v>31</v>
      </c>
    </row>
    <row r="949" spans="4:5" x14ac:dyDescent="0.35">
      <c r="D949" s="30" t="str">
        <f t="shared" si="55"/>
        <v>Environmental and occupational health &amp; hygiene workers</v>
      </c>
      <c r="E949">
        <f t="shared" si="56"/>
        <v>275</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370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103101.00000000003</v>
      </c>
      <c r="D966" s="29" t="str">
        <f t="shared" si="55"/>
        <v>Medical Doctors</v>
      </c>
      <c r="E966">
        <f t="shared" ref="E966:E989" si="57">AO3</f>
        <v>537</v>
      </c>
    </row>
    <row r="967" spans="2:5" x14ac:dyDescent="0.35">
      <c r="D967" s="30" t="str">
        <f t="shared" si="55"/>
        <v>Nursing Personnel</v>
      </c>
      <c r="E967">
        <f t="shared" si="57"/>
        <v>2223</v>
      </c>
    </row>
    <row r="968" spans="2:5" x14ac:dyDescent="0.35">
      <c r="D968" s="30" t="str">
        <f t="shared" si="55"/>
        <v>Midwifery personnel</v>
      </c>
      <c r="E968">
        <f t="shared" si="57"/>
        <v>316</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71</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15604210</v>
      </c>
      <c r="D990" s="29" t="str">
        <f t="shared" si="55"/>
        <v>Medical Doctors</v>
      </c>
      <c r="E990">
        <f t="shared" ref="E990:E1013" si="58">AP3</f>
        <v>1606</v>
      </c>
    </row>
    <row r="991" spans="2:5" x14ac:dyDescent="0.35">
      <c r="D991" s="30" t="str">
        <f t="shared" si="55"/>
        <v>Nursing Personnel</v>
      </c>
      <c r="E991">
        <f t="shared" si="58"/>
        <v>9598</v>
      </c>
    </row>
    <row r="992" spans="2:5" x14ac:dyDescent="0.35">
      <c r="D992" s="30" t="str">
        <f t="shared" si="55"/>
        <v>Midwifery personnel</v>
      </c>
      <c r="E992">
        <f t="shared" si="58"/>
        <v>0</v>
      </c>
    </row>
    <row r="993" spans="4:5" x14ac:dyDescent="0.35">
      <c r="D993" s="30" t="str">
        <f t="shared" si="55"/>
        <v>Pharmacists</v>
      </c>
      <c r="E993">
        <f t="shared" si="58"/>
        <v>14</v>
      </c>
    </row>
    <row r="994" spans="4:5" x14ac:dyDescent="0.35">
      <c r="D994" s="30" t="str">
        <f t="shared" si="55"/>
        <v>Dentists</v>
      </c>
      <c r="E994">
        <f t="shared" si="58"/>
        <v>0</v>
      </c>
    </row>
    <row r="995" spans="4:5" x14ac:dyDescent="0.35">
      <c r="D995" s="30" t="str">
        <f t="shared" si="55"/>
        <v xml:space="preserve">Community Health Workers </v>
      </c>
      <c r="E995">
        <f t="shared" si="58"/>
        <v>0</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749</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8046679</v>
      </c>
      <c r="D1014" s="29" t="str">
        <f t="shared" si="59"/>
        <v>Medical Doctors</v>
      </c>
      <c r="E1014">
        <f t="shared" ref="E1014:E1037" si="60">AQ3</f>
        <v>1633</v>
      </c>
    </row>
    <row r="1015" spans="2:5" x14ac:dyDescent="0.35">
      <c r="D1015" s="30" t="str">
        <f t="shared" si="59"/>
        <v>Nursing Personnel</v>
      </c>
      <c r="E1015">
        <f t="shared" si="60"/>
        <v>3902</v>
      </c>
    </row>
    <row r="1016" spans="2:5" x14ac:dyDescent="0.35">
      <c r="D1016" s="30" t="str">
        <f t="shared" si="59"/>
        <v>Midwifery personnel</v>
      </c>
      <c r="E1016">
        <f t="shared" si="60"/>
        <v>2570</v>
      </c>
    </row>
    <row r="1017" spans="2:5" x14ac:dyDescent="0.35">
      <c r="D1017" s="30" t="str">
        <f t="shared" si="59"/>
        <v>Pharmacists</v>
      </c>
      <c r="E1017">
        <f t="shared" si="60"/>
        <v>0</v>
      </c>
    </row>
    <row r="1018" spans="2:5" x14ac:dyDescent="0.35">
      <c r="D1018" s="30" t="str">
        <f t="shared" si="59"/>
        <v>Dentists</v>
      </c>
      <c r="E1018">
        <f t="shared" si="60"/>
        <v>0</v>
      </c>
    </row>
    <row r="1019" spans="2:5" x14ac:dyDescent="0.35">
      <c r="D1019" s="30" t="str">
        <f t="shared" si="59"/>
        <v xml:space="preserve">Community Health Workers </v>
      </c>
      <c r="E1019">
        <f t="shared" si="60"/>
        <v>7086</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3903</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55</v>
      </c>
    </row>
    <row r="1025" spans="2:5" x14ac:dyDescent="0.35">
      <c r="D1025" s="30" t="str">
        <f t="shared" si="59"/>
        <v xml:space="preserve">Medical and Pathology Laboratory scientists </v>
      </c>
      <c r="E1025">
        <f t="shared" si="60"/>
        <v>460</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148</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5</v>
      </c>
    </row>
    <row r="1030" spans="2:5" x14ac:dyDescent="0.35">
      <c r="D1030" s="30" t="str">
        <f t="shared" si="59"/>
        <v xml:space="preserve">Other non-medical professional staff </v>
      </c>
      <c r="E1030">
        <f t="shared" si="60"/>
        <v>1353</v>
      </c>
    </row>
    <row r="1031" spans="2:5" x14ac:dyDescent="0.35">
      <c r="D1031" s="30" t="str">
        <f t="shared" si="59"/>
        <v xml:space="preserve">Other non-medical support staff </v>
      </c>
      <c r="E1031">
        <f t="shared" si="60"/>
        <v>1554</v>
      </c>
    </row>
    <row r="1032" spans="2:5" x14ac:dyDescent="0.35">
      <c r="D1032" s="30" t="str">
        <f t="shared" si="59"/>
        <v xml:space="preserve">Medical and Pathology Laboratory Technicians </v>
      </c>
      <c r="E1032">
        <f t="shared" si="60"/>
        <v>183</v>
      </c>
    </row>
    <row r="1033" spans="2:5" x14ac:dyDescent="0.35">
      <c r="D1033" s="30" t="str">
        <f t="shared" si="59"/>
        <v xml:space="preserve">Paramedical Practitioners </v>
      </c>
      <c r="E1033">
        <f t="shared" si="60"/>
        <v>978</v>
      </c>
    </row>
    <row r="1034" spans="2:5" x14ac:dyDescent="0.35">
      <c r="D1034" s="30" t="str">
        <f t="shared" si="59"/>
        <v>Physiotherapists and physiotherapy assistants</v>
      </c>
      <c r="E1034">
        <f t="shared" si="60"/>
        <v>160</v>
      </c>
    </row>
    <row r="1035" spans="2:5" x14ac:dyDescent="0.35">
      <c r="D1035" s="30" t="str">
        <f t="shared" si="59"/>
        <v>Social workers</v>
      </c>
      <c r="E1035">
        <f t="shared" si="60"/>
        <v>62</v>
      </c>
    </row>
    <row r="1036" spans="2:5" x14ac:dyDescent="0.35">
      <c r="D1036" s="30" t="str">
        <f t="shared" si="59"/>
        <v xml:space="preserve">Audiologists and Speech Therapists </v>
      </c>
      <c r="E1036">
        <f t="shared" si="60"/>
        <v>25</v>
      </c>
    </row>
    <row r="1037" spans="2:5" x14ac:dyDescent="0.35">
      <c r="D1037" s="30" t="str">
        <f t="shared" si="59"/>
        <v>Traditional and complementary medicine practitioners</v>
      </c>
      <c r="E1037">
        <f t="shared" si="60"/>
        <v>0</v>
      </c>
    </row>
    <row r="1038" spans="2:5" x14ac:dyDescent="0.35">
      <c r="B1038" t="str">
        <f>AR1</f>
        <v>TZA</v>
      </c>
      <c r="C1038">
        <f>AR2</f>
        <v>58090443.000000007</v>
      </c>
      <c r="D1038" s="29" t="str">
        <f t="shared" si="59"/>
        <v>Medical Doctors</v>
      </c>
      <c r="E1038">
        <f t="shared" ref="E1038:E1061" si="61">AR3</f>
        <v>5770</v>
      </c>
    </row>
    <row r="1039" spans="2:5" x14ac:dyDescent="0.35">
      <c r="D1039" s="30" t="str">
        <f t="shared" si="59"/>
        <v>Nursing Personnel</v>
      </c>
      <c r="E1039">
        <f t="shared" si="61"/>
        <v>63880</v>
      </c>
    </row>
    <row r="1040" spans="2:5" x14ac:dyDescent="0.35">
      <c r="D1040" s="30" t="str">
        <f t="shared" si="59"/>
        <v>Midwifery personnel</v>
      </c>
      <c r="E1040">
        <f t="shared" si="61"/>
        <v>0</v>
      </c>
    </row>
    <row r="1041" spans="4:5" x14ac:dyDescent="0.35">
      <c r="D1041" s="30" t="str">
        <f t="shared" si="59"/>
        <v>Pharmacists</v>
      </c>
      <c r="E1041">
        <f t="shared" si="61"/>
        <v>378</v>
      </c>
    </row>
    <row r="1042" spans="4:5" x14ac:dyDescent="0.35">
      <c r="D1042" s="30" t="str">
        <f t="shared" si="59"/>
        <v>Dentists</v>
      </c>
      <c r="E1042">
        <f t="shared" si="61"/>
        <v>233</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855</v>
      </c>
    </row>
    <row r="1045" spans="4:5" x14ac:dyDescent="0.35">
      <c r="D1045" s="30" t="str">
        <f t="shared" si="59"/>
        <v>Environmental and occupational health &amp; hygiene workers</v>
      </c>
      <c r="E1045">
        <f t="shared" si="61"/>
        <v>1905</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89</v>
      </c>
    </row>
    <row r="1049" spans="4:5" x14ac:dyDescent="0.35">
      <c r="D1049" s="30" t="str">
        <f t="shared" si="59"/>
        <v xml:space="preserve">Medical and Pathology Laboratory scientists </v>
      </c>
      <c r="E1049">
        <f t="shared" si="61"/>
        <v>4361</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0</v>
      </c>
    </row>
    <row r="1057" spans="2:5" x14ac:dyDescent="0.35">
      <c r="D1057" s="30" t="str">
        <f t="shared" si="59"/>
        <v xml:space="preserve">Paramedical Practitioners </v>
      </c>
      <c r="E1057">
        <f t="shared" si="61"/>
        <v>0</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41515395.000000015</v>
      </c>
      <c r="D1062" s="29" t="str">
        <f t="shared" si="59"/>
        <v>Medical Doctors</v>
      </c>
      <c r="E1062">
        <f t="shared" ref="E1062:E1085" si="62">AS3</f>
        <v>0</v>
      </c>
    </row>
    <row r="1063" spans="2:5" x14ac:dyDescent="0.35">
      <c r="D1063" s="30" t="str">
        <f t="shared" si="59"/>
        <v>Nursing Personnel</v>
      </c>
      <c r="E1063">
        <f t="shared" si="62"/>
        <v>105814</v>
      </c>
    </row>
    <row r="1064" spans="2:5" x14ac:dyDescent="0.35">
      <c r="D1064" s="30" t="str">
        <f t="shared" si="59"/>
        <v>Midwifery personnel</v>
      </c>
      <c r="E1064">
        <f t="shared" si="62"/>
        <v>0</v>
      </c>
    </row>
    <row r="1065" spans="2:5" x14ac:dyDescent="0.35">
      <c r="D1065" s="30" t="str">
        <f t="shared" si="59"/>
        <v>Pharmacists</v>
      </c>
      <c r="E1065">
        <f t="shared" si="62"/>
        <v>0</v>
      </c>
    </row>
    <row r="1066" spans="2:5" x14ac:dyDescent="0.35">
      <c r="D1066" s="30" t="str">
        <f t="shared" si="59"/>
        <v>Dentists</v>
      </c>
      <c r="E1066">
        <f t="shared" si="62"/>
        <v>0</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3874</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57339635.000000015</v>
      </c>
      <c r="D1086" s="29" t="str">
        <f t="shared" si="63"/>
        <v>Medical Doctors</v>
      </c>
      <c r="E1086">
        <f t="shared" ref="E1086:E1109" si="64">AT3</f>
        <v>87006</v>
      </c>
    </row>
    <row r="1087" spans="2:5" x14ac:dyDescent="0.35">
      <c r="D1087" s="30" t="str">
        <f t="shared" si="63"/>
        <v>Nursing Personnel</v>
      </c>
      <c r="E1087">
        <f t="shared" si="64"/>
        <v>141104</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54180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5455</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8878</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3848</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5731</v>
      </c>
    </row>
    <row r="1105" spans="2:5" x14ac:dyDescent="0.35">
      <c r="D1105" s="30" t="str">
        <f t="shared" si="63"/>
        <v xml:space="preserve">Paramedical Practitioners </v>
      </c>
      <c r="E1105">
        <f t="shared" si="64"/>
        <v>0</v>
      </c>
    </row>
    <row r="1106" spans="2:5" x14ac:dyDescent="0.35">
      <c r="D1106" s="30" t="str">
        <f t="shared" si="63"/>
        <v>Physiotherapists and physiotherapy assistants</v>
      </c>
      <c r="E1106">
        <f t="shared" si="64"/>
        <v>7922</v>
      </c>
    </row>
    <row r="1107" spans="2:5" x14ac:dyDescent="0.35">
      <c r="D1107" s="30" t="str">
        <f t="shared" si="63"/>
        <v>Social workers</v>
      </c>
      <c r="E1107">
        <f t="shared" si="64"/>
        <v>0</v>
      </c>
    </row>
    <row r="1108" spans="2:5" x14ac:dyDescent="0.35">
      <c r="D1108" s="30" t="str">
        <f t="shared" si="63"/>
        <v xml:space="preserve">Audiologists and Speech Therapists </v>
      </c>
      <c r="E1108">
        <f t="shared" si="64"/>
        <v>3512</v>
      </c>
    </row>
    <row r="1109" spans="2:5" x14ac:dyDescent="0.35">
      <c r="D1109" s="30" t="str">
        <f t="shared" si="63"/>
        <v>Traditional and complementary medicine practitioners</v>
      </c>
      <c r="E1109">
        <f t="shared" si="64"/>
        <v>0</v>
      </c>
    </row>
    <row r="1110" spans="2:5" x14ac:dyDescent="0.35">
      <c r="B1110" t="str">
        <f>AU1</f>
        <v>ZMB</v>
      </c>
      <c r="C1110">
        <f>AU2</f>
        <v>17835892.999999981</v>
      </c>
      <c r="D1110" s="29" t="str">
        <f t="shared" si="63"/>
        <v>Medical Doctors</v>
      </c>
      <c r="E1110">
        <f t="shared" ref="E1110:E1133" si="65">AU3</f>
        <v>8042</v>
      </c>
    </row>
    <row r="1111" spans="2:5" x14ac:dyDescent="0.35">
      <c r="D1111" s="30" t="str">
        <f t="shared" si="63"/>
        <v>Nursing Personnel</v>
      </c>
      <c r="E1111">
        <f t="shared" si="65"/>
        <v>41492</v>
      </c>
    </row>
    <row r="1112" spans="2:5" x14ac:dyDescent="0.35">
      <c r="D1112" s="30" t="str">
        <f t="shared" si="63"/>
        <v>Midwifery personnel</v>
      </c>
      <c r="E1112">
        <f t="shared" si="65"/>
        <v>4274</v>
      </c>
    </row>
    <row r="1113" spans="2:5" x14ac:dyDescent="0.35">
      <c r="D1113" s="30" t="str">
        <f t="shared" si="63"/>
        <v>Pharmacists</v>
      </c>
      <c r="E1113">
        <f t="shared" si="65"/>
        <v>0</v>
      </c>
    </row>
    <row r="1114" spans="2:5" x14ac:dyDescent="0.35">
      <c r="D1114" s="30" t="str">
        <f t="shared" si="63"/>
        <v>Dentists</v>
      </c>
      <c r="E1114">
        <f t="shared" si="65"/>
        <v>0</v>
      </c>
    </row>
    <row r="1115" spans="2:5" x14ac:dyDescent="0.35">
      <c r="D1115" s="30" t="str">
        <f t="shared" si="63"/>
        <v xml:space="preserve">Community Health Workers </v>
      </c>
      <c r="E1115">
        <f t="shared" si="65"/>
        <v>1283</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119</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18</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761</v>
      </c>
    </row>
    <row r="1124" spans="2:5" x14ac:dyDescent="0.35">
      <c r="D1124" s="30" t="str">
        <f t="shared" si="63"/>
        <v xml:space="preserve">Medical Records and Health Information Technicians </v>
      </c>
      <c r="E1124">
        <f t="shared" si="65"/>
        <v>67</v>
      </c>
    </row>
    <row r="1125" spans="2:5" x14ac:dyDescent="0.35">
      <c r="D1125" s="30" t="str">
        <f t="shared" si="63"/>
        <v xml:space="preserve">Optometrists and Ophthalmic Opticians </v>
      </c>
      <c r="E1125">
        <f t="shared" si="65"/>
        <v>16</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1712</v>
      </c>
    </row>
    <row r="1129" spans="2:5" x14ac:dyDescent="0.35">
      <c r="D1129" s="30" t="str">
        <f t="shared" si="63"/>
        <v xml:space="preserve">Paramedical Practitioners </v>
      </c>
      <c r="E1129">
        <f t="shared" si="65"/>
        <v>3616</v>
      </c>
    </row>
    <row r="1130" spans="2:5" x14ac:dyDescent="0.35">
      <c r="D1130" s="30" t="str">
        <f t="shared" si="63"/>
        <v>Physiotherapists and physiotherapy assistants</v>
      </c>
      <c r="E1130">
        <f t="shared" si="65"/>
        <v>739</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15052184.000000007</v>
      </c>
      <c r="D1134" s="29" t="str">
        <f t="shared" ref="D1134:D1180" si="66">D1110</f>
        <v>Medical Doctors</v>
      </c>
      <c r="E1134">
        <f t="shared" ref="E1134:E1157" si="67">AV3</f>
        <v>6665</v>
      </c>
    </row>
    <row r="1135" spans="2:5" x14ac:dyDescent="0.35">
      <c r="D1135" s="30" t="str">
        <f t="shared" si="66"/>
        <v>Nursing Personnel</v>
      </c>
      <c r="E1135">
        <f t="shared" si="67"/>
        <v>67752</v>
      </c>
    </row>
    <row r="1136" spans="2:5" x14ac:dyDescent="0.35">
      <c r="D1136" s="30" t="str">
        <f t="shared" si="66"/>
        <v>Midwifery personnel</v>
      </c>
      <c r="E1136">
        <f t="shared" si="67"/>
        <v>0</v>
      </c>
    </row>
    <row r="1137" spans="4:5" x14ac:dyDescent="0.35">
      <c r="D1137" s="30" t="str">
        <f t="shared" si="66"/>
        <v>Pharmacists</v>
      </c>
      <c r="E1137">
        <f t="shared" si="67"/>
        <v>0</v>
      </c>
    </row>
    <row r="1138" spans="4:5" x14ac:dyDescent="0.35">
      <c r="D1138" s="30" t="str">
        <f t="shared" si="66"/>
        <v>Dentists</v>
      </c>
      <c r="E1138">
        <f t="shared" si="67"/>
        <v>0</v>
      </c>
    </row>
    <row r="1139" spans="4:5" x14ac:dyDescent="0.35">
      <c r="D1139" s="30" t="str">
        <f t="shared" si="66"/>
        <v xml:space="preserve">Community Health Workers </v>
      </c>
      <c r="E1139">
        <f t="shared" si="67"/>
        <v>15888</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2021</v>
      </c>
    </row>
    <row r="1143" spans="4:5" x14ac:dyDescent="0.35">
      <c r="D1143" s="30" t="str">
        <f t="shared" si="66"/>
        <v xml:space="preserve">Managerial staff </v>
      </c>
      <c r="E1143">
        <f t="shared" si="67"/>
        <v>414</v>
      </c>
    </row>
    <row r="1144" spans="4:5" x14ac:dyDescent="0.35">
      <c r="D1144" s="30" t="str">
        <f t="shared" si="66"/>
        <v xml:space="preserve">Medical and dental Prosthetic Technicians </v>
      </c>
      <c r="E1144">
        <f t="shared" si="67"/>
        <v>40</v>
      </c>
    </row>
    <row r="1145" spans="4:5" x14ac:dyDescent="0.35">
      <c r="D1145" s="30" t="str">
        <f t="shared" si="66"/>
        <v xml:space="preserve">Medical and Pathology Laboratory scientists </v>
      </c>
      <c r="E1145">
        <f t="shared" si="67"/>
        <v>644</v>
      </c>
    </row>
    <row r="1146" spans="4:5" x14ac:dyDescent="0.35">
      <c r="D1146" s="30" t="str">
        <f t="shared" si="66"/>
        <v xml:space="preserve">Medical Assistants </v>
      </c>
      <c r="E1146">
        <f t="shared" si="67"/>
        <v>164</v>
      </c>
    </row>
    <row r="1147" spans="4:5" x14ac:dyDescent="0.35">
      <c r="D1147" s="30" t="str">
        <f t="shared" si="66"/>
        <v xml:space="preserve">Medical Imaging and Therapeutic Equipment Technicians </v>
      </c>
      <c r="E1147">
        <f t="shared" si="67"/>
        <v>480</v>
      </c>
    </row>
    <row r="1148" spans="4:5" x14ac:dyDescent="0.35">
      <c r="D1148" s="30" t="str">
        <f t="shared" si="66"/>
        <v xml:space="preserve">Medical Records and Health Information Technicians </v>
      </c>
      <c r="E1148">
        <f t="shared" si="67"/>
        <v>703</v>
      </c>
    </row>
    <row r="1149" spans="4:5" x14ac:dyDescent="0.35">
      <c r="D1149" s="30" t="str">
        <f t="shared" si="66"/>
        <v xml:space="preserve">Optometrists and Ophthalmic Opticians </v>
      </c>
      <c r="E1149">
        <f t="shared" si="67"/>
        <v>20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1126</v>
      </c>
    </row>
    <row r="1153" spans="2:5" x14ac:dyDescent="0.35">
      <c r="D1153" s="30" t="str">
        <f t="shared" si="66"/>
        <v xml:space="preserve">Paramedical Practitioners </v>
      </c>
      <c r="E1153">
        <f t="shared" si="67"/>
        <v>0</v>
      </c>
    </row>
    <row r="1154" spans="2:5" x14ac:dyDescent="0.35">
      <c r="D1154" s="30" t="str">
        <f t="shared" si="66"/>
        <v>Physiotherapists and physiotherapy assistants</v>
      </c>
      <c r="E1154">
        <f t="shared" si="67"/>
        <v>688</v>
      </c>
    </row>
    <row r="1155" spans="2:5" x14ac:dyDescent="0.35">
      <c r="D1155" s="30" t="str">
        <f t="shared" si="66"/>
        <v>Social workers</v>
      </c>
      <c r="E1155">
        <f t="shared" si="67"/>
        <v>12</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1215</v>
      </c>
    </row>
    <row r="1158" spans="2:5" x14ac:dyDescent="0.35">
      <c r="B1158" t="s">
        <v>9</v>
      </c>
      <c r="C1158">
        <f>AW2</f>
        <v>1076956971</v>
      </c>
      <c r="D1158" s="29" t="str">
        <f t="shared" si="66"/>
        <v>Medical Doctors</v>
      </c>
      <c r="E1158">
        <f t="shared" ref="E1158:E1181" si="68">AW3</f>
        <v>580378</v>
      </c>
    </row>
    <row r="1159" spans="2:5" x14ac:dyDescent="0.35">
      <c r="D1159" s="30" t="str">
        <f t="shared" si="66"/>
        <v>Nursing Personnel</v>
      </c>
      <c r="E1159">
        <f t="shared" si="68"/>
        <v>1782389</v>
      </c>
    </row>
    <row r="1160" spans="2:5" x14ac:dyDescent="0.35">
      <c r="D1160" s="30" t="str">
        <f t="shared" si="66"/>
        <v>Midwifery personnel</v>
      </c>
      <c r="E1160">
        <f t="shared" si="68"/>
        <v>258294</v>
      </c>
    </row>
    <row r="1161" spans="2:5" x14ac:dyDescent="0.35">
      <c r="D1161" s="30" t="str">
        <f t="shared" si="66"/>
        <v>Pharmacists</v>
      </c>
      <c r="E1161">
        <f t="shared" si="68"/>
        <v>45467</v>
      </c>
    </row>
    <row r="1162" spans="2:5" x14ac:dyDescent="0.35">
      <c r="D1162" s="30" t="str">
        <f t="shared" si="66"/>
        <v>Dentists</v>
      </c>
      <c r="E1162">
        <f t="shared" si="68"/>
        <v>40357</v>
      </c>
    </row>
    <row r="1163" spans="2:5" x14ac:dyDescent="0.35">
      <c r="D1163" s="30" t="str">
        <f t="shared" si="66"/>
        <v xml:space="preserve">Community Health Workers </v>
      </c>
      <c r="E1163">
        <f t="shared" si="68"/>
        <v>497728</v>
      </c>
    </row>
    <row r="1164" spans="2:5" x14ac:dyDescent="0.35">
      <c r="D1164" s="30" t="str">
        <f t="shared" si="66"/>
        <v>Dieticians and nutritionists</v>
      </c>
      <c r="E1164">
        <f t="shared" si="68"/>
        <v>7269</v>
      </c>
    </row>
    <row r="1165" spans="2:5" x14ac:dyDescent="0.35">
      <c r="D1165" s="30" t="str">
        <f t="shared" si="66"/>
        <v>Environmental and occupational health &amp; hygiene workers</v>
      </c>
      <c r="E1165">
        <f t="shared" si="68"/>
        <v>13855</v>
      </c>
    </row>
    <row r="1166" spans="2:5" x14ac:dyDescent="0.35">
      <c r="D1166" s="30" t="str">
        <f t="shared" si="66"/>
        <v>Personal care workers in health service</v>
      </c>
      <c r="E1166">
        <f t="shared" si="68"/>
        <v>50208</v>
      </c>
    </row>
    <row r="1167" spans="2:5" x14ac:dyDescent="0.35">
      <c r="D1167" s="30" t="str">
        <f t="shared" si="66"/>
        <v xml:space="preserve">Managerial staff </v>
      </c>
      <c r="E1167">
        <f t="shared" si="68"/>
        <v>1483</v>
      </c>
    </row>
    <row r="1168" spans="2:5" x14ac:dyDescent="0.35">
      <c r="D1168" s="30" t="str">
        <f t="shared" si="66"/>
        <v xml:space="preserve">Medical and dental Prosthetic Technicians </v>
      </c>
      <c r="E1168">
        <f t="shared" si="68"/>
        <v>7543</v>
      </c>
    </row>
    <row r="1169" spans="4:5" x14ac:dyDescent="0.35">
      <c r="D1169" s="30" t="str">
        <f t="shared" si="66"/>
        <v xml:space="preserve">Medical and Pathology Laboratory scientists </v>
      </c>
      <c r="E1169">
        <f t="shared" si="68"/>
        <v>67184</v>
      </c>
    </row>
    <row r="1170" spans="4:5" x14ac:dyDescent="0.35">
      <c r="D1170" s="30" t="str">
        <f t="shared" si="66"/>
        <v xml:space="preserve">Medical Assistants </v>
      </c>
      <c r="E1170">
        <f t="shared" si="68"/>
        <v>3839</v>
      </c>
    </row>
    <row r="1171" spans="4:5" x14ac:dyDescent="0.35">
      <c r="D1171" s="30" t="str">
        <f t="shared" si="66"/>
        <v xml:space="preserve">Medical Imaging and Therapeutic Equipment Technicians </v>
      </c>
      <c r="E1171">
        <f t="shared" si="68"/>
        <v>19960</v>
      </c>
    </row>
    <row r="1172" spans="4:5" x14ac:dyDescent="0.35">
      <c r="D1172" s="30" t="str">
        <f t="shared" si="66"/>
        <v xml:space="preserve">Medical Records and Health Information Technicians </v>
      </c>
      <c r="E1172">
        <f t="shared" si="68"/>
        <v>1558</v>
      </c>
    </row>
    <row r="1173" spans="4:5" x14ac:dyDescent="0.35">
      <c r="D1173" s="30" t="str">
        <f t="shared" si="66"/>
        <v xml:space="preserve">Optometrists and Ophthalmic Opticians </v>
      </c>
      <c r="E1173">
        <f t="shared" si="68"/>
        <v>10301</v>
      </c>
    </row>
    <row r="1174" spans="4:5" x14ac:dyDescent="0.35">
      <c r="D1174" s="30" t="str">
        <f t="shared" si="66"/>
        <v xml:space="preserve">Other non-medical professional staff </v>
      </c>
      <c r="E1174">
        <f t="shared" si="68"/>
        <v>8785</v>
      </c>
    </row>
    <row r="1175" spans="4:5" x14ac:dyDescent="0.35">
      <c r="D1175" s="30" t="str">
        <f t="shared" si="66"/>
        <v xml:space="preserve">Other non-medical support staff </v>
      </c>
      <c r="E1175">
        <f t="shared" si="68"/>
        <v>80178</v>
      </c>
    </row>
    <row r="1176" spans="4:5" x14ac:dyDescent="0.35">
      <c r="D1176" s="30" t="str">
        <f t="shared" si="66"/>
        <v xml:space="preserve">Medical and Pathology Laboratory Technicians </v>
      </c>
      <c r="E1176">
        <f t="shared" si="68"/>
        <v>53702</v>
      </c>
    </row>
    <row r="1177" spans="4:5" x14ac:dyDescent="0.35">
      <c r="D1177" s="30" t="str">
        <f t="shared" si="66"/>
        <v xml:space="preserve">Paramedical Practitioners </v>
      </c>
      <c r="E1177">
        <f t="shared" si="68"/>
        <v>32049</v>
      </c>
    </row>
    <row r="1178" spans="4:5" x14ac:dyDescent="0.35">
      <c r="D1178" s="30" t="str">
        <f t="shared" si="66"/>
        <v>Physiotherapists and physiotherapy assistants</v>
      </c>
      <c r="E1178">
        <f t="shared" si="68"/>
        <v>17453</v>
      </c>
    </row>
    <row r="1179" spans="4:5" x14ac:dyDescent="0.35">
      <c r="D1179" s="30" t="str">
        <f t="shared" si="66"/>
        <v>Social workers</v>
      </c>
      <c r="E1179">
        <f t="shared" si="68"/>
        <v>567</v>
      </c>
    </row>
    <row r="1180" spans="4:5" x14ac:dyDescent="0.35">
      <c r="D1180" s="30" t="str">
        <f t="shared" si="66"/>
        <v xml:space="preserve">Audiologists and Speech Therapists </v>
      </c>
      <c r="E1180">
        <f t="shared" si="68"/>
        <v>3605</v>
      </c>
    </row>
    <row r="1181" spans="4:5" x14ac:dyDescent="0.35">
      <c r="D1181" s="30" t="str">
        <f t="shared" ref="D1181" si="69">D1157</f>
        <v>Traditional and complementary medicine practitioners</v>
      </c>
      <c r="E1181">
        <f t="shared" si="68"/>
        <v>1215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3D18-CA2B-43AD-BC83-282F810CF12E}">
  <dimension ref="A1:AW1181"/>
  <sheetViews>
    <sheetView topLeftCell="AE1" workbookViewId="0">
      <selection activeCell="A2" sqref="A2:AW2"/>
    </sheetView>
  </sheetViews>
  <sheetFormatPr defaultColWidth="8.81640625" defaultRowHeight="14.5" x14ac:dyDescent="0.35"/>
  <cols>
    <col min="1" max="1" width="56.6328125" bestFit="1"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32353587.999999993</v>
      </c>
      <c r="C2">
        <v>11874838</v>
      </c>
      <c r="D2">
        <v>12290444.000000004</v>
      </c>
      <c r="E2">
        <v>20951638.999999996</v>
      </c>
      <c r="F2">
        <v>2499701.5</v>
      </c>
      <c r="G2">
        <v>5209324.4999999963</v>
      </c>
      <c r="H2">
        <v>26147550.999999996</v>
      </c>
      <c r="I2">
        <v>25782340.999999996</v>
      </c>
      <c r="J2">
        <v>89906890.500000015</v>
      </c>
      <c r="K2">
        <v>5570732.4999999953</v>
      </c>
      <c r="L2">
        <v>790986.00000000023</v>
      </c>
      <c r="M2">
        <v>577030.49999999965</v>
      </c>
      <c r="N2">
        <v>42705368.50000003</v>
      </c>
      <c r="O2">
        <v>3498818.0000000014</v>
      </c>
      <c r="P2">
        <v>114120593.49999996</v>
      </c>
      <c r="Q2">
        <v>2242785.5000000005</v>
      </c>
      <c r="R2">
        <v>31522289.999999996</v>
      </c>
      <c r="S2">
        <v>12877538.499999994</v>
      </c>
      <c r="T2">
        <v>2508883.5000000009</v>
      </c>
      <c r="U2">
        <v>1970456.5</v>
      </c>
      <c r="V2">
        <v>1553030.5000000002</v>
      </c>
      <c r="W2">
        <v>50951450</v>
      </c>
      <c r="X2">
        <v>4985289.0000000075</v>
      </c>
      <c r="Y2">
        <v>2225701.4999999995</v>
      </c>
      <c r="Z2">
        <v>27533134.000000015</v>
      </c>
      <c r="AA2">
        <v>20567423.999999989</v>
      </c>
      <c r="AB2">
        <v>30285595.000000004</v>
      </c>
      <c r="AC2">
        <v>4383848.5000000009</v>
      </c>
      <c r="AD2">
        <v>1296279.0000000002</v>
      </c>
      <c r="AE2">
        <v>18867336.499999993</v>
      </c>
      <c r="AF2">
        <v>2446644.4999999977</v>
      </c>
      <c r="AG2">
        <v>23443392.999999978</v>
      </c>
      <c r="AH2">
        <v>203304491.50000006</v>
      </c>
      <c r="AI2">
        <v>12835028</v>
      </c>
      <c r="AJ2">
        <v>16000781.500000006</v>
      </c>
      <c r="AK2">
        <v>8046828.5</v>
      </c>
      <c r="AL2">
        <v>10447665.999999998</v>
      </c>
      <c r="AM2">
        <v>214599.00000000006</v>
      </c>
      <c r="AN2">
        <v>1169612.9999999998</v>
      </c>
      <c r="AO2">
        <v>104372.49999999997</v>
      </c>
      <c r="AP2">
        <v>16126866</v>
      </c>
      <c r="AQ2">
        <v>8243094.5000000047</v>
      </c>
      <c r="AR2">
        <v>59872579</v>
      </c>
      <c r="AS2">
        <v>42949080.000000015</v>
      </c>
      <c r="AT2">
        <v>58087054.999999985</v>
      </c>
      <c r="AU2">
        <v>18380476.500000004</v>
      </c>
      <c r="AV2">
        <v>15354607.5</v>
      </c>
      <c r="AW2">
        <v>1105078064.5</v>
      </c>
    </row>
    <row r="3" spans="1:49" x14ac:dyDescent="0.35">
      <c r="A3" t="s">
        <v>135</v>
      </c>
      <c r="B3">
        <v>0</v>
      </c>
      <c r="C3">
        <v>0</v>
      </c>
      <c r="D3">
        <v>1842</v>
      </c>
      <c r="E3">
        <v>5397</v>
      </c>
      <c r="F3">
        <v>1840</v>
      </c>
      <c r="G3">
        <v>0</v>
      </c>
      <c r="H3">
        <v>8346</v>
      </c>
      <c r="I3">
        <v>0</v>
      </c>
      <c r="J3">
        <v>30032</v>
      </c>
      <c r="K3">
        <v>0</v>
      </c>
      <c r="L3">
        <v>0</v>
      </c>
      <c r="M3">
        <v>0</v>
      </c>
      <c r="N3">
        <v>84280</v>
      </c>
      <c r="O3">
        <v>576</v>
      </c>
      <c r="P3">
        <v>11734</v>
      </c>
      <c r="Q3">
        <v>3587</v>
      </c>
      <c r="R3">
        <v>6634</v>
      </c>
      <c r="S3">
        <v>0</v>
      </c>
      <c r="T3">
        <v>457</v>
      </c>
      <c r="U3">
        <v>0</v>
      </c>
      <c r="V3">
        <v>0</v>
      </c>
      <c r="W3">
        <v>0</v>
      </c>
      <c r="X3">
        <v>1508</v>
      </c>
      <c r="Y3">
        <v>0</v>
      </c>
      <c r="Z3">
        <v>0</v>
      </c>
      <c r="AA3">
        <v>0</v>
      </c>
      <c r="AB3">
        <v>5993</v>
      </c>
      <c r="AC3">
        <v>1794</v>
      </c>
      <c r="AD3">
        <v>6580</v>
      </c>
      <c r="AE3">
        <v>0</v>
      </c>
      <c r="AF3">
        <v>1931</v>
      </c>
      <c r="AG3">
        <v>1776</v>
      </c>
      <c r="AH3">
        <v>159688</v>
      </c>
      <c r="AI3">
        <v>2984</v>
      </c>
      <c r="AJ3">
        <v>5952</v>
      </c>
      <c r="AK3">
        <v>538</v>
      </c>
      <c r="AL3">
        <v>747</v>
      </c>
      <c r="AM3">
        <v>213</v>
      </c>
      <c r="AN3">
        <v>0</v>
      </c>
      <c r="AO3">
        <v>479</v>
      </c>
      <c r="AP3">
        <v>1905</v>
      </c>
      <c r="AQ3">
        <v>1651</v>
      </c>
      <c r="AR3">
        <v>0</v>
      </c>
      <c r="AS3">
        <v>0</v>
      </c>
      <c r="AT3">
        <v>92786</v>
      </c>
      <c r="AU3">
        <v>8772</v>
      </c>
      <c r="AV3">
        <v>0</v>
      </c>
      <c r="AW3">
        <v>450022</v>
      </c>
    </row>
    <row r="4" spans="1:49" x14ac:dyDescent="0.35">
      <c r="A4" t="s">
        <v>139</v>
      </c>
      <c r="B4">
        <v>0</v>
      </c>
      <c r="C4">
        <v>15036</v>
      </c>
      <c r="D4">
        <v>5340</v>
      </c>
      <c r="E4">
        <v>22728</v>
      </c>
      <c r="F4">
        <v>15526</v>
      </c>
      <c r="G4">
        <v>0</v>
      </c>
      <c r="H4">
        <v>22518</v>
      </c>
      <c r="I4">
        <v>0</v>
      </c>
      <c r="J4">
        <v>187928</v>
      </c>
      <c r="K4">
        <v>0</v>
      </c>
      <c r="L4">
        <v>0</v>
      </c>
      <c r="M4">
        <v>0</v>
      </c>
      <c r="N4">
        <v>8850</v>
      </c>
      <c r="O4">
        <v>0</v>
      </c>
      <c r="P4">
        <v>0</v>
      </c>
      <c r="Q4">
        <v>10179</v>
      </c>
      <c r="R4">
        <v>139578</v>
      </c>
      <c r="S4">
        <v>0</v>
      </c>
      <c r="T4">
        <v>1498</v>
      </c>
      <c r="U4">
        <v>0</v>
      </c>
      <c r="V4">
        <v>0</v>
      </c>
      <c r="W4">
        <v>0</v>
      </c>
      <c r="X4">
        <v>3956</v>
      </c>
      <c r="Y4">
        <v>0</v>
      </c>
      <c r="Z4">
        <v>0</v>
      </c>
      <c r="AA4">
        <v>0</v>
      </c>
      <c r="AB4">
        <v>16358</v>
      </c>
      <c r="AC4">
        <v>8738</v>
      </c>
      <c r="AD4">
        <v>0</v>
      </c>
      <c r="AE4">
        <v>0</v>
      </c>
      <c r="AF4">
        <v>11806</v>
      </c>
      <c r="AG4">
        <v>0</v>
      </c>
      <c r="AH4">
        <v>361418</v>
      </c>
      <c r="AI4">
        <v>20818</v>
      </c>
      <c r="AJ4">
        <v>14883</v>
      </c>
      <c r="AK4">
        <v>8622</v>
      </c>
      <c r="AL4">
        <v>7428</v>
      </c>
      <c r="AM4">
        <v>880</v>
      </c>
      <c r="AN4">
        <v>0</v>
      </c>
      <c r="AO4">
        <v>0</v>
      </c>
      <c r="AP4">
        <v>0</v>
      </c>
      <c r="AQ4">
        <v>4268</v>
      </c>
      <c r="AR4">
        <v>0</v>
      </c>
      <c r="AS4">
        <v>0</v>
      </c>
      <c r="AT4">
        <v>129276</v>
      </c>
      <c r="AU4">
        <v>46070</v>
      </c>
      <c r="AV4">
        <v>0</v>
      </c>
      <c r="AW4">
        <v>1063702</v>
      </c>
    </row>
    <row r="5" spans="1:49" x14ac:dyDescent="0.35">
      <c r="A5" t="s">
        <v>138</v>
      </c>
      <c r="B5">
        <v>0</v>
      </c>
      <c r="C5">
        <v>248</v>
      </c>
      <c r="D5">
        <v>1810</v>
      </c>
      <c r="E5">
        <v>14954</v>
      </c>
      <c r="F5">
        <v>0</v>
      </c>
      <c r="G5">
        <v>0</v>
      </c>
      <c r="H5">
        <v>11202</v>
      </c>
      <c r="I5">
        <v>0</v>
      </c>
      <c r="J5">
        <v>6298</v>
      </c>
      <c r="K5">
        <v>0</v>
      </c>
      <c r="L5">
        <v>0</v>
      </c>
      <c r="M5">
        <v>0</v>
      </c>
      <c r="N5">
        <v>18140</v>
      </c>
      <c r="O5">
        <v>0</v>
      </c>
      <c r="P5">
        <v>0</v>
      </c>
      <c r="Q5">
        <v>1214</v>
      </c>
      <c r="R5">
        <v>25346</v>
      </c>
      <c r="S5">
        <v>0</v>
      </c>
      <c r="T5">
        <v>682</v>
      </c>
      <c r="U5">
        <v>0</v>
      </c>
      <c r="V5">
        <v>0</v>
      </c>
      <c r="W5">
        <v>0</v>
      </c>
      <c r="X5">
        <v>1534</v>
      </c>
      <c r="Y5">
        <v>0</v>
      </c>
      <c r="Z5">
        <v>0</v>
      </c>
      <c r="AA5">
        <v>0</v>
      </c>
      <c r="AB5">
        <v>12350</v>
      </c>
      <c r="AC5">
        <v>1864</v>
      </c>
      <c r="AD5">
        <v>0</v>
      </c>
      <c r="AE5">
        <v>0</v>
      </c>
      <c r="AF5">
        <v>10</v>
      </c>
      <c r="AG5">
        <v>0</v>
      </c>
      <c r="AH5">
        <v>241740</v>
      </c>
      <c r="AI5">
        <v>3122</v>
      </c>
      <c r="AJ5">
        <v>5312</v>
      </c>
      <c r="AK5">
        <v>4746</v>
      </c>
      <c r="AL5">
        <v>4760</v>
      </c>
      <c r="AM5">
        <v>44</v>
      </c>
      <c r="AN5">
        <v>0</v>
      </c>
      <c r="AO5">
        <v>0</v>
      </c>
      <c r="AP5">
        <v>1178</v>
      </c>
      <c r="AQ5">
        <v>3238</v>
      </c>
      <c r="AR5">
        <v>0</v>
      </c>
      <c r="AS5">
        <v>0</v>
      </c>
      <c r="AT5">
        <v>0</v>
      </c>
      <c r="AU5">
        <v>6446</v>
      </c>
      <c r="AV5">
        <v>0</v>
      </c>
      <c r="AW5">
        <v>366238</v>
      </c>
    </row>
    <row r="6" spans="1:49" x14ac:dyDescent="0.35">
      <c r="A6" t="s">
        <v>82</v>
      </c>
      <c r="B6">
        <v>0</v>
      </c>
      <c r="C6">
        <v>83</v>
      </c>
      <c r="D6">
        <v>106</v>
      </c>
      <c r="E6">
        <v>85</v>
      </c>
      <c r="F6">
        <v>0</v>
      </c>
      <c r="G6">
        <v>1362</v>
      </c>
      <c r="H6">
        <v>814</v>
      </c>
      <c r="I6">
        <v>227</v>
      </c>
      <c r="J6">
        <v>3532</v>
      </c>
      <c r="K6">
        <v>0</v>
      </c>
      <c r="L6">
        <v>0</v>
      </c>
      <c r="M6">
        <v>0</v>
      </c>
      <c r="N6">
        <v>86</v>
      </c>
      <c r="O6">
        <v>0</v>
      </c>
      <c r="P6">
        <v>15498</v>
      </c>
      <c r="Q6">
        <v>0</v>
      </c>
      <c r="R6">
        <v>0</v>
      </c>
      <c r="S6">
        <v>0</v>
      </c>
      <c r="T6">
        <v>60</v>
      </c>
      <c r="U6">
        <v>0</v>
      </c>
      <c r="V6">
        <v>182</v>
      </c>
      <c r="W6">
        <v>11741</v>
      </c>
      <c r="X6">
        <v>235</v>
      </c>
      <c r="Y6">
        <v>0</v>
      </c>
      <c r="Z6">
        <v>0</v>
      </c>
      <c r="AA6">
        <v>170</v>
      </c>
      <c r="AB6">
        <v>0</v>
      </c>
      <c r="AC6">
        <v>0</v>
      </c>
      <c r="AD6">
        <v>14</v>
      </c>
      <c r="AE6">
        <v>107</v>
      </c>
      <c r="AF6">
        <v>0</v>
      </c>
      <c r="AG6">
        <v>0</v>
      </c>
      <c r="AH6">
        <v>0</v>
      </c>
      <c r="AI6">
        <v>194</v>
      </c>
      <c r="AJ6">
        <v>0</v>
      </c>
      <c r="AK6">
        <v>0</v>
      </c>
      <c r="AL6">
        <v>0</v>
      </c>
      <c r="AM6">
        <v>349</v>
      </c>
      <c r="AN6">
        <v>0</v>
      </c>
      <c r="AO6">
        <v>0</v>
      </c>
      <c r="AP6">
        <v>269</v>
      </c>
      <c r="AQ6">
        <v>0</v>
      </c>
      <c r="AR6">
        <v>0</v>
      </c>
      <c r="AS6">
        <v>2202</v>
      </c>
      <c r="AT6">
        <v>0</v>
      </c>
      <c r="AU6">
        <v>0</v>
      </c>
      <c r="AV6">
        <v>0</v>
      </c>
      <c r="AW6">
        <v>37316</v>
      </c>
    </row>
    <row r="7" spans="1:49" x14ac:dyDescent="0.35">
      <c r="A7" t="s">
        <v>60</v>
      </c>
      <c r="B7">
        <v>0</v>
      </c>
      <c r="C7">
        <v>18</v>
      </c>
      <c r="D7">
        <v>32</v>
      </c>
      <c r="E7">
        <v>131</v>
      </c>
      <c r="F7">
        <v>84</v>
      </c>
      <c r="G7">
        <v>446</v>
      </c>
      <c r="H7">
        <v>160</v>
      </c>
      <c r="I7">
        <v>40</v>
      </c>
      <c r="J7">
        <v>1440</v>
      </c>
      <c r="K7">
        <v>0</v>
      </c>
      <c r="L7">
        <v>0</v>
      </c>
      <c r="M7">
        <v>577</v>
      </c>
      <c r="N7">
        <v>5</v>
      </c>
      <c r="O7">
        <v>0</v>
      </c>
      <c r="P7">
        <v>0</v>
      </c>
      <c r="Q7">
        <v>0</v>
      </c>
      <c r="R7">
        <v>0</v>
      </c>
      <c r="S7">
        <v>0</v>
      </c>
      <c r="T7">
        <v>30</v>
      </c>
      <c r="U7">
        <v>0</v>
      </c>
      <c r="V7">
        <v>83</v>
      </c>
      <c r="W7">
        <v>13262</v>
      </c>
      <c r="X7">
        <v>0</v>
      </c>
      <c r="Y7">
        <v>0</v>
      </c>
      <c r="Z7">
        <v>0</v>
      </c>
      <c r="AA7">
        <v>121</v>
      </c>
      <c r="AB7">
        <v>0</v>
      </c>
      <c r="AC7">
        <v>0</v>
      </c>
      <c r="AD7">
        <v>0</v>
      </c>
      <c r="AE7">
        <v>50</v>
      </c>
      <c r="AF7">
        <v>0</v>
      </c>
      <c r="AG7">
        <v>0</v>
      </c>
      <c r="AH7">
        <v>0</v>
      </c>
      <c r="AI7">
        <v>234</v>
      </c>
      <c r="AJ7">
        <v>0</v>
      </c>
      <c r="AK7">
        <v>0</v>
      </c>
      <c r="AL7">
        <v>0</v>
      </c>
      <c r="AM7">
        <v>78</v>
      </c>
      <c r="AN7">
        <v>0</v>
      </c>
      <c r="AO7">
        <v>0</v>
      </c>
      <c r="AP7">
        <v>3</v>
      </c>
      <c r="AQ7">
        <v>0</v>
      </c>
      <c r="AR7">
        <v>0</v>
      </c>
      <c r="AS7">
        <v>1045</v>
      </c>
      <c r="AT7">
        <v>0</v>
      </c>
      <c r="AU7">
        <v>0</v>
      </c>
      <c r="AV7">
        <v>0</v>
      </c>
      <c r="AW7">
        <v>17839</v>
      </c>
    </row>
    <row r="8" spans="1:49" x14ac:dyDescent="0.35">
      <c r="A8" t="s">
        <v>127</v>
      </c>
      <c r="E8">
        <v>2979</v>
      </c>
      <c r="Q8">
        <v>117</v>
      </c>
      <c r="T8">
        <v>0</v>
      </c>
      <c r="Z8">
        <v>38338</v>
      </c>
      <c r="AB8">
        <v>6632</v>
      </c>
      <c r="AH8">
        <v>116454</v>
      </c>
      <c r="AJ8">
        <v>1116</v>
      </c>
      <c r="AK8">
        <v>15000</v>
      </c>
      <c r="AL8">
        <v>850</v>
      </c>
      <c r="AS8">
        <v>179000</v>
      </c>
      <c r="AU8">
        <v>1846</v>
      </c>
      <c r="AW8">
        <v>362332</v>
      </c>
    </row>
    <row r="9" spans="1:49" x14ac:dyDescent="0.35">
      <c r="A9" t="s">
        <v>61</v>
      </c>
      <c r="B9">
        <v>0</v>
      </c>
      <c r="C9">
        <v>0</v>
      </c>
      <c r="D9">
        <v>0</v>
      </c>
      <c r="E9">
        <v>0</v>
      </c>
      <c r="F9">
        <v>0</v>
      </c>
      <c r="G9">
        <v>0</v>
      </c>
      <c r="H9">
        <v>29</v>
      </c>
      <c r="I9">
        <v>0</v>
      </c>
      <c r="J9">
        <v>0</v>
      </c>
      <c r="K9">
        <v>0</v>
      </c>
      <c r="L9">
        <v>0</v>
      </c>
      <c r="M9">
        <v>0</v>
      </c>
      <c r="N9">
        <v>7</v>
      </c>
      <c r="O9">
        <v>0</v>
      </c>
      <c r="P9">
        <v>0</v>
      </c>
      <c r="Q9">
        <v>0</v>
      </c>
      <c r="R9">
        <v>0</v>
      </c>
      <c r="S9">
        <v>0</v>
      </c>
      <c r="T9">
        <v>0</v>
      </c>
      <c r="U9">
        <v>0</v>
      </c>
      <c r="V9">
        <v>6</v>
      </c>
      <c r="W9">
        <v>3877</v>
      </c>
      <c r="X9">
        <v>0</v>
      </c>
      <c r="Y9">
        <v>0</v>
      </c>
      <c r="Z9">
        <v>0</v>
      </c>
      <c r="AA9">
        <v>0</v>
      </c>
      <c r="AB9">
        <v>0</v>
      </c>
      <c r="AC9">
        <v>0</v>
      </c>
      <c r="AD9">
        <v>1</v>
      </c>
      <c r="AE9">
        <v>0</v>
      </c>
      <c r="AF9">
        <v>0</v>
      </c>
      <c r="AG9">
        <v>0</v>
      </c>
      <c r="AH9">
        <v>0</v>
      </c>
      <c r="AI9">
        <v>0</v>
      </c>
      <c r="AJ9">
        <v>0</v>
      </c>
      <c r="AK9">
        <v>0</v>
      </c>
      <c r="AL9">
        <v>0</v>
      </c>
      <c r="AM9">
        <v>14</v>
      </c>
      <c r="AN9">
        <v>0</v>
      </c>
      <c r="AO9">
        <v>0</v>
      </c>
      <c r="AP9">
        <v>0</v>
      </c>
      <c r="AQ9">
        <v>0</v>
      </c>
      <c r="AR9">
        <v>0</v>
      </c>
      <c r="AS9">
        <v>0</v>
      </c>
      <c r="AT9">
        <v>0</v>
      </c>
      <c r="AU9">
        <v>0</v>
      </c>
      <c r="AV9">
        <v>0</v>
      </c>
      <c r="AW9">
        <v>3934</v>
      </c>
    </row>
    <row r="10" spans="1:49" x14ac:dyDescent="0.35">
      <c r="A10" t="s">
        <v>62</v>
      </c>
      <c r="B10">
        <v>0</v>
      </c>
      <c r="C10">
        <v>149</v>
      </c>
      <c r="D10">
        <v>0</v>
      </c>
      <c r="E10">
        <v>0</v>
      </c>
      <c r="F10">
        <v>0</v>
      </c>
      <c r="G10">
        <v>0</v>
      </c>
      <c r="H10">
        <v>148</v>
      </c>
      <c r="I10">
        <v>0</v>
      </c>
      <c r="J10">
        <v>4362</v>
      </c>
      <c r="K10">
        <v>0</v>
      </c>
      <c r="L10">
        <v>0</v>
      </c>
      <c r="M10">
        <v>0</v>
      </c>
      <c r="N10">
        <v>20</v>
      </c>
      <c r="O10">
        <v>0</v>
      </c>
      <c r="P10">
        <v>0</v>
      </c>
      <c r="Q10">
        <v>0</v>
      </c>
      <c r="R10">
        <v>0</v>
      </c>
      <c r="S10">
        <v>363</v>
      </c>
      <c r="T10">
        <v>0</v>
      </c>
      <c r="U10">
        <v>0</v>
      </c>
      <c r="V10">
        <v>0</v>
      </c>
      <c r="W10">
        <v>3730</v>
      </c>
      <c r="X10">
        <v>0</v>
      </c>
      <c r="Y10">
        <v>0</v>
      </c>
      <c r="Z10">
        <v>0</v>
      </c>
      <c r="AA10">
        <v>146</v>
      </c>
      <c r="AB10">
        <v>0</v>
      </c>
      <c r="AC10">
        <v>0</v>
      </c>
      <c r="AD10">
        <v>311</v>
      </c>
      <c r="AE10">
        <v>0</v>
      </c>
      <c r="AF10">
        <v>0</v>
      </c>
      <c r="AG10">
        <v>0</v>
      </c>
      <c r="AH10">
        <v>0</v>
      </c>
      <c r="AI10">
        <v>0</v>
      </c>
      <c r="AJ10">
        <v>0</v>
      </c>
      <c r="AK10">
        <v>0</v>
      </c>
      <c r="AL10">
        <v>0</v>
      </c>
      <c r="AM10">
        <v>26</v>
      </c>
      <c r="AN10">
        <v>0</v>
      </c>
      <c r="AO10">
        <v>0</v>
      </c>
      <c r="AP10">
        <v>0</v>
      </c>
      <c r="AQ10">
        <v>0</v>
      </c>
      <c r="AR10">
        <v>0</v>
      </c>
      <c r="AS10">
        <v>0</v>
      </c>
      <c r="AT10">
        <v>0</v>
      </c>
      <c r="AU10">
        <v>0</v>
      </c>
      <c r="AV10">
        <v>0</v>
      </c>
      <c r="AW10">
        <v>9255</v>
      </c>
    </row>
    <row r="11" spans="1:49" x14ac:dyDescent="0.35">
      <c r="A11" t="s">
        <v>203</v>
      </c>
      <c r="B11">
        <v>0</v>
      </c>
      <c r="C11">
        <v>0</v>
      </c>
      <c r="D11">
        <v>0</v>
      </c>
      <c r="E11">
        <v>0</v>
      </c>
      <c r="F11">
        <v>1421</v>
      </c>
      <c r="G11">
        <v>0</v>
      </c>
      <c r="H11">
        <v>4168</v>
      </c>
      <c r="I11">
        <v>0</v>
      </c>
      <c r="J11">
        <v>0</v>
      </c>
      <c r="K11">
        <v>0</v>
      </c>
      <c r="L11">
        <v>0</v>
      </c>
      <c r="M11">
        <v>0</v>
      </c>
      <c r="N11">
        <v>0</v>
      </c>
      <c r="O11">
        <v>0</v>
      </c>
      <c r="P11">
        <v>0</v>
      </c>
      <c r="Q11">
        <v>40</v>
      </c>
      <c r="R11">
        <v>0</v>
      </c>
      <c r="S11">
        <v>0</v>
      </c>
      <c r="T11">
        <v>0</v>
      </c>
      <c r="U11">
        <v>0</v>
      </c>
      <c r="V11">
        <v>0</v>
      </c>
      <c r="W11">
        <v>0</v>
      </c>
      <c r="X11">
        <v>0</v>
      </c>
      <c r="Y11">
        <v>0</v>
      </c>
      <c r="Z11">
        <v>0</v>
      </c>
      <c r="AA11">
        <v>0</v>
      </c>
      <c r="AB11">
        <v>0</v>
      </c>
      <c r="AC11">
        <v>0</v>
      </c>
      <c r="AD11">
        <v>0</v>
      </c>
      <c r="AE11">
        <v>0</v>
      </c>
      <c r="AF11">
        <v>0</v>
      </c>
      <c r="AG11">
        <v>0</v>
      </c>
      <c r="AH11">
        <v>0</v>
      </c>
      <c r="AI11">
        <v>0</v>
      </c>
      <c r="AJ11">
        <v>15422</v>
      </c>
      <c r="AK11">
        <v>0</v>
      </c>
      <c r="AL11">
        <v>5870</v>
      </c>
      <c r="AM11">
        <v>0</v>
      </c>
      <c r="AN11">
        <v>0</v>
      </c>
      <c r="AO11">
        <v>0</v>
      </c>
      <c r="AP11">
        <v>208</v>
      </c>
      <c r="AQ11">
        <v>3845</v>
      </c>
      <c r="AR11">
        <v>0</v>
      </c>
      <c r="AS11">
        <v>0</v>
      </c>
      <c r="AT11">
        <v>0</v>
      </c>
      <c r="AU11">
        <v>0</v>
      </c>
      <c r="AV11">
        <v>0</v>
      </c>
      <c r="AW11">
        <v>30974</v>
      </c>
    </row>
    <row r="12" spans="1:49" x14ac:dyDescent="0.35">
      <c r="A12" t="s">
        <v>204</v>
      </c>
      <c r="F12">
        <v>131</v>
      </c>
      <c r="J12">
        <v>3342</v>
      </c>
      <c r="Q12">
        <v>344</v>
      </c>
      <c r="T12">
        <v>246</v>
      </c>
      <c r="AB12">
        <v>2789</v>
      </c>
      <c r="AJ12">
        <v>686</v>
      </c>
      <c r="AK12">
        <v>93</v>
      </c>
      <c r="AP12">
        <v>109</v>
      </c>
      <c r="AW12">
        <v>7740</v>
      </c>
    </row>
    <row r="13" spans="1:49" x14ac:dyDescent="0.35">
      <c r="A13" t="s">
        <v>205</v>
      </c>
      <c r="B13">
        <v>0</v>
      </c>
      <c r="C13">
        <v>0</v>
      </c>
      <c r="D13">
        <v>0</v>
      </c>
      <c r="E13">
        <v>143</v>
      </c>
      <c r="F13">
        <v>33</v>
      </c>
      <c r="G13">
        <v>0</v>
      </c>
      <c r="H13">
        <v>40</v>
      </c>
      <c r="I13">
        <v>0</v>
      </c>
      <c r="J13">
        <v>0</v>
      </c>
      <c r="K13">
        <v>0</v>
      </c>
      <c r="L13">
        <v>0</v>
      </c>
      <c r="M13">
        <v>20</v>
      </c>
      <c r="N13">
        <v>0</v>
      </c>
      <c r="O13">
        <v>0</v>
      </c>
      <c r="P13">
        <v>0</v>
      </c>
      <c r="Q13">
        <v>9</v>
      </c>
      <c r="R13">
        <v>0</v>
      </c>
      <c r="S13">
        <v>0</v>
      </c>
      <c r="T13">
        <v>95</v>
      </c>
      <c r="U13">
        <v>0</v>
      </c>
      <c r="V13">
        <v>0</v>
      </c>
      <c r="W13">
        <v>468</v>
      </c>
      <c r="X13">
        <v>0</v>
      </c>
      <c r="Y13">
        <v>6</v>
      </c>
      <c r="Z13">
        <v>12</v>
      </c>
      <c r="AA13">
        <v>0</v>
      </c>
      <c r="AB13">
        <v>54</v>
      </c>
      <c r="AC13">
        <v>0</v>
      </c>
      <c r="AD13">
        <v>15</v>
      </c>
      <c r="AE13">
        <v>0</v>
      </c>
      <c r="AF13">
        <v>137</v>
      </c>
      <c r="AG13">
        <v>0</v>
      </c>
      <c r="AH13">
        <v>7</v>
      </c>
      <c r="AI13">
        <v>0</v>
      </c>
      <c r="AJ13">
        <v>22</v>
      </c>
      <c r="AK13">
        <v>25</v>
      </c>
      <c r="AL13">
        <v>0</v>
      </c>
      <c r="AM13">
        <v>0</v>
      </c>
      <c r="AN13">
        <v>3</v>
      </c>
      <c r="AO13">
        <v>14</v>
      </c>
      <c r="AP13">
        <v>0</v>
      </c>
      <c r="AQ13">
        <v>16</v>
      </c>
      <c r="AR13">
        <v>0</v>
      </c>
      <c r="AS13">
        <v>30</v>
      </c>
      <c r="AT13">
        <v>0</v>
      </c>
      <c r="AU13">
        <v>0</v>
      </c>
      <c r="AV13">
        <v>25</v>
      </c>
      <c r="AW13">
        <v>1174</v>
      </c>
    </row>
    <row r="14" spans="1:49" x14ac:dyDescent="0.35">
      <c r="A14" t="s">
        <v>133</v>
      </c>
      <c r="E14">
        <v>800</v>
      </c>
      <c r="F14">
        <v>156</v>
      </c>
      <c r="Q14">
        <v>454</v>
      </c>
      <c r="T14">
        <v>22</v>
      </c>
      <c r="AB14">
        <v>2055</v>
      </c>
      <c r="AF14">
        <v>503</v>
      </c>
      <c r="AH14">
        <v>26677</v>
      </c>
      <c r="AJ14">
        <v>715</v>
      </c>
      <c r="AL14">
        <v>485</v>
      </c>
      <c r="AQ14">
        <v>518</v>
      </c>
      <c r="AT14">
        <v>9939</v>
      </c>
      <c r="AU14">
        <v>18</v>
      </c>
      <c r="AW14">
        <v>42342</v>
      </c>
    </row>
    <row r="15" spans="1:49" x14ac:dyDescent="0.35">
      <c r="A15" t="s">
        <v>206</v>
      </c>
      <c r="F15">
        <v>64</v>
      </c>
      <c r="Q15">
        <v>14</v>
      </c>
      <c r="T15">
        <v>0</v>
      </c>
      <c r="AF15">
        <v>3</v>
      </c>
      <c r="AJ15">
        <v>2112</v>
      </c>
      <c r="AW15">
        <v>2193</v>
      </c>
    </row>
    <row r="16" spans="1:49" x14ac:dyDescent="0.35">
      <c r="A16" t="s">
        <v>136</v>
      </c>
      <c r="D16">
        <v>92</v>
      </c>
      <c r="E16">
        <v>191</v>
      </c>
      <c r="F16">
        <v>116</v>
      </c>
      <c r="Q16">
        <v>78</v>
      </c>
      <c r="T16">
        <v>149</v>
      </c>
      <c r="AB16">
        <v>315</v>
      </c>
      <c r="AF16">
        <v>291</v>
      </c>
      <c r="AH16">
        <v>369</v>
      </c>
      <c r="AJ16">
        <v>124</v>
      </c>
      <c r="AK16">
        <v>36</v>
      </c>
      <c r="AL16">
        <v>13</v>
      </c>
      <c r="AP16">
        <v>48</v>
      </c>
      <c r="AQ16">
        <v>139</v>
      </c>
      <c r="AU16">
        <v>929</v>
      </c>
      <c r="AW16">
        <v>2890</v>
      </c>
    </row>
    <row r="17" spans="1:49" x14ac:dyDescent="0.35">
      <c r="A17" t="s">
        <v>207</v>
      </c>
      <c r="F17">
        <v>110</v>
      </c>
      <c r="Q17">
        <v>1</v>
      </c>
      <c r="T17">
        <v>0</v>
      </c>
      <c r="AH17">
        <v>27247</v>
      </c>
      <c r="AJ17">
        <v>123</v>
      </c>
      <c r="AK17">
        <v>64</v>
      </c>
      <c r="AL17">
        <v>850</v>
      </c>
      <c r="AW17">
        <v>28395</v>
      </c>
    </row>
    <row r="18" spans="1:49" x14ac:dyDescent="0.35">
      <c r="A18" t="s">
        <v>141</v>
      </c>
      <c r="F18">
        <v>3</v>
      </c>
      <c r="Q18">
        <v>9</v>
      </c>
      <c r="T18">
        <v>16</v>
      </c>
      <c r="AB18">
        <v>165</v>
      </c>
      <c r="AF18">
        <v>99</v>
      </c>
      <c r="AH18">
        <v>4429</v>
      </c>
      <c r="AJ18">
        <v>1</v>
      </c>
      <c r="AK18">
        <v>15</v>
      </c>
      <c r="AL18">
        <v>13</v>
      </c>
      <c r="AP18">
        <v>50</v>
      </c>
      <c r="AQ18">
        <v>4</v>
      </c>
      <c r="AT18">
        <v>3830</v>
      </c>
      <c r="AW18">
        <v>8634</v>
      </c>
    </row>
    <row r="19" spans="1:49" x14ac:dyDescent="0.35">
      <c r="A19" t="s">
        <v>208</v>
      </c>
      <c r="E19">
        <v>22</v>
      </c>
      <c r="F19">
        <v>1376</v>
      </c>
      <c r="J19">
        <v>1939</v>
      </c>
      <c r="Q19">
        <v>942</v>
      </c>
      <c r="T19">
        <v>0</v>
      </c>
      <c r="AB19">
        <v>399</v>
      </c>
      <c r="AJ19">
        <v>3647</v>
      </c>
      <c r="AP19">
        <v>6</v>
      </c>
      <c r="AQ19">
        <v>1353</v>
      </c>
      <c r="AW19">
        <v>9684</v>
      </c>
    </row>
    <row r="20" spans="1:49" x14ac:dyDescent="0.35">
      <c r="A20" t="s">
        <v>209</v>
      </c>
      <c r="E20">
        <v>2079</v>
      </c>
      <c r="F20">
        <v>3956</v>
      </c>
      <c r="H20">
        <v>3470</v>
      </c>
      <c r="Q20">
        <v>2595</v>
      </c>
      <c r="T20">
        <v>0</v>
      </c>
      <c r="AB20">
        <v>16937</v>
      </c>
      <c r="AJ20">
        <v>1722</v>
      </c>
      <c r="AP20">
        <v>791</v>
      </c>
      <c r="AQ20">
        <v>1948</v>
      </c>
      <c r="AW20">
        <v>33498</v>
      </c>
    </row>
    <row r="21" spans="1:49" x14ac:dyDescent="0.35">
      <c r="A21" t="s">
        <v>134</v>
      </c>
      <c r="F21">
        <v>330</v>
      </c>
      <c r="Q21">
        <v>72</v>
      </c>
      <c r="T21">
        <v>0</v>
      </c>
      <c r="AH21">
        <v>29803</v>
      </c>
      <c r="AK21">
        <v>342</v>
      </c>
      <c r="AQ21">
        <v>195</v>
      </c>
      <c r="AU21">
        <v>2045</v>
      </c>
      <c r="AW21">
        <v>32787</v>
      </c>
    </row>
    <row r="22" spans="1:49" x14ac:dyDescent="0.35">
      <c r="A22" t="s">
        <v>142</v>
      </c>
      <c r="F22">
        <v>10</v>
      </c>
      <c r="N22">
        <v>128823</v>
      </c>
      <c r="Q22">
        <v>703</v>
      </c>
      <c r="T22">
        <v>0</v>
      </c>
      <c r="AB22">
        <v>6665</v>
      </c>
      <c r="AF22">
        <v>53</v>
      </c>
      <c r="AJ22">
        <v>2352</v>
      </c>
      <c r="AK22">
        <v>319</v>
      </c>
      <c r="AL22">
        <v>580</v>
      </c>
      <c r="AQ22">
        <v>817</v>
      </c>
      <c r="AU22">
        <v>4562</v>
      </c>
      <c r="AW22">
        <v>144884</v>
      </c>
    </row>
    <row r="23" spans="1:49" x14ac:dyDescent="0.35">
      <c r="A23" t="s">
        <v>83</v>
      </c>
      <c r="B23">
        <v>0</v>
      </c>
      <c r="C23">
        <v>0</v>
      </c>
      <c r="D23">
        <v>0</v>
      </c>
      <c r="E23">
        <v>0</v>
      </c>
      <c r="F23">
        <v>38</v>
      </c>
      <c r="G23">
        <v>0</v>
      </c>
      <c r="H23">
        <v>0</v>
      </c>
      <c r="I23">
        <v>0</v>
      </c>
      <c r="J23">
        <v>496</v>
      </c>
      <c r="K23">
        <v>0</v>
      </c>
      <c r="L23">
        <v>0</v>
      </c>
      <c r="M23">
        <v>0</v>
      </c>
      <c r="N23">
        <v>0</v>
      </c>
      <c r="O23">
        <v>0</v>
      </c>
      <c r="P23">
        <v>0</v>
      </c>
      <c r="Q23">
        <v>43</v>
      </c>
      <c r="R23">
        <v>0</v>
      </c>
      <c r="S23">
        <v>0</v>
      </c>
      <c r="T23">
        <v>23</v>
      </c>
      <c r="U23">
        <v>0</v>
      </c>
      <c r="V23">
        <v>0</v>
      </c>
      <c r="W23">
        <v>0</v>
      </c>
      <c r="X23">
        <v>0</v>
      </c>
      <c r="Y23">
        <v>0</v>
      </c>
      <c r="Z23">
        <v>0</v>
      </c>
      <c r="AA23">
        <v>0</v>
      </c>
      <c r="AB23">
        <v>395</v>
      </c>
      <c r="AC23">
        <v>0</v>
      </c>
      <c r="AD23">
        <v>0</v>
      </c>
      <c r="AE23">
        <v>0</v>
      </c>
      <c r="AF23">
        <v>123</v>
      </c>
      <c r="AG23">
        <v>0</v>
      </c>
      <c r="AH23">
        <v>5089</v>
      </c>
      <c r="AI23">
        <v>0</v>
      </c>
      <c r="AJ23">
        <v>0</v>
      </c>
      <c r="AK23">
        <v>8</v>
      </c>
      <c r="AL23">
        <v>11</v>
      </c>
      <c r="AM23">
        <v>0</v>
      </c>
      <c r="AN23">
        <v>0</v>
      </c>
      <c r="AO23">
        <v>0</v>
      </c>
      <c r="AP23">
        <v>18</v>
      </c>
      <c r="AQ23">
        <v>175</v>
      </c>
      <c r="AR23">
        <v>0</v>
      </c>
      <c r="AS23">
        <v>0</v>
      </c>
      <c r="AT23">
        <v>8110</v>
      </c>
      <c r="AU23">
        <v>864</v>
      </c>
      <c r="AV23">
        <v>0</v>
      </c>
      <c r="AW23">
        <v>15393</v>
      </c>
    </row>
    <row r="24" spans="1:49" x14ac:dyDescent="0.35">
      <c r="A24" t="s">
        <v>84</v>
      </c>
      <c r="B24">
        <v>0</v>
      </c>
      <c r="C24">
        <v>0</v>
      </c>
      <c r="D24">
        <v>0</v>
      </c>
      <c r="E24">
        <v>34</v>
      </c>
      <c r="F24">
        <v>0</v>
      </c>
      <c r="G24">
        <v>0</v>
      </c>
      <c r="H24">
        <v>0</v>
      </c>
      <c r="I24">
        <v>0</v>
      </c>
      <c r="J24">
        <v>0</v>
      </c>
      <c r="K24">
        <v>0</v>
      </c>
      <c r="L24">
        <v>0</v>
      </c>
      <c r="M24">
        <v>0</v>
      </c>
      <c r="N24">
        <v>0</v>
      </c>
      <c r="O24">
        <v>0</v>
      </c>
      <c r="P24">
        <v>0</v>
      </c>
      <c r="Q24">
        <v>119</v>
      </c>
      <c r="R24">
        <v>0</v>
      </c>
      <c r="S24">
        <v>0</v>
      </c>
      <c r="T24">
        <v>0</v>
      </c>
      <c r="U24">
        <v>0</v>
      </c>
      <c r="V24">
        <v>0</v>
      </c>
      <c r="W24">
        <v>0</v>
      </c>
      <c r="X24">
        <v>0</v>
      </c>
      <c r="Y24">
        <v>0</v>
      </c>
      <c r="Z24">
        <v>0</v>
      </c>
      <c r="AA24">
        <v>0</v>
      </c>
      <c r="AB24">
        <v>422</v>
      </c>
      <c r="AC24">
        <v>0</v>
      </c>
      <c r="AD24">
        <v>0</v>
      </c>
      <c r="AE24">
        <v>0</v>
      </c>
      <c r="AF24">
        <v>0</v>
      </c>
      <c r="AG24">
        <v>0</v>
      </c>
      <c r="AH24">
        <v>0</v>
      </c>
      <c r="AI24">
        <v>0</v>
      </c>
      <c r="AJ24">
        <v>402</v>
      </c>
      <c r="AK24">
        <v>0</v>
      </c>
      <c r="AL24">
        <v>0</v>
      </c>
      <c r="AM24">
        <v>0</v>
      </c>
      <c r="AN24">
        <v>0</v>
      </c>
      <c r="AO24">
        <v>0</v>
      </c>
      <c r="AP24">
        <v>19</v>
      </c>
      <c r="AQ24">
        <v>62</v>
      </c>
      <c r="AR24">
        <v>0</v>
      </c>
      <c r="AS24">
        <v>0</v>
      </c>
      <c r="AT24">
        <v>0</v>
      </c>
      <c r="AU24">
        <v>0</v>
      </c>
      <c r="AV24">
        <v>0</v>
      </c>
      <c r="AW24">
        <v>1058</v>
      </c>
    </row>
    <row r="25" spans="1:49" x14ac:dyDescent="0.35">
      <c r="A25" t="s">
        <v>126</v>
      </c>
      <c r="F25">
        <v>8</v>
      </c>
      <c r="Q25">
        <v>1</v>
      </c>
      <c r="T25">
        <v>0</v>
      </c>
      <c r="AB25">
        <v>2</v>
      </c>
      <c r="AH25">
        <v>79</v>
      </c>
      <c r="AJ25">
        <v>2</v>
      </c>
      <c r="AL25">
        <v>0</v>
      </c>
      <c r="AQ25">
        <v>35</v>
      </c>
      <c r="AT25">
        <v>3676</v>
      </c>
      <c r="AW25">
        <v>3803</v>
      </c>
    </row>
    <row r="26" spans="1:49" x14ac:dyDescent="0.35">
      <c r="A26" t="s">
        <v>87</v>
      </c>
      <c r="B26">
        <v>0</v>
      </c>
      <c r="C26">
        <v>0</v>
      </c>
      <c r="D26">
        <v>0</v>
      </c>
      <c r="E26">
        <v>336</v>
      </c>
      <c r="F26">
        <v>0</v>
      </c>
      <c r="G26">
        <v>0</v>
      </c>
      <c r="H26">
        <v>0</v>
      </c>
      <c r="I26">
        <v>0</v>
      </c>
      <c r="J26">
        <v>0</v>
      </c>
      <c r="K26">
        <v>0</v>
      </c>
      <c r="L26">
        <v>0</v>
      </c>
      <c r="M26">
        <v>0</v>
      </c>
      <c r="N26">
        <v>0</v>
      </c>
      <c r="O26">
        <v>0</v>
      </c>
      <c r="P26">
        <v>0</v>
      </c>
      <c r="Q26">
        <v>117</v>
      </c>
      <c r="R26">
        <v>0</v>
      </c>
      <c r="S26">
        <v>0</v>
      </c>
      <c r="T26">
        <v>0</v>
      </c>
      <c r="U26">
        <v>0</v>
      </c>
      <c r="V26">
        <v>0</v>
      </c>
      <c r="W26">
        <v>0</v>
      </c>
      <c r="X26">
        <v>0</v>
      </c>
      <c r="Y26">
        <v>0</v>
      </c>
      <c r="Z26">
        <v>0</v>
      </c>
      <c r="AA26">
        <v>0</v>
      </c>
      <c r="AB26">
        <v>0</v>
      </c>
      <c r="AC26">
        <v>0</v>
      </c>
      <c r="AD26">
        <v>0</v>
      </c>
      <c r="AE26">
        <v>0</v>
      </c>
      <c r="AF26">
        <v>0</v>
      </c>
      <c r="AG26">
        <v>0</v>
      </c>
      <c r="AH26">
        <v>32</v>
      </c>
      <c r="AI26">
        <v>0</v>
      </c>
      <c r="AJ26">
        <v>0</v>
      </c>
      <c r="AK26">
        <v>0</v>
      </c>
      <c r="AL26">
        <v>0</v>
      </c>
      <c r="AM26">
        <v>0</v>
      </c>
      <c r="AN26">
        <v>0</v>
      </c>
      <c r="AO26">
        <v>0</v>
      </c>
      <c r="AP26">
        <v>0</v>
      </c>
      <c r="AQ26">
        <v>0</v>
      </c>
      <c r="AR26">
        <v>0</v>
      </c>
      <c r="AS26">
        <v>0</v>
      </c>
      <c r="AT26">
        <v>0</v>
      </c>
      <c r="AU26">
        <v>0</v>
      </c>
      <c r="AV26">
        <v>0</v>
      </c>
      <c r="AW26">
        <v>485</v>
      </c>
    </row>
    <row r="29" spans="1:49" x14ac:dyDescent="0.35">
      <c r="B29" t="s">
        <v>0</v>
      </c>
      <c r="C29" t="s">
        <v>210</v>
      </c>
      <c r="D29" t="s">
        <v>211</v>
      </c>
      <c r="E29">
        <v>2012</v>
      </c>
    </row>
    <row r="30" spans="1:49" x14ac:dyDescent="0.35">
      <c r="B30" t="str">
        <f>B1</f>
        <v>AGO</v>
      </c>
      <c r="C30">
        <f>B2</f>
        <v>32353587.999999993</v>
      </c>
      <c r="D30" t="str">
        <f t="shared" ref="D30:D52" si="0">A3</f>
        <v>Medical Doctors</v>
      </c>
      <c r="E30">
        <f t="shared" ref="E30:E52" si="1">B3</f>
        <v>0</v>
      </c>
    </row>
    <row r="31" spans="1:49" x14ac:dyDescent="0.35">
      <c r="D31" t="str">
        <f t="shared" si="0"/>
        <v>Nursing Personnel</v>
      </c>
      <c r="E31">
        <f t="shared" si="1"/>
        <v>0</v>
      </c>
    </row>
    <row r="32" spans="1:49" x14ac:dyDescent="0.35">
      <c r="D32" t="str">
        <f t="shared" si="0"/>
        <v>Midwifery personnel</v>
      </c>
      <c r="E32">
        <f t="shared" si="1"/>
        <v>0</v>
      </c>
    </row>
    <row r="33" spans="4:5" x14ac:dyDescent="0.35">
      <c r="D33" t="str">
        <f t="shared" si="0"/>
        <v>Pharmacists</v>
      </c>
      <c r="E33">
        <f t="shared" si="1"/>
        <v>0</v>
      </c>
    </row>
    <row r="34" spans="4:5" x14ac:dyDescent="0.35">
      <c r="D34" t="str">
        <f t="shared" si="0"/>
        <v>Dentists</v>
      </c>
      <c r="E34">
        <f t="shared" si="1"/>
        <v>0</v>
      </c>
    </row>
    <row r="35" spans="4:5" x14ac:dyDescent="0.35">
      <c r="D35" t="str">
        <f t="shared" si="0"/>
        <v xml:space="preserve">Community Health Workers </v>
      </c>
      <c r="E35">
        <f t="shared" si="1"/>
        <v>0</v>
      </c>
    </row>
    <row r="36" spans="4:5" x14ac:dyDescent="0.35">
      <c r="D36" t="str">
        <f t="shared" si="0"/>
        <v>Dieticians and nutritionists</v>
      </c>
      <c r="E36">
        <f t="shared" si="1"/>
        <v>0</v>
      </c>
    </row>
    <row r="37" spans="4:5" x14ac:dyDescent="0.35">
      <c r="D37" t="str">
        <f t="shared" si="0"/>
        <v>Environmental and occupational health &amp; hygiene workers</v>
      </c>
      <c r="E37">
        <f t="shared" si="1"/>
        <v>0</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11874838</v>
      </c>
      <c r="D54" t="str">
        <f t="shared" ref="D54:D117" si="3">D30</f>
        <v>Medical Doctors</v>
      </c>
      <c r="E54">
        <f t="shared" ref="E54:E77" si="4">C3</f>
        <v>0</v>
      </c>
    </row>
    <row r="55" spans="2:5" x14ac:dyDescent="0.35">
      <c r="D55" t="str">
        <f t="shared" si="3"/>
        <v>Nursing Personnel</v>
      </c>
      <c r="E55">
        <f t="shared" si="4"/>
        <v>15036</v>
      </c>
    </row>
    <row r="56" spans="2:5" x14ac:dyDescent="0.35">
      <c r="D56" t="str">
        <f t="shared" si="3"/>
        <v>Midwifery personnel</v>
      </c>
      <c r="E56">
        <f t="shared" si="4"/>
        <v>248</v>
      </c>
    </row>
    <row r="57" spans="2:5" x14ac:dyDescent="0.35">
      <c r="D57" t="str">
        <f t="shared" si="3"/>
        <v>Pharmacists</v>
      </c>
      <c r="E57">
        <f t="shared" si="4"/>
        <v>83</v>
      </c>
    </row>
    <row r="58" spans="2:5" x14ac:dyDescent="0.35">
      <c r="D58" t="str">
        <f t="shared" si="3"/>
        <v>Dentists</v>
      </c>
      <c r="E58">
        <f t="shared" si="4"/>
        <v>18</v>
      </c>
    </row>
    <row r="59" spans="2:5" x14ac:dyDescent="0.35">
      <c r="D59" t="str">
        <f t="shared" si="3"/>
        <v xml:space="preserve">Community Health Workers </v>
      </c>
      <c r="E59">
        <f t="shared" si="4"/>
        <v>0</v>
      </c>
    </row>
    <row r="60" spans="2:5" x14ac:dyDescent="0.35">
      <c r="D60" t="str">
        <f t="shared" si="3"/>
        <v>Dieticians and nutritionists</v>
      </c>
      <c r="E60">
        <f t="shared" si="4"/>
        <v>0</v>
      </c>
    </row>
    <row r="61" spans="2:5" x14ac:dyDescent="0.35">
      <c r="D61" t="str">
        <f t="shared" si="3"/>
        <v>Environmental and occupational health &amp; hygiene workers</v>
      </c>
      <c r="E61">
        <f t="shared" si="4"/>
        <v>149</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12290444.000000004</v>
      </c>
      <c r="D78" t="str">
        <f t="shared" si="3"/>
        <v>Medical Doctors</v>
      </c>
      <c r="E78">
        <f t="shared" ref="E78:E101" si="5">D3</f>
        <v>1842</v>
      </c>
    </row>
    <row r="79" spans="2:5" x14ac:dyDescent="0.35">
      <c r="D79" t="str">
        <f t="shared" si="3"/>
        <v>Nursing Personnel</v>
      </c>
      <c r="E79">
        <f t="shared" si="5"/>
        <v>5340</v>
      </c>
    </row>
    <row r="80" spans="2:5" x14ac:dyDescent="0.35">
      <c r="D80" t="str">
        <f t="shared" si="3"/>
        <v>Midwifery personnel</v>
      </c>
      <c r="E80">
        <f t="shared" si="5"/>
        <v>1810</v>
      </c>
    </row>
    <row r="81" spans="4:5" x14ac:dyDescent="0.35">
      <c r="D81" t="str">
        <f t="shared" si="3"/>
        <v>Pharmacists</v>
      </c>
      <c r="E81">
        <f t="shared" si="5"/>
        <v>106</v>
      </c>
    </row>
    <row r="82" spans="4:5" x14ac:dyDescent="0.35">
      <c r="D82" t="str">
        <f t="shared" si="3"/>
        <v>Dentists</v>
      </c>
      <c r="E82">
        <f t="shared" si="5"/>
        <v>32</v>
      </c>
    </row>
    <row r="83" spans="4:5" x14ac:dyDescent="0.35">
      <c r="D83" t="str">
        <f t="shared" si="3"/>
        <v xml:space="preserve">Community Health Workers </v>
      </c>
      <c r="E83">
        <f t="shared" si="5"/>
        <v>0</v>
      </c>
    </row>
    <row r="84" spans="4:5" x14ac:dyDescent="0.35">
      <c r="D84" t="str">
        <f t="shared" si="3"/>
        <v>Dieticians and nutritionists</v>
      </c>
      <c r="E84">
        <f t="shared" si="5"/>
        <v>0</v>
      </c>
    </row>
    <row r="85" spans="4:5" x14ac:dyDescent="0.35">
      <c r="D85" t="str">
        <f t="shared" si="3"/>
        <v>Environmental and occupational health &amp; hygiene workers</v>
      </c>
      <c r="E85">
        <f t="shared" si="5"/>
        <v>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92</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0</v>
      </c>
    </row>
    <row r="97" spans="2:5" x14ac:dyDescent="0.35">
      <c r="D97" t="str">
        <f t="shared" si="3"/>
        <v xml:space="preserve">Paramedical Practitioners </v>
      </c>
      <c r="E97">
        <f t="shared" si="5"/>
        <v>0</v>
      </c>
    </row>
    <row r="98" spans="2:5" x14ac:dyDescent="0.35">
      <c r="D98" t="str">
        <f t="shared" si="3"/>
        <v>Physiotherapists and physiotherapy assistants</v>
      </c>
      <c r="E98">
        <f t="shared" si="5"/>
        <v>0</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20951638.999999996</v>
      </c>
      <c r="D102" s="29" t="str">
        <f t="shared" si="3"/>
        <v>Medical Doctors</v>
      </c>
      <c r="E102">
        <f t="shared" ref="E102:E125" si="6">E3</f>
        <v>5397</v>
      </c>
    </row>
    <row r="103" spans="2:5" x14ac:dyDescent="0.35">
      <c r="D103" s="29" t="str">
        <f t="shared" si="3"/>
        <v>Nursing Personnel</v>
      </c>
      <c r="E103">
        <f t="shared" si="6"/>
        <v>22728</v>
      </c>
    </row>
    <row r="104" spans="2:5" x14ac:dyDescent="0.35">
      <c r="D104" s="29" t="str">
        <f t="shared" si="3"/>
        <v>Midwifery personnel</v>
      </c>
      <c r="E104">
        <f t="shared" si="6"/>
        <v>14954</v>
      </c>
    </row>
    <row r="105" spans="2:5" x14ac:dyDescent="0.35">
      <c r="D105" s="29" t="str">
        <f t="shared" si="3"/>
        <v>Pharmacists</v>
      </c>
      <c r="E105">
        <f t="shared" si="6"/>
        <v>85</v>
      </c>
    </row>
    <row r="106" spans="2:5" x14ac:dyDescent="0.35">
      <c r="D106" s="29" t="str">
        <f t="shared" si="3"/>
        <v>Dentists</v>
      </c>
      <c r="E106">
        <f t="shared" si="6"/>
        <v>131</v>
      </c>
    </row>
    <row r="107" spans="2:5" x14ac:dyDescent="0.35">
      <c r="D107" s="29" t="str">
        <f t="shared" si="3"/>
        <v xml:space="preserve">Community Health Workers </v>
      </c>
      <c r="E107">
        <f t="shared" si="6"/>
        <v>2979</v>
      </c>
    </row>
    <row r="108" spans="2:5" x14ac:dyDescent="0.35">
      <c r="D108" s="29" t="str">
        <f t="shared" si="3"/>
        <v>Dieticians and nutritionists</v>
      </c>
      <c r="E108">
        <f t="shared" si="6"/>
        <v>0</v>
      </c>
    </row>
    <row r="109" spans="2:5" x14ac:dyDescent="0.35">
      <c r="D109" s="29" t="str">
        <f t="shared" si="3"/>
        <v>Environmental and occupational health &amp; hygiene workers</v>
      </c>
      <c r="E109">
        <f t="shared" si="6"/>
        <v>0</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143</v>
      </c>
    </row>
    <row r="113" spans="2:5" x14ac:dyDescent="0.35">
      <c r="D113" s="29" t="str">
        <f t="shared" si="3"/>
        <v xml:space="preserve">Medical and Pathology Laboratory scientists </v>
      </c>
      <c r="E113">
        <f t="shared" si="6"/>
        <v>800</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191</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0</v>
      </c>
    </row>
    <row r="118" spans="2:5" x14ac:dyDescent="0.35">
      <c r="D118" s="29" t="str">
        <f t="shared" ref="D118:D181" si="7">D94</f>
        <v xml:space="preserve">Other non-medical professional staff </v>
      </c>
      <c r="E118">
        <f t="shared" si="6"/>
        <v>22</v>
      </c>
    </row>
    <row r="119" spans="2:5" x14ac:dyDescent="0.35">
      <c r="D119" s="29" t="str">
        <f t="shared" si="7"/>
        <v xml:space="preserve">Other non-medical support staff </v>
      </c>
      <c r="E119">
        <f t="shared" si="6"/>
        <v>2079</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0</v>
      </c>
    </row>
    <row r="123" spans="2:5" x14ac:dyDescent="0.35">
      <c r="D123" s="29" t="str">
        <f t="shared" si="7"/>
        <v>Social workers</v>
      </c>
      <c r="E123">
        <f t="shared" si="6"/>
        <v>34</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336</v>
      </c>
    </row>
    <row r="126" spans="2:5" x14ac:dyDescent="0.35">
      <c r="B126" t="str">
        <f>F1</f>
        <v>BWA</v>
      </c>
      <c r="C126">
        <f>F2</f>
        <v>2499701.5</v>
      </c>
      <c r="D126" s="29" t="str">
        <f t="shared" si="7"/>
        <v>Medical Doctors</v>
      </c>
      <c r="E126">
        <f t="shared" ref="E126:E149" si="8">F3</f>
        <v>1840</v>
      </c>
    </row>
    <row r="127" spans="2:5" x14ac:dyDescent="0.35">
      <c r="D127" s="29" t="str">
        <f t="shared" si="7"/>
        <v>Nursing Personnel</v>
      </c>
      <c r="E127">
        <f t="shared" si="8"/>
        <v>15526</v>
      </c>
    </row>
    <row r="128" spans="2:5" x14ac:dyDescent="0.35">
      <c r="D128" s="29" t="str">
        <f t="shared" si="7"/>
        <v>Midwifery personnel</v>
      </c>
      <c r="E128">
        <f t="shared" si="8"/>
        <v>0</v>
      </c>
    </row>
    <row r="129" spans="4:5" x14ac:dyDescent="0.35">
      <c r="D129" s="29" t="str">
        <f t="shared" si="7"/>
        <v>Pharmacists</v>
      </c>
      <c r="E129">
        <f t="shared" si="8"/>
        <v>0</v>
      </c>
    </row>
    <row r="130" spans="4:5" x14ac:dyDescent="0.35">
      <c r="D130" s="29" t="str">
        <f t="shared" si="7"/>
        <v>Dentists</v>
      </c>
      <c r="E130">
        <f t="shared" si="8"/>
        <v>84</v>
      </c>
    </row>
    <row r="131" spans="4:5" x14ac:dyDescent="0.35">
      <c r="D131" s="29" t="str">
        <f t="shared" si="7"/>
        <v xml:space="preserve">Community Health Workers </v>
      </c>
      <c r="E131">
        <f t="shared" si="8"/>
        <v>0</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0</v>
      </c>
    </row>
    <row r="134" spans="4:5" x14ac:dyDescent="0.35">
      <c r="D134" s="29" t="str">
        <f t="shared" si="7"/>
        <v>Personal care workers in health service</v>
      </c>
      <c r="E134">
        <f t="shared" si="8"/>
        <v>1421</v>
      </c>
    </row>
    <row r="135" spans="4:5" x14ac:dyDescent="0.35">
      <c r="D135" s="29" t="str">
        <f t="shared" si="7"/>
        <v xml:space="preserve">Managerial staff </v>
      </c>
      <c r="E135">
        <f t="shared" si="8"/>
        <v>131</v>
      </c>
    </row>
    <row r="136" spans="4:5" x14ac:dyDescent="0.35">
      <c r="D136" s="29" t="str">
        <f t="shared" si="7"/>
        <v xml:space="preserve">Medical and dental Prosthetic Technicians </v>
      </c>
      <c r="E136">
        <f t="shared" si="8"/>
        <v>33</v>
      </c>
    </row>
    <row r="137" spans="4:5" x14ac:dyDescent="0.35">
      <c r="D137" s="29" t="str">
        <f t="shared" si="7"/>
        <v xml:space="preserve">Medical and Pathology Laboratory scientists </v>
      </c>
      <c r="E137">
        <f t="shared" si="8"/>
        <v>156</v>
      </c>
    </row>
    <row r="138" spans="4:5" x14ac:dyDescent="0.35">
      <c r="D138" s="29" t="str">
        <f t="shared" si="7"/>
        <v xml:space="preserve">Medical Assistants </v>
      </c>
      <c r="E138">
        <f t="shared" si="8"/>
        <v>64</v>
      </c>
    </row>
    <row r="139" spans="4:5" x14ac:dyDescent="0.35">
      <c r="D139" s="29" t="str">
        <f t="shared" si="7"/>
        <v xml:space="preserve">Medical Imaging and Therapeutic Equipment Technicians </v>
      </c>
      <c r="E139">
        <f t="shared" si="8"/>
        <v>116</v>
      </c>
    </row>
    <row r="140" spans="4:5" x14ac:dyDescent="0.35">
      <c r="D140" s="29" t="str">
        <f t="shared" si="7"/>
        <v xml:space="preserve">Medical Records and Health Information Technicians </v>
      </c>
      <c r="E140">
        <f t="shared" si="8"/>
        <v>110</v>
      </c>
    </row>
    <row r="141" spans="4:5" x14ac:dyDescent="0.35">
      <c r="D141" s="29" t="str">
        <f t="shared" si="7"/>
        <v xml:space="preserve">Optometrists and Ophthalmic Opticians </v>
      </c>
      <c r="E141">
        <f t="shared" si="8"/>
        <v>3</v>
      </c>
    </row>
    <row r="142" spans="4:5" x14ac:dyDescent="0.35">
      <c r="D142" s="29" t="str">
        <f t="shared" si="7"/>
        <v xml:space="preserve">Other non-medical professional staff </v>
      </c>
      <c r="E142">
        <f t="shared" si="8"/>
        <v>1376</v>
      </c>
    </row>
    <row r="143" spans="4:5" x14ac:dyDescent="0.35">
      <c r="D143" s="29" t="str">
        <f t="shared" si="7"/>
        <v xml:space="preserve">Other non-medical support staff </v>
      </c>
      <c r="E143">
        <f t="shared" si="8"/>
        <v>3956</v>
      </c>
    </row>
    <row r="144" spans="4:5" x14ac:dyDescent="0.35">
      <c r="D144" s="29" t="str">
        <f t="shared" si="7"/>
        <v xml:space="preserve">Medical and Pathology Laboratory Technicians </v>
      </c>
      <c r="E144">
        <f t="shared" si="8"/>
        <v>330</v>
      </c>
    </row>
    <row r="145" spans="2:5" x14ac:dyDescent="0.35">
      <c r="D145" s="29" t="str">
        <f t="shared" si="7"/>
        <v xml:space="preserve">Paramedical Practitioners </v>
      </c>
      <c r="E145">
        <f t="shared" si="8"/>
        <v>10</v>
      </c>
    </row>
    <row r="146" spans="2:5" x14ac:dyDescent="0.35">
      <c r="D146" s="29" t="str">
        <f t="shared" si="7"/>
        <v>Physiotherapists and physiotherapy assistants</v>
      </c>
      <c r="E146">
        <f t="shared" si="8"/>
        <v>38</v>
      </c>
    </row>
    <row r="147" spans="2:5" x14ac:dyDescent="0.35">
      <c r="D147" s="29" t="str">
        <f t="shared" si="7"/>
        <v>Social workers</v>
      </c>
      <c r="E147">
        <f t="shared" si="8"/>
        <v>0</v>
      </c>
    </row>
    <row r="148" spans="2:5" x14ac:dyDescent="0.35">
      <c r="D148" s="29" t="str">
        <f t="shared" si="7"/>
        <v xml:space="preserve">Audiologists and Speech Therapists </v>
      </c>
      <c r="E148">
        <f t="shared" si="8"/>
        <v>8</v>
      </c>
    </row>
    <row r="149" spans="2:5" x14ac:dyDescent="0.35">
      <c r="D149" s="29" t="str">
        <f t="shared" si="7"/>
        <v>Traditional and complementary medicine practitioners</v>
      </c>
      <c r="E149">
        <f t="shared" si="8"/>
        <v>0</v>
      </c>
    </row>
    <row r="150" spans="2:5" x14ac:dyDescent="0.35">
      <c r="B150" t="str">
        <f>G1</f>
        <v>CAF</v>
      </c>
      <c r="C150">
        <f>G2</f>
        <v>5209324.4999999963</v>
      </c>
      <c r="D150" s="30" t="str">
        <f t="shared" si="7"/>
        <v>Medical Doctors</v>
      </c>
      <c r="E150">
        <f t="shared" ref="E150:E173" si="9">G3</f>
        <v>0</v>
      </c>
    </row>
    <row r="151" spans="2:5" x14ac:dyDescent="0.35">
      <c r="D151" s="30" t="str">
        <f t="shared" si="7"/>
        <v>Nursing Personnel</v>
      </c>
      <c r="E151">
        <f t="shared" si="9"/>
        <v>0</v>
      </c>
    </row>
    <row r="152" spans="2:5" x14ac:dyDescent="0.35">
      <c r="D152" s="30" t="str">
        <f t="shared" si="7"/>
        <v>Midwifery personnel</v>
      </c>
      <c r="E152">
        <f t="shared" si="9"/>
        <v>0</v>
      </c>
    </row>
    <row r="153" spans="2:5" x14ac:dyDescent="0.35">
      <c r="D153" s="30" t="str">
        <f t="shared" si="7"/>
        <v>Pharmacists</v>
      </c>
      <c r="E153">
        <f t="shared" si="9"/>
        <v>1362</v>
      </c>
    </row>
    <row r="154" spans="2:5" x14ac:dyDescent="0.35">
      <c r="D154" s="30" t="str">
        <f t="shared" si="7"/>
        <v>Dentists</v>
      </c>
      <c r="E154">
        <f t="shared" si="9"/>
        <v>446</v>
      </c>
    </row>
    <row r="155" spans="2:5" x14ac:dyDescent="0.35">
      <c r="D155" s="30" t="str">
        <f t="shared" si="7"/>
        <v xml:space="preserve">Community Health Workers </v>
      </c>
      <c r="E155">
        <f t="shared" si="9"/>
        <v>0</v>
      </c>
    </row>
    <row r="156" spans="2:5" x14ac:dyDescent="0.35">
      <c r="D156" s="30" t="str">
        <f t="shared" si="7"/>
        <v>Dieticians and nutritionists</v>
      </c>
      <c r="E156">
        <f t="shared" si="9"/>
        <v>0</v>
      </c>
    </row>
    <row r="157" spans="2:5" x14ac:dyDescent="0.35">
      <c r="D157" s="30" t="str">
        <f t="shared" si="7"/>
        <v>Environmental and occupational health &amp; hygiene workers</v>
      </c>
      <c r="E157">
        <f t="shared" si="9"/>
        <v>0</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26147550.999999996</v>
      </c>
      <c r="D174" s="31" t="str">
        <f t="shared" si="7"/>
        <v>Medical Doctors</v>
      </c>
      <c r="E174">
        <f t="shared" ref="E174:E197" si="10">H3</f>
        <v>8346</v>
      </c>
    </row>
    <row r="175" spans="2:5" x14ac:dyDescent="0.35">
      <c r="D175" s="30" t="str">
        <f t="shared" si="7"/>
        <v>Nursing Personnel</v>
      </c>
      <c r="E175">
        <f t="shared" si="10"/>
        <v>22518</v>
      </c>
    </row>
    <row r="176" spans="2:5" x14ac:dyDescent="0.35">
      <c r="D176" s="30" t="str">
        <f t="shared" si="7"/>
        <v>Midwifery personnel</v>
      </c>
      <c r="E176">
        <f t="shared" si="10"/>
        <v>11202</v>
      </c>
    </row>
    <row r="177" spans="4:5" x14ac:dyDescent="0.35">
      <c r="D177" s="30" t="str">
        <f t="shared" si="7"/>
        <v>Pharmacists</v>
      </c>
      <c r="E177">
        <f t="shared" si="10"/>
        <v>814</v>
      </c>
    </row>
    <row r="178" spans="4:5" x14ac:dyDescent="0.35">
      <c r="D178" s="30" t="str">
        <f t="shared" si="7"/>
        <v>Dentists</v>
      </c>
      <c r="E178">
        <f t="shared" si="10"/>
        <v>160</v>
      </c>
    </row>
    <row r="179" spans="4:5" x14ac:dyDescent="0.35">
      <c r="D179" s="30" t="str">
        <f t="shared" si="7"/>
        <v xml:space="preserve">Community Health Workers </v>
      </c>
      <c r="E179">
        <f t="shared" si="10"/>
        <v>0</v>
      </c>
    </row>
    <row r="180" spans="4:5" x14ac:dyDescent="0.35">
      <c r="D180" s="30" t="str">
        <f t="shared" si="7"/>
        <v>Dieticians and nutritionists</v>
      </c>
      <c r="E180">
        <f t="shared" si="10"/>
        <v>29</v>
      </c>
    </row>
    <row r="181" spans="4:5" x14ac:dyDescent="0.35">
      <c r="D181" s="30" t="str">
        <f t="shared" si="7"/>
        <v>Environmental and occupational health &amp; hygiene workers</v>
      </c>
      <c r="E181">
        <f t="shared" si="10"/>
        <v>148</v>
      </c>
    </row>
    <row r="182" spans="4:5" x14ac:dyDescent="0.35">
      <c r="D182" s="30" t="str">
        <f t="shared" ref="D182:D245" si="11">D158</f>
        <v>Personal care workers in health service</v>
      </c>
      <c r="E182">
        <f t="shared" si="10"/>
        <v>4168</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40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3470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0</v>
      </c>
    </row>
    <row r="194" spans="2:5" x14ac:dyDescent="0.35">
      <c r="D194" s="30" t="str">
        <f t="shared" si="11"/>
        <v>Physiotherapists and physiotherapy assistants</v>
      </c>
      <c r="E194">
        <f t="shared" si="10"/>
        <v>0</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25782340.999999996</v>
      </c>
      <c r="D198" s="30" t="str">
        <f t="shared" si="11"/>
        <v>Medical Doctors</v>
      </c>
      <c r="E198">
        <f t="shared" ref="E198:E221" si="12">I3</f>
        <v>0</v>
      </c>
    </row>
    <row r="199" spans="2:5" x14ac:dyDescent="0.35">
      <c r="D199" s="30" t="str">
        <f t="shared" si="11"/>
        <v>Nursing Personnel</v>
      </c>
      <c r="E199">
        <f t="shared" si="12"/>
        <v>0</v>
      </c>
    </row>
    <row r="200" spans="2:5" x14ac:dyDescent="0.35">
      <c r="D200" s="30" t="str">
        <f t="shared" si="11"/>
        <v>Midwifery personnel</v>
      </c>
      <c r="E200">
        <f t="shared" si="12"/>
        <v>0</v>
      </c>
    </row>
    <row r="201" spans="2:5" x14ac:dyDescent="0.35">
      <c r="D201" s="30" t="str">
        <f t="shared" si="11"/>
        <v>Pharmacists</v>
      </c>
      <c r="E201">
        <f t="shared" si="12"/>
        <v>227</v>
      </c>
    </row>
    <row r="202" spans="2:5" x14ac:dyDescent="0.35">
      <c r="D202" s="30" t="str">
        <f t="shared" si="11"/>
        <v>Dentists</v>
      </c>
      <c r="E202">
        <f t="shared" si="12"/>
        <v>40</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0</v>
      </c>
    </row>
    <row r="208" spans="2:5" x14ac:dyDescent="0.35">
      <c r="D208" s="30" t="str">
        <f t="shared" si="11"/>
        <v xml:space="preserve">Medical and dental Prosthetic Technicians </v>
      </c>
      <c r="E208">
        <f t="shared" si="12"/>
        <v>0</v>
      </c>
    </row>
    <row r="209" spans="2:5" x14ac:dyDescent="0.35">
      <c r="D209" s="30" t="str">
        <f t="shared" si="11"/>
        <v xml:space="preserve">Medical and Pathology Laboratory scientists </v>
      </c>
      <c r="E209">
        <f t="shared" si="12"/>
        <v>0</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0</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0</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0</v>
      </c>
    </row>
    <row r="219" spans="2:5" x14ac:dyDescent="0.35">
      <c r="D219" s="30" t="str">
        <f t="shared" si="11"/>
        <v>Social workers</v>
      </c>
      <c r="E219">
        <f t="shared" si="12"/>
        <v>0</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89906890.500000015</v>
      </c>
      <c r="D222" s="29" t="str">
        <f t="shared" si="11"/>
        <v>Medical Doctors</v>
      </c>
      <c r="E222">
        <f t="shared" ref="E222:E245" si="13">J3</f>
        <v>30032</v>
      </c>
    </row>
    <row r="223" spans="2:5" x14ac:dyDescent="0.35">
      <c r="D223" s="30" t="str">
        <f t="shared" si="11"/>
        <v>Nursing Personnel</v>
      </c>
      <c r="E223">
        <f t="shared" si="13"/>
        <v>187928</v>
      </c>
    </row>
    <row r="224" spans="2:5" x14ac:dyDescent="0.35">
      <c r="D224" s="30" t="str">
        <f t="shared" si="11"/>
        <v>Midwifery personnel</v>
      </c>
      <c r="E224">
        <f t="shared" si="13"/>
        <v>6298</v>
      </c>
    </row>
    <row r="225" spans="4:5" x14ac:dyDescent="0.35">
      <c r="D225" s="30" t="str">
        <f t="shared" si="11"/>
        <v>Pharmacists</v>
      </c>
      <c r="E225">
        <f t="shared" si="13"/>
        <v>3532</v>
      </c>
    </row>
    <row r="226" spans="4:5" x14ac:dyDescent="0.35">
      <c r="D226" s="30" t="str">
        <f t="shared" si="11"/>
        <v>Dentists</v>
      </c>
      <c r="E226">
        <f t="shared" si="13"/>
        <v>1440</v>
      </c>
    </row>
    <row r="227" spans="4:5" x14ac:dyDescent="0.35">
      <c r="D227" s="30" t="str">
        <f t="shared" si="11"/>
        <v xml:space="preserve">Community Health Workers </v>
      </c>
      <c r="E227">
        <f t="shared" si="13"/>
        <v>0</v>
      </c>
    </row>
    <row r="228" spans="4:5" x14ac:dyDescent="0.35">
      <c r="D228" s="30" t="str">
        <f t="shared" si="11"/>
        <v>Dieticians and nutritionists</v>
      </c>
      <c r="E228">
        <f t="shared" si="13"/>
        <v>0</v>
      </c>
    </row>
    <row r="229" spans="4:5" x14ac:dyDescent="0.35">
      <c r="D229" s="30" t="str">
        <f t="shared" si="11"/>
        <v>Environmental and occupational health &amp; hygiene workers</v>
      </c>
      <c r="E229">
        <f t="shared" si="13"/>
        <v>4362</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3342</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0</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1939</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496</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5570732.4999999953</v>
      </c>
      <c r="D246" s="29" t="str">
        <f t="shared" ref="D246:D309" si="14">D222</f>
        <v>Medical Doctors</v>
      </c>
      <c r="E246">
        <f t="shared" ref="E246:E269" si="15">K3</f>
        <v>0</v>
      </c>
    </row>
    <row r="247" spans="2:5" x14ac:dyDescent="0.35">
      <c r="D247" s="30" t="str">
        <f t="shared" si="14"/>
        <v>Nursing Personnel</v>
      </c>
      <c r="E247">
        <f t="shared" si="15"/>
        <v>0</v>
      </c>
    </row>
    <row r="248" spans="2:5" x14ac:dyDescent="0.35">
      <c r="D248" s="30" t="str">
        <f t="shared" si="14"/>
        <v>Midwifery personnel</v>
      </c>
      <c r="E248">
        <f t="shared" si="15"/>
        <v>0</v>
      </c>
    </row>
    <row r="249" spans="2:5" x14ac:dyDescent="0.35">
      <c r="D249" s="30" t="str">
        <f t="shared" si="14"/>
        <v>Pharmacists</v>
      </c>
      <c r="E249">
        <f t="shared" si="15"/>
        <v>0</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790986.00000000023</v>
      </c>
      <c r="D270" s="29" t="str">
        <f t="shared" si="14"/>
        <v>Medical Doctors</v>
      </c>
      <c r="E270">
        <f t="shared" ref="E270:E293" si="16">L3</f>
        <v>0</v>
      </c>
    </row>
    <row r="271" spans="2:5" x14ac:dyDescent="0.35">
      <c r="D271" s="30" t="str">
        <f t="shared" si="14"/>
        <v>Nursing Personnel</v>
      </c>
      <c r="E271">
        <f t="shared" si="16"/>
        <v>0</v>
      </c>
    </row>
    <row r="272" spans="2:5" x14ac:dyDescent="0.35">
      <c r="D272" s="30" t="str">
        <f t="shared" si="14"/>
        <v>Midwifery personnel</v>
      </c>
      <c r="E272">
        <f t="shared" si="16"/>
        <v>0</v>
      </c>
    </row>
    <row r="273" spans="4:5" x14ac:dyDescent="0.35">
      <c r="D273" s="30" t="str">
        <f t="shared" si="14"/>
        <v>Pharmacists</v>
      </c>
      <c r="E273">
        <f t="shared" si="16"/>
        <v>0</v>
      </c>
    </row>
    <row r="274" spans="4:5" x14ac:dyDescent="0.35">
      <c r="D274" s="30" t="str">
        <f t="shared" si="14"/>
        <v>Dentists</v>
      </c>
      <c r="E274">
        <f t="shared" si="16"/>
        <v>0</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0</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577030.49999999965</v>
      </c>
      <c r="D294" s="29" t="str">
        <f t="shared" si="14"/>
        <v>Medical Doctors</v>
      </c>
      <c r="E294">
        <f t="shared" ref="E294:E317" si="17">M3</f>
        <v>0</v>
      </c>
    </row>
    <row r="295" spans="2:5" x14ac:dyDescent="0.35">
      <c r="D295" s="30" t="str">
        <f t="shared" si="14"/>
        <v>Nursing Personnel</v>
      </c>
      <c r="E295">
        <f t="shared" si="17"/>
        <v>0</v>
      </c>
    </row>
    <row r="296" spans="2:5" x14ac:dyDescent="0.35">
      <c r="D296" s="30" t="str">
        <f t="shared" si="14"/>
        <v>Midwifery personnel</v>
      </c>
      <c r="E296">
        <f t="shared" si="17"/>
        <v>0</v>
      </c>
    </row>
    <row r="297" spans="2:5" x14ac:dyDescent="0.35">
      <c r="D297" s="30" t="str">
        <f t="shared" si="14"/>
        <v>Pharmacists</v>
      </c>
      <c r="E297">
        <f t="shared" si="17"/>
        <v>0</v>
      </c>
    </row>
    <row r="298" spans="2:5" x14ac:dyDescent="0.35">
      <c r="D298" s="30" t="str">
        <f t="shared" si="14"/>
        <v>Dentists</v>
      </c>
      <c r="E298">
        <f t="shared" si="17"/>
        <v>577</v>
      </c>
    </row>
    <row r="299" spans="2:5" x14ac:dyDescent="0.35">
      <c r="D299" s="30" t="str">
        <f t="shared" si="14"/>
        <v xml:space="preserve">Community Health Workers </v>
      </c>
      <c r="E299">
        <f t="shared" si="17"/>
        <v>0</v>
      </c>
    </row>
    <row r="300" spans="2:5" x14ac:dyDescent="0.35">
      <c r="D300" s="30" t="str">
        <f t="shared" si="14"/>
        <v>Dieticians and nutritionists</v>
      </c>
      <c r="E300">
        <f t="shared" si="17"/>
        <v>0</v>
      </c>
    </row>
    <row r="301" spans="2:5" x14ac:dyDescent="0.35">
      <c r="D301" s="30" t="str">
        <f t="shared" si="14"/>
        <v>Environmental and occupational health &amp; hygiene workers</v>
      </c>
      <c r="E301">
        <f t="shared" si="17"/>
        <v>0</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20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42705368.50000003</v>
      </c>
      <c r="D318" s="29" t="str">
        <f t="shared" si="18"/>
        <v>Medical Doctors</v>
      </c>
      <c r="E318">
        <f t="shared" ref="E318:E341" si="19">N3</f>
        <v>84280</v>
      </c>
    </row>
    <row r="319" spans="2:5" x14ac:dyDescent="0.35">
      <c r="D319" s="30" t="str">
        <f t="shared" si="18"/>
        <v>Nursing Personnel</v>
      </c>
      <c r="E319">
        <f t="shared" si="19"/>
        <v>8850</v>
      </c>
    </row>
    <row r="320" spans="2:5" x14ac:dyDescent="0.35">
      <c r="D320" s="30" t="str">
        <f t="shared" si="18"/>
        <v>Midwifery personnel</v>
      </c>
      <c r="E320">
        <f t="shared" si="19"/>
        <v>18140</v>
      </c>
    </row>
    <row r="321" spans="4:5" x14ac:dyDescent="0.35">
      <c r="D321" s="30" t="str">
        <f t="shared" si="18"/>
        <v>Pharmacists</v>
      </c>
      <c r="E321">
        <f t="shared" si="19"/>
        <v>86</v>
      </c>
    </row>
    <row r="322" spans="4:5" x14ac:dyDescent="0.35">
      <c r="D322" s="30" t="str">
        <f t="shared" si="18"/>
        <v>Dentists</v>
      </c>
      <c r="E322">
        <f t="shared" si="19"/>
        <v>5</v>
      </c>
    </row>
    <row r="323" spans="4:5" x14ac:dyDescent="0.35">
      <c r="D323" s="30" t="str">
        <f t="shared" si="18"/>
        <v xml:space="preserve">Community Health Workers </v>
      </c>
      <c r="E323">
        <f t="shared" si="19"/>
        <v>0</v>
      </c>
    </row>
    <row r="324" spans="4:5" x14ac:dyDescent="0.35">
      <c r="D324" s="30" t="str">
        <f t="shared" si="18"/>
        <v>Dieticians and nutritionists</v>
      </c>
      <c r="E324">
        <f t="shared" si="19"/>
        <v>7</v>
      </c>
    </row>
    <row r="325" spans="4:5" x14ac:dyDescent="0.35">
      <c r="D325" s="30" t="str">
        <f t="shared" si="18"/>
        <v>Environmental and occupational health &amp; hygiene workers</v>
      </c>
      <c r="E325">
        <f t="shared" si="19"/>
        <v>20</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128823</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3498818.0000000014</v>
      </c>
      <c r="D342" s="29" t="str">
        <f t="shared" si="18"/>
        <v>Medical Doctors</v>
      </c>
      <c r="E342">
        <f t="shared" ref="E342:E365" si="20">O3</f>
        <v>576</v>
      </c>
    </row>
    <row r="343" spans="2:5" x14ac:dyDescent="0.35">
      <c r="D343" s="30" t="str">
        <f t="shared" si="18"/>
        <v>Nursing Personnel</v>
      </c>
      <c r="E343">
        <f t="shared" si="20"/>
        <v>0</v>
      </c>
    </row>
    <row r="344" spans="2:5" x14ac:dyDescent="0.35">
      <c r="D344" s="30" t="str">
        <f t="shared" si="18"/>
        <v>Midwifery personnel</v>
      </c>
      <c r="E344">
        <f t="shared" si="20"/>
        <v>0</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0</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0</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114120593.49999996</v>
      </c>
      <c r="D366" s="29" t="str">
        <f t="shared" ref="D366:D429" si="22">D342</f>
        <v>Medical Doctors</v>
      </c>
      <c r="E366">
        <f t="shared" ref="E366:E389" si="23">P3</f>
        <v>11734</v>
      </c>
    </row>
    <row r="367" spans="2:5" x14ac:dyDescent="0.35">
      <c r="D367" s="30" t="str">
        <f t="shared" si="22"/>
        <v>Nursing Personnel</v>
      </c>
      <c r="E367">
        <f t="shared" si="23"/>
        <v>0</v>
      </c>
    </row>
    <row r="368" spans="2:5" x14ac:dyDescent="0.35">
      <c r="D368" s="30" t="str">
        <f t="shared" si="22"/>
        <v>Midwifery personnel</v>
      </c>
      <c r="E368">
        <f t="shared" si="23"/>
        <v>0</v>
      </c>
    </row>
    <row r="369" spans="4:5" x14ac:dyDescent="0.35">
      <c r="D369" s="30" t="str">
        <f t="shared" si="22"/>
        <v>Pharmacists</v>
      </c>
      <c r="E369">
        <f t="shared" si="23"/>
        <v>15498</v>
      </c>
    </row>
    <row r="370" spans="4:5" x14ac:dyDescent="0.35">
      <c r="D370" s="30" t="str">
        <f t="shared" si="22"/>
        <v>Dentists</v>
      </c>
      <c r="E370">
        <f t="shared" si="23"/>
        <v>0</v>
      </c>
    </row>
    <row r="371" spans="4:5" x14ac:dyDescent="0.35">
      <c r="D371" s="30" t="str">
        <f t="shared" si="22"/>
        <v xml:space="preserve">Community Health Workers </v>
      </c>
      <c r="E371">
        <f t="shared" si="23"/>
        <v>0</v>
      </c>
    </row>
    <row r="372" spans="4:5" x14ac:dyDescent="0.35">
      <c r="D372" s="30" t="str">
        <f t="shared" si="22"/>
        <v>Dieticians and nutritionists</v>
      </c>
      <c r="E372">
        <f t="shared" si="23"/>
        <v>0</v>
      </c>
    </row>
    <row r="373" spans="4:5" x14ac:dyDescent="0.35">
      <c r="D373" s="30" t="str">
        <f t="shared" si="22"/>
        <v>Environmental and occupational health &amp; hygiene workers</v>
      </c>
      <c r="E373">
        <f t="shared" si="23"/>
        <v>0</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0</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0</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2242785.5000000005</v>
      </c>
      <c r="D390" s="29" t="str">
        <f t="shared" si="22"/>
        <v>Medical Doctors</v>
      </c>
      <c r="E390">
        <f t="shared" ref="E390:E413" si="24">Q3</f>
        <v>3587</v>
      </c>
    </row>
    <row r="391" spans="2:5" x14ac:dyDescent="0.35">
      <c r="D391" s="30" t="str">
        <f t="shared" si="22"/>
        <v>Nursing Personnel</v>
      </c>
      <c r="E391">
        <f t="shared" si="24"/>
        <v>10179</v>
      </c>
    </row>
    <row r="392" spans="2:5" x14ac:dyDescent="0.35">
      <c r="D392" s="30" t="str">
        <f t="shared" si="22"/>
        <v>Midwifery personnel</v>
      </c>
      <c r="E392">
        <f t="shared" si="24"/>
        <v>1214</v>
      </c>
    </row>
    <row r="393" spans="2:5" x14ac:dyDescent="0.35">
      <c r="D393" s="30" t="str">
        <f t="shared" si="22"/>
        <v>Pharmacists</v>
      </c>
      <c r="E393">
        <f t="shared" si="24"/>
        <v>0</v>
      </c>
    </row>
    <row r="394" spans="2:5" x14ac:dyDescent="0.35">
      <c r="D394" s="30" t="str">
        <f t="shared" si="22"/>
        <v>Dentists</v>
      </c>
      <c r="E394">
        <f t="shared" si="24"/>
        <v>0</v>
      </c>
    </row>
    <row r="395" spans="2:5" x14ac:dyDescent="0.35">
      <c r="D395" s="30" t="str">
        <f t="shared" si="22"/>
        <v xml:space="preserve">Community Health Workers </v>
      </c>
      <c r="E395">
        <f t="shared" si="24"/>
        <v>117</v>
      </c>
    </row>
    <row r="396" spans="2:5" x14ac:dyDescent="0.35">
      <c r="D396" s="30" t="str">
        <f t="shared" si="22"/>
        <v>Dieticians and nutritionists</v>
      </c>
      <c r="E396">
        <f t="shared" si="24"/>
        <v>0</v>
      </c>
    </row>
    <row r="397" spans="2:5" x14ac:dyDescent="0.35">
      <c r="D397" s="30" t="str">
        <f t="shared" si="22"/>
        <v>Environmental and occupational health &amp; hygiene workers</v>
      </c>
      <c r="E397">
        <f t="shared" si="24"/>
        <v>0</v>
      </c>
    </row>
    <row r="398" spans="2:5" x14ac:dyDescent="0.35">
      <c r="D398" s="30" t="str">
        <f t="shared" si="22"/>
        <v>Personal care workers in health service</v>
      </c>
      <c r="E398">
        <f t="shared" si="24"/>
        <v>40</v>
      </c>
    </row>
    <row r="399" spans="2:5" x14ac:dyDescent="0.35">
      <c r="D399" s="30" t="str">
        <f t="shared" si="22"/>
        <v xml:space="preserve">Managerial staff </v>
      </c>
      <c r="E399">
        <f t="shared" si="24"/>
        <v>344</v>
      </c>
    </row>
    <row r="400" spans="2:5" x14ac:dyDescent="0.35">
      <c r="D400" s="30" t="str">
        <f t="shared" si="22"/>
        <v xml:space="preserve">Medical and dental Prosthetic Technicians </v>
      </c>
      <c r="E400">
        <f t="shared" si="24"/>
        <v>9</v>
      </c>
    </row>
    <row r="401" spans="2:5" x14ac:dyDescent="0.35">
      <c r="D401" s="30" t="str">
        <f t="shared" si="22"/>
        <v xml:space="preserve">Medical and Pathology Laboratory scientists </v>
      </c>
      <c r="E401">
        <f t="shared" si="24"/>
        <v>454</v>
      </c>
    </row>
    <row r="402" spans="2:5" x14ac:dyDescent="0.35">
      <c r="D402" s="30" t="str">
        <f t="shared" si="22"/>
        <v xml:space="preserve">Medical Assistants </v>
      </c>
      <c r="E402">
        <f t="shared" si="24"/>
        <v>14</v>
      </c>
    </row>
    <row r="403" spans="2:5" x14ac:dyDescent="0.35">
      <c r="D403" s="30" t="str">
        <f t="shared" si="22"/>
        <v xml:space="preserve">Medical Imaging and Therapeutic Equipment Technicians </v>
      </c>
      <c r="E403">
        <f t="shared" si="24"/>
        <v>78</v>
      </c>
    </row>
    <row r="404" spans="2:5" x14ac:dyDescent="0.35">
      <c r="D404" s="30" t="str">
        <f t="shared" si="22"/>
        <v xml:space="preserve">Medical Records and Health Information Technicians </v>
      </c>
      <c r="E404">
        <f t="shared" si="24"/>
        <v>1</v>
      </c>
    </row>
    <row r="405" spans="2:5" x14ac:dyDescent="0.35">
      <c r="D405" s="30" t="str">
        <f t="shared" si="22"/>
        <v xml:space="preserve">Optometrists and Ophthalmic Opticians </v>
      </c>
      <c r="E405">
        <f t="shared" si="24"/>
        <v>9</v>
      </c>
    </row>
    <row r="406" spans="2:5" x14ac:dyDescent="0.35">
      <c r="D406" s="30" t="str">
        <f t="shared" si="22"/>
        <v xml:space="preserve">Other non-medical professional staff </v>
      </c>
      <c r="E406">
        <f t="shared" si="24"/>
        <v>942</v>
      </c>
    </row>
    <row r="407" spans="2:5" x14ac:dyDescent="0.35">
      <c r="D407" s="30" t="str">
        <f t="shared" si="22"/>
        <v xml:space="preserve">Other non-medical support staff </v>
      </c>
      <c r="E407">
        <f t="shared" si="24"/>
        <v>2595</v>
      </c>
    </row>
    <row r="408" spans="2:5" x14ac:dyDescent="0.35">
      <c r="D408" s="30" t="str">
        <f t="shared" si="22"/>
        <v xml:space="preserve">Medical and Pathology Laboratory Technicians </v>
      </c>
      <c r="E408">
        <f t="shared" si="24"/>
        <v>72</v>
      </c>
    </row>
    <row r="409" spans="2:5" x14ac:dyDescent="0.35">
      <c r="D409" s="30" t="str">
        <f t="shared" si="22"/>
        <v xml:space="preserve">Paramedical Practitioners </v>
      </c>
      <c r="E409">
        <f t="shared" si="24"/>
        <v>703</v>
      </c>
    </row>
    <row r="410" spans="2:5" x14ac:dyDescent="0.35">
      <c r="D410" s="30" t="str">
        <f t="shared" si="22"/>
        <v>Physiotherapists and physiotherapy assistants</v>
      </c>
      <c r="E410">
        <f t="shared" si="24"/>
        <v>43</v>
      </c>
    </row>
    <row r="411" spans="2:5" x14ac:dyDescent="0.35">
      <c r="D411" s="30" t="str">
        <f t="shared" si="22"/>
        <v>Social workers</v>
      </c>
      <c r="E411">
        <f t="shared" si="24"/>
        <v>119</v>
      </c>
    </row>
    <row r="412" spans="2:5" x14ac:dyDescent="0.35">
      <c r="D412" s="30" t="str">
        <f t="shared" si="22"/>
        <v xml:space="preserve">Audiologists and Speech Therapists </v>
      </c>
      <c r="E412">
        <f t="shared" si="24"/>
        <v>1</v>
      </c>
    </row>
    <row r="413" spans="2:5" x14ac:dyDescent="0.35">
      <c r="D413" s="30" t="str">
        <f t="shared" si="22"/>
        <v>Traditional and complementary medicine practitioners</v>
      </c>
      <c r="E413">
        <f t="shared" si="24"/>
        <v>117</v>
      </c>
    </row>
    <row r="414" spans="2:5" x14ac:dyDescent="0.35">
      <c r="B414" t="str">
        <f>R1</f>
        <v>GHA</v>
      </c>
      <c r="C414">
        <f>R2</f>
        <v>31522289.999999996</v>
      </c>
      <c r="D414" s="29" t="str">
        <f t="shared" si="22"/>
        <v>Medical Doctors</v>
      </c>
      <c r="E414">
        <f t="shared" ref="E414:E437" si="25">R3</f>
        <v>6634</v>
      </c>
    </row>
    <row r="415" spans="2:5" x14ac:dyDescent="0.35">
      <c r="D415" s="30" t="str">
        <f t="shared" si="22"/>
        <v>Nursing Personnel</v>
      </c>
      <c r="E415">
        <f t="shared" si="25"/>
        <v>139578</v>
      </c>
    </row>
    <row r="416" spans="2:5" x14ac:dyDescent="0.35">
      <c r="D416" s="30" t="str">
        <f t="shared" si="22"/>
        <v>Midwifery personnel</v>
      </c>
      <c r="E416">
        <f t="shared" si="25"/>
        <v>25346</v>
      </c>
    </row>
    <row r="417" spans="4:5" x14ac:dyDescent="0.35">
      <c r="D417" s="30" t="str">
        <f t="shared" si="22"/>
        <v>Pharmacists</v>
      </c>
      <c r="E417">
        <f t="shared" si="25"/>
        <v>0</v>
      </c>
    </row>
    <row r="418" spans="4:5" x14ac:dyDescent="0.35">
      <c r="D418" s="30" t="str">
        <f t="shared" si="22"/>
        <v>Dentists</v>
      </c>
      <c r="E418">
        <f t="shared" si="25"/>
        <v>0</v>
      </c>
    </row>
    <row r="419" spans="4:5" x14ac:dyDescent="0.35">
      <c r="D419" s="30" t="str">
        <f t="shared" si="22"/>
        <v xml:space="preserve">Community Health Workers </v>
      </c>
      <c r="E419">
        <f t="shared" si="25"/>
        <v>0</v>
      </c>
    </row>
    <row r="420" spans="4:5" x14ac:dyDescent="0.35">
      <c r="D420" s="30" t="str">
        <f t="shared" si="22"/>
        <v>Dieticians and nutritionists</v>
      </c>
      <c r="E420">
        <f t="shared" si="25"/>
        <v>0</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0</v>
      </c>
    </row>
    <row r="426" spans="4:5" x14ac:dyDescent="0.35">
      <c r="D426" s="30" t="str">
        <f t="shared" si="22"/>
        <v xml:space="preserve">Medical Assistants </v>
      </c>
      <c r="E426">
        <f t="shared" si="25"/>
        <v>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0</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0</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0</v>
      </c>
    </row>
    <row r="435" spans="2:5" x14ac:dyDescent="0.35">
      <c r="D435" s="30" t="str">
        <f t="shared" si="26"/>
        <v>Social workers</v>
      </c>
      <c r="E435">
        <f t="shared" si="25"/>
        <v>0</v>
      </c>
    </row>
    <row r="436" spans="2:5" x14ac:dyDescent="0.35">
      <c r="D436" s="30" t="str">
        <f t="shared" si="26"/>
        <v xml:space="preserve">Audiologists and Speech Therapists </v>
      </c>
      <c r="E436">
        <f t="shared" si="25"/>
        <v>0</v>
      </c>
    </row>
    <row r="437" spans="2:5" x14ac:dyDescent="0.35">
      <c r="D437" s="30" t="str">
        <f t="shared" si="26"/>
        <v>Traditional and complementary medicine practitioners</v>
      </c>
      <c r="E437">
        <f t="shared" si="25"/>
        <v>0</v>
      </c>
    </row>
    <row r="438" spans="2:5" x14ac:dyDescent="0.35">
      <c r="B438" t="str">
        <f>S1</f>
        <v>GIN</v>
      </c>
      <c r="C438">
        <f>S2</f>
        <v>12877538.499999994</v>
      </c>
      <c r="D438" s="29" t="str">
        <f t="shared" si="26"/>
        <v>Medical Doctors</v>
      </c>
      <c r="E438">
        <f t="shared" ref="E438:E461" si="27">S3</f>
        <v>0</v>
      </c>
    </row>
    <row r="439" spans="2:5" x14ac:dyDescent="0.35">
      <c r="D439" s="30" t="str">
        <f t="shared" si="26"/>
        <v>Nursing Personnel</v>
      </c>
      <c r="E439">
        <f t="shared" si="27"/>
        <v>0</v>
      </c>
    </row>
    <row r="440" spans="2:5" x14ac:dyDescent="0.35">
      <c r="D440" s="30" t="str">
        <f t="shared" si="26"/>
        <v>Midwifery personnel</v>
      </c>
      <c r="E440">
        <f t="shared" si="27"/>
        <v>0</v>
      </c>
    </row>
    <row r="441" spans="2:5" x14ac:dyDescent="0.35">
      <c r="D441" s="30" t="str">
        <f t="shared" si="26"/>
        <v>Pharmacists</v>
      </c>
      <c r="E441">
        <f t="shared" si="27"/>
        <v>0</v>
      </c>
    </row>
    <row r="442" spans="2:5" x14ac:dyDescent="0.35">
      <c r="D442" s="30" t="str">
        <f t="shared" si="26"/>
        <v>Dentists</v>
      </c>
      <c r="E442">
        <f t="shared" si="27"/>
        <v>0</v>
      </c>
    </row>
    <row r="443" spans="2:5" x14ac:dyDescent="0.35">
      <c r="D443" s="30" t="str">
        <f t="shared" si="26"/>
        <v xml:space="preserve">Community Health Workers </v>
      </c>
      <c r="E443">
        <f t="shared" si="27"/>
        <v>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363</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2508883.5000000009</v>
      </c>
      <c r="D462" s="29" t="str">
        <f t="shared" si="26"/>
        <v>Medical Doctors</v>
      </c>
      <c r="E462">
        <f t="shared" ref="E462:E485" si="28">T3</f>
        <v>457</v>
      </c>
    </row>
    <row r="463" spans="2:5" x14ac:dyDescent="0.35">
      <c r="D463" s="30" t="str">
        <f t="shared" si="26"/>
        <v>Nursing Personnel</v>
      </c>
      <c r="E463">
        <f t="shared" si="28"/>
        <v>1498</v>
      </c>
    </row>
    <row r="464" spans="2:5" x14ac:dyDescent="0.35">
      <c r="D464" s="30" t="str">
        <f t="shared" si="26"/>
        <v>Midwifery personnel</v>
      </c>
      <c r="E464">
        <f t="shared" si="28"/>
        <v>682</v>
      </c>
    </row>
    <row r="465" spans="4:5" x14ac:dyDescent="0.35">
      <c r="D465" s="30" t="str">
        <f t="shared" si="26"/>
        <v>Pharmacists</v>
      </c>
      <c r="E465">
        <f t="shared" si="28"/>
        <v>60</v>
      </c>
    </row>
    <row r="466" spans="4:5" x14ac:dyDescent="0.35">
      <c r="D466" s="30" t="str">
        <f t="shared" si="26"/>
        <v>Dentists</v>
      </c>
      <c r="E466">
        <f t="shared" si="28"/>
        <v>30</v>
      </c>
    </row>
    <row r="467" spans="4:5" x14ac:dyDescent="0.35">
      <c r="D467" s="30" t="str">
        <f t="shared" si="26"/>
        <v xml:space="preserve">Community Health Workers </v>
      </c>
      <c r="E467">
        <f t="shared" si="28"/>
        <v>0</v>
      </c>
    </row>
    <row r="468" spans="4:5" x14ac:dyDescent="0.35">
      <c r="D468" s="30" t="str">
        <f t="shared" si="26"/>
        <v>Dieticians and nutritionists</v>
      </c>
      <c r="E468">
        <f t="shared" si="28"/>
        <v>0</v>
      </c>
    </row>
    <row r="469" spans="4:5" x14ac:dyDescent="0.35">
      <c r="D469" s="30" t="str">
        <f t="shared" si="26"/>
        <v>Environmental and occupational health &amp; hygiene workers</v>
      </c>
      <c r="E469">
        <f t="shared" si="28"/>
        <v>0</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246</v>
      </c>
    </row>
    <row r="472" spans="4:5" x14ac:dyDescent="0.35">
      <c r="D472" s="30" t="str">
        <f t="shared" si="26"/>
        <v xml:space="preserve">Medical and dental Prosthetic Technicians </v>
      </c>
      <c r="E472">
        <f t="shared" si="28"/>
        <v>95</v>
      </c>
    </row>
    <row r="473" spans="4:5" x14ac:dyDescent="0.35">
      <c r="D473" s="30" t="str">
        <f t="shared" si="26"/>
        <v xml:space="preserve">Medical and Pathology Laboratory scientists </v>
      </c>
      <c r="E473">
        <f t="shared" si="28"/>
        <v>22</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149</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16</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23</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1970456.5</v>
      </c>
      <c r="D486" s="29" t="str">
        <f t="shared" si="26"/>
        <v>Medical Doctors</v>
      </c>
      <c r="E486">
        <f t="shared" ref="E486:E509" si="29">U3</f>
        <v>0</v>
      </c>
    </row>
    <row r="487" spans="2:5" x14ac:dyDescent="0.35">
      <c r="D487" s="30" t="str">
        <f t="shared" si="26"/>
        <v>Nursing Personnel</v>
      </c>
      <c r="E487">
        <f t="shared" si="29"/>
        <v>0</v>
      </c>
    </row>
    <row r="488" spans="2:5" x14ac:dyDescent="0.35">
      <c r="D488" s="30" t="str">
        <f t="shared" si="26"/>
        <v>Midwifery personnel</v>
      </c>
      <c r="E488">
        <f t="shared" si="29"/>
        <v>0</v>
      </c>
    </row>
    <row r="489" spans="2:5" x14ac:dyDescent="0.35">
      <c r="D489" s="30" t="str">
        <f t="shared" si="26"/>
        <v>Pharmacists</v>
      </c>
      <c r="E489">
        <f t="shared" si="29"/>
        <v>0</v>
      </c>
    </row>
    <row r="490" spans="2:5" x14ac:dyDescent="0.35">
      <c r="D490" s="30" t="str">
        <f t="shared" si="26"/>
        <v>Dentists</v>
      </c>
      <c r="E490">
        <f t="shared" si="29"/>
        <v>0</v>
      </c>
    </row>
    <row r="491" spans="2:5" x14ac:dyDescent="0.35">
      <c r="D491" s="30" t="str">
        <f t="shared" si="26"/>
        <v xml:space="preserve">Community Health Workers </v>
      </c>
      <c r="E491">
        <f t="shared" si="29"/>
        <v>0</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0</v>
      </c>
    </row>
    <row r="497" spans="2:5" x14ac:dyDescent="0.35">
      <c r="D497" s="30" t="str">
        <f t="shared" si="30"/>
        <v xml:space="preserve">Medical and Pathology Laboratory scientists </v>
      </c>
      <c r="E497">
        <f t="shared" si="29"/>
        <v>0</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0</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0</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0</v>
      </c>
    </row>
    <row r="504" spans="2:5" x14ac:dyDescent="0.35">
      <c r="D504" s="30" t="str">
        <f t="shared" si="30"/>
        <v xml:space="preserve">Medical and Pathology Laboratory Technicians </v>
      </c>
      <c r="E504">
        <f t="shared" si="29"/>
        <v>0</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0</v>
      </c>
    </row>
    <row r="507" spans="2:5" x14ac:dyDescent="0.35">
      <c r="D507" s="30" t="str">
        <f t="shared" si="30"/>
        <v>Social workers</v>
      </c>
      <c r="E507">
        <f t="shared" si="29"/>
        <v>0</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1553030.5000000002</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182</v>
      </c>
    </row>
    <row r="514" spans="4:5" x14ac:dyDescent="0.35">
      <c r="D514" s="30" t="str">
        <f t="shared" si="30"/>
        <v>Dentists</v>
      </c>
      <c r="E514">
        <f t="shared" si="31"/>
        <v>83</v>
      </c>
    </row>
    <row r="515" spans="4:5" x14ac:dyDescent="0.35">
      <c r="D515" s="30" t="str">
        <f t="shared" si="30"/>
        <v xml:space="preserve">Community Health Workers </v>
      </c>
      <c r="E515">
        <f t="shared" si="31"/>
        <v>0</v>
      </c>
    </row>
    <row r="516" spans="4:5" x14ac:dyDescent="0.35">
      <c r="D516" s="30" t="str">
        <f t="shared" si="30"/>
        <v>Dieticians and nutritionists</v>
      </c>
      <c r="E516">
        <f t="shared" si="31"/>
        <v>6</v>
      </c>
    </row>
    <row r="517" spans="4:5" x14ac:dyDescent="0.35">
      <c r="D517" s="30" t="str">
        <f t="shared" si="30"/>
        <v>Environmental and occupational health &amp; hygiene workers</v>
      </c>
      <c r="E517">
        <f t="shared" si="31"/>
        <v>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50951450</v>
      </c>
      <c r="D534" s="29" t="str">
        <f t="shared" si="30"/>
        <v>Medical Doctors</v>
      </c>
      <c r="E534">
        <f t="shared" ref="E534:E557" si="32">W3</f>
        <v>0</v>
      </c>
    </row>
    <row r="535" spans="2:5" x14ac:dyDescent="0.35">
      <c r="D535" s="30" t="str">
        <f t="shared" si="30"/>
        <v>Nursing Personnel</v>
      </c>
      <c r="E535">
        <f t="shared" si="32"/>
        <v>0</v>
      </c>
    </row>
    <row r="536" spans="2:5" x14ac:dyDescent="0.35">
      <c r="D536" s="30" t="str">
        <f t="shared" si="30"/>
        <v>Midwifery personnel</v>
      </c>
      <c r="E536">
        <f t="shared" si="32"/>
        <v>0</v>
      </c>
    </row>
    <row r="537" spans="2:5" x14ac:dyDescent="0.35">
      <c r="D537" s="30" t="str">
        <f t="shared" si="30"/>
        <v>Pharmacists</v>
      </c>
      <c r="E537">
        <f t="shared" si="32"/>
        <v>11741</v>
      </c>
    </row>
    <row r="538" spans="2:5" x14ac:dyDescent="0.35">
      <c r="D538" s="30" t="str">
        <f t="shared" si="30"/>
        <v>Dentists</v>
      </c>
      <c r="E538">
        <f t="shared" si="32"/>
        <v>13262</v>
      </c>
    </row>
    <row r="539" spans="2:5" x14ac:dyDescent="0.35">
      <c r="D539" s="30" t="str">
        <f t="shared" si="30"/>
        <v xml:space="preserve">Community Health Workers </v>
      </c>
      <c r="E539">
        <f t="shared" si="32"/>
        <v>0</v>
      </c>
    </row>
    <row r="540" spans="2:5" x14ac:dyDescent="0.35">
      <c r="D540" s="30" t="str">
        <f t="shared" si="30"/>
        <v>Dieticians and nutritionists</v>
      </c>
      <c r="E540">
        <f t="shared" si="32"/>
        <v>3877</v>
      </c>
    </row>
    <row r="541" spans="2:5" x14ac:dyDescent="0.35">
      <c r="D541" s="30" t="str">
        <f t="shared" si="30"/>
        <v>Environmental and occupational health &amp; hygiene workers</v>
      </c>
      <c r="E541">
        <f t="shared" si="32"/>
        <v>3730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468</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0</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4985289.0000000075</v>
      </c>
      <c r="D558" s="29" t="str">
        <f t="shared" ref="D558:D621" si="33">D534</f>
        <v>Medical Doctors</v>
      </c>
      <c r="E558">
        <f t="shared" ref="E558:E581" si="34">X3</f>
        <v>1508</v>
      </c>
    </row>
    <row r="559" spans="2:5" x14ac:dyDescent="0.35">
      <c r="D559" s="30" t="str">
        <f t="shared" si="33"/>
        <v>Nursing Personnel</v>
      </c>
      <c r="E559">
        <f t="shared" si="34"/>
        <v>3956</v>
      </c>
    </row>
    <row r="560" spans="2:5" x14ac:dyDescent="0.35">
      <c r="D560" s="30" t="str">
        <f t="shared" si="33"/>
        <v>Midwifery personnel</v>
      </c>
      <c r="E560">
        <f t="shared" si="34"/>
        <v>1534</v>
      </c>
    </row>
    <row r="561" spans="4:5" x14ac:dyDescent="0.35">
      <c r="D561" s="30" t="str">
        <f t="shared" si="33"/>
        <v>Pharmacists</v>
      </c>
      <c r="E561">
        <f t="shared" si="34"/>
        <v>235</v>
      </c>
    </row>
    <row r="562" spans="4:5" x14ac:dyDescent="0.35">
      <c r="D562" s="30" t="str">
        <f t="shared" si="33"/>
        <v>Dentists</v>
      </c>
      <c r="E562">
        <f t="shared" si="34"/>
        <v>0</v>
      </c>
    </row>
    <row r="563" spans="4:5" x14ac:dyDescent="0.35">
      <c r="D563" s="30" t="str">
        <f t="shared" si="33"/>
        <v xml:space="preserve">Community Health Workers </v>
      </c>
      <c r="E563">
        <f t="shared" si="34"/>
        <v>0</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2225701.4999999995</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0</v>
      </c>
    </row>
    <row r="586" spans="2:5" x14ac:dyDescent="0.35">
      <c r="D586" s="30" t="str">
        <f t="shared" si="33"/>
        <v>Dentists</v>
      </c>
      <c r="E586">
        <f t="shared" si="35"/>
        <v>0</v>
      </c>
    </row>
    <row r="587" spans="2:5" x14ac:dyDescent="0.35">
      <c r="D587" s="30" t="str">
        <f t="shared" si="33"/>
        <v xml:space="preserve">Community Health Workers </v>
      </c>
      <c r="E587">
        <f t="shared" si="35"/>
        <v>0</v>
      </c>
    </row>
    <row r="588" spans="2:5" x14ac:dyDescent="0.35">
      <c r="D588" s="30" t="str">
        <f t="shared" si="33"/>
        <v>Dieticians and nutritionists</v>
      </c>
      <c r="E588">
        <f t="shared" si="35"/>
        <v>0</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6</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27533134.000000015</v>
      </c>
      <c r="D606" s="29" t="str">
        <f t="shared" si="33"/>
        <v>Medical Doctors</v>
      </c>
      <c r="E606">
        <f t="shared" ref="E606:E629" si="36">Z3</f>
        <v>0</v>
      </c>
    </row>
    <row r="607" spans="2:5" x14ac:dyDescent="0.35">
      <c r="D607" s="30" t="str">
        <f t="shared" si="33"/>
        <v>Nursing Personnel</v>
      </c>
      <c r="E607">
        <f t="shared" si="36"/>
        <v>0</v>
      </c>
    </row>
    <row r="608" spans="2:5" x14ac:dyDescent="0.35">
      <c r="D608" s="30" t="str">
        <f t="shared" si="33"/>
        <v>Midwifery personnel</v>
      </c>
      <c r="E608">
        <f t="shared" si="36"/>
        <v>0</v>
      </c>
    </row>
    <row r="609" spans="4:5" x14ac:dyDescent="0.35">
      <c r="D609" s="30" t="str">
        <f t="shared" si="33"/>
        <v>Pharmacists</v>
      </c>
      <c r="E609">
        <f t="shared" si="36"/>
        <v>0</v>
      </c>
    </row>
    <row r="610" spans="4:5" x14ac:dyDescent="0.35">
      <c r="D610" s="30" t="str">
        <f t="shared" si="33"/>
        <v>Dentists</v>
      </c>
      <c r="E610">
        <f t="shared" si="36"/>
        <v>0</v>
      </c>
    </row>
    <row r="611" spans="4:5" x14ac:dyDescent="0.35">
      <c r="D611" s="30" t="str">
        <f t="shared" si="33"/>
        <v xml:space="preserve">Community Health Workers </v>
      </c>
      <c r="E611">
        <f t="shared" si="36"/>
        <v>38338</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12</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20567423.999999989</v>
      </c>
      <c r="D630" s="29" t="str">
        <f t="shared" si="37"/>
        <v>Medical Doctors</v>
      </c>
      <c r="E630">
        <f t="shared" ref="E630:E653" si="38">AA3</f>
        <v>0</v>
      </c>
    </row>
    <row r="631" spans="2:5" x14ac:dyDescent="0.35">
      <c r="D631" s="30" t="str">
        <f t="shared" si="37"/>
        <v>Nursing Personnel</v>
      </c>
      <c r="E631">
        <f t="shared" si="38"/>
        <v>0</v>
      </c>
    </row>
    <row r="632" spans="2:5" x14ac:dyDescent="0.35">
      <c r="D632" s="30" t="str">
        <f t="shared" si="37"/>
        <v>Midwifery personnel</v>
      </c>
      <c r="E632">
        <f t="shared" si="38"/>
        <v>0</v>
      </c>
    </row>
    <row r="633" spans="2:5" x14ac:dyDescent="0.35">
      <c r="D633" s="30" t="str">
        <f t="shared" si="37"/>
        <v>Pharmacists</v>
      </c>
      <c r="E633">
        <f t="shared" si="38"/>
        <v>170</v>
      </c>
    </row>
    <row r="634" spans="2:5" x14ac:dyDescent="0.35">
      <c r="D634" s="30" t="str">
        <f t="shared" si="37"/>
        <v>Dentists</v>
      </c>
      <c r="E634">
        <f t="shared" si="38"/>
        <v>121</v>
      </c>
    </row>
    <row r="635" spans="2:5" x14ac:dyDescent="0.35">
      <c r="D635" s="30" t="str">
        <f t="shared" si="37"/>
        <v xml:space="preserve">Community Health Workers </v>
      </c>
      <c r="E635">
        <f t="shared" si="38"/>
        <v>0</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146</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30285595.000000004</v>
      </c>
      <c r="D654" s="32" t="str">
        <f t="shared" si="37"/>
        <v>Medical Doctors</v>
      </c>
      <c r="E654">
        <f t="shared" ref="E654:E677" si="39">AB3</f>
        <v>5993</v>
      </c>
    </row>
    <row r="655" spans="2:5" x14ac:dyDescent="0.35">
      <c r="D655" s="30" t="str">
        <f t="shared" si="37"/>
        <v>Nursing Personnel</v>
      </c>
      <c r="E655">
        <f t="shared" si="39"/>
        <v>16358</v>
      </c>
    </row>
    <row r="656" spans="2:5" x14ac:dyDescent="0.35">
      <c r="D656" s="30" t="str">
        <f t="shared" si="37"/>
        <v>Midwifery personnel</v>
      </c>
      <c r="E656">
        <f t="shared" si="39"/>
        <v>12350</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6632</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2789</v>
      </c>
    </row>
    <row r="664" spans="4:5" x14ac:dyDescent="0.35">
      <c r="D664" s="30" t="str">
        <f t="shared" si="37"/>
        <v xml:space="preserve">Medical and dental Prosthetic Technicians </v>
      </c>
      <c r="E664">
        <f t="shared" si="39"/>
        <v>54</v>
      </c>
    </row>
    <row r="665" spans="4:5" x14ac:dyDescent="0.35">
      <c r="D665" s="30" t="str">
        <f t="shared" si="37"/>
        <v xml:space="preserve">Medical and Pathology Laboratory scientists </v>
      </c>
      <c r="E665">
        <f t="shared" si="39"/>
        <v>2055</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315</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165</v>
      </c>
    </row>
    <row r="670" spans="4:5" x14ac:dyDescent="0.35">
      <c r="D670" s="30" t="str">
        <f t="shared" si="37"/>
        <v xml:space="preserve">Other non-medical professional staff </v>
      </c>
      <c r="E670">
        <f t="shared" si="39"/>
        <v>399</v>
      </c>
    </row>
    <row r="671" spans="4:5" x14ac:dyDescent="0.35">
      <c r="D671" s="30" t="str">
        <f t="shared" si="37"/>
        <v xml:space="preserve">Other non-medical support staff </v>
      </c>
      <c r="E671">
        <f t="shared" si="39"/>
        <v>16937</v>
      </c>
    </row>
    <row r="672" spans="4:5" x14ac:dyDescent="0.35">
      <c r="D672" s="30" t="str">
        <f t="shared" si="37"/>
        <v xml:space="preserve">Medical and Pathology Laboratory Technicians </v>
      </c>
      <c r="E672">
        <f t="shared" si="39"/>
        <v>0</v>
      </c>
    </row>
    <row r="673" spans="2:5" x14ac:dyDescent="0.35">
      <c r="D673" s="30" t="str">
        <f t="shared" si="37"/>
        <v xml:space="preserve">Paramedical Practitioners </v>
      </c>
      <c r="E673">
        <f t="shared" si="39"/>
        <v>6665</v>
      </c>
    </row>
    <row r="674" spans="2:5" x14ac:dyDescent="0.35">
      <c r="D674" s="30" t="str">
        <f t="shared" si="37"/>
        <v>Physiotherapists and physiotherapy assistants</v>
      </c>
      <c r="E674">
        <f t="shared" si="39"/>
        <v>395</v>
      </c>
    </row>
    <row r="675" spans="2:5" x14ac:dyDescent="0.35">
      <c r="D675" s="30" t="str">
        <f t="shared" si="37"/>
        <v>Social workers</v>
      </c>
      <c r="E675">
        <f t="shared" si="39"/>
        <v>422</v>
      </c>
    </row>
    <row r="676" spans="2:5" x14ac:dyDescent="0.35">
      <c r="D676" s="30" t="str">
        <f t="shared" si="37"/>
        <v xml:space="preserve">Audiologists and Speech Therapists </v>
      </c>
      <c r="E676">
        <f t="shared" si="39"/>
        <v>2</v>
      </c>
    </row>
    <row r="677" spans="2:5" x14ac:dyDescent="0.35">
      <c r="D677" s="30" t="str">
        <f t="shared" si="37"/>
        <v>Traditional and complementary medicine practitioners</v>
      </c>
      <c r="E677">
        <f t="shared" si="39"/>
        <v>0</v>
      </c>
    </row>
    <row r="678" spans="2:5" x14ac:dyDescent="0.35">
      <c r="B678" t="str">
        <f>AC1</f>
        <v>MRT</v>
      </c>
      <c r="C678">
        <f>AC2</f>
        <v>4383848.5000000009</v>
      </c>
      <c r="D678" s="29" t="str">
        <f t="shared" si="37"/>
        <v>Medical Doctors</v>
      </c>
      <c r="E678">
        <f t="shared" ref="E678:E701" si="40">AC3</f>
        <v>1794</v>
      </c>
    </row>
    <row r="679" spans="2:5" x14ac:dyDescent="0.35">
      <c r="D679" s="30" t="str">
        <f t="shared" si="37"/>
        <v>Nursing Personnel</v>
      </c>
      <c r="E679">
        <f t="shared" si="40"/>
        <v>8738</v>
      </c>
    </row>
    <row r="680" spans="2:5" x14ac:dyDescent="0.35">
      <c r="D680" s="30" t="str">
        <f t="shared" si="37"/>
        <v>Midwifery personnel</v>
      </c>
      <c r="E680">
        <f t="shared" si="40"/>
        <v>1864</v>
      </c>
    </row>
    <row r="681" spans="2:5" x14ac:dyDescent="0.35">
      <c r="D681" s="30" t="str">
        <f t="shared" si="37"/>
        <v>Pharmacists</v>
      </c>
      <c r="E681">
        <f t="shared" si="40"/>
        <v>0</v>
      </c>
    </row>
    <row r="682" spans="2:5" x14ac:dyDescent="0.35">
      <c r="D682" s="30" t="str">
        <f t="shared" si="37"/>
        <v>Dentists</v>
      </c>
      <c r="E682">
        <f t="shared" si="40"/>
        <v>0</v>
      </c>
    </row>
    <row r="683" spans="2:5" x14ac:dyDescent="0.35">
      <c r="D683" s="30" t="str">
        <f t="shared" si="37"/>
        <v xml:space="preserve">Community Health Workers </v>
      </c>
      <c r="E683">
        <f t="shared" si="40"/>
        <v>0</v>
      </c>
    </row>
    <row r="684" spans="2:5" x14ac:dyDescent="0.35">
      <c r="D684" s="30" t="str">
        <f t="shared" si="37"/>
        <v>Dieticians and nutritionists</v>
      </c>
      <c r="E684">
        <f t="shared" si="40"/>
        <v>0</v>
      </c>
    </row>
    <row r="685" spans="2:5" x14ac:dyDescent="0.35">
      <c r="D685" s="30" t="str">
        <f t="shared" si="37"/>
        <v>Environmental and occupational health &amp; hygiene workers</v>
      </c>
      <c r="E685">
        <f t="shared" si="40"/>
        <v>0</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1296279.0000000002</v>
      </c>
      <c r="D702" s="29" t="str">
        <f t="shared" si="41"/>
        <v>Medical Doctors</v>
      </c>
      <c r="E702">
        <f t="shared" ref="E702:E725" si="42">AD3</f>
        <v>6580</v>
      </c>
    </row>
    <row r="703" spans="2:5" x14ac:dyDescent="0.35">
      <c r="D703" s="30" t="str">
        <f t="shared" si="41"/>
        <v>Nursing Personnel</v>
      </c>
      <c r="E703">
        <f t="shared" si="42"/>
        <v>0</v>
      </c>
    </row>
    <row r="704" spans="2:5" x14ac:dyDescent="0.35">
      <c r="D704" s="30" t="str">
        <f t="shared" si="41"/>
        <v>Midwifery personnel</v>
      </c>
      <c r="E704">
        <f t="shared" si="42"/>
        <v>0</v>
      </c>
    </row>
    <row r="705" spans="4:5" x14ac:dyDescent="0.35">
      <c r="D705" s="30" t="str">
        <f t="shared" si="41"/>
        <v>Pharmacists</v>
      </c>
      <c r="E705">
        <f t="shared" si="42"/>
        <v>14</v>
      </c>
    </row>
    <row r="706" spans="4:5" x14ac:dyDescent="0.35">
      <c r="D706" s="30" t="str">
        <f t="shared" si="41"/>
        <v>Dentists</v>
      </c>
      <c r="E706">
        <f t="shared" si="42"/>
        <v>0</v>
      </c>
    </row>
    <row r="707" spans="4:5" x14ac:dyDescent="0.35">
      <c r="D707" s="30" t="str">
        <f t="shared" si="41"/>
        <v xml:space="preserve">Community Health Workers </v>
      </c>
      <c r="E707">
        <f t="shared" si="42"/>
        <v>0</v>
      </c>
    </row>
    <row r="708" spans="4:5" x14ac:dyDescent="0.35">
      <c r="D708" s="30" t="str">
        <f t="shared" si="41"/>
        <v>Dieticians and nutritionists</v>
      </c>
      <c r="E708">
        <f t="shared" si="42"/>
        <v>1</v>
      </c>
    </row>
    <row r="709" spans="4:5" x14ac:dyDescent="0.35">
      <c r="D709" s="30" t="str">
        <f t="shared" si="41"/>
        <v>Environmental and occupational health &amp; hygiene workers</v>
      </c>
      <c r="E709">
        <f t="shared" si="42"/>
        <v>311</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15</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18867336.499999993</v>
      </c>
      <c r="D726" s="29" t="str">
        <f t="shared" si="41"/>
        <v>Medical Doctors</v>
      </c>
      <c r="E726">
        <f t="shared" ref="E726:E749" si="43">AE3</f>
        <v>0</v>
      </c>
    </row>
    <row r="727" spans="2:5" x14ac:dyDescent="0.35">
      <c r="D727" s="30" t="str">
        <f t="shared" si="41"/>
        <v>Nursing Personnel</v>
      </c>
      <c r="E727">
        <f t="shared" si="43"/>
        <v>0</v>
      </c>
    </row>
    <row r="728" spans="2:5" x14ac:dyDescent="0.35">
      <c r="D728" s="30" t="str">
        <f t="shared" si="41"/>
        <v>Midwifery personnel</v>
      </c>
      <c r="E728">
        <f t="shared" si="43"/>
        <v>0</v>
      </c>
    </row>
    <row r="729" spans="2:5" x14ac:dyDescent="0.35">
      <c r="D729" s="30" t="str">
        <f t="shared" si="41"/>
        <v>Pharmacists</v>
      </c>
      <c r="E729">
        <f t="shared" si="43"/>
        <v>107</v>
      </c>
    </row>
    <row r="730" spans="2:5" x14ac:dyDescent="0.35">
      <c r="D730" s="30" t="str">
        <f t="shared" si="41"/>
        <v>Dentists</v>
      </c>
      <c r="E730">
        <f t="shared" si="43"/>
        <v>50</v>
      </c>
    </row>
    <row r="731" spans="2:5" x14ac:dyDescent="0.35">
      <c r="D731" s="30" t="str">
        <f t="shared" si="41"/>
        <v xml:space="preserve">Community Health Workers </v>
      </c>
      <c r="E731">
        <f t="shared" si="43"/>
        <v>0</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0</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0</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2446644.4999999977</v>
      </c>
      <c r="D750" s="29" t="str">
        <f t="shared" ref="D750:D813" si="44">D726</f>
        <v>Medical Doctors</v>
      </c>
      <c r="E750">
        <f t="shared" ref="E750:E773" si="45">AF3</f>
        <v>1931</v>
      </c>
    </row>
    <row r="751" spans="2:5" x14ac:dyDescent="0.35">
      <c r="D751" s="30" t="str">
        <f t="shared" si="44"/>
        <v>Nursing Personnel</v>
      </c>
      <c r="E751">
        <f t="shared" si="45"/>
        <v>11806</v>
      </c>
    </row>
    <row r="752" spans="2:5" x14ac:dyDescent="0.35">
      <c r="D752" s="30" t="str">
        <f t="shared" si="44"/>
        <v>Midwifery personnel</v>
      </c>
      <c r="E752">
        <f t="shared" si="45"/>
        <v>10</v>
      </c>
    </row>
    <row r="753" spans="4:5" x14ac:dyDescent="0.35">
      <c r="D753" s="30" t="str">
        <f t="shared" si="44"/>
        <v>Pharmacists</v>
      </c>
      <c r="E753">
        <f t="shared" si="45"/>
        <v>0</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137</v>
      </c>
    </row>
    <row r="761" spans="4:5" x14ac:dyDescent="0.35">
      <c r="D761" s="30" t="str">
        <f t="shared" si="44"/>
        <v xml:space="preserve">Medical and Pathology Laboratory scientists </v>
      </c>
      <c r="E761">
        <f t="shared" si="45"/>
        <v>503</v>
      </c>
    </row>
    <row r="762" spans="4:5" x14ac:dyDescent="0.35">
      <c r="D762" s="30" t="str">
        <f t="shared" si="44"/>
        <v xml:space="preserve">Medical Assistants </v>
      </c>
      <c r="E762">
        <f t="shared" si="45"/>
        <v>3</v>
      </c>
    </row>
    <row r="763" spans="4:5" x14ac:dyDescent="0.35">
      <c r="D763" s="30" t="str">
        <f t="shared" si="44"/>
        <v xml:space="preserve">Medical Imaging and Therapeutic Equipment Technicians </v>
      </c>
      <c r="E763">
        <f t="shared" si="45"/>
        <v>291</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99</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0</v>
      </c>
    </row>
    <row r="769" spans="2:5" x14ac:dyDescent="0.35">
      <c r="D769" s="30" t="str">
        <f t="shared" si="44"/>
        <v xml:space="preserve">Paramedical Practitioners </v>
      </c>
      <c r="E769">
        <f t="shared" si="45"/>
        <v>53</v>
      </c>
    </row>
    <row r="770" spans="2:5" x14ac:dyDescent="0.35">
      <c r="D770" s="30" t="str">
        <f t="shared" si="44"/>
        <v>Physiotherapists and physiotherapy assistants</v>
      </c>
      <c r="E770">
        <f t="shared" si="45"/>
        <v>123</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23443392.999999978</v>
      </c>
      <c r="D774" s="29" t="str">
        <f t="shared" si="44"/>
        <v>Medical Doctors</v>
      </c>
      <c r="E774">
        <f t="shared" ref="E774:E797" si="46">AG3</f>
        <v>1776</v>
      </c>
    </row>
    <row r="775" spans="2:5" x14ac:dyDescent="0.35">
      <c r="D775" s="30" t="str">
        <f t="shared" si="44"/>
        <v>Nursing Personnel</v>
      </c>
      <c r="E775">
        <f t="shared" si="46"/>
        <v>0</v>
      </c>
    </row>
    <row r="776" spans="2:5" x14ac:dyDescent="0.35">
      <c r="D776" s="30" t="str">
        <f t="shared" si="44"/>
        <v>Midwifery personnel</v>
      </c>
      <c r="E776">
        <f t="shared" si="46"/>
        <v>0</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203304491.50000006</v>
      </c>
      <c r="D798" s="29" t="str">
        <f t="shared" si="44"/>
        <v>Medical Doctors</v>
      </c>
      <c r="E798">
        <f t="shared" ref="E798:E821" si="47">AH3</f>
        <v>159688</v>
      </c>
    </row>
    <row r="799" spans="2:5" x14ac:dyDescent="0.35">
      <c r="D799" s="30" t="str">
        <f t="shared" si="44"/>
        <v>Nursing Personnel</v>
      </c>
      <c r="E799">
        <f t="shared" si="47"/>
        <v>361418</v>
      </c>
    </row>
    <row r="800" spans="2:5" x14ac:dyDescent="0.35">
      <c r="D800" s="30" t="str">
        <f t="shared" si="44"/>
        <v>Midwifery personnel</v>
      </c>
      <c r="E800">
        <f t="shared" si="47"/>
        <v>241740</v>
      </c>
    </row>
    <row r="801" spans="4:5" x14ac:dyDescent="0.35">
      <c r="D801" s="30" t="str">
        <f t="shared" si="44"/>
        <v>Pharmacists</v>
      </c>
      <c r="E801">
        <f t="shared" si="47"/>
        <v>0</v>
      </c>
    </row>
    <row r="802" spans="4:5" x14ac:dyDescent="0.35">
      <c r="D802" s="30" t="str">
        <f t="shared" si="44"/>
        <v>Dentists</v>
      </c>
      <c r="E802">
        <f t="shared" si="47"/>
        <v>0</v>
      </c>
    </row>
    <row r="803" spans="4:5" x14ac:dyDescent="0.35">
      <c r="D803" s="30" t="str">
        <f t="shared" si="44"/>
        <v xml:space="preserve">Community Health Workers </v>
      </c>
      <c r="E803">
        <f t="shared" si="47"/>
        <v>116454</v>
      </c>
    </row>
    <row r="804" spans="4:5" x14ac:dyDescent="0.35">
      <c r="D804" s="30" t="str">
        <f t="shared" si="44"/>
        <v>Dieticians and nutritionists</v>
      </c>
      <c r="E804">
        <f t="shared" si="47"/>
        <v>0</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7</v>
      </c>
    </row>
    <row r="809" spans="4:5" x14ac:dyDescent="0.35">
      <c r="D809" s="30" t="str">
        <f t="shared" si="44"/>
        <v xml:space="preserve">Medical and Pathology Laboratory scientists </v>
      </c>
      <c r="E809">
        <f t="shared" si="47"/>
        <v>26677</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369</v>
      </c>
    </row>
    <row r="812" spans="4:5" x14ac:dyDescent="0.35">
      <c r="D812" s="30" t="str">
        <f t="shared" si="44"/>
        <v xml:space="preserve">Medical Records and Health Information Technicians </v>
      </c>
      <c r="E812">
        <f t="shared" si="47"/>
        <v>27247</v>
      </c>
    </row>
    <row r="813" spans="4:5" x14ac:dyDescent="0.35">
      <c r="D813" s="30" t="str">
        <f t="shared" si="44"/>
        <v xml:space="preserve">Optometrists and Ophthalmic Opticians </v>
      </c>
      <c r="E813">
        <f t="shared" si="47"/>
        <v>4429</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29803</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5089</v>
      </c>
    </row>
    <row r="819" spans="2:5" x14ac:dyDescent="0.35">
      <c r="D819" s="30" t="str">
        <f t="shared" si="48"/>
        <v>Social workers</v>
      </c>
      <c r="E819">
        <f t="shared" si="47"/>
        <v>0</v>
      </c>
    </row>
    <row r="820" spans="2:5" x14ac:dyDescent="0.35">
      <c r="D820" s="30" t="str">
        <f t="shared" si="48"/>
        <v xml:space="preserve">Audiologists and Speech Therapists </v>
      </c>
      <c r="E820">
        <f t="shared" si="47"/>
        <v>79</v>
      </c>
    </row>
    <row r="821" spans="2:5" x14ac:dyDescent="0.35">
      <c r="D821" s="30" t="str">
        <f t="shared" si="48"/>
        <v>Traditional and complementary medicine practitioners</v>
      </c>
      <c r="E821">
        <f t="shared" si="47"/>
        <v>32</v>
      </c>
    </row>
    <row r="822" spans="2:5" x14ac:dyDescent="0.35">
      <c r="B822" t="str">
        <f>AI1</f>
        <v>RWA</v>
      </c>
      <c r="C822">
        <f>AI2</f>
        <v>12835028</v>
      </c>
      <c r="D822" s="29" t="str">
        <f t="shared" si="48"/>
        <v>Medical Doctors</v>
      </c>
      <c r="E822">
        <f t="shared" ref="E822:E845" si="49">AI3</f>
        <v>2984</v>
      </c>
    </row>
    <row r="823" spans="2:5" x14ac:dyDescent="0.35">
      <c r="D823" s="30" t="str">
        <f t="shared" si="48"/>
        <v>Nursing Personnel</v>
      </c>
      <c r="E823">
        <f t="shared" si="49"/>
        <v>20818</v>
      </c>
    </row>
    <row r="824" spans="2:5" x14ac:dyDescent="0.35">
      <c r="D824" s="30" t="str">
        <f t="shared" si="48"/>
        <v>Midwifery personnel</v>
      </c>
      <c r="E824">
        <f t="shared" si="49"/>
        <v>3122</v>
      </c>
    </row>
    <row r="825" spans="2:5" x14ac:dyDescent="0.35">
      <c r="D825" s="30" t="str">
        <f t="shared" si="48"/>
        <v>Pharmacists</v>
      </c>
      <c r="E825">
        <f t="shared" si="49"/>
        <v>194</v>
      </c>
    </row>
    <row r="826" spans="2:5" x14ac:dyDescent="0.35">
      <c r="D826" s="30" t="str">
        <f t="shared" si="48"/>
        <v>Dentists</v>
      </c>
      <c r="E826">
        <f t="shared" si="49"/>
        <v>234</v>
      </c>
    </row>
    <row r="827" spans="2:5" x14ac:dyDescent="0.35">
      <c r="D827" s="30" t="str">
        <f t="shared" si="48"/>
        <v xml:space="preserve">Community Health Workers </v>
      </c>
      <c r="E827">
        <f t="shared" si="49"/>
        <v>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0</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16000781.500000006</v>
      </c>
      <c r="D846" s="29" t="str">
        <f t="shared" si="48"/>
        <v>Medical Doctors</v>
      </c>
      <c r="E846">
        <f t="shared" ref="E846:E869" si="50">AJ3</f>
        <v>5952</v>
      </c>
    </row>
    <row r="847" spans="2:5" x14ac:dyDescent="0.35">
      <c r="D847" s="30" t="str">
        <f t="shared" si="48"/>
        <v>Nursing Personnel</v>
      </c>
      <c r="E847">
        <f t="shared" si="50"/>
        <v>14883</v>
      </c>
    </row>
    <row r="848" spans="2:5" x14ac:dyDescent="0.35">
      <c r="D848" s="30" t="str">
        <f t="shared" si="48"/>
        <v>Midwifery personnel</v>
      </c>
      <c r="E848">
        <f t="shared" si="50"/>
        <v>5312</v>
      </c>
    </row>
    <row r="849" spans="4:5" x14ac:dyDescent="0.35">
      <c r="D849" s="30" t="str">
        <f t="shared" si="48"/>
        <v>Pharmacists</v>
      </c>
      <c r="E849">
        <f t="shared" si="50"/>
        <v>0</v>
      </c>
    </row>
    <row r="850" spans="4:5" x14ac:dyDescent="0.35">
      <c r="D850" s="30" t="str">
        <f t="shared" si="48"/>
        <v>Dentists</v>
      </c>
      <c r="E850">
        <f t="shared" si="50"/>
        <v>0</v>
      </c>
    </row>
    <row r="851" spans="4:5" x14ac:dyDescent="0.35">
      <c r="D851" s="30" t="str">
        <f t="shared" si="48"/>
        <v xml:space="preserve">Community Health Workers </v>
      </c>
      <c r="E851">
        <f t="shared" si="50"/>
        <v>1116</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0</v>
      </c>
    </row>
    <row r="854" spans="4:5" x14ac:dyDescent="0.35">
      <c r="D854" s="30" t="str">
        <f t="shared" si="48"/>
        <v>Personal care workers in health service</v>
      </c>
      <c r="E854">
        <f t="shared" si="50"/>
        <v>15422</v>
      </c>
    </row>
    <row r="855" spans="4:5" x14ac:dyDescent="0.35">
      <c r="D855" s="30" t="str">
        <f t="shared" si="48"/>
        <v xml:space="preserve">Managerial staff </v>
      </c>
      <c r="E855">
        <f t="shared" si="50"/>
        <v>686</v>
      </c>
    </row>
    <row r="856" spans="4:5" x14ac:dyDescent="0.35">
      <c r="D856" s="30" t="str">
        <f t="shared" si="48"/>
        <v xml:space="preserve">Medical and dental Prosthetic Technicians </v>
      </c>
      <c r="E856">
        <f t="shared" si="50"/>
        <v>22</v>
      </c>
    </row>
    <row r="857" spans="4:5" x14ac:dyDescent="0.35">
      <c r="D857" s="30" t="str">
        <f t="shared" si="48"/>
        <v xml:space="preserve">Medical and Pathology Laboratory scientists </v>
      </c>
      <c r="E857">
        <f t="shared" si="50"/>
        <v>715</v>
      </c>
    </row>
    <row r="858" spans="4:5" x14ac:dyDescent="0.35">
      <c r="D858" s="30" t="str">
        <f t="shared" si="48"/>
        <v xml:space="preserve">Medical Assistants </v>
      </c>
      <c r="E858">
        <f t="shared" si="50"/>
        <v>2112</v>
      </c>
    </row>
    <row r="859" spans="4:5" x14ac:dyDescent="0.35">
      <c r="D859" s="30" t="str">
        <f t="shared" si="48"/>
        <v xml:space="preserve">Medical Imaging and Therapeutic Equipment Technicians </v>
      </c>
      <c r="E859">
        <f t="shared" si="50"/>
        <v>124</v>
      </c>
    </row>
    <row r="860" spans="4:5" x14ac:dyDescent="0.35">
      <c r="D860" s="30" t="str">
        <f t="shared" si="48"/>
        <v xml:space="preserve">Medical Records and Health Information Technicians </v>
      </c>
      <c r="E860">
        <f t="shared" si="50"/>
        <v>123</v>
      </c>
    </row>
    <row r="861" spans="4:5" x14ac:dyDescent="0.35">
      <c r="D861" s="30" t="str">
        <f t="shared" si="48"/>
        <v xml:space="preserve">Optometrists and Ophthalmic Opticians </v>
      </c>
      <c r="E861">
        <f t="shared" si="50"/>
        <v>1</v>
      </c>
    </row>
    <row r="862" spans="4:5" x14ac:dyDescent="0.35">
      <c r="D862" s="30" t="str">
        <f t="shared" si="48"/>
        <v xml:space="preserve">Other non-medical professional staff </v>
      </c>
      <c r="E862">
        <f t="shared" si="50"/>
        <v>3647</v>
      </c>
    </row>
    <row r="863" spans="4:5" x14ac:dyDescent="0.35">
      <c r="D863" s="30" t="str">
        <f t="shared" si="48"/>
        <v xml:space="preserve">Other non-medical support staff </v>
      </c>
      <c r="E863">
        <f t="shared" si="50"/>
        <v>1722</v>
      </c>
    </row>
    <row r="864" spans="4:5" x14ac:dyDescent="0.35">
      <c r="D864" s="30" t="str">
        <f t="shared" si="48"/>
        <v xml:space="preserve">Medical and Pathology Laboratory Technicians </v>
      </c>
      <c r="E864">
        <f t="shared" si="50"/>
        <v>0</v>
      </c>
    </row>
    <row r="865" spans="2:5" x14ac:dyDescent="0.35">
      <c r="D865" s="30" t="str">
        <f t="shared" si="48"/>
        <v xml:space="preserve">Paramedical Practitioners </v>
      </c>
      <c r="E865">
        <f t="shared" si="50"/>
        <v>2352</v>
      </c>
    </row>
    <row r="866" spans="2:5" x14ac:dyDescent="0.35">
      <c r="D866" s="30" t="str">
        <f t="shared" si="48"/>
        <v>Physiotherapists and physiotherapy assistants</v>
      </c>
      <c r="E866">
        <f t="shared" si="50"/>
        <v>0</v>
      </c>
    </row>
    <row r="867" spans="2:5" x14ac:dyDescent="0.35">
      <c r="D867" s="30" t="str">
        <f t="shared" si="48"/>
        <v>Social workers</v>
      </c>
      <c r="E867">
        <f t="shared" si="50"/>
        <v>402</v>
      </c>
    </row>
    <row r="868" spans="2:5" x14ac:dyDescent="0.35">
      <c r="D868" s="30" t="str">
        <f t="shared" si="48"/>
        <v xml:space="preserve">Audiologists and Speech Therapists </v>
      </c>
      <c r="E868">
        <f t="shared" si="50"/>
        <v>2</v>
      </c>
    </row>
    <row r="869" spans="2:5" x14ac:dyDescent="0.35">
      <c r="D869" s="30" t="str">
        <f t="shared" si="48"/>
        <v>Traditional and complementary medicine practitioners</v>
      </c>
      <c r="E869">
        <f t="shared" si="50"/>
        <v>0</v>
      </c>
    </row>
    <row r="870" spans="2:5" x14ac:dyDescent="0.35">
      <c r="B870" t="str">
        <f>AK1</f>
        <v>SLE</v>
      </c>
      <c r="C870">
        <f>AK2</f>
        <v>8046828.5</v>
      </c>
      <c r="D870" s="29" t="str">
        <f t="shared" si="48"/>
        <v>Medical Doctors</v>
      </c>
      <c r="E870">
        <f t="shared" ref="E870:E893" si="51">AK3</f>
        <v>538</v>
      </c>
    </row>
    <row r="871" spans="2:5" x14ac:dyDescent="0.35">
      <c r="D871" s="30" t="str">
        <f t="shared" si="48"/>
        <v>Nursing Personnel</v>
      </c>
      <c r="E871">
        <f t="shared" si="51"/>
        <v>8622</v>
      </c>
    </row>
    <row r="872" spans="2:5" x14ac:dyDescent="0.35">
      <c r="D872" s="30" t="str">
        <f t="shared" si="48"/>
        <v>Midwifery personnel</v>
      </c>
      <c r="E872">
        <f t="shared" si="51"/>
        <v>4746</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15000</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93</v>
      </c>
    </row>
    <row r="880" spans="2:5" x14ac:dyDescent="0.35">
      <c r="D880" s="30" t="str">
        <f t="shared" si="52"/>
        <v xml:space="preserve">Medical and dental Prosthetic Technicians </v>
      </c>
      <c r="E880">
        <f t="shared" si="51"/>
        <v>25</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36</v>
      </c>
    </row>
    <row r="884" spans="2:5" x14ac:dyDescent="0.35">
      <c r="D884" s="30" t="str">
        <f t="shared" si="52"/>
        <v xml:space="preserve">Medical Records and Health Information Technicians </v>
      </c>
      <c r="E884">
        <f t="shared" si="51"/>
        <v>64</v>
      </c>
    </row>
    <row r="885" spans="2:5" x14ac:dyDescent="0.35">
      <c r="D885" s="30" t="str">
        <f t="shared" si="52"/>
        <v xml:space="preserve">Optometrists and Ophthalmic Opticians </v>
      </c>
      <c r="E885">
        <f t="shared" si="51"/>
        <v>15</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342</v>
      </c>
    </row>
    <row r="889" spans="2:5" x14ac:dyDescent="0.35">
      <c r="D889" s="30" t="str">
        <f t="shared" si="52"/>
        <v xml:space="preserve">Paramedical Practitioners </v>
      </c>
      <c r="E889">
        <f t="shared" si="51"/>
        <v>319</v>
      </c>
    </row>
    <row r="890" spans="2:5" x14ac:dyDescent="0.35">
      <c r="D890" s="30" t="str">
        <f t="shared" si="52"/>
        <v>Physiotherapists and physiotherapy assistants</v>
      </c>
      <c r="E890">
        <f t="shared" si="51"/>
        <v>8</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10447665.999999998</v>
      </c>
      <c r="D894" s="29" t="str">
        <f t="shared" si="52"/>
        <v>Medical Doctors</v>
      </c>
      <c r="E894">
        <f t="shared" ref="E894:E917" si="53">AL3</f>
        <v>747</v>
      </c>
    </row>
    <row r="895" spans="2:5" x14ac:dyDescent="0.35">
      <c r="D895" s="30" t="str">
        <f t="shared" si="52"/>
        <v>Nursing Personnel</v>
      </c>
      <c r="E895">
        <f t="shared" si="53"/>
        <v>7428</v>
      </c>
    </row>
    <row r="896" spans="2:5" x14ac:dyDescent="0.35">
      <c r="D896" s="30" t="str">
        <f t="shared" si="52"/>
        <v>Midwifery personnel</v>
      </c>
      <c r="E896">
        <f t="shared" si="53"/>
        <v>4760</v>
      </c>
    </row>
    <row r="897" spans="4:5" x14ac:dyDescent="0.35">
      <c r="D897" s="30" t="str">
        <f t="shared" si="52"/>
        <v>Pharmacists</v>
      </c>
      <c r="E897">
        <f t="shared" si="53"/>
        <v>0</v>
      </c>
    </row>
    <row r="898" spans="4:5" x14ac:dyDescent="0.35">
      <c r="D898" s="30" t="str">
        <f t="shared" si="52"/>
        <v>Dentists</v>
      </c>
      <c r="E898">
        <f t="shared" si="53"/>
        <v>0</v>
      </c>
    </row>
    <row r="899" spans="4:5" x14ac:dyDescent="0.35">
      <c r="D899" s="30" t="str">
        <f t="shared" si="52"/>
        <v xml:space="preserve">Community Health Workers </v>
      </c>
      <c r="E899">
        <f t="shared" si="53"/>
        <v>850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5870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485</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13</v>
      </c>
    </row>
    <row r="908" spans="4:5" x14ac:dyDescent="0.35">
      <c r="D908" s="30" t="str">
        <f t="shared" si="52"/>
        <v xml:space="preserve">Medical Records and Health Information Technicians </v>
      </c>
      <c r="E908">
        <f t="shared" si="53"/>
        <v>850</v>
      </c>
    </row>
    <row r="909" spans="4:5" x14ac:dyDescent="0.35">
      <c r="D909" s="30" t="str">
        <f t="shared" si="52"/>
        <v xml:space="preserve">Optometrists and Ophthalmic Opticians </v>
      </c>
      <c r="E909">
        <f t="shared" si="53"/>
        <v>13</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580</v>
      </c>
    </row>
    <row r="914" spans="2:5" x14ac:dyDescent="0.35">
      <c r="D914" s="30" t="str">
        <f t="shared" si="52"/>
        <v>Physiotherapists and physiotherapy assistants</v>
      </c>
      <c r="E914">
        <f t="shared" si="53"/>
        <v>11</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214599.00000000006</v>
      </c>
      <c r="D918" s="29" t="str">
        <f t="shared" si="52"/>
        <v>Medical Doctors</v>
      </c>
      <c r="E918">
        <f t="shared" ref="E918:E941" si="54">AM3</f>
        <v>213</v>
      </c>
    </row>
    <row r="919" spans="2:5" x14ac:dyDescent="0.35">
      <c r="D919" s="30" t="str">
        <f t="shared" si="52"/>
        <v>Nursing Personnel</v>
      </c>
      <c r="E919">
        <f t="shared" si="54"/>
        <v>880</v>
      </c>
    </row>
    <row r="920" spans="2:5" x14ac:dyDescent="0.35">
      <c r="D920" s="30" t="str">
        <f t="shared" si="52"/>
        <v>Midwifery personnel</v>
      </c>
      <c r="E920">
        <f t="shared" si="54"/>
        <v>44</v>
      </c>
    </row>
    <row r="921" spans="2:5" x14ac:dyDescent="0.35">
      <c r="D921" s="30" t="str">
        <f t="shared" si="52"/>
        <v>Pharmacists</v>
      </c>
      <c r="E921">
        <f t="shared" si="54"/>
        <v>349</v>
      </c>
    </row>
    <row r="922" spans="2:5" x14ac:dyDescent="0.35">
      <c r="D922" s="30" t="str">
        <f t="shared" si="52"/>
        <v>Dentists</v>
      </c>
      <c r="E922">
        <f t="shared" si="54"/>
        <v>78</v>
      </c>
    </row>
    <row r="923" spans="2:5" x14ac:dyDescent="0.35">
      <c r="D923" s="30" t="str">
        <f t="shared" si="52"/>
        <v xml:space="preserve">Community Health Workers </v>
      </c>
      <c r="E923">
        <f t="shared" si="54"/>
        <v>0</v>
      </c>
    </row>
    <row r="924" spans="2:5" x14ac:dyDescent="0.35">
      <c r="D924" s="30" t="str">
        <f t="shared" si="52"/>
        <v>Dieticians and nutritionists</v>
      </c>
      <c r="E924">
        <f t="shared" si="54"/>
        <v>14</v>
      </c>
    </row>
    <row r="925" spans="2:5" x14ac:dyDescent="0.35">
      <c r="D925" s="30" t="str">
        <f t="shared" si="52"/>
        <v>Environmental and occupational health &amp; hygiene workers</v>
      </c>
      <c r="E925">
        <f t="shared" si="54"/>
        <v>26</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1169612.9999999998</v>
      </c>
      <c r="D942" s="29" t="str">
        <f t="shared" ref="D942:D1005" si="55">D918</f>
        <v>Medical Doctors</v>
      </c>
      <c r="E942">
        <f t="shared" ref="E942:E965" si="56">AN3</f>
        <v>0</v>
      </c>
    </row>
    <row r="943" spans="2:5" x14ac:dyDescent="0.35">
      <c r="D943" s="30" t="str">
        <f t="shared" si="55"/>
        <v>Nursing Personnel</v>
      </c>
      <c r="E943">
        <f t="shared" si="56"/>
        <v>0</v>
      </c>
    </row>
    <row r="944" spans="2:5" x14ac:dyDescent="0.35">
      <c r="D944" s="30" t="str">
        <f t="shared" si="55"/>
        <v>Midwifery personnel</v>
      </c>
      <c r="E944">
        <f t="shared" si="56"/>
        <v>0</v>
      </c>
    </row>
    <row r="945" spans="4:5" x14ac:dyDescent="0.35">
      <c r="D945" s="30" t="str">
        <f t="shared" si="55"/>
        <v>Pharmacists</v>
      </c>
      <c r="E945">
        <f t="shared" si="56"/>
        <v>0</v>
      </c>
    </row>
    <row r="946" spans="4:5" x14ac:dyDescent="0.35">
      <c r="D946" s="30" t="str">
        <f t="shared" si="55"/>
        <v>Dentists</v>
      </c>
      <c r="E946">
        <f t="shared" si="56"/>
        <v>0</v>
      </c>
    </row>
    <row r="947" spans="4:5" x14ac:dyDescent="0.35">
      <c r="D947" s="30" t="str">
        <f t="shared" si="55"/>
        <v xml:space="preserve">Community Health Workers </v>
      </c>
      <c r="E947">
        <f t="shared" si="56"/>
        <v>0</v>
      </c>
    </row>
    <row r="948" spans="4:5" x14ac:dyDescent="0.35">
      <c r="D948" s="30" t="str">
        <f t="shared" si="55"/>
        <v>Dieticians and nutritionists</v>
      </c>
      <c r="E948">
        <f t="shared" si="56"/>
        <v>0</v>
      </c>
    </row>
    <row r="949" spans="4:5" x14ac:dyDescent="0.35">
      <c r="D949" s="30" t="str">
        <f t="shared" si="55"/>
        <v>Environmental and occupational health &amp; hygiene workers</v>
      </c>
      <c r="E949">
        <f t="shared" si="56"/>
        <v>0</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3</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104372.49999999997</v>
      </c>
      <c r="D966" s="29" t="str">
        <f t="shared" si="55"/>
        <v>Medical Doctors</v>
      </c>
      <c r="E966">
        <f t="shared" ref="E966:E989" si="57">AO3</f>
        <v>479</v>
      </c>
    </row>
    <row r="967" spans="2:5" x14ac:dyDescent="0.35">
      <c r="D967" s="30" t="str">
        <f t="shared" si="55"/>
        <v>Nursing Personnel</v>
      </c>
      <c r="E967">
        <f t="shared" si="57"/>
        <v>0</v>
      </c>
    </row>
    <row r="968" spans="2:5" x14ac:dyDescent="0.35">
      <c r="D968" s="30" t="str">
        <f t="shared" si="55"/>
        <v>Midwifery personnel</v>
      </c>
      <c r="E968">
        <f t="shared" si="57"/>
        <v>0</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14</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16126866</v>
      </c>
      <c r="D990" s="29" t="str">
        <f t="shared" si="55"/>
        <v>Medical Doctors</v>
      </c>
      <c r="E990">
        <f t="shared" ref="E990:E1013" si="58">AP3</f>
        <v>1905</v>
      </c>
    </row>
    <row r="991" spans="2:5" x14ac:dyDescent="0.35">
      <c r="D991" s="30" t="str">
        <f t="shared" si="55"/>
        <v>Nursing Personnel</v>
      </c>
      <c r="E991">
        <f t="shared" si="58"/>
        <v>0</v>
      </c>
    </row>
    <row r="992" spans="2:5" x14ac:dyDescent="0.35">
      <c r="D992" s="30" t="str">
        <f t="shared" si="55"/>
        <v>Midwifery personnel</v>
      </c>
      <c r="E992">
        <f t="shared" si="58"/>
        <v>1178</v>
      </c>
    </row>
    <row r="993" spans="4:5" x14ac:dyDescent="0.35">
      <c r="D993" s="30" t="str">
        <f t="shared" si="55"/>
        <v>Pharmacists</v>
      </c>
      <c r="E993">
        <f t="shared" si="58"/>
        <v>269</v>
      </c>
    </row>
    <row r="994" spans="4:5" x14ac:dyDescent="0.35">
      <c r="D994" s="30" t="str">
        <f t="shared" si="55"/>
        <v>Dentists</v>
      </c>
      <c r="E994">
        <f t="shared" si="58"/>
        <v>3</v>
      </c>
    </row>
    <row r="995" spans="4:5" x14ac:dyDescent="0.35">
      <c r="D995" s="30" t="str">
        <f t="shared" si="55"/>
        <v xml:space="preserve">Community Health Workers </v>
      </c>
      <c r="E995">
        <f t="shared" si="58"/>
        <v>0</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208</v>
      </c>
    </row>
    <row r="999" spans="4:5" x14ac:dyDescent="0.35">
      <c r="D999" s="30" t="str">
        <f t="shared" si="55"/>
        <v xml:space="preserve">Managerial staff </v>
      </c>
      <c r="E999">
        <f t="shared" si="58"/>
        <v>109</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0</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48</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50</v>
      </c>
    </row>
    <row r="1006" spans="4:5" x14ac:dyDescent="0.35">
      <c r="D1006" s="30" t="str">
        <f t="shared" ref="D1006:D1069" si="59">D982</f>
        <v xml:space="preserve">Other non-medical professional staff </v>
      </c>
      <c r="E1006">
        <f t="shared" si="58"/>
        <v>6</v>
      </c>
    </row>
    <row r="1007" spans="4:5" x14ac:dyDescent="0.35">
      <c r="D1007" s="30" t="str">
        <f t="shared" si="59"/>
        <v xml:space="preserve">Other non-medical support staff </v>
      </c>
      <c r="E1007">
        <f t="shared" si="58"/>
        <v>791</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18</v>
      </c>
    </row>
    <row r="1011" spans="2:5" x14ac:dyDescent="0.35">
      <c r="D1011" s="30" t="str">
        <f t="shared" si="59"/>
        <v>Social workers</v>
      </c>
      <c r="E1011">
        <f t="shared" si="58"/>
        <v>19</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8243094.5000000047</v>
      </c>
      <c r="D1014" s="29" t="str">
        <f t="shared" si="59"/>
        <v>Medical Doctors</v>
      </c>
      <c r="E1014">
        <f t="shared" ref="E1014:E1037" si="60">AQ3</f>
        <v>1651</v>
      </c>
    </row>
    <row r="1015" spans="2:5" x14ac:dyDescent="0.35">
      <c r="D1015" s="30" t="str">
        <f t="shared" si="59"/>
        <v>Nursing Personnel</v>
      </c>
      <c r="E1015">
        <f t="shared" si="60"/>
        <v>4268</v>
      </c>
    </row>
    <row r="1016" spans="2:5" x14ac:dyDescent="0.35">
      <c r="D1016" s="30" t="str">
        <f t="shared" si="59"/>
        <v>Midwifery personnel</v>
      </c>
      <c r="E1016">
        <f t="shared" si="60"/>
        <v>3238</v>
      </c>
    </row>
    <row r="1017" spans="2:5" x14ac:dyDescent="0.35">
      <c r="D1017" s="30" t="str">
        <f t="shared" si="59"/>
        <v>Pharmacists</v>
      </c>
      <c r="E1017">
        <f t="shared" si="60"/>
        <v>0</v>
      </c>
    </row>
    <row r="1018" spans="2:5" x14ac:dyDescent="0.35">
      <c r="D1018" s="30" t="str">
        <f t="shared" si="59"/>
        <v>Dentists</v>
      </c>
      <c r="E1018">
        <f t="shared" si="60"/>
        <v>0</v>
      </c>
    </row>
    <row r="1019" spans="2:5" x14ac:dyDescent="0.35">
      <c r="D1019" s="30" t="str">
        <f t="shared" si="59"/>
        <v xml:space="preserve">Community Health Workers </v>
      </c>
      <c r="E1019">
        <f t="shared" si="60"/>
        <v>0</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3845</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16</v>
      </c>
    </row>
    <row r="1025" spans="2:5" x14ac:dyDescent="0.35">
      <c r="D1025" s="30" t="str">
        <f t="shared" si="59"/>
        <v xml:space="preserve">Medical and Pathology Laboratory scientists </v>
      </c>
      <c r="E1025">
        <f t="shared" si="60"/>
        <v>518</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139</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4</v>
      </c>
    </row>
    <row r="1030" spans="2:5" x14ac:dyDescent="0.35">
      <c r="D1030" s="30" t="str">
        <f t="shared" si="59"/>
        <v xml:space="preserve">Other non-medical professional staff </v>
      </c>
      <c r="E1030">
        <f t="shared" si="60"/>
        <v>1353</v>
      </c>
    </row>
    <row r="1031" spans="2:5" x14ac:dyDescent="0.35">
      <c r="D1031" s="30" t="str">
        <f t="shared" si="59"/>
        <v xml:space="preserve">Other non-medical support staff </v>
      </c>
      <c r="E1031">
        <f t="shared" si="60"/>
        <v>1948</v>
      </c>
    </row>
    <row r="1032" spans="2:5" x14ac:dyDescent="0.35">
      <c r="D1032" s="30" t="str">
        <f t="shared" si="59"/>
        <v xml:space="preserve">Medical and Pathology Laboratory Technicians </v>
      </c>
      <c r="E1032">
        <f t="shared" si="60"/>
        <v>195</v>
      </c>
    </row>
    <row r="1033" spans="2:5" x14ac:dyDescent="0.35">
      <c r="D1033" s="30" t="str">
        <f t="shared" si="59"/>
        <v xml:space="preserve">Paramedical Practitioners </v>
      </c>
      <c r="E1033">
        <f t="shared" si="60"/>
        <v>817</v>
      </c>
    </row>
    <row r="1034" spans="2:5" x14ac:dyDescent="0.35">
      <c r="D1034" s="30" t="str">
        <f t="shared" si="59"/>
        <v>Physiotherapists and physiotherapy assistants</v>
      </c>
      <c r="E1034">
        <f t="shared" si="60"/>
        <v>175</v>
      </c>
    </row>
    <row r="1035" spans="2:5" x14ac:dyDescent="0.35">
      <c r="D1035" s="30" t="str">
        <f t="shared" si="59"/>
        <v>Social workers</v>
      </c>
      <c r="E1035">
        <f t="shared" si="60"/>
        <v>62</v>
      </c>
    </row>
    <row r="1036" spans="2:5" x14ac:dyDescent="0.35">
      <c r="D1036" s="30" t="str">
        <f t="shared" si="59"/>
        <v xml:space="preserve">Audiologists and Speech Therapists </v>
      </c>
      <c r="E1036">
        <f t="shared" si="60"/>
        <v>35</v>
      </c>
    </row>
    <row r="1037" spans="2:5" x14ac:dyDescent="0.35">
      <c r="D1037" s="30" t="str">
        <f t="shared" si="59"/>
        <v>Traditional and complementary medicine practitioners</v>
      </c>
      <c r="E1037">
        <f t="shared" si="60"/>
        <v>0</v>
      </c>
    </row>
    <row r="1038" spans="2:5" x14ac:dyDescent="0.35">
      <c r="B1038" t="str">
        <f>AR1</f>
        <v>TZA</v>
      </c>
      <c r="C1038">
        <f>AR2</f>
        <v>59872579</v>
      </c>
      <c r="D1038" s="29" t="str">
        <f t="shared" si="59"/>
        <v>Medical Doctors</v>
      </c>
      <c r="E1038">
        <f t="shared" ref="E1038:E1061" si="61">AR3</f>
        <v>0</v>
      </c>
    </row>
    <row r="1039" spans="2:5" x14ac:dyDescent="0.35">
      <c r="D1039" s="30" t="str">
        <f t="shared" si="59"/>
        <v>Nursing Personnel</v>
      </c>
      <c r="E1039">
        <f t="shared" si="61"/>
        <v>0</v>
      </c>
    </row>
    <row r="1040" spans="2:5" x14ac:dyDescent="0.35">
      <c r="D1040" s="30" t="str">
        <f t="shared" si="59"/>
        <v>Midwifery personnel</v>
      </c>
      <c r="E1040">
        <f t="shared" si="61"/>
        <v>0</v>
      </c>
    </row>
    <row r="1041" spans="4:5" x14ac:dyDescent="0.35">
      <c r="D1041" s="30" t="str">
        <f t="shared" si="59"/>
        <v>Pharmacists</v>
      </c>
      <c r="E1041">
        <f t="shared" si="61"/>
        <v>0</v>
      </c>
    </row>
    <row r="1042" spans="4:5" x14ac:dyDescent="0.35">
      <c r="D1042" s="30" t="str">
        <f t="shared" si="59"/>
        <v>Dentists</v>
      </c>
      <c r="E1042">
        <f t="shared" si="61"/>
        <v>0</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0</v>
      </c>
    </row>
    <row r="1045" spans="4:5" x14ac:dyDescent="0.35">
      <c r="D1045" s="30" t="str">
        <f t="shared" si="59"/>
        <v>Environmental and occupational health &amp; hygiene workers</v>
      </c>
      <c r="E1045">
        <f t="shared" si="61"/>
        <v>0</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0</v>
      </c>
    </row>
    <row r="1049" spans="4:5" x14ac:dyDescent="0.35">
      <c r="D1049" s="30" t="str">
        <f t="shared" si="59"/>
        <v xml:space="preserve">Medical and Pathology Laboratory scientists </v>
      </c>
      <c r="E1049">
        <f t="shared" si="61"/>
        <v>0</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0</v>
      </c>
    </row>
    <row r="1057" spans="2:5" x14ac:dyDescent="0.35">
      <c r="D1057" s="30" t="str">
        <f t="shared" si="59"/>
        <v xml:space="preserve">Paramedical Practitioners </v>
      </c>
      <c r="E1057">
        <f t="shared" si="61"/>
        <v>0</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42949080.000000015</v>
      </c>
      <c r="D1062" s="29" t="str">
        <f t="shared" si="59"/>
        <v>Medical Doctors</v>
      </c>
      <c r="E1062">
        <f t="shared" ref="E1062:E1085" si="62">AS3</f>
        <v>0</v>
      </c>
    </row>
    <row r="1063" spans="2:5" x14ac:dyDescent="0.35">
      <c r="D1063" s="30" t="str">
        <f t="shared" si="59"/>
        <v>Nursing Personnel</v>
      </c>
      <c r="E1063">
        <f t="shared" si="62"/>
        <v>0</v>
      </c>
    </row>
    <row r="1064" spans="2:5" x14ac:dyDescent="0.35">
      <c r="D1064" s="30" t="str">
        <f t="shared" si="59"/>
        <v>Midwifery personnel</v>
      </c>
      <c r="E1064">
        <f t="shared" si="62"/>
        <v>0</v>
      </c>
    </row>
    <row r="1065" spans="2:5" x14ac:dyDescent="0.35">
      <c r="D1065" s="30" t="str">
        <f t="shared" si="59"/>
        <v>Pharmacists</v>
      </c>
      <c r="E1065">
        <f t="shared" si="62"/>
        <v>2202</v>
      </c>
    </row>
    <row r="1066" spans="2:5" x14ac:dyDescent="0.35">
      <c r="D1066" s="30" t="str">
        <f t="shared" si="59"/>
        <v>Dentists</v>
      </c>
      <c r="E1066">
        <f t="shared" si="62"/>
        <v>1045</v>
      </c>
    </row>
    <row r="1067" spans="2:5" x14ac:dyDescent="0.35">
      <c r="D1067" s="30" t="str">
        <f t="shared" si="59"/>
        <v xml:space="preserve">Community Health Workers </v>
      </c>
      <c r="E1067">
        <f t="shared" si="62"/>
        <v>179000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30</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58087054.999999985</v>
      </c>
      <c r="D1086" s="29" t="str">
        <f t="shared" si="63"/>
        <v>Medical Doctors</v>
      </c>
      <c r="E1086">
        <f t="shared" ref="E1086:E1109" si="64">AT3</f>
        <v>92786</v>
      </c>
    </row>
    <row r="1087" spans="2:5" x14ac:dyDescent="0.35">
      <c r="D1087" s="30" t="str">
        <f t="shared" si="63"/>
        <v>Nursing Personnel</v>
      </c>
      <c r="E1087">
        <f t="shared" si="64"/>
        <v>129276</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9939</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0</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3830</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0</v>
      </c>
    </row>
    <row r="1105" spans="2:5" x14ac:dyDescent="0.35">
      <c r="D1105" s="30" t="str">
        <f t="shared" si="63"/>
        <v xml:space="preserve">Paramedical Practitioners </v>
      </c>
      <c r="E1105">
        <f t="shared" si="64"/>
        <v>0</v>
      </c>
    </row>
    <row r="1106" spans="2:5" x14ac:dyDescent="0.35">
      <c r="D1106" s="30" t="str">
        <f t="shared" si="63"/>
        <v>Physiotherapists and physiotherapy assistants</v>
      </c>
      <c r="E1106">
        <f t="shared" si="64"/>
        <v>8110</v>
      </c>
    </row>
    <row r="1107" spans="2:5" x14ac:dyDescent="0.35">
      <c r="D1107" s="30" t="str">
        <f t="shared" si="63"/>
        <v>Social workers</v>
      </c>
      <c r="E1107">
        <f t="shared" si="64"/>
        <v>0</v>
      </c>
    </row>
    <row r="1108" spans="2:5" x14ac:dyDescent="0.35">
      <c r="D1108" s="30" t="str">
        <f t="shared" si="63"/>
        <v xml:space="preserve">Audiologists and Speech Therapists </v>
      </c>
      <c r="E1108">
        <f t="shared" si="64"/>
        <v>3676</v>
      </c>
    </row>
    <row r="1109" spans="2:5" x14ac:dyDescent="0.35">
      <c r="D1109" s="30" t="str">
        <f t="shared" si="63"/>
        <v>Traditional and complementary medicine practitioners</v>
      </c>
      <c r="E1109">
        <f t="shared" si="64"/>
        <v>0</v>
      </c>
    </row>
    <row r="1110" spans="2:5" x14ac:dyDescent="0.35">
      <c r="B1110" t="str">
        <f>AU1</f>
        <v>ZMB</v>
      </c>
      <c r="C1110">
        <f>AU2</f>
        <v>18380476.500000004</v>
      </c>
      <c r="D1110" s="29" t="str">
        <f t="shared" si="63"/>
        <v>Medical Doctors</v>
      </c>
      <c r="E1110">
        <f t="shared" ref="E1110:E1133" si="65">AU3</f>
        <v>8772</v>
      </c>
    </row>
    <row r="1111" spans="2:5" x14ac:dyDescent="0.35">
      <c r="D1111" s="30" t="str">
        <f t="shared" si="63"/>
        <v>Nursing Personnel</v>
      </c>
      <c r="E1111">
        <f t="shared" si="65"/>
        <v>46070</v>
      </c>
    </row>
    <row r="1112" spans="2:5" x14ac:dyDescent="0.35">
      <c r="D1112" s="30" t="str">
        <f t="shared" si="63"/>
        <v>Midwifery personnel</v>
      </c>
      <c r="E1112">
        <f t="shared" si="65"/>
        <v>6446</v>
      </c>
    </row>
    <row r="1113" spans="2:5" x14ac:dyDescent="0.35">
      <c r="D1113" s="30" t="str">
        <f t="shared" si="63"/>
        <v>Pharmacists</v>
      </c>
      <c r="E1113">
        <f t="shared" si="65"/>
        <v>0</v>
      </c>
    </row>
    <row r="1114" spans="2:5" x14ac:dyDescent="0.35">
      <c r="D1114" s="30" t="str">
        <f t="shared" si="63"/>
        <v>Dentists</v>
      </c>
      <c r="E1114">
        <f t="shared" si="65"/>
        <v>0</v>
      </c>
    </row>
    <row r="1115" spans="2:5" x14ac:dyDescent="0.35">
      <c r="D1115" s="30" t="str">
        <f t="shared" si="63"/>
        <v xml:space="preserve">Community Health Workers </v>
      </c>
      <c r="E1115">
        <f t="shared" si="65"/>
        <v>1846</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18</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929</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0</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2045</v>
      </c>
    </row>
    <row r="1129" spans="2:5" x14ac:dyDescent="0.35">
      <c r="D1129" s="30" t="str">
        <f t="shared" si="63"/>
        <v xml:space="preserve">Paramedical Practitioners </v>
      </c>
      <c r="E1129">
        <f t="shared" si="65"/>
        <v>4562</v>
      </c>
    </row>
    <row r="1130" spans="2:5" x14ac:dyDescent="0.35">
      <c r="D1130" s="30" t="str">
        <f t="shared" si="63"/>
        <v>Physiotherapists and physiotherapy assistants</v>
      </c>
      <c r="E1130">
        <f t="shared" si="65"/>
        <v>864</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15354607.5</v>
      </c>
      <c r="D1134" s="29" t="str">
        <f t="shared" ref="D1134:D1180" si="66">D1110</f>
        <v>Medical Doctors</v>
      </c>
      <c r="E1134">
        <f t="shared" ref="E1134:E1157" si="67">AV3</f>
        <v>0</v>
      </c>
    </row>
    <row r="1135" spans="2:5" x14ac:dyDescent="0.35">
      <c r="D1135" s="30" t="str">
        <f t="shared" si="66"/>
        <v>Nursing Personnel</v>
      </c>
      <c r="E1135">
        <f t="shared" si="67"/>
        <v>0</v>
      </c>
    </row>
    <row r="1136" spans="2:5" x14ac:dyDescent="0.35">
      <c r="D1136" s="30" t="str">
        <f t="shared" si="66"/>
        <v>Midwifery personnel</v>
      </c>
      <c r="E1136">
        <f t="shared" si="67"/>
        <v>0</v>
      </c>
    </row>
    <row r="1137" spans="4:5" x14ac:dyDescent="0.35">
      <c r="D1137" s="30" t="str">
        <f t="shared" si="66"/>
        <v>Pharmacists</v>
      </c>
      <c r="E1137">
        <f t="shared" si="67"/>
        <v>0</v>
      </c>
    </row>
    <row r="1138" spans="4:5" x14ac:dyDescent="0.35">
      <c r="D1138" s="30" t="str">
        <f t="shared" si="66"/>
        <v>Dentists</v>
      </c>
      <c r="E1138">
        <f t="shared" si="67"/>
        <v>0</v>
      </c>
    </row>
    <row r="1139" spans="4:5" x14ac:dyDescent="0.35">
      <c r="D1139" s="30" t="str">
        <f t="shared" si="66"/>
        <v xml:space="preserve">Community Health Workers </v>
      </c>
      <c r="E1139">
        <f t="shared" si="67"/>
        <v>0</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0</v>
      </c>
    </row>
    <row r="1143" spans="4:5" x14ac:dyDescent="0.35">
      <c r="D1143" s="30" t="str">
        <f t="shared" si="66"/>
        <v xml:space="preserve">Managerial staff </v>
      </c>
      <c r="E1143">
        <f t="shared" si="67"/>
        <v>0</v>
      </c>
    </row>
    <row r="1144" spans="4:5" x14ac:dyDescent="0.35">
      <c r="D1144" s="30" t="str">
        <f t="shared" si="66"/>
        <v xml:space="preserve">Medical and dental Prosthetic Technicians </v>
      </c>
      <c r="E1144">
        <f t="shared" si="67"/>
        <v>25</v>
      </c>
    </row>
    <row r="1145" spans="4:5" x14ac:dyDescent="0.35">
      <c r="D1145" s="30" t="str">
        <f t="shared" si="66"/>
        <v xml:space="preserve">Medical and Pathology Laboratory scientists </v>
      </c>
      <c r="E1145">
        <f t="shared" si="67"/>
        <v>0</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0</v>
      </c>
    </row>
    <row r="1148" spans="4:5" x14ac:dyDescent="0.35">
      <c r="D1148" s="30" t="str">
        <f t="shared" si="66"/>
        <v xml:space="preserve">Medical Records and Health Information Technicians </v>
      </c>
      <c r="E1148">
        <f t="shared" si="67"/>
        <v>0</v>
      </c>
    </row>
    <row r="1149" spans="4:5" x14ac:dyDescent="0.35">
      <c r="D1149" s="30" t="str">
        <f t="shared" si="66"/>
        <v xml:space="preserve">Optometrists and Ophthalmic Opticians </v>
      </c>
      <c r="E1149">
        <f t="shared" si="67"/>
        <v>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0</v>
      </c>
    </row>
    <row r="1153" spans="2:5" x14ac:dyDescent="0.35">
      <c r="D1153" s="30" t="str">
        <f t="shared" si="66"/>
        <v xml:space="preserve">Paramedical Practitioners </v>
      </c>
      <c r="E1153">
        <f t="shared" si="67"/>
        <v>0</v>
      </c>
    </row>
    <row r="1154" spans="2:5" x14ac:dyDescent="0.35">
      <c r="D1154" s="30" t="str">
        <f t="shared" si="66"/>
        <v>Physiotherapists and physiotherapy assistants</v>
      </c>
      <c r="E1154">
        <f t="shared" si="67"/>
        <v>0</v>
      </c>
    </row>
    <row r="1155" spans="2:5" x14ac:dyDescent="0.35">
      <c r="D1155" s="30" t="str">
        <f t="shared" si="66"/>
        <v>Social workers</v>
      </c>
      <c r="E1155">
        <f t="shared" si="67"/>
        <v>0</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1105078064.5</v>
      </c>
      <c r="D1158" s="29" t="str">
        <f t="shared" si="66"/>
        <v>Medical Doctors</v>
      </c>
      <c r="E1158">
        <f t="shared" ref="E1158:E1181" si="68">AW3</f>
        <v>450022</v>
      </c>
    </row>
    <row r="1159" spans="2:5" x14ac:dyDescent="0.35">
      <c r="D1159" s="30" t="str">
        <f t="shared" si="66"/>
        <v>Nursing Personnel</v>
      </c>
      <c r="E1159">
        <f t="shared" si="68"/>
        <v>1063702</v>
      </c>
    </row>
    <row r="1160" spans="2:5" x14ac:dyDescent="0.35">
      <c r="D1160" s="30" t="str">
        <f t="shared" si="66"/>
        <v>Midwifery personnel</v>
      </c>
      <c r="E1160">
        <f t="shared" si="68"/>
        <v>366238</v>
      </c>
    </row>
    <row r="1161" spans="2:5" x14ac:dyDescent="0.35">
      <c r="D1161" s="30" t="str">
        <f t="shared" si="66"/>
        <v>Pharmacists</v>
      </c>
      <c r="E1161">
        <f t="shared" si="68"/>
        <v>37316</v>
      </c>
    </row>
    <row r="1162" spans="2:5" x14ac:dyDescent="0.35">
      <c r="D1162" s="30" t="str">
        <f t="shared" si="66"/>
        <v>Dentists</v>
      </c>
      <c r="E1162">
        <f t="shared" si="68"/>
        <v>17839</v>
      </c>
    </row>
    <row r="1163" spans="2:5" x14ac:dyDescent="0.35">
      <c r="D1163" s="30" t="str">
        <f t="shared" si="66"/>
        <v xml:space="preserve">Community Health Workers </v>
      </c>
      <c r="E1163">
        <f t="shared" si="68"/>
        <v>362332</v>
      </c>
    </row>
    <row r="1164" spans="2:5" x14ac:dyDescent="0.35">
      <c r="D1164" s="30" t="str">
        <f t="shared" si="66"/>
        <v>Dieticians and nutritionists</v>
      </c>
      <c r="E1164">
        <f t="shared" si="68"/>
        <v>3934</v>
      </c>
    </row>
    <row r="1165" spans="2:5" x14ac:dyDescent="0.35">
      <c r="D1165" s="30" t="str">
        <f t="shared" si="66"/>
        <v>Environmental and occupational health &amp; hygiene workers</v>
      </c>
      <c r="E1165">
        <f t="shared" si="68"/>
        <v>9255</v>
      </c>
    </row>
    <row r="1166" spans="2:5" x14ac:dyDescent="0.35">
      <c r="D1166" s="30" t="str">
        <f t="shared" si="66"/>
        <v>Personal care workers in health service</v>
      </c>
      <c r="E1166">
        <f t="shared" si="68"/>
        <v>30974</v>
      </c>
    </row>
    <row r="1167" spans="2:5" x14ac:dyDescent="0.35">
      <c r="D1167" s="30" t="str">
        <f t="shared" si="66"/>
        <v xml:space="preserve">Managerial staff </v>
      </c>
      <c r="E1167">
        <f t="shared" si="68"/>
        <v>7740</v>
      </c>
    </row>
    <row r="1168" spans="2:5" x14ac:dyDescent="0.35">
      <c r="D1168" s="30" t="str">
        <f t="shared" si="66"/>
        <v xml:space="preserve">Medical and dental Prosthetic Technicians </v>
      </c>
      <c r="E1168">
        <f t="shared" si="68"/>
        <v>1174</v>
      </c>
    </row>
    <row r="1169" spans="4:5" x14ac:dyDescent="0.35">
      <c r="D1169" s="30" t="str">
        <f t="shared" si="66"/>
        <v xml:space="preserve">Medical and Pathology Laboratory scientists </v>
      </c>
      <c r="E1169">
        <f t="shared" si="68"/>
        <v>42342</v>
      </c>
    </row>
    <row r="1170" spans="4:5" x14ac:dyDescent="0.35">
      <c r="D1170" s="30" t="str">
        <f t="shared" si="66"/>
        <v xml:space="preserve">Medical Assistants </v>
      </c>
      <c r="E1170">
        <f t="shared" si="68"/>
        <v>2193</v>
      </c>
    </row>
    <row r="1171" spans="4:5" x14ac:dyDescent="0.35">
      <c r="D1171" s="30" t="str">
        <f t="shared" si="66"/>
        <v xml:space="preserve">Medical Imaging and Therapeutic Equipment Technicians </v>
      </c>
      <c r="E1171">
        <f t="shared" si="68"/>
        <v>2890</v>
      </c>
    </row>
    <row r="1172" spans="4:5" x14ac:dyDescent="0.35">
      <c r="D1172" s="30" t="str">
        <f t="shared" si="66"/>
        <v xml:space="preserve">Medical Records and Health Information Technicians </v>
      </c>
      <c r="E1172">
        <f t="shared" si="68"/>
        <v>28395</v>
      </c>
    </row>
    <row r="1173" spans="4:5" x14ac:dyDescent="0.35">
      <c r="D1173" s="30" t="str">
        <f t="shared" si="66"/>
        <v xml:space="preserve">Optometrists and Ophthalmic Opticians </v>
      </c>
      <c r="E1173">
        <f t="shared" si="68"/>
        <v>8634</v>
      </c>
    </row>
    <row r="1174" spans="4:5" x14ac:dyDescent="0.35">
      <c r="D1174" s="30" t="str">
        <f t="shared" si="66"/>
        <v xml:space="preserve">Other non-medical professional staff </v>
      </c>
      <c r="E1174">
        <f t="shared" si="68"/>
        <v>9684</v>
      </c>
    </row>
    <row r="1175" spans="4:5" x14ac:dyDescent="0.35">
      <c r="D1175" s="30" t="str">
        <f t="shared" si="66"/>
        <v xml:space="preserve">Other non-medical support staff </v>
      </c>
      <c r="E1175">
        <f t="shared" si="68"/>
        <v>33498</v>
      </c>
    </row>
    <row r="1176" spans="4:5" x14ac:dyDescent="0.35">
      <c r="D1176" s="30" t="str">
        <f t="shared" si="66"/>
        <v xml:space="preserve">Medical and Pathology Laboratory Technicians </v>
      </c>
      <c r="E1176">
        <f t="shared" si="68"/>
        <v>32787</v>
      </c>
    </row>
    <row r="1177" spans="4:5" x14ac:dyDescent="0.35">
      <c r="D1177" s="30" t="str">
        <f t="shared" si="66"/>
        <v xml:space="preserve">Paramedical Practitioners </v>
      </c>
      <c r="E1177">
        <f t="shared" si="68"/>
        <v>144884</v>
      </c>
    </row>
    <row r="1178" spans="4:5" x14ac:dyDescent="0.35">
      <c r="D1178" s="30" t="str">
        <f t="shared" si="66"/>
        <v>Physiotherapists and physiotherapy assistants</v>
      </c>
      <c r="E1178">
        <f t="shared" si="68"/>
        <v>15393</v>
      </c>
    </row>
    <row r="1179" spans="4:5" x14ac:dyDescent="0.35">
      <c r="D1179" s="30" t="str">
        <f t="shared" si="66"/>
        <v>Social workers</v>
      </c>
      <c r="E1179">
        <f t="shared" si="68"/>
        <v>1058</v>
      </c>
    </row>
    <row r="1180" spans="4:5" x14ac:dyDescent="0.35">
      <c r="D1180" s="30" t="str">
        <f t="shared" si="66"/>
        <v xml:space="preserve">Audiologists and Speech Therapists </v>
      </c>
      <c r="E1180">
        <f t="shared" si="68"/>
        <v>3803</v>
      </c>
    </row>
    <row r="1181" spans="4:5" x14ac:dyDescent="0.35">
      <c r="D1181" s="30" t="str">
        <f t="shared" ref="D1181" si="69">D1157</f>
        <v>Traditional and complementary medicine practitioners</v>
      </c>
      <c r="E1181">
        <f t="shared" si="68"/>
        <v>485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8845-4079-49F4-8040-AA24C400897C}">
  <dimension ref="A1:AW1181"/>
  <sheetViews>
    <sheetView topLeftCell="AE1" workbookViewId="0">
      <selection activeCell="A2" sqref="A2:AW2"/>
    </sheetView>
  </sheetViews>
  <sheetFormatPr defaultColWidth="8.81640625" defaultRowHeight="14.5" x14ac:dyDescent="0.35"/>
  <cols>
    <col min="1" max="1" width="56.6328125" bestFit="1"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33428485.999999974</v>
      </c>
      <c r="C2">
        <v>12220226.500000007</v>
      </c>
      <c r="D2">
        <v>12643123.000000002</v>
      </c>
      <c r="E2">
        <v>21522625.999999993</v>
      </c>
      <c r="F2">
        <v>2546401.9999999986</v>
      </c>
      <c r="G2">
        <v>5343019.9999999991</v>
      </c>
      <c r="H2">
        <v>26811790.500000004</v>
      </c>
      <c r="I2">
        <v>26491086.500000011</v>
      </c>
      <c r="J2">
        <v>92853164.500000015</v>
      </c>
      <c r="K2">
        <v>5702174</v>
      </c>
      <c r="L2">
        <v>806166.00000000023</v>
      </c>
      <c r="M2">
        <v>582640.00000000023</v>
      </c>
      <c r="N2">
        <v>43451665.999999985</v>
      </c>
      <c r="O2">
        <v>3555867.9999999991</v>
      </c>
      <c r="P2">
        <v>117190910.99999994</v>
      </c>
      <c r="Q2">
        <v>2292572.9999999981</v>
      </c>
      <c r="R2">
        <v>32180401.499999981</v>
      </c>
      <c r="S2">
        <v>13205152.499999998</v>
      </c>
      <c r="T2">
        <v>2573994.9999999995</v>
      </c>
      <c r="U2">
        <v>2015827.9999999998</v>
      </c>
      <c r="V2">
        <v>1596048.5000000009</v>
      </c>
      <c r="W2">
        <v>51985779.999999993</v>
      </c>
      <c r="X2">
        <v>5087584.5000000019</v>
      </c>
      <c r="Y2">
        <v>2254100.0000000005</v>
      </c>
      <c r="Z2">
        <v>28225176.500000007</v>
      </c>
      <c r="AA2">
        <v>21224040.000000004</v>
      </c>
      <c r="AB2">
        <v>31178238.999999996</v>
      </c>
      <c r="AC2">
        <v>4498603.4999999953</v>
      </c>
      <c r="AD2">
        <v>1297827.5</v>
      </c>
      <c r="AE2">
        <v>19377061.499999985</v>
      </c>
      <c r="AF2">
        <v>2489097.9999999991</v>
      </c>
      <c r="AG2">
        <v>24333638.499999985</v>
      </c>
      <c r="AH2">
        <v>208327404.49999994</v>
      </c>
      <c r="AI2">
        <v>13146361.500000002</v>
      </c>
      <c r="AJ2">
        <v>16436119.999999993</v>
      </c>
      <c r="AK2">
        <v>8233970.4999999991</v>
      </c>
      <c r="AL2">
        <v>10606227.000000002</v>
      </c>
      <c r="AM2">
        <v>218640.99999999997</v>
      </c>
      <c r="AN2">
        <v>1180654.9999999998</v>
      </c>
      <c r="AO2">
        <v>105529.99999999997</v>
      </c>
      <c r="AP2">
        <v>16644701.499999996</v>
      </c>
      <c r="AQ2">
        <v>8442580</v>
      </c>
      <c r="AR2">
        <v>61704517.99999997</v>
      </c>
      <c r="AS2">
        <v>44404611.000000007</v>
      </c>
      <c r="AT2">
        <v>58801926.500000022</v>
      </c>
      <c r="AU2">
        <v>18927715.000000022</v>
      </c>
      <c r="AV2">
        <v>15669665.999999998</v>
      </c>
      <c r="AW2">
        <v>1133815125</v>
      </c>
    </row>
    <row r="3" spans="1:49" x14ac:dyDescent="0.35">
      <c r="A3" t="s">
        <v>135</v>
      </c>
      <c r="B3">
        <v>0</v>
      </c>
      <c r="C3">
        <v>1704</v>
      </c>
      <c r="D3">
        <v>0</v>
      </c>
      <c r="E3">
        <v>4360</v>
      </c>
      <c r="F3">
        <v>2048</v>
      </c>
      <c r="G3">
        <v>0</v>
      </c>
      <c r="H3">
        <v>8870</v>
      </c>
      <c r="I3">
        <v>5930</v>
      </c>
      <c r="J3">
        <v>0</v>
      </c>
      <c r="K3">
        <v>0</v>
      </c>
      <c r="L3">
        <v>708</v>
      </c>
      <c r="M3">
        <v>0</v>
      </c>
      <c r="N3">
        <v>0</v>
      </c>
      <c r="O3">
        <v>662</v>
      </c>
      <c r="P3">
        <v>27155</v>
      </c>
      <c r="Q3">
        <v>3559</v>
      </c>
      <c r="R3">
        <v>10570</v>
      </c>
      <c r="S3">
        <v>0</v>
      </c>
      <c r="T3">
        <v>466</v>
      </c>
      <c r="U3">
        <v>781</v>
      </c>
      <c r="V3">
        <v>0</v>
      </c>
      <c r="W3">
        <v>0</v>
      </c>
      <c r="X3">
        <v>1611</v>
      </c>
      <c r="Y3">
        <v>0</v>
      </c>
      <c r="Z3">
        <v>0</v>
      </c>
      <c r="AA3">
        <v>0</v>
      </c>
      <c r="AB3">
        <v>6064</v>
      </c>
      <c r="AC3">
        <v>1868</v>
      </c>
      <c r="AD3">
        <v>7101</v>
      </c>
      <c r="AE3">
        <v>2265</v>
      </c>
      <c r="AF3">
        <v>2230</v>
      </c>
      <c r="AG3">
        <v>1670</v>
      </c>
      <c r="AH3">
        <v>0</v>
      </c>
      <c r="AI3">
        <v>0</v>
      </c>
      <c r="AJ3">
        <v>3606</v>
      </c>
      <c r="AK3">
        <v>1152</v>
      </c>
      <c r="AL3">
        <v>995</v>
      </c>
      <c r="AM3">
        <v>0</v>
      </c>
      <c r="AN3">
        <v>330</v>
      </c>
      <c r="AO3">
        <v>0</v>
      </c>
      <c r="AP3">
        <v>2023</v>
      </c>
      <c r="AQ3">
        <v>1619</v>
      </c>
      <c r="AR3">
        <v>0</v>
      </c>
      <c r="AS3">
        <v>14062</v>
      </c>
      <c r="AT3">
        <v>0</v>
      </c>
      <c r="AU3">
        <v>9636</v>
      </c>
      <c r="AV3">
        <v>5914</v>
      </c>
      <c r="AW3">
        <v>128959</v>
      </c>
    </row>
    <row r="4" spans="1:49" x14ac:dyDescent="0.35">
      <c r="A4" t="s">
        <v>139</v>
      </c>
      <c r="B4">
        <v>0</v>
      </c>
      <c r="C4">
        <v>15426</v>
      </c>
      <c r="D4">
        <v>0</v>
      </c>
      <c r="E4">
        <v>23748</v>
      </c>
      <c r="F4">
        <v>15542</v>
      </c>
      <c r="G4">
        <v>0</v>
      </c>
      <c r="H4">
        <v>26792</v>
      </c>
      <c r="I4">
        <v>23436</v>
      </c>
      <c r="J4">
        <v>0</v>
      </c>
      <c r="K4">
        <v>0</v>
      </c>
      <c r="L4">
        <v>1366</v>
      </c>
      <c r="M4">
        <v>0</v>
      </c>
      <c r="N4">
        <v>0</v>
      </c>
      <c r="O4">
        <v>0</v>
      </c>
      <c r="P4">
        <v>139648</v>
      </c>
      <c r="Q4">
        <v>10963</v>
      </c>
      <c r="R4">
        <v>191578</v>
      </c>
      <c r="S4">
        <v>0</v>
      </c>
      <c r="T4">
        <v>2458</v>
      </c>
      <c r="U4">
        <v>2782</v>
      </c>
      <c r="V4">
        <v>0</v>
      </c>
      <c r="W4">
        <v>0</v>
      </c>
      <c r="X4">
        <v>4832</v>
      </c>
      <c r="Y4">
        <v>0</v>
      </c>
      <c r="Z4">
        <v>0</v>
      </c>
      <c r="AA4">
        <v>0</v>
      </c>
      <c r="AB4">
        <v>17662</v>
      </c>
      <c r="AC4">
        <v>8580</v>
      </c>
      <c r="AD4">
        <v>0</v>
      </c>
      <c r="AE4">
        <v>32965</v>
      </c>
      <c r="AF4">
        <v>12880</v>
      </c>
      <c r="AG4">
        <v>0</v>
      </c>
      <c r="AH4">
        <v>0</v>
      </c>
      <c r="AI4">
        <v>0</v>
      </c>
      <c r="AJ4">
        <v>7600</v>
      </c>
      <c r="AK4">
        <v>2080</v>
      </c>
      <c r="AL4">
        <v>9060</v>
      </c>
      <c r="AM4">
        <v>0</v>
      </c>
      <c r="AN4">
        <v>6881</v>
      </c>
      <c r="AO4">
        <v>0</v>
      </c>
      <c r="AP4">
        <v>5246</v>
      </c>
      <c r="AQ4">
        <v>4910</v>
      </c>
      <c r="AR4">
        <v>0</v>
      </c>
      <c r="AS4">
        <v>102654</v>
      </c>
      <c r="AT4">
        <v>122056</v>
      </c>
      <c r="AU4">
        <v>55348</v>
      </c>
      <c r="AV4">
        <v>44998</v>
      </c>
      <c r="AW4">
        <v>891491</v>
      </c>
    </row>
    <row r="5" spans="1:49" x14ac:dyDescent="0.35">
      <c r="A5" t="s">
        <v>138</v>
      </c>
      <c r="B5">
        <v>0</v>
      </c>
      <c r="C5">
        <v>0</v>
      </c>
      <c r="D5">
        <v>0</v>
      </c>
      <c r="E5">
        <v>15608</v>
      </c>
      <c r="F5">
        <v>0</v>
      </c>
      <c r="G5">
        <v>0</v>
      </c>
      <c r="H5">
        <v>12690</v>
      </c>
      <c r="I5">
        <v>2516</v>
      </c>
      <c r="J5">
        <v>0</v>
      </c>
      <c r="K5">
        <v>0</v>
      </c>
      <c r="L5">
        <v>1172</v>
      </c>
      <c r="M5">
        <v>0</v>
      </c>
      <c r="N5">
        <v>0</v>
      </c>
      <c r="O5">
        <v>0</v>
      </c>
      <c r="P5">
        <v>40710</v>
      </c>
      <c r="Q5">
        <v>1324</v>
      </c>
      <c r="R5">
        <v>33400</v>
      </c>
      <c r="S5">
        <v>0</v>
      </c>
      <c r="T5">
        <v>1080</v>
      </c>
      <c r="U5">
        <v>370</v>
      </c>
      <c r="V5">
        <v>0</v>
      </c>
      <c r="W5">
        <v>0</v>
      </c>
      <c r="X5">
        <v>1744</v>
      </c>
      <c r="Y5">
        <v>0</v>
      </c>
      <c r="Z5">
        <v>0</v>
      </c>
      <c r="AA5">
        <v>0</v>
      </c>
      <c r="AB5">
        <v>12648</v>
      </c>
      <c r="AC5">
        <v>2054</v>
      </c>
      <c r="AD5">
        <v>0</v>
      </c>
      <c r="AE5">
        <v>0</v>
      </c>
      <c r="AF5">
        <v>10</v>
      </c>
      <c r="AG5">
        <v>0</v>
      </c>
      <c r="AH5">
        <v>0</v>
      </c>
      <c r="AI5">
        <v>0</v>
      </c>
      <c r="AJ5">
        <v>4122</v>
      </c>
      <c r="AK5">
        <v>1278</v>
      </c>
      <c r="AL5">
        <v>6040</v>
      </c>
      <c r="AM5">
        <v>0</v>
      </c>
      <c r="AN5">
        <v>0</v>
      </c>
      <c r="AO5">
        <v>0</v>
      </c>
      <c r="AP5">
        <v>1420</v>
      </c>
      <c r="AQ5">
        <v>3486</v>
      </c>
      <c r="AR5">
        <v>0</v>
      </c>
      <c r="AS5">
        <v>47092</v>
      </c>
      <c r="AT5">
        <v>0</v>
      </c>
      <c r="AU5">
        <v>6624</v>
      </c>
      <c r="AV5">
        <v>18586</v>
      </c>
      <c r="AW5">
        <v>213974</v>
      </c>
    </row>
    <row r="6" spans="1:49" x14ac:dyDescent="0.35">
      <c r="A6" t="s">
        <v>82</v>
      </c>
      <c r="B6">
        <v>525</v>
      </c>
      <c r="C6">
        <v>1138</v>
      </c>
      <c r="D6">
        <v>0</v>
      </c>
      <c r="E6">
        <v>0</v>
      </c>
      <c r="F6">
        <v>2156</v>
      </c>
      <c r="G6">
        <v>105</v>
      </c>
      <c r="H6">
        <v>0</v>
      </c>
      <c r="I6">
        <v>78</v>
      </c>
      <c r="J6">
        <v>2439</v>
      </c>
      <c r="K6">
        <v>283</v>
      </c>
      <c r="L6">
        <v>0</v>
      </c>
      <c r="M6">
        <v>0</v>
      </c>
      <c r="N6">
        <v>0</v>
      </c>
      <c r="O6">
        <v>0</v>
      </c>
      <c r="P6">
        <v>17331</v>
      </c>
      <c r="Q6">
        <v>0</v>
      </c>
      <c r="R6">
        <v>0</v>
      </c>
      <c r="S6">
        <v>0</v>
      </c>
      <c r="T6">
        <v>324</v>
      </c>
      <c r="U6">
        <v>0</v>
      </c>
      <c r="V6">
        <v>748</v>
      </c>
      <c r="W6">
        <v>0</v>
      </c>
      <c r="X6">
        <v>0</v>
      </c>
      <c r="Y6">
        <v>580</v>
      </c>
      <c r="Z6">
        <v>13</v>
      </c>
      <c r="AA6">
        <v>109</v>
      </c>
      <c r="AB6">
        <v>0</v>
      </c>
      <c r="AC6">
        <v>0</v>
      </c>
      <c r="AD6">
        <v>0</v>
      </c>
      <c r="AE6">
        <v>40</v>
      </c>
      <c r="AF6">
        <v>104</v>
      </c>
      <c r="AG6">
        <v>0</v>
      </c>
      <c r="AH6">
        <v>588</v>
      </c>
      <c r="AI6">
        <v>0</v>
      </c>
      <c r="AJ6">
        <v>584</v>
      </c>
      <c r="AK6">
        <v>78</v>
      </c>
      <c r="AL6">
        <v>0</v>
      </c>
      <c r="AM6">
        <v>3797</v>
      </c>
      <c r="AN6">
        <v>0</v>
      </c>
      <c r="AO6">
        <v>0</v>
      </c>
      <c r="AP6">
        <v>2495</v>
      </c>
      <c r="AQ6">
        <v>0</v>
      </c>
      <c r="AR6">
        <v>0</v>
      </c>
      <c r="AS6">
        <v>0</v>
      </c>
      <c r="AT6">
        <v>0</v>
      </c>
      <c r="AU6">
        <v>0</v>
      </c>
      <c r="AV6">
        <v>351</v>
      </c>
      <c r="AW6">
        <v>33866</v>
      </c>
    </row>
    <row r="7" spans="1:49" x14ac:dyDescent="0.35">
      <c r="A7" t="s">
        <v>60</v>
      </c>
      <c r="B7">
        <v>81</v>
      </c>
      <c r="C7">
        <v>0</v>
      </c>
      <c r="D7">
        <v>0</v>
      </c>
      <c r="E7">
        <v>0</v>
      </c>
      <c r="F7">
        <v>7018</v>
      </c>
      <c r="G7">
        <v>0</v>
      </c>
      <c r="H7">
        <v>0</v>
      </c>
      <c r="I7">
        <v>112</v>
      </c>
      <c r="J7">
        <v>1004</v>
      </c>
      <c r="K7">
        <v>0</v>
      </c>
      <c r="L7">
        <v>0</v>
      </c>
      <c r="M7">
        <v>0</v>
      </c>
      <c r="N7">
        <v>0</v>
      </c>
      <c r="O7">
        <v>0</v>
      </c>
      <c r="P7">
        <v>16139</v>
      </c>
      <c r="Q7">
        <v>0</v>
      </c>
      <c r="R7">
        <v>0</v>
      </c>
      <c r="S7">
        <v>0</v>
      </c>
      <c r="T7">
        <v>26</v>
      </c>
      <c r="U7">
        <v>0</v>
      </c>
      <c r="V7">
        <v>466</v>
      </c>
      <c r="W7">
        <v>0</v>
      </c>
      <c r="X7">
        <v>0</v>
      </c>
      <c r="Y7">
        <v>117</v>
      </c>
      <c r="Z7">
        <v>9</v>
      </c>
      <c r="AA7">
        <v>34</v>
      </c>
      <c r="AB7">
        <v>0</v>
      </c>
      <c r="AC7">
        <v>0</v>
      </c>
      <c r="AD7">
        <v>0</v>
      </c>
      <c r="AE7">
        <v>15</v>
      </c>
      <c r="AF7">
        <v>17</v>
      </c>
      <c r="AG7">
        <v>4</v>
      </c>
      <c r="AH7">
        <v>230</v>
      </c>
      <c r="AI7">
        <v>0</v>
      </c>
      <c r="AJ7">
        <v>327</v>
      </c>
      <c r="AK7">
        <v>0</v>
      </c>
      <c r="AL7">
        <v>21</v>
      </c>
      <c r="AM7">
        <v>689</v>
      </c>
      <c r="AN7">
        <v>0</v>
      </c>
      <c r="AO7">
        <v>0</v>
      </c>
      <c r="AP7">
        <v>506</v>
      </c>
      <c r="AQ7">
        <v>0</v>
      </c>
      <c r="AR7">
        <v>0</v>
      </c>
      <c r="AS7">
        <v>0</v>
      </c>
      <c r="AT7">
        <v>0</v>
      </c>
      <c r="AU7">
        <v>10395</v>
      </c>
      <c r="AV7">
        <v>38</v>
      </c>
      <c r="AW7">
        <v>37248</v>
      </c>
    </row>
    <row r="8" spans="1:49" x14ac:dyDescent="0.35">
      <c r="A8" t="s">
        <v>127</v>
      </c>
      <c r="B8">
        <v>2652</v>
      </c>
      <c r="C8">
        <v>11845</v>
      </c>
      <c r="E8">
        <v>2923</v>
      </c>
      <c r="I8">
        <v>154</v>
      </c>
      <c r="O8">
        <v>6000</v>
      </c>
      <c r="P8">
        <v>42630</v>
      </c>
      <c r="Q8">
        <v>110</v>
      </c>
      <c r="T8">
        <v>0</v>
      </c>
      <c r="U8">
        <v>3711</v>
      </c>
      <c r="W8">
        <v>91653</v>
      </c>
      <c r="X8">
        <v>12625</v>
      </c>
      <c r="Z8">
        <v>41616</v>
      </c>
      <c r="AA8">
        <v>3303</v>
      </c>
      <c r="AB8">
        <v>6696</v>
      </c>
      <c r="AD8">
        <v>163</v>
      </c>
      <c r="AE8">
        <v>0</v>
      </c>
      <c r="AG8">
        <v>21429</v>
      </c>
      <c r="AI8">
        <v>58567</v>
      </c>
      <c r="AK8">
        <v>13966</v>
      </c>
      <c r="AL8">
        <v>2826</v>
      </c>
      <c r="AN8">
        <v>5386</v>
      </c>
      <c r="AP8">
        <v>592</v>
      </c>
      <c r="AQ8">
        <v>7386</v>
      </c>
      <c r="AU8">
        <v>41669</v>
      </c>
      <c r="AW8">
        <v>377902</v>
      </c>
    </row>
    <row r="9" spans="1:49" x14ac:dyDescent="0.35">
      <c r="A9" t="s">
        <v>61</v>
      </c>
      <c r="B9">
        <v>57</v>
      </c>
      <c r="C9">
        <v>0</v>
      </c>
      <c r="D9">
        <v>0</v>
      </c>
      <c r="E9">
        <v>0</v>
      </c>
      <c r="F9">
        <v>0</v>
      </c>
      <c r="G9">
        <v>0</v>
      </c>
      <c r="H9">
        <v>0</v>
      </c>
      <c r="I9">
        <v>0</v>
      </c>
      <c r="J9">
        <v>776</v>
      </c>
      <c r="K9">
        <v>582</v>
      </c>
      <c r="L9">
        <v>0</v>
      </c>
      <c r="M9">
        <v>0</v>
      </c>
      <c r="N9">
        <v>0</v>
      </c>
      <c r="O9">
        <v>0</v>
      </c>
      <c r="P9">
        <v>0</v>
      </c>
      <c r="Q9">
        <v>0</v>
      </c>
      <c r="R9">
        <v>0</v>
      </c>
      <c r="S9">
        <v>0</v>
      </c>
      <c r="T9">
        <v>0</v>
      </c>
      <c r="U9">
        <v>0</v>
      </c>
      <c r="V9">
        <v>0</v>
      </c>
      <c r="W9">
        <v>0</v>
      </c>
      <c r="X9">
        <v>0</v>
      </c>
      <c r="Y9">
        <v>43</v>
      </c>
      <c r="Z9">
        <v>0</v>
      </c>
      <c r="AA9">
        <v>0</v>
      </c>
      <c r="AB9">
        <v>0</v>
      </c>
      <c r="AC9">
        <v>0</v>
      </c>
      <c r="AD9">
        <v>0</v>
      </c>
      <c r="AE9">
        <v>9</v>
      </c>
      <c r="AF9">
        <v>0</v>
      </c>
      <c r="AG9">
        <v>0</v>
      </c>
      <c r="AH9">
        <v>71</v>
      </c>
      <c r="AI9">
        <v>0</v>
      </c>
      <c r="AJ9">
        <v>0</v>
      </c>
      <c r="AK9">
        <v>0</v>
      </c>
      <c r="AL9">
        <v>0</v>
      </c>
      <c r="AM9">
        <v>1344</v>
      </c>
      <c r="AN9">
        <v>0</v>
      </c>
      <c r="AO9">
        <v>0</v>
      </c>
      <c r="AP9">
        <v>0</v>
      </c>
      <c r="AQ9">
        <v>0</v>
      </c>
      <c r="AR9">
        <v>0</v>
      </c>
      <c r="AS9">
        <v>0</v>
      </c>
      <c r="AT9">
        <v>0</v>
      </c>
      <c r="AU9">
        <v>0</v>
      </c>
      <c r="AV9">
        <v>0</v>
      </c>
      <c r="AW9">
        <v>2882</v>
      </c>
    </row>
    <row r="10" spans="1:49" x14ac:dyDescent="0.35">
      <c r="A10" t="s">
        <v>62</v>
      </c>
      <c r="B10">
        <v>236</v>
      </c>
      <c r="C10">
        <v>0</v>
      </c>
      <c r="D10">
        <v>0</v>
      </c>
      <c r="E10">
        <v>0</v>
      </c>
      <c r="F10">
        <v>0</v>
      </c>
      <c r="G10">
        <v>0</v>
      </c>
      <c r="H10">
        <v>0</v>
      </c>
      <c r="I10">
        <v>5</v>
      </c>
      <c r="J10">
        <v>3788</v>
      </c>
      <c r="K10">
        <v>0</v>
      </c>
      <c r="L10">
        <v>0</v>
      </c>
      <c r="M10">
        <v>0</v>
      </c>
      <c r="N10">
        <v>0</v>
      </c>
      <c r="O10">
        <v>0</v>
      </c>
      <c r="P10">
        <v>1234</v>
      </c>
      <c r="Q10">
        <v>0</v>
      </c>
      <c r="R10">
        <v>0</v>
      </c>
      <c r="S10">
        <v>0</v>
      </c>
      <c r="T10">
        <v>0</v>
      </c>
      <c r="U10">
        <v>0</v>
      </c>
      <c r="V10">
        <v>0</v>
      </c>
      <c r="W10">
        <v>0</v>
      </c>
      <c r="X10">
        <v>0</v>
      </c>
      <c r="Y10">
        <v>0</v>
      </c>
      <c r="Z10">
        <v>254</v>
      </c>
      <c r="AA10">
        <v>0</v>
      </c>
      <c r="AB10">
        <v>0</v>
      </c>
      <c r="AC10">
        <v>0</v>
      </c>
      <c r="AD10">
        <v>0</v>
      </c>
      <c r="AE10">
        <v>0</v>
      </c>
      <c r="AF10">
        <v>172</v>
      </c>
      <c r="AG10">
        <v>0</v>
      </c>
      <c r="AH10">
        <v>0</v>
      </c>
      <c r="AI10">
        <v>0</v>
      </c>
      <c r="AJ10">
        <v>2494</v>
      </c>
      <c r="AK10">
        <v>0</v>
      </c>
      <c r="AL10">
        <v>0</v>
      </c>
      <c r="AM10">
        <v>0</v>
      </c>
      <c r="AN10">
        <v>0</v>
      </c>
      <c r="AO10">
        <v>0</v>
      </c>
      <c r="AP10">
        <v>0</v>
      </c>
      <c r="AQ10">
        <v>0</v>
      </c>
      <c r="AR10">
        <v>0</v>
      </c>
      <c r="AS10">
        <v>0</v>
      </c>
      <c r="AT10">
        <v>0</v>
      </c>
      <c r="AU10">
        <v>3330</v>
      </c>
      <c r="AV10">
        <v>91</v>
      </c>
      <c r="AW10">
        <v>11604</v>
      </c>
    </row>
    <row r="11" spans="1:49" x14ac:dyDescent="0.35">
      <c r="A11" t="s">
        <v>203</v>
      </c>
      <c r="B11">
        <v>0</v>
      </c>
      <c r="C11">
        <v>0</v>
      </c>
      <c r="D11">
        <v>0</v>
      </c>
      <c r="E11">
        <v>68</v>
      </c>
      <c r="F11">
        <v>1423</v>
      </c>
      <c r="G11">
        <v>0</v>
      </c>
      <c r="H11">
        <v>0</v>
      </c>
      <c r="I11">
        <v>5390</v>
      </c>
      <c r="J11">
        <v>0</v>
      </c>
      <c r="K11">
        <v>0</v>
      </c>
      <c r="L11">
        <v>0</v>
      </c>
      <c r="M11">
        <v>0</v>
      </c>
      <c r="N11">
        <v>0</v>
      </c>
      <c r="O11">
        <v>0</v>
      </c>
      <c r="P11">
        <v>0</v>
      </c>
      <c r="Q11">
        <v>18</v>
      </c>
      <c r="R11">
        <v>0</v>
      </c>
      <c r="S11">
        <v>0</v>
      </c>
      <c r="T11">
        <v>0</v>
      </c>
      <c r="U11">
        <v>0</v>
      </c>
      <c r="V11">
        <v>0</v>
      </c>
      <c r="W11">
        <v>0</v>
      </c>
      <c r="X11">
        <v>0</v>
      </c>
      <c r="Y11">
        <v>0</v>
      </c>
      <c r="Z11">
        <v>0</v>
      </c>
      <c r="AA11">
        <v>0</v>
      </c>
      <c r="AB11">
        <v>0</v>
      </c>
      <c r="AC11">
        <v>0</v>
      </c>
      <c r="AD11">
        <v>0</v>
      </c>
      <c r="AE11">
        <v>0</v>
      </c>
      <c r="AF11">
        <v>0</v>
      </c>
      <c r="AG11">
        <v>0</v>
      </c>
      <c r="AH11">
        <v>0</v>
      </c>
      <c r="AI11">
        <v>0</v>
      </c>
      <c r="AJ11">
        <v>0</v>
      </c>
      <c r="AK11">
        <v>2251</v>
      </c>
      <c r="AL11">
        <v>0</v>
      </c>
      <c r="AM11">
        <v>0</v>
      </c>
      <c r="AN11">
        <v>0</v>
      </c>
      <c r="AO11">
        <v>0</v>
      </c>
      <c r="AP11">
        <v>0</v>
      </c>
      <c r="AQ11">
        <v>4622</v>
      </c>
      <c r="AR11">
        <v>0</v>
      </c>
      <c r="AS11">
        <v>0</v>
      </c>
      <c r="AT11">
        <v>0</v>
      </c>
      <c r="AU11">
        <v>0</v>
      </c>
      <c r="AV11">
        <v>0</v>
      </c>
      <c r="AW11">
        <v>13772</v>
      </c>
    </row>
    <row r="12" spans="1:49" x14ac:dyDescent="0.35">
      <c r="A12" t="s">
        <v>204</v>
      </c>
      <c r="F12">
        <v>125</v>
      </c>
      <c r="I12">
        <v>21</v>
      </c>
      <c r="Q12">
        <v>390</v>
      </c>
      <c r="T12">
        <v>479</v>
      </c>
      <c r="AB12">
        <v>2954</v>
      </c>
      <c r="AE12">
        <v>2630</v>
      </c>
      <c r="AJ12">
        <v>27</v>
      </c>
      <c r="AK12">
        <v>487</v>
      </c>
      <c r="AW12">
        <v>7113</v>
      </c>
    </row>
    <row r="13" spans="1:49" x14ac:dyDescent="0.35">
      <c r="A13" t="s">
        <v>205</v>
      </c>
      <c r="B13">
        <v>0</v>
      </c>
      <c r="C13">
        <v>0</v>
      </c>
      <c r="D13">
        <v>0</v>
      </c>
      <c r="E13">
        <v>0</v>
      </c>
      <c r="F13">
        <v>33</v>
      </c>
      <c r="G13">
        <v>0</v>
      </c>
      <c r="H13">
        <v>0</v>
      </c>
      <c r="I13">
        <v>31</v>
      </c>
      <c r="J13">
        <v>0</v>
      </c>
      <c r="K13">
        <v>0</v>
      </c>
      <c r="L13">
        <v>0</v>
      </c>
      <c r="M13">
        <v>0</v>
      </c>
      <c r="N13">
        <v>0</v>
      </c>
      <c r="O13">
        <v>0</v>
      </c>
      <c r="P13">
        <v>22</v>
      </c>
      <c r="Q13">
        <v>9</v>
      </c>
      <c r="R13">
        <v>0</v>
      </c>
      <c r="S13">
        <v>0</v>
      </c>
      <c r="T13">
        <v>4</v>
      </c>
      <c r="U13">
        <v>8</v>
      </c>
      <c r="V13">
        <v>0</v>
      </c>
      <c r="W13">
        <v>0</v>
      </c>
      <c r="X13">
        <v>0</v>
      </c>
      <c r="Y13">
        <v>0</v>
      </c>
      <c r="Z13">
        <v>0</v>
      </c>
      <c r="AA13">
        <v>0</v>
      </c>
      <c r="AB13">
        <v>0</v>
      </c>
      <c r="AC13">
        <v>0</v>
      </c>
      <c r="AD13">
        <v>0</v>
      </c>
      <c r="AE13">
        <v>0</v>
      </c>
      <c r="AF13">
        <v>0</v>
      </c>
      <c r="AG13">
        <v>0</v>
      </c>
      <c r="AH13">
        <v>0</v>
      </c>
      <c r="AI13">
        <v>0</v>
      </c>
      <c r="AJ13">
        <v>13</v>
      </c>
      <c r="AK13">
        <v>530</v>
      </c>
      <c r="AL13">
        <v>0</v>
      </c>
      <c r="AM13">
        <v>0</v>
      </c>
      <c r="AN13">
        <v>0</v>
      </c>
      <c r="AO13">
        <v>0</v>
      </c>
      <c r="AP13">
        <v>0</v>
      </c>
      <c r="AQ13">
        <v>8</v>
      </c>
      <c r="AR13">
        <v>0</v>
      </c>
      <c r="AS13">
        <v>0</v>
      </c>
      <c r="AT13">
        <v>0</v>
      </c>
      <c r="AU13">
        <v>0</v>
      </c>
      <c r="AV13">
        <v>0</v>
      </c>
      <c r="AW13">
        <v>658</v>
      </c>
    </row>
    <row r="14" spans="1:49" x14ac:dyDescent="0.35">
      <c r="A14" t="s">
        <v>133</v>
      </c>
      <c r="E14">
        <v>906</v>
      </c>
      <c r="F14">
        <v>167</v>
      </c>
      <c r="I14">
        <v>112</v>
      </c>
      <c r="P14">
        <v>8005</v>
      </c>
      <c r="Q14">
        <v>469</v>
      </c>
      <c r="T14">
        <v>13</v>
      </c>
      <c r="U14">
        <v>285</v>
      </c>
      <c r="AB14">
        <v>2041</v>
      </c>
      <c r="AE14">
        <v>743</v>
      </c>
      <c r="AF14">
        <v>99</v>
      </c>
      <c r="AJ14">
        <v>101</v>
      </c>
      <c r="AK14">
        <v>114</v>
      </c>
      <c r="AL14">
        <v>635</v>
      </c>
      <c r="AQ14">
        <v>589</v>
      </c>
      <c r="AU14">
        <v>19</v>
      </c>
      <c r="AW14">
        <v>14298</v>
      </c>
    </row>
    <row r="15" spans="1:49" x14ac:dyDescent="0.35">
      <c r="A15" t="s">
        <v>206</v>
      </c>
      <c r="F15">
        <v>67</v>
      </c>
      <c r="I15">
        <v>6</v>
      </c>
      <c r="Q15">
        <v>14</v>
      </c>
      <c r="T15">
        <v>0</v>
      </c>
      <c r="AE15">
        <v>1809</v>
      </c>
      <c r="AF15">
        <v>3</v>
      </c>
      <c r="AJ15">
        <v>1482</v>
      </c>
      <c r="AN15">
        <v>30</v>
      </c>
      <c r="AQ15">
        <v>997</v>
      </c>
      <c r="AW15">
        <v>4408</v>
      </c>
    </row>
    <row r="16" spans="1:49" x14ac:dyDescent="0.35">
      <c r="A16" t="s">
        <v>136</v>
      </c>
      <c r="E16">
        <v>274</v>
      </c>
      <c r="F16">
        <v>117</v>
      </c>
      <c r="I16">
        <v>73</v>
      </c>
      <c r="L16">
        <v>25</v>
      </c>
      <c r="Q16">
        <v>82</v>
      </c>
      <c r="T16">
        <v>173</v>
      </c>
      <c r="U16">
        <v>3</v>
      </c>
      <c r="AB16">
        <v>301</v>
      </c>
      <c r="AE16">
        <v>0</v>
      </c>
      <c r="AJ16">
        <v>121</v>
      </c>
      <c r="AL16">
        <v>16</v>
      </c>
      <c r="AN16">
        <v>53</v>
      </c>
      <c r="AQ16">
        <v>280</v>
      </c>
      <c r="AU16">
        <v>1075</v>
      </c>
      <c r="AW16">
        <v>2593</v>
      </c>
    </row>
    <row r="17" spans="1:49" x14ac:dyDescent="0.35">
      <c r="A17" t="s">
        <v>207</v>
      </c>
      <c r="F17">
        <v>63</v>
      </c>
      <c r="I17">
        <v>4</v>
      </c>
      <c r="Q17">
        <v>0</v>
      </c>
      <c r="T17">
        <v>0</v>
      </c>
      <c r="AE17">
        <v>0</v>
      </c>
      <c r="AL17">
        <v>1006</v>
      </c>
      <c r="AW17">
        <v>1073</v>
      </c>
    </row>
    <row r="18" spans="1:49" x14ac:dyDescent="0.35">
      <c r="A18" t="s">
        <v>141</v>
      </c>
      <c r="E18">
        <v>3</v>
      </c>
      <c r="F18">
        <v>3</v>
      </c>
      <c r="I18">
        <v>207</v>
      </c>
      <c r="P18">
        <v>654</v>
      </c>
      <c r="Q18">
        <v>9</v>
      </c>
      <c r="T18">
        <v>20</v>
      </c>
      <c r="U18">
        <v>9</v>
      </c>
      <c r="AB18">
        <v>156</v>
      </c>
      <c r="AE18">
        <v>91</v>
      </c>
      <c r="AF18">
        <v>95</v>
      </c>
      <c r="AK18">
        <v>1</v>
      </c>
      <c r="AL18">
        <v>24</v>
      </c>
      <c r="AN18">
        <v>6</v>
      </c>
      <c r="AP18">
        <v>1</v>
      </c>
      <c r="AQ18">
        <v>3</v>
      </c>
      <c r="AW18">
        <v>1282</v>
      </c>
    </row>
    <row r="19" spans="1:49" x14ac:dyDescent="0.35">
      <c r="A19" t="s">
        <v>208</v>
      </c>
      <c r="F19">
        <v>1221</v>
      </c>
      <c r="I19">
        <v>1406</v>
      </c>
      <c r="Q19">
        <v>947</v>
      </c>
      <c r="T19">
        <v>0</v>
      </c>
      <c r="U19">
        <v>149</v>
      </c>
      <c r="AB19">
        <v>8308</v>
      </c>
      <c r="AN19">
        <v>52</v>
      </c>
      <c r="AQ19">
        <v>2137</v>
      </c>
      <c r="AW19">
        <v>14220</v>
      </c>
    </row>
    <row r="20" spans="1:49" x14ac:dyDescent="0.35">
      <c r="A20" t="s">
        <v>209</v>
      </c>
      <c r="F20">
        <v>3691</v>
      </c>
      <c r="I20">
        <v>152</v>
      </c>
      <c r="Q20">
        <v>2714</v>
      </c>
      <c r="T20">
        <v>2253</v>
      </c>
      <c r="U20">
        <v>115</v>
      </c>
      <c r="AB20">
        <v>14416</v>
      </c>
      <c r="AN20">
        <v>1861</v>
      </c>
      <c r="AQ20">
        <v>1371</v>
      </c>
      <c r="AW20">
        <v>26573</v>
      </c>
    </row>
    <row r="21" spans="1:49" x14ac:dyDescent="0.35">
      <c r="A21" t="s">
        <v>134</v>
      </c>
      <c r="F21">
        <v>338</v>
      </c>
      <c r="I21">
        <v>48</v>
      </c>
      <c r="L21">
        <v>16</v>
      </c>
      <c r="P21">
        <v>4752</v>
      </c>
      <c r="Q21">
        <v>74</v>
      </c>
      <c r="T21">
        <v>0</v>
      </c>
      <c r="U21">
        <v>1</v>
      </c>
      <c r="AE21">
        <v>282</v>
      </c>
      <c r="AF21">
        <v>99</v>
      </c>
      <c r="AJ21">
        <v>323</v>
      </c>
      <c r="AQ21">
        <v>338</v>
      </c>
      <c r="AU21">
        <v>2506</v>
      </c>
      <c r="AW21">
        <v>8777</v>
      </c>
    </row>
    <row r="22" spans="1:49" x14ac:dyDescent="0.35">
      <c r="A22" t="s">
        <v>142</v>
      </c>
      <c r="F22">
        <v>10</v>
      </c>
      <c r="H22">
        <v>3734</v>
      </c>
      <c r="I22">
        <v>2098</v>
      </c>
      <c r="P22">
        <v>1234</v>
      </c>
      <c r="Q22">
        <v>615</v>
      </c>
      <c r="T22">
        <v>0</v>
      </c>
      <c r="U22">
        <v>2</v>
      </c>
      <c r="AE22">
        <v>0</v>
      </c>
      <c r="AF22">
        <v>54</v>
      </c>
      <c r="AJ22">
        <v>662</v>
      </c>
      <c r="AK22">
        <v>650</v>
      </c>
      <c r="AL22">
        <v>623</v>
      </c>
      <c r="AU22">
        <v>5544</v>
      </c>
      <c r="AW22">
        <v>15226</v>
      </c>
    </row>
    <row r="23" spans="1:49" x14ac:dyDescent="0.35">
      <c r="A23" t="s">
        <v>83</v>
      </c>
      <c r="B23">
        <v>0</v>
      </c>
      <c r="C23">
        <v>0</v>
      </c>
      <c r="D23">
        <v>0</v>
      </c>
      <c r="E23">
        <v>22</v>
      </c>
      <c r="F23">
        <v>66</v>
      </c>
      <c r="G23">
        <v>0</v>
      </c>
      <c r="H23">
        <v>0</v>
      </c>
      <c r="I23">
        <v>69</v>
      </c>
      <c r="J23">
        <v>0</v>
      </c>
      <c r="K23">
        <v>0</v>
      </c>
      <c r="L23">
        <v>0</v>
      </c>
      <c r="M23">
        <v>0</v>
      </c>
      <c r="N23">
        <v>0</v>
      </c>
      <c r="O23">
        <v>0</v>
      </c>
      <c r="P23">
        <v>249</v>
      </c>
      <c r="Q23">
        <v>32</v>
      </c>
      <c r="R23">
        <v>0</v>
      </c>
      <c r="S23">
        <v>0</v>
      </c>
      <c r="T23">
        <v>32</v>
      </c>
      <c r="U23">
        <v>4</v>
      </c>
      <c r="V23">
        <v>0</v>
      </c>
      <c r="W23">
        <v>0</v>
      </c>
      <c r="X23">
        <v>0</v>
      </c>
      <c r="Y23">
        <v>0</v>
      </c>
      <c r="Z23">
        <v>0</v>
      </c>
      <c r="AA23">
        <v>0</v>
      </c>
      <c r="AB23">
        <v>444</v>
      </c>
      <c r="AC23">
        <v>0</v>
      </c>
      <c r="AD23">
        <v>0</v>
      </c>
      <c r="AE23">
        <v>152</v>
      </c>
      <c r="AF23">
        <v>134</v>
      </c>
      <c r="AG23">
        <v>0</v>
      </c>
      <c r="AH23">
        <v>0</v>
      </c>
      <c r="AI23">
        <v>0</v>
      </c>
      <c r="AJ23">
        <v>98</v>
      </c>
      <c r="AK23">
        <v>6</v>
      </c>
      <c r="AL23">
        <v>17</v>
      </c>
      <c r="AM23">
        <v>0</v>
      </c>
      <c r="AN23">
        <v>15</v>
      </c>
      <c r="AO23">
        <v>0</v>
      </c>
      <c r="AP23">
        <v>0</v>
      </c>
      <c r="AQ23">
        <v>230</v>
      </c>
      <c r="AR23">
        <v>0</v>
      </c>
      <c r="AS23">
        <v>0</v>
      </c>
      <c r="AT23">
        <v>0</v>
      </c>
      <c r="AU23">
        <v>1036</v>
      </c>
      <c r="AV23">
        <v>0</v>
      </c>
      <c r="AW23">
        <v>2606</v>
      </c>
    </row>
    <row r="24" spans="1:49" x14ac:dyDescent="0.35">
      <c r="A24" t="s">
        <v>84</v>
      </c>
      <c r="B24">
        <v>0</v>
      </c>
      <c r="C24">
        <v>0</v>
      </c>
      <c r="D24">
        <v>0</v>
      </c>
      <c r="E24">
        <v>0</v>
      </c>
      <c r="F24">
        <v>0</v>
      </c>
      <c r="G24">
        <v>0</v>
      </c>
      <c r="H24">
        <v>0</v>
      </c>
      <c r="I24">
        <v>64</v>
      </c>
      <c r="J24">
        <v>0</v>
      </c>
      <c r="K24">
        <v>0</v>
      </c>
      <c r="L24">
        <v>0</v>
      </c>
      <c r="M24">
        <v>0</v>
      </c>
      <c r="N24">
        <v>0</v>
      </c>
      <c r="O24">
        <v>0</v>
      </c>
      <c r="P24">
        <v>0</v>
      </c>
      <c r="Q24">
        <v>115</v>
      </c>
      <c r="R24">
        <v>0</v>
      </c>
      <c r="S24">
        <v>0</v>
      </c>
      <c r="T24">
        <v>0</v>
      </c>
      <c r="U24">
        <v>61</v>
      </c>
      <c r="V24">
        <v>0</v>
      </c>
      <c r="W24">
        <v>0</v>
      </c>
      <c r="X24">
        <v>0</v>
      </c>
      <c r="Y24">
        <v>0</v>
      </c>
      <c r="Z24">
        <v>0</v>
      </c>
      <c r="AA24">
        <v>0</v>
      </c>
      <c r="AB24">
        <v>554</v>
      </c>
      <c r="AC24">
        <v>0</v>
      </c>
      <c r="AD24">
        <v>0</v>
      </c>
      <c r="AE24">
        <v>0</v>
      </c>
      <c r="AF24">
        <v>0</v>
      </c>
      <c r="AG24">
        <v>0</v>
      </c>
      <c r="AH24">
        <v>0</v>
      </c>
      <c r="AI24">
        <v>0</v>
      </c>
      <c r="AJ24">
        <v>491</v>
      </c>
      <c r="AK24">
        <v>0</v>
      </c>
      <c r="AL24">
        <v>0</v>
      </c>
      <c r="AM24">
        <v>0</v>
      </c>
      <c r="AN24">
        <v>38</v>
      </c>
      <c r="AO24">
        <v>0</v>
      </c>
      <c r="AP24">
        <v>0</v>
      </c>
      <c r="AQ24">
        <v>66</v>
      </c>
      <c r="AR24">
        <v>0</v>
      </c>
      <c r="AS24">
        <v>0</v>
      </c>
      <c r="AT24">
        <v>0</v>
      </c>
      <c r="AU24">
        <v>0</v>
      </c>
      <c r="AV24">
        <v>0</v>
      </c>
      <c r="AW24">
        <v>1389</v>
      </c>
    </row>
    <row r="25" spans="1:49" x14ac:dyDescent="0.35">
      <c r="A25" t="s">
        <v>126</v>
      </c>
      <c r="F25">
        <v>7</v>
      </c>
      <c r="I25">
        <v>2</v>
      </c>
      <c r="P25">
        <v>4</v>
      </c>
      <c r="Q25">
        <v>0</v>
      </c>
      <c r="T25">
        <v>0</v>
      </c>
      <c r="AE25">
        <v>0</v>
      </c>
      <c r="AJ25">
        <v>1</v>
      </c>
      <c r="AN25">
        <v>7</v>
      </c>
      <c r="AQ25">
        <v>83</v>
      </c>
      <c r="AW25">
        <v>104</v>
      </c>
    </row>
    <row r="26" spans="1:49" x14ac:dyDescent="0.35">
      <c r="A26" t="s">
        <v>87</v>
      </c>
      <c r="B26">
        <v>0</v>
      </c>
      <c r="C26">
        <v>0</v>
      </c>
      <c r="D26">
        <v>0</v>
      </c>
      <c r="E26">
        <v>0</v>
      </c>
      <c r="F26">
        <v>0</v>
      </c>
      <c r="G26">
        <v>0</v>
      </c>
      <c r="H26">
        <v>0</v>
      </c>
      <c r="I26">
        <v>7</v>
      </c>
      <c r="J26">
        <v>0</v>
      </c>
      <c r="K26">
        <v>0</v>
      </c>
      <c r="L26">
        <v>0</v>
      </c>
      <c r="M26">
        <v>0</v>
      </c>
      <c r="N26">
        <v>0</v>
      </c>
      <c r="O26">
        <v>0</v>
      </c>
      <c r="P26">
        <v>0</v>
      </c>
      <c r="Q26">
        <v>112</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119</v>
      </c>
    </row>
    <row r="29" spans="1:49" x14ac:dyDescent="0.35">
      <c r="B29" t="s">
        <v>0</v>
      </c>
      <c r="C29" t="s">
        <v>210</v>
      </c>
      <c r="D29" t="s">
        <v>211</v>
      </c>
      <c r="E29">
        <v>2012</v>
      </c>
    </row>
    <row r="30" spans="1:49" x14ac:dyDescent="0.35">
      <c r="B30" t="str">
        <f>B1</f>
        <v>AGO</v>
      </c>
      <c r="C30">
        <f>B2</f>
        <v>33428485.999999974</v>
      </c>
      <c r="D30" t="str">
        <f t="shared" ref="D30:D52" si="0">A3</f>
        <v>Medical Doctors</v>
      </c>
      <c r="E30">
        <f t="shared" ref="E30:E52" si="1">B3</f>
        <v>0</v>
      </c>
    </row>
    <row r="31" spans="1:49" x14ac:dyDescent="0.35">
      <c r="D31" t="str">
        <f t="shared" si="0"/>
        <v>Nursing Personnel</v>
      </c>
      <c r="E31">
        <f t="shared" si="1"/>
        <v>0</v>
      </c>
    </row>
    <row r="32" spans="1:49" x14ac:dyDescent="0.35">
      <c r="D32" t="str">
        <f t="shared" si="0"/>
        <v>Midwifery personnel</v>
      </c>
      <c r="E32">
        <f t="shared" si="1"/>
        <v>0</v>
      </c>
    </row>
    <row r="33" spans="4:5" x14ac:dyDescent="0.35">
      <c r="D33" t="str">
        <f t="shared" si="0"/>
        <v>Pharmacists</v>
      </c>
      <c r="E33">
        <f t="shared" si="1"/>
        <v>525</v>
      </c>
    </row>
    <row r="34" spans="4:5" x14ac:dyDescent="0.35">
      <c r="D34" t="str">
        <f t="shared" si="0"/>
        <v>Dentists</v>
      </c>
      <c r="E34">
        <f t="shared" si="1"/>
        <v>81</v>
      </c>
    </row>
    <row r="35" spans="4:5" x14ac:dyDescent="0.35">
      <c r="D35" t="str">
        <f t="shared" si="0"/>
        <v xml:space="preserve">Community Health Workers </v>
      </c>
      <c r="E35">
        <f t="shared" si="1"/>
        <v>2652</v>
      </c>
    </row>
    <row r="36" spans="4:5" x14ac:dyDescent="0.35">
      <c r="D36" t="str">
        <f t="shared" si="0"/>
        <v>Dieticians and nutritionists</v>
      </c>
      <c r="E36">
        <f t="shared" si="1"/>
        <v>57</v>
      </c>
    </row>
    <row r="37" spans="4:5" x14ac:dyDescent="0.35">
      <c r="D37" t="str">
        <f t="shared" si="0"/>
        <v>Environmental and occupational health &amp; hygiene workers</v>
      </c>
      <c r="E37">
        <f t="shared" si="1"/>
        <v>236</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12220226.500000007</v>
      </c>
      <c r="D54" t="str">
        <f t="shared" ref="D54:D117" si="3">D30</f>
        <v>Medical Doctors</v>
      </c>
      <c r="E54">
        <f t="shared" ref="E54:E77" si="4">C3</f>
        <v>1704</v>
      </c>
    </row>
    <row r="55" spans="2:5" x14ac:dyDescent="0.35">
      <c r="D55" t="str">
        <f t="shared" si="3"/>
        <v>Nursing Personnel</v>
      </c>
      <c r="E55">
        <f t="shared" si="4"/>
        <v>15426</v>
      </c>
    </row>
    <row r="56" spans="2:5" x14ac:dyDescent="0.35">
      <c r="D56" t="str">
        <f t="shared" si="3"/>
        <v>Midwifery personnel</v>
      </c>
      <c r="E56">
        <f t="shared" si="4"/>
        <v>0</v>
      </c>
    </row>
    <row r="57" spans="2:5" x14ac:dyDescent="0.35">
      <c r="D57" t="str">
        <f t="shared" si="3"/>
        <v>Pharmacists</v>
      </c>
      <c r="E57">
        <f t="shared" si="4"/>
        <v>1138</v>
      </c>
    </row>
    <row r="58" spans="2:5" x14ac:dyDescent="0.35">
      <c r="D58" t="str">
        <f t="shared" si="3"/>
        <v>Dentists</v>
      </c>
      <c r="E58">
        <f t="shared" si="4"/>
        <v>0</v>
      </c>
    </row>
    <row r="59" spans="2:5" x14ac:dyDescent="0.35">
      <c r="D59" t="str">
        <f t="shared" si="3"/>
        <v xml:space="preserve">Community Health Workers </v>
      </c>
      <c r="E59">
        <f t="shared" si="4"/>
        <v>11845</v>
      </c>
    </row>
    <row r="60" spans="2:5" x14ac:dyDescent="0.35">
      <c r="D60" t="str">
        <f t="shared" si="3"/>
        <v>Dieticians and nutritionists</v>
      </c>
      <c r="E60">
        <f t="shared" si="4"/>
        <v>0</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12643123.000000002</v>
      </c>
      <c r="D78" t="str">
        <f t="shared" si="3"/>
        <v>Medical Doctors</v>
      </c>
      <c r="E78">
        <f t="shared" ref="E78:E101" si="5">D3</f>
        <v>0</v>
      </c>
    </row>
    <row r="79" spans="2:5" x14ac:dyDescent="0.35">
      <c r="D79" t="str">
        <f t="shared" si="3"/>
        <v>Nursing Personnel</v>
      </c>
      <c r="E79">
        <f t="shared" si="5"/>
        <v>0</v>
      </c>
    </row>
    <row r="80" spans="2:5" x14ac:dyDescent="0.35">
      <c r="D80" t="str">
        <f t="shared" si="3"/>
        <v>Midwifery personnel</v>
      </c>
      <c r="E80">
        <f t="shared" si="5"/>
        <v>0</v>
      </c>
    </row>
    <row r="81" spans="4:5" x14ac:dyDescent="0.35">
      <c r="D81" t="str">
        <f t="shared" si="3"/>
        <v>Pharmacists</v>
      </c>
      <c r="E81">
        <f t="shared" si="5"/>
        <v>0</v>
      </c>
    </row>
    <row r="82" spans="4:5" x14ac:dyDescent="0.35">
      <c r="D82" t="str">
        <f t="shared" si="3"/>
        <v>Dentists</v>
      </c>
      <c r="E82">
        <f t="shared" si="5"/>
        <v>0</v>
      </c>
    </row>
    <row r="83" spans="4:5" x14ac:dyDescent="0.35">
      <c r="D83" t="str">
        <f t="shared" si="3"/>
        <v xml:space="preserve">Community Health Workers </v>
      </c>
      <c r="E83">
        <f t="shared" si="5"/>
        <v>0</v>
      </c>
    </row>
    <row r="84" spans="4:5" x14ac:dyDescent="0.35">
      <c r="D84" t="str">
        <f t="shared" si="3"/>
        <v>Dieticians and nutritionists</v>
      </c>
      <c r="E84">
        <f t="shared" si="5"/>
        <v>0</v>
      </c>
    </row>
    <row r="85" spans="4:5" x14ac:dyDescent="0.35">
      <c r="D85" t="str">
        <f t="shared" si="3"/>
        <v>Environmental and occupational health &amp; hygiene workers</v>
      </c>
      <c r="E85">
        <f t="shared" si="5"/>
        <v>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0</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0</v>
      </c>
    </row>
    <row r="97" spans="2:5" x14ac:dyDescent="0.35">
      <c r="D97" t="str">
        <f t="shared" si="3"/>
        <v xml:space="preserve">Paramedical Practitioners </v>
      </c>
      <c r="E97">
        <f t="shared" si="5"/>
        <v>0</v>
      </c>
    </row>
    <row r="98" spans="2:5" x14ac:dyDescent="0.35">
      <c r="D98" t="str">
        <f t="shared" si="3"/>
        <v>Physiotherapists and physiotherapy assistants</v>
      </c>
      <c r="E98">
        <f t="shared" si="5"/>
        <v>0</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21522625.999999993</v>
      </c>
      <c r="D102" s="29" t="str">
        <f t="shared" si="3"/>
        <v>Medical Doctors</v>
      </c>
      <c r="E102">
        <f t="shared" ref="E102:E125" si="6">E3</f>
        <v>4360</v>
      </c>
    </row>
    <row r="103" spans="2:5" x14ac:dyDescent="0.35">
      <c r="D103" s="29" t="str">
        <f t="shared" si="3"/>
        <v>Nursing Personnel</v>
      </c>
      <c r="E103">
        <f t="shared" si="6"/>
        <v>23748</v>
      </c>
    </row>
    <row r="104" spans="2:5" x14ac:dyDescent="0.35">
      <c r="D104" s="29" t="str">
        <f t="shared" si="3"/>
        <v>Midwifery personnel</v>
      </c>
      <c r="E104">
        <f t="shared" si="6"/>
        <v>15608</v>
      </c>
    </row>
    <row r="105" spans="2:5" x14ac:dyDescent="0.35">
      <c r="D105" s="29" t="str">
        <f t="shared" si="3"/>
        <v>Pharmacists</v>
      </c>
      <c r="E105">
        <f t="shared" si="6"/>
        <v>0</v>
      </c>
    </row>
    <row r="106" spans="2:5" x14ac:dyDescent="0.35">
      <c r="D106" s="29" t="str">
        <f t="shared" si="3"/>
        <v>Dentists</v>
      </c>
      <c r="E106">
        <f t="shared" si="6"/>
        <v>0</v>
      </c>
    </row>
    <row r="107" spans="2:5" x14ac:dyDescent="0.35">
      <c r="D107" s="29" t="str">
        <f t="shared" si="3"/>
        <v xml:space="preserve">Community Health Workers </v>
      </c>
      <c r="E107">
        <f t="shared" si="6"/>
        <v>2923</v>
      </c>
    </row>
    <row r="108" spans="2:5" x14ac:dyDescent="0.35">
      <c r="D108" s="29" t="str">
        <f t="shared" si="3"/>
        <v>Dieticians and nutritionists</v>
      </c>
      <c r="E108">
        <f t="shared" si="6"/>
        <v>0</v>
      </c>
    </row>
    <row r="109" spans="2:5" x14ac:dyDescent="0.35">
      <c r="D109" s="29" t="str">
        <f t="shared" si="3"/>
        <v>Environmental and occupational health &amp; hygiene workers</v>
      </c>
      <c r="E109">
        <f t="shared" si="6"/>
        <v>0</v>
      </c>
    </row>
    <row r="110" spans="2:5" x14ac:dyDescent="0.35">
      <c r="D110" s="29" t="str">
        <f t="shared" si="3"/>
        <v>Personal care workers in health service</v>
      </c>
      <c r="E110">
        <f t="shared" si="6"/>
        <v>68</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0</v>
      </c>
    </row>
    <row r="113" spans="2:5" x14ac:dyDescent="0.35">
      <c r="D113" s="29" t="str">
        <f t="shared" si="3"/>
        <v xml:space="preserve">Medical and Pathology Laboratory scientists </v>
      </c>
      <c r="E113">
        <f t="shared" si="6"/>
        <v>906</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274</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3</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22</v>
      </c>
    </row>
    <row r="123" spans="2:5" x14ac:dyDescent="0.35">
      <c r="D123" s="29" t="str">
        <f t="shared" si="7"/>
        <v>Social workers</v>
      </c>
      <c r="E123">
        <f t="shared" si="6"/>
        <v>0</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0</v>
      </c>
    </row>
    <row r="126" spans="2:5" x14ac:dyDescent="0.35">
      <c r="B126" t="str">
        <f>F1</f>
        <v>BWA</v>
      </c>
      <c r="C126">
        <f>F2</f>
        <v>2546401.9999999986</v>
      </c>
      <c r="D126" s="29" t="str">
        <f t="shared" si="7"/>
        <v>Medical Doctors</v>
      </c>
      <c r="E126">
        <f t="shared" ref="E126:E149" si="8">F3</f>
        <v>2048</v>
      </c>
    </row>
    <row r="127" spans="2:5" x14ac:dyDescent="0.35">
      <c r="D127" s="29" t="str">
        <f t="shared" si="7"/>
        <v>Nursing Personnel</v>
      </c>
      <c r="E127">
        <f t="shared" si="8"/>
        <v>15542</v>
      </c>
    </row>
    <row r="128" spans="2:5" x14ac:dyDescent="0.35">
      <c r="D128" s="29" t="str">
        <f t="shared" si="7"/>
        <v>Midwifery personnel</v>
      </c>
      <c r="E128">
        <f t="shared" si="8"/>
        <v>0</v>
      </c>
    </row>
    <row r="129" spans="4:5" x14ac:dyDescent="0.35">
      <c r="D129" s="29" t="str">
        <f t="shared" si="7"/>
        <v>Pharmacists</v>
      </c>
      <c r="E129">
        <f t="shared" si="8"/>
        <v>2156</v>
      </c>
    </row>
    <row r="130" spans="4:5" x14ac:dyDescent="0.35">
      <c r="D130" s="29" t="str">
        <f t="shared" si="7"/>
        <v>Dentists</v>
      </c>
      <c r="E130">
        <f t="shared" si="8"/>
        <v>7018</v>
      </c>
    </row>
    <row r="131" spans="4:5" x14ac:dyDescent="0.35">
      <c r="D131" s="29" t="str">
        <f t="shared" si="7"/>
        <v xml:space="preserve">Community Health Workers </v>
      </c>
      <c r="E131">
        <f t="shared" si="8"/>
        <v>0</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0</v>
      </c>
    </row>
    <row r="134" spans="4:5" x14ac:dyDescent="0.35">
      <c r="D134" s="29" t="str">
        <f t="shared" si="7"/>
        <v>Personal care workers in health service</v>
      </c>
      <c r="E134">
        <f t="shared" si="8"/>
        <v>1423</v>
      </c>
    </row>
    <row r="135" spans="4:5" x14ac:dyDescent="0.35">
      <c r="D135" s="29" t="str">
        <f t="shared" si="7"/>
        <v xml:space="preserve">Managerial staff </v>
      </c>
      <c r="E135">
        <f t="shared" si="8"/>
        <v>125</v>
      </c>
    </row>
    <row r="136" spans="4:5" x14ac:dyDescent="0.35">
      <c r="D136" s="29" t="str">
        <f t="shared" si="7"/>
        <v xml:space="preserve">Medical and dental Prosthetic Technicians </v>
      </c>
      <c r="E136">
        <f t="shared" si="8"/>
        <v>33</v>
      </c>
    </row>
    <row r="137" spans="4:5" x14ac:dyDescent="0.35">
      <c r="D137" s="29" t="str">
        <f t="shared" si="7"/>
        <v xml:space="preserve">Medical and Pathology Laboratory scientists </v>
      </c>
      <c r="E137">
        <f t="shared" si="8"/>
        <v>167</v>
      </c>
    </row>
    <row r="138" spans="4:5" x14ac:dyDescent="0.35">
      <c r="D138" s="29" t="str">
        <f t="shared" si="7"/>
        <v xml:space="preserve">Medical Assistants </v>
      </c>
      <c r="E138">
        <f t="shared" si="8"/>
        <v>67</v>
      </c>
    </row>
    <row r="139" spans="4:5" x14ac:dyDescent="0.35">
      <c r="D139" s="29" t="str">
        <f t="shared" si="7"/>
        <v xml:space="preserve">Medical Imaging and Therapeutic Equipment Technicians </v>
      </c>
      <c r="E139">
        <f t="shared" si="8"/>
        <v>117</v>
      </c>
    </row>
    <row r="140" spans="4:5" x14ac:dyDescent="0.35">
      <c r="D140" s="29" t="str">
        <f t="shared" si="7"/>
        <v xml:space="preserve">Medical Records and Health Information Technicians </v>
      </c>
      <c r="E140">
        <f t="shared" si="8"/>
        <v>63</v>
      </c>
    </row>
    <row r="141" spans="4:5" x14ac:dyDescent="0.35">
      <c r="D141" s="29" t="str">
        <f t="shared" si="7"/>
        <v xml:space="preserve">Optometrists and Ophthalmic Opticians </v>
      </c>
      <c r="E141">
        <f t="shared" si="8"/>
        <v>3</v>
      </c>
    </row>
    <row r="142" spans="4:5" x14ac:dyDescent="0.35">
      <c r="D142" s="29" t="str">
        <f t="shared" si="7"/>
        <v xml:space="preserve">Other non-medical professional staff </v>
      </c>
      <c r="E142">
        <f t="shared" si="8"/>
        <v>1221</v>
      </c>
    </row>
    <row r="143" spans="4:5" x14ac:dyDescent="0.35">
      <c r="D143" s="29" t="str">
        <f t="shared" si="7"/>
        <v xml:space="preserve">Other non-medical support staff </v>
      </c>
      <c r="E143">
        <f t="shared" si="8"/>
        <v>3691</v>
      </c>
    </row>
    <row r="144" spans="4:5" x14ac:dyDescent="0.35">
      <c r="D144" s="29" t="str">
        <f t="shared" si="7"/>
        <v xml:space="preserve">Medical and Pathology Laboratory Technicians </v>
      </c>
      <c r="E144">
        <f t="shared" si="8"/>
        <v>338</v>
      </c>
    </row>
    <row r="145" spans="2:5" x14ac:dyDescent="0.35">
      <c r="D145" s="29" t="str">
        <f t="shared" si="7"/>
        <v xml:space="preserve">Paramedical Practitioners </v>
      </c>
      <c r="E145">
        <f t="shared" si="8"/>
        <v>10</v>
      </c>
    </row>
    <row r="146" spans="2:5" x14ac:dyDescent="0.35">
      <c r="D146" s="29" t="str">
        <f t="shared" si="7"/>
        <v>Physiotherapists and physiotherapy assistants</v>
      </c>
      <c r="E146">
        <f t="shared" si="8"/>
        <v>66</v>
      </c>
    </row>
    <row r="147" spans="2:5" x14ac:dyDescent="0.35">
      <c r="D147" s="29" t="str">
        <f t="shared" si="7"/>
        <v>Social workers</v>
      </c>
      <c r="E147">
        <f t="shared" si="8"/>
        <v>0</v>
      </c>
    </row>
    <row r="148" spans="2:5" x14ac:dyDescent="0.35">
      <c r="D148" s="29" t="str">
        <f t="shared" si="7"/>
        <v xml:space="preserve">Audiologists and Speech Therapists </v>
      </c>
      <c r="E148">
        <f t="shared" si="8"/>
        <v>7</v>
      </c>
    </row>
    <row r="149" spans="2:5" x14ac:dyDescent="0.35">
      <c r="D149" s="29" t="str">
        <f t="shared" si="7"/>
        <v>Traditional and complementary medicine practitioners</v>
      </c>
      <c r="E149">
        <f t="shared" si="8"/>
        <v>0</v>
      </c>
    </row>
    <row r="150" spans="2:5" x14ac:dyDescent="0.35">
      <c r="B150" t="str">
        <f>G1</f>
        <v>CAF</v>
      </c>
      <c r="C150">
        <f>G2</f>
        <v>5343019.9999999991</v>
      </c>
      <c r="D150" s="30" t="str">
        <f t="shared" si="7"/>
        <v>Medical Doctors</v>
      </c>
      <c r="E150">
        <f t="shared" ref="E150:E173" si="9">G3</f>
        <v>0</v>
      </c>
    </row>
    <row r="151" spans="2:5" x14ac:dyDescent="0.35">
      <c r="D151" s="30" t="str">
        <f t="shared" si="7"/>
        <v>Nursing Personnel</v>
      </c>
      <c r="E151">
        <f t="shared" si="9"/>
        <v>0</v>
      </c>
    </row>
    <row r="152" spans="2:5" x14ac:dyDescent="0.35">
      <c r="D152" s="30" t="str">
        <f t="shared" si="7"/>
        <v>Midwifery personnel</v>
      </c>
      <c r="E152">
        <f t="shared" si="9"/>
        <v>0</v>
      </c>
    </row>
    <row r="153" spans="2:5" x14ac:dyDescent="0.35">
      <c r="D153" s="30" t="str">
        <f t="shared" si="7"/>
        <v>Pharmacists</v>
      </c>
      <c r="E153">
        <f t="shared" si="9"/>
        <v>105</v>
      </c>
    </row>
    <row r="154" spans="2:5" x14ac:dyDescent="0.35">
      <c r="D154" s="30" t="str">
        <f t="shared" si="7"/>
        <v>Dentists</v>
      </c>
      <c r="E154">
        <f t="shared" si="9"/>
        <v>0</v>
      </c>
    </row>
    <row r="155" spans="2:5" x14ac:dyDescent="0.35">
      <c r="D155" s="30" t="str">
        <f t="shared" si="7"/>
        <v xml:space="preserve">Community Health Workers </v>
      </c>
      <c r="E155">
        <f t="shared" si="9"/>
        <v>0</v>
      </c>
    </row>
    <row r="156" spans="2:5" x14ac:dyDescent="0.35">
      <c r="D156" s="30" t="str">
        <f t="shared" si="7"/>
        <v>Dieticians and nutritionists</v>
      </c>
      <c r="E156">
        <f t="shared" si="9"/>
        <v>0</v>
      </c>
    </row>
    <row r="157" spans="2:5" x14ac:dyDescent="0.35">
      <c r="D157" s="30" t="str">
        <f t="shared" si="7"/>
        <v>Environmental and occupational health &amp; hygiene workers</v>
      </c>
      <c r="E157">
        <f t="shared" si="9"/>
        <v>0</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26811790.500000004</v>
      </c>
      <c r="D174" s="31" t="str">
        <f t="shared" si="7"/>
        <v>Medical Doctors</v>
      </c>
      <c r="E174">
        <f t="shared" ref="E174:E197" si="10">H3</f>
        <v>8870</v>
      </c>
    </row>
    <row r="175" spans="2:5" x14ac:dyDescent="0.35">
      <c r="D175" s="30" t="str">
        <f t="shared" si="7"/>
        <v>Nursing Personnel</v>
      </c>
      <c r="E175">
        <f t="shared" si="10"/>
        <v>26792</v>
      </c>
    </row>
    <row r="176" spans="2:5" x14ac:dyDescent="0.35">
      <c r="D176" s="30" t="str">
        <f t="shared" si="7"/>
        <v>Midwifery personnel</v>
      </c>
      <c r="E176">
        <f t="shared" si="10"/>
        <v>12690</v>
      </c>
    </row>
    <row r="177" spans="4:5" x14ac:dyDescent="0.35">
      <c r="D177" s="30" t="str">
        <f t="shared" si="7"/>
        <v>Pharmacists</v>
      </c>
      <c r="E177">
        <f t="shared" si="10"/>
        <v>0</v>
      </c>
    </row>
    <row r="178" spans="4:5" x14ac:dyDescent="0.35">
      <c r="D178" s="30" t="str">
        <f t="shared" si="7"/>
        <v>Dentists</v>
      </c>
      <c r="E178">
        <f t="shared" si="10"/>
        <v>0</v>
      </c>
    </row>
    <row r="179" spans="4:5" x14ac:dyDescent="0.35">
      <c r="D179" s="30" t="str">
        <f t="shared" si="7"/>
        <v xml:space="preserve">Community Health Workers </v>
      </c>
      <c r="E179">
        <f t="shared" si="10"/>
        <v>0</v>
      </c>
    </row>
    <row r="180" spans="4:5" x14ac:dyDescent="0.35">
      <c r="D180" s="30" t="str">
        <f t="shared" si="7"/>
        <v>Dieticians and nutritionists</v>
      </c>
      <c r="E180">
        <f t="shared" si="10"/>
        <v>0</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3734</v>
      </c>
    </row>
    <row r="194" spans="2:5" x14ac:dyDescent="0.35">
      <c r="D194" s="30" t="str">
        <f t="shared" si="11"/>
        <v>Physiotherapists and physiotherapy assistants</v>
      </c>
      <c r="E194">
        <f t="shared" si="10"/>
        <v>0</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26491086.500000011</v>
      </c>
      <c r="D198" s="30" t="str">
        <f t="shared" si="11"/>
        <v>Medical Doctors</v>
      </c>
      <c r="E198">
        <f t="shared" ref="E198:E221" si="12">I3</f>
        <v>5930</v>
      </c>
    </row>
    <row r="199" spans="2:5" x14ac:dyDescent="0.35">
      <c r="D199" s="30" t="str">
        <f t="shared" si="11"/>
        <v>Nursing Personnel</v>
      </c>
      <c r="E199">
        <f t="shared" si="12"/>
        <v>23436</v>
      </c>
    </row>
    <row r="200" spans="2:5" x14ac:dyDescent="0.35">
      <c r="D200" s="30" t="str">
        <f t="shared" si="11"/>
        <v>Midwifery personnel</v>
      </c>
      <c r="E200">
        <f t="shared" si="12"/>
        <v>2516</v>
      </c>
    </row>
    <row r="201" spans="2:5" x14ac:dyDescent="0.35">
      <c r="D201" s="30" t="str">
        <f t="shared" si="11"/>
        <v>Pharmacists</v>
      </c>
      <c r="E201">
        <f t="shared" si="12"/>
        <v>78</v>
      </c>
    </row>
    <row r="202" spans="2:5" x14ac:dyDescent="0.35">
      <c r="D202" s="30" t="str">
        <f t="shared" si="11"/>
        <v>Dentists</v>
      </c>
      <c r="E202">
        <f t="shared" si="12"/>
        <v>112</v>
      </c>
    </row>
    <row r="203" spans="2:5" x14ac:dyDescent="0.35">
      <c r="D203" s="30" t="str">
        <f t="shared" si="11"/>
        <v xml:space="preserve">Community Health Workers </v>
      </c>
      <c r="E203">
        <f t="shared" si="12"/>
        <v>154</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5</v>
      </c>
    </row>
    <row r="206" spans="2:5" x14ac:dyDescent="0.35">
      <c r="D206" s="30" t="str">
        <f t="shared" si="11"/>
        <v>Personal care workers in health service</v>
      </c>
      <c r="E206">
        <f t="shared" si="12"/>
        <v>5390</v>
      </c>
    </row>
    <row r="207" spans="2:5" x14ac:dyDescent="0.35">
      <c r="D207" s="30" t="str">
        <f t="shared" si="11"/>
        <v xml:space="preserve">Managerial staff </v>
      </c>
      <c r="E207">
        <f t="shared" si="12"/>
        <v>21</v>
      </c>
    </row>
    <row r="208" spans="2:5" x14ac:dyDescent="0.35">
      <c r="D208" s="30" t="str">
        <f t="shared" si="11"/>
        <v xml:space="preserve">Medical and dental Prosthetic Technicians </v>
      </c>
      <c r="E208">
        <f t="shared" si="12"/>
        <v>31</v>
      </c>
    </row>
    <row r="209" spans="2:5" x14ac:dyDescent="0.35">
      <c r="D209" s="30" t="str">
        <f t="shared" si="11"/>
        <v xml:space="preserve">Medical and Pathology Laboratory scientists </v>
      </c>
      <c r="E209">
        <f t="shared" si="12"/>
        <v>112</v>
      </c>
    </row>
    <row r="210" spans="2:5" x14ac:dyDescent="0.35">
      <c r="D210" s="30" t="str">
        <f t="shared" si="11"/>
        <v xml:space="preserve">Medical Assistants </v>
      </c>
      <c r="E210">
        <f t="shared" si="12"/>
        <v>6</v>
      </c>
    </row>
    <row r="211" spans="2:5" x14ac:dyDescent="0.35">
      <c r="D211" s="30" t="str">
        <f t="shared" si="11"/>
        <v xml:space="preserve">Medical Imaging and Therapeutic Equipment Technicians </v>
      </c>
      <c r="E211">
        <f t="shared" si="12"/>
        <v>73</v>
      </c>
    </row>
    <row r="212" spans="2:5" x14ac:dyDescent="0.35">
      <c r="D212" s="30" t="str">
        <f t="shared" si="11"/>
        <v xml:space="preserve">Medical Records and Health Information Technicians </v>
      </c>
      <c r="E212">
        <f t="shared" si="12"/>
        <v>4</v>
      </c>
    </row>
    <row r="213" spans="2:5" x14ac:dyDescent="0.35">
      <c r="D213" s="30" t="str">
        <f t="shared" si="11"/>
        <v xml:space="preserve">Optometrists and Ophthalmic Opticians </v>
      </c>
      <c r="E213">
        <f t="shared" si="12"/>
        <v>207</v>
      </c>
    </row>
    <row r="214" spans="2:5" x14ac:dyDescent="0.35">
      <c r="D214" s="30" t="str">
        <f t="shared" si="11"/>
        <v xml:space="preserve">Other non-medical professional staff </v>
      </c>
      <c r="E214">
        <f t="shared" si="12"/>
        <v>1406</v>
      </c>
    </row>
    <row r="215" spans="2:5" x14ac:dyDescent="0.35">
      <c r="D215" s="30" t="str">
        <f t="shared" si="11"/>
        <v xml:space="preserve">Other non-medical support staff </v>
      </c>
      <c r="E215">
        <f t="shared" si="12"/>
        <v>152</v>
      </c>
    </row>
    <row r="216" spans="2:5" x14ac:dyDescent="0.35">
      <c r="D216" s="30" t="str">
        <f t="shared" si="11"/>
        <v xml:space="preserve">Medical and Pathology Laboratory Technicians </v>
      </c>
      <c r="E216">
        <f t="shared" si="12"/>
        <v>48</v>
      </c>
    </row>
    <row r="217" spans="2:5" x14ac:dyDescent="0.35">
      <c r="D217" s="30" t="str">
        <f t="shared" si="11"/>
        <v xml:space="preserve">Paramedical Practitioners </v>
      </c>
      <c r="E217">
        <f t="shared" si="12"/>
        <v>2098</v>
      </c>
    </row>
    <row r="218" spans="2:5" x14ac:dyDescent="0.35">
      <c r="D218" s="30" t="str">
        <f t="shared" si="11"/>
        <v>Physiotherapists and physiotherapy assistants</v>
      </c>
      <c r="E218">
        <f t="shared" si="12"/>
        <v>69</v>
      </c>
    </row>
    <row r="219" spans="2:5" x14ac:dyDescent="0.35">
      <c r="D219" s="30" t="str">
        <f t="shared" si="11"/>
        <v>Social workers</v>
      </c>
      <c r="E219">
        <f t="shared" si="12"/>
        <v>64</v>
      </c>
    </row>
    <row r="220" spans="2:5" x14ac:dyDescent="0.35">
      <c r="D220" s="30" t="str">
        <f t="shared" si="11"/>
        <v xml:space="preserve">Audiologists and Speech Therapists </v>
      </c>
      <c r="E220">
        <f t="shared" si="12"/>
        <v>2</v>
      </c>
    </row>
    <row r="221" spans="2:5" x14ac:dyDescent="0.35">
      <c r="D221" s="30" t="str">
        <f t="shared" si="11"/>
        <v>Traditional and complementary medicine practitioners</v>
      </c>
      <c r="E221">
        <f t="shared" si="12"/>
        <v>7</v>
      </c>
    </row>
    <row r="222" spans="2:5" x14ac:dyDescent="0.35">
      <c r="B222" t="str">
        <f>J1</f>
        <v>COD</v>
      </c>
      <c r="C222">
        <f>J2</f>
        <v>92853164.500000015</v>
      </c>
      <c r="D222" s="29" t="str">
        <f t="shared" si="11"/>
        <v>Medical Doctors</v>
      </c>
      <c r="E222">
        <f t="shared" ref="E222:E245" si="13">J3</f>
        <v>0</v>
      </c>
    </row>
    <row r="223" spans="2:5" x14ac:dyDescent="0.35">
      <c r="D223" s="30" t="str">
        <f t="shared" si="11"/>
        <v>Nursing Personnel</v>
      </c>
      <c r="E223">
        <f t="shared" si="13"/>
        <v>0</v>
      </c>
    </row>
    <row r="224" spans="2:5" x14ac:dyDescent="0.35">
      <c r="D224" s="30" t="str">
        <f t="shared" si="11"/>
        <v>Midwifery personnel</v>
      </c>
      <c r="E224">
        <f t="shared" si="13"/>
        <v>0</v>
      </c>
    </row>
    <row r="225" spans="4:5" x14ac:dyDescent="0.35">
      <c r="D225" s="30" t="str">
        <f t="shared" si="11"/>
        <v>Pharmacists</v>
      </c>
      <c r="E225">
        <f t="shared" si="13"/>
        <v>2439</v>
      </c>
    </row>
    <row r="226" spans="4:5" x14ac:dyDescent="0.35">
      <c r="D226" s="30" t="str">
        <f t="shared" si="11"/>
        <v>Dentists</v>
      </c>
      <c r="E226">
        <f t="shared" si="13"/>
        <v>1004</v>
      </c>
    </row>
    <row r="227" spans="4:5" x14ac:dyDescent="0.35">
      <c r="D227" s="30" t="str">
        <f t="shared" si="11"/>
        <v xml:space="preserve">Community Health Workers </v>
      </c>
      <c r="E227">
        <f t="shared" si="13"/>
        <v>0</v>
      </c>
    </row>
    <row r="228" spans="4:5" x14ac:dyDescent="0.35">
      <c r="D228" s="30" t="str">
        <f t="shared" si="11"/>
        <v>Dieticians and nutritionists</v>
      </c>
      <c r="E228">
        <f t="shared" si="13"/>
        <v>776</v>
      </c>
    </row>
    <row r="229" spans="4:5" x14ac:dyDescent="0.35">
      <c r="D229" s="30" t="str">
        <f t="shared" si="11"/>
        <v>Environmental and occupational health &amp; hygiene workers</v>
      </c>
      <c r="E229">
        <f t="shared" si="13"/>
        <v>3788</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0</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0</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0</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0</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5702174</v>
      </c>
      <c r="D246" s="29" t="str">
        <f t="shared" ref="D246:D309" si="14">D222</f>
        <v>Medical Doctors</v>
      </c>
      <c r="E246">
        <f t="shared" ref="E246:E269" si="15">K3</f>
        <v>0</v>
      </c>
    </row>
    <row r="247" spans="2:5" x14ac:dyDescent="0.35">
      <c r="D247" s="30" t="str">
        <f t="shared" si="14"/>
        <v>Nursing Personnel</v>
      </c>
      <c r="E247">
        <f t="shared" si="15"/>
        <v>0</v>
      </c>
    </row>
    <row r="248" spans="2:5" x14ac:dyDescent="0.35">
      <c r="D248" s="30" t="str">
        <f t="shared" si="14"/>
        <v>Midwifery personnel</v>
      </c>
      <c r="E248">
        <f t="shared" si="15"/>
        <v>0</v>
      </c>
    </row>
    <row r="249" spans="2:5" x14ac:dyDescent="0.35">
      <c r="D249" s="30" t="str">
        <f t="shared" si="14"/>
        <v>Pharmacists</v>
      </c>
      <c r="E249">
        <f t="shared" si="15"/>
        <v>283</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582</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806166.00000000023</v>
      </c>
      <c r="D270" s="29" t="str">
        <f t="shared" si="14"/>
        <v>Medical Doctors</v>
      </c>
      <c r="E270">
        <f t="shared" ref="E270:E293" si="16">L3</f>
        <v>708</v>
      </c>
    </row>
    <row r="271" spans="2:5" x14ac:dyDescent="0.35">
      <c r="D271" s="30" t="str">
        <f t="shared" si="14"/>
        <v>Nursing Personnel</v>
      </c>
      <c r="E271">
        <f t="shared" si="16"/>
        <v>1366</v>
      </c>
    </row>
    <row r="272" spans="2:5" x14ac:dyDescent="0.35">
      <c r="D272" s="30" t="str">
        <f t="shared" si="14"/>
        <v>Midwifery personnel</v>
      </c>
      <c r="E272">
        <f t="shared" si="16"/>
        <v>1172</v>
      </c>
    </row>
    <row r="273" spans="4:5" x14ac:dyDescent="0.35">
      <c r="D273" s="30" t="str">
        <f t="shared" si="14"/>
        <v>Pharmacists</v>
      </c>
      <c r="E273">
        <f t="shared" si="16"/>
        <v>0</v>
      </c>
    </row>
    <row r="274" spans="4:5" x14ac:dyDescent="0.35">
      <c r="D274" s="30" t="str">
        <f t="shared" si="14"/>
        <v>Dentists</v>
      </c>
      <c r="E274">
        <f t="shared" si="16"/>
        <v>0</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25</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16</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582640.00000000023</v>
      </c>
      <c r="D294" s="29" t="str">
        <f t="shared" si="14"/>
        <v>Medical Doctors</v>
      </c>
      <c r="E294">
        <f t="shared" ref="E294:E317" si="17">M3</f>
        <v>0</v>
      </c>
    </row>
    <row r="295" spans="2:5" x14ac:dyDescent="0.35">
      <c r="D295" s="30" t="str">
        <f t="shared" si="14"/>
        <v>Nursing Personnel</v>
      </c>
      <c r="E295">
        <f t="shared" si="17"/>
        <v>0</v>
      </c>
    </row>
    <row r="296" spans="2:5" x14ac:dyDescent="0.35">
      <c r="D296" s="30" t="str">
        <f t="shared" si="14"/>
        <v>Midwifery personnel</v>
      </c>
      <c r="E296">
        <f t="shared" si="17"/>
        <v>0</v>
      </c>
    </row>
    <row r="297" spans="2:5" x14ac:dyDescent="0.35">
      <c r="D297" s="30" t="str">
        <f t="shared" si="14"/>
        <v>Pharmacists</v>
      </c>
      <c r="E297">
        <f t="shared" si="17"/>
        <v>0</v>
      </c>
    </row>
    <row r="298" spans="2:5" x14ac:dyDescent="0.35">
      <c r="D298" s="30" t="str">
        <f t="shared" si="14"/>
        <v>Dentists</v>
      </c>
      <c r="E298">
        <f t="shared" si="17"/>
        <v>0</v>
      </c>
    </row>
    <row r="299" spans="2:5" x14ac:dyDescent="0.35">
      <c r="D299" s="30" t="str">
        <f t="shared" si="14"/>
        <v xml:space="preserve">Community Health Workers </v>
      </c>
      <c r="E299">
        <f t="shared" si="17"/>
        <v>0</v>
      </c>
    </row>
    <row r="300" spans="2:5" x14ac:dyDescent="0.35">
      <c r="D300" s="30" t="str">
        <f t="shared" si="14"/>
        <v>Dieticians and nutritionists</v>
      </c>
      <c r="E300">
        <f t="shared" si="17"/>
        <v>0</v>
      </c>
    </row>
    <row r="301" spans="2:5" x14ac:dyDescent="0.35">
      <c r="D301" s="30" t="str">
        <f t="shared" si="14"/>
        <v>Environmental and occupational health &amp; hygiene workers</v>
      </c>
      <c r="E301">
        <f t="shared" si="17"/>
        <v>0</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43451665.999999985</v>
      </c>
      <c r="D318" s="29" t="str">
        <f t="shared" si="18"/>
        <v>Medical Doctors</v>
      </c>
      <c r="E318">
        <f t="shared" ref="E318:E341" si="19">N3</f>
        <v>0</v>
      </c>
    </row>
    <row r="319" spans="2:5" x14ac:dyDescent="0.35">
      <c r="D319" s="30" t="str">
        <f t="shared" si="18"/>
        <v>Nursing Personnel</v>
      </c>
      <c r="E319">
        <f t="shared" si="19"/>
        <v>0</v>
      </c>
    </row>
    <row r="320" spans="2:5" x14ac:dyDescent="0.35">
      <c r="D320" s="30" t="str">
        <f t="shared" si="18"/>
        <v>Midwifery personnel</v>
      </c>
      <c r="E320">
        <f t="shared" si="19"/>
        <v>0</v>
      </c>
    </row>
    <row r="321" spans="4:5" x14ac:dyDescent="0.35">
      <c r="D321" s="30" t="str">
        <f t="shared" si="18"/>
        <v>Pharmacists</v>
      </c>
      <c r="E321">
        <f t="shared" si="19"/>
        <v>0</v>
      </c>
    </row>
    <row r="322" spans="4:5" x14ac:dyDescent="0.35">
      <c r="D322" s="30" t="str">
        <f t="shared" si="18"/>
        <v>Dentists</v>
      </c>
      <c r="E322">
        <f t="shared" si="19"/>
        <v>0</v>
      </c>
    </row>
    <row r="323" spans="4:5" x14ac:dyDescent="0.35">
      <c r="D323" s="30" t="str">
        <f t="shared" si="18"/>
        <v xml:space="preserve">Community Health Workers </v>
      </c>
      <c r="E323">
        <f t="shared" si="19"/>
        <v>0</v>
      </c>
    </row>
    <row r="324" spans="4:5" x14ac:dyDescent="0.35">
      <c r="D324" s="30" t="str">
        <f t="shared" si="18"/>
        <v>Dieticians and nutritionists</v>
      </c>
      <c r="E324">
        <f t="shared" si="19"/>
        <v>0</v>
      </c>
    </row>
    <row r="325" spans="4:5" x14ac:dyDescent="0.35">
      <c r="D325" s="30" t="str">
        <f t="shared" si="18"/>
        <v>Environmental and occupational health &amp; hygiene workers</v>
      </c>
      <c r="E325">
        <f t="shared" si="19"/>
        <v>0</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3555867.9999999991</v>
      </c>
      <c r="D342" s="29" t="str">
        <f t="shared" si="18"/>
        <v>Medical Doctors</v>
      </c>
      <c r="E342">
        <f t="shared" ref="E342:E365" si="20">O3</f>
        <v>662</v>
      </c>
    </row>
    <row r="343" spans="2:5" x14ac:dyDescent="0.35">
      <c r="D343" s="30" t="str">
        <f t="shared" si="18"/>
        <v>Nursing Personnel</v>
      </c>
      <c r="E343">
        <f t="shared" si="20"/>
        <v>0</v>
      </c>
    </row>
    <row r="344" spans="2:5" x14ac:dyDescent="0.35">
      <c r="D344" s="30" t="str">
        <f t="shared" si="18"/>
        <v>Midwifery personnel</v>
      </c>
      <c r="E344">
        <f t="shared" si="20"/>
        <v>0</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6000</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0</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0</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0</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0</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0</v>
      </c>
    </row>
    <row r="363" spans="2:5" x14ac:dyDescent="0.35">
      <c r="D363" s="30" t="str">
        <f t="shared" si="18"/>
        <v>Social workers</v>
      </c>
      <c r="E363">
        <f t="shared" si="20"/>
        <v>0</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117190910.99999994</v>
      </c>
      <c r="D366" s="29" t="str">
        <f t="shared" ref="D366:D429" si="22">D342</f>
        <v>Medical Doctors</v>
      </c>
      <c r="E366">
        <f t="shared" ref="E366:E389" si="23">P3</f>
        <v>27155</v>
      </c>
    </row>
    <row r="367" spans="2:5" x14ac:dyDescent="0.35">
      <c r="D367" s="30" t="str">
        <f t="shared" si="22"/>
        <v>Nursing Personnel</v>
      </c>
      <c r="E367">
        <f t="shared" si="23"/>
        <v>139648</v>
      </c>
    </row>
    <row r="368" spans="2:5" x14ac:dyDescent="0.35">
      <c r="D368" s="30" t="str">
        <f t="shared" si="22"/>
        <v>Midwifery personnel</v>
      </c>
      <c r="E368">
        <f t="shared" si="23"/>
        <v>40710</v>
      </c>
    </row>
    <row r="369" spans="4:5" x14ac:dyDescent="0.35">
      <c r="D369" s="30" t="str">
        <f t="shared" si="22"/>
        <v>Pharmacists</v>
      </c>
      <c r="E369">
        <f t="shared" si="23"/>
        <v>17331</v>
      </c>
    </row>
    <row r="370" spans="4:5" x14ac:dyDescent="0.35">
      <c r="D370" s="30" t="str">
        <f t="shared" si="22"/>
        <v>Dentists</v>
      </c>
      <c r="E370">
        <f t="shared" si="23"/>
        <v>16139</v>
      </c>
    </row>
    <row r="371" spans="4:5" x14ac:dyDescent="0.35">
      <c r="D371" s="30" t="str">
        <f t="shared" si="22"/>
        <v xml:space="preserve">Community Health Workers </v>
      </c>
      <c r="E371">
        <f t="shared" si="23"/>
        <v>42630</v>
      </c>
    </row>
    <row r="372" spans="4:5" x14ac:dyDescent="0.35">
      <c r="D372" s="30" t="str">
        <f t="shared" si="22"/>
        <v>Dieticians and nutritionists</v>
      </c>
      <c r="E372">
        <f t="shared" si="23"/>
        <v>0</v>
      </c>
    </row>
    <row r="373" spans="4:5" x14ac:dyDescent="0.35">
      <c r="D373" s="30" t="str">
        <f t="shared" si="22"/>
        <v>Environmental and occupational health &amp; hygiene workers</v>
      </c>
      <c r="E373">
        <f t="shared" si="23"/>
        <v>1234</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22</v>
      </c>
    </row>
    <row r="377" spans="4:5" x14ac:dyDescent="0.35">
      <c r="D377" s="30" t="str">
        <f t="shared" si="22"/>
        <v xml:space="preserve">Medical and Pathology Laboratory scientists </v>
      </c>
      <c r="E377">
        <f t="shared" si="23"/>
        <v>8005</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654</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4752</v>
      </c>
    </row>
    <row r="385" spans="2:5" x14ac:dyDescent="0.35">
      <c r="D385" s="30" t="str">
        <f t="shared" si="22"/>
        <v xml:space="preserve">Paramedical Practitioners </v>
      </c>
      <c r="E385">
        <f t="shared" si="23"/>
        <v>1234</v>
      </c>
    </row>
    <row r="386" spans="2:5" x14ac:dyDescent="0.35">
      <c r="D386" s="30" t="str">
        <f t="shared" si="22"/>
        <v>Physiotherapists and physiotherapy assistants</v>
      </c>
      <c r="E386">
        <f t="shared" si="23"/>
        <v>249</v>
      </c>
    </row>
    <row r="387" spans="2:5" x14ac:dyDescent="0.35">
      <c r="D387" s="30" t="str">
        <f t="shared" si="22"/>
        <v>Social workers</v>
      </c>
      <c r="E387">
        <f t="shared" si="23"/>
        <v>0</v>
      </c>
    </row>
    <row r="388" spans="2:5" x14ac:dyDescent="0.35">
      <c r="D388" s="30" t="str">
        <f t="shared" si="22"/>
        <v xml:space="preserve">Audiologists and Speech Therapists </v>
      </c>
      <c r="E388">
        <f t="shared" si="23"/>
        <v>4</v>
      </c>
    </row>
    <row r="389" spans="2:5" x14ac:dyDescent="0.35">
      <c r="D389" s="30" t="str">
        <f t="shared" si="22"/>
        <v>Traditional and complementary medicine practitioners</v>
      </c>
      <c r="E389">
        <f t="shared" si="23"/>
        <v>0</v>
      </c>
    </row>
    <row r="390" spans="2:5" x14ac:dyDescent="0.35">
      <c r="B390" t="str">
        <f>Q1</f>
        <v>GAB</v>
      </c>
      <c r="C390">
        <f>Q2</f>
        <v>2292572.9999999981</v>
      </c>
      <c r="D390" s="29" t="str">
        <f t="shared" si="22"/>
        <v>Medical Doctors</v>
      </c>
      <c r="E390">
        <f t="shared" ref="E390:E413" si="24">Q3</f>
        <v>3559</v>
      </c>
    </row>
    <row r="391" spans="2:5" x14ac:dyDescent="0.35">
      <c r="D391" s="30" t="str">
        <f t="shared" si="22"/>
        <v>Nursing Personnel</v>
      </c>
      <c r="E391">
        <f t="shared" si="24"/>
        <v>10963</v>
      </c>
    </row>
    <row r="392" spans="2:5" x14ac:dyDescent="0.35">
      <c r="D392" s="30" t="str">
        <f t="shared" si="22"/>
        <v>Midwifery personnel</v>
      </c>
      <c r="E392">
        <f t="shared" si="24"/>
        <v>1324</v>
      </c>
    </row>
    <row r="393" spans="2:5" x14ac:dyDescent="0.35">
      <c r="D393" s="30" t="str">
        <f t="shared" si="22"/>
        <v>Pharmacists</v>
      </c>
      <c r="E393">
        <f t="shared" si="24"/>
        <v>0</v>
      </c>
    </row>
    <row r="394" spans="2:5" x14ac:dyDescent="0.35">
      <c r="D394" s="30" t="str">
        <f t="shared" si="22"/>
        <v>Dentists</v>
      </c>
      <c r="E394">
        <f t="shared" si="24"/>
        <v>0</v>
      </c>
    </row>
    <row r="395" spans="2:5" x14ac:dyDescent="0.35">
      <c r="D395" s="30" t="str">
        <f t="shared" si="22"/>
        <v xml:space="preserve">Community Health Workers </v>
      </c>
      <c r="E395">
        <f t="shared" si="24"/>
        <v>110</v>
      </c>
    </row>
    <row r="396" spans="2:5" x14ac:dyDescent="0.35">
      <c r="D396" s="30" t="str">
        <f t="shared" si="22"/>
        <v>Dieticians and nutritionists</v>
      </c>
      <c r="E396">
        <f t="shared" si="24"/>
        <v>0</v>
      </c>
    </row>
    <row r="397" spans="2:5" x14ac:dyDescent="0.35">
      <c r="D397" s="30" t="str">
        <f t="shared" si="22"/>
        <v>Environmental and occupational health &amp; hygiene workers</v>
      </c>
      <c r="E397">
        <f t="shared" si="24"/>
        <v>0</v>
      </c>
    </row>
    <row r="398" spans="2:5" x14ac:dyDescent="0.35">
      <c r="D398" s="30" t="str">
        <f t="shared" si="22"/>
        <v>Personal care workers in health service</v>
      </c>
      <c r="E398">
        <f t="shared" si="24"/>
        <v>18</v>
      </c>
    </row>
    <row r="399" spans="2:5" x14ac:dyDescent="0.35">
      <c r="D399" s="30" t="str">
        <f t="shared" si="22"/>
        <v xml:space="preserve">Managerial staff </v>
      </c>
      <c r="E399">
        <f t="shared" si="24"/>
        <v>390</v>
      </c>
    </row>
    <row r="400" spans="2:5" x14ac:dyDescent="0.35">
      <c r="D400" s="30" t="str">
        <f t="shared" si="22"/>
        <v xml:space="preserve">Medical and dental Prosthetic Technicians </v>
      </c>
      <c r="E400">
        <f t="shared" si="24"/>
        <v>9</v>
      </c>
    </row>
    <row r="401" spans="2:5" x14ac:dyDescent="0.35">
      <c r="D401" s="30" t="str">
        <f t="shared" si="22"/>
        <v xml:space="preserve">Medical and Pathology Laboratory scientists </v>
      </c>
      <c r="E401">
        <f t="shared" si="24"/>
        <v>469</v>
      </c>
    </row>
    <row r="402" spans="2:5" x14ac:dyDescent="0.35">
      <c r="D402" s="30" t="str">
        <f t="shared" si="22"/>
        <v xml:space="preserve">Medical Assistants </v>
      </c>
      <c r="E402">
        <f t="shared" si="24"/>
        <v>14</v>
      </c>
    </row>
    <row r="403" spans="2:5" x14ac:dyDescent="0.35">
      <c r="D403" s="30" t="str">
        <f t="shared" si="22"/>
        <v xml:space="preserve">Medical Imaging and Therapeutic Equipment Technicians </v>
      </c>
      <c r="E403">
        <f t="shared" si="24"/>
        <v>82</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9</v>
      </c>
    </row>
    <row r="406" spans="2:5" x14ac:dyDescent="0.35">
      <c r="D406" s="30" t="str">
        <f t="shared" si="22"/>
        <v xml:space="preserve">Other non-medical professional staff </v>
      </c>
      <c r="E406">
        <f t="shared" si="24"/>
        <v>947</v>
      </c>
    </row>
    <row r="407" spans="2:5" x14ac:dyDescent="0.35">
      <c r="D407" s="30" t="str">
        <f t="shared" si="22"/>
        <v xml:space="preserve">Other non-medical support staff </v>
      </c>
      <c r="E407">
        <f t="shared" si="24"/>
        <v>2714</v>
      </c>
    </row>
    <row r="408" spans="2:5" x14ac:dyDescent="0.35">
      <c r="D408" s="30" t="str">
        <f t="shared" si="22"/>
        <v xml:space="preserve">Medical and Pathology Laboratory Technicians </v>
      </c>
      <c r="E408">
        <f t="shared" si="24"/>
        <v>74</v>
      </c>
    </row>
    <row r="409" spans="2:5" x14ac:dyDescent="0.35">
      <c r="D409" s="30" t="str">
        <f t="shared" si="22"/>
        <v xml:space="preserve">Paramedical Practitioners </v>
      </c>
      <c r="E409">
        <f t="shared" si="24"/>
        <v>615</v>
      </c>
    </row>
    <row r="410" spans="2:5" x14ac:dyDescent="0.35">
      <c r="D410" s="30" t="str">
        <f t="shared" si="22"/>
        <v>Physiotherapists and physiotherapy assistants</v>
      </c>
      <c r="E410">
        <f t="shared" si="24"/>
        <v>32</v>
      </c>
    </row>
    <row r="411" spans="2:5" x14ac:dyDescent="0.35">
      <c r="D411" s="30" t="str">
        <f t="shared" si="22"/>
        <v>Social workers</v>
      </c>
      <c r="E411">
        <f t="shared" si="24"/>
        <v>115</v>
      </c>
    </row>
    <row r="412" spans="2:5" x14ac:dyDescent="0.35">
      <c r="D412" s="30" t="str">
        <f t="shared" si="22"/>
        <v xml:space="preserve">Audiologists and Speech Therapists </v>
      </c>
      <c r="E412">
        <f t="shared" si="24"/>
        <v>0</v>
      </c>
    </row>
    <row r="413" spans="2:5" x14ac:dyDescent="0.35">
      <c r="D413" s="30" t="str">
        <f t="shared" si="22"/>
        <v>Traditional and complementary medicine practitioners</v>
      </c>
      <c r="E413">
        <f t="shared" si="24"/>
        <v>112</v>
      </c>
    </row>
    <row r="414" spans="2:5" x14ac:dyDescent="0.35">
      <c r="B414" t="str">
        <f>R1</f>
        <v>GHA</v>
      </c>
      <c r="C414">
        <f>R2</f>
        <v>32180401.499999981</v>
      </c>
      <c r="D414" s="29" t="str">
        <f t="shared" si="22"/>
        <v>Medical Doctors</v>
      </c>
      <c r="E414">
        <f t="shared" ref="E414:E437" si="25">R3</f>
        <v>10570</v>
      </c>
    </row>
    <row r="415" spans="2:5" x14ac:dyDescent="0.35">
      <c r="D415" s="30" t="str">
        <f t="shared" si="22"/>
        <v>Nursing Personnel</v>
      </c>
      <c r="E415">
        <f t="shared" si="25"/>
        <v>191578</v>
      </c>
    </row>
    <row r="416" spans="2:5" x14ac:dyDescent="0.35">
      <c r="D416" s="30" t="str">
        <f t="shared" si="22"/>
        <v>Midwifery personnel</v>
      </c>
      <c r="E416">
        <f t="shared" si="25"/>
        <v>33400</v>
      </c>
    </row>
    <row r="417" spans="4:5" x14ac:dyDescent="0.35">
      <c r="D417" s="30" t="str">
        <f t="shared" si="22"/>
        <v>Pharmacists</v>
      </c>
      <c r="E417">
        <f t="shared" si="25"/>
        <v>0</v>
      </c>
    </row>
    <row r="418" spans="4:5" x14ac:dyDescent="0.35">
      <c r="D418" s="30" t="str">
        <f t="shared" si="22"/>
        <v>Dentists</v>
      </c>
      <c r="E418">
        <f t="shared" si="25"/>
        <v>0</v>
      </c>
    </row>
    <row r="419" spans="4:5" x14ac:dyDescent="0.35">
      <c r="D419" s="30" t="str">
        <f t="shared" si="22"/>
        <v xml:space="preserve">Community Health Workers </v>
      </c>
      <c r="E419">
        <f t="shared" si="25"/>
        <v>0</v>
      </c>
    </row>
    <row r="420" spans="4:5" x14ac:dyDescent="0.35">
      <c r="D420" s="30" t="str">
        <f t="shared" si="22"/>
        <v>Dieticians and nutritionists</v>
      </c>
      <c r="E420">
        <f t="shared" si="25"/>
        <v>0</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0</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0</v>
      </c>
    </row>
    <row r="426" spans="4:5" x14ac:dyDescent="0.35">
      <c r="D426" s="30" t="str">
        <f t="shared" si="22"/>
        <v xml:space="preserve">Medical Assistants </v>
      </c>
      <c r="E426">
        <f t="shared" si="25"/>
        <v>0</v>
      </c>
    </row>
    <row r="427" spans="4:5" x14ac:dyDescent="0.35">
      <c r="D427" s="30" t="str">
        <f t="shared" si="22"/>
        <v xml:space="preserve">Medical Imaging and Therapeutic Equipment Technicians </v>
      </c>
      <c r="E427">
        <f t="shared" si="25"/>
        <v>0</v>
      </c>
    </row>
    <row r="428" spans="4:5" x14ac:dyDescent="0.35">
      <c r="D428" s="30" t="str">
        <f t="shared" si="22"/>
        <v xml:space="preserve">Medical Records and Health Information Technicians </v>
      </c>
      <c r="E428">
        <f t="shared" si="25"/>
        <v>0</v>
      </c>
    </row>
    <row r="429" spans="4:5" x14ac:dyDescent="0.35">
      <c r="D429" s="30" t="str">
        <f t="shared" si="22"/>
        <v xml:space="preserve">Optometrists and Ophthalmic Opticians </v>
      </c>
      <c r="E429">
        <f t="shared" si="25"/>
        <v>0</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0</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0</v>
      </c>
    </row>
    <row r="435" spans="2:5" x14ac:dyDescent="0.35">
      <c r="D435" s="30" t="str">
        <f t="shared" si="26"/>
        <v>Social workers</v>
      </c>
      <c r="E435">
        <f t="shared" si="25"/>
        <v>0</v>
      </c>
    </row>
    <row r="436" spans="2:5" x14ac:dyDescent="0.35">
      <c r="D436" s="30" t="str">
        <f t="shared" si="26"/>
        <v xml:space="preserve">Audiologists and Speech Therapists </v>
      </c>
      <c r="E436">
        <f t="shared" si="25"/>
        <v>0</v>
      </c>
    </row>
    <row r="437" spans="2:5" x14ac:dyDescent="0.35">
      <c r="D437" s="30" t="str">
        <f t="shared" si="26"/>
        <v>Traditional and complementary medicine practitioners</v>
      </c>
      <c r="E437">
        <f t="shared" si="25"/>
        <v>0</v>
      </c>
    </row>
    <row r="438" spans="2:5" x14ac:dyDescent="0.35">
      <c r="B438" t="str">
        <f>S1</f>
        <v>GIN</v>
      </c>
      <c r="C438">
        <f>S2</f>
        <v>13205152.499999998</v>
      </c>
      <c r="D438" s="29" t="str">
        <f t="shared" si="26"/>
        <v>Medical Doctors</v>
      </c>
      <c r="E438">
        <f t="shared" ref="E438:E461" si="27">S3</f>
        <v>0</v>
      </c>
    </row>
    <row r="439" spans="2:5" x14ac:dyDescent="0.35">
      <c r="D439" s="30" t="str">
        <f t="shared" si="26"/>
        <v>Nursing Personnel</v>
      </c>
      <c r="E439">
        <f t="shared" si="27"/>
        <v>0</v>
      </c>
    </row>
    <row r="440" spans="2:5" x14ac:dyDescent="0.35">
      <c r="D440" s="30" t="str">
        <f t="shared" si="26"/>
        <v>Midwifery personnel</v>
      </c>
      <c r="E440">
        <f t="shared" si="27"/>
        <v>0</v>
      </c>
    </row>
    <row r="441" spans="2:5" x14ac:dyDescent="0.35">
      <c r="D441" s="30" t="str">
        <f t="shared" si="26"/>
        <v>Pharmacists</v>
      </c>
      <c r="E441">
        <f t="shared" si="27"/>
        <v>0</v>
      </c>
    </row>
    <row r="442" spans="2:5" x14ac:dyDescent="0.35">
      <c r="D442" s="30" t="str">
        <f t="shared" si="26"/>
        <v>Dentists</v>
      </c>
      <c r="E442">
        <f t="shared" si="27"/>
        <v>0</v>
      </c>
    </row>
    <row r="443" spans="2:5" x14ac:dyDescent="0.35">
      <c r="D443" s="30" t="str">
        <f t="shared" si="26"/>
        <v xml:space="preserve">Community Health Workers </v>
      </c>
      <c r="E443">
        <f t="shared" si="27"/>
        <v>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2573994.9999999995</v>
      </c>
      <c r="D462" s="29" t="str">
        <f t="shared" si="26"/>
        <v>Medical Doctors</v>
      </c>
      <c r="E462">
        <f t="shared" ref="E462:E485" si="28">T3</f>
        <v>466</v>
      </c>
    </row>
    <row r="463" spans="2:5" x14ac:dyDescent="0.35">
      <c r="D463" s="30" t="str">
        <f t="shared" si="26"/>
        <v>Nursing Personnel</v>
      </c>
      <c r="E463">
        <f t="shared" si="28"/>
        <v>2458</v>
      </c>
    </row>
    <row r="464" spans="2:5" x14ac:dyDescent="0.35">
      <c r="D464" s="30" t="str">
        <f t="shared" si="26"/>
        <v>Midwifery personnel</v>
      </c>
      <c r="E464">
        <f t="shared" si="28"/>
        <v>1080</v>
      </c>
    </row>
    <row r="465" spans="4:5" x14ac:dyDescent="0.35">
      <c r="D465" s="30" t="str">
        <f t="shared" si="26"/>
        <v>Pharmacists</v>
      </c>
      <c r="E465">
        <f t="shared" si="28"/>
        <v>324</v>
      </c>
    </row>
    <row r="466" spans="4:5" x14ac:dyDescent="0.35">
      <c r="D466" s="30" t="str">
        <f t="shared" si="26"/>
        <v>Dentists</v>
      </c>
      <c r="E466">
        <f t="shared" si="28"/>
        <v>26</v>
      </c>
    </row>
    <row r="467" spans="4:5" x14ac:dyDescent="0.35">
      <c r="D467" s="30" t="str">
        <f t="shared" si="26"/>
        <v xml:space="preserve">Community Health Workers </v>
      </c>
      <c r="E467">
        <f t="shared" si="28"/>
        <v>0</v>
      </c>
    </row>
    <row r="468" spans="4:5" x14ac:dyDescent="0.35">
      <c r="D468" s="30" t="str">
        <f t="shared" si="26"/>
        <v>Dieticians and nutritionists</v>
      </c>
      <c r="E468">
        <f t="shared" si="28"/>
        <v>0</v>
      </c>
    </row>
    <row r="469" spans="4:5" x14ac:dyDescent="0.35">
      <c r="D469" s="30" t="str">
        <f t="shared" si="26"/>
        <v>Environmental and occupational health &amp; hygiene workers</v>
      </c>
      <c r="E469">
        <f t="shared" si="28"/>
        <v>0</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479</v>
      </c>
    </row>
    <row r="472" spans="4:5" x14ac:dyDescent="0.35">
      <c r="D472" s="30" t="str">
        <f t="shared" si="26"/>
        <v xml:space="preserve">Medical and dental Prosthetic Technicians </v>
      </c>
      <c r="E472">
        <f t="shared" si="28"/>
        <v>4</v>
      </c>
    </row>
    <row r="473" spans="4:5" x14ac:dyDescent="0.35">
      <c r="D473" s="30" t="str">
        <f t="shared" si="26"/>
        <v xml:space="preserve">Medical and Pathology Laboratory scientists </v>
      </c>
      <c r="E473">
        <f t="shared" si="28"/>
        <v>13</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173</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20</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2253</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32</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2015827.9999999998</v>
      </c>
      <c r="D486" s="29" t="str">
        <f t="shared" si="26"/>
        <v>Medical Doctors</v>
      </c>
      <c r="E486">
        <f t="shared" ref="E486:E509" si="29">U3</f>
        <v>781</v>
      </c>
    </row>
    <row r="487" spans="2:5" x14ac:dyDescent="0.35">
      <c r="D487" s="30" t="str">
        <f t="shared" si="26"/>
        <v>Nursing Personnel</v>
      </c>
      <c r="E487">
        <f t="shared" si="29"/>
        <v>2782</v>
      </c>
    </row>
    <row r="488" spans="2:5" x14ac:dyDescent="0.35">
      <c r="D488" s="30" t="str">
        <f t="shared" si="26"/>
        <v>Midwifery personnel</v>
      </c>
      <c r="E488">
        <f t="shared" si="29"/>
        <v>370</v>
      </c>
    </row>
    <row r="489" spans="2:5" x14ac:dyDescent="0.35">
      <c r="D489" s="30" t="str">
        <f t="shared" si="26"/>
        <v>Pharmacists</v>
      </c>
      <c r="E489">
        <f t="shared" si="29"/>
        <v>0</v>
      </c>
    </row>
    <row r="490" spans="2:5" x14ac:dyDescent="0.35">
      <c r="D490" s="30" t="str">
        <f t="shared" si="26"/>
        <v>Dentists</v>
      </c>
      <c r="E490">
        <f t="shared" si="29"/>
        <v>0</v>
      </c>
    </row>
    <row r="491" spans="2:5" x14ac:dyDescent="0.35">
      <c r="D491" s="30" t="str">
        <f t="shared" si="26"/>
        <v xml:space="preserve">Community Health Workers </v>
      </c>
      <c r="E491">
        <f t="shared" si="29"/>
        <v>3711</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8</v>
      </c>
    </row>
    <row r="497" spans="2:5" x14ac:dyDescent="0.35">
      <c r="D497" s="30" t="str">
        <f t="shared" si="30"/>
        <v xml:space="preserve">Medical and Pathology Laboratory scientists </v>
      </c>
      <c r="E497">
        <f t="shared" si="29"/>
        <v>285</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3</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9</v>
      </c>
    </row>
    <row r="502" spans="2:5" x14ac:dyDescent="0.35">
      <c r="D502" s="30" t="str">
        <f t="shared" si="30"/>
        <v xml:space="preserve">Other non-medical professional staff </v>
      </c>
      <c r="E502">
        <f t="shared" si="29"/>
        <v>149</v>
      </c>
    </row>
    <row r="503" spans="2:5" x14ac:dyDescent="0.35">
      <c r="D503" s="30" t="str">
        <f t="shared" si="30"/>
        <v xml:space="preserve">Other non-medical support staff </v>
      </c>
      <c r="E503">
        <f t="shared" si="29"/>
        <v>115</v>
      </c>
    </row>
    <row r="504" spans="2:5" x14ac:dyDescent="0.35">
      <c r="D504" s="30" t="str">
        <f t="shared" si="30"/>
        <v xml:space="preserve">Medical and Pathology Laboratory Technicians </v>
      </c>
      <c r="E504">
        <f t="shared" si="29"/>
        <v>1</v>
      </c>
    </row>
    <row r="505" spans="2:5" x14ac:dyDescent="0.35">
      <c r="D505" s="30" t="str">
        <f t="shared" si="30"/>
        <v xml:space="preserve">Paramedical Practitioners </v>
      </c>
      <c r="E505">
        <f t="shared" si="29"/>
        <v>2</v>
      </c>
    </row>
    <row r="506" spans="2:5" x14ac:dyDescent="0.35">
      <c r="D506" s="30" t="str">
        <f t="shared" si="30"/>
        <v>Physiotherapists and physiotherapy assistants</v>
      </c>
      <c r="E506">
        <f t="shared" si="29"/>
        <v>4</v>
      </c>
    </row>
    <row r="507" spans="2:5" x14ac:dyDescent="0.35">
      <c r="D507" s="30" t="str">
        <f t="shared" si="30"/>
        <v>Social workers</v>
      </c>
      <c r="E507">
        <f t="shared" si="29"/>
        <v>61</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1596048.5000000009</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748</v>
      </c>
    </row>
    <row r="514" spans="4:5" x14ac:dyDescent="0.35">
      <c r="D514" s="30" t="str">
        <f t="shared" si="30"/>
        <v>Dentists</v>
      </c>
      <c r="E514">
        <f t="shared" si="31"/>
        <v>466</v>
      </c>
    </row>
    <row r="515" spans="4:5" x14ac:dyDescent="0.35">
      <c r="D515" s="30" t="str">
        <f t="shared" si="30"/>
        <v xml:space="preserve">Community Health Workers </v>
      </c>
      <c r="E515">
        <f t="shared" si="31"/>
        <v>0</v>
      </c>
    </row>
    <row r="516" spans="4:5" x14ac:dyDescent="0.35">
      <c r="D516" s="30" t="str">
        <f t="shared" si="30"/>
        <v>Dieticians and nutritionists</v>
      </c>
      <c r="E516">
        <f t="shared" si="31"/>
        <v>0</v>
      </c>
    </row>
    <row r="517" spans="4:5" x14ac:dyDescent="0.35">
      <c r="D517" s="30" t="str">
        <f t="shared" si="30"/>
        <v>Environmental and occupational health &amp; hygiene workers</v>
      </c>
      <c r="E517">
        <f t="shared" si="31"/>
        <v>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51985779.999999993</v>
      </c>
      <c r="D534" s="29" t="str">
        <f t="shared" si="30"/>
        <v>Medical Doctors</v>
      </c>
      <c r="E534">
        <f t="shared" ref="E534:E557" si="32">W3</f>
        <v>0</v>
      </c>
    </row>
    <row r="535" spans="2:5" x14ac:dyDescent="0.35">
      <c r="D535" s="30" t="str">
        <f t="shared" si="30"/>
        <v>Nursing Personnel</v>
      </c>
      <c r="E535">
        <f t="shared" si="32"/>
        <v>0</v>
      </c>
    </row>
    <row r="536" spans="2:5" x14ac:dyDescent="0.35">
      <c r="D536" s="30" t="str">
        <f t="shared" si="30"/>
        <v>Midwifery personnel</v>
      </c>
      <c r="E536">
        <f t="shared" si="32"/>
        <v>0</v>
      </c>
    </row>
    <row r="537" spans="2:5" x14ac:dyDescent="0.35">
      <c r="D537" s="30" t="str">
        <f t="shared" si="30"/>
        <v>Pharmacists</v>
      </c>
      <c r="E537">
        <f t="shared" si="32"/>
        <v>0</v>
      </c>
    </row>
    <row r="538" spans="2:5" x14ac:dyDescent="0.35">
      <c r="D538" s="30" t="str">
        <f t="shared" si="30"/>
        <v>Dentists</v>
      </c>
      <c r="E538">
        <f t="shared" si="32"/>
        <v>0</v>
      </c>
    </row>
    <row r="539" spans="2:5" x14ac:dyDescent="0.35">
      <c r="D539" s="30" t="str">
        <f t="shared" si="30"/>
        <v xml:space="preserve">Community Health Workers </v>
      </c>
      <c r="E539">
        <f t="shared" si="32"/>
        <v>91653</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0</v>
      </c>
    </row>
    <row r="545" spans="2:5" x14ac:dyDescent="0.35">
      <c r="D545" s="30" t="str">
        <f t="shared" si="30"/>
        <v xml:space="preserve">Medical and Pathology Laboratory scientists </v>
      </c>
      <c r="E545">
        <f t="shared" si="32"/>
        <v>0</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0</v>
      </c>
    </row>
    <row r="554" spans="2:5" x14ac:dyDescent="0.35">
      <c r="D554" s="30" t="str">
        <f t="shared" si="30"/>
        <v>Physiotherapists and physiotherapy assistants</v>
      </c>
      <c r="E554">
        <f t="shared" si="32"/>
        <v>0</v>
      </c>
    </row>
    <row r="555" spans="2:5" x14ac:dyDescent="0.35">
      <c r="D555" s="30" t="str">
        <f t="shared" si="30"/>
        <v>Social workers</v>
      </c>
      <c r="E555">
        <f t="shared" si="32"/>
        <v>0</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5087584.5000000019</v>
      </c>
      <c r="D558" s="29" t="str">
        <f t="shared" ref="D558:D621" si="33">D534</f>
        <v>Medical Doctors</v>
      </c>
      <c r="E558">
        <f t="shared" ref="E558:E581" si="34">X3</f>
        <v>1611</v>
      </c>
    </row>
    <row r="559" spans="2:5" x14ac:dyDescent="0.35">
      <c r="D559" s="30" t="str">
        <f t="shared" si="33"/>
        <v>Nursing Personnel</v>
      </c>
      <c r="E559">
        <f t="shared" si="34"/>
        <v>4832</v>
      </c>
    </row>
    <row r="560" spans="2:5" x14ac:dyDescent="0.35">
      <c r="D560" s="30" t="str">
        <f t="shared" si="33"/>
        <v>Midwifery personnel</v>
      </c>
      <c r="E560">
        <f t="shared" si="34"/>
        <v>1744</v>
      </c>
    </row>
    <row r="561" spans="4:5" x14ac:dyDescent="0.35">
      <c r="D561" s="30" t="str">
        <f t="shared" si="33"/>
        <v>Pharmacists</v>
      </c>
      <c r="E561">
        <f t="shared" si="34"/>
        <v>0</v>
      </c>
    </row>
    <row r="562" spans="4:5" x14ac:dyDescent="0.35">
      <c r="D562" s="30" t="str">
        <f t="shared" si="33"/>
        <v>Dentists</v>
      </c>
      <c r="E562">
        <f t="shared" si="34"/>
        <v>0</v>
      </c>
    </row>
    <row r="563" spans="4:5" x14ac:dyDescent="0.35">
      <c r="D563" s="30" t="str">
        <f t="shared" si="33"/>
        <v xml:space="preserve">Community Health Workers </v>
      </c>
      <c r="E563">
        <f t="shared" si="34"/>
        <v>12625</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2254100.0000000005</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580</v>
      </c>
    </row>
    <row r="586" spans="2:5" x14ac:dyDescent="0.35">
      <c r="D586" s="30" t="str">
        <f t="shared" si="33"/>
        <v>Dentists</v>
      </c>
      <c r="E586">
        <f t="shared" si="35"/>
        <v>117</v>
      </c>
    </row>
    <row r="587" spans="2:5" x14ac:dyDescent="0.35">
      <c r="D587" s="30" t="str">
        <f t="shared" si="33"/>
        <v xml:space="preserve">Community Health Workers </v>
      </c>
      <c r="E587">
        <f t="shared" si="35"/>
        <v>0</v>
      </c>
    </row>
    <row r="588" spans="2:5" x14ac:dyDescent="0.35">
      <c r="D588" s="30" t="str">
        <f t="shared" si="33"/>
        <v>Dieticians and nutritionists</v>
      </c>
      <c r="E588">
        <f t="shared" si="35"/>
        <v>43</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28225176.500000007</v>
      </c>
      <c r="D606" s="29" t="str">
        <f t="shared" si="33"/>
        <v>Medical Doctors</v>
      </c>
      <c r="E606">
        <f t="shared" ref="E606:E629" si="36">Z3</f>
        <v>0</v>
      </c>
    </row>
    <row r="607" spans="2:5" x14ac:dyDescent="0.35">
      <c r="D607" s="30" t="str">
        <f t="shared" si="33"/>
        <v>Nursing Personnel</v>
      </c>
      <c r="E607">
        <f t="shared" si="36"/>
        <v>0</v>
      </c>
    </row>
    <row r="608" spans="2:5" x14ac:dyDescent="0.35">
      <c r="D608" s="30" t="str">
        <f t="shared" si="33"/>
        <v>Midwifery personnel</v>
      </c>
      <c r="E608">
        <f t="shared" si="36"/>
        <v>0</v>
      </c>
    </row>
    <row r="609" spans="4:5" x14ac:dyDescent="0.35">
      <c r="D609" s="30" t="str">
        <f t="shared" si="33"/>
        <v>Pharmacists</v>
      </c>
      <c r="E609">
        <f t="shared" si="36"/>
        <v>13</v>
      </c>
    </row>
    <row r="610" spans="4:5" x14ac:dyDescent="0.35">
      <c r="D610" s="30" t="str">
        <f t="shared" si="33"/>
        <v>Dentists</v>
      </c>
      <c r="E610">
        <f t="shared" si="36"/>
        <v>9</v>
      </c>
    </row>
    <row r="611" spans="4:5" x14ac:dyDescent="0.35">
      <c r="D611" s="30" t="str">
        <f t="shared" si="33"/>
        <v xml:space="preserve">Community Health Workers </v>
      </c>
      <c r="E611">
        <f t="shared" si="36"/>
        <v>41616</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254</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21224040.000000004</v>
      </c>
      <c r="D630" s="29" t="str">
        <f t="shared" si="37"/>
        <v>Medical Doctors</v>
      </c>
      <c r="E630">
        <f t="shared" ref="E630:E653" si="38">AA3</f>
        <v>0</v>
      </c>
    </row>
    <row r="631" spans="2:5" x14ac:dyDescent="0.35">
      <c r="D631" s="30" t="str">
        <f t="shared" si="37"/>
        <v>Nursing Personnel</v>
      </c>
      <c r="E631">
        <f t="shared" si="38"/>
        <v>0</v>
      </c>
    </row>
    <row r="632" spans="2:5" x14ac:dyDescent="0.35">
      <c r="D632" s="30" t="str">
        <f t="shared" si="37"/>
        <v>Midwifery personnel</v>
      </c>
      <c r="E632">
        <f t="shared" si="38"/>
        <v>0</v>
      </c>
    </row>
    <row r="633" spans="2:5" x14ac:dyDescent="0.35">
      <c r="D633" s="30" t="str">
        <f t="shared" si="37"/>
        <v>Pharmacists</v>
      </c>
      <c r="E633">
        <f t="shared" si="38"/>
        <v>109</v>
      </c>
    </row>
    <row r="634" spans="2:5" x14ac:dyDescent="0.35">
      <c r="D634" s="30" t="str">
        <f t="shared" si="37"/>
        <v>Dentists</v>
      </c>
      <c r="E634">
        <f t="shared" si="38"/>
        <v>34</v>
      </c>
    </row>
    <row r="635" spans="2:5" x14ac:dyDescent="0.35">
      <c r="D635" s="30" t="str">
        <f t="shared" si="37"/>
        <v xml:space="preserve">Community Health Workers </v>
      </c>
      <c r="E635">
        <f t="shared" si="38"/>
        <v>3303</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31178238.999999996</v>
      </c>
      <c r="D654" s="32" t="str">
        <f t="shared" si="37"/>
        <v>Medical Doctors</v>
      </c>
      <c r="E654">
        <f t="shared" ref="E654:E677" si="39">AB3</f>
        <v>6064</v>
      </c>
    </row>
    <row r="655" spans="2:5" x14ac:dyDescent="0.35">
      <c r="D655" s="30" t="str">
        <f t="shared" si="37"/>
        <v>Nursing Personnel</v>
      </c>
      <c r="E655">
        <f t="shared" si="39"/>
        <v>17662</v>
      </c>
    </row>
    <row r="656" spans="2:5" x14ac:dyDescent="0.35">
      <c r="D656" s="30" t="str">
        <f t="shared" si="37"/>
        <v>Midwifery personnel</v>
      </c>
      <c r="E656">
        <f t="shared" si="39"/>
        <v>12648</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6696</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2954</v>
      </c>
    </row>
    <row r="664" spans="4:5" x14ac:dyDescent="0.35">
      <c r="D664" s="30" t="str">
        <f t="shared" si="37"/>
        <v xml:space="preserve">Medical and dental Prosthetic Technicians </v>
      </c>
      <c r="E664">
        <f t="shared" si="39"/>
        <v>0</v>
      </c>
    </row>
    <row r="665" spans="4:5" x14ac:dyDescent="0.35">
      <c r="D665" s="30" t="str">
        <f t="shared" si="37"/>
        <v xml:space="preserve">Medical and Pathology Laboratory scientists </v>
      </c>
      <c r="E665">
        <f t="shared" si="39"/>
        <v>2041</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301</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156</v>
      </c>
    </row>
    <row r="670" spans="4:5" x14ac:dyDescent="0.35">
      <c r="D670" s="30" t="str">
        <f t="shared" si="37"/>
        <v xml:space="preserve">Other non-medical professional staff </v>
      </c>
      <c r="E670">
        <f t="shared" si="39"/>
        <v>8308</v>
      </c>
    </row>
    <row r="671" spans="4:5" x14ac:dyDescent="0.35">
      <c r="D671" s="30" t="str">
        <f t="shared" si="37"/>
        <v xml:space="preserve">Other non-medical support staff </v>
      </c>
      <c r="E671">
        <f t="shared" si="39"/>
        <v>14416</v>
      </c>
    </row>
    <row r="672" spans="4:5" x14ac:dyDescent="0.35">
      <c r="D672" s="30" t="str">
        <f t="shared" si="37"/>
        <v xml:space="preserve">Medical and Pathology Laboratory Technicians </v>
      </c>
      <c r="E672">
        <f t="shared" si="39"/>
        <v>0</v>
      </c>
    </row>
    <row r="673" spans="2:5" x14ac:dyDescent="0.35">
      <c r="D673" s="30" t="str">
        <f t="shared" si="37"/>
        <v xml:space="preserve">Paramedical Practitioners </v>
      </c>
      <c r="E673">
        <f t="shared" si="39"/>
        <v>0</v>
      </c>
    </row>
    <row r="674" spans="2:5" x14ac:dyDescent="0.35">
      <c r="D674" s="30" t="str">
        <f t="shared" si="37"/>
        <v>Physiotherapists and physiotherapy assistants</v>
      </c>
      <c r="E674">
        <f t="shared" si="39"/>
        <v>444</v>
      </c>
    </row>
    <row r="675" spans="2:5" x14ac:dyDescent="0.35">
      <c r="D675" s="30" t="str">
        <f t="shared" si="37"/>
        <v>Social workers</v>
      </c>
      <c r="E675">
        <f t="shared" si="39"/>
        <v>554</v>
      </c>
    </row>
    <row r="676" spans="2:5" x14ac:dyDescent="0.35">
      <c r="D676" s="30" t="str">
        <f t="shared" si="37"/>
        <v xml:space="preserve">Audiologists and Speech Therapists </v>
      </c>
      <c r="E676">
        <f t="shared" si="39"/>
        <v>0</v>
      </c>
    </row>
    <row r="677" spans="2:5" x14ac:dyDescent="0.35">
      <c r="D677" s="30" t="str">
        <f t="shared" si="37"/>
        <v>Traditional and complementary medicine practitioners</v>
      </c>
      <c r="E677">
        <f t="shared" si="39"/>
        <v>0</v>
      </c>
    </row>
    <row r="678" spans="2:5" x14ac:dyDescent="0.35">
      <c r="B678" t="str">
        <f>AC1</f>
        <v>MRT</v>
      </c>
      <c r="C678">
        <f>AC2</f>
        <v>4498603.4999999953</v>
      </c>
      <c r="D678" s="29" t="str">
        <f t="shared" si="37"/>
        <v>Medical Doctors</v>
      </c>
      <c r="E678">
        <f t="shared" ref="E678:E701" si="40">AC3</f>
        <v>1868</v>
      </c>
    </row>
    <row r="679" spans="2:5" x14ac:dyDescent="0.35">
      <c r="D679" s="30" t="str">
        <f t="shared" si="37"/>
        <v>Nursing Personnel</v>
      </c>
      <c r="E679">
        <f t="shared" si="40"/>
        <v>8580</v>
      </c>
    </row>
    <row r="680" spans="2:5" x14ac:dyDescent="0.35">
      <c r="D680" s="30" t="str">
        <f t="shared" si="37"/>
        <v>Midwifery personnel</v>
      </c>
      <c r="E680">
        <f t="shared" si="40"/>
        <v>2054</v>
      </c>
    </row>
    <row r="681" spans="2:5" x14ac:dyDescent="0.35">
      <c r="D681" s="30" t="str">
        <f t="shared" si="37"/>
        <v>Pharmacists</v>
      </c>
      <c r="E681">
        <f t="shared" si="40"/>
        <v>0</v>
      </c>
    </row>
    <row r="682" spans="2:5" x14ac:dyDescent="0.35">
      <c r="D682" s="30" t="str">
        <f t="shared" si="37"/>
        <v>Dentists</v>
      </c>
      <c r="E682">
        <f t="shared" si="40"/>
        <v>0</v>
      </c>
    </row>
    <row r="683" spans="2:5" x14ac:dyDescent="0.35">
      <c r="D683" s="30" t="str">
        <f t="shared" si="37"/>
        <v xml:space="preserve">Community Health Workers </v>
      </c>
      <c r="E683">
        <f t="shared" si="40"/>
        <v>0</v>
      </c>
    </row>
    <row r="684" spans="2:5" x14ac:dyDescent="0.35">
      <c r="D684" s="30" t="str">
        <f t="shared" si="37"/>
        <v>Dieticians and nutritionists</v>
      </c>
      <c r="E684">
        <f t="shared" si="40"/>
        <v>0</v>
      </c>
    </row>
    <row r="685" spans="2:5" x14ac:dyDescent="0.35">
      <c r="D685" s="30" t="str">
        <f t="shared" si="37"/>
        <v>Environmental and occupational health &amp; hygiene workers</v>
      </c>
      <c r="E685">
        <f t="shared" si="40"/>
        <v>0</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1297827.5</v>
      </c>
      <c r="D702" s="29" t="str">
        <f t="shared" si="41"/>
        <v>Medical Doctors</v>
      </c>
      <c r="E702">
        <f t="shared" ref="E702:E725" si="42">AD3</f>
        <v>7101</v>
      </c>
    </row>
    <row r="703" spans="2:5" x14ac:dyDescent="0.35">
      <c r="D703" s="30" t="str">
        <f t="shared" si="41"/>
        <v>Nursing Personnel</v>
      </c>
      <c r="E703">
        <f t="shared" si="42"/>
        <v>0</v>
      </c>
    </row>
    <row r="704" spans="2:5" x14ac:dyDescent="0.35">
      <c r="D704" s="30" t="str">
        <f t="shared" si="41"/>
        <v>Midwifery personnel</v>
      </c>
      <c r="E704">
        <f t="shared" si="42"/>
        <v>0</v>
      </c>
    </row>
    <row r="705" spans="4:5" x14ac:dyDescent="0.35">
      <c r="D705" s="30" t="str">
        <f t="shared" si="41"/>
        <v>Pharmacists</v>
      </c>
      <c r="E705">
        <f t="shared" si="42"/>
        <v>0</v>
      </c>
    </row>
    <row r="706" spans="4:5" x14ac:dyDescent="0.35">
      <c r="D706" s="30" t="str">
        <f t="shared" si="41"/>
        <v>Dentists</v>
      </c>
      <c r="E706">
        <f t="shared" si="42"/>
        <v>0</v>
      </c>
    </row>
    <row r="707" spans="4:5" x14ac:dyDescent="0.35">
      <c r="D707" s="30" t="str">
        <f t="shared" si="41"/>
        <v xml:space="preserve">Community Health Workers </v>
      </c>
      <c r="E707">
        <f t="shared" si="42"/>
        <v>163</v>
      </c>
    </row>
    <row r="708" spans="4:5" x14ac:dyDescent="0.35">
      <c r="D708" s="30" t="str">
        <f t="shared" si="41"/>
        <v>Dieticians and nutritionists</v>
      </c>
      <c r="E708">
        <f t="shared" si="42"/>
        <v>0</v>
      </c>
    </row>
    <row r="709" spans="4:5" x14ac:dyDescent="0.35">
      <c r="D709" s="30" t="str">
        <f t="shared" si="41"/>
        <v>Environmental and occupational health &amp; hygiene workers</v>
      </c>
      <c r="E709">
        <f t="shared" si="42"/>
        <v>0</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19377061.499999985</v>
      </c>
      <c r="D726" s="29" t="str">
        <f t="shared" si="41"/>
        <v>Medical Doctors</v>
      </c>
      <c r="E726">
        <f t="shared" ref="E726:E749" si="43">AE3</f>
        <v>2265</v>
      </c>
    </row>
    <row r="727" spans="2:5" x14ac:dyDescent="0.35">
      <c r="D727" s="30" t="str">
        <f t="shared" si="41"/>
        <v>Nursing Personnel</v>
      </c>
      <c r="E727">
        <f t="shared" si="43"/>
        <v>32965</v>
      </c>
    </row>
    <row r="728" spans="2:5" x14ac:dyDescent="0.35">
      <c r="D728" s="30" t="str">
        <f t="shared" si="41"/>
        <v>Midwifery personnel</v>
      </c>
      <c r="E728">
        <f t="shared" si="43"/>
        <v>0</v>
      </c>
    </row>
    <row r="729" spans="2:5" x14ac:dyDescent="0.35">
      <c r="D729" s="30" t="str">
        <f t="shared" si="41"/>
        <v>Pharmacists</v>
      </c>
      <c r="E729">
        <f t="shared" si="43"/>
        <v>40</v>
      </c>
    </row>
    <row r="730" spans="2:5" x14ac:dyDescent="0.35">
      <c r="D730" s="30" t="str">
        <f t="shared" si="41"/>
        <v>Dentists</v>
      </c>
      <c r="E730">
        <f t="shared" si="43"/>
        <v>15</v>
      </c>
    </row>
    <row r="731" spans="2:5" x14ac:dyDescent="0.35">
      <c r="D731" s="30" t="str">
        <f t="shared" si="41"/>
        <v xml:space="preserve">Community Health Workers </v>
      </c>
      <c r="E731">
        <f t="shared" si="43"/>
        <v>0</v>
      </c>
    </row>
    <row r="732" spans="2:5" x14ac:dyDescent="0.35">
      <c r="D732" s="30" t="str">
        <f t="shared" si="41"/>
        <v>Dieticians and nutritionists</v>
      </c>
      <c r="E732">
        <f t="shared" si="43"/>
        <v>9</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2630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743</v>
      </c>
    </row>
    <row r="738" spans="2:5" x14ac:dyDescent="0.35">
      <c r="D738" s="30" t="str">
        <f t="shared" si="41"/>
        <v xml:space="preserve">Medical Assistants </v>
      </c>
      <c r="E738">
        <f t="shared" si="43"/>
        <v>1809</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91</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282</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152</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2489097.9999999991</v>
      </c>
      <c r="D750" s="29" t="str">
        <f t="shared" ref="D750:D813" si="44">D726</f>
        <v>Medical Doctors</v>
      </c>
      <c r="E750">
        <f t="shared" ref="E750:E773" si="45">AF3</f>
        <v>2230</v>
      </c>
    </row>
    <row r="751" spans="2:5" x14ac:dyDescent="0.35">
      <c r="D751" s="30" t="str">
        <f t="shared" si="44"/>
        <v>Nursing Personnel</v>
      </c>
      <c r="E751">
        <f t="shared" si="45"/>
        <v>12880</v>
      </c>
    </row>
    <row r="752" spans="2:5" x14ac:dyDescent="0.35">
      <c r="D752" s="30" t="str">
        <f t="shared" si="44"/>
        <v>Midwifery personnel</v>
      </c>
      <c r="E752">
        <f t="shared" si="45"/>
        <v>10</v>
      </c>
    </row>
    <row r="753" spans="4:5" x14ac:dyDescent="0.35">
      <c r="D753" s="30" t="str">
        <f t="shared" si="44"/>
        <v>Pharmacists</v>
      </c>
      <c r="E753">
        <f t="shared" si="45"/>
        <v>104</v>
      </c>
    </row>
    <row r="754" spans="4:5" x14ac:dyDescent="0.35">
      <c r="D754" s="30" t="str">
        <f t="shared" si="44"/>
        <v>Dentists</v>
      </c>
      <c r="E754">
        <f t="shared" si="45"/>
        <v>17</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172</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99</v>
      </c>
    </row>
    <row r="762" spans="4:5" x14ac:dyDescent="0.35">
      <c r="D762" s="30" t="str">
        <f t="shared" si="44"/>
        <v xml:space="preserve">Medical Assistants </v>
      </c>
      <c r="E762">
        <f t="shared" si="45"/>
        <v>3</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95</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99</v>
      </c>
    </row>
    <row r="769" spans="2:5" x14ac:dyDescent="0.35">
      <c r="D769" s="30" t="str">
        <f t="shared" si="44"/>
        <v xml:space="preserve">Paramedical Practitioners </v>
      </c>
      <c r="E769">
        <f t="shared" si="45"/>
        <v>54</v>
      </c>
    </row>
    <row r="770" spans="2:5" x14ac:dyDescent="0.35">
      <c r="D770" s="30" t="str">
        <f t="shared" si="44"/>
        <v>Physiotherapists and physiotherapy assistants</v>
      </c>
      <c r="E770">
        <f t="shared" si="45"/>
        <v>134</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24333638.499999985</v>
      </c>
      <c r="D774" s="29" t="str">
        <f t="shared" si="44"/>
        <v>Medical Doctors</v>
      </c>
      <c r="E774">
        <f t="shared" ref="E774:E797" si="46">AG3</f>
        <v>1670</v>
      </c>
    </row>
    <row r="775" spans="2:5" x14ac:dyDescent="0.35">
      <c r="D775" s="30" t="str">
        <f t="shared" si="44"/>
        <v>Nursing Personnel</v>
      </c>
      <c r="E775">
        <f t="shared" si="46"/>
        <v>0</v>
      </c>
    </row>
    <row r="776" spans="2:5" x14ac:dyDescent="0.35">
      <c r="D776" s="30" t="str">
        <f t="shared" si="44"/>
        <v>Midwifery personnel</v>
      </c>
      <c r="E776">
        <f t="shared" si="46"/>
        <v>0</v>
      </c>
    </row>
    <row r="777" spans="2:5" x14ac:dyDescent="0.35">
      <c r="D777" s="30" t="str">
        <f t="shared" si="44"/>
        <v>Pharmacists</v>
      </c>
      <c r="E777">
        <f t="shared" si="46"/>
        <v>0</v>
      </c>
    </row>
    <row r="778" spans="2:5" x14ac:dyDescent="0.35">
      <c r="D778" s="30" t="str">
        <f t="shared" si="44"/>
        <v>Dentists</v>
      </c>
      <c r="E778">
        <f t="shared" si="46"/>
        <v>4</v>
      </c>
    </row>
    <row r="779" spans="2:5" x14ac:dyDescent="0.35">
      <c r="D779" s="30" t="str">
        <f t="shared" si="44"/>
        <v xml:space="preserve">Community Health Workers </v>
      </c>
      <c r="E779">
        <f t="shared" si="46"/>
        <v>21429</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208327404.49999994</v>
      </c>
      <c r="D798" s="29" t="str">
        <f t="shared" si="44"/>
        <v>Medical Doctors</v>
      </c>
      <c r="E798">
        <f t="shared" ref="E798:E821" si="47">AH3</f>
        <v>0</v>
      </c>
    </row>
    <row r="799" spans="2:5" x14ac:dyDescent="0.35">
      <c r="D799" s="30" t="str">
        <f t="shared" si="44"/>
        <v>Nursing Personnel</v>
      </c>
      <c r="E799">
        <f t="shared" si="47"/>
        <v>0</v>
      </c>
    </row>
    <row r="800" spans="2:5" x14ac:dyDescent="0.35">
      <c r="D800" s="30" t="str">
        <f t="shared" si="44"/>
        <v>Midwifery personnel</v>
      </c>
      <c r="E800">
        <f t="shared" si="47"/>
        <v>0</v>
      </c>
    </row>
    <row r="801" spans="4:5" x14ac:dyDescent="0.35">
      <c r="D801" s="30" t="str">
        <f t="shared" si="44"/>
        <v>Pharmacists</v>
      </c>
      <c r="E801">
        <f t="shared" si="47"/>
        <v>588</v>
      </c>
    </row>
    <row r="802" spans="4:5" x14ac:dyDescent="0.35">
      <c r="D802" s="30" t="str">
        <f t="shared" si="44"/>
        <v>Dentists</v>
      </c>
      <c r="E802">
        <f t="shared" si="47"/>
        <v>230</v>
      </c>
    </row>
    <row r="803" spans="4:5" x14ac:dyDescent="0.35">
      <c r="D803" s="30" t="str">
        <f t="shared" si="44"/>
        <v xml:space="preserve">Community Health Workers </v>
      </c>
      <c r="E803">
        <f t="shared" si="47"/>
        <v>0</v>
      </c>
    </row>
    <row r="804" spans="4:5" x14ac:dyDescent="0.35">
      <c r="D804" s="30" t="str">
        <f t="shared" si="44"/>
        <v>Dieticians and nutritionists</v>
      </c>
      <c r="E804">
        <f t="shared" si="47"/>
        <v>71</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0</v>
      </c>
    </row>
    <row r="809" spans="4:5" x14ac:dyDescent="0.35">
      <c r="D809" s="30" t="str">
        <f t="shared" si="44"/>
        <v xml:space="preserve">Medical and Pathology Laboratory scientists </v>
      </c>
      <c r="E809">
        <f t="shared" si="47"/>
        <v>0</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0</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0</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0</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0</v>
      </c>
    </row>
    <row r="819" spans="2:5" x14ac:dyDescent="0.35">
      <c r="D819" s="30" t="str">
        <f t="shared" si="48"/>
        <v>Social workers</v>
      </c>
      <c r="E819">
        <f t="shared" si="47"/>
        <v>0</v>
      </c>
    </row>
    <row r="820" spans="2:5" x14ac:dyDescent="0.35">
      <c r="D820" s="30" t="str">
        <f t="shared" si="48"/>
        <v xml:space="preserve">Audiologists and Speech Therapists </v>
      </c>
      <c r="E820">
        <f t="shared" si="47"/>
        <v>0</v>
      </c>
    </row>
    <row r="821" spans="2:5" x14ac:dyDescent="0.35">
      <c r="D821" s="30" t="str">
        <f t="shared" si="48"/>
        <v>Traditional and complementary medicine practitioners</v>
      </c>
      <c r="E821">
        <f t="shared" si="47"/>
        <v>0</v>
      </c>
    </row>
    <row r="822" spans="2:5" x14ac:dyDescent="0.35">
      <c r="B822" t="str">
        <f>AI1</f>
        <v>RWA</v>
      </c>
      <c r="C822">
        <f>AI2</f>
        <v>13146361.500000002</v>
      </c>
      <c r="D822" s="29" t="str">
        <f t="shared" si="48"/>
        <v>Medical Doctors</v>
      </c>
      <c r="E822">
        <f t="shared" ref="E822:E845" si="49">AI3</f>
        <v>0</v>
      </c>
    </row>
    <row r="823" spans="2:5" x14ac:dyDescent="0.35">
      <c r="D823" s="30" t="str">
        <f t="shared" si="48"/>
        <v>Nursing Personnel</v>
      </c>
      <c r="E823">
        <f t="shared" si="49"/>
        <v>0</v>
      </c>
    </row>
    <row r="824" spans="2:5" x14ac:dyDescent="0.35">
      <c r="D824" s="30" t="str">
        <f t="shared" si="48"/>
        <v>Midwifery personnel</v>
      </c>
      <c r="E824">
        <f t="shared" si="49"/>
        <v>0</v>
      </c>
    </row>
    <row r="825" spans="2:5" x14ac:dyDescent="0.35">
      <c r="D825" s="30" t="str">
        <f t="shared" si="48"/>
        <v>Pharmacists</v>
      </c>
      <c r="E825">
        <f t="shared" si="49"/>
        <v>0</v>
      </c>
    </row>
    <row r="826" spans="2:5" x14ac:dyDescent="0.35">
      <c r="D826" s="30" t="str">
        <f t="shared" si="48"/>
        <v>Dentists</v>
      </c>
      <c r="E826">
        <f t="shared" si="49"/>
        <v>0</v>
      </c>
    </row>
    <row r="827" spans="2:5" x14ac:dyDescent="0.35">
      <c r="D827" s="30" t="str">
        <f t="shared" si="48"/>
        <v xml:space="preserve">Community Health Workers </v>
      </c>
      <c r="E827">
        <f t="shared" si="49"/>
        <v>58567</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0</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16436119.999999993</v>
      </c>
      <c r="D846" s="29" t="str">
        <f t="shared" si="48"/>
        <v>Medical Doctors</v>
      </c>
      <c r="E846">
        <f t="shared" ref="E846:E869" si="50">AJ3</f>
        <v>3606</v>
      </c>
    </row>
    <row r="847" spans="2:5" x14ac:dyDescent="0.35">
      <c r="D847" s="30" t="str">
        <f t="shared" si="48"/>
        <v>Nursing Personnel</v>
      </c>
      <c r="E847">
        <f t="shared" si="50"/>
        <v>7600</v>
      </c>
    </row>
    <row r="848" spans="2:5" x14ac:dyDescent="0.35">
      <c r="D848" s="30" t="str">
        <f t="shared" si="48"/>
        <v>Midwifery personnel</v>
      </c>
      <c r="E848">
        <f t="shared" si="50"/>
        <v>4122</v>
      </c>
    </row>
    <row r="849" spans="4:5" x14ac:dyDescent="0.35">
      <c r="D849" s="30" t="str">
        <f t="shared" si="48"/>
        <v>Pharmacists</v>
      </c>
      <c r="E849">
        <f t="shared" si="50"/>
        <v>584</v>
      </c>
    </row>
    <row r="850" spans="4:5" x14ac:dyDescent="0.35">
      <c r="D850" s="30" t="str">
        <f t="shared" si="48"/>
        <v>Dentists</v>
      </c>
      <c r="E850">
        <f t="shared" si="50"/>
        <v>327</v>
      </c>
    </row>
    <row r="851" spans="4:5" x14ac:dyDescent="0.35">
      <c r="D851" s="30" t="str">
        <f t="shared" si="48"/>
        <v xml:space="preserve">Community Health Workers </v>
      </c>
      <c r="E851">
        <f t="shared" si="50"/>
        <v>0</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2494</v>
      </c>
    </row>
    <row r="854" spans="4:5" x14ac:dyDescent="0.35">
      <c r="D854" s="30" t="str">
        <f t="shared" si="48"/>
        <v>Personal care workers in health service</v>
      </c>
      <c r="E854">
        <f t="shared" si="50"/>
        <v>0</v>
      </c>
    </row>
    <row r="855" spans="4:5" x14ac:dyDescent="0.35">
      <c r="D855" s="30" t="str">
        <f t="shared" si="48"/>
        <v xml:space="preserve">Managerial staff </v>
      </c>
      <c r="E855">
        <f t="shared" si="50"/>
        <v>27</v>
      </c>
    </row>
    <row r="856" spans="4:5" x14ac:dyDescent="0.35">
      <c r="D856" s="30" t="str">
        <f t="shared" si="48"/>
        <v xml:space="preserve">Medical and dental Prosthetic Technicians </v>
      </c>
      <c r="E856">
        <f t="shared" si="50"/>
        <v>13</v>
      </c>
    </row>
    <row r="857" spans="4:5" x14ac:dyDescent="0.35">
      <c r="D857" s="30" t="str">
        <f t="shared" si="48"/>
        <v xml:space="preserve">Medical and Pathology Laboratory scientists </v>
      </c>
      <c r="E857">
        <f t="shared" si="50"/>
        <v>101</v>
      </c>
    </row>
    <row r="858" spans="4:5" x14ac:dyDescent="0.35">
      <c r="D858" s="30" t="str">
        <f t="shared" si="48"/>
        <v xml:space="preserve">Medical Assistants </v>
      </c>
      <c r="E858">
        <f t="shared" si="50"/>
        <v>1482</v>
      </c>
    </row>
    <row r="859" spans="4:5" x14ac:dyDescent="0.35">
      <c r="D859" s="30" t="str">
        <f t="shared" si="48"/>
        <v xml:space="preserve">Medical Imaging and Therapeutic Equipment Technicians </v>
      </c>
      <c r="E859">
        <f t="shared" si="50"/>
        <v>121</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323</v>
      </c>
    </row>
    <row r="865" spans="2:5" x14ac:dyDescent="0.35">
      <c r="D865" s="30" t="str">
        <f t="shared" si="48"/>
        <v xml:space="preserve">Paramedical Practitioners </v>
      </c>
      <c r="E865">
        <f t="shared" si="50"/>
        <v>662</v>
      </c>
    </row>
    <row r="866" spans="2:5" x14ac:dyDescent="0.35">
      <c r="D866" s="30" t="str">
        <f t="shared" si="48"/>
        <v>Physiotherapists and physiotherapy assistants</v>
      </c>
      <c r="E866">
        <f t="shared" si="50"/>
        <v>98</v>
      </c>
    </row>
    <row r="867" spans="2:5" x14ac:dyDescent="0.35">
      <c r="D867" s="30" t="str">
        <f t="shared" si="48"/>
        <v>Social workers</v>
      </c>
      <c r="E867">
        <f t="shared" si="50"/>
        <v>491</v>
      </c>
    </row>
    <row r="868" spans="2:5" x14ac:dyDescent="0.35">
      <c r="D868" s="30" t="str">
        <f t="shared" si="48"/>
        <v xml:space="preserve">Audiologists and Speech Therapists </v>
      </c>
      <c r="E868">
        <f t="shared" si="50"/>
        <v>1</v>
      </c>
    </row>
    <row r="869" spans="2:5" x14ac:dyDescent="0.35">
      <c r="D869" s="30" t="str">
        <f t="shared" si="48"/>
        <v>Traditional and complementary medicine practitioners</v>
      </c>
      <c r="E869">
        <f t="shared" si="50"/>
        <v>0</v>
      </c>
    </row>
    <row r="870" spans="2:5" x14ac:dyDescent="0.35">
      <c r="B870" t="str">
        <f>AK1</f>
        <v>SLE</v>
      </c>
      <c r="C870">
        <f>AK2</f>
        <v>8233970.4999999991</v>
      </c>
      <c r="D870" s="29" t="str">
        <f t="shared" si="48"/>
        <v>Medical Doctors</v>
      </c>
      <c r="E870">
        <f t="shared" ref="E870:E893" si="51">AK3</f>
        <v>1152</v>
      </c>
    </row>
    <row r="871" spans="2:5" x14ac:dyDescent="0.35">
      <c r="D871" s="30" t="str">
        <f t="shared" si="48"/>
        <v>Nursing Personnel</v>
      </c>
      <c r="E871">
        <f t="shared" si="51"/>
        <v>2080</v>
      </c>
    </row>
    <row r="872" spans="2:5" x14ac:dyDescent="0.35">
      <c r="D872" s="30" t="str">
        <f t="shared" si="48"/>
        <v>Midwifery personnel</v>
      </c>
      <c r="E872">
        <f t="shared" si="51"/>
        <v>1278</v>
      </c>
    </row>
    <row r="873" spans="2:5" x14ac:dyDescent="0.35">
      <c r="D873" s="30" t="str">
        <f t="shared" si="48"/>
        <v>Pharmacists</v>
      </c>
      <c r="E873">
        <f t="shared" si="51"/>
        <v>78</v>
      </c>
    </row>
    <row r="874" spans="2:5" x14ac:dyDescent="0.35">
      <c r="D874" s="30" t="str">
        <f t="shared" si="48"/>
        <v>Dentists</v>
      </c>
      <c r="E874">
        <f t="shared" si="51"/>
        <v>0</v>
      </c>
    </row>
    <row r="875" spans="2:5" x14ac:dyDescent="0.35">
      <c r="D875" s="30" t="str">
        <f t="shared" si="48"/>
        <v xml:space="preserve">Community Health Workers </v>
      </c>
      <c r="E875">
        <f t="shared" si="51"/>
        <v>13966</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2251</v>
      </c>
    </row>
    <row r="879" spans="2:5" x14ac:dyDescent="0.35">
      <c r="D879" s="30" t="str">
        <f t="shared" si="52"/>
        <v xml:space="preserve">Managerial staff </v>
      </c>
      <c r="E879">
        <f t="shared" si="51"/>
        <v>487</v>
      </c>
    </row>
    <row r="880" spans="2:5" x14ac:dyDescent="0.35">
      <c r="D880" s="30" t="str">
        <f t="shared" si="52"/>
        <v xml:space="preserve">Medical and dental Prosthetic Technicians </v>
      </c>
      <c r="E880">
        <f t="shared" si="51"/>
        <v>530</v>
      </c>
    </row>
    <row r="881" spans="2:5" x14ac:dyDescent="0.35">
      <c r="D881" s="30" t="str">
        <f t="shared" si="52"/>
        <v xml:space="preserve">Medical and Pathology Laboratory scientists </v>
      </c>
      <c r="E881">
        <f t="shared" si="51"/>
        <v>114</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1</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650</v>
      </c>
    </row>
    <row r="890" spans="2:5" x14ac:dyDescent="0.35">
      <c r="D890" s="30" t="str">
        <f t="shared" si="52"/>
        <v>Physiotherapists and physiotherapy assistants</v>
      </c>
      <c r="E890">
        <f t="shared" si="51"/>
        <v>6</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10606227.000000002</v>
      </c>
      <c r="D894" s="29" t="str">
        <f t="shared" si="52"/>
        <v>Medical Doctors</v>
      </c>
      <c r="E894">
        <f t="shared" ref="E894:E917" si="53">AL3</f>
        <v>995</v>
      </c>
    </row>
    <row r="895" spans="2:5" x14ac:dyDescent="0.35">
      <c r="D895" s="30" t="str">
        <f t="shared" si="52"/>
        <v>Nursing Personnel</v>
      </c>
      <c r="E895">
        <f t="shared" si="53"/>
        <v>9060</v>
      </c>
    </row>
    <row r="896" spans="2:5" x14ac:dyDescent="0.35">
      <c r="D896" s="30" t="str">
        <f t="shared" si="52"/>
        <v>Midwifery personnel</v>
      </c>
      <c r="E896">
        <f t="shared" si="53"/>
        <v>6040</v>
      </c>
    </row>
    <row r="897" spans="4:5" x14ac:dyDescent="0.35">
      <c r="D897" s="30" t="str">
        <f t="shared" si="52"/>
        <v>Pharmacists</v>
      </c>
      <c r="E897">
        <f t="shared" si="53"/>
        <v>0</v>
      </c>
    </row>
    <row r="898" spans="4:5" x14ac:dyDescent="0.35">
      <c r="D898" s="30" t="str">
        <f t="shared" si="52"/>
        <v>Dentists</v>
      </c>
      <c r="E898">
        <f t="shared" si="53"/>
        <v>21</v>
      </c>
    </row>
    <row r="899" spans="4:5" x14ac:dyDescent="0.35">
      <c r="D899" s="30" t="str">
        <f t="shared" si="52"/>
        <v xml:space="preserve">Community Health Workers </v>
      </c>
      <c r="E899">
        <f t="shared" si="53"/>
        <v>2826</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635</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16</v>
      </c>
    </row>
    <row r="908" spans="4:5" x14ac:dyDescent="0.35">
      <c r="D908" s="30" t="str">
        <f t="shared" si="52"/>
        <v xml:space="preserve">Medical Records and Health Information Technicians </v>
      </c>
      <c r="E908">
        <f t="shared" si="53"/>
        <v>1006</v>
      </c>
    </row>
    <row r="909" spans="4:5" x14ac:dyDescent="0.35">
      <c r="D909" s="30" t="str">
        <f t="shared" si="52"/>
        <v xml:space="preserve">Optometrists and Ophthalmic Opticians </v>
      </c>
      <c r="E909">
        <f t="shared" si="53"/>
        <v>24</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623</v>
      </c>
    </row>
    <row r="914" spans="2:5" x14ac:dyDescent="0.35">
      <c r="D914" s="30" t="str">
        <f t="shared" si="52"/>
        <v>Physiotherapists and physiotherapy assistants</v>
      </c>
      <c r="E914">
        <f t="shared" si="53"/>
        <v>17</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218640.99999999997</v>
      </c>
      <c r="D918" s="29" t="str">
        <f t="shared" si="52"/>
        <v>Medical Doctors</v>
      </c>
      <c r="E918">
        <f t="shared" ref="E918:E941" si="54">AM3</f>
        <v>0</v>
      </c>
    </row>
    <row r="919" spans="2:5" x14ac:dyDescent="0.35">
      <c r="D919" s="30" t="str">
        <f t="shared" si="52"/>
        <v>Nursing Personnel</v>
      </c>
      <c r="E919">
        <f t="shared" si="54"/>
        <v>0</v>
      </c>
    </row>
    <row r="920" spans="2:5" x14ac:dyDescent="0.35">
      <c r="D920" s="30" t="str">
        <f t="shared" si="52"/>
        <v>Midwifery personnel</v>
      </c>
      <c r="E920">
        <f t="shared" si="54"/>
        <v>0</v>
      </c>
    </row>
    <row r="921" spans="2:5" x14ac:dyDescent="0.35">
      <c r="D921" s="30" t="str">
        <f t="shared" si="52"/>
        <v>Pharmacists</v>
      </c>
      <c r="E921">
        <f t="shared" si="54"/>
        <v>3797</v>
      </c>
    </row>
    <row r="922" spans="2:5" x14ac:dyDescent="0.35">
      <c r="D922" s="30" t="str">
        <f t="shared" si="52"/>
        <v>Dentists</v>
      </c>
      <c r="E922">
        <f t="shared" si="54"/>
        <v>689</v>
      </c>
    </row>
    <row r="923" spans="2:5" x14ac:dyDescent="0.35">
      <c r="D923" s="30" t="str">
        <f t="shared" si="52"/>
        <v xml:space="preserve">Community Health Workers </v>
      </c>
      <c r="E923">
        <f t="shared" si="54"/>
        <v>0</v>
      </c>
    </row>
    <row r="924" spans="2:5" x14ac:dyDescent="0.35">
      <c r="D924" s="30" t="str">
        <f t="shared" si="52"/>
        <v>Dieticians and nutritionists</v>
      </c>
      <c r="E924">
        <f t="shared" si="54"/>
        <v>1344</v>
      </c>
    </row>
    <row r="925" spans="2:5" x14ac:dyDescent="0.35">
      <c r="D925" s="30" t="str">
        <f t="shared" si="52"/>
        <v>Environmental and occupational health &amp; hygiene workers</v>
      </c>
      <c r="E925">
        <f t="shared" si="54"/>
        <v>0</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1180654.9999999998</v>
      </c>
      <c r="D942" s="29" t="str">
        <f t="shared" ref="D942:D1005" si="55">D918</f>
        <v>Medical Doctors</v>
      </c>
      <c r="E942">
        <f t="shared" ref="E942:E965" si="56">AN3</f>
        <v>330</v>
      </c>
    </row>
    <row r="943" spans="2:5" x14ac:dyDescent="0.35">
      <c r="D943" s="30" t="str">
        <f t="shared" si="55"/>
        <v>Nursing Personnel</v>
      </c>
      <c r="E943">
        <f t="shared" si="56"/>
        <v>6881</v>
      </c>
    </row>
    <row r="944" spans="2:5" x14ac:dyDescent="0.35">
      <c r="D944" s="30" t="str">
        <f t="shared" si="55"/>
        <v>Midwifery personnel</v>
      </c>
      <c r="E944">
        <f t="shared" si="56"/>
        <v>0</v>
      </c>
    </row>
    <row r="945" spans="4:5" x14ac:dyDescent="0.35">
      <c r="D945" s="30" t="str">
        <f t="shared" si="55"/>
        <v>Pharmacists</v>
      </c>
      <c r="E945">
        <f t="shared" si="56"/>
        <v>0</v>
      </c>
    </row>
    <row r="946" spans="4:5" x14ac:dyDescent="0.35">
      <c r="D946" s="30" t="str">
        <f t="shared" si="55"/>
        <v>Dentists</v>
      </c>
      <c r="E946">
        <f t="shared" si="56"/>
        <v>0</v>
      </c>
    </row>
    <row r="947" spans="4:5" x14ac:dyDescent="0.35">
      <c r="D947" s="30" t="str">
        <f t="shared" si="55"/>
        <v xml:space="preserve">Community Health Workers </v>
      </c>
      <c r="E947">
        <f t="shared" si="56"/>
        <v>5386</v>
      </c>
    </row>
    <row r="948" spans="4:5" x14ac:dyDescent="0.35">
      <c r="D948" s="30" t="str">
        <f t="shared" si="55"/>
        <v>Dieticians and nutritionists</v>
      </c>
      <c r="E948">
        <f t="shared" si="56"/>
        <v>0</v>
      </c>
    </row>
    <row r="949" spans="4:5" x14ac:dyDescent="0.35">
      <c r="D949" s="30" t="str">
        <f t="shared" si="55"/>
        <v>Environmental and occupational health &amp; hygiene workers</v>
      </c>
      <c r="E949">
        <f t="shared" si="56"/>
        <v>0</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30</v>
      </c>
    </row>
    <row r="955" spans="4:5" x14ac:dyDescent="0.35">
      <c r="D955" s="30" t="str">
        <f t="shared" si="55"/>
        <v xml:space="preserve">Medical Imaging and Therapeutic Equipment Technicians </v>
      </c>
      <c r="E955">
        <f t="shared" si="56"/>
        <v>53</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6</v>
      </c>
    </row>
    <row r="958" spans="4:5" x14ac:dyDescent="0.35">
      <c r="D958" s="30" t="str">
        <f t="shared" si="55"/>
        <v xml:space="preserve">Other non-medical professional staff </v>
      </c>
      <c r="E958">
        <f t="shared" si="56"/>
        <v>52</v>
      </c>
    </row>
    <row r="959" spans="4:5" x14ac:dyDescent="0.35">
      <c r="D959" s="30" t="str">
        <f t="shared" si="55"/>
        <v xml:space="preserve">Other non-medical support staff </v>
      </c>
      <c r="E959">
        <f t="shared" si="56"/>
        <v>1861</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15</v>
      </c>
    </row>
    <row r="963" spans="2:5" x14ac:dyDescent="0.35">
      <c r="D963" s="30" t="str">
        <f t="shared" si="55"/>
        <v>Social workers</v>
      </c>
      <c r="E963">
        <f t="shared" si="56"/>
        <v>38</v>
      </c>
    </row>
    <row r="964" spans="2:5" x14ac:dyDescent="0.35">
      <c r="D964" s="30" t="str">
        <f t="shared" si="55"/>
        <v xml:space="preserve">Audiologists and Speech Therapists </v>
      </c>
      <c r="E964">
        <f t="shared" si="56"/>
        <v>7</v>
      </c>
    </row>
    <row r="965" spans="2:5" x14ac:dyDescent="0.35">
      <c r="D965" s="30" t="str">
        <f t="shared" si="55"/>
        <v>Traditional and complementary medicine practitioners</v>
      </c>
      <c r="E965">
        <f t="shared" si="56"/>
        <v>0</v>
      </c>
    </row>
    <row r="966" spans="2:5" x14ac:dyDescent="0.35">
      <c r="B966" t="str">
        <f>AO1</f>
        <v>SYC</v>
      </c>
      <c r="C966">
        <f>AO2</f>
        <v>105529.99999999997</v>
      </c>
      <c r="D966" s="29" t="str">
        <f t="shared" si="55"/>
        <v>Medical Doctors</v>
      </c>
      <c r="E966">
        <f t="shared" ref="E966:E989" si="57">AO3</f>
        <v>0</v>
      </c>
    </row>
    <row r="967" spans="2:5" x14ac:dyDescent="0.35">
      <c r="D967" s="30" t="str">
        <f t="shared" si="55"/>
        <v>Nursing Personnel</v>
      </c>
      <c r="E967">
        <f t="shared" si="57"/>
        <v>0</v>
      </c>
    </row>
    <row r="968" spans="2:5" x14ac:dyDescent="0.35">
      <c r="D968" s="30" t="str">
        <f t="shared" si="55"/>
        <v>Midwifery personnel</v>
      </c>
      <c r="E968">
        <f t="shared" si="57"/>
        <v>0</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16644701.499999996</v>
      </c>
      <c r="D990" s="29" t="str">
        <f t="shared" si="55"/>
        <v>Medical Doctors</v>
      </c>
      <c r="E990">
        <f t="shared" ref="E990:E1013" si="58">AP3</f>
        <v>2023</v>
      </c>
    </row>
    <row r="991" spans="2:5" x14ac:dyDescent="0.35">
      <c r="D991" s="30" t="str">
        <f t="shared" si="55"/>
        <v>Nursing Personnel</v>
      </c>
      <c r="E991">
        <f t="shared" si="58"/>
        <v>5246</v>
      </c>
    </row>
    <row r="992" spans="2:5" x14ac:dyDescent="0.35">
      <c r="D992" s="30" t="str">
        <f t="shared" si="55"/>
        <v>Midwifery personnel</v>
      </c>
      <c r="E992">
        <f t="shared" si="58"/>
        <v>1420</v>
      </c>
    </row>
    <row r="993" spans="4:5" x14ac:dyDescent="0.35">
      <c r="D993" s="30" t="str">
        <f t="shared" si="55"/>
        <v>Pharmacists</v>
      </c>
      <c r="E993">
        <f t="shared" si="58"/>
        <v>2495</v>
      </c>
    </row>
    <row r="994" spans="4:5" x14ac:dyDescent="0.35">
      <c r="D994" s="30" t="str">
        <f t="shared" si="55"/>
        <v>Dentists</v>
      </c>
      <c r="E994">
        <f t="shared" si="58"/>
        <v>506</v>
      </c>
    </row>
    <row r="995" spans="4:5" x14ac:dyDescent="0.35">
      <c r="D995" s="30" t="str">
        <f t="shared" si="55"/>
        <v xml:space="preserve">Community Health Workers </v>
      </c>
      <c r="E995">
        <f t="shared" si="58"/>
        <v>592</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0</v>
      </c>
    </row>
    <row r="1001" spans="4:5" x14ac:dyDescent="0.35">
      <c r="D1001" s="30" t="str">
        <f t="shared" si="55"/>
        <v xml:space="preserve">Medical and Pathology Laboratory scientists </v>
      </c>
      <c r="E1001">
        <f t="shared" si="58"/>
        <v>0</v>
      </c>
    </row>
    <row r="1002" spans="4:5" x14ac:dyDescent="0.35">
      <c r="D1002" s="30" t="str">
        <f t="shared" si="55"/>
        <v xml:space="preserve">Medical Assistants </v>
      </c>
      <c r="E1002">
        <f t="shared" si="58"/>
        <v>0</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1</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0</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8442580</v>
      </c>
      <c r="D1014" s="29" t="str">
        <f t="shared" si="59"/>
        <v>Medical Doctors</v>
      </c>
      <c r="E1014">
        <f t="shared" ref="E1014:E1037" si="60">AQ3</f>
        <v>1619</v>
      </c>
    </row>
    <row r="1015" spans="2:5" x14ac:dyDescent="0.35">
      <c r="D1015" s="30" t="str">
        <f t="shared" si="59"/>
        <v>Nursing Personnel</v>
      </c>
      <c r="E1015">
        <f t="shared" si="60"/>
        <v>4910</v>
      </c>
    </row>
    <row r="1016" spans="2:5" x14ac:dyDescent="0.35">
      <c r="D1016" s="30" t="str">
        <f t="shared" si="59"/>
        <v>Midwifery personnel</v>
      </c>
      <c r="E1016">
        <f t="shared" si="60"/>
        <v>3486</v>
      </c>
    </row>
    <row r="1017" spans="2:5" x14ac:dyDescent="0.35">
      <c r="D1017" s="30" t="str">
        <f t="shared" si="59"/>
        <v>Pharmacists</v>
      </c>
      <c r="E1017">
        <f t="shared" si="60"/>
        <v>0</v>
      </c>
    </row>
    <row r="1018" spans="2:5" x14ac:dyDescent="0.35">
      <c r="D1018" s="30" t="str">
        <f t="shared" si="59"/>
        <v>Dentists</v>
      </c>
      <c r="E1018">
        <f t="shared" si="60"/>
        <v>0</v>
      </c>
    </row>
    <row r="1019" spans="2:5" x14ac:dyDescent="0.35">
      <c r="D1019" s="30" t="str">
        <f t="shared" si="59"/>
        <v xml:space="preserve">Community Health Workers </v>
      </c>
      <c r="E1019">
        <f t="shared" si="60"/>
        <v>7386</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4622</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8</v>
      </c>
    </row>
    <row r="1025" spans="2:5" x14ac:dyDescent="0.35">
      <c r="D1025" s="30" t="str">
        <f t="shared" si="59"/>
        <v xml:space="preserve">Medical and Pathology Laboratory scientists </v>
      </c>
      <c r="E1025">
        <f t="shared" si="60"/>
        <v>589</v>
      </c>
    </row>
    <row r="1026" spans="2:5" x14ac:dyDescent="0.35">
      <c r="D1026" s="30" t="str">
        <f t="shared" si="59"/>
        <v xml:space="preserve">Medical Assistants </v>
      </c>
      <c r="E1026">
        <f t="shared" si="60"/>
        <v>997</v>
      </c>
    </row>
    <row r="1027" spans="2:5" x14ac:dyDescent="0.35">
      <c r="D1027" s="30" t="str">
        <f t="shared" si="59"/>
        <v xml:space="preserve">Medical Imaging and Therapeutic Equipment Technicians </v>
      </c>
      <c r="E1027">
        <f t="shared" si="60"/>
        <v>280</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3</v>
      </c>
    </row>
    <row r="1030" spans="2:5" x14ac:dyDescent="0.35">
      <c r="D1030" s="30" t="str">
        <f t="shared" si="59"/>
        <v xml:space="preserve">Other non-medical professional staff </v>
      </c>
      <c r="E1030">
        <f t="shared" si="60"/>
        <v>2137</v>
      </c>
    </row>
    <row r="1031" spans="2:5" x14ac:dyDescent="0.35">
      <c r="D1031" s="30" t="str">
        <f t="shared" si="59"/>
        <v xml:space="preserve">Other non-medical support staff </v>
      </c>
      <c r="E1031">
        <f t="shared" si="60"/>
        <v>1371</v>
      </c>
    </row>
    <row r="1032" spans="2:5" x14ac:dyDescent="0.35">
      <c r="D1032" s="30" t="str">
        <f t="shared" si="59"/>
        <v xml:space="preserve">Medical and Pathology Laboratory Technicians </v>
      </c>
      <c r="E1032">
        <f t="shared" si="60"/>
        <v>338</v>
      </c>
    </row>
    <row r="1033" spans="2:5" x14ac:dyDescent="0.35">
      <c r="D1033" s="30" t="str">
        <f t="shared" si="59"/>
        <v xml:space="preserve">Paramedical Practitioners </v>
      </c>
      <c r="E1033">
        <f t="shared" si="60"/>
        <v>0</v>
      </c>
    </row>
    <row r="1034" spans="2:5" x14ac:dyDescent="0.35">
      <c r="D1034" s="30" t="str">
        <f t="shared" si="59"/>
        <v>Physiotherapists and physiotherapy assistants</v>
      </c>
      <c r="E1034">
        <f t="shared" si="60"/>
        <v>230</v>
      </c>
    </row>
    <row r="1035" spans="2:5" x14ac:dyDescent="0.35">
      <c r="D1035" s="30" t="str">
        <f t="shared" si="59"/>
        <v>Social workers</v>
      </c>
      <c r="E1035">
        <f t="shared" si="60"/>
        <v>66</v>
      </c>
    </row>
    <row r="1036" spans="2:5" x14ac:dyDescent="0.35">
      <c r="D1036" s="30" t="str">
        <f t="shared" si="59"/>
        <v xml:space="preserve">Audiologists and Speech Therapists </v>
      </c>
      <c r="E1036">
        <f t="shared" si="60"/>
        <v>83</v>
      </c>
    </row>
    <row r="1037" spans="2:5" x14ac:dyDescent="0.35">
      <c r="D1037" s="30" t="str">
        <f t="shared" si="59"/>
        <v>Traditional and complementary medicine practitioners</v>
      </c>
      <c r="E1037">
        <f t="shared" si="60"/>
        <v>0</v>
      </c>
    </row>
    <row r="1038" spans="2:5" x14ac:dyDescent="0.35">
      <c r="B1038" t="str">
        <f>AR1</f>
        <v>TZA</v>
      </c>
      <c r="C1038">
        <f>AR2</f>
        <v>61704517.99999997</v>
      </c>
      <c r="D1038" s="29" t="str">
        <f t="shared" si="59"/>
        <v>Medical Doctors</v>
      </c>
      <c r="E1038">
        <f t="shared" ref="E1038:E1061" si="61">AR3</f>
        <v>0</v>
      </c>
    </row>
    <row r="1039" spans="2:5" x14ac:dyDescent="0.35">
      <c r="D1039" s="30" t="str">
        <f t="shared" si="59"/>
        <v>Nursing Personnel</v>
      </c>
      <c r="E1039">
        <f t="shared" si="61"/>
        <v>0</v>
      </c>
    </row>
    <row r="1040" spans="2:5" x14ac:dyDescent="0.35">
      <c r="D1040" s="30" t="str">
        <f t="shared" si="59"/>
        <v>Midwifery personnel</v>
      </c>
      <c r="E1040">
        <f t="shared" si="61"/>
        <v>0</v>
      </c>
    </row>
    <row r="1041" spans="4:5" x14ac:dyDescent="0.35">
      <c r="D1041" s="30" t="str">
        <f t="shared" si="59"/>
        <v>Pharmacists</v>
      </c>
      <c r="E1041">
        <f t="shared" si="61"/>
        <v>0</v>
      </c>
    </row>
    <row r="1042" spans="4:5" x14ac:dyDescent="0.35">
      <c r="D1042" s="30" t="str">
        <f t="shared" si="59"/>
        <v>Dentists</v>
      </c>
      <c r="E1042">
        <f t="shared" si="61"/>
        <v>0</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0</v>
      </c>
    </row>
    <row r="1045" spans="4:5" x14ac:dyDescent="0.35">
      <c r="D1045" s="30" t="str">
        <f t="shared" si="59"/>
        <v>Environmental and occupational health &amp; hygiene workers</v>
      </c>
      <c r="E1045">
        <f t="shared" si="61"/>
        <v>0</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0</v>
      </c>
    </row>
    <row r="1049" spans="4:5" x14ac:dyDescent="0.35">
      <c r="D1049" s="30" t="str">
        <f t="shared" si="59"/>
        <v xml:space="preserve">Medical and Pathology Laboratory scientists </v>
      </c>
      <c r="E1049">
        <f t="shared" si="61"/>
        <v>0</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0</v>
      </c>
    </row>
    <row r="1057" spans="2:5" x14ac:dyDescent="0.35">
      <c r="D1057" s="30" t="str">
        <f t="shared" si="59"/>
        <v xml:space="preserve">Paramedical Practitioners </v>
      </c>
      <c r="E1057">
        <f t="shared" si="61"/>
        <v>0</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44404611.000000007</v>
      </c>
      <c r="D1062" s="29" t="str">
        <f t="shared" si="59"/>
        <v>Medical Doctors</v>
      </c>
      <c r="E1062">
        <f t="shared" ref="E1062:E1085" si="62">AS3</f>
        <v>14062</v>
      </c>
    </row>
    <row r="1063" spans="2:5" x14ac:dyDescent="0.35">
      <c r="D1063" s="30" t="str">
        <f t="shared" si="59"/>
        <v>Nursing Personnel</v>
      </c>
      <c r="E1063">
        <f t="shared" si="62"/>
        <v>102654</v>
      </c>
    </row>
    <row r="1064" spans="2:5" x14ac:dyDescent="0.35">
      <c r="D1064" s="30" t="str">
        <f t="shared" si="59"/>
        <v>Midwifery personnel</v>
      </c>
      <c r="E1064">
        <f t="shared" si="62"/>
        <v>47092</v>
      </c>
    </row>
    <row r="1065" spans="2:5" x14ac:dyDescent="0.35">
      <c r="D1065" s="30" t="str">
        <f t="shared" si="59"/>
        <v>Pharmacists</v>
      </c>
      <c r="E1065">
        <f t="shared" si="62"/>
        <v>0</v>
      </c>
    </row>
    <row r="1066" spans="2:5" x14ac:dyDescent="0.35">
      <c r="D1066" s="30" t="str">
        <f t="shared" si="59"/>
        <v>Dentists</v>
      </c>
      <c r="E1066">
        <f t="shared" si="62"/>
        <v>0</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58801926.500000022</v>
      </c>
      <c r="D1086" s="29" t="str">
        <f t="shared" si="63"/>
        <v>Medical Doctors</v>
      </c>
      <c r="E1086">
        <f t="shared" ref="E1086:E1109" si="64">AT3</f>
        <v>0</v>
      </c>
    </row>
    <row r="1087" spans="2:5" x14ac:dyDescent="0.35">
      <c r="D1087" s="30" t="str">
        <f t="shared" si="63"/>
        <v>Nursing Personnel</v>
      </c>
      <c r="E1087">
        <f t="shared" si="64"/>
        <v>122056</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0</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0</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0</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0</v>
      </c>
    </row>
    <row r="1105" spans="2:5" x14ac:dyDescent="0.35">
      <c r="D1105" s="30" t="str">
        <f t="shared" si="63"/>
        <v xml:space="preserve">Paramedical Practitioners </v>
      </c>
      <c r="E1105">
        <f t="shared" si="64"/>
        <v>0</v>
      </c>
    </row>
    <row r="1106" spans="2:5" x14ac:dyDescent="0.35">
      <c r="D1106" s="30" t="str">
        <f t="shared" si="63"/>
        <v>Physiotherapists and physiotherapy assistants</v>
      </c>
      <c r="E1106">
        <f t="shared" si="64"/>
        <v>0</v>
      </c>
    </row>
    <row r="1107" spans="2:5" x14ac:dyDescent="0.35">
      <c r="D1107" s="30" t="str">
        <f t="shared" si="63"/>
        <v>Social workers</v>
      </c>
      <c r="E1107">
        <f t="shared" si="64"/>
        <v>0</v>
      </c>
    </row>
    <row r="1108" spans="2:5" x14ac:dyDescent="0.35">
      <c r="D1108" s="30" t="str">
        <f t="shared" si="63"/>
        <v xml:space="preserve">Audiologists and Speech Therapists </v>
      </c>
      <c r="E1108">
        <f t="shared" si="64"/>
        <v>0</v>
      </c>
    </row>
    <row r="1109" spans="2:5" x14ac:dyDescent="0.35">
      <c r="D1109" s="30" t="str">
        <f t="shared" si="63"/>
        <v>Traditional and complementary medicine practitioners</v>
      </c>
      <c r="E1109">
        <f t="shared" si="64"/>
        <v>0</v>
      </c>
    </row>
    <row r="1110" spans="2:5" x14ac:dyDescent="0.35">
      <c r="B1110" t="str">
        <f>AU1</f>
        <v>ZMB</v>
      </c>
      <c r="C1110">
        <f>AU2</f>
        <v>18927715.000000022</v>
      </c>
      <c r="D1110" s="29" t="str">
        <f t="shared" si="63"/>
        <v>Medical Doctors</v>
      </c>
      <c r="E1110">
        <f t="shared" ref="E1110:E1133" si="65">AU3</f>
        <v>9636</v>
      </c>
    </row>
    <row r="1111" spans="2:5" x14ac:dyDescent="0.35">
      <c r="D1111" s="30" t="str">
        <f t="shared" si="63"/>
        <v>Nursing Personnel</v>
      </c>
      <c r="E1111">
        <f t="shared" si="65"/>
        <v>55348</v>
      </c>
    </row>
    <row r="1112" spans="2:5" x14ac:dyDescent="0.35">
      <c r="D1112" s="30" t="str">
        <f t="shared" si="63"/>
        <v>Midwifery personnel</v>
      </c>
      <c r="E1112">
        <f t="shared" si="65"/>
        <v>6624</v>
      </c>
    </row>
    <row r="1113" spans="2:5" x14ac:dyDescent="0.35">
      <c r="D1113" s="30" t="str">
        <f t="shared" si="63"/>
        <v>Pharmacists</v>
      </c>
      <c r="E1113">
        <f t="shared" si="65"/>
        <v>0</v>
      </c>
    </row>
    <row r="1114" spans="2:5" x14ac:dyDescent="0.35">
      <c r="D1114" s="30" t="str">
        <f t="shared" si="63"/>
        <v>Dentists</v>
      </c>
      <c r="E1114">
        <f t="shared" si="65"/>
        <v>10395</v>
      </c>
    </row>
    <row r="1115" spans="2:5" x14ac:dyDescent="0.35">
      <c r="D1115" s="30" t="str">
        <f t="shared" si="63"/>
        <v xml:space="preserve">Community Health Workers </v>
      </c>
      <c r="E1115">
        <f t="shared" si="65"/>
        <v>41669</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3330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19</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1075</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0</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2506</v>
      </c>
    </row>
    <row r="1129" spans="2:5" x14ac:dyDescent="0.35">
      <c r="D1129" s="30" t="str">
        <f t="shared" si="63"/>
        <v xml:space="preserve">Paramedical Practitioners </v>
      </c>
      <c r="E1129">
        <f t="shared" si="65"/>
        <v>5544</v>
      </c>
    </row>
    <row r="1130" spans="2:5" x14ac:dyDescent="0.35">
      <c r="D1130" s="30" t="str">
        <f t="shared" si="63"/>
        <v>Physiotherapists and physiotherapy assistants</v>
      </c>
      <c r="E1130">
        <f t="shared" si="65"/>
        <v>1036</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15669665.999999998</v>
      </c>
      <c r="D1134" s="29" t="str">
        <f t="shared" ref="D1134:D1180" si="66">D1110</f>
        <v>Medical Doctors</v>
      </c>
      <c r="E1134">
        <f t="shared" ref="E1134:E1157" si="67">AV3</f>
        <v>5914</v>
      </c>
    </row>
    <row r="1135" spans="2:5" x14ac:dyDescent="0.35">
      <c r="D1135" s="30" t="str">
        <f t="shared" si="66"/>
        <v>Nursing Personnel</v>
      </c>
      <c r="E1135">
        <f t="shared" si="67"/>
        <v>44998</v>
      </c>
    </row>
    <row r="1136" spans="2:5" x14ac:dyDescent="0.35">
      <c r="D1136" s="30" t="str">
        <f t="shared" si="66"/>
        <v>Midwifery personnel</v>
      </c>
      <c r="E1136">
        <f t="shared" si="67"/>
        <v>18586</v>
      </c>
    </row>
    <row r="1137" spans="4:5" x14ac:dyDescent="0.35">
      <c r="D1137" s="30" t="str">
        <f t="shared" si="66"/>
        <v>Pharmacists</v>
      </c>
      <c r="E1137">
        <f t="shared" si="67"/>
        <v>351</v>
      </c>
    </row>
    <row r="1138" spans="4:5" x14ac:dyDescent="0.35">
      <c r="D1138" s="30" t="str">
        <f t="shared" si="66"/>
        <v>Dentists</v>
      </c>
      <c r="E1138">
        <f t="shared" si="67"/>
        <v>38</v>
      </c>
    </row>
    <row r="1139" spans="4:5" x14ac:dyDescent="0.35">
      <c r="D1139" s="30" t="str">
        <f t="shared" si="66"/>
        <v xml:space="preserve">Community Health Workers </v>
      </c>
      <c r="E1139">
        <f t="shared" si="67"/>
        <v>0</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91</v>
      </c>
    </row>
    <row r="1142" spans="4:5" x14ac:dyDescent="0.35">
      <c r="D1142" s="30" t="str">
        <f t="shared" si="66"/>
        <v>Personal care workers in health service</v>
      </c>
      <c r="E1142">
        <f t="shared" si="67"/>
        <v>0</v>
      </c>
    </row>
    <row r="1143" spans="4:5" x14ac:dyDescent="0.35">
      <c r="D1143" s="30" t="str">
        <f t="shared" si="66"/>
        <v xml:space="preserve">Managerial staff </v>
      </c>
      <c r="E1143">
        <f t="shared" si="67"/>
        <v>0</v>
      </c>
    </row>
    <row r="1144" spans="4:5" x14ac:dyDescent="0.35">
      <c r="D1144" s="30" t="str">
        <f t="shared" si="66"/>
        <v xml:space="preserve">Medical and dental Prosthetic Technicians </v>
      </c>
      <c r="E1144">
        <f t="shared" si="67"/>
        <v>0</v>
      </c>
    </row>
    <row r="1145" spans="4:5" x14ac:dyDescent="0.35">
      <c r="D1145" s="30" t="str">
        <f t="shared" si="66"/>
        <v xml:space="preserve">Medical and Pathology Laboratory scientists </v>
      </c>
      <c r="E1145">
        <f t="shared" si="67"/>
        <v>0</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0</v>
      </c>
    </row>
    <row r="1148" spans="4:5" x14ac:dyDescent="0.35">
      <c r="D1148" s="30" t="str">
        <f t="shared" si="66"/>
        <v xml:space="preserve">Medical Records and Health Information Technicians </v>
      </c>
      <c r="E1148">
        <f t="shared" si="67"/>
        <v>0</v>
      </c>
    </row>
    <row r="1149" spans="4:5" x14ac:dyDescent="0.35">
      <c r="D1149" s="30" t="str">
        <f t="shared" si="66"/>
        <v xml:space="preserve">Optometrists and Ophthalmic Opticians </v>
      </c>
      <c r="E1149">
        <f t="shared" si="67"/>
        <v>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0</v>
      </c>
    </row>
    <row r="1153" spans="2:5" x14ac:dyDescent="0.35">
      <c r="D1153" s="30" t="str">
        <f t="shared" si="66"/>
        <v xml:space="preserve">Paramedical Practitioners </v>
      </c>
      <c r="E1153">
        <f t="shared" si="67"/>
        <v>0</v>
      </c>
    </row>
    <row r="1154" spans="2:5" x14ac:dyDescent="0.35">
      <c r="D1154" s="30" t="str">
        <f t="shared" si="66"/>
        <v>Physiotherapists and physiotherapy assistants</v>
      </c>
      <c r="E1154">
        <f t="shared" si="67"/>
        <v>0</v>
      </c>
    </row>
    <row r="1155" spans="2:5" x14ac:dyDescent="0.35">
      <c r="D1155" s="30" t="str">
        <f t="shared" si="66"/>
        <v>Social workers</v>
      </c>
      <c r="E1155">
        <f t="shared" si="67"/>
        <v>0</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1133815125</v>
      </c>
      <c r="D1158" s="29" t="str">
        <f t="shared" si="66"/>
        <v>Medical Doctors</v>
      </c>
      <c r="E1158">
        <f t="shared" ref="E1158:E1181" si="68">AW3</f>
        <v>128959</v>
      </c>
    </row>
    <row r="1159" spans="2:5" x14ac:dyDescent="0.35">
      <c r="D1159" s="30" t="str">
        <f t="shared" si="66"/>
        <v>Nursing Personnel</v>
      </c>
      <c r="E1159">
        <f t="shared" si="68"/>
        <v>891491</v>
      </c>
    </row>
    <row r="1160" spans="2:5" x14ac:dyDescent="0.35">
      <c r="D1160" s="30" t="str">
        <f t="shared" si="66"/>
        <v>Midwifery personnel</v>
      </c>
      <c r="E1160">
        <f t="shared" si="68"/>
        <v>213974</v>
      </c>
    </row>
    <row r="1161" spans="2:5" x14ac:dyDescent="0.35">
      <c r="D1161" s="30" t="str">
        <f t="shared" si="66"/>
        <v>Pharmacists</v>
      </c>
      <c r="E1161">
        <f t="shared" si="68"/>
        <v>33866</v>
      </c>
    </row>
    <row r="1162" spans="2:5" x14ac:dyDescent="0.35">
      <c r="D1162" s="30" t="str">
        <f t="shared" si="66"/>
        <v>Dentists</v>
      </c>
      <c r="E1162">
        <f t="shared" si="68"/>
        <v>37248</v>
      </c>
    </row>
    <row r="1163" spans="2:5" x14ac:dyDescent="0.35">
      <c r="D1163" s="30" t="str">
        <f t="shared" si="66"/>
        <v xml:space="preserve">Community Health Workers </v>
      </c>
      <c r="E1163">
        <f t="shared" si="68"/>
        <v>377902</v>
      </c>
    </row>
    <row r="1164" spans="2:5" x14ac:dyDescent="0.35">
      <c r="D1164" s="30" t="str">
        <f t="shared" si="66"/>
        <v>Dieticians and nutritionists</v>
      </c>
      <c r="E1164">
        <f t="shared" si="68"/>
        <v>2882</v>
      </c>
    </row>
    <row r="1165" spans="2:5" x14ac:dyDescent="0.35">
      <c r="D1165" s="30" t="str">
        <f t="shared" si="66"/>
        <v>Environmental and occupational health &amp; hygiene workers</v>
      </c>
      <c r="E1165">
        <f t="shared" si="68"/>
        <v>11604</v>
      </c>
    </row>
    <row r="1166" spans="2:5" x14ac:dyDescent="0.35">
      <c r="D1166" s="30" t="str">
        <f t="shared" si="66"/>
        <v>Personal care workers in health service</v>
      </c>
      <c r="E1166">
        <f t="shared" si="68"/>
        <v>13772</v>
      </c>
    </row>
    <row r="1167" spans="2:5" x14ac:dyDescent="0.35">
      <c r="D1167" s="30" t="str">
        <f t="shared" si="66"/>
        <v xml:space="preserve">Managerial staff </v>
      </c>
      <c r="E1167">
        <f t="shared" si="68"/>
        <v>7113</v>
      </c>
    </row>
    <row r="1168" spans="2:5" x14ac:dyDescent="0.35">
      <c r="D1168" s="30" t="str">
        <f t="shared" si="66"/>
        <v xml:space="preserve">Medical and dental Prosthetic Technicians </v>
      </c>
      <c r="E1168">
        <f t="shared" si="68"/>
        <v>658</v>
      </c>
    </row>
    <row r="1169" spans="4:5" x14ac:dyDescent="0.35">
      <c r="D1169" s="30" t="str">
        <f t="shared" si="66"/>
        <v xml:space="preserve">Medical and Pathology Laboratory scientists </v>
      </c>
      <c r="E1169">
        <f t="shared" si="68"/>
        <v>14298</v>
      </c>
    </row>
    <row r="1170" spans="4:5" x14ac:dyDescent="0.35">
      <c r="D1170" s="30" t="str">
        <f t="shared" si="66"/>
        <v xml:space="preserve">Medical Assistants </v>
      </c>
      <c r="E1170">
        <f t="shared" si="68"/>
        <v>4408</v>
      </c>
    </row>
    <row r="1171" spans="4:5" x14ac:dyDescent="0.35">
      <c r="D1171" s="30" t="str">
        <f t="shared" si="66"/>
        <v xml:space="preserve">Medical Imaging and Therapeutic Equipment Technicians </v>
      </c>
      <c r="E1171">
        <f t="shared" si="68"/>
        <v>2593</v>
      </c>
    </row>
    <row r="1172" spans="4:5" x14ac:dyDescent="0.35">
      <c r="D1172" s="30" t="str">
        <f t="shared" si="66"/>
        <v xml:space="preserve">Medical Records and Health Information Technicians </v>
      </c>
      <c r="E1172">
        <f t="shared" si="68"/>
        <v>1073</v>
      </c>
    </row>
    <row r="1173" spans="4:5" x14ac:dyDescent="0.35">
      <c r="D1173" s="30" t="str">
        <f t="shared" si="66"/>
        <v xml:space="preserve">Optometrists and Ophthalmic Opticians </v>
      </c>
      <c r="E1173">
        <f t="shared" si="68"/>
        <v>1282</v>
      </c>
    </row>
    <row r="1174" spans="4:5" x14ac:dyDescent="0.35">
      <c r="D1174" s="30" t="str">
        <f t="shared" si="66"/>
        <v xml:space="preserve">Other non-medical professional staff </v>
      </c>
      <c r="E1174">
        <f t="shared" si="68"/>
        <v>14220</v>
      </c>
    </row>
    <row r="1175" spans="4:5" x14ac:dyDescent="0.35">
      <c r="D1175" s="30" t="str">
        <f t="shared" si="66"/>
        <v xml:space="preserve">Other non-medical support staff </v>
      </c>
      <c r="E1175">
        <f t="shared" si="68"/>
        <v>26573</v>
      </c>
    </row>
    <row r="1176" spans="4:5" x14ac:dyDescent="0.35">
      <c r="D1176" s="30" t="str">
        <f t="shared" si="66"/>
        <v xml:space="preserve">Medical and Pathology Laboratory Technicians </v>
      </c>
      <c r="E1176">
        <f t="shared" si="68"/>
        <v>8777</v>
      </c>
    </row>
    <row r="1177" spans="4:5" x14ac:dyDescent="0.35">
      <c r="D1177" s="30" t="str">
        <f t="shared" si="66"/>
        <v xml:space="preserve">Paramedical Practitioners </v>
      </c>
      <c r="E1177">
        <f t="shared" si="68"/>
        <v>15226</v>
      </c>
    </row>
    <row r="1178" spans="4:5" x14ac:dyDescent="0.35">
      <c r="D1178" s="30" t="str">
        <f t="shared" si="66"/>
        <v>Physiotherapists and physiotherapy assistants</v>
      </c>
      <c r="E1178">
        <f t="shared" si="68"/>
        <v>2606</v>
      </c>
    </row>
    <row r="1179" spans="4:5" x14ac:dyDescent="0.35">
      <c r="D1179" s="30" t="str">
        <f t="shared" si="66"/>
        <v>Social workers</v>
      </c>
      <c r="E1179">
        <f t="shared" si="68"/>
        <v>1389</v>
      </c>
    </row>
    <row r="1180" spans="4:5" x14ac:dyDescent="0.35">
      <c r="D1180" s="30" t="str">
        <f t="shared" si="66"/>
        <v xml:space="preserve">Audiologists and Speech Therapists </v>
      </c>
      <c r="E1180">
        <f t="shared" si="68"/>
        <v>104</v>
      </c>
    </row>
    <row r="1181" spans="4:5" x14ac:dyDescent="0.35">
      <c r="D1181" s="30" t="str">
        <f t="shared" ref="D1181" si="69">D1157</f>
        <v>Traditional and complementary medicine practitioners</v>
      </c>
      <c r="E1181">
        <f t="shared" si="68"/>
        <v>119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00F99-D7A4-4F4A-8E45-10D7821B06A7}">
  <dimension ref="A1:AW1181"/>
  <sheetViews>
    <sheetView topLeftCell="AE1" workbookViewId="0">
      <selection activeCell="A2" sqref="A2:AW2"/>
    </sheetView>
  </sheetViews>
  <sheetFormatPr defaultColWidth="8.81640625" defaultRowHeight="14.5" x14ac:dyDescent="0.35"/>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34503773.49999997</v>
      </c>
      <c r="C2">
        <v>12551212.999999998</v>
      </c>
      <c r="D2">
        <v>12996895</v>
      </c>
      <c r="E2">
        <v>22100683.499999989</v>
      </c>
      <c r="F2">
        <v>2588422.9999999981</v>
      </c>
      <c r="G2">
        <v>5457154.4999999991</v>
      </c>
      <c r="H2">
        <v>27478249.000000004</v>
      </c>
      <c r="I2">
        <v>27198627.999999985</v>
      </c>
      <c r="J2">
        <v>95894118.499999985</v>
      </c>
      <c r="K2">
        <v>5835806.0000000009</v>
      </c>
      <c r="L2">
        <v>821625.49999999988</v>
      </c>
      <c r="M2">
        <v>587925</v>
      </c>
      <c r="N2">
        <v>44177968.500000007</v>
      </c>
      <c r="O2">
        <v>3620312.0000000023</v>
      </c>
      <c r="P2">
        <v>120283026.00000006</v>
      </c>
      <c r="Q2">
        <v>2341178.9999999986</v>
      </c>
      <c r="R2">
        <v>32833031.499999996</v>
      </c>
      <c r="S2">
        <v>13531906.000000004</v>
      </c>
      <c r="T2">
        <v>2639915.5000000005</v>
      </c>
      <c r="U2">
        <v>2060720.9999999991</v>
      </c>
      <c r="V2">
        <v>1634465.5000000002</v>
      </c>
      <c r="W2">
        <v>53005614.000000022</v>
      </c>
      <c r="X2">
        <v>5193415.5000000019</v>
      </c>
      <c r="Y2">
        <v>2281454.5000000014</v>
      </c>
      <c r="Z2">
        <v>28915652.500000004</v>
      </c>
      <c r="AA2">
        <v>21904982.999999996</v>
      </c>
      <c r="AB2">
        <v>32077072.000000011</v>
      </c>
      <c r="AC2">
        <v>4614974</v>
      </c>
      <c r="AD2">
        <v>1298914.4999999995</v>
      </c>
      <c r="AE2">
        <v>19889742.000000011</v>
      </c>
      <c r="AF2">
        <v>2530150.5000000014</v>
      </c>
      <c r="AG2">
        <v>25252721.999999989</v>
      </c>
      <c r="AH2">
        <v>213401322.49999997</v>
      </c>
      <c r="AI2">
        <v>13461887.499999998</v>
      </c>
      <c r="AJ2">
        <v>16876719.999999996</v>
      </c>
      <c r="AK2">
        <v>8420641.0000000037</v>
      </c>
      <c r="AL2">
        <v>10748272.499999998</v>
      </c>
      <c r="AM2">
        <v>223107.49999999991</v>
      </c>
      <c r="AN2">
        <v>1192271.0000000002</v>
      </c>
      <c r="AO2">
        <v>106470.49999999996</v>
      </c>
      <c r="AP2">
        <v>17179739.999999996</v>
      </c>
      <c r="AQ2">
        <v>8644828.9999999981</v>
      </c>
      <c r="AR2">
        <v>63588333.999999993</v>
      </c>
      <c r="AS2">
        <v>45853778.000000022</v>
      </c>
      <c r="AT2">
        <v>59392255</v>
      </c>
      <c r="AU2">
        <v>19473124.999999996</v>
      </c>
      <c r="AV2">
        <v>15993524.000000002</v>
      </c>
      <c r="AW2">
        <v>1162657991.5</v>
      </c>
    </row>
    <row r="3" spans="1:49" x14ac:dyDescent="0.35">
      <c r="A3" t="s">
        <v>135</v>
      </c>
      <c r="B3">
        <v>0</v>
      </c>
      <c r="C3">
        <v>1816</v>
      </c>
      <c r="D3">
        <v>5861</v>
      </c>
      <c r="E3">
        <v>4684</v>
      </c>
      <c r="F3">
        <v>2028</v>
      </c>
      <c r="G3">
        <v>561</v>
      </c>
      <c r="H3">
        <v>9902</v>
      </c>
      <c r="I3">
        <v>7653</v>
      </c>
      <c r="J3">
        <v>33978</v>
      </c>
      <c r="K3">
        <v>0</v>
      </c>
      <c r="L3">
        <v>0</v>
      </c>
      <c r="M3">
        <v>0</v>
      </c>
      <c r="N3">
        <v>0</v>
      </c>
      <c r="O3">
        <v>636</v>
      </c>
      <c r="P3">
        <v>25424</v>
      </c>
      <c r="Q3">
        <v>0</v>
      </c>
      <c r="R3">
        <v>8338</v>
      </c>
      <c r="S3">
        <v>0</v>
      </c>
      <c r="T3">
        <v>651</v>
      </c>
      <c r="U3">
        <v>916</v>
      </c>
      <c r="V3">
        <v>0</v>
      </c>
      <c r="W3">
        <v>12377</v>
      </c>
      <c r="X3">
        <v>1861</v>
      </c>
      <c r="Y3">
        <v>0</v>
      </c>
      <c r="Z3">
        <v>0</v>
      </c>
      <c r="AA3">
        <v>0</v>
      </c>
      <c r="AB3">
        <v>6016</v>
      </c>
      <c r="AC3">
        <v>2070</v>
      </c>
      <c r="AD3">
        <v>0</v>
      </c>
      <c r="AE3">
        <v>0</v>
      </c>
      <c r="AF3">
        <v>2549</v>
      </c>
      <c r="AG3">
        <v>0</v>
      </c>
      <c r="AH3">
        <v>168695</v>
      </c>
      <c r="AI3">
        <v>0</v>
      </c>
      <c r="AJ3">
        <v>4634</v>
      </c>
      <c r="AK3">
        <v>0</v>
      </c>
      <c r="AL3">
        <v>0</v>
      </c>
      <c r="AM3">
        <v>0</v>
      </c>
      <c r="AN3">
        <v>0</v>
      </c>
      <c r="AO3">
        <v>0</v>
      </c>
      <c r="AP3">
        <v>2260</v>
      </c>
      <c r="AQ3">
        <v>1369</v>
      </c>
      <c r="AR3">
        <v>0</v>
      </c>
      <c r="AS3">
        <v>0</v>
      </c>
      <c r="AT3">
        <v>99093</v>
      </c>
      <c r="AU3">
        <v>11546</v>
      </c>
      <c r="AV3">
        <v>0</v>
      </c>
      <c r="AW3">
        <v>414918</v>
      </c>
    </row>
    <row r="4" spans="1:49" x14ac:dyDescent="0.35">
      <c r="A4" t="s">
        <v>139</v>
      </c>
      <c r="B4">
        <v>0</v>
      </c>
      <c r="C4">
        <v>18744</v>
      </c>
      <c r="D4">
        <v>10968</v>
      </c>
      <c r="E4">
        <v>24378</v>
      </c>
      <c r="F4">
        <v>15772</v>
      </c>
      <c r="G4">
        <v>1010</v>
      </c>
      <c r="H4">
        <v>25774</v>
      </c>
      <c r="I4">
        <v>9254</v>
      </c>
      <c r="J4">
        <v>203504</v>
      </c>
      <c r="K4">
        <v>0</v>
      </c>
      <c r="L4">
        <v>0</v>
      </c>
      <c r="M4">
        <v>0</v>
      </c>
      <c r="N4">
        <v>0</v>
      </c>
      <c r="O4">
        <v>9362</v>
      </c>
      <c r="P4">
        <v>139648</v>
      </c>
      <c r="Q4">
        <v>0</v>
      </c>
      <c r="R4">
        <v>186288</v>
      </c>
      <c r="S4">
        <v>0</v>
      </c>
      <c r="T4">
        <v>2808</v>
      </c>
      <c r="U4">
        <v>3912</v>
      </c>
      <c r="V4">
        <v>0</v>
      </c>
      <c r="W4">
        <v>69176</v>
      </c>
      <c r="X4">
        <v>3522</v>
      </c>
      <c r="Y4">
        <v>0</v>
      </c>
      <c r="Z4">
        <v>0</v>
      </c>
      <c r="AA4">
        <v>0</v>
      </c>
      <c r="AB4">
        <v>21856</v>
      </c>
      <c r="AC4">
        <v>12312</v>
      </c>
      <c r="AD4">
        <v>0</v>
      </c>
      <c r="AE4">
        <v>0</v>
      </c>
      <c r="AF4">
        <v>14332</v>
      </c>
      <c r="AG4">
        <v>0</v>
      </c>
      <c r="AH4">
        <v>535392</v>
      </c>
      <c r="AI4">
        <v>0</v>
      </c>
      <c r="AJ4">
        <v>12954</v>
      </c>
      <c r="AK4">
        <v>0</v>
      </c>
      <c r="AL4">
        <v>0</v>
      </c>
      <c r="AM4">
        <v>0</v>
      </c>
      <c r="AN4">
        <v>0</v>
      </c>
      <c r="AO4">
        <v>0</v>
      </c>
      <c r="AP4">
        <v>5354</v>
      </c>
      <c r="AQ4">
        <v>3892</v>
      </c>
      <c r="AR4">
        <v>0</v>
      </c>
      <c r="AS4">
        <v>0</v>
      </c>
      <c r="AT4">
        <v>0</v>
      </c>
      <c r="AU4">
        <v>65084</v>
      </c>
      <c r="AV4">
        <v>0</v>
      </c>
      <c r="AW4">
        <v>1395296</v>
      </c>
    </row>
    <row r="5" spans="1:49" x14ac:dyDescent="0.35">
      <c r="A5" t="s">
        <v>138</v>
      </c>
      <c r="B5">
        <v>0</v>
      </c>
      <c r="C5">
        <v>286</v>
      </c>
      <c r="D5">
        <v>4172</v>
      </c>
      <c r="E5">
        <v>16104</v>
      </c>
      <c r="F5">
        <v>0</v>
      </c>
      <c r="G5">
        <v>1074</v>
      </c>
      <c r="H5">
        <v>14148</v>
      </c>
      <c r="I5">
        <v>1408</v>
      </c>
      <c r="J5">
        <v>4186</v>
      </c>
      <c r="K5">
        <v>0</v>
      </c>
      <c r="L5">
        <v>0</v>
      </c>
      <c r="M5">
        <v>0</v>
      </c>
      <c r="N5">
        <v>0</v>
      </c>
      <c r="O5">
        <v>134</v>
      </c>
      <c r="P5">
        <v>40710</v>
      </c>
      <c r="Q5">
        <v>0</v>
      </c>
      <c r="R5">
        <v>38282</v>
      </c>
      <c r="S5">
        <v>0</v>
      </c>
      <c r="T5">
        <v>758</v>
      </c>
      <c r="U5">
        <v>426</v>
      </c>
      <c r="V5">
        <v>0</v>
      </c>
      <c r="W5">
        <v>0</v>
      </c>
      <c r="X5">
        <v>1590</v>
      </c>
      <c r="Y5">
        <v>0</v>
      </c>
      <c r="Z5">
        <v>0</v>
      </c>
      <c r="AA5">
        <v>0</v>
      </c>
      <c r="AB5">
        <v>14556</v>
      </c>
      <c r="AC5">
        <v>2504</v>
      </c>
      <c r="AD5">
        <v>0</v>
      </c>
      <c r="AE5">
        <v>0</v>
      </c>
      <c r="AF5">
        <v>12</v>
      </c>
      <c r="AG5">
        <v>0</v>
      </c>
      <c r="AH5">
        <v>263844</v>
      </c>
      <c r="AI5">
        <v>0</v>
      </c>
      <c r="AJ5">
        <v>5478</v>
      </c>
      <c r="AK5">
        <v>0</v>
      </c>
      <c r="AL5">
        <v>0</v>
      </c>
      <c r="AM5">
        <v>0</v>
      </c>
      <c r="AN5">
        <v>0</v>
      </c>
      <c r="AO5">
        <v>0</v>
      </c>
      <c r="AP5">
        <v>1442</v>
      </c>
      <c r="AQ5">
        <v>2964</v>
      </c>
      <c r="AR5">
        <v>0</v>
      </c>
      <c r="AS5">
        <v>0</v>
      </c>
      <c r="AT5">
        <v>0</v>
      </c>
      <c r="AU5">
        <v>7492</v>
      </c>
      <c r="AV5">
        <v>0</v>
      </c>
      <c r="AW5">
        <v>421570</v>
      </c>
    </row>
    <row r="6" spans="1:49" x14ac:dyDescent="0.35">
      <c r="A6" t="s">
        <v>82</v>
      </c>
      <c r="B6">
        <v>0</v>
      </c>
      <c r="C6">
        <v>0</v>
      </c>
      <c r="D6">
        <v>505</v>
      </c>
      <c r="E6">
        <v>232</v>
      </c>
      <c r="F6">
        <v>0</v>
      </c>
      <c r="G6">
        <v>0</v>
      </c>
      <c r="H6">
        <v>233</v>
      </c>
      <c r="I6">
        <v>281</v>
      </c>
      <c r="J6">
        <v>2490</v>
      </c>
      <c r="K6">
        <v>0</v>
      </c>
      <c r="L6">
        <v>4</v>
      </c>
      <c r="M6">
        <v>254</v>
      </c>
      <c r="N6">
        <v>613</v>
      </c>
      <c r="O6">
        <v>0</v>
      </c>
      <c r="P6">
        <v>0</v>
      </c>
      <c r="Q6">
        <v>0</v>
      </c>
      <c r="R6">
        <v>0</v>
      </c>
      <c r="S6">
        <v>0</v>
      </c>
      <c r="T6">
        <v>1859</v>
      </c>
      <c r="U6">
        <v>0</v>
      </c>
      <c r="V6">
        <v>2192</v>
      </c>
      <c r="W6">
        <v>0</v>
      </c>
      <c r="X6">
        <v>0</v>
      </c>
      <c r="Y6">
        <v>0</v>
      </c>
      <c r="Z6">
        <v>0</v>
      </c>
      <c r="AA6">
        <v>82</v>
      </c>
      <c r="AB6">
        <v>0</v>
      </c>
      <c r="AC6">
        <v>0</v>
      </c>
      <c r="AD6">
        <v>0</v>
      </c>
      <c r="AE6">
        <v>0</v>
      </c>
      <c r="AF6">
        <v>0</v>
      </c>
      <c r="AG6">
        <v>0</v>
      </c>
      <c r="AH6">
        <v>419</v>
      </c>
      <c r="AI6">
        <v>114</v>
      </c>
      <c r="AJ6">
        <v>0</v>
      </c>
      <c r="AK6">
        <v>4740</v>
      </c>
      <c r="AL6">
        <v>0</v>
      </c>
      <c r="AM6">
        <v>1057</v>
      </c>
      <c r="AN6">
        <v>0</v>
      </c>
      <c r="AO6">
        <v>0</v>
      </c>
      <c r="AP6">
        <v>10</v>
      </c>
      <c r="AQ6">
        <v>0</v>
      </c>
      <c r="AR6">
        <v>16</v>
      </c>
      <c r="AS6">
        <v>17</v>
      </c>
      <c r="AT6">
        <v>494</v>
      </c>
      <c r="AU6">
        <v>0</v>
      </c>
      <c r="AV6">
        <v>0</v>
      </c>
      <c r="AW6">
        <v>15612</v>
      </c>
    </row>
    <row r="7" spans="1:49" x14ac:dyDescent="0.35">
      <c r="A7" t="s">
        <v>60</v>
      </c>
      <c r="B7">
        <v>0</v>
      </c>
      <c r="C7">
        <v>0</v>
      </c>
      <c r="D7">
        <v>195</v>
      </c>
      <c r="E7">
        <v>80</v>
      </c>
      <c r="F7">
        <v>0</v>
      </c>
      <c r="G7">
        <v>0</v>
      </c>
      <c r="H7">
        <v>219</v>
      </c>
      <c r="I7">
        <v>74</v>
      </c>
      <c r="J7">
        <v>2881</v>
      </c>
      <c r="K7">
        <v>0</v>
      </c>
      <c r="L7">
        <v>14</v>
      </c>
      <c r="M7">
        <v>25</v>
      </c>
      <c r="N7">
        <v>6</v>
      </c>
      <c r="O7">
        <v>0</v>
      </c>
      <c r="P7">
        <v>0</v>
      </c>
      <c r="Q7">
        <v>0</v>
      </c>
      <c r="R7">
        <v>0</v>
      </c>
      <c r="S7">
        <v>0</v>
      </c>
      <c r="T7">
        <v>513</v>
      </c>
      <c r="U7">
        <v>0</v>
      </c>
      <c r="V7">
        <v>294</v>
      </c>
      <c r="W7">
        <v>0</v>
      </c>
      <c r="X7">
        <v>0</v>
      </c>
      <c r="Y7">
        <v>0</v>
      </c>
      <c r="Z7">
        <v>91</v>
      </c>
      <c r="AA7">
        <v>53</v>
      </c>
      <c r="AB7">
        <v>0</v>
      </c>
      <c r="AC7">
        <v>0</v>
      </c>
      <c r="AD7">
        <v>0</v>
      </c>
      <c r="AE7">
        <v>0</v>
      </c>
      <c r="AF7">
        <v>0</v>
      </c>
      <c r="AG7">
        <v>0</v>
      </c>
      <c r="AH7">
        <v>30</v>
      </c>
      <c r="AI7">
        <v>127</v>
      </c>
      <c r="AJ7">
        <v>0</v>
      </c>
      <c r="AK7">
        <v>610</v>
      </c>
      <c r="AL7">
        <v>0</v>
      </c>
      <c r="AM7">
        <v>256</v>
      </c>
      <c r="AN7">
        <v>0</v>
      </c>
      <c r="AO7">
        <v>0</v>
      </c>
      <c r="AP7">
        <v>0</v>
      </c>
      <c r="AQ7">
        <v>0</v>
      </c>
      <c r="AR7">
        <v>18</v>
      </c>
      <c r="AS7">
        <v>111</v>
      </c>
      <c r="AT7">
        <v>366</v>
      </c>
      <c r="AU7">
        <v>0</v>
      </c>
      <c r="AV7">
        <v>0</v>
      </c>
      <c r="AW7">
        <v>5963</v>
      </c>
    </row>
    <row r="8" spans="1:49" x14ac:dyDescent="0.35">
      <c r="A8" t="s">
        <v>127</v>
      </c>
      <c r="D8">
        <v>21</v>
      </c>
      <c r="E8">
        <v>2947</v>
      </c>
      <c r="G8">
        <v>1595</v>
      </c>
      <c r="O8">
        <v>2626</v>
      </c>
      <c r="P8">
        <v>42630</v>
      </c>
      <c r="R8">
        <v>0</v>
      </c>
      <c r="T8">
        <v>0</v>
      </c>
      <c r="U8">
        <v>0</v>
      </c>
      <c r="W8">
        <v>86490</v>
      </c>
      <c r="Z8">
        <v>41616</v>
      </c>
      <c r="AB8">
        <v>7329</v>
      </c>
      <c r="AH8">
        <v>7912</v>
      </c>
      <c r="AJ8">
        <v>16443</v>
      </c>
      <c r="AO8">
        <v>0</v>
      </c>
      <c r="AP8">
        <v>8077</v>
      </c>
      <c r="AQ8">
        <v>7500</v>
      </c>
      <c r="AW8">
        <v>225186</v>
      </c>
    </row>
    <row r="9" spans="1:49" x14ac:dyDescent="0.35">
      <c r="A9" t="s">
        <v>61</v>
      </c>
      <c r="B9">
        <v>0</v>
      </c>
      <c r="C9">
        <v>0</v>
      </c>
      <c r="D9">
        <v>21</v>
      </c>
      <c r="E9">
        <v>15</v>
      </c>
      <c r="F9">
        <v>0</v>
      </c>
      <c r="G9">
        <v>0</v>
      </c>
      <c r="H9">
        <v>7</v>
      </c>
      <c r="I9">
        <v>0</v>
      </c>
      <c r="J9">
        <v>91</v>
      </c>
      <c r="K9">
        <v>0</v>
      </c>
      <c r="L9">
        <v>0</v>
      </c>
      <c r="M9">
        <v>6</v>
      </c>
      <c r="N9">
        <v>0</v>
      </c>
      <c r="O9">
        <v>0</v>
      </c>
      <c r="P9">
        <v>0</v>
      </c>
      <c r="Q9">
        <v>0</v>
      </c>
      <c r="R9">
        <v>0</v>
      </c>
      <c r="S9">
        <v>0</v>
      </c>
      <c r="T9">
        <v>1</v>
      </c>
      <c r="U9">
        <v>0</v>
      </c>
      <c r="V9">
        <v>620</v>
      </c>
      <c r="W9">
        <v>0</v>
      </c>
      <c r="X9">
        <v>0</v>
      </c>
      <c r="Y9">
        <v>0</v>
      </c>
      <c r="Z9">
        <v>0</v>
      </c>
      <c r="AA9">
        <v>0</v>
      </c>
      <c r="AB9">
        <v>0</v>
      </c>
      <c r="AC9">
        <v>0</v>
      </c>
      <c r="AD9">
        <v>0</v>
      </c>
      <c r="AE9">
        <v>0</v>
      </c>
      <c r="AF9">
        <v>0</v>
      </c>
      <c r="AG9">
        <v>0</v>
      </c>
      <c r="AH9">
        <v>77</v>
      </c>
      <c r="AI9">
        <v>207</v>
      </c>
      <c r="AJ9">
        <v>0</v>
      </c>
      <c r="AK9">
        <v>120</v>
      </c>
      <c r="AL9">
        <v>0</v>
      </c>
      <c r="AM9">
        <v>44</v>
      </c>
      <c r="AN9">
        <v>0</v>
      </c>
      <c r="AO9">
        <v>0</v>
      </c>
      <c r="AP9">
        <v>0</v>
      </c>
      <c r="AQ9">
        <v>0</v>
      </c>
      <c r="AR9">
        <v>0</v>
      </c>
      <c r="AS9">
        <v>0</v>
      </c>
      <c r="AT9">
        <v>0</v>
      </c>
      <c r="AU9">
        <v>0</v>
      </c>
      <c r="AV9">
        <v>0</v>
      </c>
      <c r="AW9">
        <v>1209</v>
      </c>
    </row>
    <row r="10" spans="1:49" x14ac:dyDescent="0.35">
      <c r="A10" t="s">
        <v>62</v>
      </c>
      <c r="B10">
        <v>0</v>
      </c>
      <c r="C10">
        <v>0</v>
      </c>
      <c r="D10">
        <v>1570</v>
      </c>
      <c r="E10">
        <v>31</v>
      </c>
      <c r="F10">
        <v>0</v>
      </c>
      <c r="G10">
        <v>0</v>
      </c>
      <c r="H10">
        <v>835</v>
      </c>
      <c r="I10">
        <v>0</v>
      </c>
      <c r="J10">
        <v>2684</v>
      </c>
      <c r="K10">
        <v>0</v>
      </c>
      <c r="L10">
        <v>0</v>
      </c>
      <c r="M10">
        <v>353</v>
      </c>
      <c r="N10">
        <v>0</v>
      </c>
      <c r="O10">
        <v>0</v>
      </c>
      <c r="P10">
        <v>0</v>
      </c>
      <c r="Q10">
        <v>0</v>
      </c>
      <c r="R10">
        <v>0</v>
      </c>
      <c r="S10">
        <v>0</v>
      </c>
      <c r="T10">
        <v>2742</v>
      </c>
      <c r="U10">
        <v>0</v>
      </c>
      <c r="V10">
        <v>0</v>
      </c>
      <c r="W10">
        <v>0</v>
      </c>
      <c r="X10">
        <v>0</v>
      </c>
      <c r="Y10">
        <v>0</v>
      </c>
      <c r="Z10">
        <v>0</v>
      </c>
      <c r="AA10">
        <v>0</v>
      </c>
      <c r="AB10">
        <v>0</v>
      </c>
      <c r="AC10">
        <v>0</v>
      </c>
      <c r="AD10">
        <v>0</v>
      </c>
      <c r="AE10">
        <v>0</v>
      </c>
      <c r="AF10">
        <v>0</v>
      </c>
      <c r="AG10">
        <v>0</v>
      </c>
      <c r="AH10">
        <v>0</v>
      </c>
      <c r="AI10">
        <v>226</v>
      </c>
      <c r="AJ10">
        <v>0</v>
      </c>
      <c r="AK10">
        <v>790</v>
      </c>
      <c r="AL10">
        <v>0</v>
      </c>
      <c r="AM10">
        <v>245</v>
      </c>
      <c r="AN10">
        <v>0</v>
      </c>
      <c r="AO10">
        <v>0</v>
      </c>
      <c r="AP10">
        <v>0</v>
      </c>
      <c r="AQ10">
        <v>0</v>
      </c>
      <c r="AR10">
        <v>0</v>
      </c>
      <c r="AS10">
        <v>0</v>
      </c>
      <c r="AT10">
        <v>0</v>
      </c>
      <c r="AU10">
        <v>0</v>
      </c>
      <c r="AV10">
        <v>0</v>
      </c>
      <c r="AW10">
        <v>9476</v>
      </c>
    </row>
    <row r="11" spans="1:49" x14ac:dyDescent="0.35">
      <c r="A11" t="s">
        <v>203</v>
      </c>
      <c r="B11">
        <v>0</v>
      </c>
      <c r="C11">
        <v>0</v>
      </c>
      <c r="D11">
        <v>6809</v>
      </c>
      <c r="E11">
        <v>0</v>
      </c>
      <c r="F11">
        <v>1519</v>
      </c>
      <c r="G11">
        <v>308</v>
      </c>
      <c r="H11">
        <v>4221</v>
      </c>
      <c r="I11">
        <v>0</v>
      </c>
      <c r="J11">
        <v>0</v>
      </c>
      <c r="K11">
        <v>0</v>
      </c>
      <c r="L11">
        <v>0</v>
      </c>
      <c r="M11">
        <v>0</v>
      </c>
      <c r="N11">
        <v>0</v>
      </c>
      <c r="O11">
        <v>0</v>
      </c>
      <c r="P11">
        <v>0</v>
      </c>
      <c r="Q11">
        <v>0</v>
      </c>
      <c r="R11">
        <v>3453</v>
      </c>
      <c r="S11">
        <v>0</v>
      </c>
      <c r="T11">
        <v>0</v>
      </c>
      <c r="U11">
        <v>0</v>
      </c>
      <c r="V11">
        <v>0</v>
      </c>
      <c r="W11">
        <v>0</v>
      </c>
      <c r="X11">
        <v>0</v>
      </c>
      <c r="Y11">
        <v>0</v>
      </c>
      <c r="Z11">
        <v>0</v>
      </c>
      <c r="AA11">
        <v>0</v>
      </c>
      <c r="AB11">
        <v>0</v>
      </c>
      <c r="AC11">
        <v>0</v>
      </c>
      <c r="AD11">
        <v>0</v>
      </c>
      <c r="AE11">
        <v>0</v>
      </c>
      <c r="AF11">
        <v>0</v>
      </c>
      <c r="AG11">
        <v>0</v>
      </c>
      <c r="AH11">
        <v>0</v>
      </c>
      <c r="AI11">
        <v>0</v>
      </c>
      <c r="AJ11">
        <v>949</v>
      </c>
      <c r="AK11">
        <v>0</v>
      </c>
      <c r="AL11">
        <v>0</v>
      </c>
      <c r="AM11">
        <v>0</v>
      </c>
      <c r="AN11">
        <v>0</v>
      </c>
      <c r="AO11">
        <v>0</v>
      </c>
      <c r="AP11">
        <v>0</v>
      </c>
      <c r="AQ11">
        <v>2974</v>
      </c>
      <c r="AR11">
        <v>0</v>
      </c>
      <c r="AS11">
        <v>0</v>
      </c>
      <c r="AT11">
        <v>0</v>
      </c>
      <c r="AU11">
        <v>0</v>
      </c>
      <c r="AV11">
        <v>0</v>
      </c>
      <c r="AW11">
        <v>20233</v>
      </c>
    </row>
    <row r="12" spans="1:49" x14ac:dyDescent="0.35">
      <c r="A12" t="s">
        <v>204</v>
      </c>
      <c r="F12">
        <v>147</v>
      </c>
      <c r="I12">
        <v>4216</v>
      </c>
      <c r="J12">
        <v>3724</v>
      </c>
      <c r="R12">
        <v>0</v>
      </c>
      <c r="T12">
        <v>522</v>
      </c>
      <c r="U12">
        <v>0</v>
      </c>
      <c r="AB12">
        <v>3318</v>
      </c>
      <c r="AJ12">
        <v>188</v>
      </c>
      <c r="AO12">
        <v>0</v>
      </c>
      <c r="AP12">
        <v>371</v>
      </c>
      <c r="AW12">
        <v>12486</v>
      </c>
    </row>
    <row r="13" spans="1:49" x14ac:dyDescent="0.35">
      <c r="A13" t="s">
        <v>205</v>
      </c>
      <c r="B13">
        <v>0</v>
      </c>
      <c r="C13">
        <v>0</v>
      </c>
      <c r="D13">
        <v>0</v>
      </c>
      <c r="E13">
        <v>0</v>
      </c>
      <c r="F13">
        <v>35</v>
      </c>
      <c r="G13">
        <v>0</v>
      </c>
      <c r="H13">
        <v>0</v>
      </c>
      <c r="I13">
        <v>3</v>
      </c>
      <c r="J13">
        <v>0</v>
      </c>
      <c r="K13">
        <v>0</v>
      </c>
      <c r="L13">
        <v>0</v>
      </c>
      <c r="M13">
        <v>0</v>
      </c>
      <c r="N13">
        <v>0</v>
      </c>
      <c r="O13">
        <v>0</v>
      </c>
      <c r="P13">
        <v>17</v>
      </c>
      <c r="Q13">
        <v>0</v>
      </c>
      <c r="R13">
        <v>0</v>
      </c>
      <c r="S13">
        <v>0</v>
      </c>
      <c r="T13">
        <v>6</v>
      </c>
      <c r="U13">
        <v>3</v>
      </c>
      <c r="V13">
        <v>0</v>
      </c>
      <c r="W13">
        <v>261</v>
      </c>
      <c r="X13">
        <v>0</v>
      </c>
      <c r="Y13">
        <v>0</v>
      </c>
      <c r="Z13">
        <v>0</v>
      </c>
      <c r="AA13">
        <v>0</v>
      </c>
      <c r="AB13">
        <v>0</v>
      </c>
      <c r="AC13">
        <v>0</v>
      </c>
      <c r="AD13">
        <v>0</v>
      </c>
      <c r="AE13">
        <v>0</v>
      </c>
      <c r="AF13">
        <v>0</v>
      </c>
      <c r="AG13">
        <v>0</v>
      </c>
      <c r="AH13">
        <v>48589</v>
      </c>
      <c r="AI13">
        <v>0</v>
      </c>
      <c r="AJ13">
        <v>98</v>
      </c>
      <c r="AK13">
        <v>0</v>
      </c>
      <c r="AL13">
        <v>0</v>
      </c>
      <c r="AM13">
        <v>0</v>
      </c>
      <c r="AN13">
        <v>0</v>
      </c>
      <c r="AO13">
        <v>4</v>
      </c>
      <c r="AP13">
        <v>4</v>
      </c>
      <c r="AQ13">
        <v>19</v>
      </c>
      <c r="AR13">
        <v>0</v>
      </c>
      <c r="AS13">
        <v>0</v>
      </c>
      <c r="AT13">
        <v>0</v>
      </c>
      <c r="AU13">
        <v>0</v>
      </c>
      <c r="AV13">
        <v>0</v>
      </c>
      <c r="AW13">
        <v>49039</v>
      </c>
    </row>
    <row r="14" spans="1:49" x14ac:dyDescent="0.35">
      <c r="A14" t="s">
        <v>133</v>
      </c>
      <c r="E14">
        <v>899</v>
      </c>
      <c r="F14">
        <v>161</v>
      </c>
      <c r="I14">
        <v>2247</v>
      </c>
      <c r="O14">
        <v>298</v>
      </c>
      <c r="R14">
        <v>1759</v>
      </c>
      <c r="T14">
        <v>18</v>
      </c>
      <c r="U14">
        <v>200</v>
      </c>
      <c r="W14">
        <v>5019</v>
      </c>
      <c r="AB14">
        <v>1912</v>
      </c>
      <c r="AH14">
        <v>37181</v>
      </c>
      <c r="AJ14">
        <v>434</v>
      </c>
      <c r="AO14">
        <v>0</v>
      </c>
      <c r="AP14">
        <v>848</v>
      </c>
      <c r="AQ14">
        <v>446</v>
      </c>
      <c r="AT14">
        <v>6166</v>
      </c>
      <c r="AU14">
        <v>19</v>
      </c>
      <c r="AW14">
        <v>57607</v>
      </c>
    </row>
    <row r="15" spans="1:49" x14ac:dyDescent="0.35">
      <c r="A15" t="s">
        <v>206</v>
      </c>
      <c r="E15">
        <v>8</v>
      </c>
      <c r="F15">
        <v>66</v>
      </c>
      <c r="R15">
        <v>2352</v>
      </c>
      <c r="T15">
        <v>0</v>
      </c>
      <c r="U15">
        <v>0</v>
      </c>
      <c r="AF15">
        <v>3</v>
      </c>
      <c r="AO15">
        <v>0</v>
      </c>
      <c r="AP15">
        <v>104</v>
      </c>
      <c r="AW15">
        <v>2533</v>
      </c>
    </row>
    <row r="16" spans="1:49" x14ac:dyDescent="0.35">
      <c r="A16" t="s">
        <v>136</v>
      </c>
      <c r="C16">
        <v>81</v>
      </c>
      <c r="D16">
        <v>352</v>
      </c>
      <c r="E16">
        <v>209</v>
      </c>
      <c r="F16">
        <v>123</v>
      </c>
      <c r="I16">
        <v>267</v>
      </c>
      <c r="J16">
        <v>439</v>
      </c>
      <c r="O16">
        <v>137</v>
      </c>
      <c r="R16">
        <v>1673</v>
      </c>
      <c r="T16">
        <v>172</v>
      </c>
      <c r="U16">
        <v>2</v>
      </c>
      <c r="W16">
        <v>717</v>
      </c>
      <c r="AB16">
        <v>264</v>
      </c>
      <c r="AJ16">
        <v>123</v>
      </c>
      <c r="AO16">
        <v>0</v>
      </c>
      <c r="AQ16">
        <v>95</v>
      </c>
      <c r="AT16">
        <v>9281</v>
      </c>
      <c r="AU16">
        <v>1375</v>
      </c>
      <c r="AW16">
        <v>15310</v>
      </c>
    </row>
    <row r="17" spans="1:49" x14ac:dyDescent="0.35">
      <c r="A17" t="s">
        <v>207</v>
      </c>
      <c r="F17">
        <v>62</v>
      </c>
      <c r="R17">
        <v>3238</v>
      </c>
      <c r="T17">
        <v>0</v>
      </c>
      <c r="U17">
        <v>0</v>
      </c>
      <c r="AJ17">
        <v>2</v>
      </c>
      <c r="AO17">
        <v>0</v>
      </c>
      <c r="AW17">
        <v>3302</v>
      </c>
    </row>
    <row r="18" spans="1:49" x14ac:dyDescent="0.35">
      <c r="A18" t="s">
        <v>141</v>
      </c>
      <c r="E18">
        <v>3</v>
      </c>
      <c r="F18">
        <v>6</v>
      </c>
      <c r="O18">
        <v>99</v>
      </c>
      <c r="P18">
        <v>567</v>
      </c>
      <c r="R18">
        <v>235</v>
      </c>
      <c r="T18">
        <v>18</v>
      </c>
      <c r="U18">
        <v>10</v>
      </c>
      <c r="AB18">
        <v>151</v>
      </c>
      <c r="AF18">
        <v>99</v>
      </c>
      <c r="AH18">
        <v>5485</v>
      </c>
      <c r="AJ18">
        <v>107</v>
      </c>
      <c r="AO18">
        <v>22</v>
      </c>
      <c r="AQ18">
        <v>1</v>
      </c>
      <c r="AT18">
        <v>4012</v>
      </c>
      <c r="AW18">
        <v>10815</v>
      </c>
    </row>
    <row r="19" spans="1:49" x14ac:dyDescent="0.35">
      <c r="A19" t="s">
        <v>208</v>
      </c>
      <c r="C19">
        <v>7805</v>
      </c>
      <c r="F19">
        <v>1355</v>
      </c>
      <c r="J19">
        <v>1785</v>
      </c>
      <c r="R19">
        <v>0</v>
      </c>
      <c r="T19">
        <v>0</v>
      </c>
      <c r="U19">
        <v>0</v>
      </c>
      <c r="W19">
        <v>3295</v>
      </c>
      <c r="AB19">
        <v>3530</v>
      </c>
      <c r="AJ19">
        <v>16</v>
      </c>
      <c r="AO19">
        <v>0</v>
      </c>
      <c r="AQ19">
        <v>2139</v>
      </c>
      <c r="AW19">
        <v>19925</v>
      </c>
    </row>
    <row r="20" spans="1:49" x14ac:dyDescent="0.35">
      <c r="A20" t="s">
        <v>209</v>
      </c>
      <c r="F20">
        <v>3629</v>
      </c>
      <c r="R20">
        <v>0</v>
      </c>
      <c r="T20">
        <v>2193</v>
      </c>
      <c r="U20">
        <v>86</v>
      </c>
      <c r="W20">
        <v>11129</v>
      </c>
      <c r="AB20">
        <v>10717</v>
      </c>
      <c r="AJ20">
        <v>344</v>
      </c>
      <c r="AO20">
        <v>0</v>
      </c>
      <c r="AW20">
        <v>28098</v>
      </c>
    </row>
    <row r="21" spans="1:49" x14ac:dyDescent="0.35">
      <c r="A21" t="s">
        <v>134</v>
      </c>
      <c r="C21">
        <v>729</v>
      </c>
      <c r="D21">
        <v>1744</v>
      </c>
      <c r="F21">
        <v>337</v>
      </c>
      <c r="G21">
        <v>47</v>
      </c>
      <c r="I21">
        <v>249</v>
      </c>
      <c r="O21">
        <v>267</v>
      </c>
      <c r="R21">
        <v>6276</v>
      </c>
      <c r="T21">
        <v>0</v>
      </c>
      <c r="U21">
        <v>1</v>
      </c>
      <c r="AB21">
        <v>301</v>
      </c>
      <c r="AF21">
        <v>99</v>
      </c>
      <c r="AH21">
        <v>34554</v>
      </c>
      <c r="AJ21">
        <v>14</v>
      </c>
      <c r="AO21">
        <v>0</v>
      </c>
      <c r="AP21">
        <v>848</v>
      </c>
      <c r="AQ21">
        <v>149</v>
      </c>
      <c r="AT21">
        <v>6353</v>
      </c>
      <c r="AU21">
        <v>3182</v>
      </c>
      <c r="AW21">
        <v>55150</v>
      </c>
    </row>
    <row r="22" spans="1:49" x14ac:dyDescent="0.35">
      <c r="A22" t="s">
        <v>142</v>
      </c>
      <c r="D22">
        <v>382</v>
      </c>
      <c r="F22">
        <v>11</v>
      </c>
      <c r="H22">
        <v>3480</v>
      </c>
      <c r="R22">
        <v>0</v>
      </c>
      <c r="T22">
        <v>0</v>
      </c>
      <c r="U22">
        <v>0</v>
      </c>
      <c r="W22">
        <v>8087</v>
      </c>
      <c r="AF22">
        <v>63</v>
      </c>
      <c r="AJ22">
        <v>917</v>
      </c>
      <c r="AO22">
        <v>0</v>
      </c>
      <c r="AQ22">
        <v>813</v>
      </c>
      <c r="AT22">
        <v>3870</v>
      </c>
      <c r="AU22">
        <v>8281</v>
      </c>
      <c r="AW22">
        <v>25904</v>
      </c>
    </row>
    <row r="23" spans="1:49" x14ac:dyDescent="0.35">
      <c r="A23" t="s">
        <v>83</v>
      </c>
      <c r="B23">
        <v>0</v>
      </c>
      <c r="C23">
        <v>0</v>
      </c>
      <c r="D23">
        <v>187</v>
      </c>
      <c r="E23">
        <v>47</v>
      </c>
      <c r="F23">
        <v>42</v>
      </c>
      <c r="G23">
        <v>155</v>
      </c>
      <c r="H23">
        <v>97</v>
      </c>
      <c r="I23">
        <v>21</v>
      </c>
      <c r="J23">
        <v>680</v>
      </c>
      <c r="K23">
        <v>0</v>
      </c>
      <c r="L23">
        <v>0</v>
      </c>
      <c r="M23">
        <v>0</v>
      </c>
      <c r="N23">
        <v>0</v>
      </c>
      <c r="O23">
        <v>131</v>
      </c>
      <c r="P23">
        <v>0</v>
      </c>
      <c r="Q23">
        <v>0</v>
      </c>
      <c r="R23">
        <v>308</v>
      </c>
      <c r="S23">
        <v>0</v>
      </c>
      <c r="T23">
        <v>24</v>
      </c>
      <c r="U23">
        <v>6</v>
      </c>
      <c r="V23">
        <v>0</v>
      </c>
      <c r="W23">
        <v>718</v>
      </c>
      <c r="X23">
        <v>0</v>
      </c>
      <c r="Y23">
        <v>0</v>
      </c>
      <c r="Z23">
        <v>0</v>
      </c>
      <c r="AA23">
        <v>0</v>
      </c>
      <c r="AB23">
        <v>535</v>
      </c>
      <c r="AC23">
        <v>0</v>
      </c>
      <c r="AD23">
        <v>0</v>
      </c>
      <c r="AE23">
        <v>0</v>
      </c>
      <c r="AF23">
        <v>140</v>
      </c>
      <c r="AG23">
        <v>0</v>
      </c>
      <c r="AH23">
        <v>0</v>
      </c>
      <c r="AI23">
        <v>0</v>
      </c>
      <c r="AJ23">
        <v>0</v>
      </c>
      <c r="AK23">
        <v>0</v>
      </c>
      <c r="AL23">
        <v>0</v>
      </c>
      <c r="AM23">
        <v>0</v>
      </c>
      <c r="AN23">
        <v>0</v>
      </c>
      <c r="AO23">
        <v>60</v>
      </c>
      <c r="AP23">
        <v>0</v>
      </c>
      <c r="AQ23">
        <v>161</v>
      </c>
      <c r="AR23">
        <v>0</v>
      </c>
      <c r="AS23">
        <v>0</v>
      </c>
      <c r="AT23">
        <v>8509</v>
      </c>
      <c r="AU23">
        <v>1324</v>
      </c>
      <c r="AV23">
        <v>0</v>
      </c>
      <c r="AW23">
        <v>13145</v>
      </c>
    </row>
    <row r="24" spans="1:49" x14ac:dyDescent="0.35">
      <c r="A24" t="s">
        <v>84</v>
      </c>
      <c r="B24">
        <v>0</v>
      </c>
      <c r="C24">
        <v>0</v>
      </c>
      <c r="D24">
        <v>0</v>
      </c>
      <c r="E24">
        <v>0</v>
      </c>
      <c r="F24">
        <v>0</v>
      </c>
      <c r="G24">
        <v>0</v>
      </c>
      <c r="H24">
        <v>0</v>
      </c>
      <c r="I24">
        <v>584</v>
      </c>
      <c r="J24">
        <v>0</v>
      </c>
      <c r="K24">
        <v>0</v>
      </c>
      <c r="L24">
        <v>0</v>
      </c>
      <c r="M24">
        <v>0</v>
      </c>
      <c r="N24">
        <v>0</v>
      </c>
      <c r="O24">
        <v>6</v>
      </c>
      <c r="P24">
        <v>0</v>
      </c>
      <c r="Q24">
        <v>0</v>
      </c>
      <c r="R24">
        <v>0</v>
      </c>
      <c r="S24">
        <v>0</v>
      </c>
      <c r="T24">
        <v>0</v>
      </c>
      <c r="U24">
        <v>16</v>
      </c>
      <c r="V24">
        <v>0</v>
      </c>
      <c r="W24">
        <v>749</v>
      </c>
      <c r="X24">
        <v>0</v>
      </c>
      <c r="Y24">
        <v>0</v>
      </c>
      <c r="Z24">
        <v>0</v>
      </c>
      <c r="AA24">
        <v>0</v>
      </c>
      <c r="AB24">
        <v>552</v>
      </c>
      <c r="AC24">
        <v>0</v>
      </c>
      <c r="AD24">
        <v>0</v>
      </c>
      <c r="AE24">
        <v>0</v>
      </c>
      <c r="AF24">
        <v>0</v>
      </c>
      <c r="AG24">
        <v>0</v>
      </c>
      <c r="AH24">
        <v>0</v>
      </c>
      <c r="AI24">
        <v>0</v>
      </c>
      <c r="AJ24">
        <v>173</v>
      </c>
      <c r="AK24">
        <v>0</v>
      </c>
      <c r="AL24">
        <v>0</v>
      </c>
      <c r="AM24">
        <v>0</v>
      </c>
      <c r="AN24">
        <v>0</v>
      </c>
      <c r="AO24">
        <v>2</v>
      </c>
      <c r="AP24">
        <v>0</v>
      </c>
      <c r="AQ24">
        <v>56</v>
      </c>
      <c r="AR24">
        <v>0</v>
      </c>
      <c r="AS24">
        <v>0</v>
      </c>
      <c r="AT24">
        <v>0</v>
      </c>
      <c r="AU24">
        <v>0</v>
      </c>
      <c r="AV24">
        <v>0</v>
      </c>
      <c r="AW24">
        <v>2138</v>
      </c>
    </row>
    <row r="25" spans="1:49" x14ac:dyDescent="0.35">
      <c r="A25" t="s">
        <v>126</v>
      </c>
      <c r="C25">
        <v>5</v>
      </c>
      <c r="F25">
        <v>8</v>
      </c>
      <c r="R25">
        <v>9</v>
      </c>
      <c r="T25">
        <v>0</v>
      </c>
      <c r="U25">
        <v>0</v>
      </c>
      <c r="AO25">
        <v>5</v>
      </c>
      <c r="AQ25">
        <v>33</v>
      </c>
      <c r="AT25">
        <v>4037</v>
      </c>
      <c r="AW25">
        <v>4097</v>
      </c>
    </row>
    <row r="26" spans="1:49" x14ac:dyDescent="0.35">
      <c r="A26" t="s">
        <v>87</v>
      </c>
      <c r="B26">
        <v>0</v>
      </c>
      <c r="C26">
        <v>0</v>
      </c>
      <c r="D26">
        <v>0</v>
      </c>
      <c r="E26">
        <v>50</v>
      </c>
      <c r="F26">
        <v>0</v>
      </c>
      <c r="G26">
        <v>0</v>
      </c>
      <c r="H26">
        <v>0</v>
      </c>
      <c r="I26">
        <v>0</v>
      </c>
      <c r="J26">
        <v>0</v>
      </c>
      <c r="K26">
        <v>0</v>
      </c>
      <c r="L26">
        <v>0</v>
      </c>
      <c r="M26">
        <v>0</v>
      </c>
      <c r="N26">
        <v>0</v>
      </c>
      <c r="O26">
        <v>0</v>
      </c>
      <c r="P26">
        <v>0</v>
      </c>
      <c r="Q26">
        <v>0</v>
      </c>
      <c r="R26">
        <v>7</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2</v>
      </c>
      <c r="AP26">
        <v>0</v>
      </c>
      <c r="AQ26">
        <v>0</v>
      </c>
      <c r="AR26">
        <v>0</v>
      </c>
      <c r="AS26">
        <v>0</v>
      </c>
      <c r="AT26">
        <v>0</v>
      </c>
      <c r="AU26">
        <v>0</v>
      </c>
      <c r="AV26">
        <v>0</v>
      </c>
      <c r="AW26">
        <v>59</v>
      </c>
    </row>
    <row r="29" spans="1:49" x14ac:dyDescent="0.35">
      <c r="B29" t="s">
        <v>0</v>
      </c>
      <c r="C29" t="s">
        <v>210</v>
      </c>
      <c r="D29" t="s">
        <v>211</v>
      </c>
      <c r="E29">
        <v>2012</v>
      </c>
    </row>
    <row r="30" spans="1:49" x14ac:dyDescent="0.35">
      <c r="B30" t="str">
        <f>B1</f>
        <v>AGO</v>
      </c>
      <c r="C30">
        <f>B2</f>
        <v>34503773.49999997</v>
      </c>
      <c r="D30" t="str">
        <f t="shared" ref="D30:D52" si="0">A3</f>
        <v>Medical Doctors</v>
      </c>
      <c r="E30">
        <f t="shared" ref="E30:E52" si="1">B3</f>
        <v>0</v>
      </c>
    </row>
    <row r="31" spans="1:49" x14ac:dyDescent="0.35">
      <c r="D31" t="str">
        <f t="shared" si="0"/>
        <v>Nursing Personnel</v>
      </c>
      <c r="E31">
        <f t="shared" si="1"/>
        <v>0</v>
      </c>
    </row>
    <row r="32" spans="1:49" x14ac:dyDescent="0.35">
      <c r="D32" t="str">
        <f t="shared" si="0"/>
        <v>Midwifery personnel</v>
      </c>
      <c r="E32">
        <f t="shared" si="1"/>
        <v>0</v>
      </c>
    </row>
    <row r="33" spans="4:5" x14ac:dyDescent="0.35">
      <c r="D33" t="str">
        <f t="shared" si="0"/>
        <v>Pharmacists</v>
      </c>
      <c r="E33">
        <f t="shared" si="1"/>
        <v>0</v>
      </c>
    </row>
    <row r="34" spans="4:5" x14ac:dyDescent="0.35">
      <c r="D34" t="str">
        <f t="shared" si="0"/>
        <v>Dentists</v>
      </c>
      <c r="E34">
        <f t="shared" si="1"/>
        <v>0</v>
      </c>
    </row>
    <row r="35" spans="4:5" x14ac:dyDescent="0.35">
      <c r="D35" t="str">
        <f t="shared" si="0"/>
        <v xml:space="preserve">Community Health Workers </v>
      </c>
      <c r="E35">
        <f t="shared" si="1"/>
        <v>0</v>
      </c>
    </row>
    <row r="36" spans="4:5" x14ac:dyDescent="0.35">
      <c r="D36" t="str">
        <f t="shared" si="0"/>
        <v>Dieticians and nutritionists</v>
      </c>
      <c r="E36">
        <f t="shared" si="1"/>
        <v>0</v>
      </c>
    </row>
    <row r="37" spans="4:5" x14ac:dyDescent="0.35">
      <c r="D37" t="str">
        <f t="shared" si="0"/>
        <v>Environmental and occupational health &amp; hygiene workers</v>
      </c>
      <c r="E37">
        <f t="shared" si="1"/>
        <v>0</v>
      </c>
    </row>
    <row r="38" spans="4:5" x14ac:dyDescent="0.35">
      <c r="D38" t="str">
        <f t="shared" si="0"/>
        <v>Personal care workers in health service</v>
      </c>
      <c r="E38">
        <f t="shared" si="1"/>
        <v>0</v>
      </c>
    </row>
    <row r="39" spans="4:5" x14ac:dyDescent="0.35">
      <c r="D39" t="str">
        <f t="shared" si="0"/>
        <v xml:space="preserve">Managerial staff </v>
      </c>
      <c r="E39">
        <f t="shared" si="1"/>
        <v>0</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0</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0</v>
      </c>
    </row>
    <row r="44" spans="4:5" x14ac:dyDescent="0.35">
      <c r="D44" t="str">
        <f t="shared" si="0"/>
        <v xml:space="preserve">Medical Records and Health Information Technicians </v>
      </c>
      <c r="E44">
        <f t="shared" si="1"/>
        <v>0</v>
      </c>
    </row>
    <row r="45" spans="4:5" x14ac:dyDescent="0.35">
      <c r="D45" t="str">
        <f t="shared" si="0"/>
        <v xml:space="preserve">Optometrists and Ophthalmic Opticians </v>
      </c>
      <c r="E45">
        <f t="shared" si="1"/>
        <v>0</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0</v>
      </c>
    </row>
    <row r="48" spans="4:5" x14ac:dyDescent="0.35">
      <c r="D48" t="str">
        <f t="shared" si="0"/>
        <v xml:space="preserve">Medical and Pathology Laboratory Technicians </v>
      </c>
      <c r="E48">
        <f t="shared" si="1"/>
        <v>0</v>
      </c>
    </row>
    <row r="49" spans="2:5" x14ac:dyDescent="0.35">
      <c r="D49" t="str">
        <f t="shared" si="0"/>
        <v xml:space="preserve">Paramedical Practitioners </v>
      </c>
      <c r="E49">
        <f t="shared" si="1"/>
        <v>0</v>
      </c>
    </row>
    <row r="50" spans="2:5" x14ac:dyDescent="0.35">
      <c r="D50" t="str">
        <f t="shared" si="0"/>
        <v>Physiotherapists and physiotherapy assistants</v>
      </c>
      <c r="E50">
        <f t="shared" si="1"/>
        <v>0</v>
      </c>
    </row>
    <row r="51" spans="2:5" x14ac:dyDescent="0.35">
      <c r="D51" t="str">
        <f t="shared" si="0"/>
        <v>Social workers</v>
      </c>
      <c r="E51">
        <f t="shared" si="1"/>
        <v>0</v>
      </c>
    </row>
    <row r="52" spans="2:5" x14ac:dyDescent="0.35">
      <c r="D52" t="str">
        <f t="shared" si="0"/>
        <v xml:space="preserve">Audiologists and Speech Therapists </v>
      </c>
      <c r="E52">
        <f t="shared" si="1"/>
        <v>0</v>
      </c>
    </row>
    <row r="53" spans="2:5" x14ac:dyDescent="0.35">
      <c r="D53" t="str">
        <f t="shared" ref="D53:E53" si="2">A26</f>
        <v>Traditional and complementary medicine practitioners</v>
      </c>
      <c r="E53">
        <f t="shared" si="2"/>
        <v>0</v>
      </c>
    </row>
    <row r="54" spans="2:5" x14ac:dyDescent="0.35">
      <c r="B54" t="str">
        <f>C1</f>
        <v>BDI</v>
      </c>
      <c r="C54">
        <f>C2</f>
        <v>12551212.999999998</v>
      </c>
      <c r="D54" t="str">
        <f t="shared" ref="D54:D117" si="3">D30</f>
        <v>Medical Doctors</v>
      </c>
      <c r="E54">
        <f t="shared" ref="E54:E77" si="4">C3</f>
        <v>1816</v>
      </c>
    </row>
    <row r="55" spans="2:5" x14ac:dyDescent="0.35">
      <c r="D55" t="str">
        <f t="shared" si="3"/>
        <v>Nursing Personnel</v>
      </c>
      <c r="E55">
        <f t="shared" si="4"/>
        <v>18744</v>
      </c>
    </row>
    <row r="56" spans="2:5" x14ac:dyDescent="0.35">
      <c r="D56" t="str">
        <f t="shared" si="3"/>
        <v>Midwifery personnel</v>
      </c>
      <c r="E56">
        <f t="shared" si="4"/>
        <v>286</v>
      </c>
    </row>
    <row r="57" spans="2:5" x14ac:dyDescent="0.35">
      <c r="D57" t="str">
        <f t="shared" si="3"/>
        <v>Pharmacists</v>
      </c>
      <c r="E57">
        <f t="shared" si="4"/>
        <v>0</v>
      </c>
    </row>
    <row r="58" spans="2:5" x14ac:dyDescent="0.35">
      <c r="D58" t="str">
        <f t="shared" si="3"/>
        <v>Dentists</v>
      </c>
      <c r="E58">
        <f t="shared" si="4"/>
        <v>0</v>
      </c>
    </row>
    <row r="59" spans="2:5" x14ac:dyDescent="0.35">
      <c r="D59" t="str">
        <f t="shared" si="3"/>
        <v xml:space="preserve">Community Health Workers </v>
      </c>
      <c r="E59">
        <f t="shared" si="4"/>
        <v>0</v>
      </c>
    </row>
    <row r="60" spans="2:5" x14ac:dyDescent="0.35">
      <c r="D60" t="str">
        <f t="shared" si="3"/>
        <v>Dieticians and nutritionists</v>
      </c>
      <c r="E60">
        <f t="shared" si="4"/>
        <v>0</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81</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7805</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729</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5</v>
      </c>
    </row>
    <row r="77" spans="2:5" x14ac:dyDescent="0.35">
      <c r="D77" t="str">
        <f t="shared" si="3"/>
        <v>Traditional and complementary medicine practitioners</v>
      </c>
      <c r="E77">
        <f t="shared" si="4"/>
        <v>0</v>
      </c>
    </row>
    <row r="78" spans="2:5" x14ac:dyDescent="0.35">
      <c r="B78" t="str">
        <f>D1</f>
        <v>BEN</v>
      </c>
      <c r="C78">
        <f>D2</f>
        <v>12996895</v>
      </c>
      <c r="D78" t="str">
        <f t="shared" si="3"/>
        <v>Medical Doctors</v>
      </c>
      <c r="E78">
        <f t="shared" ref="E78:E101" si="5">D3</f>
        <v>5861</v>
      </c>
    </row>
    <row r="79" spans="2:5" x14ac:dyDescent="0.35">
      <c r="D79" t="str">
        <f t="shared" si="3"/>
        <v>Nursing Personnel</v>
      </c>
      <c r="E79">
        <f t="shared" si="5"/>
        <v>10968</v>
      </c>
    </row>
    <row r="80" spans="2:5" x14ac:dyDescent="0.35">
      <c r="D80" t="str">
        <f t="shared" si="3"/>
        <v>Midwifery personnel</v>
      </c>
      <c r="E80">
        <f t="shared" si="5"/>
        <v>4172</v>
      </c>
    </row>
    <row r="81" spans="4:5" x14ac:dyDescent="0.35">
      <c r="D81" t="str">
        <f t="shared" si="3"/>
        <v>Pharmacists</v>
      </c>
      <c r="E81">
        <f t="shared" si="5"/>
        <v>505</v>
      </c>
    </row>
    <row r="82" spans="4:5" x14ac:dyDescent="0.35">
      <c r="D82" t="str">
        <f t="shared" si="3"/>
        <v>Dentists</v>
      </c>
      <c r="E82">
        <f t="shared" si="5"/>
        <v>195</v>
      </c>
    </row>
    <row r="83" spans="4:5" x14ac:dyDescent="0.35">
      <c r="D83" t="str">
        <f t="shared" si="3"/>
        <v xml:space="preserve">Community Health Workers </v>
      </c>
      <c r="E83">
        <f t="shared" si="5"/>
        <v>21</v>
      </c>
    </row>
    <row r="84" spans="4:5" x14ac:dyDescent="0.35">
      <c r="D84" t="str">
        <f t="shared" si="3"/>
        <v>Dieticians and nutritionists</v>
      </c>
      <c r="E84">
        <f t="shared" si="5"/>
        <v>21</v>
      </c>
    </row>
    <row r="85" spans="4:5" x14ac:dyDescent="0.35">
      <c r="D85" t="str">
        <f t="shared" si="3"/>
        <v>Environmental and occupational health &amp; hygiene workers</v>
      </c>
      <c r="E85">
        <f t="shared" si="5"/>
        <v>1570</v>
      </c>
    </row>
    <row r="86" spans="4:5" x14ac:dyDescent="0.35">
      <c r="D86" t="str">
        <f t="shared" si="3"/>
        <v>Personal care workers in health service</v>
      </c>
      <c r="E86">
        <f t="shared" si="5"/>
        <v>6809</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352</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1744</v>
      </c>
    </row>
    <row r="97" spans="2:5" x14ac:dyDescent="0.35">
      <c r="D97" t="str">
        <f t="shared" si="3"/>
        <v xml:space="preserve">Paramedical Practitioners </v>
      </c>
      <c r="E97">
        <f t="shared" si="5"/>
        <v>382</v>
      </c>
    </row>
    <row r="98" spans="2:5" x14ac:dyDescent="0.35">
      <c r="D98" t="str">
        <f t="shared" si="3"/>
        <v>Physiotherapists and physiotherapy assistants</v>
      </c>
      <c r="E98">
        <f t="shared" si="5"/>
        <v>187</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22100683.499999989</v>
      </c>
      <c r="D102" s="29" t="str">
        <f t="shared" si="3"/>
        <v>Medical Doctors</v>
      </c>
      <c r="E102">
        <f t="shared" ref="E102:E125" si="6">E3</f>
        <v>4684</v>
      </c>
    </row>
    <row r="103" spans="2:5" x14ac:dyDescent="0.35">
      <c r="D103" s="29" t="str">
        <f t="shared" si="3"/>
        <v>Nursing Personnel</v>
      </c>
      <c r="E103">
        <f t="shared" si="6"/>
        <v>24378</v>
      </c>
    </row>
    <row r="104" spans="2:5" x14ac:dyDescent="0.35">
      <c r="D104" s="29" t="str">
        <f t="shared" si="3"/>
        <v>Midwifery personnel</v>
      </c>
      <c r="E104">
        <f t="shared" si="6"/>
        <v>16104</v>
      </c>
    </row>
    <row r="105" spans="2:5" x14ac:dyDescent="0.35">
      <c r="D105" s="29" t="str">
        <f t="shared" si="3"/>
        <v>Pharmacists</v>
      </c>
      <c r="E105">
        <f t="shared" si="6"/>
        <v>232</v>
      </c>
    </row>
    <row r="106" spans="2:5" x14ac:dyDescent="0.35">
      <c r="D106" s="29" t="str">
        <f t="shared" si="3"/>
        <v>Dentists</v>
      </c>
      <c r="E106">
        <f t="shared" si="6"/>
        <v>80</v>
      </c>
    </row>
    <row r="107" spans="2:5" x14ac:dyDescent="0.35">
      <c r="D107" s="29" t="str">
        <f t="shared" si="3"/>
        <v xml:space="preserve">Community Health Workers </v>
      </c>
      <c r="E107">
        <f t="shared" si="6"/>
        <v>2947</v>
      </c>
    </row>
    <row r="108" spans="2:5" x14ac:dyDescent="0.35">
      <c r="D108" s="29" t="str">
        <f t="shared" si="3"/>
        <v>Dieticians and nutritionists</v>
      </c>
      <c r="E108">
        <f t="shared" si="6"/>
        <v>15</v>
      </c>
    </row>
    <row r="109" spans="2:5" x14ac:dyDescent="0.35">
      <c r="D109" s="29" t="str">
        <f t="shared" si="3"/>
        <v>Environmental and occupational health &amp; hygiene workers</v>
      </c>
      <c r="E109">
        <f t="shared" si="6"/>
        <v>31</v>
      </c>
    </row>
    <row r="110" spans="2:5" x14ac:dyDescent="0.35">
      <c r="D110" s="29" t="str">
        <f t="shared" si="3"/>
        <v>Personal care workers in health service</v>
      </c>
      <c r="E110">
        <f t="shared" si="6"/>
        <v>0</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0</v>
      </c>
    </row>
    <row r="113" spans="2:5" x14ac:dyDescent="0.35">
      <c r="D113" s="29" t="str">
        <f t="shared" si="3"/>
        <v xml:space="preserve">Medical and Pathology Laboratory scientists </v>
      </c>
      <c r="E113">
        <f t="shared" si="6"/>
        <v>899</v>
      </c>
    </row>
    <row r="114" spans="2:5" x14ac:dyDescent="0.35">
      <c r="D114" s="29" t="str">
        <f t="shared" si="3"/>
        <v xml:space="preserve">Medical Assistants </v>
      </c>
      <c r="E114">
        <f t="shared" si="6"/>
        <v>8</v>
      </c>
    </row>
    <row r="115" spans="2:5" x14ac:dyDescent="0.35">
      <c r="D115" s="29" t="str">
        <f t="shared" si="3"/>
        <v xml:space="preserve">Medical Imaging and Therapeutic Equipment Technicians </v>
      </c>
      <c r="E115">
        <f t="shared" si="6"/>
        <v>209</v>
      </c>
    </row>
    <row r="116" spans="2:5" x14ac:dyDescent="0.35">
      <c r="D116" s="29" t="str">
        <f t="shared" si="3"/>
        <v xml:space="preserve">Medical Records and Health Information Technicians </v>
      </c>
      <c r="E116">
        <f t="shared" si="6"/>
        <v>0</v>
      </c>
    </row>
    <row r="117" spans="2:5" x14ac:dyDescent="0.35">
      <c r="D117" s="29" t="str">
        <f t="shared" si="3"/>
        <v xml:space="preserve">Optometrists and Ophthalmic Opticians </v>
      </c>
      <c r="E117">
        <f t="shared" si="6"/>
        <v>3</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0</v>
      </c>
    </row>
    <row r="122" spans="2:5" x14ac:dyDescent="0.35">
      <c r="D122" s="29" t="str">
        <f t="shared" si="7"/>
        <v>Physiotherapists and physiotherapy assistants</v>
      </c>
      <c r="E122">
        <f t="shared" si="6"/>
        <v>47</v>
      </c>
    </row>
    <row r="123" spans="2:5" x14ac:dyDescent="0.35">
      <c r="D123" s="29" t="str">
        <f t="shared" si="7"/>
        <v>Social workers</v>
      </c>
      <c r="E123">
        <f t="shared" si="6"/>
        <v>0</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50</v>
      </c>
    </row>
    <row r="126" spans="2:5" x14ac:dyDescent="0.35">
      <c r="B126" t="str">
        <f>F1</f>
        <v>BWA</v>
      </c>
      <c r="C126">
        <f>F2</f>
        <v>2588422.9999999981</v>
      </c>
      <c r="D126" s="29" t="str">
        <f t="shared" si="7"/>
        <v>Medical Doctors</v>
      </c>
      <c r="E126">
        <f t="shared" ref="E126:E149" si="8">F3</f>
        <v>2028</v>
      </c>
    </row>
    <row r="127" spans="2:5" x14ac:dyDescent="0.35">
      <c r="D127" s="29" t="str">
        <f t="shared" si="7"/>
        <v>Nursing Personnel</v>
      </c>
      <c r="E127">
        <f t="shared" si="8"/>
        <v>15772</v>
      </c>
    </row>
    <row r="128" spans="2:5" x14ac:dyDescent="0.35">
      <c r="D128" s="29" t="str">
        <f t="shared" si="7"/>
        <v>Midwifery personnel</v>
      </c>
      <c r="E128">
        <f t="shared" si="8"/>
        <v>0</v>
      </c>
    </row>
    <row r="129" spans="4:5" x14ac:dyDescent="0.35">
      <c r="D129" s="29" t="str">
        <f t="shared" si="7"/>
        <v>Pharmacists</v>
      </c>
      <c r="E129">
        <f t="shared" si="8"/>
        <v>0</v>
      </c>
    </row>
    <row r="130" spans="4:5" x14ac:dyDescent="0.35">
      <c r="D130" s="29" t="str">
        <f t="shared" si="7"/>
        <v>Dentists</v>
      </c>
      <c r="E130">
        <f t="shared" si="8"/>
        <v>0</v>
      </c>
    </row>
    <row r="131" spans="4:5" x14ac:dyDescent="0.35">
      <c r="D131" s="29" t="str">
        <f t="shared" si="7"/>
        <v xml:space="preserve">Community Health Workers </v>
      </c>
      <c r="E131">
        <f t="shared" si="8"/>
        <v>0</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0</v>
      </c>
    </row>
    <row r="134" spans="4:5" x14ac:dyDescent="0.35">
      <c r="D134" s="29" t="str">
        <f t="shared" si="7"/>
        <v>Personal care workers in health service</v>
      </c>
      <c r="E134">
        <f t="shared" si="8"/>
        <v>1519</v>
      </c>
    </row>
    <row r="135" spans="4:5" x14ac:dyDescent="0.35">
      <c r="D135" s="29" t="str">
        <f t="shared" si="7"/>
        <v xml:space="preserve">Managerial staff </v>
      </c>
      <c r="E135">
        <f t="shared" si="8"/>
        <v>147</v>
      </c>
    </row>
    <row r="136" spans="4:5" x14ac:dyDescent="0.35">
      <c r="D136" s="29" t="str">
        <f t="shared" si="7"/>
        <v xml:space="preserve">Medical and dental Prosthetic Technicians </v>
      </c>
      <c r="E136">
        <f t="shared" si="8"/>
        <v>35</v>
      </c>
    </row>
    <row r="137" spans="4:5" x14ac:dyDescent="0.35">
      <c r="D137" s="29" t="str">
        <f t="shared" si="7"/>
        <v xml:space="preserve">Medical and Pathology Laboratory scientists </v>
      </c>
      <c r="E137">
        <f t="shared" si="8"/>
        <v>161</v>
      </c>
    </row>
    <row r="138" spans="4:5" x14ac:dyDescent="0.35">
      <c r="D138" s="29" t="str">
        <f t="shared" si="7"/>
        <v xml:space="preserve">Medical Assistants </v>
      </c>
      <c r="E138">
        <f t="shared" si="8"/>
        <v>66</v>
      </c>
    </row>
    <row r="139" spans="4:5" x14ac:dyDescent="0.35">
      <c r="D139" s="29" t="str">
        <f t="shared" si="7"/>
        <v xml:space="preserve">Medical Imaging and Therapeutic Equipment Technicians </v>
      </c>
      <c r="E139">
        <f t="shared" si="8"/>
        <v>123</v>
      </c>
    </row>
    <row r="140" spans="4:5" x14ac:dyDescent="0.35">
      <c r="D140" s="29" t="str">
        <f t="shared" si="7"/>
        <v xml:space="preserve">Medical Records and Health Information Technicians </v>
      </c>
      <c r="E140">
        <f t="shared" si="8"/>
        <v>62</v>
      </c>
    </row>
    <row r="141" spans="4:5" x14ac:dyDescent="0.35">
      <c r="D141" s="29" t="str">
        <f t="shared" si="7"/>
        <v xml:space="preserve">Optometrists and Ophthalmic Opticians </v>
      </c>
      <c r="E141">
        <f t="shared" si="8"/>
        <v>6</v>
      </c>
    </row>
    <row r="142" spans="4:5" x14ac:dyDescent="0.35">
      <c r="D142" s="29" t="str">
        <f t="shared" si="7"/>
        <v xml:space="preserve">Other non-medical professional staff </v>
      </c>
      <c r="E142">
        <f t="shared" si="8"/>
        <v>1355</v>
      </c>
    </row>
    <row r="143" spans="4:5" x14ac:dyDescent="0.35">
      <c r="D143" s="29" t="str">
        <f t="shared" si="7"/>
        <v xml:space="preserve">Other non-medical support staff </v>
      </c>
      <c r="E143">
        <f t="shared" si="8"/>
        <v>3629</v>
      </c>
    </row>
    <row r="144" spans="4:5" x14ac:dyDescent="0.35">
      <c r="D144" s="29" t="str">
        <f t="shared" si="7"/>
        <v xml:space="preserve">Medical and Pathology Laboratory Technicians </v>
      </c>
      <c r="E144">
        <f t="shared" si="8"/>
        <v>337</v>
      </c>
    </row>
    <row r="145" spans="2:5" x14ac:dyDescent="0.35">
      <c r="D145" s="29" t="str">
        <f t="shared" si="7"/>
        <v xml:space="preserve">Paramedical Practitioners </v>
      </c>
      <c r="E145">
        <f t="shared" si="8"/>
        <v>11</v>
      </c>
    </row>
    <row r="146" spans="2:5" x14ac:dyDescent="0.35">
      <c r="D146" s="29" t="str">
        <f t="shared" si="7"/>
        <v>Physiotherapists and physiotherapy assistants</v>
      </c>
      <c r="E146">
        <f t="shared" si="8"/>
        <v>42</v>
      </c>
    </row>
    <row r="147" spans="2:5" x14ac:dyDescent="0.35">
      <c r="D147" s="29" t="str">
        <f t="shared" si="7"/>
        <v>Social workers</v>
      </c>
      <c r="E147">
        <f t="shared" si="8"/>
        <v>0</v>
      </c>
    </row>
    <row r="148" spans="2:5" x14ac:dyDescent="0.35">
      <c r="D148" s="29" t="str">
        <f t="shared" si="7"/>
        <v xml:space="preserve">Audiologists and Speech Therapists </v>
      </c>
      <c r="E148">
        <f t="shared" si="8"/>
        <v>8</v>
      </c>
    </row>
    <row r="149" spans="2:5" x14ac:dyDescent="0.35">
      <c r="D149" s="29" t="str">
        <f t="shared" si="7"/>
        <v>Traditional and complementary medicine practitioners</v>
      </c>
      <c r="E149">
        <f t="shared" si="8"/>
        <v>0</v>
      </c>
    </row>
    <row r="150" spans="2:5" x14ac:dyDescent="0.35">
      <c r="B150" t="str">
        <f>G1</f>
        <v>CAF</v>
      </c>
      <c r="C150">
        <f>G2</f>
        <v>5457154.4999999991</v>
      </c>
      <c r="D150" s="30" t="str">
        <f t="shared" si="7"/>
        <v>Medical Doctors</v>
      </c>
      <c r="E150">
        <f t="shared" ref="E150:E173" si="9">G3</f>
        <v>561</v>
      </c>
    </row>
    <row r="151" spans="2:5" x14ac:dyDescent="0.35">
      <c r="D151" s="30" t="str">
        <f t="shared" si="7"/>
        <v>Nursing Personnel</v>
      </c>
      <c r="E151">
        <f t="shared" si="9"/>
        <v>1010</v>
      </c>
    </row>
    <row r="152" spans="2:5" x14ac:dyDescent="0.35">
      <c r="D152" s="30" t="str">
        <f t="shared" si="7"/>
        <v>Midwifery personnel</v>
      </c>
      <c r="E152">
        <f t="shared" si="9"/>
        <v>1074</v>
      </c>
    </row>
    <row r="153" spans="2:5" x14ac:dyDescent="0.35">
      <c r="D153" s="30" t="str">
        <f t="shared" si="7"/>
        <v>Pharmacists</v>
      </c>
      <c r="E153">
        <f t="shared" si="9"/>
        <v>0</v>
      </c>
    </row>
    <row r="154" spans="2:5" x14ac:dyDescent="0.35">
      <c r="D154" s="30" t="str">
        <f t="shared" si="7"/>
        <v>Dentists</v>
      </c>
      <c r="E154">
        <f t="shared" si="9"/>
        <v>0</v>
      </c>
    </row>
    <row r="155" spans="2:5" x14ac:dyDescent="0.35">
      <c r="D155" s="30" t="str">
        <f t="shared" si="7"/>
        <v xml:space="preserve">Community Health Workers </v>
      </c>
      <c r="E155">
        <f t="shared" si="9"/>
        <v>1595</v>
      </c>
    </row>
    <row r="156" spans="2:5" x14ac:dyDescent="0.35">
      <c r="D156" s="30" t="str">
        <f t="shared" si="7"/>
        <v>Dieticians and nutritionists</v>
      </c>
      <c r="E156">
        <f t="shared" si="9"/>
        <v>0</v>
      </c>
    </row>
    <row r="157" spans="2:5" x14ac:dyDescent="0.35">
      <c r="D157" s="30" t="str">
        <f t="shared" si="7"/>
        <v>Environmental and occupational health &amp; hygiene workers</v>
      </c>
      <c r="E157">
        <f t="shared" si="9"/>
        <v>0</v>
      </c>
    </row>
    <row r="158" spans="2:5" x14ac:dyDescent="0.35">
      <c r="D158" s="30" t="str">
        <f t="shared" si="7"/>
        <v>Personal care workers in health service</v>
      </c>
      <c r="E158">
        <f t="shared" si="9"/>
        <v>308</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47</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155</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27478249.000000004</v>
      </c>
      <c r="D174" s="31" t="str">
        <f t="shared" si="7"/>
        <v>Medical Doctors</v>
      </c>
      <c r="E174">
        <f t="shared" ref="E174:E197" si="10">H3</f>
        <v>9902</v>
      </c>
    </row>
    <row r="175" spans="2:5" x14ac:dyDescent="0.35">
      <c r="D175" s="30" t="str">
        <f t="shared" si="7"/>
        <v>Nursing Personnel</v>
      </c>
      <c r="E175">
        <f t="shared" si="10"/>
        <v>25774</v>
      </c>
    </row>
    <row r="176" spans="2:5" x14ac:dyDescent="0.35">
      <c r="D176" s="30" t="str">
        <f t="shared" si="7"/>
        <v>Midwifery personnel</v>
      </c>
      <c r="E176">
        <f t="shared" si="10"/>
        <v>14148</v>
      </c>
    </row>
    <row r="177" spans="4:5" x14ac:dyDescent="0.35">
      <c r="D177" s="30" t="str">
        <f t="shared" si="7"/>
        <v>Pharmacists</v>
      </c>
      <c r="E177">
        <f t="shared" si="10"/>
        <v>233</v>
      </c>
    </row>
    <row r="178" spans="4:5" x14ac:dyDescent="0.35">
      <c r="D178" s="30" t="str">
        <f t="shared" si="7"/>
        <v>Dentists</v>
      </c>
      <c r="E178">
        <f t="shared" si="10"/>
        <v>219</v>
      </c>
    </row>
    <row r="179" spans="4:5" x14ac:dyDescent="0.35">
      <c r="D179" s="30" t="str">
        <f t="shared" si="7"/>
        <v xml:space="preserve">Community Health Workers </v>
      </c>
      <c r="E179">
        <f t="shared" si="10"/>
        <v>0</v>
      </c>
    </row>
    <row r="180" spans="4:5" x14ac:dyDescent="0.35">
      <c r="D180" s="30" t="str">
        <f t="shared" si="7"/>
        <v>Dieticians and nutritionists</v>
      </c>
      <c r="E180">
        <f t="shared" si="10"/>
        <v>7</v>
      </c>
    </row>
    <row r="181" spans="4:5" x14ac:dyDescent="0.35">
      <c r="D181" s="30" t="str">
        <f t="shared" si="7"/>
        <v>Environmental and occupational health &amp; hygiene workers</v>
      </c>
      <c r="E181">
        <f t="shared" si="10"/>
        <v>835</v>
      </c>
    </row>
    <row r="182" spans="4:5" x14ac:dyDescent="0.35">
      <c r="D182" s="30" t="str">
        <f t="shared" ref="D182:D245" si="11">D158</f>
        <v>Personal care workers in health service</v>
      </c>
      <c r="E182">
        <f t="shared" si="10"/>
        <v>4221</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3480</v>
      </c>
    </row>
    <row r="194" spans="2:5" x14ac:dyDescent="0.35">
      <c r="D194" s="30" t="str">
        <f t="shared" si="11"/>
        <v>Physiotherapists and physiotherapy assistants</v>
      </c>
      <c r="E194">
        <f t="shared" si="10"/>
        <v>97</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27198627.999999985</v>
      </c>
      <c r="D198" s="30" t="str">
        <f t="shared" si="11"/>
        <v>Medical Doctors</v>
      </c>
      <c r="E198">
        <f t="shared" ref="E198:E221" si="12">I3</f>
        <v>7653</v>
      </c>
    </row>
    <row r="199" spans="2:5" x14ac:dyDescent="0.35">
      <c r="D199" s="30" t="str">
        <f t="shared" si="11"/>
        <v>Nursing Personnel</v>
      </c>
      <c r="E199">
        <f t="shared" si="12"/>
        <v>9254</v>
      </c>
    </row>
    <row r="200" spans="2:5" x14ac:dyDescent="0.35">
      <c r="D200" s="30" t="str">
        <f t="shared" si="11"/>
        <v>Midwifery personnel</v>
      </c>
      <c r="E200">
        <f t="shared" si="12"/>
        <v>1408</v>
      </c>
    </row>
    <row r="201" spans="2:5" x14ac:dyDescent="0.35">
      <c r="D201" s="30" t="str">
        <f t="shared" si="11"/>
        <v>Pharmacists</v>
      </c>
      <c r="E201">
        <f t="shared" si="12"/>
        <v>281</v>
      </c>
    </row>
    <row r="202" spans="2:5" x14ac:dyDescent="0.35">
      <c r="D202" s="30" t="str">
        <f t="shared" si="11"/>
        <v>Dentists</v>
      </c>
      <c r="E202">
        <f t="shared" si="12"/>
        <v>74</v>
      </c>
    </row>
    <row r="203" spans="2:5" x14ac:dyDescent="0.35">
      <c r="D203" s="30" t="str">
        <f t="shared" si="11"/>
        <v xml:space="preserve">Community Health Workers </v>
      </c>
      <c r="E203">
        <f t="shared" si="12"/>
        <v>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0</v>
      </c>
    </row>
    <row r="207" spans="2:5" x14ac:dyDescent="0.35">
      <c r="D207" s="30" t="str">
        <f t="shared" si="11"/>
        <v xml:space="preserve">Managerial staff </v>
      </c>
      <c r="E207">
        <f t="shared" si="12"/>
        <v>4216</v>
      </c>
    </row>
    <row r="208" spans="2:5" x14ac:dyDescent="0.35">
      <c r="D208" s="30" t="str">
        <f t="shared" si="11"/>
        <v xml:space="preserve">Medical and dental Prosthetic Technicians </v>
      </c>
      <c r="E208">
        <f t="shared" si="12"/>
        <v>3</v>
      </c>
    </row>
    <row r="209" spans="2:5" x14ac:dyDescent="0.35">
      <c r="D209" s="30" t="str">
        <f t="shared" si="11"/>
        <v xml:space="preserve">Medical and Pathology Laboratory scientists </v>
      </c>
      <c r="E209">
        <f t="shared" si="12"/>
        <v>2247</v>
      </c>
    </row>
    <row r="210" spans="2:5" x14ac:dyDescent="0.35">
      <c r="D210" s="30" t="str">
        <f t="shared" si="11"/>
        <v xml:space="preserve">Medical Assistants </v>
      </c>
      <c r="E210">
        <f t="shared" si="12"/>
        <v>0</v>
      </c>
    </row>
    <row r="211" spans="2:5" x14ac:dyDescent="0.35">
      <c r="D211" s="30" t="str">
        <f t="shared" si="11"/>
        <v xml:space="preserve">Medical Imaging and Therapeutic Equipment Technicians </v>
      </c>
      <c r="E211">
        <f t="shared" si="12"/>
        <v>267</v>
      </c>
    </row>
    <row r="212" spans="2:5" x14ac:dyDescent="0.35">
      <c r="D212" s="30" t="str">
        <f t="shared" si="11"/>
        <v xml:space="preserve">Medical Records and Health Information Technicians </v>
      </c>
      <c r="E212">
        <f t="shared" si="12"/>
        <v>0</v>
      </c>
    </row>
    <row r="213" spans="2:5" x14ac:dyDescent="0.35">
      <c r="D213" s="30" t="str">
        <f t="shared" si="11"/>
        <v xml:space="preserve">Optometrists and Ophthalmic Opticians </v>
      </c>
      <c r="E213">
        <f t="shared" si="12"/>
        <v>0</v>
      </c>
    </row>
    <row r="214" spans="2:5" x14ac:dyDescent="0.35">
      <c r="D214" s="30" t="str">
        <f t="shared" si="11"/>
        <v xml:space="preserve">Other non-medical professional staff </v>
      </c>
      <c r="E214">
        <f t="shared" si="12"/>
        <v>0</v>
      </c>
    </row>
    <row r="215" spans="2:5" x14ac:dyDescent="0.35">
      <c r="D215" s="30" t="str">
        <f t="shared" si="11"/>
        <v xml:space="preserve">Other non-medical support staff </v>
      </c>
      <c r="E215">
        <f t="shared" si="12"/>
        <v>0</v>
      </c>
    </row>
    <row r="216" spans="2:5" x14ac:dyDescent="0.35">
      <c r="D216" s="30" t="str">
        <f t="shared" si="11"/>
        <v xml:space="preserve">Medical and Pathology Laboratory Technicians </v>
      </c>
      <c r="E216">
        <f t="shared" si="12"/>
        <v>249</v>
      </c>
    </row>
    <row r="217" spans="2:5" x14ac:dyDescent="0.35">
      <c r="D217" s="30" t="str">
        <f t="shared" si="11"/>
        <v xml:space="preserve">Paramedical Practitioners </v>
      </c>
      <c r="E217">
        <f t="shared" si="12"/>
        <v>0</v>
      </c>
    </row>
    <row r="218" spans="2:5" x14ac:dyDescent="0.35">
      <c r="D218" s="30" t="str">
        <f t="shared" si="11"/>
        <v>Physiotherapists and physiotherapy assistants</v>
      </c>
      <c r="E218">
        <f t="shared" si="12"/>
        <v>21</v>
      </c>
    </row>
    <row r="219" spans="2:5" x14ac:dyDescent="0.35">
      <c r="D219" s="30" t="str">
        <f t="shared" si="11"/>
        <v>Social workers</v>
      </c>
      <c r="E219">
        <f t="shared" si="12"/>
        <v>584</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0</v>
      </c>
    </row>
    <row r="222" spans="2:5" x14ac:dyDescent="0.35">
      <c r="B222" t="str">
        <f>J1</f>
        <v>COD</v>
      </c>
      <c r="C222">
        <f>J2</f>
        <v>95894118.499999985</v>
      </c>
      <c r="D222" s="29" t="str">
        <f t="shared" si="11"/>
        <v>Medical Doctors</v>
      </c>
      <c r="E222">
        <f t="shared" ref="E222:E245" si="13">J3</f>
        <v>33978</v>
      </c>
    </row>
    <row r="223" spans="2:5" x14ac:dyDescent="0.35">
      <c r="D223" s="30" t="str">
        <f t="shared" si="11"/>
        <v>Nursing Personnel</v>
      </c>
      <c r="E223">
        <f t="shared" si="13"/>
        <v>203504</v>
      </c>
    </row>
    <row r="224" spans="2:5" x14ac:dyDescent="0.35">
      <c r="D224" s="30" t="str">
        <f t="shared" si="11"/>
        <v>Midwifery personnel</v>
      </c>
      <c r="E224">
        <f t="shared" si="13"/>
        <v>4186</v>
      </c>
    </row>
    <row r="225" spans="4:5" x14ac:dyDescent="0.35">
      <c r="D225" s="30" t="str">
        <f t="shared" si="11"/>
        <v>Pharmacists</v>
      </c>
      <c r="E225">
        <f t="shared" si="13"/>
        <v>2490</v>
      </c>
    </row>
    <row r="226" spans="4:5" x14ac:dyDescent="0.35">
      <c r="D226" s="30" t="str">
        <f t="shared" si="11"/>
        <v>Dentists</v>
      </c>
      <c r="E226">
        <f t="shared" si="13"/>
        <v>2881</v>
      </c>
    </row>
    <row r="227" spans="4:5" x14ac:dyDescent="0.35">
      <c r="D227" s="30" t="str">
        <f t="shared" si="11"/>
        <v xml:space="preserve">Community Health Workers </v>
      </c>
      <c r="E227">
        <f t="shared" si="13"/>
        <v>0</v>
      </c>
    </row>
    <row r="228" spans="4:5" x14ac:dyDescent="0.35">
      <c r="D228" s="30" t="str">
        <f t="shared" si="11"/>
        <v>Dieticians and nutritionists</v>
      </c>
      <c r="E228">
        <f t="shared" si="13"/>
        <v>91</v>
      </c>
    </row>
    <row r="229" spans="4:5" x14ac:dyDescent="0.35">
      <c r="D229" s="30" t="str">
        <f t="shared" si="11"/>
        <v>Environmental and occupational health &amp; hygiene workers</v>
      </c>
      <c r="E229">
        <f t="shared" si="13"/>
        <v>2684</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3724</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439</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1785</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680</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5835806.0000000009</v>
      </c>
      <c r="D246" s="29" t="str">
        <f t="shared" ref="D246:D309" si="14">D222</f>
        <v>Medical Doctors</v>
      </c>
      <c r="E246">
        <f t="shared" ref="E246:E269" si="15">K3</f>
        <v>0</v>
      </c>
    </row>
    <row r="247" spans="2:5" x14ac:dyDescent="0.35">
      <c r="D247" s="30" t="str">
        <f t="shared" si="14"/>
        <v>Nursing Personnel</v>
      </c>
      <c r="E247">
        <f t="shared" si="15"/>
        <v>0</v>
      </c>
    </row>
    <row r="248" spans="2:5" x14ac:dyDescent="0.35">
      <c r="D248" s="30" t="str">
        <f t="shared" si="14"/>
        <v>Midwifery personnel</v>
      </c>
      <c r="E248">
        <f t="shared" si="15"/>
        <v>0</v>
      </c>
    </row>
    <row r="249" spans="2:5" x14ac:dyDescent="0.35">
      <c r="D249" s="30" t="str">
        <f t="shared" si="14"/>
        <v>Pharmacists</v>
      </c>
      <c r="E249">
        <f t="shared" si="15"/>
        <v>0</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0</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821625.49999999988</v>
      </c>
      <c r="D270" s="29" t="str">
        <f t="shared" si="14"/>
        <v>Medical Doctors</v>
      </c>
      <c r="E270">
        <f t="shared" ref="E270:E293" si="16">L3</f>
        <v>0</v>
      </c>
    </row>
    <row r="271" spans="2:5" x14ac:dyDescent="0.35">
      <c r="D271" s="30" t="str">
        <f t="shared" si="14"/>
        <v>Nursing Personnel</v>
      </c>
      <c r="E271">
        <f t="shared" si="16"/>
        <v>0</v>
      </c>
    </row>
    <row r="272" spans="2:5" x14ac:dyDescent="0.35">
      <c r="D272" s="30" t="str">
        <f t="shared" si="14"/>
        <v>Midwifery personnel</v>
      </c>
      <c r="E272">
        <f t="shared" si="16"/>
        <v>0</v>
      </c>
    </row>
    <row r="273" spans="4:5" x14ac:dyDescent="0.35">
      <c r="D273" s="30" t="str">
        <f t="shared" si="14"/>
        <v>Pharmacists</v>
      </c>
      <c r="E273">
        <f t="shared" si="16"/>
        <v>4</v>
      </c>
    </row>
    <row r="274" spans="4:5" x14ac:dyDescent="0.35">
      <c r="D274" s="30" t="str">
        <f t="shared" si="14"/>
        <v>Dentists</v>
      </c>
      <c r="E274">
        <f t="shared" si="16"/>
        <v>14</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0</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587925</v>
      </c>
      <c r="D294" s="29" t="str">
        <f t="shared" si="14"/>
        <v>Medical Doctors</v>
      </c>
      <c r="E294">
        <f t="shared" ref="E294:E317" si="17">M3</f>
        <v>0</v>
      </c>
    </row>
    <row r="295" spans="2:5" x14ac:dyDescent="0.35">
      <c r="D295" s="30" t="str">
        <f t="shared" si="14"/>
        <v>Nursing Personnel</v>
      </c>
      <c r="E295">
        <f t="shared" si="17"/>
        <v>0</v>
      </c>
    </row>
    <row r="296" spans="2:5" x14ac:dyDescent="0.35">
      <c r="D296" s="30" t="str">
        <f t="shared" si="14"/>
        <v>Midwifery personnel</v>
      </c>
      <c r="E296">
        <f t="shared" si="17"/>
        <v>0</v>
      </c>
    </row>
    <row r="297" spans="2:5" x14ac:dyDescent="0.35">
      <c r="D297" s="30" t="str">
        <f t="shared" si="14"/>
        <v>Pharmacists</v>
      </c>
      <c r="E297">
        <f t="shared" si="17"/>
        <v>254</v>
      </c>
    </row>
    <row r="298" spans="2:5" x14ac:dyDescent="0.35">
      <c r="D298" s="30" t="str">
        <f t="shared" si="14"/>
        <v>Dentists</v>
      </c>
      <c r="E298">
        <f t="shared" si="17"/>
        <v>25</v>
      </c>
    </row>
    <row r="299" spans="2:5" x14ac:dyDescent="0.35">
      <c r="D299" s="30" t="str">
        <f t="shared" si="14"/>
        <v xml:space="preserve">Community Health Workers </v>
      </c>
      <c r="E299">
        <f t="shared" si="17"/>
        <v>0</v>
      </c>
    </row>
    <row r="300" spans="2:5" x14ac:dyDescent="0.35">
      <c r="D300" s="30" t="str">
        <f t="shared" si="14"/>
        <v>Dieticians and nutritionists</v>
      </c>
      <c r="E300">
        <f t="shared" si="17"/>
        <v>6</v>
      </c>
    </row>
    <row r="301" spans="2:5" x14ac:dyDescent="0.35">
      <c r="D301" s="30" t="str">
        <f t="shared" si="14"/>
        <v>Environmental and occupational health &amp; hygiene workers</v>
      </c>
      <c r="E301">
        <f t="shared" si="17"/>
        <v>353</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0</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44177968.500000007</v>
      </c>
      <c r="D318" s="29" t="str">
        <f t="shared" si="18"/>
        <v>Medical Doctors</v>
      </c>
      <c r="E318">
        <f t="shared" ref="E318:E341" si="19">N3</f>
        <v>0</v>
      </c>
    </row>
    <row r="319" spans="2:5" x14ac:dyDescent="0.35">
      <c r="D319" s="30" t="str">
        <f t="shared" si="18"/>
        <v>Nursing Personnel</v>
      </c>
      <c r="E319">
        <f t="shared" si="19"/>
        <v>0</v>
      </c>
    </row>
    <row r="320" spans="2:5" x14ac:dyDescent="0.35">
      <c r="D320" s="30" t="str">
        <f t="shared" si="18"/>
        <v>Midwifery personnel</v>
      </c>
      <c r="E320">
        <f t="shared" si="19"/>
        <v>0</v>
      </c>
    </row>
    <row r="321" spans="4:5" x14ac:dyDescent="0.35">
      <c r="D321" s="30" t="str">
        <f t="shared" si="18"/>
        <v>Pharmacists</v>
      </c>
      <c r="E321">
        <f t="shared" si="19"/>
        <v>613</v>
      </c>
    </row>
    <row r="322" spans="4:5" x14ac:dyDescent="0.35">
      <c r="D322" s="30" t="str">
        <f t="shared" si="18"/>
        <v>Dentists</v>
      </c>
      <c r="E322">
        <f t="shared" si="19"/>
        <v>6</v>
      </c>
    </row>
    <row r="323" spans="4:5" x14ac:dyDescent="0.35">
      <c r="D323" s="30" t="str">
        <f t="shared" si="18"/>
        <v xml:space="preserve">Community Health Workers </v>
      </c>
      <c r="E323">
        <f t="shared" si="19"/>
        <v>0</v>
      </c>
    </row>
    <row r="324" spans="4:5" x14ac:dyDescent="0.35">
      <c r="D324" s="30" t="str">
        <f t="shared" si="18"/>
        <v>Dieticians and nutritionists</v>
      </c>
      <c r="E324">
        <f t="shared" si="19"/>
        <v>0</v>
      </c>
    </row>
    <row r="325" spans="4:5" x14ac:dyDescent="0.35">
      <c r="D325" s="30" t="str">
        <f t="shared" si="18"/>
        <v>Environmental and occupational health &amp; hygiene workers</v>
      </c>
      <c r="E325">
        <f t="shared" si="19"/>
        <v>0</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3620312.0000000023</v>
      </c>
      <c r="D342" s="29" t="str">
        <f t="shared" si="18"/>
        <v>Medical Doctors</v>
      </c>
      <c r="E342">
        <f t="shared" ref="E342:E365" si="20">O3</f>
        <v>636</v>
      </c>
    </row>
    <row r="343" spans="2:5" x14ac:dyDescent="0.35">
      <c r="D343" s="30" t="str">
        <f t="shared" si="18"/>
        <v>Nursing Personnel</v>
      </c>
      <c r="E343">
        <f t="shared" si="20"/>
        <v>9362</v>
      </c>
    </row>
    <row r="344" spans="2:5" x14ac:dyDescent="0.35">
      <c r="D344" s="30" t="str">
        <f t="shared" si="18"/>
        <v>Midwifery personnel</v>
      </c>
      <c r="E344">
        <f t="shared" si="20"/>
        <v>134</v>
      </c>
    </row>
    <row r="345" spans="2:5" x14ac:dyDescent="0.35">
      <c r="D345" s="30" t="str">
        <f t="shared" si="18"/>
        <v>Pharmacists</v>
      </c>
      <c r="E345">
        <f t="shared" si="20"/>
        <v>0</v>
      </c>
    </row>
    <row r="346" spans="2:5" x14ac:dyDescent="0.35">
      <c r="D346" s="30" t="str">
        <f t="shared" si="18"/>
        <v>Dentists</v>
      </c>
      <c r="E346">
        <f t="shared" si="20"/>
        <v>0</v>
      </c>
    </row>
    <row r="347" spans="2:5" x14ac:dyDescent="0.35">
      <c r="D347" s="30" t="str">
        <f t="shared" si="18"/>
        <v xml:space="preserve">Community Health Workers </v>
      </c>
      <c r="E347">
        <f t="shared" si="20"/>
        <v>2626</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0</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298</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137</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99</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267</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131</v>
      </c>
    </row>
    <row r="363" spans="2:5" x14ac:dyDescent="0.35">
      <c r="D363" s="30" t="str">
        <f t="shared" si="18"/>
        <v>Social workers</v>
      </c>
      <c r="E363">
        <f t="shared" si="20"/>
        <v>6</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120283026.00000006</v>
      </c>
      <c r="D366" s="29" t="str">
        <f t="shared" ref="D366:D429" si="22">D342</f>
        <v>Medical Doctors</v>
      </c>
      <c r="E366">
        <f t="shared" ref="E366:E389" si="23">P3</f>
        <v>25424</v>
      </c>
    </row>
    <row r="367" spans="2:5" x14ac:dyDescent="0.35">
      <c r="D367" s="30" t="str">
        <f t="shared" si="22"/>
        <v>Nursing Personnel</v>
      </c>
      <c r="E367">
        <f t="shared" si="23"/>
        <v>139648</v>
      </c>
    </row>
    <row r="368" spans="2:5" x14ac:dyDescent="0.35">
      <c r="D368" s="30" t="str">
        <f t="shared" si="22"/>
        <v>Midwifery personnel</v>
      </c>
      <c r="E368">
        <f t="shared" si="23"/>
        <v>40710</v>
      </c>
    </row>
    <row r="369" spans="4:5" x14ac:dyDescent="0.35">
      <c r="D369" s="30" t="str">
        <f t="shared" si="22"/>
        <v>Pharmacists</v>
      </c>
      <c r="E369">
        <f t="shared" si="23"/>
        <v>0</v>
      </c>
    </row>
    <row r="370" spans="4:5" x14ac:dyDescent="0.35">
      <c r="D370" s="30" t="str">
        <f t="shared" si="22"/>
        <v>Dentists</v>
      </c>
      <c r="E370">
        <f t="shared" si="23"/>
        <v>0</v>
      </c>
    </row>
    <row r="371" spans="4:5" x14ac:dyDescent="0.35">
      <c r="D371" s="30" t="str">
        <f t="shared" si="22"/>
        <v xml:space="preserve">Community Health Workers </v>
      </c>
      <c r="E371">
        <f t="shared" si="23"/>
        <v>42630</v>
      </c>
    </row>
    <row r="372" spans="4:5" x14ac:dyDescent="0.35">
      <c r="D372" s="30" t="str">
        <f t="shared" si="22"/>
        <v>Dieticians and nutritionists</v>
      </c>
      <c r="E372">
        <f t="shared" si="23"/>
        <v>0</v>
      </c>
    </row>
    <row r="373" spans="4:5" x14ac:dyDescent="0.35">
      <c r="D373" s="30" t="str">
        <f t="shared" si="22"/>
        <v>Environmental and occupational health &amp; hygiene workers</v>
      </c>
      <c r="E373">
        <f t="shared" si="23"/>
        <v>0</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17</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0</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567</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0</v>
      </c>
    </row>
    <row r="385" spans="2:5" x14ac:dyDescent="0.35">
      <c r="D385" s="30" t="str">
        <f t="shared" si="22"/>
        <v xml:space="preserve">Paramedical Practitioners </v>
      </c>
      <c r="E385">
        <f t="shared" si="23"/>
        <v>0</v>
      </c>
    </row>
    <row r="386" spans="2:5" x14ac:dyDescent="0.35">
      <c r="D386" s="30" t="str">
        <f t="shared" si="22"/>
        <v>Physiotherapists and physiotherapy assistants</v>
      </c>
      <c r="E386">
        <f t="shared" si="23"/>
        <v>0</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2341178.9999999986</v>
      </c>
      <c r="D390" s="29" t="str">
        <f t="shared" si="22"/>
        <v>Medical Doctors</v>
      </c>
      <c r="E390">
        <f t="shared" ref="E390:E413" si="24">Q3</f>
        <v>0</v>
      </c>
    </row>
    <row r="391" spans="2:5" x14ac:dyDescent="0.35">
      <c r="D391" s="30" t="str">
        <f t="shared" si="22"/>
        <v>Nursing Personnel</v>
      </c>
      <c r="E391">
        <f t="shared" si="24"/>
        <v>0</v>
      </c>
    </row>
    <row r="392" spans="2:5" x14ac:dyDescent="0.35">
      <c r="D392" s="30" t="str">
        <f t="shared" si="22"/>
        <v>Midwifery personnel</v>
      </c>
      <c r="E392">
        <f t="shared" si="24"/>
        <v>0</v>
      </c>
    </row>
    <row r="393" spans="2:5" x14ac:dyDescent="0.35">
      <c r="D393" s="30" t="str">
        <f t="shared" si="22"/>
        <v>Pharmacists</v>
      </c>
      <c r="E393">
        <f t="shared" si="24"/>
        <v>0</v>
      </c>
    </row>
    <row r="394" spans="2:5" x14ac:dyDescent="0.35">
      <c r="D394" s="30" t="str">
        <f t="shared" si="22"/>
        <v>Dentists</v>
      </c>
      <c r="E394">
        <f t="shared" si="24"/>
        <v>0</v>
      </c>
    </row>
    <row r="395" spans="2:5" x14ac:dyDescent="0.35">
      <c r="D395" s="30" t="str">
        <f t="shared" si="22"/>
        <v xml:space="preserve">Community Health Workers </v>
      </c>
      <c r="E395">
        <f t="shared" si="24"/>
        <v>0</v>
      </c>
    </row>
    <row r="396" spans="2:5" x14ac:dyDescent="0.35">
      <c r="D396" s="30" t="str">
        <f t="shared" si="22"/>
        <v>Dieticians and nutritionists</v>
      </c>
      <c r="E396">
        <f t="shared" si="24"/>
        <v>0</v>
      </c>
    </row>
    <row r="397" spans="2:5" x14ac:dyDescent="0.35">
      <c r="D397" s="30" t="str">
        <f t="shared" si="22"/>
        <v>Environmental and occupational health &amp; hygiene workers</v>
      </c>
      <c r="E397">
        <f t="shared" si="24"/>
        <v>0</v>
      </c>
    </row>
    <row r="398" spans="2:5" x14ac:dyDescent="0.35">
      <c r="D398" s="30" t="str">
        <f t="shared" si="22"/>
        <v>Personal care workers in health service</v>
      </c>
      <c r="E398">
        <f t="shared" si="24"/>
        <v>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0</v>
      </c>
    </row>
    <row r="401" spans="2:5" x14ac:dyDescent="0.35">
      <c r="D401" s="30" t="str">
        <f t="shared" si="22"/>
        <v xml:space="preserve">Medical and Pathology Laboratory scientists </v>
      </c>
      <c r="E401">
        <f t="shared" si="24"/>
        <v>0</v>
      </c>
    </row>
    <row r="402" spans="2:5" x14ac:dyDescent="0.35">
      <c r="D402" s="30" t="str">
        <f t="shared" si="22"/>
        <v xml:space="preserve">Medical Assistants </v>
      </c>
      <c r="E402">
        <f t="shared" si="24"/>
        <v>0</v>
      </c>
    </row>
    <row r="403" spans="2:5" x14ac:dyDescent="0.35">
      <c r="D403" s="30" t="str">
        <f t="shared" si="22"/>
        <v xml:space="preserve">Medical Imaging and Therapeutic Equipment Technicians </v>
      </c>
      <c r="E403">
        <f t="shared" si="24"/>
        <v>0</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0</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0</v>
      </c>
    </row>
    <row r="409" spans="2:5" x14ac:dyDescent="0.35">
      <c r="D409" s="30" t="str">
        <f t="shared" si="22"/>
        <v xml:space="preserve">Paramedical Practitioners </v>
      </c>
      <c r="E409">
        <f t="shared" si="24"/>
        <v>0</v>
      </c>
    </row>
    <row r="410" spans="2:5" x14ac:dyDescent="0.35">
      <c r="D410" s="30" t="str">
        <f t="shared" si="22"/>
        <v>Physiotherapists and physiotherapy assistants</v>
      </c>
      <c r="E410">
        <f t="shared" si="24"/>
        <v>0</v>
      </c>
    </row>
    <row r="411" spans="2:5" x14ac:dyDescent="0.35">
      <c r="D411" s="30" t="str">
        <f t="shared" si="22"/>
        <v>Social workers</v>
      </c>
      <c r="E411">
        <f t="shared" si="24"/>
        <v>0</v>
      </c>
    </row>
    <row r="412" spans="2:5" x14ac:dyDescent="0.35">
      <c r="D412" s="30" t="str">
        <f t="shared" si="22"/>
        <v xml:space="preserve">Audiologists and Speech Therapists </v>
      </c>
      <c r="E412">
        <f t="shared" si="24"/>
        <v>0</v>
      </c>
    </row>
    <row r="413" spans="2:5" x14ac:dyDescent="0.35">
      <c r="D413" s="30" t="str">
        <f t="shared" si="22"/>
        <v>Traditional and complementary medicine practitioners</v>
      </c>
      <c r="E413">
        <f t="shared" si="24"/>
        <v>0</v>
      </c>
    </row>
    <row r="414" spans="2:5" x14ac:dyDescent="0.35">
      <c r="B414" t="str">
        <f>R1</f>
        <v>GHA</v>
      </c>
      <c r="C414">
        <f>R2</f>
        <v>32833031.499999996</v>
      </c>
      <c r="D414" s="29" t="str">
        <f t="shared" si="22"/>
        <v>Medical Doctors</v>
      </c>
      <c r="E414">
        <f t="shared" ref="E414:E437" si="25">R3</f>
        <v>8338</v>
      </c>
    </row>
    <row r="415" spans="2:5" x14ac:dyDescent="0.35">
      <c r="D415" s="30" t="str">
        <f t="shared" si="22"/>
        <v>Nursing Personnel</v>
      </c>
      <c r="E415">
        <f t="shared" si="25"/>
        <v>186288</v>
      </c>
    </row>
    <row r="416" spans="2:5" x14ac:dyDescent="0.35">
      <c r="D416" s="30" t="str">
        <f t="shared" si="22"/>
        <v>Midwifery personnel</v>
      </c>
      <c r="E416">
        <f t="shared" si="25"/>
        <v>38282</v>
      </c>
    </row>
    <row r="417" spans="4:5" x14ac:dyDescent="0.35">
      <c r="D417" s="30" t="str">
        <f t="shared" si="22"/>
        <v>Pharmacists</v>
      </c>
      <c r="E417">
        <f t="shared" si="25"/>
        <v>0</v>
      </c>
    </row>
    <row r="418" spans="4:5" x14ac:dyDescent="0.35">
      <c r="D418" s="30" t="str">
        <f t="shared" si="22"/>
        <v>Dentists</v>
      </c>
      <c r="E418">
        <f t="shared" si="25"/>
        <v>0</v>
      </c>
    </row>
    <row r="419" spans="4:5" x14ac:dyDescent="0.35">
      <c r="D419" s="30" t="str">
        <f t="shared" si="22"/>
        <v xml:space="preserve">Community Health Workers </v>
      </c>
      <c r="E419">
        <f t="shared" si="25"/>
        <v>0</v>
      </c>
    </row>
    <row r="420" spans="4:5" x14ac:dyDescent="0.35">
      <c r="D420" s="30" t="str">
        <f t="shared" si="22"/>
        <v>Dieticians and nutritionists</v>
      </c>
      <c r="E420">
        <f t="shared" si="25"/>
        <v>0</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3453</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1759</v>
      </c>
    </row>
    <row r="426" spans="4:5" x14ac:dyDescent="0.35">
      <c r="D426" s="30" t="str">
        <f t="shared" si="22"/>
        <v xml:space="preserve">Medical Assistants </v>
      </c>
      <c r="E426">
        <f t="shared" si="25"/>
        <v>2352</v>
      </c>
    </row>
    <row r="427" spans="4:5" x14ac:dyDescent="0.35">
      <c r="D427" s="30" t="str">
        <f t="shared" si="22"/>
        <v xml:space="preserve">Medical Imaging and Therapeutic Equipment Technicians </v>
      </c>
      <c r="E427">
        <f t="shared" si="25"/>
        <v>1673</v>
      </c>
    </row>
    <row r="428" spans="4:5" x14ac:dyDescent="0.35">
      <c r="D428" s="30" t="str">
        <f t="shared" si="22"/>
        <v xml:space="preserve">Medical Records and Health Information Technicians </v>
      </c>
      <c r="E428">
        <f t="shared" si="25"/>
        <v>3238</v>
      </c>
    </row>
    <row r="429" spans="4:5" x14ac:dyDescent="0.35">
      <c r="D429" s="30" t="str">
        <f t="shared" si="22"/>
        <v xml:space="preserve">Optometrists and Ophthalmic Opticians </v>
      </c>
      <c r="E429">
        <f t="shared" si="25"/>
        <v>235</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6276</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308</v>
      </c>
    </row>
    <row r="435" spans="2:5" x14ac:dyDescent="0.35">
      <c r="D435" s="30" t="str">
        <f t="shared" si="26"/>
        <v>Social workers</v>
      </c>
      <c r="E435">
        <f t="shared" si="25"/>
        <v>0</v>
      </c>
    </row>
    <row r="436" spans="2:5" x14ac:dyDescent="0.35">
      <c r="D436" s="30" t="str">
        <f t="shared" si="26"/>
        <v xml:space="preserve">Audiologists and Speech Therapists </v>
      </c>
      <c r="E436">
        <f t="shared" si="25"/>
        <v>9</v>
      </c>
    </row>
    <row r="437" spans="2:5" x14ac:dyDescent="0.35">
      <c r="D437" s="30" t="str">
        <f t="shared" si="26"/>
        <v>Traditional and complementary medicine practitioners</v>
      </c>
      <c r="E437">
        <f t="shared" si="25"/>
        <v>7</v>
      </c>
    </row>
    <row r="438" spans="2:5" x14ac:dyDescent="0.35">
      <c r="B438" t="str">
        <f>S1</f>
        <v>GIN</v>
      </c>
      <c r="C438">
        <f>S2</f>
        <v>13531906.000000004</v>
      </c>
      <c r="D438" s="29" t="str">
        <f t="shared" si="26"/>
        <v>Medical Doctors</v>
      </c>
      <c r="E438">
        <f t="shared" ref="E438:E461" si="27">S3</f>
        <v>0</v>
      </c>
    </row>
    <row r="439" spans="2:5" x14ac:dyDescent="0.35">
      <c r="D439" s="30" t="str">
        <f t="shared" si="26"/>
        <v>Nursing Personnel</v>
      </c>
      <c r="E439">
        <f t="shared" si="27"/>
        <v>0</v>
      </c>
    </row>
    <row r="440" spans="2:5" x14ac:dyDescent="0.35">
      <c r="D440" s="30" t="str">
        <f t="shared" si="26"/>
        <v>Midwifery personnel</v>
      </c>
      <c r="E440">
        <f t="shared" si="27"/>
        <v>0</v>
      </c>
    </row>
    <row r="441" spans="2:5" x14ac:dyDescent="0.35">
      <c r="D441" s="30" t="str">
        <f t="shared" si="26"/>
        <v>Pharmacists</v>
      </c>
      <c r="E441">
        <f t="shared" si="27"/>
        <v>0</v>
      </c>
    </row>
    <row r="442" spans="2:5" x14ac:dyDescent="0.35">
      <c r="D442" s="30" t="str">
        <f t="shared" si="26"/>
        <v>Dentists</v>
      </c>
      <c r="E442">
        <f t="shared" si="27"/>
        <v>0</v>
      </c>
    </row>
    <row r="443" spans="2:5" x14ac:dyDescent="0.35">
      <c r="D443" s="30" t="str">
        <f t="shared" si="26"/>
        <v xml:space="preserve">Community Health Workers </v>
      </c>
      <c r="E443">
        <f t="shared" si="27"/>
        <v>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2639915.5000000005</v>
      </c>
      <c r="D462" s="29" t="str">
        <f t="shared" si="26"/>
        <v>Medical Doctors</v>
      </c>
      <c r="E462">
        <f t="shared" ref="E462:E485" si="28">T3</f>
        <v>651</v>
      </c>
    </row>
    <row r="463" spans="2:5" x14ac:dyDescent="0.35">
      <c r="D463" s="30" t="str">
        <f t="shared" si="26"/>
        <v>Nursing Personnel</v>
      </c>
      <c r="E463">
        <f t="shared" si="28"/>
        <v>2808</v>
      </c>
    </row>
    <row r="464" spans="2:5" x14ac:dyDescent="0.35">
      <c r="D464" s="30" t="str">
        <f t="shared" si="26"/>
        <v>Midwifery personnel</v>
      </c>
      <c r="E464">
        <f t="shared" si="28"/>
        <v>758</v>
      </c>
    </row>
    <row r="465" spans="4:5" x14ac:dyDescent="0.35">
      <c r="D465" s="30" t="str">
        <f t="shared" si="26"/>
        <v>Pharmacists</v>
      </c>
      <c r="E465">
        <f t="shared" si="28"/>
        <v>1859</v>
      </c>
    </row>
    <row r="466" spans="4:5" x14ac:dyDescent="0.35">
      <c r="D466" s="30" t="str">
        <f t="shared" si="26"/>
        <v>Dentists</v>
      </c>
      <c r="E466">
        <f t="shared" si="28"/>
        <v>513</v>
      </c>
    </row>
    <row r="467" spans="4:5" x14ac:dyDescent="0.35">
      <c r="D467" s="30" t="str">
        <f t="shared" si="26"/>
        <v xml:space="preserve">Community Health Workers </v>
      </c>
      <c r="E467">
        <f t="shared" si="28"/>
        <v>0</v>
      </c>
    </row>
    <row r="468" spans="4:5" x14ac:dyDescent="0.35">
      <c r="D468" s="30" t="str">
        <f t="shared" si="26"/>
        <v>Dieticians and nutritionists</v>
      </c>
      <c r="E468">
        <f t="shared" si="28"/>
        <v>1</v>
      </c>
    </row>
    <row r="469" spans="4:5" x14ac:dyDescent="0.35">
      <c r="D469" s="30" t="str">
        <f t="shared" si="26"/>
        <v>Environmental and occupational health &amp; hygiene workers</v>
      </c>
      <c r="E469">
        <f t="shared" si="28"/>
        <v>2742</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522</v>
      </c>
    </row>
    <row r="472" spans="4:5" x14ac:dyDescent="0.35">
      <c r="D472" s="30" t="str">
        <f t="shared" si="26"/>
        <v xml:space="preserve">Medical and dental Prosthetic Technicians </v>
      </c>
      <c r="E472">
        <f t="shared" si="28"/>
        <v>6</v>
      </c>
    </row>
    <row r="473" spans="4:5" x14ac:dyDescent="0.35">
      <c r="D473" s="30" t="str">
        <f t="shared" si="26"/>
        <v xml:space="preserve">Medical and Pathology Laboratory scientists </v>
      </c>
      <c r="E473">
        <f t="shared" si="28"/>
        <v>18</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172</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18</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2193</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24</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2060720.9999999991</v>
      </c>
      <c r="D486" s="29" t="str">
        <f t="shared" si="26"/>
        <v>Medical Doctors</v>
      </c>
      <c r="E486">
        <f t="shared" ref="E486:E509" si="29">U3</f>
        <v>916</v>
      </c>
    </row>
    <row r="487" spans="2:5" x14ac:dyDescent="0.35">
      <c r="D487" s="30" t="str">
        <f t="shared" si="26"/>
        <v>Nursing Personnel</v>
      </c>
      <c r="E487">
        <f t="shared" si="29"/>
        <v>3912</v>
      </c>
    </row>
    <row r="488" spans="2:5" x14ac:dyDescent="0.35">
      <c r="D488" s="30" t="str">
        <f t="shared" si="26"/>
        <v>Midwifery personnel</v>
      </c>
      <c r="E488">
        <f t="shared" si="29"/>
        <v>426</v>
      </c>
    </row>
    <row r="489" spans="2:5" x14ac:dyDescent="0.35">
      <c r="D489" s="30" t="str">
        <f t="shared" si="26"/>
        <v>Pharmacists</v>
      </c>
      <c r="E489">
        <f t="shared" si="29"/>
        <v>0</v>
      </c>
    </row>
    <row r="490" spans="2:5" x14ac:dyDescent="0.35">
      <c r="D490" s="30" t="str">
        <f t="shared" si="26"/>
        <v>Dentists</v>
      </c>
      <c r="E490">
        <f t="shared" si="29"/>
        <v>0</v>
      </c>
    </row>
    <row r="491" spans="2:5" x14ac:dyDescent="0.35">
      <c r="D491" s="30" t="str">
        <f t="shared" si="26"/>
        <v xml:space="preserve">Community Health Workers </v>
      </c>
      <c r="E491">
        <f t="shared" si="29"/>
        <v>0</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3</v>
      </c>
    </row>
    <row r="497" spans="2:5" x14ac:dyDescent="0.35">
      <c r="D497" s="30" t="str">
        <f t="shared" si="30"/>
        <v xml:space="preserve">Medical and Pathology Laboratory scientists </v>
      </c>
      <c r="E497">
        <f t="shared" si="29"/>
        <v>200</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2</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10</v>
      </c>
    </row>
    <row r="502" spans="2:5" x14ac:dyDescent="0.35">
      <c r="D502" s="30" t="str">
        <f t="shared" si="30"/>
        <v xml:space="preserve">Other non-medical professional staff </v>
      </c>
      <c r="E502">
        <f t="shared" si="29"/>
        <v>0</v>
      </c>
    </row>
    <row r="503" spans="2:5" x14ac:dyDescent="0.35">
      <c r="D503" s="30" t="str">
        <f t="shared" si="30"/>
        <v xml:space="preserve">Other non-medical support staff </v>
      </c>
      <c r="E503">
        <f t="shared" si="29"/>
        <v>86</v>
      </c>
    </row>
    <row r="504" spans="2:5" x14ac:dyDescent="0.35">
      <c r="D504" s="30" t="str">
        <f t="shared" si="30"/>
        <v xml:space="preserve">Medical and Pathology Laboratory Technicians </v>
      </c>
      <c r="E504">
        <f t="shared" si="29"/>
        <v>1</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6</v>
      </c>
    </row>
    <row r="507" spans="2:5" x14ac:dyDescent="0.35">
      <c r="D507" s="30" t="str">
        <f t="shared" si="30"/>
        <v>Social workers</v>
      </c>
      <c r="E507">
        <f t="shared" si="29"/>
        <v>16</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1634465.5000000002</v>
      </c>
      <c r="D510" s="29" t="str">
        <f t="shared" si="30"/>
        <v>Medical Doctors</v>
      </c>
      <c r="E510">
        <f t="shared" ref="E510:E533" si="31">V3</f>
        <v>0</v>
      </c>
    </row>
    <row r="511" spans="2:5" x14ac:dyDescent="0.35">
      <c r="D511" s="30" t="str">
        <f t="shared" si="30"/>
        <v>Nursing Personnel</v>
      </c>
      <c r="E511">
        <f t="shared" si="31"/>
        <v>0</v>
      </c>
    </row>
    <row r="512" spans="2:5" x14ac:dyDescent="0.35">
      <c r="D512" s="30" t="str">
        <f t="shared" si="30"/>
        <v>Midwifery personnel</v>
      </c>
      <c r="E512">
        <f t="shared" si="31"/>
        <v>0</v>
      </c>
    </row>
    <row r="513" spans="4:5" x14ac:dyDescent="0.35">
      <c r="D513" s="30" t="str">
        <f t="shared" si="30"/>
        <v>Pharmacists</v>
      </c>
      <c r="E513">
        <f t="shared" si="31"/>
        <v>2192</v>
      </c>
    </row>
    <row r="514" spans="4:5" x14ac:dyDescent="0.35">
      <c r="D514" s="30" t="str">
        <f t="shared" si="30"/>
        <v>Dentists</v>
      </c>
      <c r="E514">
        <f t="shared" si="31"/>
        <v>294</v>
      </c>
    </row>
    <row r="515" spans="4:5" x14ac:dyDescent="0.35">
      <c r="D515" s="30" t="str">
        <f t="shared" si="30"/>
        <v xml:space="preserve">Community Health Workers </v>
      </c>
      <c r="E515">
        <f t="shared" si="31"/>
        <v>0</v>
      </c>
    </row>
    <row r="516" spans="4:5" x14ac:dyDescent="0.35">
      <c r="D516" s="30" t="str">
        <f t="shared" si="30"/>
        <v>Dieticians and nutritionists</v>
      </c>
      <c r="E516">
        <f t="shared" si="31"/>
        <v>620</v>
      </c>
    </row>
    <row r="517" spans="4:5" x14ac:dyDescent="0.35">
      <c r="D517" s="30" t="str">
        <f t="shared" si="30"/>
        <v>Environmental and occupational health &amp; hygiene workers</v>
      </c>
      <c r="E517">
        <f t="shared" si="31"/>
        <v>0</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0</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0</v>
      </c>
    </row>
    <row r="529" spans="2:5" x14ac:dyDescent="0.35">
      <c r="D529" s="30" t="str">
        <f t="shared" si="30"/>
        <v xml:space="preserve">Paramedical Practitioners </v>
      </c>
      <c r="E529">
        <f t="shared" si="31"/>
        <v>0</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53005614.000000022</v>
      </c>
      <c r="D534" s="29" t="str">
        <f t="shared" si="30"/>
        <v>Medical Doctors</v>
      </c>
      <c r="E534">
        <f t="shared" ref="E534:E557" si="32">W3</f>
        <v>12377</v>
      </c>
    </row>
    <row r="535" spans="2:5" x14ac:dyDescent="0.35">
      <c r="D535" s="30" t="str">
        <f t="shared" si="30"/>
        <v>Nursing Personnel</v>
      </c>
      <c r="E535">
        <f t="shared" si="32"/>
        <v>69176</v>
      </c>
    </row>
    <row r="536" spans="2:5" x14ac:dyDescent="0.35">
      <c r="D536" s="30" t="str">
        <f t="shared" si="30"/>
        <v>Midwifery personnel</v>
      </c>
      <c r="E536">
        <f t="shared" si="32"/>
        <v>0</v>
      </c>
    </row>
    <row r="537" spans="2:5" x14ac:dyDescent="0.35">
      <c r="D537" s="30" t="str">
        <f t="shared" si="30"/>
        <v>Pharmacists</v>
      </c>
      <c r="E537">
        <f t="shared" si="32"/>
        <v>0</v>
      </c>
    </row>
    <row r="538" spans="2:5" x14ac:dyDescent="0.35">
      <c r="D538" s="30" t="str">
        <f t="shared" si="30"/>
        <v>Dentists</v>
      </c>
      <c r="E538">
        <f t="shared" si="32"/>
        <v>0</v>
      </c>
    </row>
    <row r="539" spans="2:5" x14ac:dyDescent="0.35">
      <c r="D539" s="30" t="str">
        <f t="shared" si="30"/>
        <v xml:space="preserve">Community Health Workers </v>
      </c>
      <c r="E539">
        <f t="shared" si="32"/>
        <v>86490</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261</v>
      </c>
    </row>
    <row r="545" spans="2:5" x14ac:dyDescent="0.35">
      <c r="D545" s="30" t="str">
        <f t="shared" si="30"/>
        <v xml:space="preserve">Medical and Pathology Laboratory scientists </v>
      </c>
      <c r="E545">
        <f t="shared" si="32"/>
        <v>5019</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717</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3295</v>
      </c>
    </row>
    <row r="551" spans="2:5" x14ac:dyDescent="0.35">
      <c r="D551" s="30" t="str">
        <f t="shared" si="30"/>
        <v xml:space="preserve">Other non-medical support staff </v>
      </c>
      <c r="E551">
        <f t="shared" si="32"/>
        <v>11129</v>
      </c>
    </row>
    <row r="552" spans="2:5" x14ac:dyDescent="0.35">
      <c r="D552" s="30" t="str">
        <f t="shared" si="30"/>
        <v xml:space="preserve">Medical and Pathology Laboratory Technicians </v>
      </c>
      <c r="E552">
        <f t="shared" si="32"/>
        <v>0</v>
      </c>
    </row>
    <row r="553" spans="2:5" x14ac:dyDescent="0.35">
      <c r="D553" s="30" t="str">
        <f t="shared" si="30"/>
        <v xml:space="preserve">Paramedical Practitioners </v>
      </c>
      <c r="E553">
        <f t="shared" si="32"/>
        <v>8087</v>
      </c>
    </row>
    <row r="554" spans="2:5" x14ac:dyDescent="0.35">
      <c r="D554" s="30" t="str">
        <f t="shared" si="30"/>
        <v>Physiotherapists and physiotherapy assistants</v>
      </c>
      <c r="E554">
        <f t="shared" si="32"/>
        <v>718</v>
      </c>
    </row>
    <row r="555" spans="2:5" x14ac:dyDescent="0.35">
      <c r="D555" s="30" t="str">
        <f t="shared" si="30"/>
        <v>Social workers</v>
      </c>
      <c r="E555">
        <f t="shared" si="32"/>
        <v>749</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5193415.5000000019</v>
      </c>
      <c r="D558" s="29" t="str">
        <f t="shared" ref="D558:D621" si="33">D534</f>
        <v>Medical Doctors</v>
      </c>
      <c r="E558">
        <f t="shared" ref="E558:E581" si="34">X3</f>
        <v>1861</v>
      </c>
    </row>
    <row r="559" spans="2:5" x14ac:dyDescent="0.35">
      <c r="D559" s="30" t="str">
        <f t="shared" si="33"/>
        <v>Nursing Personnel</v>
      </c>
      <c r="E559">
        <f t="shared" si="34"/>
        <v>3522</v>
      </c>
    </row>
    <row r="560" spans="2:5" x14ac:dyDescent="0.35">
      <c r="D560" s="30" t="str">
        <f t="shared" si="33"/>
        <v>Midwifery personnel</v>
      </c>
      <c r="E560">
        <f t="shared" si="34"/>
        <v>1590</v>
      </c>
    </row>
    <row r="561" spans="4:5" x14ac:dyDescent="0.35">
      <c r="D561" s="30" t="str">
        <f t="shared" si="33"/>
        <v>Pharmacists</v>
      </c>
      <c r="E561">
        <f t="shared" si="34"/>
        <v>0</v>
      </c>
    </row>
    <row r="562" spans="4:5" x14ac:dyDescent="0.35">
      <c r="D562" s="30" t="str">
        <f t="shared" si="33"/>
        <v>Dentists</v>
      </c>
      <c r="E562">
        <f t="shared" si="34"/>
        <v>0</v>
      </c>
    </row>
    <row r="563" spans="4:5" x14ac:dyDescent="0.35">
      <c r="D563" s="30" t="str">
        <f t="shared" si="33"/>
        <v xml:space="preserve">Community Health Workers </v>
      </c>
      <c r="E563">
        <f t="shared" si="34"/>
        <v>0</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2281454.5000000014</v>
      </c>
      <c r="D582" s="29" t="str">
        <f t="shared" si="33"/>
        <v>Medical Doctors</v>
      </c>
      <c r="E582">
        <f t="shared" ref="E582:E605" si="35">Y3</f>
        <v>0</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0</v>
      </c>
    </row>
    <row r="586" spans="2:5" x14ac:dyDescent="0.35">
      <c r="D586" s="30" t="str">
        <f t="shared" si="33"/>
        <v>Dentists</v>
      </c>
      <c r="E586">
        <f t="shared" si="35"/>
        <v>0</v>
      </c>
    </row>
    <row r="587" spans="2:5" x14ac:dyDescent="0.35">
      <c r="D587" s="30" t="str">
        <f t="shared" si="33"/>
        <v xml:space="preserve">Community Health Workers </v>
      </c>
      <c r="E587">
        <f t="shared" si="35"/>
        <v>0</v>
      </c>
    </row>
    <row r="588" spans="2:5" x14ac:dyDescent="0.35">
      <c r="D588" s="30" t="str">
        <f t="shared" si="33"/>
        <v>Dieticians and nutritionists</v>
      </c>
      <c r="E588">
        <f t="shared" si="35"/>
        <v>0</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0</v>
      </c>
    </row>
    <row r="592" spans="2:5" x14ac:dyDescent="0.35">
      <c r="D592" s="30" t="str">
        <f t="shared" si="33"/>
        <v xml:space="preserve">Medical and dental Prosthetic Technicians </v>
      </c>
      <c r="E592">
        <f t="shared" si="35"/>
        <v>0</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0</v>
      </c>
    </row>
    <row r="595" spans="2:5" x14ac:dyDescent="0.35">
      <c r="D595" s="30" t="str">
        <f t="shared" si="33"/>
        <v xml:space="preserve">Medical Imaging and Therapeutic Equipment Technicians </v>
      </c>
      <c r="E595">
        <f t="shared" si="35"/>
        <v>0</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0</v>
      </c>
    </row>
    <row r="598" spans="2:5" x14ac:dyDescent="0.35">
      <c r="D598" s="30" t="str">
        <f t="shared" si="33"/>
        <v xml:space="preserve">Other non-medical professional staff </v>
      </c>
      <c r="E598">
        <f t="shared" si="35"/>
        <v>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0</v>
      </c>
    </row>
    <row r="601" spans="2:5" x14ac:dyDescent="0.35">
      <c r="D601" s="30" t="str">
        <f t="shared" si="33"/>
        <v xml:space="preserve">Paramedical Practitioners </v>
      </c>
      <c r="E601">
        <f t="shared" si="35"/>
        <v>0</v>
      </c>
    </row>
    <row r="602" spans="2:5" x14ac:dyDescent="0.35">
      <c r="D602" s="30" t="str">
        <f t="shared" si="33"/>
        <v>Physiotherapists and physiotherapy assistants</v>
      </c>
      <c r="E602">
        <f t="shared" si="35"/>
        <v>0</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28915652.500000004</v>
      </c>
      <c r="D606" s="29" t="str">
        <f t="shared" si="33"/>
        <v>Medical Doctors</v>
      </c>
      <c r="E606">
        <f t="shared" ref="E606:E629" si="36">Z3</f>
        <v>0</v>
      </c>
    </row>
    <row r="607" spans="2:5" x14ac:dyDescent="0.35">
      <c r="D607" s="30" t="str">
        <f t="shared" si="33"/>
        <v>Nursing Personnel</v>
      </c>
      <c r="E607">
        <f t="shared" si="36"/>
        <v>0</v>
      </c>
    </row>
    <row r="608" spans="2:5" x14ac:dyDescent="0.35">
      <c r="D608" s="30" t="str">
        <f t="shared" si="33"/>
        <v>Midwifery personnel</v>
      </c>
      <c r="E608">
        <f t="shared" si="36"/>
        <v>0</v>
      </c>
    </row>
    <row r="609" spans="4:5" x14ac:dyDescent="0.35">
      <c r="D609" s="30" t="str">
        <f t="shared" si="33"/>
        <v>Pharmacists</v>
      </c>
      <c r="E609">
        <f t="shared" si="36"/>
        <v>0</v>
      </c>
    </row>
    <row r="610" spans="4:5" x14ac:dyDescent="0.35">
      <c r="D610" s="30" t="str">
        <f t="shared" si="33"/>
        <v>Dentists</v>
      </c>
      <c r="E610">
        <f t="shared" si="36"/>
        <v>91</v>
      </c>
    </row>
    <row r="611" spans="4:5" x14ac:dyDescent="0.35">
      <c r="D611" s="30" t="str">
        <f t="shared" si="33"/>
        <v xml:space="preserve">Community Health Workers </v>
      </c>
      <c r="E611">
        <f t="shared" si="36"/>
        <v>41616</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21904982.999999996</v>
      </c>
      <c r="D630" s="29" t="str">
        <f t="shared" si="37"/>
        <v>Medical Doctors</v>
      </c>
      <c r="E630">
        <f t="shared" ref="E630:E653" si="38">AA3</f>
        <v>0</v>
      </c>
    </row>
    <row r="631" spans="2:5" x14ac:dyDescent="0.35">
      <c r="D631" s="30" t="str">
        <f t="shared" si="37"/>
        <v>Nursing Personnel</v>
      </c>
      <c r="E631">
        <f t="shared" si="38"/>
        <v>0</v>
      </c>
    </row>
    <row r="632" spans="2:5" x14ac:dyDescent="0.35">
      <c r="D632" s="30" t="str">
        <f t="shared" si="37"/>
        <v>Midwifery personnel</v>
      </c>
      <c r="E632">
        <f t="shared" si="38"/>
        <v>0</v>
      </c>
    </row>
    <row r="633" spans="2:5" x14ac:dyDescent="0.35">
      <c r="D633" s="30" t="str">
        <f t="shared" si="37"/>
        <v>Pharmacists</v>
      </c>
      <c r="E633">
        <f t="shared" si="38"/>
        <v>82</v>
      </c>
    </row>
    <row r="634" spans="2:5" x14ac:dyDescent="0.35">
      <c r="D634" s="30" t="str">
        <f t="shared" si="37"/>
        <v>Dentists</v>
      </c>
      <c r="E634">
        <f t="shared" si="38"/>
        <v>53</v>
      </c>
    </row>
    <row r="635" spans="2:5" x14ac:dyDescent="0.35">
      <c r="D635" s="30" t="str">
        <f t="shared" si="37"/>
        <v xml:space="preserve">Community Health Workers </v>
      </c>
      <c r="E635">
        <f t="shared" si="38"/>
        <v>0</v>
      </c>
    </row>
    <row r="636" spans="2:5" x14ac:dyDescent="0.35">
      <c r="D636" s="30" t="str">
        <f t="shared" si="37"/>
        <v>Dieticians and nutritionists</v>
      </c>
      <c r="E636">
        <f t="shared" si="38"/>
        <v>0</v>
      </c>
    </row>
    <row r="637" spans="2:5" x14ac:dyDescent="0.35">
      <c r="D637" s="30" t="str">
        <f t="shared" si="37"/>
        <v>Environmental and occupational health &amp; hygiene workers</v>
      </c>
      <c r="E637">
        <f t="shared" si="38"/>
        <v>0</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0</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32077072.000000011</v>
      </c>
      <c r="D654" s="32" t="str">
        <f t="shared" si="37"/>
        <v>Medical Doctors</v>
      </c>
      <c r="E654">
        <f t="shared" ref="E654:E677" si="39">AB3</f>
        <v>6016</v>
      </c>
    </row>
    <row r="655" spans="2:5" x14ac:dyDescent="0.35">
      <c r="D655" s="30" t="str">
        <f t="shared" si="37"/>
        <v>Nursing Personnel</v>
      </c>
      <c r="E655">
        <f t="shared" si="39"/>
        <v>21856</v>
      </c>
    </row>
    <row r="656" spans="2:5" x14ac:dyDescent="0.35">
      <c r="D656" s="30" t="str">
        <f t="shared" si="37"/>
        <v>Midwifery personnel</v>
      </c>
      <c r="E656">
        <f t="shared" si="39"/>
        <v>14556</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7329</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3318</v>
      </c>
    </row>
    <row r="664" spans="4:5" x14ac:dyDescent="0.35">
      <c r="D664" s="30" t="str">
        <f t="shared" si="37"/>
        <v xml:space="preserve">Medical and dental Prosthetic Technicians </v>
      </c>
      <c r="E664">
        <f t="shared" si="39"/>
        <v>0</v>
      </c>
    </row>
    <row r="665" spans="4:5" x14ac:dyDescent="0.35">
      <c r="D665" s="30" t="str">
        <f t="shared" si="37"/>
        <v xml:space="preserve">Medical and Pathology Laboratory scientists </v>
      </c>
      <c r="E665">
        <f t="shared" si="39"/>
        <v>1912</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264</v>
      </c>
    </row>
    <row r="668" spans="4:5" x14ac:dyDescent="0.35">
      <c r="D668" s="30" t="str">
        <f t="shared" si="37"/>
        <v xml:space="preserve">Medical Records and Health Information Technicians </v>
      </c>
      <c r="E668">
        <f t="shared" si="39"/>
        <v>0</v>
      </c>
    </row>
    <row r="669" spans="4:5" x14ac:dyDescent="0.35">
      <c r="D669" s="30" t="str">
        <f t="shared" si="37"/>
        <v xml:space="preserve">Optometrists and Ophthalmic Opticians </v>
      </c>
      <c r="E669">
        <f t="shared" si="39"/>
        <v>151</v>
      </c>
    </row>
    <row r="670" spans="4:5" x14ac:dyDescent="0.35">
      <c r="D670" s="30" t="str">
        <f t="shared" si="37"/>
        <v xml:space="preserve">Other non-medical professional staff </v>
      </c>
      <c r="E670">
        <f t="shared" si="39"/>
        <v>3530</v>
      </c>
    </row>
    <row r="671" spans="4:5" x14ac:dyDescent="0.35">
      <c r="D671" s="30" t="str">
        <f t="shared" si="37"/>
        <v xml:space="preserve">Other non-medical support staff </v>
      </c>
      <c r="E671">
        <f t="shared" si="39"/>
        <v>10717</v>
      </c>
    </row>
    <row r="672" spans="4:5" x14ac:dyDescent="0.35">
      <c r="D672" s="30" t="str">
        <f t="shared" si="37"/>
        <v xml:space="preserve">Medical and Pathology Laboratory Technicians </v>
      </c>
      <c r="E672">
        <f t="shared" si="39"/>
        <v>301</v>
      </c>
    </row>
    <row r="673" spans="2:5" x14ac:dyDescent="0.35">
      <c r="D673" s="30" t="str">
        <f t="shared" si="37"/>
        <v xml:space="preserve">Paramedical Practitioners </v>
      </c>
      <c r="E673">
        <f t="shared" si="39"/>
        <v>0</v>
      </c>
    </row>
    <row r="674" spans="2:5" x14ac:dyDescent="0.35">
      <c r="D674" s="30" t="str">
        <f t="shared" si="37"/>
        <v>Physiotherapists and physiotherapy assistants</v>
      </c>
      <c r="E674">
        <f t="shared" si="39"/>
        <v>535</v>
      </c>
    </row>
    <row r="675" spans="2:5" x14ac:dyDescent="0.35">
      <c r="D675" s="30" t="str">
        <f t="shared" si="37"/>
        <v>Social workers</v>
      </c>
      <c r="E675">
        <f t="shared" si="39"/>
        <v>552</v>
      </c>
    </row>
    <row r="676" spans="2:5" x14ac:dyDescent="0.35">
      <c r="D676" s="30" t="str">
        <f t="shared" si="37"/>
        <v xml:space="preserve">Audiologists and Speech Therapists </v>
      </c>
      <c r="E676">
        <f t="shared" si="39"/>
        <v>0</v>
      </c>
    </row>
    <row r="677" spans="2:5" x14ac:dyDescent="0.35">
      <c r="D677" s="30" t="str">
        <f t="shared" si="37"/>
        <v>Traditional and complementary medicine practitioners</v>
      </c>
      <c r="E677">
        <f t="shared" si="39"/>
        <v>0</v>
      </c>
    </row>
    <row r="678" spans="2:5" x14ac:dyDescent="0.35">
      <c r="B678" t="str">
        <f>AC1</f>
        <v>MRT</v>
      </c>
      <c r="C678">
        <f>AC2</f>
        <v>4614974</v>
      </c>
      <c r="D678" s="29" t="str">
        <f t="shared" si="37"/>
        <v>Medical Doctors</v>
      </c>
      <c r="E678">
        <f t="shared" ref="E678:E701" si="40">AC3</f>
        <v>2070</v>
      </c>
    </row>
    <row r="679" spans="2:5" x14ac:dyDescent="0.35">
      <c r="D679" s="30" t="str">
        <f t="shared" si="37"/>
        <v>Nursing Personnel</v>
      </c>
      <c r="E679">
        <f t="shared" si="40"/>
        <v>12312</v>
      </c>
    </row>
    <row r="680" spans="2:5" x14ac:dyDescent="0.35">
      <c r="D680" s="30" t="str">
        <f t="shared" si="37"/>
        <v>Midwifery personnel</v>
      </c>
      <c r="E680">
        <f t="shared" si="40"/>
        <v>2504</v>
      </c>
    </row>
    <row r="681" spans="2:5" x14ac:dyDescent="0.35">
      <c r="D681" s="30" t="str">
        <f t="shared" si="37"/>
        <v>Pharmacists</v>
      </c>
      <c r="E681">
        <f t="shared" si="40"/>
        <v>0</v>
      </c>
    </row>
    <row r="682" spans="2:5" x14ac:dyDescent="0.35">
      <c r="D682" s="30" t="str">
        <f t="shared" si="37"/>
        <v>Dentists</v>
      </c>
      <c r="E682">
        <f t="shared" si="40"/>
        <v>0</v>
      </c>
    </row>
    <row r="683" spans="2:5" x14ac:dyDescent="0.35">
      <c r="D683" s="30" t="str">
        <f t="shared" si="37"/>
        <v xml:space="preserve">Community Health Workers </v>
      </c>
      <c r="E683">
        <f t="shared" si="40"/>
        <v>0</v>
      </c>
    </row>
    <row r="684" spans="2:5" x14ac:dyDescent="0.35">
      <c r="D684" s="30" t="str">
        <f t="shared" si="37"/>
        <v>Dieticians and nutritionists</v>
      </c>
      <c r="E684">
        <f t="shared" si="40"/>
        <v>0</v>
      </c>
    </row>
    <row r="685" spans="2:5" x14ac:dyDescent="0.35">
      <c r="D685" s="30" t="str">
        <f t="shared" si="37"/>
        <v>Environmental and occupational health &amp; hygiene workers</v>
      </c>
      <c r="E685">
        <f t="shared" si="40"/>
        <v>0</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1298914.4999999995</v>
      </c>
      <c r="D702" s="29" t="str">
        <f t="shared" si="41"/>
        <v>Medical Doctors</v>
      </c>
      <c r="E702">
        <f t="shared" ref="E702:E725" si="42">AD3</f>
        <v>0</v>
      </c>
    </row>
    <row r="703" spans="2:5" x14ac:dyDescent="0.35">
      <c r="D703" s="30" t="str">
        <f t="shared" si="41"/>
        <v>Nursing Personnel</v>
      </c>
      <c r="E703">
        <f t="shared" si="42"/>
        <v>0</v>
      </c>
    </row>
    <row r="704" spans="2:5" x14ac:dyDescent="0.35">
      <c r="D704" s="30" t="str">
        <f t="shared" si="41"/>
        <v>Midwifery personnel</v>
      </c>
      <c r="E704">
        <f t="shared" si="42"/>
        <v>0</v>
      </c>
    </row>
    <row r="705" spans="4:5" x14ac:dyDescent="0.35">
      <c r="D705" s="30" t="str">
        <f t="shared" si="41"/>
        <v>Pharmacists</v>
      </c>
      <c r="E705">
        <f t="shared" si="42"/>
        <v>0</v>
      </c>
    </row>
    <row r="706" spans="4:5" x14ac:dyDescent="0.35">
      <c r="D706" s="30" t="str">
        <f t="shared" si="41"/>
        <v>Dentists</v>
      </c>
      <c r="E706">
        <f t="shared" si="42"/>
        <v>0</v>
      </c>
    </row>
    <row r="707" spans="4:5" x14ac:dyDescent="0.35">
      <c r="D707" s="30" t="str">
        <f t="shared" si="41"/>
        <v xml:space="preserve">Community Health Workers </v>
      </c>
      <c r="E707">
        <f t="shared" si="42"/>
        <v>0</v>
      </c>
    </row>
    <row r="708" spans="4:5" x14ac:dyDescent="0.35">
      <c r="D708" s="30" t="str">
        <f t="shared" si="41"/>
        <v>Dieticians and nutritionists</v>
      </c>
      <c r="E708">
        <f t="shared" si="42"/>
        <v>0</v>
      </c>
    </row>
    <row r="709" spans="4:5" x14ac:dyDescent="0.35">
      <c r="D709" s="30" t="str">
        <f t="shared" si="41"/>
        <v>Environmental and occupational health &amp; hygiene workers</v>
      </c>
      <c r="E709">
        <f t="shared" si="42"/>
        <v>0</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0</v>
      </c>
    </row>
    <row r="717" spans="4:5" x14ac:dyDescent="0.35">
      <c r="D717" s="30" t="str">
        <f t="shared" si="41"/>
        <v xml:space="preserve">Optometrists and Ophthalmic Opticians </v>
      </c>
      <c r="E717">
        <f t="shared" si="42"/>
        <v>0</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0</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0</v>
      </c>
    </row>
    <row r="725" spans="2:5" x14ac:dyDescent="0.35">
      <c r="D725" s="30" t="str">
        <f t="shared" si="41"/>
        <v>Traditional and complementary medicine practitioners</v>
      </c>
      <c r="E725">
        <f t="shared" si="42"/>
        <v>0</v>
      </c>
    </row>
    <row r="726" spans="2:5" x14ac:dyDescent="0.35">
      <c r="B726" t="str">
        <f>AE1</f>
        <v>MWI</v>
      </c>
      <c r="C726">
        <f>AE2</f>
        <v>19889742.000000011</v>
      </c>
      <c r="D726" s="29" t="str">
        <f t="shared" si="41"/>
        <v>Medical Doctors</v>
      </c>
      <c r="E726">
        <f t="shared" ref="E726:E749" si="43">AE3</f>
        <v>0</v>
      </c>
    </row>
    <row r="727" spans="2:5" x14ac:dyDescent="0.35">
      <c r="D727" s="30" t="str">
        <f t="shared" si="41"/>
        <v>Nursing Personnel</v>
      </c>
      <c r="E727">
        <f t="shared" si="43"/>
        <v>0</v>
      </c>
    </row>
    <row r="728" spans="2:5" x14ac:dyDescent="0.35">
      <c r="D728" s="30" t="str">
        <f t="shared" si="41"/>
        <v>Midwifery personnel</v>
      </c>
      <c r="E728">
        <f t="shared" si="43"/>
        <v>0</v>
      </c>
    </row>
    <row r="729" spans="2:5" x14ac:dyDescent="0.35">
      <c r="D729" s="30" t="str">
        <f t="shared" si="41"/>
        <v>Pharmacists</v>
      </c>
      <c r="E729">
        <f t="shared" si="43"/>
        <v>0</v>
      </c>
    </row>
    <row r="730" spans="2:5" x14ac:dyDescent="0.35">
      <c r="D730" s="30" t="str">
        <f t="shared" si="41"/>
        <v>Dentists</v>
      </c>
      <c r="E730">
        <f t="shared" si="43"/>
        <v>0</v>
      </c>
    </row>
    <row r="731" spans="2:5" x14ac:dyDescent="0.35">
      <c r="D731" s="30" t="str">
        <f t="shared" si="41"/>
        <v xml:space="preserve">Community Health Workers </v>
      </c>
      <c r="E731">
        <f t="shared" si="43"/>
        <v>0</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0</v>
      </c>
    </row>
    <row r="736" spans="2:5" x14ac:dyDescent="0.35">
      <c r="D736" s="30" t="str">
        <f t="shared" si="41"/>
        <v xml:space="preserve">Medical and dental Prosthetic Technicians </v>
      </c>
      <c r="E736">
        <f t="shared" si="43"/>
        <v>0</v>
      </c>
    </row>
    <row r="737" spans="2:5" x14ac:dyDescent="0.35">
      <c r="D737" s="30" t="str">
        <f t="shared" si="41"/>
        <v xml:space="preserve">Medical and Pathology Laboratory scientists </v>
      </c>
      <c r="E737">
        <f t="shared" si="43"/>
        <v>0</v>
      </c>
    </row>
    <row r="738" spans="2:5" x14ac:dyDescent="0.35">
      <c r="D738" s="30" t="str">
        <f t="shared" si="41"/>
        <v xml:space="preserve">Medical Assistants </v>
      </c>
      <c r="E738">
        <f t="shared" si="43"/>
        <v>0</v>
      </c>
    </row>
    <row r="739" spans="2:5" x14ac:dyDescent="0.35">
      <c r="D739" s="30" t="str">
        <f t="shared" si="41"/>
        <v xml:space="preserve">Medical Imaging and Therapeutic Equipment Technicians </v>
      </c>
      <c r="E739">
        <f t="shared" si="43"/>
        <v>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0</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0</v>
      </c>
    </row>
    <row r="744" spans="2:5" x14ac:dyDescent="0.35">
      <c r="D744" s="30" t="str">
        <f t="shared" si="41"/>
        <v xml:space="preserve">Medical and Pathology Laboratory Technicians </v>
      </c>
      <c r="E744">
        <f t="shared" si="43"/>
        <v>0</v>
      </c>
    </row>
    <row r="745" spans="2:5" x14ac:dyDescent="0.35">
      <c r="D745" s="30" t="str">
        <f t="shared" si="41"/>
        <v xml:space="preserve">Paramedical Practitioners </v>
      </c>
      <c r="E745">
        <f t="shared" si="43"/>
        <v>0</v>
      </c>
    </row>
    <row r="746" spans="2:5" x14ac:dyDescent="0.35">
      <c r="D746" s="30" t="str">
        <f t="shared" si="41"/>
        <v>Physiotherapists and physiotherapy assistants</v>
      </c>
      <c r="E746">
        <f t="shared" si="43"/>
        <v>0</v>
      </c>
    </row>
    <row r="747" spans="2:5" x14ac:dyDescent="0.35">
      <c r="D747" s="30" t="str">
        <f t="shared" si="41"/>
        <v>Social workers</v>
      </c>
      <c r="E747">
        <f t="shared" si="43"/>
        <v>0</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0</v>
      </c>
    </row>
    <row r="750" spans="2:5" x14ac:dyDescent="0.35">
      <c r="B750" t="str">
        <f>AF1</f>
        <v>NAM</v>
      </c>
      <c r="C750">
        <f>AF2</f>
        <v>2530150.5000000014</v>
      </c>
      <c r="D750" s="29" t="str">
        <f t="shared" ref="D750:D813" si="44">D726</f>
        <v>Medical Doctors</v>
      </c>
      <c r="E750">
        <f t="shared" ref="E750:E773" si="45">AF3</f>
        <v>2549</v>
      </c>
    </row>
    <row r="751" spans="2:5" x14ac:dyDescent="0.35">
      <c r="D751" s="30" t="str">
        <f t="shared" si="44"/>
        <v>Nursing Personnel</v>
      </c>
      <c r="E751">
        <f t="shared" si="45"/>
        <v>14332</v>
      </c>
    </row>
    <row r="752" spans="2:5" x14ac:dyDescent="0.35">
      <c r="D752" s="30" t="str">
        <f t="shared" si="44"/>
        <v>Midwifery personnel</v>
      </c>
      <c r="E752">
        <f t="shared" si="45"/>
        <v>12</v>
      </c>
    </row>
    <row r="753" spans="4:5" x14ac:dyDescent="0.35">
      <c r="D753" s="30" t="str">
        <f t="shared" si="44"/>
        <v>Pharmacists</v>
      </c>
      <c r="E753">
        <f t="shared" si="45"/>
        <v>0</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0</v>
      </c>
    </row>
    <row r="759" spans="4:5" x14ac:dyDescent="0.35">
      <c r="D759" s="30" t="str">
        <f t="shared" si="44"/>
        <v xml:space="preserve">Managerial staff </v>
      </c>
      <c r="E759">
        <f t="shared" si="45"/>
        <v>0</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3</v>
      </c>
    </row>
    <row r="763" spans="4:5" x14ac:dyDescent="0.35">
      <c r="D763" s="30" t="str">
        <f t="shared" si="44"/>
        <v xml:space="preserve">Medical Imaging and Therapeutic Equipment Technicians </v>
      </c>
      <c r="E763">
        <f t="shared" si="45"/>
        <v>0</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99</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99</v>
      </c>
    </row>
    <row r="769" spans="2:5" x14ac:dyDescent="0.35">
      <c r="D769" s="30" t="str">
        <f t="shared" si="44"/>
        <v xml:space="preserve">Paramedical Practitioners </v>
      </c>
      <c r="E769">
        <f t="shared" si="45"/>
        <v>63</v>
      </c>
    </row>
    <row r="770" spans="2:5" x14ac:dyDescent="0.35">
      <c r="D770" s="30" t="str">
        <f t="shared" si="44"/>
        <v>Physiotherapists and physiotherapy assistants</v>
      </c>
      <c r="E770">
        <f t="shared" si="45"/>
        <v>140</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25252721.999999989</v>
      </c>
      <c r="D774" s="29" t="str">
        <f t="shared" si="44"/>
        <v>Medical Doctors</v>
      </c>
      <c r="E774">
        <f t="shared" ref="E774:E797" si="46">AG3</f>
        <v>0</v>
      </c>
    </row>
    <row r="775" spans="2:5" x14ac:dyDescent="0.35">
      <c r="D775" s="30" t="str">
        <f t="shared" si="44"/>
        <v>Nursing Personnel</v>
      </c>
      <c r="E775">
        <f t="shared" si="46"/>
        <v>0</v>
      </c>
    </row>
    <row r="776" spans="2:5" x14ac:dyDescent="0.35">
      <c r="D776" s="30" t="str">
        <f t="shared" si="44"/>
        <v>Midwifery personnel</v>
      </c>
      <c r="E776">
        <f t="shared" si="46"/>
        <v>0</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0</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0</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0</v>
      </c>
    </row>
    <row r="793" spans="2:5" x14ac:dyDescent="0.35">
      <c r="D793" s="30" t="str">
        <f t="shared" si="44"/>
        <v xml:space="preserve">Paramedical Practitioners </v>
      </c>
      <c r="E793">
        <f t="shared" si="46"/>
        <v>0</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213401322.49999997</v>
      </c>
      <c r="D798" s="29" t="str">
        <f t="shared" si="44"/>
        <v>Medical Doctors</v>
      </c>
      <c r="E798">
        <f t="shared" ref="E798:E821" si="47">AH3</f>
        <v>168695</v>
      </c>
    </row>
    <row r="799" spans="2:5" x14ac:dyDescent="0.35">
      <c r="D799" s="30" t="str">
        <f t="shared" si="44"/>
        <v>Nursing Personnel</v>
      </c>
      <c r="E799">
        <f t="shared" si="47"/>
        <v>535392</v>
      </c>
    </row>
    <row r="800" spans="2:5" x14ac:dyDescent="0.35">
      <c r="D800" s="30" t="str">
        <f t="shared" si="44"/>
        <v>Midwifery personnel</v>
      </c>
      <c r="E800">
        <f t="shared" si="47"/>
        <v>263844</v>
      </c>
    </row>
    <row r="801" spans="4:5" x14ac:dyDescent="0.35">
      <c r="D801" s="30" t="str">
        <f t="shared" si="44"/>
        <v>Pharmacists</v>
      </c>
      <c r="E801">
        <f t="shared" si="47"/>
        <v>419</v>
      </c>
    </row>
    <row r="802" spans="4:5" x14ac:dyDescent="0.35">
      <c r="D802" s="30" t="str">
        <f t="shared" si="44"/>
        <v>Dentists</v>
      </c>
      <c r="E802">
        <f t="shared" si="47"/>
        <v>30</v>
      </c>
    </row>
    <row r="803" spans="4:5" x14ac:dyDescent="0.35">
      <c r="D803" s="30" t="str">
        <f t="shared" si="44"/>
        <v xml:space="preserve">Community Health Workers </v>
      </c>
      <c r="E803">
        <f t="shared" si="47"/>
        <v>7912</v>
      </c>
    </row>
    <row r="804" spans="4:5" x14ac:dyDescent="0.35">
      <c r="D804" s="30" t="str">
        <f t="shared" si="44"/>
        <v>Dieticians and nutritionists</v>
      </c>
      <c r="E804">
        <f t="shared" si="47"/>
        <v>77</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48589</v>
      </c>
    </row>
    <row r="809" spans="4:5" x14ac:dyDescent="0.35">
      <c r="D809" s="30" t="str">
        <f t="shared" si="44"/>
        <v xml:space="preserve">Medical and Pathology Laboratory scientists </v>
      </c>
      <c r="E809">
        <f t="shared" si="47"/>
        <v>37181</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0</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5485</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34554</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0</v>
      </c>
    </row>
    <row r="819" spans="2:5" x14ac:dyDescent="0.35">
      <c r="D819" s="30" t="str">
        <f t="shared" si="48"/>
        <v>Social workers</v>
      </c>
      <c r="E819">
        <f t="shared" si="47"/>
        <v>0</v>
      </c>
    </row>
    <row r="820" spans="2:5" x14ac:dyDescent="0.35">
      <c r="D820" s="30" t="str">
        <f t="shared" si="48"/>
        <v xml:space="preserve">Audiologists and Speech Therapists </v>
      </c>
      <c r="E820">
        <f t="shared" si="47"/>
        <v>0</v>
      </c>
    </row>
    <row r="821" spans="2:5" x14ac:dyDescent="0.35">
      <c r="D821" s="30" t="str">
        <f t="shared" si="48"/>
        <v>Traditional and complementary medicine practitioners</v>
      </c>
      <c r="E821">
        <f t="shared" si="47"/>
        <v>0</v>
      </c>
    </row>
    <row r="822" spans="2:5" x14ac:dyDescent="0.35">
      <c r="B822" t="str">
        <f>AI1</f>
        <v>RWA</v>
      </c>
      <c r="C822">
        <f>AI2</f>
        <v>13461887.499999998</v>
      </c>
      <c r="D822" s="29" t="str">
        <f t="shared" si="48"/>
        <v>Medical Doctors</v>
      </c>
      <c r="E822">
        <f t="shared" ref="E822:E845" si="49">AI3</f>
        <v>0</v>
      </c>
    </row>
    <row r="823" spans="2:5" x14ac:dyDescent="0.35">
      <c r="D823" s="30" t="str">
        <f t="shared" si="48"/>
        <v>Nursing Personnel</v>
      </c>
      <c r="E823">
        <f t="shared" si="49"/>
        <v>0</v>
      </c>
    </row>
    <row r="824" spans="2:5" x14ac:dyDescent="0.35">
      <c r="D824" s="30" t="str">
        <f t="shared" si="48"/>
        <v>Midwifery personnel</v>
      </c>
      <c r="E824">
        <f t="shared" si="49"/>
        <v>0</v>
      </c>
    </row>
    <row r="825" spans="2:5" x14ac:dyDescent="0.35">
      <c r="D825" s="30" t="str">
        <f t="shared" si="48"/>
        <v>Pharmacists</v>
      </c>
      <c r="E825">
        <f t="shared" si="49"/>
        <v>114</v>
      </c>
    </row>
    <row r="826" spans="2:5" x14ac:dyDescent="0.35">
      <c r="D826" s="30" t="str">
        <f t="shared" si="48"/>
        <v>Dentists</v>
      </c>
      <c r="E826">
        <f t="shared" si="49"/>
        <v>127</v>
      </c>
    </row>
    <row r="827" spans="2:5" x14ac:dyDescent="0.35">
      <c r="D827" s="30" t="str">
        <f t="shared" si="48"/>
        <v xml:space="preserve">Community Health Workers </v>
      </c>
      <c r="E827">
        <f t="shared" si="49"/>
        <v>0</v>
      </c>
    </row>
    <row r="828" spans="2:5" x14ac:dyDescent="0.35">
      <c r="D828" s="30" t="str">
        <f t="shared" si="48"/>
        <v>Dieticians and nutritionists</v>
      </c>
      <c r="E828">
        <f t="shared" si="49"/>
        <v>207</v>
      </c>
    </row>
    <row r="829" spans="2:5" x14ac:dyDescent="0.35">
      <c r="D829" s="30" t="str">
        <f t="shared" si="48"/>
        <v>Environmental and occupational health &amp; hygiene workers</v>
      </c>
      <c r="E829">
        <f t="shared" si="49"/>
        <v>226</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0</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16876719.999999996</v>
      </c>
      <c r="D846" s="29" t="str">
        <f t="shared" si="48"/>
        <v>Medical Doctors</v>
      </c>
      <c r="E846">
        <f t="shared" ref="E846:E869" si="50">AJ3</f>
        <v>4634</v>
      </c>
    </row>
    <row r="847" spans="2:5" x14ac:dyDescent="0.35">
      <c r="D847" s="30" t="str">
        <f t="shared" si="48"/>
        <v>Nursing Personnel</v>
      </c>
      <c r="E847">
        <f t="shared" si="50"/>
        <v>12954</v>
      </c>
    </row>
    <row r="848" spans="2:5" x14ac:dyDescent="0.35">
      <c r="D848" s="30" t="str">
        <f t="shared" si="48"/>
        <v>Midwifery personnel</v>
      </c>
      <c r="E848">
        <f t="shared" si="50"/>
        <v>5478</v>
      </c>
    </row>
    <row r="849" spans="4:5" x14ac:dyDescent="0.35">
      <c r="D849" s="30" t="str">
        <f t="shared" si="48"/>
        <v>Pharmacists</v>
      </c>
      <c r="E849">
        <f t="shared" si="50"/>
        <v>0</v>
      </c>
    </row>
    <row r="850" spans="4:5" x14ac:dyDescent="0.35">
      <c r="D850" s="30" t="str">
        <f t="shared" si="48"/>
        <v>Dentists</v>
      </c>
      <c r="E850">
        <f t="shared" si="50"/>
        <v>0</v>
      </c>
    </row>
    <row r="851" spans="4:5" x14ac:dyDescent="0.35">
      <c r="D851" s="30" t="str">
        <f t="shared" si="48"/>
        <v xml:space="preserve">Community Health Workers </v>
      </c>
      <c r="E851">
        <f t="shared" si="50"/>
        <v>16443</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0</v>
      </c>
    </row>
    <row r="854" spans="4:5" x14ac:dyDescent="0.35">
      <c r="D854" s="30" t="str">
        <f t="shared" si="48"/>
        <v>Personal care workers in health service</v>
      </c>
      <c r="E854">
        <f t="shared" si="50"/>
        <v>949</v>
      </c>
    </row>
    <row r="855" spans="4:5" x14ac:dyDescent="0.35">
      <c r="D855" s="30" t="str">
        <f t="shared" si="48"/>
        <v xml:space="preserve">Managerial staff </v>
      </c>
      <c r="E855">
        <f t="shared" si="50"/>
        <v>188</v>
      </c>
    </row>
    <row r="856" spans="4:5" x14ac:dyDescent="0.35">
      <c r="D856" s="30" t="str">
        <f t="shared" si="48"/>
        <v xml:space="preserve">Medical and dental Prosthetic Technicians </v>
      </c>
      <c r="E856">
        <f t="shared" si="50"/>
        <v>98</v>
      </c>
    </row>
    <row r="857" spans="4:5" x14ac:dyDescent="0.35">
      <c r="D857" s="30" t="str">
        <f t="shared" si="48"/>
        <v xml:space="preserve">Medical and Pathology Laboratory scientists </v>
      </c>
      <c r="E857">
        <f t="shared" si="50"/>
        <v>434</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123</v>
      </c>
    </row>
    <row r="860" spans="4:5" x14ac:dyDescent="0.35">
      <c r="D860" s="30" t="str">
        <f t="shared" si="48"/>
        <v xml:space="preserve">Medical Records and Health Information Technicians </v>
      </c>
      <c r="E860">
        <f t="shared" si="50"/>
        <v>2</v>
      </c>
    </row>
    <row r="861" spans="4:5" x14ac:dyDescent="0.35">
      <c r="D861" s="30" t="str">
        <f t="shared" si="48"/>
        <v xml:space="preserve">Optometrists and Ophthalmic Opticians </v>
      </c>
      <c r="E861">
        <f t="shared" si="50"/>
        <v>107</v>
      </c>
    </row>
    <row r="862" spans="4:5" x14ac:dyDescent="0.35">
      <c r="D862" s="30" t="str">
        <f t="shared" si="48"/>
        <v xml:space="preserve">Other non-medical professional staff </v>
      </c>
      <c r="E862">
        <f t="shared" si="50"/>
        <v>16</v>
      </c>
    </row>
    <row r="863" spans="4:5" x14ac:dyDescent="0.35">
      <c r="D863" s="30" t="str">
        <f t="shared" si="48"/>
        <v xml:space="preserve">Other non-medical support staff </v>
      </c>
      <c r="E863">
        <f t="shared" si="50"/>
        <v>344</v>
      </c>
    </row>
    <row r="864" spans="4:5" x14ac:dyDescent="0.35">
      <c r="D864" s="30" t="str">
        <f t="shared" si="48"/>
        <v xml:space="preserve">Medical and Pathology Laboratory Technicians </v>
      </c>
      <c r="E864">
        <f t="shared" si="50"/>
        <v>14</v>
      </c>
    </row>
    <row r="865" spans="2:5" x14ac:dyDescent="0.35">
      <c r="D865" s="30" t="str">
        <f t="shared" si="48"/>
        <v xml:space="preserve">Paramedical Practitioners </v>
      </c>
      <c r="E865">
        <f t="shared" si="50"/>
        <v>917</v>
      </c>
    </row>
    <row r="866" spans="2:5" x14ac:dyDescent="0.35">
      <c r="D866" s="30" t="str">
        <f t="shared" si="48"/>
        <v>Physiotherapists and physiotherapy assistants</v>
      </c>
      <c r="E866">
        <f t="shared" si="50"/>
        <v>0</v>
      </c>
    </row>
    <row r="867" spans="2:5" x14ac:dyDescent="0.35">
      <c r="D867" s="30" t="str">
        <f t="shared" si="48"/>
        <v>Social workers</v>
      </c>
      <c r="E867">
        <f t="shared" si="50"/>
        <v>173</v>
      </c>
    </row>
    <row r="868" spans="2:5" x14ac:dyDescent="0.35">
      <c r="D868" s="30" t="str">
        <f t="shared" si="48"/>
        <v xml:space="preserve">Audiologists and Speech Therapists </v>
      </c>
      <c r="E868">
        <f t="shared" si="50"/>
        <v>0</v>
      </c>
    </row>
    <row r="869" spans="2:5" x14ac:dyDescent="0.35">
      <c r="D869" s="30" t="str">
        <f t="shared" si="48"/>
        <v>Traditional and complementary medicine practitioners</v>
      </c>
      <c r="E869">
        <f t="shared" si="50"/>
        <v>0</v>
      </c>
    </row>
    <row r="870" spans="2:5" x14ac:dyDescent="0.35">
      <c r="B870" t="str">
        <f>AK1</f>
        <v>SLE</v>
      </c>
      <c r="C870">
        <f>AK2</f>
        <v>8420641.0000000037</v>
      </c>
      <c r="D870" s="29" t="str">
        <f t="shared" si="48"/>
        <v>Medical Doctors</v>
      </c>
      <c r="E870">
        <f t="shared" ref="E870:E893" si="51">AK3</f>
        <v>0</v>
      </c>
    </row>
    <row r="871" spans="2:5" x14ac:dyDescent="0.35">
      <c r="D871" s="30" t="str">
        <f t="shared" si="48"/>
        <v>Nursing Personnel</v>
      </c>
      <c r="E871">
        <f t="shared" si="51"/>
        <v>0</v>
      </c>
    </row>
    <row r="872" spans="2:5" x14ac:dyDescent="0.35">
      <c r="D872" s="30" t="str">
        <f t="shared" si="48"/>
        <v>Midwifery personnel</v>
      </c>
      <c r="E872">
        <f t="shared" si="51"/>
        <v>0</v>
      </c>
    </row>
    <row r="873" spans="2:5" x14ac:dyDescent="0.35">
      <c r="D873" s="30" t="str">
        <f t="shared" si="48"/>
        <v>Pharmacists</v>
      </c>
      <c r="E873">
        <f t="shared" si="51"/>
        <v>4740</v>
      </c>
    </row>
    <row r="874" spans="2:5" x14ac:dyDescent="0.35">
      <c r="D874" s="30" t="str">
        <f t="shared" si="48"/>
        <v>Dentists</v>
      </c>
      <c r="E874">
        <f t="shared" si="51"/>
        <v>610</v>
      </c>
    </row>
    <row r="875" spans="2:5" x14ac:dyDescent="0.35">
      <c r="D875" s="30" t="str">
        <f t="shared" si="48"/>
        <v xml:space="preserve">Community Health Workers </v>
      </c>
      <c r="E875">
        <f t="shared" si="51"/>
        <v>0</v>
      </c>
    </row>
    <row r="876" spans="2:5" x14ac:dyDescent="0.35">
      <c r="D876" s="30" t="str">
        <f t="shared" si="48"/>
        <v>Dieticians and nutritionists</v>
      </c>
      <c r="E876">
        <f t="shared" si="51"/>
        <v>120</v>
      </c>
    </row>
    <row r="877" spans="2:5" x14ac:dyDescent="0.35">
      <c r="D877" s="30" t="str">
        <f t="shared" si="48"/>
        <v>Environmental and occupational health &amp; hygiene workers</v>
      </c>
      <c r="E877">
        <f t="shared" si="51"/>
        <v>790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0</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0</v>
      </c>
    </row>
    <row r="884" spans="2:5" x14ac:dyDescent="0.35">
      <c r="D884" s="30" t="str">
        <f t="shared" si="52"/>
        <v xml:space="preserve">Medical Records and Health Information Technicians </v>
      </c>
      <c r="E884">
        <f t="shared" si="51"/>
        <v>0</v>
      </c>
    </row>
    <row r="885" spans="2:5" x14ac:dyDescent="0.35">
      <c r="D885" s="30" t="str">
        <f t="shared" si="52"/>
        <v xml:space="preserve">Optometrists and Ophthalmic Opticians </v>
      </c>
      <c r="E885">
        <f t="shared" si="51"/>
        <v>0</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0</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10748272.499999998</v>
      </c>
      <c r="D894" s="29" t="str">
        <f t="shared" si="52"/>
        <v>Medical Doctors</v>
      </c>
      <c r="E894">
        <f t="shared" ref="E894:E917" si="53">AL3</f>
        <v>0</v>
      </c>
    </row>
    <row r="895" spans="2:5" x14ac:dyDescent="0.35">
      <c r="D895" s="30" t="str">
        <f t="shared" si="52"/>
        <v>Nursing Personnel</v>
      </c>
      <c r="E895">
        <f t="shared" si="53"/>
        <v>0</v>
      </c>
    </row>
    <row r="896" spans="2:5" x14ac:dyDescent="0.35">
      <c r="D896" s="30" t="str">
        <f t="shared" si="52"/>
        <v>Midwifery personnel</v>
      </c>
      <c r="E896">
        <f t="shared" si="53"/>
        <v>0</v>
      </c>
    </row>
    <row r="897" spans="4:5" x14ac:dyDescent="0.35">
      <c r="D897" s="30" t="str">
        <f t="shared" si="52"/>
        <v>Pharmacists</v>
      </c>
      <c r="E897">
        <f t="shared" si="53"/>
        <v>0</v>
      </c>
    </row>
    <row r="898" spans="4:5" x14ac:dyDescent="0.35">
      <c r="D898" s="30" t="str">
        <f t="shared" si="52"/>
        <v>Dentists</v>
      </c>
      <c r="E898">
        <f t="shared" si="53"/>
        <v>0</v>
      </c>
    </row>
    <row r="899" spans="4:5" x14ac:dyDescent="0.35">
      <c r="D899" s="30" t="str">
        <f t="shared" si="52"/>
        <v xml:space="preserve">Community Health Workers </v>
      </c>
      <c r="E899">
        <f t="shared" si="53"/>
        <v>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0</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223107.49999999991</v>
      </c>
      <c r="D918" s="29" t="str">
        <f t="shared" si="52"/>
        <v>Medical Doctors</v>
      </c>
      <c r="E918">
        <f t="shared" ref="E918:E941" si="54">AM3</f>
        <v>0</v>
      </c>
    </row>
    <row r="919" spans="2:5" x14ac:dyDescent="0.35">
      <c r="D919" s="30" t="str">
        <f t="shared" si="52"/>
        <v>Nursing Personnel</v>
      </c>
      <c r="E919">
        <f t="shared" si="54"/>
        <v>0</v>
      </c>
    </row>
    <row r="920" spans="2:5" x14ac:dyDescent="0.35">
      <c r="D920" s="30" t="str">
        <f t="shared" si="52"/>
        <v>Midwifery personnel</v>
      </c>
      <c r="E920">
        <f t="shared" si="54"/>
        <v>0</v>
      </c>
    </row>
    <row r="921" spans="2:5" x14ac:dyDescent="0.35">
      <c r="D921" s="30" t="str">
        <f t="shared" si="52"/>
        <v>Pharmacists</v>
      </c>
      <c r="E921">
        <f t="shared" si="54"/>
        <v>1057</v>
      </c>
    </row>
    <row r="922" spans="2:5" x14ac:dyDescent="0.35">
      <c r="D922" s="30" t="str">
        <f t="shared" si="52"/>
        <v>Dentists</v>
      </c>
      <c r="E922">
        <f t="shared" si="54"/>
        <v>256</v>
      </c>
    </row>
    <row r="923" spans="2:5" x14ac:dyDescent="0.35">
      <c r="D923" s="30" t="str">
        <f t="shared" si="52"/>
        <v xml:space="preserve">Community Health Workers </v>
      </c>
      <c r="E923">
        <f t="shared" si="54"/>
        <v>0</v>
      </c>
    </row>
    <row r="924" spans="2:5" x14ac:dyDescent="0.35">
      <c r="D924" s="30" t="str">
        <f t="shared" si="52"/>
        <v>Dieticians and nutritionists</v>
      </c>
      <c r="E924">
        <f t="shared" si="54"/>
        <v>44</v>
      </c>
    </row>
    <row r="925" spans="2:5" x14ac:dyDescent="0.35">
      <c r="D925" s="30" t="str">
        <f t="shared" si="52"/>
        <v>Environmental and occupational health &amp; hygiene workers</v>
      </c>
      <c r="E925">
        <f t="shared" si="54"/>
        <v>245</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1192271.0000000002</v>
      </c>
      <c r="D942" s="29" t="str">
        <f t="shared" ref="D942:D1005" si="55">D918</f>
        <v>Medical Doctors</v>
      </c>
      <c r="E942">
        <f t="shared" ref="E942:E965" si="56">AN3</f>
        <v>0</v>
      </c>
    </row>
    <row r="943" spans="2:5" x14ac:dyDescent="0.35">
      <c r="D943" s="30" t="str">
        <f t="shared" si="55"/>
        <v>Nursing Personnel</v>
      </c>
      <c r="E943">
        <f t="shared" si="56"/>
        <v>0</v>
      </c>
    </row>
    <row r="944" spans="2:5" x14ac:dyDescent="0.35">
      <c r="D944" s="30" t="str">
        <f t="shared" si="55"/>
        <v>Midwifery personnel</v>
      </c>
      <c r="E944">
        <f t="shared" si="56"/>
        <v>0</v>
      </c>
    </row>
    <row r="945" spans="4:5" x14ac:dyDescent="0.35">
      <c r="D945" s="30" t="str">
        <f t="shared" si="55"/>
        <v>Pharmacists</v>
      </c>
      <c r="E945">
        <f t="shared" si="56"/>
        <v>0</v>
      </c>
    </row>
    <row r="946" spans="4:5" x14ac:dyDescent="0.35">
      <c r="D946" s="30" t="str">
        <f t="shared" si="55"/>
        <v>Dentists</v>
      </c>
      <c r="E946">
        <f t="shared" si="56"/>
        <v>0</v>
      </c>
    </row>
    <row r="947" spans="4:5" x14ac:dyDescent="0.35">
      <c r="D947" s="30" t="str">
        <f t="shared" si="55"/>
        <v xml:space="preserve">Community Health Workers </v>
      </c>
      <c r="E947">
        <f t="shared" si="56"/>
        <v>0</v>
      </c>
    </row>
    <row r="948" spans="4:5" x14ac:dyDescent="0.35">
      <c r="D948" s="30" t="str">
        <f t="shared" si="55"/>
        <v>Dieticians and nutritionists</v>
      </c>
      <c r="E948">
        <f t="shared" si="56"/>
        <v>0</v>
      </c>
    </row>
    <row r="949" spans="4:5" x14ac:dyDescent="0.35">
      <c r="D949" s="30" t="str">
        <f t="shared" si="55"/>
        <v>Environmental and occupational health &amp; hygiene workers</v>
      </c>
      <c r="E949">
        <f t="shared" si="56"/>
        <v>0</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106470.49999999996</v>
      </c>
      <c r="D966" s="29" t="str">
        <f t="shared" si="55"/>
        <v>Medical Doctors</v>
      </c>
      <c r="E966">
        <f t="shared" ref="E966:E989" si="57">AO3</f>
        <v>0</v>
      </c>
    </row>
    <row r="967" spans="2:5" x14ac:dyDescent="0.35">
      <c r="D967" s="30" t="str">
        <f t="shared" si="55"/>
        <v>Nursing Personnel</v>
      </c>
      <c r="E967">
        <f t="shared" si="57"/>
        <v>0</v>
      </c>
    </row>
    <row r="968" spans="2:5" x14ac:dyDescent="0.35">
      <c r="D968" s="30" t="str">
        <f t="shared" si="55"/>
        <v>Midwifery personnel</v>
      </c>
      <c r="E968">
        <f t="shared" si="57"/>
        <v>0</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4</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22</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60</v>
      </c>
    </row>
    <row r="987" spans="2:5" x14ac:dyDescent="0.35">
      <c r="D987" s="30" t="str">
        <f t="shared" si="55"/>
        <v>Social workers</v>
      </c>
      <c r="E987">
        <f t="shared" si="57"/>
        <v>2</v>
      </c>
    </row>
    <row r="988" spans="2:5" x14ac:dyDescent="0.35">
      <c r="D988" s="30" t="str">
        <f t="shared" si="55"/>
        <v xml:space="preserve">Audiologists and Speech Therapists </v>
      </c>
      <c r="E988">
        <f t="shared" si="57"/>
        <v>5</v>
      </c>
    </row>
    <row r="989" spans="2:5" x14ac:dyDescent="0.35">
      <c r="D989" s="30" t="str">
        <f t="shared" si="55"/>
        <v>Traditional and complementary medicine practitioners</v>
      </c>
      <c r="E989">
        <f t="shared" si="57"/>
        <v>2</v>
      </c>
    </row>
    <row r="990" spans="2:5" x14ac:dyDescent="0.35">
      <c r="B990" t="str">
        <f>AP1</f>
        <v>TCD</v>
      </c>
      <c r="C990">
        <f>AP2</f>
        <v>17179739.999999996</v>
      </c>
      <c r="D990" s="29" t="str">
        <f t="shared" si="55"/>
        <v>Medical Doctors</v>
      </c>
      <c r="E990">
        <f t="shared" ref="E990:E1013" si="58">AP3</f>
        <v>2260</v>
      </c>
    </row>
    <row r="991" spans="2:5" x14ac:dyDescent="0.35">
      <c r="D991" s="30" t="str">
        <f t="shared" si="55"/>
        <v>Nursing Personnel</v>
      </c>
      <c r="E991">
        <f t="shared" si="58"/>
        <v>5354</v>
      </c>
    </row>
    <row r="992" spans="2:5" x14ac:dyDescent="0.35">
      <c r="D992" s="30" t="str">
        <f t="shared" si="55"/>
        <v>Midwifery personnel</v>
      </c>
      <c r="E992">
        <f t="shared" si="58"/>
        <v>1442</v>
      </c>
    </row>
    <row r="993" spans="4:5" x14ac:dyDescent="0.35">
      <c r="D993" s="30" t="str">
        <f t="shared" si="55"/>
        <v>Pharmacists</v>
      </c>
      <c r="E993">
        <f t="shared" si="58"/>
        <v>10</v>
      </c>
    </row>
    <row r="994" spans="4:5" x14ac:dyDescent="0.35">
      <c r="D994" s="30" t="str">
        <f t="shared" si="55"/>
        <v>Dentists</v>
      </c>
      <c r="E994">
        <f t="shared" si="58"/>
        <v>0</v>
      </c>
    </row>
    <row r="995" spans="4:5" x14ac:dyDescent="0.35">
      <c r="D995" s="30" t="str">
        <f t="shared" si="55"/>
        <v xml:space="preserve">Community Health Workers </v>
      </c>
      <c r="E995">
        <f t="shared" si="58"/>
        <v>8077</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371</v>
      </c>
    </row>
    <row r="1000" spans="4:5" x14ac:dyDescent="0.35">
      <c r="D1000" s="30" t="str">
        <f t="shared" si="55"/>
        <v xml:space="preserve">Medical and dental Prosthetic Technicians </v>
      </c>
      <c r="E1000">
        <f t="shared" si="58"/>
        <v>4</v>
      </c>
    </row>
    <row r="1001" spans="4:5" x14ac:dyDescent="0.35">
      <c r="D1001" s="30" t="str">
        <f t="shared" si="55"/>
        <v xml:space="preserve">Medical and Pathology Laboratory scientists </v>
      </c>
      <c r="E1001">
        <f t="shared" si="58"/>
        <v>848</v>
      </c>
    </row>
    <row r="1002" spans="4:5" x14ac:dyDescent="0.35">
      <c r="D1002" s="30" t="str">
        <f t="shared" si="55"/>
        <v xml:space="preserve">Medical Assistants </v>
      </c>
      <c r="E1002">
        <f t="shared" si="58"/>
        <v>104</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848</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0</v>
      </c>
    </row>
    <row r="1014" spans="2:5" x14ac:dyDescent="0.35">
      <c r="B1014" t="str">
        <f>AQ1</f>
        <v>TGO</v>
      </c>
      <c r="C1014">
        <f>AQ2</f>
        <v>8644828.9999999981</v>
      </c>
      <c r="D1014" s="29" t="str">
        <f t="shared" si="59"/>
        <v>Medical Doctors</v>
      </c>
      <c r="E1014">
        <f t="shared" ref="E1014:E1037" si="60">AQ3</f>
        <v>1369</v>
      </c>
    </row>
    <row r="1015" spans="2:5" x14ac:dyDescent="0.35">
      <c r="D1015" s="30" t="str">
        <f t="shared" si="59"/>
        <v>Nursing Personnel</v>
      </c>
      <c r="E1015">
        <f t="shared" si="60"/>
        <v>3892</v>
      </c>
    </row>
    <row r="1016" spans="2:5" x14ac:dyDescent="0.35">
      <c r="D1016" s="30" t="str">
        <f t="shared" si="59"/>
        <v>Midwifery personnel</v>
      </c>
      <c r="E1016">
        <f t="shared" si="60"/>
        <v>2964</v>
      </c>
    </row>
    <row r="1017" spans="2:5" x14ac:dyDescent="0.35">
      <c r="D1017" s="30" t="str">
        <f t="shared" si="59"/>
        <v>Pharmacists</v>
      </c>
      <c r="E1017">
        <f t="shared" si="60"/>
        <v>0</v>
      </c>
    </row>
    <row r="1018" spans="2:5" x14ac:dyDescent="0.35">
      <c r="D1018" s="30" t="str">
        <f t="shared" si="59"/>
        <v>Dentists</v>
      </c>
      <c r="E1018">
        <f t="shared" si="60"/>
        <v>0</v>
      </c>
    </row>
    <row r="1019" spans="2:5" x14ac:dyDescent="0.35">
      <c r="D1019" s="30" t="str">
        <f t="shared" si="59"/>
        <v xml:space="preserve">Community Health Workers </v>
      </c>
      <c r="E1019">
        <f t="shared" si="60"/>
        <v>7500</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2974</v>
      </c>
    </row>
    <row r="1023" spans="2:5" x14ac:dyDescent="0.35">
      <c r="D1023" s="30" t="str">
        <f t="shared" si="59"/>
        <v xml:space="preserve">Managerial staff </v>
      </c>
      <c r="E1023">
        <f t="shared" si="60"/>
        <v>0</v>
      </c>
    </row>
    <row r="1024" spans="2:5" x14ac:dyDescent="0.35">
      <c r="D1024" s="30" t="str">
        <f t="shared" si="59"/>
        <v xml:space="preserve">Medical and dental Prosthetic Technicians </v>
      </c>
      <c r="E1024">
        <f t="shared" si="60"/>
        <v>19</v>
      </c>
    </row>
    <row r="1025" spans="2:5" x14ac:dyDescent="0.35">
      <c r="D1025" s="30" t="str">
        <f t="shared" si="59"/>
        <v xml:space="preserve">Medical and Pathology Laboratory scientists </v>
      </c>
      <c r="E1025">
        <f t="shared" si="60"/>
        <v>446</v>
      </c>
    </row>
    <row r="1026" spans="2:5" x14ac:dyDescent="0.35">
      <c r="D1026" s="30" t="str">
        <f t="shared" si="59"/>
        <v xml:space="preserve">Medical Assistants </v>
      </c>
      <c r="E1026">
        <f t="shared" si="60"/>
        <v>0</v>
      </c>
    </row>
    <row r="1027" spans="2:5" x14ac:dyDescent="0.35">
      <c r="D1027" s="30" t="str">
        <f t="shared" si="59"/>
        <v xml:space="preserve">Medical Imaging and Therapeutic Equipment Technicians </v>
      </c>
      <c r="E1027">
        <f t="shared" si="60"/>
        <v>95</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1</v>
      </c>
    </row>
    <row r="1030" spans="2:5" x14ac:dyDescent="0.35">
      <c r="D1030" s="30" t="str">
        <f t="shared" si="59"/>
        <v xml:space="preserve">Other non-medical professional staff </v>
      </c>
      <c r="E1030">
        <f t="shared" si="60"/>
        <v>2139</v>
      </c>
    </row>
    <row r="1031" spans="2:5" x14ac:dyDescent="0.35">
      <c r="D1031" s="30" t="str">
        <f t="shared" si="59"/>
        <v xml:space="preserve">Other non-medical support staff </v>
      </c>
      <c r="E1031">
        <f t="shared" si="60"/>
        <v>0</v>
      </c>
    </row>
    <row r="1032" spans="2:5" x14ac:dyDescent="0.35">
      <c r="D1032" s="30" t="str">
        <f t="shared" si="59"/>
        <v xml:space="preserve">Medical and Pathology Laboratory Technicians </v>
      </c>
      <c r="E1032">
        <f t="shared" si="60"/>
        <v>149</v>
      </c>
    </row>
    <row r="1033" spans="2:5" x14ac:dyDescent="0.35">
      <c r="D1033" s="30" t="str">
        <f t="shared" si="59"/>
        <v xml:space="preserve">Paramedical Practitioners </v>
      </c>
      <c r="E1033">
        <f t="shared" si="60"/>
        <v>813</v>
      </c>
    </row>
    <row r="1034" spans="2:5" x14ac:dyDescent="0.35">
      <c r="D1034" s="30" t="str">
        <f t="shared" si="59"/>
        <v>Physiotherapists and physiotherapy assistants</v>
      </c>
      <c r="E1034">
        <f t="shared" si="60"/>
        <v>161</v>
      </c>
    </row>
    <row r="1035" spans="2:5" x14ac:dyDescent="0.35">
      <c r="D1035" s="30" t="str">
        <f t="shared" si="59"/>
        <v>Social workers</v>
      </c>
      <c r="E1035">
        <f t="shared" si="60"/>
        <v>56</v>
      </c>
    </row>
    <row r="1036" spans="2:5" x14ac:dyDescent="0.35">
      <c r="D1036" s="30" t="str">
        <f t="shared" si="59"/>
        <v xml:space="preserve">Audiologists and Speech Therapists </v>
      </c>
      <c r="E1036">
        <f t="shared" si="60"/>
        <v>33</v>
      </c>
    </row>
    <row r="1037" spans="2:5" x14ac:dyDescent="0.35">
      <c r="D1037" s="30" t="str">
        <f t="shared" si="59"/>
        <v>Traditional and complementary medicine practitioners</v>
      </c>
      <c r="E1037">
        <f t="shared" si="60"/>
        <v>0</v>
      </c>
    </row>
    <row r="1038" spans="2:5" x14ac:dyDescent="0.35">
      <c r="B1038" t="str">
        <f>AR1</f>
        <v>TZA</v>
      </c>
      <c r="C1038">
        <f>AR2</f>
        <v>63588333.999999993</v>
      </c>
      <c r="D1038" s="29" t="str">
        <f t="shared" si="59"/>
        <v>Medical Doctors</v>
      </c>
      <c r="E1038">
        <f t="shared" ref="E1038:E1061" si="61">AR3</f>
        <v>0</v>
      </c>
    </row>
    <row r="1039" spans="2:5" x14ac:dyDescent="0.35">
      <c r="D1039" s="30" t="str">
        <f t="shared" si="59"/>
        <v>Nursing Personnel</v>
      </c>
      <c r="E1039">
        <f t="shared" si="61"/>
        <v>0</v>
      </c>
    </row>
    <row r="1040" spans="2:5" x14ac:dyDescent="0.35">
      <c r="D1040" s="30" t="str">
        <f t="shared" si="59"/>
        <v>Midwifery personnel</v>
      </c>
      <c r="E1040">
        <f t="shared" si="61"/>
        <v>0</v>
      </c>
    </row>
    <row r="1041" spans="4:5" x14ac:dyDescent="0.35">
      <c r="D1041" s="30" t="str">
        <f t="shared" si="59"/>
        <v>Pharmacists</v>
      </c>
      <c r="E1041">
        <f t="shared" si="61"/>
        <v>16</v>
      </c>
    </row>
    <row r="1042" spans="4:5" x14ac:dyDescent="0.35">
      <c r="D1042" s="30" t="str">
        <f t="shared" si="59"/>
        <v>Dentists</v>
      </c>
      <c r="E1042">
        <f t="shared" si="61"/>
        <v>18</v>
      </c>
    </row>
    <row r="1043" spans="4:5" x14ac:dyDescent="0.35">
      <c r="D1043" s="30" t="str">
        <f t="shared" si="59"/>
        <v xml:space="preserve">Community Health Workers </v>
      </c>
      <c r="E1043">
        <f t="shared" si="61"/>
        <v>0</v>
      </c>
    </row>
    <row r="1044" spans="4:5" x14ac:dyDescent="0.35">
      <c r="D1044" s="30" t="str">
        <f t="shared" si="59"/>
        <v>Dieticians and nutritionists</v>
      </c>
      <c r="E1044">
        <f t="shared" si="61"/>
        <v>0</v>
      </c>
    </row>
    <row r="1045" spans="4:5" x14ac:dyDescent="0.35">
      <c r="D1045" s="30" t="str">
        <f t="shared" si="59"/>
        <v>Environmental and occupational health &amp; hygiene workers</v>
      </c>
      <c r="E1045">
        <f t="shared" si="61"/>
        <v>0</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0</v>
      </c>
    </row>
    <row r="1049" spans="4:5" x14ac:dyDescent="0.35">
      <c r="D1049" s="30" t="str">
        <f t="shared" si="59"/>
        <v xml:space="preserve">Medical and Pathology Laboratory scientists </v>
      </c>
      <c r="E1049">
        <f t="shared" si="61"/>
        <v>0</v>
      </c>
    </row>
    <row r="1050" spans="4:5" x14ac:dyDescent="0.35">
      <c r="D1050" s="30" t="str">
        <f t="shared" si="59"/>
        <v xml:space="preserve">Medical Assistants </v>
      </c>
      <c r="E1050">
        <f t="shared" si="61"/>
        <v>0</v>
      </c>
    </row>
    <row r="1051" spans="4:5" x14ac:dyDescent="0.35">
      <c r="D1051" s="30" t="str">
        <f t="shared" si="59"/>
        <v xml:space="preserve">Medical Imaging and Therapeutic Equipment Technicians </v>
      </c>
      <c r="E1051">
        <f t="shared" si="61"/>
        <v>0</v>
      </c>
    </row>
    <row r="1052" spans="4:5" x14ac:dyDescent="0.35">
      <c r="D1052" s="30" t="str">
        <f t="shared" si="59"/>
        <v xml:space="preserve">Medical Records and Health Information Technicians </v>
      </c>
      <c r="E1052">
        <f t="shared" si="61"/>
        <v>0</v>
      </c>
    </row>
    <row r="1053" spans="4:5" x14ac:dyDescent="0.35">
      <c r="D1053" s="30" t="str">
        <f t="shared" si="59"/>
        <v xml:space="preserve">Optometrists and Ophthalmic Opticians </v>
      </c>
      <c r="E1053">
        <f t="shared" si="61"/>
        <v>0</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0</v>
      </c>
    </row>
    <row r="1056" spans="4:5" x14ac:dyDescent="0.35">
      <c r="D1056" s="30" t="str">
        <f t="shared" si="59"/>
        <v xml:space="preserve">Medical and Pathology Laboratory Technicians </v>
      </c>
      <c r="E1056">
        <f t="shared" si="61"/>
        <v>0</v>
      </c>
    </row>
    <row r="1057" spans="2:5" x14ac:dyDescent="0.35">
      <c r="D1057" s="30" t="str">
        <f t="shared" si="59"/>
        <v xml:space="preserve">Paramedical Practitioners </v>
      </c>
      <c r="E1057">
        <f t="shared" si="61"/>
        <v>0</v>
      </c>
    </row>
    <row r="1058" spans="2:5" x14ac:dyDescent="0.35">
      <c r="D1058" s="30" t="str">
        <f t="shared" si="59"/>
        <v>Physiotherapists and physiotherapy assistants</v>
      </c>
      <c r="E1058">
        <f t="shared" si="61"/>
        <v>0</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0</v>
      </c>
    </row>
    <row r="1061" spans="2:5" x14ac:dyDescent="0.35">
      <c r="D1061" s="30" t="str">
        <f t="shared" si="59"/>
        <v>Traditional and complementary medicine practitioners</v>
      </c>
      <c r="E1061">
        <f t="shared" si="61"/>
        <v>0</v>
      </c>
    </row>
    <row r="1062" spans="2:5" x14ac:dyDescent="0.35">
      <c r="B1062" t="str">
        <f>AS1</f>
        <v>UGA</v>
      </c>
      <c r="C1062">
        <f>AS2</f>
        <v>45853778.000000022</v>
      </c>
      <c r="D1062" s="29" t="str">
        <f t="shared" si="59"/>
        <v>Medical Doctors</v>
      </c>
      <c r="E1062">
        <f t="shared" ref="E1062:E1085" si="62">AS3</f>
        <v>0</v>
      </c>
    </row>
    <row r="1063" spans="2:5" x14ac:dyDescent="0.35">
      <c r="D1063" s="30" t="str">
        <f t="shared" si="59"/>
        <v>Nursing Personnel</v>
      </c>
      <c r="E1063">
        <f t="shared" si="62"/>
        <v>0</v>
      </c>
    </row>
    <row r="1064" spans="2:5" x14ac:dyDescent="0.35">
      <c r="D1064" s="30" t="str">
        <f t="shared" si="59"/>
        <v>Midwifery personnel</v>
      </c>
      <c r="E1064">
        <f t="shared" si="62"/>
        <v>0</v>
      </c>
    </row>
    <row r="1065" spans="2:5" x14ac:dyDescent="0.35">
      <c r="D1065" s="30" t="str">
        <f t="shared" si="59"/>
        <v>Pharmacists</v>
      </c>
      <c r="E1065">
        <f t="shared" si="62"/>
        <v>17</v>
      </c>
    </row>
    <row r="1066" spans="2:5" x14ac:dyDescent="0.35">
      <c r="D1066" s="30" t="str">
        <f t="shared" si="59"/>
        <v>Dentists</v>
      </c>
      <c r="E1066">
        <f t="shared" si="62"/>
        <v>111</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0</v>
      </c>
    </row>
    <row r="1074" spans="2:5" x14ac:dyDescent="0.35">
      <c r="D1074" s="30" t="str">
        <f t="shared" si="63"/>
        <v xml:space="preserve">Medical Assistants </v>
      </c>
      <c r="E1074">
        <f t="shared" si="62"/>
        <v>0</v>
      </c>
    </row>
    <row r="1075" spans="2:5" x14ac:dyDescent="0.35">
      <c r="D1075" s="30" t="str">
        <f t="shared" si="63"/>
        <v xml:space="preserve">Medical Imaging and Therapeutic Equipment Technicians </v>
      </c>
      <c r="E1075">
        <f t="shared" si="62"/>
        <v>0</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0</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59392255</v>
      </c>
      <c r="D1086" s="29" t="str">
        <f t="shared" si="63"/>
        <v>Medical Doctors</v>
      </c>
      <c r="E1086">
        <f t="shared" ref="E1086:E1109" si="64">AT3</f>
        <v>99093</v>
      </c>
    </row>
    <row r="1087" spans="2:5" x14ac:dyDescent="0.35">
      <c r="D1087" s="30" t="str">
        <f t="shared" si="63"/>
        <v>Nursing Personnel</v>
      </c>
      <c r="E1087">
        <f t="shared" si="64"/>
        <v>0</v>
      </c>
    </row>
    <row r="1088" spans="2:5" x14ac:dyDescent="0.35">
      <c r="D1088" s="30" t="str">
        <f t="shared" si="63"/>
        <v>Midwifery personnel</v>
      </c>
      <c r="E1088">
        <f t="shared" si="64"/>
        <v>0</v>
      </c>
    </row>
    <row r="1089" spans="4:5" x14ac:dyDescent="0.35">
      <c r="D1089" s="30" t="str">
        <f t="shared" si="63"/>
        <v>Pharmacists</v>
      </c>
      <c r="E1089">
        <f t="shared" si="64"/>
        <v>494</v>
      </c>
    </row>
    <row r="1090" spans="4:5" x14ac:dyDescent="0.35">
      <c r="D1090" s="30" t="str">
        <f t="shared" si="63"/>
        <v>Dentists</v>
      </c>
      <c r="E1090">
        <f t="shared" si="64"/>
        <v>366</v>
      </c>
    </row>
    <row r="1091" spans="4:5" x14ac:dyDescent="0.35">
      <c r="D1091" s="30" t="str">
        <f t="shared" si="63"/>
        <v xml:space="preserve">Community Health Workers </v>
      </c>
      <c r="E1091">
        <f t="shared" si="64"/>
        <v>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0</v>
      </c>
    </row>
    <row r="1095" spans="4:5" x14ac:dyDescent="0.35">
      <c r="D1095" s="30" t="str">
        <f t="shared" si="63"/>
        <v xml:space="preserve">Managerial staff </v>
      </c>
      <c r="E1095">
        <f t="shared" si="64"/>
        <v>0</v>
      </c>
    </row>
    <row r="1096" spans="4:5" x14ac:dyDescent="0.35">
      <c r="D1096" s="30" t="str">
        <f t="shared" si="63"/>
        <v xml:space="preserve">Medical and dental Prosthetic Technicians </v>
      </c>
      <c r="E1096">
        <f t="shared" si="64"/>
        <v>0</v>
      </c>
    </row>
    <row r="1097" spans="4:5" x14ac:dyDescent="0.35">
      <c r="D1097" s="30" t="str">
        <f t="shared" si="63"/>
        <v xml:space="preserve">Medical and Pathology Laboratory scientists </v>
      </c>
      <c r="E1097">
        <f t="shared" si="64"/>
        <v>6166</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9281</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4012</v>
      </c>
    </row>
    <row r="1102" spans="4:5" x14ac:dyDescent="0.35">
      <c r="D1102" s="30" t="str">
        <f t="shared" si="63"/>
        <v xml:space="preserve">Other non-medical professional staff </v>
      </c>
      <c r="E1102">
        <f t="shared" si="64"/>
        <v>0</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6353</v>
      </c>
    </row>
    <row r="1105" spans="2:5" x14ac:dyDescent="0.35">
      <c r="D1105" s="30" t="str">
        <f t="shared" si="63"/>
        <v xml:space="preserve">Paramedical Practitioners </v>
      </c>
      <c r="E1105">
        <f t="shared" si="64"/>
        <v>3870</v>
      </c>
    </row>
    <row r="1106" spans="2:5" x14ac:dyDescent="0.35">
      <c r="D1106" s="30" t="str">
        <f t="shared" si="63"/>
        <v>Physiotherapists and physiotherapy assistants</v>
      </c>
      <c r="E1106">
        <f t="shared" si="64"/>
        <v>8509</v>
      </c>
    </row>
    <row r="1107" spans="2:5" x14ac:dyDescent="0.35">
      <c r="D1107" s="30" t="str">
        <f t="shared" si="63"/>
        <v>Social workers</v>
      </c>
      <c r="E1107">
        <f t="shared" si="64"/>
        <v>0</v>
      </c>
    </row>
    <row r="1108" spans="2:5" x14ac:dyDescent="0.35">
      <c r="D1108" s="30" t="str">
        <f t="shared" si="63"/>
        <v xml:space="preserve">Audiologists and Speech Therapists </v>
      </c>
      <c r="E1108">
        <f t="shared" si="64"/>
        <v>4037</v>
      </c>
    </row>
    <row r="1109" spans="2:5" x14ac:dyDescent="0.35">
      <c r="D1109" s="30" t="str">
        <f t="shared" si="63"/>
        <v>Traditional and complementary medicine practitioners</v>
      </c>
      <c r="E1109">
        <f t="shared" si="64"/>
        <v>0</v>
      </c>
    </row>
    <row r="1110" spans="2:5" x14ac:dyDescent="0.35">
      <c r="B1110" t="str">
        <f>AU1</f>
        <v>ZMB</v>
      </c>
      <c r="C1110">
        <f>AU2</f>
        <v>19473124.999999996</v>
      </c>
      <c r="D1110" s="29" t="str">
        <f t="shared" si="63"/>
        <v>Medical Doctors</v>
      </c>
      <c r="E1110">
        <f t="shared" ref="E1110:E1133" si="65">AU3</f>
        <v>11546</v>
      </c>
    </row>
    <row r="1111" spans="2:5" x14ac:dyDescent="0.35">
      <c r="D1111" s="30" t="str">
        <f t="shared" si="63"/>
        <v>Nursing Personnel</v>
      </c>
      <c r="E1111">
        <f t="shared" si="65"/>
        <v>65084</v>
      </c>
    </row>
    <row r="1112" spans="2:5" x14ac:dyDescent="0.35">
      <c r="D1112" s="30" t="str">
        <f t="shared" si="63"/>
        <v>Midwifery personnel</v>
      </c>
      <c r="E1112">
        <f t="shared" si="65"/>
        <v>7492</v>
      </c>
    </row>
    <row r="1113" spans="2:5" x14ac:dyDescent="0.35">
      <c r="D1113" s="30" t="str">
        <f t="shared" si="63"/>
        <v>Pharmacists</v>
      </c>
      <c r="E1113">
        <f t="shared" si="65"/>
        <v>0</v>
      </c>
    </row>
    <row r="1114" spans="2:5" x14ac:dyDescent="0.35">
      <c r="D1114" s="30" t="str">
        <f t="shared" si="63"/>
        <v>Dentists</v>
      </c>
      <c r="E1114">
        <f t="shared" si="65"/>
        <v>0</v>
      </c>
    </row>
    <row r="1115" spans="2:5" x14ac:dyDescent="0.35">
      <c r="D1115" s="30" t="str">
        <f t="shared" si="63"/>
        <v xml:space="preserve">Community Health Workers </v>
      </c>
      <c r="E1115">
        <f t="shared" si="65"/>
        <v>0</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0</v>
      </c>
    </row>
    <row r="1121" spans="2:5" x14ac:dyDescent="0.35">
      <c r="D1121" s="30" t="str">
        <f t="shared" si="63"/>
        <v xml:space="preserve">Medical and Pathology Laboratory scientists </v>
      </c>
      <c r="E1121">
        <f t="shared" si="65"/>
        <v>19</v>
      </c>
    </row>
    <row r="1122" spans="2:5" x14ac:dyDescent="0.35">
      <c r="D1122" s="30" t="str">
        <f t="shared" si="63"/>
        <v xml:space="preserve">Medical Assistants </v>
      </c>
      <c r="E1122">
        <f t="shared" si="65"/>
        <v>0</v>
      </c>
    </row>
    <row r="1123" spans="2:5" x14ac:dyDescent="0.35">
      <c r="D1123" s="30" t="str">
        <f t="shared" si="63"/>
        <v xml:space="preserve">Medical Imaging and Therapeutic Equipment Technicians </v>
      </c>
      <c r="E1123">
        <f t="shared" si="65"/>
        <v>1375</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0</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3182</v>
      </c>
    </row>
    <row r="1129" spans="2:5" x14ac:dyDescent="0.35">
      <c r="D1129" s="30" t="str">
        <f t="shared" si="63"/>
        <v xml:space="preserve">Paramedical Practitioners </v>
      </c>
      <c r="E1129">
        <f t="shared" si="65"/>
        <v>8281</v>
      </c>
    </row>
    <row r="1130" spans="2:5" x14ac:dyDescent="0.35">
      <c r="D1130" s="30" t="str">
        <f t="shared" si="63"/>
        <v>Physiotherapists and physiotherapy assistants</v>
      </c>
      <c r="E1130">
        <f t="shared" si="65"/>
        <v>1324</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0</v>
      </c>
    </row>
    <row r="1133" spans="2:5" x14ac:dyDescent="0.35">
      <c r="D1133" s="30" t="str">
        <f t="shared" si="63"/>
        <v>Traditional and complementary medicine practitioners</v>
      </c>
      <c r="E1133">
        <f t="shared" si="65"/>
        <v>0</v>
      </c>
    </row>
    <row r="1134" spans="2:5" x14ac:dyDescent="0.35">
      <c r="B1134" t="str">
        <f>AV1</f>
        <v>ZWE</v>
      </c>
      <c r="C1134">
        <f>AV2</f>
        <v>15993524.000000002</v>
      </c>
      <c r="D1134" s="29" t="str">
        <f t="shared" ref="D1134:D1180" si="66">D1110</f>
        <v>Medical Doctors</v>
      </c>
      <c r="E1134">
        <f t="shared" ref="E1134:E1157" si="67">AV3</f>
        <v>0</v>
      </c>
    </row>
    <row r="1135" spans="2:5" x14ac:dyDescent="0.35">
      <c r="D1135" s="30" t="str">
        <f t="shared" si="66"/>
        <v>Nursing Personnel</v>
      </c>
      <c r="E1135">
        <f t="shared" si="67"/>
        <v>0</v>
      </c>
    </row>
    <row r="1136" spans="2:5" x14ac:dyDescent="0.35">
      <c r="D1136" s="30" t="str">
        <f t="shared" si="66"/>
        <v>Midwifery personnel</v>
      </c>
      <c r="E1136">
        <f t="shared" si="67"/>
        <v>0</v>
      </c>
    </row>
    <row r="1137" spans="4:5" x14ac:dyDescent="0.35">
      <c r="D1137" s="30" t="str">
        <f t="shared" si="66"/>
        <v>Pharmacists</v>
      </c>
      <c r="E1137">
        <f t="shared" si="67"/>
        <v>0</v>
      </c>
    </row>
    <row r="1138" spans="4:5" x14ac:dyDescent="0.35">
      <c r="D1138" s="30" t="str">
        <f t="shared" si="66"/>
        <v>Dentists</v>
      </c>
      <c r="E1138">
        <f t="shared" si="67"/>
        <v>0</v>
      </c>
    </row>
    <row r="1139" spans="4:5" x14ac:dyDescent="0.35">
      <c r="D1139" s="30" t="str">
        <f t="shared" si="66"/>
        <v xml:space="preserve">Community Health Workers </v>
      </c>
      <c r="E1139">
        <f t="shared" si="67"/>
        <v>0</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0</v>
      </c>
    </row>
    <row r="1143" spans="4:5" x14ac:dyDescent="0.35">
      <c r="D1143" s="30" t="str">
        <f t="shared" si="66"/>
        <v xml:space="preserve">Managerial staff </v>
      </c>
      <c r="E1143">
        <f t="shared" si="67"/>
        <v>0</v>
      </c>
    </row>
    <row r="1144" spans="4:5" x14ac:dyDescent="0.35">
      <c r="D1144" s="30" t="str">
        <f t="shared" si="66"/>
        <v xml:space="preserve">Medical and dental Prosthetic Technicians </v>
      </c>
      <c r="E1144">
        <f t="shared" si="67"/>
        <v>0</v>
      </c>
    </row>
    <row r="1145" spans="4:5" x14ac:dyDescent="0.35">
      <c r="D1145" s="30" t="str">
        <f t="shared" si="66"/>
        <v xml:space="preserve">Medical and Pathology Laboratory scientists </v>
      </c>
      <c r="E1145">
        <f t="shared" si="67"/>
        <v>0</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0</v>
      </c>
    </row>
    <row r="1148" spans="4:5" x14ac:dyDescent="0.35">
      <c r="D1148" s="30" t="str">
        <f t="shared" si="66"/>
        <v xml:space="preserve">Medical Records and Health Information Technicians </v>
      </c>
      <c r="E1148">
        <f t="shared" si="67"/>
        <v>0</v>
      </c>
    </row>
    <row r="1149" spans="4:5" x14ac:dyDescent="0.35">
      <c r="D1149" s="30" t="str">
        <f t="shared" si="66"/>
        <v xml:space="preserve">Optometrists and Ophthalmic Opticians </v>
      </c>
      <c r="E1149">
        <f t="shared" si="67"/>
        <v>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0</v>
      </c>
    </row>
    <row r="1153" spans="2:5" x14ac:dyDescent="0.35">
      <c r="D1153" s="30" t="str">
        <f t="shared" si="66"/>
        <v xml:space="preserve">Paramedical Practitioners </v>
      </c>
      <c r="E1153">
        <f t="shared" si="67"/>
        <v>0</v>
      </c>
    </row>
    <row r="1154" spans="2:5" x14ac:dyDescent="0.35">
      <c r="D1154" s="30" t="str">
        <f t="shared" si="66"/>
        <v>Physiotherapists and physiotherapy assistants</v>
      </c>
      <c r="E1154">
        <f t="shared" si="67"/>
        <v>0</v>
      </c>
    </row>
    <row r="1155" spans="2:5" x14ac:dyDescent="0.35">
      <c r="D1155" s="30" t="str">
        <f t="shared" si="66"/>
        <v>Social workers</v>
      </c>
      <c r="E1155">
        <f t="shared" si="67"/>
        <v>0</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1162657991.5</v>
      </c>
      <c r="D1158" s="29" t="str">
        <f t="shared" si="66"/>
        <v>Medical Doctors</v>
      </c>
      <c r="E1158">
        <f t="shared" ref="E1158:E1181" si="68">AW3</f>
        <v>414918</v>
      </c>
    </row>
    <row r="1159" spans="2:5" x14ac:dyDescent="0.35">
      <c r="D1159" s="30" t="str">
        <f t="shared" si="66"/>
        <v>Nursing Personnel</v>
      </c>
      <c r="E1159">
        <f t="shared" si="68"/>
        <v>1395296</v>
      </c>
    </row>
    <row r="1160" spans="2:5" x14ac:dyDescent="0.35">
      <c r="D1160" s="30" t="str">
        <f t="shared" si="66"/>
        <v>Midwifery personnel</v>
      </c>
      <c r="E1160">
        <f t="shared" si="68"/>
        <v>421570</v>
      </c>
    </row>
    <row r="1161" spans="2:5" x14ac:dyDescent="0.35">
      <c r="D1161" s="30" t="str">
        <f t="shared" si="66"/>
        <v>Pharmacists</v>
      </c>
      <c r="E1161">
        <f t="shared" si="68"/>
        <v>15612</v>
      </c>
    </row>
    <row r="1162" spans="2:5" x14ac:dyDescent="0.35">
      <c r="D1162" s="30" t="str">
        <f t="shared" si="66"/>
        <v>Dentists</v>
      </c>
      <c r="E1162">
        <f t="shared" si="68"/>
        <v>5963</v>
      </c>
    </row>
    <row r="1163" spans="2:5" x14ac:dyDescent="0.35">
      <c r="D1163" s="30" t="str">
        <f t="shared" si="66"/>
        <v xml:space="preserve">Community Health Workers </v>
      </c>
      <c r="E1163">
        <f t="shared" si="68"/>
        <v>225186</v>
      </c>
    </row>
    <row r="1164" spans="2:5" x14ac:dyDescent="0.35">
      <c r="D1164" s="30" t="str">
        <f t="shared" si="66"/>
        <v>Dieticians and nutritionists</v>
      </c>
      <c r="E1164">
        <f t="shared" si="68"/>
        <v>1209</v>
      </c>
    </row>
    <row r="1165" spans="2:5" x14ac:dyDescent="0.35">
      <c r="D1165" s="30" t="str">
        <f t="shared" si="66"/>
        <v>Environmental and occupational health &amp; hygiene workers</v>
      </c>
      <c r="E1165">
        <f t="shared" si="68"/>
        <v>9476</v>
      </c>
    </row>
    <row r="1166" spans="2:5" x14ac:dyDescent="0.35">
      <c r="D1166" s="30" t="str">
        <f t="shared" si="66"/>
        <v>Personal care workers in health service</v>
      </c>
      <c r="E1166">
        <f t="shared" si="68"/>
        <v>20233</v>
      </c>
    </row>
    <row r="1167" spans="2:5" x14ac:dyDescent="0.35">
      <c r="D1167" s="30" t="str">
        <f t="shared" si="66"/>
        <v xml:space="preserve">Managerial staff </v>
      </c>
      <c r="E1167">
        <f t="shared" si="68"/>
        <v>12486</v>
      </c>
    </row>
    <row r="1168" spans="2:5" x14ac:dyDescent="0.35">
      <c r="D1168" s="30" t="str">
        <f t="shared" si="66"/>
        <v xml:space="preserve">Medical and dental Prosthetic Technicians </v>
      </c>
      <c r="E1168">
        <f t="shared" si="68"/>
        <v>49039</v>
      </c>
    </row>
    <row r="1169" spans="4:5" x14ac:dyDescent="0.35">
      <c r="D1169" s="30" t="str">
        <f t="shared" si="66"/>
        <v xml:space="preserve">Medical and Pathology Laboratory scientists </v>
      </c>
      <c r="E1169">
        <f t="shared" si="68"/>
        <v>57607</v>
      </c>
    </row>
    <row r="1170" spans="4:5" x14ac:dyDescent="0.35">
      <c r="D1170" s="30" t="str">
        <f t="shared" si="66"/>
        <v xml:space="preserve">Medical Assistants </v>
      </c>
      <c r="E1170">
        <f t="shared" si="68"/>
        <v>2533</v>
      </c>
    </row>
    <row r="1171" spans="4:5" x14ac:dyDescent="0.35">
      <c r="D1171" s="30" t="str">
        <f t="shared" si="66"/>
        <v xml:space="preserve">Medical Imaging and Therapeutic Equipment Technicians </v>
      </c>
      <c r="E1171">
        <f t="shared" si="68"/>
        <v>15310</v>
      </c>
    </row>
    <row r="1172" spans="4:5" x14ac:dyDescent="0.35">
      <c r="D1172" s="30" t="str">
        <f t="shared" si="66"/>
        <v xml:space="preserve">Medical Records and Health Information Technicians </v>
      </c>
      <c r="E1172">
        <f t="shared" si="68"/>
        <v>3302</v>
      </c>
    </row>
    <row r="1173" spans="4:5" x14ac:dyDescent="0.35">
      <c r="D1173" s="30" t="str">
        <f t="shared" si="66"/>
        <v xml:space="preserve">Optometrists and Ophthalmic Opticians </v>
      </c>
      <c r="E1173">
        <f t="shared" si="68"/>
        <v>10815</v>
      </c>
    </row>
    <row r="1174" spans="4:5" x14ac:dyDescent="0.35">
      <c r="D1174" s="30" t="str">
        <f t="shared" si="66"/>
        <v xml:space="preserve">Other non-medical professional staff </v>
      </c>
      <c r="E1174">
        <f t="shared" si="68"/>
        <v>19925</v>
      </c>
    </row>
    <row r="1175" spans="4:5" x14ac:dyDescent="0.35">
      <c r="D1175" s="30" t="str">
        <f t="shared" si="66"/>
        <v xml:space="preserve">Other non-medical support staff </v>
      </c>
      <c r="E1175">
        <f t="shared" si="68"/>
        <v>28098</v>
      </c>
    </row>
    <row r="1176" spans="4:5" x14ac:dyDescent="0.35">
      <c r="D1176" s="30" t="str">
        <f t="shared" si="66"/>
        <v xml:space="preserve">Medical and Pathology Laboratory Technicians </v>
      </c>
      <c r="E1176">
        <f t="shared" si="68"/>
        <v>55150</v>
      </c>
    </row>
    <row r="1177" spans="4:5" x14ac:dyDescent="0.35">
      <c r="D1177" s="30" t="str">
        <f t="shared" si="66"/>
        <v xml:space="preserve">Paramedical Practitioners </v>
      </c>
      <c r="E1177">
        <f t="shared" si="68"/>
        <v>25904</v>
      </c>
    </row>
    <row r="1178" spans="4:5" x14ac:dyDescent="0.35">
      <c r="D1178" s="30" t="str">
        <f t="shared" si="66"/>
        <v>Physiotherapists and physiotherapy assistants</v>
      </c>
      <c r="E1178">
        <f t="shared" si="68"/>
        <v>13145</v>
      </c>
    </row>
    <row r="1179" spans="4:5" x14ac:dyDescent="0.35">
      <c r="D1179" s="30" t="str">
        <f t="shared" si="66"/>
        <v>Social workers</v>
      </c>
      <c r="E1179">
        <f t="shared" si="68"/>
        <v>2138</v>
      </c>
    </row>
    <row r="1180" spans="4:5" x14ac:dyDescent="0.35">
      <c r="D1180" s="30" t="str">
        <f t="shared" si="66"/>
        <v xml:space="preserve">Audiologists and Speech Therapists </v>
      </c>
      <c r="E1180">
        <f t="shared" si="68"/>
        <v>4097</v>
      </c>
    </row>
    <row r="1181" spans="4:5" x14ac:dyDescent="0.35">
      <c r="D1181" s="30" t="str">
        <f t="shared" ref="D1181" si="69">D1157</f>
        <v>Traditional and complementary medicine practitioners</v>
      </c>
      <c r="E1181">
        <f t="shared" si="68"/>
        <v>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51C6-F48E-41CE-AF0F-4850CC65C4E1}">
  <dimension ref="A1:AW1181"/>
  <sheetViews>
    <sheetView topLeftCell="AE1" workbookViewId="0">
      <selection activeCell="A2" sqref="A2:AW2"/>
    </sheetView>
  </sheetViews>
  <sheetFormatPr defaultColWidth="8.81640625" defaultRowHeight="14.5" x14ac:dyDescent="0.35"/>
  <cols>
    <col min="1" max="1" width="56.6328125" bestFit="1" customWidth="1"/>
    <col min="3" max="3" width="10.81640625" bestFit="1" customWidth="1"/>
  </cols>
  <sheetData>
    <row r="1" spans="1:49" x14ac:dyDescent="0.35">
      <c r="A1" t="s">
        <v>124</v>
      </c>
      <c r="B1" t="s">
        <v>162</v>
      </c>
      <c r="C1" t="s">
        <v>165</v>
      </c>
      <c r="D1" t="s">
        <v>163</v>
      </c>
      <c r="E1" t="s">
        <v>151</v>
      </c>
      <c r="F1" t="s">
        <v>164</v>
      </c>
      <c r="G1" t="s">
        <v>152</v>
      </c>
      <c r="H1" t="s">
        <v>166</v>
      </c>
      <c r="I1" t="s">
        <v>168</v>
      </c>
      <c r="J1" t="s">
        <v>154</v>
      </c>
      <c r="K1" t="s">
        <v>189</v>
      </c>
      <c r="L1" t="s">
        <v>196</v>
      </c>
      <c r="M1" t="s">
        <v>167</v>
      </c>
      <c r="N1" t="s">
        <v>161</v>
      </c>
      <c r="O1" t="s">
        <v>194</v>
      </c>
      <c r="P1" t="s">
        <v>155</v>
      </c>
      <c r="Q1" t="s">
        <v>157</v>
      </c>
      <c r="R1" t="s">
        <v>172</v>
      </c>
      <c r="S1" t="s">
        <v>173</v>
      </c>
      <c r="T1" t="s">
        <v>171</v>
      </c>
      <c r="U1" t="s">
        <v>174</v>
      </c>
      <c r="V1" t="s">
        <v>170</v>
      </c>
      <c r="W1" t="s">
        <v>175</v>
      </c>
      <c r="X1" t="s">
        <v>176</v>
      </c>
      <c r="Y1" t="s">
        <v>160</v>
      </c>
      <c r="Z1" t="s">
        <v>177</v>
      </c>
      <c r="AA1" t="s">
        <v>179</v>
      </c>
      <c r="AB1" t="s">
        <v>181</v>
      </c>
      <c r="AC1" t="s">
        <v>158</v>
      </c>
      <c r="AD1" t="s">
        <v>180</v>
      </c>
      <c r="AE1" t="s">
        <v>178</v>
      </c>
      <c r="AF1" t="s">
        <v>182</v>
      </c>
      <c r="AG1" t="s">
        <v>190</v>
      </c>
      <c r="AH1" t="s">
        <v>156</v>
      </c>
      <c r="AI1" t="s">
        <v>183</v>
      </c>
      <c r="AJ1" t="s">
        <v>184</v>
      </c>
      <c r="AK1" t="s">
        <v>186</v>
      </c>
      <c r="AL1" t="s">
        <v>188</v>
      </c>
      <c r="AM1" t="s">
        <v>153</v>
      </c>
      <c r="AN1" t="s">
        <v>159</v>
      </c>
      <c r="AO1" t="s">
        <v>185</v>
      </c>
      <c r="AP1" t="s">
        <v>169</v>
      </c>
      <c r="AQ1" t="s">
        <v>195</v>
      </c>
      <c r="AR1" t="s">
        <v>197</v>
      </c>
      <c r="AS1" t="s">
        <v>191</v>
      </c>
      <c r="AT1" t="s">
        <v>187</v>
      </c>
      <c r="AU1" t="s">
        <v>192</v>
      </c>
      <c r="AV1" t="s">
        <v>193</v>
      </c>
      <c r="AW1" t="s">
        <v>125</v>
      </c>
    </row>
    <row r="2" spans="1:49" x14ac:dyDescent="0.35">
      <c r="A2" t="s">
        <v>202</v>
      </c>
      <c r="B2">
        <v>35588987.00000003</v>
      </c>
      <c r="C2">
        <v>12889576.499999994</v>
      </c>
      <c r="D2">
        <v>13352864</v>
      </c>
      <c r="E2">
        <v>22673762.000000007</v>
      </c>
      <c r="F2">
        <v>2630296.0000000019</v>
      </c>
      <c r="G2">
        <v>5579143.5000000047</v>
      </c>
      <c r="H2">
        <v>28160542.500000004</v>
      </c>
      <c r="I2">
        <v>27914536.499999989</v>
      </c>
      <c r="J2">
        <v>99010212</v>
      </c>
      <c r="K2">
        <v>5970424.0000000009</v>
      </c>
      <c r="L2">
        <v>836773.49999999977</v>
      </c>
      <c r="M2">
        <v>593149.50000000012</v>
      </c>
      <c r="N2">
        <v>44903225.000000007</v>
      </c>
      <c r="O2">
        <v>3684031.5000000019</v>
      </c>
      <c r="P2">
        <v>123379924.50000004</v>
      </c>
      <c r="Q2">
        <v>2388992.5000000005</v>
      </c>
      <c r="R2">
        <v>33475870.500000011</v>
      </c>
      <c r="S2">
        <v>13859340.500000006</v>
      </c>
      <c r="T2">
        <v>2705991.9999999995</v>
      </c>
      <c r="U2">
        <v>2105565.4999999991</v>
      </c>
      <c r="V2">
        <v>1674908</v>
      </c>
      <c r="W2">
        <v>54027486.999999985</v>
      </c>
      <c r="X2">
        <v>5302681.0000000028</v>
      </c>
      <c r="Y2">
        <v>2305825.5000000019</v>
      </c>
      <c r="Z2">
        <v>29611714.000000004</v>
      </c>
      <c r="AA2">
        <v>22593590.500000022</v>
      </c>
      <c r="AB2">
        <v>32969518.500000007</v>
      </c>
      <c r="AC2">
        <v>4736138.9999999991</v>
      </c>
      <c r="AD2">
        <v>1299468.9999999986</v>
      </c>
      <c r="AE2">
        <v>20405316.500000019</v>
      </c>
      <c r="AF2">
        <v>2567012.4999999995</v>
      </c>
      <c r="AG2">
        <v>26207976.5</v>
      </c>
      <c r="AH2">
        <v>218541211.50000003</v>
      </c>
      <c r="AI2">
        <v>13776697.499999994</v>
      </c>
      <c r="AJ2">
        <v>17316449</v>
      </c>
      <c r="AK2">
        <v>8605718.0000000056</v>
      </c>
      <c r="AL2">
        <v>10913163.5</v>
      </c>
      <c r="AM2">
        <v>227379.5</v>
      </c>
      <c r="AN2">
        <v>1201670.4999999995</v>
      </c>
      <c r="AO2">
        <v>107118.5</v>
      </c>
      <c r="AP2">
        <v>17723314.500000004</v>
      </c>
      <c r="AQ2">
        <v>8848698.5000000019</v>
      </c>
      <c r="AR2">
        <v>65497748.000000045</v>
      </c>
      <c r="AS2">
        <v>47249584.999999978</v>
      </c>
      <c r="AT2">
        <v>59893885.5</v>
      </c>
      <c r="AU2">
        <v>20017675.000000004</v>
      </c>
      <c r="AV2">
        <v>16320536.999999996</v>
      </c>
      <c r="AW2">
        <v>1191645698.5</v>
      </c>
    </row>
    <row r="3" spans="1:49" x14ac:dyDescent="0.35">
      <c r="A3" t="s">
        <v>135</v>
      </c>
      <c r="B3">
        <v>21301</v>
      </c>
      <c r="C3">
        <v>0</v>
      </c>
      <c r="D3">
        <v>5567</v>
      </c>
      <c r="E3">
        <v>7587</v>
      </c>
      <c r="F3">
        <v>1984</v>
      </c>
      <c r="G3">
        <v>0</v>
      </c>
      <c r="H3">
        <v>9860</v>
      </c>
      <c r="I3">
        <v>8865</v>
      </c>
      <c r="J3">
        <v>36986</v>
      </c>
      <c r="K3">
        <v>2339</v>
      </c>
      <c r="L3">
        <v>0</v>
      </c>
      <c r="M3">
        <v>5532</v>
      </c>
      <c r="N3">
        <v>0</v>
      </c>
      <c r="O3">
        <v>584</v>
      </c>
      <c r="P3">
        <v>35754</v>
      </c>
      <c r="Q3">
        <v>2832</v>
      </c>
      <c r="R3">
        <v>9452</v>
      </c>
      <c r="S3">
        <v>856</v>
      </c>
      <c r="T3">
        <v>0</v>
      </c>
      <c r="U3">
        <v>885</v>
      </c>
      <c r="V3">
        <v>478</v>
      </c>
      <c r="W3">
        <v>13340</v>
      </c>
      <c r="X3">
        <v>2025</v>
      </c>
      <c r="Y3">
        <v>748</v>
      </c>
      <c r="Z3">
        <v>0</v>
      </c>
      <c r="AA3">
        <v>8998</v>
      </c>
      <c r="AB3">
        <v>6140</v>
      </c>
      <c r="AC3">
        <v>2236</v>
      </c>
      <c r="AD3">
        <v>3224</v>
      </c>
      <c r="AE3">
        <v>2121</v>
      </c>
      <c r="AF3">
        <v>3012</v>
      </c>
      <c r="AG3">
        <v>1415</v>
      </c>
      <c r="AH3">
        <v>172576</v>
      </c>
      <c r="AI3">
        <v>0</v>
      </c>
      <c r="AJ3">
        <v>4876</v>
      </c>
      <c r="AK3">
        <v>753</v>
      </c>
      <c r="AL3">
        <v>0</v>
      </c>
      <c r="AM3">
        <v>0</v>
      </c>
      <c r="AN3">
        <v>4063</v>
      </c>
      <c r="AO3">
        <v>923</v>
      </c>
      <c r="AP3">
        <v>3311</v>
      </c>
      <c r="AQ3">
        <v>1641</v>
      </c>
      <c r="AR3">
        <v>17386</v>
      </c>
      <c r="AS3">
        <v>17454</v>
      </c>
      <c r="AT3">
        <v>0</v>
      </c>
      <c r="AU3">
        <v>11020</v>
      </c>
      <c r="AV3">
        <v>6133</v>
      </c>
      <c r="AW3">
        <v>434257</v>
      </c>
    </row>
    <row r="4" spans="1:49" x14ac:dyDescent="0.35">
      <c r="A4" t="s">
        <v>139</v>
      </c>
      <c r="B4">
        <v>89978</v>
      </c>
      <c r="C4">
        <v>0</v>
      </c>
      <c r="D4">
        <v>11786</v>
      </c>
      <c r="E4">
        <v>27922</v>
      </c>
      <c r="F4">
        <v>16056</v>
      </c>
      <c r="G4">
        <v>0</v>
      </c>
      <c r="H4">
        <v>29958</v>
      </c>
      <c r="I4">
        <v>32946</v>
      </c>
      <c r="J4">
        <v>230632</v>
      </c>
      <c r="K4">
        <v>11146</v>
      </c>
      <c r="L4">
        <v>0</v>
      </c>
      <c r="M4">
        <v>1882</v>
      </c>
      <c r="N4">
        <v>0</v>
      </c>
      <c r="O4">
        <v>10014</v>
      </c>
      <c r="P4">
        <v>140492</v>
      </c>
      <c r="Q4">
        <v>8554</v>
      </c>
      <c r="R4">
        <v>205886</v>
      </c>
      <c r="S4">
        <v>8734</v>
      </c>
      <c r="T4">
        <v>0</v>
      </c>
      <c r="U4">
        <v>3758</v>
      </c>
      <c r="V4">
        <v>2750</v>
      </c>
      <c r="W4">
        <v>69268</v>
      </c>
      <c r="X4">
        <v>6880</v>
      </c>
      <c r="Y4">
        <v>0</v>
      </c>
      <c r="Z4">
        <v>0</v>
      </c>
      <c r="AA4">
        <v>12654</v>
      </c>
      <c r="AB4">
        <v>19550</v>
      </c>
      <c r="AC4">
        <v>13006</v>
      </c>
      <c r="AD4">
        <v>7800</v>
      </c>
      <c r="AE4">
        <v>19184</v>
      </c>
      <c r="AF4">
        <v>17210</v>
      </c>
      <c r="AG4">
        <v>9130</v>
      </c>
      <c r="AH4">
        <v>441362</v>
      </c>
      <c r="AI4">
        <v>0</v>
      </c>
      <c r="AJ4">
        <v>9474</v>
      </c>
      <c r="AK4">
        <v>14712</v>
      </c>
      <c r="AL4">
        <v>0</v>
      </c>
      <c r="AM4">
        <v>0</v>
      </c>
      <c r="AN4">
        <v>7648</v>
      </c>
      <c r="AO4">
        <v>1246</v>
      </c>
      <c r="AP4">
        <v>5866</v>
      </c>
      <c r="AQ4">
        <v>5260</v>
      </c>
      <c r="AR4">
        <v>0</v>
      </c>
      <c r="AS4">
        <v>148394</v>
      </c>
      <c r="AT4">
        <v>0</v>
      </c>
      <c r="AU4">
        <v>67558</v>
      </c>
      <c r="AV4">
        <v>64364</v>
      </c>
      <c r="AW4">
        <v>1773060</v>
      </c>
    </row>
    <row r="5" spans="1:49" x14ac:dyDescent="0.35">
      <c r="A5" t="s">
        <v>138</v>
      </c>
      <c r="B5">
        <v>44</v>
      </c>
      <c r="C5">
        <v>0</v>
      </c>
      <c r="D5">
        <v>4110</v>
      </c>
      <c r="E5">
        <v>18588</v>
      </c>
      <c r="F5">
        <v>0</v>
      </c>
      <c r="G5">
        <v>0</v>
      </c>
      <c r="H5">
        <v>14850</v>
      </c>
      <c r="I5">
        <v>3348</v>
      </c>
      <c r="J5">
        <v>5280</v>
      </c>
      <c r="K5">
        <v>1814</v>
      </c>
      <c r="L5">
        <v>0</v>
      </c>
      <c r="M5">
        <v>0</v>
      </c>
      <c r="N5">
        <v>0</v>
      </c>
      <c r="O5">
        <v>134</v>
      </c>
      <c r="P5">
        <v>43986</v>
      </c>
      <c r="Q5">
        <v>1840</v>
      </c>
      <c r="R5">
        <v>47764</v>
      </c>
      <c r="S5">
        <v>1554</v>
      </c>
      <c r="T5">
        <v>0</v>
      </c>
      <c r="U5">
        <v>394</v>
      </c>
      <c r="V5">
        <v>46</v>
      </c>
      <c r="W5">
        <v>274</v>
      </c>
      <c r="X5">
        <v>1538</v>
      </c>
      <c r="Y5">
        <v>0</v>
      </c>
      <c r="Z5">
        <v>0</v>
      </c>
      <c r="AA5">
        <v>3258</v>
      </c>
      <c r="AB5">
        <v>14240</v>
      </c>
      <c r="AC5">
        <v>2680</v>
      </c>
      <c r="AD5">
        <v>0</v>
      </c>
      <c r="AE5">
        <v>1232</v>
      </c>
      <c r="AF5">
        <v>14</v>
      </c>
      <c r="AG5">
        <v>1436</v>
      </c>
      <c r="AH5">
        <v>293574</v>
      </c>
      <c r="AI5">
        <v>0</v>
      </c>
      <c r="AJ5">
        <v>5606</v>
      </c>
      <c r="AK5">
        <v>4542</v>
      </c>
      <c r="AL5">
        <v>0</v>
      </c>
      <c r="AM5">
        <v>0</v>
      </c>
      <c r="AN5">
        <v>0</v>
      </c>
      <c r="AO5">
        <v>312</v>
      </c>
      <c r="AP5">
        <v>1566</v>
      </c>
      <c r="AQ5">
        <v>3728</v>
      </c>
      <c r="AR5">
        <v>0</v>
      </c>
      <c r="AS5">
        <v>65914</v>
      </c>
      <c r="AT5">
        <v>0</v>
      </c>
      <c r="AU5">
        <v>18404</v>
      </c>
      <c r="AV5">
        <v>5592</v>
      </c>
      <c r="AW5">
        <v>567662</v>
      </c>
    </row>
    <row r="6" spans="1:49" x14ac:dyDescent="0.35">
      <c r="A6" t="s">
        <v>82</v>
      </c>
      <c r="B6">
        <v>430</v>
      </c>
      <c r="C6">
        <v>0</v>
      </c>
      <c r="D6">
        <v>0</v>
      </c>
      <c r="E6">
        <v>0</v>
      </c>
      <c r="F6">
        <v>0</v>
      </c>
      <c r="G6">
        <v>2695</v>
      </c>
      <c r="H6">
        <v>0</v>
      </c>
      <c r="I6">
        <v>398</v>
      </c>
      <c r="J6">
        <v>487</v>
      </c>
      <c r="K6">
        <v>0</v>
      </c>
      <c r="L6">
        <v>0</v>
      </c>
      <c r="M6">
        <v>0</v>
      </c>
      <c r="N6">
        <v>0</v>
      </c>
      <c r="O6">
        <v>0</v>
      </c>
      <c r="P6">
        <v>75</v>
      </c>
      <c r="Q6">
        <v>0</v>
      </c>
      <c r="R6">
        <v>227</v>
      </c>
      <c r="S6">
        <v>71</v>
      </c>
      <c r="T6">
        <v>3224</v>
      </c>
      <c r="U6">
        <v>0</v>
      </c>
      <c r="V6">
        <v>690</v>
      </c>
      <c r="W6">
        <v>0</v>
      </c>
      <c r="X6">
        <v>404</v>
      </c>
      <c r="Y6">
        <v>0</v>
      </c>
      <c r="Z6">
        <v>0</v>
      </c>
      <c r="AA6">
        <v>36980</v>
      </c>
      <c r="AB6">
        <v>0</v>
      </c>
      <c r="AC6">
        <v>0</v>
      </c>
      <c r="AD6">
        <v>258</v>
      </c>
      <c r="AE6">
        <v>0</v>
      </c>
      <c r="AF6">
        <v>142</v>
      </c>
      <c r="AG6">
        <v>0</v>
      </c>
      <c r="AH6">
        <v>1332</v>
      </c>
      <c r="AI6">
        <v>143</v>
      </c>
      <c r="AJ6">
        <v>17</v>
      </c>
      <c r="AK6">
        <v>0</v>
      </c>
      <c r="AL6">
        <v>0</v>
      </c>
      <c r="AM6">
        <v>0</v>
      </c>
      <c r="AN6">
        <v>15498</v>
      </c>
      <c r="AO6">
        <v>0</v>
      </c>
      <c r="AP6">
        <v>78</v>
      </c>
      <c r="AQ6">
        <v>2076</v>
      </c>
      <c r="AR6">
        <v>656</v>
      </c>
      <c r="AS6">
        <v>170</v>
      </c>
      <c r="AT6">
        <v>0</v>
      </c>
      <c r="AU6">
        <v>0</v>
      </c>
      <c r="AV6">
        <v>0</v>
      </c>
      <c r="AW6">
        <v>66051</v>
      </c>
    </row>
    <row r="7" spans="1:49" x14ac:dyDescent="0.35">
      <c r="A7" t="s">
        <v>60</v>
      </c>
      <c r="B7">
        <v>156</v>
      </c>
      <c r="C7">
        <v>0</v>
      </c>
      <c r="D7">
        <v>0</v>
      </c>
      <c r="E7">
        <v>0</v>
      </c>
      <c r="F7">
        <v>0</v>
      </c>
      <c r="G7">
        <v>488</v>
      </c>
      <c r="H7">
        <v>79</v>
      </c>
      <c r="I7">
        <v>159</v>
      </c>
      <c r="J7">
        <v>215</v>
      </c>
      <c r="K7">
        <v>0</v>
      </c>
      <c r="L7">
        <v>0</v>
      </c>
      <c r="M7">
        <v>0</v>
      </c>
      <c r="N7">
        <v>0</v>
      </c>
      <c r="O7">
        <v>55</v>
      </c>
      <c r="P7">
        <v>121</v>
      </c>
      <c r="Q7">
        <v>0</v>
      </c>
      <c r="R7">
        <v>40</v>
      </c>
      <c r="S7">
        <v>0</v>
      </c>
      <c r="T7">
        <v>612</v>
      </c>
      <c r="U7">
        <v>53</v>
      </c>
      <c r="V7">
        <v>128</v>
      </c>
      <c r="W7">
        <v>0</v>
      </c>
      <c r="X7">
        <v>147</v>
      </c>
      <c r="Y7">
        <v>0</v>
      </c>
      <c r="Z7">
        <v>0</v>
      </c>
      <c r="AA7">
        <v>11642</v>
      </c>
      <c r="AB7">
        <v>0</v>
      </c>
      <c r="AC7">
        <v>0</v>
      </c>
      <c r="AD7">
        <v>0</v>
      </c>
      <c r="AE7">
        <v>0</v>
      </c>
      <c r="AF7">
        <v>0</v>
      </c>
      <c r="AG7">
        <v>0</v>
      </c>
      <c r="AH7">
        <v>416</v>
      </c>
      <c r="AI7">
        <v>0</v>
      </c>
      <c r="AJ7">
        <v>18</v>
      </c>
      <c r="AK7">
        <v>0</v>
      </c>
      <c r="AL7">
        <v>0</v>
      </c>
      <c r="AM7">
        <v>0</v>
      </c>
      <c r="AN7">
        <v>338</v>
      </c>
      <c r="AO7">
        <v>0</v>
      </c>
      <c r="AP7">
        <v>14</v>
      </c>
      <c r="AQ7">
        <v>985</v>
      </c>
      <c r="AR7">
        <v>465</v>
      </c>
      <c r="AS7">
        <v>0</v>
      </c>
      <c r="AT7">
        <v>0</v>
      </c>
      <c r="AU7">
        <v>0</v>
      </c>
      <c r="AV7">
        <v>0</v>
      </c>
      <c r="AW7">
        <v>16131</v>
      </c>
    </row>
    <row r="8" spans="1:49" x14ac:dyDescent="0.35">
      <c r="A8" t="s">
        <v>127</v>
      </c>
      <c r="B8">
        <v>5</v>
      </c>
      <c r="D8">
        <v>21</v>
      </c>
      <c r="E8">
        <v>3145</v>
      </c>
      <c r="I8">
        <v>310</v>
      </c>
      <c r="M8">
        <v>155</v>
      </c>
      <c r="O8">
        <v>2626</v>
      </c>
      <c r="P8">
        <v>41101</v>
      </c>
      <c r="Q8">
        <v>98</v>
      </c>
      <c r="R8">
        <v>0</v>
      </c>
      <c r="U8">
        <v>3975</v>
      </c>
      <c r="V8">
        <v>146</v>
      </c>
      <c r="W8">
        <v>86423</v>
      </c>
      <c r="Y8">
        <v>9196</v>
      </c>
      <c r="AB8">
        <v>6992</v>
      </c>
      <c r="AD8">
        <v>916</v>
      </c>
      <c r="AE8">
        <v>10747</v>
      </c>
      <c r="AG8">
        <v>2239</v>
      </c>
      <c r="AH8">
        <v>154477</v>
      </c>
      <c r="AJ8">
        <v>18757</v>
      </c>
      <c r="AO8">
        <v>0</v>
      </c>
      <c r="AR8">
        <v>20737</v>
      </c>
      <c r="AT8">
        <v>63290</v>
      </c>
      <c r="AU8">
        <v>2421</v>
      </c>
      <c r="AV8">
        <v>19722</v>
      </c>
      <c r="AW8">
        <v>447499</v>
      </c>
    </row>
    <row r="9" spans="1:49" x14ac:dyDescent="0.35">
      <c r="A9" t="s">
        <v>61</v>
      </c>
      <c r="B9">
        <v>197</v>
      </c>
      <c r="C9">
        <v>0</v>
      </c>
      <c r="D9">
        <v>0</v>
      </c>
      <c r="E9">
        <v>0</v>
      </c>
      <c r="F9">
        <v>0</v>
      </c>
      <c r="G9">
        <v>1634</v>
      </c>
      <c r="H9">
        <v>0</v>
      </c>
      <c r="I9">
        <v>0</v>
      </c>
      <c r="J9">
        <v>0</v>
      </c>
      <c r="K9">
        <v>0</v>
      </c>
      <c r="L9">
        <v>0</v>
      </c>
      <c r="M9">
        <v>0</v>
      </c>
      <c r="N9">
        <v>0</v>
      </c>
      <c r="O9">
        <v>0</v>
      </c>
      <c r="P9">
        <v>0</v>
      </c>
      <c r="Q9">
        <v>0</v>
      </c>
      <c r="R9">
        <v>6</v>
      </c>
      <c r="S9">
        <v>0</v>
      </c>
      <c r="T9">
        <v>59</v>
      </c>
      <c r="U9">
        <v>0</v>
      </c>
      <c r="V9">
        <v>25</v>
      </c>
      <c r="W9">
        <v>0</v>
      </c>
      <c r="X9">
        <v>0</v>
      </c>
      <c r="Y9">
        <v>0</v>
      </c>
      <c r="Z9">
        <v>0</v>
      </c>
      <c r="AA9">
        <v>3342</v>
      </c>
      <c r="AB9">
        <v>0</v>
      </c>
      <c r="AC9">
        <v>0</v>
      </c>
      <c r="AD9">
        <v>0</v>
      </c>
      <c r="AE9">
        <v>0</v>
      </c>
      <c r="AF9">
        <v>0</v>
      </c>
      <c r="AG9">
        <v>0</v>
      </c>
      <c r="AH9">
        <v>0</v>
      </c>
      <c r="AI9">
        <v>0</v>
      </c>
      <c r="AJ9">
        <v>0</v>
      </c>
      <c r="AK9">
        <v>0</v>
      </c>
      <c r="AL9">
        <v>0</v>
      </c>
      <c r="AM9">
        <v>0</v>
      </c>
      <c r="AN9">
        <v>688</v>
      </c>
      <c r="AO9">
        <v>0</v>
      </c>
      <c r="AP9">
        <v>0</v>
      </c>
      <c r="AQ9">
        <v>0</v>
      </c>
      <c r="AR9">
        <v>65</v>
      </c>
      <c r="AS9">
        <v>0</v>
      </c>
      <c r="AT9">
        <v>0</v>
      </c>
      <c r="AU9">
        <v>0</v>
      </c>
      <c r="AV9">
        <v>0</v>
      </c>
      <c r="AW9">
        <v>6016</v>
      </c>
    </row>
    <row r="10" spans="1:49" x14ac:dyDescent="0.35">
      <c r="A10" t="s">
        <v>62</v>
      </c>
      <c r="B10">
        <v>10</v>
      </c>
      <c r="C10">
        <v>0</v>
      </c>
      <c r="D10">
        <v>0</v>
      </c>
      <c r="E10">
        <v>0</v>
      </c>
      <c r="F10">
        <v>0</v>
      </c>
      <c r="G10">
        <v>47</v>
      </c>
      <c r="H10">
        <v>0</v>
      </c>
      <c r="I10">
        <v>0</v>
      </c>
      <c r="J10">
        <v>233</v>
      </c>
      <c r="K10">
        <v>0</v>
      </c>
      <c r="L10">
        <v>0</v>
      </c>
      <c r="M10">
        <v>0</v>
      </c>
      <c r="N10">
        <v>0</v>
      </c>
      <c r="O10">
        <v>0</v>
      </c>
      <c r="P10">
        <v>0</v>
      </c>
      <c r="Q10">
        <v>0</v>
      </c>
      <c r="R10">
        <v>0</v>
      </c>
      <c r="S10">
        <v>0</v>
      </c>
      <c r="T10">
        <v>2305</v>
      </c>
      <c r="U10">
        <v>0</v>
      </c>
      <c r="V10">
        <v>134</v>
      </c>
      <c r="W10">
        <v>0</v>
      </c>
      <c r="X10">
        <v>0</v>
      </c>
      <c r="Y10">
        <v>0</v>
      </c>
      <c r="Z10">
        <v>0</v>
      </c>
      <c r="AA10">
        <v>3642</v>
      </c>
      <c r="AB10">
        <v>0</v>
      </c>
      <c r="AC10">
        <v>0</v>
      </c>
      <c r="AD10">
        <v>0</v>
      </c>
      <c r="AE10">
        <v>0</v>
      </c>
      <c r="AF10">
        <v>0</v>
      </c>
      <c r="AG10">
        <v>0</v>
      </c>
      <c r="AH10">
        <v>0</v>
      </c>
      <c r="AI10">
        <v>0</v>
      </c>
      <c r="AJ10">
        <v>0</v>
      </c>
      <c r="AK10">
        <v>0</v>
      </c>
      <c r="AL10">
        <v>0</v>
      </c>
      <c r="AM10">
        <v>0</v>
      </c>
      <c r="AN10">
        <v>2886</v>
      </c>
      <c r="AO10">
        <v>0</v>
      </c>
      <c r="AP10">
        <v>0</v>
      </c>
      <c r="AQ10">
        <v>0</v>
      </c>
      <c r="AR10">
        <v>929</v>
      </c>
      <c r="AS10">
        <v>0</v>
      </c>
      <c r="AT10">
        <v>0</v>
      </c>
      <c r="AU10">
        <v>0</v>
      </c>
      <c r="AV10">
        <v>0</v>
      </c>
      <c r="AW10">
        <v>10186</v>
      </c>
    </row>
    <row r="11" spans="1:49" x14ac:dyDescent="0.35">
      <c r="A11" t="s">
        <v>203</v>
      </c>
      <c r="B11">
        <v>0</v>
      </c>
      <c r="C11">
        <v>0</v>
      </c>
      <c r="D11">
        <v>0</v>
      </c>
      <c r="E11">
        <v>886</v>
      </c>
      <c r="F11">
        <v>1563</v>
      </c>
      <c r="G11">
        <v>0</v>
      </c>
      <c r="H11">
        <v>4140</v>
      </c>
      <c r="I11">
        <v>146</v>
      </c>
      <c r="J11">
        <v>0</v>
      </c>
      <c r="K11">
        <v>0</v>
      </c>
      <c r="L11">
        <v>0</v>
      </c>
      <c r="M11">
        <v>0</v>
      </c>
      <c r="N11">
        <v>0</v>
      </c>
      <c r="O11">
        <v>0</v>
      </c>
      <c r="P11">
        <v>0</v>
      </c>
      <c r="Q11">
        <v>70</v>
      </c>
      <c r="R11">
        <v>3602</v>
      </c>
      <c r="S11">
        <v>0</v>
      </c>
      <c r="T11">
        <v>0</v>
      </c>
      <c r="U11">
        <v>0</v>
      </c>
      <c r="V11">
        <v>0</v>
      </c>
      <c r="W11">
        <v>0</v>
      </c>
      <c r="X11">
        <v>0</v>
      </c>
      <c r="Y11">
        <v>0</v>
      </c>
      <c r="Z11">
        <v>0</v>
      </c>
      <c r="AA11">
        <v>0</v>
      </c>
      <c r="AB11">
        <v>0</v>
      </c>
      <c r="AC11">
        <v>0</v>
      </c>
      <c r="AD11">
        <v>0</v>
      </c>
      <c r="AE11">
        <v>0</v>
      </c>
      <c r="AF11">
        <v>889</v>
      </c>
      <c r="AG11">
        <v>0</v>
      </c>
      <c r="AH11">
        <v>0</v>
      </c>
      <c r="AI11">
        <v>0</v>
      </c>
      <c r="AJ11">
        <v>3378</v>
      </c>
      <c r="AK11">
        <v>0</v>
      </c>
      <c r="AL11">
        <v>0</v>
      </c>
      <c r="AM11">
        <v>0</v>
      </c>
      <c r="AN11">
        <v>0</v>
      </c>
      <c r="AO11">
        <v>0</v>
      </c>
      <c r="AP11">
        <v>0</v>
      </c>
      <c r="AQ11">
        <v>0</v>
      </c>
      <c r="AR11">
        <v>0</v>
      </c>
      <c r="AS11">
        <v>0</v>
      </c>
      <c r="AT11">
        <v>2857</v>
      </c>
      <c r="AU11">
        <v>0</v>
      </c>
      <c r="AV11">
        <v>0</v>
      </c>
      <c r="AW11">
        <v>17531</v>
      </c>
    </row>
    <row r="12" spans="1:49" x14ac:dyDescent="0.35">
      <c r="A12" t="s">
        <v>204</v>
      </c>
      <c r="B12">
        <v>2072</v>
      </c>
      <c r="F12">
        <v>159</v>
      </c>
      <c r="I12">
        <v>1195</v>
      </c>
      <c r="J12">
        <v>4695</v>
      </c>
      <c r="M12">
        <v>0</v>
      </c>
      <c r="O12">
        <v>381</v>
      </c>
      <c r="R12">
        <v>0</v>
      </c>
      <c r="U12">
        <v>0</v>
      </c>
      <c r="W12">
        <v>0</v>
      </c>
      <c r="Y12">
        <v>33</v>
      </c>
      <c r="AB12">
        <v>3337</v>
      </c>
      <c r="AE12">
        <v>561</v>
      </c>
      <c r="AF12">
        <v>51</v>
      </c>
      <c r="AO12">
        <v>0</v>
      </c>
      <c r="AQ12">
        <v>1377</v>
      </c>
      <c r="AT12">
        <v>26692</v>
      </c>
      <c r="AU12">
        <v>0</v>
      </c>
      <c r="AW12">
        <v>40553</v>
      </c>
    </row>
    <row r="13" spans="1:49" x14ac:dyDescent="0.35">
      <c r="A13" t="s">
        <v>205</v>
      </c>
      <c r="B13">
        <v>0</v>
      </c>
      <c r="C13">
        <v>0</v>
      </c>
      <c r="D13">
        <v>0</v>
      </c>
      <c r="E13">
        <v>14</v>
      </c>
      <c r="F13">
        <v>33</v>
      </c>
      <c r="G13">
        <v>0</v>
      </c>
      <c r="H13">
        <v>0</v>
      </c>
      <c r="I13">
        <v>19</v>
      </c>
      <c r="J13">
        <v>0</v>
      </c>
      <c r="K13">
        <v>0</v>
      </c>
      <c r="L13">
        <v>0</v>
      </c>
      <c r="M13">
        <v>0</v>
      </c>
      <c r="N13">
        <v>0</v>
      </c>
      <c r="O13">
        <v>0</v>
      </c>
      <c r="P13">
        <v>130</v>
      </c>
      <c r="Q13">
        <v>17</v>
      </c>
      <c r="R13">
        <v>0</v>
      </c>
      <c r="S13">
        <v>0</v>
      </c>
      <c r="T13">
        <v>0</v>
      </c>
      <c r="U13">
        <v>2</v>
      </c>
      <c r="V13">
        <v>0</v>
      </c>
      <c r="W13">
        <v>181</v>
      </c>
      <c r="X13">
        <v>0</v>
      </c>
      <c r="Y13">
        <v>5</v>
      </c>
      <c r="Z13">
        <v>0</v>
      </c>
      <c r="AA13">
        <v>0</v>
      </c>
      <c r="AB13">
        <v>72</v>
      </c>
      <c r="AC13">
        <v>0</v>
      </c>
      <c r="AD13">
        <v>0</v>
      </c>
      <c r="AE13">
        <v>12</v>
      </c>
      <c r="AF13">
        <v>0</v>
      </c>
      <c r="AG13">
        <v>6</v>
      </c>
      <c r="AH13">
        <v>280</v>
      </c>
      <c r="AI13">
        <v>0</v>
      </c>
      <c r="AJ13">
        <v>15</v>
      </c>
      <c r="AK13">
        <v>13</v>
      </c>
      <c r="AL13">
        <v>0</v>
      </c>
      <c r="AM13">
        <v>0</v>
      </c>
      <c r="AN13">
        <v>0</v>
      </c>
      <c r="AO13">
        <v>0</v>
      </c>
      <c r="AP13">
        <v>11</v>
      </c>
      <c r="AQ13">
        <v>19</v>
      </c>
      <c r="AR13">
        <v>12</v>
      </c>
      <c r="AS13">
        <v>0</v>
      </c>
      <c r="AT13">
        <v>329</v>
      </c>
      <c r="AU13">
        <v>28</v>
      </c>
      <c r="AV13">
        <v>0</v>
      </c>
      <c r="AW13">
        <v>1198</v>
      </c>
    </row>
    <row r="14" spans="1:49" x14ac:dyDescent="0.35">
      <c r="A14" t="s">
        <v>133</v>
      </c>
      <c r="B14">
        <v>9</v>
      </c>
      <c r="F14">
        <v>191</v>
      </c>
      <c r="I14">
        <v>293</v>
      </c>
      <c r="M14">
        <v>0</v>
      </c>
      <c r="O14">
        <v>296</v>
      </c>
      <c r="P14">
        <v>0</v>
      </c>
      <c r="Q14">
        <v>231</v>
      </c>
      <c r="R14">
        <v>2139</v>
      </c>
      <c r="U14">
        <v>1</v>
      </c>
      <c r="W14">
        <v>4663</v>
      </c>
      <c r="Y14">
        <v>0</v>
      </c>
      <c r="AB14">
        <v>335</v>
      </c>
      <c r="AD14">
        <v>270</v>
      </c>
      <c r="AE14">
        <v>81</v>
      </c>
      <c r="AH14">
        <v>36833</v>
      </c>
      <c r="AO14">
        <v>0</v>
      </c>
      <c r="AP14">
        <v>1028</v>
      </c>
      <c r="AR14">
        <v>1198</v>
      </c>
      <c r="AS14">
        <v>3309</v>
      </c>
      <c r="AT14">
        <v>13</v>
      </c>
      <c r="AU14">
        <v>388</v>
      </c>
      <c r="AV14">
        <v>757</v>
      </c>
      <c r="AW14">
        <v>52035</v>
      </c>
    </row>
    <row r="15" spans="1:49" x14ac:dyDescent="0.35">
      <c r="A15" t="s">
        <v>206</v>
      </c>
      <c r="F15">
        <v>63</v>
      </c>
      <c r="I15">
        <v>118</v>
      </c>
      <c r="M15">
        <v>0</v>
      </c>
      <c r="R15">
        <v>2471</v>
      </c>
      <c r="U15">
        <v>0</v>
      </c>
      <c r="V15">
        <v>282</v>
      </c>
      <c r="W15">
        <v>0</v>
      </c>
      <c r="Y15">
        <v>5</v>
      </c>
      <c r="AA15">
        <v>1481</v>
      </c>
      <c r="AE15">
        <v>1661</v>
      </c>
      <c r="AF15">
        <v>5</v>
      </c>
      <c r="AO15">
        <v>0</v>
      </c>
      <c r="AP15">
        <v>104</v>
      </c>
      <c r="AQ15">
        <v>595</v>
      </c>
      <c r="AR15">
        <v>2337</v>
      </c>
      <c r="AS15">
        <v>14531</v>
      </c>
      <c r="AU15">
        <v>7144</v>
      </c>
      <c r="AW15">
        <v>30797</v>
      </c>
    </row>
    <row r="16" spans="1:49" x14ac:dyDescent="0.35">
      <c r="A16" t="s">
        <v>136</v>
      </c>
      <c r="B16">
        <v>107</v>
      </c>
      <c r="F16">
        <v>82</v>
      </c>
      <c r="I16">
        <v>4864</v>
      </c>
      <c r="J16">
        <v>528</v>
      </c>
      <c r="M16">
        <v>0</v>
      </c>
      <c r="O16">
        <v>141</v>
      </c>
      <c r="P16">
        <v>1469</v>
      </c>
      <c r="Q16">
        <v>478</v>
      </c>
      <c r="R16">
        <v>2703</v>
      </c>
      <c r="U16">
        <v>51</v>
      </c>
      <c r="W16">
        <v>0</v>
      </c>
      <c r="Y16">
        <v>76</v>
      </c>
      <c r="AB16">
        <v>276</v>
      </c>
      <c r="AE16">
        <v>610</v>
      </c>
      <c r="AF16">
        <v>289</v>
      </c>
      <c r="AH16">
        <v>4262</v>
      </c>
      <c r="AJ16">
        <v>237</v>
      </c>
      <c r="AK16">
        <v>38</v>
      </c>
      <c r="AO16">
        <v>0</v>
      </c>
      <c r="AR16">
        <v>543</v>
      </c>
      <c r="AS16">
        <v>1249</v>
      </c>
      <c r="AU16">
        <v>2633</v>
      </c>
      <c r="AW16">
        <v>20636</v>
      </c>
    </row>
    <row r="17" spans="1:49" x14ac:dyDescent="0.35">
      <c r="A17" t="s">
        <v>207</v>
      </c>
      <c r="B17">
        <v>117</v>
      </c>
      <c r="E17">
        <v>44</v>
      </c>
      <c r="F17">
        <v>74</v>
      </c>
      <c r="I17">
        <v>85</v>
      </c>
      <c r="M17">
        <v>0</v>
      </c>
      <c r="R17">
        <v>3555</v>
      </c>
      <c r="U17">
        <v>0</v>
      </c>
      <c r="W17">
        <v>0</v>
      </c>
      <c r="Y17">
        <v>0</v>
      </c>
      <c r="AB17">
        <v>172</v>
      </c>
      <c r="AD17">
        <v>378</v>
      </c>
      <c r="AE17">
        <v>0</v>
      </c>
      <c r="AK17">
        <v>195</v>
      </c>
      <c r="AO17">
        <v>0</v>
      </c>
      <c r="AR17">
        <v>724</v>
      </c>
      <c r="AU17">
        <v>0</v>
      </c>
      <c r="AW17">
        <v>5344</v>
      </c>
    </row>
    <row r="18" spans="1:49" x14ac:dyDescent="0.35">
      <c r="A18" t="s">
        <v>141</v>
      </c>
      <c r="B18">
        <v>6</v>
      </c>
      <c r="E18">
        <v>2</v>
      </c>
      <c r="F18">
        <v>4</v>
      </c>
      <c r="I18">
        <v>10</v>
      </c>
      <c r="M18">
        <v>4</v>
      </c>
      <c r="O18">
        <v>96</v>
      </c>
      <c r="P18">
        <v>383</v>
      </c>
      <c r="R18">
        <v>309</v>
      </c>
      <c r="U18">
        <v>0</v>
      </c>
      <c r="W18">
        <v>0</v>
      </c>
      <c r="Y18">
        <v>3</v>
      </c>
      <c r="AB18">
        <v>154</v>
      </c>
      <c r="AD18">
        <v>6</v>
      </c>
      <c r="AE18">
        <v>73</v>
      </c>
      <c r="AF18">
        <v>107</v>
      </c>
      <c r="AH18">
        <v>5632</v>
      </c>
      <c r="AK18">
        <v>2</v>
      </c>
      <c r="AO18">
        <v>0</v>
      </c>
      <c r="AQ18">
        <v>2</v>
      </c>
      <c r="AR18">
        <v>201</v>
      </c>
      <c r="AT18">
        <v>255</v>
      </c>
      <c r="AU18">
        <v>137</v>
      </c>
      <c r="AW18">
        <v>7386</v>
      </c>
    </row>
    <row r="19" spans="1:49" x14ac:dyDescent="0.35">
      <c r="A19" t="s">
        <v>208</v>
      </c>
      <c r="F19">
        <v>1579</v>
      </c>
      <c r="I19">
        <v>5</v>
      </c>
      <c r="J19">
        <v>1803</v>
      </c>
      <c r="M19">
        <v>0</v>
      </c>
      <c r="R19">
        <v>0</v>
      </c>
      <c r="U19">
        <v>10</v>
      </c>
      <c r="W19">
        <v>0</v>
      </c>
      <c r="Y19">
        <v>620</v>
      </c>
      <c r="AB19">
        <v>696</v>
      </c>
      <c r="AE19">
        <v>0</v>
      </c>
      <c r="AO19">
        <v>0</v>
      </c>
      <c r="AT19">
        <v>15459</v>
      </c>
      <c r="AU19">
        <v>0</v>
      </c>
      <c r="AW19">
        <v>20172</v>
      </c>
    </row>
    <row r="20" spans="1:49" x14ac:dyDescent="0.35">
      <c r="A20" t="s">
        <v>209</v>
      </c>
      <c r="B20">
        <v>8431</v>
      </c>
      <c r="F20">
        <v>3204</v>
      </c>
      <c r="I20">
        <v>74</v>
      </c>
      <c r="M20">
        <v>0</v>
      </c>
      <c r="R20">
        <v>0</v>
      </c>
      <c r="U20">
        <v>64</v>
      </c>
      <c r="W20">
        <v>0</v>
      </c>
      <c r="Y20">
        <v>0</v>
      </c>
      <c r="AB20">
        <v>12261</v>
      </c>
      <c r="AE20">
        <v>11178</v>
      </c>
      <c r="AO20">
        <v>0</v>
      </c>
      <c r="AR20">
        <v>2</v>
      </c>
      <c r="AU20">
        <v>0</v>
      </c>
      <c r="AW20">
        <v>35214</v>
      </c>
    </row>
    <row r="21" spans="1:49" x14ac:dyDescent="0.35">
      <c r="A21" t="s">
        <v>134</v>
      </c>
      <c r="B21">
        <v>12</v>
      </c>
      <c r="D21">
        <v>1602</v>
      </c>
      <c r="F21">
        <v>318</v>
      </c>
      <c r="I21">
        <v>161</v>
      </c>
      <c r="K21">
        <v>777</v>
      </c>
      <c r="M21">
        <v>0</v>
      </c>
      <c r="O21">
        <v>267</v>
      </c>
      <c r="P21">
        <v>13915</v>
      </c>
      <c r="Q21">
        <v>228</v>
      </c>
      <c r="R21">
        <v>477</v>
      </c>
      <c r="U21">
        <v>197</v>
      </c>
      <c r="V21">
        <v>228</v>
      </c>
      <c r="W21">
        <v>636</v>
      </c>
      <c r="Y21">
        <v>28</v>
      </c>
      <c r="AB21">
        <v>2040</v>
      </c>
      <c r="AD21">
        <v>224</v>
      </c>
      <c r="AE21">
        <v>189</v>
      </c>
      <c r="AF21">
        <v>1065</v>
      </c>
      <c r="AG21">
        <v>418</v>
      </c>
      <c r="AH21">
        <v>38712</v>
      </c>
      <c r="AJ21">
        <v>252</v>
      </c>
      <c r="AK21">
        <v>298</v>
      </c>
      <c r="AO21">
        <v>0</v>
      </c>
      <c r="AP21">
        <v>1028</v>
      </c>
      <c r="AQ21">
        <v>887</v>
      </c>
      <c r="AR21">
        <v>4743</v>
      </c>
      <c r="AS21">
        <v>13380</v>
      </c>
      <c r="AU21">
        <v>1474</v>
      </c>
      <c r="AV21">
        <v>795</v>
      </c>
      <c r="AW21">
        <v>84351</v>
      </c>
    </row>
    <row r="22" spans="1:49" x14ac:dyDescent="0.35">
      <c r="A22" t="s">
        <v>142</v>
      </c>
      <c r="B22">
        <v>0</v>
      </c>
      <c r="D22">
        <v>382</v>
      </c>
      <c r="E22">
        <v>1698</v>
      </c>
      <c r="F22">
        <v>6</v>
      </c>
      <c r="H22">
        <v>3896</v>
      </c>
      <c r="I22">
        <v>34</v>
      </c>
      <c r="M22">
        <v>0</v>
      </c>
      <c r="P22">
        <v>1205</v>
      </c>
      <c r="Q22">
        <v>84</v>
      </c>
      <c r="R22">
        <v>0</v>
      </c>
      <c r="U22">
        <v>0</v>
      </c>
      <c r="V22">
        <v>101</v>
      </c>
      <c r="W22">
        <v>8639</v>
      </c>
      <c r="Y22">
        <v>2</v>
      </c>
      <c r="AB22">
        <v>6873</v>
      </c>
      <c r="AE22">
        <v>37</v>
      </c>
      <c r="AF22">
        <v>82</v>
      </c>
      <c r="AG22">
        <v>1592</v>
      </c>
      <c r="AJ22">
        <v>1083</v>
      </c>
      <c r="AO22">
        <v>0</v>
      </c>
      <c r="AQ22">
        <v>390</v>
      </c>
      <c r="AR22">
        <v>71119</v>
      </c>
      <c r="AT22">
        <v>20327</v>
      </c>
      <c r="AU22">
        <v>970</v>
      </c>
      <c r="AW22">
        <v>118520</v>
      </c>
    </row>
    <row r="23" spans="1:49" x14ac:dyDescent="0.35">
      <c r="A23" t="s">
        <v>83</v>
      </c>
      <c r="B23">
        <v>1195</v>
      </c>
      <c r="C23">
        <v>0</v>
      </c>
      <c r="D23">
        <v>187</v>
      </c>
      <c r="E23">
        <v>0</v>
      </c>
      <c r="F23">
        <v>30</v>
      </c>
      <c r="G23">
        <v>0</v>
      </c>
      <c r="H23">
        <v>95</v>
      </c>
      <c r="I23">
        <v>191</v>
      </c>
      <c r="J23">
        <v>793</v>
      </c>
      <c r="K23">
        <v>0</v>
      </c>
      <c r="L23">
        <v>0</v>
      </c>
      <c r="M23">
        <v>10</v>
      </c>
      <c r="N23">
        <v>0</v>
      </c>
      <c r="O23">
        <v>130</v>
      </c>
      <c r="P23">
        <v>231</v>
      </c>
      <c r="Q23">
        <v>2</v>
      </c>
      <c r="R23">
        <v>381</v>
      </c>
      <c r="S23">
        <v>0</v>
      </c>
      <c r="T23">
        <v>0</v>
      </c>
      <c r="U23">
        <v>5</v>
      </c>
      <c r="V23">
        <v>0</v>
      </c>
      <c r="W23">
        <v>631</v>
      </c>
      <c r="X23">
        <v>0</v>
      </c>
      <c r="Y23">
        <v>7</v>
      </c>
      <c r="Z23">
        <v>0</v>
      </c>
      <c r="AA23">
        <v>0</v>
      </c>
      <c r="AB23">
        <v>497</v>
      </c>
      <c r="AC23">
        <v>0</v>
      </c>
      <c r="AD23">
        <v>0</v>
      </c>
      <c r="AE23">
        <v>248</v>
      </c>
      <c r="AF23">
        <v>144</v>
      </c>
      <c r="AG23">
        <v>0</v>
      </c>
      <c r="AH23">
        <v>6479</v>
      </c>
      <c r="AI23">
        <v>0</v>
      </c>
      <c r="AJ23">
        <v>94</v>
      </c>
      <c r="AK23">
        <v>0</v>
      </c>
      <c r="AL23">
        <v>0</v>
      </c>
      <c r="AM23">
        <v>0</v>
      </c>
      <c r="AN23">
        <v>0</v>
      </c>
      <c r="AO23">
        <v>0</v>
      </c>
      <c r="AP23">
        <v>0</v>
      </c>
      <c r="AQ23">
        <v>183</v>
      </c>
      <c r="AR23">
        <v>1358</v>
      </c>
      <c r="AS23">
        <v>572</v>
      </c>
      <c r="AT23">
        <v>1555</v>
      </c>
      <c r="AU23">
        <v>1239</v>
      </c>
      <c r="AV23">
        <v>957</v>
      </c>
      <c r="AW23">
        <v>17214</v>
      </c>
    </row>
    <row r="24" spans="1:49" x14ac:dyDescent="0.35">
      <c r="A24" t="s">
        <v>84</v>
      </c>
      <c r="B24">
        <v>41</v>
      </c>
      <c r="C24">
        <v>0</v>
      </c>
      <c r="D24">
        <v>0</v>
      </c>
      <c r="E24">
        <v>39</v>
      </c>
      <c r="F24">
        <v>0</v>
      </c>
      <c r="G24">
        <v>0</v>
      </c>
      <c r="H24">
        <v>0</v>
      </c>
      <c r="I24">
        <v>606</v>
      </c>
      <c r="J24">
        <v>0</v>
      </c>
      <c r="K24">
        <v>0</v>
      </c>
      <c r="L24">
        <v>0</v>
      </c>
      <c r="M24">
        <v>0</v>
      </c>
      <c r="N24">
        <v>0</v>
      </c>
      <c r="O24">
        <v>6</v>
      </c>
      <c r="P24">
        <v>0</v>
      </c>
      <c r="Q24">
        <v>0</v>
      </c>
      <c r="R24">
        <v>0</v>
      </c>
      <c r="S24">
        <v>0</v>
      </c>
      <c r="T24">
        <v>0</v>
      </c>
      <c r="U24">
        <v>68</v>
      </c>
      <c r="V24">
        <v>0</v>
      </c>
      <c r="W24">
        <v>642</v>
      </c>
      <c r="X24">
        <v>0</v>
      </c>
      <c r="Y24">
        <v>0</v>
      </c>
      <c r="Z24">
        <v>0</v>
      </c>
      <c r="AA24">
        <v>0</v>
      </c>
      <c r="AB24">
        <v>342</v>
      </c>
      <c r="AC24">
        <v>0</v>
      </c>
      <c r="AD24">
        <v>0</v>
      </c>
      <c r="AE24">
        <v>72</v>
      </c>
      <c r="AF24">
        <v>0</v>
      </c>
      <c r="AG24">
        <v>0</v>
      </c>
      <c r="AH24">
        <v>0</v>
      </c>
      <c r="AI24">
        <v>0</v>
      </c>
      <c r="AJ24">
        <v>543</v>
      </c>
      <c r="AK24">
        <v>0</v>
      </c>
      <c r="AL24">
        <v>0</v>
      </c>
      <c r="AM24">
        <v>0</v>
      </c>
      <c r="AN24">
        <v>0</v>
      </c>
      <c r="AO24">
        <v>0</v>
      </c>
      <c r="AP24">
        <v>0</v>
      </c>
      <c r="AQ24">
        <v>0</v>
      </c>
      <c r="AR24">
        <v>0</v>
      </c>
      <c r="AS24">
        <v>0</v>
      </c>
      <c r="AT24">
        <v>15754</v>
      </c>
      <c r="AU24">
        <v>0</v>
      </c>
      <c r="AV24">
        <v>84</v>
      </c>
      <c r="AW24">
        <v>18197</v>
      </c>
    </row>
    <row r="25" spans="1:49" x14ac:dyDescent="0.35">
      <c r="A25" t="s">
        <v>126</v>
      </c>
      <c r="B25">
        <v>1</v>
      </c>
      <c r="F25">
        <v>11</v>
      </c>
      <c r="I25">
        <v>0</v>
      </c>
      <c r="M25">
        <v>0</v>
      </c>
      <c r="R25">
        <v>30</v>
      </c>
      <c r="U25">
        <v>0</v>
      </c>
      <c r="W25">
        <v>0</v>
      </c>
      <c r="Y25">
        <v>0</v>
      </c>
      <c r="AD25">
        <v>27</v>
      </c>
      <c r="AE25">
        <v>0</v>
      </c>
      <c r="AH25">
        <v>168</v>
      </c>
      <c r="AO25">
        <v>0</v>
      </c>
      <c r="AR25">
        <v>2</v>
      </c>
      <c r="AT25">
        <v>586</v>
      </c>
      <c r="AU25">
        <v>2</v>
      </c>
      <c r="AW25">
        <v>827</v>
      </c>
    </row>
    <row r="26" spans="1:49" x14ac:dyDescent="0.35">
      <c r="A26" t="s">
        <v>87</v>
      </c>
      <c r="B26">
        <v>0</v>
      </c>
      <c r="C26">
        <v>0</v>
      </c>
      <c r="D26">
        <v>0</v>
      </c>
      <c r="E26">
        <v>0</v>
      </c>
      <c r="F26">
        <v>0</v>
      </c>
      <c r="G26">
        <v>0</v>
      </c>
      <c r="H26">
        <v>0</v>
      </c>
      <c r="I26">
        <v>16</v>
      </c>
      <c r="J26">
        <v>0</v>
      </c>
      <c r="K26">
        <v>0</v>
      </c>
      <c r="L26">
        <v>0</v>
      </c>
      <c r="M26">
        <v>0</v>
      </c>
      <c r="N26">
        <v>0</v>
      </c>
      <c r="O26">
        <v>0</v>
      </c>
      <c r="P26">
        <v>0</v>
      </c>
      <c r="Q26">
        <v>0</v>
      </c>
      <c r="R26">
        <v>0</v>
      </c>
      <c r="S26">
        <v>0</v>
      </c>
      <c r="T26">
        <v>0</v>
      </c>
      <c r="U26">
        <v>0</v>
      </c>
      <c r="V26">
        <v>0</v>
      </c>
      <c r="W26">
        <v>0</v>
      </c>
      <c r="X26">
        <v>0</v>
      </c>
      <c r="Y26">
        <v>0</v>
      </c>
      <c r="Z26">
        <v>0</v>
      </c>
      <c r="AA26">
        <v>0</v>
      </c>
      <c r="AB26">
        <v>99942</v>
      </c>
      <c r="AC26">
        <v>0</v>
      </c>
      <c r="AD26">
        <v>0</v>
      </c>
      <c r="AE26">
        <v>2</v>
      </c>
      <c r="AF26">
        <v>0</v>
      </c>
      <c r="AG26">
        <v>0</v>
      </c>
      <c r="AH26">
        <v>0</v>
      </c>
      <c r="AI26">
        <v>0</v>
      </c>
      <c r="AJ26">
        <v>0</v>
      </c>
      <c r="AK26">
        <v>0</v>
      </c>
      <c r="AL26">
        <v>0</v>
      </c>
      <c r="AM26">
        <v>0</v>
      </c>
      <c r="AN26">
        <v>0</v>
      </c>
      <c r="AO26">
        <v>0</v>
      </c>
      <c r="AP26">
        <v>21983</v>
      </c>
      <c r="AQ26">
        <v>0</v>
      </c>
      <c r="AR26">
        <v>4710</v>
      </c>
      <c r="AS26">
        <v>0</v>
      </c>
      <c r="AT26">
        <v>9</v>
      </c>
      <c r="AU26">
        <v>0</v>
      </c>
      <c r="AV26">
        <v>0</v>
      </c>
      <c r="AW26">
        <v>126662</v>
      </c>
    </row>
    <row r="29" spans="1:49" x14ac:dyDescent="0.35">
      <c r="B29" t="s">
        <v>0</v>
      </c>
      <c r="C29" t="s">
        <v>210</v>
      </c>
      <c r="D29" t="s">
        <v>211</v>
      </c>
      <c r="E29">
        <v>2012</v>
      </c>
    </row>
    <row r="30" spans="1:49" x14ac:dyDescent="0.35">
      <c r="B30" t="str">
        <f>B1</f>
        <v>AGO</v>
      </c>
      <c r="C30">
        <f>B2</f>
        <v>35588987.00000003</v>
      </c>
      <c r="D30" t="str">
        <f t="shared" ref="D30:D52" si="0">A3</f>
        <v>Medical Doctors</v>
      </c>
      <c r="E30">
        <f t="shared" ref="E30:E52" si="1">B3</f>
        <v>21301</v>
      </c>
    </row>
    <row r="31" spans="1:49" x14ac:dyDescent="0.35">
      <c r="D31" t="str">
        <f t="shared" si="0"/>
        <v>Nursing Personnel</v>
      </c>
      <c r="E31">
        <f t="shared" si="1"/>
        <v>89978</v>
      </c>
    </row>
    <row r="32" spans="1:49" x14ac:dyDescent="0.35">
      <c r="D32" t="str">
        <f t="shared" si="0"/>
        <v>Midwifery personnel</v>
      </c>
      <c r="E32">
        <f t="shared" si="1"/>
        <v>44</v>
      </c>
    </row>
    <row r="33" spans="4:5" x14ac:dyDescent="0.35">
      <c r="D33" t="str">
        <f t="shared" si="0"/>
        <v>Pharmacists</v>
      </c>
      <c r="E33">
        <f t="shared" si="1"/>
        <v>430</v>
      </c>
    </row>
    <row r="34" spans="4:5" x14ac:dyDescent="0.35">
      <c r="D34" t="str">
        <f t="shared" si="0"/>
        <v>Dentists</v>
      </c>
      <c r="E34">
        <f t="shared" si="1"/>
        <v>156</v>
      </c>
    </row>
    <row r="35" spans="4:5" x14ac:dyDescent="0.35">
      <c r="D35" t="str">
        <f t="shared" si="0"/>
        <v xml:space="preserve">Community Health Workers </v>
      </c>
      <c r="E35">
        <f t="shared" si="1"/>
        <v>5</v>
      </c>
    </row>
    <row r="36" spans="4:5" x14ac:dyDescent="0.35">
      <c r="D36" t="str">
        <f t="shared" si="0"/>
        <v>Dieticians and nutritionists</v>
      </c>
      <c r="E36">
        <f t="shared" si="1"/>
        <v>197</v>
      </c>
    </row>
    <row r="37" spans="4:5" x14ac:dyDescent="0.35">
      <c r="D37" t="str">
        <f t="shared" si="0"/>
        <v>Environmental and occupational health &amp; hygiene workers</v>
      </c>
      <c r="E37">
        <f t="shared" si="1"/>
        <v>10</v>
      </c>
    </row>
    <row r="38" spans="4:5" x14ac:dyDescent="0.35">
      <c r="D38" t="str">
        <f t="shared" si="0"/>
        <v>Personal care workers in health service</v>
      </c>
      <c r="E38">
        <f t="shared" si="1"/>
        <v>0</v>
      </c>
    </row>
    <row r="39" spans="4:5" x14ac:dyDescent="0.35">
      <c r="D39" t="str">
        <f t="shared" si="0"/>
        <v xml:space="preserve">Managerial staff </v>
      </c>
      <c r="E39">
        <f t="shared" si="1"/>
        <v>2072</v>
      </c>
    </row>
    <row r="40" spans="4:5" x14ac:dyDescent="0.35">
      <c r="D40" t="str">
        <f t="shared" si="0"/>
        <v xml:space="preserve">Medical and dental Prosthetic Technicians </v>
      </c>
      <c r="E40">
        <f t="shared" si="1"/>
        <v>0</v>
      </c>
    </row>
    <row r="41" spans="4:5" x14ac:dyDescent="0.35">
      <c r="D41" t="str">
        <f t="shared" si="0"/>
        <v xml:space="preserve">Medical and Pathology Laboratory scientists </v>
      </c>
      <c r="E41">
        <f t="shared" si="1"/>
        <v>9</v>
      </c>
    </row>
    <row r="42" spans="4:5" x14ac:dyDescent="0.35">
      <c r="D42" t="str">
        <f t="shared" si="0"/>
        <v xml:space="preserve">Medical Assistants </v>
      </c>
      <c r="E42">
        <f t="shared" si="1"/>
        <v>0</v>
      </c>
    </row>
    <row r="43" spans="4:5" x14ac:dyDescent="0.35">
      <c r="D43" t="str">
        <f t="shared" si="0"/>
        <v xml:space="preserve">Medical Imaging and Therapeutic Equipment Technicians </v>
      </c>
      <c r="E43">
        <f t="shared" si="1"/>
        <v>107</v>
      </c>
    </row>
    <row r="44" spans="4:5" x14ac:dyDescent="0.35">
      <c r="D44" t="str">
        <f t="shared" si="0"/>
        <v xml:space="preserve">Medical Records and Health Information Technicians </v>
      </c>
      <c r="E44">
        <f t="shared" si="1"/>
        <v>117</v>
      </c>
    </row>
    <row r="45" spans="4:5" x14ac:dyDescent="0.35">
      <c r="D45" t="str">
        <f t="shared" si="0"/>
        <v xml:space="preserve">Optometrists and Ophthalmic Opticians </v>
      </c>
      <c r="E45">
        <f t="shared" si="1"/>
        <v>6</v>
      </c>
    </row>
    <row r="46" spans="4:5" x14ac:dyDescent="0.35">
      <c r="D46" t="str">
        <f t="shared" si="0"/>
        <v xml:space="preserve">Other non-medical professional staff </v>
      </c>
      <c r="E46">
        <f t="shared" si="1"/>
        <v>0</v>
      </c>
    </row>
    <row r="47" spans="4:5" x14ac:dyDescent="0.35">
      <c r="D47" t="str">
        <f t="shared" si="0"/>
        <v xml:space="preserve">Other non-medical support staff </v>
      </c>
      <c r="E47">
        <f t="shared" si="1"/>
        <v>8431</v>
      </c>
    </row>
    <row r="48" spans="4:5" x14ac:dyDescent="0.35">
      <c r="D48" t="str">
        <f t="shared" si="0"/>
        <v xml:space="preserve">Medical and Pathology Laboratory Technicians </v>
      </c>
      <c r="E48">
        <f t="shared" si="1"/>
        <v>12</v>
      </c>
    </row>
    <row r="49" spans="2:5" x14ac:dyDescent="0.35">
      <c r="D49" t="str">
        <f t="shared" si="0"/>
        <v xml:space="preserve">Paramedical Practitioners </v>
      </c>
      <c r="E49">
        <f t="shared" si="1"/>
        <v>0</v>
      </c>
    </row>
    <row r="50" spans="2:5" x14ac:dyDescent="0.35">
      <c r="D50" t="str">
        <f t="shared" si="0"/>
        <v>Physiotherapists and physiotherapy assistants</v>
      </c>
      <c r="E50">
        <f t="shared" si="1"/>
        <v>1195</v>
      </c>
    </row>
    <row r="51" spans="2:5" x14ac:dyDescent="0.35">
      <c r="D51" t="str">
        <f t="shared" si="0"/>
        <v>Social workers</v>
      </c>
      <c r="E51">
        <f t="shared" si="1"/>
        <v>41</v>
      </c>
    </row>
    <row r="52" spans="2:5" x14ac:dyDescent="0.35">
      <c r="D52" t="str">
        <f t="shared" si="0"/>
        <v xml:space="preserve">Audiologists and Speech Therapists </v>
      </c>
      <c r="E52">
        <f t="shared" si="1"/>
        <v>1</v>
      </c>
    </row>
    <row r="53" spans="2:5" x14ac:dyDescent="0.35">
      <c r="D53" t="str">
        <f t="shared" ref="D53:E53" si="2">A26</f>
        <v>Traditional and complementary medicine practitioners</v>
      </c>
      <c r="E53">
        <f t="shared" si="2"/>
        <v>0</v>
      </c>
    </row>
    <row r="54" spans="2:5" x14ac:dyDescent="0.35">
      <c r="B54" t="str">
        <f>C1</f>
        <v>BDI</v>
      </c>
      <c r="C54">
        <f>C2</f>
        <v>12889576.499999994</v>
      </c>
      <c r="D54" t="str">
        <f t="shared" ref="D54:D117" si="3">D30</f>
        <v>Medical Doctors</v>
      </c>
      <c r="E54">
        <f t="shared" ref="E54:E77" si="4">C3</f>
        <v>0</v>
      </c>
    </row>
    <row r="55" spans="2:5" x14ac:dyDescent="0.35">
      <c r="D55" t="str">
        <f t="shared" si="3"/>
        <v>Nursing Personnel</v>
      </c>
      <c r="E55">
        <f t="shared" si="4"/>
        <v>0</v>
      </c>
    </row>
    <row r="56" spans="2:5" x14ac:dyDescent="0.35">
      <c r="D56" t="str">
        <f t="shared" si="3"/>
        <v>Midwifery personnel</v>
      </c>
      <c r="E56">
        <f t="shared" si="4"/>
        <v>0</v>
      </c>
    </row>
    <row r="57" spans="2:5" x14ac:dyDescent="0.35">
      <c r="D57" t="str">
        <f t="shared" si="3"/>
        <v>Pharmacists</v>
      </c>
      <c r="E57">
        <f t="shared" si="4"/>
        <v>0</v>
      </c>
    </row>
    <row r="58" spans="2:5" x14ac:dyDescent="0.35">
      <c r="D58" t="str">
        <f t="shared" si="3"/>
        <v>Dentists</v>
      </c>
      <c r="E58">
        <f t="shared" si="4"/>
        <v>0</v>
      </c>
    </row>
    <row r="59" spans="2:5" x14ac:dyDescent="0.35">
      <c r="D59" t="str">
        <f t="shared" si="3"/>
        <v xml:space="preserve">Community Health Workers </v>
      </c>
      <c r="E59">
        <f t="shared" si="4"/>
        <v>0</v>
      </c>
    </row>
    <row r="60" spans="2:5" x14ac:dyDescent="0.35">
      <c r="D60" t="str">
        <f t="shared" si="3"/>
        <v>Dieticians and nutritionists</v>
      </c>
      <c r="E60">
        <f t="shared" si="4"/>
        <v>0</v>
      </c>
    </row>
    <row r="61" spans="2:5" x14ac:dyDescent="0.35">
      <c r="D61" t="str">
        <f t="shared" si="3"/>
        <v>Environmental and occupational health &amp; hygiene workers</v>
      </c>
      <c r="E61">
        <f t="shared" si="4"/>
        <v>0</v>
      </c>
    </row>
    <row r="62" spans="2:5" x14ac:dyDescent="0.35">
      <c r="D62" t="str">
        <f t="shared" si="3"/>
        <v>Personal care workers in health service</v>
      </c>
      <c r="E62">
        <f t="shared" si="4"/>
        <v>0</v>
      </c>
    </row>
    <row r="63" spans="2:5" x14ac:dyDescent="0.35">
      <c r="D63" t="str">
        <f t="shared" si="3"/>
        <v xml:space="preserve">Managerial staff </v>
      </c>
      <c r="E63">
        <f t="shared" si="4"/>
        <v>0</v>
      </c>
    </row>
    <row r="64" spans="2:5" x14ac:dyDescent="0.35">
      <c r="D64" t="str">
        <f t="shared" si="3"/>
        <v xml:space="preserve">Medical and dental Prosthetic Technicians </v>
      </c>
      <c r="E64">
        <f t="shared" si="4"/>
        <v>0</v>
      </c>
    </row>
    <row r="65" spans="2:5" x14ac:dyDescent="0.35">
      <c r="D65" t="str">
        <f t="shared" si="3"/>
        <v xml:space="preserve">Medical and Pathology Laboratory scientists </v>
      </c>
      <c r="E65">
        <f t="shared" si="4"/>
        <v>0</v>
      </c>
    </row>
    <row r="66" spans="2:5" x14ac:dyDescent="0.35">
      <c r="D66" t="str">
        <f t="shared" si="3"/>
        <v xml:space="preserve">Medical Assistants </v>
      </c>
      <c r="E66">
        <f t="shared" si="4"/>
        <v>0</v>
      </c>
    </row>
    <row r="67" spans="2:5" x14ac:dyDescent="0.35">
      <c r="D67" t="str">
        <f t="shared" si="3"/>
        <v xml:space="preserve">Medical Imaging and Therapeutic Equipment Technicians </v>
      </c>
      <c r="E67">
        <f t="shared" si="4"/>
        <v>0</v>
      </c>
    </row>
    <row r="68" spans="2:5" x14ac:dyDescent="0.35">
      <c r="D68" t="str">
        <f t="shared" si="3"/>
        <v xml:space="preserve">Medical Records and Health Information Technicians </v>
      </c>
      <c r="E68">
        <f t="shared" si="4"/>
        <v>0</v>
      </c>
    </row>
    <row r="69" spans="2:5" x14ac:dyDescent="0.35">
      <c r="D69" t="str">
        <f t="shared" si="3"/>
        <v xml:space="preserve">Optometrists and Ophthalmic Opticians </v>
      </c>
      <c r="E69">
        <f t="shared" si="4"/>
        <v>0</v>
      </c>
    </row>
    <row r="70" spans="2:5" x14ac:dyDescent="0.35">
      <c r="D70" t="str">
        <f t="shared" si="3"/>
        <v xml:space="preserve">Other non-medical professional staff </v>
      </c>
      <c r="E70">
        <f t="shared" si="4"/>
        <v>0</v>
      </c>
    </row>
    <row r="71" spans="2:5" x14ac:dyDescent="0.35">
      <c r="D71" t="str">
        <f t="shared" si="3"/>
        <v xml:space="preserve">Other non-medical support staff </v>
      </c>
      <c r="E71">
        <f t="shared" si="4"/>
        <v>0</v>
      </c>
    </row>
    <row r="72" spans="2:5" x14ac:dyDescent="0.35">
      <c r="D72" t="str">
        <f t="shared" si="3"/>
        <v xml:space="preserve">Medical and Pathology Laboratory Technicians </v>
      </c>
      <c r="E72">
        <f t="shared" si="4"/>
        <v>0</v>
      </c>
    </row>
    <row r="73" spans="2:5" x14ac:dyDescent="0.35">
      <c r="D73" t="str">
        <f t="shared" si="3"/>
        <v xml:space="preserve">Paramedical Practitioners </v>
      </c>
      <c r="E73">
        <f t="shared" si="4"/>
        <v>0</v>
      </c>
    </row>
    <row r="74" spans="2:5" x14ac:dyDescent="0.35">
      <c r="D74" t="str">
        <f t="shared" si="3"/>
        <v>Physiotherapists and physiotherapy assistants</v>
      </c>
      <c r="E74">
        <f t="shared" si="4"/>
        <v>0</v>
      </c>
    </row>
    <row r="75" spans="2:5" x14ac:dyDescent="0.35">
      <c r="D75" t="str">
        <f t="shared" si="3"/>
        <v>Social workers</v>
      </c>
      <c r="E75">
        <f t="shared" si="4"/>
        <v>0</v>
      </c>
    </row>
    <row r="76" spans="2:5" x14ac:dyDescent="0.35">
      <c r="D76" t="str">
        <f t="shared" si="3"/>
        <v xml:space="preserve">Audiologists and Speech Therapists </v>
      </c>
      <c r="E76">
        <f t="shared" si="4"/>
        <v>0</v>
      </c>
    </row>
    <row r="77" spans="2:5" x14ac:dyDescent="0.35">
      <c r="D77" t="str">
        <f t="shared" si="3"/>
        <v>Traditional and complementary medicine practitioners</v>
      </c>
      <c r="E77">
        <f t="shared" si="4"/>
        <v>0</v>
      </c>
    </row>
    <row r="78" spans="2:5" x14ac:dyDescent="0.35">
      <c r="B78" t="str">
        <f>D1</f>
        <v>BEN</v>
      </c>
      <c r="C78">
        <f>D2</f>
        <v>13352864</v>
      </c>
      <c r="D78" t="str">
        <f t="shared" si="3"/>
        <v>Medical Doctors</v>
      </c>
      <c r="E78">
        <f t="shared" ref="E78:E101" si="5">D3</f>
        <v>5567</v>
      </c>
    </row>
    <row r="79" spans="2:5" x14ac:dyDescent="0.35">
      <c r="D79" t="str">
        <f t="shared" si="3"/>
        <v>Nursing Personnel</v>
      </c>
      <c r="E79">
        <f t="shared" si="5"/>
        <v>11786</v>
      </c>
    </row>
    <row r="80" spans="2:5" x14ac:dyDescent="0.35">
      <c r="D80" t="str">
        <f t="shared" si="3"/>
        <v>Midwifery personnel</v>
      </c>
      <c r="E80">
        <f t="shared" si="5"/>
        <v>4110</v>
      </c>
    </row>
    <row r="81" spans="4:5" x14ac:dyDescent="0.35">
      <c r="D81" t="str">
        <f t="shared" si="3"/>
        <v>Pharmacists</v>
      </c>
      <c r="E81">
        <f t="shared" si="5"/>
        <v>0</v>
      </c>
    </row>
    <row r="82" spans="4:5" x14ac:dyDescent="0.35">
      <c r="D82" t="str">
        <f t="shared" si="3"/>
        <v>Dentists</v>
      </c>
      <c r="E82">
        <f t="shared" si="5"/>
        <v>0</v>
      </c>
    </row>
    <row r="83" spans="4:5" x14ac:dyDescent="0.35">
      <c r="D83" t="str">
        <f t="shared" si="3"/>
        <v xml:space="preserve">Community Health Workers </v>
      </c>
      <c r="E83">
        <f t="shared" si="5"/>
        <v>21</v>
      </c>
    </row>
    <row r="84" spans="4:5" x14ac:dyDescent="0.35">
      <c r="D84" t="str">
        <f t="shared" si="3"/>
        <v>Dieticians and nutritionists</v>
      </c>
      <c r="E84">
        <f t="shared" si="5"/>
        <v>0</v>
      </c>
    </row>
    <row r="85" spans="4:5" x14ac:dyDescent="0.35">
      <c r="D85" t="str">
        <f t="shared" si="3"/>
        <v>Environmental and occupational health &amp; hygiene workers</v>
      </c>
      <c r="E85">
        <f t="shared" si="5"/>
        <v>0</v>
      </c>
    </row>
    <row r="86" spans="4:5" x14ac:dyDescent="0.35">
      <c r="D86" t="str">
        <f t="shared" si="3"/>
        <v>Personal care workers in health service</v>
      </c>
      <c r="E86">
        <f t="shared" si="5"/>
        <v>0</v>
      </c>
    </row>
    <row r="87" spans="4:5" x14ac:dyDescent="0.35">
      <c r="D87" t="str">
        <f t="shared" si="3"/>
        <v xml:space="preserve">Managerial staff </v>
      </c>
      <c r="E87">
        <f t="shared" si="5"/>
        <v>0</v>
      </c>
    </row>
    <row r="88" spans="4:5" x14ac:dyDescent="0.35">
      <c r="D88" t="str">
        <f t="shared" si="3"/>
        <v xml:space="preserve">Medical and dental Prosthetic Technicians </v>
      </c>
      <c r="E88">
        <f t="shared" si="5"/>
        <v>0</v>
      </c>
    </row>
    <row r="89" spans="4:5" x14ac:dyDescent="0.35">
      <c r="D89" t="str">
        <f t="shared" si="3"/>
        <v xml:space="preserve">Medical and Pathology Laboratory scientists </v>
      </c>
      <c r="E89">
        <f t="shared" si="5"/>
        <v>0</v>
      </c>
    </row>
    <row r="90" spans="4:5" x14ac:dyDescent="0.35">
      <c r="D90" t="str">
        <f t="shared" si="3"/>
        <v xml:space="preserve">Medical Assistants </v>
      </c>
      <c r="E90">
        <f t="shared" si="5"/>
        <v>0</v>
      </c>
    </row>
    <row r="91" spans="4:5" x14ac:dyDescent="0.35">
      <c r="D91" t="str">
        <f t="shared" si="3"/>
        <v xml:space="preserve">Medical Imaging and Therapeutic Equipment Technicians </v>
      </c>
      <c r="E91">
        <f t="shared" si="5"/>
        <v>0</v>
      </c>
    </row>
    <row r="92" spans="4:5" x14ac:dyDescent="0.35">
      <c r="D92" t="str">
        <f t="shared" si="3"/>
        <v xml:space="preserve">Medical Records and Health Information Technicians </v>
      </c>
      <c r="E92">
        <f t="shared" si="5"/>
        <v>0</v>
      </c>
    </row>
    <row r="93" spans="4:5" x14ac:dyDescent="0.35">
      <c r="D93" t="str">
        <f t="shared" si="3"/>
        <v xml:space="preserve">Optometrists and Ophthalmic Opticians </v>
      </c>
      <c r="E93">
        <f t="shared" si="5"/>
        <v>0</v>
      </c>
    </row>
    <row r="94" spans="4:5" x14ac:dyDescent="0.35">
      <c r="D94" t="str">
        <f t="shared" si="3"/>
        <v xml:space="preserve">Other non-medical professional staff </v>
      </c>
      <c r="E94">
        <f t="shared" si="5"/>
        <v>0</v>
      </c>
    </row>
    <row r="95" spans="4:5" x14ac:dyDescent="0.35">
      <c r="D95" t="str">
        <f t="shared" si="3"/>
        <v xml:space="preserve">Other non-medical support staff </v>
      </c>
      <c r="E95">
        <f t="shared" si="5"/>
        <v>0</v>
      </c>
    </row>
    <row r="96" spans="4:5" x14ac:dyDescent="0.35">
      <c r="D96" t="str">
        <f t="shared" si="3"/>
        <v xml:space="preserve">Medical and Pathology Laboratory Technicians </v>
      </c>
      <c r="E96">
        <f t="shared" si="5"/>
        <v>1602</v>
      </c>
    </row>
    <row r="97" spans="2:5" x14ac:dyDescent="0.35">
      <c r="D97" t="str">
        <f t="shared" si="3"/>
        <v xml:space="preserve">Paramedical Practitioners </v>
      </c>
      <c r="E97">
        <f t="shared" si="5"/>
        <v>382</v>
      </c>
    </row>
    <row r="98" spans="2:5" x14ac:dyDescent="0.35">
      <c r="D98" t="str">
        <f t="shared" si="3"/>
        <v>Physiotherapists and physiotherapy assistants</v>
      </c>
      <c r="E98">
        <f t="shared" si="5"/>
        <v>187</v>
      </c>
    </row>
    <row r="99" spans="2:5" x14ac:dyDescent="0.35">
      <c r="D99" t="str">
        <f t="shared" si="3"/>
        <v>Social workers</v>
      </c>
      <c r="E99">
        <f t="shared" si="5"/>
        <v>0</v>
      </c>
    </row>
    <row r="100" spans="2:5" x14ac:dyDescent="0.35">
      <c r="D100" t="str">
        <f t="shared" si="3"/>
        <v xml:space="preserve">Audiologists and Speech Therapists </v>
      </c>
      <c r="E100">
        <f t="shared" si="5"/>
        <v>0</v>
      </c>
    </row>
    <row r="101" spans="2:5" x14ac:dyDescent="0.35">
      <c r="D101" t="str">
        <f t="shared" si="3"/>
        <v>Traditional and complementary medicine practitioners</v>
      </c>
      <c r="E101">
        <f t="shared" si="5"/>
        <v>0</v>
      </c>
    </row>
    <row r="102" spans="2:5" x14ac:dyDescent="0.35">
      <c r="B102" t="str">
        <f>E1</f>
        <v>BFA</v>
      </c>
      <c r="C102">
        <f>E2</f>
        <v>22673762.000000007</v>
      </c>
      <c r="D102" s="29" t="str">
        <f t="shared" si="3"/>
        <v>Medical Doctors</v>
      </c>
      <c r="E102">
        <f t="shared" ref="E102:E125" si="6">E3</f>
        <v>7587</v>
      </c>
    </row>
    <row r="103" spans="2:5" x14ac:dyDescent="0.35">
      <c r="D103" s="29" t="str">
        <f t="shared" si="3"/>
        <v>Nursing Personnel</v>
      </c>
      <c r="E103">
        <f t="shared" si="6"/>
        <v>27922</v>
      </c>
    </row>
    <row r="104" spans="2:5" x14ac:dyDescent="0.35">
      <c r="D104" s="29" t="str">
        <f t="shared" si="3"/>
        <v>Midwifery personnel</v>
      </c>
      <c r="E104">
        <f t="shared" si="6"/>
        <v>18588</v>
      </c>
    </row>
    <row r="105" spans="2:5" x14ac:dyDescent="0.35">
      <c r="D105" s="29" t="str">
        <f t="shared" si="3"/>
        <v>Pharmacists</v>
      </c>
      <c r="E105">
        <f t="shared" si="6"/>
        <v>0</v>
      </c>
    </row>
    <row r="106" spans="2:5" x14ac:dyDescent="0.35">
      <c r="D106" s="29" t="str">
        <f t="shared" si="3"/>
        <v>Dentists</v>
      </c>
      <c r="E106">
        <f t="shared" si="6"/>
        <v>0</v>
      </c>
    </row>
    <row r="107" spans="2:5" x14ac:dyDescent="0.35">
      <c r="D107" s="29" t="str">
        <f t="shared" si="3"/>
        <v xml:space="preserve">Community Health Workers </v>
      </c>
      <c r="E107">
        <f t="shared" si="6"/>
        <v>3145</v>
      </c>
    </row>
    <row r="108" spans="2:5" x14ac:dyDescent="0.35">
      <c r="D108" s="29" t="str">
        <f t="shared" si="3"/>
        <v>Dieticians and nutritionists</v>
      </c>
      <c r="E108">
        <f t="shared" si="6"/>
        <v>0</v>
      </c>
    </row>
    <row r="109" spans="2:5" x14ac:dyDescent="0.35">
      <c r="D109" s="29" t="str">
        <f t="shared" si="3"/>
        <v>Environmental and occupational health &amp; hygiene workers</v>
      </c>
      <c r="E109">
        <f t="shared" si="6"/>
        <v>0</v>
      </c>
    </row>
    <row r="110" spans="2:5" x14ac:dyDescent="0.35">
      <c r="D110" s="29" t="str">
        <f t="shared" si="3"/>
        <v>Personal care workers in health service</v>
      </c>
      <c r="E110">
        <f t="shared" si="6"/>
        <v>886</v>
      </c>
    </row>
    <row r="111" spans="2:5" x14ac:dyDescent="0.35">
      <c r="D111" s="29" t="str">
        <f t="shared" si="3"/>
        <v xml:space="preserve">Managerial staff </v>
      </c>
      <c r="E111">
        <f t="shared" si="6"/>
        <v>0</v>
      </c>
    </row>
    <row r="112" spans="2:5" x14ac:dyDescent="0.35">
      <c r="D112" s="29" t="str">
        <f t="shared" si="3"/>
        <v xml:space="preserve">Medical and dental Prosthetic Technicians </v>
      </c>
      <c r="E112">
        <f t="shared" si="6"/>
        <v>14</v>
      </c>
    </row>
    <row r="113" spans="2:5" x14ac:dyDescent="0.35">
      <c r="D113" s="29" t="str">
        <f t="shared" si="3"/>
        <v xml:space="preserve">Medical and Pathology Laboratory scientists </v>
      </c>
      <c r="E113">
        <f t="shared" si="6"/>
        <v>0</v>
      </c>
    </row>
    <row r="114" spans="2:5" x14ac:dyDescent="0.35">
      <c r="D114" s="29" t="str">
        <f t="shared" si="3"/>
        <v xml:space="preserve">Medical Assistants </v>
      </c>
      <c r="E114">
        <f t="shared" si="6"/>
        <v>0</v>
      </c>
    </row>
    <row r="115" spans="2:5" x14ac:dyDescent="0.35">
      <c r="D115" s="29" t="str">
        <f t="shared" si="3"/>
        <v xml:space="preserve">Medical Imaging and Therapeutic Equipment Technicians </v>
      </c>
      <c r="E115">
        <f t="shared" si="6"/>
        <v>0</v>
      </c>
    </row>
    <row r="116" spans="2:5" x14ac:dyDescent="0.35">
      <c r="D116" s="29" t="str">
        <f t="shared" si="3"/>
        <v xml:space="preserve">Medical Records and Health Information Technicians </v>
      </c>
      <c r="E116">
        <f t="shared" si="6"/>
        <v>44</v>
      </c>
    </row>
    <row r="117" spans="2:5" x14ac:dyDescent="0.35">
      <c r="D117" s="29" t="str">
        <f t="shared" si="3"/>
        <v xml:space="preserve">Optometrists and Ophthalmic Opticians </v>
      </c>
      <c r="E117">
        <f t="shared" si="6"/>
        <v>2</v>
      </c>
    </row>
    <row r="118" spans="2:5" x14ac:dyDescent="0.35">
      <c r="D118" s="29" t="str">
        <f t="shared" ref="D118:D181" si="7">D94</f>
        <v xml:space="preserve">Other non-medical professional staff </v>
      </c>
      <c r="E118">
        <f t="shared" si="6"/>
        <v>0</v>
      </c>
    </row>
    <row r="119" spans="2:5" x14ac:dyDescent="0.35">
      <c r="D119" s="29" t="str">
        <f t="shared" si="7"/>
        <v xml:space="preserve">Other non-medical support staff </v>
      </c>
      <c r="E119">
        <f t="shared" si="6"/>
        <v>0</v>
      </c>
    </row>
    <row r="120" spans="2:5" x14ac:dyDescent="0.35">
      <c r="D120" s="29" t="str">
        <f t="shared" si="7"/>
        <v xml:space="preserve">Medical and Pathology Laboratory Technicians </v>
      </c>
      <c r="E120">
        <f t="shared" si="6"/>
        <v>0</v>
      </c>
    </row>
    <row r="121" spans="2:5" x14ac:dyDescent="0.35">
      <c r="D121" s="29" t="str">
        <f t="shared" si="7"/>
        <v xml:space="preserve">Paramedical Practitioners </v>
      </c>
      <c r="E121">
        <f t="shared" si="6"/>
        <v>1698</v>
      </c>
    </row>
    <row r="122" spans="2:5" x14ac:dyDescent="0.35">
      <c r="D122" s="29" t="str">
        <f t="shared" si="7"/>
        <v>Physiotherapists and physiotherapy assistants</v>
      </c>
      <c r="E122">
        <f t="shared" si="6"/>
        <v>0</v>
      </c>
    </row>
    <row r="123" spans="2:5" x14ac:dyDescent="0.35">
      <c r="D123" s="29" t="str">
        <f t="shared" si="7"/>
        <v>Social workers</v>
      </c>
      <c r="E123">
        <f t="shared" si="6"/>
        <v>39</v>
      </c>
    </row>
    <row r="124" spans="2:5" x14ac:dyDescent="0.35">
      <c r="D124" s="29" t="str">
        <f t="shared" si="7"/>
        <v xml:space="preserve">Audiologists and Speech Therapists </v>
      </c>
      <c r="E124">
        <f t="shared" si="6"/>
        <v>0</v>
      </c>
    </row>
    <row r="125" spans="2:5" x14ac:dyDescent="0.35">
      <c r="D125" s="29" t="str">
        <f t="shared" si="7"/>
        <v>Traditional and complementary medicine practitioners</v>
      </c>
      <c r="E125">
        <f t="shared" si="6"/>
        <v>0</v>
      </c>
    </row>
    <row r="126" spans="2:5" x14ac:dyDescent="0.35">
      <c r="B126" t="str">
        <f>F1</f>
        <v>BWA</v>
      </c>
      <c r="C126">
        <f>F2</f>
        <v>2630296.0000000019</v>
      </c>
      <c r="D126" s="29" t="str">
        <f t="shared" si="7"/>
        <v>Medical Doctors</v>
      </c>
      <c r="E126">
        <f t="shared" ref="E126:E149" si="8">F3</f>
        <v>1984</v>
      </c>
    </row>
    <row r="127" spans="2:5" x14ac:dyDescent="0.35">
      <c r="D127" s="29" t="str">
        <f t="shared" si="7"/>
        <v>Nursing Personnel</v>
      </c>
      <c r="E127">
        <f t="shared" si="8"/>
        <v>16056</v>
      </c>
    </row>
    <row r="128" spans="2:5" x14ac:dyDescent="0.35">
      <c r="D128" s="29" t="str">
        <f t="shared" si="7"/>
        <v>Midwifery personnel</v>
      </c>
      <c r="E128">
        <f t="shared" si="8"/>
        <v>0</v>
      </c>
    </row>
    <row r="129" spans="4:5" x14ac:dyDescent="0.35">
      <c r="D129" s="29" t="str">
        <f t="shared" si="7"/>
        <v>Pharmacists</v>
      </c>
      <c r="E129">
        <f t="shared" si="8"/>
        <v>0</v>
      </c>
    </row>
    <row r="130" spans="4:5" x14ac:dyDescent="0.35">
      <c r="D130" s="29" t="str">
        <f t="shared" si="7"/>
        <v>Dentists</v>
      </c>
      <c r="E130">
        <f t="shared" si="8"/>
        <v>0</v>
      </c>
    </row>
    <row r="131" spans="4:5" x14ac:dyDescent="0.35">
      <c r="D131" s="29" t="str">
        <f t="shared" si="7"/>
        <v xml:space="preserve">Community Health Workers </v>
      </c>
      <c r="E131">
        <f t="shared" si="8"/>
        <v>0</v>
      </c>
    </row>
    <row r="132" spans="4:5" x14ac:dyDescent="0.35">
      <c r="D132" s="29" t="str">
        <f t="shared" si="7"/>
        <v>Dieticians and nutritionists</v>
      </c>
      <c r="E132">
        <f t="shared" si="8"/>
        <v>0</v>
      </c>
    </row>
    <row r="133" spans="4:5" x14ac:dyDescent="0.35">
      <c r="D133" s="29" t="str">
        <f t="shared" si="7"/>
        <v>Environmental and occupational health &amp; hygiene workers</v>
      </c>
      <c r="E133">
        <f t="shared" si="8"/>
        <v>0</v>
      </c>
    </row>
    <row r="134" spans="4:5" x14ac:dyDescent="0.35">
      <c r="D134" s="29" t="str">
        <f t="shared" si="7"/>
        <v>Personal care workers in health service</v>
      </c>
      <c r="E134">
        <f t="shared" si="8"/>
        <v>1563</v>
      </c>
    </row>
    <row r="135" spans="4:5" x14ac:dyDescent="0.35">
      <c r="D135" s="29" t="str">
        <f t="shared" si="7"/>
        <v xml:space="preserve">Managerial staff </v>
      </c>
      <c r="E135">
        <f t="shared" si="8"/>
        <v>159</v>
      </c>
    </row>
    <row r="136" spans="4:5" x14ac:dyDescent="0.35">
      <c r="D136" s="29" t="str">
        <f t="shared" si="7"/>
        <v xml:space="preserve">Medical and dental Prosthetic Technicians </v>
      </c>
      <c r="E136">
        <f t="shared" si="8"/>
        <v>33</v>
      </c>
    </row>
    <row r="137" spans="4:5" x14ac:dyDescent="0.35">
      <c r="D137" s="29" t="str">
        <f t="shared" si="7"/>
        <v xml:space="preserve">Medical and Pathology Laboratory scientists </v>
      </c>
      <c r="E137">
        <f t="shared" si="8"/>
        <v>191</v>
      </c>
    </row>
    <row r="138" spans="4:5" x14ac:dyDescent="0.35">
      <c r="D138" s="29" t="str">
        <f t="shared" si="7"/>
        <v xml:space="preserve">Medical Assistants </v>
      </c>
      <c r="E138">
        <f t="shared" si="8"/>
        <v>63</v>
      </c>
    </row>
    <row r="139" spans="4:5" x14ac:dyDescent="0.35">
      <c r="D139" s="29" t="str">
        <f t="shared" si="7"/>
        <v xml:space="preserve">Medical Imaging and Therapeutic Equipment Technicians </v>
      </c>
      <c r="E139">
        <f t="shared" si="8"/>
        <v>82</v>
      </c>
    </row>
    <row r="140" spans="4:5" x14ac:dyDescent="0.35">
      <c r="D140" s="29" t="str">
        <f t="shared" si="7"/>
        <v xml:space="preserve">Medical Records and Health Information Technicians </v>
      </c>
      <c r="E140">
        <f t="shared" si="8"/>
        <v>74</v>
      </c>
    </row>
    <row r="141" spans="4:5" x14ac:dyDescent="0.35">
      <c r="D141" s="29" t="str">
        <f t="shared" si="7"/>
        <v xml:space="preserve">Optometrists and Ophthalmic Opticians </v>
      </c>
      <c r="E141">
        <f t="shared" si="8"/>
        <v>4</v>
      </c>
    </row>
    <row r="142" spans="4:5" x14ac:dyDescent="0.35">
      <c r="D142" s="29" t="str">
        <f t="shared" si="7"/>
        <v xml:space="preserve">Other non-medical professional staff </v>
      </c>
      <c r="E142">
        <f t="shared" si="8"/>
        <v>1579</v>
      </c>
    </row>
    <row r="143" spans="4:5" x14ac:dyDescent="0.35">
      <c r="D143" s="29" t="str">
        <f t="shared" si="7"/>
        <v xml:space="preserve">Other non-medical support staff </v>
      </c>
      <c r="E143">
        <f t="shared" si="8"/>
        <v>3204</v>
      </c>
    </row>
    <row r="144" spans="4:5" x14ac:dyDescent="0.35">
      <c r="D144" s="29" t="str">
        <f t="shared" si="7"/>
        <v xml:space="preserve">Medical and Pathology Laboratory Technicians </v>
      </c>
      <c r="E144">
        <f t="shared" si="8"/>
        <v>318</v>
      </c>
    </row>
    <row r="145" spans="2:5" x14ac:dyDescent="0.35">
      <c r="D145" s="29" t="str">
        <f t="shared" si="7"/>
        <v xml:space="preserve">Paramedical Practitioners </v>
      </c>
      <c r="E145">
        <f t="shared" si="8"/>
        <v>6</v>
      </c>
    </row>
    <row r="146" spans="2:5" x14ac:dyDescent="0.35">
      <c r="D146" s="29" t="str">
        <f t="shared" si="7"/>
        <v>Physiotherapists and physiotherapy assistants</v>
      </c>
      <c r="E146">
        <f t="shared" si="8"/>
        <v>30</v>
      </c>
    </row>
    <row r="147" spans="2:5" x14ac:dyDescent="0.35">
      <c r="D147" s="29" t="str">
        <f t="shared" si="7"/>
        <v>Social workers</v>
      </c>
      <c r="E147">
        <f t="shared" si="8"/>
        <v>0</v>
      </c>
    </row>
    <row r="148" spans="2:5" x14ac:dyDescent="0.35">
      <c r="D148" s="29" t="str">
        <f t="shared" si="7"/>
        <v xml:space="preserve">Audiologists and Speech Therapists </v>
      </c>
      <c r="E148">
        <f t="shared" si="8"/>
        <v>11</v>
      </c>
    </row>
    <row r="149" spans="2:5" x14ac:dyDescent="0.35">
      <c r="D149" s="29" t="str">
        <f t="shared" si="7"/>
        <v>Traditional and complementary medicine practitioners</v>
      </c>
      <c r="E149">
        <f t="shared" si="8"/>
        <v>0</v>
      </c>
    </row>
    <row r="150" spans="2:5" x14ac:dyDescent="0.35">
      <c r="B150" t="str">
        <f>G1</f>
        <v>CAF</v>
      </c>
      <c r="C150">
        <f>G2</f>
        <v>5579143.5000000047</v>
      </c>
      <c r="D150" s="30" t="str">
        <f t="shared" si="7"/>
        <v>Medical Doctors</v>
      </c>
      <c r="E150">
        <f t="shared" ref="E150:E173" si="9">G3</f>
        <v>0</v>
      </c>
    </row>
    <row r="151" spans="2:5" x14ac:dyDescent="0.35">
      <c r="D151" s="30" t="str">
        <f t="shared" si="7"/>
        <v>Nursing Personnel</v>
      </c>
      <c r="E151">
        <f t="shared" si="9"/>
        <v>0</v>
      </c>
    </row>
    <row r="152" spans="2:5" x14ac:dyDescent="0.35">
      <c r="D152" s="30" t="str">
        <f t="shared" si="7"/>
        <v>Midwifery personnel</v>
      </c>
      <c r="E152">
        <f t="shared" si="9"/>
        <v>0</v>
      </c>
    </row>
    <row r="153" spans="2:5" x14ac:dyDescent="0.35">
      <c r="D153" s="30" t="str">
        <f t="shared" si="7"/>
        <v>Pharmacists</v>
      </c>
      <c r="E153">
        <f t="shared" si="9"/>
        <v>2695</v>
      </c>
    </row>
    <row r="154" spans="2:5" x14ac:dyDescent="0.35">
      <c r="D154" s="30" t="str">
        <f t="shared" si="7"/>
        <v>Dentists</v>
      </c>
      <c r="E154">
        <f t="shared" si="9"/>
        <v>488</v>
      </c>
    </row>
    <row r="155" spans="2:5" x14ac:dyDescent="0.35">
      <c r="D155" s="30" t="str">
        <f t="shared" si="7"/>
        <v xml:space="preserve">Community Health Workers </v>
      </c>
      <c r="E155">
        <f t="shared" si="9"/>
        <v>0</v>
      </c>
    </row>
    <row r="156" spans="2:5" x14ac:dyDescent="0.35">
      <c r="D156" s="30" t="str">
        <f t="shared" si="7"/>
        <v>Dieticians and nutritionists</v>
      </c>
      <c r="E156">
        <f t="shared" si="9"/>
        <v>1634</v>
      </c>
    </row>
    <row r="157" spans="2:5" x14ac:dyDescent="0.35">
      <c r="D157" s="30" t="str">
        <f t="shared" si="7"/>
        <v>Environmental and occupational health &amp; hygiene workers</v>
      </c>
      <c r="E157">
        <f t="shared" si="9"/>
        <v>47</v>
      </c>
    </row>
    <row r="158" spans="2:5" x14ac:dyDescent="0.35">
      <c r="D158" s="30" t="str">
        <f t="shared" si="7"/>
        <v>Personal care workers in health service</v>
      </c>
      <c r="E158">
        <f t="shared" si="9"/>
        <v>0</v>
      </c>
    </row>
    <row r="159" spans="2:5" x14ac:dyDescent="0.35">
      <c r="D159" s="30" t="str">
        <f t="shared" si="7"/>
        <v xml:space="preserve">Managerial staff </v>
      </c>
      <c r="E159">
        <f t="shared" si="9"/>
        <v>0</v>
      </c>
    </row>
    <row r="160" spans="2:5" x14ac:dyDescent="0.35">
      <c r="D160" s="30" t="str">
        <f t="shared" si="7"/>
        <v xml:space="preserve">Medical and dental Prosthetic Technicians </v>
      </c>
      <c r="E160">
        <f t="shared" si="9"/>
        <v>0</v>
      </c>
    </row>
    <row r="161" spans="2:5" x14ac:dyDescent="0.35">
      <c r="D161" s="30" t="str">
        <f t="shared" si="7"/>
        <v xml:space="preserve">Medical and Pathology Laboratory scientists </v>
      </c>
      <c r="E161">
        <f t="shared" si="9"/>
        <v>0</v>
      </c>
    </row>
    <row r="162" spans="2:5" x14ac:dyDescent="0.35">
      <c r="D162" s="30" t="str">
        <f t="shared" si="7"/>
        <v xml:space="preserve">Medical Assistants </v>
      </c>
      <c r="E162">
        <f t="shared" si="9"/>
        <v>0</v>
      </c>
    </row>
    <row r="163" spans="2:5" x14ac:dyDescent="0.35">
      <c r="D163" s="30" t="str">
        <f t="shared" si="7"/>
        <v xml:space="preserve">Medical Imaging and Therapeutic Equipment Technicians </v>
      </c>
      <c r="E163">
        <f t="shared" si="9"/>
        <v>0</v>
      </c>
    </row>
    <row r="164" spans="2:5" x14ac:dyDescent="0.35">
      <c r="D164" s="30" t="str">
        <f t="shared" si="7"/>
        <v xml:space="preserve">Medical Records and Health Information Technicians </v>
      </c>
      <c r="E164">
        <f t="shared" si="9"/>
        <v>0</v>
      </c>
    </row>
    <row r="165" spans="2:5" x14ac:dyDescent="0.35">
      <c r="D165" s="30" t="str">
        <f t="shared" si="7"/>
        <v xml:space="preserve">Optometrists and Ophthalmic Opticians </v>
      </c>
      <c r="E165">
        <f t="shared" si="9"/>
        <v>0</v>
      </c>
    </row>
    <row r="166" spans="2:5" x14ac:dyDescent="0.35">
      <c r="D166" s="30" t="str">
        <f t="shared" si="7"/>
        <v xml:space="preserve">Other non-medical professional staff </v>
      </c>
      <c r="E166">
        <f t="shared" si="9"/>
        <v>0</v>
      </c>
    </row>
    <row r="167" spans="2:5" x14ac:dyDescent="0.35">
      <c r="D167" s="30" t="str">
        <f t="shared" si="7"/>
        <v xml:space="preserve">Other non-medical support staff </v>
      </c>
      <c r="E167">
        <f t="shared" si="9"/>
        <v>0</v>
      </c>
    </row>
    <row r="168" spans="2:5" x14ac:dyDescent="0.35">
      <c r="D168" s="30" t="str">
        <f t="shared" si="7"/>
        <v xml:space="preserve">Medical and Pathology Laboratory Technicians </v>
      </c>
      <c r="E168">
        <f t="shared" si="9"/>
        <v>0</v>
      </c>
    </row>
    <row r="169" spans="2:5" x14ac:dyDescent="0.35">
      <c r="D169" s="30" t="str">
        <f t="shared" si="7"/>
        <v xml:space="preserve">Paramedical Practitioners </v>
      </c>
      <c r="E169">
        <f t="shared" si="9"/>
        <v>0</v>
      </c>
    </row>
    <row r="170" spans="2:5" x14ac:dyDescent="0.35">
      <c r="D170" s="30" t="str">
        <f t="shared" si="7"/>
        <v>Physiotherapists and physiotherapy assistants</v>
      </c>
      <c r="E170">
        <f t="shared" si="9"/>
        <v>0</v>
      </c>
    </row>
    <row r="171" spans="2:5" x14ac:dyDescent="0.35">
      <c r="D171" s="30" t="str">
        <f t="shared" si="7"/>
        <v>Social workers</v>
      </c>
      <c r="E171">
        <f t="shared" si="9"/>
        <v>0</v>
      </c>
    </row>
    <row r="172" spans="2:5" x14ac:dyDescent="0.35">
      <c r="D172" s="30" t="str">
        <f t="shared" si="7"/>
        <v xml:space="preserve">Audiologists and Speech Therapists </v>
      </c>
      <c r="E172">
        <f t="shared" si="9"/>
        <v>0</v>
      </c>
    </row>
    <row r="173" spans="2:5" x14ac:dyDescent="0.35">
      <c r="D173" s="30" t="str">
        <f t="shared" si="7"/>
        <v>Traditional and complementary medicine practitioners</v>
      </c>
      <c r="E173">
        <f t="shared" si="9"/>
        <v>0</v>
      </c>
    </row>
    <row r="174" spans="2:5" x14ac:dyDescent="0.35">
      <c r="B174" t="str">
        <f>H1</f>
        <v>CIV</v>
      </c>
      <c r="C174">
        <f>H2</f>
        <v>28160542.500000004</v>
      </c>
      <c r="D174" s="31" t="str">
        <f t="shared" si="7"/>
        <v>Medical Doctors</v>
      </c>
      <c r="E174">
        <f t="shared" ref="E174:E197" si="10">H3</f>
        <v>9860</v>
      </c>
    </row>
    <row r="175" spans="2:5" x14ac:dyDescent="0.35">
      <c r="D175" s="30" t="str">
        <f t="shared" si="7"/>
        <v>Nursing Personnel</v>
      </c>
      <c r="E175">
        <f t="shared" si="10"/>
        <v>29958</v>
      </c>
    </row>
    <row r="176" spans="2:5" x14ac:dyDescent="0.35">
      <c r="D176" s="30" t="str">
        <f t="shared" si="7"/>
        <v>Midwifery personnel</v>
      </c>
      <c r="E176">
        <f t="shared" si="10"/>
        <v>14850</v>
      </c>
    </row>
    <row r="177" spans="4:5" x14ac:dyDescent="0.35">
      <c r="D177" s="30" t="str">
        <f t="shared" si="7"/>
        <v>Pharmacists</v>
      </c>
      <c r="E177">
        <f t="shared" si="10"/>
        <v>0</v>
      </c>
    </row>
    <row r="178" spans="4:5" x14ac:dyDescent="0.35">
      <c r="D178" s="30" t="str">
        <f t="shared" si="7"/>
        <v>Dentists</v>
      </c>
      <c r="E178">
        <f t="shared" si="10"/>
        <v>79</v>
      </c>
    </row>
    <row r="179" spans="4:5" x14ac:dyDescent="0.35">
      <c r="D179" s="30" t="str">
        <f t="shared" si="7"/>
        <v xml:space="preserve">Community Health Workers </v>
      </c>
      <c r="E179">
        <f t="shared" si="10"/>
        <v>0</v>
      </c>
    </row>
    <row r="180" spans="4:5" x14ac:dyDescent="0.35">
      <c r="D180" s="30" t="str">
        <f t="shared" si="7"/>
        <v>Dieticians and nutritionists</v>
      </c>
      <c r="E180">
        <f t="shared" si="10"/>
        <v>0</v>
      </c>
    </row>
    <row r="181" spans="4:5" x14ac:dyDescent="0.35">
      <c r="D181" s="30" t="str">
        <f t="shared" si="7"/>
        <v>Environmental and occupational health &amp; hygiene workers</v>
      </c>
      <c r="E181">
        <f t="shared" si="10"/>
        <v>0</v>
      </c>
    </row>
    <row r="182" spans="4:5" x14ac:dyDescent="0.35">
      <c r="D182" s="30" t="str">
        <f t="shared" ref="D182:D245" si="11">D158</f>
        <v>Personal care workers in health service</v>
      </c>
      <c r="E182">
        <f t="shared" si="10"/>
        <v>4140</v>
      </c>
    </row>
    <row r="183" spans="4:5" x14ac:dyDescent="0.35">
      <c r="D183" s="30" t="str">
        <f t="shared" si="11"/>
        <v xml:space="preserve">Managerial staff </v>
      </c>
      <c r="E183">
        <f t="shared" si="10"/>
        <v>0</v>
      </c>
    </row>
    <row r="184" spans="4:5" x14ac:dyDescent="0.35">
      <c r="D184" s="30" t="str">
        <f t="shared" si="11"/>
        <v xml:space="preserve">Medical and dental Prosthetic Technicians </v>
      </c>
      <c r="E184">
        <f t="shared" si="10"/>
        <v>0</v>
      </c>
    </row>
    <row r="185" spans="4:5" x14ac:dyDescent="0.35">
      <c r="D185" s="30" t="str">
        <f t="shared" si="11"/>
        <v xml:space="preserve">Medical and Pathology Laboratory scientists </v>
      </c>
      <c r="E185">
        <f t="shared" si="10"/>
        <v>0</v>
      </c>
    </row>
    <row r="186" spans="4:5" x14ac:dyDescent="0.35">
      <c r="D186" s="30" t="str">
        <f t="shared" si="11"/>
        <v xml:space="preserve">Medical Assistants </v>
      </c>
      <c r="E186">
        <f t="shared" si="10"/>
        <v>0</v>
      </c>
    </row>
    <row r="187" spans="4:5" x14ac:dyDescent="0.35">
      <c r="D187" s="30" t="str">
        <f t="shared" si="11"/>
        <v xml:space="preserve">Medical Imaging and Therapeutic Equipment Technicians </v>
      </c>
      <c r="E187">
        <f t="shared" si="10"/>
        <v>0</v>
      </c>
    </row>
    <row r="188" spans="4:5" x14ac:dyDescent="0.35">
      <c r="D188" s="30" t="str">
        <f t="shared" si="11"/>
        <v xml:space="preserve">Medical Records and Health Information Technicians </v>
      </c>
      <c r="E188">
        <f t="shared" si="10"/>
        <v>0</v>
      </c>
    </row>
    <row r="189" spans="4:5" x14ac:dyDescent="0.35">
      <c r="D189" s="30" t="str">
        <f t="shared" si="11"/>
        <v xml:space="preserve">Optometrists and Ophthalmic Opticians </v>
      </c>
      <c r="E189">
        <f t="shared" si="10"/>
        <v>0</v>
      </c>
    </row>
    <row r="190" spans="4:5" x14ac:dyDescent="0.35">
      <c r="D190" s="30" t="str">
        <f t="shared" si="11"/>
        <v xml:space="preserve">Other non-medical professional staff </v>
      </c>
      <c r="E190">
        <f t="shared" si="10"/>
        <v>0</v>
      </c>
    </row>
    <row r="191" spans="4:5" x14ac:dyDescent="0.35">
      <c r="D191" s="30" t="str">
        <f t="shared" si="11"/>
        <v xml:space="preserve">Other non-medical support staff </v>
      </c>
      <c r="E191">
        <f t="shared" si="10"/>
        <v>0</v>
      </c>
    </row>
    <row r="192" spans="4:5" x14ac:dyDescent="0.35">
      <c r="D192" s="30" t="str">
        <f t="shared" si="11"/>
        <v xml:space="preserve">Medical and Pathology Laboratory Technicians </v>
      </c>
      <c r="E192">
        <f t="shared" si="10"/>
        <v>0</v>
      </c>
    </row>
    <row r="193" spans="2:5" x14ac:dyDescent="0.35">
      <c r="D193" s="30" t="str">
        <f t="shared" si="11"/>
        <v xml:space="preserve">Paramedical Practitioners </v>
      </c>
      <c r="E193">
        <f t="shared" si="10"/>
        <v>3896</v>
      </c>
    </row>
    <row r="194" spans="2:5" x14ac:dyDescent="0.35">
      <c r="D194" s="30" t="str">
        <f t="shared" si="11"/>
        <v>Physiotherapists and physiotherapy assistants</v>
      </c>
      <c r="E194">
        <f t="shared" si="10"/>
        <v>95</v>
      </c>
    </row>
    <row r="195" spans="2:5" x14ac:dyDescent="0.35">
      <c r="D195" s="30" t="str">
        <f t="shared" si="11"/>
        <v>Social workers</v>
      </c>
      <c r="E195">
        <f t="shared" si="10"/>
        <v>0</v>
      </c>
    </row>
    <row r="196" spans="2:5" x14ac:dyDescent="0.35">
      <c r="D196" s="30" t="str">
        <f t="shared" si="11"/>
        <v xml:space="preserve">Audiologists and Speech Therapists </v>
      </c>
      <c r="E196">
        <f t="shared" si="10"/>
        <v>0</v>
      </c>
    </row>
    <row r="197" spans="2:5" x14ac:dyDescent="0.35">
      <c r="D197" s="30" t="str">
        <f t="shared" si="11"/>
        <v>Traditional and complementary medicine practitioners</v>
      </c>
      <c r="E197">
        <f t="shared" si="10"/>
        <v>0</v>
      </c>
    </row>
    <row r="198" spans="2:5" x14ac:dyDescent="0.35">
      <c r="B198" t="str">
        <f>I1</f>
        <v>CMR</v>
      </c>
      <c r="C198">
        <f>I2</f>
        <v>27914536.499999989</v>
      </c>
      <c r="D198" s="30" t="str">
        <f t="shared" si="11"/>
        <v>Medical Doctors</v>
      </c>
      <c r="E198">
        <f t="shared" ref="E198:E221" si="12">I3</f>
        <v>8865</v>
      </c>
    </row>
    <row r="199" spans="2:5" x14ac:dyDescent="0.35">
      <c r="D199" s="30" t="str">
        <f t="shared" si="11"/>
        <v>Nursing Personnel</v>
      </c>
      <c r="E199">
        <f t="shared" si="12"/>
        <v>32946</v>
      </c>
    </row>
    <row r="200" spans="2:5" x14ac:dyDescent="0.35">
      <c r="D200" s="30" t="str">
        <f t="shared" si="11"/>
        <v>Midwifery personnel</v>
      </c>
      <c r="E200">
        <f t="shared" si="12"/>
        <v>3348</v>
      </c>
    </row>
    <row r="201" spans="2:5" x14ac:dyDescent="0.35">
      <c r="D201" s="30" t="str">
        <f t="shared" si="11"/>
        <v>Pharmacists</v>
      </c>
      <c r="E201">
        <f t="shared" si="12"/>
        <v>398</v>
      </c>
    </row>
    <row r="202" spans="2:5" x14ac:dyDescent="0.35">
      <c r="D202" s="30" t="str">
        <f t="shared" si="11"/>
        <v>Dentists</v>
      </c>
      <c r="E202">
        <f t="shared" si="12"/>
        <v>159</v>
      </c>
    </row>
    <row r="203" spans="2:5" x14ac:dyDescent="0.35">
      <c r="D203" s="30" t="str">
        <f t="shared" si="11"/>
        <v xml:space="preserve">Community Health Workers </v>
      </c>
      <c r="E203">
        <f t="shared" si="12"/>
        <v>310</v>
      </c>
    </row>
    <row r="204" spans="2:5" x14ac:dyDescent="0.35">
      <c r="D204" s="30" t="str">
        <f t="shared" si="11"/>
        <v>Dieticians and nutritionists</v>
      </c>
      <c r="E204">
        <f t="shared" si="12"/>
        <v>0</v>
      </c>
    </row>
    <row r="205" spans="2:5" x14ac:dyDescent="0.35">
      <c r="D205" s="30" t="str">
        <f t="shared" si="11"/>
        <v>Environmental and occupational health &amp; hygiene workers</v>
      </c>
      <c r="E205">
        <f t="shared" si="12"/>
        <v>0</v>
      </c>
    </row>
    <row r="206" spans="2:5" x14ac:dyDescent="0.35">
      <c r="D206" s="30" t="str">
        <f t="shared" si="11"/>
        <v>Personal care workers in health service</v>
      </c>
      <c r="E206">
        <f t="shared" si="12"/>
        <v>146</v>
      </c>
    </row>
    <row r="207" spans="2:5" x14ac:dyDescent="0.35">
      <c r="D207" s="30" t="str">
        <f t="shared" si="11"/>
        <v xml:space="preserve">Managerial staff </v>
      </c>
      <c r="E207">
        <f t="shared" si="12"/>
        <v>1195</v>
      </c>
    </row>
    <row r="208" spans="2:5" x14ac:dyDescent="0.35">
      <c r="D208" s="30" t="str">
        <f t="shared" si="11"/>
        <v xml:space="preserve">Medical and dental Prosthetic Technicians </v>
      </c>
      <c r="E208">
        <f t="shared" si="12"/>
        <v>19</v>
      </c>
    </row>
    <row r="209" spans="2:5" x14ac:dyDescent="0.35">
      <c r="D209" s="30" t="str">
        <f t="shared" si="11"/>
        <v xml:space="preserve">Medical and Pathology Laboratory scientists </v>
      </c>
      <c r="E209">
        <f t="shared" si="12"/>
        <v>293</v>
      </c>
    </row>
    <row r="210" spans="2:5" x14ac:dyDescent="0.35">
      <c r="D210" s="30" t="str">
        <f t="shared" si="11"/>
        <v xml:space="preserve">Medical Assistants </v>
      </c>
      <c r="E210">
        <f t="shared" si="12"/>
        <v>118</v>
      </c>
    </row>
    <row r="211" spans="2:5" x14ac:dyDescent="0.35">
      <c r="D211" s="30" t="str">
        <f t="shared" si="11"/>
        <v xml:space="preserve">Medical Imaging and Therapeutic Equipment Technicians </v>
      </c>
      <c r="E211">
        <f t="shared" si="12"/>
        <v>4864</v>
      </c>
    </row>
    <row r="212" spans="2:5" x14ac:dyDescent="0.35">
      <c r="D212" s="30" t="str">
        <f t="shared" si="11"/>
        <v xml:space="preserve">Medical Records and Health Information Technicians </v>
      </c>
      <c r="E212">
        <f t="shared" si="12"/>
        <v>85</v>
      </c>
    </row>
    <row r="213" spans="2:5" x14ac:dyDescent="0.35">
      <c r="D213" s="30" t="str">
        <f t="shared" si="11"/>
        <v xml:space="preserve">Optometrists and Ophthalmic Opticians </v>
      </c>
      <c r="E213">
        <f t="shared" si="12"/>
        <v>10</v>
      </c>
    </row>
    <row r="214" spans="2:5" x14ac:dyDescent="0.35">
      <c r="D214" s="30" t="str">
        <f t="shared" si="11"/>
        <v xml:space="preserve">Other non-medical professional staff </v>
      </c>
      <c r="E214">
        <f t="shared" si="12"/>
        <v>5</v>
      </c>
    </row>
    <row r="215" spans="2:5" x14ac:dyDescent="0.35">
      <c r="D215" s="30" t="str">
        <f t="shared" si="11"/>
        <v xml:space="preserve">Other non-medical support staff </v>
      </c>
      <c r="E215">
        <f t="shared" si="12"/>
        <v>74</v>
      </c>
    </row>
    <row r="216" spans="2:5" x14ac:dyDescent="0.35">
      <c r="D216" s="30" t="str">
        <f t="shared" si="11"/>
        <v xml:space="preserve">Medical and Pathology Laboratory Technicians </v>
      </c>
      <c r="E216">
        <f t="shared" si="12"/>
        <v>161</v>
      </c>
    </row>
    <row r="217" spans="2:5" x14ac:dyDescent="0.35">
      <c r="D217" s="30" t="str">
        <f t="shared" si="11"/>
        <v xml:space="preserve">Paramedical Practitioners </v>
      </c>
      <c r="E217">
        <f t="shared" si="12"/>
        <v>34</v>
      </c>
    </row>
    <row r="218" spans="2:5" x14ac:dyDescent="0.35">
      <c r="D218" s="30" t="str">
        <f t="shared" si="11"/>
        <v>Physiotherapists and physiotherapy assistants</v>
      </c>
      <c r="E218">
        <f t="shared" si="12"/>
        <v>191</v>
      </c>
    </row>
    <row r="219" spans="2:5" x14ac:dyDescent="0.35">
      <c r="D219" s="30" t="str">
        <f t="shared" si="11"/>
        <v>Social workers</v>
      </c>
      <c r="E219">
        <f t="shared" si="12"/>
        <v>606</v>
      </c>
    </row>
    <row r="220" spans="2:5" x14ac:dyDescent="0.35">
      <c r="D220" s="30" t="str">
        <f t="shared" si="11"/>
        <v xml:space="preserve">Audiologists and Speech Therapists </v>
      </c>
      <c r="E220">
        <f t="shared" si="12"/>
        <v>0</v>
      </c>
    </row>
    <row r="221" spans="2:5" x14ac:dyDescent="0.35">
      <c r="D221" s="30" t="str">
        <f t="shared" si="11"/>
        <v>Traditional and complementary medicine practitioners</v>
      </c>
      <c r="E221">
        <f t="shared" si="12"/>
        <v>16</v>
      </c>
    </row>
    <row r="222" spans="2:5" x14ac:dyDescent="0.35">
      <c r="B222" t="str">
        <f>J1</f>
        <v>COD</v>
      </c>
      <c r="C222">
        <f>J2</f>
        <v>99010212</v>
      </c>
      <c r="D222" s="29" t="str">
        <f t="shared" si="11"/>
        <v>Medical Doctors</v>
      </c>
      <c r="E222">
        <f t="shared" ref="E222:E245" si="13">J3</f>
        <v>36986</v>
      </c>
    </row>
    <row r="223" spans="2:5" x14ac:dyDescent="0.35">
      <c r="D223" s="30" t="str">
        <f t="shared" si="11"/>
        <v>Nursing Personnel</v>
      </c>
      <c r="E223">
        <f t="shared" si="13"/>
        <v>230632</v>
      </c>
    </row>
    <row r="224" spans="2:5" x14ac:dyDescent="0.35">
      <c r="D224" s="30" t="str">
        <f t="shared" si="11"/>
        <v>Midwifery personnel</v>
      </c>
      <c r="E224">
        <f t="shared" si="13"/>
        <v>5280</v>
      </c>
    </row>
    <row r="225" spans="4:5" x14ac:dyDescent="0.35">
      <c r="D225" s="30" t="str">
        <f t="shared" si="11"/>
        <v>Pharmacists</v>
      </c>
      <c r="E225">
        <f t="shared" si="13"/>
        <v>487</v>
      </c>
    </row>
    <row r="226" spans="4:5" x14ac:dyDescent="0.35">
      <c r="D226" s="30" t="str">
        <f t="shared" si="11"/>
        <v>Dentists</v>
      </c>
      <c r="E226">
        <f t="shared" si="13"/>
        <v>215</v>
      </c>
    </row>
    <row r="227" spans="4:5" x14ac:dyDescent="0.35">
      <c r="D227" s="30" t="str">
        <f t="shared" si="11"/>
        <v xml:space="preserve">Community Health Workers </v>
      </c>
      <c r="E227">
        <f t="shared" si="13"/>
        <v>0</v>
      </c>
    </row>
    <row r="228" spans="4:5" x14ac:dyDescent="0.35">
      <c r="D228" s="30" t="str">
        <f t="shared" si="11"/>
        <v>Dieticians and nutritionists</v>
      </c>
      <c r="E228">
        <f t="shared" si="13"/>
        <v>0</v>
      </c>
    </row>
    <row r="229" spans="4:5" x14ac:dyDescent="0.35">
      <c r="D229" s="30" t="str">
        <f t="shared" si="11"/>
        <v>Environmental and occupational health &amp; hygiene workers</v>
      </c>
      <c r="E229">
        <f t="shared" si="13"/>
        <v>233</v>
      </c>
    </row>
    <row r="230" spans="4:5" x14ac:dyDescent="0.35">
      <c r="D230" s="30" t="str">
        <f t="shared" si="11"/>
        <v>Personal care workers in health service</v>
      </c>
      <c r="E230">
        <f t="shared" si="13"/>
        <v>0</v>
      </c>
    </row>
    <row r="231" spans="4:5" x14ac:dyDescent="0.35">
      <c r="D231" s="30" t="str">
        <f t="shared" si="11"/>
        <v xml:space="preserve">Managerial staff </v>
      </c>
      <c r="E231">
        <f t="shared" si="13"/>
        <v>4695</v>
      </c>
    </row>
    <row r="232" spans="4:5" x14ac:dyDescent="0.35">
      <c r="D232" s="30" t="str">
        <f t="shared" si="11"/>
        <v xml:space="preserve">Medical and dental Prosthetic Technicians </v>
      </c>
      <c r="E232">
        <f t="shared" si="13"/>
        <v>0</v>
      </c>
    </row>
    <row r="233" spans="4:5" x14ac:dyDescent="0.35">
      <c r="D233" s="30" t="str">
        <f t="shared" si="11"/>
        <v xml:space="preserve">Medical and Pathology Laboratory scientists </v>
      </c>
      <c r="E233">
        <f t="shared" si="13"/>
        <v>0</v>
      </c>
    </row>
    <row r="234" spans="4:5" x14ac:dyDescent="0.35">
      <c r="D234" s="30" t="str">
        <f t="shared" si="11"/>
        <v xml:space="preserve">Medical Assistants </v>
      </c>
      <c r="E234">
        <f t="shared" si="13"/>
        <v>0</v>
      </c>
    </row>
    <row r="235" spans="4:5" x14ac:dyDescent="0.35">
      <c r="D235" s="30" t="str">
        <f t="shared" si="11"/>
        <v xml:space="preserve">Medical Imaging and Therapeutic Equipment Technicians </v>
      </c>
      <c r="E235">
        <f t="shared" si="13"/>
        <v>528</v>
      </c>
    </row>
    <row r="236" spans="4:5" x14ac:dyDescent="0.35">
      <c r="D236" s="30" t="str">
        <f t="shared" si="11"/>
        <v xml:space="preserve">Medical Records and Health Information Technicians </v>
      </c>
      <c r="E236">
        <f t="shared" si="13"/>
        <v>0</v>
      </c>
    </row>
    <row r="237" spans="4:5" x14ac:dyDescent="0.35">
      <c r="D237" s="30" t="str">
        <f t="shared" si="11"/>
        <v xml:space="preserve">Optometrists and Ophthalmic Opticians </v>
      </c>
      <c r="E237">
        <f t="shared" si="13"/>
        <v>0</v>
      </c>
    </row>
    <row r="238" spans="4:5" x14ac:dyDescent="0.35">
      <c r="D238" s="30" t="str">
        <f t="shared" si="11"/>
        <v xml:space="preserve">Other non-medical professional staff </v>
      </c>
      <c r="E238">
        <f t="shared" si="13"/>
        <v>1803</v>
      </c>
    </row>
    <row r="239" spans="4:5" x14ac:dyDescent="0.35">
      <c r="D239" s="30" t="str">
        <f t="shared" si="11"/>
        <v xml:space="preserve">Other non-medical support staff </v>
      </c>
      <c r="E239">
        <f t="shared" si="13"/>
        <v>0</v>
      </c>
    </row>
    <row r="240" spans="4:5" x14ac:dyDescent="0.35">
      <c r="D240" s="30" t="str">
        <f t="shared" si="11"/>
        <v xml:space="preserve">Medical and Pathology Laboratory Technicians </v>
      </c>
      <c r="E240">
        <f t="shared" si="13"/>
        <v>0</v>
      </c>
    </row>
    <row r="241" spans="2:5" x14ac:dyDescent="0.35">
      <c r="D241" s="30" t="str">
        <f t="shared" si="11"/>
        <v xml:space="preserve">Paramedical Practitioners </v>
      </c>
      <c r="E241">
        <f t="shared" si="13"/>
        <v>0</v>
      </c>
    </row>
    <row r="242" spans="2:5" x14ac:dyDescent="0.35">
      <c r="D242" s="30" t="str">
        <f t="shared" si="11"/>
        <v>Physiotherapists and physiotherapy assistants</v>
      </c>
      <c r="E242">
        <f t="shared" si="13"/>
        <v>793</v>
      </c>
    </row>
    <row r="243" spans="2:5" x14ac:dyDescent="0.35">
      <c r="D243" s="30" t="str">
        <f t="shared" si="11"/>
        <v>Social workers</v>
      </c>
      <c r="E243">
        <f t="shared" si="13"/>
        <v>0</v>
      </c>
    </row>
    <row r="244" spans="2:5" x14ac:dyDescent="0.35">
      <c r="D244" s="30" t="str">
        <f t="shared" si="11"/>
        <v xml:space="preserve">Audiologists and Speech Therapists </v>
      </c>
      <c r="E244">
        <f t="shared" si="13"/>
        <v>0</v>
      </c>
    </row>
    <row r="245" spans="2:5" x14ac:dyDescent="0.35">
      <c r="D245" s="30" t="str">
        <f t="shared" si="11"/>
        <v>Traditional and complementary medicine practitioners</v>
      </c>
      <c r="E245">
        <f t="shared" si="13"/>
        <v>0</v>
      </c>
    </row>
    <row r="246" spans="2:5" x14ac:dyDescent="0.35">
      <c r="B246" t="str">
        <f>K1</f>
        <v>COG</v>
      </c>
      <c r="C246">
        <f>K2</f>
        <v>5970424.0000000009</v>
      </c>
      <c r="D246" s="29" t="str">
        <f t="shared" ref="D246:D309" si="14">D222</f>
        <v>Medical Doctors</v>
      </c>
      <c r="E246">
        <f t="shared" ref="E246:E269" si="15">K3</f>
        <v>2339</v>
      </c>
    </row>
    <row r="247" spans="2:5" x14ac:dyDescent="0.35">
      <c r="D247" s="30" t="str">
        <f t="shared" si="14"/>
        <v>Nursing Personnel</v>
      </c>
      <c r="E247">
        <f t="shared" si="15"/>
        <v>11146</v>
      </c>
    </row>
    <row r="248" spans="2:5" x14ac:dyDescent="0.35">
      <c r="D248" s="30" t="str">
        <f t="shared" si="14"/>
        <v>Midwifery personnel</v>
      </c>
      <c r="E248">
        <f t="shared" si="15"/>
        <v>1814</v>
      </c>
    </row>
    <row r="249" spans="2:5" x14ac:dyDescent="0.35">
      <c r="D249" s="30" t="str">
        <f t="shared" si="14"/>
        <v>Pharmacists</v>
      </c>
      <c r="E249">
        <f t="shared" si="15"/>
        <v>0</v>
      </c>
    </row>
    <row r="250" spans="2:5" x14ac:dyDescent="0.35">
      <c r="D250" s="30" t="str">
        <f t="shared" si="14"/>
        <v>Dentists</v>
      </c>
      <c r="E250">
        <f t="shared" si="15"/>
        <v>0</v>
      </c>
    </row>
    <row r="251" spans="2:5" x14ac:dyDescent="0.35">
      <c r="D251" s="30" t="str">
        <f t="shared" si="14"/>
        <v xml:space="preserve">Community Health Workers </v>
      </c>
      <c r="E251">
        <f t="shared" si="15"/>
        <v>0</v>
      </c>
    </row>
    <row r="252" spans="2:5" x14ac:dyDescent="0.35">
      <c r="D252" s="30" t="str">
        <f t="shared" si="14"/>
        <v>Dieticians and nutritionists</v>
      </c>
      <c r="E252">
        <f t="shared" si="15"/>
        <v>0</v>
      </c>
    </row>
    <row r="253" spans="2:5" x14ac:dyDescent="0.35">
      <c r="D253" s="30" t="str">
        <f t="shared" si="14"/>
        <v>Environmental and occupational health &amp; hygiene workers</v>
      </c>
      <c r="E253">
        <f t="shared" si="15"/>
        <v>0</v>
      </c>
    </row>
    <row r="254" spans="2:5" x14ac:dyDescent="0.35">
      <c r="D254" s="30" t="str">
        <f t="shared" si="14"/>
        <v>Personal care workers in health service</v>
      </c>
      <c r="E254">
        <f t="shared" si="15"/>
        <v>0</v>
      </c>
    </row>
    <row r="255" spans="2:5" x14ac:dyDescent="0.35">
      <c r="D255" s="30" t="str">
        <f t="shared" si="14"/>
        <v xml:space="preserve">Managerial staff </v>
      </c>
      <c r="E255">
        <f t="shared" si="15"/>
        <v>0</v>
      </c>
    </row>
    <row r="256" spans="2:5" x14ac:dyDescent="0.35">
      <c r="D256" s="30" t="str">
        <f t="shared" si="14"/>
        <v xml:space="preserve">Medical and dental Prosthetic Technicians </v>
      </c>
      <c r="E256">
        <f t="shared" si="15"/>
        <v>0</v>
      </c>
    </row>
    <row r="257" spans="2:5" x14ac:dyDescent="0.35">
      <c r="D257" s="30" t="str">
        <f t="shared" si="14"/>
        <v xml:space="preserve">Medical and Pathology Laboratory scientists </v>
      </c>
      <c r="E257">
        <f t="shared" si="15"/>
        <v>0</v>
      </c>
    </row>
    <row r="258" spans="2:5" x14ac:dyDescent="0.35">
      <c r="D258" s="30" t="str">
        <f t="shared" si="14"/>
        <v xml:space="preserve">Medical Assistants </v>
      </c>
      <c r="E258">
        <f t="shared" si="15"/>
        <v>0</v>
      </c>
    </row>
    <row r="259" spans="2:5" x14ac:dyDescent="0.35">
      <c r="D259" s="30" t="str">
        <f t="shared" si="14"/>
        <v xml:space="preserve">Medical Imaging and Therapeutic Equipment Technicians </v>
      </c>
      <c r="E259">
        <f t="shared" si="15"/>
        <v>0</v>
      </c>
    </row>
    <row r="260" spans="2:5" x14ac:dyDescent="0.35">
      <c r="D260" s="30" t="str">
        <f t="shared" si="14"/>
        <v xml:space="preserve">Medical Records and Health Information Technicians </v>
      </c>
      <c r="E260">
        <f t="shared" si="15"/>
        <v>0</v>
      </c>
    </row>
    <row r="261" spans="2:5" x14ac:dyDescent="0.35">
      <c r="D261" s="30" t="str">
        <f t="shared" si="14"/>
        <v xml:space="preserve">Optometrists and Ophthalmic Opticians </v>
      </c>
      <c r="E261">
        <f t="shared" si="15"/>
        <v>0</v>
      </c>
    </row>
    <row r="262" spans="2:5" x14ac:dyDescent="0.35">
      <c r="D262" s="30" t="str">
        <f t="shared" si="14"/>
        <v xml:space="preserve">Other non-medical professional staff </v>
      </c>
      <c r="E262">
        <f t="shared" si="15"/>
        <v>0</v>
      </c>
    </row>
    <row r="263" spans="2:5" x14ac:dyDescent="0.35">
      <c r="D263" s="30" t="str">
        <f t="shared" si="14"/>
        <v xml:space="preserve">Other non-medical support staff </v>
      </c>
      <c r="E263">
        <f t="shared" si="15"/>
        <v>0</v>
      </c>
    </row>
    <row r="264" spans="2:5" x14ac:dyDescent="0.35">
      <c r="D264" s="30" t="str">
        <f t="shared" si="14"/>
        <v xml:space="preserve">Medical and Pathology Laboratory Technicians </v>
      </c>
      <c r="E264">
        <f t="shared" si="15"/>
        <v>777</v>
      </c>
    </row>
    <row r="265" spans="2:5" x14ac:dyDescent="0.35">
      <c r="D265" s="30" t="str">
        <f t="shared" si="14"/>
        <v xml:space="preserve">Paramedical Practitioners </v>
      </c>
      <c r="E265">
        <f t="shared" si="15"/>
        <v>0</v>
      </c>
    </row>
    <row r="266" spans="2:5" x14ac:dyDescent="0.35">
      <c r="D266" s="30" t="str">
        <f t="shared" si="14"/>
        <v>Physiotherapists and physiotherapy assistants</v>
      </c>
      <c r="E266">
        <f t="shared" si="15"/>
        <v>0</v>
      </c>
    </row>
    <row r="267" spans="2:5" x14ac:dyDescent="0.35">
      <c r="D267" s="30" t="str">
        <f t="shared" si="14"/>
        <v>Social workers</v>
      </c>
      <c r="E267">
        <f t="shared" si="15"/>
        <v>0</v>
      </c>
    </row>
    <row r="268" spans="2:5" x14ac:dyDescent="0.35">
      <c r="D268" s="30" t="str">
        <f t="shared" si="14"/>
        <v xml:space="preserve">Audiologists and Speech Therapists </v>
      </c>
      <c r="E268">
        <f t="shared" si="15"/>
        <v>0</v>
      </c>
    </row>
    <row r="269" spans="2:5" x14ac:dyDescent="0.35">
      <c r="D269" s="30" t="str">
        <f t="shared" si="14"/>
        <v>Traditional and complementary medicine practitioners</v>
      </c>
      <c r="E269">
        <f t="shared" si="15"/>
        <v>0</v>
      </c>
    </row>
    <row r="270" spans="2:5" x14ac:dyDescent="0.35">
      <c r="B270" t="str">
        <f>L1</f>
        <v>COM</v>
      </c>
      <c r="C270">
        <f>L2</f>
        <v>836773.49999999977</v>
      </c>
      <c r="D270" s="29" t="str">
        <f t="shared" si="14"/>
        <v>Medical Doctors</v>
      </c>
      <c r="E270">
        <f t="shared" ref="E270:E293" si="16">L3</f>
        <v>0</v>
      </c>
    </row>
    <row r="271" spans="2:5" x14ac:dyDescent="0.35">
      <c r="D271" s="30" t="str">
        <f t="shared" si="14"/>
        <v>Nursing Personnel</v>
      </c>
      <c r="E271">
        <f t="shared" si="16"/>
        <v>0</v>
      </c>
    </row>
    <row r="272" spans="2:5" x14ac:dyDescent="0.35">
      <c r="D272" s="30" t="str">
        <f t="shared" si="14"/>
        <v>Midwifery personnel</v>
      </c>
      <c r="E272">
        <f t="shared" si="16"/>
        <v>0</v>
      </c>
    </row>
    <row r="273" spans="4:5" x14ac:dyDescent="0.35">
      <c r="D273" s="30" t="str">
        <f t="shared" si="14"/>
        <v>Pharmacists</v>
      </c>
      <c r="E273">
        <f t="shared" si="16"/>
        <v>0</v>
      </c>
    </row>
    <row r="274" spans="4:5" x14ac:dyDescent="0.35">
      <c r="D274" s="30" t="str">
        <f t="shared" si="14"/>
        <v>Dentists</v>
      </c>
      <c r="E274">
        <f t="shared" si="16"/>
        <v>0</v>
      </c>
    </row>
    <row r="275" spans="4:5" x14ac:dyDescent="0.35">
      <c r="D275" s="30" t="str">
        <f t="shared" si="14"/>
        <v xml:space="preserve">Community Health Workers </v>
      </c>
      <c r="E275">
        <f t="shared" si="16"/>
        <v>0</v>
      </c>
    </row>
    <row r="276" spans="4:5" x14ac:dyDescent="0.35">
      <c r="D276" s="30" t="str">
        <f t="shared" si="14"/>
        <v>Dieticians and nutritionists</v>
      </c>
      <c r="E276">
        <f t="shared" si="16"/>
        <v>0</v>
      </c>
    </row>
    <row r="277" spans="4:5" x14ac:dyDescent="0.35">
      <c r="D277" s="30" t="str">
        <f t="shared" si="14"/>
        <v>Environmental and occupational health &amp; hygiene workers</v>
      </c>
      <c r="E277">
        <f t="shared" si="16"/>
        <v>0</v>
      </c>
    </row>
    <row r="278" spans="4:5" x14ac:dyDescent="0.35">
      <c r="D278" s="30" t="str">
        <f t="shared" si="14"/>
        <v>Personal care workers in health service</v>
      </c>
      <c r="E278">
        <f t="shared" si="16"/>
        <v>0</v>
      </c>
    </row>
    <row r="279" spans="4:5" x14ac:dyDescent="0.35">
      <c r="D279" s="30" t="str">
        <f t="shared" si="14"/>
        <v xml:space="preserve">Managerial staff </v>
      </c>
      <c r="E279">
        <f t="shared" si="16"/>
        <v>0</v>
      </c>
    </row>
    <row r="280" spans="4:5" x14ac:dyDescent="0.35">
      <c r="D280" s="30" t="str">
        <f t="shared" si="14"/>
        <v xml:space="preserve">Medical and dental Prosthetic Technicians </v>
      </c>
      <c r="E280">
        <f t="shared" si="16"/>
        <v>0</v>
      </c>
    </row>
    <row r="281" spans="4:5" x14ac:dyDescent="0.35">
      <c r="D281" s="30" t="str">
        <f t="shared" si="14"/>
        <v xml:space="preserve">Medical and Pathology Laboratory scientists </v>
      </c>
      <c r="E281">
        <f t="shared" si="16"/>
        <v>0</v>
      </c>
    </row>
    <row r="282" spans="4:5" x14ac:dyDescent="0.35">
      <c r="D282" s="30" t="str">
        <f t="shared" si="14"/>
        <v xml:space="preserve">Medical Assistants </v>
      </c>
      <c r="E282">
        <f t="shared" si="16"/>
        <v>0</v>
      </c>
    </row>
    <row r="283" spans="4:5" x14ac:dyDescent="0.35">
      <c r="D283" s="30" t="str">
        <f t="shared" si="14"/>
        <v xml:space="preserve">Medical Imaging and Therapeutic Equipment Technicians </v>
      </c>
      <c r="E283">
        <f t="shared" si="16"/>
        <v>0</v>
      </c>
    </row>
    <row r="284" spans="4:5" x14ac:dyDescent="0.35">
      <c r="D284" s="30" t="str">
        <f t="shared" si="14"/>
        <v xml:space="preserve">Medical Records and Health Information Technicians </v>
      </c>
      <c r="E284">
        <f t="shared" si="16"/>
        <v>0</v>
      </c>
    </row>
    <row r="285" spans="4:5" x14ac:dyDescent="0.35">
      <c r="D285" s="30" t="str">
        <f t="shared" si="14"/>
        <v xml:space="preserve">Optometrists and Ophthalmic Opticians </v>
      </c>
      <c r="E285">
        <f t="shared" si="16"/>
        <v>0</v>
      </c>
    </row>
    <row r="286" spans="4:5" x14ac:dyDescent="0.35">
      <c r="D286" s="30" t="str">
        <f t="shared" si="14"/>
        <v xml:space="preserve">Other non-medical professional staff </v>
      </c>
      <c r="E286">
        <f t="shared" si="16"/>
        <v>0</v>
      </c>
    </row>
    <row r="287" spans="4:5" x14ac:dyDescent="0.35">
      <c r="D287" s="30" t="str">
        <f t="shared" si="14"/>
        <v xml:space="preserve">Other non-medical support staff </v>
      </c>
      <c r="E287">
        <f t="shared" si="16"/>
        <v>0</v>
      </c>
    </row>
    <row r="288" spans="4:5" x14ac:dyDescent="0.35">
      <c r="D288" s="30" t="str">
        <f t="shared" si="14"/>
        <v xml:space="preserve">Medical and Pathology Laboratory Technicians </v>
      </c>
      <c r="E288">
        <f t="shared" si="16"/>
        <v>0</v>
      </c>
    </row>
    <row r="289" spans="2:5" x14ac:dyDescent="0.35">
      <c r="D289" s="30" t="str">
        <f t="shared" si="14"/>
        <v xml:space="preserve">Paramedical Practitioners </v>
      </c>
      <c r="E289">
        <f t="shared" si="16"/>
        <v>0</v>
      </c>
    </row>
    <row r="290" spans="2:5" x14ac:dyDescent="0.35">
      <c r="D290" s="30" t="str">
        <f t="shared" si="14"/>
        <v>Physiotherapists and physiotherapy assistants</v>
      </c>
      <c r="E290">
        <f t="shared" si="16"/>
        <v>0</v>
      </c>
    </row>
    <row r="291" spans="2:5" x14ac:dyDescent="0.35">
      <c r="D291" s="30" t="str">
        <f t="shared" si="14"/>
        <v>Social workers</v>
      </c>
      <c r="E291">
        <f t="shared" si="16"/>
        <v>0</v>
      </c>
    </row>
    <row r="292" spans="2:5" x14ac:dyDescent="0.35">
      <c r="D292" s="30" t="str">
        <f t="shared" si="14"/>
        <v xml:space="preserve">Audiologists and Speech Therapists </v>
      </c>
      <c r="E292">
        <f t="shared" si="16"/>
        <v>0</v>
      </c>
    </row>
    <row r="293" spans="2:5" x14ac:dyDescent="0.35">
      <c r="D293" s="30" t="str">
        <f t="shared" si="14"/>
        <v>Traditional and complementary medicine practitioners</v>
      </c>
      <c r="E293">
        <f t="shared" si="16"/>
        <v>0</v>
      </c>
    </row>
    <row r="294" spans="2:5" x14ac:dyDescent="0.35">
      <c r="B294" t="str">
        <f>M1</f>
        <v>CPV</v>
      </c>
      <c r="C294">
        <f>M2</f>
        <v>593149.50000000012</v>
      </c>
      <c r="D294" s="29" t="str">
        <f t="shared" si="14"/>
        <v>Medical Doctors</v>
      </c>
      <c r="E294">
        <f t="shared" ref="E294:E317" si="17">M3</f>
        <v>5532</v>
      </c>
    </row>
    <row r="295" spans="2:5" x14ac:dyDescent="0.35">
      <c r="D295" s="30" t="str">
        <f t="shared" si="14"/>
        <v>Nursing Personnel</v>
      </c>
      <c r="E295">
        <f t="shared" si="17"/>
        <v>1882</v>
      </c>
    </row>
    <row r="296" spans="2:5" x14ac:dyDescent="0.35">
      <c r="D296" s="30" t="str">
        <f t="shared" si="14"/>
        <v>Midwifery personnel</v>
      </c>
      <c r="E296">
        <f t="shared" si="17"/>
        <v>0</v>
      </c>
    </row>
    <row r="297" spans="2:5" x14ac:dyDescent="0.35">
      <c r="D297" s="30" t="str">
        <f t="shared" si="14"/>
        <v>Pharmacists</v>
      </c>
      <c r="E297">
        <f t="shared" si="17"/>
        <v>0</v>
      </c>
    </row>
    <row r="298" spans="2:5" x14ac:dyDescent="0.35">
      <c r="D298" s="30" t="str">
        <f t="shared" si="14"/>
        <v>Dentists</v>
      </c>
      <c r="E298">
        <f t="shared" si="17"/>
        <v>0</v>
      </c>
    </row>
    <row r="299" spans="2:5" x14ac:dyDescent="0.35">
      <c r="D299" s="30" t="str">
        <f t="shared" si="14"/>
        <v xml:space="preserve">Community Health Workers </v>
      </c>
      <c r="E299">
        <f t="shared" si="17"/>
        <v>155</v>
      </c>
    </row>
    <row r="300" spans="2:5" x14ac:dyDescent="0.35">
      <c r="D300" s="30" t="str">
        <f t="shared" si="14"/>
        <v>Dieticians and nutritionists</v>
      </c>
      <c r="E300">
        <f t="shared" si="17"/>
        <v>0</v>
      </c>
    </row>
    <row r="301" spans="2:5" x14ac:dyDescent="0.35">
      <c r="D301" s="30" t="str">
        <f t="shared" si="14"/>
        <v>Environmental and occupational health &amp; hygiene workers</v>
      </c>
      <c r="E301">
        <f t="shared" si="17"/>
        <v>0</v>
      </c>
    </row>
    <row r="302" spans="2:5" x14ac:dyDescent="0.35">
      <c r="D302" s="30" t="str">
        <f t="shared" si="14"/>
        <v>Personal care workers in health service</v>
      </c>
      <c r="E302">
        <f t="shared" si="17"/>
        <v>0</v>
      </c>
    </row>
    <row r="303" spans="2:5" x14ac:dyDescent="0.35">
      <c r="D303" s="30" t="str">
        <f t="shared" si="14"/>
        <v xml:space="preserve">Managerial staff </v>
      </c>
      <c r="E303">
        <f t="shared" si="17"/>
        <v>0</v>
      </c>
    </row>
    <row r="304" spans="2:5" x14ac:dyDescent="0.35">
      <c r="D304" s="30" t="str">
        <f t="shared" si="14"/>
        <v xml:space="preserve">Medical and dental Prosthetic Technicians </v>
      </c>
      <c r="E304">
        <f t="shared" si="17"/>
        <v>0</v>
      </c>
    </row>
    <row r="305" spans="2:5" x14ac:dyDescent="0.35">
      <c r="D305" s="30" t="str">
        <f t="shared" si="14"/>
        <v xml:space="preserve">Medical and Pathology Laboratory scientists </v>
      </c>
      <c r="E305">
        <f t="shared" si="17"/>
        <v>0</v>
      </c>
    </row>
    <row r="306" spans="2:5" x14ac:dyDescent="0.35">
      <c r="D306" s="30" t="str">
        <f t="shared" si="14"/>
        <v xml:space="preserve">Medical Assistants </v>
      </c>
      <c r="E306">
        <f t="shared" si="17"/>
        <v>0</v>
      </c>
    </row>
    <row r="307" spans="2:5" x14ac:dyDescent="0.35">
      <c r="D307" s="30" t="str">
        <f t="shared" si="14"/>
        <v xml:space="preserve">Medical Imaging and Therapeutic Equipment Technicians </v>
      </c>
      <c r="E307">
        <f t="shared" si="17"/>
        <v>0</v>
      </c>
    </row>
    <row r="308" spans="2:5" x14ac:dyDescent="0.35">
      <c r="D308" s="30" t="str">
        <f t="shared" si="14"/>
        <v xml:space="preserve">Medical Records and Health Information Technicians </v>
      </c>
      <c r="E308">
        <f t="shared" si="17"/>
        <v>0</v>
      </c>
    </row>
    <row r="309" spans="2:5" x14ac:dyDescent="0.35">
      <c r="D309" s="30" t="str">
        <f t="shared" si="14"/>
        <v xml:space="preserve">Optometrists and Ophthalmic Opticians </v>
      </c>
      <c r="E309">
        <f t="shared" si="17"/>
        <v>4</v>
      </c>
    </row>
    <row r="310" spans="2:5" x14ac:dyDescent="0.35">
      <c r="D310" s="30" t="str">
        <f t="shared" ref="D310:D364" si="18">D286</f>
        <v xml:space="preserve">Other non-medical professional staff </v>
      </c>
      <c r="E310">
        <f t="shared" si="17"/>
        <v>0</v>
      </c>
    </row>
    <row r="311" spans="2:5" x14ac:dyDescent="0.35">
      <c r="D311" s="30" t="str">
        <f t="shared" si="18"/>
        <v xml:space="preserve">Other non-medical support staff </v>
      </c>
      <c r="E311">
        <f t="shared" si="17"/>
        <v>0</v>
      </c>
    </row>
    <row r="312" spans="2:5" x14ac:dyDescent="0.35">
      <c r="D312" s="30" t="str">
        <f t="shared" si="18"/>
        <v xml:space="preserve">Medical and Pathology Laboratory Technicians </v>
      </c>
      <c r="E312">
        <f t="shared" si="17"/>
        <v>0</v>
      </c>
    </row>
    <row r="313" spans="2:5" x14ac:dyDescent="0.35">
      <c r="D313" s="30" t="str">
        <f t="shared" si="18"/>
        <v xml:space="preserve">Paramedical Practitioners </v>
      </c>
      <c r="E313">
        <f t="shared" si="17"/>
        <v>0</v>
      </c>
    </row>
    <row r="314" spans="2:5" x14ac:dyDescent="0.35">
      <c r="D314" s="30" t="str">
        <f t="shared" si="18"/>
        <v>Physiotherapists and physiotherapy assistants</v>
      </c>
      <c r="E314">
        <f t="shared" si="17"/>
        <v>10</v>
      </c>
    </row>
    <row r="315" spans="2:5" x14ac:dyDescent="0.35">
      <c r="D315" s="30" t="str">
        <f t="shared" si="18"/>
        <v>Social workers</v>
      </c>
      <c r="E315">
        <f t="shared" si="17"/>
        <v>0</v>
      </c>
    </row>
    <row r="316" spans="2:5" x14ac:dyDescent="0.35">
      <c r="D316" s="30" t="str">
        <f t="shared" si="18"/>
        <v xml:space="preserve">Audiologists and Speech Therapists </v>
      </c>
      <c r="E316">
        <f t="shared" si="17"/>
        <v>0</v>
      </c>
    </row>
    <row r="317" spans="2:5" x14ac:dyDescent="0.35">
      <c r="D317" s="30" t="str">
        <f t="shared" si="18"/>
        <v>Traditional and complementary medicine practitioners</v>
      </c>
      <c r="E317">
        <f t="shared" si="17"/>
        <v>0</v>
      </c>
    </row>
    <row r="318" spans="2:5" x14ac:dyDescent="0.35">
      <c r="B318" t="str">
        <f>N1</f>
        <v>DZA</v>
      </c>
      <c r="C318">
        <f>N2</f>
        <v>44903225.000000007</v>
      </c>
      <c r="D318" s="29" t="str">
        <f t="shared" si="18"/>
        <v>Medical Doctors</v>
      </c>
      <c r="E318">
        <f t="shared" ref="E318:E341" si="19">N3</f>
        <v>0</v>
      </c>
    </row>
    <row r="319" spans="2:5" x14ac:dyDescent="0.35">
      <c r="D319" s="30" t="str">
        <f t="shared" si="18"/>
        <v>Nursing Personnel</v>
      </c>
      <c r="E319">
        <f t="shared" si="19"/>
        <v>0</v>
      </c>
    </row>
    <row r="320" spans="2:5" x14ac:dyDescent="0.35">
      <c r="D320" s="30" t="str">
        <f t="shared" si="18"/>
        <v>Midwifery personnel</v>
      </c>
      <c r="E320">
        <f t="shared" si="19"/>
        <v>0</v>
      </c>
    </row>
    <row r="321" spans="4:5" x14ac:dyDescent="0.35">
      <c r="D321" s="30" t="str">
        <f t="shared" si="18"/>
        <v>Pharmacists</v>
      </c>
      <c r="E321">
        <f t="shared" si="19"/>
        <v>0</v>
      </c>
    </row>
    <row r="322" spans="4:5" x14ac:dyDescent="0.35">
      <c r="D322" s="30" t="str">
        <f t="shared" si="18"/>
        <v>Dentists</v>
      </c>
      <c r="E322">
        <f t="shared" si="19"/>
        <v>0</v>
      </c>
    </row>
    <row r="323" spans="4:5" x14ac:dyDescent="0.35">
      <c r="D323" s="30" t="str">
        <f t="shared" si="18"/>
        <v xml:space="preserve">Community Health Workers </v>
      </c>
      <c r="E323">
        <f t="shared" si="19"/>
        <v>0</v>
      </c>
    </row>
    <row r="324" spans="4:5" x14ac:dyDescent="0.35">
      <c r="D324" s="30" t="str">
        <f t="shared" si="18"/>
        <v>Dieticians and nutritionists</v>
      </c>
      <c r="E324">
        <f t="shared" si="19"/>
        <v>0</v>
      </c>
    </row>
    <row r="325" spans="4:5" x14ac:dyDescent="0.35">
      <c r="D325" s="30" t="str">
        <f t="shared" si="18"/>
        <v>Environmental and occupational health &amp; hygiene workers</v>
      </c>
      <c r="E325">
        <f t="shared" si="19"/>
        <v>0</v>
      </c>
    </row>
    <row r="326" spans="4:5" x14ac:dyDescent="0.35">
      <c r="D326" s="30" t="str">
        <f t="shared" si="18"/>
        <v>Personal care workers in health service</v>
      </c>
      <c r="E326">
        <f t="shared" si="19"/>
        <v>0</v>
      </c>
    </row>
    <row r="327" spans="4:5" x14ac:dyDescent="0.35">
      <c r="D327" s="30" t="str">
        <f t="shared" si="18"/>
        <v xml:space="preserve">Managerial staff </v>
      </c>
      <c r="E327">
        <f t="shared" si="19"/>
        <v>0</v>
      </c>
    </row>
    <row r="328" spans="4:5" x14ac:dyDescent="0.35">
      <c r="D328" s="30" t="str">
        <f t="shared" si="18"/>
        <v xml:space="preserve">Medical and dental Prosthetic Technicians </v>
      </c>
      <c r="E328">
        <f t="shared" si="19"/>
        <v>0</v>
      </c>
    </row>
    <row r="329" spans="4:5" x14ac:dyDescent="0.35">
      <c r="D329" s="30" t="str">
        <f t="shared" si="18"/>
        <v xml:space="preserve">Medical and Pathology Laboratory scientists </v>
      </c>
      <c r="E329">
        <f t="shared" si="19"/>
        <v>0</v>
      </c>
    </row>
    <row r="330" spans="4:5" x14ac:dyDescent="0.35">
      <c r="D330" s="30" t="str">
        <f t="shared" si="18"/>
        <v xml:space="preserve">Medical Assistants </v>
      </c>
      <c r="E330">
        <f t="shared" si="19"/>
        <v>0</v>
      </c>
    </row>
    <row r="331" spans="4:5" x14ac:dyDescent="0.35">
      <c r="D331" s="30" t="str">
        <f t="shared" si="18"/>
        <v xml:space="preserve">Medical Imaging and Therapeutic Equipment Technicians </v>
      </c>
      <c r="E331">
        <f t="shared" si="19"/>
        <v>0</v>
      </c>
    </row>
    <row r="332" spans="4:5" x14ac:dyDescent="0.35">
      <c r="D332" s="30" t="str">
        <f t="shared" si="18"/>
        <v xml:space="preserve">Medical Records and Health Information Technicians </v>
      </c>
      <c r="E332">
        <f t="shared" si="19"/>
        <v>0</v>
      </c>
    </row>
    <row r="333" spans="4:5" x14ac:dyDescent="0.35">
      <c r="D333" s="30" t="str">
        <f t="shared" si="18"/>
        <v xml:space="preserve">Optometrists and Ophthalmic Opticians </v>
      </c>
      <c r="E333">
        <f t="shared" si="19"/>
        <v>0</v>
      </c>
    </row>
    <row r="334" spans="4:5" x14ac:dyDescent="0.35">
      <c r="D334" s="30" t="str">
        <f t="shared" si="18"/>
        <v xml:space="preserve">Other non-medical professional staff </v>
      </c>
      <c r="E334">
        <f t="shared" si="19"/>
        <v>0</v>
      </c>
    </row>
    <row r="335" spans="4:5" x14ac:dyDescent="0.35">
      <c r="D335" s="30" t="str">
        <f t="shared" si="18"/>
        <v xml:space="preserve">Other non-medical support staff </v>
      </c>
      <c r="E335">
        <f t="shared" si="19"/>
        <v>0</v>
      </c>
    </row>
    <row r="336" spans="4:5" x14ac:dyDescent="0.35">
      <c r="D336" s="30" t="str">
        <f t="shared" si="18"/>
        <v xml:space="preserve">Medical and Pathology Laboratory Technicians </v>
      </c>
      <c r="E336">
        <f t="shared" si="19"/>
        <v>0</v>
      </c>
    </row>
    <row r="337" spans="2:5" x14ac:dyDescent="0.35">
      <c r="D337" s="30" t="str">
        <f t="shared" si="18"/>
        <v xml:space="preserve">Paramedical Practitioners </v>
      </c>
      <c r="E337">
        <f t="shared" si="19"/>
        <v>0</v>
      </c>
    </row>
    <row r="338" spans="2:5" x14ac:dyDescent="0.35">
      <c r="D338" s="30" t="str">
        <f t="shared" si="18"/>
        <v>Physiotherapists and physiotherapy assistants</v>
      </c>
      <c r="E338">
        <f t="shared" si="19"/>
        <v>0</v>
      </c>
    </row>
    <row r="339" spans="2:5" x14ac:dyDescent="0.35">
      <c r="D339" s="30" t="str">
        <f t="shared" si="18"/>
        <v>Social workers</v>
      </c>
      <c r="E339">
        <f t="shared" si="19"/>
        <v>0</v>
      </c>
    </row>
    <row r="340" spans="2:5" x14ac:dyDescent="0.35">
      <c r="D340" s="30" t="str">
        <f t="shared" si="18"/>
        <v xml:space="preserve">Audiologists and Speech Therapists </v>
      </c>
      <c r="E340">
        <f t="shared" si="19"/>
        <v>0</v>
      </c>
    </row>
    <row r="341" spans="2:5" x14ac:dyDescent="0.35">
      <c r="D341" s="30" t="str">
        <f t="shared" si="18"/>
        <v>Traditional and complementary medicine practitioners</v>
      </c>
      <c r="E341">
        <f t="shared" si="19"/>
        <v>0</v>
      </c>
    </row>
    <row r="342" spans="2:5" x14ac:dyDescent="0.35">
      <c r="B342" t="str">
        <f>O1</f>
        <v>ERI</v>
      </c>
      <c r="C342">
        <f>O2</f>
        <v>3684031.5000000019</v>
      </c>
      <c r="D342" s="29" t="str">
        <f t="shared" si="18"/>
        <v>Medical Doctors</v>
      </c>
      <c r="E342">
        <f t="shared" ref="E342:E365" si="20">O3</f>
        <v>584</v>
      </c>
    </row>
    <row r="343" spans="2:5" x14ac:dyDescent="0.35">
      <c r="D343" s="30" t="str">
        <f t="shared" si="18"/>
        <v>Nursing Personnel</v>
      </c>
      <c r="E343">
        <f t="shared" si="20"/>
        <v>10014</v>
      </c>
    </row>
    <row r="344" spans="2:5" x14ac:dyDescent="0.35">
      <c r="D344" s="30" t="str">
        <f t="shared" si="18"/>
        <v>Midwifery personnel</v>
      </c>
      <c r="E344">
        <f t="shared" si="20"/>
        <v>134</v>
      </c>
    </row>
    <row r="345" spans="2:5" x14ac:dyDescent="0.35">
      <c r="D345" s="30" t="str">
        <f t="shared" si="18"/>
        <v>Pharmacists</v>
      </c>
      <c r="E345">
        <f t="shared" si="20"/>
        <v>0</v>
      </c>
    </row>
    <row r="346" spans="2:5" x14ac:dyDescent="0.35">
      <c r="D346" s="30" t="str">
        <f t="shared" si="18"/>
        <v>Dentists</v>
      </c>
      <c r="E346">
        <f t="shared" si="20"/>
        <v>55</v>
      </c>
    </row>
    <row r="347" spans="2:5" x14ac:dyDescent="0.35">
      <c r="D347" s="30" t="str">
        <f t="shared" si="18"/>
        <v xml:space="preserve">Community Health Workers </v>
      </c>
      <c r="E347">
        <f t="shared" si="20"/>
        <v>2626</v>
      </c>
    </row>
    <row r="348" spans="2:5" x14ac:dyDescent="0.35">
      <c r="D348" s="30" t="str">
        <f t="shared" si="18"/>
        <v>Dieticians and nutritionists</v>
      </c>
      <c r="E348">
        <f t="shared" si="20"/>
        <v>0</v>
      </c>
    </row>
    <row r="349" spans="2:5" x14ac:dyDescent="0.35">
      <c r="D349" s="30" t="str">
        <f t="shared" si="18"/>
        <v>Environmental and occupational health &amp; hygiene workers</v>
      </c>
      <c r="E349">
        <f t="shared" si="20"/>
        <v>0</v>
      </c>
    </row>
    <row r="350" spans="2:5" x14ac:dyDescent="0.35">
      <c r="D350" s="30" t="str">
        <f t="shared" si="18"/>
        <v>Personal care workers in health service</v>
      </c>
      <c r="E350">
        <f t="shared" si="20"/>
        <v>0</v>
      </c>
    </row>
    <row r="351" spans="2:5" x14ac:dyDescent="0.35">
      <c r="D351" s="30" t="str">
        <f t="shared" si="18"/>
        <v xml:space="preserve">Managerial staff </v>
      </c>
      <c r="E351">
        <f t="shared" si="20"/>
        <v>381</v>
      </c>
    </row>
    <row r="352" spans="2:5" x14ac:dyDescent="0.35">
      <c r="D352" s="30" t="str">
        <f t="shared" si="18"/>
        <v xml:space="preserve">Medical and dental Prosthetic Technicians </v>
      </c>
      <c r="E352">
        <f t="shared" si="20"/>
        <v>0</v>
      </c>
    </row>
    <row r="353" spans="2:5" x14ac:dyDescent="0.35">
      <c r="D353" s="30" t="str">
        <f t="shared" si="18"/>
        <v xml:space="preserve">Medical and Pathology Laboratory scientists </v>
      </c>
      <c r="E353">
        <f t="shared" si="20"/>
        <v>296</v>
      </c>
    </row>
    <row r="354" spans="2:5" x14ac:dyDescent="0.35">
      <c r="D354" s="30" t="str">
        <f t="shared" si="18"/>
        <v xml:space="preserve">Medical Assistants </v>
      </c>
      <c r="E354">
        <f t="shared" si="20"/>
        <v>0</v>
      </c>
    </row>
    <row r="355" spans="2:5" x14ac:dyDescent="0.35">
      <c r="D355" s="30" t="str">
        <f t="shared" si="18"/>
        <v xml:space="preserve">Medical Imaging and Therapeutic Equipment Technicians </v>
      </c>
      <c r="E355">
        <f t="shared" si="20"/>
        <v>141</v>
      </c>
    </row>
    <row r="356" spans="2:5" x14ac:dyDescent="0.35">
      <c r="D356" s="30" t="str">
        <f t="shared" si="18"/>
        <v xml:space="preserve">Medical Records and Health Information Technicians </v>
      </c>
      <c r="E356">
        <f t="shared" si="20"/>
        <v>0</v>
      </c>
    </row>
    <row r="357" spans="2:5" x14ac:dyDescent="0.35">
      <c r="D357" s="30" t="str">
        <f t="shared" si="18"/>
        <v xml:space="preserve">Optometrists and Ophthalmic Opticians </v>
      </c>
      <c r="E357">
        <f t="shared" si="20"/>
        <v>96</v>
      </c>
    </row>
    <row r="358" spans="2:5" x14ac:dyDescent="0.35">
      <c r="D358" s="30" t="str">
        <f t="shared" si="18"/>
        <v xml:space="preserve">Other non-medical professional staff </v>
      </c>
      <c r="E358">
        <f t="shared" si="20"/>
        <v>0</v>
      </c>
    </row>
    <row r="359" spans="2:5" x14ac:dyDescent="0.35">
      <c r="D359" s="30" t="str">
        <f t="shared" si="18"/>
        <v xml:space="preserve">Other non-medical support staff </v>
      </c>
      <c r="E359">
        <f t="shared" si="20"/>
        <v>0</v>
      </c>
    </row>
    <row r="360" spans="2:5" x14ac:dyDescent="0.35">
      <c r="D360" s="30" t="str">
        <f t="shared" si="18"/>
        <v xml:space="preserve">Medical and Pathology Laboratory Technicians </v>
      </c>
      <c r="E360">
        <f t="shared" si="20"/>
        <v>267</v>
      </c>
    </row>
    <row r="361" spans="2:5" x14ac:dyDescent="0.35">
      <c r="D361" s="30" t="str">
        <f t="shared" si="18"/>
        <v xml:space="preserve">Paramedical Practitioners </v>
      </c>
      <c r="E361">
        <f t="shared" si="20"/>
        <v>0</v>
      </c>
    </row>
    <row r="362" spans="2:5" x14ac:dyDescent="0.35">
      <c r="D362" s="30" t="str">
        <f t="shared" si="18"/>
        <v>Physiotherapists and physiotherapy assistants</v>
      </c>
      <c r="E362">
        <f t="shared" si="20"/>
        <v>130</v>
      </c>
    </row>
    <row r="363" spans="2:5" x14ac:dyDescent="0.35">
      <c r="D363" s="30" t="str">
        <f t="shared" si="18"/>
        <v>Social workers</v>
      </c>
      <c r="E363">
        <f t="shared" si="20"/>
        <v>6</v>
      </c>
    </row>
    <row r="364" spans="2:5" x14ac:dyDescent="0.35">
      <c r="D364" s="30" t="str">
        <f t="shared" si="18"/>
        <v xml:space="preserve">Audiologists and Speech Therapists </v>
      </c>
      <c r="E364">
        <f t="shared" si="20"/>
        <v>0</v>
      </c>
    </row>
    <row r="365" spans="2:5" x14ac:dyDescent="0.35">
      <c r="D365" s="30" t="str">
        <f t="shared" ref="D365" si="21">D341</f>
        <v>Traditional and complementary medicine practitioners</v>
      </c>
      <c r="E365">
        <f t="shared" si="20"/>
        <v>0</v>
      </c>
    </row>
    <row r="366" spans="2:5" x14ac:dyDescent="0.35">
      <c r="B366" t="str">
        <f>P1</f>
        <v>ETH</v>
      </c>
      <c r="C366">
        <f>P2</f>
        <v>123379924.50000004</v>
      </c>
      <c r="D366" s="29" t="str">
        <f t="shared" ref="D366:D429" si="22">D342</f>
        <v>Medical Doctors</v>
      </c>
      <c r="E366">
        <f t="shared" ref="E366:E389" si="23">P3</f>
        <v>35754</v>
      </c>
    </row>
    <row r="367" spans="2:5" x14ac:dyDescent="0.35">
      <c r="D367" s="30" t="str">
        <f t="shared" si="22"/>
        <v>Nursing Personnel</v>
      </c>
      <c r="E367">
        <f t="shared" si="23"/>
        <v>140492</v>
      </c>
    </row>
    <row r="368" spans="2:5" x14ac:dyDescent="0.35">
      <c r="D368" s="30" t="str">
        <f t="shared" si="22"/>
        <v>Midwifery personnel</v>
      </c>
      <c r="E368">
        <f t="shared" si="23"/>
        <v>43986</v>
      </c>
    </row>
    <row r="369" spans="4:5" x14ac:dyDescent="0.35">
      <c r="D369" s="30" t="str">
        <f t="shared" si="22"/>
        <v>Pharmacists</v>
      </c>
      <c r="E369">
        <f t="shared" si="23"/>
        <v>75</v>
      </c>
    </row>
    <row r="370" spans="4:5" x14ac:dyDescent="0.35">
      <c r="D370" s="30" t="str">
        <f t="shared" si="22"/>
        <v>Dentists</v>
      </c>
      <c r="E370">
        <f t="shared" si="23"/>
        <v>121</v>
      </c>
    </row>
    <row r="371" spans="4:5" x14ac:dyDescent="0.35">
      <c r="D371" s="30" t="str">
        <f t="shared" si="22"/>
        <v xml:space="preserve">Community Health Workers </v>
      </c>
      <c r="E371">
        <f t="shared" si="23"/>
        <v>41101</v>
      </c>
    </row>
    <row r="372" spans="4:5" x14ac:dyDescent="0.35">
      <c r="D372" s="30" t="str">
        <f t="shared" si="22"/>
        <v>Dieticians and nutritionists</v>
      </c>
      <c r="E372">
        <f t="shared" si="23"/>
        <v>0</v>
      </c>
    </row>
    <row r="373" spans="4:5" x14ac:dyDescent="0.35">
      <c r="D373" s="30" t="str">
        <f t="shared" si="22"/>
        <v>Environmental and occupational health &amp; hygiene workers</v>
      </c>
      <c r="E373">
        <f t="shared" si="23"/>
        <v>0</v>
      </c>
    </row>
    <row r="374" spans="4:5" x14ac:dyDescent="0.35">
      <c r="D374" s="30" t="str">
        <f t="shared" si="22"/>
        <v>Personal care workers in health service</v>
      </c>
      <c r="E374">
        <f t="shared" si="23"/>
        <v>0</v>
      </c>
    </row>
    <row r="375" spans="4:5" x14ac:dyDescent="0.35">
      <c r="D375" s="30" t="str">
        <f t="shared" si="22"/>
        <v xml:space="preserve">Managerial staff </v>
      </c>
      <c r="E375">
        <f t="shared" si="23"/>
        <v>0</v>
      </c>
    </row>
    <row r="376" spans="4:5" x14ac:dyDescent="0.35">
      <c r="D376" s="30" t="str">
        <f t="shared" si="22"/>
        <v xml:space="preserve">Medical and dental Prosthetic Technicians </v>
      </c>
      <c r="E376">
        <f t="shared" si="23"/>
        <v>130</v>
      </c>
    </row>
    <row r="377" spans="4:5" x14ac:dyDescent="0.35">
      <c r="D377" s="30" t="str">
        <f t="shared" si="22"/>
        <v xml:space="preserve">Medical and Pathology Laboratory scientists </v>
      </c>
      <c r="E377">
        <f t="shared" si="23"/>
        <v>0</v>
      </c>
    </row>
    <row r="378" spans="4:5" x14ac:dyDescent="0.35">
      <c r="D378" s="30" t="str">
        <f t="shared" si="22"/>
        <v xml:space="preserve">Medical Assistants </v>
      </c>
      <c r="E378">
        <f t="shared" si="23"/>
        <v>0</v>
      </c>
    </row>
    <row r="379" spans="4:5" x14ac:dyDescent="0.35">
      <c r="D379" s="30" t="str">
        <f t="shared" si="22"/>
        <v xml:space="preserve">Medical Imaging and Therapeutic Equipment Technicians </v>
      </c>
      <c r="E379">
        <f t="shared" si="23"/>
        <v>1469</v>
      </c>
    </row>
    <row r="380" spans="4:5" x14ac:dyDescent="0.35">
      <c r="D380" s="30" t="str">
        <f t="shared" si="22"/>
        <v xml:space="preserve">Medical Records and Health Information Technicians </v>
      </c>
      <c r="E380">
        <f t="shared" si="23"/>
        <v>0</v>
      </c>
    </row>
    <row r="381" spans="4:5" x14ac:dyDescent="0.35">
      <c r="D381" s="30" t="str">
        <f t="shared" si="22"/>
        <v xml:space="preserve">Optometrists and Ophthalmic Opticians </v>
      </c>
      <c r="E381">
        <f t="shared" si="23"/>
        <v>383</v>
      </c>
    </row>
    <row r="382" spans="4:5" x14ac:dyDescent="0.35">
      <c r="D382" s="30" t="str">
        <f t="shared" si="22"/>
        <v xml:space="preserve">Other non-medical professional staff </v>
      </c>
      <c r="E382">
        <f t="shared" si="23"/>
        <v>0</v>
      </c>
    </row>
    <row r="383" spans="4:5" x14ac:dyDescent="0.35">
      <c r="D383" s="30" t="str">
        <f t="shared" si="22"/>
        <v xml:space="preserve">Other non-medical support staff </v>
      </c>
      <c r="E383">
        <f t="shared" si="23"/>
        <v>0</v>
      </c>
    </row>
    <row r="384" spans="4:5" x14ac:dyDescent="0.35">
      <c r="D384" s="30" t="str">
        <f t="shared" si="22"/>
        <v xml:space="preserve">Medical and Pathology Laboratory Technicians </v>
      </c>
      <c r="E384">
        <f t="shared" si="23"/>
        <v>13915</v>
      </c>
    </row>
    <row r="385" spans="2:5" x14ac:dyDescent="0.35">
      <c r="D385" s="30" t="str">
        <f t="shared" si="22"/>
        <v xml:space="preserve">Paramedical Practitioners </v>
      </c>
      <c r="E385">
        <f t="shared" si="23"/>
        <v>1205</v>
      </c>
    </row>
    <row r="386" spans="2:5" x14ac:dyDescent="0.35">
      <c r="D386" s="30" t="str">
        <f t="shared" si="22"/>
        <v>Physiotherapists and physiotherapy assistants</v>
      </c>
      <c r="E386">
        <f t="shared" si="23"/>
        <v>231</v>
      </c>
    </row>
    <row r="387" spans="2:5" x14ac:dyDescent="0.35">
      <c r="D387" s="30" t="str">
        <f t="shared" si="22"/>
        <v>Social workers</v>
      </c>
      <c r="E387">
        <f t="shared" si="23"/>
        <v>0</v>
      </c>
    </row>
    <row r="388" spans="2:5" x14ac:dyDescent="0.35">
      <c r="D388" s="30" t="str">
        <f t="shared" si="22"/>
        <v xml:space="preserve">Audiologists and Speech Therapists </v>
      </c>
      <c r="E388">
        <f t="shared" si="23"/>
        <v>0</v>
      </c>
    </row>
    <row r="389" spans="2:5" x14ac:dyDescent="0.35">
      <c r="D389" s="30" t="str">
        <f t="shared" si="22"/>
        <v>Traditional and complementary medicine practitioners</v>
      </c>
      <c r="E389">
        <f t="shared" si="23"/>
        <v>0</v>
      </c>
    </row>
    <row r="390" spans="2:5" x14ac:dyDescent="0.35">
      <c r="B390" t="str">
        <f>Q1</f>
        <v>GAB</v>
      </c>
      <c r="C390">
        <f>Q2</f>
        <v>2388992.5000000005</v>
      </c>
      <c r="D390" s="29" t="str">
        <f t="shared" si="22"/>
        <v>Medical Doctors</v>
      </c>
      <c r="E390">
        <f t="shared" ref="E390:E413" si="24">Q3</f>
        <v>2832</v>
      </c>
    </row>
    <row r="391" spans="2:5" x14ac:dyDescent="0.35">
      <c r="D391" s="30" t="str">
        <f t="shared" si="22"/>
        <v>Nursing Personnel</v>
      </c>
      <c r="E391">
        <f t="shared" si="24"/>
        <v>8554</v>
      </c>
    </row>
    <row r="392" spans="2:5" x14ac:dyDescent="0.35">
      <c r="D392" s="30" t="str">
        <f t="shared" si="22"/>
        <v>Midwifery personnel</v>
      </c>
      <c r="E392">
        <f t="shared" si="24"/>
        <v>1840</v>
      </c>
    </row>
    <row r="393" spans="2:5" x14ac:dyDescent="0.35">
      <c r="D393" s="30" t="str">
        <f t="shared" si="22"/>
        <v>Pharmacists</v>
      </c>
      <c r="E393">
        <f t="shared" si="24"/>
        <v>0</v>
      </c>
    </row>
    <row r="394" spans="2:5" x14ac:dyDescent="0.35">
      <c r="D394" s="30" t="str">
        <f t="shared" si="22"/>
        <v>Dentists</v>
      </c>
      <c r="E394">
        <f t="shared" si="24"/>
        <v>0</v>
      </c>
    </row>
    <row r="395" spans="2:5" x14ac:dyDescent="0.35">
      <c r="D395" s="30" t="str">
        <f t="shared" si="22"/>
        <v xml:space="preserve">Community Health Workers </v>
      </c>
      <c r="E395">
        <f t="shared" si="24"/>
        <v>98</v>
      </c>
    </row>
    <row r="396" spans="2:5" x14ac:dyDescent="0.35">
      <c r="D396" s="30" t="str">
        <f t="shared" si="22"/>
        <v>Dieticians and nutritionists</v>
      </c>
      <c r="E396">
        <f t="shared" si="24"/>
        <v>0</v>
      </c>
    </row>
    <row r="397" spans="2:5" x14ac:dyDescent="0.35">
      <c r="D397" s="30" t="str">
        <f t="shared" si="22"/>
        <v>Environmental and occupational health &amp; hygiene workers</v>
      </c>
      <c r="E397">
        <f t="shared" si="24"/>
        <v>0</v>
      </c>
    </row>
    <row r="398" spans="2:5" x14ac:dyDescent="0.35">
      <c r="D398" s="30" t="str">
        <f t="shared" si="22"/>
        <v>Personal care workers in health service</v>
      </c>
      <c r="E398">
        <f t="shared" si="24"/>
        <v>70</v>
      </c>
    </row>
    <row r="399" spans="2:5" x14ac:dyDescent="0.35">
      <c r="D399" s="30" t="str">
        <f t="shared" si="22"/>
        <v xml:space="preserve">Managerial staff </v>
      </c>
      <c r="E399">
        <f t="shared" si="24"/>
        <v>0</v>
      </c>
    </row>
    <row r="400" spans="2:5" x14ac:dyDescent="0.35">
      <c r="D400" s="30" t="str">
        <f t="shared" si="22"/>
        <v xml:space="preserve">Medical and dental Prosthetic Technicians </v>
      </c>
      <c r="E400">
        <f t="shared" si="24"/>
        <v>17</v>
      </c>
    </row>
    <row r="401" spans="2:5" x14ac:dyDescent="0.35">
      <c r="D401" s="30" t="str">
        <f t="shared" si="22"/>
        <v xml:space="preserve">Medical and Pathology Laboratory scientists </v>
      </c>
      <c r="E401">
        <f t="shared" si="24"/>
        <v>231</v>
      </c>
    </row>
    <row r="402" spans="2:5" x14ac:dyDescent="0.35">
      <c r="D402" s="30" t="str">
        <f t="shared" si="22"/>
        <v xml:space="preserve">Medical Assistants </v>
      </c>
      <c r="E402">
        <f t="shared" si="24"/>
        <v>0</v>
      </c>
    </row>
    <row r="403" spans="2:5" x14ac:dyDescent="0.35">
      <c r="D403" s="30" t="str">
        <f t="shared" si="22"/>
        <v xml:space="preserve">Medical Imaging and Therapeutic Equipment Technicians </v>
      </c>
      <c r="E403">
        <f t="shared" si="24"/>
        <v>478</v>
      </c>
    </row>
    <row r="404" spans="2:5" x14ac:dyDescent="0.35">
      <c r="D404" s="30" t="str">
        <f t="shared" si="22"/>
        <v xml:space="preserve">Medical Records and Health Information Technicians </v>
      </c>
      <c r="E404">
        <f t="shared" si="24"/>
        <v>0</v>
      </c>
    </row>
    <row r="405" spans="2:5" x14ac:dyDescent="0.35">
      <c r="D405" s="30" t="str">
        <f t="shared" si="22"/>
        <v xml:space="preserve">Optometrists and Ophthalmic Opticians </v>
      </c>
      <c r="E405">
        <f t="shared" si="24"/>
        <v>0</v>
      </c>
    </row>
    <row r="406" spans="2:5" x14ac:dyDescent="0.35">
      <c r="D406" s="30" t="str">
        <f t="shared" si="22"/>
        <v xml:space="preserve">Other non-medical professional staff </v>
      </c>
      <c r="E406">
        <f t="shared" si="24"/>
        <v>0</v>
      </c>
    </row>
    <row r="407" spans="2:5" x14ac:dyDescent="0.35">
      <c r="D407" s="30" t="str">
        <f t="shared" si="22"/>
        <v xml:space="preserve">Other non-medical support staff </v>
      </c>
      <c r="E407">
        <f t="shared" si="24"/>
        <v>0</v>
      </c>
    </row>
    <row r="408" spans="2:5" x14ac:dyDescent="0.35">
      <c r="D408" s="30" t="str">
        <f t="shared" si="22"/>
        <v xml:space="preserve">Medical and Pathology Laboratory Technicians </v>
      </c>
      <c r="E408">
        <f t="shared" si="24"/>
        <v>228</v>
      </c>
    </row>
    <row r="409" spans="2:5" x14ac:dyDescent="0.35">
      <c r="D409" s="30" t="str">
        <f t="shared" si="22"/>
        <v xml:space="preserve">Paramedical Practitioners </v>
      </c>
      <c r="E409">
        <f t="shared" si="24"/>
        <v>84</v>
      </c>
    </row>
    <row r="410" spans="2:5" x14ac:dyDescent="0.35">
      <c r="D410" s="30" t="str">
        <f t="shared" si="22"/>
        <v>Physiotherapists and physiotherapy assistants</v>
      </c>
      <c r="E410">
        <f t="shared" si="24"/>
        <v>2</v>
      </c>
    </row>
    <row r="411" spans="2:5" x14ac:dyDescent="0.35">
      <c r="D411" s="30" t="str">
        <f t="shared" si="22"/>
        <v>Social workers</v>
      </c>
      <c r="E411">
        <f t="shared" si="24"/>
        <v>0</v>
      </c>
    </row>
    <row r="412" spans="2:5" x14ac:dyDescent="0.35">
      <c r="D412" s="30" t="str">
        <f t="shared" si="22"/>
        <v xml:space="preserve">Audiologists and Speech Therapists </v>
      </c>
      <c r="E412">
        <f t="shared" si="24"/>
        <v>0</v>
      </c>
    </row>
    <row r="413" spans="2:5" x14ac:dyDescent="0.35">
      <c r="D413" s="30" t="str">
        <f t="shared" si="22"/>
        <v>Traditional and complementary medicine practitioners</v>
      </c>
      <c r="E413">
        <f t="shared" si="24"/>
        <v>0</v>
      </c>
    </row>
    <row r="414" spans="2:5" x14ac:dyDescent="0.35">
      <c r="B414" t="str">
        <f>R1</f>
        <v>GHA</v>
      </c>
      <c r="C414">
        <f>R2</f>
        <v>33475870.500000011</v>
      </c>
      <c r="D414" s="29" t="str">
        <f t="shared" si="22"/>
        <v>Medical Doctors</v>
      </c>
      <c r="E414">
        <f t="shared" ref="E414:E437" si="25">R3</f>
        <v>9452</v>
      </c>
    </row>
    <row r="415" spans="2:5" x14ac:dyDescent="0.35">
      <c r="D415" s="30" t="str">
        <f t="shared" si="22"/>
        <v>Nursing Personnel</v>
      </c>
      <c r="E415">
        <f t="shared" si="25"/>
        <v>205886</v>
      </c>
    </row>
    <row r="416" spans="2:5" x14ac:dyDescent="0.35">
      <c r="D416" s="30" t="str">
        <f t="shared" si="22"/>
        <v>Midwifery personnel</v>
      </c>
      <c r="E416">
        <f t="shared" si="25"/>
        <v>47764</v>
      </c>
    </row>
    <row r="417" spans="4:5" x14ac:dyDescent="0.35">
      <c r="D417" s="30" t="str">
        <f t="shared" si="22"/>
        <v>Pharmacists</v>
      </c>
      <c r="E417">
        <f t="shared" si="25"/>
        <v>227</v>
      </c>
    </row>
    <row r="418" spans="4:5" x14ac:dyDescent="0.35">
      <c r="D418" s="30" t="str">
        <f t="shared" si="22"/>
        <v>Dentists</v>
      </c>
      <c r="E418">
        <f t="shared" si="25"/>
        <v>40</v>
      </c>
    </row>
    <row r="419" spans="4:5" x14ac:dyDescent="0.35">
      <c r="D419" s="30" t="str">
        <f t="shared" si="22"/>
        <v xml:space="preserve">Community Health Workers </v>
      </c>
      <c r="E419">
        <f t="shared" si="25"/>
        <v>0</v>
      </c>
    </row>
    <row r="420" spans="4:5" x14ac:dyDescent="0.35">
      <c r="D420" s="30" t="str">
        <f t="shared" si="22"/>
        <v>Dieticians and nutritionists</v>
      </c>
      <c r="E420">
        <f t="shared" si="25"/>
        <v>6</v>
      </c>
    </row>
    <row r="421" spans="4:5" x14ac:dyDescent="0.35">
      <c r="D421" s="30" t="str">
        <f t="shared" si="22"/>
        <v>Environmental and occupational health &amp; hygiene workers</v>
      </c>
      <c r="E421">
        <f t="shared" si="25"/>
        <v>0</v>
      </c>
    </row>
    <row r="422" spans="4:5" x14ac:dyDescent="0.35">
      <c r="D422" s="30" t="str">
        <f t="shared" si="22"/>
        <v>Personal care workers in health service</v>
      </c>
      <c r="E422">
        <f t="shared" si="25"/>
        <v>3602</v>
      </c>
    </row>
    <row r="423" spans="4:5" x14ac:dyDescent="0.35">
      <c r="D423" s="30" t="str">
        <f t="shared" si="22"/>
        <v xml:space="preserve">Managerial staff </v>
      </c>
      <c r="E423">
        <f t="shared" si="25"/>
        <v>0</v>
      </c>
    </row>
    <row r="424" spans="4:5" x14ac:dyDescent="0.35">
      <c r="D424" s="30" t="str">
        <f t="shared" si="22"/>
        <v xml:space="preserve">Medical and dental Prosthetic Technicians </v>
      </c>
      <c r="E424">
        <f t="shared" si="25"/>
        <v>0</v>
      </c>
    </row>
    <row r="425" spans="4:5" x14ac:dyDescent="0.35">
      <c r="D425" s="30" t="str">
        <f t="shared" si="22"/>
        <v xml:space="preserve">Medical and Pathology Laboratory scientists </v>
      </c>
      <c r="E425">
        <f t="shared" si="25"/>
        <v>2139</v>
      </c>
    </row>
    <row r="426" spans="4:5" x14ac:dyDescent="0.35">
      <c r="D426" s="30" t="str">
        <f t="shared" si="22"/>
        <v xml:space="preserve">Medical Assistants </v>
      </c>
      <c r="E426">
        <f t="shared" si="25"/>
        <v>2471</v>
      </c>
    </row>
    <row r="427" spans="4:5" x14ac:dyDescent="0.35">
      <c r="D427" s="30" t="str">
        <f t="shared" si="22"/>
        <v xml:space="preserve">Medical Imaging and Therapeutic Equipment Technicians </v>
      </c>
      <c r="E427">
        <f t="shared" si="25"/>
        <v>2703</v>
      </c>
    </row>
    <row r="428" spans="4:5" x14ac:dyDescent="0.35">
      <c r="D428" s="30" t="str">
        <f t="shared" si="22"/>
        <v xml:space="preserve">Medical Records and Health Information Technicians </v>
      </c>
      <c r="E428">
        <f t="shared" si="25"/>
        <v>3555</v>
      </c>
    </row>
    <row r="429" spans="4:5" x14ac:dyDescent="0.35">
      <c r="D429" s="30" t="str">
        <f t="shared" si="22"/>
        <v xml:space="preserve">Optometrists and Ophthalmic Opticians </v>
      </c>
      <c r="E429">
        <f t="shared" si="25"/>
        <v>309</v>
      </c>
    </row>
    <row r="430" spans="4:5" x14ac:dyDescent="0.35">
      <c r="D430" s="30" t="str">
        <f t="shared" ref="D430:D493" si="26">D406</f>
        <v xml:space="preserve">Other non-medical professional staff </v>
      </c>
      <c r="E430">
        <f t="shared" si="25"/>
        <v>0</v>
      </c>
    </row>
    <row r="431" spans="4:5" x14ac:dyDescent="0.35">
      <c r="D431" s="30" t="str">
        <f t="shared" si="26"/>
        <v xml:space="preserve">Other non-medical support staff </v>
      </c>
      <c r="E431">
        <f t="shared" si="25"/>
        <v>0</v>
      </c>
    </row>
    <row r="432" spans="4:5" x14ac:dyDescent="0.35">
      <c r="D432" s="30" t="str">
        <f t="shared" si="26"/>
        <v xml:space="preserve">Medical and Pathology Laboratory Technicians </v>
      </c>
      <c r="E432">
        <f t="shared" si="25"/>
        <v>477</v>
      </c>
    </row>
    <row r="433" spans="2:5" x14ac:dyDescent="0.35">
      <c r="D433" s="30" t="str">
        <f t="shared" si="26"/>
        <v xml:space="preserve">Paramedical Practitioners </v>
      </c>
      <c r="E433">
        <f t="shared" si="25"/>
        <v>0</v>
      </c>
    </row>
    <row r="434" spans="2:5" x14ac:dyDescent="0.35">
      <c r="D434" s="30" t="str">
        <f t="shared" si="26"/>
        <v>Physiotherapists and physiotherapy assistants</v>
      </c>
      <c r="E434">
        <f t="shared" si="25"/>
        <v>381</v>
      </c>
    </row>
    <row r="435" spans="2:5" x14ac:dyDescent="0.35">
      <c r="D435" s="30" t="str">
        <f t="shared" si="26"/>
        <v>Social workers</v>
      </c>
      <c r="E435">
        <f t="shared" si="25"/>
        <v>0</v>
      </c>
    </row>
    <row r="436" spans="2:5" x14ac:dyDescent="0.35">
      <c r="D436" s="30" t="str">
        <f t="shared" si="26"/>
        <v xml:space="preserve">Audiologists and Speech Therapists </v>
      </c>
      <c r="E436">
        <f t="shared" si="25"/>
        <v>30</v>
      </c>
    </row>
    <row r="437" spans="2:5" x14ac:dyDescent="0.35">
      <c r="D437" s="30" t="str">
        <f t="shared" si="26"/>
        <v>Traditional and complementary medicine practitioners</v>
      </c>
      <c r="E437">
        <f t="shared" si="25"/>
        <v>0</v>
      </c>
    </row>
    <row r="438" spans="2:5" x14ac:dyDescent="0.35">
      <c r="B438" t="str">
        <f>S1</f>
        <v>GIN</v>
      </c>
      <c r="C438">
        <f>S2</f>
        <v>13859340.500000006</v>
      </c>
      <c r="D438" s="29" t="str">
        <f t="shared" si="26"/>
        <v>Medical Doctors</v>
      </c>
      <c r="E438">
        <f t="shared" ref="E438:E461" si="27">S3</f>
        <v>856</v>
      </c>
    </row>
    <row r="439" spans="2:5" x14ac:dyDescent="0.35">
      <c r="D439" s="30" t="str">
        <f t="shared" si="26"/>
        <v>Nursing Personnel</v>
      </c>
      <c r="E439">
        <f t="shared" si="27"/>
        <v>8734</v>
      </c>
    </row>
    <row r="440" spans="2:5" x14ac:dyDescent="0.35">
      <c r="D440" s="30" t="str">
        <f t="shared" si="26"/>
        <v>Midwifery personnel</v>
      </c>
      <c r="E440">
        <f t="shared" si="27"/>
        <v>1554</v>
      </c>
    </row>
    <row r="441" spans="2:5" x14ac:dyDescent="0.35">
      <c r="D441" s="30" t="str">
        <f t="shared" si="26"/>
        <v>Pharmacists</v>
      </c>
      <c r="E441">
        <f t="shared" si="27"/>
        <v>71</v>
      </c>
    </row>
    <row r="442" spans="2:5" x14ac:dyDescent="0.35">
      <c r="D442" s="30" t="str">
        <f t="shared" si="26"/>
        <v>Dentists</v>
      </c>
      <c r="E442">
        <f t="shared" si="27"/>
        <v>0</v>
      </c>
    </row>
    <row r="443" spans="2:5" x14ac:dyDescent="0.35">
      <c r="D443" s="30" t="str">
        <f t="shared" si="26"/>
        <v xml:space="preserve">Community Health Workers </v>
      </c>
      <c r="E443">
        <f t="shared" si="27"/>
        <v>0</v>
      </c>
    </row>
    <row r="444" spans="2:5" x14ac:dyDescent="0.35">
      <c r="D444" s="30" t="str">
        <f t="shared" si="26"/>
        <v>Dieticians and nutritionists</v>
      </c>
      <c r="E444">
        <f t="shared" si="27"/>
        <v>0</v>
      </c>
    </row>
    <row r="445" spans="2:5" x14ac:dyDescent="0.35">
      <c r="D445" s="30" t="str">
        <f t="shared" si="26"/>
        <v>Environmental and occupational health &amp; hygiene workers</v>
      </c>
      <c r="E445">
        <f t="shared" si="27"/>
        <v>0</v>
      </c>
    </row>
    <row r="446" spans="2:5" x14ac:dyDescent="0.35">
      <c r="D446" s="30" t="str">
        <f t="shared" si="26"/>
        <v>Personal care workers in health service</v>
      </c>
      <c r="E446">
        <f t="shared" si="27"/>
        <v>0</v>
      </c>
    </row>
    <row r="447" spans="2:5" x14ac:dyDescent="0.35">
      <c r="D447" s="30" t="str">
        <f t="shared" si="26"/>
        <v xml:space="preserve">Managerial staff </v>
      </c>
      <c r="E447">
        <f t="shared" si="27"/>
        <v>0</v>
      </c>
    </row>
    <row r="448" spans="2:5" x14ac:dyDescent="0.35">
      <c r="D448" s="30" t="str">
        <f t="shared" si="26"/>
        <v xml:space="preserve">Medical and dental Prosthetic Technicians </v>
      </c>
      <c r="E448">
        <f t="shared" si="27"/>
        <v>0</v>
      </c>
    </row>
    <row r="449" spans="2:5" x14ac:dyDescent="0.35">
      <c r="D449" s="30" t="str">
        <f t="shared" si="26"/>
        <v xml:space="preserve">Medical and Pathology Laboratory scientists </v>
      </c>
      <c r="E449">
        <f t="shared" si="27"/>
        <v>0</v>
      </c>
    </row>
    <row r="450" spans="2:5" x14ac:dyDescent="0.35">
      <c r="D450" s="30" t="str">
        <f t="shared" si="26"/>
        <v xml:space="preserve">Medical Assistants </v>
      </c>
      <c r="E450">
        <f t="shared" si="27"/>
        <v>0</v>
      </c>
    </row>
    <row r="451" spans="2:5" x14ac:dyDescent="0.35">
      <c r="D451" s="30" t="str">
        <f t="shared" si="26"/>
        <v xml:space="preserve">Medical Imaging and Therapeutic Equipment Technicians </v>
      </c>
      <c r="E451">
        <f t="shared" si="27"/>
        <v>0</v>
      </c>
    </row>
    <row r="452" spans="2:5" x14ac:dyDescent="0.35">
      <c r="D452" s="30" t="str">
        <f t="shared" si="26"/>
        <v xml:space="preserve">Medical Records and Health Information Technicians </v>
      </c>
      <c r="E452">
        <f t="shared" si="27"/>
        <v>0</v>
      </c>
    </row>
    <row r="453" spans="2:5" x14ac:dyDescent="0.35">
      <c r="D453" s="30" t="str">
        <f t="shared" si="26"/>
        <v xml:space="preserve">Optometrists and Ophthalmic Opticians </v>
      </c>
      <c r="E453">
        <f t="shared" si="27"/>
        <v>0</v>
      </c>
    </row>
    <row r="454" spans="2:5" x14ac:dyDescent="0.35">
      <c r="D454" s="30" t="str">
        <f t="shared" si="26"/>
        <v xml:space="preserve">Other non-medical professional staff </v>
      </c>
      <c r="E454">
        <f t="shared" si="27"/>
        <v>0</v>
      </c>
    </row>
    <row r="455" spans="2:5" x14ac:dyDescent="0.35">
      <c r="D455" s="30" t="str">
        <f t="shared" si="26"/>
        <v xml:space="preserve">Other non-medical support staff </v>
      </c>
      <c r="E455">
        <f t="shared" si="27"/>
        <v>0</v>
      </c>
    </row>
    <row r="456" spans="2:5" x14ac:dyDescent="0.35">
      <c r="D456" s="30" t="str">
        <f t="shared" si="26"/>
        <v xml:space="preserve">Medical and Pathology Laboratory Technicians </v>
      </c>
      <c r="E456">
        <f t="shared" si="27"/>
        <v>0</v>
      </c>
    </row>
    <row r="457" spans="2:5" x14ac:dyDescent="0.35">
      <c r="D457" s="30" t="str">
        <f t="shared" si="26"/>
        <v xml:space="preserve">Paramedical Practitioners </v>
      </c>
      <c r="E457">
        <f t="shared" si="27"/>
        <v>0</v>
      </c>
    </row>
    <row r="458" spans="2:5" x14ac:dyDescent="0.35">
      <c r="D458" s="30" t="str">
        <f t="shared" si="26"/>
        <v>Physiotherapists and physiotherapy assistants</v>
      </c>
      <c r="E458">
        <f t="shared" si="27"/>
        <v>0</v>
      </c>
    </row>
    <row r="459" spans="2:5" x14ac:dyDescent="0.35">
      <c r="D459" s="30" t="str">
        <f t="shared" si="26"/>
        <v>Social workers</v>
      </c>
      <c r="E459">
        <f t="shared" si="27"/>
        <v>0</v>
      </c>
    </row>
    <row r="460" spans="2:5" x14ac:dyDescent="0.35">
      <c r="D460" s="30" t="str">
        <f t="shared" si="26"/>
        <v xml:space="preserve">Audiologists and Speech Therapists </v>
      </c>
      <c r="E460">
        <f t="shared" si="27"/>
        <v>0</v>
      </c>
    </row>
    <row r="461" spans="2:5" x14ac:dyDescent="0.35">
      <c r="D461" s="30" t="str">
        <f t="shared" si="26"/>
        <v>Traditional and complementary medicine practitioners</v>
      </c>
      <c r="E461">
        <f t="shared" si="27"/>
        <v>0</v>
      </c>
    </row>
    <row r="462" spans="2:5" x14ac:dyDescent="0.35">
      <c r="B462" t="str">
        <f>T1</f>
        <v>GMB</v>
      </c>
      <c r="C462">
        <f>T2</f>
        <v>2705991.9999999995</v>
      </c>
      <c r="D462" s="29" t="str">
        <f t="shared" si="26"/>
        <v>Medical Doctors</v>
      </c>
      <c r="E462">
        <f t="shared" ref="E462:E485" si="28">T3</f>
        <v>0</v>
      </c>
    </row>
    <row r="463" spans="2:5" x14ac:dyDescent="0.35">
      <c r="D463" s="30" t="str">
        <f t="shared" si="26"/>
        <v>Nursing Personnel</v>
      </c>
      <c r="E463">
        <f t="shared" si="28"/>
        <v>0</v>
      </c>
    </row>
    <row r="464" spans="2:5" x14ac:dyDescent="0.35">
      <c r="D464" s="30" t="str">
        <f t="shared" si="26"/>
        <v>Midwifery personnel</v>
      </c>
      <c r="E464">
        <f t="shared" si="28"/>
        <v>0</v>
      </c>
    </row>
    <row r="465" spans="4:5" x14ac:dyDescent="0.35">
      <c r="D465" s="30" t="str">
        <f t="shared" si="26"/>
        <v>Pharmacists</v>
      </c>
      <c r="E465">
        <f t="shared" si="28"/>
        <v>3224</v>
      </c>
    </row>
    <row r="466" spans="4:5" x14ac:dyDescent="0.35">
      <c r="D466" s="30" t="str">
        <f t="shared" si="26"/>
        <v>Dentists</v>
      </c>
      <c r="E466">
        <f t="shared" si="28"/>
        <v>612</v>
      </c>
    </row>
    <row r="467" spans="4:5" x14ac:dyDescent="0.35">
      <c r="D467" s="30" t="str">
        <f t="shared" si="26"/>
        <v xml:space="preserve">Community Health Workers </v>
      </c>
      <c r="E467">
        <f t="shared" si="28"/>
        <v>0</v>
      </c>
    </row>
    <row r="468" spans="4:5" x14ac:dyDescent="0.35">
      <c r="D468" s="30" t="str">
        <f t="shared" si="26"/>
        <v>Dieticians and nutritionists</v>
      </c>
      <c r="E468">
        <f t="shared" si="28"/>
        <v>59</v>
      </c>
    </row>
    <row r="469" spans="4:5" x14ac:dyDescent="0.35">
      <c r="D469" s="30" t="str">
        <f t="shared" si="26"/>
        <v>Environmental and occupational health &amp; hygiene workers</v>
      </c>
      <c r="E469">
        <f t="shared" si="28"/>
        <v>2305</v>
      </c>
    </row>
    <row r="470" spans="4:5" x14ac:dyDescent="0.35">
      <c r="D470" s="30" t="str">
        <f t="shared" si="26"/>
        <v>Personal care workers in health service</v>
      </c>
      <c r="E470">
        <f t="shared" si="28"/>
        <v>0</v>
      </c>
    </row>
    <row r="471" spans="4:5" x14ac:dyDescent="0.35">
      <c r="D471" s="30" t="str">
        <f t="shared" si="26"/>
        <v xml:space="preserve">Managerial staff </v>
      </c>
      <c r="E471">
        <f t="shared" si="28"/>
        <v>0</v>
      </c>
    </row>
    <row r="472" spans="4:5" x14ac:dyDescent="0.35">
      <c r="D472" s="30" t="str">
        <f t="shared" si="26"/>
        <v xml:space="preserve">Medical and dental Prosthetic Technicians </v>
      </c>
      <c r="E472">
        <f t="shared" si="28"/>
        <v>0</v>
      </c>
    </row>
    <row r="473" spans="4:5" x14ac:dyDescent="0.35">
      <c r="D473" s="30" t="str">
        <f t="shared" si="26"/>
        <v xml:space="preserve">Medical and Pathology Laboratory scientists </v>
      </c>
      <c r="E473">
        <f t="shared" si="28"/>
        <v>0</v>
      </c>
    </row>
    <row r="474" spans="4:5" x14ac:dyDescent="0.35">
      <c r="D474" s="30" t="str">
        <f t="shared" si="26"/>
        <v xml:space="preserve">Medical Assistants </v>
      </c>
      <c r="E474">
        <f t="shared" si="28"/>
        <v>0</v>
      </c>
    </row>
    <row r="475" spans="4:5" x14ac:dyDescent="0.35">
      <c r="D475" s="30" t="str">
        <f t="shared" si="26"/>
        <v xml:space="preserve">Medical Imaging and Therapeutic Equipment Technicians </v>
      </c>
      <c r="E475">
        <f t="shared" si="28"/>
        <v>0</v>
      </c>
    </row>
    <row r="476" spans="4:5" x14ac:dyDescent="0.35">
      <c r="D476" s="30" t="str">
        <f t="shared" si="26"/>
        <v xml:space="preserve">Medical Records and Health Information Technicians </v>
      </c>
      <c r="E476">
        <f t="shared" si="28"/>
        <v>0</v>
      </c>
    </row>
    <row r="477" spans="4:5" x14ac:dyDescent="0.35">
      <c r="D477" s="30" t="str">
        <f t="shared" si="26"/>
        <v xml:space="preserve">Optometrists and Ophthalmic Opticians </v>
      </c>
      <c r="E477">
        <f t="shared" si="28"/>
        <v>0</v>
      </c>
    </row>
    <row r="478" spans="4:5" x14ac:dyDescent="0.35">
      <c r="D478" s="30" t="str">
        <f t="shared" si="26"/>
        <v xml:space="preserve">Other non-medical professional staff </v>
      </c>
      <c r="E478">
        <f t="shared" si="28"/>
        <v>0</v>
      </c>
    </row>
    <row r="479" spans="4:5" x14ac:dyDescent="0.35">
      <c r="D479" s="30" t="str">
        <f t="shared" si="26"/>
        <v xml:space="preserve">Other non-medical support staff </v>
      </c>
      <c r="E479">
        <f t="shared" si="28"/>
        <v>0</v>
      </c>
    </row>
    <row r="480" spans="4:5" x14ac:dyDescent="0.35">
      <c r="D480" s="30" t="str">
        <f t="shared" si="26"/>
        <v xml:space="preserve">Medical and Pathology Laboratory Technicians </v>
      </c>
      <c r="E480">
        <f t="shared" si="28"/>
        <v>0</v>
      </c>
    </row>
    <row r="481" spans="2:5" x14ac:dyDescent="0.35">
      <c r="D481" s="30" t="str">
        <f t="shared" si="26"/>
        <v xml:space="preserve">Paramedical Practitioners </v>
      </c>
      <c r="E481">
        <f t="shared" si="28"/>
        <v>0</v>
      </c>
    </row>
    <row r="482" spans="2:5" x14ac:dyDescent="0.35">
      <c r="D482" s="30" t="str">
        <f t="shared" si="26"/>
        <v>Physiotherapists and physiotherapy assistants</v>
      </c>
      <c r="E482">
        <f t="shared" si="28"/>
        <v>0</v>
      </c>
    </row>
    <row r="483" spans="2:5" x14ac:dyDescent="0.35">
      <c r="D483" s="30" t="str">
        <f t="shared" si="26"/>
        <v>Social workers</v>
      </c>
      <c r="E483">
        <f t="shared" si="28"/>
        <v>0</v>
      </c>
    </row>
    <row r="484" spans="2:5" x14ac:dyDescent="0.35">
      <c r="D484" s="30" t="str">
        <f t="shared" si="26"/>
        <v xml:space="preserve">Audiologists and Speech Therapists </v>
      </c>
      <c r="E484">
        <f t="shared" si="28"/>
        <v>0</v>
      </c>
    </row>
    <row r="485" spans="2:5" x14ac:dyDescent="0.35">
      <c r="D485" s="30" t="str">
        <f t="shared" si="26"/>
        <v>Traditional and complementary medicine practitioners</v>
      </c>
      <c r="E485">
        <f t="shared" si="28"/>
        <v>0</v>
      </c>
    </row>
    <row r="486" spans="2:5" x14ac:dyDescent="0.35">
      <c r="B486" t="str">
        <f>U1</f>
        <v>GNB</v>
      </c>
      <c r="C486">
        <f>U2</f>
        <v>2105565.4999999991</v>
      </c>
      <c r="D486" s="29" t="str">
        <f t="shared" si="26"/>
        <v>Medical Doctors</v>
      </c>
      <c r="E486">
        <f t="shared" ref="E486:E509" si="29">U3</f>
        <v>885</v>
      </c>
    </row>
    <row r="487" spans="2:5" x14ac:dyDescent="0.35">
      <c r="D487" s="30" t="str">
        <f t="shared" si="26"/>
        <v>Nursing Personnel</v>
      </c>
      <c r="E487">
        <f t="shared" si="29"/>
        <v>3758</v>
      </c>
    </row>
    <row r="488" spans="2:5" x14ac:dyDescent="0.35">
      <c r="D488" s="30" t="str">
        <f t="shared" si="26"/>
        <v>Midwifery personnel</v>
      </c>
      <c r="E488">
        <f t="shared" si="29"/>
        <v>394</v>
      </c>
    </row>
    <row r="489" spans="2:5" x14ac:dyDescent="0.35">
      <c r="D489" s="30" t="str">
        <f t="shared" si="26"/>
        <v>Pharmacists</v>
      </c>
      <c r="E489">
        <f t="shared" si="29"/>
        <v>0</v>
      </c>
    </row>
    <row r="490" spans="2:5" x14ac:dyDescent="0.35">
      <c r="D490" s="30" t="str">
        <f t="shared" si="26"/>
        <v>Dentists</v>
      </c>
      <c r="E490">
        <f t="shared" si="29"/>
        <v>53</v>
      </c>
    </row>
    <row r="491" spans="2:5" x14ac:dyDescent="0.35">
      <c r="D491" s="30" t="str">
        <f t="shared" si="26"/>
        <v xml:space="preserve">Community Health Workers </v>
      </c>
      <c r="E491">
        <f t="shared" si="29"/>
        <v>3975</v>
      </c>
    </row>
    <row r="492" spans="2:5" x14ac:dyDescent="0.35">
      <c r="D492" s="30" t="str">
        <f t="shared" si="26"/>
        <v>Dieticians and nutritionists</v>
      </c>
      <c r="E492">
        <f t="shared" si="29"/>
        <v>0</v>
      </c>
    </row>
    <row r="493" spans="2:5" x14ac:dyDescent="0.35">
      <c r="D493" s="30" t="str">
        <f t="shared" si="26"/>
        <v>Environmental and occupational health &amp; hygiene workers</v>
      </c>
      <c r="E493">
        <f t="shared" si="29"/>
        <v>0</v>
      </c>
    </row>
    <row r="494" spans="2:5" x14ac:dyDescent="0.35">
      <c r="D494" s="30" t="str">
        <f t="shared" ref="D494:D557" si="30">D470</f>
        <v>Personal care workers in health service</v>
      </c>
      <c r="E494">
        <f t="shared" si="29"/>
        <v>0</v>
      </c>
    </row>
    <row r="495" spans="2:5" x14ac:dyDescent="0.35">
      <c r="D495" s="30" t="str">
        <f t="shared" si="30"/>
        <v xml:space="preserve">Managerial staff </v>
      </c>
      <c r="E495">
        <f t="shared" si="29"/>
        <v>0</v>
      </c>
    </row>
    <row r="496" spans="2:5" x14ac:dyDescent="0.35">
      <c r="D496" s="30" t="str">
        <f t="shared" si="30"/>
        <v xml:space="preserve">Medical and dental Prosthetic Technicians </v>
      </c>
      <c r="E496">
        <f t="shared" si="29"/>
        <v>2</v>
      </c>
    </row>
    <row r="497" spans="2:5" x14ac:dyDescent="0.35">
      <c r="D497" s="30" t="str">
        <f t="shared" si="30"/>
        <v xml:space="preserve">Medical and Pathology Laboratory scientists </v>
      </c>
      <c r="E497">
        <f t="shared" si="29"/>
        <v>1</v>
      </c>
    </row>
    <row r="498" spans="2:5" x14ac:dyDescent="0.35">
      <c r="D498" s="30" t="str">
        <f t="shared" si="30"/>
        <v xml:space="preserve">Medical Assistants </v>
      </c>
      <c r="E498">
        <f t="shared" si="29"/>
        <v>0</v>
      </c>
    </row>
    <row r="499" spans="2:5" x14ac:dyDescent="0.35">
      <c r="D499" s="30" t="str">
        <f t="shared" si="30"/>
        <v xml:space="preserve">Medical Imaging and Therapeutic Equipment Technicians </v>
      </c>
      <c r="E499">
        <f t="shared" si="29"/>
        <v>51</v>
      </c>
    </row>
    <row r="500" spans="2:5" x14ac:dyDescent="0.35">
      <c r="D500" s="30" t="str">
        <f t="shared" si="30"/>
        <v xml:space="preserve">Medical Records and Health Information Technicians </v>
      </c>
      <c r="E500">
        <f t="shared" si="29"/>
        <v>0</v>
      </c>
    </row>
    <row r="501" spans="2:5" x14ac:dyDescent="0.35">
      <c r="D501" s="30" t="str">
        <f t="shared" si="30"/>
        <v xml:space="preserve">Optometrists and Ophthalmic Opticians </v>
      </c>
      <c r="E501">
        <f t="shared" si="29"/>
        <v>0</v>
      </c>
    </row>
    <row r="502" spans="2:5" x14ac:dyDescent="0.35">
      <c r="D502" s="30" t="str">
        <f t="shared" si="30"/>
        <v xml:space="preserve">Other non-medical professional staff </v>
      </c>
      <c r="E502">
        <f t="shared" si="29"/>
        <v>10</v>
      </c>
    </row>
    <row r="503" spans="2:5" x14ac:dyDescent="0.35">
      <c r="D503" s="30" t="str">
        <f t="shared" si="30"/>
        <v xml:space="preserve">Other non-medical support staff </v>
      </c>
      <c r="E503">
        <f t="shared" si="29"/>
        <v>64</v>
      </c>
    </row>
    <row r="504" spans="2:5" x14ac:dyDescent="0.35">
      <c r="D504" s="30" t="str">
        <f t="shared" si="30"/>
        <v xml:space="preserve">Medical and Pathology Laboratory Technicians </v>
      </c>
      <c r="E504">
        <f t="shared" si="29"/>
        <v>197</v>
      </c>
    </row>
    <row r="505" spans="2:5" x14ac:dyDescent="0.35">
      <c r="D505" s="30" t="str">
        <f t="shared" si="30"/>
        <v xml:space="preserve">Paramedical Practitioners </v>
      </c>
      <c r="E505">
        <f t="shared" si="29"/>
        <v>0</v>
      </c>
    </row>
    <row r="506" spans="2:5" x14ac:dyDescent="0.35">
      <c r="D506" s="30" t="str">
        <f t="shared" si="30"/>
        <v>Physiotherapists and physiotherapy assistants</v>
      </c>
      <c r="E506">
        <f t="shared" si="29"/>
        <v>5</v>
      </c>
    </row>
    <row r="507" spans="2:5" x14ac:dyDescent="0.35">
      <c r="D507" s="30" t="str">
        <f t="shared" si="30"/>
        <v>Social workers</v>
      </c>
      <c r="E507">
        <f t="shared" si="29"/>
        <v>68</v>
      </c>
    </row>
    <row r="508" spans="2:5" x14ac:dyDescent="0.35">
      <c r="D508" s="30" t="str">
        <f t="shared" si="30"/>
        <v xml:space="preserve">Audiologists and Speech Therapists </v>
      </c>
      <c r="E508">
        <f t="shared" si="29"/>
        <v>0</v>
      </c>
    </row>
    <row r="509" spans="2:5" x14ac:dyDescent="0.35">
      <c r="D509" s="30" t="str">
        <f t="shared" si="30"/>
        <v>Traditional and complementary medicine practitioners</v>
      </c>
      <c r="E509">
        <f t="shared" si="29"/>
        <v>0</v>
      </c>
    </row>
    <row r="510" spans="2:5" x14ac:dyDescent="0.35">
      <c r="B510" t="str">
        <f>V1</f>
        <v>GNQ</v>
      </c>
      <c r="C510">
        <f>V2</f>
        <v>1674908</v>
      </c>
      <c r="D510" s="29" t="str">
        <f t="shared" si="30"/>
        <v>Medical Doctors</v>
      </c>
      <c r="E510">
        <f t="shared" ref="E510:E533" si="31">V3</f>
        <v>478</v>
      </c>
    </row>
    <row r="511" spans="2:5" x14ac:dyDescent="0.35">
      <c r="D511" s="30" t="str">
        <f t="shared" si="30"/>
        <v>Nursing Personnel</v>
      </c>
      <c r="E511">
        <f t="shared" si="31"/>
        <v>2750</v>
      </c>
    </row>
    <row r="512" spans="2:5" x14ac:dyDescent="0.35">
      <c r="D512" s="30" t="str">
        <f t="shared" si="30"/>
        <v>Midwifery personnel</v>
      </c>
      <c r="E512">
        <f t="shared" si="31"/>
        <v>46</v>
      </c>
    </row>
    <row r="513" spans="4:5" x14ac:dyDescent="0.35">
      <c r="D513" s="30" t="str">
        <f t="shared" si="30"/>
        <v>Pharmacists</v>
      </c>
      <c r="E513">
        <f t="shared" si="31"/>
        <v>690</v>
      </c>
    </row>
    <row r="514" spans="4:5" x14ac:dyDescent="0.35">
      <c r="D514" s="30" t="str">
        <f t="shared" si="30"/>
        <v>Dentists</v>
      </c>
      <c r="E514">
        <f t="shared" si="31"/>
        <v>128</v>
      </c>
    </row>
    <row r="515" spans="4:5" x14ac:dyDescent="0.35">
      <c r="D515" s="30" t="str">
        <f t="shared" si="30"/>
        <v xml:space="preserve">Community Health Workers </v>
      </c>
      <c r="E515">
        <f t="shared" si="31"/>
        <v>146</v>
      </c>
    </row>
    <row r="516" spans="4:5" x14ac:dyDescent="0.35">
      <c r="D516" s="30" t="str">
        <f t="shared" si="30"/>
        <v>Dieticians and nutritionists</v>
      </c>
      <c r="E516">
        <f t="shared" si="31"/>
        <v>25</v>
      </c>
    </row>
    <row r="517" spans="4:5" x14ac:dyDescent="0.35">
      <c r="D517" s="30" t="str">
        <f t="shared" si="30"/>
        <v>Environmental and occupational health &amp; hygiene workers</v>
      </c>
      <c r="E517">
        <f t="shared" si="31"/>
        <v>134</v>
      </c>
    </row>
    <row r="518" spans="4:5" x14ac:dyDescent="0.35">
      <c r="D518" s="30" t="str">
        <f t="shared" si="30"/>
        <v>Personal care workers in health service</v>
      </c>
      <c r="E518">
        <f t="shared" si="31"/>
        <v>0</v>
      </c>
    </row>
    <row r="519" spans="4:5" x14ac:dyDescent="0.35">
      <c r="D519" s="30" t="str">
        <f t="shared" si="30"/>
        <v xml:space="preserve">Managerial staff </v>
      </c>
      <c r="E519">
        <f t="shared" si="31"/>
        <v>0</v>
      </c>
    </row>
    <row r="520" spans="4:5" x14ac:dyDescent="0.35">
      <c r="D520" s="30" t="str">
        <f t="shared" si="30"/>
        <v xml:space="preserve">Medical and dental Prosthetic Technicians </v>
      </c>
      <c r="E520">
        <f t="shared" si="31"/>
        <v>0</v>
      </c>
    </row>
    <row r="521" spans="4:5" x14ac:dyDescent="0.35">
      <c r="D521" s="30" t="str">
        <f t="shared" si="30"/>
        <v xml:space="preserve">Medical and Pathology Laboratory scientists </v>
      </c>
      <c r="E521">
        <f t="shared" si="31"/>
        <v>0</v>
      </c>
    </row>
    <row r="522" spans="4:5" x14ac:dyDescent="0.35">
      <c r="D522" s="30" t="str">
        <f t="shared" si="30"/>
        <v xml:space="preserve">Medical Assistants </v>
      </c>
      <c r="E522">
        <f t="shared" si="31"/>
        <v>282</v>
      </c>
    </row>
    <row r="523" spans="4:5" x14ac:dyDescent="0.35">
      <c r="D523" s="30" t="str">
        <f t="shared" si="30"/>
        <v xml:space="preserve">Medical Imaging and Therapeutic Equipment Technicians </v>
      </c>
      <c r="E523">
        <f t="shared" si="31"/>
        <v>0</v>
      </c>
    </row>
    <row r="524" spans="4:5" x14ac:dyDescent="0.35">
      <c r="D524" s="30" t="str">
        <f t="shared" si="30"/>
        <v xml:space="preserve">Medical Records and Health Information Technicians </v>
      </c>
      <c r="E524">
        <f t="shared" si="31"/>
        <v>0</v>
      </c>
    </row>
    <row r="525" spans="4:5" x14ac:dyDescent="0.35">
      <c r="D525" s="30" t="str">
        <f t="shared" si="30"/>
        <v xml:space="preserve">Optometrists and Ophthalmic Opticians </v>
      </c>
      <c r="E525">
        <f t="shared" si="31"/>
        <v>0</v>
      </c>
    </row>
    <row r="526" spans="4:5" x14ac:dyDescent="0.35">
      <c r="D526" s="30" t="str">
        <f t="shared" si="30"/>
        <v xml:space="preserve">Other non-medical professional staff </v>
      </c>
      <c r="E526">
        <f t="shared" si="31"/>
        <v>0</v>
      </c>
    </row>
    <row r="527" spans="4:5" x14ac:dyDescent="0.35">
      <c r="D527" s="30" t="str">
        <f t="shared" si="30"/>
        <v xml:space="preserve">Other non-medical support staff </v>
      </c>
      <c r="E527">
        <f t="shared" si="31"/>
        <v>0</v>
      </c>
    </row>
    <row r="528" spans="4:5" x14ac:dyDescent="0.35">
      <c r="D528" s="30" t="str">
        <f t="shared" si="30"/>
        <v xml:space="preserve">Medical and Pathology Laboratory Technicians </v>
      </c>
      <c r="E528">
        <f t="shared" si="31"/>
        <v>228</v>
      </c>
    </row>
    <row r="529" spans="2:5" x14ac:dyDescent="0.35">
      <c r="D529" s="30" t="str">
        <f t="shared" si="30"/>
        <v xml:space="preserve">Paramedical Practitioners </v>
      </c>
      <c r="E529">
        <f t="shared" si="31"/>
        <v>101</v>
      </c>
    </row>
    <row r="530" spans="2:5" x14ac:dyDescent="0.35">
      <c r="D530" s="30" t="str">
        <f t="shared" si="30"/>
        <v>Physiotherapists and physiotherapy assistants</v>
      </c>
      <c r="E530">
        <f t="shared" si="31"/>
        <v>0</v>
      </c>
    </row>
    <row r="531" spans="2:5" x14ac:dyDescent="0.35">
      <c r="D531" s="30" t="str">
        <f t="shared" si="30"/>
        <v>Social workers</v>
      </c>
      <c r="E531">
        <f t="shared" si="31"/>
        <v>0</v>
      </c>
    </row>
    <row r="532" spans="2:5" x14ac:dyDescent="0.35">
      <c r="D532" s="30" t="str">
        <f t="shared" si="30"/>
        <v xml:space="preserve">Audiologists and Speech Therapists </v>
      </c>
      <c r="E532">
        <f t="shared" si="31"/>
        <v>0</v>
      </c>
    </row>
    <row r="533" spans="2:5" x14ac:dyDescent="0.35">
      <c r="D533" s="30" t="str">
        <f t="shared" si="30"/>
        <v>Traditional and complementary medicine practitioners</v>
      </c>
      <c r="E533">
        <f t="shared" si="31"/>
        <v>0</v>
      </c>
    </row>
    <row r="534" spans="2:5" x14ac:dyDescent="0.35">
      <c r="B534" t="str">
        <f>W1</f>
        <v>KEN</v>
      </c>
      <c r="C534">
        <f>W2</f>
        <v>54027486.999999985</v>
      </c>
      <c r="D534" s="29" t="str">
        <f t="shared" si="30"/>
        <v>Medical Doctors</v>
      </c>
      <c r="E534">
        <f t="shared" ref="E534:E557" si="32">W3</f>
        <v>13340</v>
      </c>
    </row>
    <row r="535" spans="2:5" x14ac:dyDescent="0.35">
      <c r="D535" s="30" t="str">
        <f t="shared" si="30"/>
        <v>Nursing Personnel</v>
      </c>
      <c r="E535">
        <f t="shared" si="32"/>
        <v>69268</v>
      </c>
    </row>
    <row r="536" spans="2:5" x14ac:dyDescent="0.35">
      <c r="D536" s="30" t="str">
        <f t="shared" si="30"/>
        <v>Midwifery personnel</v>
      </c>
      <c r="E536">
        <f t="shared" si="32"/>
        <v>274</v>
      </c>
    </row>
    <row r="537" spans="2:5" x14ac:dyDescent="0.35">
      <c r="D537" s="30" t="str">
        <f t="shared" si="30"/>
        <v>Pharmacists</v>
      </c>
      <c r="E537">
        <f t="shared" si="32"/>
        <v>0</v>
      </c>
    </row>
    <row r="538" spans="2:5" x14ac:dyDescent="0.35">
      <c r="D538" s="30" t="str">
        <f t="shared" si="30"/>
        <v>Dentists</v>
      </c>
      <c r="E538">
        <f t="shared" si="32"/>
        <v>0</v>
      </c>
    </row>
    <row r="539" spans="2:5" x14ac:dyDescent="0.35">
      <c r="D539" s="30" t="str">
        <f t="shared" si="30"/>
        <v xml:space="preserve">Community Health Workers </v>
      </c>
      <c r="E539">
        <f t="shared" si="32"/>
        <v>86423</v>
      </c>
    </row>
    <row r="540" spans="2:5" x14ac:dyDescent="0.35">
      <c r="D540" s="30" t="str">
        <f t="shared" si="30"/>
        <v>Dieticians and nutritionists</v>
      </c>
      <c r="E540">
        <f t="shared" si="32"/>
        <v>0</v>
      </c>
    </row>
    <row r="541" spans="2:5" x14ac:dyDescent="0.35">
      <c r="D541" s="30" t="str">
        <f t="shared" si="30"/>
        <v>Environmental and occupational health &amp; hygiene workers</v>
      </c>
      <c r="E541">
        <f t="shared" si="32"/>
        <v>0</v>
      </c>
    </row>
    <row r="542" spans="2:5" x14ac:dyDescent="0.35">
      <c r="D542" s="30" t="str">
        <f t="shared" si="30"/>
        <v>Personal care workers in health service</v>
      </c>
      <c r="E542">
        <f t="shared" si="32"/>
        <v>0</v>
      </c>
    </row>
    <row r="543" spans="2:5" x14ac:dyDescent="0.35">
      <c r="D543" s="30" t="str">
        <f t="shared" si="30"/>
        <v xml:space="preserve">Managerial staff </v>
      </c>
      <c r="E543">
        <f t="shared" si="32"/>
        <v>0</v>
      </c>
    </row>
    <row r="544" spans="2:5" x14ac:dyDescent="0.35">
      <c r="D544" s="30" t="str">
        <f t="shared" si="30"/>
        <v xml:space="preserve">Medical and dental Prosthetic Technicians </v>
      </c>
      <c r="E544">
        <f t="shared" si="32"/>
        <v>181</v>
      </c>
    </row>
    <row r="545" spans="2:5" x14ac:dyDescent="0.35">
      <c r="D545" s="30" t="str">
        <f t="shared" si="30"/>
        <v xml:space="preserve">Medical and Pathology Laboratory scientists </v>
      </c>
      <c r="E545">
        <f t="shared" si="32"/>
        <v>4663</v>
      </c>
    </row>
    <row r="546" spans="2:5" x14ac:dyDescent="0.35">
      <c r="D546" s="30" t="str">
        <f t="shared" si="30"/>
        <v xml:space="preserve">Medical Assistants </v>
      </c>
      <c r="E546">
        <f t="shared" si="32"/>
        <v>0</v>
      </c>
    </row>
    <row r="547" spans="2:5" x14ac:dyDescent="0.35">
      <c r="D547" s="30" t="str">
        <f t="shared" si="30"/>
        <v xml:space="preserve">Medical Imaging and Therapeutic Equipment Technicians </v>
      </c>
      <c r="E547">
        <f t="shared" si="32"/>
        <v>0</v>
      </c>
    </row>
    <row r="548" spans="2:5" x14ac:dyDescent="0.35">
      <c r="D548" s="30" t="str">
        <f t="shared" si="30"/>
        <v xml:space="preserve">Medical Records and Health Information Technicians </v>
      </c>
      <c r="E548">
        <f t="shared" si="32"/>
        <v>0</v>
      </c>
    </row>
    <row r="549" spans="2:5" x14ac:dyDescent="0.35">
      <c r="D549" s="30" t="str">
        <f t="shared" si="30"/>
        <v xml:space="preserve">Optometrists and Ophthalmic Opticians </v>
      </c>
      <c r="E549">
        <f t="shared" si="32"/>
        <v>0</v>
      </c>
    </row>
    <row r="550" spans="2:5" x14ac:dyDescent="0.35">
      <c r="D550" s="30" t="str">
        <f t="shared" si="30"/>
        <v xml:space="preserve">Other non-medical professional staff </v>
      </c>
      <c r="E550">
        <f t="shared" si="32"/>
        <v>0</v>
      </c>
    </row>
    <row r="551" spans="2:5" x14ac:dyDescent="0.35">
      <c r="D551" s="30" t="str">
        <f t="shared" si="30"/>
        <v xml:space="preserve">Other non-medical support staff </v>
      </c>
      <c r="E551">
        <f t="shared" si="32"/>
        <v>0</v>
      </c>
    </row>
    <row r="552" spans="2:5" x14ac:dyDescent="0.35">
      <c r="D552" s="30" t="str">
        <f t="shared" si="30"/>
        <v xml:space="preserve">Medical and Pathology Laboratory Technicians </v>
      </c>
      <c r="E552">
        <f t="shared" si="32"/>
        <v>636</v>
      </c>
    </row>
    <row r="553" spans="2:5" x14ac:dyDescent="0.35">
      <c r="D553" s="30" t="str">
        <f t="shared" si="30"/>
        <v xml:space="preserve">Paramedical Practitioners </v>
      </c>
      <c r="E553">
        <f t="shared" si="32"/>
        <v>8639</v>
      </c>
    </row>
    <row r="554" spans="2:5" x14ac:dyDescent="0.35">
      <c r="D554" s="30" t="str">
        <f t="shared" si="30"/>
        <v>Physiotherapists and physiotherapy assistants</v>
      </c>
      <c r="E554">
        <f t="shared" si="32"/>
        <v>631</v>
      </c>
    </row>
    <row r="555" spans="2:5" x14ac:dyDescent="0.35">
      <c r="D555" s="30" t="str">
        <f t="shared" si="30"/>
        <v>Social workers</v>
      </c>
      <c r="E555">
        <f t="shared" si="32"/>
        <v>642</v>
      </c>
    </row>
    <row r="556" spans="2:5" x14ac:dyDescent="0.35">
      <c r="D556" s="30" t="str">
        <f t="shared" si="30"/>
        <v xml:space="preserve">Audiologists and Speech Therapists </v>
      </c>
      <c r="E556">
        <f t="shared" si="32"/>
        <v>0</v>
      </c>
    </row>
    <row r="557" spans="2:5" x14ac:dyDescent="0.35">
      <c r="D557" s="30" t="str">
        <f t="shared" si="30"/>
        <v>Traditional and complementary medicine practitioners</v>
      </c>
      <c r="E557">
        <f t="shared" si="32"/>
        <v>0</v>
      </c>
    </row>
    <row r="558" spans="2:5" x14ac:dyDescent="0.35">
      <c r="B558" t="str">
        <f>X1</f>
        <v>LBR</v>
      </c>
      <c r="C558">
        <f>X2</f>
        <v>5302681.0000000028</v>
      </c>
      <c r="D558" s="29" t="str">
        <f t="shared" ref="D558:D621" si="33">D534</f>
        <v>Medical Doctors</v>
      </c>
      <c r="E558">
        <f t="shared" ref="E558:E581" si="34">X3</f>
        <v>2025</v>
      </c>
    </row>
    <row r="559" spans="2:5" x14ac:dyDescent="0.35">
      <c r="D559" s="30" t="str">
        <f t="shared" si="33"/>
        <v>Nursing Personnel</v>
      </c>
      <c r="E559">
        <f t="shared" si="34"/>
        <v>6880</v>
      </c>
    </row>
    <row r="560" spans="2:5" x14ac:dyDescent="0.35">
      <c r="D560" s="30" t="str">
        <f t="shared" si="33"/>
        <v>Midwifery personnel</v>
      </c>
      <c r="E560">
        <f t="shared" si="34"/>
        <v>1538</v>
      </c>
    </row>
    <row r="561" spans="4:5" x14ac:dyDescent="0.35">
      <c r="D561" s="30" t="str">
        <f t="shared" si="33"/>
        <v>Pharmacists</v>
      </c>
      <c r="E561">
        <f t="shared" si="34"/>
        <v>404</v>
      </c>
    </row>
    <row r="562" spans="4:5" x14ac:dyDescent="0.35">
      <c r="D562" s="30" t="str">
        <f t="shared" si="33"/>
        <v>Dentists</v>
      </c>
      <c r="E562">
        <f t="shared" si="34"/>
        <v>147</v>
      </c>
    </row>
    <row r="563" spans="4:5" x14ac:dyDescent="0.35">
      <c r="D563" s="30" t="str">
        <f t="shared" si="33"/>
        <v xml:space="preserve">Community Health Workers </v>
      </c>
      <c r="E563">
        <f t="shared" si="34"/>
        <v>0</v>
      </c>
    </row>
    <row r="564" spans="4:5" x14ac:dyDescent="0.35">
      <c r="D564" s="30" t="str">
        <f t="shared" si="33"/>
        <v>Dieticians and nutritionists</v>
      </c>
      <c r="E564">
        <f t="shared" si="34"/>
        <v>0</v>
      </c>
    </row>
    <row r="565" spans="4:5" x14ac:dyDescent="0.35">
      <c r="D565" s="30" t="str">
        <f t="shared" si="33"/>
        <v>Environmental and occupational health &amp; hygiene workers</v>
      </c>
      <c r="E565">
        <f t="shared" si="34"/>
        <v>0</v>
      </c>
    </row>
    <row r="566" spans="4:5" x14ac:dyDescent="0.35">
      <c r="D566" s="30" t="str">
        <f t="shared" si="33"/>
        <v>Personal care workers in health service</v>
      </c>
      <c r="E566">
        <f t="shared" si="34"/>
        <v>0</v>
      </c>
    </row>
    <row r="567" spans="4:5" x14ac:dyDescent="0.35">
      <c r="D567" s="30" t="str">
        <f t="shared" si="33"/>
        <v xml:space="preserve">Managerial staff </v>
      </c>
      <c r="E567">
        <f t="shared" si="34"/>
        <v>0</v>
      </c>
    </row>
    <row r="568" spans="4:5" x14ac:dyDescent="0.35">
      <c r="D568" s="30" t="str">
        <f t="shared" si="33"/>
        <v xml:space="preserve">Medical and dental Prosthetic Technicians </v>
      </c>
      <c r="E568">
        <f t="shared" si="34"/>
        <v>0</v>
      </c>
    </row>
    <row r="569" spans="4:5" x14ac:dyDescent="0.35">
      <c r="D569" s="30" t="str">
        <f t="shared" si="33"/>
        <v xml:space="preserve">Medical and Pathology Laboratory scientists </v>
      </c>
      <c r="E569">
        <f t="shared" si="34"/>
        <v>0</v>
      </c>
    </row>
    <row r="570" spans="4:5" x14ac:dyDescent="0.35">
      <c r="D570" s="30" t="str">
        <f t="shared" si="33"/>
        <v xml:space="preserve">Medical Assistants </v>
      </c>
      <c r="E570">
        <f t="shared" si="34"/>
        <v>0</v>
      </c>
    </row>
    <row r="571" spans="4:5" x14ac:dyDescent="0.35">
      <c r="D571" s="30" t="str">
        <f t="shared" si="33"/>
        <v xml:space="preserve">Medical Imaging and Therapeutic Equipment Technicians </v>
      </c>
      <c r="E571">
        <f t="shared" si="34"/>
        <v>0</v>
      </c>
    </row>
    <row r="572" spans="4:5" x14ac:dyDescent="0.35">
      <c r="D572" s="30" t="str">
        <f t="shared" si="33"/>
        <v xml:space="preserve">Medical Records and Health Information Technicians </v>
      </c>
      <c r="E572">
        <f t="shared" si="34"/>
        <v>0</v>
      </c>
    </row>
    <row r="573" spans="4:5" x14ac:dyDescent="0.35">
      <c r="D573" s="30" t="str">
        <f t="shared" si="33"/>
        <v xml:space="preserve">Optometrists and Ophthalmic Opticians </v>
      </c>
      <c r="E573">
        <f t="shared" si="34"/>
        <v>0</v>
      </c>
    </row>
    <row r="574" spans="4:5" x14ac:dyDescent="0.35">
      <c r="D574" s="30" t="str">
        <f t="shared" si="33"/>
        <v xml:space="preserve">Other non-medical professional staff </v>
      </c>
      <c r="E574">
        <f t="shared" si="34"/>
        <v>0</v>
      </c>
    </row>
    <row r="575" spans="4:5" x14ac:dyDescent="0.35">
      <c r="D575" s="30" t="str">
        <f t="shared" si="33"/>
        <v xml:space="preserve">Other non-medical support staff </v>
      </c>
      <c r="E575">
        <f t="shared" si="34"/>
        <v>0</v>
      </c>
    </row>
    <row r="576" spans="4:5" x14ac:dyDescent="0.35">
      <c r="D576" s="30" t="str">
        <f t="shared" si="33"/>
        <v xml:space="preserve">Medical and Pathology Laboratory Technicians </v>
      </c>
      <c r="E576">
        <f t="shared" si="34"/>
        <v>0</v>
      </c>
    </row>
    <row r="577" spans="2:5" x14ac:dyDescent="0.35">
      <c r="D577" s="30" t="str">
        <f t="shared" si="33"/>
        <v xml:space="preserve">Paramedical Practitioners </v>
      </c>
      <c r="E577">
        <f t="shared" si="34"/>
        <v>0</v>
      </c>
    </row>
    <row r="578" spans="2:5" x14ac:dyDescent="0.35">
      <c r="D578" s="30" t="str">
        <f t="shared" si="33"/>
        <v>Physiotherapists and physiotherapy assistants</v>
      </c>
      <c r="E578">
        <f t="shared" si="34"/>
        <v>0</v>
      </c>
    </row>
    <row r="579" spans="2:5" x14ac:dyDescent="0.35">
      <c r="D579" s="30" t="str">
        <f t="shared" si="33"/>
        <v>Social workers</v>
      </c>
      <c r="E579">
        <f t="shared" si="34"/>
        <v>0</v>
      </c>
    </row>
    <row r="580" spans="2:5" x14ac:dyDescent="0.35">
      <c r="D580" s="30" t="str">
        <f t="shared" si="33"/>
        <v xml:space="preserve">Audiologists and Speech Therapists </v>
      </c>
      <c r="E580">
        <f t="shared" si="34"/>
        <v>0</v>
      </c>
    </row>
    <row r="581" spans="2:5" x14ac:dyDescent="0.35">
      <c r="D581" s="30" t="str">
        <f t="shared" si="33"/>
        <v>Traditional and complementary medicine practitioners</v>
      </c>
      <c r="E581">
        <f t="shared" si="34"/>
        <v>0</v>
      </c>
    </row>
    <row r="582" spans="2:5" x14ac:dyDescent="0.35">
      <c r="B582" t="str">
        <f>Y1</f>
        <v>LSO</v>
      </c>
      <c r="C582">
        <f>Y2</f>
        <v>2305825.5000000019</v>
      </c>
      <c r="D582" s="29" t="str">
        <f t="shared" si="33"/>
        <v>Medical Doctors</v>
      </c>
      <c r="E582">
        <f t="shared" ref="E582:E605" si="35">Y3</f>
        <v>748</v>
      </c>
    </row>
    <row r="583" spans="2:5" x14ac:dyDescent="0.35">
      <c r="D583" s="30" t="str">
        <f t="shared" si="33"/>
        <v>Nursing Personnel</v>
      </c>
      <c r="E583">
        <f t="shared" si="35"/>
        <v>0</v>
      </c>
    </row>
    <row r="584" spans="2:5" x14ac:dyDescent="0.35">
      <c r="D584" s="30" t="str">
        <f t="shared" si="33"/>
        <v>Midwifery personnel</v>
      </c>
      <c r="E584">
        <f t="shared" si="35"/>
        <v>0</v>
      </c>
    </row>
    <row r="585" spans="2:5" x14ac:dyDescent="0.35">
      <c r="D585" s="30" t="str">
        <f t="shared" si="33"/>
        <v>Pharmacists</v>
      </c>
      <c r="E585">
        <f t="shared" si="35"/>
        <v>0</v>
      </c>
    </row>
    <row r="586" spans="2:5" x14ac:dyDescent="0.35">
      <c r="D586" s="30" t="str">
        <f t="shared" si="33"/>
        <v>Dentists</v>
      </c>
      <c r="E586">
        <f t="shared" si="35"/>
        <v>0</v>
      </c>
    </row>
    <row r="587" spans="2:5" x14ac:dyDescent="0.35">
      <c r="D587" s="30" t="str">
        <f t="shared" si="33"/>
        <v xml:space="preserve">Community Health Workers </v>
      </c>
      <c r="E587">
        <f t="shared" si="35"/>
        <v>9196</v>
      </c>
    </row>
    <row r="588" spans="2:5" x14ac:dyDescent="0.35">
      <c r="D588" s="30" t="str">
        <f t="shared" si="33"/>
        <v>Dieticians and nutritionists</v>
      </c>
      <c r="E588">
        <f t="shared" si="35"/>
        <v>0</v>
      </c>
    </row>
    <row r="589" spans="2:5" x14ac:dyDescent="0.35">
      <c r="D589" s="30" t="str">
        <f t="shared" si="33"/>
        <v>Environmental and occupational health &amp; hygiene workers</v>
      </c>
      <c r="E589">
        <f t="shared" si="35"/>
        <v>0</v>
      </c>
    </row>
    <row r="590" spans="2:5" x14ac:dyDescent="0.35">
      <c r="D590" s="30" t="str">
        <f t="shared" si="33"/>
        <v>Personal care workers in health service</v>
      </c>
      <c r="E590">
        <f t="shared" si="35"/>
        <v>0</v>
      </c>
    </row>
    <row r="591" spans="2:5" x14ac:dyDescent="0.35">
      <c r="D591" s="30" t="str">
        <f t="shared" si="33"/>
        <v xml:space="preserve">Managerial staff </v>
      </c>
      <c r="E591">
        <f t="shared" si="35"/>
        <v>33</v>
      </c>
    </row>
    <row r="592" spans="2:5" x14ac:dyDescent="0.35">
      <c r="D592" s="30" t="str">
        <f t="shared" si="33"/>
        <v xml:space="preserve">Medical and dental Prosthetic Technicians </v>
      </c>
      <c r="E592">
        <f t="shared" si="35"/>
        <v>5</v>
      </c>
    </row>
    <row r="593" spans="2:5" x14ac:dyDescent="0.35">
      <c r="D593" s="30" t="str">
        <f t="shared" si="33"/>
        <v xml:space="preserve">Medical and Pathology Laboratory scientists </v>
      </c>
      <c r="E593">
        <f t="shared" si="35"/>
        <v>0</v>
      </c>
    </row>
    <row r="594" spans="2:5" x14ac:dyDescent="0.35">
      <c r="D594" s="30" t="str">
        <f t="shared" si="33"/>
        <v xml:space="preserve">Medical Assistants </v>
      </c>
      <c r="E594">
        <f t="shared" si="35"/>
        <v>5</v>
      </c>
    </row>
    <row r="595" spans="2:5" x14ac:dyDescent="0.35">
      <c r="D595" s="30" t="str">
        <f t="shared" si="33"/>
        <v xml:space="preserve">Medical Imaging and Therapeutic Equipment Technicians </v>
      </c>
      <c r="E595">
        <f t="shared" si="35"/>
        <v>76</v>
      </c>
    </row>
    <row r="596" spans="2:5" x14ac:dyDescent="0.35">
      <c r="D596" s="30" t="str">
        <f t="shared" si="33"/>
        <v xml:space="preserve">Medical Records and Health Information Technicians </v>
      </c>
      <c r="E596">
        <f t="shared" si="35"/>
        <v>0</v>
      </c>
    </row>
    <row r="597" spans="2:5" x14ac:dyDescent="0.35">
      <c r="D597" s="30" t="str">
        <f t="shared" si="33"/>
        <v xml:space="preserve">Optometrists and Ophthalmic Opticians </v>
      </c>
      <c r="E597">
        <f t="shared" si="35"/>
        <v>3</v>
      </c>
    </row>
    <row r="598" spans="2:5" x14ac:dyDescent="0.35">
      <c r="D598" s="30" t="str">
        <f t="shared" si="33"/>
        <v xml:space="preserve">Other non-medical professional staff </v>
      </c>
      <c r="E598">
        <f t="shared" si="35"/>
        <v>620</v>
      </c>
    </row>
    <row r="599" spans="2:5" x14ac:dyDescent="0.35">
      <c r="D599" s="30" t="str">
        <f t="shared" si="33"/>
        <v xml:space="preserve">Other non-medical support staff </v>
      </c>
      <c r="E599">
        <f t="shared" si="35"/>
        <v>0</v>
      </c>
    </row>
    <row r="600" spans="2:5" x14ac:dyDescent="0.35">
      <c r="D600" s="30" t="str">
        <f t="shared" si="33"/>
        <v xml:space="preserve">Medical and Pathology Laboratory Technicians </v>
      </c>
      <c r="E600">
        <f t="shared" si="35"/>
        <v>28</v>
      </c>
    </row>
    <row r="601" spans="2:5" x14ac:dyDescent="0.35">
      <c r="D601" s="30" t="str">
        <f t="shared" si="33"/>
        <v xml:space="preserve">Paramedical Practitioners </v>
      </c>
      <c r="E601">
        <f t="shared" si="35"/>
        <v>2</v>
      </c>
    </row>
    <row r="602" spans="2:5" x14ac:dyDescent="0.35">
      <c r="D602" s="30" t="str">
        <f t="shared" si="33"/>
        <v>Physiotherapists and physiotherapy assistants</v>
      </c>
      <c r="E602">
        <f t="shared" si="35"/>
        <v>7</v>
      </c>
    </row>
    <row r="603" spans="2:5" x14ac:dyDescent="0.35">
      <c r="D603" s="30" t="str">
        <f t="shared" si="33"/>
        <v>Social workers</v>
      </c>
      <c r="E603">
        <f t="shared" si="35"/>
        <v>0</v>
      </c>
    </row>
    <row r="604" spans="2:5" x14ac:dyDescent="0.35">
      <c r="D604" s="30" t="str">
        <f t="shared" si="33"/>
        <v xml:space="preserve">Audiologists and Speech Therapists </v>
      </c>
      <c r="E604">
        <f t="shared" si="35"/>
        <v>0</v>
      </c>
    </row>
    <row r="605" spans="2:5" x14ac:dyDescent="0.35">
      <c r="D605" s="30" t="str">
        <f t="shared" si="33"/>
        <v>Traditional and complementary medicine practitioners</v>
      </c>
      <c r="E605">
        <f t="shared" si="35"/>
        <v>0</v>
      </c>
    </row>
    <row r="606" spans="2:5" x14ac:dyDescent="0.35">
      <c r="B606" t="str">
        <f>Z1</f>
        <v>MDG</v>
      </c>
      <c r="C606">
        <f>Z2</f>
        <v>29611714.000000004</v>
      </c>
      <c r="D606" s="29" t="str">
        <f t="shared" si="33"/>
        <v>Medical Doctors</v>
      </c>
      <c r="E606">
        <f t="shared" ref="E606:E629" si="36">Z3</f>
        <v>0</v>
      </c>
    </row>
    <row r="607" spans="2:5" x14ac:dyDescent="0.35">
      <c r="D607" s="30" t="str">
        <f t="shared" si="33"/>
        <v>Nursing Personnel</v>
      </c>
      <c r="E607">
        <f t="shared" si="36"/>
        <v>0</v>
      </c>
    </row>
    <row r="608" spans="2:5" x14ac:dyDescent="0.35">
      <c r="D608" s="30" t="str">
        <f t="shared" si="33"/>
        <v>Midwifery personnel</v>
      </c>
      <c r="E608">
        <f t="shared" si="36"/>
        <v>0</v>
      </c>
    </row>
    <row r="609" spans="4:5" x14ac:dyDescent="0.35">
      <c r="D609" s="30" t="str">
        <f t="shared" si="33"/>
        <v>Pharmacists</v>
      </c>
      <c r="E609">
        <f t="shared" si="36"/>
        <v>0</v>
      </c>
    </row>
    <row r="610" spans="4:5" x14ac:dyDescent="0.35">
      <c r="D610" s="30" t="str">
        <f t="shared" si="33"/>
        <v>Dentists</v>
      </c>
      <c r="E610">
        <f t="shared" si="36"/>
        <v>0</v>
      </c>
    </row>
    <row r="611" spans="4:5" x14ac:dyDescent="0.35">
      <c r="D611" s="30" t="str">
        <f t="shared" si="33"/>
        <v xml:space="preserve">Community Health Workers </v>
      </c>
      <c r="E611">
        <f t="shared" si="36"/>
        <v>0</v>
      </c>
    </row>
    <row r="612" spans="4:5" x14ac:dyDescent="0.35">
      <c r="D612" s="30" t="str">
        <f t="shared" si="33"/>
        <v>Dieticians and nutritionists</v>
      </c>
      <c r="E612">
        <f t="shared" si="36"/>
        <v>0</v>
      </c>
    </row>
    <row r="613" spans="4:5" x14ac:dyDescent="0.35">
      <c r="D613" s="30" t="str">
        <f t="shared" si="33"/>
        <v>Environmental and occupational health &amp; hygiene workers</v>
      </c>
      <c r="E613">
        <f t="shared" si="36"/>
        <v>0</v>
      </c>
    </row>
    <row r="614" spans="4:5" x14ac:dyDescent="0.35">
      <c r="D614" s="30" t="str">
        <f t="shared" si="33"/>
        <v>Personal care workers in health service</v>
      </c>
      <c r="E614">
        <f t="shared" si="36"/>
        <v>0</v>
      </c>
    </row>
    <row r="615" spans="4:5" x14ac:dyDescent="0.35">
      <c r="D615" s="30" t="str">
        <f t="shared" si="33"/>
        <v xml:space="preserve">Managerial staff </v>
      </c>
      <c r="E615">
        <f t="shared" si="36"/>
        <v>0</v>
      </c>
    </row>
    <row r="616" spans="4:5" x14ac:dyDescent="0.35">
      <c r="D616" s="30" t="str">
        <f t="shared" si="33"/>
        <v xml:space="preserve">Medical and dental Prosthetic Technicians </v>
      </c>
      <c r="E616">
        <f t="shared" si="36"/>
        <v>0</v>
      </c>
    </row>
    <row r="617" spans="4:5" x14ac:dyDescent="0.35">
      <c r="D617" s="30" t="str">
        <f t="shared" si="33"/>
        <v xml:space="preserve">Medical and Pathology Laboratory scientists </v>
      </c>
      <c r="E617">
        <f t="shared" si="36"/>
        <v>0</v>
      </c>
    </row>
    <row r="618" spans="4:5" x14ac:dyDescent="0.35">
      <c r="D618" s="30" t="str">
        <f t="shared" si="33"/>
        <v xml:space="preserve">Medical Assistants </v>
      </c>
      <c r="E618">
        <f t="shared" si="36"/>
        <v>0</v>
      </c>
    </row>
    <row r="619" spans="4:5" x14ac:dyDescent="0.35">
      <c r="D619" s="30" t="str">
        <f t="shared" si="33"/>
        <v xml:space="preserve">Medical Imaging and Therapeutic Equipment Technicians </v>
      </c>
      <c r="E619">
        <f t="shared" si="36"/>
        <v>0</v>
      </c>
    </row>
    <row r="620" spans="4:5" x14ac:dyDescent="0.35">
      <c r="D620" s="30" t="str">
        <f t="shared" si="33"/>
        <v xml:space="preserve">Medical Records and Health Information Technicians </v>
      </c>
      <c r="E620">
        <f t="shared" si="36"/>
        <v>0</v>
      </c>
    </row>
    <row r="621" spans="4:5" x14ac:dyDescent="0.35">
      <c r="D621" s="30" t="str">
        <f t="shared" si="33"/>
        <v xml:space="preserve">Optometrists and Ophthalmic Opticians </v>
      </c>
      <c r="E621">
        <f t="shared" si="36"/>
        <v>0</v>
      </c>
    </row>
    <row r="622" spans="4:5" x14ac:dyDescent="0.35">
      <c r="D622" s="30" t="str">
        <f t="shared" ref="D622:D685" si="37">D598</f>
        <v xml:space="preserve">Other non-medical professional staff </v>
      </c>
      <c r="E622">
        <f t="shared" si="36"/>
        <v>0</v>
      </c>
    </row>
    <row r="623" spans="4:5" x14ac:dyDescent="0.35">
      <c r="D623" s="30" t="str">
        <f t="shared" si="37"/>
        <v xml:space="preserve">Other non-medical support staff </v>
      </c>
      <c r="E623">
        <f t="shared" si="36"/>
        <v>0</v>
      </c>
    </row>
    <row r="624" spans="4:5" x14ac:dyDescent="0.35">
      <c r="D624" s="30" t="str">
        <f t="shared" si="37"/>
        <v xml:space="preserve">Medical and Pathology Laboratory Technicians </v>
      </c>
      <c r="E624">
        <f t="shared" si="36"/>
        <v>0</v>
      </c>
    </row>
    <row r="625" spans="2:5" x14ac:dyDescent="0.35">
      <c r="D625" s="30" t="str">
        <f t="shared" si="37"/>
        <v xml:space="preserve">Paramedical Practitioners </v>
      </c>
      <c r="E625">
        <f t="shared" si="36"/>
        <v>0</v>
      </c>
    </row>
    <row r="626" spans="2:5" x14ac:dyDescent="0.35">
      <c r="D626" s="30" t="str">
        <f t="shared" si="37"/>
        <v>Physiotherapists and physiotherapy assistants</v>
      </c>
      <c r="E626">
        <f t="shared" si="36"/>
        <v>0</v>
      </c>
    </row>
    <row r="627" spans="2:5" x14ac:dyDescent="0.35">
      <c r="D627" s="30" t="str">
        <f t="shared" si="37"/>
        <v>Social workers</v>
      </c>
      <c r="E627">
        <f t="shared" si="36"/>
        <v>0</v>
      </c>
    </row>
    <row r="628" spans="2:5" x14ac:dyDescent="0.35">
      <c r="D628" s="30" t="str">
        <f t="shared" si="37"/>
        <v xml:space="preserve">Audiologists and Speech Therapists </v>
      </c>
      <c r="E628">
        <f t="shared" si="36"/>
        <v>0</v>
      </c>
    </row>
    <row r="629" spans="2:5" x14ac:dyDescent="0.35">
      <c r="D629" s="30" t="str">
        <f t="shared" si="37"/>
        <v>Traditional and complementary medicine practitioners</v>
      </c>
      <c r="E629">
        <f t="shared" si="36"/>
        <v>0</v>
      </c>
    </row>
    <row r="630" spans="2:5" x14ac:dyDescent="0.35">
      <c r="B630" t="str">
        <f>AA1</f>
        <v>MLI</v>
      </c>
      <c r="C630">
        <f>AA2</f>
        <v>22593590.500000022</v>
      </c>
      <c r="D630" s="29" t="str">
        <f t="shared" si="37"/>
        <v>Medical Doctors</v>
      </c>
      <c r="E630">
        <f t="shared" ref="E630:E653" si="38">AA3</f>
        <v>8998</v>
      </c>
    </row>
    <row r="631" spans="2:5" x14ac:dyDescent="0.35">
      <c r="D631" s="30" t="str">
        <f t="shared" si="37"/>
        <v>Nursing Personnel</v>
      </c>
      <c r="E631">
        <f t="shared" si="38"/>
        <v>12654</v>
      </c>
    </row>
    <row r="632" spans="2:5" x14ac:dyDescent="0.35">
      <c r="D632" s="30" t="str">
        <f t="shared" si="37"/>
        <v>Midwifery personnel</v>
      </c>
      <c r="E632">
        <f t="shared" si="38"/>
        <v>3258</v>
      </c>
    </row>
    <row r="633" spans="2:5" x14ac:dyDescent="0.35">
      <c r="D633" s="30" t="str">
        <f t="shared" si="37"/>
        <v>Pharmacists</v>
      </c>
      <c r="E633">
        <f t="shared" si="38"/>
        <v>36980</v>
      </c>
    </row>
    <row r="634" spans="2:5" x14ac:dyDescent="0.35">
      <c r="D634" s="30" t="str">
        <f t="shared" si="37"/>
        <v>Dentists</v>
      </c>
      <c r="E634">
        <f t="shared" si="38"/>
        <v>11642</v>
      </c>
    </row>
    <row r="635" spans="2:5" x14ac:dyDescent="0.35">
      <c r="D635" s="30" t="str">
        <f t="shared" si="37"/>
        <v xml:space="preserve">Community Health Workers </v>
      </c>
      <c r="E635">
        <f t="shared" si="38"/>
        <v>0</v>
      </c>
    </row>
    <row r="636" spans="2:5" x14ac:dyDescent="0.35">
      <c r="D636" s="30" t="str">
        <f t="shared" si="37"/>
        <v>Dieticians and nutritionists</v>
      </c>
      <c r="E636">
        <f t="shared" si="38"/>
        <v>3342</v>
      </c>
    </row>
    <row r="637" spans="2:5" x14ac:dyDescent="0.35">
      <c r="D637" s="30" t="str">
        <f t="shared" si="37"/>
        <v>Environmental and occupational health &amp; hygiene workers</v>
      </c>
      <c r="E637">
        <f t="shared" si="38"/>
        <v>3642</v>
      </c>
    </row>
    <row r="638" spans="2:5" x14ac:dyDescent="0.35">
      <c r="D638" s="30" t="str">
        <f t="shared" si="37"/>
        <v>Personal care workers in health service</v>
      </c>
      <c r="E638">
        <f t="shared" si="38"/>
        <v>0</v>
      </c>
    </row>
    <row r="639" spans="2:5" x14ac:dyDescent="0.35">
      <c r="D639" s="30" t="str">
        <f t="shared" si="37"/>
        <v xml:space="preserve">Managerial staff </v>
      </c>
      <c r="E639">
        <f t="shared" si="38"/>
        <v>0</v>
      </c>
    </row>
    <row r="640" spans="2:5" x14ac:dyDescent="0.35">
      <c r="D640" s="30" t="str">
        <f t="shared" si="37"/>
        <v xml:space="preserve">Medical and dental Prosthetic Technicians </v>
      </c>
      <c r="E640">
        <f t="shared" si="38"/>
        <v>0</v>
      </c>
    </row>
    <row r="641" spans="2:5" x14ac:dyDescent="0.35">
      <c r="D641" s="30" t="str">
        <f t="shared" si="37"/>
        <v xml:space="preserve">Medical and Pathology Laboratory scientists </v>
      </c>
      <c r="E641">
        <f t="shared" si="38"/>
        <v>0</v>
      </c>
    </row>
    <row r="642" spans="2:5" x14ac:dyDescent="0.35">
      <c r="D642" s="30" t="str">
        <f t="shared" si="37"/>
        <v xml:space="preserve">Medical Assistants </v>
      </c>
      <c r="E642">
        <f t="shared" si="38"/>
        <v>1481</v>
      </c>
    </row>
    <row r="643" spans="2:5" x14ac:dyDescent="0.35">
      <c r="D643" s="30" t="str">
        <f t="shared" si="37"/>
        <v xml:space="preserve">Medical Imaging and Therapeutic Equipment Technicians </v>
      </c>
      <c r="E643">
        <f t="shared" si="38"/>
        <v>0</v>
      </c>
    </row>
    <row r="644" spans="2:5" x14ac:dyDescent="0.35">
      <c r="D644" s="30" t="str">
        <f t="shared" si="37"/>
        <v xml:space="preserve">Medical Records and Health Information Technicians </v>
      </c>
      <c r="E644">
        <f t="shared" si="38"/>
        <v>0</v>
      </c>
    </row>
    <row r="645" spans="2:5" x14ac:dyDescent="0.35">
      <c r="D645" s="30" t="str">
        <f t="shared" si="37"/>
        <v xml:space="preserve">Optometrists and Ophthalmic Opticians </v>
      </c>
      <c r="E645">
        <f t="shared" si="38"/>
        <v>0</v>
      </c>
    </row>
    <row r="646" spans="2:5" x14ac:dyDescent="0.35">
      <c r="D646" s="30" t="str">
        <f t="shared" si="37"/>
        <v xml:space="preserve">Other non-medical professional staff </v>
      </c>
      <c r="E646">
        <f t="shared" si="38"/>
        <v>0</v>
      </c>
    </row>
    <row r="647" spans="2:5" x14ac:dyDescent="0.35">
      <c r="D647" s="30" t="str">
        <f t="shared" si="37"/>
        <v xml:space="preserve">Other non-medical support staff </v>
      </c>
      <c r="E647">
        <f t="shared" si="38"/>
        <v>0</v>
      </c>
    </row>
    <row r="648" spans="2:5" x14ac:dyDescent="0.35">
      <c r="D648" s="30" t="str">
        <f t="shared" si="37"/>
        <v xml:space="preserve">Medical and Pathology Laboratory Technicians </v>
      </c>
      <c r="E648">
        <f t="shared" si="38"/>
        <v>0</v>
      </c>
    </row>
    <row r="649" spans="2:5" x14ac:dyDescent="0.35">
      <c r="D649" s="30" t="str">
        <f t="shared" si="37"/>
        <v xml:space="preserve">Paramedical Practitioners </v>
      </c>
      <c r="E649">
        <f t="shared" si="38"/>
        <v>0</v>
      </c>
    </row>
    <row r="650" spans="2:5" x14ac:dyDescent="0.35">
      <c r="D650" s="30" t="str">
        <f t="shared" si="37"/>
        <v>Physiotherapists and physiotherapy assistants</v>
      </c>
      <c r="E650">
        <f t="shared" si="38"/>
        <v>0</v>
      </c>
    </row>
    <row r="651" spans="2:5" x14ac:dyDescent="0.35">
      <c r="D651" s="30" t="str">
        <f t="shared" si="37"/>
        <v>Social workers</v>
      </c>
      <c r="E651">
        <f t="shared" si="38"/>
        <v>0</v>
      </c>
    </row>
    <row r="652" spans="2:5" x14ac:dyDescent="0.35">
      <c r="D652" s="30" t="str">
        <f t="shared" si="37"/>
        <v xml:space="preserve">Audiologists and Speech Therapists </v>
      </c>
      <c r="E652">
        <f t="shared" si="38"/>
        <v>0</v>
      </c>
    </row>
    <row r="653" spans="2:5" x14ac:dyDescent="0.35">
      <c r="D653" s="30" t="str">
        <f t="shared" si="37"/>
        <v>Traditional and complementary medicine practitioners</v>
      </c>
      <c r="E653">
        <f t="shared" si="38"/>
        <v>0</v>
      </c>
    </row>
    <row r="654" spans="2:5" x14ac:dyDescent="0.35">
      <c r="B654" t="str">
        <f>AB1</f>
        <v>MOZ</v>
      </c>
      <c r="C654">
        <f>AB2</f>
        <v>32969518.500000007</v>
      </c>
      <c r="D654" s="32" t="str">
        <f t="shared" si="37"/>
        <v>Medical Doctors</v>
      </c>
      <c r="E654">
        <f t="shared" ref="E654:E677" si="39">AB3</f>
        <v>6140</v>
      </c>
    </row>
    <row r="655" spans="2:5" x14ac:dyDescent="0.35">
      <c r="D655" s="30" t="str">
        <f t="shared" si="37"/>
        <v>Nursing Personnel</v>
      </c>
      <c r="E655">
        <f t="shared" si="39"/>
        <v>19550</v>
      </c>
    </row>
    <row r="656" spans="2:5" x14ac:dyDescent="0.35">
      <c r="D656" s="30" t="str">
        <f t="shared" si="37"/>
        <v>Midwifery personnel</v>
      </c>
      <c r="E656">
        <f t="shared" si="39"/>
        <v>14240</v>
      </c>
    </row>
    <row r="657" spans="4:5" x14ac:dyDescent="0.35">
      <c r="D657" s="30" t="str">
        <f t="shared" si="37"/>
        <v>Pharmacists</v>
      </c>
      <c r="E657">
        <f t="shared" si="39"/>
        <v>0</v>
      </c>
    </row>
    <row r="658" spans="4:5" x14ac:dyDescent="0.35">
      <c r="D658" s="30" t="str">
        <f t="shared" si="37"/>
        <v>Dentists</v>
      </c>
      <c r="E658">
        <f t="shared" si="39"/>
        <v>0</v>
      </c>
    </row>
    <row r="659" spans="4:5" x14ac:dyDescent="0.35">
      <c r="D659" s="30" t="str">
        <f t="shared" si="37"/>
        <v xml:space="preserve">Community Health Workers </v>
      </c>
      <c r="E659">
        <f t="shared" si="39"/>
        <v>6992</v>
      </c>
    </row>
    <row r="660" spans="4:5" x14ac:dyDescent="0.35">
      <c r="D660" s="30" t="str">
        <f t="shared" si="37"/>
        <v>Dieticians and nutritionists</v>
      </c>
      <c r="E660">
        <f t="shared" si="39"/>
        <v>0</v>
      </c>
    </row>
    <row r="661" spans="4:5" x14ac:dyDescent="0.35">
      <c r="D661" s="30" t="str">
        <f t="shared" si="37"/>
        <v>Environmental and occupational health &amp; hygiene workers</v>
      </c>
      <c r="E661">
        <f t="shared" si="39"/>
        <v>0</v>
      </c>
    </row>
    <row r="662" spans="4:5" x14ac:dyDescent="0.35">
      <c r="D662" s="30" t="str">
        <f t="shared" si="37"/>
        <v>Personal care workers in health service</v>
      </c>
      <c r="E662">
        <f t="shared" si="39"/>
        <v>0</v>
      </c>
    </row>
    <row r="663" spans="4:5" x14ac:dyDescent="0.35">
      <c r="D663" s="30" t="str">
        <f t="shared" si="37"/>
        <v xml:space="preserve">Managerial staff </v>
      </c>
      <c r="E663">
        <f t="shared" si="39"/>
        <v>3337</v>
      </c>
    </row>
    <row r="664" spans="4:5" x14ac:dyDescent="0.35">
      <c r="D664" s="30" t="str">
        <f t="shared" si="37"/>
        <v xml:space="preserve">Medical and dental Prosthetic Technicians </v>
      </c>
      <c r="E664">
        <f t="shared" si="39"/>
        <v>72</v>
      </c>
    </row>
    <row r="665" spans="4:5" x14ac:dyDescent="0.35">
      <c r="D665" s="30" t="str">
        <f t="shared" si="37"/>
        <v xml:space="preserve">Medical and Pathology Laboratory scientists </v>
      </c>
      <c r="E665">
        <f t="shared" si="39"/>
        <v>335</v>
      </c>
    </row>
    <row r="666" spans="4:5" x14ac:dyDescent="0.35">
      <c r="D666" s="30" t="str">
        <f t="shared" si="37"/>
        <v xml:space="preserve">Medical Assistants </v>
      </c>
      <c r="E666">
        <f t="shared" si="39"/>
        <v>0</v>
      </c>
    </row>
    <row r="667" spans="4:5" x14ac:dyDescent="0.35">
      <c r="D667" s="30" t="str">
        <f t="shared" si="37"/>
        <v xml:space="preserve">Medical Imaging and Therapeutic Equipment Technicians </v>
      </c>
      <c r="E667">
        <f t="shared" si="39"/>
        <v>276</v>
      </c>
    </row>
    <row r="668" spans="4:5" x14ac:dyDescent="0.35">
      <c r="D668" s="30" t="str">
        <f t="shared" si="37"/>
        <v xml:space="preserve">Medical Records and Health Information Technicians </v>
      </c>
      <c r="E668">
        <f t="shared" si="39"/>
        <v>172</v>
      </c>
    </row>
    <row r="669" spans="4:5" x14ac:dyDescent="0.35">
      <c r="D669" s="30" t="str">
        <f t="shared" si="37"/>
        <v xml:space="preserve">Optometrists and Ophthalmic Opticians </v>
      </c>
      <c r="E669">
        <f t="shared" si="39"/>
        <v>154</v>
      </c>
    </row>
    <row r="670" spans="4:5" x14ac:dyDescent="0.35">
      <c r="D670" s="30" t="str">
        <f t="shared" si="37"/>
        <v xml:space="preserve">Other non-medical professional staff </v>
      </c>
      <c r="E670">
        <f t="shared" si="39"/>
        <v>696</v>
      </c>
    </row>
    <row r="671" spans="4:5" x14ac:dyDescent="0.35">
      <c r="D671" s="30" t="str">
        <f t="shared" si="37"/>
        <v xml:space="preserve">Other non-medical support staff </v>
      </c>
      <c r="E671">
        <f t="shared" si="39"/>
        <v>12261</v>
      </c>
    </row>
    <row r="672" spans="4:5" x14ac:dyDescent="0.35">
      <c r="D672" s="30" t="str">
        <f t="shared" si="37"/>
        <v xml:space="preserve">Medical and Pathology Laboratory Technicians </v>
      </c>
      <c r="E672">
        <f t="shared" si="39"/>
        <v>2040</v>
      </c>
    </row>
    <row r="673" spans="2:5" x14ac:dyDescent="0.35">
      <c r="D673" s="30" t="str">
        <f t="shared" si="37"/>
        <v xml:space="preserve">Paramedical Practitioners </v>
      </c>
      <c r="E673">
        <f t="shared" si="39"/>
        <v>6873</v>
      </c>
    </row>
    <row r="674" spans="2:5" x14ac:dyDescent="0.35">
      <c r="D674" s="30" t="str">
        <f t="shared" si="37"/>
        <v>Physiotherapists and physiotherapy assistants</v>
      </c>
      <c r="E674">
        <f t="shared" si="39"/>
        <v>497</v>
      </c>
    </row>
    <row r="675" spans="2:5" x14ac:dyDescent="0.35">
      <c r="D675" s="30" t="str">
        <f t="shared" si="37"/>
        <v>Social workers</v>
      </c>
      <c r="E675">
        <f t="shared" si="39"/>
        <v>342</v>
      </c>
    </row>
    <row r="676" spans="2:5" x14ac:dyDescent="0.35">
      <c r="D676" s="30" t="str">
        <f t="shared" si="37"/>
        <v xml:space="preserve">Audiologists and Speech Therapists </v>
      </c>
      <c r="E676">
        <f t="shared" si="39"/>
        <v>0</v>
      </c>
    </row>
    <row r="677" spans="2:5" x14ac:dyDescent="0.35">
      <c r="D677" s="30" t="str">
        <f t="shared" si="37"/>
        <v>Traditional and complementary medicine practitioners</v>
      </c>
      <c r="E677">
        <f t="shared" si="39"/>
        <v>99942</v>
      </c>
    </row>
    <row r="678" spans="2:5" x14ac:dyDescent="0.35">
      <c r="B678" t="str">
        <f>AC1</f>
        <v>MRT</v>
      </c>
      <c r="C678">
        <f>AC2</f>
        <v>4736138.9999999991</v>
      </c>
      <c r="D678" s="29" t="str">
        <f t="shared" si="37"/>
        <v>Medical Doctors</v>
      </c>
      <c r="E678">
        <f t="shared" ref="E678:E701" si="40">AC3</f>
        <v>2236</v>
      </c>
    </row>
    <row r="679" spans="2:5" x14ac:dyDescent="0.35">
      <c r="D679" s="30" t="str">
        <f t="shared" si="37"/>
        <v>Nursing Personnel</v>
      </c>
      <c r="E679">
        <f t="shared" si="40"/>
        <v>13006</v>
      </c>
    </row>
    <row r="680" spans="2:5" x14ac:dyDescent="0.35">
      <c r="D680" s="30" t="str">
        <f t="shared" si="37"/>
        <v>Midwifery personnel</v>
      </c>
      <c r="E680">
        <f t="shared" si="40"/>
        <v>2680</v>
      </c>
    </row>
    <row r="681" spans="2:5" x14ac:dyDescent="0.35">
      <c r="D681" s="30" t="str">
        <f t="shared" si="37"/>
        <v>Pharmacists</v>
      </c>
      <c r="E681">
        <f t="shared" si="40"/>
        <v>0</v>
      </c>
    </row>
    <row r="682" spans="2:5" x14ac:dyDescent="0.35">
      <c r="D682" s="30" t="str">
        <f t="shared" si="37"/>
        <v>Dentists</v>
      </c>
      <c r="E682">
        <f t="shared" si="40"/>
        <v>0</v>
      </c>
    </row>
    <row r="683" spans="2:5" x14ac:dyDescent="0.35">
      <c r="D683" s="30" t="str">
        <f t="shared" si="37"/>
        <v xml:space="preserve">Community Health Workers </v>
      </c>
      <c r="E683">
        <f t="shared" si="40"/>
        <v>0</v>
      </c>
    </row>
    <row r="684" spans="2:5" x14ac:dyDescent="0.35">
      <c r="D684" s="30" t="str">
        <f t="shared" si="37"/>
        <v>Dieticians and nutritionists</v>
      </c>
      <c r="E684">
        <f t="shared" si="40"/>
        <v>0</v>
      </c>
    </row>
    <row r="685" spans="2:5" x14ac:dyDescent="0.35">
      <c r="D685" s="30" t="str">
        <f t="shared" si="37"/>
        <v>Environmental and occupational health &amp; hygiene workers</v>
      </c>
      <c r="E685">
        <f t="shared" si="40"/>
        <v>0</v>
      </c>
    </row>
    <row r="686" spans="2:5" x14ac:dyDescent="0.35">
      <c r="D686" s="30" t="str">
        <f t="shared" ref="D686:D749" si="41">D662</f>
        <v>Personal care workers in health service</v>
      </c>
      <c r="E686">
        <f t="shared" si="40"/>
        <v>0</v>
      </c>
    </row>
    <row r="687" spans="2:5" x14ac:dyDescent="0.35">
      <c r="D687" s="30" t="str">
        <f t="shared" si="41"/>
        <v xml:space="preserve">Managerial staff </v>
      </c>
      <c r="E687">
        <f t="shared" si="40"/>
        <v>0</v>
      </c>
    </row>
    <row r="688" spans="2:5" x14ac:dyDescent="0.35">
      <c r="D688" s="30" t="str">
        <f t="shared" si="41"/>
        <v xml:space="preserve">Medical and dental Prosthetic Technicians </v>
      </c>
      <c r="E688">
        <f t="shared" si="40"/>
        <v>0</v>
      </c>
    </row>
    <row r="689" spans="2:5" x14ac:dyDescent="0.35">
      <c r="D689" s="30" t="str">
        <f t="shared" si="41"/>
        <v xml:space="preserve">Medical and Pathology Laboratory scientists </v>
      </c>
      <c r="E689">
        <f t="shared" si="40"/>
        <v>0</v>
      </c>
    </row>
    <row r="690" spans="2:5" x14ac:dyDescent="0.35">
      <c r="D690" s="30" t="str">
        <f t="shared" si="41"/>
        <v xml:space="preserve">Medical Assistants </v>
      </c>
      <c r="E690">
        <f t="shared" si="40"/>
        <v>0</v>
      </c>
    </row>
    <row r="691" spans="2:5" x14ac:dyDescent="0.35">
      <c r="D691" s="30" t="str">
        <f t="shared" si="41"/>
        <v xml:space="preserve">Medical Imaging and Therapeutic Equipment Technicians </v>
      </c>
      <c r="E691">
        <f t="shared" si="40"/>
        <v>0</v>
      </c>
    </row>
    <row r="692" spans="2:5" x14ac:dyDescent="0.35">
      <c r="D692" s="30" t="str">
        <f t="shared" si="41"/>
        <v xml:space="preserve">Medical Records and Health Information Technicians </v>
      </c>
      <c r="E692">
        <f t="shared" si="40"/>
        <v>0</v>
      </c>
    </row>
    <row r="693" spans="2:5" x14ac:dyDescent="0.35">
      <c r="D693" s="30" t="str">
        <f t="shared" si="41"/>
        <v xml:space="preserve">Optometrists and Ophthalmic Opticians </v>
      </c>
      <c r="E693">
        <f t="shared" si="40"/>
        <v>0</v>
      </c>
    </row>
    <row r="694" spans="2:5" x14ac:dyDescent="0.35">
      <c r="D694" s="30" t="str">
        <f t="shared" si="41"/>
        <v xml:space="preserve">Other non-medical professional staff </v>
      </c>
      <c r="E694">
        <f t="shared" si="40"/>
        <v>0</v>
      </c>
    </row>
    <row r="695" spans="2:5" x14ac:dyDescent="0.35">
      <c r="D695" s="30" t="str">
        <f t="shared" si="41"/>
        <v xml:space="preserve">Other non-medical support staff </v>
      </c>
      <c r="E695">
        <f t="shared" si="40"/>
        <v>0</v>
      </c>
    </row>
    <row r="696" spans="2:5" x14ac:dyDescent="0.35">
      <c r="D696" s="30" t="str">
        <f t="shared" si="41"/>
        <v xml:space="preserve">Medical and Pathology Laboratory Technicians </v>
      </c>
      <c r="E696">
        <f t="shared" si="40"/>
        <v>0</v>
      </c>
    </row>
    <row r="697" spans="2:5" x14ac:dyDescent="0.35">
      <c r="D697" s="30" t="str">
        <f t="shared" si="41"/>
        <v xml:space="preserve">Paramedical Practitioners </v>
      </c>
      <c r="E697">
        <f t="shared" si="40"/>
        <v>0</v>
      </c>
    </row>
    <row r="698" spans="2:5" x14ac:dyDescent="0.35">
      <c r="D698" s="30" t="str">
        <f t="shared" si="41"/>
        <v>Physiotherapists and physiotherapy assistants</v>
      </c>
      <c r="E698">
        <f t="shared" si="40"/>
        <v>0</v>
      </c>
    </row>
    <row r="699" spans="2:5" x14ac:dyDescent="0.35">
      <c r="D699" s="30" t="str">
        <f t="shared" si="41"/>
        <v>Social workers</v>
      </c>
      <c r="E699">
        <f t="shared" si="40"/>
        <v>0</v>
      </c>
    </row>
    <row r="700" spans="2:5" x14ac:dyDescent="0.35">
      <c r="D700" s="30" t="str">
        <f t="shared" si="41"/>
        <v xml:space="preserve">Audiologists and Speech Therapists </v>
      </c>
      <c r="E700">
        <f t="shared" si="40"/>
        <v>0</v>
      </c>
    </row>
    <row r="701" spans="2:5" x14ac:dyDescent="0.35">
      <c r="D701" s="30" t="str">
        <f t="shared" si="41"/>
        <v>Traditional and complementary medicine practitioners</v>
      </c>
      <c r="E701">
        <f t="shared" si="40"/>
        <v>0</v>
      </c>
    </row>
    <row r="702" spans="2:5" x14ac:dyDescent="0.35">
      <c r="B702" t="str">
        <f>AD1</f>
        <v>MUS</v>
      </c>
      <c r="C702">
        <f>AD2</f>
        <v>1299468.9999999986</v>
      </c>
      <c r="D702" s="29" t="str">
        <f t="shared" si="41"/>
        <v>Medical Doctors</v>
      </c>
      <c r="E702">
        <f t="shared" ref="E702:E725" si="42">AD3</f>
        <v>3224</v>
      </c>
    </row>
    <row r="703" spans="2:5" x14ac:dyDescent="0.35">
      <c r="D703" s="30" t="str">
        <f t="shared" si="41"/>
        <v>Nursing Personnel</v>
      </c>
      <c r="E703">
        <f t="shared" si="42"/>
        <v>7800</v>
      </c>
    </row>
    <row r="704" spans="2:5" x14ac:dyDescent="0.35">
      <c r="D704" s="30" t="str">
        <f t="shared" si="41"/>
        <v>Midwifery personnel</v>
      </c>
      <c r="E704">
        <f t="shared" si="42"/>
        <v>0</v>
      </c>
    </row>
    <row r="705" spans="4:5" x14ac:dyDescent="0.35">
      <c r="D705" s="30" t="str">
        <f t="shared" si="41"/>
        <v>Pharmacists</v>
      </c>
      <c r="E705">
        <f t="shared" si="42"/>
        <v>258</v>
      </c>
    </row>
    <row r="706" spans="4:5" x14ac:dyDescent="0.35">
      <c r="D706" s="30" t="str">
        <f t="shared" si="41"/>
        <v>Dentists</v>
      </c>
      <c r="E706">
        <f t="shared" si="42"/>
        <v>0</v>
      </c>
    </row>
    <row r="707" spans="4:5" x14ac:dyDescent="0.35">
      <c r="D707" s="30" t="str">
        <f t="shared" si="41"/>
        <v xml:space="preserve">Community Health Workers </v>
      </c>
      <c r="E707">
        <f t="shared" si="42"/>
        <v>916</v>
      </c>
    </row>
    <row r="708" spans="4:5" x14ac:dyDescent="0.35">
      <c r="D708" s="30" t="str">
        <f t="shared" si="41"/>
        <v>Dieticians and nutritionists</v>
      </c>
      <c r="E708">
        <f t="shared" si="42"/>
        <v>0</v>
      </c>
    </row>
    <row r="709" spans="4:5" x14ac:dyDescent="0.35">
      <c r="D709" s="30" t="str">
        <f t="shared" si="41"/>
        <v>Environmental and occupational health &amp; hygiene workers</v>
      </c>
      <c r="E709">
        <f t="shared" si="42"/>
        <v>0</v>
      </c>
    </row>
    <row r="710" spans="4:5" x14ac:dyDescent="0.35">
      <c r="D710" s="30" t="str">
        <f t="shared" si="41"/>
        <v>Personal care workers in health service</v>
      </c>
      <c r="E710">
        <f t="shared" si="42"/>
        <v>0</v>
      </c>
    </row>
    <row r="711" spans="4:5" x14ac:dyDescent="0.35">
      <c r="D711" s="30" t="str">
        <f t="shared" si="41"/>
        <v xml:space="preserve">Managerial staff </v>
      </c>
      <c r="E711">
        <f t="shared" si="42"/>
        <v>0</v>
      </c>
    </row>
    <row r="712" spans="4:5" x14ac:dyDescent="0.35">
      <c r="D712" s="30" t="str">
        <f t="shared" si="41"/>
        <v xml:space="preserve">Medical and dental Prosthetic Technicians </v>
      </c>
      <c r="E712">
        <f t="shared" si="42"/>
        <v>0</v>
      </c>
    </row>
    <row r="713" spans="4:5" x14ac:dyDescent="0.35">
      <c r="D713" s="30" t="str">
        <f t="shared" si="41"/>
        <v xml:space="preserve">Medical and Pathology Laboratory scientists </v>
      </c>
      <c r="E713">
        <f t="shared" si="42"/>
        <v>270</v>
      </c>
    </row>
    <row r="714" spans="4:5" x14ac:dyDescent="0.35">
      <c r="D714" s="30" t="str">
        <f t="shared" si="41"/>
        <v xml:space="preserve">Medical Assistants </v>
      </c>
      <c r="E714">
        <f t="shared" si="42"/>
        <v>0</v>
      </c>
    </row>
    <row r="715" spans="4:5" x14ac:dyDescent="0.35">
      <c r="D715" s="30" t="str">
        <f t="shared" si="41"/>
        <v xml:space="preserve">Medical Imaging and Therapeutic Equipment Technicians </v>
      </c>
      <c r="E715">
        <f t="shared" si="42"/>
        <v>0</v>
      </c>
    </row>
    <row r="716" spans="4:5" x14ac:dyDescent="0.35">
      <c r="D716" s="30" t="str">
        <f t="shared" si="41"/>
        <v xml:space="preserve">Medical Records and Health Information Technicians </v>
      </c>
      <c r="E716">
        <f t="shared" si="42"/>
        <v>378</v>
      </c>
    </row>
    <row r="717" spans="4:5" x14ac:dyDescent="0.35">
      <c r="D717" s="30" t="str">
        <f t="shared" si="41"/>
        <v xml:space="preserve">Optometrists and Ophthalmic Opticians </v>
      </c>
      <c r="E717">
        <f t="shared" si="42"/>
        <v>6</v>
      </c>
    </row>
    <row r="718" spans="4:5" x14ac:dyDescent="0.35">
      <c r="D718" s="30" t="str">
        <f t="shared" si="41"/>
        <v xml:space="preserve">Other non-medical professional staff </v>
      </c>
      <c r="E718">
        <f t="shared" si="42"/>
        <v>0</v>
      </c>
    </row>
    <row r="719" spans="4:5" x14ac:dyDescent="0.35">
      <c r="D719" s="30" t="str">
        <f t="shared" si="41"/>
        <v xml:space="preserve">Other non-medical support staff </v>
      </c>
      <c r="E719">
        <f t="shared" si="42"/>
        <v>0</v>
      </c>
    </row>
    <row r="720" spans="4:5" x14ac:dyDescent="0.35">
      <c r="D720" s="30" t="str">
        <f t="shared" si="41"/>
        <v xml:space="preserve">Medical and Pathology Laboratory Technicians </v>
      </c>
      <c r="E720">
        <f t="shared" si="42"/>
        <v>224</v>
      </c>
    </row>
    <row r="721" spans="2:5" x14ac:dyDescent="0.35">
      <c r="D721" s="30" t="str">
        <f t="shared" si="41"/>
        <v xml:space="preserve">Paramedical Practitioners </v>
      </c>
      <c r="E721">
        <f t="shared" si="42"/>
        <v>0</v>
      </c>
    </row>
    <row r="722" spans="2:5" x14ac:dyDescent="0.35">
      <c r="D722" s="30" t="str">
        <f t="shared" si="41"/>
        <v>Physiotherapists and physiotherapy assistants</v>
      </c>
      <c r="E722">
        <f t="shared" si="42"/>
        <v>0</v>
      </c>
    </row>
    <row r="723" spans="2:5" x14ac:dyDescent="0.35">
      <c r="D723" s="30" t="str">
        <f t="shared" si="41"/>
        <v>Social workers</v>
      </c>
      <c r="E723">
        <f t="shared" si="42"/>
        <v>0</v>
      </c>
    </row>
    <row r="724" spans="2:5" x14ac:dyDescent="0.35">
      <c r="D724" s="30" t="str">
        <f t="shared" si="41"/>
        <v xml:space="preserve">Audiologists and Speech Therapists </v>
      </c>
      <c r="E724">
        <f t="shared" si="42"/>
        <v>27</v>
      </c>
    </row>
    <row r="725" spans="2:5" x14ac:dyDescent="0.35">
      <c r="D725" s="30" t="str">
        <f t="shared" si="41"/>
        <v>Traditional and complementary medicine practitioners</v>
      </c>
      <c r="E725">
        <f t="shared" si="42"/>
        <v>0</v>
      </c>
    </row>
    <row r="726" spans="2:5" x14ac:dyDescent="0.35">
      <c r="B726" t="str">
        <f>AE1</f>
        <v>MWI</v>
      </c>
      <c r="C726">
        <f>AE2</f>
        <v>20405316.500000019</v>
      </c>
      <c r="D726" s="29" t="str">
        <f t="shared" si="41"/>
        <v>Medical Doctors</v>
      </c>
      <c r="E726">
        <f t="shared" ref="E726:E749" si="43">AE3</f>
        <v>2121</v>
      </c>
    </row>
    <row r="727" spans="2:5" x14ac:dyDescent="0.35">
      <c r="D727" s="30" t="str">
        <f t="shared" si="41"/>
        <v>Nursing Personnel</v>
      </c>
      <c r="E727">
        <f t="shared" si="43"/>
        <v>19184</v>
      </c>
    </row>
    <row r="728" spans="2:5" x14ac:dyDescent="0.35">
      <c r="D728" s="30" t="str">
        <f t="shared" si="41"/>
        <v>Midwifery personnel</v>
      </c>
      <c r="E728">
        <f t="shared" si="43"/>
        <v>1232</v>
      </c>
    </row>
    <row r="729" spans="2:5" x14ac:dyDescent="0.35">
      <c r="D729" s="30" t="str">
        <f t="shared" si="41"/>
        <v>Pharmacists</v>
      </c>
      <c r="E729">
        <f t="shared" si="43"/>
        <v>0</v>
      </c>
    </row>
    <row r="730" spans="2:5" x14ac:dyDescent="0.35">
      <c r="D730" s="30" t="str">
        <f t="shared" si="41"/>
        <v>Dentists</v>
      </c>
      <c r="E730">
        <f t="shared" si="43"/>
        <v>0</v>
      </c>
    </row>
    <row r="731" spans="2:5" x14ac:dyDescent="0.35">
      <c r="D731" s="30" t="str">
        <f t="shared" si="41"/>
        <v xml:space="preserve">Community Health Workers </v>
      </c>
      <c r="E731">
        <f t="shared" si="43"/>
        <v>10747</v>
      </c>
    </row>
    <row r="732" spans="2:5" x14ac:dyDescent="0.35">
      <c r="D732" s="30" t="str">
        <f t="shared" si="41"/>
        <v>Dieticians and nutritionists</v>
      </c>
      <c r="E732">
        <f t="shared" si="43"/>
        <v>0</v>
      </c>
    </row>
    <row r="733" spans="2:5" x14ac:dyDescent="0.35">
      <c r="D733" s="30" t="str">
        <f t="shared" si="41"/>
        <v>Environmental and occupational health &amp; hygiene workers</v>
      </c>
      <c r="E733">
        <f t="shared" si="43"/>
        <v>0</v>
      </c>
    </row>
    <row r="734" spans="2:5" x14ac:dyDescent="0.35">
      <c r="D734" s="30" t="str">
        <f t="shared" si="41"/>
        <v>Personal care workers in health service</v>
      </c>
      <c r="E734">
        <f t="shared" si="43"/>
        <v>0</v>
      </c>
    </row>
    <row r="735" spans="2:5" x14ac:dyDescent="0.35">
      <c r="D735" s="30" t="str">
        <f t="shared" si="41"/>
        <v xml:space="preserve">Managerial staff </v>
      </c>
      <c r="E735">
        <f t="shared" si="43"/>
        <v>561</v>
      </c>
    </row>
    <row r="736" spans="2:5" x14ac:dyDescent="0.35">
      <c r="D736" s="30" t="str">
        <f t="shared" si="41"/>
        <v xml:space="preserve">Medical and dental Prosthetic Technicians </v>
      </c>
      <c r="E736">
        <f t="shared" si="43"/>
        <v>12</v>
      </c>
    </row>
    <row r="737" spans="2:5" x14ac:dyDescent="0.35">
      <c r="D737" s="30" t="str">
        <f t="shared" si="41"/>
        <v xml:space="preserve">Medical and Pathology Laboratory scientists </v>
      </c>
      <c r="E737">
        <f t="shared" si="43"/>
        <v>81</v>
      </c>
    </row>
    <row r="738" spans="2:5" x14ac:dyDescent="0.35">
      <c r="D738" s="30" t="str">
        <f t="shared" si="41"/>
        <v xml:space="preserve">Medical Assistants </v>
      </c>
      <c r="E738">
        <f t="shared" si="43"/>
        <v>1661</v>
      </c>
    </row>
    <row r="739" spans="2:5" x14ac:dyDescent="0.35">
      <c r="D739" s="30" t="str">
        <f t="shared" si="41"/>
        <v xml:space="preserve">Medical Imaging and Therapeutic Equipment Technicians </v>
      </c>
      <c r="E739">
        <f t="shared" si="43"/>
        <v>610</v>
      </c>
    </row>
    <row r="740" spans="2:5" x14ac:dyDescent="0.35">
      <c r="D740" s="30" t="str">
        <f t="shared" si="41"/>
        <v xml:space="preserve">Medical Records and Health Information Technicians </v>
      </c>
      <c r="E740">
        <f t="shared" si="43"/>
        <v>0</v>
      </c>
    </row>
    <row r="741" spans="2:5" x14ac:dyDescent="0.35">
      <c r="D741" s="30" t="str">
        <f t="shared" si="41"/>
        <v xml:space="preserve">Optometrists and Ophthalmic Opticians </v>
      </c>
      <c r="E741">
        <f t="shared" si="43"/>
        <v>73</v>
      </c>
    </row>
    <row r="742" spans="2:5" x14ac:dyDescent="0.35">
      <c r="D742" s="30" t="str">
        <f t="shared" si="41"/>
        <v xml:space="preserve">Other non-medical professional staff </v>
      </c>
      <c r="E742">
        <f t="shared" si="43"/>
        <v>0</v>
      </c>
    </row>
    <row r="743" spans="2:5" x14ac:dyDescent="0.35">
      <c r="D743" s="30" t="str">
        <f t="shared" si="41"/>
        <v xml:space="preserve">Other non-medical support staff </v>
      </c>
      <c r="E743">
        <f t="shared" si="43"/>
        <v>11178</v>
      </c>
    </row>
    <row r="744" spans="2:5" x14ac:dyDescent="0.35">
      <c r="D744" s="30" t="str">
        <f t="shared" si="41"/>
        <v xml:space="preserve">Medical and Pathology Laboratory Technicians </v>
      </c>
      <c r="E744">
        <f t="shared" si="43"/>
        <v>189</v>
      </c>
    </row>
    <row r="745" spans="2:5" x14ac:dyDescent="0.35">
      <c r="D745" s="30" t="str">
        <f t="shared" si="41"/>
        <v xml:space="preserve">Paramedical Practitioners </v>
      </c>
      <c r="E745">
        <f t="shared" si="43"/>
        <v>37</v>
      </c>
    </row>
    <row r="746" spans="2:5" x14ac:dyDescent="0.35">
      <c r="D746" s="30" t="str">
        <f t="shared" si="41"/>
        <v>Physiotherapists and physiotherapy assistants</v>
      </c>
      <c r="E746">
        <f t="shared" si="43"/>
        <v>248</v>
      </c>
    </row>
    <row r="747" spans="2:5" x14ac:dyDescent="0.35">
      <c r="D747" s="30" t="str">
        <f t="shared" si="41"/>
        <v>Social workers</v>
      </c>
      <c r="E747">
        <f t="shared" si="43"/>
        <v>72</v>
      </c>
    </row>
    <row r="748" spans="2:5" x14ac:dyDescent="0.35">
      <c r="D748" s="30" t="str">
        <f t="shared" si="41"/>
        <v xml:space="preserve">Audiologists and Speech Therapists </v>
      </c>
      <c r="E748">
        <f t="shared" si="43"/>
        <v>0</v>
      </c>
    </row>
    <row r="749" spans="2:5" x14ac:dyDescent="0.35">
      <c r="D749" s="30" t="str">
        <f t="shared" si="41"/>
        <v>Traditional and complementary medicine practitioners</v>
      </c>
      <c r="E749">
        <f t="shared" si="43"/>
        <v>2</v>
      </c>
    </row>
    <row r="750" spans="2:5" x14ac:dyDescent="0.35">
      <c r="B750" t="str">
        <f>AF1</f>
        <v>NAM</v>
      </c>
      <c r="C750">
        <f>AF2</f>
        <v>2567012.4999999995</v>
      </c>
      <c r="D750" s="29" t="str">
        <f t="shared" ref="D750:D813" si="44">D726</f>
        <v>Medical Doctors</v>
      </c>
      <c r="E750">
        <f t="shared" ref="E750:E773" si="45">AF3</f>
        <v>3012</v>
      </c>
    </row>
    <row r="751" spans="2:5" x14ac:dyDescent="0.35">
      <c r="D751" s="30" t="str">
        <f t="shared" si="44"/>
        <v>Nursing Personnel</v>
      </c>
      <c r="E751">
        <f t="shared" si="45"/>
        <v>17210</v>
      </c>
    </row>
    <row r="752" spans="2:5" x14ac:dyDescent="0.35">
      <c r="D752" s="30" t="str">
        <f t="shared" si="44"/>
        <v>Midwifery personnel</v>
      </c>
      <c r="E752">
        <f t="shared" si="45"/>
        <v>14</v>
      </c>
    </row>
    <row r="753" spans="4:5" x14ac:dyDescent="0.35">
      <c r="D753" s="30" t="str">
        <f t="shared" si="44"/>
        <v>Pharmacists</v>
      </c>
      <c r="E753">
        <f t="shared" si="45"/>
        <v>142</v>
      </c>
    </row>
    <row r="754" spans="4:5" x14ac:dyDescent="0.35">
      <c r="D754" s="30" t="str">
        <f t="shared" si="44"/>
        <v>Dentists</v>
      </c>
      <c r="E754">
        <f t="shared" si="45"/>
        <v>0</v>
      </c>
    </row>
    <row r="755" spans="4:5" x14ac:dyDescent="0.35">
      <c r="D755" s="30" t="str">
        <f t="shared" si="44"/>
        <v xml:space="preserve">Community Health Workers </v>
      </c>
      <c r="E755">
        <f t="shared" si="45"/>
        <v>0</v>
      </c>
    </row>
    <row r="756" spans="4:5" x14ac:dyDescent="0.35">
      <c r="D756" s="30" t="str">
        <f t="shared" si="44"/>
        <v>Dieticians and nutritionists</v>
      </c>
      <c r="E756">
        <f t="shared" si="45"/>
        <v>0</v>
      </c>
    </row>
    <row r="757" spans="4:5" x14ac:dyDescent="0.35">
      <c r="D757" s="30" t="str">
        <f t="shared" si="44"/>
        <v>Environmental and occupational health &amp; hygiene workers</v>
      </c>
      <c r="E757">
        <f t="shared" si="45"/>
        <v>0</v>
      </c>
    </row>
    <row r="758" spans="4:5" x14ac:dyDescent="0.35">
      <c r="D758" s="30" t="str">
        <f t="shared" si="44"/>
        <v>Personal care workers in health service</v>
      </c>
      <c r="E758">
        <f t="shared" si="45"/>
        <v>889</v>
      </c>
    </row>
    <row r="759" spans="4:5" x14ac:dyDescent="0.35">
      <c r="D759" s="30" t="str">
        <f t="shared" si="44"/>
        <v xml:space="preserve">Managerial staff </v>
      </c>
      <c r="E759">
        <f t="shared" si="45"/>
        <v>51</v>
      </c>
    </row>
    <row r="760" spans="4:5" x14ac:dyDescent="0.35">
      <c r="D760" s="30" t="str">
        <f t="shared" si="44"/>
        <v xml:space="preserve">Medical and dental Prosthetic Technicians </v>
      </c>
      <c r="E760">
        <f t="shared" si="45"/>
        <v>0</v>
      </c>
    </row>
    <row r="761" spans="4:5" x14ac:dyDescent="0.35">
      <c r="D761" s="30" t="str">
        <f t="shared" si="44"/>
        <v xml:space="preserve">Medical and Pathology Laboratory scientists </v>
      </c>
      <c r="E761">
        <f t="shared" si="45"/>
        <v>0</v>
      </c>
    </row>
    <row r="762" spans="4:5" x14ac:dyDescent="0.35">
      <c r="D762" s="30" t="str">
        <f t="shared" si="44"/>
        <v xml:space="preserve">Medical Assistants </v>
      </c>
      <c r="E762">
        <f t="shared" si="45"/>
        <v>5</v>
      </c>
    </row>
    <row r="763" spans="4:5" x14ac:dyDescent="0.35">
      <c r="D763" s="30" t="str">
        <f t="shared" si="44"/>
        <v xml:space="preserve">Medical Imaging and Therapeutic Equipment Technicians </v>
      </c>
      <c r="E763">
        <f t="shared" si="45"/>
        <v>289</v>
      </c>
    </row>
    <row r="764" spans="4:5" x14ac:dyDescent="0.35">
      <c r="D764" s="30" t="str">
        <f t="shared" si="44"/>
        <v xml:space="preserve">Medical Records and Health Information Technicians </v>
      </c>
      <c r="E764">
        <f t="shared" si="45"/>
        <v>0</v>
      </c>
    </row>
    <row r="765" spans="4:5" x14ac:dyDescent="0.35">
      <c r="D765" s="30" t="str">
        <f t="shared" si="44"/>
        <v xml:space="preserve">Optometrists and Ophthalmic Opticians </v>
      </c>
      <c r="E765">
        <f t="shared" si="45"/>
        <v>107</v>
      </c>
    </row>
    <row r="766" spans="4:5" x14ac:dyDescent="0.35">
      <c r="D766" s="30" t="str">
        <f t="shared" si="44"/>
        <v xml:space="preserve">Other non-medical professional staff </v>
      </c>
      <c r="E766">
        <f t="shared" si="45"/>
        <v>0</v>
      </c>
    </row>
    <row r="767" spans="4:5" x14ac:dyDescent="0.35">
      <c r="D767" s="30" t="str">
        <f t="shared" si="44"/>
        <v xml:space="preserve">Other non-medical support staff </v>
      </c>
      <c r="E767">
        <f t="shared" si="45"/>
        <v>0</v>
      </c>
    </row>
    <row r="768" spans="4:5" x14ac:dyDescent="0.35">
      <c r="D768" s="30" t="str">
        <f t="shared" si="44"/>
        <v xml:space="preserve">Medical and Pathology Laboratory Technicians </v>
      </c>
      <c r="E768">
        <f t="shared" si="45"/>
        <v>1065</v>
      </c>
    </row>
    <row r="769" spans="2:5" x14ac:dyDescent="0.35">
      <c r="D769" s="30" t="str">
        <f t="shared" si="44"/>
        <v xml:space="preserve">Paramedical Practitioners </v>
      </c>
      <c r="E769">
        <f t="shared" si="45"/>
        <v>82</v>
      </c>
    </row>
    <row r="770" spans="2:5" x14ac:dyDescent="0.35">
      <c r="D770" s="30" t="str">
        <f t="shared" si="44"/>
        <v>Physiotherapists and physiotherapy assistants</v>
      </c>
      <c r="E770">
        <f t="shared" si="45"/>
        <v>144</v>
      </c>
    </row>
    <row r="771" spans="2:5" x14ac:dyDescent="0.35">
      <c r="D771" s="30" t="str">
        <f t="shared" si="44"/>
        <v>Social workers</v>
      </c>
      <c r="E771">
        <f t="shared" si="45"/>
        <v>0</v>
      </c>
    </row>
    <row r="772" spans="2:5" x14ac:dyDescent="0.35">
      <c r="D772" s="30" t="str">
        <f t="shared" si="44"/>
        <v xml:space="preserve">Audiologists and Speech Therapists </v>
      </c>
      <c r="E772">
        <f t="shared" si="45"/>
        <v>0</v>
      </c>
    </row>
    <row r="773" spans="2:5" x14ac:dyDescent="0.35">
      <c r="D773" s="30" t="str">
        <f t="shared" si="44"/>
        <v>Traditional and complementary medicine practitioners</v>
      </c>
      <c r="E773">
        <f t="shared" si="45"/>
        <v>0</v>
      </c>
    </row>
    <row r="774" spans="2:5" x14ac:dyDescent="0.35">
      <c r="B774" t="str">
        <f>AG1</f>
        <v>NER</v>
      </c>
      <c r="C774">
        <f>AG2</f>
        <v>26207976.5</v>
      </c>
      <c r="D774" s="29" t="str">
        <f t="shared" si="44"/>
        <v>Medical Doctors</v>
      </c>
      <c r="E774">
        <f t="shared" ref="E774:E797" si="46">AG3</f>
        <v>1415</v>
      </c>
    </row>
    <row r="775" spans="2:5" x14ac:dyDescent="0.35">
      <c r="D775" s="30" t="str">
        <f t="shared" si="44"/>
        <v>Nursing Personnel</v>
      </c>
      <c r="E775">
        <f t="shared" si="46"/>
        <v>9130</v>
      </c>
    </row>
    <row r="776" spans="2:5" x14ac:dyDescent="0.35">
      <c r="D776" s="30" t="str">
        <f t="shared" si="44"/>
        <v>Midwifery personnel</v>
      </c>
      <c r="E776">
        <f t="shared" si="46"/>
        <v>1436</v>
      </c>
    </row>
    <row r="777" spans="2:5" x14ac:dyDescent="0.35">
      <c r="D777" s="30" t="str">
        <f t="shared" si="44"/>
        <v>Pharmacists</v>
      </c>
      <c r="E777">
        <f t="shared" si="46"/>
        <v>0</v>
      </c>
    </row>
    <row r="778" spans="2:5" x14ac:dyDescent="0.35">
      <c r="D778" s="30" t="str">
        <f t="shared" si="44"/>
        <v>Dentists</v>
      </c>
      <c r="E778">
        <f t="shared" si="46"/>
        <v>0</v>
      </c>
    </row>
    <row r="779" spans="2:5" x14ac:dyDescent="0.35">
      <c r="D779" s="30" t="str">
        <f t="shared" si="44"/>
        <v xml:space="preserve">Community Health Workers </v>
      </c>
      <c r="E779">
        <f t="shared" si="46"/>
        <v>2239</v>
      </c>
    </row>
    <row r="780" spans="2:5" x14ac:dyDescent="0.35">
      <c r="D780" s="30" t="str">
        <f t="shared" si="44"/>
        <v>Dieticians and nutritionists</v>
      </c>
      <c r="E780">
        <f t="shared" si="46"/>
        <v>0</v>
      </c>
    </row>
    <row r="781" spans="2:5" x14ac:dyDescent="0.35">
      <c r="D781" s="30" t="str">
        <f t="shared" si="44"/>
        <v>Environmental and occupational health &amp; hygiene workers</v>
      </c>
      <c r="E781">
        <f t="shared" si="46"/>
        <v>0</v>
      </c>
    </row>
    <row r="782" spans="2:5" x14ac:dyDescent="0.35">
      <c r="D782" s="30" t="str">
        <f t="shared" si="44"/>
        <v>Personal care workers in health service</v>
      </c>
      <c r="E782">
        <f t="shared" si="46"/>
        <v>0</v>
      </c>
    </row>
    <row r="783" spans="2:5" x14ac:dyDescent="0.35">
      <c r="D783" s="30" t="str">
        <f t="shared" si="44"/>
        <v xml:space="preserve">Managerial staff </v>
      </c>
      <c r="E783">
        <f t="shared" si="46"/>
        <v>0</v>
      </c>
    </row>
    <row r="784" spans="2:5" x14ac:dyDescent="0.35">
      <c r="D784" s="30" t="str">
        <f t="shared" si="44"/>
        <v xml:space="preserve">Medical and dental Prosthetic Technicians </v>
      </c>
      <c r="E784">
        <f t="shared" si="46"/>
        <v>6</v>
      </c>
    </row>
    <row r="785" spans="2:5" x14ac:dyDescent="0.35">
      <c r="D785" s="30" t="str">
        <f t="shared" si="44"/>
        <v xml:space="preserve">Medical and Pathology Laboratory scientists </v>
      </c>
      <c r="E785">
        <f t="shared" si="46"/>
        <v>0</v>
      </c>
    </row>
    <row r="786" spans="2:5" x14ac:dyDescent="0.35">
      <c r="D786" s="30" t="str">
        <f t="shared" si="44"/>
        <v xml:space="preserve">Medical Assistants </v>
      </c>
      <c r="E786">
        <f t="shared" si="46"/>
        <v>0</v>
      </c>
    </row>
    <row r="787" spans="2:5" x14ac:dyDescent="0.35">
      <c r="D787" s="30" t="str">
        <f t="shared" si="44"/>
        <v xml:space="preserve">Medical Imaging and Therapeutic Equipment Technicians </v>
      </c>
      <c r="E787">
        <f t="shared" si="46"/>
        <v>0</v>
      </c>
    </row>
    <row r="788" spans="2:5" x14ac:dyDescent="0.35">
      <c r="D788" s="30" t="str">
        <f t="shared" si="44"/>
        <v xml:space="preserve">Medical Records and Health Information Technicians </v>
      </c>
      <c r="E788">
        <f t="shared" si="46"/>
        <v>0</v>
      </c>
    </row>
    <row r="789" spans="2:5" x14ac:dyDescent="0.35">
      <c r="D789" s="30" t="str">
        <f t="shared" si="44"/>
        <v xml:space="preserve">Optometrists and Ophthalmic Opticians </v>
      </c>
      <c r="E789">
        <f t="shared" si="46"/>
        <v>0</v>
      </c>
    </row>
    <row r="790" spans="2:5" x14ac:dyDescent="0.35">
      <c r="D790" s="30" t="str">
        <f t="shared" si="44"/>
        <v xml:space="preserve">Other non-medical professional staff </v>
      </c>
      <c r="E790">
        <f t="shared" si="46"/>
        <v>0</v>
      </c>
    </row>
    <row r="791" spans="2:5" x14ac:dyDescent="0.35">
      <c r="D791" s="30" t="str">
        <f t="shared" si="44"/>
        <v xml:space="preserve">Other non-medical support staff </v>
      </c>
      <c r="E791">
        <f t="shared" si="46"/>
        <v>0</v>
      </c>
    </row>
    <row r="792" spans="2:5" x14ac:dyDescent="0.35">
      <c r="D792" s="30" t="str">
        <f t="shared" si="44"/>
        <v xml:space="preserve">Medical and Pathology Laboratory Technicians </v>
      </c>
      <c r="E792">
        <f t="shared" si="46"/>
        <v>418</v>
      </c>
    </row>
    <row r="793" spans="2:5" x14ac:dyDescent="0.35">
      <c r="D793" s="30" t="str">
        <f t="shared" si="44"/>
        <v xml:space="preserve">Paramedical Practitioners </v>
      </c>
      <c r="E793">
        <f t="shared" si="46"/>
        <v>1592</v>
      </c>
    </row>
    <row r="794" spans="2:5" x14ac:dyDescent="0.35">
      <c r="D794" s="30" t="str">
        <f t="shared" si="44"/>
        <v>Physiotherapists and physiotherapy assistants</v>
      </c>
      <c r="E794">
        <f t="shared" si="46"/>
        <v>0</v>
      </c>
    </row>
    <row r="795" spans="2:5" x14ac:dyDescent="0.35">
      <c r="D795" s="30" t="str">
        <f t="shared" si="44"/>
        <v>Social workers</v>
      </c>
      <c r="E795">
        <f t="shared" si="46"/>
        <v>0</v>
      </c>
    </row>
    <row r="796" spans="2:5" x14ac:dyDescent="0.35">
      <c r="D796" s="30" t="str">
        <f t="shared" si="44"/>
        <v xml:space="preserve">Audiologists and Speech Therapists </v>
      </c>
      <c r="E796">
        <f t="shared" si="46"/>
        <v>0</v>
      </c>
    </row>
    <row r="797" spans="2:5" x14ac:dyDescent="0.35">
      <c r="D797" s="30" t="str">
        <f t="shared" si="44"/>
        <v>Traditional and complementary medicine practitioners</v>
      </c>
      <c r="E797">
        <f t="shared" si="46"/>
        <v>0</v>
      </c>
    </row>
    <row r="798" spans="2:5" x14ac:dyDescent="0.35">
      <c r="B798" t="str">
        <f>AH1</f>
        <v>NGA</v>
      </c>
      <c r="C798">
        <f>AH2</f>
        <v>218541211.50000003</v>
      </c>
      <c r="D798" s="29" t="str">
        <f t="shared" si="44"/>
        <v>Medical Doctors</v>
      </c>
      <c r="E798">
        <f t="shared" ref="E798:E821" si="47">AH3</f>
        <v>172576</v>
      </c>
    </row>
    <row r="799" spans="2:5" x14ac:dyDescent="0.35">
      <c r="D799" s="30" t="str">
        <f t="shared" si="44"/>
        <v>Nursing Personnel</v>
      </c>
      <c r="E799">
        <f t="shared" si="47"/>
        <v>441362</v>
      </c>
    </row>
    <row r="800" spans="2:5" x14ac:dyDescent="0.35">
      <c r="D800" s="30" t="str">
        <f t="shared" si="44"/>
        <v>Midwifery personnel</v>
      </c>
      <c r="E800">
        <f t="shared" si="47"/>
        <v>293574</v>
      </c>
    </row>
    <row r="801" spans="4:5" x14ac:dyDescent="0.35">
      <c r="D801" s="30" t="str">
        <f t="shared" si="44"/>
        <v>Pharmacists</v>
      </c>
      <c r="E801">
        <f t="shared" si="47"/>
        <v>1332</v>
      </c>
    </row>
    <row r="802" spans="4:5" x14ac:dyDescent="0.35">
      <c r="D802" s="30" t="str">
        <f t="shared" si="44"/>
        <v>Dentists</v>
      </c>
      <c r="E802">
        <f t="shared" si="47"/>
        <v>416</v>
      </c>
    </row>
    <row r="803" spans="4:5" x14ac:dyDescent="0.35">
      <c r="D803" s="30" t="str">
        <f t="shared" si="44"/>
        <v xml:space="preserve">Community Health Workers </v>
      </c>
      <c r="E803">
        <f t="shared" si="47"/>
        <v>154477</v>
      </c>
    </row>
    <row r="804" spans="4:5" x14ac:dyDescent="0.35">
      <c r="D804" s="30" t="str">
        <f t="shared" si="44"/>
        <v>Dieticians and nutritionists</v>
      </c>
      <c r="E804">
        <f t="shared" si="47"/>
        <v>0</v>
      </c>
    </row>
    <row r="805" spans="4:5" x14ac:dyDescent="0.35">
      <c r="D805" s="30" t="str">
        <f t="shared" si="44"/>
        <v>Environmental and occupational health &amp; hygiene workers</v>
      </c>
      <c r="E805">
        <f t="shared" si="47"/>
        <v>0</v>
      </c>
    </row>
    <row r="806" spans="4:5" x14ac:dyDescent="0.35">
      <c r="D806" s="30" t="str">
        <f t="shared" si="44"/>
        <v>Personal care workers in health service</v>
      </c>
      <c r="E806">
        <f t="shared" si="47"/>
        <v>0</v>
      </c>
    </row>
    <row r="807" spans="4:5" x14ac:dyDescent="0.35">
      <c r="D807" s="30" t="str">
        <f t="shared" si="44"/>
        <v xml:space="preserve">Managerial staff </v>
      </c>
      <c r="E807">
        <f t="shared" si="47"/>
        <v>0</v>
      </c>
    </row>
    <row r="808" spans="4:5" x14ac:dyDescent="0.35">
      <c r="D808" s="30" t="str">
        <f t="shared" si="44"/>
        <v xml:space="preserve">Medical and dental Prosthetic Technicians </v>
      </c>
      <c r="E808">
        <f t="shared" si="47"/>
        <v>280</v>
      </c>
    </row>
    <row r="809" spans="4:5" x14ac:dyDescent="0.35">
      <c r="D809" s="30" t="str">
        <f t="shared" si="44"/>
        <v xml:space="preserve">Medical and Pathology Laboratory scientists </v>
      </c>
      <c r="E809">
        <f t="shared" si="47"/>
        <v>36833</v>
      </c>
    </row>
    <row r="810" spans="4:5" x14ac:dyDescent="0.35">
      <c r="D810" s="30" t="str">
        <f t="shared" si="44"/>
        <v xml:space="preserve">Medical Assistants </v>
      </c>
      <c r="E810">
        <f t="shared" si="47"/>
        <v>0</v>
      </c>
    </row>
    <row r="811" spans="4:5" x14ac:dyDescent="0.35">
      <c r="D811" s="30" t="str">
        <f t="shared" si="44"/>
        <v xml:space="preserve">Medical Imaging and Therapeutic Equipment Technicians </v>
      </c>
      <c r="E811">
        <f t="shared" si="47"/>
        <v>4262</v>
      </c>
    </row>
    <row r="812" spans="4:5" x14ac:dyDescent="0.35">
      <c r="D812" s="30" t="str">
        <f t="shared" si="44"/>
        <v xml:space="preserve">Medical Records and Health Information Technicians </v>
      </c>
      <c r="E812">
        <f t="shared" si="47"/>
        <v>0</v>
      </c>
    </row>
    <row r="813" spans="4:5" x14ac:dyDescent="0.35">
      <c r="D813" s="30" t="str">
        <f t="shared" si="44"/>
        <v xml:space="preserve">Optometrists and Ophthalmic Opticians </v>
      </c>
      <c r="E813">
        <f t="shared" si="47"/>
        <v>5632</v>
      </c>
    </row>
    <row r="814" spans="4:5" x14ac:dyDescent="0.35">
      <c r="D814" s="30" t="str">
        <f t="shared" ref="D814:D877" si="48">D790</f>
        <v xml:space="preserve">Other non-medical professional staff </v>
      </c>
      <c r="E814">
        <f t="shared" si="47"/>
        <v>0</v>
      </c>
    </row>
    <row r="815" spans="4:5" x14ac:dyDescent="0.35">
      <c r="D815" s="30" t="str">
        <f t="shared" si="48"/>
        <v xml:space="preserve">Other non-medical support staff </v>
      </c>
      <c r="E815">
        <f t="shared" si="47"/>
        <v>0</v>
      </c>
    </row>
    <row r="816" spans="4:5" x14ac:dyDescent="0.35">
      <c r="D816" s="30" t="str">
        <f t="shared" si="48"/>
        <v xml:space="preserve">Medical and Pathology Laboratory Technicians </v>
      </c>
      <c r="E816">
        <f t="shared" si="47"/>
        <v>38712</v>
      </c>
    </row>
    <row r="817" spans="2:5" x14ac:dyDescent="0.35">
      <c r="D817" s="30" t="str">
        <f t="shared" si="48"/>
        <v xml:space="preserve">Paramedical Practitioners </v>
      </c>
      <c r="E817">
        <f t="shared" si="47"/>
        <v>0</v>
      </c>
    </row>
    <row r="818" spans="2:5" x14ac:dyDescent="0.35">
      <c r="D818" s="30" t="str">
        <f t="shared" si="48"/>
        <v>Physiotherapists and physiotherapy assistants</v>
      </c>
      <c r="E818">
        <f t="shared" si="47"/>
        <v>6479</v>
      </c>
    </row>
    <row r="819" spans="2:5" x14ac:dyDescent="0.35">
      <c r="D819" s="30" t="str">
        <f t="shared" si="48"/>
        <v>Social workers</v>
      </c>
      <c r="E819">
        <f t="shared" si="47"/>
        <v>0</v>
      </c>
    </row>
    <row r="820" spans="2:5" x14ac:dyDescent="0.35">
      <c r="D820" s="30" t="str">
        <f t="shared" si="48"/>
        <v xml:space="preserve">Audiologists and Speech Therapists </v>
      </c>
      <c r="E820">
        <f t="shared" si="47"/>
        <v>168</v>
      </c>
    </row>
    <row r="821" spans="2:5" x14ac:dyDescent="0.35">
      <c r="D821" s="30" t="str">
        <f t="shared" si="48"/>
        <v>Traditional and complementary medicine practitioners</v>
      </c>
      <c r="E821">
        <f t="shared" si="47"/>
        <v>0</v>
      </c>
    </row>
    <row r="822" spans="2:5" x14ac:dyDescent="0.35">
      <c r="B822" t="str">
        <f>AI1</f>
        <v>RWA</v>
      </c>
      <c r="C822">
        <f>AI2</f>
        <v>13776697.499999994</v>
      </c>
      <c r="D822" s="29" t="str">
        <f t="shared" si="48"/>
        <v>Medical Doctors</v>
      </c>
      <c r="E822">
        <f t="shared" ref="E822:E845" si="49">AI3</f>
        <v>0</v>
      </c>
    </row>
    <row r="823" spans="2:5" x14ac:dyDescent="0.35">
      <c r="D823" s="30" t="str">
        <f t="shared" si="48"/>
        <v>Nursing Personnel</v>
      </c>
      <c r="E823">
        <f t="shared" si="49"/>
        <v>0</v>
      </c>
    </row>
    <row r="824" spans="2:5" x14ac:dyDescent="0.35">
      <c r="D824" s="30" t="str">
        <f t="shared" si="48"/>
        <v>Midwifery personnel</v>
      </c>
      <c r="E824">
        <f t="shared" si="49"/>
        <v>0</v>
      </c>
    </row>
    <row r="825" spans="2:5" x14ac:dyDescent="0.35">
      <c r="D825" s="30" t="str">
        <f t="shared" si="48"/>
        <v>Pharmacists</v>
      </c>
      <c r="E825">
        <f t="shared" si="49"/>
        <v>143</v>
      </c>
    </row>
    <row r="826" spans="2:5" x14ac:dyDescent="0.35">
      <c r="D826" s="30" t="str">
        <f t="shared" si="48"/>
        <v>Dentists</v>
      </c>
      <c r="E826">
        <f t="shared" si="49"/>
        <v>0</v>
      </c>
    </row>
    <row r="827" spans="2:5" x14ac:dyDescent="0.35">
      <c r="D827" s="30" t="str">
        <f t="shared" si="48"/>
        <v xml:space="preserve">Community Health Workers </v>
      </c>
      <c r="E827">
        <f t="shared" si="49"/>
        <v>0</v>
      </c>
    </row>
    <row r="828" spans="2:5" x14ac:dyDescent="0.35">
      <c r="D828" s="30" t="str">
        <f t="shared" si="48"/>
        <v>Dieticians and nutritionists</v>
      </c>
      <c r="E828">
        <f t="shared" si="49"/>
        <v>0</v>
      </c>
    </row>
    <row r="829" spans="2:5" x14ac:dyDescent="0.35">
      <c r="D829" s="30" t="str">
        <f t="shared" si="48"/>
        <v>Environmental and occupational health &amp; hygiene workers</v>
      </c>
      <c r="E829">
        <f t="shared" si="49"/>
        <v>0</v>
      </c>
    </row>
    <row r="830" spans="2:5" x14ac:dyDescent="0.35">
      <c r="D830" s="30" t="str">
        <f t="shared" si="48"/>
        <v>Personal care workers in health service</v>
      </c>
      <c r="E830">
        <f t="shared" si="49"/>
        <v>0</v>
      </c>
    </row>
    <row r="831" spans="2:5" x14ac:dyDescent="0.35">
      <c r="D831" s="30" t="str">
        <f t="shared" si="48"/>
        <v xml:space="preserve">Managerial staff </v>
      </c>
      <c r="E831">
        <f t="shared" si="49"/>
        <v>0</v>
      </c>
    </row>
    <row r="832" spans="2:5" x14ac:dyDescent="0.35">
      <c r="D832" s="30" t="str">
        <f t="shared" si="48"/>
        <v xml:space="preserve">Medical and dental Prosthetic Technicians </v>
      </c>
      <c r="E832">
        <f t="shared" si="49"/>
        <v>0</v>
      </c>
    </row>
    <row r="833" spans="2:5" x14ac:dyDescent="0.35">
      <c r="D833" s="30" t="str">
        <f t="shared" si="48"/>
        <v xml:space="preserve">Medical and Pathology Laboratory scientists </v>
      </c>
      <c r="E833">
        <f t="shared" si="49"/>
        <v>0</v>
      </c>
    </row>
    <row r="834" spans="2:5" x14ac:dyDescent="0.35">
      <c r="D834" s="30" t="str">
        <f t="shared" si="48"/>
        <v xml:space="preserve">Medical Assistants </v>
      </c>
      <c r="E834">
        <f t="shared" si="49"/>
        <v>0</v>
      </c>
    </row>
    <row r="835" spans="2:5" x14ac:dyDescent="0.35">
      <c r="D835" s="30" t="str">
        <f t="shared" si="48"/>
        <v xml:space="preserve">Medical Imaging and Therapeutic Equipment Technicians </v>
      </c>
      <c r="E835">
        <f t="shared" si="49"/>
        <v>0</v>
      </c>
    </row>
    <row r="836" spans="2:5" x14ac:dyDescent="0.35">
      <c r="D836" s="30" t="str">
        <f t="shared" si="48"/>
        <v xml:space="preserve">Medical Records and Health Information Technicians </v>
      </c>
      <c r="E836">
        <f t="shared" si="49"/>
        <v>0</v>
      </c>
    </row>
    <row r="837" spans="2:5" x14ac:dyDescent="0.35">
      <c r="D837" s="30" t="str">
        <f t="shared" si="48"/>
        <v xml:space="preserve">Optometrists and Ophthalmic Opticians </v>
      </c>
      <c r="E837">
        <f t="shared" si="49"/>
        <v>0</v>
      </c>
    </row>
    <row r="838" spans="2:5" x14ac:dyDescent="0.35">
      <c r="D838" s="30" t="str">
        <f t="shared" si="48"/>
        <v xml:space="preserve">Other non-medical professional staff </v>
      </c>
      <c r="E838">
        <f t="shared" si="49"/>
        <v>0</v>
      </c>
    </row>
    <row r="839" spans="2:5" x14ac:dyDescent="0.35">
      <c r="D839" s="30" t="str">
        <f t="shared" si="48"/>
        <v xml:space="preserve">Other non-medical support staff </v>
      </c>
      <c r="E839">
        <f t="shared" si="49"/>
        <v>0</v>
      </c>
    </row>
    <row r="840" spans="2:5" x14ac:dyDescent="0.35">
      <c r="D840" s="30" t="str">
        <f t="shared" si="48"/>
        <v xml:space="preserve">Medical and Pathology Laboratory Technicians </v>
      </c>
      <c r="E840">
        <f t="shared" si="49"/>
        <v>0</v>
      </c>
    </row>
    <row r="841" spans="2:5" x14ac:dyDescent="0.35">
      <c r="D841" s="30" t="str">
        <f t="shared" si="48"/>
        <v xml:space="preserve">Paramedical Practitioners </v>
      </c>
      <c r="E841">
        <f t="shared" si="49"/>
        <v>0</v>
      </c>
    </row>
    <row r="842" spans="2:5" x14ac:dyDescent="0.35">
      <c r="D842" s="30" t="str">
        <f t="shared" si="48"/>
        <v>Physiotherapists and physiotherapy assistants</v>
      </c>
      <c r="E842">
        <f t="shared" si="49"/>
        <v>0</v>
      </c>
    </row>
    <row r="843" spans="2:5" x14ac:dyDescent="0.35">
      <c r="D843" s="30" t="str">
        <f t="shared" si="48"/>
        <v>Social workers</v>
      </c>
      <c r="E843">
        <f t="shared" si="49"/>
        <v>0</v>
      </c>
    </row>
    <row r="844" spans="2:5" x14ac:dyDescent="0.35">
      <c r="D844" s="30" t="str">
        <f t="shared" si="48"/>
        <v xml:space="preserve">Audiologists and Speech Therapists </v>
      </c>
      <c r="E844">
        <f t="shared" si="49"/>
        <v>0</v>
      </c>
    </row>
    <row r="845" spans="2:5" x14ac:dyDescent="0.35">
      <c r="D845" s="30" t="str">
        <f t="shared" si="48"/>
        <v>Traditional and complementary medicine practitioners</v>
      </c>
      <c r="E845">
        <f t="shared" si="49"/>
        <v>0</v>
      </c>
    </row>
    <row r="846" spans="2:5" x14ac:dyDescent="0.35">
      <c r="B846" t="str">
        <f>AJ1</f>
        <v>SEN</v>
      </c>
      <c r="C846">
        <f>AJ2</f>
        <v>17316449</v>
      </c>
      <c r="D846" s="29" t="str">
        <f t="shared" si="48"/>
        <v>Medical Doctors</v>
      </c>
      <c r="E846">
        <f t="shared" ref="E846:E869" si="50">AJ3</f>
        <v>4876</v>
      </c>
    </row>
    <row r="847" spans="2:5" x14ac:dyDescent="0.35">
      <c r="D847" s="30" t="str">
        <f t="shared" si="48"/>
        <v>Nursing Personnel</v>
      </c>
      <c r="E847">
        <f t="shared" si="50"/>
        <v>9474</v>
      </c>
    </row>
    <row r="848" spans="2:5" x14ac:dyDescent="0.35">
      <c r="D848" s="30" t="str">
        <f t="shared" si="48"/>
        <v>Midwifery personnel</v>
      </c>
      <c r="E848">
        <f t="shared" si="50"/>
        <v>5606</v>
      </c>
    </row>
    <row r="849" spans="4:5" x14ac:dyDescent="0.35">
      <c r="D849" s="30" t="str">
        <f t="shared" si="48"/>
        <v>Pharmacists</v>
      </c>
      <c r="E849">
        <f t="shared" si="50"/>
        <v>17</v>
      </c>
    </row>
    <row r="850" spans="4:5" x14ac:dyDescent="0.35">
      <c r="D850" s="30" t="str">
        <f t="shared" si="48"/>
        <v>Dentists</v>
      </c>
      <c r="E850">
        <f t="shared" si="50"/>
        <v>18</v>
      </c>
    </row>
    <row r="851" spans="4:5" x14ac:dyDescent="0.35">
      <c r="D851" s="30" t="str">
        <f t="shared" si="48"/>
        <v xml:space="preserve">Community Health Workers </v>
      </c>
      <c r="E851">
        <f t="shared" si="50"/>
        <v>18757</v>
      </c>
    </row>
    <row r="852" spans="4:5" x14ac:dyDescent="0.35">
      <c r="D852" s="30" t="str">
        <f t="shared" si="48"/>
        <v>Dieticians and nutritionists</v>
      </c>
      <c r="E852">
        <f t="shared" si="50"/>
        <v>0</v>
      </c>
    </row>
    <row r="853" spans="4:5" x14ac:dyDescent="0.35">
      <c r="D853" s="30" t="str">
        <f t="shared" si="48"/>
        <v>Environmental and occupational health &amp; hygiene workers</v>
      </c>
      <c r="E853">
        <f t="shared" si="50"/>
        <v>0</v>
      </c>
    </row>
    <row r="854" spans="4:5" x14ac:dyDescent="0.35">
      <c r="D854" s="30" t="str">
        <f t="shared" si="48"/>
        <v>Personal care workers in health service</v>
      </c>
      <c r="E854">
        <f t="shared" si="50"/>
        <v>3378</v>
      </c>
    </row>
    <row r="855" spans="4:5" x14ac:dyDescent="0.35">
      <c r="D855" s="30" t="str">
        <f t="shared" si="48"/>
        <v xml:space="preserve">Managerial staff </v>
      </c>
      <c r="E855">
        <f t="shared" si="50"/>
        <v>0</v>
      </c>
    </row>
    <row r="856" spans="4:5" x14ac:dyDescent="0.35">
      <c r="D856" s="30" t="str">
        <f t="shared" si="48"/>
        <v xml:space="preserve">Medical and dental Prosthetic Technicians </v>
      </c>
      <c r="E856">
        <f t="shared" si="50"/>
        <v>15</v>
      </c>
    </row>
    <row r="857" spans="4:5" x14ac:dyDescent="0.35">
      <c r="D857" s="30" t="str">
        <f t="shared" si="48"/>
        <v xml:space="preserve">Medical and Pathology Laboratory scientists </v>
      </c>
      <c r="E857">
        <f t="shared" si="50"/>
        <v>0</v>
      </c>
    </row>
    <row r="858" spans="4:5" x14ac:dyDescent="0.35">
      <c r="D858" s="30" t="str">
        <f t="shared" si="48"/>
        <v xml:space="preserve">Medical Assistants </v>
      </c>
      <c r="E858">
        <f t="shared" si="50"/>
        <v>0</v>
      </c>
    </row>
    <row r="859" spans="4:5" x14ac:dyDescent="0.35">
      <c r="D859" s="30" t="str">
        <f t="shared" si="48"/>
        <v xml:space="preserve">Medical Imaging and Therapeutic Equipment Technicians </v>
      </c>
      <c r="E859">
        <f t="shared" si="50"/>
        <v>237</v>
      </c>
    </row>
    <row r="860" spans="4:5" x14ac:dyDescent="0.35">
      <c r="D860" s="30" t="str">
        <f t="shared" si="48"/>
        <v xml:space="preserve">Medical Records and Health Information Technicians </v>
      </c>
      <c r="E860">
        <f t="shared" si="50"/>
        <v>0</v>
      </c>
    </row>
    <row r="861" spans="4:5" x14ac:dyDescent="0.35">
      <c r="D861" s="30" t="str">
        <f t="shared" si="48"/>
        <v xml:space="preserve">Optometrists and Ophthalmic Opticians </v>
      </c>
      <c r="E861">
        <f t="shared" si="50"/>
        <v>0</v>
      </c>
    </row>
    <row r="862" spans="4:5" x14ac:dyDescent="0.35">
      <c r="D862" s="30" t="str">
        <f t="shared" si="48"/>
        <v xml:space="preserve">Other non-medical professional staff </v>
      </c>
      <c r="E862">
        <f t="shared" si="50"/>
        <v>0</v>
      </c>
    </row>
    <row r="863" spans="4:5" x14ac:dyDescent="0.35">
      <c r="D863" s="30" t="str">
        <f t="shared" si="48"/>
        <v xml:space="preserve">Other non-medical support staff </v>
      </c>
      <c r="E863">
        <f t="shared" si="50"/>
        <v>0</v>
      </c>
    </row>
    <row r="864" spans="4:5" x14ac:dyDescent="0.35">
      <c r="D864" s="30" t="str">
        <f t="shared" si="48"/>
        <v xml:space="preserve">Medical and Pathology Laboratory Technicians </v>
      </c>
      <c r="E864">
        <f t="shared" si="50"/>
        <v>252</v>
      </c>
    </row>
    <row r="865" spans="2:5" x14ac:dyDescent="0.35">
      <c r="D865" s="30" t="str">
        <f t="shared" si="48"/>
        <v xml:space="preserve">Paramedical Practitioners </v>
      </c>
      <c r="E865">
        <f t="shared" si="50"/>
        <v>1083</v>
      </c>
    </row>
    <row r="866" spans="2:5" x14ac:dyDescent="0.35">
      <c r="D866" s="30" t="str">
        <f t="shared" si="48"/>
        <v>Physiotherapists and physiotherapy assistants</v>
      </c>
      <c r="E866">
        <f t="shared" si="50"/>
        <v>94</v>
      </c>
    </row>
    <row r="867" spans="2:5" x14ac:dyDescent="0.35">
      <c r="D867" s="30" t="str">
        <f t="shared" si="48"/>
        <v>Social workers</v>
      </c>
      <c r="E867">
        <f t="shared" si="50"/>
        <v>543</v>
      </c>
    </row>
    <row r="868" spans="2:5" x14ac:dyDescent="0.35">
      <c r="D868" s="30" t="str">
        <f t="shared" si="48"/>
        <v xml:space="preserve">Audiologists and Speech Therapists </v>
      </c>
      <c r="E868">
        <f t="shared" si="50"/>
        <v>0</v>
      </c>
    </row>
    <row r="869" spans="2:5" x14ac:dyDescent="0.35">
      <c r="D869" s="30" t="str">
        <f t="shared" si="48"/>
        <v>Traditional and complementary medicine practitioners</v>
      </c>
      <c r="E869">
        <f t="shared" si="50"/>
        <v>0</v>
      </c>
    </row>
    <row r="870" spans="2:5" x14ac:dyDescent="0.35">
      <c r="B870" t="str">
        <f>AK1</f>
        <v>SLE</v>
      </c>
      <c r="C870">
        <f>AK2</f>
        <v>8605718.0000000056</v>
      </c>
      <c r="D870" s="29" t="str">
        <f t="shared" si="48"/>
        <v>Medical Doctors</v>
      </c>
      <c r="E870">
        <f t="shared" ref="E870:E893" si="51">AK3</f>
        <v>753</v>
      </c>
    </row>
    <row r="871" spans="2:5" x14ac:dyDescent="0.35">
      <c r="D871" s="30" t="str">
        <f t="shared" si="48"/>
        <v>Nursing Personnel</v>
      </c>
      <c r="E871">
        <f t="shared" si="51"/>
        <v>14712</v>
      </c>
    </row>
    <row r="872" spans="2:5" x14ac:dyDescent="0.35">
      <c r="D872" s="30" t="str">
        <f t="shared" si="48"/>
        <v>Midwifery personnel</v>
      </c>
      <c r="E872">
        <f t="shared" si="51"/>
        <v>4542</v>
      </c>
    </row>
    <row r="873" spans="2:5" x14ac:dyDescent="0.35">
      <c r="D873" s="30" t="str">
        <f t="shared" si="48"/>
        <v>Pharmacists</v>
      </c>
      <c r="E873">
        <f t="shared" si="51"/>
        <v>0</v>
      </c>
    </row>
    <row r="874" spans="2:5" x14ac:dyDescent="0.35">
      <c r="D874" s="30" t="str">
        <f t="shared" si="48"/>
        <v>Dentists</v>
      </c>
      <c r="E874">
        <f t="shared" si="51"/>
        <v>0</v>
      </c>
    </row>
    <row r="875" spans="2:5" x14ac:dyDescent="0.35">
      <c r="D875" s="30" t="str">
        <f t="shared" si="48"/>
        <v xml:space="preserve">Community Health Workers </v>
      </c>
      <c r="E875">
        <f t="shared" si="51"/>
        <v>0</v>
      </c>
    </row>
    <row r="876" spans="2:5" x14ac:dyDescent="0.35">
      <c r="D876" s="30" t="str">
        <f t="shared" si="48"/>
        <v>Dieticians and nutritionists</v>
      </c>
      <c r="E876">
        <f t="shared" si="51"/>
        <v>0</v>
      </c>
    </row>
    <row r="877" spans="2:5" x14ac:dyDescent="0.35">
      <c r="D877" s="30" t="str">
        <f t="shared" si="48"/>
        <v>Environmental and occupational health &amp; hygiene workers</v>
      </c>
      <c r="E877">
        <f t="shared" si="51"/>
        <v>0</v>
      </c>
    </row>
    <row r="878" spans="2:5" x14ac:dyDescent="0.35">
      <c r="D878" s="30" t="str">
        <f t="shared" ref="D878:D941" si="52">D854</f>
        <v>Personal care workers in health service</v>
      </c>
      <c r="E878">
        <f t="shared" si="51"/>
        <v>0</v>
      </c>
    </row>
    <row r="879" spans="2:5" x14ac:dyDescent="0.35">
      <c r="D879" s="30" t="str">
        <f t="shared" si="52"/>
        <v xml:space="preserve">Managerial staff </v>
      </c>
      <c r="E879">
        <f t="shared" si="51"/>
        <v>0</v>
      </c>
    </row>
    <row r="880" spans="2:5" x14ac:dyDescent="0.35">
      <c r="D880" s="30" t="str">
        <f t="shared" si="52"/>
        <v xml:space="preserve">Medical and dental Prosthetic Technicians </v>
      </c>
      <c r="E880">
        <f t="shared" si="51"/>
        <v>13</v>
      </c>
    </row>
    <row r="881" spans="2:5" x14ac:dyDescent="0.35">
      <c r="D881" s="30" t="str">
        <f t="shared" si="52"/>
        <v xml:space="preserve">Medical and Pathology Laboratory scientists </v>
      </c>
      <c r="E881">
        <f t="shared" si="51"/>
        <v>0</v>
      </c>
    </row>
    <row r="882" spans="2:5" x14ac:dyDescent="0.35">
      <c r="D882" s="30" t="str">
        <f t="shared" si="52"/>
        <v xml:space="preserve">Medical Assistants </v>
      </c>
      <c r="E882">
        <f t="shared" si="51"/>
        <v>0</v>
      </c>
    </row>
    <row r="883" spans="2:5" x14ac:dyDescent="0.35">
      <c r="D883" s="30" t="str">
        <f t="shared" si="52"/>
        <v xml:space="preserve">Medical Imaging and Therapeutic Equipment Technicians </v>
      </c>
      <c r="E883">
        <f t="shared" si="51"/>
        <v>38</v>
      </c>
    </row>
    <row r="884" spans="2:5" x14ac:dyDescent="0.35">
      <c r="D884" s="30" t="str">
        <f t="shared" si="52"/>
        <v xml:space="preserve">Medical Records and Health Information Technicians </v>
      </c>
      <c r="E884">
        <f t="shared" si="51"/>
        <v>195</v>
      </c>
    </row>
    <row r="885" spans="2:5" x14ac:dyDescent="0.35">
      <c r="D885" s="30" t="str">
        <f t="shared" si="52"/>
        <v xml:space="preserve">Optometrists and Ophthalmic Opticians </v>
      </c>
      <c r="E885">
        <f t="shared" si="51"/>
        <v>2</v>
      </c>
    </row>
    <row r="886" spans="2:5" x14ac:dyDescent="0.35">
      <c r="D886" s="30" t="str">
        <f t="shared" si="52"/>
        <v xml:space="preserve">Other non-medical professional staff </v>
      </c>
      <c r="E886">
        <f t="shared" si="51"/>
        <v>0</v>
      </c>
    </row>
    <row r="887" spans="2:5" x14ac:dyDescent="0.35">
      <c r="D887" s="30" t="str">
        <f t="shared" si="52"/>
        <v xml:space="preserve">Other non-medical support staff </v>
      </c>
      <c r="E887">
        <f t="shared" si="51"/>
        <v>0</v>
      </c>
    </row>
    <row r="888" spans="2:5" x14ac:dyDescent="0.35">
      <c r="D888" s="30" t="str">
        <f t="shared" si="52"/>
        <v xml:space="preserve">Medical and Pathology Laboratory Technicians </v>
      </c>
      <c r="E888">
        <f t="shared" si="51"/>
        <v>298</v>
      </c>
    </row>
    <row r="889" spans="2:5" x14ac:dyDescent="0.35">
      <c r="D889" s="30" t="str">
        <f t="shared" si="52"/>
        <v xml:space="preserve">Paramedical Practitioners </v>
      </c>
      <c r="E889">
        <f t="shared" si="51"/>
        <v>0</v>
      </c>
    </row>
    <row r="890" spans="2:5" x14ac:dyDescent="0.35">
      <c r="D890" s="30" t="str">
        <f t="shared" si="52"/>
        <v>Physiotherapists and physiotherapy assistants</v>
      </c>
      <c r="E890">
        <f t="shared" si="51"/>
        <v>0</v>
      </c>
    </row>
    <row r="891" spans="2:5" x14ac:dyDescent="0.35">
      <c r="D891" s="30" t="str">
        <f t="shared" si="52"/>
        <v>Social workers</v>
      </c>
      <c r="E891">
        <f t="shared" si="51"/>
        <v>0</v>
      </c>
    </row>
    <row r="892" spans="2:5" x14ac:dyDescent="0.35">
      <c r="D892" s="30" t="str">
        <f t="shared" si="52"/>
        <v xml:space="preserve">Audiologists and Speech Therapists </v>
      </c>
      <c r="E892">
        <f t="shared" si="51"/>
        <v>0</v>
      </c>
    </row>
    <row r="893" spans="2:5" x14ac:dyDescent="0.35">
      <c r="D893" s="30" t="str">
        <f t="shared" si="52"/>
        <v>Traditional and complementary medicine practitioners</v>
      </c>
      <c r="E893">
        <f t="shared" si="51"/>
        <v>0</v>
      </c>
    </row>
    <row r="894" spans="2:5" x14ac:dyDescent="0.35">
      <c r="B894" t="str">
        <f>AL1</f>
        <v>SSD</v>
      </c>
      <c r="C894">
        <f>AL2</f>
        <v>10913163.5</v>
      </c>
      <c r="D894" s="29" t="str">
        <f t="shared" si="52"/>
        <v>Medical Doctors</v>
      </c>
      <c r="E894">
        <f t="shared" ref="E894:E917" si="53">AL3</f>
        <v>0</v>
      </c>
    </row>
    <row r="895" spans="2:5" x14ac:dyDescent="0.35">
      <c r="D895" s="30" t="str">
        <f t="shared" si="52"/>
        <v>Nursing Personnel</v>
      </c>
      <c r="E895">
        <f t="shared" si="53"/>
        <v>0</v>
      </c>
    </row>
    <row r="896" spans="2:5" x14ac:dyDescent="0.35">
      <c r="D896" s="30" t="str">
        <f t="shared" si="52"/>
        <v>Midwifery personnel</v>
      </c>
      <c r="E896">
        <f t="shared" si="53"/>
        <v>0</v>
      </c>
    </row>
    <row r="897" spans="4:5" x14ac:dyDescent="0.35">
      <c r="D897" s="30" t="str">
        <f t="shared" si="52"/>
        <v>Pharmacists</v>
      </c>
      <c r="E897">
        <f t="shared" si="53"/>
        <v>0</v>
      </c>
    </row>
    <row r="898" spans="4:5" x14ac:dyDescent="0.35">
      <c r="D898" s="30" t="str">
        <f t="shared" si="52"/>
        <v>Dentists</v>
      </c>
      <c r="E898">
        <f t="shared" si="53"/>
        <v>0</v>
      </c>
    </row>
    <row r="899" spans="4:5" x14ac:dyDescent="0.35">
      <c r="D899" s="30" t="str">
        <f t="shared" si="52"/>
        <v xml:space="preserve">Community Health Workers </v>
      </c>
      <c r="E899">
        <f t="shared" si="53"/>
        <v>0</v>
      </c>
    </row>
    <row r="900" spans="4:5" x14ac:dyDescent="0.35">
      <c r="D900" s="30" t="str">
        <f t="shared" si="52"/>
        <v>Dieticians and nutritionists</v>
      </c>
      <c r="E900">
        <f t="shared" si="53"/>
        <v>0</v>
      </c>
    </row>
    <row r="901" spans="4:5" x14ac:dyDescent="0.35">
      <c r="D901" s="30" t="str">
        <f t="shared" si="52"/>
        <v>Environmental and occupational health &amp; hygiene workers</v>
      </c>
      <c r="E901">
        <f t="shared" si="53"/>
        <v>0</v>
      </c>
    </row>
    <row r="902" spans="4:5" x14ac:dyDescent="0.35">
      <c r="D902" s="30" t="str">
        <f t="shared" si="52"/>
        <v>Personal care workers in health service</v>
      </c>
      <c r="E902">
        <f t="shared" si="53"/>
        <v>0</v>
      </c>
    </row>
    <row r="903" spans="4:5" x14ac:dyDescent="0.35">
      <c r="D903" s="30" t="str">
        <f t="shared" si="52"/>
        <v xml:space="preserve">Managerial staff </v>
      </c>
      <c r="E903">
        <f t="shared" si="53"/>
        <v>0</v>
      </c>
    </row>
    <row r="904" spans="4:5" x14ac:dyDescent="0.35">
      <c r="D904" s="30" t="str">
        <f t="shared" si="52"/>
        <v xml:space="preserve">Medical and dental Prosthetic Technicians </v>
      </c>
      <c r="E904">
        <f t="shared" si="53"/>
        <v>0</v>
      </c>
    </row>
    <row r="905" spans="4:5" x14ac:dyDescent="0.35">
      <c r="D905" s="30" t="str">
        <f t="shared" si="52"/>
        <v xml:space="preserve">Medical and Pathology Laboratory scientists </v>
      </c>
      <c r="E905">
        <f t="shared" si="53"/>
        <v>0</v>
      </c>
    </row>
    <row r="906" spans="4:5" x14ac:dyDescent="0.35">
      <c r="D906" s="30" t="str">
        <f t="shared" si="52"/>
        <v xml:space="preserve">Medical Assistants </v>
      </c>
      <c r="E906">
        <f t="shared" si="53"/>
        <v>0</v>
      </c>
    </row>
    <row r="907" spans="4:5" x14ac:dyDescent="0.35">
      <c r="D907" s="30" t="str">
        <f t="shared" si="52"/>
        <v xml:space="preserve">Medical Imaging and Therapeutic Equipment Technicians </v>
      </c>
      <c r="E907">
        <f t="shared" si="53"/>
        <v>0</v>
      </c>
    </row>
    <row r="908" spans="4:5" x14ac:dyDescent="0.35">
      <c r="D908" s="30" t="str">
        <f t="shared" si="52"/>
        <v xml:space="preserve">Medical Records and Health Information Technicians </v>
      </c>
      <c r="E908">
        <f t="shared" si="53"/>
        <v>0</v>
      </c>
    </row>
    <row r="909" spans="4:5" x14ac:dyDescent="0.35">
      <c r="D909" s="30" t="str">
        <f t="shared" si="52"/>
        <v xml:space="preserve">Optometrists and Ophthalmic Opticians </v>
      </c>
      <c r="E909">
        <f t="shared" si="53"/>
        <v>0</v>
      </c>
    </row>
    <row r="910" spans="4:5" x14ac:dyDescent="0.35">
      <c r="D910" s="30" t="str">
        <f t="shared" si="52"/>
        <v xml:space="preserve">Other non-medical professional staff </v>
      </c>
      <c r="E910">
        <f t="shared" si="53"/>
        <v>0</v>
      </c>
    </row>
    <row r="911" spans="4:5" x14ac:dyDescent="0.35">
      <c r="D911" s="30" t="str">
        <f t="shared" si="52"/>
        <v xml:space="preserve">Other non-medical support staff </v>
      </c>
      <c r="E911">
        <f t="shared" si="53"/>
        <v>0</v>
      </c>
    </row>
    <row r="912" spans="4:5" x14ac:dyDescent="0.35">
      <c r="D912" s="30" t="str">
        <f t="shared" si="52"/>
        <v xml:space="preserve">Medical and Pathology Laboratory Technicians </v>
      </c>
      <c r="E912">
        <f t="shared" si="53"/>
        <v>0</v>
      </c>
    </row>
    <row r="913" spans="2:5" x14ac:dyDescent="0.35">
      <c r="D913" s="30" t="str">
        <f t="shared" si="52"/>
        <v xml:space="preserve">Paramedical Practitioners </v>
      </c>
      <c r="E913">
        <f t="shared" si="53"/>
        <v>0</v>
      </c>
    </row>
    <row r="914" spans="2:5" x14ac:dyDescent="0.35">
      <c r="D914" s="30" t="str">
        <f t="shared" si="52"/>
        <v>Physiotherapists and physiotherapy assistants</v>
      </c>
      <c r="E914">
        <f t="shared" si="53"/>
        <v>0</v>
      </c>
    </row>
    <row r="915" spans="2:5" x14ac:dyDescent="0.35">
      <c r="D915" s="30" t="str">
        <f t="shared" si="52"/>
        <v>Social workers</v>
      </c>
      <c r="E915">
        <f t="shared" si="53"/>
        <v>0</v>
      </c>
    </row>
    <row r="916" spans="2:5" x14ac:dyDescent="0.35">
      <c r="D916" s="30" t="str">
        <f t="shared" si="52"/>
        <v xml:space="preserve">Audiologists and Speech Therapists </v>
      </c>
      <c r="E916">
        <f t="shared" si="53"/>
        <v>0</v>
      </c>
    </row>
    <row r="917" spans="2:5" x14ac:dyDescent="0.35">
      <c r="D917" s="30" t="str">
        <f t="shared" si="52"/>
        <v>Traditional and complementary medicine practitioners</v>
      </c>
      <c r="E917">
        <f t="shared" si="53"/>
        <v>0</v>
      </c>
    </row>
    <row r="918" spans="2:5" x14ac:dyDescent="0.35">
      <c r="B918" t="str">
        <f>AM1</f>
        <v>STP</v>
      </c>
      <c r="C918">
        <f>AM2</f>
        <v>227379.5</v>
      </c>
      <c r="D918" s="29" t="str">
        <f t="shared" si="52"/>
        <v>Medical Doctors</v>
      </c>
      <c r="E918">
        <f t="shared" ref="E918:E941" si="54">AM3</f>
        <v>0</v>
      </c>
    </row>
    <row r="919" spans="2:5" x14ac:dyDescent="0.35">
      <c r="D919" s="30" t="str">
        <f t="shared" si="52"/>
        <v>Nursing Personnel</v>
      </c>
      <c r="E919">
        <f t="shared" si="54"/>
        <v>0</v>
      </c>
    </row>
    <row r="920" spans="2:5" x14ac:dyDescent="0.35">
      <c r="D920" s="30" t="str">
        <f t="shared" si="52"/>
        <v>Midwifery personnel</v>
      </c>
      <c r="E920">
        <f t="shared" si="54"/>
        <v>0</v>
      </c>
    </row>
    <row r="921" spans="2:5" x14ac:dyDescent="0.35">
      <c r="D921" s="30" t="str">
        <f t="shared" si="52"/>
        <v>Pharmacists</v>
      </c>
      <c r="E921">
        <f t="shared" si="54"/>
        <v>0</v>
      </c>
    </row>
    <row r="922" spans="2:5" x14ac:dyDescent="0.35">
      <c r="D922" s="30" t="str">
        <f t="shared" si="52"/>
        <v>Dentists</v>
      </c>
      <c r="E922">
        <f t="shared" si="54"/>
        <v>0</v>
      </c>
    </row>
    <row r="923" spans="2:5" x14ac:dyDescent="0.35">
      <c r="D923" s="30" t="str">
        <f t="shared" si="52"/>
        <v xml:space="preserve">Community Health Workers </v>
      </c>
      <c r="E923">
        <f t="shared" si="54"/>
        <v>0</v>
      </c>
    </row>
    <row r="924" spans="2:5" x14ac:dyDescent="0.35">
      <c r="D924" s="30" t="str">
        <f t="shared" si="52"/>
        <v>Dieticians and nutritionists</v>
      </c>
      <c r="E924">
        <f t="shared" si="54"/>
        <v>0</v>
      </c>
    </row>
    <row r="925" spans="2:5" x14ac:dyDescent="0.35">
      <c r="D925" s="30" t="str">
        <f t="shared" si="52"/>
        <v>Environmental and occupational health &amp; hygiene workers</v>
      </c>
      <c r="E925">
        <f t="shared" si="54"/>
        <v>0</v>
      </c>
    </row>
    <row r="926" spans="2:5" x14ac:dyDescent="0.35">
      <c r="D926" s="30" t="str">
        <f t="shared" si="52"/>
        <v>Personal care workers in health service</v>
      </c>
      <c r="E926">
        <f t="shared" si="54"/>
        <v>0</v>
      </c>
    </row>
    <row r="927" spans="2:5" x14ac:dyDescent="0.35">
      <c r="D927" s="30" t="str">
        <f t="shared" si="52"/>
        <v xml:space="preserve">Managerial staff </v>
      </c>
      <c r="E927">
        <f t="shared" si="54"/>
        <v>0</v>
      </c>
    </row>
    <row r="928" spans="2:5" x14ac:dyDescent="0.35">
      <c r="D928" s="30" t="str">
        <f t="shared" si="52"/>
        <v xml:space="preserve">Medical and dental Prosthetic Technicians </v>
      </c>
      <c r="E928">
        <f t="shared" si="54"/>
        <v>0</v>
      </c>
    </row>
    <row r="929" spans="2:5" x14ac:dyDescent="0.35">
      <c r="D929" s="30" t="str">
        <f t="shared" si="52"/>
        <v xml:space="preserve">Medical and Pathology Laboratory scientists </v>
      </c>
      <c r="E929">
        <f t="shared" si="54"/>
        <v>0</v>
      </c>
    </row>
    <row r="930" spans="2:5" x14ac:dyDescent="0.35">
      <c r="D930" s="30" t="str">
        <f t="shared" si="52"/>
        <v xml:space="preserve">Medical Assistants </v>
      </c>
      <c r="E930">
        <f t="shared" si="54"/>
        <v>0</v>
      </c>
    </row>
    <row r="931" spans="2:5" x14ac:dyDescent="0.35">
      <c r="D931" s="30" t="str">
        <f t="shared" si="52"/>
        <v xml:space="preserve">Medical Imaging and Therapeutic Equipment Technicians </v>
      </c>
      <c r="E931">
        <f t="shared" si="54"/>
        <v>0</v>
      </c>
    </row>
    <row r="932" spans="2:5" x14ac:dyDescent="0.35">
      <c r="D932" s="30" t="str">
        <f t="shared" si="52"/>
        <v xml:space="preserve">Medical Records and Health Information Technicians </v>
      </c>
      <c r="E932">
        <f t="shared" si="54"/>
        <v>0</v>
      </c>
    </row>
    <row r="933" spans="2:5" x14ac:dyDescent="0.35">
      <c r="D933" s="30" t="str">
        <f t="shared" si="52"/>
        <v xml:space="preserve">Optometrists and Ophthalmic Opticians </v>
      </c>
      <c r="E933">
        <f t="shared" si="54"/>
        <v>0</v>
      </c>
    </row>
    <row r="934" spans="2:5" x14ac:dyDescent="0.35">
      <c r="D934" s="30" t="str">
        <f t="shared" si="52"/>
        <v xml:space="preserve">Other non-medical professional staff </v>
      </c>
      <c r="E934">
        <f t="shared" si="54"/>
        <v>0</v>
      </c>
    </row>
    <row r="935" spans="2:5" x14ac:dyDescent="0.35">
      <c r="D935" s="30" t="str">
        <f t="shared" si="52"/>
        <v xml:space="preserve">Other non-medical support staff </v>
      </c>
      <c r="E935">
        <f t="shared" si="54"/>
        <v>0</v>
      </c>
    </row>
    <row r="936" spans="2:5" x14ac:dyDescent="0.35">
      <c r="D936" s="30" t="str">
        <f t="shared" si="52"/>
        <v xml:space="preserve">Medical and Pathology Laboratory Technicians </v>
      </c>
      <c r="E936">
        <f t="shared" si="54"/>
        <v>0</v>
      </c>
    </row>
    <row r="937" spans="2:5" x14ac:dyDescent="0.35">
      <c r="D937" s="30" t="str">
        <f t="shared" si="52"/>
        <v xml:space="preserve">Paramedical Practitioners </v>
      </c>
      <c r="E937">
        <f t="shared" si="54"/>
        <v>0</v>
      </c>
    </row>
    <row r="938" spans="2:5" x14ac:dyDescent="0.35">
      <c r="D938" s="30" t="str">
        <f t="shared" si="52"/>
        <v>Physiotherapists and physiotherapy assistants</v>
      </c>
      <c r="E938">
        <f t="shared" si="54"/>
        <v>0</v>
      </c>
    </row>
    <row r="939" spans="2:5" x14ac:dyDescent="0.35">
      <c r="D939" s="30" t="str">
        <f t="shared" si="52"/>
        <v>Social workers</v>
      </c>
      <c r="E939">
        <f t="shared" si="54"/>
        <v>0</v>
      </c>
    </row>
    <row r="940" spans="2:5" x14ac:dyDescent="0.35">
      <c r="D940" s="30" t="str">
        <f t="shared" si="52"/>
        <v xml:space="preserve">Audiologists and Speech Therapists </v>
      </c>
      <c r="E940">
        <f t="shared" si="54"/>
        <v>0</v>
      </c>
    </row>
    <row r="941" spans="2:5" x14ac:dyDescent="0.35">
      <c r="D941" s="30" t="str">
        <f t="shared" si="52"/>
        <v>Traditional and complementary medicine practitioners</v>
      </c>
      <c r="E941">
        <f t="shared" si="54"/>
        <v>0</v>
      </c>
    </row>
    <row r="942" spans="2:5" x14ac:dyDescent="0.35">
      <c r="B942" t="str">
        <f>AN1</f>
        <v>SWZ</v>
      </c>
      <c r="C942">
        <f>AN2</f>
        <v>1201670.4999999995</v>
      </c>
      <c r="D942" s="29" t="str">
        <f t="shared" ref="D942:D1005" si="55">D918</f>
        <v>Medical Doctors</v>
      </c>
      <c r="E942">
        <f t="shared" ref="E942:E965" si="56">AN3</f>
        <v>4063</v>
      </c>
    </row>
    <row r="943" spans="2:5" x14ac:dyDescent="0.35">
      <c r="D943" s="30" t="str">
        <f t="shared" si="55"/>
        <v>Nursing Personnel</v>
      </c>
      <c r="E943">
        <f t="shared" si="56"/>
        <v>7648</v>
      </c>
    </row>
    <row r="944" spans="2:5" x14ac:dyDescent="0.35">
      <c r="D944" s="30" t="str">
        <f t="shared" si="55"/>
        <v>Midwifery personnel</v>
      </c>
      <c r="E944">
        <f t="shared" si="56"/>
        <v>0</v>
      </c>
    </row>
    <row r="945" spans="4:5" x14ac:dyDescent="0.35">
      <c r="D945" s="30" t="str">
        <f t="shared" si="55"/>
        <v>Pharmacists</v>
      </c>
      <c r="E945">
        <f t="shared" si="56"/>
        <v>15498</v>
      </c>
    </row>
    <row r="946" spans="4:5" x14ac:dyDescent="0.35">
      <c r="D946" s="30" t="str">
        <f t="shared" si="55"/>
        <v>Dentists</v>
      </c>
      <c r="E946">
        <f t="shared" si="56"/>
        <v>338</v>
      </c>
    </row>
    <row r="947" spans="4:5" x14ac:dyDescent="0.35">
      <c r="D947" s="30" t="str">
        <f t="shared" si="55"/>
        <v xml:space="preserve">Community Health Workers </v>
      </c>
      <c r="E947">
        <f t="shared" si="56"/>
        <v>0</v>
      </c>
    </row>
    <row r="948" spans="4:5" x14ac:dyDescent="0.35">
      <c r="D948" s="30" t="str">
        <f t="shared" si="55"/>
        <v>Dieticians and nutritionists</v>
      </c>
      <c r="E948">
        <f t="shared" si="56"/>
        <v>688</v>
      </c>
    </row>
    <row r="949" spans="4:5" x14ac:dyDescent="0.35">
      <c r="D949" s="30" t="str">
        <f t="shared" si="55"/>
        <v>Environmental and occupational health &amp; hygiene workers</v>
      </c>
      <c r="E949">
        <f t="shared" si="56"/>
        <v>2886</v>
      </c>
    </row>
    <row r="950" spans="4:5" x14ac:dyDescent="0.35">
      <c r="D950" s="30" t="str">
        <f t="shared" si="55"/>
        <v>Personal care workers in health service</v>
      </c>
      <c r="E950">
        <f t="shared" si="56"/>
        <v>0</v>
      </c>
    </row>
    <row r="951" spans="4:5" x14ac:dyDescent="0.35">
      <c r="D951" s="30" t="str">
        <f t="shared" si="55"/>
        <v xml:space="preserve">Managerial staff </v>
      </c>
      <c r="E951">
        <f t="shared" si="56"/>
        <v>0</v>
      </c>
    </row>
    <row r="952" spans="4:5" x14ac:dyDescent="0.35">
      <c r="D952" s="30" t="str">
        <f t="shared" si="55"/>
        <v xml:space="preserve">Medical and dental Prosthetic Technicians </v>
      </c>
      <c r="E952">
        <f t="shared" si="56"/>
        <v>0</v>
      </c>
    </row>
    <row r="953" spans="4:5" x14ac:dyDescent="0.35">
      <c r="D953" s="30" t="str">
        <f t="shared" si="55"/>
        <v xml:space="preserve">Medical and Pathology Laboratory scientists </v>
      </c>
      <c r="E953">
        <f t="shared" si="56"/>
        <v>0</v>
      </c>
    </row>
    <row r="954" spans="4:5" x14ac:dyDescent="0.35">
      <c r="D954" s="30" t="str">
        <f t="shared" si="55"/>
        <v xml:space="preserve">Medical Assistants </v>
      </c>
      <c r="E954">
        <f t="shared" si="56"/>
        <v>0</v>
      </c>
    </row>
    <row r="955" spans="4:5" x14ac:dyDescent="0.35">
      <c r="D955" s="30" t="str">
        <f t="shared" si="55"/>
        <v xml:space="preserve">Medical Imaging and Therapeutic Equipment Technicians </v>
      </c>
      <c r="E955">
        <f t="shared" si="56"/>
        <v>0</v>
      </c>
    </row>
    <row r="956" spans="4:5" x14ac:dyDescent="0.35">
      <c r="D956" s="30" t="str">
        <f t="shared" si="55"/>
        <v xml:space="preserve">Medical Records and Health Information Technicians </v>
      </c>
      <c r="E956">
        <f t="shared" si="56"/>
        <v>0</v>
      </c>
    </row>
    <row r="957" spans="4:5" x14ac:dyDescent="0.35">
      <c r="D957" s="30" t="str">
        <f t="shared" si="55"/>
        <v xml:space="preserve">Optometrists and Ophthalmic Opticians </v>
      </c>
      <c r="E957">
        <f t="shared" si="56"/>
        <v>0</v>
      </c>
    </row>
    <row r="958" spans="4:5" x14ac:dyDescent="0.35">
      <c r="D958" s="30" t="str">
        <f t="shared" si="55"/>
        <v xml:space="preserve">Other non-medical professional staff </v>
      </c>
      <c r="E958">
        <f t="shared" si="56"/>
        <v>0</v>
      </c>
    </row>
    <row r="959" spans="4:5" x14ac:dyDescent="0.35">
      <c r="D959" s="30" t="str">
        <f t="shared" si="55"/>
        <v xml:space="preserve">Other non-medical support staff </v>
      </c>
      <c r="E959">
        <f t="shared" si="56"/>
        <v>0</v>
      </c>
    </row>
    <row r="960" spans="4:5" x14ac:dyDescent="0.35">
      <c r="D960" s="30" t="str">
        <f t="shared" si="55"/>
        <v xml:space="preserve">Medical and Pathology Laboratory Technicians </v>
      </c>
      <c r="E960">
        <f t="shared" si="56"/>
        <v>0</v>
      </c>
    </row>
    <row r="961" spans="2:5" x14ac:dyDescent="0.35">
      <c r="D961" s="30" t="str">
        <f t="shared" si="55"/>
        <v xml:space="preserve">Paramedical Practitioners </v>
      </c>
      <c r="E961">
        <f t="shared" si="56"/>
        <v>0</v>
      </c>
    </row>
    <row r="962" spans="2:5" x14ac:dyDescent="0.35">
      <c r="D962" s="30" t="str">
        <f t="shared" si="55"/>
        <v>Physiotherapists and physiotherapy assistants</v>
      </c>
      <c r="E962">
        <f t="shared" si="56"/>
        <v>0</v>
      </c>
    </row>
    <row r="963" spans="2:5" x14ac:dyDescent="0.35">
      <c r="D963" s="30" t="str">
        <f t="shared" si="55"/>
        <v>Social workers</v>
      </c>
      <c r="E963">
        <f t="shared" si="56"/>
        <v>0</v>
      </c>
    </row>
    <row r="964" spans="2:5" x14ac:dyDescent="0.35">
      <c r="D964" s="30" t="str">
        <f t="shared" si="55"/>
        <v xml:space="preserve">Audiologists and Speech Therapists </v>
      </c>
      <c r="E964">
        <f t="shared" si="56"/>
        <v>0</v>
      </c>
    </row>
    <row r="965" spans="2:5" x14ac:dyDescent="0.35">
      <c r="D965" s="30" t="str">
        <f t="shared" si="55"/>
        <v>Traditional and complementary medicine practitioners</v>
      </c>
      <c r="E965">
        <f t="shared" si="56"/>
        <v>0</v>
      </c>
    </row>
    <row r="966" spans="2:5" x14ac:dyDescent="0.35">
      <c r="B966" t="str">
        <f>AO1</f>
        <v>SYC</v>
      </c>
      <c r="C966">
        <f>AO2</f>
        <v>107118.5</v>
      </c>
      <c r="D966" s="29" t="str">
        <f t="shared" si="55"/>
        <v>Medical Doctors</v>
      </c>
      <c r="E966">
        <f t="shared" ref="E966:E989" si="57">AO3</f>
        <v>923</v>
      </c>
    </row>
    <row r="967" spans="2:5" x14ac:dyDescent="0.35">
      <c r="D967" s="30" t="str">
        <f t="shared" si="55"/>
        <v>Nursing Personnel</v>
      </c>
      <c r="E967">
        <f t="shared" si="57"/>
        <v>1246</v>
      </c>
    </row>
    <row r="968" spans="2:5" x14ac:dyDescent="0.35">
      <c r="D968" s="30" t="str">
        <f t="shared" si="55"/>
        <v>Midwifery personnel</v>
      </c>
      <c r="E968">
        <f t="shared" si="57"/>
        <v>312</v>
      </c>
    </row>
    <row r="969" spans="2:5" x14ac:dyDescent="0.35">
      <c r="D969" s="30" t="str">
        <f t="shared" si="55"/>
        <v>Pharmacists</v>
      </c>
      <c r="E969">
        <f t="shared" si="57"/>
        <v>0</v>
      </c>
    </row>
    <row r="970" spans="2:5" x14ac:dyDescent="0.35">
      <c r="D970" s="30" t="str">
        <f t="shared" si="55"/>
        <v>Dentists</v>
      </c>
      <c r="E970">
        <f t="shared" si="57"/>
        <v>0</v>
      </c>
    </row>
    <row r="971" spans="2:5" x14ac:dyDescent="0.35">
      <c r="D971" s="30" t="str">
        <f t="shared" si="55"/>
        <v xml:space="preserve">Community Health Workers </v>
      </c>
      <c r="E971">
        <f t="shared" si="57"/>
        <v>0</v>
      </c>
    </row>
    <row r="972" spans="2:5" x14ac:dyDescent="0.35">
      <c r="D972" s="30" t="str">
        <f t="shared" si="55"/>
        <v>Dieticians and nutritionists</v>
      </c>
      <c r="E972">
        <f t="shared" si="57"/>
        <v>0</v>
      </c>
    </row>
    <row r="973" spans="2:5" x14ac:dyDescent="0.35">
      <c r="D973" s="30" t="str">
        <f t="shared" si="55"/>
        <v>Environmental and occupational health &amp; hygiene workers</v>
      </c>
      <c r="E973">
        <f t="shared" si="57"/>
        <v>0</v>
      </c>
    </row>
    <row r="974" spans="2:5" x14ac:dyDescent="0.35">
      <c r="D974" s="30" t="str">
        <f t="shared" si="55"/>
        <v>Personal care workers in health service</v>
      </c>
      <c r="E974">
        <f t="shared" si="57"/>
        <v>0</v>
      </c>
    </row>
    <row r="975" spans="2:5" x14ac:dyDescent="0.35">
      <c r="D975" s="30" t="str">
        <f t="shared" si="55"/>
        <v xml:space="preserve">Managerial staff </v>
      </c>
      <c r="E975">
        <f t="shared" si="57"/>
        <v>0</v>
      </c>
    </row>
    <row r="976" spans="2:5" x14ac:dyDescent="0.35">
      <c r="D976" s="30" t="str">
        <f t="shared" si="55"/>
        <v xml:space="preserve">Medical and dental Prosthetic Technicians </v>
      </c>
      <c r="E976">
        <f t="shared" si="57"/>
        <v>0</v>
      </c>
    </row>
    <row r="977" spans="2:5" x14ac:dyDescent="0.35">
      <c r="D977" s="30" t="str">
        <f t="shared" si="55"/>
        <v xml:space="preserve">Medical and Pathology Laboratory scientists </v>
      </c>
      <c r="E977">
        <f t="shared" si="57"/>
        <v>0</v>
      </c>
    </row>
    <row r="978" spans="2:5" x14ac:dyDescent="0.35">
      <c r="D978" s="30" t="str">
        <f t="shared" si="55"/>
        <v xml:space="preserve">Medical Assistants </v>
      </c>
      <c r="E978">
        <f t="shared" si="57"/>
        <v>0</v>
      </c>
    </row>
    <row r="979" spans="2:5" x14ac:dyDescent="0.35">
      <c r="D979" s="30" t="str">
        <f t="shared" si="55"/>
        <v xml:space="preserve">Medical Imaging and Therapeutic Equipment Technicians </v>
      </c>
      <c r="E979">
        <f t="shared" si="57"/>
        <v>0</v>
      </c>
    </row>
    <row r="980" spans="2:5" x14ac:dyDescent="0.35">
      <c r="D980" s="30" t="str">
        <f t="shared" si="55"/>
        <v xml:space="preserve">Medical Records and Health Information Technicians </v>
      </c>
      <c r="E980">
        <f t="shared" si="57"/>
        <v>0</v>
      </c>
    </row>
    <row r="981" spans="2:5" x14ac:dyDescent="0.35">
      <c r="D981" s="30" t="str">
        <f t="shared" si="55"/>
        <v xml:space="preserve">Optometrists and Ophthalmic Opticians </v>
      </c>
      <c r="E981">
        <f t="shared" si="57"/>
        <v>0</v>
      </c>
    </row>
    <row r="982" spans="2:5" x14ac:dyDescent="0.35">
      <c r="D982" s="30" t="str">
        <f t="shared" si="55"/>
        <v xml:space="preserve">Other non-medical professional staff </v>
      </c>
      <c r="E982">
        <f t="shared" si="57"/>
        <v>0</v>
      </c>
    </row>
    <row r="983" spans="2:5" x14ac:dyDescent="0.35">
      <c r="D983" s="30" t="str">
        <f t="shared" si="55"/>
        <v xml:space="preserve">Other non-medical support staff </v>
      </c>
      <c r="E983">
        <f t="shared" si="57"/>
        <v>0</v>
      </c>
    </row>
    <row r="984" spans="2:5" x14ac:dyDescent="0.35">
      <c r="D984" s="30" t="str">
        <f t="shared" si="55"/>
        <v xml:space="preserve">Medical and Pathology Laboratory Technicians </v>
      </c>
      <c r="E984">
        <f t="shared" si="57"/>
        <v>0</v>
      </c>
    </row>
    <row r="985" spans="2:5" x14ac:dyDescent="0.35">
      <c r="D985" s="30" t="str">
        <f t="shared" si="55"/>
        <v xml:space="preserve">Paramedical Practitioners </v>
      </c>
      <c r="E985">
        <f t="shared" si="57"/>
        <v>0</v>
      </c>
    </row>
    <row r="986" spans="2:5" x14ac:dyDescent="0.35">
      <c r="D986" s="30" t="str">
        <f t="shared" si="55"/>
        <v>Physiotherapists and physiotherapy assistants</v>
      </c>
      <c r="E986">
        <f t="shared" si="57"/>
        <v>0</v>
      </c>
    </row>
    <row r="987" spans="2:5" x14ac:dyDescent="0.35">
      <c r="D987" s="30" t="str">
        <f t="shared" si="55"/>
        <v>Social workers</v>
      </c>
      <c r="E987">
        <f t="shared" si="57"/>
        <v>0</v>
      </c>
    </row>
    <row r="988" spans="2:5" x14ac:dyDescent="0.35">
      <c r="D988" s="30" t="str">
        <f t="shared" si="55"/>
        <v xml:space="preserve">Audiologists and Speech Therapists </v>
      </c>
      <c r="E988">
        <f t="shared" si="57"/>
        <v>0</v>
      </c>
    </row>
    <row r="989" spans="2:5" x14ac:dyDescent="0.35">
      <c r="D989" s="30" t="str">
        <f t="shared" si="55"/>
        <v>Traditional and complementary medicine practitioners</v>
      </c>
      <c r="E989">
        <f t="shared" si="57"/>
        <v>0</v>
      </c>
    </row>
    <row r="990" spans="2:5" x14ac:dyDescent="0.35">
      <c r="B990" t="str">
        <f>AP1</f>
        <v>TCD</v>
      </c>
      <c r="C990">
        <f>AP2</f>
        <v>17723314.500000004</v>
      </c>
      <c r="D990" s="29" t="str">
        <f t="shared" si="55"/>
        <v>Medical Doctors</v>
      </c>
      <c r="E990">
        <f t="shared" ref="E990:E1013" si="58">AP3</f>
        <v>3311</v>
      </c>
    </row>
    <row r="991" spans="2:5" x14ac:dyDescent="0.35">
      <c r="D991" s="30" t="str">
        <f t="shared" si="55"/>
        <v>Nursing Personnel</v>
      </c>
      <c r="E991">
        <f t="shared" si="58"/>
        <v>5866</v>
      </c>
    </row>
    <row r="992" spans="2:5" x14ac:dyDescent="0.35">
      <c r="D992" s="30" t="str">
        <f t="shared" si="55"/>
        <v>Midwifery personnel</v>
      </c>
      <c r="E992">
        <f t="shared" si="58"/>
        <v>1566</v>
      </c>
    </row>
    <row r="993" spans="4:5" x14ac:dyDescent="0.35">
      <c r="D993" s="30" t="str">
        <f t="shared" si="55"/>
        <v>Pharmacists</v>
      </c>
      <c r="E993">
        <f t="shared" si="58"/>
        <v>78</v>
      </c>
    </row>
    <row r="994" spans="4:5" x14ac:dyDescent="0.35">
      <c r="D994" s="30" t="str">
        <f t="shared" si="55"/>
        <v>Dentists</v>
      </c>
      <c r="E994">
        <f t="shared" si="58"/>
        <v>14</v>
      </c>
    </row>
    <row r="995" spans="4:5" x14ac:dyDescent="0.35">
      <c r="D995" s="30" t="str">
        <f t="shared" si="55"/>
        <v xml:space="preserve">Community Health Workers </v>
      </c>
      <c r="E995">
        <f t="shared" si="58"/>
        <v>0</v>
      </c>
    </row>
    <row r="996" spans="4:5" x14ac:dyDescent="0.35">
      <c r="D996" s="30" t="str">
        <f t="shared" si="55"/>
        <v>Dieticians and nutritionists</v>
      </c>
      <c r="E996">
        <f t="shared" si="58"/>
        <v>0</v>
      </c>
    </row>
    <row r="997" spans="4:5" x14ac:dyDescent="0.35">
      <c r="D997" s="30" t="str">
        <f t="shared" si="55"/>
        <v>Environmental and occupational health &amp; hygiene workers</v>
      </c>
      <c r="E997">
        <f t="shared" si="58"/>
        <v>0</v>
      </c>
    </row>
    <row r="998" spans="4:5" x14ac:dyDescent="0.35">
      <c r="D998" s="30" t="str">
        <f t="shared" si="55"/>
        <v>Personal care workers in health service</v>
      </c>
      <c r="E998">
        <f t="shared" si="58"/>
        <v>0</v>
      </c>
    </row>
    <row r="999" spans="4:5" x14ac:dyDescent="0.35">
      <c r="D999" s="30" t="str">
        <f t="shared" si="55"/>
        <v xml:space="preserve">Managerial staff </v>
      </c>
      <c r="E999">
        <f t="shared" si="58"/>
        <v>0</v>
      </c>
    </row>
    <row r="1000" spans="4:5" x14ac:dyDescent="0.35">
      <c r="D1000" s="30" t="str">
        <f t="shared" si="55"/>
        <v xml:space="preserve">Medical and dental Prosthetic Technicians </v>
      </c>
      <c r="E1000">
        <f t="shared" si="58"/>
        <v>11</v>
      </c>
    </row>
    <row r="1001" spans="4:5" x14ac:dyDescent="0.35">
      <c r="D1001" s="30" t="str">
        <f t="shared" si="55"/>
        <v xml:space="preserve">Medical and Pathology Laboratory scientists </v>
      </c>
      <c r="E1001">
        <f t="shared" si="58"/>
        <v>1028</v>
      </c>
    </row>
    <row r="1002" spans="4:5" x14ac:dyDescent="0.35">
      <c r="D1002" s="30" t="str">
        <f t="shared" si="55"/>
        <v xml:space="preserve">Medical Assistants </v>
      </c>
      <c r="E1002">
        <f t="shared" si="58"/>
        <v>104</v>
      </c>
    </row>
    <row r="1003" spans="4:5" x14ac:dyDescent="0.35">
      <c r="D1003" s="30" t="str">
        <f t="shared" si="55"/>
        <v xml:space="preserve">Medical Imaging and Therapeutic Equipment Technicians </v>
      </c>
      <c r="E1003">
        <f t="shared" si="58"/>
        <v>0</v>
      </c>
    </row>
    <row r="1004" spans="4:5" x14ac:dyDescent="0.35">
      <c r="D1004" s="30" t="str">
        <f t="shared" si="55"/>
        <v xml:space="preserve">Medical Records and Health Information Technicians </v>
      </c>
      <c r="E1004">
        <f t="shared" si="58"/>
        <v>0</v>
      </c>
    </row>
    <row r="1005" spans="4:5" x14ac:dyDescent="0.35">
      <c r="D1005" s="30" t="str">
        <f t="shared" si="55"/>
        <v xml:space="preserve">Optometrists and Ophthalmic Opticians </v>
      </c>
      <c r="E1005">
        <f t="shared" si="58"/>
        <v>0</v>
      </c>
    </row>
    <row r="1006" spans="4:5" x14ac:dyDescent="0.35">
      <c r="D1006" s="30" t="str">
        <f t="shared" ref="D1006:D1069" si="59">D982</f>
        <v xml:space="preserve">Other non-medical professional staff </v>
      </c>
      <c r="E1006">
        <f t="shared" si="58"/>
        <v>0</v>
      </c>
    </row>
    <row r="1007" spans="4:5" x14ac:dyDescent="0.35">
      <c r="D1007" s="30" t="str">
        <f t="shared" si="59"/>
        <v xml:space="preserve">Other non-medical support staff </v>
      </c>
      <c r="E1007">
        <f t="shared" si="58"/>
        <v>0</v>
      </c>
    </row>
    <row r="1008" spans="4:5" x14ac:dyDescent="0.35">
      <c r="D1008" s="30" t="str">
        <f t="shared" si="59"/>
        <v xml:space="preserve">Medical and Pathology Laboratory Technicians </v>
      </c>
      <c r="E1008">
        <f t="shared" si="58"/>
        <v>1028</v>
      </c>
    </row>
    <row r="1009" spans="2:5" x14ac:dyDescent="0.35">
      <c r="D1009" s="30" t="str">
        <f t="shared" si="59"/>
        <v xml:space="preserve">Paramedical Practitioners </v>
      </c>
      <c r="E1009">
        <f t="shared" si="58"/>
        <v>0</v>
      </c>
    </row>
    <row r="1010" spans="2:5" x14ac:dyDescent="0.35">
      <c r="D1010" s="30" t="str">
        <f t="shared" si="59"/>
        <v>Physiotherapists and physiotherapy assistants</v>
      </c>
      <c r="E1010">
        <f t="shared" si="58"/>
        <v>0</v>
      </c>
    </row>
    <row r="1011" spans="2:5" x14ac:dyDescent="0.35">
      <c r="D1011" s="30" t="str">
        <f t="shared" si="59"/>
        <v>Social workers</v>
      </c>
      <c r="E1011">
        <f t="shared" si="58"/>
        <v>0</v>
      </c>
    </row>
    <row r="1012" spans="2:5" x14ac:dyDescent="0.35">
      <c r="D1012" s="30" t="str">
        <f t="shared" si="59"/>
        <v xml:space="preserve">Audiologists and Speech Therapists </v>
      </c>
      <c r="E1012">
        <f t="shared" si="58"/>
        <v>0</v>
      </c>
    </row>
    <row r="1013" spans="2:5" x14ac:dyDescent="0.35">
      <c r="D1013" s="30" t="str">
        <f t="shared" si="59"/>
        <v>Traditional and complementary medicine practitioners</v>
      </c>
      <c r="E1013">
        <f t="shared" si="58"/>
        <v>21983</v>
      </c>
    </row>
    <row r="1014" spans="2:5" x14ac:dyDescent="0.35">
      <c r="B1014" t="str">
        <f>AQ1</f>
        <v>TGO</v>
      </c>
      <c r="C1014">
        <f>AQ2</f>
        <v>8848698.5000000019</v>
      </c>
      <c r="D1014" s="29" t="str">
        <f t="shared" si="59"/>
        <v>Medical Doctors</v>
      </c>
      <c r="E1014">
        <f t="shared" ref="E1014:E1037" si="60">AQ3</f>
        <v>1641</v>
      </c>
    </row>
    <row r="1015" spans="2:5" x14ac:dyDescent="0.35">
      <c r="D1015" s="30" t="str">
        <f t="shared" si="59"/>
        <v>Nursing Personnel</v>
      </c>
      <c r="E1015">
        <f t="shared" si="60"/>
        <v>5260</v>
      </c>
    </row>
    <row r="1016" spans="2:5" x14ac:dyDescent="0.35">
      <c r="D1016" s="30" t="str">
        <f t="shared" si="59"/>
        <v>Midwifery personnel</v>
      </c>
      <c r="E1016">
        <f t="shared" si="60"/>
        <v>3728</v>
      </c>
    </row>
    <row r="1017" spans="2:5" x14ac:dyDescent="0.35">
      <c r="D1017" s="30" t="str">
        <f t="shared" si="59"/>
        <v>Pharmacists</v>
      </c>
      <c r="E1017">
        <f t="shared" si="60"/>
        <v>2076</v>
      </c>
    </row>
    <row r="1018" spans="2:5" x14ac:dyDescent="0.35">
      <c r="D1018" s="30" t="str">
        <f t="shared" si="59"/>
        <v>Dentists</v>
      </c>
      <c r="E1018">
        <f t="shared" si="60"/>
        <v>985</v>
      </c>
    </row>
    <row r="1019" spans="2:5" x14ac:dyDescent="0.35">
      <c r="D1019" s="30" t="str">
        <f t="shared" si="59"/>
        <v xml:space="preserve">Community Health Workers </v>
      </c>
      <c r="E1019">
        <f t="shared" si="60"/>
        <v>0</v>
      </c>
    </row>
    <row r="1020" spans="2:5" x14ac:dyDescent="0.35">
      <c r="D1020" s="30" t="str">
        <f t="shared" si="59"/>
        <v>Dieticians and nutritionists</v>
      </c>
      <c r="E1020">
        <f t="shared" si="60"/>
        <v>0</v>
      </c>
    </row>
    <row r="1021" spans="2:5" x14ac:dyDescent="0.35">
      <c r="D1021" s="30" t="str">
        <f t="shared" si="59"/>
        <v>Environmental and occupational health &amp; hygiene workers</v>
      </c>
      <c r="E1021">
        <f t="shared" si="60"/>
        <v>0</v>
      </c>
    </row>
    <row r="1022" spans="2:5" x14ac:dyDescent="0.35">
      <c r="D1022" s="30" t="str">
        <f t="shared" si="59"/>
        <v>Personal care workers in health service</v>
      </c>
      <c r="E1022">
        <f t="shared" si="60"/>
        <v>0</v>
      </c>
    </row>
    <row r="1023" spans="2:5" x14ac:dyDescent="0.35">
      <c r="D1023" s="30" t="str">
        <f t="shared" si="59"/>
        <v xml:space="preserve">Managerial staff </v>
      </c>
      <c r="E1023">
        <f t="shared" si="60"/>
        <v>1377</v>
      </c>
    </row>
    <row r="1024" spans="2:5" x14ac:dyDescent="0.35">
      <c r="D1024" s="30" t="str">
        <f t="shared" si="59"/>
        <v xml:space="preserve">Medical and dental Prosthetic Technicians </v>
      </c>
      <c r="E1024">
        <f t="shared" si="60"/>
        <v>19</v>
      </c>
    </row>
    <row r="1025" spans="2:5" x14ac:dyDescent="0.35">
      <c r="D1025" s="30" t="str">
        <f t="shared" si="59"/>
        <v xml:space="preserve">Medical and Pathology Laboratory scientists </v>
      </c>
      <c r="E1025">
        <f t="shared" si="60"/>
        <v>0</v>
      </c>
    </row>
    <row r="1026" spans="2:5" x14ac:dyDescent="0.35">
      <c r="D1026" s="30" t="str">
        <f t="shared" si="59"/>
        <v xml:space="preserve">Medical Assistants </v>
      </c>
      <c r="E1026">
        <f t="shared" si="60"/>
        <v>595</v>
      </c>
    </row>
    <row r="1027" spans="2:5" x14ac:dyDescent="0.35">
      <c r="D1027" s="30" t="str">
        <f t="shared" si="59"/>
        <v xml:space="preserve">Medical Imaging and Therapeutic Equipment Technicians </v>
      </c>
      <c r="E1027">
        <f t="shared" si="60"/>
        <v>0</v>
      </c>
    </row>
    <row r="1028" spans="2:5" x14ac:dyDescent="0.35">
      <c r="D1028" s="30" t="str">
        <f t="shared" si="59"/>
        <v xml:space="preserve">Medical Records and Health Information Technicians </v>
      </c>
      <c r="E1028">
        <f t="shared" si="60"/>
        <v>0</v>
      </c>
    </row>
    <row r="1029" spans="2:5" x14ac:dyDescent="0.35">
      <c r="D1029" s="30" t="str">
        <f t="shared" si="59"/>
        <v xml:space="preserve">Optometrists and Ophthalmic Opticians </v>
      </c>
      <c r="E1029">
        <f t="shared" si="60"/>
        <v>2</v>
      </c>
    </row>
    <row r="1030" spans="2:5" x14ac:dyDescent="0.35">
      <c r="D1030" s="30" t="str">
        <f t="shared" si="59"/>
        <v xml:space="preserve">Other non-medical professional staff </v>
      </c>
      <c r="E1030">
        <f t="shared" si="60"/>
        <v>0</v>
      </c>
    </row>
    <row r="1031" spans="2:5" x14ac:dyDescent="0.35">
      <c r="D1031" s="30" t="str">
        <f t="shared" si="59"/>
        <v xml:space="preserve">Other non-medical support staff </v>
      </c>
      <c r="E1031">
        <f t="shared" si="60"/>
        <v>0</v>
      </c>
    </row>
    <row r="1032" spans="2:5" x14ac:dyDescent="0.35">
      <c r="D1032" s="30" t="str">
        <f t="shared" si="59"/>
        <v xml:space="preserve">Medical and Pathology Laboratory Technicians </v>
      </c>
      <c r="E1032">
        <f t="shared" si="60"/>
        <v>887</v>
      </c>
    </row>
    <row r="1033" spans="2:5" x14ac:dyDescent="0.35">
      <c r="D1033" s="30" t="str">
        <f t="shared" si="59"/>
        <v xml:space="preserve">Paramedical Practitioners </v>
      </c>
      <c r="E1033">
        <f t="shared" si="60"/>
        <v>390</v>
      </c>
    </row>
    <row r="1034" spans="2:5" x14ac:dyDescent="0.35">
      <c r="D1034" s="30" t="str">
        <f t="shared" si="59"/>
        <v>Physiotherapists and physiotherapy assistants</v>
      </c>
      <c r="E1034">
        <f t="shared" si="60"/>
        <v>183</v>
      </c>
    </row>
    <row r="1035" spans="2:5" x14ac:dyDescent="0.35">
      <c r="D1035" s="30" t="str">
        <f t="shared" si="59"/>
        <v>Social workers</v>
      </c>
      <c r="E1035">
        <f t="shared" si="60"/>
        <v>0</v>
      </c>
    </row>
    <row r="1036" spans="2:5" x14ac:dyDescent="0.35">
      <c r="D1036" s="30" t="str">
        <f t="shared" si="59"/>
        <v xml:space="preserve">Audiologists and Speech Therapists </v>
      </c>
      <c r="E1036">
        <f t="shared" si="60"/>
        <v>0</v>
      </c>
    </row>
    <row r="1037" spans="2:5" x14ac:dyDescent="0.35">
      <c r="D1037" s="30" t="str">
        <f t="shared" si="59"/>
        <v>Traditional and complementary medicine practitioners</v>
      </c>
      <c r="E1037">
        <f t="shared" si="60"/>
        <v>0</v>
      </c>
    </row>
    <row r="1038" spans="2:5" x14ac:dyDescent="0.35">
      <c r="B1038" t="str">
        <f>AR1</f>
        <v>TZA</v>
      </c>
      <c r="C1038">
        <f>AR2</f>
        <v>65497748.000000045</v>
      </c>
      <c r="D1038" s="29" t="str">
        <f t="shared" si="59"/>
        <v>Medical Doctors</v>
      </c>
      <c r="E1038">
        <f t="shared" ref="E1038:E1061" si="61">AR3</f>
        <v>17386</v>
      </c>
    </row>
    <row r="1039" spans="2:5" x14ac:dyDescent="0.35">
      <c r="D1039" s="30" t="str">
        <f t="shared" si="59"/>
        <v>Nursing Personnel</v>
      </c>
      <c r="E1039">
        <f t="shared" si="61"/>
        <v>0</v>
      </c>
    </row>
    <row r="1040" spans="2:5" x14ac:dyDescent="0.35">
      <c r="D1040" s="30" t="str">
        <f t="shared" si="59"/>
        <v>Midwifery personnel</v>
      </c>
      <c r="E1040">
        <f t="shared" si="61"/>
        <v>0</v>
      </c>
    </row>
    <row r="1041" spans="4:5" x14ac:dyDescent="0.35">
      <c r="D1041" s="30" t="str">
        <f t="shared" si="59"/>
        <v>Pharmacists</v>
      </c>
      <c r="E1041">
        <f t="shared" si="61"/>
        <v>656</v>
      </c>
    </row>
    <row r="1042" spans="4:5" x14ac:dyDescent="0.35">
      <c r="D1042" s="30" t="str">
        <f t="shared" si="59"/>
        <v>Dentists</v>
      </c>
      <c r="E1042">
        <f t="shared" si="61"/>
        <v>465</v>
      </c>
    </row>
    <row r="1043" spans="4:5" x14ac:dyDescent="0.35">
      <c r="D1043" s="30" t="str">
        <f t="shared" si="59"/>
        <v xml:space="preserve">Community Health Workers </v>
      </c>
      <c r="E1043">
        <f t="shared" si="61"/>
        <v>20737</v>
      </c>
    </row>
    <row r="1044" spans="4:5" x14ac:dyDescent="0.35">
      <c r="D1044" s="30" t="str">
        <f t="shared" si="59"/>
        <v>Dieticians and nutritionists</v>
      </c>
      <c r="E1044">
        <f t="shared" si="61"/>
        <v>65</v>
      </c>
    </row>
    <row r="1045" spans="4:5" x14ac:dyDescent="0.35">
      <c r="D1045" s="30" t="str">
        <f t="shared" si="59"/>
        <v>Environmental and occupational health &amp; hygiene workers</v>
      </c>
      <c r="E1045">
        <f t="shared" si="61"/>
        <v>929</v>
      </c>
    </row>
    <row r="1046" spans="4:5" x14ac:dyDescent="0.35">
      <c r="D1046" s="30" t="str">
        <f t="shared" si="59"/>
        <v>Personal care workers in health service</v>
      </c>
      <c r="E1046">
        <f t="shared" si="61"/>
        <v>0</v>
      </c>
    </row>
    <row r="1047" spans="4:5" x14ac:dyDescent="0.35">
      <c r="D1047" s="30" t="str">
        <f t="shared" si="59"/>
        <v xml:space="preserve">Managerial staff </v>
      </c>
      <c r="E1047">
        <f t="shared" si="61"/>
        <v>0</v>
      </c>
    </row>
    <row r="1048" spans="4:5" x14ac:dyDescent="0.35">
      <c r="D1048" s="30" t="str">
        <f t="shared" si="59"/>
        <v xml:space="preserve">Medical and dental Prosthetic Technicians </v>
      </c>
      <c r="E1048">
        <f t="shared" si="61"/>
        <v>12</v>
      </c>
    </row>
    <row r="1049" spans="4:5" x14ac:dyDescent="0.35">
      <c r="D1049" s="30" t="str">
        <f t="shared" si="59"/>
        <v xml:space="preserve">Medical and Pathology Laboratory scientists </v>
      </c>
      <c r="E1049">
        <f t="shared" si="61"/>
        <v>1198</v>
      </c>
    </row>
    <row r="1050" spans="4:5" x14ac:dyDescent="0.35">
      <c r="D1050" s="30" t="str">
        <f t="shared" si="59"/>
        <v xml:space="preserve">Medical Assistants </v>
      </c>
      <c r="E1050">
        <f t="shared" si="61"/>
        <v>2337</v>
      </c>
    </row>
    <row r="1051" spans="4:5" x14ac:dyDescent="0.35">
      <c r="D1051" s="30" t="str">
        <f t="shared" si="59"/>
        <v xml:space="preserve">Medical Imaging and Therapeutic Equipment Technicians </v>
      </c>
      <c r="E1051">
        <f t="shared" si="61"/>
        <v>543</v>
      </c>
    </row>
    <row r="1052" spans="4:5" x14ac:dyDescent="0.35">
      <c r="D1052" s="30" t="str">
        <f t="shared" si="59"/>
        <v xml:space="preserve">Medical Records and Health Information Technicians </v>
      </c>
      <c r="E1052">
        <f t="shared" si="61"/>
        <v>724</v>
      </c>
    </row>
    <row r="1053" spans="4:5" x14ac:dyDescent="0.35">
      <c r="D1053" s="30" t="str">
        <f t="shared" si="59"/>
        <v xml:space="preserve">Optometrists and Ophthalmic Opticians </v>
      </c>
      <c r="E1053">
        <f t="shared" si="61"/>
        <v>201</v>
      </c>
    </row>
    <row r="1054" spans="4:5" x14ac:dyDescent="0.35">
      <c r="D1054" s="30" t="str">
        <f t="shared" si="59"/>
        <v xml:space="preserve">Other non-medical professional staff </v>
      </c>
      <c r="E1054">
        <f t="shared" si="61"/>
        <v>0</v>
      </c>
    </row>
    <row r="1055" spans="4:5" x14ac:dyDescent="0.35">
      <c r="D1055" s="30" t="str">
        <f t="shared" si="59"/>
        <v xml:space="preserve">Other non-medical support staff </v>
      </c>
      <c r="E1055">
        <f t="shared" si="61"/>
        <v>2</v>
      </c>
    </row>
    <row r="1056" spans="4:5" x14ac:dyDescent="0.35">
      <c r="D1056" s="30" t="str">
        <f t="shared" si="59"/>
        <v xml:space="preserve">Medical and Pathology Laboratory Technicians </v>
      </c>
      <c r="E1056">
        <f t="shared" si="61"/>
        <v>4743</v>
      </c>
    </row>
    <row r="1057" spans="2:5" x14ac:dyDescent="0.35">
      <c r="D1057" s="30" t="str">
        <f t="shared" si="59"/>
        <v xml:space="preserve">Paramedical Practitioners </v>
      </c>
      <c r="E1057">
        <f t="shared" si="61"/>
        <v>71119</v>
      </c>
    </row>
    <row r="1058" spans="2:5" x14ac:dyDescent="0.35">
      <c r="D1058" s="30" t="str">
        <f t="shared" si="59"/>
        <v>Physiotherapists and physiotherapy assistants</v>
      </c>
      <c r="E1058">
        <f t="shared" si="61"/>
        <v>1358</v>
      </c>
    </row>
    <row r="1059" spans="2:5" x14ac:dyDescent="0.35">
      <c r="D1059" s="30" t="str">
        <f t="shared" si="59"/>
        <v>Social workers</v>
      </c>
      <c r="E1059">
        <f t="shared" si="61"/>
        <v>0</v>
      </c>
    </row>
    <row r="1060" spans="2:5" x14ac:dyDescent="0.35">
      <c r="D1060" s="30" t="str">
        <f t="shared" si="59"/>
        <v xml:space="preserve">Audiologists and Speech Therapists </v>
      </c>
      <c r="E1060">
        <f t="shared" si="61"/>
        <v>2</v>
      </c>
    </row>
    <row r="1061" spans="2:5" x14ac:dyDescent="0.35">
      <c r="D1061" s="30" t="str">
        <f t="shared" si="59"/>
        <v>Traditional and complementary medicine practitioners</v>
      </c>
      <c r="E1061">
        <f t="shared" si="61"/>
        <v>4710</v>
      </c>
    </row>
    <row r="1062" spans="2:5" x14ac:dyDescent="0.35">
      <c r="B1062" t="str">
        <f>AS1</f>
        <v>UGA</v>
      </c>
      <c r="C1062">
        <f>AS2</f>
        <v>47249584.999999978</v>
      </c>
      <c r="D1062" s="29" t="str">
        <f t="shared" si="59"/>
        <v>Medical Doctors</v>
      </c>
      <c r="E1062">
        <f t="shared" ref="E1062:E1085" si="62">AS3</f>
        <v>17454</v>
      </c>
    </row>
    <row r="1063" spans="2:5" x14ac:dyDescent="0.35">
      <c r="D1063" s="30" t="str">
        <f t="shared" si="59"/>
        <v>Nursing Personnel</v>
      </c>
      <c r="E1063">
        <f t="shared" si="62"/>
        <v>148394</v>
      </c>
    </row>
    <row r="1064" spans="2:5" x14ac:dyDescent="0.35">
      <c r="D1064" s="30" t="str">
        <f t="shared" si="59"/>
        <v>Midwifery personnel</v>
      </c>
      <c r="E1064">
        <f t="shared" si="62"/>
        <v>65914</v>
      </c>
    </row>
    <row r="1065" spans="2:5" x14ac:dyDescent="0.35">
      <c r="D1065" s="30" t="str">
        <f t="shared" si="59"/>
        <v>Pharmacists</v>
      </c>
      <c r="E1065">
        <f t="shared" si="62"/>
        <v>170</v>
      </c>
    </row>
    <row r="1066" spans="2:5" x14ac:dyDescent="0.35">
      <c r="D1066" s="30" t="str">
        <f t="shared" si="59"/>
        <v>Dentists</v>
      </c>
      <c r="E1066">
        <f t="shared" si="62"/>
        <v>0</v>
      </c>
    </row>
    <row r="1067" spans="2:5" x14ac:dyDescent="0.35">
      <c r="D1067" s="30" t="str">
        <f t="shared" si="59"/>
        <v xml:space="preserve">Community Health Workers </v>
      </c>
      <c r="E1067">
        <f t="shared" si="62"/>
        <v>0</v>
      </c>
    </row>
    <row r="1068" spans="2:5" x14ac:dyDescent="0.35">
      <c r="D1068" s="30" t="str">
        <f t="shared" si="59"/>
        <v>Dieticians and nutritionists</v>
      </c>
      <c r="E1068">
        <f t="shared" si="62"/>
        <v>0</v>
      </c>
    </row>
    <row r="1069" spans="2:5" x14ac:dyDescent="0.35">
      <c r="D1069" s="30" t="str">
        <f t="shared" si="59"/>
        <v>Environmental and occupational health &amp; hygiene workers</v>
      </c>
      <c r="E1069">
        <f t="shared" si="62"/>
        <v>0</v>
      </c>
    </row>
    <row r="1070" spans="2:5" x14ac:dyDescent="0.35">
      <c r="D1070" s="30" t="str">
        <f t="shared" ref="D1070:D1133" si="63">D1046</f>
        <v>Personal care workers in health service</v>
      </c>
      <c r="E1070">
        <f t="shared" si="62"/>
        <v>0</v>
      </c>
    </row>
    <row r="1071" spans="2:5" x14ac:dyDescent="0.35">
      <c r="D1071" s="30" t="str">
        <f t="shared" si="63"/>
        <v xml:space="preserve">Managerial staff </v>
      </c>
      <c r="E1071">
        <f t="shared" si="62"/>
        <v>0</v>
      </c>
    </row>
    <row r="1072" spans="2:5" x14ac:dyDescent="0.35">
      <c r="D1072" s="30" t="str">
        <f t="shared" si="63"/>
        <v xml:space="preserve">Medical and dental Prosthetic Technicians </v>
      </c>
      <c r="E1072">
        <f t="shared" si="62"/>
        <v>0</v>
      </c>
    </row>
    <row r="1073" spans="2:5" x14ac:dyDescent="0.35">
      <c r="D1073" s="30" t="str">
        <f t="shared" si="63"/>
        <v xml:space="preserve">Medical and Pathology Laboratory scientists </v>
      </c>
      <c r="E1073">
        <f t="shared" si="62"/>
        <v>3309</v>
      </c>
    </row>
    <row r="1074" spans="2:5" x14ac:dyDescent="0.35">
      <c r="D1074" s="30" t="str">
        <f t="shared" si="63"/>
        <v xml:space="preserve">Medical Assistants </v>
      </c>
      <c r="E1074">
        <f t="shared" si="62"/>
        <v>14531</v>
      </c>
    </row>
    <row r="1075" spans="2:5" x14ac:dyDescent="0.35">
      <c r="D1075" s="30" t="str">
        <f t="shared" si="63"/>
        <v xml:space="preserve">Medical Imaging and Therapeutic Equipment Technicians </v>
      </c>
      <c r="E1075">
        <f t="shared" si="62"/>
        <v>1249</v>
      </c>
    </row>
    <row r="1076" spans="2:5" x14ac:dyDescent="0.35">
      <c r="D1076" s="30" t="str">
        <f t="shared" si="63"/>
        <v xml:space="preserve">Medical Records and Health Information Technicians </v>
      </c>
      <c r="E1076">
        <f t="shared" si="62"/>
        <v>0</v>
      </c>
    </row>
    <row r="1077" spans="2:5" x14ac:dyDescent="0.35">
      <c r="D1077" s="30" t="str">
        <f t="shared" si="63"/>
        <v xml:space="preserve">Optometrists and Ophthalmic Opticians </v>
      </c>
      <c r="E1077">
        <f t="shared" si="62"/>
        <v>0</v>
      </c>
    </row>
    <row r="1078" spans="2:5" x14ac:dyDescent="0.35">
      <c r="D1078" s="30" t="str">
        <f t="shared" si="63"/>
        <v xml:space="preserve">Other non-medical professional staff </v>
      </c>
      <c r="E1078">
        <f t="shared" si="62"/>
        <v>0</v>
      </c>
    </row>
    <row r="1079" spans="2:5" x14ac:dyDescent="0.35">
      <c r="D1079" s="30" t="str">
        <f t="shared" si="63"/>
        <v xml:space="preserve">Other non-medical support staff </v>
      </c>
      <c r="E1079">
        <f t="shared" si="62"/>
        <v>0</v>
      </c>
    </row>
    <row r="1080" spans="2:5" x14ac:dyDescent="0.35">
      <c r="D1080" s="30" t="str">
        <f t="shared" si="63"/>
        <v xml:space="preserve">Medical and Pathology Laboratory Technicians </v>
      </c>
      <c r="E1080">
        <f t="shared" si="62"/>
        <v>13380</v>
      </c>
    </row>
    <row r="1081" spans="2:5" x14ac:dyDescent="0.35">
      <c r="D1081" s="30" t="str">
        <f t="shared" si="63"/>
        <v xml:space="preserve">Paramedical Practitioners </v>
      </c>
      <c r="E1081">
        <f t="shared" si="62"/>
        <v>0</v>
      </c>
    </row>
    <row r="1082" spans="2:5" x14ac:dyDescent="0.35">
      <c r="D1082" s="30" t="str">
        <f t="shared" si="63"/>
        <v>Physiotherapists and physiotherapy assistants</v>
      </c>
      <c r="E1082">
        <f t="shared" si="62"/>
        <v>572</v>
      </c>
    </row>
    <row r="1083" spans="2:5" x14ac:dyDescent="0.35">
      <c r="D1083" s="30" t="str">
        <f t="shared" si="63"/>
        <v>Social workers</v>
      </c>
      <c r="E1083">
        <f t="shared" si="62"/>
        <v>0</v>
      </c>
    </row>
    <row r="1084" spans="2:5" x14ac:dyDescent="0.35">
      <c r="D1084" s="30" t="str">
        <f t="shared" si="63"/>
        <v xml:space="preserve">Audiologists and Speech Therapists </v>
      </c>
      <c r="E1084">
        <f t="shared" si="62"/>
        <v>0</v>
      </c>
    </row>
    <row r="1085" spans="2:5" x14ac:dyDescent="0.35">
      <c r="D1085" s="30" t="str">
        <f t="shared" si="63"/>
        <v>Traditional and complementary medicine practitioners</v>
      </c>
      <c r="E1085">
        <f t="shared" si="62"/>
        <v>0</v>
      </c>
    </row>
    <row r="1086" spans="2:5" x14ac:dyDescent="0.35">
      <c r="B1086" t="str">
        <f>AT1</f>
        <v>ZAF</v>
      </c>
      <c r="C1086">
        <f>AT2</f>
        <v>59893885.5</v>
      </c>
      <c r="D1086" s="29" t="str">
        <f t="shared" si="63"/>
        <v>Medical Doctors</v>
      </c>
      <c r="E1086">
        <f t="shared" ref="E1086:E1109" si="64">AT3</f>
        <v>0</v>
      </c>
    </row>
    <row r="1087" spans="2:5" x14ac:dyDescent="0.35">
      <c r="D1087" s="30" t="str">
        <f t="shared" si="63"/>
        <v>Nursing Personnel</v>
      </c>
      <c r="E1087">
        <f t="shared" si="64"/>
        <v>0</v>
      </c>
    </row>
    <row r="1088" spans="2:5" x14ac:dyDescent="0.35">
      <c r="D1088" s="30" t="str">
        <f t="shared" si="63"/>
        <v>Midwifery personnel</v>
      </c>
      <c r="E1088">
        <f t="shared" si="64"/>
        <v>0</v>
      </c>
    </row>
    <row r="1089" spans="4:5" x14ac:dyDescent="0.35">
      <c r="D1089" s="30" t="str">
        <f t="shared" si="63"/>
        <v>Pharmacists</v>
      </c>
      <c r="E1089">
        <f t="shared" si="64"/>
        <v>0</v>
      </c>
    </row>
    <row r="1090" spans="4:5" x14ac:dyDescent="0.35">
      <c r="D1090" s="30" t="str">
        <f t="shared" si="63"/>
        <v>Dentists</v>
      </c>
      <c r="E1090">
        <f t="shared" si="64"/>
        <v>0</v>
      </c>
    </row>
    <row r="1091" spans="4:5" x14ac:dyDescent="0.35">
      <c r="D1091" s="30" t="str">
        <f t="shared" si="63"/>
        <v xml:space="preserve">Community Health Workers </v>
      </c>
      <c r="E1091">
        <f t="shared" si="64"/>
        <v>63290</v>
      </c>
    </row>
    <row r="1092" spans="4:5" x14ac:dyDescent="0.35">
      <c r="D1092" s="30" t="str">
        <f t="shared" si="63"/>
        <v>Dieticians and nutritionists</v>
      </c>
      <c r="E1092">
        <f t="shared" si="64"/>
        <v>0</v>
      </c>
    </row>
    <row r="1093" spans="4:5" x14ac:dyDescent="0.35">
      <c r="D1093" s="30" t="str">
        <f t="shared" si="63"/>
        <v>Environmental and occupational health &amp; hygiene workers</v>
      </c>
      <c r="E1093">
        <f t="shared" si="64"/>
        <v>0</v>
      </c>
    </row>
    <row r="1094" spans="4:5" x14ac:dyDescent="0.35">
      <c r="D1094" s="30" t="str">
        <f t="shared" si="63"/>
        <v>Personal care workers in health service</v>
      </c>
      <c r="E1094">
        <f t="shared" si="64"/>
        <v>2857</v>
      </c>
    </row>
    <row r="1095" spans="4:5" x14ac:dyDescent="0.35">
      <c r="D1095" s="30" t="str">
        <f t="shared" si="63"/>
        <v xml:space="preserve">Managerial staff </v>
      </c>
      <c r="E1095">
        <f t="shared" si="64"/>
        <v>26692</v>
      </c>
    </row>
    <row r="1096" spans="4:5" x14ac:dyDescent="0.35">
      <c r="D1096" s="30" t="str">
        <f t="shared" si="63"/>
        <v xml:space="preserve">Medical and dental Prosthetic Technicians </v>
      </c>
      <c r="E1096">
        <f t="shared" si="64"/>
        <v>329</v>
      </c>
    </row>
    <row r="1097" spans="4:5" x14ac:dyDescent="0.35">
      <c r="D1097" s="30" t="str">
        <f t="shared" si="63"/>
        <v xml:space="preserve">Medical and Pathology Laboratory scientists </v>
      </c>
      <c r="E1097">
        <f t="shared" si="64"/>
        <v>13</v>
      </c>
    </row>
    <row r="1098" spans="4:5" x14ac:dyDescent="0.35">
      <c r="D1098" s="30" t="str">
        <f t="shared" si="63"/>
        <v xml:space="preserve">Medical Assistants </v>
      </c>
      <c r="E1098">
        <f t="shared" si="64"/>
        <v>0</v>
      </c>
    </row>
    <row r="1099" spans="4:5" x14ac:dyDescent="0.35">
      <c r="D1099" s="30" t="str">
        <f t="shared" si="63"/>
        <v xml:space="preserve">Medical Imaging and Therapeutic Equipment Technicians </v>
      </c>
      <c r="E1099">
        <f t="shared" si="64"/>
        <v>0</v>
      </c>
    </row>
    <row r="1100" spans="4:5" x14ac:dyDescent="0.35">
      <c r="D1100" s="30" t="str">
        <f t="shared" si="63"/>
        <v xml:space="preserve">Medical Records and Health Information Technicians </v>
      </c>
      <c r="E1100">
        <f t="shared" si="64"/>
        <v>0</v>
      </c>
    </row>
    <row r="1101" spans="4:5" x14ac:dyDescent="0.35">
      <c r="D1101" s="30" t="str">
        <f t="shared" si="63"/>
        <v xml:space="preserve">Optometrists and Ophthalmic Opticians </v>
      </c>
      <c r="E1101">
        <f t="shared" si="64"/>
        <v>255</v>
      </c>
    </row>
    <row r="1102" spans="4:5" x14ac:dyDescent="0.35">
      <c r="D1102" s="30" t="str">
        <f t="shared" si="63"/>
        <v xml:space="preserve">Other non-medical professional staff </v>
      </c>
      <c r="E1102">
        <f t="shared" si="64"/>
        <v>15459</v>
      </c>
    </row>
    <row r="1103" spans="4:5" x14ac:dyDescent="0.35">
      <c r="D1103" s="30" t="str">
        <f t="shared" si="63"/>
        <v xml:space="preserve">Other non-medical support staff </v>
      </c>
      <c r="E1103">
        <f t="shared" si="64"/>
        <v>0</v>
      </c>
    </row>
    <row r="1104" spans="4:5" x14ac:dyDescent="0.35">
      <c r="D1104" s="30" t="str">
        <f t="shared" si="63"/>
        <v xml:space="preserve">Medical and Pathology Laboratory Technicians </v>
      </c>
      <c r="E1104">
        <f t="shared" si="64"/>
        <v>0</v>
      </c>
    </row>
    <row r="1105" spans="2:5" x14ac:dyDescent="0.35">
      <c r="D1105" s="30" t="str">
        <f t="shared" si="63"/>
        <v xml:space="preserve">Paramedical Practitioners </v>
      </c>
      <c r="E1105">
        <f t="shared" si="64"/>
        <v>20327</v>
      </c>
    </row>
    <row r="1106" spans="2:5" x14ac:dyDescent="0.35">
      <c r="D1106" s="30" t="str">
        <f t="shared" si="63"/>
        <v>Physiotherapists and physiotherapy assistants</v>
      </c>
      <c r="E1106">
        <f t="shared" si="64"/>
        <v>1555</v>
      </c>
    </row>
    <row r="1107" spans="2:5" x14ac:dyDescent="0.35">
      <c r="D1107" s="30" t="str">
        <f t="shared" si="63"/>
        <v>Social workers</v>
      </c>
      <c r="E1107">
        <f t="shared" si="64"/>
        <v>15754</v>
      </c>
    </row>
    <row r="1108" spans="2:5" x14ac:dyDescent="0.35">
      <c r="D1108" s="30" t="str">
        <f t="shared" si="63"/>
        <v xml:space="preserve">Audiologists and Speech Therapists </v>
      </c>
      <c r="E1108">
        <f t="shared" si="64"/>
        <v>586</v>
      </c>
    </row>
    <row r="1109" spans="2:5" x14ac:dyDescent="0.35">
      <c r="D1109" s="30" t="str">
        <f t="shared" si="63"/>
        <v>Traditional and complementary medicine practitioners</v>
      </c>
      <c r="E1109">
        <f t="shared" si="64"/>
        <v>9</v>
      </c>
    </row>
    <row r="1110" spans="2:5" x14ac:dyDescent="0.35">
      <c r="B1110" t="str">
        <f>AU1</f>
        <v>ZMB</v>
      </c>
      <c r="C1110">
        <f>AU2</f>
        <v>20017675.000000004</v>
      </c>
      <c r="D1110" s="29" t="str">
        <f t="shared" si="63"/>
        <v>Medical Doctors</v>
      </c>
      <c r="E1110">
        <f t="shared" ref="E1110:E1133" si="65">AU3</f>
        <v>11020</v>
      </c>
    </row>
    <row r="1111" spans="2:5" x14ac:dyDescent="0.35">
      <c r="D1111" s="30" t="str">
        <f t="shared" si="63"/>
        <v>Nursing Personnel</v>
      </c>
      <c r="E1111">
        <f t="shared" si="65"/>
        <v>67558</v>
      </c>
    </row>
    <row r="1112" spans="2:5" x14ac:dyDescent="0.35">
      <c r="D1112" s="30" t="str">
        <f t="shared" si="63"/>
        <v>Midwifery personnel</v>
      </c>
      <c r="E1112">
        <f t="shared" si="65"/>
        <v>18404</v>
      </c>
    </row>
    <row r="1113" spans="2:5" x14ac:dyDescent="0.35">
      <c r="D1113" s="30" t="str">
        <f t="shared" si="63"/>
        <v>Pharmacists</v>
      </c>
      <c r="E1113">
        <f t="shared" si="65"/>
        <v>0</v>
      </c>
    </row>
    <row r="1114" spans="2:5" x14ac:dyDescent="0.35">
      <c r="D1114" s="30" t="str">
        <f t="shared" si="63"/>
        <v>Dentists</v>
      </c>
      <c r="E1114">
        <f t="shared" si="65"/>
        <v>0</v>
      </c>
    </row>
    <row r="1115" spans="2:5" x14ac:dyDescent="0.35">
      <c r="D1115" s="30" t="str">
        <f t="shared" si="63"/>
        <v xml:space="preserve">Community Health Workers </v>
      </c>
      <c r="E1115">
        <f t="shared" si="65"/>
        <v>2421</v>
      </c>
    </row>
    <row r="1116" spans="2:5" x14ac:dyDescent="0.35">
      <c r="D1116" s="30" t="str">
        <f t="shared" si="63"/>
        <v>Dieticians and nutritionists</v>
      </c>
      <c r="E1116">
        <f t="shared" si="65"/>
        <v>0</v>
      </c>
    </row>
    <row r="1117" spans="2:5" x14ac:dyDescent="0.35">
      <c r="D1117" s="30" t="str">
        <f t="shared" si="63"/>
        <v>Environmental and occupational health &amp; hygiene workers</v>
      </c>
      <c r="E1117">
        <f t="shared" si="65"/>
        <v>0</v>
      </c>
    </row>
    <row r="1118" spans="2:5" x14ac:dyDescent="0.35">
      <c r="D1118" s="30" t="str">
        <f t="shared" si="63"/>
        <v>Personal care workers in health service</v>
      </c>
      <c r="E1118">
        <f t="shared" si="65"/>
        <v>0</v>
      </c>
    </row>
    <row r="1119" spans="2:5" x14ac:dyDescent="0.35">
      <c r="D1119" s="30" t="str">
        <f t="shared" si="63"/>
        <v xml:space="preserve">Managerial staff </v>
      </c>
      <c r="E1119">
        <f t="shared" si="65"/>
        <v>0</v>
      </c>
    </row>
    <row r="1120" spans="2:5" x14ac:dyDescent="0.35">
      <c r="D1120" s="30" t="str">
        <f t="shared" si="63"/>
        <v xml:space="preserve">Medical and dental Prosthetic Technicians </v>
      </c>
      <c r="E1120">
        <f t="shared" si="65"/>
        <v>28</v>
      </c>
    </row>
    <row r="1121" spans="2:5" x14ac:dyDescent="0.35">
      <c r="D1121" s="30" t="str">
        <f t="shared" si="63"/>
        <v xml:space="preserve">Medical and Pathology Laboratory scientists </v>
      </c>
      <c r="E1121">
        <f t="shared" si="65"/>
        <v>388</v>
      </c>
    </row>
    <row r="1122" spans="2:5" x14ac:dyDescent="0.35">
      <c r="D1122" s="30" t="str">
        <f t="shared" si="63"/>
        <v xml:space="preserve">Medical Assistants </v>
      </c>
      <c r="E1122">
        <f t="shared" si="65"/>
        <v>7144</v>
      </c>
    </row>
    <row r="1123" spans="2:5" x14ac:dyDescent="0.35">
      <c r="D1123" s="30" t="str">
        <f t="shared" si="63"/>
        <v xml:space="preserve">Medical Imaging and Therapeutic Equipment Technicians </v>
      </c>
      <c r="E1123">
        <f t="shared" si="65"/>
        <v>2633</v>
      </c>
    </row>
    <row r="1124" spans="2:5" x14ac:dyDescent="0.35">
      <c r="D1124" s="30" t="str">
        <f t="shared" si="63"/>
        <v xml:space="preserve">Medical Records and Health Information Technicians </v>
      </c>
      <c r="E1124">
        <f t="shared" si="65"/>
        <v>0</v>
      </c>
    </row>
    <row r="1125" spans="2:5" x14ac:dyDescent="0.35">
      <c r="D1125" s="30" t="str">
        <f t="shared" si="63"/>
        <v xml:space="preserve">Optometrists and Ophthalmic Opticians </v>
      </c>
      <c r="E1125">
        <f t="shared" si="65"/>
        <v>137</v>
      </c>
    </row>
    <row r="1126" spans="2:5" x14ac:dyDescent="0.35">
      <c r="D1126" s="30" t="str">
        <f t="shared" si="63"/>
        <v xml:space="preserve">Other non-medical professional staff </v>
      </c>
      <c r="E1126">
        <f t="shared" si="65"/>
        <v>0</v>
      </c>
    </row>
    <row r="1127" spans="2:5" x14ac:dyDescent="0.35">
      <c r="D1127" s="30" t="str">
        <f t="shared" si="63"/>
        <v xml:space="preserve">Other non-medical support staff </v>
      </c>
      <c r="E1127">
        <f t="shared" si="65"/>
        <v>0</v>
      </c>
    </row>
    <row r="1128" spans="2:5" x14ac:dyDescent="0.35">
      <c r="D1128" s="30" t="str">
        <f t="shared" si="63"/>
        <v xml:space="preserve">Medical and Pathology Laboratory Technicians </v>
      </c>
      <c r="E1128">
        <f t="shared" si="65"/>
        <v>1474</v>
      </c>
    </row>
    <row r="1129" spans="2:5" x14ac:dyDescent="0.35">
      <c r="D1129" s="30" t="str">
        <f t="shared" si="63"/>
        <v xml:space="preserve">Paramedical Practitioners </v>
      </c>
      <c r="E1129">
        <f t="shared" si="65"/>
        <v>970</v>
      </c>
    </row>
    <row r="1130" spans="2:5" x14ac:dyDescent="0.35">
      <c r="D1130" s="30" t="str">
        <f t="shared" si="63"/>
        <v>Physiotherapists and physiotherapy assistants</v>
      </c>
      <c r="E1130">
        <f t="shared" si="65"/>
        <v>1239</v>
      </c>
    </row>
    <row r="1131" spans="2:5" x14ac:dyDescent="0.35">
      <c r="D1131" s="30" t="str">
        <f t="shared" si="63"/>
        <v>Social workers</v>
      </c>
      <c r="E1131">
        <f t="shared" si="65"/>
        <v>0</v>
      </c>
    </row>
    <row r="1132" spans="2:5" x14ac:dyDescent="0.35">
      <c r="D1132" s="30" t="str">
        <f t="shared" si="63"/>
        <v xml:space="preserve">Audiologists and Speech Therapists </v>
      </c>
      <c r="E1132">
        <f t="shared" si="65"/>
        <v>2</v>
      </c>
    </row>
    <row r="1133" spans="2:5" x14ac:dyDescent="0.35">
      <c r="D1133" s="30" t="str">
        <f t="shared" si="63"/>
        <v>Traditional and complementary medicine practitioners</v>
      </c>
      <c r="E1133">
        <f t="shared" si="65"/>
        <v>0</v>
      </c>
    </row>
    <row r="1134" spans="2:5" x14ac:dyDescent="0.35">
      <c r="B1134" t="str">
        <f>AV1</f>
        <v>ZWE</v>
      </c>
      <c r="C1134">
        <f>AV2</f>
        <v>16320536.999999996</v>
      </c>
      <c r="D1134" s="29" t="str">
        <f t="shared" ref="D1134:D1180" si="66">D1110</f>
        <v>Medical Doctors</v>
      </c>
      <c r="E1134">
        <f t="shared" ref="E1134:E1157" si="67">AV3</f>
        <v>6133</v>
      </c>
    </row>
    <row r="1135" spans="2:5" x14ac:dyDescent="0.35">
      <c r="D1135" s="30" t="str">
        <f t="shared" si="66"/>
        <v>Nursing Personnel</v>
      </c>
      <c r="E1135">
        <f t="shared" si="67"/>
        <v>64364</v>
      </c>
    </row>
    <row r="1136" spans="2:5" x14ac:dyDescent="0.35">
      <c r="D1136" s="30" t="str">
        <f t="shared" si="66"/>
        <v>Midwifery personnel</v>
      </c>
      <c r="E1136">
        <f t="shared" si="67"/>
        <v>5592</v>
      </c>
    </row>
    <row r="1137" spans="4:5" x14ac:dyDescent="0.35">
      <c r="D1137" s="30" t="str">
        <f t="shared" si="66"/>
        <v>Pharmacists</v>
      </c>
      <c r="E1137">
        <f t="shared" si="67"/>
        <v>0</v>
      </c>
    </row>
    <row r="1138" spans="4:5" x14ac:dyDescent="0.35">
      <c r="D1138" s="30" t="str">
        <f t="shared" si="66"/>
        <v>Dentists</v>
      </c>
      <c r="E1138">
        <f t="shared" si="67"/>
        <v>0</v>
      </c>
    </row>
    <row r="1139" spans="4:5" x14ac:dyDescent="0.35">
      <c r="D1139" s="30" t="str">
        <f t="shared" si="66"/>
        <v xml:space="preserve">Community Health Workers </v>
      </c>
      <c r="E1139">
        <f t="shared" si="67"/>
        <v>19722</v>
      </c>
    </row>
    <row r="1140" spans="4:5" x14ac:dyDescent="0.35">
      <c r="D1140" s="30" t="str">
        <f t="shared" si="66"/>
        <v>Dieticians and nutritionists</v>
      </c>
      <c r="E1140">
        <f t="shared" si="67"/>
        <v>0</v>
      </c>
    </row>
    <row r="1141" spans="4:5" x14ac:dyDescent="0.35">
      <c r="D1141" s="30" t="str">
        <f t="shared" si="66"/>
        <v>Environmental and occupational health &amp; hygiene workers</v>
      </c>
      <c r="E1141">
        <f t="shared" si="67"/>
        <v>0</v>
      </c>
    </row>
    <row r="1142" spans="4:5" x14ac:dyDescent="0.35">
      <c r="D1142" s="30" t="str">
        <f t="shared" si="66"/>
        <v>Personal care workers in health service</v>
      </c>
      <c r="E1142">
        <f t="shared" si="67"/>
        <v>0</v>
      </c>
    </row>
    <row r="1143" spans="4:5" x14ac:dyDescent="0.35">
      <c r="D1143" s="30" t="str">
        <f t="shared" si="66"/>
        <v xml:space="preserve">Managerial staff </v>
      </c>
      <c r="E1143">
        <f t="shared" si="67"/>
        <v>0</v>
      </c>
    </row>
    <row r="1144" spans="4:5" x14ac:dyDescent="0.35">
      <c r="D1144" s="30" t="str">
        <f t="shared" si="66"/>
        <v xml:space="preserve">Medical and dental Prosthetic Technicians </v>
      </c>
      <c r="E1144">
        <f t="shared" si="67"/>
        <v>0</v>
      </c>
    </row>
    <row r="1145" spans="4:5" x14ac:dyDescent="0.35">
      <c r="D1145" s="30" t="str">
        <f t="shared" si="66"/>
        <v xml:space="preserve">Medical and Pathology Laboratory scientists </v>
      </c>
      <c r="E1145">
        <f t="shared" si="67"/>
        <v>757</v>
      </c>
    </row>
    <row r="1146" spans="4:5" x14ac:dyDescent="0.35">
      <c r="D1146" s="30" t="str">
        <f t="shared" si="66"/>
        <v xml:space="preserve">Medical Assistants </v>
      </c>
      <c r="E1146">
        <f t="shared" si="67"/>
        <v>0</v>
      </c>
    </row>
    <row r="1147" spans="4:5" x14ac:dyDescent="0.35">
      <c r="D1147" s="30" t="str">
        <f t="shared" si="66"/>
        <v xml:space="preserve">Medical Imaging and Therapeutic Equipment Technicians </v>
      </c>
      <c r="E1147">
        <f t="shared" si="67"/>
        <v>0</v>
      </c>
    </row>
    <row r="1148" spans="4:5" x14ac:dyDescent="0.35">
      <c r="D1148" s="30" t="str">
        <f t="shared" si="66"/>
        <v xml:space="preserve">Medical Records and Health Information Technicians </v>
      </c>
      <c r="E1148">
        <f t="shared" si="67"/>
        <v>0</v>
      </c>
    </row>
    <row r="1149" spans="4:5" x14ac:dyDescent="0.35">
      <c r="D1149" s="30" t="str">
        <f t="shared" si="66"/>
        <v xml:space="preserve">Optometrists and Ophthalmic Opticians </v>
      </c>
      <c r="E1149">
        <f t="shared" si="67"/>
        <v>0</v>
      </c>
    </row>
    <row r="1150" spans="4:5" x14ac:dyDescent="0.35">
      <c r="D1150" s="30" t="str">
        <f t="shared" si="66"/>
        <v xml:space="preserve">Other non-medical professional staff </v>
      </c>
      <c r="E1150">
        <f t="shared" si="67"/>
        <v>0</v>
      </c>
    </row>
    <row r="1151" spans="4:5" x14ac:dyDescent="0.35">
      <c r="D1151" s="30" t="str">
        <f t="shared" si="66"/>
        <v xml:space="preserve">Other non-medical support staff </v>
      </c>
      <c r="E1151">
        <f t="shared" si="67"/>
        <v>0</v>
      </c>
    </row>
    <row r="1152" spans="4:5" x14ac:dyDescent="0.35">
      <c r="D1152" s="30" t="str">
        <f t="shared" si="66"/>
        <v xml:space="preserve">Medical and Pathology Laboratory Technicians </v>
      </c>
      <c r="E1152">
        <f t="shared" si="67"/>
        <v>795</v>
      </c>
    </row>
    <row r="1153" spans="2:5" x14ac:dyDescent="0.35">
      <c r="D1153" s="30" t="str">
        <f t="shared" si="66"/>
        <v xml:space="preserve">Paramedical Practitioners </v>
      </c>
      <c r="E1153">
        <f t="shared" si="67"/>
        <v>0</v>
      </c>
    </row>
    <row r="1154" spans="2:5" x14ac:dyDescent="0.35">
      <c r="D1154" s="30" t="str">
        <f t="shared" si="66"/>
        <v>Physiotherapists and physiotherapy assistants</v>
      </c>
      <c r="E1154">
        <f t="shared" si="67"/>
        <v>957</v>
      </c>
    </row>
    <row r="1155" spans="2:5" x14ac:dyDescent="0.35">
      <c r="D1155" s="30" t="str">
        <f t="shared" si="66"/>
        <v>Social workers</v>
      </c>
      <c r="E1155">
        <f t="shared" si="67"/>
        <v>84</v>
      </c>
    </row>
    <row r="1156" spans="2:5" x14ac:dyDescent="0.35">
      <c r="D1156" s="30" t="str">
        <f t="shared" si="66"/>
        <v xml:space="preserve">Audiologists and Speech Therapists </v>
      </c>
      <c r="E1156">
        <f t="shared" si="67"/>
        <v>0</v>
      </c>
    </row>
    <row r="1157" spans="2:5" x14ac:dyDescent="0.35">
      <c r="D1157" s="30" t="str">
        <f t="shared" si="66"/>
        <v>Traditional and complementary medicine practitioners</v>
      </c>
      <c r="E1157">
        <f t="shared" si="67"/>
        <v>0</v>
      </c>
    </row>
    <row r="1158" spans="2:5" x14ac:dyDescent="0.35">
      <c r="B1158" t="s">
        <v>9</v>
      </c>
      <c r="C1158">
        <f>AW2</f>
        <v>1191645698.5</v>
      </c>
      <c r="D1158" s="29" t="str">
        <f t="shared" si="66"/>
        <v>Medical Doctors</v>
      </c>
      <c r="E1158">
        <f t="shared" ref="E1158:E1181" si="68">AW3</f>
        <v>434257</v>
      </c>
    </row>
    <row r="1159" spans="2:5" x14ac:dyDescent="0.35">
      <c r="D1159" s="30" t="str">
        <f t="shared" si="66"/>
        <v>Nursing Personnel</v>
      </c>
      <c r="E1159">
        <f t="shared" si="68"/>
        <v>1773060</v>
      </c>
    </row>
    <row r="1160" spans="2:5" x14ac:dyDescent="0.35">
      <c r="D1160" s="30" t="str">
        <f t="shared" si="66"/>
        <v>Midwifery personnel</v>
      </c>
      <c r="E1160">
        <f t="shared" si="68"/>
        <v>567662</v>
      </c>
    </row>
    <row r="1161" spans="2:5" x14ac:dyDescent="0.35">
      <c r="D1161" s="30" t="str">
        <f t="shared" si="66"/>
        <v>Pharmacists</v>
      </c>
      <c r="E1161">
        <f t="shared" si="68"/>
        <v>66051</v>
      </c>
    </row>
    <row r="1162" spans="2:5" x14ac:dyDescent="0.35">
      <c r="D1162" s="30" t="str">
        <f t="shared" si="66"/>
        <v>Dentists</v>
      </c>
      <c r="E1162">
        <f t="shared" si="68"/>
        <v>16131</v>
      </c>
    </row>
    <row r="1163" spans="2:5" x14ac:dyDescent="0.35">
      <c r="D1163" s="30" t="str">
        <f t="shared" si="66"/>
        <v xml:space="preserve">Community Health Workers </v>
      </c>
      <c r="E1163">
        <f t="shared" si="68"/>
        <v>447499</v>
      </c>
    </row>
    <row r="1164" spans="2:5" x14ac:dyDescent="0.35">
      <c r="D1164" s="30" t="str">
        <f t="shared" si="66"/>
        <v>Dieticians and nutritionists</v>
      </c>
      <c r="E1164">
        <f t="shared" si="68"/>
        <v>6016</v>
      </c>
    </row>
    <row r="1165" spans="2:5" x14ac:dyDescent="0.35">
      <c r="D1165" s="30" t="str">
        <f t="shared" si="66"/>
        <v>Environmental and occupational health &amp; hygiene workers</v>
      </c>
      <c r="E1165">
        <f t="shared" si="68"/>
        <v>10186</v>
      </c>
    </row>
    <row r="1166" spans="2:5" x14ac:dyDescent="0.35">
      <c r="D1166" s="30" t="str">
        <f t="shared" si="66"/>
        <v>Personal care workers in health service</v>
      </c>
      <c r="E1166">
        <f t="shared" si="68"/>
        <v>17531</v>
      </c>
    </row>
    <row r="1167" spans="2:5" x14ac:dyDescent="0.35">
      <c r="D1167" s="30" t="str">
        <f t="shared" si="66"/>
        <v xml:space="preserve">Managerial staff </v>
      </c>
      <c r="E1167">
        <f t="shared" si="68"/>
        <v>40553</v>
      </c>
    </row>
    <row r="1168" spans="2:5" x14ac:dyDescent="0.35">
      <c r="D1168" s="30" t="str">
        <f t="shared" si="66"/>
        <v xml:space="preserve">Medical and dental Prosthetic Technicians </v>
      </c>
      <c r="E1168">
        <f t="shared" si="68"/>
        <v>1198</v>
      </c>
    </row>
    <row r="1169" spans="4:5" x14ac:dyDescent="0.35">
      <c r="D1169" s="30" t="str">
        <f t="shared" si="66"/>
        <v xml:space="preserve">Medical and Pathology Laboratory scientists </v>
      </c>
      <c r="E1169">
        <f t="shared" si="68"/>
        <v>52035</v>
      </c>
    </row>
    <row r="1170" spans="4:5" x14ac:dyDescent="0.35">
      <c r="D1170" s="30" t="str">
        <f t="shared" si="66"/>
        <v xml:space="preserve">Medical Assistants </v>
      </c>
      <c r="E1170">
        <f t="shared" si="68"/>
        <v>30797</v>
      </c>
    </row>
    <row r="1171" spans="4:5" x14ac:dyDescent="0.35">
      <c r="D1171" s="30" t="str">
        <f t="shared" si="66"/>
        <v xml:space="preserve">Medical Imaging and Therapeutic Equipment Technicians </v>
      </c>
      <c r="E1171">
        <f t="shared" si="68"/>
        <v>20636</v>
      </c>
    </row>
    <row r="1172" spans="4:5" x14ac:dyDescent="0.35">
      <c r="D1172" s="30" t="str">
        <f t="shared" si="66"/>
        <v xml:space="preserve">Medical Records and Health Information Technicians </v>
      </c>
      <c r="E1172">
        <f t="shared" si="68"/>
        <v>5344</v>
      </c>
    </row>
    <row r="1173" spans="4:5" x14ac:dyDescent="0.35">
      <c r="D1173" s="30" t="str">
        <f t="shared" si="66"/>
        <v xml:space="preserve">Optometrists and Ophthalmic Opticians </v>
      </c>
      <c r="E1173">
        <f t="shared" si="68"/>
        <v>7386</v>
      </c>
    </row>
    <row r="1174" spans="4:5" x14ac:dyDescent="0.35">
      <c r="D1174" s="30" t="str">
        <f t="shared" si="66"/>
        <v xml:space="preserve">Other non-medical professional staff </v>
      </c>
      <c r="E1174">
        <f t="shared" si="68"/>
        <v>20172</v>
      </c>
    </row>
    <row r="1175" spans="4:5" x14ac:dyDescent="0.35">
      <c r="D1175" s="30" t="str">
        <f t="shared" si="66"/>
        <v xml:space="preserve">Other non-medical support staff </v>
      </c>
      <c r="E1175">
        <f t="shared" si="68"/>
        <v>35214</v>
      </c>
    </row>
    <row r="1176" spans="4:5" x14ac:dyDescent="0.35">
      <c r="D1176" s="30" t="str">
        <f t="shared" si="66"/>
        <v xml:space="preserve">Medical and Pathology Laboratory Technicians </v>
      </c>
      <c r="E1176">
        <f t="shared" si="68"/>
        <v>84351</v>
      </c>
    </row>
    <row r="1177" spans="4:5" x14ac:dyDescent="0.35">
      <c r="D1177" s="30" t="str">
        <f t="shared" si="66"/>
        <v xml:space="preserve">Paramedical Practitioners </v>
      </c>
      <c r="E1177">
        <f t="shared" si="68"/>
        <v>118520</v>
      </c>
    </row>
    <row r="1178" spans="4:5" x14ac:dyDescent="0.35">
      <c r="D1178" s="30" t="str">
        <f t="shared" si="66"/>
        <v>Physiotherapists and physiotherapy assistants</v>
      </c>
      <c r="E1178">
        <f t="shared" si="68"/>
        <v>17214</v>
      </c>
    </row>
    <row r="1179" spans="4:5" x14ac:dyDescent="0.35">
      <c r="D1179" s="30" t="str">
        <f t="shared" si="66"/>
        <v>Social workers</v>
      </c>
      <c r="E1179">
        <f t="shared" si="68"/>
        <v>18197</v>
      </c>
    </row>
    <row r="1180" spans="4:5" x14ac:dyDescent="0.35">
      <c r="D1180" s="30" t="str">
        <f t="shared" si="66"/>
        <v xml:space="preserve">Audiologists and Speech Therapists </v>
      </c>
      <c r="E1180">
        <f t="shared" si="68"/>
        <v>827</v>
      </c>
    </row>
    <row r="1181" spans="4:5" x14ac:dyDescent="0.35">
      <c r="D1181" s="30" t="str">
        <f t="shared" ref="D1181" si="69">D1157</f>
        <v>Traditional and complementary medicine practitioners</v>
      </c>
      <c r="E1181">
        <f t="shared" si="68"/>
        <v>126662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5DBEB-DD27-481A-A769-1A6D558396ED}">
  <dimension ref="A1:D51"/>
  <sheetViews>
    <sheetView topLeftCell="A36" workbookViewId="0">
      <selection activeCell="A3" sqref="A3:D51"/>
    </sheetView>
  </sheetViews>
  <sheetFormatPr defaultColWidth="8.81640625" defaultRowHeight="14.5" x14ac:dyDescent="0.35"/>
  <cols>
    <col min="1" max="1" width="12.36328125" bestFit="1" customWidth="1"/>
    <col min="2" max="2" width="18.36328125" bestFit="1" customWidth="1"/>
    <col min="3" max="3" width="11.1796875" bestFit="1" customWidth="1"/>
    <col min="4" max="4" width="17.1796875" bestFit="1" customWidth="1"/>
  </cols>
  <sheetData>
    <row r="1" spans="1:4" x14ac:dyDescent="0.35">
      <c r="A1" s="15" t="s">
        <v>211</v>
      </c>
      <c r="B1" t="s">
        <v>139</v>
      </c>
    </row>
    <row r="3" spans="1:4" x14ac:dyDescent="0.35">
      <c r="A3" s="15" t="s">
        <v>124</v>
      </c>
      <c r="B3" t="s">
        <v>228</v>
      </c>
      <c r="C3" t="s">
        <v>229</v>
      </c>
      <c r="D3" t="s">
        <v>227</v>
      </c>
    </row>
    <row r="4" spans="1:4" x14ac:dyDescent="0.35">
      <c r="A4" s="16" t="s">
        <v>162</v>
      </c>
      <c r="B4">
        <v>0</v>
      </c>
      <c r="C4">
        <v>0</v>
      </c>
      <c r="D4">
        <v>46082</v>
      </c>
    </row>
    <row r="5" spans="1:4" x14ac:dyDescent="0.35">
      <c r="A5" s="16" t="s">
        <v>165</v>
      </c>
      <c r="B5">
        <v>18744</v>
      </c>
      <c r="C5">
        <v>15426</v>
      </c>
      <c r="D5">
        <v>8996</v>
      </c>
    </row>
    <row r="6" spans="1:4" x14ac:dyDescent="0.35">
      <c r="A6" s="16" t="s">
        <v>163</v>
      </c>
      <c r="B6">
        <v>10968</v>
      </c>
      <c r="C6">
        <v>0</v>
      </c>
      <c r="D6">
        <v>3260</v>
      </c>
    </row>
    <row r="7" spans="1:4" x14ac:dyDescent="0.35">
      <c r="A7" s="16" t="s">
        <v>151</v>
      </c>
      <c r="B7">
        <v>24378</v>
      </c>
      <c r="C7">
        <v>23748</v>
      </c>
      <c r="D7">
        <v>10325</v>
      </c>
    </row>
    <row r="8" spans="1:4" x14ac:dyDescent="0.35">
      <c r="A8" s="16" t="s">
        <v>164</v>
      </c>
      <c r="B8">
        <v>15772</v>
      </c>
      <c r="C8">
        <v>15542</v>
      </c>
      <c r="D8">
        <v>6935</v>
      </c>
    </row>
    <row r="9" spans="1:4" x14ac:dyDescent="0.35">
      <c r="A9" s="16" t="s">
        <v>152</v>
      </c>
      <c r="B9">
        <v>1010</v>
      </c>
      <c r="C9">
        <v>0</v>
      </c>
      <c r="D9">
        <v>751</v>
      </c>
    </row>
    <row r="10" spans="1:4" x14ac:dyDescent="0.35">
      <c r="A10" s="16" t="s">
        <v>166</v>
      </c>
      <c r="B10">
        <v>25774</v>
      </c>
      <c r="C10">
        <v>26792</v>
      </c>
      <c r="D10">
        <v>11730</v>
      </c>
    </row>
    <row r="11" spans="1:4" x14ac:dyDescent="0.35">
      <c r="A11" s="16" t="s">
        <v>168</v>
      </c>
      <c r="B11">
        <v>9254</v>
      </c>
      <c r="C11">
        <v>23436</v>
      </c>
      <c r="D11">
        <v>9925</v>
      </c>
    </row>
    <row r="12" spans="1:4" x14ac:dyDescent="0.35">
      <c r="A12" s="16" t="s">
        <v>154</v>
      </c>
      <c r="B12">
        <v>203504</v>
      </c>
      <c r="C12">
        <v>0</v>
      </c>
      <c r="D12">
        <v>103785</v>
      </c>
    </row>
    <row r="13" spans="1:4" x14ac:dyDescent="0.35">
      <c r="A13" s="16" t="s">
        <v>189</v>
      </c>
      <c r="B13">
        <v>0</v>
      </c>
      <c r="C13">
        <v>0</v>
      </c>
      <c r="D13">
        <v>4012</v>
      </c>
    </row>
    <row r="14" spans="1:4" x14ac:dyDescent="0.35">
      <c r="A14" s="16" t="s">
        <v>196</v>
      </c>
      <c r="B14">
        <v>0</v>
      </c>
      <c r="C14">
        <v>1366</v>
      </c>
      <c r="D14">
        <v>747</v>
      </c>
    </row>
    <row r="15" spans="1:4" x14ac:dyDescent="0.35">
      <c r="A15" s="16" t="s">
        <v>167</v>
      </c>
      <c r="B15">
        <v>0</v>
      </c>
      <c r="C15">
        <v>0</v>
      </c>
      <c r="D15">
        <v>768</v>
      </c>
    </row>
    <row r="16" spans="1:4" x14ac:dyDescent="0.35">
      <c r="A16" s="16" t="s">
        <v>161</v>
      </c>
      <c r="B16">
        <v>0</v>
      </c>
      <c r="C16">
        <v>0</v>
      </c>
      <c r="D16">
        <v>57705</v>
      </c>
    </row>
    <row r="17" spans="1:4" x14ac:dyDescent="0.35">
      <c r="A17" s="16" t="s">
        <v>194</v>
      </c>
      <c r="B17">
        <v>9362</v>
      </c>
      <c r="C17">
        <v>0</v>
      </c>
      <c r="D17">
        <v>3939</v>
      </c>
    </row>
    <row r="18" spans="1:4" x14ac:dyDescent="0.35">
      <c r="A18" s="16" t="s">
        <v>155</v>
      </c>
      <c r="B18">
        <v>139648</v>
      </c>
      <c r="C18">
        <v>139648</v>
      </c>
      <c r="D18">
        <v>61772</v>
      </c>
    </row>
    <row r="19" spans="1:4" x14ac:dyDescent="0.35">
      <c r="A19" s="16" t="s">
        <v>157</v>
      </c>
      <c r="B19">
        <v>0</v>
      </c>
      <c r="C19">
        <v>10963</v>
      </c>
      <c r="D19">
        <v>5352</v>
      </c>
    </row>
    <row r="20" spans="1:4" x14ac:dyDescent="0.35">
      <c r="A20" s="16" t="s">
        <v>172</v>
      </c>
      <c r="B20">
        <v>186288</v>
      </c>
      <c r="C20">
        <v>191578</v>
      </c>
      <c r="D20">
        <v>42827</v>
      </c>
    </row>
    <row r="21" spans="1:4" x14ac:dyDescent="0.35">
      <c r="A21" s="16" t="s">
        <v>173</v>
      </c>
      <c r="B21">
        <v>0</v>
      </c>
      <c r="C21">
        <v>0</v>
      </c>
      <c r="D21">
        <v>6329</v>
      </c>
    </row>
    <row r="22" spans="1:4" x14ac:dyDescent="0.35">
      <c r="A22" s="16" t="s">
        <v>171</v>
      </c>
      <c r="B22">
        <v>2808</v>
      </c>
      <c r="C22">
        <v>2458</v>
      </c>
      <c r="D22">
        <v>1178</v>
      </c>
    </row>
    <row r="23" spans="1:4" x14ac:dyDescent="0.35">
      <c r="A23" s="16" t="s">
        <v>174</v>
      </c>
      <c r="B23">
        <v>3912</v>
      </c>
      <c r="C23">
        <v>2782</v>
      </c>
      <c r="D23">
        <v>1264</v>
      </c>
    </row>
    <row r="24" spans="1:4" x14ac:dyDescent="0.35">
      <c r="A24" s="16" t="s">
        <v>170</v>
      </c>
      <c r="B24">
        <v>0</v>
      </c>
      <c r="C24">
        <v>0</v>
      </c>
      <c r="D24">
        <v>355</v>
      </c>
    </row>
    <row r="25" spans="1:4" x14ac:dyDescent="0.35">
      <c r="A25" s="16" t="s">
        <v>175</v>
      </c>
      <c r="B25">
        <v>69176</v>
      </c>
      <c r="C25">
        <v>0</v>
      </c>
      <c r="D25">
        <v>59901</v>
      </c>
    </row>
    <row r="26" spans="1:4" x14ac:dyDescent="0.35">
      <c r="A26" s="16" t="s">
        <v>176</v>
      </c>
      <c r="B26">
        <v>3522</v>
      </c>
      <c r="C26">
        <v>4832</v>
      </c>
      <c r="D26">
        <v>8488</v>
      </c>
    </row>
    <row r="27" spans="1:4" x14ac:dyDescent="0.35">
      <c r="A27" s="16" t="s">
        <v>160</v>
      </c>
      <c r="B27">
        <v>0</v>
      </c>
      <c r="C27">
        <v>0</v>
      </c>
      <c r="D27">
        <v>967</v>
      </c>
    </row>
    <row r="28" spans="1:4" x14ac:dyDescent="0.35">
      <c r="A28" s="16" t="s">
        <v>177</v>
      </c>
      <c r="B28">
        <v>0</v>
      </c>
      <c r="C28">
        <v>0</v>
      </c>
      <c r="D28">
        <v>4560</v>
      </c>
    </row>
    <row r="29" spans="1:4" x14ac:dyDescent="0.35">
      <c r="A29" s="16" t="s">
        <v>179</v>
      </c>
      <c r="B29">
        <v>0</v>
      </c>
      <c r="C29">
        <v>0</v>
      </c>
      <c r="D29">
        <v>5225</v>
      </c>
    </row>
    <row r="30" spans="1:4" x14ac:dyDescent="0.35">
      <c r="A30" s="16" t="s">
        <v>181</v>
      </c>
      <c r="B30">
        <v>21856</v>
      </c>
      <c r="C30">
        <v>17662</v>
      </c>
      <c r="D30">
        <v>7961</v>
      </c>
    </row>
    <row r="31" spans="1:4" x14ac:dyDescent="0.35">
      <c r="A31" s="16" t="s">
        <v>158</v>
      </c>
      <c r="B31">
        <v>12312</v>
      </c>
      <c r="C31">
        <v>8580</v>
      </c>
      <c r="D31">
        <v>4017</v>
      </c>
    </row>
    <row r="32" spans="1:4" x14ac:dyDescent="0.35">
      <c r="A32" s="16" t="s">
        <v>180</v>
      </c>
      <c r="B32">
        <v>0</v>
      </c>
      <c r="C32">
        <v>0</v>
      </c>
      <c r="D32">
        <v>4419</v>
      </c>
    </row>
    <row r="33" spans="1:4" x14ac:dyDescent="0.35">
      <c r="A33" s="16" t="s">
        <v>178</v>
      </c>
      <c r="B33">
        <v>0</v>
      </c>
      <c r="C33">
        <v>32965</v>
      </c>
      <c r="D33">
        <v>6025</v>
      </c>
    </row>
    <row r="34" spans="1:4" x14ac:dyDescent="0.35">
      <c r="A34" s="16" t="s">
        <v>182</v>
      </c>
      <c r="B34">
        <v>14332</v>
      </c>
      <c r="C34">
        <v>12880</v>
      </c>
      <c r="D34">
        <v>12956</v>
      </c>
    </row>
    <row r="35" spans="1:4" x14ac:dyDescent="0.35">
      <c r="A35" s="16" t="s">
        <v>190</v>
      </c>
      <c r="B35">
        <v>0</v>
      </c>
      <c r="C35">
        <v>0</v>
      </c>
      <c r="D35">
        <v>3581</v>
      </c>
    </row>
    <row r="36" spans="1:4" x14ac:dyDescent="0.35">
      <c r="A36" s="16" t="s">
        <v>156</v>
      </c>
      <c r="B36">
        <v>535392</v>
      </c>
      <c r="C36">
        <v>0</v>
      </c>
      <c r="D36">
        <v>180709</v>
      </c>
    </row>
    <row r="37" spans="1:4" x14ac:dyDescent="0.35">
      <c r="A37" s="16" t="s">
        <v>183</v>
      </c>
      <c r="B37">
        <v>0</v>
      </c>
      <c r="C37">
        <v>0</v>
      </c>
      <c r="D37">
        <v>9551</v>
      </c>
    </row>
    <row r="38" spans="1:4" x14ac:dyDescent="0.35">
      <c r="A38" s="16" t="s">
        <v>184</v>
      </c>
      <c r="B38">
        <v>12954</v>
      </c>
      <c r="C38">
        <v>7600</v>
      </c>
      <c r="D38">
        <v>4577</v>
      </c>
    </row>
    <row r="39" spans="1:4" x14ac:dyDescent="0.35">
      <c r="A39" s="16" t="s">
        <v>186</v>
      </c>
      <c r="B39">
        <v>0</v>
      </c>
      <c r="C39">
        <v>2080</v>
      </c>
      <c r="D39">
        <v>5302</v>
      </c>
    </row>
    <row r="40" spans="1:4" x14ac:dyDescent="0.35">
      <c r="A40" s="16" t="s">
        <v>188</v>
      </c>
      <c r="B40">
        <v>0</v>
      </c>
      <c r="C40">
        <v>9060</v>
      </c>
      <c r="D40">
        <v>2014</v>
      </c>
    </row>
    <row r="41" spans="1:4" x14ac:dyDescent="0.35">
      <c r="A41" s="16" t="s">
        <v>153</v>
      </c>
      <c r="B41">
        <v>0</v>
      </c>
      <c r="C41">
        <v>0</v>
      </c>
      <c r="D41">
        <v>206</v>
      </c>
    </row>
    <row r="42" spans="1:4" x14ac:dyDescent="0.35">
      <c r="A42" s="16" t="s">
        <v>159</v>
      </c>
      <c r="B42">
        <v>0</v>
      </c>
      <c r="C42">
        <v>6881</v>
      </c>
      <c r="D42">
        <v>2204</v>
      </c>
    </row>
    <row r="43" spans="1:4" x14ac:dyDescent="0.35">
      <c r="A43" s="16" t="s">
        <v>185</v>
      </c>
      <c r="B43">
        <v>0</v>
      </c>
      <c r="C43">
        <v>0</v>
      </c>
      <c r="D43">
        <v>1272</v>
      </c>
    </row>
    <row r="44" spans="1:4" x14ac:dyDescent="0.35">
      <c r="A44" s="16" t="s">
        <v>169</v>
      </c>
      <c r="B44">
        <v>5354</v>
      </c>
      <c r="C44">
        <v>5246</v>
      </c>
      <c r="D44">
        <v>3863</v>
      </c>
    </row>
    <row r="45" spans="1:4" x14ac:dyDescent="0.35">
      <c r="A45" s="16" t="s">
        <v>195</v>
      </c>
      <c r="B45">
        <v>3892</v>
      </c>
      <c r="C45">
        <v>4910</v>
      </c>
      <c r="D45">
        <v>1966</v>
      </c>
    </row>
    <row r="46" spans="1:4" x14ac:dyDescent="0.35">
      <c r="A46" s="16" t="s">
        <v>197</v>
      </c>
      <c r="B46">
        <v>0</v>
      </c>
      <c r="C46">
        <v>0</v>
      </c>
      <c r="D46">
        <v>31940</v>
      </c>
    </row>
    <row r="47" spans="1:4" x14ac:dyDescent="0.35">
      <c r="A47" s="16" t="s">
        <v>191</v>
      </c>
      <c r="B47">
        <v>0</v>
      </c>
      <c r="C47">
        <v>102654</v>
      </c>
      <c r="D47">
        <v>16407</v>
      </c>
    </row>
    <row r="48" spans="1:4" x14ac:dyDescent="0.35">
      <c r="A48" s="16" t="s">
        <v>187</v>
      </c>
      <c r="B48">
        <v>0</v>
      </c>
      <c r="C48">
        <v>122056</v>
      </c>
      <c r="D48">
        <v>287458</v>
      </c>
    </row>
    <row r="49" spans="1:4" x14ac:dyDescent="0.35">
      <c r="A49" s="16" t="s">
        <v>192</v>
      </c>
      <c r="B49">
        <v>65084</v>
      </c>
      <c r="C49">
        <v>55348</v>
      </c>
      <c r="D49">
        <v>14516</v>
      </c>
    </row>
    <row r="50" spans="1:4" x14ac:dyDescent="0.35">
      <c r="A50" s="16" t="s">
        <v>193</v>
      </c>
      <c r="B50">
        <v>0</v>
      </c>
      <c r="C50">
        <v>44998</v>
      </c>
      <c r="D50">
        <v>25835</v>
      </c>
    </row>
    <row r="51" spans="1:4" x14ac:dyDescent="0.35">
      <c r="A51" s="16" t="s">
        <v>125</v>
      </c>
      <c r="B51">
        <v>1395296</v>
      </c>
      <c r="C51">
        <v>891491</v>
      </c>
      <c r="D51">
        <v>1093957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87D5B-7CD5-485B-B443-13D41978E6B2}">
  <dimension ref="A1:V54"/>
  <sheetViews>
    <sheetView zoomScaleNormal="100" workbookViewId="0">
      <pane ySplit="1" topLeftCell="A2" activePane="bottomLeft" state="frozen"/>
      <selection pane="bottomLeft" activeCell="E16" sqref="E16"/>
    </sheetView>
  </sheetViews>
  <sheetFormatPr defaultColWidth="8.81640625" defaultRowHeight="14.5" x14ac:dyDescent="0.35"/>
  <cols>
    <col min="1" max="1" width="10.6328125" bestFit="1" customWidth="1"/>
    <col min="2" max="2" width="22.1796875" bestFit="1" customWidth="1"/>
    <col min="3" max="4" width="8.81640625" bestFit="1" customWidth="1"/>
    <col min="5" max="5" width="13.6328125" customWidth="1"/>
    <col min="6" max="6" width="15.6328125" customWidth="1"/>
    <col min="7" max="7" width="15.1796875" customWidth="1"/>
    <col min="8" max="8" width="13.81640625" customWidth="1"/>
    <col min="9" max="9" width="13.36328125" bestFit="1" customWidth="1"/>
    <col min="10" max="10" width="13.6328125" bestFit="1" customWidth="1"/>
    <col min="11" max="11" width="12.6328125" customWidth="1"/>
    <col min="12" max="12" width="10.6328125" customWidth="1"/>
    <col min="13" max="13" width="15.36328125" customWidth="1"/>
    <col min="14" max="14" width="15" customWidth="1"/>
    <col min="15" max="15" width="13.6328125" customWidth="1"/>
    <col min="16" max="16" width="13.6328125" bestFit="1" customWidth="1"/>
    <col min="17" max="17" width="14" customWidth="1"/>
    <col min="18" max="19" width="13.6328125" bestFit="1" customWidth="1"/>
    <col min="20" max="20" width="14.36328125" customWidth="1"/>
    <col min="21" max="21" width="19.6328125" customWidth="1"/>
    <col min="22" max="22" width="14.6328125" customWidth="1"/>
  </cols>
  <sheetData>
    <row r="1" spans="1:22" s="14" customFormat="1" ht="56.5" customHeight="1" x14ac:dyDescent="0.35">
      <c r="A1" s="36" t="s">
        <v>0</v>
      </c>
      <c r="B1" s="36" t="s">
        <v>233</v>
      </c>
      <c r="C1" s="36" t="s">
        <v>230</v>
      </c>
      <c r="D1" s="37" t="s">
        <v>231</v>
      </c>
      <c r="E1" s="57" t="s">
        <v>232</v>
      </c>
      <c r="F1" s="36" t="s">
        <v>246</v>
      </c>
      <c r="G1" s="36" t="s">
        <v>247</v>
      </c>
      <c r="H1" s="36" t="s">
        <v>248</v>
      </c>
      <c r="I1" s="36" t="s">
        <v>234</v>
      </c>
      <c r="J1" s="38" t="s">
        <v>237</v>
      </c>
      <c r="K1" s="38" t="s">
        <v>236</v>
      </c>
      <c r="L1" s="36" t="s">
        <v>243</v>
      </c>
      <c r="M1" s="36" t="s">
        <v>238</v>
      </c>
      <c r="N1" s="36" t="s">
        <v>239</v>
      </c>
      <c r="O1" s="36" t="s">
        <v>240</v>
      </c>
      <c r="P1" s="36" t="s">
        <v>241</v>
      </c>
      <c r="Q1" s="36" t="s">
        <v>242</v>
      </c>
      <c r="R1" s="36" t="s">
        <v>235</v>
      </c>
      <c r="S1" s="55" t="s">
        <v>250</v>
      </c>
      <c r="T1" s="55" t="s">
        <v>249</v>
      </c>
      <c r="U1" s="36" t="s">
        <v>244</v>
      </c>
      <c r="V1" s="36" t="s">
        <v>245</v>
      </c>
    </row>
    <row r="2" spans="1:22" x14ac:dyDescent="0.35">
      <c r="A2" s="39" t="s">
        <v>162</v>
      </c>
      <c r="B2" s="39" t="s">
        <v>88</v>
      </c>
      <c r="C2" s="40">
        <v>1438</v>
      </c>
      <c r="D2" s="40">
        <v>46082</v>
      </c>
      <c r="E2" s="41">
        <f>C2+D2</f>
        <v>47520</v>
      </c>
      <c r="F2" s="41">
        <v>21073</v>
      </c>
      <c r="G2" s="41">
        <v>47520</v>
      </c>
      <c r="H2" s="42">
        <f>((E2/F2)^(1/3))-1</f>
        <v>0.3113441654036182</v>
      </c>
      <c r="I2" s="43">
        <v>5.4673730437993617E-2</v>
      </c>
      <c r="J2" s="44">
        <f>E2*(1/((1+H2)^5))</f>
        <v>12254.426479528218</v>
      </c>
      <c r="K2" s="45">
        <f>E2*(1+I2)^4</f>
        <v>58796.157871595256</v>
      </c>
      <c r="L2" s="46">
        <f>((K2/J2)^(1/10))-1</f>
        <v>0.16978378120896553</v>
      </c>
      <c r="M2" s="44">
        <f>E2*(1/(1+L2*5))</f>
        <v>25701.505806792728</v>
      </c>
      <c r="N2" s="45">
        <f>E2*(1+L2*3)</f>
        <v>71724.375849150121</v>
      </c>
      <c r="O2" s="45">
        <f>E2*(1+L2*4)</f>
        <v>79792.501132200166</v>
      </c>
      <c r="P2" s="45">
        <f>E2*(1/(1+H2*5))</f>
        <v>18586.307702363687</v>
      </c>
      <c r="Q2" s="45">
        <f>E2*(1+I2*3)</f>
        <v>55314.287011240369</v>
      </c>
      <c r="R2" s="45">
        <f>E2*(1+I2*4)</f>
        <v>57912.382681653828</v>
      </c>
      <c r="S2" s="47">
        <f>E2*(1/(EXP(H2*5)))</f>
        <v>10018.464576496393</v>
      </c>
      <c r="T2" s="45">
        <f>E2*EXP(I2*4)</f>
        <v>59136.338305436293</v>
      </c>
      <c r="U2" s="45">
        <f>E2/(EXP(L2*5))</f>
        <v>20332.727276954243</v>
      </c>
      <c r="V2" s="45">
        <f>E2*EXP(L2*4)</f>
        <v>93717.580766636427</v>
      </c>
    </row>
    <row r="3" spans="1:22" x14ac:dyDescent="0.35">
      <c r="A3" s="39" t="s">
        <v>165</v>
      </c>
      <c r="B3" s="39" t="s">
        <v>91</v>
      </c>
      <c r="C3" s="40">
        <v>160</v>
      </c>
      <c r="D3" s="40">
        <v>8996</v>
      </c>
      <c r="E3" s="41">
        <f t="shared" ref="E3:E48" si="0">C3+D3</f>
        <v>9156</v>
      </c>
      <c r="F3" s="41">
        <v>6843</v>
      </c>
      <c r="G3" s="41">
        <v>9231</v>
      </c>
      <c r="H3" s="42">
        <f t="shared" ref="H3:H49" si="1">((E3/F3)^(1/3))-1</f>
        <v>0.1019276516404819</v>
      </c>
      <c r="I3" s="42">
        <f>((G3/E3)^(1/2))-1</f>
        <v>4.0873218672115019E-3</v>
      </c>
      <c r="J3" s="44">
        <f t="shared" ref="J3:J48" si="2">E3*(1/((1+H3)^5))</f>
        <v>5635.6028141943098</v>
      </c>
      <c r="K3" s="45">
        <f t="shared" ref="K3:K48" si="3">E3*(1+I3)^4</f>
        <v>9306.6143512450853</v>
      </c>
      <c r="L3" s="46">
        <f t="shared" ref="L3:L48" si="4">((K3/J3)^(1/10))-1</f>
        <v>5.1441547452964143E-2</v>
      </c>
      <c r="M3" s="44">
        <f t="shared" ref="M3:M48" si="5">E3*(1/(1+L3*5))</f>
        <v>7282.8059584804814</v>
      </c>
      <c r="N3" s="45">
        <f t="shared" ref="N3:N48" si="6">E3*(1+L3*3)</f>
        <v>10568.996425438019</v>
      </c>
      <c r="O3" s="45">
        <f t="shared" ref="O3:O48" si="7">E3*(1+L3*4)</f>
        <v>11039.99523391736</v>
      </c>
      <c r="P3" s="45">
        <f t="shared" ref="P3:P48" si="8">E3*(1/(1+H3*5))</f>
        <v>6065.029122210005</v>
      </c>
      <c r="Q3" s="45">
        <f t="shared" ref="Q3:Q48" si="9">E3*(1+I3*3)</f>
        <v>9268.270557048565</v>
      </c>
      <c r="R3" s="45">
        <f t="shared" ref="R3:R48" si="10">E3*(1+I3*4)</f>
        <v>9305.694076064754</v>
      </c>
      <c r="S3" s="47">
        <f t="shared" ref="S3:S48" si="11">E3*(1/(EXP(H3*5)))</f>
        <v>5500.1267855334727</v>
      </c>
      <c r="T3" s="45">
        <f t="shared" ref="T3:T48" si="12">E3*EXP(I3*4)</f>
        <v>9306.9244680039974</v>
      </c>
      <c r="U3" s="45">
        <f t="shared" ref="U3:U48" si="13">E3/(EXP(L3*5))</f>
        <v>7079.4885388836219</v>
      </c>
      <c r="V3" s="45">
        <f t="shared" ref="V3:V48" si="14">E3*EXP(L3*4)</f>
        <v>11247.834170089776</v>
      </c>
    </row>
    <row r="4" spans="1:22" x14ac:dyDescent="0.35">
      <c r="A4" s="39" t="s">
        <v>163</v>
      </c>
      <c r="B4" s="39" t="s">
        <v>89</v>
      </c>
      <c r="C4" s="40">
        <v>813</v>
      </c>
      <c r="D4" s="40">
        <v>3260</v>
      </c>
      <c r="E4" s="48">
        <v>8930</v>
      </c>
      <c r="F4" s="41">
        <v>7694</v>
      </c>
      <c r="G4" s="41">
        <v>8258</v>
      </c>
      <c r="H4" s="42">
        <f t="shared" si="1"/>
        <v>5.0912180313375632E-2</v>
      </c>
      <c r="I4" s="42">
        <f t="shared" ref="I4:I49" si="15">((G4/E4)^(1/2))-1</f>
        <v>-3.8361793441239245E-2</v>
      </c>
      <c r="J4" s="44">
        <f t="shared" si="2"/>
        <v>6966.5752203983839</v>
      </c>
      <c r="K4" s="45">
        <f t="shared" si="3"/>
        <v>7636.5693169092947</v>
      </c>
      <c r="L4" s="46">
        <f t="shared" si="4"/>
        <v>9.2247598382839691E-3</v>
      </c>
      <c r="M4" s="44">
        <f t="shared" si="5"/>
        <v>8536.2745851898817</v>
      </c>
      <c r="N4" s="45">
        <f t="shared" si="6"/>
        <v>9177.1313160676273</v>
      </c>
      <c r="O4" s="45">
        <f t="shared" si="7"/>
        <v>9259.508421423503</v>
      </c>
      <c r="P4" s="45">
        <f t="shared" si="8"/>
        <v>7118.028298862906</v>
      </c>
      <c r="Q4" s="45">
        <f t="shared" si="9"/>
        <v>7902.2875537092004</v>
      </c>
      <c r="R4" s="45">
        <f t="shared" si="10"/>
        <v>7559.7167382789339</v>
      </c>
      <c r="S4" s="47">
        <f t="shared" si="11"/>
        <v>6923.0435570613354</v>
      </c>
      <c r="T4" s="45">
        <f t="shared" si="12"/>
        <v>7659.6724452650842</v>
      </c>
      <c r="U4" s="45">
        <f t="shared" si="13"/>
        <v>8527.4689632508598</v>
      </c>
      <c r="V4" s="45">
        <f t="shared" si="14"/>
        <v>9265.6631615140468</v>
      </c>
    </row>
    <row r="5" spans="1:22" x14ac:dyDescent="0.35">
      <c r="A5" s="39" t="s">
        <v>151</v>
      </c>
      <c r="B5" s="39" t="s">
        <v>1</v>
      </c>
      <c r="C5" s="40">
        <v>6569</v>
      </c>
      <c r="D5" s="40">
        <v>10325</v>
      </c>
      <c r="E5" s="41">
        <f t="shared" si="0"/>
        <v>16894</v>
      </c>
      <c r="F5" s="41">
        <v>12131</v>
      </c>
      <c r="G5" s="41">
        <v>18841</v>
      </c>
      <c r="H5" s="42">
        <f t="shared" si="1"/>
        <v>0.11672257510323925</v>
      </c>
      <c r="I5" s="42">
        <f t="shared" si="15"/>
        <v>5.6053037042871567E-2</v>
      </c>
      <c r="J5" s="44">
        <f t="shared" si="2"/>
        <v>9727.6068821535628</v>
      </c>
      <c r="K5" s="45">
        <f t="shared" si="3"/>
        <v>21012.387889191432</v>
      </c>
      <c r="L5" s="46">
        <f t="shared" si="4"/>
        <v>8.0057656094854712E-2</v>
      </c>
      <c r="M5" s="44">
        <f t="shared" si="5"/>
        <v>12064.658567504437</v>
      </c>
      <c r="N5" s="45">
        <f t="shared" si="6"/>
        <v>20951.482126199426</v>
      </c>
      <c r="O5" s="45">
        <f t="shared" si="7"/>
        <v>22303.976168265901</v>
      </c>
      <c r="P5" s="45">
        <f t="shared" si="8"/>
        <v>10668.011267901073</v>
      </c>
      <c r="Q5" s="45">
        <f t="shared" si="9"/>
        <v>19734.880023406819</v>
      </c>
      <c r="R5" s="45">
        <f t="shared" si="10"/>
        <v>20681.840031209089</v>
      </c>
      <c r="S5" s="47">
        <f t="shared" si="11"/>
        <v>9424.8107521887086</v>
      </c>
      <c r="T5" s="45">
        <f t="shared" si="12"/>
        <v>21140.078155458024</v>
      </c>
      <c r="U5" s="45">
        <f t="shared" si="13"/>
        <v>11321.122728626835</v>
      </c>
      <c r="V5" s="45">
        <f t="shared" si="14"/>
        <v>23270.562590942754</v>
      </c>
    </row>
    <row r="6" spans="1:22" x14ac:dyDescent="0.35">
      <c r="A6" s="39" t="s">
        <v>164</v>
      </c>
      <c r="B6" s="39" t="s">
        <v>90</v>
      </c>
      <c r="C6" s="40">
        <v>0</v>
      </c>
      <c r="D6" s="40">
        <v>6935</v>
      </c>
      <c r="E6" s="41">
        <f t="shared" si="0"/>
        <v>6935</v>
      </c>
      <c r="F6" s="41">
        <v>5816</v>
      </c>
      <c r="G6" s="41">
        <v>12300</v>
      </c>
      <c r="H6" s="42">
        <f t="shared" si="1"/>
        <v>6.0410507639565125E-2</v>
      </c>
      <c r="I6" s="42">
        <f t="shared" si="15"/>
        <v>0.33177029268299996</v>
      </c>
      <c r="J6" s="44">
        <f t="shared" si="2"/>
        <v>5172.2124199427299</v>
      </c>
      <c r="K6" s="45">
        <f t="shared" si="3"/>
        <v>21815.428983417449</v>
      </c>
      <c r="L6" s="46">
        <f t="shared" si="4"/>
        <v>0.15480522567998944</v>
      </c>
      <c r="M6" s="44">
        <f t="shared" si="5"/>
        <v>3909.1870683183824</v>
      </c>
      <c r="N6" s="45">
        <f t="shared" si="6"/>
        <v>10155.722720272181</v>
      </c>
      <c r="O6" s="45">
        <f t="shared" si="7"/>
        <v>11229.296960362908</v>
      </c>
      <c r="P6" s="45">
        <f t="shared" si="8"/>
        <v>5326.2059683081234</v>
      </c>
      <c r="Q6" s="45">
        <f t="shared" si="9"/>
        <v>13837.480939269813</v>
      </c>
      <c r="R6" s="45">
        <f t="shared" si="10"/>
        <v>16138.307919026418</v>
      </c>
      <c r="S6" s="47">
        <f t="shared" si="11"/>
        <v>5127.0401074853653</v>
      </c>
      <c r="T6" s="45">
        <f t="shared" si="12"/>
        <v>26145.111295807616</v>
      </c>
      <c r="U6" s="45">
        <f t="shared" si="13"/>
        <v>3198.093737808128</v>
      </c>
      <c r="V6" s="45">
        <f t="shared" si="14"/>
        <v>12881.62601986863</v>
      </c>
    </row>
    <row r="7" spans="1:22" x14ac:dyDescent="0.35">
      <c r="A7" s="39" t="s">
        <v>152</v>
      </c>
      <c r="B7" s="39" t="s">
        <v>2</v>
      </c>
      <c r="C7" s="40">
        <v>444</v>
      </c>
      <c r="D7" s="40">
        <v>751</v>
      </c>
      <c r="E7" s="41">
        <f t="shared" si="0"/>
        <v>1195</v>
      </c>
      <c r="F7" s="41">
        <v>1146</v>
      </c>
      <c r="G7" s="41">
        <v>1195</v>
      </c>
      <c r="H7" s="42">
        <f t="shared" si="1"/>
        <v>1.405403127486049E-2</v>
      </c>
      <c r="I7" s="43">
        <v>5.4673730437993617E-2</v>
      </c>
      <c r="J7" s="44">
        <f t="shared" si="2"/>
        <v>1114.4547147596438</v>
      </c>
      <c r="K7" s="45">
        <f t="shared" si="3"/>
        <v>1478.5649969814042</v>
      </c>
      <c r="L7" s="46">
        <f t="shared" si="4"/>
        <v>2.867408624168033E-2</v>
      </c>
      <c r="M7" s="44">
        <f t="shared" si="5"/>
        <v>1045.1555920831645</v>
      </c>
      <c r="N7" s="45">
        <f t="shared" si="6"/>
        <v>1297.796599176424</v>
      </c>
      <c r="O7" s="45">
        <f t="shared" si="7"/>
        <v>1332.062132235232</v>
      </c>
      <c r="P7" s="45">
        <f t="shared" si="8"/>
        <v>1116.5405228603572</v>
      </c>
      <c r="Q7" s="45">
        <f t="shared" si="9"/>
        <v>1391.005323620207</v>
      </c>
      <c r="R7" s="45">
        <f t="shared" si="10"/>
        <v>1456.3404314936095</v>
      </c>
      <c r="S7" s="47">
        <f t="shared" si="11"/>
        <v>1113.9096443440801</v>
      </c>
      <c r="T7" s="45">
        <f t="shared" si="12"/>
        <v>1487.1196185815736</v>
      </c>
      <c r="U7" s="45">
        <f t="shared" si="13"/>
        <v>1035.3875014404505</v>
      </c>
      <c r="V7" s="45">
        <f t="shared" si="14"/>
        <v>1340.2317279932893</v>
      </c>
    </row>
    <row r="8" spans="1:22" x14ac:dyDescent="0.35">
      <c r="A8" s="39" t="s">
        <v>166</v>
      </c>
      <c r="B8" s="39" t="s">
        <v>96</v>
      </c>
      <c r="C8" s="40">
        <v>5460</v>
      </c>
      <c r="D8" s="40">
        <v>11730</v>
      </c>
      <c r="E8" s="41">
        <f t="shared" si="0"/>
        <v>17190</v>
      </c>
      <c r="F8" s="41">
        <v>14168</v>
      </c>
      <c r="G8" s="41">
        <v>17190</v>
      </c>
      <c r="H8" s="42">
        <f t="shared" si="1"/>
        <v>6.6569375282258259E-2</v>
      </c>
      <c r="I8" s="43">
        <v>5.4673730437993617E-2</v>
      </c>
      <c r="J8" s="44">
        <f t="shared" si="2"/>
        <v>12454.615634130208</v>
      </c>
      <c r="K8" s="45">
        <f t="shared" si="3"/>
        <v>21269.064684611163</v>
      </c>
      <c r="L8" s="46">
        <f t="shared" si="4"/>
        <v>5.4974120918314329E-2</v>
      </c>
      <c r="M8" s="44">
        <f t="shared" si="5"/>
        <v>13483.721358142959</v>
      </c>
      <c r="N8" s="45">
        <f t="shared" si="6"/>
        <v>20025.015415757469</v>
      </c>
      <c r="O8" s="45">
        <f t="shared" si="7"/>
        <v>20970.020554343293</v>
      </c>
      <c r="P8" s="45">
        <f t="shared" si="8"/>
        <v>12897.205451150032</v>
      </c>
      <c r="Q8" s="45">
        <f t="shared" si="9"/>
        <v>20009.524278687331</v>
      </c>
      <c r="R8" s="45">
        <f t="shared" si="10"/>
        <v>20949.365704916439</v>
      </c>
      <c r="S8" s="47">
        <f t="shared" si="11"/>
        <v>12323.166460546918</v>
      </c>
      <c r="T8" s="45">
        <f t="shared" si="12"/>
        <v>21392.12237942866</v>
      </c>
      <c r="U8" s="45">
        <f t="shared" si="13"/>
        <v>13058.73442919463</v>
      </c>
      <c r="V8" s="45">
        <f t="shared" si="14"/>
        <v>21417.841787731661</v>
      </c>
    </row>
    <row r="9" spans="1:22" x14ac:dyDescent="0.35">
      <c r="A9" s="39" t="s">
        <v>168</v>
      </c>
      <c r="B9" s="39" t="s">
        <v>92</v>
      </c>
      <c r="C9" s="40">
        <v>690</v>
      </c>
      <c r="D9" s="40">
        <v>9925</v>
      </c>
      <c r="E9" s="48">
        <v>18312</v>
      </c>
      <c r="F9" s="41">
        <v>19159</v>
      </c>
      <c r="G9" s="48">
        <v>25952</v>
      </c>
      <c r="H9" s="42">
        <f t="shared" si="1"/>
        <v>-1.4958984742070136E-2</v>
      </c>
      <c r="I9" s="42">
        <f t="shared" si="15"/>
        <v>0.1904674530041961</v>
      </c>
      <c r="J9" s="44">
        <f t="shared" si="2"/>
        <v>19745.321491055467</v>
      </c>
      <c r="K9" s="45">
        <f t="shared" si="3"/>
        <v>36779.505460899949</v>
      </c>
      <c r="L9" s="46">
        <f t="shared" si="4"/>
        <v>6.4177733407871473E-2</v>
      </c>
      <c r="M9" s="44">
        <f t="shared" si="5"/>
        <v>13863.393983873415</v>
      </c>
      <c r="N9" s="45">
        <f t="shared" si="6"/>
        <v>21837.667962494826</v>
      </c>
      <c r="O9" s="45">
        <f t="shared" si="7"/>
        <v>23012.89061665977</v>
      </c>
      <c r="P9" s="45">
        <f t="shared" si="8"/>
        <v>19792.368707526581</v>
      </c>
      <c r="Q9" s="45">
        <f t="shared" si="9"/>
        <v>28775.519998238517</v>
      </c>
      <c r="R9" s="45">
        <f t="shared" si="10"/>
        <v>32263.359997651354</v>
      </c>
      <c r="S9" s="47">
        <f t="shared" si="11"/>
        <v>19734.167146220461</v>
      </c>
      <c r="T9" s="45">
        <f t="shared" si="12"/>
        <v>39229.39721393153</v>
      </c>
      <c r="U9" s="45">
        <f t="shared" si="13"/>
        <v>13285.429596008218</v>
      </c>
      <c r="V9" s="45">
        <f t="shared" si="14"/>
        <v>23671.398766859267</v>
      </c>
    </row>
    <row r="10" spans="1:22" x14ac:dyDescent="0.35">
      <c r="A10" s="39" t="s">
        <v>154</v>
      </c>
      <c r="B10" s="39" t="s">
        <v>97</v>
      </c>
      <c r="C10" s="40">
        <v>3642</v>
      </c>
      <c r="D10" s="40">
        <v>103785</v>
      </c>
      <c r="E10" s="41">
        <f t="shared" si="0"/>
        <v>107427</v>
      </c>
      <c r="F10" s="41">
        <v>72270</v>
      </c>
      <c r="G10" s="41">
        <v>107427</v>
      </c>
      <c r="H10" s="42">
        <f t="shared" si="1"/>
        <v>0.14126140610967886</v>
      </c>
      <c r="I10" s="43">
        <v>5.4673730437993617E-2</v>
      </c>
      <c r="J10" s="44">
        <f t="shared" si="2"/>
        <v>55486.558972126426</v>
      </c>
      <c r="K10" s="45">
        <f t="shared" si="3"/>
        <v>132918.66270353246</v>
      </c>
      <c r="L10" s="46">
        <f t="shared" si="4"/>
        <v>9.1289099104019389E-2</v>
      </c>
      <c r="M10" s="44">
        <f t="shared" si="5"/>
        <v>73759.711798647026</v>
      </c>
      <c r="N10" s="45">
        <f t="shared" si="6"/>
        <v>136847.74214834248</v>
      </c>
      <c r="O10" s="45">
        <f t="shared" si="7"/>
        <v>146654.65619778997</v>
      </c>
      <c r="P10" s="45">
        <f t="shared" si="8"/>
        <v>62958.774755486862</v>
      </c>
      <c r="Q10" s="45">
        <f t="shared" si="9"/>
        <v>125047.30451928702</v>
      </c>
      <c r="R10" s="45">
        <f t="shared" si="10"/>
        <v>130920.73935904936</v>
      </c>
      <c r="S10" s="47">
        <f t="shared" si="11"/>
        <v>53011.269158341027</v>
      </c>
      <c r="T10" s="45">
        <f t="shared" si="12"/>
        <v>133687.69813001063</v>
      </c>
      <c r="U10" s="45">
        <f t="shared" si="13"/>
        <v>68058.392614320866</v>
      </c>
      <c r="V10" s="45">
        <f t="shared" si="14"/>
        <v>154774.30260689597</v>
      </c>
    </row>
    <row r="11" spans="1:22" x14ac:dyDescent="0.35">
      <c r="A11" s="39" t="s">
        <v>189</v>
      </c>
      <c r="B11" s="39" t="s">
        <v>95</v>
      </c>
      <c r="C11" s="40">
        <v>1069</v>
      </c>
      <c r="D11" s="40">
        <v>4012</v>
      </c>
      <c r="E11" s="41">
        <f t="shared" si="0"/>
        <v>5081</v>
      </c>
      <c r="F11" s="41">
        <v>4945</v>
      </c>
      <c r="G11" s="41">
        <v>5081</v>
      </c>
      <c r="H11" s="42">
        <f t="shared" si="1"/>
        <v>9.0847270748923847E-3</v>
      </c>
      <c r="I11" s="43">
        <v>5.4673730437993617E-2</v>
      </c>
      <c r="J11" s="44">
        <f t="shared" si="2"/>
        <v>4856.3617512852798</v>
      </c>
      <c r="K11" s="45">
        <f t="shared" si="3"/>
        <v>6286.6851461611004</v>
      </c>
      <c r="L11" s="46">
        <f t="shared" si="4"/>
        <v>2.6150516395807788E-2</v>
      </c>
      <c r="M11" s="44">
        <f t="shared" si="5"/>
        <v>4493.467519753307</v>
      </c>
      <c r="N11" s="45">
        <f t="shared" si="6"/>
        <v>5479.6123214212985</v>
      </c>
      <c r="O11" s="45">
        <f t="shared" si="7"/>
        <v>5612.4830952283974</v>
      </c>
      <c r="P11" s="45">
        <f t="shared" si="8"/>
        <v>4860.2306548962124</v>
      </c>
      <c r="Q11" s="45">
        <f t="shared" si="9"/>
        <v>5914.3916730663368</v>
      </c>
      <c r="R11" s="45">
        <f t="shared" si="10"/>
        <v>6192.1888974217827</v>
      </c>
      <c r="S11" s="47">
        <f t="shared" si="11"/>
        <v>4855.3658647074008</v>
      </c>
      <c r="T11" s="45">
        <f t="shared" si="12"/>
        <v>6323.0583949899374</v>
      </c>
      <c r="U11" s="45">
        <f t="shared" si="13"/>
        <v>4458.2464257424726</v>
      </c>
      <c r="V11" s="45">
        <f t="shared" si="14"/>
        <v>5641.2753069059499</v>
      </c>
    </row>
    <row r="12" spans="1:22" x14ac:dyDescent="0.35">
      <c r="A12" s="39" t="s">
        <v>196</v>
      </c>
      <c r="B12" s="39" t="s">
        <v>52</v>
      </c>
      <c r="C12" s="40">
        <v>487</v>
      </c>
      <c r="D12" s="40">
        <v>747</v>
      </c>
      <c r="E12" s="41">
        <f t="shared" si="0"/>
        <v>1234</v>
      </c>
      <c r="F12" s="41">
        <v>667</v>
      </c>
      <c r="G12" s="41">
        <v>1234</v>
      </c>
      <c r="H12" s="42">
        <f t="shared" si="1"/>
        <v>0.22761760688079957</v>
      </c>
      <c r="I12" s="43">
        <v>5.4673730437993617E-2</v>
      </c>
      <c r="J12" s="44">
        <f t="shared" si="2"/>
        <v>442.58798177276486</v>
      </c>
      <c r="K12" s="45">
        <f t="shared" si="3"/>
        <v>1526.8194194770317</v>
      </c>
      <c r="L12" s="46">
        <f t="shared" si="4"/>
        <v>0.1318237577554906</v>
      </c>
      <c r="M12" s="44">
        <f t="shared" si="5"/>
        <v>743.76832349014126</v>
      </c>
      <c r="N12" s="45">
        <f t="shared" si="6"/>
        <v>1722.0115512108262</v>
      </c>
      <c r="O12" s="45">
        <f t="shared" si="7"/>
        <v>1884.6820682811017</v>
      </c>
      <c r="P12" s="45">
        <f t="shared" si="8"/>
        <v>577.15116503328795</v>
      </c>
      <c r="Q12" s="45">
        <f t="shared" si="9"/>
        <v>1436.4021500814524</v>
      </c>
      <c r="R12" s="45">
        <f t="shared" si="10"/>
        <v>1503.8695334419365</v>
      </c>
      <c r="S12" s="47">
        <f t="shared" si="11"/>
        <v>395.41196471805461</v>
      </c>
      <c r="T12" s="45">
        <f t="shared" si="12"/>
        <v>1535.6532295645704</v>
      </c>
      <c r="U12" s="45">
        <f t="shared" si="13"/>
        <v>638.35682618212502</v>
      </c>
      <c r="V12" s="45">
        <f t="shared" si="14"/>
        <v>2090.8192117146086</v>
      </c>
    </row>
    <row r="13" spans="1:22" x14ac:dyDescent="0.35">
      <c r="A13" s="39" t="s">
        <v>167</v>
      </c>
      <c r="B13" s="39" t="s">
        <v>93</v>
      </c>
      <c r="C13" s="40">
        <v>27</v>
      </c>
      <c r="D13" s="40">
        <v>768</v>
      </c>
      <c r="E13" s="41">
        <f t="shared" si="0"/>
        <v>795</v>
      </c>
      <c r="F13" s="41">
        <v>551</v>
      </c>
      <c r="G13" s="49">
        <v>795</v>
      </c>
      <c r="H13" s="42">
        <f t="shared" si="1"/>
        <v>0.12998282689096063</v>
      </c>
      <c r="I13" s="43">
        <v>5.4673730437993617E-2</v>
      </c>
      <c r="J13" s="44">
        <f t="shared" si="2"/>
        <v>431.52693865021706</v>
      </c>
      <c r="K13" s="45">
        <f t="shared" si="3"/>
        <v>983.64784318009742</v>
      </c>
      <c r="L13" s="46">
        <f t="shared" si="4"/>
        <v>8.588334772348083E-2</v>
      </c>
      <c r="M13" s="44">
        <f t="shared" si="5"/>
        <v>556.17090420317845</v>
      </c>
      <c r="N13" s="45">
        <f t="shared" si="6"/>
        <v>999.83178432050181</v>
      </c>
      <c r="O13" s="45">
        <f t="shared" si="7"/>
        <v>1068.109045760669</v>
      </c>
      <c r="P13" s="45">
        <f t="shared" si="8"/>
        <v>481.84325680845166</v>
      </c>
      <c r="Q13" s="45">
        <f t="shared" si="9"/>
        <v>925.39684709461483</v>
      </c>
      <c r="R13" s="45">
        <f t="shared" si="10"/>
        <v>968.86246279281966</v>
      </c>
      <c r="S13" s="47">
        <f t="shared" si="11"/>
        <v>415.06203052248912</v>
      </c>
      <c r="T13" s="45">
        <f t="shared" si="12"/>
        <v>989.33899311493803</v>
      </c>
      <c r="U13" s="45">
        <f t="shared" si="13"/>
        <v>517.45645467158226</v>
      </c>
      <c r="V13" s="45">
        <f t="shared" si="14"/>
        <v>1120.8868771638372</v>
      </c>
    </row>
    <row r="14" spans="1:22" x14ac:dyDescent="0.35">
      <c r="A14" s="39" t="s">
        <v>161</v>
      </c>
      <c r="B14" s="39" t="s">
        <v>41</v>
      </c>
      <c r="C14" s="40">
        <v>8620</v>
      </c>
      <c r="D14" s="40">
        <v>57705</v>
      </c>
      <c r="E14" s="41">
        <f t="shared" si="0"/>
        <v>66325</v>
      </c>
      <c r="F14" s="41">
        <v>78960</v>
      </c>
      <c r="G14" s="41">
        <v>92000</v>
      </c>
      <c r="H14" s="42">
        <f t="shared" si="1"/>
        <v>-5.6467842638671772E-2</v>
      </c>
      <c r="I14" s="42">
        <f t="shared" si="15"/>
        <v>0.17775588866414749</v>
      </c>
      <c r="J14" s="44">
        <f t="shared" si="2"/>
        <v>88693.894919095022</v>
      </c>
      <c r="K14" s="45">
        <f t="shared" si="3"/>
        <v>127614.02186204297</v>
      </c>
      <c r="L14" s="46">
        <f t="shared" si="4"/>
        <v>3.705184124456351E-2</v>
      </c>
      <c r="M14" s="44">
        <f t="shared" si="5"/>
        <v>55958.223865110842</v>
      </c>
      <c r="N14" s="45">
        <f t="shared" si="6"/>
        <v>73697.390111637025</v>
      </c>
      <c r="O14" s="45">
        <f t="shared" si="7"/>
        <v>76154.853482182705</v>
      </c>
      <c r="P14" s="45">
        <f t="shared" si="8"/>
        <v>92418.314082792291</v>
      </c>
      <c r="Q14" s="45">
        <f t="shared" si="9"/>
        <v>101693.97794694874</v>
      </c>
      <c r="R14" s="45">
        <f t="shared" si="10"/>
        <v>113483.63726259833</v>
      </c>
      <c r="S14" s="47">
        <f t="shared" si="11"/>
        <v>87962.106450013758</v>
      </c>
      <c r="T14" s="45">
        <f t="shared" si="12"/>
        <v>135042.62301984851</v>
      </c>
      <c r="U14" s="45">
        <f t="shared" si="13"/>
        <v>55108.705255680426</v>
      </c>
      <c r="V14" s="45">
        <f t="shared" si="14"/>
        <v>76920.641844809186</v>
      </c>
    </row>
    <row r="15" spans="1:22" x14ac:dyDescent="0.35">
      <c r="A15" s="39" t="s">
        <v>194</v>
      </c>
      <c r="B15" s="39" t="s">
        <v>99</v>
      </c>
      <c r="C15" s="40">
        <v>45</v>
      </c>
      <c r="D15" s="40">
        <v>3939</v>
      </c>
      <c r="E15" s="41">
        <f t="shared" si="0"/>
        <v>3984</v>
      </c>
      <c r="F15" s="41">
        <v>4262</v>
      </c>
      <c r="G15" s="41">
        <v>4971</v>
      </c>
      <c r="H15" s="42">
        <f t="shared" si="1"/>
        <v>-2.2233181875670249E-2</v>
      </c>
      <c r="I15" s="42">
        <f t="shared" si="15"/>
        <v>0.11702326021234755</v>
      </c>
      <c r="J15" s="44">
        <f t="shared" si="2"/>
        <v>4458.0286561850398</v>
      </c>
      <c r="K15" s="45">
        <f t="shared" si="3"/>
        <v>6202.5203313253041</v>
      </c>
      <c r="L15" s="46">
        <f t="shared" si="4"/>
        <v>3.3576280295495975E-2</v>
      </c>
      <c r="M15" s="44">
        <f t="shared" si="5"/>
        <v>3411.3052874717114</v>
      </c>
      <c r="N15" s="45">
        <f t="shared" si="6"/>
        <v>4385.3037020917682</v>
      </c>
      <c r="O15" s="45">
        <f t="shared" si="7"/>
        <v>4519.0716027890239</v>
      </c>
      <c r="P15" s="45">
        <f t="shared" si="8"/>
        <v>4482.2763235978027</v>
      </c>
      <c r="Q15" s="45">
        <f t="shared" si="9"/>
        <v>5382.662006057978</v>
      </c>
      <c r="R15" s="45">
        <f t="shared" si="10"/>
        <v>5848.8826747439707</v>
      </c>
      <c r="S15" s="47">
        <f t="shared" si="11"/>
        <v>4452.4399491769072</v>
      </c>
      <c r="T15" s="45">
        <f t="shared" si="12"/>
        <v>6362.2327723095741</v>
      </c>
      <c r="U15" s="45">
        <f t="shared" si="13"/>
        <v>3368.289127810076</v>
      </c>
      <c r="V15" s="45">
        <f t="shared" si="14"/>
        <v>4556.6671170320715</v>
      </c>
    </row>
    <row r="16" spans="1:22" x14ac:dyDescent="0.35">
      <c r="A16" s="39" t="s">
        <v>155</v>
      </c>
      <c r="B16" s="39" t="s">
        <v>100</v>
      </c>
      <c r="C16" s="40">
        <v>16161</v>
      </c>
      <c r="D16" s="40">
        <v>61772</v>
      </c>
      <c r="E16" s="49">
        <v>155862</v>
      </c>
      <c r="F16" s="49">
        <v>176328</v>
      </c>
      <c r="G16" s="49">
        <v>180358</v>
      </c>
      <c r="H16" s="42">
        <f t="shared" si="1"/>
        <v>-4.0290808124875621E-2</v>
      </c>
      <c r="I16" s="42">
        <f t="shared" si="15"/>
        <v>7.5715887821594663E-2</v>
      </c>
      <c r="J16" s="44">
        <f t="shared" si="2"/>
        <v>191444.09388648093</v>
      </c>
      <c r="K16" s="45">
        <f t="shared" si="3"/>
        <v>208703.90578845391</v>
      </c>
      <c r="L16" s="46">
        <f t="shared" si="4"/>
        <v>8.6694338168413765E-3</v>
      </c>
      <c r="M16" s="44">
        <f t="shared" si="5"/>
        <v>149386.51737255123</v>
      </c>
      <c r="N16" s="45">
        <f t="shared" si="6"/>
        <v>159915.70588068161</v>
      </c>
      <c r="O16" s="45">
        <f t="shared" si="7"/>
        <v>161266.94117424212</v>
      </c>
      <c r="P16" s="45">
        <f t="shared" si="8"/>
        <v>195182.25365746953</v>
      </c>
      <c r="Q16" s="45">
        <f t="shared" si="9"/>
        <v>191265.68912294816</v>
      </c>
      <c r="R16" s="45">
        <f t="shared" si="10"/>
        <v>203066.91883059754</v>
      </c>
      <c r="S16" s="47">
        <f t="shared" si="11"/>
        <v>190647.28414958835</v>
      </c>
      <c r="T16" s="45">
        <f t="shared" si="12"/>
        <v>210995.02429299013</v>
      </c>
      <c r="U16" s="45">
        <f t="shared" si="13"/>
        <v>149250.16104156978</v>
      </c>
      <c r="V16" s="45">
        <f t="shared" si="14"/>
        <v>161361.74947189912</v>
      </c>
    </row>
    <row r="17" spans="1:22" x14ac:dyDescent="0.35">
      <c r="A17" s="39" t="s">
        <v>157</v>
      </c>
      <c r="B17" s="39" t="s">
        <v>45</v>
      </c>
      <c r="C17" s="40">
        <v>733</v>
      </c>
      <c r="D17" s="40">
        <v>5352</v>
      </c>
      <c r="E17" s="41">
        <f t="shared" si="0"/>
        <v>6085</v>
      </c>
      <c r="F17" s="41">
        <v>3042</v>
      </c>
      <c r="G17" s="41">
        <v>6085</v>
      </c>
      <c r="H17" s="42">
        <f t="shared" si="1"/>
        <v>0.2599900753182236</v>
      </c>
      <c r="I17" s="43">
        <v>5.4673730437993617E-2</v>
      </c>
      <c r="J17" s="44">
        <f t="shared" si="2"/>
        <v>1916.1299588064203</v>
      </c>
      <c r="K17" s="45">
        <f t="shared" si="3"/>
        <v>7528.9272022023806</v>
      </c>
      <c r="L17" s="46">
        <f t="shared" si="4"/>
        <v>0.14664983707492385</v>
      </c>
      <c r="M17" s="44">
        <f t="shared" si="5"/>
        <v>3510.7473589752799</v>
      </c>
      <c r="N17" s="45">
        <f t="shared" si="6"/>
        <v>8762.0927758027356</v>
      </c>
      <c r="O17" s="45">
        <f t="shared" si="7"/>
        <v>9654.4570344036474</v>
      </c>
      <c r="P17" s="45">
        <f t="shared" si="8"/>
        <v>2645.709256135739</v>
      </c>
      <c r="Q17" s="45">
        <f t="shared" si="9"/>
        <v>7083.0689491455732</v>
      </c>
      <c r="R17" s="45">
        <f t="shared" si="10"/>
        <v>7415.7585988607643</v>
      </c>
      <c r="S17" s="47">
        <f t="shared" si="11"/>
        <v>1658.4382559297424</v>
      </c>
      <c r="T17" s="45">
        <f t="shared" si="12"/>
        <v>7572.4877649111922</v>
      </c>
      <c r="U17" s="45">
        <f t="shared" si="13"/>
        <v>2922.9037031634948</v>
      </c>
      <c r="V17" s="45">
        <f t="shared" si="14"/>
        <v>10940.003038534558</v>
      </c>
    </row>
    <row r="18" spans="1:22" x14ac:dyDescent="0.35">
      <c r="A18" s="39" t="s">
        <v>172</v>
      </c>
      <c r="B18" s="39" t="s">
        <v>102</v>
      </c>
      <c r="C18" s="40">
        <v>10625</v>
      </c>
      <c r="D18" s="40">
        <v>42827</v>
      </c>
      <c r="E18" s="48">
        <v>120534</v>
      </c>
      <c r="F18" s="48">
        <v>111494</v>
      </c>
      <c r="G18" s="41">
        <v>135513</v>
      </c>
      <c r="H18" s="42">
        <f t="shared" si="1"/>
        <v>2.6327637949120408E-2</v>
      </c>
      <c r="I18" s="42">
        <f t="shared" si="15"/>
        <v>6.0316928868946684E-2</v>
      </c>
      <c r="J18" s="44">
        <f t="shared" si="2"/>
        <v>105847.21810826137</v>
      </c>
      <c r="K18" s="45">
        <f t="shared" si="3"/>
        <v>152353.47013290855</v>
      </c>
      <c r="L18" s="46">
        <f t="shared" si="4"/>
        <v>3.7092014425830433E-2</v>
      </c>
      <c r="M18" s="44">
        <f t="shared" si="5"/>
        <v>101676.97996231474</v>
      </c>
      <c r="N18" s="45">
        <f t="shared" si="6"/>
        <v>133946.54660040914</v>
      </c>
      <c r="O18" s="45">
        <f t="shared" si="7"/>
        <v>138417.39546721219</v>
      </c>
      <c r="P18" s="45">
        <f t="shared" si="8"/>
        <v>106512.84226020743</v>
      </c>
      <c r="Q18" s="45">
        <f t="shared" si="9"/>
        <v>142344.72211286885</v>
      </c>
      <c r="R18" s="45">
        <f t="shared" si="10"/>
        <v>149614.96281715849</v>
      </c>
      <c r="S18" s="47">
        <f t="shared" si="11"/>
        <v>105667.11002942824</v>
      </c>
      <c r="T18" s="45">
        <f t="shared" si="12"/>
        <v>153423.11871551795</v>
      </c>
      <c r="U18" s="45">
        <f t="shared" si="13"/>
        <v>100130.2460156273</v>
      </c>
      <c r="V18" s="45">
        <f t="shared" si="14"/>
        <v>139812.1769301825</v>
      </c>
    </row>
    <row r="19" spans="1:22" x14ac:dyDescent="0.35">
      <c r="A19" s="39" t="s">
        <v>173</v>
      </c>
      <c r="B19" s="39" t="s">
        <v>103</v>
      </c>
      <c r="C19" s="40">
        <v>866</v>
      </c>
      <c r="D19" s="40">
        <v>6329</v>
      </c>
      <c r="E19" s="41">
        <f t="shared" si="0"/>
        <v>7195</v>
      </c>
      <c r="F19" s="41">
        <v>6289</v>
      </c>
      <c r="G19" s="49">
        <v>7195</v>
      </c>
      <c r="H19" s="42">
        <f t="shared" si="1"/>
        <v>4.588291307733483E-2</v>
      </c>
      <c r="I19" s="43">
        <v>5.4673730437993617E-2</v>
      </c>
      <c r="J19" s="44">
        <f t="shared" si="2"/>
        <v>5749.3064628379925</v>
      </c>
      <c r="K19" s="45">
        <f t="shared" si="3"/>
        <v>8902.3223040010071</v>
      </c>
      <c r="L19" s="46">
        <f t="shared" si="4"/>
        <v>4.4693242353318841E-2</v>
      </c>
      <c r="M19" s="44">
        <f t="shared" si="5"/>
        <v>5880.8326137678578</v>
      </c>
      <c r="N19" s="45">
        <f t="shared" si="6"/>
        <v>8159.7036361963874</v>
      </c>
      <c r="O19" s="45">
        <f t="shared" si="7"/>
        <v>8481.2715149285159</v>
      </c>
      <c r="P19" s="45">
        <f t="shared" si="8"/>
        <v>5852.3790123936233</v>
      </c>
      <c r="Q19" s="45">
        <f t="shared" si="9"/>
        <v>8375.1324715040919</v>
      </c>
      <c r="R19" s="45">
        <f t="shared" si="10"/>
        <v>8768.5099620054571</v>
      </c>
      <c r="S19" s="47">
        <f t="shared" si="11"/>
        <v>5720.0169859138568</v>
      </c>
      <c r="T19" s="45">
        <f t="shared" si="12"/>
        <v>8953.829000581105</v>
      </c>
      <c r="U19" s="45">
        <f t="shared" si="13"/>
        <v>5754.1430660317628</v>
      </c>
      <c r="V19" s="45">
        <f t="shared" si="14"/>
        <v>8603.4157940131463</v>
      </c>
    </row>
    <row r="20" spans="1:22" x14ac:dyDescent="0.35">
      <c r="A20" s="39" t="s">
        <v>171</v>
      </c>
      <c r="B20" s="39" t="s">
        <v>101</v>
      </c>
      <c r="C20" s="40">
        <v>320</v>
      </c>
      <c r="D20" s="40">
        <v>1178</v>
      </c>
      <c r="E20" s="41">
        <f t="shared" si="0"/>
        <v>1498</v>
      </c>
      <c r="F20" s="41">
        <v>3222</v>
      </c>
      <c r="G20" s="48">
        <v>3152</v>
      </c>
      <c r="H20" s="42">
        <f t="shared" si="1"/>
        <v>-0.22530855667613492</v>
      </c>
      <c r="I20" s="42">
        <f t="shared" si="15"/>
        <v>0.45056501122921166</v>
      </c>
      <c r="J20" s="44">
        <f t="shared" si="2"/>
        <v>5368.6861719058379</v>
      </c>
      <c r="K20" s="45">
        <f t="shared" si="3"/>
        <v>6632.2456608811744</v>
      </c>
      <c r="L20" s="46">
        <f t="shared" si="4"/>
        <v>2.1360971899609948E-2</v>
      </c>
      <c r="M20" s="44">
        <f t="shared" si="5"/>
        <v>1353.4454489830866</v>
      </c>
      <c r="N20" s="45">
        <f t="shared" si="6"/>
        <v>1593.996207716847</v>
      </c>
      <c r="O20" s="45">
        <f t="shared" si="7"/>
        <v>1625.9949436224629</v>
      </c>
      <c r="P20" s="45">
        <f t="shared" si="8"/>
        <v>-11837.893556471043</v>
      </c>
      <c r="Q20" s="45">
        <f t="shared" si="9"/>
        <v>3522.8391604640774</v>
      </c>
      <c r="R20" s="45">
        <f t="shared" si="10"/>
        <v>4197.7855472854362</v>
      </c>
      <c r="S20" s="47">
        <f t="shared" si="11"/>
        <v>4621.2889906073242</v>
      </c>
      <c r="T20" s="45">
        <f t="shared" si="12"/>
        <v>9082.876431092549</v>
      </c>
      <c r="U20" s="45">
        <f t="shared" si="13"/>
        <v>1346.2541412174601</v>
      </c>
      <c r="V20" s="45">
        <f t="shared" si="14"/>
        <v>1631.6222620811336</v>
      </c>
    </row>
    <row r="21" spans="1:22" x14ac:dyDescent="0.35">
      <c r="A21" s="39" t="s">
        <v>174</v>
      </c>
      <c r="B21" s="39" t="s">
        <v>104</v>
      </c>
      <c r="C21" s="40">
        <v>157</v>
      </c>
      <c r="D21" s="40">
        <v>1264</v>
      </c>
      <c r="E21" s="41">
        <f t="shared" si="0"/>
        <v>1421</v>
      </c>
      <c r="F21" s="41">
        <v>1299</v>
      </c>
      <c r="G21" s="41">
        <v>1556</v>
      </c>
      <c r="H21" s="42">
        <f t="shared" si="1"/>
        <v>3.0374199904759536E-2</v>
      </c>
      <c r="I21" s="42">
        <f t="shared" si="15"/>
        <v>4.6424158096915802E-2</v>
      </c>
      <c r="J21" s="44">
        <f t="shared" si="2"/>
        <v>1223.5428960545332</v>
      </c>
      <c r="K21" s="45">
        <f t="shared" si="3"/>
        <v>1703.8254750175934</v>
      </c>
      <c r="L21" s="46">
        <f t="shared" si="4"/>
        <v>3.3666855258266404E-2</v>
      </c>
      <c r="M21" s="44">
        <f t="shared" si="5"/>
        <v>1216.2615005276659</v>
      </c>
      <c r="N21" s="45">
        <f t="shared" si="6"/>
        <v>1564.5218039659896</v>
      </c>
      <c r="O21" s="45">
        <f t="shared" si="7"/>
        <v>1612.3624052879863</v>
      </c>
      <c r="P21" s="45">
        <f t="shared" si="8"/>
        <v>1233.6450875032574</v>
      </c>
      <c r="Q21" s="45">
        <f t="shared" si="9"/>
        <v>1618.9061859671522</v>
      </c>
      <c r="R21" s="45">
        <f t="shared" si="10"/>
        <v>1684.8749146228695</v>
      </c>
      <c r="S21" s="47">
        <f t="shared" si="11"/>
        <v>1220.779817953854</v>
      </c>
      <c r="T21" s="45">
        <f t="shared" si="12"/>
        <v>1710.9649019198796</v>
      </c>
      <c r="U21" s="45">
        <f t="shared" si="13"/>
        <v>1200.8463175342711</v>
      </c>
      <c r="V21" s="45">
        <f t="shared" si="14"/>
        <v>1625.845958467577</v>
      </c>
    </row>
    <row r="22" spans="1:22" x14ac:dyDescent="0.35">
      <c r="A22" s="39" t="s">
        <v>170</v>
      </c>
      <c r="B22" s="39" t="s">
        <v>98</v>
      </c>
      <c r="C22" s="40">
        <v>51</v>
      </c>
      <c r="D22" s="40">
        <v>355</v>
      </c>
      <c r="E22" s="41">
        <f t="shared" si="0"/>
        <v>406</v>
      </c>
      <c r="F22" s="41">
        <v>317</v>
      </c>
      <c r="G22" s="41">
        <v>634</v>
      </c>
      <c r="H22" s="42">
        <f t="shared" si="1"/>
        <v>8.5981075235392446E-2</v>
      </c>
      <c r="I22" s="42">
        <f t="shared" si="15"/>
        <v>0.24963048725605397</v>
      </c>
      <c r="J22" s="44">
        <f t="shared" si="2"/>
        <v>268.79101544169799</v>
      </c>
      <c r="K22" s="45">
        <f t="shared" si="3"/>
        <v>990.03940886699502</v>
      </c>
      <c r="L22" s="46">
        <f t="shared" si="4"/>
        <v>0.13926242407429901</v>
      </c>
      <c r="M22" s="44">
        <f t="shared" si="5"/>
        <v>239.34274543241807</v>
      </c>
      <c r="N22" s="45">
        <f t="shared" si="6"/>
        <v>575.62163252249616</v>
      </c>
      <c r="O22" s="45">
        <f t="shared" si="7"/>
        <v>632.16217669666162</v>
      </c>
      <c r="P22" s="45">
        <f t="shared" si="8"/>
        <v>283.9348720301295</v>
      </c>
      <c r="Q22" s="45">
        <f t="shared" si="9"/>
        <v>710.04993347787376</v>
      </c>
      <c r="R22" s="45">
        <f t="shared" si="10"/>
        <v>811.39991130383169</v>
      </c>
      <c r="S22" s="47">
        <f t="shared" si="11"/>
        <v>264.13168442499585</v>
      </c>
      <c r="T22" s="45">
        <f t="shared" si="12"/>
        <v>1101.9924170683132</v>
      </c>
      <c r="U22" s="45">
        <f t="shared" si="13"/>
        <v>202.35853285616233</v>
      </c>
      <c r="V22" s="45">
        <f t="shared" si="14"/>
        <v>708.67912915094644</v>
      </c>
    </row>
    <row r="23" spans="1:22" x14ac:dyDescent="0.35">
      <c r="A23" s="39" t="s">
        <v>175</v>
      </c>
      <c r="B23" s="39" t="s">
        <v>105</v>
      </c>
      <c r="C23" s="40">
        <v>0</v>
      </c>
      <c r="D23" s="40">
        <v>59901</v>
      </c>
      <c r="E23" s="49">
        <v>76000</v>
      </c>
      <c r="F23" s="41">
        <v>61769</v>
      </c>
      <c r="G23" s="41">
        <v>87308</v>
      </c>
      <c r="H23" s="42">
        <f>((E23/F23)^(1/3))-1</f>
        <v>7.1554687899516578E-2</v>
      </c>
      <c r="I23" s="42">
        <f>((G23/E23)^(1/2))-1</f>
        <v>7.1815970063989321E-2</v>
      </c>
      <c r="J23" s="44">
        <f t="shared" si="2"/>
        <v>53794.997197832221</v>
      </c>
      <c r="K23" s="45">
        <f t="shared" si="3"/>
        <v>100298.51136842102</v>
      </c>
      <c r="L23" s="46">
        <f t="shared" si="4"/>
        <v>6.4278428822577949E-2</v>
      </c>
      <c r="M23" s="44">
        <f t="shared" si="5"/>
        <v>57515.099010235332</v>
      </c>
      <c r="N23" s="45">
        <f t="shared" si="6"/>
        <v>90655.481771547769</v>
      </c>
      <c r="O23" s="45">
        <f t="shared" si="7"/>
        <v>95540.642362063692</v>
      </c>
      <c r="P23" s="45">
        <f t="shared" si="8"/>
        <v>55973.992264955705</v>
      </c>
      <c r="Q23" s="45">
        <f t="shared" si="9"/>
        <v>92374.041174589569</v>
      </c>
      <c r="R23" s="45">
        <f t="shared" si="10"/>
        <v>97832.054899452749</v>
      </c>
      <c r="S23" s="47">
        <f t="shared" si="11"/>
        <v>53141.592122539507</v>
      </c>
      <c r="T23" s="45">
        <f t="shared" si="12"/>
        <v>101290.96538374692</v>
      </c>
      <c r="U23" s="45">
        <f t="shared" si="13"/>
        <v>55110.551558977037</v>
      </c>
      <c r="V23" s="45">
        <f t="shared" si="14"/>
        <v>98282.605233267255</v>
      </c>
    </row>
    <row r="24" spans="1:22" x14ac:dyDescent="0.35">
      <c r="A24" s="39" t="s">
        <v>176</v>
      </c>
      <c r="B24" s="39" t="s">
        <v>106</v>
      </c>
      <c r="C24" s="40">
        <v>927</v>
      </c>
      <c r="D24" s="40">
        <v>8488</v>
      </c>
      <c r="E24" s="41">
        <f t="shared" si="0"/>
        <v>9415</v>
      </c>
      <c r="F24" s="48">
        <v>6310</v>
      </c>
      <c r="G24" s="49">
        <v>9415</v>
      </c>
      <c r="H24" s="42">
        <f t="shared" si="1"/>
        <v>0.14269498586031326</v>
      </c>
      <c r="I24" s="43">
        <v>5.4673730437993617E-2</v>
      </c>
      <c r="J24" s="44">
        <f t="shared" si="2"/>
        <v>4832.4649842286599</v>
      </c>
      <c r="K24" s="45">
        <f t="shared" si="3"/>
        <v>11649.11250759826</v>
      </c>
      <c r="L24" s="46">
        <f t="shared" si="4"/>
        <v>9.1974287862687021E-2</v>
      </c>
      <c r="M24" s="44">
        <f t="shared" si="5"/>
        <v>6449.1980228257589</v>
      </c>
      <c r="N24" s="45">
        <f t="shared" si="6"/>
        <v>12012.813760681594</v>
      </c>
      <c r="O24" s="45">
        <f t="shared" si="7"/>
        <v>12878.751680908794</v>
      </c>
      <c r="P24" s="45">
        <f t="shared" si="8"/>
        <v>5494.682086674984</v>
      </c>
      <c r="Q24" s="45">
        <f t="shared" si="9"/>
        <v>10959.259516221129</v>
      </c>
      <c r="R24" s="45">
        <f t="shared" si="10"/>
        <v>11474.012688294839</v>
      </c>
      <c r="S24" s="47">
        <f t="shared" si="11"/>
        <v>4612.7731762103067</v>
      </c>
      <c r="T24" s="45">
        <f t="shared" si="12"/>
        <v>11716.511471920932</v>
      </c>
      <c r="U24" s="45">
        <f t="shared" si="13"/>
        <v>5944.2996765741336</v>
      </c>
      <c r="V24" s="45">
        <f t="shared" si="14"/>
        <v>13601.788800752553</v>
      </c>
    </row>
    <row r="25" spans="1:22" x14ac:dyDescent="0.35">
      <c r="A25" s="39" t="s">
        <v>160</v>
      </c>
      <c r="B25" s="39" t="s">
        <v>42</v>
      </c>
      <c r="C25" s="40">
        <v>2779</v>
      </c>
      <c r="D25" s="40">
        <v>967</v>
      </c>
      <c r="E25" s="41">
        <f t="shared" si="0"/>
        <v>3746</v>
      </c>
      <c r="F25" s="41">
        <v>4097</v>
      </c>
      <c r="G25" s="41">
        <v>6866</v>
      </c>
      <c r="H25" s="42">
        <f t="shared" si="1"/>
        <v>-2.9414192821425544E-2</v>
      </c>
      <c r="I25" s="42">
        <f t="shared" si="15"/>
        <v>0.35384209356504925</v>
      </c>
      <c r="J25" s="44">
        <f t="shared" si="2"/>
        <v>4349.0869575780871</v>
      </c>
      <c r="K25" s="45">
        <f t="shared" si="3"/>
        <v>12584.611852642814</v>
      </c>
      <c r="L25" s="46">
        <f t="shared" si="4"/>
        <v>0.11210085179803553</v>
      </c>
      <c r="M25" s="44">
        <f t="shared" si="5"/>
        <v>2400.5061046254914</v>
      </c>
      <c r="N25" s="45">
        <f t="shared" si="6"/>
        <v>5005.7893725063232</v>
      </c>
      <c r="O25" s="45">
        <f t="shared" si="7"/>
        <v>5425.7191633417642</v>
      </c>
      <c r="P25" s="45">
        <f t="shared" si="8"/>
        <v>4391.9245826571878</v>
      </c>
      <c r="Q25" s="45">
        <f t="shared" si="9"/>
        <v>7722.4774474840233</v>
      </c>
      <c r="R25" s="45">
        <f t="shared" si="10"/>
        <v>9047.9699299786989</v>
      </c>
      <c r="S25" s="47">
        <f t="shared" si="11"/>
        <v>4339.5018834599769</v>
      </c>
      <c r="T25" s="45">
        <f t="shared" si="12"/>
        <v>15426.039811013809</v>
      </c>
      <c r="U25" s="45">
        <f t="shared" si="13"/>
        <v>2138.6704374293604</v>
      </c>
      <c r="V25" s="45">
        <f t="shared" si="14"/>
        <v>5865.5251117279813</v>
      </c>
    </row>
    <row r="26" spans="1:22" x14ac:dyDescent="0.35">
      <c r="A26" s="39" t="s">
        <v>177</v>
      </c>
      <c r="B26" s="39" t="s">
        <v>107</v>
      </c>
      <c r="C26" s="40">
        <v>3164</v>
      </c>
      <c r="D26" s="40">
        <v>4560</v>
      </c>
      <c r="E26" s="41">
        <f t="shared" si="0"/>
        <v>7724</v>
      </c>
      <c r="F26" s="41">
        <v>6838</v>
      </c>
      <c r="G26" s="41">
        <v>7827</v>
      </c>
      <c r="H26" s="42">
        <f t="shared" si="1"/>
        <v>4.1448317953169944E-2</v>
      </c>
      <c r="I26" s="42">
        <f t="shared" si="15"/>
        <v>6.6454487825566844E-3</v>
      </c>
      <c r="J26" s="44">
        <f t="shared" si="2"/>
        <v>6304.5435738275346</v>
      </c>
      <c r="K26" s="45">
        <f t="shared" si="3"/>
        <v>7931.3735111341266</v>
      </c>
      <c r="L26" s="46">
        <f t="shared" si="4"/>
        <v>2.3221071650207037E-2</v>
      </c>
      <c r="M26" s="44">
        <f t="shared" si="5"/>
        <v>6920.493610122704</v>
      </c>
      <c r="N26" s="45">
        <f t="shared" si="6"/>
        <v>8262.0786722785979</v>
      </c>
      <c r="O26" s="45">
        <f t="shared" si="7"/>
        <v>8441.438229704796</v>
      </c>
      <c r="P26" s="45">
        <f t="shared" si="8"/>
        <v>6398.0565824427131</v>
      </c>
      <c r="Q26" s="45">
        <f t="shared" si="9"/>
        <v>7877.9883391894036</v>
      </c>
      <c r="R26" s="45">
        <f t="shared" si="10"/>
        <v>7929.3177855858712</v>
      </c>
      <c r="S26" s="47">
        <f t="shared" si="11"/>
        <v>6278.2468330900219</v>
      </c>
      <c r="T26" s="45">
        <f t="shared" si="12"/>
        <v>7932.0709840945319</v>
      </c>
      <c r="U26" s="45">
        <f t="shared" si="13"/>
        <v>6877.3060056454597</v>
      </c>
      <c r="V26" s="45">
        <f t="shared" si="14"/>
        <v>8475.8136212597747</v>
      </c>
    </row>
    <row r="27" spans="1:22" x14ac:dyDescent="0.35">
      <c r="A27" s="39" t="s">
        <v>179</v>
      </c>
      <c r="B27" s="39" t="s">
        <v>109</v>
      </c>
      <c r="C27" s="40">
        <v>3169</v>
      </c>
      <c r="D27" s="40">
        <v>5225</v>
      </c>
      <c r="E27" s="41">
        <f t="shared" si="0"/>
        <v>8394</v>
      </c>
      <c r="F27" s="41">
        <v>7562</v>
      </c>
      <c r="G27" s="41">
        <v>8409</v>
      </c>
      <c r="H27" s="42">
        <f t="shared" si="1"/>
        <v>3.5406206546388264E-2</v>
      </c>
      <c r="I27" s="42">
        <f t="shared" si="15"/>
        <v>8.9309654310665287E-4</v>
      </c>
      <c r="J27" s="44">
        <f t="shared" si="2"/>
        <v>7053.6701205361505</v>
      </c>
      <c r="K27" s="45">
        <f t="shared" si="3"/>
        <v>8424.0268048606194</v>
      </c>
      <c r="L27" s="46">
        <f t="shared" si="4"/>
        <v>1.7912528002296702E-2</v>
      </c>
      <c r="M27" s="44">
        <f t="shared" si="5"/>
        <v>7704.0086469113257</v>
      </c>
      <c r="N27" s="45">
        <f t="shared" si="6"/>
        <v>8845.0732801538361</v>
      </c>
      <c r="O27" s="45">
        <f t="shared" si="7"/>
        <v>8995.4310402051142</v>
      </c>
      <c r="P27" s="45">
        <f t="shared" si="8"/>
        <v>7131.5027102702243</v>
      </c>
      <c r="Q27" s="45">
        <f t="shared" si="9"/>
        <v>8416.4899571485112</v>
      </c>
      <c r="R27" s="45">
        <f t="shared" si="10"/>
        <v>8423.9866095313482</v>
      </c>
      <c r="S27" s="47">
        <f t="shared" si="11"/>
        <v>7032.1052824616963</v>
      </c>
      <c r="T27" s="45">
        <f t="shared" si="12"/>
        <v>8424.0402352442106</v>
      </c>
      <c r="U27" s="45">
        <f t="shared" si="13"/>
        <v>7674.8943269270612</v>
      </c>
      <c r="V27" s="45">
        <f t="shared" si="14"/>
        <v>9017.5012906300399</v>
      </c>
    </row>
    <row r="28" spans="1:22" x14ac:dyDescent="0.35">
      <c r="A28" s="39" t="s">
        <v>181</v>
      </c>
      <c r="B28" s="54" t="s">
        <v>111</v>
      </c>
      <c r="C28" s="40">
        <v>5820</v>
      </c>
      <c r="D28" s="40">
        <v>7961</v>
      </c>
      <c r="E28" s="49">
        <v>28348</v>
      </c>
      <c r="F28" s="49">
        <v>24170</v>
      </c>
      <c r="G28" s="49">
        <v>30310</v>
      </c>
      <c r="H28" s="42">
        <f t="shared" si="1"/>
        <v>5.4585812874464734E-2</v>
      </c>
      <c r="I28" s="42">
        <f t="shared" si="15"/>
        <v>3.4026707504662967E-2</v>
      </c>
      <c r="J28" s="44">
        <f t="shared" si="2"/>
        <v>21732.655777435415</v>
      </c>
      <c r="K28" s="45">
        <f t="shared" si="3"/>
        <v>32407.792436856234</v>
      </c>
      <c r="L28" s="46">
        <f t="shared" si="4"/>
        <v>4.0767362599106516E-2</v>
      </c>
      <c r="M28" s="44">
        <f t="shared" si="5"/>
        <v>23548.042138253833</v>
      </c>
      <c r="N28" s="45">
        <f t="shared" si="6"/>
        <v>31815.019584878413</v>
      </c>
      <c r="O28" s="45">
        <f t="shared" si="7"/>
        <v>32970.692779837889</v>
      </c>
      <c r="P28" s="45">
        <f t="shared" si="8"/>
        <v>22269.89766627592</v>
      </c>
      <c r="Q28" s="45">
        <f t="shared" si="9"/>
        <v>31241.767313026558</v>
      </c>
      <c r="R28" s="45">
        <f t="shared" si="10"/>
        <v>32206.356417368745</v>
      </c>
      <c r="S28" s="47">
        <f t="shared" si="11"/>
        <v>21576.988866668707</v>
      </c>
      <c r="T28" s="45">
        <f t="shared" si="12"/>
        <v>32481.260107908231</v>
      </c>
      <c r="U28" s="45">
        <f t="shared" si="13"/>
        <v>23120.49995571424</v>
      </c>
      <c r="V28" s="45">
        <f t="shared" si="14"/>
        <v>33368.953485863247</v>
      </c>
    </row>
    <row r="29" spans="1:22" x14ac:dyDescent="0.35">
      <c r="A29" s="39" t="s">
        <v>158</v>
      </c>
      <c r="B29" s="39" t="s">
        <v>44</v>
      </c>
      <c r="C29" s="40">
        <v>855</v>
      </c>
      <c r="D29" s="40">
        <v>4017</v>
      </c>
      <c r="E29" s="41">
        <f t="shared" si="0"/>
        <v>4872</v>
      </c>
      <c r="F29" s="41">
        <v>4137</v>
      </c>
      <c r="G29" s="41">
        <v>4872</v>
      </c>
      <c r="H29" s="42">
        <f t="shared" si="1"/>
        <v>5.6024318930811168E-2</v>
      </c>
      <c r="I29" s="43">
        <v>5.4673730437993617E-2</v>
      </c>
      <c r="J29" s="44">
        <f t="shared" si="2"/>
        <v>3709.6905330219938</v>
      </c>
      <c r="K29" s="45">
        <f t="shared" si="3"/>
        <v>6028.0909332999172</v>
      </c>
      <c r="L29" s="46">
        <f t="shared" si="4"/>
        <v>4.9745958587959382E-2</v>
      </c>
      <c r="M29" s="44">
        <f t="shared" si="5"/>
        <v>3901.5646359571451</v>
      </c>
      <c r="N29" s="45">
        <f t="shared" si="6"/>
        <v>5599.0869307216144</v>
      </c>
      <c r="O29" s="45">
        <f t="shared" si="7"/>
        <v>5841.4492409621525</v>
      </c>
      <c r="P29" s="45">
        <f t="shared" si="8"/>
        <v>3805.8884564919981</v>
      </c>
      <c r="Q29" s="45">
        <f t="shared" si="9"/>
        <v>5671.1112440817151</v>
      </c>
      <c r="R29" s="45">
        <f t="shared" si="10"/>
        <v>5937.4816587756195</v>
      </c>
      <c r="S29" s="47">
        <f t="shared" si="11"/>
        <v>3681.7306823848667</v>
      </c>
      <c r="T29" s="45">
        <f t="shared" si="12"/>
        <v>6062.9680181836202</v>
      </c>
      <c r="U29" s="45">
        <f t="shared" si="13"/>
        <v>3799.1400461147796</v>
      </c>
      <c r="V29" s="45">
        <f t="shared" si="14"/>
        <v>5944.6304382833032</v>
      </c>
    </row>
    <row r="30" spans="1:22" x14ac:dyDescent="0.35">
      <c r="A30" s="39" t="s">
        <v>180</v>
      </c>
      <c r="B30" s="39" t="s">
        <v>110</v>
      </c>
      <c r="C30" s="40">
        <v>567</v>
      </c>
      <c r="D30" s="40">
        <v>4419</v>
      </c>
      <c r="E30" s="41">
        <f t="shared" si="0"/>
        <v>4986</v>
      </c>
      <c r="F30" s="41">
        <v>4023</v>
      </c>
      <c r="G30" s="41">
        <v>4986</v>
      </c>
      <c r="H30" s="42">
        <f t="shared" si="1"/>
        <v>7.4156136535132866E-2</v>
      </c>
      <c r="I30" s="43">
        <v>5.4673730437993617E-2</v>
      </c>
      <c r="J30" s="44">
        <f t="shared" si="2"/>
        <v>3486.7050024630598</v>
      </c>
      <c r="K30" s="45">
        <f t="shared" si="3"/>
        <v>6169.1423221332898</v>
      </c>
      <c r="L30" s="46">
        <f t="shared" si="4"/>
        <v>5.8719612805226973E-2</v>
      </c>
      <c r="M30" s="44">
        <f t="shared" si="5"/>
        <v>3854.3656941490804</v>
      </c>
      <c r="N30" s="45">
        <f t="shared" si="6"/>
        <v>5864.3279683405854</v>
      </c>
      <c r="O30" s="45">
        <f t="shared" si="7"/>
        <v>6157.1039577874471</v>
      </c>
      <c r="P30" s="45">
        <f t="shared" si="8"/>
        <v>3637.3433496798993</v>
      </c>
      <c r="Q30" s="45">
        <f t="shared" si="9"/>
        <v>5803.8096598915081</v>
      </c>
      <c r="R30" s="45">
        <f t="shared" si="10"/>
        <v>6076.4128798553447</v>
      </c>
      <c r="S30" s="47">
        <f t="shared" si="11"/>
        <v>3441.3137495781812</v>
      </c>
      <c r="T30" s="45">
        <f t="shared" si="12"/>
        <v>6204.8354964416112</v>
      </c>
      <c r="U30" s="45">
        <f t="shared" si="13"/>
        <v>3717.4424599507802</v>
      </c>
      <c r="V30" s="45">
        <f t="shared" si="14"/>
        <v>6306.068579380355</v>
      </c>
    </row>
    <row r="31" spans="1:22" x14ac:dyDescent="0.35">
      <c r="A31" s="39" t="s">
        <v>178</v>
      </c>
      <c r="B31" s="39" t="s">
        <v>108</v>
      </c>
      <c r="C31" s="40">
        <v>0</v>
      </c>
      <c r="D31" s="40">
        <v>6025</v>
      </c>
      <c r="E31" s="41">
        <f t="shared" si="0"/>
        <v>6025</v>
      </c>
      <c r="F31" s="41">
        <v>9188</v>
      </c>
      <c r="G31" s="41">
        <v>13564</v>
      </c>
      <c r="H31" s="42">
        <f t="shared" si="1"/>
        <v>-0.13121558498618857</v>
      </c>
      <c r="I31" s="42">
        <f t="shared" si="15"/>
        <v>0.50042870775453441</v>
      </c>
      <c r="J31" s="44">
        <f t="shared" si="2"/>
        <v>12172.980978072981</v>
      </c>
      <c r="K31" s="45">
        <f t="shared" si="3"/>
        <v>30536.447468879676</v>
      </c>
      <c r="L31" s="46">
        <f t="shared" si="4"/>
        <v>9.6332167051084383E-2</v>
      </c>
      <c r="M31" s="44">
        <f t="shared" si="5"/>
        <v>4066.3827082676157</v>
      </c>
      <c r="N31" s="45">
        <f t="shared" si="6"/>
        <v>7766.2039194483505</v>
      </c>
      <c r="O31" s="45">
        <f t="shared" si="7"/>
        <v>8346.6052259311327</v>
      </c>
      <c r="P31" s="45">
        <f t="shared" si="8"/>
        <v>17518.503279529883</v>
      </c>
      <c r="Q31" s="45">
        <f t="shared" si="9"/>
        <v>15070.248892663209</v>
      </c>
      <c r="R31" s="45">
        <f t="shared" si="10"/>
        <v>18085.331856884281</v>
      </c>
      <c r="S31" s="47">
        <f t="shared" si="11"/>
        <v>11611.493241840983</v>
      </c>
      <c r="T31" s="45">
        <f t="shared" si="12"/>
        <v>44595.471161002759</v>
      </c>
      <c r="U31" s="45">
        <f t="shared" si="13"/>
        <v>3721.9831985623287</v>
      </c>
      <c r="V31" s="45">
        <f t="shared" si="14"/>
        <v>8857.3369333632854</v>
      </c>
    </row>
    <row r="32" spans="1:22" x14ac:dyDescent="0.35">
      <c r="A32" s="39" t="s">
        <v>182</v>
      </c>
      <c r="B32" s="39" t="s">
        <v>112</v>
      </c>
      <c r="C32" s="40">
        <v>0</v>
      </c>
      <c r="D32" s="40">
        <v>12956</v>
      </c>
      <c r="E32" s="48">
        <v>10624</v>
      </c>
      <c r="F32" s="48">
        <v>8730</v>
      </c>
      <c r="G32" s="41">
        <v>12956</v>
      </c>
      <c r="H32" s="42">
        <f t="shared" si="1"/>
        <v>6.763943333062894E-2</v>
      </c>
      <c r="I32" s="42">
        <f t="shared" si="15"/>
        <v>0.1043111029271564</v>
      </c>
      <c r="J32" s="44">
        <f t="shared" si="2"/>
        <v>7658.875881822657</v>
      </c>
      <c r="K32" s="45">
        <f t="shared" si="3"/>
        <v>15799.881024096383</v>
      </c>
      <c r="L32" s="46">
        <f t="shared" si="4"/>
        <v>7.5100041233365111E-2</v>
      </c>
      <c r="M32" s="44">
        <f t="shared" si="5"/>
        <v>7723.7356653012985</v>
      </c>
      <c r="N32" s="45">
        <f t="shared" si="6"/>
        <v>13017.588514189812</v>
      </c>
      <c r="O32" s="45">
        <f t="shared" si="7"/>
        <v>13815.451352253083</v>
      </c>
      <c r="P32" s="45">
        <f t="shared" si="8"/>
        <v>7939.0393768138192</v>
      </c>
      <c r="Q32" s="45">
        <f t="shared" si="9"/>
        <v>13948.603472494329</v>
      </c>
      <c r="R32" s="45">
        <f t="shared" si="10"/>
        <v>15056.804629992439</v>
      </c>
      <c r="S32" s="47">
        <f t="shared" si="11"/>
        <v>7575.4929567819954</v>
      </c>
      <c r="T32" s="45">
        <f t="shared" si="12"/>
        <v>16124.824911844562</v>
      </c>
      <c r="U32" s="45">
        <f t="shared" si="13"/>
        <v>7298.1098251661215</v>
      </c>
      <c r="V32" s="45">
        <f t="shared" si="14"/>
        <v>14346.639845341875</v>
      </c>
    </row>
    <row r="33" spans="1:22" x14ac:dyDescent="0.35">
      <c r="A33" s="39" t="s">
        <v>190</v>
      </c>
      <c r="B33" s="39" t="s">
        <v>39</v>
      </c>
      <c r="C33" s="40">
        <v>902</v>
      </c>
      <c r="D33" s="40">
        <v>3581</v>
      </c>
      <c r="E33" s="48">
        <v>10063</v>
      </c>
      <c r="F33" s="48">
        <v>8154</v>
      </c>
      <c r="G33" s="48">
        <v>10566</v>
      </c>
      <c r="H33" s="42">
        <f t="shared" si="1"/>
        <v>7.2635719552709199E-2</v>
      </c>
      <c r="I33" s="42">
        <f t="shared" si="15"/>
        <v>2.4687803142194653E-2</v>
      </c>
      <c r="J33" s="44">
        <f t="shared" si="2"/>
        <v>7087.0614223468301</v>
      </c>
      <c r="K33" s="45">
        <f t="shared" si="3"/>
        <v>11094.142502235909</v>
      </c>
      <c r="L33" s="46">
        <f t="shared" si="4"/>
        <v>4.5833994503186481E-2</v>
      </c>
      <c r="M33" s="44">
        <f t="shared" si="5"/>
        <v>8186.8254391233622</v>
      </c>
      <c r="N33" s="45">
        <f t="shared" si="6"/>
        <v>11446.682460056696</v>
      </c>
      <c r="O33" s="45">
        <f t="shared" si="7"/>
        <v>11907.909946742262</v>
      </c>
      <c r="P33" s="45">
        <f t="shared" si="8"/>
        <v>7382.011437466469</v>
      </c>
      <c r="Q33" s="45">
        <f t="shared" si="9"/>
        <v>10808.300089059714</v>
      </c>
      <c r="R33" s="45">
        <f t="shared" si="10"/>
        <v>11056.733452079619</v>
      </c>
      <c r="S33" s="47">
        <f t="shared" si="11"/>
        <v>6998.4362636146234</v>
      </c>
      <c r="T33" s="45">
        <f t="shared" si="12"/>
        <v>11107.455433378835</v>
      </c>
      <c r="U33" s="45">
        <f t="shared" si="13"/>
        <v>8002.030791757008</v>
      </c>
      <c r="V33" s="45">
        <f t="shared" si="14"/>
        <v>12087.855960171662</v>
      </c>
    </row>
    <row r="34" spans="1:22" x14ac:dyDescent="0.35">
      <c r="A34" s="39" t="s">
        <v>156</v>
      </c>
      <c r="B34" s="39" t="s">
        <v>113</v>
      </c>
      <c r="C34" s="40">
        <v>120870</v>
      </c>
      <c r="D34" s="40">
        <v>180709</v>
      </c>
      <c r="E34" s="41">
        <f t="shared" si="0"/>
        <v>301579</v>
      </c>
      <c r="F34" s="41">
        <v>275660</v>
      </c>
      <c r="G34" s="41">
        <v>326376</v>
      </c>
      <c r="H34" s="42">
        <f t="shared" si="1"/>
        <v>3.0407746470616726E-2</v>
      </c>
      <c r="I34" s="42">
        <f t="shared" si="15"/>
        <v>4.0299906228893123E-2</v>
      </c>
      <c r="J34" s="44">
        <f t="shared" si="2"/>
        <v>259630.38767428632</v>
      </c>
      <c r="K34" s="45">
        <f t="shared" si="3"/>
        <v>353211.90592183132</v>
      </c>
      <c r="L34" s="46">
        <f t="shared" si="4"/>
        <v>3.1259544931589112E-2</v>
      </c>
      <c r="M34" s="44">
        <f t="shared" si="5"/>
        <v>260814.31587112456</v>
      </c>
      <c r="N34" s="45">
        <f t="shared" si="6"/>
        <v>329860.66690277116</v>
      </c>
      <c r="O34" s="45">
        <f t="shared" si="7"/>
        <v>339287.88920369482</v>
      </c>
      <c r="P34" s="45">
        <f t="shared" si="8"/>
        <v>261778.52491470773</v>
      </c>
      <c r="Q34" s="45">
        <f t="shared" si="9"/>
        <v>338039.81626181008</v>
      </c>
      <c r="R34" s="45">
        <f t="shared" si="10"/>
        <v>350193.42168241343</v>
      </c>
      <c r="S34" s="47">
        <f t="shared" si="11"/>
        <v>259042.79318638795</v>
      </c>
      <c r="T34" s="45">
        <f t="shared" si="12"/>
        <v>354331.04445515742</v>
      </c>
      <c r="U34" s="45">
        <f t="shared" si="13"/>
        <v>257941.87798239422</v>
      </c>
      <c r="V34" s="45">
        <f t="shared" si="14"/>
        <v>341746.82487861987</v>
      </c>
    </row>
    <row r="35" spans="1:22" x14ac:dyDescent="0.35">
      <c r="A35" s="39" t="s">
        <v>183</v>
      </c>
      <c r="B35" s="39" t="s">
        <v>114</v>
      </c>
      <c r="C35" s="40">
        <v>1207</v>
      </c>
      <c r="D35" s="40">
        <v>9551</v>
      </c>
      <c r="E35" s="41">
        <f t="shared" si="0"/>
        <v>10758</v>
      </c>
      <c r="F35" s="41">
        <v>11235</v>
      </c>
      <c r="G35" s="41">
        <v>14816</v>
      </c>
      <c r="H35" s="42">
        <f t="shared" si="1"/>
        <v>-1.4357349923836749E-2</v>
      </c>
      <c r="I35" s="42">
        <f t="shared" si="15"/>
        <v>0.17354491154631502</v>
      </c>
      <c r="J35" s="44">
        <f t="shared" si="2"/>
        <v>11564.692812368465</v>
      </c>
      <c r="K35" s="45">
        <f t="shared" si="3"/>
        <v>20404.708681911135</v>
      </c>
      <c r="L35" s="46">
        <f t="shared" si="4"/>
        <v>5.8423879919371036E-2</v>
      </c>
      <c r="M35" s="44">
        <f t="shared" si="5"/>
        <v>8325.8559567765387</v>
      </c>
      <c r="N35" s="45">
        <f t="shared" si="6"/>
        <v>12643.572300517781</v>
      </c>
      <c r="O35" s="45">
        <f t="shared" si="7"/>
        <v>13272.096400690374</v>
      </c>
      <c r="P35" s="45">
        <f t="shared" si="8"/>
        <v>11590.009079903068</v>
      </c>
      <c r="Q35" s="45">
        <f t="shared" si="9"/>
        <v>16358.988475245771</v>
      </c>
      <c r="R35" s="45">
        <f t="shared" si="10"/>
        <v>18225.984633661028</v>
      </c>
      <c r="S35" s="47">
        <f t="shared" si="11"/>
        <v>11558.677036320487</v>
      </c>
      <c r="T35" s="45">
        <f t="shared" si="12"/>
        <v>21538.226002211522</v>
      </c>
      <c r="U35" s="45">
        <f t="shared" si="13"/>
        <v>8032.7767424357298</v>
      </c>
      <c r="V35" s="45">
        <f t="shared" si="14"/>
        <v>13590.148884232449</v>
      </c>
    </row>
    <row r="36" spans="1:22" x14ac:dyDescent="0.35">
      <c r="A36" s="39" t="s">
        <v>184</v>
      </c>
      <c r="B36" s="39" t="s">
        <v>115</v>
      </c>
      <c r="C36" s="40">
        <v>3015</v>
      </c>
      <c r="D36" s="40">
        <v>4577</v>
      </c>
      <c r="E36" s="41">
        <f t="shared" si="0"/>
        <v>7592</v>
      </c>
      <c r="F36" s="41">
        <v>7031</v>
      </c>
      <c r="G36" s="41">
        <v>8807</v>
      </c>
      <c r="H36" s="42">
        <f t="shared" si="1"/>
        <v>2.5918907427795013E-2</v>
      </c>
      <c r="I36" s="42">
        <f t="shared" si="15"/>
        <v>7.7050082831477074E-2</v>
      </c>
      <c r="J36" s="44">
        <f t="shared" si="2"/>
        <v>6680.2240750600176</v>
      </c>
      <c r="K36" s="45">
        <f t="shared" si="3"/>
        <v>10216.444810326655</v>
      </c>
      <c r="L36" s="46">
        <f t="shared" si="4"/>
        <v>4.3400105500354114E-2</v>
      </c>
      <c r="M36" s="44">
        <f t="shared" si="5"/>
        <v>6238.2881752604299</v>
      </c>
      <c r="N36" s="45">
        <f t="shared" si="6"/>
        <v>8580.4808028760654</v>
      </c>
      <c r="O36" s="45">
        <f t="shared" si="7"/>
        <v>8909.9744038347544</v>
      </c>
      <c r="P36" s="45">
        <f t="shared" si="8"/>
        <v>6720.9956762263882</v>
      </c>
      <c r="Q36" s="45">
        <f t="shared" si="9"/>
        <v>9346.8926865697213</v>
      </c>
      <c r="R36" s="45">
        <f t="shared" si="10"/>
        <v>9931.856915426295</v>
      </c>
      <c r="S36" s="47">
        <f t="shared" si="11"/>
        <v>6669.20407798019</v>
      </c>
      <c r="T36" s="45">
        <f t="shared" si="12"/>
        <v>10332.511626443291</v>
      </c>
      <c r="U36" s="45">
        <f t="shared" si="13"/>
        <v>6111.0251033861587</v>
      </c>
      <c r="V36" s="45">
        <f t="shared" si="14"/>
        <v>9031.2924288790891</v>
      </c>
    </row>
    <row r="37" spans="1:22" x14ac:dyDescent="0.35">
      <c r="A37" s="39" t="s">
        <v>186</v>
      </c>
      <c r="B37" s="39" t="s">
        <v>117</v>
      </c>
      <c r="C37" s="40">
        <v>391</v>
      </c>
      <c r="D37" s="40">
        <v>5302</v>
      </c>
      <c r="E37" s="41">
        <f t="shared" si="0"/>
        <v>5693</v>
      </c>
      <c r="F37" s="41">
        <v>8293</v>
      </c>
      <c r="G37" s="41">
        <v>9491</v>
      </c>
      <c r="H37" s="42">
        <f t="shared" si="1"/>
        <v>-0.11784850836422744</v>
      </c>
      <c r="I37" s="42">
        <f t="shared" si="15"/>
        <v>0.29117585098474064</v>
      </c>
      <c r="J37" s="44">
        <f t="shared" si="2"/>
        <v>10656.763302456236</v>
      </c>
      <c r="K37" s="45">
        <f t="shared" si="3"/>
        <v>15822.779026875112</v>
      </c>
      <c r="L37" s="46">
        <f t="shared" si="4"/>
        <v>4.0317117123783941E-2</v>
      </c>
      <c r="M37" s="44">
        <f t="shared" si="5"/>
        <v>4737.9063698301743</v>
      </c>
      <c r="N37" s="45">
        <f t="shared" si="6"/>
        <v>6381.5760433571058</v>
      </c>
      <c r="O37" s="45">
        <f t="shared" si="7"/>
        <v>6611.1013911428081</v>
      </c>
      <c r="P37" s="45">
        <f t="shared" si="8"/>
        <v>13859.760514734233</v>
      </c>
      <c r="Q37" s="45">
        <f t="shared" si="9"/>
        <v>10665.992358968386</v>
      </c>
      <c r="R37" s="45">
        <f t="shared" si="10"/>
        <v>12323.656478624514</v>
      </c>
      <c r="S37" s="47">
        <f t="shared" si="11"/>
        <v>10262.329818491944</v>
      </c>
      <c r="T37" s="45">
        <f t="shared" si="12"/>
        <v>18245.906507454991</v>
      </c>
      <c r="U37" s="45">
        <f t="shared" si="13"/>
        <v>4653.6495645271862</v>
      </c>
      <c r="V37" s="45">
        <f t="shared" si="14"/>
        <v>6689.2771465820924</v>
      </c>
    </row>
    <row r="38" spans="1:22" x14ac:dyDescent="0.35">
      <c r="A38" s="39" t="s">
        <v>188</v>
      </c>
      <c r="B38" s="39" t="s">
        <v>119</v>
      </c>
      <c r="C38" s="40">
        <v>1712</v>
      </c>
      <c r="D38" s="40">
        <v>2014</v>
      </c>
      <c r="E38" s="41">
        <f t="shared" si="0"/>
        <v>3726</v>
      </c>
      <c r="F38" s="41">
        <v>1863</v>
      </c>
      <c r="G38" s="41">
        <v>3726</v>
      </c>
      <c r="H38" s="42">
        <f t="shared" si="1"/>
        <v>0.25992104989487319</v>
      </c>
      <c r="I38" s="43">
        <v>5.4673730437993617E-2</v>
      </c>
      <c r="J38" s="44">
        <f t="shared" si="2"/>
        <v>1173.6164579770741</v>
      </c>
      <c r="K38" s="45">
        <f t="shared" si="3"/>
        <v>4610.1532876591737</v>
      </c>
      <c r="L38" s="46">
        <f t="shared" si="4"/>
        <v>0.14661842846464967</v>
      </c>
      <c r="M38" s="44">
        <f t="shared" si="5"/>
        <v>2149.9145423423447</v>
      </c>
      <c r="N38" s="45">
        <f t="shared" si="6"/>
        <v>5364.9007933778539</v>
      </c>
      <c r="O38" s="45">
        <f t="shared" si="7"/>
        <v>5911.2010578371392</v>
      </c>
      <c r="P38" s="45">
        <f t="shared" si="8"/>
        <v>1620.2780894032455</v>
      </c>
      <c r="Q38" s="45">
        <f t="shared" si="9"/>
        <v>4337.1429588358924</v>
      </c>
      <c r="R38" s="45">
        <f t="shared" si="10"/>
        <v>4540.8572784478565</v>
      </c>
      <c r="S38" s="47">
        <f t="shared" si="11"/>
        <v>1015.8543907605975</v>
      </c>
      <c r="T38" s="45">
        <f t="shared" si="12"/>
        <v>4636.8265262217092</v>
      </c>
      <c r="U38" s="45">
        <f t="shared" si="13"/>
        <v>1790.0492435835802</v>
      </c>
      <c r="V38" s="45">
        <f t="shared" si="14"/>
        <v>6698.0000781387516</v>
      </c>
    </row>
    <row r="39" spans="1:22" x14ac:dyDescent="0.35">
      <c r="A39" s="39" t="s">
        <v>153</v>
      </c>
      <c r="B39" s="39" t="s">
        <v>48</v>
      </c>
      <c r="C39" s="40">
        <v>50</v>
      </c>
      <c r="D39" s="40">
        <v>206</v>
      </c>
      <c r="E39" s="41">
        <f t="shared" si="0"/>
        <v>256</v>
      </c>
      <c r="F39" s="41">
        <v>442</v>
      </c>
      <c r="G39" s="41">
        <v>462</v>
      </c>
      <c r="H39" s="42">
        <f t="shared" si="1"/>
        <v>-0.16643545882510058</v>
      </c>
      <c r="I39" s="42">
        <f t="shared" si="15"/>
        <v>0.34338657876279233</v>
      </c>
      <c r="J39" s="44">
        <f t="shared" si="2"/>
        <v>636.1269649300508</v>
      </c>
      <c r="K39" s="45">
        <f t="shared" si="3"/>
        <v>833.765625</v>
      </c>
      <c r="L39" s="46">
        <f t="shared" si="4"/>
        <v>2.7424737353202833E-2</v>
      </c>
      <c r="M39" s="44">
        <f t="shared" si="5"/>
        <v>225.12942345618123</v>
      </c>
      <c r="N39" s="45">
        <f t="shared" si="6"/>
        <v>277.06219828725978</v>
      </c>
      <c r="O39" s="45">
        <f t="shared" si="7"/>
        <v>284.0829310496797</v>
      </c>
      <c r="P39" s="45">
        <f t="shared" si="8"/>
        <v>1525.4193326583861</v>
      </c>
      <c r="Q39" s="45">
        <f t="shared" si="9"/>
        <v>519.72089248982456</v>
      </c>
      <c r="R39" s="45">
        <f t="shared" si="10"/>
        <v>607.62785665309934</v>
      </c>
      <c r="S39" s="47">
        <f t="shared" si="11"/>
        <v>588.36925683126162</v>
      </c>
      <c r="T39" s="45">
        <f t="shared" si="12"/>
        <v>1011.0288548676376</v>
      </c>
      <c r="U39" s="45">
        <f t="shared" si="13"/>
        <v>223.19676969584262</v>
      </c>
      <c r="V39" s="45">
        <f t="shared" si="14"/>
        <v>285.68116860676389</v>
      </c>
    </row>
    <row r="40" spans="1:22" x14ac:dyDescent="0.35">
      <c r="A40" s="39" t="s">
        <v>159</v>
      </c>
      <c r="B40" s="39" t="s">
        <v>43</v>
      </c>
      <c r="C40" s="40">
        <v>14</v>
      </c>
      <c r="D40" s="40">
        <v>2204</v>
      </c>
      <c r="E40" s="41">
        <f t="shared" si="0"/>
        <v>2218</v>
      </c>
      <c r="F40" s="41">
        <v>3166</v>
      </c>
      <c r="G40" s="41">
        <v>4706</v>
      </c>
      <c r="H40" s="42">
        <f t="shared" si="1"/>
        <v>-0.11185567778326533</v>
      </c>
      <c r="I40" s="42">
        <f t="shared" si="15"/>
        <v>0.45661638376408309</v>
      </c>
      <c r="J40" s="44">
        <f t="shared" si="2"/>
        <v>4013.6899683595507</v>
      </c>
      <c r="K40" s="45">
        <f t="shared" si="3"/>
        <v>9984.8674481514863</v>
      </c>
      <c r="L40" s="46">
        <f t="shared" si="4"/>
        <v>9.5417937124110397E-2</v>
      </c>
      <c r="M40" s="44">
        <f t="shared" si="5"/>
        <v>1501.6014407196801</v>
      </c>
      <c r="N40" s="45">
        <f t="shared" si="6"/>
        <v>2852.9109536238307</v>
      </c>
      <c r="O40" s="45">
        <f t="shared" si="7"/>
        <v>3064.5479381651076</v>
      </c>
      <c r="P40" s="45">
        <f t="shared" si="8"/>
        <v>5032.6554092644683</v>
      </c>
      <c r="Q40" s="45">
        <f t="shared" si="9"/>
        <v>5256.3254175662087</v>
      </c>
      <c r="R40" s="45">
        <f t="shared" si="10"/>
        <v>6269.1005567549455</v>
      </c>
      <c r="S40" s="47">
        <f t="shared" si="11"/>
        <v>3880.1906066138222</v>
      </c>
      <c r="T40" s="45">
        <f t="shared" si="12"/>
        <v>13777.976671296203</v>
      </c>
      <c r="U40" s="45">
        <f t="shared" si="13"/>
        <v>1376.4616756173427</v>
      </c>
      <c r="V40" s="45">
        <f t="shared" si="14"/>
        <v>3248.7738148901485</v>
      </c>
    </row>
    <row r="41" spans="1:22" x14ac:dyDescent="0.35">
      <c r="A41" s="39" t="s">
        <v>185</v>
      </c>
      <c r="B41" s="39" t="s">
        <v>116</v>
      </c>
      <c r="C41" s="40">
        <v>5</v>
      </c>
      <c r="D41" s="40">
        <v>1272</v>
      </c>
      <c r="E41" s="41">
        <f t="shared" si="0"/>
        <v>1277</v>
      </c>
      <c r="F41" s="48">
        <v>1546</v>
      </c>
      <c r="G41" s="48">
        <v>1558</v>
      </c>
      <c r="H41" s="42">
        <f t="shared" si="1"/>
        <v>-6.1731500721997512E-2</v>
      </c>
      <c r="I41" s="42">
        <f t="shared" si="15"/>
        <v>0.10455737067903281</v>
      </c>
      <c r="J41" s="44">
        <f t="shared" si="2"/>
        <v>1756.1241600785766</v>
      </c>
      <c r="K41" s="45">
        <f t="shared" si="3"/>
        <v>1900.8332028191071</v>
      </c>
      <c r="L41" s="46">
        <f t="shared" si="4"/>
        <v>7.9497446354268586E-3</v>
      </c>
      <c r="M41" s="44">
        <f t="shared" si="5"/>
        <v>1228.1813591440659</v>
      </c>
      <c r="N41" s="45">
        <f t="shared" si="6"/>
        <v>1307.4554716983203</v>
      </c>
      <c r="O41" s="45">
        <f t="shared" si="7"/>
        <v>1317.6072955977604</v>
      </c>
      <c r="P41" s="45">
        <f t="shared" si="8"/>
        <v>1847.1307733404485</v>
      </c>
      <c r="Q41" s="45">
        <f t="shared" si="9"/>
        <v>1677.5592870713747</v>
      </c>
      <c r="R41" s="45">
        <f t="shared" si="10"/>
        <v>1811.0790494284995</v>
      </c>
      <c r="S41" s="47">
        <f t="shared" si="11"/>
        <v>1738.7580267925025</v>
      </c>
      <c r="T41" s="45">
        <f t="shared" si="12"/>
        <v>1940.1068711246771</v>
      </c>
      <c r="U41" s="45">
        <f t="shared" si="13"/>
        <v>1227.2364511332271</v>
      </c>
      <c r="V41" s="45">
        <f t="shared" si="14"/>
        <v>1318.2598291243987</v>
      </c>
    </row>
    <row r="42" spans="1:22" x14ac:dyDescent="0.35">
      <c r="A42" s="39" t="s">
        <v>169</v>
      </c>
      <c r="B42" s="39" t="s">
        <v>94</v>
      </c>
      <c r="C42" s="40">
        <v>936</v>
      </c>
      <c r="D42" s="40">
        <v>3863</v>
      </c>
      <c r="E42" s="48">
        <v>6472</v>
      </c>
      <c r="F42" s="48">
        <v>7126</v>
      </c>
      <c r="G42" s="48">
        <v>6666</v>
      </c>
      <c r="H42" s="42">
        <f t="shared" si="1"/>
        <v>-3.1578929217935259E-2</v>
      </c>
      <c r="I42" s="42">
        <f t="shared" si="15"/>
        <v>1.4876976840610734E-2</v>
      </c>
      <c r="J42" s="44">
        <f t="shared" si="2"/>
        <v>7598.3161140451894</v>
      </c>
      <c r="K42" s="45">
        <f t="shared" si="3"/>
        <v>6865.8152039555043</v>
      </c>
      <c r="L42" s="46">
        <f t="shared" si="4"/>
        <v>-1.0085979771137898E-2</v>
      </c>
      <c r="M42" s="44">
        <f t="shared" si="5"/>
        <v>6815.7158615258686</v>
      </c>
      <c r="N42" s="45">
        <f t="shared" si="6"/>
        <v>6276.1706167635866</v>
      </c>
      <c r="O42" s="45">
        <f t="shared" si="7"/>
        <v>6210.8941556847822</v>
      </c>
      <c r="P42" s="45">
        <f t="shared" si="8"/>
        <v>7685.4991717452094</v>
      </c>
      <c r="Q42" s="45">
        <f t="shared" si="9"/>
        <v>6760.8513823372978</v>
      </c>
      <c r="R42" s="45">
        <f t="shared" si="10"/>
        <v>6857.1351764497304</v>
      </c>
      <c r="S42" s="47">
        <f t="shared" si="11"/>
        <v>7578.9890939479201</v>
      </c>
      <c r="T42" s="45">
        <f t="shared" si="12"/>
        <v>6868.8251991352254</v>
      </c>
      <c r="U42" s="45">
        <f t="shared" si="13"/>
        <v>6806.7521217956446</v>
      </c>
      <c r="V42" s="45">
        <f t="shared" si="14"/>
        <v>6216.0910501875469</v>
      </c>
    </row>
    <row r="43" spans="1:22" x14ac:dyDescent="0.35">
      <c r="A43" s="39" t="s">
        <v>195</v>
      </c>
      <c r="B43" s="39" t="s">
        <v>51</v>
      </c>
      <c r="C43" s="40">
        <v>1268</v>
      </c>
      <c r="D43" s="40">
        <v>1966</v>
      </c>
      <c r="E43" s="41">
        <f t="shared" si="0"/>
        <v>3234</v>
      </c>
      <c r="F43" s="41">
        <v>3335</v>
      </c>
      <c r="G43" s="41">
        <v>4198</v>
      </c>
      <c r="H43" s="42">
        <f t="shared" si="1"/>
        <v>-1.0198610590244073E-2</v>
      </c>
      <c r="I43" s="42">
        <f t="shared" si="15"/>
        <v>0.13933439758107946</v>
      </c>
      <c r="J43" s="44">
        <f t="shared" si="2"/>
        <v>3404.0797026369582</v>
      </c>
      <c r="K43" s="45">
        <f t="shared" si="3"/>
        <v>5449.3518862090314</v>
      </c>
      <c r="L43" s="46">
        <f t="shared" si="4"/>
        <v>4.8176728430103788E-2</v>
      </c>
      <c r="M43" s="44">
        <f t="shared" si="5"/>
        <v>2606.2072946624567</v>
      </c>
      <c r="N43" s="45">
        <f t="shared" si="6"/>
        <v>3701.4106192288668</v>
      </c>
      <c r="O43" s="45">
        <f>E43*(1+L43*4)</f>
        <v>3857.2141589718226</v>
      </c>
      <c r="P43" s="45">
        <f t="shared" si="8"/>
        <v>3407.7727355496058</v>
      </c>
      <c r="Q43" s="45">
        <f t="shared" si="9"/>
        <v>4585.8223253316328</v>
      </c>
      <c r="R43" s="45">
        <f t="shared" si="10"/>
        <v>5036.4297671088443</v>
      </c>
      <c r="S43" s="47">
        <f t="shared" si="11"/>
        <v>3403.188594678586</v>
      </c>
      <c r="T43" s="45">
        <f t="shared" si="12"/>
        <v>5646.6212163972423</v>
      </c>
      <c r="U43" s="45">
        <f t="shared" si="13"/>
        <v>2541.7075501588442</v>
      </c>
      <c r="V43" s="45">
        <f t="shared" si="14"/>
        <v>3921.3135026192426</v>
      </c>
    </row>
    <row r="44" spans="1:22" x14ac:dyDescent="0.35">
      <c r="A44" s="39" t="s">
        <v>197</v>
      </c>
      <c r="B44" s="39" t="s">
        <v>120</v>
      </c>
      <c r="C44" s="40">
        <v>0</v>
      </c>
      <c r="D44" s="40">
        <v>31940</v>
      </c>
      <c r="E44" s="41">
        <f t="shared" si="0"/>
        <v>31940</v>
      </c>
      <c r="F44" s="41">
        <v>21552</v>
      </c>
      <c r="G44" s="41">
        <v>31940</v>
      </c>
      <c r="H44" s="42">
        <f t="shared" si="1"/>
        <v>0.14011618556211447</v>
      </c>
      <c r="I44" s="43">
        <v>5.4673730437993617E-2</v>
      </c>
      <c r="J44" s="44">
        <f t="shared" si="2"/>
        <v>16580.184390769253</v>
      </c>
      <c r="K44" s="45">
        <f t="shared" si="3"/>
        <v>39519.134731034355</v>
      </c>
      <c r="L44" s="46">
        <f t="shared" si="4"/>
        <v>9.0741424234833445E-2</v>
      </c>
      <c r="M44" s="44">
        <f t="shared" si="5"/>
        <v>21971.413316185648</v>
      </c>
      <c r="N44" s="45">
        <f t="shared" si="6"/>
        <v>40634.843270181744</v>
      </c>
      <c r="O44" s="45">
        <f t="shared" si="7"/>
        <v>43533.12436024232</v>
      </c>
      <c r="P44" s="45">
        <f t="shared" si="8"/>
        <v>18781.817129468476</v>
      </c>
      <c r="Q44" s="45">
        <f t="shared" si="9"/>
        <v>37178.83685056855</v>
      </c>
      <c r="R44" s="45">
        <f t="shared" si="10"/>
        <v>38925.115800758067</v>
      </c>
      <c r="S44" s="47">
        <f t="shared" si="11"/>
        <v>15851.723220918104</v>
      </c>
      <c r="T44" s="45">
        <f t="shared" si="12"/>
        <v>39747.782943510843</v>
      </c>
      <c r="U44" s="45">
        <f t="shared" si="13"/>
        <v>20290.484282933612</v>
      </c>
      <c r="V44" s="45">
        <f t="shared" si="14"/>
        <v>45916.514240175376</v>
      </c>
    </row>
    <row r="45" spans="1:22" x14ac:dyDescent="0.35">
      <c r="A45" s="39" t="s">
        <v>191</v>
      </c>
      <c r="B45" s="39" t="s">
        <v>121</v>
      </c>
      <c r="C45" s="40">
        <v>7237</v>
      </c>
      <c r="D45" s="40">
        <v>16407</v>
      </c>
      <c r="E45" s="41">
        <v>59496</v>
      </c>
      <c r="F45" s="41">
        <v>59496</v>
      </c>
      <c r="G45" s="41">
        <v>74873</v>
      </c>
      <c r="H45" s="42">
        <f>((G45/F45)^(1/5))-1</f>
        <v>4.7050173871553191E-2</v>
      </c>
      <c r="I45" s="43">
        <v>5.4673730437993617E-2</v>
      </c>
      <c r="J45" s="44">
        <f>F45*(1/((1+H45)^5))</f>
        <v>47277.042672258351</v>
      </c>
      <c r="K45" s="45">
        <f>E45*(1+I45)^4</f>
        <v>73613.977456406385</v>
      </c>
      <c r="L45" s="46">
        <f t="shared" si="4"/>
        <v>4.527604631793225E-2</v>
      </c>
      <c r="M45" s="44">
        <f t="shared" si="5"/>
        <v>48513.502148416046</v>
      </c>
      <c r="N45" s="45">
        <f t="shared" si="6"/>
        <v>67577.230955195089</v>
      </c>
      <c r="O45" s="45">
        <f t="shared" si="7"/>
        <v>70270.974606926786</v>
      </c>
      <c r="P45" s="45">
        <f t="shared" si="8"/>
        <v>48165.114857140943</v>
      </c>
      <c r="Q45" s="45">
        <f t="shared" si="9"/>
        <v>69254.604798416607</v>
      </c>
      <c r="R45" s="45">
        <f t="shared" si="10"/>
        <v>72507.473064555466</v>
      </c>
      <c r="S45" s="47">
        <f t="shared" si="11"/>
        <v>47024.004907738621</v>
      </c>
      <c r="T45" s="45">
        <f t="shared" si="12"/>
        <v>74039.890231907368</v>
      </c>
      <c r="U45" s="45">
        <f t="shared" si="13"/>
        <v>47442.993421898565</v>
      </c>
      <c r="V45" s="45">
        <f t="shared" si="14"/>
        <v>71308.338398843567</v>
      </c>
    </row>
    <row r="46" spans="1:22" x14ac:dyDescent="0.35">
      <c r="A46" s="39" t="s">
        <v>187</v>
      </c>
      <c r="B46" s="39" t="s">
        <v>118</v>
      </c>
      <c r="C46" s="40">
        <v>0</v>
      </c>
      <c r="D46" s="40">
        <v>287458</v>
      </c>
      <c r="E46" s="41">
        <f t="shared" si="0"/>
        <v>287458</v>
      </c>
      <c r="F46" s="41">
        <v>288742</v>
      </c>
      <c r="G46" s="41">
        <v>287458</v>
      </c>
      <c r="H46" s="42">
        <f t="shared" si="1"/>
        <v>-1.4844947843777323E-3</v>
      </c>
      <c r="I46" s="43">
        <v>5.4673730437993617E-2</v>
      </c>
      <c r="J46" s="44">
        <f t="shared" si="2"/>
        <v>289601.18469515647</v>
      </c>
      <c r="K46" s="45">
        <f t="shared" si="3"/>
        <v>355669.73799354018</v>
      </c>
      <c r="L46" s="46">
        <f t="shared" si="4"/>
        <v>2.0762385297059094E-2</v>
      </c>
      <c r="M46" s="44">
        <f t="shared" si="5"/>
        <v>260422.98792268886</v>
      </c>
      <c r="N46" s="45">
        <f t="shared" si="6"/>
        <v>305362.94125816604</v>
      </c>
      <c r="O46" s="45">
        <f t="shared" si="7"/>
        <v>311331.25501088804</v>
      </c>
      <c r="P46" s="45">
        <f t="shared" si="8"/>
        <v>289607.60489491309</v>
      </c>
      <c r="Q46" s="45">
        <f t="shared" si="9"/>
        <v>334607.20361273433</v>
      </c>
      <c r="R46" s="45">
        <f t="shared" si="10"/>
        <v>350323.60481697909</v>
      </c>
      <c r="S46" s="47">
        <f t="shared" si="11"/>
        <v>289599.58761553274</v>
      </c>
      <c r="T46" s="45">
        <f t="shared" si="12"/>
        <v>357727.55758847028</v>
      </c>
      <c r="U46" s="45">
        <f t="shared" si="13"/>
        <v>259113.14928445462</v>
      </c>
      <c r="V46" s="45">
        <f t="shared" si="14"/>
        <v>312350.60903867823</v>
      </c>
    </row>
    <row r="47" spans="1:22" x14ac:dyDescent="0.35">
      <c r="A47" s="39" t="s">
        <v>192</v>
      </c>
      <c r="B47" s="39" t="s">
        <v>122</v>
      </c>
      <c r="C47" s="40">
        <v>3432</v>
      </c>
      <c r="D47" s="40">
        <v>14516</v>
      </c>
      <c r="E47" s="41">
        <f t="shared" si="0"/>
        <v>17948</v>
      </c>
      <c r="F47" s="41">
        <v>13839</v>
      </c>
      <c r="G47" s="41">
        <v>17948</v>
      </c>
      <c r="H47" s="42">
        <f t="shared" si="1"/>
        <v>9.0528744101809888E-2</v>
      </c>
      <c r="I47" s="43">
        <v>5.4673730437993617E-2</v>
      </c>
      <c r="J47" s="44">
        <f t="shared" si="2"/>
        <v>11636.717063802082</v>
      </c>
      <c r="K47" s="45">
        <f t="shared" si="3"/>
        <v>22206.932691064638</v>
      </c>
      <c r="L47" s="46">
        <f t="shared" si="4"/>
        <v>6.6757758428317215E-2</v>
      </c>
      <c r="M47" s="44">
        <f t="shared" si="5"/>
        <v>13456.403371917644</v>
      </c>
      <c r="N47" s="45">
        <f t="shared" si="6"/>
        <v>21542.504744814312</v>
      </c>
      <c r="O47" s="45">
        <f t="shared" si="7"/>
        <v>22740.672993085751</v>
      </c>
      <c r="P47" s="45">
        <f t="shared" si="8"/>
        <v>12355.403975938772</v>
      </c>
      <c r="Q47" s="45">
        <f t="shared" si="9"/>
        <v>20891.852341703328</v>
      </c>
      <c r="R47" s="45">
        <f t="shared" si="10"/>
        <v>21873.136455604439</v>
      </c>
      <c r="S47" s="47">
        <f t="shared" si="11"/>
        <v>11413.934888910526</v>
      </c>
      <c r="T47" s="45">
        <f t="shared" si="12"/>
        <v>22335.416664687935</v>
      </c>
      <c r="U47" s="45">
        <f t="shared" si="13"/>
        <v>12854.447957147757</v>
      </c>
      <c r="V47" s="45">
        <f t="shared" si="14"/>
        <v>23441.541397528839</v>
      </c>
    </row>
    <row r="48" spans="1:22" x14ac:dyDescent="0.35">
      <c r="A48" s="39" t="s">
        <v>193</v>
      </c>
      <c r="B48" s="39" t="s">
        <v>123</v>
      </c>
      <c r="C48" s="40">
        <v>854</v>
      </c>
      <c r="D48" s="40">
        <v>25835</v>
      </c>
      <c r="E48" s="41">
        <f t="shared" si="0"/>
        <v>26689</v>
      </c>
      <c r="F48" s="41">
        <v>20885</v>
      </c>
      <c r="G48" s="41">
        <v>36976</v>
      </c>
      <c r="H48" s="42">
        <f t="shared" si="1"/>
        <v>8.5173735635071912E-2</v>
      </c>
      <c r="I48" s="42">
        <f t="shared" si="15"/>
        <v>0.17704702295875174</v>
      </c>
      <c r="J48" s="44">
        <f t="shared" si="2"/>
        <v>17735.193513979666</v>
      </c>
      <c r="K48" s="45">
        <f t="shared" si="3"/>
        <v>51228.018134812075</v>
      </c>
      <c r="L48" s="46">
        <f t="shared" si="4"/>
        <v>0.11190366646427696</v>
      </c>
      <c r="M48" s="44">
        <f t="shared" si="5"/>
        <v>17113.617356631334</v>
      </c>
      <c r="N48" s="45">
        <f t="shared" si="6"/>
        <v>35648.790862795264</v>
      </c>
      <c r="O48" s="45">
        <f t="shared" si="7"/>
        <v>38635.387817060349</v>
      </c>
      <c r="P48" s="45">
        <f t="shared" si="8"/>
        <v>18717.71251343644</v>
      </c>
      <c r="Q48" s="45">
        <f t="shared" si="9"/>
        <v>40864.623987238374</v>
      </c>
      <c r="R48" s="45">
        <f t="shared" si="10"/>
        <v>45589.831982984499</v>
      </c>
      <c r="S48" s="47">
        <f t="shared" si="11"/>
        <v>17433.311278789544</v>
      </c>
      <c r="T48" s="45">
        <f t="shared" si="12"/>
        <v>54186.921973780874</v>
      </c>
      <c r="U48" s="45">
        <f t="shared" si="13"/>
        <v>15252.343496930202</v>
      </c>
      <c r="V48" s="45">
        <f t="shared" si="14"/>
        <v>41756.960725140896</v>
      </c>
    </row>
    <row r="49" spans="1:22" x14ac:dyDescent="0.35">
      <c r="A49" s="39" t="s">
        <v>9</v>
      </c>
      <c r="B49" s="39" t="s">
        <v>9</v>
      </c>
      <c r="C49" s="40">
        <v>217551</v>
      </c>
      <c r="D49" s="50">
        <v>1093957</v>
      </c>
      <c r="E49" s="56">
        <f>SUM(E2:E48)</f>
        <v>1540512</v>
      </c>
      <c r="F49" s="52">
        <f>SUM(F2:F48)</f>
        <v>1420865</v>
      </c>
      <c r="G49" s="40">
        <f>SUM(G2:G48)</f>
        <v>1713568</v>
      </c>
      <c r="H49" s="42">
        <f t="shared" si="1"/>
        <v>2.7316088979300268E-2</v>
      </c>
      <c r="I49" s="42">
        <f t="shared" si="15"/>
        <v>5.4673730437993617E-2</v>
      </c>
      <c r="J49" s="53">
        <f>SUM(J2:J48)</f>
        <v>1361384.6193723958</v>
      </c>
      <c r="K49" s="51">
        <f>SUM(K2:K48)</f>
        <v>2054902.9456666561</v>
      </c>
      <c r="L49" s="46">
        <f>((K49/J49)^(1/10))-1</f>
        <v>4.203197955640503E-2</v>
      </c>
      <c r="M49" s="51">
        <f>SUM(M2:M48)</f>
        <v>1276464.7397080688</v>
      </c>
      <c r="N49" s="51">
        <f>SUM(N2:N48)</f>
        <v>1751690.9325993333</v>
      </c>
      <c r="O49" s="51">
        <f t="shared" ref="O49" si="16">SUM(O2:O48)</f>
        <v>1822083.910132444</v>
      </c>
      <c r="P49" s="51">
        <f t="shared" ref="P49" si="17">SUM(P2:P48)</f>
        <v>1391859.6987307554</v>
      </c>
      <c r="Q49" s="51">
        <f t="shared" ref="Q49:V49" si="18">SUM(Q2:Q48)</f>
        <v>1861794.1295068702</v>
      </c>
      <c r="R49" s="51">
        <f t="shared" si="18"/>
        <v>1968888.1726758264</v>
      </c>
      <c r="S49" s="56">
        <f t="shared" si="18"/>
        <v>1348406.0254205284</v>
      </c>
      <c r="T49" s="56">
        <f t="shared" si="18"/>
        <v>2110010.7482932787</v>
      </c>
      <c r="U49" s="51">
        <f t="shared" si="18"/>
        <v>1243857.8922254855</v>
      </c>
      <c r="V49" s="51">
        <f t="shared" si="18"/>
        <v>1870275.1704227754</v>
      </c>
    </row>
    <row r="53" spans="1:22" x14ac:dyDescent="0.35">
      <c r="H53">
        <f>2018-2015</f>
        <v>3</v>
      </c>
    </row>
    <row r="54" spans="1:22" x14ac:dyDescent="0.35">
      <c r="H54">
        <f>2020-2018</f>
        <v>2</v>
      </c>
    </row>
  </sheetData>
  <autoFilter ref="A1:E49" xr:uid="{F2D87D5B-7CD5-485B-B443-13D41978E6B2}"/>
  <phoneticPr fontId="11" type="noConversion"/>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23B38-F25E-4496-A5DF-5AB26BA224A6}">
  <sheetPr>
    <tabColor rgb="FF00B050"/>
  </sheetPr>
  <dimension ref="A1:M49"/>
  <sheetViews>
    <sheetView topLeftCell="C30" workbookViewId="0">
      <selection activeCell="K1" sqref="K1:L48"/>
    </sheetView>
  </sheetViews>
  <sheetFormatPr defaultColWidth="8.81640625" defaultRowHeight="14.5" x14ac:dyDescent="0.35"/>
  <cols>
    <col min="2" max="2" width="35.81640625" bestFit="1" customWidth="1"/>
    <col min="13" max="13" width="41.36328125" bestFit="1" customWidth="1"/>
  </cols>
  <sheetData>
    <row r="1" spans="1:13" ht="28.5" x14ac:dyDescent="0.35">
      <c r="A1" s="22" t="s">
        <v>149</v>
      </c>
      <c r="B1" s="22" t="s">
        <v>0</v>
      </c>
      <c r="C1" s="22" t="s">
        <v>150</v>
      </c>
      <c r="D1" s="34"/>
      <c r="E1" s="34"/>
      <c r="G1" s="22" t="s">
        <v>150</v>
      </c>
      <c r="H1" s="22" t="s">
        <v>0</v>
      </c>
      <c r="I1" s="22" t="s">
        <v>150</v>
      </c>
      <c r="K1" s="22" t="s">
        <v>0</v>
      </c>
      <c r="L1" s="22" t="s">
        <v>150</v>
      </c>
      <c r="M1" s="68" t="s">
        <v>288</v>
      </c>
    </row>
    <row r="2" spans="1:13" x14ac:dyDescent="0.35">
      <c r="A2" s="27">
        <v>2018</v>
      </c>
      <c r="B2" s="27" t="s">
        <v>1</v>
      </c>
      <c r="C2" s="27" t="s">
        <v>151</v>
      </c>
      <c r="D2" s="27"/>
      <c r="E2" s="27"/>
      <c r="G2" s="27" t="s">
        <v>151</v>
      </c>
      <c r="H2" s="27" t="s">
        <v>1</v>
      </c>
      <c r="I2" s="27" t="s">
        <v>151</v>
      </c>
      <c r="J2" s="27"/>
      <c r="K2" s="27" t="s">
        <v>1</v>
      </c>
      <c r="L2" s="27" t="s">
        <v>151</v>
      </c>
      <c r="M2" s="59" t="s">
        <v>289</v>
      </c>
    </row>
    <row r="3" spans="1:13" x14ac:dyDescent="0.35">
      <c r="A3" s="27">
        <v>2018</v>
      </c>
      <c r="B3" s="27" t="s">
        <v>2</v>
      </c>
      <c r="C3" s="27" t="s">
        <v>152</v>
      </c>
      <c r="D3" s="27"/>
      <c r="E3" s="27"/>
      <c r="G3" s="27" t="s">
        <v>152</v>
      </c>
      <c r="H3" s="27" t="s">
        <v>2</v>
      </c>
      <c r="I3" s="27" t="s">
        <v>152</v>
      </c>
      <c r="J3" s="27"/>
      <c r="K3" s="27" t="s">
        <v>2</v>
      </c>
      <c r="L3" s="27" t="s">
        <v>152</v>
      </c>
      <c r="M3" s="59" t="s">
        <v>289</v>
      </c>
    </row>
    <row r="4" spans="1:13" x14ac:dyDescent="0.35">
      <c r="A4" s="27">
        <v>2018</v>
      </c>
      <c r="B4" s="27" t="s">
        <v>48</v>
      </c>
      <c r="C4" s="27" t="s">
        <v>153</v>
      </c>
      <c r="D4" s="27"/>
      <c r="E4" s="27"/>
      <c r="G4" s="27" t="s">
        <v>153</v>
      </c>
      <c r="H4" s="27" t="s">
        <v>48</v>
      </c>
      <c r="I4" s="27" t="s">
        <v>153</v>
      </c>
      <c r="J4" s="27"/>
      <c r="K4" s="27" t="s">
        <v>48</v>
      </c>
      <c r="L4" s="27" t="s">
        <v>153</v>
      </c>
      <c r="M4" s="59" t="s">
        <v>289</v>
      </c>
    </row>
    <row r="5" spans="1:13" x14ac:dyDescent="0.35">
      <c r="A5" s="27">
        <v>2018</v>
      </c>
      <c r="B5" t="s">
        <v>97</v>
      </c>
      <c r="C5" s="27" t="s">
        <v>154</v>
      </c>
      <c r="D5" s="27"/>
      <c r="E5" s="27"/>
      <c r="G5" s="27" t="s">
        <v>154</v>
      </c>
      <c r="H5" t="s">
        <v>97</v>
      </c>
      <c r="I5" s="27" t="s">
        <v>154</v>
      </c>
      <c r="J5" s="27"/>
      <c r="K5" t="s">
        <v>97</v>
      </c>
      <c r="L5" s="27" t="s">
        <v>154</v>
      </c>
      <c r="M5" s="59" t="s">
        <v>289</v>
      </c>
    </row>
    <row r="6" spans="1:13" x14ac:dyDescent="0.35">
      <c r="A6" s="27">
        <v>2018</v>
      </c>
      <c r="B6" s="27" t="s">
        <v>100</v>
      </c>
      <c r="C6" s="27" t="s">
        <v>155</v>
      </c>
      <c r="D6" s="27"/>
      <c r="E6" s="27"/>
      <c r="G6" s="27" t="s">
        <v>155</v>
      </c>
      <c r="H6" s="27" t="s">
        <v>100</v>
      </c>
      <c r="I6" s="27" t="s">
        <v>155</v>
      </c>
      <c r="J6" s="27"/>
      <c r="K6" s="27" t="s">
        <v>100</v>
      </c>
      <c r="L6" s="27" t="s">
        <v>155</v>
      </c>
      <c r="M6" s="59" t="s">
        <v>290</v>
      </c>
    </row>
    <row r="7" spans="1:13" x14ac:dyDescent="0.35">
      <c r="A7" s="27">
        <v>2018</v>
      </c>
      <c r="B7" s="27" t="s">
        <v>113</v>
      </c>
      <c r="C7" s="27" t="s">
        <v>156</v>
      </c>
      <c r="D7" s="27"/>
      <c r="E7" s="27"/>
      <c r="G7" s="27" t="s">
        <v>156</v>
      </c>
      <c r="H7" s="27" t="s">
        <v>113</v>
      </c>
      <c r="I7" s="27" t="s">
        <v>156</v>
      </c>
      <c r="J7" s="27"/>
      <c r="K7" s="27" t="s">
        <v>113</v>
      </c>
      <c r="L7" s="27" t="s">
        <v>156</v>
      </c>
      <c r="M7" s="59" t="s">
        <v>291</v>
      </c>
    </row>
    <row r="8" spans="1:13" x14ac:dyDescent="0.35">
      <c r="A8" s="27">
        <v>2018</v>
      </c>
      <c r="B8" s="27" t="s">
        <v>45</v>
      </c>
      <c r="C8" s="27" t="s">
        <v>157</v>
      </c>
      <c r="D8" s="27"/>
      <c r="E8" s="27"/>
      <c r="G8" s="27" t="s">
        <v>157</v>
      </c>
      <c r="H8" s="27" t="s">
        <v>45</v>
      </c>
      <c r="I8" s="27" t="s">
        <v>157</v>
      </c>
      <c r="J8" s="27"/>
      <c r="K8" s="27" t="s">
        <v>45</v>
      </c>
      <c r="L8" s="27" t="s">
        <v>157</v>
      </c>
      <c r="M8" s="59" t="s">
        <v>289</v>
      </c>
    </row>
    <row r="9" spans="1:13" x14ac:dyDescent="0.35">
      <c r="A9" s="27">
        <v>2018</v>
      </c>
      <c r="B9" s="27" t="s">
        <v>44</v>
      </c>
      <c r="C9" s="27" t="s">
        <v>158</v>
      </c>
      <c r="D9" s="27"/>
      <c r="E9" s="27"/>
      <c r="G9" s="27" t="s">
        <v>158</v>
      </c>
      <c r="H9" s="27" t="s">
        <v>44</v>
      </c>
      <c r="I9" s="27" t="s">
        <v>158</v>
      </c>
      <c r="J9" s="27"/>
      <c r="K9" s="27" t="s">
        <v>44</v>
      </c>
      <c r="L9" s="27" t="s">
        <v>158</v>
      </c>
      <c r="M9" s="59" t="s">
        <v>289</v>
      </c>
    </row>
    <row r="10" spans="1:13" x14ac:dyDescent="0.35">
      <c r="A10" s="27">
        <v>2018</v>
      </c>
      <c r="B10" s="27" t="s">
        <v>43</v>
      </c>
      <c r="C10" s="27" t="s">
        <v>159</v>
      </c>
      <c r="D10" s="27"/>
      <c r="E10" s="27"/>
      <c r="G10" s="27" t="s">
        <v>159</v>
      </c>
      <c r="H10" s="27" t="s">
        <v>43</v>
      </c>
      <c r="I10" s="27" t="s">
        <v>159</v>
      </c>
      <c r="J10" s="27"/>
      <c r="K10" s="27" t="s">
        <v>43</v>
      </c>
      <c r="L10" s="27" t="s">
        <v>159</v>
      </c>
      <c r="M10" s="59" t="s">
        <v>292</v>
      </c>
    </row>
    <row r="11" spans="1:13" x14ac:dyDescent="0.35">
      <c r="A11" s="27">
        <v>2018</v>
      </c>
      <c r="B11" t="s">
        <v>42</v>
      </c>
      <c r="C11" s="27" t="s">
        <v>160</v>
      </c>
      <c r="D11" s="27"/>
      <c r="E11" s="27"/>
      <c r="G11" s="27" t="s">
        <v>160</v>
      </c>
      <c r="H11" t="s">
        <v>42</v>
      </c>
      <c r="I11" s="27" t="s">
        <v>160</v>
      </c>
      <c r="J11" s="27"/>
      <c r="K11" t="s">
        <v>42</v>
      </c>
      <c r="L11" s="27" t="s">
        <v>160</v>
      </c>
      <c r="M11" s="59" t="s">
        <v>293</v>
      </c>
    </row>
    <row r="12" spans="1:13" x14ac:dyDescent="0.35">
      <c r="A12" s="27">
        <v>2018</v>
      </c>
      <c r="B12" s="27" t="s">
        <v>41</v>
      </c>
      <c r="C12" s="27" t="s">
        <v>161</v>
      </c>
      <c r="D12" s="27"/>
      <c r="E12" s="27"/>
      <c r="G12" s="27" t="s">
        <v>161</v>
      </c>
      <c r="H12" s="27" t="s">
        <v>41</v>
      </c>
      <c r="I12" s="27" t="s">
        <v>161</v>
      </c>
      <c r="J12" s="27"/>
      <c r="K12" s="27" t="s">
        <v>41</v>
      </c>
      <c r="L12" s="27" t="s">
        <v>161</v>
      </c>
      <c r="M12" s="59" t="s">
        <v>289</v>
      </c>
    </row>
    <row r="13" spans="1:13" x14ac:dyDescent="0.35">
      <c r="A13" s="27">
        <v>2018</v>
      </c>
      <c r="B13" s="27" t="s">
        <v>88</v>
      </c>
      <c r="C13" s="27" t="s">
        <v>162</v>
      </c>
      <c r="D13" s="27"/>
      <c r="E13" s="27"/>
      <c r="G13" s="27" t="s">
        <v>162</v>
      </c>
      <c r="H13" s="27" t="s">
        <v>88</v>
      </c>
      <c r="I13" s="27" t="s">
        <v>162</v>
      </c>
      <c r="J13" s="27"/>
      <c r="K13" s="27" t="s">
        <v>88</v>
      </c>
      <c r="L13" s="27" t="s">
        <v>162</v>
      </c>
      <c r="M13" s="59" t="s">
        <v>289</v>
      </c>
    </row>
    <row r="14" spans="1:13" x14ac:dyDescent="0.35">
      <c r="A14" s="27">
        <v>2018</v>
      </c>
      <c r="B14" s="27" t="s">
        <v>89</v>
      </c>
      <c r="C14" s="27" t="s">
        <v>163</v>
      </c>
      <c r="D14" s="27"/>
      <c r="E14" s="27"/>
      <c r="G14" s="27" t="s">
        <v>163</v>
      </c>
      <c r="H14" s="27" t="s">
        <v>89</v>
      </c>
      <c r="I14" s="27" t="s">
        <v>163</v>
      </c>
      <c r="J14" s="27"/>
      <c r="K14" s="27" t="s">
        <v>89</v>
      </c>
      <c r="L14" s="27" t="s">
        <v>163</v>
      </c>
      <c r="M14" s="59" t="s">
        <v>289</v>
      </c>
    </row>
    <row r="15" spans="1:13" x14ac:dyDescent="0.35">
      <c r="A15" s="27">
        <v>2018</v>
      </c>
      <c r="B15" s="27" t="s">
        <v>90</v>
      </c>
      <c r="C15" s="27" t="s">
        <v>164</v>
      </c>
      <c r="D15" s="27"/>
      <c r="E15" s="27"/>
      <c r="G15" s="27" t="s">
        <v>164</v>
      </c>
      <c r="H15" s="27" t="s">
        <v>90</v>
      </c>
      <c r="I15" s="27" t="s">
        <v>164</v>
      </c>
      <c r="J15" s="27"/>
      <c r="K15" s="27" t="s">
        <v>90</v>
      </c>
      <c r="L15" s="27" t="s">
        <v>164</v>
      </c>
      <c r="M15" s="59" t="s">
        <v>289</v>
      </c>
    </row>
    <row r="16" spans="1:13" x14ac:dyDescent="0.35">
      <c r="A16" s="27">
        <v>2018</v>
      </c>
      <c r="B16" s="27" t="s">
        <v>91</v>
      </c>
      <c r="C16" s="27" t="s">
        <v>165</v>
      </c>
      <c r="D16" s="27"/>
      <c r="E16" s="27"/>
      <c r="G16" s="27" t="s">
        <v>165</v>
      </c>
      <c r="H16" s="27" t="s">
        <v>91</v>
      </c>
      <c r="I16" s="27" t="s">
        <v>165</v>
      </c>
      <c r="J16" s="27"/>
      <c r="K16" s="27" t="s">
        <v>91</v>
      </c>
      <c r="L16" s="27" t="s">
        <v>165</v>
      </c>
      <c r="M16" s="59" t="s">
        <v>289</v>
      </c>
    </row>
    <row r="17" spans="1:13" x14ac:dyDescent="0.35">
      <c r="A17" s="27">
        <v>2018</v>
      </c>
      <c r="B17" t="s">
        <v>96</v>
      </c>
      <c r="C17" s="27" t="s">
        <v>166</v>
      </c>
      <c r="D17" s="27"/>
      <c r="E17" s="27"/>
      <c r="G17" s="27" t="s">
        <v>166</v>
      </c>
      <c r="H17" t="s">
        <v>96</v>
      </c>
      <c r="I17" s="27" t="s">
        <v>166</v>
      </c>
      <c r="J17" s="27"/>
      <c r="K17" t="s">
        <v>96</v>
      </c>
      <c r="L17" s="27" t="s">
        <v>166</v>
      </c>
      <c r="M17" s="59" t="s">
        <v>289</v>
      </c>
    </row>
    <row r="18" spans="1:13" x14ac:dyDescent="0.35">
      <c r="A18" s="27">
        <v>2018</v>
      </c>
      <c r="B18" t="s">
        <v>93</v>
      </c>
      <c r="C18" s="27" t="s">
        <v>167</v>
      </c>
      <c r="D18" s="27"/>
      <c r="E18" s="27"/>
      <c r="G18" s="27" t="s">
        <v>167</v>
      </c>
      <c r="H18" t="s">
        <v>93</v>
      </c>
      <c r="I18" s="27" t="s">
        <v>167</v>
      </c>
      <c r="J18" s="27"/>
      <c r="K18" t="s">
        <v>93</v>
      </c>
      <c r="L18" s="27" t="s">
        <v>167</v>
      </c>
      <c r="M18" s="59" t="s">
        <v>289</v>
      </c>
    </row>
    <row r="19" spans="1:13" x14ac:dyDescent="0.35">
      <c r="A19" s="27">
        <v>2018</v>
      </c>
      <c r="B19" s="27" t="s">
        <v>92</v>
      </c>
      <c r="C19" s="27" t="s">
        <v>168</v>
      </c>
      <c r="D19" s="27"/>
      <c r="E19" s="27"/>
      <c r="G19" s="27" t="s">
        <v>168</v>
      </c>
      <c r="H19" s="27" t="s">
        <v>92</v>
      </c>
      <c r="I19" s="27" t="s">
        <v>168</v>
      </c>
      <c r="J19" s="27"/>
      <c r="K19" s="27" t="s">
        <v>92</v>
      </c>
      <c r="L19" s="27" t="s">
        <v>168</v>
      </c>
      <c r="M19" s="59" t="s">
        <v>289</v>
      </c>
    </row>
    <row r="20" spans="1:13" x14ac:dyDescent="0.35">
      <c r="A20" s="27">
        <v>2018</v>
      </c>
      <c r="B20" s="27" t="s">
        <v>94</v>
      </c>
      <c r="C20" s="27" t="s">
        <v>169</v>
      </c>
      <c r="D20" s="27"/>
      <c r="E20" s="27"/>
      <c r="G20" s="27" t="s">
        <v>169</v>
      </c>
      <c r="H20" s="27" t="s">
        <v>94</v>
      </c>
      <c r="I20" s="27" t="s">
        <v>169</v>
      </c>
      <c r="J20" s="27"/>
      <c r="K20" s="27" t="s">
        <v>94</v>
      </c>
      <c r="L20" s="27" t="s">
        <v>169</v>
      </c>
      <c r="M20" s="59" t="s">
        <v>289</v>
      </c>
    </row>
    <row r="21" spans="1:13" x14ac:dyDescent="0.35">
      <c r="A21" s="27">
        <v>2018</v>
      </c>
      <c r="B21" s="27" t="s">
        <v>98</v>
      </c>
      <c r="C21" s="27" t="s">
        <v>170</v>
      </c>
      <c r="D21" s="27"/>
      <c r="E21" s="27"/>
      <c r="G21" s="27" t="s">
        <v>170</v>
      </c>
      <c r="H21" s="27" t="s">
        <v>98</v>
      </c>
      <c r="I21" s="27" t="s">
        <v>170</v>
      </c>
      <c r="J21" s="27"/>
      <c r="K21" s="27" t="s">
        <v>98</v>
      </c>
      <c r="L21" s="27" t="s">
        <v>170</v>
      </c>
      <c r="M21" s="59" t="s">
        <v>289</v>
      </c>
    </row>
    <row r="22" spans="1:13" x14ac:dyDescent="0.35">
      <c r="A22" s="27">
        <v>2018</v>
      </c>
      <c r="B22" s="27" t="s">
        <v>101</v>
      </c>
      <c r="C22" s="27" t="s">
        <v>171</v>
      </c>
      <c r="D22" s="27"/>
      <c r="E22" s="27"/>
      <c r="G22" s="27" t="s">
        <v>171</v>
      </c>
      <c r="H22" s="27" t="s">
        <v>101</v>
      </c>
      <c r="I22" s="27" t="s">
        <v>171</v>
      </c>
      <c r="J22" s="27"/>
      <c r="K22" s="27" t="s">
        <v>101</v>
      </c>
      <c r="L22" s="27" t="s">
        <v>171</v>
      </c>
      <c r="M22" s="59" t="s">
        <v>289</v>
      </c>
    </row>
    <row r="23" spans="1:13" x14ac:dyDescent="0.35">
      <c r="A23" s="27">
        <v>2018</v>
      </c>
      <c r="B23" s="27" t="s">
        <v>102</v>
      </c>
      <c r="C23" s="27" t="s">
        <v>172</v>
      </c>
      <c r="D23" s="27"/>
      <c r="E23" s="27"/>
      <c r="G23" s="27" t="s">
        <v>172</v>
      </c>
      <c r="H23" s="27" t="s">
        <v>102</v>
      </c>
      <c r="I23" s="27" t="s">
        <v>172</v>
      </c>
      <c r="J23" s="27"/>
      <c r="K23" s="27" t="s">
        <v>102</v>
      </c>
      <c r="L23" s="27" t="s">
        <v>172</v>
      </c>
      <c r="M23" s="59" t="s">
        <v>292</v>
      </c>
    </row>
    <row r="24" spans="1:13" x14ac:dyDescent="0.35">
      <c r="A24" s="27">
        <v>2018</v>
      </c>
      <c r="B24" s="27" t="s">
        <v>103</v>
      </c>
      <c r="C24" s="27" t="s">
        <v>173</v>
      </c>
      <c r="D24" s="27"/>
      <c r="E24" s="27"/>
      <c r="G24" s="27" t="s">
        <v>173</v>
      </c>
      <c r="H24" s="27" t="s">
        <v>103</v>
      </c>
      <c r="I24" s="27" t="s">
        <v>173</v>
      </c>
      <c r="J24" s="27"/>
      <c r="K24" s="27" t="s">
        <v>103</v>
      </c>
      <c r="L24" s="27" t="s">
        <v>173</v>
      </c>
      <c r="M24" s="59" t="s">
        <v>289</v>
      </c>
    </row>
    <row r="25" spans="1:13" x14ac:dyDescent="0.35">
      <c r="A25" s="27">
        <v>2018</v>
      </c>
      <c r="B25" s="27" t="s">
        <v>104</v>
      </c>
      <c r="C25" s="27" t="s">
        <v>174</v>
      </c>
      <c r="D25" s="27"/>
      <c r="E25" s="27"/>
      <c r="G25" s="27" t="s">
        <v>174</v>
      </c>
      <c r="H25" s="27" t="s">
        <v>104</v>
      </c>
      <c r="I25" s="27" t="s">
        <v>174</v>
      </c>
      <c r="J25" s="27"/>
      <c r="K25" s="27" t="s">
        <v>104</v>
      </c>
      <c r="L25" s="27" t="s">
        <v>174</v>
      </c>
      <c r="M25" s="59" t="s">
        <v>289</v>
      </c>
    </row>
    <row r="26" spans="1:13" x14ac:dyDescent="0.35">
      <c r="A26" s="27">
        <v>2018</v>
      </c>
      <c r="B26" s="27" t="s">
        <v>105</v>
      </c>
      <c r="C26" s="27" t="s">
        <v>175</v>
      </c>
      <c r="D26" s="27"/>
      <c r="E26" s="27"/>
      <c r="G26" s="27" t="s">
        <v>175</v>
      </c>
      <c r="H26" s="27" t="s">
        <v>105</v>
      </c>
      <c r="I26" s="27" t="s">
        <v>175</v>
      </c>
      <c r="J26" s="27"/>
      <c r="K26" s="27" t="s">
        <v>105</v>
      </c>
      <c r="L26" s="27" t="s">
        <v>175</v>
      </c>
      <c r="M26" s="59" t="s">
        <v>292</v>
      </c>
    </row>
    <row r="27" spans="1:13" x14ac:dyDescent="0.35">
      <c r="A27" s="27">
        <v>2018</v>
      </c>
      <c r="B27" s="27" t="s">
        <v>106</v>
      </c>
      <c r="C27" s="27" t="s">
        <v>176</v>
      </c>
      <c r="D27" s="27"/>
      <c r="E27" s="27"/>
      <c r="G27" s="27" t="s">
        <v>176</v>
      </c>
      <c r="H27" s="27" t="s">
        <v>106</v>
      </c>
      <c r="I27" s="27" t="s">
        <v>176</v>
      </c>
      <c r="J27" s="27"/>
      <c r="K27" s="27" t="s">
        <v>106</v>
      </c>
      <c r="L27" s="27" t="s">
        <v>176</v>
      </c>
      <c r="M27" s="59" t="s">
        <v>289</v>
      </c>
    </row>
    <row r="28" spans="1:13" x14ac:dyDescent="0.35">
      <c r="A28" s="27">
        <v>2018</v>
      </c>
      <c r="B28" s="27" t="s">
        <v>107</v>
      </c>
      <c r="C28" s="27" t="s">
        <v>177</v>
      </c>
      <c r="D28" s="27"/>
      <c r="E28" s="27"/>
      <c r="G28" s="27" t="s">
        <v>177</v>
      </c>
      <c r="H28" s="27" t="s">
        <v>107</v>
      </c>
      <c r="I28" s="27" t="s">
        <v>177</v>
      </c>
      <c r="J28" s="27"/>
      <c r="K28" s="27" t="s">
        <v>107</v>
      </c>
      <c r="L28" s="27" t="s">
        <v>177</v>
      </c>
      <c r="M28" s="59" t="s">
        <v>289</v>
      </c>
    </row>
    <row r="29" spans="1:13" x14ac:dyDescent="0.35">
      <c r="A29" s="27">
        <v>2018</v>
      </c>
      <c r="B29" s="27" t="s">
        <v>108</v>
      </c>
      <c r="C29" s="27" t="s">
        <v>178</v>
      </c>
      <c r="D29" s="27"/>
      <c r="E29" s="27"/>
      <c r="G29" s="27" t="s">
        <v>178</v>
      </c>
      <c r="H29" s="27" t="s">
        <v>108</v>
      </c>
      <c r="I29" s="27" t="s">
        <v>178</v>
      </c>
      <c r="J29" s="27"/>
      <c r="K29" s="27" t="s">
        <v>108</v>
      </c>
      <c r="L29" s="27" t="s">
        <v>178</v>
      </c>
      <c r="M29" s="59" t="s">
        <v>289</v>
      </c>
    </row>
    <row r="30" spans="1:13" x14ac:dyDescent="0.35">
      <c r="A30" s="27">
        <v>2018</v>
      </c>
      <c r="B30" s="27" t="s">
        <v>109</v>
      </c>
      <c r="C30" s="27" t="s">
        <v>179</v>
      </c>
      <c r="D30" s="27"/>
      <c r="E30" s="27"/>
      <c r="G30" s="27" t="s">
        <v>179</v>
      </c>
      <c r="H30" s="27" t="s">
        <v>109</v>
      </c>
      <c r="I30" s="27" t="s">
        <v>179</v>
      </c>
      <c r="J30" s="27"/>
      <c r="K30" s="27" t="s">
        <v>109</v>
      </c>
      <c r="L30" s="27" t="s">
        <v>179</v>
      </c>
      <c r="M30" s="59" t="s">
        <v>292</v>
      </c>
    </row>
    <row r="31" spans="1:13" x14ac:dyDescent="0.35">
      <c r="A31" s="27">
        <v>2018</v>
      </c>
      <c r="B31" s="27" t="s">
        <v>110</v>
      </c>
      <c r="C31" s="27" t="s">
        <v>180</v>
      </c>
      <c r="D31" s="27"/>
      <c r="E31" s="27"/>
      <c r="G31" s="27" t="s">
        <v>180</v>
      </c>
      <c r="H31" s="27" t="s">
        <v>110</v>
      </c>
      <c r="I31" s="27" t="s">
        <v>180</v>
      </c>
      <c r="J31" s="27"/>
      <c r="K31" s="27" t="s">
        <v>110</v>
      </c>
      <c r="L31" s="27" t="s">
        <v>180</v>
      </c>
      <c r="M31" s="59" t="s">
        <v>289</v>
      </c>
    </row>
    <row r="32" spans="1:13" x14ac:dyDescent="0.35">
      <c r="A32" s="27">
        <v>2018</v>
      </c>
      <c r="B32" s="27" t="s">
        <v>111</v>
      </c>
      <c r="C32" s="27" t="s">
        <v>181</v>
      </c>
      <c r="D32" s="27"/>
      <c r="E32" s="27"/>
      <c r="G32" s="27" t="s">
        <v>181</v>
      </c>
      <c r="H32" s="27" t="s">
        <v>111</v>
      </c>
      <c r="I32" s="27" t="s">
        <v>181</v>
      </c>
      <c r="J32" s="27"/>
      <c r="K32" s="27" t="s">
        <v>111</v>
      </c>
      <c r="L32" s="27" t="s">
        <v>181</v>
      </c>
      <c r="M32" s="59" t="s">
        <v>292</v>
      </c>
    </row>
    <row r="33" spans="1:13" x14ac:dyDescent="0.35">
      <c r="A33" s="27">
        <v>2018</v>
      </c>
      <c r="B33" s="27" t="s">
        <v>112</v>
      </c>
      <c r="C33" s="27" t="s">
        <v>182</v>
      </c>
      <c r="D33" s="27"/>
      <c r="E33" s="27"/>
      <c r="G33" s="27" t="s">
        <v>182</v>
      </c>
      <c r="H33" s="27" t="s">
        <v>112</v>
      </c>
      <c r="I33" s="27" t="s">
        <v>182</v>
      </c>
      <c r="J33" s="27"/>
      <c r="K33" s="27" t="s">
        <v>112</v>
      </c>
      <c r="L33" s="27" t="s">
        <v>182</v>
      </c>
      <c r="M33" s="59" t="s">
        <v>289</v>
      </c>
    </row>
    <row r="34" spans="1:13" x14ac:dyDescent="0.35">
      <c r="A34" s="27">
        <v>2018</v>
      </c>
      <c r="B34" s="27" t="s">
        <v>114</v>
      </c>
      <c r="C34" s="27" t="s">
        <v>183</v>
      </c>
      <c r="D34" s="27"/>
      <c r="E34" s="27"/>
      <c r="G34" s="27" t="s">
        <v>183</v>
      </c>
      <c r="H34" s="27" t="s">
        <v>114</v>
      </c>
      <c r="I34" s="27" t="s">
        <v>183</v>
      </c>
      <c r="J34" s="27"/>
      <c r="K34" s="27" t="s">
        <v>114</v>
      </c>
      <c r="L34" s="27" t="s">
        <v>183</v>
      </c>
      <c r="M34" s="59" t="s">
        <v>296</v>
      </c>
    </row>
    <row r="35" spans="1:13" x14ac:dyDescent="0.35">
      <c r="A35" s="27">
        <v>2018</v>
      </c>
      <c r="B35" s="27" t="s">
        <v>115</v>
      </c>
      <c r="C35" s="27" t="s">
        <v>184</v>
      </c>
      <c r="D35" s="27"/>
      <c r="E35" s="27"/>
      <c r="G35" s="27" t="s">
        <v>184</v>
      </c>
      <c r="H35" s="27" t="s">
        <v>115</v>
      </c>
      <c r="I35" s="27" t="s">
        <v>184</v>
      </c>
      <c r="J35" s="27"/>
      <c r="K35" s="27" t="s">
        <v>115</v>
      </c>
      <c r="L35" s="27" t="s">
        <v>184</v>
      </c>
      <c r="M35" s="59" t="s">
        <v>289</v>
      </c>
    </row>
    <row r="36" spans="1:13" x14ac:dyDescent="0.35">
      <c r="A36" s="27">
        <v>2018</v>
      </c>
      <c r="B36" s="27" t="s">
        <v>116</v>
      </c>
      <c r="C36" s="27" t="s">
        <v>185</v>
      </c>
      <c r="D36" s="27"/>
      <c r="E36" s="27"/>
      <c r="G36" s="27" t="s">
        <v>185</v>
      </c>
      <c r="H36" s="27" t="s">
        <v>116</v>
      </c>
      <c r="I36" s="27" t="s">
        <v>185</v>
      </c>
      <c r="J36" s="27"/>
      <c r="K36" s="27" t="s">
        <v>116</v>
      </c>
      <c r="L36" s="27" t="s">
        <v>185</v>
      </c>
      <c r="M36" s="59" t="s">
        <v>289</v>
      </c>
    </row>
    <row r="37" spans="1:13" x14ac:dyDescent="0.35">
      <c r="A37" s="27">
        <v>2018</v>
      </c>
      <c r="B37" s="27" t="s">
        <v>117</v>
      </c>
      <c r="C37" s="27" t="s">
        <v>186</v>
      </c>
      <c r="D37" s="27"/>
      <c r="E37" s="27"/>
      <c r="G37" s="27" t="s">
        <v>186</v>
      </c>
      <c r="H37" s="27" t="s">
        <v>117</v>
      </c>
      <c r="I37" s="27" t="s">
        <v>186</v>
      </c>
      <c r="J37" s="27"/>
      <c r="K37" s="27" t="s">
        <v>117</v>
      </c>
      <c r="L37" s="27" t="s">
        <v>186</v>
      </c>
      <c r="M37" s="59" t="s">
        <v>296</v>
      </c>
    </row>
    <row r="38" spans="1:13" x14ac:dyDescent="0.35">
      <c r="A38" s="27">
        <v>2018</v>
      </c>
      <c r="B38" s="27" t="s">
        <v>118</v>
      </c>
      <c r="C38" s="27" t="s">
        <v>187</v>
      </c>
      <c r="D38" s="27"/>
      <c r="E38" s="27"/>
      <c r="G38" s="27" t="s">
        <v>187</v>
      </c>
      <c r="H38" s="27" t="s">
        <v>118</v>
      </c>
      <c r="I38" s="27" t="s">
        <v>187</v>
      </c>
      <c r="J38" s="27"/>
      <c r="K38" s="27" t="s">
        <v>118</v>
      </c>
      <c r="L38" s="27" t="s">
        <v>187</v>
      </c>
      <c r="M38" s="59" t="s">
        <v>295</v>
      </c>
    </row>
    <row r="39" spans="1:13" x14ac:dyDescent="0.35">
      <c r="A39" s="27">
        <v>2018</v>
      </c>
      <c r="B39" s="27" t="s">
        <v>119</v>
      </c>
      <c r="C39" s="27" t="s">
        <v>188</v>
      </c>
      <c r="D39" s="27"/>
      <c r="E39" s="27"/>
      <c r="G39" s="27" t="s">
        <v>188</v>
      </c>
      <c r="H39" s="27" t="s">
        <v>119</v>
      </c>
      <c r="I39" s="27" t="s">
        <v>188</v>
      </c>
      <c r="J39" s="27"/>
      <c r="K39" s="27" t="s">
        <v>119</v>
      </c>
      <c r="L39" s="27" t="s">
        <v>188</v>
      </c>
      <c r="M39" s="59" t="s">
        <v>289</v>
      </c>
    </row>
    <row r="40" spans="1:13" x14ac:dyDescent="0.35">
      <c r="A40" s="27">
        <v>2018</v>
      </c>
      <c r="B40" t="s">
        <v>95</v>
      </c>
      <c r="C40" s="27" t="s">
        <v>189</v>
      </c>
      <c r="D40" s="27"/>
      <c r="E40" s="27"/>
      <c r="G40" s="27" t="s">
        <v>189</v>
      </c>
      <c r="H40" t="s">
        <v>95</v>
      </c>
      <c r="I40" s="27" t="s">
        <v>189</v>
      </c>
      <c r="J40" s="27"/>
      <c r="K40" t="s">
        <v>95</v>
      </c>
      <c r="L40" s="27" t="s">
        <v>189</v>
      </c>
      <c r="M40" s="59" t="s">
        <v>289</v>
      </c>
    </row>
    <row r="41" spans="1:13" x14ac:dyDescent="0.35">
      <c r="A41" s="27">
        <v>2018</v>
      </c>
      <c r="B41" s="27" t="s">
        <v>39</v>
      </c>
      <c r="C41" s="27" t="s">
        <v>190</v>
      </c>
      <c r="D41" s="27"/>
      <c r="E41" s="27"/>
      <c r="G41" s="27" t="s">
        <v>190</v>
      </c>
      <c r="H41" s="27" t="s">
        <v>39</v>
      </c>
      <c r="I41" s="27" t="s">
        <v>190</v>
      </c>
      <c r="J41" s="27"/>
      <c r="K41" s="27" t="s">
        <v>39</v>
      </c>
      <c r="L41" s="27" t="s">
        <v>190</v>
      </c>
      <c r="M41" s="59" t="s">
        <v>289</v>
      </c>
    </row>
    <row r="42" spans="1:13" x14ac:dyDescent="0.35">
      <c r="A42" s="27">
        <v>2018</v>
      </c>
      <c r="B42" s="27" t="s">
        <v>121</v>
      </c>
      <c r="C42" s="27" t="s">
        <v>191</v>
      </c>
      <c r="D42" s="27"/>
      <c r="E42" s="27"/>
      <c r="G42" s="27" t="s">
        <v>191</v>
      </c>
      <c r="H42" s="27" t="s">
        <v>121</v>
      </c>
      <c r="I42" s="27" t="s">
        <v>191</v>
      </c>
      <c r="J42" s="27"/>
      <c r="K42" s="27" t="s">
        <v>121</v>
      </c>
      <c r="L42" s="27" t="s">
        <v>191</v>
      </c>
      <c r="M42" s="59" t="s">
        <v>292</v>
      </c>
    </row>
    <row r="43" spans="1:13" x14ac:dyDescent="0.35">
      <c r="A43" s="27">
        <v>2018</v>
      </c>
      <c r="B43" s="27" t="s">
        <v>122</v>
      </c>
      <c r="C43" s="27" t="s">
        <v>192</v>
      </c>
      <c r="D43" s="27"/>
      <c r="E43" s="27"/>
      <c r="G43" s="27" t="s">
        <v>192</v>
      </c>
      <c r="H43" s="27" t="s">
        <v>122</v>
      </c>
      <c r="I43" s="27" t="s">
        <v>192</v>
      </c>
      <c r="J43" s="27"/>
      <c r="K43" s="27" t="s">
        <v>122</v>
      </c>
      <c r="L43" s="27" t="s">
        <v>192</v>
      </c>
      <c r="M43" s="59" t="s">
        <v>292</v>
      </c>
    </row>
    <row r="44" spans="1:13" x14ac:dyDescent="0.35">
      <c r="A44" s="27">
        <v>2018</v>
      </c>
      <c r="B44" s="27" t="s">
        <v>123</v>
      </c>
      <c r="C44" s="27" t="s">
        <v>193</v>
      </c>
      <c r="D44" s="27"/>
      <c r="E44" s="27"/>
      <c r="G44" s="27" t="s">
        <v>193</v>
      </c>
      <c r="H44" s="27" t="s">
        <v>123</v>
      </c>
      <c r="I44" s="27" t="s">
        <v>193</v>
      </c>
      <c r="J44" s="27"/>
      <c r="K44" s="27" t="s">
        <v>123</v>
      </c>
      <c r="L44" s="27" t="s">
        <v>193</v>
      </c>
      <c r="M44" s="59" t="s">
        <v>294</v>
      </c>
    </row>
    <row r="45" spans="1:13" x14ac:dyDescent="0.35">
      <c r="A45" s="27">
        <v>2018</v>
      </c>
      <c r="B45" s="27" t="s">
        <v>99</v>
      </c>
      <c r="C45" s="27" t="s">
        <v>194</v>
      </c>
      <c r="D45" s="27"/>
      <c r="E45" s="27"/>
      <c r="G45" s="27" t="s">
        <v>194</v>
      </c>
      <c r="H45" s="27" t="s">
        <v>99</v>
      </c>
      <c r="I45" s="27" t="s">
        <v>194</v>
      </c>
      <c r="J45" s="27"/>
      <c r="K45" s="27" t="s">
        <v>99</v>
      </c>
      <c r="L45" s="27" t="s">
        <v>194</v>
      </c>
      <c r="M45" s="59" t="s">
        <v>289</v>
      </c>
    </row>
    <row r="46" spans="1:13" x14ac:dyDescent="0.35">
      <c r="A46" s="27">
        <v>2018</v>
      </c>
      <c r="B46" s="27" t="s">
        <v>51</v>
      </c>
      <c r="C46" s="27" t="s">
        <v>195</v>
      </c>
      <c r="D46" s="27"/>
      <c r="E46" s="27"/>
      <c r="G46" s="27" t="s">
        <v>195</v>
      </c>
      <c r="H46" s="27" t="s">
        <v>51</v>
      </c>
      <c r="I46" s="27" t="s">
        <v>195</v>
      </c>
      <c r="J46" s="27"/>
      <c r="K46" s="27" t="s">
        <v>51</v>
      </c>
      <c r="L46" s="27" t="s">
        <v>195</v>
      </c>
      <c r="M46" s="59" t="s">
        <v>289</v>
      </c>
    </row>
    <row r="47" spans="1:13" x14ac:dyDescent="0.35">
      <c r="A47" s="27">
        <v>2018</v>
      </c>
      <c r="B47" s="27" t="s">
        <v>52</v>
      </c>
      <c r="C47" s="27" t="s">
        <v>196</v>
      </c>
      <c r="D47" s="27"/>
      <c r="E47" s="27"/>
      <c r="G47" s="27" t="s">
        <v>196</v>
      </c>
      <c r="H47" s="27" t="s">
        <v>52</v>
      </c>
      <c r="I47" s="27" t="s">
        <v>196</v>
      </c>
      <c r="J47" s="27"/>
      <c r="K47" s="27" t="s">
        <v>52</v>
      </c>
      <c r="L47" s="27" t="s">
        <v>196</v>
      </c>
      <c r="M47" s="59" t="s">
        <v>289</v>
      </c>
    </row>
    <row r="48" spans="1:13" x14ac:dyDescent="0.35">
      <c r="A48" s="27">
        <v>2018</v>
      </c>
      <c r="B48" t="s">
        <v>120</v>
      </c>
      <c r="C48" s="27" t="s">
        <v>197</v>
      </c>
      <c r="D48" s="27"/>
      <c r="E48" s="27"/>
      <c r="G48" s="27" t="s">
        <v>197</v>
      </c>
      <c r="H48" t="s">
        <v>120</v>
      </c>
      <c r="I48" s="27" t="s">
        <v>197</v>
      </c>
      <c r="J48" s="27"/>
      <c r="K48" t="s">
        <v>120</v>
      </c>
      <c r="L48" s="27" t="s">
        <v>197</v>
      </c>
      <c r="M48" s="59" t="s">
        <v>289</v>
      </c>
    </row>
    <row r="49" spans="7:11" x14ac:dyDescent="0.35">
      <c r="G49" s="59" t="s">
        <v>9</v>
      </c>
      <c r="H49" s="59" t="s">
        <v>9</v>
      </c>
      <c r="K49" s="59"/>
    </row>
  </sheetData>
  <autoFilter ref="M1:M48" xr:uid="{83C23B38-F25E-4496-A5DF-5AB26BA224A6}"/>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4D238-EDEF-4F51-9919-735937EBA330}">
  <sheetPr>
    <tabColor rgb="FF00B050"/>
  </sheetPr>
  <dimension ref="A3:D55"/>
  <sheetViews>
    <sheetView workbookViewId="0">
      <selection activeCell="B19" sqref="B19"/>
    </sheetView>
  </sheetViews>
  <sheetFormatPr defaultColWidth="8.81640625" defaultRowHeight="14.5" x14ac:dyDescent="0.35"/>
  <cols>
    <col min="1" max="1" width="26.36328125" bestFit="1" customWidth="1"/>
    <col min="2" max="2" width="15.26953125" bestFit="1" customWidth="1"/>
    <col min="3" max="3" width="6.26953125" bestFit="1" customWidth="1"/>
    <col min="4" max="4" width="10.7265625" bestFit="1" customWidth="1"/>
  </cols>
  <sheetData>
    <row r="3" spans="1:4" x14ac:dyDescent="0.35">
      <c r="A3" s="15" t="s">
        <v>297</v>
      </c>
      <c r="B3" s="15" t="s">
        <v>298</v>
      </c>
    </row>
    <row r="4" spans="1:4" x14ac:dyDescent="0.35">
      <c r="A4" s="15" t="s">
        <v>124</v>
      </c>
      <c r="C4" t="s">
        <v>299</v>
      </c>
      <c r="D4" t="s">
        <v>125</v>
      </c>
    </row>
    <row r="5" spans="1:4" x14ac:dyDescent="0.35">
      <c r="A5" s="16" t="s">
        <v>41</v>
      </c>
      <c r="B5">
        <v>18</v>
      </c>
      <c r="C5">
        <v>6</v>
      </c>
      <c r="D5">
        <v>24</v>
      </c>
    </row>
    <row r="6" spans="1:4" x14ac:dyDescent="0.35">
      <c r="A6" s="16" t="s">
        <v>88</v>
      </c>
      <c r="B6">
        <v>14</v>
      </c>
      <c r="C6">
        <v>10</v>
      </c>
      <c r="D6">
        <v>24</v>
      </c>
    </row>
    <row r="7" spans="1:4" x14ac:dyDescent="0.35">
      <c r="A7" s="16" t="s">
        <v>89</v>
      </c>
      <c r="B7">
        <v>23</v>
      </c>
      <c r="C7">
        <v>1</v>
      </c>
      <c r="D7">
        <v>24</v>
      </c>
    </row>
    <row r="8" spans="1:4" x14ac:dyDescent="0.35">
      <c r="A8" s="16" t="s">
        <v>90</v>
      </c>
      <c r="B8">
        <v>17</v>
      </c>
      <c r="C8">
        <v>7</v>
      </c>
      <c r="D8">
        <v>24</v>
      </c>
    </row>
    <row r="9" spans="1:4" x14ac:dyDescent="0.35">
      <c r="A9" s="16" t="s">
        <v>1</v>
      </c>
      <c r="B9">
        <v>16</v>
      </c>
      <c r="C9">
        <v>8</v>
      </c>
      <c r="D9">
        <v>24</v>
      </c>
    </row>
    <row r="10" spans="1:4" x14ac:dyDescent="0.35">
      <c r="A10" s="16" t="s">
        <v>91</v>
      </c>
      <c r="B10">
        <v>21</v>
      </c>
      <c r="C10">
        <v>3</v>
      </c>
      <c r="D10">
        <v>24</v>
      </c>
    </row>
    <row r="11" spans="1:4" x14ac:dyDescent="0.35">
      <c r="A11" s="16" t="s">
        <v>92</v>
      </c>
      <c r="B11">
        <v>19</v>
      </c>
      <c r="C11">
        <v>5</v>
      </c>
      <c r="D11">
        <v>24</v>
      </c>
    </row>
    <row r="12" spans="1:4" x14ac:dyDescent="0.35">
      <c r="A12" s="16" t="s">
        <v>93</v>
      </c>
      <c r="B12">
        <v>18</v>
      </c>
      <c r="C12">
        <v>6</v>
      </c>
      <c r="D12">
        <v>24</v>
      </c>
    </row>
    <row r="13" spans="1:4" x14ac:dyDescent="0.35">
      <c r="A13" s="16" t="s">
        <v>2</v>
      </c>
      <c r="B13">
        <v>20</v>
      </c>
      <c r="C13">
        <v>4</v>
      </c>
      <c r="D13">
        <v>24</v>
      </c>
    </row>
    <row r="14" spans="1:4" x14ac:dyDescent="0.35">
      <c r="A14" s="16" t="s">
        <v>94</v>
      </c>
      <c r="B14">
        <v>18</v>
      </c>
      <c r="C14">
        <v>6</v>
      </c>
      <c r="D14">
        <v>24</v>
      </c>
    </row>
    <row r="15" spans="1:4" x14ac:dyDescent="0.35">
      <c r="A15" s="16" t="s">
        <v>52</v>
      </c>
      <c r="B15">
        <v>21</v>
      </c>
      <c r="C15">
        <v>3</v>
      </c>
      <c r="D15">
        <v>24</v>
      </c>
    </row>
    <row r="16" spans="1:4" x14ac:dyDescent="0.35">
      <c r="A16" s="16" t="s">
        <v>95</v>
      </c>
      <c r="B16">
        <v>24</v>
      </c>
      <c r="D16">
        <v>24</v>
      </c>
    </row>
    <row r="17" spans="1:4" x14ac:dyDescent="0.35">
      <c r="A17" s="16" t="s">
        <v>96</v>
      </c>
      <c r="B17">
        <v>16</v>
      </c>
      <c r="C17">
        <v>8</v>
      </c>
      <c r="D17">
        <v>24</v>
      </c>
    </row>
    <row r="18" spans="1:4" x14ac:dyDescent="0.35">
      <c r="A18" s="16" t="s">
        <v>97</v>
      </c>
      <c r="B18">
        <v>20</v>
      </c>
      <c r="C18">
        <v>4</v>
      </c>
      <c r="D18">
        <v>24</v>
      </c>
    </row>
    <row r="19" spans="1:4" x14ac:dyDescent="0.35">
      <c r="A19" s="16" t="s">
        <v>98</v>
      </c>
      <c r="B19">
        <v>23</v>
      </c>
      <c r="C19">
        <v>1</v>
      </c>
      <c r="D19">
        <v>24</v>
      </c>
    </row>
    <row r="20" spans="1:4" x14ac:dyDescent="0.35">
      <c r="A20" s="16" t="s">
        <v>99</v>
      </c>
      <c r="B20">
        <v>19</v>
      </c>
      <c r="C20">
        <v>5</v>
      </c>
      <c r="D20">
        <v>24</v>
      </c>
    </row>
    <row r="21" spans="1:4" x14ac:dyDescent="0.35">
      <c r="A21" s="16" t="s">
        <v>43</v>
      </c>
      <c r="B21">
        <v>14</v>
      </c>
      <c r="C21">
        <v>10</v>
      </c>
      <c r="D21">
        <v>24</v>
      </c>
    </row>
    <row r="22" spans="1:4" x14ac:dyDescent="0.35">
      <c r="A22" s="16" t="s">
        <v>100</v>
      </c>
      <c r="B22">
        <v>21</v>
      </c>
      <c r="C22">
        <v>3</v>
      </c>
      <c r="D22">
        <v>24</v>
      </c>
    </row>
    <row r="23" spans="1:4" x14ac:dyDescent="0.35">
      <c r="A23" s="16" t="s">
        <v>45</v>
      </c>
      <c r="B23">
        <v>12</v>
      </c>
      <c r="C23">
        <v>12</v>
      </c>
      <c r="D23">
        <v>24</v>
      </c>
    </row>
    <row r="24" spans="1:4" x14ac:dyDescent="0.35">
      <c r="A24" s="16" t="s">
        <v>101</v>
      </c>
      <c r="B24">
        <v>21</v>
      </c>
      <c r="C24">
        <v>3</v>
      </c>
      <c r="D24">
        <v>24</v>
      </c>
    </row>
    <row r="25" spans="1:4" x14ac:dyDescent="0.35">
      <c r="A25" s="16" t="s">
        <v>102</v>
      </c>
      <c r="B25">
        <v>19</v>
      </c>
      <c r="C25">
        <v>5</v>
      </c>
      <c r="D25">
        <v>24</v>
      </c>
    </row>
    <row r="26" spans="1:4" x14ac:dyDescent="0.35">
      <c r="A26" s="16" t="s">
        <v>103</v>
      </c>
      <c r="B26">
        <v>21</v>
      </c>
      <c r="C26">
        <v>3</v>
      </c>
      <c r="D26">
        <v>24</v>
      </c>
    </row>
    <row r="27" spans="1:4" x14ac:dyDescent="0.35">
      <c r="A27" s="16" t="s">
        <v>104</v>
      </c>
      <c r="B27">
        <v>15</v>
      </c>
      <c r="C27">
        <v>9</v>
      </c>
      <c r="D27">
        <v>24</v>
      </c>
    </row>
    <row r="28" spans="1:4" x14ac:dyDescent="0.35">
      <c r="A28" s="16" t="s">
        <v>105</v>
      </c>
      <c r="B28">
        <v>20</v>
      </c>
      <c r="C28">
        <v>4</v>
      </c>
      <c r="D28">
        <v>24</v>
      </c>
    </row>
    <row r="29" spans="1:4" x14ac:dyDescent="0.35">
      <c r="A29" s="16" t="s">
        <v>42</v>
      </c>
      <c r="B29">
        <v>14</v>
      </c>
      <c r="C29">
        <v>10</v>
      </c>
      <c r="D29">
        <v>24</v>
      </c>
    </row>
    <row r="30" spans="1:4" x14ac:dyDescent="0.35">
      <c r="A30" s="16" t="s">
        <v>106</v>
      </c>
      <c r="B30">
        <v>21</v>
      </c>
      <c r="C30">
        <v>3</v>
      </c>
      <c r="D30">
        <v>24</v>
      </c>
    </row>
    <row r="31" spans="1:4" x14ac:dyDescent="0.35">
      <c r="A31" s="16" t="s">
        <v>107</v>
      </c>
      <c r="B31">
        <v>21</v>
      </c>
      <c r="C31">
        <v>3</v>
      </c>
      <c r="D31">
        <v>24</v>
      </c>
    </row>
    <row r="32" spans="1:4" x14ac:dyDescent="0.35">
      <c r="A32" s="16" t="s">
        <v>108</v>
      </c>
      <c r="B32">
        <v>16</v>
      </c>
      <c r="C32">
        <v>8</v>
      </c>
      <c r="D32">
        <v>24</v>
      </c>
    </row>
    <row r="33" spans="1:4" x14ac:dyDescent="0.35">
      <c r="A33" s="16" t="s">
        <v>109</v>
      </c>
      <c r="B33">
        <v>23</v>
      </c>
      <c r="C33">
        <v>1</v>
      </c>
      <c r="D33">
        <v>24</v>
      </c>
    </row>
    <row r="34" spans="1:4" x14ac:dyDescent="0.35">
      <c r="A34" s="16" t="s">
        <v>44</v>
      </c>
      <c r="B34">
        <v>24</v>
      </c>
      <c r="D34">
        <v>24</v>
      </c>
    </row>
    <row r="35" spans="1:4" x14ac:dyDescent="0.35">
      <c r="A35" s="16" t="s">
        <v>110</v>
      </c>
      <c r="B35">
        <v>17</v>
      </c>
      <c r="C35">
        <v>7</v>
      </c>
      <c r="D35">
        <v>24</v>
      </c>
    </row>
    <row r="36" spans="1:4" x14ac:dyDescent="0.35">
      <c r="A36" s="16" t="s">
        <v>111</v>
      </c>
      <c r="B36">
        <v>19</v>
      </c>
      <c r="C36">
        <v>5</v>
      </c>
      <c r="D36">
        <v>24</v>
      </c>
    </row>
    <row r="37" spans="1:4" x14ac:dyDescent="0.35">
      <c r="A37" s="16" t="s">
        <v>112</v>
      </c>
      <c r="B37">
        <v>13</v>
      </c>
      <c r="C37">
        <v>11</v>
      </c>
      <c r="D37">
        <v>24</v>
      </c>
    </row>
    <row r="38" spans="1:4" x14ac:dyDescent="0.35">
      <c r="A38" s="16" t="s">
        <v>39</v>
      </c>
      <c r="B38">
        <v>19</v>
      </c>
      <c r="C38">
        <v>5</v>
      </c>
      <c r="D38">
        <v>24</v>
      </c>
    </row>
    <row r="39" spans="1:4" x14ac:dyDescent="0.35">
      <c r="A39" s="16" t="s">
        <v>113</v>
      </c>
      <c r="B39">
        <v>18</v>
      </c>
      <c r="C39">
        <v>6</v>
      </c>
      <c r="D39">
        <v>24</v>
      </c>
    </row>
    <row r="40" spans="1:4" x14ac:dyDescent="0.35">
      <c r="A40" s="16" t="s">
        <v>114</v>
      </c>
      <c r="B40">
        <v>20</v>
      </c>
      <c r="C40">
        <v>4</v>
      </c>
      <c r="D40">
        <v>24</v>
      </c>
    </row>
    <row r="41" spans="1:4" x14ac:dyDescent="0.35">
      <c r="A41" s="16" t="s">
        <v>48</v>
      </c>
      <c r="B41">
        <v>19</v>
      </c>
      <c r="C41">
        <v>5</v>
      </c>
      <c r="D41">
        <v>24</v>
      </c>
    </row>
    <row r="42" spans="1:4" x14ac:dyDescent="0.35">
      <c r="A42" s="16" t="s">
        <v>115</v>
      </c>
      <c r="B42">
        <v>12</v>
      </c>
      <c r="C42">
        <v>12</v>
      </c>
      <c r="D42">
        <v>24</v>
      </c>
    </row>
    <row r="43" spans="1:4" x14ac:dyDescent="0.35">
      <c r="A43" s="16" t="s">
        <v>116</v>
      </c>
      <c r="B43">
        <v>21</v>
      </c>
      <c r="C43">
        <v>3</v>
      </c>
      <c r="D43">
        <v>24</v>
      </c>
    </row>
    <row r="44" spans="1:4" x14ac:dyDescent="0.35">
      <c r="A44" s="16" t="s">
        <v>117</v>
      </c>
      <c r="B44">
        <v>18</v>
      </c>
      <c r="C44">
        <v>6</v>
      </c>
      <c r="D44">
        <v>24</v>
      </c>
    </row>
    <row r="45" spans="1:4" x14ac:dyDescent="0.35">
      <c r="A45" s="16" t="s">
        <v>118</v>
      </c>
      <c r="B45">
        <v>15</v>
      </c>
      <c r="C45">
        <v>9</v>
      </c>
      <c r="D45">
        <v>24</v>
      </c>
    </row>
    <row r="46" spans="1:4" x14ac:dyDescent="0.35">
      <c r="A46" s="16" t="s">
        <v>119</v>
      </c>
      <c r="B46">
        <v>23</v>
      </c>
      <c r="C46">
        <v>1</v>
      </c>
      <c r="D46">
        <v>24</v>
      </c>
    </row>
    <row r="47" spans="1:4" x14ac:dyDescent="0.35">
      <c r="A47" s="16" t="s">
        <v>120</v>
      </c>
      <c r="B47">
        <v>13</v>
      </c>
      <c r="C47">
        <v>11</v>
      </c>
      <c r="D47">
        <v>24</v>
      </c>
    </row>
    <row r="48" spans="1:4" x14ac:dyDescent="0.35">
      <c r="A48" s="16" t="s">
        <v>51</v>
      </c>
      <c r="B48">
        <v>13</v>
      </c>
      <c r="C48">
        <v>11</v>
      </c>
      <c r="D48">
        <v>24</v>
      </c>
    </row>
    <row r="49" spans="1:4" x14ac:dyDescent="0.35">
      <c r="A49" s="16" t="s">
        <v>121</v>
      </c>
      <c r="B49">
        <v>22</v>
      </c>
      <c r="C49">
        <v>2</v>
      </c>
      <c r="D49">
        <v>24</v>
      </c>
    </row>
    <row r="50" spans="1:4" x14ac:dyDescent="0.35">
      <c r="A50" s="16" t="s">
        <v>122</v>
      </c>
      <c r="B50">
        <v>23</v>
      </c>
      <c r="C50">
        <v>1</v>
      </c>
      <c r="D50">
        <v>24</v>
      </c>
    </row>
    <row r="51" spans="1:4" x14ac:dyDescent="0.35">
      <c r="A51" s="16" t="s">
        <v>123</v>
      </c>
      <c r="B51">
        <v>18</v>
      </c>
      <c r="C51">
        <v>6</v>
      </c>
      <c r="D51">
        <v>24</v>
      </c>
    </row>
    <row r="52" spans="1:4" x14ac:dyDescent="0.35">
      <c r="A52" s="16" t="s">
        <v>125</v>
      </c>
      <c r="B52">
        <v>872</v>
      </c>
      <c r="C52">
        <v>256</v>
      </c>
      <c r="D52">
        <v>1128</v>
      </c>
    </row>
    <row r="54" spans="1:4" x14ac:dyDescent="0.35">
      <c r="C54" s="69">
        <f>C52/D52</f>
        <v>0.22695035460992907</v>
      </c>
    </row>
    <row r="55" spans="1:4" x14ac:dyDescent="0.35">
      <c r="C55">
        <f>AVERAGE(C5:C51)</f>
        <v>5.6888888888888891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FC943-56CA-4945-8A8D-964F5DA9CEE8}">
  <sheetPr>
    <tabColor rgb="FF00B050"/>
  </sheetPr>
  <dimension ref="A1:E51"/>
  <sheetViews>
    <sheetView topLeftCell="A46" workbookViewId="0">
      <selection activeCell="C15" sqref="C15"/>
    </sheetView>
  </sheetViews>
  <sheetFormatPr defaultRowHeight="14.5" x14ac:dyDescent="0.35"/>
  <cols>
    <col min="1" max="1" width="20.90625" bestFit="1" customWidth="1"/>
    <col min="2" max="3" width="18.7265625" bestFit="1" customWidth="1"/>
    <col min="4" max="4" width="19.26953125" bestFit="1" customWidth="1"/>
    <col min="5" max="5" width="37.54296875" bestFit="1" customWidth="1"/>
  </cols>
  <sheetData>
    <row r="1" spans="1:5" x14ac:dyDescent="0.35">
      <c r="A1" s="15" t="s">
        <v>211</v>
      </c>
      <c r="B1" t="s">
        <v>343</v>
      </c>
    </row>
    <row r="3" spans="1:5" x14ac:dyDescent="0.35">
      <c r="A3" s="15" t="s">
        <v>124</v>
      </c>
      <c r="B3" t="s">
        <v>276</v>
      </c>
      <c r="C3" t="s">
        <v>277</v>
      </c>
      <c r="D3" t="s">
        <v>280</v>
      </c>
      <c r="E3" t="s">
        <v>342</v>
      </c>
    </row>
    <row r="4" spans="1:5" x14ac:dyDescent="0.35">
      <c r="A4" s="16" t="s">
        <v>41</v>
      </c>
      <c r="B4" s="58">
        <v>200</v>
      </c>
      <c r="C4" s="58">
        <v>240105</v>
      </c>
      <c r="D4" s="58">
        <v>366963.77629941667</v>
      </c>
      <c r="E4" s="58">
        <v>368563</v>
      </c>
    </row>
    <row r="5" spans="1:5" x14ac:dyDescent="0.35">
      <c r="A5" s="16" t="s">
        <v>88</v>
      </c>
      <c r="B5" s="58">
        <v>602</v>
      </c>
      <c r="C5" s="58">
        <v>50395</v>
      </c>
      <c r="D5" s="58">
        <v>58067.470117464829</v>
      </c>
      <c r="E5" s="58">
        <v>61611</v>
      </c>
    </row>
    <row r="6" spans="1:5" x14ac:dyDescent="0.35">
      <c r="A6" s="16" t="s">
        <v>89</v>
      </c>
      <c r="B6" s="58">
        <v>15066</v>
      </c>
      <c r="C6" s="58">
        <v>11707</v>
      </c>
      <c r="D6" s="58">
        <v>13972.936782690498</v>
      </c>
      <c r="E6" s="58">
        <v>18583</v>
      </c>
    </row>
    <row r="7" spans="1:5" x14ac:dyDescent="0.35">
      <c r="A7" s="16" t="s">
        <v>90</v>
      </c>
      <c r="B7" s="58">
        <v>1000</v>
      </c>
      <c r="C7" s="58">
        <v>7514</v>
      </c>
      <c r="D7" s="58">
        <v>8210.3980409764026</v>
      </c>
      <c r="E7" s="58">
        <v>8403.7066374754177</v>
      </c>
    </row>
    <row r="8" spans="1:5" x14ac:dyDescent="0.35">
      <c r="A8" s="16" t="s">
        <v>1</v>
      </c>
      <c r="B8" s="58">
        <v>4585</v>
      </c>
      <c r="C8" s="58">
        <v>7601</v>
      </c>
      <c r="D8" s="58">
        <v>10576.497205854401</v>
      </c>
      <c r="E8" s="58">
        <v>12156</v>
      </c>
    </row>
    <row r="9" spans="1:5" x14ac:dyDescent="0.35">
      <c r="A9" s="16" t="s">
        <v>91</v>
      </c>
      <c r="B9" s="58">
        <v>44</v>
      </c>
      <c r="C9" s="58">
        <v>37621</v>
      </c>
      <c r="D9" s="58">
        <v>42120.333315781165</v>
      </c>
      <c r="E9" s="58">
        <v>42540.236138170716</v>
      </c>
    </row>
    <row r="10" spans="1:5" x14ac:dyDescent="0.35">
      <c r="A10" s="16" t="s">
        <v>92</v>
      </c>
      <c r="B10" s="58"/>
      <c r="C10" s="58">
        <v>16843</v>
      </c>
      <c r="D10" s="58">
        <v>8354.2378107535169</v>
      </c>
      <c r="E10" s="58">
        <v>24082</v>
      </c>
    </row>
    <row r="11" spans="1:5" x14ac:dyDescent="0.35">
      <c r="A11" s="16" t="s">
        <v>93</v>
      </c>
      <c r="B11" s="58">
        <v>7662</v>
      </c>
      <c r="C11" s="58">
        <v>5297</v>
      </c>
      <c r="D11" s="58">
        <v>2475.7981340118745</v>
      </c>
      <c r="E11" s="58">
        <v>5335</v>
      </c>
    </row>
    <row r="12" spans="1:5" x14ac:dyDescent="0.35">
      <c r="A12" s="16" t="s">
        <v>2</v>
      </c>
      <c r="B12" s="58">
        <v>384</v>
      </c>
      <c r="C12" s="58">
        <v>1029</v>
      </c>
      <c r="D12" s="58">
        <v>4353.7071960297762</v>
      </c>
      <c r="E12" s="58">
        <v>4450</v>
      </c>
    </row>
    <row r="13" spans="1:5" x14ac:dyDescent="0.35">
      <c r="A13" s="16" t="s">
        <v>94</v>
      </c>
      <c r="B13" s="58">
        <v>1664</v>
      </c>
      <c r="C13" s="58">
        <v>3800</v>
      </c>
      <c r="D13" s="58">
        <v>33923.737441740035</v>
      </c>
      <c r="E13" s="58">
        <v>35159</v>
      </c>
    </row>
    <row r="14" spans="1:5" x14ac:dyDescent="0.35">
      <c r="A14" s="16" t="s">
        <v>52</v>
      </c>
      <c r="B14" s="58">
        <v>841</v>
      </c>
      <c r="C14" s="58">
        <v>1215</v>
      </c>
      <c r="D14" s="58">
        <v>753.73246610801039</v>
      </c>
      <c r="E14" s="58">
        <v>1223</v>
      </c>
    </row>
    <row r="15" spans="1:5" x14ac:dyDescent="0.35">
      <c r="A15" s="16" t="s">
        <v>95</v>
      </c>
      <c r="B15" s="58">
        <v>4923</v>
      </c>
      <c r="C15" s="58">
        <v>3307</v>
      </c>
      <c r="D15" s="58">
        <v>4346</v>
      </c>
      <c r="E15" s="58">
        <v>4346</v>
      </c>
    </row>
    <row r="16" spans="1:5" x14ac:dyDescent="0.35">
      <c r="A16" s="16" t="s">
        <v>96</v>
      </c>
      <c r="B16" s="58">
        <v>5120</v>
      </c>
      <c r="C16" s="58">
        <v>51343</v>
      </c>
      <c r="D16" s="58">
        <v>37741.054506651308</v>
      </c>
      <c r="E16" s="58">
        <v>55299</v>
      </c>
    </row>
    <row r="17" spans="1:5" x14ac:dyDescent="0.35">
      <c r="A17" s="16" t="s">
        <v>97</v>
      </c>
      <c r="B17" s="58">
        <v>3066</v>
      </c>
      <c r="C17" s="58">
        <v>85872</v>
      </c>
      <c r="D17" s="58">
        <v>15905.456486995652</v>
      </c>
      <c r="E17" s="58">
        <v>88570</v>
      </c>
    </row>
    <row r="18" spans="1:5" x14ac:dyDescent="0.35">
      <c r="A18" s="16" t="s">
        <v>98</v>
      </c>
      <c r="B18" s="58">
        <v>6</v>
      </c>
      <c r="C18" s="58">
        <v>1994</v>
      </c>
      <c r="D18" s="58">
        <v>2902</v>
      </c>
      <c r="E18" s="58">
        <v>2902</v>
      </c>
    </row>
    <row r="19" spans="1:5" x14ac:dyDescent="0.35">
      <c r="A19" s="16" t="s">
        <v>99</v>
      </c>
      <c r="B19" s="58"/>
      <c r="C19" s="58">
        <v>5483</v>
      </c>
      <c r="D19" s="58">
        <v>7859.4639605140483</v>
      </c>
      <c r="E19" s="58">
        <v>8310.4088237616543</v>
      </c>
    </row>
    <row r="20" spans="1:5" x14ac:dyDescent="0.35">
      <c r="A20" s="16" t="s">
        <v>43</v>
      </c>
      <c r="B20" s="58">
        <v>4661</v>
      </c>
      <c r="C20" s="58">
        <v>12031</v>
      </c>
      <c r="D20" s="58">
        <v>10642.058449633827</v>
      </c>
      <c r="E20" s="58">
        <v>13893</v>
      </c>
    </row>
    <row r="21" spans="1:5" x14ac:dyDescent="0.35">
      <c r="A21" s="16" t="s">
        <v>100</v>
      </c>
      <c r="B21" s="58">
        <v>511</v>
      </c>
      <c r="C21" s="58">
        <v>160072</v>
      </c>
      <c r="D21" s="58">
        <v>188294.14769244258</v>
      </c>
      <c r="E21" s="58">
        <v>188349</v>
      </c>
    </row>
    <row r="22" spans="1:5" x14ac:dyDescent="0.35">
      <c r="A22" s="16" t="s">
        <v>45</v>
      </c>
      <c r="B22" s="58">
        <v>1295</v>
      </c>
      <c r="C22" s="58">
        <v>4369</v>
      </c>
      <c r="D22" s="58">
        <v>6195.3046970490668</v>
      </c>
      <c r="E22" s="58">
        <v>7663.7610441767065</v>
      </c>
    </row>
    <row r="23" spans="1:5" x14ac:dyDescent="0.35">
      <c r="A23" s="16" t="s">
        <v>101</v>
      </c>
      <c r="B23" s="58">
        <v>1007</v>
      </c>
      <c r="C23" s="58">
        <v>2625</v>
      </c>
      <c r="D23" s="58">
        <v>7047.434250764526</v>
      </c>
      <c r="E23" s="58">
        <v>7168</v>
      </c>
    </row>
    <row r="24" spans="1:5" x14ac:dyDescent="0.35">
      <c r="A24" s="16" t="s">
        <v>102</v>
      </c>
      <c r="B24" s="58">
        <v>24391</v>
      </c>
      <c r="C24" s="58">
        <v>62817</v>
      </c>
      <c r="D24" s="58">
        <v>77239.612875768318</v>
      </c>
      <c r="E24" s="58">
        <v>80699.167134544085</v>
      </c>
    </row>
    <row r="25" spans="1:5" x14ac:dyDescent="0.35">
      <c r="A25" s="16" t="s">
        <v>103</v>
      </c>
      <c r="B25" s="58">
        <v>6700</v>
      </c>
      <c r="C25" s="58">
        <v>18091</v>
      </c>
      <c r="D25" s="58">
        <v>18091</v>
      </c>
      <c r="E25" s="58">
        <v>18091</v>
      </c>
    </row>
    <row r="26" spans="1:5" x14ac:dyDescent="0.35">
      <c r="A26" s="16" t="s">
        <v>104</v>
      </c>
      <c r="B26" s="58">
        <v>496</v>
      </c>
      <c r="C26" s="58">
        <v>6168</v>
      </c>
      <c r="D26" s="58">
        <v>6478.7930291508237</v>
      </c>
      <c r="E26" s="58">
        <v>7020.4318124207857</v>
      </c>
    </row>
    <row r="27" spans="1:5" x14ac:dyDescent="0.35">
      <c r="A27" s="16" t="s">
        <v>105</v>
      </c>
      <c r="B27" s="58">
        <v>13628</v>
      </c>
      <c r="C27" s="58">
        <v>92554</v>
      </c>
      <c r="D27" s="58">
        <v>153549.56215030918</v>
      </c>
      <c r="E27" s="58">
        <v>157524</v>
      </c>
    </row>
    <row r="28" spans="1:5" x14ac:dyDescent="0.35">
      <c r="A28" s="16" t="s">
        <v>42</v>
      </c>
      <c r="B28" s="58">
        <v>216</v>
      </c>
      <c r="C28" s="58">
        <v>25051</v>
      </c>
      <c r="D28" s="58">
        <v>23691.187434106483</v>
      </c>
      <c r="E28" s="58">
        <v>25176</v>
      </c>
    </row>
    <row r="29" spans="1:5" x14ac:dyDescent="0.35">
      <c r="A29" s="16" t="s">
        <v>106</v>
      </c>
      <c r="B29" s="58">
        <v>2036</v>
      </c>
      <c r="C29" s="58">
        <v>13864</v>
      </c>
      <c r="D29" s="58">
        <v>23098</v>
      </c>
      <c r="E29" s="58">
        <v>23098</v>
      </c>
    </row>
    <row r="30" spans="1:5" x14ac:dyDescent="0.35">
      <c r="A30" s="16" t="s">
        <v>107</v>
      </c>
      <c r="B30" s="58">
        <v>174</v>
      </c>
      <c r="C30" s="58">
        <v>44152</v>
      </c>
      <c r="D30" s="58">
        <v>50968.375262199879</v>
      </c>
      <c r="E30" s="58">
        <v>51007</v>
      </c>
    </row>
    <row r="31" spans="1:5" x14ac:dyDescent="0.35">
      <c r="A31" s="16" t="s">
        <v>108</v>
      </c>
      <c r="B31" s="58"/>
      <c r="C31" s="58">
        <v>14833</v>
      </c>
      <c r="D31" s="58">
        <v>26223.507613997885</v>
      </c>
      <c r="E31" s="58">
        <v>28044</v>
      </c>
    </row>
    <row r="32" spans="1:5" x14ac:dyDescent="0.35">
      <c r="A32" s="16" t="s">
        <v>109</v>
      </c>
      <c r="B32" s="58"/>
      <c r="C32" s="58">
        <v>14277</v>
      </c>
      <c r="D32" s="58">
        <v>23767</v>
      </c>
      <c r="E32" s="58">
        <v>23767</v>
      </c>
    </row>
    <row r="33" spans="1:5" x14ac:dyDescent="0.35">
      <c r="A33" s="16" t="s">
        <v>44</v>
      </c>
      <c r="B33" s="58">
        <v>244</v>
      </c>
      <c r="C33" s="58">
        <v>11463</v>
      </c>
      <c r="D33" s="58">
        <v>11463</v>
      </c>
      <c r="E33" s="58">
        <v>11463</v>
      </c>
    </row>
    <row r="34" spans="1:5" x14ac:dyDescent="0.35">
      <c r="A34" s="16" t="s">
        <v>110</v>
      </c>
      <c r="B34" s="58"/>
      <c r="C34" s="58">
        <v>6377</v>
      </c>
      <c r="D34" s="58">
        <v>7398.441318651805</v>
      </c>
      <c r="E34" s="58">
        <v>7485.121391164228</v>
      </c>
    </row>
    <row r="35" spans="1:5" x14ac:dyDescent="0.35">
      <c r="A35" s="16" t="s">
        <v>111</v>
      </c>
      <c r="B35" s="58">
        <v>5346</v>
      </c>
      <c r="C35" s="58">
        <v>76726</v>
      </c>
      <c r="D35" s="58">
        <v>139367.37244750268</v>
      </c>
      <c r="E35" s="58">
        <v>181701</v>
      </c>
    </row>
    <row r="36" spans="1:5" x14ac:dyDescent="0.35">
      <c r="A36" s="16" t="s">
        <v>112</v>
      </c>
      <c r="B36" s="58"/>
      <c r="C36" s="58">
        <v>10043</v>
      </c>
      <c r="D36" s="58">
        <v>8448.3207878315116</v>
      </c>
      <c r="E36" s="58">
        <v>11835.644656786271</v>
      </c>
    </row>
    <row r="37" spans="1:5" x14ac:dyDescent="0.35">
      <c r="A37" s="16" t="s">
        <v>39</v>
      </c>
      <c r="B37" s="58">
        <v>6560</v>
      </c>
      <c r="C37" s="58">
        <v>3596</v>
      </c>
      <c r="D37" s="58">
        <v>6818.3026251918564</v>
      </c>
      <c r="E37" s="58">
        <v>6822.4068333259338</v>
      </c>
    </row>
    <row r="38" spans="1:5" x14ac:dyDescent="0.35">
      <c r="A38" s="16" t="s">
        <v>113</v>
      </c>
      <c r="B38" s="58">
        <v>331077</v>
      </c>
      <c r="C38" s="58">
        <v>537756</v>
      </c>
      <c r="D38" s="58">
        <v>303916.69881769194</v>
      </c>
      <c r="E38" s="58">
        <v>587992</v>
      </c>
    </row>
    <row r="39" spans="1:5" x14ac:dyDescent="0.35">
      <c r="A39" s="16" t="s">
        <v>114</v>
      </c>
      <c r="B39" s="58">
        <v>2695</v>
      </c>
      <c r="C39" s="58">
        <v>49680</v>
      </c>
      <c r="D39" s="58">
        <v>63680</v>
      </c>
      <c r="E39" s="58">
        <v>63790</v>
      </c>
    </row>
    <row r="40" spans="1:5" x14ac:dyDescent="0.35">
      <c r="A40" s="16" t="s">
        <v>48</v>
      </c>
      <c r="B40" s="58">
        <v>28</v>
      </c>
      <c r="C40" s="58">
        <v>1105</v>
      </c>
      <c r="D40" s="58">
        <v>828.14730820859995</v>
      </c>
      <c r="E40" s="58">
        <v>1105</v>
      </c>
    </row>
    <row r="41" spans="1:5" x14ac:dyDescent="0.35">
      <c r="A41" s="16" t="s">
        <v>115</v>
      </c>
      <c r="B41" s="58">
        <v>4932</v>
      </c>
      <c r="C41" s="58">
        <v>34349</v>
      </c>
      <c r="D41" s="58">
        <v>29939.877575931641</v>
      </c>
      <c r="E41" s="58">
        <v>38849.619898997153</v>
      </c>
    </row>
    <row r="42" spans="1:5" x14ac:dyDescent="0.35">
      <c r="A42" s="16" t="s">
        <v>116</v>
      </c>
      <c r="B42" s="58"/>
      <c r="C42" s="58">
        <v>525</v>
      </c>
      <c r="D42" s="58">
        <v>594.28457017504911</v>
      </c>
      <c r="E42" s="58">
        <v>599</v>
      </c>
    </row>
    <row r="43" spans="1:5" x14ac:dyDescent="0.35">
      <c r="A43" s="16" t="s">
        <v>117</v>
      </c>
      <c r="B43" s="58">
        <v>4557</v>
      </c>
      <c r="C43" s="58">
        <v>2288</v>
      </c>
      <c r="D43" s="58">
        <v>18898.61224042462</v>
      </c>
      <c r="E43" s="58">
        <v>19316.490996007484</v>
      </c>
    </row>
    <row r="44" spans="1:5" x14ac:dyDescent="0.35">
      <c r="A44" s="16" t="s">
        <v>118</v>
      </c>
      <c r="B44" s="58">
        <v>23469</v>
      </c>
      <c r="C44" s="58">
        <v>214207</v>
      </c>
      <c r="D44" s="58">
        <v>191862.74170800057</v>
      </c>
      <c r="E44" s="58">
        <v>280758</v>
      </c>
    </row>
    <row r="45" spans="1:5" x14ac:dyDescent="0.35">
      <c r="A45" s="16" t="s">
        <v>119</v>
      </c>
      <c r="B45" s="58"/>
      <c r="C45" s="58">
        <v>10147</v>
      </c>
      <c r="D45" s="58">
        <v>12908</v>
      </c>
      <c r="E45" s="58">
        <v>12908</v>
      </c>
    </row>
    <row r="46" spans="1:5" x14ac:dyDescent="0.35">
      <c r="A46" s="16" t="s">
        <v>120</v>
      </c>
      <c r="B46" s="58">
        <v>15093</v>
      </c>
      <c r="C46" s="58">
        <v>69773</v>
      </c>
      <c r="D46" s="58">
        <v>138070.13653100963</v>
      </c>
      <c r="E46" s="58">
        <v>161372.85371402133</v>
      </c>
    </row>
    <row r="47" spans="1:5" x14ac:dyDescent="0.35">
      <c r="A47" s="16" t="s">
        <v>51</v>
      </c>
      <c r="B47" s="58">
        <v>638</v>
      </c>
      <c r="C47" s="58">
        <v>22503</v>
      </c>
      <c r="D47" s="58">
        <v>21202.2429589413</v>
      </c>
      <c r="E47" s="58">
        <v>24213.038174414662</v>
      </c>
    </row>
    <row r="48" spans="1:5" x14ac:dyDescent="0.35">
      <c r="A48" s="16" t="s">
        <v>121</v>
      </c>
      <c r="B48" s="58">
        <v>207921</v>
      </c>
      <c r="C48" s="58">
        <v>190898</v>
      </c>
      <c r="D48" s="58">
        <v>215143.86052313884</v>
      </c>
      <c r="E48" s="58">
        <v>215275</v>
      </c>
    </row>
    <row r="49" spans="1:5" x14ac:dyDescent="0.35">
      <c r="A49" s="16" t="s">
        <v>122</v>
      </c>
      <c r="B49" s="58">
        <v>5507</v>
      </c>
      <c r="C49" s="58">
        <v>32379</v>
      </c>
      <c r="D49" s="58">
        <v>42023.819684990805</v>
      </c>
      <c r="E49" s="58">
        <v>44613</v>
      </c>
    </row>
    <row r="50" spans="1:5" x14ac:dyDescent="0.35">
      <c r="A50" s="16" t="s">
        <v>123</v>
      </c>
      <c r="B50" s="58">
        <v>15850</v>
      </c>
      <c r="C50" s="58">
        <v>36886</v>
      </c>
      <c r="D50" s="58">
        <v>42581.173443884632</v>
      </c>
      <c r="E50" s="58">
        <v>42833</v>
      </c>
    </row>
    <row r="51" spans="1:5" x14ac:dyDescent="0.35">
      <c r="A51" s="16" t="s">
        <v>125</v>
      </c>
      <c r="B51" s="58">
        <v>724195</v>
      </c>
      <c r="C51" s="58">
        <v>2312731</v>
      </c>
      <c r="D51" s="58">
        <v>2488957.6157619865</v>
      </c>
      <c r="E51" s="58">
        <v>3085965.8872552658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63883-8C5E-412B-885F-8C6A90416439}">
  <sheetPr>
    <tabColor rgb="FF00B050"/>
  </sheetPr>
  <dimension ref="A1:G57"/>
  <sheetViews>
    <sheetView zoomScale="90" zoomScaleNormal="90" workbookViewId="0">
      <selection activeCell="O13" sqref="O13"/>
    </sheetView>
  </sheetViews>
  <sheetFormatPr defaultRowHeight="14.5" x14ac:dyDescent="0.35"/>
  <cols>
    <col min="1" max="1" width="12.90625" bestFit="1" customWidth="1"/>
    <col min="2" max="3" width="19.08984375" bestFit="1" customWidth="1"/>
    <col min="4" max="4" width="19.54296875" bestFit="1" customWidth="1"/>
    <col min="5" max="7" width="29.1796875" bestFit="1" customWidth="1"/>
  </cols>
  <sheetData>
    <row r="1" spans="1:7" x14ac:dyDescent="0.35">
      <c r="A1" s="15" t="s">
        <v>211</v>
      </c>
      <c r="B1" t="s">
        <v>343</v>
      </c>
    </row>
    <row r="3" spans="1:7" x14ac:dyDescent="0.35">
      <c r="A3" s="15" t="s">
        <v>124</v>
      </c>
      <c r="B3" t="s">
        <v>276</v>
      </c>
      <c r="C3" t="s">
        <v>277</v>
      </c>
      <c r="D3" t="s">
        <v>280</v>
      </c>
      <c r="E3" t="s">
        <v>355</v>
      </c>
      <c r="F3" t="s">
        <v>356</v>
      </c>
      <c r="G3" t="s">
        <v>354</v>
      </c>
    </row>
    <row r="4" spans="1:7" x14ac:dyDescent="0.35">
      <c r="A4" s="16" t="s">
        <v>162</v>
      </c>
      <c r="B4" s="58">
        <v>30</v>
      </c>
      <c r="C4" s="58">
        <v>54113</v>
      </c>
      <c r="D4" s="58">
        <v>75442.979162440766</v>
      </c>
      <c r="E4" s="58">
        <v>1.147359073900709E-2</v>
      </c>
      <c r="F4" s="58">
        <v>17.303129774304679</v>
      </c>
      <c r="G4" s="123">
        <v>21.19840588956373</v>
      </c>
    </row>
    <row r="5" spans="1:7" x14ac:dyDescent="0.35">
      <c r="A5" s="16" t="s">
        <v>165</v>
      </c>
      <c r="B5" s="58">
        <v>7162</v>
      </c>
      <c r="C5" s="58">
        <v>10400</v>
      </c>
      <c r="D5" s="58">
        <v>10565.586567321363</v>
      </c>
      <c r="E5" s="58">
        <v>7.056451364601136</v>
      </c>
      <c r="F5" s="58">
        <v>9.0486143330486115</v>
      </c>
      <c r="G5" s="123">
        <v>8.1970005510432156</v>
      </c>
    </row>
    <row r="6" spans="1:7" x14ac:dyDescent="0.35">
      <c r="A6" s="16" t="s">
        <v>163</v>
      </c>
      <c r="B6" s="58">
        <v>5823</v>
      </c>
      <c r="C6" s="58">
        <v>5373</v>
      </c>
      <c r="D6" s="58">
        <v>10556</v>
      </c>
      <c r="E6" s="58">
        <v>5.6486101756176508</v>
      </c>
      <c r="F6" s="58">
        <v>4.4997424142428715</v>
      </c>
      <c r="G6" s="123">
        <v>7.905420140578082</v>
      </c>
    </row>
    <row r="7" spans="1:7" x14ac:dyDescent="0.35">
      <c r="A7" s="16" t="s">
        <v>151</v>
      </c>
      <c r="B7" s="58">
        <v>8590</v>
      </c>
      <c r="C7" s="58">
        <v>18578</v>
      </c>
      <c r="D7" s="58">
        <v>26578</v>
      </c>
      <c r="E7" s="58">
        <v>4.8706064429504705</v>
      </c>
      <c r="F7" s="58">
        <v>9.1101124651180712</v>
      </c>
      <c r="G7" s="123">
        <v>11.721918929906732</v>
      </c>
    </row>
    <row r="8" spans="1:7" x14ac:dyDescent="0.35">
      <c r="A8" s="16" t="s">
        <v>164</v>
      </c>
      <c r="B8" s="58">
        <v>8136</v>
      </c>
      <c r="C8" s="58">
        <v>8570</v>
      </c>
      <c r="D8" s="58">
        <v>9020</v>
      </c>
      <c r="E8" s="58">
        <v>36.693639678921613</v>
      </c>
      <c r="F8" s="58">
        <v>34.95949369515526</v>
      </c>
      <c r="G8" s="123">
        <v>34.292718386067548</v>
      </c>
    </row>
    <row r="9" spans="1:7" x14ac:dyDescent="0.35">
      <c r="A9" s="16" t="s">
        <v>152</v>
      </c>
      <c r="B9" s="58">
        <v>1160</v>
      </c>
      <c r="C9" s="58">
        <v>1974</v>
      </c>
      <c r="D9" s="58">
        <v>1331.8697270471462</v>
      </c>
      <c r="E9" s="58">
        <v>2.4154446026630016</v>
      </c>
      <c r="F9" s="58">
        <v>3.8745539552247603</v>
      </c>
      <c r="G9" s="123">
        <v>2.3872297370504008</v>
      </c>
    </row>
    <row r="10" spans="1:7" x14ac:dyDescent="0.35">
      <c r="A10" s="16" t="s">
        <v>166</v>
      </c>
      <c r="B10" s="58">
        <v>17871</v>
      </c>
      <c r="C10" s="58">
        <v>26225</v>
      </c>
      <c r="D10" s="58">
        <v>32977.78546925736</v>
      </c>
      <c r="E10" s="58">
        <v>7.9535303053381696</v>
      </c>
      <c r="F10" s="58">
        <v>10.286738773730915</v>
      </c>
      <c r="G10" s="123">
        <v>11.710635712808925</v>
      </c>
    </row>
    <row r="11" spans="1:7" x14ac:dyDescent="0.35">
      <c r="A11" s="16" t="s">
        <v>168</v>
      </c>
      <c r="B11" s="58">
        <v>20923</v>
      </c>
      <c r="C11" s="58">
        <v>13874</v>
      </c>
      <c r="D11" s="58">
        <v>21906</v>
      </c>
      <c r="E11" s="58">
        <v>9.6718647797215773</v>
      </c>
      <c r="F11" s="58">
        <v>5.532615644537457</v>
      </c>
      <c r="G11" s="123">
        <v>7.8475241743670043</v>
      </c>
    </row>
    <row r="12" spans="1:7" x14ac:dyDescent="0.35">
      <c r="A12" s="16" t="s">
        <v>154</v>
      </c>
      <c r="B12" s="58">
        <v>67786</v>
      </c>
      <c r="C12" s="58">
        <v>138973</v>
      </c>
      <c r="D12" s="58">
        <v>139645.24336836278</v>
      </c>
      <c r="E12" s="58">
        <v>9.2276042229827286</v>
      </c>
      <c r="F12" s="58">
        <v>15.957885045423644</v>
      </c>
      <c r="G12" s="123">
        <v>14.104125276326323</v>
      </c>
    </row>
    <row r="13" spans="1:7" x14ac:dyDescent="0.35">
      <c r="A13" s="16" t="s">
        <v>189</v>
      </c>
      <c r="B13" s="58">
        <v>4571</v>
      </c>
      <c r="C13" s="58">
        <v>6694</v>
      </c>
      <c r="D13" s="58">
        <v>7657.4138703986164</v>
      </c>
      <c r="E13" s="58">
        <v>9.4675580794092156</v>
      </c>
      <c r="F13" s="58">
        <v>12.302745309647277</v>
      </c>
      <c r="G13" s="123">
        <v>12.82557799981813</v>
      </c>
    </row>
    <row r="14" spans="1:7" x14ac:dyDescent="0.35">
      <c r="A14" s="16" t="s">
        <v>196</v>
      </c>
      <c r="B14" s="58">
        <v>418</v>
      </c>
      <c r="C14" s="58">
        <v>1454</v>
      </c>
      <c r="D14" s="58">
        <v>1724.9709740708436</v>
      </c>
      <c r="E14" s="58">
        <v>5.9766154198107619</v>
      </c>
      <c r="F14" s="58">
        <v>18.729546761714161</v>
      </c>
      <c r="G14" s="123">
        <v>20.614550700647715</v>
      </c>
    </row>
    <row r="15" spans="1:7" x14ac:dyDescent="0.35">
      <c r="A15" s="16" t="s">
        <v>167</v>
      </c>
      <c r="B15" s="58">
        <v>711</v>
      </c>
      <c r="C15" s="58">
        <v>1247</v>
      </c>
      <c r="D15" s="58">
        <v>3612</v>
      </c>
      <c r="E15" s="58">
        <v>13.168129792199135</v>
      </c>
      <c r="F15" s="58">
        <v>21.83117516323049</v>
      </c>
      <c r="G15" s="123">
        <v>60.895271765381224</v>
      </c>
    </row>
    <row r="16" spans="1:7" x14ac:dyDescent="0.35">
      <c r="A16" s="16" t="s">
        <v>161</v>
      </c>
      <c r="B16" s="58">
        <v>11139</v>
      </c>
      <c r="C16" s="58">
        <v>139821</v>
      </c>
      <c r="D16" s="58">
        <v>189358</v>
      </c>
      <c r="E16" s="58">
        <v>2.931267462129866</v>
      </c>
      <c r="F16" s="58">
        <v>33.34867189542053</v>
      </c>
      <c r="G16" s="123">
        <v>42.170245010241459</v>
      </c>
    </row>
    <row r="17" spans="1:7" x14ac:dyDescent="0.35">
      <c r="A17" s="16" t="s">
        <v>194</v>
      </c>
      <c r="B17" s="58">
        <v>4434</v>
      </c>
      <c r="C17" s="58">
        <v>5296</v>
      </c>
      <c r="D17" s="58">
        <v>5372.8176475233076</v>
      </c>
      <c r="E17" s="58">
        <v>13.451172154071436</v>
      </c>
      <c r="F17" s="58">
        <v>15.371333363034999</v>
      </c>
      <c r="G17" s="123">
        <v>14.584070867806926</v>
      </c>
    </row>
    <row r="18" spans="1:7" x14ac:dyDescent="0.35">
      <c r="A18" s="16" t="s">
        <v>155</v>
      </c>
      <c r="B18" s="58">
        <v>6925</v>
      </c>
      <c r="C18" s="58">
        <v>89196</v>
      </c>
      <c r="D18" s="58">
        <v>189544</v>
      </c>
      <c r="E18" s="58">
        <v>0.71329713375271953</v>
      </c>
      <c r="F18" s="58">
        <v>8.0263161233659783</v>
      </c>
      <c r="G18" s="123">
        <v>15.362628950222767</v>
      </c>
    </row>
    <row r="19" spans="1:7" x14ac:dyDescent="0.35">
      <c r="A19" s="16" t="s">
        <v>157</v>
      </c>
      <c r="B19" s="58">
        <v>437</v>
      </c>
      <c r="C19" s="58">
        <v>8186</v>
      </c>
      <c r="D19" s="58">
        <v>6936.9896979221239</v>
      </c>
      <c r="E19" s="58">
        <v>2.2973079178531046</v>
      </c>
      <c r="F19" s="58">
        <v>37.344694587596827</v>
      </c>
      <c r="G19" s="123">
        <v>29.037302117617038</v>
      </c>
    </row>
    <row r="20" spans="1:7" x14ac:dyDescent="0.35">
      <c r="A20" s="16" t="s">
        <v>172</v>
      </c>
      <c r="B20" s="58">
        <v>51421</v>
      </c>
      <c r="C20" s="58">
        <v>140055</v>
      </c>
      <c r="D20" s="58">
        <v>152812.27697797568</v>
      </c>
      <c r="E20" s="58">
        <v>18.681157033578607</v>
      </c>
      <c r="F20" s="58">
        <v>45.368349257282176</v>
      </c>
      <c r="G20" s="123">
        <v>45.6484849222892</v>
      </c>
    </row>
    <row r="21" spans="1:7" x14ac:dyDescent="0.35">
      <c r="A21" s="16" t="s">
        <v>173</v>
      </c>
      <c r="B21" s="58">
        <v>8133</v>
      </c>
      <c r="C21" s="58">
        <v>10848</v>
      </c>
      <c r="D21" s="58">
        <v>8856.9922263842163</v>
      </c>
      <c r="E21" s="58">
        <v>7.3565659589902852</v>
      </c>
      <c r="F21" s="58">
        <v>8.6404755702460996</v>
      </c>
      <c r="G21" s="123">
        <v>6.390630366852025</v>
      </c>
    </row>
    <row r="22" spans="1:7" x14ac:dyDescent="0.35">
      <c r="A22" s="16" t="s">
        <v>171</v>
      </c>
      <c r="B22" s="58">
        <v>2858</v>
      </c>
      <c r="C22" s="58">
        <v>2116</v>
      </c>
      <c r="D22" s="58">
        <v>2082.270897043833</v>
      </c>
      <c r="E22" s="58">
        <v>13.450237767542902</v>
      </c>
      <c r="F22" s="58">
        <v>8.6546958371362877</v>
      </c>
      <c r="G22" s="123">
        <v>7.6950371510478712</v>
      </c>
    </row>
    <row r="23" spans="1:7" x14ac:dyDescent="0.35">
      <c r="A23" s="16" t="s">
        <v>174</v>
      </c>
      <c r="B23" s="58">
        <v>1234</v>
      </c>
      <c r="C23" s="58">
        <v>1999</v>
      </c>
      <c r="D23" s="58">
        <v>2606.8737642585552</v>
      </c>
      <c r="E23" s="58">
        <v>7.2684328251615025</v>
      </c>
      <c r="F23" s="58">
        <v>10.384661040040173</v>
      </c>
      <c r="G23" s="123">
        <v>12.380872332200333</v>
      </c>
    </row>
    <row r="24" spans="1:7" x14ac:dyDescent="0.35">
      <c r="A24" s="16" t="s">
        <v>170</v>
      </c>
      <c r="B24" s="58"/>
      <c r="C24" s="58">
        <v>652</v>
      </c>
      <c r="D24" s="58">
        <v>1676.1162448119487</v>
      </c>
      <c r="E24" s="58">
        <v>0</v>
      </c>
      <c r="F24" s="58">
        <v>4.3406144033169749</v>
      </c>
      <c r="G24" s="123">
        <v>10.007213798082931</v>
      </c>
    </row>
    <row r="25" spans="1:7" x14ac:dyDescent="0.35">
      <c r="A25" s="16" t="s">
        <v>175</v>
      </c>
      <c r="B25" s="58">
        <v>48974</v>
      </c>
      <c r="C25" s="58">
        <v>67943</v>
      </c>
      <c r="D25" s="58">
        <v>122588</v>
      </c>
      <c r="E25" s="58">
        <v>10.933559038450477</v>
      </c>
      <c r="F25" s="58">
        <v>13.601302528457378</v>
      </c>
      <c r="G25" s="123">
        <v>22.689931885967603</v>
      </c>
    </row>
    <row r="26" spans="1:7" x14ac:dyDescent="0.35">
      <c r="A26" s="16" t="s">
        <v>176</v>
      </c>
      <c r="B26" s="58">
        <v>974</v>
      </c>
      <c r="C26" s="58">
        <v>10108</v>
      </c>
      <c r="D26" s="58">
        <v>6366.7192932575135</v>
      </c>
      <c r="E26" s="58">
        <v>2.1999802363171792</v>
      </c>
      <c r="F26" s="58">
        <v>20.673331300360314</v>
      </c>
      <c r="G26" s="123">
        <v>12.006604382306818</v>
      </c>
    </row>
    <row r="27" spans="1:7" x14ac:dyDescent="0.35">
      <c r="A27" s="16" t="s">
        <v>160</v>
      </c>
      <c r="B27" s="58"/>
      <c r="C27" s="58">
        <v>10643</v>
      </c>
      <c r="D27" s="58">
        <v>4551.0899117026884</v>
      </c>
      <c r="E27" s="58">
        <v>0</v>
      </c>
      <c r="F27" s="58">
        <v>48.420917581620159</v>
      </c>
      <c r="G27" s="123">
        <v>19.737356151637165</v>
      </c>
    </row>
    <row r="28" spans="1:7" x14ac:dyDescent="0.35">
      <c r="A28" s="16" t="s">
        <v>177</v>
      </c>
      <c r="B28" s="58">
        <v>10361</v>
      </c>
      <c r="C28" s="58">
        <v>13784</v>
      </c>
      <c r="D28" s="58">
        <v>13784</v>
      </c>
      <c r="E28" s="58">
        <v>4.392474018702714</v>
      </c>
      <c r="F28" s="58">
        <v>5.1343672169908219</v>
      </c>
      <c r="G28" s="123">
        <v>4.654914605753655</v>
      </c>
    </row>
    <row r="29" spans="1:7" x14ac:dyDescent="0.35">
      <c r="A29" s="16" t="s">
        <v>179</v>
      </c>
      <c r="B29" s="58">
        <v>8189</v>
      </c>
      <c r="C29" s="58">
        <v>11326</v>
      </c>
      <c r="D29" s="58">
        <v>12649.005004448398</v>
      </c>
      <c r="E29" s="58">
        <v>4.8159164598162238</v>
      </c>
      <c r="F29" s="58">
        <v>5.6816648371565428</v>
      </c>
      <c r="G29" s="123">
        <v>5.5984926364175651</v>
      </c>
    </row>
    <row r="30" spans="1:7" x14ac:dyDescent="0.35">
      <c r="A30" s="16" t="s">
        <v>181</v>
      </c>
      <c r="B30" s="58">
        <v>12149</v>
      </c>
      <c r="C30" s="58">
        <v>16647</v>
      </c>
      <c r="D30" s="58">
        <v>36271</v>
      </c>
      <c r="E30" s="58">
        <v>4.811155322381663</v>
      </c>
      <c r="F30" s="58">
        <v>5.6576497894388753</v>
      </c>
      <c r="G30" s="123">
        <v>11.001373890249562</v>
      </c>
    </row>
    <row r="31" spans="1:7" x14ac:dyDescent="0.35">
      <c r="A31" s="16" t="s">
        <v>158</v>
      </c>
      <c r="B31" s="58">
        <v>4836</v>
      </c>
      <c r="C31" s="58">
        <v>6547</v>
      </c>
      <c r="D31" s="58">
        <v>9116.0346943092882</v>
      </c>
      <c r="E31" s="58">
        <v>12.920259078445698</v>
      </c>
      <c r="F31" s="58">
        <v>15.32999829185372</v>
      </c>
      <c r="G31" s="123">
        <v>19.247819150386611</v>
      </c>
    </row>
    <row r="32" spans="1:7" x14ac:dyDescent="0.35">
      <c r="A32" s="16" t="s">
        <v>180</v>
      </c>
      <c r="B32" s="58">
        <v>6009</v>
      </c>
      <c r="C32" s="58">
        <v>7948</v>
      </c>
      <c r="D32" s="58">
        <v>6999.5342419766348</v>
      </c>
      <c r="E32" s="58">
        <v>46.556438932153817</v>
      </c>
      <c r="F32" s="58">
        <v>61.356442098331627</v>
      </c>
      <c r="G32" s="123">
        <v>53.864572698360966</v>
      </c>
    </row>
    <row r="33" spans="1:7" x14ac:dyDescent="0.35">
      <c r="A33" s="16" t="s">
        <v>178</v>
      </c>
      <c r="B33" s="58">
        <v>3793</v>
      </c>
      <c r="C33" s="58">
        <v>10717</v>
      </c>
      <c r="D33" s="58">
        <v>11311.563775185577</v>
      </c>
      <c r="E33" s="58">
        <v>2.3669598366604268</v>
      </c>
      <c r="F33" s="58">
        <v>5.8346408238772041</v>
      </c>
      <c r="G33" s="123">
        <v>5.5434395125336913</v>
      </c>
    </row>
    <row r="34" spans="1:7" x14ac:dyDescent="0.35">
      <c r="A34" s="16" t="s">
        <v>182</v>
      </c>
      <c r="B34" s="58">
        <v>4110</v>
      </c>
      <c r="C34" s="58">
        <v>14406</v>
      </c>
      <c r="D34" s="58">
        <v>17172.321723868954</v>
      </c>
      <c r="E34" s="58">
        <v>18.643598804269427</v>
      </c>
      <c r="F34" s="58">
        <v>59.883263799993379</v>
      </c>
      <c r="G34" s="123">
        <v>66.896135970779099</v>
      </c>
    </row>
    <row r="35" spans="1:7" x14ac:dyDescent="0.35">
      <c r="A35" s="16" t="s">
        <v>190</v>
      </c>
      <c r="B35" s="58">
        <v>5396</v>
      </c>
      <c r="C35" s="58">
        <v>6078</v>
      </c>
      <c r="D35" s="58">
        <v>6095.8657942347936</v>
      </c>
      <c r="E35" s="58">
        <v>2.8928013902601908</v>
      </c>
      <c r="F35" s="58">
        <v>2.6921133834178046</v>
      </c>
      <c r="G35" s="123">
        <v>2.3259582036922208</v>
      </c>
    </row>
    <row r="36" spans="1:7" x14ac:dyDescent="0.35">
      <c r="A36" s="16" t="s">
        <v>156</v>
      </c>
      <c r="B36" s="58">
        <v>241954</v>
      </c>
      <c r="C36" s="58">
        <v>385486</v>
      </c>
      <c r="D36" s="58">
        <v>453649</v>
      </c>
      <c r="E36" s="58">
        <v>13.847614492517481</v>
      </c>
      <c r="F36" s="58">
        <v>19.430950036054032</v>
      </c>
      <c r="G36" s="123">
        <v>20.758052766628868</v>
      </c>
    </row>
    <row r="37" spans="1:7" x14ac:dyDescent="0.35">
      <c r="A37" s="16" t="s">
        <v>183</v>
      </c>
      <c r="B37" s="58">
        <v>11351</v>
      </c>
      <c r="C37" s="58">
        <v>16464</v>
      </c>
      <c r="D37" s="58">
        <v>17139.239749316621</v>
      </c>
      <c r="E37" s="58">
        <v>10.22488301985268</v>
      </c>
      <c r="F37" s="58">
        <v>13.137769631395951</v>
      </c>
      <c r="G37" s="123">
        <v>12.440746230594545</v>
      </c>
    </row>
    <row r="38" spans="1:7" x14ac:dyDescent="0.35">
      <c r="A38" s="16" t="s">
        <v>184</v>
      </c>
      <c r="B38" s="58">
        <v>5628</v>
      </c>
      <c r="C38" s="58">
        <v>10475</v>
      </c>
      <c r="D38" s="58">
        <v>10578.528230535412</v>
      </c>
      <c r="E38" s="58">
        <v>4.1395850727945103</v>
      </c>
      <c r="F38" s="58">
        <v>6.7255609647542736</v>
      </c>
      <c r="G38" s="123">
        <v>6.108947758593815</v>
      </c>
    </row>
    <row r="39" spans="1:7" x14ac:dyDescent="0.35">
      <c r="A39" s="16" t="s">
        <v>186</v>
      </c>
      <c r="B39" s="58">
        <v>8293</v>
      </c>
      <c r="C39" s="58">
        <v>6714</v>
      </c>
      <c r="D39" s="58">
        <v>19043</v>
      </c>
      <c r="E39" s="58">
        <v>11.906918137676456</v>
      </c>
      <c r="F39" s="58">
        <v>8.5405928117822025</v>
      </c>
      <c r="G39" s="123">
        <v>22.128310502389212</v>
      </c>
    </row>
    <row r="40" spans="1:7" x14ac:dyDescent="0.35">
      <c r="A40" s="16" t="s">
        <v>188</v>
      </c>
      <c r="B40" s="58"/>
      <c r="C40" s="58">
        <v>5849</v>
      </c>
      <c r="D40" s="58">
        <v>8006</v>
      </c>
      <c r="E40" s="58">
        <v>0</v>
      </c>
      <c r="F40" s="58">
        <v>5.6265652762618057</v>
      </c>
      <c r="G40" s="123">
        <v>7.3360946163777347</v>
      </c>
    </row>
    <row r="41" spans="1:7" x14ac:dyDescent="0.35">
      <c r="A41" s="16" t="s">
        <v>153</v>
      </c>
      <c r="B41" s="58">
        <v>536</v>
      </c>
      <c r="C41" s="58">
        <v>516</v>
      </c>
      <c r="D41" s="58">
        <v>570.28457017504911</v>
      </c>
      <c r="E41" s="58">
        <v>27.663516672946013</v>
      </c>
      <c r="F41" s="58">
        <v>24.415171473995002</v>
      </c>
      <c r="G41" s="123">
        <v>25.080738156916041</v>
      </c>
    </row>
    <row r="42" spans="1:7" x14ac:dyDescent="0.35">
      <c r="A42" s="16" t="s">
        <v>159</v>
      </c>
      <c r="B42" s="58">
        <v>3735</v>
      </c>
      <c r="C42" s="58">
        <v>4998</v>
      </c>
      <c r="D42" s="58">
        <v>5943</v>
      </c>
      <c r="E42" s="58">
        <v>33.398341618089297</v>
      </c>
      <c r="F42" s="58">
        <v>43.070333993291264</v>
      </c>
      <c r="G42" s="123">
        <v>49.456152913797929</v>
      </c>
    </row>
    <row r="43" spans="1:7" x14ac:dyDescent="0.35">
      <c r="A43" s="16" t="s">
        <v>185</v>
      </c>
      <c r="B43" s="58">
        <v>512</v>
      </c>
      <c r="C43" s="58">
        <v>1670</v>
      </c>
      <c r="D43" s="58">
        <v>2284.2905885139849</v>
      </c>
      <c r="E43" s="58">
        <v>52.939595094815644</v>
      </c>
      <c r="F43" s="58">
        <v>161.97709042589301</v>
      </c>
      <c r="G43" s="123">
        <v>213.24893351885851</v>
      </c>
    </row>
    <row r="44" spans="1:7" x14ac:dyDescent="0.35">
      <c r="A44" s="16" t="s">
        <v>169</v>
      </c>
      <c r="B44" s="58">
        <v>4630</v>
      </c>
      <c r="C44" s="58">
        <v>6538</v>
      </c>
      <c r="D44" s="58">
        <v>5798.3930605903679</v>
      </c>
      <c r="E44" s="58">
        <v>3.5031261239275127</v>
      </c>
      <c r="F44" s="58">
        <v>4.1898949065668809</v>
      </c>
      <c r="G44" s="123">
        <v>3.2716188953202665</v>
      </c>
    </row>
    <row r="45" spans="1:7" x14ac:dyDescent="0.35">
      <c r="A45" s="16" t="s">
        <v>195</v>
      </c>
      <c r="B45" s="58">
        <v>2497</v>
      </c>
      <c r="C45" s="58">
        <v>3862</v>
      </c>
      <c r="D45" s="58">
        <v>5224</v>
      </c>
      <c r="E45" s="58">
        <v>3.5138186512143079</v>
      </c>
      <c r="F45" s="58">
        <v>4.7994955434409654</v>
      </c>
      <c r="G45" s="123">
        <v>5.9036930685343147</v>
      </c>
    </row>
    <row r="46" spans="1:7" x14ac:dyDescent="0.35">
      <c r="A46" s="16" t="s">
        <v>197</v>
      </c>
      <c r="B46" s="58">
        <v>22281</v>
      </c>
      <c r="C46" s="58">
        <v>34825</v>
      </c>
      <c r="D46" s="58">
        <v>40633</v>
      </c>
      <c r="E46" s="58">
        <v>4.5237262498154065</v>
      </c>
      <c r="F46" s="58">
        <v>5.9949620284355545</v>
      </c>
      <c r="G46" s="123">
        <v>6.2037247448568724</v>
      </c>
    </row>
    <row r="47" spans="1:7" x14ac:dyDescent="0.35">
      <c r="A47" s="16" t="s">
        <v>191</v>
      </c>
      <c r="B47" s="58">
        <v>50519</v>
      </c>
      <c r="C47" s="58">
        <v>77330</v>
      </c>
      <c r="D47" s="58">
        <v>116205.78132796781</v>
      </c>
      <c r="E47" s="58">
        <v>14.322054728228531</v>
      </c>
      <c r="F47" s="58">
        <v>18.626825060920165</v>
      </c>
      <c r="G47" s="123">
        <v>24.594032165143432</v>
      </c>
    </row>
    <row r="48" spans="1:7" x14ac:dyDescent="0.35">
      <c r="A48" s="16" t="s">
        <v>187</v>
      </c>
      <c r="B48" s="58">
        <v>58722</v>
      </c>
      <c r="C48" s="58">
        <v>330961</v>
      </c>
      <c r="D48" s="58">
        <v>445282.24962174537</v>
      </c>
      <c r="E48" s="58">
        <v>10.899955183999529</v>
      </c>
      <c r="F48" s="58">
        <v>57.719411712334747</v>
      </c>
      <c r="G48" s="123">
        <v>74.345193320567816</v>
      </c>
    </row>
    <row r="49" spans="1:7" x14ac:dyDescent="0.35">
      <c r="A49" s="16" t="s">
        <v>192</v>
      </c>
      <c r="B49" s="58">
        <v>2773</v>
      </c>
      <c r="C49" s="58">
        <v>28199</v>
      </c>
      <c r="D49" s="58">
        <v>65708</v>
      </c>
      <c r="E49" s="58">
        <v>1.8201538354901259</v>
      </c>
      <c r="F49" s="58">
        <v>15.810254075868269</v>
      </c>
      <c r="G49" s="123">
        <v>32.824990914279496</v>
      </c>
    </row>
    <row r="50" spans="1:7" x14ac:dyDescent="0.35">
      <c r="A50" s="16" t="s">
        <v>193</v>
      </c>
      <c r="B50" s="58">
        <v>19836</v>
      </c>
      <c r="C50" s="58">
        <v>31754</v>
      </c>
      <c r="D50" s="58">
        <v>59269.598365533384</v>
      </c>
      <c r="E50" s="58">
        <v>14.633259467438902</v>
      </c>
      <c r="F50" s="58">
        <v>21.095941957658759</v>
      </c>
      <c r="G50" s="123">
        <v>36.315960905902422</v>
      </c>
    </row>
    <row r="51" spans="1:7" x14ac:dyDescent="0.35">
      <c r="A51" s="16" t="s">
        <v>125</v>
      </c>
      <c r="B51" s="58">
        <v>767820</v>
      </c>
      <c r="C51" s="58">
        <v>1807432</v>
      </c>
      <c r="D51" s="58">
        <v>2402503.6865481799</v>
      </c>
      <c r="E51" s="58">
        <v>496.18065817429908</v>
      </c>
      <c r="F51" s="58">
        <v>990.34267696296877</v>
      </c>
      <c r="G51" s="123">
        <v>1160.5606543467657</v>
      </c>
    </row>
    <row r="53" spans="1:7" x14ac:dyDescent="0.35">
      <c r="B53" t="s">
        <v>276</v>
      </c>
      <c r="C53" t="s">
        <v>277</v>
      </c>
      <c r="D53" t="s">
        <v>278</v>
      </c>
      <c r="E53" t="s">
        <v>280</v>
      </c>
      <c r="F53" t="s">
        <v>342</v>
      </c>
    </row>
    <row r="55" spans="1:7" x14ac:dyDescent="0.35">
      <c r="E55" s="66" t="e">
        <f>GETPIVOTDATA("Sum of Adjusted 2022",$A$3)-GETPIVOTDATA("Sum of 2022 or latest",$A$3)</f>
        <v>#REF!</v>
      </c>
    </row>
    <row r="57" spans="1:7" x14ac:dyDescent="0.35">
      <c r="E57" s="69" t="e">
        <f>E55/GETPIVOTDATA("Sum of Adjusted 2022",$A$3)</f>
        <v>#REF!</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E92E7-5014-4FC3-872D-0108AD0BBE59}">
  <sheetPr>
    <tabColor rgb="FF00B050"/>
  </sheetPr>
  <dimension ref="A1:B251"/>
  <sheetViews>
    <sheetView workbookViewId="0">
      <selection activeCell="C15" sqref="C15"/>
    </sheetView>
  </sheetViews>
  <sheetFormatPr defaultRowHeight="14.5" x14ac:dyDescent="0.35"/>
  <cols>
    <col min="1" max="1" width="52.54296875" bestFit="1" customWidth="1"/>
    <col min="2" max="2" width="16.36328125" bestFit="1" customWidth="1"/>
    <col min="3" max="3" width="14.1796875" bestFit="1" customWidth="1"/>
    <col min="4" max="4" width="10.7265625" bestFit="1" customWidth="1"/>
    <col min="5" max="5" width="4" bestFit="1" customWidth="1"/>
    <col min="6" max="6" width="4.90625" bestFit="1" customWidth="1"/>
    <col min="7" max="7" width="4" bestFit="1" customWidth="1"/>
    <col min="8" max="8" width="3.6328125" bestFit="1" customWidth="1"/>
    <col min="9" max="9" width="4.7265625" bestFit="1" customWidth="1"/>
    <col min="10" max="11" width="4.54296875" bestFit="1" customWidth="1"/>
    <col min="12" max="12" width="5" bestFit="1" customWidth="1"/>
    <col min="13" max="13" width="4.1796875" bestFit="1" customWidth="1"/>
    <col min="14" max="14" width="4.26953125" bestFit="1" customWidth="1"/>
    <col min="15" max="15" width="3.453125" bestFit="1" customWidth="1"/>
    <col min="16" max="16" width="4.08984375" bestFit="1" customWidth="1"/>
    <col min="17" max="17" width="4.36328125" bestFit="1" customWidth="1"/>
    <col min="18" max="18" width="4.54296875" bestFit="1" customWidth="1"/>
    <col min="19" max="19" width="3.90625" bestFit="1" customWidth="1"/>
    <col min="20" max="20" width="4.90625" bestFit="1" customWidth="1"/>
    <col min="21" max="21" width="4.453125" bestFit="1" customWidth="1"/>
    <col min="22" max="22" width="4.7265625" bestFit="1" customWidth="1"/>
    <col min="23" max="23" width="4.1796875" bestFit="1" customWidth="1"/>
    <col min="24" max="24" width="3.81640625" bestFit="1" customWidth="1"/>
    <col min="25" max="25" width="3.90625" bestFit="1" customWidth="1"/>
    <col min="26" max="26" width="5.08984375" bestFit="1" customWidth="1"/>
    <col min="27" max="27" width="3.90625" bestFit="1" customWidth="1"/>
    <col min="28" max="28" width="4.90625" bestFit="1" customWidth="1"/>
    <col min="29" max="29" width="4.6328125" bestFit="1" customWidth="1"/>
    <col min="30" max="30" width="4.7265625" bestFit="1" customWidth="1"/>
    <col min="31" max="31" width="4.90625" bestFit="1" customWidth="1"/>
    <col min="32" max="32" width="5" bestFit="1" customWidth="1"/>
    <col min="33" max="33" width="4.1796875" bestFit="1" customWidth="1"/>
    <col min="34" max="34" width="4.54296875" bestFit="1" customWidth="1"/>
    <col min="35" max="35" width="4.90625" bestFit="1" customWidth="1"/>
    <col min="36" max="36" width="4" bestFit="1" customWidth="1"/>
    <col min="37" max="37" width="3.54296875" bestFit="1" customWidth="1"/>
    <col min="38" max="38" width="3.90625" bestFit="1" customWidth="1"/>
    <col min="39" max="39" width="3.81640625" bestFit="1" customWidth="1"/>
    <col min="40" max="40" width="4.54296875" bestFit="1" customWidth="1"/>
    <col min="41" max="41" width="3.81640625" bestFit="1" customWidth="1"/>
    <col min="42" max="42" width="4.1796875" bestFit="1" customWidth="1"/>
    <col min="43" max="43" width="4.453125" bestFit="1" customWidth="1"/>
    <col min="44" max="44" width="4" bestFit="1" customWidth="1"/>
    <col min="45" max="45" width="4.54296875" bestFit="1" customWidth="1"/>
    <col min="46" max="46" width="3.90625" bestFit="1" customWidth="1"/>
    <col min="47" max="48" width="4.6328125" bestFit="1" customWidth="1"/>
    <col min="49" max="49" width="10.7265625" bestFit="1" customWidth="1"/>
  </cols>
  <sheetData>
    <row r="1" spans="1:2" x14ac:dyDescent="0.35">
      <c r="A1" s="15" t="s">
        <v>345</v>
      </c>
      <c r="B1" t="s">
        <v>346</v>
      </c>
    </row>
    <row r="3" spans="1:2" x14ac:dyDescent="0.35">
      <c r="A3" s="15" t="s">
        <v>124</v>
      </c>
      <c r="B3" t="s">
        <v>347</v>
      </c>
    </row>
    <row r="4" spans="1:2" x14ac:dyDescent="0.35">
      <c r="A4" s="16" t="s">
        <v>338</v>
      </c>
      <c r="B4">
        <v>8</v>
      </c>
    </row>
    <row r="5" spans="1:2" x14ac:dyDescent="0.35">
      <c r="A5" s="119" t="s">
        <v>163</v>
      </c>
      <c r="B5">
        <v>1</v>
      </c>
    </row>
    <row r="6" spans="1:2" x14ac:dyDescent="0.35">
      <c r="A6" s="119" t="s">
        <v>174</v>
      </c>
      <c r="B6">
        <v>1</v>
      </c>
    </row>
    <row r="7" spans="1:2" x14ac:dyDescent="0.35">
      <c r="A7" s="119" t="s">
        <v>160</v>
      </c>
      <c r="B7">
        <v>1</v>
      </c>
    </row>
    <row r="8" spans="1:2" x14ac:dyDescent="0.35">
      <c r="A8" s="119" t="s">
        <v>177</v>
      </c>
      <c r="B8">
        <v>1</v>
      </c>
    </row>
    <row r="9" spans="1:2" x14ac:dyDescent="0.35">
      <c r="A9" s="119" t="s">
        <v>156</v>
      </c>
      <c r="B9">
        <v>1</v>
      </c>
    </row>
    <row r="10" spans="1:2" x14ac:dyDescent="0.35">
      <c r="A10" s="119" t="s">
        <v>186</v>
      </c>
      <c r="B10">
        <v>1</v>
      </c>
    </row>
    <row r="11" spans="1:2" x14ac:dyDescent="0.35">
      <c r="A11" s="119" t="s">
        <v>195</v>
      </c>
      <c r="B11">
        <v>1</v>
      </c>
    </row>
    <row r="12" spans="1:2" x14ac:dyDescent="0.35">
      <c r="A12" s="119" t="s">
        <v>193</v>
      </c>
      <c r="B12">
        <v>1</v>
      </c>
    </row>
    <row r="13" spans="1:2" x14ac:dyDescent="0.35">
      <c r="A13" s="16" t="s">
        <v>337</v>
      </c>
      <c r="B13">
        <v>14</v>
      </c>
    </row>
    <row r="14" spans="1:2" x14ac:dyDescent="0.35">
      <c r="A14" s="119" t="s">
        <v>162</v>
      </c>
      <c r="B14">
        <v>1</v>
      </c>
    </row>
    <row r="15" spans="1:2" x14ac:dyDescent="0.35">
      <c r="A15" s="119" t="s">
        <v>151</v>
      </c>
      <c r="B15">
        <v>1</v>
      </c>
    </row>
    <row r="16" spans="1:2" x14ac:dyDescent="0.35">
      <c r="A16" s="119" t="s">
        <v>152</v>
      </c>
      <c r="B16">
        <v>1</v>
      </c>
    </row>
    <row r="17" spans="1:2" x14ac:dyDescent="0.35">
      <c r="A17" s="119" t="s">
        <v>189</v>
      </c>
      <c r="B17">
        <v>1</v>
      </c>
    </row>
    <row r="18" spans="1:2" x14ac:dyDescent="0.35">
      <c r="A18" s="119" t="s">
        <v>167</v>
      </c>
      <c r="B18">
        <v>1</v>
      </c>
    </row>
    <row r="19" spans="1:2" x14ac:dyDescent="0.35">
      <c r="A19" s="119" t="s">
        <v>161</v>
      </c>
      <c r="B19">
        <v>1</v>
      </c>
    </row>
    <row r="20" spans="1:2" x14ac:dyDescent="0.35">
      <c r="A20" s="119" t="s">
        <v>194</v>
      </c>
      <c r="B20">
        <v>1</v>
      </c>
    </row>
    <row r="21" spans="1:2" x14ac:dyDescent="0.35">
      <c r="A21" s="119" t="s">
        <v>172</v>
      </c>
      <c r="B21">
        <v>1</v>
      </c>
    </row>
    <row r="22" spans="1:2" x14ac:dyDescent="0.35">
      <c r="A22" s="119" t="s">
        <v>173</v>
      </c>
      <c r="B22">
        <v>1</v>
      </c>
    </row>
    <row r="23" spans="1:2" x14ac:dyDescent="0.35">
      <c r="A23" s="119" t="s">
        <v>176</v>
      </c>
      <c r="B23">
        <v>1</v>
      </c>
    </row>
    <row r="24" spans="1:2" x14ac:dyDescent="0.35">
      <c r="A24" s="119" t="s">
        <v>160</v>
      </c>
      <c r="B24">
        <v>1</v>
      </c>
    </row>
    <row r="25" spans="1:2" x14ac:dyDescent="0.35">
      <c r="A25" s="119" t="s">
        <v>177</v>
      </c>
      <c r="B25">
        <v>1</v>
      </c>
    </row>
    <row r="26" spans="1:2" x14ac:dyDescent="0.35">
      <c r="A26" s="119" t="s">
        <v>159</v>
      </c>
      <c r="B26">
        <v>1</v>
      </c>
    </row>
    <row r="27" spans="1:2" x14ac:dyDescent="0.35">
      <c r="A27" s="119" t="s">
        <v>187</v>
      </c>
      <c r="B27">
        <v>1</v>
      </c>
    </row>
    <row r="28" spans="1:2" x14ac:dyDescent="0.35">
      <c r="A28" s="16" t="s">
        <v>327</v>
      </c>
      <c r="B28">
        <v>5</v>
      </c>
    </row>
    <row r="29" spans="1:2" x14ac:dyDescent="0.35">
      <c r="A29" s="119" t="s">
        <v>152</v>
      </c>
      <c r="B29">
        <v>1</v>
      </c>
    </row>
    <row r="30" spans="1:2" x14ac:dyDescent="0.35">
      <c r="A30" s="119" t="s">
        <v>160</v>
      </c>
      <c r="B30">
        <v>1</v>
      </c>
    </row>
    <row r="31" spans="1:2" x14ac:dyDescent="0.35">
      <c r="A31" s="119" t="s">
        <v>178</v>
      </c>
      <c r="B31">
        <v>1</v>
      </c>
    </row>
    <row r="32" spans="1:2" x14ac:dyDescent="0.35">
      <c r="A32" s="119" t="s">
        <v>190</v>
      </c>
      <c r="B32">
        <v>1</v>
      </c>
    </row>
    <row r="33" spans="1:2" x14ac:dyDescent="0.35">
      <c r="A33" s="119" t="s">
        <v>191</v>
      </c>
      <c r="B33">
        <v>1</v>
      </c>
    </row>
    <row r="34" spans="1:2" x14ac:dyDescent="0.35">
      <c r="A34" s="16" t="s">
        <v>326</v>
      </c>
      <c r="B34">
        <v>8</v>
      </c>
    </row>
    <row r="35" spans="1:2" x14ac:dyDescent="0.35">
      <c r="A35" s="119" t="s">
        <v>152</v>
      </c>
      <c r="B35">
        <v>1</v>
      </c>
    </row>
    <row r="36" spans="1:2" x14ac:dyDescent="0.35">
      <c r="A36" s="119" t="s">
        <v>154</v>
      </c>
      <c r="B36">
        <v>1</v>
      </c>
    </row>
    <row r="37" spans="1:2" x14ac:dyDescent="0.35">
      <c r="A37" s="119" t="s">
        <v>161</v>
      </c>
      <c r="B37">
        <v>1</v>
      </c>
    </row>
    <row r="38" spans="1:2" x14ac:dyDescent="0.35">
      <c r="A38" s="119" t="s">
        <v>173</v>
      </c>
      <c r="B38">
        <v>1</v>
      </c>
    </row>
    <row r="39" spans="1:2" x14ac:dyDescent="0.35">
      <c r="A39" s="119" t="s">
        <v>160</v>
      </c>
      <c r="B39">
        <v>1</v>
      </c>
    </row>
    <row r="40" spans="1:2" x14ac:dyDescent="0.35">
      <c r="A40" s="119" t="s">
        <v>178</v>
      </c>
      <c r="B40">
        <v>1</v>
      </c>
    </row>
    <row r="41" spans="1:2" x14ac:dyDescent="0.35">
      <c r="A41" s="119" t="s">
        <v>190</v>
      </c>
      <c r="B41">
        <v>1</v>
      </c>
    </row>
    <row r="42" spans="1:2" x14ac:dyDescent="0.35">
      <c r="A42" s="119" t="s">
        <v>191</v>
      </c>
      <c r="B42">
        <v>1</v>
      </c>
    </row>
    <row r="43" spans="1:2" x14ac:dyDescent="0.35">
      <c r="A43" s="16" t="s">
        <v>334</v>
      </c>
      <c r="B43">
        <v>3</v>
      </c>
    </row>
    <row r="44" spans="1:2" x14ac:dyDescent="0.35">
      <c r="A44" s="119" t="s">
        <v>162</v>
      </c>
      <c r="B44">
        <v>1</v>
      </c>
    </row>
    <row r="45" spans="1:2" x14ac:dyDescent="0.35">
      <c r="A45" s="119" t="s">
        <v>157</v>
      </c>
      <c r="B45">
        <v>1</v>
      </c>
    </row>
    <row r="46" spans="1:2" x14ac:dyDescent="0.35">
      <c r="A46" s="119" t="s">
        <v>184</v>
      </c>
      <c r="B46">
        <v>1</v>
      </c>
    </row>
    <row r="47" spans="1:2" x14ac:dyDescent="0.35">
      <c r="A47" s="16" t="s">
        <v>332</v>
      </c>
      <c r="B47">
        <v>4</v>
      </c>
    </row>
    <row r="48" spans="1:2" x14ac:dyDescent="0.35">
      <c r="A48" s="119" t="s">
        <v>162</v>
      </c>
      <c r="B48">
        <v>1</v>
      </c>
    </row>
    <row r="49" spans="1:2" x14ac:dyDescent="0.35">
      <c r="A49" s="119" t="s">
        <v>170</v>
      </c>
      <c r="B49">
        <v>1</v>
      </c>
    </row>
    <row r="50" spans="1:2" x14ac:dyDescent="0.35">
      <c r="A50" s="119" t="s">
        <v>179</v>
      </c>
      <c r="B50">
        <v>1</v>
      </c>
    </row>
    <row r="51" spans="1:2" x14ac:dyDescent="0.35">
      <c r="A51" s="119" t="s">
        <v>153</v>
      </c>
      <c r="B51">
        <v>1</v>
      </c>
    </row>
    <row r="52" spans="1:2" x14ac:dyDescent="0.35">
      <c r="A52" s="16" t="s">
        <v>333</v>
      </c>
      <c r="B52">
        <v>8</v>
      </c>
    </row>
    <row r="53" spans="1:2" x14ac:dyDescent="0.35">
      <c r="A53" s="119" t="s">
        <v>162</v>
      </c>
      <c r="B53">
        <v>1</v>
      </c>
    </row>
    <row r="54" spans="1:2" x14ac:dyDescent="0.35">
      <c r="A54" s="119" t="s">
        <v>152</v>
      </c>
      <c r="B54">
        <v>1</v>
      </c>
    </row>
    <row r="55" spans="1:2" x14ac:dyDescent="0.35">
      <c r="A55" s="119" t="s">
        <v>171</v>
      </c>
      <c r="B55">
        <v>1</v>
      </c>
    </row>
    <row r="56" spans="1:2" x14ac:dyDescent="0.35">
      <c r="A56" s="119" t="s">
        <v>174</v>
      </c>
      <c r="B56">
        <v>1</v>
      </c>
    </row>
    <row r="57" spans="1:2" x14ac:dyDescent="0.35">
      <c r="A57" s="119" t="s">
        <v>170</v>
      </c>
      <c r="B57">
        <v>1</v>
      </c>
    </row>
    <row r="58" spans="1:2" x14ac:dyDescent="0.35">
      <c r="A58" s="119" t="s">
        <v>179</v>
      </c>
      <c r="B58">
        <v>1</v>
      </c>
    </row>
    <row r="59" spans="1:2" x14ac:dyDescent="0.35">
      <c r="A59" s="119" t="s">
        <v>181</v>
      </c>
      <c r="B59">
        <v>1</v>
      </c>
    </row>
    <row r="60" spans="1:2" x14ac:dyDescent="0.35">
      <c r="A60" s="119" t="s">
        <v>188</v>
      </c>
      <c r="B60">
        <v>1</v>
      </c>
    </row>
    <row r="61" spans="1:2" x14ac:dyDescent="0.35">
      <c r="A61" s="16" t="s">
        <v>331</v>
      </c>
      <c r="B61">
        <v>7</v>
      </c>
    </row>
    <row r="62" spans="1:2" x14ac:dyDescent="0.35">
      <c r="A62" s="119" t="s">
        <v>151</v>
      </c>
      <c r="B62">
        <v>1</v>
      </c>
    </row>
    <row r="63" spans="1:2" x14ac:dyDescent="0.35">
      <c r="A63" s="119" t="s">
        <v>152</v>
      </c>
      <c r="B63">
        <v>1</v>
      </c>
    </row>
    <row r="64" spans="1:2" x14ac:dyDescent="0.35">
      <c r="A64" s="119" t="s">
        <v>167</v>
      </c>
      <c r="B64">
        <v>1</v>
      </c>
    </row>
    <row r="65" spans="1:2" x14ac:dyDescent="0.35">
      <c r="A65" s="119" t="s">
        <v>171</v>
      </c>
      <c r="B65">
        <v>1</v>
      </c>
    </row>
    <row r="66" spans="1:2" x14ac:dyDescent="0.35">
      <c r="A66" s="119" t="s">
        <v>176</v>
      </c>
      <c r="B66">
        <v>1</v>
      </c>
    </row>
    <row r="67" spans="1:2" x14ac:dyDescent="0.35">
      <c r="A67" s="119" t="s">
        <v>182</v>
      </c>
      <c r="B67">
        <v>1</v>
      </c>
    </row>
    <row r="68" spans="1:2" x14ac:dyDescent="0.35">
      <c r="A68" s="119" t="s">
        <v>191</v>
      </c>
      <c r="B68">
        <v>1</v>
      </c>
    </row>
    <row r="69" spans="1:2" x14ac:dyDescent="0.35">
      <c r="A69" s="16" t="s">
        <v>329</v>
      </c>
      <c r="B69">
        <v>4</v>
      </c>
    </row>
    <row r="70" spans="1:2" x14ac:dyDescent="0.35">
      <c r="A70" s="119" t="s">
        <v>152</v>
      </c>
      <c r="B70">
        <v>1</v>
      </c>
    </row>
    <row r="71" spans="1:2" x14ac:dyDescent="0.35">
      <c r="A71" s="119" t="s">
        <v>161</v>
      </c>
      <c r="B71">
        <v>1</v>
      </c>
    </row>
    <row r="72" spans="1:2" x14ac:dyDescent="0.35">
      <c r="A72" s="119" t="s">
        <v>176</v>
      </c>
      <c r="B72">
        <v>1</v>
      </c>
    </row>
    <row r="73" spans="1:2" x14ac:dyDescent="0.35">
      <c r="A73" s="119" t="s">
        <v>160</v>
      </c>
      <c r="B73">
        <v>1</v>
      </c>
    </row>
    <row r="74" spans="1:2" x14ac:dyDescent="0.35">
      <c r="A74" s="16" t="s">
        <v>330</v>
      </c>
      <c r="B74">
        <v>6</v>
      </c>
    </row>
    <row r="75" spans="1:2" x14ac:dyDescent="0.35">
      <c r="A75" s="119" t="s">
        <v>161</v>
      </c>
      <c r="B75">
        <v>1</v>
      </c>
    </row>
    <row r="76" spans="1:2" x14ac:dyDescent="0.35">
      <c r="A76" s="119" t="s">
        <v>176</v>
      </c>
      <c r="B76">
        <v>1</v>
      </c>
    </row>
    <row r="77" spans="1:2" x14ac:dyDescent="0.35">
      <c r="A77" s="119" t="s">
        <v>181</v>
      </c>
      <c r="B77">
        <v>1</v>
      </c>
    </row>
    <row r="78" spans="1:2" x14ac:dyDescent="0.35">
      <c r="A78" s="119" t="s">
        <v>158</v>
      </c>
      <c r="B78">
        <v>1</v>
      </c>
    </row>
    <row r="79" spans="1:2" x14ac:dyDescent="0.35">
      <c r="A79" s="119" t="s">
        <v>188</v>
      </c>
      <c r="B79">
        <v>1</v>
      </c>
    </row>
    <row r="80" spans="1:2" x14ac:dyDescent="0.35">
      <c r="A80" s="119" t="s">
        <v>185</v>
      </c>
      <c r="B80">
        <v>1</v>
      </c>
    </row>
    <row r="81" spans="1:2" x14ac:dyDescent="0.35">
      <c r="A81" s="16" t="s">
        <v>336</v>
      </c>
      <c r="B81">
        <v>6</v>
      </c>
    </row>
    <row r="82" spans="1:2" x14ac:dyDescent="0.35">
      <c r="A82" s="119" t="s">
        <v>162</v>
      </c>
      <c r="B82">
        <v>1</v>
      </c>
    </row>
    <row r="83" spans="1:2" x14ac:dyDescent="0.35">
      <c r="A83" s="119" t="s">
        <v>167</v>
      </c>
      <c r="B83">
        <v>1</v>
      </c>
    </row>
    <row r="84" spans="1:2" x14ac:dyDescent="0.35">
      <c r="A84" s="119" t="s">
        <v>176</v>
      </c>
      <c r="B84">
        <v>1</v>
      </c>
    </row>
    <row r="85" spans="1:2" x14ac:dyDescent="0.35">
      <c r="A85" s="119" t="s">
        <v>156</v>
      </c>
      <c r="B85">
        <v>1</v>
      </c>
    </row>
    <row r="86" spans="1:2" x14ac:dyDescent="0.35">
      <c r="A86" s="119" t="s">
        <v>159</v>
      </c>
      <c r="B86">
        <v>1</v>
      </c>
    </row>
    <row r="87" spans="1:2" x14ac:dyDescent="0.35">
      <c r="A87" s="119" t="s">
        <v>193</v>
      </c>
      <c r="B87">
        <v>1</v>
      </c>
    </row>
    <row r="88" spans="1:2" x14ac:dyDescent="0.35">
      <c r="A88" s="16" t="s">
        <v>335</v>
      </c>
      <c r="B88">
        <v>17</v>
      </c>
    </row>
    <row r="89" spans="1:2" x14ac:dyDescent="0.35">
      <c r="A89" s="119" t="s">
        <v>162</v>
      </c>
      <c r="B89">
        <v>1</v>
      </c>
    </row>
    <row r="90" spans="1:2" x14ac:dyDescent="0.35">
      <c r="A90" s="119" t="s">
        <v>152</v>
      </c>
      <c r="B90">
        <v>1</v>
      </c>
    </row>
    <row r="91" spans="1:2" x14ac:dyDescent="0.35">
      <c r="A91" s="119" t="s">
        <v>166</v>
      </c>
      <c r="B91">
        <v>1</v>
      </c>
    </row>
    <row r="92" spans="1:2" x14ac:dyDescent="0.35">
      <c r="A92" s="119" t="s">
        <v>154</v>
      </c>
      <c r="B92">
        <v>1</v>
      </c>
    </row>
    <row r="93" spans="1:2" x14ac:dyDescent="0.35">
      <c r="A93" s="119" t="s">
        <v>189</v>
      </c>
      <c r="B93">
        <v>1</v>
      </c>
    </row>
    <row r="94" spans="1:2" x14ac:dyDescent="0.35">
      <c r="A94" s="119" t="s">
        <v>167</v>
      </c>
      <c r="B94">
        <v>1</v>
      </c>
    </row>
    <row r="95" spans="1:2" x14ac:dyDescent="0.35">
      <c r="A95" s="119" t="s">
        <v>161</v>
      </c>
      <c r="B95">
        <v>1</v>
      </c>
    </row>
    <row r="96" spans="1:2" x14ac:dyDescent="0.35">
      <c r="A96" s="119" t="s">
        <v>194</v>
      </c>
      <c r="B96">
        <v>1</v>
      </c>
    </row>
    <row r="97" spans="1:2" x14ac:dyDescent="0.35">
      <c r="A97" s="119" t="s">
        <v>171</v>
      </c>
      <c r="B97">
        <v>1</v>
      </c>
    </row>
    <row r="98" spans="1:2" x14ac:dyDescent="0.35">
      <c r="A98" s="119" t="s">
        <v>174</v>
      </c>
      <c r="B98">
        <v>1</v>
      </c>
    </row>
    <row r="99" spans="1:2" x14ac:dyDescent="0.35">
      <c r="A99" s="119" t="s">
        <v>160</v>
      </c>
      <c r="B99">
        <v>1</v>
      </c>
    </row>
    <row r="100" spans="1:2" x14ac:dyDescent="0.35">
      <c r="A100" s="119" t="s">
        <v>177</v>
      </c>
      <c r="B100">
        <v>1</v>
      </c>
    </row>
    <row r="101" spans="1:2" x14ac:dyDescent="0.35">
      <c r="A101" s="119" t="s">
        <v>180</v>
      </c>
      <c r="B101">
        <v>1</v>
      </c>
    </row>
    <row r="102" spans="1:2" x14ac:dyDescent="0.35">
      <c r="A102" s="119" t="s">
        <v>178</v>
      </c>
      <c r="B102">
        <v>1</v>
      </c>
    </row>
    <row r="103" spans="1:2" x14ac:dyDescent="0.35">
      <c r="A103" s="119" t="s">
        <v>188</v>
      </c>
      <c r="B103">
        <v>1</v>
      </c>
    </row>
    <row r="104" spans="1:2" x14ac:dyDescent="0.35">
      <c r="A104" s="119" t="s">
        <v>159</v>
      </c>
      <c r="B104">
        <v>1</v>
      </c>
    </row>
    <row r="105" spans="1:2" x14ac:dyDescent="0.35">
      <c r="A105" s="119" t="s">
        <v>185</v>
      </c>
      <c r="B105">
        <v>1</v>
      </c>
    </row>
    <row r="106" spans="1:2" x14ac:dyDescent="0.35">
      <c r="A106" s="16" t="s">
        <v>339</v>
      </c>
      <c r="B106">
        <v>2</v>
      </c>
    </row>
    <row r="107" spans="1:2" x14ac:dyDescent="0.35">
      <c r="A107" s="119" t="s">
        <v>165</v>
      </c>
      <c r="B107">
        <v>1</v>
      </c>
    </row>
    <row r="108" spans="1:2" x14ac:dyDescent="0.35">
      <c r="A108" s="119" t="s">
        <v>187</v>
      </c>
      <c r="B108">
        <v>1</v>
      </c>
    </row>
    <row r="109" spans="1:2" x14ac:dyDescent="0.35">
      <c r="A109" s="16" t="s">
        <v>328</v>
      </c>
      <c r="B109">
        <v>13</v>
      </c>
    </row>
    <row r="110" spans="1:2" x14ac:dyDescent="0.35">
      <c r="A110" s="119" t="s">
        <v>165</v>
      </c>
      <c r="B110">
        <v>1</v>
      </c>
    </row>
    <row r="111" spans="1:2" x14ac:dyDescent="0.35">
      <c r="A111" s="119" t="s">
        <v>152</v>
      </c>
      <c r="B111">
        <v>1</v>
      </c>
    </row>
    <row r="112" spans="1:2" x14ac:dyDescent="0.35">
      <c r="A112" s="119" t="s">
        <v>166</v>
      </c>
      <c r="B112">
        <v>1</v>
      </c>
    </row>
    <row r="113" spans="1:2" x14ac:dyDescent="0.35">
      <c r="A113" s="119" t="s">
        <v>167</v>
      </c>
      <c r="B113">
        <v>1</v>
      </c>
    </row>
    <row r="114" spans="1:2" x14ac:dyDescent="0.35">
      <c r="A114" s="119" t="s">
        <v>161</v>
      </c>
      <c r="B114">
        <v>1</v>
      </c>
    </row>
    <row r="115" spans="1:2" x14ac:dyDescent="0.35">
      <c r="A115" s="119" t="s">
        <v>194</v>
      </c>
      <c r="B115">
        <v>1</v>
      </c>
    </row>
    <row r="116" spans="1:2" x14ac:dyDescent="0.35">
      <c r="A116" s="119" t="s">
        <v>174</v>
      </c>
      <c r="B116">
        <v>1</v>
      </c>
    </row>
    <row r="117" spans="1:2" x14ac:dyDescent="0.35">
      <c r="A117" s="119" t="s">
        <v>160</v>
      </c>
      <c r="B117">
        <v>1</v>
      </c>
    </row>
    <row r="118" spans="1:2" x14ac:dyDescent="0.35">
      <c r="A118" s="119" t="s">
        <v>180</v>
      </c>
      <c r="B118">
        <v>1</v>
      </c>
    </row>
    <row r="119" spans="1:2" x14ac:dyDescent="0.35">
      <c r="A119" s="119" t="s">
        <v>182</v>
      </c>
      <c r="B119">
        <v>1</v>
      </c>
    </row>
    <row r="120" spans="1:2" x14ac:dyDescent="0.35">
      <c r="A120" s="119" t="s">
        <v>156</v>
      </c>
      <c r="B120">
        <v>1</v>
      </c>
    </row>
    <row r="121" spans="1:2" x14ac:dyDescent="0.35">
      <c r="A121" s="119" t="s">
        <v>186</v>
      </c>
      <c r="B121">
        <v>1</v>
      </c>
    </row>
    <row r="122" spans="1:2" x14ac:dyDescent="0.35">
      <c r="A122" s="119" t="s">
        <v>159</v>
      </c>
      <c r="B122">
        <v>1</v>
      </c>
    </row>
    <row r="123" spans="1:2" x14ac:dyDescent="0.35">
      <c r="A123" s="16" t="s">
        <v>126</v>
      </c>
      <c r="B123">
        <v>3</v>
      </c>
    </row>
    <row r="124" spans="1:2" x14ac:dyDescent="0.35">
      <c r="A124" s="119" t="s">
        <v>157</v>
      </c>
      <c r="B124">
        <v>1</v>
      </c>
    </row>
    <row r="125" spans="1:2" x14ac:dyDescent="0.35">
      <c r="A125" s="119" t="s">
        <v>184</v>
      </c>
      <c r="B125">
        <v>1</v>
      </c>
    </row>
    <row r="126" spans="1:2" x14ac:dyDescent="0.35">
      <c r="A126" s="119" t="s">
        <v>187</v>
      </c>
      <c r="B126">
        <v>1</v>
      </c>
    </row>
    <row r="127" spans="1:2" x14ac:dyDescent="0.35">
      <c r="A127" s="16" t="s">
        <v>127</v>
      </c>
      <c r="B127">
        <v>1</v>
      </c>
    </row>
    <row r="128" spans="1:2" x14ac:dyDescent="0.35">
      <c r="A128" s="119" t="s">
        <v>162</v>
      </c>
      <c r="B128">
        <v>1</v>
      </c>
    </row>
    <row r="129" spans="1:2" x14ac:dyDescent="0.35">
      <c r="A129" s="16" t="s">
        <v>61</v>
      </c>
      <c r="B129">
        <v>8</v>
      </c>
    </row>
    <row r="130" spans="1:2" x14ac:dyDescent="0.35">
      <c r="A130" s="119" t="s">
        <v>166</v>
      </c>
      <c r="B130">
        <v>1</v>
      </c>
    </row>
    <row r="131" spans="1:2" x14ac:dyDescent="0.35">
      <c r="A131" s="119" t="s">
        <v>154</v>
      </c>
      <c r="B131">
        <v>1</v>
      </c>
    </row>
    <row r="132" spans="1:2" x14ac:dyDescent="0.35">
      <c r="A132" s="119" t="s">
        <v>167</v>
      </c>
      <c r="B132">
        <v>1</v>
      </c>
    </row>
    <row r="133" spans="1:2" x14ac:dyDescent="0.35">
      <c r="A133" s="119" t="s">
        <v>161</v>
      </c>
      <c r="B133">
        <v>1</v>
      </c>
    </row>
    <row r="134" spans="1:2" x14ac:dyDescent="0.35">
      <c r="A134" s="119" t="s">
        <v>180</v>
      </c>
      <c r="B134">
        <v>1</v>
      </c>
    </row>
    <row r="135" spans="1:2" x14ac:dyDescent="0.35">
      <c r="A135" s="119" t="s">
        <v>178</v>
      </c>
      <c r="B135">
        <v>1</v>
      </c>
    </row>
    <row r="136" spans="1:2" x14ac:dyDescent="0.35">
      <c r="A136" s="119" t="s">
        <v>159</v>
      </c>
      <c r="B136">
        <v>1</v>
      </c>
    </row>
    <row r="137" spans="1:2" x14ac:dyDescent="0.35">
      <c r="A137" s="119" t="s">
        <v>197</v>
      </c>
      <c r="B137">
        <v>1</v>
      </c>
    </row>
    <row r="138" spans="1:2" x14ac:dyDescent="0.35">
      <c r="A138" s="16" t="s">
        <v>62</v>
      </c>
      <c r="B138">
        <v>11</v>
      </c>
    </row>
    <row r="139" spans="1:2" x14ac:dyDescent="0.35">
      <c r="A139" s="119" t="s">
        <v>162</v>
      </c>
      <c r="B139">
        <v>1</v>
      </c>
    </row>
    <row r="140" spans="1:2" x14ac:dyDescent="0.35">
      <c r="A140" s="119" t="s">
        <v>165</v>
      </c>
      <c r="B140">
        <v>1</v>
      </c>
    </row>
    <row r="141" spans="1:2" x14ac:dyDescent="0.35">
      <c r="A141" s="119" t="s">
        <v>151</v>
      </c>
      <c r="B141">
        <v>1</v>
      </c>
    </row>
    <row r="142" spans="1:2" x14ac:dyDescent="0.35">
      <c r="A142" s="119" t="s">
        <v>152</v>
      </c>
      <c r="B142">
        <v>1</v>
      </c>
    </row>
    <row r="143" spans="1:2" x14ac:dyDescent="0.35">
      <c r="A143" s="119" t="s">
        <v>168</v>
      </c>
      <c r="B143">
        <v>1</v>
      </c>
    </row>
    <row r="144" spans="1:2" x14ac:dyDescent="0.35">
      <c r="A144" s="119" t="s">
        <v>167</v>
      </c>
      <c r="B144">
        <v>1</v>
      </c>
    </row>
    <row r="145" spans="1:2" x14ac:dyDescent="0.35">
      <c r="A145" s="119" t="s">
        <v>161</v>
      </c>
      <c r="B145">
        <v>1</v>
      </c>
    </row>
    <row r="146" spans="1:2" x14ac:dyDescent="0.35">
      <c r="A146" s="119" t="s">
        <v>175</v>
      </c>
      <c r="B146">
        <v>1</v>
      </c>
    </row>
    <row r="147" spans="1:2" x14ac:dyDescent="0.35">
      <c r="A147" s="119" t="s">
        <v>153</v>
      </c>
      <c r="B147">
        <v>1</v>
      </c>
    </row>
    <row r="148" spans="1:2" x14ac:dyDescent="0.35">
      <c r="A148" s="119" t="s">
        <v>159</v>
      </c>
      <c r="B148">
        <v>1</v>
      </c>
    </row>
    <row r="149" spans="1:2" x14ac:dyDescent="0.35">
      <c r="A149" s="119" t="s">
        <v>197</v>
      </c>
      <c r="B149">
        <v>1</v>
      </c>
    </row>
    <row r="150" spans="1:2" x14ac:dyDescent="0.35">
      <c r="A150" s="16" t="s">
        <v>204</v>
      </c>
      <c r="B150">
        <v>3</v>
      </c>
    </row>
    <row r="151" spans="1:2" x14ac:dyDescent="0.35">
      <c r="A151" s="119" t="s">
        <v>160</v>
      </c>
      <c r="B151">
        <v>1</v>
      </c>
    </row>
    <row r="152" spans="1:2" x14ac:dyDescent="0.35">
      <c r="A152" s="119" t="s">
        <v>182</v>
      </c>
      <c r="B152">
        <v>1</v>
      </c>
    </row>
    <row r="153" spans="1:2" x14ac:dyDescent="0.35">
      <c r="A153" s="119" t="s">
        <v>169</v>
      </c>
      <c r="B153">
        <v>1</v>
      </c>
    </row>
    <row r="154" spans="1:2" x14ac:dyDescent="0.35">
      <c r="A154" s="16" t="s">
        <v>205</v>
      </c>
      <c r="B154">
        <v>12</v>
      </c>
    </row>
    <row r="155" spans="1:2" x14ac:dyDescent="0.35">
      <c r="A155" s="119" t="s">
        <v>157</v>
      </c>
      <c r="B155">
        <v>1</v>
      </c>
    </row>
    <row r="156" spans="1:2" x14ac:dyDescent="0.35">
      <c r="A156" s="119" t="s">
        <v>174</v>
      </c>
      <c r="B156">
        <v>1</v>
      </c>
    </row>
    <row r="157" spans="1:2" x14ac:dyDescent="0.35">
      <c r="A157" s="119" t="s">
        <v>177</v>
      </c>
      <c r="B157">
        <v>1</v>
      </c>
    </row>
    <row r="158" spans="1:2" x14ac:dyDescent="0.35">
      <c r="A158" s="119" t="s">
        <v>181</v>
      </c>
      <c r="B158">
        <v>1</v>
      </c>
    </row>
    <row r="159" spans="1:2" x14ac:dyDescent="0.35">
      <c r="A159" s="119" t="s">
        <v>182</v>
      </c>
      <c r="B159">
        <v>1</v>
      </c>
    </row>
    <row r="160" spans="1:2" x14ac:dyDescent="0.35">
      <c r="A160" s="119" t="s">
        <v>190</v>
      </c>
      <c r="B160">
        <v>1</v>
      </c>
    </row>
    <row r="161" spans="1:2" x14ac:dyDescent="0.35">
      <c r="A161" s="119" t="s">
        <v>156</v>
      </c>
      <c r="B161">
        <v>1</v>
      </c>
    </row>
    <row r="162" spans="1:2" x14ac:dyDescent="0.35">
      <c r="A162" s="119" t="s">
        <v>184</v>
      </c>
      <c r="B162">
        <v>1</v>
      </c>
    </row>
    <row r="163" spans="1:2" x14ac:dyDescent="0.35">
      <c r="A163" s="119" t="s">
        <v>186</v>
      </c>
      <c r="B163">
        <v>1</v>
      </c>
    </row>
    <row r="164" spans="1:2" x14ac:dyDescent="0.35">
      <c r="A164" s="119" t="s">
        <v>195</v>
      </c>
      <c r="B164">
        <v>1</v>
      </c>
    </row>
    <row r="165" spans="1:2" x14ac:dyDescent="0.35">
      <c r="A165" s="119" t="s">
        <v>197</v>
      </c>
      <c r="B165">
        <v>1</v>
      </c>
    </row>
    <row r="166" spans="1:2" x14ac:dyDescent="0.35">
      <c r="A166" s="119" t="s">
        <v>187</v>
      </c>
      <c r="B166">
        <v>1</v>
      </c>
    </row>
    <row r="167" spans="1:2" x14ac:dyDescent="0.35">
      <c r="A167" s="16" t="s">
        <v>133</v>
      </c>
      <c r="B167">
        <v>14</v>
      </c>
    </row>
    <row r="168" spans="1:2" x14ac:dyDescent="0.35">
      <c r="A168" s="119" t="s">
        <v>162</v>
      </c>
      <c r="B168">
        <v>1</v>
      </c>
    </row>
    <row r="169" spans="1:2" x14ac:dyDescent="0.35">
      <c r="A169" s="119" t="s">
        <v>194</v>
      </c>
      <c r="B169">
        <v>1</v>
      </c>
    </row>
    <row r="170" spans="1:2" x14ac:dyDescent="0.35">
      <c r="A170" s="119" t="s">
        <v>157</v>
      </c>
      <c r="B170">
        <v>1</v>
      </c>
    </row>
    <row r="171" spans="1:2" x14ac:dyDescent="0.35">
      <c r="A171" s="119" t="s">
        <v>171</v>
      </c>
      <c r="B171">
        <v>1</v>
      </c>
    </row>
    <row r="172" spans="1:2" x14ac:dyDescent="0.35">
      <c r="A172" s="119" t="s">
        <v>174</v>
      </c>
      <c r="B172">
        <v>1</v>
      </c>
    </row>
    <row r="173" spans="1:2" x14ac:dyDescent="0.35">
      <c r="A173" s="119" t="s">
        <v>181</v>
      </c>
      <c r="B173">
        <v>1</v>
      </c>
    </row>
    <row r="174" spans="1:2" x14ac:dyDescent="0.35">
      <c r="A174" s="119" t="s">
        <v>178</v>
      </c>
      <c r="B174">
        <v>1</v>
      </c>
    </row>
    <row r="175" spans="1:2" x14ac:dyDescent="0.35">
      <c r="A175" s="119" t="s">
        <v>182</v>
      </c>
      <c r="B175">
        <v>1</v>
      </c>
    </row>
    <row r="176" spans="1:2" x14ac:dyDescent="0.35">
      <c r="A176" s="119" t="s">
        <v>184</v>
      </c>
      <c r="B176">
        <v>1</v>
      </c>
    </row>
    <row r="177" spans="1:2" x14ac:dyDescent="0.35">
      <c r="A177" s="119" t="s">
        <v>186</v>
      </c>
      <c r="B177">
        <v>1</v>
      </c>
    </row>
    <row r="178" spans="1:2" x14ac:dyDescent="0.35">
      <c r="A178" s="119" t="s">
        <v>159</v>
      </c>
      <c r="B178">
        <v>1</v>
      </c>
    </row>
    <row r="179" spans="1:2" x14ac:dyDescent="0.35">
      <c r="A179" s="119" t="s">
        <v>195</v>
      </c>
      <c r="B179">
        <v>1</v>
      </c>
    </row>
    <row r="180" spans="1:2" x14ac:dyDescent="0.35">
      <c r="A180" s="119" t="s">
        <v>197</v>
      </c>
      <c r="B180">
        <v>1</v>
      </c>
    </row>
    <row r="181" spans="1:2" x14ac:dyDescent="0.35">
      <c r="A181" s="119" t="s">
        <v>187</v>
      </c>
      <c r="B181">
        <v>1</v>
      </c>
    </row>
    <row r="182" spans="1:2" x14ac:dyDescent="0.35">
      <c r="A182" s="16" t="s">
        <v>134</v>
      </c>
      <c r="B182">
        <v>7</v>
      </c>
    </row>
    <row r="183" spans="1:2" x14ac:dyDescent="0.35">
      <c r="A183" s="119" t="s">
        <v>162</v>
      </c>
      <c r="B183">
        <v>1</v>
      </c>
    </row>
    <row r="184" spans="1:2" x14ac:dyDescent="0.35">
      <c r="A184" s="119" t="s">
        <v>152</v>
      </c>
      <c r="B184">
        <v>1</v>
      </c>
    </row>
    <row r="185" spans="1:2" x14ac:dyDescent="0.35">
      <c r="A185" s="119" t="s">
        <v>168</v>
      </c>
      <c r="B185">
        <v>1</v>
      </c>
    </row>
    <row r="186" spans="1:2" x14ac:dyDescent="0.35">
      <c r="A186" s="119" t="s">
        <v>194</v>
      </c>
      <c r="B186">
        <v>1</v>
      </c>
    </row>
    <row r="187" spans="1:2" x14ac:dyDescent="0.35">
      <c r="A187" s="119" t="s">
        <v>157</v>
      </c>
      <c r="B187">
        <v>1</v>
      </c>
    </row>
    <row r="188" spans="1:2" x14ac:dyDescent="0.35">
      <c r="A188" s="119" t="s">
        <v>178</v>
      </c>
      <c r="B188">
        <v>1</v>
      </c>
    </row>
    <row r="189" spans="1:2" x14ac:dyDescent="0.35">
      <c r="A189" s="119" t="s">
        <v>156</v>
      </c>
      <c r="B189">
        <v>1</v>
      </c>
    </row>
    <row r="190" spans="1:2" x14ac:dyDescent="0.35">
      <c r="A190" s="16" t="s">
        <v>206</v>
      </c>
      <c r="B190">
        <v>5</v>
      </c>
    </row>
    <row r="191" spans="1:2" x14ac:dyDescent="0.35">
      <c r="A191" s="119" t="s">
        <v>160</v>
      </c>
      <c r="B191">
        <v>1</v>
      </c>
    </row>
    <row r="192" spans="1:2" x14ac:dyDescent="0.35">
      <c r="A192" s="119" t="s">
        <v>178</v>
      </c>
      <c r="B192">
        <v>1</v>
      </c>
    </row>
    <row r="193" spans="1:2" x14ac:dyDescent="0.35">
      <c r="A193" s="119" t="s">
        <v>182</v>
      </c>
      <c r="B193">
        <v>1</v>
      </c>
    </row>
    <row r="194" spans="1:2" x14ac:dyDescent="0.35">
      <c r="A194" s="119" t="s">
        <v>195</v>
      </c>
      <c r="B194">
        <v>1</v>
      </c>
    </row>
    <row r="195" spans="1:2" x14ac:dyDescent="0.35">
      <c r="A195" s="119" t="s">
        <v>197</v>
      </c>
      <c r="B195">
        <v>1</v>
      </c>
    </row>
    <row r="196" spans="1:2" x14ac:dyDescent="0.35">
      <c r="A196" s="16" t="s">
        <v>136</v>
      </c>
      <c r="B196">
        <v>3</v>
      </c>
    </row>
    <row r="197" spans="1:2" x14ac:dyDescent="0.35">
      <c r="A197" s="119" t="s">
        <v>162</v>
      </c>
      <c r="B197">
        <v>1</v>
      </c>
    </row>
    <row r="198" spans="1:2" x14ac:dyDescent="0.35">
      <c r="A198" s="119" t="s">
        <v>196</v>
      </c>
      <c r="B198">
        <v>1</v>
      </c>
    </row>
    <row r="199" spans="1:2" x14ac:dyDescent="0.35">
      <c r="A199" s="119" t="s">
        <v>184</v>
      </c>
      <c r="B199">
        <v>1</v>
      </c>
    </row>
    <row r="200" spans="1:2" x14ac:dyDescent="0.35">
      <c r="A200" s="16" t="s">
        <v>207</v>
      </c>
      <c r="B200">
        <v>2</v>
      </c>
    </row>
    <row r="201" spans="1:2" x14ac:dyDescent="0.35">
      <c r="A201" s="119" t="s">
        <v>157</v>
      </c>
      <c r="B201">
        <v>1</v>
      </c>
    </row>
    <row r="202" spans="1:2" x14ac:dyDescent="0.35">
      <c r="A202" s="119" t="s">
        <v>184</v>
      </c>
      <c r="B202">
        <v>1</v>
      </c>
    </row>
    <row r="203" spans="1:2" x14ac:dyDescent="0.35">
      <c r="A203" s="16" t="s">
        <v>141</v>
      </c>
      <c r="B203">
        <v>6</v>
      </c>
    </row>
    <row r="204" spans="1:2" x14ac:dyDescent="0.35">
      <c r="A204" s="119" t="s">
        <v>162</v>
      </c>
      <c r="B204">
        <v>1</v>
      </c>
    </row>
    <row r="205" spans="1:2" x14ac:dyDescent="0.35">
      <c r="A205" s="119" t="s">
        <v>167</v>
      </c>
      <c r="B205">
        <v>1</v>
      </c>
    </row>
    <row r="206" spans="1:2" x14ac:dyDescent="0.35">
      <c r="A206" s="119" t="s">
        <v>186</v>
      </c>
      <c r="B206">
        <v>1</v>
      </c>
    </row>
    <row r="207" spans="1:2" x14ac:dyDescent="0.35">
      <c r="A207" s="119" t="s">
        <v>169</v>
      </c>
      <c r="B207">
        <v>1</v>
      </c>
    </row>
    <row r="208" spans="1:2" x14ac:dyDescent="0.35">
      <c r="A208" s="119" t="s">
        <v>195</v>
      </c>
      <c r="B208">
        <v>1</v>
      </c>
    </row>
    <row r="209" spans="1:2" x14ac:dyDescent="0.35">
      <c r="A209" s="119" t="s">
        <v>187</v>
      </c>
      <c r="B209">
        <v>1</v>
      </c>
    </row>
    <row r="210" spans="1:2" x14ac:dyDescent="0.35">
      <c r="A210" s="16" t="s">
        <v>208</v>
      </c>
      <c r="B210">
        <v>10</v>
      </c>
    </row>
    <row r="211" spans="1:2" x14ac:dyDescent="0.35">
      <c r="A211" s="119" t="s">
        <v>151</v>
      </c>
      <c r="B211">
        <v>1</v>
      </c>
    </row>
    <row r="212" spans="1:2" x14ac:dyDescent="0.35">
      <c r="A212" s="119" t="s">
        <v>154</v>
      </c>
      <c r="B212">
        <v>1</v>
      </c>
    </row>
    <row r="213" spans="1:2" x14ac:dyDescent="0.35">
      <c r="A213" s="119" t="s">
        <v>157</v>
      </c>
      <c r="B213">
        <v>1</v>
      </c>
    </row>
    <row r="214" spans="1:2" x14ac:dyDescent="0.35">
      <c r="A214" s="119" t="s">
        <v>174</v>
      </c>
      <c r="B214">
        <v>1</v>
      </c>
    </row>
    <row r="215" spans="1:2" x14ac:dyDescent="0.35">
      <c r="A215" s="119" t="s">
        <v>160</v>
      </c>
      <c r="B215">
        <v>1</v>
      </c>
    </row>
    <row r="216" spans="1:2" x14ac:dyDescent="0.35">
      <c r="A216" s="119" t="s">
        <v>181</v>
      </c>
      <c r="B216">
        <v>1</v>
      </c>
    </row>
    <row r="217" spans="1:2" x14ac:dyDescent="0.35">
      <c r="A217" s="119" t="s">
        <v>184</v>
      </c>
      <c r="B217">
        <v>1</v>
      </c>
    </row>
    <row r="218" spans="1:2" x14ac:dyDescent="0.35">
      <c r="A218" s="119" t="s">
        <v>159</v>
      </c>
      <c r="B218">
        <v>1</v>
      </c>
    </row>
    <row r="219" spans="1:2" x14ac:dyDescent="0.35">
      <c r="A219" s="119" t="s">
        <v>169</v>
      </c>
      <c r="B219">
        <v>1</v>
      </c>
    </row>
    <row r="220" spans="1:2" x14ac:dyDescent="0.35">
      <c r="A220" s="119" t="s">
        <v>195</v>
      </c>
      <c r="B220">
        <v>1</v>
      </c>
    </row>
    <row r="221" spans="1:2" x14ac:dyDescent="0.35">
      <c r="A221" s="16" t="s">
        <v>209</v>
      </c>
      <c r="B221">
        <v>3</v>
      </c>
    </row>
    <row r="222" spans="1:2" x14ac:dyDescent="0.35">
      <c r="A222" s="119" t="s">
        <v>181</v>
      </c>
      <c r="B222">
        <v>1</v>
      </c>
    </row>
    <row r="223" spans="1:2" x14ac:dyDescent="0.35">
      <c r="A223" s="119" t="s">
        <v>184</v>
      </c>
      <c r="B223">
        <v>1</v>
      </c>
    </row>
    <row r="224" spans="1:2" x14ac:dyDescent="0.35">
      <c r="A224" s="119" t="s">
        <v>197</v>
      </c>
      <c r="B224">
        <v>1</v>
      </c>
    </row>
    <row r="225" spans="1:2" x14ac:dyDescent="0.35">
      <c r="A225" s="16" t="s">
        <v>142</v>
      </c>
      <c r="B225">
        <v>9</v>
      </c>
    </row>
    <row r="226" spans="1:2" x14ac:dyDescent="0.35">
      <c r="A226" s="119" t="s">
        <v>163</v>
      </c>
      <c r="B226">
        <v>1</v>
      </c>
    </row>
    <row r="227" spans="1:2" x14ac:dyDescent="0.35">
      <c r="A227" s="119" t="s">
        <v>164</v>
      </c>
      <c r="B227">
        <v>1</v>
      </c>
    </row>
    <row r="228" spans="1:2" x14ac:dyDescent="0.35">
      <c r="A228" s="119" t="s">
        <v>166</v>
      </c>
      <c r="B228">
        <v>1</v>
      </c>
    </row>
    <row r="229" spans="1:2" x14ac:dyDescent="0.35">
      <c r="A229" s="119" t="s">
        <v>174</v>
      </c>
      <c r="B229">
        <v>1</v>
      </c>
    </row>
    <row r="230" spans="1:2" x14ac:dyDescent="0.35">
      <c r="A230" s="119" t="s">
        <v>160</v>
      </c>
      <c r="B230">
        <v>1</v>
      </c>
    </row>
    <row r="231" spans="1:2" x14ac:dyDescent="0.35">
      <c r="A231" s="119" t="s">
        <v>178</v>
      </c>
      <c r="B231">
        <v>1</v>
      </c>
    </row>
    <row r="232" spans="1:2" x14ac:dyDescent="0.35">
      <c r="A232" s="119" t="s">
        <v>182</v>
      </c>
      <c r="B232">
        <v>1</v>
      </c>
    </row>
    <row r="233" spans="1:2" x14ac:dyDescent="0.35">
      <c r="A233" s="119" t="s">
        <v>195</v>
      </c>
      <c r="B233">
        <v>1</v>
      </c>
    </row>
    <row r="234" spans="1:2" x14ac:dyDescent="0.35">
      <c r="A234" s="119" t="s">
        <v>192</v>
      </c>
      <c r="B234">
        <v>1</v>
      </c>
    </row>
    <row r="235" spans="1:2" x14ac:dyDescent="0.35">
      <c r="A235" s="16" t="s">
        <v>203</v>
      </c>
      <c r="B235">
        <v>2</v>
      </c>
    </row>
    <row r="236" spans="1:2" x14ac:dyDescent="0.35">
      <c r="A236" s="119" t="s">
        <v>168</v>
      </c>
      <c r="B236">
        <v>1</v>
      </c>
    </row>
    <row r="237" spans="1:2" x14ac:dyDescent="0.35">
      <c r="A237" s="119" t="s">
        <v>169</v>
      </c>
      <c r="B237">
        <v>1</v>
      </c>
    </row>
    <row r="238" spans="1:2" x14ac:dyDescent="0.35">
      <c r="A238" s="16" t="s">
        <v>83</v>
      </c>
      <c r="B238">
        <v>7</v>
      </c>
    </row>
    <row r="239" spans="1:2" x14ac:dyDescent="0.35">
      <c r="A239" s="119" t="s">
        <v>167</v>
      </c>
      <c r="B239">
        <v>1</v>
      </c>
    </row>
    <row r="240" spans="1:2" x14ac:dyDescent="0.35">
      <c r="A240" s="119" t="s">
        <v>157</v>
      </c>
      <c r="B240">
        <v>1</v>
      </c>
    </row>
    <row r="241" spans="1:2" x14ac:dyDescent="0.35">
      <c r="A241" s="119" t="s">
        <v>174</v>
      </c>
      <c r="B241">
        <v>1</v>
      </c>
    </row>
    <row r="242" spans="1:2" x14ac:dyDescent="0.35">
      <c r="A242" s="119" t="s">
        <v>160</v>
      </c>
      <c r="B242">
        <v>1</v>
      </c>
    </row>
    <row r="243" spans="1:2" x14ac:dyDescent="0.35">
      <c r="A243" s="119" t="s">
        <v>156</v>
      </c>
      <c r="B243">
        <v>1</v>
      </c>
    </row>
    <row r="244" spans="1:2" x14ac:dyDescent="0.35">
      <c r="A244" s="119" t="s">
        <v>186</v>
      </c>
      <c r="B244">
        <v>1</v>
      </c>
    </row>
    <row r="245" spans="1:2" x14ac:dyDescent="0.35">
      <c r="A245" s="119" t="s">
        <v>187</v>
      </c>
      <c r="B245">
        <v>1</v>
      </c>
    </row>
    <row r="246" spans="1:2" x14ac:dyDescent="0.35">
      <c r="A246" s="16" t="s">
        <v>87</v>
      </c>
      <c r="B246">
        <v>4</v>
      </c>
    </row>
    <row r="247" spans="1:2" x14ac:dyDescent="0.35">
      <c r="A247" s="119" t="s">
        <v>151</v>
      </c>
      <c r="B247">
        <v>1</v>
      </c>
    </row>
    <row r="248" spans="1:2" x14ac:dyDescent="0.35">
      <c r="A248" s="119" t="s">
        <v>172</v>
      </c>
      <c r="B248">
        <v>1</v>
      </c>
    </row>
    <row r="249" spans="1:2" x14ac:dyDescent="0.35">
      <c r="A249" s="119" t="s">
        <v>197</v>
      </c>
      <c r="B249">
        <v>1</v>
      </c>
    </row>
    <row r="250" spans="1:2" x14ac:dyDescent="0.35">
      <c r="A250" s="119" t="s">
        <v>187</v>
      </c>
      <c r="B250">
        <v>1</v>
      </c>
    </row>
    <row r="251" spans="1:2" x14ac:dyDescent="0.35">
      <c r="A251" s="16" t="s">
        <v>125</v>
      </c>
      <c r="B251">
        <v>215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971D6-19F3-4E73-BA11-57C33F2FF9F2}">
  <sheetPr>
    <tabColor rgb="FF00B050"/>
  </sheetPr>
  <dimension ref="A1:D51"/>
  <sheetViews>
    <sheetView workbookViewId="0">
      <selection activeCell="C10" sqref="C10"/>
    </sheetView>
  </sheetViews>
  <sheetFormatPr defaultRowHeight="14.5" x14ac:dyDescent="0.35"/>
  <cols>
    <col min="1" max="1" width="20.90625" bestFit="1" customWidth="1"/>
    <col min="2" max="4" width="18.08984375" bestFit="1" customWidth="1"/>
  </cols>
  <sheetData>
    <row r="1" spans="1:4" x14ac:dyDescent="0.35">
      <c r="A1" s="15" t="s">
        <v>211</v>
      </c>
      <c r="B1" t="s">
        <v>343</v>
      </c>
    </row>
    <row r="3" spans="1:4" x14ac:dyDescent="0.35">
      <c r="A3" s="15" t="s">
        <v>124</v>
      </c>
      <c r="B3" t="s">
        <v>348</v>
      </c>
      <c r="C3" t="s">
        <v>349</v>
      </c>
      <c r="D3" t="s">
        <v>350</v>
      </c>
    </row>
    <row r="4" spans="1:4" x14ac:dyDescent="0.35">
      <c r="A4" s="16" t="s">
        <v>41</v>
      </c>
      <c r="B4" s="58">
        <v>38000626.500000022</v>
      </c>
      <c r="C4" s="58">
        <v>41927007.000000007</v>
      </c>
      <c r="D4" s="58">
        <v>44903225.000000007</v>
      </c>
    </row>
    <row r="5" spans="1:4" x14ac:dyDescent="0.35">
      <c r="A5" s="16" t="s">
        <v>88</v>
      </c>
      <c r="B5" s="58">
        <v>26147002.000000011</v>
      </c>
      <c r="C5" s="58">
        <v>31273533.000000004</v>
      </c>
      <c r="D5" s="58">
        <v>35588987.00000003</v>
      </c>
    </row>
    <row r="6" spans="1:4" x14ac:dyDescent="0.35">
      <c r="A6" s="16" t="s">
        <v>89</v>
      </c>
      <c r="B6" s="58">
        <v>10308730.499999994</v>
      </c>
      <c r="C6" s="58">
        <v>11940683.499999994</v>
      </c>
      <c r="D6" s="58">
        <v>13352864</v>
      </c>
    </row>
    <row r="7" spans="1:4" x14ac:dyDescent="0.35">
      <c r="A7" s="16" t="s">
        <v>90</v>
      </c>
      <c r="B7" s="58">
        <v>2217278.0000000009</v>
      </c>
      <c r="C7" s="58">
        <v>2451408.4999999995</v>
      </c>
      <c r="D7" s="58">
        <v>2630296.0000000019</v>
      </c>
    </row>
    <row r="8" spans="1:4" x14ac:dyDescent="0.35">
      <c r="A8" s="16" t="s">
        <v>1</v>
      </c>
      <c r="B8" s="58">
        <v>17636407.5</v>
      </c>
      <c r="C8" s="58">
        <v>20392723</v>
      </c>
      <c r="D8" s="58">
        <v>22673762.000000011</v>
      </c>
    </row>
    <row r="9" spans="1:4" x14ac:dyDescent="0.35">
      <c r="A9" s="16" t="s">
        <v>91</v>
      </c>
      <c r="B9" s="58">
        <v>10149577.500000002</v>
      </c>
      <c r="C9" s="58">
        <v>11493472.499999993</v>
      </c>
      <c r="D9" s="58">
        <v>12889576.499999994</v>
      </c>
    </row>
    <row r="10" spans="1:4" x14ac:dyDescent="0.35">
      <c r="A10" s="16" t="s">
        <v>92</v>
      </c>
      <c r="B10" s="58">
        <v>21632850.000000004</v>
      </c>
      <c r="C10" s="58">
        <v>25076746.500000015</v>
      </c>
      <c r="D10" s="58">
        <v>27914536.499999989</v>
      </c>
    </row>
    <row r="11" spans="1:4" x14ac:dyDescent="0.35">
      <c r="A11" s="16" t="s">
        <v>93</v>
      </c>
      <c r="B11" s="58">
        <v>539939.99999999988</v>
      </c>
      <c r="C11" s="58">
        <v>571201.5</v>
      </c>
      <c r="D11" s="58">
        <v>593149.50000000012</v>
      </c>
    </row>
    <row r="12" spans="1:4" x14ac:dyDescent="0.35">
      <c r="A12" s="16" t="s">
        <v>2</v>
      </c>
      <c r="B12" s="58">
        <v>4802428.5000000102</v>
      </c>
      <c r="C12" s="58">
        <v>5094779.9999999991</v>
      </c>
      <c r="D12" s="58">
        <v>5579143.5000000047</v>
      </c>
    </row>
    <row r="13" spans="1:4" x14ac:dyDescent="0.35">
      <c r="A13" s="16" t="s">
        <v>94</v>
      </c>
      <c r="B13" s="58">
        <v>13216766.5</v>
      </c>
      <c r="C13" s="58">
        <v>15604210</v>
      </c>
      <c r="D13" s="58">
        <v>17723314.500000004</v>
      </c>
    </row>
    <row r="14" spans="1:4" x14ac:dyDescent="0.35">
      <c r="A14" s="16" t="s">
        <v>52</v>
      </c>
      <c r="B14" s="58">
        <v>699392.50000000035</v>
      </c>
      <c r="C14" s="58">
        <v>776313.50000000058</v>
      </c>
      <c r="D14" s="58">
        <v>836773.49999999965</v>
      </c>
    </row>
    <row r="15" spans="1:4" x14ac:dyDescent="0.35">
      <c r="A15" s="16" t="s">
        <v>95</v>
      </c>
      <c r="B15" s="58">
        <v>4828066.5000000028</v>
      </c>
      <c r="C15" s="58">
        <v>5441061.9999999972</v>
      </c>
      <c r="D15" s="58">
        <v>5970424.0000000009</v>
      </c>
    </row>
    <row r="16" spans="1:4" x14ac:dyDescent="0.35">
      <c r="A16" s="16" t="s">
        <v>96</v>
      </c>
      <c r="B16" s="58">
        <v>22469267.5</v>
      </c>
      <c r="C16" s="58">
        <v>25493988.499999996</v>
      </c>
      <c r="D16" s="58">
        <v>28160542.500000004</v>
      </c>
    </row>
    <row r="17" spans="1:4" x14ac:dyDescent="0.35">
      <c r="A17" s="16" t="s">
        <v>97</v>
      </c>
      <c r="B17" s="58">
        <v>73460021</v>
      </c>
      <c r="C17" s="58">
        <v>87087354.999999985</v>
      </c>
      <c r="D17" s="58">
        <v>99010212</v>
      </c>
    </row>
    <row r="18" spans="1:4" x14ac:dyDescent="0.35">
      <c r="A18" s="16" t="s">
        <v>98</v>
      </c>
      <c r="B18" s="58">
        <v>1243941.0000000002</v>
      </c>
      <c r="C18" s="58">
        <v>1502091.5000000002</v>
      </c>
      <c r="D18" s="58">
        <v>1674908</v>
      </c>
    </row>
    <row r="19" spans="1:4" x14ac:dyDescent="0.35">
      <c r="A19" s="16" t="s">
        <v>99</v>
      </c>
      <c r="B19" s="58">
        <v>3296367</v>
      </c>
      <c r="C19" s="58">
        <v>3445374.4999999986</v>
      </c>
      <c r="D19" s="58">
        <v>3684031.5000000019</v>
      </c>
    </row>
    <row r="20" spans="1:4" x14ac:dyDescent="0.35">
      <c r="A20" s="16" t="s">
        <v>43</v>
      </c>
      <c r="B20" s="58">
        <v>1118318.9999999998</v>
      </c>
      <c r="C20" s="58">
        <v>1160427.5</v>
      </c>
      <c r="D20" s="58">
        <v>1201670.4999999995</v>
      </c>
    </row>
    <row r="21" spans="1:4" x14ac:dyDescent="0.35">
      <c r="A21" s="16" t="s">
        <v>100</v>
      </c>
      <c r="B21" s="58">
        <v>97084366.000000045</v>
      </c>
      <c r="C21" s="58">
        <v>111129438.00000001</v>
      </c>
      <c r="D21" s="58">
        <v>123379924.50000004</v>
      </c>
    </row>
    <row r="22" spans="1:4" x14ac:dyDescent="0.35">
      <c r="A22" s="16" t="s">
        <v>45</v>
      </c>
      <c r="B22" s="58">
        <v>1902226.5000000007</v>
      </c>
      <c r="C22" s="58">
        <v>2192011.5</v>
      </c>
      <c r="D22" s="58">
        <v>2388992.5000000005</v>
      </c>
    </row>
    <row r="23" spans="1:4" x14ac:dyDescent="0.35">
      <c r="A23" s="16" t="s">
        <v>101</v>
      </c>
      <c r="B23" s="58">
        <v>2124869.5</v>
      </c>
      <c r="C23" s="58">
        <v>2444915.5000000014</v>
      </c>
      <c r="D23" s="58">
        <v>2705991.9999999995</v>
      </c>
    </row>
    <row r="24" spans="1:4" x14ac:dyDescent="0.35">
      <c r="A24" s="16" t="s">
        <v>102</v>
      </c>
      <c r="B24" s="58">
        <v>27525596.999999989</v>
      </c>
      <c r="C24" s="58">
        <v>30870640.5</v>
      </c>
      <c r="D24" s="58">
        <v>33475870.500000011</v>
      </c>
    </row>
    <row r="25" spans="1:4" x14ac:dyDescent="0.35">
      <c r="A25" s="16" t="s">
        <v>103</v>
      </c>
      <c r="B25" s="58">
        <v>11055430.000000004</v>
      </c>
      <c r="C25" s="58">
        <v>12554864.499999998</v>
      </c>
      <c r="D25" s="58">
        <v>13859340.500000006</v>
      </c>
    </row>
    <row r="26" spans="1:4" x14ac:dyDescent="0.35">
      <c r="A26" s="16" t="s">
        <v>104</v>
      </c>
      <c r="B26" s="58">
        <v>1697752.4999999993</v>
      </c>
      <c r="C26" s="58">
        <v>1924954.4999999988</v>
      </c>
      <c r="D26" s="58">
        <v>2105565.4999999991</v>
      </c>
    </row>
    <row r="27" spans="1:4" x14ac:dyDescent="0.35">
      <c r="A27" s="16" t="s">
        <v>105</v>
      </c>
      <c r="B27" s="58">
        <v>44792368.000000007</v>
      </c>
      <c r="C27" s="58">
        <v>49953303.999999993</v>
      </c>
      <c r="D27" s="58">
        <v>54027486.999999978</v>
      </c>
    </row>
    <row r="28" spans="1:4" x14ac:dyDescent="0.35">
      <c r="A28" s="16" t="s">
        <v>42</v>
      </c>
      <c r="B28" s="58">
        <v>2073938.4999999998</v>
      </c>
      <c r="C28" s="58">
        <v>2198017</v>
      </c>
      <c r="D28" s="58">
        <v>2305825.5000000019</v>
      </c>
    </row>
    <row r="29" spans="1:4" x14ac:dyDescent="0.35">
      <c r="A29" s="16" t="s">
        <v>106</v>
      </c>
      <c r="B29" s="58">
        <v>4427312.4999999991</v>
      </c>
      <c r="C29" s="58">
        <v>4889391</v>
      </c>
      <c r="D29" s="58">
        <v>5302681.0000000028</v>
      </c>
    </row>
    <row r="30" spans="1:4" x14ac:dyDescent="0.35">
      <c r="A30" s="16" t="s">
        <v>107</v>
      </c>
      <c r="B30" s="58">
        <v>23588073.5</v>
      </c>
      <c r="C30" s="58">
        <v>26846541</v>
      </c>
      <c r="D30" s="58">
        <v>29611714.000000004</v>
      </c>
    </row>
    <row r="31" spans="1:4" x14ac:dyDescent="0.35">
      <c r="A31" s="16" t="s">
        <v>108</v>
      </c>
      <c r="B31" s="58">
        <v>16024775.499999994</v>
      </c>
      <c r="C31" s="58">
        <v>18367882.999999985</v>
      </c>
      <c r="D31" s="58">
        <v>20405316.500000019</v>
      </c>
    </row>
    <row r="32" spans="1:4" x14ac:dyDescent="0.35">
      <c r="A32" s="16" t="s">
        <v>109</v>
      </c>
      <c r="B32" s="58">
        <v>17004032.499999996</v>
      </c>
      <c r="C32" s="58">
        <v>19934298.000000004</v>
      </c>
      <c r="D32" s="58">
        <v>22593590.500000019</v>
      </c>
    </row>
    <row r="33" spans="1:4" x14ac:dyDescent="0.35">
      <c r="A33" s="16" t="s">
        <v>44</v>
      </c>
      <c r="B33" s="58">
        <v>3742958.9999999981</v>
      </c>
      <c r="C33" s="58">
        <v>4270711.4999999972</v>
      </c>
      <c r="D33" s="58">
        <v>4736138.9999999991</v>
      </c>
    </row>
    <row r="34" spans="1:4" x14ac:dyDescent="0.35">
      <c r="A34" s="16" t="s">
        <v>110</v>
      </c>
      <c r="B34" s="58">
        <v>1290691.4999999998</v>
      </c>
      <c r="C34" s="58">
        <v>1295381.5000000005</v>
      </c>
      <c r="D34" s="58">
        <v>1299468.9999999986</v>
      </c>
    </row>
    <row r="35" spans="1:4" x14ac:dyDescent="0.35">
      <c r="A35" s="16" t="s">
        <v>111</v>
      </c>
      <c r="B35" s="58">
        <v>25251730.999999989</v>
      </c>
      <c r="C35" s="58">
        <v>29423878.499999989</v>
      </c>
      <c r="D35" s="58">
        <v>32969518.500000011</v>
      </c>
    </row>
    <row r="36" spans="1:4" x14ac:dyDescent="0.35">
      <c r="A36" s="16" t="s">
        <v>112</v>
      </c>
      <c r="B36" s="58">
        <v>2204510.0000000005</v>
      </c>
      <c r="C36" s="58">
        <v>2405680.5000000005</v>
      </c>
      <c r="D36" s="58">
        <v>2567012.4999999995</v>
      </c>
    </row>
    <row r="37" spans="1:4" x14ac:dyDescent="0.35">
      <c r="A37" s="16" t="s">
        <v>39</v>
      </c>
      <c r="B37" s="58">
        <v>18653199</v>
      </c>
      <c r="C37" s="58">
        <v>22577057.999999996</v>
      </c>
      <c r="D37" s="58">
        <v>26207976.5</v>
      </c>
    </row>
    <row r="38" spans="1:4" x14ac:dyDescent="0.35">
      <c r="A38" s="16" t="s">
        <v>113</v>
      </c>
      <c r="B38" s="58">
        <v>174726123.50000006</v>
      </c>
      <c r="C38" s="58">
        <v>198387623.50000009</v>
      </c>
      <c r="D38" s="58">
        <v>218541211.50000003</v>
      </c>
    </row>
    <row r="39" spans="1:4" x14ac:dyDescent="0.35">
      <c r="A39" s="16" t="s">
        <v>114</v>
      </c>
      <c r="B39" s="58">
        <v>11101349.499999996</v>
      </c>
      <c r="C39" s="58">
        <v>12531807.499999998</v>
      </c>
      <c r="D39" s="58">
        <v>13776697.499999994</v>
      </c>
    </row>
    <row r="40" spans="1:4" x14ac:dyDescent="0.35">
      <c r="A40" s="16" t="s">
        <v>48</v>
      </c>
      <c r="B40" s="58">
        <v>193756.99999999997</v>
      </c>
      <c r="C40" s="58">
        <v>211344</v>
      </c>
      <c r="D40" s="58">
        <v>227379.5</v>
      </c>
    </row>
    <row r="41" spans="1:4" x14ac:dyDescent="0.35">
      <c r="A41" s="16" t="s">
        <v>115</v>
      </c>
      <c r="B41" s="58">
        <v>13595565.499999993</v>
      </c>
      <c r="C41" s="58">
        <v>15574908.999999998</v>
      </c>
      <c r="D41" s="58">
        <v>17316449</v>
      </c>
    </row>
    <row r="42" spans="1:4" x14ac:dyDescent="0.35">
      <c r="A42" s="16" t="s">
        <v>116</v>
      </c>
      <c r="B42" s="58">
        <v>96714</v>
      </c>
      <c r="C42" s="58">
        <v>103101.00000000004</v>
      </c>
      <c r="D42" s="58">
        <v>107118.5</v>
      </c>
    </row>
    <row r="43" spans="1:4" x14ac:dyDescent="0.35">
      <c r="A43" s="16" t="s">
        <v>117</v>
      </c>
      <c r="B43" s="58">
        <v>6964858.4999999972</v>
      </c>
      <c r="C43" s="58">
        <v>7861281</v>
      </c>
      <c r="D43" s="58">
        <v>8605718.0000000056</v>
      </c>
    </row>
    <row r="44" spans="1:4" x14ac:dyDescent="0.35">
      <c r="A44" s="16" t="s">
        <v>118</v>
      </c>
      <c r="B44" s="58">
        <v>53873616</v>
      </c>
      <c r="C44" s="58">
        <v>57339635.000000022</v>
      </c>
      <c r="D44" s="58">
        <v>59893885.5</v>
      </c>
    </row>
    <row r="45" spans="1:4" x14ac:dyDescent="0.35">
      <c r="A45" s="16" t="s">
        <v>119</v>
      </c>
      <c r="B45" s="58">
        <v>11106031.000000004</v>
      </c>
      <c r="C45" s="58">
        <v>10395329.5</v>
      </c>
      <c r="D45" s="58">
        <v>10913163.5</v>
      </c>
    </row>
    <row r="46" spans="1:4" x14ac:dyDescent="0.35">
      <c r="A46" s="16" t="s">
        <v>120</v>
      </c>
      <c r="B46" s="58">
        <v>49253643.5</v>
      </c>
      <c r="C46" s="58">
        <v>58090443.000000007</v>
      </c>
      <c r="D46" s="58">
        <v>65497748.000000037</v>
      </c>
    </row>
    <row r="47" spans="1:4" x14ac:dyDescent="0.35">
      <c r="A47" s="16" t="s">
        <v>51</v>
      </c>
      <c r="B47" s="58">
        <v>7106229</v>
      </c>
      <c r="C47" s="58">
        <v>8046679</v>
      </c>
      <c r="D47" s="58">
        <v>8848698.5000000019</v>
      </c>
    </row>
    <row r="48" spans="1:4" x14ac:dyDescent="0.35">
      <c r="A48" s="16" t="s">
        <v>121</v>
      </c>
      <c r="B48" s="58">
        <v>35273569.999999993</v>
      </c>
      <c r="C48" s="58">
        <v>41515395.000000015</v>
      </c>
      <c r="D48" s="58">
        <v>47249584.999999978</v>
      </c>
    </row>
    <row r="49" spans="1:4" x14ac:dyDescent="0.35">
      <c r="A49" s="16" t="s">
        <v>122</v>
      </c>
      <c r="B49" s="58">
        <v>15234975.999999991</v>
      </c>
      <c r="C49" s="58">
        <v>17835892.999999981</v>
      </c>
      <c r="D49" s="58">
        <v>20017675.000000004</v>
      </c>
    </row>
    <row r="50" spans="1:4" x14ac:dyDescent="0.35">
      <c r="A50" s="16" t="s">
        <v>123</v>
      </c>
      <c r="B50" s="58">
        <v>13555421.500000009</v>
      </c>
      <c r="C50" s="58">
        <v>15052184.000000007</v>
      </c>
      <c r="D50" s="58">
        <v>16320536.999999994</v>
      </c>
    </row>
    <row r="51" spans="1:4" x14ac:dyDescent="0.35">
      <c r="A51" s="16" t="s">
        <v>125</v>
      </c>
      <c r="B51" s="58">
        <v>20091333.382978722</v>
      </c>
      <c r="C51" s="58">
        <v>22913978.106382977</v>
      </c>
      <c r="D51" s="58">
        <v>25354163.797872342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9C62-3F49-47E2-9B74-0BF861F8A54C}">
  <sheetPr>
    <tabColor rgb="FF00B050"/>
  </sheetPr>
  <dimension ref="A3:D37"/>
  <sheetViews>
    <sheetView workbookViewId="0">
      <selection activeCell="B10" sqref="B10"/>
    </sheetView>
  </sheetViews>
  <sheetFormatPr defaultRowHeight="14.5" x14ac:dyDescent="0.35"/>
  <cols>
    <col min="1" max="1" width="50.26953125" bestFit="1" customWidth="1"/>
    <col min="2" max="3" width="20.1796875" bestFit="1" customWidth="1"/>
    <col min="4" max="4" width="20.7265625" bestFit="1" customWidth="1"/>
  </cols>
  <sheetData>
    <row r="3" spans="1:4" x14ac:dyDescent="0.35">
      <c r="A3" s="15" t="s">
        <v>124</v>
      </c>
      <c r="B3" t="s">
        <v>351</v>
      </c>
      <c r="C3" t="s">
        <v>352</v>
      </c>
      <c r="D3" t="s">
        <v>353</v>
      </c>
    </row>
    <row r="4" spans="1:4" x14ac:dyDescent="0.35">
      <c r="A4" s="16" t="s">
        <v>338</v>
      </c>
      <c r="B4">
        <v>6</v>
      </c>
      <c r="C4">
        <v>35</v>
      </c>
      <c r="D4">
        <v>38</v>
      </c>
    </row>
    <row r="5" spans="1:4" x14ac:dyDescent="0.35">
      <c r="A5" s="16" t="s">
        <v>337</v>
      </c>
      <c r="B5">
        <v>21</v>
      </c>
      <c r="C5">
        <v>46</v>
      </c>
      <c r="D5">
        <v>46</v>
      </c>
    </row>
    <row r="6" spans="1:4" x14ac:dyDescent="0.35">
      <c r="A6" s="16" t="s">
        <v>327</v>
      </c>
      <c r="B6">
        <v>5</v>
      </c>
      <c r="C6">
        <v>47</v>
      </c>
      <c r="D6">
        <v>47</v>
      </c>
    </row>
    <row r="7" spans="1:4" x14ac:dyDescent="0.35">
      <c r="A7" s="16" t="s">
        <v>326</v>
      </c>
      <c r="B7">
        <v>32</v>
      </c>
      <c r="C7">
        <v>47</v>
      </c>
      <c r="D7">
        <v>47</v>
      </c>
    </row>
    <row r="8" spans="1:4" x14ac:dyDescent="0.35">
      <c r="A8" s="16" t="s">
        <v>334</v>
      </c>
      <c r="B8">
        <v>14</v>
      </c>
      <c r="C8">
        <v>26</v>
      </c>
      <c r="D8">
        <v>27</v>
      </c>
    </row>
    <row r="9" spans="1:4" x14ac:dyDescent="0.35">
      <c r="A9" s="16" t="s">
        <v>332</v>
      </c>
      <c r="B9">
        <v>34</v>
      </c>
      <c r="C9">
        <v>42</v>
      </c>
      <c r="D9">
        <v>44</v>
      </c>
    </row>
    <row r="10" spans="1:4" x14ac:dyDescent="0.35">
      <c r="A10" s="16" t="s">
        <v>333</v>
      </c>
      <c r="B10">
        <v>30</v>
      </c>
      <c r="C10">
        <v>41</v>
      </c>
      <c r="D10">
        <v>42</v>
      </c>
    </row>
    <row r="11" spans="1:4" x14ac:dyDescent="0.35">
      <c r="A11" s="16" t="s">
        <v>331</v>
      </c>
      <c r="B11">
        <v>16</v>
      </c>
      <c r="C11">
        <v>37</v>
      </c>
      <c r="D11">
        <v>39</v>
      </c>
    </row>
    <row r="12" spans="1:4" x14ac:dyDescent="0.35">
      <c r="A12" s="16" t="s">
        <v>329</v>
      </c>
      <c r="B12">
        <v>37</v>
      </c>
      <c r="C12">
        <v>47</v>
      </c>
      <c r="D12">
        <v>47</v>
      </c>
    </row>
    <row r="13" spans="1:4" x14ac:dyDescent="0.35">
      <c r="A13" s="16" t="s">
        <v>330</v>
      </c>
      <c r="B13">
        <v>16</v>
      </c>
      <c r="C13">
        <v>47</v>
      </c>
      <c r="D13">
        <v>47</v>
      </c>
    </row>
    <row r="14" spans="1:4" x14ac:dyDescent="0.35">
      <c r="A14" s="16" t="s">
        <v>336</v>
      </c>
      <c r="B14">
        <v>12</v>
      </c>
      <c r="C14">
        <v>40</v>
      </c>
      <c r="D14">
        <v>44</v>
      </c>
    </row>
    <row r="15" spans="1:4" x14ac:dyDescent="0.35">
      <c r="A15" s="16" t="s">
        <v>335</v>
      </c>
      <c r="B15">
        <v>27</v>
      </c>
      <c r="C15">
        <v>47</v>
      </c>
      <c r="D15">
        <v>47</v>
      </c>
    </row>
    <row r="16" spans="1:4" x14ac:dyDescent="0.35">
      <c r="A16" s="16" t="s">
        <v>339</v>
      </c>
      <c r="C16">
        <v>12</v>
      </c>
      <c r="D16">
        <v>23</v>
      </c>
    </row>
    <row r="17" spans="1:4" x14ac:dyDescent="0.35">
      <c r="A17" s="16" t="s">
        <v>328</v>
      </c>
      <c r="B17">
        <v>8</v>
      </c>
      <c r="C17">
        <v>45</v>
      </c>
      <c r="D17">
        <v>47</v>
      </c>
    </row>
    <row r="18" spans="1:4" x14ac:dyDescent="0.35">
      <c r="A18" s="16" t="s">
        <v>126</v>
      </c>
      <c r="B18">
        <v>1</v>
      </c>
      <c r="C18">
        <v>8</v>
      </c>
      <c r="D18">
        <v>20</v>
      </c>
    </row>
    <row r="19" spans="1:4" x14ac:dyDescent="0.35">
      <c r="A19" s="16" t="s">
        <v>127</v>
      </c>
      <c r="B19">
        <v>9</v>
      </c>
      <c r="C19">
        <v>36</v>
      </c>
      <c r="D19">
        <v>40</v>
      </c>
    </row>
    <row r="20" spans="1:4" x14ac:dyDescent="0.35">
      <c r="A20" s="16" t="s">
        <v>61</v>
      </c>
      <c r="B20">
        <v>21</v>
      </c>
      <c r="C20">
        <v>34</v>
      </c>
      <c r="D20">
        <v>40</v>
      </c>
    </row>
    <row r="21" spans="1:4" x14ac:dyDescent="0.35">
      <c r="A21" s="16" t="s">
        <v>62</v>
      </c>
      <c r="B21">
        <v>26</v>
      </c>
      <c r="C21">
        <v>44</v>
      </c>
      <c r="D21">
        <v>47</v>
      </c>
    </row>
    <row r="22" spans="1:4" x14ac:dyDescent="0.35">
      <c r="A22" s="16" t="s">
        <v>204</v>
      </c>
      <c r="B22">
        <v>1</v>
      </c>
      <c r="C22">
        <v>36</v>
      </c>
      <c r="D22">
        <v>38</v>
      </c>
    </row>
    <row r="23" spans="1:4" x14ac:dyDescent="0.35">
      <c r="A23" s="16" t="s">
        <v>205</v>
      </c>
      <c r="B23">
        <v>8</v>
      </c>
      <c r="C23">
        <v>34</v>
      </c>
      <c r="D23">
        <v>38</v>
      </c>
    </row>
    <row r="24" spans="1:4" x14ac:dyDescent="0.35">
      <c r="A24" s="16" t="s">
        <v>133</v>
      </c>
      <c r="B24">
        <v>9</v>
      </c>
      <c r="C24">
        <v>46</v>
      </c>
      <c r="D24">
        <v>47</v>
      </c>
    </row>
    <row r="25" spans="1:4" x14ac:dyDescent="0.35">
      <c r="A25" s="16" t="s">
        <v>134</v>
      </c>
      <c r="B25">
        <v>14</v>
      </c>
      <c r="C25">
        <v>42</v>
      </c>
      <c r="D25">
        <v>43</v>
      </c>
    </row>
    <row r="26" spans="1:4" x14ac:dyDescent="0.35">
      <c r="A26" s="16" t="s">
        <v>206</v>
      </c>
      <c r="C26">
        <v>26</v>
      </c>
      <c r="D26">
        <v>29</v>
      </c>
    </row>
    <row r="27" spans="1:4" x14ac:dyDescent="0.35">
      <c r="A27" s="16" t="s">
        <v>136</v>
      </c>
      <c r="B27">
        <v>13</v>
      </c>
      <c r="C27">
        <v>42</v>
      </c>
      <c r="D27">
        <v>42</v>
      </c>
    </row>
    <row r="28" spans="1:4" x14ac:dyDescent="0.35">
      <c r="A28" s="16" t="s">
        <v>207</v>
      </c>
      <c r="B28">
        <v>1</v>
      </c>
      <c r="C28">
        <v>32</v>
      </c>
      <c r="D28">
        <v>33</v>
      </c>
    </row>
    <row r="29" spans="1:4" x14ac:dyDescent="0.35">
      <c r="A29" s="16" t="s">
        <v>141</v>
      </c>
      <c r="B29">
        <v>6</v>
      </c>
      <c r="C29">
        <v>32</v>
      </c>
      <c r="D29">
        <v>34</v>
      </c>
    </row>
    <row r="30" spans="1:4" x14ac:dyDescent="0.35">
      <c r="A30" s="16" t="s">
        <v>208</v>
      </c>
      <c r="C30">
        <v>34</v>
      </c>
      <c r="D30">
        <v>36</v>
      </c>
    </row>
    <row r="31" spans="1:4" x14ac:dyDescent="0.35">
      <c r="A31" s="16" t="s">
        <v>209</v>
      </c>
      <c r="C31">
        <v>29</v>
      </c>
      <c r="D31">
        <v>34</v>
      </c>
    </row>
    <row r="32" spans="1:4" x14ac:dyDescent="0.35">
      <c r="A32" s="16" t="s">
        <v>142</v>
      </c>
      <c r="B32">
        <v>6</v>
      </c>
      <c r="C32">
        <v>30</v>
      </c>
      <c r="D32">
        <v>33</v>
      </c>
    </row>
    <row r="33" spans="1:4" x14ac:dyDescent="0.35">
      <c r="A33" s="16" t="s">
        <v>203</v>
      </c>
      <c r="C33">
        <v>32</v>
      </c>
      <c r="D33">
        <v>35</v>
      </c>
    </row>
    <row r="34" spans="1:4" x14ac:dyDescent="0.35">
      <c r="A34" s="16" t="s">
        <v>83</v>
      </c>
      <c r="B34">
        <v>11</v>
      </c>
      <c r="C34">
        <v>36</v>
      </c>
      <c r="D34">
        <v>40</v>
      </c>
    </row>
    <row r="35" spans="1:4" x14ac:dyDescent="0.35">
      <c r="A35" s="16" t="s">
        <v>84</v>
      </c>
      <c r="B35">
        <v>7</v>
      </c>
      <c r="C35">
        <v>11</v>
      </c>
      <c r="D35">
        <v>18</v>
      </c>
    </row>
    <row r="36" spans="1:4" x14ac:dyDescent="0.35">
      <c r="A36" s="16" t="s">
        <v>87</v>
      </c>
      <c r="B36">
        <v>7</v>
      </c>
      <c r="C36">
        <v>21</v>
      </c>
      <c r="D36">
        <v>26</v>
      </c>
    </row>
    <row r="37" spans="1:4" x14ac:dyDescent="0.35">
      <c r="A37" s="16" t="s">
        <v>125</v>
      </c>
      <c r="B37">
        <v>398</v>
      </c>
      <c r="C37">
        <v>1164</v>
      </c>
      <c r="D37">
        <v>1258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8D100-4C91-4B9E-8063-535B9D01DCD5}">
  <sheetPr>
    <tabColor rgb="FF00B050"/>
  </sheetPr>
  <dimension ref="A3:D56"/>
  <sheetViews>
    <sheetView topLeftCell="A3" workbookViewId="0">
      <selection activeCell="A12" sqref="A12"/>
    </sheetView>
  </sheetViews>
  <sheetFormatPr defaultRowHeight="14.5" x14ac:dyDescent="0.35"/>
  <cols>
    <col min="1" max="1" width="50.26953125" bestFit="1" customWidth="1"/>
    <col min="2" max="2" width="15.26953125" bestFit="1" customWidth="1"/>
    <col min="3" max="3" width="6.26953125" bestFit="1" customWidth="1"/>
    <col min="4" max="4" width="10.7265625" bestFit="1" customWidth="1"/>
  </cols>
  <sheetData>
    <row r="3" spans="1:4" x14ac:dyDescent="0.35">
      <c r="A3" s="15" t="s">
        <v>353</v>
      </c>
      <c r="B3" s="15" t="s">
        <v>298</v>
      </c>
    </row>
    <row r="4" spans="1:4" x14ac:dyDescent="0.35">
      <c r="A4" s="15" t="s">
        <v>124</v>
      </c>
      <c r="C4" t="s">
        <v>299</v>
      </c>
      <c r="D4" t="s">
        <v>125</v>
      </c>
    </row>
    <row r="5" spans="1:4" x14ac:dyDescent="0.35">
      <c r="A5" s="16" t="s">
        <v>338</v>
      </c>
      <c r="B5">
        <v>22</v>
      </c>
      <c r="C5">
        <v>16</v>
      </c>
      <c r="D5">
        <v>38</v>
      </c>
    </row>
    <row r="6" spans="1:4" x14ac:dyDescent="0.35">
      <c r="A6" s="16" t="s">
        <v>337</v>
      </c>
      <c r="B6">
        <v>22</v>
      </c>
      <c r="C6">
        <v>24</v>
      </c>
      <c r="D6">
        <v>46</v>
      </c>
    </row>
    <row r="7" spans="1:4" x14ac:dyDescent="0.35">
      <c r="A7" s="16" t="s">
        <v>326</v>
      </c>
      <c r="B7">
        <v>28</v>
      </c>
      <c r="C7">
        <v>19</v>
      </c>
      <c r="D7">
        <v>47</v>
      </c>
    </row>
    <row r="8" spans="1:4" x14ac:dyDescent="0.35">
      <c r="A8" s="16" t="s">
        <v>332</v>
      </c>
      <c r="B8">
        <v>31</v>
      </c>
      <c r="C8">
        <v>13</v>
      </c>
      <c r="D8">
        <v>44</v>
      </c>
    </row>
    <row r="9" spans="1:4" x14ac:dyDescent="0.35">
      <c r="A9" s="16" t="s">
        <v>331</v>
      </c>
      <c r="B9">
        <v>26</v>
      </c>
      <c r="C9">
        <v>13</v>
      </c>
      <c r="D9">
        <v>39</v>
      </c>
    </row>
    <row r="10" spans="1:4" x14ac:dyDescent="0.35">
      <c r="A10" s="16" t="s">
        <v>329</v>
      </c>
      <c r="B10">
        <v>31</v>
      </c>
      <c r="C10">
        <v>16</v>
      </c>
      <c r="D10">
        <v>47</v>
      </c>
    </row>
    <row r="11" spans="1:4" x14ac:dyDescent="0.35">
      <c r="A11" s="16" t="s">
        <v>336</v>
      </c>
      <c r="B11">
        <v>35</v>
      </c>
      <c r="C11">
        <v>9</v>
      </c>
      <c r="D11">
        <v>44</v>
      </c>
    </row>
    <row r="12" spans="1:4" x14ac:dyDescent="0.35">
      <c r="A12" s="16" t="s">
        <v>335</v>
      </c>
      <c r="B12">
        <v>20</v>
      </c>
      <c r="C12">
        <v>27</v>
      </c>
      <c r="D12">
        <v>47</v>
      </c>
    </row>
    <row r="13" spans="1:4" x14ac:dyDescent="0.35">
      <c r="A13" s="16" t="s">
        <v>339</v>
      </c>
      <c r="B13">
        <v>20</v>
      </c>
      <c r="C13">
        <v>3</v>
      </c>
      <c r="D13">
        <v>23</v>
      </c>
    </row>
    <row r="14" spans="1:4" x14ac:dyDescent="0.35">
      <c r="A14" s="16" t="s">
        <v>328</v>
      </c>
      <c r="B14">
        <v>22</v>
      </c>
      <c r="C14">
        <v>25</v>
      </c>
      <c r="D14">
        <v>47</v>
      </c>
    </row>
    <row r="15" spans="1:4" x14ac:dyDescent="0.35">
      <c r="A15" s="16" t="s">
        <v>126</v>
      </c>
      <c r="B15">
        <v>16</v>
      </c>
      <c r="C15">
        <v>4</v>
      </c>
      <c r="D15">
        <v>20</v>
      </c>
    </row>
    <row r="16" spans="1:4" x14ac:dyDescent="0.35">
      <c r="A16" s="16" t="s">
        <v>127</v>
      </c>
      <c r="B16">
        <v>36</v>
      </c>
      <c r="C16">
        <v>4</v>
      </c>
      <c r="D16">
        <v>40</v>
      </c>
    </row>
    <row r="17" spans="1:4" x14ac:dyDescent="0.35">
      <c r="A17" s="16" t="s">
        <v>61</v>
      </c>
      <c r="B17">
        <v>30</v>
      </c>
      <c r="C17">
        <v>10</v>
      </c>
      <c r="D17">
        <v>40</v>
      </c>
    </row>
    <row r="18" spans="1:4" x14ac:dyDescent="0.35">
      <c r="A18" s="16" t="s">
        <v>62</v>
      </c>
      <c r="B18">
        <v>34</v>
      </c>
      <c r="C18">
        <v>13</v>
      </c>
      <c r="D18">
        <v>47</v>
      </c>
    </row>
    <row r="19" spans="1:4" x14ac:dyDescent="0.35">
      <c r="A19" s="16" t="s">
        <v>204</v>
      </c>
      <c r="B19">
        <v>35</v>
      </c>
      <c r="C19">
        <v>3</v>
      </c>
      <c r="D19">
        <v>38</v>
      </c>
    </row>
    <row r="20" spans="1:4" x14ac:dyDescent="0.35">
      <c r="A20" s="16" t="s">
        <v>205</v>
      </c>
      <c r="B20">
        <v>25</v>
      </c>
      <c r="C20">
        <v>13</v>
      </c>
      <c r="D20">
        <v>38</v>
      </c>
    </row>
    <row r="21" spans="1:4" x14ac:dyDescent="0.35">
      <c r="A21" s="16" t="s">
        <v>133</v>
      </c>
      <c r="B21">
        <v>31</v>
      </c>
      <c r="C21">
        <v>16</v>
      </c>
      <c r="D21">
        <v>47</v>
      </c>
    </row>
    <row r="22" spans="1:4" x14ac:dyDescent="0.35">
      <c r="A22" s="16" t="s">
        <v>134</v>
      </c>
      <c r="B22">
        <v>28</v>
      </c>
      <c r="C22">
        <v>15</v>
      </c>
      <c r="D22">
        <v>43</v>
      </c>
    </row>
    <row r="23" spans="1:4" x14ac:dyDescent="0.35">
      <c r="A23" s="16" t="s">
        <v>206</v>
      </c>
      <c r="B23">
        <v>22</v>
      </c>
      <c r="C23">
        <v>7</v>
      </c>
      <c r="D23">
        <v>29</v>
      </c>
    </row>
    <row r="24" spans="1:4" x14ac:dyDescent="0.35">
      <c r="A24" s="16" t="s">
        <v>136</v>
      </c>
      <c r="B24">
        <v>33</v>
      </c>
      <c r="C24">
        <v>9</v>
      </c>
      <c r="D24">
        <v>42</v>
      </c>
    </row>
    <row r="25" spans="1:4" x14ac:dyDescent="0.35">
      <c r="A25" s="16" t="s">
        <v>207</v>
      </c>
      <c r="B25">
        <v>27</v>
      </c>
      <c r="C25">
        <v>6</v>
      </c>
      <c r="D25">
        <v>33</v>
      </c>
    </row>
    <row r="26" spans="1:4" x14ac:dyDescent="0.35">
      <c r="A26" s="16" t="s">
        <v>141</v>
      </c>
      <c r="B26">
        <v>20</v>
      </c>
      <c r="C26">
        <v>14</v>
      </c>
      <c r="D26">
        <v>34</v>
      </c>
    </row>
    <row r="27" spans="1:4" x14ac:dyDescent="0.35">
      <c r="A27" s="16" t="s">
        <v>208</v>
      </c>
      <c r="B27">
        <v>26</v>
      </c>
      <c r="C27">
        <v>10</v>
      </c>
      <c r="D27">
        <v>36</v>
      </c>
    </row>
    <row r="28" spans="1:4" x14ac:dyDescent="0.35">
      <c r="A28" s="16" t="s">
        <v>209</v>
      </c>
      <c r="B28">
        <v>28</v>
      </c>
      <c r="C28">
        <v>6</v>
      </c>
      <c r="D28">
        <v>34</v>
      </c>
    </row>
    <row r="29" spans="1:4" x14ac:dyDescent="0.35">
      <c r="A29" s="16" t="s">
        <v>142</v>
      </c>
      <c r="B29">
        <v>23</v>
      </c>
      <c r="C29">
        <v>10</v>
      </c>
      <c r="D29">
        <v>33</v>
      </c>
    </row>
    <row r="30" spans="1:4" x14ac:dyDescent="0.35">
      <c r="A30" s="16" t="s">
        <v>203</v>
      </c>
      <c r="B30">
        <v>28</v>
      </c>
      <c r="C30">
        <v>7</v>
      </c>
      <c r="D30">
        <v>35</v>
      </c>
    </row>
    <row r="31" spans="1:4" x14ac:dyDescent="0.35">
      <c r="A31" s="16" t="s">
        <v>83</v>
      </c>
      <c r="B31">
        <v>28</v>
      </c>
      <c r="C31">
        <v>12</v>
      </c>
      <c r="D31">
        <v>40</v>
      </c>
    </row>
    <row r="32" spans="1:4" x14ac:dyDescent="0.35">
      <c r="A32" s="16" t="s">
        <v>84</v>
      </c>
      <c r="B32">
        <v>15</v>
      </c>
      <c r="C32">
        <v>3</v>
      </c>
      <c r="D32">
        <v>18</v>
      </c>
    </row>
    <row r="33" spans="1:4" x14ac:dyDescent="0.35">
      <c r="A33" s="16" t="s">
        <v>87</v>
      </c>
      <c r="B33">
        <v>22</v>
      </c>
      <c r="C33">
        <v>4</v>
      </c>
      <c r="D33">
        <v>26</v>
      </c>
    </row>
    <row r="34" spans="1:4" x14ac:dyDescent="0.35">
      <c r="A34" s="16" t="s">
        <v>125</v>
      </c>
      <c r="B34">
        <v>764</v>
      </c>
      <c r="C34">
        <v>331</v>
      </c>
      <c r="D34">
        <v>1095</v>
      </c>
    </row>
    <row r="38" spans="1:4" x14ac:dyDescent="0.35">
      <c r="D38">
        <f>331/1095</f>
        <v>0.30228310502283107</v>
      </c>
    </row>
    <row r="56" spans="3:3" x14ac:dyDescent="0.35">
      <c r="C56" t="e">
        <f>GETPIVOTDATA("Need for adjustment",$A$3,"Need for adjustment","Adjust")/GETPIVOTDATA("Need for adjustment",$A$3)</f>
        <v>#REF!</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502F0-7CE3-469F-A107-A058BEC0D3E9}">
  <sheetPr>
    <tabColor rgb="FF00B050"/>
  </sheetPr>
  <dimension ref="A3:D31"/>
  <sheetViews>
    <sheetView workbookViewId="0">
      <selection activeCell="A9" sqref="A9"/>
    </sheetView>
  </sheetViews>
  <sheetFormatPr defaultRowHeight="14.5" x14ac:dyDescent="0.35"/>
  <cols>
    <col min="1" max="1" width="50.26953125" bestFit="1" customWidth="1"/>
    <col min="2" max="2" width="19.26953125" bestFit="1" customWidth="1"/>
  </cols>
  <sheetData>
    <row r="3" spans="1:4" x14ac:dyDescent="0.35">
      <c r="A3" s="15" t="s">
        <v>124</v>
      </c>
      <c r="B3" t="s">
        <v>280</v>
      </c>
    </row>
    <row r="4" spans="1:4" x14ac:dyDescent="0.35">
      <c r="A4" s="16" t="s">
        <v>329</v>
      </c>
      <c r="B4" s="120">
        <v>1698828.4231265215</v>
      </c>
      <c r="C4" s="2">
        <f>B4/GETPIVOTDATA("Adjusted 2022",$A$3)</f>
        <v>0.33321608637937966</v>
      </c>
      <c r="D4" s="121">
        <f>C4</f>
        <v>0.33321608637937966</v>
      </c>
    </row>
    <row r="5" spans="1:4" x14ac:dyDescent="0.35">
      <c r="A5" s="16" t="s">
        <v>127</v>
      </c>
      <c r="B5" s="120">
        <v>850461.58153902157</v>
      </c>
      <c r="C5" s="2">
        <f t="shared" ref="C5:C31" si="0">B5/GETPIVOTDATA("Adjusted 2022",$A$3)</f>
        <v>0.16681347919462314</v>
      </c>
      <c r="D5" s="121">
        <f>C5+D4</f>
        <v>0.5000295655740028</v>
      </c>
    </row>
    <row r="6" spans="1:4" x14ac:dyDescent="0.35">
      <c r="A6" s="16" t="s">
        <v>326</v>
      </c>
      <c r="B6" s="120">
        <v>369145.16726554319</v>
      </c>
      <c r="C6" s="2">
        <f t="shared" si="0"/>
        <v>7.2405845268180391E-2</v>
      </c>
      <c r="D6" s="121">
        <f t="shared" ref="D6:D31" si="1">C6+D5</f>
        <v>0.57243541084218319</v>
      </c>
    </row>
    <row r="7" spans="1:4" x14ac:dyDescent="0.35">
      <c r="A7" s="16" t="s">
        <v>332</v>
      </c>
      <c r="B7" s="120">
        <v>334530.09615611599</v>
      </c>
      <c r="C7" s="2">
        <f t="shared" si="0"/>
        <v>6.5616284669942015E-2</v>
      </c>
      <c r="D7" s="121">
        <f t="shared" si="1"/>
        <v>0.63805169551212515</v>
      </c>
    </row>
    <row r="8" spans="1:4" x14ac:dyDescent="0.35">
      <c r="A8" s="16" t="s">
        <v>208</v>
      </c>
      <c r="B8" s="120">
        <v>296957.47865657182</v>
      </c>
      <c r="C8" s="2">
        <f t="shared" si="0"/>
        <v>5.8246617205121705E-2</v>
      </c>
      <c r="D8" s="121">
        <f t="shared" si="1"/>
        <v>0.69629831271724685</v>
      </c>
    </row>
    <row r="9" spans="1:4" x14ac:dyDescent="0.35">
      <c r="A9" s="16" t="s">
        <v>142</v>
      </c>
      <c r="B9" s="120">
        <v>271131.87585912237</v>
      </c>
      <c r="C9" s="2">
        <f t="shared" si="0"/>
        <v>5.3181063688706613E-2</v>
      </c>
      <c r="D9" s="121">
        <f t="shared" si="1"/>
        <v>0.74947937640595341</v>
      </c>
    </row>
    <row r="10" spans="1:4" x14ac:dyDescent="0.35">
      <c r="A10" s="16" t="s">
        <v>209</v>
      </c>
      <c r="B10" s="120">
        <v>181593.02920874467</v>
      </c>
      <c r="C10" s="2">
        <f t="shared" si="0"/>
        <v>3.5618499009660007E-2</v>
      </c>
      <c r="D10" s="121">
        <f t="shared" si="1"/>
        <v>0.78509787541561338</v>
      </c>
    </row>
    <row r="11" spans="1:4" x14ac:dyDescent="0.35">
      <c r="A11" s="16" t="s">
        <v>87</v>
      </c>
      <c r="B11" s="120">
        <v>160112.81914272849</v>
      </c>
      <c r="C11" s="2">
        <f t="shared" si="0"/>
        <v>3.1405270978289941E-2</v>
      </c>
      <c r="D11" s="121">
        <f t="shared" si="1"/>
        <v>0.81650314639390331</v>
      </c>
    </row>
    <row r="12" spans="1:4" x14ac:dyDescent="0.35">
      <c r="A12" s="16" t="s">
        <v>203</v>
      </c>
      <c r="B12" s="120">
        <v>126432.92558335638</v>
      </c>
      <c r="C12" s="2">
        <f>B12/GETPIVOTDATA("Adjusted 2022",$A$3)</f>
        <v>2.4799140442238608E-2</v>
      </c>
      <c r="D12" s="121">
        <f t="shared" si="1"/>
        <v>0.84130228683614194</v>
      </c>
    </row>
    <row r="13" spans="1:4" x14ac:dyDescent="0.35">
      <c r="A13" s="16" t="s">
        <v>134</v>
      </c>
      <c r="B13" s="120">
        <v>125215.72307683231</v>
      </c>
      <c r="C13" s="2">
        <f t="shared" si="0"/>
        <v>2.4560392697008E-2</v>
      </c>
      <c r="D13" s="121">
        <f t="shared" si="1"/>
        <v>0.86586267953314999</v>
      </c>
    </row>
    <row r="14" spans="1:4" x14ac:dyDescent="0.35">
      <c r="A14" s="16" t="s">
        <v>335</v>
      </c>
      <c r="B14" s="120">
        <v>101401.21294552147</v>
      </c>
      <c r="C14" s="2">
        <f t="shared" si="0"/>
        <v>1.9889304223933583E-2</v>
      </c>
      <c r="D14" s="121">
        <f t="shared" si="1"/>
        <v>0.88575198375708353</v>
      </c>
    </row>
    <row r="15" spans="1:4" x14ac:dyDescent="0.35">
      <c r="A15" s="16" t="s">
        <v>133</v>
      </c>
      <c r="B15" s="120">
        <v>100764.99379594343</v>
      </c>
      <c r="C15" s="2">
        <f t="shared" si="0"/>
        <v>1.9764513249038163E-2</v>
      </c>
      <c r="D15" s="121">
        <f t="shared" si="1"/>
        <v>0.90551649700612169</v>
      </c>
    </row>
    <row r="16" spans="1:4" x14ac:dyDescent="0.35">
      <c r="A16" s="16" t="s">
        <v>204</v>
      </c>
      <c r="B16" s="120">
        <v>65900.862458872856</v>
      </c>
      <c r="C16" s="2">
        <f t="shared" si="0"/>
        <v>1.2926100822564332E-2</v>
      </c>
      <c r="D16" s="121">
        <f t="shared" si="1"/>
        <v>0.91844259782868598</v>
      </c>
    </row>
    <row r="17" spans="1:4" x14ac:dyDescent="0.35">
      <c r="A17" s="16" t="s">
        <v>62</v>
      </c>
      <c r="B17" s="120">
        <v>60028.259642935926</v>
      </c>
      <c r="C17" s="2">
        <f t="shared" si="0"/>
        <v>1.1774221268073683E-2</v>
      </c>
      <c r="D17" s="121">
        <f t="shared" si="1"/>
        <v>0.93021681909675968</v>
      </c>
    </row>
    <row r="18" spans="1:4" x14ac:dyDescent="0.35">
      <c r="A18" s="16" t="s">
        <v>206</v>
      </c>
      <c r="B18" s="120">
        <v>50851.306232208313</v>
      </c>
      <c r="C18" s="2">
        <f t="shared" si="0"/>
        <v>9.9742110617570354E-3</v>
      </c>
      <c r="D18" s="121">
        <f t="shared" si="1"/>
        <v>0.94019103015851668</v>
      </c>
    </row>
    <row r="19" spans="1:4" x14ac:dyDescent="0.35">
      <c r="A19" s="16" t="s">
        <v>207</v>
      </c>
      <c r="B19" s="120">
        <v>49708.866970673545</v>
      </c>
      <c r="C19" s="2">
        <f t="shared" si="0"/>
        <v>9.7501277261638139E-3</v>
      </c>
      <c r="D19" s="121">
        <f t="shared" si="1"/>
        <v>0.94994115788468048</v>
      </c>
    </row>
    <row r="20" spans="1:4" x14ac:dyDescent="0.35">
      <c r="A20" s="16" t="s">
        <v>336</v>
      </c>
      <c r="B20" s="120">
        <v>48644.010826384474</v>
      </c>
      <c r="C20" s="2">
        <f t="shared" si="0"/>
        <v>9.5412619030314123E-3</v>
      </c>
      <c r="D20" s="121">
        <f t="shared" si="1"/>
        <v>0.95948241978771187</v>
      </c>
    </row>
    <row r="21" spans="1:4" x14ac:dyDescent="0.35">
      <c r="A21" s="16" t="s">
        <v>136</v>
      </c>
      <c r="B21" s="120">
        <v>43796.163379094884</v>
      </c>
      <c r="C21" s="2">
        <f t="shared" si="0"/>
        <v>8.5903826195442914E-3</v>
      </c>
      <c r="D21" s="121">
        <f t="shared" si="1"/>
        <v>0.96807280240725613</v>
      </c>
    </row>
    <row r="22" spans="1:4" x14ac:dyDescent="0.35">
      <c r="A22" s="16" t="s">
        <v>337</v>
      </c>
      <c r="B22" s="120">
        <v>34405.463484314358</v>
      </c>
      <c r="C22" s="2">
        <f t="shared" si="0"/>
        <v>6.7484471864514258E-3</v>
      </c>
      <c r="D22" s="121">
        <f t="shared" si="1"/>
        <v>0.97482124959370753</v>
      </c>
    </row>
    <row r="23" spans="1:4" x14ac:dyDescent="0.35">
      <c r="A23" s="16" t="s">
        <v>61</v>
      </c>
      <c r="B23" s="120">
        <v>28073.857721050936</v>
      </c>
      <c r="C23" s="2">
        <f t="shared" si="0"/>
        <v>5.5065366649351306E-3</v>
      </c>
      <c r="D23" s="121">
        <f t="shared" si="1"/>
        <v>0.9803277862586427</v>
      </c>
    </row>
    <row r="24" spans="1:4" x14ac:dyDescent="0.35">
      <c r="A24" s="16" t="s">
        <v>84</v>
      </c>
      <c r="B24" s="120">
        <v>26398.377671373848</v>
      </c>
      <c r="C24" s="2">
        <f t="shared" si="0"/>
        <v>5.1779002368180175E-3</v>
      </c>
      <c r="D24" s="121">
        <f t="shared" si="1"/>
        <v>0.98550568649546066</v>
      </c>
    </row>
    <row r="25" spans="1:4" x14ac:dyDescent="0.35">
      <c r="A25" s="16" t="s">
        <v>83</v>
      </c>
      <c r="B25" s="120">
        <v>24928.784497698623</v>
      </c>
      <c r="C25" s="2">
        <f t="shared" si="0"/>
        <v>4.889647415499734E-3</v>
      </c>
      <c r="D25" s="121">
        <f t="shared" si="1"/>
        <v>0.99039533391096035</v>
      </c>
    </row>
    <row r="26" spans="1:4" x14ac:dyDescent="0.35">
      <c r="A26" s="16" t="s">
        <v>338</v>
      </c>
      <c r="B26" s="120">
        <v>22366.552701640743</v>
      </c>
      <c r="C26" s="2">
        <f t="shared" si="0"/>
        <v>4.3870793869357164E-3</v>
      </c>
      <c r="D26" s="121">
        <f t="shared" si="1"/>
        <v>0.99478241329789607</v>
      </c>
    </row>
    <row r="27" spans="1:4" x14ac:dyDescent="0.35">
      <c r="A27" s="16" t="s">
        <v>141</v>
      </c>
      <c r="B27" s="120">
        <v>10865.852686648303</v>
      </c>
      <c r="C27" s="2">
        <f t="shared" si="0"/>
        <v>2.1312787437099308E-3</v>
      </c>
      <c r="D27" s="121">
        <f t="shared" si="1"/>
        <v>0.99691369204160596</v>
      </c>
    </row>
    <row r="28" spans="1:4" x14ac:dyDescent="0.35">
      <c r="A28" s="16" t="s">
        <v>339</v>
      </c>
      <c r="B28" s="120">
        <v>8003.8013948885891</v>
      </c>
      <c r="C28" s="2">
        <f t="shared" si="0"/>
        <v>1.5699027286429908E-3</v>
      </c>
      <c r="D28" s="121">
        <f t="shared" si="1"/>
        <v>0.99848359477024895</v>
      </c>
    </row>
    <row r="29" spans="1:4" x14ac:dyDescent="0.35">
      <c r="A29" s="16" t="s">
        <v>205</v>
      </c>
      <c r="B29" s="120">
        <v>6483.6027441337947</v>
      </c>
      <c r="C29" s="2">
        <f t="shared" si="0"/>
        <v>1.271723914333148E-3</v>
      </c>
      <c r="D29" s="121">
        <f t="shared" si="1"/>
        <v>0.99975531868458212</v>
      </c>
    </row>
    <row r="30" spans="1:4" x14ac:dyDescent="0.35">
      <c r="A30" s="16" t="s">
        <v>126</v>
      </c>
      <c r="B30" s="120">
        <v>1247.4535000855094</v>
      </c>
      <c r="C30" s="2">
        <f t="shared" si="0"/>
        <v>2.4468131541721628E-4</v>
      </c>
      <c r="D30" s="121">
        <f t="shared" si="1"/>
        <v>0.99999999999999933</v>
      </c>
    </row>
    <row r="31" spans="1:4" x14ac:dyDescent="0.35">
      <c r="A31" s="16" t="s">
        <v>125</v>
      </c>
      <c r="B31" s="120">
        <v>5098278.5422680294</v>
      </c>
      <c r="C31" s="2">
        <f t="shared" si="0"/>
        <v>1</v>
      </c>
      <c r="D31" s="121">
        <f t="shared" si="1"/>
        <v>1.9999999999999993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0D32-4111-4D10-BC87-01CA19062C95}">
  <sheetPr>
    <tabColor rgb="FF00B050"/>
  </sheetPr>
  <dimension ref="A1:B37"/>
  <sheetViews>
    <sheetView workbookViewId="0">
      <selection activeCell="A9" sqref="A9"/>
    </sheetView>
  </sheetViews>
  <sheetFormatPr defaultRowHeight="14.5" x14ac:dyDescent="0.35"/>
  <cols>
    <col min="1" max="1" width="50.26953125" bestFit="1" customWidth="1"/>
    <col min="2" max="2" width="28.7265625" bestFit="1" customWidth="1"/>
  </cols>
  <sheetData>
    <row r="1" spans="1:2" x14ac:dyDescent="0.35">
      <c r="A1" s="15" t="s">
        <v>233</v>
      </c>
      <c r="B1" t="s">
        <v>41</v>
      </c>
    </row>
    <row r="3" spans="1:2" x14ac:dyDescent="0.35">
      <c r="A3" s="15" t="s">
        <v>124</v>
      </c>
      <c r="B3" t="s">
        <v>354</v>
      </c>
    </row>
    <row r="4" spans="1:2" x14ac:dyDescent="0.35">
      <c r="A4" s="16" t="s">
        <v>338</v>
      </c>
      <c r="B4">
        <v>1.0244253057547647E-2</v>
      </c>
    </row>
    <row r="5" spans="1:2" x14ac:dyDescent="0.35">
      <c r="A5" s="16" t="s">
        <v>337</v>
      </c>
      <c r="B5">
        <v>3.612880812012945</v>
      </c>
    </row>
    <row r="6" spans="1:2" x14ac:dyDescent="0.35">
      <c r="A6" s="16" t="s">
        <v>327</v>
      </c>
      <c r="B6">
        <v>8.3911567598986476</v>
      </c>
    </row>
    <row r="7" spans="1:2" x14ac:dyDescent="0.35">
      <c r="A7" s="16" t="s">
        <v>326</v>
      </c>
      <c r="B7">
        <v>16.816609497424736</v>
      </c>
    </row>
    <row r="8" spans="1:2" x14ac:dyDescent="0.35">
      <c r="A8" s="16" t="s">
        <v>334</v>
      </c>
      <c r="B8">
        <v>4.6544541065814307E-2</v>
      </c>
    </row>
    <row r="9" spans="1:2" x14ac:dyDescent="0.35">
      <c r="A9" s="16" t="s">
        <v>332</v>
      </c>
      <c r="B9">
        <v>2.019899461564286</v>
      </c>
    </row>
    <row r="10" spans="1:2" x14ac:dyDescent="0.35">
      <c r="A10" s="16" t="s">
        <v>333</v>
      </c>
      <c r="B10">
        <v>2.019899461564286</v>
      </c>
    </row>
    <row r="11" spans="1:2" x14ac:dyDescent="0.35">
      <c r="A11" s="16" t="s">
        <v>331</v>
      </c>
      <c r="B11">
        <v>2.5027155621895751</v>
      </c>
    </row>
    <row r="12" spans="1:2" x14ac:dyDescent="0.35">
      <c r="A12" s="16" t="s">
        <v>329</v>
      </c>
      <c r="B12">
        <v>23.333736051252441</v>
      </c>
    </row>
    <row r="13" spans="1:2" x14ac:dyDescent="0.35">
      <c r="A13" s="16" t="s">
        <v>330</v>
      </c>
      <c r="B13">
        <v>1.1232809036570675</v>
      </c>
    </row>
    <row r="14" spans="1:2" x14ac:dyDescent="0.35">
      <c r="A14" s="16" t="s">
        <v>336</v>
      </c>
      <c r="B14">
        <v>0.34206897166072142</v>
      </c>
    </row>
    <row r="15" spans="1:2" x14ac:dyDescent="0.35">
      <c r="A15" s="16" t="s">
        <v>335</v>
      </c>
      <c r="B15">
        <v>3.038089135023152</v>
      </c>
    </row>
    <row r="16" spans="1:2" x14ac:dyDescent="0.35">
      <c r="A16" s="16" t="s">
        <v>339</v>
      </c>
      <c r="B16">
        <v>0.98055317853004975</v>
      </c>
    </row>
    <row r="17" spans="1:2" x14ac:dyDescent="0.35">
      <c r="A17" s="16" t="s">
        <v>328</v>
      </c>
      <c r="B17">
        <v>8.4254527375260899</v>
      </c>
    </row>
    <row r="18" spans="1:2" x14ac:dyDescent="0.35">
      <c r="A18" s="16" t="s">
        <v>126</v>
      </c>
      <c r="B18">
        <v>0</v>
      </c>
    </row>
    <row r="19" spans="1:2" x14ac:dyDescent="0.35">
      <c r="A19" s="16" t="s">
        <v>127</v>
      </c>
      <c r="B19">
        <v>0</v>
      </c>
    </row>
    <row r="20" spans="1:2" x14ac:dyDescent="0.35">
      <c r="A20" s="16" t="s">
        <v>61</v>
      </c>
      <c r="B20">
        <v>1.7769415425083553E-3</v>
      </c>
    </row>
    <row r="21" spans="1:2" x14ac:dyDescent="0.35">
      <c r="A21" s="16" t="s">
        <v>62</v>
      </c>
      <c r="B21">
        <v>5.0769758357381576E-3</v>
      </c>
    </row>
    <row r="22" spans="1:2" x14ac:dyDescent="0.35">
      <c r="A22" s="16" t="s">
        <v>204</v>
      </c>
      <c r="B22">
        <v>2.4136351008195955</v>
      </c>
    </row>
    <row r="23" spans="1:2" x14ac:dyDescent="0.35">
      <c r="A23" s="16" t="s">
        <v>205</v>
      </c>
      <c r="B23">
        <v>0.18617816426325723</v>
      </c>
    </row>
    <row r="24" spans="1:2" x14ac:dyDescent="0.35">
      <c r="A24" s="16" t="s">
        <v>133</v>
      </c>
      <c r="B24">
        <v>3.0287356865793043E-2</v>
      </c>
    </row>
    <row r="25" spans="1:2" x14ac:dyDescent="0.35">
      <c r="A25" s="16" t="s">
        <v>134</v>
      </c>
      <c r="B25">
        <v>3.3935201758893703</v>
      </c>
    </row>
    <row r="26" spans="1:2" x14ac:dyDescent="0.35">
      <c r="A26" s="16" t="s">
        <v>206</v>
      </c>
      <c r="B26">
        <v>0.49595546867736107</v>
      </c>
    </row>
    <row r="27" spans="1:2" x14ac:dyDescent="0.35">
      <c r="A27" s="16" t="s">
        <v>136</v>
      </c>
      <c r="B27">
        <v>1.3907687031388054</v>
      </c>
    </row>
    <row r="28" spans="1:2" x14ac:dyDescent="0.35">
      <c r="A28" s="16" t="s">
        <v>207</v>
      </c>
      <c r="B28">
        <v>0.1358477035892188</v>
      </c>
    </row>
    <row r="29" spans="1:2" x14ac:dyDescent="0.35">
      <c r="A29" s="16" t="s">
        <v>141</v>
      </c>
      <c r="B29">
        <v>0.34140086820044657</v>
      </c>
    </row>
    <row r="30" spans="1:2" x14ac:dyDescent="0.35">
      <c r="A30" s="16" t="s">
        <v>208</v>
      </c>
      <c r="B30">
        <v>17.043764673918183</v>
      </c>
    </row>
    <row r="31" spans="1:2" x14ac:dyDescent="0.35">
      <c r="A31" s="16" t="s">
        <v>209</v>
      </c>
      <c r="B31">
        <v>16.709935644934188</v>
      </c>
    </row>
    <row r="32" spans="1:2" x14ac:dyDescent="0.35">
      <c r="A32" s="16" t="s">
        <v>142</v>
      </c>
      <c r="B32">
        <v>28.689030687662186</v>
      </c>
    </row>
    <row r="33" spans="1:2" x14ac:dyDescent="0.35">
      <c r="A33" s="16" t="s">
        <v>203</v>
      </c>
      <c r="B33">
        <v>9.4663579286343005</v>
      </c>
    </row>
    <row r="34" spans="1:2" x14ac:dyDescent="0.35">
      <c r="A34" s="16" t="s">
        <v>83</v>
      </c>
      <c r="B34">
        <v>0.43894397340057417</v>
      </c>
    </row>
    <row r="35" spans="1:2" x14ac:dyDescent="0.35">
      <c r="A35" s="16" t="s">
        <v>84</v>
      </c>
      <c r="B35">
        <v>0</v>
      </c>
    </row>
    <row r="36" spans="1:2" x14ac:dyDescent="0.35">
      <c r="A36" s="16" t="s">
        <v>87</v>
      </c>
      <c r="B36">
        <v>2.2270115342494883E-4</v>
      </c>
    </row>
    <row r="37" spans="1:2" x14ac:dyDescent="0.35">
      <c r="A37" s="16" t="s">
        <v>125</v>
      </c>
      <c r="B37">
        <v>153.40583439495231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7B6F0-D36B-41AA-ABEB-15BB01FCCC48}">
  <sheetPr>
    <tabColor rgb="FF00B050"/>
  </sheetPr>
  <dimension ref="A1:D9"/>
  <sheetViews>
    <sheetView workbookViewId="0">
      <selection activeCell="A2" sqref="A2:D8"/>
    </sheetView>
  </sheetViews>
  <sheetFormatPr defaultRowHeight="14.5" x14ac:dyDescent="0.35"/>
  <cols>
    <col min="1" max="1" width="19.1796875" bestFit="1" customWidth="1"/>
    <col min="2" max="4" width="28.7265625" bestFit="1" customWidth="1"/>
    <col min="5" max="353" width="5.6328125" bestFit="1" customWidth="1"/>
    <col min="354" max="375" width="6.6328125" bestFit="1" customWidth="1"/>
    <col min="376" max="376" width="12" bestFit="1" customWidth="1"/>
  </cols>
  <sheetData>
    <row r="1" spans="1:4" x14ac:dyDescent="0.35">
      <c r="A1" s="15" t="s">
        <v>233</v>
      </c>
      <c r="B1" t="s">
        <v>41</v>
      </c>
    </row>
    <row r="3" spans="1:4" x14ac:dyDescent="0.35">
      <c r="A3" s="15" t="s">
        <v>124</v>
      </c>
      <c r="B3" t="s">
        <v>355</v>
      </c>
      <c r="C3" t="s">
        <v>356</v>
      </c>
      <c r="D3" t="s">
        <v>354</v>
      </c>
    </row>
    <row r="4" spans="1:4" x14ac:dyDescent="0.35">
      <c r="A4" s="16" t="s">
        <v>337</v>
      </c>
      <c r="B4">
        <v>0</v>
      </c>
      <c r="C4">
        <v>3.6818750262807924</v>
      </c>
      <c r="D4">
        <v>3.612880812012945</v>
      </c>
    </row>
    <row r="5" spans="1:4" x14ac:dyDescent="0.35">
      <c r="A5" s="16" t="s">
        <v>326</v>
      </c>
      <c r="B5">
        <v>0</v>
      </c>
      <c r="C5">
        <v>17.451281461612556</v>
      </c>
      <c r="D5">
        <v>16.816609497424736</v>
      </c>
    </row>
    <row r="6" spans="1:4" x14ac:dyDescent="0.35">
      <c r="A6" s="16" t="s">
        <v>332</v>
      </c>
      <c r="B6">
        <v>2.931267462129866</v>
      </c>
      <c r="C6">
        <v>2.1341852520023665</v>
      </c>
      <c r="D6">
        <v>2.019899461564286</v>
      </c>
    </row>
    <row r="7" spans="1:4" x14ac:dyDescent="0.35">
      <c r="A7" s="16" t="s">
        <v>329</v>
      </c>
      <c r="B7">
        <v>0</v>
      </c>
      <c r="C7">
        <v>13.763205181805606</v>
      </c>
      <c r="D7">
        <v>23.333736051252441</v>
      </c>
    </row>
    <row r="8" spans="1:4" x14ac:dyDescent="0.35">
      <c r="A8" s="16" t="s">
        <v>335</v>
      </c>
      <c r="B8">
        <v>0</v>
      </c>
      <c r="C8">
        <v>4.485652887171268</v>
      </c>
      <c r="D8">
        <v>3.038089135023152</v>
      </c>
    </row>
    <row r="9" spans="1:4" x14ac:dyDescent="0.35">
      <c r="A9" s="16" t="s">
        <v>125</v>
      </c>
      <c r="B9">
        <v>2.931267462129866</v>
      </c>
      <c r="C9">
        <v>41.516199808872592</v>
      </c>
      <c r="D9">
        <v>48.821214957277554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C7530-80A1-4943-BA4F-1FD480F2F8B2}">
  <sheetPr>
    <tabColor rgb="FF00B050"/>
  </sheetPr>
  <dimension ref="A1:C9"/>
  <sheetViews>
    <sheetView workbookViewId="0">
      <selection activeCell="A4" sqref="A4:C8"/>
      <pivotSelection pane="bottomRight" showHeader="1" extendable="1" axis="axisRow" max="6" activeRow="3" previousRow="7" click="1" r:id="rId1">
        <pivotArea dataOnly="0" axis="axisRow" fieldPosition="0">
          <references count="2">
            <reference field="0" count="1" selected="0">
              <x v="0"/>
            </reference>
            <reference field="3" count="5">
              <x v="1"/>
              <x v="3"/>
              <x v="5"/>
              <x v="8"/>
              <x v="11"/>
            </reference>
          </references>
        </pivotArea>
      </pivotSelection>
    </sheetView>
  </sheetViews>
  <sheetFormatPr defaultRowHeight="14.5" x14ac:dyDescent="0.35"/>
  <cols>
    <col min="1" max="1" width="19.1796875" bestFit="1" customWidth="1"/>
    <col min="2" max="2" width="18.7265625" bestFit="1" customWidth="1"/>
    <col min="3" max="4" width="19.26953125" bestFit="1" customWidth="1"/>
    <col min="5" max="333" width="15.26953125" bestFit="1" customWidth="1"/>
    <col min="334" max="334" width="10.7265625" bestFit="1" customWidth="1"/>
  </cols>
  <sheetData>
    <row r="1" spans="1:3" x14ac:dyDescent="0.35">
      <c r="A1" s="15" t="s">
        <v>233</v>
      </c>
      <c r="B1" t="s">
        <v>41</v>
      </c>
    </row>
    <row r="3" spans="1:3" x14ac:dyDescent="0.35">
      <c r="A3" s="15" t="s">
        <v>124</v>
      </c>
      <c r="B3" t="s">
        <v>277</v>
      </c>
      <c r="C3" t="s">
        <v>280</v>
      </c>
    </row>
    <row r="4" spans="1:3" x14ac:dyDescent="0.35">
      <c r="A4" s="16" t="s">
        <v>337</v>
      </c>
      <c r="B4">
        <v>15437</v>
      </c>
      <c r="C4">
        <v>16223</v>
      </c>
    </row>
    <row r="5" spans="1:3" x14ac:dyDescent="0.35">
      <c r="A5" s="16" t="s">
        <v>326</v>
      </c>
      <c r="B5">
        <v>73168</v>
      </c>
      <c r="C5">
        <v>75512</v>
      </c>
    </row>
    <row r="6" spans="1:3" x14ac:dyDescent="0.35">
      <c r="A6" s="16" t="s">
        <v>332</v>
      </c>
      <c r="B6">
        <v>8948</v>
      </c>
      <c r="C6">
        <v>9070</v>
      </c>
    </row>
    <row r="7" spans="1:3" x14ac:dyDescent="0.35">
      <c r="A7" s="16" t="s">
        <v>329</v>
      </c>
      <c r="B7">
        <v>57705</v>
      </c>
      <c r="C7">
        <v>104776</v>
      </c>
    </row>
    <row r="8" spans="1:3" x14ac:dyDescent="0.35">
      <c r="A8" s="16" t="s">
        <v>335</v>
      </c>
      <c r="B8">
        <v>18807</v>
      </c>
      <c r="C8">
        <v>13642</v>
      </c>
    </row>
    <row r="9" spans="1:3" x14ac:dyDescent="0.35">
      <c r="A9" s="16" t="s">
        <v>125</v>
      </c>
      <c r="B9">
        <v>174065</v>
      </c>
      <c r="C9">
        <v>219223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9D5C-C84F-4971-BE13-7570591871F3}">
  <sheetPr>
    <tabColor rgb="FF00B050"/>
  </sheetPr>
  <dimension ref="A3:C51"/>
  <sheetViews>
    <sheetView topLeftCell="A37" workbookViewId="0">
      <selection activeCell="H7" sqref="H7"/>
    </sheetView>
  </sheetViews>
  <sheetFormatPr defaultRowHeight="14.5" x14ac:dyDescent="0.35"/>
  <cols>
    <col min="1" max="1" width="20.90625" bestFit="1" customWidth="1"/>
    <col min="2" max="3" width="18.08984375" bestFit="1" customWidth="1"/>
  </cols>
  <sheetData>
    <row r="3" spans="1:3" x14ac:dyDescent="0.35">
      <c r="A3" s="15" t="s">
        <v>124</v>
      </c>
      <c r="B3" t="s">
        <v>349</v>
      </c>
      <c r="C3" t="s">
        <v>350</v>
      </c>
    </row>
    <row r="4" spans="1:3" x14ac:dyDescent="0.35">
      <c r="A4" s="16" t="s">
        <v>41</v>
      </c>
      <c r="B4">
        <v>41927007.000000007</v>
      </c>
      <c r="C4">
        <v>44903225.000000007</v>
      </c>
    </row>
    <row r="5" spans="1:3" x14ac:dyDescent="0.35">
      <c r="A5" s="16" t="s">
        <v>88</v>
      </c>
      <c r="B5">
        <v>31273533.000000004</v>
      </c>
      <c r="C5">
        <v>35588987.000000007</v>
      </c>
    </row>
    <row r="6" spans="1:3" x14ac:dyDescent="0.35">
      <c r="A6" s="16" t="s">
        <v>89</v>
      </c>
      <c r="B6">
        <v>11940683.499999998</v>
      </c>
      <c r="C6">
        <v>13352864</v>
      </c>
    </row>
    <row r="7" spans="1:3" x14ac:dyDescent="0.35">
      <c r="A7" s="16" t="s">
        <v>90</v>
      </c>
      <c r="B7">
        <v>2451408.4999999995</v>
      </c>
      <c r="C7">
        <v>2630296.0000000005</v>
      </c>
    </row>
    <row r="8" spans="1:3" x14ac:dyDescent="0.35">
      <c r="A8" s="16" t="s">
        <v>1</v>
      </c>
      <c r="B8">
        <v>20392723</v>
      </c>
      <c r="C8">
        <v>22673762.000000004</v>
      </c>
    </row>
    <row r="9" spans="1:3" x14ac:dyDescent="0.35">
      <c r="A9" s="16" t="s">
        <v>91</v>
      </c>
      <c r="B9">
        <v>11493472.499999998</v>
      </c>
      <c r="C9">
        <v>12889576.499999998</v>
      </c>
    </row>
    <row r="10" spans="1:3" x14ac:dyDescent="0.35">
      <c r="A10" s="16" t="s">
        <v>92</v>
      </c>
      <c r="B10">
        <v>25076746.500000004</v>
      </c>
      <c r="C10">
        <v>27914536.499999996</v>
      </c>
    </row>
    <row r="11" spans="1:3" x14ac:dyDescent="0.35">
      <c r="A11" s="16" t="s">
        <v>93</v>
      </c>
      <c r="B11">
        <v>571201.5</v>
      </c>
      <c r="C11">
        <v>593149.50000000012</v>
      </c>
    </row>
    <row r="12" spans="1:3" x14ac:dyDescent="0.35">
      <c r="A12" s="16" t="s">
        <v>2</v>
      </c>
      <c r="B12">
        <v>5094779.9999999991</v>
      </c>
      <c r="C12">
        <v>5579143.5000000028</v>
      </c>
    </row>
    <row r="13" spans="1:3" x14ac:dyDescent="0.35">
      <c r="A13" s="16" t="s">
        <v>94</v>
      </c>
      <c r="B13">
        <v>15604210</v>
      </c>
      <c r="C13">
        <v>17723314.500000004</v>
      </c>
    </row>
    <row r="14" spans="1:3" x14ac:dyDescent="0.35">
      <c r="A14" s="16" t="s">
        <v>52</v>
      </c>
      <c r="B14">
        <v>776313.50000000035</v>
      </c>
      <c r="C14">
        <v>836773.49999999988</v>
      </c>
    </row>
    <row r="15" spans="1:3" x14ac:dyDescent="0.35">
      <c r="A15" s="16" t="s">
        <v>95</v>
      </c>
      <c r="B15">
        <v>5441061.9999999991</v>
      </c>
      <c r="C15">
        <v>5970424.0000000009</v>
      </c>
    </row>
    <row r="16" spans="1:3" x14ac:dyDescent="0.35">
      <c r="A16" s="16" t="s">
        <v>96</v>
      </c>
      <c r="B16">
        <v>25493988.499999996</v>
      </c>
      <c r="C16">
        <v>28160542.500000004</v>
      </c>
    </row>
    <row r="17" spans="1:3" x14ac:dyDescent="0.35">
      <c r="A17" s="16" t="s">
        <v>97</v>
      </c>
      <c r="B17">
        <v>87087354.999999985</v>
      </c>
      <c r="C17">
        <v>99010212</v>
      </c>
    </row>
    <row r="18" spans="1:3" x14ac:dyDescent="0.35">
      <c r="A18" s="16" t="s">
        <v>98</v>
      </c>
      <c r="B18">
        <v>1502091.5000000002</v>
      </c>
      <c r="C18">
        <v>1674908</v>
      </c>
    </row>
    <row r="19" spans="1:3" x14ac:dyDescent="0.35">
      <c r="A19" s="16" t="s">
        <v>99</v>
      </c>
      <c r="B19">
        <v>3445374.4999999995</v>
      </c>
      <c r="C19">
        <v>3684031.5000000005</v>
      </c>
    </row>
    <row r="20" spans="1:3" x14ac:dyDescent="0.35">
      <c r="A20" s="16" t="s">
        <v>43</v>
      </c>
      <c r="B20">
        <v>1160427.5</v>
      </c>
      <c r="C20">
        <v>1201670.4999999998</v>
      </c>
    </row>
    <row r="21" spans="1:3" x14ac:dyDescent="0.35">
      <c r="A21" s="16" t="s">
        <v>100</v>
      </c>
      <c r="B21">
        <v>111129438.00000001</v>
      </c>
      <c r="C21">
        <v>123379924.50000001</v>
      </c>
    </row>
    <row r="22" spans="1:3" x14ac:dyDescent="0.35">
      <c r="A22" s="16" t="s">
        <v>45</v>
      </c>
      <c r="B22">
        <v>2192011.5</v>
      </c>
      <c r="C22">
        <v>2388992.5000000005</v>
      </c>
    </row>
    <row r="23" spans="1:3" x14ac:dyDescent="0.35">
      <c r="A23" s="16" t="s">
        <v>101</v>
      </c>
      <c r="B23">
        <v>2444915.5000000005</v>
      </c>
      <c r="C23">
        <v>2705991.9999999995</v>
      </c>
    </row>
    <row r="24" spans="1:3" x14ac:dyDescent="0.35">
      <c r="A24" s="16" t="s">
        <v>102</v>
      </c>
      <c r="B24">
        <v>30870640.5</v>
      </c>
      <c r="C24">
        <v>33475870.500000007</v>
      </c>
    </row>
    <row r="25" spans="1:3" x14ac:dyDescent="0.35">
      <c r="A25" s="16" t="s">
        <v>103</v>
      </c>
      <c r="B25">
        <v>12554864.499999998</v>
      </c>
      <c r="C25">
        <v>13859340.500000002</v>
      </c>
    </row>
    <row r="26" spans="1:3" x14ac:dyDescent="0.35">
      <c r="A26" s="16" t="s">
        <v>104</v>
      </c>
      <c r="B26">
        <v>1924954.4999999995</v>
      </c>
      <c r="C26">
        <v>2105565.4999999995</v>
      </c>
    </row>
    <row r="27" spans="1:3" x14ac:dyDescent="0.35">
      <c r="A27" s="16" t="s">
        <v>105</v>
      </c>
      <c r="B27">
        <v>49953303.999999993</v>
      </c>
      <c r="C27">
        <v>54027486.999999993</v>
      </c>
    </row>
    <row r="28" spans="1:3" x14ac:dyDescent="0.35">
      <c r="A28" s="16" t="s">
        <v>42</v>
      </c>
      <c r="B28">
        <v>2198017</v>
      </c>
      <c r="C28">
        <v>2305825.5000000005</v>
      </c>
    </row>
    <row r="29" spans="1:3" x14ac:dyDescent="0.35">
      <c r="A29" s="16" t="s">
        <v>106</v>
      </c>
      <c r="B29">
        <v>4889391</v>
      </c>
      <c r="C29">
        <v>5302681.0000000009</v>
      </c>
    </row>
    <row r="30" spans="1:3" x14ac:dyDescent="0.35">
      <c r="A30" s="16" t="s">
        <v>107</v>
      </c>
      <c r="B30">
        <v>26846541</v>
      </c>
      <c r="C30">
        <v>29611714.000000004</v>
      </c>
    </row>
    <row r="31" spans="1:3" x14ac:dyDescent="0.35">
      <c r="A31" s="16" t="s">
        <v>108</v>
      </c>
      <c r="B31">
        <v>18367882.999999996</v>
      </c>
      <c r="C31">
        <v>20405316.500000011</v>
      </c>
    </row>
    <row r="32" spans="1:3" x14ac:dyDescent="0.35">
      <c r="A32" s="16" t="s">
        <v>109</v>
      </c>
      <c r="B32">
        <v>19934298.000000004</v>
      </c>
      <c r="C32">
        <v>22593590.500000011</v>
      </c>
    </row>
    <row r="33" spans="1:3" x14ac:dyDescent="0.35">
      <c r="A33" s="16" t="s">
        <v>44</v>
      </c>
      <c r="B33">
        <v>4270711.4999999991</v>
      </c>
      <c r="C33">
        <v>4736138.9999999991</v>
      </c>
    </row>
    <row r="34" spans="1:3" x14ac:dyDescent="0.35">
      <c r="A34" s="16" t="s">
        <v>110</v>
      </c>
      <c r="B34">
        <v>1295381.5000000002</v>
      </c>
      <c r="C34">
        <v>1299468.9999999993</v>
      </c>
    </row>
    <row r="35" spans="1:3" x14ac:dyDescent="0.35">
      <c r="A35" s="16" t="s">
        <v>111</v>
      </c>
      <c r="B35">
        <v>29423878.499999996</v>
      </c>
      <c r="C35">
        <v>32969518.500000007</v>
      </c>
    </row>
    <row r="36" spans="1:3" x14ac:dyDescent="0.35">
      <c r="A36" s="16" t="s">
        <v>112</v>
      </c>
      <c r="B36">
        <v>2405680.5000000005</v>
      </c>
      <c r="C36">
        <v>2567012.4999999995</v>
      </c>
    </row>
    <row r="37" spans="1:3" x14ac:dyDescent="0.35">
      <c r="A37" s="16" t="s">
        <v>39</v>
      </c>
      <c r="B37">
        <v>22577057.999999996</v>
      </c>
      <c r="C37">
        <v>26207976.5</v>
      </c>
    </row>
    <row r="38" spans="1:3" x14ac:dyDescent="0.35">
      <c r="A38" s="16" t="s">
        <v>113</v>
      </c>
      <c r="B38">
        <v>198387623.50000003</v>
      </c>
      <c r="C38">
        <v>218541211.50000003</v>
      </c>
    </row>
    <row r="39" spans="1:3" x14ac:dyDescent="0.35">
      <c r="A39" s="16" t="s">
        <v>114</v>
      </c>
      <c r="B39">
        <v>12531807.499999998</v>
      </c>
      <c r="C39">
        <v>13776697.499999998</v>
      </c>
    </row>
    <row r="40" spans="1:3" x14ac:dyDescent="0.35">
      <c r="A40" s="16" t="s">
        <v>48</v>
      </c>
      <c r="B40">
        <v>211344</v>
      </c>
      <c r="C40">
        <v>227379.5</v>
      </c>
    </row>
    <row r="41" spans="1:3" x14ac:dyDescent="0.35">
      <c r="A41" s="16" t="s">
        <v>115</v>
      </c>
      <c r="B41">
        <v>15574908.999999998</v>
      </c>
      <c r="C41">
        <v>17316449</v>
      </c>
    </row>
    <row r="42" spans="1:3" x14ac:dyDescent="0.35">
      <c r="A42" s="16" t="s">
        <v>116</v>
      </c>
      <c r="B42">
        <v>103101.00000000001</v>
      </c>
      <c r="C42">
        <v>107118.5</v>
      </c>
    </row>
    <row r="43" spans="1:3" x14ac:dyDescent="0.35">
      <c r="A43" s="16" t="s">
        <v>117</v>
      </c>
      <c r="B43">
        <v>7861281</v>
      </c>
      <c r="C43">
        <v>8605718.0000000019</v>
      </c>
    </row>
    <row r="44" spans="1:3" x14ac:dyDescent="0.35">
      <c r="A44" s="16" t="s">
        <v>118</v>
      </c>
      <c r="B44">
        <v>57339635.000000007</v>
      </c>
      <c r="C44">
        <v>59893885.5</v>
      </c>
    </row>
    <row r="45" spans="1:3" x14ac:dyDescent="0.35">
      <c r="A45" s="16" t="s">
        <v>119</v>
      </c>
      <c r="B45">
        <v>10395329.5</v>
      </c>
      <c r="C45">
        <v>10913163.5</v>
      </c>
    </row>
    <row r="46" spans="1:3" x14ac:dyDescent="0.35">
      <c r="A46" s="16" t="s">
        <v>120</v>
      </c>
      <c r="B46">
        <v>58090443.000000007</v>
      </c>
      <c r="C46">
        <v>65497748.000000015</v>
      </c>
    </row>
    <row r="47" spans="1:3" x14ac:dyDescent="0.35">
      <c r="A47" s="16" t="s">
        <v>51</v>
      </c>
      <c r="B47">
        <v>8046679</v>
      </c>
      <c r="C47">
        <v>8848698.5000000019</v>
      </c>
    </row>
    <row r="48" spans="1:3" x14ac:dyDescent="0.35">
      <c r="A48" s="16" t="s">
        <v>121</v>
      </c>
      <c r="B48">
        <v>41515395.000000007</v>
      </c>
      <c r="C48">
        <v>47249584.999999993</v>
      </c>
    </row>
    <row r="49" spans="1:3" x14ac:dyDescent="0.35">
      <c r="A49" s="16" t="s">
        <v>122</v>
      </c>
      <c r="B49">
        <v>17835892.999999989</v>
      </c>
      <c r="C49">
        <v>20017675.000000004</v>
      </c>
    </row>
    <row r="50" spans="1:3" x14ac:dyDescent="0.35">
      <c r="A50" s="16" t="s">
        <v>123</v>
      </c>
      <c r="B50">
        <v>15052184.000000002</v>
      </c>
      <c r="C50">
        <v>16320536.999999996</v>
      </c>
    </row>
    <row r="51" spans="1:3" x14ac:dyDescent="0.35">
      <c r="A51" s="16" t="s">
        <v>125</v>
      </c>
      <c r="B51">
        <v>22913978.106382977</v>
      </c>
      <c r="C51">
        <v>25354163.797872342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ED4D7-1A7B-435E-8438-4211D4C5B45A}">
  <sheetPr>
    <tabColor rgb="FF00B050"/>
  </sheetPr>
  <dimension ref="A3:B51"/>
  <sheetViews>
    <sheetView tabSelected="1" workbookViewId="0">
      <selection activeCell="H12" sqref="H12"/>
    </sheetView>
  </sheetViews>
  <sheetFormatPr defaultRowHeight="14.5" x14ac:dyDescent="0.35"/>
  <cols>
    <col min="1" max="1" width="20.90625" bestFit="1" customWidth="1"/>
    <col min="2" max="2" width="18.08984375" bestFit="1" customWidth="1"/>
  </cols>
  <sheetData>
    <row r="3" spans="1:2" x14ac:dyDescent="0.35">
      <c r="A3" s="15" t="s">
        <v>124</v>
      </c>
      <c r="B3" t="s">
        <v>350</v>
      </c>
    </row>
    <row r="4" spans="1:2" x14ac:dyDescent="0.35">
      <c r="A4" s="16" t="s">
        <v>41</v>
      </c>
      <c r="B4" s="124">
        <v>44903225.000000007</v>
      </c>
    </row>
    <row r="5" spans="1:2" x14ac:dyDescent="0.35">
      <c r="A5" s="16" t="s">
        <v>88</v>
      </c>
      <c r="B5" s="124">
        <v>35588987.000000007</v>
      </c>
    </row>
    <row r="6" spans="1:2" x14ac:dyDescent="0.35">
      <c r="A6" s="16" t="s">
        <v>89</v>
      </c>
      <c r="B6" s="124">
        <v>13352864</v>
      </c>
    </row>
    <row r="7" spans="1:2" x14ac:dyDescent="0.35">
      <c r="A7" s="16" t="s">
        <v>90</v>
      </c>
      <c r="B7" s="124">
        <v>2630296.0000000005</v>
      </c>
    </row>
    <row r="8" spans="1:2" x14ac:dyDescent="0.35">
      <c r="A8" s="16" t="s">
        <v>1</v>
      </c>
      <c r="B8" s="124">
        <v>22673762.000000004</v>
      </c>
    </row>
    <row r="9" spans="1:2" x14ac:dyDescent="0.35">
      <c r="A9" s="16" t="s">
        <v>91</v>
      </c>
      <c r="B9" s="124">
        <v>12889576.499999998</v>
      </c>
    </row>
    <row r="10" spans="1:2" x14ac:dyDescent="0.35">
      <c r="A10" s="16" t="s">
        <v>92</v>
      </c>
      <c r="B10" s="124">
        <v>27914536.499999996</v>
      </c>
    </row>
    <row r="11" spans="1:2" x14ac:dyDescent="0.35">
      <c r="A11" s="16" t="s">
        <v>93</v>
      </c>
      <c r="B11" s="124">
        <v>593149.50000000012</v>
      </c>
    </row>
    <row r="12" spans="1:2" x14ac:dyDescent="0.35">
      <c r="A12" s="16" t="s">
        <v>2</v>
      </c>
      <c r="B12" s="124">
        <v>5579143.5000000028</v>
      </c>
    </row>
    <row r="13" spans="1:2" x14ac:dyDescent="0.35">
      <c r="A13" s="16" t="s">
        <v>94</v>
      </c>
      <c r="B13" s="124">
        <v>17723314.500000004</v>
      </c>
    </row>
    <row r="14" spans="1:2" x14ac:dyDescent="0.35">
      <c r="A14" s="16" t="s">
        <v>52</v>
      </c>
      <c r="B14" s="124">
        <v>836773.49999999988</v>
      </c>
    </row>
    <row r="15" spans="1:2" x14ac:dyDescent="0.35">
      <c r="A15" s="16" t="s">
        <v>95</v>
      </c>
      <c r="B15" s="124">
        <v>5970424.0000000009</v>
      </c>
    </row>
    <row r="16" spans="1:2" x14ac:dyDescent="0.35">
      <c r="A16" s="16" t="s">
        <v>96</v>
      </c>
      <c r="B16" s="124">
        <v>28160542.500000004</v>
      </c>
    </row>
    <row r="17" spans="1:2" x14ac:dyDescent="0.35">
      <c r="A17" s="16" t="s">
        <v>97</v>
      </c>
      <c r="B17" s="124">
        <v>99010212</v>
      </c>
    </row>
    <row r="18" spans="1:2" x14ac:dyDescent="0.35">
      <c r="A18" s="16" t="s">
        <v>98</v>
      </c>
      <c r="B18" s="124">
        <v>1674908</v>
      </c>
    </row>
    <row r="19" spans="1:2" x14ac:dyDescent="0.35">
      <c r="A19" s="16" t="s">
        <v>99</v>
      </c>
      <c r="B19" s="124">
        <v>3684031.5000000005</v>
      </c>
    </row>
    <row r="20" spans="1:2" x14ac:dyDescent="0.35">
      <c r="A20" s="16" t="s">
        <v>43</v>
      </c>
      <c r="B20" s="124">
        <v>1201670.4999999998</v>
      </c>
    </row>
    <row r="21" spans="1:2" x14ac:dyDescent="0.35">
      <c r="A21" s="16" t="s">
        <v>100</v>
      </c>
      <c r="B21" s="124">
        <v>123379924.50000001</v>
      </c>
    </row>
    <row r="22" spans="1:2" x14ac:dyDescent="0.35">
      <c r="A22" s="16" t="s">
        <v>45</v>
      </c>
      <c r="B22" s="124">
        <v>2388992.5000000005</v>
      </c>
    </row>
    <row r="23" spans="1:2" x14ac:dyDescent="0.35">
      <c r="A23" s="16" t="s">
        <v>101</v>
      </c>
      <c r="B23" s="124">
        <v>2705991.9999999995</v>
      </c>
    </row>
    <row r="24" spans="1:2" x14ac:dyDescent="0.35">
      <c r="A24" s="16" t="s">
        <v>102</v>
      </c>
      <c r="B24" s="124">
        <v>33475870.500000007</v>
      </c>
    </row>
    <row r="25" spans="1:2" x14ac:dyDescent="0.35">
      <c r="A25" s="16" t="s">
        <v>103</v>
      </c>
      <c r="B25" s="124">
        <v>13859340.500000002</v>
      </c>
    </row>
    <row r="26" spans="1:2" x14ac:dyDescent="0.35">
      <c r="A26" s="16" t="s">
        <v>104</v>
      </c>
      <c r="B26" s="124">
        <v>2105565.4999999995</v>
      </c>
    </row>
    <row r="27" spans="1:2" x14ac:dyDescent="0.35">
      <c r="A27" s="16" t="s">
        <v>105</v>
      </c>
      <c r="B27" s="124">
        <v>54027486.999999993</v>
      </c>
    </row>
    <row r="28" spans="1:2" x14ac:dyDescent="0.35">
      <c r="A28" s="16" t="s">
        <v>42</v>
      </c>
      <c r="B28" s="124">
        <v>2305825.5000000005</v>
      </c>
    </row>
    <row r="29" spans="1:2" x14ac:dyDescent="0.35">
      <c r="A29" s="16" t="s">
        <v>106</v>
      </c>
      <c r="B29" s="124">
        <v>5302681.0000000009</v>
      </c>
    </row>
    <row r="30" spans="1:2" x14ac:dyDescent="0.35">
      <c r="A30" s="16" t="s">
        <v>107</v>
      </c>
      <c r="B30" s="124">
        <v>29611714.000000004</v>
      </c>
    </row>
    <row r="31" spans="1:2" x14ac:dyDescent="0.35">
      <c r="A31" s="16" t="s">
        <v>108</v>
      </c>
      <c r="B31" s="124">
        <v>20405316.500000011</v>
      </c>
    </row>
    <row r="32" spans="1:2" x14ac:dyDescent="0.35">
      <c r="A32" s="16" t="s">
        <v>109</v>
      </c>
      <c r="B32" s="124">
        <v>22593590.500000011</v>
      </c>
    </row>
    <row r="33" spans="1:2" x14ac:dyDescent="0.35">
      <c r="A33" s="16" t="s">
        <v>44</v>
      </c>
      <c r="B33" s="124">
        <v>4736138.9999999991</v>
      </c>
    </row>
    <row r="34" spans="1:2" x14ac:dyDescent="0.35">
      <c r="A34" s="16" t="s">
        <v>110</v>
      </c>
      <c r="B34" s="124">
        <v>1299468.9999999993</v>
      </c>
    </row>
    <row r="35" spans="1:2" x14ac:dyDescent="0.35">
      <c r="A35" s="16" t="s">
        <v>111</v>
      </c>
      <c r="B35" s="124">
        <v>32969518.500000007</v>
      </c>
    </row>
    <row r="36" spans="1:2" x14ac:dyDescent="0.35">
      <c r="A36" s="16" t="s">
        <v>112</v>
      </c>
      <c r="B36" s="124">
        <v>2567012.4999999995</v>
      </c>
    </row>
    <row r="37" spans="1:2" x14ac:dyDescent="0.35">
      <c r="A37" s="16" t="s">
        <v>39</v>
      </c>
      <c r="B37" s="124">
        <v>26207976.5</v>
      </c>
    </row>
    <row r="38" spans="1:2" x14ac:dyDescent="0.35">
      <c r="A38" s="16" t="s">
        <v>113</v>
      </c>
      <c r="B38" s="124">
        <v>218541211.50000003</v>
      </c>
    </row>
    <row r="39" spans="1:2" x14ac:dyDescent="0.35">
      <c r="A39" s="16" t="s">
        <v>114</v>
      </c>
      <c r="B39" s="124">
        <v>13776697.499999998</v>
      </c>
    </row>
    <row r="40" spans="1:2" x14ac:dyDescent="0.35">
      <c r="A40" s="16" t="s">
        <v>48</v>
      </c>
      <c r="B40" s="124">
        <v>227379.5</v>
      </c>
    </row>
    <row r="41" spans="1:2" x14ac:dyDescent="0.35">
      <c r="A41" s="16" t="s">
        <v>115</v>
      </c>
      <c r="B41" s="124">
        <v>17316449</v>
      </c>
    </row>
    <row r="42" spans="1:2" x14ac:dyDescent="0.35">
      <c r="A42" s="16" t="s">
        <v>116</v>
      </c>
      <c r="B42" s="124">
        <v>107118.5</v>
      </c>
    </row>
    <row r="43" spans="1:2" x14ac:dyDescent="0.35">
      <c r="A43" s="16" t="s">
        <v>117</v>
      </c>
      <c r="B43" s="124">
        <v>8605718.0000000019</v>
      </c>
    </row>
    <row r="44" spans="1:2" x14ac:dyDescent="0.35">
      <c r="A44" s="16" t="s">
        <v>118</v>
      </c>
      <c r="B44" s="124">
        <v>59893885.5</v>
      </c>
    </row>
    <row r="45" spans="1:2" x14ac:dyDescent="0.35">
      <c r="A45" s="16" t="s">
        <v>119</v>
      </c>
      <c r="B45" s="124">
        <v>10913163.5</v>
      </c>
    </row>
    <row r="46" spans="1:2" x14ac:dyDescent="0.35">
      <c r="A46" s="16" t="s">
        <v>120</v>
      </c>
      <c r="B46" s="124">
        <v>65497748.000000015</v>
      </c>
    </row>
    <row r="47" spans="1:2" x14ac:dyDescent="0.35">
      <c r="A47" s="16" t="s">
        <v>51</v>
      </c>
      <c r="B47" s="124">
        <v>8848698.5000000019</v>
      </c>
    </row>
    <row r="48" spans="1:2" x14ac:dyDescent="0.35">
      <c r="A48" s="16" t="s">
        <v>121</v>
      </c>
      <c r="B48" s="124">
        <v>47249584.999999993</v>
      </c>
    </row>
    <row r="49" spans="1:2" x14ac:dyDescent="0.35">
      <c r="A49" s="16" t="s">
        <v>122</v>
      </c>
      <c r="B49" s="124">
        <v>20017675.000000004</v>
      </c>
    </row>
    <row r="50" spans="1:2" x14ac:dyDescent="0.35">
      <c r="A50" s="16" t="s">
        <v>123</v>
      </c>
      <c r="B50" s="124">
        <v>16320536.999999996</v>
      </c>
    </row>
    <row r="51" spans="1:2" x14ac:dyDescent="0.35">
      <c r="A51" s="16" t="s">
        <v>125</v>
      </c>
      <c r="B51" s="124">
        <v>25354163.797872342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3B54-89ED-4975-B897-C4AF2A19C791}">
  <sheetPr>
    <tabColor rgb="FF00B050"/>
  </sheetPr>
  <dimension ref="A1:AW1559"/>
  <sheetViews>
    <sheetView zoomScale="90" zoomScaleNormal="90" workbookViewId="0">
      <pane xSplit="4" ySplit="1" topLeftCell="AM1538" activePane="bottomRight" state="frozen"/>
      <selection pane="topRight" activeCell="E1" sqref="E1"/>
      <selection pane="bottomLeft" activeCell="A2" sqref="A2"/>
      <selection pane="bottomRight" sqref="A1:AU1552"/>
    </sheetView>
  </sheetViews>
  <sheetFormatPr defaultColWidth="9.1796875" defaultRowHeight="14" x14ac:dyDescent="0.3"/>
  <cols>
    <col min="1" max="1" width="16.453125" style="85" customWidth="1"/>
    <col min="2" max="2" width="8.1796875" style="85" customWidth="1"/>
    <col min="3" max="3" width="13.36328125" style="85" customWidth="1"/>
    <col min="4" max="4" width="46.6328125" style="85" customWidth="1"/>
    <col min="5" max="5" width="10.26953125" style="87" bestFit="1" customWidth="1"/>
    <col min="6" max="6" width="14.90625" style="87" bestFit="1" customWidth="1"/>
    <col min="7" max="7" width="11.26953125" style="87" bestFit="1" customWidth="1"/>
    <col min="8" max="8" width="14.90625" style="87" bestFit="1" customWidth="1"/>
    <col min="9" max="9" width="10.26953125" style="87" bestFit="1" customWidth="1"/>
    <col min="10" max="10" width="14.90625" style="87" bestFit="1" customWidth="1"/>
    <col min="11" max="11" width="10.26953125" style="87" bestFit="1" customWidth="1"/>
    <col min="12" max="12" width="14.90625" style="87" bestFit="1" customWidth="1"/>
    <col min="13" max="13" width="11.26953125" style="87" bestFit="1" customWidth="1"/>
    <col min="14" max="14" width="14.90625" style="87" bestFit="1" customWidth="1"/>
    <col min="15" max="15" width="10.26953125" style="87" bestFit="1" customWidth="1"/>
    <col min="16" max="16" width="14.90625" style="87" bestFit="1" customWidth="1"/>
    <col min="17" max="17" width="11.26953125" style="87" bestFit="1" customWidth="1"/>
    <col min="18" max="18" width="9.90625" style="87" bestFit="1" customWidth="1"/>
    <col min="19" max="19" width="13.7265625" style="87" bestFit="1" customWidth="1"/>
    <col min="20" max="20" width="9.90625" style="87" bestFit="1" customWidth="1"/>
    <col min="21" max="21" width="13.7265625" style="87" bestFit="1" customWidth="1"/>
    <col min="22" max="22" width="8.453125" style="87" bestFit="1" customWidth="1"/>
    <col min="23" max="23" width="13.7265625" style="87" bestFit="1" customWidth="1"/>
    <col min="24" max="24" width="9.90625" style="87" bestFit="1" customWidth="1"/>
    <col min="25" max="25" width="13.7265625" style="87" bestFit="1" customWidth="1"/>
    <col min="26" max="26" width="9.90625" style="87" bestFit="1" customWidth="1"/>
    <col min="27" max="27" width="11.7265625" style="87" bestFit="1" customWidth="1"/>
    <col min="28" max="28" width="8.7265625" style="89" bestFit="1" customWidth="1"/>
    <col min="29" max="30" width="8.90625" style="89" bestFit="1" customWidth="1"/>
    <col min="31" max="31" width="8.453125" style="90" bestFit="1" customWidth="1"/>
    <col min="32" max="32" width="9.453125" style="90" bestFit="1" customWidth="1"/>
    <col min="33" max="33" width="8.90625" style="90" bestFit="1" customWidth="1"/>
    <col min="34" max="34" width="11.453125" style="90" bestFit="1" customWidth="1"/>
    <col min="35" max="35" width="8.90625" style="90" bestFit="1" customWidth="1"/>
    <col min="36" max="36" width="11.453125" style="90" bestFit="1" customWidth="1"/>
    <col min="37" max="37" width="12.81640625" style="90" customWidth="1"/>
    <col min="38" max="38" width="11.26953125" style="90" bestFit="1" customWidth="1"/>
    <col min="39" max="39" width="15.54296875" style="90" customWidth="1"/>
    <col min="40" max="40" width="12.1796875" style="85" bestFit="1" customWidth="1"/>
    <col min="41" max="42" width="11.26953125" style="85" bestFit="1" customWidth="1"/>
    <col min="43" max="43" width="9.7265625" style="85" bestFit="1" customWidth="1"/>
    <col min="44" max="44" width="11.26953125" style="85" bestFit="1" customWidth="1"/>
    <col min="45" max="46" width="8.453125" style="85" bestFit="1" customWidth="1"/>
    <col min="47" max="47" width="8.453125" style="85" customWidth="1"/>
    <col min="48" max="48" width="14.36328125" style="85" hidden="1" customWidth="1"/>
    <col min="49" max="16384" width="9.1796875" style="85"/>
  </cols>
  <sheetData>
    <row r="1" spans="1:48" s="108" customFormat="1" ht="56" x14ac:dyDescent="0.35">
      <c r="A1" s="106" t="s">
        <v>233</v>
      </c>
      <c r="B1" s="106" t="s">
        <v>0</v>
      </c>
      <c r="C1" s="106" t="s">
        <v>210</v>
      </c>
      <c r="D1" s="106" t="s">
        <v>211</v>
      </c>
      <c r="E1" s="107">
        <v>2012</v>
      </c>
      <c r="F1" s="107" t="s">
        <v>212</v>
      </c>
      <c r="G1" s="107">
        <v>2013</v>
      </c>
      <c r="H1" s="107" t="s">
        <v>213</v>
      </c>
      <c r="I1" s="107">
        <v>2014</v>
      </c>
      <c r="J1" s="107" t="s">
        <v>214</v>
      </c>
      <c r="K1" s="107">
        <v>2015</v>
      </c>
      <c r="L1" s="107" t="s">
        <v>215</v>
      </c>
      <c r="M1" s="107">
        <v>2016</v>
      </c>
      <c r="N1" s="107" t="s">
        <v>216</v>
      </c>
      <c r="O1" s="107">
        <v>2017</v>
      </c>
      <c r="P1" s="107" t="s">
        <v>217</v>
      </c>
      <c r="Q1" s="107">
        <v>2018</v>
      </c>
      <c r="R1" s="107" t="s">
        <v>258</v>
      </c>
      <c r="S1" s="107" t="s">
        <v>218</v>
      </c>
      <c r="T1" s="107">
        <v>2019</v>
      </c>
      <c r="U1" s="107" t="s">
        <v>219</v>
      </c>
      <c r="V1" s="107">
        <v>2020</v>
      </c>
      <c r="W1" s="107" t="s">
        <v>220</v>
      </c>
      <c r="X1" s="107">
        <v>2021</v>
      </c>
      <c r="Y1" s="107" t="s">
        <v>221</v>
      </c>
      <c r="Z1" s="107">
        <v>2022</v>
      </c>
      <c r="AA1" s="107" t="s">
        <v>222</v>
      </c>
      <c r="AB1" s="106" t="s">
        <v>224</v>
      </c>
      <c r="AC1" s="106" t="s">
        <v>225</v>
      </c>
      <c r="AD1" s="106" t="s">
        <v>226</v>
      </c>
      <c r="AE1" s="106" t="s">
        <v>254</v>
      </c>
      <c r="AF1" s="106" t="s">
        <v>255</v>
      </c>
      <c r="AG1" s="106" t="s">
        <v>256</v>
      </c>
      <c r="AH1" s="106" t="s">
        <v>257</v>
      </c>
      <c r="AI1" s="106" t="s">
        <v>259</v>
      </c>
      <c r="AJ1" s="106" t="s">
        <v>260</v>
      </c>
      <c r="AK1" s="106" t="s">
        <v>261</v>
      </c>
      <c r="AL1" s="106" t="s">
        <v>271</v>
      </c>
      <c r="AM1" s="106" t="s">
        <v>340</v>
      </c>
      <c r="AN1" s="106" t="s">
        <v>272</v>
      </c>
      <c r="AO1" s="106" t="s">
        <v>248</v>
      </c>
      <c r="AP1" s="106" t="s">
        <v>234</v>
      </c>
      <c r="AQ1" s="106" t="s">
        <v>251</v>
      </c>
      <c r="AR1" s="106" t="s">
        <v>273</v>
      </c>
      <c r="AS1" s="106" t="s">
        <v>252</v>
      </c>
      <c r="AT1" s="106" t="s">
        <v>253</v>
      </c>
      <c r="AU1" s="106" t="s">
        <v>341</v>
      </c>
      <c r="AV1" s="106" t="s">
        <v>344</v>
      </c>
    </row>
    <row r="2" spans="1:48" x14ac:dyDescent="0.3">
      <c r="A2" s="85" t="str">
        <f>_xlfn.XLOOKUP(B2,'Country codes &amp; Data sources'!G:G,'Country codes &amp; Data sources'!H:H,,0)</f>
        <v>Angola</v>
      </c>
      <c r="B2" s="85" t="s">
        <v>162</v>
      </c>
      <c r="C2" s="86">
        <v>25188292.499999996</v>
      </c>
      <c r="D2" s="85" t="s">
        <v>127</v>
      </c>
      <c r="E2" s="87">
        <v>0</v>
      </c>
      <c r="F2" s="88">
        <v>26147002.000000011</v>
      </c>
      <c r="G2" s="87">
        <v>0</v>
      </c>
      <c r="I2" s="87">
        <v>0</v>
      </c>
      <c r="K2" s="87">
        <v>0</v>
      </c>
      <c r="M2" s="87">
        <v>0</v>
      </c>
      <c r="O2" s="87">
        <v>0</v>
      </c>
      <c r="P2" s="88">
        <v>31273533.000000004</v>
      </c>
      <c r="Q2" s="87">
        <v>1680</v>
      </c>
      <c r="R2" s="87">
        <f t="shared" ref="R2:R51" si="0">MAX(Q2,AA2)</f>
        <v>1680</v>
      </c>
      <c r="T2" s="87">
        <v>0</v>
      </c>
      <c r="V2" s="87">
        <v>2652</v>
      </c>
      <c r="X2" s="87">
        <v>0</v>
      </c>
      <c r="Y2" s="88">
        <v>35588987.00000003</v>
      </c>
      <c r="Z2" s="87">
        <v>5</v>
      </c>
      <c r="AA2" s="87">
        <v>1680</v>
      </c>
      <c r="AB2" s="89">
        <f t="shared" ref="AB2:AB51" si="1">MAX(G2,E2,I2,K2)</f>
        <v>0</v>
      </c>
      <c r="AC2" s="89">
        <f t="shared" ref="AC2:AC51" si="2">MAX(M2,O2,Q2,T2)</f>
        <v>1680</v>
      </c>
      <c r="AD2" s="89">
        <f t="shared" ref="AD2:AD51" si="3">MAX(V2,X2,Z2)</f>
        <v>2652</v>
      </c>
      <c r="AF2" s="90" t="str">
        <f t="shared" ref="AF2:AF51" si="4">IF(AE2&gt;0,_xlfn.XLOOKUP(AE2,$B2:$K2,$B$1:$K$1,,0),"")</f>
        <v/>
      </c>
      <c r="AG2" s="90">
        <f t="shared" ref="AG2:AG51" si="5">IF(R2&gt;0,R2,IF(O2&gt;0,O2,T2))</f>
        <v>1680</v>
      </c>
      <c r="AH2" s="90">
        <f t="shared" ref="AH2:AH51" si="6">IF(AG2&gt;0,_xlfn.XLOOKUP(AG2,$L2:$T2,$L$1:$T$1,,0),"")</f>
        <v>2018</v>
      </c>
      <c r="AI2" s="90">
        <f t="shared" ref="AI2:AI51" si="7">IF((IF(Z2&gt;0,Z2,IF(X2&gt;0,X2,IF(V2&gt;0,V2,T2))))=0,AG2,IF(Z2&gt;0,Z2,IF(X2&gt;0,X2,IF(V2&gt;0,V2,T2))))</f>
        <v>5</v>
      </c>
      <c r="AJ2" s="90">
        <f t="shared" ref="AJ2:AJ51" si="8">IFERROR(IF(AI2&gt;0,_xlfn.XLOOKUP(AI2,$V2:$Z2,$V$1:$Z$1,,0),""),AH2)</f>
        <v>2022</v>
      </c>
      <c r="AK2" s="90" t="str">
        <f t="shared" ref="AK2:AK51" si="9">IF(AI2&lt;AG2,"Adjust","")</f>
        <v>Adjust</v>
      </c>
      <c r="AL2" s="91">
        <f>IF(AK2="Adjust",(_xlfn.XLOOKUP(A2,'Adj factor'!A:A,'Adj factor'!I:I,,0)*AI2),'Master DataSheet (Rev)'!AI2)</f>
        <v>7.414851832045585</v>
      </c>
      <c r="AM2" s="91">
        <f t="shared" ref="AM2:AM51" si="10">IF(AL2&lt;AG2,AG2,AL2)</f>
        <v>1680</v>
      </c>
      <c r="AN2" s="92" t="str">
        <f>IF(AL2&gt;AG2,"Increasing",IF(AL2&lt;AG2,"Decreasing","No change"))</f>
        <v>Decreasing</v>
      </c>
      <c r="AO2" s="93">
        <f>VLOOKUP(B2,'Growthrates source'!A$2:H$49,8,FALSE)</f>
        <v>0.3113441654036182</v>
      </c>
      <c r="AP2" s="93">
        <f>VLOOKUP(B2,'Growthrates source'!A$2:I$49,9,FALSE)</f>
        <v>5.4673730437993617E-2</v>
      </c>
      <c r="AQ2" s="86">
        <f t="shared" ref="AQ2:AQ51" si="11">AA2/(EXP(AO2*5))</f>
        <v>354.18814159330685</v>
      </c>
      <c r="AR2" s="86">
        <f t="shared" ref="AR2:AR51" si="12">AA2*EXP(AP2*3)</f>
        <v>1979.4419958881626</v>
      </c>
      <c r="AS2" s="94">
        <f>(AE2*10000)/F2</f>
        <v>0</v>
      </c>
      <c r="AT2" s="94">
        <f>(AG2*10000)/P2</f>
        <v>0.53719546173436805</v>
      </c>
      <c r="AU2" s="94">
        <f>(AL2*10000)/Y2</f>
        <v>2.0834680773705585E-3</v>
      </c>
      <c r="AV2" s="94">
        <f>(AM2*10000)/Y2</f>
        <v>0.47205614478433977</v>
      </c>
    </row>
    <row r="3" spans="1:48" x14ac:dyDescent="0.3">
      <c r="A3" s="85" t="str">
        <f>_xlfn.XLOOKUP(B3,'Country codes &amp; Data sources'!G:G,'Country codes &amp; Data sources'!H:H,,0)</f>
        <v>Angola</v>
      </c>
      <c r="B3" s="85" t="s">
        <v>162</v>
      </c>
      <c r="C3" s="86">
        <v>25188292.499999996</v>
      </c>
      <c r="D3" s="85" t="s">
        <v>61</v>
      </c>
      <c r="E3" s="87">
        <v>85</v>
      </c>
      <c r="F3" s="88">
        <v>26147002.000000011</v>
      </c>
      <c r="G3" s="87">
        <v>0</v>
      </c>
      <c r="I3" s="87">
        <v>0</v>
      </c>
      <c r="K3" s="87">
        <v>870</v>
      </c>
      <c r="M3" s="87">
        <v>32</v>
      </c>
      <c r="O3" s="87">
        <v>0</v>
      </c>
      <c r="P3" s="88">
        <v>31273533.000000004</v>
      </c>
      <c r="Q3" s="87">
        <v>4</v>
      </c>
      <c r="R3" s="87">
        <f t="shared" si="0"/>
        <v>4</v>
      </c>
      <c r="T3" s="87">
        <v>0</v>
      </c>
      <c r="V3" s="87">
        <v>57</v>
      </c>
      <c r="X3" s="87">
        <v>0</v>
      </c>
      <c r="Y3" s="88">
        <v>35588987.00000003</v>
      </c>
      <c r="Z3" s="87">
        <v>197</v>
      </c>
      <c r="AA3" s="87">
        <v>0</v>
      </c>
      <c r="AB3" s="89">
        <f t="shared" si="1"/>
        <v>870</v>
      </c>
      <c r="AC3" s="89">
        <f t="shared" si="2"/>
        <v>32</v>
      </c>
      <c r="AD3" s="89">
        <f t="shared" si="3"/>
        <v>197</v>
      </c>
      <c r="AE3" s="90">
        <f t="shared" ref="AE3:AE48" si="13">IF(G3&gt;0,G3,IF(E3&gt;0,E3,IF(I3&gt;0,I3,K3)))</f>
        <v>85</v>
      </c>
      <c r="AF3" s="90">
        <f t="shared" si="4"/>
        <v>2012</v>
      </c>
      <c r="AG3" s="90">
        <f t="shared" si="5"/>
        <v>4</v>
      </c>
      <c r="AH3" s="90">
        <f t="shared" si="6"/>
        <v>2018</v>
      </c>
      <c r="AI3" s="90">
        <f t="shared" si="7"/>
        <v>197</v>
      </c>
      <c r="AJ3" s="90">
        <f t="shared" si="8"/>
        <v>2022</v>
      </c>
      <c r="AK3" s="90" t="str">
        <f t="shared" si="9"/>
        <v/>
      </c>
      <c r="AL3" s="91">
        <f>IF(AK3="Adjust",(_xlfn.XLOOKUP(A3,'Adj factor'!A:A,'Adj factor'!I:I,,0)*AI3),'Master DataSheet (Rev)'!AI3)</f>
        <v>197</v>
      </c>
      <c r="AM3" s="91">
        <f t="shared" si="10"/>
        <v>197</v>
      </c>
      <c r="AN3" s="92" t="str">
        <f t="shared" ref="AN3:AN51" si="14">IF(AL3&gt;AG3,"Increasing",IF(AL3&lt;AG3,"Decreasing","No change"))</f>
        <v>Increasing</v>
      </c>
      <c r="AO3" s="93">
        <f>VLOOKUP(B3,'Growthrates source'!A$2:H$49,8,FALSE)</f>
        <v>0.3113441654036182</v>
      </c>
      <c r="AP3" s="93">
        <f>VLOOKUP(B3,'Growthrates source'!A$2:I$49,9,FALSE)</f>
        <v>5.4673730437993617E-2</v>
      </c>
      <c r="AQ3" s="86">
        <f t="shared" si="11"/>
        <v>0</v>
      </c>
      <c r="AR3" s="86">
        <f t="shared" si="12"/>
        <v>0</v>
      </c>
      <c r="AS3" s="94">
        <f t="shared" ref="AS3:AS51" si="15">(AE3*10000)/F3</f>
        <v>3.2508507093853424E-2</v>
      </c>
      <c r="AT3" s="94">
        <f t="shared" ref="AT3:AT51" si="16">(AG3*10000)/P3</f>
        <v>1.2790368136532573E-3</v>
      </c>
      <c r="AU3" s="94">
        <f t="shared" ref="AU3:AU66" si="17">(AL3*10000)/Y3</f>
        <v>5.5354202691973178E-2</v>
      </c>
      <c r="AV3" s="94">
        <f t="shared" ref="AV3:AV66" si="18">(AM3*10000)/Y3</f>
        <v>5.5354202691973178E-2</v>
      </c>
    </row>
    <row r="4" spans="1:48" x14ac:dyDescent="0.3">
      <c r="A4" s="85" t="str">
        <f>_xlfn.XLOOKUP(B4,'Country codes &amp; Data sources'!G:G,'Country codes &amp; Data sources'!H:H,,0)</f>
        <v>Angola</v>
      </c>
      <c r="B4" s="85" t="s">
        <v>162</v>
      </c>
      <c r="C4" s="86">
        <v>25188292.499999996</v>
      </c>
      <c r="D4" s="85" t="s">
        <v>62</v>
      </c>
      <c r="E4" s="87">
        <v>517</v>
      </c>
      <c r="F4" s="88">
        <v>26147002.000000011</v>
      </c>
      <c r="G4" s="87">
        <v>0</v>
      </c>
      <c r="I4" s="87">
        <v>0</v>
      </c>
      <c r="K4" s="87">
        <v>0</v>
      </c>
      <c r="M4" s="87">
        <v>177</v>
      </c>
      <c r="O4" s="87">
        <v>0</v>
      </c>
      <c r="P4" s="88">
        <v>31273533.000000004</v>
      </c>
      <c r="Q4" s="87">
        <v>411</v>
      </c>
      <c r="R4" s="87">
        <f t="shared" si="0"/>
        <v>657</v>
      </c>
      <c r="T4" s="87">
        <v>0</v>
      </c>
      <c r="V4" s="87">
        <v>236</v>
      </c>
      <c r="X4" s="87">
        <v>0</v>
      </c>
      <c r="Y4" s="88">
        <v>35588987.00000003</v>
      </c>
      <c r="Z4" s="87">
        <v>10</v>
      </c>
      <c r="AA4" s="87">
        <v>657</v>
      </c>
      <c r="AB4" s="89">
        <f t="shared" si="1"/>
        <v>517</v>
      </c>
      <c r="AC4" s="89">
        <f t="shared" si="2"/>
        <v>411</v>
      </c>
      <c r="AD4" s="89">
        <f t="shared" si="3"/>
        <v>236</v>
      </c>
      <c r="AE4" s="90">
        <f t="shared" si="13"/>
        <v>517</v>
      </c>
      <c r="AF4" s="90">
        <f t="shared" si="4"/>
        <v>2012</v>
      </c>
      <c r="AG4" s="90">
        <f t="shared" si="5"/>
        <v>657</v>
      </c>
      <c r="AH4" s="90" t="str">
        <f t="shared" si="6"/>
        <v>2018 (triag)</v>
      </c>
      <c r="AI4" s="90">
        <f t="shared" si="7"/>
        <v>10</v>
      </c>
      <c r="AJ4" s="90">
        <f t="shared" si="8"/>
        <v>2022</v>
      </c>
      <c r="AK4" s="90" t="str">
        <f t="shared" si="9"/>
        <v>Adjust</v>
      </c>
      <c r="AL4" s="91">
        <f>IF(AK4="Adjust",(_xlfn.XLOOKUP(A4,'Adj factor'!A:A,'Adj factor'!I:I,,0)*AI4),'Master DataSheet (Rev)'!AI4)</f>
        <v>14.82970366409117</v>
      </c>
      <c r="AM4" s="91">
        <f t="shared" si="10"/>
        <v>657</v>
      </c>
      <c r="AN4" s="92" t="str">
        <f t="shared" si="14"/>
        <v>Decreasing</v>
      </c>
      <c r="AO4" s="93">
        <f>VLOOKUP(B4,'Growthrates source'!A$2:H$49,8,FALSE)</f>
        <v>0.3113441654036182</v>
      </c>
      <c r="AP4" s="93">
        <f>VLOOKUP(B4,'Growthrates source'!A$2:I$49,9,FALSE)</f>
        <v>5.4673730437993617E-2</v>
      </c>
      <c r="AQ4" s="86">
        <f t="shared" si="11"/>
        <v>138.51286251595391</v>
      </c>
      <c r="AR4" s="86">
        <f t="shared" si="12"/>
        <v>774.10320910626353</v>
      </c>
      <c r="AS4" s="94">
        <f t="shared" si="15"/>
        <v>0.19772821373555552</v>
      </c>
      <c r="AT4" s="94">
        <f t="shared" si="16"/>
        <v>0.21008179664254753</v>
      </c>
      <c r="AU4" s="94">
        <f t="shared" si="17"/>
        <v>4.166936154741117E-3</v>
      </c>
      <c r="AV4" s="94">
        <f t="shared" si="18"/>
        <v>0.18460767090673288</v>
      </c>
    </row>
    <row r="5" spans="1:48" x14ac:dyDescent="0.3">
      <c r="A5" s="85" t="str">
        <f>_xlfn.XLOOKUP(B5,'Country codes &amp; Data sources'!G:G,'Country codes &amp; Data sources'!H:H,,0)</f>
        <v>Angola</v>
      </c>
      <c r="B5" s="85" t="s">
        <v>162</v>
      </c>
      <c r="C5" s="86">
        <v>25188292.499999996</v>
      </c>
      <c r="D5" s="85" t="s">
        <v>203</v>
      </c>
      <c r="E5" s="87">
        <v>0</v>
      </c>
      <c r="F5" s="88">
        <v>26147002.000000011</v>
      </c>
      <c r="G5" s="87">
        <v>0</v>
      </c>
      <c r="I5" s="87">
        <v>0</v>
      </c>
      <c r="K5" s="87">
        <v>0</v>
      </c>
      <c r="M5" s="87">
        <v>0</v>
      </c>
      <c r="O5" s="87">
        <v>0</v>
      </c>
      <c r="P5" s="88">
        <v>31273533.000000004</v>
      </c>
      <c r="Q5" s="87">
        <v>0</v>
      </c>
      <c r="R5" s="87">
        <f t="shared" si="0"/>
        <v>0</v>
      </c>
      <c r="T5" s="87">
        <v>0</v>
      </c>
      <c r="V5" s="87">
        <v>0</v>
      </c>
      <c r="X5" s="87">
        <v>0</v>
      </c>
      <c r="Y5" s="88">
        <v>35588987.00000003</v>
      </c>
      <c r="Z5" s="87">
        <v>0</v>
      </c>
      <c r="AA5" s="87">
        <v>0</v>
      </c>
      <c r="AB5" s="89">
        <f t="shared" si="1"/>
        <v>0</v>
      </c>
      <c r="AC5" s="89">
        <f t="shared" si="2"/>
        <v>0</v>
      </c>
      <c r="AD5" s="89">
        <f t="shared" si="3"/>
        <v>0</v>
      </c>
      <c r="AF5" s="90" t="str">
        <f t="shared" si="4"/>
        <v/>
      </c>
      <c r="AH5" s="90" t="str">
        <f t="shared" si="6"/>
        <v/>
      </c>
      <c r="AI5" s="90">
        <f t="shared" si="7"/>
        <v>0</v>
      </c>
      <c r="AJ5" s="90" t="str">
        <f t="shared" si="8"/>
        <v/>
      </c>
      <c r="AK5" s="90" t="str">
        <f t="shared" si="9"/>
        <v/>
      </c>
      <c r="AL5" s="91"/>
      <c r="AM5" s="91">
        <f t="shared" si="10"/>
        <v>0</v>
      </c>
      <c r="AN5" s="92" t="str">
        <f t="shared" si="14"/>
        <v>No change</v>
      </c>
      <c r="AO5" s="93">
        <f>VLOOKUP(B5,'Growthrates source'!A$2:H$49,8,FALSE)</f>
        <v>0.3113441654036182</v>
      </c>
      <c r="AP5" s="93">
        <f>VLOOKUP(B5,'Growthrates source'!A$2:I$49,9,FALSE)</f>
        <v>5.4673730437993617E-2</v>
      </c>
      <c r="AQ5" s="86">
        <f t="shared" si="11"/>
        <v>0</v>
      </c>
      <c r="AR5" s="86">
        <f t="shared" si="12"/>
        <v>0</v>
      </c>
      <c r="AS5" s="94">
        <f t="shared" si="15"/>
        <v>0</v>
      </c>
      <c r="AT5" s="94">
        <f t="shared" si="16"/>
        <v>0</v>
      </c>
      <c r="AU5" s="94">
        <f t="shared" si="17"/>
        <v>0</v>
      </c>
      <c r="AV5" s="94">
        <f t="shared" si="18"/>
        <v>0</v>
      </c>
    </row>
    <row r="6" spans="1:48" x14ac:dyDescent="0.3">
      <c r="A6" s="85" t="str">
        <f>_xlfn.XLOOKUP(B6,'Country codes &amp; Data sources'!G:G,'Country codes &amp; Data sources'!H:H,,0)</f>
        <v>Angola</v>
      </c>
      <c r="B6" s="85" t="s">
        <v>162</v>
      </c>
      <c r="C6" s="86">
        <v>25188292.499999996</v>
      </c>
      <c r="D6" s="85" t="s">
        <v>204</v>
      </c>
      <c r="E6" s="87">
        <v>0</v>
      </c>
      <c r="F6" s="88">
        <v>26147002.000000011</v>
      </c>
      <c r="G6" s="87">
        <v>0</v>
      </c>
      <c r="I6" s="87">
        <v>0</v>
      </c>
      <c r="K6" s="87">
        <v>0</v>
      </c>
      <c r="M6" s="87">
        <v>0</v>
      </c>
      <c r="O6" s="87">
        <v>0</v>
      </c>
      <c r="P6" s="88">
        <v>31273533.000000004</v>
      </c>
      <c r="Q6" s="87">
        <v>0</v>
      </c>
      <c r="R6" s="87">
        <f t="shared" si="0"/>
        <v>328</v>
      </c>
      <c r="T6" s="87">
        <v>0</v>
      </c>
      <c r="V6" s="87">
        <v>0</v>
      </c>
      <c r="X6" s="87">
        <v>0</v>
      </c>
      <c r="Y6" s="88">
        <v>35588987.00000003</v>
      </c>
      <c r="Z6" s="87">
        <v>2072</v>
      </c>
      <c r="AA6" s="87">
        <v>328</v>
      </c>
      <c r="AB6" s="89">
        <f t="shared" si="1"/>
        <v>0</v>
      </c>
      <c r="AC6" s="89">
        <f t="shared" si="2"/>
        <v>0</v>
      </c>
      <c r="AD6" s="89">
        <f t="shared" si="3"/>
        <v>2072</v>
      </c>
      <c r="AF6" s="90" t="str">
        <f t="shared" si="4"/>
        <v/>
      </c>
      <c r="AG6" s="90">
        <f t="shared" si="5"/>
        <v>328</v>
      </c>
      <c r="AH6" s="90" t="str">
        <f t="shared" si="6"/>
        <v>2018 (triag)</v>
      </c>
      <c r="AI6" s="90">
        <f t="shared" si="7"/>
        <v>2072</v>
      </c>
      <c r="AJ6" s="90">
        <f t="shared" si="8"/>
        <v>2022</v>
      </c>
      <c r="AK6" s="90" t="str">
        <f t="shared" si="9"/>
        <v/>
      </c>
      <c r="AL6" s="91">
        <f>IF(AK6="Adjust",(_xlfn.XLOOKUP(A6,'Adj factor'!A:A,'Adj factor'!I:I,,0)*AI6),'Master DataSheet (Rev)'!AI6)</f>
        <v>2072</v>
      </c>
      <c r="AM6" s="91">
        <f t="shared" si="10"/>
        <v>2072</v>
      </c>
      <c r="AN6" s="92" t="str">
        <f t="shared" si="14"/>
        <v>Increasing</v>
      </c>
      <c r="AO6" s="93">
        <f>VLOOKUP(B6,'Growthrates source'!A$2:H$49,8,FALSE)</f>
        <v>0.3113441654036182</v>
      </c>
      <c r="AP6" s="93">
        <f>VLOOKUP(B6,'Growthrates source'!A$2:I$49,9,FALSE)</f>
        <v>5.4673730437993617E-2</v>
      </c>
      <c r="AQ6" s="86">
        <f t="shared" si="11"/>
        <v>69.151018120597996</v>
      </c>
      <c r="AR6" s="86">
        <f t="shared" si="12"/>
        <v>386.46248491149839</v>
      </c>
      <c r="AS6" s="94">
        <f t="shared" si="15"/>
        <v>0</v>
      </c>
      <c r="AT6" s="94">
        <f t="shared" si="16"/>
        <v>0.10488101871956711</v>
      </c>
      <c r="AU6" s="94">
        <f t="shared" si="17"/>
        <v>0.58220257856735236</v>
      </c>
      <c r="AV6" s="94">
        <f t="shared" si="18"/>
        <v>0.58220257856735236</v>
      </c>
    </row>
    <row r="7" spans="1:48" x14ac:dyDescent="0.3">
      <c r="A7" s="85" t="str">
        <f>_xlfn.XLOOKUP(B7,'Country codes &amp; Data sources'!G:G,'Country codes &amp; Data sources'!H:H,,0)</f>
        <v>Angola</v>
      </c>
      <c r="B7" s="85" t="s">
        <v>162</v>
      </c>
      <c r="C7" s="86">
        <v>25188292.499999996</v>
      </c>
      <c r="D7" s="85" t="s">
        <v>205</v>
      </c>
      <c r="E7" s="87">
        <v>0</v>
      </c>
      <c r="F7" s="88">
        <v>26147002.000000011</v>
      </c>
      <c r="G7" s="87">
        <v>0</v>
      </c>
      <c r="I7" s="87">
        <v>0</v>
      </c>
      <c r="K7" s="87">
        <v>0</v>
      </c>
      <c r="M7" s="87">
        <v>0</v>
      </c>
      <c r="O7" s="87">
        <v>0</v>
      </c>
      <c r="P7" s="88">
        <v>31273533.000000004</v>
      </c>
      <c r="Q7" s="87">
        <v>0</v>
      </c>
      <c r="R7" s="87">
        <f t="shared" si="0"/>
        <v>75</v>
      </c>
      <c r="T7" s="87">
        <v>0</v>
      </c>
      <c r="V7" s="87">
        <v>0</v>
      </c>
      <c r="X7" s="87">
        <v>0</v>
      </c>
      <c r="Y7" s="88">
        <v>35588987.00000003</v>
      </c>
      <c r="Z7" s="87">
        <v>0</v>
      </c>
      <c r="AA7" s="87">
        <v>75</v>
      </c>
      <c r="AB7" s="89">
        <f t="shared" si="1"/>
        <v>0</v>
      </c>
      <c r="AC7" s="89">
        <f t="shared" si="2"/>
        <v>0</v>
      </c>
      <c r="AD7" s="89">
        <f t="shared" si="3"/>
        <v>0</v>
      </c>
      <c r="AF7" s="90" t="str">
        <f t="shared" si="4"/>
        <v/>
      </c>
      <c r="AG7" s="90">
        <f t="shared" si="5"/>
        <v>75</v>
      </c>
      <c r="AH7" s="90" t="str">
        <f t="shared" si="6"/>
        <v>2018 (triag)</v>
      </c>
      <c r="AI7" s="90">
        <f t="shared" si="7"/>
        <v>75</v>
      </c>
      <c r="AJ7" s="90" t="str">
        <f t="shared" si="8"/>
        <v>2018 (triag)</v>
      </c>
      <c r="AK7" s="90" t="str">
        <f t="shared" si="9"/>
        <v/>
      </c>
      <c r="AL7" s="91">
        <f>IF(AK7="Adjust",(_xlfn.XLOOKUP(A7,'Adj factor'!A:A,'Adj factor'!I:I,,0)*AI7),'Master DataSheet (Rev)'!AI7)</f>
        <v>75</v>
      </c>
      <c r="AM7" s="91">
        <f t="shared" si="10"/>
        <v>75</v>
      </c>
      <c r="AN7" s="92" t="str">
        <f t="shared" si="14"/>
        <v>No change</v>
      </c>
      <c r="AO7" s="93">
        <f>VLOOKUP(B7,'Growthrates source'!A$2:H$49,8,FALSE)</f>
        <v>0.3113441654036182</v>
      </c>
      <c r="AP7" s="93">
        <f>VLOOKUP(B7,'Growthrates source'!A$2:I$49,9,FALSE)</f>
        <v>5.4673730437993617E-2</v>
      </c>
      <c r="AQ7" s="86">
        <f t="shared" si="11"/>
        <v>15.811970606844055</v>
      </c>
      <c r="AR7" s="86">
        <f t="shared" si="12"/>
        <v>88.367946245007261</v>
      </c>
      <c r="AS7" s="94">
        <f t="shared" si="15"/>
        <v>0</v>
      </c>
      <c r="AT7" s="94">
        <f t="shared" si="16"/>
        <v>2.3981940255998577E-2</v>
      </c>
      <c r="AU7" s="94">
        <f t="shared" si="17"/>
        <v>2.107393503501517E-2</v>
      </c>
      <c r="AV7" s="94">
        <f t="shared" si="18"/>
        <v>2.107393503501517E-2</v>
      </c>
    </row>
    <row r="8" spans="1:48" x14ac:dyDescent="0.3">
      <c r="A8" s="85" t="str">
        <f>_xlfn.XLOOKUP(B8,'Country codes &amp; Data sources'!G:G,'Country codes &amp; Data sources'!H:H,,0)</f>
        <v>Angola</v>
      </c>
      <c r="B8" s="85" t="s">
        <v>162</v>
      </c>
      <c r="C8" s="86">
        <v>25188292.499999996</v>
      </c>
      <c r="D8" s="85" t="s">
        <v>133</v>
      </c>
      <c r="E8" s="87">
        <v>0</v>
      </c>
      <c r="F8" s="88">
        <v>26147002.000000011</v>
      </c>
      <c r="G8" s="87">
        <v>0</v>
      </c>
      <c r="I8" s="87">
        <v>0</v>
      </c>
      <c r="K8" s="87">
        <v>0</v>
      </c>
      <c r="M8" s="87">
        <v>0</v>
      </c>
      <c r="O8" s="87">
        <v>0</v>
      </c>
      <c r="P8" s="88">
        <v>31273533.000000004</v>
      </c>
      <c r="Q8" s="87">
        <v>98</v>
      </c>
      <c r="R8" s="87">
        <f t="shared" si="0"/>
        <v>468</v>
      </c>
      <c r="T8" s="87">
        <v>0</v>
      </c>
      <c r="V8" s="87">
        <v>0</v>
      </c>
      <c r="X8" s="87">
        <v>0</v>
      </c>
      <c r="Y8" s="88">
        <v>35588987.00000003</v>
      </c>
      <c r="Z8" s="87">
        <v>9</v>
      </c>
      <c r="AA8" s="87">
        <v>468</v>
      </c>
      <c r="AB8" s="89">
        <f t="shared" si="1"/>
        <v>0</v>
      </c>
      <c r="AC8" s="89">
        <f t="shared" si="2"/>
        <v>98</v>
      </c>
      <c r="AD8" s="89">
        <f t="shared" si="3"/>
        <v>9</v>
      </c>
      <c r="AF8" s="90" t="str">
        <f t="shared" si="4"/>
        <v/>
      </c>
      <c r="AG8" s="90">
        <f t="shared" si="5"/>
        <v>468</v>
      </c>
      <c r="AH8" s="90" t="str">
        <f t="shared" si="6"/>
        <v>2018 (triag)</v>
      </c>
      <c r="AI8" s="90">
        <f t="shared" si="7"/>
        <v>9</v>
      </c>
      <c r="AJ8" s="90">
        <f t="shared" si="8"/>
        <v>2022</v>
      </c>
      <c r="AK8" s="90" t="str">
        <f t="shared" si="9"/>
        <v>Adjust</v>
      </c>
      <c r="AL8" s="91">
        <f>IF(AK8="Adjust",(_xlfn.XLOOKUP(A8,'Adj factor'!A:A,'Adj factor'!I:I,,0)*AI8),'Master DataSheet (Rev)'!AI8)</f>
        <v>13.346733297682052</v>
      </c>
      <c r="AM8" s="91">
        <f t="shared" si="10"/>
        <v>468</v>
      </c>
      <c r="AN8" s="92" t="str">
        <f t="shared" si="14"/>
        <v>Decreasing</v>
      </c>
      <c r="AO8" s="93">
        <f>VLOOKUP(B8,'Growthrates source'!A$2:H$49,8,FALSE)</f>
        <v>0.3113441654036182</v>
      </c>
      <c r="AP8" s="93">
        <f>VLOOKUP(B8,'Growthrates source'!A$2:I$49,9,FALSE)</f>
        <v>5.4673730437993617E-2</v>
      </c>
      <c r="AQ8" s="86">
        <f t="shared" si="11"/>
        <v>98.666696586706905</v>
      </c>
      <c r="AR8" s="86">
        <f t="shared" si="12"/>
        <v>551.41598456884526</v>
      </c>
      <c r="AS8" s="94">
        <f t="shared" si="15"/>
        <v>0</v>
      </c>
      <c r="AT8" s="94">
        <f t="shared" si="16"/>
        <v>0.14964730719743111</v>
      </c>
      <c r="AU8" s="94">
        <f t="shared" si="17"/>
        <v>3.7502425392670047E-3</v>
      </c>
      <c r="AV8" s="94">
        <f t="shared" si="18"/>
        <v>0.13150135461849466</v>
      </c>
    </row>
    <row r="9" spans="1:48" x14ac:dyDescent="0.3">
      <c r="A9" s="85" t="str">
        <f>_xlfn.XLOOKUP(B9,'Country codes &amp; Data sources'!G:G,'Country codes &amp; Data sources'!H:H,,0)</f>
        <v>Angola</v>
      </c>
      <c r="B9" s="85" t="s">
        <v>162</v>
      </c>
      <c r="C9" s="86">
        <v>25188292.499999996</v>
      </c>
      <c r="D9" s="85" t="s">
        <v>206</v>
      </c>
      <c r="E9" s="87">
        <v>0</v>
      </c>
      <c r="F9" s="88">
        <v>26147002.000000011</v>
      </c>
      <c r="G9" s="87">
        <v>0</v>
      </c>
      <c r="I9" s="87">
        <v>0</v>
      </c>
      <c r="J9" s="87" t="s">
        <v>262</v>
      </c>
      <c r="K9" s="87">
        <v>0</v>
      </c>
      <c r="M9" s="87">
        <v>0</v>
      </c>
      <c r="O9" s="87">
        <v>0</v>
      </c>
      <c r="P9" s="88">
        <v>31273533.000000004</v>
      </c>
      <c r="Q9" s="87">
        <v>0</v>
      </c>
      <c r="R9" s="87">
        <f t="shared" si="0"/>
        <v>134</v>
      </c>
      <c r="T9" s="87">
        <v>0</v>
      </c>
      <c r="V9" s="87">
        <v>0</v>
      </c>
      <c r="X9" s="87">
        <v>0</v>
      </c>
      <c r="Y9" s="88">
        <v>35588987.00000003</v>
      </c>
      <c r="Z9" s="87">
        <v>0</v>
      </c>
      <c r="AA9" s="87">
        <v>134</v>
      </c>
      <c r="AB9" s="89">
        <f t="shared" si="1"/>
        <v>0</v>
      </c>
      <c r="AC9" s="89">
        <f t="shared" si="2"/>
        <v>0</v>
      </c>
      <c r="AD9" s="89">
        <f t="shared" si="3"/>
        <v>0</v>
      </c>
      <c r="AF9" s="90" t="str">
        <f t="shared" si="4"/>
        <v/>
      </c>
      <c r="AG9" s="90">
        <f t="shared" si="5"/>
        <v>134</v>
      </c>
      <c r="AH9" s="90" t="str">
        <f t="shared" si="6"/>
        <v>2018 (triag)</v>
      </c>
      <c r="AI9" s="90">
        <f t="shared" si="7"/>
        <v>134</v>
      </c>
      <c r="AJ9" s="90" t="str">
        <f t="shared" si="8"/>
        <v>2018 (triag)</v>
      </c>
      <c r="AK9" s="90" t="str">
        <f t="shared" si="9"/>
        <v/>
      </c>
      <c r="AL9" s="91">
        <f>IF(AK9="Adjust",(_xlfn.XLOOKUP(A9,'Adj factor'!A:A,'Adj factor'!I:I,,0)*AI9),'Master DataSheet (Rev)'!AI9)</f>
        <v>134</v>
      </c>
      <c r="AM9" s="91">
        <f t="shared" si="10"/>
        <v>134</v>
      </c>
      <c r="AN9" s="92" t="str">
        <f t="shared" si="14"/>
        <v>No change</v>
      </c>
      <c r="AO9" s="93">
        <f>VLOOKUP(B9,'Growthrates source'!A$2:H$49,8,FALSE)</f>
        <v>0.3113441654036182</v>
      </c>
      <c r="AP9" s="93">
        <f>VLOOKUP(B9,'Growthrates source'!A$2:I$49,9,FALSE)</f>
        <v>5.4673730437993617E-2</v>
      </c>
      <c r="AQ9" s="86">
        <f t="shared" si="11"/>
        <v>28.25072081756138</v>
      </c>
      <c r="AR9" s="86">
        <f t="shared" si="12"/>
        <v>157.88406395774629</v>
      </c>
      <c r="AS9" s="94">
        <f t="shared" si="15"/>
        <v>0</v>
      </c>
      <c r="AT9" s="94">
        <f t="shared" si="16"/>
        <v>4.284773325738412E-2</v>
      </c>
      <c r="AU9" s="94">
        <f t="shared" si="17"/>
        <v>3.7652097262560434E-2</v>
      </c>
      <c r="AV9" s="94">
        <f t="shared" si="18"/>
        <v>3.7652097262560434E-2</v>
      </c>
    </row>
    <row r="10" spans="1:48" x14ac:dyDescent="0.3">
      <c r="A10" s="85" t="str">
        <f>_xlfn.XLOOKUP(B10,'Country codes &amp; Data sources'!G:G,'Country codes &amp; Data sources'!H:H,,0)</f>
        <v>Angola</v>
      </c>
      <c r="B10" s="85" t="s">
        <v>162</v>
      </c>
      <c r="C10" s="86">
        <v>25188292.499999996</v>
      </c>
      <c r="D10" s="85" t="s">
        <v>136</v>
      </c>
      <c r="E10" s="87">
        <v>0</v>
      </c>
      <c r="F10" s="88">
        <v>26147002.000000011</v>
      </c>
      <c r="G10" s="87">
        <v>0</v>
      </c>
      <c r="I10" s="87">
        <v>0</v>
      </c>
      <c r="K10" s="87">
        <v>0</v>
      </c>
      <c r="M10" s="87">
        <v>0</v>
      </c>
      <c r="O10" s="87">
        <v>0</v>
      </c>
      <c r="P10" s="88">
        <v>31273533.000000004</v>
      </c>
      <c r="Q10" s="87">
        <v>0</v>
      </c>
      <c r="R10" s="87">
        <f t="shared" si="0"/>
        <v>789</v>
      </c>
      <c r="T10" s="87">
        <v>0</v>
      </c>
      <c r="V10" s="87">
        <v>0</v>
      </c>
      <c r="X10" s="87">
        <v>0</v>
      </c>
      <c r="Y10" s="88">
        <v>35588987.00000003</v>
      </c>
      <c r="Z10" s="87">
        <v>107</v>
      </c>
      <c r="AA10" s="87">
        <v>789</v>
      </c>
      <c r="AB10" s="89">
        <f t="shared" si="1"/>
        <v>0</v>
      </c>
      <c r="AC10" s="89">
        <f t="shared" si="2"/>
        <v>0</v>
      </c>
      <c r="AD10" s="89">
        <f t="shared" si="3"/>
        <v>107</v>
      </c>
      <c r="AF10" s="90" t="str">
        <f t="shared" si="4"/>
        <v/>
      </c>
      <c r="AG10" s="90">
        <f t="shared" si="5"/>
        <v>789</v>
      </c>
      <c r="AH10" s="90" t="str">
        <f t="shared" si="6"/>
        <v>2018 (triag)</v>
      </c>
      <c r="AI10" s="90">
        <f t="shared" si="7"/>
        <v>107</v>
      </c>
      <c r="AJ10" s="90">
        <f t="shared" si="8"/>
        <v>2022</v>
      </c>
      <c r="AK10" s="90" t="str">
        <f t="shared" si="9"/>
        <v>Adjust</v>
      </c>
      <c r="AL10" s="91">
        <f>IF(AK10="Adjust",(_xlfn.XLOOKUP(A10,'Adj factor'!A:A,'Adj factor'!I:I,,0)*AI10),'Master DataSheet (Rev)'!AI10)</f>
        <v>158.67782920577551</v>
      </c>
      <c r="AM10" s="91">
        <f t="shared" si="10"/>
        <v>789</v>
      </c>
      <c r="AN10" s="92" t="str">
        <f t="shared" si="14"/>
        <v>Decreasing</v>
      </c>
      <c r="AO10" s="93">
        <f>VLOOKUP(B10,'Growthrates source'!A$2:H$49,8,FALSE)</f>
        <v>0.3113441654036182</v>
      </c>
      <c r="AP10" s="93">
        <f>VLOOKUP(B10,'Growthrates source'!A$2:I$49,9,FALSE)</f>
        <v>5.4673730437993617E-2</v>
      </c>
      <c r="AQ10" s="86">
        <f t="shared" si="11"/>
        <v>166.34193078399946</v>
      </c>
      <c r="AR10" s="86">
        <f t="shared" si="12"/>
        <v>929.63079449747636</v>
      </c>
      <c r="AS10" s="94">
        <f t="shared" si="15"/>
        <v>0</v>
      </c>
      <c r="AT10" s="94">
        <f t="shared" si="16"/>
        <v>0.25229001149310504</v>
      </c>
      <c r="AU10" s="94">
        <f t="shared" si="17"/>
        <v>4.4586216855729943E-2</v>
      </c>
      <c r="AV10" s="94">
        <f t="shared" si="18"/>
        <v>0.22169779656835958</v>
      </c>
    </row>
    <row r="11" spans="1:48" x14ac:dyDescent="0.3">
      <c r="A11" s="85" t="str">
        <f>_xlfn.XLOOKUP(B11,'Country codes &amp; Data sources'!G:G,'Country codes &amp; Data sources'!H:H,,0)</f>
        <v>Angola</v>
      </c>
      <c r="B11" s="85" t="s">
        <v>162</v>
      </c>
      <c r="C11" s="86">
        <v>25188292.499999996</v>
      </c>
      <c r="D11" s="85" t="s">
        <v>207</v>
      </c>
      <c r="E11" s="87">
        <v>0</v>
      </c>
      <c r="F11" s="88">
        <v>26147002.000000011</v>
      </c>
      <c r="G11" s="87">
        <v>0</v>
      </c>
      <c r="I11" s="87">
        <v>0</v>
      </c>
      <c r="K11" s="87">
        <v>0</v>
      </c>
      <c r="M11" s="87">
        <v>0</v>
      </c>
      <c r="O11" s="87">
        <v>0</v>
      </c>
      <c r="P11" s="88">
        <v>31273533.000000004</v>
      </c>
      <c r="Q11" s="87">
        <v>0</v>
      </c>
      <c r="R11" s="87">
        <f t="shared" si="0"/>
        <v>190</v>
      </c>
      <c r="T11" s="87">
        <v>0</v>
      </c>
      <c r="V11" s="87">
        <v>0</v>
      </c>
      <c r="X11" s="87">
        <v>0</v>
      </c>
      <c r="Y11" s="88">
        <v>35588987.00000003</v>
      </c>
      <c r="Z11" s="87">
        <v>117</v>
      </c>
      <c r="AA11" s="87">
        <v>190</v>
      </c>
      <c r="AB11" s="89">
        <f t="shared" si="1"/>
        <v>0</v>
      </c>
      <c r="AC11" s="89">
        <f t="shared" si="2"/>
        <v>0</v>
      </c>
      <c r="AD11" s="89">
        <f t="shared" si="3"/>
        <v>117</v>
      </c>
      <c r="AF11" s="90" t="str">
        <f t="shared" si="4"/>
        <v/>
      </c>
      <c r="AG11" s="90">
        <f t="shared" si="5"/>
        <v>190</v>
      </c>
      <c r="AH11" s="90" t="str">
        <f t="shared" si="6"/>
        <v>2018 (triag)</v>
      </c>
      <c r="AI11" s="90">
        <f t="shared" si="7"/>
        <v>117</v>
      </c>
      <c r="AJ11" s="90">
        <f t="shared" si="8"/>
        <v>2022</v>
      </c>
      <c r="AK11" s="90" t="str">
        <f t="shared" si="9"/>
        <v>Adjust</v>
      </c>
      <c r="AL11" s="91">
        <f>IF(AK11="Adjust",(_xlfn.XLOOKUP(A11,'Adj factor'!A:A,'Adj factor'!I:I,,0)*AI11),'Master DataSheet (Rev)'!AI11)</f>
        <v>173.50753286986668</v>
      </c>
      <c r="AM11" s="91">
        <f t="shared" si="10"/>
        <v>190</v>
      </c>
      <c r="AN11" s="92" t="str">
        <f t="shared" si="14"/>
        <v>Decreasing</v>
      </c>
      <c r="AO11" s="93">
        <f>VLOOKUP(B11,'Growthrates source'!A$2:H$49,8,FALSE)</f>
        <v>0.3113441654036182</v>
      </c>
      <c r="AP11" s="93">
        <f>VLOOKUP(B11,'Growthrates source'!A$2:I$49,9,FALSE)</f>
        <v>5.4673730437993617E-2</v>
      </c>
      <c r="AQ11" s="86">
        <f t="shared" si="11"/>
        <v>40.056992204004942</v>
      </c>
      <c r="AR11" s="86">
        <f t="shared" si="12"/>
        <v>223.86546382068505</v>
      </c>
      <c r="AS11" s="94">
        <f t="shared" si="15"/>
        <v>0</v>
      </c>
      <c r="AT11" s="94">
        <f t="shared" si="16"/>
        <v>6.0754248648529727E-2</v>
      </c>
      <c r="AU11" s="94">
        <f t="shared" si="17"/>
        <v>4.8753153010471055E-2</v>
      </c>
      <c r="AV11" s="94">
        <f t="shared" si="18"/>
        <v>5.3387302088705096E-2</v>
      </c>
    </row>
    <row r="12" spans="1:48" x14ac:dyDescent="0.3">
      <c r="A12" s="85" t="str">
        <f>_xlfn.XLOOKUP(B12,'Country codes &amp; Data sources'!G:G,'Country codes &amp; Data sources'!H:H,,0)</f>
        <v>Angola</v>
      </c>
      <c r="B12" s="85" t="s">
        <v>162</v>
      </c>
      <c r="C12" s="86">
        <v>25188292.499999996</v>
      </c>
      <c r="D12" s="85" t="s">
        <v>141</v>
      </c>
      <c r="E12" s="87">
        <v>0</v>
      </c>
      <c r="F12" s="88">
        <v>26147002.000000011</v>
      </c>
      <c r="G12" s="87">
        <v>0</v>
      </c>
      <c r="I12" s="87">
        <v>0</v>
      </c>
      <c r="K12" s="87">
        <v>0</v>
      </c>
      <c r="M12" s="87">
        <v>0</v>
      </c>
      <c r="O12" s="87">
        <v>0</v>
      </c>
      <c r="P12" s="88">
        <v>31273533.000000004</v>
      </c>
      <c r="Q12" s="87">
        <v>0</v>
      </c>
      <c r="R12" s="87">
        <f t="shared" si="0"/>
        <v>56</v>
      </c>
      <c r="T12" s="87">
        <v>0</v>
      </c>
      <c r="V12" s="87">
        <v>0</v>
      </c>
      <c r="X12" s="87">
        <v>0</v>
      </c>
      <c r="Y12" s="88">
        <v>35588987.00000003</v>
      </c>
      <c r="Z12" s="87">
        <v>6</v>
      </c>
      <c r="AA12" s="87">
        <v>56</v>
      </c>
      <c r="AB12" s="89">
        <f t="shared" si="1"/>
        <v>0</v>
      </c>
      <c r="AC12" s="89">
        <f t="shared" si="2"/>
        <v>0</v>
      </c>
      <c r="AD12" s="89">
        <f t="shared" si="3"/>
        <v>6</v>
      </c>
      <c r="AF12" s="90" t="str">
        <f t="shared" si="4"/>
        <v/>
      </c>
      <c r="AG12" s="90">
        <f t="shared" si="5"/>
        <v>56</v>
      </c>
      <c r="AH12" s="90" t="str">
        <f t="shared" si="6"/>
        <v>2018 (triag)</v>
      </c>
      <c r="AI12" s="90">
        <f t="shared" si="7"/>
        <v>6</v>
      </c>
      <c r="AJ12" s="90">
        <f t="shared" si="8"/>
        <v>2022</v>
      </c>
      <c r="AK12" s="90" t="str">
        <f t="shared" si="9"/>
        <v>Adjust</v>
      </c>
      <c r="AL12" s="91">
        <f>IF(AK12="Adjust",(_xlfn.XLOOKUP(A12,'Adj factor'!A:A,'Adj factor'!I:I,,0)*AI12),'Master DataSheet (Rev)'!AI12)</f>
        <v>8.8978221984547012</v>
      </c>
      <c r="AM12" s="91">
        <f t="shared" si="10"/>
        <v>56</v>
      </c>
      <c r="AN12" s="92" t="str">
        <f t="shared" si="14"/>
        <v>Decreasing</v>
      </c>
      <c r="AO12" s="93">
        <f>VLOOKUP(B12,'Growthrates source'!A$2:H$49,8,FALSE)</f>
        <v>0.3113441654036182</v>
      </c>
      <c r="AP12" s="93">
        <f>VLOOKUP(B12,'Growthrates source'!A$2:I$49,9,FALSE)</f>
        <v>5.4673730437993617E-2</v>
      </c>
      <c r="AQ12" s="86">
        <f t="shared" si="11"/>
        <v>11.80627138644356</v>
      </c>
      <c r="AR12" s="86">
        <f t="shared" si="12"/>
        <v>65.981399862938758</v>
      </c>
      <c r="AS12" s="94">
        <f t="shared" si="15"/>
        <v>0</v>
      </c>
      <c r="AT12" s="94">
        <f t="shared" si="16"/>
        <v>1.7906515391145603E-2</v>
      </c>
      <c r="AU12" s="94">
        <f t="shared" si="17"/>
        <v>2.5001616928446695E-3</v>
      </c>
      <c r="AV12" s="94">
        <f t="shared" si="18"/>
        <v>1.5735204826144659E-2</v>
      </c>
    </row>
    <row r="13" spans="1:48" x14ac:dyDescent="0.3">
      <c r="A13" s="85" t="str">
        <f>_xlfn.XLOOKUP(B13,'Country codes &amp; Data sources'!G:G,'Country codes &amp; Data sources'!H:H,,0)</f>
        <v>Angola</v>
      </c>
      <c r="B13" s="85" t="s">
        <v>162</v>
      </c>
      <c r="C13" s="86">
        <v>25188292.499999996</v>
      </c>
      <c r="D13" s="85" t="s">
        <v>208</v>
      </c>
      <c r="E13" s="87">
        <v>0</v>
      </c>
      <c r="F13" s="88">
        <v>26147002.000000011</v>
      </c>
      <c r="G13" s="87">
        <v>0</v>
      </c>
      <c r="I13" s="87">
        <v>0</v>
      </c>
      <c r="K13" s="87">
        <v>0</v>
      </c>
      <c r="M13" s="87">
        <v>0</v>
      </c>
      <c r="O13" s="87">
        <v>0</v>
      </c>
      <c r="P13" s="88">
        <v>31273533.000000004</v>
      </c>
      <c r="Q13" s="87">
        <v>0</v>
      </c>
      <c r="R13" s="87">
        <f t="shared" si="0"/>
        <v>28324</v>
      </c>
      <c r="T13" s="87">
        <v>0</v>
      </c>
      <c r="V13" s="87">
        <v>0</v>
      </c>
      <c r="X13" s="87">
        <v>0</v>
      </c>
      <c r="Y13" s="88">
        <v>35588987.00000003</v>
      </c>
      <c r="Z13" s="87">
        <v>0</v>
      </c>
      <c r="AA13" s="87">
        <v>28324</v>
      </c>
      <c r="AB13" s="89">
        <f t="shared" si="1"/>
        <v>0</v>
      </c>
      <c r="AC13" s="89">
        <f t="shared" si="2"/>
        <v>0</v>
      </c>
      <c r="AD13" s="89">
        <f t="shared" si="3"/>
        <v>0</v>
      </c>
      <c r="AF13" s="90" t="str">
        <f t="shared" si="4"/>
        <v/>
      </c>
      <c r="AG13" s="90">
        <f t="shared" si="5"/>
        <v>28324</v>
      </c>
      <c r="AH13" s="90" t="str">
        <f t="shared" si="6"/>
        <v>2018 (triag)</v>
      </c>
      <c r="AI13" s="90">
        <f t="shared" si="7"/>
        <v>28324</v>
      </c>
      <c r="AJ13" s="90" t="str">
        <f t="shared" si="8"/>
        <v>2018 (triag)</v>
      </c>
      <c r="AK13" s="90" t="str">
        <f t="shared" si="9"/>
        <v/>
      </c>
      <c r="AL13" s="91">
        <f>IF(AK13="Adjust",(_xlfn.XLOOKUP(A13,'Adj factor'!A:A,'Adj factor'!I:I,,0)*AI13),'Master DataSheet (Rev)'!AI13)</f>
        <v>28324</v>
      </c>
      <c r="AM13" s="91">
        <f t="shared" si="10"/>
        <v>28324</v>
      </c>
      <c r="AN13" s="92" t="str">
        <f t="shared" si="14"/>
        <v>No change</v>
      </c>
      <c r="AO13" s="93">
        <f>VLOOKUP(B13,'Growthrates source'!A$2:H$49,8,FALSE)</f>
        <v>0.3113441654036182</v>
      </c>
      <c r="AP13" s="93">
        <f>VLOOKUP(B13,'Growthrates source'!A$2:I$49,9,FALSE)</f>
        <v>5.4673730437993617E-2</v>
      </c>
      <c r="AQ13" s="86">
        <f t="shared" si="11"/>
        <v>5971.4434062433465</v>
      </c>
      <c r="AR13" s="86">
        <f t="shared" si="12"/>
        <v>33372.449459247808</v>
      </c>
      <c r="AS13" s="94">
        <f t="shared" si="15"/>
        <v>0</v>
      </c>
      <c r="AT13" s="94">
        <f t="shared" si="16"/>
        <v>9.056859677478716</v>
      </c>
      <c r="AU13" s="94">
        <f t="shared" si="17"/>
        <v>7.9586418124235951</v>
      </c>
      <c r="AV13" s="94">
        <f t="shared" si="18"/>
        <v>7.9586418124235951</v>
      </c>
    </row>
    <row r="14" spans="1:48" x14ac:dyDescent="0.3">
      <c r="A14" s="85" t="str">
        <f>_xlfn.XLOOKUP(B14,'Country codes &amp; Data sources'!G:G,'Country codes &amp; Data sources'!H:H,,0)</f>
        <v>Angola</v>
      </c>
      <c r="B14" s="85" t="s">
        <v>162</v>
      </c>
      <c r="C14" s="86">
        <v>25188292.499999996</v>
      </c>
      <c r="D14" s="85" t="s">
        <v>209</v>
      </c>
      <c r="E14" s="87">
        <v>0</v>
      </c>
      <c r="F14" s="88">
        <v>26147002.000000011</v>
      </c>
      <c r="G14" s="87">
        <v>0</v>
      </c>
      <c r="I14" s="87">
        <v>0</v>
      </c>
      <c r="K14" s="87">
        <v>0</v>
      </c>
      <c r="M14" s="87">
        <v>0</v>
      </c>
      <c r="O14" s="87">
        <v>0</v>
      </c>
      <c r="P14" s="88">
        <v>31273533.000000004</v>
      </c>
      <c r="Q14" s="87">
        <v>0</v>
      </c>
      <c r="R14" s="87">
        <f t="shared" si="0"/>
        <v>0</v>
      </c>
      <c r="T14" s="87">
        <v>0</v>
      </c>
      <c r="V14" s="87">
        <v>0</v>
      </c>
      <c r="X14" s="87">
        <v>0</v>
      </c>
      <c r="Y14" s="88">
        <v>35588987.00000003</v>
      </c>
      <c r="Z14" s="87">
        <v>8431</v>
      </c>
      <c r="AA14" s="87">
        <v>0</v>
      </c>
      <c r="AB14" s="89">
        <f t="shared" si="1"/>
        <v>0</v>
      </c>
      <c r="AC14" s="89">
        <f t="shared" si="2"/>
        <v>0</v>
      </c>
      <c r="AD14" s="89">
        <f t="shared" si="3"/>
        <v>8431</v>
      </c>
      <c r="AF14" s="90" t="str">
        <f t="shared" si="4"/>
        <v/>
      </c>
      <c r="AH14" s="90" t="str">
        <f t="shared" si="6"/>
        <v/>
      </c>
      <c r="AI14" s="90">
        <f t="shared" si="7"/>
        <v>8431</v>
      </c>
      <c r="AJ14" s="90">
        <f t="shared" si="8"/>
        <v>2022</v>
      </c>
      <c r="AK14" s="90" t="str">
        <f t="shared" si="9"/>
        <v/>
      </c>
      <c r="AL14" s="91">
        <f>IF(AK14="Adjust",(_xlfn.XLOOKUP(A14,'Adj factor'!A:A,'Adj factor'!I:I,,0)*AI14),'Master DataSheet (Rev)'!AI14)</f>
        <v>8431</v>
      </c>
      <c r="AM14" s="91">
        <f t="shared" si="10"/>
        <v>8431</v>
      </c>
      <c r="AN14" s="92" t="str">
        <f t="shared" si="14"/>
        <v>Increasing</v>
      </c>
      <c r="AO14" s="93">
        <f>VLOOKUP(B14,'Growthrates source'!A$2:H$49,8,FALSE)</f>
        <v>0.3113441654036182</v>
      </c>
      <c r="AP14" s="93">
        <f>VLOOKUP(B14,'Growthrates source'!A$2:I$49,9,FALSE)</f>
        <v>5.4673730437993617E-2</v>
      </c>
      <c r="AQ14" s="86">
        <f t="shared" si="11"/>
        <v>0</v>
      </c>
      <c r="AR14" s="86">
        <f t="shared" si="12"/>
        <v>0</v>
      </c>
      <c r="AS14" s="94">
        <f t="shared" si="15"/>
        <v>0</v>
      </c>
      <c r="AT14" s="94">
        <f t="shared" si="16"/>
        <v>0</v>
      </c>
      <c r="AU14" s="94">
        <f t="shared" si="17"/>
        <v>2.3689912837361717</v>
      </c>
      <c r="AV14" s="94">
        <f t="shared" si="18"/>
        <v>2.3689912837361717</v>
      </c>
    </row>
    <row r="15" spans="1:48" x14ac:dyDescent="0.3">
      <c r="A15" s="85" t="str">
        <f>_xlfn.XLOOKUP(B15,'Country codes &amp; Data sources'!G:G,'Country codes &amp; Data sources'!H:H,,0)</f>
        <v>Angola</v>
      </c>
      <c r="B15" s="85" t="s">
        <v>162</v>
      </c>
      <c r="C15" s="86">
        <v>25188292.499999996</v>
      </c>
      <c r="D15" s="85" t="s">
        <v>134</v>
      </c>
      <c r="E15" s="87">
        <v>0</v>
      </c>
      <c r="F15" s="88">
        <v>26147002.000000011</v>
      </c>
      <c r="G15" s="87">
        <v>0</v>
      </c>
      <c r="I15" s="87">
        <v>0</v>
      </c>
      <c r="K15" s="87">
        <v>0</v>
      </c>
      <c r="M15" s="87">
        <v>0</v>
      </c>
      <c r="O15" s="87">
        <v>0</v>
      </c>
      <c r="P15" s="88">
        <v>31273533.000000004</v>
      </c>
      <c r="Q15" s="87">
        <v>0</v>
      </c>
      <c r="R15" s="87">
        <f t="shared" si="0"/>
        <v>98</v>
      </c>
      <c r="T15" s="87">
        <v>0</v>
      </c>
      <c r="V15" s="87">
        <v>0</v>
      </c>
      <c r="X15" s="87">
        <v>0</v>
      </c>
      <c r="Y15" s="88">
        <v>35588987.00000003</v>
      </c>
      <c r="Z15" s="87">
        <v>12</v>
      </c>
      <c r="AA15" s="87">
        <v>98</v>
      </c>
      <c r="AB15" s="89">
        <f t="shared" si="1"/>
        <v>0</v>
      </c>
      <c r="AC15" s="89">
        <f t="shared" si="2"/>
        <v>0</v>
      </c>
      <c r="AD15" s="89">
        <f t="shared" si="3"/>
        <v>12</v>
      </c>
      <c r="AF15" s="90" t="str">
        <f t="shared" si="4"/>
        <v/>
      </c>
      <c r="AG15" s="90">
        <f t="shared" si="5"/>
        <v>98</v>
      </c>
      <c r="AH15" s="90" t="str">
        <f t="shared" si="6"/>
        <v>2018 (triag)</v>
      </c>
      <c r="AI15" s="90">
        <f t="shared" si="7"/>
        <v>12</v>
      </c>
      <c r="AJ15" s="90">
        <f t="shared" si="8"/>
        <v>2022</v>
      </c>
      <c r="AK15" s="90" t="str">
        <f t="shared" si="9"/>
        <v>Adjust</v>
      </c>
      <c r="AL15" s="91">
        <f>IF(AK15="Adjust",(_xlfn.XLOOKUP(A15,'Adj factor'!A:A,'Adj factor'!I:I,,0)*AI15),'Master DataSheet (Rev)'!AI15)</f>
        <v>17.795644396909402</v>
      </c>
      <c r="AM15" s="91">
        <f t="shared" si="10"/>
        <v>98</v>
      </c>
      <c r="AN15" s="92" t="str">
        <f t="shared" si="14"/>
        <v>Decreasing</v>
      </c>
      <c r="AO15" s="93">
        <f>VLOOKUP(B15,'Growthrates source'!A$2:H$49,8,FALSE)</f>
        <v>0.3113441654036182</v>
      </c>
      <c r="AP15" s="93">
        <f>VLOOKUP(B15,'Growthrates source'!A$2:I$49,9,FALSE)</f>
        <v>5.4673730437993617E-2</v>
      </c>
      <c r="AQ15" s="86">
        <f t="shared" si="11"/>
        <v>20.660974926276232</v>
      </c>
      <c r="AR15" s="86">
        <f t="shared" si="12"/>
        <v>115.46744976014281</v>
      </c>
      <c r="AS15" s="94">
        <f t="shared" si="15"/>
        <v>0</v>
      </c>
      <c r="AT15" s="94">
        <f t="shared" si="16"/>
        <v>3.1336401934504807E-2</v>
      </c>
      <c r="AU15" s="94">
        <f t="shared" si="17"/>
        <v>5.0003233856893391E-3</v>
      </c>
      <c r="AV15" s="94">
        <f t="shared" si="18"/>
        <v>2.7536608445753154E-2</v>
      </c>
    </row>
    <row r="16" spans="1:48" x14ac:dyDescent="0.3">
      <c r="A16" s="85" t="str">
        <f>_xlfn.XLOOKUP(B16,'Country codes &amp; Data sources'!G:G,'Country codes &amp; Data sources'!H:H,,0)</f>
        <v>Angola</v>
      </c>
      <c r="B16" s="85" t="s">
        <v>162</v>
      </c>
      <c r="C16" s="86">
        <v>25188292.499999996</v>
      </c>
      <c r="D16" s="85" t="s">
        <v>142</v>
      </c>
      <c r="E16" s="87">
        <v>0</v>
      </c>
      <c r="F16" s="88">
        <v>26147002.000000011</v>
      </c>
      <c r="G16" s="87">
        <v>0</v>
      </c>
      <c r="I16" s="87">
        <v>0</v>
      </c>
      <c r="K16" s="87">
        <v>0</v>
      </c>
      <c r="M16" s="87">
        <v>0</v>
      </c>
      <c r="O16" s="87">
        <v>0</v>
      </c>
      <c r="P16" s="88">
        <v>31273533.000000004</v>
      </c>
      <c r="Q16" s="87">
        <v>0</v>
      </c>
      <c r="R16" s="87">
        <f t="shared" si="0"/>
        <v>56</v>
      </c>
      <c r="T16" s="87">
        <v>0</v>
      </c>
      <c r="V16" s="87">
        <v>0</v>
      </c>
      <c r="X16" s="87">
        <v>0</v>
      </c>
      <c r="Y16" s="88">
        <v>35588987.00000003</v>
      </c>
      <c r="Z16" s="87">
        <v>0</v>
      </c>
      <c r="AA16" s="87">
        <v>56</v>
      </c>
      <c r="AB16" s="89">
        <f t="shared" si="1"/>
        <v>0</v>
      </c>
      <c r="AC16" s="89">
        <f t="shared" si="2"/>
        <v>0</v>
      </c>
      <c r="AD16" s="89">
        <f t="shared" si="3"/>
        <v>0</v>
      </c>
      <c r="AF16" s="90" t="str">
        <f t="shared" si="4"/>
        <v/>
      </c>
      <c r="AG16" s="90">
        <f t="shared" si="5"/>
        <v>56</v>
      </c>
      <c r="AH16" s="90" t="str">
        <f t="shared" si="6"/>
        <v>2018 (triag)</v>
      </c>
      <c r="AI16" s="90">
        <f t="shared" si="7"/>
        <v>56</v>
      </c>
      <c r="AJ16" s="90" t="str">
        <f t="shared" si="8"/>
        <v>2018 (triag)</v>
      </c>
      <c r="AK16" s="90" t="str">
        <f t="shared" si="9"/>
        <v/>
      </c>
      <c r="AL16" s="91">
        <f>IF(AK16="Adjust",(_xlfn.XLOOKUP(A16,'Adj factor'!A:A,'Adj factor'!I:I,,0)*AI16),'Master DataSheet (Rev)'!AI16)</f>
        <v>56</v>
      </c>
      <c r="AM16" s="91">
        <f t="shared" si="10"/>
        <v>56</v>
      </c>
      <c r="AN16" s="92" t="str">
        <f t="shared" si="14"/>
        <v>No change</v>
      </c>
      <c r="AO16" s="93">
        <f>VLOOKUP(B16,'Growthrates source'!A$2:H$49,8,FALSE)</f>
        <v>0.3113441654036182</v>
      </c>
      <c r="AP16" s="93">
        <f>VLOOKUP(B16,'Growthrates source'!A$2:I$49,9,FALSE)</f>
        <v>5.4673730437993617E-2</v>
      </c>
      <c r="AQ16" s="86">
        <f t="shared" si="11"/>
        <v>11.80627138644356</v>
      </c>
      <c r="AR16" s="86">
        <f t="shared" si="12"/>
        <v>65.981399862938758</v>
      </c>
      <c r="AS16" s="94">
        <f t="shared" si="15"/>
        <v>0</v>
      </c>
      <c r="AT16" s="94">
        <f t="shared" si="16"/>
        <v>1.7906515391145603E-2</v>
      </c>
      <c r="AU16" s="94">
        <f t="shared" si="17"/>
        <v>1.5735204826144659E-2</v>
      </c>
      <c r="AV16" s="94">
        <f t="shared" si="18"/>
        <v>1.5735204826144659E-2</v>
      </c>
    </row>
    <row r="17" spans="1:48" x14ac:dyDescent="0.3">
      <c r="A17" s="85" t="str">
        <f>_xlfn.XLOOKUP(B17,'Country codes &amp; Data sources'!G:G,'Country codes &amp; Data sources'!H:H,,0)</f>
        <v>Angola</v>
      </c>
      <c r="B17" s="85" t="s">
        <v>162</v>
      </c>
      <c r="C17" s="86">
        <v>25188292.499999996</v>
      </c>
      <c r="D17" s="85" t="s">
        <v>83</v>
      </c>
      <c r="E17" s="87">
        <v>0</v>
      </c>
      <c r="F17" s="88">
        <v>26147002.000000011</v>
      </c>
      <c r="G17" s="87">
        <v>0</v>
      </c>
      <c r="I17" s="87">
        <v>0</v>
      </c>
      <c r="K17" s="87">
        <v>0</v>
      </c>
      <c r="M17" s="87">
        <v>0</v>
      </c>
      <c r="O17" s="87">
        <v>0</v>
      </c>
      <c r="P17" s="88">
        <v>31273533.000000004</v>
      </c>
      <c r="Q17" s="87">
        <v>0</v>
      </c>
      <c r="R17" s="87">
        <f t="shared" si="0"/>
        <v>1156</v>
      </c>
      <c r="T17" s="87">
        <v>0</v>
      </c>
      <c r="V17" s="87">
        <v>0</v>
      </c>
      <c r="X17" s="87">
        <v>0</v>
      </c>
      <c r="Y17" s="88">
        <v>35588987.00000003</v>
      </c>
      <c r="Z17" s="87">
        <v>1195</v>
      </c>
      <c r="AA17" s="87">
        <v>1156</v>
      </c>
      <c r="AB17" s="89">
        <f t="shared" si="1"/>
        <v>0</v>
      </c>
      <c r="AC17" s="89">
        <f t="shared" si="2"/>
        <v>0</v>
      </c>
      <c r="AD17" s="89">
        <f t="shared" si="3"/>
        <v>1195</v>
      </c>
      <c r="AF17" s="90" t="str">
        <f t="shared" si="4"/>
        <v/>
      </c>
      <c r="AG17" s="90">
        <f t="shared" si="5"/>
        <v>1156</v>
      </c>
      <c r="AH17" s="90" t="str">
        <f t="shared" si="6"/>
        <v>2018 (triag)</v>
      </c>
      <c r="AI17" s="90">
        <f t="shared" si="7"/>
        <v>1195</v>
      </c>
      <c r="AJ17" s="90">
        <f t="shared" si="8"/>
        <v>2022</v>
      </c>
      <c r="AK17" s="90" t="str">
        <f t="shared" si="9"/>
        <v/>
      </c>
      <c r="AL17" s="91">
        <f>IF(AK17="Adjust",(_xlfn.XLOOKUP(A17,'Adj factor'!A:A,'Adj factor'!I:I,,0)*AI17),'Master DataSheet (Rev)'!AI17)</f>
        <v>1195</v>
      </c>
      <c r="AM17" s="91">
        <f t="shared" si="10"/>
        <v>1195</v>
      </c>
      <c r="AN17" s="92" t="str">
        <f t="shared" si="14"/>
        <v>Increasing</v>
      </c>
      <c r="AO17" s="93">
        <f>VLOOKUP(B17,'Growthrates source'!A$2:H$49,8,FALSE)</f>
        <v>0.3113441654036182</v>
      </c>
      <c r="AP17" s="93">
        <f>VLOOKUP(B17,'Growthrates source'!A$2:I$49,9,FALSE)</f>
        <v>5.4673730437993617E-2</v>
      </c>
      <c r="AQ17" s="86">
        <f t="shared" si="11"/>
        <v>243.71517362015638</v>
      </c>
      <c r="AR17" s="86">
        <f t="shared" si="12"/>
        <v>1362.0446114563786</v>
      </c>
      <c r="AS17" s="94">
        <f t="shared" si="15"/>
        <v>0</v>
      </c>
      <c r="AT17" s="94">
        <f t="shared" si="16"/>
        <v>0.3696416391457914</v>
      </c>
      <c r="AU17" s="94">
        <f t="shared" si="17"/>
        <v>0.33577803155790836</v>
      </c>
      <c r="AV17" s="94">
        <f t="shared" si="18"/>
        <v>0.33577803155790836</v>
      </c>
    </row>
    <row r="18" spans="1:48" x14ac:dyDescent="0.3">
      <c r="A18" s="85" t="str">
        <f>_xlfn.XLOOKUP(B18,'Country codes &amp; Data sources'!G:G,'Country codes &amp; Data sources'!H:H,,0)</f>
        <v>Angola</v>
      </c>
      <c r="B18" s="85" t="s">
        <v>162</v>
      </c>
      <c r="C18" s="86">
        <v>25188292.499999996</v>
      </c>
      <c r="D18" s="85" t="s">
        <v>84</v>
      </c>
      <c r="E18" s="87">
        <v>0</v>
      </c>
      <c r="F18" s="88">
        <v>26147002.000000011</v>
      </c>
      <c r="G18" s="87">
        <v>0</v>
      </c>
      <c r="I18" s="87">
        <v>0</v>
      </c>
      <c r="K18" s="87">
        <v>0</v>
      </c>
      <c r="M18" s="87">
        <v>0</v>
      </c>
      <c r="O18" s="87">
        <v>0</v>
      </c>
      <c r="P18" s="88">
        <v>31273533.000000004</v>
      </c>
      <c r="Q18" s="87">
        <v>0</v>
      </c>
      <c r="R18" s="87">
        <f t="shared" si="0"/>
        <v>0</v>
      </c>
      <c r="T18" s="87">
        <v>0</v>
      </c>
      <c r="V18" s="87">
        <v>0</v>
      </c>
      <c r="X18" s="87">
        <v>0</v>
      </c>
      <c r="Y18" s="88">
        <v>35588987.00000003</v>
      </c>
      <c r="Z18" s="87">
        <v>41</v>
      </c>
      <c r="AA18" s="87">
        <v>0</v>
      </c>
      <c r="AB18" s="89">
        <f t="shared" si="1"/>
        <v>0</v>
      </c>
      <c r="AC18" s="89">
        <f t="shared" si="2"/>
        <v>0</v>
      </c>
      <c r="AD18" s="89">
        <f t="shared" si="3"/>
        <v>41</v>
      </c>
      <c r="AF18" s="90" t="str">
        <f t="shared" si="4"/>
        <v/>
      </c>
      <c r="AH18" s="90" t="str">
        <f t="shared" si="6"/>
        <v/>
      </c>
      <c r="AI18" s="90">
        <f t="shared" si="7"/>
        <v>41</v>
      </c>
      <c r="AJ18" s="90">
        <f t="shared" si="8"/>
        <v>2022</v>
      </c>
      <c r="AK18" s="90" t="str">
        <f t="shared" si="9"/>
        <v/>
      </c>
      <c r="AL18" s="91">
        <f>IF(AK18="Adjust",(_xlfn.XLOOKUP(A18,'Adj factor'!A:A,'Adj factor'!I:I,,0)*AI18),'Master DataSheet (Rev)'!AI18)</f>
        <v>41</v>
      </c>
      <c r="AM18" s="91">
        <f t="shared" si="10"/>
        <v>41</v>
      </c>
      <c r="AN18" s="92" t="str">
        <f t="shared" si="14"/>
        <v>Increasing</v>
      </c>
      <c r="AO18" s="93">
        <f>VLOOKUP(B18,'Growthrates source'!A$2:H$49,8,FALSE)</f>
        <v>0.3113441654036182</v>
      </c>
      <c r="AP18" s="93">
        <f>VLOOKUP(B18,'Growthrates source'!A$2:I$49,9,FALSE)</f>
        <v>5.4673730437993617E-2</v>
      </c>
      <c r="AQ18" s="86">
        <f t="shared" si="11"/>
        <v>0</v>
      </c>
      <c r="AR18" s="86">
        <f t="shared" si="12"/>
        <v>0</v>
      </c>
      <c r="AS18" s="94">
        <f t="shared" si="15"/>
        <v>0</v>
      </c>
      <c r="AT18" s="94">
        <f t="shared" si="16"/>
        <v>0</v>
      </c>
      <c r="AU18" s="94">
        <f t="shared" si="17"/>
        <v>1.1520417819141626E-2</v>
      </c>
      <c r="AV18" s="94">
        <f t="shared" si="18"/>
        <v>1.1520417819141626E-2</v>
      </c>
    </row>
    <row r="19" spans="1:48" x14ac:dyDescent="0.3">
      <c r="A19" s="85" t="str">
        <f>_xlfn.XLOOKUP(B19,'Country codes &amp; Data sources'!G:G,'Country codes &amp; Data sources'!H:H,,0)</f>
        <v>Angola</v>
      </c>
      <c r="B19" s="85" t="s">
        <v>162</v>
      </c>
      <c r="C19" s="86">
        <v>25188292.499999996</v>
      </c>
      <c r="D19" s="85" t="s">
        <v>126</v>
      </c>
      <c r="E19" s="87">
        <v>0</v>
      </c>
      <c r="F19" s="88">
        <v>26147002.000000011</v>
      </c>
      <c r="G19" s="87">
        <v>0</v>
      </c>
      <c r="I19" s="87">
        <v>0</v>
      </c>
      <c r="K19" s="87">
        <v>0</v>
      </c>
      <c r="M19" s="87">
        <v>0</v>
      </c>
      <c r="O19" s="87">
        <v>0</v>
      </c>
      <c r="P19" s="88">
        <v>31273533.000000004</v>
      </c>
      <c r="Q19" s="87">
        <v>0</v>
      </c>
      <c r="R19" s="87">
        <f t="shared" si="0"/>
        <v>0</v>
      </c>
      <c r="T19" s="87">
        <v>0</v>
      </c>
      <c r="V19" s="87">
        <v>0</v>
      </c>
      <c r="X19" s="87">
        <v>0</v>
      </c>
      <c r="Y19" s="88">
        <v>35588987.00000003</v>
      </c>
      <c r="Z19" s="87">
        <v>1</v>
      </c>
      <c r="AA19" s="87">
        <v>0</v>
      </c>
      <c r="AB19" s="89">
        <f t="shared" si="1"/>
        <v>0</v>
      </c>
      <c r="AC19" s="89">
        <f t="shared" si="2"/>
        <v>0</v>
      </c>
      <c r="AD19" s="89">
        <f t="shared" si="3"/>
        <v>1</v>
      </c>
      <c r="AF19" s="90" t="str">
        <f t="shared" si="4"/>
        <v/>
      </c>
      <c r="AH19" s="90" t="str">
        <f t="shared" si="6"/>
        <v/>
      </c>
      <c r="AI19" s="90">
        <f t="shared" si="7"/>
        <v>1</v>
      </c>
      <c r="AJ19" s="90">
        <f t="shared" si="8"/>
        <v>2022</v>
      </c>
      <c r="AK19" s="90" t="str">
        <f t="shared" si="9"/>
        <v/>
      </c>
      <c r="AL19" s="91">
        <f>IF(AK19="Adjust",(_xlfn.XLOOKUP(A19,'Adj factor'!A:A,'Adj factor'!I:I,,0)*AI19),'Master DataSheet (Rev)'!AI19)</f>
        <v>1</v>
      </c>
      <c r="AM19" s="91">
        <f t="shared" si="10"/>
        <v>1</v>
      </c>
      <c r="AN19" s="92" t="str">
        <f t="shared" si="14"/>
        <v>Increasing</v>
      </c>
      <c r="AO19" s="93">
        <f>VLOOKUP(B19,'Growthrates source'!A$2:H$49,8,FALSE)</f>
        <v>0.3113441654036182</v>
      </c>
      <c r="AP19" s="93">
        <f>VLOOKUP(B19,'Growthrates source'!A$2:I$49,9,FALSE)</f>
        <v>5.4673730437993617E-2</v>
      </c>
      <c r="AQ19" s="86">
        <f t="shared" si="11"/>
        <v>0</v>
      </c>
      <c r="AR19" s="86">
        <f t="shared" si="12"/>
        <v>0</v>
      </c>
      <c r="AS19" s="94">
        <f t="shared" si="15"/>
        <v>0</v>
      </c>
      <c r="AT19" s="94">
        <f t="shared" si="16"/>
        <v>0</v>
      </c>
      <c r="AU19" s="94">
        <f t="shared" si="17"/>
        <v>2.8098580046686893E-4</v>
      </c>
      <c r="AV19" s="94">
        <f t="shared" si="18"/>
        <v>2.8098580046686893E-4</v>
      </c>
    </row>
    <row r="20" spans="1:48" x14ac:dyDescent="0.3">
      <c r="A20" s="85" t="str">
        <f>_xlfn.XLOOKUP(B20,'Country codes &amp; Data sources'!G:G,'Country codes &amp; Data sources'!H:H,,0)</f>
        <v>Angola</v>
      </c>
      <c r="B20" s="85" t="s">
        <v>162</v>
      </c>
      <c r="C20" s="86">
        <v>25188292.499999996</v>
      </c>
      <c r="D20" s="85" t="s">
        <v>87</v>
      </c>
      <c r="E20" s="87">
        <v>0</v>
      </c>
      <c r="F20" s="88">
        <v>26147002.000000011</v>
      </c>
      <c r="G20" s="87">
        <v>0</v>
      </c>
      <c r="I20" s="87">
        <v>0</v>
      </c>
      <c r="K20" s="87">
        <v>0</v>
      </c>
      <c r="M20" s="87">
        <v>0</v>
      </c>
      <c r="O20" s="87">
        <v>0</v>
      </c>
      <c r="P20" s="88">
        <v>31273533.000000004</v>
      </c>
      <c r="Q20" s="87">
        <v>0</v>
      </c>
      <c r="R20" s="87">
        <f t="shared" si="0"/>
        <v>16380</v>
      </c>
      <c r="T20" s="87">
        <v>0</v>
      </c>
      <c r="V20" s="87">
        <v>0</v>
      </c>
      <c r="X20" s="87">
        <v>0</v>
      </c>
      <c r="Y20" s="88">
        <v>35588987.00000003</v>
      </c>
      <c r="Z20" s="87">
        <v>0</v>
      </c>
      <c r="AA20" s="87">
        <v>16380</v>
      </c>
      <c r="AB20" s="89">
        <f t="shared" si="1"/>
        <v>0</v>
      </c>
      <c r="AC20" s="89">
        <f t="shared" si="2"/>
        <v>0</v>
      </c>
      <c r="AD20" s="89">
        <f t="shared" si="3"/>
        <v>0</v>
      </c>
      <c r="AF20" s="90" t="str">
        <f t="shared" si="4"/>
        <v/>
      </c>
      <c r="AG20" s="90">
        <f t="shared" si="5"/>
        <v>16380</v>
      </c>
      <c r="AH20" s="90" t="str">
        <f t="shared" si="6"/>
        <v>2018 (triag)</v>
      </c>
      <c r="AI20" s="90">
        <f t="shared" si="7"/>
        <v>16380</v>
      </c>
      <c r="AJ20" s="90" t="str">
        <f t="shared" si="8"/>
        <v>2018 (triag)</v>
      </c>
      <c r="AK20" s="90" t="str">
        <f t="shared" si="9"/>
        <v/>
      </c>
      <c r="AL20" s="91">
        <f>IF(AK20="Adjust",(_xlfn.XLOOKUP(A20,'Adj factor'!A:A,'Adj factor'!I:I,,0)*AI20),'Master DataSheet (Rev)'!AI20)</f>
        <v>16380</v>
      </c>
      <c r="AM20" s="91">
        <f t="shared" si="10"/>
        <v>16380</v>
      </c>
      <c r="AN20" s="92" t="str">
        <f t="shared" si="14"/>
        <v>No change</v>
      </c>
      <c r="AO20" s="93">
        <f>VLOOKUP(B20,'Growthrates source'!A$2:H$49,8,FALSE)</f>
        <v>0.3113441654036182</v>
      </c>
      <c r="AP20" s="93">
        <f>VLOOKUP(B20,'Growthrates source'!A$2:I$49,9,FALSE)</f>
        <v>5.4673730437993617E-2</v>
      </c>
      <c r="AQ20" s="86">
        <f t="shared" si="11"/>
        <v>3453.3343805347417</v>
      </c>
      <c r="AR20" s="86">
        <f t="shared" si="12"/>
        <v>19299.559459909586</v>
      </c>
      <c r="AS20" s="94">
        <f t="shared" si="15"/>
        <v>0</v>
      </c>
      <c r="AT20" s="94">
        <f t="shared" si="16"/>
        <v>5.237655751910089</v>
      </c>
      <c r="AU20" s="94">
        <f t="shared" si="17"/>
        <v>4.6025474116473131</v>
      </c>
      <c r="AV20" s="94">
        <f t="shared" si="18"/>
        <v>4.6025474116473131</v>
      </c>
    </row>
    <row r="21" spans="1:48" x14ac:dyDescent="0.3">
      <c r="A21" s="85" t="str">
        <f>_xlfn.XLOOKUP(B21,'Country codes &amp; Data sources'!G:G,'Country codes &amp; Data sources'!H:H,,0)</f>
        <v>Burundi</v>
      </c>
      <c r="B21" s="85" t="s">
        <v>165</v>
      </c>
      <c r="C21" s="86">
        <v>9795479.0000000019</v>
      </c>
      <c r="D21" s="85" t="s">
        <v>127</v>
      </c>
      <c r="E21" s="87">
        <v>0</v>
      </c>
      <c r="F21" s="88">
        <v>10149577.500000002</v>
      </c>
      <c r="G21" s="87">
        <v>0</v>
      </c>
      <c r="I21" s="87">
        <v>0</v>
      </c>
      <c r="K21" s="87">
        <v>0</v>
      </c>
      <c r="M21" s="87">
        <v>0</v>
      </c>
      <c r="O21" s="87">
        <v>0</v>
      </c>
      <c r="P21" s="88">
        <v>11493472.499999993</v>
      </c>
      <c r="Q21" s="87">
        <v>11845</v>
      </c>
      <c r="R21" s="87">
        <f t="shared" si="0"/>
        <v>11845</v>
      </c>
      <c r="T21" s="87">
        <v>0</v>
      </c>
      <c r="V21" s="87">
        <v>11845</v>
      </c>
      <c r="X21" s="87">
        <v>0</v>
      </c>
      <c r="Y21" s="88">
        <v>12889576.499999994</v>
      </c>
      <c r="Z21" s="87">
        <v>0</v>
      </c>
      <c r="AA21" s="87">
        <v>11845</v>
      </c>
      <c r="AB21" s="89">
        <f t="shared" si="1"/>
        <v>0</v>
      </c>
      <c r="AC21" s="89">
        <f t="shared" si="2"/>
        <v>11845</v>
      </c>
      <c r="AD21" s="89">
        <f t="shared" si="3"/>
        <v>11845</v>
      </c>
      <c r="AF21" s="90" t="str">
        <f t="shared" si="4"/>
        <v/>
      </c>
      <c r="AG21" s="90">
        <f t="shared" si="5"/>
        <v>11845</v>
      </c>
      <c r="AH21" s="90">
        <f t="shared" si="6"/>
        <v>2018</v>
      </c>
      <c r="AI21" s="90">
        <f t="shared" si="7"/>
        <v>11845</v>
      </c>
      <c r="AJ21" s="90">
        <f t="shared" si="8"/>
        <v>2020</v>
      </c>
      <c r="AK21" s="90" t="str">
        <f t="shared" si="9"/>
        <v/>
      </c>
      <c r="AL21" s="91">
        <f>IF(AK21="Adjust",(_xlfn.XLOOKUP(A21,'Adj factor'!A:A,'Adj factor'!I:I,,0)*AI21),'Master DataSheet (Rev)'!AI21)</f>
        <v>11845</v>
      </c>
      <c r="AM21" s="91">
        <f t="shared" si="10"/>
        <v>11845</v>
      </c>
      <c r="AN21" s="92" t="str">
        <f t="shared" si="14"/>
        <v>No change</v>
      </c>
      <c r="AO21" s="93">
        <f>VLOOKUP(B21,'Growthrates source'!A$2:H$49,8,FALSE)</f>
        <v>0.1019276516404819</v>
      </c>
      <c r="AP21" s="93">
        <f>VLOOKUP(B21,'Growthrates source'!A$2:I$49,9,FALSE)</f>
        <v>4.0873218672115019E-3</v>
      </c>
      <c r="AQ21" s="86">
        <f t="shared" si="11"/>
        <v>7115.4436188995169</v>
      </c>
      <c r="AR21" s="86">
        <f t="shared" si="12"/>
        <v>11991.137115651654</v>
      </c>
      <c r="AS21" s="94">
        <f t="shared" si="15"/>
        <v>0</v>
      </c>
      <c r="AT21" s="94">
        <f t="shared" si="16"/>
        <v>10.305849689900079</v>
      </c>
      <c r="AU21" s="94">
        <f t="shared" si="17"/>
        <v>9.1895959498746951</v>
      </c>
      <c r="AV21" s="94">
        <f t="shared" si="18"/>
        <v>9.1895959498746951</v>
      </c>
    </row>
    <row r="22" spans="1:48" x14ac:dyDescent="0.3">
      <c r="A22" s="85" t="str">
        <f>_xlfn.XLOOKUP(B22,'Country codes &amp; Data sources'!G:G,'Country codes &amp; Data sources'!H:H,,0)</f>
        <v>Burundi</v>
      </c>
      <c r="B22" s="85" t="s">
        <v>165</v>
      </c>
      <c r="C22" s="86">
        <v>9795479.0000000019</v>
      </c>
      <c r="D22" s="85" t="s">
        <v>61</v>
      </c>
      <c r="E22" s="87">
        <v>44</v>
      </c>
      <c r="F22" s="88">
        <v>10149577.500000002</v>
      </c>
      <c r="G22" s="87">
        <v>0</v>
      </c>
      <c r="I22" s="87">
        <v>0</v>
      </c>
      <c r="K22" s="87">
        <v>0</v>
      </c>
      <c r="M22" s="87">
        <v>42</v>
      </c>
      <c r="O22" s="87">
        <v>0</v>
      </c>
      <c r="P22" s="88">
        <v>11493472.499999993</v>
      </c>
      <c r="Q22" s="87">
        <v>0</v>
      </c>
      <c r="R22" s="87">
        <f t="shared" si="0"/>
        <v>10</v>
      </c>
      <c r="T22" s="87">
        <v>0</v>
      </c>
      <c r="V22" s="87">
        <v>0</v>
      </c>
      <c r="X22" s="87">
        <v>0</v>
      </c>
      <c r="Y22" s="88">
        <v>12889576.499999994</v>
      </c>
      <c r="Z22" s="87">
        <v>0</v>
      </c>
      <c r="AA22" s="87">
        <v>10</v>
      </c>
      <c r="AB22" s="89">
        <f t="shared" si="1"/>
        <v>44</v>
      </c>
      <c r="AC22" s="89">
        <f t="shared" si="2"/>
        <v>42</v>
      </c>
      <c r="AD22" s="89">
        <f t="shared" si="3"/>
        <v>0</v>
      </c>
      <c r="AE22" s="90">
        <f t="shared" si="13"/>
        <v>44</v>
      </c>
      <c r="AF22" s="90">
        <f t="shared" si="4"/>
        <v>2012</v>
      </c>
      <c r="AG22" s="90">
        <f t="shared" si="5"/>
        <v>10</v>
      </c>
      <c r="AH22" s="90" t="str">
        <f t="shared" si="6"/>
        <v>2018 (triag)</v>
      </c>
      <c r="AI22" s="90">
        <f t="shared" si="7"/>
        <v>10</v>
      </c>
      <c r="AJ22" s="90" t="str">
        <f t="shared" si="8"/>
        <v>2018 (triag)</v>
      </c>
      <c r="AK22" s="90" t="str">
        <f t="shared" si="9"/>
        <v/>
      </c>
      <c r="AL22" s="91">
        <f>IF(AK22="Adjust",(_xlfn.XLOOKUP(A22,'Adj factor'!A:A,'Adj factor'!I:I,,0)*AI22),'Master DataSheet (Rev)'!AI22)</f>
        <v>10</v>
      </c>
      <c r="AM22" s="91">
        <f t="shared" si="10"/>
        <v>10</v>
      </c>
      <c r="AN22" s="92" t="str">
        <f t="shared" si="14"/>
        <v>No change</v>
      </c>
      <c r="AO22" s="93">
        <f>VLOOKUP(B22,'Growthrates source'!A$2:H$49,8,FALSE)</f>
        <v>0.1019276516404819</v>
      </c>
      <c r="AP22" s="93">
        <f>VLOOKUP(B22,'Growthrates source'!A$2:I$49,9,FALSE)</f>
        <v>4.0873218672115019E-3</v>
      </c>
      <c r="AQ22" s="86">
        <f t="shared" si="11"/>
        <v>6.0071284245669201</v>
      </c>
      <c r="AR22" s="86">
        <f t="shared" si="12"/>
        <v>10.123374517223853</v>
      </c>
      <c r="AS22" s="94">
        <f t="shared" si="15"/>
        <v>4.33515582298869E-2</v>
      </c>
      <c r="AT22" s="94">
        <f t="shared" si="16"/>
        <v>8.7005907048544346E-3</v>
      </c>
      <c r="AU22" s="94">
        <f t="shared" si="17"/>
        <v>7.7582067960107175E-3</v>
      </c>
      <c r="AV22" s="94">
        <f t="shared" si="18"/>
        <v>7.7582067960107175E-3</v>
      </c>
    </row>
    <row r="23" spans="1:48" x14ac:dyDescent="0.3">
      <c r="A23" s="85" t="str">
        <f>_xlfn.XLOOKUP(B23,'Country codes &amp; Data sources'!G:G,'Country codes &amp; Data sources'!H:H,,0)</f>
        <v>Burundi</v>
      </c>
      <c r="B23" s="85" t="s">
        <v>165</v>
      </c>
      <c r="C23" s="86">
        <v>9795479.0000000019</v>
      </c>
      <c r="D23" s="85" t="s">
        <v>62</v>
      </c>
      <c r="E23" s="87">
        <v>0</v>
      </c>
      <c r="F23" s="88">
        <v>10149577.500000002</v>
      </c>
      <c r="G23" s="87">
        <v>0</v>
      </c>
      <c r="I23" s="87">
        <v>0</v>
      </c>
      <c r="K23" s="87">
        <v>0</v>
      </c>
      <c r="M23" s="87">
        <v>96</v>
      </c>
      <c r="O23" s="87">
        <v>0</v>
      </c>
      <c r="P23" s="88">
        <v>11493472.499999993</v>
      </c>
      <c r="Q23" s="87">
        <v>0</v>
      </c>
      <c r="R23" s="87">
        <f t="shared" si="0"/>
        <v>372</v>
      </c>
      <c r="T23" s="87">
        <v>149</v>
      </c>
      <c r="V23" s="87">
        <v>0</v>
      </c>
      <c r="X23" s="87">
        <v>0</v>
      </c>
      <c r="Y23" s="88">
        <v>12889576.499999994</v>
      </c>
      <c r="Z23" s="87">
        <v>0</v>
      </c>
      <c r="AA23" s="87">
        <v>372</v>
      </c>
      <c r="AB23" s="89">
        <f t="shared" si="1"/>
        <v>0</v>
      </c>
      <c r="AC23" s="89">
        <f t="shared" si="2"/>
        <v>149</v>
      </c>
      <c r="AD23" s="89">
        <f t="shared" si="3"/>
        <v>0</v>
      </c>
      <c r="AF23" s="90" t="str">
        <f t="shared" si="4"/>
        <v/>
      </c>
      <c r="AG23" s="90">
        <f t="shared" si="5"/>
        <v>372</v>
      </c>
      <c r="AH23" s="90" t="str">
        <f t="shared" si="6"/>
        <v>2018 (triag)</v>
      </c>
      <c r="AI23" s="90">
        <f t="shared" si="7"/>
        <v>149</v>
      </c>
      <c r="AJ23" s="90" t="str">
        <f t="shared" si="8"/>
        <v>2018 (triag)</v>
      </c>
      <c r="AK23" s="90" t="str">
        <f t="shared" si="9"/>
        <v>Adjust</v>
      </c>
      <c r="AL23" s="91">
        <f>IF(AK23="Adjust",(_xlfn.XLOOKUP(A23,'Adj factor'!A:A,'Adj factor'!I:I,,0)*AI23),'Master DataSheet (Rev)'!AI23)</f>
        <v>186.22450107945869</v>
      </c>
      <c r="AM23" s="91">
        <f t="shared" si="10"/>
        <v>372</v>
      </c>
      <c r="AN23" s="92" t="str">
        <f t="shared" si="14"/>
        <v>Decreasing</v>
      </c>
      <c r="AO23" s="93">
        <f>VLOOKUP(B23,'Growthrates source'!A$2:H$49,8,FALSE)</f>
        <v>0.1019276516404819</v>
      </c>
      <c r="AP23" s="93">
        <f>VLOOKUP(B23,'Growthrates source'!A$2:I$49,9,FALSE)</f>
        <v>4.0873218672115019E-3</v>
      </c>
      <c r="AQ23" s="86">
        <f t="shared" si="11"/>
        <v>223.46517739388943</v>
      </c>
      <c r="AR23" s="86">
        <f t="shared" si="12"/>
        <v>376.58953204072736</v>
      </c>
      <c r="AS23" s="94">
        <f t="shared" si="15"/>
        <v>0</v>
      </c>
      <c r="AT23" s="94">
        <f t="shared" si="16"/>
        <v>0.32366197422058496</v>
      </c>
      <c r="AU23" s="94">
        <f t="shared" si="17"/>
        <v>0.14447681898583617</v>
      </c>
      <c r="AV23" s="94">
        <f t="shared" si="18"/>
        <v>0.28860529281159869</v>
      </c>
    </row>
    <row r="24" spans="1:48" x14ac:dyDescent="0.3">
      <c r="A24" s="85" t="str">
        <f>_xlfn.XLOOKUP(B24,'Country codes &amp; Data sources'!G:G,'Country codes &amp; Data sources'!H:H,,0)</f>
        <v>Burundi</v>
      </c>
      <c r="B24" s="85" t="s">
        <v>165</v>
      </c>
      <c r="C24" s="86">
        <v>9795479.0000000019</v>
      </c>
      <c r="D24" s="85" t="s">
        <v>203</v>
      </c>
      <c r="E24" s="87">
        <v>0</v>
      </c>
      <c r="F24" s="88">
        <v>10149577.500000002</v>
      </c>
      <c r="G24" s="87">
        <v>0</v>
      </c>
      <c r="I24" s="87">
        <v>0</v>
      </c>
      <c r="K24" s="87">
        <v>0</v>
      </c>
      <c r="M24" s="87">
        <v>0</v>
      </c>
      <c r="O24" s="87">
        <v>0</v>
      </c>
      <c r="P24" s="88">
        <v>11493472.499999993</v>
      </c>
      <c r="Q24" s="87">
        <v>0</v>
      </c>
      <c r="R24" s="87">
        <f t="shared" si="0"/>
        <v>8664</v>
      </c>
      <c r="T24" s="87">
        <v>0</v>
      </c>
      <c r="V24" s="87">
        <v>0</v>
      </c>
      <c r="X24" s="87">
        <v>0</v>
      </c>
      <c r="Y24" s="88">
        <v>12889576.499999994</v>
      </c>
      <c r="Z24" s="87">
        <v>0</v>
      </c>
      <c r="AA24" s="87">
        <v>8664</v>
      </c>
      <c r="AB24" s="89">
        <f t="shared" si="1"/>
        <v>0</v>
      </c>
      <c r="AC24" s="89">
        <f t="shared" si="2"/>
        <v>0</v>
      </c>
      <c r="AD24" s="89">
        <f t="shared" si="3"/>
        <v>0</v>
      </c>
      <c r="AF24" s="90" t="str">
        <f t="shared" si="4"/>
        <v/>
      </c>
      <c r="AG24" s="90">
        <f t="shared" si="5"/>
        <v>8664</v>
      </c>
      <c r="AH24" s="90" t="str">
        <f t="shared" si="6"/>
        <v>2018 (triag)</v>
      </c>
      <c r="AI24" s="90">
        <f t="shared" si="7"/>
        <v>8664</v>
      </c>
      <c r="AJ24" s="90" t="str">
        <f t="shared" si="8"/>
        <v>2018 (triag)</v>
      </c>
      <c r="AK24" s="90" t="str">
        <f t="shared" si="9"/>
        <v/>
      </c>
      <c r="AL24" s="91">
        <f>IF(AK24="Adjust",(_xlfn.XLOOKUP(A24,'Adj factor'!A:A,'Adj factor'!I:I,,0)*AI24),'Master DataSheet (Rev)'!AI24)</f>
        <v>8664</v>
      </c>
      <c r="AM24" s="91">
        <f t="shared" si="10"/>
        <v>8664</v>
      </c>
      <c r="AN24" s="92" t="str">
        <f t="shared" si="14"/>
        <v>No change</v>
      </c>
      <c r="AO24" s="93">
        <f>VLOOKUP(B24,'Growthrates source'!A$2:H$49,8,FALSE)</f>
        <v>0.1019276516404819</v>
      </c>
      <c r="AP24" s="93">
        <f>VLOOKUP(B24,'Growthrates source'!A$2:I$49,9,FALSE)</f>
        <v>4.0873218672115019E-3</v>
      </c>
      <c r="AQ24" s="86">
        <f t="shared" si="11"/>
        <v>5204.5760670447798</v>
      </c>
      <c r="AR24" s="86">
        <f t="shared" si="12"/>
        <v>8770.8916817227455</v>
      </c>
      <c r="AS24" s="94">
        <f t="shared" si="15"/>
        <v>0</v>
      </c>
      <c r="AT24" s="94">
        <f t="shared" si="16"/>
        <v>7.5381917866858821</v>
      </c>
      <c r="AU24" s="94">
        <f t="shared" si="17"/>
        <v>6.721710368063686</v>
      </c>
      <c r="AV24" s="94">
        <f t="shared" si="18"/>
        <v>6.721710368063686</v>
      </c>
    </row>
    <row r="25" spans="1:48" x14ac:dyDescent="0.3">
      <c r="A25" s="85" t="str">
        <f>_xlfn.XLOOKUP(B25,'Country codes &amp; Data sources'!G:G,'Country codes &amp; Data sources'!H:H,,0)</f>
        <v>Burundi</v>
      </c>
      <c r="B25" s="85" t="s">
        <v>165</v>
      </c>
      <c r="C25" s="86">
        <v>9795479.0000000019</v>
      </c>
      <c r="D25" s="85" t="s">
        <v>204</v>
      </c>
      <c r="E25" s="87">
        <v>0</v>
      </c>
      <c r="F25" s="88">
        <v>10149577.500000002</v>
      </c>
      <c r="G25" s="87">
        <v>0</v>
      </c>
      <c r="I25" s="87">
        <v>0</v>
      </c>
      <c r="K25" s="87">
        <v>0</v>
      </c>
      <c r="M25" s="87">
        <v>0</v>
      </c>
      <c r="O25" s="87">
        <v>0</v>
      </c>
      <c r="P25" s="88">
        <v>11493472.499999993</v>
      </c>
      <c r="Q25" s="87">
        <v>0</v>
      </c>
      <c r="R25" s="87">
        <f t="shared" si="0"/>
        <v>1383</v>
      </c>
      <c r="T25" s="87">
        <v>0</v>
      </c>
      <c r="V25" s="87">
        <v>0</v>
      </c>
      <c r="X25" s="87">
        <v>0</v>
      </c>
      <c r="Y25" s="88">
        <v>12889576.499999994</v>
      </c>
      <c r="Z25" s="87">
        <v>0</v>
      </c>
      <c r="AA25" s="87">
        <v>1383</v>
      </c>
      <c r="AB25" s="89">
        <f t="shared" si="1"/>
        <v>0</v>
      </c>
      <c r="AC25" s="89">
        <f t="shared" si="2"/>
        <v>0</v>
      </c>
      <c r="AD25" s="89">
        <f t="shared" si="3"/>
        <v>0</v>
      </c>
      <c r="AF25" s="90" t="str">
        <f t="shared" si="4"/>
        <v/>
      </c>
      <c r="AG25" s="90">
        <f t="shared" si="5"/>
        <v>1383</v>
      </c>
      <c r="AH25" s="90" t="str">
        <f t="shared" si="6"/>
        <v>2018 (triag)</v>
      </c>
      <c r="AI25" s="90">
        <f t="shared" si="7"/>
        <v>1383</v>
      </c>
      <c r="AJ25" s="90" t="str">
        <f t="shared" si="8"/>
        <v>2018 (triag)</v>
      </c>
      <c r="AK25" s="90" t="str">
        <f t="shared" si="9"/>
        <v/>
      </c>
      <c r="AL25" s="91">
        <f>IF(AK25="Adjust",(_xlfn.XLOOKUP(A25,'Adj factor'!A:A,'Adj factor'!I:I,,0)*AI25),'Master DataSheet (Rev)'!AI25)</f>
        <v>1383</v>
      </c>
      <c r="AM25" s="91">
        <f t="shared" si="10"/>
        <v>1383</v>
      </c>
      <c r="AN25" s="92" t="str">
        <f t="shared" si="14"/>
        <v>No change</v>
      </c>
      <c r="AO25" s="93">
        <f>VLOOKUP(B25,'Growthrates source'!A$2:H$49,8,FALSE)</f>
        <v>0.1019276516404819</v>
      </c>
      <c r="AP25" s="93">
        <f>VLOOKUP(B25,'Growthrates source'!A$2:I$49,9,FALSE)</f>
        <v>4.0873218672115019E-3</v>
      </c>
      <c r="AQ25" s="86">
        <f t="shared" si="11"/>
        <v>830.78586111760512</v>
      </c>
      <c r="AR25" s="86">
        <f t="shared" si="12"/>
        <v>1400.062695732059</v>
      </c>
      <c r="AS25" s="94">
        <f t="shared" si="15"/>
        <v>0</v>
      </c>
      <c r="AT25" s="94">
        <f t="shared" si="16"/>
        <v>1.2032916944813683</v>
      </c>
      <c r="AU25" s="94">
        <f t="shared" si="17"/>
        <v>1.0729599998882824</v>
      </c>
      <c r="AV25" s="94">
        <f t="shared" si="18"/>
        <v>1.0729599998882824</v>
      </c>
    </row>
    <row r="26" spans="1:48" x14ac:dyDescent="0.3">
      <c r="A26" s="85" t="str">
        <f>_xlfn.XLOOKUP(B26,'Country codes &amp; Data sources'!G:G,'Country codes &amp; Data sources'!H:H,,0)</f>
        <v>Burundi</v>
      </c>
      <c r="B26" s="85" t="s">
        <v>165</v>
      </c>
      <c r="C26" s="86">
        <v>9795479.0000000019</v>
      </c>
      <c r="D26" s="85" t="s">
        <v>205</v>
      </c>
      <c r="E26" s="87">
        <v>0</v>
      </c>
      <c r="F26" s="88">
        <v>10149577.500000002</v>
      </c>
      <c r="G26" s="87">
        <v>0</v>
      </c>
      <c r="I26" s="87">
        <v>0</v>
      </c>
      <c r="K26" s="87">
        <v>0</v>
      </c>
      <c r="M26" s="87">
        <v>0</v>
      </c>
      <c r="O26" s="87">
        <v>0</v>
      </c>
      <c r="P26" s="88">
        <v>11493472.499999993</v>
      </c>
      <c r="Q26" s="87">
        <v>0</v>
      </c>
      <c r="R26" s="87">
        <f t="shared" si="0"/>
        <v>0</v>
      </c>
      <c r="T26" s="87">
        <v>0</v>
      </c>
      <c r="V26" s="87">
        <v>0</v>
      </c>
      <c r="X26" s="87">
        <v>0</v>
      </c>
      <c r="Y26" s="88">
        <v>12889576.499999994</v>
      </c>
      <c r="Z26" s="87">
        <v>0</v>
      </c>
      <c r="AA26" s="87">
        <v>0</v>
      </c>
      <c r="AB26" s="89">
        <f t="shared" si="1"/>
        <v>0</v>
      </c>
      <c r="AC26" s="89">
        <f t="shared" si="2"/>
        <v>0</v>
      </c>
      <c r="AD26" s="89">
        <f t="shared" si="3"/>
        <v>0</v>
      </c>
      <c r="AF26" s="90" t="str">
        <f t="shared" si="4"/>
        <v/>
      </c>
      <c r="AH26" s="90" t="str">
        <f t="shared" si="6"/>
        <v/>
      </c>
      <c r="AI26" s="90">
        <f t="shared" si="7"/>
        <v>0</v>
      </c>
      <c r="AJ26" s="90" t="str">
        <f t="shared" si="8"/>
        <v/>
      </c>
      <c r="AK26" s="90" t="str">
        <f t="shared" si="9"/>
        <v/>
      </c>
      <c r="AL26" s="91"/>
      <c r="AM26" s="91">
        <f t="shared" si="10"/>
        <v>0</v>
      </c>
      <c r="AN26" s="92" t="str">
        <f t="shared" si="14"/>
        <v>No change</v>
      </c>
      <c r="AO26" s="93">
        <f>VLOOKUP(B26,'Growthrates source'!A$2:H$49,8,FALSE)</f>
        <v>0.1019276516404819</v>
      </c>
      <c r="AP26" s="93">
        <f>VLOOKUP(B26,'Growthrates source'!A$2:I$49,9,FALSE)</f>
        <v>4.0873218672115019E-3</v>
      </c>
      <c r="AQ26" s="86">
        <f t="shared" si="11"/>
        <v>0</v>
      </c>
      <c r="AR26" s="86">
        <f t="shared" si="12"/>
        <v>0</v>
      </c>
      <c r="AS26" s="94">
        <f t="shared" si="15"/>
        <v>0</v>
      </c>
      <c r="AT26" s="94">
        <f t="shared" si="16"/>
        <v>0</v>
      </c>
      <c r="AU26" s="94">
        <f t="shared" si="17"/>
        <v>0</v>
      </c>
      <c r="AV26" s="94">
        <f t="shared" si="18"/>
        <v>0</v>
      </c>
    </row>
    <row r="27" spans="1:48" x14ac:dyDescent="0.3">
      <c r="A27" s="85" t="str">
        <f>_xlfn.XLOOKUP(B27,'Country codes &amp; Data sources'!G:G,'Country codes &amp; Data sources'!H:H,,0)</f>
        <v>Burundi</v>
      </c>
      <c r="B27" s="85" t="s">
        <v>165</v>
      </c>
      <c r="C27" s="86">
        <v>9795479.0000000019</v>
      </c>
      <c r="D27" s="85" t="s">
        <v>133</v>
      </c>
      <c r="E27" s="87">
        <v>0</v>
      </c>
      <c r="F27" s="88">
        <v>10149577.500000002</v>
      </c>
      <c r="G27" s="87">
        <v>0</v>
      </c>
      <c r="I27" s="87">
        <v>0</v>
      </c>
      <c r="K27" s="87">
        <v>0</v>
      </c>
      <c r="M27" s="87">
        <v>0</v>
      </c>
      <c r="O27" s="87">
        <v>1073</v>
      </c>
      <c r="P27" s="88">
        <v>11493472.499999993</v>
      </c>
      <c r="Q27" s="87">
        <v>1071</v>
      </c>
      <c r="R27" s="87">
        <f t="shared" si="0"/>
        <v>1071</v>
      </c>
      <c r="T27" s="87">
        <v>0</v>
      </c>
      <c r="V27" s="87">
        <v>0</v>
      </c>
      <c r="X27" s="87">
        <v>0</v>
      </c>
      <c r="Y27" s="88">
        <v>12889576.499999994</v>
      </c>
      <c r="Z27" s="87">
        <v>0</v>
      </c>
      <c r="AA27" s="87">
        <v>155</v>
      </c>
      <c r="AB27" s="89">
        <f t="shared" si="1"/>
        <v>0</v>
      </c>
      <c r="AC27" s="89">
        <f t="shared" si="2"/>
        <v>1073</v>
      </c>
      <c r="AD27" s="89">
        <f t="shared" si="3"/>
        <v>0</v>
      </c>
      <c r="AF27" s="90" t="str">
        <f t="shared" si="4"/>
        <v/>
      </c>
      <c r="AG27" s="90">
        <f t="shared" si="5"/>
        <v>1071</v>
      </c>
      <c r="AH27" s="90">
        <f t="shared" si="6"/>
        <v>2018</v>
      </c>
      <c r="AI27" s="90">
        <f t="shared" si="7"/>
        <v>1071</v>
      </c>
      <c r="AJ27" s="90">
        <f t="shared" si="8"/>
        <v>2018</v>
      </c>
      <c r="AK27" s="90" t="str">
        <f t="shared" si="9"/>
        <v/>
      </c>
      <c r="AL27" s="91">
        <f>IF(AK27="Adjust",(_xlfn.XLOOKUP(A27,'Adj factor'!A:A,'Adj factor'!I:I,,0)*AI27),'Master DataSheet (Rev)'!AI27)</f>
        <v>1071</v>
      </c>
      <c r="AM27" s="91">
        <f t="shared" si="10"/>
        <v>1071</v>
      </c>
      <c r="AN27" s="92" t="str">
        <f t="shared" si="14"/>
        <v>No change</v>
      </c>
      <c r="AO27" s="93">
        <f>VLOOKUP(B27,'Growthrates source'!A$2:H$49,8,FALSE)</f>
        <v>0.1019276516404819</v>
      </c>
      <c r="AP27" s="93">
        <f>VLOOKUP(B27,'Growthrates source'!A$2:I$49,9,FALSE)</f>
        <v>4.0873218672115019E-3</v>
      </c>
      <c r="AQ27" s="86">
        <f t="shared" si="11"/>
        <v>93.110490580787271</v>
      </c>
      <c r="AR27" s="86">
        <f t="shared" si="12"/>
        <v>156.91230501696973</v>
      </c>
      <c r="AS27" s="94">
        <f t="shared" si="15"/>
        <v>0</v>
      </c>
      <c r="AT27" s="94">
        <f t="shared" si="16"/>
        <v>0.93183326448991</v>
      </c>
      <c r="AU27" s="94">
        <f t="shared" si="17"/>
        <v>0.8309039478527479</v>
      </c>
      <c r="AV27" s="94">
        <f t="shared" si="18"/>
        <v>0.8309039478527479</v>
      </c>
    </row>
    <row r="28" spans="1:48" x14ac:dyDescent="0.3">
      <c r="A28" s="85" t="str">
        <f>_xlfn.XLOOKUP(B28,'Country codes &amp; Data sources'!G:G,'Country codes &amp; Data sources'!H:H,,0)</f>
        <v>Burundi</v>
      </c>
      <c r="B28" s="85" t="s">
        <v>165</v>
      </c>
      <c r="C28" s="86">
        <v>9795479.0000000019</v>
      </c>
      <c r="D28" s="85" t="s">
        <v>206</v>
      </c>
      <c r="E28" s="87">
        <v>0</v>
      </c>
      <c r="F28" s="88">
        <v>10149577.500000002</v>
      </c>
      <c r="G28" s="87">
        <v>0</v>
      </c>
      <c r="I28" s="87">
        <v>0</v>
      </c>
      <c r="K28" s="87">
        <v>0</v>
      </c>
      <c r="M28" s="87">
        <v>0</v>
      </c>
      <c r="O28" s="87">
        <v>0</v>
      </c>
      <c r="P28" s="88">
        <v>11493472.499999993</v>
      </c>
      <c r="Q28" s="87">
        <v>0</v>
      </c>
      <c r="R28" s="87">
        <f t="shared" si="0"/>
        <v>0</v>
      </c>
      <c r="T28" s="87">
        <v>0</v>
      </c>
      <c r="V28" s="87">
        <v>0</v>
      </c>
      <c r="X28" s="87">
        <v>0</v>
      </c>
      <c r="Y28" s="88">
        <v>12889576.499999994</v>
      </c>
      <c r="Z28" s="87">
        <v>0</v>
      </c>
      <c r="AA28" s="87">
        <v>0</v>
      </c>
      <c r="AB28" s="89">
        <f t="shared" si="1"/>
        <v>0</v>
      </c>
      <c r="AC28" s="89">
        <f t="shared" si="2"/>
        <v>0</v>
      </c>
      <c r="AD28" s="89">
        <f t="shared" si="3"/>
        <v>0</v>
      </c>
      <c r="AF28" s="90" t="str">
        <f t="shared" si="4"/>
        <v/>
      </c>
      <c r="AH28" s="90" t="str">
        <f t="shared" si="6"/>
        <v/>
      </c>
      <c r="AI28" s="90">
        <f t="shared" si="7"/>
        <v>0</v>
      </c>
      <c r="AJ28" s="90" t="str">
        <f t="shared" si="8"/>
        <v/>
      </c>
      <c r="AK28" s="90" t="str">
        <f t="shared" si="9"/>
        <v/>
      </c>
      <c r="AL28" s="91"/>
      <c r="AM28" s="91">
        <f t="shared" si="10"/>
        <v>0</v>
      </c>
      <c r="AN28" s="92" t="str">
        <f t="shared" si="14"/>
        <v>No change</v>
      </c>
      <c r="AO28" s="93">
        <f>VLOOKUP(B28,'Growthrates source'!A$2:H$49,8,FALSE)</f>
        <v>0.1019276516404819</v>
      </c>
      <c r="AP28" s="93">
        <f>VLOOKUP(B28,'Growthrates source'!A$2:I$49,9,FALSE)</f>
        <v>4.0873218672115019E-3</v>
      </c>
      <c r="AQ28" s="86">
        <f t="shared" si="11"/>
        <v>0</v>
      </c>
      <c r="AR28" s="86">
        <f t="shared" si="12"/>
        <v>0</v>
      </c>
      <c r="AS28" s="94">
        <f t="shared" si="15"/>
        <v>0</v>
      </c>
      <c r="AT28" s="94">
        <f t="shared" si="16"/>
        <v>0</v>
      </c>
      <c r="AU28" s="94">
        <f t="shared" si="17"/>
        <v>0</v>
      </c>
      <c r="AV28" s="94">
        <f t="shared" si="18"/>
        <v>0</v>
      </c>
    </row>
    <row r="29" spans="1:48" x14ac:dyDescent="0.3">
      <c r="A29" s="85" t="str">
        <f>_xlfn.XLOOKUP(B29,'Country codes &amp; Data sources'!G:G,'Country codes &amp; Data sources'!H:H,,0)</f>
        <v>Burundi</v>
      </c>
      <c r="B29" s="85" t="s">
        <v>165</v>
      </c>
      <c r="C29" s="86">
        <v>9795479.0000000019</v>
      </c>
      <c r="D29" s="85" t="s">
        <v>136</v>
      </c>
      <c r="E29" s="87">
        <v>0</v>
      </c>
      <c r="F29" s="88">
        <v>10149577.500000002</v>
      </c>
      <c r="G29" s="87">
        <v>0</v>
      </c>
      <c r="I29" s="87">
        <v>0</v>
      </c>
      <c r="K29" s="87">
        <v>0</v>
      </c>
      <c r="M29" s="87">
        <v>0</v>
      </c>
      <c r="O29" s="87">
        <v>0</v>
      </c>
      <c r="P29" s="88">
        <v>11493472.499999993</v>
      </c>
      <c r="Q29" s="87">
        <v>0</v>
      </c>
      <c r="R29" s="87">
        <f t="shared" si="0"/>
        <v>86</v>
      </c>
      <c r="T29" s="87">
        <v>0</v>
      </c>
      <c r="V29" s="87">
        <v>0</v>
      </c>
      <c r="X29" s="87">
        <v>81</v>
      </c>
      <c r="Y29" s="88">
        <v>12889576.499999994</v>
      </c>
      <c r="Z29" s="87">
        <v>0</v>
      </c>
      <c r="AA29" s="87">
        <v>86</v>
      </c>
      <c r="AB29" s="89">
        <f t="shared" si="1"/>
        <v>0</v>
      </c>
      <c r="AC29" s="89">
        <f t="shared" si="2"/>
        <v>0</v>
      </c>
      <c r="AD29" s="89">
        <f t="shared" si="3"/>
        <v>81</v>
      </c>
      <c r="AF29" s="90" t="str">
        <f t="shared" si="4"/>
        <v/>
      </c>
      <c r="AG29" s="90">
        <f t="shared" si="5"/>
        <v>86</v>
      </c>
      <c r="AH29" s="90" t="str">
        <f t="shared" si="6"/>
        <v>2018 (triag)</v>
      </c>
      <c r="AI29" s="90">
        <f t="shared" si="7"/>
        <v>81</v>
      </c>
      <c r="AJ29" s="90">
        <f t="shared" si="8"/>
        <v>2021</v>
      </c>
      <c r="AK29" s="90" t="str">
        <f t="shared" si="9"/>
        <v>Adjust</v>
      </c>
      <c r="AL29" s="91">
        <f>IF(AK29="Adjust",(_xlfn.XLOOKUP(A29,'Adj factor'!A:A,'Adj factor'!I:I,,0)*AI29),'Master DataSheet (Rev)'!AI29)</f>
        <v>101.23613817071244</v>
      </c>
      <c r="AM29" s="91">
        <f t="shared" si="10"/>
        <v>101.23613817071244</v>
      </c>
      <c r="AN29" s="92" t="str">
        <f t="shared" si="14"/>
        <v>Increasing</v>
      </c>
      <c r="AO29" s="93">
        <f>VLOOKUP(B29,'Growthrates source'!A$2:H$49,8,FALSE)</f>
        <v>0.1019276516404819</v>
      </c>
      <c r="AP29" s="93">
        <f>VLOOKUP(B29,'Growthrates source'!A$2:I$49,9,FALSE)</f>
        <v>4.0873218672115019E-3</v>
      </c>
      <c r="AQ29" s="86">
        <f t="shared" si="11"/>
        <v>51.661304451275512</v>
      </c>
      <c r="AR29" s="86">
        <f t="shared" si="12"/>
        <v>87.061020848125139</v>
      </c>
      <c r="AS29" s="94">
        <f t="shared" si="15"/>
        <v>0</v>
      </c>
      <c r="AT29" s="94">
        <f t="shared" si="16"/>
        <v>7.4825080061748137E-2</v>
      </c>
      <c r="AU29" s="94">
        <f t="shared" si="17"/>
        <v>7.8541089515790127E-2</v>
      </c>
      <c r="AV29" s="94">
        <f t="shared" si="18"/>
        <v>7.8541089515790127E-2</v>
      </c>
    </row>
    <row r="30" spans="1:48" x14ac:dyDescent="0.3">
      <c r="A30" s="85" t="str">
        <f>_xlfn.XLOOKUP(B30,'Country codes &amp; Data sources'!G:G,'Country codes &amp; Data sources'!H:H,,0)</f>
        <v>Burundi</v>
      </c>
      <c r="B30" s="85" t="s">
        <v>165</v>
      </c>
      <c r="C30" s="86">
        <v>9795479.0000000019</v>
      </c>
      <c r="D30" s="85" t="s">
        <v>207</v>
      </c>
      <c r="E30" s="87">
        <v>0</v>
      </c>
      <c r="F30" s="88">
        <v>10149577.500000002</v>
      </c>
      <c r="G30" s="87">
        <v>0</v>
      </c>
      <c r="I30" s="87">
        <v>0</v>
      </c>
      <c r="K30" s="87">
        <v>0</v>
      </c>
      <c r="M30" s="87">
        <v>0</v>
      </c>
      <c r="O30" s="87">
        <v>0</v>
      </c>
      <c r="P30" s="88">
        <v>11493472.499999993</v>
      </c>
      <c r="Q30" s="87">
        <v>0</v>
      </c>
      <c r="R30" s="87">
        <f t="shared" si="0"/>
        <v>108</v>
      </c>
      <c r="T30" s="87">
        <v>0</v>
      </c>
      <c r="V30" s="87">
        <v>0</v>
      </c>
      <c r="X30" s="87">
        <v>0</v>
      </c>
      <c r="Y30" s="88">
        <v>12889576.499999994</v>
      </c>
      <c r="Z30" s="87">
        <v>0</v>
      </c>
      <c r="AA30" s="87">
        <v>108</v>
      </c>
      <c r="AB30" s="89">
        <f t="shared" si="1"/>
        <v>0</v>
      </c>
      <c r="AC30" s="89">
        <f t="shared" si="2"/>
        <v>0</v>
      </c>
      <c r="AD30" s="89">
        <f t="shared" si="3"/>
        <v>0</v>
      </c>
      <c r="AF30" s="90" t="str">
        <f t="shared" si="4"/>
        <v/>
      </c>
      <c r="AG30" s="90">
        <f t="shared" si="5"/>
        <v>108</v>
      </c>
      <c r="AH30" s="90" t="str">
        <f t="shared" si="6"/>
        <v>2018 (triag)</v>
      </c>
      <c r="AI30" s="90">
        <f t="shared" si="7"/>
        <v>108</v>
      </c>
      <c r="AJ30" s="90" t="str">
        <f t="shared" si="8"/>
        <v>2018 (triag)</v>
      </c>
      <c r="AK30" s="90" t="str">
        <f t="shared" si="9"/>
        <v/>
      </c>
      <c r="AL30" s="91">
        <f>IF(AK30="Adjust",(_xlfn.XLOOKUP(A30,'Adj factor'!A:A,'Adj factor'!I:I,,0)*AI30),'Master DataSheet (Rev)'!AI30)</f>
        <v>108</v>
      </c>
      <c r="AM30" s="91">
        <f t="shared" si="10"/>
        <v>108</v>
      </c>
      <c r="AN30" s="92" t="str">
        <f t="shared" si="14"/>
        <v>No change</v>
      </c>
      <c r="AO30" s="93">
        <f>VLOOKUP(B30,'Growthrates source'!A$2:H$49,8,FALSE)</f>
        <v>0.1019276516404819</v>
      </c>
      <c r="AP30" s="93">
        <f>VLOOKUP(B30,'Growthrates source'!A$2:I$49,9,FALSE)</f>
        <v>4.0873218672115019E-3</v>
      </c>
      <c r="AQ30" s="86">
        <f t="shared" si="11"/>
        <v>64.876986985322745</v>
      </c>
      <c r="AR30" s="86">
        <f t="shared" si="12"/>
        <v>109.33244478601762</v>
      </c>
      <c r="AS30" s="94">
        <f t="shared" si="15"/>
        <v>0</v>
      </c>
      <c r="AT30" s="94">
        <f t="shared" si="16"/>
        <v>9.3966379612427903E-2</v>
      </c>
      <c r="AU30" s="94">
        <f t="shared" si="17"/>
        <v>8.3788633396915752E-2</v>
      </c>
      <c r="AV30" s="94">
        <f t="shared" si="18"/>
        <v>8.3788633396915752E-2</v>
      </c>
    </row>
    <row r="31" spans="1:48" x14ac:dyDescent="0.3">
      <c r="A31" s="85" t="str">
        <f>_xlfn.XLOOKUP(B31,'Country codes &amp; Data sources'!G:G,'Country codes &amp; Data sources'!H:H,,0)</f>
        <v>Burundi</v>
      </c>
      <c r="B31" s="85" t="s">
        <v>165</v>
      </c>
      <c r="C31" s="86">
        <v>9795479.0000000019</v>
      </c>
      <c r="D31" s="85" t="s">
        <v>141</v>
      </c>
      <c r="E31" s="87">
        <v>0</v>
      </c>
      <c r="F31" s="88">
        <v>10149577.500000002</v>
      </c>
      <c r="G31" s="87">
        <v>0</v>
      </c>
      <c r="I31" s="87">
        <v>0</v>
      </c>
      <c r="K31" s="87">
        <v>0</v>
      </c>
      <c r="M31" s="87">
        <v>0</v>
      </c>
      <c r="O31" s="87">
        <v>0</v>
      </c>
      <c r="P31" s="88">
        <v>11493472.499999993</v>
      </c>
      <c r="Q31" s="87">
        <v>0</v>
      </c>
      <c r="R31" s="87">
        <f t="shared" si="0"/>
        <v>0</v>
      </c>
      <c r="T31" s="87">
        <v>0</v>
      </c>
      <c r="V31" s="87">
        <v>0</v>
      </c>
      <c r="X31" s="87">
        <v>0</v>
      </c>
      <c r="Y31" s="88">
        <v>12889576.499999994</v>
      </c>
      <c r="Z31" s="87">
        <v>0</v>
      </c>
      <c r="AA31" s="87">
        <v>0</v>
      </c>
      <c r="AB31" s="89">
        <f t="shared" si="1"/>
        <v>0</v>
      </c>
      <c r="AC31" s="89">
        <f t="shared" si="2"/>
        <v>0</v>
      </c>
      <c r="AD31" s="89">
        <f t="shared" si="3"/>
        <v>0</v>
      </c>
      <c r="AF31" s="90" t="str">
        <f t="shared" si="4"/>
        <v/>
      </c>
      <c r="AH31" s="90" t="str">
        <f t="shared" si="6"/>
        <v/>
      </c>
      <c r="AI31" s="90">
        <f t="shared" si="7"/>
        <v>0</v>
      </c>
      <c r="AJ31" s="90" t="str">
        <f t="shared" si="8"/>
        <v/>
      </c>
      <c r="AK31" s="90" t="str">
        <f t="shared" si="9"/>
        <v/>
      </c>
      <c r="AL31" s="91"/>
      <c r="AM31" s="91">
        <f t="shared" si="10"/>
        <v>0</v>
      </c>
      <c r="AN31" s="92" t="str">
        <f t="shared" si="14"/>
        <v>No change</v>
      </c>
      <c r="AO31" s="93">
        <f>VLOOKUP(B31,'Growthrates source'!A$2:H$49,8,FALSE)</f>
        <v>0.1019276516404819</v>
      </c>
      <c r="AP31" s="93">
        <f>VLOOKUP(B31,'Growthrates source'!A$2:I$49,9,FALSE)</f>
        <v>4.0873218672115019E-3</v>
      </c>
      <c r="AQ31" s="86">
        <f t="shared" si="11"/>
        <v>0</v>
      </c>
      <c r="AR31" s="86">
        <f t="shared" si="12"/>
        <v>0</v>
      </c>
      <c r="AS31" s="94">
        <f t="shared" si="15"/>
        <v>0</v>
      </c>
      <c r="AT31" s="94">
        <f t="shared" si="16"/>
        <v>0</v>
      </c>
      <c r="AU31" s="94">
        <f t="shared" si="17"/>
        <v>0</v>
      </c>
      <c r="AV31" s="94">
        <f t="shared" si="18"/>
        <v>0</v>
      </c>
    </row>
    <row r="32" spans="1:48" x14ac:dyDescent="0.3">
      <c r="A32" s="85" t="str">
        <f>_xlfn.XLOOKUP(B32,'Country codes &amp; Data sources'!G:G,'Country codes &amp; Data sources'!H:H,,0)</f>
        <v>Burundi</v>
      </c>
      <c r="B32" s="85" t="s">
        <v>165</v>
      </c>
      <c r="C32" s="86">
        <v>9795479.0000000019</v>
      </c>
      <c r="D32" s="85" t="s">
        <v>208</v>
      </c>
      <c r="E32" s="87">
        <v>0</v>
      </c>
      <c r="F32" s="88">
        <v>10149577.500000002</v>
      </c>
      <c r="G32" s="87">
        <v>0</v>
      </c>
      <c r="I32" s="87">
        <v>0</v>
      </c>
      <c r="K32" s="87">
        <v>0</v>
      </c>
      <c r="M32" s="87">
        <v>0</v>
      </c>
      <c r="O32" s="87">
        <v>2946</v>
      </c>
      <c r="P32" s="88">
        <v>11493472.499999993</v>
      </c>
      <c r="Q32" s="87">
        <v>0</v>
      </c>
      <c r="R32" s="87">
        <f t="shared" si="0"/>
        <v>2906</v>
      </c>
      <c r="T32" s="87">
        <v>0</v>
      </c>
      <c r="V32" s="87">
        <v>0</v>
      </c>
      <c r="X32" s="87">
        <v>7805</v>
      </c>
      <c r="Y32" s="88">
        <v>12889576.499999994</v>
      </c>
      <c r="Z32" s="87">
        <v>0</v>
      </c>
      <c r="AA32" s="87">
        <v>2906</v>
      </c>
      <c r="AB32" s="89">
        <f t="shared" si="1"/>
        <v>0</v>
      </c>
      <c r="AC32" s="89">
        <f t="shared" si="2"/>
        <v>2946</v>
      </c>
      <c r="AD32" s="89">
        <f t="shared" si="3"/>
        <v>7805</v>
      </c>
      <c r="AF32" s="90" t="str">
        <f t="shared" si="4"/>
        <v/>
      </c>
      <c r="AG32" s="90">
        <f t="shared" si="5"/>
        <v>2906</v>
      </c>
      <c r="AH32" s="90" t="str">
        <f t="shared" si="6"/>
        <v>2018 (triag)</v>
      </c>
      <c r="AI32" s="90">
        <f t="shared" si="7"/>
        <v>7805</v>
      </c>
      <c r="AJ32" s="90">
        <f t="shared" si="8"/>
        <v>2021</v>
      </c>
      <c r="AK32" s="90" t="str">
        <f t="shared" si="9"/>
        <v/>
      </c>
      <c r="AL32" s="91">
        <f>IF(AK32="Adjust",(_xlfn.XLOOKUP(A32,'Adj factor'!A:A,'Adj factor'!I:I,,0)*AI32),'Master DataSheet (Rev)'!AI32)</f>
        <v>7805</v>
      </c>
      <c r="AM32" s="91">
        <f t="shared" si="10"/>
        <v>7805</v>
      </c>
      <c r="AN32" s="92" t="str">
        <f t="shared" si="14"/>
        <v>Increasing</v>
      </c>
      <c r="AO32" s="93">
        <f>VLOOKUP(B32,'Growthrates source'!A$2:H$49,8,FALSE)</f>
        <v>0.1019276516404819</v>
      </c>
      <c r="AP32" s="93">
        <f>VLOOKUP(B32,'Growthrates source'!A$2:I$49,9,FALSE)</f>
        <v>4.0873218672115019E-3</v>
      </c>
      <c r="AQ32" s="86">
        <f t="shared" si="11"/>
        <v>1745.6715201791471</v>
      </c>
      <c r="AR32" s="86">
        <f t="shared" si="12"/>
        <v>2941.8526347052516</v>
      </c>
      <c r="AS32" s="94">
        <f t="shared" si="15"/>
        <v>0</v>
      </c>
      <c r="AT32" s="94">
        <f t="shared" si="16"/>
        <v>2.5283916588306989</v>
      </c>
      <c r="AU32" s="94">
        <f t="shared" si="17"/>
        <v>6.055280404286365</v>
      </c>
      <c r="AV32" s="94">
        <f t="shared" si="18"/>
        <v>6.055280404286365</v>
      </c>
    </row>
    <row r="33" spans="1:48" x14ac:dyDescent="0.3">
      <c r="A33" s="85" t="str">
        <f>_xlfn.XLOOKUP(B33,'Country codes &amp; Data sources'!G:G,'Country codes &amp; Data sources'!H:H,,0)</f>
        <v>Burundi</v>
      </c>
      <c r="B33" s="85" t="s">
        <v>165</v>
      </c>
      <c r="C33" s="86">
        <v>9795479.0000000019</v>
      </c>
      <c r="D33" s="85" t="s">
        <v>209</v>
      </c>
      <c r="E33" s="87">
        <v>0</v>
      </c>
      <c r="F33" s="88">
        <v>10149577.500000002</v>
      </c>
      <c r="G33" s="87">
        <v>0</v>
      </c>
      <c r="I33" s="87">
        <v>0</v>
      </c>
      <c r="K33" s="87">
        <v>0</v>
      </c>
      <c r="M33" s="87">
        <v>0</v>
      </c>
      <c r="O33" s="87">
        <v>9003</v>
      </c>
      <c r="P33" s="88">
        <v>11493472.499999993</v>
      </c>
      <c r="Q33" s="87">
        <v>0</v>
      </c>
      <c r="R33" s="87">
        <f t="shared" si="0"/>
        <v>0</v>
      </c>
      <c r="T33" s="87">
        <v>0</v>
      </c>
      <c r="V33" s="87">
        <v>0</v>
      </c>
      <c r="X33" s="87">
        <v>0</v>
      </c>
      <c r="Y33" s="88">
        <v>12889576.499999994</v>
      </c>
      <c r="Z33" s="87">
        <v>0</v>
      </c>
      <c r="AA33" s="87">
        <v>0</v>
      </c>
      <c r="AB33" s="89">
        <f t="shared" si="1"/>
        <v>0</v>
      </c>
      <c r="AC33" s="89">
        <f t="shared" si="2"/>
        <v>9003</v>
      </c>
      <c r="AD33" s="89">
        <f t="shared" si="3"/>
        <v>0</v>
      </c>
      <c r="AF33" s="90" t="str">
        <f t="shared" si="4"/>
        <v/>
      </c>
      <c r="AG33" s="90">
        <f t="shared" si="5"/>
        <v>9003</v>
      </c>
      <c r="AH33" s="90">
        <f t="shared" si="6"/>
        <v>2017</v>
      </c>
      <c r="AI33" s="90">
        <f t="shared" si="7"/>
        <v>9003</v>
      </c>
      <c r="AJ33" s="90">
        <f t="shared" si="8"/>
        <v>2017</v>
      </c>
      <c r="AK33" s="90" t="str">
        <f t="shared" si="9"/>
        <v/>
      </c>
      <c r="AL33" s="91">
        <f>IF(AK33="Adjust",(_xlfn.XLOOKUP(A33,'Adj factor'!A:A,'Adj factor'!I:I,,0)*AI33),'Master DataSheet (Rev)'!AI33)</f>
        <v>9003</v>
      </c>
      <c r="AM33" s="91">
        <f t="shared" si="10"/>
        <v>9003</v>
      </c>
      <c r="AN33" s="92" t="str">
        <f t="shared" si="14"/>
        <v>No change</v>
      </c>
      <c r="AO33" s="93">
        <f>VLOOKUP(B33,'Growthrates source'!A$2:H$49,8,FALSE)</f>
        <v>0.1019276516404819</v>
      </c>
      <c r="AP33" s="93">
        <f>VLOOKUP(B33,'Growthrates source'!A$2:I$49,9,FALSE)</f>
        <v>4.0873218672115019E-3</v>
      </c>
      <c r="AQ33" s="86">
        <f t="shared" si="11"/>
        <v>0</v>
      </c>
      <c r="AR33" s="86">
        <f t="shared" si="12"/>
        <v>0</v>
      </c>
      <c r="AS33" s="94">
        <f t="shared" si="15"/>
        <v>0</v>
      </c>
      <c r="AT33" s="94">
        <f t="shared" si="16"/>
        <v>7.8331418115804476</v>
      </c>
      <c r="AU33" s="94">
        <f t="shared" si="17"/>
        <v>6.9847135784484493</v>
      </c>
      <c r="AV33" s="94">
        <f t="shared" si="18"/>
        <v>6.9847135784484493</v>
      </c>
    </row>
    <row r="34" spans="1:48" x14ac:dyDescent="0.3">
      <c r="A34" s="85" t="str">
        <f>_xlfn.XLOOKUP(B34,'Country codes &amp; Data sources'!G:G,'Country codes &amp; Data sources'!H:H,,0)</f>
        <v>Burundi</v>
      </c>
      <c r="B34" s="85" t="s">
        <v>165</v>
      </c>
      <c r="C34" s="86">
        <v>9795479.0000000019</v>
      </c>
      <c r="D34" s="85" t="s">
        <v>134</v>
      </c>
      <c r="E34" s="87">
        <v>0</v>
      </c>
      <c r="F34" s="88">
        <v>10149577.500000002</v>
      </c>
      <c r="G34" s="87">
        <v>0</v>
      </c>
      <c r="I34" s="87">
        <v>0</v>
      </c>
      <c r="K34" s="87">
        <v>0</v>
      </c>
      <c r="M34" s="87">
        <v>0</v>
      </c>
      <c r="O34" s="87">
        <v>0</v>
      </c>
      <c r="P34" s="88">
        <v>11493472.499999993</v>
      </c>
      <c r="Q34" s="87">
        <v>0</v>
      </c>
      <c r="R34" s="87">
        <f t="shared" si="0"/>
        <v>1071</v>
      </c>
      <c r="T34" s="87">
        <v>0</v>
      </c>
      <c r="V34" s="87">
        <v>0</v>
      </c>
      <c r="X34" s="87">
        <v>729</v>
      </c>
      <c r="Y34" s="88">
        <v>12889576.499999994</v>
      </c>
      <c r="Z34" s="87">
        <v>0</v>
      </c>
      <c r="AA34" s="87">
        <v>1071</v>
      </c>
      <c r="AB34" s="89">
        <f t="shared" si="1"/>
        <v>0</v>
      </c>
      <c r="AC34" s="89">
        <f t="shared" si="2"/>
        <v>0</v>
      </c>
      <c r="AD34" s="89">
        <f t="shared" si="3"/>
        <v>729</v>
      </c>
      <c r="AF34" s="90" t="str">
        <f t="shared" si="4"/>
        <v/>
      </c>
      <c r="AG34" s="90">
        <f t="shared" si="5"/>
        <v>1071</v>
      </c>
      <c r="AH34" s="90" t="str">
        <f t="shared" si="6"/>
        <v>2018 (triag)</v>
      </c>
      <c r="AI34" s="90">
        <f t="shared" si="7"/>
        <v>729</v>
      </c>
      <c r="AJ34" s="90">
        <f t="shared" si="8"/>
        <v>2021</v>
      </c>
      <c r="AK34" s="90" t="str">
        <f t="shared" si="9"/>
        <v>Adjust</v>
      </c>
      <c r="AL34" s="91">
        <f>IF(AK34="Adjust",(_xlfn.XLOOKUP(A34,'Adj factor'!A:A,'Adj factor'!I:I,,0)*AI34),'Master DataSheet (Rev)'!AI34)</f>
        <v>911.12524353641197</v>
      </c>
      <c r="AM34" s="91">
        <f t="shared" si="10"/>
        <v>1071</v>
      </c>
      <c r="AN34" s="92" t="str">
        <f t="shared" si="14"/>
        <v>Decreasing</v>
      </c>
      <c r="AO34" s="93">
        <f>VLOOKUP(B34,'Growthrates source'!A$2:H$49,8,FALSE)</f>
        <v>0.1019276516404819</v>
      </c>
      <c r="AP34" s="93">
        <f>VLOOKUP(B34,'Growthrates source'!A$2:I$49,9,FALSE)</f>
        <v>4.0873218672115019E-3</v>
      </c>
      <c r="AQ34" s="86">
        <f t="shared" si="11"/>
        <v>643.36345427111712</v>
      </c>
      <c r="AR34" s="86">
        <f t="shared" si="12"/>
        <v>1084.2134107946747</v>
      </c>
      <c r="AS34" s="94">
        <f t="shared" si="15"/>
        <v>0</v>
      </c>
      <c r="AT34" s="94">
        <f t="shared" si="16"/>
        <v>0.93183326448991</v>
      </c>
      <c r="AU34" s="94">
        <f t="shared" si="17"/>
        <v>0.70686980564211122</v>
      </c>
      <c r="AV34" s="94">
        <f t="shared" si="18"/>
        <v>0.8309039478527479</v>
      </c>
    </row>
    <row r="35" spans="1:48" x14ac:dyDescent="0.3">
      <c r="A35" s="85" t="str">
        <f>_xlfn.XLOOKUP(B35,'Country codes &amp; Data sources'!G:G,'Country codes &amp; Data sources'!H:H,,0)</f>
        <v>Burundi</v>
      </c>
      <c r="B35" s="85" t="s">
        <v>165</v>
      </c>
      <c r="C35" s="86">
        <v>9795479.0000000019</v>
      </c>
      <c r="D35" s="85" t="s">
        <v>142</v>
      </c>
      <c r="E35" s="87">
        <v>0</v>
      </c>
      <c r="F35" s="88">
        <v>10149577.500000002</v>
      </c>
      <c r="G35" s="87">
        <v>0</v>
      </c>
      <c r="I35" s="87">
        <v>0</v>
      </c>
      <c r="K35" s="87">
        <v>0</v>
      </c>
      <c r="M35" s="87">
        <v>0</v>
      </c>
      <c r="O35" s="87">
        <v>0</v>
      </c>
      <c r="P35" s="88">
        <v>11493472.499999993</v>
      </c>
      <c r="Q35" s="87">
        <v>0</v>
      </c>
      <c r="R35" s="87">
        <f t="shared" si="0"/>
        <v>0</v>
      </c>
      <c r="T35" s="87">
        <v>0</v>
      </c>
      <c r="V35" s="87">
        <v>0</v>
      </c>
      <c r="X35" s="87">
        <v>0</v>
      </c>
      <c r="Y35" s="88">
        <v>12889576.499999994</v>
      </c>
      <c r="Z35" s="87">
        <v>0</v>
      </c>
      <c r="AA35" s="87">
        <v>0</v>
      </c>
      <c r="AB35" s="89">
        <f t="shared" si="1"/>
        <v>0</v>
      </c>
      <c r="AC35" s="89">
        <f t="shared" si="2"/>
        <v>0</v>
      </c>
      <c r="AD35" s="89">
        <f t="shared" si="3"/>
        <v>0</v>
      </c>
      <c r="AF35" s="90" t="str">
        <f t="shared" si="4"/>
        <v/>
      </c>
      <c r="AH35" s="90" t="str">
        <f t="shared" si="6"/>
        <v/>
      </c>
      <c r="AI35" s="90">
        <f t="shared" si="7"/>
        <v>0</v>
      </c>
      <c r="AJ35" s="90" t="str">
        <f t="shared" si="8"/>
        <v/>
      </c>
      <c r="AK35" s="90" t="str">
        <f t="shared" si="9"/>
        <v/>
      </c>
      <c r="AL35" s="91"/>
      <c r="AM35" s="91">
        <f t="shared" si="10"/>
        <v>0</v>
      </c>
      <c r="AN35" s="92" t="str">
        <f t="shared" si="14"/>
        <v>No change</v>
      </c>
      <c r="AO35" s="93">
        <f>VLOOKUP(B35,'Growthrates source'!A$2:H$49,8,FALSE)</f>
        <v>0.1019276516404819</v>
      </c>
      <c r="AP35" s="93">
        <f>VLOOKUP(B35,'Growthrates source'!A$2:I$49,9,FALSE)</f>
        <v>4.0873218672115019E-3</v>
      </c>
      <c r="AQ35" s="86">
        <f t="shared" si="11"/>
        <v>0</v>
      </c>
      <c r="AR35" s="86">
        <f t="shared" si="12"/>
        <v>0</v>
      </c>
      <c r="AS35" s="94">
        <f t="shared" si="15"/>
        <v>0</v>
      </c>
      <c r="AT35" s="94">
        <f t="shared" si="16"/>
        <v>0</v>
      </c>
      <c r="AU35" s="94">
        <f t="shared" si="17"/>
        <v>0</v>
      </c>
      <c r="AV35" s="94">
        <f t="shared" si="18"/>
        <v>0</v>
      </c>
    </row>
    <row r="36" spans="1:48" x14ac:dyDescent="0.3">
      <c r="A36" s="85" t="str">
        <f>_xlfn.XLOOKUP(B36,'Country codes &amp; Data sources'!G:G,'Country codes &amp; Data sources'!H:H,,0)</f>
        <v>Burundi</v>
      </c>
      <c r="B36" s="85" t="s">
        <v>165</v>
      </c>
      <c r="C36" s="86">
        <v>9795479.0000000019</v>
      </c>
      <c r="D36" s="85" t="s">
        <v>83</v>
      </c>
      <c r="E36" s="87">
        <v>0</v>
      </c>
      <c r="F36" s="88">
        <v>10149577.500000002</v>
      </c>
      <c r="G36" s="87">
        <v>0</v>
      </c>
      <c r="I36" s="87">
        <v>0</v>
      </c>
      <c r="K36" s="87">
        <v>0</v>
      </c>
      <c r="M36" s="87">
        <v>0</v>
      </c>
      <c r="O36" s="87">
        <v>0</v>
      </c>
      <c r="P36" s="88">
        <v>11493472.499999993</v>
      </c>
      <c r="Q36" s="87">
        <v>0</v>
      </c>
      <c r="R36" s="87">
        <f t="shared" si="0"/>
        <v>9</v>
      </c>
      <c r="T36" s="87">
        <v>0</v>
      </c>
      <c r="V36" s="87">
        <v>0</v>
      </c>
      <c r="X36" s="87">
        <v>0</v>
      </c>
      <c r="Y36" s="88">
        <v>12889576.499999994</v>
      </c>
      <c r="Z36" s="87">
        <v>0</v>
      </c>
      <c r="AA36" s="87">
        <v>9</v>
      </c>
      <c r="AB36" s="89">
        <f t="shared" si="1"/>
        <v>0</v>
      </c>
      <c r="AC36" s="89">
        <f t="shared" si="2"/>
        <v>0</v>
      </c>
      <c r="AD36" s="89">
        <f t="shared" si="3"/>
        <v>0</v>
      </c>
      <c r="AF36" s="90" t="str">
        <f t="shared" si="4"/>
        <v/>
      </c>
      <c r="AG36" s="90">
        <f t="shared" si="5"/>
        <v>9</v>
      </c>
      <c r="AH36" s="90" t="str">
        <f t="shared" si="6"/>
        <v>2018 (triag)</v>
      </c>
      <c r="AI36" s="90">
        <f t="shared" si="7"/>
        <v>9</v>
      </c>
      <c r="AJ36" s="90" t="str">
        <f t="shared" si="8"/>
        <v>2018 (triag)</v>
      </c>
      <c r="AK36" s="90" t="str">
        <f t="shared" si="9"/>
        <v/>
      </c>
      <c r="AL36" s="91">
        <f>IF(AK36="Adjust",(_xlfn.XLOOKUP(A36,'Adj factor'!A:A,'Adj factor'!I:I,,0)*AI36),'Master DataSheet (Rev)'!AI36)</f>
        <v>9</v>
      </c>
      <c r="AM36" s="91">
        <f t="shared" si="10"/>
        <v>9</v>
      </c>
      <c r="AN36" s="92" t="str">
        <f t="shared" si="14"/>
        <v>No change</v>
      </c>
      <c r="AO36" s="93">
        <f>VLOOKUP(B36,'Growthrates source'!A$2:H$49,8,FALSE)</f>
        <v>0.1019276516404819</v>
      </c>
      <c r="AP36" s="93">
        <f>VLOOKUP(B36,'Growthrates source'!A$2:I$49,9,FALSE)</f>
        <v>4.0873218672115019E-3</v>
      </c>
      <c r="AQ36" s="86">
        <f t="shared" si="11"/>
        <v>5.4064155821102284</v>
      </c>
      <c r="AR36" s="86">
        <f t="shared" si="12"/>
        <v>9.111037065501467</v>
      </c>
      <c r="AS36" s="94">
        <f t="shared" si="15"/>
        <v>0</v>
      </c>
      <c r="AT36" s="94">
        <f t="shared" si="16"/>
        <v>7.8305316343689913E-3</v>
      </c>
      <c r="AU36" s="94">
        <f t="shared" si="17"/>
        <v>6.982386116409646E-3</v>
      </c>
      <c r="AV36" s="94">
        <f t="shared" si="18"/>
        <v>6.982386116409646E-3</v>
      </c>
    </row>
    <row r="37" spans="1:48" x14ac:dyDescent="0.3">
      <c r="A37" s="85" t="str">
        <f>_xlfn.XLOOKUP(B37,'Country codes &amp; Data sources'!G:G,'Country codes &amp; Data sources'!H:H,,0)</f>
        <v>Burundi</v>
      </c>
      <c r="B37" s="85" t="s">
        <v>165</v>
      </c>
      <c r="C37" s="86">
        <v>9795479.0000000019</v>
      </c>
      <c r="D37" s="85" t="s">
        <v>84</v>
      </c>
      <c r="E37" s="87">
        <v>0</v>
      </c>
      <c r="F37" s="88">
        <v>10149577.500000002</v>
      </c>
      <c r="G37" s="87">
        <v>0</v>
      </c>
      <c r="I37" s="87">
        <v>0</v>
      </c>
      <c r="K37" s="87">
        <v>0</v>
      </c>
      <c r="M37" s="87">
        <v>0</v>
      </c>
      <c r="O37" s="87">
        <v>0</v>
      </c>
      <c r="P37" s="88">
        <v>11493472.499999993</v>
      </c>
      <c r="Q37" s="87">
        <v>0</v>
      </c>
      <c r="R37" s="87">
        <f t="shared" si="0"/>
        <v>0</v>
      </c>
      <c r="T37" s="87">
        <v>0</v>
      </c>
      <c r="V37" s="87">
        <v>0</v>
      </c>
      <c r="X37" s="87">
        <v>0</v>
      </c>
      <c r="Y37" s="88">
        <v>12889576.499999994</v>
      </c>
      <c r="Z37" s="87">
        <v>0</v>
      </c>
      <c r="AA37" s="87">
        <v>0</v>
      </c>
      <c r="AB37" s="89">
        <f t="shared" si="1"/>
        <v>0</v>
      </c>
      <c r="AC37" s="89">
        <f t="shared" si="2"/>
        <v>0</v>
      </c>
      <c r="AD37" s="89">
        <f t="shared" si="3"/>
        <v>0</v>
      </c>
      <c r="AF37" s="90" t="str">
        <f t="shared" si="4"/>
        <v/>
      </c>
      <c r="AH37" s="90" t="str">
        <f t="shared" si="6"/>
        <v/>
      </c>
      <c r="AI37" s="90">
        <f t="shared" si="7"/>
        <v>0</v>
      </c>
      <c r="AJ37" s="90" t="str">
        <f t="shared" si="8"/>
        <v/>
      </c>
      <c r="AK37" s="90" t="str">
        <f t="shared" si="9"/>
        <v/>
      </c>
      <c r="AL37" s="91"/>
      <c r="AM37" s="91">
        <f t="shared" si="10"/>
        <v>0</v>
      </c>
      <c r="AN37" s="92" t="str">
        <f t="shared" si="14"/>
        <v>No change</v>
      </c>
      <c r="AO37" s="93">
        <f>VLOOKUP(B37,'Growthrates source'!A$2:H$49,8,FALSE)</f>
        <v>0.1019276516404819</v>
      </c>
      <c r="AP37" s="93">
        <f>VLOOKUP(B37,'Growthrates source'!A$2:I$49,9,FALSE)</f>
        <v>4.0873218672115019E-3</v>
      </c>
      <c r="AQ37" s="86">
        <f t="shared" si="11"/>
        <v>0</v>
      </c>
      <c r="AR37" s="86">
        <f t="shared" si="12"/>
        <v>0</v>
      </c>
      <c r="AS37" s="94">
        <f t="shared" si="15"/>
        <v>0</v>
      </c>
      <c r="AT37" s="94">
        <f t="shared" si="16"/>
        <v>0</v>
      </c>
      <c r="AU37" s="94">
        <f t="shared" si="17"/>
        <v>0</v>
      </c>
      <c r="AV37" s="94">
        <f t="shared" si="18"/>
        <v>0</v>
      </c>
    </row>
    <row r="38" spans="1:48" x14ac:dyDescent="0.3">
      <c r="A38" s="85" t="str">
        <f>_xlfn.XLOOKUP(B38,'Country codes &amp; Data sources'!G:G,'Country codes &amp; Data sources'!H:H,,0)</f>
        <v>Burundi</v>
      </c>
      <c r="B38" s="85" t="s">
        <v>165</v>
      </c>
      <c r="C38" s="86">
        <v>9795479.0000000019</v>
      </c>
      <c r="D38" s="85" t="s">
        <v>126</v>
      </c>
      <c r="E38" s="87">
        <v>0</v>
      </c>
      <c r="F38" s="88">
        <v>10149577.500000002</v>
      </c>
      <c r="G38" s="87">
        <v>0</v>
      </c>
      <c r="I38" s="87">
        <v>0</v>
      </c>
      <c r="K38" s="87">
        <v>0</v>
      </c>
      <c r="M38" s="87">
        <v>0</v>
      </c>
      <c r="O38" s="87">
        <v>0</v>
      </c>
      <c r="P38" s="88">
        <v>11493472.499999993</v>
      </c>
      <c r="Q38" s="87">
        <v>0</v>
      </c>
      <c r="R38" s="87">
        <f t="shared" si="0"/>
        <v>0</v>
      </c>
      <c r="T38" s="87">
        <v>0</v>
      </c>
      <c r="V38" s="87">
        <v>0</v>
      </c>
      <c r="X38" s="87">
        <v>5</v>
      </c>
      <c r="Y38" s="88">
        <v>12889576.499999994</v>
      </c>
      <c r="Z38" s="87">
        <v>0</v>
      </c>
      <c r="AA38" s="87">
        <v>0</v>
      </c>
      <c r="AB38" s="89">
        <f t="shared" si="1"/>
        <v>0</v>
      </c>
      <c r="AC38" s="89">
        <f t="shared" si="2"/>
        <v>0</v>
      </c>
      <c r="AD38" s="89">
        <f t="shared" si="3"/>
        <v>5</v>
      </c>
      <c r="AF38" s="90" t="str">
        <f t="shared" si="4"/>
        <v/>
      </c>
      <c r="AH38" s="90" t="str">
        <f t="shared" si="6"/>
        <v/>
      </c>
      <c r="AI38" s="90">
        <f t="shared" si="7"/>
        <v>5</v>
      </c>
      <c r="AJ38" s="90">
        <f t="shared" si="8"/>
        <v>2021</v>
      </c>
      <c r="AK38" s="90" t="str">
        <f t="shared" si="9"/>
        <v/>
      </c>
      <c r="AL38" s="91">
        <f>IF(AK38="Adjust",(_xlfn.XLOOKUP(A38,'Adj factor'!A:A,'Adj factor'!I:I,,0)*AI38),'Master DataSheet (Rev)'!AI38)</f>
        <v>5</v>
      </c>
      <c r="AM38" s="91">
        <f t="shared" si="10"/>
        <v>5</v>
      </c>
      <c r="AN38" s="92" t="str">
        <f t="shared" si="14"/>
        <v>Increasing</v>
      </c>
      <c r="AO38" s="93">
        <f>VLOOKUP(B38,'Growthrates source'!A$2:H$49,8,FALSE)</f>
        <v>0.1019276516404819</v>
      </c>
      <c r="AP38" s="93">
        <f>VLOOKUP(B38,'Growthrates source'!A$2:I$49,9,FALSE)</f>
        <v>4.0873218672115019E-3</v>
      </c>
      <c r="AQ38" s="86">
        <f t="shared" si="11"/>
        <v>0</v>
      </c>
      <c r="AR38" s="86">
        <f t="shared" si="12"/>
        <v>0</v>
      </c>
      <c r="AS38" s="94">
        <f t="shared" si="15"/>
        <v>0</v>
      </c>
      <c r="AT38" s="94">
        <f t="shared" si="16"/>
        <v>0</v>
      </c>
      <c r="AU38" s="94">
        <f t="shared" si="17"/>
        <v>3.8791033980053588E-3</v>
      </c>
      <c r="AV38" s="94">
        <f t="shared" si="18"/>
        <v>3.8791033980053588E-3</v>
      </c>
    </row>
    <row r="39" spans="1:48" x14ac:dyDescent="0.3">
      <c r="A39" s="85" t="str">
        <f>_xlfn.XLOOKUP(B39,'Country codes &amp; Data sources'!G:G,'Country codes &amp; Data sources'!H:H,,0)</f>
        <v>Burundi</v>
      </c>
      <c r="B39" s="85" t="s">
        <v>165</v>
      </c>
      <c r="C39" s="86">
        <v>9795479.0000000019</v>
      </c>
      <c r="D39" s="85" t="s">
        <v>87</v>
      </c>
      <c r="E39" s="87">
        <v>0</v>
      </c>
      <c r="F39" s="88">
        <v>10149577.500000002</v>
      </c>
      <c r="G39" s="87">
        <v>0</v>
      </c>
      <c r="I39" s="87">
        <v>0</v>
      </c>
      <c r="K39" s="87">
        <v>0</v>
      </c>
      <c r="M39" s="87">
        <v>0</v>
      </c>
      <c r="O39" s="87">
        <v>0</v>
      </c>
      <c r="P39" s="88">
        <v>11493472.499999993</v>
      </c>
      <c r="Q39" s="87">
        <v>0</v>
      </c>
      <c r="R39" s="87">
        <f t="shared" si="0"/>
        <v>1000</v>
      </c>
      <c r="T39" s="87">
        <v>0</v>
      </c>
      <c r="V39" s="87">
        <v>0</v>
      </c>
      <c r="X39" s="87">
        <v>0</v>
      </c>
      <c r="Y39" s="88">
        <v>12889576.499999994</v>
      </c>
      <c r="Z39" s="87">
        <v>0</v>
      </c>
      <c r="AA39" s="87">
        <v>1000</v>
      </c>
      <c r="AB39" s="89">
        <f t="shared" si="1"/>
        <v>0</v>
      </c>
      <c r="AC39" s="89">
        <f t="shared" si="2"/>
        <v>0</v>
      </c>
      <c r="AD39" s="89">
        <f t="shared" si="3"/>
        <v>0</v>
      </c>
      <c r="AF39" s="90" t="str">
        <f t="shared" si="4"/>
        <v/>
      </c>
      <c r="AG39" s="90">
        <f t="shared" si="5"/>
        <v>1000</v>
      </c>
      <c r="AH39" s="90" t="str">
        <f t="shared" si="6"/>
        <v>2018 (triag)</v>
      </c>
      <c r="AI39" s="90">
        <f t="shared" si="7"/>
        <v>1000</v>
      </c>
      <c r="AJ39" s="90" t="str">
        <f t="shared" si="8"/>
        <v>2018 (triag)</v>
      </c>
      <c r="AK39" s="90" t="str">
        <f t="shared" si="9"/>
        <v/>
      </c>
      <c r="AL39" s="91">
        <f>IF(AK39="Adjust",(_xlfn.XLOOKUP(A39,'Adj factor'!A:A,'Adj factor'!I:I,,0)*AI39),'Master DataSheet (Rev)'!AI39)</f>
        <v>1000</v>
      </c>
      <c r="AM39" s="91">
        <f t="shared" si="10"/>
        <v>1000</v>
      </c>
      <c r="AN39" s="92" t="str">
        <f t="shared" si="14"/>
        <v>No change</v>
      </c>
      <c r="AO39" s="93">
        <f>VLOOKUP(B39,'Growthrates source'!A$2:H$49,8,FALSE)</f>
        <v>0.1019276516404819</v>
      </c>
      <c r="AP39" s="93">
        <f>VLOOKUP(B39,'Growthrates source'!A$2:I$49,9,FALSE)</f>
        <v>4.0873218672115019E-3</v>
      </c>
      <c r="AQ39" s="86">
        <f t="shared" si="11"/>
        <v>600.71284245669199</v>
      </c>
      <c r="AR39" s="86">
        <f t="shared" si="12"/>
        <v>1012.3374517223854</v>
      </c>
      <c r="AS39" s="94">
        <f t="shared" si="15"/>
        <v>0</v>
      </c>
      <c r="AT39" s="94">
        <f t="shared" si="16"/>
        <v>0.87005907048544351</v>
      </c>
      <c r="AU39" s="94">
        <f t="shared" si="17"/>
        <v>0.77582067960107182</v>
      </c>
      <c r="AV39" s="94">
        <f t="shared" si="18"/>
        <v>0.77582067960107182</v>
      </c>
    </row>
    <row r="40" spans="1:48" x14ac:dyDescent="0.3">
      <c r="A40" s="85" t="str">
        <f>_xlfn.XLOOKUP(B40,'Country codes &amp; Data sources'!G:G,'Country codes &amp; Data sources'!H:H,,0)</f>
        <v>Benin</v>
      </c>
      <c r="B40" s="85" t="s">
        <v>163</v>
      </c>
      <c r="C40" s="86">
        <v>10014078.499999996</v>
      </c>
      <c r="D40" s="85" t="s">
        <v>127</v>
      </c>
      <c r="E40" s="87">
        <v>0</v>
      </c>
      <c r="F40" s="88">
        <v>10308730.499999994</v>
      </c>
      <c r="G40" s="87">
        <v>0</v>
      </c>
      <c r="I40" s="87">
        <v>0</v>
      </c>
      <c r="K40" s="87">
        <v>0</v>
      </c>
      <c r="M40" s="87">
        <v>0</v>
      </c>
      <c r="O40" s="87">
        <v>0</v>
      </c>
      <c r="P40" s="88">
        <v>11940683.499999996</v>
      </c>
      <c r="Q40" s="87">
        <v>0</v>
      </c>
      <c r="R40" s="87">
        <f t="shared" si="0"/>
        <v>0</v>
      </c>
      <c r="T40" s="87">
        <v>0</v>
      </c>
      <c r="V40" s="87">
        <v>0</v>
      </c>
      <c r="X40" s="87">
        <v>21</v>
      </c>
      <c r="Y40" s="88">
        <v>13352864</v>
      </c>
      <c r="Z40" s="87">
        <v>21</v>
      </c>
      <c r="AA40" s="87">
        <v>0</v>
      </c>
      <c r="AB40" s="89">
        <f t="shared" si="1"/>
        <v>0</v>
      </c>
      <c r="AC40" s="89">
        <f t="shared" si="2"/>
        <v>0</v>
      </c>
      <c r="AD40" s="89">
        <f t="shared" si="3"/>
        <v>21</v>
      </c>
      <c r="AF40" s="90" t="str">
        <f t="shared" si="4"/>
        <v/>
      </c>
      <c r="AH40" s="90" t="str">
        <f t="shared" si="6"/>
        <v/>
      </c>
      <c r="AI40" s="90">
        <f t="shared" si="7"/>
        <v>21</v>
      </c>
      <c r="AJ40" s="90">
        <f t="shared" si="8"/>
        <v>2021</v>
      </c>
      <c r="AK40" s="90" t="str">
        <f t="shared" si="9"/>
        <v/>
      </c>
      <c r="AL40" s="91">
        <f>IF(AK40="Adjust",(_xlfn.XLOOKUP(A40,'Adj factor'!A:A,'Adj factor'!I:I,,0)*AI40),'Master DataSheet (Rev)'!AI40)</f>
        <v>21</v>
      </c>
      <c r="AM40" s="91">
        <f t="shared" si="10"/>
        <v>21</v>
      </c>
      <c r="AN40" s="92" t="str">
        <f t="shared" si="14"/>
        <v>Increasing</v>
      </c>
      <c r="AO40" s="93">
        <f>VLOOKUP(B40,'Growthrates source'!A$2:H$49,8,FALSE)</f>
        <v>5.0912180313375632E-2</v>
      </c>
      <c r="AP40" s="93">
        <f>VLOOKUP(B40,'Growthrates source'!A$2:I$49,9,FALSE)</f>
        <v>-3.8361793441239245E-2</v>
      </c>
      <c r="AQ40" s="86">
        <f t="shared" si="11"/>
        <v>0</v>
      </c>
      <c r="AR40" s="86">
        <f t="shared" si="12"/>
        <v>0</v>
      </c>
      <c r="AS40" s="94">
        <f t="shared" si="15"/>
        <v>0</v>
      </c>
      <c r="AT40" s="94">
        <f t="shared" si="16"/>
        <v>0</v>
      </c>
      <c r="AU40" s="94">
        <f t="shared" si="17"/>
        <v>1.5726963144386104E-2</v>
      </c>
      <c r="AV40" s="94">
        <f t="shared" si="18"/>
        <v>1.5726963144386104E-2</v>
      </c>
    </row>
    <row r="41" spans="1:48" x14ac:dyDescent="0.3">
      <c r="A41" s="85" t="str">
        <f>_xlfn.XLOOKUP(B41,'Country codes &amp; Data sources'!G:G,'Country codes &amp; Data sources'!H:H,,0)</f>
        <v>Benin</v>
      </c>
      <c r="B41" s="85" t="s">
        <v>163</v>
      </c>
      <c r="C41" s="86">
        <v>10014078.499999996</v>
      </c>
      <c r="D41" s="85" t="s">
        <v>61</v>
      </c>
      <c r="E41" s="87">
        <v>0</v>
      </c>
      <c r="F41" s="88">
        <v>10308730.499999994</v>
      </c>
      <c r="G41" s="87">
        <v>0</v>
      </c>
      <c r="I41" s="87">
        <v>0</v>
      </c>
      <c r="K41" s="87">
        <v>0</v>
      </c>
      <c r="M41" s="87">
        <v>0</v>
      </c>
      <c r="O41" s="87">
        <v>0</v>
      </c>
      <c r="P41" s="88">
        <v>11940683.499999996</v>
      </c>
      <c r="Q41" s="87">
        <v>8</v>
      </c>
      <c r="R41" s="87">
        <f t="shared" si="0"/>
        <v>8</v>
      </c>
      <c r="T41" s="87">
        <v>0</v>
      </c>
      <c r="V41" s="87">
        <v>0</v>
      </c>
      <c r="X41" s="87">
        <v>21</v>
      </c>
      <c r="Y41" s="88">
        <v>13352864</v>
      </c>
      <c r="Z41" s="87">
        <v>0</v>
      </c>
      <c r="AA41" s="87">
        <v>0</v>
      </c>
      <c r="AB41" s="89">
        <f t="shared" si="1"/>
        <v>0</v>
      </c>
      <c r="AC41" s="89">
        <f t="shared" si="2"/>
        <v>8</v>
      </c>
      <c r="AD41" s="89">
        <f t="shared" si="3"/>
        <v>21</v>
      </c>
      <c r="AF41" s="90" t="str">
        <f t="shared" si="4"/>
        <v/>
      </c>
      <c r="AG41" s="90">
        <f t="shared" si="5"/>
        <v>8</v>
      </c>
      <c r="AH41" s="90">
        <f t="shared" si="6"/>
        <v>2018</v>
      </c>
      <c r="AI41" s="90">
        <f t="shared" si="7"/>
        <v>21</v>
      </c>
      <c r="AJ41" s="90">
        <f t="shared" si="8"/>
        <v>2021</v>
      </c>
      <c r="AK41" s="90" t="str">
        <f t="shared" si="9"/>
        <v/>
      </c>
      <c r="AL41" s="91">
        <f>IF(AK41="Adjust",(_xlfn.XLOOKUP(A41,'Adj factor'!A:A,'Adj factor'!I:I,,0)*AI41),'Master DataSheet (Rev)'!AI41)</f>
        <v>21</v>
      </c>
      <c r="AM41" s="91">
        <f t="shared" si="10"/>
        <v>21</v>
      </c>
      <c r="AN41" s="92" t="str">
        <f t="shared" si="14"/>
        <v>Increasing</v>
      </c>
      <c r="AO41" s="93">
        <f>VLOOKUP(B41,'Growthrates source'!A$2:H$49,8,FALSE)</f>
        <v>5.0912180313375632E-2</v>
      </c>
      <c r="AP41" s="93">
        <f>VLOOKUP(B41,'Growthrates source'!A$2:I$49,9,FALSE)</f>
        <v>-3.8361793441239245E-2</v>
      </c>
      <c r="AQ41" s="86">
        <f t="shared" si="11"/>
        <v>0</v>
      </c>
      <c r="AR41" s="86">
        <f t="shared" si="12"/>
        <v>0</v>
      </c>
      <c r="AS41" s="94">
        <f t="shared" si="15"/>
        <v>0</v>
      </c>
      <c r="AT41" s="94">
        <f t="shared" si="16"/>
        <v>6.6997839780277256E-3</v>
      </c>
      <c r="AU41" s="94">
        <f t="shared" si="17"/>
        <v>1.5726963144386104E-2</v>
      </c>
      <c r="AV41" s="94">
        <f t="shared" si="18"/>
        <v>1.5726963144386104E-2</v>
      </c>
    </row>
    <row r="42" spans="1:48" s="95" customFormat="1" x14ac:dyDescent="0.3">
      <c r="A42" s="95" t="str">
        <f>_xlfn.XLOOKUP(B42,'Country codes &amp; Data sources'!G:G,'Country codes &amp; Data sources'!H:H,,0)</f>
        <v>Benin</v>
      </c>
      <c r="B42" s="95" t="s">
        <v>163</v>
      </c>
      <c r="C42" s="60">
        <v>10014078.499999996</v>
      </c>
      <c r="D42" s="95" t="s">
        <v>62</v>
      </c>
      <c r="E42" s="96">
        <v>0</v>
      </c>
      <c r="F42" s="97">
        <v>10308730.499999994</v>
      </c>
      <c r="G42" s="96">
        <v>0</v>
      </c>
      <c r="H42" s="96"/>
      <c r="I42" s="96">
        <v>0</v>
      </c>
      <c r="J42" s="96"/>
      <c r="K42" s="96">
        <v>3830</v>
      </c>
      <c r="L42" s="96"/>
      <c r="M42" s="96">
        <v>0</v>
      </c>
      <c r="N42" s="96"/>
      <c r="O42" s="96">
        <v>0</v>
      </c>
      <c r="P42" s="97">
        <v>11940683.499999996</v>
      </c>
      <c r="Q42" s="96">
        <v>429</v>
      </c>
      <c r="R42" s="96">
        <f t="shared" si="0"/>
        <v>619</v>
      </c>
      <c r="S42" s="96"/>
      <c r="T42" s="96">
        <v>0</v>
      </c>
      <c r="U42" s="96"/>
      <c r="V42" s="96">
        <v>0</v>
      </c>
      <c r="W42" s="96"/>
      <c r="X42" s="96">
        <v>1570</v>
      </c>
      <c r="Y42" s="97">
        <v>13352864</v>
      </c>
      <c r="Z42" s="96">
        <v>0</v>
      </c>
      <c r="AA42" s="96">
        <v>619</v>
      </c>
      <c r="AB42" s="98">
        <f t="shared" si="1"/>
        <v>3830</v>
      </c>
      <c r="AC42" s="98">
        <f t="shared" si="2"/>
        <v>429</v>
      </c>
      <c r="AD42" s="98">
        <f t="shared" si="3"/>
        <v>1570</v>
      </c>
      <c r="AE42" s="99">
        <f t="shared" si="13"/>
        <v>3830</v>
      </c>
      <c r="AF42" s="99">
        <f t="shared" si="4"/>
        <v>2015</v>
      </c>
      <c r="AG42" s="99">
        <f t="shared" si="5"/>
        <v>619</v>
      </c>
      <c r="AH42" s="99" t="str">
        <f t="shared" si="6"/>
        <v>2018 (triag)</v>
      </c>
      <c r="AI42" s="99">
        <f t="shared" si="7"/>
        <v>1570</v>
      </c>
      <c r="AJ42" s="99">
        <f t="shared" si="8"/>
        <v>2021</v>
      </c>
      <c r="AK42" s="99" t="str">
        <f t="shared" si="9"/>
        <v/>
      </c>
      <c r="AL42" s="61">
        <f>IF(AK42="Adjust",(_xlfn.XLOOKUP(A42,'Adj factor'!A:A,'Adj factor'!I:I,,0)*AI42),'Master DataSheet (Rev)'!AI42)</f>
        <v>1570</v>
      </c>
      <c r="AM42" s="61">
        <f t="shared" si="10"/>
        <v>1570</v>
      </c>
      <c r="AN42" s="62" t="str">
        <f t="shared" si="14"/>
        <v>Increasing</v>
      </c>
      <c r="AO42" s="100">
        <f>VLOOKUP(B42,'Growthrates source'!A$2:H$49,8,FALSE)</f>
        <v>5.0912180313375632E-2</v>
      </c>
      <c r="AP42" s="100">
        <f>VLOOKUP(B42,'Growthrates source'!A$2:I$49,9,FALSE)</f>
        <v>-3.8361793441239245E-2</v>
      </c>
      <c r="AQ42" s="60">
        <f t="shared" si="11"/>
        <v>479.88398228678244</v>
      </c>
      <c r="AR42" s="60">
        <f t="shared" si="12"/>
        <v>551.70853601394629</v>
      </c>
      <c r="AS42" s="101">
        <f t="shared" si="15"/>
        <v>3.7152974364787226</v>
      </c>
      <c r="AT42" s="102">
        <f t="shared" si="16"/>
        <v>0.51839578529989527</v>
      </c>
      <c r="AU42" s="94">
        <f t="shared" si="17"/>
        <v>1.1757777207945801</v>
      </c>
      <c r="AV42" s="94">
        <f t="shared" si="18"/>
        <v>1.1757777207945801</v>
      </c>
    </row>
    <row r="43" spans="1:48" x14ac:dyDescent="0.3">
      <c r="A43" s="85" t="str">
        <f>_xlfn.XLOOKUP(B43,'Country codes &amp; Data sources'!G:G,'Country codes &amp; Data sources'!H:H,,0)</f>
        <v>Benin</v>
      </c>
      <c r="B43" s="85" t="s">
        <v>163</v>
      </c>
      <c r="C43" s="86">
        <v>10014078.499999996</v>
      </c>
      <c r="D43" s="85" t="s">
        <v>203</v>
      </c>
      <c r="E43" s="87">
        <v>0</v>
      </c>
      <c r="F43" s="88">
        <v>10308730.499999994</v>
      </c>
      <c r="G43" s="87">
        <v>0</v>
      </c>
      <c r="I43" s="87">
        <v>0</v>
      </c>
      <c r="K43" s="87">
        <v>0</v>
      </c>
      <c r="M43" s="87">
        <v>0</v>
      </c>
      <c r="O43" s="87">
        <v>0</v>
      </c>
      <c r="P43" s="88">
        <v>11940683.499999996</v>
      </c>
      <c r="Q43" s="87">
        <v>0</v>
      </c>
      <c r="R43" s="87">
        <f t="shared" si="0"/>
        <v>2623</v>
      </c>
      <c r="T43" s="87">
        <v>0</v>
      </c>
      <c r="V43" s="87">
        <v>0</v>
      </c>
      <c r="X43" s="87">
        <v>6809</v>
      </c>
      <c r="Y43" s="88">
        <v>13352864</v>
      </c>
      <c r="Z43" s="87">
        <v>0</v>
      </c>
      <c r="AA43" s="87">
        <v>2623</v>
      </c>
      <c r="AB43" s="89">
        <f t="shared" si="1"/>
        <v>0</v>
      </c>
      <c r="AC43" s="89">
        <f t="shared" si="2"/>
        <v>0</v>
      </c>
      <c r="AD43" s="89">
        <f t="shared" si="3"/>
        <v>6809</v>
      </c>
      <c r="AF43" s="90" t="str">
        <f t="shared" si="4"/>
        <v/>
      </c>
      <c r="AG43" s="90">
        <f t="shared" si="5"/>
        <v>2623</v>
      </c>
      <c r="AH43" s="90" t="str">
        <f t="shared" si="6"/>
        <v>2018 (triag)</v>
      </c>
      <c r="AI43" s="90">
        <f t="shared" si="7"/>
        <v>6809</v>
      </c>
      <c r="AJ43" s="90">
        <f t="shared" si="8"/>
        <v>2021</v>
      </c>
      <c r="AK43" s="90" t="str">
        <f t="shared" si="9"/>
        <v/>
      </c>
      <c r="AL43" s="91">
        <f>IF(AK43="Adjust",(_xlfn.XLOOKUP(A43,'Adj factor'!A:A,'Adj factor'!I:I,,0)*AI43),'Master DataSheet (Rev)'!AI43)</f>
        <v>6809</v>
      </c>
      <c r="AM43" s="91">
        <f t="shared" si="10"/>
        <v>6809</v>
      </c>
      <c r="AN43" s="92" t="str">
        <f t="shared" si="14"/>
        <v>Increasing</v>
      </c>
      <c r="AO43" s="93">
        <f>VLOOKUP(B43,'Growthrates source'!A$2:H$49,8,FALSE)</f>
        <v>5.0912180313375632E-2</v>
      </c>
      <c r="AP43" s="93">
        <f>VLOOKUP(B43,'Growthrates source'!A$2:I$49,9,FALSE)</f>
        <v>-3.8361793441239245E-2</v>
      </c>
      <c r="AQ43" s="86">
        <f t="shared" si="11"/>
        <v>2033.4986842297742</v>
      </c>
      <c r="AR43" s="86">
        <f t="shared" si="12"/>
        <v>2337.8537802335723</v>
      </c>
      <c r="AS43" s="94">
        <f t="shared" si="15"/>
        <v>0</v>
      </c>
      <c r="AT43" s="94">
        <f t="shared" si="16"/>
        <v>2.1966916717958407</v>
      </c>
      <c r="AU43" s="94">
        <f t="shared" si="17"/>
        <v>5.0992805738154754</v>
      </c>
      <c r="AV43" s="94">
        <f t="shared" si="18"/>
        <v>5.0992805738154754</v>
      </c>
    </row>
    <row r="44" spans="1:48" x14ac:dyDescent="0.3">
      <c r="A44" s="85" t="str">
        <f>_xlfn.XLOOKUP(B44,'Country codes &amp; Data sources'!G:G,'Country codes &amp; Data sources'!H:H,,0)</f>
        <v>Benin</v>
      </c>
      <c r="B44" s="85" t="s">
        <v>163</v>
      </c>
      <c r="C44" s="86">
        <v>10014078.499999996</v>
      </c>
      <c r="D44" s="85" t="s">
        <v>204</v>
      </c>
      <c r="E44" s="87">
        <v>0</v>
      </c>
      <c r="F44" s="88">
        <v>10308730.499999994</v>
      </c>
      <c r="G44" s="87">
        <v>0</v>
      </c>
      <c r="I44" s="87">
        <v>0</v>
      </c>
      <c r="K44" s="87">
        <v>0</v>
      </c>
      <c r="M44" s="87">
        <v>0</v>
      </c>
      <c r="O44" s="87">
        <v>0</v>
      </c>
      <c r="P44" s="88">
        <v>11940683.499999996</v>
      </c>
      <c r="Q44" s="87">
        <v>0</v>
      </c>
      <c r="R44" s="87">
        <f t="shared" si="0"/>
        <v>0</v>
      </c>
      <c r="T44" s="87">
        <v>0</v>
      </c>
      <c r="V44" s="87">
        <v>0</v>
      </c>
      <c r="X44" s="87">
        <v>0</v>
      </c>
      <c r="Y44" s="88">
        <v>13352864</v>
      </c>
      <c r="Z44" s="87">
        <v>0</v>
      </c>
      <c r="AA44" s="87">
        <v>0</v>
      </c>
      <c r="AB44" s="89">
        <f t="shared" si="1"/>
        <v>0</v>
      </c>
      <c r="AC44" s="89">
        <f t="shared" si="2"/>
        <v>0</v>
      </c>
      <c r="AD44" s="89">
        <f t="shared" si="3"/>
        <v>0</v>
      </c>
      <c r="AF44" s="90" t="str">
        <f t="shared" si="4"/>
        <v/>
      </c>
      <c r="AH44" s="90" t="str">
        <f t="shared" si="6"/>
        <v/>
      </c>
      <c r="AI44" s="90">
        <f t="shared" si="7"/>
        <v>0</v>
      </c>
      <c r="AJ44" s="90" t="str">
        <f t="shared" si="8"/>
        <v/>
      </c>
      <c r="AK44" s="90" t="str">
        <f t="shared" si="9"/>
        <v/>
      </c>
      <c r="AL44" s="91"/>
      <c r="AM44" s="91">
        <f t="shared" si="10"/>
        <v>0</v>
      </c>
      <c r="AN44" s="92" t="str">
        <f t="shared" si="14"/>
        <v>No change</v>
      </c>
      <c r="AO44" s="93">
        <f>VLOOKUP(B44,'Growthrates source'!A$2:H$49,8,FALSE)</f>
        <v>5.0912180313375632E-2</v>
      </c>
      <c r="AP44" s="93">
        <f>VLOOKUP(B44,'Growthrates source'!A$2:I$49,9,FALSE)</f>
        <v>-3.8361793441239245E-2</v>
      </c>
      <c r="AQ44" s="86">
        <f t="shared" si="11"/>
        <v>0</v>
      </c>
      <c r="AR44" s="86">
        <f t="shared" si="12"/>
        <v>0</v>
      </c>
      <c r="AS44" s="94">
        <f t="shared" si="15"/>
        <v>0</v>
      </c>
      <c r="AT44" s="94">
        <f t="shared" si="16"/>
        <v>0</v>
      </c>
      <c r="AU44" s="94">
        <f t="shared" si="17"/>
        <v>0</v>
      </c>
      <c r="AV44" s="94">
        <f t="shared" si="18"/>
        <v>0</v>
      </c>
    </row>
    <row r="45" spans="1:48" x14ac:dyDescent="0.3">
      <c r="A45" s="85" t="str">
        <f>_xlfn.XLOOKUP(B45,'Country codes &amp; Data sources'!G:G,'Country codes &amp; Data sources'!H:H,,0)</f>
        <v>Benin</v>
      </c>
      <c r="B45" s="85" t="s">
        <v>163</v>
      </c>
      <c r="C45" s="86">
        <v>10014078.499999996</v>
      </c>
      <c r="D45" s="85" t="s">
        <v>205</v>
      </c>
      <c r="E45" s="87">
        <v>0</v>
      </c>
      <c r="F45" s="88">
        <v>10308730.499999994</v>
      </c>
      <c r="G45" s="87">
        <v>0</v>
      </c>
      <c r="I45" s="87">
        <v>0</v>
      </c>
      <c r="K45" s="87">
        <v>0</v>
      </c>
      <c r="M45" s="87">
        <v>0</v>
      </c>
      <c r="O45" s="87">
        <v>15</v>
      </c>
      <c r="P45" s="88">
        <v>11940683.499999996</v>
      </c>
      <c r="Q45" s="87">
        <v>0</v>
      </c>
      <c r="R45" s="87">
        <f t="shared" si="0"/>
        <v>0</v>
      </c>
      <c r="T45" s="87">
        <v>0</v>
      </c>
      <c r="V45" s="87">
        <v>0</v>
      </c>
      <c r="X45" s="87">
        <v>0</v>
      </c>
      <c r="Y45" s="88">
        <v>13352864</v>
      </c>
      <c r="Z45" s="87">
        <v>0</v>
      </c>
      <c r="AA45" s="87">
        <v>0</v>
      </c>
      <c r="AB45" s="89">
        <f t="shared" si="1"/>
        <v>0</v>
      </c>
      <c r="AC45" s="89">
        <f t="shared" si="2"/>
        <v>15</v>
      </c>
      <c r="AD45" s="89">
        <f t="shared" si="3"/>
        <v>0</v>
      </c>
      <c r="AF45" s="90" t="str">
        <f t="shared" si="4"/>
        <v/>
      </c>
      <c r="AG45" s="90">
        <f t="shared" si="5"/>
        <v>15</v>
      </c>
      <c r="AH45" s="90">
        <f t="shared" si="6"/>
        <v>2017</v>
      </c>
      <c r="AI45" s="90">
        <f t="shared" si="7"/>
        <v>15</v>
      </c>
      <c r="AJ45" s="90">
        <f t="shared" si="8"/>
        <v>2017</v>
      </c>
      <c r="AK45" s="90" t="str">
        <f t="shared" si="9"/>
        <v/>
      </c>
      <c r="AL45" s="91">
        <f>IF(AK45="Adjust",(_xlfn.XLOOKUP(A45,'Adj factor'!A:A,'Adj factor'!I:I,,0)*AI45),'Master DataSheet (Rev)'!AI45)</f>
        <v>15</v>
      </c>
      <c r="AM45" s="91">
        <f t="shared" si="10"/>
        <v>15</v>
      </c>
      <c r="AN45" s="92" t="str">
        <f t="shared" si="14"/>
        <v>No change</v>
      </c>
      <c r="AO45" s="93">
        <f>VLOOKUP(B45,'Growthrates source'!A$2:H$49,8,FALSE)</f>
        <v>5.0912180313375632E-2</v>
      </c>
      <c r="AP45" s="93">
        <f>VLOOKUP(B45,'Growthrates source'!A$2:I$49,9,FALSE)</f>
        <v>-3.8361793441239245E-2</v>
      </c>
      <c r="AQ45" s="86">
        <f t="shared" si="11"/>
        <v>0</v>
      </c>
      <c r="AR45" s="86">
        <f t="shared" si="12"/>
        <v>0</v>
      </c>
      <c r="AS45" s="94">
        <f t="shared" si="15"/>
        <v>0</v>
      </c>
      <c r="AT45" s="94">
        <f t="shared" si="16"/>
        <v>1.2562094958801985E-2</v>
      </c>
      <c r="AU45" s="94">
        <f t="shared" si="17"/>
        <v>1.123354510313293E-2</v>
      </c>
      <c r="AV45" s="94">
        <f t="shared" si="18"/>
        <v>1.123354510313293E-2</v>
      </c>
    </row>
    <row r="46" spans="1:48" x14ac:dyDescent="0.3">
      <c r="A46" s="85" t="str">
        <f>_xlfn.XLOOKUP(B46,'Country codes &amp; Data sources'!G:G,'Country codes &amp; Data sources'!H:H,,0)</f>
        <v>Benin</v>
      </c>
      <c r="B46" s="85" t="s">
        <v>163</v>
      </c>
      <c r="C46" s="86">
        <v>10014078.499999996</v>
      </c>
      <c r="D46" s="85" t="s">
        <v>133</v>
      </c>
      <c r="E46" s="87">
        <v>0</v>
      </c>
      <c r="F46" s="88">
        <v>10308730.499999994</v>
      </c>
      <c r="G46" s="87">
        <v>0</v>
      </c>
      <c r="I46" s="87">
        <v>0</v>
      </c>
      <c r="K46" s="87">
        <v>0</v>
      </c>
      <c r="M46" s="87">
        <v>0</v>
      </c>
      <c r="O46" s="87">
        <v>0</v>
      </c>
      <c r="P46" s="88">
        <v>11940683.499999996</v>
      </c>
      <c r="Q46" s="87">
        <v>668</v>
      </c>
      <c r="R46" s="87">
        <f t="shared" si="0"/>
        <v>668</v>
      </c>
      <c r="T46" s="87">
        <v>0</v>
      </c>
      <c r="V46" s="87">
        <v>0</v>
      </c>
      <c r="X46" s="87">
        <v>0</v>
      </c>
      <c r="Y46" s="88">
        <v>13352864</v>
      </c>
      <c r="Z46" s="87">
        <v>0</v>
      </c>
      <c r="AA46" s="87">
        <v>0</v>
      </c>
      <c r="AB46" s="89">
        <f t="shared" si="1"/>
        <v>0</v>
      </c>
      <c r="AC46" s="89">
        <f t="shared" si="2"/>
        <v>668</v>
      </c>
      <c r="AD46" s="89">
        <f t="shared" si="3"/>
        <v>0</v>
      </c>
      <c r="AF46" s="90" t="str">
        <f t="shared" si="4"/>
        <v/>
      </c>
      <c r="AG46" s="90">
        <f t="shared" si="5"/>
        <v>668</v>
      </c>
      <c r="AH46" s="90">
        <f t="shared" si="6"/>
        <v>2018</v>
      </c>
      <c r="AI46" s="90">
        <f t="shared" si="7"/>
        <v>668</v>
      </c>
      <c r="AJ46" s="90">
        <f t="shared" si="8"/>
        <v>2018</v>
      </c>
      <c r="AK46" s="90" t="str">
        <f t="shared" si="9"/>
        <v/>
      </c>
      <c r="AL46" s="91">
        <f>IF(AK46="Adjust",(_xlfn.XLOOKUP(A46,'Adj factor'!A:A,'Adj factor'!I:I,,0)*AI46),'Master DataSheet (Rev)'!AI46)</f>
        <v>668</v>
      </c>
      <c r="AM46" s="91">
        <f t="shared" si="10"/>
        <v>668</v>
      </c>
      <c r="AN46" s="92" t="str">
        <f t="shared" si="14"/>
        <v>No change</v>
      </c>
      <c r="AO46" s="93">
        <f>VLOOKUP(B46,'Growthrates source'!A$2:H$49,8,FALSE)</f>
        <v>5.0912180313375632E-2</v>
      </c>
      <c r="AP46" s="93">
        <f>VLOOKUP(B46,'Growthrates source'!A$2:I$49,9,FALSE)</f>
        <v>-3.8361793441239245E-2</v>
      </c>
      <c r="AQ46" s="86">
        <f t="shared" si="11"/>
        <v>0</v>
      </c>
      <c r="AR46" s="86">
        <f t="shared" si="12"/>
        <v>0</v>
      </c>
      <c r="AS46" s="94">
        <f t="shared" si="15"/>
        <v>0</v>
      </c>
      <c r="AT46" s="94">
        <f t="shared" si="16"/>
        <v>0.5594319621653151</v>
      </c>
      <c r="AU46" s="94">
        <f t="shared" si="17"/>
        <v>0.50026720859285323</v>
      </c>
      <c r="AV46" s="94">
        <f t="shared" si="18"/>
        <v>0.50026720859285323</v>
      </c>
    </row>
    <row r="47" spans="1:48" x14ac:dyDescent="0.3">
      <c r="A47" s="85" t="str">
        <f>_xlfn.XLOOKUP(B47,'Country codes &amp; Data sources'!G:G,'Country codes &amp; Data sources'!H:H,,0)</f>
        <v>Benin</v>
      </c>
      <c r="B47" s="85" t="s">
        <v>163</v>
      </c>
      <c r="C47" s="86">
        <v>10014078.499999996</v>
      </c>
      <c r="D47" s="85" t="s">
        <v>206</v>
      </c>
      <c r="E47" s="87">
        <v>0</v>
      </c>
      <c r="F47" s="88">
        <v>10308730.499999994</v>
      </c>
      <c r="G47" s="87">
        <v>0</v>
      </c>
      <c r="I47" s="87">
        <v>0</v>
      </c>
      <c r="K47" s="87">
        <v>0</v>
      </c>
      <c r="M47" s="87">
        <v>0</v>
      </c>
      <c r="O47" s="87">
        <v>0</v>
      </c>
      <c r="P47" s="88">
        <v>11940683.499999996</v>
      </c>
      <c r="Q47" s="87">
        <v>0</v>
      </c>
      <c r="R47" s="87">
        <f t="shared" si="0"/>
        <v>0</v>
      </c>
      <c r="T47" s="87">
        <v>0</v>
      </c>
      <c r="V47" s="87">
        <v>0</v>
      </c>
      <c r="X47" s="87">
        <v>0</v>
      </c>
      <c r="Y47" s="88">
        <v>13352864</v>
      </c>
      <c r="Z47" s="87">
        <v>0</v>
      </c>
      <c r="AA47" s="87">
        <v>0</v>
      </c>
      <c r="AB47" s="89">
        <f t="shared" si="1"/>
        <v>0</v>
      </c>
      <c r="AC47" s="89">
        <f t="shared" si="2"/>
        <v>0</v>
      </c>
      <c r="AD47" s="89">
        <f t="shared" si="3"/>
        <v>0</v>
      </c>
      <c r="AF47" s="90" t="str">
        <f t="shared" si="4"/>
        <v/>
      </c>
      <c r="AH47" s="90" t="str">
        <f t="shared" si="6"/>
        <v/>
      </c>
      <c r="AI47" s="90">
        <f t="shared" si="7"/>
        <v>0</v>
      </c>
      <c r="AJ47" s="90" t="str">
        <f t="shared" si="8"/>
        <v/>
      </c>
      <c r="AK47" s="90" t="str">
        <f t="shared" si="9"/>
        <v/>
      </c>
      <c r="AL47" s="91"/>
      <c r="AM47" s="91">
        <f t="shared" si="10"/>
        <v>0</v>
      </c>
      <c r="AN47" s="92" t="str">
        <f t="shared" si="14"/>
        <v>No change</v>
      </c>
      <c r="AO47" s="93">
        <f>VLOOKUP(B47,'Growthrates source'!A$2:H$49,8,FALSE)</f>
        <v>5.0912180313375632E-2</v>
      </c>
      <c r="AP47" s="93">
        <f>VLOOKUP(B47,'Growthrates source'!A$2:I$49,9,FALSE)</f>
        <v>-3.8361793441239245E-2</v>
      </c>
      <c r="AQ47" s="86">
        <f t="shared" si="11"/>
        <v>0</v>
      </c>
      <c r="AR47" s="86">
        <f t="shared" si="12"/>
        <v>0</v>
      </c>
      <c r="AS47" s="94">
        <f t="shared" si="15"/>
        <v>0</v>
      </c>
      <c r="AT47" s="94">
        <f t="shared" si="16"/>
        <v>0</v>
      </c>
      <c r="AU47" s="94">
        <f t="shared" si="17"/>
        <v>0</v>
      </c>
      <c r="AV47" s="94">
        <f t="shared" si="18"/>
        <v>0</v>
      </c>
    </row>
    <row r="48" spans="1:48" x14ac:dyDescent="0.3">
      <c r="A48" s="85" t="str">
        <f>_xlfn.XLOOKUP(B48,'Country codes &amp; Data sources'!G:G,'Country codes &amp; Data sources'!H:H,,0)</f>
        <v>Benin</v>
      </c>
      <c r="B48" s="85" t="s">
        <v>163</v>
      </c>
      <c r="C48" s="86">
        <v>10014078.499999996</v>
      </c>
      <c r="D48" s="85" t="s">
        <v>136</v>
      </c>
      <c r="E48" s="87">
        <v>241</v>
      </c>
      <c r="F48" s="88">
        <v>10308730.499999994</v>
      </c>
      <c r="G48" s="87">
        <v>206</v>
      </c>
      <c r="I48" s="87">
        <v>0</v>
      </c>
      <c r="K48" s="87">
        <v>0</v>
      </c>
      <c r="M48" s="87">
        <v>234</v>
      </c>
      <c r="O48" s="87">
        <v>0</v>
      </c>
      <c r="P48" s="88">
        <v>11940683.499999996</v>
      </c>
      <c r="Q48" s="87">
        <v>137</v>
      </c>
      <c r="R48" s="87">
        <f t="shared" si="0"/>
        <v>137</v>
      </c>
      <c r="T48" s="87">
        <v>92</v>
      </c>
      <c r="V48" s="87">
        <v>0</v>
      </c>
      <c r="X48" s="87">
        <v>352</v>
      </c>
      <c r="Y48" s="88">
        <v>13352864</v>
      </c>
      <c r="Z48" s="87">
        <v>0</v>
      </c>
      <c r="AA48" s="87">
        <v>54</v>
      </c>
      <c r="AB48" s="89">
        <f t="shared" si="1"/>
        <v>241</v>
      </c>
      <c r="AC48" s="89">
        <f t="shared" si="2"/>
        <v>234</v>
      </c>
      <c r="AD48" s="89">
        <f t="shared" si="3"/>
        <v>352</v>
      </c>
      <c r="AE48" s="90">
        <f t="shared" si="13"/>
        <v>206</v>
      </c>
      <c r="AF48" s="90">
        <f t="shared" si="4"/>
        <v>2013</v>
      </c>
      <c r="AG48" s="90">
        <f t="shared" si="5"/>
        <v>137</v>
      </c>
      <c r="AH48" s="90">
        <f t="shared" si="6"/>
        <v>2018</v>
      </c>
      <c r="AI48" s="90">
        <f t="shared" si="7"/>
        <v>352</v>
      </c>
      <c r="AJ48" s="90">
        <f t="shared" si="8"/>
        <v>2021</v>
      </c>
      <c r="AK48" s="90" t="str">
        <f t="shared" si="9"/>
        <v/>
      </c>
      <c r="AL48" s="91">
        <f>IF(AK48="Adjust",(_xlfn.XLOOKUP(A48,'Adj factor'!A:A,'Adj factor'!I:I,,0)*AI48),'Master DataSheet (Rev)'!AI48)</f>
        <v>352</v>
      </c>
      <c r="AM48" s="91">
        <f t="shared" si="10"/>
        <v>352</v>
      </c>
      <c r="AN48" s="92" t="str">
        <f t="shared" si="14"/>
        <v>Increasing</v>
      </c>
      <c r="AO48" s="93">
        <f>VLOOKUP(B48,'Growthrates source'!A$2:H$49,8,FALSE)</f>
        <v>5.0912180313375632E-2</v>
      </c>
      <c r="AP48" s="93">
        <f>VLOOKUP(B48,'Growthrates source'!A$2:I$49,9,FALSE)</f>
        <v>-3.8361793441239245E-2</v>
      </c>
      <c r="AQ48" s="86">
        <f t="shared" si="11"/>
        <v>41.863869214032718</v>
      </c>
      <c r="AR48" s="86">
        <f t="shared" si="12"/>
        <v>48.129662269391119</v>
      </c>
      <c r="AS48" s="94">
        <f t="shared" si="15"/>
        <v>0.19983061929885557</v>
      </c>
      <c r="AT48" s="94">
        <f t="shared" si="16"/>
        <v>0.1147338006237248</v>
      </c>
      <c r="AU48" s="94">
        <f t="shared" si="17"/>
        <v>0.26361385842018609</v>
      </c>
      <c r="AV48" s="94">
        <f t="shared" si="18"/>
        <v>0.26361385842018609</v>
      </c>
    </row>
    <row r="49" spans="1:48" x14ac:dyDescent="0.3">
      <c r="A49" s="85" t="str">
        <f>_xlfn.XLOOKUP(B49,'Country codes &amp; Data sources'!G:G,'Country codes &amp; Data sources'!H:H,,0)</f>
        <v>Benin</v>
      </c>
      <c r="B49" s="85" t="s">
        <v>163</v>
      </c>
      <c r="C49" s="86">
        <v>10014078.499999996</v>
      </c>
      <c r="D49" s="85" t="s">
        <v>207</v>
      </c>
      <c r="E49" s="87">
        <v>0</v>
      </c>
      <c r="F49" s="88">
        <v>10308730.499999994</v>
      </c>
      <c r="G49" s="87">
        <v>0</v>
      </c>
      <c r="I49" s="87">
        <v>0</v>
      </c>
      <c r="K49" s="87">
        <v>0</v>
      </c>
      <c r="M49" s="87">
        <v>0</v>
      </c>
      <c r="O49" s="87">
        <v>0</v>
      </c>
      <c r="P49" s="88">
        <v>11940683.499999996</v>
      </c>
      <c r="Q49" s="87">
        <v>0</v>
      </c>
      <c r="R49" s="87">
        <f t="shared" si="0"/>
        <v>0</v>
      </c>
      <c r="T49" s="87">
        <v>0</v>
      </c>
      <c r="V49" s="87">
        <v>0</v>
      </c>
      <c r="X49" s="87">
        <v>0</v>
      </c>
      <c r="Y49" s="88">
        <v>13352864</v>
      </c>
      <c r="Z49" s="87">
        <v>0</v>
      </c>
      <c r="AA49" s="87">
        <v>0</v>
      </c>
      <c r="AB49" s="89">
        <f t="shared" si="1"/>
        <v>0</v>
      </c>
      <c r="AC49" s="89">
        <f t="shared" si="2"/>
        <v>0</v>
      </c>
      <c r="AD49" s="89">
        <f t="shared" si="3"/>
        <v>0</v>
      </c>
      <c r="AF49" s="90" t="str">
        <f t="shared" si="4"/>
        <v/>
      </c>
      <c r="AH49" s="90" t="str">
        <f t="shared" si="6"/>
        <v/>
      </c>
      <c r="AI49" s="90">
        <f t="shared" si="7"/>
        <v>0</v>
      </c>
      <c r="AJ49" s="90" t="str">
        <f t="shared" si="8"/>
        <v/>
      </c>
      <c r="AK49" s="90" t="str">
        <f t="shared" si="9"/>
        <v/>
      </c>
      <c r="AL49" s="91"/>
      <c r="AM49" s="91">
        <f t="shared" si="10"/>
        <v>0</v>
      </c>
      <c r="AN49" s="92" t="str">
        <f t="shared" si="14"/>
        <v>No change</v>
      </c>
      <c r="AO49" s="93">
        <f>VLOOKUP(B49,'Growthrates source'!A$2:H$49,8,FALSE)</f>
        <v>5.0912180313375632E-2</v>
      </c>
      <c r="AP49" s="93">
        <f>VLOOKUP(B49,'Growthrates source'!A$2:I$49,9,FALSE)</f>
        <v>-3.8361793441239245E-2</v>
      </c>
      <c r="AQ49" s="86">
        <f t="shared" si="11"/>
        <v>0</v>
      </c>
      <c r="AR49" s="86">
        <f t="shared" si="12"/>
        <v>0</v>
      </c>
      <c r="AS49" s="94">
        <f t="shared" si="15"/>
        <v>0</v>
      </c>
      <c r="AT49" s="94">
        <f t="shared" si="16"/>
        <v>0</v>
      </c>
      <c r="AU49" s="94">
        <f t="shared" si="17"/>
        <v>0</v>
      </c>
      <c r="AV49" s="94">
        <f t="shared" si="18"/>
        <v>0</v>
      </c>
    </row>
    <row r="50" spans="1:48" x14ac:dyDescent="0.3">
      <c r="A50" s="85" t="str">
        <f>_xlfn.XLOOKUP(B50,'Country codes &amp; Data sources'!G:G,'Country codes &amp; Data sources'!H:H,,0)</f>
        <v>Benin</v>
      </c>
      <c r="B50" s="85" t="s">
        <v>163</v>
      </c>
      <c r="C50" s="86">
        <v>10014078.499999996</v>
      </c>
      <c r="D50" s="85" t="s">
        <v>141</v>
      </c>
      <c r="E50" s="87">
        <v>0</v>
      </c>
      <c r="F50" s="88">
        <v>10308730.499999994</v>
      </c>
      <c r="G50" s="87">
        <v>0</v>
      </c>
      <c r="I50" s="87">
        <v>0</v>
      </c>
      <c r="K50" s="87">
        <v>0</v>
      </c>
      <c r="M50" s="87">
        <v>0</v>
      </c>
      <c r="O50" s="87">
        <v>0</v>
      </c>
      <c r="P50" s="88">
        <v>11940683.499999996</v>
      </c>
      <c r="Q50" s="87">
        <v>0</v>
      </c>
      <c r="R50" s="87">
        <f t="shared" si="0"/>
        <v>0</v>
      </c>
      <c r="T50" s="87">
        <v>0</v>
      </c>
      <c r="V50" s="87">
        <v>0</v>
      </c>
      <c r="X50" s="87">
        <v>0</v>
      </c>
      <c r="Y50" s="88">
        <v>13352864</v>
      </c>
      <c r="Z50" s="87">
        <v>0</v>
      </c>
      <c r="AA50" s="87">
        <v>0</v>
      </c>
      <c r="AB50" s="89">
        <f t="shared" si="1"/>
        <v>0</v>
      </c>
      <c r="AC50" s="89">
        <f t="shared" si="2"/>
        <v>0</v>
      </c>
      <c r="AD50" s="89">
        <f t="shared" si="3"/>
        <v>0</v>
      </c>
      <c r="AF50" s="90" t="str">
        <f t="shared" si="4"/>
        <v/>
      </c>
      <c r="AH50" s="90" t="str">
        <f t="shared" si="6"/>
        <v/>
      </c>
      <c r="AI50" s="90">
        <f t="shared" si="7"/>
        <v>0</v>
      </c>
      <c r="AJ50" s="90" t="str">
        <f t="shared" si="8"/>
        <v/>
      </c>
      <c r="AK50" s="90" t="str">
        <f t="shared" si="9"/>
        <v/>
      </c>
      <c r="AL50" s="91"/>
      <c r="AM50" s="91">
        <f t="shared" si="10"/>
        <v>0</v>
      </c>
      <c r="AN50" s="92" t="str">
        <f t="shared" si="14"/>
        <v>No change</v>
      </c>
      <c r="AO50" s="93">
        <f>VLOOKUP(B50,'Growthrates source'!A$2:H$49,8,FALSE)</f>
        <v>5.0912180313375632E-2</v>
      </c>
      <c r="AP50" s="93">
        <f>VLOOKUP(B50,'Growthrates source'!A$2:I$49,9,FALSE)</f>
        <v>-3.8361793441239245E-2</v>
      </c>
      <c r="AQ50" s="86">
        <f t="shared" si="11"/>
        <v>0</v>
      </c>
      <c r="AR50" s="86">
        <f t="shared" si="12"/>
        <v>0</v>
      </c>
      <c r="AS50" s="94">
        <f t="shared" si="15"/>
        <v>0</v>
      </c>
      <c r="AT50" s="94">
        <f t="shared" si="16"/>
        <v>0</v>
      </c>
      <c r="AU50" s="94">
        <f t="shared" si="17"/>
        <v>0</v>
      </c>
      <c r="AV50" s="94">
        <f t="shared" si="18"/>
        <v>0</v>
      </c>
    </row>
    <row r="51" spans="1:48" x14ac:dyDescent="0.3">
      <c r="A51" s="85" t="str">
        <f>_xlfn.XLOOKUP(B51,'Country codes &amp; Data sources'!G:G,'Country codes &amp; Data sources'!H:H,,0)</f>
        <v>Benin</v>
      </c>
      <c r="B51" s="85" t="s">
        <v>163</v>
      </c>
      <c r="C51" s="86">
        <v>10014078.499999996</v>
      </c>
      <c r="D51" s="85" t="s">
        <v>208</v>
      </c>
      <c r="E51" s="87">
        <v>0</v>
      </c>
      <c r="F51" s="88">
        <v>10308730.499999994</v>
      </c>
      <c r="G51" s="87">
        <v>0</v>
      </c>
      <c r="I51" s="87">
        <v>0</v>
      </c>
      <c r="K51" s="87">
        <v>0</v>
      </c>
      <c r="M51" s="87">
        <v>0</v>
      </c>
      <c r="O51" s="87">
        <v>0</v>
      </c>
      <c r="P51" s="88">
        <v>11940683.499999996</v>
      </c>
      <c r="Q51" s="87">
        <v>0</v>
      </c>
      <c r="R51" s="87">
        <f t="shared" si="0"/>
        <v>156</v>
      </c>
      <c r="T51" s="87">
        <v>0</v>
      </c>
      <c r="V51" s="87">
        <v>0</v>
      </c>
      <c r="X51" s="87">
        <v>0</v>
      </c>
      <c r="Y51" s="88">
        <v>13352864</v>
      </c>
      <c r="Z51" s="87">
        <v>0</v>
      </c>
      <c r="AA51" s="87">
        <v>156</v>
      </c>
      <c r="AB51" s="89">
        <f t="shared" si="1"/>
        <v>0</v>
      </c>
      <c r="AC51" s="89">
        <f t="shared" si="2"/>
        <v>0</v>
      </c>
      <c r="AD51" s="89">
        <f t="shared" si="3"/>
        <v>0</v>
      </c>
      <c r="AF51" s="90" t="str">
        <f t="shared" si="4"/>
        <v/>
      </c>
      <c r="AG51" s="90">
        <f t="shared" si="5"/>
        <v>156</v>
      </c>
      <c r="AH51" s="90" t="str">
        <f t="shared" si="6"/>
        <v>2018 (triag)</v>
      </c>
      <c r="AI51" s="90">
        <f t="shared" si="7"/>
        <v>156</v>
      </c>
      <c r="AJ51" s="90" t="str">
        <f t="shared" si="8"/>
        <v>2018 (triag)</v>
      </c>
      <c r="AK51" s="90" t="str">
        <f t="shared" si="9"/>
        <v/>
      </c>
      <c r="AL51" s="91">
        <f>IF(AK51="Adjust",(_xlfn.XLOOKUP(A51,'Adj factor'!A:A,'Adj factor'!I:I,,0)*AI51),'Master DataSheet (Rev)'!AI51)</f>
        <v>156</v>
      </c>
      <c r="AM51" s="91">
        <f t="shared" si="10"/>
        <v>156</v>
      </c>
      <c r="AN51" s="92" t="str">
        <f t="shared" si="14"/>
        <v>No change</v>
      </c>
      <c r="AO51" s="93">
        <f>VLOOKUP(B51,'Growthrates source'!A$2:H$49,8,FALSE)</f>
        <v>5.0912180313375632E-2</v>
      </c>
      <c r="AP51" s="93">
        <f>VLOOKUP(B51,'Growthrates source'!A$2:I$49,9,FALSE)</f>
        <v>-3.8361793441239245E-2</v>
      </c>
      <c r="AQ51" s="86">
        <f t="shared" si="11"/>
        <v>120.94006661831673</v>
      </c>
      <c r="AR51" s="86">
        <f t="shared" si="12"/>
        <v>139.04124655601879</v>
      </c>
      <c r="AS51" s="94">
        <f t="shared" si="15"/>
        <v>0</v>
      </c>
      <c r="AT51" s="94">
        <f t="shared" si="16"/>
        <v>0.13064578757154066</v>
      </c>
      <c r="AU51" s="94">
        <f t="shared" si="17"/>
        <v>0.11682886907258248</v>
      </c>
      <c r="AV51" s="94">
        <f t="shared" si="18"/>
        <v>0.11682886907258248</v>
      </c>
    </row>
    <row r="52" spans="1:48" x14ac:dyDescent="0.3">
      <c r="A52" s="85" t="str">
        <f>_xlfn.XLOOKUP(B52,'Country codes &amp; Data sources'!G:G,'Country codes &amp; Data sources'!H:H,,0)</f>
        <v>Benin</v>
      </c>
      <c r="B52" s="85" t="s">
        <v>163</v>
      </c>
      <c r="C52" s="86">
        <v>10014078.499999996</v>
      </c>
      <c r="D52" s="85" t="s">
        <v>209</v>
      </c>
      <c r="E52" s="87">
        <v>0</v>
      </c>
      <c r="F52" s="88">
        <v>10308730.499999994</v>
      </c>
      <c r="G52" s="87">
        <v>0</v>
      </c>
      <c r="I52" s="87">
        <v>0</v>
      </c>
      <c r="K52" s="87">
        <v>0</v>
      </c>
      <c r="M52" s="87">
        <v>0</v>
      </c>
      <c r="O52" s="87">
        <v>0</v>
      </c>
      <c r="P52" s="88">
        <v>11940683.499999996</v>
      </c>
      <c r="Q52" s="87">
        <v>0</v>
      </c>
      <c r="R52" s="87">
        <f t="shared" ref="R52:R100" si="19">MAX(Q52,AA52)</f>
        <v>1994</v>
      </c>
      <c r="T52" s="87">
        <v>0</v>
      </c>
      <c r="V52" s="87">
        <v>0</v>
      </c>
      <c r="X52" s="87">
        <v>0</v>
      </c>
      <c r="Y52" s="88">
        <v>13352864</v>
      </c>
      <c r="Z52" s="87">
        <v>0</v>
      </c>
      <c r="AA52" s="87">
        <v>1994</v>
      </c>
      <c r="AB52" s="89">
        <f t="shared" ref="AB52:AB100" si="20">MAX(G52,E52,I52,K52)</f>
        <v>0</v>
      </c>
      <c r="AC52" s="89">
        <f t="shared" ref="AC52:AC100" si="21">MAX(M52,O52,Q52,T52)</f>
        <v>0</v>
      </c>
      <c r="AD52" s="89">
        <f t="shared" ref="AD52:AD100" si="22">MAX(V52,X52,Z52)</f>
        <v>0</v>
      </c>
      <c r="AF52" s="90" t="str">
        <f t="shared" ref="AF52:AF100" si="23">IF(AE52&gt;0,_xlfn.XLOOKUP(AE52,$B52:$K52,$B$1:$K$1,,0),"")</f>
        <v/>
      </c>
      <c r="AG52" s="90">
        <f t="shared" ref="AG52:AG100" si="24">IF(R52&gt;0,R52,IF(O52&gt;0,O52,T52))</f>
        <v>1994</v>
      </c>
      <c r="AH52" s="90" t="str">
        <f t="shared" ref="AH52:AH100" si="25">IF(AG52&gt;0,_xlfn.XLOOKUP(AG52,$L52:$T52,$L$1:$T$1,,0),"")</f>
        <v>2018 (triag)</v>
      </c>
      <c r="AI52" s="90">
        <f t="shared" ref="AI52:AI100" si="26">IF((IF(Z52&gt;0,Z52,IF(X52&gt;0,X52,IF(V52&gt;0,V52,T52))))=0,AG52,IF(Z52&gt;0,Z52,IF(X52&gt;0,X52,IF(V52&gt;0,V52,T52))))</f>
        <v>1994</v>
      </c>
      <c r="AJ52" s="90" t="str">
        <f t="shared" ref="AJ52:AJ100" si="27">IFERROR(IF(AI52&gt;0,_xlfn.XLOOKUP(AI52,$V52:$Z52,$V$1:$Z$1,,0),""),AH52)</f>
        <v>2018 (triag)</v>
      </c>
      <c r="AK52" s="90" t="str">
        <f t="shared" ref="AK52:AK100" si="28">IF(AI52&lt;AG52,"Adjust","")</f>
        <v/>
      </c>
      <c r="AL52" s="91">
        <f>IF(AK52="Adjust",(_xlfn.XLOOKUP(A52,'Adj factor'!A:A,'Adj factor'!I:I,,0)*AI52),'Master DataSheet (Rev)'!AI52)</f>
        <v>1994</v>
      </c>
      <c r="AM52" s="91">
        <f t="shared" ref="AM52:AM100" si="29">IF(AL52&lt;AG52,AG52,AL52)</f>
        <v>1994</v>
      </c>
      <c r="AN52" s="92" t="str">
        <f t="shared" ref="AN52:AN100" si="30">IF(AL52&gt;AG52,"Increasing",IF(AL52&lt;AG52,"Decreasing","No change"))</f>
        <v>No change</v>
      </c>
      <c r="AO52" s="93">
        <f>VLOOKUP(B52,'Growthrates source'!A$2:H$49,8,FALSE)</f>
        <v>5.0912180313375632E-2</v>
      </c>
      <c r="AP52" s="93">
        <f>VLOOKUP(B52,'Growthrates source'!A$2:I$49,9,FALSE)</f>
        <v>-3.8361793441239245E-2</v>
      </c>
      <c r="AQ52" s="86">
        <f t="shared" ref="AQ52:AQ100" si="31">AA52/(EXP(AO52*5))</f>
        <v>1545.8621335700229</v>
      </c>
      <c r="AR52" s="86">
        <f t="shared" ref="AR52:AR100" si="32">AA52*EXP(AP52*3)</f>
        <v>1777.2323437993684</v>
      </c>
      <c r="AS52" s="94">
        <f t="shared" ref="AS52:AS100" si="33">(AE52*10000)/F52</f>
        <v>0</v>
      </c>
      <c r="AT52" s="94">
        <f t="shared" ref="AT52:AT100" si="34">(AG52*10000)/P52</f>
        <v>1.6699211565234107</v>
      </c>
      <c r="AU52" s="94">
        <f t="shared" si="17"/>
        <v>1.4933125957098043</v>
      </c>
      <c r="AV52" s="94">
        <f t="shared" si="18"/>
        <v>1.4933125957098043</v>
      </c>
    </row>
    <row r="53" spans="1:48" x14ac:dyDescent="0.3">
      <c r="A53" s="85" t="str">
        <f>_xlfn.XLOOKUP(B53,'Country codes &amp; Data sources'!G:G,'Country codes &amp; Data sources'!H:H,,0)</f>
        <v>Benin</v>
      </c>
      <c r="B53" s="85" t="s">
        <v>163</v>
      </c>
      <c r="C53" s="86">
        <v>10014078.499999996</v>
      </c>
      <c r="D53" s="85" t="s">
        <v>134</v>
      </c>
      <c r="E53" s="87">
        <v>845</v>
      </c>
      <c r="F53" s="88">
        <v>10308730.499999994</v>
      </c>
      <c r="G53" s="87">
        <v>830</v>
      </c>
      <c r="I53" s="87">
        <v>0</v>
      </c>
      <c r="K53" s="87">
        <v>0</v>
      </c>
      <c r="M53" s="87">
        <v>1166</v>
      </c>
      <c r="O53" s="87">
        <v>0</v>
      </c>
      <c r="P53" s="88">
        <v>11940683.499999996</v>
      </c>
      <c r="Q53" s="87">
        <v>0</v>
      </c>
      <c r="R53" s="87">
        <f t="shared" si="19"/>
        <v>241</v>
      </c>
      <c r="T53" s="87">
        <v>0</v>
      </c>
      <c r="V53" s="87">
        <v>0</v>
      </c>
      <c r="X53" s="87">
        <v>1744</v>
      </c>
      <c r="Y53" s="88">
        <v>13352864</v>
      </c>
      <c r="Z53" s="87">
        <v>1602</v>
      </c>
      <c r="AA53" s="87">
        <v>241</v>
      </c>
      <c r="AB53" s="89">
        <f t="shared" si="20"/>
        <v>845</v>
      </c>
      <c r="AC53" s="89">
        <f t="shared" si="21"/>
        <v>1166</v>
      </c>
      <c r="AD53" s="89">
        <f t="shared" si="22"/>
        <v>1744</v>
      </c>
      <c r="AE53" s="90">
        <f t="shared" ref="AE53:AE99" si="35">IF(G53&gt;0,G53,IF(E53&gt;0,E53,IF(I53&gt;0,I53,K53)))</f>
        <v>830</v>
      </c>
      <c r="AF53" s="90">
        <f t="shared" si="23"/>
        <v>2013</v>
      </c>
      <c r="AG53" s="90">
        <f t="shared" si="24"/>
        <v>241</v>
      </c>
      <c r="AH53" s="90" t="str">
        <f t="shared" si="25"/>
        <v>2018 (triag)</v>
      </c>
      <c r="AI53" s="90">
        <f t="shared" si="26"/>
        <v>1602</v>
      </c>
      <c r="AJ53" s="90">
        <f t="shared" si="27"/>
        <v>2022</v>
      </c>
      <c r="AK53" s="90" t="str">
        <f t="shared" si="28"/>
        <v/>
      </c>
      <c r="AL53" s="91">
        <f>IF(AK53="Adjust",(_xlfn.XLOOKUP(A53,'Adj factor'!A:A,'Adj factor'!I:I,,0)*AI53),'Master DataSheet (Rev)'!AI53)</f>
        <v>1602</v>
      </c>
      <c r="AM53" s="91">
        <f t="shared" si="29"/>
        <v>1602</v>
      </c>
      <c r="AN53" s="92" t="str">
        <f t="shared" si="30"/>
        <v>Increasing</v>
      </c>
      <c r="AO53" s="93">
        <f>VLOOKUP(B53,'Growthrates source'!A$2:H$49,8,FALSE)</f>
        <v>5.0912180313375632E-2</v>
      </c>
      <c r="AP53" s="93">
        <f>VLOOKUP(B53,'Growthrates source'!A$2:I$49,9,FALSE)</f>
        <v>-3.8361793441239245E-2</v>
      </c>
      <c r="AQ53" s="86">
        <f t="shared" si="31"/>
        <v>186.83689778855342</v>
      </c>
      <c r="AR53" s="86">
        <f t="shared" si="32"/>
        <v>214.8009001282085</v>
      </c>
      <c r="AS53" s="94">
        <f t="shared" si="33"/>
        <v>0.80514278649538895</v>
      </c>
      <c r="AT53" s="94">
        <f t="shared" si="34"/>
        <v>0.20183099233808524</v>
      </c>
      <c r="AU53" s="94">
        <f t="shared" si="17"/>
        <v>1.1997426170145971</v>
      </c>
      <c r="AV53" s="94">
        <f t="shared" si="18"/>
        <v>1.1997426170145971</v>
      </c>
    </row>
    <row r="54" spans="1:48" x14ac:dyDescent="0.3">
      <c r="A54" s="85" t="str">
        <f>_xlfn.XLOOKUP(B54,'Country codes &amp; Data sources'!G:G,'Country codes &amp; Data sources'!H:H,,0)</f>
        <v>Benin</v>
      </c>
      <c r="B54" s="85" t="s">
        <v>163</v>
      </c>
      <c r="C54" s="86">
        <v>10014078.499999996</v>
      </c>
      <c r="D54" s="85" t="s">
        <v>142</v>
      </c>
      <c r="E54" s="87">
        <v>0</v>
      </c>
      <c r="F54" s="88">
        <v>10308730.499999994</v>
      </c>
      <c r="G54" s="87">
        <v>0</v>
      </c>
      <c r="I54" s="87">
        <v>0</v>
      </c>
      <c r="K54" s="87">
        <v>0</v>
      </c>
      <c r="M54" s="87">
        <v>0</v>
      </c>
      <c r="O54" s="87">
        <v>0</v>
      </c>
      <c r="P54" s="88">
        <v>11940683.499999996</v>
      </c>
      <c r="Q54" s="87">
        <v>5086</v>
      </c>
      <c r="R54" s="87">
        <f t="shared" si="19"/>
        <v>5086</v>
      </c>
      <c r="T54" s="87">
        <v>0</v>
      </c>
      <c r="V54" s="87">
        <v>0</v>
      </c>
      <c r="X54" s="87">
        <v>382</v>
      </c>
      <c r="Y54" s="88">
        <v>13352864</v>
      </c>
      <c r="Z54" s="87">
        <v>382</v>
      </c>
      <c r="AA54" s="87">
        <v>146</v>
      </c>
      <c r="AB54" s="89">
        <f t="shared" si="20"/>
        <v>0</v>
      </c>
      <c r="AC54" s="89">
        <f t="shared" si="21"/>
        <v>5086</v>
      </c>
      <c r="AD54" s="89">
        <f t="shared" si="22"/>
        <v>382</v>
      </c>
      <c r="AF54" s="90" t="str">
        <f t="shared" si="23"/>
        <v/>
      </c>
      <c r="AG54" s="90">
        <f t="shared" si="24"/>
        <v>5086</v>
      </c>
      <c r="AH54" s="90">
        <f t="shared" si="25"/>
        <v>2018</v>
      </c>
      <c r="AI54" s="90">
        <f t="shared" si="26"/>
        <v>382</v>
      </c>
      <c r="AJ54" s="90">
        <f t="shared" si="27"/>
        <v>2021</v>
      </c>
      <c r="AK54" s="90" t="str">
        <f t="shared" si="28"/>
        <v>Adjust</v>
      </c>
      <c r="AL54" s="91">
        <f>IF(AK54="Adjust",(_xlfn.XLOOKUP(A54,'Adj factor'!A:A,'Adj factor'!I:I,,0)*AI54),'Master DataSheet (Rev)'!AI54)</f>
        <v>475.9367826904986</v>
      </c>
      <c r="AM54" s="91">
        <f t="shared" si="29"/>
        <v>5086</v>
      </c>
      <c r="AN54" s="92" t="str">
        <f t="shared" si="30"/>
        <v>Decreasing</v>
      </c>
      <c r="AO54" s="93">
        <f>VLOOKUP(B54,'Growthrates source'!A$2:H$49,8,FALSE)</f>
        <v>5.0912180313375632E-2</v>
      </c>
      <c r="AP54" s="93">
        <f>VLOOKUP(B54,'Growthrates source'!A$2:I$49,9,FALSE)</f>
        <v>-3.8361793441239245E-2</v>
      </c>
      <c r="AQ54" s="86">
        <f t="shared" si="31"/>
        <v>113.18749824534771</v>
      </c>
      <c r="AR54" s="86">
        <f t="shared" si="32"/>
        <v>130.12834613576118</v>
      </c>
      <c r="AS54" s="94">
        <f t="shared" si="33"/>
        <v>0</v>
      </c>
      <c r="AT54" s="94">
        <f t="shared" si="34"/>
        <v>4.2593876640311263</v>
      </c>
      <c r="AU54" s="94">
        <f t="shared" si="17"/>
        <v>0.35643048763957952</v>
      </c>
      <c r="AV54" s="94">
        <f t="shared" si="18"/>
        <v>3.8089206929689392</v>
      </c>
    </row>
    <row r="55" spans="1:48" x14ac:dyDescent="0.3">
      <c r="A55" s="85" t="str">
        <f>_xlfn.XLOOKUP(B55,'Country codes &amp; Data sources'!G:G,'Country codes &amp; Data sources'!H:H,,0)</f>
        <v>Benin</v>
      </c>
      <c r="B55" s="85" t="s">
        <v>163</v>
      </c>
      <c r="C55" s="86">
        <v>10014078.499999996</v>
      </c>
      <c r="D55" s="85" t="s">
        <v>83</v>
      </c>
      <c r="E55" s="87">
        <v>0</v>
      </c>
      <c r="F55" s="88">
        <v>10308730.499999994</v>
      </c>
      <c r="G55" s="87">
        <v>0</v>
      </c>
      <c r="I55" s="87">
        <v>0</v>
      </c>
      <c r="K55" s="87">
        <v>0</v>
      </c>
      <c r="M55" s="87">
        <v>0</v>
      </c>
      <c r="O55" s="87">
        <v>0</v>
      </c>
      <c r="P55" s="88">
        <v>11940683.499999996</v>
      </c>
      <c r="Q55" s="87">
        <v>58</v>
      </c>
      <c r="R55" s="87">
        <f t="shared" si="19"/>
        <v>58</v>
      </c>
      <c r="T55" s="87">
        <v>0</v>
      </c>
      <c r="V55" s="87">
        <v>0</v>
      </c>
      <c r="X55" s="87">
        <v>187</v>
      </c>
      <c r="Y55" s="88">
        <v>13352864</v>
      </c>
      <c r="Z55" s="87">
        <v>187</v>
      </c>
      <c r="AA55" s="87">
        <v>0</v>
      </c>
      <c r="AB55" s="89">
        <f t="shared" si="20"/>
        <v>0</v>
      </c>
      <c r="AC55" s="89">
        <f t="shared" si="21"/>
        <v>58</v>
      </c>
      <c r="AD55" s="89">
        <f t="shared" si="22"/>
        <v>187</v>
      </c>
      <c r="AF55" s="90" t="str">
        <f t="shared" si="23"/>
        <v/>
      </c>
      <c r="AG55" s="90">
        <f t="shared" si="24"/>
        <v>58</v>
      </c>
      <c r="AH55" s="90">
        <f t="shared" si="25"/>
        <v>2018</v>
      </c>
      <c r="AI55" s="90">
        <f t="shared" si="26"/>
        <v>187</v>
      </c>
      <c r="AJ55" s="90">
        <f t="shared" si="27"/>
        <v>2021</v>
      </c>
      <c r="AK55" s="90" t="str">
        <f t="shared" si="28"/>
        <v/>
      </c>
      <c r="AL55" s="91">
        <f>IF(AK55="Adjust",(_xlfn.XLOOKUP(A55,'Adj factor'!A:A,'Adj factor'!I:I,,0)*AI55),'Master DataSheet (Rev)'!AI55)</f>
        <v>187</v>
      </c>
      <c r="AM55" s="91">
        <f t="shared" si="29"/>
        <v>187</v>
      </c>
      <c r="AN55" s="92" t="str">
        <f t="shared" si="30"/>
        <v>Increasing</v>
      </c>
      <c r="AO55" s="93">
        <f>VLOOKUP(B55,'Growthrates source'!A$2:H$49,8,FALSE)</f>
        <v>5.0912180313375632E-2</v>
      </c>
      <c r="AP55" s="93">
        <f>VLOOKUP(B55,'Growthrates source'!A$2:I$49,9,FALSE)</f>
        <v>-3.8361793441239245E-2</v>
      </c>
      <c r="AQ55" s="86">
        <f t="shared" si="31"/>
        <v>0</v>
      </c>
      <c r="AR55" s="86">
        <f t="shared" si="32"/>
        <v>0</v>
      </c>
      <c r="AS55" s="94">
        <f t="shared" si="33"/>
        <v>0</v>
      </c>
      <c r="AT55" s="94">
        <f t="shared" si="34"/>
        <v>4.8573433840701008E-2</v>
      </c>
      <c r="AU55" s="94">
        <f t="shared" si="17"/>
        <v>0.14004486228572388</v>
      </c>
      <c r="AV55" s="94">
        <f t="shared" si="18"/>
        <v>0.14004486228572388</v>
      </c>
    </row>
    <row r="56" spans="1:48" x14ac:dyDescent="0.3">
      <c r="A56" s="85" t="str">
        <f>_xlfn.XLOOKUP(B56,'Country codes &amp; Data sources'!G:G,'Country codes &amp; Data sources'!H:H,,0)</f>
        <v>Benin</v>
      </c>
      <c r="B56" s="85" t="s">
        <v>163</v>
      </c>
      <c r="C56" s="86">
        <v>10014078.499999996</v>
      </c>
      <c r="D56" s="85" t="s">
        <v>84</v>
      </c>
      <c r="E56" s="87">
        <v>0</v>
      </c>
      <c r="F56" s="88">
        <v>10308730.499999994</v>
      </c>
      <c r="G56" s="87">
        <v>0</v>
      </c>
      <c r="I56" s="87">
        <v>0</v>
      </c>
      <c r="K56" s="87">
        <v>0</v>
      </c>
      <c r="M56" s="87">
        <v>0</v>
      </c>
      <c r="O56" s="87">
        <v>0</v>
      </c>
      <c r="P56" s="88">
        <v>11940683.499999996</v>
      </c>
      <c r="Q56" s="87">
        <v>102</v>
      </c>
      <c r="R56" s="87">
        <f t="shared" si="19"/>
        <v>102</v>
      </c>
      <c r="T56" s="87">
        <v>0</v>
      </c>
      <c r="V56" s="87">
        <v>0</v>
      </c>
      <c r="X56" s="87">
        <v>0</v>
      </c>
      <c r="Y56" s="88">
        <v>13352864</v>
      </c>
      <c r="Z56" s="87">
        <v>0</v>
      </c>
      <c r="AA56" s="87">
        <v>0</v>
      </c>
      <c r="AB56" s="89">
        <f t="shared" si="20"/>
        <v>0</v>
      </c>
      <c r="AC56" s="89">
        <f t="shared" si="21"/>
        <v>102</v>
      </c>
      <c r="AD56" s="89">
        <f t="shared" si="22"/>
        <v>0</v>
      </c>
      <c r="AF56" s="90" t="str">
        <f t="shared" si="23"/>
        <v/>
      </c>
      <c r="AG56" s="90">
        <f t="shared" si="24"/>
        <v>102</v>
      </c>
      <c r="AH56" s="90">
        <f t="shared" si="25"/>
        <v>2018</v>
      </c>
      <c r="AI56" s="90">
        <f t="shared" si="26"/>
        <v>102</v>
      </c>
      <c r="AJ56" s="90">
        <f t="shared" si="27"/>
        <v>2018</v>
      </c>
      <c r="AK56" s="90" t="str">
        <f t="shared" si="28"/>
        <v/>
      </c>
      <c r="AL56" s="91">
        <f>IF(AK56="Adjust",(_xlfn.XLOOKUP(A56,'Adj factor'!A:A,'Adj factor'!I:I,,0)*AI56),'Master DataSheet (Rev)'!AI56)</f>
        <v>102</v>
      </c>
      <c r="AM56" s="91">
        <f t="shared" si="29"/>
        <v>102</v>
      </c>
      <c r="AN56" s="92" t="str">
        <f t="shared" si="30"/>
        <v>No change</v>
      </c>
      <c r="AO56" s="93">
        <f>VLOOKUP(B56,'Growthrates source'!A$2:H$49,8,FALSE)</f>
        <v>5.0912180313375632E-2</v>
      </c>
      <c r="AP56" s="93">
        <f>VLOOKUP(B56,'Growthrates source'!A$2:I$49,9,FALSE)</f>
        <v>-3.8361793441239245E-2</v>
      </c>
      <c r="AQ56" s="86">
        <f t="shared" si="31"/>
        <v>0</v>
      </c>
      <c r="AR56" s="86">
        <f t="shared" si="32"/>
        <v>0</v>
      </c>
      <c r="AS56" s="94">
        <f t="shared" si="33"/>
        <v>0</v>
      </c>
      <c r="AT56" s="94">
        <f t="shared" si="34"/>
        <v>8.5422245719853504E-2</v>
      </c>
      <c r="AU56" s="94">
        <f t="shared" si="17"/>
        <v>7.6388106701303929E-2</v>
      </c>
      <c r="AV56" s="94">
        <f t="shared" si="18"/>
        <v>7.6388106701303929E-2</v>
      </c>
    </row>
    <row r="57" spans="1:48" x14ac:dyDescent="0.3">
      <c r="A57" s="85" t="str">
        <f>_xlfn.XLOOKUP(B57,'Country codes &amp; Data sources'!G:G,'Country codes &amp; Data sources'!H:H,,0)</f>
        <v>Benin</v>
      </c>
      <c r="B57" s="85" t="s">
        <v>163</v>
      </c>
      <c r="C57" s="86">
        <v>10014078.499999996</v>
      </c>
      <c r="D57" s="85" t="s">
        <v>126</v>
      </c>
      <c r="E57" s="87">
        <v>0</v>
      </c>
      <c r="F57" s="88">
        <v>10308730.499999994</v>
      </c>
      <c r="G57" s="87">
        <v>0</v>
      </c>
      <c r="I57" s="87">
        <v>0</v>
      </c>
      <c r="K57" s="87">
        <v>0</v>
      </c>
      <c r="M57" s="87">
        <v>0</v>
      </c>
      <c r="O57" s="87">
        <v>0</v>
      </c>
      <c r="P57" s="88">
        <v>11940683.499999996</v>
      </c>
      <c r="Q57" s="87">
        <v>0</v>
      </c>
      <c r="R57" s="87">
        <f t="shared" si="19"/>
        <v>0</v>
      </c>
      <c r="T57" s="87">
        <v>0</v>
      </c>
      <c r="V57" s="87">
        <v>0</v>
      </c>
      <c r="X57" s="87">
        <v>0</v>
      </c>
      <c r="Y57" s="88">
        <v>13352864</v>
      </c>
      <c r="Z57" s="87">
        <v>0</v>
      </c>
      <c r="AA57" s="87">
        <v>0</v>
      </c>
      <c r="AB57" s="89">
        <f t="shared" si="20"/>
        <v>0</v>
      </c>
      <c r="AC57" s="89">
        <f t="shared" si="21"/>
        <v>0</v>
      </c>
      <c r="AD57" s="89">
        <f t="shared" si="22"/>
        <v>0</v>
      </c>
      <c r="AF57" s="90" t="str">
        <f t="shared" si="23"/>
        <v/>
      </c>
      <c r="AH57" s="90" t="str">
        <f t="shared" si="25"/>
        <v/>
      </c>
      <c r="AI57" s="90">
        <f t="shared" si="26"/>
        <v>0</v>
      </c>
      <c r="AJ57" s="90" t="str">
        <f t="shared" si="27"/>
        <v/>
      </c>
      <c r="AK57" s="90" t="str">
        <f t="shared" si="28"/>
        <v/>
      </c>
      <c r="AL57" s="91"/>
      <c r="AM57" s="91">
        <f t="shared" si="29"/>
        <v>0</v>
      </c>
      <c r="AN57" s="92" t="str">
        <f t="shared" si="30"/>
        <v>No change</v>
      </c>
      <c r="AO57" s="93">
        <f>VLOOKUP(B57,'Growthrates source'!A$2:H$49,8,FALSE)</f>
        <v>5.0912180313375632E-2</v>
      </c>
      <c r="AP57" s="93">
        <f>VLOOKUP(B57,'Growthrates source'!A$2:I$49,9,FALSE)</f>
        <v>-3.8361793441239245E-2</v>
      </c>
      <c r="AQ57" s="86">
        <f t="shared" si="31"/>
        <v>0</v>
      </c>
      <c r="AR57" s="86">
        <f t="shared" si="32"/>
        <v>0</v>
      </c>
      <c r="AS57" s="94">
        <f t="shared" si="33"/>
        <v>0</v>
      </c>
      <c r="AT57" s="94">
        <f t="shared" si="34"/>
        <v>0</v>
      </c>
      <c r="AU57" s="94">
        <f t="shared" si="17"/>
        <v>0</v>
      </c>
      <c r="AV57" s="94">
        <f t="shared" si="18"/>
        <v>0</v>
      </c>
    </row>
    <row r="58" spans="1:48" x14ac:dyDescent="0.3">
      <c r="A58" s="85" t="str">
        <f>_xlfn.XLOOKUP(B58,'Country codes &amp; Data sources'!G:G,'Country codes &amp; Data sources'!H:H,,0)</f>
        <v>Benin</v>
      </c>
      <c r="B58" s="85" t="s">
        <v>163</v>
      </c>
      <c r="C58" s="86">
        <v>10014078.499999996</v>
      </c>
      <c r="D58" s="85" t="s">
        <v>87</v>
      </c>
      <c r="E58" s="87">
        <v>0</v>
      </c>
      <c r="F58" s="88">
        <v>10308730.499999994</v>
      </c>
      <c r="G58" s="87">
        <v>10200</v>
      </c>
      <c r="I58" s="87">
        <v>0</v>
      </c>
      <c r="K58" s="87">
        <v>0</v>
      </c>
      <c r="M58" s="87">
        <v>0</v>
      </c>
      <c r="O58" s="87">
        <v>0</v>
      </c>
      <c r="P58" s="88">
        <v>11940683.499999996</v>
      </c>
      <c r="Q58" s="87">
        <v>0</v>
      </c>
      <c r="R58" s="87">
        <f t="shared" si="19"/>
        <v>0</v>
      </c>
      <c r="T58" s="87">
        <v>0</v>
      </c>
      <c r="V58" s="87">
        <v>0</v>
      </c>
      <c r="X58" s="87">
        <v>0</v>
      </c>
      <c r="Y58" s="88">
        <v>13352864</v>
      </c>
      <c r="Z58" s="87">
        <v>0</v>
      </c>
      <c r="AA58" s="87">
        <v>0</v>
      </c>
      <c r="AB58" s="89">
        <f t="shared" si="20"/>
        <v>10200</v>
      </c>
      <c r="AC58" s="89">
        <f t="shared" si="21"/>
        <v>0</v>
      </c>
      <c r="AD58" s="89">
        <f t="shared" si="22"/>
        <v>0</v>
      </c>
      <c r="AE58" s="90">
        <f t="shared" si="35"/>
        <v>10200</v>
      </c>
      <c r="AF58" s="90">
        <f t="shared" si="23"/>
        <v>2013</v>
      </c>
      <c r="AH58" s="90" t="str">
        <f t="shared" si="25"/>
        <v/>
      </c>
      <c r="AI58" s="90">
        <f t="shared" si="26"/>
        <v>0</v>
      </c>
      <c r="AJ58" s="90" t="str">
        <f t="shared" si="27"/>
        <v/>
      </c>
      <c r="AK58" s="90" t="str">
        <f t="shared" si="28"/>
        <v/>
      </c>
      <c r="AL58" s="91"/>
      <c r="AM58" s="91">
        <f t="shared" si="29"/>
        <v>0</v>
      </c>
      <c r="AN58" s="92" t="str">
        <f t="shared" si="30"/>
        <v>No change</v>
      </c>
      <c r="AO58" s="93">
        <f>VLOOKUP(B58,'Growthrates source'!A$2:H$49,8,FALSE)</f>
        <v>5.0912180313375632E-2</v>
      </c>
      <c r="AP58" s="93">
        <f>VLOOKUP(B58,'Growthrates source'!A$2:I$49,9,FALSE)</f>
        <v>-3.8361793441239245E-2</v>
      </c>
      <c r="AQ58" s="86">
        <f t="shared" si="31"/>
        <v>0</v>
      </c>
      <c r="AR58" s="86">
        <f t="shared" si="32"/>
        <v>0</v>
      </c>
      <c r="AS58" s="94">
        <f t="shared" si="33"/>
        <v>9.8945258099433353</v>
      </c>
      <c r="AT58" s="94">
        <f t="shared" si="34"/>
        <v>0</v>
      </c>
      <c r="AU58" s="94">
        <f t="shared" si="17"/>
        <v>0</v>
      </c>
      <c r="AV58" s="94">
        <f t="shared" si="18"/>
        <v>0</v>
      </c>
    </row>
    <row r="59" spans="1:48" x14ac:dyDescent="0.3">
      <c r="A59" s="85" t="str">
        <f>_xlfn.XLOOKUP(B59,'Country codes &amp; Data sources'!G:G,'Country codes &amp; Data sources'!H:H,,0)</f>
        <v>Burkina Faso</v>
      </c>
      <c r="B59" s="85" t="s">
        <v>151</v>
      </c>
      <c r="C59" s="86">
        <v>17113732.499999996</v>
      </c>
      <c r="D59" s="85" t="s">
        <v>127</v>
      </c>
      <c r="E59" s="87">
        <v>2099</v>
      </c>
      <c r="F59" s="88">
        <v>17636407.5</v>
      </c>
      <c r="G59" s="87">
        <v>0</v>
      </c>
      <c r="I59" s="87">
        <v>0</v>
      </c>
      <c r="K59" s="87">
        <v>0</v>
      </c>
      <c r="M59" s="87">
        <v>0</v>
      </c>
      <c r="O59" s="87">
        <v>2749</v>
      </c>
      <c r="P59" s="88">
        <v>20392723</v>
      </c>
      <c r="Q59" s="87">
        <v>0</v>
      </c>
      <c r="R59" s="87">
        <f t="shared" si="19"/>
        <v>2749</v>
      </c>
      <c r="T59" s="87">
        <v>2979</v>
      </c>
      <c r="V59" s="87">
        <v>2923</v>
      </c>
      <c r="X59" s="87">
        <v>2947</v>
      </c>
      <c r="Y59" s="88">
        <v>22673762.000000007</v>
      </c>
      <c r="Z59" s="87">
        <v>3145</v>
      </c>
      <c r="AA59" s="87">
        <v>2749</v>
      </c>
      <c r="AB59" s="89">
        <f t="shared" si="20"/>
        <v>2099</v>
      </c>
      <c r="AC59" s="89">
        <f t="shared" si="21"/>
        <v>2979</v>
      </c>
      <c r="AD59" s="89">
        <f t="shared" si="22"/>
        <v>3145</v>
      </c>
      <c r="AE59" s="90">
        <f t="shared" si="35"/>
        <v>2099</v>
      </c>
      <c r="AF59" s="90">
        <f t="shared" si="23"/>
        <v>2012</v>
      </c>
      <c r="AG59" s="90">
        <f t="shared" si="24"/>
        <v>2749</v>
      </c>
      <c r="AH59" s="90">
        <f t="shared" si="25"/>
        <v>2017</v>
      </c>
      <c r="AI59" s="90">
        <f t="shared" si="26"/>
        <v>3145</v>
      </c>
      <c r="AJ59" s="90">
        <f t="shared" si="27"/>
        <v>2022</v>
      </c>
      <c r="AK59" s="90" t="str">
        <f t="shared" si="28"/>
        <v/>
      </c>
      <c r="AL59" s="91">
        <f>IF(AK59="Adjust",(_xlfn.XLOOKUP(A59,'Adj factor'!A:A,'Adj factor'!I:I,,0)*AI59),'Master DataSheet (Rev)'!AI59)</f>
        <v>3145</v>
      </c>
      <c r="AM59" s="91">
        <f t="shared" si="29"/>
        <v>3145</v>
      </c>
      <c r="AN59" s="92" t="str">
        <f t="shared" si="30"/>
        <v>Increasing</v>
      </c>
      <c r="AO59" s="93">
        <f>VLOOKUP(B59,'Growthrates source'!A$2:H$49,8,FALSE)</f>
        <v>0.11672257510323925</v>
      </c>
      <c r="AP59" s="93">
        <f>VLOOKUP(B59,'Growthrates source'!A$2:I$49,9,FALSE)</f>
        <v>5.6053037042871567E-2</v>
      </c>
      <c r="AQ59" s="86">
        <f t="shared" si="31"/>
        <v>1533.6098471508678</v>
      </c>
      <c r="AR59" s="86">
        <f t="shared" si="32"/>
        <v>3252.4101961604651</v>
      </c>
      <c r="AS59" s="94">
        <f t="shared" si="33"/>
        <v>1.190151679133066</v>
      </c>
      <c r="AT59" s="94">
        <f t="shared" si="34"/>
        <v>1.3480298830126805</v>
      </c>
      <c r="AU59" s="94">
        <f t="shared" si="17"/>
        <v>1.3870658076061657</v>
      </c>
      <c r="AV59" s="94">
        <f t="shared" si="18"/>
        <v>1.3870658076061657</v>
      </c>
    </row>
    <row r="60" spans="1:48" x14ac:dyDescent="0.3">
      <c r="A60" s="85" t="str">
        <f>_xlfn.XLOOKUP(B60,'Country codes &amp; Data sources'!G:G,'Country codes &amp; Data sources'!H:H,,0)</f>
        <v>Burkina Faso</v>
      </c>
      <c r="B60" s="85" t="s">
        <v>151</v>
      </c>
      <c r="C60" s="86">
        <v>17113732.499999996</v>
      </c>
      <c r="D60" s="85" t="s">
        <v>61</v>
      </c>
      <c r="E60" s="87">
        <v>128</v>
      </c>
      <c r="F60" s="88">
        <v>17636407.5</v>
      </c>
      <c r="G60" s="87">
        <v>0</v>
      </c>
      <c r="I60" s="87">
        <v>0</v>
      </c>
      <c r="K60" s="87">
        <v>1688</v>
      </c>
      <c r="M60" s="87">
        <v>940</v>
      </c>
      <c r="O60" s="87">
        <v>0</v>
      </c>
      <c r="P60" s="88">
        <v>20392723</v>
      </c>
      <c r="Q60" s="87">
        <v>0</v>
      </c>
      <c r="R60" s="87">
        <f t="shared" si="19"/>
        <v>19</v>
      </c>
      <c r="T60" s="87">
        <v>0</v>
      </c>
      <c r="V60" s="87">
        <v>0</v>
      </c>
      <c r="X60" s="87">
        <v>15</v>
      </c>
      <c r="Y60" s="88">
        <v>22673762.000000007</v>
      </c>
      <c r="Z60" s="87">
        <v>0</v>
      </c>
      <c r="AA60" s="87">
        <v>19</v>
      </c>
      <c r="AB60" s="89">
        <f t="shared" si="20"/>
        <v>1688</v>
      </c>
      <c r="AC60" s="89">
        <f t="shared" si="21"/>
        <v>940</v>
      </c>
      <c r="AD60" s="89">
        <f t="shared" si="22"/>
        <v>15</v>
      </c>
      <c r="AE60" s="90">
        <f t="shared" si="35"/>
        <v>128</v>
      </c>
      <c r="AF60" s="90">
        <f t="shared" si="23"/>
        <v>2012</v>
      </c>
      <c r="AG60" s="90">
        <f t="shared" si="24"/>
        <v>19</v>
      </c>
      <c r="AH60" s="90" t="str">
        <f t="shared" si="25"/>
        <v>2018 (triag)</v>
      </c>
      <c r="AI60" s="90">
        <f t="shared" si="26"/>
        <v>15</v>
      </c>
      <c r="AJ60" s="90">
        <f t="shared" si="27"/>
        <v>2021</v>
      </c>
      <c r="AK60" s="90" t="str">
        <f t="shared" si="28"/>
        <v>Adjust</v>
      </c>
      <c r="AL60" s="91">
        <f>IF(AK60="Adjust",(_xlfn.XLOOKUP(A60,'Adj factor'!A:A,'Adj factor'!I:I,,0)*AI60),'Master DataSheet (Rev)'!AI60)</f>
        <v>15.409998099220681</v>
      </c>
      <c r="AM60" s="91">
        <f t="shared" si="29"/>
        <v>19</v>
      </c>
      <c r="AN60" s="92" t="str">
        <f t="shared" si="30"/>
        <v>Decreasing</v>
      </c>
      <c r="AO60" s="93">
        <f>VLOOKUP(B60,'Growthrates source'!A$2:H$49,8,FALSE)</f>
        <v>0.11672257510323925</v>
      </c>
      <c r="AP60" s="93">
        <f>VLOOKUP(B60,'Growthrates source'!A$2:I$49,9,FALSE)</f>
        <v>5.6053037042871567E-2</v>
      </c>
      <c r="AQ60" s="86">
        <f t="shared" si="31"/>
        <v>10.599704290966347</v>
      </c>
      <c r="AR60" s="86">
        <f t="shared" si="32"/>
        <v>22.47937203603086</v>
      </c>
      <c r="AS60" s="94">
        <f t="shared" si="33"/>
        <v>7.2577139080053574E-2</v>
      </c>
      <c r="AT60" s="94">
        <f t="shared" si="34"/>
        <v>9.3170490277340607E-3</v>
      </c>
      <c r="AU60" s="94">
        <f t="shared" si="17"/>
        <v>6.7964010997472214E-3</v>
      </c>
      <c r="AV60" s="94">
        <f t="shared" si="18"/>
        <v>8.3797298392741335E-3</v>
      </c>
    </row>
    <row r="61" spans="1:48" x14ac:dyDescent="0.3">
      <c r="A61" s="85" t="str">
        <f>_xlfn.XLOOKUP(B61,'Country codes &amp; Data sources'!G:G,'Country codes &amp; Data sources'!H:H,,0)</f>
        <v>Burkina Faso</v>
      </c>
      <c r="B61" s="85" t="s">
        <v>151</v>
      </c>
      <c r="C61" s="86">
        <v>17113732.499999996</v>
      </c>
      <c r="D61" s="85" t="s">
        <v>62</v>
      </c>
      <c r="E61" s="87">
        <v>1791</v>
      </c>
      <c r="F61" s="88">
        <v>17636407.5</v>
      </c>
      <c r="G61" s="87">
        <v>0</v>
      </c>
      <c r="I61" s="87">
        <v>0</v>
      </c>
      <c r="K61" s="87">
        <v>718</v>
      </c>
      <c r="M61" s="87">
        <v>2367</v>
      </c>
      <c r="O61" s="87">
        <v>20392</v>
      </c>
      <c r="P61" s="88">
        <v>20392723</v>
      </c>
      <c r="Q61" s="87">
        <v>157</v>
      </c>
      <c r="R61" s="87">
        <f t="shared" si="19"/>
        <v>160</v>
      </c>
      <c r="T61" s="87">
        <v>0</v>
      </c>
      <c r="V61" s="87">
        <v>0</v>
      </c>
      <c r="X61" s="87">
        <v>31</v>
      </c>
      <c r="Y61" s="88">
        <v>22673762.000000007</v>
      </c>
      <c r="Z61" s="87">
        <v>0</v>
      </c>
      <c r="AA61" s="87">
        <v>160</v>
      </c>
      <c r="AB61" s="89">
        <f t="shared" si="20"/>
        <v>1791</v>
      </c>
      <c r="AC61" s="89">
        <f t="shared" si="21"/>
        <v>20392</v>
      </c>
      <c r="AD61" s="89">
        <f t="shared" si="22"/>
        <v>31</v>
      </c>
      <c r="AE61" s="90">
        <f t="shared" si="35"/>
        <v>1791</v>
      </c>
      <c r="AF61" s="90">
        <f t="shared" si="23"/>
        <v>2012</v>
      </c>
      <c r="AG61" s="90">
        <f t="shared" si="24"/>
        <v>160</v>
      </c>
      <c r="AH61" s="90" t="str">
        <f t="shared" si="25"/>
        <v>2018 (triag)</v>
      </c>
      <c r="AI61" s="90">
        <f t="shared" si="26"/>
        <v>31</v>
      </c>
      <c r="AJ61" s="90">
        <f t="shared" si="27"/>
        <v>2021</v>
      </c>
      <c r="AK61" s="90" t="str">
        <f t="shared" si="28"/>
        <v>Adjust</v>
      </c>
      <c r="AL61" s="91">
        <f>IF(AK61="Adjust",(_xlfn.XLOOKUP(A61,'Adj factor'!A:A,'Adj factor'!I:I,,0)*AI61),'Master DataSheet (Rev)'!AI61)</f>
        <v>31.847329405056072</v>
      </c>
      <c r="AM61" s="91">
        <f t="shared" si="29"/>
        <v>160</v>
      </c>
      <c r="AN61" s="92" t="str">
        <f t="shared" si="30"/>
        <v>Decreasing</v>
      </c>
      <c r="AO61" s="93">
        <f>VLOOKUP(B61,'Growthrates source'!A$2:H$49,8,FALSE)</f>
        <v>0.11672257510323925</v>
      </c>
      <c r="AP61" s="93">
        <f>VLOOKUP(B61,'Growthrates source'!A$2:I$49,9,FALSE)</f>
        <v>5.6053037042871567E-2</v>
      </c>
      <c r="AQ61" s="86">
        <f t="shared" si="31"/>
        <v>89.260667713400821</v>
      </c>
      <c r="AR61" s="86">
        <f t="shared" si="32"/>
        <v>189.29997504025988</v>
      </c>
      <c r="AS61" s="94">
        <f t="shared" si="33"/>
        <v>1.0155129382216872</v>
      </c>
      <c r="AT61" s="94">
        <f t="shared" si="34"/>
        <v>7.8459360233549977E-2</v>
      </c>
      <c r="AU61" s="94">
        <f t="shared" si="17"/>
        <v>1.4045895606144257E-2</v>
      </c>
      <c r="AV61" s="94">
        <f t="shared" si="18"/>
        <v>7.0566146014940059E-2</v>
      </c>
    </row>
    <row r="62" spans="1:48" x14ac:dyDescent="0.3">
      <c r="A62" s="85" t="str">
        <f>_xlfn.XLOOKUP(B62,'Country codes &amp; Data sources'!G:G,'Country codes &amp; Data sources'!H:H,,0)</f>
        <v>Burkina Faso</v>
      </c>
      <c r="B62" s="85" t="s">
        <v>151</v>
      </c>
      <c r="C62" s="86">
        <v>17113732.499999996</v>
      </c>
      <c r="D62" s="85" t="s">
        <v>203</v>
      </c>
      <c r="E62" s="87">
        <v>0</v>
      </c>
      <c r="F62" s="88">
        <v>17636407.5</v>
      </c>
      <c r="G62" s="87">
        <v>0</v>
      </c>
      <c r="I62" s="87">
        <v>0</v>
      </c>
      <c r="K62" s="87">
        <v>0</v>
      </c>
      <c r="M62" s="87">
        <v>0</v>
      </c>
      <c r="O62" s="87">
        <v>0</v>
      </c>
      <c r="P62" s="88">
        <v>20392723</v>
      </c>
      <c r="Q62" s="87">
        <v>0</v>
      </c>
      <c r="R62" s="87">
        <f t="shared" si="19"/>
        <v>1224</v>
      </c>
      <c r="T62" s="87">
        <v>0</v>
      </c>
      <c r="V62" s="87">
        <v>68</v>
      </c>
      <c r="X62" s="87">
        <v>0</v>
      </c>
      <c r="Y62" s="88">
        <v>22673762.000000007</v>
      </c>
      <c r="Z62" s="87">
        <v>886</v>
      </c>
      <c r="AA62" s="87">
        <v>1224</v>
      </c>
      <c r="AB62" s="89">
        <f t="shared" si="20"/>
        <v>0</v>
      </c>
      <c r="AC62" s="89">
        <f t="shared" si="21"/>
        <v>0</v>
      </c>
      <c r="AD62" s="89">
        <f t="shared" si="22"/>
        <v>886</v>
      </c>
      <c r="AF62" s="90" t="str">
        <f t="shared" si="23"/>
        <v/>
      </c>
      <c r="AG62" s="90">
        <f t="shared" si="24"/>
        <v>1224</v>
      </c>
      <c r="AH62" s="90" t="str">
        <f t="shared" si="25"/>
        <v>2018 (triag)</v>
      </c>
      <c r="AI62" s="90">
        <f t="shared" si="26"/>
        <v>886</v>
      </c>
      <c r="AJ62" s="90">
        <f t="shared" si="27"/>
        <v>2022</v>
      </c>
      <c r="AK62" s="90" t="str">
        <f t="shared" si="28"/>
        <v>Adjust</v>
      </c>
      <c r="AL62" s="91">
        <f>IF(AK62="Adjust",(_xlfn.XLOOKUP(A62,'Adj factor'!A:A,'Adj factor'!I:I,,0)*AI62),'Master DataSheet (Rev)'!AI62)</f>
        <v>910.21722106063487</v>
      </c>
      <c r="AM62" s="91">
        <f t="shared" si="29"/>
        <v>1224</v>
      </c>
      <c r="AN62" s="92" t="str">
        <f t="shared" si="30"/>
        <v>Decreasing</v>
      </c>
      <c r="AO62" s="93">
        <f>VLOOKUP(B62,'Growthrates source'!A$2:H$49,8,FALSE)</f>
        <v>0.11672257510323925</v>
      </c>
      <c r="AP62" s="93">
        <f>VLOOKUP(B62,'Growthrates source'!A$2:I$49,9,FALSE)</f>
        <v>5.6053037042871567E-2</v>
      </c>
      <c r="AQ62" s="86">
        <f t="shared" si="31"/>
        <v>682.8441080075163</v>
      </c>
      <c r="AR62" s="86">
        <f t="shared" si="32"/>
        <v>1448.1448090579881</v>
      </c>
      <c r="AS62" s="94">
        <f t="shared" si="33"/>
        <v>0</v>
      </c>
      <c r="AT62" s="94">
        <f t="shared" si="34"/>
        <v>0.60021410578665735</v>
      </c>
      <c r="AU62" s="94">
        <f t="shared" si="17"/>
        <v>0.40144075829173581</v>
      </c>
      <c r="AV62" s="94">
        <f t="shared" si="18"/>
        <v>0.53983101701429148</v>
      </c>
    </row>
    <row r="63" spans="1:48" x14ac:dyDescent="0.3">
      <c r="A63" s="85" t="str">
        <f>_xlfn.XLOOKUP(B63,'Country codes &amp; Data sources'!G:G,'Country codes &amp; Data sources'!H:H,,0)</f>
        <v>Burkina Faso</v>
      </c>
      <c r="B63" s="85" t="s">
        <v>151</v>
      </c>
      <c r="C63" s="86">
        <v>17113732.499999996</v>
      </c>
      <c r="D63" s="85" t="s">
        <v>204</v>
      </c>
      <c r="E63" s="87">
        <v>0</v>
      </c>
      <c r="F63" s="88">
        <v>17636407.5</v>
      </c>
      <c r="G63" s="87">
        <v>0</v>
      </c>
      <c r="I63" s="87">
        <v>0</v>
      </c>
      <c r="K63" s="87">
        <v>0</v>
      </c>
      <c r="M63" s="87">
        <v>0</v>
      </c>
      <c r="O63" s="87">
        <v>0</v>
      </c>
      <c r="P63" s="88">
        <v>20392723</v>
      </c>
      <c r="Q63" s="87">
        <v>0</v>
      </c>
      <c r="R63" s="87">
        <f t="shared" si="19"/>
        <v>653</v>
      </c>
      <c r="T63" s="87">
        <v>0</v>
      </c>
      <c r="V63" s="87">
        <v>0</v>
      </c>
      <c r="X63" s="87">
        <v>0</v>
      </c>
      <c r="Y63" s="88">
        <v>22673762.000000007</v>
      </c>
      <c r="Z63" s="87">
        <v>0</v>
      </c>
      <c r="AA63" s="87">
        <v>653</v>
      </c>
      <c r="AB63" s="89">
        <f t="shared" si="20"/>
        <v>0</v>
      </c>
      <c r="AC63" s="89">
        <f t="shared" si="21"/>
        <v>0</v>
      </c>
      <c r="AD63" s="89">
        <f t="shared" si="22"/>
        <v>0</v>
      </c>
      <c r="AF63" s="90" t="str">
        <f t="shared" si="23"/>
        <v/>
      </c>
      <c r="AG63" s="90">
        <f t="shared" si="24"/>
        <v>653</v>
      </c>
      <c r="AH63" s="90" t="str">
        <f t="shared" si="25"/>
        <v>2018 (triag)</v>
      </c>
      <c r="AI63" s="90">
        <f t="shared" si="26"/>
        <v>653</v>
      </c>
      <c r="AJ63" s="90" t="str">
        <f t="shared" si="27"/>
        <v>2018 (triag)</v>
      </c>
      <c r="AK63" s="90" t="str">
        <f t="shared" si="28"/>
        <v/>
      </c>
      <c r="AL63" s="91">
        <f>IF(AK63="Adjust",(_xlfn.XLOOKUP(A63,'Adj factor'!A:A,'Adj factor'!I:I,,0)*AI63),'Master DataSheet (Rev)'!AI63)</f>
        <v>653</v>
      </c>
      <c r="AM63" s="91">
        <f t="shared" si="29"/>
        <v>653</v>
      </c>
      <c r="AN63" s="92" t="str">
        <f t="shared" si="30"/>
        <v>No change</v>
      </c>
      <c r="AO63" s="93">
        <f>VLOOKUP(B63,'Growthrates source'!A$2:H$49,8,FALSE)</f>
        <v>0.11672257510323925</v>
      </c>
      <c r="AP63" s="93">
        <f>VLOOKUP(B63,'Growthrates source'!A$2:I$49,9,FALSE)</f>
        <v>5.6053037042871567E-2</v>
      </c>
      <c r="AQ63" s="86">
        <f t="shared" si="31"/>
        <v>364.29510010531709</v>
      </c>
      <c r="AR63" s="86">
        <f t="shared" si="32"/>
        <v>772.58052313306064</v>
      </c>
      <c r="AS63" s="94">
        <f t="shared" si="33"/>
        <v>0</v>
      </c>
      <c r="AT63" s="94">
        <f t="shared" si="34"/>
        <v>0.32021226395317587</v>
      </c>
      <c r="AU63" s="94">
        <f t="shared" si="17"/>
        <v>0.28799808342347416</v>
      </c>
      <c r="AV63" s="94">
        <f t="shared" si="18"/>
        <v>0.28799808342347416</v>
      </c>
    </row>
    <row r="64" spans="1:48" x14ac:dyDescent="0.3">
      <c r="A64" s="85" t="str">
        <f>_xlfn.XLOOKUP(B64,'Country codes &amp; Data sources'!G:G,'Country codes &amp; Data sources'!H:H,,0)</f>
        <v>Burkina Faso</v>
      </c>
      <c r="B64" s="85" t="s">
        <v>151</v>
      </c>
      <c r="C64" s="86">
        <v>17113732.499999996</v>
      </c>
      <c r="D64" s="85" t="s">
        <v>205</v>
      </c>
      <c r="E64" s="87">
        <v>0</v>
      </c>
      <c r="F64" s="88">
        <v>17636407.5</v>
      </c>
      <c r="G64" s="87">
        <v>0</v>
      </c>
      <c r="I64" s="87">
        <v>0</v>
      </c>
      <c r="K64" s="87">
        <v>0</v>
      </c>
      <c r="M64" s="87">
        <v>0</v>
      </c>
      <c r="O64" s="87">
        <v>3</v>
      </c>
      <c r="P64" s="88">
        <v>20392723</v>
      </c>
      <c r="Q64" s="87">
        <v>2</v>
      </c>
      <c r="R64" s="87">
        <f t="shared" si="19"/>
        <v>3</v>
      </c>
      <c r="T64" s="87">
        <v>143</v>
      </c>
      <c r="V64" s="87">
        <v>0</v>
      </c>
      <c r="X64" s="87">
        <v>0</v>
      </c>
      <c r="Y64" s="88">
        <v>22673762.000000007</v>
      </c>
      <c r="Z64" s="87">
        <v>14</v>
      </c>
      <c r="AA64" s="87">
        <v>3</v>
      </c>
      <c r="AB64" s="89">
        <f t="shared" si="20"/>
        <v>0</v>
      </c>
      <c r="AC64" s="89">
        <f t="shared" si="21"/>
        <v>143</v>
      </c>
      <c r="AD64" s="89">
        <f t="shared" si="22"/>
        <v>14</v>
      </c>
      <c r="AF64" s="90" t="str">
        <f t="shared" si="23"/>
        <v/>
      </c>
      <c r="AG64" s="90">
        <f t="shared" si="24"/>
        <v>3</v>
      </c>
      <c r="AH64" s="90">
        <f t="shared" si="25"/>
        <v>2017</v>
      </c>
      <c r="AI64" s="90">
        <f t="shared" si="26"/>
        <v>14</v>
      </c>
      <c r="AJ64" s="90">
        <f t="shared" si="27"/>
        <v>2022</v>
      </c>
      <c r="AK64" s="90" t="str">
        <f t="shared" si="28"/>
        <v/>
      </c>
      <c r="AL64" s="91">
        <f>IF(AK64="Adjust",(_xlfn.XLOOKUP(A64,'Adj factor'!A:A,'Adj factor'!I:I,,0)*AI64),'Master DataSheet (Rev)'!AI64)</f>
        <v>14</v>
      </c>
      <c r="AM64" s="91">
        <f t="shared" si="29"/>
        <v>14</v>
      </c>
      <c r="AN64" s="92" t="str">
        <f t="shared" si="30"/>
        <v>Increasing</v>
      </c>
      <c r="AO64" s="93">
        <f>VLOOKUP(B64,'Growthrates source'!A$2:H$49,8,FALSE)</f>
        <v>0.11672257510323925</v>
      </c>
      <c r="AP64" s="93">
        <f>VLOOKUP(B64,'Growthrates source'!A$2:I$49,9,FALSE)</f>
        <v>5.6053037042871567E-2</v>
      </c>
      <c r="AQ64" s="86">
        <f t="shared" si="31"/>
        <v>1.6736375196262654</v>
      </c>
      <c r="AR64" s="86">
        <f t="shared" si="32"/>
        <v>3.5493745320048724</v>
      </c>
      <c r="AS64" s="94">
        <f t="shared" si="33"/>
        <v>0</v>
      </c>
      <c r="AT64" s="94">
        <f t="shared" si="34"/>
        <v>1.471113004379062E-3</v>
      </c>
      <c r="AU64" s="94">
        <f t="shared" si="17"/>
        <v>6.1745377763072554E-3</v>
      </c>
      <c r="AV64" s="94">
        <f t="shared" si="18"/>
        <v>6.1745377763072554E-3</v>
      </c>
    </row>
    <row r="65" spans="1:48" x14ac:dyDescent="0.3">
      <c r="A65" s="85" t="str">
        <f>_xlfn.XLOOKUP(B65,'Country codes &amp; Data sources'!G:G,'Country codes &amp; Data sources'!H:H,,0)</f>
        <v>Burkina Faso</v>
      </c>
      <c r="B65" s="85" t="s">
        <v>151</v>
      </c>
      <c r="C65" s="86">
        <v>17113732.499999996</v>
      </c>
      <c r="D65" s="85" t="s">
        <v>133</v>
      </c>
      <c r="E65" s="87">
        <v>0</v>
      </c>
      <c r="F65" s="88">
        <v>17636407.5</v>
      </c>
      <c r="G65" s="87">
        <v>0</v>
      </c>
      <c r="I65" s="87">
        <v>0</v>
      </c>
      <c r="K65" s="87">
        <v>0</v>
      </c>
      <c r="M65" s="87">
        <v>0</v>
      </c>
      <c r="O65" s="87">
        <v>699</v>
      </c>
      <c r="P65" s="88">
        <v>20392723</v>
      </c>
      <c r="Q65" s="87">
        <v>648</v>
      </c>
      <c r="R65" s="87">
        <f t="shared" si="19"/>
        <v>648</v>
      </c>
      <c r="T65" s="87">
        <v>800</v>
      </c>
      <c r="V65" s="87">
        <v>906</v>
      </c>
      <c r="X65" s="87">
        <v>899</v>
      </c>
      <c r="Y65" s="88">
        <v>22673762.000000007</v>
      </c>
      <c r="Z65" s="87">
        <v>0</v>
      </c>
      <c r="AA65" s="87">
        <v>2</v>
      </c>
      <c r="AB65" s="89">
        <f t="shared" si="20"/>
        <v>0</v>
      </c>
      <c r="AC65" s="89">
        <f t="shared" si="21"/>
        <v>800</v>
      </c>
      <c r="AD65" s="89">
        <f t="shared" si="22"/>
        <v>906</v>
      </c>
      <c r="AF65" s="90" t="str">
        <f t="shared" si="23"/>
        <v/>
      </c>
      <c r="AG65" s="90">
        <f t="shared" si="24"/>
        <v>648</v>
      </c>
      <c r="AH65" s="90">
        <f t="shared" si="25"/>
        <v>2018</v>
      </c>
      <c r="AI65" s="90">
        <f t="shared" si="26"/>
        <v>899</v>
      </c>
      <c r="AJ65" s="90">
        <f t="shared" si="27"/>
        <v>2021</v>
      </c>
      <c r="AK65" s="90" t="str">
        <f t="shared" si="28"/>
        <v/>
      </c>
      <c r="AL65" s="91">
        <f>IF(AK65="Adjust",(_xlfn.XLOOKUP(A65,'Adj factor'!A:A,'Adj factor'!I:I,,0)*AI65),'Master DataSheet (Rev)'!AI65)</f>
        <v>899</v>
      </c>
      <c r="AM65" s="91">
        <f t="shared" si="29"/>
        <v>899</v>
      </c>
      <c r="AN65" s="92" t="str">
        <f t="shared" si="30"/>
        <v>Increasing</v>
      </c>
      <c r="AO65" s="93">
        <f>VLOOKUP(B65,'Growthrates source'!A$2:H$49,8,FALSE)</f>
        <v>0.11672257510323925</v>
      </c>
      <c r="AP65" s="93">
        <f>VLOOKUP(B65,'Growthrates source'!A$2:I$49,9,FALSE)</f>
        <v>5.6053037042871567E-2</v>
      </c>
      <c r="AQ65" s="86">
        <f t="shared" si="31"/>
        <v>1.1157583464175103</v>
      </c>
      <c r="AR65" s="86">
        <f t="shared" si="32"/>
        <v>2.3662496880032484</v>
      </c>
      <c r="AS65" s="94">
        <f t="shared" si="33"/>
        <v>0</v>
      </c>
      <c r="AT65" s="94">
        <f t="shared" si="34"/>
        <v>0.31776040894587743</v>
      </c>
      <c r="AU65" s="94">
        <f t="shared" si="17"/>
        <v>0.39649353292144451</v>
      </c>
      <c r="AV65" s="94">
        <f t="shared" si="18"/>
        <v>0.39649353292144451</v>
      </c>
    </row>
    <row r="66" spans="1:48" x14ac:dyDescent="0.3">
      <c r="A66" s="85" t="str">
        <f>_xlfn.XLOOKUP(B66,'Country codes &amp; Data sources'!G:G,'Country codes &amp; Data sources'!H:H,,0)</f>
        <v>Burkina Faso</v>
      </c>
      <c r="B66" s="85" t="s">
        <v>151</v>
      </c>
      <c r="C66" s="86">
        <v>17113732.499999996</v>
      </c>
      <c r="D66" s="85" t="s">
        <v>206</v>
      </c>
      <c r="E66" s="87">
        <v>0</v>
      </c>
      <c r="F66" s="88">
        <v>17636407.5</v>
      </c>
      <c r="G66" s="87">
        <v>0</v>
      </c>
      <c r="I66" s="87">
        <v>0</v>
      </c>
      <c r="K66" s="87">
        <v>0</v>
      </c>
      <c r="M66" s="87">
        <v>0</v>
      </c>
      <c r="O66" s="87">
        <v>0</v>
      </c>
      <c r="P66" s="88">
        <v>20392723</v>
      </c>
      <c r="Q66" s="87">
        <v>0</v>
      </c>
      <c r="R66" s="87">
        <f t="shared" si="19"/>
        <v>0</v>
      </c>
      <c r="T66" s="87">
        <v>0</v>
      </c>
      <c r="V66" s="87">
        <v>0</v>
      </c>
      <c r="X66" s="87">
        <v>8</v>
      </c>
      <c r="Y66" s="88">
        <v>22673762.000000007</v>
      </c>
      <c r="Z66" s="87">
        <v>0</v>
      </c>
      <c r="AA66" s="87">
        <v>0</v>
      </c>
      <c r="AB66" s="89">
        <f t="shared" si="20"/>
        <v>0</v>
      </c>
      <c r="AC66" s="89">
        <f t="shared" si="21"/>
        <v>0</v>
      </c>
      <c r="AD66" s="89">
        <f t="shared" si="22"/>
        <v>8</v>
      </c>
      <c r="AF66" s="90" t="str">
        <f t="shared" si="23"/>
        <v/>
      </c>
      <c r="AH66" s="90" t="str">
        <f t="shared" si="25"/>
        <v/>
      </c>
      <c r="AI66" s="90">
        <f t="shared" si="26"/>
        <v>8</v>
      </c>
      <c r="AJ66" s="90">
        <f t="shared" si="27"/>
        <v>2021</v>
      </c>
      <c r="AK66" s="90" t="str">
        <f t="shared" si="28"/>
        <v/>
      </c>
      <c r="AL66" s="91">
        <f>IF(AK66="Adjust",(_xlfn.XLOOKUP(A66,'Adj factor'!A:A,'Adj factor'!I:I,,0)*AI66),'Master DataSheet (Rev)'!AI66)</f>
        <v>8</v>
      </c>
      <c r="AM66" s="91">
        <f t="shared" si="29"/>
        <v>8</v>
      </c>
      <c r="AN66" s="92" t="str">
        <f t="shared" si="30"/>
        <v>Increasing</v>
      </c>
      <c r="AO66" s="93">
        <f>VLOOKUP(B66,'Growthrates source'!A$2:H$49,8,FALSE)</f>
        <v>0.11672257510323925</v>
      </c>
      <c r="AP66" s="93">
        <f>VLOOKUP(B66,'Growthrates source'!A$2:I$49,9,FALSE)</f>
        <v>5.6053037042871567E-2</v>
      </c>
      <c r="AQ66" s="86">
        <f t="shared" si="31"/>
        <v>0</v>
      </c>
      <c r="AR66" s="86">
        <f t="shared" si="32"/>
        <v>0</v>
      </c>
      <c r="AS66" s="94">
        <f t="shared" si="33"/>
        <v>0</v>
      </c>
      <c r="AT66" s="94">
        <f t="shared" si="34"/>
        <v>0</v>
      </c>
      <c r="AU66" s="94">
        <f t="shared" si="17"/>
        <v>3.5283073007470033E-3</v>
      </c>
      <c r="AV66" s="94">
        <f t="shared" si="18"/>
        <v>3.5283073007470033E-3</v>
      </c>
    </row>
    <row r="67" spans="1:48" x14ac:dyDescent="0.3">
      <c r="A67" s="85" t="str">
        <f>_xlfn.XLOOKUP(B67,'Country codes &amp; Data sources'!G:G,'Country codes &amp; Data sources'!H:H,,0)</f>
        <v>Burkina Faso</v>
      </c>
      <c r="B67" s="85" t="s">
        <v>151</v>
      </c>
      <c r="C67" s="86">
        <v>17113732.499999996</v>
      </c>
      <c r="D67" s="85" t="s">
        <v>136</v>
      </c>
      <c r="E67" s="87">
        <v>109</v>
      </c>
      <c r="F67" s="88">
        <v>17636407.5</v>
      </c>
      <c r="G67" s="87">
        <v>0</v>
      </c>
      <c r="I67" s="87">
        <v>0</v>
      </c>
      <c r="K67" s="87">
        <v>0</v>
      </c>
      <c r="M67" s="87">
        <v>0</v>
      </c>
      <c r="O67" s="87">
        <v>0</v>
      </c>
      <c r="P67" s="88">
        <v>20392723</v>
      </c>
      <c r="Q67" s="87">
        <v>0</v>
      </c>
      <c r="R67" s="87">
        <f t="shared" si="19"/>
        <v>128</v>
      </c>
      <c r="T67" s="87">
        <v>191</v>
      </c>
      <c r="V67" s="87">
        <v>274</v>
      </c>
      <c r="X67" s="87">
        <v>209</v>
      </c>
      <c r="Y67" s="88">
        <v>22673762.000000007</v>
      </c>
      <c r="Z67" s="87">
        <v>0</v>
      </c>
      <c r="AA67" s="87">
        <v>128</v>
      </c>
      <c r="AB67" s="89">
        <f t="shared" si="20"/>
        <v>109</v>
      </c>
      <c r="AC67" s="89">
        <f t="shared" si="21"/>
        <v>191</v>
      </c>
      <c r="AD67" s="89">
        <f t="shared" si="22"/>
        <v>274</v>
      </c>
      <c r="AE67" s="90">
        <f t="shared" si="35"/>
        <v>109</v>
      </c>
      <c r="AF67" s="90">
        <f t="shared" si="23"/>
        <v>2012</v>
      </c>
      <c r="AG67" s="90">
        <f t="shared" si="24"/>
        <v>128</v>
      </c>
      <c r="AH67" s="90" t="str">
        <f t="shared" si="25"/>
        <v>2018 (triag)</v>
      </c>
      <c r="AI67" s="90">
        <f t="shared" si="26"/>
        <v>209</v>
      </c>
      <c r="AJ67" s="90">
        <f t="shared" si="27"/>
        <v>2021</v>
      </c>
      <c r="AK67" s="90" t="str">
        <f t="shared" si="28"/>
        <v/>
      </c>
      <c r="AL67" s="91">
        <f>IF(AK67="Adjust",(_xlfn.XLOOKUP(A67,'Adj factor'!A:A,'Adj factor'!I:I,,0)*AI67),'Master DataSheet (Rev)'!AI67)</f>
        <v>209</v>
      </c>
      <c r="AM67" s="91">
        <f t="shared" si="29"/>
        <v>209</v>
      </c>
      <c r="AN67" s="92" t="str">
        <f t="shared" si="30"/>
        <v>Increasing</v>
      </c>
      <c r="AO67" s="93">
        <f>VLOOKUP(B67,'Growthrates source'!A$2:H$49,8,FALSE)</f>
        <v>0.11672257510323925</v>
      </c>
      <c r="AP67" s="93">
        <f>VLOOKUP(B67,'Growthrates source'!A$2:I$49,9,FALSE)</f>
        <v>5.6053037042871567E-2</v>
      </c>
      <c r="AQ67" s="86">
        <f t="shared" si="31"/>
        <v>71.408534170720657</v>
      </c>
      <c r="AR67" s="86">
        <f t="shared" si="32"/>
        <v>151.4399800322079</v>
      </c>
      <c r="AS67" s="94">
        <f t="shared" si="33"/>
        <v>6.1803969997858123E-2</v>
      </c>
      <c r="AT67" s="94">
        <f t="shared" si="34"/>
        <v>6.2767488186839984E-2</v>
      </c>
      <c r="AU67" s="94">
        <f t="shared" ref="AU67:AU130" si="36">(AL67*10000)/Y67</f>
        <v>9.2177028232015457E-2</v>
      </c>
      <c r="AV67" s="94">
        <f t="shared" ref="AV67:AV130" si="37">(AM67*10000)/Y67</f>
        <v>9.2177028232015457E-2</v>
      </c>
    </row>
    <row r="68" spans="1:48" x14ac:dyDescent="0.3">
      <c r="A68" s="85" t="str">
        <f>_xlfn.XLOOKUP(B68,'Country codes &amp; Data sources'!G:G,'Country codes &amp; Data sources'!H:H,,0)</f>
        <v>Burkina Faso</v>
      </c>
      <c r="B68" s="85" t="s">
        <v>151</v>
      </c>
      <c r="C68" s="86">
        <v>17113732.499999996</v>
      </c>
      <c r="D68" s="85" t="s">
        <v>207</v>
      </c>
      <c r="E68" s="87">
        <v>0</v>
      </c>
      <c r="F68" s="88">
        <v>17636407.5</v>
      </c>
      <c r="G68" s="87">
        <v>0</v>
      </c>
      <c r="I68" s="87">
        <v>0</v>
      </c>
      <c r="K68" s="87">
        <v>0</v>
      </c>
      <c r="M68" s="87">
        <v>0</v>
      </c>
      <c r="O68" s="87">
        <v>0</v>
      </c>
      <c r="P68" s="88">
        <v>20392723</v>
      </c>
      <c r="Q68" s="87">
        <v>0</v>
      </c>
      <c r="R68" s="87">
        <f t="shared" si="19"/>
        <v>4</v>
      </c>
      <c r="T68" s="87">
        <v>0</v>
      </c>
      <c r="V68" s="87">
        <v>0</v>
      </c>
      <c r="X68" s="87">
        <v>0</v>
      </c>
      <c r="Y68" s="88">
        <v>22673762.000000007</v>
      </c>
      <c r="Z68" s="87">
        <v>44</v>
      </c>
      <c r="AA68" s="87">
        <v>4</v>
      </c>
      <c r="AB68" s="89">
        <f t="shared" si="20"/>
        <v>0</v>
      </c>
      <c r="AC68" s="89">
        <f t="shared" si="21"/>
        <v>0</v>
      </c>
      <c r="AD68" s="89">
        <f t="shared" si="22"/>
        <v>44</v>
      </c>
      <c r="AF68" s="90" t="str">
        <f t="shared" si="23"/>
        <v/>
      </c>
      <c r="AG68" s="90">
        <f t="shared" si="24"/>
        <v>4</v>
      </c>
      <c r="AH68" s="90" t="str">
        <f t="shared" si="25"/>
        <v>2018 (triag)</v>
      </c>
      <c r="AI68" s="90">
        <f t="shared" si="26"/>
        <v>44</v>
      </c>
      <c r="AJ68" s="90">
        <f t="shared" si="27"/>
        <v>2022</v>
      </c>
      <c r="AK68" s="90" t="str">
        <f t="shared" si="28"/>
        <v/>
      </c>
      <c r="AL68" s="91">
        <f>IF(AK68="Adjust",(_xlfn.XLOOKUP(A68,'Adj factor'!A:A,'Adj factor'!I:I,,0)*AI68),'Master DataSheet (Rev)'!AI68)</f>
        <v>44</v>
      </c>
      <c r="AM68" s="91">
        <f t="shared" si="29"/>
        <v>44</v>
      </c>
      <c r="AN68" s="92" t="str">
        <f t="shared" si="30"/>
        <v>Increasing</v>
      </c>
      <c r="AO68" s="93">
        <f>VLOOKUP(B68,'Growthrates source'!A$2:H$49,8,FALSE)</f>
        <v>0.11672257510323925</v>
      </c>
      <c r="AP68" s="93">
        <f>VLOOKUP(B68,'Growthrates source'!A$2:I$49,9,FALSE)</f>
        <v>5.6053037042871567E-2</v>
      </c>
      <c r="AQ68" s="86">
        <f t="shared" si="31"/>
        <v>2.2315166928350205</v>
      </c>
      <c r="AR68" s="86">
        <f t="shared" si="32"/>
        <v>4.7324993760064968</v>
      </c>
      <c r="AS68" s="94">
        <f t="shared" si="33"/>
        <v>0</v>
      </c>
      <c r="AT68" s="94">
        <f t="shared" si="34"/>
        <v>1.9614840058387495E-3</v>
      </c>
      <c r="AU68" s="94">
        <f t="shared" si="36"/>
        <v>1.9405690154108517E-2</v>
      </c>
      <c r="AV68" s="94">
        <f t="shared" si="37"/>
        <v>1.9405690154108517E-2</v>
      </c>
    </row>
    <row r="69" spans="1:48" x14ac:dyDescent="0.3">
      <c r="A69" s="85" t="str">
        <f>_xlfn.XLOOKUP(B69,'Country codes &amp; Data sources'!G:G,'Country codes &amp; Data sources'!H:H,,0)</f>
        <v>Burkina Faso</v>
      </c>
      <c r="B69" s="85" t="s">
        <v>151</v>
      </c>
      <c r="C69" s="86">
        <v>17113732.499999996</v>
      </c>
      <c r="D69" s="85" t="s">
        <v>141</v>
      </c>
      <c r="E69" s="87">
        <v>0</v>
      </c>
      <c r="F69" s="88">
        <v>17636407.5</v>
      </c>
      <c r="G69" s="87">
        <v>0</v>
      </c>
      <c r="I69" s="87">
        <v>0</v>
      </c>
      <c r="K69" s="87">
        <v>0</v>
      </c>
      <c r="M69" s="87">
        <v>0</v>
      </c>
      <c r="O69" s="87">
        <v>3</v>
      </c>
      <c r="P69" s="88">
        <v>20392723</v>
      </c>
      <c r="Q69" s="87">
        <v>0</v>
      </c>
      <c r="R69" s="87">
        <f t="shared" si="19"/>
        <v>3</v>
      </c>
      <c r="T69" s="87">
        <v>0</v>
      </c>
      <c r="V69" s="87">
        <v>3</v>
      </c>
      <c r="X69" s="87">
        <v>3</v>
      </c>
      <c r="Y69" s="88">
        <v>22673762.000000007</v>
      </c>
      <c r="Z69" s="87">
        <v>2</v>
      </c>
      <c r="AA69" s="87">
        <v>3</v>
      </c>
      <c r="AB69" s="89">
        <f t="shared" si="20"/>
        <v>0</v>
      </c>
      <c r="AC69" s="89">
        <f t="shared" si="21"/>
        <v>3</v>
      </c>
      <c r="AD69" s="89">
        <f t="shared" si="22"/>
        <v>3</v>
      </c>
      <c r="AF69" s="90" t="str">
        <f t="shared" si="23"/>
        <v/>
      </c>
      <c r="AG69" s="90">
        <f t="shared" si="24"/>
        <v>3</v>
      </c>
      <c r="AH69" s="90">
        <f t="shared" si="25"/>
        <v>2017</v>
      </c>
      <c r="AI69" s="90">
        <f t="shared" si="26"/>
        <v>2</v>
      </c>
      <c r="AJ69" s="90">
        <f t="shared" si="27"/>
        <v>2022</v>
      </c>
      <c r="AK69" s="90" t="str">
        <f t="shared" si="28"/>
        <v>Adjust</v>
      </c>
      <c r="AL69" s="91">
        <f>IF(AK69="Adjust",(_xlfn.XLOOKUP(A69,'Adj factor'!A:A,'Adj factor'!I:I,,0)*AI69),'Master DataSheet (Rev)'!AI69)</f>
        <v>2.0546664132294241</v>
      </c>
      <c r="AM69" s="91">
        <f t="shared" si="29"/>
        <v>3</v>
      </c>
      <c r="AN69" s="92" t="str">
        <f t="shared" si="30"/>
        <v>Decreasing</v>
      </c>
      <c r="AO69" s="93">
        <f>VLOOKUP(B69,'Growthrates source'!A$2:H$49,8,FALSE)</f>
        <v>0.11672257510323925</v>
      </c>
      <c r="AP69" s="93">
        <f>VLOOKUP(B69,'Growthrates source'!A$2:I$49,9,FALSE)</f>
        <v>5.6053037042871567E-2</v>
      </c>
      <c r="AQ69" s="86">
        <f t="shared" si="31"/>
        <v>1.6736375196262654</v>
      </c>
      <c r="AR69" s="86">
        <f t="shared" si="32"/>
        <v>3.5493745320048724</v>
      </c>
      <c r="AS69" s="94">
        <f t="shared" si="33"/>
        <v>0</v>
      </c>
      <c r="AT69" s="94">
        <f t="shared" si="34"/>
        <v>1.471113004379062E-3</v>
      </c>
      <c r="AU69" s="94">
        <f t="shared" si="36"/>
        <v>9.0618681329962948E-4</v>
      </c>
      <c r="AV69" s="94">
        <f t="shared" si="37"/>
        <v>1.3231152377801262E-3</v>
      </c>
    </row>
    <row r="70" spans="1:48" x14ac:dyDescent="0.3">
      <c r="A70" s="85" t="str">
        <f>_xlfn.XLOOKUP(B70,'Country codes &amp; Data sources'!G:G,'Country codes &amp; Data sources'!H:H,,0)</f>
        <v>Burkina Faso</v>
      </c>
      <c r="B70" s="85" t="s">
        <v>151</v>
      </c>
      <c r="C70" s="86">
        <v>17113732.499999996</v>
      </c>
      <c r="D70" s="85" t="s">
        <v>208</v>
      </c>
      <c r="E70" s="87">
        <v>0</v>
      </c>
      <c r="F70" s="88">
        <v>17636407.5</v>
      </c>
      <c r="G70" s="87">
        <v>0</v>
      </c>
      <c r="I70" s="87">
        <v>0</v>
      </c>
      <c r="K70" s="87">
        <v>0</v>
      </c>
      <c r="M70" s="87">
        <v>0</v>
      </c>
      <c r="O70" s="87">
        <v>0</v>
      </c>
      <c r="P70" s="88">
        <v>20392723</v>
      </c>
      <c r="Q70" s="87">
        <v>0</v>
      </c>
      <c r="R70" s="87">
        <f t="shared" si="19"/>
        <v>871</v>
      </c>
      <c r="T70" s="87">
        <v>22</v>
      </c>
      <c r="V70" s="87">
        <v>0</v>
      </c>
      <c r="X70" s="87">
        <v>0</v>
      </c>
      <c r="Y70" s="88">
        <v>22673762.000000007</v>
      </c>
      <c r="Z70" s="87">
        <v>0</v>
      </c>
      <c r="AA70" s="87">
        <v>871</v>
      </c>
      <c r="AB70" s="89">
        <f t="shared" si="20"/>
        <v>0</v>
      </c>
      <c r="AC70" s="89">
        <f t="shared" si="21"/>
        <v>22</v>
      </c>
      <c r="AD70" s="89">
        <f t="shared" si="22"/>
        <v>0</v>
      </c>
      <c r="AF70" s="90" t="str">
        <f t="shared" si="23"/>
        <v/>
      </c>
      <c r="AG70" s="90">
        <f t="shared" si="24"/>
        <v>871</v>
      </c>
      <c r="AH70" s="90" t="str">
        <f t="shared" si="25"/>
        <v>2018 (triag)</v>
      </c>
      <c r="AI70" s="90">
        <f t="shared" si="26"/>
        <v>22</v>
      </c>
      <c r="AJ70" s="90" t="str">
        <f t="shared" si="27"/>
        <v>2018 (triag)</v>
      </c>
      <c r="AK70" s="90" t="str">
        <f t="shared" si="28"/>
        <v>Adjust</v>
      </c>
      <c r="AL70" s="91">
        <f>IF(AK70="Adjust",(_xlfn.XLOOKUP(A70,'Adj factor'!A:A,'Adj factor'!I:I,,0)*AI70),'Master DataSheet (Rev)'!AI70)</f>
        <v>22.601330545523666</v>
      </c>
      <c r="AM70" s="91">
        <f t="shared" si="29"/>
        <v>871</v>
      </c>
      <c r="AN70" s="92" t="str">
        <f t="shared" si="30"/>
        <v>Decreasing</v>
      </c>
      <c r="AO70" s="93">
        <f>VLOOKUP(B70,'Growthrates source'!A$2:H$49,8,FALSE)</f>
        <v>0.11672257510323925</v>
      </c>
      <c r="AP70" s="93">
        <f>VLOOKUP(B70,'Growthrates source'!A$2:I$49,9,FALSE)</f>
        <v>5.6053037042871567E-2</v>
      </c>
      <c r="AQ70" s="86">
        <f t="shared" si="31"/>
        <v>485.91275986482572</v>
      </c>
      <c r="AR70" s="86">
        <f t="shared" si="32"/>
        <v>1030.5017391254146</v>
      </c>
      <c r="AS70" s="94">
        <f t="shared" si="33"/>
        <v>0</v>
      </c>
      <c r="AT70" s="94">
        <f t="shared" si="34"/>
        <v>0.42711314227138769</v>
      </c>
      <c r="AU70" s="94">
        <f t="shared" si="36"/>
        <v>9.9680549462959258E-3</v>
      </c>
      <c r="AV70" s="94">
        <f t="shared" si="37"/>
        <v>0.38414445736882996</v>
      </c>
    </row>
    <row r="71" spans="1:48" x14ac:dyDescent="0.3">
      <c r="A71" s="85" t="str">
        <f>_xlfn.XLOOKUP(B71,'Country codes &amp; Data sources'!G:G,'Country codes &amp; Data sources'!H:H,,0)</f>
        <v>Burkina Faso</v>
      </c>
      <c r="B71" s="85" t="s">
        <v>151</v>
      </c>
      <c r="C71" s="86">
        <v>17113732.499999996</v>
      </c>
      <c r="D71" s="85" t="s">
        <v>209</v>
      </c>
      <c r="E71" s="87">
        <v>0</v>
      </c>
      <c r="F71" s="88">
        <v>17636407.5</v>
      </c>
      <c r="G71" s="87">
        <v>0</v>
      </c>
      <c r="I71" s="87">
        <v>0</v>
      </c>
      <c r="K71" s="87">
        <v>0</v>
      </c>
      <c r="M71" s="87">
        <v>0</v>
      </c>
      <c r="O71" s="87">
        <v>0</v>
      </c>
      <c r="P71" s="88">
        <v>20392723</v>
      </c>
      <c r="Q71" s="87">
        <v>0</v>
      </c>
      <c r="R71" s="87">
        <f t="shared" si="19"/>
        <v>44</v>
      </c>
      <c r="T71" s="87">
        <v>2079</v>
      </c>
      <c r="V71" s="87">
        <v>0</v>
      </c>
      <c r="X71" s="87">
        <v>0</v>
      </c>
      <c r="Y71" s="88">
        <v>22673762.000000007</v>
      </c>
      <c r="Z71" s="87">
        <v>0</v>
      </c>
      <c r="AA71" s="87">
        <v>44</v>
      </c>
      <c r="AB71" s="89">
        <f t="shared" si="20"/>
        <v>0</v>
      </c>
      <c r="AC71" s="89">
        <f t="shared" si="21"/>
        <v>2079</v>
      </c>
      <c r="AD71" s="89">
        <f t="shared" si="22"/>
        <v>0</v>
      </c>
      <c r="AF71" s="90" t="str">
        <f t="shared" si="23"/>
        <v/>
      </c>
      <c r="AG71" s="90">
        <f t="shared" si="24"/>
        <v>44</v>
      </c>
      <c r="AH71" s="90" t="str">
        <f t="shared" si="25"/>
        <v>2018 (triag)</v>
      </c>
      <c r="AI71" s="90">
        <f t="shared" si="26"/>
        <v>2079</v>
      </c>
      <c r="AJ71" s="90" t="str">
        <f t="shared" si="27"/>
        <v>2018 (triag)</v>
      </c>
      <c r="AK71" s="90" t="str">
        <f t="shared" si="28"/>
        <v/>
      </c>
      <c r="AL71" s="91">
        <f>IF(AK71="Adjust",(_xlfn.XLOOKUP(A71,'Adj factor'!A:A,'Adj factor'!I:I,,0)*AI71),'Master DataSheet (Rev)'!AI71)</f>
        <v>2079</v>
      </c>
      <c r="AM71" s="91">
        <f t="shared" si="29"/>
        <v>2079</v>
      </c>
      <c r="AN71" s="92" t="str">
        <f t="shared" si="30"/>
        <v>Increasing</v>
      </c>
      <c r="AO71" s="93">
        <f>VLOOKUP(B71,'Growthrates source'!A$2:H$49,8,FALSE)</f>
        <v>0.11672257510323925</v>
      </c>
      <c r="AP71" s="93">
        <f>VLOOKUP(B71,'Growthrates source'!A$2:I$49,9,FALSE)</f>
        <v>5.6053037042871567E-2</v>
      </c>
      <c r="AQ71" s="86">
        <f t="shared" si="31"/>
        <v>24.546683621185224</v>
      </c>
      <c r="AR71" s="86">
        <f t="shared" si="32"/>
        <v>52.057493136071464</v>
      </c>
      <c r="AS71" s="94">
        <f t="shared" si="33"/>
        <v>0</v>
      </c>
      <c r="AT71" s="94">
        <f t="shared" si="34"/>
        <v>2.1576324064226243E-2</v>
      </c>
      <c r="AU71" s="94">
        <f t="shared" si="36"/>
        <v>0.91691885978162746</v>
      </c>
      <c r="AV71" s="94">
        <f t="shared" si="37"/>
        <v>0.91691885978162746</v>
      </c>
    </row>
    <row r="72" spans="1:48" x14ac:dyDescent="0.3">
      <c r="A72" s="85" t="str">
        <f>_xlfn.XLOOKUP(B72,'Country codes &amp; Data sources'!G:G,'Country codes &amp; Data sources'!H:H,,0)</f>
        <v>Burkina Faso</v>
      </c>
      <c r="B72" s="85" t="s">
        <v>151</v>
      </c>
      <c r="C72" s="86">
        <v>17113732.499999996</v>
      </c>
      <c r="D72" s="85" t="s">
        <v>134</v>
      </c>
      <c r="E72" s="87">
        <v>458</v>
      </c>
      <c r="F72" s="88">
        <v>17636407.5</v>
      </c>
      <c r="G72" s="87">
        <v>0</v>
      </c>
      <c r="I72" s="87">
        <v>0</v>
      </c>
      <c r="K72" s="87">
        <v>0</v>
      </c>
      <c r="M72" s="87">
        <v>0</v>
      </c>
      <c r="O72" s="87">
        <v>0</v>
      </c>
      <c r="P72" s="88">
        <v>20392723</v>
      </c>
      <c r="Q72" s="87">
        <v>0</v>
      </c>
      <c r="R72" s="87">
        <f t="shared" si="19"/>
        <v>699</v>
      </c>
      <c r="T72" s="87">
        <v>0</v>
      </c>
      <c r="V72" s="87">
        <v>0</v>
      </c>
      <c r="X72" s="87">
        <v>0</v>
      </c>
      <c r="Y72" s="88">
        <v>22673762.000000007</v>
      </c>
      <c r="Z72" s="87">
        <v>0</v>
      </c>
      <c r="AA72" s="87">
        <v>699</v>
      </c>
      <c r="AB72" s="89">
        <f t="shared" si="20"/>
        <v>458</v>
      </c>
      <c r="AC72" s="89">
        <f t="shared" si="21"/>
        <v>0</v>
      </c>
      <c r="AD72" s="89">
        <f t="shared" si="22"/>
        <v>0</v>
      </c>
      <c r="AE72" s="90">
        <f t="shared" si="35"/>
        <v>458</v>
      </c>
      <c r="AF72" s="90">
        <f t="shared" si="23"/>
        <v>2012</v>
      </c>
      <c r="AG72" s="90">
        <f t="shared" si="24"/>
        <v>699</v>
      </c>
      <c r="AH72" s="90" t="str">
        <f t="shared" si="25"/>
        <v>2018 (triag)</v>
      </c>
      <c r="AI72" s="90">
        <f t="shared" si="26"/>
        <v>699</v>
      </c>
      <c r="AJ72" s="90" t="str">
        <f t="shared" si="27"/>
        <v>2018 (triag)</v>
      </c>
      <c r="AK72" s="90" t="str">
        <f t="shared" si="28"/>
        <v/>
      </c>
      <c r="AL72" s="91">
        <f>IF(AK72="Adjust",(_xlfn.XLOOKUP(A72,'Adj factor'!A:A,'Adj factor'!I:I,,0)*AI72),'Master DataSheet (Rev)'!AI72)</f>
        <v>699</v>
      </c>
      <c r="AM72" s="91">
        <f t="shared" si="29"/>
        <v>699</v>
      </c>
      <c r="AN72" s="92" t="str">
        <f t="shared" si="30"/>
        <v>No change</v>
      </c>
      <c r="AO72" s="93">
        <f>VLOOKUP(B72,'Growthrates source'!A$2:H$49,8,FALSE)</f>
        <v>0.11672257510323925</v>
      </c>
      <c r="AP72" s="93">
        <f>VLOOKUP(B72,'Growthrates source'!A$2:I$49,9,FALSE)</f>
        <v>5.6053037042871567E-2</v>
      </c>
      <c r="AQ72" s="86">
        <f t="shared" si="31"/>
        <v>389.95754207291981</v>
      </c>
      <c r="AR72" s="86">
        <f t="shared" si="32"/>
        <v>827.00426595713532</v>
      </c>
      <c r="AS72" s="94">
        <f t="shared" si="33"/>
        <v>0.25969007577081671</v>
      </c>
      <c r="AT72" s="94">
        <f t="shared" si="34"/>
        <v>0.34276933002032145</v>
      </c>
      <c r="AU72" s="94">
        <f t="shared" si="36"/>
        <v>0.3082858504027694</v>
      </c>
      <c r="AV72" s="94">
        <f t="shared" si="37"/>
        <v>0.3082858504027694</v>
      </c>
    </row>
    <row r="73" spans="1:48" x14ac:dyDescent="0.3">
      <c r="A73" s="85" t="str">
        <f>_xlfn.XLOOKUP(B73,'Country codes &amp; Data sources'!G:G,'Country codes &amp; Data sources'!H:H,,0)</f>
        <v>Burkina Faso</v>
      </c>
      <c r="B73" s="85" t="s">
        <v>151</v>
      </c>
      <c r="C73" s="86">
        <v>17113732.499999996</v>
      </c>
      <c r="D73" s="85" t="s">
        <v>142</v>
      </c>
      <c r="E73" s="87">
        <v>0</v>
      </c>
      <c r="F73" s="88">
        <v>17636407.5</v>
      </c>
      <c r="G73" s="87">
        <v>0</v>
      </c>
      <c r="I73" s="87">
        <v>0</v>
      </c>
      <c r="K73" s="87">
        <v>0</v>
      </c>
      <c r="M73" s="87">
        <v>0</v>
      </c>
      <c r="O73" s="87">
        <v>0</v>
      </c>
      <c r="P73" s="88">
        <v>20392723</v>
      </c>
      <c r="Q73" s="87">
        <v>0</v>
      </c>
      <c r="R73" s="87">
        <f t="shared" si="19"/>
        <v>0</v>
      </c>
      <c r="T73" s="87">
        <v>0</v>
      </c>
      <c r="V73" s="87">
        <v>0</v>
      </c>
      <c r="X73" s="87">
        <v>0</v>
      </c>
      <c r="Y73" s="88">
        <v>22673762.000000007</v>
      </c>
      <c r="Z73" s="87">
        <v>1698</v>
      </c>
      <c r="AA73" s="87">
        <v>0</v>
      </c>
      <c r="AB73" s="89">
        <f t="shared" si="20"/>
        <v>0</v>
      </c>
      <c r="AC73" s="89">
        <f t="shared" si="21"/>
        <v>0</v>
      </c>
      <c r="AD73" s="89">
        <f t="shared" si="22"/>
        <v>1698</v>
      </c>
      <c r="AF73" s="90" t="str">
        <f t="shared" si="23"/>
        <v/>
      </c>
      <c r="AH73" s="90" t="str">
        <f t="shared" si="25"/>
        <v/>
      </c>
      <c r="AI73" s="90">
        <f t="shared" si="26"/>
        <v>1698</v>
      </c>
      <c r="AJ73" s="90">
        <f t="shared" si="27"/>
        <v>2022</v>
      </c>
      <c r="AK73" s="90" t="str">
        <f t="shared" si="28"/>
        <v/>
      </c>
      <c r="AL73" s="91">
        <f>IF(AK73="Adjust",(_xlfn.XLOOKUP(A73,'Adj factor'!A:A,'Adj factor'!I:I,,0)*AI73),'Master DataSheet (Rev)'!AI73)</f>
        <v>1698</v>
      </c>
      <c r="AM73" s="91">
        <f t="shared" si="29"/>
        <v>1698</v>
      </c>
      <c r="AN73" s="92" t="str">
        <f t="shared" si="30"/>
        <v>Increasing</v>
      </c>
      <c r="AO73" s="93">
        <f>VLOOKUP(B73,'Growthrates source'!A$2:H$49,8,FALSE)</f>
        <v>0.11672257510323925</v>
      </c>
      <c r="AP73" s="93">
        <f>VLOOKUP(B73,'Growthrates source'!A$2:I$49,9,FALSE)</f>
        <v>5.6053037042871567E-2</v>
      </c>
      <c r="AQ73" s="86">
        <f t="shared" si="31"/>
        <v>0</v>
      </c>
      <c r="AR73" s="86">
        <f t="shared" si="32"/>
        <v>0</v>
      </c>
      <c r="AS73" s="94">
        <f t="shared" si="33"/>
        <v>0</v>
      </c>
      <c r="AT73" s="94">
        <f t="shared" si="34"/>
        <v>0</v>
      </c>
      <c r="AU73" s="94">
        <f t="shared" si="36"/>
        <v>0.74888322458355139</v>
      </c>
      <c r="AV73" s="94">
        <f t="shared" si="37"/>
        <v>0.74888322458355139</v>
      </c>
    </row>
    <row r="74" spans="1:48" x14ac:dyDescent="0.3">
      <c r="A74" s="85" t="str">
        <f>_xlfn.XLOOKUP(B74,'Country codes &amp; Data sources'!G:G,'Country codes &amp; Data sources'!H:H,,0)</f>
        <v>Burkina Faso</v>
      </c>
      <c r="B74" s="85" t="s">
        <v>151</v>
      </c>
      <c r="C74" s="86">
        <v>17113732.499999996</v>
      </c>
      <c r="D74" s="85" t="s">
        <v>83</v>
      </c>
      <c r="E74" s="87">
        <v>0</v>
      </c>
      <c r="F74" s="88">
        <v>17636407.5</v>
      </c>
      <c r="G74" s="87">
        <v>0</v>
      </c>
      <c r="I74" s="87">
        <v>0</v>
      </c>
      <c r="K74" s="87">
        <v>0</v>
      </c>
      <c r="M74" s="87">
        <v>0</v>
      </c>
      <c r="O74" s="87">
        <v>18</v>
      </c>
      <c r="P74" s="88">
        <v>20392723</v>
      </c>
      <c r="Q74" s="87">
        <v>0</v>
      </c>
      <c r="R74" s="87">
        <f t="shared" si="19"/>
        <v>18</v>
      </c>
      <c r="T74" s="87">
        <v>0</v>
      </c>
      <c r="V74" s="87">
        <v>22</v>
      </c>
      <c r="X74" s="87">
        <v>47</v>
      </c>
      <c r="Y74" s="88">
        <v>22673762.000000007</v>
      </c>
      <c r="Z74" s="87">
        <v>0</v>
      </c>
      <c r="AA74" s="87">
        <v>18</v>
      </c>
      <c r="AB74" s="89">
        <f t="shared" si="20"/>
        <v>0</v>
      </c>
      <c r="AC74" s="89">
        <f t="shared" si="21"/>
        <v>18</v>
      </c>
      <c r="AD74" s="89">
        <f t="shared" si="22"/>
        <v>47</v>
      </c>
      <c r="AF74" s="90" t="str">
        <f t="shared" si="23"/>
        <v/>
      </c>
      <c r="AG74" s="90">
        <f t="shared" si="24"/>
        <v>18</v>
      </c>
      <c r="AH74" s="90">
        <f t="shared" si="25"/>
        <v>2017</v>
      </c>
      <c r="AI74" s="90">
        <f t="shared" si="26"/>
        <v>47</v>
      </c>
      <c r="AJ74" s="90">
        <f t="shared" si="27"/>
        <v>2021</v>
      </c>
      <c r="AK74" s="90" t="str">
        <f t="shared" si="28"/>
        <v/>
      </c>
      <c r="AL74" s="91">
        <f>IF(AK74="Adjust",(_xlfn.XLOOKUP(A74,'Adj factor'!A:A,'Adj factor'!I:I,,0)*AI74),'Master DataSheet (Rev)'!AI74)</f>
        <v>47</v>
      </c>
      <c r="AM74" s="91">
        <f t="shared" si="29"/>
        <v>47</v>
      </c>
      <c r="AN74" s="92" t="str">
        <f t="shared" si="30"/>
        <v>Increasing</v>
      </c>
      <c r="AO74" s="93">
        <f>VLOOKUP(B74,'Growthrates source'!A$2:H$49,8,FALSE)</f>
        <v>0.11672257510323925</v>
      </c>
      <c r="AP74" s="93">
        <f>VLOOKUP(B74,'Growthrates source'!A$2:I$49,9,FALSE)</f>
        <v>5.6053037042871567E-2</v>
      </c>
      <c r="AQ74" s="86">
        <f t="shared" si="31"/>
        <v>10.041825117757591</v>
      </c>
      <c r="AR74" s="86">
        <f t="shared" si="32"/>
        <v>21.296247192029234</v>
      </c>
      <c r="AS74" s="94">
        <f t="shared" si="33"/>
        <v>0</v>
      </c>
      <c r="AT74" s="94">
        <f t="shared" si="34"/>
        <v>8.8266780262743726E-3</v>
      </c>
      <c r="AU74" s="94">
        <f t="shared" si="36"/>
        <v>2.0728805391888643E-2</v>
      </c>
      <c r="AV74" s="94">
        <f t="shared" si="37"/>
        <v>2.0728805391888643E-2</v>
      </c>
    </row>
    <row r="75" spans="1:48" x14ac:dyDescent="0.3">
      <c r="A75" s="85" t="str">
        <f>_xlfn.XLOOKUP(B75,'Country codes &amp; Data sources'!G:G,'Country codes &amp; Data sources'!H:H,,0)</f>
        <v>Burkina Faso</v>
      </c>
      <c r="B75" s="85" t="s">
        <v>151</v>
      </c>
      <c r="C75" s="86">
        <v>17113732.499999996</v>
      </c>
      <c r="D75" s="85" t="s">
        <v>84</v>
      </c>
      <c r="E75" s="87">
        <v>0</v>
      </c>
      <c r="F75" s="88">
        <v>17636407.5</v>
      </c>
      <c r="G75" s="87">
        <v>0</v>
      </c>
      <c r="I75" s="87">
        <v>0</v>
      </c>
      <c r="K75" s="87">
        <v>0</v>
      </c>
      <c r="M75" s="87">
        <v>0</v>
      </c>
      <c r="O75" s="87">
        <v>0</v>
      </c>
      <c r="P75" s="88">
        <v>20392723</v>
      </c>
      <c r="Q75" s="87">
        <v>0</v>
      </c>
      <c r="R75" s="87">
        <f t="shared" si="19"/>
        <v>0</v>
      </c>
      <c r="T75" s="87">
        <v>34</v>
      </c>
      <c r="V75" s="87">
        <v>0</v>
      </c>
      <c r="X75" s="87">
        <v>0</v>
      </c>
      <c r="Y75" s="88">
        <v>22673762.000000007</v>
      </c>
      <c r="Z75" s="87">
        <v>39</v>
      </c>
      <c r="AA75" s="87">
        <v>0</v>
      </c>
      <c r="AB75" s="89">
        <f t="shared" si="20"/>
        <v>0</v>
      </c>
      <c r="AC75" s="89">
        <f t="shared" si="21"/>
        <v>34</v>
      </c>
      <c r="AD75" s="89">
        <f t="shared" si="22"/>
        <v>39</v>
      </c>
      <c r="AF75" s="90" t="str">
        <f t="shared" si="23"/>
        <v/>
      </c>
      <c r="AG75" s="90">
        <f t="shared" si="24"/>
        <v>34</v>
      </c>
      <c r="AH75" s="90">
        <f t="shared" si="25"/>
        <v>2019</v>
      </c>
      <c r="AI75" s="90">
        <f t="shared" si="26"/>
        <v>39</v>
      </c>
      <c r="AJ75" s="90">
        <f t="shared" si="27"/>
        <v>2022</v>
      </c>
      <c r="AK75" s="90" t="str">
        <f t="shared" si="28"/>
        <v/>
      </c>
      <c r="AL75" s="91">
        <f>IF(AK75="Adjust",(_xlfn.XLOOKUP(A75,'Adj factor'!A:A,'Adj factor'!I:I,,0)*AI75),'Master DataSheet (Rev)'!AI75)</f>
        <v>39</v>
      </c>
      <c r="AM75" s="91">
        <f t="shared" si="29"/>
        <v>39</v>
      </c>
      <c r="AN75" s="92" t="str">
        <f t="shared" si="30"/>
        <v>Increasing</v>
      </c>
      <c r="AO75" s="93">
        <f>VLOOKUP(B75,'Growthrates source'!A$2:H$49,8,FALSE)</f>
        <v>0.11672257510323925</v>
      </c>
      <c r="AP75" s="93">
        <f>VLOOKUP(B75,'Growthrates source'!A$2:I$49,9,FALSE)</f>
        <v>5.6053037042871567E-2</v>
      </c>
      <c r="AQ75" s="86">
        <f t="shared" si="31"/>
        <v>0</v>
      </c>
      <c r="AR75" s="86">
        <f t="shared" si="32"/>
        <v>0</v>
      </c>
      <c r="AS75" s="94">
        <f t="shared" si="33"/>
        <v>0</v>
      </c>
      <c r="AT75" s="94">
        <f t="shared" si="34"/>
        <v>1.6672614049629369E-2</v>
      </c>
      <c r="AU75" s="94">
        <f t="shared" si="36"/>
        <v>1.7200498091141641E-2</v>
      </c>
      <c r="AV75" s="94">
        <f t="shared" si="37"/>
        <v>1.7200498091141641E-2</v>
      </c>
    </row>
    <row r="76" spans="1:48" x14ac:dyDescent="0.3">
      <c r="A76" s="85" t="str">
        <f>_xlfn.XLOOKUP(B76,'Country codes &amp; Data sources'!G:G,'Country codes &amp; Data sources'!H:H,,0)</f>
        <v>Burkina Faso</v>
      </c>
      <c r="B76" s="85" t="s">
        <v>151</v>
      </c>
      <c r="C76" s="86">
        <v>17113732.499999996</v>
      </c>
      <c r="D76" s="85" t="s">
        <v>126</v>
      </c>
      <c r="E76" s="87">
        <v>0</v>
      </c>
      <c r="F76" s="88">
        <v>17636407.5</v>
      </c>
      <c r="G76" s="87">
        <v>0</v>
      </c>
      <c r="I76" s="87">
        <v>0</v>
      </c>
      <c r="K76" s="87">
        <v>0</v>
      </c>
      <c r="M76" s="87">
        <v>0</v>
      </c>
      <c r="O76" s="87">
        <v>0</v>
      </c>
      <c r="P76" s="88">
        <v>20392723</v>
      </c>
      <c r="Q76" s="87">
        <v>0</v>
      </c>
      <c r="R76" s="87">
        <f t="shared" si="19"/>
        <v>0</v>
      </c>
      <c r="T76" s="87">
        <v>0</v>
      </c>
      <c r="V76" s="87">
        <v>0</v>
      </c>
      <c r="X76" s="87">
        <v>0</v>
      </c>
      <c r="Y76" s="88">
        <v>22673762.000000007</v>
      </c>
      <c r="Z76" s="87">
        <v>0</v>
      </c>
      <c r="AA76" s="87">
        <v>0</v>
      </c>
      <c r="AB76" s="89">
        <f t="shared" si="20"/>
        <v>0</v>
      </c>
      <c r="AC76" s="89">
        <f t="shared" si="21"/>
        <v>0</v>
      </c>
      <c r="AD76" s="89">
        <f t="shared" si="22"/>
        <v>0</v>
      </c>
      <c r="AF76" s="90" t="str">
        <f t="shared" si="23"/>
        <v/>
      </c>
      <c r="AH76" s="90" t="str">
        <f t="shared" si="25"/>
        <v/>
      </c>
      <c r="AI76" s="90">
        <f t="shared" si="26"/>
        <v>0</v>
      </c>
      <c r="AJ76" s="90" t="str">
        <f t="shared" si="27"/>
        <v/>
      </c>
      <c r="AK76" s="90" t="str">
        <f t="shared" si="28"/>
        <v/>
      </c>
      <c r="AL76" s="91"/>
      <c r="AM76" s="91">
        <f t="shared" si="29"/>
        <v>0</v>
      </c>
      <c r="AN76" s="92" t="str">
        <f t="shared" si="30"/>
        <v>No change</v>
      </c>
      <c r="AO76" s="93">
        <f>VLOOKUP(B76,'Growthrates source'!A$2:H$49,8,FALSE)</f>
        <v>0.11672257510323925</v>
      </c>
      <c r="AP76" s="93">
        <f>VLOOKUP(B76,'Growthrates source'!A$2:I$49,9,FALSE)</f>
        <v>5.6053037042871567E-2</v>
      </c>
      <c r="AQ76" s="86">
        <f t="shared" si="31"/>
        <v>0</v>
      </c>
      <c r="AR76" s="86">
        <f t="shared" si="32"/>
        <v>0</v>
      </c>
      <c r="AS76" s="94">
        <f t="shared" si="33"/>
        <v>0</v>
      </c>
      <c r="AT76" s="94">
        <f t="shared" si="34"/>
        <v>0</v>
      </c>
      <c r="AU76" s="94">
        <f t="shared" si="36"/>
        <v>0</v>
      </c>
      <c r="AV76" s="94">
        <f t="shared" si="37"/>
        <v>0</v>
      </c>
    </row>
    <row r="77" spans="1:48" x14ac:dyDescent="0.3">
      <c r="A77" s="85" t="str">
        <f>_xlfn.XLOOKUP(B77,'Country codes &amp; Data sources'!G:G,'Country codes &amp; Data sources'!H:H,,0)</f>
        <v>Burkina Faso</v>
      </c>
      <c r="B77" s="85" t="s">
        <v>151</v>
      </c>
      <c r="C77" s="86">
        <v>17113732.499999996</v>
      </c>
      <c r="D77" s="85" t="s">
        <v>87</v>
      </c>
      <c r="E77" s="87">
        <v>0</v>
      </c>
      <c r="F77" s="88">
        <v>17636407.5</v>
      </c>
      <c r="G77" s="87">
        <v>0</v>
      </c>
      <c r="I77" s="87">
        <v>0</v>
      </c>
      <c r="K77" s="87">
        <v>0</v>
      </c>
      <c r="M77" s="87">
        <v>0</v>
      </c>
      <c r="O77" s="87">
        <v>336</v>
      </c>
      <c r="P77" s="88">
        <v>20392723</v>
      </c>
      <c r="Q77" s="87">
        <v>0</v>
      </c>
      <c r="R77" s="87">
        <f t="shared" si="19"/>
        <v>336</v>
      </c>
      <c r="T77" s="87">
        <v>336</v>
      </c>
      <c r="V77" s="87">
        <v>0</v>
      </c>
      <c r="X77" s="87">
        <v>50</v>
      </c>
      <c r="Y77" s="88">
        <v>22673762.000000007</v>
      </c>
      <c r="Z77" s="87">
        <v>0</v>
      </c>
      <c r="AA77" s="87">
        <v>336</v>
      </c>
      <c r="AB77" s="89">
        <f t="shared" si="20"/>
        <v>0</v>
      </c>
      <c r="AC77" s="89">
        <f t="shared" si="21"/>
        <v>336</v>
      </c>
      <c r="AD77" s="89">
        <f t="shared" si="22"/>
        <v>50</v>
      </c>
      <c r="AF77" s="90" t="str">
        <f t="shared" si="23"/>
        <v/>
      </c>
      <c r="AG77" s="90">
        <f t="shared" si="24"/>
        <v>336</v>
      </c>
      <c r="AH77" s="90">
        <f t="shared" si="25"/>
        <v>2017</v>
      </c>
      <c r="AI77" s="90">
        <f t="shared" si="26"/>
        <v>50</v>
      </c>
      <c r="AJ77" s="90">
        <f t="shared" si="27"/>
        <v>2021</v>
      </c>
      <c r="AK77" s="90" t="str">
        <f t="shared" si="28"/>
        <v>Adjust</v>
      </c>
      <c r="AL77" s="91">
        <f>IF(AK77="Adjust",(_xlfn.XLOOKUP(A77,'Adj factor'!A:A,'Adj factor'!I:I,,0)*AI77),'Master DataSheet (Rev)'!AI77)</f>
        <v>51.366660330735606</v>
      </c>
      <c r="AM77" s="91">
        <f t="shared" si="29"/>
        <v>336</v>
      </c>
      <c r="AN77" s="92" t="str">
        <f t="shared" si="30"/>
        <v>Decreasing</v>
      </c>
      <c r="AO77" s="93">
        <f>VLOOKUP(B77,'Growthrates source'!A$2:H$49,8,FALSE)</f>
        <v>0.11672257510323925</v>
      </c>
      <c r="AP77" s="93">
        <f>VLOOKUP(B77,'Growthrates source'!A$2:I$49,9,FALSE)</f>
        <v>5.6053037042871567E-2</v>
      </c>
      <c r="AQ77" s="86">
        <f t="shared" si="31"/>
        <v>187.4474021981417</v>
      </c>
      <c r="AR77" s="86">
        <f t="shared" si="32"/>
        <v>397.52994758454571</v>
      </c>
      <c r="AS77" s="94">
        <f t="shared" si="33"/>
        <v>0</v>
      </c>
      <c r="AT77" s="94">
        <f t="shared" si="34"/>
        <v>0.16476465649045496</v>
      </c>
      <c r="AU77" s="94">
        <f t="shared" si="36"/>
        <v>2.2654670332490738E-2</v>
      </c>
      <c r="AV77" s="94">
        <f t="shared" si="37"/>
        <v>0.14818890663137413</v>
      </c>
    </row>
    <row r="78" spans="1:48" x14ac:dyDescent="0.3">
      <c r="A78" s="85" t="str">
        <f>_xlfn.XLOOKUP(B78,'Country codes &amp; Data sources'!G:G,'Country codes &amp; Data sources'!H:H,,0)</f>
        <v>Botswana</v>
      </c>
      <c r="B78" s="85" t="s">
        <v>164</v>
      </c>
      <c r="C78" s="86">
        <v>2175430.5</v>
      </c>
      <c r="D78" s="85" t="s">
        <v>127</v>
      </c>
      <c r="E78" s="87">
        <v>166</v>
      </c>
      <c r="F78" s="88">
        <v>2217278.0000000009</v>
      </c>
      <c r="G78" s="87">
        <v>0</v>
      </c>
      <c r="I78" s="87">
        <v>0</v>
      </c>
      <c r="K78" s="87">
        <v>0</v>
      </c>
      <c r="M78" s="87">
        <v>0</v>
      </c>
      <c r="O78" s="87">
        <v>0</v>
      </c>
      <c r="P78" s="88">
        <v>2451408.4999999995</v>
      </c>
      <c r="Q78" s="87">
        <v>0</v>
      </c>
      <c r="R78" s="87">
        <f t="shared" si="19"/>
        <v>0</v>
      </c>
      <c r="T78" s="87">
        <v>0</v>
      </c>
      <c r="V78" s="87">
        <v>0</v>
      </c>
      <c r="X78" s="87">
        <v>0</v>
      </c>
      <c r="Y78" s="88">
        <v>2630296.0000000019</v>
      </c>
      <c r="Z78" s="87">
        <v>0</v>
      </c>
      <c r="AA78" s="87">
        <v>0</v>
      </c>
      <c r="AB78" s="89">
        <f t="shared" si="20"/>
        <v>166</v>
      </c>
      <c r="AC78" s="89">
        <f t="shared" si="21"/>
        <v>0</v>
      </c>
      <c r="AD78" s="89">
        <f t="shared" si="22"/>
        <v>0</v>
      </c>
      <c r="AE78" s="90">
        <f t="shared" si="35"/>
        <v>166</v>
      </c>
      <c r="AF78" s="90">
        <f t="shared" si="23"/>
        <v>2012</v>
      </c>
      <c r="AH78" s="90" t="str">
        <f t="shared" si="25"/>
        <v/>
      </c>
      <c r="AI78" s="90">
        <f t="shared" si="26"/>
        <v>0</v>
      </c>
      <c r="AJ78" s="90" t="str">
        <f t="shared" si="27"/>
        <v/>
      </c>
      <c r="AK78" s="90" t="str">
        <f t="shared" si="28"/>
        <v/>
      </c>
      <c r="AL78" s="91"/>
      <c r="AM78" s="91">
        <f t="shared" si="29"/>
        <v>0</v>
      </c>
      <c r="AN78" s="92" t="str">
        <f t="shared" si="30"/>
        <v>No change</v>
      </c>
      <c r="AO78" s="93">
        <f>VLOOKUP(B78,'Growthrates source'!A$2:H$49,8,FALSE)</f>
        <v>6.0410507639565125E-2</v>
      </c>
      <c r="AP78" s="93">
        <f>VLOOKUP(B78,'Growthrates source'!A$2:I$49,9,FALSE)</f>
        <v>0.33177029268299996</v>
      </c>
      <c r="AQ78" s="86">
        <f t="shared" si="31"/>
        <v>0</v>
      </c>
      <c r="AR78" s="86">
        <f t="shared" si="32"/>
        <v>0</v>
      </c>
      <c r="AS78" s="94">
        <f t="shared" si="33"/>
        <v>0.74866570633001328</v>
      </c>
      <c r="AT78" s="94">
        <f t="shared" si="34"/>
        <v>0</v>
      </c>
      <c r="AU78" s="94">
        <f t="shared" si="36"/>
        <v>0</v>
      </c>
      <c r="AV78" s="94">
        <f t="shared" si="37"/>
        <v>0</v>
      </c>
    </row>
    <row r="79" spans="1:48" x14ac:dyDescent="0.3">
      <c r="A79" s="85" t="str">
        <f>_xlfn.XLOOKUP(B79,'Country codes &amp; Data sources'!G:G,'Country codes &amp; Data sources'!H:H,,0)</f>
        <v>Botswana</v>
      </c>
      <c r="B79" s="85" t="s">
        <v>164</v>
      </c>
      <c r="C79" s="86">
        <v>2175431.5</v>
      </c>
      <c r="D79" s="85" t="s">
        <v>61</v>
      </c>
      <c r="E79" s="87">
        <v>0</v>
      </c>
      <c r="F79" s="88">
        <v>2217278.0000000009</v>
      </c>
      <c r="G79" s="87">
        <v>668</v>
      </c>
      <c r="I79" s="87">
        <v>0</v>
      </c>
      <c r="K79" s="87">
        <v>0</v>
      </c>
      <c r="M79" s="87">
        <v>13</v>
      </c>
      <c r="O79" s="87">
        <v>0</v>
      </c>
      <c r="P79" s="88">
        <v>2451408.4999999995</v>
      </c>
      <c r="Q79" s="87">
        <v>0</v>
      </c>
      <c r="R79" s="87">
        <f t="shared" si="19"/>
        <v>0</v>
      </c>
      <c r="T79" s="87">
        <v>0</v>
      </c>
      <c r="V79" s="87">
        <v>0</v>
      </c>
      <c r="X79" s="87">
        <v>0</v>
      </c>
      <c r="Y79" s="88">
        <v>2630296.0000000019</v>
      </c>
      <c r="Z79" s="87">
        <v>0</v>
      </c>
      <c r="AA79" s="87">
        <v>0</v>
      </c>
      <c r="AB79" s="89">
        <f t="shared" si="20"/>
        <v>668</v>
      </c>
      <c r="AC79" s="89">
        <f t="shared" si="21"/>
        <v>13</v>
      </c>
      <c r="AD79" s="89">
        <f t="shared" si="22"/>
        <v>0</v>
      </c>
      <c r="AE79" s="90">
        <f t="shared" si="35"/>
        <v>668</v>
      </c>
      <c r="AF79" s="90">
        <f t="shared" si="23"/>
        <v>2013</v>
      </c>
      <c r="AH79" s="90" t="str">
        <f t="shared" si="25"/>
        <v/>
      </c>
      <c r="AI79" s="90">
        <f t="shared" si="26"/>
        <v>0</v>
      </c>
      <c r="AJ79" s="90" t="str">
        <f t="shared" si="27"/>
        <v/>
      </c>
      <c r="AK79" s="90" t="str">
        <f t="shared" si="28"/>
        <v/>
      </c>
      <c r="AL79" s="91"/>
      <c r="AM79" s="91">
        <f t="shared" si="29"/>
        <v>0</v>
      </c>
      <c r="AN79" s="92" t="str">
        <f t="shared" si="30"/>
        <v>No change</v>
      </c>
      <c r="AO79" s="93">
        <f>VLOOKUP(B79,'Growthrates source'!A$2:H$49,8,FALSE)</f>
        <v>6.0410507639565125E-2</v>
      </c>
      <c r="AP79" s="93">
        <f>VLOOKUP(B79,'Growthrates source'!A$2:I$49,9,FALSE)</f>
        <v>0.33177029268299996</v>
      </c>
      <c r="AQ79" s="86">
        <f t="shared" si="31"/>
        <v>0</v>
      </c>
      <c r="AR79" s="86">
        <f t="shared" si="32"/>
        <v>0</v>
      </c>
      <c r="AS79" s="94">
        <f t="shared" si="33"/>
        <v>3.0127029628219812</v>
      </c>
      <c r="AT79" s="94">
        <f t="shared" si="34"/>
        <v>0</v>
      </c>
      <c r="AU79" s="94">
        <f t="shared" si="36"/>
        <v>0</v>
      </c>
      <c r="AV79" s="94">
        <f t="shared" si="37"/>
        <v>0</v>
      </c>
    </row>
    <row r="80" spans="1:48" x14ac:dyDescent="0.3">
      <c r="A80" s="85" t="str">
        <f>_xlfn.XLOOKUP(B80,'Country codes &amp; Data sources'!G:G,'Country codes &amp; Data sources'!H:H,,0)</f>
        <v>Botswana</v>
      </c>
      <c r="B80" s="85" t="s">
        <v>164</v>
      </c>
      <c r="C80" s="86">
        <v>2175432.5</v>
      </c>
      <c r="D80" s="85" t="s">
        <v>62</v>
      </c>
      <c r="E80" s="87">
        <v>0</v>
      </c>
      <c r="F80" s="88">
        <v>2217278.0000000009</v>
      </c>
      <c r="G80" s="87">
        <v>166</v>
      </c>
      <c r="I80" s="87">
        <v>0</v>
      </c>
      <c r="K80" s="87">
        <v>14743</v>
      </c>
      <c r="M80" s="87">
        <v>208</v>
      </c>
      <c r="O80" s="87">
        <v>0</v>
      </c>
      <c r="P80" s="88">
        <v>2451408.4999999995</v>
      </c>
      <c r="Q80" s="87">
        <v>0</v>
      </c>
      <c r="R80" s="87">
        <f t="shared" si="19"/>
        <v>99</v>
      </c>
      <c r="T80" s="87">
        <v>0</v>
      </c>
      <c r="V80" s="87">
        <v>0</v>
      </c>
      <c r="X80" s="87">
        <v>0</v>
      </c>
      <c r="Y80" s="88">
        <v>2630296.0000000019</v>
      </c>
      <c r="Z80" s="87">
        <v>0</v>
      </c>
      <c r="AA80" s="87">
        <v>99</v>
      </c>
      <c r="AB80" s="89">
        <f t="shared" si="20"/>
        <v>14743</v>
      </c>
      <c r="AC80" s="89">
        <f t="shared" si="21"/>
        <v>208</v>
      </c>
      <c r="AD80" s="89">
        <f t="shared" si="22"/>
        <v>0</v>
      </c>
      <c r="AE80" s="90">
        <f t="shared" si="35"/>
        <v>166</v>
      </c>
      <c r="AF80" s="90">
        <f t="shared" si="23"/>
        <v>2013</v>
      </c>
      <c r="AG80" s="90">
        <f t="shared" si="24"/>
        <v>99</v>
      </c>
      <c r="AH80" s="90" t="str">
        <f t="shared" si="25"/>
        <v>2018 (triag)</v>
      </c>
      <c r="AI80" s="90">
        <f t="shared" si="26"/>
        <v>99</v>
      </c>
      <c r="AJ80" s="90" t="str">
        <f t="shared" si="27"/>
        <v>2018 (triag)</v>
      </c>
      <c r="AK80" s="90" t="str">
        <f t="shared" si="28"/>
        <v/>
      </c>
      <c r="AL80" s="91">
        <f>IF(AK80="Adjust",(_xlfn.XLOOKUP(A80,'Adj factor'!A:A,'Adj factor'!I:I,,0)*AI80),'Master DataSheet (Rev)'!AI80)</f>
        <v>99</v>
      </c>
      <c r="AM80" s="91">
        <f t="shared" si="29"/>
        <v>99</v>
      </c>
      <c r="AN80" s="92" t="str">
        <f t="shared" si="30"/>
        <v>No change</v>
      </c>
      <c r="AO80" s="93">
        <f>VLOOKUP(B80,'Growthrates source'!A$2:H$49,8,FALSE)</f>
        <v>6.0410507639565125E-2</v>
      </c>
      <c r="AP80" s="93">
        <f>VLOOKUP(B80,'Growthrates source'!A$2:I$49,9,FALSE)</f>
        <v>0.33177029268299996</v>
      </c>
      <c r="AQ80" s="86">
        <f t="shared" si="31"/>
        <v>73.190623019618045</v>
      </c>
      <c r="AR80" s="86">
        <f t="shared" si="32"/>
        <v>267.85096583043713</v>
      </c>
      <c r="AS80" s="94">
        <f t="shared" si="33"/>
        <v>0.74866570633001328</v>
      </c>
      <c r="AT80" s="94">
        <f t="shared" si="34"/>
        <v>0.40384946042244702</v>
      </c>
      <c r="AU80" s="94">
        <f t="shared" si="36"/>
        <v>0.37638349448122921</v>
      </c>
      <c r="AV80" s="94">
        <f t="shared" si="37"/>
        <v>0.37638349448122921</v>
      </c>
    </row>
    <row r="81" spans="1:48" x14ac:dyDescent="0.3">
      <c r="A81" s="85" t="str">
        <f>_xlfn.XLOOKUP(B81,'Country codes &amp; Data sources'!G:G,'Country codes &amp; Data sources'!H:H,,0)</f>
        <v>Botswana</v>
      </c>
      <c r="B81" s="85" t="s">
        <v>164</v>
      </c>
      <c r="C81" s="86">
        <v>2175433.5</v>
      </c>
      <c r="D81" s="85" t="s">
        <v>203</v>
      </c>
      <c r="E81" s="87">
        <v>0</v>
      </c>
      <c r="F81" s="88">
        <v>2217278.0000000009</v>
      </c>
      <c r="G81" s="87">
        <v>0</v>
      </c>
      <c r="I81" s="87">
        <v>0</v>
      </c>
      <c r="K81" s="87">
        <v>0</v>
      </c>
      <c r="M81" s="87">
        <v>0</v>
      </c>
      <c r="O81" s="87">
        <v>0</v>
      </c>
      <c r="P81" s="88">
        <v>2451408.4999999995</v>
      </c>
      <c r="Q81" s="87">
        <v>1563</v>
      </c>
      <c r="R81" s="87">
        <f t="shared" si="19"/>
        <v>1622</v>
      </c>
      <c r="T81" s="87">
        <v>1421</v>
      </c>
      <c r="V81" s="87">
        <v>1423</v>
      </c>
      <c r="X81" s="87">
        <v>1519</v>
      </c>
      <c r="Y81" s="88">
        <v>2630296.0000000019</v>
      </c>
      <c r="Z81" s="87">
        <v>1563</v>
      </c>
      <c r="AA81" s="87">
        <v>1622</v>
      </c>
      <c r="AB81" s="89">
        <f t="shared" si="20"/>
        <v>0</v>
      </c>
      <c r="AC81" s="89">
        <f t="shared" si="21"/>
        <v>1563</v>
      </c>
      <c r="AD81" s="89">
        <f t="shared" si="22"/>
        <v>1563</v>
      </c>
      <c r="AF81" s="90" t="str">
        <f t="shared" si="23"/>
        <v/>
      </c>
      <c r="AG81" s="90">
        <f t="shared" si="24"/>
        <v>1622</v>
      </c>
      <c r="AH81" s="90" t="str">
        <f t="shared" si="25"/>
        <v>2018 (triag)</v>
      </c>
      <c r="AI81" s="90">
        <f t="shared" si="26"/>
        <v>1563</v>
      </c>
      <c r="AJ81" s="90">
        <f t="shared" si="27"/>
        <v>2022</v>
      </c>
      <c r="AK81" s="90" t="str">
        <f t="shared" si="28"/>
        <v>Adjust</v>
      </c>
      <c r="AL81" s="91">
        <f>IF(AK81="Adjust",(_xlfn.XLOOKUP(A81,'Adj factor'!A:A,'Adj factor'!I:I,,0)*AI81),'Master DataSheet (Rev)'!AI81)</f>
        <v>1796.3537810728089</v>
      </c>
      <c r="AM81" s="91">
        <f t="shared" si="29"/>
        <v>1796.3537810728089</v>
      </c>
      <c r="AN81" s="92" t="str">
        <f t="shared" si="30"/>
        <v>Increasing</v>
      </c>
      <c r="AO81" s="93">
        <f>VLOOKUP(B81,'Growthrates source'!A$2:H$49,8,FALSE)</f>
        <v>6.0410507639565125E-2</v>
      </c>
      <c r="AP81" s="93">
        <f>VLOOKUP(B81,'Growthrates source'!A$2:I$49,9,FALSE)</f>
        <v>0.33177029268299996</v>
      </c>
      <c r="AQ81" s="86">
        <f t="shared" si="31"/>
        <v>1199.1433387658633</v>
      </c>
      <c r="AR81" s="86">
        <f t="shared" si="32"/>
        <v>4388.4269351208986</v>
      </c>
      <c r="AS81" s="94">
        <f t="shared" si="33"/>
        <v>0</v>
      </c>
      <c r="AT81" s="94">
        <f t="shared" si="34"/>
        <v>6.6166042909617078</v>
      </c>
      <c r="AU81" s="94">
        <f t="shared" si="36"/>
        <v>6.829473873179321</v>
      </c>
      <c r="AV81" s="94">
        <f t="shared" si="37"/>
        <v>6.829473873179321</v>
      </c>
    </row>
    <row r="82" spans="1:48" x14ac:dyDescent="0.3">
      <c r="A82" s="85" t="str">
        <f>_xlfn.XLOOKUP(B82,'Country codes &amp; Data sources'!G:G,'Country codes &amp; Data sources'!H:H,,0)</f>
        <v>Botswana</v>
      </c>
      <c r="B82" s="85" t="s">
        <v>164</v>
      </c>
      <c r="C82" s="86">
        <v>2175434.5</v>
      </c>
      <c r="D82" s="85" t="s">
        <v>204</v>
      </c>
      <c r="E82" s="87">
        <v>0</v>
      </c>
      <c r="F82" s="88">
        <v>2217278.0000000009</v>
      </c>
      <c r="G82" s="87">
        <v>0</v>
      </c>
      <c r="I82" s="87">
        <v>0</v>
      </c>
      <c r="K82" s="87">
        <v>0</v>
      </c>
      <c r="M82" s="87">
        <v>0</v>
      </c>
      <c r="O82" s="87">
        <v>0</v>
      </c>
      <c r="P82" s="88">
        <v>2451408.4999999995</v>
      </c>
      <c r="Q82" s="87">
        <v>156</v>
      </c>
      <c r="R82" s="87">
        <f t="shared" si="19"/>
        <v>156</v>
      </c>
      <c r="T82" s="87">
        <v>131</v>
      </c>
      <c r="V82" s="87">
        <v>125</v>
      </c>
      <c r="X82" s="87">
        <v>147</v>
      </c>
      <c r="Y82" s="88">
        <v>2630296.0000000019</v>
      </c>
      <c r="Z82" s="87">
        <v>159</v>
      </c>
      <c r="AA82" s="87">
        <v>0</v>
      </c>
      <c r="AB82" s="89">
        <f t="shared" si="20"/>
        <v>0</v>
      </c>
      <c r="AC82" s="89">
        <f t="shared" si="21"/>
        <v>156</v>
      </c>
      <c r="AD82" s="89">
        <f t="shared" si="22"/>
        <v>159</v>
      </c>
      <c r="AF82" s="90" t="str">
        <f t="shared" si="23"/>
        <v/>
      </c>
      <c r="AG82" s="90">
        <f t="shared" si="24"/>
        <v>156</v>
      </c>
      <c r="AH82" s="90">
        <f t="shared" si="25"/>
        <v>2018</v>
      </c>
      <c r="AI82" s="90">
        <f t="shared" si="26"/>
        <v>159</v>
      </c>
      <c r="AJ82" s="90">
        <f t="shared" si="27"/>
        <v>2022</v>
      </c>
      <c r="AK82" s="90" t="str">
        <f t="shared" si="28"/>
        <v/>
      </c>
      <c r="AL82" s="91">
        <f>IF(AK82="Adjust",(_xlfn.XLOOKUP(A82,'Adj factor'!A:A,'Adj factor'!I:I,,0)*AI82),'Master DataSheet (Rev)'!AI82)</f>
        <v>159</v>
      </c>
      <c r="AM82" s="91">
        <f t="shared" si="29"/>
        <v>159</v>
      </c>
      <c r="AN82" s="92" t="str">
        <f t="shared" si="30"/>
        <v>Increasing</v>
      </c>
      <c r="AO82" s="93">
        <f>VLOOKUP(B82,'Growthrates source'!A$2:H$49,8,FALSE)</f>
        <v>6.0410507639565125E-2</v>
      </c>
      <c r="AP82" s="93">
        <f>VLOOKUP(B82,'Growthrates source'!A$2:I$49,9,FALSE)</f>
        <v>0.33177029268299996</v>
      </c>
      <c r="AQ82" s="86">
        <f t="shared" si="31"/>
        <v>0</v>
      </c>
      <c r="AR82" s="86">
        <f t="shared" si="32"/>
        <v>0</v>
      </c>
      <c r="AS82" s="94">
        <f t="shared" si="33"/>
        <v>0</v>
      </c>
      <c r="AT82" s="94">
        <f t="shared" si="34"/>
        <v>0.63636884672628014</v>
      </c>
      <c r="AU82" s="94">
        <f t="shared" si="36"/>
        <v>0.6044947032577318</v>
      </c>
      <c r="AV82" s="94">
        <f t="shared" si="37"/>
        <v>0.6044947032577318</v>
      </c>
    </row>
    <row r="83" spans="1:48" x14ac:dyDescent="0.3">
      <c r="A83" s="85" t="str">
        <f>_xlfn.XLOOKUP(B83,'Country codes &amp; Data sources'!G:G,'Country codes &amp; Data sources'!H:H,,0)</f>
        <v>Botswana</v>
      </c>
      <c r="B83" s="85" t="s">
        <v>164</v>
      </c>
      <c r="C83" s="86">
        <v>2175435.5</v>
      </c>
      <c r="D83" s="85" t="s">
        <v>205</v>
      </c>
      <c r="E83" s="87">
        <v>0</v>
      </c>
      <c r="F83" s="88">
        <v>2217278.0000000009</v>
      </c>
      <c r="G83" s="87">
        <v>0</v>
      </c>
      <c r="I83" s="87">
        <v>0</v>
      </c>
      <c r="K83" s="87">
        <v>0</v>
      </c>
      <c r="M83" s="87">
        <v>0</v>
      </c>
      <c r="O83" s="87">
        <v>0</v>
      </c>
      <c r="P83" s="88">
        <v>2451408.4999999995</v>
      </c>
      <c r="Q83" s="87">
        <v>27</v>
      </c>
      <c r="R83" s="87">
        <f t="shared" si="19"/>
        <v>27</v>
      </c>
      <c r="T83" s="87">
        <v>33</v>
      </c>
      <c r="V83" s="87">
        <v>33</v>
      </c>
      <c r="X83" s="87">
        <v>35</v>
      </c>
      <c r="Y83" s="88">
        <v>2630296.0000000019</v>
      </c>
      <c r="Z83" s="87">
        <v>33</v>
      </c>
      <c r="AA83" s="87">
        <v>0</v>
      </c>
      <c r="AB83" s="89">
        <f t="shared" si="20"/>
        <v>0</v>
      </c>
      <c r="AC83" s="89">
        <f t="shared" si="21"/>
        <v>33</v>
      </c>
      <c r="AD83" s="89">
        <f t="shared" si="22"/>
        <v>35</v>
      </c>
      <c r="AF83" s="90" t="str">
        <f t="shared" si="23"/>
        <v/>
      </c>
      <c r="AG83" s="90">
        <f t="shared" si="24"/>
        <v>27</v>
      </c>
      <c r="AH83" s="90">
        <f t="shared" si="25"/>
        <v>2018</v>
      </c>
      <c r="AI83" s="90">
        <f t="shared" si="26"/>
        <v>33</v>
      </c>
      <c r="AJ83" s="90">
        <f t="shared" si="27"/>
        <v>2020</v>
      </c>
      <c r="AK83" s="90" t="str">
        <f t="shared" si="28"/>
        <v/>
      </c>
      <c r="AL83" s="91">
        <f>IF(AK83="Adjust",(_xlfn.XLOOKUP(A83,'Adj factor'!A:A,'Adj factor'!I:I,,0)*AI83),'Master DataSheet (Rev)'!AI83)</f>
        <v>33</v>
      </c>
      <c r="AM83" s="91">
        <f t="shared" si="29"/>
        <v>33</v>
      </c>
      <c r="AN83" s="92" t="str">
        <f t="shared" si="30"/>
        <v>Increasing</v>
      </c>
      <c r="AO83" s="93">
        <f>VLOOKUP(B83,'Growthrates source'!A$2:H$49,8,FALSE)</f>
        <v>6.0410507639565125E-2</v>
      </c>
      <c r="AP83" s="93">
        <f>VLOOKUP(B83,'Growthrates source'!A$2:I$49,9,FALSE)</f>
        <v>0.33177029268299996</v>
      </c>
      <c r="AQ83" s="86">
        <f t="shared" si="31"/>
        <v>0</v>
      </c>
      <c r="AR83" s="86">
        <f t="shared" si="32"/>
        <v>0</v>
      </c>
      <c r="AS83" s="94">
        <f t="shared" si="33"/>
        <v>0</v>
      </c>
      <c r="AT83" s="94">
        <f t="shared" si="34"/>
        <v>0.11014076193339464</v>
      </c>
      <c r="AU83" s="94">
        <f t="shared" si="36"/>
        <v>0.12546116482707642</v>
      </c>
      <c r="AV83" s="94">
        <f t="shared" si="37"/>
        <v>0.12546116482707642</v>
      </c>
    </row>
    <row r="84" spans="1:48" x14ac:dyDescent="0.3">
      <c r="A84" s="85" t="str">
        <f>_xlfn.XLOOKUP(B84,'Country codes &amp; Data sources'!G:G,'Country codes &amp; Data sources'!H:H,,0)</f>
        <v>Botswana</v>
      </c>
      <c r="B84" s="85" t="s">
        <v>164</v>
      </c>
      <c r="C84" s="86">
        <v>2175436.5</v>
      </c>
      <c r="D84" s="85" t="s">
        <v>133</v>
      </c>
      <c r="E84" s="87">
        <v>0</v>
      </c>
      <c r="F84" s="88">
        <v>2217278.0000000009</v>
      </c>
      <c r="G84" s="87">
        <v>0</v>
      </c>
      <c r="I84" s="87">
        <v>0</v>
      </c>
      <c r="K84" s="87">
        <v>0</v>
      </c>
      <c r="M84" s="87">
        <v>0</v>
      </c>
      <c r="O84" s="87">
        <v>0</v>
      </c>
      <c r="P84" s="88">
        <v>2451408.4999999995</v>
      </c>
      <c r="Q84" s="87">
        <v>160</v>
      </c>
      <c r="R84" s="87">
        <f t="shared" si="19"/>
        <v>160</v>
      </c>
      <c r="T84" s="87">
        <v>156</v>
      </c>
      <c r="V84" s="87">
        <v>167</v>
      </c>
      <c r="X84" s="87">
        <v>161</v>
      </c>
      <c r="Y84" s="88">
        <v>2630296.0000000019</v>
      </c>
      <c r="Z84" s="87">
        <v>191</v>
      </c>
      <c r="AA84" s="87">
        <v>0</v>
      </c>
      <c r="AB84" s="89">
        <f t="shared" si="20"/>
        <v>0</v>
      </c>
      <c r="AC84" s="89">
        <f t="shared" si="21"/>
        <v>160</v>
      </c>
      <c r="AD84" s="89">
        <f t="shared" si="22"/>
        <v>191</v>
      </c>
      <c r="AF84" s="90" t="str">
        <f t="shared" si="23"/>
        <v/>
      </c>
      <c r="AG84" s="90">
        <f t="shared" si="24"/>
        <v>160</v>
      </c>
      <c r="AH84" s="90">
        <f t="shared" si="25"/>
        <v>2018</v>
      </c>
      <c r="AI84" s="90">
        <f t="shared" si="26"/>
        <v>191</v>
      </c>
      <c r="AJ84" s="90">
        <f t="shared" si="27"/>
        <v>2022</v>
      </c>
      <c r="AK84" s="90" t="str">
        <f t="shared" si="28"/>
        <v/>
      </c>
      <c r="AL84" s="91">
        <f>IF(AK84="Adjust",(_xlfn.XLOOKUP(A84,'Adj factor'!A:A,'Adj factor'!I:I,,0)*AI84),'Master DataSheet (Rev)'!AI84)</f>
        <v>191</v>
      </c>
      <c r="AM84" s="91">
        <f t="shared" si="29"/>
        <v>191</v>
      </c>
      <c r="AN84" s="92" t="str">
        <f t="shared" si="30"/>
        <v>Increasing</v>
      </c>
      <c r="AO84" s="93">
        <f>VLOOKUP(B84,'Growthrates source'!A$2:H$49,8,FALSE)</f>
        <v>6.0410507639565125E-2</v>
      </c>
      <c r="AP84" s="93">
        <f>VLOOKUP(B84,'Growthrates source'!A$2:I$49,9,FALSE)</f>
        <v>0.33177029268299996</v>
      </c>
      <c r="AQ84" s="86">
        <f t="shared" si="31"/>
        <v>0</v>
      </c>
      <c r="AR84" s="86">
        <f t="shared" si="32"/>
        <v>0</v>
      </c>
      <c r="AS84" s="94">
        <f t="shared" si="33"/>
        <v>0</v>
      </c>
      <c r="AT84" s="94">
        <f t="shared" si="34"/>
        <v>0.65268599664233862</v>
      </c>
      <c r="AU84" s="94">
        <f t="shared" si="36"/>
        <v>0.72615401460519979</v>
      </c>
      <c r="AV84" s="94">
        <f t="shared" si="37"/>
        <v>0.72615401460519979</v>
      </c>
    </row>
    <row r="85" spans="1:48" x14ac:dyDescent="0.3">
      <c r="A85" s="85" t="str">
        <f>_xlfn.XLOOKUP(B85,'Country codes &amp; Data sources'!G:G,'Country codes &amp; Data sources'!H:H,,0)</f>
        <v>Botswana</v>
      </c>
      <c r="B85" s="85" t="s">
        <v>164</v>
      </c>
      <c r="C85" s="86">
        <v>2175437.5</v>
      </c>
      <c r="D85" s="85" t="s">
        <v>206</v>
      </c>
      <c r="E85" s="87">
        <v>0</v>
      </c>
      <c r="F85" s="88">
        <v>2217278.0000000009</v>
      </c>
      <c r="G85" s="87">
        <v>0</v>
      </c>
      <c r="I85" s="87">
        <v>0</v>
      </c>
      <c r="K85" s="87">
        <v>0</v>
      </c>
      <c r="M85" s="87">
        <v>0</v>
      </c>
      <c r="O85" s="87">
        <v>0</v>
      </c>
      <c r="P85" s="88">
        <v>2451408.4999999995</v>
      </c>
      <c r="Q85" s="87">
        <v>63</v>
      </c>
      <c r="R85" s="87">
        <f t="shared" si="19"/>
        <v>63</v>
      </c>
      <c r="T85" s="87">
        <v>64</v>
      </c>
      <c r="V85" s="87">
        <v>67</v>
      </c>
      <c r="X85" s="87">
        <v>66</v>
      </c>
      <c r="Y85" s="88">
        <v>2630296.0000000019</v>
      </c>
      <c r="Z85" s="87">
        <v>63</v>
      </c>
      <c r="AA85" s="87">
        <v>0</v>
      </c>
      <c r="AB85" s="89">
        <f t="shared" si="20"/>
        <v>0</v>
      </c>
      <c r="AC85" s="89">
        <f t="shared" si="21"/>
        <v>64</v>
      </c>
      <c r="AD85" s="89">
        <f t="shared" si="22"/>
        <v>67</v>
      </c>
      <c r="AF85" s="90" t="str">
        <f t="shared" si="23"/>
        <v/>
      </c>
      <c r="AG85" s="90">
        <f t="shared" si="24"/>
        <v>63</v>
      </c>
      <c r="AH85" s="90">
        <f t="shared" si="25"/>
        <v>2018</v>
      </c>
      <c r="AI85" s="90">
        <f t="shared" si="26"/>
        <v>63</v>
      </c>
      <c r="AJ85" s="90">
        <f t="shared" si="27"/>
        <v>2022</v>
      </c>
      <c r="AK85" s="90" t="str">
        <f t="shared" si="28"/>
        <v/>
      </c>
      <c r="AL85" s="91">
        <f>IF(AK85="Adjust",(_xlfn.XLOOKUP(A85,'Adj factor'!A:A,'Adj factor'!I:I,,0)*AI85),'Master DataSheet (Rev)'!AI85)</f>
        <v>63</v>
      </c>
      <c r="AM85" s="91">
        <f t="shared" si="29"/>
        <v>63</v>
      </c>
      <c r="AN85" s="92" t="str">
        <f t="shared" si="30"/>
        <v>No change</v>
      </c>
      <c r="AO85" s="93">
        <f>VLOOKUP(B85,'Growthrates source'!A$2:H$49,8,FALSE)</f>
        <v>6.0410507639565125E-2</v>
      </c>
      <c r="AP85" s="93">
        <f>VLOOKUP(B85,'Growthrates source'!A$2:I$49,9,FALSE)</f>
        <v>0.33177029268299996</v>
      </c>
      <c r="AQ85" s="86">
        <f t="shared" si="31"/>
        <v>0</v>
      </c>
      <c r="AR85" s="86">
        <f t="shared" si="32"/>
        <v>0</v>
      </c>
      <c r="AS85" s="94">
        <f t="shared" si="33"/>
        <v>0</v>
      </c>
      <c r="AT85" s="94">
        <f t="shared" si="34"/>
        <v>0.25699511117792084</v>
      </c>
      <c r="AU85" s="94">
        <f t="shared" si="36"/>
        <v>0.23951676921532769</v>
      </c>
      <c r="AV85" s="94">
        <f t="shared" si="37"/>
        <v>0.23951676921532769</v>
      </c>
    </row>
    <row r="86" spans="1:48" x14ac:dyDescent="0.3">
      <c r="A86" s="85" t="str">
        <f>_xlfn.XLOOKUP(B86,'Country codes &amp; Data sources'!G:G,'Country codes &amp; Data sources'!H:H,,0)</f>
        <v>Botswana</v>
      </c>
      <c r="B86" s="85" t="s">
        <v>164</v>
      </c>
      <c r="C86" s="86">
        <v>2175438.5</v>
      </c>
      <c r="D86" s="85" t="s">
        <v>136</v>
      </c>
      <c r="E86" s="87">
        <v>0</v>
      </c>
      <c r="F86" s="88">
        <v>2217278.0000000009</v>
      </c>
      <c r="G86" s="87">
        <v>0</v>
      </c>
      <c r="I86" s="87">
        <v>0</v>
      </c>
      <c r="K86" s="87">
        <v>0</v>
      </c>
      <c r="M86" s="87">
        <v>0</v>
      </c>
      <c r="O86" s="87">
        <v>0</v>
      </c>
      <c r="P86" s="88">
        <v>2451408.4999999995</v>
      </c>
      <c r="Q86" s="87">
        <v>134</v>
      </c>
      <c r="R86" s="87">
        <f t="shared" si="19"/>
        <v>134</v>
      </c>
      <c r="T86" s="87">
        <v>116</v>
      </c>
      <c r="V86" s="87">
        <v>117</v>
      </c>
      <c r="X86" s="87">
        <v>123</v>
      </c>
      <c r="Y86" s="88">
        <v>2630296.0000000019</v>
      </c>
      <c r="Z86" s="87">
        <v>82</v>
      </c>
      <c r="AA86" s="87">
        <v>78</v>
      </c>
      <c r="AB86" s="89">
        <f t="shared" si="20"/>
        <v>0</v>
      </c>
      <c r="AC86" s="89">
        <f t="shared" si="21"/>
        <v>134</v>
      </c>
      <c r="AD86" s="89">
        <f t="shared" si="22"/>
        <v>123</v>
      </c>
      <c r="AF86" s="90" t="str">
        <f t="shared" si="23"/>
        <v/>
      </c>
      <c r="AG86" s="90">
        <f t="shared" si="24"/>
        <v>134</v>
      </c>
      <c r="AH86" s="90">
        <f t="shared" si="25"/>
        <v>2018</v>
      </c>
      <c r="AI86" s="90">
        <f t="shared" si="26"/>
        <v>82</v>
      </c>
      <c r="AJ86" s="90">
        <f t="shared" si="27"/>
        <v>2022</v>
      </c>
      <c r="AK86" s="90" t="str">
        <f t="shared" si="28"/>
        <v>Adjust</v>
      </c>
      <c r="AL86" s="91">
        <f>IF(AK86="Adjust",(_xlfn.XLOOKUP(A86,'Adj factor'!A:A,'Adj factor'!I:I,,0)*AI86),'Master DataSheet (Rev)'!AI86)</f>
        <v>94.242488834274042</v>
      </c>
      <c r="AM86" s="91">
        <f t="shared" si="29"/>
        <v>134</v>
      </c>
      <c r="AN86" s="92" t="str">
        <f t="shared" si="30"/>
        <v>Decreasing</v>
      </c>
      <c r="AO86" s="93">
        <f>VLOOKUP(B86,'Growthrates source'!A$2:H$49,8,FALSE)</f>
        <v>6.0410507639565125E-2</v>
      </c>
      <c r="AP86" s="93">
        <f>VLOOKUP(B86,'Growthrates source'!A$2:I$49,9,FALSE)</f>
        <v>0.33177029268299996</v>
      </c>
      <c r="AQ86" s="86">
        <f t="shared" si="31"/>
        <v>57.665339348789971</v>
      </c>
      <c r="AR86" s="86">
        <f t="shared" si="32"/>
        <v>211.03409429064743</v>
      </c>
      <c r="AS86" s="94">
        <f t="shared" si="33"/>
        <v>0</v>
      </c>
      <c r="AT86" s="94">
        <f t="shared" si="34"/>
        <v>0.54662452218795854</v>
      </c>
      <c r="AU86" s="94">
        <f t="shared" si="36"/>
        <v>0.35829613410153827</v>
      </c>
      <c r="AV86" s="94">
        <f t="shared" si="37"/>
        <v>0.50944836626752243</v>
      </c>
    </row>
    <row r="87" spans="1:48" x14ac:dyDescent="0.3">
      <c r="A87" s="85" t="str">
        <f>_xlfn.XLOOKUP(B87,'Country codes &amp; Data sources'!G:G,'Country codes &amp; Data sources'!H:H,,0)</f>
        <v>Botswana</v>
      </c>
      <c r="B87" s="85" t="s">
        <v>164</v>
      </c>
      <c r="C87" s="86">
        <v>2175439.5</v>
      </c>
      <c r="D87" s="85" t="s">
        <v>207</v>
      </c>
      <c r="E87" s="87">
        <v>0</v>
      </c>
      <c r="F87" s="88">
        <v>2217278.0000000009</v>
      </c>
      <c r="G87" s="87">
        <v>0</v>
      </c>
      <c r="I87" s="87">
        <v>0</v>
      </c>
      <c r="K87" s="87">
        <v>0</v>
      </c>
      <c r="M87" s="87">
        <v>0</v>
      </c>
      <c r="O87" s="87">
        <v>0</v>
      </c>
      <c r="P87" s="88">
        <v>2451408.4999999995</v>
      </c>
      <c r="Q87" s="87">
        <v>73</v>
      </c>
      <c r="R87" s="87">
        <f t="shared" si="19"/>
        <v>73</v>
      </c>
      <c r="T87" s="87">
        <v>110</v>
      </c>
      <c r="V87" s="87">
        <v>63</v>
      </c>
      <c r="X87" s="87">
        <v>62</v>
      </c>
      <c r="Y87" s="88">
        <v>2630296.0000000019</v>
      </c>
      <c r="Z87" s="87">
        <v>74</v>
      </c>
      <c r="AA87" s="87">
        <v>62</v>
      </c>
      <c r="AB87" s="89">
        <f t="shared" si="20"/>
        <v>0</v>
      </c>
      <c r="AC87" s="89">
        <f t="shared" si="21"/>
        <v>110</v>
      </c>
      <c r="AD87" s="89">
        <f t="shared" si="22"/>
        <v>74</v>
      </c>
      <c r="AF87" s="90" t="str">
        <f t="shared" si="23"/>
        <v/>
      </c>
      <c r="AG87" s="90">
        <f t="shared" si="24"/>
        <v>73</v>
      </c>
      <c r="AH87" s="90">
        <f t="shared" si="25"/>
        <v>2018</v>
      </c>
      <c r="AI87" s="90">
        <f t="shared" si="26"/>
        <v>74</v>
      </c>
      <c r="AJ87" s="90">
        <f t="shared" si="27"/>
        <v>2022</v>
      </c>
      <c r="AK87" s="90" t="str">
        <f t="shared" si="28"/>
        <v/>
      </c>
      <c r="AL87" s="91">
        <f>IF(AK87="Adjust",(_xlfn.XLOOKUP(A87,'Adj factor'!A:A,'Adj factor'!I:I,,0)*AI87),'Master DataSheet (Rev)'!AI87)</f>
        <v>74</v>
      </c>
      <c r="AM87" s="91">
        <f t="shared" si="29"/>
        <v>74</v>
      </c>
      <c r="AN87" s="92" t="str">
        <f t="shared" si="30"/>
        <v>Increasing</v>
      </c>
      <c r="AO87" s="93">
        <f>VLOOKUP(B87,'Growthrates source'!A$2:H$49,8,FALSE)</f>
        <v>6.0410507639565125E-2</v>
      </c>
      <c r="AP87" s="93">
        <f>VLOOKUP(B87,'Growthrates source'!A$2:I$49,9,FALSE)</f>
        <v>0.33177029268299996</v>
      </c>
      <c r="AQ87" s="86">
        <f t="shared" si="31"/>
        <v>45.836551790063822</v>
      </c>
      <c r="AR87" s="86">
        <f t="shared" si="32"/>
        <v>167.74504930795052</v>
      </c>
      <c r="AS87" s="94">
        <f t="shared" si="33"/>
        <v>0</v>
      </c>
      <c r="AT87" s="94">
        <f t="shared" si="34"/>
        <v>0.29778798596806699</v>
      </c>
      <c r="AU87" s="94">
        <f t="shared" si="36"/>
        <v>0.28133715749101984</v>
      </c>
      <c r="AV87" s="94">
        <f t="shared" si="37"/>
        <v>0.28133715749101984</v>
      </c>
    </row>
    <row r="88" spans="1:48" x14ac:dyDescent="0.3">
      <c r="A88" s="85" t="str">
        <f>_xlfn.XLOOKUP(B88,'Country codes &amp; Data sources'!G:G,'Country codes &amp; Data sources'!H:H,,0)</f>
        <v>Botswana</v>
      </c>
      <c r="B88" s="85" t="s">
        <v>164</v>
      </c>
      <c r="C88" s="86">
        <v>2175440.5</v>
      </c>
      <c r="D88" s="85" t="s">
        <v>141</v>
      </c>
      <c r="E88" s="87">
        <v>0</v>
      </c>
      <c r="F88" s="88">
        <v>2217278.0000000009</v>
      </c>
      <c r="G88" s="87">
        <v>0</v>
      </c>
      <c r="I88" s="87">
        <v>0</v>
      </c>
      <c r="K88" s="87">
        <v>0</v>
      </c>
      <c r="M88" s="87">
        <v>0</v>
      </c>
      <c r="O88" s="87">
        <v>0</v>
      </c>
      <c r="P88" s="88">
        <v>2451408.4999999995</v>
      </c>
      <c r="Q88" s="87">
        <v>5</v>
      </c>
      <c r="R88" s="87">
        <f t="shared" si="19"/>
        <v>5</v>
      </c>
      <c r="T88" s="87">
        <v>3</v>
      </c>
      <c r="V88" s="87">
        <v>3</v>
      </c>
      <c r="X88" s="87">
        <v>6</v>
      </c>
      <c r="Y88" s="88">
        <v>2630296.0000000019</v>
      </c>
      <c r="Z88" s="87">
        <v>4</v>
      </c>
      <c r="AA88" s="87">
        <v>1</v>
      </c>
      <c r="AB88" s="89">
        <f t="shared" si="20"/>
        <v>0</v>
      </c>
      <c r="AC88" s="89">
        <f t="shared" si="21"/>
        <v>5</v>
      </c>
      <c r="AD88" s="89">
        <f t="shared" si="22"/>
        <v>6</v>
      </c>
      <c r="AF88" s="90" t="str">
        <f t="shared" si="23"/>
        <v/>
      </c>
      <c r="AG88" s="90">
        <f t="shared" si="24"/>
        <v>5</v>
      </c>
      <c r="AH88" s="90">
        <f t="shared" si="25"/>
        <v>2018</v>
      </c>
      <c r="AI88" s="90">
        <f t="shared" si="26"/>
        <v>4</v>
      </c>
      <c r="AJ88" s="90">
        <f t="shared" si="27"/>
        <v>2022</v>
      </c>
      <c r="AK88" s="90" t="str">
        <f t="shared" si="28"/>
        <v>Adjust</v>
      </c>
      <c r="AL88" s="91">
        <f>IF(AK88="Adjust",(_xlfn.XLOOKUP(A88,'Adj factor'!A:A,'Adj factor'!I:I,,0)*AI88),'Master DataSheet (Rev)'!AI88)</f>
        <v>4.5971945772816607</v>
      </c>
      <c r="AM88" s="91">
        <f t="shared" si="29"/>
        <v>5</v>
      </c>
      <c r="AN88" s="92" t="str">
        <f t="shared" si="30"/>
        <v>Decreasing</v>
      </c>
      <c r="AO88" s="93">
        <f>VLOOKUP(B88,'Growthrates source'!A$2:H$49,8,FALSE)</f>
        <v>6.0410507639565125E-2</v>
      </c>
      <c r="AP88" s="93">
        <f>VLOOKUP(B88,'Growthrates source'!A$2:I$49,9,FALSE)</f>
        <v>0.33177029268299996</v>
      </c>
      <c r="AQ88" s="86">
        <f t="shared" si="31"/>
        <v>0.73929922242038426</v>
      </c>
      <c r="AR88" s="86">
        <f t="shared" si="32"/>
        <v>2.7055653114185567</v>
      </c>
      <c r="AS88" s="94">
        <f t="shared" si="33"/>
        <v>0</v>
      </c>
      <c r="AT88" s="94">
        <f t="shared" si="34"/>
        <v>2.0396437395073082E-2</v>
      </c>
      <c r="AU88" s="94">
        <f t="shared" si="36"/>
        <v>1.7477860200075041E-2</v>
      </c>
      <c r="AV88" s="94">
        <f t="shared" si="37"/>
        <v>1.9009267398041881E-2</v>
      </c>
    </row>
    <row r="89" spans="1:48" x14ac:dyDescent="0.3">
      <c r="A89" s="85" t="str">
        <f>_xlfn.XLOOKUP(B89,'Country codes &amp; Data sources'!G:G,'Country codes &amp; Data sources'!H:H,,0)</f>
        <v>Botswana</v>
      </c>
      <c r="B89" s="85" t="s">
        <v>164</v>
      </c>
      <c r="C89" s="86">
        <v>2175441.5</v>
      </c>
      <c r="D89" s="85" t="s">
        <v>208</v>
      </c>
      <c r="E89" s="87">
        <v>0</v>
      </c>
      <c r="F89" s="88">
        <v>2217278.0000000009</v>
      </c>
      <c r="G89" s="87">
        <v>0</v>
      </c>
      <c r="I89" s="87">
        <v>0</v>
      </c>
      <c r="K89" s="87">
        <v>0</v>
      </c>
      <c r="M89" s="87">
        <v>0</v>
      </c>
      <c r="O89" s="87">
        <v>0</v>
      </c>
      <c r="P89" s="88">
        <v>2451408.4999999995</v>
      </c>
      <c r="Q89" s="87">
        <v>1248</v>
      </c>
      <c r="R89" s="87">
        <f t="shared" si="19"/>
        <v>1248</v>
      </c>
      <c r="T89" s="87">
        <v>1376</v>
      </c>
      <c r="V89" s="87">
        <v>1221</v>
      </c>
      <c r="X89" s="87">
        <v>1355</v>
      </c>
      <c r="Y89" s="88">
        <v>2630296.0000000019</v>
      </c>
      <c r="Z89" s="87">
        <v>1579</v>
      </c>
      <c r="AA89" s="87">
        <v>0</v>
      </c>
      <c r="AB89" s="89">
        <f t="shared" si="20"/>
        <v>0</v>
      </c>
      <c r="AC89" s="89">
        <f t="shared" si="21"/>
        <v>1376</v>
      </c>
      <c r="AD89" s="89">
        <f t="shared" si="22"/>
        <v>1579</v>
      </c>
      <c r="AF89" s="90" t="str">
        <f t="shared" si="23"/>
        <v/>
      </c>
      <c r="AG89" s="90">
        <f t="shared" si="24"/>
        <v>1248</v>
      </c>
      <c r="AH89" s="90">
        <f t="shared" si="25"/>
        <v>2018</v>
      </c>
      <c r="AI89" s="90">
        <f t="shared" si="26"/>
        <v>1579</v>
      </c>
      <c r="AJ89" s="90">
        <f t="shared" si="27"/>
        <v>2022</v>
      </c>
      <c r="AK89" s="90" t="str">
        <f t="shared" si="28"/>
        <v/>
      </c>
      <c r="AL89" s="91">
        <f>IF(AK89="Adjust",(_xlfn.XLOOKUP(A89,'Adj factor'!A:A,'Adj factor'!I:I,,0)*AI89),'Master DataSheet (Rev)'!AI89)</f>
        <v>1579</v>
      </c>
      <c r="AM89" s="91">
        <f t="shared" si="29"/>
        <v>1579</v>
      </c>
      <c r="AN89" s="92" t="str">
        <f t="shared" si="30"/>
        <v>Increasing</v>
      </c>
      <c r="AO89" s="93">
        <f>VLOOKUP(B89,'Growthrates source'!A$2:H$49,8,FALSE)</f>
        <v>6.0410507639565125E-2</v>
      </c>
      <c r="AP89" s="93">
        <f>VLOOKUP(B89,'Growthrates source'!A$2:I$49,9,FALSE)</f>
        <v>0.33177029268299996</v>
      </c>
      <c r="AQ89" s="86">
        <f t="shared" si="31"/>
        <v>0</v>
      </c>
      <c r="AR89" s="86">
        <f t="shared" si="32"/>
        <v>0</v>
      </c>
      <c r="AS89" s="94">
        <f t="shared" si="33"/>
        <v>0</v>
      </c>
      <c r="AT89" s="94">
        <f t="shared" si="34"/>
        <v>5.0909507738102411</v>
      </c>
      <c r="AU89" s="94">
        <f t="shared" si="36"/>
        <v>6.0031266443016253</v>
      </c>
      <c r="AV89" s="94">
        <f t="shared" si="37"/>
        <v>6.0031266443016253</v>
      </c>
    </row>
    <row r="90" spans="1:48" x14ac:dyDescent="0.3">
      <c r="A90" s="85" t="str">
        <f>_xlfn.XLOOKUP(B90,'Country codes &amp; Data sources'!G:G,'Country codes &amp; Data sources'!H:H,,0)</f>
        <v>Botswana</v>
      </c>
      <c r="B90" s="85" t="s">
        <v>164</v>
      </c>
      <c r="C90" s="86">
        <v>2175442.5</v>
      </c>
      <c r="D90" s="85" t="s">
        <v>209</v>
      </c>
      <c r="E90" s="87">
        <v>0</v>
      </c>
      <c r="F90" s="88">
        <v>2217278.0000000009</v>
      </c>
      <c r="G90" s="87">
        <v>0</v>
      </c>
      <c r="I90" s="87">
        <v>0</v>
      </c>
      <c r="K90" s="87">
        <v>0</v>
      </c>
      <c r="M90" s="87">
        <v>0</v>
      </c>
      <c r="O90" s="87">
        <v>0</v>
      </c>
      <c r="P90" s="88">
        <v>2451408.4999999995</v>
      </c>
      <c r="Q90" s="87">
        <v>3342</v>
      </c>
      <c r="R90" s="87">
        <f t="shared" si="19"/>
        <v>3342</v>
      </c>
      <c r="T90" s="87">
        <v>3956</v>
      </c>
      <c r="V90" s="87">
        <v>3691</v>
      </c>
      <c r="X90" s="87">
        <v>3629</v>
      </c>
      <c r="Y90" s="88">
        <v>2630296.0000000019</v>
      </c>
      <c r="Z90" s="87">
        <v>3204</v>
      </c>
      <c r="AA90" s="87">
        <v>20</v>
      </c>
      <c r="AB90" s="89">
        <f t="shared" si="20"/>
        <v>0</v>
      </c>
      <c r="AC90" s="89">
        <f t="shared" si="21"/>
        <v>3956</v>
      </c>
      <c r="AD90" s="89">
        <f t="shared" si="22"/>
        <v>3691</v>
      </c>
      <c r="AF90" s="90" t="str">
        <f t="shared" si="23"/>
        <v/>
      </c>
      <c r="AG90" s="90">
        <f t="shared" si="24"/>
        <v>3342</v>
      </c>
      <c r="AH90" s="90">
        <f t="shared" si="25"/>
        <v>2018</v>
      </c>
      <c r="AI90" s="90">
        <f t="shared" si="26"/>
        <v>3204</v>
      </c>
      <c r="AJ90" s="90">
        <f t="shared" si="27"/>
        <v>2022</v>
      </c>
      <c r="AK90" s="90" t="str">
        <f t="shared" si="28"/>
        <v>Adjust</v>
      </c>
      <c r="AL90" s="91">
        <f>IF(AK90="Adjust",(_xlfn.XLOOKUP(A90,'Adj factor'!A:A,'Adj factor'!I:I,,0)*AI90),'Master DataSheet (Rev)'!AI90)</f>
        <v>3682.3528564026101</v>
      </c>
      <c r="AM90" s="91">
        <f t="shared" si="29"/>
        <v>3682.3528564026101</v>
      </c>
      <c r="AN90" s="92" t="str">
        <f t="shared" si="30"/>
        <v>Increasing</v>
      </c>
      <c r="AO90" s="93">
        <f>VLOOKUP(B90,'Growthrates source'!A$2:H$49,8,FALSE)</f>
        <v>6.0410507639565125E-2</v>
      </c>
      <c r="AP90" s="93">
        <f>VLOOKUP(B90,'Growthrates source'!A$2:I$49,9,FALSE)</f>
        <v>0.33177029268299996</v>
      </c>
      <c r="AQ90" s="86">
        <f t="shared" si="31"/>
        <v>14.785984448407685</v>
      </c>
      <c r="AR90" s="86">
        <f t="shared" si="32"/>
        <v>54.111306228371134</v>
      </c>
      <c r="AS90" s="94">
        <f t="shared" si="33"/>
        <v>0</v>
      </c>
      <c r="AT90" s="94">
        <f t="shared" si="34"/>
        <v>13.632978754866848</v>
      </c>
      <c r="AU90" s="94">
        <f t="shared" si="36"/>
        <v>13.999766020260106</v>
      </c>
      <c r="AV90" s="94">
        <f t="shared" si="37"/>
        <v>13.999766020260106</v>
      </c>
    </row>
    <row r="91" spans="1:48" x14ac:dyDescent="0.3">
      <c r="A91" s="85" t="str">
        <f>_xlfn.XLOOKUP(B91,'Country codes &amp; Data sources'!G:G,'Country codes &amp; Data sources'!H:H,,0)</f>
        <v>Botswana</v>
      </c>
      <c r="B91" s="85" t="s">
        <v>164</v>
      </c>
      <c r="C91" s="86">
        <v>2175443.5</v>
      </c>
      <c r="D91" s="85" t="s">
        <v>134</v>
      </c>
      <c r="E91" s="87">
        <v>0</v>
      </c>
      <c r="F91" s="88">
        <v>2217278.0000000009</v>
      </c>
      <c r="G91" s="87">
        <v>0</v>
      </c>
      <c r="I91" s="87">
        <v>0</v>
      </c>
      <c r="K91" s="87">
        <v>0</v>
      </c>
      <c r="M91" s="87">
        <v>0</v>
      </c>
      <c r="O91" s="87">
        <v>0</v>
      </c>
      <c r="P91" s="88">
        <v>2451408.4999999995</v>
      </c>
      <c r="Q91" s="87">
        <v>318</v>
      </c>
      <c r="R91" s="87">
        <f t="shared" si="19"/>
        <v>460</v>
      </c>
      <c r="T91" s="87">
        <v>330</v>
      </c>
      <c r="V91" s="87">
        <v>338</v>
      </c>
      <c r="X91" s="87">
        <v>337</v>
      </c>
      <c r="Y91" s="88">
        <v>2630296.0000000019</v>
      </c>
      <c r="Z91" s="87">
        <v>318</v>
      </c>
      <c r="AA91" s="87">
        <v>460</v>
      </c>
      <c r="AB91" s="89">
        <f t="shared" si="20"/>
        <v>0</v>
      </c>
      <c r="AC91" s="89">
        <f t="shared" si="21"/>
        <v>330</v>
      </c>
      <c r="AD91" s="89">
        <f t="shared" si="22"/>
        <v>338</v>
      </c>
      <c r="AF91" s="90" t="str">
        <f t="shared" si="23"/>
        <v/>
      </c>
      <c r="AG91" s="90">
        <f t="shared" si="24"/>
        <v>460</v>
      </c>
      <c r="AH91" s="90" t="str">
        <f t="shared" si="25"/>
        <v>2018 (triag)</v>
      </c>
      <c r="AI91" s="90">
        <f t="shared" si="26"/>
        <v>318</v>
      </c>
      <c r="AJ91" s="90">
        <f t="shared" si="27"/>
        <v>2022</v>
      </c>
      <c r="AK91" s="90" t="str">
        <f t="shared" si="28"/>
        <v>Adjust</v>
      </c>
      <c r="AL91" s="91">
        <f>IF(AK91="Adjust",(_xlfn.XLOOKUP(A91,'Adj factor'!A:A,'Adj factor'!I:I,,0)*AI91),'Master DataSheet (Rev)'!AI91)</f>
        <v>365.47696889389204</v>
      </c>
      <c r="AM91" s="91">
        <f t="shared" si="29"/>
        <v>460</v>
      </c>
      <c r="AN91" s="92" t="str">
        <f t="shared" si="30"/>
        <v>Decreasing</v>
      </c>
      <c r="AO91" s="93">
        <f>VLOOKUP(B91,'Growthrates source'!A$2:H$49,8,FALSE)</f>
        <v>6.0410507639565125E-2</v>
      </c>
      <c r="AP91" s="93">
        <f>VLOOKUP(B91,'Growthrates source'!A$2:I$49,9,FALSE)</f>
        <v>0.33177029268299996</v>
      </c>
      <c r="AQ91" s="86">
        <f t="shared" si="31"/>
        <v>340.07764231337677</v>
      </c>
      <c r="AR91" s="86">
        <f t="shared" si="32"/>
        <v>1244.5600432525362</v>
      </c>
      <c r="AS91" s="94">
        <f t="shared" si="33"/>
        <v>0</v>
      </c>
      <c r="AT91" s="94">
        <f t="shared" si="34"/>
        <v>1.8764722403467236</v>
      </c>
      <c r="AU91" s="94">
        <f t="shared" si="36"/>
        <v>1.3894898859059657</v>
      </c>
      <c r="AV91" s="94">
        <f t="shared" si="37"/>
        <v>1.748852600619853</v>
      </c>
    </row>
    <row r="92" spans="1:48" x14ac:dyDescent="0.3">
      <c r="A92" s="85" t="str">
        <f>_xlfn.XLOOKUP(B92,'Country codes &amp; Data sources'!G:G,'Country codes &amp; Data sources'!H:H,,0)</f>
        <v>Botswana</v>
      </c>
      <c r="B92" s="85" t="s">
        <v>164</v>
      </c>
      <c r="C92" s="86">
        <v>2175444.5</v>
      </c>
      <c r="D92" s="85" t="s">
        <v>142</v>
      </c>
      <c r="E92" s="87">
        <v>0</v>
      </c>
      <c r="F92" s="88">
        <v>2217278.0000000009</v>
      </c>
      <c r="G92" s="87">
        <v>0</v>
      </c>
      <c r="I92" s="87">
        <v>0</v>
      </c>
      <c r="K92" s="87">
        <v>0</v>
      </c>
      <c r="M92" s="87">
        <v>0</v>
      </c>
      <c r="O92" s="87">
        <v>0</v>
      </c>
      <c r="P92" s="88">
        <v>2451408.4999999995</v>
      </c>
      <c r="Q92" s="87">
        <v>10</v>
      </c>
      <c r="R92" s="87">
        <f t="shared" si="19"/>
        <v>58</v>
      </c>
      <c r="T92" s="87">
        <v>10</v>
      </c>
      <c r="V92" s="87">
        <v>10</v>
      </c>
      <c r="X92" s="87">
        <v>11</v>
      </c>
      <c r="Y92" s="88">
        <v>2630296.0000000019</v>
      </c>
      <c r="Z92" s="87">
        <v>6</v>
      </c>
      <c r="AA92" s="87">
        <v>58</v>
      </c>
      <c r="AB92" s="89">
        <f t="shared" si="20"/>
        <v>0</v>
      </c>
      <c r="AC92" s="89">
        <f t="shared" si="21"/>
        <v>10</v>
      </c>
      <c r="AD92" s="89">
        <f t="shared" si="22"/>
        <v>11</v>
      </c>
      <c r="AF92" s="90" t="str">
        <f t="shared" si="23"/>
        <v/>
      </c>
      <c r="AG92" s="90">
        <f t="shared" si="24"/>
        <v>58</v>
      </c>
      <c r="AH92" s="90" t="str">
        <f t="shared" si="25"/>
        <v>2018 (triag)</v>
      </c>
      <c r="AI92" s="90">
        <f t="shared" si="26"/>
        <v>6</v>
      </c>
      <c r="AJ92" s="90">
        <f t="shared" si="27"/>
        <v>2022</v>
      </c>
      <c r="AK92" s="90" t="str">
        <f t="shared" si="28"/>
        <v>Adjust</v>
      </c>
      <c r="AL92" s="91">
        <f>IF(AK92="Adjust",(_xlfn.XLOOKUP(A92,'Adj factor'!A:A,'Adj factor'!I:I,,0)*AI92),'Master DataSheet (Rev)'!AI92)</f>
        <v>6.895791865922491</v>
      </c>
      <c r="AM92" s="91">
        <f t="shared" si="29"/>
        <v>58</v>
      </c>
      <c r="AN92" s="92" t="str">
        <f t="shared" si="30"/>
        <v>Decreasing</v>
      </c>
      <c r="AO92" s="93">
        <f>VLOOKUP(B92,'Growthrates source'!A$2:H$49,8,FALSE)</f>
        <v>6.0410507639565125E-2</v>
      </c>
      <c r="AP92" s="93">
        <f>VLOOKUP(B92,'Growthrates source'!A$2:I$49,9,FALSE)</f>
        <v>0.33177029268299996</v>
      </c>
      <c r="AQ92" s="86">
        <f t="shared" si="31"/>
        <v>42.879354900382289</v>
      </c>
      <c r="AR92" s="86">
        <f t="shared" si="32"/>
        <v>156.92278806227628</v>
      </c>
      <c r="AS92" s="94">
        <f t="shared" si="33"/>
        <v>0</v>
      </c>
      <c r="AT92" s="94">
        <f t="shared" si="34"/>
        <v>0.23659867378284774</v>
      </c>
      <c r="AU92" s="94">
        <f t="shared" si="36"/>
        <v>2.621679030011256E-2</v>
      </c>
      <c r="AV92" s="94">
        <f t="shared" si="37"/>
        <v>0.22050750181728582</v>
      </c>
    </row>
    <row r="93" spans="1:48" x14ac:dyDescent="0.3">
      <c r="A93" s="85" t="str">
        <f>_xlfn.XLOOKUP(B93,'Country codes &amp; Data sources'!G:G,'Country codes &amp; Data sources'!H:H,,0)</f>
        <v>Botswana</v>
      </c>
      <c r="B93" s="85" t="s">
        <v>164</v>
      </c>
      <c r="C93" s="86">
        <v>2175445.5</v>
      </c>
      <c r="D93" s="85" t="s">
        <v>83</v>
      </c>
      <c r="E93" s="87">
        <v>0</v>
      </c>
      <c r="F93" s="88">
        <v>2217278.0000000009</v>
      </c>
      <c r="G93" s="87">
        <v>0</v>
      </c>
      <c r="I93" s="87">
        <v>0</v>
      </c>
      <c r="K93" s="87">
        <v>0</v>
      </c>
      <c r="M93" s="87">
        <v>0</v>
      </c>
      <c r="O93" s="87">
        <v>0</v>
      </c>
      <c r="P93" s="88">
        <v>2451408.4999999995</v>
      </c>
      <c r="Q93" s="87">
        <v>42</v>
      </c>
      <c r="R93" s="87">
        <f t="shared" si="19"/>
        <v>42</v>
      </c>
      <c r="T93" s="87">
        <v>38</v>
      </c>
      <c r="V93" s="87">
        <v>66</v>
      </c>
      <c r="X93" s="87">
        <v>42</v>
      </c>
      <c r="Y93" s="88">
        <v>2630296.0000000019</v>
      </c>
      <c r="Z93" s="87">
        <v>30</v>
      </c>
      <c r="AA93" s="87">
        <v>38</v>
      </c>
      <c r="AB93" s="89">
        <f t="shared" si="20"/>
        <v>0</v>
      </c>
      <c r="AC93" s="89">
        <f t="shared" si="21"/>
        <v>42</v>
      </c>
      <c r="AD93" s="89">
        <f t="shared" si="22"/>
        <v>66</v>
      </c>
      <c r="AF93" s="90" t="str">
        <f t="shared" si="23"/>
        <v/>
      </c>
      <c r="AG93" s="90">
        <f t="shared" si="24"/>
        <v>42</v>
      </c>
      <c r="AH93" s="90">
        <f t="shared" si="25"/>
        <v>2018</v>
      </c>
      <c r="AI93" s="90">
        <f t="shared" si="26"/>
        <v>30</v>
      </c>
      <c r="AJ93" s="90">
        <f t="shared" si="27"/>
        <v>2022</v>
      </c>
      <c r="AK93" s="90" t="str">
        <f t="shared" si="28"/>
        <v>Adjust</v>
      </c>
      <c r="AL93" s="91">
        <f>IF(AK93="Adjust",(_xlfn.XLOOKUP(A93,'Adj factor'!A:A,'Adj factor'!I:I,,0)*AI93),'Master DataSheet (Rev)'!AI93)</f>
        <v>34.478959329612458</v>
      </c>
      <c r="AM93" s="91">
        <f t="shared" si="29"/>
        <v>42</v>
      </c>
      <c r="AN93" s="92" t="str">
        <f t="shared" si="30"/>
        <v>Decreasing</v>
      </c>
      <c r="AO93" s="93">
        <f>VLOOKUP(B93,'Growthrates source'!A$2:H$49,8,FALSE)</f>
        <v>6.0410507639565125E-2</v>
      </c>
      <c r="AP93" s="93">
        <f>VLOOKUP(B93,'Growthrates source'!A$2:I$49,9,FALSE)</f>
        <v>0.33177029268299996</v>
      </c>
      <c r="AQ93" s="86">
        <f t="shared" si="31"/>
        <v>28.0933704519746</v>
      </c>
      <c r="AR93" s="86">
        <f t="shared" si="32"/>
        <v>102.81148183390516</v>
      </c>
      <c r="AS93" s="94">
        <f t="shared" si="33"/>
        <v>0</v>
      </c>
      <c r="AT93" s="94">
        <f t="shared" si="34"/>
        <v>0.1713300741186139</v>
      </c>
      <c r="AU93" s="94">
        <f t="shared" si="36"/>
        <v>0.13108395150056282</v>
      </c>
      <c r="AV93" s="94">
        <f t="shared" si="37"/>
        <v>0.15967784614355179</v>
      </c>
    </row>
    <row r="94" spans="1:48" x14ac:dyDescent="0.3">
      <c r="A94" s="85" t="str">
        <f>_xlfn.XLOOKUP(B94,'Country codes &amp; Data sources'!G:G,'Country codes &amp; Data sources'!H:H,,0)</f>
        <v>Botswana</v>
      </c>
      <c r="B94" s="85" t="s">
        <v>164</v>
      </c>
      <c r="C94" s="86">
        <v>2175446.5</v>
      </c>
      <c r="D94" s="85" t="s">
        <v>84</v>
      </c>
      <c r="E94" s="87">
        <v>0</v>
      </c>
      <c r="F94" s="88">
        <v>2217278.0000000009</v>
      </c>
      <c r="G94" s="87">
        <v>0</v>
      </c>
      <c r="I94" s="87">
        <v>0</v>
      </c>
      <c r="K94" s="87">
        <v>0</v>
      </c>
      <c r="M94" s="87">
        <v>0</v>
      </c>
      <c r="O94" s="87">
        <v>0</v>
      </c>
      <c r="P94" s="88">
        <v>2451408.4999999995</v>
      </c>
      <c r="Q94" s="87">
        <v>0</v>
      </c>
      <c r="R94" s="87">
        <f t="shared" si="19"/>
        <v>0</v>
      </c>
      <c r="T94" s="87">
        <v>0</v>
      </c>
      <c r="V94" s="87">
        <v>0</v>
      </c>
      <c r="X94" s="87">
        <v>0</v>
      </c>
      <c r="Y94" s="88">
        <v>2630296.0000000019</v>
      </c>
      <c r="Z94" s="87">
        <v>0</v>
      </c>
      <c r="AA94" s="87">
        <v>0</v>
      </c>
      <c r="AB94" s="89">
        <f t="shared" si="20"/>
        <v>0</v>
      </c>
      <c r="AC94" s="89">
        <f t="shared" si="21"/>
        <v>0</v>
      </c>
      <c r="AD94" s="89">
        <f t="shared" si="22"/>
        <v>0</v>
      </c>
      <c r="AF94" s="90" t="str">
        <f t="shared" si="23"/>
        <v/>
      </c>
      <c r="AH94" s="90" t="str">
        <f t="shared" si="25"/>
        <v/>
      </c>
      <c r="AI94" s="90">
        <f t="shared" si="26"/>
        <v>0</v>
      </c>
      <c r="AJ94" s="90" t="str">
        <f t="shared" si="27"/>
        <v/>
      </c>
      <c r="AK94" s="90" t="str">
        <f t="shared" si="28"/>
        <v/>
      </c>
      <c r="AL94" s="91"/>
      <c r="AM94" s="91">
        <f t="shared" si="29"/>
        <v>0</v>
      </c>
      <c r="AN94" s="92" t="str">
        <f t="shared" si="30"/>
        <v>No change</v>
      </c>
      <c r="AO94" s="93">
        <f>VLOOKUP(B94,'Growthrates source'!A$2:H$49,8,FALSE)</f>
        <v>6.0410507639565125E-2</v>
      </c>
      <c r="AP94" s="93">
        <f>VLOOKUP(B94,'Growthrates source'!A$2:I$49,9,FALSE)</f>
        <v>0.33177029268299996</v>
      </c>
      <c r="AQ94" s="86">
        <f t="shared" si="31"/>
        <v>0</v>
      </c>
      <c r="AR94" s="86">
        <f t="shared" si="32"/>
        <v>0</v>
      </c>
      <c r="AS94" s="94">
        <f t="shared" si="33"/>
        <v>0</v>
      </c>
      <c r="AT94" s="94">
        <f t="shared" si="34"/>
        <v>0</v>
      </c>
      <c r="AU94" s="94">
        <f t="shared" si="36"/>
        <v>0</v>
      </c>
      <c r="AV94" s="94">
        <f t="shared" si="37"/>
        <v>0</v>
      </c>
    </row>
    <row r="95" spans="1:48" x14ac:dyDescent="0.3">
      <c r="A95" s="85" t="str">
        <f>_xlfn.XLOOKUP(B95,'Country codes &amp; Data sources'!G:G,'Country codes &amp; Data sources'!H:H,,0)</f>
        <v>Botswana</v>
      </c>
      <c r="B95" s="85" t="s">
        <v>164</v>
      </c>
      <c r="C95" s="86">
        <v>2175447.5</v>
      </c>
      <c r="D95" s="85" t="s">
        <v>126</v>
      </c>
      <c r="E95" s="87">
        <v>0</v>
      </c>
      <c r="F95" s="88">
        <v>2217278.0000000009</v>
      </c>
      <c r="G95" s="87">
        <v>0</v>
      </c>
      <c r="I95" s="87">
        <v>0</v>
      </c>
      <c r="K95" s="87">
        <v>0</v>
      </c>
      <c r="M95" s="87">
        <v>0</v>
      </c>
      <c r="O95" s="87">
        <v>0</v>
      </c>
      <c r="P95" s="88">
        <v>2451408.4999999995</v>
      </c>
      <c r="Q95" s="87">
        <v>9</v>
      </c>
      <c r="R95" s="87">
        <f t="shared" si="19"/>
        <v>9</v>
      </c>
      <c r="T95" s="87">
        <v>8</v>
      </c>
      <c r="V95" s="87">
        <v>7</v>
      </c>
      <c r="X95" s="87">
        <v>8</v>
      </c>
      <c r="Y95" s="88">
        <v>2630296.0000000019</v>
      </c>
      <c r="Z95" s="87">
        <v>11</v>
      </c>
      <c r="AA95" s="87">
        <v>0</v>
      </c>
      <c r="AB95" s="89">
        <f t="shared" si="20"/>
        <v>0</v>
      </c>
      <c r="AC95" s="89">
        <f t="shared" si="21"/>
        <v>9</v>
      </c>
      <c r="AD95" s="89">
        <f t="shared" si="22"/>
        <v>11</v>
      </c>
      <c r="AF95" s="90" t="str">
        <f t="shared" si="23"/>
        <v/>
      </c>
      <c r="AG95" s="90">
        <f t="shared" si="24"/>
        <v>9</v>
      </c>
      <c r="AH95" s="90">
        <f t="shared" si="25"/>
        <v>2018</v>
      </c>
      <c r="AI95" s="90">
        <f t="shared" si="26"/>
        <v>11</v>
      </c>
      <c r="AJ95" s="90">
        <f t="shared" si="27"/>
        <v>2022</v>
      </c>
      <c r="AK95" s="90" t="str">
        <f t="shared" si="28"/>
        <v/>
      </c>
      <c r="AL95" s="91">
        <f>IF(AK95="Adjust",(_xlfn.XLOOKUP(A95,'Adj factor'!A:A,'Adj factor'!I:I,,0)*AI95),'Master DataSheet (Rev)'!AI95)</f>
        <v>11</v>
      </c>
      <c r="AM95" s="91">
        <f t="shared" si="29"/>
        <v>11</v>
      </c>
      <c r="AN95" s="92" t="str">
        <f t="shared" si="30"/>
        <v>Increasing</v>
      </c>
      <c r="AO95" s="93">
        <f>VLOOKUP(B95,'Growthrates source'!A$2:H$49,8,FALSE)</f>
        <v>6.0410507639565125E-2</v>
      </c>
      <c r="AP95" s="93">
        <f>VLOOKUP(B95,'Growthrates source'!A$2:I$49,9,FALSE)</f>
        <v>0.33177029268299996</v>
      </c>
      <c r="AQ95" s="86">
        <f t="shared" si="31"/>
        <v>0</v>
      </c>
      <c r="AR95" s="86">
        <f t="shared" si="32"/>
        <v>0</v>
      </c>
      <c r="AS95" s="94">
        <f t="shared" si="33"/>
        <v>0</v>
      </c>
      <c r="AT95" s="94">
        <f t="shared" si="34"/>
        <v>3.6713587311131543E-2</v>
      </c>
      <c r="AU95" s="94">
        <f t="shared" si="36"/>
        <v>4.1820388275692136E-2</v>
      </c>
      <c r="AV95" s="94">
        <f t="shared" si="37"/>
        <v>4.1820388275692136E-2</v>
      </c>
    </row>
    <row r="96" spans="1:48" x14ac:dyDescent="0.3">
      <c r="A96" s="85" t="str">
        <f>_xlfn.XLOOKUP(B96,'Country codes &amp; Data sources'!G:G,'Country codes &amp; Data sources'!H:H,,0)</f>
        <v>Botswana</v>
      </c>
      <c r="B96" s="85" t="s">
        <v>164</v>
      </c>
      <c r="C96" s="86">
        <v>2175448.5</v>
      </c>
      <c r="D96" s="85" t="s">
        <v>87</v>
      </c>
      <c r="E96" s="87">
        <v>0</v>
      </c>
      <c r="F96" s="88">
        <v>2217278.0000000009</v>
      </c>
      <c r="G96" s="87">
        <v>0</v>
      </c>
      <c r="I96" s="87">
        <v>0</v>
      </c>
      <c r="K96" s="87">
        <v>0</v>
      </c>
      <c r="M96" s="87">
        <v>0</v>
      </c>
      <c r="O96" s="87">
        <v>0</v>
      </c>
      <c r="P96" s="88">
        <v>2451408.4999999995</v>
      </c>
      <c r="Q96" s="87">
        <v>0</v>
      </c>
      <c r="R96" s="87">
        <f t="shared" si="19"/>
        <v>0</v>
      </c>
      <c r="T96" s="87">
        <v>0</v>
      </c>
      <c r="V96" s="87">
        <v>0</v>
      </c>
      <c r="X96" s="87">
        <v>0</v>
      </c>
      <c r="Y96" s="88">
        <v>2630296.0000000019</v>
      </c>
      <c r="Z96" s="87">
        <v>0</v>
      </c>
      <c r="AA96" s="87">
        <v>0</v>
      </c>
      <c r="AB96" s="89">
        <f t="shared" si="20"/>
        <v>0</v>
      </c>
      <c r="AC96" s="89">
        <f t="shared" si="21"/>
        <v>0</v>
      </c>
      <c r="AD96" s="89">
        <f t="shared" si="22"/>
        <v>0</v>
      </c>
      <c r="AF96" s="90" t="str">
        <f t="shared" si="23"/>
        <v/>
      </c>
      <c r="AH96" s="90" t="str">
        <f t="shared" si="25"/>
        <v/>
      </c>
      <c r="AI96" s="90">
        <f t="shared" si="26"/>
        <v>0</v>
      </c>
      <c r="AJ96" s="90" t="str">
        <f t="shared" si="27"/>
        <v/>
      </c>
      <c r="AK96" s="90" t="str">
        <f t="shared" si="28"/>
        <v/>
      </c>
      <c r="AL96" s="91"/>
      <c r="AM96" s="91">
        <f t="shared" si="29"/>
        <v>0</v>
      </c>
      <c r="AN96" s="92" t="str">
        <f t="shared" si="30"/>
        <v>No change</v>
      </c>
      <c r="AO96" s="93">
        <f>VLOOKUP(B96,'Growthrates source'!A$2:H$49,8,FALSE)</f>
        <v>6.0410507639565125E-2</v>
      </c>
      <c r="AP96" s="93">
        <f>VLOOKUP(B96,'Growthrates source'!A$2:I$49,9,FALSE)</f>
        <v>0.33177029268299996</v>
      </c>
      <c r="AQ96" s="86">
        <f t="shared" si="31"/>
        <v>0</v>
      </c>
      <c r="AR96" s="86">
        <f t="shared" si="32"/>
        <v>0</v>
      </c>
      <c r="AS96" s="94">
        <f t="shared" si="33"/>
        <v>0</v>
      </c>
      <c r="AT96" s="94">
        <f t="shared" si="34"/>
        <v>0</v>
      </c>
      <c r="AU96" s="94">
        <f t="shared" si="36"/>
        <v>0</v>
      </c>
      <c r="AV96" s="94">
        <f t="shared" si="37"/>
        <v>0</v>
      </c>
    </row>
    <row r="97" spans="1:48" x14ac:dyDescent="0.3">
      <c r="A97" s="85" t="str">
        <f>_xlfn.XLOOKUP(B97,'Country codes &amp; Data sources'!G:G,'Country codes &amp; Data sources'!H:H,,0)</f>
        <v>Central African Republic</v>
      </c>
      <c r="B97" s="85" t="s">
        <v>152</v>
      </c>
      <c r="C97" s="86">
        <v>4773310.5</v>
      </c>
      <c r="D97" s="85" t="s">
        <v>127</v>
      </c>
      <c r="E97" s="87">
        <v>0</v>
      </c>
      <c r="F97" s="88">
        <v>4802428.5000000065</v>
      </c>
      <c r="G97" s="87">
        <v>0</v>
      </c>
      <c r="I97" s="87">
        <v>0</v>
      </c>
      <c r="K97" s="87">
        <v>0</v>
      </c>
      <c r="M97" s="87">
        <v>0</v>
      </c>
      <c r="O97" s="87">
        <v>0</v>
      </c>
      <c r="P97" s="88">
        <v>5094779.9999999991</v>
      </c>
      <c r="Q97" s="87">
        <v>115</v>
      </c>
      <c r="R97" s="87">
        <f t="shared" si="19"/>
        <v>115</v>
      </c>
      <c r="T97" s="87">
        <v>0</v>
      </c>
      <c r="V97" s="87">
        <v>0</v>
      </c>
      <c r="X97" s="87">
        <v>1595</v>
      </c>
      <c r="Y97" s="88">
        <v>5579143.5000000047</v>
      </c>
      <c r="Z97" s="87">
        <v>0</v>
      </c>
      <c r="AA97" s="87">
        <v>115</v>
      </c>
      <c r="AB97" s="89">
        <f t="shared" si="20"/>
        <v>0</v>
      </c>
      <c r="AC97" s="89">
        <f t="shared" si="21"/>
        <v>115</v>
      </c>
      <c r="AD97" s="89">
        <f t="shared" si="22"/>
        <v>1595</v>
      </c>
      <c r="AF97" s="90" t="str">
        <f t="shared" si="23"/>
        <v/>
      </c>
      <c r="AG97" s="90">
        <f t="shared" si="24"/>
        <v>115</v>
      </c>
      <c r="AH97" s="90">
        <f t="shared" si="25"/>
        <v>2018</v>
      </c>
      <c r="AI97" s="90">
        <f t="shared" si="26"/>
        <v>1595</v>
      </c>
      <c r="AJ97" s="90">
        <f t="shared" si="27"/>
        <v>2021</v>
      </c>
      <c r="AK97" s="90" t="str">
        <f t="shared" si="28"/>
        <v/>
      </c>
      <c r="AL97" s="91">
        <f>IF(AK97="Adjust",(_xlfn.XLOOKUP(A97,'Adj factor'!A:A,'Adj factor'!I:I,,0)*AI97),'Master DataSheet (Rev)'!AI97)</f>
        <v>1595</v>
      </c>
      <c r="AM97" s="91">
        <f t="shared" si="29"/>
        <v>1595</v>
      </c>
      <c r="AN97" s="92" t="str">
        <f t="shared" si="30"/>
        <v>Increasing</v>
      </c>
      <c r="AO97" s="93">
        <f>VLOOKUP(B97,'Growthrates source'!A$2:H$49,8,FALSE)</f>
        <v>1.405403127486049E-2</v>
      </c>
      <c r="AP97" s="93">
        <f>VLOOKUP(B97,'Growthrates source'!A$2:I$49,9,FALSE)</f>
        <v>5.4673730437993617E-2</v>
      </c>
      <c r="AQ97" s="86">
        <f t="shared" si="31"/>
        <v>107.19632560633407</v>
      </c>
      <c r="AR97" s="86">
        <f t="shared" si="32"/>
        <v>135.49751757567779</v>
      </c>
      <c r="AS97" s="94">
        <f t="shared" si="33"/>
        <v>0</v>
      </c>
      <c r="AT97" s="94">
        <f t="shared" si="34"/>
        <v>0.22572122839455289</v>
      </c>
      <c r="AU97" s="94">
        <f t="shared" si="36"/>
        <v>2.8588617589778766</v>
      </c>
      <c r="AV97" s="94">
        <f t="shared" si="37"/>
        <v>2.8588617589778766</v>
      </c>
    </row>
    <row r="98" spans="1:48" x14ac:dyDescent="0.3">
      <c r="A98" s="85" t="str">
        <f>_xlfn.XLOOKUP(B98,'Country codes &amp; Data sources'!G:G,'Country codes &amp; Data sources'!H:H,,0)</f>
        <v>Central African Republic</v>
      </c>
      <c r="B98" s="85" t="s">
        <v>152</v>
      </c>
      <c r="C98" s="86">
        <v>4773311.5</v>
      </c>
      <c r="D98" s="85" t="s">
        <v>61</v>
      </c>
      <c r="E98" s="87">
        <v>15</v>
      </c>
      <c r="F98" s="88">
        <v>4802428.5000000065</v>
      </c>
      <c r="G98" s="87">
        <v>44</v>
      </c>
      <c r="I98" s="87">
        <v>44</v>
      </c>
      <c r="K98" s="87">
        <v>0</v>
      </c>
      <c r="M98" s="87">
        <v>11</v>
      </c>
      <c r="O98" s="87">
        <v>55</v>
      </c>
      <c r="P98" s="88">
        <v>5094779.9999999991</v>
      </c>
      <c r="Q98" s="87">
        <v>77</v>
      </c>
      <c r="R98" s="87">
        <f t="shared" si="19"/>
        <v>77</v>
      </c>
      <c r="T98" s="87">
        <v>0</v>
      </c>
      <c r="V98" s="87">
        <v>0</v>
      </c>
      <c r="X98" s="87">
        <v>0</v>
      </c>
      <c r="Y98" s="88">
        <v>5579143.5000000047</v>
      </c>
      <c r="Z98" s="87">
        <v>1634</v>
      </c>
      <c r="AA98" s="87">
        <v>0</v>
      </c>
      <c r="AB98" s="89">
        <f t="shared" si="20"/>
        <v>44</v>
      </c>
      <c r="AC98" s="89">
        <f t="shared" si="21"/>
        <v>77</v>
      </c>
      <c r="AD98" s="89">
        <f t="shared" si="22"/>
        <v>1634</v>
      </c>
      <c r="AE98" s="90">
        <f t="shared" si="35"/>
        <v>44</v>
      </c>
      <c r="AF98" s="90">
        <f t="shared" si="23"/>
        <v>2013</v>
      </c>
      <c r="AG98" s="90">
        <f t="shared" si="24"/>
        <v>77</v>
      </c>
      <c r="AH98" s="90">
        <f t="shared" si="25"/>
        <v>2018</v>
      </c>
      <c r="AI98" s="90">
        <f t="shared" si="26"/>
        <v>1634</v>
      </c>
      <c r="AJ98" s="90">
        <f t="shared" si="27"/>
        <v>2022</v>
      </c>
      <c r="AK98" s="90" t="str">
        <f t="shared" si="28"/>
        <v/>
      </c>
      <c r="AL98" s="91">
        <f>IF(AK98="Adjust",(_xlfn.XLOOKUP(A98,'Adj factor'!A:A,'Adj factor'!I:I,,0)*AI98),'Master DataSheet (Rev)'!AI98)</f>
        <v>1634</v>
      </c>
      <c r="AM98" s="91">
        <f t="shared" si="29"/>
        <v>1634</v>
      </c>
      <c r="AN98" s="92" t="str">
        <f t="shared" si="30"/>
        <v>Increasing</v>
      </c>
      <c r="AO98" s="93">
        <f>VLOOKUP(B98,'Growthrates source'!A$2:H$49,8,FALSE)</f>
        <v>1.405403127486049E-2</v>
      </c>
      <c r="AP98" s="93">
        <f>VLOOKUP(B98,'Growthrates source'!A$2:I$49,9,FALSE)</f>
        <v>5.4673730437993617E-2</v>
      </c>
      <c r="AQ98" s="86">
        <f t="shared" si="31"/>
        <v>0</v>
      </c>
      <c r="AR98" s="86">
        <f t="shared" si="32"/>
        <v>0</v>
      </c>
      <c r="AS98" s="94">
        <f t="shared" si="33"/>
        <v>9.1620312514803584E-2</v>
      </c>
      <c r="AT98" s="94">
        <f t="shared" si="34"/>
        <v>0.15113508335983106</v>
      </c>
      <c r="AU98" s="94">
        <f t="shared" si="36"/>
        <v>2.9287649618619751</v>
      </c>
      <c r="AV98" s="94">
        <f t="shared" si="37"/>
        <v>2.9287649618619751</v>
      </c>
    </row>
    <row r="99" spans="1:48" x14ac:dyDescent="0.3">
      <c r="A99" s="85" t="str">
        <f>_xlfn.XLOOKUP(B99,'Country codes &amp; Data sources'!G:G,'Country codes &amp; Data sources'!H:H,,0)</f>
        <v>Central African Republic</v>
      </c>
      <c r="B99" s="85" t="s">
        <v>152</v>
      </c>
      <c r="C99" s="86">
        <v>4773312.5</v>
      </c>
      <c r="D99" s="85" t="s">
        <v>62</v>
      </c>
      <c r="E99" s="87">
        <v>11</v>
      </c>
      <c r="F99" s="88">
        <v>4802428.5000000065</v>
      </c>
      <c r="G99" s="87">
        <v>257</v>
      </c>
      <c r="I99" s="87">
        <v>0</v>
      </c>
      <c r="K99" s="87">
        <v>0</v>
      </c>
      <c r="M99" s="87">
        <v>0</v>
      </c>
      <c r="O99" s="87">
        <v>669</v>
      </c>
      <c r="P99" s="88">
        <v>5094779.9999999991</v>
      </c>
      <c r="Q99" s="87">
        <v>0</v>
      </c>
      <c r="R99" s="87">
        <f t="shared" si="19"/>
        <v>105</v>
      </c>
      <c r="T99" s="87">
        <v>0</v>
      </c>
      <c r="V99" s="87">
        <v>0</v>
      </c>
      <c r="X99" s="87">
        <v>0</v>
      </c>
      <c r="Y99" s="88">
        <v>5579143.5000000047</v>
      </c>
      <c r="Z99" s="87">
        <v>47</v>
      </c>
      <c r="AA99" s="87">
        <v>105</v>
      </c>
      <c r="AB99" s="89">
        <f t="shared" si="20"/>
        <v>257</v>
      </c>
      <c r="AC99" s="89">
        <f t="shared" si="21"/>
        <v>669</v>
      </c>
      <c r="AD99" s="89">
        <f t="shared" si="22"/>
        <v>47</v>
      </c>
      <c r="AE99" s="90">
        <f t="shared" si="35"/>
        <v>257</v>
      </c>
      <c r="AF99" s="90">
        <f t="shared" si="23"/>
        <v>2013</v>
      </c>
      <c r="AG99" s="90">
        <f t="shared" si="24"/>
        <v>105</v>
      </c>
      <c r="AH99" s="90" t="str">
        <f t="shared" si="25"/>
        <v>2018 (triag)</v>
      </c>
      <c r="AI99" s="90">
        <f t="shared" si="26"/>
        <v>47</v>
      </c>
      <c r="AJ99" s="90">
        <f t="shared" si="27"/>
        <v>2022</v>
      </c>
      <c r="AK99" s="90" t="str">
        <f t="shared" si="28"/>
        <v>Adjust</v>
      </c>
      <c r="AL99" s="91">
        <f>IF(AK99="Adjust",(_xlfn.XLOOKUP(A99,'Adj factor'!A:A,'Adj factor'!I:I,,0)*AI99),'Master DataSheet (Rev)'!AI99)</f>
        <v>60.353598014888341</v>
      </c>
      <c r="AM99" s="91">
        <f t="shared" si="29"/>
        <v>105</v>
      </c>
      <c r="AN99" s="92" t="str">
        <f t="shared" si="30"/>
        <v>Decreasing</v>
      </c>
      <c r="AO99" s="93">
        <f>VLOOKUP(B99,'Growthrates source'!A$2:H$49,8,FALSE)</f>
        <v>1.405403127486049E-2</v>
      </c>
      <c r="AP99" s="93">
        <f>VLOOKUP(B99,'Growthrates source'!A$2:I$49,9,FALSE)</f>
        <v>5.4673730437993617E-2</v>
      </c>
      <c r="AQ99" s="86">
        <f t="shared" si="31"/>
        <v>97.874905988391973</v>
      </c>
      <c r="AR99" s="86">
        <f t="shared" si="32"/>
        <v>123.71512474301016</v>
      </c>
      <c r="AS99" s="94">
        <f t="shared" si="33"/>
        <v>0.53514591627964825</v>
      </c>
      <c r="AT99" s="94">
        <f t="shared" si="34"/>
        <v>0.20609329549067873</v>
      </c>
      <c r="AU99" s="94">
        <f t="shared" si="36"/>
        <v>0.10817717453384788</v>
      </c>
      <c r="AV99" s="94">
        <f t="shared" si="37"/>
        <v>0.18820093084180378</v>
      </c>
    </row>
    <row r="100" spans="1:48" x14ac:dyDescent="0.3">
      <c r="A100" s="85" t="str">
        <f>_xlfn.XLOOKUP(B100,'Country codes &amp; Data sources'!G:G,'Country codes &amp; Data sources'!H:H,,0)</f>
        <v>Central African Republic</v>
      </c>
      <c r="B100" s="85" t="s">
        <v>152</v>
      </c>
      <c r="C100" s="86">
        <v>4773313.5</v>
      </c>
      <c r="D100" s="85" t="s">
        <v>203</v>
      </c>
      <c r="E100" s="87">
        <v>0</v>
      </c>
      <c r="F100" s="88">
        <v>4802428.5000000065</v>
      </c>
      <c r="G100" s="87">
        <v>0</v>
      </c>
      <c r="I100" s="87">
        <v>0</v>
      </c>
      <c r="K100" s="87">
        <v>0</v>
      </c>
      <c r="M100" s="87">
        <v>0</v>
      </c>
      <c r="O100" s="87">
        <v>0</v>
      </c>
      <c r="P100" s="88">
        <v>5094779.9999999991</v>
      </c>
      <c r="Q100" s="87">
        <v>0</v>
      </c>
      <c r="R100" s="87">
        <f t="shared" si="19"/>
        <v>79</v>
      </c>
      <c r="T100" s="87">
        <v>0</v>
      </c>
      <c r="V100" s="87">
        <v>0</v>
      </c>
      <c r="X100" s="87">
        <v>308</v>
      </c>
      <c r="Y100" s="88">
        <v>5579143.5000000047</v>
      </c>
      <c r="Z100" s="87">
        <v>0</v>
      </c>
      <c r="AA100" s="87">
        <v>79</v>
      </c>
      <c r="AB100" s="89">
        <f t="shared" si="20"/>
        <v>0</v>
      </c>
      <c r="AC100" s="89">
        <f t="shared" si="21"/>
        <v>0</v>
      </c>
      <c r="AD100" s="89">
        <f t="shared" si="22"/>
        <v>308</v>
      </c>
      <c r="AF100" s="90" t="str">
        <f t="shared" si="23"/>
        <v/>
      </c>
      <c r="AG100" s="90">
        <f t="shared" si="24"/>
        <v>79</v>
      </c>
      <c r="AH100" s="90" t="str">
        <f t="shared" si="25"/>
        <v>2018 (triag)</v>
      </c>
      <c r="AI100" s="90">
        <f t="shared" si="26"/>
        <v>308</v>
      </c>
      <c r="AJ100" s="90">
        <f t="shared" si="27"/>
        <v>2021</v>
      </c>
      <c r="AK100" s="90" t="str">
        <f t="shared" si="28"/>
        <v/>
      </c>
      <c r="AL100" s="91">
        <f>IF(AK100="Adjust",(_xlfn.XLOOKUP(A100,'Adj factor'!A:A,'Adj factor'!I:I,,0)*AI100),'Master DataSheet (Rev)'!AI100)</f>
        <v>308</v>
      </c>
      <c r="AM100" s="91">
        <f t="shared" si="29"/>
        <v>308</v>
      </c>
      <c r="AN100" s="92" t="str">
        <f t="shared" si="30"/>
        <v>Increasing</v>
      </c>
      <c r="AO100" s="93">
        <f>VLOOKUP(B100,'Growthrates source'!A$2:H$49,8,FALSE)</f>
        <v>1.405403127486049E-2</v>
      </c>
      <c r="AP100" s="93">
        <f>VLOOKUP(B100,'Growthrates source'!A$2:I$49,9,FALSE)</f>
        <v>5.4673730437993617E-2</v>
      </c>
      <c r="AQ100" s="86">
        <f t="shared" si="31"/>
        <v>73.639214981742541</v>
      </c>
      <c r="AR100" s="86">
        <f t="shared" si="32"/>
        <v>93.080903378074311</v>
      </c>
      <c r="AS100" s="94">
        <f t="shared" si="33"/>
        <v>0</v>
      </c>
      <c r="AT100" s="94">
        <f t="shared" si="34"/>
        <v>0.15506066994060591</v>
      </c>
      <c r="AU100" s="94">
        <f t="shared" si="36"/>
        <v>0.5520560638026244</v>
      </c>
      <c r="AV100" s="94">
        <f t="shared" si="37"/>
        <v>0.5520560638026244</v>
      </c>
    </row>
    <row r="101" spans="1:48" x14ac:dyDescent="0.3">
      <c r="A101" s="85" t="str">
        <f>_xlfn.XLOOKUP(B101,'Country codes &amp; Data sources'!G:G,'Country codes &amp; Data sources'!H:H,,0)</f>
        <v>Central African Republic</v>
      </c>
      <c r="B101" s="85" t="s">
        <v>152</v>
      </c>
      <c r="C101" s="86">
        <v>4773314.5</v>
      </c>
      <c r="D101" s="85" t="s">
        <v>204</v>
      </c>
      <c r="E101" s="87">
        <v>0</v>
      </c>
      <c r="F101" s="88">
        <v>4802428.5000000065</v>
      </c>
      <c r="G101" s="87">
        <v>0</v>
      </c>
      <c r="I101" s="87">
        <v>0</v>
      </c>
      <c r="K101" s="87">
        <v>0</v>
      </c>
      <c r="M101" s="87">
        <v>0</v>
      </c>
      <c r="O101" s="87">
        <v>0</v>
      </c>
      <c r="P101" s="88">
        <v>5094779.9999999991</v>
      </c>
      <c r="Q101" s="87">
        <v>0</v>
      </c>
      <c r="R101" s="87">
        <f t="shared" ref="R101:R153" si="38">MAX(Q101,AA101)</f>
        <v>22</v>
      </c>
      <c r="T101" s="87">
        <v>0</v>
      </c>
      <c r="V101" s="87">
        <v>0</v>
      </c>
      <c r="X101" s="87">
        <v>0</v>
      </c>
      <c r="Y101" s="88">
        <v>5579143.5000000047</v>
      </c>
      <c r="Z101" s="87">
        <v>0</v>
      </c>
      <c r="AA101" s="87">
        <v>22</v>
      </c>
      <c r="AB101" s="89">
        <f t="shared" ref="AB101:AB153" si="39">MAX(G101,E101,I101,K101)</f>
        <v>0</v>
      </c>
      <c r="AC101" s="89">
        <f t="shared" ref="AC101:AC153" si="40">MAX(M101,O101,Q101,T101)</f>
        <v>0</v>
      </c>
      <c r="AD101" s="89">
        <f t="shared" ref="AD101:AD153" si="41">MAX(V101,X101,Z101)</f>
        <v>0</v>
      </c>
      <c r="AF101" s="90" t="str">
        <f t="shared" ref="AF101:AF153" si="42">IF(AE101&gt;0,_xlfn.XLOOKUP(AE101,$B101:$K101,$B$1:$K$1,,0),"")</f>
        <v/>
      </c>
      <c r="AG101" s="90">
        <f t="shared" ref="AG101:AG148" si="43">IF(R101&gt;0,R101,IF(O101&gt;0,O101,T101))</f>
        <v>22</v>
      </c>
      <c r="AH101" s="90" t="str">
        <f t="shared" ref="AH101:AH153" si="44">IF(AG101&gt;0,_xlfn.XLOOKUP(AG101,$L101:$T101,$L$1:$T$1,,0),"")</f>
        <v>2018 (triag)</v>
      </c>
      <c r="AI101" s="90">
        <f t="shared" ref="AI101:AI153" si="45">IF((IF(Z101&gt;0,Z101,IF(X101&gt;0,X101,IF(V101&gt;0,V101,T101))))=0,AG101,IF(Z101&gt;0,Z101,IF(X101&gt;0,X101,IF(V101&gt;0,V101,T101))))</f>
        <v>22</v>
      </c>
      <c r="AJ101" s="90" t="str">
        <f t="shared" ref="AJ101:AJ153" si="46">IFERROR(IF(AI101&gt;0,_xlfn.XLOOKUP(AI101,$V101:$Z101,$V$1:$Z$1,,0),""),AH101)</f>
        <v>2018 (triag)</v>
      </c>
      <c r="AK101" s="90" t="str">
        <f t="shared" ref="AK101:AK153" si="47">IF(AI101&lt;AG101,"Adjust","")</f>
        <v/>
      </c>
      <c r="AL101" s="91">
        <f>IF(AK101="Adjust",(_xlfn.XLOOKUP(A101,'Adj factor'!A:A,'Adj factor'!I:I,,0)*AI101),'Master DataSheet (Rev)'!AI101)</f>
        <v>22</v>
      </c>
      <c r="AM101" s="91">
        <f t="shared" ref="AM101:AM153" si="48">IF(AL101&lt;AG101,AG101,AL101)</f>
        <v>22</v>
      </c>
      <c r="AN101" s="92" t="str">
        <f t="shared" ref="AN101:AN153" si="49">IF(AL101&gt;AG101,"Increasing",IF(AL101&lt;AG101,"Decreasing","No change"))</f>
        <v>No change</v>
      </c>
      <c r="AO101" s="93">
        <f>VLOOKUP(B101,'Growthrates source'!A$2:H$49,8,FALSE)</f>
        <v>1.405403127486049E-2</v>
      </c>
      <c r="AP101" s="93">
        <f>VLOOKUP(B101,'Growthrates source'!A$2:I$49,9,FALSE)</f>
        <v>5.4673730437993617E-2</v>
      </c>
      <c r="AQ101" s="86">
        <f t="shared" ref="AQ101:AQ153" si="50">AA101/(EXP(AO101*5))</f>
        <v>20.507123159472606</v>
      </c>
      <c r="AR101" s="86">
        <f t="shared" ref="AR101:AR153" si="51">AA101*EXP(AP101*3)</f>
        <v>25.921264231868797</v>
      </c>
      <c r="AS101" s="94">
        <f t="shared" ref="AS101:AS153" si="52">(AE101*10000)/F101</f>
        <v>0</v>
      </c>
      <c r="AT101" s="94">
        <f t="shared" ref="AT101:AT153" si="53">(AG101*10000)/P101</f>
        <v>4.318145238852316E-2</v>
      </c>
      <c r="AU101" s="94">
        <f t="shared" si="36"/>
        <v>3.9432575985901747E-2</v>
      </c>
      <c r="AV101" s="94">
        <f t="shared" si="37"/>
        <v>3.9432575985901747E-2</v>
      </c>
    </row>
    <row r="102" spans="1:48" x14ac:dyDescent="0.3">
      <c r="A102" s="85" t="str">
        <f>_xlfn.XLOOKUP(B102,'Country codes &amp; Data sources'!G:G,'Country codes &amp; Data sources'!H:H,,0)</f>
        <v>Central African Republic</v>
      </c>
      <c r="B102" s="85" t="s">
        <v>152</v>
      </c>
      <c r="C102" s="86">
        <v>4773315.5</v>
      </c>
      <c r="D102" s="85" t="s">
        <v>205</v>
      </c>
      <c r="E102" s="87">
        <v>0</v>
      </c>
      <c r="F102" s="88">
        <v>4802428.5000000065</v>
      </c>
      <c r="G102" s="87">
        <v>0</v>
      </c>
      <c r="I102" s="87">
        <v>0</v>
      </c>
      <c r="K102" s="87">
        <v>0</v>
      </c>
      <c r="M102" s="87">
        <v>0</v>
      </c>
      <c r="O102" s="87">
        <v>0</v>
      </c>
      <c r="P102" s="88">
        <v>5094779.9999999991</v>
      </c>
      <c r="Q102" s="87">
        <v>1</v>
      </c>
      <c r="R102" s="87">
        <f t="shared" si="38"/>
        <v>1</v>
      </c>
      <c r="T102" s="87">
        <v>0</v>
      </c>
      <c r="V102" s="87">
        <v>0</v>
      </c>
      <c r="X102" s="87">
        <v>0</v>
      </c>
      <c r="Y102" s="88">
        <v>5579143.5000000047</v>
      </c>
      <c r="Z102" s="87">
        <v>0</v>
      </c>
      <c r="AA102" s="87">
        <v>0</v>
      </c>
      <c r="AB102" s="89">
        <f t="shared" si="39"/>
        <v>0</v>
      </c>
      <c r="AC102" s="89">
        <f t="shared" si="40"/>
        <v>1</v>
      </c>
      <c r="AD102" s="89">
        <f t="shared" si="41"/>
        <v>0</v>
      </c>
      <c r="AF102" s="90" t="str">
        <f t="shared" si="42"/>
        <v/>
      </c>
      <c r="AG102" s="90">
        <f t="shared" si="43"/>
        <v>1</v>
      </c>
      <c r="AH102" s="90">
        <f t="shared" si="44"/>
        <v>2018</v>
      </c>
      <c r="AI102" s="90">
        <f t="shared" si="45"/>
        <v>1</v>
      </c>
      <c r="AJ102" s="90">
        <f t="shared" si="46"/>
        <v>2018</v>
      </c>
      <c r="AK102" s="90" t="str">
        <f t="shared" si="47"/>
        <v/>
      </c>
      <c r="AL102" s="91">
        <f>IF(AK102="Adjust",(_xlfn.XLOOKUP(A102,'Adj factor'!A:A,'Adj factor'!I:I,,0)*AI102),'Master DataSheet (Rev)'!AI102)</f>
        <v>1</v>
      </c>
      <c r="AM102" s="91">
        <f t="shared" si="48"/>
        <v>1</v>
      </c>
      <c r="AN102" s="92" t="str">
        <f t="shared" si="49"/>
        <v>No change</v>
      </c>
      <c r="AO102" s="93">
        <f>VLOOKUP(B102,'Growthrates source'!A$2:H$49,8,FALSE)</f>
        <v>1.405403127486049E-2</v>
      </c>
      <c r="AP102" s="93">
        <f>VLOOKUP(B102,'Growthrates source'!A$2:I$49,9,FALSE)</f>
        <v>5.4673730437993617E-2</v>
      </c>
      <c r="AQ102" s="86">
        <f t="shared" si="50"/>
        <v>0</v>
      </c>
      <c r="AR102" s="86">
        <f t="shared" si="51"/>
        <v>0</v>
      </c>
      <c r="AS102" s="94">
        <f t="shared" si="52"/>
        <v>0</v>
      </c>
      <c r="AT102" s="94">
        <f t="shared" si="53"/>
        <v>1.9627932903874164E-3</v>
      </c>
      <c r="AU102" s="94">
        <f t="shared" si="36"/>
        <v>1.7923898175409884E-3</v>
      </c>
      <c r="AV102" s="94">
        <f t="shared" si="37"/>
        <v>1.7923898175409884E-3</v>
      </c>
    </row>
    <row r="103" spans="1:48" x14ac:dyDescent="0.3">
      <c r="A103" s="85" t="str">
        <f>_xlfn.XLOOKUP(B103,'Country codes &amp; Data sources'!G:G,'Country codes &amp; Data sources'!H:H,,0)</f>
        <v>Central African Republic</v>
      </c>
      <c r="B103" s="85" t="s">
        <v>152</v>
      </c>
      <c r="C103" s="86">
        <v>4773316.5</v>
      </c>
      <c r="D103" s="85" t="s">
        <v>133</v>
      </c>
      <c r="E103" s="87">
        <v>0</v>
      </c>
      <c r="F103" s="88">
        <v>4802428.5000000065</v>
      </c>
      <c r="G103" s="87">
        <v>0</v>
      </c>
      <c r="I103" s="87">
        <v>0</v>
      </c>
      <c r="K103" s="87">
        <v>0</v>
      </c>
      <c r="M103" s="87">
        <v>0</v>
      </c>
      <c r="O103" s="87">
        <v>0</v>
      </c>
      <c r="P103" s="88">
        <v>5094779.9999999991</v>
      </c>
      <c r="Q103" s="87">
        <v>112</v>
      </c>
      <c r="R103" s="87">
        <f t="shared" si="38"/>
        <v>112</v>
      </c>
      <c r="T103" s="87">
        <v>0</v>
      </c>
      <c r="V103" s="87">
        <v>0</v>
      </c>
      <c r="X103" s="87">
        <v>0</v>
      </c>
      <c r="Y103" s="88">
        <v>5579143.5000000047</v>
      </c>
      <c r="Z103" s="87">
        <v>0</v>
      </c>
      <c r="AA103" s="87">
        <v>3</v>
      </c>
      <c r="AB103" s="89">
        <f t="shared" si="39"/>
        <v>0</v>
      </c>
      <c r="AC103" s="89">
        <f t="shared" si="40"/>
        <v>112</v>
      </c>
      <c r="AD103" s="89">
        <f t="shared" si="41"/>
        <v>0</v>
      </c>
      <c r="AF103" s="90" t="str">
        <f t="shared" si="42"/>
        <v/>
      </c>
      <c r="AG103" s="90">
        <f t="shared" si="43"/>
        <v>112</v>
      </c>
      <c r="AH103" s="90">
        <f t="shared" si="44"/>
        <v>2018</v>
      </c>
      <c r="AI103" s="90">
        <f t="shared" si="45"/>
        <v>112</v>
      </c>
      <c r="AJ103" s="90">
        <f t="shared" si="46"/>
        <v>2018</v>
      </c>
      <c r="AK103" s="90" t="str">
        <f t="shared" si="47"/>
        <v/>
      </c>
      <c r="AL103" s="91">
        <f>IF(AK103="Adjust",(_xlfn.XLOOKUP(A103,'Adj factor'!A:A,'Adj factor'!I:I,,0)*AI103),'Master DataSheet (Rev)'!AI103)</f>
        <v>112</v>
      </c>
      <c r="AM103" s="91">
        <f t="shared" si="48"/>
        <v>112</v>
      </c>
      <c r="AN103" s="92" t="str">
        <f t="shared" si="49"/>
        <v>No change</v>
      </c>
      <c r="AO103" s="93">
        <f>VLOOKUP(B103,'Growthrates source'!A$2:H$49,8,FALSE)</f>
        <v>1.405403127486049E-2</v>
      </c>
      <c r="AP103" s="93">
        <f>VLOOKUP(B103,'Growthrates source'!A$2:I$49,9,FALSE)</f>
        <v>5.4673730437993617E-2</v>
      </c>
      <c r="AQ103" s="86">
        <f t="shared" si="50"/>
        <v>2.7964258853826278</v>
      </c>
      <c r="AR103" s="86">
        <f t="shared" si="51"/>
        <v>3.5347178498002902</v>
      </c>
      <c r="AS103" s="94">
        <f t="shared" si="52"/>
        <v>0</v>
      </c>
      <c r="AT103" s="94">
        <f t="shared" si="53"/>
        <v>0.21983284852339066</v>
      </c>
      <c r="AU103" s="94">
        <f t="shared" si="36"/>
        <v>0.2007476595645907</v>
      </c>
      <c r="AV103" s="94">
        <f t="shared" si="37"/>
        <v>0.2007476595645907</v>
      </c>
    </row>
    <row r="104" spans="1:48" x14ac:dyDescent="0.3">
      <c r="A104" s="85" t="str">
        <f>_xlfn.XLOOKUP(B104,'Country codes &amp; Data sources'!G:G,'Country codes &amp; Data sources'!H:H,,0)</f>
        <v>Central African Republic</v>
      </c>
      <c r="B104" s="85" t="s">
        <v>152</v>
      </c>
      <c r="C104" s="86">
        <v>4773317.5</v>
      </c>
      <c r="D104" s="85" t="s">
        <v>206</v>
      </c>
      <c r="E104" s="87">
        <v>0</v>
      </c>
      <c r="F104" s="88">
        <v>4802428.5000000065</v>
      </c>
      <c r="G104" s="87">
        <v>0</v>
      </c>
      <c r="I104" s="87">
        <v>0</v>
      </c>
      <c r="K104" s="87">
        <v>0</v>
      </c>
      <c r="M104" s="87">
        <v>0</v>
      </c>
      <c r="O104" s="87">
        <v>0</v>
      </c>
      <c r="P104" s="88">
        <v>5094779.9999999991</v>
      </c>
      <c r="Q104" s="87">
        <v>0</v>
      </c>
      <c r="R104" s="87">
        <f t="shared" si="38"/>
        <v>104</v>
      </c>
      <c r="T104" s="87">
        <v>0</v>
      </c>
      <c r="V104" s="87">
        <v>0</v>
      </c>
      <c r="X104" s="87">
        <v>0</v>
      </c>
      <c r="Y104" s="88">
        <v>5579143.5000000047</v>
      </c>
      <c r="Z104" s="87">
        <v>0</v>
      </c>
      <c r="AA104" s="87">
        <v>104</v>
      </c>
      <c r="AB104" s="89">
        <f t="shared" si="39"/>
        <v>0</v>
      </c>
      <c r="AC104" s="89">
        <f t="shared" si="40"/>
        <v>0</v>
      </c>
      <c r="AD104" s="89">
        <f t="shared" si="41"/>
        <v>0</v>
      </c>
      <c r="AF104" s="90" t="str">
        <f t="shared" si="42"/>
        <v/>
      </c>
      <c r="AG104" s="90">
        <f t="shared" si="43"/>
        <v>104</v>
      </c>
      <c r="AH104" s="90" t="str">
        <f t="shared" si="44"/>
        <v>2018 (triag)</v>
      </c>
      <c r="AI104" s="90">
        <f t="shared" si="45"/>
        <v>104</v>
      </c>
      <c r="AJ104" s="90" t="str">
        <f t="shared" si="46"/>
        <v>2018 (triag)</v>
      </c>
      <c r="AK104" s="90" t="str">
        <f t="shared" si="47"/>
        <v/>
      </c>
      <c r="AL104" s="91">
        <f>IF(AK104="Adjust",(_xlfn.XLOOKUP(A104,'Adj factor'!A:A,'Adj factor'!I:I,,0)*AI104),'Master DataSheet (Rev)'!AI104)</f>
        <v>104</v>
      </c>
      <c r="AM104" s="91">
        <f t="shared" si="48"/>
        <v>104</v>
      </c>
      <c r="AN104" s="92" t="str">
        <f t="shared" si="49"/>
        <v>No change</v>
      </c>
      <c r="AO104" s="93">
        <f>VLOOKUP(B104,'Growthrates source'!A$2:H$49,8,FALSE)</f>
        <v>1.405403127486049E-2</v>
      </c>
      <c r="AP104" s="93">
        <f>VLOOKUP(B104,'Growthrates source'!A$2:I$49,9,FALSE)</f>
        <v>5.4673730437993617E-2</v>
      </c>
      <c r="AQ104" s="86">
        <f t="shared" si="50"/>
        <v>96.942764026597771</v>
      </c>
      <c r="AR104" s="86">
        <f t="shared" si="51"/>
        <v>122.53688545974339</v>
      </c>
      <c r="AS104" s="94">
        <f t="shared" si="52"/>
        <v>0</v>
      </c>
      <c r="AT104" s="94">
        <f t="shared" si="53"/>
        <v>0.2041305022002913</v>
      </c>
      <c r="AU104" s="94">
        <f t="shared" si="36"/>
        <v>0.1864085410242628</v>
      </c>
      <c r="AV104" s="94">
        <f t="shared" si="37"/>
        <v>0.1864085410242628</v>
      </c>
    </row>
    <row r="105" spans="1:48" x14ac:dyDescent="0.3">
      <c r="A105" s="85" t="str">
        <f>_xlfn.XLOOKUP(B105,'Country codes &amp; Data sources'!G:G,'Country codes &amp; Data sources'!H:H,,0)</f>
        <v>Central African Republic</v>
      </c>
      <c r="B105" s="85" t="s">
        <v>152</v>
      </c>
      <c r="C105" s="86">
        <v>4773318.5</v>
      </c>
      <c r="D105" s="85" t="s">
        <v>136</v>
      </c>
      <c r="E105" s="87">
        <v>0</v>
      </c>
      <c r="F105" s="88">
        <v>4802428.5000000065</v>
      </c>
      <c r="G105" s="87">
        <v>0</v>
      </c>
      <c r="I105" s="87">
        <v>0</v>
      </c>
      <c r="K105" s="87">
        <v>0</v>
      </c>
      <c r="M105" s="87">
        <v>0</v>
      </c>
      <c r="O105" s="87">
        <v>0</v>
      </c>
      <c r="P105" s="88">
        <v>5094779.9999999991</v>
      </c>
      <c r="Q105" s="87">
        <v>0</v>
      </c>
      <c r="R105" s="87">
        <f t="shared" si="38"/>
        <v>3</v>
      </c>
      <c r="T105" s="87">
        <v>0</v>
      </c>
      <c r="V105" s="87">
        <v>0</v>
      </c>
      <c r="X105" s="87">
        <v>0</v>
      </c>
      <c r="Y105" s="88">
        <v>5579143.5000000047</v>
      </c>
      <c r="Z105" s="87">
        <v>0</v>
      </c>
      <c r="AA105" s="87">
        <v>3</v>
      </c>
      <c r="AB105" s="89">
        <f t="shared" si="39"/>
        <v>0</v>
      </c>
      <c r="AC105" s="89">
        <f t="shared" si="40"/>
        <v>0</v>
      </c>
      <c r="AD105" s="89">
        <f t="shared" si="41"/>
        <v>0</v>
      </c>
      <c r="AF105" s="90" t="str">
        <f t="shared" si="42"/>
        <v/>
      </c>
      <c r="AG105" s="90">
        <f t="shared" si="43"/>
        <v>3</v>
      </c>
      <c r="AH105" s="90" t="str">
        <f t="shared" si="44"/>
        <v>2018 (triag)</v>
      </c>
      <c r="AI105" s="90">
        <f t="shared" si="45"/>
        <v>3</v>
      </c>
      <c r="AJ105" s="90" t="str">
        <f t="shared" si="46"/>
        <v>2018 (triag)</v>
      </c>
      <c r="AK105" s="90" t="str">
        <f t="shared" si="47"/>
        <v/>
      </c>
      <c r="AL105" s="91">
        <f>IF(AK105="Adjust",(_xlfn.XLOOKUP(A105,'Adj factor'!A:A,'Adj factor'!I:I,,0)*AI105),'Master DataSheet (Rev)'!AI105)</f>
        <v>3</v>
      </c>
      <c r="AM105" s="91">
        <f t="shared" si="48"/>
        <v>3</v>
      </c>
      <c r="AN105" s="92" t="str">
        <f t="shared" si="49"/>
        <v>No change</v>
      </c>
      <c r="AO105" s="93">
        <f>VLOOKUP(B105,'Growthrates source'!A$2:H$49,8,FALSE)</f>
        <v>1.405403127486049E-2</v>
      </c>
      <c r="AP105" s="93">
        <f>VLOOKUP(B105,'Growthrates source'!A$2:I$49,9,FALSE)</f>
        <v>5.4673730437993617E-2</v>
      </c>
      <c r="AQ105" s="86">
        <f t="shared" si="50"/>
        <v>2.7964258853826278</v>
      </c>
      <c r="AR105" s="86">
        <f t="shared" si="51"/>
        <v>3.5347178498002902</v>
      </c>
      <c r="AS105" s="94">
        <f t="shared" si="52"/>
        <v>0</v>
      </c>
      <c r="AT105" s="94">
        <f t="shared" si="53"/>
        <v>5.8883798711622491E-3</v>
      </c>
      <c r="AU105" s="94">
        <f t="shared" si="36"/>
        <v>5.3771694526229654E-3</v>
      </c>
      <c r="AV105" s="94">
        <f t="shared" si="37"/>
        <v>5.3771694526229654E-3</v>
      </c>
    </row>
    <row r="106" spans="1:48" x14ac:dyDescent="0.3">
      <c r="A106" s="85" t="str">
        <f>_xlfn.XLOOKUP(B106,'Country codes &amp; Data sources'!G:G,'Country codes &amp; Data sources'!H:H,,0)</f>
        <v>Central African Republic</v>
      </c>
      <c r="B106" s="85" t="s">
        <v>152</v>
      </c>
      <c r="C106" s="86">
        <v>4773319.5</v>
      </c>
      <c r="D106" s="85" t="s">
        <v>207</v>
      </c>
      <c r="E106" s="87">
        <v>0</v>
      </c>
      <c r="F106" s="88">
        <v>4802428.5000000065</v>
      </c>
      <c r="G106" s="87">
        <v>0</v>
      </c>
      <c r="I106" s="87">
        <v>0</v>
      </c>
      <c r="K106" s="87">
        <v>0</v>
      </c>
      <c r="M106" s="87">
        <v>0</v>
      </c>
      <c r="O106" s="87">
        <v>0</v>
      </c>
      <c r="P106" s="88">
        <v>5094779.9999999991</v>
      </c>
      <c r="Q106" s="87">
        <v>0</v>
      </c>
      <c r="R106" s="87">
        <f t="shared" si="38"/>
        <v>20</v>
      </c>
      <c r="T106" s="87">
        <v>0</v>
      </c>
      <c r="V106" s="87">
        <v>0</v>
      </c>
      <c r="X106" s="87">
        <v>0</v>
      </c>
      <c r="Y106" s="88">
        <v>5579143.5000000047</v>
      </c>
      <c r="Z106" s="87">
        <v>0</v>
      </c>
      <c r="AA106" s="87">
        <v>20</v>
      </c>
      <c r="AB106" s="89">
        <f t="shared" si="39"/>
        <v>0</v>
      </c>
      <c r="AC106" s="89">
        <f t="shared" si="40"/>
        <v>0</v>
      </c>
      <c r="AD106" s="89">
        <f t="shared" si="41"/>
        <v>0</v>
      </c>
      <c r="AF106" s="90" t="str">
        <f t="shared" si="42"/>
        <v/>
      </c>
      <c r="AG106" s="90">
        <f t="shared" si="43"/>
        <v>20</v>
      </c>
      <c r="AH106" s="90" t="str">
        <f t="shared" si="44"/>
        <v>2018 (triag)</v>
      </c>
      <c r="AI106" s="90">
        <f t="shared" si="45"/>
        <v>20</v>
      </c>
      <c r="AJ106" s="90" t="str">
        <f t="shared" si="46"/>
        <v>2018 (triag)</v>
      </c>
      <c r="AK106" s="90" t="str">
        <f t="shared" si="47"/>
        <v/>
      </c>
      <c r="AL106" s="91">
        <f>IF(AK106="Adjust",(_xlfn.XLOOKUP(A106,'Adj factor'!A:A,'Adj factor'!I:I,,0)*AI106),'Master DataSheet (Rev)'!AI106)</f>
        <v>20</v>
      </c>
      <c r="AM106" s="91">
        <f t="shared" si="48"/>
        <v>20</v>
      </c>
      <c r="AN106" s="92" t="str">
        <f t="shared" si="49"/>
        <v>No change</v>
      </c>
      <c r="AO106" s="93">
        <f>VLOOKUP(B106,'Growthrates source'!A$2:H$49,8,FALSE)</f>
        <v>1.405403127486049E-2</v>
      </c>
      <c r="AP106" s="93">
        <f>VLOOKUP(B106,'Growthrates source'!A$2:I$49,9,FALSE)</f>
        <v>5.4673730437993617E-2</v>
      </c>
      <c r="AQ106" s="86">
        <f t="shared" si="50"/>
        <v>18.642839235884185</v>
      </c>
      <c r="AR106" s="86">
        <f t="shared" si="51"/>
        <v>23.564785665335268</v>
      </c>
      <c r="AS106" s="94">
        <f t="shared" si="52"/>
        <v>0</v>
      </c>
      <c r="AT106" s="94">
        <f t="shared" si="53"/>
        <v>3.9255865807748327E-2</v>
      </c>
      <c r="AU106" s="94">
        <f t="shared" si="36"/>
        <v>3.584779635081977E-2</v>
      </c>
      <c r="AV106" s="94">
        <f t="shared" si="37"/>
        <v>3.584779635081977E-2</v>
      </c>
    </row>
    <row r="107" spans="1:48" x14ac:dyDescent="0.3">
      <c r="A107" s="85" t="str">
        <f>_xlfn.XLOOKUP(B107,'Country codes &amp; Data sources'!G:G,'Country codes &amp; Data sources'!H:H,,0)</f>
        <v>Central African Republic</v>
      </c>
      <c r="B107" s="85" t="s">
        <v>152</v>
      </c>
      <c r="C107" s="86">
        <v>4773320.5</v>
      </c>
      <c r="D107" s="85" t="s">
        <v>141</v>
      </c>
      <c r="E107" s="87">
        <v>0</v>
      </c>
      <c r="F107" s="88">
        <v>4802428.5000000065</v>
      </c>
      <c r="G107" s="87">
        <v>0</v>
      </c>
      <c r="I107" s="87">
        <v>0</v>
      </c>
      <c r="K107" s="87">
        <v>0</v>
      </c>
      <c r="M107" s="87">
        <v>0</v>
      </c>
      <c r="O107" s="87">
        <v>0</v>
      </c>
      <c r="P107" s="88">
        <v>5094779.9999999991</v>
      </c>
      <c r="Q107" s="87">
        <v>0</v>
      </c>
      <c r="R107" s="87">
        <f t="shared" si="38"/>
        <v>0</v>
      </c>
      <c r="T107" s="87">
        <v>0</v>
      </c>
      <c r="V107" s="87">
        <v>0</v>
      </c>
      <c r="X107" s="87">
        <v>0</v>
      </c>
      <c r="Y107" s="88">
        <v>5579143.5000000047</v>
      </c>
      <c r="Z107" s="87">
        <v>0</v>
      </c>
      <c r="AA107" s="87">
        <v>0</v>
      </c>
      <c r="AB107" s="89">
        <f t="shared" si="39"/>
        <v>0</v>
      </c>
      <c r="AC107" s="89">
        <f t="shared" si="40"/>
        <v>0</v>
      </c>
      <c r="AD107" s="89">
        <f t="shared" si="41"/>
        <v>0</v>
      </c>
      <c r="AF107" s="90" t="str">
        <f t="shared" si="42"/>
        <v/>
      </c>
      <c r="AH107" s="90" t="str">
        <f t="shared" si="44"/>
        <v/>
      </c>
      <c r="AI107" s="90">
        <f t="shared" si="45"/>
        <v>0</v>
      </c>
      <c r="AJ107" s="90" t="str">
        <f t="shared" si="46"/>
        <v/>
      </c>
      <c r="AK107" s="90" t="str">
        <f t="shared" si="47"/>
        <v/>
      </c>
      <c r="AL107" s="91"/>
      <c r="AM107" s="91">
        <f t="shared" si="48"/>
        <v>0</v>
      </c>
      <c r="AN107" s="92" t="str">
        <f t="shared" si="49"/>
        <v>No change</v>
      </c>
      <c r="AO107" s="93">
        <f>VLOOKUP(B107,'Growthrates source'!A$2:H$49,8,FALSE)</f>
        <v>1.405403127486049E-2</v>
      </c>
      <c r="AP107" s="93">
        <f>VLOOKUP(B107,'Growthrates source'!A$2:I$49,9,FALSE)</f>
        <v>5.4673730437993617E-2</v>
      </c>
      <c r="AQ107" s="86">
        <f t="shared" si="50"/>
        <v>0</v>
      </c>
      <c r="AR107" s="86">
        <f t="shared" si="51"/>
        <v>0</v>
      </c>
      <c r="AS107" s="94">
        <f t="shared" si="52"/>
        <v>0</v>
      </c>
      <c r="AT107" s="94">
        <f t="shared" si="53"/>
        <v>0</v>
      </c>
      <c r="AU107" s="94">
        <f t="shared" si="36"/>
        <v>0</v>
      </c>
      <c r="AV107" s="94">
        <f t="shared" si="37"/>
        <v>0</v>
      </c>
    </row>
    <row r="108" spans="1:48" x14ac:dyDescent="0.3">
      <c r="A108" s="85" t="str">
        <f>_xlfn.XLOOKUP(B108,'Country codes &amp; Data sources'!G:G,'Country codes &amp; Data sources'!H:H,,0)</f>
        <v>Central African Republic</v>
      </c>
      <c r="B108" s="85" t="s">
        <v>152</v>
      </c>
      <c r="C108" s="86">
        <v>4773321.5</v>
      </c>
      <c r="D108" s="85" t="s">
        <v>208</v>
      </c>
      <c r="E108" s="87">
        <v>0</v>
      </c>
      <c r="F108" s="88">
        <v>4802428.5000000065</v>
      </c>
      <c r="G108" s="87">
        <v>0</v>
      </c>
      <c r="I108" s="87">
        <v>0</v>
      </c>
      <c r="K108" s="87">
        <v>0</v>
      </c>
      <c r="M108" s="87">
        <v>0</v>
      </c>
      <c r="O108" s="87">
        <v>0</v>
      </c>
      <c r="P108" s="88">
        <v>5094779.9999999991</v>
      </c>
      <c r="Q108" s="87">
        <v>0</v>
      </c>
      <c r="R108" s="87">
        <f t="shared" si="38"/>
        <v>65</v>
      </c>
      <c r="T108" s="87">
        <v>0</v>
      </c>
      <c r="V108" s="87">
        <v>0</v>
      </c>
      <c r="X108" s="87">
        <v>0</v>
      </c>
      <c r="Y108" s="88">
        <v>5579143.5000000047</v>
      </c>
      <c r="Z108" s="87">
        <v>0</v>
      </c>
      <c r="AA108" s="87">
        <v>65</v>
      </c>
      <c r="AB108" s="89">
        <f t="shared" si="39"/>
        <v>0</v>
      </c>
      <c r="AC108" s="89">
        <f t="shared" si="40"/>
        <v>0</v>
      </c>
      <c r="AD108" s="89">
        <f t="shared" si="41"/>
        <v>0</v>
      </c>
      <c r="AF108" s="90" t="str">
        <f t="shared" si="42"/>
        <v/>
      </c>
      <c r="AG108" s="90">
        <f t="shared" si="43"/>
        <v>65</v>
      </c>
      <c r="AH108" s="90" t="str">
        <f t="shared" si="44"/>
        <v>2018 (triag)</v>
      </c>
      <c r="AI108" s="90">
        <f t="shared" si="45"/>
        <v>65</v>
      </c>
      <c r="AJ108" s="90" t="str">
        <f t="shared" si="46"/>
        <v>2018 (triag)</v>
      </c>
      <c r="AK108" s="90" t="str">
        <f t="shared" si="47"/>
        <v/>
      </c>
      <c r="AL108" s="91">
        <f>IF(AK108="Adjust",(_xlfn.XLOOKUP(A108,'Adj factor'!A:A,'Adj factor'!I:I,,0)*AI108),'Master DataSheet (Rev)'!AI108)</f>
        <v>65</v>
      </c>
      <c r="AM108" s="91">
        <f t="shared" si="48"/>
        <v>65</v>
      </c>
      <c r="AN108" s="92" t="str">
        <f t="shared" si="49"/>
        <v>No change</v>
      </c>
      <c r="AO108" s="93">
        <f>VLOOKUP(B108,'Growthrates source'!A$2:H$49,8,FALSE)</f>
        <v>1.405403127486049E-2</v>
      </c>
      <c r="AP108" s="93">
        <f>VLOOKUP(B108,'Growthrates source'!A$2:I$49,9,FALSE)</f>
        <v>5.4673730437993617E-2</v>
      </c>
      <c r="AQ108" s="86">
        <f t="shared" si="50"/>
        <v>60.589227516623602</v>
      </c>
      <c r="AR108" s="86">
        <f t="shared" si="51"/>
        <v>76.585553412339621</v>
      </c>
      <c r="AS108" s="94">
        <f t="shared" si="52"/>
        <v>0</v>
      </c>
      <c r="AT108" s="94">
        <f t="shared" si="53"/>
        <v>0.12758156387518207</v>
      </c>
      <c r="AU108" s="94">
        <f t="shared" si="36"/>
        <v>0.11650533814016426</v>
      </c>
      <c r="AV108" s="94">
        <f t="shared" si="37"/>
        <v>0.11650533814016426</v>
      </c>
    </row>
    <row r="109" spans="1:48" x14ac:dyDescent="0.3">
      <c r="A109" s="85" t="str">
        <f>_xlfn.XLOOKUP(B109,'Country codes &amp; Data sources'!G:G,'Country codes &amp; Data sources'!H:H,,0)</f>
        <v>Central African Republic</v>
      </c>
      <c r="B109" s="85" t="s">
        <v>152</v>
      </c>
      <c r="C109" s="86">
        <v>4773322.5</v>
      </c>
      <c r="D109" s="85" t="s">
        <v>209</v>
      </c>
      <c r="E109" s="87">
        <v>0</v>
      </c>
      <c r="F109" s="88">
        <v>4802428.5000000065</v>
      </c>
      <c r="G109" s="87">
        <v>0</v>
      </c>
      <c r="I109" s="87">
        <v>0</v>
      </c>
      <c r="K109" s="87">
        <v>0</v>
      </c>
      <c r="M109" s="87">
        <v>0</v>
      </c>
      <c r="O109" s="87">
        <v>0</v>
      </c>
      <c r="P109" s="88">
        <v>5094779.9999999991</v>
      </c>
      <c r="Q109" s="87">
        <v>0</v>
      </c>
      <c r="R109" s="87">
        <f t="shared" si="38"/>
        <v>14</v>
      </c>
      <c r="T109" s="87">
        <v>0</v>
      </c>
      <c r="V109" s="87">
        <v>0</v>
      </c>
      <c r="X109" s="87">
        <v>0</v>
      </c>
      <c r="Y109" s="88">
        <v>5579143.5000000047</v>
      </c>
      <c r="Z109" s="87">
        <v>0</v>
      </c>
      <c r="AA109" s="87">
        <v>14</v>
      </c>
      <c r="AB109" s="89">
        <f t="shared" si="39"/>
        <v>0</v>
      </c>
      <c r="AC109" s="89">
        <f t="shared" si="40"/>
        <v>0</v>
      </c>
      <c r="AD109" s="89">
        <f t="shared" si="41"/>
        <v>0</v>
      </c>
      <c r="AF109" s="90" t="str">
        <f t="shared" si="42"/>
        <v/>
      </c>
      <c r="AG109" s="90">
        <f t="shared" si="43"/>
        <v>14</v>
      </c>
      <c r="AH109" s="90" t="str">
        <f t="shared" si="44"/>
        <v>2018 (triag)</v>
      </c>
      <c r="AI109" s="90">
        <f t="shared" si="45"/>
        <v>14</v>
      </c>
      <c r="AJ109" s="90" t="str">
        <f t="shared" si="46"/>
        <v>2018 (triag)</v>
      </c>
      <c r="AK109" s="90" t="str">
        <f t="shared" si="47"/>
        <v/>
      </c>
      <c r="AL109" s="91">
        <f>IF(AK109="Adjust",(_xlfn.XLOOKUP(A109,'Adj factor'!A:A,'Adj factor'!I:I,,0)*AI109),'Master DataSheet (Rev)'!AI109)</f>
        <v>14</v>
      </c>
      <c r="AM109" s="91">
        <f t="shared" si="48"/>
        <v>14</v>
      </c>
      <c r="AN109" s="92" t="str">
        <f t="shared" si="49"/>
        <v>No change</v>
      </c>
      <c r="AO109" s="93">
        <f>VLOOKUP(B109,'Growthrates source'!A$2:H$49,8,FALSE)</f>
        <v>1.405403127486049E-2</v>
      </c>
      <c r="AP109" s="93">
        <f>VLOOKUP(B109,'Growthrates source'!A$2:I$49,9,FALSE)</f>
        <v>5.4673730437993617E-2</v>
      </c>
      <c r="AQ109" s="86">
        <f t="shared" si="50"/>
        <v>13.04998746511893</v>
      </c>
      <c r="AR109" s="86">
        <f t="shared" si="51"/>
        <v>16.49534996573469</v>
      </c>
      <c r="AS109" s="94">
        <f t="shared" si="52"/>
        <v>0</v>
      </c>
      <c r="AT109" s="94">
        <f t="shared" si="53"/>
        <v>2.7479106065423833E-2</v>
      </c>
      <c r="AU109" s="94">
        <f t="shared" si="36"/>
        <v>2.5093457445573838E-2</v>
      </c>
      <c r="AV109" s="94">
        <f t="shared" si="37"/>
        <v>2.5093457445573838E-2</v>
      </c>
    </row>
    <row r="110" spans="1:48" x14ac:dyDescent="0.3">
      <c r="A110" s="85" t="str">
        <f>_xlfn.XLOOKUP(B110,'Country codes &amp; Data sources'!G:G,'Country codes &amp; Data sources'!H:H,,0)</f>
        <v>Central African Republic</v>
      </c>
      <c r="B110" s="85" t="s">
        <v>152</v>
      </c>
      <c r="C110" s="86">
        <v>4773323.5</v>
      </c>
      <c r="D110" s="85" t="s">
        <v>134</v>
      </c>
      <c r="E110" s="87">
        <v>0</v>
      </c>
      <c r="F110" s="88">
        <v>4802428.5000000065</v>
      </c>
      <c r="G110" s="87">
        <v>0</v>
      </c>
      <c r="I110" s="87">
        <v>0</v>
      </c>
      <c r="K110" s="87">
        <v>0</v>
      </c>
      <c r="M110" s="87">
        <v>0</v>
      </c>
      <c r="O110" s="87">
        <v>0</v>
      </c>
      <c r="P110" s="88">
        <v>5094779.9999999991</v>
      </c>
      <c r="Q110" s="87">
        <v>0</v>
      </c>
      <c r="R110" s="87">
        <f t="shared" si="38"/>
        <v>112</v>
      </c>
      <c r="T110" s="87">
        <v>0</v>
      </c>
      <c r="V110" s="87">
        <v>0</v>
      </c>
      <c r="X110" s="87">
        <v>47</v>
      </c>
      <c r="Y110" s="88">
        <v>5579143.5000000047</v>
      </c>
      <c r="Z110" s="87">
        <v>0</v>
      </c>
      <c r="AA110" s="87">
        <v>112</v>
      </c>
      <c r="AB110" s="89">
        <f t="shared" si="39"/>
        <v>0</v>
      </c>
      <c r="AC110" s="89">
        <f t="shared" si="40"/>
        <v>0</v>
      </c>
      <c r="AD110" s="89">
        <f t="shared" si="41"/>
        <v>47</v>
      </c>
      <c r="AF110" s="90" t="str">
        <f t="shared" si="42"/>
        <v/>
      </c>
      <c r="AG110" s="90">
        <f t="shared" si="43"/>
        <v>112</v>
      </c>
      <c r="AH110" s="90" t="str">
        <f t="shared" si="44"/>
        <v>2018 (triag)</v>
      </c>
      <c r="AI110" s="90">
        <f t="shared" si="45"/>
        <v>47</v>
      </c>
      <c r="AJ110" s="90">
        <f t="shared" si="46"/>
        <v>2021</v>
      </c>
      <c r="AK110" s="90" t="str">
        <f t="shared" si="47"/>
        <v>Adjust</v>
      </c>
      <c r="AL110" s="91">
        <f>IF(AK110="Adjust",(_xlfn.XLOOKUP(A110,'Adj factor'!A:A,'Adj factor'!I:I,,0)*AI110),'Master DataSheet (Rev)'!AI110)</f>
        <v>60.353598014888341</v>
      </c>
      <c r="AM110" s="91">
        <f t="shared" si="48"/>
        <v>112</v>
      </c>
      <c r="AN110" s="92" t="str">
        <f t="shared" si="49"/>
        <v>Decreasing</v>
      </c>
      <c r="AO110" s="93">
        <f>VLOOKUP(B110,'Growthrates source'!A$2:H$49,8,FALSE)</f>
        <v>1.405403127486049E-2</v>
      </c>
      <c r="AP110" s="93">
        <f>VLOOKUP(B110,'Growthrates source'!A$2:I$49,9,FALSE)</f>
        <v>5.4673730437993617E-2</v>
      </c>
      <c r="AQ110" s="86">
        <f t="shared" si="50"/>
        <v>104.39989972095144</v>
      </c>
      <c r="AR110" s="86">
        <f t="shared" si="51"/>
        <v>131.96279972587752</v>
      </c>
      <c r="AS110" s="94">
        <f t="shared" si="52"/>
        <v>0</v>
      </c>
      <c r="AT110" s="94">
        <f t="shared" si="53"/>
        <v>0.21983284852339066</v>
      </c>
      <c r="AU110" s="94">
        <f t="shared" si="36"/>
        <v>0.10817717453384788</v>
      </c>
      <c r="AV110" s="94">
        <f t="shared" si="37"/>
        <v>0.2007476595645907</v>
      </c>
    </row>
    <row r="111" spans="1:48" x14ac:dyDescent="0.3">
      <c r="A111" s="85" t="str">
        <f>_xlfn.XLOOKUP(B111,'Country codes &amp; Data sources'!G:G,'Country codes &amp; Data sources'!H:H,,0)</f>
        <v>Central African Republic</v>
      </c>
      <c r="B111" s="85" t="s">
        <v>152</v>
      </c>
      <c r="C111" s="86">
        <v>4773324.5</v>
      </c>
      <c r="D111" s="85" t="s">
        <v>142</v>
      </c>
      <c r="E111" s="87">
        <v>0</v>
      </c>
      <c r="F111" s="88">
        <v>4802428.5000000065</v>
      </c>
      <c r="G111" s="87">
        <v>0</v>
      </c>
      <c r="I111" s="87">
        <v>0</v>
      </c>
      <c r="K111" s="87">
        <v>0</v>
      </c>
      <c r="M111" s="87">
        <v>0</v>
      </c>
      <c r="O111" s="87">
        <v>0</v>
      </c>
      <c r="P111" s="88">
        <v>5094779.9999999991</v>
      </c>
      <c r="Q111" s="87">
        <v>0</v>
      </c>
      <c r="R111" s="87">
        <f t="shared" si="38"/>
        <v>200</v>
      </c>
      <c r="T111" s="87">
        <v>0</v>
      </c>
      <c r="V111" s="87">
        <v>0</v>
      </c>
      <c r="X111" s="87">
        <v>0</v>
      </c>
      <c r="Y111" s="88">
        <v>5579143.5000000047</v>
      </c>
      <c r="Z111" s="87">
        <v>0</v>
      </c>
      <c r="AA111" s="87">
        <v>200</v>
      </c>
      <c r="AB111" s="89">
        <f t="shared" si="39"/>
        <v>0</v>
      </c>
      <c r="AC111" s="89">
        <f t="shared" si="40"/>
        <v>0</v>
      </c>
      <c r="AD111" s="89">
        <f t="shared" si="41"/>
        <v>0</v>
      </c>
      <c r="AF111" s="90" t="str">
        <f t="shared" si="42"/>
        <v/>
      </c>
      <c r="AG111" s="90">
        <f t="shared" si="43"/>
        <v>200</v>
      </c>
      <c r="AH111" s="90" t="str">
        <f t="shared" si="44"/>
        <v>2018 (triag)</v>
      </c>
      <c r="AI111" s="90">
        <f t="shared" si="45"/>
        <v>200</v>
      </c>
      <c r="AJ111" s="90" t="str">
        <f t="shared" si="46"/>
        <v>2018 (triag)</v>
      </c>
      <c r="AK111" s="90" t="str">
        <f t="shared" si="47"/>
        <v/>
      </c>
      <c r="AL111" s="91">
        <f>IF(AK111="Adjust",(_xlfn.XLOOKUP(A111,'Adj factor'!A:A,'Adj factor'!I:I,,0)*AI111),'Master DataSheet (Rev)'!AI111)</f>
        <v>200</v>
      </c>
      <c r="AM111" s="91">
        <f t="shared" si="48"/>
        <v>200</v>
      </c>
      <c r="AN111" s="92" t="str">
        <f t="shared" si="49"/>
        <v>No change</v>
      </c>
      <c r="AO111" s="93">
        <f>VLOOKUP(B111,'Growthrates source'!A$2:H$49,8,FALSE)</f>
        <v>1.405403127486049E-2</v>
      </c>
      <c r="AP111" s="93">
        <f>VLOOKUP(B111,'Growthrates source'!A$2:I$49,9,FALSE)</f>
        <v>5.4673730437993617E-2</v>
      </c>
      <c r="AQ111" s="86">
        <f t="shared" si="50"/>
        <v>186.42839235884188</v>
      </c>
      <c r="AR111" s="86">
        <f t="shared" si="51"/>
        <v>235.64785665335268</v>
      </c>
      <c r="AS111" s="94">
        <f t="shared" si="52"/>
        <v>0</v>
      </c>
      <c r="AT111" s="94">
        <f t="shared" si="53"/>
        <v>0.3925586580774833</v>
      </c>
      <c r="AU111" s="94">
        <f t="shared" si="36"/>
        <v>0.35847796350819766</v>
      </c>
      <c r="AV111" s="94">
        <f t="shared" si="37"/>
        <v>0.35847796350819766</v>
      </c>
    </row>
    <row r="112" spans="1:48" x14ac:dyDescent="0.3">
      <c r="A112" s="85" t="str">
        <f>_xlfn.XLOOKUP(B112,'Country codes &amp; Data sources'!G:G,'Country codes &amp; Data sources'!H:H,,0)</f>
        <v>Central African Republic</v>
      </c>
      <c r="B112" s="85" t="s">
        <v>152</v>
      </c>
      <c r="C112" s="86">
        <v>4773325.5</v>
      </c>
      <c r="D112" s="85" t="s">
        <v>83</v>
      </c>
      <c r="E112" s="87">
        <v>0</v>
      </c>
      <c r="F112" s="88">
        <v>4802428.5000000065</v>
      </c>
      <c r="G112" s="87">
        <v>0</v>
      </c>
      <c r="I112" s="87">
        <v>0</v>
      </c>
      <c r="K112" s="87">
        <v>0</v>
      </c>
      <c r="M112" s="87">
        <v>0</v>
      </c>
      <c r="O112" s="87">
        <v>0</v>
      </c>
      <c r="P112" s="88">
        <v>5094779.9999999991</v>
      </c>
      <c r="Q112" s="87">
        <v>0</v>
      </c>
      <c r="R112" s="87">
        <f t="shared" si="38"/>
        <v>0</v>
      </c>
      <c r="T112" s="87">
        <v>0</v>
      </c>
      <c r="V112" s="87">
        <v>0</v>
      </c>
      <c r="X112" s="87">
        <v>155</v>
      </c>
      <c r="Y112" s="88">
        <v>5579143.5000000047</v>
      </c>
      <c r="Z112" s="87">
        <v>0</v>
      </c>
      <c r="AA112" s="87">
        <v>0</v>
      </c>
      <c r="AB112" s="89">
        <f t="shared" si="39"/>
        <v>0</v>
      </c>
      <c r="AC112" s="89">
        <f t="shared" si="40"/>
        <v>0</v>
      </c>
      <c r="AD112" s="89">
        <f t="shared" si="41"/>
        <v>155</v>
      </c>
      <c r="AF112" s="90" t="str">
        <f t="shared" si="42"/>
        <v/>
      </c>
      <c r="AH112" s="90" t="str">
        <f t="shared" si="44"/>
        <v/>
      </c>
      <c r="AI112" s="90">
        <f t="shared" si="45"/>
        <v>155</v>
      </c>
      <c r="AJ112" s="90">
        <f t="shared" si="46"/>
        <v>2021</v>
      </c>
      <c r="AK112" s="90" t="str">
        <f t="shared" si="47"/>
        <v/>
      </c>
      <c r="AL112" s="91">
        <f>IF(AK112="Adjust",(_xlfn.XLOOKUP(A112,'Adj factor'!A:A,'Adj factor'!I:I,,0)*AI112),'Master DataSheet (Rev)'!AI112)</f>
        <v>155</v>
      </c>
      <c r="AM112" s="91">
        <f t="shared" si="48"/>
        <v>155</v>
      </c>
      <c r="AN112" s="92" t="str">
        <f t="shared" si="49"/>
        <v>Increasing</v>
      </c>
      <c r="AO112" s="93">
        <f>VLOOKUP(B112,'Growthrates source'!A$2:H$49,8,FALSE)</f>
        <v>1.405403127486049E-2</v>
      </c>
      <c r="AP112" s="93">
        <f>VLOOKUP(B112,'Growthrates source'!A$2:I$49,9,FALSE)</f>
        <v>5.4673730437993617E-2</v>
      </c>
      <c r="AQ112" s="86">
        <f t="shared" si="50"/>
        <v>0</v>
      </c>
      <c r="AR112" s="86">
        <f t="shared" si="51"/>
        <v>0</v>
      </c>
      <c r="AS112" s="94">
        <f t="shared" si="52"/>
        <v>0</v>
      </c>
      <c r="AT112" s="94">
        <f t="shared" si="53"/>
        <v>0</v>
      </c>
      <c r="AU112" s="94">
        <f t="shared" si="36"/>
        <v>0.27782042171885318</v>
      </c>
      <c r="AV112" s="94">
        <f t="shared" si="37"/>
        <v>0.27782042171885318</v>
      </c>
    </row>
    <row r="113" spans="1:48" x14ac:dyDescent="0.3">
      <c r="A113" s="85" t="str">
        <f>_xlfn.XLOOKUP(B113,'Country codes &amp; Data sources'!G:G,'Country codes &amp; Data sources'!H:H,,0)</f>
        <v>Central African Republic</v>
      </c>
      <c r="B113" s="85" t="s">
        <v>152</v>
      </c>
      <c r="C113" s="86">
        <v>4773326.5</v>
      </c>
      <c r="D113" s="85" t="s">
        <v>84</v>
      </c>
      <c r="E113" s="87">
        <v>0</v>
      </c>
      <c r="F113" s="88">
        <v>4802428.5000000065</v>
      </c>
      <c r="G113" s="87">
        <v>0</v>
      </c>
      <c r="I113" s="87">
        <v>0</v>
      </c>
      <c r="K113" s="87">
        <v>83</v>
      </c>
      <c r="M113" s="87">
        <v>0</v>
      </c>
      <c r="O113" s="87">
        <v>0</v>
      </c>
      <c r="P113" s="88">
        <v>5094779.9999999991</v>
      </c>
      <c r="Q113" s="87">
        <v>0</v>
      </c>
      <c r="R113" s="87">
        <f t="shared" si="38"/>
        <v>0</v>
      </c>
      <c r="T113" s="87">
        <v>0</v>
      </c>
      <c r="V113" s="87">
        <v>0</v>
      </c>
      <c r="X113" s="87">
        <v>0</v>
      </c>
      <c r="Y113" s="88">
        <v>5579143.5000000047</v>
      </c>
      <c r="Z113" s="87">
        <v>0</v>
      </c>
      <c r="AA113" s="87">
        <v>0</v>
      </c>
      <c r="AB113" s="89">
        <f t="shared" si="39"/>
        <v>83</v>
      </c>
      <c r="AC113" s="89">
        <f t="shared" si="40"/>
        <v>0</v>
      </c>
      <c r="AD113" s="89">
        <f t="shared" si="41"/>
        <v>0</v>
      </c>
      <c r="AE113" s="90">
        <f t="shared" ref="AE113:AE131" si="54">IF(G113&gt;0,G113,IF(E113&gt;0,E113,IF(I113&gt;0,I113,K113)))</f>
        <v>83</v>
      </c>
      <c r="AF113" s="90">
        <f t="shared" si="42"/>
        <v>2015</v>
      </c>
      <c r="AH113" s="90" t="str">
        <f t="shared" si="44"/>
        <v/>
      </c>
      <c r="AI113" s="90">
        <f t="shared" si="45"/>
        <v>0</v>
      </c>
      <c r="AJ113" s="90" t="str">
        <f t="shared" si="46"/>
        <v/>
      </c>
      <c r="AK113" s="90" t="str">
        <f t="shared" si="47"/>
        <v/>
      </c>
      <c r="AL113" s="91"/>
      <c r="AM113" s="91">
        <f t="shared" si="48"/>
        <v>0</v>
      </c>
      <c r="AN113" s="92" t="str">
        <f t="shared" si="49"/>
        <v>No change</v>
      </c>
      <c r="AO113" s="93">
        <f>VLOOKUP(B113,'Growthrates source'!A$2:H$49,8,FALSE)</f>
        <v>1.405403127486049E-2</v>
      </c>
      <c r="AP113" s="93">
        <f>VLOOKUP(B113,'Growthrates source'!A$2:I$49,9,FALSE)</f>
        <v>5.4673730437993617E-2</v>
      </c>
      <c r="AQ113" s="86">
        <f t="shared" si="50"/>
        <v>0</v>
      </c>
      <c r="AR113" s="86">
        <f t="shared" si="51"/>
        <v>0</v>
      </c>
      <c r="AS113" s="94">
        <f t="shared" si="52"/>
        <v>0.17282922588019767</v>
      </c>
      <c r="AT113" s="94">
        <f t="shared" si="53"/>
        <v>0</v>
      </c>
      <c r="AU113" s="94">
        <f t="shared" si="36"/>
        <v>0</v>
      </c>
      <c r="AV113" s="94">
        <f t="shared" si="37"/>
        <v>0</v>
      </c>
    </row>
    <row r="114" spans="1:48" x14ac:dyDescent="0.3">
      <c r="A114" s="85" t="str">
        <f>_xlfn.XLOOKUP(B114,'Country codes &amp; Data sources'!G:G,'Country codes &amp; Data sources'!H:H,,0)</f>
        <v>Central African Republic</v>
      </c>
      <c r="B114" s="85" t="s">
        <v>152</v>
      </c>
      <c r="C114" s="86">
        <v>4773327.5</v>
      </c>
      <c r="D114" s="85" t="s">
        <v>126</v>
      </c>
      <c r="E114" s="87">
        <v>0</v>
      </c>
      <c r="F114" s="88">
        <v>4802428.5000000065</v>
      </c>
      <c r="G114" s="87">
        <v>0</v>
      </c>
      <c r="I114" s="87">
        <v>0</v>
      </c>
      <c r="K114" s="87">
        <v>0</v>
      </c>
      <c r="M114" s="87">
        <v>0</v>
      </c>
      <c r="O114" s="87">
        <v>0</v>
      </c>
      <c r="P114" s="88">
        <v>5094779.9999999991</v>
      </c>
      <c r="Q114" s="87">
        <v>0</v>
      </c>
      <c r="R114" s="87">
        <f t="shared" si="38"/>
        <v>0</v>
      </c>
      <c r="T114" s="87">
        <v>0</v>
      </c>
      <c r="V114" s="87">
        <v>0</v>
      </c>
      <c r="X114" s="87">
        <v>0</v>
      </c>
      <c r="Y114" s="88">
        <v>5579143.5000000047</v>
      </c>
      <c r="Z114" s="87">
        <v>0</v>
      </c>
      <c r="AA114" s="87">
        <v>0</v>
      </c>
      <c r="AB114" s="89">
        <f t="shared" si="39"/>
        <v>0</v>
      </c>
      <c r="AC114" s="89">
        <f t="shared" si="40"/>
        <v>0</v>
      </c>
      <c r="AD114" s="89">
        <f t="shared" si="41"/>
        <v>0</v>
      </c>
      <c r="AF114" s="90" t="str">
        <f t="shared" si="42"/>
        <v/>
      </c>
      <c r="AH114" s="90" t="str">
        <f t="shared" si="44"/>
        <v/>
      </c>
      <c r="AI114" s="90">
        <f t="shared" si="45"/>
        <v>0</v>
      </c>
      <c r="AJ114" s="90" t="str">
        <f t="shared" si="46"/>
        <v/>
      </c>
      <c r="AK114" s="90" t="str">
        <f t="shared" si="47"/>
        <v/>
      </c>
      <c r="AL114" s="91"/>
      <c r="AM114" s="91">
        <f t="shared" si="48"/>
        <v>0</v>
      </c>
      <c r="AN114" s="92" t="str">
        <f t="shared" si="49"/>
        <v>No change</v>
      </c>
      <c r="AO114" s="93">
        <f>VLOOKUP(B114,'Growthrates source'!A$2:H$49,8,FALSE)</f>
        <v>1.405403127486049E-2</v>
      </c>
      <c r="AP114" s="93">
        <f>VLOOKUP(B114,'Growthrates source'!A$2:I$49,9,FALSE)</f>
        <v>5.4673730437993617E-2</v>
      </c>
      <c r="AQ114" s="86">
        <f t="shared" si="50"/>
        <v>0</v>
      </c>
      <c r="AR114" s="86">
        <f t="shared" si="51"/>
        <v>0</v>
      </c>
      <c r="AS114" s="94">
        <f t="shared" si="52"/>
        <v>0</v>
      </c>
      <c r="AT114" s="94">
        <f t="shared" si="53"/>
        <v>0</v>
      </c>
      <c r="AU114" s="94">
        <f t="shared" si="36"/>
        <v>0</v>
      </c>
      <c r="AV114" s="94">
        <f t="shared" si="37"/>
        <v>0</v>
      </c>
    </row>
    <row r="115" spans="1:48" x14ac:dyDescent="0.3">
      <c r="A115" s="85" t="str">
        <f>_xlfn.XLOOKUP(B115,'Country codes &amp; Data sources'!G:G,'Country codes &amp; Data sources'!H:H,,0)</f>
        <v>Central African Republic</v>
      </c>
      <c r="B115" s="85" t="s">
        <v>152</v>
      </c>
      <c r="C115" s="86">
        <v>4773328.5</v>
      </c>
      <c r="D115" s="85" t="s">
        <v>87</v>
      </c>
      <c r="E115" s="87">
        <v>0</v>
      </c>
      <c r="F115" s="88">
        <v>4802428.5000000065</v>
      </c>
      <c r="G115" s="87">
        <v>0</v>
      </c>
      <c r="I115" s="87">
        <v>0</v>
      </c>
      <c r="K115" s="87">
        <v>0</v>
      </c>
      <c r="M115" s="87">
        <v>0</v>
      </c>
      <c r="O115" s="87">
        <v>0</v>
      </c>
      <c r="P115" s="88">
        <v>5094779.9999999991</v>
      </c>
      <c r="Q115" s="87">
        <v>0</v>
      </c>
      <c r="R115" s="87">
        <f t="shared" si="38"/>
        <v>0</v>
      </c>
      <c r="T115" s="87">
        <v>0</v>
      </c>
      <c r="V115" s="87">
        <v>0</v>
      </c>
      <c r="X115" s="87">
        <v>0</v>
      </c>
      <c r="Y115" s="88">
        <v>5579143.5000000047</v>
      </c>
      <c r="Z115" s="87">
        <v>0</v>
      </c>
      <c r="AA115" s="87">
        <v>0</v>
      </c>
      <c r="AB115" s="89">
        <f t="shared" si="39"/>
        <v>0</v>
      </c>
      <c r="AC115" s="89">
        <f t="shared" si="40"/>
        <v>0</v>
      </c>
      <c r="AD115" s="89">
        <f t="shared" si="41"/>
        <v>0</v>
      </c>
      <c r="AF115" s="90" t="str">
        <f t="shared" si="42"/>
        <v/>
      </c>
      <c r="AH115" s="90" t="str">
        <f t="shared" si="44"/>
        <v/>
      </c>
      <c r="AI115" s="90">
        <f t="shared" si="45"/>
        <v>0</v>
      </c>
      <c r="AJ115" s="90" t="str">
        <f t="shared" si="46"/>
        <v/>
      </c>
      <c r="AK115" s="90" t="str">
        <f t="shared" si="47"/>
        <v/>
      </c>
      <c r="AL115" s="91"/>
      <c r="AM115" s="91">
        <f t="shared" si="48"/>
        <v>0</v>
      </c>
      <c r="AN115" s="92" t="str">
        <f t="shared" si="49"/>
        <v>No change</v>
      </c>
      <c r="AO115" s="93">
        <f>VLOOKUP(B115,'Growthrates source'!A$2:H$49,8,FALSE)</f>
        <v>1.405403127486049E-2</v>
      </c>
      <c r="AP115" s="93">
        <f>VLOOKUP(B115,'Growthrates source'!A$2:I$49,9,FALSE)</f>
        <v>5.4673730437993617E-2</v>
      </c>
      <c r="AQ115" s="86">
        <f t="shared" si="50"/>
        <v>0</v>
      </c>
      <c r="AR115" s="86">
        <f t="shared" si="51"/>
        <v>0</v>
      </c>
      <c r="AS115" s="94">
        <f t="shared" si="52"/>
        <v>0</v>
      </c>
      <c r="AT115" s="94">
        <f t="shared" si="53"/>
        <v>0</v>
      </c>
      <c r="AU115" s="94">
        <f t="shared" si="36"/>
        <v>0</v>
      </c>
      <c r="AV115" s="94">
        <f t="shared" si="37"/>
        <v>0</v>
      </c>
    </row>
    <row r="116" spans="1:48" x14ac:dyDescent="0.3">
      <c r="A116" s="85" t="str">
        <f>_xlfn.XLOOKUP(B116,'Country codes &amp; Data sources'!G:G,'Country codes &amp; Data sources'!H:H,,0)</f>
        <v>Cote d'Ivoire</v>
      </c>
      <c r="B116" s="85" t="s">
        <v>166</v>
      </c>
      <c r="C116" s="86">
        <v>22010716.5</v>
      </c>
      <c r="D116" s="85" t="s">
        <v>127</v>
      </c>
      <c r="E116" s="87">
        <v>0</v>
      </c>
      <c r="F116" s="88">
        <v>22469267.5</v>
      </c>
      <c r="G116" s="87">
        <v>0</v>
      </c>
      <c r="I116" s="87">
        <v>0</v>
      </c>
      <c r="K116" s="87">
        <v>0</v>
      </c>
      <c r="M116" s="87">
        <v>0</v>
      </c>
      <c r="O116" s="87">
        <v>0</v>
      </c>
      <c r="P116" s="88">
        <v>25493988.499999996</v>
      </c>
      <c r="Q116" s="87">
        <v>14556</v>
      </c>
      <c r="R116" s="87">
        <f t="shared" si="38"/>
        <v>14556</v>
      </c>
      <c r="T116" s="87">
        <v>0</v>
      </c>
      <c r="V116" s="87">
        <v>0</v>
      </c>
      <c r="X116" s="87">
        <v>0</v>
      </c>
      <c r="Y116" s="88">
        <v>28160542.500000004</v>
      </c>
      <c r="Z116" s="87">
        <v>0</v>
      </c>
      <c r="AA116" s="87">
        <v>14556</v>
      </c>
      <c r="AB116" s="89">
        <f t="shared" si="39"/>
        <v>0</v>
      </c>
      <c r="AC116" s="89">
        <f t="shared" si="40"/>
        <v>14556</v>
      </c>
      <c r="AD116" s="89">
        <f t="shared" si="41"/>
        <v>0</v>
      </c>
      <c r="AF116" s="90" t="str">
        <f t="shared" si="42"/>
        <v/>
      </c>
      <c r="AG116" s="90">
        <f t="shared" si="43"/>
        <v>14556</v>
      </c>
      <c r="AH116" s="90">
        <f t="shared" si="44"/>
        <v>2018</v>
      </c>
      <c r="AI116" s="90">
        <f t="shared" si="45"/>
        <v>14556</v>
      </c>
      <c r="AJ116" s="90">
        <f t="shared" si="46"/>
        <v>2018</v>
      </c>
      <c r="AK116" s="90" t="str">
        <f t="shared" si="47"/>
        <v/>
      </c>
      <c r="AL116" s="91">
        <f>IF(AK116="Adjust",(_xlfn.XLOOKUP(A116,'Adj factor'!A:A,'Adj factor'!I:I,,0)*AI116),'Master DataSheet (Rev)'!AI116)</f>
        <v>14556</v>
      </c>
      <c r="AM116" s="91">
        <f t="shared" si="48"/>
        <v>14556</v>
      </c>
      <c r="AN116" s="92" t="str">
        <f t="shared" si="49"/>
        <v>No change</v>
      </c>
      <c r="AO116" s="93">
        <f>VLOOKUP(B116,'Growthrates source'!A$2:H$49,8,FALSE)</f>
        <v>6.6569375282258259E-2</v>
      </c>
      <c r="AP116" s="93">
        <f>VLOOKUP(B116,'Growthrates source'!A$2:I$49,9,FALSE)</f>
        <v>5.4673730437993617E-2</v>
      </c>
      <c r="AQ116" s="86">
        <f t="shared" si="50"/>
        <v>10434.904653852293</v>
      </c>
      <c r="AR116" s="86">
        <f t="shared" si="51"/>
        <v>17150.451007231008</v>
      </c>
      <c r="AS116" s="94">
        <f t="shared" si="52"/>
        <v>0</v>
      </c>
      <c r="AT116" s="94">
        <f t="shared" si="53"/>
        <v>5.709581299920961</v>
      </c>
      <c r="AU116" s="94">
        <f t="shared" si="36"/>
        <v>5.1689345118262544</v>
      </c>
      <c r="AV116" s="94">
        <f t="shared" si="37"/>
        <v>5.1689345118262544</v>
      </c>
    </row>
    <row r="117" spans="1:48" x14ac:dyDescent="0.3">
      <c r="A117" s="85" t="str">
        <f>_xlfn.XLOOKUP(B117,'Country codes &amp; Data sources'!G:G,'Country codes &amp; Data sources'!H:H,,0)</f>
        <v>Cote d'Ivoire</v>
      </c>
      <c r="B117" s="85" t="s">
        <v>166</v>
      </c>
      <c r="C117" s="86">
        <v>22010717.5</v>
      </c>
      <c r="D117" s="85" t="s">
        <v>61</v>
      </c>
      <c r="E117" s="87">
        <v>0</v>
      </c>
      <c r="F117" s="88">
        <v>22469267.5</v>
      </c>
      <c r="G117" s="87">
        <v>0</v>
      </c>
      <c r="I117" s="87">
        <v>0</v>
      </c>
      <c r="K117" s="87">
        <v>0</v>
      </c>
      <c r="M117" s="87">
        <v>0</v>
      </c>
      <c r="O117" s="87">
        <v>0</v>
      </c>
      <c r="P117" s="88">
        <v>25493988.499999996</v>
      </c>
      <c r="Q117" s="87">
        <v>745</v>
      </c>
      <c r="R117" s="87">
        <f t="shared" si="38"/>
        <v>745</v>
      </c>
      <c r="T117" s="87">
        <v>29</v>
      </c>
      <c r="V117" s="87">
        <v>0</v>
      </c>
      <c r="X117" s="87">
        <v>7</v>
      </c>
      <c r="Y117" s="88">
        <v>28160542.500000004</v>
      </c>
      <c r="Z117" s="87">
        <v>0</v>
      </c>
      <c r="AA117" s="87">
        <v>25</v>
      </c>
      <c r="AB117" s="89">
        <f t="shared" si="39"/>
        <v>0</v>
      </c>
      <c r="AC117" s="89">
        <f t="shared" si="40"/>
        <v>745</v>
      </c>
      <c r="AD117" s="89">
        <f t="shared" si="41"/>
        <v>7</v>
      </c>
      <c r="AF117" s="90" t="str">
        <f t="shared" si="42"/>
        <v/>
      </c>
      <c r="AG117" s="90">
        <f t="shared" si="43"/>
        <v>745</v>
      </c>
      <c r="AH117" s="90">
        <f t="shared" si="44"/>
        <v>2018</v>
      </c>
      <c r="AI117" s="90">
        <f t="shared" si="45"/>
        <v>7</v>
      </c>
      <c r="AJ117" s="90">
        <f t="shared" si="46"/>
        <v>2021</v>
      </c>
      <c r="AK117" s="90" t="str">
        <f t="shared" si="47"/>
        <v>Adjust</v>
      </c>
      <c r="AL117" s="91">
        <f>IF(AK117="Adjust",(_xlfn.XLOOKUP(A117,'Adj factor'!A:A,'Adj factor'!I:I,,0)*AI117),'Master DataSheet (Rev)'!AI117)</f>
        <v>8.9843537236828332</v>
      </c>
      <c r="AM117" s="91">
        <f t="shared" si="48"/>
        <v>745</v>
      </c>
      <c r="AN117" s="92" t="str">
        <f t="shared" si="49"/>
        <v>Decreasing</v>
      </c>
      <c r="AO117" s="93">
        <f>VLOOKUP(B117,'Growthrates source'!A$2:H$49,8,FALSE)</f>
        <v>6.6569375282258259E-2</v>
      </c>
      <c r="AP117" s="93">
        <f>VLOOKUP(B117,'Growthrates source'!A$2:I$49,9,FALSE)</f>
        <v>5.4673730437993617E-2</v>
      </c>
      <c r="AQ117" s="86">
        <f t="shared" si="50"/>
        <v>17.921998924588301</v>
      </c>
      <c r="AR117" s="86">
        <f t="shared" si="51"/>
        <v>29.455982081669084</v>
      </c>
      <c r="AS117" s="94">
        <f t="shared" si="52"/>
        <v>0</v>
      </c>
      <c r="AT117" s="94">
        <f t="shared" si="53"/>
        <v>0.29222575353401453</v>
      </c>
      <c r="AU117" s="94">
        <f t="shared" si="36"/>
        <v>3.1904050583126484E-3</v>
      </c>
      <c r="AV117" s="94">
        <f t="shared" si="37"/>
        <v>0.26455456246981035</v>
      </c>
    </row>
    <row r="118" spans="1:48" x14ac:dyDescent="0.3">
      <c r="A118" s="85" t="str">
        <f>_xlfn.XLOOKUP(B118,'Country codes &amp; Data sources'!G:G,'Country codes &amp; Data sources'!H:H,,0)</f>
        <v>Cote d'Ivoire</v>
      </c>
      <c r="B118" s="85" t="s">
        <v>166</v>
      </c>
      <c r="C118" s="86">
        <v>22010718.5</v>
      </c>
      <c r="D118" s="85" t="s">
        <v>62</v>
      </c>
      <c r="E118" s="87">
        <v>0</v>
      </c>
      <c r="F118" s="88">
        <v>22469267.5</v>
      </c>
      <c r="G118" s="87">
        <v>0</v>
      </c>
      <c r="I118" s="87">
        <v>0</v>
      </c>
      <c r="K118" s="87">
        <v>0</v>
      </c>
      <c r="M118" s="87">
        <v>0</v>
      </c>
      <c r="O118" s="87">
        <v>0</v>
      </c>
      <c r="P118" s="88">
        <v>25493988.499999996</v>
      </c>
      <c r="Q118" s="87">
        <v>0</v>
      </c>
      <c r="R118" s="87">
        <f t="shared" si="38"/>
        <v>1425</v>
      </c>
      <c r="T118" s="87">
        <v>148</v>
      </c>
      <c r="V118" s="87">
        <v>0</v>
      </c>
      <c r="X118" s="87">
        <v>835</v>
      </c>
      <c r="Y118" s="88">
        <v>28160542.500000004</v>
      </c>
      <c r="Z118" s="87">
        <v>0</v>
      </c>
      <c r="AA118" s="87">
        <v>1425</v>
      </c>
      <c r="AB118" s="89">
        <f t="shared" si="39"/>
        <v>0</v>
      </c>
      <c r="AC118" s="89">
        <f t="shared" si="40"/>
        <v>148</v>
      </c>
      <c r="AD118" s="89">
        <f t="shared" si="41"/>
        <v>835</v>
      </c>
      <c r="AF118" s="90" t="str">
        <f t="shared" si="42"/>
        <v/>
      </c>
      <c r="AG118" s="90">
        <f t="shared" si="43"/>
        <v>1425</v>
      </c>
      <c r="AH118" s="90" t="str">
        <f t="shared" si="44"/>
        <v>2018 (triag)</v>
      </c>
      <c r="AI118" s="90">
        <f t="shared" si="45"/>
        <v>835</v>
      </c>
      <c r="AJ118" s="90">
        <f t="shared" si="46"/>
        <v>2021</v>
      </c>
      <c r="AK118" s="90" t="str">
        <f t="shared" si="47"/>
        <v>Adjust</v>
      </c>
      <c r="AL118" s="91">
        <f>IF(AK118="Adjust",(_xlfn.XLOOKUP(A118,'Adj factor'!A:A,'Adj factor'!I:I,,0)*AI118),'Master DataSheet (Rev)'!AI118)</f>
        <v>1071.7050513250235</v>
      </c>
      <c r="AM118" s="91">
        <f t="shared" si="48"/>
        <v>1425</v>
      </c>
      <c r="AN118" s="92" t="str">
        <f t="shared" si="49"/>
        <v>Decreasing</v>
      </c>
      <c r="AO118" s="93">
        <f>VLOOKUP(B118,'Growthrates source'!A$2:H$49,8,FALSE)</f>
        <v>6.6569375282258259E-2</v>
      </c>
      <c r="AP118" s="93">
        <f>VLOOKUP(B118,'Growthrates source'!A$2:I$49,9,FALSE)</f>
        <v>5.4673730437993617E-2</v>
      </c>
      <c r="AQ118" s="86">
        <f t="shared" si="50"/>
        <v>1021.5539387015332</v>
      </c>
      <c r="AR118" s="86">
        <f t="shared" si="51"/>
        <v>1678.990978655138</v>
      </c>
      <c r="AS118" s="94">
        <f t="shared" si="52"/>
        <v>0</v>
      </c>
      <c r="AT118" s="94">
        <f t="shared" si="53"/>
        <v>0.55895530038385333</v>
      </c>
      <c r="AU118" s="94">
        <f t="shared" si="36"/>
        <v>0.38056974624158019</v>
      </c>
      <c r="AV118" s="94">
        <f t="shared" si="37"/>
        <v>0.50602718324762386</v>
      </c>
    </row>
    <row r="119" spans="1:48" x14ac:dyDescent="0.3">
      <c r="A119" s="85" t="str">
        <f>_xlfn.XLOOKUP(B119,'Country codes &amp; Data sources'!G:G,'Country codes &amp; Data sources'!H:H,,0)</f>
        <v>Cote d'Ivoire</v>
      </c>
      <c r="B119" s="85" t="s">
        <v>166</v>
      </c>
      <c r="C119" s="86">
        <v>22010719.5</v>
      </c>
      <c r="D119" s="85" t="s">
        <v>203</v>
      </c>
      <c r="E119" s="87">
        <v>0</v>
      </c>
      <c r="F119" s="88">
        <v>22469267.5</v>
      </c>
      <c r="G119" s="87">
        <v>0</v>
      </c>
      <c r="I119" s="87">
        <v>0</v>
      </c>
      <c r="K119" s="87">
        <v>0</v>
      </c>
      <c r="M119" s="87">
        <v>0</v>
      </c>
      <c r="O119" s="87">
        <v>0</v>
      </c>
      <c r="P119" s="88">
        <v>25493988.499999996</v>
      </c>
      <c r="Q119" s="87">
        <v>0</v>
      </c>
      <c r="R119" s="87">
        <f t="shared" si="38"/>
        <v>3640</v>
      </c>
      <c r="T119" s="87">
        <v>4168</v>
      </c>
      <c r="V119" s="87">
        <v>0</v>
      </c>
      <c r="X119" s="87">
        <v>4221</v>
      </c>
      <c r="Y119" s="88">
        <v>28160542.500000004</v>
      </c>
      <c r="Z119" s="87">
        <v>4140</v>
      </c>
      <c r="AA119" s="87">
        <v>3640</v>
      </c>
      <c r="AB119" s="89">
        <f t="shared" si="39"/>
        <v>0</v>
      </c>
      <c r="AC119" s="89">
        <f t="shared" si="40"/>
        <v>4168</v>
      </c>
      <c r="AD119" s="89">
        <f t="shared" si="41"/>
        <v>4221</v>
      </c>
      <c r="AF119" s="90" t="str">
        <f t="shared" si="42"/>
        <v/>
      </c>
      <c r="AG119" s="90">
        <f t="shared" si="43"/>
        <v>3640</v>
      </c>
      <c r="AH119" s="90" t="str">
        <f t="shared" si="44"/>
        <v>2018 (triag)</v>
      </c>
      <c r="AI119" s="90">
        <f t="shared" si="45"/>
        <v>4140</v>
      </c>
      <c r="AJ119" s="90">
        <f t="shared" si="46"/>
        <v>2022</v>
      </c>
      <c r="AK119" s="90" t="str">
        <f t="shared" si="47"/>
        <v/>
      </c>
      <c r="AL119" s="91">
        <f>IF(AK119="Adjust",(_xlfn.XLOOKUP(A119,'Adj factor'!A:A,'Adj factor'!I:I,,0)*AI119),'Master DataSheet (Rev)'!AI119)</f>
        <v>4140</v>
      </c>
      <c r="AM119" s="91">
        <f t="shared" si="48"/>
        <v>4140</v>
      </c>
      <c r="AN119" s="92" t="str">
        <f t="shared" si="49"/>
        <v>Increasing</v>
      </c>
      <c r="AO119" s="93">
        <f>VLOOKUP(B119,'Growthrates source'!A$2:H$49,8,FALSE)</f>
        <v>6.6569375282258259E-2</v>
      </c>
      <c r="AP119" s="93">
        <f>VLOOKUP(B119,'Growthrates source'!A$2:I$49,9,FALSE)</f>
        <v>5.4673730437993617E-2</v>
      </c>
      <c r="AQ119" s="86">
        <f t="shared" si="50"/>
        <v>2609.4430434200567</v>
      </c>
      <c r="AR119" s="86">
        <f t="shared" si="51"/>
        <v>4288.7909910910184</v>
      </c>
      <c r="AS119" s="94">
        <f t="shared" si="52"/>
        <v>0</v>
      </c>
      <c r="AT119" s="94">
        <f t="shared" si="53"/>
        <v>1.4277875743138428</v>
      </c>
      <c r="AU119" s="94">
        <f t="shared" si="36"/>
        <v>1.4701421323825703</v>
      </c>
      <c r="AV119" s="94">
        <f t="shared" si="37"/>
        <v>1.4701421323825703</v>
      </c>
    </row>
    <row r="120" spans="1:48" x14ac:dyDescent="0.3">
      <c r="A120" s="85" t="str">
        <f>_xlfn.XLOOKUP(B120,'Country codes &amp; Data sources'!G:G,'Country codes &amp; Data sources'!H:H,,0)</f>
        <v>Cote d'Ivoire</v>
      </c>
      <c r="B120" s="85" t="s">
        <v>166</v>
      </c>
      <c r="C120" s="86">
        <v>22010720.5</v>
      </c>
      <c r="D120" s="85" t="s">
        <v>204</v>
      </c>
      <c r="E120" s="87">
        <v>0</v>
      </c>
      <c r="F120" s="88">
        <v>22469267.5</v>
      </c>
      <c r="G120" s="87">
        <v>0</v>
      </c>
      <c r="I120" s="87">
        <v>0</v>
      </c>
      <c r="K120" s="87">
        <v>0</v>
      </c>
      <c r="M120" s="87">
        <v>0</v>
      </c>
      <c r="O120" s="87">
        <v>0</v>
      </c>
      <c r="P120" s="88">
        <v>25493988.499999996</v>
      </c>
      <c r="Q120" s="87">
        <v>0</v>
      </c>
      <c r="R120" s="87">
        <f t="shared" si="38"/>
        <v>91</v>
      </c>
      <c r="T120" s="87">
        <v>0</v>
      </c>
      <c r="V120" s="87">
        <v>0</v>
      </c>
      <c r="X120" s="87">
        <v>0</v>
      </c>
      <c r="Y120" s="88">
        <v>28160542.500000004</v>
      </c>
      <c r="Z120" s="87">
        <v>0</v>
      </c>
      <c r="AA120" s="87">
        <v>91</v>
      </c>
      <c r="AB120" s="89">
        <f t="shared" si="39"/>
        <v>0</v>
      </c>
      <c r="AC120" s="89">
        <f t="shared" si="40"/>
        <v>0</v>
      </c>
      <c r="AD120" s="89">
        <f t="shared" si="41"/>
        <v>0</v>
      </c>
      <c r="AF120" s="90" t="str">
        <f t="shared" si="42"/>
        <v/>
      </c>
      <c r="AG120" s="90">
        <f t="shared" si="43"/>
        <v>91</v>
      </c>
      <c r="AH120" s="90" t="str">
        <f t="shared" si="44"/>
        <v>2018 (triag)</v>
      </c>
      <c r="AI120" s="90">
        <f t="shared" si="45"/>
        <v>91</v>
      </c>
      <c r="AJ120" s="90" t="str">
        <f t="shared" si="46"/>
        <v>2018 (triag)</v>
      </c>
      <c r="AK120" s="90" t="str">
        <f t="shared" si="47"/>
        <v/>
      </c>
      <c r="AL120" s="91">
        <f>IF(AK120="Adjust",(_xlfn.XLOOKUP(A120,'Adj factor'!A:A,'Adj factor'!I:I,,0)*AI120),'Master DataSheet (Rev)'!AI120)</f>
        <v>91</v>
      </c>
      <c r="AM120" s="91">
        <f t="shared" si="48"/>
        <v>91</v>
      </c>
      <c r="AN120" s="92" t="str">
        <f t="shared" si="49"/>
        <v>No change</v>
      </c>
      <c r="AO120" s="93">
        <f>VLOOKUP(B120,'Growthrates source'!A$2:H$49,8,FALSE)</f>
        <v>6.6569375282258259E-2</v>
      </c>
      <c r="AP120" s="93">
        <f>VLOOKUP(B120,'Growthrates source'!A$2:I$49,9,FALSE)</f>
        <v>5.4673730437993617E-2</v>
      </c>
      <c r="AQ120" s="86">
        <f t="shared" si="50"/>
        <v>65.236076085501423</v>
      </c>
      <c r="AR120" s="86">
        <f t="shared" si="51"/>
        <v>107.21977477727548</v>
      </c>
      <c r="AS120" s="94">
        <f t="shared" si="52"/>
        <v>0</v>
      </c>
      <c r="AT120" s="94">
        <f t="shared" si="53"/>
        <v>3.5694689357846074E-2</v>
      </c>
      <c r="AU120" s="94">
        <f t="shared" si="36"/>
        <v>3.2314718368795625E-2</v>
      </c>
      <c r="AV120" s="94">
        <f t="shared" si="37"/>
        <v>3.2314718368795625E-2</v>
      </c>
    </row>
    <row r="121" spans="1:48" x14ac:dyDescent="0.3">
      <c r="A121" s="85" t="str">
        <f>_xlfn.XLOOKUP(B121,'Country codes &amp; Data sources'!G:G,'Country codes &amp; Data sources'!H:H,,0)</f>
        <v>Cote d'Ivoire</v>
      </c>
      <c r="B121" s="85" t="s">
        <v>166</v>
      </c>
      <c r="C121" s="86">
        <v>22010721.5</v>
      </c>
      <c r="D121" s="85" t="s">
        <v>205</v>
      </c>
      <c r="E121" s="87">
        <v>0</v>
      </c>
      <c r="F121" s="88">
        <v>22469267.5</v>
      </c>
      <c r="G121" s="87">
        <v>0</v>
      </c>
      <c r="I121" s="87">
        <v>190</v>
      </c>
      <c r="K121" s="87">
        <v>0</v>
      </c>
      <c r="M121" s="87">
        <v>0</v>
      </c>
      <c r="O121" s="87">
        <v>0</v>
      </c>
      <c r="P121" s="88">
        <v>25493988.499999996</v>
      </c>
      <c r="Q121" s="87">
        <v>0</v>
      </c>
      <c r="R121" s="87">
        <f t="shared" si="38"/>
        <v>0</v>
      </c>
      <c r="T121" s="87">
        <v>40</v>
      </c>
      <c r="V121" s="87">
        <v>0</v>
      </c>
      <c r="X121" s="87">
        <v>0</v>
      </c>
      <c r="Y121" s="88">
        <v>28160542.500000004</v>
      </c>
      <c r="Z121" s="87">
        <v>0</v>
      </c>
      <c r="AA121" s="87">
        <v>0</v>
      </c>
      <c r="AB121" s="89">
        <f t="shared" si="39"/>
        <v>190</v>
      </c>
      <c r="AC121" s="89">
        <f t="shared" si="40"/>
        <v>40</v>
      </c>
      <c r="AD121" s="89">
        <f t="shared" si="41"/>
        <v>0</v>
      </c>
      <c r="AE121" s="90">
        <f t="shared" si="54"/>
        <v>190</v>
      </c>
      <c r="AF121" s="90">
        <f t="shared" si="42"/>
        <v>2014</v>
      </c>
      <c r="AG121" s="90">
        <f t="shared" si="43"/>
        <v>40</v>
      </c>
      <c r="AH121" s="90">
        <f t="shared" si="44"/>
        <v>2019</v>
      </c>
      <c r="AI121" s="90">
        <f t="shared" si="45"/>
        <v>40</v>
      </c>
      <c r="AJ121" s="90">
        <f t="shared" si="46"/>
        <v>2019</v>
      </c>
      <c r="AK121" s="90" t="str">
        <f t="shared" si="47"/>
        <v/>
      </c>
      <c r="AL121" s="91">
        <f>IF(AK121="Adjust",(_xlfn.XLOOKUP(A121,'Adj factor'!A:A,'Adj factor'!I:I,,0)*AI121),'Master DataSheet (Rev)'!AI121)</f>
        <v>40</v>
      </c>
      <c r="AM121" s="91">
        <f t="shared" si="48"/>
        <v>40</v>
      </c>
      <c r="AN121" s="92" t="str">
        <f t="shared" si="49"/>
        <v>No change</v>
      </c>
      <c r="AO121" s="93">
        <f>VLOOKUP(B121,'Growthrates source'!A$2:H$49,8,FALSE)</f>
        <v>6.6569375282258259E-2</v>
      </c>
      <c r="AP121" s="93">
        <f>VLOOKUP(B121,'Growthrates source'!A$2:I$49,9,FALSE)</f>
        <v>5.4673730437993617E-2</v>
      </c>
      <c r="AQ121" s="86">
        <f t="shared" si="50"/>
        <v>0</v>
      </c>
      <c r="AR121" s="86">
        <f t="shared" si="51"/>
        <v>0</v>
      </c>
      <c r="AS121" s="94">
        <f t="shared" si="52"/>
        <v>8.4559943932306647E-2</v>
      </c>
      <c r="AT121" s="94">
        <f t="shared" si="53"/>
        <v>1.5689973344108165E-2</v>
      </c>
      <c r="AU121" s="94">
        <f t="shared" si="36"/>
        <v>1.4204271810459615E-2</v>
      </c>
      <c r="AV121" s="94">
        <f t="shared" si="37"/>
        <v>1.4204271810459615E-2</v>
      </c>
    </row>
    <row r="122" spans="1:48" x14ac:dyDescent="0.3">
      <c r="A122" s="85" t="str">
        <f>_xlfn.XLOOKUP(B122,'Country codes &amp; Data sources'!G:G,'Country codes &amp; Data sources'!H:H,,0)</f>
        <v>Cote d'Ivoire</v>
      </c>
      <c r="B122" s="85" t="s">
        <v>166</v>
      </c>
      <c r="C122" s="86">
        <v>22010722.5</v>
      </c>
      <c r="D122" s="85" t="s">
        <v>133</v>
      </c>
      <c r="E122" s="87">
        <v>0</v>
      </c>
      <c r="F122" s="88">
        <v>22469267.5</v>
      </c>
      <c r="G122" s="87">
        <v>0</v>
      </c>
      <c r="I122" s="87">
        <v>2380</v>
      </c>
      <c r="K122" s="87">
        <v>0</v>
      </c>
      <c r="M122" s="87">
        <v>0</v>
      </c>
      <c r="O122" s="87">
        <v>0</v>
      </c>
      <c r="P122" s="88">
        <v>25493988.499999996</v>
      </c>
      <c r="Q122" s="87">
        <v>0</v>
      </c>
      <c r="R122" s="87">
        <f t="shared" si="38"/>
        <v>497</v>
      </c>
      <c r="T122" s="87">
        <v>0</v>
      </c>
      <c r="V122" s="87">
        <v>0</v>
      </c>
      <c r="X122" s="87">
        <v>0</v>
      </c>
      <c r="Y122" s="88">
        <v>28160542.500000004</v>
      </c>
      <c r="Z122" s="87">
        <v>0</v>
      </c>
      <c r="AA122" s="87">
        <v>497</v>
      </c>
      <c r="AB122" s="89">
        <f t="shared" si="39"/>
        <v>2380</v>
      </c>
      <c r="AC122" s="89">
        <f t="shared" si="40"/>
        <v>0</v>
      </c>
      <c r="AD122" s="89">
        <f t="shared" si="41"/>
        <v>0</v>
      </c>
      <c r="AE122" s="90">
        <f t="shared" si="54"/>
        <v>2380</v>
      </c>
      <c r="AF122" s="90">
        <f t="shared" si="42"/>
        <v>2014</v>
      </c>
      <c r="AG122" s="90">
        <f t="shared" si="43"/>
        <v>497</v>
      </c>
      <c r="AH122" s="90" t="str">
        <f t="shared" si="44"/>
        <v>2018 (triag)</v>
      </c>
      <c r="AI122" s="90">
        <f t="shared" si="45"/>
        <v>497</v>
      </c>
      <c r="AJ122" s="90" t="str">
        <f t="shared" si="46"/>
        <v>2018 (triag)</v>
      </c>
      <c r="AK122" s="90" t="str">
        <f t="shared" si="47"/>
        <v/>
      </c>
      <c r="AL122" s="91">
        <f>IF(AK122="Adjust",(_xlfn.XLOOKUP(A122,'Adj factor'!A:A,'Adj factor'!I:I,,0)*AI122),'Master DataSheet (Rev)'!AI122)</f>
        <v>497</v>
      </c>
      <c r="AM122" s="91">
        <f t="shared" si="48"/>
        <v>497</v>
      </c>
      <c r="AN122" s="92" t="str">
        <f t="shared" si="49"/>
        <v>No change</v>
      </c>
      <c r="AO122" s="93">
        <f>VLOOKUP(B122,'Growthrates source'!A$2:H$49,8,FALSE)</f>
        <v>6.6569375282258259E-2</v>
      </c>
      <c r="AP122" s="93">
        <f>VLOOKUP(B122,'Growthrates source'!A$2:I$49,9,FALSE)</f>
        <v>5.4673730437993617E-2</v>
      </c>
      <c r="AQ122" s="86">
        <f t="shared" si="50"/>
        <v>356.28933862081544</v>
      </c>
      <c r="AR122" s="86">
        <f t="shared" si="51"/>
        <v>585.58492378358142</v>
      </c>
      <c r="AS122" s="94">
        <f t="shared" si="52"/>
        <v>1.0592245608362623</v>
      </c>
      <c r="AT122" s="94">
        <f t="shared" si="53"/>
        <v>0.19494791880054393</v>
      </c>
      <c r="AU122" s="94">
        <f t="shared" si="36"/>
        <v>0.17648807724496071</v>
      </c>
      <c r="AV122" s="94">
        <f t="shared" si="37"/>
        <v>0.17648807724496071</v>
      </c>
    </row>
    <row r="123" spans="1:48" x14ac:dyDescent="0.3">
      <c r="A123" s="85" t="str">
        <f>_xlfn.XLOOKUP(B123,'Country codes &amp; Data sources'!G:G,'Country codes &amp; Data sources'!H:H,,0)</f>
        <v>Cote d'Ivoire</v>
      </c>
      <c r="B123" s="85" t="s">
        <v>166</v>
      </c>
      <c r="C123" s="86">
        <v>22010723.5</v>
      </c>
      <c r="D123" s="85" t="s">
        <v>206</v>
      </c>
      <c r="E123" s="87">
        <v>0</v>
      </c>
      <c r="F123" s="88">
        <v>22469267.5</v>
      </c>
      <c r="G123" s="87">
        <v>0</v>
      </c>
      <c r="I123" s="87">
        <v>0</v>
      </c>
      <c r="K123" s="87">
        <v>0</v>
      </c>
      <c r="M123" s="87">
        <v>0</v>
      </c>
      <c r="O123" s="87">
        <v>0</v>
      </c>
      <c r="P123" s="88">
        <v>25493988.499999996</v>
      </c>
      <c r="Q123" s="87">
        <v>0</v>
      </c>
      <c r="R123" s="87">
        <f t="shared" si="38"/>
        <v>242</v>
      </c>
      <c r="T123" s="87">
        <v>0</v>
      </c>
      <c r="V123" s="87">
        <v>0</v>
      </c>
      <c r="X123" s="87">
        <v>0</v>
      </c>
      <c r="Y123" s="88">
        <v>28160542.500000004</v>
      </c>
      <c r="Z123" s="87">
        <v>0</v>
      </c>
      <c r="AA123" s="87">
        <v>242</v>
      </c>
      <c r="AB123" s="89">
        <f t="shared" si="39"/>
        <v>0</v>
      </c>
      <c r="AC123" s="89">
        <f t="shared" si="40"/>
        <v>0</v>
      </c>
      <c r="AD123" s="89">
        <f t="shared" si="41"/>
        <v>0</v>
      </c>
      <c r="AF123" s="90" t="str">
        <f t="shared" si="42"/>
        <v/>
      </c>
      <c r="AG123" s="90">
        <f t="shared" si="43"/>
        <v>242</v>
      </c>
      <c r="AH123" s="90" t="str">
        <f t="shared" si="44"/>
        <v>2018 (triag)</v>
      </c>
      <c r="AI123" s="90">
        <f t="shared" si="45"/>
        <v>242</v>
      </c>
      <c r="AJ123" s="90" t="str">
        <f t="shared" si="46"/>
        <v>2018 (triag)</v>
      </c>
      <c r="AK123" s="90" t="str">
        <f t="shared" si="47"/>
        <v/>
      </c>
      <c r="AL123" s="91">
        <f>IF(AK123="Adjust",(_xlfn.XLOOKUP(A123,'Adj factor'!A:A,'Adj factor'!I:I,,0)*AI123),'Master DataSheet (Rev)'!AI123)</f>
        <v>242</v>
      </c>
      <c r="AM123" s="91">
        <f t="shared" si="48"/>
        <v>242</v>
      </c>
      <c r="AN123" s="92" t="str">
        <f t="shared" si="49"/>
        <v>No change</v>
      </c>
      <c r="AO123" s="93">
        <f>VLOOKUP(B123,'Growthrates source'!A$2:H$49,8,FALSE)</f>
        <v>6.6569375282258259E-2</v>
      </c>
      <c r="AP123" s="93">
        <f>VLOOKUP(B123,'Growthrates source'!A$2:I$49,9,FALSE)</f>
        <v>5.4673730437993617E-2</v>
      </c>
      <c r="AQ123" s="86">
        <f t="shared" si="50"/>
        <v>173.48494959001476</v>
      </c>
      <c r="AR123" s="86">
        <f t="shared" si="51"/>
        <v>285.13390655055673</v>
      </c>
      <c r="AS123" s="94">
        <f t="shared" si="52"/>
        <v>0</v>
      </c>
      <c r="AT123" s="94">
        <f t="shared" si="53"/>
        <v>9.4924338731854394E-2</v>
      </c>
      <c r="AU123" s="94">
        <f t="shared" si="36"/>
        <v>8.5935844453280674E-2</v>
      </c>
      <c r="AV123" s="94">
        <f t="shared" si="37"/>
        <v>8.5935844453280674E-2</v>
      </c>
    </row>
    <row r="124" spans="1:48" x14ac:dyDescent="0.3">
      <c r="A124" s="85" t="str">
        <f>_xlfn.XLOOKUP(B124,'Country codes &amp; Data sources'!G:G,'Country codes &amp; Data sources'!H:H,,0)</f>
        <v>Cote d'Ivoire</v>
      </c>
      <c r="B124" s="85" t="s">
        <v>166</v>
      </c>
      <c r="C124" s="86">
        <v>22010724.5</v>
      </c>
      <c r="D124" s="85" t="s">
        <v>136</v>
      </c>
      <c r="E124" s="87">
        <v>0</v>
      </c>
      <c r="F124" s="88">
        <v>22469267.5</v>
      </c>
      <c r="G124" s="87">
        <v>0</v>
      </c>
      <c r="I124" s="87">
        <v>820</v>
      </c>
      <c r="K124" s="87">
        <v>0</v>
      </c>
      <c r="M124" s="87">
        <v>0</v>
      </c>
      <c r="O124" s="87">
        <v>0</v>
      </c>
      <c r="P124" s="88">
        <v>25493988.499999996</v>
      </c>
      <c r="Q124" s="87">
        <v>0</v>
      </c>
      <c r="R124" s="87">
        <f t="shared" si="38"/>
        <v>3103</v>
      </c>
      <c r="T124" s="87">
        <v>0</v>
      </c>
      <c r="V124" s="87">
        <v>0</v>
      </c>
      <c r="X124" s="87">
        <v>0</v>
      </c>
      <c r="Y124" s="88">
        <v>28160542.500000004</v>
      </c>
      <c r="Z124" s="87">
        <v>0</v>
      </c>
      <c r="AA124" s="87">
        <v>3103</v>
      </c>
      <c r="AB124" s="89">
        <f t="shared" si="39"/>
        <v>820</v>
      </c>
      <c r="AC124" s="89">
        <f t="shared" si="40"/>
        <v>0</v>
      </c>
      <c r="AD124" s="89">
        <f t="shared" si="41"/>
        <v>0</v>
      </c>
      <c r="AE124" s="90">
        <f t="shared" si="54"/>
        <v>820</v>
      </c>
      <c r="AF124" s="90">
        <f t="shared" si="42"/>
        <v>2014</v>
      </c>
      <c r="AG124" s="90">
        <f t="shared" si="43"/>
        <v>3103</v>
      </c>
      <c r="AH124" s="90" t="str">
        <f t="shared" si="44"/>
        <v>2018 (triag)</v>
      </c>
      <c r="AI124" s="90">
        <f t="shared" si="45"/>
        <v>3103</v>
      </c>
      <c r="AJ124" s="90" t="str">
        <f t="shared" si="46"/>
        <v>2018 (triag)</v>
      </c>
      <c r="AK124" s="90" t="str">
        <f t="shared" si="47"/>
        <v/>
      </c>
      <c r="AL124" s="91">
        <f>IF(AK124="Adjust",(_xlfn.XLOOKUP(A124,'Adj factor'!A:A,'Adj factor'!I:I,,0)*AI124),'Master DataSheet (Rev)'!AI124)</f>
        <v>3103</v>
      </c>
      <c r="AM124" s="91">
        <f t="shared" si="48"/>
        <v>3103</v>
      </c>
      <c r="AN124" s="92" t="str">
        <f t="shared" si="49"/>
        <v>No change</v>
      </c>
      <c r="AO124" s="93">
        <f>VLOOKUP(B124,'Growthrates source'!A$2:H$49,8,FALSE)</f>
        <v>6.6569375282258259E-2</v>
      </c>
      <c r="AP124" s="93">
        <f>VLOOKUP(B124,'Growthrates source'!A$2:I$49,9,FALSE)</f>
        <v>5.4673730437993617E-2</v>
      </c>
      <c r="AQ124" s="86">
        <f t="shared" si="50"/>
        <v>2224.4785065198998</v>
      </c>
      <c r="AR124" s="86">
        <f t="shared" si="51"/>
        <v>3656.0764959767671</v>
      </c>
      <c r="AS124" s="94">
        <f t="shared" si="52"/>
        <v>0.36494291591837608</v>
      </c>
      <c r="AT124" s="94">
        <f t="shared" si="53"/>
        <v>1.2171496821691907</v>
      </c>
      <c r="AU124" s="94">
        <f t="shared" si="36"/>
        <v>1.1018963856964046</v>
      </c>
      <c r="AV124" s="94">
        <f t="shared" si="37"/>
        <v>1.1018963856964046</v>
      </c>
    </row>
    <row r="125" spans="1:48" x14ac:dyDescent="0.3">
      <c r="A125" s="85" t="str">
        <f>_xlfn.XLOOKUP(B125,'Country codes &amp; Data sources'!G:G,'Country codes &amp; Data sources'!H:H,,0)</f>
        <v>Cote d'Ivoire</v>
      </c>
      <c r="B125" s="85" t="s">
        <v>166</v>
      </c>
      <c r="C125" s="86">
        <v>22010725.5</v>
      </c>
      <c r="D125" s="85" t="s">
        <v>207</v>
      </c>
      <c r="E125" s="87">
        <v>0</v>
      </c>
      <c r="F125" s="88">
        <v>22469267.5</v>
      </c>
      <c r="G125" s="87">
        <v>0</v>
      </c>
      <c r="I125" s="87">
        <v>0</v>
      </c>
      <c r="K125" s="87">
        <v>0</v>
      </c>
      <c r="M125" s="87">
        <v>0</v>
      </c>
      <c r="O125" s="87">
        <v>0</v>
      </c>
      <c r="P125" s="88">
        <v>25493988.499999996</v>
      </c>
      <c r="Q125" s="87">
        <v>0</v>
      </c>
      <c r="R125" s="87">
        <f t="shared" si="38"/>
        <v>123</v>
      </c>
      <c r="T125" s="87">
        <v>0</v>
      </c>
      <c r="V125" s="87">
        <v>0</v>
      </c>
      <c r="X125" s="87">
        <v>0</v>
      </c>
      <c r="Y125" s="88">
        <v>28160542.500000004</v>
      </c>
      <c r="Z125" s="87">
        <v>0</v>
      </c>
      <c r="AA125" s="87">
        <v>123</v>
      </c>
      <c r="AB125" s="89">
        <f t="shared" si="39"/>
        <v>0</v>
      </c>
      <c r="AC125" s="89">
        <f t="shared" si="40"/>
        <v>0</v>
      </c>
      <c r="AD125" s="89">
        <f t="shared" si="41"/>
        <v>0</v>
      </c>
      <c r="AF125" s="90" t="str">
        <f t="shared" si="42"/>
        <v/>
      </c>
      <c r="AG125" s="90">
        <f t="shared" si="43"/>
        <v>123</v>
      </c>
      <c r="AH125" s="90" t="str">
        <f t="shared" si="44"/>
        <v>2018 (triag)</v>
      </c>
      <c r="AI125" s="90">
        <f t="shared" si="45"/>
        <v>123</v>
      </c>
      <c r="AJ125" s="90" t="str">
        <f t="shared" si="46"/>
        <v>2018 (triag)</v>
      </c>
      <c r="AK125" s="90" t="str">
        <f t="shared" si="47"/>
        <v/>
      </c>
      <c r="AL125" s="91">
        <f>IF(AK125="Adjust",(_xlfn.XLOOKUP(A125,'Adj factor'!A:A,'Adj factor'!I:I,,0)*AI125),'Master DataSheet (Rev)'!AI125)</f>
        <v>123</v>
      </c>
      <c r="AM125" s="91">
        <f t="shared" si="48"/>
        <v>123</v>
      </c>
      <c r="AN125" s="92" t="str">
        <f t="shared" si="49"/>
        <v>No change</v>
      </c>
      <c r="AO125" s="93">
        <f>VLOOKUP(B125,'Growthrates source'!A$2:H$49,8,FALSE)</f>
        <v>6.6569375282258259E-2</v>
      </c>
      <c r="AP125" s="93">
        <f>VLOOKUP(B125,'Growthrates source'!A$2:I$49,9,FALSE)</f>
        <v>5.4673730437993617E-2</v>
      </c>
      <c r="AQ125" s="86">
        <f t="shared" si="50"/>
        <v>88.176234708974448</v>
      </c>
      <c r="AR125" s="86">
        <f t="shared" si="51"/>
        <v>144.92343184181189</v>
      </c>
      <c r="AS125" s="94">
        <f t="shared" si="52"/>
        <v>0</v>
      </c>
      <c r="AT125" s="94">
        <f t="shared" si="53"/>
        <v>4.82466680331326E-2</v>
      </c>
      <c r="AU125" s="94">
        <f t="shared" si="36"/>
        <v>4.3678135817163316E-2</v>
      </c>
      <c r="AV125" s="94">
        <f t="shared" si="37"/>
        <v>4.3678135817163316E-2</v>
      </c>
    </row>
    <row r="126" spans="1:48" x14ac:dyDescent="0.3">
      <c r="A126" s="85" t="str">
        <f>_xlfn.XLOOKUP(B126,'Country codes &amp; Data sources'!G:G,'Country codes &amp; Data sources'!H:H,,0)</f>
        <v>Cote d'Ivoire</v>
      </c>
      <c r="B126" s="85" t="s">
        <v>166</v>
      </c>
      <c r="C126" s="86">
        <v>22010726.5</v>
      </c>
      <c r="D126" s="85" t="s">
        <v>141</v>
      </c>
      <c r="E126" s="87">
        <v>0</v>
      </c>
      <c r="F126" s="88">
        <v>22469267.5</v>
      </c>
      <c r="G126" s="87">
        <v>0</v>
      </c>
      <c r="I126" s="87">
        <v>70</v>
      </c>
      <c r="K126" s="87">
        <v>0</v>
      </c>
      <c r="M126" s="87">
        <v>0</v>
      </c>
      <c r="O126" s="87">
        <v>0</v>
      </c>
      <c r="P126" s="88">
        <v>25493988.499999996</v>
      </c>
      <c r="Q126" s="87">
        <v>0</v>
      </c>
      <c r="R126" s="87">
        <f t="shared" si="38"/>
        <v>700</v>
      </c>
      <c r="T126" s="87">
        <v>0</v>
      </c>
      <c r="V126" s="87">
        <v>0</v>
      </c>
      <c r="X126" s="87">
        <v>0</v>
      </c>
      <c r="Y126" s="88">
        <v>28160542.500000004</v>
      </c>
      <c r="Z126" s="87">
        <v>0</v>
      </c>
      <c r="AA126" s="87">
        <v>700</v>
      </c>
      <c r="AB126" s="89">
        <f t="shared" si="39"/>
        <v>70</v>
      </c>
      <c r="AC126" s="89">
        <f t="shared" si="40"/>
        <v>0</v>
      </c>
      <c r="AD126" s="89">
        <f t="shared" si="41"/>
        <v>0</v>
      </c>
      <c r="AE126" s="90">
        <f t="shared" si="54"/>
        <v>70</v>
      </c>
      <c r="AF126" s="90">
        <f t="shared" si="42"/>
        <v>2014</v>
      </c>
      <c r="AG126" s="90">
        <f t="shared" si="43"/>
        <v>700</v>
      </c>
      <c r="AH126" s="90" t="str">
        <f t="shared" si="44"/>
        <v>2018 (triag)</v>
      </c>
      <c r="AI126" s="90">
        <f t="shared" si="45"/>
        <v>700</v>
      </c>
      <c r="AJ126" s="90" t="str">
        <f t="shared" si="46"/>
        <v>2018 (triag)</v>
      </c>
      <c r="AK126" s="90" t="str">
        <f t="shared" si="47"/>
        <v/>
      </c>
      <c r="AL126" s="91">
        <f>IF(AK126="Adjust",(_xlfn.XLOOKUP(A126,'Adj factor'!A:A,'Adj factor'!I:I,,0)*AI126),'Master DataSheet (Rev)'!AI126)</f>
        <v>700</v>
      </c>
      <c r="AM126" s="91">
        <f t="shared" si="48"/>
        <v>700</v>
      </c>
      <c r="AN126" s="92" t="str">
        <f t="shared" si="49"/>
        <v>No change</v>
      </c>
      <c r="AO126" s="93">
        <f>VLOOKUP(B126,'Growthrates source'!A$2:H$49,8,FALSE)</f>
        <v>6.6569375282258259E-2</v>
      </c>
      <c r="AP126" s="93">
        <f>VLOOKUP(B126,'Growthrates source'!A$2:I$49,9,FALSE)</f>
        <v>5.4673730437993617E-2</v>
      </c>
      <c r="AQ126" s="86">
        <f t="shared" si="50"/>
        <v>501.81596988847247</v>
      </c>
      <c r="AR126" s="86">
        <f t="shared" si="51"/>
        <v>824.76749828673439</v>
      </c>
      <c r="AS126" s="94">
        <f t="shared" si="52"/>
        <v>3.1153663554007713E-2</v>
      </c>
      <c r="AT126" s="94">
        <f t="shared" si="53"/>
        <v>0.27457453352189287</v>
      </c>
      <c r="AU126" s="94">
        <f t="shared" si="36"/>
        <v>0.24857475668304327</v>
      </c>
      <c r="AV126" s="94">
        <f t="shared" si="37"/>
        <v>0.24857475668304327</v>
      </c>
    </row>
    <row r="127" spans="1:48" x14ac:dyDescent="0.3">
      <c r="A127" s="85" t="str">
        <f>_xlfn.XLOOKUP(B127,'Country codes &amp; Data sources'!G:G,'Country codes &amp; Data sources'!H:H,,0)</f>
        <v>Cote d'Ivoire</v>
      </c>
      <c r="B127" s="85" t="s">
        <v>166</v>
      </c>
      <c r="C127" s="86">
        <v>22010727.5</v>
      </c>
      <c r="D127" s="85" t="s">
        <v>208</v>
      </c>
      <c r="E127" s="87">
        <v>0</v>
      </c>
      <c r="F127" s="88">
        <v>22469267.5</v>
      </c>
      <c r="G127" s="87">
        <v>0</v>
      </c>
      <c r="I127" s="87">
        <v>0</v>
      </c>
      <c r="K127" s="87">
        <v>0</v>
      </c>
      <c r="M127" s="87">
        <v>0</v>
      </c>
      <c r="O127" s="87">
        <v>0</v>
      </c>
      <c r="P127" s="88">
        <v>25493988.499999996</v>
      </c>
      <c r="Q127" s="87">
        <v>0</v>
      </c>
      <c r="R127" s="87">
        <f t="shared" si="38"/>
        <v>139</v>
      </c>
      <c r="T127" s="87">
        <v>0</v>
      </c>
      <c r="V127" s="87">
        <v>0</v>
      </c>
      <c r="X127" s="87">
        <v>0</v>
      </c>
      <c r="Y127" s="88">
        <v>28160542.500000004</v>
      </c>
      <c r="Z127" s="87">
        <v>0</v>
      </c>
      <c r="AA127" s="87">
        <v>139</v>
      </c>
      <c r="AB127" s="89">
        <f t="shared" si="39"/>
        <v>0</v>
      </c>
      <c r="AC127" s="89">
        <f t="shared" si="40"/>
        <v>0</v>
      </c>
      <c r="AD127" s="89">
        <f t="shared" si="41"/>
        <v>0</v>
      </c>
      <c r="AF127" s="90" t="str">
        <f t="shared" si="42"/>
        <v/>
      </c>
      <c r="AG127" s="90">
        <f t="shared" si="43"/>
        <v>139</v>
      </c>
      <c r="AH127" s="90" t="str">
        <f t="shared" si="44"/>
        <v>2018 (triag)</v>
      </c>
      <c r="AI127" s="90">
        <f t="shared" si="45"/>
        <v>139</v>
      </c>
      <c r="AJ127" s="90" t="str">
        <f t="shared" si="46"/>
        <v>2018 (triag)</v>
      </c>
      <c r="AK127" s="90" t="str">
        <f t="shared" si="47"/>
        <v/>
      </c>
      <c r="AL127" s="91">
        <f>IF(AK127="Adjust",(_xlfn.XLOOKUP(A127,'Adj factor'!A:A,'Adj factor'!I:I,,0)*AI127),'Master DataSheet (Rev)'!AI127)</f>
        <v>139</v>
      </c>
      <c r="AM127" s="91">
        <f t="shared" si="48"/>
        <v>139</v>
      </c>
      <c r="AN127" s="92" t="str">
        <f t="shared" si="49"/>
        <v>No change</v>
      </c>
      <c r="AO127" s="93">
        <f>VLOOKUP(B127,'Growthrates source'!A$2:H$49,8,FALSE)</f>
        <v>6.6569375282258259E-2</v>
      </c>
      <c r="AP127" s="93">
        <f>VLOOKUP(B127,'Growthrates source'!A$2:I$49,9,FALSE)</f>
        <v>5.4673730437993617E-2</v>
      </c>
      <c r="AQ127" s="86">
        <f t="shared" si="50"/>
        <v>99.64631402071096</v>
      </c>
      <c r="AR127" s="86">
        <f t="shared" si="51"/>
        <v>163.77526037408012</v>
      </c>
      <c r="AS127" s="94">
        <f t="shared" si="52"/>
        <v>0</v>
      </c>
      <c r="AT127" s="94">
        <f t="shared" si="53"/>
        <v>5.452265737077587E-2</v>
      </c>
      <c r="AU127" s="94">
        <f t="shared" si="36"/>
        <v>4.9359844541347161E-2</v>
      </c>
      <c r="AV127" s="94">
        <f t="shared" si="37"/>
        <v>4.9359844541347161E-2</v>
      </c>
    </row>
    <row r="128" spans="1:48" x14ac:dyDescent="0.3">
      <c r="A128" s="85" t="str">
        <f>_xlfn.XLOOKUP(B128,'Country codes &amp; Data sources'!G:G,'Country codes &amp; Data sources'!H:H,,0)</f>
        <v>Cote d'Ivoire</v>
      </c>
      <c r="B128" s="85" t="s">
        <v>166</v>
      </c>
      <c r="C128" s="86">
        <v>22010728.5</v>
      </c>
      <c r="D128" s="85" t="s">
        <v>209</v>
      </c>
      <c r="E128" s="87">
        <v>0</v>
      </c>
      <c r="F128" s="88">
        <v>22469267.5</v>
      </c>
      <c r="G128" s="87">
        <v>0</v>
      </c>
      <c r="I128" s="87">
        <v>0</v>
      </c>
      <c r="K128" s="87">
        <v>0</v>
      </c>
      <c r="M128" s="87">
        <v>0</v>
      </c>
      <c r="O128" s="87">
        <v>0</v>
      </c>
      <c r="P128" s="88">
        <v>25493988.499999996</v>
      </c>
      <c r="Q128" s="87">
        <v>0</v>
      </c>
      <c r="R128" s="87">
        <f t="shared" si="38"/>
        <v>14</v>
      </c>
      <c r="T128" s="87">
        <v>3470</v>
      </c>
      <c r="V128" s="87">
        <v>0</v>
      </c>
      <c r="X128" s="87">
        <v>0</v>
      </c>
      <c r="Y128" s="88">
        <v>28160542.500000004</v>
      </c>
      <c r="Z128" s="87">
        <v>0</v>
      </c>
      <c r="AA128" s="87">
        <v>14</v>
      </c>
      <c r="AB128" s="89">
        <f t="shared" si="39"/>
        <v>0</v>
      </c>
      <c r="AC128" s="89">
        <f t="shared" si="40"/>
        <v>3470</v>
      </c>
      <c r="AD128" s="89">
        <f t="shared" si="41"/>
        <v>0</v>
      </c>
      <c r="AF128" s="90" t="str">
        <f t="shared" si="42"/>
        <v/>
      </c>
      <c r="AG128" s="90">
        <f t="shared" si="43"/>
        <v>14</v>
      </c>
      <c r="AH128" s="90" t="str">
        <f t="shared" si="44"/>
        <v>2018 (triag)</v>
      </c>
      <c r="AI128" s="90">
        <f t="shared" si="45"/>
        <v>3470</v>
      </c>
      <c r="AJ128" s="90" t="str">
        <f t="shared" si="46"/>
        <v>2018 (triag)</v>
      </c>
      <c r="AK128" s="90" t="str">
        <f t="shared" si="47"/>
        <v/>
      </c>
      <c r="AL128" s="91">
        <f>IF(AK128="Adjust",(_xlfn.XLOOKUP(A128,'Adj factor'!A:A,'Adj factor'!I:I,,0)*AI128),'Master DataSheet (Rev)'!AI128)</f>
        <v>3470</v>
      </c>
      <c r="AM128" s="91">
        <f t="shared" si="48"/>
        <v>3470</v>
      </c>
      <c r="AN128" s="92" t="str">
        <f t="shared" si="49"/>
        <v>Increasing</v>
      </c>
      <c r="AO128" s="93">
        <f>VLOOKUP(B128,'Growthrates source'!A$2:H$49,8,FALSE)</f>
        <v>6.6569375282258259E-2</v>
      </c>
      <c r="AP128" s="93">
        <f>VLOOKUP(B128,'Growthrates source'!A$2:I$49,9,FALSE)</f>
        <v>5.4673730437993617E-2</v>
      </c>
      <c r="AQ128" s="86">
        <f t="shared" si="50"/>
        <v>10.03631939776945</v>
      </c>
      <c r="AR128" s="86">
        <f t="shared" si="51"/>
        <v>16.49534996573469</v>
      </c>
      <c r="AS128" s="94">
        <f t="shared" si="52"/>
        <v>0</v>
      </c>
      <c r="AT128" s="94">
        <f t="shared" si="53"/>
        <v>5.4914906704378571E-3</v>
      </c>
      <c r="AU128" s="94">
        <f t="shared" si="36"/>
        <v>1.2322205795573717</v>
      </c>
      <c r="AV128" s="94">
        <f t="shared" si="37"/>
        <v>1.2322205795573717</v>
      </c>
    </row>
    <row r="129" spans="1:48" x14ac:dyDescent="0.3">
      <c r="A129" s="85" t="str">
        <f>_xlfn.XLOOKUP(B129,'Country codes &amp; Data sources'!G:G,'Country codes &amp; Data sources'!H:H,,0)</f>
        <v>Cote d'Ivoire</v>
      </c>
      <c r="B129" s="85" t="s">
        <v>166</v>
      </c>
      <c r="C129" s="86">
        <v>22010729.5</v>
      </c>
      <c r="D129" s="85" t="s">
        <v>134</v>
      </c>
      <c r="E129" s="87">
        <v>0</v>
      </c>
      <c r="F129" s="88">
        <v>22469267.5</v>
      </c>
      <c r="G129" s="87">
        <v>0</v>
      </c>
      <c r="I129" s="87">
        <v>1600</v>
      </c>
      <c r="K129" s="87">
        <v>0</v>
      </c>
      <c r="M129" s="87">
        <v>0</v>
      </c>
      <c r="O129" s="87">
        <v>0</v>
      </c>
      <c r="P129" s="88">
        <v>25493988.499999996</v>
      </c>
      <c r="Q129" s="87">
        <v>0</v>
      </c>
      <c r="R129" s="87">
        <f t="shared" si="38"/>
        <v>0</v>
      </c>
      <c r="T129" s="87">
        <v>0</v>
      </c>
      <c r="V129" s="87">
        <v>0</v>
      </c>
      <c r="X129" s="87">
        <v>0</v>
      </c>
      <c r="Y129" s="88">
        <v>28160542.500000004</v>
      </c>
      <c r="Z129" s="87">
        <v>0</v>
      </c>
      <c r="AA129" s="87">
        <v>0</v>
      </c>
      <c r="AB129" s="89">
        <f t="shared" si="39"/>
        <v>1600</v>
      </c>
      <c r="AC129" s="89">
        <f t="shared" si="40"/>
        <v>0</v>
      </c>
      <c r="AD129" s="89">
        <f t="shared" si="41"/>
        <v>0</v>
      </c>
      <c r="AE129" s="90">
        <f t="shared" si="54"/>
        <v>1600</v>
      </c>
      <c r="AF129" s="90">
        <f t="shared" si="42"/>
        <v>2014</v>
      </c>
      <c r="AH129" s="90" t="str">
        <f t="shared" si="44"/>
        <v/>
      </c>
      <c r="AI129" s="90">
        <f t="shared" si="45"/>
        <v>0</v>
      </c>
      <c r="AJ129" s="90" t="str">
        <f t="shared" si="46"/>
        <v/>
      </c>
      <c r="AK129" s="90" t="str">
        <f t="shared" si="47"/>
        <v/>
      </c>
      <c r="AL129" s="91"/>
      <c r="AM129" s="91">
        <f t="shared" si="48"/>
        <v>0</v>
      </c>
      <c r="AN129" s="92" t="str">
        <f t="shared" si="49"/>
        <v>No change</v>
      </c>
      <c r="AO129" s="93">
        <f>VLOOKUP(B129,'Growthrates source'!A$2:H$49,8,FALSE)</f>
        <v>6.6569375282258259E-2</v>
      </c>
      <c r="AP129" s="93">
        <f>VLOOKUP(B129,'Growthrates source'!A$2:I$49,9,FALSE)</f>
        <v>5.4673730437993617E-2</v>
      </c>
      <c r="AQ129" s="86">
        <f t="shared" si="50"/>
        <v>0</v>
      </c>
      <c r="AR129" s="86">
        <f t="shared" si="51"/>
        <v>0</v>
      </c>
      <c r="AS129" s="94">
        <f t="shared" si="52"/>
        <v>0.7120837383773192</v>
      </c>
      <c r="AT129" s="94">
        <f t="shared" si="53"/>
        <v>0</v>
      </c>
      <c r="AU129" s="94">
        <f t="shared" si="36"/>
        <v>0</v>
      </c>
      <c r="AV129" s="94">
        <f t="shared" si="37"/>
        <v>0</v>
      </c>
    </row>
    <row r="130" spans="1:48" x14ac:dyDescent="0.3">
      <c r="A130" s="85" t="str">
        <f>_xlfn.XLOOKUP(B130,'Country codes &amp; Data sources'!G:G,'Country codes &amp; Data sources'!H:H,,0)</f>
        <v>Cote d'Ivoire</v>
      </c>
      <c r="B130" s="85" t="s">
        <v>166</v>
      </c>
      <c r="C130" s="86">
        <v>22010730.5</v>
      </c>
      <c r="D130" s="85" t="s">
        <v>142</v>
      </c>
      <c r="E130" s="87">
        <v>0</v>
      </c>
      <c r="F130" s="88">
        <v>22469267.5</v>
      </c>
      <c r="G130" s="87">
        <v>0</v>
      </c>
      <c r="I130" s="87">
        <v>0</v>
      </c>
      <c r="K130" s="87">
        <v>0</v>
      </c>
      <c r="M130" s="87">
        <v>0</v>
      </c>
      <c r="O130" s="87">
        <v>0</v>
      </c>
      <c r="P130" s="88">
        <v>25493988.499999996</v>
      </c>
      <c r="Q130" s="87">
        <v>0</v>
      </c>
      <c r="R130" s="87">
        <f t="shared" si="38"/>
        <v>21440</v>
      </c>
      <c r="T130" s="87">
        <v>0</v>
      </c>
      <c r="V130" s="87">
        <v>3734</v>
      </c>
      <c r="X130" s="87">
        <v>3480</v>
      </c>
      <c r="Y130" s="88">
        <v>28160542.500000004</v>
      </c>
      <c r="Z130" s="87">
        <v>3896</v>
      </c>
      <c r="AA130" s="87">
        <v>21440</v>
      </c>
      <c r="AB130" s="89">
        <f t="shared" si="39"/>
        <v>0</v>
      </c>
      <c r="AC130" s="89">
        <f t="shared" si="40"/>
        <v>0</v>
      </c>
      <c r="AD130" s="89">
        <f t="shared" si="41"/>
        <v>3896</v>
      </c>
      <c r="AF130" s="90" t="str">
        <f t="shared" si="42"/>
        <v/>
      </c>
      <c r="AG130" s="90">
        <f t="shared" si="43"/>
        <v>21440</v>
      </c>
      <c r="AH130" s="90" t="str">
        <f t="shared" si="44"/>
        <v>2018 (triag)</v>
      </c>
      <c r="AI130" s="90">
        <f t="shared" si="45"/>
        <v>3896</v>
      </c>
      <c r="AJ130" s="90">
        <f t="shared" si="46"/>
        <v>2022</v>
      </c>
      <c r="AK130" s="90" t="str">
        <f t="shared" si="47"/>
        <v>Adjust</v>
      </c>
      <c r="AL130" s="91">
        <f>IF(AK130="Adjust",(_xlfn.XLOOKUP(A130,'Adj factor'!A:A,'Adj factor'!I:I,,0)*AI130),'Master DataSheet (Rev)'!AI130)</f>
        <v>5000.434586781188</v>
      </c>
      <c r="AM130" s="91">
        <f t="shared" si="48"/>
        <v>21440</v>
      </c>
      <c r="AN130" s="92" t="str">
        <f t="shared" si="49"/>
        <v>Decreasing</v>
      </c>
      <c r="AO130" s="93">
        <f>VLOOKUP(B130,'Growthrates source'!A$2:H$49,8,FALSE)</f>
        <v>6.6569375282258259E-2</v>
      </c>
      <c r="AP130" s="93">
        <f>VLOOKUP(B130,'Growthrates source'!A$2:I$49,9,FALSE)</f>
        <v>5.4673730437993617E-2</v>
      </c>
      <c r="AQ130" s="86">
        <f t="shared" si="50"/>
        <v>15369.906277726928</v>
      </c>
      <c r="AR130" s="86">
        <f t="shared" si="51"/>
        <v>25261.450233239408</v>
      </c>
      <c r="AS130" s="94">
        <f t="shared" si="52"/>
        <v>0</v>
      </c>
      <c r="AT130" s="94">
        <f t="shared" si="53"/>
        <v>8.4098257124419753</v>
      </c>
      <c r="AU130" s="94">
        <f t="shared" si="36"/>
        <v>1.7756883010265827</v>
      </c>
      <c r="AV130" s="94">
        <f t="shared" si="37"/>
        <v>7.6134896904063538</v>
      </c>
    </row>
    <row r="131" spans="1:48" x14ac:dyDescent="0.3">
      <c r="A131" s="85" t="str">
        <f>_xlfn.XLOOKUP(B131,'Country codes &amp; Data sources'!G:G,'Country codes &amp; Data sources'!H:H,,0)</f>
        <v>Cote d'Ivoire</v>
      </c>
      <c r="B131" s="85" t="s">
        <v>166</v>
      </c>
      <c r="C131" s="86">
        <v>22010731.5</v>
      </c>
      <c r="D131" s="85" t="s">
        <v>83</v>
      </c>
      <c r="E131" s="87">
        <v>0</v>
      </c>
      <c r="F131" s="88">
        <v>22469267.5</v>
      </c>
      <c r="G131" s="87">
        <v>0</v>
      </c>
      <c r="I131" s="87">
        <v>60</v>
      </c>
      <c r="K131" s="87">
        <v>0</v>
      </c>
      <c r="M131" s="87">
        <v>0</v>
      </c>
      <c r="O131" s="87">
        <v>0</v>
      </c>
      <c r="P131" s="88">
        <v>25493988.499999996</v>
      </c>
      <c r="Q131" s="87">
        <v>0</v>
      </c>
      <c r="R131" s="87">
        <f t="shared" si="38"/>
        <v>151</v>
      </c>
      <c r="T131" s="87">
        <v>0</v>
      </c>
      <c r="V131" s="87">
        <v>0</v>
      </c>
      <c r="X131" s="87">
        <v>97</v>
      </c>
      <c r="Y131" s="88">
        <v>28160542.500000004</v>
      </c>
      <c r="Z131" s="87">
        <v>95</v>
      </c>
      <c r="AA131" s="87">
        <v>151</v>
      </c>
      <c r="AB131" s="89">
        <f t="shared" si="39"/>
        <v>60</v>
      </c>
      <c r="AC131" s="89">
        <f t="shared" si="40"/>
        <v>0</v>
      </c>
      <c r="AD131" s="89">
        <f t="shared" si="41"/>
        <v>97</v>
      </c>
      <c r="AE131" s="90">
        <f t="shared" si="54"/>
        <v>60</v>
      </c>
      <c r="AF131" s="90">
        <f t="shared" si="42"/>
        <v>2014</v>
      </c>
      <c r="AG131" s="90">
        <f t="shared" si="43"/>
        <v>151</v>
      </c>
      <c r="AH131" s="90" t="str">
        <f t="shared" si="44"/>
        <v>2018 (triag)</v>
      </c>
      <c r="AI131" s="90">
        <f t="shared" si="45"/>
        <v>95</v>
      </c>
      <c r="AJ131" s="90">
        <f t="shared" si="46"/>
        <v>2022</v>
      </c>
      <c r="AK131" s="90" t="str">
        <f t="shared" si="47"/>
        <v>Adjust</v>
      </c>
      <c r="AL131" s="91">
        <f>IF(AK131="Adjust",(_xlfn.XLOOKUP(A131,'Adj factor'!A:A,'Adj factor'!I:I,,0)*AI131),'Master DataSheet (Rev)'!AI131)</f>
        <v>121.93051482140987</v>
      </c>
      <c r="AM131" s="91">
        <f t="shared" si="48"/>
        <v>151</v>
      </c>
      <c r="AN131" s="92" t="str">
        <f t="shared" si="49"/>
        <v>Decreasing</v>
      </c>
      <c r="AO131" s="93">
        <f>VLOOKUP(B131,'Growthrates source'!A$2:H$49,8,FALSE)</f>
        <v>6.6569375282258259E-2</v>
      </c>
      <c r="AP131" s="93">
        <f>VLOOKUP(B131,'Growthrates source'!A$2:I$49,9,FALSE)</f>
        <v>5.4673730437993617E-2</v>
      </c>
      <c r="AQ131" s="86">
        <f t="shared" si="50"/>
        <v>108.24887350451334</v>
      </c>
      <c r="AR131" s="86">
        <f t="shared" si="51"/>
        <v>177.91413177328127</v>
      </c>
      <c r="AS131" s="94">
        <f t="shared" si="52"/>
        <v>2.6703140189149467E-2</v>
      </c>
      <c r="AT131" s="94">
        <f t="shared" si="53"/>
        <v>5.922964937400832E-2</v>
      </c>
      <c r="AU131" s="94">
        <f t="shared" ref="AU131:AU194" si="55">(AL131*10000)/Y131</f>
        <v>4.3298354362814519E-2</v>
      </c>
      <c r="AV131" s="94">
        <f t="shared" ref="AV131:AV194" si="56">(AM131*10000)/Y131</f>
        <v>5.3621126084485049E-2</v>
      </c>
    </row>
    <row r="132" spans="1:48" x14ac:dyDescent="0.3">
      <c r="A132" s="85" t="str">
        <f>_xlfn.XLOOKUP(B132,'Country codes &amp; Data sources'!G:G,'Country codes &amp; Data sources'!H:H,,0)</f>
        <v>Cote d'Ivoire</v>
      </c>
      <c r="B132" s="85" t="s">
        <v>166</v>
      </c>
      <c r="C132" s="86">
        <v>22010732.5</v>
      </c>
      <c r="D132" s="85" t="s">
        <v>84</v>
      </c>
      <c r="E132" s="87">
        <v>0</v>
      </c>
      <c r="F132" s="88">
        <v>22469267.5</v>
      </c>
      <c r="G132" s="87">
        <v>0</v>
      </c>
      <c r="I132" s="87">
        <v>0</v>
      </c>
      <c r="K132" s="87">
        <v>0</v>
      </c>
      <c r="M132" s="87">
        <v>0</v>
      </c>
      <c r="O132" s="87">
        <v>0</v>
      </c>
      <c r="P132" s="88">
        <v>25493988.499999996</v>
      </c>
      <c r="Q132" s="87">
        <v>0</v>
      </c>
      <c r="R132" s="87">
        <f t="shared" si="38"/>
        <v>0</v>
      </c>
      <c r="T132" s="87">
        <v>0</v>
      </c>
      <c r="V132" s="87">
        <v>0</v>
      </c>
      <c r="X132" s="87">
        <v>0</v>
      </c>
      <c r="Y132" s="88">
        <v>28160542.500000004</v>
      </c>
      <c r="Z132" s="87">
        <v>0</v>
      </c>
      <c r="AA132" s="87">
        <v>0</v>
      </c>
      <c r="AB132" s="89">
        <f t="shared" si="39"/>
        <v>0</v>
      </c>
      <c r="AC132" s="89">
        <f t="shared" si="40"/>
        <v>0</v>
      </c>
      <c r="AD132" s="89">
        <f t="shared" si="41"/>
        <v>0</v>
      </c>
      <c r="AF132" s="90" t="str">
        <f t="shared" si="42"/>
        <v/>
      </c>
      <c r="AH132" s="90" t="str">
        <f t="shared" si="44"/>
        <v/>
      </c>
      <c r="AI132" s="90">
        <f t="shared" si="45"/>
        <v>0</v>
      </c>
      <c r="AJ132" s="90" t="str">
        <f t="shared" si="46"/>
        <v/>
      </c>
      <c r="AK132" s="90" t="str">
        <f t="shared" si="47"/>
        <v/>
      </c>
      <c r="AL132" s="91"/>
      <c r="AM132" s="91">
        <f t="shared" si="48"/>
        <v>0</v>
      </c>
      <c r="AN132" s="92" t="str">
        <f t="shared" si="49"/>
        <v>No change</v>
      </c>
      <c r="AO132" s="93">
        <f>VLOOKUP(B132,'Growthrates source'!A$2:H$49,8,FALSE)</f>
        <v>6.6569375282258259E-2</v>
      </c>
      <c r="AP132" s="93">
        <f>VLOOKUP(B132,'Growthrates source'!A$2:I$49,9,FALSE)</f>
        <v>5.4673730437993617E-2</v>
      </c>
      <c r="AQ132" s="86">
        <f t="shared" si="50"/>
        <v>0</v>
      </c>
      <c r="AR132" s="86">
        <f t="shared" si="51"/>
        <v>0</v>
      </c>
      <c r="AS132" s="94">
        <f t="shared" si="52"/>
        <v>0</v>
      </c>
      <c r="AT132" s="94">
        <f t="shared" si="53"/>
        <v>0</v>
      </c>
      <c r="AU132" s="94">
        <f t="shared" si="55"/>
        <v>0</v>
      </c>
      <c r="AV132" s="94">
        <f t="shared" si="56"/>
        <v>0</v>
      </c>
    </row>
    <row r="133" spans="1:48" x14ac:dyDescent="0.3">
      <c r="A133" s="85" t="str">
        <f>_xlfn.XLOOKUP(B133,'Country codes &amp; Data sources'!G:G,'Country codes &amp; Data sources'!H:H,,0)</f>
        <v>Cote d'Ivoire</v>
      </c>
      <c r="B133" s="85" t="s">
        <v>166</v>
      </c>
      <c r="C133" s="86">
        <v>22010733.5</v>
      </c>
      <c r="D133" s="85" t="s">
        <v>126</v>
      </c>
      <c r="E133" s="87">
        <v>0</v>
      </c>
      <c r="F133" s="88">
        <v>22469267.5</v>
      </c>
      <c r="G133" s="87">
        <v>0</v>
      </c>
      <c r="I133" s="87">
        <v>0</v>
      </c>
      <c r="K133" s="87">
        <v>0</v>
      </c>
      <c r="M133" s="87">
        <v>0</v>
      </c>
      <c r="O133" s="87">
        <v>0</v>
      </c>
      <c r="P133" s="88">
        <v>25493988.499999996</v>
      </c>
      <c r="Q133" s="87">
        <v>0</v>
      </c>
      <c r="R133" s="87">
        <f t="shared" si="38"/>
        <v>0</v>
      </c>
      <c r="T133" s="87">
        <v>0</v>
      </c>
      <c r="V133" s="87">
        <v>0</v>
      </c>
      <c r="X133" s="87">
        <v>0</v>
      </c>
      <c r="Y133" s="88">
        <v>28160542.500000004</v>
      </c>
      <c r="Z133" s="87">
        <v>0</v>
      </c>
      <c r="AA133" s="87">
        <v>0</v>
      </c>
      <c r="AB133" s="89">
        <f t="shared" si="39"/>
        <v>0</v>
      </c>
      <c r="AC133" s="89">
        <f t="shared" si="40"/>
        <v>0</v>
      </c>
      <c r="AD133" s="89">
        <f t="shared" si="41"/>
        <v>0</v>
      </c>
      <c r="AF133" s="90" t="str">
        <f t="shared" si="42"/>
        <v/>
      </c>
      <c r="AH133" s="90" t="str">
        <f t="shared" si="44"/>
        <v/>
      </c>
      <c r="AI133" s="90">
        <f t="shared" si="45"/>
        <v>0</v>
      </c>
      <c r="AJ133" s="90" t="str">
        <f t="shared" si="46"/>
        <v/>
      </c>
      <c r="AK133" s="90" t="str">
        <f t="shared" si="47"/>
        <v/>
      </c>
      <c r="AL133" s="91"/>
      <c r="AM133" s="91">
        <f t="shared" si="48"/>
        <v>0</v>
      </c>
      <c r="AN133" s="92" t="str">
        <f t="shared" si="49"/>
        <v>No change</v>
      </c>
      <c r="AO133" s="93">
        <f>VLOOKUP(B133,'Growthrates source'!A$2:H$49,8,FALSE)</f>
        <v>6.6569375282258259E-2</v>
      </c>
      <c r="AP133" s="93">
        <f>VLOOKUP(B133,'Growthrates source'!A$2:I$49,9,FALSE)</f>
        <v>5.4673730437993617E-2</v>
      </c>
      <c r="AQ133" s="86">
        <f t="shared" si="50"/>
        <v>0</v>
      </c>
      <c r="AR133" s="86">
        <f t="shared" si="51"/>
        <v>0</v>
      </c>
      <c r="AS133" s="94">
        <f t="shared" si="52"/>
        <v>0</v>
      </c>
      <c r="AT133" s="94">
        <f t="shared" si="53"/>
        <v>0</v>
      </c>
      <c r="AU133" s="94">
        <f t="shared" si="55"/>
        <v>0</v>
      </c>
      <c r="AV133" s="94">
        <f t="shared" si="56"/>
        <v>0</v>
      </c>
    </row>
    <row r="134" spans="1:48" x14ac:dyDescent="0.3">
      <c r="A134" s="85" t="str">
        <f>_xlfn.XLOOKUP(B134,'Country codes &amp; Data sources'!G:G,'Country codes &amp; Data sources'!H:H,,0)</f>
        <v>Cote d'Ivoire</v>
      </c>
      <c r="B134" s="85" t="s">
        <v>166</v>
      </c>
      <c r="C134" s="86">
        <v>22010734.5</v>
      </c>
      <c r="D134" s="85" t="s">
        <v>87</v>
      </c>
      <c r="E134" s="87">
        <v>0</v>
      </c>
      <c r="F134" s="88">
        <v>22469267.5</v>
      </c>
      <c r="G134" s="87">
        <v>0</v>
      </c>
      <c r="I134" s="87">
        <v>0</v>
      </c>
      <c r="K134" s="87">
        <v>0</v>
      </c>
      <c r="M134" s="87">
        <v>0</v>
      </c>
      <c r="O134" s="87">
        <v>0</v>
      </c>
      <c r="P134" s="88">
        <v>25493988.499999996</v>
      </c>
      <c r="Q134" s="87">
        <v>0</v>
      </c>
      <c r="R134" s="87">
        <f t="shared" si="38"/>
        <v>4437</v>
      </c>
      <c r="T134" s="87">
        <v>0</v>
      </c>
      <c r="V134" s="87">
        <v>0</v>
      </c>
      <c r="X134" s="87">
        <v>0</v>
      </c>
      <c r="Y134" s="88">
        <v>28160542.500000004</v>
      </c>
      <c r="Z134" s="87">
        <v>0</v>
      </c>
      <c r="AA134" s="87">
        <v>4437</v>
      </c>
      <c r="AB134" s="89">
        <f t="shared" si="39"/>
        <v>0</v>
      </c>
      <c r="AC134" s="89">
        <f t="shared" si="40"/>
        <v>0</v>
      </c>
      <c r="AD134" s="89">
        <f t="shared" si="41"/>
        <v>0</v>
      </c>
      <c r="AF134" s="90" t="str">
        <f t="shared" si="42"/>
        <v/>
      </c>
      <c r="AG134" s="90">
        <f t="shared" si="43"/>
        <v>4437</v>
      </c>
      <c r="AH134" s="90" t="str">
        <f t="shared" si="44"/>
        <v>2018 (triag)</v>
      </c>
      <c r="AI134" s="90">
        <f t="shared" si="45"/>
        <v>4437</v>
      </c>
      <c r="AJ134" s="90" t="str">
        <f t="shared" si="46"/>
        <v>2018 (triag)</v>
      </c>
      <c r="AK134" s="90" t="str">
        <f t="shared" si="47"/>
        <v/>
      </c>
      <c r="AL134" s="91">
        <f>IF(AK134="Adjust",(_xlfn.XLOOKUP(A134,'Adj factor'!A:A,'Adj factor'!I:I,,0)*AI134),'Master DataSheet (Rev)'!AI134)</f>
        <v>4437</v>
      </c>
      <c r="AM134" s="91">
        <f t="shared" si="48"/>
        <v>4437</v>
      </c>
      <c r="AN134" s="92" t="str">
        <f t="shared" si="49"/>
        <v>No change</v>
      </c>
      <c r="AO134" s="93">
        <f>VLOOKUP(B134,'Growthrates source'!A$2:H$49,8,FALSE)</f>
        <v>6.6569375282258259E-2</v>
      </c>
      <c r="AP134" s="93">
        <f>VLOOKUP(B134,'Growthrates source'!A$2:I$49,9,FALSE)</f>
        <v>5.4673730437993617E-2</v>
      </c>
      <c r="AQ134" s="86">
        <f t="shared" si="50"/>
        <v>3180.7963691359319</v>
      </c>
      <c r="AR134" s="86">
        <f t="shared" si="51"/>
        <v>5227.8476998546294</v>
      </c>
      <c r="AS134" s="94">
        <f t="shared" si="52"/>
        <v>0</v>
      </c>
      <c r="AT134" s="94">
        <f t="shared" si="53"/>
        <v>1.7404102931951979</v>
      </c>
      <c r="AU134" s="94">
        <f t="shared" si="55"/>
        <v>1.5756088505752328</v>
      </c>
      <c r="AV134" s="94">
        <f t="shared" si="56"/>
        <v>1.5756088505752328</v>
      </c>
    </row>
    <row r="135" spans="1:48" x14ac:dyDescent="0.3">
      <c r="A135" s="85" t="str">
        <f>_xlfn.XLOOKUP(B135,'Country codes &amp; Data sources'!G:G,'Country codes &amp; Data sources'!H:H,,0)</f>
        <v>Cameroon</v>
      </c>
      <c r="B135" s="85" t="s">
        <v>168</v>
      </c>
      <c r="C135" s="86">
        <v>21032689</v>
      </c>
      <c r="D135" s="85" t="s">
        <v>127</v>
      </c>
      <c r="E135" s="87">
        <v>0</v>
      </c>
      <c r="F135" s="88">
        <v>21632850.000000004</v>
      </c>
      <c r="G135" s="87">
        <v>0</v>
      </c>
      <c r="I135" s="87">
        <v>0</v>
      </c>
      <c r="K135" s="87">
        <v>0</v>
      </c>
      <c r="M135" s="87">
        <v>0</v>
      </c>
      <c r="O135" s="87">
        <v>0</v>
      </c>
      <c r="P135" s="88">
        <v>25076746.500000015</v>
      </c>
      <c r="Q135" s="87">
        <v>0</v>
      </c>
      <c r="R135" s="87">
        <f t="shared" si="38"/>
        <v>0</v>
      </c>
      <c r="T135" s="87">
        <v>0</v>
      </c>
      <c r="V135" s="87">
        <v>154</v>
      </c>
      <c r="X135" s="87">
        <v>0</v>
      </c>
      <c r="Y135" s="88">
        <v>27914536.499999989</v>
      </c>
      <c r="Z135" s="87">
        <v>310</v>
      </c>
      <c r="AA135" s="87">
        <v>0</v>
      </c>
      <c r="AB135" s="89">
        <f t="shared" si="39"/>
        <v>0</v>
      </c>
      <c r="AC135" s="89">
        <f t="shared" si="40"/>
        <v>0</v>
      </c>
      <c r="AD135" s="89">
        <f t="shared" si="41"/>
        <v>310</v>
      </c>
      <c r="AF135" s="90" t="str">
        <f t="shared" si="42"/>
        <v/>
      </c>
      <c r="AH135" s="90" t="str">
        <f t="shared" si="44"/>
        <v/>
      </c>
      <c r="AI135" s="90">
        <f t="shared" si="45"/>
        <v>310</v>
      </c>
      <c r="AJ135" s="90">
        <f t="shared" si="46"/>
        <v>2022</v>
      </c>
      <c r="AK135" s="90" t="str">
        <f t="shared" si="47"/>
        <v/>
      </c>
      <c r="AL135" s="91">
        <f>IF(AK135="Adjust",(_xlfn.XLOOKUP(A135,'Adj factor'!A:A,'Adj factor'!I:I,,0)*AI135),'Master DataSheet (Rev)'!AI135)</f>
        <v>310</v>
      </c>
      <c r="AM135" s="91">
        <f t="shared" si="48"/>
        <v>310</v>
      </c>
      <c r="AN135" s="92" t="str">
        <f t="shared" si="49"/>
        <v>Increasing</v>
      </c>
      <c r="AO135" s="93">
        <f>VLOOKUP(B135,'Growthrates source'!A$2:H$49,8,FALSE)</f>
        <v>-1.4958984742070136E-2</v>
      </c>
      <c r="AP135" s="93">
        <f>VLOOKUP(B135,'Growthrates source'!A$2:I$49,9,FALSE)</f>
        <v>0.1904674530041961</v>
      </c>
      <c r="AQ135" s="86">
        <f t="shared" si="50"/>
        <v>0</v>
      </c>
      <c r="AR135" s="86">
        <f t="shared" si="51"/>
        <v>0</v>
      </c>
      <c r="AS135" s="94">
        <f t="shared" si="52"/>
        <v>0</v>
      </c>
      <c r="AT135" s="94">
        <f t="shared" si="53"/>
        <v>0</v>
      </c>
      <c r="AU135" s="94">
        <f t="shared" si="55"/>
        <v>0.11105324997962983</v>
      </c>
      <c r="AV135" s="94">
        <f t="shared" si="56"/>
        <v>0.11105324997962983</v>
      </c>
    </row>
    <row r="136" spans="1:48" x14ac:dyDescent="0.3">
      <c r="A136" s="85" t="str">
        <f>_xlfn.XLOOKUP(B136,'Country codes &amp; Data sources'!G:G,'Country codes &amp; Data sources'!H:H,,0)</f>
        <v>Cameroon</v>
      </c>
      <c r="B136" s="85" t="s">
        <v>168</v>
      </c>
      <c r="C136" s="86">
        <v>21032690</v>
      </c>
      <c r="D136" s="85" t="s">
        <v>61</v>
      </c>
      <c r="E136" s="87">
        <v>0</v>
      </c>
      <c r="F136" s="88">
        <v>21632850.000000004</v>
      </c>
      <c r="G136" s="87">
        <v>0</v>
      </c>
      <c r="I136" s="87">
        <v>0</v>
      </c>
      <c r="K136" s="87">
        <v>0</v>
      </c>
      <c r="M136" s="87">
        <v>0</v>
      </c>
      <c r="O136" s="87">
        <v>0</v>
      </c>
      <c r="P136" s="88">
        <v>25076746.500000015</v>
      </c>
      <c r="Q136" s="87">
        <v>0</v>
      </c>
      <c r="R136" s="87">
        <f t="shared" si="38"/>
        <v>38</v>
      </c>
      <c r="T136" s="87">
        <v>0</v>
      </c>
      <c r="V136" s="87">
        <v>0</v>
      </c>
      <c r="X136" s="87">
        <v>0</v>
      </c>
      <c r="Y136" s="88">
        <v>27914536.499999989</v>
      </c>
      <c r="Z136" s="87">
        <v>0</v>
      </c>
      <c r="AA136" s="87">
        <v>38</v>
      </c>
      <c r="AB136" s="89">
        <f t="shared" si="39"/>
        <v>0</v>
      </c>
      <c r="AC136" s="89">
        <f t="shared" si="40"/>
        <v>0</v>
      </c>
      <c r="AD136" s="89">
        <f t="shared" si="41"/>
        <v>0</v>
      </c>
      <c r="AF136" s="90" t="str">
        <f t="shared" si="42"/>
        <v/>
      </c>
      <c r="AG136" s="90">
        <f t="shared" si="43"/>
        <v>38</v>
      </c>
      <c r="AH136" s="90" t="str">
        <f t="shared" si="44"/>
        <v>2018 (triag)</v>
      </c>
      <c r="AI136" s="90">
        <f t="shared" si="45"/>
        <v>38</v>
      </c>
      <c r="AJ136" s="90" t="str">
        <f t="shared" si="46"/>
        <v>2018 (triag)</v>
      </c>
      <c r="AK136" s="90" t="str">
        <f t="shared" si="47"/>
        <v/>
      </c>
      <c r="AL136" s="91">
        <f>IF(AK136="Adjust",(_xlfn.XLOOKUP(A136,'Adj factor'!A:A,'Adj factor'!I:I,,0)*AI136),'Master DataSheet (Rev)'!AI136)</f>
        <v>38</v>
      </c>
      <c r="AM136" s="91">
        <f t="shared" si="48"/>
        <v>38</v>
      </c>
      <c r="AN136" s="92" t="str">
        <f t="shared" si="49"/>
        <v>No change</v>
      </c>
      <c r="AO136" s="93">
        <f>VLOOKUP(B136,'Growthrates source'!A$2:H$49,8,FALSE)</f>
        <v>-1.4958984742070136E-2</v>
      </c>
      <c r="AP136" s="93">
        <f>VLOOKUP(B136,'Growthrates source'!A$2:I$49,9,FALSE)</f>
        <v>0.1904674530041961</v>
      </c>
      <c r="AQ136" s="86">
        <f t="shared" si="50"/>
        <v>40.951198752532633</v>
      </c>
      <c r="AR136" s="86">
        <f t="shared" si="51"/>
        <v>67.2884443767242</v>
      </c>
      <c r="AS136" s="94">
        <f t="shared" si="52"/>
        <v>0</v>
      </c>
      <c r="AT136" s="94">
        <f t="shared" si="53"/>
        <v>1.515348093501682E-2</v>
      </c>
      <c r="AU136" s="94">
        <f t="shared" si="55"/>
        <v>1.3612979029761076E-2</v>
      </c>
      <c r="AV136" s="94">
        <f t="shared" si="56"/>
        <v>1.3612979029761076E-2</v>
      </c>
    </row>
    <row r="137" spans="1:48" x14ac:dyDescent="0.3">
      <c r="A137" s="85" t="str">
        <f>_xlfn.XLOOKUP(B137,'Country codes &amp; Data sources'!G:G,'Country codes &amp; Data sources'!H:H,,0)</f>
        <v>Cameroon</v>
      </c>
      <c r="B137" s="85" t="s">
        <v>168</v>
      </c>
      <c r="C137" s="86">
        <v>21032691</v>
      </c>
      <c r="D137" s="85" t="s">
        <v>62</v>
      </c>
      <c r="E137" s="87">
        <v>0</v>
      </c>
      <c r="F137" s="88">
        <v>21632850.000000004</v>
      </c>
      <c r="G137" s="87">
        <v>0</v>
      </c>
      <c r="I137" s="87">
        <v>0</v>
      </c>
      <c r="K137" s="87">
        <v>0</v>
      </c>
      <c r="M137" s="87">
        <v>0</v>
      </c>
      <c r="O137" s="87">
        <v>0</v>
      </c>
      <c r="P137" s="88">
        <v>25076746.500000015</v>
      </c>
      <c r="Q137" s="87">
        <v>0</v>
      </c>
      <c r="R137" s="87">
        <f t="shared" si="38"/>
        <v>238</v>
      </c>
      <c r="T137" s="87">
        <v>0</v>
      </c>
      <c r="V137" s="87">
        <v>5</v>
      </c>
      <c r="X137" s="87">
        <v>0</v>
      </c>
      <c r="Y137" s="88">
        <v>27914536.499999989</v>
      </c>
      <c r="Z137" s="87">
        <v>0</v>
      </c>
      <c r="AA137" s="87">
        <v>238</v>
      </c>
      <c r="AB137" s="89">
        <f t="shared" si="39"/>
        <v>0</v>
      </c>
      <c r="AC137" s="89">
        <f t="shared" si="40"/>
        <v>0</v>
      </c>
      <c r="AD137" s="89">
        <f t="shared" si="41"/>
        <v>5</v>
      </c>
      <c r="AF137" s="90" t="str">
        <f t="shared" si="42"/>
        <v/>
      </c>
      <c r="AG137" s="90">
        <f t="shared" si="43"/>
        <v>238</v>
      </c>
      <c r="AH137" s="90" t="str">
        <f t="shared" si="44"/>
        <v>2018 (triag)</v>
      </c>
      <c r="AI137" s="90">
        <f t="shared" si="45"/>
        <v>5</v>
      </c>
      <c r="AJ137" s="90">
        <f t="shared" si="46"/>
        <v>2020</v>
      </c>
      <c r="AK137" s="90" t="str">
        <f t="shared" si="47"/>
        <v>Adjust</v>
      </c>
      <c r="AL137" s="91">
        <f>IF(AK137="Adjust",(_xlfn.XLOOKUP(A137,'Adj factor'!A:A,'Adj factor'!I:I,,0)*AI137),'Master DataSheet (Rev)'!AI137)</f>
        <v>7.4076572236140548</v>
      </c>
      <c r="AM137" s="91">
        <f t="shared" si="48"/>
        <v>238</v>
      </c>
      <c r="AN137" s="92" t="str">
        <f t="shared" si="49"/>
        <v>Decreasing</v>
      </c>
      <c r="AO137" s="93">
        <f>VLOOKUP(B137,'Growthrates source'!A$2:H$49,8,FALSE)</f>
        <v>-1.4958984742070136E-2</v>
      </c>
      <c r="AP137" s="93">
        <f>VLOOKUP(B137,'Growthrates source'!A$2:I$49,9,FALSE)</f>
        <v>0.1904674530041961</v>
      </c>
      <c r="AQ137" s="86">
        <f t="shared" si="50"/>
        <v>256.48382376586227</v>
      </c>
      <c r="AR137" s="86">
        <f t="shared" si="51"/>
        <v>421.43815162264099</v>
      </c>
      <c r="AS137" s="94">
        <f t="shared" si="52"/>
        <v>0</v>
      </c>
      <c r="AT137" s="94">
        <f t="shared" si="53"/>
        <v>9.4908643750894819E-2</v>
      </c>
      <c r="AU137" s="94">
        <f t="shared" si="55"/>
        <v>2.6536916432820076E-3</v>
      </c>
      <c r="AV137" s="94">
        <f t="shared" si="56"/>
        <v>8.5260237081135157E-2</v>
      </c>
    </row>
    <row r="138" spans="1:48" x14ac:dyDescent="0.3">
      <c r="A138" s="85" t="str">
        <f>_xlfn.XLOOKUP(B138,'Country codes &amp; Data sources'!G:G,'Country codes &amp; Data sources'!H:H,,0)</f>
        <v>Cameroon</v>
      </c>
      <c r="B138" s="85" t="s">
        <v>168</v>
      </c>
      <c r="C138" s="86">
        <v>21032692</v>
      </c>
      <c r="D138" s="85" t="s">
        <v>203</v>
      </c>
      <c r="E138" s="87">
        <v>0</v>
      </c>
      <c r="F138" s="88">
        <v>21632850.000000004</v>
      </c>
      <c r="G138" s="87">
        <v>0</v>
      </c>
      <c r="I138" s="87">
        <v>0</v>
      </c>
      <c r="K138" s="87">
        <v>0</v>
      </c>
      <c r="M138" s="87">
        <v>0</v>
      </c>
      <c r="O138" s="87">
        <v>0</v>
      </c>
      <c r="P138" s="88">
        <v>25076746.500000015</v>
      </c>
      <c r="Q138" s="87">
        <v>0</v>
      </c>
      <c r="R138" s="87">
        <f t="shared" si="38"/>
        <v>10717</v>
      </c>
      <c r="T138" s="87">
        <v>0</v>
      </c>
      <c r="V138" s="87">
        <v>5390</v>
      </c>
      <c r="X138" s="87">
        <v>0</v>
      </c>
      <c r="Y138" s="88">
        <v>27914536.499999989</v>
      </c>
      <c r="Z138" s="87">
        <v>146</v>
      </c>
      <c r="AA138" s="87">
        <v>10717</v>
      </c>
      <c r="AB138" s="89">
        <f t="shared" si="39"/>
        <v>0</v>
      </c>
      <c r="AC138" s="89">
        <f t="shared" si="40"/>
        <v>0</v>
      </c>
      <c r="AD138" s="89">
        <f t="shared" si="41"/>
        <v>5390</v>
      </c>
      <c r="AF138" s="90" t="str">
        <f t="shared" si="42"/>
        <v/>
      </c>
      <c r="AG138" s="90">
        <f t="shared" si="43"/>
        <v>10717</v>
      </c>
      <c r="AH138" s="90" t="str">
        <f t="shared" si="44"/>
        <v>2018 (triag)</v>
      </c>
      <c r="AI138" s="90">
        <f t="shared" si="45"/>
        <v>146</v>
      </c>
      <c r="AJ138" s="90">
        <f t="shared" si="46"/>
        <v>2022</v>
      </c>
      <c r="AK138" s="90" t="str">
        <f t="shared" si="47"/>
        <v>Adjust</v>
      </c>
      <c r="AL138" s="91">
        <f>IF(AK138="Adjust",(_xlfn.XLOOKUP(A138,'Adj factor'!A:A,'Adj factor'!I:I,,0)*AI138),'Master DataSheet (Rev)'!AI138)</f>
        <v>216.3035909295304</v>
      </c>
      <c r="AM138" s="91">
        <f t="shared" si="48"/>
        <v>10717</v>
      </c>
      <c r="AN138" s="92" t="str">
        <f t="shared" si="49"/>
        <v>Decreasing</v>
      </c>
      <c r="AO138" s="93">
        <f>VLOOKUP(B138,'Growthrates source'!A$2:H$49,8,FALSE)</f>
        <v>-1.4958984742070136E-2</v>
      </c>
      <c r="AP138" s="93">
        <f>VLOOKUP(B138,'Growthrates source'!A$2:I$49,9,FALSE)</f>
        <v>0.1904674530041961</v>
      </c>
      <c r="AQ138" s="86">
        <f t="shared" si="50"/>
        <v>11549.31571133927</v>
      </c>
      <c r="AR138" s="86">
        <f t="shared" si="51"/>
        <v>18977.112062772452</v>
      </c>
      <c r="AS138" s="94">
        <f t="shared" si="52"/>
        <v>0</v>
      </c>
      <c r="AT138" s="94">
        <f t="shared" si="53"/>
        <v>4.2736803994888231</v>
      </c>
      <c r="AU138" s="94">
        <f t="shared" si="55"/>
        <v>7.7487795983834623E-2</v>
      </c>
      <c r="AV138" s="94">
        <f t="shared" si="56"/>
        <v>3.8392183226828802</v>
      </c>
    </row>
    <row r="139" spans="1:48" x14ac:dyDescent="0.3">
      <c r="A139" s="85" t="str">
        <f>_xlfn.XLOOKUP(B139,'Country codes &amp; Data sources'!G:G,'Country codes &amp; Data sources'!H:H,,0)</f>
        <v>Cameroon</v>
      </c>
      <c r="B139" s="85" t="s">
        <v>168</v>
      </c>
      <c r="C139" s="86">
        <v>21032693</v>
      </c>
      <c r="D139" s="85" t="s">
        <v>204</v>
      </c>
      <c r="E139" s="87">
        <v>0</v>
      </c>
      <c r="F139" s="88">
        <v>21632850.000000004</v>
      </c>
      <c r="G139" s="87">
        <v>0</v>
      </c>
      <c r="I139" s="87">
        <v>0</v>
      </c>
      <c r="K139" s="87">
        <v>0</v>
      </c>
      <c r="M139" s="87">
        <v>0</v>
      </c>
      <c r="O139" s="87">
        <v>0</v>
      </c>
      <c r="P139" s="88">
        <v>25076746.500000015</v>
      </c>
      <c r="Q139" s="87">
        <v>0</v>
      </c>
      <c r="R139" s="87">
        <f t="shared" si="38"/>
        <v>250</v>
      </c>
      <c r="T139" s="87">
        <v>0</v>
      </c>
      <c r="V139" s="87">
        <v>21</v>
      </c>
      <c r="X139" s="87">
        <v>4216</v>
      </c>
      <c r="Y139" s="88">
        <v>27914536.499999989</v>
      </c>
      <c r="Z139" s="87">
        <v>1195</v>
      </c>
      <c r="AA139" s="87">
        <v>250</v>
      </c>
      <c r="AB139" s="89">
        <f t="shared" si="39"/>
        <v>0</v>
      </c>
      <c r="AC139" s="89">
        <f t="shared" si="40"/>
        <v>0</v>
      </c>
      <c r="AD139" s="89">
        <f t="shared" si="41"/>
        <v>4216</v>
      </c>
      <c r="AF139" s="90" t="str">
        <f t="shared" si="42"/>
        <v/>
      </c>
      <c r="AG139" s="90">
        <f t="shared" si="43"/>
        <v>250</v>
      </c>
      <c r="AH139" s="90" t="str">
        <f t="shared" si="44"/>
        <v>2018 (triag)</v>
      </c>
      <c r="AI139" s="90">
        <f t="shared" si="45"/>
        <v>1195</v>
      </c>
      <c r="AJ139" s="90">
        <f t="shared" si="46"/>
        <v>2022</v>
      </c>
      <c r="AK139" s="90" t="str">
        <f t="shared" si="47"/>
        <v/>
      </c>
      <c r="AL139" s="91">
        <f>IF(AK139="Adjust",(_xlfn.XLOOKUP(A139,'Adj factor'!A:A,'Adj factor'!I:I,,0)*AI139),'Master DataSheet (Rev)'!AI139)</f>
        <v>1195</v>
      </c>
      <c r="AM139" s="91">
        <f t="shared" si="48"/>
        <v>1195</v>
      </c>
      <c r="AN139" s="92" t="str">
        <f t="shared" si="49"/>
        <v>Increasing</v>
      </c>
      <c r="AO139" s="93">
        <f>VLOOKUP(B139,'Growthrates source'!A$2:H$49,8,FALSE)</f>
        <v>-1.4958984742070136E-2</v>
      </c>
      <c r="AP139" s="93">
        <f>VLOOKUP(B139,'Growthrates source'!A$2:I$49,9,FALSE)</f>
        <v>0.1904674530041961</v>
      </c>
      <c r="AQ139" s="86">
        <f t="shared" si="50"/>
        <v>269.41578126666207</v>
      </c>
      <c r="AR139" s="86">
        <f t="shared" si="51"/>
        <v>442.68713405739601</v>
      </c>
      <c r="AS139" s="94">
        <f t="shared" si="52"/>
        <v>0</v>
      </c>
      <c r="AT139" s="94">
        <f t="shared" si="53"/>
        <v>9.96939535198475E-2</v>
      </c>
      <c r="AU139" s="94">
        <f t="shared" si="55"/>
        <v>0.42809236685696017</v>
      </c>
      <c r="AV139" s="94">
        <f t="shared" si="56"/>
        <v>0.42809236685696017</v>
      </c>
    </row>
    <row r="140" spans="1:48" x14ac:dyDescent="0.3">
      <c r="A140" s="85" t="str">
        <f>_xlfn.XLOOKUP(B140,'Country codes &amp; Data sources'!G:G,'Country codes &amp; Data sources'!H:H,,0)</f>
        <v>Cameroon</v>
      </c>
      <c r="B140" s="85" t="s">
        <v>168</v>
      </c>
      <c r="C140" s="86">
        <v>21032694</v>
      </c>
      <c r="D140" s="85" t="s">
        <v>205</v>
      </c>
      <c r="E140" s="87">
        <v>0</v>
      </c>
      <c r="F140" s="88">
        <v>21632850.000000004</v>
      </c>
      <c r="G140" s="87">
        <v>0</v>
      </c>
      <c r="I140" s="87">
        <v>0</v>
      </c>
      <c r="K140" s="87">
        <v>0</v>
      </c>
      <c r="M140" s="87">
        <v>0</v>
      </c>
      <c r="O140" s="87">
        <v>0</v>
      </c>
      <c r="P140" s="88">
        <v>25076746.500000015</v>
      </c>
      <c r="Q140" s="87">
        <v>0</v>
      </c>
      <c r="R140" s="87">
        <f t="shared" si="38"/>
        <v>0</v>
      </c>
      <c r="T140" s="87">
        <v>0</v>
      </c>
      <c r="V140" s="87">
        <v>31</v>
      </c>
      <c r="X140" s="87">
        <v>3</v>
      </c>
      <c r="Y140" s="88">
        <v>27914536.499999989</v>
      </c>
      <c r="Z140" s="87">
        <v>19</v>
      </c>
      <c r="AA140" s="87">
        <v>0</v>
      </c>
      <c r="AB140" s="89">
        <f t="shared" si="39"/>
        <v>0</v>
      </c>
      <c r="AC140" s="89">
        <f t="shared" si="40"/>
        <v>0</v>
      </c>
      <c r="AD140" s="89">
        <f t="shared" si="41"/>
        <v>31</v>
      </c>
      <c r="AF140" s="90" t="str">
        <f t="shared" si="42"/>
        <v/>
      </c>
      <c r="AH140" s="90" t="str">
        <f t="shared" si="44"/>
        <v/>
      </c>
      <c r="AI140" s="90">
        <f t="shared" si="45"/>
        <v>19</v>
      </c>
      <c r="AJ140" s="90">
        <f t="shared" si="46"/>
        <v>2022</v>
      </c>
      <c r="AK140" s="90" t="str">
        <f t="shared" si="47"/>
        <v/>
      </c>
      <c r="AL140" s="91">
        <f>IF(AK140="Adjust",(_xlfn.XLOOKUP(A140,'Adj factor'!A:A,'Adj factor'!I:I,,0)*AI140),'Master DataSheet (Rev)'!AI140)</f>
        <v>19</v>
      </c>
      <c r="AM140" s="91">
        <f t="shared" si="48"/>
        <v>19</v>
      </c>
      <c r="AN140" s="92" t="str">
        <f t="shared" si="49"/>
        <v>Increasing</v>
      </c>
      <c r="AO140" s="93">
        <f>VLOOKUP(B140,'Growthrates source'!A$2:H$49,8,FALSE)</f>
        <v>-1.4958984742070136E-2</v>
      </c>
      <c r="AP140" s="93">
        <f>VLOOKUP(B140,'Growthrates source'!A$2:I$49,9,FALSE)</f>
        <v>0.1904674530041961</v>
      </c>
      <c r="AQ140" s="86">
        <f t="shared" si="50"/>
        <v>0</v>
      </c>
      <c r="AR140" s="86">
        <f t="shared" si="51"/>
        <v>0</v>
      </c>
      <c r="AS140" s="94">
        <f t="shared" si="52"/>
        <v>0</v>
      </c>
      <c r="AT140" s="94">
        <f t="shared" si="53"/>
        <v>0</v>
      </c>
      <c r="AU140" s="94">
        <f t="shared" si="55"/>
        <v>6.8064895148805381E-3</v>
      </c>
      <c r="AV140" s="94">
        <f t="shared" si="56"/>
        <v>6.8064895148805381E-3</v>
      </c>
    </row>
    <row r="141" spans="1:48" x14ac:dyDescent="0.3">
      <c r="A141" s="85" t="str">
        <f>_xlfn.XLOOKUP(B141,'Country codes &amp; Data sources'!G:G,'Country codes &amp; Data sources'!H:H,,0)</f>
        <v>Cameroon</v>
      </c>
      <c r="B141" s="85" t="s">
        <v>168</v>
      </c>
      <c r="C141" s="86">
        <v>21032695</v>
      </c>
      <c r="D141" s="85" t="s">
        <v>133</v>
      </c>
      <c r="E141" s="87">
        <v>0</v>
      </c>
      <c r="F141" s="88">
        <v>21632850.000000004</v>
      </c>
      <c r="G141" s="87">
        <v>0</v>
      </c>
      <c r="I141" s="87">
        <v>0</v>
      </c>
      <c r="K141" s="87">
        <v>0</v>
      </c>
      <c r="M141" s="87">
        <v>0</v>
      </c>
      <c r="O141" s="87">
        <v>0</v>
      </c>
      <c r="P141" s="88">
        <v>25076746.500000015</v>
      </c>
      <c r="Q141" s="87">
        <v>241</v>
      </c>
      <c r="R141" s="87">
        <f t="shared" si="38"/>
        <v>241</v>
      </c>
      <c r="T141" s="87">
        <v>0</v>
      </c>
      <c r="V141" s="87">
        <v>112</v>
      </c>
      <c r="X141" s="87">
        <v>2247</v>
      </c>
      <c r="Y141" s="88">
        <v>27914536.499999989</v>
      </c>
      <c r="Z141" s="87">
        <v>293</v>
      </c>
      <c r="AA141" s="87">
        <v>0</v>
      </c>
      <c r="AB141" s="89">
        <f t="shared" si="39"/>
        <v>0</v>
      </c>
      <c r="AC141" s="89">
        <f t="shared" si="40"/>
        <v>241</v>
      </c>
      <c r="AD141" s="89">
        <f t="shared" si="41"/>
        <v>2247</v>
      </c>
      <c r="AF141" s="90" t="str">
        <f t="shared" si="42"/>
        <v/>
      </c>
      <c r="AG141" s="90">
        <f t="shared" si="43"/>
        <v>241</v>
      </c>
      <c r="AH141" s="90">
        <f t="shared" si="44"/>
        <v>2018</v>
      </c>
      <c r="AI141" s="90">
        <f t="shared" si="45"/>
        <v>293</v>
      </c>
      <c r="AJ141" s="90">
        <f t="shared" si="46"/>
        <v>2022</v>
      </c>
      <c r="AK141" s="90" t="str">
        <f t="shared" si="47"/>
        <v/>
      </c>
      <c r="AL141" s="91">
        <f>IF(AK141="Adjust",(_xlfn.XLOOKUP(A141,'Adj factor'!A:A,'Adj factor'!I:I,,0)*AI141),'Master DataSheet (Rev)'!AI141)</f>
        <v>293</v>
      </c>
      <c r="AM141" s="91">
        <f t="shared" si="48"/>
        <v>293</v>
      </c>
      <c r="AN141" s="92" t="str">
        <f t="shared" si="49"/>
        <v>Increasing</v>
      </c>
      <c r="AO141" s="93">
        <f>VLOOKUP(B141,'Growthrates source'!A$2:H$49,8,FALSE)</f>
        <v>-1.4958984742070136E-2</v>
      </c>
      <c r="AP141" s="93">
        <f>VLOOKUP(B141,'Growthrates source'!A$2:I$49,9,FALSE)</f>
        <v>0.1904674530041961</v>
      </c>
      <c r="AQ141" s="86">
        <f t="shared" si="50"/>
        <v>0</v>
      </c>
      <c r="AR141" s="86">
        <f t="shared" si="51"/>
        <v>0</v>
      </c>
      <c r="AS141" s="94">
        <f t="shared" si="52"/>
        <v>0</v>
      </c>
      <c r="AT141" s="94">
        <f t="shared" si="53"/>
        <v>9.6104971193132993E-2</v>
      </c>
      <c r="AU141" s="94">
        <f t="shared" si="55"/>
        <v>0.10496323304526303</v>
      </c>
      <c r="AV141" s="94">
        <f t="shared" si="56"/>
        <v>0.10496323304526303</v>
      </c>
    </row>
    <row r="142" spans="1:48" x14ac:dyDescent="0.3">
      <c r="A142" s="85" t="str">
        <f>_xlfn.XLOOKUP(B142,'Country codes &amp; Data sources'!G:G,'Country codes &amp; Data sources'!H:H,,0)</f>
        <v>Cameroon</v>
      </c>
      <c r="B142" s="85" t="s">
        <v>168</v>
      </c>
      <c r="C142" s="86">
        <v>21032696</v>
      </c>
      <c r="D142" s="85" t="s">
        <v>206</v>
      </c>
      <c r="E142" s="87">
        <v>0</v>
      </c>
      <c r="F142" s="88">
        <v>21632850.000000004</v>
      </c>
      <c r="G142" s="87">
        <v>0</v>
      </c>
      <c r="I142" s="87">
        <v>0</v>
      </c>
      <c r="K142" s="87">
        <v>0</v>
      </c>
      <c r="M142" s="87">
        <v>0</v>
      </c>
      <c r="O142" s="87">
        <v>0</v>
      </c>
      <c r="P142" s="88">
        <v>25076746.500000015</v>
      </c>
      <c r="Q142" s="87">
        <v>0</v>
      </c>
      <c r="R142" s="87">
        <f t="shared" si="38"/>
        <v>0</v>
      </c>
      <c r="T142" s="87">
        <v>0</v>
      </c>
      <c r="V142" s="87">
        <v>6</v>
      </c>
      <c r="X142" s="87">
        <v>0</v>
      </c>
      <c r="Y142" s="88">
        <v>27914536.499999989</v>
      </c>
      <c r="Z142" s="87">
        <v>118</v>
      </c>
      <c r="AA142" s="87">
        <v>0</v>
      </c>
      <c r="AB142" s="89">
        <f t="shared" si="39"/>
        <v>0</v>
      </c>
      <c r="AC142" s="89">
        <f t="shared" si="40"/>
        <v>0</v>
      </c>
      <c r="AD142" s="89">
        <f t="shared" si="41"/>
        <v>118</v>
      </c>
      <c r="AF142" s="90" t="str">
        <f t="shared" si="42"/>
        <v/>
      </c>
      <c r="AH142" s="90" t="str">
        <f t="shared" si="44"/>
        <v/>
      </c>
      <c r="AI142" s="90">
        <f t="shared" si="45"/>
        <v>118</v>
      </c>
      <c r="AJ142" s="90">
        <f t="shared" si="46"/>
        <v>2022</v>
      </c>
      <c r="AK142" s="90" t="str">
        <f t="shared" si="47"/>
        <v/>
      </c>
      <c r="AL142" s="91">
        <f>IF(AK142="Adjust",(_xlfn.XLOOKUP(A142,'Adj factor'!A:A,'Adj factor'!I:I,,0)*AI142),'Master DataSheet (Rev)'!AI142)</f>
        <v>118</v>
      </c>
      <c r="AM142" s="91">
        <f t="shared" si="48"/>
        <v>118</v>
      </c>
      <c r="AN142" s="92" t="str">
        <f t="shared" si="49"/>
        <v>Increasing</v>
      </c>
      <c r="AO142" s="93">
        <f>VLOOKUP(B142,'Growthrates source'!A$2:H$49,8,FALSE)</f>
        <v>-1.4958984742070136E-2</v>
      </c>
      <c r="AP142" s="93">
        <f>VLOOKUP(B142,'Growthrates source'!A$2:I$49,9,FALSE)</f>
        <v>0.1904674530041961</v>
      </c>
      <c r="AQ142" s="86">
        <f t="shared" si="50"/>
        <v>0</v>
      </c>
      <c r="AR142" s="86">
        <f t="shared" si="51"/>
        <v>0</v>
      </c>
      <c r="AS142" s="94">
        <f t="shared" si="52"/>
        <v>0</v>
      </c>
      <c r="AT142" s="94">
        <f t="shared" si="53"/>
        <v>0</v>
      </c>
      <c r="AU142" s="94">
        <f t="shared" si="55"/>
        <v>4.2271882250310713E-2</v>
      </c>
      <c r="AV142" s="94">
        <f t="shared" si="56"/>
        <v>4.2271882250310713E-2</v>
      </c>
    </row>
    <row r="143" spans="1:48" x14ac:dyDescent="0.3">
      <c r="A143" s="85" t="str">
        <f>_xlfn.XLOOKUP(B143,'Country codes &amp; Data sources'!G:G,'Country codes &amp; Data sources'!H:H,,0)</f>
        <v>Cameroon</v>
      </c>
      <c r="B143" s="85" t="s">
        <v>168</v>
      </c>
      <c r="C143" s="86">
        <v>21032697</v>
      </c>
      <c r="D143" s="85" t="s">
        <v>136</v>
      </c>
      <c r="E143" s="87">
        <v>0</v>
      </c>
      <c r="F143" s="88">
        <v>21632850.000000004</v>
      </c>
      <c r="G143" s="87">
        <v>0</v>
      </c>
      <c r="I143" s="87">
        <v>0</v>
      </c>
      <c r="K143" s="87">
        <v>0</v>
      </c>
      <c r="M143" s="87">
        <v>0</v>
      </c>
      <c r="O143" s="87">
        <v>0</v>
      </c>
      <c r="P143" s="88">
        <v>25076746.500000015</v>
      </c>
      <c r="Q143" s="87">
        <v>0</v>
      </c>
      <c r="R143" s="87">
        <f t="shared" si="38"/>
        <v>124</v>
      </c>
      <c r="T143" s="87">
        <v>0</v>
      </c>
      <c r="V143" s="87">
        <v>73</v>
      </c>
      <c r="X143" s="87">
        <v>267</v>
      </c>
      <c r="Y143" s="88">
        <v>27914536.499999989</v>
      </c>
      <c r="Z143" s="87">
        <v>4864</v>
      </c>
      <c r="AA143" s="87">
        <v>124</v>
      </c>
      <c r="AB143" s="89">
        <f t="shared" si="39"/>
        <v>0</v>
      </c>
      <c r="AC143" s="89">
        <f t="shared" si="40"/>
        <v>0</v>
      </c>
      <c r="AD143" s="89">
        <f t="shared" si="41"/>
        <v>4864</v>
      </c>
      <c r="AF143" s="90" t="str">
        <f t="shared" si="42"/>
        <v/>
      </c>
      <c r="AG143" s="90">
        <f t="shared" si="43"/>
        <v>124</v>
      </c>
      <c r="AH143" s="90" t="str">
        <f t="shared" si="44"/>
        <v>2018 (triag)</v>
      </c>
      <c r="AI143" s="90">
        <f t="shared" si="45"/>
        <v>4864</v>
      </c>
      <c r="AJ143" s="90">
        <f t="shared" si="46"/>
        <v>2022</v>
      </c>
      <c r="AK143" s="90" t="str">
        <f t="shared" si="47"/>
        <v/>
      </c>
      <c r="AL143" s="91">
        <f>IF(AK143="Adjust",(_xlfn.XLOOKUP(A143,'Adj factor'!A:A,'Adj factor'!I:I,,0)*AI143),'Master DataSheet (Rev)'!AI143)</f>
        <v>4864</v>
      </c>
      <c r="AM143" s="91">
        <f t="shared" si="48"/>
        <v>4864</v>
      </c>
      <c r="AN143" s="92" t="str">
        <f t="shared" si="49"/>
        <v>Increasing</v>
      </c>
      <c r="AO143" s="93">
        <f>VLOOKUP(B143,'Growthrates source'!A$2:H$49,8,FALSE)</f>
        <v>-1.4958984742070136E-2</v>
      </c>
      <c r="AP143" s="93">
        <f>VLOOKUP(B143,'Growthrates source'!A$2:I$49,9,FALSE)</f>
        <v>0.1904674530041961</v>
      </c>
      <c r="AQ143" s="86">
        <f t="shared" si="50"/>
        <v>133.6302275082644</v>
      </c>
      <c r="AR143" s="86">
        <f t="shared" si="51"/>
        <v>219.57281849246843</v>
      </c>
      <c r="AS143" s="94">
        <f t="shared" si="52"/>
        <v>0</v>
      </c>
      <c r="AT143" s="94">
        <f t="shared" si="53"/>
        <v>4.9448200945844359E-2</v>
      </c>
      <c r="AU143" s="94">
        <f t="shared" si="55"/>
        <v>1.7424613158094178</v>
      </c>
      <c r="AV143" s="94">
        <f t="shared" si="56"/>
        <v>1.7424613158094178</v>
      </c>
    </row>
    <row r="144" spans="1:48" x14ac:dyDescent="0.3">
      <c r="A144" s="85" t="str">
        <f>_xlfn.XLOOKUP(B144,'Country codes &amp; Data sources'!G:G,'Country codes &amp; Data sources'!H:H,,0)</f>
        <v>Cameroon</v>
      </c>
      <c r="B144" s="85" t="s">
        <v>168</v>
      </c>
      <c r="C144" s="86">
        <v>21032698</v>
      </c>
      <c r="D144" s="85" t="s">
        <v>207</v>
      </c>
      <c r="E144" s="87">
        <v>0</v>
      </c>
      <c r="F144" s="88">
        <v>21632850.000000004</v>
      </c>
      <c r="G144" s="87">
        <v>0</v>
      </c>
      <c r="I144" s="87">
        <v>0</v>
      </c>
      <c r="K144" s="87">
        <v>0</v>
      </c>
      <c r="M144" s="87">
        <v>0</v>
      </c>
      <c r="O144" s="87">
        <v>0</v>
      </c>
      <c r="P144" s="88">
        <v>25076746.500000015</v>
      </c>
      <c r="Q144" s="87">
        <v>0</v>
      </c>
      <c r="R144" s="87">
        <f t="shared" si="38"/>
        <v>0</v>
      </c>
      <c r="T144" s="87">
        <v>0</v>
      </c>
      <c r="V144" s="87">
        <v>4</v>
      </c>
      <c r="X144" s="87">
        <v>0</v>
      </c>
      <c r="Y144" s="88">
        <v>27914536.499999989</v>
      </c>
      <c r="Z144" s="87">
        <v>85</v>
      </c>
      <c r="AA144" s="87">
        <v>0</v>
      </c>
      <c r="AB144" s="89">
        <f t="shared" si="39"/>
        <v>0</v>
      </c>
      <c r="AC144" s="89">
        <f t="shared" si="40"/>
        <v>0</v>
      </c>
      <c r="AD144" s="89">
        <f t="shared" si="41"/>
        <v>85</v>
      </c>
      <c r="AF144" s="90" t="str">
        <f t="shared" si="42"/>
        <v/>
      </c>
      <c r="AH144" s="90" t="str">
        <f t="shared" si="44"/>
        <v/>
      </c>
      <c r="AI144" s="90">
        <f t="shared" si="45"/>
        <v>85</v>
      </c>
      <c r="AJ144" s="90">
        <f t="shared" si="46"/>
        <v>2022</v>
      </c>
      <c r="AK144" s="90" t="str">
        <f t="shared" si="47"/>
        <v/>
      </c>
      <c r="AL144" s="91">
        <f>IF(AK144="Adjust",(_xlfn.XLOOKUP(A144,'Adj factor'!A:A,'Adj factor'!I:I,,0)*AI144),'Master DataSheet (Rev)'!AI144)</f>
        <v>85</v>
      </c>
      <c r="AM144" s="91">
        <f t="shared" si="48"/>
        <v>85</v>
      </c>
      <c r="AN144" s="92" t="str">
        <f t="shared" si="49"/>
        <v>Increasing</v>
      </c>
      <c r="AO144" s="93">
        <f>VLOOKUP(B144,'Growthrates source'!A$2:H$49,8,FALSE)</f>
        <v>-1.4958984742070136E-2</v>
      </c>
      <c r="AP144" s="93">
        <f>VLOOKUP(B144,'Growthrates source'!A$2:I$49,9,FALSE)</f>
        <v>0.1904674530041961</v>
      </c>
      <c r="AQ144" s="86">
        <f t="shared" si="50"/>
        <v>0</v>
      </c>
      <c r="AR144" s="86">
        <f t="shared" si="51"/>
        <v>0</v>
      </c>
      <c r="AS144" s="94">
        <f t="shared" si="52"/>
        <v>0</v>
      </c>
      <c r="AT144" s="94">
        <f t="shared" si="53"/>
        <v>0</v>
      </c>
      <c r="AU144" s="94">
        <f t="shared" si="55"/>
        <v>3.0450084671833987E-2</v>
      </c>
      <c r="AV144" s="94">
        <f t="shared" si="56"/>
        <v>3.0450084671833987E-2</v>
      </c>
    </row>
    <row r="145" spans="1:48" x14ac:dyDescent="0.3">
      <c r="A145" s="85" t="str">
        <f>_xlfn.XLOOKUP(B145,'Country codes &amp; Data sources'!G:G,'Country codes &amp; Data sources'!H:H,,0)</f>
        <v>Cameroon</v>
      </c>
      <c r="B145" s="85" t="s">
        <v>168</v>
      </c>
      <c r="C145" s="86">
        <v>21032699</v>
      </c>
      <c r="D145" s="85" t="s">
        <v>141</v>
      </c>
      <c r="E145" s="87">
        <v>0</v>
      </c>
      <c r="F145" s="88">
        <v>21632850.000000004</v>
      </c>
      <c r="G145" s="87">
        <v>0</v>
      </c>
      <c r="I145" s="87">
        <v>0</v>
      </c>
      <c r="K145" s="87">
        <v>0</v>
      </c>
      <c r="M145" s="87">
        <v>0</v>
      </c>
      <c r="O145" s="87">
        <v>0</v>
      </c>
      <c r="P145" s="88">
        <v>25076746.500000015</v>
      </c>
      <c r="Q145" s="87">
        <v>0</v>
      </c>
      <c r="R145" s="87">
        <f t="shared" si="38"/>
        <v>0</v>
      </c>
      <c r="T145" s="87">
        <v>0</v>
      </c>
      <c r="V145" s="87">
        <v>207</v>
      </c>
      <c r="X145" s="87">
        <v>0</v>
      </c>
      <c r="Y145" s="88">
        <v>27914536.499999989</v>
      </c>
      <c r="Z145" s="87">
        <v>10</v>
      </c>
      <c r="AA145" s="87">
        <v>0</v>
      </c>
      <c r="AB145" s="89">
        <f t="shared" si="39"/>
        <v>0</v>
      </c>
      <c r="AC145" s="89">
        <f t="shared" si="40"/>
        <v>0</v>
      </c>
      <c r="AD145" s="89">
        <f t="shared" si="41"/>
        <v>207</v>
      </c>
      <c r="AF145" s="90" t="str">
        <f t="shared" si="42"/>
        <v/>
      </c>
      <c r="AH145" s="90" t="str">
        <f t="shared" si="44"/>
        <v/>
      </c>
      <c r="AI145" s="90">
        <f t="shared" si="45"/>
        <v>10</v>
      </c>
      <c r="AJ145" s="90">
        <f t="shared" si="46"/>
        <v>2022</v>
      </c>
      <c r="AK145" s="90" t="str">
        <f t="shared" si="47"/>
        <v/>
      </c>
      <c r="AL145" s="91">
        <f>IF(AK145="Adjust",(_xlfn.XLOOKUP(A145,'Adj factor'!A:A,'Adj factor'!I:I,,0)*AI145),'Master DataSheet (Rev)'!AI145)</f>
        <v>10</v>
      </c>
      <c r="AM145" s="91">
        <f t="shared" si="48"/>
        <v>10</v>
      </c>
      <c r="AN145" s="92" t="str">
        <f t="shared" si="49"/>
        <v>Increasing</v>
      </c>
      <c r="AO145" s="93">
        <f>VLOOKUP(B145,'Growthrates source'!A$2:H$49,8,FALSE)</f>
        <v>-1.4958984742070136E-2</v>
      </c>
      <c r="AP145" s="93">
        <f>VLOOKUP(B145,'Growthrates source'!A$2:I$49,9,FALSE)</f>
        <v>0.1904674530041961</v>
      </c>
      <c r="AQ145" s="86">
        <f t="shared" si="50"/>
        <v>0</v>
      </c>
      <c r="AR145" s="86">
        <f t="shared" si="51"/>
        <v>0</v>
      </c>
      <c r="AS145" s="94">
        <f t="shared" si="52"/>
        <v>0</v>
      </c>
      <c r="AT145" s="94">
        <f t="shared" si="53"/>
        <v>0</v>
      </c>
      <c r="AU145" s="94">
        <f t="shared" si="55"/>
        <v>3.5823629025687042E-3</v>
      </c>
      <c r="AV145" s="94">
        <f t="shared" si="56"/>
        <v>3.5823629025687042E-3</v>
      </c>
    </row>
    <row r="146" spans="1:48" x14ac:dyDescent="0.3">
      <c r="A146" s="85" t="str">
        <f>_xlfn.XLOOKUP(B146,'Country codes &amp; Data sources'!G:G,'Country codes &amp; Data sources'!H:H,,0)</f>
        <v>Cameroon</v>
      </c>
      <c r="B146" s="85" t="s">
        <v>168</v>
      </c>
      <c r="C146" s="86">
        <v>21032700</v>
      </c>
      <c r="D146" s="85" t="s">
        <v>208</v>
      </c>
      <c r="E146" s="87">
        <v>0</v>
      </c>
      <c r="F146" s="88">
        <v>21632850.000000004</v>
      </c>
      <c r="G146" s="87">
        <v>0</v>
      </c>
      <c r="I146" s="87">
        <v>0</v>
      </c>
      <c r="K146" s="87">
        <v>0</v>
      </c>
      <c r="M146" s="87">
        <v>0</v>
      </c>
      <c r="O146" s="87">
        <v>0</v>
      </c>
      <c r="P146" s="88">
        <v>25076746.500000015</v>
      </c>
      <c r="Q146" s="87">
        <v>0</v>
      </c>
      <c r="R146" s="87">
        <f t="shared" si="38"/>
        <v>0</v>
      </c>
      <c r="T146" s="87">
        <v>0</v>
      </c>
      <c r="V146" s="87">
        <v>1406</v>
      </c>
      <c r="X146" s="87">
        <v>0</v>
      </c>
      <c r="Y146" s="88">
        <v>27914536.499999989</v>
      </c>
      <c r="Z146" s="87">
        <v>5</v>
      </c>
      <c r="AA146" s="87">
        <v>0</v>
      </c>
      <c r="AB146" s="89">
        <f t="shared" si="39"/>
        <v>0</v>
      </c>
      <c r="AC146" s="89">
        <f t="shared" si="40"/>
        <v>0</v>
      </c>
      <c r="AD146" s="89">
        <f t="shared" si="41"/>
        <v>1406</v>
      </c>
      <c r="AF146" s="90" t="str">
        <f t="shared" si="42"/>
        <v/>
      </c>
      <c r="AH146" s="90" t="str">
        <f t="shared" si="44"/>
        <v/>
      </c>
      <c r="AI146" s="90">
        <f t="shared" si="45"/>
        <v>5</v>
      </c>
      <c r="AJ146" s="90">
        <f t="shared" si="46"/>
        <v>2022</v>
      </c>
      <c r="AK146" s="90" t="str">
        <f t="shared" si="47"/>
        <v/>
      </c>
      <c r="AL146" s="91">
        <f>IF(AK146="Adjust",(_xlfn.XLOOKUP(A146,'Adj factor'!A:A,'Adj factor'!I:I,,0)*AI146),'Master DataSheet (Rev)'!AI146)</f>
        <v>5</v>
      </c>
      <c r="AM146" s="91">
        <f t="shared" si="48"/>
        <v>5</v>
      </c>
      <c r="AN146" s="92" t="str">
        <f t="shared" si="49"/>
        <v>Increasing</v>
      </c>
      <c r="AO146" s="93">
        <f>VLOOKUP(B146,'Growthrates source'!A$2:H$49,8,FALSE)</f>
        <v>-1.4958984742070136E-2</v>
      </c>
      <c r="AP146" s="93">
        <f>VLOOKUP(B146,'Growthrates source'!A$2:I$49,9,FALSE)</f>
        <v>0.1904674530041961</v>
      </c>
      <c r="AQ146" s="86">
        <f t="shared" si="50"/>
        <v>0</v>
      </c>
      <c r="AR146" s="86">
        <f t="shared" si="51"/>
        <v>0</v>
      </c>
      <c r="AS146" s="94">
        <f t="shared" si="52"/>
        <v>0</v>
      </c>
      <c r="AT146" s="94">
        <f t="shared" si="53"/>
        <v>0</v>
      </c>
      <c r="AU146" s="94">
        <f t="shared" si="55"/>
        <v>1.7911814512843521E-3</v>
      </c>
      <c r="AV146" s="94">
        <f t="shared" si="56"/>
        <v>1.7911814512843521E-3</v>
      </c>
    </row>
    <row r="147" spans="1:48" x14ac:dyDescent="0.3">
      <c r="A147" s="85" t="str">
        <f>_xlfn.XLOOKUP(B147,'Country codes &amp; Data sources'!G:G,'Country codes &amp; Data sources'!H:H,,0)</f>
        <v>Cameroon</v>
      </c>
      <c r="B147" s="85" t="s">
        <v>168</v>
      </c>
      <c r="C147" s="86">
        <v>21032701</v>
      </c>
      <c r="D147" s="85" t="s">
        <v>209</v>
      </c>
      <c r="E147" s="87">
        <v>0</v>
      </c>
      <c r="F147" s="88">
        <v>21632850.000000004</v>
      </c>
      <c r="G147" s="87">
        <v>0</v>
      </c>
      <c r="I147" s="87">
        <v>0</v>
      </c>
      <c r="K147" s="87">
        <v>0</v>
      </c>
      <c r="M147" s="87">
        <v>0</v>
      </c>
      <c r="O147" s="87">
        <v>0</v>
      </c>
      <c r="P147" s="88">
        <v>25076746.500000015</v>
      </c>
      <c r="Q147" s="87">
        <v>0</v>
      </c>
      <c r="R147" s="87">
        <f t="shared" si="38"/>
        <v>0</v>
      </c>
      <c r="T147" s="87">
        <v>0</v>
      </c>
      <c r="V147" s="87">
        <v>152</v>
      </c>
      <c r="X147" s="87">
        <v>0</v>
      </c>
      <c r="Y147" s="88">
        <v>27914536.499999989</v>
      </c>
      <c r="Z147" s="87">
        <v>74</v>
      </c>
      <c r="AA147" s="87">
        <v>0</v>
      </c>
      <c r="AB147" s="89">
        <f t="shared" si="39"/>
        <v>0</v>
      </c>
      <c r="AC147" s="89">
        <f t="shared" si="40"/>
        <v>0</v>
      </c>
      <c r="AD147" s="89">
        <f t="shared" si="41"/>
        <v>152</v>
      </c>
      <c r="AF147" s="90" t="str">
        <f t="shared" si="42"/>
        <v/>
      </c>
      <c r="AH147" s="90" t="str">
        <f t="shared" si="44"/>
        <v/>
      </c>
      <c r="AI147" s="90">
        <f t="shared" si="45"/>
        <v>74</v>
      </c>
      <c r="AJ147" s="90">
        <f t="shared" si="46"/>
        <v>2022</v>
      </c>
      <c r="AK147" s="90" t="str">
        <f t="shared" si="47"/>
        <v/>
      </c>
      <c r="AL147" s="91">
        <f>IF(AK147="Adjust",(_xlfn.XLOOKUP(A147,'Adj factor'!A:A,'Adj factor'!I:I,,0)*AI147),'Master DataSheet (Rev)'!AI147)</f>
        <v>74</v>
      </c>
      <c r="AM147" s="91">
        <f t="shared" si="48"/>
        <v>74</v>
      </c>
      <c r="AN147" s="92" t="str">
        <f t="shared" si="49"/>
        <v>Increasing</v>
      </c>
      <c r="AO147" s="93">
        <f>VLOOKUP(B147,'Growthrates source'!A$2:H$49,8,FALSE)</f>
        <v>-1.4958984742070136E-2</v>
      </c>
      <c r="AP147" s="93">
        <f>VLOOKUP(B147,'Growthrates source'!A$2:I$49,9,FALSE)</f>
        <v>0.1904674530041961</v>
      </c>
      <c r="AQ147" s="86">
        <f t="shared" si="50"/>
        <v>0</v>
      </c>
      <c r="AR147" s="86">
        <f t="shared" si="51"/>
        <v>0</v>
      </c>
      <c r="AS147" s="94">
        <f t="shared" si="52"/>
        <v>0</v>
      </c>
      <c r="AT147" s="94">
        <f t="shared" si="53"/>
        <v>0</v>
      </c>
      <c r="AU147" s="94">
        <f t="shared" si="55"/>
        <v>2.6509485479008412E-2</v>
      </c>
      <c r="AV147" s="94">
        <f t="shared" si="56"/>
        <v>2.6509485479008412E-2</v>
      </c>
    </row>
    <row r="148" spans="1:48" x14ac:dyDescent="0.3">
      <c r="A148" s="85" t="str">
        <f>_xlfn.XLOOKUP(B148,'Country codes &amp; Data sources'!G:G,'Country codes &amp; Data sources'!H:H,,0)</f>
        <v>Cameroon</v>
      </c>
      <c r="B148" s="85" t="s">
        <v>168</v>
      </c>
      <c r="C148" s="86">
        <v>21032702</v>
      </c>
      <c r="D148" s="85" t="s">
        <v>134</v>
      </c>
      <c r="E148" s="87">
        <v>0</v>
      </c>
      <c r="F148" s="88">
        <v>21632850.000000004</v>
      </c>
      <c r="G148" s="87">
        <v>0</v>
      </c>
      <c r="I148" s="87">
        <v>0</v>
      </c>
      <c r="K148" s="87">
        <v>0</v>
      </c>
      <c r="M148" s="87">
        <v>0</v>
      </c>
      <c r="O148" s="87">
        <v>0</v>
      </c>
      <c r="P148" s="88">
        <v>25076746.500000015</v>
      </c>
      <c r="Q148" s="87">
        <v>0</v>
      </c>
      <c r="R148" s="87">
        <f t="shared" si="38"/>
        <v>5235</v>
      </c>
      <c r="T148" s="87">
        <v>0</v>
      </c>
      <c r="V148" s="87">
        <v>48</v>
      </c>
      <c r="X148" s="87">
        <v>249</v>
      </c>
      <c r="Y148" s="88">
        <v>27914536.499999989</v>
      </c>
      <c r="Z148" s="87">
        <v>161</v>
      </c>
      <c r="AA148" s="87">
        <v>5235</v>
      </c>
      <c r="AB148" s="89">
        <f t="shared" si="39"/>
        <v>0</v>
      </c>
      <c r="AC148" s="89">
        <f t="shared" si="40"/>
        <v>0</v>
      </c>
      <c r="AD148" s="89">
        <f t="shared" si="41"/>
        <v>249</v>
      </c>
      <c r="AF148" s="90" t="str">
        <f t="shared" si="42"/>
        <v/>
      </c>
      <c r="AG148" s="90">
        <f t="shared" si="43"/>
        <v>5235</v>
      </c>
      <c r="AH148" s="90" t="str">
        <f t="shared" si="44"/>
        <v>2018 (triag)</v>
      </c>
      <c r="AI148" s="90">
        <f t="shared" si="45"/>
        <v>161</v>
      </c>
      <c r="AJ148" s="90">
        <f t="shared" si="46"/>
        <v>2022</v>
      </c>
      <c r="AK148" s="90" t="str">
        <f t="shared" si="47"/>
        <v>Adjust</v>
      </c>
      <c r="AL148" s="91">
        <f>IF(AK148="Adjust",(_xlfn.XLOOKUP(A148,'Adj factor'!A:A,'Adj factor'!I:I,,0)*AI148),'Master DataSheet (Rev)'!AI148)</f>
        <v>238.52656260037256</v>
      </c>
      <c r="AM148" s="91">
        <f t="shared" si="48"/>
        <v>5235</v>
      </c>
      <c r="AN148" s="92" t="str">
        <f t="shared" si="49"/>
        <v>Decreasing</v>
      </c>
      <c r="AO148" s="93">
        <f>VLOOKUP(B148,'Growthrates source'!A$2:H$49,8,FALSE)</f>
        <v>-1.4958984742070136E-2</v>
      </c>
      <c r="AP148" s="93">
        <f>VLOOKUP(B148,'Growthrates source'!A$2:I$49,9,FALSE)</f>
        <v>0.1904674530041961</v>
      </c>
      <c r="AQ148" s="86">
        <f t="shared" si="50"/>
        <v>5641.5664597239038</v>
      </c>
      <c r="AR148" s="86">
        <f t="shared" si="51"/>
        <v>9269.8685871618727</v>
      </c>
      <c r="AS148" s="94">
        <f t="shared" si="52"/>
        <v>0</v>
      </c>
      <c r="AT148" s="94">
        <f t="shared" si="53"/>
        <v>2.0875913867056068</v>
      </c>
      <c r="AU148" s="94">
        <f t="shared" si="55"/>
        <v>8.5448870913680627E-2</v>
      </c>
      <c r="AV148" s="94">
        <f t="shared" si="56"/>
        <v>1.8753669794947168</v>
      </c>
    </row>
    <row r="149" spans="1:48" x14ac:dyDescent="0.3">
      <c r="A149" s="85" t="str">
        <f>_xlfn.XLOOKUP(B149,'Country codes &amp; Data sources'!G:G,'Country codes &amp; Data sources'!H:H,,0)</f>
        <v>Cameroon</v>
      </c>
      <c r="B149" s="85" t="s">
        <v>168</v>
      </c>
      <c r="C149" s="86">
        <v>21032703</v>
      </c>
      <c r="D149" s="85" t="s">
        <v>142</v>
      </c>
      <c r="E149" s="87">
        <v>0</v>
      </c>
      <c r="F149" s="88">
        <v>21632850.000000004</v>
      </c>
      <c r="G149" s="87">
        <v>0</v>
      </c>
      <c r="I149" s="87">
        <v>0</v>
      </c>
      <c r="K149" s="87">
        <v>0</v>
      </c>
      <c r="M149" s="87">
        <v>0</v>
      </c>
      <c r="O149" s="87">
        <v>0</v>
      </c>
      <c r="P149" s="88">
        <v>25076746.500000015</v>
      </c>
      <c r="Q149" s="87">
        <v>0</v>
      </c>
      <c r="R149" s="87">
        <f t="shared" si="38"/>
        <v>0</v>
      </c>
      <c r="T149" s="87">
        <v>0</v>
      </c>
      <c r="V149" s="87">
        <v>2098</v>
      </c>
      <c r="X149" s="87">
        <v>0</v>
      </c>
      <c r="Y149" s="88">
        <v>27914536.499999989</v>
      </c>
      <c r="Z149" s="87">
        <v>34</v>
      </c>
      <c r="AA149" s="87">
        <v>0</v>
      </c>
      <c r="AB149" s="89">
        <f t="shared" si="39"/>
        <v>0</v>
      </c>
      <c r="AC149" s="89">
        <f t="shared" si="40"/>
        <v>0</v>
      </c>
      <c r="AD149" s="89">
        <f t="shared" si="41"/>
        <v>2098</v>
      </c>
      <c r="AF149" s="90" t="str">
        <f t="shared" si="42"/>
        <v/>
      </c>
      <c r="AH149" s="90" t="str">
        <f t="shared" si="44"/>
        <v/>
      </c>
      <c r="AI149" s="90">
        <f t="shared" si="45"/>
        <v>34</v>
      </c>
      <c r="AJ149" s="90">
        <f t="shared" si="46"/>
        <v>2022</v>
      </c>
      <c r="AK149" s="90" t="str">
        <f t="shared" si="47"/>
        <v/>
      </c>
      <c r="AL149" s="91">
        <f>IF(AK149="Adjust",(_xlfn.XLOOKUP(A149,'Adj factor'!A:A,'Adj factor'!I:I,,0)*AI149),'Master DataSheet (Rev)'!AI149)</f>
        <v>34</v>
      </c>
      <c r="AM149" s="91">
        <f t="shared" si="48"/>
        <v>34</v>
      </c>
      <c r="AN149" s="92" t="str">
        <f t="shared" si="49"/>
        <v>Increasing</v>
      </c>
      <c r="AO149" s="93">
        <f>VLOOKUP(B149,'Growthrates source'!A$2:H$49,8,FALSE)</f>
        <v>-1.4958984742070136E-2</v>
      </c>
      <c r="AP149" s="93">
        <f>VLOOKUP(B149,'Growthrates source'!A$2:I$49,9,FALSE)</f>
        <v>0.1904674530041961</v>
      </c>
      <c r="AQ149" s="86">
        <f t="shared" si="50"/>
        <v>0</v>
      </c>
      <c r="AR149" s="86">
        <f t="shared" si="51"/>
        <v>0</v>
      </c>
      <c r="AS149" s="94">
        <f t="shared" si="52"/>
        <v>0</v>
      </c>
      <c r="AT149" s="94">
        <f t="shared" si="53"/>
        <v>0</v>
      </c>
      <c r="AU149" s="94">
        <f t="shared" si="55"/>
        <v>1.2180033868733595E-2</v>
      </c>
      <c r="AV149" s="94">
        <f t="shared" si="56"/>
        <v>1.2180033868733595E-2</v>
      </c>
    </row>
    <row r="150" spans="1:48" x14ac:dyDescent="0.3">
      <c r="A150" s="85" t="str">
        <f>_xlfn.XLOOKUP(B150,'Country codes &amp; Data sources'!G:G,'Country codes &amp; Data sources'!H:H,,0)</f>
        <v>Cameroon</v>
      </c>
      <c r="B150" s="85" t="s">
        <v>168</v>
      </c>
      <c r="C150" s="86">
        <v>21032704</v>
      </c>
      <c r="D150" s="85" t="s">
        <v>83</v>
      </c>
      <c r="E150" s="87">
        <v>0</v>
      </c>
      <c r="F150" s="88">
        <v>21632850.000000004</v>
      </c>
      <c r="G150" s="87">
        <v>0</v>
      </c>
      <c r="I150" s="87">
        <v>0</v>
      </c>
      <c r="K150" s="87">
        <v>0</v>
      </c>
      <c r="M150" s="87">
        <v>0</v>
      </c>
      <c r="O150" s="87">
        <v>0</v>
      </c>
      <c r="P150" s="88">
        <v>25076746.500000015</v>
      </c>
      <c r="Q150" s="87">
        <v>0</v>
      </c>
      <c r="R150" s="87">
        <f t="shared" si="38"/>
        <v>0</v>
      </c>
      <c r="T150" s="87">
        <v>0</v>
      </c>
      <c r="V150" s="87">
        <v>69</v>
      </c>
      <c r="X150" s="87">
        <v>21</v>
      </c>
      <c r="Y150" s="88">
        <v>27914536.499999989</v>
      </c>
      <c r="Z150" s="87">
        <v>191</v>
      </c>
      <c r="AA150" s="87">
        <v>0</v>
      </c>
      <c r="AB150" s="89">
        <f t="shared" si="39"/>
        <v>0</v>
      </c>
      <c r="AC150" s="89">
        <f t="shared" si="40"/>
        <v>0</v>
      </c>
      <c r="AD150" s="89">
        <f t="shared" si="41"/>
        <v>191</v>
      </c>
      <c r="AF150" s="90" t="str">
        <f t="shared" si="42"/>
        <v/>
      </c>
      <c r="AH150" s="90" t="str">
        <f t="shared" si="44"/>
        <v/>
      </c>
      <c r="AI150" s="90">
        <f t="shared" si="45"/>
        <v>191</v>
      </c>
      <c r="AJ150" s="90">
        <f t="shared" si="46"/>
        <v>2022</v>
      </c>
      <c r="AK150" s="90" t="str">
        <f t="shared" si="47"/>
        <v/>
      </c>
      <c r="AL150" s="91">
        <f>IF(AK150="Adjust",(_xlfn.XLOOKUP(A150,'Adj factor'!A:A,'Adj factor'!I:I,,0)*AI150),'Master DataSheet (Rev)'!AI150)</f>
        <v>191</v>
      </c>
      <c r="AM150" s="91">
        <f t="shared" si="48"/>
        <v>191</v>
      </c>
      <c r="AN150" s="92" t="str">
        <f t="shared" si="49"/>
        <v>Increasing</v>
      </c>
      <c r="AO150" s="93">
        <f>VLOOKUP(B150,'Growthrates source'!A$2:H$49,8,FALSE)</f>
        <v>-1.4958984742070136E-2</v>
      </c>
      <c r="AP150" s="93">
        <f>VLOOKUP(B150,'Growthrates source'!A$2:I$49,9,FALSE)</f>
        <v>0.1904674530041961</v>
      </c>
      <c r="AQ150" s="86">
        <f t="shared" si="50"/>
        <v>0</v>
      </c>
      <c r="AR150" s="86">
        <f t="shared" si="51"/>
        <v>0</v>
      </c>
      <c r="AS150" s="94">
        <f t="shared" si="52"/>
        <v>0</v>
      </c>
      <c r="AT150" s="94">
        <f t="shared" si="53"/>
        <v>0</v>
      </c>
      <c r="AU150" s="94">
        <f t="shared" si="55"/>
        <v>6.8423131439062257E-2</v>
      </c>
      <c r="AV150" s="94">
        <f t="shared" si="56"/>
        <v>6.8423131439062257E-2</v>
      </c>
    </row>
    <row r="151" spans="1:48" x14ac:dyDescent="0.3">
      <c r="A151" s="85" t="str">
        <f>_xlfn.XLOOKUP(B151,'Country codes &amp; Data sources'!G:G,'Country codes &amp; Data sources'!H:H,,0)</f>
        <v>Cameroon</v>
      </c>
      <c r="B151" s="85" t="s">
        <v>168</v>
      </c>
      <c r="C151" s="86">
        <v>21032705</v>
      </c>
      <c r="D151" s="85" t="s">
        <v>84</v>
      </c>
      <c r="E151" s="87">
        <v>0</v>
      </c>
      <c r="F151" s="88">
        <v>21632850.000000004</v>
      </c>
      <c r="G151" s="87">
        <v>0</v>
      </c>
      <c r="I151" s="87">
        <v>0</v>
      </c>
      <c r="K151" s="87">
        <v>0</v>
      </c>
      <c r="M151" s="87">
        <v>0</v>
      </c>
      <c r="O151" s="87">
        <v>0</v>
      </c>
      <c r="P151" s="88">
        <v>25076746.500000015</v>
      </c>
      <c r="Q151" s="87">
        <v>0</v>
      </c>
      <c r="R151" s="87">
        <f t="shared" si="38"/>
        <v>0</v>
      </c>
      <c r="T151" s="87">
        <v>0</v>
      </c>
      <c r="V151" s="87">
        <v>64</v>
      </c>
      <c r="X151" s="87">
        <v>584</v>
      </c>
      <c r="Y151" s="88">
        <v>27914536.499999989</v>
      </c>
      <c r="Z151" s="87">
        <v>606</v>
      </c>
      <c r="AA151" s="87">
        <v>0</v>
      </c>
      <c r="AB151" s="89">
        <f t="shared" si="39"/>
        <v>0</v>
      </c>
      <c r="AC151" s="89">
        <f t="shared" si="40"/>
        <v>0</v>
      </c>
      <c r="AD151" s="89">
        <f t="shared" si="41"/>
        <v>606</v>
      </c>
      <c r="AF151" s="90" t="str">
        <f t="shared" si="42"/>
        <v/>
      </c>
      <c r="AH151" s="90" t="str">
        <f t="shared" si="44"/>
        <v/>
      </c>
      <c r="AI151" s="90">
        <f t="shared" si="45"/>
        <v>606</v>
      </c>
      <c r="AJ151" s="90">
        <f t="shared" si="46"/>
        <v>2022</v>
      </c>
      <c r="AK151" s="90" t="str">
        <f t="shared" si="47"/>
        <v/>
      </c>
      <c r="AL151" s="91">
        <f>IF(AK151="Adjust",(_xlfn.XLOOKUP(A151,'Adj factor'!A:A,'Adj factor'!I:I,,0)*AI151),'Master DataSheet (Rev)'!AI151)</f>
        <v>606</v>
      </c>
      <c r="AM151" s="91">
        <f>IF(AL151&lt;AG151,AG151,AL151)</f>
        <v>606</v>
      </c>
      <c r="AN151" s="92" t="str">
        <f t="shared" si="49"/>
        <v>Increasing</v>
      </c>
      <c r="AO151" s="93">
        <f>VLOOKUP(B151,'Growthrates source'!A$2:H$49,8,FALSE)</f>
        <v>-1.4958984742070136E-2</v>
      </c>
      <c r="AP151" s="93">
        <f>VLOOKUP(B151,'Growthrates source'!A$2:I$49,9,FALSE)</f>
        <v>0.1904674530041961</v>
      </c>
      <c r="AQ151" s="86">
        <f t="shared" si="50"/>
        <v>0</v>
      </c>
      <c r="AR151" s="86">
        <f t="shared" si="51"/>
        <v>0</v>
      </c>
      <c r="AS151" s="94">
        <f t="shared" si="52"/>
        <v>0</v>
      </c>
      <c r="AT151" s="94">
        <f t="shared" si="53"/>
        <v>0</v>
      </c>
      <c r="AU151" s="94">
        <f t="shared" si="55"/>
        <v>0.21709119189566348</v>
      </c>
      <c r="AV151" s="94">
        <f t="shared" si="56"/>
        <v>0.21709119189566348</v>
      </c>
    </row>
    <row r="152" spans="1:48" x14ac:dyDescent="0.3">
      <c r="A152" s="85" t="str">
        <f>_xlfn.XLOOKUP(B152,'Country codes &amp; Data sources'!G:G,'Country codes &amp; Data sources'!H:H,,0)</f>
        <v>Cameroon</v>
      </c>
      <c r="B152" s="85" t="s">
        <v>168</v>
      </c>
      <c r="C152" s="86">
        <v>21032706</v>
      </c>
      <c r="D152" s="85" t="s">
        <v>126</v>
      </c>
      <c r="E152" s="87">
        <v>0</v>
      </c>
      <c r="F152" s="88">
        <v>21632850.000000004</v>
      </c>
      <c r="G152" s="87">
        <v>0</v>
      </c>
      <c r="I152" s="87">
        <v>0</v>
      </c>
      <c r="K152" s="87">
        <v>0</v>
      </c>
      <c r="M152" s="87">
        <v>0</v>
      </c>
      <c r="O152" s="87">
        <v>0</v>
      </c>
      <c r="P152" s="88">
        <v>25076746.500000015</v>
      </c>
      <c r="Q152" s="87">
        <v>0</v>
      </c>
      <c r="R152" s="87">
        <f t="shared" si="38"/>
        <v>0</v>
      </c>
      <c r="T152" s="87">
        <v>0</v>
      </c>
      <c r="V152" s="87">
        <v>2</v>
      </c>
      <c r="X152" s="87">
        <v>0</v>
      </c>
      <c r="Y152" s="88">
        <v>27914536.499999989</v>
      </c>
      <c r="Z152" s="87">
        <v>0</v>
      </c>
      <c r="AA152" s="87">
        <v>0</v>
      </c>
      <c r="AB152" s="89">
        <f t="shared" si="39"/>
        <v>0</v>
      </c>
      <c r="AC152" s="89">
        <f t="shared" si="40"/>
        <v>0</v>
      </c>
      <c r="AD152" s="89">
        <f t="shared" si="41"/>
        <v>2</v>
      </c>
      <c r="AF152" s="90" t="str">
        <f t="shared" si="42"/>
        <v/>
      </c>
      <c r="AH152" s="90" t="str">
        <f t="shared" si="44"/>
        <v/>
      </c>
      <c r="AI152" s="90">
        <f t="shared" si="45"/>
        <v>2</v>
      </c>
      <c r="AJ152" s="90">
        <f t="shared" si="46"/>
        <v>2020</v>
      </c>
      <c r="AK152" s="90" t="str">
        <f t="shared" si="47"/>
        <v/>
      </c>
      <c r="AL152" s="91">
        <f>IF(AK152="Adjust",(_xlfn.XLOOKUP(A152,'Adj factor'!A:A,'Adj factor'!I:I,,0)*AI152),'Master DataSheet (Rev)'!AI152)</f>
        <v>2</v>
      </c>
      <c r="AM152" s="91">
        <f t="shared" si="48"/>
        <v>2</v>
      </c>
      <c r="AN152" s="92" t="str">
        <f t="shared" si="49"/>
        <v>Increasing</v>
      </c>
      <c r="AO152" s="93">
        <f>VLOOKUP(B152,'Growthrates source'!A$2:H$49,8,FALSE)</f>
        <v>-1.4958984742070136E-2</v>
      </c>
      <c r="AP152" s="93">
        <f>VLOOKUP(B152,'Growthrates source'!A$2:I$49,9,FALSE)</f>
        <v>0.1904674530041961</v>
      </c>
      <c r="AQ152" s="86">
        <f t="shared" si="50"/>
        <v>0</v>
      </c>
      <c r="AR152" s="86">
        <f t="shared" si="51"/>
        <v>0</v>
      </c>
      <c r="AS152" s="94">
        <f t="shared" si="52"/>
        <v>0</v>
      </c>
      <c r="AT152" s="94">
        <f t="shared" si="53"/>
        <v>0</v>
      </c>
      <c r="AU152" s="94">
        <f t="shared" si="55"/>
        <v>7.1647258051374082E-4</v>
      </c>
      <c r="AV152" s="94">
        <f t="shared" si="56"/>
        <v>7.1647258051374082E-4</v>
      </c>
    </row>
    <row r="153" spans="1:48" x14ac:dyDescent="0.3">
      <c r="A153" s="85" t="str">
        <f>_xlfn.XLOOKUP(B153,'Country codes &amp; Data sources'!G:G,'Country codes &amp; Data sources'!H:H,,0)</f>
        <v>Cameroon</v>
      </c>
      <c r="B153" s="85" t="s">
        <v>168</v>
      </c>
      <c r="C153" s="86">
        <v>21032707</v>
      </c>
      <c r="D153" s="85" t="s">
        <v>87</v>
      </c>
      <c r="E153" s="87">
        <v>0</v>
      </c>
      <c r="F153" s="88">
        <v>21632850.000000004</v>
      </c>
      <c r="G153" s="87">
        <v>0</v>
      </c>
      <c r="I153" s="87">
        <v>0</v>
      </c>
      <c r="K153" s="87">
        <v>0</v>
      </c>
      <c r="M153" s="87">
        <v>0</v>
      </c>
      <c r="O153" s="87">
        <v>0</v>
      </c>
      <c r="P153" s="88">
        <v>25076746.500000015</v>
      </c>
      <c r="Q153" s="87">
        <v>0</v>
      </c>
      <c r="R153" s="87">
        <f t="shared" si="38"/>
        <v>0</v>
      </c>
      <c r="T153" s="87">
        <v>0</v>
      </c>
      <c r="V153" s="87">
        <v>7</v>
      </c>
      <c r="X153" s="87">
        <v>0</v>
      </c>
      <c r="Y153" s="88">
        <v>27914536.499999989</v>
      </c>
      <c r="Z153" s="87">
        <v>16</v>
      </c>
      <c r="AA153" s="87">
        <v>0</v>
      </c>
      <c r="AB153" s="89">
        <f t="shared" si="39"/>
        <v>0</v>
      </c>
      <c r="AC153" s="89">
        <f t="shared" si="40"/>
        <v>0</v>
      </c>
      <c r="AD153" s="89">
        <f t="shared" si="41"/>
        <v>16</v>
      </c>
      <c r="AF153" s="90" t="str">
        <f t="shared" si="42"/>
        <v/>
      </c>
      <c r="AH153" s="90" t="str">
        <f t="shared" si="44"/>
        <v/>
      </c>
      <c r="AI153" s="90">
        <f t="shared" si="45"/>
        <v>16</v>
      </c>
      <c r="AJ153" s="90">
        <f t="shared" si="46"/>
        <v>2022</v>
      </c>
      <c r="AK153" s="90" t="str">
        <f t="shared" si="47"/>
        <v/>
      </c>
      <c r="AL153" s="91">
        <f>IF(AK153="Adjust",(_xlfn.XLOOKUP(A153,'Adj factor'!A:A,'Adj factor'!I:I,,0)*AI153),'Master DataSheet (Rev)'!AI153)</f>
        <v>16</v>
      </c>
      <c r="AM153" s="91">
        <f t="shared" si="48"/>
        <v>16</v>
      </c>
      <c r="AN153" s="92" t="str">
        <f t="shared" si="49"/>
        <v>Increasing</v>
      </c>
      <c r="AO153" s="93">
        <f>VLOOKUP(B153,'Growthrates source'!A$2:H$49,8,FALSE)</f>
        <v>-1.4958984742070136E-2</v>
      </c>
      <c r="AP153" s="93">
        <f>VLOOKUP(B153,'Growthrates source'!A$2:I$49,9,FALSE)</f>
        <v>0.1904674530041961</v>
      </c>
      <c r="AQ153" s="86">
        <f t="shared" si="50"/>
        <v>0</v>
      </c>
      <c r="AR153" s="86">
        <f t="shared" si="51"/>
        <v>0</v>
      </c>
      <c r="AS153" s="94">
        <f t="shared" si="52"/>
        <v>0</v>
      </c>
      <c r="AT153" s="94">
        <f t="shared" si="53"/>
        <v>0</v>
      </c>
      <c r="AU153" s="94">
        <f t="shared" si="55"/>
        <v>5.7317806441099265E-3</v>
      </c>
      <c r="AV153" s="94">
        <f t="shared" si="56"/>
        <v>5.7317806441099265E-3</v>
      </c>
    </row>
    <row r="154" spans="1:48" x14ac:dyDescent="0.3">
      <c r="A154" s="85" t="str">
        <f>_xlfn.XLOOKUP(B154,'Country codes &amp; Data sources'!G:G,'Country codes &amp; Data sources'!H:H,,0)</f>
        <v>DRC</v>
      </c>
      <c r="B154" s="85" t="s">
        <v>154</v>
      </c>
      <c r="C154" s="86">
        <v>70997874.500000104</v>
      </c>
      <c r="D154" s="85" t="s">
        <v>127</v>
      </c>
      <c r="E154" s="87">
        <v>0</v>
      </c>
      <c r="F154" s="88">
        <v>73460021</v>
      </c>
      <c r="G154" s="87">
        <v>0</v>
      </c>
      <c r="I154" s="87">
        <v>0</v>
      </c>
      <c r="K154" s="87">
        <v>0</v>
      </c>
      <c r="M154" s="87">
        <v>0</v>
      </c>
      <c r="O154" s="87">
        <v>0</v>
      </c>
      <c r="P154" s="88">
        <v>87087354.999999985</v>
      </c>
      <c r="Q154" s="87">
        <v>0</v>
      </c>
      <c r="R154" s="87">
        <f t="shared" ref="R154:R203" si="57">MAX(Q154,AA154)</f>
        <v>0</v>
      </c>
      <c r="T154" s="87">
        <v>0</v>
      </c>
      <c r="V154" s="87">
        <v>0</v>
      </c>
      <c r="X154" s="87">
        <v>0</v>
      </c>
      <c r="Y154" s="88">
        <v>99010212</v>
      </c>
      <c r="Z154" s="87">
        <v>0</v>
      </c>
      <c r="AA154" s="87">
        <v>0</v>
      </c>
      <c r="AB154" s="89">
        <f t="shared" ref="AB154:AB203" si="58">MAX(G154,E154,I154,K154)</f>
        <v>0</v>
      </c>
      <c r="AC154" s="89">
        <f t="shared" ref="AC154:AC203" si="59">MAX(M154,O154,Q154,T154)</f>
        <v>0</v>
      </c>
      <c r="AD154" s="89">
        <f t="shared" ref="AD154:AD203" si="60">MAX(V154,X154,Z154)</f>
        <v>0</v>
      </c>
      <c r="AF154" s="90" t="str">
        <f t="shared" ref="AF154:AF203" si="61">IF(AE154&gt;0,_xlfn.XLOOKUP(AE154,$B154:$K154,$B$1:$K$1,,0),"")</f>
        <v/>
      </c>
      <c r="AH154" s="90" t="str">
        <f t="shared" ref="AH154:AH203" si="62">IF(AG154&gt;0,_xlfn.XLOOKUP(AG154,$L154:$T154,$L$1:$T$1,,0),"")</f>
        <v/>
      </c>
      <c r="AI154" s="90">
        <f t="shared" ref="AI154:AI203" si="63">IF((IF(Z154&gt;0,Z154,IF(X154&gt;0,X154,IF(V154&gt;0,V154,T154))))=0,AG154,IF(Z154&gt;0,Z154,IF(X154&gt;0,X154,IF(V154&gt;0,V154,T154))))</f>
        <v>0</v>
      </c>
      <c r="AJ154" s="90" t="str">
        <f t="shared" ref="AJ154:AJ203" si="64">IFERROR(IF(AI154&gt;0,_xlfn.XLOOKUP(AI154,$V154:$Z154,$V$1:$Z$1,,0),""),AH154)</f>
        <v/>
      </c>
      <c r="AK154" s="90" t="str">
        <f t="shared" ref="AK154:AK203" si="65">IF(AI154&lt;AG154,"Adjust","")</f>
        <v/>
      </c>
      <c r="AL154" s="91"/>
      <c r="AM154" s="91">
        <f t="shared" ref="AM154:AM203" si="66">IF(AL154&lt;AG154,AG154,AL154)</f>
        <v>0</v>
      </c>
      <c r="AN154" s="92" t="str">
        <f t="shared" ref="AN154:AN203" si="67">IF(AL154&gt;AG154,"Increasing",IF(AL154&lt;AG154,"Decreasing","No change"))</f>
        <v>No change</v>
      </c>
      <c r="AO154" s="93">
        <f>VLOOKUP(B154,'Growthrates source'!A$2:H$49,8,FALSE)</f>
        <v>0.14126140610967886</v>
      </c>
      <c r="AP154" s="93">
        <f>VLOOKUP(B154,'Growthrates source'!A$2:I$49,9,FALSE)</f>
        <v>5.4673730437993617E-2</v>
      </c>
      <c r="AQ154" s="86">
        <f t="shared" ref="AQ154:AQ203" si="68">AA154/(EXP(AO154*5))</f>
        <v>0</v>
      </c>
      <c r="AR154" s="86">
        <f t="shared" ref="AR154:AR203" si="69">AA154*EXP(AP154*3)</f>
        <v>0</v>
      </c>
      <c r="AS154" s="94">
        <f t="shared" ref="AS154:AS203" si="70">(AE154*10000)/F154</f>
        <v>0</v>
      </c>
      <c r="AT154" s="94">
        <f t="shared" ref="AT154:AT203" si="71">(AG154*10000)/P154</f>
        <v>0</v>
      </c>
      <c r="AU154" s="94">
        <f t="shared" si="55"/>
        <v>0</v>
      </c>
      <c r="AV154" s="94">
        <f t="shared" si="56"/>
        <v>0</v>
      </c>
    </row>
    <row r="155" spans="1:48" x14ac:dyDescent="0.3">
      <c r="A155" s="85" t="str">
        <f>_xlfn.XLOOKUP(B155,'Country codes &amp; Data sources'!G:G,'Country codes &amp; Data sources'!H:H,,0)</f>
        <v>DRC</v>
      </c>
      <c r="B155" s="85" t="s">
        <v>154</v>
      </c>
      <c r="C155" s="86">
        <v>70997875.500000104</v>
      </c>
      <c r="D155" s="85" t="s">
        <v>61</v>
      </c>
      <c r="E155" s="87">
        <v>19</v>
      </c>
      <c r="F155" s="88">
        <v>73460021</v>
      </c>
      <c r="G155" s="87">
        <v>0</v>
      </c>
      <c r="I155" s="87">
        <v>361</v>
      </c>
      <c r="K155" s="87">
        <v>2192</v>
      </c>
      <c r="M155" s="87">
        <v>0</v>
      </c>
      <c r="O155" s="87">
        <v>0</v>
      </c>
      <c r="P155" s="88">
        <v>87087354.999999985</v>
      </c>
      <c r="Q155" s="87">
        <v>119</v>
      </c>
      <c r="R155" s="87">
        <f t="shared" si="57"/>
        <v>535</v>
      </c>
      <c r="T155" s="87">
        <v>0</v>
      </c>
      <c r="V155" s="87">
        <v>776</v>
      </c>
      <c r="X155" s="87">
        <v>91</v>
      </c>
      <c r="Y155" s="88">
        <v>99010212</v>
      </c>
      <c r="Z155" s="87">
        <v>0</v>
      </c>
      <c r="AA155" s="87">
        <v>535</v>
      </c>
      <c r="AB155" s="89">
        <f t="shared" si="58"/>
        <v>2192</v>
      </c>
      <c r="AC155" s="89">
        <f t="shared" si="59"/>
        <v>119</v>
      </c>
      <c r="AD155" s="89">
        <f t="shared" si="60"/>
        <v>776</v>
      </c>
      <c r="AE155" s="90">
        <f t="shared" ref="AE155:AE194" si="72">IF(G155&gt;0,G155,IF(E155&gt;0,E155,IF(I155&gt;0,I155,K155)))</f>
        <v>19</v>
      </c>
      <c r="AF155" s="90">
        <f t="shared" si="61"/>
        <v>2012</v>
      </c>
      <c r="AG155" s="90">
        <f t="shared" ref="AG155:AG203" si="73">IF(R155&gt;0,R155,IF(O155&gt;0,O155,T155))</f>
        <v>535</v>
      </c>
      <c r="AH155" s="90" t="str">
        <f t="shared" si="62"/>
        <v>2018 (triag)</v>
      </c>
      <c r="AI155" s="90">
        <f t="shared" si="63"/>
        <v>91</v>
      </c>
      <c r="AJ155" s="90">
        <f t="shared" si="64"/>
        <v>2021</v>
      </c>
      <c r="AK155" s="90" t="str">
        <f t="shared" si="65"/>
        <v>Adjust</v>
      </c>
      <c r="AL155" s="91">
        <f>IF(AK155="Adjust",(_xlfn.XLOOKUP(A155,'Adj factor'!A:A,'Adj factor'!I:I,,0)*AI155),'Master DataSheet (Rev)'!AI155)</f>
        <v>104.76322086409942</v>
      </c>
      <c r="AM155" s="91">
        <f t="shared" si="66"/>
        <v>535</v>
      </c>
      <c r="AN155" s="92" t="str">
        <f t="shared" si="67"/>
        <v>Decreasing</v>
      </c>
      <c r="AO155" s="93">
        <f>VLOOKUP(B155,'Growthrates source'!A$2:H$49,8,FALSE)</f>
        <v>0.14126140610967886</v>
      </c>
      <c r="AP155" s="93">
        <f>VLOOKUP(B155,'Growthrates source'!A$2:I$49,9,FALSE)</f>
        <v>5.4673730437993617E-2</v>
      </c>
      <c r="AQ155" s="86">
        <f t="shared" si="68"/>
        <v>264.0028019000107</v>
      </c>
      <c r="AR155" s="86">
        <f t="shared" si="69"/>
        <v>630.35801654771842</v>
      </c>
      <c r="AS155" s="94">
        <f t="shared" si="70"/>
        <v>2.5864408614857323E-3</v>
      </c>
      <c r="AT155" s="94">
        <f t="shared" si="71"/>
        <v>6.1432569630803471E-2</v>
      </c>
      <c r="AU155" s="94">
        <f t="shared" si="55"/>
        <v>1.0581052070073279E-2</v>
      </c>
      <c r="AV155" s="94">
        <f t="shared" si="56"/>
        <v>5.4034830265791166E-2</v>
      </c>
    </row>
    <row r="156" spans="1:48" x14ac:dyDescent="0.3">
      <c r="A156" s="85" t="str">
        <f>_xlfn.XLOOKUP(B156,'Country codes &amp; Data sources'!G:G,'Country codes &amp; Data sources'!H:H,,0)</f>
        <v>DRC</v>
      </c>
      <c r="B156" s="85" t="s">
        <v>154</v>
      </c>
      <c r="C156" s="86">
        <v>70997876.500000104</v>
      </c>
      <c r="D156" s="85" t="s">
        <v>62</v>
      </c>
      <c r="E156" s="87">
        <v>634</v>
      </c>
      <c r="F156" s="88">
        <v>73460021</v>
      </c>
      <c r="G156" s="87">
        <v>0</v>
      </c>
      <c r="I156" s="87">
        <v>163</v>
      </c>
      <c r="K156" s="87">
        <v>1168</v>
      </c>
      <c r="M156" s="87">
        <v>0</v>
      </c>
      <c r="O156" s="87">
        <v>0</v>
      </c>
      <c r="P156" s="88">
        <v>87087354.999999985</v>
      </c>
      <c r="Q156" s="87">
        <v>136</v>
      </c>
      <c r="R156" s="87">
        <f t="shared" si="57"/>
        <v>167</v>
      </c>
      <c r="T156" s="87">
        <v>4362</v>
      </c>
      <c r="V156" s="87">
        <v>3788</v>
      </c>
      <c r="X156" s="87">
        <v>2684</v>
      </c>
      <c r="Y156" s="88">
        <v>99010212</v>
      </c>
      <c r="Z156" s="87">
        <v>233</v>
      </c>
      <c r="AA156" s="87">
        <v>167</v>
      </c>
      <c r="AB156" s="89">
        <f t="shared" si="58"/>
        <v>1168</v>
      </c>
      <c r="AC156" s="89">
        <f t="shared" si="59"/>
        <v>4362</v>
      </c>
      <c r="AD156" s="89">
        <f t="shared" si="60"/>
        <v>3788</v>
      </c>
      <c r="AE156" s="90">
        <f t="shared" si="72"/>
        <v>634</v>
      </c>
      <c r="AF156" s="90">
        <f t="shared" si="61"/>
        <v>2012</v>
      </c>
      <c r="AG156" s="90">
        <f t="shared" si="73"/>
        <v>167</v>
      </c>
      <c r="AH156" s="90" t="str">
        <f t="shared" si="62"/>
        <v>2018 (triag)</v>
      </c>
      <c r="AI156" s="90">
        <f t="shared" si="63"/>
        <v>233</v>
      </c>
      <c r="AJ156" s="90">
        <f t="shared" si="64"/>
        <v>2022</v>
      </c>
      <c r="AK156" s="90" t="str">
        <f t="shared" si="65"/>
        <v/>
      </c>
      <c r="AL156" s="91">
        <f>IF(AK156="Adjust",(_xlfn.XLOOKUP(A156,'Adj factor'!A:A,'Adj factor'!I:I,,0)*AI156),'Master DataSheet (Rev)'!AI156)</f>
        <v>233</v>
      </c>
      <c r="AM156" s="91">
        <f t="shared" si="66"/>
        <v>233</v>
      </c>
      <c r="AN156" s="92" t="str">
        <f t="shared" si="67"/>
        <v>Increasing</v>
      </c>
      <c r="AO156" s="93">
        <f>VLOOKUP(B156,'Growthrates source'!A$2:H$49,8,FALSE)</f>
        <v>0.14126140610967886</v>
      </c>
      <c r="AP156" s="93">
        <f>VLOOKUP(B156,'Growthrates source'!A$2:I$49,9,FALSE)</f>
        <v>5.4673730437993617E-2</v>
      </c>
      <c r="AQ156" s="86">
        <f t="shared" si="68"/>
        <v>82.408351247293055</v>
      </c>
      <c r="AR156" s="86">
        <f t="shared" si="69"/>
        <v>196.7659603055495</v>
      </c>
      <c r="AS156" s="94">
        <f t="shared" si="70"/>
        <v>8.6305447693787077E-2</v>
      </c>
      <c r="AT156" s="94">
        <f t="shared" si="71"/>
        <v>1.9176147903447065E-2</v>
      </c>
      <c r="AU156" s="94">
        <f t="shared" si="55"/>
        <v>2.3532926078372603E-2</v>
      </c>
      <c r="AV156" s="94">
        <f t="shared" si="56"/>
        <v>2.3532926078372603E-2</v>
      </c>
    </row>
    <row r="157" spans="1:48" x14ac:dyDescent="0.3">
      <c r="A157" s="85" t="str">
        <f>_xlfn.XLOOKUP(B157,'Country codes &amp; Data sources'!G:G,'Country codes &amp; Data sources'!H:H,,0)</f>
        <v>DRC</v>
      </c>
      <c r="B157" s="85" t="s">
        <v>154</v>
      </c>
      <c r="C157" s="86">
        <v>70997877.500000104</v>
      </c>
      <c r="D157" s="85" t="s">
        <v>203</v>
      </c>
      <c r="E157" s="87">
        <v>0</v>
      </c>
      <c r="F157" s="88">
        <v>73460021</v>
      </c>
      <c r="G157" s="87">
        <v>0</v>
      </c>
      <c r="I157" s="87">
        <v>0</v>
      </c>
      <c r="K157" s="87">
        <v>0</v>
      </c>
      <c r="M157" s="87">
        <v>0</v>
      </c>
      <c r="O157" s="87">
        <v>0</v>
      </c>
      <c r="P157" s="88">
        <v>87087354.999999985</v>
      </c>
      <c r="Q157" s="87">
        <v>0</v>
      </c>
      <c r="R157" s="87">
        <f t="shared" si="57"/>
        <v>0</v>
      </c>
      <c r="T157" s="87">
        <v>0</v>
      </c>
      <c r="V157" s="87">
        <v>0</v>
      </c>
      <c r="X157" s="87">
        <v>0</v>
      </c>
      <c r="Y157" s="88">
        <v>99010212</v>
      </c>
      <c r="Z157" s="87">
        <v>0</v>
      </c>
      <c r="AA157" s="87">
        <v>0</v>
      </c>
      <c r="AB157" s="89">
        <f t="shared" si="58"/>
        <v>0</v>
      </c>
      <c r="AC157" s="89">
        <f t="shared" si="59"/>
        <v>0</v>
      </c>
      <c r="AD157" s="89">
        <f t="shared" si="60"/>
        <v>0</v>
      </c>
      <c r="AF157" s="90" t="str">
        <f t="shared" si="61"/>
        <v/>
      </c>
      <c r="AH157" s="90" t="str">
        <f t="shared" si="62"/>
        <v/>
      </c>
      <c r="AI157" s="90">
        <f t="shared" si="63"/>
        <v>0</v>
      </c>
      <c r="AJ157" s="90" t="str">
        <f t="shared" si="64"/>
        <v/>
      </c>
      <c r="AK157" s="90" t="str">
        <f t="shared" si="65"/>
        <v/>
      </c>
      <c r="AL157" s="91"/>
      <c r="AM157" s="91">
        <f t="shared" si="66"/>
        <v>0</v>
      </c>
      <c r="AN157" s="92" t="str">
        <f t="shared" si="67"/>
        <v>No change</v>
      </c>
      <c r="AO157" s="93">
        <f>VLOOKUP(B157,'Growthrates source'!A$2:H$49,8,FALSE)</f>
        <v>0.14126140610967886</v>
      </c>
      <c r="AP157" s="93">
        <f>VLOOKUP(B157,'Growthrates source'!A$2:I$49,9,FALSE)</f>
        <v>5.4673730437993617E-2</v>
      </c>
      <c r="AQ157" s="86">
        <f t="shared" si="68"/>
        <v>0</v>
      </c>
      <c r="AR157" s="86">
        <f t="shared" si="69"/>
        <v>0</v>
      </c>
      <c r="AS157" s="94">
        <f t="shared" si="70"/>
        <v>0</v>
      </c>
      <c r="AT157" s="94">
        <f t="shared" si="71"/>
        <v>0</v>
      </c>
      <c r="AU157" s="94">
        <f t="shared" si="55"/>
        <v>0</v>
      </c>
      <c r="AV157" s="94">
        <f t="shared" si="56"/>
        <v>0</v>
      </c>
    </row>
    <row r="158" spans="1:48" x14ac:dyDescent="0.3">
      <c r="A158" s="85" t="str">
        <f>_xlfn.XLOOKUP(B158,'Country codes &amp; Data sources'!G:G,'Country codes &amp; Data sources'!H:H,,0)</f>
        <v>DRC</v>
      </c>
      <c r="B158" s="85" t="s">
        <v>154</v>
      </c>
      <c r="C158" s="86">
        <v>70997878.500000104</v>
      </c>
      <c r="D158" s="85" t="s">
        <v>204</v>
      </c>
      <c r="E158" s="87">
        <v>0</v>
      </c>
      <c r="F158" s="88">
        <v>73460021</v>
      </c>
      <c r="G158" s="87">
        <v>0</v>
      </c>
      <c r="I158" s="87">
        <v>0</v>
      </c>
      <c r="K158" s="87">
        <v>0</v>
      </c>
      <c r="M158" s="87">
        <v>0</v>
      </c>
      <c r="O158" s="87">
        <v>0</v>
      </c>
      <c r="P158" s="88">
        <v>87087354.999999985</v>
      </c>
      <c r="Q158" s="87">
        <v>0</v>
      </c>
      <c r="R158" s="87">
        <f t="shared" si="57"/>
        <v>2651</v>
      </c>
      <c r="T158" s="87">
        <v>3342</v>
      </c>
      <c r="V158" s="87">
        <v>0</v>
      </c>
      <c r="X158" s="87">
        <v>3724</v>
      </c>
      <c r="Y158" s="88">
        <v>99010212</v>
      </c>
      <c r="Z158" s="87">
        <v>4695</v>
      </c>
      <c r="AA158" s="87">
        <v>2651</v>
      </c>
      <c r="AB158" s="89">
        <f t="shared" si="58"/>
        <v>0</v>
      </c>
      <c r="AC158" s="89">
        <f t="shared" si="59"/>
        <v>3342</v>
      </c>
      <c r="AD158" s="89">
        <f t="shared" si="60"/>
        <v>4695</v>
      </c>
      <c r="AF158" s="90" t="str">
        <f t="shared" si="61"/>
        <v/>
      </c>
      <c r="AG158" s="90">
        <f t="shared" si="73"/>
        <v>2651</v>
      </c>
      <c r="AH158" s="90" t="str">
        <f t="shared" si="62"/>
        <v>2018 (triag)</v>
      </c>
      <c r="AI158" s="90">
        <f t="shared" si="63"/>
        <v>4695</v>
      </c>
      <c r="AJ158" s="90">
        <f t="shared" si="64"/>
        <v>2022</v>
      </c>
      <c r="AK158" s="90" t="str">
        <f t="shared" si="65"/>
        <v/>
      </c>
      <c r="AL158" s="91">
        <f>IF(AK158="Adjust",(_xlfn.XLOOKUP(A158,'Adj factor'!A:A,'Adj factor'!I:I,,0)*AI158),'Master DataSheet (Rev)'!AI158)</f>
        <v>4695</v>
      </c>
      <c r="AM158" s="91">
        <f t="shared" si="66"/>
        <v>4695</v>
      </c>
      <c r="AN158" s="92" t="str">
        <f t="shared" si="67"/>
        <v>Increasing</v>
      </c>
      <c r="AO158" s="93">
        <f>VLOOKUP(B158,'Growthrates source'!A$2:H$49,8,FALSE)</f>
        <v>0.14126140610967886</v>
      </c>
      <c r="AP158" s="93">
        <f>VLOOKUP(B158,'Growthrates source'!A$2:I$49,9,FALSE)</f>
        <v>5.4673730437993617E-2</v>
      </c>
      <c r="AQ158" s="86">
        <f t="shared" si="68"/>
        <v>1308.1708931531371</v>
      </c>
      <c r="AR158" s="86">
        <f t="shared" si="69"/>
        <v>3123.51233994019</v>
      </c>
      <c r="AS158" s="94">
        <f t="shared" si="70"/>
        <v>0</v>
      </c>
      <c r="AT158" s="94">
        <f t="shared" si="71"/>
        <v>0.30440699456310283</v>
      </c>
      <c r="AU158" s="94">
        <f t="shared" si="55"/>
        <v>0.47419351046334496</v>
      </c>
      <c r="AV158" s="94">
        <f t="shared" si="56"/>
        <v>0.47419351046334496</v>
      </c>
    </row>
    <row r="159" spans="1:48" x14ac:dyDescent="0.3">
      <c r="A159" s="85" t="str">
        <f>_xlfn.XLOOKUP(B159,'Country codes &amp; Data sources'!G:G,'Country codes &amp; Data sources'!H:H,,0)</f>
        <v>DRC</v>
      </c>
      <c r="B159" s="85" t="s">
        <v>154</v>
      </c>
      <c r="C159" s="86">
        <v>70997879.500000104</v>
      </c>
      <c r="D159" s="85" t="s">
        <v>205</v>
      </c>
      <c r="E159" s="87">
        <v>0</v>
      </c>
      <c r="F159" s="88">
        <v>73460021</v>
      </c>
      <c r="G159" s="87">
        <v>0</v>
      </c>
      <c r="I159" s="87">
        <v>0</v>
      </c>
      <c r="K159" s="87">
        <v>0</v>
      </c>
      <c r="M159" s="87">
        <v>0</v>
      </c>
      <c r="O159" s="87">
        <v>0</v>
      </c>
      <c r="P159" s="88">
        <v>87087354.999999985</v>
      </c>
      <c r="Q159" s="87">
        <v>0</v>
      </c>
      <c r="R159" s="87">
        <f t="shared" si="57"/>
        <v>0</v>
      </c>
      <c r="T159" s="87">
        <v>0</v>
      </c>
      <c r="V159" s="87">
        <v>0</v>
      </c>
      <c r="X159" s="87">
        <v>0</v>
      </c>
      <c r="Y159" s="88">
        <v>99010212</v>
      </c>
      <c r="Z159" s="87">
        <v>0</v>
      </c>
      <c r="AA159" s="87">
        <v>0</v>
      </c>
      <c r="AB159" s="89">
        <f t="shared" si="58"/>
        <v>0</v>
      </c>
      <c r="AC159" s="89">
        <f t="shared" si="59"/>
        <v>0</v>
      </c>
      <c r="AD159" s="89">
        <f t="shared" si="60"/>
        <v>0</v>
      </c>
      <c r="AF159" s="90" t="str">
        <f t="shared" si="61"/>
        <v/>
      </c>
      <c r="AH159" s="90" t="str">
        <f t="shared" si="62"/>
        <v/>
      </c>
      <c r="AI159" s="90">
        <f t="shared" si="63"/>
        <v>0</v>
      </c>
      <c r="AJ159" s="90" t="str">
        <f t="shared" si="64"/>
        <v/>
      </c>
      <c r="AK159" s="90" t="str">
        <f t="shared" si="65"/>
        <v/>
      </c>
      <c r="AL159" s="91"/>
      <c r="AM159" s="91">
        <f t="shared" si="66"/>
        <v>0</v>
      </c>
      <c r="AN159" s="92" t="str">
        <f t="shared" si="67"/>
        <v>No change</v>
      </c>
      <c r="AO159" s="93">
        <f>VLOOKUP(B159,'Growthrates source'!A$2:H$49,8,FALSE)</f>
        <v>0.14126140610967886</v>
      </c>
      <c r="AP159" s="93">
        <f>VLOOKUP(B159,'Growthrates source'!A$2:I$49,9,FALSE)</f>
        <v>5.4673730437993617E-2</v>
      </c>
      <c r="AQ159" s="86">
        <f t="shared" si="68"/>
        <v>0</v>
      </c>
      <c r="AR159" s="86">
        <f t="shared" si="69"/>
        <v>0</v>
      </c>
      <c r="AS159" s="94">
        <f t="shared" si="70"/>
        <v>0</v>
      </c>
      <c r="AT159" s="94">
        <f t="shared" si="71"/>
        <v>0</v>
      </c>
      <c r="AU159" s="94">
        <f t="shared" si="55"/>
        <v>0</v>
      </c>
      <c r="AV159" s="94">
        <f t="shared" si="56"/>
        <v>0</v>
      </c>
    </row>
    <row r="160" spans="1:48" x14ac:dyDescent="0.3">
      <c r="A160" s="85" t="str">
        <f>_xlfn.XLOOKUP(B160,'Country codes &amp; Data sources'!G:G,'Country codes &amp; Data sources'!H:H,,0)</f>
        <v>DRC</v>
      </c>
      <c r="B160" s="85" t="s">
        <v>154</v>
      </c>
      <c r="C160" s="86">
        <v>70997880.500000104</v>
      </c>
      <c r="D160" s="85" t="s">
        <v>133</v>
      </c>
      <c r="E160" s="87">
        <v>0</v>
      </c>
      <c r="F160" s="88">
        <v>73460021</v>
      </c>
      <c r="G160" s="87">
        <v>2126</v>
      </c>
      <c r="I160" s="87">
        <v>0</v>
      </c>
      <c r="K160" s="87">
        <v>0</v>
      </c>
      <c r="M160" s="87">
        <v>0</v>
      </c>
      <c r="O160" s="87">
        <v>0</v>
      </c>
      <c r="P160" s="88">
        <v>87087354.999999985</v>
      </c>
      <c r="Q160" s="87">
        <v>2934</v>
      </c>
      <c r="R160" s="87">
        <f t="shared" si="57"/>
        <v>2934</v>
      </c>
      <c r="T160" s="87">
        <v>0</v>
      </c>
      <c r="V160" s="87">
        <v>0</v>
      </c>
      <c r="X160" s="87">
        <v>0</v>
      </c>
      <c r="Y160" s="88">
        <v>99010212</v>
      </c>
      <c r="Z160" s="87">
        <v>0</v>
      </c>
      <c r="AA160" s="87">
        <v>0</v>
      </c>
      <c r="AB160" s="89">
        <f t="shared" si="58"/>
        <v>2126</v>
      </c>
      <c r="AC160" s="89">
        <f t="shared" si="59"/>
        <v>2934</v>
      </c>
      <c r="AD160" s="89">
        <f t="shared" si="60"/>
        <v>0</v>
      </c>
      <c r="AE160" s="90">
        <f t="shared" si="72"/>
        <v>2126</v>
      </c>
      <c r="AF160" s="90">
        <f t="shared" si="61"/>
        <v>2013</v>
      </c>
      <c r="AG160" s="90">
        <f t="shared" si="73"/>
        <v>2934</v>
      </c>
      <c r="AH160" s="90">
        <f t="shared" si="62"/>
        <v>2018</v>
      </c>
      <c r="AI160" s="90">
        <f t="shared" si="63"/>
        <v>2934</v>
      </c>
      <c r="AJ160" s="90">
        <f t="shared" si="64"/>
        <v>2018</v>
      </c>
      <c r="AK160" s="90" t="str">
        <f t="shared" si="65"/>
        <v/>
      </c>
      <c r="AL160" s="91">
        <f>IF(AK160="Adjust",(_xlfn.XLOOKUP(A160,'Adj factor'!A:A,'Adj factor'!I:I,,0)*AI160),'Master DataSheet (Rev)'!AI160)</f>
        <v>2934</v>
      </c>
      <c r="AM160" s="91">
        <f t="shared" si="66"/>
        <v>2934</v>
      </c>
      <c r="AN160" s="92" t="str">
        <f t="shared" si="67"/>
        <v>No change</v>
      </c>
      <c r="AO160" s="93">
        <f>VLOOKUP(B160,'Growthrates source'!A$2:H$49,8,FALSE)</f>
        <v>0.14126140610967886</v>
      </c>
      <c r="AP160" s="93">
        <f>VLOOKUP(B160,'Growthrates source'!A$2:I$49,9,FALSE)</f>
        <v>5.4673730437993617E-2</v>
      </c>
      <c r="AQ160" s="86">
        <f t="shared" si="68"/>
        <v>0</v>
      </c>
      <c r="AR160" s="86">
        <f t="shared" si="69"/>
        <v>0</v>
      </c>
      <c r="AS160" s="94">
        <f t="shared" si="70"/>
        <v>0.28940911955361409</v>
      </c>
      <c r="AT160" s="94">
        <f t="shared" si="71"/>
        <v>0.33690310148930352</v>
      </c>
      <c r="AU160" s="94">
        <f t="shared" si="55"/>
        <v>0.29633306915856317</v>
      </c>
      <c r="AV160" s="94">
        <f t="shared" si="56"/>
        <v>0.29633306915856317</v>
      </c>
    </row>
    <row r="161" spans="1:48" x14ac:dyDescent="0.3">
      <c r="A161" s="85" t="str">
        <f>_xlfn.XLOOKUP(B161,'Country codes &amp; Data sources'!G:G,'Country codes &amp; Data sources'!H:H,,0)</f>
        <v>DRC</v>
      </c>
      <c r="B161" s="85" t="s">
        <v>154</v>
      </c>
      <c r="C161" s="86">
        <v>70997881.500000104</v>
      </c>
      <c r="D161" s="85" t="s">
        <v>206</v>
      </c>
      <c r="E161" s="87">
        <v>0</v>
      </c>
      <c r="F161" s="88">
        <v>73460021</v>
      </c>
      <c r="G161" s="87">
        <v>0</v>
      </c>
      <c r="I161" s="87">
        <v>0</v>
      </c>
      <c r="K161" s="87">
        <v>0</v>
      </c>
      <c r="M161" s="87">
        <v>0</v>
      </c>
      <c r="O161" s="87">
        <v>0</v>
      </c>
      <c r="P161" s="88">
        <v>87087354.999999985</v>
      </c>
      <c r="Q161" s="87">
        <v>0</v>
      </c>
      <c r="R161" s="87">
        <f t="shared" si="57"/>
        <v>0</v>
      </c>
      <c r="T161" s="87">
        <v>0</v>
      </c>
      <c r="V161" s="87">
        <v>0</v>
      </c>
      <c r="X161" s="87">
        <v>0</v>
      </c>
      <c r="Y161" s="88">
        <v>99010212</v>
      </c>
      <c r="Z161" s="87">
        <v>0</v>
      </c>
      <c r="AA161" s="87">
        <v>0</v>
      </c>
      <c r="AB161" s="89">
        <f t="shared" si="58"/>
        <v>0</v>
      </c>
      <c r="AC161" s="89">
        <f t="shared" si="59"/>
        <v>0</v>
      </c>
      <c r="AD161" s="89">
        <f t="shared" si="60"/>
        <v>0</v>
      </c>
      <c r="AF161" s="90" t="str">
        <f t="shared" si="61"/>
        <v/>
      </c>
      <c r="AH161" s="90" t="str">
        <f t="shared" si="62"/>
        <v/>
      </c>
      <c r="AI161" s="90">
        <f t="shared" si="63"/>
        <v>0</v>
      </c>
      <c r="AJ161" s="90" t="str">
        <f t="shared" si="64"/>
        <v/>
      </c>
      <c r="AK161" s="90" t="str">
        <f t="shared" si="65"/>
        <v/>
      </c>
      <c r="AL161" s="91"/>
      <c r="AM161" s="91">
        <f t="shared" si="66"/>
        <v>0</v>
      </c>
      <c r="AN161" s="92" t="str">
        <f t="shared" si="67"/>
        <v>No change</v>
      </c>
      <c r="AO161" s="93">
        <f>VLOOKUP(B161,'Growthrates source'!A$2:H$49,8,FALSE)</f>
        <v>0.14126140610967886</v>
      </c>
      <c r="AP161" s="93">
        <f>VLOOKUP(B161,'Growthrates source'!A$2:I$49,9,FALSE)</f>
        <v>5.4673730437993617E-2</v>
      </c>
      <c r="AQ161" s="86">
        <f t="shared" si="68"/>
        <v>0</v>
      </c>
      <c r="AR161" s="86">
        <f t="shared" si="69"/>
        <v>0</v>
      </c>
      <c r="AS161" s="94">
        <f t="shared" si="70"/>
        <v>0</v>
      </c>
      <c r="AT161" s="94">
        <f t="shared" si="71"/>
        <v>0</v>
      </c>
      <c r="AU161" s="94">
        <f t="shared" si="55"/>
        <v>0</v>
      </c>
      <c r="AV161" s="94">
        <f t="shared" si="56"/>
        <v>0</v>
      </c>
    </row>
    <row r="162" spans="1:48" x14ac:dyDescent="0.3">
      <c r="A162" s="85" t="str">
        <f>_xlfn.XLOOKUP(B162,'Country codes &amp; Data sources'!G:G,'Country codes &amp; Data sources'!H:H,,0)</f>
        <v>DRC</v>
      </c>
      <c r="B162" s="85" t="s">
        <v>154</v>
      </c>
      <c r="C162" s="86">
        <v>70997882.500000104</v>
      </c>
      <c r="D162" s="85" t="s">
        <v>136</v>
      </c>
      <c r="E162" s="87">
        <v>0</v>
      </c>
      <c r="F162" s="88">
        <v>73460021</v>
      </c>
      <c r="G162" s="87">
        <v>287</v>
      </c>
      <c r="I162" s="87">
        <v>0</v>
      </c>
      <c r="K162" s="87">
        <v>0</v>
      </c>
      <c r="M162" s="87">
        <v>0</v>
      </c>
      <c r="O162" s="87">
        <v>0</v>
      </c>
      <c r="P162" s="88">
        <v>87087354.999999985</v>
      </c>
      <c r="Q162" s="87">
        <v>0</v>
      </c>
      <c r="R162" s="87">
        <f t="shared" si="57"/>
        <v>338</v>
      </c>
      <c r="T162" s="87">
        <v>0</v>
      </c>
      <c r="V162" s="87">
        <v>0</v>
      </c>
      <c r="X162" s="87">
        <v>439</v>
      </c>
      <c r="Y162" s="88">
        <v>99010212</v>
      </c>
      <c r="Z162" s="87">
        <v>528</v>
      </c>
      <c r="AA162" s="87">
        <v>338</v>
      </c>
      <c r="AB162" s="89">
        <f t="shared" si="58"/>
        <v>287</v>
      </c>
      <c r="AC162" s="89">
        <f t="shared" si="59"/>
        <v>0</v>
      </c>
      <c r="AD162" s="89">
        <f t="shared" si="60"/>
        <v>528</v>
      </c>
      <c r="AE162" s="90">
        <f t="shared" si="72"/>
        <v>287</v>
      </c>
      <c r="AF162" s="90">
        <f t="shared" si="61"/>
        <v>2013</v>
      </c>
      <c r="AG162" s="90">
        <f t="shared" si="73"/>
        <v>338</v>
      </c>
      <c r="AH162" s="90" t="str">
        <f t="shared" si="62"/>
        <v>2018 (triag)</v>
      </c>
      <c r="AI162" s="90">
        <f t="shared" si="63"/>
        <v>528</v>
      </c>
      <c r="AJ162" s="90">
        <f t="shared" si="64"/>
        <v>2022</v>
      </c>
      <c r="AK162" s="90" t="str">
        <f t="shared" si="65"/>
        <v/>
      </c>
      <c r="AL162" s="91">
        <f>IF(AK162="Adjust",(_xlfn.XLOOKUP(A162,'Adj factor'!A:A,'Adj factor'!I:I,,0)*AI162),'Master DataSheet (Rev)'!AI162)</f>
        <v>528</v>
      </c>
      <c r="AM162" s="91">
        <f t="shared" si="66"/>
        <v>528</v>
      </c>
      <c r="AN162" s="92" t="str">
        <f t="shared" si="67"/>
        <v>Increasing</v>
      </c>
      <c r="AO162" s="93">
        <f>VLOOKUP(B162,'Growthrates source'!A$2:H$49,8,FALSE)</f>
        <v>0.14126140610967886</v>
      </c>
      <c r="AP162" s="93">
        <f>VLOOKUP(B162,'Growthrates source'!A$2:I$49,9,FALSE)</f>
        <v>5.4673730437993617E-2</v>
      </c>
      <c r="AQ162" s="86">
        <f t="shared" si="68"/>
        <v>166.79055521907219</v>
      </c>
      <c r="AR162" s="86">
        <f t="shared" si="69"/>
        <v>398.24487774416605</v>
      </c>
      <c r="AS162" s="94">
        <f t="shared" si="70"/>
        <v>3.9068869855073962E-2</v>
      </c>
      <c r="AT162" s="94">
        <f t="shared" si="71"/>
        <v>3.8811604738713222E-2</v>
      </c>
      <c r="AU162" s="94">
        <f t="shared" si="55"/>
        <v>5.3327832486612596E-2</v>
      </c>
      <c r="AV162" s="94">
        <f t="shared" si="56"/>
        <v>5.3327832486612596E-2</v>
      </c>
    </row>
    <row r="163" spans="1:48" x14ac:dyDescent="0.3">
      <c r="A163" s="85" t="str">
        <f>_xlfn.XLOOKUP(B163,'Country codes &amp; Data sources'!G:G,'Country codes &amp; Data sources'!H:H,,0)</f>
        <v>DRC</v>
      </c>
      <c r="B163" s="85" t="s">
        <v>154</v>
      </c>
      <c r="C163" s="86">
        <v>70997883.500000104</v>
      </c>
      <c r="D163" s="85" t="s">
        <v>207</v>
      </c>
      <c r="E163" s="87">
        <v>0</v>
      </c>
      <c r="F163" s="88">
        <v>73460021</v>
      </c>
      <c r="G163" s="87">
        <v>0</v>
      </c>
      <c r="I163" s="87">
        <v>0</v>
      </c>
      <c r="K163" s="87">
        <v>0</v>
      </c>
      <c r="M163" s="87">
        <v>0</v>
      </c>
      <c r="O163" s="87">
        <v>0</v>
      </c>
      <c r="P163" s="88">
        <v>87087354.999999985</v>
      </c>
      <c r="Q163" s="87">
        <v>0</v>
      </c>
      <c r="R163" s="87">
        <f t="shared" si="57"/>
        <v>0</v>
      </c>
      <c r="T163" s="87">
        <v>0</v>
      </c>
      <c r="V163" s="87">
        <v>0</v>
      </c>
      <c r="X163" s="87">
        <v>0</v>
      </c>
      <c r="Y163" s="88">
        <v>99010212</v>
      </c>
      <c r="Z163" s="87">
        <v>0</v>
      </c>
      <c r="AA163" s="87">
        <v>0</v>
      </c>
      <c r="AB163" s="89">
        <f t="shared" si="58"/>
        <v>0</v>
      </c>
      <c r="AC163" s="89">
        <f t="shared" si="59"/>
        <v>0</v>
      </c>
      <c r="AD163" s="89">
        <f t="shared" si="60"/>
        <v>0</v>
      </c>
      <c r="AF163" s="90" t="str">
        <f t="shared" si="61"/>
        <v/>
      </c>
      <c r="AH163" s="90" t="str">
        <f t="shared" si="62"/>
        <v/>
      </c>
      <c r="AI163" s="90">
        <f t="shared" si="63"/>
        <v>0</v>
      </c>
      <c r="AJ163" s="90" t="str">
        <f t="shared" si="64"/>
        <v/>
      </c>
      <c r="AK163" s="90" t="str">
        <f t="shared" si="65"/>
        <v/>
      </c>
      <c r="AL163" s="91"/>
      <c r="AM163" s="91">
        <f t="shared" si="66"/>
        <v>0</v>
      </c>
      <c r="AN163" s="92" t="str">
        <f t="shared" si="67"/>
        <v>No change</v>
      </c>
      <c r="AO163" s="93">
        <f>VLOOKUP(B163,'Growthrates source'!A$2:H$49,8,FALSE)</f>
        <v>0.14126140610967886</v>
      </c>
      <c r="AP163" s="93">
        <f>VLOOKUP(B163,'Growthrates source'!A$2:I$49,9,FALSE)</f>
        <v>5.4673730437993617E-2</v>
      </c>
      <c r="AQ163" s="86">
        <f t="shared" si="68"/>
        <v>0</v>
      </c>
      <c r="AR163" s="86">
        <f t="shared" si="69"/>
        <v>0</v>
      </c>
      <c r="AS163" s="94">
        <f t="shared" si="70"/>
        <v>0</v>
      </c>
      <c r="AT163" s="94">
        <f t="shared" si="71"/>
        <v>0</v>
      </c>
      <c r="AU163" s="94">
        <f t="shared" si="55"/>
        <v>0</v>
      </c>
      <c r="AV163" s="94">
        <f t="shared" si="56"/>
        <v>0</v>
      </c>
    </row>
    <row r="164" spans="1:48" x14ac:dyDescent="0.3">
      <c r="A164" s="85" t="str">
        <f>_xlfn.XLOOKUP(B164,'Country codes &amp; Data sources'!G:G,'Country codes &amp; Data sources'!H:H,,0)</f>
        <v>DRC</v>
      </c>
      <c r="B164" s="85" t="s">
        <v>154</v>
      </c>
      <c r="C164" s="86">
        <v>70997884.500000104</v>
      </c>
      <c r="D164" s="85" t="s">
        <v>141</v>
      </c>
      <c r="E164" s="87">
        <v>0</v>
      </c>
      <c r="F164" s="88">
        <v>73460021</v>
      </c>
      <c r="G164" s="87">
        <v>0</v>
      </c>
      <c r="I164" s="87">
        <v>0</v>
      </c>
      <c r="K164" s="87">
        <v>0</v>
      </c>
      <c r="M164" s="87">
        <v>0</v>
      </c>
      <c r="O164" s="87">
        <v>0</v>
      </c>
      <c r="P164" s="88">
        <v>87087354.999999985</v>
      </c>
      <c r="Q164" s="87">
        <v>0</v>
      </c>
      <c r="R164" s="87">
        <f t="shared" si="57"/>
        <v>0</v>
      </c>
      <c r="T164" s="87">
        <v>0</v>
      </c>
      <c r="V164" s="87">
        <v>0</v>
      </c>
      <c r="X164" s="87">
        <v>0</v>
      </c>
      <c r="Y164" s="88">
        <v>99010212</v>
      </c>
      <c r="Z164" s="87">
        <v>0</v>
      </c>
      <c r="AA164" s="87">
        <v>0</v>
      </c>
      <c r="AB164" s="89">
        <f t="shared" si="58"/>
        <v>0</v>
      </c>
      <c r="AC164" s="89">
        <f t="shared" si="59"/>
        <v>0</v>
      </c>
      <c r="AD164" s="89">
        <f t="shared" si="60"/>
        <v>0</v>
      </c>
      <c r="AF164" s="90" t="str">
        <f t="shared" si="61"/>
        <v/>
      </c>
      <c r="AH164" s="90" t="str">
        <f t="shared" si="62"/>
        <v/>
      </c>
      <c r="AI164" s="90">
        <f t="shared" si="63"/>
        <v>0</v>
      </c>
      <c r="AJ164" s="90" t="str">
        <f t="shared" si="64"/>
        <v/>
      </c>
      <c r="AK164" s="90" t="str">
        <f t="shared" si="65"/>
        <v/>
      </c>
      <c r="AL164" s="91"/>
      <c r="AM164" s="91">
        <f t="shared" si="66"/>
        <v>0</v>
      </c>
      <c r="AN164" s="92" t="str">
        <f t="shared" si="67"/>
        <v>No change</v>
      </c>
      <c r="AO164" s="93">
        <f>VLOOKUP(B164,'Growthrates source'!A$2:H$49,8,FALSE)</f>
        <v>0.14126140610967886</v>
      </c>
      <c r="AP164" s="93">
        <f>VLOOKUP(B164,'Growthrates source'!A$2:I$49,9,FALSE)</f>
        <v>5.4673730437993617E-2</v>
      </c>
      <c r="AQ164" s="86">
        <f t="shared" si="68"/>
        <v>0</v>
      </c>
      <c r="AR164" s="86">
        <f t="shared" si="69"/>
        <v>0</v>
      </c>
      <c r="AS164" s="94">
        <f t="shared" si="70"/>
        <v>0</v>
      </c>
      <c r="AT164" s="94">
        <f t="shared" si="71"/>
        <v>0</v>
      </c>
      <c r="AU164" s="94">
        <f t="shared" si="55"/>
        <v>0</v>
      </c>
      <c r="AV164" s="94">
        <f t="shared" si="56"/>
        <v>0</v>
      </c>
    </row>
    <row r="165" spans="1:48" x14ac:dyDescent="0.3">
      <c r="A165" s="85" t="str">
        <f>_xlfn.XLOOKUP(B165,'Country codes &amp; Data sources'!G:G,'Country codes &amp; Data sources'!H:H,,0)</f>
        <v>DRC</v>
      </c>
      <c r="B165" s="85" t="s">
        <v>154</v>
      </c>
      <c r="C165" s="86">
        <v>70997885.500000104</v>
      </c>
      <c r="D165" s="85" t="s">
        <v>208</v>
      </c>
      <c r="E165" s="87">
        <v>0</v>
      </c>
      <c r="F165" s="88">
        <v>73460021</v>
      </c>
      <c r="G165" s="87">
        <v>0</v>
      </c>
      <c r="I165" s="87">
        <v>0</v>
      </c>
      <c r="K165" s="87">
        <v>0</v>
      </c>
      <c r="M165" s="87">
        <v>0</v>
      </c>
      <c r="O165" s="87">
        <v>0</v>
      </c>
      <c r="P165" s="88">
        <v>87087354.999999985</v>
      </c>
      <c r="Q165" s="87">
        <v>0</v>
      </c>
      <c r="R165" s="87">
        <f t="shared" si="57"/>
        <v>74310</v>
      </c>
      <c r="T165" s="87">
        <v>1939</v>
      </c>
      <c r="V165" s="87">
        <v>0</v>
      </c>
      <c r="X165" s="87">
        <v>1785</v>
      </c>
      <c r="Y165" s="88">
        <v>99010212</v>
      </c>
      <c r="Z165" s="87">
        <v>1803</v>
      </c>
      <c r="AA165" s="87">
        <v>74310</v>
      </c>
      <c r="AB165" s="89">
        <f t="shared" si="58"/>
        <v>0</v>
      </c>
      <c r="AC165" s="89">
        <f t="shared" si="59"/>
        <v>1939</v>
      </c>
      <c r="AD165" s="89">
        <f t="shared" si="60"/>
        <v>1803</v>
      </c>
      <c r="AF165" s="90" t="str">
        <f t="shared" si="61"/>
        <v/>
      </c>
      <c r="AG165" s="90">
        <f t="shared" si="73"/>
        <v>74310</v>
      </c>
      <c r="AH165" s="90" t="str">
        <f t="shared" si="62"/>
        <v>2018 (triag)</v>
      </c>
      <c r="AI165" s="90">
        <f t="shared" si="63"/>
        <v>1803</v>
      </c>
      <c r="AJ165" s="90">
        <f t="shared" si="64"/>
        <v>2022</v>
      </c>
      <c r="AK165" s="90" t="str">
        <f t="shared" si="65"/>
        <v>Adjust</v>
      </c>
      <c r="AL165" s="91">
        <f>IF(AK165="Adjust",(_xlfn.XLOOKUP(A165,'Adj factor'!A:A,'Adj factor'!I:I,,0)*AI165),'Master DataSheet (Rev)'!AI165)</f>
        <v>2075.6932661315523</v>
      </c>
      <c r="AM165" s="91">
        <f t="shared" si="66"/>
        <v>74310</v>
      </c>
      <c r="AN165" s="92" t="str">
        <f t="shared" si="67"/>
        <v>Decreasing</v>
      </c>
      <c r="AO165" s="93">
        <f>VLOOKUP(B165,'Growthrates source'!A$2:H$49,8,FALSE)</f>
        <v>0.14126140610967886</v>
      </c>
      <c r="AP165" s="93">
        <f>VLOOKUP(B165,'Growthrates source'!A$2:I$49,9,FALSE)</f>
        <v>5.4673730437993617E-2</v>
      </c>
      <c r="AQ165" s="86">
        <f t="shared" si="68"/>
        <v>36669.248989139807</v>
      </c>
      <c r="AR165" s="86">
        <f t="shared" si="69"/>
        <v>87554.961139553183</v>
      </c>
      <c r="AS165" s="94">
        <f t="shared" si="70"/>
        <v>0</v>
      </c>
      <c r="AT165" s="94">
        <f t="shared" si="71"/>
        <v>8.5328116808691696</v>
      </c>
      <c r="AU165" s="94">
        <f t="shared" si="55"/>
        <v>0.20964436134441894</v>
      </c>
      <c r="AV165" s="94">
        <f t="shared" si="56"/>
        <v>7.5052864243942841</v>
      </c>
    </row>
    <row r="166" spans="1:48" x14ac:dyDescent="0.3">
      <c r="A166" s="85" t="str">
        <f>_xlfn.XLOOKUP(B166,'Country codes &amp; Data sources'!G:G,'Country codes &amp; Data sources'!H:H,,0)</f>
        <v>DRC</v>
      </c>
      <c r="B166" s="85" t="s">
        <v>154</v>
      </c>
      <c r="C166" s="86">
        <v>70997886.500000104</v>
      </c>
      <c r="D166" s="85" t="s">
        <v>209</v>
      </c>
      <c r="E166" s="87">
        <v>0</v>
      </c>
      <c r="F166" s="88">
        <v>73460021</v>
      </c>
      <c r="G166" s="87">
        <v>0</v>
      </c>
      <c r="I166" s="87">
        <v>0</v>
      </c>
      <c r="K166" s="87">
        <v>0</v>
      </c>
      <c r="M166" s="87">
        <v>0</v>
      </c>
      <c r="O166" s="87">
        <v>0</v>
      </c>
      <c r="P166" s="88">
        <v>87087354.999999985</v>
      </c>
      <c r="Q166" s="87">
        <v>0</v>
      </c>
      <c r="R166" s="87">
        <f t="shared" si="57"/>
        <v>1608</v>
      </c>
      <c r="T166" s="87">
        <v>0</v>
      </c>
      <c r="V166" s="87">
        <v>0</v>
      </c>
      <c r="X166" s="87">
        <v>0</v>
      </c>
      <c r="Y166" s="88">
        <v>99010212</v>
      </c>
      <c r="Z166" s="87">
        <v>0</v>
      </c>
      <c r="AA166" s="87">
        <v>1608</v>
      </c>
      <c r="AB166" s="89">
        <f t="shared" si="58"/>
        <v>0</v>
      </c>
      <c r="AC166" s="89">
        <f t="shared" si="59"/>
        <v>0</v>
      </c>
      <c r="AD166" s="89">
        <f t="shared" si="60"/>
        <v>0</v>
      </c>
      <c r="AF166" s="90" t="str">
        <f t="shared" si="61"/>
        <v/>
      </c>
      <c r="AG166" s="90">
        <f t="shared" si="73"/>
        <v>1608</v>
      </c>
      <c r="AH166" s="90" t="str">
        <f t="shared" si="62"/>
        <v>2018 (triag)</v>
      </c>
      <c r="AI166" s="90">
        <f t="shared" si="63"/>
        <v>1608</v>
      </c>
      <c r="AJ166" s="90" t="str">
        <f t="shared" si="64"/>
        <v>2018 (triag)</v>
      </c>
      <c r="AK166" s="90" t="str">
        <f t="shared" si="65"/>
        <v/>
      </c>
      <c r="AL166" s="91">
        <f>IF(AK166="Adjust",(_xlfn.XLOOKUP(A166,'Adj factor'!A:A,'Adj factor'!I:I,,0)*AI166),'Master DataSheet (Rev)'!AI166)</f>
        <v>1608</v>
      </c>
      <c r="AM166" s="91">
        <f t="shared" si="66"/>
        <v>1608</v>
      </c>
      <c r="AN166" s="92" t="str">
        <f t="shared" si="67"/>
        <v>No change</v>
      </c>
      <c r="AO166" s="93">
        <f>VLOOKUP(B166,'Growthrates source'!A$2:H$49,8,FALSE)</f>
        <v>0.14126140610967886</v>
      </c>
      <c r="AP166" s="93">
        <f>VLOOKUP(B166,'Growthrates source'!A$2:I$49,9,FALSE)</f>
        <v>5.4673730437993617E-2</v>
      </c>
      <c r="AQ166" s="86">
        <f t="shared" si="68"/>
        <v>793.48879524339668</v>
      </c>
      <c r="AR166" s="86">
        <f t="shared" si="69"/>
        <v>1894.6087674929556</v>
      </c>
      <c r="AS166" s="94">
        <f t="shared" si="70"/>
        <v>0</v>
      </c>
      <c r="AT166" s="94">
        <f t="shared" si="71"/>
        <v>0.18464219059127474</v>
      </c>
      <c r="AU166" s="94">
        <f t="shared" si="55"/>
        <v>0.16240748984559289</v>
      </c>
      <c r="AV166" s="94">
        <f t="shared" si="56"/>
        <v>0.16240748984559289</v>
      </c>
    </row>
    <row r="167" spans="1:48" x14ac:dyDescent="0.3">
      <c r="A167" s="85" t="str">
        <f>_xlfn.XLOOKUP(B167,'Country codes &amp; Data sources'!G:G,'Country codes &amp; Data sources'!H:H,,0)</f>
        <v>DRC</v>
      </c>
      <c r="B167" s="85" t="s">
        <v>154</v>
      </c>
      <c r="C167" s="86">
        <v>70997887.500000104</v>
      </c>
      <c r="D167" s="85" t="s">
        <v>134</v>
      </c>
      <c r="E167" s="87">
        <v>0</v>
      </c>
      <c r="F167" s="88">
        <v>73460021</v>
      </c>
      <c r="G167" s="87">
        <v>0</v>
      </c>
      <c r="I167" s="87">
        <v>0</v>
      </c>
      <c r="K167" s="87">
        <v>0</v>
      </c>
      <c r="M167" s="87">
        <v>0</v>
      </c>
      <c r="O167" s="87">
        <v>0</v>
      </c>
      <c r="P167" s="88">
        <v>87087354.999999985</v>
      </c>
      <c r="Q167" s="87">
        <v>0</v>
      </c>
      <c r="R167" s="87">
        <f t="shared" si="57"/>
        <v>2934</v>
      </c>
      <c r="T167" s="87">
        <v>0</v>
      </c>
      <c r="V167" s="87">
        <v>0</v>
      </c>
      <c r="X167" s="87">
        <v>0</v>
      </c>
      <c r="Y167" s="88">
        <v>99010212</v>
      </c>
      <c r="Z167" s="87">
        <v>0</v>
      </c>
      <c r="AA167" s="87">
        <v>2934</v>
      </c>
      <c r="AB167" s="89">
        <f t="shared" si="58"/>
        <v>0</v>
      </c>
      <c r="AC167" s="89">
        <f t="shared" si="59"/>
        <v>0</v>
      </c>
      <c r="AD167" s="89">
        <f t="shared" si="60"/>
        <v>0</v>
      </c>
      <c r="AF167" s="90" t="str">
        <f t="shared" si="61"/>
        <v/>
      </c>
      <c r="AG167" s="90">
        <f t="shared" si="73"/>
        <v>2934</v>
      </c>
      <c r="AH167" s="90" t="str">
        <f t="shared" si="62"/>
        <v>2018 (triag)</v>
      </c>
      <c r="AI167" s="90">
        <f t="shared" si="63"/>
        <v>2934</v>
      </c>
      <c r="AJ167" s="90" t="str">
        <f t="shared" si="64"/>
        <v>2018 (triag)</v>
      </c>
      <c r="AK167" s="90" t="str">
        <f t="shared" si="65"/>
        <v/>
      </c>
      <c r="AL167" s="91">
        <f>IF(AK167="Adjust",(_xlfn.XLOOKUP(A167,'Adj factor'!A:A,'Adj factor'!I:I,,0)*AI167),'Master DataSheet (Rev)'!AI167)</f>
        <v>2934</v>
      </c>
      <c r="AM167" s="91">
        <f t="shared" si="66"/>
        <v>2934</v>
      </c>
      <c r="AN167" s="92" t="str">
        <f t="shared" si="67"/>
        <v>No change</v>
      </c>
      <c r="AO167" s="93">
        <f>VLOOKUP(B167,'Growthrates source'!A$2:H$49,8,FALSE)</f>
        <v>0.14126140610967886</v>
      </c>
      <c r="AP167" s="93">
        <f>VLOOKUP(B167,'Growthrates source'!A$2:I$49,9,FALSE)</f>
        <v>5.4673730437993617E-2</v>
      </c>
      <c r="AQ167" s="86">
        <f t="shared" si="68"/>
        <v>1447.820973410526</v>
      </c>
      <c r="AR167" s="86">
        <f t="shared" si="69"/>
        <v>3456.9540571046837</v>
      </c>
      <c r="AS167" s="94">
        <f t="shared" si="70"/>
        <v>0</v>
      </c>
      <c r="AT167" s="94">
        <f t="shared" si="71"/>
        <v>0.33690310148930352</v>
      </c>
      <c r="AU167" s="94">
        <f t="shared" si="55"/>
        <v>0.29633306915856317</v>
      </c>
      <c r="AV167" s="94">
        <f t="shared" si="56"/>
        <v>0.29633306915856317</v>
      </c>
    </row>
    <row r="168" spans="1:48" x14ac:dyDescent="0.3">
      <c r="A168" s="85" t="str">
        <f>_xlfn.XLOOKUP(B168,'Country codes &amp; Data sources'!G:G,'Country codes &amp; Data sources'!H:H,,0)</f>
        <v>DRC</v>
      </c>
      <c r="B168" s="85" t="s">
        <v>154</v>
      </c>
      <c r="C168" s="86">
        <v>70997888.500000104</v>
      </c>
      <c r="D168" s="85" t="s">
        <v>142</v>
      </c>
      <c r="E168" s="87">
        <v>0</v>
      </c>
      <c r="F168" s="88">
        <v>73460021</v>
      </c>
      <c r="G168" s="87">
        <v>0</v>
      </c>
      <c r="I168" s="87">
        <v>0</v>
      </c>
      <c r="K168" s="87">
        <v>0</v>
      </c>
      <c r="M168" s="87">
        <v>0</v>
      </c>
      <c r="O168" s="87">
        <v>0</v>
      </c>
      <c r="P168" s="88">
        <v>87087354.999999985</v>
      </c>
      <c r="Q168" s="87">
        <v>0</v>
      </c>
      <c r="R168" s="87">
        <f t="shared" si="57"/>
        <v>0</v>
      </c>
      <c r="T168" s="87">
        <v>0</v>
      </c>
      <c r="V168" s="87">
        <v>0</v>
      </c>
      <c r="X168" s="87">
        <v>0</v>
      </c>
      <c r="Y168" s="88">
        <v>99010212</v>
      </c>
      <c r="Z168" s="87">
        <v>0</v>
      </c>
      <c r="AA168" s="87">
        <v>0</v>
      </c>
      <c r="AB168" s="89">
        <f t="shared" si="58"/>
        <v>0</v>
      </c>
      <c r="AC168" s="89">
        <f t="shared" si="59"/>
        <v>0</v>
      </c>
      <c r="AD168" s="89">
        <f t="shared" si="60"/>
        <v>0</v>
      </c>
      <c r="AF168" s="90" t="str">
        <f t="shared" si="61"/>
        <v/>
      </c>
      <c r="AH168" s="90" t="str">
        <f t="shared" si="62"/>
        <v/>
      </c>
      <c r="AI168" s="90">
        <f t="shared" si="63"/>
        <v>0</v>
      </c>
      <c r="AJ168" s="90" t="str">
        <f t="shared" si="64"/>
        <v/>
      </c>
      <c r="AK168" s="90" t="str">
        <f t="shared" si="65"/>
        <v/>
      </c>
      <c r="AL168" s="91"/>
      <c r="AM168" s="91">
        <f t="shared" si="66"/>
        <v>0</v>
      </c>
      <c r="AN168" s="92" t="str">
        <f t="shared" si="67"/>
        <v>No change</v>
      </c>
      <c r="AO168" s="93">
        <f>VLOOKUP(B168,'Growthrates source'!A$2:H$49,8,FALSE)</f>
        <v>0.14126140610967886</v>
      </c>
      <c r="AP168" s="93">
        <f>VLOOKUP(B168,'Growthrates source'!A$2:I$49,9,FALSE)</f>
        <v>5.4673730437993617E-2</v>
      </c>
      <c r="AQ168" s="86">
        <f t="shared" si="68"/>
        <v>0</v>
      </c>
      <c r="AR168" s="86">
        <f t="shared" si="69"/>
        <v>0</v>
      </c>
      <c r="AS168" s="94">
        <f t="shared" si="70"/>
        <v>0</v>
      </c>
      <c r="AT168" s="94">
        <f t="shared" si="71"/>
        <v>0</v>
      </c>
      <c r="AU168" s="94">
        <f t="shared" si="55"/>
        <v>0</v>
      </c>
      <c r="AV168" s="94">
        <f t="shared" si="56"/>
        <v>0</v>
      </c>
    </row>
    <row r="169" spans="1:48" x14ac:dyDescent="0.3">
      <c r="A169" s="85" t="str">
        <f>_xlfn.XLOOKUP(B169,'Country codes &amp; Data sources'!G:G,'Country codes &amp; Data sources'!H:H,,0)</f>
        <v>DRC</v>
      </c>
      <c r="B169" s="85" t="s">
        <v>154</v>
      </c>
      <c r="C169" s="86">
        <v>70997889.500000104</v>
      </c>
      <c r="D169" s="85" t="s">
        <v>83</v>
      </c>
      <c r="E169" s="87">
        <v>0</v>
      </c>
      <c r="F169" s="88">
        <v>73460021</v>
      </c>
      <c r="G169" s="87">
        <v>0</v>
      </c>
      <c r="I169" s="87">
        <v>0</v>
      </c>
      <c r="K169" s="87">
        <v>0</v>
      </c>
      <c r="M169" s="87">
        <v>0</v>
      </c>
      <c r="O169" s="87">
        <v>0</v>
      </c>
      <c r="P169" s="88">
        <v>87087354.999999985</v>
      </c>
      <c r="Q169" s="87">
        <v>0</v>
      </c>
      <c r="R169" s="87">
        <f t="shared" si="57"/>
        <v>395</v>
      </c>
      <c r="T169" s="87">
        <v>496</v>
      </c>
      <c r="V169" s="87">
        <v>0</v>
      </c>
      <c r="X169" s="87">
        <v>680</v>
      </c>
      <c r="Y169" s="88">
        <v>99010212</v>
      </c>
      <c r="Z169" s="87">
        <v>793</v>
      </c>
      <c r="AA169" s="87">
        <v>395</v>
      </c>
      <c r="AB169" s="89">
        <f t="shared" si="58"/>
        <v>0</v>
      </c>
      <c r="AC169" s="89">
        <f t="shared" si="59"/>
        <v>496</v>
      </c>
      <c r="AD169" s="89">
        <f t="shared" si="60"/>
        <v>793</v>
      </c>
      <c r="AF169" s="90" t="str">
        <f t="shared" si="61"/>
        <v/>
      </c>
      <c r="AG169" s="90">
        <f t="shared" si="73"/>
        <v>395</v>
      </c>
      <c r="AH169" s="90" t="str">
        <f t="shared" si="62"/>
        <v>2018 (triag)</v>
      </c>
      <c r="AI169" s="90">
        <f t="shared" si="63"/>
        <v>793</v>
      </c>
      <c r="AJ169" s="90">
        <f t="shared" si="64"/>
        <v>2022</v>
      </c>
      <c r="AK169" s="90" t="str">
        <f t="shared" si="65"/>
        <v/>
      </c>
      <c r="AL169" s="91">
        <f>IF(AK169="Adjust",(_xlfn.XLOOKUP(A169,'Adj factor'!A:A,'Adj factor'!I:I,,0)*AI169),'Master DataSheet (Rev)'!AI169)</f>
        <v>793</v>
      </c>
      <c r="AM169" s="91">
        <f t="shared" si="66"/>
        <v>793</v>
      </c>
      <c r="AN169" s="92" t="str">
        <f t="shared" si="67"/>
        <v>Increasing</v>
      </c>
      <c r="AO169" s="93">
        <f>VLOOKUP(B169,'Growthrates source'!A$2:H$49,8,FALSE)</f>
        <v>0.14126140610967886</v>
      </c>
      <c r="AP169" s="93">
        <f>VLOOKUP(B169,'Growthrates source'!A$2:I$49,9,FALSE)</f>
        <v>5.4673730437993617E-2</v>
      </c>
      <c r="AQ169" s="86">
        <f t="shared" si="68"/>
        <v>194.91795654299855</v>
      </c>
      <c r="AR169" s="86">
        <f t="shared" si="69"/>
        <v>465.40451689037155</v>
      </c>
      <c r="AS169" s="94">
        <f t="shared" si="70"/>
        <v>0</v>
      </c>
      <c r="AT169" s="94">
        <f t="shared" si="71"/>
        <v>4.5356757017135277E-2</v>
      </c>
      <c r="AU169" s="94">
        <f t="shared" si="55"/>
        <v>8.009274841265869E-2</v>
      </c>
      <c r="AV169" s="94">
        <f t="shared" si="56"/>
        <v>8.009274841265869E-2</v>
      </c>
    </row>
    <row r="170" spans="1:48" x14ac:dyDescent="0.3">
      <c r="A170" s="85" t="str">
        <f>_xlfn.XLOOKUP(B170,'Country codes &amp; Data sources'!G:G,'Country codes &amp; Data sources'!H:H,,0)</f>
        <v>DRC</v>
      </c>
      <c r="B170" s="85" t="s">
        <v>154</v>
      </c>
      <c r="C170" s="86">
        <v>70997890.500000104</v>
      </c>
      <c r="D170" s="85" t="s">
        <v>84</v>
      </c>
      <c r="E170" s="87">
        <v>0</v>
      </c>
      <c r="F170" s="88">
        <v>73460021</v>
      </c>
      <c r="G170" s="87">
        <v>0</v>
      </c>
      <c r="I170" s="87">
        <v>0</v>
      </c>
      <c r="K170" s="87">
        <v>0</v>
      </c>
      <c r="M170" s="87">
        <v>0</v>
      </c>
      <c r="O170" s="87">
        <v>0</v>
      </c>
      <c r="P170" s="88">
        <v>87087354.999999985</v>
      </c>
      <c r="Q170" s="87">
        <v>0</v>
      </c>
      <c r="R170" s="87">
        <f t="shared" si="57"/>
        <v>0</v>
      </c>
      <c r="T170" s="87">
        <v>0</v>
      </c>
      <c r="V170" s="87">
        <v>0</v>
      </c>
      <c r="X170" s="87">
        <v>0</v>
      </c>
      <c r="Y170" s="88">
        <v>99010212</v>
      </c>
      <c r="Z170" s="87">
        <v>0</v>
      </c>
      <c r="AA170" s="87">
        <v>0</v>
      </c>
      <c r="AB170" s="89">
        <f t="shared" si="58"/>
        <v>0</v>
      </c>
      <c r="AC170" s="89">
        <f t="shared" si="59"/>
        <v>0</v>
      </c>
      <c r="AD170" s="89">
        <f t="shared" si="60"/>
        <v>0</v>
      </c>
      <c r="AF170" s="90" t="str">
        <f t="shared" si="61"/>
        <v/>
      </c>
      <c r="AH170" s="90" t="str">
        <f t="shared" si="62"/>
        <v/>
      </c>
      <c r="AI170" s="90">
        <f t="shared" si="63"/>
        <v>0</v>
      </c>
      <c r="AJ170" s="90" t="str">
        <f t="shared" si="64"/>
        <v/>
      </c>
      <c r="AK170" s="90" t="str">
        <f t="shared" si="65"/>
        <v/>
      </c>
      <c r="AL170" s="91"/>
      <c r="AM170" s="91">
        <f t="shared" si="66"/>
        <v>0</v>
      </c>
      <c r="AN170" s="92" t="str">
        <f t="shared" si="67"/>
        <v>No change</v>
      </c>
      <c r="AO170" s="93">
        <f>VLOOKUP(B170,'Growthrates source'!A$2:H$49,8,FALSE)</f>
        <v>0.14126140610967886</v>
      </c>
      <c r="AP170" s="93">
        <f>VLOOKUP(B170,'Growthrates source'!A$2:I$49,9,FALSE)</f>
        <v>5.4673730437993617E-2</v>
      </c>
      <c r="AQ170" s="86">
        <f t="shared" si="68"/>
        <v>0</v>
      </c>
      <c r="AR170" s="86">
        <f t="shared" si="69"/>
        <v>0</v>
      </c>
      <c r="AS170" s="94">
        <f t="shared" si="70"/>
        <v>0</v>
      </c>
      <c r="AT170" s="94">
        <f t="shared" si="71"/>
        <v>0</v>
      </c>
      <c r="AU170" s="94">
        <f t="shared" si="55"/>
        <v>0</v>
      </c>
      <c r="AV170" s="94">
        <f t="shared" si="56"/>
        <v>0</v>
      </c>
    </row>
    <row r="171" spans="1:48" x14ac:dyDescent="0.3">
      <c r="A171" s="85" t="str">
        <f>_xlfn.XLOOKUP(B171,'Country codes &amp; Data sources'!G:G,'Country codes &amp; Data sources'!H:H,,0)</f>
        <v>DRC</v>
      </c>
      <c r="B171" s="85" t="s">
        <v>154</v>
      </c>
      <c r="C171" s="86">
        <v>70997891.500000104</v>
      </c>
      <c r="D171" s="85" t="s">
        <v>126</v>
      </c>
      <c r="E171" s="87">
        <v>0</v>
      </c>
      <c r="F171" s="88">
        <v>73460021</v>
      </c>
      <c r="G171" s="87">
        <v>0</v>
      </c>
      <c r="I171" s="87">
        <v>0</v>
      </c>
      <c r="K171" s="87">
        <v>0</v>
      </c>
      <c r="M171" s="87">
        <v>0</v>
      </c>
      <c r="O171" s="87">
        <v>0</v>
      </c>
      <c r="P171" s="88">
        <v>87087354.999999985</v>
      </c>
      <c r="Q171" s="87">
        <v>0</v>
      </c>
      <c r="R171" s="87">
        <f t="shared" si="57"/>
        <v>0</v>
      </c>
      <c r="T171" s="87">
        <v>0</v>
      </c>
      <c r="V171" s="87">
        <v>0</v>
      </c>
      <c r="X171" s="87">
        <v>0</v>
      </c>
      <c r="Y171" s="88">
        <v>99010212</v>
      </c>
      <c r="Z171" s="87">
        <v>0</v>
      </c>
      <c r="AA171" s="87">
        <v>0</v>
      </c>
      <c r="AB171" s="89">
        <f t="shared" si="58"/>
        <v>0</v>
      </c>
      <c r="AC171" s="89">
        <f t="shared" si="59"/>
        <v>0</v>
      </c>
      <c r="AD171" s="89">
        <f t="shared" si="60"/>
        <v>0</v>
      </c>
      <c r="AF171" s="90" t="str">
        <f t="shared" si="61"/>
        <v/>
      </c>
      <c r="AH171" s="90" t="str">
        <f t="shared" si="62"/>
        <v/>
      </c>
      <c r="AI171" s="90">
        <f t="shared" si="63"/>
        <v>0</v>
      </c>
      <c r="AJ171" s="90" t="str">
        <f t="shared" si="64"/>
        <v/>
      </c>
      <c r="AK171" s="90" t="str">
        <f t="shared" si="65"/>
        <v/>
      </c>
      <c r="AL171" s="91"/>
      <c r="AM171" s="91">
        <f t="shared" si="66"/>
        <v>0</v>
      </c>
      <c r="AN171" s="92" t="str">
        <f t="shared" si="67"/>
        <v>No change</v>
      </c>
      <c r="AO171" s="93">
        <f>VLOOKUP(B171,'Growthrates source'!A$2:H$49,8,FALSE)</f>
        <v>0.14126140610967886</v>
      </c>
      <c r="AP171" s="93">
        <f>VLOOKUP(B171,'Growthrates source'!A$2:I$49,9,FALSE)</f>
        <v>5.4673730437993617E-2</v>
      </c>
      <c r="AQ171" s="86">
        <f t="shared" si="68"/>
        <v>0</v>
      </c>
      <c r="AR171" s="86">
        <f t="shared" si="69"/>
        <v>0</v>
      </c>
      <c r="AS171" s="94">
        <f t="shared" si="70"/>
        <v>0</v>
      </c>
      <c r="AT171" s="94">
        <f t="shared" si="71"/>
        <v>0</v>
      </c>
      <c r="AU171" s="94">
        <f t="shared" si="55"/>
        <v>0</v>
      </c>
      <c r="AV171" s="94">
        <f t="shared" si="56"/>
        <v>0</v>
      </c>
    </row>
    <row r="172" spans="1:48" x14ac:dyDescent="0.3">
      <c r="A172" s="85" t="str">
        <f>_xlfn.XLOOKUP(B172,'Country codes &amp; Data sources'!G:G,'Country codes &amp; Data sources'!H:H,,0)</f>
        <v>DRC</v>
      </c>
      <c r="B172" s="85" t="s">
        <v>154</v>
      </c>
      <c r="C172" s="86">
        <v>70997892.500000104</v>
      </c>
      <c r="D172" s="85" t="s">
        <v>87</v>
      </c>
      <c r="E172" s="87">
        <v>0</v>
      </c>
      <c r="F172" s="88">
        <v>73460021</v>
      </c>
      <c r="G172" s="87">
        <v>0</v>
      </c>
      <c r="I172" s="87">
        <v>0</v>
      </c>
      <c r="K172" s="87">
        <v>0</v>
      </c>
      <c r="M172" s="87">
        <v>0</v>
      </c>
      <c r="O172" s="87">
        <v>0</v>
      </c>
      <c r="P172" s="88">
        <v>87087354.999999985</v>
      </c>
      <c r="Q172" s="87">
        <v>0</v>
      </c>
      <c r="R172" s="87">
        <f t="shared" si="57"/>
        <v>0</v>
      </c>
      <c r="T172" s="87">
        <v>0</v>
      </c>
      <c r="V172" s="87">
        <v>0</v>
      </c>
      <c r="X172" s="87">
        <v>0</v>
      </c>
      <c r="Y172" s="88">
        <v>99010212</v>
      </c>
      <c r="Z172" s="87">
        <v>0</v>
      </c>
      <c r="AA172" s="87">
        <v>0</v>
      </c>
      <c r="AB172" s="89">
        <f t="shared" si="58"/>
        <v>0</v>
      </c>
      <c r="AC172" s="89">
        <f t="shared" si="59"/>
        <v>0</v>
      </c>
      <c r="AD172" s="89">
        <f t="shared" si="60"/>
        <v>0</v>
      </c>
      <c r="AF172" s="90" t="str">
        <f t="shared" si="61"/>
        <v/>
      </c>
      <c r="AH172" s="90" t="str">
        <f t="shared" si="62"/>
        <v/>
      </c>
      <c r="AI172" s="90">
        <f t="shared" si="63"/>
        <v>0</v>
      </c>
      <c r="AJ172" s="90" t="str">
        <f t="shared" si="64"/>
        <v/>
      </c>
      <c r="AK172" s="90" t="str">
        <f t="shared" si="65"/>
        <v/>
      </c>
      <c r="AL172" s="91"/>
      <c r="AM172" s="91">
        <f t="shared" si="66"/>
        <v>0</v>
      </c>
      <c r="AN172" s="92" t="str">
        <f t="shared" si="67"/>
        <v>No change</v>
      </c>
      <c r="AO172" s="93">
        <f>VLOOKUP(B172,'Growthrates source'!A$2:H$49,8,FALSE)</f>
        <v>0.14126140610967886</v>
      </c>
      <c r="AP172" s="93">
        <f>VLOOKUP(B172,'Growthrates source'!A$2:I$49,9,FALSE)</f>
        <v>5.4673730437993617E-2</v>
      </c>
      <c r="AQ172" s="86">
        <f t="shared" si="68"/>
        <v>0</v>
      </c>
      <c r="AR172" s="86">
        <f t="shared" si="69"/>
        <v>0</v>
      </c>
      <c r="AS172" s="94">
        <f t="shared" si="70"/>
        <v>0</v>
      </c>
      <c r="AT172" s="94">
        <f t="shared" si="71"/>
        <v>0</v>
      </c>
      <c r="AU172" s="94">
        <f t="shared" si="55"/>
        <v>0</v>
      </c>
      <c r="AV172" s="94">
        <f t="shared" si="56"/>
        <v>0</v>
      </c>
    </row>
    <row r="173" spans="1:48" x14ac:dyDescent="0.3">
      <c r="A173" s="85" t="str">
        <f>_xlfn.XLOOKUP(B173,'Country codes &amp; Data sources'!G:G,'Country codes &amp; Data sources'!H:H,,0)</f>
        <v>Congo</v>
      </c>
      <c r="B173" s="85" t="s">
        <v>189</v>
      </c>
      <c r="C173" s="86">
        <v>4713261.5</v>
      </c>
      <c r="D173" s="85" t="s">
        <v>127</v>
      </c>
      <c r="E173" s="87">
        <v>0</v>
      </c>
      <c r="F173" s="88">
        <v>4828066.5000000028</v>
      </c>
      <c r="G173" s="87">
        <v>0</v>
      </c>
      <c r="I173" s="87">
        <v>0</v>
      </c>
      <c r="K173" s="87">
        <v>0</v>
      </c>
      <c r="M173" s="87">
        <v>0</v>
      </c>
      <c r="O173" s="87">
        <v>0</v>
      </c>
      <c r="P173" s="88">
        <v>5441061.9999999972</v>
      </c>
      <c r="Q173" s="87">
        <v>0</v>
      </c>
      <c r="R173" s="87">
        <f t="shared" si="57"/>
        <v>0</v>
      </c>
      <c r="T173" s="87">
        <v>0</v>
      </c>
      <c r="V173" s="87">
        <v>0</v>
      </c>
      <c r="X173" s="87">
        <v>0</v>
      </c>
      <c r="Y173" s="88">
        <v>5970424.0000000009</v>
      </c>
      <c r="Z173" s="87">
        <v>0</v>
      </c>
      <c r="AA173" s="87">
        <v>0</v>
      </c>
      <c r="AB173" s="89">
        <f t="shared" si="58"/>
        <v>0</v>
      </c>
      <c r="AC173" s="89">
        <f t="shared" si="59"/>
        <v>0</v>
      </c>
      <c r="AD173" s="89">
        <f t="shared" si="60"/>
        <v>0</v>
      </c>
      <c r="AF173" s="90" t="str">
        <f t="shared" si="61"/>
        <v/>
      </c>
      <c r="AH173" s="90" t="str">
        <f t="shared" si="62"/>
        <v/>
      </c>
      <c r="AI173" s="90">
        <f t="shared" si="63"/>
        <v>0</v>
      </c>
      <c r="AJ173" s="90" t="str">
        <f t="shared" si="64"/>
        <v/>
      </c>
      <c r="AK173" s="90" t="str">
        <f t="shared" si="65"/>
        <v/>
      </c>
      <c r="AL173" s="91"/>
      <c r="AM173" s="91">
        <f t="shared" si="66"/>
        <v>0</v>
      </c>
      <c r="AN173" s="92" t="str">
        <f t="shared" si="67"/>
        <v>No change</v>
      </c>
      <c r="AO173" s="93">
        <f>VLOOKUP(B173,'Growthrates source'!A$2:H$49,8,FALSE)</f>
        <v>9.0847270748923847E-3</v>
      </c>
      <c r="AP173" s="93">
        <f>VLOOKUP(B173,'Growthrates source'!A$2:I$49,9,FALSE)</f>
        <v>5.4673730437993617E-2</v>
      </c>
      <c r="AQ173" s="86">
        <f t="shared" si="68"/>
        <v>0</v>
      </c>
      <c r="AR173" s="86">
        <f t="shared" si="69"/>
        <v>0</v>
      </c>
      <c r="AS173" s="94">
        <f t="shared" si="70"/>
        <v>0</v>
      </c>
      <c r="AT173" s="94">
        <f t="shared" si="71"/>
        <v>0</v>
      </c>
      <c r="AU173" s="94">
        <f t="shared" si="55"/>
        <v>0</v>
      </c>
      <c r="AV173" s="94">
        <f t="shared" si="56"/>
        <v>0</v>
      </c>
    </row>
    <row r="174" spans="1:48" x14ac:dyDescent="0.3">
      <c r="A174" s="85" t="str">
        <f>_xlfn.XLOOKUP(B174,'Country codes &amp; Data sources'!G:G,'Country codes &amp; Data sources'!H:H,,0)</f>
        <v>Congo</v>
      </c>
      <c r="B174" s="85" t="s">
        <v>189</v>
      </c>
      <c r="C174" s="86">
        <v>4713262.5</v>
      </c>
      <c r="D174" s="85" t="s">
        <v>61</v>
      </c>
      <c r="E174" s="87">
        <v>819</v>
      </c>
      <c r="F174" s="88">
        <v>4828066.5000000028</v>
      </c>
      <c r="G174" s="87">
        <v>0</v>
      </c>
      <c r="I174" s="87">
        <v>0</v>
      </c>
      <c r="K174" s="87">
        <v>0</v>
      </c>
      <c r="M174" s="87">
        <v>0</v>
      </c>
      <c r="O174" s="87">
        <v>0</v>
      </c>
      <c r="P174" s="88">
        <v>5441061.9999999972</v>
      </c>
      <c r="Q174" s="87">
        <v>0</v>
      </c>
      <c r="R174" s="87">
        <f t="shared" si="57"/>
        <v>0</v>
      </c>
      <c r="T174" s="87">
        <v>0</v>
      </c>
      <c r="V174" s="87">
        <v>582</v>
      </c>
      <c r="X174" s="87">
        <v>0</v>
      </c>
      <c r="Y174" s="88">
        <v>5970424.0000000009</v>
      </c>
      <c r="Z174" s="87">
        <v>0</v>
      </c>
      <c r="AA174" s="87">
        <v>0</v>
      </c>
      <c r="AB174" s="89">
        <f t="shared" si="58"/>
        <v>819</v>
      </c>
      <c r="AC174" s="89">
        <f t="shared" si="59"/>
        <v>0</v>
      </c>
      <c r="AD174" s="89">
        <f t="shared" si="60"/>
        <v>582</v>
      </c>
      <c r="AE174" s="90">
        <f t="shared" si="72"/>
        <v>819</v>
      </c>
      <c r="AF174" s="90">
        <f t="shared" si="61"/>
        <v>2012</v>
      </c>
      <c r="AH174" s="90" t="str">
        <f t="shared" si="62"/>
        <v/>
      </c>
      <c r="AI174" s="90">
        <f t="shared" si="63"/>
        <v>582</v>
      </c>
      <c r="AJ174" s="90">
        <f t="shared" si="64"/>
        <v>2020</v>
      </c>
      <c r="AK174" s="90" t="str">
        <f t="shared" si="65"/>
        <v/>
      </c>
      <c r="AL174" s="91">
        <f>IF(AK174="Adjust",(_xlfn.XLOOKUP(A174,'Adj factor'!A:A,'Adj factor'!I:I,,0)*AI174),'Master DataSheet (Rev)'!AI174)</f>
        <v>582</v>
      </c>
      <c r="AM174" s="91">
        <f t="shared" si="66"/>
        <v>582</v>
      </c>
      <c r="AN174" s="92" t="str">
        <f t="shared" si="67"/>
        <v>Increasing</v>
      </c>
      <c r="AO174" s="93">
        <f>VLOOKUP(B174,'Growthrates source'!A$2:H$49,8,FALSE)</f>
        <v>9.0847270748923847E-3</v>
      </c>
      <c r="AP174" s="93">
        <f>VLOOKUP(B174,'Growthrates source'!A$2:I$49,9,FALSE)</f>
        <v>5.4673730437993617E-2</v>
      </c>
      <c r="AQ174" s="86">
        <f t="shared" si="68"/>
        <v>0</v>
      </c>
      <c r="AR174" s="86">
        <f t="shared" si="69"/>
        <v>0</v>
      </c>
      <c r="AS174" s="94">
        <f t="shared" si="70"/>
        <v>1.6963312332172713</v>
      </c>
      <c r="AT174" s="94">
        <f t="shared" si="71"/>
        <v>0</v>
      </c>
      <c r="AU174" s="94">
        <f t="shared" si="55"/>
        <v>0.9748051394674816</v>
      </c>
      <c r="AV174" s="94">
        <f t="shared" si="56"/>
        <v>0.9748051394674816</v>
      </c>
    </row>
    <row r="175" spans="1:48" s="95" customFormat="1" x14ac:dyDescent="0.3">
      <c r="A175" s="95" t="str">
        <f>_xlfn.XLOOKUP(B175,'Country codes &amp; Data sources'!G:G,'Country codes &amp; Data sources'!H:H,,0)</f>
        <v>Congo</v>
      </c>
      <c r="B175" s="95" t="s">
        <v>189</v>
      </c>
      <c r="C175" s="60">
        <v>4713263.5</v>
      </c>
      <c r="D175" s="95" t="s">
        <v>62</v>
      </c>
      <c r="E175" s="96">
        <v>4104</v>
      </c>
      <c r="F175" s="97">
        <v>4828066.5000000028</v>
      </c>
      <c r="G175" s="96">
        <v>0</v>
      </c>
      <c r="H175" s="96"/>
      <c r="I175" s="96">
        <v>0</v>
      </c>
      <c r="J175" s="96"/>
      <c r="K175" s="96">
        <v>0</v>
      </c>
      <c r="L175" s="96"/>
      <c r="M175" s="96">
        <v>2324</v>
      </c>
      <c r="N175" s="96"/>
      <c r="O175" s="96">
        <v>0</v>
      </c>
      <c r="P175" s="97">
        <v>5441061.9999999972</v>
      </c>
      <c r="Q175" s="96">
        <v>0</v>
      </c>
      <c r="R175" s="96">
        <f t="shared" si="57"/>
        <v>374</v>
      </c>
      <c r="S175" s="96"/>
      <c r="T175" s="96">
        <v>0</v>
      </c>
      <c r="U175" s="96"/>
      <c r="V175" s="96">
        <v>0</v>
      </c>
      <c r="W175" s="96"/>
      <c r="X175" s="96">
        <v>0</v>
      </c>
      <c r="Y175" s="97">
        <v>5970424.0000000009</v>
      </c>
      <c r="Z175" s="96">
        <v>0</v>
      </c>
      <c r="AA175" s="96">
        <v>374</v>
      </c>
      <c r="AB175" s="98">
        <f t="shared" si="58"/>
        <v>4104</v>
      </c>
      <c r="AC175" s="98">
        <f t="shared" si="59"/>
        <v>2324</v>
      </c>
      <c r="AD175" s="98">
        <f t="shared" si="60"/>
        <v>0</v>
      </c>
      <c r="AE175" s="99">
        <f t="shared" si="72"/>
        <v>4104</v>
      </c>
      <c r="AF175" s="99">
        <f t="shared" si="61"/>
        <v>2012</v>
      </c>
      <c r="AG175" s="99">
        <f t="shared" si="73"/>
        <v>374</v>
      </c>
      <c r="AH175" s="99" t="str">
        <f t="shared" si="62"/>
        <v>2018 (triag)</v>
      </c>
      <c r="AI175" s="99">
        <f t="shared" si="63"/>
        <v>374</v>
      </c>
      <c r="AJ175" s="99" t="str">
        <f t="shared" si="64"/>
        <v>2018 (triag)</v>
      </c>
      <c r="AK175" s="99" t="str">
        <f t="shared" si="65"/>
        <v/>
      </c>
      <c r="AL175" s="61">
        <f>IF(AK175="Adjust",(_xlfn.XLOOKUP(A175,'Adj factor'!A:A,'Adj factor'!I:I,,0)*AI175),'Master DataSheet (Rev)'!AI175)</f>
        <v>374</v>
      </c>
      <c r="AM175" s="61">
        <f t="shared" si="66"/>
        <v>374</v>
      </c>
      <c r="AN175" s="62" t="str">
        <f t="shared" si="67"/>
        <v>No change</v>
      </c>
      <c r="AO175" s="100">
        <f>VLOOKUP(B175,'Growthrates source'!A$2:H$49,8,FALSE)</f>
        <v>9.0847270748923847E-3</v>
      </c>
      <c r="AP175" s="100">
        <f>VLOOKUP(B175,'Growthrates source'!A$2:I$49,9,FALSE)</f>
        <v>5.4673730437993617E-2</v>
      </c>
      <c r="AQ175" s="60">
        <f t="shared" si="68"/>
        <v>357.39162239727767</v>
      </c>
      <c r="AR175" s="60">
        <f t="shared" si="69"/>
        <v>440.6614919417695</v>
      </c>
      <c r="AS175" s="101">
        <f t="shared" si="70"/>
        <v>8.5002971686491833</v>
      </c>
      <c r="AT175" s="102">
        <f t="shared" si="71"/>
        <v>0.68736581204184066</v>
      </c>
      <c r="AU175" s="94">
        <f t="shared" si="55"/>
        <v>0.62642117209766002</v>
      </c>
      <c r="AV175" s="94">
        <f t="shared" si="56"/>
        <v>0.62642117209766002</v>
      </c>
    </row>
    <row r="176" spans="1:48" x14ac:dyDescent="0.3">
      <c r="A176" s="85" t="str">
        <f>_xlfn.XLOOKUP(B176,'Country codes &amp; Data sources'!G:G,'Country codes &amp; Data sources'!H:H,,0)</f>
        <v>Congo</v>
      </c>
      <c r="B176" s="85" t="s">
        <v>189</v>
      </c>
      <c r="C176" s="86">
        <v>4713264.5</v>
      </c>
      <c r="D176" s="85" t="s">
        <v>203</v>
      </c>
      <c r="E176" s="87">
        <v>0</v>
      </c>
      <c r="F176" s="88">
        <v>4828066.5000000028</v>
      </c>
      <c r="G176" s="87">
        <v>0</v>
      </c>
      <c r="I176" s="87">
        <v>0</v>
      </c>
      <c r="K176" s="87">
        <v>0</v>
      </c>
      <c r="M176" s="87">
        <v>565</v>
      </c>
      <c r="O176" s="87">
        <v>0</v>
      </c>
      <c r="P176" s="88">
        <v>5441061.9999999972</v>
      </c>
      <c r="Q176" s="87">
        <v>0</v>
      </c>
      <c r="R176" s="87">
        <f t="shared" si="57"/>
        <v>850</v>
      </c>
      <c r="T176" s="87">
        <v>0</v>
      </c>
      <c r="V176" s="87">
        <v>0</v>
      </c>
      <c r="X176" s="87">
        <v>0</v>
      </c>
      <c r="Y176" s="88">
        <v>5970424.0000000009</v>
      </c>
      <c r="Z176" s="87">
        <v>0</v>
      </c>
      <c r="AA176" s="87">
        <v>850</v>
      </c>
      <c r="AB176" s="89">
        <f t="shared" si="58"/>
        <v>0</v>
      </c>
      <c r="AC176" s="89">
        <f t="shared" si="59"/>
        <v>565</v>
      </c>
      <c r="AD176" s="89">
        <f t="shared" si="60"/>
        <v>0</v>
      </c>
      <c r="AF176" s="90" t="str">
        <f t="shared" si="61"/>
        <v/>
      </c>
      <c r="AG176" s="90">
        <f t="shared" si="73"/>
        <v>850</v>
      </c>
      <c r="AH176" s="90" t="str">
        <f t="shared" si="62"/>
        <v>2018 (triag)</v>
      </c>
      <c r="AI176" s="90">
        <f t="shared" si="63"/>
        <v>850</v>
      </c>
      <c r="AJ176" s="90" t="str">
        <f t="shared" si="64"/>
        <v>2018 (triag)</v>
      </c>
      <c r="AK176" s="90" t="str">
        <f t="shared" si="65"/>
        <v/>
      </c>
      <c r="AL176" s="91">
        <f>IF(AK176="Adjust",(_xlfn.XLOOKUP(A176,'Adj factor'!A:A,'Adj factor'!I:I,,0)*AI176),'Master DataSheet (Rev)'!AI176)</f>
        <v>850</v>
      </c>
      <c r="AM176" s="91">
        <f t="shared" si="66"/>
        <v>850</v>
      </c>
      <c r="AN176" s="92" t="str">
        <f t="shared" si="67"/>
        <v>No change</v>
      </c>
      <c r="AO176" s="93">
        <f>VLOOKUP(B176,'Growthrates source'!A$2:H$49,8,FALSE)</f>
        <v>9.0847270748923847E-3</v>
      </c>
      <c r="AP176" s="93">
        <f>VLOOKUP(B176,'Growthrates source'!A$2:I$49,9,FALSE)</f>
        <v>5.4673730437993617E-2</v>
      </c>
      <c r="AQ176" s="86">
        <f t="shared" si="68"/>
        <v>812.25368726654017</v>
      </c>
      <c r="AR176" s="86">
        <f t="shared" si="69"/>
        <v>1001.5033907767489</v>
      </c>
      <c r="AS176" s="94">
        <f t="shared" si="70"/>
        <v>0</v>
      </c>
      <c r="AT176" s="94">
        <f t="shared" si="71"/>
        <v>1.5621950273678198</v>
      </c>
      <c r="AU176" s="94">
        <f t="shared" si="55"/>
        <v>1.4236844820401362</v>
      </c>
      <c r="AV176" s="94">
        <f t="shared" si="56"/>
        <v>1.4236844820401362</v>
      </c>
    </row>
    <row r="177" spans="1:48" x14ac:dyDescent="0.3">
      <c r="A177" s="85" t="str">
        <f>_xlfn.XLOOKUP(B177,'Country codes &amp; Data sources'!G:G,'Country codes &amp; Data sources'!H:H,,0)</f>
        <v>Congo</v>
      </c>
      <c r="B177" s="85" t="s">
        <v>189</v>
      </c>
      <c r="C177" s="86">
        <v>4713265.5</v>
      </c>
      <c r="D177" s="85" t="s">
        <v>204</v>
      </c>
      <c r="E177" s="87">
        <v>0</v>
      </c>
      <c r="F177" s="88">
        <v>4828066.5000000028</v>
      </c>
      <c r="G177" s="87">
        <v>0</v>
      </c>
      <c r="I177" s="87">
        <v>0</v>
      </c>
      <c r="K177" s="87">
        <v>0</v>
      </c>
      <c r="M177" s="87">
        <v>0</v>
      </c>
      <c r="O177" s="87">
        <v>0</v>
      </c>
      <c r="P177" s="88">
        <v>5441061.9999999972</v>
      </c>
      <c r="Q177" s="87">
        <v>0</v>
      </c>
      <c r="R177" s="87">
        <f t="shared" si="57"/>
        <v>790</v>
      </c>
      <c r="T177" s="87">
        <v>0</v>
      </c>
      <c r="V177" s="87">
        <v>0</v>
      </c>
      <c r="X177" s="87">
        <v>0</v>
      </c>
      <c r="Y177" s="88">
        <v>5970424.0000000009</v>
      </c>
      <c r="Z177" s="87">
        <v>0</v>
      </c>
      <c r="AA177" s="87">
        <v>790</v>
      </c>
      <c r="AB177" s="89">
        <f t="shared" si="58"/>
        <v>0</v>
      </c>
      <c r="AC177" s="89">
        <f t="shared" si="59"/>
        <v>0</v>
      </c>
      <c r="AD177" s="89">
        <f t="shared" si="60"/>
        <v>0</v>
      </c>
      <c r="AF177" s="90" t="str">
        <f t="shared" si="61"/>
        <v/>
      </c>
      <c r="AG177" s="90">
        <f t="shared" si="73"/>
        <v>790</v>
      </c>
      <c r="AH177" s="90" t="str">
        <f t="shared" si="62"/>
        <v>2018 (triag)</v>
      </c>
      <c r="AI177" s="90">
        <f t="shared" si="63"/>
        <v>790</v>
      </c>
      <c r="AJ177" s="90" t="str">
        <f t="shared" si="64"/>
        <v>2018 (triag)</v>
      </c>
      <c r="AK177" s="90" t="str">
        <f t="shared" si="65"/>
        <v/>
      </c>
      <c r="AL177" s="91">
        <f>IF(AK177="Adjust",(_xlfn.XLOOKUP(A177,'Adj factor'!A:A,'Adj factor'!I:I,,0)*AI177),'Master DataSheet (Rev)'!AI177)</f>
        <v>790</v>
      </c>
      <c r="AM177" s="91">
        <f t="shared" si="66"/>
        <v>790</v>
      </c>
      <c r="AN177" s="92" t="str">
        <f t="shared" si="67"/>
        <v>No change</v>
      </c>
      <c r="AO177" s="93">
        <f>VLOOKUP(B177,'Growthrates source'!A$2:H$49,8,FALSE)</f>
        <v>9.0847270748923847E-3</v>
      </c>
      <c r="AP177" s="93">
        <f>VLOOKUP(B177,'Growthrates source'!A$2:I$49,9,FALSE)</f>
        <v>5.4673730437993617E-2</v>
      </c>
      <c r="AQ177" s="86">
        <f t="shared" si="68"/>
        <v>754.91813287125501</v>
      </c>
      <c r="AR177" s="86">
        <f t="shared" si="69"/>
        <v>930.80903378074311</v>
      </c>
      <c r="AS177" s="94">
        <f t="shared" si="70"/>
        <v>0</v>
      </c>
      <c r="AT177" s="94">
        <f t="shared" si="71"/>
        <v>1.4519224372006796</v>
      </c>
      <c r="AU177" s="94">
        <f t="shared" si="55"/>
        <v>1.3231891068373032</v>
      </c>
      <c r="AV177" s="94">
        <f t="shared" si="56"/>
        <v>1.3231891068373032</v>
      </c>
    </row>
    <row r="178" spans="1:48" x14ac:dyDescent="0.3">
      <c r="A178" s="85" t="str">
        <f>_xlfn.XLOOKUP(B178,'Country codes &amp; Data sources'!G:G,'Country codes &amp; Data sources'!H:H,,0)</f>
        <v>Congo</v>
      </c>
      <c r="B178" s="85" t="s">
        <v>189</v>
      </c>
      <c r="C178" s="86">
        <v>4713266.5</v>
      </c>
      <c r="D178" s="85" t="s">
        <v>205</v>
      </c>
      <c r="E178" s="87">
        <v>0</v>
      </c>
      <c r="F178" s="88">
        <v>4828066.5000000028</v>
      </c>
      <c r="G178" s="87">
        <v>0</v>
      </c>
      <c r="I178" s="87">
        <v>0</v>
      </c>
      <c r="K178" s="87">
        <v>0</v>
      </c>
      <c r="M178" s="87">
        <v>0</v>
      </c>
      <c r="O178" s="87">
        <v>0</v>
      </c>
      <c r="P178" s="88">
        <v>5441061.9999999972</v>
      </c>
      <c r="Q178" s="87">
        <v>0</v>
      </c>
      <c r="R178" s="87">
        <f t="shared" si="57"/>
        <v>0</v>
      </c>
      <c r="T178" s="87">
        <v>0</v>
      </c>
      <c r="V178" s="87">
        <v>0</v>
      </c>
      <c r="X178" s="87">
        <v>0</v>
      </c>
      <c r="Y178" s="88">
        <v>5970424.0000000009</v>
      </c>
      <c r="Z178" s="87">
        <v>0</v>
      </c>
      <c r="AA178" s="87">
        <v>0</v>
      </c>
      <c r="AB178" s="89">
        <f t="shared" si="58"/>
        <v>0</v>
      </c>
      <c r="AC178" s="89">
        <f t="shared" si="59"/>
        <v>0</v>
      </c>
      <c r="AD178" s="89">
        <f t="shared" si="60"/>
        <v>0</v>
      </c>
      <c r="AF178" s="90" t="str">
        <f t="shared" si="61"/>
        <v/>
      </c>
      <c r="AH178" s="90" t="str">
        <f t="shared" si="62"/>
        <v/>
      </c>
      <c r="AI178" s="90">
        <f t="shared" si="63"/>
        <v>0</v>
      </c>
      <c r="AJ178" s="90" t="str">
        <f t="shared" si="64"/>
        <v/>
      </c>
      <c r="AK178" s="90" t="str">
        <f t="shared" si="65"/>
        <v/>
      </c>
      <c r="AL178" s="91"/>
      <c r="AM178" s="91">
        <f t="shared" si="66"/>
        <v>0</v>
      </c>
      <c r="AN178" s="92" t="str">
        <f t="shared" si="67"/>
        <v>No change</v>
      </c>
      <c r="AO178" s="93">
        <f>VLOOKUP(B178,'Growthrates source'!A$2:H$49,8,FALSE)</f>
        <v>9.0847270748923847E-3</v>
      </c>
      <c r="AP178" s="93">
        <f>VLOOKUP(B178,'Growthrates source'!A$2:I$49,9,FALSE)</f>
        <v>5.4673730437993617E-2</v>
      </c>
      <c r="AQ178" s="86">
        <f t="shared" si="68"/>
        <v>0</v>
      </c>
      <c r="AR178" s="86">
        <f t="shared" si="69"/>
        <v>0</v>
      </c>
      <c r="AS178" s="94">
        <f t="shared" si="70"/>
        <v>0</v>
      </c>
      <c r="AT178" s="94">
        <f t="shared" si="71"/>
        <v>0</v>
      </c>
      <c r="AU178" s="94">
        <f t="shared" si="55"/>
        <v>0</v>
      </c>
      <c r="AV178" s="94">
        <f t="shared" si="56"/>
        <v>0</v>
      </c>
    </row>
    <row r="179" spans="1:48" x14ac:dyDescent="0.3">
      <c r="A179" s="85" t="str">
        <f>_xlfn.XLOOKUP(B179,'Country codes &amp; Data sources'!G:G,'Country codes &amp; Data sources'!H:H,,0)</f>
        <v>Congo</v>
      </c>
      <c r="B179" s="85" t="s">
        <v>189</v>
      </c>
      <c r="C179" s="86">
        <v>4713267.5</v>
      </c>
      <c r="D179" s="85" t="s">
        <v>133</v>
      </c>
      <c r="E179" s="87">
        <v>0</v>
      </c>
      <c r="F179" s="88">
        <v>4828066.5000000028</v>
      </c>
      <c r="G179" s="87">
        <v>0</v>
      </c>
      <c r="I179" s="87">
        <v>0</v>
      </c>
      <c r="K179" s="87">
        <v>0</v>
      </c>
      <c r="M179" s="87">
        <v>0</v>
      </c>
      <c r="O179" s="87">
        <v>0</v>
      </c>
      <c r="P179" s="88">
        <v>5441061.9999999972</v>
      </c>
      <c r="Q179" s="87">
        <v>320</v>
      </c>
      <c r="R179" s="87">
        <f t="shared" si="57"/>
        <v>320</v>
      </c>
      <c r="T179" s="87">
        <v>0</v>
      </c>
      <c r="V179" s="87">
        <v>0</v>
      </c>
      <c r="X179" s="87">
        <v>0</v>
      </c>
      <c r="Y179" s="88">
        <v>5970424.0000000009</v>
      </c>
      <c r="Z179" s="87">
        <v>0</v>
      </c>
      <c r="AA179" s="87">
        <v>216</v>
      </c>
      <c r="AB179" s="89">
        <f t="shared" si="58"/>
        <v>0</v>
      </c>
      <c r="AC179" s="89">
        <f t="shared" si="59"/>
        <v>320</v>
      </c>
      <c r="AD179" s="89">
        <f t="shared" si="60"/>
        <v>0</v>
      </c>
      <c r="AF179" s="90" t="str">
        <f t="shared" si="61"/>
        <v/>
      </c>
      <c r="AG179" s="90">
        <f t="shared" si="73"/>
        <v>320</v>
      </c>
      <c r="AH179" s="90">
        <f t="shared" si="62"/>
        <v>2018</v>
      </c>
      <c r="AI179" s="90">
        <f t="shared" si="63"/>
        <v>320</v>
      </c>
      <c r="AJ179" s="90">
        <f t="shared" si="64"/>
        <v>2018</v>
      </c>
      <c r="AK179" s="90" t="str">
        <f t="shared" si="65"/>
        <v/>
      </c>
      <c r="AL179" s="91">
        <f>IF(AK179="Adjust",(_xlfn.XLOOKUP(A179,'Adj factor'!A:A,'Adj factor'!I:I,,0)*AI179),'Master DataSheet (Rev)'!AI179)</f>
        <v>320</v>
      </c>
      <c r="AM179" s="91">
        <f t="shared" si="66"/>
        <v>320</v>
      </c>
      <c r="AN179" s="92" t="str">
        <f t="shared" si="67"/>
        <v>No change</v>
      </c>
      <c r="AO179" s="93">
        <f>VLOOKUP(B179,'Growthrates source'!A$2:H$49,8,FALSE)</f>
        <v>9.0847270748923847E-3</v>
      </c>
      <c r="AP179" s="93">
        <f>VLOOKUP(B179,'Growthrates source'!A$2:I$49,9,FALSE)</f>
        <v>5.4673730437993617E-2</v>
      </c>
      <c r="AQ179" s="86">
        <f t="shared" si="68"/>
        <v>206.40799582302668</v>
      </c>
      <c r="AR179" s="86">
        <f t="shared" si="69"/>
        <v>254.4996851856209</v>
      </c>
      <c r="AS179" s="94">
        <f t="shared" si="70"/>
        <v>0</v>
      </c>
      <c r="AT179" s="94">
        <f t="shared" si="71"/>
        <v>0.58812048089141455</v>
      </c>
      <c r="AU179" s="94">
        <f t="shared" si="55"/>
        <v>0.53597533441511014</v>
      </c>
      <c r="AV179" s="94">
        <f t="shared" si="56"/>
        <v>0.53597533441511014</v>
      </c>
    </row>
    <row r="180" spans="1:48" x14ac:dyDescent="0.3">
      <c r="A180" s="85" t="str">
        <f>_xlfn.XLOOKUP(B180,'Country codes &amp; Data sources'!G:G,'Country codes &amp; Data sources'!H:H,,0)</f>
        <v>Congo</v>
      </c>
      <c r="B180" s="85" t="s">
        <v>189</v>
      </c>
      <c r="C180" s="86">
        <v>4713268.5</v>
      </c>
      <c r="D180" s="85" t="s">
        <v>206</v>
      </c>
      <c r="E180" s="87">
        <v>0</v>
      </c>
      <c r="F180" s="88">
        <v>4828066.5000000028</v>
      </c>
      <c r="G180" s="87">
        <v>0</v>
      </c>
      <c r="I180" s="87">
        <v>0</v>
      </c>
      <c r="K180" s="87">
        <v>0</v>
      </c>
      <c r="M180" s="87">
        <v>0</v>
      </c>
      <c r="O180" s="87">
        <v>0</v>
      </c>
      <c r="P180" s="88">
        <v>5441061.9999999972</v>
      </c>
      <c r="Q180" s="87">
        <v>0</v>
      </c>
      <c r="R180" s="87">
        <f t="shared" si="57"/>
        <v>0</v>
      </c>
      <c r="T180" s="87">
        <v>0</v>
      </c>
      <c r="V180" s="87">
        <v>0</v>
      </c>
      <c r="X180" s="87">
        <v>0</v>
      </c>
      <c r="Y180" s="88">
        <v>5970424.0000000009</v>
      </c>
      <c r="Z180" s="87">
        <v>0</v>
      </c>
      <c r="AA180" s="87">
        <v>0</v>
      </c>
      <c r="AB180" s="89">
        <f t="shared" si="58"/>
        <v>0</v>
      </c>
      <c r="AC180" s="89">
        <f t="shared" si="59"/>
        <v>0</v>
      </c>
      <c r="AD180" s="89">
        <f t="shared" si="60"/>
        <v>0</v>
      </c>
      <c r="AF180" s="90" t="str">
        <f t="shared" si="61"/>
        <v/>
      </c>
      <c r="AH180" s="90" t="str">
        <f t="shared" si="62"/>
        <v/>
      </c>
      <c r="AI180" s="90">
        <f t="shared" si="63"/>
        <v>0</v>
      </c>
      <c r="AJ180" s="90" t="str">
        <f t="shared" si="64"/>
        <v/>
      </c>
      <c r="AK180" s="90" t="str">
        <f t="shared" si="65"/>
        <v/>
      </c>
      <c r="AL180" s="91"/>
      <c r="AM180" s="91">
        <f t="shared" si="66"/>
        <v>0</v>
      </c>
      <c r="AN180" s="92" t="str">
        <f t="shared" si="67"/>
        <v>No change</v>
      </c>
      <c r="AO180" s="93">
        <f>VLOOKUP(B180,'Growthrates source'!A$2:H$49,8,FALSE)</f>
        <v>9.0847270748923847E-3</v>
      </c>
      <c r="AP180" s="93">
        <f>VLOOKUP(B180,'Growthrates source'!A$2:I$49,9,FALSE)</f>
        <v>5.4673730437993617E-2</v>
      </c>
      <c r="AQ180" s="86">
        <f t="shared" si="68"/>
        <v>0</v>
      </c>
      <c r="AR180" s="86">
        <f t="shared" si="69"/>
        <v>0</v>
      </c>
      <c r="AS180" s="94">
        <f t="shared" si="70"/>
        <v>0</v>
      </c>
      <c r="AT180" s="94">
        <f t="shared" si="71"/>
        <v>0</v>
      </c>
      <c r="AU180" s="94">
        <f t="shared" si="55"/>
        <v>0</v>
      </c>
      <c r="AV180" s="94">
        <f t="shared" si="56"/>
        <v>0</v>
      </c>
    </row>
    <row r="181" spans="1:48" x14ac:dyDescent="0.3">
      <c r="A181" s="85" t="str">
        <f>_xlfn.XLOOKUP(B181,'Country codes &amp; Data sources'!G:G,'Country codes &amp; Data sources'!H:H,,0)</f>
        <v>Congo</v>
      </c>
      <c r="B181" s="85" t="s">
        <v>189</v>
      </c>
      <c r="C181" s="86">
        <v>4713269.5</v>
      </c>
      <c r="D181" s="85" t="s">
        <v>136</v>
      </c>
      <c r="E181" s="87">
        <v>0</v>
      </c>
      <c r="F181" s="88">
        <v>4828066.5000000028</v>
      </c>
      <c r="G181" s="87">
        <v>0</v>
      </c>
      <c r="I181" s="87">
        <v>0</v>
      </c>
      <c r="K181" s="87">
        <v>0</v>
      </c>
      <c r="M181" s="87">
        <v>0</v>
      </c>
      <c r="O181" s="87">
        <v>0</v>
      </c>
      <c r="P181" s="88">
        <v>5441061.9999999972</v>
      </c>
      <c r="Q181" s="87">
        <v>0</v>
      </c>
      <c r="R181" s="87">
        <f t="shared" si="57"/>
        <v>97</v>
      </c>
      <c r="T181" s="87">
        <v>0</v>
      </c>
      <c r="V181" s="87">
        <v>0</v>
      </c>
      <c r="X181" s="87">
        <v>0</v>
      </c>
      <c r="Y181" s="88">
        <v>5970424.0000000009</v>
      </c>
      <c r="Z181" s="87">
        <v>0</v>
      </c>
      <c r="AA181" s="87">
        <v>97</v>
      </c>
      <c r="AB181" s="89">
        <f t="shared" si="58"/>
        <v>0</v>
      </c>
      <c r="AC181" s="89">
        <f t="shared" si="59"/>
        <v>0</v>
      </c>
      <c r="AD181" s="89">
        <f t="shared" si="60"/>
        <v>0</v>
      </c>
      <c r="AF181" s="90" t="str">
        <f t="shared" si="61"/>
        <v/>
      </c>
      <c r="AG181" s="90">
        <f t="shared" si="73"/>
        <v>97</v>
      </c>
      <c r="AH181" s="90" t="str">
        <f t="shared" si="62"/>
        <v>2018 (triag)</v>
      </c>
      <c r="AI181" s="90">
        <f t="shared" si="63"/>
        <v>97</v>
      </c>
      <c r="AJ181" s="90" t="str">
        <f t="shared" si="64"/>
        <v>2018 (triag)</v>
      </c>
      <c r="AK181" s="90" t="str">
        <f t="shared" si="65"/>
        <v/>
      </c>
      <c r="AL181" s="91">
        <f>IF(AK181="Adjust",(_xlfn.XLOOKUP(A181,'Adj factor'!A:A,'Adj factor'!I:I,,0)*AI181),'Master DataSheet (Rev)'!AI181)</f>
        <v>97</v>
      </c>
      <c r="AM181" s="91">
        <f t="shared" si="66"/>
        <v>97</v>
      </c>
      <c r="AN181" s="92" t="str">
        <f t="shared" si="67"/>
        <v>No change</v>
      </c>
      <c r="AO181" s="93">
        <f>VLOOKUP(B181,'Growthrates source'!A$2:H$49,8,FALSE)</f>
        <v>9.0847270748923847E-3</v>
      </c>
      <c r="AP181" s="93">
        <f>VLOOKUP(B181,'Growthrates source'!A$2:I$49,9,FALSE)</f>
        <v>5.4673730437993617E-2</v>
      </c>
      <c r="AQ181" s="86">
        <f t="shared" si="68"/>
        <v>92.692479605711057</v>
      </c>
      <c r="AR181" s="86">
        <f t="shared" si="69"/>
        <v>114.28921047687605</v>
      </c>
      <c r="AS181" s="94">
        <f t="shared" si="70"/>
        <v>0</v>
      </c>
      <c r="AT181" s="94">
        <f t="shared" si="71"/>
        <v>0.17827402077021001</v>
      </c>
      <c r="AU181" s="94">
        <f t="shared" si="55"/>
        <v>0.16246752324458025</v>
      </c>
      <c r="AV181" s="94">
        <f t="shared" si="56"/>
        <v>0.16246752324458025</v>
      </c>
    </row>
    <row r="182" spans="1:48" x14ac:dyDescent="0.3">
      <c r="A182" s="85" t="str">
        <f>_xlfn.XLOOKUP(B182,'Country codes &amp; Data sources'!G:G,'Country codes &amp; Data sources'!H:H,,0)</f>
        <v>Congo</v>
      </c>
      <c r="B182" s="85" t="s">
        <v>189</v>
      </c>
      <c r="C182" s="86">
        <v>4713270.5</v>
      </c>
      <c r="D182" s="85" t="s">
        <v>207</v>
      </c>
      <c r="E182" s="87">
        <v>0</v>
      </c>
      <c r="F182" s="88">
        <v>4828066.5000000028</v>
      </c>
      <c r="G182" s="87">
        <v>0</v>
      </c>
      <c r="I182" s="87">
        <v>0</v>
      </c>
      <c r="K182" s="87">
        <v>0</v>
      </c>
      <c r="M182" s="87">
        <v>0</v>
      </c>
      <c r="O182" s="87">
        <v>0</v>
      </c>
      <c r="P182" s="88">
        <v>5441061.9999999972</v>
      </c>
      <c r="Q182" s="87">
        <v>0</v>
      </c>
      <c r="R182" s="87">
        <f t="shared" si="57"/>
        <v>0</v>
      </c>
      <c r="T182" s="87">
        <v>0</v>
      </c>
      <c r="V182" s="87">
        <v>0</v>
      </c>
      <c r="X182" s="87">
        <v>0</v>
      </c>
      <c r="Y182" s="88">
        <v>5970424.0000000009</v>
      </c>
      <c r="Z182" s="87">
        <v>0</v>
      </c>
      <c r="AA182" s="87">
        <v>0</v>
      </c>
      <c r="AB182" s="89">
        <f t="shared" si="58"/>
        <v>0</v>
      </c>
      <c r="AC182" s="89">
        <f t="shared" si="59"/>
        <v>0</v>
      </c>
      <c r="AD182" s="89">
        <f t="shared" si="60"/>
        <v>0</v>
      </c>
      <c r="AF182" s="90" t="str">
        <f t="shared" si="61"/>
        <v/>
      </c>
      <c r="AH182" s="90" t="str">
        <f t="shared" si="62"/>
        <v/>
      </c>
      <c r="AI182" s="90">
        <f t="shared" si="63"/>
        <v>0</v>
      </c>
      <c r="AJ182" s="90" t="str">
        <f t="shared" si="64"/>
        <v/>
      </c>
      <c r="AK182" s="90" t="str">
        <f t="shared" si="65"/>
        <v/>
      </c>
      <c r="AL182" s="91"/>
      <c r="AM182" s="91">
        <f t="shared" si="66"/>
        <v>0</v>
      </c>
      <c r="AN182" s="92" t="str">
        <f t="shared" si="67"/>
        <v>No change</v>
      </c>
      <c r="AO182" s="93">
        <f>VLOOKUP(B182,'Growthrates source'!A$2:H$49,8,FALSE)</f>
        <v>9.0847270748923847E-3</v>
      </c>
      <c r="AP182" s="93">
        <f>VLOOKUP(B182,'Growthrates source'!A$2:I$49,9,FALSE)</f>
        <v>5.4673730437993617E-2</v>
      </c>
      <c r="AQ182" s="86">
        <f t="shared" si="68"/>
        <v>0</v>
      </c>
      <c r="AR182" s="86">
        <f t="shared" si="69"/>
        <v>0</v>
      </c>
      <c r="AS182" s="94">
        <f t="shared" si="70"/>
        <v>0</v>
      </c>
      <c r="AT182" s="94">
        <f t="shared" si="71"/>
        <v>0</v>
      </c>
      <c r="AU182" s="94">
        <f t="shared" si="55"/>
        <v>0</v>
      </c>
      <c r="AV182" s="94">
        <f t="shared" si="56"/>
        <v>0</v>
      </c>
    </row>
    <row r="183" spans="1:48" x14ac:dyDescent="0.3">
      <c r="A183" s="85" t="str">
        <f>_xlfn.XLOOKUP(B183,'Country codes &amp; Data sources'!G:G,'Country codes &amp; Data sources'!H:H,,0)</f>
        <v>Congo</v>
      </c>
      <c r="B183" s="85" t="s">
        <v>189</v>
      </c>
      <c r="C183" s="86">
        <v>4713271.5</v>
      </c>
      <c r="D183" s="85" t="s">
        <v>141</v>
      </c>
      <c r="E183" s="87">
        <v>0</v>
      </c>
      <c r="F183" s="88">
        <v>4828066.5000000028</v>
      </c>
      <c r="G183" s="87">
        <v>0</v>
      </c>
      <c r="I183" s="87">
        <v>0</v>
      </c>
      <c r="K183" s="87">
        <v>0</v>
      </c>
      <c r="M183" s="87">
        <v>0</v>
      </c>
      <c r="O183" s="87">
        <v>0</v>
      </c>
      <c r="P183" s="88">
        <v>5441061.9999999972</v>
      </c>
      <c r="Q183" s="87">
        <v>0</v>
      </c>
      <c r="R183" s="87">
        <f t="shared" si="57"/>
        <v>0</v>
      </c>
      <c r="T183" s="87">
        <v>0</v>
      </c>
      <c r="V183" s="87">
        <v>0</v>
      </c>
      <c r="X183" s="87">
        <v>0</v>
      </c>
      <c r="Y183" s="88">
        <v>5970424.0000000009</v>
      </c>
      <c r="Z183" s="87">
        <v>0</v>
      </c>
      <c r="AA183" s="87">
        <v>0</v>
      </c>
      <c r="AB183" s="89">
        <f t="shared" si="58"/>
        <v>0</v>
      </c>
      <c r="AC183" s="89">
        <f t="shared" si="59"/>
        <v>0</v>
      </c>
      <c r="AD183" s="89">
        <f t="shared" si="60"/>
        <v>0</v>
      </c>
      <c r="AF183" s="90" t="str">
        <f t="shared" si="61"/>
        <v/>
      </c>
      <c r="AH183" s="90" t="str">
        <f t="shared" si="62"/>
        <v/>
      </c>
      <c r="AI183" s="90">
        <f t="shared" si="63"/>
        <v>0</v>
      </c>
      <c r="AJ183" s="90" t="str">
        <f t="shared" si="64"/>
        <v/>
      </c>
      <c r="AK183" s="90" t="str">
        <f t="shared" si="65"/>
        <v/>
      </c>
      <c r="AL183" s="91"/>
      <c r="AM183" s="91">
        <f t="shared" si="66"/>
        <v>0</v>
      </c>
      <c r="AN183" s="92" t="str">
        <f t="shared" si="67"/>
        <v>No change</v>
      </c>
      <c r="AO183" s="93">
        <f>VLOOKUP(B183,'Growthrates source'!A$2:H$49,8,FALSE)</f>
        <v>9.0847270748923847E-3</v>
      </c>
      <c r="AP183" s="93">
        <f>VLOOKUP(B183,'Growthrates source'!A$2:I$49,9,FALSE)</f>
        <v>5.4673730437993617E-2</v>
      </c>
      <c r="AQ183" s="86">
        <f t="shared" si="68"/>
        <v>0</v>
      </c>
      <c r="AR183" s="86">
        <f t="shared" si="69"/>
        <v>0</v>
      </c>
      <c r="AS183" s="94">
        <f t="shared" si="70"/>
        <v>0</v>
      </c>
      <c r="AT183" s="94">
        <f t="shared" si="71"/>
        <v>0</v>
      </c>
      <c r="AU183" s="94">
        <f t="shared" si="55"/>
        <v>0</v>
      </c>
      <c r="AV183" s="94">
        <f t="shared" si="56"/>
        <v>0</v>
      </c>
    </row>
    <row r="184" spans="1:48" x14ac:dyDescent="0.3">
      <c r="A184" s="85" t="str">
        <f>_xlfn.XLOOKUP(B184,'Country codes &amp; Data sources'!G:G,'Country codes &amp; Data sources'!H:H,,0)</f>
        <v>Congo</v>
      </c>
      <c r="B184" s="85" t="s">
        <v>189</v>
      </c>
      <c r="C184" s="86">
        <v>4713272.5</v>
      </c>
      <c r="D184" s="85" t="s">
        <v>208</v>
      </c>
      <c r="E184" s="87">
        <v>0</v>
      </c>
      <c r="F184" s="88">
        <v>4828066.5000000028</v>
      </c>
      <c r="G184" s="87">
        <v>0</v>
      </c>
      <c r="I184" s="87">
        <v>0</v>
      </c>
      <c r="K184" s="87">
        <v>0</v>
      </c>
      <c r="M184" s="87">
        <v>0</v>
      </c>
      <c r="O184" s="87">
        <v>0</v>
      </c>
      <c r="P184" s="88">
        <v>5441061.9999999972</v>
      </c>
      <c r="Q184" s="87">
        <v>0</v>
      </c>
      <c r="R184" s="87">
        <f t="shared" si="57"/>
        <v>111</v>
      </c>
      <c r="T184" s="87">
        <v>0</v>
      </c>
      <c r="V184" s="87">
        <v>0</v>
      </c>
      <c r="X184" s="87">
        <v>0</v>
      </c>
      <c r="Y184" s="88">
        <v>5970424.0000000009</v>
      </c>
      <c r="Z184" s="87">
        <v>0</v>
      </c>
      <c r="AA184" s="87">
        <v>111</v>
      </c>
      <c r="AB184" s="89">
        <f t="shared" si="58"/>
        <v>0</v>
      </c>
      <c r="AC184" s="89">
        <f t="shared" si="59"/>
        <v>0</v>
      </c>
      <c r="AD184" s="89">
        <f t="shared" si="60"/>
        <v>0</v>
      </c>
      <c r="AF184" s="90" t="str">
        <f t="shared" si="61"/>
        <v/>
      </c>
      <c r="AG184" s="90">
        <f t="shared" si="73"/>
        <v>111</v>
      </c>
      <c r="AH184" s="90" t="str">
        <f t="shared" si="62"/>
        <v>2018 (triag)</v>
      </c>
      <c r="AI184" s="90">
        <f t="shared" si="63"/>
        <v>111</v>
      </c>
      <c r="AJ184" s="90" t="str">
        <f t="shared" si="64"/>
        <v>2018 (triag)</v>
      </c>
      <c r="AK184" s="90" t="str">
        <f t="shared" si="65"/>
        <v/>
      </c>
      <c r="AL184" s="91">
        <f>IF(AK184="Adjust",(_xlfn.XLOOKUP(A184,'Adj factor'!A:A,'Adj factor'!I:I,,0)*AI184),'Master DataSheet (Rev)'!AI184)</f>
        <v>111</v>
      </c>
      <c r="AM184" s="91">
        <f t="shared" si="66"/>
        <v>111</v>
      </c>
      <c r="AN184" s="92" t="str">
        <f t="shared" si="67"/>
        <v>No change</v>
      </c>
      <c r="AO184" s="93">
        <f>VLOOKUP(B184,'Growthrates source'!A$2:H$49,8,FALSE)</f>
        <v>9.0847270748923847E-3</v>
      </c>
      <c r="AP184" s="93">
        <f>VLOOKUP(B184,'Growthrates source'!A$2:I$49,9,FALSE)</f>
        <v>5.4673730437993617E-2</v>
      </c>
      <c r="AQ184" s="86">
        <f t="shared" si="68"/>
        <v>106.0707756312776</v>
      </c>
      <c r="AR184" s="86">
        <f t="shared" si="69"/>
        <v>130.78456044261074</v>
      </c>
      <c r="AS184" s="94">
        <f t="shared" si="70"/>
        <v>0</v>
      </c>
      <c r="AT184" s="94">
        <f t="shared" si="71"/>
        <v>0.2040042918092094</v>
      </c>
      <c r="AU184" s="94">
        <f t="shared" si="55"/>
        <v>0.18591644412524133</v>
      </c>
      <c r="AV184" s="94">
        <f t="shared" si="56"/>
        <v>0.18591644412524133</v>
      </c>
    </row>
    <row r="185" spans="1:48" x14ac:dyDescent="0.3">
      <c r="A185" s="85" t="str">
        <f>_xlfn.XLOOKUP(B185,'Country codes &amp; Data sources'!G:G,'Country codes &amp; Data sources'!H:H,,0)</f>
        <v>Congo</v>
      </c>
      <c r="B185" s="85" t="s">
        <v>189</v>
      </c>
      <c r="C185" s="86">
        <v>4713273.5</v>
      </c>
      <c r="D185" s="85" t="s">
        <v>209</v>
      </c>
      <c r="E185" s="87">
        <v>0</v>
      </c>
      <c r="F185" s="88">
        <v>4828066.5000000028</v>
      </c>
      <c r="G185" s="87">
        <v>0</v>
      </c>
      <c r="I185" s="87">
        <v>0</v>
      </c>
      <c r="K185" s="87">
        <v>0</v>
      </c>
      <c r="M185" s="87">
        <v>0</v>
      </c>
      <c r="O185" s="87">
        <v>0</v>
      </c>
      <c r="P185" s="88">
        <v>5441061.9999999972</v>
      </c>
      <c r="Q185" s="87">
        <v>0</v>
      </c>
      <c r="R185" s="87">
        <f t="shared" si="57"/>
        <v>445</v>
      </c>
      <c r="T185" s="87">
        <v>0</v>
      </c>
      <c r="V185" s="87">
        <v>0</v>
      </c>
      <c r="X185" s="87">
        <v>0</v>
      </c>
      <c r="Y185" s="88">
        <v>5970424.0000000009</v>
      </c>
      <c r="Z185" s="87">
        <v>0</v>
      </c>
      <c r="AA185" s="87">
        <v>445</v>
      </c>
      <c r="AB185" s="89">
        <f t="shared" si="58"/>
        <v>0</v>
      </c>
      <c r="AC185" s="89">
        <f t="shared" si="59"/>
        <v>0</v>
      </c>
      <c r="AD185" s="89">
        <f t="shared" si="60"/>
        <v>0</v>
      </c>
      <c r="AF185" s="90" t="str">
        <f t="shared" si="61"/>
        <v/>
      </c>
      <c r="AG185" s="90">
        <f t="shared" si="73"/>
        <v>445</v>
      </c>
      <c r="AH185" s="90" t="str">
        <f t="shared" si="62"/>
        <v>2018 (triag)</v>
      </c>
      <c r="AI185" s="90">
        <f t="shared" si="63"/>
        <v>445</v>
      </c>
      <c r="AJ185" s="90" t="str">
        <f t="shared" si="64"/>
        <v>2018 (triag)</v>
      </c>
      <c r="AK185" s="90" t="str">
        <f t="shared" si="65"/>
        <v/>
      </c>
      <c r="AL185" s="91">
        <f>IF(AK185="Adjust",(_xlfn.XLOOKUP(A185,'Adj factor'!A:A,'Adj factor'!I:I,,0)*AI185),'Master DataSheet (Rev)'!AI185)</f>
        <v>445</v>
      </c>
      <c r="AM185" s="91">
        <f t="shared" si="66"/>
        <v>445</v>
      </c>
      <c r="AN185" s="92" t="str">
        <f t="shared" si="67"/>
        <v>No change</v>
      </c>
      <c r="AO185" s="93">
        <f>VLOOKUP(B185,'Growthrates source'!A$2:H$49,8,FALSE)</f>
        <v>9.0847270748923847E-3</v>
      </c>
      <c r="AP185" s="93">
        <f>VLOOKUP(B185,'Growthrates source'!A$2:I$49,9,FALSE)</f>
        <v>5.4673730437993617E-2</v>
      </c>
      <c r="AQ185" s="86">
        <f t="shared" si="68"/>
        <v>425.23869509836516</v>
      </c>
      <c r="AR185" s="86">
        <f t="shared" si="69"/>
        <v>524.31648105370971</v>
      </c>
      <c r="AS185" s="94">
        <f t="shared" si="70"/>
        <v>0</v>
      </c>
      <c r="AT185" s="94">
        <f t="shared" si="71"/>
        <v>0.81785504373962326</v>
      </c>
      <c r="AU185" s="94">
        <f t="shared" si="55"/>
        <v>0.74534069942101255</v>
      </c>
      <c r="AV185" s="94">
        <f t="shared" si="56"/>
        <v>0.74534069942101255</v>
      </c>
    </row>
    <row r="186" spans="1:48" x14ac:dyDescent="0.3">
      <c r="A186" s="85" t="str">
        <f>_xlfn.XLOOKUP(B186,'Country codes &amp; Data sources'!G:G,'Country codes &amp; Data sources'!H:H,,0)</f>
        <v>Congo</v>
      </c>
      <c r="B186" s="85" t="s">
        <v>189</v>
      </c>
      <c r="C186" s="86">
        <v>4713274.5</v>
      </c>
      <c r="D186" s="85" t="s">
        <v>134</v>
      </c>
      <c r="E186" s="87">
        <v>0</v>
      </c>
      <c r="F186" s="88">
        <v>4828066.5000000028</v>
      </c>
      <c r="G186" s="87">
        <v>0</v>
      </c>
      <c r="I186" s="87">
        <v>0</v>
      </c>
      <c r="K186" s="87">
        <v>0</v>
      </c>
      <c r="M186" s="87">
        <v>0</v>
      </c>
      <c r="O186" s="87">
        <v>0</v>
      </c>
      <c r="P186" s="88">
        <v>5441061.9999999972</v>
      </c>
      <c r="Q186" s="87">
        <v>0</v>
      </c>
      <c r="R186" s="87">
        <f t="shared" si="57"/>
        <v>320</v>
      </c>
      <c r="T186" s="87">
        <v>0</v>
      </c>
      <c r="V186" s="87">
        <v>0</v>
      </c>
      <c r="X186" s="87">
        <v>0</v>
      </c>
      <c r="Y186" s="88">
        <v>5970424.0000000009</v>
      </c>
      <c r="Z186" s="87">
        <v>777</v>
      </c>
      <c r="AA186" s="87">
        <v>320</v>
      </c>
      <c r="AB186" s="89">
        <f t="shared" si="58"/>
        <v>0</v>
      </c>
      <c r="AC186" s="89">
        <f t="shared" si="59"/>
        <v>0</v>
      </c>
      <c r="AD186" s="89">
        <f t="shared" si="60"/>
        <v>777</v>
      </c>
      <c r="AF186" s="90" t="str">
        <f t="shared" si="61"/>
        <v/>
      </c>
      <c r="AG186" s="90">
        <f t="shared" si="73"/>
        <v>320</v>
      </c>
      <c r="AH186" s="90" t="str">
        <f t="shared" si="62"/>
        <v>2018 (triag)</v>
      </c>
      <c r="AI186" s="90">
        <f t="shared" si="63"/>
        <v>777</v>
      </c>
      <c r="AJ186" s="90">
        <f t="shared" si="64"/>
        <v>2022</v>
      </c>
      <c r="AK186" s="90" t="str">
        <f t="shared" si="65"/>
        <v/>
      </c>
      <c r="AL186" s="91">
        <f>IF(AK186="Adjust",(_xlfn.XLOOKUP(A186,'Adj factor'!A:A,'Adj factor'!I:I,,0)*AI186),'Master DataSheet (Rev)'!AI186)</f>
        <v>777</v>
      </c>
      <c r="AM186" s="91">
        <f t="shared" si="66"/>
        <v>777</v>
      </c>
      <c r="AN186" s="92" t="str">
        <f t="shared" si="67"/>
        <v>Increasing</v>
      </c>
      <c r="AO186" s="93">
        <f>VLOOKUP(B186,'Growthrates source'!A$2:H$49,8,FALSE)</f>
        <v>9.0847270748923847E-3</v>
      </c>
      <c r="AP186" s="93">
        <f>VLOOKUP(B186,'Growthrates source'!A$2:I$49,9,FALSE)</f>
        <v>5.4673730437993617E-2</v>
      </c>
      <c r="AQ186" s="86">
        <f t="shared" si="68"/>
        <v>305.78962344152103</v>
      </c>
      <c r="AR186" s="86">
        <f t="shared" si="69"/>
        <v>377.03657064536429</v>
      </c>
      <c r="AS186" s="94">
        <f t="shared" si="70"/>
        <v>0</v>
      </c>
      <c r="AT186" s="94">
        <f t="shared" si="71"/>
        <v>0.58812048089141455</v>
      </c>
      <c r="AU186" s="94">
        <f t="shared" si="55"/>
        <v>1.3014151088766892</v>
      </c>
      <c r="AV186" s="94">
        <f t="shared" si="56"/>
        <v>1.3014151088766892</v>
      </c>
    </row>
    <row r="187" spans="1:48" x14ac:dyDescent="0.3">
      <c r="A187" s="85" t="str">
        <f>_xlfn.XLOOKUP(B187,'Country codes &amp; Data sources'!G:G,'Country codes &amp; Data sources'!H:H,,0)</f>
        <v>Congo</v>
      </c>
      <c r="B187" s="85" t="s">
        <v>189</v>
      </c>
      <c r="C187" s="86">
        <v>4713275.5</v>
      </c>
      <c r="D187" s="85" t="s">
        <v>142</v>
      </c>
      <c r="E187" s="87">
        <v>0</v>
      </c>
      <c r="F187" s="88">
        <v>4828066.5000000028</v>
      </c>
      <c r="G187" s="87">
        <v>0</v>
      </c>
      <c r="I187" s="87">
        <v>0</v>
      </c>
      <c r="K187" s="87">
        <v>0</v>
      </c>
      <c r="M187" s="87">
        <v>0</v>
      </c>
      <c r="O187" s="87">
        <v>0</v>
      </c>
      <c r="P187" s="88">
        <v>5441061.9999999972</v>
      </c>
      <c r="Q187" s="87">
        <v>0</v>
      </c>
      <c r="R187" s="87">
        <f t="shared" si="57"/>
        <v>0</v>
      </c>
      <c r="T187" s="87">
        <v>0</v>
      </c>
      <c r="V187" s="87">
        <v>0</v>
      </c>
      <c r="X187" s="87">
        <v>0</v>
      </c>
      <c r="Y187" s="88">
        <v>5970424.0000000009</v>
      </c>
      <c r="Z187" s="87">
        <v>0</v>
      </c>
      <c r="AA187" s="87">
        <v>0</v>
      </c>
      <c r="AB187" s="89">
        <f t="shared" si="58"/>
        <v>0</v>
      </c>
      <c r="AC187" s="89">
        <f t="shared" si="59"/>
        <v>0</v>
      </c>
      <c r="AD187" s="89">
        <f t="shared" si="60"/>
        <v>0</v>
      </c>
      <c r="AF187" s="90" t="str">
        <f t="shared" si="61"/>
        <v/>
      </c>
      <c r="AH187" s="90" t="str">
        <f t="shared" si="62"/>
        <v/>
      </c>
      <c r="AI187" s="90">
        <f t="shared" si="63"/>
        <v>0</v>
      </c>
      <c r="AJ187" s="90" t="str">
        <f t="shared" si="64"/>
        <v/>
      </c>
      <c r="AK187" s="90" t="str">
        <f t="shared" si="65"/>
        <v/>
      </c>
      <c r="AL187" s="91"/>
      <c r="AM187" s="91">
        <f t="shared" si="66"/>
        <v>0</v>
      </c>
      <c r="AN187" s="92" t="str">
        <f t="shared" si="67"/>
        <v>No change</v>
      </c>
      <c r="AO187" s="93">
        <f>VLOOKUP(B187,'Growthrates source'!A$2:H$49,8,FALSE)</f>
        <v>9.0847270748923847E-3</v>
      </c>
      <c r="AP187" s="93">
        <f>VLOOKUP(B187,'Growthrates source'!A$2:I$49,9,FALSE)</f>
        <v>5.4673730437993617E-2</v>
      </c>
      <c r="AQ187" s="86">
        <f t="shared" si="68"/>
        <v>0</v>
      </c>
      <c r="AR187" s="86">
        <f t="shared" si="69"/>
        <v>0</v>
      </c>
      <c r="AS187" s="94">
        <f t="shared" si="70"/>
        <v>0</v>
      </c>
      <c r="AT187" s="94">
        <f t="shared" si="71"/>
        <v>0</v>
      </c>
      <c r="AU187" s="94">
        <f t="shared" si="55"/>
        <v>0</v>
      </c>
      <c r="AV187" s="94">
        <f t="shared" si="56"/>
        <v>0</v>
      </c>
    </row>
    <row r="188" spans="1:48" x14ac:dyDescent="0.3">
      <c r="A188" s="85" t="str">
        <f>_xlfn.XLOOKUP(B188,'Country codes &amp; Data sources'!G:G,'Country codes &amp; Data sources'!H:H,,0)</f>
        <v>Congo</v>
      </c>
      <c r="B188" s="85" t="s">
        <v>189</v>
      </c>
      <c r="C188" s="86">
        <v>4713276.5</v>
      </c>
      <c r="D188" s="85" t="s">
        <v>83</v>
      </c>
      <c r="E188" s="87">
        <v>0</v>
      </c>
      <c r="F188" s="88">
        <v>4828066.5000000028</v>
      </c>
      <c r="G188" s="87">
        <v>0</v>
      </c>
      <c r="I188" s="87">
        <v>0</v>
      </c>
      <c r="K188" s="87">
        <v>0</v>
      </c>
      <c r="M188" s="87">
        <v>0</v>
      </c>
      <c r="O188" s="87">
        <v>0</v>
      </c>
      <c r="P188" s="88">
        <v>5441061.9999999972</v>
      </c>
      <c r="Q188" s="87">
        <v>0</v>
      </c>
      <c r="R188" s="87">
        <f t="shared" si="57"/>
        <v>0</v>
      </c>
      <c r="T188" s="87">
        <v>0</v>
      </c>
      <c r="V188" s="87">
        <v>0</v>
      </c>
      <c r="X188" s="87">
        <v>0</v>
      </c>
      <c r="Y188" s="88">
        <v>5970424.0000000009</v>
      </c>
      <c r="Z188" s="87">
        <v>0</v>
      </c>
      <c r="AA188" s="87">
        <v>0</v>
      </c>
      <c r="AB188" s="89">
        <f t="shared" si="58"/>
        <v>0</v>
      </c>
      <c r="AC188" s="89">
        <f t="shared" si="59"/>
        <v>0</v>
      </c>
      <c r="AD188" s="89">
        <f t="shared" si="60"/>
        <v>0</v>
      </c>
      <c r="AF188" s="90" t="str">
        <f t="shared" si="61"/>
        <v/>
      </c>
      <c r="AH188" s="90" t="str">
        <f t="shared" si="62"/>
        <v/>
      </c>
      <c r="AI188" s="90">
        <f t="shared" si="63"/>
        <v>0</v>
      </c>
      <c r="AJ188" s="90" t="str">
        <f t="shared" si="64"/>
        <v/>
      </c>
      <c r="AK188" s="90" t="str">
        <f t="shared" si="65"/>
        <v/>
      </c>
      <c r="AL188" s="91"/>
      <c r="AM188" s="91">
        <f t="shared" si="66"/>
        <v>0</v>
      </c>
      <c r="AN188" s="92" t="str">
        <f t="shared" si="67"/>
        <v>No change</v>
      </c>
      <c r="AO188" s="93">
        <f>VLOOKUP(B188,'Growthrates source'!A$2:H$49,8,FALSE)</f>
        <v>9.0847270748923847E-3</v>
      </c>
      <c r="AP188" s="93">
        <f>VLOOKUP(B188,'Growthrates source'!A$2:I$49,9,FALSE)</f>
        <v>5.4673730437993617E-2</v>
      </c>
      <c r="AQ188" s="86">
        <f t="shared" si="68"/>
        <v>0</v>
      </c>
      <c r="AR188" s="86">
        <f t="shared" si="69"/>
        <v>0</v>
      </c>
      <c r="AS188" s="94">
        <f t="shared" si="70"/>
        <v>0</v>
      </c>
      <c r="AT188" s="94">
        <f t="shared" si="71"/>
        <v>0</v>
      </c>
      <c r="AU188" s="94">
        <f t="shared" si="55"/>
        <v>0</v>
      </c>
      <c r="AV188" s="94">
        <f t="shared" si="56"/>
        <v>0</v>
      </c>
    </row>
    <row r="189" spans="1:48" x14ac:dyDescent="0.3">
      <c r="A189" s="85" t="str">
        <f>_xlfn.XLOOKUP(B189,'Country codes &amp; Data sources'!G:G,'Country codes &amp; Data sources'!H:H,,0)</f>
        <v>Congo</v>
      </c>
      <c r="B189" s="85" t="s">
        <v>189</v>
      </c>
      <c r="C189" s="86">
        <v>4713277.5</v>
      </c>
      <c r="D189" s="85" t="s">
        <v>84</v>
      </c>
      <c r="E189" s="87">
        <v>0</v>
      </c>
      <c r="F189" s="88">
        <v>4828066.5000000028</v>
      </c>
      <c r="G189" s="87">
        <v>0</v>
      </c>
      <c r="I189" s="87">
        <v>0</v>
      </c>
      <c r="K189" s="87">
        <v>0</v>
      </c>
      <c r="M189" s="87">
        <v>0</v>
      </c>
      <c r="O189" s="87">
        <v>0</v>
      </c>
      <c r="P189" s="88">
        <v>5441061.9999999972</v>
      </c>
      <c r="Q189" s="87">
        <v>0</v>
      </c>
      <c r="R189" s="87">
        <f t="shared" si="57"/>
        <v>0</v>
      </c>
      <c r="T189" s="87">
        <v>0</v>
      </c>
      <c r="V189" s="87">
        <v>0</v>
      </c>
      <c r="X189" s="87">
        <v>0</v>
      </c>
      <c r="Y189" s="88">
        <v>5970424.0000000009</v>
      </c>
      <c r="Z189" s="87">
        <v>0</v>
      </c>
      <c r="AA189" s="87">
        <v>0</v>
      </c>
      <c r="AB189" s="89">
        <f t="shared" si="58"/>
        <v>0</v>
      </c>
      <c r="AC189" s="89">
        <f t="shared" si="59"/>
        <v>0</v>
      </c>
      <c r="AD189" s="89">
        <f t="shared" si="60"/>
        <v>0</v>
      </c>
      <c r="AF189" s="90" t="str">
        <f t="shared" si="61"/>
        <v/>
      </c>
      <c r="AH189" s="90" t="str">
        <f t="shared" si="62"/>
        <v/>
      </c>
      <c r="AI189" s="90">
        <f t="shared" si="63"/>
        <v>0</v>
      </c>
      <c r="AJ189" s="90" t="str">
        <f t="shared" si="64"/>
        <v/>
      </c>
      <c r="AK189" s="90" t="str">
        <f t="shared" si="65"/>
        <v/>
      </c>
      <c r="AL189" s="91"/>
      <c r="AM189" s="91">
        <f t="shared" si="66"/>
        <v>0</v>
      </c>
      <c r="AN189" s="92" t="str">
        <f t="shared" si="67"/>
        <v>No change</v>
      </c>
      <c r="AO189" s="93">
        <f>VLOOKUP(B189,'Growthrates source'!A$2:H$49,8,FALSE)</f>
        <v>9.0847270748923847E-3</v>
      </c>
      <c r="AP189" s="93">
        <f>VLOOKUP(B189,'Growthrates source'!A$2:I$49,9,FALSE)</f>
        <v>5.4673730437993617E-2</v>
      </c>
      <c r="AQ189" s="86">
        <f t="shared" si="68"/>
        <v>0</v>
      </c>
      <c r="AR189" s="86">
        <f t="shared" si="69"/>
        <v>0</v>
      </c>
      <c r="AS189" s="94">
        <f t="shared" si="70"/>
        <v>0</v>
      </c>
      <c r="AT189" s="94">
        <f t="shared" si="71"/>
        <v>0</v>
      </c>
      <c r="AU189" s="94">
        <f t="shared" si="55"/>
        <v>0</v>
      </c>
      <c r="AV189" s="94">
        <f t="shared" si="56"/>
        <v>0</v>
      </c>
    </row>
    <row r="190" spans="1:48" x14ac:dyDescent="0.3">
      <c r="A190" s="85" t="str">
        <f>_xlfn.XLOOKUP(B190,'Country codes &amp; Data sources'!G:G,'Country codes &amp; Data sources'!H:H,,0)</f>
        <v>Congo</v>
      </c>
      <c r="B190" s="85" t="s">
        <v>189</v>
      </c>
      <c r="C190" s="86">
        <v>4713278.5</v>
      </c>
      <c r="D190" s="85" t="s">
        <v>126</v>
      </c>
      <c r="E190" s="87">
        <v>0</v>
      </c>
      <c r="F190" s="88">
        <v>4828066.5000000028</v>
      </c>
      <c r="G190" s="87">
        <v>0</v>
      </c>
      <c r="I190" s="87">
        <v>0</v>
      </c>
      <c r="K190" s="87">
        <v>0</v>
      </c>
      <c r="M190" s="87">
        <v>0</v>
      </c>
      <c r="O190" s="87">
        <v>0</v>
      </c>
      <c r="P190" s="88">
        <v>5441061.9999999972</v>
      </c>
      <c r="Q190" s="87">
        <v>0</v>
      </c>
      <c r="R190" s="87">
        <f t="shared" si="57"/>
        <v>0</v>
      </c>
      <c r="T190" s="87">
        <v>0</v>
      </c>
      <c r="V190" s="87">
        <v>0</v>
      </c>
      <c r="X190" s="87">
        <v>0</v>
      </c>
      <c r="Y190" s="88">
        <v>5970424.0000000009</v>
      </c>
      <c r="Z190" s="87">
        <v>0</v>
      </c>
      <c r="AA190" s="87">
        <v>0</v>
      </c>
      <c r="AB190" s="89">
        <f t="shared" si="58"/>
        <v>0</v>
      </c>
      <c r="AC190" s="89">
        <f t="shared" si="59"/>
        <v>0</v>
      </c>
      <c r="AD190" s="89">
        <f t="shared" si="60"/>
        <v>0</v>
      </c>
      <c r="AF190" s="90" t="str">
        <f t="shared" si="61"/>
        <v/>
      </c>
      <c r="AH190" s="90" t="str">
        <f t="shared" si="62"/>
        <v/>
      </c>
      <c r="AI190" s="90">
        <f t="shared" si="63"/>
        <v>0</v>
      </c>
      <c r="AJ190" s="90" t="str">
        <f t="shared" si="64"/>
        <v/>
      </c>
      <c r="AK190" s="90" t="str">
        <f t="shared" si="65"/>
        <v/>
      </c>
      <c r="AL190" s="91"/>
      <c r="AM190" s="91">
        <f t="shared" si="66"/>
        <v>0</v>
      </c>
      <c r="AN190" s="92" t="str">
        <f t="shared" si="67"/>
        <v>No change</v>
      </c>
      <c r="AO190" s="93">
        <f>VLOOKUP(B190,'Growthrates source'!A$2:H$49,8,FALSE)</f>
        <v>9.0847270748923847E-3</v>
      </c>
      <c r="AP190" s="93">
        <f>VLOOKUP(B190,'Growthrates source'!A$2:I$49,9,FALSE)</f>
        <v>5.4673730437993617E-2</v>
      </c>
      <c r="AQ190" s="86">
        <f t="shared" si="68"/>
        <v>0</v>
      </c>
      <c r="AR190" s="86">
        <f t="shared" si="69"/>
        <v>0</v>
      </c>
      <c r="AS190" s="94">
        <f t="shared" si="70"/>
        <v>0</v>
      </c>
      <c r="AT190" s="94">
        <f t="shared" si="71"/>
        <v>0</v>
      </c>
      <c r="AU190" s="94">
        <f t="shared" si="55"/>
        <v>0</v>
      </c>
      <c r="AV190" s="94">
        <f t="shared" si="56"/>
        <v>0</v>
      </c>
    </row>
    <row r="191" spans="1:48" x14ac:dyDescent="0.3">
      <c r="A191" s="85" t="str">
        <f>_xlfn.XLOOKUP(B191,'Country codes &amp; Data sources'!G:G,'Country codes &amp; Data sources'!H:H,,0)</f>
        <v>Congo</v>
      </c>
      <c r="B191" s="85" t="s">
        <v>189</v>
      </c>
      <c r="C191" s="86">
        <v>4713279.5</v>
      </c>
      <c r="D191" s="85" t="s">
        <v>87</v>
      </c>
      <c r="E191" s="87">
        <v>0</v>
      </c>
      <c r="F191" s="88">
        <v>4828066.5000000028</v>
      </c>
      <c r="G191" s="87">
        <v>0</v>
      </c>
      <c r="I191" s="87">
        <v>0</v>
      </c>
      <c r="K191" s="87">
        <v>0</v>
      </c>
      <c r="M191" s="87">
        <v>0</v>
      </c>
      <c r="O191" s="87">
        <v>0</v>
      </c>
      <c r="P191" s="88">
        <v>5441061.9999999972</v>
      </c>
      <c r="Q191" s="87">
        <v>0</v>
      </c>
      <c r="R191" s="87">
        <f t="shared" si="57"/>
        <v>0</v>
      </c>
      <c r="T191" s="87">
        <v>0</v>
      </c>
      <c r="V191" s="87">
        <v>0</v>
      </c>
      <c r="X191" s="87">
        <v>0</v>
      </c>
      <c r="Y191" s="88">
        <v>5970424.0000000009</v>
      </c>
      <c r="Z191" s="87">
        <v>0</v>
      </c>
      <c r="AA191" s="87">
        <v>0</v>
      </c>
      <c r="AB191" s="89">
        <f t="shared" si="58"/>
        <v>0</v>
      </c>
      <c r="AC191" s="89">
        <f t="shared" si="59"/>
        <v>0</v>
      </c>
      <c r="AD191" s="89">
        <f t="shared" si="60"/>
        <v>0</v>
      </c>
      <c r="AF191" s="90" t="str">
        <f t="shared" si="61"/>
        <v/>
      </c>
      <c r="AH191" s="90" t="str">
        <f t="shared" si="62"/>
        <v/>
      </c>
      <c r="AI191" s="90">
        <f t="shared" si="63"/>
        <v>0</v>
      </c>
      <c r="AJ191" s="90" t="str">
        <f t="shared" si="64"/>
        <v/>
      </c>
      <c r="AK191" s="90" t="str">
        <f t="shared" si="65"/>
        <v/>
      </c>
      <c r="AL191" s="91"/>
      <c r="AM191" s="91">
        <f t="shared" si="66"/>
        <v>0</v>
      </c>
      <c r="AN191" s="92" t="str">
        <f t="shared" si="67"/>
        <v>No change</v>
      </c>
      <c r="AO191" s="93">
        <f>VLOOKUP(B191,'Growthrates source'!A$2:H$49,8,FALSE)</f>
        <v>9.0847270748923847E-3</v>
      </c>
      <c r="AP191" s="93">
        <f>VLOOKUP(B191,'Growthrates source'!A$2:I$49,9,FALSE)</f>
        <v>5.4673730437993617E-2</v>
      </c>
      <c r="AQ191" s="86">
        <f t="shared" si="68"/>
        <v>0</v>
      </c>
      <c r="AR191" s="86">
        <f t="shared" si="69"/>
        <v>0</v>
      </c>
      <c r="AS191" s="94">
        <f t="shared" si="70"/>
        <v>0</v>
      </c>
      <c r="AT191" s="94">
        <f t="shared" si="71"/>
        <v>0</v>
      </c>
      <c r="AU191" s="94">
        <f t="shared" si="55"/>
        <v>0</v>
      </c>
      <c r="AV191" s="94">
        <f t="shared" si="56"/>
        <v>0</v>
      </c>
    </row>
    <row r="192" spans="1:48" x14ac:dyDescent="0.3">
      <c r="A192" s="85" t="str">
        <f>_xlfn.XLOOKUP(B192,'Country codes &amp; Data sources'!G:G,'Country codes &amp; Data sources'!H:H,,0)</f>
        <v>Comoros</v>
      </c>
      <c r="B192" s="85" t="s">
        <v>196</v>
      </c>
      <c r="C192" s="86">
        <v>684557.5</v>
      </c>
      <c r="D192" s="85" t="s">
        <v>127</v>
      </c>
      <c r="E192" s="87">
        <v>0</v>
      </c>
      <c r="F192" s="88">
        <v>699392.50000000035</v>
      </c>
      <c r="G192" s="87">
        <v>0</v>
      </c>
      <c r="I192" s="87">
        <v>0</v>
      </c>
      <c r="K192" s="87">
        <v>0</v>
      </c>
      <c r="M192" s="87">
        <v>0</v>
      </c>
      <c r="O192" s="87">
        <v>0</v>
      </c>
      <c r="P192" s="88">
        <v>776313.5000000007</v>
      </c>
      <c r="Q192" s="87">
        <v>0</v>
      </c>
      <c r="R192" s="87">
        <f t="shared" si="57"/>
        <v>0</v>
      </c>
      <c r="T192" s="87">
        <v>0</v>
      </c>
      <c r="V192" s="87">
        <v>0</v>
      </c>
      <c r="X192" s="87">
        <v>0</v>
      </c>
      <c r="Y192" s="88">
        <v>836773.49999999977</v>
      </c>
      <c r="Z192" s="87">
        <v>0</v>
      </c>
      <c r="AA192" s="87">
        <v>0</v>
      </c>
      <c r="AB192" s="89">
        <f t="shared" si="58"/>
        <v>0</v>
      </c>
      <c r="AC192" s="89">
        <f t="shared" si="59"/>
        <v>0</v>
      </c>
      <c r="AD192" s="89">
        <f t="shared" si="60"/>
        <v>0</v>
      </c>
      <c r="AF192" s="90" t="str">
        <f t="shared" si="61"/>
        <v/>
      </c>
      <c r="AH192" s="90" t="str">
        <f t="shared" si="62"/>
        <v/>
      </c>
      <c r="AI192" s="90">
        <f t="shared" si="63"/>
        <v>0</v>
      </c>
      <c r="AJ192" s="90" t="str">
        <f t="shared" si="64"/>
        <v/>
      </c>
      <c r="AK192" s="90" t="str">
        <f t="shared" si="65"/>
        <v/>
      </c>
      <c r="AL192" s="91"/>
      <c r="AM192" s="91">
        <f t="shared" si="66"/>
        <v>0</v>
      </c>
      <c r="AN192" s="92" t="str">
        <f t="shared" si="67"/>
        <v>No change</v>
      </c>
      <c r="AO192" s="93">
        <f>VLOOKUP(B192,'Growthrates source'!A$2:H$49,8,FALSE)</f>
        <v>0.22761760688079957</v>
      </c>
      <c r="AP192" s="93">
        <f>VLOOKUP(B192,'Growthrates source'!A$2:I$49,9,FALSE)</f>
        <v>5.4673730437993617E-2</v>
      </c>
      <c r="AQ192" s="86">
        <f t="shared" si="68"/>
        <v>0</v>
      </c>
      <c r="AR192" s="86">
        <f t="shared" si="69"/>
        <v>0</v>
      </c>
      <c r="AS192" s="94">
        <f t="shared" si="70"/>
        <v>0</v>
      </c>
      <c r="AT192" s="94">
        <f t="shared" si="71"/>
        <v>0</v>
      </c>
      <c r="AU192" s="94">
        <f t="shared" si="55"/>
        <v>0</v>
      </c>
      <c r="AV192" s="94">
        <f t="shared" si="56"/>
        <v>0</v>
      </c>
    </row>
    <row r="193" spans="1:48" x14ac:dyDescent="0.3">
      <c r="A193" s="85" t="str">
        <f>_xlfn.XLOOKUP(B193,'Country codes &amp; Data sources'!G:G,'Country codes &amp; Data sources'!H:H,,0)</f>
        <v>Comoros</v>
      </c>
      <c r="B193" s="85" t="s">
        <v>196</v>
      </c>
      <c r="C193" s="86">
        <v>684558.5</v>
      </c>
      <c r="D193" s="85" t="s">
        <v>61</v>
      </c>
      <c r="E193" s="87">
        <v>0</v>
      </c>
      <c r="F193" s="88">
        <v>699392.50000000035</v>
      </c>
      <c r="G193" s="87">
        <v>0</v>
      </c>
      <c r="I193" s="87">
        <v>0</v>
      </c>
      <c r="K193" s="87">
        <v>0</v>
      </c>
      <c r="M193" s="87">
        <v>0</v>
      </c>
      <c r="O193" s="87">
        <v>0</v>
      </c>
      <c r="P193" s="88">
        <v>776313.5000000007</v>
      </c>
      <c r="Q193" s="87">
        <v>0</v>
      </c>
      <c r="R193" s="87">
        <f t="shared" si="57"/>
        <v>0</v>
      </c>
      <c r="T193" s="87">
        <v>0</v>
      </c>
      <c r="V193" s="87">
        <v>0</v>
      </c>
      <c r="X193" s="87">
        <v>0</v>
      </c>
      <c r="Y193" s="88">
        <v>836773.49999999977</v>
      </c>
      <c r="Z193" s="87">
        <v>0</v>
      </c>
      <c r="AA193" s="87">
        <v>0</v>
      </c>
      <c r="AB193" s="89">
        <f t="shared" si="58"/>
        <v>0</v>
      </c>
      <c r="AC193" s="89">
        <f t="shared" si="59"/>
        <v>0</v>
      </c>
      <c r="AD193" s="89">
        <f t="shared" si="60"/>
        <v>0</v>
      </c>
      <c r="AF193" s="90" t="str">
        <f t="shared" si="61"/>
        <v/>
      </c>
      <c r="AH193" s="90" t="str">
        <f t="shared" si="62"/>
        <v/>
      </c>
      <c r="AI193" s="90">
        <f t="shared" si="63"/>
        <v>0</v>
      </c>
      <c r="AJ193" s="90" t="str">
        <f t="shared" si="64"/>
        <v/>
      </c>
      <c r="AK193" s="90" t="str">
        <f t="shared" si="65"/>
        <v/>
      </c>
      <c r="AL193" s="91"/>
      <c r="AM193" s="91">
        <f t="shared" si="66"/>
        <v>0</v>
      </c>
      <c r="AN193" s="92" t="str">
        <f t="shared" si="67"/>
        <v>No change</v>
      </c>
      <c r="AO193" s="93">
        <f>VLOOKUP(B193,'Growthrates source'!A$2:H$49,8,FALSE)</f>
        <v>0.22761760688079957</v>
      </c>
      <c r="AP193" s="93">
        <f>VLOOKUP(B193,'Growthrates source'!A$2:I$49,9,FALSE)</f>
        <v>5.4673730437993617E-2</v>
      </c>
      <c r="AQ193" s="86">
        <f t="shared" si="68"/>
        <v>0</v>
      </c>
      <c r="AR193" s="86">
        <f t="shared" si="69"/>
        <v>0</v>
      </c>
      <c r="AS193" s="94">
        <f t="shared" si="70"/>
        <v>0</v>
      </c>
      <c r="AT193" s="94">
        <f t="shared" si="71"/>
        <v>0</v>
      </c>
      <c r="AU193" s="94">
        <f t="shared" si="55"/>
        <v>0</v>
      </c>
      <c r="AV193" s="94">
        <f t="shared" si="56"/>
        <v>0</v>
      </c>
    </row>
    <row r="194" spans="1:48" s="95" customFormat="1" x14ac:dyDescent="0.3">
      <c r="A194" s="95" t="str">
        <f>_xlfn.XLOOKUP(B194,'Country codes &amp; Data sources'!G:G,'Country codes &amp; Data sources'!H:H,,0)</f>
        <v>Comoros</v>
      </c>
      <c r="B194" s="95" t="s">
        <v>196</v>
      </c>
      <c r="C194" s="60">
        <v>684559.5</v>
      </c>
      <c r="D194" s="95" t="s">
        <v>62</v>
      </c>
      <c r="E194" s="96">
        <v>0</v>
      </c>
      <c r="F194" s="97">
        <v>699392.50000000035</v>
      </c>
      <c r="G194" s="96">
        <v>755</v>
      </c>
      <c r="H194" s="96"/>
      <c r="I194" s="96">
        <v>0</v>
      </c>
      <c r="J194" s="96"/>
      <c r="K194" s="96">
        <v>0</v>
      </c>
      <c r="L194" s="96"/>
      <c r="M194" s="96">
        <v>0</v>
      </c>
      <c r="N194" s="96"/>
      <c r="O194" s="96">
        <v>0</v>
      </c>
      <c r="P194" s="97">
        <v>776313.5000000007</v>
      </c>
      <c r="Q194" s="96">
        <v>0</v>
      </c>
      <c r="R194" s="96">
        <f t="shared" si="57"/>
        <v>389</v>
      </c>
      <c r="S194" s="96"/>
      <c r="T194" s="96">
        <v>0</v>
      </c>
      <c r="U194" s="96"/>
      <c r="V194" s="96">
        <v>0</v>
      </c>
      <c r="W194" s="96"/>
      <c r="X194" s="96">
        <v>0</v>
      </c>
      <c r="Y194" s="97">
        <v>836773.49999999977</v>
      </c>
      <c r="Z194" s="96">
        <v>0</v>
      </c>
      <c r="AA194" s="96">
        <v>389</v>
      </c>
      <c r="AB194" s="98">
        <f t="shared" si="58"/>
        <v>755</v>
      </c>
      <c r="AC194" s="98">
        <f t="shared" si="59"/>
        <v>0</v>
      </c>
      <c r="AD194" s="98">
        <f t="shared" si="60"/>
        <v>0</v>
      </c>
      <c r="AE194" s="99">
        <f t="shared" si="72"/>
        <v>755</v>
      </c>
      <c r="AF194" s="99">
        <f t="shared" si="61"/>
        <v>2013</v>
      </c>
      <c r="AG194" s="99">
        <f t="shared" si="73"/>
        <v>389</v>
      </c>
      <c r="AH194" s="99" t="str">
        <f t="shared" si="62"/>
        <v>2018 (triag)</v>
      </c>
      <c r="AI194" s="99">
        <f t="shared" si="63"/>
        <v>389</v>
      </c>
      <c r="AJ194" s="99" t="str">
        <f t="shared" si="64"/>
        <v>2018 (triag)</v>
      </c>
      <c r="AK194" s="99" t="str">
        <f t="shared" si="65"/>
        <v/>
      </c>
      <c r="AL194" s="61">
        <f>IF(AK194="Adjust",(_xlfn.XLOOKUP(A194,'Adj factor'!A:A,'Adj factor'!I:I,,0)*AI194),'Master DataSheet (Rev)'!AI194)</f>
        <v>389</v>
      </c>
      <c r="AM194" s="61">
        <f t="shared" si="66"/>
        <v>389</v>
      </c>
      <c r="AN194" s="62" t="str">
        <f t="shared" si="67"/>
        <v>No change</v>
      </c>
      <c r="AO194" s="100">
        <f>VLOOKUP(B194,'Growthrates source'!A$2:H$49,8,FALSE)</f>
        <v>0.22761760688079957</v>
      </c>
      <c r="AP194" s="100">
        <f>VLOOKUP(B194,'Growthrates source'!A$2:I$49,9,FALSE)</f>
        <v>5.4673730437993617E-2</v>
      </c>
      <c r="AQ194" s="60">
        <f t="shared" si="68"/>
        <v>124.64769390220683</v>
      </c>
      <c r="AR194" s="60">
        <f t="shared" si="69"/>
        <v>458.33508119077095</v>
      </c>
      <c r="AS194" s="101">
        <f t="shared" si="70"/>
        <v>10.795082875495513</v>
      </c>
      <c r="AT194" s="102">
        <f t="shared" si="71"/>
        <v>5.0108622354242156</v>
      </c>
      <c r="AU194" s="94">
        <f t="shared" si="55"/>
        <v>4.6488087875631834</v>
      </c>
      <c r="AV194" s="94">
        <f t="shared" si="56"/>
        <v>4.6488087875631834</v>
      </c>
    </row>
    <row r="195" spans="1:48" x14ac:dyDescent="0.3">
      <c r="A195" s="85" t="str">
        <f>_xlfn.XLOOKUP(B195,'Country codes &amp; Data sources'!G:G,'Country codes &amp; Data sources'!H:H,,0)</f>
        <v>Comoros</v>
      </c>
      <c r="B195" s="85" t="s">
        <v>196</v>
      </c>
      <c r="C195" s="86">
        <v>684560.5</v>
      </c>
      <c r="D195" s="85" t="s">
        <v>203</v>
      </c>
      <c r="E195" s="87">
        <v>0</v>
      </c>
      <c r="F195" s="88">
        <v>699392.50000000035</v>
      </c>
      <c r="G195" s="87">
        <v>0</v>
      </c>
      <c r="I195" s="87">
        <v>0</v>
      </c>
      <c r="K195" s="87">
        <v>0</v>
      </c>
      <c r="M195" s="87">
        <v>0</v>
      </c>
      <c r="O195" s="87">
        <v>0</v>
      </c>
      <c r="P195" s="88">
        <v>776313.5000000007</v>
      </c>
      <c r="Q195" s="87">
        <v>0</v>
      </c>
      <c r="R195" s="87">
        <f t="shared" si="57"/>
        <v>0</v>
      </c>
      <c r="T195" s="87">
        <v>0</v>
      </c>
      <c r="V195" s="87">
        <v>0</v>
      </c>
      <c r="X195" s="87">
        <v>0</v>
      </c>
      <c r="Y195" s="88">
        <v>836773.49999999977</v>
      </c>
      <c r="Z195" s="87">
        <v>0</v>
      </c>
      <c r="AA195" s="87">
        <v>0</v>
      </c>
      <c r="AB195" s="89">
        <f t="shared" si="58"/>
        <v>0</v>
      </c>
      <c r="AC195" s="89">
        <f t="shared" si="59"/>
        <v>0</v>
      </c>
      <c r="AD195" s="89">
        <f t="shared" si="60"/>
        <v>0</v>
      </c>
      <c r="AF195" s="90" t="str">
        <f t="shared" si="61"/>
        <v/>
      </c>
      <c r="AH195" s="90" t="str">
        <f t="shared" si="62"/>
        <v/>
      </c>
      <c r="AI195" s="90">
        <f t="shared" si="63"/>
        <v>0</v>
      </c>
      <c r="AJ195" s="90" t="str">
        <f t="shared" si="64"/>
        <v/>
      </c>
      <c r="AK195" s="90" t="str">
        <f t="shared" si="65"/>
        <v/>
      </c>
      <c r="AL195" s="91"/>
      <c r="AM195" s="91">
        <f t="shared" si="66"/>
        <v>0</v>
      </c>
      <c r="AN195" s="92" t="str">
        <f t="shared" si="67"/>
        <v>No change</v>
      </c>
      <c r="AO195" s="93">
        <f>VLOOKUP(B195,'Growthrates source'!A$2:H$49,8,FALSE)</f>
        <v>0.22761760688079957</v>
      </c>
      <c r="AP195" s="93">
        <f>VLOOKUP(B195,'Growthrates source'!A$2:I$49,9,FALSE)</f>
        <v>5.4673730437993617E-2</v>
      </c>
      <c r="AQ195" s="86">
        <f t="shared" si="68"/>
        <v>0</v>
      </c>
      <c r="AR195" s="86">
        <f t="shared" si="69"/>
        <v>0</v>
      </c>
      <c r="AS195" s="94">
        <f t="shared" si="70"/>
        <v>0</v>
      </c>
      <c r="AT195" s="94">
        <f t="shared" si="71"/>
        <v>0</v>
      </c>
      <c r="AU195" s="94">
        <f t="shared" ref="AU195:AU258" si="74">(AL195*10000)/Y195</f>
        <v>0</v>
      </c>
      <c r="AV195" s="94">
        <f t="shared" ref="AV195:AV258" si="75">(AM195*10000)/Y195</f>
        <v>0</v>
      </c>
    </row>
    <row r="196" spans="1:48" x14ac:dyDescent="0.3">
      <c r="A196" s="85" t="str">
        <f>_xlfn.XLOOKUP(B196,'Country codes &amp; Data sources'!G:G,'Country codes &amp; Data sources'!H:H,,0)</f>
        <v>Comoros</v>
      </c>
      <c r="B196" s="85" t="s">
        <v>196</v>
      </c>
      <c r="C196" s="86">
        <v>684561.5</v>
      </c>
      <c r="D196" s="85" t="s">
        <v>204</v>
      </c>
      <c r="E196" s="87">
        <v>0</v>
      </c>
      <c r="F196" s="88">
        <v>699392.50000000035</v>
      </c>
      <c r="G196" s="87">
        <v>0</v>
      </c>
      <c r="I196" s="87">
        <v>0</v>
      </c>
      <c r="K196" s="87">
        <v>0</v>
      </c>
      <c r="M196" s="87">
        <v>0</v>
      </c>
      <c r="O196" s="87">
        <v>0</v>
      </c>
      <c r="P196" s="88">
        <v>776313.5000000007</v>
      </c>
      <c r="Q196" s="87">
        <v>0</v>
      </c>
      <c r="R196" s="87">
        <f t="shared" si="57"/>
        <v>0</v>
      </c>
      <c r="T196" s="87">
        <v>0</v>
      </c>
      <c r="V196" s="87">
        <v>0</v>
      </c>
      <c r="X196" s="87">
        <v>0</v>
      </c>
      <c r="Y196" s="88">
        <v>836773.49999999977</v>
      </c>
      <c r="Z196" s="87">
        <v>0</v>
      </c>
      <c r="AA196" s="87">
        <v>0</v>
      </c>
      <c r="AB196" s="89">
        <f t="shared" si="58"/>
        <v>0</v>
      </c>
      <c r="AC196" s="89">
        <f t="shared" si="59"/>
        <v>0</v>
      </c>
      <c r="AD196" s="89">
        <f t="shared" si="60"/>
        <v>0</v>
      </c>
      <c r="AF196" s="90" t="str">
        <f t="shared" si="61"/>
        <v/>
      </c>
      <c r="AH196" s="90" t="str">
        <f t="shared" si="62"/>
        <v/>
      </c>
      <c r="AI196" s="90">
        <f t="shared" si="63"/>
        <v>0</v>
      </c>
      <c r="AJ196" s="90" t="str">
        <f t="shared" si="64"/>
        <v/>
      </c>
      <c r="AK196" s="90" t="str">
        <f t="shared" si="65"/>
        <v/>
      </c>
      <c r="AL196" s="91"/>
      <c r="AM196" s="91">
        <f t="shared" si="66"/>
        <v>0</v>
      </c>
      <c r="AN196" s="92" t="str">
        <f t="shared" si="67"/>
        <v>No change</v>
      </c>
      <c r="AO196" s="93">
        <f>VLOOKUP(B196,'Growthrates source'!A$2:H$49,8,FALSE)</f>
        <v>0.22761760688079957</v>
      </c>
      <c r="AP196" s="93">
        <f>VLOOKUP(B196,'Growthrates source'!A$2:I$49,9,FALSE)</f>
        <v>5.4673730437993617E-2</v>
      </c>
      <c r="AQ196" s="86">
        <f t="shared" si="68"/>
        <v>0</v>
      </c>
      <c r="AR196" s="86">
        <f t="shared" si="69"/>
        <v>0</v>
      </c>
      <c r="AS196" s="94">
        <f t="shared" si="70"/>
        <v>0</v>
      </c>
      <c r="AT196" s="94">
        <f t="shared" si="71"/>
        <v>0</v>
      </c>
      <c r="AU196" s="94">
        <f t="shared" si="74"/>
        <v>0</v>
      </c>
      <c r="AV196" s="94">
        <f t="shared" si="75"/>
        <v>0</v>
      </c>
    </row>
    <row r="197" spans="1:48" x14ac:dyDescent="0.3">
      <c r="A197" s="85" t="str">
        <f>_xlfn.XLOOKUP(B197,'Country codes &amp; Data sources'!G:G,'Country codes &amp; Data sources'!H:H,,0)</f>
        <v>Comoros</v>
      </c>
      <c r="B197" s="85" t="s">
        <v>196</v>
      </c>
      <c r="C197" s="86">
        <v>684562.5</v>
      </c>
      <c r="D197" s="85" t="s">
        <v>205</v>
      </c>
      <c r="E197" s="87">
        <v>0</v>
      </c>
      <c r="F197" s="88">
        <v>699392.50000000035</v>
      </c>
      <c r="G197" s="87">
        <v>0</v>
      </c>
      <c r="I197" s="87">
        <v>0</v>
      </c>
      <c r="K197" s="87">
        <v>0</v>
      </c>
      <c r="M197" s="87">
        <v>0</v>
      </c>
      <c r="O197" s="87">
        <v>0</v>
      </c>
      <c r="P197" s="88">
        <v>776313.5000000007</v>
      </c>
      <c r="Q197" s="87">
        <v>0</v>
      </c>
      <c r="R197" s="87">
        <f t="shared" si="57"/>
        <v>0</v>
      </c>
      <c r="T197" s="87">
        <v>0</v>
      </c>
      <c r="V197" s="87">
        <v>0</v>
      </c>
      <c r="X197" s="87">
        <v>0</v>
      </c>
      <c r="Y197" s="88">
        <v>836773.49999999977</v>
      </c>
      <c r="Z197" s="87">
        <v>0</v>
      </c>
      <c r="AA197" s="87">
        <v>0</v>
      </c>
      <c r="AB197" s="89">
        <f t="shared" si="58"/>
        <v>0</v>
      </c>
      <c r="AC197" s="89">
        <f t="shared" si="59"/>
        <v>0</v>
      </c>
      <c r="AD197" s="89">
        <f t="shared" si="60"/>
        <v>0</v>
      </c>
      <c r="AF197" s="90" t="str">
        <f t="shared" si="61"/>
        <v/>
      </c>
      <c r="AH197" s="90" t="str">
        <f t="shared" si="62"/>
        <v/>
      </c>
      <c r="AI197" s="90">
        <f t="shared" si="63"/>
        <v>0</v>
      </c>
      <c r="AJ197" s="90" t="str">
        <f t="shared" si="64"/>
        <v/>
      </c>
      <c r="AK197" s="90" t="str">
        <f t="shared" si="65"/>
        <v/>
      </c>
      <c r="AL197" s="91"/>
      <c r="AM197" s="91">
        <f t="shared" si="66"/>
        <v>0</v>
      </c>
      <c r="AN197" s="92" t="str">
        <f t="shared" si="67"/>
        <v>No change</v>
      </c>
      <c r="AO197" s="93">
        <f>VLOOKUP(B197,'Growthrates source'!A$2:H$49,8,FALSE)</f>
        <v>0.22761760688079957</v>
      </c>
      <c r="AP197" s="93">
        <f>VLOOKUP(B197,'Growthrates source'!A$2:I$49,9,FALSE)</f>
        <v>5.4673730437993617E-2</v>
      </c>
      <c r="AQ197" s="86">
        <f t="shared" si="68"/>
        <v>0</v>
      </c>
      <c r="AR197" s="86">
        <f t="shared" si="69"/>
        <v>0</v>
      </c>
      <c r="AS197" s="94">
        <f t="shared" si="70"/>
        <v>0</v>
      </c>
      <c r="AT197" s="94">
        <f t="shared" si="71"/>
        <v>0</v>
      </c>
      <c r="AU197" s="94">
        <f t="shared" si="74"/>
        <v>0</v>
      </c>
      <c r="AV197" s="94">
        <f t="shared" si="75"/>
        <v>0</v>
      </c>
    </row>
    <row r="198" spans="1:48" x14ac:dyDescent="0.3">
      <c r="A198" s="85" t="str">
        <f>_xlfn.XLOOKUP(B198,'Country codes &amp; Data sources'!G:G,'Country codes &amp; Data sources'!H:H,,0)</f>
        <v>Comoros</v>
      </c>
      <c r="B198" s="85" t="s">
        <v>196</v>
      </c>
      <c r="C198" s="86">
        <v>684563.5</v>
      </c>
      <c r="D198" s="85" t="s">
        <v>133</v>
      </c>
      <c r="E198" s="87">
        <v>0</v>
      </c>
      <c r="F198" s="88">
        <v>699392.50000000035</v>
      </c>
      <c r="G198" s="87">
        <v>0</v>
      </c>
      <c r="I198" s="87">
        <v>0</v>
      </c>
      <c r="K198" s="87">
        <v>0</v>
      </c>
      <c r="M198" s="87">
        <v>0</v>
      </c>
      <c r="O198" s="87">
        <v>0</v>
      </c>
      <c r="P198" s="88">
        <v>776313.5000000007</v>
      </c>
      <c r="Q198" s="87">
        <v>0</v>
      </c>
      <c r="R198" s="87">
        <f t="shared" si="57"/>
        <v>161</v>
      </c>
      <c r="T198" s="87">
        <v>0</v>
      </c>
      <c r="V198" s="87">
        <v>0</v>
      </c>
      <c r="X198" s="87">
        <v>0</v>
      </c>
      <c r="Y198" s="88">
        <v>836773.49999999977</v>
      </c>
      <c r="Z198" s="87">
        <v>0</v>
      </c>
      <c r="AA198" s="87">
        <v>161</v>
      </c>
      <c r="AB198" s="89">
        <f t="shared" si="58"/>
        <v>0</v>
      </c>
      <c r="AC198" s="89">
        <f t="shared" si="59"/>
        <v>0</v>
      </c>
      <c r="AD198" s="89">
        <f t="shared" si="60"/>
        <v>0</v>
      </c>
      <c r="AF198" s="90" t="str">
        <f t="shared" si="61"/>
        <v/>
      </c>
      <c r="AG198" s="90">
        <f t="shared" si="73"/>
        <v>161</v>
      </c>
      <c r="AH198" s="90" t="str">
        <f t="shared" si="62"/>
        <v>2018 (triag)</v>
      </c>
      <c r="AI198" s="90">
        <f t="shared" si="63"/>
        <v>161</v>
      </c>
      <c r="AJ198" s="90" t="str">
        <f t="shared" si="64"/>
        <v>2018 (triag)</v>
      </c>
      <c r="AK198" s="90" t="str">
        <f t="shared" si="65"/>
        <v/>
      </c>
      <c r="AL198" s="91">
        <f>IF(AK198="Adjust",(_xlfn.XLOOKUP(A198,'Adj factor'!A:A,'Adj factor'!I:I,,0)*AI198),'Master DataSheet (Rev)'!AI198)</f>
        <v>161</v>
      </c>
      <c r="AM198" s="91">
        <f t="shared" si="66"/>
        <v>161</v>
      </c>
      <c r="AN198" s="92" t="str">
        <f t="shared" si="67"/>
        <v>No change</v>
      </c>
      <c r="AO198" s="93">
        <f>VLOOKUP(B198,'Growthrates source'!A$2:H$49,8,FALSE)</f>
        <v>0.22761760688079957</v>
      </c>
      <c r="AP198" s="93">
        <f>VLOOKUP(B198,'Growthrates source'!A$2:I$49,9,FALSE)</f>
        <v>5.4673730437993617E-2</v>
      </c>
      <c r="AQ198" s="86">
        <f t="shared" si="68"/>
        <v>51.589405445386376</v>
      </c>
      <c r="AR198" s="86">
        <f t="shared" si="69"/>
        <v>189.69652460594892</v>
      </c>
      <c r="AS198" s="94">
        <f t="shared" si="70"/>
        <v>0</v>
      </c>
      <c r="AT198" s="94">
        <f t="shared" si="71"/>
        <v>2.0739044213452407</v>
      </c>
      <c r="AU198" s="94">
        <f t="shared" si="74"/>
        <v>1.9240571074490294</v>
      </c>
      <c r="AV198" s="94">
        <f t="shared" si="75"/>
        <v>1.9240571074490294</v>
      </c>
    </row>
    <row r="199" spans="1:48" x14ac:dyDescent="0.3">
      <c r="A199" s="85" t="str">
        <f>_xlfn.XLOOKUP(B199,'Country codes &amp; Data sources'!G:G,'Country codes &amp; Data sources'!H:H,,0)</f>
        <v>Comoros</v>
      </c>
      <c r="B199" s="85" t="s">
        <v>196</v>
      </c>
      <c r="C199" s="86">
        <v>684564.5</v>
      </c>
      <c r="D199" s="85" t="s">
        <v>206</v>
      </c>
      <c r="E199" s="87">
        <v>0</v>
      </c>
      <c r="F199" s="88">
        <v>699392.50000000035</v>
      </c>
      <c r="G199" s="87">
        <v>0</v>
      </c>
      <c r="I199" s="87">
        <v>0</v>
      </c>
      <c r="K199" s="87">
        <v>0</v>
      </c>
      <c r="M199" s="87">
        <v>0</v>
      </c>
      <c r="O199" s="87">
        <v>0</v>
      </c>
      <c r="P199" s="88">
        <v>776313.5000000007</v>
      </c>
      <c r="Q199" s="87">
        <v>0</v>
      </c>
      <c r="R199" s="87">
        <f t="shared" si="57"/>
        <v>0</v>
      </c>
      <c r="T199" s="87">
        <v>0</v>
      </c>
      <c r="V199" s="87">
        <v>0</v>
      </c>
      <c r="X199" s="87">
        <v>0</v>
      </c>
      <c r="Y199" s="88">
        <v>836773.49999999977</v>
      </c>
      <c r="Z199" s="87">
        <v>0</v>
      </c>
      <c r="AA199" s="87">
        <v>0</v>
      </c>
      <c r="AB199" s="89">
        <f t="shared" si="58"/>
        <v>0</v>
      </c>
      <c r="AC199" s="89">
        <f t="shared" si="59"/>
        <v>0</v>
      </c>
      <c r="AD199" s="89">
        <f t="shared" si="60"/>
        <v>0</v>
      </c>
      <c r="AF199" s="90" t="str">
        <f t="shared" si="61"/>
        <v/>
      </c>
      <c r="AH199" s="90" t="str">
        <f t="shared" si="62"/>
        <v/>
      </c>
      <c r="AI199" s="90">
        <f t="shared" si="63"/>
        <v>0</v>
      </c>
      <c r="AJ199" s="90" t="str">
        <f t="shared" si="64"/>
        <v/>
      </c>
      <c r="AK199" s="90" t="str">
        <f t="shared" si="65"/>
        <v/>
      </c>
      <c r="AL199" s="91"/>
      <c r="AM199" s="91">
        <f t="shared" si="66"/>
        <v>0</v>
      </c>
      <c r="AN199" s="92" t="str">
        <f t="shared" si="67"/>
        <v>No change</v>
      </c>
      <c r="AO199" s="93">
        <f>VLOOKUP(B199,'Growthrates source'!A$2:H$49,8,FALSE)</f>
        <v>0.22761760688079957</v>
      </c>
      <c r="AP199" s="93">
        <f>VLOOKUP(B199,'Growthrates source'!A$2:I$49,9,FALSE)</f>
        <v>5.4673730437993617E-2</v>
      </c>
      <c r="AQ199" s="86">
        <f t="shared" si="68"/>
        <v>0</v>
      </c>
      <c r="AR199" s="86">
        <f t="shared" si="69"/>
        <v>0</v>
      </c>
      <c r="AS199" s="94">
        <f t="shared" si="70"/>
        <v>0</v>
      </c>
      <c r="AT199" s="94">
        <f t="shared" si="71"/>
        <v>0</v>
      </c>
      <c r="AU199" s="94">
        <f t="shared" si="74"/>
        <v>0</v>
      </c>
      <c r="AV199" s="94">
        <f t="shared" si="75"/>
        <v>0</v>
      </c>
    </row>
    <row r="200" spans="1:48" x14ac:dyDescent="0.3">
      <c r="A200" s="85" t="str">
        <f>_xlfn.XLOOKUP(B200,'Country codes &amp; Data sources'!G:G,'Country codes &amp; Data sources'!H:H,,0)</f>
        <v>Comoros</v>
      </c>
      <c r="B200" s="85" t="s">
        <v>196</v>
      </c>
      <c r="C200" s="86">
        <v>684565.5</v>
      </c>
      <c r="D200" s="85" t="s">
        <v>136</v>
      </c>
      <c r="E200" s="87">
        <v>0</v>
      </c>
      <c r="F200" s="88">
        <v>699392.50000000035</v>
      </c>
      <c r="G200" s="87">
        <v>0</v>
      </c>
      <c r="I200" s="87">
        <v>0</v>
      </c>
      <c r="K200" s="87">
        <v>0</v>
      </c>
      <c r="M200" s="87">
        <v>0</v>
      </c>
      <c r="O200" s="87">
        <v>0</v>
      </c>
      <c r="P200" s="88">
        <v>776313.5000000007</v>
      </c>
      <c r="Q200" s="87">
        <v>0</v>
      </c>
      <c r="R200" s="87">
        <f t="shared" si="57"/>
        <v>498</v>
      </c>
      <c r="T200" s="87">
        <v>0</v>
      </c>
      <c r="V200" s="87">
        <v>25</v>
      </c>
      <c r="X200" s="87">
        <v>0</v>
      </c>
      <c r="Y200" s="88">
        <v>836773.49999999977</v>
      </c>
      <c r="Z200" s="87">
        <v>0</v>
      </c>
      <c r="AA200" s="87">
        <v>498</v>
      </c>
      <c r="AB200" s="89">
        <f t="shared" si="58"/>
        <v>0</v>
      </c>
      <c r="AC200" s="89">
        <f t="shared" si="59"/>
        <v>0</v>
      </c>
      <c r="AD200" s="89">
        <f t="shared" si="60"/>
        <v>25</v>
      </c>
      <c r="AF200" s="90" t="str">
        <f t="shared" si="61"/>
        <v/>
      </c>
      <c r="AG200" s="90">
        <f t="shared" si="73"/>
        <v>498</v>
      </c>
      <c r="AH200" s="90" t="str">
        <f t="shared" si="62"/>
        <v>2018 (triag)</v>
      </c>
      <c r="AI200" s="90">
        <f t="shared" si="63"/>
        <v>25</v>
      </c>
      <c r="AJ200" s="90">
        <f t="shared" si="64"/>
        <v>2020</v>
      </c>
      <c r="AK200" s="90" t="str">
        <f t="shared" si="65"/>
        <v>Adjust</v>
      </c>
      <c r="AL200" s="91">
        <f>IF(AK200="Adjust",(_xlfn.XLOOKUP(A200,'Adj factor'!A:A,'Adj factor'!I:I,,0)*AI200),'Master DataSheet (Rev)'!AI200)</f>
        <v>28.732466108010378</v>
      </c>
      <c r="AM200" s="91">
        <f t="shared" si="66"/>
        <v>498</v>
      </c>
      <c r="AN200" s="92" t="str">
        <f t="shared" si="67"/>
        <v>Decreasing</v>
      </c>
      <c r="AO200" s="93">
        <f>VLOOKUP(B200,'Growthrates source'!A$2:H$49,8,FALSE)</f>
        <v>0.22761760688079957</v>
      </c>
      <c r="AP200" s="93">
        <f>VLOOKUP(B200,'Growthrates source'!A$2:I$49,9,FALSE)</f>
        <v>5.4673730437993617E-2</v>
      </c>
      <c r="AQ200" s="86">
        <f t="shared" si="68"/>
        <v>159.57468268200256</v>
      </c>
      <c r="AR200" s="86">
        <f t="shared" si="69"/>
        <v>586.76316306684816</v>
      </c>
      <c r="AS200" s="94">
        <f t="shared" si="70"/>
        <v>0</v>
      </c>
      <c r="AT200" s="94">
        <f t="shared" si="71"/>
        <v>6.4149341728567073</v>
      </c>
      <c r="AU200" s="94">
        <f t="shared" si="74"/>
        <v>0.34337208465624669</v>
      </c>
      <c r="AV200" s="94">
        <f t="shared" si="75"/>
        <v>5.9514313013019668</v>
      </c>
    </row>
    <row r="201" spans="1:48" x14ac:dyDescent="0.3">
      <c r="A201" s="85" t="str">
        <f>_xlfn.XLOOKUP(B201,'Country codes &amp; Data sources'!G:G,'Country codes &amp; Data sources'!H:H,,0)</f>
        <v>Comoros</v>
      </c>
      <c r="B201" s="85" t="s">
        <v>196</v>
      </c>
      <c r="C201" s="86">
        <v>684566.5</v>
      </c>
      <c r="D201" s="85" t="s">
        <v>207</v>
      </c>
      <c r="E201" s="87">
        <v>0</v>
      </c>
      <c r="F201" s="88">
        <v>699392.50000000035</v>
      </c>
      <c r="G201" s="87">
        <v>0</v>
      </c>
      <c r="I201" s="87">
        <v>0</v>
      </c>
      <c r="K201" s="87">
        <v>0</v>
      </c>
      <c r="M201" s="87">
        <v>0</v>
      </c>
      <c r="O201" s="87">
        <v>0</v>
      </c>
      <c r="P201" s="88">
        <v>776313.5000000007</v>
      </c>
      <c r="Q201" s="87">
        <v>0</v>
      </c>
      <c r="R201" s="87">
        <f t="shared" si="57"/>
        <v>0</v>
      </c>
      <c r="T201" s="87">
        <v>0</v>
      </c>
      <c r="V201" s="87">
        <v>0</v>
      </c>
      <c r="X201" s="87">
        <v>0</v>
      </c>
      <c r="Y201" s="88">
        <v>836773.49999999977</v>
      </c>
      <c r="Z201" s="87">
        <v>0</v>
      </c>
      <c r="AA201" s="87">
        <v>0</v>
      </c>
      <c r="AB201" s="89">
        <f t="shared" si="58"/>
        <v>0</v>
      </c>
      <c r="AC201" s="89">
        <f t="shared" si="59"/>
        <v>0</v>
      </c>
      <c r="AD201" s="89">
        <f t="shared" si="60"/>
        <v>0</v>
      </c>
      <c r="AF201" s="90" t="str">
        <f t="shared" si="61"/>
        <v/>
      </c>
      <c r="AH201" s="90" t="str">
        <f t="shared" si="62"/>
        <v/>
      </c>
      <c r="AI201" s="90">
        <f t="shared" si="63"/>
        <v>0</v>
      </c>
      <c r="AJ201" s="90" t="str">
        <f t="shared" si="64"/>
        <v/>
      </c>
      <c r="AK201" s="90" t="str">
        <f t="shared" si="65"/>
        <v/>
      </c>
      <c r="AL201" s="91"/>
      <c r="AM201" s="91">
        <f t="shared" si="66"/>
        <v>0</v>
      </c>
      <c r="AN201" s="92" t="str">
        <f t="shared" si="67"/>
        <v>No change</v>
      </c>
      <c r="AO201" s="93">
        <f>VLOOKUP(B201,'Growthrates source'!A$2:H$49,8,FALSE)</f>
        <v>0.22761760688079957</v>
      </c>
      <c r="AP201" s="93">
        <f>VLOOKUP(B201,'Growthrates source'!A$2:I$49,9,FALSE)</f>
        <v>5.4673730437993617E-2</v>
      </c>
      <c r="AQ201" s="86">
        <f t="shared" si="68"/>
        <v>0</v>
      </c>
      <c r="AR201" s="86">
        <f t="shared" si="69"/>
        <v>0</v>
      </c>
      <c r="AS201" s="94">
        <f t="shared" si="70"/>
        <v>0</v>
      </c>
      <c r="AT201" s="94">
        <f t="shared" si="71"/>
        <v>0</v>
      </c>
      <c r="AU201" s="94">
        <f t="shared" si="74"/>
        <v>0</v>
      </c>
      <c r="AV201" s="94">
        <f t="shared" si="75"/>
        <v>0</v>
      </c>
    </row>
    <row r="202" spans="1:48" x14ac:dyDescent="0.3">
      <c r="A202" s="85" t="str">
        <f>_xlfn.XLOOKUP(B202,'Country codes &amp; Data sources'!G:G,'Country codes &amp; Data sources'!H:H,,0)</f>
        <v>Comoros</v>
      </c>
      <c r="B202" s="85" t="s">
        <v>196</v>
      </c>
      <c r="C202" s="86">
        <v>684567.5</v>
      </c>
      <c r="D202" s="85" t="s">
        <v>141</v>
      </c>
      <c r="E202" s="87">
        <v>0</v>
      </c>
      <c r="F202" s="88">
        <v>699392.50000000035</v>
      </c>
      <c r="G202" s="87">
        <v>0</v>
      </c>
      <c r="I202" s="87">
        <v>0</v>
      </c>
      <c r="K202" s="87">
        <v>0</v>
      </c>
      <c r="M202" s="87">
        <v>0</v>
      </c>
      <c r="O202" s="87">
        <v>0</v>
      </c>
      <c r="P202" s="88">
        <v>776313.5000000007</v>
      </c>
      <c r="Q202" s="87">
        <v>0</v>
      </c>
      <c r="R202" s="87">
        <f t="shared" si="57"/>
        <v>0</v>
      </c>
      <c r="T202" s="87">
        <v>0</v>
      </c>
      <c r="V202" s="87">
        <v>0</v>
      </c>
      <c r="X202" s="87">
        <v>0</v>
      </c>
      <c r="Y202" s="88">
        <v>836773.49999999977</v>
      </c>
      <c r="Z202" s="87">
        <v>0</v>
      </c>
      <c r="AA202" s="87">
        <v>0</v>
      </c>
      <c r="AB202" s="89">
        <f t="shared" si="58"/>
        <v>0</v>
      </c>
      <c r="AC202" s="89">
        <f t="shared" si="59"/>
        <v>0</v>
      </c>
      <c r="AD202" s="89">
        <f t="shared" si="60"/>
        <v>0</v>
      </c>
      <c r="AF202" s="90" t="str">
        <f t="shared" si="61"/>
        <v/>
      </c>
      <c r="AH202" s="90" t="str">
        <f t="shared" si="62"/>
        <v/>
      </c>
      <c r="AI202" s="90">
        <f t="shared" si="63"/>
        <v>0</v>
      </c>
      <c r="AJ202" s="90" t="str">
        <f t="shared" si="64"/>
        <v/>
      </c>
      <c r="AK202" s="90" t="str">
        <f t="shared" si="65"/>
        <v/>
      </c>
      <c r="AL202" s="91"/>
      <c r="AM202" s="91">
        <f t="shared" si="66"/>
        <v>0</v>
      </c>
      <c r="AN202" s="92" t="str">
        <f t="shared" si="67"/>
        <v>No change</v>
      </c>
      <c r="AO202" s="93">
        <f>VLOOKUP(B202,'Growthrates source'!A$2:H$49,8,FALSE)</f>
        <v>0.22761760688079957</v>
      </c>
      <c r="AP202" s="93">
        <f>VLOOKUP(B202,'Growthrates source'!A$2:I$49,9,FALSE)</f>
        <v>5.4673730437993617E-2</v>
      </c>
      <c r="AQ202" s="86">
        <f t="shared" si="68"/>
        <v>0</v>
      </c>
      <c r="AR202" s="86">
        <f t="shared" si="69"/>
        <v>0</v>
      </c>
      <c r="AS202" s="94">
        <f t="shared" si="70"/>
        <v>0</v>
      </c>
      <c r="AT202" s="94">
        <f t="shared" si="71"/>
        <v>0</v>
      </c>
      <c r="AU202" s="94">
        <f t="shared" si="74"/>
        <v>0</v>
      </c>
      <c r="AV202" s="94">
        <f t="shared" si="75"/>
        <v>0</v>
      </c>
    </row>
    <row r="203" spans="1:48" x14ac:dyDescent="0.3">
      <c r="A203" s="85" t="str">
        <f>_xlfn.XLOOKUP(B203,'Country codes &amp; Data sources'!G:G,'Country codes &amp; Data sources'!H:H,,0)</f>
        <v>Comoros</v>
      </c>
      <c r="B203" s="85" t="s">
        <v>196</v>
      </c>
      <c r="C203" s="86">
        <v>684568.5</v>
      </c>
      <c r="D203" s="85" t="s">
        <v>208</v>
      </c>
      <c r="E203" s="87">
        <v>0</v>
      </c>
      <c r="F203" s="88">
        <v>699392.50000000035</v>
      </c>
      <c r="G203" s="87">
        <v>0</v>
      </c>
      <c r="I203" s="87">
        <v>0</v>
      </c>
      <c r="K203" s="87">
        <v>0</v>
      </c>
      <c r="M203" s="87">
        <v>0</v>
      </c>
      <c r="O203" s="87">
        <v>0</v>
      </c>
      <c r="P203" s="88">
        <v>776313.5000000007</v>
      </c>
      <c r="Q203" s="87">
        <v>0</v>
      </c>
      <c r="R203" s="87">
        <f t="shared" si="57"/>
        <v>44</v>
      </c>
      <c r="T203" s="87">
        <v>0</v>
      </c>
      <c r="V203" s="87">
        <v>0</v>
      </c>
      <c r="X203" s="87">
        <v>0</v>
      </c>
      <c r="Y203" s="88">
        <v>836773.49999999977</v>
      </c>
      <c r="Z203" s="87">
        <v>0</v>
      </c>
      <c r="AA203" s="87">
        <v>44</v>
      </c>
      <c r="AB203" s="89">
        <f t="shared" si="58"/>
        <v>0</v>
      </c>
      <c r="AC203" s="89">
        <f t="shared" si="59"/>
        <v>0</v>
      </c>
      <c r="AD203" s="89">
        <f t="shared" si="60"/>
        <v>0</v>
      </c>
      <c r="AF203" s="90" t="str">
        <f t="shared" si="61"/>
        <v/>
      </c>
      <c r="AG203" s="90">
        <f t="shared" si="73"/>
        <v>44</v>
      </c>
      <c r="AH203" s="90" t="str">
        <f t="shared" si="62"/>
        <v>2018 (triag)</v>
      </c>
      <c r="AI203" s="90">
        <f t="shared" si="63"/>
        <v>44</v>
      </c>
      <c r="AJ203" s="90" t="str">
        <f t="shared" si="64"/>
        <v>2018 (triag)</v>
      </c>
      <c r="AK203" s="90" t="str">
        <f t="shared" si="65"/>
        <v/>
      </c>
      <c r="AL203" s="91">
        <f>IF(AK203="Adjust",(_xlfn.XLOOKUP(A203,'Adj factor'!A:A,'Adj factor'!I:I,,0)*AI203),'Master DataSheet (Rev)'!AI203)</f>
        <v>44</v>
      </c>
      <c r="AM203" s="91">
        <f t="shared" si="66"/>
        <v>44</v>
      </c>
      <c r="AN203" s="92" t="str">
        <f t="shared" si="67"/>
        <v>No change</v>
      </c>
      <c r="AO203" s="93">
        <f>VLOOKUP(B203,'Growthrates source'!A$2:H$49,8,FALSE)</f>
        <v>0.22761760688079957</v>
      </c>
      <c r="AP203" s="93">
        <f>VLOOKUP(B203,'Growthrates source'!A$2:I$49,9,FALSE)</f>
        <v>5.4673730437993617E-2</v>
      </c>
      <c r="AQ203" s="86">
        <f t="shared" si="68"/>
        <v>14.098967947807456</v>
      </c>
      <c r="AR203" s="86">
        <f t="shared" si="69"/>
        <v>51.842528463737594</v>
      </c>
      <c r="AS203" s="94">
        <f t="shared" si="70"/>
        <v>0</v>
      </c>
      <c r="AT203" s="94">
        <f t="shared" si="71"/>
        <v>0.56678133254155649</v>
      </c>
      <c r="AU203" s="94">
        <f t="shared" si="74"/>
        <v>0.52582927160097703</v>
      </c>
      <c r="AV203" s="94">
        <f t="shared" si="75"/>
        <v>0.52582927160097703</v>
      </c>
    </row>
    <row r="204" spans="1:48" x14ac:dyDescent="0.3">
      <c r="A204" s="85" t="str">
        <f>_xlfn.XLOOKUP(B204,'Country codes &amp; Data sources'!G:G,'Country codes &amp; Data sources'!H:H,,0)</f>
        <v>Comoros</v>
      </c>
      <c r="B204" s="85" t="s">
        <v>196</v>
      </c>
      <c r="C204" s="86">
        <v>684569.5</v>
      </c>
      <c r="D204" s="85" t="s">
        <v>209</v>
      </c>
      <c r="E204" s="87">
        <v>0</v>
      </c>
      <c r="F204" s="88">
        <v>699392.50000000035</v>
      </c>
      <c r="G204" s="87">
        <v>0</v>
      </c>
      <c r="I204" s="87">
        <v>0</v>
      </c>
      <c r="K204" s="87">
        <v>0</v>
      </c>
      <c r="M204" s="87">
        <v>0</v>
      </c>
      <c r="O204" s="87">
        <v>0</v>
      </c>
      <c r="P204" s="88">
        <v>776313.5000000007</v>
      </c>
      <c r="Q204" s="87">
        <v>0</v>
      </c>
      <c r="R204" s="87">
        <f t="shared" ref="R204:R252" si="76">MAX(Q204,AA204)</f>
        <v>115</v>
      </c>
      <c r="T204" s="87">
        <v>0</v>
      </c>
      <c r="V204" s="87">
        <v>0</v>
      </c>
      <c r="X204" s="87">
        <v>0</v>
      </c>
      <c r="Y204" s="88">
        <v>836773.49999999977</v>
      </c>
      <c r="Z204" s="87">
        <v>0</v>
      </c>
      <c r="AA204" s="87">
        <v>115</v>
      </c>
      <c r="AB204" s="89">
        <f t="shared" ref="AB204:AB252" si="77">MAX(G204,E204,I204,K204)</f>
        <v>0</v>
      </c>
      <c r="AC204" s="89">
        <f t="shared" ref="AC204:AC252" si="78">MAX(M204,O204,Q204,T204)</f>
        <v>0</v>
      </c>
      <c r="AD204" s="89">
        <f t="shared" ref="AD204:AD252" si="79">MAX(V204,X204,Z204)</f>
        <v>0</v>
      </c>
      <c r="AF204" s="90" t="str">
        <f t="shared" ref="AF204:AF252" si="80">IF(AE204&gt;0,_xlfn.XLOOKUP(AE204,$B204:$K204,$B$1:$K$1,,0),"")</f>
        <v/>
      </c>
      <c r="AG204" s="90">
        <f t="shared" ref="AG204:AG251" si="81">IF(R204&gt;0,R204,IF(O204&gt;0,O204,T204))</f>
        <v>115</v>
      </c>
      <c r="AH204" s="90" t="str">
        <f t="shared" ref="AH204:AH252" si="82">IF(AG204&gt;0,_xlfn.XLOOKUP(AG204,$L204:$T204,$L$1:$T$1,,0),"")</f>
        <v>2018 (triag)</v>
      </c>
      <c r="AI204" s="90">
        <f t="shared" ref="AI204:AI252" si="83">IF((IF(Z204&gt;0,Z204,IF(X204&gt;0,X204,IF(V204&gt;0,V204,T204))))=0,AG204,IF(Z204&gt;0,Z204,IF(X204&gt;0,X204,IF(V204&gt;0,V204,T204))))</f>
        <v>115</v>
      </c>
      <c r="AJ204" s="90" t="str">
        <f t="shared" ref="AJ204:AJ252" si="84">IFERROR(IF(AI204&gt;0,_xlfn.XLOOKUP(AI204,$V204:$Z204,$V$1:$Z$1,,0),""),AH204)</f>
        <v>2018 (triag)</v>
      </c>
      <c r="AK204" s="90" t="str">
        <f t="shared" ref="AK204:AK252" si="85">IF(AI204&lt;AG204,"Adjust","")</f>
        <v/>
      </c>
      <c r="AL204" s="91">
        <f>IF(AK204="Adjust",(_xlfn.XLOOKUP(A204,'Adj factor'!A:A,'Adj factor'!I:I,,0)*AI204),'Master DataSheet (Rev)'!AI204)</f>
        <v>115</v>
      </c>
      <c r="AM204" s="91">
        <f t="shared" ref="AM204:AM252" si="86">IF(AL204&lt;AG204,AG204,AL204)</f>
        <v>115</v>
      </c>
      <c r="AN204" s="92" t="str">
        <f t="shared" ref="AN204:AN252" si="87">IF(AL204&gt;AG204,"Increasing",IF(AL204&lt;AG204,"Decreasing","No change"))</f>
        <v>No change</v>
      </c>
      <c r="AO204" s="93">
        <f>VLOOKUP(B204,'Growthrates source'!A$2:H$49,8,FALSE)</f>
        <v>0.22761760688079957</v>
      </c>
      <c r="AP204" s="93">
        <f>VLOOKUP(B204,'Growthrates source'!A$2:I$49,9,FALSE)</f>
        <v>5.4673730437993617E-2</v>
      </c>
      <c r="AQ204" s="86">
        <f t="shared" ref="AQ204:AQ252" si="88">AA204/(EXP(AO204*5))</f>
        <v>36.849575318133127</v>
      </c>
      <c r="AR204" s="86">
        <f t="shared" ref="AR204:AR252" si="89">AA204*EXP(AP204*3)</f>
        <v>135.49751757567779</v>
      </c>
      <c r="AS204" s="94">
        <f t="shared" ref="AS204:AS252" si="90">(AE204*10000)/F204</f>
        <v>0</v>
      </c>
      <c r="AT204" s="94">
        <f t="shared" ref="AT204:AT252" si="91">(AG204*10000)/P204</f>
        <v>1.4813603009608862</v>
      </c>
      <c r="AU204" s="94">
        <f t="shared" si="74"/>
        <v>1.3743265053207354</v>
      </c>
      <c r="AV204" s="94">
        <f t="shared" si="75"/>
        <v>1.3743265053207354</v>
      </c>
    </row>
    <row r="205" spans="1:48" x14ac:dyDescent="0.3">
      <c r="A205" s="85" t="str">
        <f>_xlfn.XLOOKUP(B205,'Country codes &amp; Data sources'!G:G,'Country codes &amp; Data sources'!H:H,,0)</f>
        <v>Comoros</v>
      </c>
      <c r="B205" s="85" t="s">
        <v>196</v>
      </c>
      <c r="C205" s="86">
        <v>684570.5</v>
      </c>
      <c r="D205" s="85" t="s">
        <v>134</v>
      </c>
      <c r="E205" s="87">
        <v>86</v>
      </c>
      <c r="F205" s="88">
        <v>699392.50000000035</v>
      </c>
      <c r="G205" s="87">
        <v>0</v>
      </c>
      <c r="I205" s="87">
        <v>0</v>
      </c>
      <c r="K205" s="87">
        <v>0</v>
      </c>
      <c r="M205" s="87">
        <v>0</v>
      </c>
      <c r="O205" s="87">
        <v>0</v>
      </c>
      <c r="P205" s="88">
        <v>776313.5000000007</v>
      </c>
      <c r="Q205" s="87">
        <v>8</v>
      </c>
      <c r="R205" s="87">
        <f t="shared" si="76"/>
        <v>8</v>
      </c>
      <c r="T205" s="87">
        <v>0</v>
      </c>
      <c r="V205" s="87">
        <v>16</v>
      </c>
      <c r="X205" s="87">
        <v>0</v>
      </c>
      <c r="Y205" s="88">
        <v>836773.49999999977</v>
      </c>
      <c r="Z205" s="87">
        <v>0</v>
      </c>
      <c r="AA205" s="87">
        <v>8</v>
      </c>
      <c r="AB205" s="89">
        <f t="shared" si="77"/>
        <v>86</v>
      </c>
      <c r="AC205" s="89">
        <f t="shared" si="78"/>
        <v>8</v>
      </c>
      <c r="AD205" s="89">
        <f t="shared" si="79"/>
        <v>16</v>
      </c>
      <c r="AE205" s="90">
        <f t="shared" ref="AE205:AE232" si="92">IF(G205&gt;0,G205,IF(E205&gt;0,E205,IF(I205&gt;0,I205,K205)))</f>
        <v>86</v>
      </c>
      <c r="AF205" s="90">
        <f t="shared" si="80"/>
        <v>2012</v>
      </c>
      <c r="AG205" s="90">
        <f t="shared" si="81"/>
        <v>8</v>
      </c>
      <c r="AH205" s="90">
        <f t="shared" si="82"/>
        <v>2018</v>
      </c>
      <c r="AI205" s="90">
        <f t="shared" si="83"/>
        <v>16</v>
      </c>
      <c r="AJ205" s="90">
        <f t="shared" si="84"/>
        <v>2020</v>
      </c>
      <c r="AK205" s="90" t="str">
        <f t="shared" si="85"/>
        <v/>
      </c>
      <c r="AL205" s="91">
        <f>IF(AK205="Adjust",(_xlfn.XLOOKUP(A205,'Adj factor'!A:A,'Adj factor'!I:I,,0)*AI205),'Master DataSheet (Rev)'!AI205)</f>
        <v>16</v>
      </c>
      <c r="AM205" s="91">
        <f t="shared" si="86"/>
        <v>16</v>
      </c>
      <c r="AN205" s="92" t="str">
        <f t="shared" si="87"/>
        <v>Increasing</v>
      </c>
      <c r="AO205" s="93">
        <f>VLOOKUP(B205,'Growthrates source'!A$2:H$49,8,FALSE)</f>
        <v>0.22761760688079957</v>
      </c>
      <c r="AP205" s="93">
        <f>VLOOKUP(B205,'Growthrates source'!A$2:I$49,9,FALSE)</f>
        <v>5.4673730437993617E-2</v>
      </c>
      <c r="AQ205" s="86">
        <f t="shared" si="88"/>
        <v>2.563448717783174</v>
      </c>
      <c r="AR205" s="86">
        <f t="shared" si="89"/>
        <v>9.4259142661341073</v>
      </c>
      <c r="AS205" s="94">
        <f t="shared" si="90"/>
        <v>1.2296385791955156</v>
      </c>
      <c r="AT205" s="94">
        <f t="shared" si="91"/>
        <v>0.10305115137119208</v>
      </c>
      <c r="AU205" s="94">
        <f t="shared" si="74"/>
        <v>0.19121064421853709</v>
      </c>
      <c r="AV205" s="94">
        <f t="shared" si="75"/>
        <v>0.19121064421853709</v>
      </c>
    </row>
    <row r="206" spans="1:48" x14ac:dyDescent="0.3">
      <c r="A206" s="85" t="str">
        <f>_xlfn.XLOOKUP(B206,'Country codes &amp; Data sources'!G:G,'Country codes &amp; Data sources'!H:H,,0)</f>
        <v>Comoros</v>
      </c>
      <c r="B206" s="85" t="s">
        <v>196</v>
      </c>
      <c r="C206" s="86">
        <v>684571.5</v>
      </c>
      <c r="D206" s="85" t="s">
        <v>142</v>
      </c>
      <c r="E206" s="87">
        <v>0</v>
      </c>
      <c r="F206" s="88">
        <v>699392.50000000035</v>
      </c>
      <c r="G206" s="87">
        <v>0</v>
      </c>
      <c r="I206" s="87">
        <v>0</v>
      </c>
      <c r="K206" s="87">
        <v>0</v>
      </c>
      <c r="M206" s="87">
        <v>0</v>
      </c>
      <c r="O206" s="87">
        <v>0</v>
      </c>
      <c r="P206" s="88">
        <v>776313.5000000007</v>
      </c>
      <c r="Q206" s="87">
        <v>0</v>
      </c>
      <c r="R206" s="87">
        <f t="shared" si="76"/>
        <v>0</v>
      </c>
      <c r="T206" s="87">
        <v>0</v>
      </c>
      <c r="V206" s="87">
        <v>0</v>
      </c>
      <c r="X206" s="87">
        <v>0</v>
      </c>
      <c r="Y206" s="88">
        <v>836773.49999999977</v>
      </c>
      <c r="Z206" s="87">
        <v>0</v>
      </c>
      <c r="AA206" s="87">
        <v>0</v>
      </c>
      <c r="AB206" s="89">
        <f t="shared" si="77"/>
        <v>0</v>
      </c>
      <c r="AC206" s="89">
        <f t="shared" si="78"/>
        <v>0</v>
      </c>
      <c r="AD206" s="89">
        <f t="shared" si="79"/>
        <v>0</v>
      </c>
      <c r="AF206" s="90" t="str">
        <f t="shared" si="80"/>
        <v/>
      </c>
      <c r="AH206" s="90" t="str">
        <f t="shared" si="82"/>
        <v/>
      </c>
      <c r="AI206" s="90">
        <f t="shared" si="83"/>
        <v>0</v>
      </c>
      <c r="AJ206" s="90" t="str">
        <f t="shared" si="84"/>
        <v/>
      </c>
      <c r="AK206" s="90" t="str">
        <f t="shared" si="85"/>
        <v/>
      </c>
      <c r="AL206" s="91"/>
      <c r="AM206" s="91">
        <f t="shared" si="86"/>
        <v>0</v>
      </c>
      <c r="AN206" s="92" t="str">
        <f t="shared" si="87"/>
        <v>No change</v>
      </c>
      <c r="AO206" s="93">
        <f>VLOOKUP(B206,'Growthrates source'!A$2:H$49,8,FALSE)</f>
        <v>0.22761760688079957</v>
      </c>
      <c r="AP206" s="93">
        <f>VLOOKUP(B206,'Growthrates source'!A$2:I$49,9,FALSE)</f>
        <v>5.4673730437993617E-2</v>
      </c>
      <c r="AQ206" s="86">
        <f t="shared" si="88"/>
        <v>0</v>
      </c>
      <c r="AR206" s="86">
        <f t="shared" si="89"/>
        <v>0</v>
      </c>
      <c r="AS206" s="94">
        <f t="shared" si="90"/>
        <v>0</v>
      </c>
      <c r="AT206" s="94">
        <f t="shared" si="91"/>
        <v>0</v>
      </c>
      <c r="AU206" s="94">
        <f t="shared" si="74"/>
        <v>0</v>
      </c>
      <c r="AV206" s="94">
        <f t="shared" si="75"/>
        <v>0</v>
      </c>
    </row>
    <row r="207" spans="1:48" x14ac:dyDescent="0.3">
      <c r="A207" s="85" t="str">
        <f>_xlfn.XLOOKUP(B207,'Country codes &amp; Data sources'!G:G,'Country codes &amp; Data sources'!H:H,,0)</f>
        <v>Comoros</v>
      </c>
      <c r="B207" s="85" t="s">
        <v>196</v>
      </c>
      <c r="C207" s="86">
        <v>684572.5</v>
      </c>
      <c r="D207" s="85" t="s">
        <v>83</v>
      </c>
      <c r="E207" s="87">
        <v>0</v>
      </c>
      <c r="F207" s="88">
        <v>699392.50000000035</v>
      </c>
      <c r="G207" s="87">
        <v>0</v>
      </c>
      <c r="I207" s="87">
        <v>0</v>
      </c>
      <c r="K207" s="87">
        <v>0</v>
      </c>
      <c r="M207" s="87">
        <v>0</v>
      </c>
      <c r="O207" s="87">
        <v>0</v>
      </c>
      <c r="P207" s="88">
        <v>776313.5000000007</v>
      </c>
      <c r="Q207" s="87">
        <v>0</v>
      </c>
      <c r="R207" s="87">
        <f t="shared" si="76"/>
        <v>0</v>
      </c>
      <c r="T207" s="87">
        <v>0</v>
      </c>
      <c r="V207" s="87">
        <v>0</v>
      </c>
      <c r="X207" s="87">
        <v>0</v>
      </c>
      <c r="Y207" s="88">
        <v>836773.49999999977</v>
      </c>
      <c r="Z207" s="87">
        <v>0</v>
      </c>
      <c r="AA207" s="87">
        <v>0</v>
      </c>
      <c r="AB207" s="89">
        <f t="shared" si="77"/>
        <v>0</v>
      </c>
      <c r="AC207" s="89">
        <f t="shared" si="78"/>
        <v>0</v>
      </c>
      <c r="AD207" s="89">
        <f t="shared" si="79"/>
        <v>0</v>
      </c>
      <c r="AF207" s="90" t="str">
        <f t="shared" si="80"/>
        <v/>
      </c>
      <c r="AH207" s="90" t="str">
        <f t="shared" si="82"/>
        <v/>
      </c>
      <c r="AI207" s="90">
        <f t="shared" si="83"/>
        <v>0</v>
      </c>
      <c r="AJ207" s="90" t="str">
        <f t="shared" si="84"/>
        <v/>
      </c>
      <c r="AK207" s="90" t="str">
        <f t="shared" si="85"/>
        <v/>
      </c>
      <c r="AL207" s="91"/>
      <c r="AM207" s="91">
        <f t="shared" si="86"/>
        <v>0</v>
      </c>
      <c r="AN207" s="92" t="str">
        <f t="shared" si="87"/>
        <v>No change</v>
      </c>
      <c r="AO207" s="93">
        <f>VLOOKUP(B207,'Growthrates source'!A$2:H$49,8,FALSE)</f>
        <v>0.22761760688079957</v>
      </c>
      <c r="AP207" s="93">
        <f>VLOOKUP(B207,'Growthrates source'!A$2:I$49,9,FALSE)</f>
        <v>5.4673730437993617E-2</v>
      </c>
      <c r="AQ207" s="86">
        <f t="shared" si="88"/>
        <v>0</v>
      </c>
      <c r="AR207" s="86">
        <f t="shared" si="89"/>
        <v>0</v>
      </c>
      <c r="AS207" s="94">
        <f t="shared" si="90"/>
        <v>0</v>
      </c>
      <c r="AT207" s="94">
        <f t="shared" si="91"/>
        <v>0</v>
      </c>
      <c r="AU207" s="94">
        <f t="shared" si="74"/>
        <v>0</v>
      </c>
      <c r="AV207" s="94">
        <f t="shared" si="75"/>
        <v>0</v>
      </c>
    </row>
    <row r="208" spans="1:48" x14ac:dyDescent="0.3">
      <c r="A208" s="85" t="str">
        <f>_xlfn.XLOOKUP(B208,'Country codes &amp; Data sources'!G:G,'Country codes &amp; Data sources'!H:H,,0)</f>
        <v>Comoros</v>
      </c>
      <c r="B208" s="85" t="s">
        <v>196</v>
      </c>
      <c r="C208" s="86">
        <v>684573.5</v>
      </c>
      <c r="D208" s="85" t="s">
        <v>84</v>
      </c>
      <c r="E208" s="87">
        <v>0</v>
      </c>
      <c r="F208" s="88">
        <v>699392.50000000035</v>
      </c>
      <c r="G208" s="87">
        <v>0</v>
      </c>
      <c r="I208" s="87">
        <v>0</v>
      </c>
      <c r="K208" s="87">
        <v>0</v>
      </c>
      <c r="M208" s="87">
        <v>0</v>
      </c>
      <c r="O208" s="87">
        <v>0</v>
      </c>
      <c r="P208" s="88">
        <v>776313.5000000007</v>
      </c>
      <c r="Q208" s="87">
        <v>0</v>
      </c>
      <c r="R208" s="87">
        <f t="shared" si="76"/>
        <v>0</v>
      </c>
      <c r="T208" s="87">
        <v>0</v>
      </c>
      <c r="V208" s="87">
        <v>0</v>
      </c>
      <c r="X208" s="87">
        <v>0</v>
      </c>
      <c r="Y208" s="88">
        <v>836773.49999999977</v>
      </c>
      <c r="Z208" s="87">
        <v>0</v>
      </c>
      <c r="AA208" s="87">
        <v>0</v>
      </c>
      <c r="AB208" s="89">
        <f t="shared" si="77"/>
        <v>0</v>
      </c>
      <c r="AC208" s="89">
        <f t="shared" si="78"/>
        <v>0</v>
      </c>
      <c r="AD208" s="89">
        <f t="shared" si="79"/>
        <v>0</v>
      </c>
      <c r="AF208" s="90" t="str">
        <f t="shared" si="80"/>
        <v/>
      </c>
      <c r="AH208" s="90" t="str">
        <f t="shared" si="82"/>
        <v/>
      </c>
      <c r="AI208" s="90">
        <f t="shared" si="83"/>
        <v>0</v>
      </c>
      <c r="AJ208" s="90" t="str">
        <f t="shared" si="84"/>
        <v/>
      </c>
      <c r="AK208" s="90" t="str">
        <f t="shared" si="85"/>
        <v/>
      </c>
      <c r="AL208" s="91"/>
      <c r="AM208" s="91">
        <f t="shared" si="86"/>
        <v>0</v>
      </c>
      <c r="AN208" s="92" t="str">
        <f t="shared" si="87"/>
        <v>No change</v>
      </c>
      <c r="AO208" s="93">
        <f>VLOOKUP(B208,'Growthrates source'!A$2:H$49,8,FALSE)</f>
        <v>0.22761760688079957</v>
      </c>
      <c r="AP208" s="93">
        <f>VLOOKUP(B208,'Growthrates source'!A$2:I$49,9,FALSE)</f>
        <v>5.4673730437993617E-2</v>
      </c>
      <c r="AQ208" s="86">
        <f t="shared" si="88"/>
        <v>0</v>
      </c>
      <c r="AR208" s="86">
        <f t="shared" si="89"/>
        <v>0</v>
      </c>
      <c r="AS208" s="94">
        <f t="shared" si="90"/>
        <v>0</v>
      </c>
      <c r="AT208" s="94">
        <f t="shared" si="91"/>
        <v>0</v>
      </c>
      <c r="AU208" s="94">
        <f t="shared" si="74"/>
        <v>0</v>
      </c>
      <c r="AV208" s="94">
        <f t="shared" si="75"/>
        <v>0</v>
      </c>
    </row>
    <row r="209" spans="1:48" x14ac:dyDescent="0.3">
      <c r="A209" s="85" t="str">
        <f>_xlfn.XLOOKUP(B209,'Country codes &amp; Data sources'!G:G,'Country codes &amp; Data sources'!H:H,,0)</f>
        <v>Comoros</v>
      </c>
      <c r="B209" s="85" t="s">
        <v>196</v>
      </c>
      <c r="C209" s="86">
        <v>684574.5</v>
      </c>
      <c r="D209" s="85" t="s">
        <v>126</v>
      </c>
      <c r="E209" s="87">
        <v>0</v>
      </c>
      <c r="F209" s="88">
        <v>699392.50000000035</v>
      </c>
      <c r="G209" s="87">
        <v>0</v>
      </c>
      <c r="I209" s="87">
        <v>0</v>
      </c>
      <c r="K209" s="87">
        <v>0</v>
      </c>
      <c r="M209" s="87">
        <v>0</v>
      </c>
      <c r="O209" s="87">
        <v>0</v>
      </c>
      <c r="P209" s="88">
        <v>776313.5000000007</v>
      </c>
      <c r="Q209" s="87">
        <v>0</v>
      </c>
      <c r="R209" s="87">
        <f t="shared" si="76"/>
        <v>0</v>
      </c>
      <c r="T209" s="87">
        <v>0</v>
      </c>
      <c r="V209" s="87">
        <v>0</v>
      </c>
      <c r="X209" s="87">
        <v>0</v>
      </c>
      <c r="Y209" s="88">
        <v>836773.49999999977</v>
      </c>
      <c r="Z209" s="87">
        <v>0</v>
      </c>
      <c r="AA209" s="87">
        <v>0</v>
      </c>
      <c r="AB209" s="89">
        <f t="shared" si="77"/>
        <v>0</v>
      </c>
      <c r="AC209" s="89">
        <f t="shared" si="78"/>
        <v>0</v>
      </c>
      <c r="AD209" s="89">
        <f t="shared" si="79"/>
        <v>0</v>
      </c>
      <c r="AF209" s="90" t="str">
        <f t="shared" si="80"/>
        <v/>
      </c>
      <c r="AH209" s="90" t="str">
        <f t="shared" si="82"/>
        <v/>
      </c>
      <c r="AI209" s="90">
        <f t="shared" si="83"/>
        <v>0</v>
      </c>
      <c r="AJ209" s="90" t="str">
        <f t="shared" si="84"/>
        <v/>
      </c>
      <c r="AK209" s="90" t="str">
        <f t="shared" si="85"/>
        <v/>
      </c>
      <c r="AL209" s="91"/>
      <c r="AM209" s="91">
        <f t="shared" si="86"/>
        <v>0</v>
      </c>
      <c r="AN209" s="92" t="str">
        <f t="shared" si="87"/>
        <v>No change</v>
      </c>
      <c r="AO209" s="93">
        <f>VLOOKUP(B209,'Growthrates source'!A$2:H$49,8,FALSE)</f>
        <v>0.22761760688079957</v>
      </c>
      <c r="AP209" s="93">
        <f>VLOOKUP(B209,'Growthrates source'!A$2:I$49,9,FALSE)</f>
        <v>5.4673730437993617E-2</v>
      </c>
      <c r="AQ209" s="86">
        <f t="shared" si="88"/>
        <v>0</v>
      </c>
      <c r="AR209" s="86">
        <f t="shared" si="89"/>
        <v>0</v>
      </c>
      <c r="AS209" s="94">
        <f t="shared" si="90"/>
        <v>0</v>
      </c>
      <c r="AT209" s="94">
        <f t="shared" si="91"/>
        <v>0</v>
      </c>
      <c r="AU209" s="94">
        <f t="shared" si="74"/>
        <v>0</v>
      </c>
      <c r="AV209" s="94">
        <f t="shared" si="75"/>
        <v>0</v>
      </c>
    </row>
    <row r="210" spans="1:48" x14ac:dyDescent="0.3">
      <c r="A210" s="85" t="str">
        <f>_xlfn.XLOOKUP(B210,'Country codes &amp; Data sources'!G:G,'Country codes &amp; Data sources'!H:H,,0)</f>
        <v>Comoros</v>
      </c>
      <c r="B210" s="85" t="s">
        <v>196</v>
      </c>
      <c r="C210" s="86">
        <v>684575.5</v>
      </c>
      <c r="D210" s="85" t="s">
        <v>87</v>
      </c>
      <c r="E210" s="87">
        <v>0</v>
      </c>
      <c r="F210" s="88">
        <v>699392.50000000035</v>
      </c>
      <c r="G210" s="87">
        <v>0</v>
      </c>
      <c r="I210" s="87">
        <v>0</v>
      </c>
      <c r="K210" s="87">
        <v>0</v>
      </c>
      <c r="M210" s="87">
        <v>0</v>
      </c>
      <c r="O210" s="87">
        <v>0</v>
      </c>
      <c r="P210" s="88">
        <v>776313.5000000007</v>
      </c>
      <c r="Q210" s="87">
        <v>0</v>
      </c>
      <c r="R210" s="87">
        <f t="shared" si="76"/>
        <v>0</v>
      </c>
      <c r="T210" s="87">
        <v>0</v>
      </c>
      <c r="V210" s="87">
        <v>0</v>
      </c>
      <c r="X210" s="87">
        <v>0</v>
      </c>
      <c r="Y210" s="88">
        <v>836773.49999999977</v>
      </c>
      <c r="Z210" s="87">
        <v>0</v>
      </c>
      <c r="AA210" s="87">
        <v>0</v>
      </c>
      <c r="AB210" s="89">
        <f t="shared" si="77"/>
        <v>0</v>
      </c>
      <c r="AC210" s="89">
        <f t="shared" si="78"/>
        <v>0</v>
      </c>
      <c r="AD210" s="89">
        <f t="shared" si="79"/>
        <v>0</v>
      </c>
      <c r="AF210" s="90" t="str">
        <f t="shared" si="80"/>
        <v/>
      </c>
      <c r="AH210" s="90" t="str">
        <f t="shared" si="82"/>
        <v/>
      </c>
      <c r="AI210" s="90">
        <f t="shared" si="83"/>
        <v>0</v>
      </c>
      <c r="AJ210" s="90" t="str">
        <f t="shared" si="84"/>
        <v/>
      </c>
      <c r="AK210" s="90" t="str">
        <f t="shared" si="85"/>
        <v/>
      </c>
      <c r="AL210" s="91"/>
      <c r="AM210" s="91">
        <f t="shared" si="86"/>
        <v>0</v>
      </c>
      <c r="AN210" s="92" t="str">
        <f t="shared" si="87"/>
        <v>No change</v>
      </c>
      <c r="AO210" s="93">
        <f>VLOOKUP(B210,'Growthrates source'!A$2:H$49,8,FALSE)</f>
        <v>0.22761760688079957</v>
      </c>
      <c r="AP210" s="93">
        <f>VLOOKUP(B210,'Growthrates source'!A$2:I$49,9,FALSE)</f>
        <v>5.4673730437993617E-2</v>
      </c>
      <c r="AQ210" s="86">
        <f t="shared" si="88"/>
        <v>0</v>
      </c>
      <c r="AR210" s="86">
        <f t="shared" si="89"/>
        <v>0</v>
      </c>
      <c r="AS210" s="94">
        <f t="shared" si="90"/>
        <v>0</v>
      </c>
      <c r="AT210" s="94">
        <f t="shared" si="91"/>
        <v>0</v>
      </c>
      <c r="AU210" s="94">
        <f t="shared" si="74"/>
        <v>0</v>
      </c>
      <c r="AV210" s="94">
        <f t="shared" si="75"/>
        <v>0</v>
      </c>
    </row>
    <row r="211" spans="1:48" x14ac:dyDescent="0.3">
      <c r="A211" s="85" t="str">
        <f>_xlfn.XLOOKUP(B211,'Country codes &amp; Data sources'!G:G,'Country codes &amp; Data sources'!H:H,,0)</f>
        <v>Cape-Verde</v>
      </c>
      <c r="B211" s="85" t="s">
        <v>167</v>
      </c>
      <c r="C211" s="86">
        <v>533869</v>
      </c>
      <c r="D211" s="85" t="s">
        <v>127</v>
      </c>
      <c r="E211" s="87">
        <v>0</v>
      </c>
      <c r="F211" s="88">
        <v>539939.99999999988</v>
      </c>
      <c r="G211" s="87">
        <v>0</v>
      </c>
      <c r="I211" s="87">
        <v>0</v>
      </c>
      <c r="K211" s="87">
        <v>0</v>
      </c>
      <c r="M211" s="87">
        <v>0</v>
      </c>
      <c r="O211" s="87">
        <v>0</v>
      </c>
      <c r="P211" s="88">
        <v>571201.5</v>
      </c>
      <c r="Q211" s="87">
        <v>117</v>
      </c>
      <c r="R211" s="87">
        <f t="shared" si="76"/>
        <v>117</v>
      </c>
      <c r="T211" s="87">
        <v>0</v>
      </c>
      <c r="V211" s="87">
        <v>0</v>
      </c>
      <c r="X211" s="87">
        <v>0</v>
      </c>
      <c r="Y211" s="88">
        <v>593149.50000000012</v>
      </c>
      <c r="Z211" s="87">
        <v>155</v>
      </c>
      <c r="AA211" s="87">
        <v>117</v>
      </c>
      <c r="AB211" s="89">
        <f t="shared" si="77"/>
        <v>0</v>
      </c>
      <c r="AC211" s="89">
        <f t="shared" si="78"/>
        <v>117</v>
      </c>
      <c r="AD211" s="89">
        <f t="shared" si="79"/>
        <v>155</v>
      </c>
      <c r="AF211" s="90" t="str">
        <f t="shared" si="80"/>
        <v/>
      </c>
      <c r="AG211" s="90">
        <f t="shared" si="81"/>
        <v>117</v>
      </c>
      <c r="AH211" s="90">
        <f t="shared" si="82"/>
        <v>2018</v>
      </c>
      <c r="AI211" s="90">
        <f t="shared" si="83"/>
        <v>155</v>
      </c>
      <c r="AJ211" s="90">
        <f t="shared" si="84"/>
        <v>2022</v>
      </c>
      <c r="AK211" s="90" t="str">
        <f t="shared" si="85"/>
        <v/>
      </c>
      <c r="AL211" s="91">
        <f>IF(AK211="Adjust",(_xlfn.XLOOKUP(A211,'Adj factor'!A:A,'Adj factor'!I:I,,0)*AI211),'Master DataSheet (Rev)'!AI211)</f>
        <v>155</v>
      </c>
      <c r="AM211" s="91">
        <f t="shared" si="86"/>
        <v>155</v>
      </c>
      <c r="AN211" s="92" t="str">
        <f t="shared" si="87"/>
        <v>Increasing</v>
      </c>
      <c r="AO211" s="93">
        <f>VLOOKUP(B211,'Growthrates source'!A$2:H$49,8,FALSE)</f>
        <v>0.12998282689096063</v>
      </c>
      <c r="AP211" s="93">
        <f>VLOOKUP(B211,'Growthrates source'!A$2:I$49,9,FALSE)</f>
        <v>5.4673730437993617E-2</v>
      </c>
      <c r="AQ211" s="86">
        <f t="shared" si="88"/>
        <v>61.084600718404062</v>
      </c>
      <c r="AR211" s="86">
        <f t="shared" si="89"/>
        <v>137.85399614221132</v>
      </c>
      <c r="AS211" s="94">
        <f t="shared" si="90"/>
        <v>0</v>
      </c>
      <c r="AT211" s="94">
        <f t="shared" si="91"/>
        <v>2.0483139487553865</v>
      </c>
      <c r="AU211" s="94">
        <f t="shared" si="74"/>
        <v>2.613169192589726</v>
      </c>
      <c r="AV211" s="94">
        <f t="shared" si="75"/>
        <v>2.613169192589726</v>
      </c>
    </row>
    <row r="212" spans="1:48" x14ac:dyDescent="0.3">
      <c r="A212" s="85" t="str">
        <f>_xlfn.XLOOKUP(B212,'Country codes &amp; Data sources'!G:G,'Country codes &amp; Data sources'!H:H,,0)</f>
        <v>Cape-Verde</v>
      </c>
      <c r="B212" s="85" t="s">
        <v>167</v>
      </c>
      <c r="C212" s="86">
        <v>533870</v>
      </c>
      <c r="D212" s="85" t="s">
        <v>61</v>
      </c>
      <c r="E212" s="87">
        <v>130</v>
      </c>
      <c r="F212" s="88">
        <v>539939.99999999988</v>
      </c>
      <c r="G212" s="87">
        <v>3781</v>
      </c>
      <c r="I212" s="87">
        <v>168</v>
      </c>
      <c r="K212" s="87">
        <v>0</v>
      </c>
      <c r="M212" s="87">
        <v>0</v>
      </c>
      <c r="O212" s="87">
        <v>0</v>
      </c>
      <c r="P212" s="88">
        <v>571201.5</v>
      </c>
      <c r="Q212" s="87">
        <v>0</v>
      </c>
      <c r="R212" s="87">
        <f t="shared" si="76"/>
        <v>18</v>
      </c>
      <c r="T212" s="87">
        <v>0</v>
      </c>
      <c r="V212" s="87">
        <v>0</v>
      </c>
      <c r="X212" s="87">
        <v>6</v>
      </c>
      <c r="Y212" s="88">
        <v>593149.50000000012</v>
      </c>
      <c r="Z212" s="87">
        <v>0</v>
      </c>
      <c r="AA212" s="87">
        <v>18</v>
      </c>
      <c r="AB212" s="89">
        <f t="shared" si="77"/>
        <v>3781</v>
      </c>
      <c r="AC212" s="89">
        <f t="shared" si="78"/>
        <v>0</v>
      </c>
      <c r="AD212" s="89">
        <f t="shared" si="79"/>
        <v>6</v>
      </c>
      <c r="AE212" s="90">
        <f t="shared" si="92"/>
        <v>3781</v>
      </c>
      <c r="AF212" s="90">
        <f t="shared" si="80"/>
        <v>2013</v>
      </c>
      <c r="AG212" s="90">
        <f t="shared" si="81"/>
        <v>18</v>
      </c>
      <c r="AH212" s="90" t="str">
        <f t="shared" si="82"/>
        <v>2018 (triag)</v>
      </c>
      <c r="AI212" s="90">
        <f t="shared" si="83"/>
        <v>6</v>
      </c>
      <c r="AJ212" s="90">
        <f t="shared" si="84"/>
        <v>2021</v>
      </c>
      <c r="AK212" s="90" t="str">
        <f t="shared" si="85"/>
        <v>Adjust</v>
      </c>
      <c r="AL212" s="91">
        <f>IF(AK212="Adjust",(_xlfn.XLOOKUP(A212,'Adj factor'!A:A,'Adj factor'!I:I,,0)*AI212),'Master DataSheet (Rev)'!AI212)</f>
        <v>7.4605597964376598</v>
      </c>
      <c r="AM212" s="91">
        <f t="shared" si="86"/>
        <v>18</v>
      </c>
      <c r="AN212" s="92" t="str">
        <f t="shared" si="87"/>
        <v>Decreasing</v>
      </c>
      <c r="AO212" s="93">
        <f>VLOOKUP(B212,'Growthrates source'!A$2:H$49,8,FALSE)</f>
        <v>0.12998282689096063</v>
      </c>
      <c r="AP212" s="93">
        <f>VLOOKUP(B212,'Growthrates source'!A$2:I$49,9,FALSE)</f>
        <v>5.4673730437993617E-2</v>
      </c>
      <c r="AQ212" s="86">
        <f t="shared" si="88"/>
        <v>9.3976308797544696</v>
      </c>
      <c r="AR212" s="86">
        <f t="shared" si="89"/>
        <v>21.20830709880174</v>
      </c>
      <c r="AS212" s="94">
        <f t="shared" si="90"/>
        <v>70.026299218431689</v>
      </c>
      <c r="AT212" s="94">
        <f t="shared" si="91"/>
        <v>0.31512522288544409</v>
      </c>
      <c r="AU212" s="94">
        <f t="shared" si="74"/>
        <v>0.12577874206144757</v>
      </c>
      <c r="AV212" s="94">
        <f t="shared" si="75"/>
        <v>0.30346480946203269</v>
      </c>
    </row>
    <row r="213" spans="1:48" x14ac:dyDescent="0.3">
      <c r="A213" s="85" t="str">
        <f>_xlfn.XLOOKUP(B213,'Country codes &amp; Data sources'!G:G,'Country codes &amp; Data sources'!H:H,,0)</f>
        <v>Cape-Verde</v>
      </c>
      <c r="B213" s="85" t="s">
        <v>167</v>
      </c>
      <c r="C213" s="86">
        <v>533871</v>
      </c>
      <c r="D213" s="85" t="s">
        <v>62</v>
      </c>
      <c r="E213" s="87">
        <v>121</v>
      </c>
      <c r="F213" s="88">
        <v>539939.99999999988</v>
      </c>
      <c r="G213" s="87">
        <v>3881</v>
      </c>
      <c r="I213" s="87">
        <v>8</v>
      </c>
      <c r="K213" s="87">
        <v>0</v>
      </c>
      <c r="M213" s="87">
        <v>0</v>
      </c>
      <c r="O213" s="87">
        <v>0</v>
      </c>
      <c r="P213" s="88">
        <v>571201.5</v>
      </c>
      <c r="Q213" s="87">
        <v>3207</v>
      </c>
      <c r="R213" s="87">
        <f t="shared" si="76"/>
        <v>3207</v>
      </c>
      <c r="T213" s="87">
        <v>0</v>
      </c>
      <c r="V213" s="87">
        <v>0</v>
      </c>
      <c r="X213" s="87">
        <v>353</v>
      </c>
      <c r="Y213" s="88">
        <v>593149.50000000012</v>
      </c>
      <c r="Z213" s="87">
        <v>0</v>
      </c>
      <c r="AA213" s="87">
        <v>1</v>
      </c>
      <c r="AB213" s="89">
        <f t="shared" si="77"/>
        <v>3881</v>
      </c>
      <c r="AC213" s="89">
        <f t="shared" si="78"/>
        <v>3207</v>
      </c>
      <c r="AD213" s="89">
        <f t="shared" si="79"/>
        <v>353</v>
      </c>
      <c r="AE213" s="90">
        <f t="shared" si="92"/>
        <v>3881</v>
      </c>
      <c r="AF213" s="90">
        <f t="shared" si="80"/>
        <v>2013</v>
      </c>
      <c r="AG213" s="90">
        <f t="shared" si="81"/>
        <v>3207</v>
      </c>
      <c r="AH213" s="90">
        <f t="shared" si="82"/>
        <v>2018</v>
      </c>
      <c r="AI213" s="90">
        <f t="shared" si="83"/>
        <v>353</v>
      </c>
      <c r="AJ213" s="90">
        <f t="shared" si="84"/>
        <v>2021</v>
      </c>
      <c r="AK213" s="90" t="str">
        <f t="shared" si="85"/>
        <v>Adjust</v>
      </c>
      <c r="AL213" s="91">
        <f>IF(AK213="Adjust",(_xlfn.XLOOKUP(A213,'Adj factor'!A:A,'Adj factor'!I:I,,0)*AI213),'Master DataSheet (Rev)'!AI213)</f>
        <v>438.92960135708233</v>
      </c>
      <c r="AM213" s="91">
        <f t="shared" si="86"/>
        <v>3207</v>
      </c>
      <c r="AN213" s="92" t="str">
        <f t="shared" si="87"/>
        <v>Decreasing</v>
      </c>
      <c r="AO213" s="93">
        <f>VLOOKUP(B213,'Growthrates source'!A$2:H$49,8,FALSE)</f>
        <v>0.12998282689096063</v>
      </c>
      <c r="AP213" s="93">
        <f>VLOOKUP(B213,'Growthrates source'!A$2:I$49,9,FALSE)</f>
        <v>5.4673730437993617E-2</v>
      </c>
      <c r="AQ213" s="86">
        <f t="shared" si="88"/>
        <v>0.52209060443080391</v>
      </c>
      <c r="AR213" s="86">
        <f t="shared" si="89"/>
        <v>1.1782392832667634</v>
      </c>
      <c r="AS213" s="94">
        <f t="shared" si="90"/>
        <v>71.878356854465324</v>
      </c>
      <c r="AT213" s="94">
        <f t="shared" si="91"/>
        <v>56.144810544089957</v>
      </c>
      <c r="AU213" s="94">
        <f t="shared" si="74"/>
        <v>7.399982657948498</v>
      </c>
      <c r="AV213" s="94">
        <f t="shared" si="75"/>
        <v>54.067313552485494</v>
      </c>
    </row>
    <row r="214" spans="1:48" x14ac:dyDescent="0.3">
      <c r="A214" s="85" t="str">
        <f>_xlfn.XLOOKUP(B214,'Country codes &amp; Data sources'!G:G,'Country codes &amp; Data sources'!H:H,,0)</f>
        <v>Cape-Verde</v>
      </c>
      <c r="B214" s="85" t="s">
        <v>167</v>
      </c>
      <c r="C214" s="86">
        <v>533872</v>
      </c>
      <c r="D214" s="85" t="s">
        <v>203</v>
      </c>
      <c r="E214" s="87">
        <v>0</v>
      </c>
      <c r="F214" s="88">
        <v>539939.99999999988</v>
      </c>
      <c r="G214" s="87">
        <v>0</v>
      </c>
      <c r="I214" s="87">
        <v>0</v>
      </c>
      <c r="K214" s="87">
        <v>0</v>
      </c>
      <c r="M214" s="87">
        <v>0</v>
      </c>
      <c r="O214" s="87">
        <v>0</v>
      </c>
      <c r="P214" s="88">
        <v>571201.5</v>
      </c>
      <c r="Q214" s="87">
        <v>0</v>
      </c>
      <c r="R214" s="87">
        <f t="shared" si="76"/>
        <v>149</v>
      </c>
      <c r="T214" s="87">
        <v>0</v>
      </c>
      <c r="V214" s="87">
        <v>0</v>
      </c>
      <c r="X214" s="87">
        <v>0</v>
      </c>
      <c r="Y214" s="88">
        <v>593149.50000000012</v>
      </c>
      <c r="Z214" s="87">
        <v>0</v>
      </c>
      <c r="AA214" s="87">
        <v>149</v>
      </c>
      <c r="AB214" s="89">
        <f t="shared" si="77"/>
        <v>0</v>
      </c>
      <c r="AC214" s="89">
        <f t="shared" si="78"/>
        <v>0</v>
      </c>
      <c r="AD214" s="89">
        <f t="shared" si="79"/>
        <v>0</v>
      </c>
      <c r="AF214" s="90" t="str">
        <f t="shared" si="80"/>
        <v/>
      </c>
      <c r="AG214" s="90">
        <f t="shared" si="81"/>
        <v>149</v>
      </c>
      <c r="AH214" s="90" t="str">
        <f t="shared" si="82"/>
        <v>2018 (triag)</v>
      </c>
      <c r="AI214" s="90">
        <f t="shared" si="83"/>
        <v>149</v>
      </c>
      <c r="AJ214" s="90" t="str">
        <f t="shared" si="84"/>
        <v>2018 (triag)</v>
      </c>
      <c r="AK214" s="90" t="str">
        <f t="shared" si="85"/>
        <v/>
      </c>
      <c r="AL214" s="91">
        <f>IF(AK214="Adjust",(_xlfn.XLOOKUP(A214,'Adj factor'!A:A,'Adj factor'!I:I,,0)*AI214),'Master DataSheet (Rev)'!AI214)</f>
        <v>149</v>
      </c>
      <c r="AM214" s="91">
        <f t="shared" si="86"/>
        <v>149</v>
      </c>
      <c r="AN214" s="92" t="str">
        <f t="shared" si="87"/>
        <v>No change</v>
      </c>
      <c r="AO214" s="93">
        <f>VLOOKUP(B214,'Growthrates source'!A$2:H$49,8,FALSE)</f>
        <v>0.12998282689096063</v>
      </c>
      <c r="AP214" s="93">
        <f>VLOOKUP(B214,'Growthrates source'!A$2:I$49,9,FALSE)</f>
        <v>5.4673730437993617E-2</v>
      </c>
      <c r="AQ214" s="86">
        <f t="shared" si="88"/>
        <v>77.79150006018979</v>
      </c>
      <c r="AR214" s="86">
        <f t="shared" si="89"/>
        <v>175.55765320674774</v>
      </c>
      <c r="AS214" s="94">
        <f t="shared" si="90"/>
        <v>0</v>
      </c>
      <c r="AT214" s="94">
        <f t="shared" si="91"/>
        <v>2.6085365672183984</v>
      </c>
      <c r="AU214" s="94">
        <f t="shared" si="74"/>
        <v>2.5120142561023817</v>
      </c>
      <c r="AV214" s="94">
        <f t="shared" si="75"/>
        <v>2.5120142561023817</v>
      </c>
    </row>
    <row r="215" spans="1:48" x14ac:dyDescent="0.3">
      <c r="A215" s="85" t="str">
        <f>_xlfn.XLOOKUP(B215,'Country codes &amp; Data sources'!G:G,'Country codes &amp; Data sources'!H:H,,0)</f>
        <v>Cape-Verde</v>
      </c>
      <c r="B215" s="85" t="s">
        <v>167</v>
      </c>
      <c r="C215" s="86">
        <v>533873</v>
      </c>
      <c r="D215" s="85" t="s">
        <v>204</v>
      </c>
      <c r="E215" s="87">
        <v>0</v>
      </c>
      <c r="F215" s="88">
        <v>539939.99999999988</v>
      </c>
      <c r="G215" s="87">
        <v>0</v>
      </c>
      <c r="I215" s="87">
        <v>0</v>
      </c>
      <c r="K215" s="87">
        <v>0</v>
      </c>
      <c r="M215" s="87">
        <v>0</v>
      </c>
      <c r="O215" s="87">
        <v>0</v>
      </c>
      <c r="P215" s="88">
        <v>571201.5</v>
      </c>
      <c r="Q215" s="87">
        <v>0</v>
      </c>
      <c r="R215" s="87">
        <f t="shared" si="76"/>
        <v>61</v>
      </c>
      <c r="T215" s="87">
        <v>0</v>
      </c>
      <c r="V215" s="87">
        <v>0</v>
      </c>
      <c r="X215" s="87">
        <v>0</v>
      </c>
      <c r="Y215" s="88">
        <v>593149.50000000012</v>
      </c>
      <c r="Z215" s="87">
        <v>0</v>
      </c>
      <c r="AA215" s="87">
        <v>61</v>
      </c>
      <c r="AB215" s="89">
        <f t="shared" si="77"/>
        <v>0</v>
      </c>
      <c r="AC215" s="89">
        <f t="shared" si="78"/>
        <v>0</v>
      </c>
      <c r="AD215" s="89">
        <f t="shared" si="79"/>
        <v>0</v>
      </c>
      <c r="AF215" s="90" t="str">
        <f t="shared" si="80"/>
        <v/>
      </c>
      <c r="AG215" s="90">
        <f t="shared" si="81"/>
        <v>61</v>
      </c>
      <c r="AH215" s="90" t="str">
        <f t="shared" si="82"/>
        <v>2018 (triag)</v>
      </c>
      <c r="AI215" s="90">
        <f t="shared" si="83"/>
        <v>61</v>
      </c>
      <c r="AJ215" s="90" t="str">
        <f t="shared" si="84"/>
        <v>2018 (triag)</v>
      </c>
      <c r="AK215" s="90" t="str">
        <f t="shared" si="85"/>
        <v/>
      </c>
      <c r="AL215" s="91">
        <f>IF(AK215="Adjust",(_xlfn.XLOOKUP(A215,'Adj factor'!A:A,'Adj factor'!I:I,,0)*AI215),'Master DataSheet (Rev)'!AI215)</f>
        <v>61</v>
      </c>
      <c r="AM215" s="91">
        <f t="shared" si="86"/>
        <v>61</v>
      </c>
      <c r="AN215" s="92" t="str">
        <f t="shared" si="87"/>
        <v>No change</v>
      </c>
      <c r="AO215" s="93">
        <f>VLOOKUP(B215,'Growthrates source'!A$2:H$49,8,FALSE)</f>
        <v>0.12998282689096063</v>
      </c>
      <c r="AP215" s="93">
        <f>VLOOKUP(B215,'Growthrates source'!A$2:I$49,9,FALSE)</f>
        <v>5.4673730437993617E-2</v>
      </c>
      <c r="AQ215" s="86">
        <f t="shared" si="88"/>
        <v>31.84752687027904</v>
      </c>
      <c r="AR215" s="86">
        <f t="shared" si="89"/>
        <v>71.872596279272571</v>
      </c>
      <c r="AS215" s="94">
        <f t="shared" si="90"/>
        <v>0</v>
      </c>
      <c r="AT215" s="94">
        <f t="shared" si="91"/>
        <v>1.0679243664451161</v>
      </c>
      <c r="AU215" s="94">
        <f t="shared" si="74"/>
        <v>1.0284085209546663</v>
      </c>
      <c r="AV215" s="94">
        <f t="shared" si="75"/>
        <v>1.0284085209546663</v>
      </c>
    </row>
    <row r="216" spans="1:48" x14ac:dyDescent="0.3">
      <c r="A216" s="85" t="str">
        <f>_xlfn.XLOOKUP(B216,'Country codes &amp; Data sources'!G:G,'Country codes &amp; Data sources'!H:H,,0)</f>
        <v>Cape-Verde</v>
      </c>
      <c r="B216" s="85" t="s">
        <v>167</v>
      </c>
      <c r="C216" s="86">
        <v>533874</v>
      </c>
      <c r="D216" s="85" t="s">
        <v>205</v>
      </c>
      <c r="E216" s="87">
        <v>0</v>
      </c>
      <c r="F216" s="88">
        <v>539939.99999999988</v>
      </c>
      <c r="G216" s="87">
        <v>0</v>
      </c>
      <c r="I216" s="87">
        <v>0</v>
      </c>
      <c r="K216" s="87">
        <v>0</v>
      </c>
      <c r="M216" s="87">
        <v>0</v>
      </c>
      <c r="O216" s="87">
        <v>0</v>
      </c>
      <c r="P216" s="88">
        <v>571201.5</v>
      </c>
      <c r="Q216" s="87">
        <v>0</v>
      </c>
      <c r="R216" s="87">
        <f t="shared" si="76"/>
        <v>20</v>
      </c>
      <c r="T216" s="87">
        <v>20</v>
      </c>
      <c r="V216" s="87">
        <v>0</v>
      </c>
      <c r="X216" s="87">
        <v>0</v>
      </c>
      <c r="Y216" s="88">
        <v>593149.50000000012</v>
      </c>
      <c r="Z216" s="87">
        <v>0</v>
      </c>
      <c r="AA216" s="87">
        <v>20</v>
      </c>
      <c r="AB216" s="89">
        <f t="shared" si="77"/>
        <v>0</v>
      </c>
      <c r="AC216" s="89">
        <f t="shared" si="78"/>
        <v>20</v>
      </c>
      <c r="AD216" s="89">
        <f t="shared" si="79"/>
        <v>0</v>
      </c>
      <c r="AF216" s="90" t="str">
        <f t="shared" si="80"/>
        <v/>
      </c>
      <c r="AG216" s="90">
        <f t="shared" si="81"/>
        <v>20</v>
      </c>
      <c r="AH216" s="90" t="str">
        <f t="shared" si="82"/>
        <v>2018 (triag)</v>
      </c>
      <c r="AI216" s="90">
        <f t="shared" si="83"/>
        <v>20</v>
      </c>
      <c r="AJ216" s="90" t="str">
        <f t="shared" si="84"/>
        <v>2018 (triag)</v>
      </c>
      <c r="AK216" s="90" t="str">
        <f t="shared" si="85"/>
        <v/>
      </c>
      <c r="AL216" s="91">
        <f>IF(AK216="Adjust",(_xlfn.XLOOKUP(A216,'Adj factor'!A:A,'Adj factor'!I:I,,0)*AI216),'Master DataSheet (Rev)'!AI216)</f>
        <v>20</v>
      </c>
      <c r="AM216" s="91">
        <f t="shared" si="86"/>
        <v>20</v>
      </c>
      <c r="AN216" s="92" t="str">
        <f t="shared" si="87"/>
        <v>No change</v>
      </c>
      <c r="AO216" s="93">
        <f>VLOOKUP(B216,'Growthrates source'!A$2:H$49,8,FALSE)</f>
        <v>0.12998282689096063</v>
      </c>
      <c r="AP216" s="93">
        <f>VLOOKUP(B216,'Growthrates source'!A$2:I$49,9,FALSE)</f>
        <v>5.4673730437993617E-2</v>
      </c>
      <c r="AQ216" s="86">
        <f t="shared" si="88"/>
        <v>10.441812088616079</v>
      </c>
      <c r="AR216" s="86">
        <f t="shared" si="89"/>
        <v>23.564785665335268</v>
      </c>
      <c r="AS216" s="94">
        <f t="shared" si="90"/>
        <v>0</v>
      </c>
      <c r="AT216" s="94">
        <f t="shared" si="91"/>
        <v>0.35013913653938233</v>
      </c>
      <c r="AU216" s="94">
        <f t="shared" si="74"/>
        <v>0.33718312162448077</v>
      </c>
      <c r="AV216" s="94">
        <f t="shared" si="75"/>
        <v>0.33718312162448077</v>
      </c>
    </row>
    <row r="217" spans="1:48" x14ac:dyDescent="0.3">
      <c r="A217" s="85" t="str">
        <f>_xlfn.XLOOKUP(B217,'Country codes &amp; Data sources'!G:G,'Country codes &amp; Data sources'!H:H,,0)</f>
        <v>Cape-Verde</v>
      </c>
      <c r="B217" s="85" t="s">
        <v>167</v>
      </c>
      <c r="C217" s="86">
        <v>533875</v>
      </c>
      <c r="D217" s="85" t="s">
        <v>133</v>
      </c>
      <c r="E217" s="87">
        <v>0</v>
      </c>
      <c r="F217" s="88">
        <v>539939.99999999988</v>
      </c>
      <c r="G217" s="87">
        <v>0</v>
      </c>
      <c r="I217" s="87">
        <v>0</v>
      </c>
      <c r="K217" s="87">
        <v>0</v>
      </c>
      <c r="M217" s="87">
        <v>0</v>
      </c>
      <c r="O217" s="87">
        <v>0</v>
      </c>
      <c r="P217" s="88">
        <v>571201.5</v>
      </c>
      <c r="Q217" s="87">
        <v>65</v>
      </c>
      <c r="R217" s="87">
        <f t="shared" si="76"/>
        <v>65</v>
      </c>
      <c r="T217" s="87">
        <v>0</v>
      </c>
      <c r="V217" s="87">
        <v>0</v>
      </c>
      <c r="X217" s="87">
        <v>0</v>
      </c>
      <c r="Y217" s="88">
        <v>593149.50000000012</v>
      </c>
      <c r="Z217" s="87">
        <v>0</v>
      </c>
      <c r="AA217" s="87">
        <v>11</v>
      </c>
      <c r="AB217" s="89">
        <f t="shared" si="77"/>
        <v>0</v>
      </c>
      <c r="AC217" s="89">
        <f t="shared" si="78"/>
        <v>65</v>
      </c>
      <c r="AD217" s="89">
        <f t="shared" si="79"/>
        <v>0</v>
      </c>
      <c r="AF217" s="90" t="str">
        <f t="shared" si="80"/>
        <v/>
      </c>
      <c r="AG217" s="90">
        <f t="shared" si="81"/>
        <v>65</v>
      </c>
      <c r="AH217" s="90">
        <f t="shared" si="82"/>
        <v>2018</v>
      </c>
      <c r="AI217" s="90">
        <f t="shared" si="83"/>
        <v>65</v>
      </c>
      <c r="AJ217" s="90">
        <f t="shared" si="84"/>
        <v>2018</v>
      </c>
      <c r="AK217" s="90" t="str">
        <f t="shared" si="85"/>
        <v/>
      </c>
      <c r="AL217" s="91">
        <f>IF(AK217="Adjust",(_xlfn.XLOOKUP(A217,'Adj factor'!A:A,'Adj factor'!I:I,,0)*AI217),'Master DataSheet (Rev)'!AI217)</f>
        <v>65</v>
      </c>
      <c r="AM217" s="91">
        <f t="shared" si="86"/>
        <v>65</v>
      </c>
      <c r="AN217" s="92" t="str">
        <f t="shared" si="87"/>
        <v>No change</v>
      </c>
      <c r="AO217" s="93">
        <f>VLOOKUP(B217,'Growthrates source'!A$2:H$49,8,FALSE)</f>
        <v>0.12998282689096063</v>
      </c>
      <c r="AP217" s="93">
        <f>VLOOKUP(B217,'Growthrates source'!A$2:I$49,9,FALSE)</f>
        <v>5.4673730437993617E-2</v>
      </c>
      <c r="AQ217" s="86">
        <f t="shared" si="88"/>
        <v>5.7429966487388429</v>
      </c>
      <c r="AR217" s="86">
        <f t="shared" si="89"/>
        <v>12.960632115934398</v>
      </c>
      <c r="AS217" s="94">
        <f t="shared" si="90"/>
        <v>0</v>
      </c>
      <c r="AT217" s="94">
        <f t="shared" si="91"/>
        <v>1.1379521937529926</v>
      </c>
      <c r="AU217" s="94">
        <f t="shared" si="74"/>
        <v>1.0958451452795626</v>
      </c>
      <c r="AV217" s="94">
        <f t="shared" si="75"/>
        <v>1.0958451452795626</v>
      </c>
    </row>
    <row r="218" spans="1:48" x14ac:dyDescent="0.3">
      <c r="A218" s="85" t="str">
        <f>_xlfn.XLOOKUP(B218,'Country codes &amp; Data sources'!G:G,'Country codes &amp; Data sources'!H:H,,0)</f>
        <v>Cape-Verde</v>
      </c>
      <c r="B218" s="85" t="s">
        <v>167</v>
      </c>
      <c r="C218" s="86">
        <v>533876</v>
      </c>
      <c r="D218" s="85" t="s">
        <v>206</v>
      </c>
      <c r="E218" s="87">
        <v>0</v>
      </c>
      <c r="F218" s="88">
        <v>539939.99999999988</v>
      </c>
      <c r="G218" s="87">
        <v>0</v>
      </c>
      <c r="I218" s="87">
        <v>0</v>
      </c>
      <c r="K218" s="87">
        <v>0</v>
      </c>
      <c r="M218" s="87">
        <v>0</v>
      </c>
      <c r="O218" s="87">
        <v>0</v>
      </c>
      <c r="P218" s="88">
        <v>571201.5</v>
      </c>
      <c r="Q218" s="87">
        <v>0</v>
      </c>
      <c r="R218" s="87">
        <f t="shared" si="76"/>
        <v>3</v>
      </c>
      <c r="T218" s="87">
        <v>0</v>
      </c>
      <c r="V218" s="87">
        <v>0</v>
      </c>
      <c r="X218" s="87">
        <v>0</v>
      </c>
      <c r="Y218" s="88">
        <v>593149.50000000012</v>
      </c>
      <c r="Z218" s="87">
        <v>0</v>
      </c>
      <c r="AA218" s="87">
        <v>3</v>
      </c>
      <c r="AB218" s="89">
        <f t="shared" si="77"/>
        <v>0</v>
      </c>
      <c r="AC218" s="89">
        <f t="shared" si="78"/>
        <v>0</v>
      </c>
      <c r="AD218" s="89">
        <f t="shared" si="79"/>
        <v>0</v>
      </c>
      <c r="AF218" s="90" t="str">
        <f t="shared" si="80"/>
        <v/>
      </c>
      <c r="AG218" s="90">
        <f t="shared" si="81"/>
        <v>3</v>
      </c>
      <c r="AH218" s="90" t="str">
        <f t="shared" si="82"/>
        <v>2018 (triag)</v>
      </c>
      <c r="AI218" s="90">
        <f t="shared" si="83"/>
        <v>3</v>
      </c>
      <c r="AJ218" s="90" t="str">
        <f t="shared" si="84"/>
        <v>2018 (triag)</v>
      </c>
      <c r="AK218" s="90" t="str">
        <f t="shared" si="85"/>
        <v/>
      </c>
      <c r="AL218" s="91">
        <f>IF(AK218="Adjust",(_xlfn.XLOOKUP(A218,'Adj factor'!A:A,'Adj factor'!I:I,,0)*AI218),'Master DataSheet (Rev)'!AI218)</f>
        <v>3</v>
      </c>
      <c r="AM218" s="91">
        <f t="shared" si="86"/>
        <v>3</v>
      </c>
      <c r="AN218" s="92" t="str">
        <f t="shared" si="87"/>
        <v>No change</v>
      </c>
      <c r="AO218" s="93">
        <f>VLOOKUP(B218,'Growthrates source'!A$2:H$49,8,FALSE)</f>
        <v>0.12998282689096063</v>
      </c>
      <c r="AP218" s="93">
        <f>VLOOKUP(B218,'Growthrates source'!A$2:I$49,9,FALSE)</f>
        <v>5.4673730437993617E-2</v>
      </c>
      <c r="AQ218" s="86">
        <f t="shared" si="88"/>
        <v>1.5662718132924118</v>
      </c>
      <c r="AR218" s="86">
        <f t="shared" si="89"/>
        <v>3.5347178498002902</v>
      </c>
      <c r="AS218" s="94">
        <f t="shared" si="90"/>
        <v>0</v>
      </c>
      <c r="AT218" s="94">
        <f t="shared" si="91"/>
        <v>5.2520870480907353E-2</v>
      </c>
      <c r="AU218" s="94">
        <f t="shared" si="74"/>
        <v>5.0577468243672118E-2</v>
      </c>
      <c r="AV218" s="94">
        <f t="shared" si="75"/>
        <v>5.0577468243672118E-2</v>
      </c>
    </row>
    <row r="219" spans="1:48" x14ac:dyDescent="0.3">
      <c r="A219" s="85" t="str">
        <f>_xlfn.XLOOKUP(B219,'Country codes &amp; Data sources'!G:G,'Country codes &amp; Data sources'!H:H,,0)</f>
        <v>Cape-Verde</v>
      </c>
      <c r="B219" s="85" t="s">
        <v>167</v>
      </c>
      <c r="C219" s="86">
        <v>533877</v>
      </c>
      <c r="D219" s="85" t="s">
        <v>136</v>
      </c>
      <c r="E219" s="87">
        <v>0</v>
      </c>
      <c r="F219" s="88">
        <v>539939.99999999988</v>
      </c>
      <c r="G219" s="87">
        <v>0</v>
      </c>
      <c r="I219" s="87">
        <v>0</v>
      </c>
      <c r="K219" s="87">
        <v>0</v>
      </c>
      <c r="M219" s="87">
        <v>0</v>
      </c>
      <c r="O219" s="87">
        <v>0</v>
      </c>
      <c r="P219" s="88">
        <v>571201.5</v>
      </c>
      <c r="Q219" s="87">
        <v>0</v>
      </c>
      <c r="R219" s="87">
        <f t="shared" si="76"/>
        <v>27</v>
      </c>
      <c r="T219" s="87">
        <v>0</v>
      </c>
      <c r="V219" s="87">
        <v>0</v>
      </c>
      <c r="X219" s="87">
        <v>0</v>
      </c>
      <c r="Y219" s="88">
        <v>593149.50000000012</v>
      </c>
      <c r="Z219" s="87">
        <v>0</v>
      </c>
      <c r="AA219" s="87">
        <v>27</v>
      </c>
      <c r="AB219" s="89">
        <f t="shared" si="77"/>
        <v>0</v>
      </c>
      <c r="AC219" s="89">
        <f t="shared" si="78"/>
        <v>0</v>
      </c>
      <c r="AD219" s="89">
        <f t="shared" si="79"/>
        <v>0</v>
      </c>
      <c r="AF219" s="90" t="str">
        <f t="shared" si="80"/>
        <v/>
      </c>
      <c r="AG219" s="90">
        <f t="shared" si="81"/>
        <v>27</v>
      </c>
      <c r="AH219" s="90" t="str">
        <f t="shared" si="82"/>
        <v>2018 (triag)</v>
      </c>
      <c r="AI219" s="90">
        <f t="shared" si="83"/>
        <v>27</v>
      </c>
      <c r="AJ219" s="90" t="str">
        <f t="shared" si="84"/>
        <v>2018 (triag)</v>
      </c>
      <c r="AK219" s="90" t="str">
        <f t="shared" si="85"/>
        <v/>
      </c>
      <c r="AL219" s="91">
        <f>IF(AK219="Adjust",(_xlfn.XLOOKUP(A219,'Adj factor'!A:A,'Adj factor'!I:I,,0)*AI219),'Master DataSheet (Rev)'!AI219)</f>
        <v>27</v>
      </c>
      <c r="AM219" s="91">
        <f t="shared" si="86"/>
        <v>27</v>
      </c>
      <c r="AN219" s="92" t="str">
        <f t="shared" si="87"/>
        <v>No change</v>
      </c>
      <c r="AO219" s="93">
        <f>VLOOKUP(B219,'Growthrates source'!A$2:H$49,8,FALSE)</f>
        <v>0.12998282689096063</v>
      </c>
      <c r="AP219" s="93">
        <f>VLOOKUP(B219,'Growthrates source'!A$2:I$49,9,FALSE)</f>
        <v>5.4673730437993617E-2</v>
      </c>
      <c r="AQ219" s="86">
        <f t="shared" si="88"/>
        <v>14.096446319631706</v>
      </c>
      <c r="AR219" s="86">
        <f t="shared" si="89"/>
        <v>31.812460648202613</v>
      </c>
      <c r="AS219" s="94">
        <f t="shared" si="90"/>
        <v>0</v>
      </c>
      <c r="AT219" s="94">
        <f t="shared" si="91"/>
        <v>0.47268783432816613</v>
      </c>
      <c r="AU219" s="94">
        <f t="shared" si="74"/>
        <v>0.45519721419304904</v>
      </c>
      <c r="AV219" s="94">
        <f t="shared" si="75"/>
        <v>0.45519721419304904</v>
      </c>
    </row>
    <row r="220" spans="1:48" x14ac:dyDescent="0.3">
      <c r="A220" s="85" t="str">
        <f>_xlfn.XLOOKUP(B220,'Country codes &amp; Data sources'!G:G,'Country codes &amp; Data sources'!H:H,,0)</f>
        <v>Cape-Verde</v>
      </c>
      <c r="B220" s="85" t="s">
        <v>167</v>
      </c>
      <c r="C220" s="86">
        <v>533878</v>
      </c>
      <c r="D220" s="85" t="s">
        <v>207</v>
      </c>
      <c r="E220" s="87">
        <v>0</v>
      </c>
      <c r="F220" s="88">
        <v>539939.99999999988</v>
      </c>
      <c r="G220" s="87">
        <v>0</v>
      </c>
      <c r="I220" s="87">
        <v>0</v>
      </c>
      <c r="K220" s="87">
        <v>0</v>
      </c>
      <c r="M220" s="87">
        <v>0</v>
      </c>
      <c r="O220" s="87">
        <v>0</v>
      </c>
      <c r="P220" s="88">
        <v>571201.5</v>
      </c>
      <c r="Q220" s="87">
        <v>0</v>
      </c>
      <c r="R220" s="87">
        <f t="shared" si="76"/>
        <v>14</v>
      </c>
      <c r="T220" s="87">
        <v>0</v>
      </c>
      <c r="V220" s="87">
        <v>0</v>
      </c>
      <c r="X220" s="87">
        <v>0</v>
      </c>
      <c r="Y220" s="88">
        <v>593149.50000000012</v>
      </c>
      <c r="Z220" s="87">
        <v>0</v>
      </c>
      <c r="AA220" s="87">
        <v>14</v>
      </c>
      <c r="AB220" s="89">
        <f t="shared" si="77"/>
        <v>0</v>
      </c>
      <c r="AC220" s="89">
        <f t="shared" si="78"/>
        <v>0</v>
      </c>
      <c r="AD220" s="89">
        <f t="shared" si="79"/>
        <v>0</v>
      </c>
      <c r="AF220" s="90" t="str">
        <f t="shared" si="80"/>
        <v/>
      </c>
      <c r="AG220" s="90">
        <f t="shared" si="81"/>
        <v>14</v>
      </c>
      <c r="AH220" s="90" t="str">
        <f t="shared" si="82"/>
        <v>2018 (triag)</v>
      </c>
      <c r="AI220" s="90">
        <f t="shared" si="83"/>
        <v>14</v>
      </c>
      <c r="AJ220" s="90" t="str">
        <f t="shared" si="84"/>
        <v>2018 (triag)</v>
      </c>
      <c r="AK220" s="90" t="str">
        <f t="shared" si="85"/>
        <v/>
      </c>
      <c r="AL220" s="91">
        <f>IF(AK220="Adjust",(_xlfn.XLOOKUP(A220,'Adj factor'!A:A,'Adj factor'!I:I,,0)*AI220),'Master DataSheet (Rev)'!AI220)</f>
        <v>14</v>
      </c>
      <c r="AM220" s="91">
        <f t="shared" si="86"/>
        <v>14</v>
      </c>
      <c r="AN220" s="92" t="str">
        <f t="shared" si="87"/>
        <v>No change</v>
      </c>
      <c r="AO220" s="93">
        <f>VLOOKUP(B220,'Growthrates source'!A$2:H$49,8,FALSE)</f>
        <v>0.12998282689096063</v>
      </c>
      <c r="AP220" s="93">
        <f>VLOOKUP(B220,'Growthrates source'!A$2:I$49,9,FALSE)</f>
        <v>5.4673730437993617E-2</v>
      </c>
      <c r="AQ220" s="86">
        <f t="shared" si="88"/>
        <v>7.3092684620312545</v>
      </c>
      <c r="AR220" s="86">
        <f t="shared" si="89"/>
        <v>16.49534996573469</v>
      </c>
      <c r="AS220" s="94">
        <f t="shared" si="90"/>
        <v>0</v>
      </c>
      <c r="AT220" s="94">
        <f t="shared" si="91"/>
        <v>0.24509739557756763</v>
      </c>
      <c r="AU220" s="94">
        <f t="shared" si="74"/>
        <v>0.23602818513713655</v>
      </c>
      <c r="AV220" s="94">
        <f t="shared" si="75"/>
        <v>0.23602818513713655</v>
      </c>
    </row>
    <row r="221" spans="1:48" x14ac:dyDescent="0.3">
      <c r="A221" s="85" t="str">
        <f>_xlfn.XLOOKUP(B221,'Country codes &amp; Data sources'!G:G,'Country codes &amp; Data sources'!H:H,,0)</f>
        <v>Cape-Verde</v>
      </c>
      <c r="B221" s="85" t="s">
        <v>167</v>
      </c>
      <c r="C221" s="86">
        <v>533879</v>
      </c>
      <c r="D221" s="85" t="s">
        <v>141</v>
      </c>
      <c r="E221" s="87">
        <v>0</v>
      </c>
      <c r="F221" s="88">
        <v>539939.99999999988</v>
      </c>
      <c r="G221" s="87">
        <v>0</v>
      </c>
      <c r="I221" s="87">
        <v>0</v>
      </c>
      <c r="K221" s="87">
        <v>0</v>
      </c>
      <c r="M221" s="87">
        <v>0</v>
      </c>
      <c r="O221" s="87">
        <v>0</v>
      </c>
      <c r="P221" s="88">
        <v>571201.5</v>
      </c>
      <c r="Q221" s="87">
        <v>0</v>
      </c>
      <c r="R221" s="87">
        <f t="shared" si="76"/>
        <v>40</v>
      </c>
      <c r="T221" s="87">
        <v>0</v>
      </c>
      <c r="V221" s="87">
        <v>0</v>
      </c>
      <c r="X221" s="87">
        <v>0</v>
      </c>
      <c r="Y221" s="88">
        <v>593149.50000000012</v>
      </c>
      <c r="Z221" s="87">
        <v>4</v>
      </c>
      <c r="AA221" s="87">
        <v>40</v>
      </c>
      <c r="AB221" s="89">
        <f t="shared" si="77"/>
        <v>0</v>
      </c>
      <c r="AC221" s="89">
        <f t="shared" si="78"/>
        <v>0</v>
      </c>
      <c r="AD221" s="89">
        <f t="shared" si="79"/>
        <v>4</v>
      </c>
      <c r="AF221" s="90" t="str">
        <f t="shared" si="80"/>
        <v/>
      </c>
      <c r="AG221" s="90">
        <f t="shared" si="81"/>
        <v>40</v>
      </c>
      <c r="AH221" s="90" t="str">
        <f t="shared" si="82"/>
        <v>2018 (triag)</v>
      </c>
      <c r="AI221" s="90">
        <f t="shared" si="83"/>
        <v>4</v>
      </c>
      <c r="AJ221" s="90">
        <f t="shared" si="84"/>
        <v>2022</v>
      </c>
      <c r="AK221" s="90" t="str">
        <f t="shared" si="85"/>
        <v>Adjust</v>
      </c>
      <c r="AL221" s="91">
        <f>IF(AK221="Adjust",(_xlfn.XLOOKUP(A221,'Adj factor'!A:A,'Adj factor'!I:I,,0)*AI221),'Master DataSheet (Rev)'!AI221)</f>
        <v>4.9737065309584398</v>
      </c>
      <c r="AM221" s="91">
        <f t="shared" si="86"/>
        <v>40</v>
      </c>
      <c r="AN221" s="92" t="str">
        <f t="shared" si="87"/>
        <v>Decreasing</v>
      </c>
      <c r="AO221" s="93">
        <f>VLOOKUP(B221,'Growthrates source'!A$2:H$49,8,FALSE)</f>
        <v>0.12998282689096063</v>
      </c>
      <c r="AP221" s="93">
        <f>VLOOKUP(B221,'Growthrates source'!A$2:I$49,9,FALSE)</f>
        <v>5.4673730437993617E-2</v>
      </c>
      <c r="AQ221" s="86">
        <f t="shared" si="88"/>
        <v>20.883624177232157</v>
      </c>
      <c r="AR221" s="86">
        <f t="shared" si="89"/>
        <v>47.129571330670537</v>
      </c>
      <c r="AS221" s="94">
        <f t="shared" si="90"/>
        <v>0</v>
      </c>
      <c r="AT221" s="94">
        <f t="shared" si="91"/>
        <v>0.70027827307876467</v>
      </c>
      <c r="AU221" s="94">
        <f t="shared" si="74"/>
        <v>8.3852494707631689E-2</v>
      </c>
      <c r="AV221" s="94">
        <f t="shared" si="75"/>
        <v>0.67436624324896155</v>
      </c>
    </row>
    <row r="222" spans="1:48" x14ac:dyDescent="0.3">
      <c r="A222" s="85" t="str">
        <f>_xlfn.XLOOKUP(B222,'Country codes &amp; Data sources'!G:G,'Country codes &amp; Data sources'!H:H,,0)</f>
        <v>Cape-Verde</v>
      </c>
      <c r="B222" s="85" t="s">
        <v>167</v>
      </c>
      <c r="C222" s="86">
        <v>533880</v>
      </c>
      <c r="D222" s="85" t="s">
        <v>208</v>
      </c>
      <c r="E222" s="87">
        <v>0</v>
      </c>
      <c r="F222" s="88">
        <v>539939.99999999988</v>
      </c>
      <c r="G222" s="87">
        <v>0</v>
      </c>
      <c r="I222" s="87">
        <v>0</v>
      </c>
      <c r="K222" s="87">
        <v>0</v>
      </c>
      <c r="M222" s="87">
        <v>0</v>
      </c>
      <c r="O222" s="87">
        <v>0</v>
      </c>
      <c r="P222" s="88">
        <v>571201.5</v>
      </c>
      <c r="Q222" s="87">
        <v>0</v>
      </c>
      <c r="R222" s="87">
        <f t="shared" si="76"/>
        <v>1357</v>
      </c>
      <c r="T222" s="87">
        <v>0</v>
      </c>
      <c r="V222" s="87">
        <v>0</v>
      </c>
      <c r="X222" s="87">
        <v>0</v>
      </c>
      <c r="Y222" s="88">
        <v>593149.50000000012</v>
      </c>
      <c r="Z222" s="87">
        <v>0</v>
      </c>
      <c r="AA222" s="87">
        <v>1357</v>
      </c>
      <c r="AB222" s="89">
        <f t="shared" si="77"/>
        <v>0</v>
      </c>
      <c r="AC222" s="89">
        <f t="shared" si="78"/>
        <v>0</v>
      </c>
      <c r="AD222" s="89">
        <f t="shared" si="79"/>
        <v>0</v>
      </c>
      <c r="AF222" s="90" t="str">
        <f t="shared" si="80"/>
        <v/>
      </c>
      <c r="AG222" s="90">
        <f t="shared" si="81"/>
        <v>1357</v>
      </c>
      <c r="AH222" s="90" t="str">
        <f t="shared" si="82"/>
        <v>2018 (triag)</v>
      </c>
      <c r="AI222" s="90">
        <f t="shared" si="83"/>
        <v>1357</v>
      </c>
      <c r="AJ222" s="90" t="str">
        <f t="shared" si="84"/>
        <v>2018 (triag)</v>
      </c>
      <c r="AK222" s="90" t="str">
        <f t="shared" si="85"/>
        <v/>
      </c>
      <c r="AL222" s="91">
        <f>IF(AK222="Adjust",(_xlfn.XLOOKUP(A222,'Adj factor'!A:A,'Adj factor'!I:I,,0)*AI222),'Master DataSheet (Rev)'!AI222)</f>
        <v>1357</v>
      </c>
      <c r="AM222" s="91">
        <f t="shared" si="86"/>
        <v>1357</v>
      </c>
      <c r="AN222" s="92" t="str">
        <f t="shared" si="87"/>
        <v>No change</v>
      </c>
      <c r="AO222" s="93">
        <f>VLOOKUP(B222,'Growthrates source'!A$2:H$49,8,FALSE)</f>
        <v>0.12998282689096063</v>
      </c>
      <c r="AP222" s="93">
        <f>VLOOKUP(B222,'Growthrates source'!A$2:I$49,9,FALSE)</f>
        <v>5.4673730437993617E-2</v>
      </c>
      <c r="AQ222" s="86">
        <f t="shared" si="88"/>
        <v>708.47695021260097</v>
      </c>
      <c r="AR222" s="86">
        <f t="shared" si="89"/>
        <v>1598.8707073929979</v>
      </c>
      <c r="AS222" s="94">
        <f t="shared" si="90"/>
        <v>0</v>
      </c>
      <c r="AT222" s="94">
        <f t="shared" si="91"/>
        <v>23.756940414197093</v>
      </c>
      <c r="AU222" s="94">
        <f t="shared" si="74"/>
        <v>22.877874802221022</v>
      </c>
      <c r="AV222" s="94">
        <f t="shared" si="75"/>
        <v>22.877874802221022</v>
      </c>
    </row>
    <row r="223" spans="1:48" x14ac:dyDescent="0.3">
      <c r="A223" s="85" t="str">
        <f>_xlfn.XLOOKUP(B223,'Country codes &amp; Data sources'!G:G,'Country codes &amp; Data sources'!H:H,,0)</f>
        <v>Cape-Verde</v>
      </c>
      <c r="B223" s="85" t="s">
        <v>167</v>
      </c>
      <c r="C223" s="86">
        <v>533881</v>
      </c>
      <c r="D223" s="85" t="s">
        <v>209</v>
      </c>
      <c r="E223" s="87">
        <v>0</v>
      </c>
      <c r="F223" s="88">
        <v>539939.99999999988</v>
      </c>
      <c r="G223" s="87">
        <v>0</v>
      </c>
      <c r="I223" s="87">
        <v>0</v>
      </c>
      <c r="K223" s="87">
        <v>0</v>
      </c>
      <c r="M223" s="87">
        <v>0</v>
      </c>
      <c r="O223" s="87">
        <v>0</v>
      </c>
      <c r="P223" s="88">
        <v>571201.5</v>
      </c>
      <c r="Q223" s="87">
        <v>0</v>
      </c>
      <c r="R223" s="87">
        <f t="shared" si="76"/>
        <v>95</v>
      </c>
      <c r="T223" s="87">
        <v>0</v>
      </c>
      <c r="V223" s="87">
        <v>0</v>
      </c>
      <c r="X223" s="87">
        <v>0</v>
      </c>
      <c r="Y223" s="88">
        <v>593149.50000000012</v>
      </c>
      <c r="Z223" s="87">
        <v>0</v>
      </c>
      <c r="AA223" s="87">
        <v>95</v>
      </c>
      <c r="AB223" s="89">
        <f t="shared" si="77"/>
        <v>0</v>
      </c>
      <c r="AC223" s="89">
        <f t="shared" si="78"/>
        <v>0</v>
      </c>
      <c r="AD223" s="89">
        <f t="shared" si="79"/>
        <v>0</v>
      </c>
      <c r="AF223" s="90" t="str">
        <f t="shared" si="80"/>
        <v/>
      </c>
      <c r="AG223" s="90">
        <f t="shared" si="81"/>
        <v>95</v>
      </c>
      <c r="AH223" s="90" t="str">
        <f t="shared" si="82"/>
        <v>2018 (triag)</v>
      </c>
      <c r="AI223" s="90">
        <f t="shared" si="83"/>
        <v>95</v>
      </c>
      <c r="AJ223" s="90" t="str">
        <f t="shared" si="84"/>
        <v>2018 (triag)</v>
      </c>
      <c r="AK223" s="90" t="str">
        <f t="shared" si="85"/>
        <v/>
      </c>
      <c r="AL223" s="91">
        <f>IF(AK223="Adjust",(_xlfn.XLOOKUP(A223,'Adj factor'!A:A,'Adj factor'!I:I,,0)*AI223),'Master DataSheet (Rev)'!AI223)</f>
        <v>95</v>
      </c>
      <c r="AM223" s="91">
        <f t="shared" si="86"/>
        <v>95</v>
      </c>
      <c r="AN223" s="92" t="str">
        <f t="shared" si="87"/>
        <v>No change</v>
      </c>
      <c r="AO223" s="93">
        <f>VLOOKUP(B223,'Growthrates source'!A$2:H$49,8,FALSE)</f>
        <v>0.12998282689096063</v>
      </c>
      <c r="AP223" s="93">
        <f>VLOOKUP(B223,'Growthrates source'!A$2:I$49,9,FALSE)</f>
        <v>5.4673730437993617E-2</v>
      </c>
      <c r="AQ223" s="86">
        <f t="shared" si="88"/>
        <v>49.598607420926371</v>
      </c>
      <c r="AR223" s="86">
        <f t="shared" si="89"/>
        <v>111.93273191034253</v>
      </c>
      <c r="AS223" s="94">
        <f t="shared" si="90"/>
        <v>0</v>
      </c>
      <c r="AT223" s="94">
        <f t="shared" si="91"/>
        <v>1.6631608985620661</v>
      </c>
      <c r="AU223" s="94">
        <f t="shared" si="74"/>
        <v>1.6016198277162836</v>
      </c>
      <c r="AV223" s="94">
        <f t="shared" si="75"/>
        <v>1.6016198277162836</v>
      </c>
    </row>
    <row r="224" spans="1:48" x14ac:dyDescent="0.3">
      <c r="A224" s="85" t="str">
        <f>_xlfn.XLOOKUP(B224,'Country codes &amp; Data sources'!G:G,'Country codes &amp; Data sources'!H:H,,0)</f>
        <v>Cape-Verde</v>
      </c>
      <c r="B224" s="85" t="s">
        <v>167</v>
      </c>
      <c r="C224" s="86">
        <v>533882</v>
      </c>
      <c r="D224" s="85" t="s">
        <v>134</v>
      </c>
      <c r="E224" s="87">
        <v>0</v>
      </c>
      <c r="F224" s="88">
        <v>539939.99999999988</v>
      </c>
      <c r="G224" s="87">
        <v>0</v>
      </c>
      <c r="I224" s="87">
        <v>0</v>
      </c>
      <c r="K224" s="87">
        <v>0</v>
      </c>
      <c r="M224" s="87">
        <v>0</v>
      </c>
      <c r="O224" s="87">
        <v>0</v>
      </c>
      <c r="P224" s="88">
        <v>571201.5</v>
      </c>
      <c r="Q224" s="87">
        <v>0</v>
      </c>
      <c r="R224" s="87">
        <f t="shared" si="76"/>
        <v>65</v>
      </c>
      <c r="T224" s="87">
        <v>0</v>
      </c>
      <c r="V224" s="87">
        <v>0</v>
      </c>
      <c r="X224" s="87">
        <v>0</v>
      </c>
      <c r="Y224" s="88">
        <v>593149.50000000012</v>
      </c>
      <c r="Z224" s="87">
        <v>0</v>
      </c>
      <c r="AA224" s="87">
        <v>65</v>
      </c>
      <c r="AB224" s="89">
        <f t="shared" si="77"/>
        <v>0</v>
      </c>
      <c r="AC224" s="89">
        <f t="shared" si="78"/>
        <v>0</v>
      </c>
      <c r="AD224" s="89">
        <f t="shared" si="79"/>
        <v>0</v>
      </c>
      <c r="AF224" s="90" t="str">
        <f t="shared" si="80"/>
        <v/>
      </c>
      <c r="AG224" s="90">
        <f t="shared" si="81"/>
        <v>65</v>
      </c>
      <c r="AH224" s="90" t="str">
        <f t="shared" si="82"/>
        <v>2018 (triag)</v>
      </c>
      <c r="AI224" s="90">
        <f t="shared" si="83"/>
        <v>65</v>
      </c>
      <c r="AJ224" s="90" t="str">
        <f t="shared" si="84"/>
        <v>2018 (triag)</v>
      </c>
      <c r="AK224" s="90" t="str">
        <f t="shared" si="85"/>
        <v/>
      </c>
      <c r="AL224" s="91">
        <f>IF(AK224="Adjust",(_xlfn.XLOOKUP(A224,'Adj factor'!A:A,'Adj factor'!I:I,,0)*AI224),'Master DataSheet (Rev)'!AI224)</f>
        <v>65</v>
      </c>
      <c r="AM224" s="91">
        <f t="shared" si="86"/>
        <v>65</v>
      </c>
      <c r="AN224" s="92" t="str">
        <f t="shared" si="87"/>
        <v>No change</v>
      </c>
      <c r="AO224" s="93">
        <f>VLOOKUP(B224,'Growthrates source'!A$2:H$49,8,FALSE)</f>
        <v>0.12998282689096063</v>
      </c>
      <c r="AP224" s="93">
        <f>VLOOKUP(B224,'Growthrates source'!A$2:I$49,9,FALSE)</f>
        <v>5.4673730437993617E-2</v>
      </c>
      <c r="AQ224" s="86">
        <f t="shared" si="88"/>
        <v>33.935889288002258</v>
      </c>
      <c r="AR224" s="86">
        <f t="shared" si="89"/>
        <v>76.585553412339621</v>
      </c>
      <c r="AS224" s="94">
        <f t="shared" si="90"/>
        <v>0</v>
      </c>
      <c r="AT224" s="94">
        <f t="shared" si="91"/>
        <v>1.1379521937529926</v>
      </c>
      <c r="AU224" s="94">
        <f t="shared" si="74"/>
        <v>1.0958451452795626</v>
      </c>
      <c r="AV224" s="94">
        <f t="shared" si="75"/>
        <v>1.0958451452795626</v>
      </c>
    </row>
    <row r="225" spans="1:48" x14ac:dyDescent="0.3">
      <c r="A225" s="85" t="str">
        <f>_xlfn.XLOOKUP(B225,'Country codes &amp; Data sources'!G:G,'Country codes &amp; Data sources'!H:H,,0)</f>
        <v>Cape-Verde</v>
      </c>
      <c r="B225" s="85" t="s">
        <v>167</v>
      </c>
      <c r="C225" s="86">
        <v>533883</v>
      </c>
      <c r="D225" s="85" t="s">
        <v>142</v>
      </c>
      <c r="E225" s="87">
        <v>0</v>
      </c>
      <c r="F225" s="88">
        <v>539939.99999999988</v>
      </c>
      <c r="G225" s="87">
        <v>0</v>
      </c>
      <c r="I225" s="87">
        <v>0</v>
      </c>
      <c r="K225" s="87">
        <v>0</v>
      </c>
      <c r="M225" s="87">
        <v>0</v>
      </c>
      <c r="O225" s="87">
        <v>0</v>
      </c>
      <c r="P225" s="88">
        <v>571201.5</v>
      </c>
      <c r="Q225" s="87">
        <v>0</v>
      </c>
      <c r="R225" s="87">
        <f t="shared" si="76"/>
        <v>0</v>
      </c>
      <c r="T225" s="87">
        <v>0</v>
      </c>
      <c r="V225" s="87">
        <v>0</v>
      </c>
      <c r="X225" s="87">
        <v>0</v>
      </c>
      <c r="Y225" s="88">
        <v>593149.50000000012</v>
      </c>
      <c r="Z225" s="87">
        <v>0</v>
      </c>
      <c r="AA225" s="87">
        <v>0</v>
      </c>
      <c r="AB225" s="89">
        <f t="shared" si="77"/>
        <v>0</v>
      </c>
      <c r="AC225" s="89">
        <f t="shared" si="78"/>
        <v>0</v>
      </c>
      <c r="AD225" s="89">
        <f t="shared" si="79"/>
        <v>0</v>
      </c>
      <c r="AF225" s="90" t="str">
        <f t="shared" si="80"/>
        <v/>
      </c>
      <c r="AH225" s="90" t="str">
        <f t="shared" si="82"/>
        <v/>
      </c>
      <c r="AI225" s="90">
        <f t="shared" si="83"/>
        <v>0</v>
      </c>
      <c r="AJ225" s="90" t="str">
        <f t="shared" si="84"/>
        <v/>
      </c>
      <c r="AK225" s="90" t="str">
        <f t="shared" si="85"/>
        <v/>
      </c>
      <c r="AL225" s="91"/>
      <c r="AM225" s="91">
        <f t="shared" si="86"/>
        <v>0</v>
      </c>
      <c r="AN225" s="92" t="str">
        <f t="shared" si="87"/>
        <v>No change</v>
      </c>
      <c r="AO225" s="93">
        <f>VLOOKUP(B225,'Growthrates source'!A$2:H$49,8,FALSE)</f>
        <v>0.12998282689096063</v>
      </c>
      <c r="AP225" s="93">
        <f>VLOOKUP(B225,'Growthrates source'!A$2:I$49,9,FALSE)</f>
        <v>5.4673730437993617E-2</v>
      </c>
      <c r="AQ225" s="86">
        <f t="shared" si="88"/>
        <v>0</v>
      </c>
      <c r="AR225" s="86">
        <f t="shared" si="89"/>
        <v>0</v>
      </c>
      <c r="AS225" s="94">
        <f t="shared" si="90"/>
        <v>0</v>
      </c>
      <c r="AT225" s="94">
        <f t="shared" si="91"/>
        <v>0</v>
      </c>
      <c r="AU225" s="94">
        <f t="shared" si="74"/>
        <v>0</v>
      </c>
      <c r="AV225" s="94">
        <f t="shared" si="75"/>
        <v>0</v>
      </c>
    </row>
    <row r="226" spans="1:48" x14ac:dyDescent="0.3">
      <c r="A226" s="85" t="str">
        <f>_xlfn.XLOOKUP(B226,'Country codes &amp; Data sources'!G:G,'Country codes &amp; Data sources'!H:H,,0)</f>
        <v>Cape-Verde</v>
      </c>
      <c r="B226" s="85" t="s">
        <v>167</v>
      </c>
      <c r="C226" s="86">
        <v>533884</v>
      </c>
      <c r="D226" s="85" t="s">
        <v>83</v>
      </c>
      <c r="E226" s="87">
        <v>0</v>
      </c>
      <c r="F226" s="88">
        <v>539939.99999999988</v>
      </c>
      <c r="G226" s="87">
        <v>0</v>
      </c>
      <c r="I226" s="87">
        <v>0</v>
      </c>
      <c r="K226" s="87">
        <v>0</v>
      </c>
      <c r="M226" s="87">
        <v>0</v>
      </c>
      <c r="O226" s="87">
        <v>0</v>
      </c>
      <c r="P226" s="88">
        <v>571201.5</v>
      </c>
      <c r="Q226" s="87">
        <v>0</v>
      </c>
      <c r="R226" s="87">
        <f t="shared" si="76"/>
        <v>58</v>
      </c>
      <c r="T226" s="87">
        <v>0</v>
      </c>
      <c r="V226" s="87">
        <v>0</v>
      </c>
      <c r="X226" s="87">
        <v>0</v>
      </c>
      <c r="Y226" s="88">
        <v>593149.50000000012</v>
      </c>
      <c r="Z226" s="87">
        <v>10</v>
      </c>
      <c r="AA226" s="87">
        <v>58</v>
      </c>
      <c r="AB226" s="89">
        <f t="shared" si="77"/>
        <v>0</v>
      </c>
      <c r="AC226" s="89">
        <f t="shared" si="78"/>
        <v>0</v>
      </c>
      <c r="AD226" s="89">
        <f t="shared" si="79"/>
        <v>10</v>
      </c>
      <c r="AF226" s="90" t="str">
        <f t="shared" si="80"/>
        <v/>
      </c>
      <c r="AG226" s="90">
        <f t="shared" si="81"/>
        <v>58</v>
      </c>
      <c r="AH226" s="90" t="str">
        <f t="shared" si="82"/>
        <v>2018 (triag)</v>
      </c>
      <c r="AI226" s="90">
        <f t="shared" si="83"/>
        <v>10</v>
      </c>
      <c r="AJ226" s="90">
        <f t="shared" si="84"/>
        <v>2022</v>
      </c>
      <c r="AK226" s="90" t="str">
        <f t="shared" si="85"/>
        <v>Adjust</v>
      </c>
      <c r="AL226" s="91">
        <f>IF(AK226="Adjust",(_xlfn.XLOOKUP(A226,'Adj factor'!A:A,'Adj factor'!I:I,,0)*AI226),'Master DataSheet (Rev)'!AI226)</f>
        <v>12.434266327396099</v>
      </c>
      <c r="AM226" s="91">
        <f t="shared" si="86"/>
        <v>58</v>
      </c>
      <c r="AN226" s="92" t="str">
        <f t="shared" si="87"/>
        <v>Decreasing</v>
      </c>
      <c r="AO226" s="93">
        <f>VLOOKUP(B226,'Growthrates source'!A$2:H$49,8,FALSE)</f>
        <v>0.12998282689096063</v>
      </c>
      <c r="AP226" s="93">
        <f>VLOOKUP(B226,'Growthrates source'!A$2:I$49,9,FALSE)</f>
        <v>5.4673730437993617E-2</v>
      </c>
      <c r="AQ226" s="86">
        <f t="shared" si="88"/>
        <v>30.281255056986627</v>
      </c>
      <c r="AR226" s="86">
        <f t="shared" si="89"/>
        <v>68.337878429472283</v>
      </c>
      <c r="AS226" s="94">
        <f t="shared" si="90"/>
        <v>0</v>
      </c>
      <c r="AT226" s="94">
        <f t="shared" si="91"/>
        <v>1.0154034959642089</v>
      </c>
      <c r="AU226" s="94">
        <f t="shared" si="74"/>
        <v>0.20963123676907924</v>
      </c>
      <c r="AV226" s="94">
        <f t="shared" si="75"/>
        <v>0.97783105271099424</v>
      </c>
    </row>
    <row r="227" spans="1:48" x14ac:dyDescent="0.3">
      <c r="A227" s="85" t="str">
        <f>_xlfn.XLOOKUP(B227,'Country codes &amp; Data sources'!G:G,'Country codes &amp; Data sources'!H:H,,0)</f>
        <v>Cape-Verde</v>
      </c>
      <c r="B227" s="85" t="s">
        <v>167</v>
      </c>
      <c r="C227" s="86">
        <v>533885</v>
      </c>
      <c r="D227" s="85" t="s">
        <v>84</v>
      </c>
      <c r="E227" s="87">
        <v>0</v>
      </c>
      <c r="F227" s="88">
        <v>539939.99999999988</v>
      </c>
      <c r="G227" s="87">
        <v>0</v>
      </c>
      <c r="I227" s="87">
        <v>0</v>
      </c>
      <c r="K227" s="87">
        <v>0</v>
      </c>
      <c r="M227" s="87">
        <v>0</v>
      </c>
      <c r="O227" s="87">
        <v>0</v>
      </c>
      <c r="P227" s="88">
        <v>571201.5</v>
      </c>
      <c r="Q227" s="87">
        <v>0</v>
      </c>
      <c r="R227" s="87">
        <f t="shared" si="76"/>
        <v>0</v>
      </c>
      <c r="T227" s="87">
        <v>0</v>
      </c>
      <c r="V227" s="87">
        <v>0</v>
      </c>
      <c r="X227" s="87">
        <v>0</v>
      </c>
      <c r="Y227" s="88">
        <v>593149.50000000012</v>
      </c>
      <c r="Z227" s="87">
        <v>0</v>
      </c>
      <c r="AA227" s="87">
        <v>0</v>
      </c>
      <c r="AB227" s="89">
        <f t="shared" si="77"/>
        <v>0</v>
      </c>
      <c r="AC227" s="89">
        <f t="shared" si="78"/>
        <v>0</v>
      </c>
      <c r="AD227" s="89">
        <f t="shared" si="79"/>
        <v>0</v>
      </c>
      <c r="AF227" s="90" t="str">
        <f t="shared" si="80"/>
        <v/>
      </c>
      <c r="AH227" s="90" t="str">
        <f t="shared" si="82"/>
        <v/>
      </c>
      <c r="AI227" s="90">
        <f t="shared" si="83"/>
        <v>0</v>
      </c>
      <c r="AJ227" s="90" t="str">
        <f t="shared" si="84"/>
        <v/>
      </c>
      <c r="AK227" s="90" t="str">
        <f t="shared" si="85"/>
        <v/>
      </c>
      <c r="AL227" s="91"/>
      <c r="AM227" s="91">
        <f t="shared" si="86"/>
        <v>0</v>
      </c>
      <c r="AN227" s="92" t="str">
        <f t="shared" si="87"/>
        <v>No change</v>
      </c>
      <c r="AO227" s="93">
        <f>VLOOKUP(B227,'Growthrates source'!A$2:H$49,8,FALSE)</f>
        <v>0.12998282689096063</v>
      </c>
      <c r="AP227" s="93">
        <f>VLOOKUP(B227,'Growthrates source'!A$2:I$49,9,FALSE)</f>
        <v>5.4673730437993617E-2</v>
      </c>
      <c r="AQ227" s="86">
        <f t="shared" si="88"/>
        <v>0</v>
      </c>
      <c r="AR227" s="86">
        <f t="shared" si="89"/>
        <v>0</v>
      </c>
      <c r="AS227" s="94">
        <f t="shared" si="90"/>
        <v>0</v>
      </c>
      <c r="AT227" s="94">
        <f t="shared" si="91"/>
        <v>0</v>
      </c>
      <c r="AU227" s="94">
        <f t="shared" si="74"/>
        <v>0</v>
      </c>
      <c r="AV227" s="94">
        <f t="shared" si="75"/>
        <v>0</v>
      </c>
    </row>
    <row r="228" spans="1:48" x14ac:dyDescent="0.3">
      <c r="A228" s="85" t="str">
        <f>_xlfn.XLOOKUP(B228,'Country codes &amp; Data sources'!G:G,'Country codes &amp; Data sources'!H:H,,0)</f>
        <v>Cape-Verde</v>
      </c>
      <c r="B228" s="85" t="s">
        <v>167</v>
      </c>
      <c r="C228" s="86">
        <v>533886</v>
      </c>
      <c r="D228" s="85" t="s">
        <v>126</v>
      </c>
      <c r="E228" s="87">
        <v>0</v>
      </c>
      <c r="F228" s="88">
        <v>539939.99999999988</v>
      </c>
      <c r="G228" s="87">
        <v>0</v>
      </c>
      <c r="I228" s="87">
        <v>0</v>
      </c>
      <c r="K228" s="87">
        <v>0</v>
      </c>
      <c r="M228" s="87">
        <v>0</v>
      </c>
      <c r="O228" s="87">
        <v>0</v>
      </c>
      <c r="P228" s="88">
        <v>571201.5</v>
      </c>
      <c r="Q228" s="87">
        <v>0</v>
      </c>
      <c r="R228" s="87">
        <f t="shared" si="76"/>
        <v>0</v>
      </c>
      <c r="T228" s="87">
        <v>0</v>
      </c>
      <c r="V228" s="87">
        <v>0</v>
      </c>
      <c r="X228" s="87">
        <v>0</v>
      </c>
      <c r="Y228" s="88">
        <v>593149.50000000012</v>
      </c>
      <c r="Z228" s="87">
        <v>0</v>
      </c>
      <c r="AA228" s="87">
        <v>0</v>
      </c>
      <c r="AB228" s="89">
        <f t="shared" si="77"/>
        <v>0</v>
      </c>
      <c r="AC228" s="89">
        <f t="shared" si="78"/>
        <v>0</v>
      </c>
      <c r="AD228" s="89">
        <f t="shared" si="79"/>
        <v>0</v>
      </c>
      <c r="AF228" s="90" t="str">
        <f t="shared" si="80"/>
        <v/>
      </c>
      <c r="AH228" s="90" t="str">
        <f t="shared" si="82"/>
        <v/>
      </c>
      <c r="AI228" s="90">
        <f t="shared" si="83"/>
        <v>0</v>
      </c>
      <c r="AJ228" s="90" t="str">
        <f t="shared" si="84"/>
        <v/>
      </c>
      <c r="AK228" s="90" t="str">
        <f t="shared" si="85"/>
        <v/>
      </c>
      <c r="AL228" s="91"/>
      <c r="AM228" s="91">
        <f t="shared" si="86"/>
        <v>0</v>
      </c>
      <c r="AN228" s="92" t="str">
        <f t="shared" si="87"/>
        <v>No change</v>
      </c>
      <c r="AO228" s="93">
        <f>VLOOKUP(B228,'Growthrates source'!A$2:H$49,8,FALSE)</f>
        <v>0.12998282689096063</v>
      </c>
      <c r="AP228" s="93">
        <f>VLOOKUP(B228,'Growthrates source'!A$2:I$49,9,FALSE)</f>
        <v>5.4673730437993617E-2</v>
      </c>
      <c r="AQ228" s="86">
        <f t="shared" si="88"/>
        <v>0</v>
      </c>
      <c r="AR228" s="86">
        <f t="shared" si="89"/>
        <v>0</v>
      </c>
      <c r="AS228" s="94">
        <f t="shared" si="90"/>
        <v>0</v>
      </c>
      <c r="AT228" s="94">
        <f t="shared" si="91"/>
        <v>0</v>
      </c>
      <c r="AU228" s="94">
        <f t="shared" si="74"/>
        <v>0</v>
      </c>
      <c r="AV228" s="94">
        <f t="shared" si="75"/>
        <v>0</v>
      </c>
    </row>
    <row r="229" spans="1:48" x14ac:dyDescent="0.3">
      <c r="A229" s="85" t="str">
        <f>_xlfn.XLOOKUP(B229,'Country codes &amp; Data sources'!G:G,'Country codes &amp; Data sources'!H:H,,0)</f>
        <v>Cape-Verde</v>
      </c>
      <c r="B229" s="85" t="s">
        <v>167</v>
      </c>
      <c r="C229" s="86">
        <v>533887</v>
      </c>
      <c r="D229" s="85" t="s">
        <v>87</v>
      </c>
      <c r="E229" s="87">
        <v>0</v>
      </c>
      <c r="F229" s="88">
        <v>539939.99999999988</v>
      </c>
      <c r="G229" s="87">
        <v>0</v>
      </c>
      <c r="I229" s="87">
        <v>0</v>
      </c>
      <c r="K229" s="87">
        <v>0</v>
      </c>
      <c r="M229" s="87">
        <v>0</v>
      </c>
      <c r="O229" s="87">
        <v>0</v>
      </c>
      <c r="P229" s="88">
        <v>571201.5</v>
      </c>
      <c r="Q229" s="87">
        <v>0</v>
      </c>
      <c r="R229" s="87">
        <f t="shared" si="76"/>
        <v>1</v>
      </c>
      <c r="T229" s="87">
        <v>0</v>
      </c>
      <c r="V229" s="87">
        <v>0</v>
      </c>
      <c r="X229" s="87">
        <v>0</v>
      </c>
      <c r="Y229" s="88">
        <v>593149.50000000012</v>
      </c>
      <c r="Z229" s="87">
        <v>0</v>
      </c>
      <c r="AA229" s="87">
        <v>1</v>
      </c>
      <c r="AB229" s="89">
        <f t="shared" si="77"/>
        <v>0</v>
      </c>
      <c r="AC229" s="89">
        <f t="shared" si="78"/>
        <v>0</v>
      </c>
      <c r="AD229" s="89">
        <f t="shared" si="79"/>
        <v>0</v>
      </c>
      <c r="AF229" s="90" t="str">
        <f t="shared" si="80"/>
        <v/>
      </c>
      <c r="AG229" s="90">
        <f t="shared" si="81"/>
        <v>1</v>
      </c>
      <c r="AH229" s="90" t="str">
        <f t="shared" si="82"/>
        <v>2018 (triag)</v>
      </c>
      <c r="AI229" s="90">
        <f t="shared" si="83"/>
        <v>1</v>
      </c>
      <c r="AJ229" s="90" t="str">
        <f t="shared" si="84"/>
        <v>2018 (triag)</v>
      </c>
      <c r="AK229" s="90" t="str">
        <f t="shared" si="85"/>
        <v/>
      </c>
      <c r="AL229" s="91">
        <f>IF(AK229="Adjust",(_xlfn.XLOOKUP(A229,'Adj factor'!A:A,'Adj factor'!I:I,,0)*AI229),'Master DataSheet (Rev)'!AI229)</f>
        <v>1</v>
      </c>
      <c r="AM229" s="91">
        <f t="shared" si="86"/>
        <v>1</v>
      </c>
      <c r="AN229" s="92" t="str">
        <f t="shared" si="87"/>
        <v>No change</v>
      </c>
      <c r="AO229" s="93">
        <f>VLOOKUP(B229,'Growthrates source'!A$2:H$49,8,FALSE)</f>
        <v>0.12998282689096063</v>
      </c>
      <c r="AP229" s="93">
        <f>VLOOKUP(B229,'Growthrates source'!A$2:I$49,9,FALSE)</f>
        <v>5.4673730437993617E-2</v>
      </c>
      <c r="AQ229" s="86">
        <f t="shared" si="88"/>
        <v>0.52209060443080391</v>
      </c>
      <c r="AR229" s="86">
        <f t="shared" si="89"/>
        <v>1.1782392832667634</v>
      </c>
      <c r="AS229" s="94">
        <f t="shared" si="90"/>
        <v>0</v>
      </c>
      <c r="AT229" s="94">
        <f t="shared" si="91"/>
        <v>1.7506956826969115E-2</v>
      </c>
      <c r="AU229" s="94">
        <f t="shared" si="74"/>
        <v>1.6859156081224038E-2</v>
      </c>
      <c r="AV229" s="94">
        <f t="shared" si="75"/>
        <v>1.6859156081224038E-2</v>
      </c>
    </row>
    <row r="230" spans="1:48" x14ac:dyDescent="0.3">
      <c r="A230" s="85" t="str">
        <f>_xlfn.XLOOKUP(B230,'Country codes &amp; Data sources'!G:G,'Country codes &amp; Data sources'!H:H,,0)</f>
        <v>Algeria</v>
      </c>
      <c r="B230" s="85" t="s">
        <v>161</v>
      </c>
      <c r="C230" s="86">
        <v>37260567.5</v>
      </c>
      <c r="D230" s="85" t="s">
        <v>127</v>
      </c>
      <c r="E230" s="87">
        <v>0</v>
      </c>
      <c r="F230" s="88">
        <v>38000626.500000022</v>
      </c>
      <c r="G230" s="87">
        <v>0</v>
      </c>
      <c r="I230" s="87">
        <v>0</v>
      </c>
      <c r="K230" s="87">
        <v>0</v>
      </c>
      <c r="M230" s="87">
        <v>0</v>
      </c>
      <c r="O230" s="87">
        <v>0</v>
      </c>
      <c r="P230" s="88">
        <v>41927007.000000007</v>
      </c>
      <c r="Q230" s="87">
        <v>0</v>
      </c>
      <c r="R230" s="87">
        <f t="shared" si="76"/>
        <v>0</v>
      </c>
      <c r="T230" s="87">
        <v>0</v>
      </c>
      <c r="V230" s="87">
        <v>0</v>
      </c>
      <c r="X230" s="87">
        <v>0</v>
      </c>
      <c r="Y230" s="88">
        <v>44903225.000000007</v>
      </c>
      <c r="Z230" s="87">
        <v>0</v>
      </c>
      <c r="AA230" s="87">
        <v>0</v>
      </c>
      <c r="AB230" s="89">
        <f t="shared" si="77"/>
        <v>0</v>
      </c>
      <c r="AC230" s="89">
        <f t="shared" si="78"/>
        <v>0</v>
      </c>
      <c r="AD230" s="89">
        <f t="shared" si="79"/>
        <v>0</v>
      </c>
      <c r="AF230" s="90" t="str">
        <f t="shared" si="80"/>
        <v/>
      </c>
      <c r="AH230" s="90" t="str">
        <f t="shared" si="82"/>
        <v/>
      </c>
      <c r="AI230" s="90">
        <f t="shared" si="83"/>
        <v>0</v>
      </c>
      <c r="AJ230" s="90" t="str">
        <f t="shared" si="84"/>
        <v/>
      </c>
      <c r="AK230" s="90" t="str">
        <f t="shared" si="85"/>
        <v/>
      </c>
      <c r="AL230" s="91"/>
      <c r="AM230" s="91">
        <f t="shared" si="86"/>
        <v>0</v>
      </c>
      <c r="AN230" s="92" t="str">
        <f t="shared" si="87"/>
        <v>No change</v>
      </c>
      <c r="AO230" s="93">
        <f>VLOOKUP(B230,'Growthrates source'!A$2:H$49,8,FALSE)</f>
        <v>-5.6467842638671772E-2</v>
      </c>
      <c r="AP230" s="93">
        <f>VLOOKUP(B230,'Growthrates source'!A$2:I$49,9,FALSE)</f>
        <v>0.17775588866414749</v>
      </c>
      <c r="AQ230" s="86">
        <f t="shared" si="88"/>
        <v>0</v>
      </c>
      <c r="AR230" s="86">
        <f t="shared" si="89"/>
        <v>0</v>
      </c>
      <c r="AS230" s="94">
        <f t="shared" si="90"/>
        <v>0</v>
      </c>
      <c r="AT230" s="94">
        <f t="shared" si="91"/>
        <v>0</v>
      </c>
      <c r="AU230" s="94">
        <f t="shared" si="74"/>
        <v>0</v>
      </c>
      <c r="AV230" s="94">
        <f t="shared" si="75"/>
        <v>0</v>
      </c>
    </row>
    <row r="231" spans="1:48" x14ac:dyDescent="0.3">
      <c r="A231" s="85" t="str">
        <f>_xlfn.XLOOKUP(B231,'Country codes &amp; Data sources'!G:G,'Country codes &amp; Data sources'!H:H,,0)</f>
        <v>Algeria</v>
      </c>
      <c r="B231" s="85" t="s">
        <v>161</v>
      </c>
      <c r="C231" s="86">
        <v>37260568.5</v>
      </c>
      <c r="D231" s="85" t="s">
        <v>61</v>
      </c>
      <c r="E231" s="87">
        <v>20</v>
      </c>
      <c r="F231" s="88">
        <v>38000626.500000022</v>
      </c>
      <c r="G231" s="87">
        <v>1</v>
      </c>
      <c r="I231" s="87">
        <v>0</v>
      </c>
      <c r="K231" s="87">
        <v>0</v>
      </c>
      <c r="M231" s="87">
        <v>0</v>
      </c>
      <c r="O231" s="87">
        <v>0</v>
      </c>
      <c r="P231" s="88">
        <v>41927007.000000007</v>
      </c>
      <c r="Q231" s="87">
        <v>0</v>
      </c>
      <c r="R231" s="87">
        <f t="shared" si="76"/>
        <v>381</v>
      </c>
      <c r="T231" s="87">
        <v>7</v>
      </c>
      <c r="V231" s="87">
        <v>0</v>
      </c>
      <c r="X231" s="87">
        <v>0</v>
      </c>
      <c r="Y231" s="88">
        <v>44903225.000000007</v>
      </c>
      <c r="Z231" s="87">
        <v>0</v>
      </c>
      <c r="AA231" s="87">
        <v>381</v>
      </c>
      <c r="AB231" s="89">
        <f t="shared" si="77"/>
        <v>20</v>
      </c>
      <c r="AC231" s="89">
        <f t="shared" si="78"/>
        <v>7</v>
      </c>
      <c r="AD231" s="89">
        <f t="shared" si="79"/>
        <v>0</v>
      </c>
      <c r="AE231" s="90">
        <f t="shared" si="92"/>
        <v>1</v>
      </c>
      <c r="AF231" s="90">
        <f t="shared" si="80"/>
        <v>2013</v>
      </c>
      <c r="AG231" s="90">
        <f t="shared" si="81"/>
        <v>381</v>
      </c>
      <c r="AH231" s="90" t="str">
        <f t="shared" si="82"/>
        <v>2018 (triag)</v>
      </c>
      <c r="AI231" s="90">
        <f t="shared" si="83"/>
        <v>7</v>
      </c>
      <c r="AJ231" s="90" t="str">
        <f t="shared" si="84"/>
        <v>2018 (triag)</v>
      </c>
      <c r="AK231" s="90" t="str">
        <f t="shared" si="85"/>
        <v>Adjust</v>
      </c>
      <c r="AL231" s="91">
        <f>IF(AK231="Adjust",(_xlfn.XLOOKUP(A231,'Adj factor'!A:A,'Adj factor'!I:I,,0)*AI231),'Master DataSheet (Rev)'!AI231)</f>
        <v>7.9790405895099754</v>
      </c>
      <c r="AM231" s="91">
        <f t="shared" si="86"/>
        <v>381</v>
      </c>
      <c r="AN231" s="92" t="str">
        <f t="shared" si="87"/>
        <v>Decreasing</v>
      </c>
      <c r="AO231" s="93">
        <f>VLOOKUP(B231,'Growthrates source'!A$2:H$49,8,FALSE)</f>
        <v>-5.6467842638671772E-2</v>
      </c>
      <c r="AP231" s="93">
        <f>VLOOKUP(B231,'Growthrates source'!A$2:I$49,9,FALSE)</f>
        <v>0.17775588866414749</v>
      </c>
      <c r="AQ231" s="86">
        <f t="shared" si="88"/>
        <v>505.29306532160189</v>
      </c>
      <c r="AR231" s="86">
        <f t="shared" si="89"/>
        <v>649.41180714122345</v>
      </c>
      <c r="AS231" s="94">
        <f t="shared" si="90"/>
        <v>2.6315355616571203E-4</v>
      </c>
      <c r="AT231" s="94">
        <f t="shared" si="91"/>
        <v>9.0872215133314893E-2</v>
      </c>
      <c r="AU231" s="94">
        <f t="shared" si="74"/>
        <v>1.7769415425083553E-3</v>
      </c>
      <c r="AV231" s="94">
        <f t="shared" si="75"/>
        <v>8.4849139454905506E-2</v>
      </c>
    </row>
    <row r="232" spans="1:48" x14ac:dyDescent="0.3">
      <c r="A232" s="85" t="str">
        <f>_xlfn.XLOOKUP(B232,'Country codes &amp; Data sources'!G:G,'Country codes &amp; Data sources'!H:H,,0)</f>
        <v>Algeria</v>
      </c>
      <c r="B232" s="85" t="s">
        <v>161</v>
      </c>
      <c r="C232" s="86">
        <v>37260569.5</v>
      </c>
      <c r="D232" s="85" t="s">
        <v>62</v>
      </c>
      <c r="E232" s="87">
        <v>199</v>
      </c>
      <c r="F232" s="88">
        <v>38000626.500000022</v>
      </c>
      <c r="G232" s="87">
        <v>0</v>
      </c>
      <c r="I232" s="87">
        <v>0</v>
      </c>
      <c r="K232" s="87">
        <v>0</v>
      </c>
      <c r="M232" s="87">
        <v>304</v>
      </c>
      <c r="O232" s="87">
        <v>0</v>
      </c>
      <c r="P232" s="88">
        <v>41927007.000000007</v>
      </c>
      <c r="Q232" s="87">
        <v>0</v>
      </c>
      <c r="R232" s="87">
        <f t="shared" si="76"/>
        <v>1249</v>
      </c>
      <c r="T232" s="87">
        <v>20</v>
      </c>
      <c r="V232" s="87">
        <v>0</v>
      </c>
      <c r="X232" s="87">
        <v>0</v>
      </c>
      <c r="Y232" s="88">
        <v>44903225.000000007</v>
      </c>
      <c r="Z232" s="87">
        <v>0</v>
      </c>
      <c r="AA232" s="87">
        <v>1249</v>
      </c>
      <c r="AB232" s="89">
        <f t="shared" si="77"/>
        <v>199</v>
      </c>
      <c r="AC232" s="89">
        <f t="shared" si="78"/>
        <v>304</v>
      </c>
      <c r="AD232" s="89">
        <f t="shared" si="79"/>
        <v>0</v>
      </c>
      <c r="AE232" s="90">
        <f t="shared" si="92"/>
        <v>199</v>
      </c>
      <c r="AF232" s="90">
        <f t="shared" si="80"/>
        <v>2012</v>
      </c>
      <c r="AG232" s="90">
        <f t="shared" si="81"/>
        <v>1249</v>
      </c>
      <c r="AH232" s="90" t="str">
        <f t="shared" si="82"/>
        <v>2018 (triag)</v>
      </c>
      <c r="AI232" s="90">
        <f t="shared" si="83"/>
        <v>20</v>
      </c>
      <c r="AJ232" s="90" t="str">
        <f t="shared" si="84"/>
        <v>2018 (triag)</v>
      </c>
      <c r="AK232" s="90" t="str">
        <f t="shared" si="85"/>
        <v>Adjust</v>
      </c>
      <c r="AL232" s="91">
        <f>IF(AK232="Adjust",(_xlfn.XLOOKUP(A232,'Adj factor'!A:A,'Adj factor'!I:I,,0)*AI232),'Master DataSheet (Rev)'!AI232)</f>
        <v>22.797258827171358</v>
      </c>
      <c r="AM232" s="91">
        <f t="shared" si="86"/>
        <v>1249</v>
      </c>
      <c r="AN232" s="92" t="str">
        <f t="shared" si="87"/>
        <v>Decreasing</v>
      </c>
      <c r="AO232" s="93">
        <f>VLOOKUP(B232,'Growthrates source'!A$2:H$49,8,FALSE)</f>
        <v>-5.6467842638671772E-2</v>
      </c>
      <c r="AP232" s="93">
        <f>VLOOKUP(B232,'Growthrates source'!A$2:I$49,9,FALSE)</f>
        <v>0.17775588866414749</v>
      </c>
      <c r="AQ232" s="86">
        <f t="shared" si="88"/>
        <v>1656.4594188626791</v>
      </c>
      <c r="AR232" s="86">
        <f t="shared" si="89"/>
        <v>2128.9116722293652</v>
      </c>
      <c r="AS232" s="94">
        <f t="shared" si="90"/>
        <v>5.2367557676976692E-2</v>
      </c>
      <c r="AT232" s="94">
        <f t="shared" si="91"/>
        <v>0.29789867900658873</v>
      </c>
      <c r="AU232" s="94">
        <f t="shared" si="74"/>
        <v>5.0769758357381576E-3</v>
      </c>
      <c r="AV232" s="94">
        <f t="shared" si="75"/>
        <v>0.2781537406277611</v>
      </c>
    </row>
    <row r="233" spans="1:48" x14ac:dyDescent="0.3">
      <c r="A233" s="85" t="str">
        <f>_xlfn.XLOOKUP(B233,'Country codes &amp; Data sources'!G:G,'Country codes &amp; Data sources'!H:H,,0)</f>
        <v>Algeria</v>
      </c>
      <c r="B233" s="85" t="s">
        <v>161</v>
      </c>
      <c r="C233" s="86">
        <v>37260570.5</v>
      </c>
      <c r="D233" s="85" t="s">
        <v>203</v>
      </c>
      <c r="E233" s="87">
        <v>0</v>
      </c>
      <c r="F233" s="88">
        <v>38000626.500000022</v>
      </c>
      <c r="G233" s="87">
        <v>0</v>
      </c>
      <c r="I233" s="87">
        <v>0</v>
      </c>
      <c r="K233" s="87">
        <v>0</v>
      </c>
      <c r="M233" s="87">
        <v>0</v>
      </c>
      <c r="O233" s="87">
        <v>0</v>
      </c>
      <c r="P233" s="88">
        <v>41927007.000000007</v>
      </c>
      <c r="Q233" s="87">
        <v>42507</v>
      </c>
      <c r="R233" s="87">
        <f t="shared" si="76"/>
        <v>42507</v>
      </c>
      <c r="T233" s="87">
        <v>0</v>
      </c>
      <c r="V233" s="87">
        <v>0</v>
      </c>
      <c r="X233" s="87">
        <v>0</v>
      </c>
      <c r="Y233" s="88">
        <v>44903225.000000007</v>
      </c>
      <c r="Z233" s="87">
        <v>0</v>
      </c>
      <c r="AA233" s="87">
        <v>41461</v>
      </c>
      <c r="AB233" s="89">
        <f t="shared" si="77"/>
        <v>0</v>
      </c>
      <c r="AC233" s="89">
        <f t="shared" si="78"/>
        <v>42507</v>
      </c>
      <c r="AD233" s="89">
        <f t="shared" si="79"/>
        <v>0</v>
      </c>
      <c r="AF233" s="90" t="str">
        <f t="shared" si="80"/>
        <v/>
      </c>
      <c r="AG233" s="90">
        <f t="shared" si="81"/>
        <v>42507</v>
      </c>
      <c r="AH233" s="90">
        <f t="shared" si="82"/>
        <v>2018</v>
      </c>
      <c r="AI233" s="90">
        <f t="shared" si="83"/>
        <v>42507</v>
      </c>
      <c r="AJ233" s="90">
        <f t="shared" si="84"/>
        <v>2018</v>
      </c>
      <c r="AK233" s="90" t="str">
        <f t="shared" si="85"/>
        <v/>
      </c>
      <c r="AL233" s="91">
        <f>IF(AK233="Adjust",(_xlfn.XLOOKUP(A233,'Adj factor'!A:A,'Adj factor'!I:I,,0)*AI233),'Master DataSheet (Rev)'!AI233)</f>
        <v>42507</v>
      </c>
      <c r="AM233" s="91">
        <f t="shared" si="86"/>
        <v>42507</v>
      </c>
      <c r="AN233" s="92" t="str">
        <f t="shared" si="87"/>
        <v>No change</v>
      </c>
      <c r="AO233" s="93">
        <f>VLOOKUP(B233,'Growthrates source'!A$2:H$49,8,FALSE)</f>
        <v>-5.6467842638671772E-2</v>
      </c>
      <c r="AP233" s="93">
        <f>VLOOKUP(B233,'Growthrates source'!A$2:I$49,9,FALSE)</f>
        <v>0.17775588866414749</v>
      </c>
      <c r="AQ233" s="86">
        <f t="shared" si="88"/>
        <v>54986.760580837101</v>
      </c>
      <c r="AR233" s="86">
        <f t="shared" si="89"/>
        <v>70669.981459008573</v>
      </c>
      <c r="AS233" s="94">
        <f t="shared" si="90"/>
        <v>0</v>
      </c>
      <c r="AT233" s="94">
        <f t="shared" si="91"/>
        <v>10.138333986015265</v>
      </c>
      <c r="AU233" s="94">
        <f t="shared" si="74"/>
        <v>9.4663579286343005</v>
      </c>
      <c r="AV233" s="94">
        <f t="shared" si="75"/>
        <v>9.4663579286343005</v>
      </c>
    </row>
    <row r="234" spans="1:48" x14ac:dyDescent="0.3">
      <c r="A234" s="85" t="str">
        <f>_xlfn.XLOOKUP(B234,'Country codes &amp; Data sources'!G:G,'Country codes &amp; Data sources'!H:H,,0)</f>
        <v>Algeria</v>
      </c>
      <c r="B234" s="85" t="s">
        <v>161</v>
      </c>
      <c r="C234" s="86">
        <v>37260571.5</v>
      </c>
      <c r="D234" s="85" t="s">
        <v>204</v>
      </c>
      <c r="E234" s="87">
        <v>0</v>
      </c>
      <c r="F234" s="88">
        <v>38000626.500000022</v>
      </c>
      <c r="G234" s="87">
        <v>0</v>
      </c>
      <c r="I234" s="87">
        <v>0</v>
      </c>
      <c r="K234" s="87">
        <v>0</v>
      </c>
      <c r="M234" s="87">
        <v>0</v>
      </c>
      <c r="O234" s="87">
        <v>0</v>
      </c>
      <c r="P234" s="88">
        <v>41927007.000000007</v>
      </c>
      <c r="Q234" s="87">
        <v>900</v>
      </c>
      <c r="R234" s="87">
        <f t="shared" si="76"/>
        <v>10838</v>
      </c>
      <c r="T234" s="87">
        <v>0</v>
      </c>
      <c r="V234" s="87">
        <v>0</v>
      </c>
      <c r="X234" s="87">
        <v>0</v>
      </c>
      <c r="Y234" s="88">
        <v>44903225.000000007</v>
      </c>
      <c r="Z234" s="87">
        <v>0</v>
      </c>
      <c r="AA234" s="87">
        <v>10838</v>
      </c>
      <c r="AB234" s="89">
        <f t="shared" si="77"/>
        <v>0</v>
      </c>
      <c r="AC234" s="89">
        <f t="shared" si="78"/>
        <v>900</v>
      </c>
      <c r="AD234" s="89">
        <f t="shared" si="79"/>
        <v>0</v>
      </c>
      <c r="AF234" s="90" t="str">
        <f t="shared" si="80"/>
        <v/>
      </c>
      <c r="AG234" s="90">
        <f t="shared" si="81"/>
        <v>10838</v>
      </c>
      <c r="AH234" s="90" t="str">
        <f t="shared" si="82"/>
        <v>2018 (triag)</v>
      </c>
      <c r="AI234" s="90">
        <f t="shared" si="83"/>
        <v>10838</v>
      </c>
      <c r="AJ234" s="90" t="str">
        <f t="shared" si="84"/>
        <v>2018 (triag)</v>
      </c>
      <c r="AK234" s="90" t="str">
        <f t="shared" si="85"/>
        <v/>
      </c>
      <c r="AL234" s="91">
        <f>IF(AK234="Adjust",(_xlfn.XLOOKUP(A234,'Adj factor'!A:A,'Adj factor'!I:I,,0)*AI234),'Master DataSheet (Rev)'!AI234)</f>
        <v>10838</v>
      </c>
      <c r="AM234" s="91">
        <f t="shared" si="86"/>
        <v>10838</v>
      </c>
      <c r="AN234" s="92" t="str">
        <f t="shared" si="87"/>
        <v>No change</v>
      </c>
      <c r="AO234" s="93">
        <f>VLOOKUP(B234,'Growthrates source'!A$2:H$49,8,FALSE)</f>
        <v>-5.6467842638671772E-2</v>
      </c>
      <c r="AP234" s="93">
        <f>VLOOKUP(B234,'Growthrates source'!A$2:I$49,9,FALSE)</f>
        <v>0.17775588866414749</v>
      </c>
      <c r="AQ234" s="86">
        <f t="shared" si="88"/>
        <v>14373.664677048611</v>
      </c>
      <c r="AR234" s="86">
        <f t="shared" si="89"/>
        <v>18473.294398416219</v>
      </c>
      <c r="AS234" s="94">
        <f t="shared" si="90"/>
        <v>0</v>
      </c>
      <c r="AT234" s="94">
        <f t="shared" si="91"/>
        <v>2.5849686814038497</v>
      </c>
      <c r="AU234" s="94">
        <f t="shared" si="74"/>
        <v>2.4136351008195955</v>
      </c>
      <c r="AV234" s="94">
        <f t="shared" si="75"/>
        <v>2.4136351008195955</v>
      </c>
    </row>
    <row r="235" spans="1:48" x14ac:dyDescent="0.3">
      <c r="A235" s="85" t="str">
        <f>_xlfn.XLOOKUP(B235,'Country codes &amp; Data sources'!G:G,'Country codes &amp; Data sources'!H:H,,0)</f>
        <v>Algeria</v>
      </c>
      <c r="B235" s="85" t="s">
        <v>161</v>
      </c>
      <c r="C235" s="86">
        <v>37260572.5</v>
      </c>
      <c r="D235" s="85" t="s">
        <v>205</v>
      </c>
      <c r="E235" s="87">
        <v>0</v>
      </c>
      <c r="F235" s="88">
        <v>38000626.500000022</v>
      </c>
      <c r="G235" s="87">
        <v>0</v>
      </c>
      <c r="I235" s="87">
        <v>0</v>
      </c>
      <c r="K235" s="87">
        <v>0</v>
      </c>
      <c r="M235" s="87">
        <v>0</v>
      </c>
      <c r="O235" s="87">
        <v>521</v>
      </c>
      <c r="P235" s="88">
        <v>41927007.000000007</v>
      </c>
      <c r="Q235" s="87">
        <v>836</v>
      </c>
      <c r="R235" s="87">
        <f t="shared" si="76"/>
        <v>836</v>
      </c>
      <c r="T235" s="87">
        <v>0</v>
      </c>
      <c r="V235" s="87">
        <v>0</v>
      </c>
      <c r="X235" s="87">
        <v>0</v>
      </c>
      <c r="Y235" s="88">
        <v>44903225.000000007</v>
      </c>
      <c r="Z235" s="87">
        <v>0</v>
      </c>
      <c r="AA235" s="87">
        <v>663</v>
      </c>
      <c r="AB235" s="89">
        <f t="shared" si="77"/>
        <v>0</v>
      </c>
      <c r="AC235" s="89">
        <f t="shared" si="78"/>
        <v>836</v>
      </c>
      <c r="AD235" s="89">
        <f t="shared" si="79"/>
        <v>0</v>
      </c>
      <c r="AF235" s="90" t="str">
        <f t="shared" si="80"/>
        <v/>
      </c>
      <c r="AG235" s="90">
        <f t="shared" si="81"/>
        <v>836</v>
      </c>
      <c r="AH235" s="90">
        <f t="shared" si="82"/>
        <v>2018</v>
      </c>
      <c r="AI235" s="90">
        <f t="shared" si="83"/>
        <v>836</v>
      </c>
      <c r="AJ235" s="90">
        <f t="shared" si="84"/>
        <v>2018</v>
      </c>
      <c r="AK235" s="90" t="str">
        <f t="shared" si="85"/>
        <v/>
      </c>
      <c r="AL235" s="91">
        <f>IF(AK235="Adjust",(_xlfn.XLOOKUP(A235,'Adj factor'!A:A,'Adj factor'!I:I,,0)*AI235),'Master DataSheet (Rev)'!AI235)</f>
        <v>836</v>
      </c>
      <c r="AM235" s="91">
        <f t="shared" si="86"/>
        <v>836</v>
      </c>
      <c r="AN235" s="92" t="str">
        <f t="shared" si="87"/>
        <v>No change</v>
      </c>
      <c r="AO235" s="93">
        <f>VLOOKUP(B235,'Growthrates source'!A$2:H$49,8,FALSE)</f>
        <v>-5.6467842638671772E-2</v>
      </c>
      <c r="AP235" s="93">
        <f>VLOOKUP(B235,'Growthrates source'!A$2:I$49,9,FALSE)</f>
        <v>0.17775588866414749</v>
      </c>
      <c r="AQ235" s="86">
        <f t="shared" si="88"/>
        <v>879.28950737066157</v>
      </c>
      <c r="AR235" s="86">
        <f t="shared" si="89"/>
        <v>1130.0788140016566</v>
      </c>
      <c r="AS235" s="94">
        <f t="shared" si="90"/>
        <v>0</v>
      </c>
      <c r="AT235" s="94">
        <f t="shared" si="91"/>
        <v>0.19939415184107939</v>
      </c>
      <c r="AU235" s="94">
        <f t="shared" si="74"/>
        <v>0.18617816426325723</v>
      </c>
      <c r="AV235" s="94">
        <f t="shared" si="75"/>
        <v>0.18617816426325723</v>
      </c>
    </row>
    <row r="236" spans="1:48" x14ac:dyDescent="0.3">
      <c r="A236" s="85" t="str">
        <f>_xlfn.XLOOKUP(B236,'Country codes &amp; Data sources'!G:G,'Country codes &amp; Data sources'!H:H,,0)</f>
        <v>Algeria</v>
      </c>
      <c r="B236" s="85" t="s">
        <v>161</v>
      </c>
      <c r="C236" s="86">
        <v>37260573.5</v>
      </c>
      <c r="D236" s="85" t="s">
        <v>133</v>
      </c>
      <c r="E236" s="87">
        <v>0</v>
      </c>
      <c r="F236" s="88">
        <v>38000626.500000022</v>
      </c>
      <c r="G236" s="87">
        <v>0</v>
      </c>
      <c r="I236" s="87">
        <v>0</v>
      </c>
      <c r="K236" s="87">
        <v>0</v>
      </c>
      <c r="M236" s="87">
        <v>0</v>
      </c>
      <c r="O236" s="87">
        <v>0</v>
      </c>
      <c r="P236" s="88">
        <v>41927007.000000007</v>
      </c>
      <c r="Q236" s="87">
        <v>136</v>
      </c>
      <c r="R236" s="87">
        <f t="shared" si="76"/>
        <v>136</v>
      </c>
      <c r="T236" s="87">
        <v>0</v>
      </c>
      <c r="V236" s="87">
        <v>0</v>
      </c>
      <c r="X236" s="87">
        <v>0</v>
      </c>
      <c r="Y236" s="88">
        <v>44903225.000000007</v>
      </c>
      <c r="Z236" s="87">
        <v>0</v>
      </c>
      <c r="AA236" s="87">
        <v>0</v>
      </c>
      <c r="AB236" s="89">
        <f t="shared" si="77"/>
        <v>0</v>
      </c>
      <c r="AC236" s="89">
        <f t="shared" si="78"/>
        <v>136</v>
      </c>
      <c r="AD236" s="89">
        <f t="shared" si="79"/>
        <v>0</v>
      </c>
      <c r="AF236" s="90" t="str">
        <f t="shared" si="80"/>
        <v/>
      </c>
      <c r="AG236" s="90">
        <f t="shared" si="81"/>
        <v>136</v>
      </c>
      <c r="AH236" s="90">
        <f t="shared" si="82"/>
        <v>2018</v>
      </c>
      <c r="AI236" s="90">
        <f t="shared" si="83"/>
        <v>136</v>
      </c>
      <c r="AJ236" s="90">
        <f t="shared" si="84"/>
        <v>2018</v>
      </c>
      <c r="AK236" s="90" t="str">
        <f t="shared" si="85"/>
        <v/>
      </c>
      <c r="AL236" s="91">
        <f>IF(AK236="Adjust",(_xlfn.XLOOKUP(A236,'Adj factor'!A:A,'Adj factor'!I:I,,0)*AI236),'Master DataSheet (Rev)'!AI236)</f>
        <v>136</v>
      </c>
      <c r="AM236" s="91">
        <f t="shared" si="86"/>
        <v>136</v>
      </c>
      <c r="AN236" s="92" t="str">
        <f t="shared" si="87"/>
        <v>No change</v>
      </c>
      <c r="AO236" s="93">
        <f>VLOOKUP(B236,'Growthrates source'!A$2:H$49,8,FALSE)</f>
        <v>-5.6467842638671772E-2</v>
      </c>
      <c r="AP236" s="93">
        <f>VLOOKUP(B236,'Growthrates source'!A$2:I$49,9,FALSE)</f>
        <v>0.17775588866414749</v>
      </c>
      <c r="AQ236" s="86">
        <f t="shared" si="88"/>
        <v>0</v>
      </c>
      <c r="AR236" s="86">
        <f t="shared" si="89"/>
        <v>0</v>
      </c>
      <c r="AS236" s="94">
        <f t="shared" si="90"/>
        <v>0</v>
      </c>
      <c r="AT236" s="94">
        <f t="shared" si="91"/>
        <v>3.243732613682631E-2</v>
      </c>
      <c r="AU236" s="94">
        <f t="shared" si="74"/>
        <v>3.0287356865793043E-2</v>
      </c>
      <c r="AV236" s="94">
        <f t="shared" si="75"/>
        <v>3.0287356865793043E-2</v>
      </c>
    </row>
    <row r="237" spans="1:48" x14ac:dyDescent="0.3">
      <c r="A237" s="85" t="str">
        <f>_xlfn.XLOOKUP(B237,'Country codes &amp; Data sources'!G:G,'Country codes &amp; Data sources'!H:H,,0)</f>
        <v>Algeria</v>
      </c>
      <c r="B237" s="85" t="s">
        <v>161</v>
      </c>
      <c r="C237" s="86">
        <v>37260574.5</v>
      </c>
      <c r="D237" s="85" t="s">
        <v>206</v>
      </c>
      <c r="E237" s="87">
        <v>0</v>
      </c>
      <c r="F237" s="88">
        <v>38000626.500000022</v>
      </c>
      <c r="G237" s="87">
        <v>0</v>
      </c>
      <c r="I237" s="87">
        <v>0</v>
      </c>
      <c r="K237" s="87">
        <v>0</v>
      </c>
      <c r="M237" s="87">
        <v>0</v>
      </c>
      <c r="O237" s="87">
        <v>0</v>
      </c>
      <c r="P237" s="88">
        <v>41927007.000000007</v>
      </c>
      <c r="Q237" s="87">
        <v>2148</v>
      </c>
      <c r="R237" s="87">
        <f t="shared" si="76"/>
        <v>2227</v>
      </c>
      <c r="T237" s="87">
        <v>0</v>
      </c>
      <c r="V237" s="87">
        <v>0</v>
      </c>
      <c r="X237" s="87">
        <v>0</v>
      </c>
      <c r="Y237" s="88">
        <v>44903225.000000007</v>
      </c>
      <c r="Z237" s="87">
        <v>0</v>
      </c>
      <c r="AA237" s="87">
        <v>2227</v>
      </c>
      <c r="AB237" s="89">
        <f t="shared" si="77"/>
        <v>0</v>
      </c>
      <c r="AC237" s="89">
        <f t="shared" si="78"/>
        <v>2148</v>
      </c>
      <c r="AD237" s="89">
        <f t="shared" si="79"/>
        <v>0</v>
      </c>
      <c r="AF237" s="90" t="str">
        <f t="shared" si="80"/>
        <v/>
      </c>
      <c r="AG237" s="90">
        <f t="shared" si="81"/>
        <v>2227</v>
      </c>
      <c r="AH237" s="90" t="str">
        <f t="shared" si="82"/>
        <v>2018 (triag)</v>
      </c>
      <c r="AI237" s="90">
        <f t="shared" si="83"/>
        <v>2227</v>
      </c>
      <c r="AJ237" s="90" t="str">
        <f t="shared" si="84"/>
        <v>2018 (triag)</v>
      </c>
      <c r="AK237" s="90" t="str">
        <f t="shared" si="85"/>
        <v/>
      </c>
      <c r="AL237" s="91">
        <f>IF(AK237="Adjust",(_xlfn.XLOOKUP(A237,'Adj factor'!A:A,'Adj factor'!I:I,,0)*AI237),'Master DataSheet (Rev)'!AI237)</f>
        <v>2227</v>
      </c>
      <c r="AM237" s="91">
        <f t="shared" si="86"/>
        <v>2227</v>
      </c>
      <c r="AN237" s="92" t="str">
        <f t="shared" si="87"/>
        <v>No change</v>
      </c>
      <c r="AO237" s="93">
        <f>VLOOKUP(B237,'Growthrates source'!A$2:H$49,8,FALSE)</f>
        <v>-5.6467842638671772E-2</v>
      </c>
      <c r="AP237" s="93">
        <f>VLOOKUP(B237,'Growthrates source'!A$2:I$49,9,FALSE)</f>
        <v>0.17775588866414749</v>
      </c>
      <c r="AQ237" s="86">
        <f t="shared" si="88"/>
        <v>2953.5109093732476</v>
      </c>
      <c r="AR237" s="86">
        <f t="shared" si="89"/>
        <v>3795.9057598517184</v>
      </c>
      <c r="AS237" s="94">
        <f t="shared" si="90"/>
        <v>0</v>
      </c>
      <c r="AT237" s="94">
        <f t="shared" si="91"/>
        <v>0.53116121549053086</v>
      </c>
      <c r="AU237" s="94">
        <f t="shared" si="74"/>
        <v>0.49595546867736107</v>
      </c>
      <c r="AV237" s="94">
        <f t="shared" si="75"/>
        <v>0.49595546867736107</v>
      </c>
    </row>
    <row r="238" spans="1:48" x14ac:dyDescent="0.3">
      <c r="A238" s="85" t="str">
        <f>_xlfn.XLOOKUP(B238,'Country codes &amp; Data sources'!G:G,'Country codes &amp; Data sources'!H:H,,0)</f>
        <v>Algeria</v>
      </c>
      <c r="B238" s="85" t="s">
        <v>161</v>
      </c>
      <c r="C238" s="86">
        <v>37260575.5</v>
      </c>
      <c r="D238" s="85" t="s">
        <v>136</v>
      </c>
      <c r="E238" s="87">
        <v>0</v>
      </c>
      <c r="F238" s="88">
        <v>38000626.500000022</v>
      </c>
      <c r="G238" s="87">
        <v>0</v>
      </c>
      <c r="I238" s="87">
        <v>0</v>
      </c>
      <c r="K238" s="87">
        <v>0</v>
      </c>
      <c r="M238" s="87">
        <v>0</v>
      </c>
      <c r="O238" s="87">
        <v>0</v>
      </c>
      <c r="P238" s="88">
        <v>41927007.000000007</v>
      </c>
      <c r="Q238" s="87">
        <v>6245</v>
      </c>
      <c r="R238" s="87">
        <f t="shared" si="76"/>
        <v>6245</v>
      </c>
      <c r="T238" s="87">
        <v>0</v>
      </c>
      <c r="V238" s="87">
        <v>0</v>
      </c>
      <c r="X238" s="87">
        <v>0</v>
      </c>
      <c r="Y238" s="88">
        <v>44903225.000000007</v>
      </c>
      <c r="Z238" s="87">
        <v>0</v>
      </c>
      <c r="AA238" s="87">
        <v>6176</v>
      </c>
      <c r="AB238" s="89">
        <f t="shared" si="77"/>
        <v>0</v>
      </c>
      <c r="AC238" s="89">
        <f t="shared" si="78"/>
        <v>6245</v>
      </c>
      <c r="AD238" s="89">
        <f t="shared" si="79"/>
        <v>0</v>
      </c>
      <c r="AF238" s="90" t="str">
        <f t="shared" si="80"/>
        <v/>
      </c>
      <c r="AG238" s="90">
        <f t="shared" si="81"/>
        <v>6245</v>
      </c>
      <c r="AH238" s="90">
        <f t="shared" si="82"/>
        <v>2018</v>
      </c>
      <c r="AI238" s="90">
        <f t="shared" si="83"/>
        <v>6245</v>
      </c>
      <c r="AJ238" s="90">
        <f t="shared" si="84"/>
        <v>2018</v>
      </c>
      <c r="AK238" s="90" t="str">
        <f t="shared" si="85"/>
        <v/>
      </c>
      <c r="AL238" s="91">
        <f>IF(AK238="Adjust",(_xlfn.XLOOKUP(A238,'Adj factor'!A:A,'Adj factor'!I:I,,0)*AI238),'Master DataSheet (Rev)'!AI238)</f>
        <v>6245</v>
      </c>
      <c r="AM238" s="91">
        <f t="shared" si="86"/>
        <v>6245</v>
      </c>
      <c r="AN238" s="92" t="str">
        <f t="shared" si="87"/>
        <v>No change</v>
      </c>
      <c r="AO238" s="93">
        <f>VLOOKUP(B238,'Growthrates source'!A$2:H$49,8,FALSE)</f>
        <v>-5.6467842638671772E-2</v>
      </c>
      <c r="AP238" s="93">
        <f>VLOOKUP(B238,'Growthrates source'!A$2:I$49,9,FALSE)</f>
        <v>0.17775588866414749</v>
      </c>
      <c r="AQ238" s="86">
        <f t="shared" si="88"/>
        <v>8190.7873265779872</v>
      </c>
      <c r="AR238" s="86">
        <f t="shared" si="89"/>
        <v>10526.948348829912</v>
      </c>
      <c r="AS238" s="94">
        <f t="shared" si="90"/>
        <v>0</v>
      </c>
      <c r="AT238" s="94">
        <f t="shared" si="91"/>
        <v>1.4894933950329436</v>
      </c>
      <c r="AU238" s="94">
        <f t="shared" si="74"/>
        <v>1.3907687031388054</v>
      </c>
      <c r="AV238" s="94">
        <f t="shared" si="75"/>
        <v>1.3907687031388054</v>
      </c>
    </row>
    <row r="239" spans="1:48" x14ac:dyDescent="0.3">
      <c r="A239" s="85" t="str">
        <f>_xlfn.XLOOKUP(B239,'Country codes &amp; Data sources'!G:G,'Country codes &amp; Data sources'!H:H,,0)</f>
        <v>Algeria</v>
      </c>
      <c r="B239" s="85" t="s">
        <v>161</v>
      </c>
      <c r="C239" s="86">
        <v>37260576.5</v>
      </c>
      <c r="D239" s="85" t="s">
        <v>207</v>
      </c>
      <c r="E239" s="87">
        <v>0</v>
      </c>
      <c r="F239" s="88">
        <v>38000626.500000022</v>
      </c>
      <c r="G239" s="87">
        <v>0</v>
      </c>
      <c r="I239" s="87">
        <v>0</v>
      </c>
      <c r="K239" s="87">
        <v>0</v>
      </c>
      <c r="M239" s="87">
        <v>0</v>
      </c>
      <c r="O239" s="87">
        <v>0</v>
      </c>
      <c r="P239" s="88">
        <v>41927007.000000007</v>
      </c>
      <c r="Q239" s="87">
        <v>0</v>
      </c>
      <c r="R239" s="87">
        <f t="shared" si="76"/>
        <v>610</v>
      </c>
      <c r="T239" s="87">
        <v>0</v>
      </c>
      <c r="V239" s="87">
        <v>0</v>
      </c>
      <c r="X239" s="87">
        <v>0</v>
      </c>
      <c r="Y239" s="88">
        <v>44903225.000000007</v>
      </c>
      <c r="Z239" s="87">
        <v>0</v>
      </c>
      <c r="AA239" s="87">
        <v>610</v>
      </c>
      <c r="AB239" s="89">
        <f t="shared" si="77"/>
        <v>0</v>
      </c>
      <c r="AC239" s="89">
        <f t="shared" si="78"/>
        <v>0</v>
      </c>
      <c r="AD239" s="89">
        <f t="shared" si="79"/>
        <v>0</v>
      </c>
      <c r="AF239" s="90" t="str">
        <f t="shared" si="80"/>
        <v/>
      </c>
      <c r="AG239" s="90">
        <f t="shared" si="81"/>
        <v>610</v>
      </c>
      <c r="AH239" s="90" t="str">
        <f t="shared" si="82"/>
        <v>2018 (triag)</v>
      </c>
      <c r="AI239" s="90">
        <f t="shared" si="83"/>
        <v>610</v>
      </c>
      <c r="AJ239" s="90" t="str">
        <f t="shared" si="84"/>
        <v>2018 (triag)</v>
      </c>
      <c r="AK239" s="90" t="str">
        <f t="shared" si="85"/>
        <v/>
      </c>
      <c r="AL239" s="91">
        <f>IF(AK239="Adjust",(_xlfn.XLOOKUP(A239,'Adj factor'!A:A,'Adj factor'!I:I,,0)*AI239),'Master DataSheet (Rev)'!AI239)</f>
        <v>610</v>
      </c>
      <c r="AM239" s="91">
        <f t="shared" si="86"/>
        <v>610</v>
      </c>
      <c r="AN239" s="92" t="str">
        <f t="shared" si="87"/>
        <v>No change</v>
      </c>
      <c r="AO239" s="93">
        <f>VLOOKUP(B239,'Growthrates source'!A$2:H$49,8,FALSE)</f>
        <v>-5.6467842638671772E-2</v>
      </c>
      <c r="AP239" s="93">
        <f>VLOOKUP(B239,'Growthrates source'!A$2:I$49,9,FALSE)</f>
        <v>0.17775588866414749</v>
      </c>
      <c r="AQ239" s="86">
        <f t="shared" si="88"/>
        <v>808.99939592172473</v>
      </c>
      <c r="AR239" s="86">
        <f t="shared" si="89"/>
        <v>1039.7406885988094</v>
      </c>
      <c r="AS239" s="94">
        <f t="shared" si="90"/>
        <v>0</v>
      </c>
      <c r="AT239" s="94">
        <f t="shared" si="91"/>
        <v>0.14549094811370625</v>
      </c>
      <c r="AU239" s="94">
        <f t="shared" si="74"/>
        <v>0.1358477035892188</v>
      </c>
      <c r="AV239" s="94">
        <f t="shared" si="75"/>
        <v>0.1358477035892188</v>
      </c>
    </row>
    <row r="240" spans="1:48" x14ac:dyDescent="0.3">
      <c r="A240" s="85" t="str">
        <f>_xlfn.XLOOKUP(B240,'Country codes &amp; Data sources'!G:G,'Country codes &amp; Data sources'!H:H,,0)</f>
        <v>Algeria</v>
      </c>
      <c r="B240" s="85" t="s">
        <v>161</v>
      </c>
      <c r="C240" s="86">
        <v>37260577.5</v>
      </c>
      <c r="D240" s="85" t="s">
        <v>141</v>
      </c>
      <c r="E240" s="87">
        <v>0</v>
      </c>
      <c r="F240" s="88">
        <v>38000626.500000022</v>
      </c>
      <c r="G240" s="87">
        <v>0</v>
      </c>
      <c r="I240" s="87">
        <v>0</v>
      </c>
      <c r="K240" s="87">
        <v>0</v>
      </c>
      <c r="M240" s="87">
        <v>0</v>
      </c>
      <c r="O240" s="87">
        <v>0</v>
      </c>
      <c r="P240" s="88">
        <v>41927007.000000007</v>
      </c>
      <c r="Q240" s="87">
        <v>1533</v>
      </c>
      <c r="R240" s="87">
        <f t="shared" si="76"/>
        <v>1533</v>
      </c>
      <c r="T240" s="87">
        <v>0</v>
      </c>
      <c r="V240" s="87">
        <v>0</v>
      </c>
      <c r="X240" s="87">
        <v>0</v>
      </c>
      <c r="Y240" s="88">
        <v>44903225.000000007</v>
      </c>
      <c r="Z240" s="87">
        <v>0</v>
      </c>
      <c r="AA240" s="87">
        <v>1218</v>
      </c>
      <c r="AB240" s="89">
        <f t="shared" si="77"/>
        <v>0</v>
      </c>
      <c r="AC240" s="89">
        <f t="shared" si="78"/>
        <v>1533</v>
      </c>
      <c r="AD240" s="89">
        <f t="shared" si="79"/>
        <v>0</v>
      </c>
      <c r="AF240" s="90" t="str">
        <f t="shared" si="80"/>
        <v/>
      </c>
      <c r="AG240" s="90">
        <f t="shared" si="81"/>
        <v>1533</v>
      </c>
      <c r="AH240" s="90">
        <f t="shared" si="82"/>
        <v>2018</v>
      </c>
      <c r="AI240" s="90">
        <f t="shared" si="83"/>
        <v>1533</v>
      </c>
      <c r="AJ240" s="90">
        <f t="shared" si="84"/>
        <v>2018</v>
      </c>
      <c r="AK240" s="90" t="str">
        <f t="shared" si="85"/>
        <v/>
      </c>
      <c r="AL240" s="91">
        <f>IF(AK240="Adjust",(_xlfn.XLOOKUP(A240,'Adj factor'!A:A,'Adj factor'!I:I,,0)*AI240),'Master DataSheet (Rev)'!AI240)</f>
        <v>1533</v>
      </c>
      <c r="AM240" s="91">
        <f t="shared" si="86"/>
        <v>1533</v>
      </c>
      <c r="AN240" s="92" t="str">
        <f t="shared" si="87"/>
        <v>No change</v>
      </c>
      <c r="AO240" s="93">
        <f>VLOOKUP(B240,'Growthrates source'!A$2:H$49,8,FALSE)</f>
        <v>-5.6467842638671772E-2</v>
      </c>
      <c r="AP240" s="93">
        <f>VLOOKUP(B240,'Growthrates source'!A$2:I$49,9,FALSE)</f>
        <v>0.17775588866414749</v>
      </c>
      <c r="AQ240" s="86">
        <f t="shared" si="88"/>
        <v>1615.3463348076407</v>
      </c>
      <c r="AR240" s="86">
        <f t="shared" si="89"/>
        <v>2076.07239133336</v>
      </c>
      <c r="AS240" s="94">
        <f t="shared" si="90"/>
        <v>0</v>
      </c>
      <c r="AT240" s="94">
        <f t="shared" si="91"/>
        <v>0.36563544829231426</v>
      </c>
      <c r="AU240" s="94">
        <f t="shared" si="74"/>
        <v>0.34140086820044657</v>
      </c>
      <c r="AV240" s="94">
        <f t="shared" si="75"/>
        <v>0.34140086820044657</v>
      </c>
    </row>
    <row r="241" spans="1:48" x14ac:dyDescent="0.3">
      <c r="A241" s="85" t="str">
        <f>_xlfn.XLOOKUP(B241,'Country codes &amp; Data sources'!G:G,'Country codes &amp; Data sources'!H:H,,0)</f>
        <v>Algeria</v>
      </c>
      <c r="B241" s="85" t="s">
        <v>161</v>
      </c>
      <c r="C241" s="86">
        <v>37260578.5</v>
      </c>
      <c r="D241" s="85" t="s">
        <v>208</v>
      </c>
      <c r="E241" s="87">
        <v>0</v>
      </c>
      <c r="F241" s="88">
        <v>38000626.500000022</v>
      </c>
      <c r="G241" s="87">
        <v>0</v>
      </c>
      <c r="I241" s="87">
        <v>0</v>
      </c>
      <c r="K241" s="87">
        <v>0</v>
      </c>
      <c r="M241" s="87">
        <v>0</v>
      </c>
      <c r="O241" s="87">
        <v>0</v>
      </c>
      <c r="P241" s="88">
        <v>41927007.000000007</v>
      </c>
      <c r="Q241" s="87">
        <v>6184</v>
      </c>
      <c r="R241" s="87">
        <f t="shared" si="76"/>
        <v>76532</v>
      </c>
      <c r="T241" s="87">
        <v>0</v>
      </c>
      <c r="V241" s="87">
        <v>0</v>
      </c>
      <c r="X241" s="87">
        <v>0</v>
      </c>
      <c r="Y241" s="88">
        <v>44903225.000000007</v>
      </c>
      <c r="Z241" s="87">
        <v>0</v>
      </c>
      <c r="AA241" s="87">
        <v>76532</v>
      </c>
      <c r="AB241" s="89">
        <f t="shared" si="77"/>
        <v>0</v>
      </c>
      <c r="AC241" s="89">
        <f t="shared" si="78"/>
        <v>6184</v>
      </c>
      <c r="AD241" s="89">
        <f t="shared" si="79"/>
        <v>0</v>
      </c>
      <c r="AF241" s="90" t="str">
        <f t="shared" si="80"/>
        <v/>
      </c>
      <c r="AG241" s="90">
        <f t="shared" si="81"/>
        <v>76532</v>
      </c>
      <c r="AH241" s="90" t="str">
        <f t="shared" si="82"/>
        <v>2018 (triag)</v>
      </c>
      <c r="AI241" s="90">
        <f t="shared" si="83"/>
        <v>76532</v>
      </c>
      <c r="AJ241" s="90" t="str">
        <f t="shared" si="84"/>
        <v>2018 (triag)</v>
      </c>
      <c r="AK241" s="90" t="str">
        <f t="shared" si="85"/>
        <v/>
      </c>
      <c r="AL241" s="91">
        <f>IF(AK241="Adjust",(_xlfn.XLOOKUP(A241,'Adj factor'!A:A,'Adj factor'!I:I,,0)*AI241),'Master DataSheet (Rev)'!AI241)</f>
        <v>76532</v>
      </c>
      <c r="AM241" s="91">
        <f t="shared" si="86"/>
        <v>76532</v>
      </c>
      <c r="AN241" s="92" t="str">
        <f t="shared" si="87"/>
        <v>No change</v>
      </c>
      <c r="AO241" s="93">
        <f>VLOOKUP(B241,'Growthrates source'!A$2:H$49,8,FALSE)</f>
        <v>-5.6467842638671772E-2</v>
      </c>
      <c r="AP241" s="93">
        <f>VLOOKUP(B241,'Growthrates source'!A$2:I$49,9,FALSE)</f>
        <v>0.17775588866414749</v>
      </c>
      <c r="AQ241" s="86">
        <f t="shared" si="88"/>
        <v>101498.92093226466</v>
      </c>
      <c r="AR241" s="86">
        <f t="shared" si="89"/>
        <v>130448.25308171159</v>
      </c>
      <c r="AS241" s="94">
        <f t="shared" si="90"/>
        <v>0</v>
      </c>
      <c r="AT241" s="94">
        <f t="shared" si="91"/>
        <v>18.253628263996994</v>
      </c>
      <c r="AU241" s="94">
        <f t="shared" si="74"/>
        <v>17.043764673918183</v>
      </c>
      <c r="AV241" s="94">
        <f t="shared" si="75"/>
        <v>17.043764673918183</v>
      </c>
    </row>
    <row r="242" spans="1:48" x14ac:dyDescent="0.3">
      <c r="A242" s="85" t="str">
        <f>_xlfn.XLOOKUP(B242,'Country codes &amp; Data sources'!G:G,'Country codes &amp; Data sources'!H:H,,0)</f>
        <v>Algeria</v>
      </c>
      <c r="B242" s="85" t="s">
        <v>161</v>
      </c>
      <c r="C242" s="86">
        <v>37260579.5</v>
      </c>
      <c r="D242" s="85" t="s">
        <v>209</v>
      </c>
      <c r="E242" s="87">
        <v>0</v>
      </c>
      <c r="F242" s="88">
        <v>38000626.500000022</v>
      </c>
      <c r="G242" s="87">
        <v>0</v>
      </c>
      <c r="I242" s="87">
        <v>0</v>
      </c>
      <c r="K242" s="87">
        <v>0</v>
      </c>
      <c r="M242" s="87">
        <v>0</v>
      </c>
      <c r="O242" s="87">
        <v>0</v>
      </c>
      <c r="P242" s="88">
        <v>41927007.000000007</v>
      </c>
      <c r="Q242" s="87">
        <v>75033</v>
      </c>
      <c r="R242" s="87">
        <f t="shared" si="76"/>
        <v>75033</v>
      </c>
      <c r="T242" s="87">
        <v>0</v>
      </c>
      <c r="V242" s="87">
        <v>0</v>
      </c>
      <c r="X242" s="87">
        <v>0</v>
      </c>
      <c r="Y242" s="88">
        <v>44903225.000000007</v>
      </c>
      <c r="Z242" s="87">
        <v>0</v>
      </c>
      <c r="AA242" s="87">
        <v>5104</v>
      </c>
      <c r="AB242" s="89">
        <f t="shared" si="77"/>
        <v>0</v>
      </c>
      <c r="AC242" s="89">
        <f t="shared" si="78"/>
        <v>75033</v>
      </c>
      <c r="AD242" s="89">
        <f t="shared" si="79"/>
        <v>0</v>
      </c>
      <c r="AF242" s="90" t="str">
        <f t="shared" si="80"/>
        <v/>
      </c>
      <c r="AG242" s="90">
        <f t="shared" si="81"/>
        <v>75033</v>
      </c>
      <c r="AH242" s="90">
        <f t="shared" si="82"/>
        <v>2018</v>
      </c>
      <c r="AI242" s="90">
        <f t="shared" si="83"/>
        <v>75033</v>
      </c>
      <c r="AJ242" s="90">
        <f t="shared" si="84"/>
        <v>2018</v>
      </c>
      <c r="AK242" s="90" t="str">
        <f t="shared" si="85"/>
        <v/>
      </c>
      <c r="AL242" s="91">
        <f>IF(AK242="Adjust",(_xlfn.XLOOKUP(A242,'Adj factor'!A:A,'Adj factor'!I:I,,0)*AI242),'Master DataSheet (Rev)'!AI242)</f>
        <v>75033</v>
      </c>
      <c r="AM242" s="91">
        <f t="shared" si="86"/>
        <v>75033</v>
      </c>
      <c r="AN242" s="92" t="str">
        <f t="shared" si="87"/>
        <v>No change</v>
      </c>
      <c r="AO242" s="93">
        <f>VLOOKUP(B242,'Growthrates source'!A$2:H$49,8,FALSE)</f>
        <v>-5.6467842638671772E-2</v>
      </c>
      <c r="AP242" s="93">
        <f>VLOOKUP(B242,'Growthrates source'!A$2:I$49,9,FALSE)</f>
        <v>0.17775588866414749</v>
      </c>
      <c r="AQ242" s="86">
        <f t="shared" si="88"/>
        <v>6769.0703553843987</v>
      </c>
      <c r="AR242" s="86">
        <f t="shared" si="89"/>
        <v>8699.7319255874136</v>
      </c>
      <c r="AS242" s="94">
        <f t="shared" si="90"/>
        <v>0</v>
      </c>
      <c r="AT242" s="94">
        <f t="shared" si="91"/>
        <v>17.896102147238889</v>
      </c>
      <c r="AU242" s="94">
        <f t="shared" si="74"/>
        <v>16.709935644934188</v>
      </c>
      <c r="AV242" s="94">
        <f t="shared" si="75"/>
        <v>16.709935644934188</v>
      </c>
    </row>
    <row r="243" spans="1:48" x14ac:dyDescent="0.3">
      <c r="A243" s="85" t="str">
        <f>_xlfn.XLOOKUP(B243,'Country codes &amp; Data sources'!G:G,'Country codes &amp; Data sources'!H:H,,0)</f>
        <v>Algeria</v>
      </c>
      <c r="B243" s="85" t="s">
        <v>161</v>
      </c>
      <c r="C243" s="86">
        <v>37260580.5</v>
      </c>
      <c r="D243" s="85" t="s">
        <v>134</v>
      </c>
      <c r="E243" s="87">
        <v>0</v>
      </c>
      <c r="F243" s="88">
        <v>38000626.500000022</v>
      </c>
      <c r="G243" s="87">
        <v>0</v>
      </c>
      <c r="I243" s="87">
        <v>0</v>
      </c>
      <c r="K243" s="87">
        <v>0</v>
      </c>
      <c r="M243" s="87">
        <v>0</v>
      </c>
      <c r="O243" s="87">
        <v>0</v>
      </c>
      <c r="P243" s="88">
        <v>41927007.000000007</v>
      </c>
      <c r="Q243" s="87">
        <v>15238</v>
      </c>
      <c r="R243" s="87">
        <f t="shared" si="76"/>
        <v>15238</v>
      </c>
      <c r="T243" s="87">
        <v>0</v>
      </c>
      <c r="V243" s="87">
        <v>0</v>
      </c>
      <c r="X243" s="87">
        <v>0</v>
      </c>
      <c r="Y243" s="88">
        <v>44903225.000000007</v>
      </c>
      <c r="Z243" s="87">
        <v>0</v>
      </c>
      <c r="AA243" s="87">
        <v>14548</v>
      </c>
      <c r="AB243" s="89">
        <f t="shared" si="77"/>
        <v>0</v>
      </c>
      <c r="AC243" s="89">
        <f t="shared" si="78"/>
        <v>15238</v>
      </c>
      <c r="AD243" s="89">
        <f t="shared" si="79"/>
        <v>0</v>
      </c>
      <c r="AF243" s="90" t="str">
        <f t="shared" si="80"/>
        <v/>
      </c>
      <c r="AG243" s="90">
        <f t="shared" si="81"/>
        <v>15238</v>
      </c>
      <c r="AH243" s="90">
        <f t="shared" si="82"/>
        <v>2018</v>
      </c>
      <c r="AI243" s="90">
        <f t="shared" si="83"/>
        <v>15238</v>
      </c>
      <c r="AJ243" s="90">
        <f t="shared" si="84"/>
        <v>2018</v>
      </c>
      <c r="AK243" s="90" t="str">
        <f t="shared" si="85"/>
        <v/>
      </c>
      <c r="AL243" s="91">
        <f>IF(AK243="Adjust",(_xlfn.XLOOKUP(A243,'Adj factor'!A:A,'Adj factor'!I:I,,0)*AI243),'Master DataSheet (Rev)'!AI243)</f>
        <v>15238</v>
      </c>
      <c r="AM243" s="91">
        <f t="shared" si="86"/>
        <v>15238</v>
      </c>
      <c r="AN243" s="92" t="str">
        <f t="shared" si="87"/>
        <v>No change</v>
      </c>
      <c r="AO243" s="93">
        <f>VLOOKUP(B243,'Growthrates source'!A$2:H$49,8,FALSE)</f>
        <v>-5.6467842638671772E-2</v>
      </c>
      <c r="AP243" s="93">
        <f>VLOOKUP(B243,'Growthrates source'!A$2:I$49,9,FALSE)</f>
        <v>0.17775588866414749</v>
      </c>
      <c r="AQ243" s="86">
        <f t="shared" si="88"/>
        <v>19293.972478474185</v>
      </c>
      <c r="AR243" s="86">
        <f t="shared" si="89"/>
        <v>24796.963176615536</v>
      </c>
      <c r="AS243" s="94">
        <f t="shared" si="90"/>
        <v>0</v>
      </c>
      <c r="AT243" s="94">
        <f t="shared" si="91"/>
        <v>3.6344115858305837</v>
      </c>
      <c r="AU243" s="94">
        <f t="shared" si="74"/>
        <v>3.3935201758893703</v>
      </c>
      <c r="AV243" s="94">
        <f t="shared" si="75"/>
        <v>3.3935201758893703</v>
      </c>
    </row>
    <row r="244" spans="1:48" x14ac:dyDescent="0.3">
      <c r="A244" s="85" t="str">
        <f>_xlfn.XLOOKUP(B244,'Country codes &amp; Data sources'!G:G,'Country codes &amp; Data sources'!H:H,,0)</f>
        <v>Algeria</v>
      </c>
      <c r="B244" s="85" t="s">
        <v>161</v>
      </c>
      <c r="C244" s="86">
        <v>37260581.5</v>
      </c>
      <c r="D244" s="85" t="s">
        <v>142</v>
      </c>
      <c r="E244" s="87">
        <v>0</v>
      </c>
      <c r="F244" s="88">
        <v>38000626.500000022</v>
      </c>
      <c r="G244" s="87">
        <v>0</v>
      </c>
      <c r="I244" s="87">
        <v>0</v>
      </c>
      <c r="K244" s="87">
        <v>0</v>
      </c>
      <c r="M244" s="87">
        <v>0</v>
      </c>
      <c r="O244" s="87">
        <v>0</v>
      </c>
      <c r="P244" s="88">
        <v>41927007.000000007</v>
      </c>
      <c r="Q244" s="87">
        <v>365</v>
      </c>
      <c r="R244" s="87">
        <f t="shared" si="76"/>
        <v>365</v>
      </c>
      <c r="T244" s="87">
        <v>128823</v>
      </c>
      <c r="V244" s="87">
        <v>0</v>
      </c>
      <c r="X244" s="87">
        <v>0</v>
      </c>
      <c r="Y244" s="88">
        <v>44903225.000000007</v>
      </c>
      <c r="Z244" s="87">
        <v>0</v>
      </c>
      <c r="AA244" s="87">
        <v>279</v>
      </c>
      <c r="AB244" s="89">
        <f t="shared" si="77"/>
        <v>0</v>
      </c>
      <c r="AC244" s="89">
        <f t="shared" si="78"/>
        <v>128823</v>
      </c>
      <c r="AD244" s="89">
        <f t="shared" si="79"/>
        <v>0</v>
      </c>
      <c r="AF244" s="90" t="str">
        <f t="shared" si="80"/>
        <v/>
      </c>
      <c r="AG244" s="90">
        <f t="shared" si="81"/>
        <v>365</v>
      </c>
      <c r="AH244" s="90">
        <f t="shared" si="82"/>
        <v>2018</v>
      </c>
      <c r="AI244" s="90">
        <f t="shared" si="83"/>
        <v>128823</v>
      </c>
      <c r="AJ244" s="90">
        <f t="shared" si="84"/>
        <v>2018</v>
      </c>
      <c r="AK244" s="90" t="str">
        <f t="shared" si="85"/>
        <v/>
      </c>
      <c r="AL244" s="91">
        <f>IF(AK244="Adjust",(_xlfn.XLOOKUP(A244,'Adj factor'!A:A,'Adj factor'!I:I,,0)*AI244),'Master DataSheet (Rev)'!AI244)</f>
        <v>128823</v>
      </c>
      <c r="AM244" s="91">
        <f t="shared" si="86"/>
        <v>128823</v>
      </c>
      <c r="AN244" s="92" t="str">
        <f t="shared" si="87"/>
        <v>Increasing</v>
      </c>
      <c r="AO244" s="93">
        <f>VLOOKUP(B244,'Growthrates source'!A$2:H$49,8,FALSE)</f>
        <v>-5.6467842638671772E-2</v>
      </c>
      <c r="AP244" s="93">
        <f>VLOOKUP(B244,'Growthrates source'!A$2:I$49,9,FALSE)</f>
        <v>0.17775588866414749</v>
      </c>
      <c r="AQ244" s="86">
        <f t="shared" si="88"/>
        <v>370.01775649534625</v>
      </c>
      <c r="AR244" s="86">
        <f t="shared" si="89"/>
        <v>475.55352806404557</v>
      </c>
      <c r="AS244" s="94">
        <f t="shared" si="90"/>
        <v>0</v>
      </c>
      <c r="AT244" s="94">
        <f t="shared" si="91"/>
        <v>8.7056059117217671E-2</v>
      </c>
      <c r="AU244" s="94">
        <f t="shared" si="74"/>
        <v>28.689030687662186</v>
      </c>
      <c r="AV244" s="94">
        <f t="shared" si="75"/>
        <v>28.689030687662186</v>
      </c>
    </row>
    <row r="245" spans="1:48" x14ac:dyDescent="0.3">
      <c r="A245" s="85" t="str">
        <f>_xlfn.XLOOKUP(B245,'Country codes &amp; Data sources'!G:G,'Country codes &amp; Data sources'!H:H,,0)</f>
        <v>Algeria</v>
      </c>
      <c r="B245" s="85" t="s">
        <v>161</v>
      </c>
      <c r="C245" s="86">
        <v>37260582.5</v>
      </c>
      <c r="D245" s="85" t="s">
        <v>83</v>
      </c>
      <c r="E245" s="87">
        <v>0</v>
      </c>
      <c r="F245" s="88">
        <v>38000626.500000022</v>
      </c>
      <c r="G245" s="87">
        <v>0</v>
      </c>
      <c r="I245" s="87">
        <v>0</v>
      </c>
      <c r="K245" s="87">
        <v>0</v>
      </c>
      <c r="M245" s="87">
        <v>0</v>
      </c>
      <c r="O245" s="87">
        <v>0</v>
      </c>
      <c r="P245" s="88">
        <v>41927007.000000007</v>
      </c>
      <c r="Q245" s="87">
        <v>1971</v>
      </c>
      <c r="R245" s="87">
        <f t="shared" si="76"/>
        <v>1971</v>
      </c>
      <c r="T245" s="87">
        <v>0</v>
      </c>
      <c r="V245" s="87">
        <v>0</v>
      </c>
      <c r="X245" s="87">
        <v>0</v>
      </c>
      <c r="Y245" s="88">
        <v>44903225.000000007</v>
      </c>
      <c r="Z245" s="87">
        <v>0</v>
      </c>
      <c r="AA245" s="87">
        <v>1827</v>
      </c>
      <c r="AB245" s="89">
        <f t="shared" si="77"/>
        <v>0</v>
      </c>
      <c r="AC245" s="89">
        <f t="shared" si="78"/>
        <v>1971</v>
      </c>
      <c r="AD245" s="89">
        <f t="shared" si="79"/>
        <v>0</v>
      </c>
      <c r="AF245" s="90" t="str">
        <f t="shared" si="80"/>
        <v/>
      </c>
      <c r="AG245" s="90">
        <f t="shared" si="81"/>
        <v>1971</v>
      </c>
      <c r="AH245" s="90">
        <f t="shared" si="82"/>
        <v>2018</v>
      </c>
      <c r="AI245" s="90">
        <f t="shared" si="83"/>
        <v>1971</v>
      </c>
      <c r="AJ245" s="90">
        <f t="shared" si="84"/>
        <v>2018</v>
      </c>
      <c r="AK245" s="90" t="str">
        <f t="shared" si="85"/>
        <v/>
      </c>
      <c r="AL245" s="91">
        <f>IF(AK245="Adjust",(_xlfn.XLOOKUP(A245,'Adj factor'!A:A,'Adj factor'!I:I,,0)*AI245),'Master DataSheet (Rev)'!AI245)</f>
        <v>1971</v>
      </c>
      <c r="AM245" s="91">
        <f t="shared" si="86"/>
        <v>1971</v>
      </c>
      <c r="AN245" s="92" t="str">
        <f t="shared" si="87"/>
        <v>No change</v>
      </c>
      <c r="AO245" s="93">
        <f>VLOOKUP(B245,'Growthrates source'!A$2:H$49,8,FALSE)</f>
        <v>-5.6467842638671772E-2</v>
      </c>
      <c r="AP245" s="93">
        <f>VLOOKUP(B245,'Growthrates source'!A$2:I$49,9,FALSE)</f>
        <v>0.17775588866414749</v>
      </c>
      <c r="AQ245" s="86">
        <f t="shared" si="88"/>
        <v>2423.0195022114608</v>
      </c>
      <c r="AR245" s="86">
        <f t="shared" si="89"/>
        <v>3114.1085870000402</v>
      </c>
      <c r="AS245" s="94">
        <f t="shared" si="90"/>
        <v>0</v>
      </c>
      <c r="AT245" s="94">
        <f t="shared" si="91"/>
        <v>0.47010271923297547</v>
      </c>
      <c r="AU245" s="94">
        <f t="shared" si="74"/>
        <v>0.43894397340057417</v>
      </c>
      <c r="AV245" s="94">
        <f t="shared" si="75"/>
        <v>0.43894397340057417</v>
      </c>
    </row>
    <row r="246" spans="1:48" x14ac:dyDescent="0.3">
      <c r="A246" s="85" t="str">
        <f>_xlfn.XLOOKUP(B246,'Country codes &amp; Data sources'!G:G,'Country codes &amp; Data sources'!H:H,,0)</f>
        <v>Algeria</v>
      </c>
      <c r="B246" s="85" t="s">
        <v>161</v>
      </c>
      <c r="C246" s="86">
        <v>37260583.5</v>
      </c>
      <c r="D246" s="85" t="s">
        <v>84</v>
      </c>
      <c r="E246" s="87">
        <v>0</v>
      </c>
      <c r="F246" s="88">
        <v>38000626.500000022</v>
      </c>
      <c r="G246" s="87">
        <v>0</v>
      </c>
      <c r="I246" s="87">
        <v>0</v>
      </c>
      <c r="K246" s="87">
        <v>0</v>
      </c>
      <c r="M246" s="87">
        <v>0</v>
      </c>
      <c r="O246" s="87">
        <v>0</v>
      </c>
      <c r="P246" s="88">
        <v>41927007.000000007</v>
      </c>
      <c r="Q246" s="87">
        <v>0</v>
      </c>
      <c r="R246" s="87">
        <f t="shared" si="76"/>
        <v>0</v>
      </c>
      <c r="T246" s="87">
        <v>0</v>
      </c>
      <c r="V246" s="87">
        <v>0</v>
      </c>
      <c r="X246" s="87">
        <v>0</v>
      </c>
      <c r="Y246" s="88">
        <v>44903225.000000007</v>
      </c>
      <c r="Z246" s="87">
        <v>0</v>
      </c>
      <c r="AA246" s="87">
        <v>0</v>
      </c>
      <c r="AB246" s="89">
        <f t="shared" si="77"/>
        <v>0</v>
      </c>
      <c r="AC246" s="89">
        <f t="shared" si="78"/>
        <v>0</v>
      </c>
      <c r="AD246" s="89">
        <f t="shared" si="79"/>
        <v>0</v>
      </c>
      <c r="AF246" s="90" t="str">
        <f t="shared" si="80"/>
        <v/>
      </c>
      <c r="AH246" s="90" t="str">
        <f t="shared" si="82"/>
        <v/>
      </c>
      <c r="AI246" s="90">
        <f t="shared" si="83"/>
        <v>0</v>
      </c>
      <c r="AJ246" s="90" t="str">
        <f t="shared" si="84"/>
        <v/>
      </c>
      <c r="AK246" s="90" t="str">
        <f t="shared" si="85"/>
        <v/>
      </c>
      <c r="AL246" s="91"/>
      <c r="AM246" s="91">
        <f t="shared" si="86"/>
        <v>0</v>
      </c>
      <c r="AN246" s="92" t="str">
        <f t="shared" si="87"/>
        <v>No change</v>
      </c>
      <c r="AO246" s="93">
        <f>VLOOKUP(B246,'Growthrates source'!A$2:H$49,8,FALSE)</f>
        <v>-5.6467842638671772E-2</v>
      </c>
      <c r="AP246" s="93">
        <f>VLOOKUP(B246,'Growthrates source'!A$2:I$49,9,FALSE)</f>
        <v>0.17775588866414749</v>
      </c>
      <c r="AQ246" s="86">
        <f t="shared" si="88"/>
        <v>0</v>
      </c>
      <c r="AR246" s="86">
        <f t="shared" si="89"/>
        <v>0</v>
      </c>
      <c r="AS246" s="94">
        <f t="shared" si="90"/>
        <v>0</v>
      </c>
      <c r="AT246" s="94">
        <f t="shared" si="91"/>
        <v>0</v>
      </c>
      <c r="AU246" s="94">
        <f t="shared" si="74"/>
        <v>0</v>
      </c>
      <c r="AV246" s="94">
        <f t="shared" si="75"/>
        <v>0</v>
      </c>
    </row>
    <row r="247" spans="1:48" x14ac:dyDescent="0.3">
      <c r="A247" s="85" t="str">
        <f>_xlfn.XLOOKUP(B247,'Country codes &amp; Data sources'!G:G,'Country codes &amp; Data sources'!H:H,,0)</f>
        <v>Algeria</v>
      </c>
      <c r="B247" s="85" t="s">
        <v>161</v>
      </c>
      <c r="C247" s="86">
        <v>37260584.5</v>
      </c>
      <c r="D247" s="85" t="s">
        <v>126</v>
      </c>
      <c r="E247" s="87">
        <v>0</v>
      </c>
      <c r="F247" s="88">
        <v>38000626.500000022</v>
      </c>
      <c r="G247" s="87">
        <v>0</v>
      </c>
      <c r="I247" s="87">
        <v>0</v>
      </c>
      <c r="K247" s="87">
        <v>0</v>
      </c>
      <c r="M247" s="87">
        <v>0</v>
      </c>
      <c r="O247" s="87">
        <v>0</v>
      </c>
      <c r="P247" s="88">
        <v>41927007.000000007</v>
      </c>
      <c r="Q247" s="87">
        <v>0</v>
      </c>
      <c r="R247" s="87">
        <f t="shared" si="76"/>
        <v>0</v>
      </c>
      <c r="T247" s="87">
        <v>0</v>
      </c>
      <c r="V247" s="87">
        <v>0</v>
      </c>
      <c r="X247" s="87">
        <v>0</v>
      </c>
      <c r="Y247" s="88">
        <v>44903225.000000007</v>
      </c>
      <c r="Z247" s="87">
        <v>0</v>
      </c>
      <c r="AA247" s="87">
        <v>0</v>
      </c>
      <c r="AB247" s="89">
        <f t="shared" si="77"/>
        <v>0</v>
      </c>
      <c r="AC247" s="89">
        <f t="shared" si="78"/>
        <v>0</v>
      </c>
      <c r="AD247" s="89">
        <f t="shared" si="79"/>
        <v>0</v>
      </c>
      <c r="AF247" s="90" t="str">
        <f t="shared" si="80"/>
        <v/>
      </c>
      <c r="AH247" s="90" t="str">
        <f t="shared" si="82"/>
        <v/>
      </c>
      <c r="AI247" s="90">
        <f t="shared" si="83"/>
        <v>0</v>
      </c>
      <c r="AJ247" s="90" t="str">
        <f t="shared" si="84"/>
        <v/>
      </c>
      <c r="AK247" s="90" t="str">
        <f t="shared" si="85"/>
        <v/>
      </c>
      <c r="AL247" s="91"/>
      <c r="AM247" s="91">
        <f t="shared" si="86"/>
        <v>0</v>
      </c>
      <c r="AN247" s="92" t="str">
        <f t="shared" si="87"/>
        <v>No change</v>
      </c>
      <c r="AO247" s="93">
        <f>VLOOKUP(B247,'Growthrates source'!A$2:H$49,8,FALSE)</f>
        <v>-5.6467842638671772E-2</v>
      </c>
      <c r="AP247" s="93">
        <f>VLOOKUP(B247,'Growthrates source'!A$2:I$49,9,FALSE)</f>
        <v>0.17775588866414749</v>
      </c>
      <c r="AQ247" s="86">
        <f t="shared" si="88"/>
        <v>0</v>
      </c>
      <c r="AR247" s="86">
        <f t="shared" si="89"/>
        <v>0</v>
      </c>
      <c r="AS247" s="94">
        <f t="shared" si="90"/>
        <v>0</v>
      </c>
      <c r="AT247" s="94">
        <f t="shared" si="91"/>
        <v>0</v>
      </c>
      <c r="AU247" s="94">
        <f t="shared" si="74"/>
        <v>0</v>
      </c>
      <c r="AV247" s="94">
        <f t="shared" si="75"/>
        <v>0</v>
      </c>
    </row>
    <row r="248" spans="1:48" x14ac:dyDescent="0.3">
      <c r="A248" s="85" t="str">
        <f>_xlfn.XLOOKUP(B248,'Country codes &amp; Data sources'!G:G,'Country codes &amp; Data sources'!H:H,,0)</f>
        <v>Algeria</v>
      </c>
      <c r="B248" s="85" t="s">
        <v>161</v>
      </c>
      <c r="C248" s="86">
        <v>37260585.5</v>
      </c>
      <c r="D248" s="85" t="s">
        <v>87</v>
      </c>
      <c r="E248" s="87">
        <v>0</v>
      </c>
      <c r="F248" s="88">
        <v>38000626.500000022</v>
      </c>
      <c r="G248" s="87">
        <v>0</v>
      </c>
      <c r="I248" s="87">
        <v>0</v>
      </c>
      <c r="K248" s="87">
        <v>0</v>
      </c>
      <c r="M248" s="87">
        <v>0</v>
      </c>
      <c r="O248" s="87">
        <v>0</v>
      </c>
      <c r="P248" s="88">
        <v>41927007.000000007</v>
      </c>
      <c r="Q248" s="87">
        <v>0</v>
      </c>
      <c r="R248" s="87">
        <f t="shared" si="76"/>
        <v>1</v>
      </c>
      <c r="T248" s="87">
        <v>0</v>
      </c>
      <c r="V248" s="87">
        <v>0</v>
      </c>
      <c r="X248" s="87">
        <v>0</v>
      </c>
      <c r="Y248" s="88">
        <v>44903225.000000007</v>
      </c>
      <c r="Z248" s="87">
        <v>0</v>
      </c>
      <c r="AA248" s="87">
        <v>1</v>
      </c>
      <c r="AB248" s="89">
        <f t="shared" si="77"/>
        <v>0</v>
      </c>
      <c r="AC248" s="89">
        <f t="shared" si="78"/>
        <v>0</v>
      </c>
      <c r="AD248" s="89">
        <f t="shared" si="79"/>
        <v>0</v>
      </c>
      <c r="AF248" s="90" t="str">
        <f t="shared" si="80"/>
        <v/>
      </c>
      <c r="AG248" s="90">
        <f t="shared" si="81"/>
        <v>1</v>
      </c>
      <c r="AH248" s="90" t="str">
        <f t="shared" si="82"/>
        <v>2018 (triag)</v>
      </c>
      <c r="AI248" s="90">
        <f t="shared" si="83"/>
        <v>1</v>
      </c>
      <c r="AJ248" s="90" t="str">
        <f t="shared" si="84"/>
        <v>2018 (triag)</v>
      </c>
      <c r="AK248" s="90" t="str">
        <f t="shared" si="85"/>
        <v/>
      </c>
      <c r="AL248" s="91">
        <f>IF(AK248="Adjust",(_xlfn.XLOOKUP(A248,'Adj factor'!A:A,'Adj factor'!I:I,,0)*AI248),'Master DataSheet (Rev)'!AI248)</f>
        <v>1</v>
      </c>
      <c r="AM248" s="91">
        <f t="shared" si="86"/>
        <v>1</v>
      </c>
      <c r="AN248" s="92" t="str">
        <f t="shared" si="87"/>
        <v>No change</v>
      </c>
      <c r="AO248" s="93">
        <f>VLOOKUP(B248,'Growthrates source'!A$2:H$49,8,FALSE)</f>
        <v>-5.6467842638671772E-2</v>
      </c>
      <c r="AP248" s="93">
        <f>VLOOKUP(B248,'Growthrates source'!A$2:I$49,9,FALSE)</f>
        <v>0.17775588866414749</v>
      </c>
      <c r="AQ248" s="86">
        <f t="shared" si="88"/>
        <v>1.3262285179044668</v>
      </c>
      <c r="AR248" s="86">
        <f t="shared" si="89"/>
        <v>1.7044929321291955</v>
      </c>
      <c r="AS248" s="94">
        <f t="shared" si="90"/>
        <v>0</v>
      </c>
      <c r="AT248" s="94">
        <f t="shared" si="91"/>
        <v>2.3850975100607583E-4</v>
      </c>
      <c r="AU248" s="94">
        <f t="shared" si="74"/>
        <v>2.2270115342494883E-4</v>
      </c>
      <c r="AV248" s="94">
        <f t="shared" si="75"/>
        <v>2.2270115342494883E-4</v>
      </c>
    </row>
    <row r="249" spans="1:48" x14ac:dyDescent="0.3">
      <c r="A249" s="85" t="str">
        <f>_xlfn.XLOOKUP(B249,'Country codes &amp; Data sources'!G:G,'Country codes &amp; Data sources'!H:H,,0)</f>
        <v>Eritrea</v>
      </c>
      <c r="B249" s="85" t="s">
        <v>194</v>
      </c>
      <c r="C249" s="86">
        <v>3252601</v>
      </c>
      <c r="D249" s="85" t="s">
        <v>127</v>
      </c>
      <c r="E249" s="87">
        <v>0</v>
      </c>
      <c r="F249" s="88">
        <v>3296367</v>
      </c>
      <c r="G249" s="87">
        <v>0</v>
      </c>
      <c r="I249" s="87">
        <v>0</v>
      </c>
      <c r="K249" s="87">
        <v>0</v>
      </c>
      <c r="M249" s="87">
        <v>0</v>
      </c>
      <c r="O249" s="87">
        <v>0</v>
      </c>
      <c r="P249" s="88">
        <v>3445374.4999999986</v>
      </c>
      <c r="Q249" s="87">
        <v>243</v>
      </c>
      <c r="R249" s="87">
        <f t="shared" si="76"/>
        <v>243</v>
      </c>
      <c r="T249" s="87">
        <v>0</v>
      </c>
      <c r="V249" s="87">
        <v>6000</v>
      </c>
      <c r="X249" s="87">
        <v>2626</v>
      </c>
      <c r="Y249" s="88">
        <v>3684031.5000000019</v>
      </c>
      <c r="Z249" s="87">
        <v>2626</v>
      </c>
      <c r="AA249" s="87">
        <v>243</v>
      </c>
      <c r="AB249" s="89">
        <f t="shared" si="77"/>
        <v>0</v>
      </c>
      <c r="AC249" s="89">
        <f t="shared" si="78"/>
        <v>243</v>
      </c>
      <c r="AD249" s="89">
        <f t="shared" si="79"/>
        <v>6000</v>
      </c>
      <c r="AF249" s="90" t="str">
        <f t="shared" si="80"/>
        <v/>
      </c>
      <c r="AG249" s="90">
        <f t="shared" si="81"/>
        <v>243</v>
      </c>
      <c r="AH249" s="90">
        <f t="shared" si="82"/>
        <v>2018</v>
      </c>
      <c r="AI249" s="90">
        <f t="shared" si="83"/>
        <v>2626</v>
      </c>
      <c r="AJ249" s="90">
        <f t="shared" si="84"/>
        <v>2021</v>
      </c>
      <c r="AK249" s="90" t="str">
        <f t="shared" si="85"/>
        <v/>
      </c>
      <c r="AL249" s="91">
        <f>IF(AK249="Adjust",(_xlfn.XLOOKUP(A249,'Adj factor'!A:A,'Adj factor'!I:I,,0)*AI249),'Master DataSheet (Rev)'!AI249)</f>
        <v>2626</v>
      </c>
      <c r="AM249" s="91">
        <f t="shared" si="86"/>
        <v>2626</v>
      </c>
      <c r="AN249" s="92" t="str">
        <f t="shared" si="87"/>
        <v>Increasing</v>
      </c>
      <c r="AO249" s="93">
        <f>VLOOKUP(B249,'Growthrates source'!A$2:H$49,8,FALSE)</f>
        <v>-2.2233181875670249E-2</v>
      </c>
      <c r="AP249" s="93">
        <f>VLOOKUP(B249,'Growthrates source'!A$2:I$49,9,FALSE)</f>
        <v>0.11702326021234755</v>
      </c>
      <c r="AQ249" s="86">
        <f t="shared" si="88"/>
        <v>271.57201497238668</v>
      </c>
      <c r="AR249" s="86">
        <f t="shared" si="89"/>
        <v>345.20250780713275</v>
      </c>
      <c r="AS249" s="94">
        <f t="shared" si="90"/>
        <v>0</v>
      </c>
      <c r="AT249" s="94">
        <f t="shared" si="91"/>
        <v>0.70529343036584291</v>
      </c>
      <c r="AU249" s="94">
        <f t="shared" si="74"/>
        <v>7.1280606585475681</v>
      </c>
      <c r="AV249" s="94">
        <f t="shared" si="75"/>
        <v>7.1280606585475681</v>
      </c>
    </row>
    <row r="250" spans="1:48" x14ac:dyDescent="0.3">
      <c r="A250" s="85" t="str">
        <f>_xlfn.XLOOKUP(B250,'Country codes &amp; Data sources'!G:G,'Country codes &amp; Data sources'!H:H,,0)</f>
        <v>Eritrea</v>
      </c>
      <c r="B250" s="85" t="s">
        <v>194</v>
      </c>
      <c r="C250" s="86">
        <v>3252602</v>
      </c>
      <c r="D250" s="85" t="s">
        <v>61</v>
      </c>
      <c r="E250" s="87">
        <v>0</v>
      </c>
      <c r="F250" s="88">
        <v>3296367</v>
      </c>
      <c r="G250" s="87">
        <v>0</v>
      </c>
      <c r="I250" s="87">
        <v>0</v>
      </c>
      <c r="K250" s="87">
        <v>0</v>
      </c>
      <c r="M250" s="87">
        <v>0</v>
      </c>
      <c r="O250" s="87">
        <v>0</v>
      </c>
      <c r="P250" s="88">
        <v>3445374.4999999986</v>
      </c>
      <c r="Q250" s="87">
        <v>0</v>
      </c>
      <c r="R250" s="87">
        <f t="shared" si="76"/>
        <v>0</v>
      </c>
      <c r="T250" s="87">
        <v>0</v>
      </c>
      <c r="V250" s="87">
        <v>0</v>
      </c>
      <c r="X250" s="87">
        <v>0</v>
      </c>
      <c r="Y250" s="88">
        <v>3684031.5000000019</v>
      </c>
      <c r="Z250" s="87">
        <v>0</v>
      </c>
      <c r="AA250" s="87">
        <v>0</v>
      </c>
      <c r="AB250" s="89">
        <f t="shared" si="77"/>
        <v>0</v>
      </c>
      <c r="AC250" s="89">
        <f t="shared" si="78"/>
        <v>0</v>
      </c>
      <c r="AD250" s="89">
        <f t="shared" si="79"/>
        <v>0</v>
      </c>
      <c r="AF250" s="90" t="str">
        <f t="shared" si="80"/>
        <v/>
      </c>
      <c r="AH250" s="90" t="str">
        <f t="shared" si="82"/>
        <v/>
      </c>
      <c r="AI250" s="90">
        <f t="shared" si="83"/>
        <v>0</v>
      </c>
      <c r="AJ250" s="90" t="str">
        <f t="shared" si="84"/>
        <v/>
      </c>
      <c r="AK250" s="90" t="str">
        <f t="shared" si="85"/>
        <v/>
      </c>
      <c r="AL250" s="91"/>
      <c r="AM250" s="91">
        <f t="shared" si="86"/>
        <v>0</v>
      </c>
      <c r="AN250" s="92" t="str">
        <f t="shared" si="87"/>
        <v>No change</v>
      </c>
      <c r="AO250" s="93">
        <f>VLOOKUP(B250,'Growthrates source'!A$2:H$49,8,FALSE)</f>
        <v>-2.2233181875670249E-2</v>
      </c>
      <c r="AP250" s="93">
        <f>VLOOKUP(B250,'Growthrates source'!A$2:I$49,9,FALSE)</f>
        <v>0.11702326021234755</v>
      </c>
      <c r="AQ250" s="86">
        <f t="shared" si="88"/>
        <v>0</v>
      </c>
      <c r="AR250" s="86">
        <f t="shared" si="89"/>
        <v>0</v>
      </c>
      <c r="AS250" s="94">
        <f t="shared" si="90"/>
        <v>0</v>
      </c>
      <c r="AT250" s="94">
        <f t="shared" si="91"/>
        <v>0</v>
      </c>
      <c r="AU250" s="94">
        <f t="shared" si="74"/>
        <v>0</v>
      </c>
      <c r="AV250" s="94">
        <f t="shared" si="75"/>
        <v>0</v>
      </c>
    </row>
    <row r="251" spans="1:48" x14ac:dyDescent="0.3">
      <c r="A251" s="85" t="str">
        <f>_xlfn.XLOOKUP(B251,'Country codes &amp; Data sources'!G:G,'Country codes &amp; Data sources'!H:H,,0)</f>
        <v>Eritrea</v>
      </c>
      <c r="B251" s="85" t="s">
        <v>194</v>
      </c>
      <c r="C251" s="86">
        <v>3252603</v>
      </c>
      <c r="D251" s="85" t="s">
        <v>62</v>
      </c>
      <c r="E251" s="87">
        <v>0</v>
      </c>
      <c r="F251" s="88">
        <v>3296367</v>
      </c>
      <c r="G251" s="87">
        <v>0</v>
      </c>
      <c r="I251" s="87">
        <v>0</v>
      </c>
      <c r="K251" s="87">
        <v>0</v>
      </c>
      <c r="M251" s="87">
        <v>0</v>
      </c>
      <c r="O251" s="87">
        <v>0</v>
      </c>
      <c r="P251" s="88">
        <v>3445374.4999999986</v>
      </c>
      <c r="Q251" s="87">
        <v>0</v>
      </c>
      <c r="R251" s="87">
        <f t="shared" si="76"/>
        <v>243</v>
      </c>
      <c r="T251" s="87">
        <v>0</v>
      </c>
      <c r="V251" s="87">
        <v>0</v>
      </c>
      <c r="X251" s="87">
        <v>0</v>
      </c>
      <c r="Y251" s="88">
        <v>3684031.5000000019</v>
      </c>
      <c r="Z251" s="87">
        <v>0</v>
      </c>
      <c r="AA251" s="87">
        <v>243</v>
      </c>
      <c r="AB251" s="89">
        <f t="shared" si="77"/>
        <v>0</v>
      </c>
      <c r="AC251" s="89">
        <f t="shared" si="78"/>
        <v>0</v>
      </c>
      <c r="AD251" s="89">
        <f t="shared" si="79"/>
        <v>0</v>
      </c>
      <c r="AF251" s="90" t="str">
        <f t="shared" si="80"/>
        <v/>
      </c>
      <c r="AG251" s="90">
        <f t="shared" si="81"/>
        <v>243</v>
      </c>
      <c r="AH251" s="90" t="str">
        <f t="shared" si="82"/>
        <v>2018 (triag)</v>
      </c>
      <c r="AI251" s="90">
        <f t="shared" si="83"/>
        <v>243</v>
      </c>
      <c r="AJ251" s="90" t="str">
        <f t="shared" si="84"/>
        <v>2018 (triag)</v>
      </c>
      <c r="AK251" s="90" t="str">
        <f t="shared" si="85"/>
        <v/>
      </c>
      <c r="AL251" s="91">
        <f>IF(AK251="Adjust",(_xlfn.XLOOKUP(A251,'Adj factor'!A:A,'Adj factor'!I:I,,0)*AI251),'Master DataSheet (Rev)'!AI251)</f>
        <v>243</v>
      </c>
      <c r="AM251" s="91">
        <f t="shared" si="86"/>
        <v>243</v>
      </c>
      <c r="AN251" s="92" t="str">
        <f t="shared" si="87"/>
        <v>No change</v>
      </c>
      <c r="AO251" s="93">
        <f>VLOOKUP(B251,'Growthrates source'!A$2:H$49,8,FALSE)</f>
        <v>-2.2233181875670249E-2</v>
      </c>
      <c r="AP251" s="93">
        <f>VLOOKUP(B251,'Growthrates source'!A$2:I$49,9,FALSE)</f>
        <v>0.11702326021234755</v>
      </c>
      <c r="AQ251" s="86">
        <f t="shared" si="88"/>
        <v>271.57201497238668</v>
      </c>
      <c r="AR251" s="86">
        <f t="shared" si="89"/>
        <v>345.20250780713275</v>
      </c>
      <c r="AS251" s="94">
        <f t="shared" si="90"/>
        <v>0</v>
      </c>
      <c r="AT251" s="94">
        <f t="shared" si="91"/>
        <v>0.70529343036584291</v>
      </c>
      <c r="AU251" s="94">
        <f t="shared" si="74"/>
        <v>0.65960348058913143</v>
      </c>
      <c r="AV251" s="94">
        <f t="shared" si="75"/>
        <v>0.65960348058913143</v>
      </c>
    </row>
    <row r="252" spans="1:48" x14ac:dyDescent="0.3">
      <c r="A252" s="85" t="str">
        <f>_xlfn.XLOOKUP(B252,'Country codes &amp; Data sources'!G:G,'Country codes &amp; Data sources'!H:H,,0)</f>
        <v>Eritrea</v>
      </c>
      <c r="B252" s="85" t="s">
        <v>194</v>
      </c>
      <c r="C252" s="86">
        <v>3252604</v>
      </c>
      <c r="D252" s="85" t="s">
        <v>203</v>
      </c>
      <c r="E252" s="87">
        <v>0</v>
      </c>
      <c r="F252" s="88">
        <v>3296367</v>
      </c>
      <c r="G252" s="87">
        <v>0</v>
      </c>
      <c r="I252" s="87">
        <v>0</v>
      </c>
      <c r="K252" s="87">
        <v>0</v>
      </c>
      <c r="M252" s="87">
        <v>0</v>
      </c>
      <c r="O252" s="87">
        <v>0</v>
      </c>
      <c r="P252" s="88">
        <v>3445374.4999999986</v>
      </c>
      <c r="Q252" s="87">
        <v>0</v>
      </c>
      <c r="R252" s="87">
        <f t="shared" si="76"/>
        <v>0</v>
      </c>
      <c r="T252" s="87">
        <v>0</v>
      </c>
      <c r="V252" s="87">
        <v>0</v>
      </c>
      <c r="X252" s="87">
        <v>0</v>
      </c>
      <c r="Y252" s="88">
        <v>3684031.5000000019</v>
      </c>
      <c r="Z252" s="87">
        <v>0</v>
      </c>
      <c r="AA252" s="87">
        <v>0</v>
      </c>
      <c r="AB252" s="89">
        <f t="shared" si="77"/>
        <v>0</v>
      </c>
      <c r="AC252" s="89">
        <f t="shared" si="78"/>
        <v>0</v>
      </c>
      <c r="AD252" s="89">
        <f t="shared" si="79"/>
        <v>0</v>
      </c>
      <c r="AF252" s="90" t="str">
        <f t="shared" si="80"/>
        <v/>
      </c>
      <c r="AH252" s="90" t="str">
        <f t="shared" si="82"/>
        <v/>
      </c>
      <c r="AI252" s="90">
        <f t="shared" si="83"/>
        <v>0</v>
      </c>
      <c r="AJ252" s="90" t="str">
        <f t="shared" si="84"/>
        <v/>
      </c>
      <c r="AK252" s="90" t="str">
        <f t="shared" si="85"/>
        <v/>
      </c>
      <c r="AL252" s="91"/>
      <c r="AM252" s="91">
        <f t="shared" si="86"/>
        <v>0</v>
      </c>
      <c r="AN252" s="92" t="str">
        <f t="shared" si="87"/>
        <v>No change</v>
      </c>
      <c r="AO252" s="93">
        <f>VLOOKUP(B252,'Growthrates source'!A$2:H$49,8,FALSE)</f>
        <v>-2.2233181875670249E-2</v>
      </c>
      <c r="AP252" s="93">
        <f>VLOOKUP(B252,'Growthrates source'!A$2:I$49,9,FALSE)</f>
        <v>0.11702326021234755</v>
      </c>
      <c r="AQ252" s="86">
        <f t="shared" si="88"/>
        <v>0</v>
      </c>
      <c r="AR252" s="86">
        <f t="shared" si="89"/>
        <v>0</v>
      </c>
      <c r="AS252" s="94">
        <f t="shared" si="90"/>
        <v>0</v>
      </c>
      <c r="AT252" s="94">
        <f t="shared" si="91"/>
        <v>0</v>
      </c>
      <c r="AU252" s="94">
        <f t="shared" si="74"/>
        <v>0</v>
      </c>
      <c r="AV252" s="94">
        <f t="shared" si="75"/>
        <v>0</v>
      </c>
    </row>
    <row r="253" spans="1:48" x14ac:dyDescent="0.3">
      <c r="A253" s="85" t="str">
        <f>_xlfn.XLOOKUP(B253,'Country codes &amp; Data sources'!G:G,'Country codes &amp; Data sources'!H:H,,0)</f>
        <v>Eritrea</v>
      </c>
      <c r="B253" s="85" t="s">
        <v>194</v>
      </c>
      <c r="C253" s="86">
        <v>3252605</v>
      </c>
      <c r="D253" s="85" t="s">
        <v>204</v>
      </c>
      <c r="E253" s="87">
        <v>0</v>
      </c>
      <c r="F253" s="88">
        <v>3296367</v>
      </c>
      <c r="G253" s="87">
        <v>0</v>
      </c>
      <c r="I253" s="87">
        <v>0</v>
      </c>
      <c r="K253" s="87">
        <v>0</v>
      </c>
      <c r="M253" s="87">
        <v>0</v>
      </c>
      <c r="O253" s="87">
        <v>0</v>
      </c>
      <c r="P253" s="88">
        <v>3445374.4999999986</v>
      </c>
      <c r="Q253" s="87">
        <v>0</v>
      </c>
      <c r="R253" s="87">
        <f t="shared" ref="R253:R305" si="93">MAX(Q253,AA253)</f>
        <v>0</v>
      </c>
      <c r="T253" s="87">
        <v>0</v>
      </c>
      <c r="V253" s="87">
        <v>0</v>
      </c>
      <c r="X253" s="87">
        <v>0</v>
      </c>
      <c r="Y253" s="88">
        <v>3684031.5000000019</v>
      </c>
      <c r="Z253" s="87">
        <v>381</v>
      </c>
      <c r="AA253" s="87">
        <v>0</v>
      </c>
      <c r="AB253" s="89">
        <f t="shared" ref="AB253:AB305" si="94">MAX(G253,E253,I253,K253)</f>
        <v>0</v>
      </c>
      <c r="AC253" s="89">
        <f t="shared" ref="AC253:AC305" si="95">MAX(M253,O253,Q253,T253)</f>
        <v>0</v>
      </c>
      <c r="AD253" s="89">
        <f t="shared" ref="AD253:AD305" si="96">MAX(V253,X253,Z253)</f>
        <v>381</v>
      </c>
      <c r="AF253" s="90" t="str">
        <f t="shared" ref="AF253:AF305" si="97">IF(AE253&gt;0,_xlfn.XLOOKUP(AE253,$B253:$K253,$B$1:$K$1,,0),"")</f>
        <v/>
      </c>
      <c r="AH253" s="90" t="str">
        <f t="shared" ref="AH253:AH305" si="98">IF(AG253&gt;0,_xlfn.XLOOKUP(AG253,$L253:$T253,$L$1:$T$1,,0),"")</f>
        <v/>
      </c>
      <c r="AI253" s="90">
        <f t="shared" ref="AI253:AI305" si="99">IF((IF(Z253&gt;0,Z253,IF(X253&gt;0,X253,IF(V253&gt;0,V253,T253))))=0,AG253,IF(Z253&gt;0,Z253,IF(X253&gt;0,X253,IF(V253&gt;0,V253,T253))))</f>
        <v>381</v>
      </c>
      <c r="AJ253" s="90">
        <f t="shared" ref="AJ253:AJ305" si="100">IFERROR(IF(AI253&gt;0,_xlfn.XLOOKUP(AI253,$V253:$Z253,$V$1:$Z$1,,0),""),AH253)</f>
        <v>2022</v>
      </c>
      <c r="AK253" s="90" t="str">
        <f t="shared" ref="AK253:AK305" si="101">IF(AI253&lt;AG253,"Adjust","")</f>
        <v/>
      </c>
      <c r="AL253" s="91">
        <f>IF(AK253="Adjust",(_xlfn.XLOOKUP(A253,'Adj factor'!A:A,'Adj factor'!I:I,,0)*AI253),'Master DataSheet (Rev)'!AI253)</f>
        <v>381</v>
      </c>
      <c r="AM253" s="91">
        <f t="shared" ref="AM253:AM305" si="102">IF(AL253&lt;AG253,AG253,AL253)</f>
        <v>381</v>
      </c>
      <c r="AN253" s="92" t="str">
        <f t="shared" ref="AN253:AN305" si="103">IF(AL253&gt;AG253,"Increasing",IF(AL253&lt;AG253,"Decreasing","No change"))</f>
        <v>Increasing</v>
      </c>
      <c r="AO253" s="93">
        <f>VLOOKUP(B253,'Growthrates source'!A$2:H$49,8,FALSE)</f>
        <v>-2.2233181875670249E-2</v>
      </c>
      <c r="AP253" s="93">
        <f>VLOOKUP(B253,'Growthrates source'!A$2:I$49,9,FALSE)</f>
        <v>0.11702326021234755</v>
      </c>
      <c r="AQ253" s="86">
        <f t="shared" ref="AQ253:AQ305" si="104">AA253/(EXP(AO253*5))</f>
        <v>0</v>
      </c>
      <c r="AR253" s="86">
        <f t="shared" ref="AR253:AR305" si="105">AA253*EXP(AP253*3)</f>
        <v>0</v>
      </c>
      <c r="AS253" s="94">
        <f t="shared" ref="AS253:AS305" si="106">(AE253*10000)/F253</f>
        <v>0</v>
      </c>
      <c r="AT253" s="94">
        <f t="shared" ref="AT253:AT305" si="107">(AG253*10000)/P253</f>
        <v>0</v>
      </c>
      <c r="AU253" s="94">
        <f t="shared" si="74"/>
        <v>1.0341931115409839</v>
      </c>
      <c r="AV253" s="94">
        <f t="shared" si="75"/>
        <v>1.0341931115409839</v>
      </c>
    </row>
    <row r="254" spans="1:48" x14ac:dyDescent="0.3">
      <c r="A254" s="85" t="str">
        <f>_xlfn.XLOOKUP(B254,'Country codes &amp; Data sources'!G:G,'Country codes &amp; Data sources'!H:H,,0)</f>
        <v>Eritrea</v>
      </c>
      <c r="B254" s="85" t="s">
        <v>194</v>
      </c>
      <c r="C254" s="86">
        <v>3252606</v>
      </c>
      <c r="D254" s="85" t="s">
        <v>205</v>
      </c>
      <c r="E254" s="87">
        <v>0</v>
      </c>
      <c r="F254" s="88">
        <v>3296367</v>
      </c>
      <c r="G254" s="87">
        <v>0</v>
      </c>
      <c r="I254" s="87">
        <v>0</v>
      </c>
      <c r="K254" s="87">
        <v>0</v>
      </c>
      <c r="M254" s="87">
        <v>0</v>
      </c>
      <c r="O254" s="87">
        <v>0</v>
      </c>
      <c r="P254" s="88">
        <v>3445374.4999999986</v>
      </c>
      <c r="Q254" s="87">
        <v>0</v>
      </c>
      <c r="R254" s="87">
        <f t="shared" si="93"/>
        <v>0</v>
      </c>
      <c r="T254" s="87">
        <v>0</v>
      </c>
      <c r="V254" s="87">
        <v>0</v>
      </c>
      <c r="X254" s="87">
        <v>0</v>
      </c>
      <c r="Y254" s="88">
        <v>3684031.5000000019</v>
      </c>
      <c r="Z254" s="87">
        <v>0</v>
      </c>
      <c r="AA254" s="87">
        <v>0</v>
      </c>
      <c r="AB254" s="89">
        <f t="shared" si="94"/>
        <v>0</v>
      </c>
      <c r="AC254" s="89">
        <f t="shared" si="95"/>
        <v>0</v>
      </c>
      <c r="AD254" s="89">
        <f t="shared" si="96"/>
        <v>0</v>
      </c>
      <c r="AF254" s="90" t="str">
        <f t="shared" si="97"/>
        <v/>
      </c>
      <c r="AH254" s="90" t="str">
        <f t="shared" si="98"/>
        <v/>
      </c>
      <c r="AI254" s="90">
        <f t="shared" si="99"/>
        <v>0</v>
      </c>
      <c r="AJ254" s="90" t="str">
        <f t="shared" si="100"/>
        <v/>
      </c>
      <c r="AK254" s="90" t="str">
        <f t="shared" si="101"/>
        <v/>
      </c>
      <c r="AL254" s="91"/>
      <c r="AM254" s="91">
        <f t="shared" si="102"/>
        <v>0</v>
      </c>
      <c r="AN254" s="92" t="str">
        <f t="shared" si="103"/>
        <v>No change</v>
      </c>
      <c r="AO254" s="93">
        <f>VLOOKUP(B254,'Growthrates source'!A$2:H$49,8,FALSE)</f>
        <v>-2.2233181875670249E-2</v>
      </c>
      <c r="AP254" s="93">
        <f>VLOOKUP(B254,'Growthrates source'!A$2:I$49,9,FALSE)</f>
        <v>0.11702326021234755</v>
      </c>
      <c r="AQ254" s="86">
        <f t="shared" si="104"/>
        <v>0</v>
      </c>
      <c r="AR254" s="86">
        <f t="shared" si="105"/>
        <v>0</v>
      </c>
      <c r="AS254" s="94">
        <f t="shared" si="106"/>
        <v>0</v>
      </c>
      <c r="AT254" s="94">
        <f t="shared" si="107"/>
        <v>0</v>
      </c>
      <c r="AU254" s="94">
        <f t="shared" si="74"/>
        <v>0</v>
      </c>
      <c r="AV254" s="94">
        <f t="shared" si="75"/>
        <v>0</v>
      </c>
    </row>
    <row r="255" spans="1:48" x14ac:dyDescent="0.3">
      <c r="A255" s="85" t="str">
        <f>_xlfn.XLOOKUP(B255,'Country codes &amp; Data sources'!G:G,'Country codes &amp; Data sources'!H:H,,0)</f>
        <v>Eritrea</v>
      </c>
      <c r="B255" s="85" t="s">
        <v>194</v>
      </c>
      <c r="C255" s="86">
        <v>3252607</v>
      </c>
      <c r="D255" s="85" t="s">
        <v>133</v>
      </c>
      <c r="E255" s="87">
        <v>0</v>
      </c>
      <c r="F255" s="88">
        <v>3296367</v>
      </c>
      <c r="G255" s="87">
        <v>0</v>
      </c>
      <c r="I255" s="87">
        <v>0</v>
      </c>
      <c r="K255" s="87">
        <v>0</v>
      </c>
      <c r="M255" s="87">
        <v>0</v>
      </c>
      <c r="O255" s="87">
        <v>0</v>
      </c>
      <c r="P255" s="88">
        <v>3445374.4999999986</v>
      </c>
      <c r="Q255" s="87">
        <v>549</v>
      </c>
      <c r="R255" s="87">
        <f t="shared" si="93"/>
        <v>549</v>
      </c>
      <c r="T255" s="87">
        <v>0</v>
      </c>
      <c r="V255" s="87">
        <v>0</v>
      </c>
      <c r="X255" s="87">
        <v>298</v>
      </c>
      <c r="Y255" s="88">
        <v>3684031.5000000019</v>
      </c>
      <c r="Z255" s="87">
        <v>296</v>
      </c>
      <c r="AA255" s="87">
        <v>0</v>
      </c>
      <c r="AB255" s="89">
        <f t="shared" si="94"/>
        <v>0</v>
      </c>
      <c r="AC255" s="89">
        <f t="shared" si="95"/>
        <v>549</v>
      </c>
      <c r="AD255" s="89">
        <f t="shared" si="96"/>
        <v>298</v>
      </c>
      <c r="AF255" s="90" t="str">
        <f t="shared" si="97"/>
        <v/>
      </c>
      <c r="AG255" s="90">
        <f t="shared" ref="AG255:AG305" si="108">IF(R255&gt;0,R255,IF(O255&gt;0,O255,T255))</f>
        <v>549</v>
      </c>
      <c r="AH255" s="90">
        <f t="shared" si="98"/>
        <v>2018</v>
      </c>
      <c r="AI255" s="90">
        <f t="shared" si="99"/>
        <v>296</v>
      </c>
      <c r="AJ255" s="90">
        <f t="shared" si="100"/>
        <v>2022</v>
      </c>
      <c r="AK255" s="90" t="str">
        <f t="shared" si="101"/>
        <v>Adjust</v>
      </c>
      <c r="AL255" s="91">
        <f>IF(AK255="Adjust",(_xlfn.XLOOKUP(A255,'Adj factor'!A:A,'Adj factor'!I:I,,0)*AI255),'Master DataSheet (Rev)'!AI255)</f>
        <v>340.19239871884287</v>
      </c>
      <c r="AM255" s="91">
        <f t="shared" si="102"/>
        <v>549</v>
      </c>
      <c r="AN255" s="92" t="str">
        <f t="shared" si="103"/>
        <v>Decreasing</v>
      </c>
      <c r="AO255" s="93">
        <f>VLOOKUP(B255,'Growthrates source'!A$2:H$49,8,FALSE)</f>
        <v>-2.2233181875670249E-2</v>
      </c>
      <c r="AP255" s="93">
        <f>VLOOKUP(B255,'Growthrates source'!A$2:I$49,9,FALSE)</f>
        <v>0.11702326021234755</v>
      </c>
      <c r="AQ255" s="86">
        <f t="shared" si="104"/>
        <v>0</v>
      </c>
      <c r="AR255" s="86">
        <f t="shared" si="105"/>
        <v>0</v>
      </c>
      <c r="AS255" s="94">
        <f t="shared" si="106"/>
        <v>0</v>
      </c>
      <c r="AT255" s="94">
        <f t="shared" si="107"/>
        <v>1.5934407130487562</v>
      </c>
      <c r="AU255" s="94">
        <f t="shared" si="74"/>
        <v>0.92342423977331001</v>
      </c>
      <c r="AV255" s="94">
        <f t="shared" si="75"/>
        <v>1.4902152709606302</v>
      </c>
    </row>
    <row r="256" spans="1:48" x14ac:dyDescent="0.3">
      <c r="A256" s="85" t="str">
        <f>_xlfn.XLOOKUP(B256,'Country codes &amp; Data sources'!G:G,'Country codes &amp; Data sources'!H:H,,0)</f>
        <v>Eritrea</v>
      </c>
      <c r="B256" s="85" t="s">
        <v>194</v>
      </c>
      <c r="C256" s="86">
        <v>3252608</v>
      </c>
      <c r="D256" s="85" t="s">
        <v>206</v>
      </c>
      <c r="E256" s="87">
        <v>0</v>
      </c>
      <c r="F256" s="88">
        <v>3296367</v>
      </c>
      <c r="G256" s="87">
        <v>0</v>
      </c>
      <c r="I256" s="87">
        <v>0</v>
      </c>
      <c r="K256" s="87">
        <v>0</v>
      </c>
      <c r="M256" s="87">
        <v>0</v>
      </c>
      <c r="O256" s="87">
        <v>0</v>
      </c>
      <c r="P256" s="88">
        <v>3445374.4999999986</v>
      </c>
      <c r="Q256" s="87">
        <v>0</v>
      </c>
      <c r="R256" s="87">
        <f t="shared" si="93"/>
        <v>0</v>
      </c>
      <c r="T256" s="87">
        <v>0</v>
      </c>
      <c r="V256" s="87">
        <v>0</v>
      </c>
      <c r="X256" s="87">
        <v>0</v>
      </c>
      <c r="Y256" s="88">
        <v>3684031.5000000019</v>
      </c>
      <c r="Z256" s="87">
        <v>0</v>
      </c>
      <c r="AA256" s="87">
        <v>0</v>
      </c>
      <c r="AB256" s="89">
        <f t="shared" si="94"/>
        <v>0</v>
      </c>
      <c r="AC256" s="89">
        <f t="shared" si="95"/>
        <v>0</v>
      </c>
      <c r="AD256" s="89">
        <f t="shared" si="96"/>
        <v>0</v>
      </c>
      <c r="AF256" s="90" t="str">
        <f t="shared" si="97"/>
        <v/>
      </c>
      <c r="AH256" s="90" t="str">
        <f t="shared" si="98"/>
        <v/>
      </c>
      <c r="AI256" s="90">
        <f t="shared" si="99"/>
        <v>0</v>
      </c>
      <c r="AJ256" s="90" t="str">
        <f t="shared" si="100"/>
        <v/>
      </c>
      <c r="AK256" s="90" t="str">
        <f t="shared" si="101"/>
        <v/>
      </c>
      <c r="AL256" s="91"/>
      <c r="AM256" s="91">
        <f t="shared" si="102"/>
        <v>0</v>
      </c>
      <c r="AN256" s="92" t="str">
        <f t="shared" si="103"/>
        <v>No change</v>
      </c>
      <c r="AO256" s="93">
        <f>VLOOKUP(B256,'Growthrates source'!A$2:H$49,8,FALSE)</f>
        <v>-2.2233181875670249E-2</v>
      </c>
      <c r="AP256" s="93">
        <f>VLOOKUP(B256,'Growthrates source'!A$2:I$49,9,FALSE)</f>
        <v>0.11702326021234755</v>
      </c>
      <c r="AQ256" s="86">
        <f t="shared" si="104"/>
        <v>0</v>
      </c>
      <c r="AR256" s="86">
        <f t="shared" si="105"/>
        <v>0</v>
      </c>
      <c r="AS256" s="94">
        <f t="shared" si="106"/>
        <v>0</v>
      </c>
      <c r="AT256" s="94">
        <f t="shared" si="107"/>
        <v>0</v>
      </c>
      <c r="AU256" s="94">
        <f t="shared" si="74"/>
        <v>0</v>
      </c>
      <c r="AV256" s="94">
        <f t="shared" si="75"/>
        <v>0</v>
      </c>
    </row>
    <row r="257" spans="1:48" x14ac:dyDescent="0.3">
      <c r="A257" s="85" t="str">
        <f>_xlfn.XLOOKUP(B257,'Country codes &amp; Data sources'!G:G,'Country codes &amp; Data sources'!H:H,,0)</f>
        <v>Eritrea</v>
      </c>
      <c r="B257" s="85" t="s">
        <v>194</v>
      </c>
      <c r="C257" s="86">
        <v>3252609</v>
      </c>
      <c r="D257" s="85" t="s">
        <v>136</v>
      </c>
      <c r="E257" s="87">
        <v>0</v>
      </c>
      <c r="F257" s="88">
        <v>3296367</v>
      </c>
      <c r="G257" s="87">
        <v>0</v>
      </c>
      <c r="I257" s="87">
        <v>0</v>
      </c>
      <c r="K257" s="87">
        <v>0</v>
      </c>
      <c r="M257" s="87">
        <v>0</v>
      </c>
      <c r="O257" s="87">
        <v>0</v>
      </c>
      <c r="P257" s="88">
        <v>3445374.4999999986</v>
      </c>
      <c r="Q257" s="87">
        <v>0</v>
      </c>
      <c r="R257" s="87">
        <f t="shared" si="93"/>
        <v>113</v>
      </c>
      <c r="T257" s="87">
        <v>0</v>
      </c>
      <c r="V257" s="87">
        <v>0</v>
      </c>
      <c r="X257" s="87">
        <v>137</v>
      </c>
      <c r="Y257" s="88">
        <v>3684031.5000000019</v>
      </c>
      <c r="Z257" s="87">
        <v>141</v>
      </c>
      <c r="AA257" s="87">
        <v>113</v>
      </c>
      <c r="AB257" s="89">
        <f t="shared" si="94"/>
        <v>0</v>
      </c>
      <c r="AC257" s="89">
        <f t="shared" si="95"/>
        <v>0</v>
      </c>
      <c r="AD257" s="89">
        <f t="shared" si="96"/>
        <v>141</v>
      </c>
      <c r="AF257" s="90" t="str">
        <f t="shared" si="97"/>
        <v/>
      </c>
      <c r="AG257" s="90">
        <f t="shared" si="108"/>
        <v>113</v>
      </c>
      <c r="AH257" s="90" t="str">
        <f t="shared" si="98"/>
        <v>2018 (triag)</v>
      </c>
      <c r="AI257" s="90">
        <f t="shared" si="99"/>
        <v>141</v>
      </c>
      <c r="AJ257" s="90">
        <f t="shared" si="100"/>
        <v>2022</v>
      </c>
      <c r="AK257" s="90" t="str">
        <f t="shared" si="101"/>
        <v/>
      </c>
      <c r="AL257" s="91">
        <f>IF(AK257="Adjust",(_xlfn.XLOOKUP(A257,'Adj factor'!A:A,'Adj factor'!I:I,,0)*AI257),'Master DataSheet (Rev)'!AI257)</f>
        <v>141</v>
      </c>
      <c r="AM257" s="91">
        <f t="shared" si="102"/>
        <v>141</v>
      </c>
      <c r="AN257" s="92" t="str">
        <f t="shared" si="103"/>
        <v>Increasing</v>
      </c>
      <c r="AO257" s="93">
        <f>VLOOKUP(B257,'Growthrates source'!A$2:H$49,8,FALSE)</f>
        <v>-2.2233181875670249E-2</v>
      </c>
      <c r="AP257" s="93">
        <f>VLOOKUP(B257,'Growthrates source'!A$2:I$49,9,FALSE)</f>
        <v>0.11702326021234755</v>
      </c>
      <c r="AQ257" s="86">
        <f t="shared" si="104"/>
        <v>126.28657486370246</v>
      </c>
      <c r="AR257" s="86">
        <f t="shared" si="105"/>
        <v>160.52626906257615</v>
      </c>
      <c r="AS257" s="94">
        <f t="shared" si="106"/>
        <v>0</v>
      </c>
      <c r="AT257" s="94">
        <f t="shared" si="107"/>
        <v>0.32797595733061835</v>
      </c>
      <c r="AU257" s="94">
        <f t="shared" si="74"/>
        <v>0.3827328837986318</v>
      </c>
      <c r="AV257" s="94">
        <f t="shared" si="75"/>
        <v>0.3827328837986318</v>
      </c>
    </row>
    <row r="258" spans="1:48" x14ac:dyDescent="0.3">
      <c r="A258" s="85" t="str">
        <f>_xlfn.XLOOKUP(B258,'Country codes &amp; Data sources'!G:G,'Country codes &amp; Data sources'!H:H,,0)</f>
        <v>Eritrea</v>
      </c>
      <c r="B258" s="85" t="s">
        <v>194</v>
      </c>
      <c r="C258" s="86">
        <v>3252610</v>
      </c>
      <c r="D258" s="85" t="s">
        <v>207</v>
      </c>
      <c r="E258" s="87">
        <v>0</v>
      </c>
      <c r="F258" s="88">
        <v>3296367</v>
      </c>
      <c r="G258" s="87">
        <v>0</v>
      </c>
      <c r="I258" s="87">
        <v>0</v>
      </c>
      <c r="K258" s="87">
        <v>0</v>
      </c>
      <c r="M258" s="87">
        <v>0</v>
      </c>
      <c r="O258" s="87">
        <v>0</v>
      </c>
      <c r="P258" s="88">
        <v>3445374.4999999986</v>
      </c>
      <c r="Q258" s="87">
        <v>0</v>
      </c>
      <c r="R258" s="87">
        <f t="shared" si="93"/>
        <v>0</v>
      </c>
      <c r="T258" s="87">
        <v>0</v>
      </c>
      <c r="V258" s="87">
        <v>0</v>
      </c>
      <c r="X258" s="87">
        <v>0</v>
      </c>
      <c r="Y258" s="88">
        <v>3684031.5000000019</v>
      </c>
      <c r="Z258" s="87">
        <v>0</v>
      </c>
      <c r="AA258" s="87">
        <v>0</v>
      </c>
      <c r="AB258" s="89">
        <f t="shared" si="94"/>
        <v>0</v>
      </c>
      <c r="AC258" s="89">
        <f t="shared" si="95"/>
        <v>0</v>
      </c>
      <c r="AD258" s="89">
        <f t="shared" si="96"/>
        <v>0</v>
      </c>
      <c r="AF258" s="90" t="str">
        <f t="shared" si="97"/>
        <v/>
      </c>
      <c r="AH258" s="90" t="str">
        <f t="shared" si="98"/>
        <v/>
      </c>
      <c r="AI258" s="90">
        <f t="shared" si="99"/>
        <v>0</v>
      </c>
      <c r="AJ258" s="90" t="str">
        <f t="shared" si="100"/>
        <v/>
      </c>
      <c r="AK258" s="90" t="str">
        <f t="shared" si="101"/>
        <v/>
      </c>
      <c r="AL258" s="91"/>
      <c r="AM258" s="91">
        <f t="shared" si="102"/>
        <v>0</v>
      </c>
      <c r="AN258" s="92" t="str">
        <f t="shared" si="103"/>
        <v>No change</v>
      </c>
      <c r="AO258" s="93">
        <f>VLOOKUP(B258,'Growthrates source'!A$2:H$49,8,FALSE)</f>
        <v>-2.2233181875670249E-2</v>
      </c>
      <c r="AP258" s="93">
        <f>VLOOKUP(B258,'Growthrates source'!A$2:I$49,9,FALSE)</f>
        <v>0.11702326021234755</v>
      </c>
      <c r="AQ258" s="86">
        <f t="shared" si="104"/>
        <v>0</v>
      </c>
      <c r="AR258" s="86">
        <f t="shared" si="105"/>
        <v>0</v>
      </c>
      <c r="AS258" s="94">
        <f t="shared" si="106"/>
        <v>0</v>
      </c>
      <c r="AT258" s="94">
        <f t="shared" si="107"/>
        <v>0</v>
      </c>
      <c r="AU258" s="94">
        <f t="shared" si="74"/>
        <v>0</v>
      </c>
      <c r="AV258" s="94">
        <f t="shared" si="75"/>
        <v>0</v>
      </c>
    </row>
    <row r="259" spans="1:48" x14ac:dyDescent="0.3">
      <c r="A259" s="85" t="str">
        <f>_xlfn.XLOOKUP(B259,'Country codes &amp; Data sources'!G:G,'Country codes &amp; Data sources'!H:H,,0)</f>
        <v>Eritrea</v>
      </c>
      <c r="B259" s="85" t="s">
        <v>194</v>
      </c>
      <c r="C259" s="86">
        <v>3252611</v>
      </c>
      <c r="D259" s="85" t="s">
        <v>141</v>
      </c>
      <c r="E259" s="87">
        <v>0</v>
      </c>
      <c r="F259" s="88">
        <v>3296367</v>
      </c>
      <c r="G259" s="87">
        <v>0</v>
      </c>
      <c r="I259" s="87">
        <v>0</v>
      </c>
      <c r="K259" s="87">
        <v>0</v>
      </c>
      <c r="M259" s="87">
        <v>0</v>
      </c>
      <c r="O259" s="87">
        <v>0</v>
      </c>
      <c r="P259" s="88">
        <v>3445374.4999999986</v>
      </c>
      <c r="Q259" s="87">
        <v>0</v>
      </c>
      <c r="R259" s="87">
        <f t="shared" si="93"/>
        <v>86</v>
      </c>
      <c r="T259" s="87">
        <v>0</v>
      </c>
      <c r="V259" s="87">
        <v>0</v>
      </c>
      <c r="X259" s="87">
        <v>99</v>
      </c>
      <c r="Y259" s="88">
        <v>3684031.5000000019</v>
      </c>
      <c r="Z259" s="87">
        <v>96</v>
      </c>
      <c r="AA259" s="87">
        <v>86</v>
      </c>
      <c r="AB259" s="89">
        <f t="shared" si="94"/>
        <v>0</v>
      </c>
      <c r="AC259" s="89">
        <f t="shared" si="95"/>
        <v>0</v>
      </c>
      <c r="AD259" s="89">
        <f t="shared" si="96"/>
        <v>99</v>
      </c>
      <c r="AF259" s="90" t="str">
        <f t="shared" si="97"/>
        <v/>
      </c>
      <c r="AG259" s="90">
        <f t="shared" si="108"/>
        <v>86</v>
      </c>
      <c r="AH259" s="90" t="str">
        <f t="shared" si="98"/>
        <v>2018 (triag)</v>
      </c>
      <c r="AI259" s="90">
        <f t="shared" si="99"/>
        <v>96</v>
      </c>
      <c r="AJ259" s="90">
        <f t="shared" si="100"/>
        <v>2022</v>
      </c>
      <c r="AK259" s="90" t="str">
        <f t="shared" si="101"/>
        <v/>
      </c>
      <c r="AL259" s="91">
        <f>IF(AK259="Adjust",(_xlfn.XLOOKUP(A259,'Adj factor'!A:A,'Adj factor'!I:I,,0)*AI259),'Master DataSheet (Rev)'!AI259)</f>
        <v>96</v>
      </c>
      <c r="AM259" s="91">
        <f t="shared" si="102"/>
        <v>96</v>
      </c>
      <c r="AN259" s="92" t="str">
        <f t="shared" si="103"/>
        <v>Increasing</v>
      </c>
      <c r="AO259" s="93">
        <f>VLOOKUP(B259,'Growthrates source'!A$2:H$49,8,FALSE)</f>
        <v>-2.2233181875670249E-2</v>
      </c>
      <c r="AP259" s="93">
        <f>VLOOKUP(B259,'Growthrates source'!A$2:I$49,9,FALSE)</f>
        <v>0.11702326021234755</v>
      </c>
      <c r="AQ259" s="86">
        <f t="shared" si="104"/>
        <v>96.111906533437264</v>
      </c>
      <c r="AR259" s="86">
        <f t="shared" si="105"/>
        <v>122.17043486178362</v>
      </c>
      <c r="AS259" s="94">
        <f t="shared" si="106"/>
        <v>0</v>
      </c>
      <c r="AT259" s="94">
        <f t="shared" si="107"/>
        <v>0.24961002062330245</v>
      </c>
      <c r="AU259" s="94">
        <f t="shared" ref="AU259:AU322" si="109">(AL259*10000)/Y259</f>
        <v>0.26058409109694081</v>
      </c>
      <c r="AV259" s="94">
        <f t="shared" ref="AV259:AV322" si="110">(AM259*10000)/Y259</f>
        <v>0.26058409109694081</v>
      </c>
    </row>
    <row r="260" spans="1:48" x14ac:dyDescent="0.3">
      <c r="A260" s="85" t="str">
        <f>_xlfn.XLOOKUP(B260,'Country codes &amp; Data sources'!G:G,'Country codes &amp; Data sources'!H:H,,0)</f>
        <v>Eritrea</v>
      </c>
      <c r="B260" s="85" t="s">
        <v>194</v>
      </c>
      <c r="C260" s="86">
        <v>3252612</v>
      </c>
      <c r="D260" s="85" t="s">
        <v>208</v>
      </c>
      <c r="E260" s="87">
        <v>0</v>
      </c>
      <c r="F260" s="88">
        <v>3296367</v>
      </c>
      <c r="G260" s="87">
        <v>0</v>
      </c>
      <c r="I260" s="87">
        <v>0</v>
      </c>
      <c r="K260" s="87">
        <v>0</v>
      </c>
      <c r="M260" s="87">
        <v>0</v>
      </c>
      <c r="O260" s="87">
        <v>0</v>
      </c>
      <c r="P260" s="88">
        <v>3445374.4999999986</v>
      </c>
      <c r="Q260" s="87">
        <v>0</v>
      </c>
      <c r="R260" s="87">
        <f t="shared" si="93"/>
        <v>3563</v>
      </c>
      <c r="T260" s="87">
        <v>0</v>
      </c>
      <c r="V260" s="87">
        <v>0</v>
      </c>
      <c r="X260" s="87">
        <v>0</v>
      </c>
      <c r="Y260" s="88">
        <v>3684031.5000000019</v>
      </c>
      <c r="Z260" s="87">
        <v>0</v>
      </c>
      <c r="AA260" s="87">
        <v>3563</v>
      </c>
      <c r="AB260" s="89">
        <f t="shared" si="94"/>
        <v>0</v>
      </c>
      <c r="AC260" s="89">
        <f t="shared" si="95"/>
        <v>0</v>
      </c>
      <c r="AD260" s="89">
        <f t="shared" si="96"/>
        <v>0</v>
      </c>
      <c r="AF260" s="90" t="str">
        <f t="shared" si="97"/>
        <v/>
      </c>
      <c r="AG260" s="90">
        <f t="shared" si="108"/>
        <v>3563</v>
      </c>
      <c r="AH260" s="90" t="str">
        <f t="shared" si="98"/>
        <v>2018 (triag)</v>
      </c>
      <c r="AI260" s="90">
        <f t="shared" si="99"/>
        <v>3563</v>
      </c>
      <c r="AJ260" s="90" t="str">
        <f t="shared" si="100"/>
        <v>2018 (triag)</v>
      </c>
      <c r="AK260" s="90" t="str">
        <f t="shared" si="101"/>
        <v/>
      </c>
      <c r="AL260" s="91">
        <f>IF(AK260="Adjust",(_xlfn.XLOOKUP(A260,'Adj factor'!A:A,'Adj factor'!I:I,,0)*AI260),'Master DataSheet (Rev)'!AI260)</f>
        <v>3563</v>
      </c>
      <c r="AM260" s="91">
        <f t="shared" si="102"/>
        <v>3563</v>
      </c>
      <c r="AN260" s="92" t="str">
        <f t="shared" si="103"/>
        <v>No change</v>
      </c>
      <c r="AO260" s="93">
        <f>VLOOKUP(B260,'Growthrates source'!A$2:H$49,8,FALSE)</f>
        <v>-2.2233181875670249E-2</v>
      </c>
      <c r="AP260" s="93">
        <f>VLOOKUP(B260,'Growthrates source'!A$2:I$49,9,FALSE)</f>
        <v>0.11702326021234755</v>
      </c>
      <c r="AQ260" s="86">
        <f t="shared" si="104"/>
        <v>3981.9386392864762</v>
      </c>
      <c r="AR260" s="86">
        <f t="shared" si="105"/>
        <v>5061.549528052733</v>
      </c>
      <c r="AS260" s="94">
        <f t="shared" si="106"/>
        <v>0</v>
      </c>
      <c r="AT260" s="94">
        <f t="shared" si="107"/>
        <v>10.341401203265425</v>
      </c>
      <c r="AU260" s="94">
        <f t="shared" si="109"/>
        <v>9.6714699643583337</v>
      </c>
      <c r="AV260" s="94">
        <f t="shared" si="110"/>
        <v>9.6714699643583337</v>
      </c>
    </row>
    <row r="261" spans="1:48" x14ac:dyDescent="0.3">
      <c r="A261" s="85" t="str">
        <f>_xlfn.XLOOKUP(B261,'Country codes &amp; Data sources'!G:G,'Country codes &amp; Data sources'!H:H,,0)</f>
        <v>Eritrea</v>
      </c>
      <c r="B261" s="85" t="s">
        <v>194</v>
      </c>
      <c r="C261" s="86">
        <v>3252613</v>
      </c>
      <c r="D261" s="85" t="s">
        <v>209</v>
      </c>
      <c r="E261" s="87">
        <v>0</v>
      </c>
      <c r="F261" s="88">
        <v>3296367</v>
      </c>
      <c r="G261" s="87">
        <v>0</v>
      </c>
      <c r="I261" s="87">
        <v>0</v>
      </c>
      <c r="K261" s="87">
        <v>0</v>
      </c>
      <c r="M261" s="87">
        <v>0</v>
      </c>
      <c r="O261" s="87">
        <v>0</v>
      </c>
      <c r="P261" s="88">
        <v>3445374.4999999986</v>
      </c>
      <c r="Q261" s="87">
        <v>0</v>
      </c>
      <c r="R261" s="87">
        <f t="shared" si="93"/>
        <v>0</v>
      </c>
      <c r="T261" s="87">
        <v>0</v>
      </c>
      <c r="V261" s="87">
        <v>0</v>
      </c>
      <c r="X261" s="87">
        <v>0</v>
      </c>
      <c r="Y261" s="88">
        <v>3684031.5000000019</v>
      </c>
      <c r="Z261" s="87">
        <v>0</v>
      </c>
      <c r="AA261" s="87">
        <v>0</v>
      </c>
      <c r="AB261" s="89">
        <f t="shared" si="94"/>
        <v>0</v>
      </c>
      <c r="AC261" s="89">
        <f t="shared" si="95"/>
        <v>0</v>
      </c>
      <c r="AD261" s="89">
        <f t="shared" si="96"/>
        <v>0</v>
      </c>
      <c r="AF261" s="90" t="str">
        <f t="shared" si="97"/>
        <v/>
      </c>
      <c r="AH261" s="90" t="str">
        <f t="shared" si="98"/>
        <v/>
      </c>
      <c r="AI261" s="90">
        <f t="shared" si="99"/>
        <v>0</v>
      </c>
      <c r="AJ261" s="90" t="str">
        <f t="shared" si="100"/>
        <v/>
      </c>
      <c r="AK261" s="90" t="str">
        <f t="shared" si="101"/>
        <v/>
      </c>
      <c r="AL261" s="91"/>
      <c r="AM261" s="91">
        <f t="shared" si="102"/>
        <v>0</v>
      </c>
      <c r="AN261" s="92" t="str">
        <f t="shared" si="103"/>
        <v>No change</v>
      </c>
      <c r="AO261" s="93">
        <f>VLOOKUP(B261,'Growthrates source'!A$2:H$49,8,FALSE)</f>
        <v>-2.2233181875670249E-2</v>
      </c>
      <c r="AP261" s="93">
        <f>VLOOKUP(B261,'Growthrates source'!A$2:I$49,9,FALSE)</f>
        <v>0.11702326021234755</v>
      </c>
      <c r="AQ261" s="86">
        <f t="shared" si="104"/>
        <v>0</v>
      </c>
      <c r="AR261" s="86">
        <f t="shared" si="105"/>
        <v>0</v>
      </c>
      <c r="AS261" s="94">
        <f t="shared" si="106"/>
        <v>0</v>
      </c>
      <c r="AT261" s="94">
        <f t="shared" si="107"/>
        <v>0</v>
      </c>
      <c r="AU261" s="94">
        <f t="shared" si="109"/>
        <v>0</v>
      </c>
      <c r="AV261" s="94">
        <f t="shared" si="110"/>
        <v>0</v>
      </c>
    </row>
    <row r="262" spans="1:48" x14ac:dyDescent="0.3">
      <c r="A262" s="85" t="str">
        <f>_xlfn.XLOOKUP(B262,'Country codes &amp; Data sources'!G:G,'Country codes &amp; Data sources'!H:H,,0)</f>
        <v>Eritrea</v>
      </c>
      <c r="B262" s="85" t="s">
        <v>194</v>
      </c>
      <c r="C262" s="86">
        <v>3252614</v>
      </c>
      <c r="D262" s="85" t="s">
        <v>134</v>
      </c>
      <c r="E262" s="87">
        <v>0</v>
      </c>
      <c r="F262" s="88">
        <v>3296367</v>
      </c>
      <c r="G262" s="87">
        <v>0</v>
      </c>
      <c r="I262" s="87">
        <v>0</v>
      </c>
      <c r="K262" s="87">
        <v>0</v>
      </c>
      <c r="M262" s="87">
        <v>0</v>
      </c>
      <c r="O262" s="87">
        <v>0</v>
      </c>
      <c r="P262" s="88">
        <v>3445374.4999999986</v>
      </c>
      <c r="Q262" s="87">
        <v>0</v>
      </c>
      <c r="R262" s="87">
        <f t="shared" si="93"/>
        <v>549</v>
      </c>
      <c r="T262" s="87">
        <v>0</v>
      </c>
      <c r="V262" s="87">
        <v>0</v>
      </c>
      <c r="X262" s="87">
        <v>267</v>
      </c>
      <c r="Y262" s="88">
        <v>3684031.5000000019</v>
      </c>
      <c r="Z262" s="87">
        <v>267</v>
      </c>
      <c r="AA262" s="87">
        <v>549</v>
      </c>
      <c r="AB262" s="89">
        <f t="shared" si="94"/>
        <v>0</v>
      </c>
      <c r="AC262" s="89">
        <f t="shared" si="95"/>
        <v>0</v>
      </c>
      <c r="AD262" s="89">
        <f t="shared" si="96"/>
        <v>267</v>
      </c>
      <c r="AF262" s="90" t="str">
        <f t="shared" si="97"/>
        <v/>
      </c>
      <c r="AG262" s="90">
        <f t="shared" si="108"/>
        <v>549</v>
      </c>
      <c r="AH262" s="90" t="str">
        <f t="shared" si="98"/>
        <v>2018 (triag)</v>
      </c>
      <c r="AI262" s="90">
        <f t="shared" si="99"/>
        <v>267</v>
      </c>
      <c r="AJ262" s="90">
        <f t="shared" si="100"/>
        <v>2021</v>
      </c>
      <c r="AK262" s="90" t="str">
        <f t="shared" si="101"/>
        <v>Adjust</v>
      </c>
      <c r="AL262" s="91">
        <f>IF(AK262="Adjust",(_xlfn.XLOOKUP(A262,'Adj factor'!A:A,'Adj factor'!I:I,,0)*AI262),'Master DataSheet (Rev)'!AI262)</f>
        <v>306.86273803355084</v>
      </c>
      <c r="AM262" s="91">
        <f t="shared" si="102"/>
        <v>549</v>
      </c>
      <c r="AN262" s="92" t="str">
        <f t="shared" si="103"/>
        <v>Decreasing</v>
      </c>
      <c r="AO262" s="93">
        <f>VLOOKUP(B262,'Growthrates source'!A$2:H$49,8,FALSE)</f>
        <v>-2.2233181875670249E-2</v>
      </c>
      <c r="AP262" s="93">
        <f>VLOOKUP(B262,'Growthrates source'!A$2:I$49,9,FALSE)</f>
        <v>0.11702326021234755</v>
      </c>
      <c r="AQ262" s="86">
        <f t="shared" si="104"/>
        <v>613.55158938205886</v>
      </c>
      <c r="AR262" s="86">
        <f t="shared" si="105"/>
        <v>779.90196208278144</v>
      </c>
      <c r="AS262" s="94">
        <f t="shared" si="106"/>
        <v>0</v>
      </c>
      <c r="AT262" s="94">
        <f t="shared" si="107"/>
        <v>1.5934407130487562</v>
      </c>
      <c r="AU262" s="94">
        <f t="shared" si="109"/>
        <v>0.83295362168741138</v>
      </c>
      <c r="AV262" s="94">
        <f t="shared" si="110"/>
        <v>1.4902152709606302</v>
      </c>
    </row>
    <row r="263" spans="1:48" x14ac:dyDescent="0.3">
      <c r="A263" s="85" t="str">
        <f>_xlfn.XLOOKUP(B263,'Country codes &amp; Data sources'!G:G,'Country codes &amp; Data sources'!H:H,,0)</f>
        <v>Eritrea</v>
      </c>
      <c r="B263" s="85" t="s">
        <v>194</v>
      </c>
      <c r="C263" s="86">
        <v>3252615</v>
      </c>
      <c r="D263" s="85" t="s">
        <v>142</v>
      </c>
      <c r="E263" s="87">
        <v>0</v>
      </c>
      <c r="F263" s="88">
        <v>3296367</v>
      </c>
      <c r="G263" s="87">
        <v>0</v>
      </c>
      <c r="I263" s="87">
        <v>0</v>
      </c>
      <c r="K263" s="87">
        <v>0</v>
      </c>
      <c r="M263" s="87">
        <v>0</v>
      </c>
      <c r="O263" s="87">
        <v>0</v>
      </c>
      <c r="P263" s="88">
        <v>3445374.4999999986</v>
      </c>
      <c r="Q263" s="87">
        <v>0</v>
      </c>
      <c r="R263" s="87">
        <f t="shared" si="93"/>
        <v>0</v>
      </c>
      <c r="T263" s="87">
        <v>0</v>
      </c>
      <c r="V263" s="87">
        <v>0</v>
      </c>
      <c r="X263" s="87">
        <v>0</v>
      </c>
      <c r="Y263" s="88">
        <v>3684031.5000000019</v>
      </c>
      <c r="Z263" s="87">
        <v>0</v>
      </c>
      <c r="AA263" s="87">
        <v>0</v>
      </c>
      <c r="AB263" s="89">
        <f t="shared" si="94"/>
        <v>0</v>
      </c>
      <c r="AC263" s="89">
        <f t="shared" si="95"/>
        <v>0</v>
      </c>
      <c r="AD263" s="89">
        <f t="shared" si="96"/>
        <v>0</v>
      </c>
      <c r="AF263" s="90" t="str">
        <f t="shared" si="97"/>
        <v/>
      </c>
      <c r="AH263" s="90" t="str">
        <f t="shared" si="98"/>
        <v/>
      </c>
      <c r="AI263" s="90">
        <f t="shared" si="99"/>
        <v>0</v>
      </c>
      <c r="AJ263" s="90" t="str">
        <f t="shared" si="100"/>
        <v/>
      </c>
      <c r="AK263" s="90" t="str">
        <f t="shared" si="101"/>
        <v/>
      </c>
      <c r="AL263" s="91"/>
      <c r="AM263" s="91">
        <f t="shared" si="102"/>
        <v>0</v>
      </c>
      <c r="AN263" s="92" t="str">
        <f t="shared" si="103"/>
        <v>No change</v>
      </c>
      <c r="AO263" s="93">
        <f>VLOOKUP(B263,'Growthrates source'!A$2:H$49,8,FALSE)</f>
        <v>-2.2233181875670249E-2</v>
      </c>
      <c r="AP263" s="93">
        <f>VLOOKUP(B263,'Growthrates source'!A$2:I$49,9,FALSE)</f>
        <v>0.11702326021234755</v>
      </c>
      <c r="AQ263" s="86">
        <f t="shared" si="104"/>
        <v>0</v>
      </c>
      <c r="AR263" s="86">
        <f t="shared" si="105"/>
        <v>0</v>
      </c>
      <c r="AS263" s="94">
        <f t="shared" si="106"/>
        <v>0</v>
      </c>
      <c r="AT263" s="94">
        <f t="shared" si="107"/>
        <v>0</v>
      </c>
      <c r="AU263" s="94">
        <f t="shared" si="109"/>
        <v>0</v>
      </c>
      <c r="AV263" s="94">
        <f t="shared" si="110"/>
        <v>0</v>
      </c>
    </row>
    <row r="264" spans="1:48" x14ac:dyDescent="0.3">
      <c r="A264" s="85" t="str">
        <f>_xlfn.XLOOKUP(B264,'Country codes &amp; Data sources'!G:G,'Country codes &amp; Data sources'!H:H,,0)</f>
        <v>Eritrea</v>
      </c>
      <c r="B264" s="85" t="s">
        <v>194</v>
      </c>
      <c r="C264" s="86">
        <v>3252616</v>
      </c>
      <c r="D264" s="85" t="s">
        <v>83</v>
      </c>
      <c r="E264" s="87">
        <v>0</v>
      </c>
      <c r="F264" s="88">
        <v>3296367</v>
      </c>
      <c r="G264" s="87">
        <v>0</v>
      </c>
      <c r="I264" s="87">
        <v>0</v>
      </c>
      <c r="K264" s="87">
        <v>0</v>
      </c>
      <c r="M264" s="87">
        <v>0</v>
      </c>
      <c r="O264" s="87">
        <v>0</v>
      </c>
      <c r="P264" s="88">
        <v>3445374.4999999986</v>
      </c>
      <c r="Q264" s="87">
        <v>0</v>
      </c>
      <c r="R264" s="87">
        <f t="shared" si="93"/>
        <v>137</v>
      </c>
      <c r="T264" s="87">
        <v>0</v>
      </c>
      <c r="V264" s="87">
        <v>0</v>
      </c>
      <c r="X264" s="87">
        <v>131</v>
      </c>
      <c r="Y264" s="88">
        <v>3684031.5000000019</v>
      </c>
      <c r="Z264" s="87">
        <v>130</v>
      </c>
      <c r="AA264" s="87">
        <v>137</v>
      </c>
      <c r="AB264" s="89">
        <f t="shared" si="94"/>
        <v>0</v>
      </c>
      <c r="AC264" s="89">
        <f t="shared" si="95"/>
        <v>0</v>
      </c>
      <c r="AD264" s="89">
        <f t="shared" si="96"/>
        <v>131</v>
      </c>
      <c r="AF264" s="90" t="str">
        <f t="shared" si="97"/>
        <v/>
      </c>
      <c r="AG264" s="90">
        <f t="shared" si="108"/>
        <v>137</v>
      </c>
      <c r="AH264" s="90" t="str">
        <f t="shared" si="98"/>
        <v>2018 (triag)</v>
      </c>
      <c r="AI264" s="90">
        <f t="shared" si="99"/>
        <v>130</v>
      </c>
      <c r="AJ264" s="90">
        <f t="shared" si="100"/>
        <v>2022</v>
      </c>
      <c r="AK264" s="90" t="str">
        <f t="shared" si="101"/>
        <v>Adjust</v>
      </c>
      <c r="AL264" s="91">
        <f>IF(AK264="Adjust",(_xlfn.XLOOKUP(A264,'Adj factor'!A:A,'Adj factor'!I:I,,0)*AI264),'Master DataSheet (Rev)'!AI264)</f>
        <v>149.40882376165396</v>
      </c>
      <c r="AM264" s="91">
        <f t="shared" si="102"/>
        <v>149.40882376165396</v>
      </c>
      <c r="AN264" s="92" t="str">
        <f t="shared" si="103"/>
        <v>Increasing</v>
      </c>
      <c r="AO264" s="93">
        <f>VLOOKUP(B264,'Growthrates source'!A$2:H$49,8,FALSE)</f>
        <v>-2.2233181875670249E-2</v>
      </c>
      <c r="AP264" s="93">
        <f>VLOOKUP(B264,'Growthrates source'!A$2:I$49,9,FALSE)</f>
        <v>0.11702326021234755</v>
      </c>
      <c r="AQ264" s="86">
        <f t="shared" si="104"/>
        <v>153.10850226838261</v>
      </c>
      <c r="AR264" s="86">
        <f t="shared" si="105"/>
        <v>194.62034390772507</v>
      </c>
      <c r="AS264" s="94">
        <f t="shared" si="106"/>
        <v>0</v>
      </c>
      <c r="AT264" s="94">
        <f t="shared" si="107"/>
        <v>0.39763456773712136</v>
      </c>
      <c r="AU264" s="94">
        <f t="shared" si="109"/>
        <v>0.40555794314368349</v>
      </c>
      <c r="AV264" s="94">
        <f t="shared" si="110"/>
        <v>0.40555794314368349</v>
      </c>
    </row>
    <row r="265" spans="1:48" x14ac:dyDescent="0.3">
      <c r="A265" s="85" t="str">
        <f>_xlfn.XLOOKUP(B265,'Country codes &amp; Data sources'!G:G,'Country codes &amp; Data sources'!H:H,,0)</f>
        <v>Eritrea</v>
      </c>
      <c r="B265" s="85" t="s">
        <v>194</v>
      </c>
      <c r="C265" s="86">
        <v>3252617</v>
      </c>
      <c r="D265" s="85" t="s">
        <v>84</v>
      </c>
      <c r="E265" s="87">
        <v>0</v>
      </c>
      <c r="F265" s="88">
        <v>3296367</v>
      </c>
      <c r="G265" s="87">
        <v>0</v>
      </c>
      <c r="I265" s="87">
        <v>0</v>
      </c>
      <c r="K265" s="87">
        <v>0</v>
      </c>
      <c r="M265" s="87">
        <v>0</v>
      </c>
      <c r="O265" s="87">
        <v>0</v>
      </c>
      <c r="P265" s="88">
        <v>3445374.4999999986</v>
      </c>
      <c r="Q265" s="87">
        <v>0</v>
      </c>
      <c r="R265" s="87">
        <f t="shared" si="93"/>
        <v>0</v>
      </c>
      <c r="T265" s="87">
        <v>0</v>
      </c>
      <c r="V265" s="87">
        <v>0</v>
      </c>
      <c r="X265" s="87">
        <v>6</v>
      </c>
      <c r="Y265" s="88">
        <v>3684031.5000000019</v>
      </c>
      <c r="Z265" s="87">
        <v>6</v>
      </c>
      <c r="AA265" s="87">
        <v>0</v>
      </c>
      <c r="AB265" s="89">
        <f t="shared" si="94"/>
        <v>0</v>
      </c>
      <c r="AC265" s="89">
        <f t="shared" si="95"/>
        <v>0</v>
      </c>
      <c r="AD265" s="89">
        <f t="shared" si="96"/>
        <v>6</v>
      </c>
      <c r="AF265" s="90" t="str">
        <f t="shared" si="97"/>
        <v/>
      </c>
      <c r="AH265" s="90" t="str">
        <f t="shared" si="98"/>
        <v/>
      </c>
      <c r="AI265" s="90">
        <f t="shared" si="99"/>
        <v>6</v>
      </c>
      <c r="AJ265" s="90">
        <f t="shared" si="100"/>
        <v>2021</v>
      </c>
      <c r="AK265" s="90" t="str">
        <f t="shared" si="101"/>
        <v/>
      </c>
      <c r="AL265" s="91">
        <f>IF(AK265="Adjust",(_xlfn.XLOOKUP(A265,'Adj factor'!A:A,'Adj factor'!I:I,,0)*AI265),'Master DataSheet (Rev)'!AI265)</f>
        <v>6</v>
      </c>
      <c r="AM265" s="91">
        <f t="shared" si="102"/>
        <v>6</v>
      </c>
      <c r="AN265" s="92" t="str">
        <f t="shared" si="103"/>
        <v>Increasing</v>
      </c>
      <c r="AO265" s="93">
        <f>VLOOKUP(B265,'Growthrates source'!A$2:H$49,8,FALSE)</f>
        <v>-2.2233181875670249E-2</v>
      </c>
      <c r="AP265" s="93">
        <f>VLOOKUP(B265,'Growthrates source'!A$2:I$49,9,FALSE)</f>
        <v>0.11702326021234755</v>
      </c>
      <c r="AQ265" s="86">
        <f t="shared" si="104"/>
        <v>0</v>
      </c>
      <c r="AR265" s="86">
        <f t="shared" si="105"/>
        <v>0</v>
      </c>
      <c r="AS265" s="94">
        <f t="shared" si="106"/>
        <v>0</v>
      </c>
      <c r="AT265" s="94">
        <f t="shared" si="107"/>
        <v>0</v>
      </c>
      <c r="AU265" s="94">
        <f t="shared" si="109"/>
        <v>1.62865056935588E-2</v>
      </c>
      <c r="AV265" s="94">
        <f t="shared" si="110"/>
        <v>1.62865056935588E-2</v>
      </c>
    </row>
    <row r="266" spans="1:48" x14ac:dyDescent="0.3">
      <c r="A266" s="85" t="str">
        <f>_xlfn.XLOOKUP(B266,'Country codes &amp; Data sources'!G:G,'Country codes &amp; Data sources'!H:H,,0)</f>
        <v>Eritrea</v>
      </c>
      <c r="B266" s="85" t="s">
        <v>194</v>
      </c>
      <c r="C266" s="86">
        <v>3252618</v>
      </c>
      <c r="D266" s="85" t="s">
        <v>126</v>
      </c>
      <c r="E266" s="87">
        <v>0</v>
      </c>
      <c r="F266" s="88">
        <v>3296367</v>
      </c>
      <c r="G266" s="87">
        <v>0</v>
      </c>
      <c r="I266" s="87">
        <v>0</v>
      </c>
      <c r="K266" s="87">
        <v>0</v>
      </c>
      <c r="M266" s="87">
        <v>0</v>
      </c>
      <c r="O266" s="87">
        <v>0</v>
      </c>
      <c r="P266" s="88">
        <v>3445374.4999999986</v>
      </c>
      <c r="Q266" s="87">
        <v>0</v>
      </c>
      <c r="R266" s="87">
        <f t="shared" si="93"/>
        <v>0</v>
      </c>
      <c r="T266" s="87">
        <v>0</v>
      </c>
      <c r="V266" s="87">
        <v>0</v>
      </c>
      <c r="X266" s="87">
        <v>0</v>
      </c>
      <c r="Y266" s="88">
        <v>3684031.5000000019</v>
      </c>
      <c r="Z266" s="87">
        <v>0</v>
      </c>
      <c r="AA266" s="87">
        <v>0</v>
      </c>
      <c r="AB266" s="89">
        <f t="shared" si="94"/>
        <v>0</v>
      </c>
      <c r="AC266" s="89">
        <f t="shared" si="95"/>
        <v>0</v>
      </c>
      <c r="AD266" s="89">
        <f t="shared" si="96"/>
        <v>0</v>
      </c>
      <c r="AF266" s="90" t="str">
        <f t="shared" si="97"/>
        <v/>
      </c>
      <c r="AH266" s="90" t="str">
        <f t="shared" si="98"/>
        <v/>
      </c>
      <c r="AI266" s="90">
        <f t="shared" si="99"/>
        <v>0</v>
      </c>
      <c r="AJ266" s="90" t="str">
        <f t="shared" si="100"/>
        <v/>
      </c>
      <c r="AK266" s="90" t="str">
        <f t="shared" si="101"/>
        <v/>
      </c>
      <c r="AL266" s="91"/>
      <c r="AM266" s="91">
        <f t="shared" si="102"/>
        <v>0</v>
      </c>
      <c r="AN266" s="92" t="str">
        <f t="shared" si="103"/>
        <v>No change</v>
      </c>
      <c r="AO266" s="93">
        <f>VLOOKUP(B266,'Growthrates source'!A$2:H$49,8,FALSE)</f>
        <v>-2.2233181875670249E-2</v>
      </c>
      <c r="AP266" s="93">
        <f>VLOOKUP(B266,'Growthrates source'!A$2:I$49,9,FALSE)</f>
        <v>0.11702326021234755</v>
      </c>
      <c r="AQ266" s="86">
        <f t="shared" si="104"/>
        <v>0</v>
      </c>
      <c r="AR266" s="86">
        <f t="shared" si="105"/>
        <v>0</v>
      </c>
      <c r="AS266" s="94">
        <f t="shared" si="106"/>
        <v>0</v>
      </c>
      <c r="AT266" s="94">
        <f t="shared" si="107"/>
        <v>0</v>
      </c>
      <c r="AU266" s="94">
        <f t="shared" si="109"/>
        <v>0</v>
      </c>
      <c r="AV266" s="94">
        <f t="shared" si="110"/>
        <v>0</v>
      </c>
    </row>
    <row r="267" spans="1:48" x14ac:dyDescent="0.3">
      <c r="A267" s="85" t="str">
        <f>_xlfn.XLOOKUP(B267,'Country codes &amp; Data sources'!G:G,'Country codes &amp; Data sources'!H:H,,0)</f>
        <v>Eritrea</v>
      </c>
      <c r="B267" s="85" t="s">
        <v>194</v>
      </c>
      <c r="C267" s="86">
        <v>3252619</v>
      </c>
      <c r="D267" s="85" t="s">
        <v>87</v>
      </c>
      <c r="E267" s="87">
        <v>0</v>
      </c>
      <c r="F267" s="88">
        <v>3296367</v>
      </c>
      <c r="G267" s="87">
        <v>0</v>
      </c>
      <c r="I267" s="87">
        <v>0</v>
      </c>
      <c r="K267" s="87">
        <v>0</v>
      </c>
      <c r="M267" s="87">
        <v>0</v>
      </c>
      <c r="O267" s="87">
        <v>0</v>
      </c>
      <c r="P267" s="88">
        <v>3445374.4999999986</v>
      </c>
      <c r="Q267" s="87">
        <v>0</v>
      </c>
      <c r="R267" s="87">
        <f t="shared" si="93"/>
        <v>0</v>
      </c>
      <c r="T267" s="87">
        <v>0</v>
      </c>
      <c r="V267" s="87">
        <v>0</v>
      </c>
      <c r="X267" s="87">
        <v>0</v>
      </c>
      <c r="Y267" s="88">
        <v>3684031.5000000019</v>
      </c>
      <c r="Z267" s="87">
        <v>0</v>
      </c>
      <c r="AA267" s="87">
        <v>0</v>
      </c>
      <c r="AB267" s="89">
        <f t="shared" si="94"/>
        <v>0</v>
      </c>
      <c r="AC267" s="89">
        <f t="shared" si="95"/>
        <v>0</v>
      </c>
      <c r="AD267" s="89">
        <f t="shared" si="96"/>
        <v>0</v>
      </c>
      <c r="AF267" s="90" t="str">
        <f t="shared" si="97"/>
        <v/>
      </c>
      <c r="AH267" s="90" t="str">
        <f t="shared" si="98"/>
        <v/>
      </c>
      <c r="AI267" s="90">
        <f t="shared" si="99"/>
        <v>0</v>
      </c>
      <c r="AJ267" s="90" t="str">
        <f t="shared" si="100"/>
        <v/>
      </c>
      <c r="AK267" s="90" t="str">
        <f t="shared" si="101"/>
        <v/>
      </c>
      <c r="AL267" s="91"/>
      <c r="AM267" s="91">
        <f t="shared" si="102"/>
        <v>0</v>
      </c>
      <c r="AN267" s="92" t="str">
        <f t="shared" si="103"/>
        <v>No change</v>
      </c>
      <c r="AO267" s="93">
        <f>VLOOKUP(B267,'Growthrates source'!A$2:H$49,8,FALSE)</f>
        <v>-2.2233181875670249E-2</v>
      </c>
      <c r="AP267" s="93">
        <f>VLOOKUP(B267,'Growthrates source'!A$2:I$49,9,FALSE)</f>
        <v>0.11702326021234755</v>
      </c>
      <c r="AQ267" s="86">
        <f t="shared" si="104"/>
        <v>0</v>
      </c>
      <c r="AR267" s="86">
        <f t="shared" si="105"/>
        <v>0</v>
      </c>
      <c r="AS267" s="94">
        <f t="shared" si="106"/>
        <v>0</v>
      </c>
      <c r="AT267" s="94">
        <f t="shared" si="107"/>
        <v>0</v>
      </c>
      <c r="AU267" s="94">
        <f t="shared" si="109"/>
        <v>0</v>
      </c>
      <c r="AV267" s="94">
        <f t="shared" si="110"/>
        <v>0</v>
      </c>
    </row>
    <row r="268" spans="1:48" x14ac:dyDescent="0.3">
      <c r="A268" s="85" t="str">
        <f>_xlfn.XLOOKUP(B268,'Country codes &amp; Data sources'!G:G,'Country codes &amp; Data sources'!H:H,,0)</f>
        <v>Ethiopia</v>
      </c>
      <c r="B268" s="85" t="s">
        <v>155</v>
      </c>
      <c r="C268" s="86">
        <v>94451284.500000104</v>
      </c>
      <c r="D268" s="85" t="s">
        <v>127</v>
      </c>
      <c r="E268" s="87">
        <v>0</v>
      </c>
      <c r="F268" s="88">
        <v>97084366.00000003</v>
      </c>
      <c r="G268" s="87">
        <v>0</v>
      </c>
      <c r="I268" s="87">
        <v>0</v>
      </c>
      <c r="K268" s="87">
        <v>0</v>
      </c>
      <c r="M268" s="87">
        <v>0</v>
      </c>
      <c r="O268" s="87">
        <v>0</v>
      </c>
      <c r="P268" s="88">
        <v>111129438.00000001</v>
      </c>
      <c r="Q268" s="87">
        <v>37259</v>
      </c>
      <c r="R268" s="87">
        <f t="shared" si="93"/>
        <v>37259</v>
      </c>
      <c r="T268" s="87">
        <v>0</v>
      </c>
      <c r="V268" s="87">
        <v>42630</v>
      </c>
      <c r="X268" s="87">
        <v>42630</v>
      </c>
      <c r="Y268" s="88">
        <v>123379924.50000004</v>
      </c>
      <c r="Z268" s="87">
        <v>41101</v>
      </c>
      <c r="AA268" s="87">
        <v>37259</v>
      </c>
      <c r="AB268" s="89">
        <f t="shared" si="94"/>
        <v>0</v>
      </c>
      <c r="AC268" s="89">
        <f t="shared" si="95"/>
        <v>37259</v>
      </c>
      <c r="AD268" s="89">
        <f t="shared" si="96"/>
        <v>42630</v>
      </c>
      <c r="AF268" s="90" t="str">
        <f t="shared" si="97"/>
        <v/>
      </c>
      <c r="AG268" s="90">
        <f t="shared" si="108"/>
        <v>37259</v>
      </c>
      <c r="AH268" s="90">
        <f t="shared" si="98"/>
        <v>2018</v>
      </c>
      <c r="AI268" s="90">
        <f t="shared" si="99"/>
        <v>41101</v>
      </c>
      <c r="AJ268" s="90">
        <f t="shared" si="100"/>
        <v>2022</v>
      </c>
      <c r="AK268" s="90" t="str">
        <f t="shared" si="101"/>
        <v/>
      </c>
      <c r="AL268" s="91">
        <f>IF(AK268="Adjust",(_xlfn.XLOOKUP(A268,'Adj factor'!A:A,'Adj factor'!I:I,,0)*AI268),'Master DataSheet (Rev)'!AI268)</f>
        <v>41101</v>
      </c>
      <c r="AM268" s="91">
        <f t="shared" si="102"/>
        <v>41101</v>
      </c>
      <c r="AN268" s="92" t="str">
        <f t="shared" si="103"/>
        <v>Increasing</v>
      </c>
      <c r="AO268" s="93">
        <f>VLOOKUP(B268,'Growthrates source'!A$2:H$49,8,FALSE)</f>
        <v>-4.0290808124875621E-2</v>
      </c>
      <c r="AP268" s="93">
        <f>VLOOKUP(B268,'Growthrates source'!A$2:I$49,9,FALSE)</f>
        <v>7.5715887821594663E-2</v>
      </c>
      <c r="AQ268" s="86">
        <f t="shared" si="104"/>
        <v>45574.464334664714</v>
      </c>
      <c r="AR268" s="86">
        <f t="shared" si="105"/>
        <v>46760.610373559291</v>
      </c>
      <c r="AS268" s="94">
        <f t="shared" si="106"/>
        <v>0</v>
      </c>
      <c r="AT268" s="94">
        <f t="shared" si="107"/>
        <v>3.352756989556628</v>
      </c>
      <c r="AU268" s="94">
        <f t="shared" si="109"/>
        <v>3.3312550778874876</v>
      </c>
      <c r="AV268" s="94">
        <f t="shared" si="110"/>
        <v>3.3312550778874876</v>
      </c>
    </row>
    <row r="269" spans="1:48" x14ac:dyDescent="0.3">
      <c r="A269" s="85" t="str">
        <f>_xlfn.XLOOKUP(B269,'Country codes &amp; Data sources'!G:G,'Country codes &amp; Data sources'!H:H,,0)</f>
        <v>Ethiopia</v>
      </c>
      <c r="B269" s="85" t="s">
        <v>155</v>
      </c>
      <c r="C269" s="86">
        <v>94451285.500000104</v>
      </c>
      <c r="D269" s="85" t="s">
        <v>61</v>
      </c>
      <c r="E269" s="87">
        <v>50</v>
      </c>
      <c r="F269" s="88">
        <v>97084366.00000003</v>
      </c>
      <c r="G269" s="87">
        <v>0</v>
      </c>
      <c r="I269" s="87">
        <v>0</v>
      </c>
      <c r="K269" s="87">
        <v>35</v>
      </c>
      <c r="M269" s="87">
        <v>0</v>
      </c>
      <c r="O269" s="87">
        <v>0</v>
      </c>
      <c r="P269" s="88">
        <v>111129438.00000001</v>
      </c>
      <c r="Q269" s="87">
        <v>1385</v>
      </c>
      <c r="R269" s="87">
        <f t="shared" si="93"/>
        <v>1385</v>
      </c>
      <c r="T269" s="87">
        <v>0</v>
      </c>
      <c r="V269" s="87">
        <v>0</v>
      </c>
      <c r="X269" s="87">
        <v>0</v>
      </c>
      <c r="Y269" s="88">
        <v>123379924.50000004</v>
      </c>
      <c r="Z269" s="87">
        <v>0</v>
      </c>
      <c r="AA269" s="87">
        <v>147</v>
      </c>
      <c r="AB269" s="89">
        <f t="shared" si="94"/>
        <v>50</v>
      </c>
      <c r="AC269" s="89">
        <f t="shared" si="95"/>
        <v>1385</v>
      </c>
      <c r="AD269" s="89">
        <f t="shared" si="96"/>
        <v>0</v>
      </c>
      <c r="AE269" s="90">
        <f t="shared" ref="AE269:AE289" si="111">IF(G269&gt;0,G269,IF(E269&gt;0,E269,IF(I269&gt;0,I269,K269)))</f>
        <v>50</v>
      </c>
      <c r="AF269" s="90">
        <f t="shared" si="97"/>
        <v>2012</v>
      </c>
      <c r="AG269" s="90">
        <f t="shared" si="108"/>
        <v>1385</v>
      </c>
      <c r="AH269" s="90">
        <f t="shared" si="98"/>
        <v>2018</v>
      </c>
      <c r="AI269" s="90">
        <f t="shared" si="99"/>
        <v>1385</v>
      </c>
      <c r="AJ269" s="90">
        <f t="shared" si="100"/>
        <v>2018</v>
      </c>
      <c r="AK269" s="90" t="str">
        <f t="shared" si="101"/>
        <v/>
      </c>
      <c r="AL269" s="91">
        <f>IF(AK269="Adjust",(_xlfn.XLOOKUP(A269,'Adj factor'!A:A,'Adj factor'!I:I,,0)*AI269),'Master DataSheet (Rev)'!AI269)</f>
        <v>1385</v>
      </c>
      <c r="AM269" s="91">
        <f t="shared" si="102"/>
        <v>1385</v>
      </c>
      <c r="AN269" s="92" t="str">
        <f t="shared" si="103"/>
        <v>No change</v>
      </c>
      <c r="AO269" s="93">
        <f>VLOOKUP(B269,'Growthrates source'!A$2:H$49,8,FALSE)</f>
        <v>-4.0290808124875621E-2</v>
      </c>
      <c r="AP269" s="93">
        <f>VLOOKUP(B269,'Growthrates source'!A$2:I$49,9,FALSE)</f>
        <v>7.5715887821594663E-2</v>
      </c>
      <c r="AQ269" s="86">
        <f t="shared" si="104"/>
        <v>179.80746281960637</v>
      </c>
      <c r="AR269" s="86">
        <f t="shared" si="105"/>
        <v>184.48723059967298</v>
      </c>
      <c r="AS269" s="94">
        <f t="shared" si="106"/>
        <v>5.1501598104889499E-3</v>
      </c>
      <c r="AT269" s="94">
        <f t="shared" si="107"/>
        <v>0.12462944337035159</v>
      </c>
      <c r="AU269" s="94">
        <f t="shared" si="109"/>
        <v>0.11225489119179996</v>
      </c>
      <c r="AV269" s="94">
        <f t="shared" si="110"/>
        <v>0.11225489119179996</v>
      </c>
    </row>
    <row r="270" spans="1:48" x14ac:dyDescent="0.3">
      <c r="A270" s="85" t="str">
        <f>_xlfn.XLOOKUP(B270,'Country codes &amp; Data sources'!G:G,'Country codes &amp; Data sources'!H:H,,0)</f>
        <v>Ethiopia</v>
      </c>
      <c r="B270" s="85" t="s">
        <v>155</v>
      </c>
      <c r="C270" s="86">
        <v>94451286.500000104</v>
      </c>
      <c r="D270" s="85" t="s">
        <v>62</v>
      </c>
      <c r="E270" s="87">
        <v>461</v>
      </c>
      <c r="F270" s="88">
        <v>97084366.00000003</v>
      </c>
      <c r="G270" s="87">
        <v>0</v>
      </c>
      <c r="I270" s="87">
        <v>2970</v>
      </c>
      <c r="K270" s="87">
        <v>0</v>
      </c>
      <c r="M270" s="87">
        <v>64</v>
      </c>
      <c r="O270" s="87">
        <v>0</v>
      </c>
      <c r="P270" s="88">
        <v>111129438.00000001</v>
      </c>
      <c r="Q270" s="87">
        <v>665</v>
      </c>
      <c r="R270" s="87">
        <f t="shared" si="93"/>
        <v>2662</v>
      </c>
      <c r="T270" s="87">
        <v>0</v>
      </c>
      <c r="V270" s="87">
        <v>1234</v>
      </c>
      <c r="X270" s="87">
        <v>0</v>
      </c>
      <c r="Y270" s="88">
        <v>123379924.50000004</v>
      </c>
      <c r="Z270" s="113">
        <v>5410</v>
      </c>
      <c r="AA270" s="87">
        <v>2662</v>
      </c>
      <c r="AB270" s="89">
        <f t="shared" si="94"/>
        <v>2970</v>
      </c>
      <c r="AC270" s="89">
        <f t="shared" si="95"/>
        <v>665</v>
      </c>
      <c r="AD270" s="89">
        <f t="shared" si="96"/>
        <v>5410</v>
      </c>
      <c r="AE270" s="90">
        <f t="shared" si="111"/>
        <v>461</v>
      </c>
      <c r="AF270" s="90">
        <f t="shared" si="97"/>
        <v>2012</v>
      </c>
      <c r="AG270" s="90">
        <f t="shared" si="108"/>
        <v>2662</v>
      </c>
      <c r="AH270" s="90" t="str">
        <f t="shared" si="98"/>
        <v>2018 (triag)</v>
      </c>
      <c r="AI270" s="90">
        <f t="shared" si="99"/>
        <v>5410</v>
      </c>
      <c r="AJ270" s="90">
        <f t="shared" si="100"/>
        <v>2022</v>
      </c>
      <c r="AK270" s="90" t="str">
        <f t="shared" si="101"/>
        <v/>
      </c>
      <c r="AL270" s="91">
        <f>IF(AK270="Adjust",(_xlfn.XLOOKUP(A270,'Adj factor'!A:A,'Adj factor'!I:I,,0)*AI270),'Master DataSheet (Rev)'!AI270)</f>
        <v>5410</v>
      </c>
      <c r="AM270" s="91">
        <f t="shared" si="102"/>
        <v>5410</v>
      </c>
      <c r="AN270" s="92" t="str">
        <f t="shared" si="103"/>
        <v>Increasing</v>
      </c>
      <c r="AO270" s="93">
        <f>VLOOKUP(B270,'Growthrates source'!A$2:H$49,8,FALSE)</f>
        <v>-4.0290808124875621E-2</v>
      </c>
      <c r="AP270" s="93">
        <f>VLOOKUP(B270,'Growthrates source'!A$2:I$49,9,FALSE)</f>
        <v>7.5715887821594663E-2</v>
      </c>
      <c r="AQ270" s="86">
        <f t="shared" si="104"/>
        <v>3256.1052110598102</v>
      </c>
      <c r="AR270" s="86">
        <f t="shared" si="105"/>
        <v>3340.8503935804729</v>
      </c>
      <c r="AS270" s="94">
        <f t="shared" si="106"/>
        <v>4.748447345270812E-2</v>
      </c>
      <c r="AT270" s="94">
        <f t="shared" si="107"/>
        <v>0.2395404897125458</v>
      </c>
      <c r="AU270" s="94">
        <f t="shared" si="109"/>
        <v>0.438483004583132</v>
      </c>
      <c r="AV270" s="94">
        <f t="shared" si="110"/>
        <v>0.438483004583132</v>
      </c>
    </row>
    <row r="271" spans="1:48" x14ac:dyDescent="0.3">
      <c r="A271" s="85" t="str">
        <f>_xlfn.XLOOKUP(B271,'Country codes &amp; Data sources'!G:G,'Country codes &amp; Data sources'!H:H,,0)</f>
        <v>Ethiopia</v>
      </c>
      <c r="B271" s="85" t="s">
        <v>155</v>
      </c>
      <c r="C271" s="86">
        <v>94451287.500000104</v>
      </c>
      <c r="D271" s="85" t="s">
        <v>203</v>
      </c>
      <c r="E271" s="87">
        <v>0</v>
      </c>
      <c r="F271" s="88">
        <v>97084366.00000003</v>
      </c>
      <c r="G271" s="87">
        <v>0</v>
      </c>
      <c r="I271" s="87">
        <v>0</v>
      </c>
      <c r="K271" s="87">
        <v>0</v>
      </c>
      <c r="M271" s="87">
        <v>0</v>
      </c>
      <c r="O271" s="87">
        <v>0</v>
      </c>
      <c r="P271" s="88">
        <v>111129438.00000001</v>
      </c>
      <c r="Q271" s="87">
        <v>0</v>
      </c>
      <c r="R271" s="87">
        <f t="shared" si="93"/>
        <v>0</v>
      </c>
      <c r="T271" s="87">
        <v>0</v>
      </c>
      <c r="V271" s="87">
        <v>0</v>
      </c>
      <c r="X271" s="87">
        <v>0</v>
      </c>
      <c r="Y271" s="88">
        <v>123379924.50000004</v>
      </c>
      <c r="Z271" s="87">
        <v>0</v>
      </c>
      <c r="AA271" s="87">
        <v>0</v>
      </c>
      <c r="AB271" s="89">
        <f t="shared" si="94"/>
        <v>0</v>
      </c>
      <c r="AC271" s="89">
        <f t="shared" si="95"/>
        <v>0</v>
      </c>
      <c r="AD271" s="89">
        <f t="shared" si="96"/>
        <v>0</v>
      </c>
      <c r="AF271" s="90" t="str">
        <f t="shared" si="97"/>
        <v/>
      </c>
      <c r="AH271" s="90" t="str">
        <f t="shared" si="98"/>
        <v/>
      </c>
      <c r="AI271" s="90">
        <f t="shared" si="99"/>
        <v>0</v>
      </c>
      <c r="AJ271" s="90" t="str">
        <f t="shared" si="100"/>
        <v/>
      </c>
      <c r="AK271" s="90" t="str">
        <f t="shared" si="101"/>
        <v/>
      </c>
      <c r="AL271" s="91"/>
      <c r="AM271" s="91">
        <f t="shared" si="102"/>
        <v>0</v>
      </c>
      <c r="AN271" s="92" t="str">
        <f t="shared" si="103"/>
        <v>No change</v>
      </c>
      <c r="AO271" s="93">
        <f>VLOOKUP(B271,'Growthrates source'!A$2:H$49,8,FALSE)</f>
        <v>-4.0290808124875621E-2</v>
      </c>
      <c r="AP271" s="93">
        <f>VLOOKUP(B271,'Growthrates source'!A$2:I$49,9,FALSE)</f>
        <v>7.5715887821594663E-2</v>
      </c>
      <c r="AQ271" s="86">
        <f t="shared" si="104"/>
        <v>0</v>
      </c>
      <c r="AR271" s="86">
        <f t="shared" si="105"/>
        <v>0</v>
      </c>
      <c r="AS271" s="94">
        <f t="shared" si="106"/>
        <v>0</v>
      </c>
      <c r="AT271" s="94">
        <f t="shared" si="107"/>
        <v>0</v>
      </c>
      <c r="AU271" s="94">
        <f t="shared" si="109"/>
        <v>0</v>
      </c>
      <c r="AV271" s="94">
        <f t="shared" si="110"/>
        <v>0</v>
      </c>
    </row>
    <row r="272" spans="1:48" x14ac:dyDescent="0.3">
      <c r="A272" s="85" t="str">
        <f>_xlfn.XLOOKUP(B272,'Country codes &amp; Data sources'!G:G,'Country codes &amp; Data sources'!H:H,,0)</f>
        <v>Ethiopia</v>
      </c>
      <c r="B272" s="85" t="s">
        <v>155</v>
      </c>
      <c r="C272" s="86">
        <v>94451288.500000104</v>
      </c>
      <c r="D272" s="85" t="s">
        <v>204</v>
      </c>
      <c r="E272" s="87">
        <v>0</v>
      </c>
      <c r="F272" s="88">
        <v>97084366.00000003</v>
      </c>
      <c r="G272" s="87">
        <v>0</v>
      </c>
      <c r="I272" s="87">
        <v>0</v>
      </c>
      <c r="K272" s="87">
        <v>0</v>
      </c>
      <c r="M272" s="87">
        <v>0</v>
      </c>
      <c r="O272" s="87">
        <v>0</v>
      </c>
      <c r="P272" s="88">
        <v>111129438.00000001</v>
      </c>
      <c r="Q272" s="87">
        <v>0</v>
      </c>
      <c r="R272" s="87">
        <f t="shared" si="93"/>
        <v>4365</v>
      </c>
      <c r="T272" s="87">
        <v>0</v>
      </c>
      <c r="V272" s="87">
        <v>0</v>
      </c>
      <c r="X272" s="87">
        <v>0</v>
      </c>
      <c r="Y272" s="88">
        <v>123379924.50000004</v>
      </c>
      <c r="Z272" s="87">
        <v>0</v>
      </c>
      <c r="AA272" s="87">
        <v>4365</v>
      </c>
      <c r="AB272" s="89">
        <f t="shared" si="94"/>
        <v>0</v>
      </c>
      <c r="AC272" s="89">
        <f t="shared" si="95"/>
        <v>0</v>
      </c>
      <c r="AD272" s="89">
        <f t="shared" si="96"/>
        <v>0</v>
      </c>
      <c r="AF272" s="90" t="str">
        <f t="shared" si="97"/>
        <v/>
      </c>
      <c r="AG272" s="90">
        <f t="shared" si="108"/>
        <v>4365</v>
      </c>
      <c r="AH272" s="90" t="str">
        <f t="shared" si="98"/>
        <v>2018 (triag)</v>
      </c>
      <c r="AI272" s="90">
        <f t="shared" si="99"/>
        <v>4365</v>
      </c>
      <c r="AJ272" s="90" t="str">
        <f t="shared" si="100"/>
        <v>2018 (triag)</v>
      </c>
      <c r="AK272" s="90" t="str">
        <f t="shared" si="101"/>
        <v/>
      </c>
      <c r="AL272" s="91">
        <f>IF(AK272="Adjust",(_xlfn.XLOOKUP(A272,'Adj factor'!A:A,'Adj factor'!I:I,,0)*AI272),'Master DataSheet (Rev)'!AI272)</f>
        <v>4365</v>
      </c>
      <c r="AM272" s="91">
        <f t="shared" si="102"/>
        <v>4365</v>
      </c>
      <c r="AN272" s="92" t="str">
        <f t="shared" si="103"/>
        <v>No change</v>
      </c>
      <c r="AO272" s="93">
        <f>VLOOKUP(B272,'Growthrates source'!A$2:H$49,8,FALSE)</f>
        <v>-4.0290808124875621E-2</v>
      </c>
      <c r="AP272" s="93">
        <f>VLOOKUP(B272,'Growthrates source'!A$2:I$49,9,FALSE)</f>
        <v>7.5715887821594663E-2</v>
      </c>
      <c r="AQ272" s="86">
        <f t="shared" si="104"/>
        <v>5339.1807837250462</v>
      </c>
      <c r="AR272" s="86">
        <f t="shared" si="105"/>
        <v>5478.1412351535555</v>
      </c>
      <c r="AS272" s="94">
        <f t="shared" si="106"/>
        <v>0</v>
      </c>
      <c r="AT272" s="94">
        <f t="shared" si="107"/>
        <v>0.39278521322136078</v>
      </c>
      <c r="AU272" s="94">
        <f t="shared" si="109"/>
        <v>0.35378527079581723</v>
      </c>
      <c r="AV272" s="94">
        <f t="shared" si="110"/>
        <v>0.35378527079581723</v>
      </c>
    </row>
    <row r="273" spans="1:48" x14ac:dyDescent="0.3">
      <c r="A273" s="85" t="str">
        <f>_xlfn.XLOOKUP(B273,'Country codes &amp; Data sources'!G:G,'Country codes &amp; Data sources'!H:H,,0)</f>
        <v>Ethiopia</v>
      </c>
      <c r="B273" s="85" t="s">
        <v>155</v>
      </c>
      <c r="C273" s="86">
        <v>94451289.500000104</v>
      </c>
      <c r="D273" s="85" t="s">
        <v>205</v>
      </c>
      <c r="E273" s="87">
        <v>0</v>
      </c>
      <c r="F273" s="88">
        <v>97084366.00000003</v>
      </c>
      <c r="G273" s="87">
        <v>0</v>
      </c>
      <c r="I273" s="87">
        <v>0</v>
      </c>
      <c r="K273" s="87">
        <v>0</v>
      </c>
      <c r="M273" s="87">
        <v>0</v>
      </c>
      <c r="O273" s="87">
        <v>0</v>
      </c>
      <c r="P273" s="88">
        <v>111129438.00000001</v>
      </c>
      <c r="Q273" s="87">
        <v>0</v>
      </c>
      <c r="R273" s="87">
        <f t="shared" si="93"/>
        <v>52</v>
      </c>
      <c r="T273" s="87">
        <v>0</v>
      </c>
      <c r="V273" s="87">
        <v>22</v>
      </c>
      <c r="X273" s="87">
        <v>17</v>
      </c>
      <c r="Y273" s="88">
        <v>123379924.50000004</v>
      </c>
      <c r="Z273" s="87">
        <v>130</v>
      </c>
      <c r="AA273" s="87">
        <v>52</v>
      </c>
      <c r="AB273" s="89">
        <f t="shared" si="94"/>
        <v>0</v>
      </c>
      <c r="AC273" s="89">
        <f t="shared" si="95"/>
        <v>0</v>
      </c>
      <c r="AD273" s="89">
        <f t="shared" si="96"/>
        <v>130</v>
      </c>
      <c r="AF273" s="90" t="str">
        <f t="shared" si="97"/>
        <v/>
      </c>
      <c r="AG273" s="90">
        <f t="shared" si="108"/>
        <v>52</v>
      </c>
      <c r="AH273" s="90" t="str">
        <f t="shared" si="98"/>
        <v>2018 (triag)</v>
      </c>
      <c r="AI273" s="90">
        <f t="shared" si="99"/>
        <v>130</v>
      </c>
      <c r="AJ273" s="90">
        <f t="shared" si="100"/>
        <v>2022</v>
      </c>
      <c r="AK273" s="90" t="str">
        <f t="shared" si="101"/>
        <v/>
      </c>
      <c r="AL273" s="91">
        <f>IF(AK273="Adjust",(_xlfn.XLOOKUP(A273,'Adj factor'!A:A,'Adj factor'!I:I,,0)*AI273),'Master DataSheet (Rev)'!AI273)</f>
        <v>130</v>
      </c>
      <c r="AM273" s="91">
        <f t="shared" si="102"/>
        <v>130</v>
      </c>
      <c r="AN273" s="92" t="str">
        <f t="shared" si="103"/>
        <v>Increasing</v>
      </c>
      <c r="AO273" s="93">
        <f>VLOOKUP(B273,'Growthrates source'!A$2:H$49,8,FALSE)</f>
        <v>-4.0290808124875621E-2</v>
      </c>
      <c r="AP273" s="93">
        <f>VLOOKUP(B273,'Growthrates source'!A$2:I$49,9,FALSE)</f>
        <v>7.5715887821594663E-2</v>
      </c>
      <c r="AQ273" s="86">
        <f t="shared" si="104"/>
        <v>63.605360997411772</v>
      </c>
      <c r="AR273" s="86">
        <f t="shared" si="105"/>
        <v>65.260789055666635</v>
      </c>
      <c r="AS273" s="94">
        <f t="shared" si="106"/>
        <v>0</v>
      </c>
      <c r="AT273" s="94">
        <f t="shared" si="107"/>
        <v>4.6792281987424423E-3</v>
      </c>
      <c r="AU273" s="94">
        <f t="shared" si="109"/>
        <v>1.0536560184067867E-2</v>
      </c>
      <c r="AV273" s="94">
        <f t="shared" si="110"/>
        <v>1.0536560184067867E-2</v>
      </c>
    </row>
    <row r="274" spans="1:48" x14ac:dyDescent="0.3">
      <c r="A274" s="85" t="str">
        <f>_xlfn.XLOOKUP(B274,'Country codes &amp; Data sources'!G:G,'Country codes &amp; Data sources'!H:H,,0)</f>
        <v>Ethiopia</v>
      </c>
      <c r="B274" s="85" t="s">
        <v>155</v>
      </c>
      <c r="C274" s="86">
        <v>94451290.500000104</v>
      </c>
      <c r="D274" s="85" t="s">
        <v>133</v>
      </c>
      <c r="E274" s="87">
        <v>0</v>
      </c>
      <c r="F274" s="88">
        <v>97084366.00000003</v>
      </c>
      <c r="G274" s="87">
        <v>0</v>
      </c>
      <c r="I274" s="87">
        <v>0</v>
      </c>
      <c r="K274" s="87">
        <v>0</v>
      </c>
      <c r="M274" s="87">
        <v>0</v>
      </c>
      <c r="O274" s="87">
        <v>0</v>
      </c>
      <c r="P274" s="88">
        <v>111129438.00000001</v>
      </c>
      <c r="Q274" s="87">
        <v>10450</v>
      </c>
      <c r="R274" s="87">
        <f t="shared" si="93"/>
        <v>10450</v>
      </c>
      <c r="T274" s="87">
        <v>0</v>
      </c>
      <c r="V274" s="87">
        <v>8005</v>
      </c>
      <c r="X274" s="87">
        <v>0</v>
      </c>
      <c r="Y274" s="88">
        <v>123379924.50000004</v>
      </c>
      <c r="Z274" s="113">
        <v>23757</v>
      </c>
      <c r="AA274" s="87">
        <v>672</v>
      </c>
      <c r="AB274" s="89">
        <f t="shared" si="94"/>
        <v>0</v>
      </c>
      <c r="AC274" s="89">
        <f t="shared" si="95"/>
        <v>10450</v>
      </c>
      <c r="AD274" s="89">
        <f t="shared" si="96"/>
        <v>23757</v>
      </c>
      <c r="AF274" s="90" t="str">
        <f t="shared" si="97"/>
        <v/>
      </c>
      <c r="AG274" s="90">
        <f t="shared" si="108"/>
        <v>10450</v>
      </c>
      <c r="AH274" s="90">
        <f t="shared" si="98"/>
        <v>2018</v>
      </c>
      <c r="AI274" s="90">
        <f t="shared" si="99"/>
        <v>23757</v>
      </c>
      <c r="AJ274" s="90">
        <f t="shared" si="100"/>
        <v>2022</v>
      </c>
      <c r="AK274" s="90" t="str">
        <f t="shared" si="101"/>
        <v/>
      </c>
      <c r="AL274" s="91">
        <f>IF(AK274="Adjust",(_xlfn.XLOOKUP(A274,'Adj factor'!A:A,'Adj factor'!I:I,,0)*AI274),'Master DataSheet (Rev)'!AI274)</f>
        <v>23757</v>
      </c>
      <c r="AM274" s="91">
        <f t="shared" si="102"/>
        <v>23757</v>
      </c>
      <c r="AN274" s="92" t="str">
        <f t="shared" si="103"/>
        <v>Increasing</v>
      </c>
      <c r="AO274" s="93">
        <f>VLOOKUP(B274,'Growthrates source'!A$2:H$49,8,FALSE)</f>
        <v>-4.0290808124875621E-2</v>
      </c>
      <c r="AP274" s="93">
        <f>VLOOKUP(B274,'Growthrates source'!A$2:I$49,9,FALSE)</f>
        <v>7.5715887821594663E-2</v>
      </c>
      <c r="AQ274" s="86">
        <f t="shared" si="104"/>
        <v>821.97697288962911</v>
      </c>
      <c r="AR274" s="86">
        <f t="shared" si="105"/>
        <v>843.37019702707653</v>
      </c>
      <c r="AS274" s="94">
        <f t="shared" si="106"/>
        <v>0</v>
      </c>
      <c r="AT274" s="94">
        <f t="shared" si="107"/>
        <v>0.94034489763189466</v>
      </c>
      <c r="AU274" s="94">
        <f t="shared" si="109"/>
        <v>1.9255158484069255</v>
      </c>
      <c r="AV274" s="94">
        <f t="shared" si="110"/>
        <v>1.9255158484069255</v>
      </c>
    </row>
    <row r="275" spans="1:48" x14ac:dyDescent="0.3">
      <c r="A275" s="85" t="str">
        <f>_xlfn.XLOOKUP(B275,'Country codes &amp; Data sources'!G:G,'Country codes &amp; Data sources'!H:H,,0)</f>
        <v>Ethiopia</v>
      </c>
      <c r="B275" s="85" t="s">
        <v>155</v>
      </c>
      <c r="C275" s="86">
        <v>94451291.500000104</v>
      </c>
      <c r="D275" s="85" t="s">
        <v>206</v>
      </c>
      <c r="E275" s="87">
        <v>0</v>
      </c>
      <c r="F275" s="88">
        <v>97084366.00000003</v>
      </c>
      <c r="G275" s="87">
        <v>0</v>
      </c>
      <c r="I275" s="87">
        <v>0</v>
      </c>
      <c r="K275" s="87">
        <v>0</v>
      </c>
      <c r="M275" s="87">
        <v>0</v>
      </c>
      <c r="O275" s="87">
        <v>0</v>
      </c>
      <c r="P275" s="88">
        <v>111129438.00000001</v>
      </c>
      <c r="Q275" s="87">
        <v>0</v>
      </c>
      <c r="R275" s="87">
        <f t="shared" si="93"/>
        <v>11536</v>
      </c>
      <c r="T275" s="87">
        <v>0</v>
      </c>
      <c r="V275" s="87">
        <v>0</v>
      </c>
      <c r="X275" s="87">
        <v>0</v>
      </c>
      <c r="Y275" s="88">
        <v>123379924.50000004</v>
      </c>
      <c r="Z275" s="87">
        <v>0</v>
      </c>
      <c r="AA275" s="87">
        <v>11536</v>
      </c>
      <c r="AB275" s="89">
        <f t="shared" si="94"/>
        <v>0</v>
      </c>
      <c r="AC275" s="89">
        <f t="shared" si="95"/>
        <v>0</v>
      </c>
      <c r="AD275" s="89">
        <f t="shared" si="96"/>
        <v>0</v>
      </c>
      <c r="AF275" s="90" t="str">
        <f t="shared" si="97"/>
        <v/>
      </c>
      <c r="AG275" s="90">
        <f t="shared" si="108"/>
        <v>11536</v>
      </c>
      <c r="AH275" s="90" t="str">
        <f t="shared" si="98"/>
        <v>2018 (triag)</v>
      </c>
      <c r="AI275" s="90">
        <f t="shared" si="99"/>
        <v>11536</v>
      </c>
      <c r="AJ275" s="90" t="str">
        <f t="shared" si="100"/>
        <v>2018 (triag)</v>
      </c>
      <c r="AK275" s="90" t="str">
        <f t="shared" si="101"/>
        <v/>
      </c>
      <c r="AL275" s="91">
        <f>IF(AK275="Adjust",(_xlfn.XLOOKUP(A275,'Adj factor'!A:A,'Adj factor'!I:I,,0)*AI275),'Master DataSheet (Rev)'!AI275)</f>
        <v>11536</v>
      </c>
      <c r="AM275" s="91">
        <f t="shared" si="102"/>
        <v>11536</v>
      </c>
      <c r="AN275" s="92" t="str">
        <f t="shared" si="103"/>
        <v>No change</v>
      </c>
      <c r="AO275" s="93">
        <f>VLOOKUP(B275,'Growthrates source'!A$2:H$49,8,FALSE)</f>
        <v>-4.0290808124875621E-2</v>
      </c>
      <c r="AP275" s="93">
        <f>VLOOKUP(B275,'Growthrates source'!A$2:I$49,9,FALSE)</f>
        <v>7.5715887821594663E-2</v>
      </c>
      <c r="AQ275" s="86">
        <f t="shared" si="104"/>
        <v>14110.604701271966</v>
      </c>
      <c r="AR275" s="86">
        <f t="shared" si="105"/>
        <v>14477.855048964815</v>
      </c>
      <c r="AS275" s="94">
        <f t="shared" si="106"/>
        <v>0</v>
      </c>
      <c r="AT275" s="94">
        <f t="shared" si="107"/>
        <v>1.0380687788594771</v>
      </c>
      <c r="AU275" s="94">
        <f t="shared" si="109"/>
        <v>0.93499814064159159</v>
      </c>
      <c r="AV275" s="94">
        <f t="shared" si="110"/>
        <v>0.93499814064159159</v>
      </c>
    </row>
    <row r="276" spans="1:48" x14ac:dyDescent="0.3">
      <c r="A276" s="85" t="str">
        <f>_xlfn.XLOOKUP(B276,'Country codes &amp; Data sources'!G:G,'Country codes &amp; Data sources'!H:H,,0)</f>
        <v>Ethiopia</v>
      </c>
      <c r="B276" s="85" t="s">
        <v>155</v>
      </c>
      <c r="C276" s="86">
        <v>94451292.500000104</v>
      </c>
      <c r="D276" s="85" t="s">
        <v>136</v>
      </c>
      <c r="E276" s="87">
        <v>0</v>
      </c>
      <c r="F276" s="88">
        <v>97084366.00000003</v>
      </c>
      <c r="G276" s="87">
        <v>0</v>
      </c>
      <c r="I276" s="87">
        <v>0</v>
      </c>
      <c r="K276" s="87">
        <v>0</v>
      </c>
      <c r="M276" s="87">
        <v>0</v>
      </c>
      <c r="O276" s="87">
        <v>0</v>
      </c>
      <c r="P276" s="88">
        <v>111129438.00000001</v>
      </c>
      <c r="Q276" s="87">
        <v>0</v>
      </c>
      <c r="R276" s="87">
        <f t="shared" si="93"/>
        <v>1041</v>
      </c>
      <c r="T276" s="87">
        <v>0</v>
      </c>
      <c r="V276" s="87">
        <v>0</v>
      </c>
      <c r="X276" s="87">
        <v>0</v>
      </c>
      <c r="Y276" s="88">
        <v>123379924.50000004</v>
      </c>
      <c r="Z276" s="113">
        <f>2139+374</f>
        <v>2513</v>
      </c>
      <c r="AA276" s="87">
        <v>1041</v>
      </c>
      <c r="AB276" s="89">
        <f t="shared" si="94"/>
        <v>0</v>
      </c>
      <c r="AC276" s="89">
        <f t="shared" si="95"/>
        <v>0</v>
      </c>
      <c r="AD276" s="89">
        <f t="shared" si="96"/>
        <v>2513</v>
      </c>
      <c r="AF276" s="90" t="str">
        <f t="shared" si="97"/>
        <v/>
      </c>
      <c r="AG276" s="90">
        <f t="shared" si="108"/>
        <v>1041</v>
      </c>
      <c r="AH276" s="90" t="str">
        <f t="shared" si="98"/>
        <v>2018 (triag)</v>
      </c>
      <c r="AI276" s="90">
        <f t="shared" si="99"/>
        <v>2513</v>
      </c>
      <c r="AJ276" s="90">
        <f t="shared" si="100"/>
        <v>2022</v>
      </c>
      <c r="AK276" s="90" t="str">
        <f t="shared" si="101"/>
        <v/>
      </c>
      <c r="AL276" s="91">
        <f>IF(AK276="Adjust",(_xlfn.XLOOKUP(A276,'Adj factor'!A:A,'Adj factor'!I:I,,0)*AI276),'Master DataSheet (Rev)'!AI276)</f>
        <v>2513</v>
      </c>
      <c r="AM276" s="91">
        <f t="shared" si="102"/>
        <v>2513</v>
      </c>
      <c r="AN276" s="92" t="str">
        <f t="shared" si="103"/>
        <v>Increasing</v>
      </c>
      <c r="AO276" s="93">
        <f>VLOOKUP(B276,'Growthrates source'!A$2:H$49,8,FALSE)</f>
        <v>-4.0290808124875621E-2</v>
      </c>
      <c r="AP276" s="93">
        <f>VLOOKUP(B276,'Growthrates source'!A$2:I$49,9,FALSE)</f>
        <v>7.5715887821594663E-2</v>
      </c>
      <c r="AQ276" s="86">
        <f t="shared" si="104"/>
        <v>1273.3303999674165</v>
      </c>
      <c r="AR276" s="86">
        <f t="shared" si="105"/>
        <v>1306.4707962874802</v>
      </c>
      <c r="AS276" s="94">
        <f t="shared" si="106"/>
        <v>0</v>
      </c>
      <c r="AT276" s="94">
        <f t="shared" si="107"/>
        <v>9.3674549132516965E-2</v>
      </c>
      <c r="AU276" s="94">
        <f t="shared" si="109"/>
        <v>0.20367981340432731</v>
      </c>
      <c r="AV276" s="94">
        <f t="shared" si="110"/>
        <v>0.20367981340432731</v>
      </c>
    </row>
    <row r="277" spans="1:48" x14ac:dyDescent="0.3">
      <c r="A277" s="85" t="str">
        <f>_xlfn.XLOOKUP(B277,'Country codes &amp; Data sources'!G:G,'Country codes &amp; Data sources'!H:H,,0)</f>
        <v>Ethiopia</v>
      </c>
      <c r="B277" s="85" t="s">
        <v>155</v>
      </c>
      <c r="C277" s="86">
        <v>94451293.500000104</v>
      </c>
      <c r="D277" s="85" t="s">
        <v>207</v>
      </c>
      <c r="E277" s="87">
        <v>0</v>
      </c>
      <c r="F277" s="88">
        <v>97084366.00000003</v>
      </c>
      <c r="G277" s="87">
        <v>0</v>
      </c>
      <c r="I277" s="87">
        <v>0</v>
      </c>
      <c r="K277" s="87">
        <v>0</v>
      </c>
      <c r="M277" s="87">
        <v>0</v>
      </c>
      <c r="O277" s="87">
        <v>0</v>
      </c>
      <c r="P277" s="88">
        <v>111129438.00000001</v>
      </c>
      <c r="Q277" s="87">
        <v>0</v>
      </c>
      <c r="R277" s="87">
        <f t="shared" si="93"/>
        <v>2953</v>
      </c>
      <c r="T277" s="87">
        <v>0</v>
      </c>
      <c r="V277" s="87">
        <v>0</v>
      </c>
      <c r="X277" s="87">
        <v>0</v>
      </c>
      <c r="Y277" s="88">
        <v>123379924.50000004</v>
      </c>
      <c r="Z277" s="87">
        <v>0</v>
      </c>
      <c r="AA277" s="87">
        <v>2953</v>
      </c>
      <c r="AB277" s="89">
        <f t="shared" si="94"/>
        <v>0</v>
      </c>
      <c r="AC277" s="89">
        <f t="shared" si="95"/>
        <v>0</v>
      </c>
      <c r="AD277" s="89">
        <f t="shared" si="96"/>
        <v>0</v>
      </c>
      <c r="AF277" s="90" t="str">
        <f t="shared" si="97"/>
        <v/>
      </c>
      <c r="AG277" s="90">
        <f t="shared" si="108"/>
        <v>2953</v>
      </c>
      <c r="AH277" s="90" t="str">
        <f t="shared" si="98"/>
        <v>2018 (triag)</v>
      </c>
      <c r="AI277" s="90">
        <f t="shared" si="99"/>
        <v>2953</v>
      </c>
      <c r="AJ277" s="90" t="str">
        <f t="shared" si="100"/>
        <v>2018 (triag)</v>
      </c>
      <c r="AK277" s="90" t="str">
        <f t="shared" si="101"/>
        <v/>
      </c>
      <c r="AL277" s="91">
        <f>IF(AK277="Adjust",(_xlfn.XLOOKUP(A277,'Adj factor'!A:A,'Adj factor'!I:I,,0)*AI277),'Master DataSheet (Rev)'!AI277)</f>
        <v>2953</v>
      </c>
      <c r="AM277" s="91">
        <f t="shared" si="102"/>
        <v>2953</v>
      </c>
      <c r="AN277" s="92" t="str">
        <f t="shared" si="103"/>
        <v>No change</v>
      </c>
      <c r="AO277" s="93">
        <f>VLOOKUP(B277,'Growthrates source'!A$2:H$49,8,FALSE)</f>
        <v>-4.0290808124875621E-2</v>
      </c>
      <c r="AP277" s="93">
        <f>VLOOKUP(B277,'Growthrates source'!A$2:I$49,9,FALSE)</f>
        <v>7.5715887821594663E-2</v>
      </c>
      <c r="AQ277" s="86">
        <f t="shared" si="104"/>
        <v>3612.0505966414803</v>
      </c>
      <c r="AR277" s="86">
        <f t="shared" si="105"/>
        <v>3706.0598092573764</v>
      </c>
      <c r="AS277" s="94">
        <f t="shared" si="106"/>
        <v>0</v>
      </c>
      <c r="AT277" s="94">
        <f t="shared" si="107"/>
        <v>0.26572617059396986</v>
      </c>
      <c r="AU277" s="94">
        <f t="shared" si="109"/>
        <v>0.23934201710424932</v>
      </c>
      <c r="AV277" s="94">
        <f t="shared" si="110"/>
        <v>0.23934201710424932</v>
      </c>
    </row>
    <row r="278" spans="1:48" x14ac:dyDescent="0.3">
      <c r="A278" s="85" t="str">
        <f>_xlfn.XLOOKUP(B278,'Country codes &amp; Data sources'!G:G,'Country codes &amp; Data sources'!H:H,,0)</f>
        <v>Ethiopia</v>
      </c>
      <c r="B278" s="85" t="s">
        <v>155</v>
      </c>
      <c r="C278" s="86">
        <v>94451294.500000104</v>
      </c>
      <c r="D278" s="85" t="s">
        <v>141</v>
      </c>
      <c r="E278" s="87">
        <v>0</v>
      </c>
      <c r="F278" s="88">
        <v>97084366.00000003</v>
      </c>
      <c r="G278" s="87">
        <v>0</v>
      </c>
      <c r="I278" s="87">
        <v>0</v>
      </c>
      <c r="K278" s="87">
        <v>0</v>
      </c>
      <c r="M278" s="87">
        <v>0</v>
      </c>
      <c r="O278" s="87">
        <v>0</v>
      </c>
      <c r="P278" s="88">
        <v>111129438.00000001</v>
      </c>
      <c r="Q278" s="87">
        <v>0</v>
      </c>
      <c r="R278" s="87">
        <f t="shared" si="93"/>
        <v>330</v>
      </c>
      <c r="T278" s="87">
        <v>0</v>
      </c>
      <c r="V278" s="87">
        <v>654</v>
      </c>
      <c r="X278" s="87">
        <v>567</v>
      </c>
      <c r="Y278" s="88">
        <v>123379924.50000004</v>
      </c>
      <c r="Z278" s="113">
        <v>674</v>
      </c>
      <c r="AA278" s="87">
        <v>330</v>
      </c>
      <c r="AB278" s="89">
        <f t="shared" si="94"/>
        <v>0</v>
      </c>
      <c r="AC278" s="89">
        <f t="shared" si="95"/>
        <v>0</v>
      </c>
      <c r="AD278" s="89">
        <f t="shared" si="96"/>
        <v>674</v>
      </c>
      <c r="AF278" s="90" t="str">
        <f t="shared" si="97"/>
        <v/>
      </c>
      <c r="AG278" s="90">
        <f t="shared" si="108"/>
        <v>330</v>
      </c>
      <c r="AH278" s="90" t="str">
        <f t="shared" si="98"/>
        <v>2018 (triag)</v>
      </c>
      <c r="AI278" s="90">
        <f t="shared" si="99"/>
        <v>674</v>
      </c>
      <c r="AJ278" s="90">
        <f t="shared" si="100"/>
        <v>2022</v>
      </c>
      <c r="AK278" s="90" t="str">
        <f t="shared" si="101"/>
        <v/>
      </c>
      <c r="AL278" s="91">
        <f>IF(AK278="Adjust",(_xlfn.XLOOKUP(A278,'Adj factor'!A:A,'Adj factor'!I:I,,0)*AI278),'Master DataSheet (Rev)'!AI278)</f>
        <v>674</v>
      </c>
      <c r="AM278" s="60">
        <v>674</v>
      </c>
      <c r="AN278" s="92" t="str">
        <f t="shared" si="103"/>
        <v>Increasing</v>
      </c>
      <c r="AO278" s="93">
        <f>VLOOKUP(B278,'Growthrates source'!A$2:H$49,8,FALSE)</f>
        <v>-4.0290808124875621E-2</v>
      </c>
      <c r="AP278" s="93">
        <f>VLOOKUP(B278,'Growthrates source'!A$2:I$49,9,FALSE)</f>
        <v>7.5715887821594663E-2</v>
      </c>
      <c r="AQ278" s="86">
        <f t="shared" si="104"/>
        <v>403.64940632972855</v>
      </c>
      <c r="AR278" s="86">
        <f t="shared" si="105"/>
        <v>414.15500746865365</v>
      </c>
      <c r="AS278" s="94">
        <f t="shared" si="106"/>
        <v>0</v>
      </c>
      <c r="AT278" s="94">
        <f t="shared" si="107"/>
        <v>2.9695102030480883E-2</v>
      </c>
      <c r="AU278" s="94">
        <f t="shared" si="109"/>
        <v>5.4628012031244171E-2</v>
      </c>
      <c r="AV278" s="94">
        <f t="shared" si="110"/>
        <v>5.4628012031244171E-2</v>
      </c>
    </row>
    <row r="279" spans="1:48" x14ac:dyDescent="0.3">
      <c r="A279" s="85" t="str">
        <f>_xlfn.XLOOKUP(B279,'Country codes &amp; Data sources'!G:G,'Country codes &amp; Data sources'!H:H,,0)</f>
        <v>Ethiopia</v>
      </c>
      <c r="B279" s="85" t="s">
        <v>155</v>
      </c>
      <c r="C279" s="86">
        <v>94451295.500000104</v>
      </c>
      <c r="D279" s="85" t="s">
        <v>208</v>
      </c>
      <c r="E279" s="87">
        <v>0</v>
      </c>
      <c r="F279" s="88">
        <v>97084366.00000003</v>
      </c>
      <c r="G279" s="87">
        <v>0</v>
      </c>
      <c r="I279" s="87">
        <v>0</v>
      </c>
      <c r="K279" s="87">
        <v>0</v>
      </c>
      <c r="M279" s="87">
        <v>0</v>
      </c>
      <c r="O279" s="87">
        <v>0</v>
      </c>
      <c r="P279" s="88">
        <v>111129438.00000001</v>
      </c>
      <c r="Q279" s="87">
        <v>0</v>
      </c>
      <c r="R279" s="87">
        <f t="shared" si="93"/>
        <v>73174</v>
      </c>
      <c r="T279" s="87">
        <v>0</v>
      </c>
      <c r="V279" s="87">
        <v>0</v>
      </c>
      <c r="X279" s="87">
        <v>0</v>
      </c>
      <c r="Y279" s="88">
        <v>123379924.50000004</v>
      </c>
      <c r="Z279" s="87">
        <v>0</v>
      </c>
      <c r="AA279" s="87">
        <v>73174</v>
      </c>
      <c r="AB279" s="89">
        <f t="shared" si="94"/>
        <v>0</v>
      </c>
      <c r="AC279" s="89">
        <f t="shared" si="95"/>
        <v>0</v>
      </c>
      <c r="AD279" s="89">
        <f t="shared" si="96"/>
        <v>0</v>
      </c>
      <c r="AF279" s="90" t="str">
        <f t="shared" si="97"/>
        <v/>
      </c>
      <c r="AG279" s="90">
        <f t="shared" si="108"/>
        <v>73174</v>
      </c>
      <c r="AH279" s="90" t="str">
        <f t="shared" si="98"/>
        <v>2018 (triag)</v>
      </c>
      <c r="AI279" s="90">
        <f t="shared" si="99"/>
        <v>73174</v>
      </c>
      <c r="AJ279" s="90" t="str">
        <f t="shared" si="100"/>
        <v>2018 (triag)</v>
      </c>
      <c r="AK279" s="90" t="str">
        <f t="shared" si="101"/>
        <v/>
      </c>
      <c r="AL279" s="91">
        <f>IF(AK279="Adjust",(_xlfn.XLOOKUP(A279,'Adj factor'!A:A,'Adj factor'!I:I,,0)*AI279),'Master DataSheet (Rev)'!AI279)</f>
        <v>73174</v>
      </c>
      <c r="AM279" s="91">
        <f t="shared" si="102"/>
        <v>73174</v>
      </c>
      <c r="AN279" s="92" t="str">
        <f t="shared" si="103"/>
        <v>No change</v>
      </c>
      <c r="AO279" s="93">
        <f>VLOOKUP(B279,'Growthrates source'!A$2:H$49,8,FALSE)</f>
        <v>-4.0290808124875621E-2</v>
      </c>
      <c r="AP279" s="93">
        <f>VLOOKUP(B279,'Growthrates source'!A$2:I$49,9,FALSE)</f>
        <v>7.5715887821594663E-2</v>
      </c>
      <c r="AQ279" s="86">
        <f t="shared" si="104"/>
        <v>89504.974723550171</v>
      </c>
      <c r="AR279" s="86">
        <f t="shared" si="105"/>
        <v>91834.480353064428</v>
      </c>
      <c r="AS279" s="94">
        <f t="shared" si="106"/>
        <v>0</v>
      </c>
      <c r="AT279" s="94">
        <f t="shared" si="107"/>
        <v>6.5845739272072974</v>
      </c>
      <c r="AU279" s="94">
        <f t="shared" si="109"/>
        <v>5.930786576222939</v>
      </c>
      <c r="AV279" s="94">
        <f t="shared" si="110"/>
        <v>5.930786576222939</v>
      </c>
    </row>
    <row r="280" spans="1:48" x14ac:dyDescent="0.3">
      <c r="A280" s="85" t="str">
        <f>_xlfn.XLOOKUP(B280,'Country codes &amp; Data sources'!G:G,'Country codes &amp; Data sources'!H:H,,0)</f>
        <v>Ethiopia</v>
      </c>
      <c r="B280" s="85" t="s">
        <v>155</v>
      </c>
      <c r="C280" s="86">
        <v>94451296.500000104</v>
      </c>
      <c r="D280" s="85" t="s">
        <v>209</v>
      </c>
      <c r="E280" s="87">
        <v>0</v>
      </c>
      <c r="F280" s="88">
        <v>97084366.00000003</v>
      </c>
      <c r="G280" s="87">
        <v>0</v>
      </c>
      <c r="I280" s="87">
        <v>0</v>
      </c>
      <c r="K280" s="87">
        <v>0</v>
      </c>
      <c r="M280" s="87">
        <v>0</v>
      </c>
      <c r="O280" s="87">
        <v>0</v>
      </c>
      <c r="P280" s="88">
        <v>111129438.00000001</v>
      </c>
      <c r="Q280" s="87">
        <v>0</v>
      </c>
      <c r="R280" s="87">
        <f t="shared" si="93"/>
        <v>2872</v>
      </c>
      <c r="T280" s="87">
        <v>0</v>
      </c>
      <c r="V280" s="87">
        <v>0</v>
      </c>
      <c r="X280" s="87">
        <v>0</v>
      </c>
      <c r="Y280" s="88">
        <v>123379924.50000004</v>
      </c>
      <c r="Z280" s="87">
        <v>0</v>
      </c>
      <c r="AA280" s="87">
        <v>2872</v>
      </c>
      <c r="AB280" s="89">
        <f t="shared" si="94"/>
        <v>0</v>
      </c>
      <c r="AC280" s="89">
        <f t="shared" si="95"/>
        <v>0</v>
      </c>
      <c r="AD280" s="89">
        <f t="shared" si="96"/>
        <v>0</v>
      </c>
      <c r="AF280" s="90" t="str">
        <f t="shared" si="97"/>
        <v/>
      </c>
      <c r="AG280" s="90">
        <f t="shared" si="108"/>
        <v>2872</v>
      </c>
      <c r="AH280" s="90" t="str">
        <f t="shared" si="98"/>
        <v>2018 (triag)</v>
      </c>
      <c r="AI280" s="90">
        <f t="shared" si="99"/>
        <v>2872</v>
      </c>
      <c r="AJ280" s="90" t="str">
        <f t="shared" si="100"/>
        <v>2018 (triag)</v>
      </c>
      <c r="AK280" s="90" t="str">
        <f t="shared" si="101"/>
        <v/>
      </c>
      <c r="AL280" s="91">
        <f>IF(AK280="Adjust",(_xlfn.XLOOKUP(A280,'Adj factor'!A:A,'Adj factor'!I:I,,0)*AI280),'Master DataSheet (Rev)'!AI280)</f>
        <v>2872</v>
      </c>
      <c r="AM280" s="91">
        <f t="shared" si="102"/>
        <v>2872</v>
      </c>
      <c r="AN280" s="92" t="str">
        <f t="shared" si="103"/>
        <v>No change</v>
      </c>
      <c r="AO280" s="93">
        <f>VLOOKUP(B280,'Growthrates source'!A$2:H$49,8,FALSE)</f>
        <v>-4.0290808124875621E-2</v>
      </c>
      <c r="AP280" s="93">
        <f>VLOOKUP(B280,'Growthrates source'!A$2:I$49,9,FALSE)</f>
        <v>7.5715887821594663E-2</v>
      </c>
      <c r="AQ280" s="86">
        <f t="shared" si="104"/>
        <v>3512.9730150878195</v>
      </c>
      <c r="AR280" s="86">
        <f t="shared" si="105"/>
        <v>3604.4035801514342</v>
      </c>
      <c r="AS280" s="94">
        <f t="shared" si="106"/>
        <v>0</v>
      </c>
      <c r="AT280" s="94">
        <f t="shared" si="107"/>
        <v>0.25843737282285184</v>
      </c>
      <c r="AU280" s="94">
        <f t="shared" si="109"/>
        <v>0.2327769296049455</v>
      </c>
      <c r="AV280" s="94">
        <f t="shared" si="110"/>
        <v>0.2327769296049455</v>
      </c>
    </row>
    <row r="281" spans="1:48" x14ac:dyDescent="0.3">
      <c r="A281" s="85" t="str">
        <f>_xlfn.XLOOKUP(B281,'Country codes &amp; Data sources'!G:G,'Country codes &amp; Data sources'!H:H,,0)</f>
        <v>Ethiopia</v>
      </c>
      <c r="B281" s="85" t="s">
        <v>155</v>
      </c>
      <c r="C281" s="86">
        <v>94451297.500000104</v>
      </c>
      <c r="D281" s="85" t="s">
        <v>134</v>
      </c>
      <c r="E281" s="87">
        <v>0</v>
      </c>
      <c r="F281" s="88">
        <v>97084366.00000003</v>
      </c>
      <c r="G281" s="87">
        <v>0</v>
      </c>
      <c r="I281" s="87">
        <v>0</v>
      </c>
      <c r="K281" s="87">
        <v>0</v>
      </c>
      <c r="M281" s="87">
        <v>0</v>
      </c>
      <c r="O281" s="87">
        <v>0</v>
      </c>
      <c r="P281" s="88">
        <v>111129438.00000001</v>
      </c>
      <c r="Q281" s="87">
        <v>0</v>
      </c>
      <c r="R281" s="87">
        <f t="shared" si="93"/>
        <v>10450</v>
      </c>
      <c r="T281" s="87">
        <v>0</v>
      </c>
      <c r="V281" s="87">
        <v>4752</v>
      </c>
      <c r="X281" s="87">
        <v>0</v>
      </c>
      <c r="Y281" s="88">
        <v>123379924.50000004</v>
      </c>
      <c r="Z281" s="87">
        <v>13915</v>
      </c>
      <c r="AA281" s="87">
        <v>10450</v>
      </c>
      <c r="AB281" s="89">
        <f t="shared" si="94"/>
        <v>0</v>
      </c>
      <c r="AC281" s="89">
        <f t="shared" si="95"/>
        <v>0</v>
      </c>
      <c r="AD281" s="89">
        <f t="shared" si="96"/>
        <v>13915</v>
      </c>
      <c r="AF281" s="90" t="str">
        <f t="shared" si="97"/>
        <v/>
      </c>
      <c r="AG281" s="90">
        <f t="shared" si="108"/>
        <v>10450</v>
      </c>
      <c r="AH281" s="90" t="str">
        <f t="shared" si="98"/>
        <v>2018 (triag)</v>
      </c>
      <c r="AI281" s="90">
        <f t="shared" si="99"/>
        <v>13915</v>
      </c>
      <c r="AJ281" s="90">
        <f t="shared" si="100"/>
        <v>2022</v>
      </c>
      <c r="AK281" s="90" t="str">
        <f t="shared" si="101"/>
        <v/>
      </c>
      <c r="AL281" s="91">
        <f>IF(AK281="Adjust",(_xlfn.XLOOKUP(A281,'Adj factor'!A:A,'Adj factor'!I:I,,0)*AI281),'Master DataSheet (Rev)'!AI281)</f>
        <v>13915</v>
      </c>
      <c r="AM281" s="91">
        <f t="shared" si="102"/>
        <v>13915</v>
      </c>
      <c r="AN281" s="92" t="str">
        <f t="shared" si="103"/>
        <v>Increasing</v>
      </c>
      <c r="AO281" s="93">
        <f>VLOOKUP(B281,'Growthrates source'!A$2:H$49,8,FALSE)</f>
        <v>-4.0290808124875621E-2</v>
      </c>
      <c r="AP281" s="93">
        <f>VLOOKUP(B281,'Growthrates source'!A$2:I$49,9,FALSE)</f>
        <v>7.5715887821594663E-2</v>
      </c>
      <c r="AQ281" s="86">
        <f t="shared" si="104"/>
        <v>12782.231200441405</v>
      </c>
      <c r="AR281" s="86">
        <f t="shared" si="105"/>
        <v>13114.9085698407</v>
      </c>
      <c r="AS281" s="94">
        <f t="shared" si="106"/>
        <v>0</v>
      </c>
      <c r="AT281" s="94">
        <f t="shared" si="107"/>
        <v>0.94034489763189466</v>
      </c>
      <c r="AU281" s="94">
        <f t="shared" si="109"/>
        <v>1.1278171920100335</v>
      </c>
      <c r="AV281" s="94">
        <f t="shared" si="110"/>
        <v>1.1278171920100335</v>
      </c>
    </row>
    <row r="282" spans="1:48" x14ac:dyDescent="0.3">
      <c r="A282" s="85" t="str">
        <f>_xlfn.XLOOKUP(B282,'Country codes &amp; Data sources'!G:G,'Country codes &amp; Data sources'!H:H,,0)</f>
        <v>Ethiopia</v>
      </c>
      <c r="B282" s="85" t="s">
        <v>155</v>
      </c>
      <c r="C282" s="86">
        <v>94451298.500000104</v>
      </c>
      <c r="D282" s="85" t="s">
        <v>142</v>
      </c>
      <c r="E282" s="87">
        <v>0</v>
      </c>
      <c r="F282" s="88">
        <v>97084366.00000003</v>
      </c>
      <c r="G282" s="87">
        <v>0</v>
      </c>
      <c r="I282" s="87">
        <v>0</v>
      </c>
      <c r="K282" s="87">
        <v>0</v>
      </c>
      <c r="M282" s="87">
        <v>0</v>
      </c>
      <c r="O282" s="87">
        <v>0</v>
      </c>
      <c r="P282" s="88">
        <v>111129438.00000001</v>
      </c>
      <c r="Q282" s="87">
        <v>0</v>
      </c>
      <c r="R282" s="87">
        <f t="shared" si="93"/>
        <v>1285</v>
      </c>
      <c r="T282" s="87">
        <v>0</v>
      </c>
      <c r="V282" s="87">
        <v>1234</v>
      </c>
      <c r="X282" s="87">
        <v>0</v>
      </c>
      <c r="Y282" s="88">
        <v>123379924.50000004</v>
      </c>
      <c r="Z282" s="87">
        <v>1205</v>
      </c>
      <c r="AA282" s="87">
        <v>1285</v>
      </c>
      <c r="AB282" s="89">
        <f t="shared" si="94"/>
        <v>0</v>
      </c>
      <c r="AC282" s="89">
        <f t="shared" si="95"/>
        <v>0</v>
      </c>
      <c r="AD282" s="89">
        <f t="shared" si="96"/>
        <v>1234</v>
      </c>
      <c r="AF282" s="90" t="str">
        <f t="shared" si="97"/>
        <v/>
      </c>
      <c r="AG282" s="90">
        <f t="shared" si="108"/>
        <v>1285</v>
      </c>
      <c r="AH282" s="90" t="str">
        <f t="shared" si="98"/>
        <v>2018 (triag)</v>
      </c>
      <c r="AI282" s="90">
        <f t="shared" si="99"/>
        <v>1205</v>
      </c>
      <c r="AJ282" s="90">
        <f t="shared" si="100"/>
        <v>2022</v>
      </c>
      <c r="AK282" s="90" t="str">
        <f t="shared" si="101"/>
        <v>Adjust</v>
      </c>
      <c r="AL282" s="91">
        <f>IF(AK282="Adjust",(_xlfn.XLOOKUP(A282,'Adj factor'!A:A,'Adj factor'!I:I,,0)*AI282),'Master DataSheet (Rev)'!AI282)</f>
        <v>1230.1476924425951</v>
      </c>
      <c r="AM282" s="91">
        <f t="shared" si="102"/>
        <v>1285</v>
      </c>
      <c r="AN282" s="92" t="str">
        <f t="shared" si="103"/>
        <v>Decreasing</v>
      </c>
      <c r="AO282" s="93">
        <f>VLOOKUP(B282,'Growthrates source'!A$2:H$49,8,FALSE)</f>
        <v>-4.0290808124875621E-2</v>
      </c>
      <c r="AP282" s="93">
        <f>VLOOKUP(B282,'Growthrates source'!A$2:I$49,9,FALSE)</f>
        <v>7.5715887821594663E-2</v>
      </c>
      <c r="AQ282" s="86">
        <f t="shared" si="104"/>
        <v>1571.7863246475795</v>
      </c>
      <c r="AR282" s="86">
        <f t="shared" si="105"/>
        <v>1612.6944987794545</v>
      </c>
      <c r="AS282" s="94">
        <f t="shared" si="106"/>
        <v>0</v>
      </c>
      <c r="AT282" s="94">
        <f t="shared" si="107"/>
        <v>0.1156309276035392</v>
      </c>
      <c r="AU282" s="94">
        <f t="shared" si="109"/>
        <v>9.9704039974720104E-2</v>
      </c>
      <c r="AV282" s="94">
        <f t="shared" si="110"/>
        <v>0.10414984489636314</v>
      </c>
    </row>
    <row r="283" spans="1:48" x14ac:dyDescent="0.3">
      <c r="A283" s="85" t="str">
        <f>_xlfn.XLOOKUP(B283,'Country codes &amp; Data sources'!G:G,'Country codes &amp; Data sources'!H:H,,0)</f>
        <v>Ethiopia</v>
      </c>
      <c r="B283" s="85" t="s">
        <v>155</v>
      </c>
      <c r="C283" s="86">
        <v>94451299.500000104</v>
      </c>
      <c r="D283" s="85" t="s">
        <v>83</v>
      </c>
      <c r="E283" s="87">
        <v>0</v>
      </c>
      <c r="F283" s="88">
        <v>97084366.00000003</v>
      </c>
      <c r="G283" s="87">
        <v>0</v>
      </c>
      <c r="I283" s="87">
        <v>0</v>
      </c>
      <c r="K283" s="87">
        <v>0</v>
      </c>
      <c r="M283" s="87">
        <v>0</v>
      </c>
      <c r="O283" s="87">
        <v>0</v>
      </c>
      <c r="P283" s="88">
        <v>111129438.00000001</v>
      </c>
      <c r="Q283" s="87">
        <v>0</v>
      </c>
      <c r="R283" s="87">
        <f t="shared" si="93"/>
        <v>258</v>
      </c>
      <c r="T283" s="87">
        <v>0</v>
      </c>
      <c r="V283" s="87">
        <v>249</v>
      </c>
      <c r="X283" s="87">
        <v>0</v>
      </c>
      <c r="Y283" s="88">
        <v>123379924.50000004</v>
      </c>
      <c r="Z283" s="113">
        <f>3167+108</f>
        <v>3275</v>
      </c>
      <c r="AA283" s="87">
        <v>258</v>
      </c>
      <c r="AB283" s="89">
        <f t="shared" si="94"/>
        <v>0</v>
      </c>
      <c r="AC283" s="89">
        <f t="shared" si="95"/>
        <v>0</v>
      </c>
      <c r="AD283" s="89">
        <f t="shared" si="96"/>
        <v>3275</v>
      </c>
      <c r="AF283" s="90" t="str">
        <f t="shared" si="97"/>
        <v/>
      </c>
      <c r="AG283" s="90">
        <f t="shared" si="108"/>
        <v>258</v>
      </c>
      <c r="AH283" s="90" t="str">
        <f t="shared" si="98"/>
        <v>2018 (triag)</v>
      </c>
      <c r="AI283" s="90">
        <f t="shared" si="99"/>
        <v>3275</v>
      </c>
      <c r="AJ283" s="90">
        <f t="shared" si="100"/>
        <v>2022</v>
      </c>
      <c r="AK283" s="90" t="str">
        <f t="shared" si="101"/>
        <v/>
      </c>
      <c r="AL283" s="91">
        <f>IF(AK283="Adjust",(_xlfn.XLOOKUP(A283,'Adj factor'!A:A,'Adj factor'!I:I,,0)*AI283),'Master DataSheet (Rev)'!AI283)</f>
        <v>3275</v>
      </c>
      <c r="AM283" s="60">
        <f>3167+108</f>
        <v>3275</v>
      </c>
      <c r="AN283" s="92" t="str">
        <f t="shared" si="103"/>
        <v>Increasing</v>
      </c>
      <c r="AO283" s="93">
        <f>VLOOKUP(B283,'Growthrates source'!A$2:H$49,8,FALSE)</f>
        <v>-4.0290808124875621E-2</v>
      </c>
      <c r="AP283" s="93">
        <f>VLOOKUP(B283,'Growthrates source'!A$2:I$49,9,FALSE)</f>
        <v>7.5715887821594663E-2</v>
      </c>
      <c r="AQ283" s="86">
        <f t="shared" si="104"/>
        <v>315.58044494869688</v>
      </c>
      <c r="AR283" s="86">
        <f t="shared" si="105"/>
        <v>323.79391493003834</v>
      </c>
      <c r="AS283" s="94">
        <f t="shared" si="106"/>
        <v>0</v>
      </c>
      <c r="AT283" s="94">
        <f t="shared" si="107"/>
        <v>2.3216170678375964E-2</v>
      </c>
      <c r="AU283" s="94">
        <f t="shared" si="109"/>
        <v>0.26544026617555588</v>
      </c>
      <c r="AV283" s="94">
        <f t="shared" si="110"/>
        <v>0.26544026617555588</v>
      </c>
    </row>
    <row r="284" spans="1:48" x14ac:dyDescent="0.3">
      <c r="A284" s="85" t="str">
        <f>_xlfn.XLOOKUP(B284,'Country codes &amp; Data sources'!G:G,'Country codes &amp; Data sources'!H:H,,0)</f>
        <v>Ethiopia</v>
      </c>
      <c r="B284" s="85" t="s">
        <v>155</v>
      </c>
      <c r="C284" s="86">
        <v>94451300.500000104</v>
      </c>
      <c r="D284" s="85" t="s">
        <v>84</v>
      </c>
      <c r="E284" s="87">
        <v>0</v>
      </c>
      <c r="F284" s="88">
        <v>97084366.00000003</v>
      </c>
      <c r="G284" s="87">
        <v>0</v>
      </c>
      <c r="I284" s="87">
        <v>0</v>
      </c>
      <c r="K284" s="87">
        <v>0</v>
      </c>
      <c r="M284" s="87">
        <v>0</v>
      </c>
      <c r="O284" s="87">
        <v>0</v>
      </c>
      <c r="P284" s="88">
        <v>111129438.00000001</v>
      </c>
      <c r="Q284" s="87">
        <v>0</v>
      </c>
      <c r="R284" s="87">
        <f t="shared" si="93"/>
        <v>0</v>
      </c>
      <c r="T284" s="87">
        <v>0</v>
      </c>
      <c r="V284" s="87">
        <v>0</v>
      </c>
      <c r="X284" s="87">
        <v>0</v>
      </c>
      <c r="Y284" s="88">
        <v>123379924.50000004</v>
      </c>
      <c r="Z284" s="87">
        <v>0</v>
      </c>
      <c r="AA284" s="87">
        <v>0</v>
      </c>
      <c r="AB284" s="89">
        <f t="shared" si="94"/>
        <v>0</v>
      </c>
      <c r="AC284" s="89">
        <f t="shared" si="95"/>
        <v>0</v>
      </c>
      <c r="AD284" s="89">
        <f t="shared" si="96"/>
        <v>0</v>
      </c>
      <c r="AF284" s="90" t="str">
        <f t="shared" si="97"/>
        <v/>
      </c>
      <c r="AH284" s="90" t="str">
        <f t="shared" si="98"/>
        <v/>
      </c>
      <c r="AI284" s="90">
        <f t="shared" si="99"/>
        <v>0</v>
      </c>
      <c r="AJ284" s="90" t="str">
        <f t="shared" si="100"/>
        <v/>
      </c>
      <c r="AK284" s="90" t="str">
        <f t="shared" si="101"/>
        <v/>
      </c>
      <c r="AL284" s="91"/>
      <c r="AM284" s="91">
        <f t="shared" si="102"/>
        <v>0</v>
      </c>
      <c r="AN284" s="92" t="str">
        <f t="shared" si="103"/>
        <v>No change</v>
      </c>
      <c r="AO284" s="93">
        <f>VLOOKUP(B284,'Growthrates source'!A$2:H$49,8,FALSE)</f>
        <v>-4.0290808124875621E-2</v>
      </c>
      <c r="AP284" s="93">
        <f>VLOOKUP(B284,'Growthrates source'!A$2:I$49,9,FALSE)</f>
        <v>7.5715887821594663E-2</v>
      </c>
      <c r="AQ284" s="86">
        <f t="shared" si="104"/>
        <v>0</v>
      </c>
      <c r="AR284" s="86">
        <f t="shared" si="105"/>
        <v>0</v>
      </c>
      <c r="AS284" s="94">
        <f t="shared" si="106"/>
        <v>0</v>
      </c>
      <c r="AT284" s="94">
        <f t="shared" si="107"/>
        <v>0</v>
      </c>
      <c r="AU284" s="94">
        <f t="shared" si="109"/>
        <v>0</v>
      </c>
      <c r="AV284" s="94">
        <f t="shared" si="110"/>
        <v>0</v>
      </c>
    </row>
    <row r="285" spans="1:48" x14ac:dyDescent="0.3">
      <c r="A285" s="85" t="str">
        <f>_xlfn.XLOOKUP(B285,'Country codes &amp; Data sources'!G:G,'Country codes &amp; Data sources'!H:H,,0)</f>
        <v>Ethiopia</v>
      </c>
      <c r="B285" s="85" t="s">
        <v>155</v>
      </c>
      <c r="C285" s="86">
        <v>94451301.500000104</v>
      </c>
      <c r="D285" s="85" t="s">
        <v>126</v>
      </c>
      <c r="E285" s="87">
        <v>0</v>
      </c>
      <c r="F285" s="88">
        <v>97084366.00000003</v>
      </c>
      <c r="G285" s="87">
        <v>0</v>
      </c>
      <c r="I285" s="87">
        <v>0</v>
      </c>
      <c r="K285" s="87">
        <v>0</v>
      </c>
      <c r="M285" s="87">
        <v>0</v>
      </c>
      <c r="O285" s="87">
        <v>0</v>
      </c>
      <c r="P285" s="88">
        <v>111129438.00000001</v>
      </c>
      <c r="Q285" s="87">
        <v>0</v>
      </c>
      <c r="R285" s="87">
        <f t="shared" si="93"/>
        <v>0</v>
      </c>
      <c r="T285" s="87">
        <v>0</v>
      </c>
      <c r="V285" s="87">
        <v>4</v>
      </c>
      <c r="X285" s="87">
        <v>0</v>
      </c>
      <c r="Y285" s="88">
        <v>123379924.50000004</v>
      </c>
      <c r="Z285" s="87">
        <v>0</v>
      </c>
      <c r="AA285" s="87">
        <v>0</v>
      </c>
      <c r="AB285" s="89">
        <f t="shared" si="94"/>
        <v>0</v>
      </c>
      <c r="AC285" s="89">
        <f t="shared" si="95"/>
        <v>0</v>
      </c>
      <c r="AD285" s="89">
        <f t="shared" si="96"/>
        <v>4</v>
      </c>
      <c r="AF285" s="90" t="str">
        <f t="shared" si="97"/>
        <v/>
      </c>
      <c r="AH285" s="90" t="str">
        <f t="shared" si="98"/>
        <v/>
      </c>
      <c r="AI285" s="90">
        <f t="shared" si="99"/>
        <v>4</v>
      </c>
      <c r="AJ285" s="90">
        <f t="shared" si="100"/>
        <v>2020</v>
      </c>
      <c r="AK285" s="90" t="str">
        <f t="shared" si="101"/>
        <v/>
      </c>
      <c r="AL285" s="91">
        <f>IF(AK285="Adjust",(_xlfn.XLOOKUP(A285,'Adj factor'!A:A,'Adj factor'!I:I,,0)*AI285),'Master DataSheet (Rev)'!AI285)</f>
        <v>4</v>
      </c>
      <c r="AM285" s="91">
        <f t="shared" si="102"/>
        <v>4</v>
      </c>
      <c r="AN285" s="92" t="str">
        <f t="shared" si="103"/>
        <v>Increasing</v>
      </c>
      <c r="AO285" s="93">
        <f>VLOOKUP(B285,'Growthrates source'!A$2:H$49,8,FALSE)</f>
        <v>-4.0290808124875621E-2</v>
      </c>
      <c r="AP285" s="93">
        <f>VLOOKUP(B285,'Growthrates source'!A$2:I$49,9,FALSE)</f>
        <v>7.5715887821594663E-2</v>
      </c>
      <c r="AQ285" s="86">
        <f t="shared" si="104"/>
        <v>0</v>
      </c>
      <c r="AR285" s="86">
        <f t="shared" si="105"/>
        <v>0</v>
      </c>
      <c r="AS285" s="94">
        <f t="shared" si="106"/>
        <v>0</v>
      </c>
      <c r="AT285" s="94">
        <f t="shared" si="107"/>
        <v>0</v>
      </c>
      <c r="AU285" s="94">
        <f t="shared" si="109"/>
        <v>3.2420185181747282E-4</v>
      </c>
      <c r="AV285" s="94">
        <f t="shared" si="110"/>
        <v>3.2420185181747282E-4</v>
      </c>
    </row>
    <row r="286" spans="1:48" x14ac:dyDescent="0.3">
      <c r="A286" s="85" t="str">
        <f>_xlfn.XLOOKUP(B286,'Country codes &amp; Data sources'!G:G,'Country codes &amp; Data sources'!H:H,,0)</f>
        <v>Ethiopia</v>
      </c>
      <c r="B286" s="85" t="s">
        <v>155</v>
      </c>
      <c r="C286" s="86">
        <v>94451302.500000104</v>
      </c>
      <c r="D286" s="85" t="s">
        <v>87</v>
      </c>
      <c r="E286" s="87">
        <v>0</v>
      </c>
      <c r="F286" s="88">
        <v>97084366.00000003</v>
      </c>
      <c r="G286" s="87">
        <v>0</v>
      </c>
      <c r="I286" s="87">
        <v>0</v>
      </c>
      <c r="K286" s="87">
        <v>0</v>
      </c>
      <c r="M286" s="87">
        <v>0</v>
      </c>
      <c r="O286" s="87">
        <v>0</v>
      </c>
      <c r="P286" s="88">
        <v>111129438.00000001</v>
      </c>
      <c r="Q286" s="87">
        <v>0</v>
      </c>
      <c r="R286" s="87">
        <f t="shared" si="93"/>
        <v>0</v>
      </c>
      <c r="T286" s="87">
        <v>0</v>
      </c>
      <c r="V286" s="87">
        <v>0</v>
      </c>
      <c r="X286" s="87">
        <v>0</v>
      </c>
      <c r="Y286" s="88">
        <v>123379924.50000004</v>
      </c>
      <c r="Z286" s="87">
        <v>0</v>
      </c>
      <c r="AA286" s="87">
        <v>0</v>
      </c>
      <c r="AB286" s="89">
        <f t="shared" si="94"/>
        <v>0</v>
      </c>
      <c r="AC286" s="89">
        <f t="shared" si="95"/>
        <v>0</v>
      </c>
      <c r="AD286" s="89">
        <f t="shared" si="96"/>
        <v>0</v>
      </c>
      <c r="AF286" s="90" t="str">
        <f t="shared" si="97"/>
        <v/>
      </c>
      <c r="AH286" s="90" t="str">
        <f t="shared" si="98"/>
        <v/>
      </c>
      <c r="AI286" s="90">
        <f t="shared" si="99"/>
        <v>0</v>
      </c>
      <c r="AJ286" s="90" t="str">
        <f t="shared" si="100"/>
        <v/>
      </c>
      <c r="AK286" s="90" t="str">
        <f t="shared" si="101"/>
        <v/>
      </c>
      <c r="AL286" s="91"/>
      <c r="AM286" s="91">
        <f t="shared" si="102"/>
        <v>0</v>
      </c>
      <c r="AN286" s="92" t="str">
        <f t="shared" si="103"/>
        <v>No change</v>
      </c>
      <c r="AO286" s="93">
        <f>VLOOKUP(B286,'Growthrates source'!A$2:H$49,8,FALSE)</f>
        <v>-4.0290808124875621E-2</v>
      </c>
      <c r="AP286" s="93">
        <f>VLOOKUP(B286,'Growthrates source'!A$2:I$49,9,FALSE)</f>
        <v>7.5715887821594663E-2</v>
      </c>
      <c r="AQ286" s="86">
        <f t="shared" si="104"/>
        <v>0</v>
      </c>
      <c r="AR286" s="86">
        <f t="shared" si="105"/>
        <v>0</v>
      </c>
      <c r="AS286" s="94">
        <f t="shared" si="106"/>
        <v>0</v>
      </c>
      <c r="AT286" s="94">
        <f t="shared" si="107"/>
        <v>0</v>
      </c>
      <c r="AU286" s="94">
        <f t="shared" si="109"/>
        <v>0</v>
      </c>
      <c r="AV286" s="94">
        <f t="shared" si="110"/>
        <v>0</v>
      </c>
    </row>
    <row r="287" spans="1:48" x14ac:dyDescent="0.3">
      <c r="A287" s="85" t="str">
        <f>_xlfn.XLOOKUP(B287,'Country codes &amp; Data sources'!G:G,'Country codes &amp; Data sources'!H:H,,0)</f>
        <v>Gabon</v>
      </c>
      <c r="B287" s="85" t="s">
        <v>157</v>
      </c>
      <c r="C287" s="86">
        <v>1836710</v>
      </c>
      <c r="D287" s="85" t="s">
        <v>127</v>
      </c>
      <c r="E287" s="87">
        <v>0</v>
      </c>
      <c r="F287" s="88">
        <v>1902226.5000000007</v>
      </c>
      <c r="G287" s="87">
        <v>0</v>
      </c>
      <c r="I287" s="87">
        <v>0</v>
      </c>
      <c r="K287" s="87">
        <v>0</v>
      </c>
      <c r="M287" s="87">
        <v>0</v>
      </c>
      <c r="O287" s="87">
        <v>0</v>
      </c>
      <c r="P287" s="88">
        <v>2192011.5</v>
      </c>
      <c r="Q287" s="87">
        <v>0</v>
      </c>
      <c r="R287" s="87">
        <f t="shared" si="93"/>
        <v>0</v>
      </c>
      <c r="T287" s="87">
        <v>117</v>
      </c>
      <c r="V287" s="87">
        <v>110</v>
      </c>
      <c r="X287" s="87">
        <v>0</v>
      </c>
      <c r="Y287" s="88">
        <v>2388992.5000000005</v>
      </c>
      <c r="Z287" s="87">
        <v>98</v>
      </c>
      <c r="AA287" s="87">
        <v>0</v>
      </c>
      <c r="AB287" s="89">
        <f t="shared" si="94"/>
        <v>0</v>
      </c>
      <c r="AC287" s="89">
        <f t="shared" si="95"/>
        <v>117</v>
      </c>
      <c r="AD287" s="89">
        <f t="shared" si="96"/>
        <v>110</v>
      </c>
      <c r="AF287" s="90" t="str">
        <f t="shared" si="97"/>
        <v/>
      </c>
      <c r="AG287" s="90">
        <f t="shared" si="108"/>
        <v>117</v>
      </c>
      <c r="AH287" s="90">
        <f t="shared" si="98"/>
        <v>2019</v>
      </c>
      <c r="AI287" s="90">
        <f t="shared" si="99"/>
        <v>98</v>
      </c>
      <c r="AJ287" s="90">
        <f t="shared" si="100"/>
        <v>2022</v>
      </c>
      <c r="AK287" s="90" t="str">
        <f t="shared" si="101"/>
        <v>Adjust</v>
      </c>
      <c r="AL287" s="91">
        <f>IF(AK287="Adjust",(_xlfn.XLOOKUP(A287,'Adj factor'!A:A,'Adj factor'!I:I,,0)*AI287),'Master DataSheet (Rev)'!AI287)</f>
        <v>108.87462895058496</v>
      </c>
      <c r="AM287" s="91">
        <f t="shared" si="102"/>
        <v>117</v>
      </c>
      <c r="AN287" s="92" t="str">
        <f t="shared" si="103"/>
        <v>Decreasing</v>
      </c>
      <c r="AO287" s="93">
        <f>VLOOKUP(B287,'Growthrates source'!A$2:H$49,8,FALSE)</f>
        <v>0.2599900753182236</v>
      </c>
      <c r="AP287" s="93">
        <f>VLOOKUP(B287,'Growthrates source'!A$2:I$49,9,FALSE)</f>
        <v>5.4673730437993617E-2</v>
      </c>
      <c r="AQ287" s="86">
        <f t="shared" si="104"/>
        <v>0</v>
      </c>
      <c r="AR287" s="86">
        <f t="shared" si="105"/>
        <v>0</v>
      </c>
      <c r="AS287" s="94">
        <f t="shared" si="106"/>
        <v>0</v>
      </c>
      <c r="AT287" s="94">
        <f t="shared" si="107"/>
        <v>0.53375632381490701</v>
      </c>
      <c r="AU287" s="94">
        <f t="shared" si="109"/>
        <v>0.45573449456448667</v>
      </c>
      <c r="AV287" s="94">
        <f t="shared" si="110"/>
        <v>0.4897462005426973</v>
      </c>
    </row>
    <row r="288" spans="1:48" x14ac:dyDescent="0.3">
      <c r="A288" s="85" t="str">
        <f>_xlfn.XLOOKUP(B288,'Country codes &amp; Data sources'!G:G,'Country codes &amp; Data sources'!H:H,,0)</f>
        <v>Gabon</v>
      </c>
      <c r="B288" s="85" t="s">
        <v>157</v>
      </c>
      <c r="C288" s="86">
        <v>1836711</v>
      </c>
      <c r="D288" s="85" t="s">
        <v>61</v>
      </c>
      <c r="E288" s="87">
        <v>0</v>
      </c>
      <c r="F288" s="88">
        <v>1902226.5000000007</v>
      </c>
      <c r="G288" s="87">
        <v>0</v>
      </c>
      <c r="I288" s="87">
        <v>999</v>
      </c>
      <c r="K288" s="87">
        <v>0</v>
      </c>
      <c r="M288" s="87">
        <v>4</v>
      </c>
      <c r="O288" s="87">
        <v>1985</v>
      </c>
      <c r="P288" s="88">
        <v>2192011.5</v>
      </c>
      <c r="Q288" s="87">
        <v>0</v>
      </c>
      <c r="R288" s="87">
        <f t="shared" si="93"/>
        <v>6</v>
      </c>
      <c r="T288" s="87">
        <v>0</v>
      </c>
      <c r="V288" s="87">
        <v>0</v>
      </c>
      <c r="X288" s="87">
        <v>0</v>
      </c>
      <c r="Y288" s="88">
        <v>2388992.5000000005</v>
      </c>
      <c r="Z288" s="87">
        <v>0</v>
      </c>
      <c r="AA288" s="87">
        <v>6</v>
      </c>
      <c r="AB288" s="89">
        <f t="shared" si="94"/>
        <v>999</v>
      </c>
      <c r="AC288" s="89">
        <f t="shared" si="95"/>
        <v>1985</v>
      </c>
      <c r="AD288" s="89">
        <f t="shared" si="96"/>
        <v>0</v>
      </c>
      <c r="AE288" s="90">
        <f t="shared" si="111"/>
        <v>999</v>
      </c>
      <c r="AF288" s="90">
        <f t="shared" si="97"/>
        <v>2014</v>
      </c>
      <c r="AG288" s="90">
        <f t="shared" si="108"/>
        <v>6</v>
      </c>
      <c r="AH288" s="90" t="str">
        <f t="shared" si="98"/>
        <v>2018 (triag)</v>
      </c>
      <c r="AI288" s="90">
        <f t="shared" si="99"/>
        <v>6</v>
      </c>
      <c r="AJ288" s="90" t="str">
        <f t="shared" si="100"/>
        <v>2018 (triag)</v>
      </c>
      <c r="AK288" s="90" t="str">
        <f t="shared" si="101"/>
        <v/>
      </c>
      <c r="AL288" s="91">
        <f>IF(AK288="Adjust",(_xlfn.XLOOKUP(A288,'Adj factor'!A:A,'Adj factor'!I:I,,0)*AI288),'Master DataSheet (Rev)'!AI288)</f>
        <v>6</v>
      </c>
      <c r="AM288" s="91">
        <f t="shared" si="102"/>
        <v>6</v>
      </c>
      <c r="AN288" s="92" t="str">
        <f t="shared" si="103"/>
        <v>No change</v>
      </c>
      <c r="AO288" s="93">
        <f>VLOOKUP(B288,'Growthrates source'!A$2:H$49,8,FALSE)</f>
        <v>0.2599900753182236</v>
      </c>
      <c r="AP288" s="93">
        <f>VLOOKUP(B288,'Growthrates source'!A$2:I$49,9,FALSE)</f>
        <v>5.4673730437993617E-2</v>
      </c>
      <c r="AQ288" s="86">
        <f t="shared" si="104"/>
        <v>1.6352719039570178</v>
      </c>
      <c r="AR288" s="86">
        <f t="shared" si="105"/>
        <v>7.0694356996005805</v>
      </c>
      <c r="AS288" s="94">
        <f t="shared" si="106"/>
        <v>5.2517405261676231</v>
      </c>
      <c r="AT288" s="94">
        <f t="shared" si="107"/>
        <v>2.737211916999523E-2</v>
      </c>
      <c r="AU288" s="94">
        <f t="shared" si="109"/>
        <v>2.5115189771420375E-2</v>
      </c>
      <c r="AV288" s="94">
        <f t="shared" si="110"/>
        <v>2.5115189771420375E-2</v>
      </c>
    </row>
    <row r="289" spans="1:48" x14ac:dyDescent="0.3">
      <c r="A289" s="85" t="str">
        <f>_xlfn.XLOOKUP(B289,'Country codes &amp; Data sources'!G:G,'Country codes &amp; Data sources'!H:H,,0)</f>
        <v>Gabon</v>
      </c>
      <c r="B289" s="85" t="s">
        <v>157</v>
      </c>
      <c r="C289" s="86">
        <v>1836712</v>
      </c>
      <c r="D289" s="85" t="s">
        <v>62</v>
      </c>
      <c r="E289" s="87">
        <v>0</v>
      </c>
      <c r="F289" s="88">
        <v>1902226.5000000007</v>
      </c>
      <c r="G289" s="87">
        <v>296</v>
      </c>
      <c r="I289" s="87">
        <v>6</v>
      </c>
      <c r="K289" s="87">
        <v>0</v>
      </c>
      <c r="M289" s="87">
        <v>29</v>
      </c>
      <c r="O289" s="87">
        <v>5029</v>
      </c>
      <c r="P289" s="88">
        <v>2192011.5</v>
      </c>
      <c r="Q289" s="87">
        <v>0</v>
      </c>
      <c r="R289" s="87">
        <f t="shared" si="93"/>
        <v>312</v>
      </c>
      <c r="T289" s="87">
        <v>0</v>
      </c>
      <c r="V289" s="87">
        <v>0</v>
      </c>
      <c r="X289" s="87">
        <v>0</v>
      </c>
      <c r="Y289" s="88">
        <v>2388992.5000000005</v>
      </c>
      <c r="Z289" s="87">
        <v>0</v>
      </c>
      <c r="AA289" s="87">
        <v>312</v>
      </c>
      <c r="AB289" s="89">
        <f t="shared" si="94"/>
        <v>296</v>
      </c>
      <c r="AC289" s="89">
        <f t="shared" si="95"/>
        <v>5029</v>
      </c>
      <c r="AD289" s="89">
        <f t="shared" si="96"/>
        <v>0</v>
      </c>
      <c r="AE289" s="90">
        <f t="shared" si="111"/>
        <v>296</v>
      </c>
      <c r="AF289" s="90">
        <f t="shared" si="97"/>
        <v>2013</v>
      </c>
      <c r="AG289" s="90">
        <f t="shared" si="108"/>
        <v>312</v>
      </c>
      <c r="AH289" s="90" t="str">
        <f t="shared" si="98"/>
        <v>2018 (triag)</v>
      </c>
      <c r="AI289" s="90">
        <f t="shared" si="99"/>
        <v>312</v>
      </c>
      <c r="AJ289" s="90" t="str">
        <f t="shared" si="100"/>
        <v>2018 (triag)</v>
      </c>
      <c r="AK289" s="90" t="str">
        <f t="shared" si="101"/>
        <v/>
      </c>
      <c r="AL289" s="91">
        <f>IF(AK289="Adjust",(_xlfn.XLOOKUP(A289,'Adj factor'!A:A,'Adj factor'!I:I,,0)*AI289),'Master DataSheet (Rev)'!AI289)</f>
        <v>312</v>
      </c>
      <c r="AM289" s="91">
        <f t="shared" si="102"/>
        <v>312</v>
      </c>
      <c r="AN289" s="92" t="str">
        <f t="shared" si="103"/>
        <v>No change</v>
      </c>
      <c r="AO289" s="93">
        <f>VLOOKUP(B289,'Growthrates source'!A$2:H$49,8,FALSE)</f>
        <v>0.2599900753182236</v>
      </c>
      <c r="AP289" s="93">
        <f>VLOOKUP(B289,'Growthrates source'!A$2:I$49,9,FALSE)</f>
        <v>5.4673730437993617E-2</v>
      </c>
      <c r="AQ289" s="86">
        <f t="shared" si="104"/>
        <v>85.034139005764928</v>
      </c>
      <c r="AR289" s="86">
        <f t="shared" si="105"/>
        <v>367.61065637923019</v>
      </c>
      <c r="AS289" s="94">
        <f t="shared" si="106"/>
        <v>1.5560712670126291</v>
      </c>
      <c r="AT289" s="94">
        <f t="shared" si="107"/>
        <v>1.4233501968397519</v>
      </c>
      <c r="AU289" s="94">
        <f t="shared" si="109"/>
        <v>1.3059898681138595</v>
      </c>
      <c r="AV289" s="94">
        <f t="shared" si="110"/>
        <v>1.3059898681138595</v>
      </c>
    </row>
    <row r="290" spans="1:48" x14ac:dyDescent="0.3">
      <c r="A290" s="85" t="str">
        <f>_xlfn.XLOOKUP(B290,'Country codes &amp; Data sources'!G:G,'Country codes &amp; Data sources'!H:H,,0)</f>
        <v>Gabon</v>
      </c>
      <c r="B290" s="85" t="s">
        <v>157</v>
      </c>
      <c r="C290" s="86">
        <v>1836713</v>
      </c>
      <c r="D290" s="85" t="s">
        <v>203</v>
      </c>
      <c r="E290" s="87">
        <v>0</v>
      </c>
      <c r="F290" s="88">
        <v>1902226.5000000007</v>
      </c>
      <c r="G290" s="87">
        <v>0</v>
      </c>
      <c r="I290" s="87">
        <v>0</v>
      </c>
      <c r="K290" s="87">
        <v>0</v>
      </c>
      <c r="M290" s="87">
        <v>0</v>
      </c>
      <c r="O290" s="87">
        <v>0</v>
      </c>
      <c r="P290" s="88">
        <v>2192011.5</v>
      </c>
      <c r="Q290" s="87">
        <v>0</v>
      </c>
      <c r="R290" s="87">
        <f t="shared" si="93"/>
        <v>86</v>
      </c>
      <c r="T290" s="87">
        <v>40</v>
      </c>
      <c r="V290" s="87">
        <v>18</v>
      </c>
      <c r="X290" s="87">
        <v>0</v>
      </c>
      <c r="Y290" s="88">
        <v>2388992.5000000005</v>
      </c>
      <c r="Z290" s="87">
        <v>70</v>
      </c>
      <c r="AA290" s="87">
        <v>86</v>
      </c>
      <c r="AB290" s="89">
        <f t="shared" si="94"/>
        <v>0</v>
      </c>
      <c r="AC290" s="89">
        <f t="shared" si="95"/>
        <v>40</v>
      </c>
      <c r="AD290" s="89">
        <f t="shared" si="96"/>
        <v>70</v>
      </c>
      <c r="AF290" s="90" t="str">
        <f t="shared" si="97"/>
        <v/>
      </c>
      <c r="AG290" s="90">
        <f t="shared" si="108"/>
        <v>86</v>
      </c>
      <c r="AH290" s="90" t="str">
        <f t="shared" si="98"/>
        <v>2018 (triag)</v>
      </c>
      <c r="AI290" s="90">
        <f t="shared" si="99"/>
        <v>70</v>
      </c>
      <c r="AJ290" s="90">
        <f t="shared" si="100"/>
        <v>2022</v>
      </c>
      <c r="AK290" s="90" t="str">
        <f t="shared" si="101"/>
        <v>Adjust</v>
      </c>
      <c r="AL290" s="91">
        <f>IF(AK290="Adjust",(_xlfn.XLOOKUP(A290,'Adj factor'!A:A,'Adj factor'!I:I,,0)*AI290),'Master DataSheet (Rev)'!AI290)</f>
        <v>77.767592107560688</v>
      </c>
      <c r="AM290" s="91">
        <f t="shared" si="102"/>
        <v>86</v>
      </c>
      <c r="AN290" s="92" t="str">
        <f t="shared" si="103"/>
        <v>Decreasing</v>
      </c>
      <c r="AO290" s="93">
        <f>VLOOKUP(B290,'Growthrates source'!A$2:H$49,8,FALSE)</f>
        <v>0.2599900753182236</v>
      </c>
      <c r="AP290" s="93">
        <f>VLOOKUP(B290,'Growthrates source'!A$2:I$49,9,FALSE)</f>
        <v>5.4673730437993617E-2</v>
      </c>
      <c r="AQ290" s="86">
        <f t="shared" si="104"/>
        <v>23.438897290050591</v>
      </c>
      <c r="AR290" s="86">
        <f t="shared" si="105"/>
        <v>101.32857836094165</v>
      </c>
      <c r="AS290" s="94">
        <f t="shared" si="106"/>
        <v>0</v>
      </c>
      <c r="AT290" s="94">
        <f t="shared" si="107"/>
        <v>0.39233370810326496</v>
      </c>
      <c r="AU290" s="94">
        <f t="shared" si="109"/>
        <v>0.3255246389746333</v>
      </c>
      <c r="AV290" s="94">
        <f t="shared" si="110"/>
        <v>0.35998438672369204</v>
      </c>
    </row>
    <row r="291" spans="1:48" x14ac:dyDescent="0.3">
      <c r="A291" s="85" t="str">
        <f>_xlfn.XLOOKUP(B291,'Country codes &amp; Data sources'!G:G,'Country codes &amp; Data sources'!H:H,,0)</f>
        <v>Gabon</v>
      </c>
      <c r="B291" s="85" t="s">
        <v>157</v>
      </c>
      <c r="C291" s="86">
        <v>1836714</v>
      </c>
      <c r="D291" s="85" t="s">
        <v>204</v>
      </c>
      <c r="E291" s="87">
        <v>0</v>
      </c>
      <c r="F291" s="88">
        <v>1902226.5000000007</v>
      </c>
      <c r="G291" s="87">
        <v>0</v>
      </c>
      <c r="I291" s="87">
        <v>0</v>
      </c>
      <c r="K291" s="87">
        <v>0</v>
      </c>
      <c r="M291" s="87">
        <v>0</v>
      </c>
      <c r="O291" s="87">
        <v>0</v>
      </c>
      <c r="P291" s="88">
        <v>2192011.5</v>
      </c>
      <c r="Q291" s="87">
        <v>0</v>
      </c>
      <c r="R291" s="87">
        <f t="shared" si="93"/>
        <v>318</v>
      </c>
      <c r="T291" s="87">
        <v>344</v>
      </c>
      <c r="V291" s="87">
        <v>390</v>
      </c>
      <c r="X291" s="87">
        <v>0</v>
      </c>
      <c r="Y291" s="88">
        <v>2388992.5000000005</v>
      </c>
      <c r="Z291" s="87">
        <v>0</v>
      </c>
      <c r="AA291" s="87">
        <v>318</v>
      </c>
      <c r="AB291" s="89">
        <f t="shared" si="94"/>
        <v>0</v>
      </c>
      <c r="AC291" s="89">
        <f t="shared" si="95"/>
        <v>344</v>
      </c>
      <c r="AD291" s="89">
        <f t="shared" si="96"/>
        <v>390</v>
      </c>
      <c r="AF291" s="90" t="str">
        <f t="shared" si="97"/>
        <v/>
      </c>
      <c r="AG291" s="90">
        <f t="shared" si="108"/>
        <v>318</v>
      </c>
      <c r="AH291" s="90" t="str">
        <f t="shared" si="98"/>
        <v>2018 (triag)</v>
      </c>
      <c r="AI291" s="90">
        <f t="shared" si="99"/>
        <v>390</v>
      </c>
      <c r="AJ291" s="90">
        <f t="shared" si="100"/>
        <v>2020</v>
      </c>
      <c r="AK291" s="90" t="str">
        <f t="shared" si="101"/>
        <v/>
      </c>
      <c r="AL291" s="91">
        <f>IF(AK291="Adjust",(_xlfn.XLOOKUP(A291,'Adj factor'!A:A,'Adj factor'!I:I,,0)*AI291),'Master DataSheet (Rev)'!AI291)</f>
        <v>390</v>
      </c>
      <c r="AM291" s="91">
        <f t="shared" si="102"/>
        <v>390</v>
      </c>
      <c r="AN291" s="92" t="str">
        <f t="shared" si="103"/>
        <v>Increasing</v>
      </c>
      <c r="AO291" s="93">
        <f>VLOOKUP(B291,'Growthrates source'!A$2:H$49,8,FALSE)</f>
        <v>0.2599900753182236</v>
      </c>
      <c r="AP291" s="93">
        <f>VLOOKUP(B291,'Growthrates source'!A$2:I$49,9,FALSE)</f>
        <v>5.4673730437993617E-2</v>
      </c>
      <c r="AQ291" s="86">
        <f t="shared" si="104"/>
        <v>86.669410909721947</v>
      </c>
      <c r="AR291" s="86">
        <f t="shared" si="105"/>
        <v>374.68009207883074</v>
      </c>
      <c r="AS291" s="94">
        <f t="shared" si="106"/>
        <v>0</v>
      </c>
      <c r="AT291" s="94">
        <f t="shared" si="107"/>
        <v>1.4507223160097471</v>
      </c>
      <c r="AU291" s="94">
        <f t="shared" si="109"/>
        <v>1.6324873351423244</v>
      </c>
      <c r="AV291" s="94">
        <f t="shared" si="110"/>
        <v>1.6324873351423244</v>
      </c>
    </row>
    <row r="292" spans="1:48" x14ac:dyDescent="0.3">
      <c r="A292" s="85" t="str">
        <f>_xlfn.XLOOKUP(B292,'Country codes &amp; Data sources'!G:G,'Country codes &amp; Data sources'!H:H,,0)</f>
        <v>Gabon</v>
      </c>
      <c r="B292" s="85" t="s">
        <v>157</v>
      </c>
      <c r="C292" s="86">
        <v>1836715</v>
      </c>
      <c r="D292" s="85" t="s">
        <v>205</v>
      </c>
      <c r="E292" s="87">
        <v>0</v>
      </c>
      <c r="F292" s="88">
        <v>1902226.5000000007</v>
      </c>
      <c r="G292" s="87">
        <v>0</v>
      </c>
      <c r="I292" s="87">
        <v>0</v>
      </c>
      <c r="K292" s="87">
        <v>0</v>
      </c>
      <c r="M292" s="87">
        <v>33</v>
      </c>
      <c r="O292" s="87">
        <v>46</v>
      </c>
      <c r="P292" s="88">
        <v>2192011.5</v>
      </c>
      <c r="Q292" s="87">
        <v>0</v>
      </c>
      <c r="R292" s="87">
        <f t="shared" si="93"/>
        <v>46</v>
      </c>
      <c r="T292" s="87">
        <v>9</v>
      </c>
      <c r="V292" s="87">
        <v>9</v>
      </c>
      <c r="X292" s="87">
        <v>0</v>
      </c>
      <c r="Y292" s="88">
        <v>2388992.5000000005</v>
      </c>
      <c r="Z292" s="87">
        <v>17</v>
      </c>
      <c r="AA292" s="87">
        <v>46</v>
      </c>
      <c r="AB292" s="89">
        <f t="shared" si="94"/>
        <v>0</v>
      </c>
      <c r="AC292" s="89">
        <f t="shared" si="95"/>
        <v>46</v>
      </c>
      <c r="AD292" s="89">
        <f t="shared" si="96"/>
        <v>17</v>
      </c>
      <c r="AF292" s="90" t="str">
        <f t="shared" si="97"/>
        <v/>
      </c>
      <c r="AG292" s="90">
        <f t="shared" si="108"/>
        <v>46</v>
      </c>
      <c r="AH292" s="90">
        <f t="shared" si="98"/>
        <v>2017</v>
      </c>
      <c r="AI292" s="90">
        <f t="shared" si="99"/>
        <v>17</v>
      </c>
      <c r="AJ292" s="90">
        <f t="shared" si="100"/>
        <v>2022</v>
      </c>
      <c r="AK292" s="90" t="str">
        <f t="shared" si="101"/>
        <v>Adjust</v>
      </c>
      <c r="AL292" s="91">
        <f>IF(AK292="Adjust",(_xlfn.XLOOKUP(A292,'Adj factor'!A:A,'Adj factor'!I:I,,0)*AI292),'Master DataSheet (Rev)'!AI292)</f>
        <v>18.88641522612188</v>
      </c>
      <c r="AM292" s="91">
        <f t="shared" si="102"/>
        <v>46</v>
      </c>
      <c r="AN292" s="92" t="str">
        <f t="shared" si="103"/>
        <v>Decreasing</v>
      </c>
      <c r="AO292" s="93">
        <f>VLOOKUP(B292,'Growthrates source'!A$2:H$49,8,FALSE)</f>
        <v>0.2599900753182236</v>
      </c>
      <c r="AP292" s="93">
        <f>VLOOKUP(B292,'Growthrates source'!A$2:I$49,9,FALSE)</f>
        <v>5.4673730437993617E-2</v>
      </c>
      <c r="AQ292" s="86">
        <f t="shared" si="104"/>
        <v>12.537084597003805</v>
      </c>
      <c r="AR292" s="86">
        <f t="shared" si="105"/>
        <v>54.199007030271119</v>
      </c>
      <c r="AS292" s="94">
        <f t="shared" si="106"/>
        <v>0</v>
      </c>
      <c r="AT292" s="94">
        <f t="shared" si="107"/>
        <v>0.20985291363663011</v>
      </c>
      <c r="AU292" s="94">
        <f t="shared" si="109"/>
        <v>7.9055983750982384E-2</v>
      </c>
      <c r="AV292" s="94">
        <f t="shared" si="110"/>
        <v>0.1925497882475562</v>
      </c>
    </row>
    <row r="293" spans="1:48" x14ac:dyDescent="0.3">
      <c r="A293" s="85" t="str">
        <f>_xlfn.XLOOKUP(B293,'Country codes &amp; Data sources'!G:G,'Country codes &amp; Data sources'!H:H,,0)</f>
        <v>Gabon</v>
      </c>
      <c r="B293" s="85" t="s">
        <v>157</v>
      </c>
      <c r="C293" s="86">
        <v>1836716</v>
      </c>
      <c r="D293" s="85" t="s">
        <v>133</v>
      </c>
      <c r="E293" s="87">
        <v>0</v>
      </c>
      <c r="F293" s="88">
        <v>1902226.5000000007</v>
      </c>
      <c r="G293" s="87">
        <v>0</v>
      </c>
      <c r="I293" s="87">
        <v>0</v>
      </c>
      <c r="K293" s="87">
        <v>0</v>
      </c>
      <c r="M293" s="87">
        <v>0</v>
      </c>
      <c r="O293" s="87">
        <v>0</v>
      </c>
      <c r="P293" s="88">
        <v>2192011.5</v>
      </c>
      <c r="Q293" s="87">
        <v>439</v>
      </c>
      <c r="R293" s="87">
        <f t="shared" si="93"/>
        <v>439</v>
      </c>
      <c r="T293" s="87">
        <v>454</v>
      </c>
      <c r="V293" s="87">
        <v>469</v>
      </c>
      <c r="X293" s="87">
        <v>0</v>
      </c>
      <c r="Y293" s="88">
        <v>2388992.5000000005</v>
      </c>
      <c r="Z293" s="87">
        <v>231</v>
      </c>
      <c r="AA293" s="87">
        <v>83</v>
      </c>
      <c r="AB293" s="89">
        <f t="shared" si="94"/>
        <v>0</v>
      </c>
      <c r="AC293" s="89">
        <f t="shared" si="95"/>
        <v>454</v>
      </c>
      <c r="AD293" s="89">
        <f t="shared" si="96"/>
        <v>469</v>
      </c>
      <c r="AF293" s="90" t="str">
        <f t="shared" si="97"/>
        <v/>
      </c>
      <c r="AG293" s="90">
        <f t="shared" si="108"/>
        <v>439</v>
      </c>
      <c r="AH293" s="90">
        <f t="shared" si="98"/>
        <v>2018</v>
      </c>
      <c r="AI293" s="90">
        <f t="shared" si="99"/>
        <v>231</v>
      </c>
      <c r="AJ293" s="90">
        <f t="shared" si="100"/>
        <v>2022</v>
      </c>
      <c r="AK293" s="90" t="str">
        <f t="shared" si="101"/>
        <v>Adjust</v>
      </c>
      <c r="AL293" s="91">
        <f>IF(AK293="Adjust",(_xlfn.XLOOKUP(A293,'Adj factor'!A:A,'Adj factor'!I:I,,0)*AI293),'Master DataSheet (Rev)'!AI293)</f>
        <v>256.63305395495024</v>
      </c>
      <c r="AM293" s="91">
        <f t="shared" si="102"/>
        <v>439</v>
      </c>
      <c r="AN293" s="92" t="str">
        <f t="shared" si="103"/>
        <v>Decreasing</v>
      </c>
      <c r="AO293" s="93">
        <f>VLOOKUP(B293,'Growthrates source'!A$2:H$49,8,FALSE)</f>
        <v>0.2599900753182236</v>
      </c>
      <c r="AP293" s="93">
        <f>VLOOKUP(B293,'Growthrates source'!A$2:I$49,9,FALSE)</f>
        <v>5.4673730437993617E-2</v>
      </c>
      <c r="AQ293" s="86">
        <f t="shared" si="104"/>
        <v>22.621261338072081</v>
      </c>
      <c r="AR293" s="86">
        <f t="shared" si="105"/>
        <v>97.793860511141361</v>
      </c>
      <c r="AS293" s="94">
        <f t="shared" si="106"/>
        <v>0</v>
      </c>
      <c r="AT293" s="94">
        <f t="shared" si="107"/>
        <v>2.0027267192713176</v>
      </c>
      <c r="AU293" s="94">
        <f t="shared" si="109"/>
        <v>1.07423130861629</v>
      </c>
      <c r="AV293" s="94">
        <f t="shared" si="110"/>
        <v>1.8375947182755907</v>
      </c>
    </row>
    <row r="294" spans="1:48" x14ac:dyDescent="0.3">
      <c r="A294" s="85" t="str">
        <f>_xlfn.XLOOKUP(B294,'Country codes &amp; Data sources'!G:G,'Country codes &amp; Data sources'!H:H,,0)</f>
        <v>Gabon</v>
      </c>
      <c r="B294" s="85" t="s">
        <v>157</v>
      </c>
      <c r="C294" s="86">
        <v>1836717</v>
      </c>
      <c r="D294" s="85" t="s">
        <v>206</v>
      </c>
      <c r="E294" s="87">
        <v>0</v>
      </c>
      <c r="F294" s="88">
        <v>1902226.5000000007</v>
      </c>
      <c r="G294" s="87">
        <v>0</v>
      </c>
      <c r="I294" s="87">
        <v>0</v>
      </c>
      <c r="K294" s="87">
        <v>0</v>
      </c>
      <c r="M294" s="87">
        <v>0</v>
      </c>
      <c r="O294" s="87">
        <v>18</v>
      </c>
      <c r="P294" s="88">
        <v>2192011.5</v>
      </c>
      <c r="Q294" s="87">
        <v>0</v>
      </c>
      <c r="R294" s="87">
        <f t="shared" si="93"/>
        <v>18</v>
      </c>
      <c r="T294" s="87">
        <v>14</v>
      </c>
      <c r="V294" s="87">
        <v>14</v>
      </c>
      <c r="X294" s="87">
        <v>0</v>
      </c>
      <c r="Y294" s="88">
        <v>2388992.5000000005</v>
      </c>
      <c r="Z294" s="87">
        <v>0</v>
      </c>
      <c r="AA294" s="87">
        <v>18</v>
      </c>
      <c r="AB294" s="89">
        <f t="shared" si="94"/>
        <v>0</v>
      </c>
      <c r="AC294" s="89">
        <f t="shared" si="95"/>
        <v>18</v>
      </c>
      <c r="AD294" s="89">
        <f t="shared" si="96"/>
        <v>14</v>
      </c>
      <c r="AF294" s="90" t="str">
        <f t="shared" si="97"/>
        <v/>
      </c>
      <c r="AG294" s="90">
        <f t="shared" si="108"/>
        <v>18</v>
      </c>
      <c r="AH294" s="90">
        <f t="shared" si="98"/>
        <v>2017</v>
      </c>
      <c r="AI294" s="90">
        <f t="shared" si="99"/>
        <v>14</v>
      </c>
      <c r="AJ294" s="90">
        <f t="shared" si="100"/>
        <v>2020</v>
      </c>
      <c r="AK294" s="90" t="str">
        <f t="shared" si="101"/>
        <v>Adjust</v>
      </c>
      <c r="AL294" s="91">
        <f>IF(AK294="Adjust",(_xlfn.XLOOKUP(A294,'Adj factor'!A:A,'Adj factor'!I:I,,0)*AI294),'Master DataSheet (Rev)'!AI294)</f>
        <v>15.553518421512138</v>
      </c>
      <c r="AM294" s="91">
        <f t="shared" si="102"/>
        <v>18</v>
      </c>
      <c r="AN294" s="92" t="str">
        <f t="shared" si="103"/>
        <v>Decreasing</v>
      </c>
      <c r="AO294" s="93">
        <f>VLOOKUP(B294,'Growthrates source'!A$2:H$49,8,FALSE)</f>
        <v>0.2599900753182236</v>
      </c>
      <c r="AP294" s="93">
        <f>VLOOKUP(B294,'Growthrates source'!A$2:I$49,9,FALSE)</f>
        <v>5.4673730437993617E-2</v>
      </c>
      <c r="AQ294" s="86">
        <f t="shared" si="104"/>
        <v>4.9058157118710541</v>
      </c>
      <c r="AR294" s="86">
        <f t="shared" si="105"/>
        <v>21.20830709880174</v>
      </c>
      <c r="AS294" s="94">
        <f t="shared" si="106"/>
        <v>0</v>
      </c>
      <c r="AT294" s="94">
        <f t="shared" si="107"/>
        <v>8.2116357509985693E-2</v>
      </c>
      <c r="AU294" s="94">
        <f t="shared" si="109"/>
        <v>6.5104927794926673E-2</v>
      </c>
      <c r="AV294" s="94">
        <f t="shared" si="110"/>
        <v>7.5345569314261118E-2</v>
      </c>
    </row>
    <row r="295" spans="1:48" x14ac:dyDescent="0.3">
      <c r="A295" s="85" t="str">
        <f>_xlfn.XLOOKUP(B295,'Country codes &amp; Data sources'!G:G,'Country codes &amp; Data sources'!H:H,,0)</f>
        <v>Gabon</v>
      </c>
      <c r="B295" s="85" t="s">
        <v>157</v>
      </c>
      <c r="C295" s="86">
        <v>1836718</v>
      </c>
      <c r="D295" s="85" t="s">
        <v>136</v>
      </c>
      <c r="E295" s="87">
        <v>0</v>
      </c>
      <c r="F295" s="88">
        <v>1902226.5000000007</v>
      </c>
      <c r="G295" s="87">
        <v>0</v>
      </c>
      <c r="I295" s="87">
        <v>0</v>
      </c>
      <c r="K295" s="87">
        <v>0</v>
      </c>
      <c r="M295" s="87">
        <v>66</v>
      </c>
      <c r="O295" s="87">
        <v>93</v>
      </c>
      <c r="P295" s="88">
        <v>2192011.5</v>
      </c>
      <c r="Q295" s="87">
        <v>0</v>
      </c>
      <c r="R295" s="87">
        <f t="shared" si="93"/>
        <v>93</v>
      </c>
      <c r="T295" s="87">
        <v>78</v>
      </c>
      <c r="V295" s="87">
        <v>82</v>
      </c>
      <c r="X295" s="87">
        <v>0</v>
      </c>
      <c r="Y295" s="88">
        <v>2388992.5000000005</v>
      </c>
      <c r="Z295" s="87">
        <v>478</v>
      </c>
      <c r="AA295" s="87">
        <v>93</v>
      </c>
      <c r="AB295" s="89">
        <f t="shared" si="94"/>
        <v>0</v>
      </c>
      <c r="AC295" s="89">
        <f t="shared" si="95"/>
        <v>93</v>
      </c>
      <c r="AD295" s="89">
        <f t="shared" si="96"/>
        <v>478</v>
      </c>
      <c r="AF295" s="90" t="str">
        <f t="shared" si="97"/>
        <v/>
      </c>
      <c r="AG295" s="90">
        <f t="shared" si="108"/>
        <v>93</v>
      </c>
      <c r="AH295" s="90">
        <f t="shared" si="98"/>
        <v>2017</v>
      </c>
      <c r="AI295" s="90">
        <f t="shared" si="99"/>
        <v>478</v>
      </c>
      <c r="AJ295" s="90">
        <f t="shared" si="100"/>
        <v>2022</v>
      </c>
      <c r="AK295" s="90" t="str">
        <f t="shared" si="101"/>
        <v/>
      </c>
      <c r="AL295" s="91">
        <f>IF(AK295="Adjust",(_xlfn.XLOOKUP(A295,'Adj factor'!A:A,'Adj factor'!I:I,,0)*AI295),'Master DataSheet (Rev)'!AI295)</f>
        <v>478</v>
      </c>
      <c r="AM295" s="91">
        <f t="shared" si="102"/>
        <v>478</v>
      </c>
      <c r="AN295" s="92" t="str">
        <f t="shared" si="103"/>
        <v>Increasing</v>
      </c>
      <c r="AO295" s="93">
        <f>VLOOKUP(B295,'Growthrates source'!A$2:H$49,8,FALSE)</f>
        <v>0.2599900753182236</v>
      </c>
      <c r="AP295" s="93">
        <f>VLOOKUP(B295,'Growthrates source'!A$2:I$49,9,FALSE)</f>
        <v>5.4673730437993617E-2</v>
      </c>
      <c r="AQ295" s="86">
        <f t="shared" si="104"/>
        <v>25.346714511333779</v>
      </c>
      <c r="AR295" s="86">
        <f t="shared" si="105"/>
        <v>109.576253343809</v>
      </c>
      <c r="AS295" s="94">
        <f t="shared" si="106"/>
        <v>0</v>
      </c>
      <c r="AT295" s="94">
        <f t="shared" si="107"/>
        <v>0.42426784713492605</v>
      </c>
      <c r="AU295" s="94">
        <f t="shared" si="109"/>
        <v>2.000843451789823</v>
      </c>
      <c r="AV295" s="94">
        <f t="shared" si="110"/>
        <v>2.000843451789823</v>
      </c>
    </row>
    <row r="296" spans="1:48" x14ac:dyDescent="0.3">
      <c r="A296" s="85" t="str">
        <f>_xlfn.XLOOKUP(B296,'Country codes &amp; Data sources'!G:G,'Country codes &amp; Data sources'!H:H,,0)</f>
        <v>Gabon</v>
      </c>
      <c r="B296" s="85" t="s">
        <v>157</v>
      </c>
      <c r="C296" s="86">
        <v>1836719</v>
      </c>
      <c r="D296" s="85" t="s">
        <v>207</v>
      </c>
      <c r="E296" s="87">
        <v>0</v>
      </c>
      <c r="F296" s="88">
        <v>1902226.5000000007</v>
      </c>
      <c r="G296" s="87">
        <v>0</v>
      </c>
      <c r="I296" s="87">
        <v>0</v>
      </c>
      <c r="K296" s="87">
        <v>0</v>
      </c>
      <c r="M296" s="87">
        <v>0</v>
      </c>
      <c r="O296" s="87">
        <v>32</v>
      </c>
      <c r="P296" s="88">
        <v>2192011.5</v>
      </c>
      <c r="Q296" s="87">
        <v>0</v>
      </c>
      <c r="R296" s="87">
        <f t="shared" si="93"/>
        <v>127</v>
      </c>
      <c r="T296" s="87">
        <v>1</v>
      </c>
      <c r="V296" s="87">
        <v>0</v>
      </c>
      <c r="X296" s="87">
        <v>0</v>
      </c>
      <c r="Y296" s="88">
        <v>2388992.5000000005</v>
      </c>
      <c r="Z296" s="87">
        <v>0</v>
      </c>
      <c r="AA296" s="87">
        <v>127</v>
      </c>
      <c r="AB296" s="89">
        <f t="shared" si="94"/>
        <v>0</v>
      </c>
      <c r="AC296" s="89">
        <f t="shared" si="95"/>
        <v>32</v>
      </c>
      <c r="AD296" s="89">
        <f t="shared" si="96"/>
        <v>0</v>
      </c>
      <c r="AF296" s="90" t="str">
        <f t="shared" si="97"/>
        <v/>
      </c>
      <c r="AG296" s="90">
        <f t="shared" si="108"/>
        <v>127</v>
      </c>
      <c r="AH296" s="90" t="str">
        <f t="shared" si="98"/>
        <v>2018 (triag)</v>
      </c>
      <c r="AI296" s="90">
        <f t="shared" si="99"/>
        <v>1</v>
      </c>
      <c r="AJ296" s="90" t="str">
        <f t="shared" si="100"/>
        <v>2018 (triag)</v>
      </c>
      <c r="AK296" s="90" t="str">
        <f t="shared" si="101"/>
        <v>Adjust</v>
      </c>
      <c r="AL296" s="91">
        <f>IF(AK296="Adjust",(_xlfn.XLOOKUP(A296,'Adj factor'!A:A,'Adj factor'!I:I,,0)*AI296),'Master DataSheet (Rev)'!AI296)</f>
        <v>1.1109656015365812</v>
      </c>
      <c r="AM296" s="91">
        <f t="shared" si="102"/>
        <v>127</v>
      </c>
      <c r="AN296" s="92" t="str">
        <f t="shared" si="103"/>
        <v>Decreasing</v>
      </c>
      <c r="AO296" s="93">
        <f>VLOOKUP(B296,'Growthrates source'!A$2:H$49,8,FALSE)</f>
        <v>0.2599900753182236</v>
      </c>
      <c r="AP296" s="93">
        <f>VLOOKUP(B296,'Growthrates source'!A$2:I$49,9,FALSE)</f>
        <v>5.4673730437993617E-2</v>
      </c>
      <c r="AQ296" s="86">
        <f t="shared" si="104"/>
        <v>34.613255300423546</v>
      </c>
      <c r="AR296" s="86">
        <f t="shared" si="105"/>
        <v>149.63638897487894</v>
      </c>
      <c r="AS296" s="94">
        <f t="shared" si="106"/>
        <v>0</v>
      </c>
      <c r="AT296" s="94">
        <f t="shared" si="107"/>
        <v>0.57937652243156568</v>
      </c>
      <c r="AU296" s="94">
        <f t="shared" si="109"/>
        <v>4.6503519853519047E-3</v>
      </c>
      <c r="AV296" s="94">
        <f t="shared" si="110"/>
        <v>0.5316048501617312</v>
      </c>
    </row>
    <row r="297" spans="1:48" x14ac:dyDescent="0.3">
      <c r="A297" s="85" t="str">
        <f>_xlfn.XLOOKUP(B297,'Country codes &amp; Data sources'!G:G,'Country codes &amp; Data sources'!H:H,,0)</f>
        <v>Gabon</v>
      </c>
      <c r="B297" s="85" t="s">
        <v>157</v>
      </c>
      <c r="C297" s="86">
        <v>1836720</v>
      </c>
      <c r="D297" s="85" t="s">
        <v>141</v>
      </c>
      <c r="E297" s="87">
        <v>0</v>
      </c>
      <c r="F297" s="88">
        <v>1902226.5000000007</v>
      </c>
      <c r="G297" s="87">
        <v>0</v>
      </c>
      <c r="I297" s="87">
        <v>0</v>
      </c>
      <c r="K297" s="87">
        <v>0</v>
      </c>
      <c r="M297" s="87">
        <v>0</v>
      </c>
      <c r="O297" s="87">
        <v>5</v>
      </c>
      <c r="P297" s="88">
        <v>2192011.5</v>
      </c>
      <c r="Q297" s="87">
        <v>0</v>
      </c>
      <c r="R297" s="87">
        <f t="shared" si="93"/>
        <v>5</v>
      </c>
      <c r="T297" s="87">
        <v>9</v>
      </c>
      <c r="V297" s="87">
        <v>9</v>
      </c>
      <c r="X297" s="87">
        <v>0</v>
      </c>
      <c r="Y297" s="88">
        <v>2388992.5000000005</v>
      </c>
      <c r="Z297" s="87">
        <v>0</v>
      </c>
      <c r="AA297" s="87">
        <v>5</v>
      </c>
      <c r="AB297" s="89">
        <f t="shared" si="94"/>
        <v>0</v>
      </c>
      <c r="AC297" s="89">
        <f t="shared" si="95"/>
        <v>9</v>
      </c>
      <c r="AD297" s="89">
        <f t="shared" si="96"/>
        <v>9</v>
      </c>
      <c r="AF297" s="90" t="str">
        <f t="shared" si="97"/>
        <v/>
      </c>
      <c r="AG297" s="90">
        <f t="shared" si="108"/>
        <v>5</v>
      </c>
      <c r="AH297" s="90">
        <f t="shared" si="98"/>
        <v>2017</v>
      </c>
      <c r="AI297" s="90">
        <f t="shared" si="99"/>
        <v>9</v>
      </c>
      <c r="AJ297" s="90">
        <f t="shared" si="100"/>
        <v>2020</v>
      </c>
      <c r="AK297" s="90" t="str">
        <f t="shared" si="101"/>
        <v/>
      </c>
      <c r="AL297" s="91">
        <f>IF(AK297="Adjust",(_xlfn.XLOOKUP(A297,'Adj factor'!A:A,'Adj factor'!I:I,,0)*AI297),'Master DataSheet (Rev)'!AI297)</f>
        <v>9</v>
      </c>
      <c r="AM297" s="91">
        <f t="shared" si="102"/>
        <v>9</v>
      </c>
      <c r="AN297" s="92" t="str">
        <f t="shared" si="103"/>
        <v>Increasing</v>
      </c>
      <c r="AO297" s="93">
        <f>VLOOKUP(B297,'Growthrates source'!A$2:H$49,8,FALSE)</f>
        <v>0.2599900753182236</v>
      </c>
      <c r="AP297" s="93">
        <f>VLOOKUP(B297,'Growthrates source'!A$2:I$49,9,FALSE)</f>
        <v>5.4673730437993617E-2</v>
      </c>
      <c r="AQ297" s="86">
        <f t="shared" si="104"/>
        <v>1.3627265866308482</v>
      </c>
      <c r="AR297" s="86">
        <f t="shared" si="105"/>
        <v>5.8911964163338171</v>
      </c>
      <c r="AS297" s="94">
        <f t="shared" si="106"/>
        <v>0</v>
      </c>
      <c r="AT297" s="94">
        <f t="shared" si="107"/>
        <v>2.2810099308329359E-2</v>
      </c>
      <c r="AU297" s="94">
        <f t="shared" si="109"/>
        <v>3.7672784657130559E-2</v>
      </c>
      <c r="AV297" s="94">
        <f t="shared" si="110"/>
        <v>3.7672784657130559E-2</v>
      </c>
    </row>
    <row r="298" spans="1:48" x14ac:dyDescent="0.3">
      <c r="A298" s="85" t="str">
        <f>_xlfn.XLOOKUP(B298,'Country codes &amp; Data sources'!G:G,'Country codes &amp; Data sources'!H:H,,0)</f>
        <v>Gabon</v>
      </c>
      <c r="B298" s="85" t="s">
        <v>157</v>
      </c>
      <c r="C298" s="86">
        <v>1836721</v>
      </c>
      <c r="D298" s="85" t="s">
        <v>208</v>
      </c>
      <c r="E298" s="87">
        <v>0</v>
      </c>
      <c r="F298" s="88">
        <v>1902226.5000000007</v>
      </c>
      <c r="G298" s="87">
        <v>0</v>
      </c>
      <c r="I298" s="87">
        <v>0</v>
      </c>
      <c r="K298" s="87">
        <v>0</v>
      </c>
      <c r="M298" s="87">
        <v>0</v>
      </c>
      <c r="O298" s="87">
        <v>0</v>
      </c>
      <c r="P298" s="88">
        <v>2192011.5</v>
      </c>
      <c r="Q298" s="87">
        <v>0</v>
      </c>
      <c r="R298" s="87">
        <f t="shared" si="93"/>
        <v>1939</v>
      </c>
      <c r="T298" s="87">
        <v>942</v>
      </c>
      <c r="V298" s="87">
        <v>947</v>
      </c>
      <c r="X298" s="87">
        <v>0</v>
      </c>
      <c r="Y298" s="88">
        <v>2388992.5000000005</v>
      </c>
      <c r="Z298" s="87">
        <v>0</v>
      </c>
      <c r="AA298" s="87">
        <v>1939</v>
      </c>
      <c r="AB298" s="89">
        <f t="shared" si="94"/>
        <v>0</v>
      </c>
      <c r="AC298" s="89">
        <f t="shared" si="95"/>
        <v>942</v>
      </c>
      <c r="AD298" s="89">
        <f t="shared" si="96"/>
        <v>947</v>
      </c>
      <c r="AF298" s="90" t="str">
        <f t="shared" si="97"/>
        <v/>
      </c>
      <c r="AG298" s="90">
        <f t="shared" si="108"/>
        <v>1939</v>
      </c>
      <c r="AH298" s="90" t="str">
        <f t="shared" si="98"/>
        <v>2018 (triag)</v>
      </c>
      <c r="AI298" s="90">
        <f t="shared" si="99"/>
        <v>947</v>
      </c>
      <c r="AJ298" s="90">
        <f t="shared" si="100"/>
        <v>2020</v>
      </c>
      <c r="AK298" s="90" t="str">
        <f t="shared" si="101"/>
        <v>Adjust</v>
      </c>
      <c r="AL298" s="91">
        <f>IF(AK298="Adjust",(_xlfn.XLOOKUP(A298,'Adj factor'!A:A,'Adj factor'!I:I,,0)*AI298),'Master DataSheet (Rev)'!AI298)</f>
        <v>1052.0844246551424</v>
      </c>
      <c r="AM298" s="91">
        <f t="shared" si="102"/>
        <v>1939</v>
      </c>
      <c r="AN298" s="92" t="str">
        <f t="shared" si="103"/>
        <v>Decreasing</v>
      </c>
      <c r="AO298" s="93">
        <f>VLOOKUP(B298,'Growthrates source'!A$2:H$49,8,FALSE)</f>
        <v>0.2599900753182236</v>
      </c>
      <c r="AP298" s="93">
        <f>VLOOKUP(B298,'Growthrates source'!A$2:I$49,9,FALSE)</f>
        <v>5.4673730437993617E-2</v>
      </c>
      <c r="AQ298" s="86">
        <f t="shared" si="104"/>
        <v>528.46537029544299</v>
      </c>
      <c r="AR298" s="86">
        <f t="shared" si="105"/>
        <v>2284.6059702542543</v>
      </c>
      <c r="AS298" s="94">
        <f t="shared" si="106"/>
        <v>0</v>
      </c>
      <c r="AT298" s="94">
        <f t="shared" si="107"/>
        <v>8.8457565117701247</v>
      </c>
      <c r="AU298" s="94">
        <f t="shared" si="109"/>
        <v>4.4038833301282541</v>
      </c>
      <c r="AV298" s="94">
        <f t="shared" si="110"/>
        <v>8.1163921611306851</v>
      </c>
    </row>
    <row r="299" spans="1:48" x14ac:dyDescent="0.3">
      <c r="A299" s="85" t="str">
        <f>_xlfn.XLOOKUP(B299,'Country codes &amp; Data sources'!G:G,'Country codes &amp; Data sources'!H:H,,0)</f>
        <v>Gabon</v>
      </c>
      <c r="B299" s="85" t="s">
        <v>157</v>
      </c>
      <c r="C299" s="86">
        <v>1836722</v>
      </c>
      <c r="D299" s="85" t="s">
        <v>209</v>
      </c>
      <c r="E299" s="87">
        <v>0</v>
      </c>
      <c r="F299" s="88">
        <v>1902226.5000000007</v>
      </c>
      <c r="G299" s="87">
        <v>0</v>
      </c>
      <c r="I299" s="87">
        <v>0</v>
      </c>
      <c r="K299" s="87">
        <v>0</v>
      </c>
      <c r="M299" s="87">
        <v>0</v>
      </c>
      <c r="O299" s="87">
        <v>0</v>
      </c>
      <c r="P299" s="88">
        <v>2192011.5</v>
      </c>
      <c r="Q299" s="87">
        <v>0</v>
      </c>
      <c r="R299" s="87">
        <f t="shared" si="93"/>
        <v>62</v>
      </c>
      <c r="T299" s="87">
        <v>2595</v>
      </c>
      <c r="V299" s="87">
        <v>2714</v>
      </c>
      <c r="X299" s="87">
        <v>0</v>
      </c>
      <c r="Y299" s="88">
        <v>2388992.5000000005</v>
      </c>
      <c r="Z299" s="87">
        <v>0</v>
      </c>
      <c r="AA299" s="87">
        <v>62</v>
      </c>
      <c r="AB299" s="89">
        <f t="shared" si="94"/>
        <v>0</v>
      </c>
      <c r="AC299" s="89">
        <f t="shared" si="95"/>
        <v>2595</v>
      </c>
      <c r="AD299" s="89">
        <f t="shared" si="96"/>
        <v>2714</v>
      </c>
      <c r="AF299" s="90" t="str">
        <f t="shared" si="97"/>
        <v/>
      </c>
      <c r="AG299" s="90">
        <f t="shared" si="108"/>
        <v>62</v>
      </c>
      <c r="AH299" s="90" t="str">
        <f t="shared" si="98"/>
        <v>2018 (triag)</v>
      </c>
      <c r="AI299" s="90">
        <f t="shared" si="99"/>
        <v>2714</v>
      </c>
      <c r="AJ299" s="90">
        <f t="shared" si="100"/>
        <v>2020</v>
      </c>
      <c r="AK299" s="90" t="str">
        <f t="shared" si="101"/>
        <v/>
      </c>
      <c r="AL299" s="91">
        <f>IF(AK299="Adjust",(_xlfn.XLOOKUP(A299,'Adj factor'!A:A,'Adj factor'!I:I,,0)*AI299),'Master DataSheet (Rev)'!AI299)</f>
        <v>2714</v>
      </c>
      <c r="AM299" s="91">
        <f t="shared" si="102"/>
        <v>2714</v>
      </c>
      <c r="AN299" s="92" t="str">
        <f t="shared" si="103"/>
        <v>Increasing</v>
      </c>
      <c r="AO299" s="93">
        <f>VLOOKUP(B299,'Growthrates source'!A$2:H$49,8,FALSE)</f>
        <v>0.2599900753182236</v>
      </c>
      <c r="AP299" s="93">
        <f>VLOOKUP(B299,'Growthrates source'!A$2:I$49,9,FALSE)</f>
        <v>5.4673730437993617E-2</v>
      </c>
      <c r="AQ299" s="86">
        <f t="shared" si="104"/>
        <v>16.897809674222518</v>
      </c>
      <c r="AR299" s="86">
        <f t="shared" si="105"/>
        <v>73.050835562539334</v>
      </c>
      <c r="AS299" s="94">
        <f t="shared" si="106"/>
        <v>0</v>
      </c>
      <c r="AT299" s="94">
        <f t="shared" si="107"/>
        <v>0.28284523142328405</v>
      </c>
      <c r="AU299" s="94">
        <f t="shared" si="109"/>
        <v>11.360437506605816</v>
      </c>
      <c r="AV299" s="94">
        <f t="shared" si="110"/>
        <v>11.360437506605816</v>
      </c>
    </row>
    <row r="300" spans="1:48" x14ac:dyDescent="0.3">
      <c r="A300" s="85" t="str">
        <f>_xlfn.XLOOKUP(B300,'Country codes &amp; Data sources'!G:G,'Country codes &amp; Data sources'!H:H,,0)</f>
        <v>Gabon</v>
      </c>
      <c r="B300" s="85" t="s">
        <v>157</v>
      </c>
      <c r="C300" s="86">
        <v>1836723</v>
      </c>
      <c r="D300" s="85" t="s">
        <v>134</v>
      </c>
      <c r="E300" s="87">
        <v>0</v>
      </c>
      <c r="F300" s="88">
        <v>1902226.5000000007</v>
      </c>
      <c r="G300" s="87">
        <v>0</v>
      </c>
      <c r="I300" s="87">
        <v>0</v>
      </c>
      <c r="K300" s="87">
        <v>0</v>
      </c>
      <c r="M300" s="87">
        <v>287</v>
      </c>
      <c r="O300" s="87">
        <v>442</v>
      </c>
      <c r="P300" s="88">
        <v>2192011.5</v>
      </c>
      <c r="Q300" s="87">
        <v>0</v>
      </c>
      <c r="R300" s="87">
        <f t="shared" si="93"/>
        <v>439</v>
      </c>
      <c r="T300" s="87">
        <v>72</v>
      </c>
      <c r="V300" s="87">
        <v>74</v>
      </c>
      <c r="X300" s="87">
        <v>0</v>
      </c>
      <c r="Y300" s="88">
        <v>2388992.5000000005</v>
      </c>
      <c r="Z300" s="87">
        <v>228</v>
      </c>
      <c r="AA300" s="87">
        <v>439</v>
      </c>
      <c r="AB300" s="89">
        <f t="shared" si="94"/>
        <v>0</v>
      </c>
      <c r="AC300" s="89">
        <f t="shared" si="95"/>
        <v>442</v>
      </c>
      <c r="AD300" s="89">
        <f t="shared" si="96"/>
        <v>228</v>
      </c>
      <c r="AF300" s="90" t="str">
        <f t="shared" si="97"/>
        <v/>
      </c>
      <c r="AG300" s="90">
        <f t="shared" si="108"/>
        <v>439</v>
      </c>
      <c r="AH300" s="90" t="str">
        <f t="shared" si="98"/>
        <v>2018 (triag)</v>
      </c>
      <c r="AI300" s="90">
        <f t="shared" si="99"/>
        <v>228</v>
      </c>
      <c r="AJ300" s="90">
        <f t="shared" si="100"/>
        <v>2022</v>
      </c>
      <c r="AK300" s="90" t="str">
        <f t="shared" si="101"/>
        <v>Adjust</v>
      </c>
      <c r="AL300" s="91">
        <f>IF(AK300="Adjust",(_xlfn.XLOOKUP(A300,'Adj factor'!A:A,'Adj factor'!I:I,,0)*AI300),'Master DataSheet (Rev)'!AI300)</f>
        <v>253.30015715034051</v>
      </c>
      <c r="AM300" s="91">
        <f t="shared" si="102"/>
        <v>439</v>
      </c>
      <c r="AN300" s="92" t="str">
        <f t="shared" si="103"/>
        <v>Decreasing</v>
      </c>
      <c r="AO300" s="93">
        <f>VLOOKUP(B300,'Growthrates source'!A$2:H$49,8,FALSE)</f>
        <v>0.2599900753182236</v>
      </c>
      <c r="AP300" s="93">
        <f>VLOOKUP(B300,'Growthrates source'!A$2:I$49,9,FALSE)</f>
        <v>5.4673730437993617E-2</v>
      </c>
      <c r="AQ300" s="86">
        <f t="shared" si="104"/>
        <v>119.64739430618847</v>
      </c>
      <c r="AR300" s="86">
        <f t="shared" si="105"/>
        <v>517.2470453541091</v>
      </c>
      <c r="AS300" s="94">
        <f t="shared" si="106"/>
        <v>0</v>
      </c>
      <c r="AT300" s="94">
        <f t="shared" si="107"/>
        <v>2.0027267192713176</v>
      </c>
      <c r="AU300" s="94">
        <f t="shared" si="109"/>
        <v>1.0602802526602342</v>
      </c>
      <c r="AV300" s="94">
        <f t="shared" si="110"/>
        <v>1.8375947182755907</v>
      </c>
    </row>
    <row r="301" spans="1:48" x14ac:dyDescent="0.3">
      <c r="A301" s="85" t="str">
        <f>_xlfn.XLOOKUP(B301,'Country codes &amp; Data sources'!G:G,'Country codes &amp; Data sources'!H:H,,0)</f>
        <v>Gabon</v>
      </c>
      <c r="B301" s="85" t="s">
        <v>157</v>
      </c>
      <c r="C301" s="86">
        <v>1836724</v>
      </c>
      <c r="D301" s="85" t="s">
        <v>142</v>
      </c>
      <c r="E301" s="87">
        <v>0</v>
      </c>
      <c r="F301" s="88">
        <v>1902226.5000000007</v>
      </c>
      <c r="G301" s="87">
        <v>0</v>
      </c>
      <c r="I301" s="87">
        <v>0</v>
      </c>
      <c r="K301" s="87">
        <v>0</v>
      </c>
      <c r="M301" s="87">
        <v>0</v>
      </c>
      <c r="O301" s="87">
        <v>58</v>
      </c>
      <c r="P301" s="88">
        <v>2192011.5</v>
      </c>
      <c r="Q301" s="87">
        <v>0</v>
      </c>
      <c r="R301" s="87">
        <f t="shared" si="93"/>
        <v>58</v>
      </c>
      <c r="T301" s="87">
        <v>703</v>
      </c>
      <c r="V301" s="87">
        <v>615</v>
      </c>
      <c r="X301" s="87">
        <v>0</v>
      </c>
      <c r="Y301" s="88">
        <v>2388992.5000000005</v>
      </c>
      <c r="Z301" s="87">
        <v>84</v>
      </c>
      <c r="AA301" s="87">
        <v>58</v>
      </c>
      <c r="AB301" s="89">
        <f t="shared" si="94"/>
        <v>0</v>
      </c>
      <c r="AC301" s="89">
        <f t="shared" si="95"/>
        <v>703</v>
      </c>
      <c r="AD301" s="89">
        <f t="shared" si="96"/>
        <v>615</v>
      </c>
      <c r="AF301" s="90" t="str">
        <f t="shared" si="97"/>
        <v/>
      </c>
      <c r="AG301" s="90">
        <f t="shared" si="108"/>
        <v>58</v>
      </c>
      <c r="AH301" s="90">
        <f t="shared" si="98"/>
        <v>2017</v>
      </c>
      <c r="AI301" s="90">
        <f t="shared" si="99"/>
        <v>84</v>
      </c>
      <c r="AJ301" s="90">
        <f t="shared" si="100"/>
        <v>2022</v>
      </c>
      <c r="AK301" s="90" t="str">
        <f t="shared" si="101"/>
        <v/>
      </c>
      <c r="AL301" s="91">
        <f>IF(AK301="Adjust",(_xlfn.XLOOKUP(A301,'Adj factor'!A:A,'Adj factor'!I:I,,0)*AI301),'Master DataSheet (Rev)'!AI301)</f>
        <v>84</v>
      </c>
      <c r="AM301" s="91">
        <f t="shared" si="102"/>
        <v>84</v>
      </c>
      <c r="AN301" s="92" t="str">
        <f t="shared" si="103"/>
        <v>Increasing</v>
      </c>
      <c r="AO301" s="93">
        <f>VLOOKUP(B301,'Growthrates source'!A$2:H$49,8,FALSE)</f>
        <v>0.2599900753182236</v>
      </c>
      <c r="AP301" s="93">
        <f>VLOOKUP(B301,'Growthrates source'!A$2:I$49,9,FALSE)</f>
        <v>5.4673730437993617E-2</v>
      </c>
      <c r="AQ301" s="86">
        <f t="shared" si="104"/>
        <v>15.807628404917839</v>
      </c>
      <c r="AR301" s="86">
        <f t="shared" si="105"/>
        <v>68.337878429472283</v>
      </c>
      <c r="AS301" s="94">
        <f t="shared" si="106"/>
        <v>0</v>
      </c>
      <c r="AT301" s="94">
        <f t="shared" si="107"/>
        <v>0.26459715197662054</v>
      </c>
      <c r="AU301" s="94">
        <f t="shared" si="109"/>
        <v>0.35161265679988524</v>
      </c>
      <c r="AV301" s="94">
        <f t="shared" si="110"/>
        <v>0.35161265679988524</v>
      </c>
    </row>
    <row r="302" spans="1:48" x14ac:dyDescent="0.3">
      <c r="A302" s="85" t="str">
        <f>_xlfn.XLOOKUP(B302,'Country codes &amp; Data sources'!G:G,'Country codes &amp; Data sources'!H:H,,0)</f>
        <v>Gabon</v>
      </c>
      <c r="B302" s="85" t="s">
        <v>157</v>
      </c>
      <c r="C302" s="86">
        <v>1836725</v>
      </c>
      <c r="D302" s="85" t="s">
        <v>83</v>
      </c>
      <c r="E302" s="87">
        <v>0</v>
      </c>
      <c r="F302" s="88">
        <v>1902226.5000000007</v>
      </c>
      <c r="G302" s="87">
        <v>0</v>
      </c>
      <c r="I302" s="87">
        <v>0</v>
      </c>
      <c r="K302" s="87">
        <v>0</v>
      </c>
      <c r="M302" s="87">
        <v>0</v>
      </c>
      <c r="O302" s="87">
        <v>43</v>
      </c>
      <c r="P302" s="88">
        <v>2192011.5</v>
      </c>
      <c r="Q302" s="87">
        <v>0</v>
      </c>
      <c r="R302" s="87">
        <f t="shared" si="93"/>
        <v>43</v>
      </c>
      <c r="T302" s="87">
        <v>43</v>
      </c>
      <c r="V302" s="87">
        <v>32</v>
      </c>
      <c r="X302" s="87">
        <v>0</v>
      </c>
      <c r="Y302" s="88">
        <v>2388992.5000000005</v>
      </c>
      <c r="Z302" s="87">
        <v>2</v>
      </c>
      <c r="AA302" s="87">
        <v>43</v>
      </c>
      <c r="AB302" s="89">
        <f t="shared" si="94"/>
        <v>0</v>
      </c>
      <c r="AC302" s="89">
        <f t="shared" si="95"/>
        <v>43</v>
      </c>
      <c r="AD302" s="89">
        <f t="shared" si="96"/>
        <v>32</v>
      </c>
      <c r="AF302" s="90" t="str">
        <f t="shared" si="97"/>
        <v/>
      </c>
      <c r="AG302" s="90">
        <f t="shared" si="108"/>
        <v>43</v>
      </c>
      <c r="AH302" s="90">
        <f t="shared" si="98"/>
        <v>2017</v>
      </c>
      <c r="AI302" s="90">
        <f t="shared" si="99"/>
        <v>2</v>
      </c>
      <c r="AJ302" s="90">
        <f t="shared" si="100"/>
        <v>2022</v>
      </c>
      <c r="AK302" s="90" t="str">
        <f t="shared" si="101"/>
        <v>Adjust</v>
      </c>
      <c r="AL302" s="91">
        <f>IF(AK302="Adjust",(_xlfn.XLOOKUP(A302,'Adj factor'!A:A,'Adj factor'!I:I,,0)*AI302),'Master DataSheet (Rev)'!AI302)</f>
        <v>2.2219312030731624</v>
      </c>
      <c r="AM302" s="91">
        <f t="shared" si="102"/>
        <v>43</v>
      </c>
      <c r="AN302" s="92" t="str">
        <f t="shared" si="103"/>
        <v>Decreasing</v>
      </c>
      <c r="AO302" s="93">
        <f>VLOOKUP(B302,'Growthrates source'!A$2:H$49,8,FALSE)</f>
        <v>0.2599900753182236</v>
      </c>
      <c r="AP302" s="93">
        <f>VLOOKUP(B302,'Growthrates source'!A$2:I$49,9,FALSE)</f>
        <v>5.4673730437993617E-2</v>
      </c>
      <c r="AQ302" s="86">
        <f t="shared" si="104"/>
        <v>11.719448645025295</v>
      </c>
      <c r="AR302" s="86">
        <f t="shared" si="105"/>
        <v>50.664289180470824</v>
      </c>
      <c r="AS302" s="94">
        <f t="shared" si="106"/>
        <v>0</v>
      </c>
      <c r="AT302" s="94">
        <f t="shared" si="107"/>
        <v>0.19616685405163248</v>
      </c>
      <c r="AU302" s="94">
        <f t="shared" si="109"/>
        <v>9.3007039707038094E-3</v>
      </c>
      <c r="AV302" s="94">
        <f t="shared" si="110"/>
        <v>0.17999219336184602</v>
      </c>
    </row>
    <row r="303" spans="1:48" x14ac:dyDescent="0.3">
      <c r="A303" s="85" t="str">
        <f>_xlfn.XLOOKUP(B303,'Country codes &amp; Data sources'!G:G,'Country codes &amp; Data sources'!H:H,,0)</f>
        <v>Gabon</v>
      </c>
      <c r="B303" s="85" t="s">
        <v>157</v>
      </c>
      <c r="C303" s="86">
        <v>1836726</v>
      </c>
      <c r="D303" s="85" t="s">
        <v>84</v>
      </c>
      <c r="E303" s="87">
        <v>0</v>
      </c>
      <c r="F303" s="88">
        <v>1902226.5000000007</v>
      </c>
      <c r="G303" s="87">
        <v>0</v>
      </c>
      <c r="I303" s="87">
        <v>0</v>
      </c>
      <c r="K303" s="87">
        <v>0</v>
      </c>
      <c r="M303" s="87">
        <v>0</v>
      </c>
      <c r="O303" s="87">
        <v>0</v>
      </c>
      <c r="P303" s="88">
        <v>2192011.5</v>
      </c>
      <c r="Q303" s="87">
        <v>0</v>
      </c>
      <c r="R303" s="87">
        <f t="shared" si="93"/>
        <v>0</v>
      </c>
      <c r="T303" s="87">
        <v>119</v>
      </c>
      <c r="V303" s="87">
        <v>115</v>
      </c>
      <c r="X303" s="87">
        <v>0</v>
      </c>
      <c r="Y303" s="88">
        <v>2388992.5000000005</v>
      </c>
      <c r="Z303" s="87">
        <v>0</v>
      </c>
      <c r="AA303" s="87">
        <v>0</v>
      </c>
      <c r="AB303" s="89">
        <f t="shared" si="94"/>
        <v>0</v>
      </c>
      <c r="AC303" s="89">
        <f t="shared" si="95"/>
        <v>119</v>
      </c>
      <c r="AD303" s="89">
        <f t="shared" si="96"/>
        <v>115</v>
      </c>
      <c r="AF303" s="90" t="str">
        <f t="shared" si="97"/>
        <v/>
      </c>
      <c r="AG303" s="90">
        <f t="shared" si="108"/>
        <v>119</v>
      </c>
      <c r="AH303" s="90">
        <f t="shared" si="98"/>
        <v>2019</v>
      </c>
      <c r="AI303" s="90">
        <f t="shared" si="99"/>
        <v>115</v>
      </c>
      <c r="AJ303" s="90">
        <f t="shared" si="100"/>
        <v>2020</v>
      </c>
      <c r="AK303" s="90" t="str">
        <f t="shared" si="101"/>
        <v>Adjust</v>
      </c>
      <c r="AL303" s="91">
        <f>IF(AK303="Adjust",(_xlfn.XLOOKUP(A303,'Adj factor'!A:A,'Adj factor'!I:I,,0)*AI303),'Master DataSheet (Rev)'!AI303)</f>
        <v>127.76104417670683</v>
      </c>
      <c r="AM303" s="91">
        <f t="shared" si="102"/>
        <v>127.76104417670683</v>
      </c>
      <c r="AN303" s="92" t="str">
        <f t="shared" si="103"/>
        <v>Increasing</v>
      </c>
      <c r="AO303" s="93">
        <f>VLOOKUP(B303,'Growthrates source'!A$2:H$49,8,FALSE)</f>
        <v>0.2599900753182236</v>
      </c>
      <c r="AP303" s="93">
        <f>VLOOKUP(B303,'Growthrates source'!A$2:I$49,9,FALSE)</f>
        <v>5.4673730437993617E-2</v>
      </c>
      <c r="AQ303" s="86">
        <f t="shared" si="104"/>
        <v>0</v>
      </c>
      <c r="AR303" s="86">
        <f t="shared" si="105"/>
        <v>0</v>
      </c>
      <c r="AS303" s="94">
        <f t="shared" si="106"/>
        <v>0</v>
      </c>
      <c r="AT303" s="94">
        <f t="shared" si="107"/>
        <v>0.54288036353823876</v>
      </c>
      <c r="AU303" s="94">
        <f t="shared" si="109"/>
        <v>0.534790478315469</v>
      </c>
      <c r="AV303" s="94">
        <f t="shared" si="110"/>
        <v>0.534790478315469</v>
      </c>
    </row>
    <row r="304" spans="1:48" x14ac:dyDescent="0.3">
      <c r="A304" s="85" t="str">
        <f>_xlfn.XLOOKUP(B304,'Country codes &amp; Data sources'!G:G,'Country codes &amp; Data sources'!H:H,,0)</f>
        <v>Gabon</v>
      </c>
      <c r="B304" s="85" t="s">
        <v>157</v>
      </c>
      <c r="C304" s="86">
        <v>1836727</v>
      </c>
      <c r="D304" s="85" t="s">
        <v>126</v>
      </c>
      <c r="E304" s="87">
        <v>0</v>
      </c>
      <c r="F304" s="88">
        <v>1902226.5000000007</v>
      </c>
      <c r="G304" s="87">
        <v>0</v>
      </c>
      <c r="I304" s="87">
        <v>0</v>
      </c>
      <c r="K304" s="87">
        <v>0</v>
      </c>
      <c r="M304" s="87">
        <v>0</v>
      </c>
      <c r="O304" s="87">
        <v>2</v>
      </c>
      <c r="P304" s="88">
        <v>2192011.5</v>
      </c>
      <c r="Q304" s="87">
        <v>0</v>
      </c>
      <c r="R304" s="87">
        <f t="shared" si="93"/>
        <v>0</v>
      </c>
      <c r="T304" s="87">
        <v>1</v>
      </c>
      <c r="V304" s="87">
        <v>0</v>
      </c>
      <c r="X304" s="87">
        <v>0</v>
      </c>
      <c r="Y304" s="88">
        <v>2388992.5000000005</v>
      </c>
      <c r="Z304" s="87">
        <v>0</v>
      </c>
      <c r="AA304" s="87">
        <v>0</v>
      </c>
      <c r="AB304" s="89">
        <f t="shared" si="94"/>
        <v>0</v>
      </c>
      <c r="AC304" s="89">
        <f t="shared" si="95"/>
        <v>2</v>
      </c>
      <c r="AD304" s="89">
        <f t="shared" si="96"/>
        <v>0</v>
      </c>
      <c r="AF304" s="90" t="str">
        <f t="shared" si="97"/>
        <v/>
      </c>
      <c r="AG304" s="90">
        <f t="shared" si="108"/>
        <v>2</v>
      </c>
      <c r="AH304" s="90">
        <f t="shared" si="98"/>
        <v>2017</v>
      </c>
      <c r="AI304" s="90">
        <f t="shared" si="99"/>
        <v>1</v>
      </c>
      <c r="AJ304" s="90">
        <f t="shared" si="100"/>
        <v>2017</v>
      </c>
      <c r="AK304" s="90" t="str">
        <f t="shared" si="101"/>
        <v>Adjust</v>
      </c>
      <c r="AL304" s="91">
        <f>IF(AK304="Adjust",(_xlfn.XLOOKUP(A304,'Adj factor'!A:A,'Adj factor'!I:I,,0)*AI304),'Master DataSheet (Rev)'!AI304)</f>
        <v>1.1109656015365812</v>
      </c>
      <c r="AM304" s="91">
        <f t="shared" si="102"/>
        <v>2</v>
      </c>
      <c r="AN304" s="92" t="str">
        <f t="shared" si="103"/>
        <v>Decreasing</v>
      </c>
      <c r="AO304" s="93">
        <f>VLOOKUP(B304,'Growthrates source'!A$2:H$49,8,FALSE)</f>
        <v>0.2599900753182236</v>
      </c>
      <c r="AP304" s="93">
        <f>VLOOKUP(B304,'Growthrates source'!A$2:I$49,9,FALSE)</f>
        <v>5.4673730437993617E-2</v>
      </c>
      <c r="AQ304" s="86">
        <f t="shared" si="104"/>
        <v>0</v>
      </c>
      <c r="AR304" s="86">
        <f t="shared" si="105"/>
        <v>0</v>
      </c>
      <c r="AS304" s="94">
        <f t="shared" si="106"/>
        <v>0</v>
      </c>
      <c r="AT304" s="94">
        <f t="shared" si="107"/>
        <v>9.1240397233317439E-3</v>
      </c>
      <c r="AU304" s="94">
        <f t="shared" si="109"/>
        <v>4.6503519853519047E-3</v>
      </c>
      <c r="AV304" s="94">
        <f t="shared" si="110"/>
        <v>8.3717299238067911E-3</v>
      </c>
    </row>
    <row r="305" spans="1:48" x14ac:dyDescent="0.3">
      <c r="A305" s="85" t="str">
        <f>_xlfn.XLOOKUP(B305,'Country codes &amp; Data sources'!G:G,'Country codes &amp; Data sources'!H:H,,0)</f>
        <v>Gabon</v>
      </c>
      <c r="B305" s="85" t="s">
        <v>157</v>
      </c>
      <c r="C305" s="86">
        <v>1836728</v>
      </c>
      <c r="D305" s="85" t="s">
        <v>87</v>
      </c>
      <c r="E305" s="87">
        <v>0</v>
      </c>
      <c r="F305" s="88">
        <v>1902226.5000000007</v>
      </c>
      <c r="G305" s="87">
        <v>0</v>
      </c>
      <c r="I305" s="87">
        <v>0</v>
      </c>
      <c r="K305" s="87">
        <v>0</v>
      </c>
      <c r="M305" s="87">
        <v>0</v>
      </c>
      <c r="O305" s="87">
        <v>99</v>
      </c>
      <c r="P305" s="88">
        <v>2192011.5</v>
      </c>
      <c r="Q305" s="87">
        <v>0</v>
      </c>
      <c r="R305" s="87">
        <f t="shared" si="93"/>
        <v>99</v>
      </c>
      <c r="T305" s="87">
        <v>117</v>
      </c>
      <c r="V305" s="87">
        <v>112</v>
      </c>
      <c r="X305" s="87">
        <v>0</v>
      </c>
      <c r="Y305" s="88">
        <v>2388992.5000000005</v>
      </c>
      <c r="Z305" s="87">
        <v>0</v>
      </c>
      <c r="AA305" s="87">
        <v>99</v>
      </c>
      <c r="AB305" s="89">
        <f t="shared" si="94"/>
        <v>0</v>
      </c>
      <c r="AC305" s="89">
        <f t="shared" si="95"/>
        <v>117</v>
      </c>
      <c r="AD305" s="89">
        <f t="shared" si="96"/>
        <v>112</v>
      </c>
      <c r="AF305" s="90" t="str">
        <f t="shared" si="97"/>
        <v/>
      </c>
      <c r="AG305" s="90">
        <f t="shared" si="108"/>
        <v>99</v>
      </c>
      <c r="AH305" s="90">
        <f t="shared" si="98"/>
        <v>2017</v>
      </c>
      <c r="AI305" s="90">
        <f t="shared" si="99"/>
        <v>112</v>
      </c>
      <c r="AJ305" s="90">
        <f t="shared" si="100"/>
        <v>2020</v>
      </c>
      <c r="AK305" s="90" t="str">
        <f t="shared" si="101"/>
        <v/>
      </c>
      <c r="AL305" s="91">
        <f>IF(AK305="Adjust",(_xlfn.XLOOKUP(A305,'Adj factor'!A:A,'Adj factor'!I:I,,0)*AI305),'Master DataSheet (Rev)'!AI305)</f>
        <v>112</v>
      </c>
      <c r="AM305" s="91">
        <f t="shared" si="102"/>
        <v>112</v>
      </c>
      <c r="AN305" s="92" t="str">
        <f t="shared" si="103"/>
        <v>Increasing</v>
      </c>
      <c r="AO305" s="93">
        <f>VLOOKUP(B305,'Growthrates source'!A$2:H$49,8,FALSE)</f>
        <v>0.2599900753182236</v>
      </c>
      <c r="AP305" s="93">
        <f>VLOOKUP(B305,'Growthrates source'!A$2:I$49,9,FALSE)</f>
        <v>5.4673730437993617E-2</v>
      </c>
      <c r="AQ305" s="86">
        <f t="shared" si="104"/>
        <v>26.981986415290795</v>
      </c>
      <c r="AR305" s="86">
        <f t="shared" si="105"/>
        <v>116.64568904340958</v>
      </c>
      <c r="AS305" s="94">
        <f t="shared" si="106"/>
        <v>0</v>
      </c>
      <c r="AT305" s="94">
        <f t="shared" si="107"/>
        <v>0.45163996630492131</v>
      </c>
      <c r="AU305" s="94">
        <f t="shared" si="109"/>
        <v>0.46881687573318032</v>
      </c>
      <c r="AV305" s="94">
        <f t="shared" si="110"/>
        <v>0.46881687573318032</v>
      </c>
    </row>
    <row r="306" spans="1:48" x14ac:dyDescent="0.3">
      <c r="A306" s="85" t="str">
        <f>_xlfn.XLOOKUP(B306,'Country codes &amp; Data sources'!G:G,'Country codes &amp; Data sources'!H:H,,0)</f>
        <v>Ghana</v>
      </c>
      <c r="B306" s="85" t="s">
        <v>172</v>
      </c>
      <c r="C306" s="86">
        <v>26858767</v>
      </c>
      <c r="D306" s="85" t="s">
        <v>127</v>
      </c>
      <c r="E306" s="87">
        <v>0</v>
      </c>
      <c r="F306" s="88">
        <v>27525596.999999989</v>
      </c>
      <c r="G306" s="87">
        <v>5293</v>
      </c>
      <c r="I306" s="87">
        <v>0</v>
      </c>
      <c r="K306" s="87">
        <v>0</v>
      </c>
      <c r="M306" s="87">
        <v>0</v>
      </c>
      <c r="O306" s="87">
        <v>15456</v>
      </c>
      <c r="P306" s="88">
        <v>30870640.5</v>
      </c>
      <c r="Q306" s="87">
        <v>15820</v>
      </c>
      <c r="R306" s="87">
        <f t="shared" ref="R306:R355" si="112">MAX(Q306,AA306)</f>
        <v>15820</v>
      </c>
      <c r="T306" s="87">
        <v>0</v>
      </c>
      <c r="V306" s="87">
        <v>0</v>
      </c>
      <c r="X306" s="87">
        <v>0</v>
      </c>
      <c r="Y306" s="88">
        <v>33475870.500000011</v>
      </c>
      <c r="Z306" s="87">
        <v>0</v>
      </c>
      <c r="AA306" s="87">
        <v>15820</v>
      </c>
      <c r="AB306" s="89">
        <f t="shared" ref="AB306:AB355" si="113">MAX(G306,E306,I306,K306)</f>
        <v>5293</v>
      </c>
      <c r="AC306" s="89">
        <f t="shared" ref="AC306:AC355" si="114">MAX(M306,O306,Q306,T306)</f>
        <v>15820</v>
      </c>
      <c r="AD306" s="89">
        <f t="shared" ref="AD306:AD355" si="115">MAX(V306,X306,Z306)</f>
        <v>0</v>
      </c>
      <c r="AE306" s="90">
        <f t="shared" ref="AE306:AE354" si="116">IF(G306&gt;0,G306,IF(E306&gt;0,E306,IF(I306&gt;0,I306,K306)))</f>
        <v>5293</v>
      </c>
      <c r="AF306" s="90">
        <f t="shared" ref="AF306:AF355" si="117">IF(AE306&gt;0,_xlfn.XLOOKUP(AE306,$B306:$K306,$B$1:$K$1,,0),"")</f>
        <v>2013</v>
      </c>
      <c r="AG306" s="90">
        <f t="shared" ref="AG306:AG354" si="118">IF(R306&gt;0,R306,IF(O306&gt;0,O306,T306))</f>
        <v>15820</v>
      </c>
      <c r="AH306" s="90">
        <f t="shared" ref="AH306:AH355" si="119">IF(AG306&gt;0,_xlfn.XLOOKUP(AG306,$L306:$T306,$L$1:$T$1,,0),"")</f>
        <v>2018</v>
      </c>
      <c r="AI306" s="90">
        <f t="shared" ref="AI306:AI355" si="120">IF((IF(Z306&gt;0,Z306,IF(X306&gt;0,X306,IF(V306&gt;0,V306,T306))))=0,AG306,IF(Z306&gt;0,Z306,IF(X306&gt;0,X306,IF(V306&gt;0,V306,T306))))</f>
        <v>15820</v>
      </c>
      <c r="AJ306" s="90">
        <f t="shared" ref="AJ306:AJ355" si="121">IFERROR(IF(AI306&gt;0,_xlfn.XLOOKUP(AI306,$V306:$Z306,$V$1:$Z$1,,0),""),AH306)</f>
        <v>2018</v>
      </c>
      <c r="AK306" s="90" t="str">
        <f t="shared" ref="AK306:AK355" si="122">IF(AI306&lt;AG306,"Adjust","")</f>
        <v/>
      </c>
      <c r="AL306" s="91">
        <f>IF(AK306="Adjust",(_xlfn.XLOOKUP(A306,'Adj factor'!A:A,'Adj factor'!I:I,,0)*AI306),'Master DataSheet (Rev)'!AI306)</f>
        <v>15820</v>
      </c>
      <c r="AM306" s="91">
        <f t="shared" ref="AM306:AM355" si="123">IF(AL306&lt;AG306,AG306,AL306)</f>
        <v>15820</v>
      </c>
      <c r="AN306" s="92" t="str">
        <f t="shared" ref="AN306:AN355" si="124">IF(AL306&gt;AG306,"Increasing",IF(AL306&lt;AG306,"Decreasing","No change"))</f>
        <v>No change</v>
      </c>
      <c r="AO306" s="93">
        <f>VLOOKUP(B306,'Growthrates source'!A$2:H$49,8,FALSE)</f>
        <v>2.6327637949120408E-2</v>
      </c>
      <c r="AP306" s="93">
        <f>VLOOKUP(B306,'Growthrates source'!A$2:I$49,9,FALSE)</f>
        <v>6.0316928868946684E-2</v>
      </c>
      <c r="AQ306" s="86">
        <f t="shared" ref="AQ306:AQ355" si="125">AA306/(EXP(AO306*5))</f>
        <v>13868.731483776815</v>
      </c>
      <c r="AR306" s="86">
        <f t="shared" ref="AR306:AR355" si="126">AA306*EXP(AP306*3)</f>
        <v>18957.995126192636</v>
      </c>
      <c r="AS306" s="94">
        <f t="shared" ref="AS306:AS355" si="127">(AE306*10000)/F306</f>
        <v>1.92293740259294</v>
      </c>
      <c r="AT306" s="94">
        <f t="shared" ref="AT306:AT355" si="128">(AG306*10000)/P306</f>
        <v>5.1246102263411091</v>
      </c>
      <c r="AU306" s="94">
        <f t="shared" si="109"/>
        <v>4.7257919700699027</v>
      </c>
      <c r="AV306" s="94">
        <f t="shared" si="110"/>
        <v>4.7257919700699027</v>
      </c>
    </row>
    <row r="307" spans="1:48" x14ac:dyDescent="0.3">
      <c r="A307" s="85" t="str">
        <f>_xlfn.XLOOKUP(B307,'Country codes &amp; Data sources'!G:G,'Country codes &amp; Data sources'!H:H,,0)</f>
        <v>Ghana</v>
      </c>
      <c r="B307" s="85" t="s">
        <v>172</v>
      </c>
      <c r="C307" s="86">
        <v>26858768</v>
      </c>
      <c r="D307" s="85" t="s">
        <v>61</v>
      </c>
      <c r="E307" s="87">
        <v>0</v>
      </c>
      <c r="F307" s="88">
        <v>27525596.999999989</v>
      </c>
      <c r="G307" s="87">
        <v>4</v>
      </c>
      <c r="I307" s="87">
        <v>0</v>
      </c>
      <c r="K307" s="87">
        <v>0</v>
      </c>
      <c r="M307" s="87">
        <v>19</v>
      </c>
      <c r="O307" s="87">
        <v>0</v>
      </c>
      <c r="P307" s="88">
        <v>30870640.5</v>
      </c>
      <c r="Q307" s="87">
        <v>0</v>
      </c>
      <c r="R307" s="87">
        <f t="shared" si="112"/>
        <v>0</v>
      </c>
      <c r="T307" s="87">
        <v>0</v>
      </c>
      <c r="V307" s="87">
        <v>0</v>
      </c>
      <c r="X307" s="87">
        <v>0</v>
      </c>
      <c r="Y307" s="88">
        <v>33475870.500000011</v>
      </c>
      <c r="Z307" s="103">
        <v>3321</v>
      </c>
      <c r="AA307" s="87">
        <v>0</v>
      </c>
      <c r="AB307" s="89">
        <f t="shared" si="113"/>
        <v>4</v>
      </c>
      <c r="AC307" s="89">
        <f t="shared" si="114"/>
        <v>19</v>
      </c>
      <c r="AD307" s="89">
        <f t="shared" si="115"/>
        <v>3321</v>
      </c>
      <c r="AE307" s="90">
        <f t="shared" si="116"/>
        <v>4</v>
      </c>
      <c r="AF307" s="90">
        <f t="shared" si="117"/>
        <v>2013</v>
      </c>
      <c r="AH307" s="90" t="str">
        <f t="shared" si="119"/>
        <v/>
      </c>
      <c r="AI307" s="90">
        <f t="shared" si="120"/>
        <v>3321</v>
      </c>
      <c r="AJ307" s="90">
        <f t="shared" si="121"/>
        <v>2022</v>
      </c>
      <c r="AK307" s="90" t="str">
        <f t="shared" si="122"/>
        <v/>
      </c>
      <c r="AL307" s="91">
        <f>IF(AK307="Adjust",(_xlfn.XLOOKUP(A307,'Adj factor'!A:A,'Adj factor'!I:I,,0)*AI307),'Master DataSheet (Rev)'!AI307)</f>
        <v>3321</v>
      </c>
      <c r="AM307" s="91">
        <f t="shared" si="123"/>
        <v>3321</v>
      </c>
      <c r="AN307" s="92" t="str">
        <f t="shared" si="124"/>
        <v>Increasing</v>
      </c>
      <c r="AO307" s="93">
        <f>VLOOKUP(B307,'Growthrates source'!A$2:H$49,8,FALSE)</f>
        <v>2.6327637949120408E-2</v>
      </c>
      <c r="AP307" s="93">
        <f>VLOOKUP(B307,'Growthrates source'!A$2:I$49,9,FALSE)</f>
        <v>6.0316928868946684E-2</v>
      </c>
      <c r="AQ307" s="86">
        <f t="shared" si="125"/>
        <v>0</v>
      </c>
      <c r="AR307" s="86">
        <f t="shared" si="126"/>
        <v>0</v>
      </c>
      <c r="AS307" s="94">
        <f t="shared" si="127"/>
        <v>1.4531928226661176E-3</v>
      </c>
      <c r="AT307" s="94">
        <f t="shared" si="128"/>
        <v>0</v>
      </c>
      <c r="AU307" s="94">
        <f t="shared" si="109"/>
        <v>0.99205784656145057</v>
      </c>
      <c r="AV307" s="94">
        <f t="shared" si="110"/>
        <v>0.99205784656145057</v>
      </c>
    </row>
    <row r="308" spans="1:48" x14ac:dyDescent="0.3">
      <c r="A308" s="85" t="str">
        <f>_xlfn.XLOOKUP(B308,'Country codes &amp; Data sources'!G:G,'Country codes &amp; Data sources'!H:H,,0)</f>
        <v>Ghana</v>
      </c>
      <c r="B308" s="85" t="s">
        <v>172</v>
      </c>
      <c r="C308" s="86">
        <v>26858769</v>
      </c>
      <c r="D308" s="85" t="s">
        <v>62</v>
      </c>
      <c r="E308" s="87">
        <v>0</v>
      </c>
      <c r="F308" s="88">
        <v>27525596.999999989</v>
      </c>
      <c r="G308" s="87">
        <v>351</v>
      </c>
      <c r="I308" s="87">
        <v>0</v>
      </c>
      <c r="K308" s="87">
        <v>0</v>
      </c>
      <c r="M308" s="87">
        <v>160</v>
      </c>
      <c r="O308" s="87">
        <v>0</v>
      </c>
      <c r="P308" s="88">
        <v>30870640.5</v>
      </c>
      <c r="Q308" s="87">
        <v>0</v>
      </c>
      <c r="R308" s="87">
        <f t="shared" si="112"/>
        <v>47</v>
      </c>
      <c r="T308" s="87">
        <v>0</v>
      </c>
      <c r="V308" s="87">
        <v>0</v>
      </c>
      <c r="X308" s="87">
        <v>0</v>
      </c>
      <c r="Y308" s="88">
        <v>33475870.500000011</v>
      </c>
      <c r="Z308" s="103">
        <v>4778</v>
      </c>
      <c r="AA308" s="87">
        <v>47</v>
      </c>
      <c r="AB308" s="89">
        <f t="shared" si="113"/>
        <v>351</v>
      </c>
      <c r="AC308" s="89">
        <f t="shared" si="114"/>
        <v>160</v>
      </c>
      <c r="AD308" s="89">
        <f t="shared" si="115"/>
        <v>4778</v>
      </c>
      <c r="AE308" s="90">
        <f t="shared" si="116"/>
        <v>351</v>
      </c>
      <c r="AF308" s="90">
        <f t="shared" si="117"/>
        <v>2013</v>
      </c>
      <c r="AG308" s="90">
        <f t="shared" si="118"/>
        <v>47</v>
      </c>
      <c r="AH308" s="90" t="str">
        <f t="shared" si="119"/>
        <v>2018 (triag)</v>
      </c>
      <c r="AI308" s="90">
        <f t="shared" si="120"/>
        <v>4778</v>
      </c>
      <c r="AJ308" s="90">
        <f t="shared" si="121"/>
        <v>2022</v>
      </c>
      <c r="AK308" s="90" t="str">
        <f t="shared" si="122"/>
        <v/>
      </c>
      <c r="AL308" s="91">
        <f>IF(AK308="Adjust",(_xlfn.XLOOKUP(A308,'Adj factor'!A:A,'Adj factor'!I:I,,0)*AI308),'Master DataSheet (Rev)'!AI308)</f>
        <v>4778</v>
      </c>
      <c r="AM308" s="91">
        <f t="shared" si="123"/>
        <v>4778</v>
      </c>
      <c r="AN308" s="92" t="str">
        <f t="shared" si="124"/>
        <v>Increasing</v>
      </c>
      <c r="AO308" s="93">
        <f>VLOOKUP(B308,'Growthrates source'!A$2:H$49,8,FALSE)</f>
        <v>2.6327637949120408E-2</v>
      </c>
      <c r="AP308" s="93">
        <f>VLOOKUP(B308,'Growthrates source'!A$2:I$49,9,FALSE)</f>
        <v>6.0316928868946684E-2</v>
      </c>
      <c r="AQ308" s="86">
        <f t="shared" si="125"/>
        <v>41.202931715392566</v>
      </c>
      <c r="AR308" s="86">
        <f t="shared" si="126"/>
        <v>56.32274152535107</v>
      </c>
      <c r="AS308" s="94">
        <f t="shared" si="127"/>
        <v>0.1275176701889518</v>
      </c>
      <c r="AT308" s="94">
        <f t="shared" si="128"/>
        <v>1.5224821784957782E-2</v>
      </c>
      <c r="AU308" s="94">
        <f t="shared" si="109"/>
        <v>1.4272967151070795</v>
      </c>
      <c r="AV308" s="94">
        <f t="shared" si="110"/>
        <v>1.4272967151070795</v>
      </c>
    </row>
    <row r="309" spans="1:48" x14ac:dyDescent="0.3">
      <c r="A309" s="85" t="str">
        <f>_xlfn.XLOOKUP(B309,'Country codes &amp; Data sources'!G:G,'Country codes &amp; Data sources'!H:H,,0)</f>
        <v>Ghana</v>
      </c>
      <c r="B309" s="85" t="s">
        <v>172</v>
      </c>
      <c r="C309" s="86">
        <v>26858770</v>
      </c>
      <c r="D309" s="85" t="s">
        <v>203</v>
      </c>
      <c r="E309" s="87">
        <v>0</v>
      </c>
      <c r="F309" s="88">
        <v>27525596.999999989</v>
      </c>
      <c r="G309" s="87">
        <v>0</v>
      </c>
      <c r="I309" s="87">
        <v>0</v>
      </c>
      <c r="K309" s="87">
        <v>0</v>
      </c>
      <c r="M309" s="87">
        <v>0</v>
      </c>
      <c r="O309" s="87">
        <v>0</v>
      </c>
      <c r="P309" s="88">
        <v>30870640.5</v>
      </c>
      <c r="Q309" s="87">
        <v>0</v>
      </c>
      <c r="R309" s="87">
        <f t="shared" si="112"/>
        <v>4059</v>
      </c>
      <c r="T309" s="87">
        <v>0</v>
      </c>
      <c r="V309" s="87">
        <v>0</v>
      </c>
      <c r="X309" s="87">
        <v>3453</v>
      </c>
      <c r="Y309" s="88">
        <v>33475870.500000011</v>
      </c>
      <c r="Z309" s="87">
        <v>3602</v>
      </c>
      <c r="AA309" s="87">
        <v>4059</v>
      </c>
      <c r="AB309" s="89">
        <f t="shared" si="113"/>
        <v>0</v>
      </c>
      <c r="AC309" s="89">
        <f t="shared" si="114"/>
        <v>0</v>
      </c>
      <c r="AD309" s="89">
        <f t="shared" si="115"/>
        <v>3602</v>
      </c>
      <c r="AF309" s="90" t="str">
        <f t="shared" si="117"/>
        <v/>
      </c>
      <c r="AG309" s="90">
        <f t="shared" si="118"/>
        <v>4059</v>
      </c>
      <c r="AH309" s="90" t="str">
        <f t="shared" si="119"/>
        <v>2018 (triag)</v>
      </c>
      <c r="AI309" s="90">
        <f t="shared" si="120"/>
        <v>3602</v>
      </c>
      <c r="AJ309" s="90">
        <f t="shared" si="121"/>
        <v>2022</v>
      </c>
      <c r="AK309" s="90" t="str">
        <f t="shared" si="122"/>
        <v>Adjust</v>
      </c>
      <c r="AL309" s="91">
        <f>IF(AK309="Adjust",(_xlfn.XLOOKUP(A309,'Adj factor'!A:A,'Adj factor'!I:I,,0)*AI309),'Master DataSheet (Rev)'!AI309)</f>
        <v>4345.9371270962411</v>
      </c>
      <c r="AM309" s="91">
        <f t="shared" si="123"/>
        <v>4345.9371270962411</v>
      </c>
      <c r="AN309" s="92" t="str">
        <f t="shared" si="124"/>
        <v>Increasing</v>
      </c>
      <c r="AO309" s="93">
        <f>VLOOKUP(B309,'Growthrates source'!A$2:H$49,8,FALSE)</f>
        <v>2.6327637949120408E-2</v>
      </c>
      <c r="AP309" s="93">
        <f>VLOOKUP(B309,'Growthrates source'!A$2:I$49,9,FALSE)</f>
        <v>6.0316928868946684E-2</v>
      </c>
      <c r="AQ309" s="86">
        <f t="shared" si="125"/>
        <v>3558.3553155910299</v>
      </c>
      <c r="AR309" s="86">
        <f t="shared" si="126"/>
        <v>4864.1278266255313</v>
      </c>
      <c r="AS309" s="94">
        <f t="shared" si="127"/>
        <v>0</v>
      </c>
      <c r="AT309" s="94">
        <f t="shared" si="128"/>
        <v>1.3148415239392264</v>
      </c>
      <c r="AU309" s="94">
        <f t="shared" si="109"/>
        <v>1.2982297583855928</v>
      </c>
      <c r="AV309" s="94">
        <f t="shared" si="110"/>
        <v>1.2982297583855928</v>
      </c>
    </row>
    <row r="310" spans="1:48" x14ac:dyDescent="0.3">
      <c r="A310" s="85" t="str">
        <f>_xlfn.XLOOKUP(B310,'Country codes &amp; Data sources'!G:G,'Country codes &amp; Data sources'!H:H,,0)</f>
        <v>Ghana</v>
      </c>
      <c r="B310" s="85" t="s">
        <v>172</v>
      </c>
      <c r="C310" s="86">
        <v>26858771</v>
      </c>
      <c r="D310" s="85" t="s">
        <v>204</v>
      </c>
      <c r="E310" s="87">
        <v>0</v>
      </c>
      <c r="F310" s="88">
        <v>27525596.999999989</v>
      </c>
      <c r="G310" s="87">
        <v>0</v>
      </c>
      <c r="I310" s="87">
        <v>0</v>
      </c>
      <c r="K310" s="87">
        <v>0</v>
      </c>
      <c r="M310" s="87">
        <v>0</v>
      </c>
      <c r="O310" s="87">
        <v>0</v>
      </c>
      <c r="P310" s="88">
        <v>30870640.5</v>
      </c>
      <c r="Q310" s="87">
        <v>0</v>
      </c>
      <c r="R310" s="87">
        <f t="shared" si="112"/>
        <v>1033</v>
      </c>
      <c r="T310" s="87">
        <v>0</v>
      </c>
      <c r="V310" s="87">
        <v>0</v>
      </c>
      <c r="X310" s="87">
        <v>0</v>
      </c>
      <c r="Y310" s="88">
        <v>33475870.500000011</v>
      </c>
      <c r="Z310" s="87">
        <v>0</v>
      </c>
      <c r="AA310" s="87">
        <v>1033</v>
      </c>
      <c r="AB310" s="89">
        <f t="shared" si="113"/>
        <v>0</v>
      </c>
      <c r="AC310" s="89">
        <f t="shared" si="114"/>
        <v>0</v>
      </c>
      <c r="AD310" s="89">
        <f t="shared" si="115"/>
        <v>0</v>
      </c>
      <c r="AF310" s="90" t="str">
        <f t="shared" si="117"/>
        <v/>
      </c>
      <c r="AG310" s="90">
        <f t="shared" si="118"/>
        <v>1033</v>
      </c>
      <c r="AH310" s="90" t="str">
        <f t="shared" si="119"/>
        <v>2018 (triag)</v>
      </c>
      <c r="AI310" s="90">
        <f t="shared" si="120"/>
        <v>1033</v>
      </c>
      <c r="AJ310" s="90" t="str">
        <f t="shared" si="121"/>
        <v>2018 (triag)</v>
      </c>
      <c r="AK310" s="90" t="str">
        <f t="shared" si="122"/>
        <v/>
      </c>
      <c r="AL310" s="91">
        <f>IF(AK310="Adjust",(_xlfn.XLOOKUP(A310,'Adj factor'!A:A,'Adj factor'!I:I,,0)*AI310),'Master DataSheet (Rev)'!AI310)</f>
        <v>1033</v>
      </c>
      <c r="AM310" s="91">
        <f t="shared" si="123"/>
        <v>1033</v>
      </c>
      <c r="AN310" s="92" t="str">
        <f t="shared" si="124"/>
        <v>No change</v>
      </c>
      <c r="AO310" s="93">
        <f>VLOOKUP(B310,'Growthrates source'!A$2:H$49,8,FALSE)</f>
        <v>2.6327637949120408E-2</v>
      </c>
      <c r="AP310" s="93">
        <f>VLOOKUP(B310,'Growthrates source'!A$2:I$49,9,FALSE)</f>
        <v>6.0316928868946684E-2</v>
      </c>
      <c r="AQ310" s="86">
        <f t="shared" si="125"/>
        <v>905.58783961703227</v>
      </c>
      <c r="AR310" s="86">
        <f t="shared" si="126"/>
        <v>1237.9019573550565</v>
      </c>
      <c r="AS310" s="94">
        <f t="shared" si="127"/>
        <v>0</v>
      </c>
      <c r="AT310" s="94">
        <f t="shared" si="128"/>
        <v>0.33462214689066783</v>
      </c>
      <c r="AU310" s="94">
        <f t="shared" si="109"/>
        <v>0.30858047440469089</v>
      </c>
      <c r="AV310" s="94">
        <f t="shared" si="110"/>
        <v>0.30858047440469089</v>
      </c>
    </row>
    <row r="311" spans="1:48" x14ac:dyDescent="0.3">
      <c r="A311" s="85" t="str">
        <f>_xlfn.XLOOKUP(B311,'Country codes &amp; Data sources'!G:G,'Country codes &amp; Data sources'!H:H,,0)</f>
        <v>Ghana</v>
      </c>
      <c r="B311" s="85" t="s">
        <v>172</v>
      </c>
      <c r="C311" s="86">
        <v>26858772</v>
      </c>
      <c r="D311" s="85" t="s">
        <v>205</v>
      </c>
      <c r="E311" s="87">
        <v>0</v>
      </c>
      <c r="F311" s="88">
        <v>27525596.999999989</v>
      </c>
      <c r="G311" s="87">
        <v>0</v>
      </c>
      <c r="I311" s="87">
        <v>0</v>
      </c>
      <c r="K311" s="87">
        <v>0</v>
      </c>
      <c r="M311" s="87">
        <v>30</v>
      </c>
      <c r="O311" s="87">
        <v>167</v>
      </c>
      <c r="P311" s="88">
        <v>30870640.5</v>
      </c>
      <c r="Q311" s="87">
        <v>0</v>
      </c>
      <c r="R311" s="87">
        <f t="shared" si="112"/>
        <v>0</v>
      </c>
      <c r="T311" s="87">
        <v>0</v>
      </c>
      <c r="V311" s="87">
        <v>0</v>
      </c>
      <c r="X311" s="87">
        <v>0</v>
      </c>
      <c r="Y311" s="88">
        <v>33475870.500000011</v>
      </c>
      <c r="Z311" s="103">
        <v>1550</v>
      </c>
      <c r="AA311" s="87">
        <v>0</v>
      </c>
      <c r="AB311" s="89">
        <f t="shared" si="113"/>
        <v>0</v>
      </c>
      <c r="AC311" s="89">
        <f t="shared" si="114"/>
        <v>167</v>
      </c>
      <c r="AD311" s="89">
        <f t="shared" si="115"/>
        <v>1550</v>
      </c>
      <c r="AF311" s="90" t="str">
        <f t="shared" si="117"/>
        <v/>
      </c>
      <c r="AG311" s="90">
        <f t="shared" si="118"/>
        <v>167</v>
      </c>
      <c r="AH311" s="90">
        <f t="shared" si="119"/>
        <v>2017</v>
      </c>
      <c r="AI311" s="90">
        <f t="shared" si="120"/>
        <v>1550</v>
      </c>
      <c r="AJ311" s="90">
        <f t="shared" si="121"/>
        <v>2022</v>
      </c>
      <c r="AK311" s="90" t="str">
        <f t="shared" si="122"/>
        <v/>
      </c>
      <c r="AL311" s="91">
        <f>IF(AK311="Adjust",(_xlfn.XLOOKUP(A311,'Adj factor'!A:A,'Adj factor'!I:I,,0)*AI311),'Master DataSheet (Rev)'!AI311)</f>
        <v>1550</v>
      </c>
      <c r="AM311" s="91">
        <f t="shared" si="123"/>
        <v>1550</v>
      </c>
      <c r="AN311" s="92" t="str">
        <f t="shared" si="124"/>
        <v>Increasing</v>
      </c>
      <c r="AO311" s="93">
        <f>VLOOKUP(B311,'Growthrates source'!A$2:H$49,8,FALSE)</f>
        <v>2.6327637949120408E-2</v>
      </c>
      <c r="AP311" s="93">
        <f>VLOOKUP(B311,'Growthrates source'!A$2:I$49,9,FALSE)</f>
        <v>6.0316928868946684E-2</v>
      </c>
      <c r="AQ311" s="86">
        <f t="shared" si="125"/>
        <v>0</v>
      </c>
      <c r="AR311" s="86">
        <f t="shared" si="126"/>
        <v>0</v>
      </c>
      <c r="AS311" s="94">
        <f t="shared" si="127"/>
        <v>0</v>
      </c>
      <c r="AT311" s="94">
        <f t="shared" si="128"/>
        <v>5.4096707193360627E-2</v>
      </c>
      <c r="AU311" s="94">
        <f t="shared" si="109"/>
        <v>0.46302007292088176</v>
      </c>
      <c r="AV311" s="94">
        <f t="shared" si="110"/>
        <v>0.46302007292088176</v>
      </c>
    </row>
    <row r="312" spans="1:48" x14ac:dyDescent="0.3">
      <c r="A312" s="85" t="str">
        <f>_xlfn.XLOOKUP(B312,'Country codes &amp; Data sources'!G:G,'Country codes &amp; Data sources'!H:H,,0)</f>
        <v>Ghana</v>
      </c>
      <c r="B312" s="85" t="s">
        <v>172</v>
      </c>
      <c r="C312" s="86">
        <v>26858773</v>
      </c>
      <c r="D312" s="85" t="s">
        <v>133</v>
      </c>
      <c r="E312" s="87">
        <v>0</v>
      </c>
      <c r="F312" s="88">
        <v>27525596.999999989</v>
      </c>
      <c r="G312" s="87">
        <v>0</v>
      </c>
      <c r="I312" s="87">
        <v>0</v>
      </c>
      <c r="K312" s="87">
        <v>0</v>
      </c>
      <c r="M312" s="87">
        <v>0</v>
      </c>
      <c r="O312" s="87">
        <v>0</v>
      </c>
      <c r="P312" s="88">
        <v>30870640.5</v>
      </c>
      <c r="Q312" s="87">
        <v>1563</v>
      </c>
      <c r="R312" s="87">
        <f t="shared" si="112"/>
        <v>1563</v>
      </c>
      <c r="T312" s="87">
        <v>0</v>
      </c>
      <c r="V312" s="87">
        <v>0</v>
      </c>
      <c r="X312" s="87">
        <v>1759</v>
      </c>
      <c r="Y312" s="88">
        <v>33475870.500000011</v>
      </c>
      <c r="Z312" s="103">
        <v>4227</v>
      </c>
      <c r="AA312" s="87">
        <v>398</v>
      </c>
      <c r="AB312" s="89">
        <f t="shared" si="113"/>
        <v>0</v>
      </c>
      <c r="AC312" s="89">
        <f t="shared" si="114"/>
        <v>1563</v>
      </c>
      <c r="AD312" s="89">
        <f t="shared" si="115"/>
        <v>4227</v>
      </c>
      <c r="AF312" s="90" t="str">
        <f t="shared" si="117"/>
        <v/>
      </c>
      <c r="AG312" s="90">
        <f t="shared" si="118"/>
        <v>1563</v>
      </c>
      <c r="AH312" s="90">
        <f t="shared" si="119"/>
        <v>2018</v>
      </c>
      <c r="AI312" s="90">
        <f t="shared" si="120"/>
        <v>4227</v>
      </c>
      <c r="AJ312" s="90">
        <f t="shared" si="121"/>
        <v>2022</v>
      </c>
      <c r="AK312" s="90" t="str">
        <f t="shared" si="122"/>
        <v/>
      </c>
      <c r="AL312" s="91">
        <f>IF(AK312="Adjust",(_xlfn.XLOOKUP(A312,'Adj factor'!A:A,'Adj factor'!I:I,,0)*AI312),'Master DataSheet (Rev)'!AI312)</f>
        <v>4227</v>
      </c>
      <c r="AM312" s="91">
        <f t="shared" si="123"/>
        <v>4227</v>
      </c>
      <c r="AN312" s="92" t="str">
        <f t="shared" si="124"/>
        <v>Increasing</v>
      </c>
      <c r="AO312" s="93">
        <f>VLOOKUP(B312,'Growthrates source'!A$2:H$49,8,FALSE)</f>
        <v>2.6327637949120408E-2</v>
      </c>
      <c r="AP312" s="93">
        <f>VLOOKUP(B312,'Growthrates source'!A$2:I$49,9,FALSE)</f>
        <v>6.0316928868946684E-2</v>
      </c>
      <c r="AQ312" s="86">
        <f t="shared" si="125"/>
        <v>348.90993239843067</v>
      </c>
      <c r="AR312" s="86">
        <f t="shared" si="126"/>
        <v>476.9457686614835</v>
      </c>
      <c r="AS312" s="94">
        <f t="shared" si="127"/>
        <v>0</v>
      </c>
      <c r="AT312" s="94">
        <f t="shared" si="128"/>
        <v>0.50630630744444705</v>
      </c>
      <c r="AU312" s="94">
        <f t="shared" si="109"/>
        <v>1.2627005472493982</v>
      </c>
      <c r="AV312" s="94">
        <f t="shared" si="110"/>
        <v>1.2627005472493982</v>
      </c>
    </row>
    <row r="313" spans="1:48" x14ac:dyDescent="0.3">
      <c r="A313" s="85" t="str">
        <f>_xlfn.XLOOKUP(B313,'Country codes &amp; Data sources'!G:G,'Country codes &amp; Data sources'!H:H,,0)</f>
        <v>Ghana</v>
      </c>
      <c r="B313" s="85" t="s">
        <v>172</v>
      </c>
      <c r="C313" s="86">
        <v>26858774</v>
      </c>
      <c r="D313" s="85" t="s">
        <v>206</v>
      </c>
      <c r="E313" s="87">
        <v>0</v>
      </c>
      <c r="F313" s="88">
        <v>27525596.999999989</v>
      </c>
      <c r="G313" s="87">
        <v>0</v>
      </c>
      <c r="I313" s="87">
        <v>0</v>
      </c>
      <c r="K313" s="87">
        <v>0</v>
      </c>
      <c r="M313" s="87">
        <v>0</v>
      </c>
      <c r="O313" s="87">
        <v>240</v>
      </c>
      <c r="P313" s="88">
        <v>30870640.5</v>
      </c>
      <c r="Q313" s="87">
        <v>0</v>
      </c>
      <c r="R313" s="87">
        <f t="shared" si="112"/>
        <v>1671</v>
      </c>
      <c r="T313" s="87">
        <v>0</v>
      </c>
      <c r="V313" s="87">
        <v>0</v>
      </c>
      <c r="X313" s="87">
        <v>2352</v>
      </c>
      <c r="Y313" s="88">
        <v>33475870.500000011</v>
      </c>
      <c r="Z313" s="87">
        <v>2471</v>
      </c>
      <c r="AA313" s="87">
        <v>1671</v>
      </c>
      <c r="AB313" s="89">
        <f t="shared" si="113"/>
        <v>0</v>
      </c>
      <c r="AC313" s="89">
        <f t="shared" si="114"/>
        <v>240</v>
      </c>
      <c r="AD313" s="89">
        <f t="shared" si="115"/>
        <v>2471</v>
      </c>
      <c r="AF313" s="90" t="str">
        <f t="shared" si="117"/>
        <v/>
      </c>
      <c r="AG313" s="90">
        <f t="shared" si="118"/>
        <v>1671</v>
      </c>
      <c r="AH313" s="90" t="str">
        <f t="shared" si="119"/>
        <v>2018 (triag)</v>
      </c>
      <c r="AI313" s="90">
        <f t="shared" si="120"/>
        <v>2471</v>
      </c>
      <c r="AJ313" s="90">
        <f t="shared" si="121"/>
        <v>2022</v>
      </c>
      <c r="AK313" s="90" t="str">
        <f t="shared" si="122"/>
        <v/>
      </c>
      <c r="AL313" s="91">
        <f>IF(AK313="Adjust",(_xlfn.XLOOKUP(A313,'Adj factor'!A:A,'Adj factor'!I:I,,0)*AI313),'Master DataSheet (Rev)'!AI313)</f>
        <v>2471</v>
      </c>
      <c r="AM313" s="91">
        <f t="shared" si="123"/>
        <v>2471</v>
      </c>
      <c r="AN313" s="92" t="str">
        <f t="shared" si="124"/>
        <v>Increasing</v>
      </c>
      <c r="AO313" s="93">
        <f>VLOOKUP(B313,'Growthrates source'!A$2:H$49,8,FALSE)</f>
        <v>2.6327637949120408E-2</v>
      </c>
      <c r="AP313" s="93">
        <f>VLOOKUP(B313,'Growthrates source'!A$2:I$49,9,FALSE)</f>
        <v>6.0316928868946684E-2</v>
      </c>
      <c r="AQ313" s="86">
        <f t="shared" si="125"/>
        <v>1464.8957212004464</v>
      </c>
      <c r="AR313" s="86">
        <f t="shared" si="126"/>
        <v>2002.4532146566305</v>
      </c>
      <c r="AS313" s="94">
        <f t="shared" si="127"/>
        <v>0</v>
      </c>
      <c r="AT313" s="94">
        <f t="shared" si="128"/>
        <v>0.5412910043120096</v>
      </c>
      <c r="AU313" s="94">
        <f t="shared" si="109"/>
        <v>0.73814361302419285</v>
      </c>
      <c r="AV313" s="94">
        <f t="shared" si="110"/>
        <v>0.73814361302419285</v>
      </c>
    </row>
    <row r="314" spans="1:48" x14ac:dyDescent="0.3">
      <c r="A314" s="85" t="str">
        <f>_xlfn.XLOOKUP(B314,'Country codes &amp; Data sources'!G:G,'Country codes &amp; Data sources'!H:H,,0)</f>
        <v>Ghana</v>
      </c>
      <c r="B314" s="85" t="s">
        <v>172</v>
      </c>
      <c r="C314" s="86">
        <v>26858775</v>
      </c>
      <c r="D314" s="85" t="s">
        <v>136</v>
      </c>
      <c r="E314" s="87">
        <v>0</v>
      </c>
      <c r="F314" s="88">
        <v>27525596.999999989</v>
      </c>
      <c r="G314" s="87">
        <v>0</v>
      </c>
      <c r="I314" s="87">
        <v>0</v>
      </c>
      <c r="K314" s="87">
        <v>0</v>
      </c>
      <c r="M314" s="87">
        <v>0</v>
      </c>
      <c r="O314" s="87">
        <v>0</v>
      </c>
      <c r="P314" s="88">
        <v>30870640.5</v>
      </c>
      <c r="Q314" s="87">
        <v>0</v>
      </c>
      <c r="R314" s="87">
        <f t="shared" si="112"/>
        <v>1476</v>
      </c>
      <c r="T314" s="87">
        <v>0</v>
      </c>
      <c r="V314" s="87">
        <v>0</v>
      </c>
      <c r="X314" s="87">
        <v>1673</v>
      </c>
      <c r="Y314" s="88">
        <v>33475870.500000011</v>
      </c>
      <c r="Z314" s="87">
        <v>2703</v>
      </c>
      <c r="AA314" s="87">
        <v>1476</v>
      </c>
      <c r="AB314" s="89">
        <f t="shared" si="113"/>
        <v>0</v>
      </c>
      <c r="AC314" s="89">
        <f t="shared" si="114"/>
        <v>0</v>
      </c>
      <c r="AD314" s="89">
        <f t="shared" si="115"/>
        <v>2703</v>
      </c>
      <c r="AF314" s="90" t="str">
        <f t="shared" si="117"/>
        <v/>
      </c>
      <c r="AG314" s="90">
        <f t="shared" si="118"/>
        <v>1476</v>
      </c>
      <c r="AH314" s="90" t="str">
        <f t="shared" si="119"/>
        <v>2018 (triag)</v>
      </c>
      <c r="AI314" s="90">
        <f t="shared" si="120"/>
        <v>2703</v>
      </c>
      <c r="AJ314" s="90">
        <f t="shared" si="121"/>
        <v>2022</v>
      </c>
      <c r="AK314" s="90" t="str">
        <f t="shared" si="122"/>
        <v/>
      </c>
      <c r="AL314" s="91">
        <f>IF(AK314="Adjust",(_xlfn.XLOOKUP(A314,'Adj factor'!A:A,'Adj factor'!I:I,,0)*AI314),'Master DataSheet (Rev)'!AI314)</f>
        <v>2703</v>
      </c>
      <c r="AM314" s="91">
        <f t="shared" si="123"/>
        <v>2703</v>
      </c>
      <c r="AN314" s="92" t="str">
        <f t="shared" si="124"/>
        <v>Increasing</v>
      </c>
      <c r="AO314" s="93">
        <f>VLOOKUP(B314,'Growthrates source'!A$2:H$49,8,FALSE)</f>
        <v>2.6327637949120408E-2</v>
      </c>
      <c r="AP314" s="93">
        <f>VLOOKUP(B314,'Growthrates source'!A$2:I$49,9,FALSE)</f>
        <v>6.0316928868946684E-2</v>
      </c>
      <c r="AQ314" s="86">
        <f t="shared" si="125"/>
        <v>1293.9473874876473</v>
      </c>
      <c r="AR314" s="86">
        <f t="shared" si="126"/>
        <v>1768.7737551365569</v>
      </c>
      <c r="AS314" s="94">
        <f t="shared" si="127"/>
        <v>0</v>
      </c>
      <c r="AT314" s="94">
        <f t="shared" si="128"/>
        <v>0.47812419052335503</v>
      </c>
      <c r="AU314" s="94">
        <f t="shared" si="109"/>
        <v>0.80744726264847966</v>
      </c>
      <c r="AV314" s="94">
        <f t="shared" si="110"/>
        <v>0.80744726264847966</v>
      </c>
    </row>
    <row r="315" spans="1:48" x14ac:dyDescent="0.3">
      <c r="A315" s="85" t="str">
        <f>_xlfn.XLOOKUP(B315,'Country codes &amp; Data sources'!G:G,'Country codes &amp; Data sources'!H:H,,0)</f>
        <v>Ghana</v>
      </c>
      <c r="B315" s="85" t="s">
        <v>172</v>
      </c>
      <c r="C315" s="86">
        <v>26858776</v>
      </c>
      <c r="D315" s="85" t="s">
        <v>207</v>
      </c>
      <c r="E315" s="87">
        <v>0</v>
      </c>
      <c r="F315" s="88">
        <v>27525596.999999989</v>
      </c>
      <c r="G315" s="87">
        <v>0</v>
      </c>
      <c r="I315" s="87">
        <v>0</v>
      </c>
      <c r="K315" s="87">
        <v>0</v>
      </c>
      <c r="M315" s="87">
        <v>0</v>
      </c>
      <c r="O315" s="87">
        <v>0</v>
      </c>
      <c r="P315" s="88">
        <v>30870640.5</v>
      </c>
      <c r="Q315" s="87">
        <v>0</v>
      </c>
      <c r="R315" s="87">
        <f t="shared" si="112"/>
        <v>3883</v>
      </c>
      <c r="T315" s="87">
        <v>0</v>
      </c>
      <c r="V315" s="87">
        <v>0</v>
      </c>
      <c r="X315" s="87">
        <v>3238</v>
      </c>
      <c r="Y315" s="88">
        <v>33475870.500000011</v>
      </c>
      <c r="Z315" s="87">
        <v>3555</v>
      </c>
      <c r="AA315" s="87">
        <v>3883</v>
      </c>
      <c r="AB315" s="89">
        <f t="shared" si="113"/>
        <v>0</v>
      </c>
      <c r="AC315" s="89">
        <f t="shared" si="114"/>
        <v>0</v>
      </c>
      <c r="AD315" s="89">
        <f t="shared" si="115"/>
        <v>3555</v>
      </c>
      <c r="AF315" s="90" t="str">
        <f t="shared" si="117"/>
        <v/>
      </c>
      <c r="AG315" s="90">
        <f t="shared" si="118"/>
        <v>3883</v>
      </c>
      <c r="AH315" s="90" t="str">
        <f t="shared" si="119"/>
        <v>2018 (triag)</v>
      </c>
      <c r="AI315" s="90">
        <f t="shared" si="120"/>
        <v>3555</v>
      </c>
      <c r="AJ315" s="90">
        <f t="shared" si="121"/>
        <v>2022</v>
      </c>
      <c r="AK315" s="90" t="str">
        <f t="shared" si="122"/>
        <v>Adjust</v>
      </c>
      <c r="AL315" s="91">
        <f>IF(AK315="Adjust",(_xlfn.XLOOKUP(A315,'Adj factor'!A:A,'Adj factor'!I:I,,0)*AI315),'Master DataSheet (Rev)'!AI315)</f>
        <v>4289.2300074478444</v>
      </c>
      <c r="AM315" s="91">
        <f t="shared" si="123"/>
        <v>4289.2300074478444</v>
      </c>
      <c r="AN315" s="92" t="str">
        <f t="shared" si="124"/>
        <v>Increasing</v>
      </c>
      <c r="AO315" s="93">
        <f>VLOOKUP(B315,'Growthrates source'!A$2:H$49,8,FALSE)</f>
        <v>2.6327637949120408E-2</v>
      </c>
      <c r="AP315" s="93">
        <f>VLOOKUP(B315,'Growthrates source'!A$2:I$49,9,FALSE)</f>
        <v>6.0316928868946684E-2</v>
      </c>
      <c r="AQ315" s="86">
        <f t="shared" si="125"/>
        <v>3404.0634861887092</v>
      </c>
      <c r="AR315" s="86">
        <f t="shared" si="126"/>
        <v>4653.2171349561322</v>
      </c>
      <c r="AS315" s="94">
        <f t="shared" si="127"/>
        <v>0</v>
      </c>
      <c r="AT315" s="94">
        <f t="shared" si="128"/>
        <v>1.2578294253402356</v>
      </c>
      <c r="AU315" s="94">
        <f t="shared" si="109"/>
        <v>1.2812900585954421</v>
      </c>
      <c r="AV315" s="94">
        <f t="shared" si="110"/>
        <v>1.2812900585954421</v>
      </c>
    </row>
    <row r="316" spans="1:48" x14ac:dyDescent="0.3">
      <c r="A316" s="85" t="str">
        <f>_xlfn.XLOOKUP(B316,'Country codes &amp; Data sources'!G:G,'Country codes &amp; Data sources'!H:H,,0)</f>
        <v>Ghana</v>
      </c>
      <c r="B316" s="85" t="s">
        <v>172</v>
      </c>
      <c r="C316" s="86">
        <v>26858777</v>
      </c>
      <c r="D316" s="85" t="s">
        <v>141</v>
      </c>
      <c r="E316" s="87">
        <v>0</v>
      </c>
      <c r="F316" s="88">
        <v>27525596.999999989</v>
      </c>
      <c r="G316" s="87">
        <v>0</v>
      </c>
      <c r="I316" s="87">
        <v>0</v>
      </c>
      <c r="K316" s="87">
        <v>0</v>
      </c>
      <c r="M316" s="87">
        <v>0</v>
      </c>
      <c r="O316" s="87">
        <v>133</v>
      </c>
      <c r="P316" s="88">
        <v>30870640.5</v>
      </c>
      <c r="Q316" s="87">
        <v>0</v>
      </c>
      <c r="R316" s="87">
        <f t="shared" si="112"/>
        <v>143</v>
      </c>
      <c r="T316" s="87">
        <v>0</v>
      </c>
      <c r="V316" s="87">
        <v>0</v>
      </c>
      <c r="X316" s="87">
        <v>235</v>
      </c>
      <c r="Y316" s="88">
        <v>33475870.500000011</v>
      </c>
      <c r="Z316" s="87">
        <v>309</v>
      </c>
      <c r="AA316" s="87">
        <v>143</v>
      </c>
      <c r="AB316" s="89">
        <f t="shared" si="113"/>
        <v>0</v>
      </c>
      <c r="AC316" s="89">
        <f t="shared" si="114"/>
        <v>133</v>
      </c>
      <c r="AD316" s="89">
        <f t="shared" si="115"/>
        <v>309</v>
      </c>
      <c r="AF316" s="90" t="str">
        <f t="shared" si="117"/>
        <v/>
      </c>
      <c r="AG316" s="90">
        <f t="shared" si="118"/>
        <v>143</v>
      </c>
      <c r="AH316" s="90" t="str">
        <f t="shared" si="119"/>
        <v>2018 (triag)</v>
      </c>
      <c r="AI316" s="90">
        <f t="shared" si="120"/>
        <v>309</v>
      </c>
      <c r="AJ316" s="90">
        <f t="shared" si="121"/>
        <v>2022</v>
      </c>
      <c r="AK316" s="90" t="str">
        <f t="shared" si="122"/>
        <v/>
      </c>
      <c r="AL316" s="91">
        <f>IF(AK316="Adjust",(_xlfn.XLOOKUP(A316,'Adj factor'!A:A,'Adj factor'!I:I,,0)*AI316),'Master DataSheet (Rev)'!AI316)</f>
        <v>309</v>
      </c>
      <c r="AM316" s="91">
        <f t="shared" si="123"/>
        <v>309</v>
      </c>
      <c r="AN316" s="92" t="str">
        <f t="shared" si="124"/>
        <v>Increasing</v>
      </c>
      <c r="AO316" s="93">
        <f>VLOOKUP(B316,'Growthrates source'!A$2:H$49,8,FALSE)</f>
        <v>2.6327637949120408E-2</v>
      </c>
      <c r="AP316" s="93">
        <f>VLOOKUP(B316,'Growthrates source'!A$2:I$49,9,FALSE)</f>
        <v>6.0316928868946684E-2</v>
      </c>
      <c r="AQ316" s="86">
        <f t="shared" si="125"/>
        <v>125.36211138938589</v>
      </c>
      <c r="AR316" s="86">
        <f t="shared" si="126"/>
        <v>171.3649369813873</v>
      </c>
      <c r="AS316" s="94">
        <f t="shared" si="127"/>
        <v>0</v>
      </c>
      <c r="AT316" s="94">
        <f t="shared" si="128"/>
        <v>4.6322330111680063E-2</v>
      </c>
      <c r="AU316" s="94">
        <f t="shared" si="109"/>
        <v>9.2305291956485458E-2</v>
      </c>
      <c r="AV316" s="94">
        <f t="shared" si="110"/>
        <v>9.2305291956485458E-2</v>
      </c>
    </row>
    <row r="317" spans="1:48" x14ac:dyDescent="0.3">
      <c r="A317" s="85" t="str">
        <f>_xlfn.XLOOKUP(B317,'Country codes &amp; Data sources'!G:G,'Country codes &amp; Data sources'!H:H,,0)</f>
        <v>Ghana</v>
      </c>
      <c r="B317" s="85" t="s">
        <v>172</v>
      </c>
      <c r="C317" s="86">
        <v>26858778</v>
      </c>
      <c r="D317" s="85" t="s">
        <v>208</v>
      </c>
      <c r="E317" s="87">
        <v>0</v>
      </c>
      <c r="F317" s="88">
        <v>27525596.999999989</v>
      </c>
      <c r="G317" s="87">
        <v>0</v>
      </c>
      <c r="I317" s="87">
        <v>0</v>
      </c>
      <c r="K317" s="87">
        <v>0</v>
      </c>
      <c r="M317" s="87">
        <v>0</v>
      </c>
      <c r="O317" s="87">
        <v>0</v>
      </c>
      <c r="P317" s="88">
        <v>30870640.5</v>
      </c>
      <c r="Q317" s="87">
        <v>0</v>
      </c>
      <c r="R317" s="87">
        <f t="shared" si="112"/>
        <v>23627</v>
      </c>
      <c r="T317" s="87">
        <v>0</v>
      </c>
      <c r="V317" s="87">
        <v>0</v>
      </c>
      <c r="X317" s="87">
        <v>0</v>
      </c>
      <c r="Y317" s="88">
        <v>33475870.500000011</v>
      </c>
      <c r="Z317" s="87">
        <v>0</v>
      </c>
      <c r="AA317" s="87">
        <v>23627</v>
      </c>
      <c r="AB317" s="89">
        <f t="shared" si="113"/>
        <v>0</v>
      </c>
      <c r="AC317" s="89">
        <f t="shared" si="114"/>
        <v>0</v>
      </c>
      <c r="AD317" s="89">
        <f t="shared" si="115"/>
        <v>0</v>
      </c>
      <c r="AF317" s="90" t="str">
        <f t="shared" si="117"/>
        <v/>
      </c>
      <c r="AG317" s="90">
        <f t="shared" si="118"/>
        <v>23627</v>
      </c>
      <c r="AH317" s="90" t="str">
        <f t="shared" si="119"/>
        <v>2018 (triag)</v>
      </c>
      <c r="AI317" s="90">
        <f t="shared" si="120"/>
        <v>23627</v>
      </c>
      <c r="AJ317" s="90" t="str">
        <f t="shared" si="121"/>
        <v>2018 (triag)</v>
      </c>
      <c r="AK317" s="90" t="str">
        <f t="shared" si="122"/>
        <v/>
      </c>
      <c r="AL317" s="91">
        <f>IF(AK317="Adjust",(_xlfn.XLOOKUP(A317,'Adj factor'!A:A,'Adj factor'!I:I,,0)*AI317),'Master DataSheet (Rev)'!AI317)</f>
        <v>23627</v>
      </c>
      <c r="AM317" s="91">
        <f t="shared" si="123"/>
        <v>23627</v>
      </c>
      <c r="AN317" s="92" t="str">
        <f t="shared" si="124"/>
        <v>No change</v>
      </c>
      <c r="AO317" s="93">
        <f>VLOOKUP(B317,'Growthrates source'!A$2:H$49,8,FALSE)</f>
        <v>2.6327637949120408E-2</v>
      </c>
      <c r="AP317" s="93">
        <f>VLOOKUP(B317,'Growthrates source'!A$2:I$49,9,FALSE)</f>
        <v>6.0316928868946684E-2</v>
      </c>
      <c r="AQ317" s="86">
        <f t="shared" si="125"/>
        <v>20712.801439140003</v>
      </c>
      <c r="AR317" s="86">
        <f t="shared" si="126"/>
        <v>28313.562000414247</v>
      </c>
      <c r="AS317" s="94">
        <f t="shared" si="127"/>
        <v>0</v>
      </c>
      <c r="AT317" s="94">
        <f t="shared" si="128"/>
        <v>7.6535503045361173</v>
      </c>
      <c r="AU317" s="94">
        <f t="shared" si="109"/>
        <v>7.0579195244526929</v>
      </c>
      <c r="AV317" s="94">
        <f t="shared" si="110"/>
        <v>7.0579195244526929</v>
      </c>
    </row>
    <row r="318" spans="1:48" x14ac:dyDescent="0.3">
      <c r="A318" s="85" t="str">
        <f>_xlfn.XLOOKUP(B318,'Country codes &amp; Data sources'!G:G,'Country codes &amp; Data sources'!H:H,,0)</f>
        <v>Ghana</v>
      </c>
      <c r="B318" s="85" t="s">
        <v>172</v>
      </c>
      <c r="C318" s="86">
        <v>26858779</v>
      </c>
      <c r="D318" s="85" t="s">
        <v>209</v>
      </c>
      <c r="E318" s="87">
        <v>0</v>
      </c>
      <c r="F318" s="88">
        <v>27525596.999999989</v>
      </c>
      <c r="G318" s="87">
        <v>0</v>
      </c>
      <c r="I318" s="87">
        <v>0</v>
      </c>
      <c r="K318" s="87">
        <v>0</v>
      </c>
      <c r="M318" s="87">
        <v>0</v>
      </c>
      <c r="O318" s="87">
        <v>0</v>
      </c>
      <c r="P318" s="88">
        <v>30870640.5</v>
      </c>
      <c r="Q318" s="87">
        <v>0</v>
      </c>
      <c r="R318" s="87">
        <f t="shared" si="112"/>
        <v>1877</v>
      </c>
      <c r="T318" s="87">
        <v>0</v>
      </c>
      <c r="V318" s="87">
        <v>0</v>
      </c>
      <c r="X318" s="87">
        <v>0</v>
      </c>
      <c r="Y318" s="88">
        <v>33475870.500000011</v>
      </c>
      <c r="Z318" s="87">
        <v>0</v>
      </c>
      <c r="AA318" s="87">
        <v>1877</v>
      </c>
      <c r="AB318" s="89">
        <f t="shared" si="113"/>
        <v>0</v>
      </c>
      <c r="AC318" s="89">
        <f t="shared" si="114"/>
        <v>0</v>
      </c>
      <c r="AD318" s="89">
        <f t="shared" si="115"/>
        <v>0</v>
      </c>
      <c r="AF318" s="90" t="str">
        <f t="shared" si="117"/>
        <v/>
      </c>
      <c r="AG318" s="90">
        <f t="shared" si="118"/>
        <v>1877</v>
      </c>
      <c r="AH318" s="90" t="str">
        <f t="shared" si="119"/>
        <v>2018 (triag)</v>
      </c>
      <c r="AI318" s="90">
        <f t="shared" si="120"/>
        <v>1877</v>
      </c>
      <c r="AJ318" s="90" t="str">
        <f t="shared" si="121"/>
        <v>2018 (triag)</v>
      </c>
      <c r="AK318" s="90" t="str">
        <f t="shared" si="122"/>
        <v/>
      </c>
      <c r="AL318" s="91">
        <f>IF(AK318="Adjust",(_xlfn.XLOOKUP(A318,'Adj factor'!A:A,'Adj factor'!I:I,,0)*AI318),'Master DataSheet (Rev)'!AI318)</f>
        <v>1877</v>
      </c>
      <c r="AM318" s="91">
        <f t="shared" si="123"/>
        <v>1877</v>
      </c>
      <c r="AN318" s="92" t="str">
        <f t="shared" si="124"/>
        <v>No change</v>
      </c>
      <c r="AO318" s="93">
        <f>VLOOKUP(B318,'Growthrates source'!A$2:H$49,8,FALSE)</f>
        <v>2.6327637949120408E-2</v>
      </c>
      <c r="AP318" s="93">
        <f>VLOOKUP(B318,'Growthrates source'!A$2:I$49,9,FALSE)</f>
        <v>6.0316928868946684E-2</v>
      </c>
      <c r="AQ318" s="86">
        <f t="shared" si="125"/>
        <v>1645.4872942508903</v>
      </c>
      <c r="AR318" s="86">
        <f t="shared" si="126"/>
        <v>2249.3145924060418</v>
      </c>
      <c r="AS318" s="94">
        <f t="shared" si="127"/>
        <v>0</v>
      </c>
      <c r="AT318" s="94">
        <f t="shared" si="128"/>
        <v>0.60802107426310126</v>
      </c>
      <c r="AU318" s="94">
        <f t="shared" si="109"/>
        <v>0.56070237217580332</v>
      </c>
      <c r="AV318" s="94">
        <f t="shared" si="110"/>
        <v>0.56070237217580332</v>
      </c>
    </row>
    <row r="319" spans="1:48" x14ac:dyDescent="0.3">
      <c r="A319" s="85" t="str">
        <f>_xlfn.XLOOKUP(B319,'Country codes &amp; Data sources'!G:G,'Country codes &amp; Data sources'!H:H,,0)</f>
        <v>Ghana</v>
      </c>
      <c r="B319" s="85" t="s">
        <v>172</v>
      </c>
      <c r="C319" s="86">
        <v>26858780</v>
      </c>
      <c r="D319" s="85" t="s">
        <v>134</v>
      </c>
      <c r="E319" s="87">
        <v>0</v>
      </c>
      <c r="F319" s="88">
        <v>27525596.999999989</v>
      </c>
      <c r="G319" s="87">
        <v>3987</v>
      </c>
      <c r="I319" s="87">
        <v>0</v>
      </c>
      <c r="K319" s="87">
        <v>0</v>
      </c>
      <c r="M319" s="87">
        <v>0</v>
      </c>
      <c r="O319" s="87">
        <v>0</v>
      </c>
      <c r="P319" s="88">
        <v>30870640.5</v>
      </c>
      <c r="Q319" s="87">
        <v>0</v>
      </c>
      <c r="R319" s="87">
        <f t="shared" si="112"/>
        <v>1563</v>
      </c>
      <c r="T319" s="87">
        <v>0</v>
      </c>
      <c r="V319" s="87">
        <v>0</v>
      </c>
      <c r="X319" s="87">
        <v>6276</v>
      </c>
      <c r="Y319" s="88">
        <v>33475870.500000011</v>
      </c>
      <c r="Z319" s="103">
        <v>3748</v>
      </c>
      <c r="AA319" s="87">
        <v>1563</v>
      </c>
      <c r="AB319" s="89">
        <f t="shared" si="113"/>
        <v>3987</v>
      </c>
      <c r="AC319" s="89">
        <f t="shared" si="114"/>
        <v>0</v>
      </c>
      <c r="AD319" s="89">
        <f t="shared" si="115"/>
        <v>6276</v>
      </c>
      <c r="AE319" s="90">
        <f t="shared" si="116"/>
        <v>3987</v>
      </c>
      <c r="AF319" s="90">
        <f t="shared" si="117"/>
        <v>2013</v>
      </c>
      <c r="AG319" s="90">
        <f t="shared" si="118"/>
        <v>1563</v>
      </c>
      <c r="AH319" s="90" t="str">
        <f t="shared" si="119"/>
        <v>2018 (triag)</v>
      </c>
      <c r="AI319" s="90">
        <f t="shared" si="120"/>
        <v>3748</v>
      </c>
      <c r="AJ319" s="90">
        <f t="shared" si="121"/>
        <v>2022</v>
      </c>
      <c r="AK319" s="90" t="str">
        <f t="shared" si="122"/>
        <v/>
      </c>
      <c r="AL319" s="91">
        <f>IF(AK319="Adjust",(_xlfn.XLOOKUP(A319,'Adj factor'!A:A,'Adj factor'!I:I,,0)*AI319),'Master DataSheet (Rev)'!AI319)</f>
        <v>3748</v>
      </c>
      <c r="AM319" s="91">
        <f t="shared" si="123"/>
        <v>3748</v>
      </c>
      <c r="AN319" s="92" t="str">
        <f t="shared" si="124"/>
        <v>Increasing</v>
      </c>
      <c r="AO319" s="93">
        <f>VLOOKUP(B319,'Growthrates source'!A$2:H$49,8,FALSE)</f>
        <v>2.6327637949120408E-2</v>
      </c>
      <c r="AP319" s="93">
        <f>VLOOKUP(B319,'Growthrates source'!A$2:I$49,9,FALSE)</f>
        <v>6.0316928868946684E-2</v>
      </c>
      <c r="AQ319" s="86">
        <f t="shared" si="125"/>
        <v>1370.2166440672038</v>
      </c>
      <c r="AR319" s="86">
        <f t="shared" si="126"/>
        <v>1873.0307447685898</v>
      </c>
      <c r="AS319" s="94">
        <f t="shared" si="127"/>
        <v>1.4484699459924526</v>
      </c>
      <c r="AT319" s="94">
        <f t="shared" si="128"/>
        <v>0.50630630744444705</v>
      </c>
      <c r="AU319" s="94">
        <f t="shared" si="109"/>
        <v>1.1196124085854613</v>
      </c>
      <c r="AV319" s="94">
        <f t="shared" si="110"/>
        <v>1.1196124085854613</v>
      </c>
    </row>
    <row r="320" spans="1:48" x14ac:dyDescent="0.3">
      <c r="A320" s="85" t="str">
        <f>_xlfn.XLOOKUP(B320,'Country codes &amp; Data sources'!G:G,'Country codes &amp; Data sources'!H:H,,0)</f>
        <v>Ghana</v>
      </c>
      <c r="B320" s="85" t="s">
        <v>172</v>
      </c>
      <c r="C320" s="86">
        <v>26858781</v>
      </c>
      <c r="D320" s="85" t="s">
        <v>142</v>
      </c>
      <c r="E320" s="87">
        <v>0</v>
      </c>
      <c r="F320" s="88">
        <v>27525596.999999989</v>
      </c>
      <c r="G320" s="87">
        <v>0</v>
      </c>
      <c r="I320" s="87">
        <v>0</v>
      </c>
      <c r="K320" s="87">
        <v>0</v>
      </c>
      <c r="M320" s="87">
        <v>0</v>
      </c>
      <c r="O320" s="87">
        <v>0</v>
      </c>
      <c r="P320" s="88">
        <v>30870640.5</v>
      </c>
      <c r="Q320" s="87">
        <v>0</v>
      </c>
      <c r="R320" s="87">
        <f t="shared" si="112"/>
        <v>2116</v>
      </c>
      <c r="T320" s="87">
        <v>0</v>
      </c>
      <c r="V320" s="87">
        <v>0</v>
      </c>
      <c r="X320" s="87">
        <v>0</v>
      </c>
      <c r="Y320" s="88">
        <v>33475870.500000011</v>
      </c>
      <c r="Z320" s="103">
        <v>2656</v>
      </c>
      <c r="AA320" s="87">
        <v>2116</v>
      </c>
      <c r="AB320" s="89">
        <f t="shared" si="113"/>
        <v>0</v>
      </c>
      <c r="AC320" s="89">
        <f t="shared" si="114"/>
        <v>0</v>
      </c>
      <c r="AD320" s="89">
        <f t="shared" si="115"/>
        <v>2656</v>
      </c>
      <c r="AF320" s="90" t="str">
        <f t="shared" si="117"/>
        <v/>
      </c>
      <c r="AG320" s="90">
        <f t="shared" si="118"/>
        <v>2116</v>
      </c>
      <c r="AH320" s="90" t="str">
        <f t="shared" si="119"/>
        <v>2018 (triag)</v>
      </c>
      <c r="AI320" s="90">
        <f t="shared" si="120"/>
        <v>2656</v>
      </c>
      <c r="AJ320" s="90">
        <f t="shared" si="121"/>
        <v>2022</v>
      </c>
      <c r="AK320" s="90" t="str">
        <f t="shared" si="122"/>
        <v/>
      </c>
      <c r="AL320" s="91">
        <f>IF(AK320="Adjust",(_xlfn.XLOOKUP(A320,'Adj factor'!A:A,'Adj factor'!I:I,,0)*AI320),'Master DataSheet (Rev)'!AI320)</f>
        <v>2656</v>
      </c>
      <c r="AM320" s="91">
        <f t="shared" si="123"/>
        <v>2656</v>
      </c>
      <c r="AN320" s="92" t="str">
        <f t="shared" si="124"/>
        <v>Increasing</v>
      </c>
      <c r="AO320" s="93">
        <f>VLOOKUP(B320,'Growthrates source'!A$2:H$49,8,FALSE)</f>
        <v>2.6327637949120408E-2</v>
      </c>
      <c r="AP320" s="93">
        <f>VLOOKUP(B320,'Growthrates source'!A$2:I$49,9,FALSE)</f>
        <v>6.0316928868946684E-2</v>
      </c>
      <c r="AQ320" s="86">
        <f t="shared" si="125"/>
        <v>1855.0085853142696</v>
      </c>
      <c r="AR320" s="86">
        <f t="shared" si="126"/>
        <v>2535.7217248434649</v>
      </c>
      <c r="AS320" s="94">
        <f t="shared" si="127"/>
        <v>0</v>
      </c>
      <c r="AT320" s="94">
        <f t="shared" si="128"/>
        <v>0.68544091270150354</v>
      </c>
      <c r="AU320" s="94">
        <f t="shared" si="109"/>
        <v>0.79340729914700769</v>
      </c>
      <c r="AV320" s="94">
        <f t="shared" si="110"/>
        <v>0.79340729914700769</v>
      </c>
    </row>
    <row r="321" spans="1:48" x14ac:dyDescent="0.3">
      <c r="A321" s="85" t="str">
        <f>_xlfn.XLOOKUP(B321,'Country codes &amp; Data sources'!G:G,'Country codes &amp; Data sources'!H:H,,0)</f>
        <v>Ghana</v>
      </c>
      <c r="B321" s="85" t="s">
        <v>172</v>
      </c>
      <c r="C321" s="86">
        <v>26858782</v>
      </c>
      <c r="D321" s="85" t="s">
        <v>83</v>
      </c>
      <c r="E321" s="87">
        <v>0</v>
      </c>
      <c r="F321" s="88">
        <v>27525596.999999989</v>
      </c>
      <c r="G321" s="87">
        <v>0</v>
      </c>
      <c r="I321" s="87">
        <v>0</v>
      </c>
      <c r="K321" s="87">
        <v>0</v>
      </c>
      <c r="M321" s="87">
        <v>0</v>
      </c>
      <c r="O321" s="87">
        <v>324</v>
      </c>
      <c r="P321" s="88">
        <v>30870640.5</v>
      </c>
      <c r="Q321" s="87">
        <v>0</v>
      </c>
      <c r="R321" s="87">
        <f t="shared" si="112"/>
        <v>304</v>
      </c>
      <c r="T321" s="87">
        <v>0</v>
      </c>
      <c r="V321" s="87">
        <v>0</v>
      </c>
      <c r="X321" s="87">
        <v>308</v>
      </c>
      <c r="Y321" s="88">
        <v>33475870.500000011</v>
      </c>
      <c r="Z321" s="87">
        <v>381</v>
      </c>
      <c r="AA321" s="87">
        <v>304</v>
      </c>
      <c r="AB321" s="89">
        <f t="shared" si="113"/>
        <v>0</v>
      </c>
      <c r="AC321" s="89">
        <f t="shared" si="114"/>
        <v>324</v>
      </c>
      <c r="AD321" s="89">
        <f t="shared" si="115"/>
        <v>381</v>
      </c>
      <c r="AF321" s="90" t="str">
        <f t="shared" si="117"/>
        <v/>
      </c>
      <c r="AG321" s="90">
        <f t="shared" si="118"/>
        <v>304</v>
      </c>
      <c r="AH321" s="90" t="str">
        <f t="shared" si="119"/>
        <v>2018 (triag)</v>
      </c>
      <c r="AI321" s="90">
        <f t="shared" si="120"/>
        <v>381</v>
      </c>
      <c r="AJ321" s="90">
        <f t="shared" si="121"/>
        <v>2022</v>
      </c>
      <c r="AK321" s="90" t="str">
        <f t="shared" si="122"/>
        <v/>
      </c>
      <c r="AL321" s="91">
        <f>IF(AK321="Adjust",(_xlfn.XLOOKUP(A321,'Adj factor'!A:A,'Adj factor'!I:I,,0)*AI321),'Master DataSheet (Rev)'!AI321)</f>
        <v>381</v>
      </c>
      <c r="AM321" s="91">
        <f t="shared" si="123"/>
        <v>381</v>
      </c>
      <c r="AN321" s="92" t="str">
        <f t="shared" si="124"/>
        <v>Increasing</v>
      </c>
      <c r="AO321" s="93">
        <f>VLOOKUP(B321,'Growthrates source'!A$2:H$49,8,FALSE)</f>
        <v>2.6327637949120408E-2</v>
      </c>
      <c r="AP321" s="93">
        <f>VLOOKUP(B321,'Growthrates source'!A$2:I$49,9,FALSE)</f>
        <v>6.0316928868946684E-2</v>
      </c>
      <c r="AQ321" s="86">
        <f t="shared" si="125"/>
        <v>266.50406896764554</v>
      </c>
      <c r="AR321" s="86">
        <f t="shared" si="126"/>
        <v>364.30028561078137</v>
      </c>
      <c r="AS321" s="94">
        <f t="shared" si="127"/>
        <v>0</v>
      </c>
      <c r="AT321" s="94">
        <f t="shared" si="128"/>
        <v>9.8475443034620552E-2</v>
      </c>
      <c r="AU321" s="94">
        <f t="shared" si="109"/>
        <v>0.11381332115022964</v>
      </c>
      <c r="AV321" s="94">
        <f t="shared" si="110"/>
        <v>0.11381332115022964</v>
      </c>
    </row>
    <row r="322" spans="1:48" x14ac:dyDescent="0.3">
      <c r="A322" s="85" t="str">
        <f>_xlfn.XLOOKUP(B322,'Country codes &amp; Data sources'!G:G,'Country codes &amp; Data sources'!H:H,,0)</f>
        <v>Ghana</v>
      </c>
      <c r="B322" s="85" t="s">
        <v>172</v>
      </c>
      <c r="C322" s="86">
        <v>26858783</v>
      </c>
      <c r="D322" s="85" t="s">
        <v>84</v>
      </c>
      <c r="E322" s="87">
        <v>0</v>
      </c>
      <c r="F322" s="88">
        <v>27525596.999999989</v>
      </c>
      <c r="G322" s="87">
        <v>6118</v>
      </c>
      <c r="I322" s="87">
        <v>0</v>
      </c>
      <c r="K322" s="87">
        <v>0</v>
      </c>
      <c r="M322" s="87">
        <v>0</v>
      </c>
      <c r="O322" s="87">
        <v>0</v>
      </c>
      <c r="P322" s="88">
        <v>30870640.5</v>
      </c>
      <c r="Q322" s="87">
        <v>0</v>
      </c>
      <c r="R322" s="87">
        <f t="shared" si="112"/>
        <v>0</v>
      </c>
      <c r="T322" s="87">
        <v>0</v>
      </c>
      <c r="V322" s="87">
        <v>0</v>
      </c>
      <c r="X322" s="87">
        <v>0</v>
      </c>
      <c r="Y322" s="88">
        <v>33475870.500000011</v>
      </c>
      <c r="Z322" s="87">
        <v>0</v>
      </c>
      <c r="AA322" s="87">
        <v>0</v>
      </c>
      <c r="AB322" s="89">
        <f t="shared" si="113"/>
        <v>6118</v>
      </c>
      <c r="AC322" s="89">
        <f t="shared" si="114"/>
        <v>0</v>
      </c>
      <c r="AD322" s="89">
        <f t="shared" si="115"/>
        <v>0</v>
      </c>
      <c r="AE322" s="90">
        <f t="shared" si="116"/>
        <v>6118</v>
      </c>
      <c r="AF322" s="90">
        <f t="shared" si="117"/>
        <v>2013</v>
      </c>
      <c r="AH322" s="90" t="str">
        <f t="shared" si="119"/>
        <v/>
      </c>
      <c r="AI322" s="90">
        <f t="shared" si="120"/>
        <v>0</v>
      </c>
      <c r="AJ322" s="90" t="str">
        <f t="shared" si="121"/>
        <v/>
      </c>
      <c r="AK322" s="90" t="str">
        <f t="shared" si="122"/>
        <v/>
      </c>
      <c r="AL322" s="91"/>
      <c r="AM322" s="91">
        <f t="shared" si="123"/>
        <v>0</v>
      </c>
      <c r="AN322" s="92" t="str">
        <f t="shared" si="124"/>
        <v>No change</v>
      </c>
      <c r="AO322" s="93">
        <f>VLOOKUP(B322,'Growthrates source'!A$2:H$49,8,FALSE)</f>
        <v>2.6327637949120408E-2</v>
      </c>
      <c r="AP322" s="93">
        <f>VLOOKUP(B322,'Growthrates source'!A$2:I$49,9,FALSE)</f>
        <v>6.0316928868946684E-2</v>
      </c>
      <c r="AQ322" s="86">
        <f t="shared" si="125"/>
        <v>0</v>
      </c>
      <c r="AR322" s="86">
        <f t="shared" si="126"/>
        <v>0</v>
      </c>
      <c r="AS322" s="94">
        <f t="shared" si="127"/>
        <v>2.2226584222678269</v>
      </c>
      <c r="AT322" s="94">
        <f t="shared" si="128"/>
        <v>0</v>
      </c>
      <c r="AU322" s="94">
        <f t="shared" si="109"/>
        <v>0</v>
      </c>
      <c r="AV322" s="94">
        <f t="shared" si="110"/>
        <v>0</v>
      </c>
    </row>
    <row r="323" spans="1:48" x14ac:dyDescent="0.3">
      <c r="A323" s="85" t="str">
        <f>_xlfn.XLOOKUP(B323,'Country codes &amp; Data sources'!G:G,'Country codes &amp; Data sources'!H:H,,0)</f>
        <v>Ghana</v>
      </c>
      <c r="B323" s="85" t="s">
        <v>172</v>
      </c>
      <c r="C323" s="86">
        <v>26858784</v>
      </c>
      <c r="D323" s="85" t="s">
        <v>126</v>
      </c>
      <c r="E323" s="87">
        <v>0</v>
      </c>
      <c r="F323" s="88">
        <v>27525596.999999989</v>
      </c>
      <c r="G323" s="87">
        <v>0</v>
      </c>
      <c r="I323" s="87">
        <v>0</v>
      </c>
      <c r="K323" s="87">
        <v>0</v>
      </c>
      <c r="M323" s="87">
        <v>0</v>
      </c>
      <c r="O323" s="87">
        <v>0</v>
      </c>
      <c r="P323" s="88">
        <v>30870640.5</v>
      </c>
      <c r="Q323" s="87">
        <v>0</v>
      </c>
      <c r="R323" s="87">
        <f t="shared" si="112"/>
        <v>0</v>
      </c>
      <c r="T323" s="87">
        <v>0</v>
      </c>
      <c r="V323" s="87">
        <v>0</v>
      </c>
      <c r="X323" s="87">
        <v>9</v>
      </c>
      <c r="Y323" s="88">
        <v>33475870.500000011</v>
      </c>
      <c r="Z323" s="87">
        <v>30</v>
      </c>
      <c r="AA323" s="87">
        <v>0</v>
      </c>
      <c r="AB323" s="89">
        <f t="shared" si="113"/>
        <v>0</v>
      </c>
      <c r="AC323" s="89">
        <f t="shared" si="114"/>
        <v>0</v>
      </c>
      <c r="AD323" s="89">
        <f t="shared" si="115"/>
        <v>30</v>
      </c>
      <c r="AF323" s="90" t="str">
        <f t="shared" si="117"/>
        <v/>
      </c>
      <c r="AH323" s="90" t="str">
        <f t="shared" si="119"/>
        <v/>
      </c>
      <c r="AI323" s="90">
        <f t="shared" si="120"/>
        <v>30</v>
      </c>
      <c r="AJ323" s="90">
        <f t="shared" si="121"/>
        <v>2022</v>
      </c>
      <c r="AK323" s="90" t="str">
        <f t="shared" si="122"/>
        <v/>
      </c>
      <c r="AL323" s="91">
        <f>IF(AK323="Adjust",(_xlfn.XLOOKUP(A323,'Adj factor'!A:A,'Adj factor'!I:I,,0)*AI323),'Master DataSheet (Rev)'!AI323)</f>
        <v>30</v>
      </c>
      <c r="AM323" s="91">
        <f t="shared" si="123"/>
        <v>30</v>
      </c>
      <c r="AN323" s="92" t="str">
        <f t="shared" si="124"/>
        <v>Increasing</v>
      </c>
      <c r="AO323" s="93">
        <f>VLOOKUP(B323,'Growthrates source'!A$2:H$49,8,FALSE)</f>
        <v>2.6327637949120408E-2</v>
      </c>
      <c r="AP323" s="93">
        <f>VLOOKUP(B323,'Growthrates source'!A$2:I$49,9,FALSE)</f>
        <v>6.0316928868946684E-2</v>
      </c>
      <c r="AQ323" s="86">
        <f t="shared" si="125"/>
        <v>0</v>
      </c>
      <c r="AR323" s="86">
        <f t="shared" si="126"/>
        <v>0</v>
      </c>
      <c r="AS323" s="94">
        <f t="shared" si="127"/>
        <v>0</v>
      </c>
      <c r="AT323" s="94">
        <f t="shared" si="128"/>
        <v>0</v>
      </c>
      <c r="AU323" s="94">
        <f t="shared" ref="AU323:AU386" si="129">(AL323*10000)/Y323</f>
        <v>8.9616788307267433E-3</v>
      </c>
      <c r="AV323" s="94">
        <f t="shared" ref="AV323:AV386" si="130">(AM323*10000)/Y323</f>
        <v>8.9616788307267433E-3</v>
      </c>
    </row>
    <row r="324" spans="1:48" s="95" customFormat="1" x14ac:dyDescent="0.3">
      <c r="A324" s="95" t="str">
        <f>_xlfn.XLOOKUP(B324,'Country codes &amp; Data sources'!G:G,'Country codes &amp; Data sources'!H:H,,0)</f>
        <v>Ghana</v>
      </c>
      <c r="B324" s="95" t="s">
        <v>172</v>
      </c>
      <c r="C324" s="60">
        <v>26858785</v>
      </c>
      <c r="D324" s="95" t="s">
        <v>87</v>
      </c>
      <c r="E324" s="96">
        <v>0</v>
      </c>
      <c r="F324" s="97">
        <v>27525596.999999989</v>
      </c>
      <c r="G324" s="96">
        <v>8638</v>
      </c>
      <c r="H324" s="96"/>
      <c r="I324" s="96">
        <v>0</v>
      </c>
      <c r="J324" s="96"/>
      <c r="K324" s="96">
        <v>0</v>
      </c>
      <c r="L324" s="96"/>
      <c r="M324" s="96">
        <v>0</v>
      </c>
      <c r="N324" s="96"/>
      <c r="O324" s="96">
        <v>0</v>
      </c>
      <c r="P324" s="97">
        <v>30870640.5</v>
      </c>
      <c r="Q324" s="96">
        <v>0</v>
      </c>
      <c r="R324" s="96">
        <f t="shared" si="112"/>
        <v>3468</v>
      </c>
      <c r="S324" s="96"/>
      <c r="T324" s="96">
        <v>0</v>
      </c>
      <c r="U324" s="96"/>
      <c r="V324" s="96">
        <v>0</v>
      </c>
      <c r="W324" s="96"/>
      <c r="X324" s="96">
        <v>7</v>
      </c>
      <c r="Y324" s="97">
        <v>33475870.500000011</v>
      </c>
      <c r="Z324" s="96">
        <v>0</v>
      </c>
      <c r="AA324" s="96">
        <v>3468</v>
      </c>
      <c r="AB324" s="98">
        <f t="shared" si="113"/>
        <v>8638</v>
      </c>
      <c r="AC324" s="98">
        <f t="shared" si="114"/>
        <v>0</v>
      </c>
      <c r="AD324" s="98">
        <f t="shared" si="115"/>
        <v>7</v>
      </c>
      <c r="AE324" s="99">
        <f t="shared" si="116"/>
        <v>8638</v>
      </c>
      <c r="AF324" s="99">
        <f t="shared" si="117"/>
        <v>2013</v>
      </c>
      <c r="AG324" s="99">
        <f t="shared" si="118"/>
        <v>3468</v>
      </c>
      <c r="AH324" s="99" t="str">
        <f t="shared" si="119"/>
        <v>2018 (triag)</v>
      </c>
      <c r="AI324" s="99">
        <f t="shared" si="120"/>
        <v>7</v>
      </c>
      <c r="AJ324" s="99">
        <f t="shared" si="121"/>
        <v>2021</v>
      </c>
      <c r="AK324" s="99" t="str">
        <f t="shared" si="122"/>
        <v>Adjust</v>
      </c>
      <c r="AL324" s="61">
        <f>IF(AK324="Adjust",(_xlfn.XLOOKUP(A324,'Adj factor'!A:A,'Adj factor'!I:I,,0)*AI324),'Master DataSheet (Rev)'!AI324)</f>
        <v>8.4457412242292307</v>
      </c>
      <c r="AM324" s="61">
        <f t="shared" si="123"/>
        <v>3468</v>
      </c>
      <c r="AN324" s="62" t="str">
        <f t="shared" si="124"/>
        <v>Decreasing</v>
      </c>
      <c r="AO324" s="100">
        <f>VLOOKUP(B324,'Growthrates source'!A$2:H$49,8,FALSE)</f>
        <v>2.6327637949120408E-2</v>
      </c>
      <c r="AP324" s="100">
        <f>VLOOKUP(B324,'Growthrates source'!A$2:I$49,9,FALSE)</f>
        <v>6.0316928868946684E-2</v>
      </c>
      <c r="AQ324" s="60">
        <f t="shared" si="125"/>
        <v>3040.2503657230086</v>
      </c>
      <c r="AR324" s="60">
        <f t="shared" si="126"/>
        <v>4155.8993108493087</v>
      </c>
      <c r="AS324" s="101">
        <f t="shared" si="127"/>
        <v>3.1381699005474806</v>
      </c>
      <c r="AT324" s="102">
        <f t="shared" si="128"/>
        <v>1.1233974883028424</v>
      </c>
      <c r="AU324" s="94">
        <f t="shared" si="129"/>
        <v>2.5229340112990425E-3</v>
      </c>
      <c r="AV324" s="94">
        <f t="shared" si="130"/>
        <v>1.0359700728320116</v>
      </c>
    </row>
    <row r="325" spans="1:48" x14ac:dyDescent="0.3">
      <c r="A325" s="85" t="str">
        <f>_xlfn.XLOOKUP(B325,'Country codes &amp; Data sources'!G:G,'Country codes &amp; Data sources'!H:H,,0)</f>
        <v>Guinea</v>
      </c>
      <c r="B325" s="85" t="s">
        <v>173</v>
      </c>
      <c r="C325" s="86">
        <v>10788697</v>
      </c>
      <c r="D325" s="85" t="s">
        <v>127</v>
      </c>
      <c r="E325" s="87">
        <v>0</v>
      </c>
      <c r="F325" s="88">
        <v>11055430.000000004</v>
      </c>
      <c r="G325" s="87">
        <v>0</v>
      </c>
      <c r="I325" s="87">
        <v>0</v>
      </c>
      <c r="K325" s="87">
        <v>6700</v>
      </c>
      <c r="M325" s="87">
        <v>6700</v>
      </c>
      <c r="O325" s="87">
        <v>0</v>
      </c>
      <c r="P325" s="88">
        <v>12554864.499999998</v>
      </c>
      <c r="Q325" s="87">
        <v>16567</v>
      </c>
      <c r="R325" s="87">
        <f t="shared" si="112"/>
        <v>16567</v>
      </c>
      <c r="T325" s="87">
        <v>0</v>
      </c>
      <c r="V325" s="87">
        <v>0</v>
      </c>
      <c r="X325" s="87">
        <v>0</v>
      </c>
      <c r="Y325" s="88">
        <v>13859340.500000006</v>
      </c>
      <c r="Z325" s="87">
        <v>0</v>
      </c>
      <c r="AA325" s="87">
        <v>16567</v>
      </c>
      <c r="AB325" s="89">
        <f t="shared" si="113"/>
        <v>6700</v>
      </c>
      <c r="AC325" s="89">
        <f t="shared" si="114"/>
        <v>16567</v>
      </c>
      <c r="AD325" s="89">
        <f t="shared" si="115"/>
        <v>0</v>
      </c>
      <c r="AE325" s="90">
        <f t="shared" si="116"/>
        <v>6700</v>
      </c>
      <c r="AF325" s="90">
        <f t="shared" si="117"/>
        <v>2015</v>
      </c>
      <c r="AG325" s="90">
        <f t="shared" si="118"/>
        <v>16567</v>
      </c>
      <c r="AH325" s="90">
        <f t="shared" si="119"/>
        <v>2018</v>
      </c>
      <c r="AI325" s="90">
        <f t="shared" si="120"/>
        <v>16567</v>
      </c>
      <c r="AJ325" s="90">
        <f t="shared" si="121"/>
        <v>2018</v>
      </c>
      <c r="AK325" s="90" t="str">
        <f t="shared" si="122"/>
        <v/>
      </c>
      <c r="AL325" s="91">
        <f>IF(AK325="Adjust",(_xlfn.XLOOKUP(A325,'Adj factor'!A:A,'Adj factor'!I:I,,0)*AI325),'Master DataSheet (Rev)'!AI325)</f>
        <v>16567</v>
      </c>
      <c r="AM325" s="91">
        <f t="shared" si="123"/>
        <v>16567</v>
      </c>
      <c r="AN325" s="92" t="str">
        <f t="shared" si="124"/>
        <v>No change</v>
      </c>
      <c r="AO325" s="93">
        <f>VLOOKUP(B325,'Growthrates source'!A$2:H$49,8,FALSE)</f>
        <v>4.588291307733483E-2</v>
      </c>
      <c r="AP325" s="93">
        <f>VLOOKUP(B325,'Growthrates source'!A$2:I$49,9,FALSE)</f>
        <v>5.4673730437993617E-2</v>
      </c>
      <c r="AQ325" s="86">
        <f t="shared" si="125"/>
        <v>13170.746546995812</v>
      </c>
      <c r="AR325" s="86">
        <f t="shared" si="126"/>
        <v>19519.890205880471</v>
      </c>
      <c r="AS325" s="94">
        <f t="shared" si="127"/>
        <v>6.0603703338540411</v>
      </c>
      <c r="AT325" s="94">
        <f t="shared" si="128"/>
        <v>13.195682040216365</v>
      </c>
      <c r="AU325" s="94">
        <f t="shared" si="129"/>
        <v>11.953671244313533</v>
      </c>
      <c r="AV325" s="94">
        <f t="shared" si="130"/>
        <v>11.953671244313533</v>
      </c>
    </row>
    <row r="326" spans="1:48" x14ac:dyDescent="0.3">
      <c r="A326" s="85" t="str">
        <f>_xlfn.XLOOKUP(B326,'Country codes &amp; Data sources'!G:G,'Country codes &amp; Data sources'!H:H,,0)</f>
        <v>Guinea</v>
      </c>
      <c r="B326" s="85" t="s">
        <v>173</v>
      </c>
      <c r="C326" s="86">
        <v>10788698</v>
      </c>
      <c r="D326" s="85" t="s">
        <v>61</v>
      </c>
      <c r="E326" s="87">
        <v>0</v>
      </c>
      <c r="F326" s="88">
        <v>11055430.000000004</v>
      </c>
      <c r="G326" s="87">
        <v>0</v>
      </c>
      <c r="I326" s="87">
        <v>0</v>
      </c>
      <c r="K326" s="87">
        <v>0</v>
      </c>
      <c r="M326" s="87">
        <v>0</v>
      </c>
      <c r="O326" s="87">
        <v>0</v>
      </c>
      <c r="P326" s="88">
        <v>12554864.499999998</v>
      </c>
      <c r="Q326" s="87">
        <v>0</v>
      </c>
      <c r="R326" s="87">
        <f t="shared" si="112"/>
        <v>0</v>
      </c>
      <c r="T326" s="87">
        <v>0</v>
      </c>
      <c r="V326" s="87">
        <v>0</v>
      </c>
      <c r="X326" s="87">
        <v>0</v>
      </c>
      <c r="Y326" s="88">
        <v>13859340.500000006</v>
      </c>
      <c r="Z326" s="87">
        <v>0</v>
      </c>
      <c r="AA326" s="87">
        <v>0</v>
      </c>
      <c r="AB326" s="89">
        <f t="shared" si="113"/>
        <v>0</v>
      </c>
      <c r="AC326" s="89">
        <f t="shared" si="114"/>
        <v>0</v>
      </c>
      <c r="AD326" s="89">
        <f t="shared" si="115"/>
        <v>0</v>
      </c>
      <c r="AF326" s="90" t="str">
        <f t="shared" si="117"/>
        <v/>
      </c>
      <c r="AH326" s="90" t="str">
        <f t="shared" si="119"/>
        <v/>
      </c>
      <c r="AI326" s="90">
        <f t="shared" si="120"/>
        <v>0</v>
      </c>
      <c r="AJ326" s="90" t="str">
        <f t="shared" si="121"/>
        <v/>
      </c>
      <c r="AK326" s="90" t="str">
        <f t="shared" si="122"/>
        <v/>
      </c>
      <c r="AL326" s="91"/>
      <c r="AM326" s="91">
        <f t="shared" si="123"/>
        <v>0</v>
      </c>
      <c r="AN326" s="92" t="str">
        <f t="shared" si="124"/>
        <v>No change</v>
      </c>
      <c r="AO326" s="93">
        <f>VLOOKUP(B326,'Growthrates source'!A$2:H$49,8,FALSE)</f>
        <v>4.588291307733483E-2</v>
      </c>
      <c r="AP326" s="93">
        <f>VLOOKUP(B326,'Growthrates source'!A$2:I$49,9,FALSE)</f>
        <v>5.4673730437993617E-2</v>
      </c>
      <c r="AQ326" s="86">
        <f t="shared" si="125"/>
        <v>0</v>
      </c>
      <c r="AR326" s="86">
        <f t="shared" si="126"/>
        <v>0</v>
      </c>
      <c r="AS326" s="94">
        <f t="shared" si="127"/>
        <v>0</v>
      </c>
      <c r="AT326" s="94">
        <f t="shared" si="128"/>
        <v>0</v>
      </c>
      <c r="AU326" s="94">
        <f t="shared" si="129"/>
        <v>0</v>
      </c>
      <c r="AV326" s="94">
        <f t="shared" si="130"/>
        <v>0</v>
      </c>
    </row>
    <row r="327" spans="1:48" x14ac:dyDescent="0.3">
      <c r="A327" s="85" t="str">
        <f>_xlfn.XLOOKUP(B327,'Country codes &amp; Data sources'!G:G,'Country codes &amp; Data sources'!H:H,,0)</f>
        <v>Guinea</v>
      </c>
      <c r="B327" s="85" t="s">
        <v>173</v>
      </c>
      <c r="C327" s="86">
        <v>10788699</v>
      </c>
      <c r="D327" s="85" t="s">
        <v>62</v>
      </c>
      <c r="E327" s="87">
        <v>0</v>
      </c>
      <c r="F327" s="88">
        <v>11055430.000000004</v>
      </c>
      <c r="G327" s="87">
        <v>0</v>
      </c>
      <c r="I327" s="87">
        <v>0</v>
      </c>
      <c r="K327" s="87">
        <v>0</v>
      </c>
      <c r="M327" s="87">
        <v>0</v>
      </c>
      <c r="O327" s="87">
        <v>0</v>
      </c>
      <c r="P327" s="88">
        <v>12554864.499999998</v>
      </c>
      <c r="Q327" s="87">
        <v>0</v>
      </c>
      <c r="R327" s="87">
        <f t="shared" si="112"/>
        <v>0</v>
      </c>
      <c r="T327" s="87">
        <v>363</v>
      </c>
      <c r="V327" s="87">
        <v>0</v>
      </c>
      <c r="X327" s="87">
        <v>0</v>
      </c>
      <c r="Y327" s="88">
        <v>13859340.500000006</v>
      </c>
      <c r="Z327" s="87">
        <v>0</v>
      </c>
      <c r="AA327" s="87">
        <v>0</v>
      </c>
      <c r="AB327" s="89">
        <f t="shared" si="113"/>
        <v>0</v>
      </c>
      <c r="AC327" s="89">
        <f t="shared" si="114"/>
        <v>363</v>
      </c>
      <c r="AD327" s="89">
        <f t="shared" si="115"/>
        <v>0</v>
      </c>
      <c r="AF327" s="90" t="str">
        <f t="shared" si="117"/>
        <v/>
      </c>
      <c r="AG327" s="90">
        <f t="shared" si="118"/>
        <v>363</v>
      </c>
      <c r="AH327" s="90">
        <f t="shared" si="119"/>
        <v>2019</v>
      </c>
      <c r="AI327" s="90">
        <f t="shared" si="120"/>
        <v>363</v>
      </c>
      <c r="AJ327" s="90">
        <f t="shared" si="121"/>
        <v>2019</v>
      </c>
      <c r="AK327" s="90" t="str">
        <f t="shared" si="122"/>
        <v/>
      </c>
      <c r="AL327" s="91">
        <f>IF(AK327="Adjust",(_xlfn.XLOOKUP(A327,'Adj factor'!A:A,'Adj factor'!I:I,,0)*AI327),'Master DataSheet (Rev)'!AI327)</f>
        <v>363</v>
      </c>
      <c r="AM327" s="91">
        <f t="shared" si="123"/>
        <v>363</v>
      </c>
      <c r="AN327" s="92" t="str">
        <f t="shared" si="124"/>
        <v>No change</v>
      </c>
      <c r="AO327" s="93">
        <f>VLOOKUP(B327,'Growthrates source'!A$2:H$49,8,FALSE)</f>
        <v>4.588291307733483E-2</v>
      </c>
      <c r="AP327" s="93">
        <f>VLOOKUP(B327,'Growthrates source'!A$2:I$49,9,FALSE)</f>
        <v>5.4673730437993617E-2</v>
      </c>
      <c r="AQ327" s="86">
        <f t="shared" si="125"/>
        <v>0</v>
      </c>
      <c r="AR327" s="86">
        <f t="shared" si="126"/>
        <v>0</v>
      </c>
      <c r="AS327" s="94">
        <f t="shared" si="127"/>
        <v>0</v>
      </c>
      <c r="AT327" s="94">
        <f t="shared" si="128"/>
        <v>0.28913095796454041</v>
      </c>
      <c r="AU327" s="94">
        <f t="shared" si="129"/>
        <v>0.26191722470488393</v>
      </c>
      <c r="AV327" s="94">
        <f t="shared" si="130"/>
        <v>0.26191722470488393</v>
      </c>
    </row>
    <row r="328" spans="1:48" x14ac:dyDescent="0.3">
      <c r="A328" s="85" t="str">
        <f>_xlfn.XLOOKUP(B328,'Country codes &amp; Data sources'!G:G,'Country codes &amp; Data sources'!H:H,,0)</f>
        <v>Guinea</v>
      </c>
      <c r="B328" s="85" t="s">
        <v>173</v>
      </c>
      <c r="C328" s="86">
        <v>10788700</v>
      </c>
      <c r="D328" s="85" t="s">
        <v>203</v>
      </c>
      <c r="E328" s="87">
        <v>0</v>
      </c>
      <c r="F328" s="88">
        <v>11055430.000000004</v>
      </c>
      <c r="G328" s="87">
        <v>0</v>
      </c>
      <c r="I328" s="87">
        <v>0</v>
      </c>
      <c r="K328" s="87">
        <v>0</v>
      </c>
      <c r="M328" s="87">
        <v>0</v>
      </c>
      <c r="O328" s="87">
        <v>0</v>
      </c>
      <c r="P328" s="88">
        <v>12554864.499999998</v>
      </c>
      <c r="Q328" s="87">
        <v>0</v>
      </c>
      <c r="R328" s="87">
        <f t="shared" si="112"/>
        <v>1</v>
      </c>
      <c r="T328" s="87">
        <v>0</v>
      </c>
      <c r="V328" s="87">
        <v>0</v>
      </c>
      <c r="X328" s="87">
        <v>0</v>
      </c>
      <c r="Y328" s="88">
        <v>13859340.500000006</v>
      </c>
      <c r="Z328" s="87">
        <v>0</v>
      </c>
      <c r="AA328" s="87">
        <v>1</v>
      </c>
      <c r="AB328" s="89">
        <f t="shared" si="113"/>
        <v>0</v>
      </c>
      <c r="AC328" s="89">
        <f t="shared" si="114"/>
        <v>0</v>
      </c>
      <c r="AD328" s="89">
        <f t="shared" si="115"/>
        <v>0</v>
      </c>
      <c r="AF328" s="90" t="str">
        <f t="shared" si="117"/>
        <v/>
      </c>
      <c r="AG328" s="90">
        <f t="shared" si="118"/>
        <v>1</v>
      </c>
      <c r="AH328" s="90" t="str">
        <f t="shared" si="119"/>
        <v>2018 (triag)</v>
      </c>
      <c r="AI328" s="90">
        <f t="shared" si="120"/>
        <v>1</v>
      </c>
      <c r="AJ328" s="90" t="str">
        <f t="shared" si="121"/>
        <v>2018 (triag)</v>
      </c>
      <c r="AK328" s="90" t="str">
        <f t="shared" si="122"/>
        <v/>
      </c>
      <c r="AL328" s="91">
        <f>IF(AK328="Adjust",(_xlfn.XLOOKUP(A328,'Adj factor'!A:A,'Adj factor'!I:I,,0)*AI328),'Master DataSheet (Rev)'!AI328)</f>
        <v>1</v>
      </c>
      <c r="AM328" s="91">
        <f t="shared" si="123"/>
        <v>1</v>
      </c>
      <c r="AN328" s="92" t="str">
        <f t="shared" si="124"/>
        <v>No change</v>
      </c>
      <c r="AO328" s="93">
        <f>VLOOKUP(B328,'Growthrates source'!A$2:H$49,8,FALSE)</f>
        <v>4.588291307733483E-2</v>
      </c>
      <c r="AP328" s="93">
        <f>VLOOKUP(B328,'Growthrates source'!A$2:I$49,9,FALSE)</f>
        <v>5.4673730437993617E-2</v>
      </c>
      <c r="AQ328" s="86">
        <f t="shared" si="125"/>
        <v>0.7949988861589794</v>
      </c>
      <c r="AR328" s="86">
        <f t="shared" si="126"/>
        <v>1.1782392832667634</v>
      </c>
      <c r="AS328" s="94">
        <f t="shared" si="127"/>
        <v>0</v>
      </c>
      <c r="AT328" s="94">
        <f t="shared" si="128"/>
        <v>7.9650401643124077E-4</v>
      </c>
      <c r="AU328" s="94">
        <f t="shared" si="129"/>
        <v>7.2153505428342686E-4</v>
      </c>
      <c r="AV328" s="94">
        <f t="shared" si="130"/>
        <v>7.2153505428342686E-4</v>
      </c>
    </row>
    <row r="329" spans="1:48" x14ac:dyDescent="0.3">
      <c r="A329" s="85" t="str">
        <f>_xlfn.XLOOKUP(B329,'Country codes &amp; Data sources'!G:G,'Country codes &amp; Data sources'!H:H,,0)</f>
        <v>Guinea</v>
      </c>
      <c r="B329" s="85" t="s">
        <v>173</v>
      </c>
      <c r="C329" s="86">
        <v>10788701</v>
      </c>
      <c r="D329" s="85" t="s">
        <v>204</v>
      </c>
      <c r="E329" s="87">
        <v>0</v>
      </c>
      <c r="F329" s="88">
        <v>11055430.000000004</v>
      </c>
      <c r="G329" s="87">
        <v>0</v>
      </c>
      <c r="I329" s="87">
        <v>0</v>
      </c>
      <c r="K329" s="87">
        <v>0</v>
      </c>
      <c r="M329" s="87">
        <v>0</v>
      </c>
      <c r="O329" s="87">
        <v>0</v>
      </c>
      <c r="P329" s="88">
        <v>12554864.499999998</v>
      </c>
      <c r="Q329" s="87">
        <v>0</v>
      </c>
      <c r="R329" s="87">
        <f t="shared" si="112"/>
        <v>189</v>
      </c>
      <c r="T329" s="87">
        <v>0</v>
      </c>
      <c r="V329" s="87">
        <v>0</v>
      </c>
      <c r="X329" s="87">
        <v>0</v>
      </c>
      <c r="Y329" s="88">
        <v>13859340.500000006</v>
      </c>
      <c r="Z329" s="87">
        <v>0</v>
      </c>
      <c r="AA329" s="87">
        <v>189</v>
      </c>
      <c r="AB329" s="89">
        <f t="shared" si="113"/>
        <v>0</v>
      </c>
      <c r="AC329" s="89">
        <f t="shared" si="114"/>
        <v>0</v>
      </c>
      <c r="AD329" s="89">
        <f t="shared" si="115"/>
        <v>0</v>
      </c>
      <c r="AF329" s="90" t="str">
        <f t="shared" si="117"/>
        <v/>
      </c>
      <c r="AG329" s="90">
        <f t="shared" si="118"/>
        <v>189</v>
      </c>
      <c r="AH329" s="90" t="str">
        <f t="shared" si="119"/>
        <v>2018 (triag)</v>
      </c>
      <c r="AI329" s="90">
        <f t="shared" si="120"/>
        <v>189</v>
      </c>
      <c r="AJ329" s="90" t="str">
        <f t="shared" si="121"/>
        <v>2018 (triag)</v>
      </c>
      <c r="AK329" s="90" t="str">
        <f t="shared" si="122"/>
        <v/>
      </c>
      <c r="AL329" s="91">
        <f>IF(AK329="Adjust",(_xlfn.XLOOKUP(A329,'Adj factor'!A:A,'Adj factor'!I:I,,0)*AI329),'Master DataSheet (Rev)'!AI329)</f>
        <v>189</v>
      </c>
      <c r="AM329" s="91">
        <f t="shared" si="123"/>
        <v>189</v>
      </c>
      <c r="AN329" s="92" t="str">
        <f t="shared" si="124"/>
        <v>No change</v>
      </c>
      <c r="AO329" s="93">
        <f>VLOOKUP(B329,'Growthrates source'!A$2:H$49,8,FALSE)</f>
        <v>4.588291307733483E-2</v>
      </c>
      <c r="AP329" s="93">
        <f>VLOOKUP(B329,'Growthrates source'!A$2:I$49,9,FALSE)</f>
        <v>5.4673730437993617E-2</v>
      </c>
      <c r="AQ329" s="86">
        <f t="shared" si="125"/>
        <v>150.25478948404711</v>
      </c>
      <c r="AR329" s="86">
        <f t="shared" si="126"/>
        <v>222.68722453741827</v>
      </c>
      <c r="AS329" s="94">
        <f t="shared" si="127"/>
        <v>0</v>
      </c>
      <c r="AT329" s="94">
        <f t="shared" si="128"/>
        <v>0.1505392591055045</v>
      </c>
      <c r="AU329" s="94">
        <f t="shared" si="129"/>
        <v>0.13637012525956768</v>
      </c>
      <c r="AV329" s="94">
        <f t="shared" si="130"/>
        <v>0.13637012525956768</v>
      </c>
    </row>
    <row r="330" spans="1:48" x14ac:dyDescent="0.3">
      <c r="A330" s="85" t="str">
        <f>_xlfn.XLOOKUP(B330,'Country codes &amp; Data sources'!G:G,'Country codes &amp; Data sources'!H:H,,0)</f>
        <v>Guinea</v>
      </c>
      <c r="B330" s="85" t="s">
        <v>173</v>
      </c>
      <c r="C330" s="86">
        <v>10788702</v>
      </c>
      <c r="D330" s="85" t="s">
        <v>205</v>
      </c>
      <c r="E330" s="87">
        <v>0</v>
      </c>
      <c r="F330" s="88">
        <v>11055430.000000004</v>
      </c>
      <c r="G330" s="87">
        <v>0</v>
      </c>
      <c r="I330" s="87">
        <v>0</v>
      </c>
      <c r="K330" s="87">
        <v>0</v>
      </c>
      <c r="M330" s="87">
        <v>0</v>
      </c>
      <c r="O330" s="87">
        <v>0</v>
      </c>
      <c r="P330" s="88">
        <v>12554864.499999998</v>
      </c>
      <c r="Q330" s="87">
        <v>0</v>
      </c>
      <c r="R330" s="87">
        <f t="shared" si="112"/>
        <v>0</v>
      </c>
      <c r="T330" s="87">
        <v>0</v>
      </c>
      <c r="V330" s="87">
        <v>0</v>
      </c>
      <c r="X330" s="87">
        <v>0</v>
      </c>
      <c r="Y330" s="88">
        <v>13859340.500000006</v>
      </c>
      <c r="Z330" s="87">
        <v>0</v>
      </c>
      <c r="AA330" s="87">
        <v>0</v>
      </c>
      <c r="AB330" s="89">
        <f t="shared" si="113"/>
        <v>0</v>
      </c>
      <c r="AC330" s="89">
        <f t="shared" si="114"/>
        <v>0</v>
      </c>
      <c r="AD330" s="89">
        <f t="shared" si="115"/>
        <v>0</v>
      </c>
      <c r="AF330" s="90" t="str">
        <f t="shared" si="117"/>
        <v/>
      </c>
      <c r="AH330" s="90" t="str">
        <f t="shared" si="119"/>
        <v/>
      </c>
      <c r="AI330" s="90">
        <f t="shared" si="120"/>
        <v>0</v>
      </c>
      <c r="AJ330" s="90" t="str">
        <f t="shared" si="121"/>
        <v/>
      </c>
      <c r="AK330" s="90" t="str">
        <f t="shared" si="122"/>
        <v/>
      </c>
      <c r="AL330" s="91"/>
      <c r="AM330" s="91">
        <f t="shared" si="123"/>
        <v>0</v>
      </c>
      <c r="AN330" s="92" t="str">
        <f t="shared" si="124"/>
        <v>No change</v>
      </c>
      <c r="AO330" s="93">
        <f>VLOOKUP(B330,'Growthrates source'!A$2:H$49,8,FALSE)</f>
        <v>4.588291307733483E-2</v>
      </c>
      <c r="AP330" s="93">
        <f>VLOOKUP(B330,'Growthrates source'!A$2:I$49,9,FALSE)</f>
        <v>5.4673730437993617E-2</v>
      </c>
      <c r="AQ330" s="86">
        <f t="shared" si="125"/>
        <v>0</v>
      </c>
      <c r="AR330" s="86">
        <f t="shared" si="126"/>
        <v>0</v>
      </c>
      <c r="AS330" s="94">
        <f t="shared" si="127"/>
        <v>0</v>
      </c>
      <c r="AT330" s="94">
        <f t="shared" si="128"/>
        <v>0</v>
      </c>
      <c r="AU330" s="94">
        <f t="shared" si="129"/>
        <v>0</v>
      </c>
      <c r="AV330" s="94">
        <f t="shared" si="130"/>
        <v>0</v>
      </c>
    </row>
    <row r="331" spans="1:48" x14ac:dyDescent="0.3">
      <c r="A331" s="85" t="str">
        <f>_xlfn.XLOOKUP(B331,'Country codes &amp; Data sources'!G:G,'Country codes &amp; Data sources'!H:H,,0)</f>
        <v>Guinea</v>
      </c>
      <c r="B331" s="85" t="s">
        <v>173</v>
      </c>
      <c r="C331" s="86">
        <v>10788703</v>
      </c>
      <c r="D331" s="85" t="s">
        <v>133</v>
      </c>
      <c r="E331" s="87">
        <v>0</v>
      </c>
      <c r="F331" s="88">
        <v>11055430.000000004</v>
      </c>
      <c r="G331" s="87">
        <v>0</v>
      </c>
      <c r="I331" s="87">
        <v>0</v>
      </c>
      <c r="K331" s="87">
        <v>0</v>
      </c>
      <c r="M331" s="87">
        <v>0</v>
      </c>
      <c r="O331" s="87">
        <v>0</v>
      </c>
      <c r="P331" s="88">
        <v>12554864.499999998</v>
      </c>
      <c r="Q331" s="87">
        <v>181</v>
      </c>
      <c r="R331" s="87">
        <f t="shared" si="112"/>
        <v>181</v>
      </c>
      <c r="T331" s="87">
        <v>0</v>
      </c>
      <c r="V331" s="87">
        <v>0</v>
      </c>
      <c r="X331" s="87">
        <v>0</v>
      </c>
      <c r="Y331" s="88">
        <v>13859340.500000006</v>
      </c>
      <c r="Z331" s="87">
        <v>0</v>
      </c>
      <c r="AA331" s="87">
        <v>0</v>
      </c>
      <c r="AB331" s="89">
        <f t="shared" si="113"/>
        <v>0</v>
      </c>
      <c r="AC331" s="89">
        <f t="shared" si="114"/>
        <v>181</v>
      </c>
      <c r="AD331" s="89">
        <f t="shared" si="115"/>
        <v>0</v>
      </c>
      <c r="AF331" s="90" t="str">
        <f t="shared" si="117"/>
        <v/>
      </c>
      <c r="AG331" s="90">
        <f t="shared" si="118"/>
        <v>181</v>
      </c>
      <c r="AH331" s="90">
        <f t="shared" si="119"/>
        <v>2018</v>
      </c>
      <c r="AI331" s="90">
        <f t="shared" si="120"/>
        <v>181</v>
      </c>
      <c r="AJ331" s="90">
        <f t="shared" si="121"/>
        <v>2018</v>
      </c>
      <c r="AK331" s="90" t="str">
        <f t="shared" si="122"/>
        <v/>
      </c>
      <c r="AL331" s="91">
        <f>IF(AK331="Adjust",(_xlfn.XLOOKUP(A331,'Adj factor'!A:A,'Adj factor'!I:I,,0)*AI331),'Master DataSheet (Rev)'!AI331)</f>
        <v>181</v>
      </c>
      <c r="AM331" s="91">
        <f t="shared" si="123"/>
        <v>181</v>
      </c>
      <c r="AN331" s="92" t="str">
        <f t="shared" si="124"/>
        <v>No change</v>
      </c>
      <c r="AO331" s="93">
        <f>VLOOKUP(B331,'Growthrates source'!A$2:H$49,8,FALSE)</f>
        <v>4.588291307733483E-2</v>
      </c>
      <c r="AP331" s="93">
        <f>VLOOKUP(B331,'Growthrates source'!A$2:I$49,9,FALSE)</f>
        <v>5.4673730437993617E-2</v>
      </c>
      <c r="AQ331" s="86">
        <f t="shared" si="125"/>
        <v>0</v>
      </c>
      <c r="AR331" s="86">
        <f t="shared" si="126"/>
        <v>0</v>
      </c>
      <c r="AS331" s="94">
        <f t="shared" si="127"/>
        <v>0</v>
      </c>
      <c r="AT331" s="94">
        <f t="shared" si="128"/>
        <v>0.14416722697405457</v>
      </c>
      <c r="AU331" s="94">
        <f t="shared" si="129"/>
        <v>0.13059784482530026</v>
      </c>
      <c r="AV331" s="94">
        <f t="shared" si="130"/>
        <v>0.13059784482530026</v>
      </c>
    </row>
    <row r="332" spans="1:48" x14ac:dyDescent="0.3">
      <c r="A332" s="85" t="str">
        <f>_xlfn.XLOOKUP(B332,'Country codes &amp; Data sources'!G:G,'Country codes &amp; Data sources'!H:H,,0)</f>
        <v>Guinea</v>
      </c>
      <c r="B332" s="85" t="s">
        <v>173</v>
      </c>
      <c r="C332" s="86">
        <v>10788704</v>
      </c>
      <c r="D332" s="85" t="s">
        <v>206</v>
      </c>
      <c r="E332" s="87">
        <v>0</v>
      </c>
      <c r="F332" s="88">
        <v>11055430.000000004</v>
      </c>
      <c r="G332" s="87">
        <v>0</v>
      </c>
      <c r="I332" s="87">
        <v>0</v>
      </c>
      <c r="K332" s="87">
        <v>0</v>
      </c>
      <c r="M332" s="87">
        <v>0</v>
      </c>
      <c r="O332" s="87">
        <v>0</v>
      </c>
      <c r="P332" s="88">
        <v>12554864.499999998</v>
      </c>
      <c r="Q332" s="87">
        <v>0</v>
      </c>
      <c r="R332" s="87">
        <f t="shared" si="112"/>
        <v>0</v>
      </c>
      <c r="T332" s="87">
        <v>0</v>
      </c>
      <c r="V332" s="87">
        <v>0</v>
      </c>
      <c r="X332" s="87">
        <v>0</v>
      </c>
      <c r="Y332" s="88">
        <v>13859340.500000006</v>
      </c>
      <c r="Z332" s="87">
        <v>0</v>
      </c>
      <c r="AA332" s="87">
        <v>0</v>
      </c>
      <c r="AB332" s="89">
        <f t="shared" si="113"/>
        <v>0</v>
      </c>
      <c r="AC332" s="89">
        <f t="shared" si="114"/>
        <v>0</v>
      </c>
      <c r="AD332" s="89">
        <f t="shared" si="115"/>
        <v>0</v>
      </c>
      <c r="AF332" s="90" t="str">
        <f t="shared" si="117"/>
        <v/>
      </c>
      <c r="AH332" s="90" t="str">
        <f t="shared" si="119"/>
        <v/>
      </c>
      <c r="AI332" s="90">
        <f t="shared" si="120"/>
        <v>0</v>
      </c>
      <c r="AJ332" s="90" t="str">
        <f t="shared" si="121"/>
        <v/>
      </c>
      <c r="AK332" s="90" t="str">
        <f t="shared" si="122"/>
        <v/>
      </c>
      <c r="AL332" s="91"/>
      <c r="AM332" s="91">
        <f t="shared" si="123"/>
        <v>0</v>
      </c>
      <c r="AN332" s="92" t="str">
        <f t="shared" si="124"/>
        <v>No change</v>
      </c>
      <c r="AO332" s="93">
        <f>VLOOKUP(B332,'Growthrates source'!A$2:H$49,8,FALSE)</f>
        <v>4.588291307733483E-2</v>
      </c>
      <c r="AP332" s="93">
        <f>VLOOKUP(B332,'Growthrates source'!A$2:I$49,9,FALSE)</f>
        <v>5.4673730437993617E-2</v>
      </c>
      <c r="AQ332" s="86">
        <f t="shared" si="125"/>
        <v>0</v>
      </c>
      <c r="AR332" s="86">
        <f t="shared" si="126"/>
        <v>0</v>
      </c>
      <c r="AS332" s="94">
        <f t="shared" si="127"/>
        <v>0</v>
      </c>
      <c r="AT332" s="94">
        <f t="shared" si="128"/>
        <v>0</v>
      </c>
      <c r="AU332" s="94">
        <f t="shared" si="129"/>
        <v>0</v>
      </c>
      <c r="AV332" s="94">
        <f t="shared" si="130"/>
        <v>0</v>
      </c>
    </row>
    <row r="333" spans="1:48" x14ac:dyDescent="0.3">
      <c r="A333" s="85" t="str">
        <f>_xlfn.XLOOKUP(B333,'Country codes &amp; Data sources'!G:G,'Country codes &amp; Data sources'!H:H,,0)</f>
        <v>Guinea</v>
      </c>
      <c r="B333" s="85" t="s">
        <v>173</v>
      </c>
      <c r="C333" s="86">
        <v>10788705</v>
      </c>
      <c r="D333" s="85" t="s">
        <v>136</v>
      </c>
      <c r="E333" s="87">
        <v>0</v>
      </c>
      <c r="F333" s="88">
        <v>11055430.000000004</v>
      </c>
      <c r="G333" s="87">
        <v>0</v>
      </c>
      <c r="I333" s="87">
        <v>0</v>
      </c>
      <c r="K333" s="87">
        <v>0</v>
      </c>
      <c r="M333" s="87">
        <v>8</v>
      </c>
      <c r="O333" s="87">
        <v>0</v>
      </c>
      <c r="P333" s="88">
        <v>12554864.499999998</v>
      </c>
      <c r="Q333" s="87">
        <v>0</v>
      </c>
      <c r="R333" s="87">
        <f t="shared" si="112"/>
        <v>0</v>
      </c>
      <c r="T333" s="87">
        <v>0</v>
      </c>
      <c r="V333" s="87">
        <v>0</v>
      </c>
      <c r="X333" s="87">
        <v>0</v>
      </c>
      <c r="Y333" s="88">
        <v>13859340.500000006</v>
      </c>
      <c r="Z333" s="87">
        <v>0</v>
      </c>
      <c r="AA333" s="87">
        <v>0</v>
      </c>
      <c r="AB333" s="89">
        <f t="shared" si="113"/>
        <v>0</v>
      </c>
      <c r="AC333" s="89">
        <f t="shared" si="114"/>
        <v>8</v>
      </c>
      <c r="AD333" s="89">
        <f t="shared" si="115"/>
        <v>0</v>
      </c>
      <c r="AF333" s="90" t="str">
        <f t="shared" si="117"/>
        <v/>
      </c>
      <c r="AH333" s="90" t="str">
        <f t="shared" si="119"/>
        <v/>
      </c>
      <c r="AI333" s="90">
        <f t="shared" si="120"/>
        <v>0</v>
      </c>
      <c r="AJ333" s="90" t="str">
        <f t="shared" si="121"/>
        <v/>
      </c>
      <c r="AK333" s="90" t="str">
        <f t="shared" si="122"/>
        <v/>
      </c>
      <c r="AL333" s="91"/>
      <c r="AM333" s="91">
        <f t="shared" si="123"/>
        <v>0</v>
      </c>
      <c r="AN333" s="92" t="str">
        <f t="shared" si="124"/>
        <v>No change</v>
      </c>
      <c r="AO333" s="93">
        <f>VLOOKUP(B333,'Growthrates source'!A$2:H$49,8,FALSE)</f>
        <v>4.588291307733483E-2</v>
      </c>
      <c r="AP333" s="93">
        <f>VLOOKUP(B333,'Growthrates source'!A$2:I$49,9,FALSE)</f>
        <v>5.4673730437993617E-2</v>
      </c>
      <c r="AQ333" s="86">
        <f t="shared" si="125"/>
        <v>0</v>
      </c>
      <c r="AR333" s="86">
        <f t="shared" si="126"/>
        <v>0</v>
      </c>
      <c r="AS333" s="94">
        <f t="shared" si="127"/>
        <v>0</v>
      </c>
      <c r="AT333" s="94">
        <f t="shared" si="128"/>
        <v>0</v>
      </c>
      <c r="AU333" s="94">
        <f t="shared" si="129"/>
        <v>0</v>
      </c>
      <c r="AV333" s="94">
        <f t="shared" si="130"/>
        <v>0</v>
      </c>
    </row>
    <row r="334" spans="1:48" x14ac:dyDescent="0.3">
      <c r="A334" s="85" t="str">
        <f>_xlfn.XLOOKUP(B334,'Country codes &amp; Data sources'!G:G,'Country codes &amp; Data sources'!H:H,,0)</f>
        <v>Guinea</v>
      </c>
      <c r="B334" s="85" t="s">
        <v>173</v>
      </c>
      <c r="C334" s="86">
        <v>10788706</v>
      </c>
      <c r="D334" s="85" t="s">
        <v>207</v>
      </c>
      <c r="E334" s="87">
        <v>0</v>
      </c>
      <c r="F334" s="88">
        <v>11055430.000000004</v>
      </c>
      <c r="G334" s="87">
        <v>0</v>
      </c>
      <c r="I334" s="87">
        <v>0</v>
      </c>
      <c r="K334" s="87">
        <v>0</v>
      </c>
      <c r="M334" s="87">
        <v>0</v>
      </c>
      <c r="O334" s="87">
        <v>0</v>
      </c>
      <c r="P334" s="88">
        <v>12554864.499999998</v>
      </c>
      <c r="Q334" s="87">
        <v>0</v>
      </c>
      <c r="R334" s="87">
        <f t="shared" si="112"/>
        <v>66</v>
      </c>
      <c r="T334" s="87">
        <v>0</v>
      </c>
      <c r="V334" s="87">
        <v>0</v>
      </c>
      <c r="X334" s="87">
        <v>0</v>
      </c>
      <c r="Y334" s="88">
        <v>13859340.500000006</v>
      </c>
      <c r="Z334" s="87">
        <v>0</v>
      </c>
      <c r="AA334" s="87">
        <v>66</v>
      </c>
      <c r="AB334" s="89">
        <f t="shared" si="113"/>
        <v>0</v>
      </c>
      <c r="AC334" s="89">
        <f t="shared" si="114"/>
        <v>0</v>
      </c>
      <c r="AD334" s="89">
        <f t="shared" si="115"/>
        <v>0</v>
      </c>
      <c r="AF334" s="90" t="str">
        <f t="shared" si="117"/>
        <v/>
      </c>
      <c r="AG334" s="90">
        <f t="shared" si="118"/>
        <v>66</v>
      </c>
      <c r="AH334" s="90" t="str">
        <f t="shared" si="119"/>
        <v>2018 (triag)</v>
      </c>
      <c r="AI334" s="90">
        <f t="shared" si="120"/>
        <v>66</v>
      </c>
      <c r="AJ334" s="90" t="str">
        <f t="shared" si="121"/>
        <v>2018 (triag)</v>
      </c>
      <c r="AK334" s="90" t="str">
        <f t="shared" si="122"/>
        <v/>
      </c>
      <c r="AL334" s="91">
        <f>IF(AK334="Adjust",(_xlfn.XLOOKUP(A334,'Adj factor'!A:A,'Adj factor'!I:I,,0)*AI334),'Master DataSheet (Rev)'!AI334)</f>
        <v>66</v>
      </c>
      <c r="AM334" s="91">
        <f t="shared" si="123"/>
        <v>66</v>
      </c>
      <c r="AN334" s="92" t="str">
        <f t="shared" si="124"/>
        <v>No change</v>
      </c>
      <c r="AO334" s="93">
        <f>VLOOKUP(B334,'Growthrates source'!A$2:H$49,8,FALSE)</f>
        <v>4.588291307733483E-2</v>
      </c>
      <c r="AP334" s="93">
        <f>VLOOKUP(B334,'Growthrates source'!A$2:I$49,9,FALSE)</f>
        <v>5.4673730437993617E-2</v>
      </c>
      <c r="AQ334" s="86">
        <f t="shared" si="125"/>
        <v>52.469926486492646</v>
      </c>
      <c r="AR334" s="86">
        <f t="shared" si="126"/>
        <v>77.763792695606384</v>
      </c>
      <c r="AS334" s="94">
        <f t="shared" si="127"/>
        <v>0</v>
      </c>
      <c r="AT334" s="94">
        <f t="shared" si="128"/>
        <v>5.2569265084461893E-2</v>
      </c>
      <c r="AU334" s="94">
        <f t="shared" si="129"/>
        <v>4.7621313582706173E-2</v>
      </c>
      <c r="AV334" s="94">
        <f t="shared" si="130"/>
        <v>4.7621313582706173E-2</v>
      </c>
    </row>
    <row r="335" spans="1:48" x14ac:dyDescent="0.3">
      <c r="A335" s="85" t="str">
        <f>_xlfn.XLOOKUP(B335,'Country codes &amp; Data sources'!G:G,'Country codes &amp; Data sources'!H:H,,0)</f>
        <v>Guinea</v>
      </c>
      <c r="B335" s="85" t="s">
        <v>173</v>
      </c>
      <c r="C335" s="86">
        <v>10788707</v>
      </c>
      <c r="D335" s="85" t="s">
        <v>141</v>
      </c>
      <c r="E335" s="87">
        <v>0</v>
      </c>
      <c r="F335" s="88">
        <v>11055430.000000004</v>
      </c>
      <c r="G335" s="87">
        <v>0</v>
      </c>
      <c r="I335" s="87">
        <v>0</v>
      </c>
      <c r="K335" s="87">
        <v>0</v>
      </c>
      <c r="M335" s="87">
        <v>0</v>
      </c>
      <c r="O335" s="87">
        <v>0</v>
      </c>
      <c r="P335" s="88">
        <v>12554864.499999998</v>
      </c>
      <c r="Q335" s="87">
        <v>0</v>
      </c>
      <c r="R335" s="87">
        <f t="shared" si="112"/>
        <v>0</v>
      </c>
      <c r="T335" s="87">
        <v>0</v>
      </c>
      <c r="V335" s="87">
        <v>0</v>
      </c>
      <c r="X335" s="87">
        <v>0</v>
      </c>
      <c r="Y335" s="88">
        <v>13859340.500000006</v>
      </c>
      <c r="Z335" s="87">
        <v>0</v>
      </c>
      <c r="AA335" s="87">
        <v>0</v>
      </c>
      <c r="AB335" s="89">
        <f t="shared" si="113"/>
        <v>0</v>
      </c>
      <c r="AC335" s="89">
        <f t="shared" si="114"/>
        <v>0</v>
      </c>
      <c r="AD335" s="89">
        <f t="shared" si="115"/>
        <v>0</v>
      </c>
      <c r="AF335" s="90" t="str">
        <f t="shared" si="117"/>
        <v/>
      </c>
      <c r="AH335" s="90" t="str">
        <f t="shared" si="119"/>
        <v/>
      </c>
      <c r="AI335" s="90">
        <f t="shared" si="120"/>
        <v>0</v>
      </c>
      <c r="AJ335" s="90" t="str">
        <f t="shared" si="121"/>
        <v/>
      </c>
      <c r="AK335" s="90" t="str">
        <f t="shared" si="122"/>
        <v/>
      </c>
      <c r="AL335" s="91"/>
      <c r="AM335" s="91">
        <f t="shared" si="123"/>
        <v>0</v>
      </c>
      <c r="AN335" s="92" t="str">
        <f t="shared" si="124"/>
        <v>No change</v>
      </c>
      <c r="AO335" s="93">
        <f>VLOOKUP(B335,'Growthrates source'!A$2:H$49,8,FALSE)</f>
        <v>4.588291307733483E-2</v>
      </c>
      <c r="AP335" s="93">
        <f>VLOOKUP(B335,'Growthrates source'!A$2:I$49,9,FALSE)</f>
        <v>5.4673730437993617E-2</v>
      </c>
      <c r="AQ335" s="86">
        <f t="shared" si="125"/>
        <v>0</v>
      </c>
      <c r="AR335" s="86">
        <f t="shared" si="126"/>
        <v>0</v>
      </c>
      <c r="AS335" s="94">
        <f t="shared" si="127"/>
        <v>0</v>
      </c>
      <c r="AT335" s="94">
        <f t="shared" si="128"/>
        <v>0</v>
      </c>
      <c r="AU335" s="94">
        <f t="shared" si="129"/>
        <v>0</v>
      </c>
      <c r="AV335" s="94">
        <f t="shared" si="130"/>
        <v>0</v>
      </c>
    </row>
    <row r="336" spans="1:48" x14ac:dyDescent="0.3">
      <c r="A336" s="85" t="str">
        <f>_xlfn.XLOOKUP(B336,'Country codes &amp; Data sources'!G:G,'Country codes &amp; Data sources'!H:H,,0)</f>
        <v>Guinea</v>
      </c>
      <c r="B336" s="85" t="s">
        <v>173</v>
      </c>
      <c r="C336" s="86">
        <v>10788708</v>
      </c>
      <c r="D336" s="85" t="s">
        <v>208</v>
      </c>
      <c r="E336" s="87">
        <v>0</v>
      </c>
      <c r="F336" s="88">
        <v>11055430.000000004</v>
      </c>
      <c r="G336" s="87">
        <v>0</v>
      </c>
      <c r="I336" s="87">
        <v>0</v>
      </c>
      <c r="K336" s="87">
        <v>0</v>
      </c>
      <c r="M336" s="87">
        <v>0</v>
      </c>
      <c r="O336" s="87">
        <v>0</v>
      </c>
      <c r="P336" s="88">
        <v>12554864.499999998</v>
      </c>
      <c r="Q336" s="87">
        <v>0</v>
      </c>
      <c r="R336" s="87">
        <f t="shared" si="112"/>
        <v>481</v>
      </c>
      <c r="T336" s="87">
        <v>0</v>
      </c>
      <c r="V336" s="87">
        <v>0</v>
      </c>
      <c r="X336" s="87">
        <v>0</v>
      </c>
      <c r="Y336" s="88">
        <v>13859340.500000006</v>
      </c>
      <c r="Z336" s="87">
        <v>0</v>
      </c>
      <c r="AA336" s="87">
        <v>481</v>
      </c>
      <c r="AB336" s="89">
        <f t="shared" si="113"/>
        <v>0</v>
      </c>
      <c r="AC336" s="89">
        <f t="shared" si="114"/>
        <v>0</v>
      </c>
      <c r="AD336" s="89">
        <f t="shared" si="115"/>
        <v>0</v>
      </c>
      <c r="AF336" s="90" t="str">
        <f t="shared" si="117"/>
        <v/>
      </c>
      <c r="AG336" s="90">
        <f t="shared" si="118"/>
        <v>481</v>
      </c>
      <c r="AH336" s="90" t="str">
        <f t="shared" si="119"/>
        <v>2018 (triag)</v>
      </c>
      <c r="AI336" s="90">
        <f t="shared" si="120"/>
        <v>481</v>
      </c>
      <c r="AJ336" s="90" t="str">
        <f t="shared" si="121"/>
        <v>2018 (triag)</v>
      </c>
      <c r="AK336" s="90" t="str">
        <f t="shared" si="122"/>
        <v/>
      </c>
      <c r="AL336" s="91">
        <f>IF(AK336="Adjust",(_xlfn.XLOOKUP(A336,'Adj factor'!A:A,'Adj factor'!I:I,,0)*AI336),'Master DataSheet (Rev)'!AI336)</f>
        <v>481</v>
      </c>
      <c r="AM336" s="91">
        <f t="shared" si="123"/>
        <v>481</v>
      </c>
      <c r="AN336" s="92" t="str">
        <f t="shared" si="124"/>
        <v>No change</v>
      </c>
      <c r="AO336" s="93">
        <f>VLOOKUP(B336,'Growthrates source'!A$2:H$49,8,FALSE)</f>
        <v>4.588291307733483E-2</v>
      </c>
      <c r="AP336" s="93">
        <f>VLOOKUP(B336,'Growthrates source'!A$2:I$49,9,FALSE)</f>
        <v>5.4673730437993617E-2</v>
      </c>
      <c r="AQ336" s="86">
        <f t="shared" si="125"/>
        <v>382.3944642424691</v>
      </c>
      <c r="AR336" s="86">
        <f t="shared" si="126"/>
        <v>566.73309525131322</v>
      </c>
      <c r="AS336" s="94">
        <f t="shared" si="127"/>
        <v>0</v>
      </c>
      <c r="AT336" s="94">
        <f t="shared" si="128"/>
        <v>0.38311843190342681</v>
      </c>
      <c r="AU336" s="94">
        <f t="shared" si="129"/>
        <v>0.34705836111032828</v>
      </c>
      <c r="AV336" s="94">
        <f t="shared" si="130"/>
        <v>0.34705836111032828</v>
      </c>
    </row>
    <row r="337" spans="1:48" x14ac:dyDescent="0.3">
      <c r="A337" s="85" t="str">
        <f>_xlfn.XLOOKUP(B337,'Country codes &amp; Data sources'!G:G,'Country codes &amp; Data sources'!H:H,,0)</f>
        <v>Guinea</v>
      </c>
      <c r="B337" s="85" t="s">
        <v>173</v>
      </c>
      <c r="C337" s="86">
        <v>10788709</v>
      </c>
      <c r="D337" s="85" t="s">
        <v>209</v>
      </c>
      <c r="E337" s="87">
        <v>0</v>
      </c>
      <c r="F337" s="88">
        <v>11055430.000000004</v>
      </c>
      <c r="G337" s="87">
        <v>0</v>
      </c>
      <c r="I337" s="87">
        <v>0</v>
      </c>
      <c r="K337" s="87">
        <v>0</v>
      </c>
      <c r="M337" s="87">
        <v>0</v>
      </c>
      <c r="O337" s="87">
        <v>0</v>
      </c>
      <c r="P337" s="88">
        <v>12554864.499999998</v>
      </c>
      <c r="Q337" s="87">
        <v>0</v>
      </c>
      <c r="R337" s="87">
        <f t="shared" si="112"/>
        <v>0</v>
      </c>
      <c r="T337" s="87">
        <v>0</v>
      </c>
      <c r="V337" s="87">
        <v>0</v>
      </c>
      <c r="X337" s="87">
        <v>0</v>
      </c>
      <c r="Y337" s="88">
        <v>13859340.500000006</v>
      </c>
      <c r="Z337" s="87">
        <v>0</v>
      </c>
      <c r="AA337" s="87">
        <v>0</v>
      </c>
      <c r="AB337" s="89">
        <f t="shared" si="113"/>
        <v>0</v>
      </c>
      <c r="AC337" s="89">
        <f t="shared" si="114"/>
        <v>0</v>
      </c>
      <c r="AD337" s="89">
        <f t="shared" si="115"/>
        <v>0</v>
      </c>
      <c r="AF337" s="90" t="str">
        <f t="shared" si="117"/>
        <v/>
      </c>
      <c r="AH337" s="90" t="str">
        <f t="shared" si="119"/>
        <v/>
      </c>
      <c r="AI337" s="90">
        <f t="shared" si="120"/>
        <v>0</v>
      </c>
      <c r="AJ337" s="90" t="str">
        <f t="shared" si="121"/>
        <v/>
      </c>
      <c r="AK337" s="90" t="str">
        <f t="shared" si="122"/>
        <v/>
      </c>
      <c r="AL337" s="91"/>
      <c r="AM337" s="91">
        <f t="shared" si="123"/>
        <v>0</v>
      </c>
      <c r="AN337" s="92" t="str">
        <f t="shared" si="124"/>
        <v>No change</v>
      </c>
      <c r="AO337" s="93">
        <f>VLOOKUP(B337,'Growthrates source'!A$2:H$49,8,FALSE)</f>
        <v>4.588291307733483E-2</v>
      </c>
      <c r="AP337" s="93">
        <f>VLOOKUP(B337,'Growthrates source'!A$2:I$49,9,FALSE)</f>
        <v>5.4673730437993617E-2</v>
      </c>
      <c r="AQ337" s="86">
        <f t="shared" si="125"/>
        <v>0</v>
      </c>
      <c r="AR337" s="86">
        <f t="shared" si="126"/>
        <v>0</v>
      </c>
      <c r="AS337" s="94">
        <f t="shared" si="127"/>
        <v>0</v>
      </c>
      <c r="AT337" s="94">
        <f t="shared" si="128"/>
        <v>0</v>
      </c>
      <c r="AU337" s="94">
        <f t="shared" si="129"/>
        <v>0</v>
      </c>
      <c r="AV337" s="94">
        <f t="shared" si="130"/>
        <v>0</v>
      </c>
    </row>
    <row r="338" spans="1:48" x14ac:dyDescent="0.3">
      <c r="A338" s="85" t="str">
        <f>_xlfn.XLOOKUP(B338,'Country codes &amp; Data sources'!G:G,'Country codes &amp; Data sources'!H:H,,0)</f>
        <v>Guinea</v>
      </c>
      <c r="B338" s="85" t="s">
        <v>173</v>
      </c>
      <c r="C338" s="86">
        <v>10788710</v>
      </c>
      <c r="D338" s="85" t="s">
        <v>134</v>
      </c>
      <c r="E338" s="87">
        <v>0</v>
      </c>
      <c r="F338" s="88">
        <v>11055430.000000004</v>
      </c>
      <c r="G338" s="87">
        <v>0</v>
      </c>
      <c r="I338" s="87">
        <v>0</v>
      </c>
      <c r="K338" s="87">
        <v>0</v>
      </c>
      <c r="M338" s="87">
        <v>209</v>
      </c>
      <c r="O338" s="87">
        <v>0</v>
      </c>
      <c r="P338" s="88">
        <v>12554864.499999998</v>
      </c>
      <c r="Q338" s="87">
        <v>0</v>
      </c>
      <c r="R338" s="87">
        <f t="shared" si="112"/>
        <v>181</v>
      </c>
      <c r="T338" s="87">
        <v>0</v>
      </c>
      <c r="V338" s="87">
        <v>0</v>
      </c>
      <c r="X338" s="87">
        <v>0</v>
      </c>
      <c r="Y338" s="88">
        <v>13859340.500000006</v>
      </c>
      <c r="Z338" s="87">
        <v>0</v>
      </c>
      <c r="AA338" s="87">
        <v>181</v>
      </c>
      <c r="AB338" s="89">
        <f t="shared" si="113"/>
        <v>0</v>
      </c>
      <c r="AC338" s="89">
        <f t="shared" si="114"/>
        <v>209</v>
      </c>
      <c r="AD338" s="89">
        <f t="shared" si="115"/>
        <v>0</v>
      </c>
      <c r="AF338" s="90" t="str">
        <f t="shared" si="117"/>
        <v/>
      </c>
      <c r="AG338" s="90">
        <f t="shared" si="118"/>
        <v>181</v>
      </c>
      <c r="AH338" s="90" t="str">
        <f t="shared" si="119"/>
        <v>2018 (triag)</v>
      </c>
      <c r="AI338" s="90">
        <f t="shared" si="120"/>
        <v>181</v>
      </c>
      <c r="AJ338" s="90" t="str">
        <f t="shared" si="121"/>
        <v>2018 (triag)</v>
      </c>
      <c r="AK338" s="90" t="str">
        <f t="shared" si="122"/>
        <v/>
      </c>
      <c r="AL338" s="91">
        <f>IF(AK338="Adjust",(_xlfn.XLOOKUP(A338,'Adj factor'!A:A,'Adj factor'!I:I,,0)*AI338),'Master DataSheet (Rev)'!AI338)</f>
        <v>181</v>
      </c>
      <c r="AM338" s="91">
        <f t="shared" si="123"/>
        <v>181</v>
      </c>
      <c r="AN338" s="92" t="str">
        <f t="shared" si="124"/>
        <v>No change</v>
      </c>
      <c r="AO338" s="93">
        <f>VLOOKUP(B338,'Growthrates source'!A$2:H$49,8,FALSE)</f>
        <v>4.588291307733483E-2</v>
      </c>
      <c r="AP338" s="93">
        <f>VLOOKUP(B338,'Growthrates source'!A$2:I$49,9,FALSE)</f>
        <v>5.4673730437993617E-2</v>
      </c>
      <c r="AQ338" s="86">
        <f t="shared" si="125"/>
        <v>143.89479839477528</v>
      </c>
      <c r="AR338" s="86">
        <f t="shared" si="126"/>
        <v>213.26131027128417</v>
      </c>
      <c r="AS338" s="94">
        <f t="shared" si="127"/>
        <v>0</v>
      </c>
      <c r="AT338" s="94">
        <f t="shared" si="128"/>
        <v>0.14416722697405457</v>
      </c>
      <c r="AU338" s="94">
        <f t="shared" si="129"/>
        <v>0.13059784482530026</v>
      </c>
      <c r="AV338" s="94">
        <f t="shared" si="130"/>
        <v>0.13059784482530026</v>
      </c>
    </row>
    <row r="339" spans="1:48" x14ac:dyDescent="0.3">
      <c r="A339" s="85" t="str">
        <f>_xlfn.XLOOKUP(B339,'Country codes &amp; Data sources'!G:G,'Country codes &amp; Data sources'!H:H,,0)</f>
        <v>Guinea</v>
      </c>
      <c r="B339" s="85" t="s">
        <v>173</v>
      </c>
      <c r="C339" s="86">
        <v>10788711</v>
      </c>
      <c r="D339" s="85" t="s">
        <v>142</v>
      </c>
      <c r="E339" s="87">
        <v>0</v>
      </c>
      <c r="F339" s="88">
        <v>11055430.000000004</v>
      </c>
      <c r="G339" s="87">
        <v>0</v>
      </c>
      <c r="I339" s="87">
        <v>0</v>
      </c>
      <c r="K339" s="87">
        <v>0</v>
      </c>
      <c r="M339" s="87">
        <v>0</v>
      </c>
      <c r="O339" s="87">
        <v>0</v>
      </c>
      <c r="P339" s="88">
        <v>12554864.499999998</v>
      </c>
      <c r="Q339" s="87">
        <v>0</v>
      </c>
      <c r="R339" s="87">
        <f t="shared" si="112"/>
        <v>62</v>
      </c>
      <c r="T339" s="87">
        <v>0</v>
      </c>
      <c r="V339" s="87">
        <v>0</v>
      </c>
      <c r="X339" s="87">
        <v>0</v>
      </c>
      <c r="Y339" s="88">
        <v>13859340.500000006</v>
      </c>
      <c r="Z339" s="87">
        <v>0</v>
      </c>
      <c r="AA339" s="87">
        <v>62</v>
      </c>
      <c r="AB339" s="89">
        <f t="shared" si="113"/>
        <v>0</v>
      </c>
      <c r="AC339" s="89">
        <f t="shared" si="114"/>
        <v>0</v>
      </c>
      <c r="AD339" s="89">
        <f t="shared" si="115"/>
        <v>0</v>
      </c>
      <c r="AF339" s="90" t="str">
        <f t="shared" si="117"/>
        <v/>
      </c>
      <c r="AG339" s="90">
        <f t="shared" si="118"/>
        <v>62</v>
      </c>
      <c r="AH339" s="90" t="str">
        <f t="shared" si="119"/>
        <v>2018 (triag)</v>
      </c>
      <c r="AI339" s="90">
        <f t="shared" si="120"/>
        <v>62</v>
      </c>
      <c r="AJ339" s="90" t="str">
        <f t="shared" si="121"/>
        <v>2018 (triag)</v>
      </c>
      <c r="AK339" s="90" t="str">
        <f t="shared" si="122"/>
        <v/>
      </c>
      <c r="AL339" s="91">
        <f>IF(AK339="Adjust",(_xlfn.XLOOKUP(A339,'Adj factor'!A:A,'Adj factor'!I:I,,0)*AI339),'Master DataSheet (Rev)'!AI339)</f>
        <v>62</v>
      </c>
      <c r="AM339" s="91">
        <f t="shared" si="123"/>
        <v>62</v>
      </c>
      <c r="AN339" s="92" t="str">
        <f t="shared" si="124"/>
        <v>No change</v>
      </c>
      <c r="AO339" s="93">
        <f>VLOOKUP(B339,'Growthrates source'!A$2:H$49,8,FALSE)</f>
        <v>4.588291307733483E-2</v>
      </c>
      <c r="AP339" s="93">
        <f>VLOOKUP(B339,'Growthrates source'!A$2:I$49,9,FALSE)</f>
        <v>5.4673730437993617E-2</v>
      </c>
      <c r="AQ339" s="86">
        <f t="shared" si="125"/>
        <v>49.289930941856724</v>
      </c>
      <c r="AR339" s="86">
        <f t="shared" si="126"/>
        <v>73.050835562539334</v>
      </c>
      <c r="AS339" s="94">
        <f t="shared" si="127"/>
        <v>0</v>
      </c>
      <c r="AT339" s="94">
        <f t="shared" si="128"/>
        <v>4.9383249018736926E-2</v>
      </c>
      <c r="AU339" s="94">
        <f t="shared" si="129"/>
        <v>4.4735173365572464E-2</v>
      </c>
      <c r="AV339" s="94">
        <f t="shared" si="130"/>
        <v>4.4735173365572464E-2</v>
      </c>
    </row>
    <row r="340" spans="1:48" x14ac:dyDescent="0.3">
      <c r="A340" s="85" t="str">
        <f>_xlfn.XLOOKUP(B340,'Country codes &amp; Data sources'!G:G,'Country codes &amp; Data sources'!H:H,,0)</f>
        <v>Guinea</v>
      </c>
      <c r="B340" s="85" t="s">
        <v>173</v>
      </c>
      <c r="C340" s="86">
        <v>10788712</v>
      </c>
      <c r="D340" s="85" t="s">
        <v>83</v>
      </c>
      <c r="E340" s="87">
        <v>0</v>
      </c>
      <c r="F340" s="88">
        <v>11055430.000000004</v>
      </c>
      <c r="G340" s="87">
        <v>0</v>
      </c>
      <c r="I340" s="87">
        <v>0</v>
      </c>
      <c r="K340" s="87">
        <v>0</v>
      </c>
      <c r="M340" s="87">
        <v>0</v>
      </c>
      <c r="O340" s="87">
        <v>0</v>
      </c>
      <c r="P340" s="88">
        <v>12554864.499999998</v>
      </c>
      <c r="Q340" s="87">
        <v>0</v>
      </c>
      <c r="R340" s="87">
        <f t="shared" si="112"/>
        <v>0</v>
      </c>
      <c r="T340" s="87">
        <v>0</v>
      </c>
      <c r="V340" s="87">
        <v>0</v>
      </c>
      <c r="X340" s="87">
        <v>0</v>
      </c>
      <c r="Y340" s="88">
        <v>13859340.500000006</v>
      </c>
      <c r="Z340" s="87">
        <v>0</v>
      </c>
      <c r="AA340" s="87">
        <v>0</v>
      </c>
      <c r="AB340" s="89">
        <f t="shared" si="113"/>
        <v>0</v>
      </c>
      <c r="AC340" s="89">
        <f t="shared" si="114"/>
        <v>0</v>
      </c>
      <c r="AD340" s="89">
        <f t="shared" si="115"/>
        <v>0</v>
      </c>
      <c r="AF340" s="90" t="str">
        <f t="shared" si="117"/>
        <v/>
      </c>
      <c r="AH340" s="90" t="str">
        <f t="shared" si="119"/>
        <v/>
      </c>
      <c r="AI340" s="90">
        <f t="shared" si="120"/>
        <v>0</v>
      </c>
      <c r="AJ340" s="90" t="str">
        <f t="shared" si="121"/>
        <v/>
      </c>
      <c r="AK340" s="90" t="str">
        <f t="shared" si="122"/>
        <v/>
      </c>
      <c r="AL340" s="91"/>
      <c r="AM340" s="91">
        <f t="shared" si="123"/>
        <v>0</v>
      </c>
      <c r="AN340" s="92" t="str">
        <f t="shared" si="124"/>
        <v>No change</v>
      </c>
      <c r="AO340" s="93">
        <f>VLOOKUP(B340,'Growthrates source'!A$2:H$49,8,FALSE)</f>
        <v>4.588291307733483E-2</v>
      </c>
      <c r="AP340" s="93">
        <f>VLOOKUP(B340,'Growthrates source'!A$2:I$49,9,FALSE)</f>
        <v>5.4673730437993617E-2</v>
      </c>
      <c r="AQ340" s="86">
        <f t="shared" si="125"/>
        <v>0</v>
      </c>
      <c r="AR340" s="86">
        <f t="shared" si="126"/>
        <v>0</v>
      </c>
      <c r="AS340" s="94">
        <f t="shared" si="127"/>
        <v>0</v>
      </c>
      <c r="AT340" s="94">
        <f t="shared" si="128"/>
        <v>0</v>
      </c>
      <c r="AU340" s="94">
        <f t="shared" si="129"/>
        <v>0</v>
      </c>
      <c r="AV340" s="94">
        <f t="shared" si="130"/>
        <v>0</v>
      </c>
    </row>
    <row r="341" spans="1:48" x14ac:dyDescent="0.3">
      <c r="A341" s="85" t="str">
        <f>_xlfn.XLOOKUP(B341,'Country codes &amp; Data sources'!G:G,'Country codes &amp; Data sources'!H:H,,0)</f>
        <v>Guinea</v>
      </c>
      <c r="B341" s="85" t="s">
        <v>173</v>
      </c>
      <c r="C341" s="86">
        <v>10788713</v>
      </c>
      <c r="D341" s="85" t="s">
        <v>84</v>
      </c>
      <c r="E341" s="87">
        <v>0</v>
      </c>
      <c r="F341" s="88">
        <v>11055430.000000004</v>
      </c>
      <c r="G341" s="87">
        <v>0</v>
      </c>
      <c r="I341" s="87">
        <v>0</v>
      </c>
      <c r="K341" s="87">
        <v>0</v>
      </c>
      <c r="M341" s="87">
        <v>0</v>
      </c>
      <c r="O341" s="87">
        <v>0</v>
      </c>
      <c r="P341" s="88">
        <v>12554864.499999998</v>
      </c>
      <c r="Q341" s="87">
        <v>0</v>
      </c>
      <c r="R341" s="87">
        <f t="shared" si="112"/>
        <v>0</v>
      </c>
      <c r="T341" s="87">
        <v>0</v>
      </c>
      <c r="V341" s="87">
        <v>0</v>
      </c>
      <c r="X341" s="87">
        <v>0</v>
      </c>
      <c r="Y341" s="88">
        <v>13859340.500000006</v>
      </c>
      <c r="Z341" s="87">
        <v>0</v>
      </c>
      <c r="AA341" s="87">
        <v>0</v>
      </c>
      <c r="AB341" s="89">
        <f t="shared" si="113"/>
        <v>0</v>
      </c>
      <c r="AC341" s="89">
        <f t="shared" si="114"/>
        <v>0</v>
      </c>
      <c r="AD341" s="89">
        <f t="shared" si="115"/>
        <v>0</v>
      </c>
      <c r="AF341" s="90" t="str">
        <f t="shared" si="117"/>
        <v/>
      </c>
      <c r="AH341" s="90" t="str">
        <f t="shared" si="119"/>
        <v/>
      </c>
      <c r="AI341" s="90">
        <f t="shared" si="120"/>
        <v>0</v>
      </c>
      <c r="AJ341" s="90" t="str">
        <f t="shared" si="121"/>
        <v/>
      </c>
      <c r="AK341" s="90" t="str">
        <f t="shared" si="122"/>
        <v/>
      </c>
      <c r="AL341" s="91"/>
      <c r="AM341" s="91">
        <f t="shared" si="123"/>
        <v>0</v>
      </c>
      <c r="AN341" s="92" t="str">
        <f t="shared" si="124"/>
        <v>No change</v>
      </c>
      <c r="AO341" s="93">
        <f>VLOOKUP(B341,'Growthrates source'!A$2:H$49,8,FALSE)</f>
        <v>4.588291307733483E-2</v>
      </c>
      <c r="AP341" s="93">
        <f>VLOOKUP(B341,'Growthrates source'!A$2:I$49,9,FALSE)</f>
        <v>5.4673730437993617E-2</v>
      </c>
      <c r="AQ341" s="86">
        <f t="shared" si="125"/>
        <v>0</v>
      </c>
      <c r="AR341" s="86">
        <f t="shared" si="126"/>
        <v>0</v>
      </c>
      <c r="AS341" s="94">
        <f t="shared" si="127"/>
        <v>0</v>
      </c>
      <c r="AT341" s="94">
        <f t="shared" si="128"/>
        <v>0</v>
      </c>
      <c r="AU341" s="94">
        <f t="shared" si="129"/>
        <v>0</v>
      </c>
      <c r="AV341" s="94">
        <f t="shared" si="130"/>
        <v>0</v>
      </c>
    </row>
    <row r="342" spans="1:48" x14ac:dyDescent="0.3">
      <c r="A342" s="85" t="str">
        <f>_xlfn.XLOOKUP(B342,'Country codes &amp; Data sources'!G:G,'Country codes &amp; Data sources'!H:H,,0)</f>
        <v>Guinea</v>
      </c>
      <c r="B342" s="85" t="s">
        <v>173</v>
      </c>
      <c r="C342" s="86">
        <v>10788714</v>
      </c>
      <c r="D342" s="85" t="s">
        <v>126</v>
      </c>
      <c r="E342" s="87">
        <v>0</v>
      </c>
      <c r="F342" s="88">
        <v>11055430.000000004</v>
      </c>
      <c r="G342" s="87">
        <v>0</v>
      </c>
      <c r="I342" s="87">
        <v>0</v>
      </c>
      <c r="K342" s="87">
        <v>0</v>
      </c>
      <c r="M342" s="87">
        <v>0</v>
      </c>
      <c r="O342" s="87">
        <v>0</v>
      </c>
      <c r="P342" s="88">
        <v>12554864.499999998</v>
      </c>
      <c r="Q342" s="87">
        <v>0</v>
      </c>
      <c r="R342" s="87">
        <f t="shared" si="112"/>
        <v>0</v>
      </c>
      <c r="T342" s="87">
        <v>0</v>
      </c>
      <c r="V342" s="87">
        <v>0</v>
      </c>
      <c r="X342" s="87">
        <v>0</v>
      </c>
      <c r="Y342" s="88">
        <v>13859340.500000006</v>
      </c>
      <c r="Z342" s="87">
        <v>0</v>
      </c>
      <c r="AA342" s="87">
        <v>0</v>
      </c>
      <c r="AB342" s="89">
        <f t="shared" si="113"/>
        <v>0</v>
      </c>
      <c r="AC342" s="89">
        <f t="shared" si="114"/>
        <v>0</v>
      </c>
      <c r="AD342" s="89">
        <f t="shared" si="115"/>
        <v>0</v>
      </c>
      <c r="AF342" s="90" t="str">
        <f t="shared" si="117"/>
        <v/>
      </c>
      <c r="AH342" s="90" t="str">
        <f t="shared" si="119"/>
        <v/>
      </c>
      <c r="AI342" s="90">
        <f t="shared" si="120"/>
        <v>0</v>
      </c>
      <c r="AJ342" s="90" t="str">
        <f t="shared" si="121"/>
        <v/>
      </c>
      <c r="AK342" s="90" t="str">
        <f t="shared" si="122"/>
        <v/>
      </c>
      <c r="AL342" s="91"/>
      <c r="AM342" s="91">
        <f t="shared" si="123"/>
        <v>0</v>
      </c>
      <c r="AN342" s="92" t="str">
        <f t="shared" si="124"/>
        <v>No change</v>
      </c>
      <c r="AO342" s="93">
        <f>VLOOKUP(B342,'Growthrates source'!A$2:H$49,8,FALSE)</f>
        <v>4.588291307733483E-2</v>
      </c>
      <c r="AP342" s="93">
        <f>VLOOKUP(B342,'Growthrates source'!A$2:I$49,9,FALSE)</f>
        <v>5.4673730437993617E-2</v>
      </c>
      <c r="AQ342" s="86">
        <f t="shared" si="125"/>
        <v>0</v>
      </c>
      <c r="AR342" s="86">
        <f t="shared" si="126"/>
        <v>0</v>
      </c>
      <c r="AS342" s="94">
        <f t="shared" si="127"/>
        <v>0</v>
      </c>
      <c r="AT342" s="94">
        <f t="shared" si="128"/>
        <v>0</v>
      </c>
      <c r="AU342" s="94">
        <f t="shared" si="129"/>
        <v>0</v>
      </c>
      <c r="AV342" s="94">
        <f t="shared" si="130"/>
        <v>0</v>
      </c>
    </row>
    <row r="343" spans="1:48" x14ac:dyDescent="0.3">
      <c r="A343" s="85" t="str">
        <f>_xlfn.XLOOKUP(B343,'Country codes &amp; Data sources'!G:G,'Country codes &amp; Data sources'!H:H,,0)</f>
        <v>Guinea</v>
      </c>
      <c r="B343" s="85" t="s">
        <v>173</v>
      </c>
      <c r="C343" s="86">
        <v>10788715</v>
      </c>
      <c r="D343" s="85" t="s">
        <v>87</v>
      </c>
      <c r="E343" s="87">
        <v>0</v>
      </c>
      <c r="F343" s="88">
        <v>11055430.000000004</v>
      </c>
      <c r="G343" s="87">
        <v>0</v>
      </c>
      <c r="I343" s="87">
        <v>0</v>
      </c>
      <c r="K343" s="87">
        <v>0</v>
      </c>
      <c r="M343" s="87">
        <v>0</v>
      </c>
      <c r="O343" s="87">
        <v>0</v>
      </c>
      <c r="P343" s="88">
        <v>12554864.499999998</v>
      </c>
      <c r="Q343" s="87">
        <v>0</v>
      </c>
      <c r="R343" s="87">
        <f t="shared" si="112"/>
        <v>0</v>
      </c>
      <c r="T343" s="87">
        <v>0</v>
      </c>
      <c r="V343" s="87">
        <v>0</v>
      </c>
      <c r="X343" s="87">
        <v>0</v>
      </c>
      <c r="Y343" s="88">
        <v>13859340.500000006</v>
      </c>
      <c r="Z343" s="87">
        <v>0</v>
      </c>
      <c r="AA343" s="87">
        <v>0</v>
      </c>
      <c r="AB343" s="89">
        <f t="shared" si="113"/>
        <v>0</v>
      </c>
      <c r="AC343" s="89">
        <f t="shared" si="114"/>
        <v>0</v>
      </c>
      <c r="AD343" s="89">
        <f t="shared" si="115"/>
        <v>0</v>
      </c>
      <c r="AF343" s="90" t="str">
        <f t="shared" si="117"/>
        <v/>
      </c>
      <c r="AH343" s="90" t="str">
        <f t="shared" si="119"/>
        <v/>
      </c>
      <c r="AI343" s="90">
        <f t="shared" si="120"/>
        <v>0</v>
      </c>
      <c r="AJ343" s="90" t="str">
        <f t="shared" si="121"/>
        <v/>
      </c>
      <c r="AK343" s="90" t="str">
        <f t="shared" si="122"/>
        <v/>
      </c>
      <c r="AL343" s="91"/>
      <c r="AM343" s="91">
        <f t="shared" si="123"/>
        <v>0</v>
      </c>
      <c r="AN343" s="92" t="str">
        <f t="shared" si="124"/>
        <v>No change</v>
      </c>
      <c r="AO343" s="93">
        <f>VLOOKUP(B343,'Growthrates source'!A$2:H$49,8,FALSE)</f>
        <v>4.588291307733483E-2</v>
      </c>
      <c r="AP343" s="93">
        <f>VLOOKUP(B343,'Growthrates source'!A$2:I$49,9,FALSE)</f>
        <v>5.4673730437993617E-2</v>
      </c>
      <c r="AQ343" s="86">
        <f t="shared" si="125"/>
        <v>0</v>
      </c>
      <c r="AR343" s="86">
        <f t="shared" si="126"/>
        <v>0</v>
      </c>
      <c r="AS343" s="94">
        <f t="shared" si="127"/>
        <v>0</v>
      </c>
      <c r="AT343" s="94">
        <f t="shared" si="128"/>
        <v>0</v>
      </c>
      <c r="AU343" s="94">
        <f t="shared" si="129"/>
        <v>0</v>
      </c>
      <c r="AV343" s="94">
        <f t="shared" si="130"/>
        <v>0</v>
      </c>
    </row>
    <row r="344" spans="1:48" x14ac:dyDescent="0.3">
      <c r="A344" s="85" t="str">
        <f>_xlfn.XLOOKUP(B344,'Country codes &amp; Data sources'!G:G,'Country codes &amp; Data sources'!H:H,,0)</f>
        <v>Gambia</v>
      </c>
      <c r="B344" s="85" t="s">
        <v>171</v>
      </c>
      <c r="C344" s="86">
        <v>2061019</v>
      </c>
      <c r="D344" s="85" t="s">
        <v>127</v>
      </c>
      <c r="E344" s="87">
        <v>0</v>
      </c>
      <c r="F344" s="88">
        <v>2124869.5</v>
      </c>
      <c r="G344" s="87">
        <v>0</v>
      </c>
      <c r="I344" s="87">
        <v>0</v>
      </c>
      <c r="K344" s="87">
        <v>0</v>
      </c>
      <c r="M344" s="87">
        <v>0</v>
      </c>
      <c r="O344" s="87">
        <v>0</v>
      </c>
      <c r="P344" s="88">
        <v>2444915.5000000014</v>
      </c>
      <c r="Q344" s="87">
        <v>1553</v>
      </c>
      <c r="R344" s="87">
        <f t="shared" si="112"/>
        <v>1553</v>
      </c>
      <c r="T344" s="87">
        <v>0</v>
      </c>
      <c r="V344" s="87">
        <v>0</v>
      </c>
      <c r="X344" s="87">
        <v>0</v>
      </c>
      <c r="Y344" s="88">
        <v>2705991.9999999995</v>
      </c>
      <c r="Z344" s="87">
        <v>0</v>
      </c>
      <c r="AA344" s="87">
        <v>1553</v>
      </c>
      <c r="AB344" s="89">
        <f t="shared" si="113"/>
        <v>0</v>
      </c>
      <c r="AC344" s="89">
        <f t="shared" si="114"/>
        <v>1553</v>
      </c>
      <c r="AD344" s="89">
        <f t="shared" si="115"/>
        <v>0</v>
      </c>
      <c r="AF344" s="90" t="str">
        <f t="shared" si="117"/>
        <v/>
      </c>
      <c r="AG344" s="90">
        <f t="shared" si="118"/>
        <v>1553</v>
      </c>
      <c r="AH344" s="90">
        <f t="shared" si="119"/>
        <v>2018</v>
      </c>
      <c r="AI344" s="90">
        <f t="shared" si="120"/>
        <v>1553</v>
      </c>
      <c r="AJ344" s="90">
        <f t="shared" si="121"/>
        <v>2018</v>
      </c>
      <c r="AK344" s="90" t="str">
        <f t="shared" si="122"/>
        <v/>
      </c>
      <c r="AL344" s="91">
        <f>IF(AK344="Adjust",(_xlfn.XLOOKUP(A344,'Adj factor'!A:A,'Adj factor'!I:I,,0)*AI344),'Master DataSheet (Rev)'!AI344)</f>
        <v>1553</v>
      </c>
      <c r="AM344" s="91">
        <f t="shared" si="123"/>
        <v>1553</v>
      </c>
      <c r="AN344" s="92" t="str">
        <f t="shared" si="124"/>
        <v>No change</v>
      </c>
      <c r="AO344" s="93">
        <f>VLOOKUP(B344,'Growthrates source'!A$2:H$49,8,FALSE)</f>
        <v>-0.22530855667613492</v>
      </c>
      <c r="AP344" s="93">
        <f>VLOOKUP(B344,'Growthrates source'!A$2:I$49,9,FALSE)</f>
        <v>0.45056501122921166</v>
      </c>
      <c r="AQ344" s="86">
        <f t="shared" si="125"/>
        <v>4790.9624849220127</v>
      </c>
      <c r="AR344" s="86">
        <f t="shared" si="126"/>
        <v>6000.7446979675451</v>
      </c>
      <c r="AS344" s="94">
        <f t="shared" si="127"/>
        <v>0</v>
      </c>
      <c r="AT344" s="94">
        <f t="shared" si="128"/>
        <v>6.3519577670475691</v>
      </c>
      <c r="AU344" s="94">
        <f t="shared" si="129"/>
        <v>5.7391152671552623</v>
      </c>
      <c r="AV344" s="94">
        <f t="shared" si="130"/>
        <v>5.7391152671552623</v>
      </c>
    </row>
    <row r="345" spans="1:48" x14ac:dyDescent="0.3">
      <c r="A345" s="85" t="str">
        <f>_xlfn.XLOOKUP(B345,'Country codes &amp; Data sources'!G:G,'Country codes &amp; Data sources'!H:H,,0)</f>
        <v>Gambia</v>
      </c>
      <c r="B345" s="85" t="s">
        <v>171</v>
      </c>
      <c r="C345" s="86">
        <v>2061020</v>
      </c>
      <c r="D345" s="85" t="s">
        <v>61</v>
      </c>
      <c r="E345" s="87">
        <v>0</v>
      </c>
      <c r="F345" s="88">
        <v>2124869.5</v>
      </c>
      <c r="G345" s="87">
        <v>0</v>
      </c>
      <c r="I345" s="87">
        <v>0</v>
      </c>
      <c r="K345" s="87">
        <v>0</v>
      </c>
      <c r="M345" s="87">
        <v>3652</v>
      </c>
      <c r="O345" s="87">
        <v>0</v>
      </c>
      <c r="P345" s="88">
        <v>2444915.5000000014</v>
      </c>
      <c r="Q345" s="87">
        <v>0</v>
      </c>
      <c r="R345" s="87">
        <f t="shared" si="112"/>
        <v>0</v>
      </c>
      <c r="T345" s="87">
        <v>0</v>
      </c>
      <c r="V345" s="87">
        <v>0</v>
      </c>
      <c r="X345" s="87">
        <v>1</v>
      </c>
      <c r="Y345" s="88">
        <v>2705991.9999999995</v>
      </c>
      <c r="Z345" s="87">
        <v>59</v>
      </c>
      <c r="AA345" s="87">
        <v>0</v>
      </c>
      <c r="AB345" s="89">
        <f t="shared" si="113"/>
        <v>0</v>
      </c>
      <c r="AC345" s="89">
        <f t="shared" si="114"/>
        <v>3652</v>
      </c>
      <c r="AD345" s="89">
        <f t="shared" si="115"/>
        <v>59</v>
      </c>
      <c r="AF345" s="90" t="str">
        <f t="shared" si="117"/>
        <v/>
      </c>
      <c r="AH345" s="90" t="str">
        <f t="shared" si="119"/>
        <v/>
      </c>
      <c r="AI345" s="90">
        <f t="shared" si="120"/>
        <v>59</v>
      </c>
      <c r="AJ345" s="90">
        <f t="shared" si="121"/>
        <v>2022</v>
      </c>
      <c r="AK345" s="90" t="str">
        <f t="shared" si="122"/>
        <v/>
      </c>
      <c r="AL345" s="91">
        <f>IF(AK345="Adjust",(_xlfn.XLOOKUP(A345,'Adj factor'!A:A,'Adj factor'!I:I,,0)*AI345),'Master DataSheet (Rev)'!AI345)</f>
        <v>59</v>
      </c>
      <c r="AM345" s="91">
        <f t="shared" si="123"/>
        <v>59</v>
      </c>
      <c r="AN345" s="92" t="str">
        <f t="shared" si="124"/>
        <v>Increasing</v>
      </c>
      <c r="AO345" s="93">
        <f>VLOOKUP(B345,'Growthrates source'!A$2:H$49,8,FALSE)</f>
        <v>-0.22530855667613492</v>
      </c>
      <c r="AP345" s="93">
        <f>VLOOKUP(B345,'Growthrates source'!A$2:I$49,9,FALSE)</f>
        <v>0.45056501122921166</v>
      </c>
      <c r="AQ345" s="86">
        <f t="shared" si="125"/>
        <v>0</v>
      </c>
      <c r="AR345" s="86">
        <f t="shared" si="126"/>
        <v>0</v>
      </c>
      <c r="AS345" s="94">
        <f t="shared" si="127"/>
        <v>0</v>
      </c>
      <c r="AT345" s="94">
        <f t="shared" si="128"/>
        <v>0</v>
      </c>
      <c r="AU345" s="94">
        <f t="shared" si="129"/>
        <v>0.21803464311793977</v>
      </c>
      <c r="AV345" s="94">
        <f t="shared" si="130"/>
        <v>0.21803464311793977</v>
      </c>
    </row>
    <row r="346" spans="1:48" x14ac:dyDescent="0.3">
      <c r="A346" s="85" t="str">
        <f>_xlfn.XLOOKUP(B346,'Country codes &amp; Data sources'!G:G,'Country codes &amp; Data sources'!H:H,,0)</f>
        <v>Gambia</v>
      </c>
      <c r="B346" s="85" t="s">
        <v>171</v>
      </c>
      <c r="C346" s="86">
        <v>2061021</v>
      </c>
      <c r="D346" s="85" t="s">
        <v>62</v>
      </c>
      <c r="E346" s="87">
        <v>0</v>
      </c>
      <c r="F346" s="88">
        <v>2124869.5</v>
      </c>
      <c r="G346" s="87">
        <v>0</v>
      </c>
      <c r="I346" s="87">
        <v>0</v>
      </c>
      <c r="K346" s="87">
        <v>0</v>
      </c>
      <c r="M346" s="87">
        <v>3831</v>
      </c>
      <c r="O346" s="87">
        <v>0</v>
      </c>
      <c r="P346" s="88">
        <v>2444915.5000000014</v>
      </c>
      <c r="Q346" s="87">
        <v>0</v>
      </c>
      <c r="R346" s="87">
        <f t="shared" si="112"/>
        <v>316</v>
      </c>
      <c r="T346" s="87">
        <v>0</v>
      </c>
      <c r="V346" s="87">
        <v>0</v>
      </c>
      <c r="X346" s="87">
        <v>2742</v>
      </c>
      <c r="Y346" s="88">
        <v>2705991.9999999995</v>
      </c>
      <c r="Z346" s="87">
        <v>2305</v>
      </c>
      <c r="AA346" s="87">
        <v>316</v>
      </c>
      <c r="AB346" s="89">
        <f t="shared" si="113"/>
        <v>0</v>
      </c>
      <c r="AC346" s="89">
        <f t="shared" si="114"/>
        <v>3831</v>
      </c>
      <c r="AD346" s="89">
        <f t="shared" si="115"/>
        <v>2742</v>
      </c>
      <c r="AF346" s="90" t="str">
        <f t="shared" si="117"/>
        <v/>
      </c>
      <c r="AG346" s="90">
        <f t="shared" si="118"/>
        <v>316</v>
      </c>
      <c r="AH346" s="90" t="str">
        <f t="shared" si="119"/>
        <v>2018 (triag)</v>
      </c>
      <c r="AI346" s="90">
        <f t="shared" si="120"/>
        <v>2305</v>
      </c>
      <c r="AJ346" s="90">
        <f t="shared" si="121"/>
        <v>2022</v>
      </c>
      <c r="AK346" s="90" t="str">
        <f t="shared" si="122"/>
        <v/>
      </c>
      <c r="AL346" s="91">
        <f>IF(AK346="Adjust",(_xlfn.XLOOKUP(A346,'Adj factor'!A:A,'Adj factor'!I:I,,0)*AI346),'Master DataSheet (Rev)'!AI346)</f>
        <v>2305</v>
      </c>
      <c r="AM346" s="91">
        <f t="shared" si="123"/>
        <v>2305</v>
      </c>
      <c r="AN346" s="92" t="str">
        <f t="shared" si="124"/>
        <v>Increasing</v>
      </c>
      <c r="AO346" s="93">
        <f>VLOOKUP(B346,'Growthrates source'!A$2:H$49,8,FALSE)</f>
        <v>-0.22530855667613492</v>
      </c>
      <c r="AP346" s="93">
        <f>VLOOKUP(B346,'Growthrates source'!A$2:I$49,9,FALSE)</f>
        <v>0.45056501122921166</v>
      </c>
      <c r="AQ346" s="86">
        <f t="shared" si="125"/>
        <v>974.85134915348101</v>
      </c>
      <c r="AR346" s="86">
        <f t="shared" si="126"/>
        <v>1221.0143751176718</v>
      </c>
      <c r="AS346" s="94">
        <f t="shared" si="127"/>
        <v>0</v>
      </c>
      <c r="AT346" s="94">
        <f t="shared" si="128"/>
        <v>1.2924782063020166</v>
      </c>
      <c r="AU346" s="94">
        <f t="shared" si="129"/>
        <v>8.5181330913025626</v>
      </c>
      <c r="AV346" s="94">
        <f t="shared" si="130"/>
        <v>8.5181330913025626</v>
      </c>
    </row>
    <row r="347" spans="1:48" x14ac:dyDescent="0.3">
      <c r="A347" s="85" t="str">
        <f>_xlfn.XLOOKUP(B347,'Country codes &amp; Data sources'!G:G,'Country codes &amp; Data sources'!H:H,,0)</f>
        <v>Gambia</v>
      </c>
      <c r="B347" s="85" t="s">
        <v>171</v>
      </c>
      <c r="C347" s="86">
        <v>2061022</v>
      </c>
      <c r="D347" s="85" t="s">
        <v>203</v>
      </c>
      <c r="E347" s="87">
        <v>0</v>
      </c>
      <c r="F347" s="88">
        <v>2124869.5</v>
      </c>
      <c r="G347" s="87">
        <v>0</v>
      </c>
      <c r="I347" s="87">
        <v>0</v>
      </c>
      <c r="K347" s="87">
        <v>0</v>
      </c>
      <c r="M347" s="87">
        <v>0</v>
      </c>
      <c r="O347" s="87">
        <v>0</v>
      </c>
      <c r="P347" s="88">
        <v>2444915.5000000014</v>
      </c>
      <c r="Q347" s="87">
        <v>0</v>
      </c>
      <c r="R347" s="87">
        <f t="shared" si="112"/>
        <v>0</v>
      </c>
      <c r="T347" s="87">
        <v>0</v>
      </c>
      <c r="V347" s="87">
        <v>0</v>
      </c>
      <c r="X347" s="87">
        <v>0</v>
      </c>
      <c r="Y347" s="88">
        <v>2705991.9999999995</v>
      </c>
      <c r="Z347" s="87">
        <v>0</v>
      </c>
      <c r="AA347" s="87">
        <v>0</v>
      </c>
      <c r="AB347" s="89">
        <f t="shared" si="113"/>
        <v>0</v>
      </c>
      <c r="AC347" s="89">
        <f t="shared" si="114"/>
        <v>0</v>
      </c>
      <c r="AD347" s="89">
        <f t="shared" si="115"/>
        <v>0</v>
      </c>
      <c r="AF347" s="90" t="str">
        <f t="shared" si="117"/>
        <v/>
      </c>
      <c r="AH347" s="90" t="str">
        <f t="shared" si="119"/>
        <v/>
      </c>
      <c r="AI347" s="90">
        <f t="shared" si="120"/>
        <v>0</v>
      </c>
      <c r="AJ347" s="90" t="str">
        <f t="shared" si="121"/>
        <v/>
      </c>
      <c r="AK347" s="90" t="str">
        <f t="shared" si="122"/>
        <v/>
      </c>
      <c r="AL347" s="91"/>
      <c r="AM347" s="91">
        <f t="shared" si="123"/>
        <v>0</v>
      </c>
      <c r="AN347" s="92" t="str">
        <f t="shared" si="124"/>
        <v>No change</v>
      </c>
      <c r="AO347" s="93">
        <f>VLOOKUP(B347,'Growthrates source'!A$2:H$49,8,FALSE)</f>
        <v>-0.22530855667613492</v>
      </c>
      <c r="AP347" s="93">
        <f>VLOOKUP(B347,'Growthrates source'!A$2:I$49,9,FALSE)</f>
        <v>0.45056501122921166</v>
      </c>
      <c r="AQ347" s="86">
        <f t="shared" si="125"/>
        <v>0</v>
      </c>
      <c r="AR347" s="86">
        <f t="shared" si="126"/>
        <v>0</v>
      </c>
      <c r="AS347" s="94">
        <f t="shared" si="127"/>
        <v>0</v>
      </c>
      <c r="AT347" s="94">
        <f t="shared" si="128"/>
        <v>0</v>
      </c>
      <c r="AU347" s="94">
        <f t="shared" si="129"/>
        <v>0</v>
      </c>
      <c r="AV347" s="94">
        <f t="shared" si="130"/>
        <v>0</v>
      </c>
    </row>
    <row r="348" spans="1:48" x14ac:dyDescent="0.3">
      <c r="A348" s="85" t="str">
        <f>_xlfn.XLOOKUP(B348,'Country codes &amp; Data sources'!G:G,'Country codes &amp; Data sources'!H:H,,0)</f>
        <v>Gambia</v>
      </c>
      <c r="B348" s="85" t="s">
        <v>171</v>
      </c>
      <c r="C348" s="86">
        <v>2061023</v>
      </c>
      <c r="D348" s="85" t="s">
        <v>204</v>
      </c>
      <c r="E348" s="87">
        <v>0</v>
      </c>
      <c r="F348" s="88">
        <v>2124869.5</v>
      </c>
      <c r="G348" s="87">
        <v>0</v>
      </c>
      <c r="I348" s="87">
        <v>0</v>
      </c>
      <c r="K348" s="87">
        <v>0</v>
      </c>
      <c r="M348" s="87">
        <v>0</v>
      </c>
      <c r="O348" s="87">
        <v>0</v>
      </c>
      <c r="P348" s="88">
        <v>2444915.5000000014</v>
      </c>
      <c r="Q348" s="87">
        <v>0</v>
      </c>
      <c r="R348" s="87">
        <f t="shared" si="112"/>
        <v>0</v>
      </c>
      <c r="T348" s="87">
        <v>246</v>
      </c>
      <c r="V348" s="87">
        <v>479</v>
      </c>
      <c r="X348" s="87">
        <v>522</v>
      </c>
      <c r="Y348" s="88">
        <v>2705991.9999999995</v>
      </c>
      <c r="Z348" s="87">
        <v>0</v>
      </c>
      <c r="AA348" s="87">
        <v>0</v>
      </c>
      <c r="AB348" s="89">
        <f t="shared" si="113"/>
        <v>0</v>
      </c>
      <c r="AC348" s="89">
        <f t="shared" si="114"/>
        <v>246</v>
      </c>
      <c r="AD348" s="89">
        <f t="shared" si="115"/>
        <v>522</v>
      </c>
      <c r="AF348" s="90" t="str">
        <f t="shared" si="117"/>
        <v/>
      </c>
      <c r="AG348" s="90">
        <f t="shared" si="118"/>
        <v>246</v>
      </c>
      <c r="AH348" s="90">
        <f t="shared" si="119"/>
        <v>2019</v>
      </c>
      <c r="AI348" s="90">
        <f t="shared" si="120"/>
        <v>522</v>
      </c>
      <c r="AJ348" s="90">
        <f t="shared" si="121"/>
        <v>2021</v>
      </c>
      <c r="AK348" s="90" t="str">
        <f t="shared" si="122"/>
        <v/>
      </c>
      <c r="AL348" s="91">
        <f>IF(AK348="Adjust",(_xlfn.XLOOKUP(A348,'Adj factor'!A:A,'Adj factor'!I:I,,0)*AI348),'Master DataSheet (Rev)'!AI348)</f>
        <v>522</v>
      </c>
      <c r="AM348" s="91">
        <f t="shared" si="123"/>
        <v>522</v>
      </c>
      <c r="AN348" s="92" t="str">
        <f t="shared" si="124"/>
        <v>Increasing</v>
      </c>
      <c r="AO348" s="93">
        <f>VLOOKUP(B348,'Growthrates source'!A$2:H$49,8,FALSE)</f>
        <v>-0.22530855667613492</v>
      </c>
      <c r="AP348" s="93">
        <f>VLOOKUP(B348,'Growthrates source'!A$2:I$49,9,FALSE)</f>
        <v>0.45056501122921166</v>
      </c>
      <c r="AQ348" s="86">
        <f t="shared" si="125"/>
        <v>0</v>
      </c>
      <c r="AR348" s="86">
        <f t="shared" si="126"/>
        <v>0</v>
      </c>
      <c r="AS348" s="94">
        <f t="shared" si="127"/>
        <v>0</v>
      </c>
      <c r="AT348" s="94">
        <f t="shared" si="128"/>
        <v>1.0061697428806839</v>
      </c>
      <c r="AU348" s="94">
        <f t="shared" si="129"/>
        <v>1.9290522662299079</v>
      </c>
      <c r="AV348" s="94">
        <f t="shared" si="130"/>
        <v>1.9290522662299079</v>
      </c>
    </row>
    <row r="349" spans="1:48" x14ac:dyDescent="0.3">
      <c r="A349" s="85" t="str">
        <f>_xlfn.XLOOKUP(B349,'Country codes &amp; Data sources'!G:G,'Country codes &amp; Data sources'!H:H,,0)</f>
        <v>Gambia</v>
      </c>
      <c r="B349" s="85" t="s">
        <v>171</v>
      </c>
      <c r="C349" s="86">
        <v>2061024</v>
      </c>
      <c r="D349" s="85" t="s">
        <v>205</v>
      </c>
      <c r="E349" s="87">
        <v>0</v>
      </c>
      <c r="F349" s="88">
        <v>2124869.5</v>
      </c>
      <c r="G349" s="87">
        <v>0</v>
      </c>
      <c r="I349" s="87">
        <v>0</v>
      </c>
      <c r="K349" s="87">
        <v>3</v>
      </c>
      <c r="M349" s="87">
        <v>0</v>
      </c>
      <c r="O349" s="87">
        <v>0</v>
      </c>
      <c r="P349" s="88">
        <v>2444915.5000000014</v>
      </c>
      <c r="Q349" s="87">
        <v>7</v>
      </c>
      <c r="R349" s="87">
        <f t="shared" si="112"/>
        <v>7</v>
      </c>
      <c r="T349" s="87">
        <v>95</v>
      </c>
      <c r="V349" s="87">
        <v>4</v>
      </c>
      <c r="X349" s="87">
        <v>6</v>
      </c>
      <c r="Y349" s="88">
        <v>2705991.9999999995</v>
      </c>
      <c r="Z349" s="87">
        <v>0</v>
      </c>
      <c r="AA349" s="87">
        <v>0</v>
      </c>
      <c r="AB349" s="89">
        <f t="shared" si="113"/>
        <v>3</v>
      </c>
      <c r="AC349" s="89">
        <f t="shared" si="114"/>
        <v>95</v>
      </c>
      <c r="AD349" s="89">
        <f t="shared" si="115"/>
        <v>6</v>
      </c>
      <c r="AE349" s="90">
        <f t="shared" si="116"/>
        <v>3</v>
      </c>
      <c r="AF349" s="90">
        <f t="shared" si="117"/>
        <v>2015</v>
      </c>
      <c r="AG349" s="90">
        <f t="shared" si="118"/>
        <v>7</v>
      </c>
      <c r="AH349" s="90">
        <f t="shared" si="119"/>
        <v>2018</v>
      </c>
      <c r="AI349" s="90">
        <f t="shared" si="120"/>
        <v>6</v>
      </c>
      <c r="AJ349" s="90">
        <f t="shared" si="121"/>
        <v>2021</v>
      </c>
      <c r="AK349" s="90" t="str">
        <f t="shared" si="122"/>
        <v>Adjust</v>
      </c>
      <c r="AL349" s="91">
        <f>IF(AK349="Adjust",(_xlfn.XLOOKUP(A349,'Adj factor'!A:A,'Adj factor'!I:I,,0)*AI349),'Master DataSheet (Rev)'!AI349)</f>
        <v>6.1085626911314987</v>
      </c>
      <c r="AM349" s="91">
        <f t="shared" si="123"/>
        <v>7</v>
      </c>
      <c r="AN349" s="92" t="str">
        <f t="shared" si="124"/>
        <v>Decreasing</v>
      </c>
      <c r="AO349" s="93">
        <f>VLOOKUP(B349,'Growthrates source'!A$2:H$49,8,FALSE)</f>
        <v>-0.22530855667613492</v>
      </c>
      <c r="AP349" s="93">
        <f>VLOOKUP(B349,'Growthrates source'!A$2:I$49,9,FALSE)</f>
        <v>0.45056501122921166</v>
      </c>
      <c r="AQ349" s="86">
        <f t="shared" si="125"/>
        <v>0</v>
      </c>
      <c r="AR349" s="86">
        <f t="shared" si="126"/>
        <v>0</v>
      </c>
      <c r="AS349" s="94">
        <f t="shared" si="127"/>
        <v>1.4118514101689539E-2</v>
      </c>
      <c r="AT349" s="94">
        <f t="shared" si="128"/>
        <v>2.8630846342133282E-2</v>
      </c>
      <c r="AU349" s="94">
        <f t="shared" si="129"/>
        <v>2.2574208242786747E-2</v>
      </c>
      <c r="AV349" s="94">
        <f t="shared" si="130"/>
        <v>2.5868516980094552E-2</v>
      </c>
    </row>
    <row r="350" spans="1:48" x14ac:dyDescent="0.3">
      <c r="A350" s="85" t="str">
        <f>_xlfn.XLOOKUP(B350,'Country codes &amp; Data sources'!G:G,'Country codes &amp; Data sources'!H:H,,0)</f>
        <v>Gambia</v>
      </c>
      <c r="B350" s="85" t="s">
        <v>171</v>
      </c>
      <c r="C350" s="86">
        <v>2061025</v>
      </c>
      <c r="D350" s="85" t="s">
        <v>133</v>
      </c>
      <c r="E350" s="87">
        <v>0</v>
      </c>
      <c r="F350" s="88">
        <v>2124869.5</v>
      </c>
      <c r="G350" s="87">
        <v>0</v>
      </c>
      <c r="I350" s="87">
        <v>0</v>
      </c>
      <c r="K350" s="87">
        <v>11</v>
      </c>
      <c r="M350" s="87">
        <v>0</v>
      </c>
      <c r="O350" s="87">
        <v>0</v>
      </c>
      <c r="P350" s="88">
        <v>2444915.5000000014</v>
      </c>
      <c r="Q350" s="87">
        <v>138</v>
      </c>
      <c r="R350" s="87">
        <f t="shared" si="112"/>
        <v>138</v>
      </c>
      <c r="T350" s="87">
        <v>22</v>
      </c>
      <c r="V350" s="87">
        <v>13</v>
      </c>
      <c r="X350" s="87">
        <v>18</v>
      </c>
      <c r="Y350" s="88">
        <v>2705991.9999999995</v>
      </c>
      <c r="Z350" s="87">
        <v>0</v>
      </c>
      <c r="AA350" s="87">
        <v>0</v>
      </c>
      <c r="AB350" s="89">
        <f t="shared" si="113"/>
        <v>11</v>
      </c>
      <c r="AC350" s="89">
        <f t="shared" si="114"/>
        <v>138</v>
      </c>
      <c r="AD350" s="89">
        <f t="shared" si="115"/>
        <v>18</v>
      </c>
      <c r="AE350" s="90">
        <f t="shared" si="116"/>
        <v>11</v>
      </c>
      <c r="AF350" s="90">
        <f t="shared" si="117"/>
        <v>2015</v>
      </c>
      <c r="AG350" s="90">
        <f t="shared" si="118"/>
        <v>138</v>
      </c>
      <c r="AH350" s="90">
        <f t="shared" si="119"/>
        <v>2018</v>
      </c>
      <c r="AI350" s="90">
        <f t="shared" si="120"/>
        <v>18</v>
      </c>
      <c r="AJ350" s="90">
        <f t="shared" si="121"/>
        <v>2021</v>
      </c>
      <c r="AK350" s="90" t="str">
        <f t="shared" si="122"/>
        <v>Adjust</v>
      </c>
      <c r="AL350" s="91">
        <f>IF(AK350="Adjust",(_xlfn.XLOOKUP(A350,'Adj factor'!A:A,'Adj factor'!I:I,,0)*AI350),'Master DataSheet (Rev)'!AI350)</f>
        <v>18.325688073394495</v>
      </c>
      <c r="AM350" s="91">
        <f t="shared" si="123"/>
        <v>138</v>
      </c>
      <c r="AN350" s="92" t="str">
        <f t="shared" si="124"/>
        <v>Decreasing</v>
      </c>
      <c r="AO350" s="93">
        <f>VLOOKUP(B350,'Growthrates source'!A$2:H$49,8,FALSE)</f>
        <v>-0.22530855667613492</v>
      </c>
      <c r="AP350" s="93">
        <f>VLOOKUP(B350,'Growthrates source'!A$2:I$49,9,FALSE)</f>
        <v>0.45056501122921166</v>
      </c>
      <c r="AQ350" s="86">
        <f t="shared" si="125"/>
        <v>0</v>
      </c>
      <c r="AR350" s="86">
        <f t="shared" si="126"/>
        <v>0</v>
      </c>
      <c r="AS350" s="94">
        <f t="shared" si="127"/>
        <v>5.1767885039528311E-2</v>
      </c>
      <c r="AT350" s="94">
        <f t="shared" si="128"/>
        <v>0.56443668503062749</v>
      </c>
      <c r="AU350" s="94">
        <f t="shared" si="129"/>
        <v>6.7722624728360242E-2</v>
      </c>
      <c r="AV350" s="94">
        <f t="shared" si="130"/>
        <v>0.50997933475043544</v>
      </c>
    </row>
    <row r="351" spans="1:48" x14ac:dyDescent="0.3">
      <c r="A351" s="85" t="str">
        <f>_xlfn.XLOOKUP(B351,'Country codes &amp; Data sources'!G:G,'Country codes &amp; Data sources'!H:H,,0)</f>
        <v>Gambia</v>
      </c>
      <c r="B351" s="85" t="s">
        <v>171</v>
      </c>
      <c r="C351" s="86">
        <v>2061026</v>
      </c>
      <c r="D351" s="85" t="s">
        <v>206</v>
      </c>
      <c r="E351" s="87">
        <v>0</v>
      </c>
      <c r="F351" s="88">
        <v>2124869.5</v>
      </c>
      <c r="G351" s="87">
        <v>0</v>
      </c>
      <c r="I351" s="87">
        <v>0</v>
      </c>
      <c r="K351" s="87">
        <v>0</v>
      </c>
      <c r="M351" s="87">
        <v>0</v>
      </c>
      <c r="O351" s="87">
        <v>0</v>
      </c>
      <c r="P351" s="88">
        <v>2444915.5000000014</v>
      </c>
      <c r="Q351" s="87">
        <v>0</v>
      </c>
      <c r="R351" s="87">
        <f t="shared" si="112"/>
        <v>0</v>
      </c>
      <c r="T351" s="87">
        <v>0</v>
      </c>
      <c r="V351" s="87">
        <v>0</v>
      </c>
      <c r="X351" s="87">
        <v>0</v>
      </c>
      <c r="Y351" s="88">
        <v>2705991.9999999995</v>
      </c>
      <c r="Z351" s="87">
        <v>0</v>
      </c>
      <c r="AA351" s="87">
        <v>0</v>
      </c>
      <c r="AB351" s="89">
        <f t="shared" si="113"/>
        <v>0</v>
      </c>
      <c r="AC351" s="89">
        <f t="shared" si="114"/>
        <v>0</v>
      </c>
      <c r="AD351" s="89">
        <f t="shared" si="115"/>
        <v>0</v>
      </c>
      <c r="AF351" s="90" t="str">
        <f t="shared" si="117"/>
        <v/>
      </c>
      <c r="AH351" s="90" t="str">
        <f t="shared" si="119"/>
        <v/>
      </c>
      <c r="AI351" s="90">
        <f t="shared" si="120"/>
        <v>0</v>
      </c>
      <c r="AJ351" s="90" t="str">
        <f t="shared" si="121"/>
        <v/>
      </c>
      <c r="AK351" s="90" t="str">
        <f t="shared" si="122"/>
        <v/>
      </c>
      <c r="AL351" s="91"/>
      <c r="AM351" s="91">
        <f t="shared" si="123"/>
        <v>0</v>
      </c>
      <c r="AN351" s="92" t="str">
        <f t="shared" si="124"/>
        <v>No change</v>
      </c>
      <c r="AO351" s="93">
        <f>VLOOKUP(B351,'Growthrates source'!A$2:H$49,8,FALSE)</f>
        <v>-0.22530855667613492</v>
      </c>
      <c r="AP351" s="93">
        <f>VLOOKUP(B351,'Growthrates source'!A$2:I$49,9,FALSE)</f>
        <v>0.45056501122921166</v>
      </c>
      <c r="AQ351" s="86">
        <f t="shared" si="125"/>
        <v>0</v>
      </c>
      <c r="AR351" s="86">
        <f t="shared" si="126"/>
        <v>0</v>
      </c>
      <c r="AS351" s="94">
        <f t="shared" si="127"/>
        <v>0</v>
      </c>
      <c r="AT351" s="94">
        <f t="shared" si="128"/>
        <v>0</v>
      </c>
      <c r="AU351" s="94">
        <f t="shared" si="129"/>
        <v>0</v>
      </c>
      <c r="AV351" s="94">
        <f t="shared" si="130"/>
        <v>0</v>
      </c>
    </row>
    <row r="352" spans="1:48" x14ac:dyDescent="0.3">
      <c r="A352" s="85" t="str">
        <f>_xlfn.XLOOKUP(B352,'Country codes &amp; Data sources'!G:G,'Country codes &amp; Data sources'!H:H,,0)</f>
        <v>Gambia</v>
      </c>
      <c r="B352" s="85" t="s">
        <v>171</v>
      </c>
      <c r="C352" s="86">
        <v>2061027</v>
      </c>
      <c r="D352" s="85" t="s">
        <v>136</v>
      </c>
      <c r="E352" s="87">
        <v>0</v>
      </c>
      <c r="F352" s="88">
        <v>2124869.5</v>
      </c>
      <c r="G352" s="87">
        <v>0</v>
      </c>
      <c r="I352" s="87">
        <v>0</v>
      </c>
      <c r="K352" s="87">
        <v>32</v>
      </c>
      <c r="M352" s="87">
        <v>0</v>
      </c>
      <c r="O352" s="87">
        <v>0</v>
      </c>
      <c r="P352" s="88">
        <v>2444915.5000000014</v>
      </c>
      <c r="Q352" s="87">
        <v>0</v>
      </c>
      <c r="R352" s="87">
        <f t="shared" si="112"/>
        <v>0</v>
      </c>
      <c r="T352" s="87">
        <v>149</v>
      </c>
      <c r="V352" s="87">
        <v>173</v>
      </c>
      <c r="X352" s="87">
        <v>172</v>
      </c>
      <c r="Y352" s="88">
        <v>2705991.9999999995</v>
      </c>
      <c r="Z352" s="87">
        <v>0</v>
      </c>
      <c r="AA352" s="87">
        <v>0</v>
      </c>
      <c r="AB352" s="89">
        <f t="shared" si="113"/>
        <v>32</v>
      </c>
      <c r="AC352" s="89">
        <f t="shared" si="114"/>
        <v>149</v>
      </c>
      <c r="AD352" s="89">
        <f t="shared" si="115"/>
        <v>173</v>
      </c>
      <c r="AE352" s="90">
        <f t="shared" si="116"/>
        <v>32</v>
      </c>
      <c r="AF352" s="90">
        <f t="shared" si="117"/>
        <v>2015</v>
      </c>
      <c r="AG352" s="90">
        <f t="shared" si="118"/>
        <v>149</v>
      </c>
      <c r="AH352" s="90">
        <f t="shared" si="119"/>
        <v>2019</v>
      </c>
      <c r="AI352" s="90">
        <f t="shared" si="120"/>
        <v>172</v>
      </c>
      <c r="AJ352" s="90">
        <f t="shared" si="121"/>
        <v>2021</v>
      </c>
      <c r="AK352" s="90" t="str">
        <f t="shared" si="122"/>
        <v/>
      </c>
      <c r="AL352" s="91">
        <f>IF(AK352="Adjust",(_xlfn.XLOOKUP(A352,'Adj factor'!A:A,'Adj factor'!I:I,,0)*AI352),'Master DataSheet (Rev)'!AI352)</f>
        <v>172</v>
      </c>
      <c r="AM352" s="91">
        <f t="shared" si="123"/>
        <v>172</v>
      </c>
      <c r="AN352" s="92" t="str">
        <f t="shared" si="124"/>
        <v>Increasing</v>
      </c>
      <c r="AO352" s="93">
        <f>VLOOKUP(B352,'Growthrates source'!A$2:H$49,8,FALSE)</f>
        <v>-0.22530855667613492</v>
      </c>
      <c r="AP352" s="93">
        <f>VLOOKUP(B352,'Growthrates source'!A$2:I$49,9,FALSE)</f>
        <v>0.45056501122921166</v>
      </c>
      <c r="AQ352" s="86">
        <f t="shared" si="125"/>
        <v>0</v>
      </c>
      <c r="AR352" s="86">
        <f t="shared" si="126"/>
        <v>0</v>
      </c>
      <c r="AS352" s="94">
        <f t="shared" si="127"/>
        <v>0.15059748375135509</v>
      </c>
      <c r="AT352" s="94">
        <f t="shared" si="128"/>
        <v>0.60942801499683696</v>
      </c>
      <c r="AU352" s="94">
        <f t="shared" si="129"/>
        <v>0.63562641722518043</v>
      </c>
      <c r="AV352" s="94">
        <f t="shared" si="130"/>
        <v>0.63562641722518043</v>
      </c>
    </row>
    <row r="353" spans="1:48" x14ac:dyDescent="0.3">
      <c r="A353" s="85" t="str">
        <f>_xlfn.XLOOKUP(B353,'Country codes &amp; Data sources'!G:G,'Country codes &amp; Data sources'!H:H,,0)</f>
        <v>Gambia</v>
      </c>
      <c r="B353" s="85" t="s">
        <v>171</v>
      </c>
      <c r="C353" s="86">
        <v>2061028</v>
      </c>
      <c r="D353" s="85" t="s">
        <v>207</v>
      </c>
      <c r="E353" s="87">
        <v>0</v>
      </c>
      <c r="F353" s="88">
        <v>2124869.5</v>
      </c>
      <c r="G353" s="87">
        <v>0</v>
      </c>
      <c r="I353" s="87">
        <v>0</v>
      </c>
      <c r="K353" s="87">
        <v>0</v>
      </c>
      <c r="M353" s="87">
        <v>0</v>
      </c>
      <c r="O353" s="87">
        <v>0</v>
      </c>
      <c r="P353" s="88">
        <v>2444915.5000000014</v>
      </c>
      <c r="Q353" s="87">
        <v>0</v>
      </c>
      <c r="R353" s="87">
        <f t="shared" si="112"/>
        <v>0</v>
      </c>
      <c r="T353" s="87">
        <v>0</v>
      </c>
      <c r="V353" s="87">
        <v>0</v>
      </c>
      <c r="X353" s="87">
        <v>0</v>
      </c>
      <c r="Y353" s="88">
        <v>2705991.9999999995</v>
      </c>
      <c r="Z353" s="87">
        <v>0</v>
      </c>
      <c r="AA353" s="87">
        <v>0</v>
      </c>
      <c r="AB353" s="89">
        <f t="shared" si="113"/>
        <v>0</v>
      </c>
      <c r="AC353" s="89">
        <f t="shared" si="114"/>
        <v>0</v>
      </c>
      <c r="AD353" s="89">
        <f t="shared" si="115"/>
        <v>0</v>
      </c>
      <c r="AF353" s="90" t="str">
        <f t="shared" si="117"/>
        <v/>
      </c>
      <c r="AH353" s="90" t="str">
        <f t="shared" si="119"/>
        <v/>
      </c>
      <c r="AI353" s="90">
        <f t="shared" si="120"/>
        <v>0</v>
      </c>
      <c r="AJ353" s="90" t="str">
        <f t="shared" si="121"/>
        <v/>
      </c>
      <c r="AK353" s="90" t="str">
        <f t="shared" si="122"/>
        <v/>
      </c>
      <c r="AL353" s="91"/>
      <c r="AM353" s="91">
        <f t="shared" si="123"/>
        <v>0</v>
      </c>
      <c r="AN353" s="92" t="str">
        <f t="shared" si="124"/>
        <v>No change</v>
      </c>
      <c r="AO353" s="93">
        <f>VLOOKUP(B353,'Growthrates source'!A$2:H$49,8,FALSE)</f>
        <v>-0.22530855667613492</v>
      </c>
      <c r="AP353" s="93">
        <f>VLOOKUP(B353,'Growthrates source'!A$2:I$49,9,FALSE)</f>
        <v>0.45056501122921166</v>
      </c>
      <c r="AQ353" s="86">
        <f t="shared" si="125"/>
        <v>0</v>
      </c>
      <c r="AR353" s="86">
        <f t="shared" si="126"/>
        <v>0</v>
      </c>
      <c r="AS353" s="94">
        <f t="shared" si="127"/>
        <v>0</v>
      </c>
      <c r="AT353" s="94">
        <f t="shared" si="128"/>
        <v>0</v>
      </c>
      <c r="AU353" s="94">
        <f t="shared" si="129"/>
        <v>0</v>
      </c>
      <c r="AV353" s="94">
        <f t="shared" si="130"/>
        <v>0</v>
      </c>
    </row>
    <row r="354" spans="1:48" x14ac:dyDescent="0.3">
      <c r="A354" s="85" t="str">
        <f>_xlfn.XLOOKUP(B354,'Country codes &amp; Data sources'!G:G,'Country codes &amp; Data sources'!H:H,,0)</f>
        <v>Gambia</v>
      </c>
      <c r="B354" s="85" t="s">
        <v>171</v>
      </c>
      <c r="C354" s="86">
        <v>2061029</v>
      </c>
      <c r="D354" s="85" t="s">
        <v>141</v>
      </c>
      <c r="E354" s="87">
        <v>0</v>
      </c>
      <c r="F354" s="88">
        <v>2124869.5</v>
      </c>
      <c r="G354" s="87">
        <v>0</v>
      </c>
      <c r="I354" s="87">
        <v>0</v>
      </c>
      <c r="K354" s="87">
        <v>17</v>
      </c>
      <c r="M354" s="87">
        <v>0</v>
      </c>
      <c r="O354" s="87">
        <v>0</v>
      </c>
      <c r="P354" s="88">
        <v>2444915.5000000014</v>
      </c>
      <c r="Q354" s="87">
        <v>0</v>
      </c>
      <c r="R354" s="87">
        <f t="shared" si="112"/>
        <v>0</v>
      </c>
      <c r="T354" s="87">
        <v>16</v>
      </c>
      <c r="V354" s="87">
        <v>20</v>
      </c>
      <c r="X354" s="87">
        <v>18</v>
      </c>
      <c r="Y354" s="88">
        <v>2705991.9999999995</v>
      </c>
      <c r="Z354" s="87">
        <v>0</v>
      </c>
      <c r="AA354" s="87">
        <v>0</v>
      </c>
      <c r="AB354" s="89">
        <f t="shared" si="113"/>
        <v>17</v>
      </c>
      <c r="AC354" s="89">
        <f t="shared" si="114"/>
        <v>16</v>
      </c>
      <c r="AD354" s="89">
        <f t="shared" si="115"/>
        <v>20</v>
      </c>
      <c r="AE354" s="90">
        <f t="shared" si="116"/>
        <v>17</v>
      </c>
      <c r="AF354" s="90">
        <f t="shared" si="117"/>
        <v>2015</v>
      </c>
      <c r="AG354" s="90">
        <f t="shared" si="118"/>
        <v>16</v>
      </c>
      <c r="AH354" s="90">
        <f t="shared" si="119"/>
        <v>2019</v>
      </c>
      <c r="AI354" s="90">
        <f t="shared" si="120"/>
        <v>18</v>
      </c>
      <c r="AJ354" s="90">
        <f t="shared" si="121"/>
        <v>2021</v>
      </c>
      <c r="AK354" s="90" t="str">
        <f t="shared" si="122"/>
        <v/>
      </c>
      <c r="AL354" s="91">
        <f>IF(AK354="Adjust",(_xlfn.XLOOKUP(A354,'Adj factor'!A:A,'Adj factor'!I:I,,0)*AI354),'Master DataSheet (Rev)'!AI354)</f>
        <v>18</v>
      </c>
      <c r="AM354" s="91">
        <f t="shared" si="123"/>
        <v>18</v>
      </c>
      <c r="AN354" s="92" t="str">
        <f t="shared" si="124"/>
        <v>Increasing</v>
      </c>
      <c r="AO354" s="93">
        <f>VLOOKUP(B354,'Growthrates source'!A$2:H$49,8,FALSE)</f>
        <v>-0.22530855667613492</v>
      </c>
      <c r="AP354" s="93">
        <f>VLOOKUP(B354,'Growthrates source'!A$2:I$49,9,FALSE)</f>
        <v>0.45056501122921166</v>
      </c>
      <c r="AQ354" s="86">
        <f t="shared" si="125"/>
        <v>0</v>
      </c>
      <c r="AR354" s="86">
        <f t="shared" si="126"/>
        <v>0</v>
      </c>
      <c r="AS354" s="94">
        <f t="shared" si="127"/>
        <v>8.0004913242907386E-2</v>
      </c>
      <c r="AT354" s="94">
        <f t="shared" si="128"/>
        <v>6.5441934496304643E-2</v>
      </c>
      <c r="AU354" s="94">
        <f t="shared" si="129"/>
        <v>6.6519043663100269E-2</v>
      </c>
      <c r="AV354" s="94">
        <f t="shared" si="130"/>
        <v>6.6519043663100269E-2</v>
      </c>
    </row>
    <row r="355" spans="1:48" x14ac:dyDescent="0.3">
      <c r="A355" s="85" t="str">
        <f>_xlfn.XLOOKUP(B355,'Country codes &amp; Data sources'!G:G,'Country codes &amp; Data sources'!H:H,,0)</f>
        <v>Gambia</v>
      </c>
      <c r="B355" s="85" t="s">
        <v>171</v>
      </c>
      <c r="C355" s="86">
        <v>2061030</v>
      </c>
      <c r="D355" s="85" t="s">
        <v>208</v>
      </c>
      <c r="E355" s="87">
        <v>0</v>
      </c>
      <c r="F355" s="88">
        <v>2124869.5</v>
      </c>
      <c r="G355" s="87">
        <v>0</v>
      </c>
      <c r="I355" s="87">
        <v>0</v>
      </c>
      <c r="K355" s="87">
        <v>0</v>
      </c>
      <c r="M355" s="87">
        <v>0</v>
      </c>
      <c r="O355" s="87">
        <v>0</v>
      </c>
      <c r="P355" s="88">
        <v>2444915.5000000014</v>
      </c>
      <c r="Q355" s="87">
        <v>0</v>
      </c>
      <c r="R355" s="87">
        <f t="shared" si="112"/>
        <v>0</v>
      </c>
      <c r="T355" s="87">
        <v>0</v>
      </c>
      <c r="V355" s="87">
        <v>0</v>
      </c>
      <c r="X355" s="87">
        <v>0</v>
      </c>
      <c r="Y355" s="88">
        <v>2705991.9999999995</v>
      </c>
      <c r="Z355" s="87">
        <v>0</v>
      </c>
      <c r="AA355" s="87">
        <v>0</v>
      </c>
      <c r="AB355" s="89">
        <f t="shared" si="113"/>
        <v>0</v>
      </c>
      <c r="AC355" s="89">
        <f t="shared" si="114"/>
        <v>0</v>
      </c>
      <c r="AD355" s="89">
        <f t="shared" si="115"/>
        <v>0</v>
      </c>
      <c r="AF355" s="90" t="str">
        <f t="shared" si="117"/>
        <v/>
      </c>
      <c r="AH355" s="90" t="str">
        <f t="shared" si="119"/>
        <v/>
      </c>
      <c r="AI355" s="90">
        <f t="shared" si="120"/>
        <v>0</v>
      </c>
      <c r="AJ355" s="90" t="str">
        <f t="shared" si="121"/>
        <v/>
      </c>
      <c r="AK355" s="90" t="str">
        <f t="shared" si="122"/>
        <v/>
      </c>
      <c r="AL355" s="91"/>
      <c r="AM355" s="91">
        <f t="shared" si="123"/>
        <v>0</v>
      </c>
      <c r="AN355" s="92" t="str">
        <f t="shared" si="124"/>
        <v>No change</v>
      </c>
      <c r="AO355" s="93">
        <f>VLOOKUP(B355,'Growthrates source'!A$2:H$49,8,FALSE)</f>
        <v>-0.22530855667613492</v>
      </c>
      <c r="AP355" s="93">
        <f>VLOOKUP(B355,'Growthrates source'!A$2:I$49,9,FALSE)</f>
        <v>0.45056501122921166</v>
      </c>
      <c r="AQ355" s="86">
        <f t="shared" si="125"/>
        <v>0</v>
      </c>
      <c r="AR355" s="86">
        <f t="shared" si="126"/>
        <v>0</v>
      </c>
      <c r="AS355" s="94">
        <f t="shared" si="127"/>
        <v>0</v>
      </c>
      <c r="AT355" s="94">
        <f t="shared" si="128"/>
        <v>0</v>
      </c>
      <c r="AU355" s="94">
        <f t="shared" si="129"/>
        <v>0</v>
      </c>
      <c r="AV355" s="94">
        <f t="shared" si="130"/>
        <v>0</v>
      </c>
    </row>
    <row r="356" spans="1:48" x14ac:dyDescent="0.3">
      <c r="A356" s="85" t="str">
        <f>_xlfn.XLOOKUP(B356,'Country codes &amp; Data sources'!G:G,'Country codes &amp; Data sources'!H:H,,0)</f>
        <v>Gambia</v>
      </c>
      <c r="B356" s="85" t="s">
        <v>171</v>
      </c>
      <c r="C356" s="86">
        <v>2061031</v>
      </c>
      <c r="D356" s="85" t="s">
        <v>209</v>
      </c>
      <c r="E356" s="87">
        <v>0</v>
      </c>
      <c r="F356" s="88">
        <v>2124869.5</v>
      </c>
      <c r="G356" s="87">
        <v>0</v>
      </c>
      <c r="I356" s="87">
        <v>0</v>
      </c>
      <c r="K356" s="87">
        <v>0</v>
      </c>
      <c r="M356" s="87">
        <v>0</v>
      </c>
      <c r="O356" s="87">
        <v>0</v>
      </c>
      <c r="P356" s="88">
        <v>2444915.5000000014</v>
      </c>
      <c r="Q356" s="87">
        <v>0</v>
      </c>
      <c r="R356" s="87">
        <f t="shared" ref="R356:R404" si="131">MAX(Q356,AA356)</f>
        <v>0</v>
      </c>
      <c r="T356" s="87">
        <v>0</v>
      </c>
      <c r="V356" s="87">
        <v>2253</v>
      </c>
      <c r="X356" s="87">
        <v>2193</v>
      </c>
      <c r="Y356" s="88">
        <v>2705991.9999999995</v>
      </c>
      <c r="Z356" s="87">
        <v>0</v>
      </c>
      <c r="AA356" s="87">
        <v>0</v>
      </c>
      <c r="AB356" s="89">
        <f t="shared" ref="AB356:AB404" si="132">MAX(G356,E356,I356,K356)</f>
        <v>0</v>
      </c>
      <c r="AC356" s="89">
        <f t="shared" ref="AC356:AC404" si="133">MAX(M356,O356,Q356,T356)</f>
        <v>0</v>
      </c>
      <c r="AD356" s="89">
        <f t="shared" ref="AD356:AD404" si="134">MAX(V356,X356,Z356)</f>
        <v>2253</v>
      </c>
      <c r="AF356" s="90" t="str">
        <f t="shared" ref="AF356:AF404" si="135">IF(AE356&gt;0,_xlfn.XLOOKUP(AE356,$B356:$K356,$B$1:$K$1,,0),"")</f>
        <v/>
      </c>
      <c r="AH356" s="90" t="str">
        <f t="shared" ref="AH356:AH404" si="136">IF(AG356&gt;0,_xlfn.XLOOKUP(AG356,$L356:$T356,$L$1:$T$1,,0),"")</f>
        <v/>
      </c>
      <c r="AI356" s="90">
        <f t="shared" ref="AI356:AI404" si="137">IF((IF(Z356&gt;0,Z356,IF(X356&gt;0,X356,IF(V356&gt;0,V356,T356))))=0,AG356,IF(Z356&gt;0,Z356,IF(X356&gt;0,X356,IF(V356&gt;0,V356,T356))))</f>
        <v>2193</v>
      </c>
      <c r="AJ356" s="90">
        <f t="shared" ref="AJ356:AJ404" si="138">IFERROR(IF(AI356&gt;0,_xlfn.XLOOKUP(AI356,$V356:$Z356,$V$1:$Z$1,,0),""),AH356)</f>
        <v>2021</v>
      </c>
      <c r="AK356" s="90" t="str">
        <f t="shared" ref="AK356:AK404" si="139">IF(AI356&lt;AG356,"Adjust","")</f>
        <v/>
      </c>
      <c r="AL356" s="91">
        <f>IF(AK356="Adjust",(_xlfn.XLOOKUP(A356,'Adj factor'!A:A,'Adj factor'!I:I,,0)*AI356),'Master DataSheet (Rev)'!AI356)</f>
        <v>2193</v>
      </c>
      <c r="AM356" s="91">
        <f t="shared" ref="AM356:AM404" si="140">IF(AL356&lt;AG356,AG356,AL356)</f>
        <v>2193</v>
      </c>
      <c r="AN356" s="92" t="str">
        <f t="shared" ref="AN356:AN404" si="141">IF(AL356&gt;AG356,"Increasing",IF(AL356&lt;AG356,"Decreasing","No change"))</f>
        <v>Increasing</v>
      </c>
      <c r="AO356" s="93">
        <f>VLOOKUP(B356,'Growthrates source'!A$2:H$49,8,FALSE)</f>
        <v>-0.22530855667613492</v>
      </c>
      <c r="AP356" s="93">
        <f>VLOOKUP(B356,'Growthrates source'!A$2:I$49,9,FALSE)</f>
        <v>0.45056501122921166</v>
      </c>
      <c r="AQ356" s="86">
        <f t="shared" ref="AQ356:AQ404" si="142">AA356/(EXP(AO356*5))</f>
        <v>0</v>
      </c>
      <c r="AR356" s="86">
        <f t="shared" ref="AR356:AR404" si="143">AA356*EXP(AP356*3)</f>
        <v>0</v>
      </c>
      <c r="AS356" s="94">
        <f t="shared" ref="AS356:AS404" si="144">(AE356*10000)/F356</f>
        <v>0</v>
      </c>
      <c r="AT356" s="94">
        <f t="shared" ref="AT356:AT404" si="145">(AG356*10000)/P356</f>
        <v>0</v>
      </c>
      <c r="AU356" s="94">
        <f t="shared" si="129"/>
        <v>8.1042368196210504</v>
      </c>
      <c r="AV356" s="94">
        <f t="shared" si="130"/>
        <v>8.1042368196210504</v>
      </c>
    </row>
    <row r="357" spans="1:48" x14ac:dyDescent="0.3">
      <c r="A357" s="85" t="str">
        <f>_xlfn.XLOOKUP(B357,'Country codes &amp; Data sources'!G:G,'Country codes &amp; Data sources'!H:H,,0)</f>
        <v>Gambia</v>
      </c>
      <c r="B357" s="85" t="s">
        <v>171</v>
      </c>
      <c r="C357" s="86">
        <v>2061032</v>
      </c>
      <c r="D357" s="85" t="s">
        <v>134</v>
      </c>
      <c r="E357" s="87">
        <v>0</v>
      </c>
      <c r="F357" s="88">
        <v>2124869.5</v>
      </c>
      <c r="G357" s="87">
        <v>0</v>
      </c>
      <c r="I357" s="87">
        <v>0</v>
      </c>
      <c r="K357" s="87">
        <v>141</v>
      </c>
      <c r="M357" s="87">
        <v>0</v>
      </c>
      <c r="O357" s="87">
        <v>0</v>
      </c>
      <c r="P357" s="88">
        <v>2444915.5000000014</v>
      </c>
      <c r="Q357" s="87">
        <v>0</v>
      </c>
      <c r="R357" s="87">
        <f t="shared" si="131"/>
        <v>138</v>
      </c>
      <c r="T357" s="87">
        <v>0</v>
      </c>
      <c r="V357" s="87">
        <v>0</v>
      </c>
      <c r="X357" s="87">
        <v>0</v>
      </c>
      <c r="Y357" s="88">
        <v>2705991.9999999995</v>
      </c>
      <c r="Z357" s="87">
        <v>0</v>
      </c>
      <c r="AA357" s="87">
        <v>138</v>
      </c>
      <c r="AB357" s="89">
        <f t="shared" si="132"/>
        <v>141</v>
      </c>
      <c r="AC357" s="89">
        <f t="shared" si="133"/>
        <v>0</v>
      </c>
      <c r="AD357" s="89">
        <f t="shared" si="134"/>
        <v>0</v>
      </c>
      <c r="AE357" s="90">
        <f t="shared" ref="AE357:AE403" si="146">IF(G357&gt;0,G357,IF(E357&gt;0,E357,IF(I357&gt;0,I357,K357)))</f>
        <v>141</v>
      </c>
      <c r="AF357" s="90">
        <f t="shared" si="135"/>
        <v>2015</v>
      </c>
      <c r="AG357" s="90">
        <f t="shared" ref="AG357:AG403" si="147">IF(R357&gt;0,R357,IF(O357&gt;0,O357,T357))</f>
        <v>138</v>
      </c>
      <c r="AH357" s="90" t="str">
        <f t="shared" si="136"/>
        <v>2018 (triag)</v>
      </c>
      <c r="AI357" s="90">
        <f t="shared" si="137"/>
        <v>138</v>
      </c>
      <c r="AJ357" s="90" t="str">
        <f t="shared" si="138"/>
        <v>2018 (triag)</v>
      </c>
      <c r="AK357" s="90" t="str">
        <f t="shared" si="139"/>
        <v/>
      </c>
      <c r="AL357" s="91">
        <f>IF(AK357="Adjust",(_xlfn.XLOOKUP(A357,'Adj factor'!A:A,'Adj factor'!I:I,,0)*AI357),'Master DataSheet (Rev)'!AI357)</f>
        <v>138</v>
      </c>
      <c r="AM357" s="91">
        <f t="shared" si="140"/>
        <v>138</v>
      </c>
      <c r="AN357" s="92" t="str">
        <f t="shared" si="141"/>
        <v>No change</v>
      </c>
      <c r="AO357" s="93">
        <f>VLOOKUP(B357,'Growthrates source'!A$2:H$49,8,FALSE)</f>
        <v>-0.22530855667613492</v>
      </c>
      <c r="AP357" s="93">
        <f>VLOOKUP(B357,'Growthrates source'!A$2:I$49,9,FALSE)</f>
        <v>0.45056501122921166</v>
      </c>
      <c r="AQ357" s="86">
        <f t="shared" si="142"/>
        <v>425.72622209867211</v>
      </c>
      <c r="AR357" s="86">
        <f t="shared" si="143"/>
        <v>533.22779672860349</v>
      </c>
      <c r="AS357" s="94">
        <f t="shared" si="144"/>
        <v>0.66357016277940839</v>
      </c>
      <c r="AT357" s="94">
        <f t="shared" si="145"/>
        <v>0.56443668503062749</v>
      </c>
      <c r="AU357" s="94">
        <f t="shared" si="129"/>
        <v>0.50997933475043544</v>
      </c>
      <c r="AV357" s="94">
        <f t="shared" si="130"/>
        <v>0.50997933475043544</v>
      </c>
    </row>
    <row r="358" spans="1:48" x14ac:dyDescent="0.3">
      <c r="A358" s="85" t="str">
        <f>_xlfn.XLOOKUP(B358,'Country codes &amp; Data sources'!G:G,'Country codes &amp; Data sources'!H:H,,0)</f>
        <v>Gambia</v>
      </c>
      <c r="B358" s="85" t="s">
        <v>171</v>
      </c>
      <c r="C358" s="86">
        <v>2061033</v>
      </c>
      <c r="D358" s="85" t="s">
        <v>142</v>
      </c>
      <c r="E358" s="87">
        <v>0</v>
      </c>
      <c r="F358" s="88">
        <v>2124869.5</v>
      </c>
      <c r="G358" s="87">
        <v>0</v>
      </c>
      <c r="I358" s="87">
        <v>0</v>
      </c>
      <c r="K358" s="87">
        <v>0</v>
      </c>
      <c r="M358" s="87">
        <v>0</v>
      </c>
      <c r="O358" s="87">
        <v>0</v>
      </c>
      <c r="P358" s="88">
        <v>2444915.5000000014</v>
      </c>
      <c r="Q358" s="87">
        <v>0</v>
      </c>
      <c r="R358" s="87">
        <f t="shared" si="131"/>
        <v>39</v>
      </c>
      <c r="T358" s="87">
        <v>0</v>
      </c>
      <c r="V358" s="87">
        <v>0</v>
      </c>
      <c r="X358" s="87">
        <v>0</v>
      </c>
      <c r="Y358" s="88">
        <v>2705991.9999999995</v>
      </c>
      <c r="Z358" s="87">
        <v>0</v>
      </c>
      <c r="AA358" s="87">
        <v>39</v>
      </c>
      <c r="AB358" s="89">
        <f t="shared" si="132"/>
        <v>0</v>
      </c>
      <c r="AC358" s="89">
        <f t="shared" si="133"/>
        <v>0</v>
      </c>
      <c r="AD358" s="89">
        <f t="shared" si="134"/>
        <v>0</v>
      </c>
      <c r="AF358" s="90" t="str">
        <f t="shared" si="135"/>
        <v/>
      </c>
      <c r="AG358" s="90">
        <f t="shared" si="147"/>
        <v>39</v>
      </c>
      <c r="AH358" s="90" t="str">
        <f t="shared" si="136"/>
        <v>2018 (triag)</v>
      </c>
      <c r="AI358" s="90">
        <f t="shared" si="137"/>
        <v>39</v>
      </c>
      <c r="AJ358" s="90" t="str">
        <f t="shared" si="138"/>
        <v>2018 (triag)</v>
      </c>
      <c r="AK358" s="90" t="str">
        <f t="shared" si="139"/>
        <v/>
      </c>
      <c r="AL358" s="91">
        <f>IF(AK358="Adjust",(_xlfn.XLOOKUP(A358,'Adj factor'!A:A,'Adj factor'!I:I,,0)*AI358),'Master DataSheet (Rev)'!AI358)</f>
        <v>39</v>
      </c>
      <c r="AM358" s="91">
        <f t="shared" si="140"/>
        <v>39</v>
      </c>
      <c r="AN358" s="92" t="str">
        <f t="shared" si="141"/>
        <v>No change</v>
      </c>
      <c r="AO358" s="93">
        <f>VLOOKUP(B358,'Growthrates source'!A$2:H$49,8,FALSE)</f>
        <v>-0.22530855667613492</v>
      </c>
      <c r="AP358" s="93">
        <f>VLOOKUP(B358,'Growthrates source'!A$2:I$49,9,FALSE)</f>
        <v>0.45056501122921166</v>
      </c>
      <c r="AQ358" s="86">
        <f t="shared" si="142"/>
        <v>120.31393233223342</v>
      </c>
      <c r="AR358" s="86">
        <f t="shared" si="143"/>
        <v>150.69481211895317</v>
      </c>
      <c r="AS358" s="94">
        <f t="shared" si="144"/>
        <v>0</v>
      </c>
      <c r="AT358" s="94">
        <f t="shared" si="145"/>
        <v>0.15951471533474257</v>
      </c>
      <c r="AU358" s="94">
        <f t="shared" si="129"/>
        <v>0.14412459460338392</v>
      </c>
      <c r="AV358" s="94">
        <f t="shared" si="130"/>
        <v>0.14412459460338392</v>
      </c>
    </row>
    <row r="359" spans="1:48" x14ac:dyDescent="0.3">
      <c r="A359" s="85" t="str">
        <f>_xlfn.XLOOKUP(B359,'Country codes &amp; Data sources'!G:G,'Country codes &amp; Data sources'!H:H,,0)</f>
        <v>Gambia</v>
      </c>
      <c r="B359" s="85" t="s">
        <v>171</v>
      </c>
      <c r="C359" s="86">
        <v>2061034</v>
      </c>
      <c r="D359" s="85" t="s">
        <v>83</v>
      </c>
      <c r="E359" s="87">
        <v>0</v>
      </c>
      <c r="F359" s="88">
        <v>2124869.5</v>
      </c>
      <c r="G359" s="87">
        <v>0</v>
      </c>
      <c r="I359" s="87">
        <v>0</v>
      </c>
      <c r="K359" s="87">
        <v>20</v>
      </c>
      <c r="M359" s="87">
        <v>0</v>
      </c>
      <c r="O359" s="87">
        <v>0</v>
      </c>
      <c r="P359" s="88">
        <v>2444915.5000000014</v>
      </c>
      <c r="Q359" s="87">
        <v>0</v>
      </c>
      <c r="R359" s="87">
        <f t="shared" si="131"/>
        <v>0</v>
      </c>
      <c r="T359" s="87">
        <v>23</v>
      </c>
      <c r="V359" s="87">
        <v>32</v>
      </c>
      <c r="X359" s="87">
        <v>24</v>
      </c>
      <c r="Y359" s="88">
        <v>2705991.9999999995</v>
      </c>
      <c r="Z359" s="87">
        <v>0</v>
      </c>
      <c r="AA359" s="87">
        <v>0</v>
      </c>
      <c r="AB359" s="89">
        <f t="shared" si="132"/>
        <v>20</v>
      </c>
      <c r="AC359" s="89">
        <f t="shared" si="133"/>
        <v>23</v>
      </c>
      <c r="AD359" s="89">
        <f t="shared" si="134"/>
        <v>32</v>
      </c>
      <c r="AE359" s="90">
        <f t="shared" si="146"/>
        <v>20</v>
      </c>
      <c r="AF359" s="90">
        <f t="shared" si="135"/>
        <v>2015</v>
      </c>
      <c r="AG359" s="90">
        <f t="shared" si="147"/>
        <v>23</v>
      </c>
      <c r="AH359" s="90">
        <f t="shared" si="136"/>
        <v>2019</v>
      </c>
      <c r="AI359" s="90">
        <f t="shared" si="137"/>
        <v>24</v>
      </c>
      <c r="AJ359" s="90">
        <f t="shared" si="138"/>
        <v>2021</v>
      </c>
      <c r="AK359" s="90" t="str">
        <f t="shared" si="139"/>
        <v/>
      </c>
      <c r="AL359" s="91">
        <f>IF(AK359="Adjust",(_xlfn.XLOOKUP(A359,'Adj factor'!A:A,'Adj factor'!I:I,,0)*AI359),'Master DataSheet (Rev)'!AI359)</f>
        <v>24</v>
      </c>
      <c r="AM359" s="91">
        <f t="shared" si="140"/>
        <v>24</v>
      </c>
      <c r="AN359" s="92" t="str">
        <f t="shared" si="141"/>
        <v>Increasing</v>
      </c>
      <c r="AO359" s="93">
        <f>VLOOKUP(B359,'Growthrates source'!A$2:H$49,8,FALSE)</f>
        <v>-0.22530855667613492</v>
      </c>
      <c r="AP359" s="93">
        <f>VLOOKUP(B359,'Growthrates source'!A$2:I$49,9,FALSE)</f>
        <v>0.45056501122921166</v>
      </c>
      <c r="AQ359" s="86">
        <f t="shared" si="142"/>
        <v>0</v>
      </c>
      <c r="AR359" s="86">
        <f t="shared" si="143"/>
        <v>0</v>
      </c>
      <c r="AS359" s="94">
        <f t="shared" si="144"/>
        <v>9.412342734459693E-2</v>
      </c>
      <c r="AT359" s="94">
        <f t="shared" si="145"/>
        <v>9.4072780838437925E-2</v>
      </c>
      <c r="AU359" s="94">
        <f t="shared" si="129"/>
        <v>8.8692058217467035E-2</v>
      </c>
      <c r="AV359" s="94">
        <f t="shared" si="130"/>
        <v>8.8692058217467035E-2</v>
      </c>
    </row>
    <row r="360" spans="1:48" x14ac:dyDescent="0.3">
      <c r="A360" s="85" t="str">
        <f>_xlfn.XLOOKUP(B360,'Country codes &amp; Data sources'!G:G,'Country codes &amp; Data sources'!H:H,,0)</f>
        <v>Gambia</v>
      </c>
      <c r="B360" s="85" t="s">
        <v>171</v>
      </c>
      <c r="C360" s="86">
        <v>2061035</v>
      </c>
      <c r="D360" s="85" t="s">
        <v>84</v>
      </c>
      <c r="E360" s="87">
        <v>127</v>
      </c>
      <c r="F360" s="88">
        <v>2124869.5</v>
      </c>
      <c r="G360" s="87">
        <v>0</v>
      </c>
      <c r="I360" s="87">
        <v>0</v>
      </c>
      <c r="K360" s="87">
        <v>0</v>
      </c>
      <c r="M360" s="87">
        <v>0</v>
      </c>
      <c r="O360" s="87">
        <v>0</v>
      </c>
      <c r="P360" s="88">
        <v>2444915.5000000014</v>
      </c>
      <c r="Q360" s="87">
        <v>0</v>
      </c>
      <c r="R360" s="87">
        <f t="shared" si="131"/>
        <v>0</v>
      </c>
      <c r="T360" s="87">
        <v>0</v>
      </c>
      <c r="V360" s="87">
        <v>0</v>
      </c>
      <c r="X360" s="87">
        <v>0</v>
      </c>
      <c r="Y360" s="88">
        <v>2705991.9999999995</v>
      </c>
      <c r="Z360" s="87">
        <v>0</v>
      </c>
      <c r="AA360" s="87">
        <v>0</v>
      </c>
      <c r="AB360" s="89">
        <f t="shared" si="132"/>
        <v>127</v>
      </c>
      <c r="AC360" s="89">
        <f t="shared" si="133"/>
        <v>0</v>
      </c>
      <c r="AD360" s="89">
        <f t="shared" si="134"/>
        <v>0</v>
      </c>
      <c r="AE360" s="90">
        <f t="shared" si="146"/>
        <v>127</v>
      </c>
      <c r="AF360" s="90">
        <f t="shared" si="135"/>
        <v>2012</v>
      </c>
      <c r="AH360" s="90" t="str">
        <f t="shared" si="136"/>
        <v/>
      </c>
      <c r="AI360" s="90">
        <f t="shared" si="137"/>
        <v>0</v>
      </c>
      <c r="AJ360" s="90" t="str">
        <f t="shared" si="138"/>
        <v/>
      </c>
      <c r="AK360" s="90" t="str">
        <f t="shared" si="139"/>
        <v/>
      </c>
      <c r="AL360" s="91"/>
      <c r="AM360" s="91">
        <f t="shared" si="140"/>
        <v>0</v>
      </c>
      <c r="AN360" s="92" t="str">
        <f t="shared" si="141"/>
        <v>No change</v>
      </c>
      <c r="AO360" s="93">
        <f>VLOOKUP(B360,'Growthrates source'!A$2:H$49,8,FALSE)</f>
        <v>-0.22530855667613492</v>
      </c>
      <c r="AP360" s="93">
        <f>VLOOKUP(B360,'Growthrates source'!A$2:I$49,9,FALSE)</f>
        <v>0.45056501122921166</v>
      </c>
      <c r="AQ360" s="86">
        <f t="shared" si="142"/>
        <v>0</v>
      </c>
      <c r="AR360" s="86">
        <f t="shared" si="143"/>
        <v>0</v>
      </c>
      <c r="AS360" s="94">
        <f t="shared" si="144"/>
        <v>0.59768376363819053</v>
      </c>
      <c r="AT360" s="94">
        <f t="shared" si="145"/>
        <v>0</v>
      </c>
      <c r="AU360" s="94">
        <f t="shared" si="129"/>
        <v>0</v>
      </c>
      <c r="AV360" s="94">
        <f t="shared" si="130"/>
        <v>0</v>
      </c>
    </row>
    <row r="361" spans="1:48" x14ac:dyDescent="0.3">
      <c r="A361" s="85" t="str">
        <f>_xlfn.XLOOKUP(B361,'Country codes &amp; Data sources'!G:G,'Country codes &amp; Data sources'!H:H,,0)</f>
        <v>Gambia</v>
      </c>
      <c r="B361" s="85" t="s">
        <v>171</v>
      </c>
      <c r="C361" s="86">
        <v>2061036</v>
      </c>
      <c r="D361" s="85" t="s">
        <v>126</v>
      </c>
      <c r="E361" s="87">
        <v>0</v>
      </c>
      <c r="F361" s="88">
        <v>2124869.5</v>
      </c>
      <c r="G361" s="87">
        <v>0</v>
      </c>
      <c r="I361" s="87">
        <v>0</v>
      </c>
      <c r="K361" s="87">
        <v>0</v>
      </c>
      <c r="M361" s="87">
        <v>0</v>
      </c>
      <c r="O361" s="87">
        <v>0</v>
      </c>
      <c r="P361" s="88">
        <v>2444915.5000000014</v>
      </c>
      <c r="Q361" s="87">
        <v>0</v>
      </c>
      <c r="R361" s="87">
        <f t="shared" si="131"/>
        <v>0</v>
      </c>
      <c r="T361" s="87">
        <v>0</v>
      </c>
      <c r="V361" s="87">
        <v>0</v>
      </c>
      <c r="X361" s="87">
        <v>0</v>
      </c>
      <c r="Y361" s="88">
        <v>2705991.9999999995</v>
      </c>
      <c r="Z361" s="87">
        <v>0</v>
      </c>
      <c r="AA361" s="87">
        <v>0</v>
      </c>
      <c r="AB361" s="89">
        <f t="shared" si="132"/>
        <v>0</v>
      </c>
      <c r="AC361" s="89">
        <f t="shared" si="133"/>
        <v>0</v>
      </c>
      <c r="AD361" s="89">
        <f t="shared" si="134"/>
        <v>0</v>
      </c>
      <c r="AF361" s="90" t="str">
        <f t="shared" si="135"/>
        <v/>
      </c>
      <c r="AH361" s="90" t="str">
        <f t="shared" si="136"/>
        <v/>
      </c>
      <c r="AI361" s="90">
        <f t="shared" si="137"/>
        <v>0</v>
      </c>
      <c r="AJ361" s="90" t="str">
        <f t="shared" si="138"/>
        <v/>
      </c>
      <c r="AK361" s="90" t="str">
        <f t="shared" si="139"/>
        <v/>
      </c>
      <c r="AL361" s="91"/>
      <c r="AM361" s="91">
        <f t="shared" si="140"/>
        <v>0</v>
      </c>
      <c r="AN361" s="92" t="str">
        <f t="shared" si="141"/>
        <v>No change</v>
      </c>
      <c r="AO361" s="93">
        <f>VLOOKUP(B361,'Growthrates source'!A$2:H$49,8,FALSE)</f>
        <v>-0.22530855667613492</v>
      </c>
      <c r="AP361" s="93">
        <f>VLOOKUP(B361,'Growthrates source'!A$2:I$49,9,FALSE)</f>
        <v>0.45056501122921166</v>
      </c>
      <c r="AQ361" s="86">
        <f t="shared" si="142"/>
        <v>0</v>
      </c>
      <c r="AR361" s="86">
        <f t="shared" si="143"/>
        <v>0</v>
      </c>
      <c r="AS361" s="94">
        <f t="shared" si="144"/>
        <v>0</v>
      </c>
      <c r="AT361" s="94">
        <f t="shared" si="145"/>
        <v>0</v>
      </c>
      <c r="AU361" s="94">
        <f t="shared" si="129"/>
        <v>0</v>
      </c>
      <c r="AV361" s="94">
        <f t="shared" si="130"/>
        <v>0</v>
      </c>
    </row>
    <row r="362" spans="1:48" x14ac:dyDescent="0.3">
      <c r="A362" s="85" t="str">
        <f>_xlfn.XLOOKUP(B362,'Country codes &amp; Data sources'!G:G,'Country codes &amp; Data sources'!H:H,,0)</f>
        <v>Gambia</v>
      </c>
      <c r="B362" s="85" t="s">
        <v>171</v>
      </c>
      <c r="C362" s="86">
        <v>2061037</v>
      </c>
      <c r="D362" s="85" t="s">
        <v>87</v>
      </c>
      <c r="E362" s="87">
        <v>656</v>
      </c>
      <c r="F362" s="88">
        <v>2124869.5</v>
      </c>
      <c r="G362" s="87">
        <v>0</v>
      </c>
      <c r="I362" s="87">
        <v>0</v>
      </c>
      <c r="K362" s="87">
        <v>0</v>
      </c>
      <c r="M362" s="87">
        <v>0</v>
      </c>
      <c r="O362" s="87">
        <v>0</v>
      </c>
      <c r="P362" s="88">
        <v>2444915.5000000014</v>
      </c>
      <c r="Q362" s="87">
        <v>0</v>
      </c>
      <c r="R362" s="87">
        <f t="shared" si="131"/>
        <v>0</v>
      </c>
      <c r="T362" s="87">
        <v>0</v>
      </c>
      <c r="V362" s="87">
        <v>0</v>
      </c>
      <c r="X362" s="87">
        <v>0</v>
      </c>
      <c r="Y362" s="88">
        <v>2705991.9999999995</v>
      </c>
      <c r="Z362" s="87">
        <v>0</v>
      </c>
      <c r="AA362" s="87">
        <v>0</v>
      </c>
      <c r="AB362" s="89">
        <f t="shared" si="132"/>
        <v>656</v>
      </c>
      <c r="AC362" s="89">
        <f t="shared" si="133"/>
        <v>0</v>
      </c>
      <c r="AD362" s="89">
        <f t="shared" si="134"/>
        <v>0</v>
      </c>
      <c r="AE362" s="90">
        <f t="shared" si="146"/>
        <v>656</v>
      </c>
      <c r="AF362" s="90">
        <f t="shared" si="135"/>
        <v>2012</v>
      </c>
      <c r="AH362" s="90" t="str">
        <f t="shared" si="136"/>
        <v/>
      </c>
      <c r="AI362" s="90">
        <f t="shared" si="137"/>
        <v>0</v>
      </c>
      <c r="AJ362" s="90" t="str">
        <f t="shared" si="138"/>
        <v/>
      </c>
      <c r="AK362" s="90" t="str">
        <f t="shared" si="139"/>
        <v/>
      </c>
      <c r="AL362" s="91"/>
      <c r="AM362" s="91">
        <f t="shared" si="140"/>
        <v>0</v>
      </c>
      <c r="AN362" s="92" t="str">
        <f t="shared" si="141"/>
        <v>No change</v>
      </c>
      <c r="AO362" s="93">
        <f>VLOOKUP(B362,'Growthrates source'!A$2:H$49,8,FALSE)</f>
        <v>-0.22530855667613492</v>
      </c>
      <c r="AP362" s="93">
        <f>VLOOKUP(B362,'Growthrates source'!A$2:I$49,9,FALSE)</f>
        <v>0.45056501122921166</v>
      </c>
      <c r="AQ362" s="86">
        <f t="shared" si="142"/>
        <v>0</v>
      </c>
      <c r="AR362" s="86">
        <f t="shared" si="143"/>
        <v>0</v>
      </c>
      <c r="AS362" s="94">
        <f t="shared" si="144"/>
        <v>3.0872484169027792</v>
      </c>
      <c r="AT362" s="94">
        <f t="shared" si="145"/>
        <v>0</v>
      </c>
      <c r="AU362" s="94">
        <f t="shared" si="129"/>
        <v>0</v>
      </c>
      <c r="AV362" s="94">
        <f t="shared" si="130"/>
        <v>0</v>
      </c>
    </row>
    <row r="363" spans="1:48" x14ac:dyDescent="0.3">
      <c r="A363" s="85" t="str">
        <f>_xlfn.XLOOKUP(B363,'Country codes &amp; Data sources'!G:G,'Country codes &amp; Data sources'!H:H,,0)</f>
        <v>Guinea-Bissau</v>
      </c>
      <c r="B363" s="85" t="s">
        <v>174</v>
      </c>
      <c r="C363" s="86">
        <v>1652722.5</v>
      </c>
      <c r="D363" s="85" t="s">
        <v>127</v>
      </c>
      <c r="E363" s="87">
        <v>0</v>
      </c>
      <c r="F363" s="88">
        <v>1697752.4999999995</v>
      </c>
      <c r="G363" s="87">
        <v>0</v>
      </c>
      <c r="I363" s="87">
        <v>0</v>
      </c>
      <c r="K363" s="87">
        <v>0</v>
      </c>
      <c r="M363" s="87">
        <v>0</v>
      </c>
      <c r="O363" s="87">
        <v>0</v>
      </c>
      <c r="P363" s="88">
        <v>1924954.4999999988</v>
      </c>
      <c r="Q363" s="87">
        <v>3481</v>
      </c>
      <c r="R363" s="87">
        <f t="shared" si="131"/>
        <v>4057</v>
      </c>
      <c r="T363" s="87">
        <v>0</v>
      </c>
      <c r="V363" s="87">
        <v>3711</v>
      </c>
      <c r="X363" s="87">
        <v>0</v>
      </c>
      <c r="Y363" s="88">
        <v>2105565.4999999991</v>
      </c>
      <c r="Z363" s="87">
        <v>3975</v>
      </c>
      <c r="AA363" s="87">
        <v>4057</v>
      </c>
      <c r="AB363" s="89">
        <f t="shared" si="132"/>
        <v>0</v>
      </c>
      <c r="AC363" s="89">
        <f t="shared" si="133"/>
        <v>3481</v>
      </c>
      <c r="AD363" s="89">
        <f t="shared" si="134"/>
        <v>3975</v>
      </c>
      <c r="AF363" s="90" t="str">
        <f t="shared" si="135"/>
        <v/>
      </c>
      <c r="AG363" s="90">
        <f t="shared" si="147"/>
        <v>4057</v>
      </c>
      <c r="AH363" s="90" t="str">
        <f t="shared" si="136"/>
        <v>2018 (triag)</v>
      </c>
      <c r="AI363" s="90">
        <f t="shared" si="137"/>
        <v>3975</v>
      </c>
      <c r="AJ363" s="90">
        <f t="shared" si="138"/>
        <v>2022</v>
      </c>
      <c r="AK363" s="90" t="str">
        <f t="shared" si="139"/>
        <v>Adjust</v>
      </c>
      <c r="AL363" s="91">
        <f>IF(AK363="Adjust",(_xlfn.XLOOKUP(A363,'Adj factor'!A:A,'Adj factor'!I:I,,0)*AI363),'Master DataSheet (Rev)'!AI363)</f>
        <v>4817.861216730038</v>
      </c>
      <c r="AM363" s="91">
        <f t="shared" si="140"/>
        <v>4817.861216730038</v>
      </c>
      <c r="AN363" s="92" t="str">
        <f t="shared" si="141"/>
        <v>Increasing</v>
      </c>
      <c r="AO363" s="93">
        <f>VLOOKUP(B363,'Growthrates source'!A$2:H$49,8,FALSE)</f>
        <v>3.0374199904759536E-2</v>
      </c>
      <c r="AP363" s="93">
        <f>VLOOKUP(B363,'Growthrates source'!A$2:I$49,9,FALSE)</f>
        <v>4.6424158096915802E-2</v>
      </c>
      <c r="AQ363" s="86">
        <f t="shared" si="142"/>
        <v>3485.3650397176534</v>
      </c>
      <c r="AR363" s="86">
        <f t="shared" si="143"/>
        <v>4663.2669209715159</v>
      </c>
      <c r="AS363" s="94">
        <f t="shared" si="144"/>
        <v>0</v>
      </c>
      <c r="AT363" s="94">
        <f t="shared" si="145"/>
        <v>21.07582283113706</v>
      </c>
      <c r="AU363" s="94">
        <f t="shared" si="129"/>
        <v>22.881554702193021</v>
      </c>
      <c r="AV363" s="94">
        <f t="shared" si="130"/>
        <v>22.881554702193021</v>
      </c>
    </row>
    <row r="364" spans="1:48" x14ac:dyDescent="0.3">
      <c r="A364" s="85" t="str">
        <f>_xlfn.XLOOKUP(B364,'Country codes &amp; Data sources'!G:G,'Country codes &amp; Data sources'!H:H,,0)</f>
        <v>Guinea-Bissau</v>
      </c>
      <c r="B364" s="85" t="s">
        <v>174</v>
      </c>
      <c r="C364" s="86">
        <v>1652723.5</v>
      </c>
      <c r="D364" s="85" t="s">
        <v>61</v>
      </c>
      <c r="E364" s="87">
        <v>0</v>
      </c>
      <c r="F364" s="88">
        <v>1697752.4999999995</v>
      </c>
      <c r="G364" s="87">
        <v>0</v>
      </c>
      <c r="I364" s="87">
        <v>0</v>
      </c>
      <c r="K364" s="87">
        <v>496</v>
      </c>
      <c r="M364" s="87">
        <v>0</v>
      </c>
      <c r="O364" s="87">
        <v>0</v>
      </c>
      <c r="P364" s="88">
        <v>1924954.4999999988</v>
      </c>
      <c r="Q364" s="87">
        <v>0</v>
      </c>
      <c r="R364" s="87">
        <f t="shared" si="131"/>
        <v>0</v>
      </c>
      <c r="T364" s="87">
        <v>0</v>
      </c>
      <c r="V364" s="87">
        <v>0</v>
      </c>
      <c r="X364" s="87">
        <v>0</v>
      </c>
      <c r="Y364" s="88">
        <v>2105565.4999999991</v>
      </c>
      <c r="Z364" s="87">
        <v>0</v>
      </c>
      <c r="AA364" s="87">
        <v>0</v>
      </c>
      <c r="AB364" s="89">
        <f t="shared" si="132"/>
        <v>496</v>
      </c>
      <c r="AC364" s="89">
        <f t="shared" si="133"/>
        <v>0</v>
      </c>
      <c r="AD364" s="89">
        <f t="shared" si="134"/>
        <v>0</v>
      </c>
      <c r="AE364" s="90">
        <f t="shared" si="146"/>
        <v>496</v>
      </c>
      <c r="AF364" s="90">
        <f t="shared" si="135"/>
        <v>2015</v>
      </c>
      <c r="AH364" s="90" t="str">
        <f t="shared" si="136"/>
        <v/>
      </c>
      <c r="AI364" s="90">
        <f t="shared" si="137"/>
        <v>0</v>
      </c>
      <c r="AJ364" s="90" t="str">
        <f t="shared" si="138"/>
        <v/>
      </c>
      <c r="AK364" s="90" t="str">
        <f t="shared" si="139"/>
        <v/>
      </c>
      <c r="AL364" s="91"/>
      <c r="AM364" s="91">
        <f t="shared" si="140"/>
        <v>0</v>
      </c>
      <c r="AN364" s="92" t="str">
        <f t="shared" si="141"/>
        <v>No change</v>
      </c>
      <c r="AO364" s="93">
        <f>VLOOKUP(B364,'Growthrates source'!A$2:H$49,8,FALSE)</f>
        <v>3.0374199904759536E-2</v>
      </c>
      <c r="AP364" s="93">
        <f>VLOOKUP(B364,'Growthrates source'!A$2:I$49,9,FALSE)</f>
        <v>4.6424158096915802E-2</v>
      </c>
      <c r="AQ364" s="86">
        <f t="shared" si="142"/>
        <v>0</v>
      </c>
      <c r="AR364" s="86">
        <f t="shared" si="143"/>
        <v>0</v>
      </c>
      <c r="AS364" s="94">
        <f t="shared" si="144"/>
        <v>2.921509466191333</v>
      </c>
      <c r="AT364" s="94">
        <f t="shared" si="145"/>
        <v>0</v>
      </c>
      <c r="AU364" s="94">
        <f t="shared" si="129"/>
        <v>0</v>
      </c>
      <c r="AV364" s="94">
        <f t="shared" si="130"/>
        <v>0</v>
      </c>
    </row>
    <row r="365" spans="1:48" x14ac:dyDescent="0.3">
      <c r="A365" s="85" t="str">
        <f>_xlfn.XLOOKUP(B365,'Country codes &amp; Data sources'!G:G,'Country codes &amp; Data sources'!H:H,,0)</f>
        <v>Guinea-Bissau</v>
      </c>
      <c r="B365" s="85" t="s">
        <v>174</v>
      </c>
      <c r="C365" s="86">
        <v>1652724.5</v>
      </c>
      <c r="D365" s="85" t="s">
        <v>62</v>
      </c>
      <c r="E365" s="87">
        <v>0</v>
      </c>
      <c r="F365" s="88">
        <v>1697752.4999999995</v>
      </c>
      <c r="G365" s="87">
        <v>0</v>
      </c>
      <c r="I365" s="87">
        <v>0</v>
      </c>
      <c r="K365" s="87">
        <v>0</v>
      </c>
      <c r="M365" s="87">
        <v>0</v>
      </c>
      <c r="O365" s="87">
        <v>0</v>
      </c>
      <c r="P365" s="88">
        <v>1924954.4999999988</v>
      </c>
      <c r="Q365" s="87">
        <v>0</v>
      </c>
      <c r="R365" s="87">
        <f t="shared" si="131"/>
        <v>3</v>
      </c>
      <c r="T365" s="87">
        <v>0</v>
      </c>
      <c r="V365" s="87">
        <v>0</v>
      </c>
      <c r="X365" s="87">
        <v>0</v>
      </c>
      <c r="Y365" s="88">
        <v>2105565.4999999991</v>
      </c>
      <c r="Z365" s="87">
        <v>0</v>
      </c>
      <c r="AA365" s="87">
        <v>3</v>
      </c>
      <c r="AB365" s="89">
        <f t="shared" si="132"/>
        <v>0</v>
      </c>
      <c r="AC365" s="89">
        <f t="shared" si="133"/>
        <v>0</v>
      </c>
      <c r="AD365" s="89">
        <f t="shared" si="134"/>
        <v>0</v>
      </c>
      <c r="AF365" s="90" t="str">
        <f t="shared" si="135"/>
        <v/>
      </c>
      <c r="AG365" s="90">
        <f t="shared" si="147"/>
        <v>3</v>
      </c>
      <c r="AH365" s="90" t="str">
        <f t="shared" si="136"/>
        <v>2018 (triag)</v>
      </c>
      <c r="AI365" s="90">
        <f t="shared" si="137"/>
        <v>3</v>
      </c>
      <c r="AJ365" s="90" t="str">
        <f t="shared" si="138"/>
        <v>2018 (triag)</v>
      </c>
      <c r="AK365" s="90" t="str">
        <f t="shared" si="139"/>
        <v/>
      </c>
      <c r="AL365" s="91">
        <f>IF(AK365="Adjust",(_xlfn.XLOOKUP(A365,'Adj factor'!A:A,'Adj factor'!I:I,,0)*AI365),'Master DataSheet (Rev)'!AI365)</f>
        <v>3</v>
      </c>
      <c r="AM365" s="91">
        <f t="shared" si="140"/>
        <v>3</v>
      </c>
      <c r="AN365" s="92" t="str">
        <f t="shared" si="141"/>
        <v>No change</v>
      </c>
      <c r="AO365" s="93">
        <f>VLOOKUP(B365,'Growthrates source'!A$2:H$49,8,FALSE)</f>
        <v>3.0374199904759536E-2</v>
      </c>
      <c r="AP365" s="93">
        <f>VLOOKUP(B365,'Growthrates source'!A$2:I$49,9,FALSE)</f>
        <v>4.6424158096915802E-2</v>
      </c>
      <c r="AQ365" s="86">
        <f t="shared" si="142"/>
        <v>2.5772972933578902</v>
      </c>
      <c r="AR365" s="86">
        <f t="shared" si="143"/>
        <v>3.4483117483151462</v>
      </c>
      <c r="AS365" s="94">
        <f t="shared" si="144"/>
        <v>0</v>
      </c>
      <c r="AT365" s="94">
        <f t="shared" si="145"/>
        <v>1.5584783952036278E-2</v>
      </c>
      <c r="AU365" s="94">
        <f t="shared" si="129"/>
        <v>1.4247953815732644E-2</v>
      </c>
      <c r="AV365" s="94">
        <f t="shared" si="130"/>
        <v>1.4247953815732644E-2</v>
      </c>
    </row>
    <row r="366" spans="1:48" x14ac:dyDescent="0.3">
      <c r="A366" s="85" t="str">
        <f>_xlfn.XLOOKUP(B366,'Country codes &amp; Data sources'!G:G,'Country codes &amp; Data sources'!H:H,,0)</f>
        <v>Guinea-Bissau</v>
      </c>
      <c r="B366" s="85" t="s">
        <v>174</v>
      </c>
      <c r="C366" s="86">
        <v>1652725.5</v>
      </c>
      <c r="D366" s="85" t="s">
        <v>203</v>
      </c>
      <c r="E366" s="87">
        <v>0</v>
      </c>
      <c r="F366" s="88">
        <v>1697752.4999999995</v>
      </c>
      <c r="G366" s="87">
        <v>0</v>
      </c>
      <c r="I366" s="87">
        <v>0</v>
      </c>
      <c r="K366" s="87">
        <v>0</v>
      </c>
      <c r="M366" s="87">
        <v>0</v>
      </c>
      <c r="O366" s="87">
        <v>0</v>
      </c>
      <c r="P366" s="88">
        <v>1924954.4999999988</v>
      </c>
      <c r="Q366" s="87">
        <v>0</v>
      </c>
      <c r="R366" s="87">
        <f t="shared" si="131"/>
        <v>0</v>
      </c>
      <c r="T366" s="87">
        <v>0</v>
      </c>
      <c r="V366" s="87">
        <v>0</v>
      </c>
      <c r="X366" s="87">
        <v>0</v>
      </c>
      <c r="Y366" s="88">
        <v>2105565.4999999991</v>
      </c>
      <c r="Z366" s="87">
        <v>0</v>
      </c>
      <c r="AA366" s="87">
        <v>0</v>
      </c>
      <c r="AB366" s="89">
        <f t="shared" si="132"/>
        <v>0</v>
      </c>
      <c r="AC366" s="89">
        <f t="shared" si="133"/>
        <v>0</v>
      </c>
      <c r="AD366" s="89">
        <f t="shared" si="134"/>
        <v>0</v>
      </c>
      <c r="AF366" s="90" t="str">
        <f t="shared" si="135"/>
        <v/>
      </c>
      <c r="AH366" s="90" t="str">
        <f t="shared" si="136"/>
        <v/>
      </c>
      <c r="AI366" s="90">
        <f t="shared" si="137"/>
        <v>0</v>
      </c>
      <c r="AJ366" s="90" t="str">
        <f t="shared" si="138"/>
        <v/>
      </c>
      <c r="AK366" s="90" t="str">
        <f t="shared" si="139"/>
        <v/>
      </c>
      <c r="AL366" s="91"/>
      <c r="AM366" s="91">
        <f t="shared" si="140"/>
        <v>0</v>
      </c>
      <c r="AN366" s="92" t="str">
        <f t="shared" si="141"/>
        <v>No change</v>
      </c>
      <c r="AO366" s="93">
        <f>VLOOKUP(B366,'Growthrates source'!A$2:H$49,8,FALSE)</f>
        <v>3.0374199904759536E-2</v>
      </c>
      <c r="AP366" s="93">
        <f>VLOOKUP(B366,'Growthrates source'!A$2:I$49,9,FALSE)</f>
        <v>4.6424158096915802E-2</v>
      </c>
      <c r="AQ366" s="86">
        <f t="shared" si="142"/>
        <v>0</v>
      </c>
      <c r="AR366" s="86">
        <f t="shared" si="143"/>
        <v>0</v>
      </c>
      <c r="AS366" s="94">
        <f t="shared" si="144"/>
        <v>0</v>
      </c>
      <c r="AT366" s="94">
        <f t="shared" si="145"/>
        <v>0</v>
      </c>
      <c r="AU366" s="94">
        <f t="shared" si="129"/>
        <v>0</v>
      </c>
      <c r="AV366" s="94">
        <f t="shared" si="130"/>
        <v>0</v>
      </c>
    </row>
    <row r="367" spans="1:48" x14ac:dyDescent="0.3">
      <c r="A367" s="85" t="str">
        <f>_xlfn.XLOOKUP(B367,'Country codes &amp; Data sources'!G:G,'Country codes &amp; Data sources'!H:H,,0)</f>
        <v>Guinea-Bissau</v>
      </c>
      <c r="B367" s="85" t="s">
        <v>174</v>
      </c>
      <c r="C367" s="86">
        <v>1652726.5</v>
      </c>
      <c r="D367" s="85" t="s">
        <v>204</v>
      </c>
      <c r="E367" s="87">
        <v>0</v>
      </c>
      <c r="F367" s="88">
        <v>1697752.4999999995</v>
      </c>
      <c r="G367" s="87">
        <v>0</v>
      </c>
      <c r="I367" s="87">
        <v>0</v>
      </c>
      <c r="K367" s="87">
        <v>0</v>
      </c>
      <c r="M367" s="87">
        <v>0</v>
      </c>
      <c r="O367" s="87">
        <v>0</v>
      </c>
      <c r="P367" s="88">
        <v>1924954.4999999988</v>
      </c>
      <c r="Q367" s="87">
        <v>0</v>
      </c>
      <c r="R367" s="87">
        <f t="shared" si="131"/>
        <v>130</v>
      </c>
      <c r="T367" s="87">
        <v>0</v>
      </c>
      <c r="V367" s="87">
        <v>0</v>
      </c>
      <c r="X367" s="87">
        <v>0</v>
      </c>
      <c r="Y367" s="88">
        <v>2105565.4999999991</v>
      </c>
      <c r="Z367" s="87">
        <v>0</v>
      </c>
      <c r="AA367" s="87">
        <v>130</v>
      </c>
      <c r="AB367" s="89">
        <f t="shared" si="132"/>
        <v>0</v>
      </c>
      <c r="AC367" s="89">
        <f t="shared" si="133"/>
        <v>0</v>
      </c>
      <c r="AD367" s="89">
        <f t="shared" si="134"/>
        <v>0</v>
      </c>
      <c r="AF367" s="90" t="str">
        <f t="shared" si="135"/>
        <v/>
      </c>
      <c r="AG367" s="90">
        <f t="shared" si="147"/>
        <v>130</v>
      </c>
      <c r="AH367" s="90" t="str">
        <f t="shared" si="136"/>
        <v>2018 (triag)</v>
      </c>
      <c r="AI367" s="90">
        <f t="shared" si="137"/>
        <v>130</v>
      </c>
      <c r="AJ367" s="90" t="str">
        <f t="shared" si="138"/>
        <v>2018 (triag)</v>
      </c>
      <c r="AK367" s="90" t="str">
        <f t="shared" si="139"/>
        <v/>
      </c>
      <c r="AL367" s="91">
        <f>IF(AK367="Adjust",(_xlfn.XLOOKUP(A367,'Adj factor'!A:A,'Adj factor'!I:I,,0)*AI367),'Master DataSheet (Rev)'!AI367)</f>
        <v>130</v>
      </c>
      <c r="AM367" s="91">
        <f t="shared" si="140"/>
        <v>130</v>
      </c>
      <c r="AN367" s="92" t="str">
        <f t="shared" si="141"/>
        <v>No change</v>
      </c>
      <c r="AO367" s="93">
        <f>VLOOKUP(B367,'Growthrates source'!A$2:H$49,8,FALSE)</f>
        <v>3.0374199904759536E-2</v>
      </c>
      <c r="AP367" s="93">
        <f>VLOOKUP(B367,'Growthrates source'!A$2:I$49,9,FALSE)</f>
        <v>4.6424158096915802E-2</v>
      </c>
      <c r="AQ367" s="86">
        <f t="shared" si="142"/>
        <v>111.68288271217524</v>
      </c>
      <c r="AR367" s="86">
        <f t="shared" si="143"/>
        <v>149.42684242698965</v>
      </c>
      <c r="AS367" s="94">
        <f t="shared" si="144"/>
        <v>0</v>
      </c>
      <c r="AT367" s="94">
        <f t="shared" si="145"/>
        <v>0.67534063792157206</v>
      </c>
      <c r="AU367" s="94">
        <f t="shared" si="129"/>
        <v>0.61741133201508125</v>
      </c>
      <c r="AV367" s="94">
        <f t="shared" si="130"/>
        <v>0.61741133201508125</v>
      </c>
    </row>
    <row r="368" spans="1:48" x14ac:dyDescent="0.3">
      <c r="A368" s="85" t="str">
        <f>_xlfn.XLOOKUP(B368,'Country codes &amp; Data sources'!G:G,'Country codes &amp; Data sources'!H:H,,0)</f>
        <v>Guinea-Bissau</v>
      </c>
      <c r="B368" s="85" t="s">
        <v>174</v>
      </c>
      <c r="C368" s="86">
        <v>1652727.5</v>
      </c>
      <c r="D368" s="85" t="s">
        <v>205</v>
      </c>
      <c r="E368" s="87">
        <v>0</v>
      </c>
      <c r="F368" s="88">
        <v>1697752.4999999995</v>
      </c>
      <c r="G368" s="87">
        <v>0</v>
      </c>
      <c r="I368" s="87">
        <v>0</v>
      </c>
      <c r="K368" s="87">
        <v>0</v>
      </c>
      <c r="M368" s="87">
        <v>4</v>
      </c>
      <c r="O368" s="87">
        <v>0</v>
      </c>
      <c r="P368" s="88">
        <v>1924954.4999999988</v>
      </c>
      <c r="Q368" s="87">
        <v>0</v>
      </c>
      <c r="R368" s="87">
        <f t="shared" si="131"/>
        <v>5</v>
      </c>
      <c r="T368" s="87">
        <v>0</v>
      </c>
      <c r="V368" s="87">
        <v>8</v>
      </c>
      <c r="X368" s="87">
        <v>3</v>
      </c>
      <c r="Y368" s="88">
        <v>2105565.4999999991</v>
      </c>
      <c r="Z368" s="87">
        <v>2</v>
      </c>
      <c r="AA368" s="87">
        <v>5</v>
      </c>
      <c r="AB368" s="89">
        <f t="shared" si="132"/>
        <v>0</v>
      </c>
      <c r="AC368" s="89">
        <f t="shared" si="133"/>
        <v>4</v>
      </c>
      <c r="AD368" s="89">
        <f t="shared" si="134"/>
        <v>8</v>
      </c>
      <c r="AF368" s="90" t="str">
        <f t="shared" si="135"/>
        <v/>
      </c>
      <c r="AG368" s="90">
        <f t="shared" si="147"/>
        <v>5</v>
      </c>
      <c r="AH368" s="90" t="str">
        <f t="shared" si="136"/>
        <v>2018 (triag)</v>
      </c>
      <c r="AI368" s="90">
        <f t="shared" si="137"/>
        <v>2</v>
      </c>
      <c r="AJ368" s="90">
        <f t="shared" si="138"/>
        <v>2022</v>
      </c>
      <c r="AK368" s="90" t="str">
        <f t="shared" si="139"/>
        <v>Adjust</v>
      </c>
      <c r="AL368" s="91">
        <f>IF(AK368="Adjust",(_xlfn.XLOOKUP(A368,'Adj factor'!A:A,'Adj factor'!I:I,,0)*AI368),'Master DataSheet (Rev)'!AI368)</f>
        <v>2.4240811153358681</v>
      </c>
      <c r="AM368" s="91">
        <f t="shared" si="140"/>
        <v>5</v>
      </c>
      <c r="AN368" s="92" t="str">
        <f t="shared" si="141"/>
        <v>Decreasing</v>
      </c>
      <c r="AO368" s="93">
        <f>VLOOKUP(B368,'Growthrates source'!A$2:H$49,8,FALSE)</f>
        <v>3.0374199904759536E-2</v>
      </c>
      <c r="AP368" s="93">
        <f>VLOOKUP(B368,'Growthrates source'!A$2:I$49,9,FALSE)</f>
        <v>4.6424158096915802E-2</v>
      </c>
      <c r="AQ368" s="86">
        <f t="shared" si="142"/>
        <v>4.2954954889298174</v>
      </c>
      <c r="AR368" s="86">
        <f t="shared" si="143"/>
        <v>5.7471862471919097</v>
      </c>
      <c r="AS368" s="94">
        <f t="shared" si="144"/>
        <v>0</v>
      </c>
      <c r="AT368" s="94">
        <f t="shared" si="145"/>
        <v>2.5974639920060463E-2</v>
      </c>
      <c r="AU368" s="94">
        <f t="shared" si="129"/>
        <v>1.1512731925631708E-2</v>
      </c>
      <c r="AV368" s="94">
        <f t="shared" si="130"/>
        <v>2.3746589692887742E-2</v>
      </c>
    </row>
    <row r="369" spans="1:48" x14ac:dyDescent="0.3">
      <c r="A369" s="85" t="str">
        <f>_xlfn.XLOOKUP(B369,'Country codes &amp; Data sources'!G:G,'Country codes &amp; Data sources'!H:H,,0)</f>
        <v>Guinea-Bissau</v>
      </c>
      <c r="B369" s="85" t="s">
        <v>174</v>
      </c>
      <c r="C369" s="86">
        <v>1652728.5</v>
      </c>
      <c r="D369" s="85" t="s">
        <v>133</v>
      </c>
      <c r="E369" s="87">
        <v>0</v>
      </c>
      <c r="F369" s="88">
        <v>1697752.4999999995</v>
      </c>
      <c r="G369" s="87">
        <v>0</v>
      </c>
      <c r="I369" s="87">
        <v>0</v>
      </c>
      <c r="K369" s="87">
        <v>0</v>
      </c>
      <c r="M369" s="87">
        <v>158</v>
      </c>
      <c r="O369" s="87">
        <v>0</v>
      </c>
      <c r="P369" s="88">
        <v>1924954.4999999988</v>
      </c>
      <c r="Q369" s="87">
        <v>53</v>
      </c>
      <c r="R369" s="87">
        <f t="shared" si="131"/>
        <v>53</v>
      </c>
      <c r="T369" s="87">
        <v>0</v>
      </c>
      <c r="V369" s="87">
        <v>285</v>
      </c>
      <c r="X369" s="87">
        <v>200</v>
      </c>
      <c r="Y369" s="88">
        <v>2105565.4999999991</v>
      </c>
      <c r="Z369" s="87">
        <v>1</v>
      </c>
      <c r="AA369" s="87">
        <v>0</v>
      </c>
      <c r="AB369" s="89">
        <f t="shared" si="132"/>
        <v>0</v>
      </c>
      <c r="AC369" s="89">
        <f t="shared" si="133"/>
        <v>158</v>
      </c>
      <c r="AD369" s="89">
        <f t="shared" si="134"/>
        <v>285</v>
      </c>
      <c r="AF369" s="90" t="str">
        <f t="shared" si="135"/>
        <v/>
      </c>
      <c r="AG369" s="90">
        <f t="shared" si="147"/>
        <v>53</v>
      </c>
      <c r="AH369" s="90">
        <f t="shared" si="136"/>
        <v>2018</v>
      </c>
      <c r="AI369" s="90">
        <f t="shared" si="137"/>
        <v>1</v>
      </c>
      <c r="AJ369" s="90">
        <f t="shared" si="138"/>
        <v>2022</v>
      </c>
      <c r="AK369" s="90" t="str">
        <f t="shared" si="139"/>
        <v>Adjust</v>
      </c>
      <c r="AL369" s="91">
        <f>IF(AK369="Adjust",(_xlfn.XLOOKUP(A369,'Adj factor'!A:A,'Adj factor'!I:I,,0)*AI369),'Master DataSheet (Rev)'!AI369)</f>
        <v>1.2120405576679341</v>
      </c>
      <c r="AM369" s="91">
        <f t="shared" si="140"/>
        <v>53</v>
      </c>
      <c r="AN369" s="92" t="str">
        <f t="shared" si="141"/>
        <v>Decreasing</v>
      </c>
      <c r="AO369" s="93">
        <f>VLOOKUP(B369,'Growthrates source'!A$2:H$49,8,FALSE)</f>
        <v>3.0374199904759536E-2</v>
      </c>
      <c r="AP369" s="93">
        <f>VLOOKUP(B369,'Growthrates source'!A$2:I$49,9,FALSE)</f>
        <v>4.6424158096915802E-2</v>
      </c>
      <c r="AQ369" s="86">
        <f t="shared" si="142"/>
        <v>0</v>
      </c>
      <c r="AR369" s="86">
        <f t="shared" si="143"/>
        <v>0</v>
      </c>
      <c r="AS369" s="94">
        <f t="shared" si="144"/>
        <v>0</v>
      </c>
      <c r="AT369" s="94">
        <f t="shared" si="145"/>
        <v>0.27533118315264093</v>
      </c>
      <c r="AU369" s="94">
        <f t="shared" si="129"/>
        <v>5.7563659628158542E-3</v>
      </c>
      <c r="AV369" s="94">
        <f t="shared" si="130"/>
        <v>0.25171385074461006</v>
      </c>
    </row>
    <row r="370" spans="1:48" x14ac:dyDescent="0.3">
      <c r="A370" s="85" t="str">
        <f>_xlfn.XLOOKUP(B370,'Country codes &amp; Data sources'!G:G,'Country codes &amp; Data sources'!H:H,,0)</f>
        <v>Guinea-Bissau</v>
      </c>
      <c r="B370" s="85" t="s">
        <v>174</v>
      </c>
      <c r="C370" s="86">
        <v>1652729.5</v>
      </c>
      <c r="D370" s="85" t="s">
        <v>206</v>
      </c>
      <c r="E370" s="87">
        <v>0</v>
      </c>
      <c r="F370" s="88">
        <v>1697752.4999999995</v>
      </c>
      <c r="G370" s="87">
        <v>0</v>
      </c>
      <c r="I370" s="87">
        <v>0</v>
      </c>
      <c r="K370" s="87">
        <v>0</v>
      </c>
      <c r="M370" s="87">
        <v>0</v>
      </c>
      <c r="O370" s="87">
        <v>0</v>
      </c>
      <c r="P370" s="88">
        <v>1924954.4999999988</v>
      </c>
      <c r="Q370" s="87">
        <v>0</v>
      </c>
      <c r="R370" s="87">
        <f t="shared" si="131"/>
        <v>0</v>
      </c>
      <c r="T370" s="87">
        <v>0</v>
      </c>
      <c r="V370" s="87">
        <v>0</v>
      </c>
      <c r="X370" s="87">
        <v>0</v>
      </c>
      <c r="Y370" s="88">
        <v>2105565.4999999991</v>
      </c>
      <c r="Z370" s="87">
        <v>0</v>
      </c>
      <c r="AA370" s="87">
        <v>0</v>
      </c>
      <c r="AB370" s="89">
        <f t="shared" si="132"/>
        <v>0</v>
      </c>
      <c r="AC370" s="89">
        <f t="shared" si="133"/>
        <v>0</v>
      </c>
      <c r="AD370" s="89">
        <f t="shared" si="134"/>
        <v>0</v>
      </c>
      <c r="AF370" s="90" t="str">
        <f t="shared" si="135"/>
        <v/>
      </c>
      <c r="AH370" s="90" t="str">
        <f t="shared" si="136"/>
        <v/>
      </c>
      <c r="AI370" s="90">
        <f t="shared" si="137"/>
        <v>0</v>
      </c>
      <c r="AJ370" s="90" t="str">
        <f t="shared" si="138"/>
        <v/>
      </c>
      <c r="AK370" s="90" t="str">
        <f t="shared" si="139"/>
        <v/>
      </c>
      <c r="AL370" s="91"/>
      <c r="AM370" s="91">
        <f t="shared" si="140"/>
        <v>0</v>
      </c>
      <c r="AN370" s="92" t="str">
        <f t="shared" si="141"/>
        <v>No change</v>
      </c>
      <c r="AO370" s="93">
        <f>VLOOKUP(B370,'Growthrates source'!A$2:H$49,8,FALSE)</f>
        <v>3.0374199904759536E-2</v>
      </c>
      <c r="AP370" s="93">
        <f>VLOOKUP(B370,'Growthrates source'!A$2:I$49,9,FALSE)</f>
        <v>4.6424158096915802E-2</v>
      </c>
      <c r="AQ370" s="86">
        <f t="shared" si="142"/>
        <v>0</v>
      </c>
      <c r="AR370" s="86">
        <f t="shared" si="143"/>
        <v>0</v>
      </c>
      <c r="AS370" s="94">
        <f t="shared" si="144"/>
        <v>0</v>
      </c>
      <c r="AT370" s="94">
        <f t="shared" si="145"/>
        <v>0</v>
      </c>
      <c r="AU370" s="94">
        <f t="shared" si="129"/>
        <v>0</v>
      </c>
      <c r="AV370" s="94">
        <f t="shared" si="130"/>
        <v>0</v>
      </c>
    </row>
    <row r="371" spans="1:48" x14ac:dyDescent="0.3">
      <c r="A371" s="85" t="str">
        <f>_xlfn.XLOOKUP(B371,'Country codes &amp; Data sources'!G:G,'Country codes &amp; Data sources'!H:H,,0)</f>
        <v>Guinea-Bissau</v>
      </c>
      <c r="B371" s="85" t="s">
        <v>174</v>
      </c>
      <c r="C371" s="86">
        <v>1652730.5</v>
      </c>
      <c r="D371" s="85" t="s">
        <v>136</v>
      </c>
      <c r="E371" s="87">
        <v>0</v>
      </c>
      <c r="F371" s="88">
        <v>1697752.4999999995</v>
      </c>
      <c r="G371" s="87">
        <v>0</v>
      </c>
      <c r="I371" s="87">
        <v>0</v>
      </c>
      <c r="K371" s="87">
        <v>0</v>
      </c>
      <c r="M371" s="87">
        <v>0</v>
      </c>
      <c r="O371" s="87">
        <v>0</v>
      </c>
      <c r="P371" s="88">
        <v>1924954.4999999988</v>
      </c>
      <c r="Q371" s="87">
        <v>17</v>
      </c>
      <c r="R371" s="87">
        <f t="shared" si="131"/>
        <v>17</v>
      </c>
      <c r="T371" s="87">
        <v>0</v>
      </c>
      <c r="V371" s="87">
        <v>3</v>
      </c>
      <c r="X371" s="87">
        <v>2</v>
      </c>
      <c r="Y371" s="88">
        <v>2105565.4999999991</v>
      </c>
      <c r="Z371" s="87">
        <v>51</v>
      </c>
      <c r="AA371" s="87">
        <v>12</v>
      </c>
      <c r="AB371" s="89">
        <f t="shared" si="132"/>
        <v>0</v>
      </c>
      <c r="AC371" s="89">
        <f t="shared" si="133"/>
        <v>17</v>
      </c>
      <c r="AD371" s="89">
        <f t="shared" si="134"/>
        <v>51</v>
      </c>
      <c r="AF371" s="90" t="str">
        <f t="shared" si="135"/>
        <v/>
      </c>
      <c r="AG371" s="90">
        <f t="shared" si="147"/>
        <v>17</v>
      </c>
      <c r="AH371" s="90">
        <f t="shared" si="136"/>
        <v>2018</v>
      </c>
      <c r="AI371" s="90">
        <f t="shared" si="137"/>
        <v>51</v>
      </c>
      <c r="AJ371" s="90">
        <f t="shared" si="138"/>
        <v>2022</v>
      </c>
      <c r="AK371" s="90" t="str">
        <f t="shared" si="139"/>
        <v/>
      </c>
      <c r="AL371" s="91">
        <f>IF(AK371="Adjust",(_xlfn.XLOOKUP(A371,'Adj factor'!A:A,'Adj factor'!I:I,,0)*AI371),'Master DataSheet (Rev)'!AI371)</f>
        <v>51</v>
      </c>
      <c r="AM371" s="91">
        <f t="shared" si="140"/>
        <v>51</v>
      </c>
      <c r="AN371" s="92" t="str">
        <f t="shared" si="141"/>
        <v>Increasing</v>
      </c>
      <c r="AO371" s="93">
        <f>VLOOKUP(B371,'Growthrates source'!A$2:H$49,8,FALSE)</f>
        <v>3.0374199904759536E-2</v>
      </c>
      <c r="AP371" s="93">
        <f>VLOOKUP(B371,'Growthrates source'!A$2:I$49,9,FALSE)</f>
        <v>4.6424158096915802E-2</v>
      </c>
      <c r="AQ371" s="86">
        <f t="shared" si="142"/>
        <v>10.309189173431561</v>
      </c>
      <c r="AR371" s="86">
        <f t="shared" si="143"/>
        <v>13.793246993260585</v>
      </c>
      <c r="AS371" s="94">
        <f t="shared" si="144"/>
        <v>0</v>
      </c>
      <c r="AT371" s="94">
        <f t="shared" si="145"/>
        <v>8.8313775728205576E-2</v>
      </c>
      <c r="AU371" s="94">
        <f t="shared" si="129"/>
        <v>0.24221521486745495</v>
      </c>
      <c r="AV371" s="94">
        <f t="shared" si="130"/>
        <v>0.24221521486745495</v>
      </c>
    </row>
    <row r="372" spans="1:48" x14ac:dyDescent="0.3">
      <c r="A372" s="85" t="str">
        <f>_xlfn.XLOOKUP(B372,'Country codes &amp; Data sources'!G:G,'Country codes &amp; Data sources'!H:H,,0)</f>
        <v>Guinea-Bissau</v>
      </c>
      <c r="B372" s="85" t="s">
        <v>174</v>
      </c>
      <c r="C372" s="86">
        <v>1652731.5</v>
      </c>
      <c r="D372" s="85" t="s">
        <v>207</v>
      </c>
      <c r="E372" s="87">
        <v>0</v>
      </c>
      <c r="F372" s="88">
        <v>1697752.4999999995</v>
      </c>
      <c r="G372" s="87">
        <v>0</v>
      </c>
      <c r="I372" s="87">
        <v>0</v>
      </c>
      <c r="K372" s="87">
        <v>0</v>
      </c>
      <c r="M372" s="87">
        <v>0</v>
      </c>
      <c r="O372" s="87">
        <v>0</v>
      </c>
      <c r="P372" s="88">
        <v>1924954.4999999988</v>
      </c>
      <c r="Q372" s="87">
        <v>1</v>
      </c>
      <c r="R372" s="87">
        <f t="shared" si="131"/>
        <v>24</v>
      </c>
      <c r="T372" s="87">
        <v>0</v>
      </c>
      <c r="V372" s="87">
        <v>0</v>
      </c>
      <c r="X372" s="87">
        <v>0</v>
      </c>
      <c r="Y372" s="88">
        <v>2105565.4999999991</v>
      </c>
      <c r="Z372" s="87">
        <v>0</v>
      </c>
      <c r="AA372" s="87">
        <v>24</v>
      </c>
      <c r="AB372" s="89">
        <f t="shared" si="132"/>
        <v>0</v>
      </c>
      <c r="AC372" s="89">
        <f t="shared" si="133"/>
        <v>1</v>
      </c>
      <c r="AD372" s="89">
        <f t="shared" si="134"/>
        <v>0</v>
      </c>
      <c r="AF372" s="90" t="str">
        <f t="shared" si="135"/>
        <v/>
      </c>
      <c r="AG372" s="90">
        <f t="shared" si="147"/>
        <v>24</v>
      </c>
      <c r="AH372" s="90" t="str">
        <f t="shared" si="136"/>
        <v>2018 (triag)</v>
      </c>
      <c r="AI372" s="90">
        <f t="shared" si="137"/>
        <v>24</v>
      </c>
      <c r="AJ372" s="90" t="str">
        <f t="shared" si="138"/>
        <v>2018 (triag)</v>
      </c>
      <c r="AK372" s="90" t="str">
        <f t="shared" si="139"/>
        <v/>
      </c>
      <c r="AL372" s="91">
        <f>IF(AK372="Adjust",(_xlfn.XLOOKUP(A372,'Adj factor'!A:A,'Adj factor'!I:I,,0)*AI372),'Master DataSheet (Rev)'!AI372)</f>
        <v>24</v>
      </c>
      <c r="AM372" s="91">
        <f t="shared" si="140"/>
        <v>24</v>
      </c>
      <c r="AN372" s="92" t="str">
        <f t="shared" si="141"/>
        <v>No change</v>
      </c>
      <c r="AO372" s="93">
        <f>VLOOKUP(B372,'Growthrates source'!A$2:H$49,8,FALSE)</f>
        <v>3.0374199904759536E-2</v>
      </c>
      <c r="AP372" s="93">
        <f>VLOOKUP(B372,'Growthrates source'!A$2:I$49,9,FALSE)</f>
        <v>4.6424158096915802E-2</v>
      </c>
      <c r="AQ372" s="86">
        <f t="shared" si="142"/>
        <v>20.618378346863121</v>
      </c>
      <c r="AR372" s="86">
        <f t="shared" si="143"/>
        <v>27.58649398652117</v>
      </c>
      <c r="AS372" s="94">
        <f t="shared" si="144"/>
        <v>0</v>
      </c>
      <c r="AT372" s="94">
        <f t="shared" si="145"/>
        <v>0.12467827161629022</v>
      </c>
      <c r="AU372" s="94">
        <f t="shared" si="129"/>
        <v>0.11398363052586115</v>
      </c>
      <c r="AV372" s="94">
        <f t="shared" si="130"/>
        <v>0.11398363052586115</v>
      </c>
    </row>
    <row r="373" spans="1:48" x14ac:dyDescent="0.3">
      <c r="A373" s="85" t="str">
        <f>_xlfn.XLOOKUP(B373,'Country codes &amp; Data sources'!G:G,'Country codes &amp; Data sources'!H:H,,0)</f>
        <v>Guinea-Bissau</v>
      </c>
      <c r="B373" s="85" t="s">
        <v>174</v>
      </c>
      <c r="C373" s="86">
        <v>1652732.5</v>
      </c>
      <c r="D373" s="85" t="s">
        <v>141</v>
      </c>
      <c r="E373" s="87">
        <v>0</v>
      </c>
      <c r="F373" s="88">
        <v>1697752.4999999995</v>
      </c>
      <c r="G373" s="87">
        <v>0</v>
      </c>
      <c r="I373" s="87">
        <v>0</v>
      </c>
      <c r="K373" s="87">
        <v>0</v>
      </c>
      <c r="M373" s="87">
        <v>0</v>
      </c>
      <c r="O373" s="87">
        <v>0</v>
      </c>
      <c r="P373" s="88">
        <v>1924954.4999999988</v>
      </c>
      <c r="Q373" s="87">
        <v>1</v>
      </c>
      <c r="R373" s="87">
        <f t="shared" si="131"/>
        <v>16</v>
      </c>
      <c r="T373" s="87">
        <v>0</v>
      </c>
      <c r="V373" s="87">
        <v>9</v>
      </c>
      <c r="X373" s="87">
        <v>10</v>
      </c>
      <c r="Y373" s="88">
        <v>2105565.4999999991</v>
      </c>
      <c r="Z373" s="87">
        <v>0</v>
      </c>
      <c r="AA373" s="87">
        <v>16</v>
      </c>
      <c r="AB373" s="89">
        <f t="shared" si="132"/>
        <v>0</v>
      </c>
      <c r="AC373" s="89">
        <f t="shared" si="133"/>
        <v>1</v>
      </c>
      <c r="AD373" s="89">
        <f t="shared" si="134"/>
        <v>10</v>
      </c>
      <c r="AF373" s="90" t="str">
        <f t="shared" si="135"/>
        <v/>
      </c>
      <c r="AG373" s="90">
        <f t="shared" si="147"/>
        <v>16</v>
      </c>
      <c r="AH373" s="90" t="str">
        <f t="shared" si="136"/>
        <v>2018 (triag)</v>
      </c>
      <c r="AI373" s="90">
        <f t="shared" si="137"/>
        <v>10</v>
      </c>
      <c r="AJ373" s="90">
        <f t="shared" si="138"/>
        <v>2021</v>
      </c>
      <c r="AK373" s="90" t="str">
        <f t="shared" si="139"/>
        <v>Adjust</v>
      </c>
      <c r="AL373" s="91">
        <f>IF(AK373="Adjust",(_xlfn.XLOOKUP(A373,'Adj factor'!A:A,'Adj factor'!I:I,,0)*AI373),'Master DataSheet (Rev)'!AI373)</f>
        <v>12.120405576679341</v>
      </c>
      <c r="AM373" s="91">
        <f t="shared" si="140"/>
        <v>16</v>
      </c>
      <c r="AN373" s="92" t="str">
        <f t="shared" si="141"/>
        <v>Decreasing</v>
      </c>
      <c r="AO373" s="93">
        <f>VLOOKUP(B373,'Growthrates source'!A$2:H$49,8,FALSE)</f>
        <v>3.0374199904759536E-2</v>
      </c>
      <c r="AP373" s="93">
        <f>VLOOKUP(B373,'Growthrates source'!A$2:I$49,9,FALSE)</f>
        <v>4.6424158096915802E-2</v>
      </c>
      <c r="AQ373" s="86">
        <f t="shared" si="142"/>
        <v>13.745585564575414</v>
      </c>
      <c r="AR373" s="86">
        <f t="shared" si="143"/>
        <v>18.390995991014112</v>
      </c>
      <c r="AS373" s="94">
        <f t="shared" si="144"/>
        <v>0</v>
      </c>
      <c r="AT373" s="94">
        <f t="shared" si="145"/>
        <v>8.311884774419348E-2</v>
      </c>
      <c r="AU373" s="94">
        <f t="shared" si="129"/>
        <v>5.7563659628158542E-2</v>
      </c>
      <c r="AV373" s="94">
        <f t="shared" si="130"/>
        <v>7.5989087017240775E-2</v>
      </c>
    </row>
    <row r="374" spans="1:48" x14ac:dyDescent="0.3">
      <c r="A374" s="85" t="str">
        <f>_xlfn.XLOOKUP(B374,'Country codes &amp; Data sources'!G:G,'Country codes &amp; Data sources'!H:H,,0)</f>
        <v>Guinea-Bissau</v>
      </c>
      <c r="B374" s="85" t="s">
        <v>174</v>
      </c>
      <c r="C374" s="86">
        <v>1652733.5</v>
      </c>
      <c r="D374" s="85" t="s">
        <v>208</v>
      </c>
      <c r="E374" s="87">
        <v>0</v>
      </c>
      <c r="F374" s="88">
        <v>1697752.4999999995</v>
      </c>
      <c r="G374" s="87">
        <v>0</v>
      </c>
      <c r="I374" s="87">
        <v>0</v>
      </c>
      <c r="K374" s="87">
        <v>0</v>
      </c>
      <c r="M374" s="87">
        <v>0</v>
      </c>
      <c r="O374" s="87">
        <v>0</v>
      </c>
      <c r="P374" s="88">
        <v>1924954.4999999988</v>
      </c>
      <c r="Q374" s="87">
        <v>0</v>
      </c>
      <c r="R374" s="87">
        <f t="shared" si="131"/>
        <v>481</v>
      </c>
      <c r="T374" s="87">
        <v>0</v>
      </c>
      <c r="V374" s="87">
        <v>149</v>
      </c>
      <c r="X374" s="87">
        <v>0</v>
      </c>
      <c r="Y374" s="88">
        <v>2105565.4999999991</v>
      </c>
      <c r="Z374" s="87">
        <v>10</v>
      </c>
      <c r="AA374" s="87">
        <v>481</v>
      </c>
      <c r="AB374" s="89">
        <f t="shared" si="132"/>
        <v>0</v>
      </c>
      <c r="AC374" s="89">
        <f t="shared" si="133"/>
        <v>0</v>
      </c>
      <c r="AD374" s="89">
        <f t="shared" si="134"/>
        <v>149</v>
      </c>
      <c r="AF374" s="90" t="str">
        <f t="shared" si="135"/>
        <v/>
      </c>
      <c r="AG374" s="90">
        <f t="shared" si="147"/>
        <v>481</v>
      </c>
      <c r="AH374" s="90" t="str">
        <f t="shared" si="136"/>
        <v>2018 (triag)</v>
      </c>
      <c r="AI374" s="90">
        <f t="shared" si="137"/>
        <v>10</v>
      </c>
      <c r="AJ374" s="90">
        <f t="shared" si="138"/>
        <v>2022</v>
      </c>
      <c r="AK374" s="90" t="str">
        <f t="shared" si="139"/>
        <v>Adjust</v>
      </c>
      <c r="AL374" s="91">
        <f>IF(AK374="Adjust",(_xlfn.XLOOKUP(A374,'Adj factor'!A:A,'Adj factor'!I:I,,0)*AI374),'Master DataSheet (Rev)'!AI374)</f>
        <v>12.120405576679341</v>
      </c>
      <c r="AM374" s="91">
        <f t="shared" si="140"/>
        <v>481</v>
      </c>
      <c r="AN374" s="92" t="str">
        <f t="shared" si="141"/>
        <v>Decreasing</v>
      </c>
      <c r="AO374" s="93">
        <f>VLOOKUP(B374,'Growthrates source'!A$2:H$49,8,FALSE)</f>
        <v>3.0374199904759536E-2</v>
      </c>
      <c r="AP374" s="93">
        <f>VLOOKUP(B374,'Growthrates source'!A$2:I$49,9,FALSE)</f>
        <v>4.6424158096915802E-2</v>
      </c>
      <c r="AQ374" s="86">
        <f t="shared" si="142"/>
        <v>413.22666603504837</v>
      </c>
      <c r="AR374" s="86">
        <f t="shared" si="143"/>
        <v>552.87931697986176</v>
      </c>
      <c r="AS374" s="94">
        <f t="shared" si="144"/>
        <v>0</v>
      </c>
      <c r="AT374" s="94">
        <f t="shared" si="145"/>
        <v>2.4987603603098165</v>
      </c>
      <c r="AU374" s="94">
        <f t="shared" si="129"/>
        <v>5.7563659628158542E-2</v>
      </c>
      <c r="AV374" s="94">
        <f t="shared" si="130"/>
        <v>2.2844219284558007</v>
      </c>
    </row>
    <row r="375" spans="1:48" x14ac:dyDescent="0.3">
      <c r="A375" s="85" t="str">
        <f>_xlfn.XLOOKUP(B375,'Country codes &amp; Data sources'!G:G,'Country codes &amp; Data sources'!H:H,,0)</f>
        <v>Guinea-Bissau</v>
      </c>
      <c r="B375" s="85" t="s">
        <v>174</v>
      </c>
      <c r="C375" s="86">
        <v>1652734.5</v>
      </c>
      <c r="D375" s="85" t="s">
        <v>209</v>
      </c>
      <c r="E375" s="87">
        <v>0</v>
      </c>
      <c r="F375" s="88">
        <v>1697752.4999999995</v>
      </c>
      <c r="G375" s="87">
        <v>0</v>
      </c>
      <c r="I375" s="87">
        <v>0</v>
      </c>
      <c r="K375" s="87">
        <v>0</v>
      </c>
      <c r="M375" s="87">
        <v>0</v>
      </c>
      <c r="O375" s="87">
        <v>0</v>
      </c>
      <c r="P375" s="88">
        <v>1924954.4999999988</v>
      </c>
      <c r="Q375" s="87">
        <v>0</v>
      </c>
      <c r="R375" s="87">
        <f t="shared" si="131"/>
        <v>69</v>
      </c>
      <c r="T375" s="87">
        <v>0</v>
      </c>
      <c r="V375" s="87">
        <v>115</v>
      </c>
      <c r="X375" s="87">
        <v>86</v>
      </c>
      <c r="Y375" s="88">
        <v>2105565.4999999991</v>
      </c>
      <c r="Z375" s="87">
        <v>64</v>
      </c>
      <c r="AA375" s="87">
        <v>69</v>
      </c>
      <c r="AB375" s="89">
        <f t="shared" si="132"/>
        <v>0</v>
      </c>
      <c r="AC375" s="89">
        <f t="shared" si="133"/>
        <v>0</v>
      </c>
      <c r="AD375" s="89">
        <f t="shared" si="134"/>
        <v>115</v>
      </c>
      <c r="AF375" s="90" t="str">
        <f t="shared" si="135"/>
        <v/>
      </c>
      <c r="AG375" s="90">
        <f t="shared" si="147"/>
        <v>69</v>
      </c>
      <c r="AH375" s="90" t="str">
        <f t="shared" si="136"/>
        <v>2018 (triag)</v>
      </c>
      <c r="AI375" s="90">
        <f t="shared" si="137"/>
        <v>64</v>
      </c>
      <c r="AJ375" s="90">
        <f t="shared" si="138"/>
        <v>2022</v>
      </c>
      <c r="AK375" s="90" t="str">
        <f t="shared" si="139"/>
        <v>Adjust</v>
      </c>
      <c r="AL375" s="91">
        <f>IF(AK375="Adjust",(_xlfn.XLOOKUP(A375,'Adj factor'!A:A,'Adj factor'!I:I,,0)*AI375),'Master DataSheet (Rev)'!AI375)</f>
        <v>77.57059569074778</v>
      </c>
      <c r="AM375" s="91">
        <f t="shared" si="140"/>
        <v>77.57059569074778</v>
      </c>
      <c r="AN375" s="92" t="str">
        <f t="shared" si="141"/>
        <v>Increasing</v>
      </c>
      <c r="AO375" s="93">
        <f>VLOOKUP(B375,'Growthrates source'!A$2:H$49,8,FALSE)</f>
        <v>3.0374199904759536E-2</v>
      </c>
      <c r="AP375" s="93">
        <f>VLOOKUP(B375,'Growthrates source'!A$2:I$49,9,FALSE)</f>
        <v>4.6424158096915802E-2</v>
      </c>
      <c r="AQ375" s="86">
        <f t="shared" si="142"/>
        <v>59.277837747231473</v>
      </c>
      <c r="AR375" s="86">
        <f t="shared" si="143"/>
        <v>79.311170211248353</v>
      </c>
      <c r="AS375" s="94">
        <f t="shared" si="144"/>
        <v>0</v>
      </c>
      <c r="AT375" s="94">
        <f t="shared" si="145"/>
        <v>0.35845003089683442</v>
      </c>
      <c r="AU375" s="94">
        <f t="shared" si="129"/>
        <v>0.36840742162021467</v>
      </c>
      <c r="AV375" s="94">
        <f t="shared" si="130"/>
        <v>0.36840742162021467</v>
      </c>
    </row>
    <row r="376" spans="1:48" x14ac:dyDescent="0.3">
      <c r="A376" s="85" t="str">
        <f>_xlfn.XLOOKUP(B376,'Country codes &amp; Data sources'!G:G,'Country codes &amp; Data sources'!H:H,,0)</f>
        <v>Guinea-Bissau</v>
      </c>
      <c r="B376" s="85" t="s">
        <v>174</v>
      </c>
      <c r="C376" s="86">
        <v>1652735.5</v>
      </c>
      <c r="D376" s="85" t="s">
        <v>134</v>
      </c>
      <c r="E376" s="87">
        <v>0</v>
      </c>
      <c r="F376" s="88">
        <v>1697752.4999999995</v>
      </c>
      <c r="G376" s="87">
        <v>0</v>
      </c>
      <c r="I376" s="87">
        <v>0</v>
      </c>
      <c r="K376" s="87">
        <v>0</v>
      </c>
      <c r="M376" s="87">
        <v>16</v>
      </c>
      <c r="O376" s="87">
        <v>0</v>
      </c>
      <c r="P376" s="88">
        <v>1924954.4999999988</v>
      </c>
      <c r="Q376" s="87">
        <v>0</v>
      </c>
      <c r="R376" s="87">
        <f t="shared" si="131"/>
        <v>172</v>
      </c>
      <c r="T376" s="87">
        <v>0</v>
      </c>
      <c r="V376" s="87">
        <v>1</v>
      </c>
      <c r="X376" s="87">
        <v>1</v>
      </c>
      <c r="Y376" s="88">
        <v>2105565.4999999991</v>
      </c>
      <c r="Z376" s="87">
        <v>197</v>
      </c>
      <c r="AA376" s="87">
        <v>172</v>
      </c>
      <c r="AB376" s="89">
        <f t="shared" si="132"/>
        <v>0</v>
      </c>
      <c r="AC376" s="89">
        <f t="shared" si="133"/>
        <v>16</v>
      </c>
      <c r="AD376" s="89">
        <f t="shared" si="134"/>
        <v>197</v>
      </c>
      <c r="AF376" s="90" t="str">
        <f t="shared" si="135"/>
        <v/>
      </c>
      <c r="AG376" s="90">
        <f t="shared" si="147"/>
        <v>172</v>
      </c>
      <c r="AH376" s="90" t="str">
        <f t="shared" si="136"/>
        <v>2018 (triag)</v>
      </c>
      <c r="AI376" s="90">
        <f t="shared" si="137"/>
        <v>197</v>
      </c>
      <c r="AJ376" s="90">
        <f t="shared" si="138"/>
        <v>2022</v>
      </c>
      <c r="AK376" s="90" t="str">
        <f t="shared" si="139"/>
        <v/>
      </c>
      <c r="AL376" s="91">
        <f>IF(AK376="Adjust",(_xlfn.XLOOKUP(A376,'Adj factor'!A:A,'Adj factor'!I:I,,0)*AI376),'Master DataSheet (Rev)'!AI376)</f>
        <v>197</v>
      </c>
      <c r="AM376" s="91">
        <f t="shared" si="140"/>
        <v>197</v>
      </c>
      <c r="AN376" s="92" t="str">
        <f t="shared" si="141"/>
        <v>Increasing</v>
      </c>
      <c r="AO376" s="93">
        <f>VLOOKUP(B376,'Growthrates source'!A$2:H$49,8,FALSE)</f>
        <v>3.0374199904759536E-2</v>
      </c>
      <c r="AP376" s="93">
        <f>VLOOKUP(B376,'Growthrates source'!A$2:I$49,9,FALSE)</f>
        <v>4.6424158096915802E-2</v>
      </c>
      <c r="AQ376" s="86">
        <f t="shared" si="142"/>
        <v>147.7650448191857</v>
      </c>
      <c r="AR376" s="86">
        <f t="shared" si="143"/>
        <v>197.70320690340171</v>
      </c>
      <c r="AS376" s="94">
        <f t="shared" si="144"/>
        <v>0</v>
      </c>
      <c r="AT376" s="94">
        <f t="shared" si="145"/>
        <v>0.89352761325008001</v>
      </c>
      <c r="AU376" s="94">
        <f t="shared" si="129"/>
        <v>0.93561563389977698</v>
      </c>
      <c r="AV376" s="94">
        <f t="shared" si="130"/>
        <v>0.93561563389977698</v>
      </c>
    </row>
    <row r="377" spans="1:48" x14ac:dyDescent="0.3">
      <c r="A377" s="85" t="str">
        <f>_xlfn.XLOOKUP(B377,'Country codes &amp; Data sources'!G:G,'Country codes &amp; Data sources'!H:H,,0)</f>
        <v>Guinea-Bissau</v>
      </c>
      <c r="B377" s="85" t="s">
        <v>174</v>
      </c>
      <c r="C377" s="86">
        <v>1652736.5</v>
      </c>
      <c r="D377" s="85" t="s">
        <v>142</v>
      </c>
      <c r="E377" s="87">
        <v>0</v>
      </c>
      <c r="F377" s="88">
        <v>1697752.4999999995</v>
      </c>
      <c r="G377" s="87">
        <v>0</v>
      </c>
      <c r="I377" s="87">
        <v>0</v>
      </c>
      <c r="K377" s="87">
        <v>0</v>
      </c>
      <c r="M377" s="87">
        <v>11</v>
      </c>
      <c r="O377" s="87">
        <v>0</v>
      </c>
      <c r="P377" s="88">
        <v>1924954.4999999988</v>
      </c>
      <c r="Q377" s="87">
        <v>0</v>
      </c>
      <c r="R377" s="87">
        <f t="shared" si="131"/>
        <v>8</v>
      </c>
      <c r="T377" s="87">
        <v>0</v>
      </c>
      <c r="V377" s="87">
        <v>2</v>
      </c>
      <c r="X377" s="87">
        <v>0</v>
      </c>
      <c r="Y377" s="88">
        <v>2105565.4999999991</v>
      </c>
      <c r="Z377" s="87">
        <v>0</v>
      </c>
      <c r="AA377" s="87">
        <v>8</v>
      </c>
      <c r="AB377" s="89">
        <f t="shared" si="132"/>
        <v>0</v>
      </c>
      <c r="AC377" s="89">
        <f t="shared" si="133"/>
        <v>11</v>
      </c>
      <c r="AD377" s="89">
        <f t="shared" si="134"/>
        <v>2</v>
      </c>
      <c r="AF377" s="90" t="str">
        <f t="shared" si="135"/>
        <v/>
      </c>
      <c r="AG377" s="90">
        <f t="shared" si="147"/>
        <v>8</v>
      </c>
      <c r="AH377" s="90" t="str">
        <f t="shared" si="136"/>
        <v>2018 (triag)</v>
      </c>
      <c r="AI377" s="90">
        <f t="shared" si="137"/>
        <v>2</v>
      </c>
      <c r="AJ377" s="90">
        <f t="shared" si="138"/>
        <v>2020</v>
      </c>
      <c r="AK377" s="90" t="str">
        <f t="shared" si="139"/>
        <v>Adjust</v>
      </c>
      <c r="AL377" s="91">
        <f>IF(AK377="Adjust",(_xlfn.XLOOKUP(A377,'Adj factor'!A:A,'Adj factor'!I:I,,0)*AI377),'Master DataSheet (Rev)'!AI377)</f>
        <v>2.4240811153358681</v>
      </c>
      <c r="AM377" s="91">
        <f t="shared" si="140"/>
        <v>8</v>
      </c>
      <c r="AN377" s="92" t="str">
        <f t="shared" si="141"/>
        <v>Decreasing</v>
      </c>
      <c r="AO377" s="93">
        <f>VLOOKUP(B377,'Growthrates source'!A$2:H$49,8,FALSE)</f>
        <v>3.0374199904759536E-2</v>
      </c>
      <c r="AP377" s="93">
        <f>VLOOKUP(B377,'Growthrates source'!A$2:I$49,9,FALSE)</f>
        <v>4.6424158096915802E-2</v>
      </c>
      <c r="AQ377" s="86">
        <f t="shared" si="142"/>
        <v>6.8727927822877071</v>
      </c>
      <c r="AR377" s="86">
        <f t="shared" si="143"/>
        <v>9.1954979955070559</v>
      </c>
      <c r="AS377" s="94">
        <f t="shared" si="144"/>
        <v>0</v>
      </c>
      <c r="AT377" s="94">
        <f t="shared" si="145"/>
        <v>4.155942387209674E-2</v>
      </c>
      <c r="AU377" s="94">
        <f t="shared" si="129"/>
        <v>1.1512731925631708E-2</v>
      </c>
      <c r="AV377" s="94">
        <f t="shared" si="130"/>
        <v>3.7994543508620388E-2</v>
      </c>
    </row>
    <row r="378" spans="1:48" x14ac:dyDescent="0.3">
      <c r="A378" s="85" t="str">
        <f>_xlfn.XLOOKUP(B378,'Country codes &amp; Data sources'!G:G,'Country codes &amp; Data sources'!H:H,,0)</f>
        <v>Guinea-Bissau</v>
      </c>
      <c r="B378" s="85" t="s">
        <v>174</v>
      </c>
      <c r="C378" s="86">
        <v>1652737.5</v>
      </c>
      <c r="D378" s="85" t="s">
        <v>83</v>
      </c>
      <c r="E378" s="87">
        <v>0</v>
      </c>
      <c r="F378" s="88">
        <v>1697752.4999999995</v>
      </c>
      <c r="G378" s="87">
        <v>0</v>
      </c>
      <c r="I378" s="87">
        <v>0</v>
      </c>
      <c r="K378" s="87">
        <v>0</v>
      </c>
      <c r="M378" s="87">
        <v>0</v>
      </c>
      <c r="O378" s="87">
        <v>0</v>
      </c>
      <c r="P378" s="88">
        <v>1924954.4999999988</v>
      </c>
      <c r="Q378" s="87">
        <v>15</v>
      </c>
      <c r="R378" s="87">
        <f t="shared" si="131"/>
        <v>15</v>
      </c>
      <c r="T378" s="87">
        <v>0</v>
      </c>
      <c r="V378" s="87">
        <v>4</v>
      </c>
      <c r="X378" s="87">
        <v>6</v>
      </c>
      <c r="Y378" s="88">
        <v>2105565.4999999991</v>
      </c>
      <c r="Z378" s="87">
        <v>5</v>
      </c>
      <c r="AA378" s="87">
        <v>13</v>
      </c>
      <c r="AB378" s="89">
        <f t="shared" si="132"/>
        <v>0</v>
      </c>
      <c r="AC378" s="89">
        <f t="shared" si="133"/>
        <v>15</v>
      </c>
      <c r="AD378" s="89">
        <f t="shared" si="134"/>
        <v>6</v>
      </c>
      <c r="AF378" s="90" t="str">
        <f t="shared" si="135"/>
        <v/>
      </c>
      <c r="AG378" s="90">
        <f t="shared" si="147"/>
        <v>15</v>
      </c>
      <c r="AH378" s="90">
        <f t="shared" si="136"/>
        <v>2018</v>
      </c>
      <c r="AI378" s="90">
        <f t="shared" si="137"/>
        <v>5</v>
      </c>
      <c r="AJ378" s="90">
        <f t="shared" si="138"/>
        <v>2022</v>
      </c>
      <c r="AK378" s="90" t="str">
        <f t="shared" si="139"/>
        <v>Adjust</v>
      </c>
      <c r="AL378" s="91">
        <f>IF(AK378="Adjust",(_xlfn.XLOOKUP(A378,'Adj factor'!A:A,'Adj factor'!I:I,,0)*AI378),'Master DataSheet (Rev)'!AI378)</f>
        <v>6.0602027883396703</v>
      </c>
      <c r="AM378" s="91">
        <f t="shared" si="140"/>
        <v>15</v>
      </c>
      <c r="AN378" s="92" t="str">
        <f t="shared" si="141"/>
        <v>Decreasing</v>
      </c>
      <c r="AO378" s="93">
        <f>VLOOKUP(B378,'Growthrates source'!A$2:H$49,8,FALSE)</f>
        <v>3.0374199904759536E-2</v>
      </c>
      <c r="AP378" s="93">
        <f>VLOOKUP(B378,'Growthrates source'!A$2:I$49,9,FALSE)</f>
        <v>4.6424158096915802E-2</v>
      </c>
      <c r="AQ378" s="86">
        <f t="shared" si="142"/>
        <v>11.168288271217524</v>
      </c>
      <c r="AR378" s="86">
        <f t="shared" si="143"/>
        <v>14.942684242698967</v>
      </c>
      <c r="AS378" s="94">
        <f t="shared" si="144"/>
        <v>0</v>
      </c>
      <c r="AT378" s="94">
        <f t="shared" si="145"/>
        <v>7.7923919760181398E-2</v>
      </c>
      <c r="AU378" s="94">
        <f t="shared" si="129"/>
        <v>2.8781829814079271E-2</v>
      </c>
      <c r="AV378" s="94">
        <f t="shared" si="130"/>
        <v>7.1239769078663223E-2</v>
      </c>
    </row>
    <row r="379" spans="1:48" x14ac:dyDescent="0.3">
      <c r="A379" s="85" t="str">
        <f>_xlfn.XLOOKUP(B379,'Country codes &amp; Data sources'!G:G,'Country codes &amp; Data sources'!H:H,,0)</f>
        <v>Guinea-Bissau</v>
      </c>
      <c r="B379" s="85" t="s">
        <v>174</v>
      </c>
      <c r="C379" s="86">
        <v>1652738.5</v>
      </c>
      <c r="D379" s="85" t="s">
        <v>84</v>
      </c>
      <c r="E379" s="87">
        <v>0</v>
      </c>
      <c r="F379" s="88">
        <v>1697752.4999999995</v>
      </c>
      <c r="G379" s="87">
        <v>0</v>
      </c>
      <c r="I379" s="87">
        <v>0</v>
      </c>
      <c r="K379" s="87">
        <v>0</v>
      </c>
      <c r="M379" s="87">
        <v>0</v>
      </c>
      <c r="O379" s="87">
        <v>0</v>
      </c>
      <c r="P379" s="88">
        <v>1924954.4999999988</v>
      </c>
      <c r="Q379" s="87">
        <v>53</v>
      </c>
      <c r="R379" s="87">
        <f t="shared" si="131"/>
        <v>53</v>
      </c>
      <c r="T379" s="87">
        <v>0</v>
      </c>
      <c r="V379" s="87">
        <v>61</v>
      </c>
      <c r="X379" s="87">
        <v>16</v>
      </c>
      <c r="Y379" s="88">
        <v>2105565.4999999991</v>
      </c>
      <c r="Z379" s="87">
        <v>68</v>
      </c>
      <c r="AA379" s="87">
        <v>0</v>
      </c>
      <c r="AB379" s="89">
        <f t="shared" si="132"/>
        <v>0</v>
      </c>
      <c r="AC379" s="89">
        <f t="shared" si="133"/>
        <v>53</v>
      </c>
      <c r="AD379" s="89">
        <f t="shared" si="134"/>
        <v>68</v>
      </c>
      <c r="AF379" s="90" t="str">
        <f t="shared" si="135"/>
        <v/>
      </c>
      <c r="AG379" s="90">
        <f t="shared" si="147"/>
        <v>53</v>
      </c>
      <c r="AH379" s="90">
        <f t="shared" si="136"/>
        <v>2018</v>
      </c>
      <c r="AI379" s="90">
        <f t="shared" si="137"/>
        <v>68</v>
      </c>
      <c r="AJ379" s="90">
        <f t="shared" si="138"/>
        <v>2022</v>
      </c>
      <c r="AK379" s="90" t="str">
        <f t="shared" si="139"/>
        <v/>
      </c>
      <c r="AL379" s="91">
        <f>IF(AK379="Adjust",(_xlfn.XLOOKUP(A379,'Adj factor'!A:A,'Adj factor'!I:I,,0)*AI379),'Master DataSheet (Rev)'!AI379)</f>
        <v>68</v>
      </c>
      <c r="AM379" s="91">
        <f t="shared" si="140"/>
        <v>68</v>
      </c>
      <c r="AN379" s="92" t="str">
        <f t="shared" si="141"/>
        <v>Increasing</v>
      </c>
      <c r="AO379" s="93">
        <f>VLOOKUP(B379,'Growthrates source'!A$2:H$49,8,FALSE)</f>
        <v>3.0374199904759536E-2</v>
      </c>
      <c r="AP379" s="93">
        <f>VLOOKUP(B379,'Growthrates source'!A$2:I$49,9,FALSE)</f>
        <v>4.6424158096915802E-2</v>
      </c>
      <c r="AQ379" s="86">
        <f t="shared" si="142"/>
        <v>0</v>
      </c>
      <c r="AR379" s="86">
        <f t="shared" si="143"/>
        <v>0</v>
      </c>
      <c r="AS379" s="94">
        <f t="shared" si="144"/>
        <v>0</v>
      </c>
      <c r="AT379" s="94">
        <f t="shared" si="145"/>
        <v>0.27533118315264093</v>
      </c>
      <c r="AU379" s="94">
        <f t="shared" si="129"/>
        <v>0.32295361982327325</v>
      </c>
      <c r="AV379" s="94">
        <f t="shared" si="130"/>
        <v>0.32295361982327325</v>
      </c>
    </row>
    <row r="380" spans="1:48" x14ac:dyDescent="0.3">
      <c r="A380" s="85" t="str">
        <f>_xlfn.XLOOKUP(B380,'Country codes &amp; Data sources'!G:G,'Country codes &amp; Data sources'!H:H,,0)</f>
        <v>Guinea-Bissau</v>
      </c>
      <c r="B380" s="85" t="s">
        <v>174</v>
      </c>
      <c r="C380" s="86">
        <v>1652739.5</v>
      </c>
      <c r="D380" s="85" t="s">
        <v>126</v>
      </c>
      <c r="E380" s="87">
        <v>0</v>
      </c>
      <c r="F380" s="88">
        <v>1697752.4999999995</v>
      </c>
      <c r="G380" s="87">
        <v>0</v>
      </c>
      <c r="I380" s="87">
        <v>0</v>
      </c>
      <c r="K380" s="87">
        <v>0</v>
      </c>
      <c r="M380" s="87">
        <v>0</v>
      </c>
      <c r="O380" s="87">
        <v>0</v>
      </c>
      <c r="P380" s="88">
        <v>1924954.4999999988</v>
      </c>
      <c r="Q380" s="87">
        <v>0</v>
      </c>
      <c r="R380" s="87">
        <f t="shared" si="131"/>
        <v>0</v>
      </c>
      <c r="T380" s="87">
        <v>0</v>
      </c>
      <c r="V380" s="87">
        <v>0</v>
      </c>
      <c r="X380" s="87">
        <v>0</v>
      </c>
      <c r="Y380" s="88">
        <v>2105565.4999999991</v>
      </c>
      <c r="Z380" s="87">
        <v>0</v>
      </c>
      <c r="AA380" s="87">
        <v>0</v>
      </c>
      <c r="AB380" s="89">
        <f t="shared" si="132"/>
        <v>0</v>
      </c>
      <c r="AC380" s="89">
        <f t="shared" si="133"/>
        <v>0</v>
      </c>
      <c r="AD380" s="89">
        <f t="shared" si="134"/>
        <v>0</v>
      </c>
      <c r="AF380" s="90" t="str">
        <f t="shared" si="135"/>
        <v/>
      </c>
      <c r="AH380" s="90" t="str">
        <f t="shared" si="136"/>
        <v/>
      </c>
      <c r="AI380" s="90">
        <f t="shared" si="137"/>
        <v>0</v>
      </c>
      <c r="AJ380" s="90" t="str">
        <f t="shared" si="138"/>
        <v/>
      </c>
      <c r="AK380" s="90" t="str">
        <f t="shared" si="139"/>
        <v/>
      </c>
      <c r="AL380" s="91"/>
      <c r="AM380" s="91">
        <f t="shared" si="140"/>
        <v>0</v>
      </c>
      <c r="AN380" s="92" t="str">
        <f t="shared" si="141"/>
        <v>No change</v>
      </c>
      <c r="AO380" s="93">
        <f>VLOOKUP(B380,'Growthrates source'!A$2:H$49,8,FALSE)</f>
        <v>3.0374199904759536E-2</v>
      </c>
      <c r="AP380" s="93">
        <f>VLOOKUP(B380,'Growthrates source'!A$2:I$49,9,FALSE)</f>
        <v>4.6424158096915802E-2</v>
      </c>
      <c r="AQ380" s="86">
        <f t="shared" si="142"/>
        <v>0</v>
      </c>
      <c r="AR380" s="86">
        <f t="shared" si="143"/>
        <v>0</v>
      </c>
      <c r="AS380" s="94">
        <f t="shared" si="144"/>
        <v>0</v>
      </c>
      <c r="AT380" s="94">
        <f t="shared" si="145"/>
        <v>0</v>
      </c>
      <c r="AU380" s="94">
        <f t="shared" si="129"/>
        <v>0</v>
      </c>
      <c r="AV380" s="94">
        <f t="shared" si="130"/>
        <v>0</v>
      </c>
    </row>
    <row r="381" spans="1:48" x14ac:dyDescent="0.3">
      <c r="A381" s="85" t="str">
        <f>_xlfn.XLOOKUP(B381,'Country codes &amp; Data sources'!G:G,'Country codes &amp; Data sources'!H:H,,0)</f>
        <v>Guinea-Bissau</v>
      </c>
      <c r="B381" s="85" t="s">
        <v>174</v>
      </c>
      <c r="C381" s="86">
        <v>1652740.5</v>
      </c>
      <c r="D381" s="85" t="s">
        <v>87</v>
      </c>
      <c r="E381" s="87">
        <v>0</v>
      </c>
      <c r="F381" s="88">
        <v>1697752.4999999995</v>
      </c>
      <c r="G381" s="87">
        <v>0</v>
      </c>
      <c r="I381" s="87">
        <v>0</v>
      </c>
      <c r="K381" s="87">
        <v>0</v>
      </c>
      <c r="M381" s="87">
        <v>0</v>
      </c>
      <c r="O381" s="87">
        <v>0</v>
      </c>
      <c r="P381" s="88">
        <v>1924954.4999999988</v>
      </c>
      <c r="Q381" s="87">
        <v>0</v>
      </c>
      <c r="R381" s="87">
        <f t="shared" si="131"/>
        <v>1063</v>
      </c>
      <c r="T381" s="87">
        <v>0</v>
      </c>
      <c r="V381" s="87">
        <v>0</v>
      </c>
      <c r="X381" s="87">
        <v>0</v>
      </c>
      <c r="Y381" s="88">
        <v>2105565.4999999991</v>
      </c>
      <c r="Z381" s="87">
        <v>0</v>
      </c>
      <c r="AA381" s="87">
        <v>1063</v>
      </c>
      <c r="AB381" s="89">
        <f t="shared" si="132"/>
        <v>0</v>
      </c>
      <c r="AC381" s="89">
        <f t="shared" si="133"/>
        <v>0</v>
      </c>
      <c r="AD381" s="89">
        <f t="shared" si="134"/>
        <v>0</v>
      </c>
      <c r="AF381" s="90" t="str">
        <f t="shared" si="135"/>
        <v/>
      </c>
      <c r="AG381" s="90">
        <f t="shared" si="147"/>
        <v>1063</v>
      </c>
      <c r="AH381" s="90" t="str">
        <f t="shared" si="136"/>
        <v>2018 (triag)</v>
      </c>
      <c r="AI381" s="90">
        <f t="shared" si="137"/>
        <v>1063</v>
      </c>
      <c r="AJ381" s="90" t="str">
        <f t="shared" si="138"/>
        <v>2018 (triag)</v>
      </c>
      <c r="AK381" s="90" t="str">
        <f t="shared" si="139"/>
        <v/>
      </c>
      <c r="AL381" s="91">
        <f>IF(AK381="Adjust",(_xlfn.XLOOKUP(A381,'Adj factor'!A:A,'Adj factor'!I:I,,0)*AI381),'Master DataSheet (Rev)'!AI381)</f>
        <v>1063</v>
      </c>
      <c r="AM381" s="91">
        <f t="shared" si="140"/>
        <v>1063</v>
      </c>
      <c r="AN381" s="92" t="str">
        <f t="shared" si="141"/>
        <v>No change</v>
      </c>
      <c r="AO381" s="93">
        <f>VLOOKUP(B381,'Growthrates source'!A$2:H$49,8,FALSE)</f>
        <v>3.0374199904759536E-2</v>
      </c>
      <c r="AP381" s="93">
        <f>VLOOKUP(B381,'Growthrates source'!A$2:I$49,9,FALSE)</f>
        <v>4.6424158096915802E-2</v>
      </c>
      <c r="AQ381" s="86">
        <f t="shared" si="142"/>
        <v>913.22234094647911</v>
      </c>
      <c r="AR381" s="86">
        <f t="shared" si="143"/>
        <v>1221.8517961530001</v>
      </c>
      <c r="AS381" s="94">
        <f t="shared" si="144"/>
        <v>0</v>
      </c>
      <c r="AT381" s="94">
        <f t="shared" si="145"/>
        <v>5.5222084470048545</v>
      </c>
      <c r="AU381" s="94">
        <f t="shared" si="129"/>
        <v>5.0485249687079339</v>
      </c>
      <c r="AV381" s="94">
        <f t="shared" si="130"/>
        <v>5.0485249687079339</v>
      </c>
    </row>
    <row r="382" spans="1:48" x14ac:dyDescent="0.3">
      <c r="A382" s="85" t="str">
        <f>_xlfn.XLOOKUP(B382,'Country codes &amp; Data sources'!G:G,'Country codes &amp; Data sources'!H:H,,0)</f>
        <v>Equatorial Guinea</v>
      </c>
      <c r="B382" s="85" t="s">
        <v>170</v>
      </c>
      <c r="C382" s="86">
        <v>1193640.5</v>
      </c>
      <c r="D382" s="85" t="s">
        <v>127</v>
      </c>
      <c r="E382" s="87">
        <v>0</v>
      </c>
      <c r="F382" s="88">
        <v>1243941.0000000002</v>
      </c>
      <c r="G382" s="87">
        <v>0</v>
      </c>
      <c r="I382" s="87">
        <v>0</v>
      </c>
      <c r="K382" s="87">
        <v>0</v>
      </c>
      <c r="M382" s="87">
        <v>0</v>
      </c>
      <c r="O382" s="87">
        <v>0</v>
      </c>
      <c r="P382" s="88">
        <v>1502091.5000000002</v>
      </c>
      <c r="Q382" s="87">
        <v>0</v>
      </c>
      <c r="R382" s="87">
        <f t="shared" si="131"/>
        <v>0</v>
      </c>
      <c r="T382" s="87">
        <v>0</v>
      </c>
      <c r="V382" s="87">
        <v>0</v>
      </c>
      <c r="X382" s="87">
        <v>0</v>
      </c>
      <c r="Y382" s="88">
        <v>1674908</v>
      </c>
      <c r="Z382" s="87">
        <v>146</v>
      </c>
      <c r="AA382" s="87">
        <v>0</v>
      </c>
      <c r="AB382" s="89">
        <f t="shared" si="132"/>
        <v>0</v>
      </c>
      <c r="AC382" s="89">
        <f t="shared" si="133"/>
        <v>0</v>
      </c>
      <c r="AD382" s="89">
        <f t="shared" si="134"/>
        <v>146</v>
      </c>
      <c r="AF382" s="90" t="str">
        <f t="shared" si="135"/>
        <v/>
      </c>
      <c r="AH382" s="90" t="str">
        <f t="shared" si="136"/>
        <v/>
      </c>
      <c r="AI382" s="90">
        <f t="shared" si="137"/>
        <v>146</v>
      </c>
      <c r="AJ382" s="90">
        <f t="shared" si="138"/>
        <v>2022</v>
      </c>
      <c r="AK382" s="90" t="str">
        <f t="shared" si="139"/>
        <v/>
      </c>
      <c r="AL382" s="91">
        <f>IF(AK382="Adjust",(_xlfn.XLOOKUP(A382,'Adj factor'!A:A,'Adj factor'!I:I,,0)*AI382),'Master DataSheet (Rev)'!AI382)</f>
        <v>146</v>
      </c>
      <c r="AM382" s="91">
        <f t="shared" si="140"/>
        <v>146</v>
      </c>
      <c r="AN382" s="92" t="str">
        <f t="shared" si="141"/>
        <v>Increasing</v>
      </c>
      <c r="AO382" s="93">
        <f>VLOOKUP(B382,'Growthrates source'!A$2:H$49,8,FALSE)</f>
        <v>8.5981075235392446E-2</v>
      </c>
      <c r="AP382" s="93">
        <f>VLOOKUP(B382,'Growthrates source'!A$2:I$49,9,FALSE)</f>
        <v>0.24963048725605397</v>
      </c>
      <c r="AQ382" s="86">
        <f t="shared" si="142"/>
        <v>0</v>
      </c>
      <c r="AR382" s="86">
        <f t="shared" si="143"/>
        <v>0</v>
      </c>
      <c r="AS382" s="94">
        <f t="shared" si="144"/>
        <v>0</v>
      </c>
      <c r="AT382" s="94">
        <f t="shared" si="145"/>
        <v>0</v>
      </c>
      <c r="AU382" s="94">
        <f t="shared" si="129"/>
        <v>0.87168966892509914</v>
      </c>
      <c r="AV382" s="94">
        <f t="shared" si="130"/>
        <v>0.87168966892509914</v>
      </c>
    </row>
    <row r="383" spans="1:48" x14ac:dyDescent="0.3">
      <c r="A383" s="85" t="str">
        <f>_xlfn.XLOOKUP(B383,'Country codes &amp; Data sources'!G:G,'Country codes &amp; Data sources'!H:H,,0)</f>
        <v>Equatorial Guinea</v>
      </c>
      <c r="B383" s="85" t="s">
        <v>170</v>
      </c>
      <c r="C383" s="86">
        <v>1193641.5</v>
      </c>
      <c r="D383" s="85" t="s">
        <v>61</v>
      </c>
      <c r="E383" s="87">
        <v>0</v>
      </c>
      <c r="F383" s="88">
        <v>1243941.0000000002</v>
      </c>
      <c r="G383" s="87">
        <v>0</v>
      </c>
      <c r="I383" s="87">
        <v>5</v>
      </c>
      <c r="K383" s="87">
        <v>1147</v>
      </c>
      <c r="M383" s="87">
        <v>0</v>
      </c>
      <c r="O383" s="87">
        <v>0</v>
      </c>
      <c r="P383" s="88">
        <v>1502091.5000000002</v>
      </c>
      <c r="Q383" s="87">
        <v>0</v>
      </c>
      <c r="R383" s="87">
        <f t="shared" si="131"/>
        <v>0</v>
      </c>
      <c r="T383" s="87">
        <v>6</v>
      </c>
      <c r="V383" s="87">
        <v>0</v>
      </c>
      <c r="X383" s="87">
        <v>620</v>
      </c>
      <c r="Y383" s="88">
        <v>1674908</v>
      </c>
      <c r="Z383" s="87">
        <v>25</v>
      </c>
      <c r="AA383" s="87">
        <v>0</v>
      </c>
      <c r="AB383" s="89">
        <f t="shared" si="132"/>
        <v>1147</v>
      </c>
      <c r="AC383" s="89">
        <f t="shared" si="133"/>
        <v>6</v>
      </c>
      <c r="AD383" s="89">
        <f t="shared" si="134"/>
        <v>620</v>
      </c>
      <c r="AE383" s="90">
        <f t="shared" si="146"/>
        <v>5</v>
      </c>
      <c r="AF383" s="90">
        <f t="shared" si="135"/>
        <v>2014</v>
      </c>
      <c r="AG383" s="90">
        <f t="shared" si="147"/>
        <v>6</v>
      </c>
      <c r="AH383" s="90">
        <f t="shared" si="136"/>
        <v>2019</v>
      </c>
      <c r="AI383" s="90">
        <f t="shared" si="137"/>
        <v>25</v>
      </c>
      <c r="AJ383" s="90">
        <f t="shared" si="138"/>
        <v>2022</v>
      </c>
      <c r="AK383" s="90" t="str">
        <f t="shared" si="139"/>
        <v/>
      </c>
      <c r="AL383" s="91">
        <f>IF(AK383="Adjust",(_xlfn.XLOOKUP(A383,'Adj factor'!A:A,'Adj factor'!I:I,,0)*AI383),'Master DataSheet (Rev)'!AI383)</f>
        <v>25</v>
      </c>
      <c r="AM383" s="91">
        <f t="shared" si="140"/>
        <v>25</v>
      </c>
      <c r="AN383" s="92" t="str">
        <f t="shared" si="141"/>
        <v>Increasing</v>
      </c>
      <c r="AO383" s="93">
        <f>VLOOKUP(B383,'Growthrates source'!A$2:H$49,8,FALSE)</f>
        <v>8.5981075235392446E-2</v>
      </c>
      <c r="AP383" s="93">
        <f>VLOOKUP(B383,'Growthrates source'!A$2:I$49,9,FALSE)</f>
        <v>0.24963048725605397</v>
      </c>
      <c r="AQ383" s="86">
        <f t="shared" si="142"/>
        <v>0</v>
      </c>
      <c r="AR383" s="86">
        <f t="shared" si="143"/>
        <v>0</v>
      </c>
      <c r="AS383" s="94">
        <f t="shared" si="144"/>
        <v>4.0194832391568402E-2</v>
      </c>
      <c r="AT383" s="94">
        <f t="shared" si="145"/>
        <v>3.994430432500283E-2</v>
      </c>
      <c r="AU383" s="94">
        <f t="shared" si="129"/>
        <v>0.1492619296104622</v>
      </c>
      <c r="AV383" s="94">
        <f t="shared" si="130"/>
        <v>0.1492619296104622</v>
      </c>
    </row>
    <row r="384" spans="1:48" x14ac:dyDescent="0.3">
      <c r="A384" s="85" t="str">
        <f>_xlfn.XLOOKUP(B384,'Country codes &amp; Data sources'!G:G,'Country codes &amp; Data sources'!H:H,,0)</f>
        <v>Equatorial Guinea</v>
      </c>
      <c r="B384" s="85" t="s">
        <v>170</v>
      </c>
      <c r="C384" s="86">
        <v>1193642.5</v>
      </c>
      <c r="D384" s="85" t="s">
        <v>62</v>
      </c>
      <c r="E384" s="87">
        <v>0</v>
      </c>
      <c r="F384" s="88">
        <v>1243941.0000000002</v>
      </c>
      <c r="G384" s="87">
        <v>0</v>
      </c>
      <c r="I384" s="87">
        <v>1</v>
      </c>
      <c r="K384" s="87">
        <v>5310</v>
      </c>
      <c r="M384" s="87">
        <v>0</v>
      </c>
      <c r="O384" s="87">
        <v>0</v>
      </c>
      <c r="P384" s="88">
        <v>1502091.5000000002</v>
      </c>
      <c r="Q384" s="87">
        <v>0</v>
      </c>
      <c r="R384" s="87">
        <f t="shared" si="131"/>
        <v>0</v>
      </c>
      <c r="T384" s="87">
        <v>0</v>
      </c>
      <c r="V384" s="87">
        <v>0</v>
      </c>
      <c r="X384" s="87">
        <v>0</v>
      </c>
      <c r="Y384" s="88">
        <v>1674908</v>
      </c>
      <c r="Z384" s="87">
        <v>134</v>
      </c>
      <c r="AA384" s="87">
        <v>0</v>
      </c>
      <c r="AB384" s="89">
        <f t="shared" si="132"/>
        <v>5310</v>
      </c>
      <c r="AC384" s="89">
        <f t="shared" si="133"/>
        <v>0</v>
      </c>
      <c r="AD384" s="89">
        <f t="shared" si="134"/>
        <v>134</v>
      </c>
      <c r="AE384" s="90">
        <f t="shared" si="146"/>
        <v>1</v>
      </c>
      <c r="AF384" s="90">
        <f t="shared" si="135"/>
        <v>2014</v>
      </c>
      <c r="AH384" s="90" t="str">
        <f t="shared" si="136"/>
        <v/>
      </c>
      <c r="AI384" s="90">
        <f t="shared" si="137"/>
        <v>134</v>
      </c>
      <c r="AJ384" s="90">
        <f t="shared" si="138"/>
        <v>2022</v>
      </c>
      <c r="AK384" s="90" t="str">
        <f t="shared" si="139"/>
        <v/>
      </c>
      <c r="AL384" s="91">
        <f>IF(AK384="Adjust",(_xlfn.XLOOKUP(A384,'Adj factor'!A:A,'Adj factor'!I:I,,0)*AI384),'Master DataSheet (Rev)'!AI384)</f>
        <v>134</v>
      </c>
      <c r="AM384" s="91">
        <f t="shared" si="140"/>
        <v>134</v>
      </c>
      <c r="AN384" s="92" t="str">
        <f t="shared" si="141"/>
        <v>Increasing</v>
      </c>
      <c r="AO384" s="93">
        <f>VLOOKUP(B384,'Growthrates source'!A$2:H$49,8,FALSE)</f>
        <v>8.5981075235392446E-2</v>
      </c>
      <c r="AP384" s="93">
        <f>VLOOKUP(B384,'Growthrates source'!A$2:I$49,9,FALSE)</f>
        <v>0.24963048725605397</v>
      </c>
      <c r="AQ384" s="86">
        <f t="shared" si="142"/>
        <v>0</v>
      </c>
      <c r="AR384" s="86">
        <f t="shared" si="143"/>
        <v>0</v>
      </c>
      <c r="AS384" s="94">
        <f t="shared" si="144"/>
        <v>8.0389664783136802E-3</v>
      </c>
      <c r="AT384" s="94">
        <f t="shared" si="145"/>
        <v>0</v>
      </c>
      <c r="AU384" s="94">
        <f t="shared" si="129"/>
        <v>0.80004394271207735</v>
      </c>
      <c r="AV384" s="94">
        <f t="shared" si="130"/>
        <v>0.80004394271207735</v>
      </c>
    </row>
    <row r="385" spans="1:48" x14ac:dyDescent="0.3">
      <c r="A385" s="85" t="str">
        <f>_xlfn.XLOOKUP(B385,'Country codes &amp; Data sources'!G:G,'Country codes &amp; Data sources'!H:H,,0)</f>
        <v>Equatorial Guinea</v>
      </c>
      <c r="B385" s="85" t="s">
        <v>170</v>
      </c>
      <c r="C385" s="86">
        <v>1193643.5</v>
      </c>
      <c r="D385" s="85" t="s">
        <v>203</v>
      </c>
      <c r="E385" s="87">
        <v>0</v>
      </c>
      <c r="F385" s="88">
        <v>1243941.0000000002</v>
      </c>
      <c r="G385" s="87">
        <v>0</v>
      </c>
      <c r="I385" s="87">
        <v>0</v>
      </c>
      <c r="K385" s="87">
        <v>0</v>
      </c>
      <c r="M385" s="87">
        <v>0</v>
      </c>
      <c r="O385" s="87">
        <v>0</v>
      </c>
      <c r="P385" s="88">
        <v>1502091.5000000002</v>
      </c>
      <c r="Q385" s="87">
        <v>0</v>
      </c>
      <c r="R385" s="87">
        <f t="shared" si="131"/>
        <v>1847</v>
      </c>
      <c r="T385" s="87">
        <v>0</v>
      </c>
      <c r="V385" s="87">
        <v>0</v>
      </c>
      <c r="X385" s="87">
        <v>0</v>
      </c>
      <c r="Y385" s="88">
        <v>1674908</v>
      </c>
      <c r="Z385" s="87">
        <v>0</v>
      </c>
      <c r="AA385" s="87">
        <v>1847</v>
      </c>
      <c r="AB385" s="89">
        <f t="shared" si="132"/>
        <v>0</v>
      </c>
      <c r="AC385" s="89">
        <f t="shared" si="133"/>
        <v>0</v>
      </c>
      <c r="AD385" s="89">
        <f t="shared" si="134"/>
        <v>0</v>
      </c>
      <c r="AF385" s="90" t="str">
        <f t="shared" si="135"/>
        <v/>
      </c>
      <c r="AG385" s="90">
        <f t="shared" si="147"/>
        <v>1847</v>
      </c>
      <c r="AH385" s="90" t="str">
        <f t="shared" si="136"/>
        <v>2018 (triag)</v>
      </c>
      <c r="AI385" s="90">
        <f t="shared" si="137"/>
        <v>1847</v>
      </c>
      <c r="AJ385" s="90" t="str">
        <f t="shared" si="138"/>
        <v>2018 (triag)</v>
      </c>
      <c r="AK385" s="90" t="str">
        <f t="shared" si="139"/>
        <v/>
      </c>
      <c r="AL385" s="91">
        <f>IF(AK385="Adjust",(_xlfn.XLOOKUP(A385,'Adj factor'!A:A,'Adj factor'!I:I,,0)*AI385),'Master DataSheet (Rev)'!AI385)</f>
        <v>1847</v>
      </c>
      <c r="AM385" s="91">
        <f t="shared" si="140"/>
        <v>1847</v>
      </c>
      <c r="AN385" s="92" t="str">
        <f t="shared" si="141"/>
        <v>No change</v>
      </c>
      <c r="AO385" s="93">
        <f>VLOOKUP(B385,'Growthrates source'!A$2:H$49,8,FALSE)</f>
        <v>8.5981075235392446E-2</v>
      </c>
      <c r="AP385" s="93">
        <f>VLOOKUP(B385,'Growthrates source'!A$2:I$49,9,FALSE)</f>
        <v>0.24963048725605397</v>
      </c>
      <c r="AQ385" s="86">
        <f t="shared" si="142"/>
        <v>1201.603992938343</v>
      </c>
      <c r="AR385" s="86">
        <f t="shared" si="143"/>
        <v>3905.7669380066291</v>
      </c>
      <c r="AS385" s="94">
        <f t="shared" si="144"/>
        <v>0</v>
      </c>
      <c r="AT385" s="94">
        <f t="shared" si="145"/>
        <v>12.296188348046705</v>
      </c>
      <c r="AU385" s="94">
        <f t="shared" si="129"/>
        <v>11.027471359620947</v>
      </c>
      <c r="AV385" s="94">
        <f t="shared" si="130"/>
        <v>11.027471359620947</v>
      </c>
    </row>
    <row r="386" spans="1:48" x14ac:dyDescent="0.3">
      <c r="A386" s="85" t="str">
        <f>_xlfn.XLOOKUP(B386,'Country codes &amp; Data sources'!G:G,'Country codes &amp; Data sources'!H:H,,0)</f>
        <v>Equatorial Guinea</v>
      </c>
      <c r="B386" s="85" t="s">
        <v>170</v>
      </c>
      <c r="C386" s="86">
        <v>1193644.5</v>
      </c>
      <c r="D386" s="85" t="s">
        <v>204</v>
      </c>
      <c r="E386" s="87">
        <v>0</v>
      </c>
      <c r="F386" s="88">
        <v>1243941.0000000002</v>
      </c>
      <c r="G386" s="87">
        <v>0</v>
      </c>
      <c r="I386" s="87">
        <v>0</v>
      </c>
      <c r="K386" s="87">
        <v>0</v>
      </c>
      <c r="M386" s="87">
        <v>0</v>
      </c>
      <c r="O386" s="87">
        <v>0</v>
      </c>
      <c r="P386" s="88">
        <v>1502091.5000000002</v>
      </c>
      <c r="Q386" s="87">
        <v>0</v>
      </c>
      <c r="R386" s="87">
        <f t="shared" si="131"/>
        <v>0</v>
      </c>
      <c r="T386" s="87">
        <v>0</v>
      </c>
      <c r="V386" s="87">
        <v>0</v>
      </c>
      <c r="X386" s="87">
        <v>0</v>
      </c>
      <c r="Y386" s="88">
        <v>1674908</v>
      </c>
      <c r="Z386" s="87">
        <v>0</v>
      </c>
      <c r="AA386" s="87">
        <v>0</v>
      </c>
      <c r="AB386" s="89">
        <f t="shared" si="132"/>
        <v>0</v>
      </c>
      <c r="AC386" s="89">
        <f t="shared" si="133"/>
        <v>0</v>
      </c>
      <c r="AD386" s="89">
        <f t="shared" si="134"/>
        <v>0</v>
      </c>
      <c r="AF386" s="90" t="str">
        <f t="shared" si="135"/>
        <v/>
      </c>
      <c r="AH386" s="90" t="str">
        <f t="shared" si="136"/>
        <v/>
      </c>
      <c r="AI386" s="90">
        <f t="shared" si="137"/>
        <v>0</v>
      </c>
      <c r="AJ386" s="90" t="str">
        <f t="shared" si="138"/>
        <v/>
      </c>
      <c r="AK386" s="90" t="str">
        <f t="shared" si="139"/>
        <v/>
      </c>
      <c r="AL386" s="91"/>
      <c r="AM386" s="91">
        <f t="shared" si="140"/>
        <v>0</v>
      </c>
      <c r="AN386" s="92" t="str">
        <f t="shared" si="141"/>
        <v>No change</v>
      </c>
      <c r="AO386" s="93">
        <f>VLOOKUP(B386,'Growthrates source'!A$2:H$49,8,FALSE)</f>
        <v>8.5981075235392446E-2</v>
      </c>
      <c r="AP386" s="93">
        <f>VLOOKUP(B386,'Growthrates source'!A$2:I$49,9,FALSE)</f>
        <v>0.24963048725605397</v>
      </c>
      <c r="AQ386" s="86">
        <f t="shared" si="142"/>
        <v>0</v>
      </c>
      <c r="AR386" s="86">
        <f t="shared" si="143"/>
        <v>0</v>
      </c>
      <c r="AS386" s="94">
        <f t="shared" si="144"/>
        <v>0</v>
      </c>
      <c r="AT386" s="94">
        <f t="shared" si="145"/>
        <v>0</v>
      </c>
      <c r="AU386" s="94">
        <f t="shared" si="129"/>
        <v>0</v>
      </c>
      <c r="AV386" s="94">
        <f t="shared" si="130"/>
        <v>0</v>
      </c>
    </row>
    <row r="387" spans="1:48" x14ac:dyDescent="0.3">
      <c r="A387" s="85" t="str">
        <f>_xlfn.XLOOKUP(B387,'Country codes &amp; Data sources'!G:G,'Country codes &amp; Data sources'!H:H,,0)</f>
        <v>Equatorial Guinea</v>
      </c>
      <c r="B387" s="85" t="s">
        <v>170</v>
      </c>
      <c r="C387" s="86">
        <v>1193645.5</v>
      </c>
      <c r="D387" s="85" t="s">
        <v>205</v>
      </c>
      <c r="E387" s="87">
        <v>0</v>
      </c>
      <c r="F387" s="88">
        <v>1243941.0000000002</v>
      </c>
      <c r="G387" s="87">
        <v>0</v>
      </c>
      <c r="I387" s="87">
        <v>0</v>
      </c>
      <c r="K387" s="87">
        <v>0</v>
      </c>
      <c r="M387" s="87">
        <v>0</v>
      </c>
      <c r="O387" s="87">
        <v>0</v>
      </c>
      <c r="P387" s="88">
        <v>1502091.5000000002</v>
      </c>
      <c r="Q387" s="87">
        <v>0</v>
      </c>
      <c r="R387" s="87">
        <f t="shared" si="131"/>
        <v>5</v>
      </c>
      <c r="T387" s="87">
        <v>0</v>
      </c>
      <c r="V387" s="87">
        <v>0</v>
      </c>
      <c r="X387" s="87">
        <v>0</v>
      </c>
      <c r="Y387" s="88">
        <v>1674908</v>
      </c>
      <c r="Z387" s="87">
        <v>0</v>
      </c>
      <c r="AA387" s="87">
        <v>5</v>
      </c>
      <c r="AB387" s="89">
        <f t="shared" si="132"/>
        <v>0</v>
      </c>
      <c r="AC387" s="89">
        <f t="shared" si="133"/>
        <v>0</v>
      </c>
      <c r="AD387" s="89">
        <f t="shared" si="134"/>
        <v>0</v>
      </c>
      <c r="AF387" s="90" t="str">
        <f t="shared" si="135"/>
        <v/>
      </c>
      <c r="AG387" s="90">
        <f t="shared" si="147"/>
        <v>5</v>
      </c>
      <c r="AH387" s="90" t="str">
        <f t="shared" si="136"/>
        <v>2018 (triag)</v>
      </c>
      <c r="AI387" s="90">
        <f t="shared" si="137"/>
        <v>5</v>
      </c>
      <c r="AJ387" s="90" t="str">
        <f t="shared" si="138"/>
        <v>2018 (triag)</v>
      </c>
      <c r="AK387" s="90" t="str">
        <f t="shared" si="139"/>
        <v/>
      </c>
      <c r="AL387" s="91">
        <f>IF(AK387="Adjust",(_xlfn.XLOOKUP(A387,'Adj factor'!A:A,'Adj factor'!I:I,,0)*AI387),'Master DataSheet (Rev)'!AI387)</f>
        <v>5</v>
      </c>
      <c r="AM387" s="91">
        <f t="shared" si="140"/>
        <v>5</v>
      </c>
      <c r="AN387" s="92" t="str">
        <f t="shared" si="141"/>
        <v>No change</v>
      </c>
      <c r="AO387" s="93">
        <f>VLOOKUP(B387,'Growthrates source'!A$2:H$49,8,FALSE)</f>
        <v>8.5981075235392446E-2</v>
      </c>
      <c r="AP387" s="93">
        <f>VLOOKUP(B387,'Growthrates source'!A$2:I$49,9,FALSE)</f>
        <v>0.24963048725605397</v>
      </c>
      <c r="AQ387" s="86">
        <f t="shared" si="142"/>
        <v>3.2528532564654657</v>
      </c>
      <c r="AR387" s="86">
        <f t="shared" si="143"/>
        <v>10.573272707110528</v>
      </c>
      <c r="AS387" s="94">
        <f t="shared" si="144"/>
        <v>0</v>
      </c>
      <c r="AT387" s="94">
        <f t="shared" si="145"/>
        <v>3.3286920270835692E-2</v>
      </c>
      <c r="AU387" s="94">
        <f t="shared" ref="AU387:AU450" si="148">(AL387*10000)/Y387</f>
        <v>2.9852385922092436E-2</v>
      </c>
      <c r="AV387" s="94">
        <f t="shared" ref="AV387:AV450" si="149">(AM387*10000)/Y387</f>
        <v>2.9852385922092436E-2</v>
      </c>
    </row>
    <row r="388" spans="1:48" x14ac:dyDescent="0.3">
      <c r="A388" s="85" t="str">
        <f>_xlfn.XLOOKUP(B388,'Country codes &amp; Data sources'!G:G,'Country codes &amp; Data sources'!H:H,,0)</f>
        <v>Equatorial Guinea</v>
      </c>
      <c r="B388" s="85" t="s">
        <v>170</v>
      </c>
      <c r="C388" s="86">
        <v>1193646.5</v>
      </c>
      <c r="D388" s="85" t="s">
        <v>133</v>
      </c>
      <c r="E388" s="87">
        <v>0</v>
      </c>
      <c r="F388" s="88">
        <v>1243941.0000000002</v>
      </c>
      <c r="G388" s="87">
        <v>0</v>
      </c>
      <c r="I388" s="87">
        <v>0</v>
      </c>
      <c r="K388" s="87">
        <v>0</v>
      </c>
      <c r="M388" s="87">
        <v>0</v>
      </c>
      <c r="O388" s="87">
        <v>0</v>
      </c>
      <c r="P388" s="88">
        <v>1502091.5000000002</v>
      </c>
      <c r="Q388" s="87">
        <v>2</v>
      </c>
      <c r="R388" s="87">
        <f t="shared" si="131"/>
        <v>134</v>
      </c>
      <c r="T388" s="87">
        <v>0</v>
      </c>
      <c r="V388" s="87">
        <v>0</v>
      </c>
      <c r="X388" s="87">
        <v>0</v>
      </c>
      <c r="Y388" s="88">
        <v>1674908</v>
      </c>
      <c r="Z388" s="87">
        <v>0</v>
      </c>
      <c r="AA388" s="87">
        <v>134</v>
      </c>
      <c r="AB388" s="89">
        <f t="shared" si="132"/>
        <v>0</v>
      </c>
      <c r="AC388" s="89">
        <f t="shared" si="133"/>
        <v>2</v>
      </c>
      <c r="AD388" s="89">
        <f t="shared" si="134"/>
        <v>0</v>
      </c>
      <c r="AF388" s="90" t="str">
        <f t="shared" si="135"/>
        <v/>
      </c>
      <c r="AG388" s="90">
        <f t="shared" si="147"/>
        <v>134</v>
      </c>
      <c r="AH388" s="90" t="str">
        <f t="shared" si="136"/>
        <v>2018 (triag)</v>
      </c>
      <c r="AI388" s="90">
        <f t="shared" si="137"/>
        <v>134</v>
      </c>
      <c r="AJ388" s="90" t="str">
        <f t="shared" si="138"/>
        <v>2018 (triag)</v>
      </c>
      <c r="AK388" s="90" t="str">
        <f t="shared" si="139"/>
        <v/>
      </c>
      <c r="AL388" s="91">
        <f>IF(AK388="Adjust",(_xlfn.XLOOKUP(A388,'Adj factor'!A:A,'Adj factor'!I:I,,0)*AI388),'Master DataSheet (Rev)'!AI388)</f>
        <v>134</v>
      </c>
      <c r="AM388" s="91">
        <f t="shared" si="140"/>
        <v>134</v>
      </c>
      <c r="AN388" s="92" t="str">
        <f t="shared" si="141"/>
        <v>No change</v>
      </c>
      <c r="AO388" s="93">
        <f>VLOOKUP(B388,'Growthrates source'!A$2:H$49,8,FALSE)</f>
        <v>8.5981075235392446E-2</v>
      </c>
      <c r="AP388" s="93">
        <f>VLOOKUP(B388,'Growthrates source'!A$2:I$49,9,FALSE)</f>
        <v>0.24963048725605397</v>
      </c>
      <c r="AQ388" s="86">
        <f t="shared" si="142"/>
        <v>87.176467273274483</v>
      </c>
      <c r="AR388" s="86">
        <f t="shared" si="143"/>
        <v>283.36370855056214</v>
      </c>
      <c r="AS388" s="94">
        <f t="shared" si="144"/>
        <v>0</v>
      </c>
      <c r="AT388" s="94">
        <f t="shared" si="145"/>
        <v>0.89208946325839655</v>
      </c>
      <c r="AU388" s="94">
        <f t="shared" si="148"/>
        <v>0.80004394271207735</v>
      </c>
      <c r="AV388" s="94">
        <f t="shared" si="149"/>
        <v>0.80004394271207735</v>
      </c>
    </row>
    <row r="389" spans="1:48" x14ac:dyDescent="0.3">
      <c r="A389" s="85" t="str">
        <f>_xlfn.XLOOKUP(B389,'Country codes &amp; Data sources'!G:G,'Country codes &amp; Data sources'!H:H,,0)</f>
        <v>Equatorial Guinea</v>
      </c>
      <c r="B389" s="85" t="s">
        <v>170</v>
      </c>
      <c r="C389" s="86">
        <v>1193647.5</v>
      </c>
      <c r="D389" s="85" t="s">
        <v>206</v>
      </c>
      <c r="E389" s="87">
        <v>0</v>
      </c>
      <c r="F389" s="88">
        <v>1243941.0000000002</v>
      </c>
      <c r="G389" s="87">
        <v>0</v>
      </c>
      <c r="I389" s="87">
        <v>0</v>
      </c>
      <c r="K389" s="87">
        <v>0</v>
      </c>
      <c r="M389" s="87">
        <v>0</v>
      </c>
      <c r="O389" s="87">
        <v>0</v>
      </c>
      <c r="P389" s="88">
        <v>1502091.5000000002</v>
      </c>
      <c r="Q389" s="87">
        <v>0</v>
      </c>
      <c r="R389" s="87">
        <f t="shared" si="131"/>
        <v>0</v>
      </c>
      <c r="T389" s="87">
        <v>0</v>
      </c>
      <c r="V389" s="87">
        <v>0</v>
      </c>
      <c r="X389" s="87">
        <v>0</v>
      </c>
      <c r="Y389" s="88">
        <v>1674908</v>
      </c>
      <c r="Z389" s="87">
        <v>282</v>
      </c>
      <c r="AA389" s="87">
        <v>0</v>
      </c>
      <c r="AB389" s="89">
        <f t="shared" si="132"/>
        <v>0</v>
      </c>
      <c r="AC389" s="89">
        <f t="shared" si="133"/>
        <v>0</v>
      </c>
      <c r="AD389" s="89">
        <f t="shared" si="134"/>
        <v>282</v>
      </c>
      <c r="AF389" s="90" t="str">
        <f t="shared" si="135"/>
        <v/>
      </c>
      <c r="AH389" s="90" t="str">
        <f t="shared" si="136"/>
        <v/>
      </c>
      <c r="AI389" s="90">
        <f t="shared" si="137"/>
        <v>282</v>
      </c>
      <c r="AJ389" s="90">
        <f t="shared" si="138"/>
        <v>2022</v>
      </c>
      <c r="AK389" s="90" t="str">
        <f t="shared" si="139"/>
        <v/>
      </c>
      <c r="AL389" s="91">
        <f>IF(AK389="Adjust",(_xlfn.XLOOKUP(A389,'Adj factor'!A:A,'Adj factor'!I:I,,0)*AI389),'Master DataSheet (Rev)'!AI389)</f>
        <v>282</v>
      </c>
      <c r="AM389" s="91">
        <f t="shared" si="140"/>
        <v>282</v>
      </c>
      <c r="AN389" s="92" t="str">
        <f t="shared" si="141"/>
        <v>Increasing</v>
      </c>
      <c r="AO389" s="93">
        <f>VLOOKUP(B389,'Growthrates source'!A$2:H$49,8,FALSE)</f>
        <v>8.5981075235392446E-2</v>
      </c>
      <c r="AP389" s="93">
        <f>VLOOKUP(B389,'Growthrates source'!A$2:I$49,9,FALSE)</f>
        <v>0.24963048725605397</v>
      </c>
      <c r="AQ389" s="86">
        <f t="shared" si="142"/>
        <v>0</v>
      </c>
      <c r="AR389" s="86">
        <f t="shared" si="143"/>
        <v>0</v>
      </c>
      <c r="AS389" s="94">
        <f t="shared" si="144"/>
        <v>0</v>
      </c>
      <c r="AT389" s="94">
        <f t="shared" si="145"/>
        <v>0</v>
      </c>
      <c r="AU389" s="94">
        <f t="shared" si="148"/>
        <v>1.6836745660060135</v>
      </c>
      <c r="AV389" s="94">
        <f t="shared" si="149"/>
        <v>1.6836745660060135</v>
      </c>
    </row>
    <row r="390" spans="1:48" x14ac:dyDescent="0.3">
      <c r="A390" s="85" t="str">
        <f>_xlfn.XLOOKUP(B390,'Country codes &amp; Data sources'!G:G,'Country codes &amp; Data sources'!H:H,,0)</f>
        <v>Equatorial Guinea</v>
      </c>
      <c r="B390" s="85" t="s">
        <v>170</v>
      </c>
      <c r="C390" s="86">
        <v>1193648.5</v>
      </c>
      <c r="D390" s="85" t="s">
        <v>136</v>
      </c>
      <c r="E390" s="87">
        <v>0</v>
      </c>
      <c r="F390" s="88">
        <v>1243941.0000000002</v>
      </c>
      <c r="G390" s="87">
        <v>0</v>
      </c>
      <c r="I390" s="87">
        <v>0</v>
      </c>
      <c r="K390" s="87">
        <v>0</v>
      </c>
      <c r="M390" s="87">
        <v>0</v>
      </c>
      <c r="O390" s="87">
        <v>0</v>
      </c>
      <c r="P390" s="88">
        <v>1502091.5000000002</v>
      </c>
      <c r="Q390" s="87">
        <v>0</v>
      </c>
      <c r="R390" s="87">
        <f t="shared" si="131"/>
        <v>0</v>
      </c>
      <c r="T390" s="87">
        <v>0</v>
      </c>
      <c r="V390" s="87">
        <v>0</v>
      </c>
      <c r="X390" s="87">
        <v>0</v>
      </c>
      <c r="Y390" s="88">
        <v>1674908</v>
      </c>
      <c r="Z390" s="87">
        <v>0</v>
      </c>
      <c r="AA390" s="87">
        <v>0</v>
      </c>
      <c r="AB390" s="89">
        <f t="shared" si="132"/>
        <v>0</v>
      </c>
      <c r="AC390" s="89">
        <f t="shared" si="133"/>
        <v>0</v>
      </c>
      <c r="AD390" s="89">
        <f t="shared" si="134"/>
        <v>0</v>
      </c>
      <c r="AF390" s="90" t="str">
        <f t="shared" si="135"/>
        <v/>
      </c>
      <c r="AH390" s="90" t="str">
        <f t="shared" si="136"/>
        <v/>
      </c>
      <c r="AI390" s="90">
        <f t="shared" si="137"/>
        <v>0</v>
      </c>
      <c r="AJ390" s="90" t="str">
        <f t="shared" si="138"/>
        <v/>
      </c>
      <c r="AK390" s="90" t="str">
        <f t="shared" si="139"/>
        <v/>
      </c>
      <c r="AL390" s="91"/>
      <c r="AM390" s="91">
        <f t="shared" si="140"/>
        <v>0</v>
      </c>
      <c r="AN390" s="92" t="str">
        <f t="shared" si="141"/>
        <v>No change</v>
      </c>
      <c r="AO390" s="93">
        <f>VLOOKUP(B390,'Growthrates source'!A$2:H$49,8,FALSE)</f>
        <v>8.5981075235392446E-2</v>
      </c>
      <c r="AP390" s="93">
        <f>VLOOKUP(B390,'Growthrates source'!A$2:I$49,9,FALSE)</f>
        <v>0.24963048725605397</v>
      </c>
      <c r="AQ390" s="86">
        <f t="shared" si="142"/>
        <v>0</v>
      </c>
      <c r="AR390" s="86">
        <f t="shared" si="143"/>
        <v>0</v>
      </c>
      <c r="AS390" s="94">
        <f t="shared" si="144"/>
        <v>0</v>
      </c>
      <c r="AT390" s="94">
        <f t="shared" si="145"/>
        <v>0</v>
      </c>
      <c r="AU390" s="94">
        <f t="shared" si="148"/>
        <v>0</v>
      </c>
      <c r="AV390" s="94">
        <f t="shared" si="149"/>
        <v>0</v>
      </c>
    </row>
    <row r="391" spans="1:48" x14ac:dyDescent="0.3">
      <c r="A391" s="85" t="str">
        <f>_xlfn.XLOOKUP(B391,'Country codes &amp; Data sources'!G:G,'Country codes &amp; Data sources'!H:H,,0)</f>
        <v>Equatorial Guinea</v>
      </c>
      <c r="B391" s="85" t="s">
        <v>170</v>
      </c>
      <c r="C391" s="86">
        <v>1193649.5</v>
      </c>
      <c r="D391" s="85" t="s">
        <v>207</v>
      </c>
      <c r="E391" s="87">
        <v>0</v>
      </c>
      <c r="F391" s="88">
        <v>1243941.0000000002</v>
      </c>
      <c r="G391" s="87">
        <v>0</v>
      </c>
      <c r="I391" s="87">
        <v>0</v>
      </c>
      <c r="K391" s="87">
        <v>0</v>
      </c>
      <c r="M391" s="87">
        <v>0</v>
      </c>
      <c r="O391" s="87">
        <v>0</v>
      </c>
      <c r="P391" s="88">
        <v>1502091.5000000002</v>
      </c>
      <c r="Q391" s="87">
        <v>0</v>
      </c>
      <c r="R391" s="87">
        <f t="shared" si="131"/>
        <v>0</v>
      </c>
      <c r="T391" s="87">
        <v>0</v>
      </c>
      <c r="V391" s="87">
        <v>0</v>
      </c>
      <c r="X391" s="87">
        <v>0</v>
      </c>
      <c r="Y391" s="88">
        <v>1674908</v>
      </c>
      <c r="Z391" s="87">
        <v>0</v>
      </c>
      <c r="AA391" s="87">
        <v>0</v>
      </c>
      <c r="AB391" s="89">
        <f t="shared" si="132"/>
        <v>0</v>
      </c>
      <c r="AC391" s="89">
        <f t="shared" si="133"/>
        <v>0</v>
      </c>
      <c r="AD391" s="89">
        <f t="shared" si="134"/>
        <v>0</v>
      </c>
      <c r="AF391" s="90" t="str">
        <f t="shared" si="135"/>
        <v/>
      </c>
      <c r="AH391" s="90" t="str">
        <f t="shared" si="136"/>
        <v/>
      </c>
      <c r="AI391" s="90">
        <f t="shared" si="137"/>
        <v>0</v>
      </c>
      <c r="AJ391" s="90" t="str">
        <f t="shared" si="138"/>
        <v/>
      </c>
      <c r="AK391" s="90" t="str">
        <f t="shared" si="139"/>
        <v/>
      </c>
      <c r="AL391" s="91"/>
      <c r="AM391" s="91">
        <f t="shared" si="140"/>
        <v>0</v>
      </c>
      <c r="AN391" s="92" t="str">
        <f t="shared" si="141"/>
        <v>No change</v>
      </c>
      <c r="AO391" s="93">
        <f>VLOOKUP(B391,'Growthrates source'!A$2:H$49,8,FALSE)</f>
        <v>8.5981075235392446E-2</v>
      </c>
      <c r="AP391" s="93">
        <f>VLOOKUP(B391,'Growthrates source'!A$2:I$49,9,FALSE)</f>
        <v>0.24963048725605397</v>
      </c>
      <c r="AQ391" s="86">
        <f t="shared" si="142"/>
        <v>0</v>
      </c>
      <c r="AR391" s="86">
        <f t="shared" si="143"/>
        <v>0</v>
      </c>
      <c r="AS391" s="94">
        <f t="shared" si="144"/>
        <v>0</v>
      </c>
      <c r="AT391" s="94">
        <f t="shared" si="145"/>
        <v>0</v>
      </c>
      <c r="AU391" s="94">
        <f t="shared" si="148"/>
        <v>0</v>
      </c>
      <c r="AV391" s="94">
        <f t="shared" si="149"/>
        <v>0</v>
      </c>
    </row>
    <row r="392" spans="1:48" x14ac:dyDescent="0.3">
      <c r="A392" s="85" t="str">
        <f>_xlfn.XLOOKUP(B392,'Country codes &amp; Data sources'!G:G,'Country codes &amp; Data sources'!H:H,,0)</f>
        <v>Equatorial Guinea</v>
      </c>
      <c r="B392" s="85" t="s">
        <v>170</v>
      </c>
      <c r="C392" s="86">
        <v>1193650.5</v>
      </c>
      <c r="D392" s="85" t="s">
        <v>141</v>
      </c>
      <c r="E392" s="87">
        <v>0</v>
      </c>
      <c r="F392" s="88">
        <v>1243941.0000000002</v>
      </c>
      <c r="G392" s="87">
        <v>0</v>
      </c>
      <c r="I392" s="87">
        <v>0</v>
      </c>
      <c r="K392" s="87">
        <v>0</v>
      </c>
      <c r="M392" s="87">
        <v>0</v>
      </c>
      <c r="O392" s="87">
        <v>0</v>
      </c>
      <c r="P392" s="88">
        <v>1502091.5000000002</v>
      </c>
      <c r="Q392" s="87">
        <v>0</v>
      </c>
      <c r="R392" s="87">
        <f t="shared" si="131"/>
        <v>0</v>
      </c>
      <c r="T392" s="87">
        <v>0</v>
      </c>
      <c r="V392" s="87">
        <v>0</v>
      </c>
      <c r="X392" s="87">
        <v>0</v>
      </c>
      <c r="Y392" s="88">
        <v>1674908</v>
      </c>
      <c r="Z392" s="87">
        <v>0</v>
      </c>
      <c r="AA392" s="87">
        <v>0</v>
      </c>
      <c r="AB392" s="89">
        <f t="shared" si="132"/>
        <v>0</v>
      </c>
      <c r="AC392" s="89">
        <f t="shared" si="133"/>
        <v>0</v>
      </c>
      <c r="AD392" s="89">
        <f t="shared" si="134"/>
        <v>0</v>
      </c>
      <c r="AF392" s="90" t="str">
        <f t="shared" si="135"/>
        <v/>
      </c>
      <c r="AH392" s="90" t="str">
        <f t="shared" si="136"/>
        <v/>
      </c>
      <c r="AI392" s="90">
        <f t="shared" si="137"/>
        <v>0</v>
      </c>
      <c r="AJ392" s="90" t="str">
        <f t="shared" si="138"/>
        <v/>
      </c>
      <c r="AK392" s="90" t="str">
        <f t="shared" si="139"/>
        <v/>
      </c>
      <c r="AL392" s="91"/>
      <c r="AM392" s="91">
        <f t="shared" si="140"/>
        <v>0</v>
      </c>
      <c r="AN392" s="92" t="str">
        <f t="shared" si="141"/>
        <v>No change</v>
      </c>
      <c r="AO392" s="93">
        <f>VLOOKUP(B392,'Growthrates source'!A$2:H$49,8,FALSE)</f>
        <v>8.5981075235392446E-2</v>
      </c>
      <c r="AP392" s="93">
        <f>VLOOKUP(B392,'Growthrates source'!A$2:I$49,9,FALSE)</f>
        <v>0.24963048725605397</v>
      </c>
      <c r="AQ392" s="86">
        <f t="shared" si="142"/>
        <v>0</v>
      </c>
      <c r="AR392" s="86">
        <f t="shared" si="143"/>
        <v>0</v>
      </c>
      <c r="AS392" s="94">
        <f t="shared" si="144"/>
        <v>0</v>
      </c>
      <c r="AT392" s="94">
        <f t="shared" si="145"/>
        <v>0</v>
      </c>
      <c r="AU392" s="94">
        <f t="shared" si="148"/>
        <v>0</v>
      </c>
      <c r="AV392" s="94">
        <f t="shared" si="149"/>
        <v>0</v>
      </c>
    </row>
    <row r="393" spans="1:48" x14ac:dyDescent="0.3">
      <c r="A393" s="85" t="str">
        <f>_xlfn.XLOOKUP(B393,'Country codes &amp; Data sources'!G:G,'Country codes &amp; Data sources'!H:H,,0)</f>
        <v>Equatorial Guinea</v>
      </c>
      <c r="B393" s="85" t="s">
        <v>170</v>
      </c>
      <c r="C393" s="86">
        <v>1193651.5</v>
      </c>
      <c r="D393" s="85" t="s">
        <v>208</v>
      </c>
      <c r="E393" s="87">
        <v>0</v>
      </c>
      <c r="F393" s="88">
        <v>1243941.0000000002</v>
      </c>
      <c r="G393" s="87">
        <v>0</v>
      </c>
      <c r="I393" s="87">
        <v>0</v>
      </c>
      <c r="K393" s="87">
        <v>0</v>
      </c>
      <c r="M393" s="87">
        <v>0</v>
      </c>
      <c r="O393" s="87">
        <v>0</v>
      </c>
      <c r="P393" s="88">
        <v>1502091.5000000002</v>
      </c>
      <c r="Q393" s="87">
        <v>0</v>
      </c>
      <c r="R393" s="87">
        <f t="shared" si="131"/>
        <v>0</v>
      </c>
      <c r="T393" s="87">
        <v>0</v>
      </c>
      <c r="V393" s="87">
        <v>0</v>
      </c>
      <c r="X393" s="87">
        <v>0</v>
      </c>
      <c r="Y393" s="88">
        <v>1674908</v>
      </c>
      <c r="Z393" s="87">
        <v>0</v>
      </c>
      <c r="AA393" s="87">
        <v>0</v>
      </c>
      <c r="AB393" s="89">
        <f t="shared" si="132"/>
        <v>0</v>
      </c>
      <c r="AC393" s="89">
        <f t="shared" si="133"/>
        <v>0</v>
      </c>
      <c r="AD393" s="89">
        <f t="shared" si="134"/>
        <v>0</v>
      </c>
      <c r="AF393" s="90" t="str">
        <f t="shared" si="135"/>
        <v/>
      </c>
      <c r="AH393" s="90" t="str">
        <f t="shared" si="136"/>
        <v/>
      </c>
      <c r="AI393" s="90">
        <f t="shared" si="137"/>
        <v>0</v>
      </c>
      <c r="AJ393" s="90" t="str">
        <f t="shared" si="138"/>
        <v/>
      </c>
      <c r="AK393" s="90" t="str">
        <f t="shared" si="139"/>
        <v/>
      </c>
      <c r="AL393" s="91"/>
      <c r="AM393" s="91">
        <f t="shared" si="140"/>
        <v>0</v>
      </c>
      <c r="AN393" s="92" t="str">
        <f t="shared" si="141"/>
        <v>No change</v>
      </c>
      <c r="AO393" s="93">
        <f>VLOOKUP(B393,'Growthrates source'!A$2:H$49,8,FALSE)</f>
        <v>8.5981075235392446E-2</v>
      </c>
      <c r="AP393" s="93">
        <f>VLOOKUP(B393,'Growthrates source'!A$2:I$49,9,FALSE)</f>
        <v>0.24963048725605397</v>
      </c>
      <c r="AQ393" s="86">
        <f t="shared" si="142"/>
        <v>0</v>
      </c>
      <c r="AR393" s="86">
        <f t="shared" si="143"/>
        <v>0</v>
      </c>
      <c r="AS393" s="94">
        <f t="shared" si="144"/>
        <v>0</v>
      </c>
      <c r="AT393" s="94">
        <f t="shared" si="145"/>
        <v>0</v>
      </c>
      <c r="AU393" s="94">
        <f t="shared" si="148"/>
        <v>0</v>
      </c>
      <c r="AV393" s="94">
        <f t="shared" si="149"/>
        <v>0</v>
      </c>
    </row>
    <row r="394" spans="1:48" x14ac:dyDescent="0.3">
      <c r="A394" s="85" t="str">
        <f>_xlfn.XLOOKUP(B394,'Country codes &amp; Data sources'!G:G,'Country codes &amp; Data sources'!H:H,,0)</f>
        <v>Equatorial Guinea</v>
      </c>
      <c r="B394" s="85" t="s">
        <v>170</v>
      </c>
      <c r="C394" s="86">
        <v>1193652.5</v>
      </c>
      <c r="D394" s="85" t="s">
        <v>209</v>
      </c>
      <c r="E394" s="87">
        <v>0</v>
      </c>
      <c r="F394" s="88">
        <v>1243941.0000000002</v>
      </c>
      <c r="G394" s="87">
        <v>0</v>
      </c>
      <c r="I394" s="87">
        <v>0</v>
      </c>
      <c r="K394" s="87">
        <v>0</v>
      </c>
      <c r="M394" s="87">
        <v>0</v>
      </c>
      <c r="O394" s="87">
        <v>0</v>
      </c>
      <c r="P394" s="88">
        <v>1502091.5000000002</v>
      </c>
      <c r="Q394" s="87">
        <v>0</v>
      </c>
      <c r="R394" s="87">
        <f t="shared" si="131"/>
        <v>0</v>
      </c>
      <c r="T394" s="87">
        <v>0</v>
      </c>
      <c r="V394" s="87">
        <v>0</v>
      </c>
      <c r="X394" s="87">
        <v>0</v>
      </c>
      <c r="Y394" s="88">
        <v>1674908</v>
      </c>
      <c r="Z394" s="87">
        <v>0</v>
      </c>
      <c r="AA394" s="87">
        <v>0</v>
      </c>
      <c r="AB394" s="89">
        <f t="shared" si="132"/>
        <v>0</v>
      </c>
      <c r="AC394" s="89">
        <f t="shared" si="133"/>
        <v>0</v>
      </c>
      <c r="AD394" s="89">
        <f t="shared" si="134"/>
        <v>0</v>
      </c>
      <c r="AF394" s="90" t="str">
        <f t="shared" si="135"/>
        <v/>
      </c>
      <c r="AH394" s="90" t="str">
        <f t="shared" si="136"/>
        <v/>
      </c>
      <c r="AI394" s="90">
        <f t="shared" si="137"/>
        <v>0</v>
      </c>
      <c r="AJ394" s="90" t="str">
        <f t="shared" si="138"/>
        <v/>
      </c>
      <c r="AK394" s="90" t="str">
        <f t="shared" si="139"/>
        <v/>
      </c>
      <c r="AL394" s="91"/>
      <c r="AM394" s="91">
        <f t="shared" si="140"/>
        <v>0</v>
      </c>
      <c r="AN394" s="92" t="str">
        <f t="shared" si="141"/>
        <v>No change</v>
      </c>
      <c r="AO394" s="93">
        <f>VLOOKUP(B394,'Growthrates source'!A$2:H$49,8,FALSE)</f>
        <v>8.5981075235392446E-2</v>
      </c>
      <c r="AP394" s="93">
        <f>VLOOKUP(B394,'Growthrates source'!A$2:I$49,9,FALSE)</f>
        <v>0.24963048725605397</v>
      </c>
      <c r="AQ394" s="86">
        <f t="shared" si="142"/>
        <v>0</v>
      </c>
      <c r="AR394" s="86">
        <f t="shared" si="143"/>
        <v>0</v>
      </c>
      <c r="AS394" s="94">
        <f t="shared" si="144"/>
        <v>0</v>
      </c>
      <c r="AT394" s="94">
        <f t="shared" si="145"/>
        <v>0</v>
      </c>
      <c r="AU394" s="94">
        <f t="shared" si="148"/>
        <v>0</v>
      </c>
      <c r="AV394" s="94">
        <f t="shared" si="149"/>
        <v>0</v>
      </c>
    </row>
    <row r="395" spans="1:48" x14ac:dyDescent="0.3">
      <c r="A395" s="85" t="str">
        <f>_xlfn.XLOOKUP(B395,'Country codes &amp; Data sources'!G:G,'Country codes &amp; Data sources'!H:H,,0)</f>
        <v>Equatorial Guinea</v>
      </c>
      <c r="B395" s="85" t="s">
        <v>170</v>
      </c>
      <c r="C395" s="86">
        <v>1193653.5</v>
      </c>
      <c r="D395" s="85" t="s">
        <v>134</v>
      </c>
      <c r="E395" s="87">
        <v>0</v>
      </c>
      <c r="F395" s="88">
        <v>1243941.0000000002</v>
      </c>
      <c r="G395" s="87">
        <v>0</v>
      </c>
      <c r="I395" s="87">
        <v>0</v>
      </c>
      <c r="K395" s="87">
        <v>0</v>
      </c>
      <c r="M395" s="87">
        <v>0</v>
      </c>
      <c r="O395" s="87">
        <v>0</v>
      </c>
      <c r="P395" s="88">
        <v>1502091.5000000002</v>
      </c>
      <c r="Q395" s="87">
        <v>0</v>
      </c>
      <c r="R395" s="87">
        <f t="shared" si="131"/>
        <v>2</v>
      </c>
      <c r="T395" s="87">
        <v>0</v>
      </c>
      <c r="V395" s="87">
        <v>0</v>
      </c>
      <c r="X395" s="87">
        <v>0</v>
      </c>
      <c r="Y395" s="88">
        <v>1674908</v>
      </c>
      <c r="Z395" s="87">
        <v>228</v>
      </c>
      <c r="AA395" s="87">
        <v>2</v>
      </c>
      <c r="AB395" s="89">
        <f t="shared" si="132"/>
        <v>0</v>
      </c>
      <c r="AC395" s="89">
        <f t="shared" si="133"/>
        <v>0</v>
      </c>
      <c r="AD395" s="89">
        <f t="shared" si="134"/>
        <v>228</v>
      </c>
      <c r="AF395" s="90" t="str">
        <f t="shared" si="135"/>
        <v/>
      </c>
      <c r="AG395" s="90">
        <f t="shared" si="147"/>
        <v>2</v>
      </c>
      <c r="AH395" s="90" t="str">
        <f t="shared" si="136"/>
        <v>2018 (triag)</v>
      </c>
      <c r="AI395" s="90">
        <f t="shared" si="137"/>
        <v>228</v>
      </c>
      <c r="AJ395" s="90">
        <f t="shared" si="138"/>
        <v>2022</v>
      </c>
      <c r="AK395" s="90" t="str">
        <f t="shared" si="139"/>
        <v/>
      </c>
      <c r="AL395" s="91">
        <f>IF(AK395="Adjust",(_xlfn.XLOOKUP(A395,'Adj factor'!A:A,'Adj factor'!I:I,,0)*AI395),'Master DataSheet (Rev)'!AI395)</f>
        <v>228</v>
      </c>
      <c r="AM395" s="91">
        <f t="shared" si="140"/>
        <v>228</v>
      </c>
      <c r="AN395" s="92" t="str">
        <f t="shared" si="141"/>
        <v>Increasing</v>
      </c>
      <c r="AO395" s="93">
        <f>VLOOKUP(B395,'Growthrates source'!A$2:H$49,8,FALSE)</f>
        <v>8.5981075235392446E-2</v>
      </c>
      <c r="AP395" s="93">
        <f>VLOOKUP(B395,'Growthrates source'!A$2:I$49,9,FALSE)</f>
        <v>0.24963048725605397</v>
      </c>
      <c r="AQ395" s="86">
        <f t="shared" si="142"/>
        <v>1.3011413025861864</v>
      </c>
      <c r="AR395" s="86">
        <f t="shared" si="143"/>
        <v>4.2293090828442113</v>
      </c>
      <c r="AS395" s="94">
        <f t="shared" si="144"/>
        <v>0</v>
      </c>
      <c r="AT395" s="94">
        <f t="shared" si="145"/>
        <v>1.3314768108334277E-2</v>
      </c>
      <c r="AU395" s="94">
        <f t="shared" si="148"/>
        <v>1.3612687980474152</v>
      </c>
      <c r="AV395" s="94">
        <f t="shared" si="149"/>
        <v>1.3612687980474152</v>
      </c>
    </row>
    <row r="396" spans="1:48" x14ac:dyDescent="0.3">
      <c r="A396" s="85" t="str">
        <f>_xlfn.XLOOKUP(B396,'Country codes &amp; Data sources'!G:G,'Country codes &amp; Data sources'!H:H,,0)</f>
        <v>Equatorial Guinea</v>
      </c>
      <c r="B396" s="85" t="s">
        <v>170</v>
      </c>
      <c r="C396" s="86">
        <v>1193654.5</v>
      </c>
      <c r="D396" s="85" t="s">
        <v>142</v>
      </c>
      <c r="E396" s="87">
        <v>0</v>
      </c>
      <c r="F396" s="88">
        <v>1243941.0000000002</v>
      </c>
      <c r="G396" s="87">
        <v>0</v>
      </c>
      <c r="I396" s="87">
        <v>0</v>
      </c>
      <c r="K396" s="87">
        <v>0</v>
      </c>
      <c r="M396" s="87">
        <v>0</v>
      </c>
      <c r="O396" s="87">
        <v>0</v>
      </c>
      <c r="P396" s="88">
        <v>1502091.5000000002</v>
      </c>
      <c r="Q396" s="87">
        <v>0</v>
      </c>
      <c r="R396" s="87">
        <f t="shared" si="131"/>
        <v>0</v>
      </c>
      <c r="T396" s="87">
        <v>0</v>
      </c>
      <c r="V396" s="87">
        <v>0</v>
      </c>
      <c r="X396" s="87">
        <v>0</v>
      </c>
      <c r="Y396" s="88">
        <v>1674908</v>
      </c>
      <c r="Z396" s="87">
        <v>101</v>
      </c>
      <c r="AA396" s="87">
        <v>0</v>
      </c>
      <c r="AB396" s="89">
        <f t="shared" si="132"/>
        <v>0</v>
      </c>
      <c r="AC396" s="89">
        <f t="shared" si="133"/>
        <v>0</v>
      </c>
      <c r="AD396" s="89">
        <f t="shared" si="134"/>
        <v>101</v>
      </c>
      <c r="AF396" s="90" t="str">
        <f t="shared" si="135"/>
        <v/>
      </c>
      <c r="AH396" s="90" t="str">
        <f t="shared" si="136"/>
        <v/>
      </c>
      <c r="AI396" s="90">
        <f t="shared" si="137"/>
        <v>101</v>
      </c>
      <c r="AJ396" s="90">
        <f t="shared" si="138"/>
        <v>2022</v>
      </c>
      <c r="AK396" s="90" t="str">
        <f t="shared" si="139"/>
        <v/>
      </c>
      <c r="AL396" s="91">
        <f>IF(AK396="Adjust",(_xlfn.XLOOKUP(A396,'Adj factor'!A:A,'Adj factor'!I:I,,0)*AI396),'Master DataSheet (Rev)'!AI396)</f>
        <v>101</v>
      </c>
      <c r="AM396" s="91">
        <f t="shared" si="140"/>
        <v>101</v>
      </c>
      <c r="AN396" s="92" t="str">
        <f t="shared" si="141"/>
        <v>Increasing</v>
      </c>
      <c r="AO396" s="93">
        <f>VLOOKUP(B396,'Growthrates source'!A$2:H$49,8,FALSE)</f>
        <v>8.5981075235392446E-2</v>
      </c>
      <c r="AP396" s="93">
        <f>VLOOKUP(B396,'Growthrates source'!A$2:I$49,9,FALSE)</f>
        <v>0.24963048725605397</v>
      </c>
      <c r="AQ396" s="86">
        <f t="shared" si="142"/>
        <v>0</v>
      </c>
      <c r="AR396" s="86">
        <f t="shared" si="143"/>
        <v>0</v>
      </c>
      <c r="AS396" s="94">
        <f t="shared" si="144"/>
        <v>0</v>
      </c>
      <c r="AT396" s="94">
        <f t="shared" si="145"/>
        <v>0</v>
      </c>
      <c r="AU396" s="94">
        <f t="shared" si="148"/>
        <v>0.60301819562626724</v>
      </c>
      <c r="AV396" s="94">
        <f t="shared" si="149"/>
        <v>0.60301819562626724</v>
      </c>
    </row>
    <row r="397" spans="1:48" x14ac:dyDescent="0.3">
      <c r="A397" s="85" t="str">
        <f>_xlfn.XLOOKUP(B397,'Country codes &amp; Data sources'!G:G,'Country codes &amp; Data sources'!H:H,,0)</f>
        <v>Equatorial Guinea</v>
      </c>
      <c r="B397" s="85" t="s">
        <v>170</v>
      </c>
      <c r="C397" s="86">
        <v>1193655.5</v>
      </c>
      <c r="D397" s="85" t="s">
        <v>83</v>
      </c>
      <c r="E397" s="87">
        <v>0</v>
      </c>
      <c r="F397" s="88">
        <v>1243941.0000000002</v>
      </c>
      <c r="G397" s="87">
        <v>0</v>
      </c>
      <c r="I397" s="87">
        <v>0</v>
      </c>
      <c r="K397" s="87">
        <v>0</v>
      </c>
      <c r="M397" s="87">
        <v>0</v>
      </c>
      <c r="O397" s="87">
        <v>0</v>
      </c>
      <c r="P397" s="88">
        <v>1502091.5000000002</v>
      </c>
      <c r="Q397" s="87">
        <v>0</v>
      </c>
      <c r="R397" s="87">
        <f t="shared" si="131"/>
        <v>0</v>
      </c>
      <c r="T397" s="87">
        <v>0</v>
      </c>
      <c r="V397" s="87">
        <v>0</v>
      </c>
      <c r="X397" s="87">
        <v>0</v>
      </c>
      <c r="Y397" s="88">
        <v>1674908</v>
      </c>
      <c r="Z397" s="87">
        <v>0</v>
      </c>
      <c r="AA397" s="87">
        <v>0</v>
      </c>
      <c r="AB397" s="89">
        <f t="shared" si="132"/>
        <v>0</v>
      </c>
      <c r="AC397" s="89">
        <f t="shared" si="133"/>
        <v>0</v>
      </c>
      <c r="AD397" s="89">
        <f t="shared" si="134"/>
        <v>0</v>
      </c>
      <c r="AF397" s="90" t="str">
        <f t="shared" si="135"/>
        <v/>
      </c>
      <c r="AH397" s="90" t="str">
        <f t="shared" si="136"/>
        <v/>
      </c>
      <c r="AI397" s="90">
        <f t="shared" si="137"/>
        <v>0</v>
      </c>
      <c r="AJ397" s="90" t="str">
        <f t="shared" si="138"/>
        <v/>
      </c>
      <c r="AK397" s="90" t="str">
        <f t="shared" si="139"/>
        <v/>
      </c>
      <c r="AL397" s="91"/>
      <c r="AM397" s="91">
        <f t="shared" si="140"/>
        <v>0</v>
      </c>
      <c r="AN397" s="92" t="str">
        <f t="shared" si="141"/>
        <v>No change</v>
      </c>
      <c r="AO397" s="93">
        <f>VLOOKUP(B397,'Growthrates source'!A$2:H$49,8,FALSE)</f>
        <v>8.5981075235392446E-2</v>
      </c>
      <c r="AP397" s="93">
        <f>VLOOKUP(B397,'Growthrates source'!A$2:I$49,9,FALSE)</f>
        <v>0.24963048725605397</v>
      </c>
      <c r="AQ397" s="86">
        <f t="shared" si="142"/>
        <v>0</v>
      </c>
      <c r="AR397" s="86">
        <f t="shared" si="143"/>
        <v>0</v>
      </c>
      <c r="AS397" s="94">
        <f t="shared" si="144"/>
        <v>0</v>
      </c>
      <c r="AT397" s="94">
        <f t="shared" si="145"/>
        <v>0</v>
      </c>
      <c r="AU397" s="94">
        <f t="shared" si="148"/>
        <v>0</v>
      </c>
      <c r="AV397" s="94">
        <f t="shared" si="149"/>
        <v>0</v>
      </c>
    </row>
    <row r="398" spans="1:48" x14ac:dyDescent="0.3">
      <c r="A398" s="85" t="str">
        <f>_xlfn.XLOOKUP(B398,'Country codes &amp; Data sources'!G:G,'Country codes &amp; Data sources'!H:H,,0)</f>
        <v>Equatorial Guinea</v>
      </c>
      <c r="B398" s="85" t="s">
        <v>170</v>
      </c>
      <c r="C398" s="86">
        <v>1193656.5</v>
      </c>
      <c r="D398" s="85" t="s">
        <v>84</v>
      </c>
      <c r="E398" s="87">
        <v>0</v>
      </c>
      <c r="F398" s="88">
        <v>1243941.0000000002</v>
      </c>
      <c r="G398" s="87">
        <v>0</v>
      </c>
      <c r="I398" s="87">
        <v>0</v>
      </c>
      <c r="K398" s="87">
        <v>0</v>
      </c>
      <c r="M398" s="87">
        <v>0</v>
      </c>
      <c r="O398" s="87">
        <v>0</v>
      </c>
      <c r="P398" s="88">
        <v>1502091.5000000002</v>
      </c>
      <c r="Q398" s="87">
        <v>0</v>
      </c>
      <c r="R398" s="87">
        <f t="shared" si="131"/>
        <v>0</v>
      </c>
      <c r="T398" s="87">
        <v>0</v>
      </c>
      <c r="V398" s="87">
        <v>0</v>
      </c>
      <c r="X398" s="87">
        <v>0</v>
      </c>
      <c r="Y398" s="88">
        <v>1674908</v>
      </c>
      <c r="Z398" s="87">
        <v>0</v>
      </c>
      <c r="AA398" s="87">
        <v>0</v>
      </c>
      <c r="AB398" s="89">
        <f t="shared" si="132"/>
        <v>0</v>
      </c>
      <c r="AC398" s="89">
        <f t="shared" si="133"/>
        <v>0</v>
      </c>
      <c r="AD398" s="89">
        <f t="shared" si="134"/>
        <v>0</v>
      </c>
      <c r="AF398" s="90" t="str">
        <f t="shared" si="135"/>
        <v/>
      </c>
      <c r="AH398" s="90" t="str">
        <f t="shared" si="136"/>
        <v/>
      </c>
      <c r="AI398" s="90">
        <f t="shared" si="137"/>
        <v>0</v>
      </c>
      <c r="AJ398" s="90" t="str">
        <f t="shared" si="138"/>
        <v/>
      </c>
      <c r="AK398" s="90" t="str">
        <f t="shared" si="139"/>
        <v/>
      </c>
      <c r="AL398" s="91"/>
      <c r="AM398" s="91">
        <f t="shared" si="140"/>
        <v>0</v>
      </c>
      <c r="AN398" s="92" t="str">
        <f t="shared" si="141"/>
        <v>No change</v>
      </c>
      <c r="AO398" s="93">
        <f>VLOOKUP(B398,'Growthrates source'!A$2:H$49,8,FALSE)</f>
        <v>8.5981075235392446E-2</v>
      </c>
      <c r="AP398" s="93">
        <f>VLOOKUP(B398,'Growthrates source'!A$2:I$49,9,FALSE)</f>
        <v>0.24963048725605397</v>
      </c>
      <c r="AQ398" s="86">
        <f t="shared" si="142"/>
        <v>0</v>
      </c>
      <c r="AR398" s="86">
        <f t="shared" si="143"/>
        <v>0</v>
      </c>
      <c r="AS398" s="94">
        <f t="shared" si="144"/>
        <v>0</v>
      </c>
      <c r="AT398" s="94">
        <f t="shared" si="145"/>
        <v>0</v>
      </c>
      <c r="AU398" s="94">
        <f t="shared" si="148"/>
        <v>0</v>
      </c>
      <c r="AV398" s="94">
        <f t="shared" si="149"/>
        <v>0</v>
      </c>
    </row>
    <row r="399" spans="1:48" x14ac:dyDescent="0.3">
      <c r="A399" s="85" t="str">
        <f>_xlfn.XLOOKUP(B399,'Country codes &amp; Data sources'!G:G,'Country codes &amp; Data sources'!H:H,,0)</f>
        <v>Equatorial Guinea</v>
      </c>
      <c r="B399" s="85" t="s">
        <v>170</v>
      </c>
      <c r="C399" s="86">
        <v>1193657.5</v>
      </c>
      <c r="D399" s="85" t="s">
        <v>126</v>
      </c>
      <c r="E399" s="87">
        <v>0</v>
      </c>
      <c r="F399" s="88">
        <v>1243941.0000000002</v>
      </c>
      <c r="G399" s="87">
        <v>0</v>
      </c>
      <c r="I399" s="87">
        <v>0</v>
      </c>
      <c r="K399" s="87">
        <v>0</v>
      </c>
      <c r="M399" s="87">
        <v>0</v>
      </c>
      <c r="O399" s="87">
        <v>0</v>
      </c>
      <c r="P399" s="88">
        <v>1502091.5000000002</v>
      </c>
      <c r="Q399" s="87">
        <v>0</v>
      </c>
      <c r="R399" s="87">
        <f t="shared" si="131"/>
        <v>0</v>
      </c>
      <c r="T399" s="87">
        <v>0</v>
      </c>
      <c r="V399" s="87">
        <v>0</v>
      </c>
      <c r="X399" s="87">
        <v>0</v>
      </c>
      <c r="Y399" s="88">
        <v>1674908</v>
      </c>
      <c r="Z399" s="87">
        <v>0</v>
      </c>
      <c r="AA399" s="87">
        <v>0</v>
      </c>
      <c r="AB399" s="89">
        <f t="shared" si="132"/>
        <v>0</v>
      </c>
      <c r="AC399" s="89">
        <f t="shared" si="133"/>
        <v>0</v>
      </c>
      <c r="AD399" s="89">
        <f t="shared" si="134"/>
        <v>0</v>
      </c>
      <c r="AF399" s="90" t="str">
        <f t="shared" si="135"/>
        <v/>
      </c>
      <c r="AH399" s="90" t="str">
        <f t="shared" si="136"/>
        <v/>
      </c>
      <c r="AI399" s="90">
        <f t="shared" si="137"/>
        <v>0</v>
      </c>
      <c r="AJ399" s="90" t="str">
        <f t="shared" si="138"/>
        <v/>
      </c>
      <c r="AK399" s="90" t="str">
        <f t="shared" si="139"/>
        <v/>
      </c>
      <c r="AL399" s="91"/>
      <c r="AM399" s="91">
        <f t="shared" si="140"/>
        <v>0</v>
      </c>
      <c r="AN399" s="92" t="str">
        <f t="shared" si="141"/>
        <v>No change</v>
      </c>
      <c r="AO399" s="93">
        <f>VLOOKUP(B399,'Growthrates source'!A$2:H$49,8,FALSE)</f>
        <v>8.5981075235392446E-2</v>
      </c>
      <c r="AP399" s="93">
        <f>VLOOKUP(B399,'Growthrates source'!A$2:I$49,9,FALSE)</f>
        <v>0.24963048725605397</v>
      </c>
      <c r="AQ399" s="86">
        <f t="shared" si="142"/>
        <v>0</v>
      </c>
      <c r="AR399" s="86">
        <f t="shared" si="143"/>
        <v>0</v>
      </c>
      <c r="AS399" s="94">
        <f t="shared" si="144"/>
        <v>0</v>
      </c>
      <c r="AT399" s="94">
        <f t="shared" si="145"/>
        <v>0</v>
      </c>
      <c r="AU399" s="94">
        <f t="shared" si="148"/>
        <v>0</v>
      </c>
      <c r="AV399" s="94">
        <f t="shared" si="149"/>
        <v>0</v>
      </c>
    </row>
    <row r="400" spans="1:48" x14ac:dyDescent="0.3">
      <c r="A400" s="85" t="str">
        <f>_xlfn.XLOOKUP(B400,'Country codes &amp; Data sources'!G:G,'Country codes &amp; Data sources'!H:H,,0)</f>
        <v>Equatorial Guinea</v>
      </c>
      <c r="B400" s="85" t="s">
        <v>170</v>
      </c>
      <c r="C400" s="86">
        <v>1193658.5</v>
      </c>
      <c r="D400" s="85" t="s">
        <v>87</v>
      </c>
      <c r="E400" s="87">
        <v>0</v>
      </c>
      <c r="F400" s="88">
        <v>1243941.0000000002</v>
      </c>
      <c r="G400" s="87">
        <v>0</v>
      </c>
      <c r="I400" s="87">
        <v>0</v>
      </c>
      <c r="K400" s="87">
        <v>0</v>
      </c>
      <c r="M400" s="87">
        <v>0</v>
      </c>
      <c r="O400" s="87">
        <v>0</v>
      </c>
      <c r="P400" s="88">
        <v>1502091.5000000002</v>
      </c>
      <c r="Q400" s="87">
        <v>0</v>
      </c>
      <c r="R400" s="87">
        <f t="shared" si="131"/>
        <v>0</v>
      </c>
      <c r="T400" s="87">
        <v>0</v>
      </c>
      <c r="V400" s="87">
        <v>0</v>
      </c>
      <c r="X400" s="87">
        <v>0</v>
      </c>
      <c r="Y400" s="88">
        <v>1674908</v>
      </c>
      <c r="Z400" s="87">
        <v>0</v>
      </c>
      <c r="AA400" s="87">
        <v>0</v>
      </c>
      <c r="AB400" s="89">
        <f t="shared" si="132"/>
        <v>0</v>
      </c>
      <c r="AC400" s="89">
        <f t="shared" si="133"/>
        <v>0</v>
      </c>
      <c r="AD400" s="89">
        <f t="shared" si="134"/>
        <v>0</v>
      </c>
      <c r="AF400" s="90" t="str">
        <f t="shared" si="135"/>
        <v/>
      </c>
      <c r="AH400" s="90" t="str">
        <f t="shared" si="136"/>
        <v/>
      </c>
      <c r="AI400" s="90">
        <f t="shared" si="137"/>
        <v>0</v>
      </c>
      <c r="AJ400" s="90" t="str">
        <f t="shared" si="138"/>
        <v/>
      </c>
      <c r="AK400" s="90" t="str">
        <f t="shared" si="139"/>
        <v/>
      </c>
      <c r="AL400" s="91"/>
      <c r="AM400" s="91">
        <f t="shared" si="140"/>
        <v>0</v>
      </c>
      <c r="AN400" s="92" t="str">
        <f t="shared" si="141"/>
        <v>No change</v>
      </c>
      <c r="AO400" s="93">
        <f>VLOOKUP(B400,'Growthrates source'!A$2:H$49,8,FALSE)</f>
        <v>8.5981075235392446E-2</v>
      </c>
      <c r="AP400" s="93">
        <f>VLOOKUP(B400,'Growthrates source'!A$2:I$49,9,FALSE)</f>
        <v>0.24963048725605397</v>
      </c>
      <c r="AQ400" s="86">
        <f t="shared" si="142"/>
        <v>0</v>
      </c>
      <c r="AR400" s="86">
        <f t="shared" si="143"/>
        <v>0</v>
      </c>
      <c r="AS400" s="94">
        <f t="shared" si="144"/>
        <v>0</v>
      </c>
      <c r="AT400" s="94">
        <f t="shared" si="145"/>
        <v>0</v>
      </c>
      <c r="AU400" s="94">
        <f t="shared" si="148"/>
        <v>0</v>
      </c>
      <c r="AV400" s="94">
        <f t="shared" si="149"/>
        <v>0</v>
      </c>
    </row>
    <row r="401" spans="1:49" x14ac:dyDescent="0.3">
      <c r="A401" s="85" t="str">
        <f>_xlfn.XLOOKUP(B401,'Country codes &amp; Data sources'!G:G,'Country codes &amp; Data sources'!H:H,,0)</f>
        <v>Kenya</v>
      </c>
      <c r="B401" s="85" t="s">
        <v>175</v>
      </c>
      <c r="C401" s="86">
        <v>43725811.5</v>
      </c>
      <c r="D401" s="85" t="s">
        <v>127</v>
      </c>
      <c r="E401" s="87">
        <v>0</v>
      </c>
      <c r="F401" s="88">
        <v>44792368.000000007</v>
      </c>
      <c r="G401" s="87">
        <v>0</v>
      </c>
      <c r="I401" s="87">
        <v>0</v>
      </c>
      <c r="K401" s="87">
        <v>0</v>
      </c>
      <c r="M401" s="87">
        <v>0</v>
      </c>
      <c r="O401" s="87">
        <v>0</v>
      </c>
      <c r="P401" s="88">
        <v>49953303.999999993</v>
      </c>
      <c r="Q401" s="87">
        <v>58079</v>
      </c>
      <c r="R401" s="87">
        <f t="shared" si="131"/>
        <v>58079</v>
      </c>
      <c r="T401" s="87">
        <v>0</v>
      </c>
      <c r="V401" s="87">
        <v>91653</v>
      </c>
      <c r="X401" s="87">
        <v>86490</v>
      </c>
      <c r="Y401" s="88">
        <v>54027486.999999985</v>
      </c>
      <c r="Z401" s="87">
        <v>86423</v>
      </c>
      <c r="AA401" s="87">
        <v>58079</v>
      </c>
      <c r="AB401" s="89">
        <f t="shared" si="132"/>
        <v>0</v>
      </c>
      <c r="AC401" s="89">
        <f t="shared" si="133"/>
        <v>58079</v>
      </c>
      <c r="AD401" s="89">
        <f t="shared" si="134"/>
        <v>91653</v>
      </c>
      <c r="AF401" s="90" t="str">
        <f t="shared" si="135"/>
        <v/>
      </c>
      <c r="AG401" s="90">
        <f t="shared" si="147"/>
        <v>58079</v>
      </c>
      <c r="AH401" s="90">
        <f t="shared" si="136"/>
        <v>2018</v>
      </c>
      <c r="AI401" s="90">
        <f t="shared" si="137"/>
        <v>86423</v>
      </c>
      <c r="AJ401" s="90">
        <f t="shared" si="138"/>
        <v>2022</v>
      </c>
      <c r="AK401" s="90" t="str">
        <f t="shared" si="139"/>
        <v/>
      </c>
      <c r="AL401" s="91">
        <f>IF(AK401="Adjust",(_xlfn.XLOOKUP(A401,'Adj factor'!A:A,'Adj factor'!I:I,,0)*AI401),'Master DataSheet (Rev)'!AI401)</f>
        <v>86423</v>
      </c>
      <c r="AM401" s="91">
        <f t="shared" si="140"/>
        <v>86423</v>
      </c>
      <c r="AN401" s="92" t="str">
        <f t="shared" si="141"/>
        <v>Increasing</v>
      </c>
      <c r="AO401" s="93">
        <f>VLOOKUP(B401,'Growthrates source'!A$2:H$49,8,FALSE)</f>
        <v>7.1554687899516578E-2</v>
      </c>
      <c r="AP401" s="93">
        <f>VLOOKUP(B401,'Growthrates source'!A$2:I$49,9,FALSE)</f>
        <v>7.1815970063989321E-2</v>
      </c>
      <c r="AQ401" s="86">
        <f t="shared" si="142"/>
        <v>40610.664853749629</v>
      </c>
      <c r="AR401" s="86">
        <f t="shared" si="143"/>
        <v>72042.20032406706</v>
      </c>
      <c r="AS401" s="94">
        <f t="shared" si="144"/>
        <v>0</v>
      </c>
      <c r="AT401" s="94">
        <f t="shared" si="145"/>
        <v>11.626658368783776</v>
      </c>
      <c r="AU401" s="94">
        <f t="shared" si="148"/>
        <v>15.996116939512664</v>
      </c>
      <c r="AV401" s="94">
        <f t="shared" si="149"/>
        <v>15.996116939512664</v>
      </c>
      <c r="AW401" s="110"/>
    </row>
    <row r="402" spans="1:49" x14ac:dyDescent="0.3">
      <c r="A402" s="85" t="str">
        <f>_xlfn.XLOOKUP(B402,'Country codes &amp; Data sources'!G:G,'Country codes &amp; Data sources'!H:H,,0)</f>
        <v>Kenya</v>
      </c>
      <c r="B402" s="85" t="s">
        <v>175</v>
      </c>
      <c r="C402" s="86">
        <v>43725812.5</v>
      </c>
      <c r="D402" s="85" t="s">
        <v>61</v>
      </c>
      <c r="E402" s="87">
        <v>0</v>
      </c>
      <c r="F402" s="88">
        <v>44792368.000000007</v>
      </c>
      <c r="G402" s="87">
        <v>211</v>
      </c>
      <c r="I402" s="87">
        <v>0</v>
      </c>
      <c r="K402" s="87">
        <v>0</v>
      </c>
      <c r="M402" s="87">
        <v>0</v>
      </c>
      <c r="O402" s="87">
        <v>0</v>
      </c>
      <c r="P402" s="88">
        <v>49953303.999999993</v>
      </c>
      <c r="Q402" s="87">
        <v>0</v>
      </c>
      <c r="R402" s="87">
        <f t="shared" si="131"/>
        <v>1147</v>
      </c>
      <c r="T402" s="87">
        <v>3877</v>
      </c>
      <c r="V402" s="87">
        <v>0</v>
      </c>
      <c r="X402" s="87">
        <v>0</v>
      </c>
      <c r="Y402" s="88">
        <v>54027486.999999985</v>
      </c>
      <c r="Z402" s="103">
        <v>10071</v>
      </c>
      <c r="AA402" s="87">
        <v>1147</v>
      </c>
      <c r="AB402" s="89">
        <f t="shared" si="132"/>
        <v>211</v>
      </c>
      <c r="AC402" s="89">
        <f t="shared" si="133"/>
        <v>3877</v>
      </c>
      <c r="AD402" s="89">
        <f t="shared" si="134"/>
        <v>10071</v>
      </c>
      <c r="AE402" s="90">
        <f t="shared" si="146"/>
        <v>211</v>
      </c>
      <c r="AF402" s="90">
        <f t="shared" si="135"/>
        <v>2013</v>
      </c>
      <c r="AG402" s="90">
        <f t="shared" si="147"/>
        <v>1147</v>
      </c>
      <c r="AH402" s="90" t="str">
        <f t="shared" si="136"/>
        <v>2018 (triag)</v>
      </c>
      <c r="AI402" s="90">
        <f t="shared" si="137"/>
        <v>10071</v>
      </c>
      <c r="AJ402" s="90">
        <f t="shared" si="138"/>
        <v>2022</v>
      </c>
      <c r="AK402" s="90" t="str">
        <f t="shared" si="139"/>
        <v/>
      </c>
      <c r="AL402" s="91">
        <f>IF(AK402="Adjust",(_xlfn.XLOOKUP(A402,'Adj factor'!A:A,'Adj factor'!I:I,,0)*AI402),'Master DataSheet (Rev)'!AI402)</f>
        <v>10071</v>
      </c>
      <c r="AM402" s="62">
        <v>10071</v>
      </c>
      <c r="AN402" s="92" t="str">
        <f t="shared" si="141"/>
        <v>Increasing</v>
      </c>
      <c r="AO402" s="93">
        <f>VLOOKUP(B402,'Growthrates source'!A$2:H$49,8,FALSE)</f>
        <v>7.1554687899516578E-2</v>
      </c>
      <c r="AP402" s="93">
        <f>VLOOKUP(B402,'Growthrates source'!A$2:I$49,9,FALSE)</f>
        <v>7.1815970063989321E-2</v>
      </c>
      <c r="AQ402" s="86">
        <f t="shared" si="142"/>
        <v>802.01850216516857</v>
      </c>
      <c r="AR402" s="86">
        <f t="shared" si="143"/>
        <v>1422.7587212538942</v>
      </c>
      <c r="AS402" s="94">
        <f t="shared" si="144"/>
        <v>4.7106239170030033E-2</v>
      </c>
      <c r="AT402" s="94">
        <f t="shared" si="145"/>
        <v>0.22961444151922367</v>
      </c>
      <c r="AU402" s="94">
        <f t="shared" si="148"/>
        <v>1.8640511634383443</v>
      </c>
      <c r="AV402" s="94">
        <f t="shared" si="149"/>
        <v>1.8640511634383443</v>
      </c>
      <c r="AW402" s="110"/>
    </row>
    <row r="403" spans="1:49" x14ac:dyDescent="0.3">
      <c r="A403" s="85" t="str">
        <f>_xlfn.XLOOKUP(B403,'Country codes &amp; Data sources'!G:G,'Country codes &amp; Data sources'!H:H,,0)</f>
        <v>Kenya</v>
      </c>
      <c r="B403" s="85" t="s">
        <v>175</v>
      </c>
      <c r="C403" s="86">
        <v>43725813.5</v>
      </c>
      <c r="D403" s="85" t="s">
        <v>62</v>
      </c>
      <c r="E403" s="87">
        <v>0</v>
      </c>
      <c r="F403" s="88">
        <v>44792368.000000007</v>
      </c>
      <c r="G403" s="87">
        <v>0</v>
      </c>
      <c r="I403" s="87">
        <v>0</v>
      </c>
      <c r="K403" s="87">
        <v>201</v>
      </c>
      <c r="M403" s="87">
        <v>146</v>
      </c>
      <c r="O403" s="87">
        <v>0</v>
      </c>
      <c r="P403" s="88">
        <v>49953303.999999993</v>
      </c>
      <c r="Q403" s="87">
        <v>0</v>
      </c>
      <c r="R403" s="87">
        <f t="shared" si="131"/>
        <v>5310</v>
      </c>
      <c r="T403" s="87">
        <v>3730</v>
      </c>
      <c r="V403" s="87">
        <v>0</v>
      </c>
      <c r="X403" s="87">
        <v>0</v>
      </c>
      <c r="Y403" s="88">
        <v>54027486.999999985</v>
      </c>
      <c r="Z403" s="103">
        <v>553</v>
      </c>
      <c r="AA403" s="87">
        <v>5310</v>
      </c>
      <c r="AB403" s="89">
        <f t="shared" si="132"/>
        <v>201</v>
      </c>
      <c r="AC403" s="89">
        <f t="shared" si="133"/>
        <v>3730</v>
      </c>
      <c r="AD403" s="89">
        <f t="shared" si="134"/>
        <v>553</v>
      </c>
      <c r="AE403" s="90">
        <f t="shared" si="146"/>
        <v>201</v>
      </c>
      <c r="AF403" s="90">
        <f t="shared" si="135"/>
        <v>2015</v>
      </c>
      <c r="AG403" s="90">
        <f t="shared" si="147"/>
        <v>5310</v>
      </c>
      <c r="AH403" s="90" t="str">
        <f t="shared" si="136"/>
        <v>2018 (triag)</v>
      </c>
      <c r="AI403" s="90">
        <f t="shared" si="137"/>
        <v>553</v>
      </c>
      <c r="AJ403" s="90">
        <f t="shared" si="138"/>
        <v>2022</v>
      </c>
      <c r="AK403" s="90" t="str">
        <f t="shared" si="139"/>
        <v>Adjust</v>
      </c>
      <c r="AL403" s="91">
        <f>IF(AK403="Adjust",(_xlfn.XLOOKUP(A403,'Adj factor'!A:A,'Adj factor'!I:I,,0)*AI403),'Master DataSheet (Rev)'!AI403)</f>
        <v>635.56215030918963</v>
      </c>
      <c r="AM403" s="91">
        <f t="shared" si="140"/>
        <v>5310</v>
      </c>
      <c r="AN403" s="92" t="str">
        <f t="shared" si="141"/>
        <v>Decreasing</v>
      </c>
      <c r="AO403" s="93">
        <f>VLOOKUP(B403,'Growthrates source'!A$2:H$49,8,FALSE)</f>
        <v>7.1554687899516578E-2</v>
      </c>
      <c r="AP403" s="93">
        <f>VLOOKUP(B403,'Growthrates source'!A$2:I$49,9,FALSE)</f>
        <v>7.1815970063989321E-2</v>
      </c>
      <c r="AQ403" s="86">
        <f t="shared" si="142"/>
        <v>3712.9191338247997</v>
      </c>
      <c r="AR403" s="86">
        <f t="shared" si="143"/>
        <v>6586.6162248109667</v>
      </c>
      <c r="AS403" s="94">
        <f t="shared" si="144"/>
        <v>4.4873715986616283E-2</v>
      </c>
      <c r="AT403" s="94">
        <f t="shared" si="145"/>
        <v>1.0629927501892569</v>
      </c>
      <c r="AU403" s="94">
        <f t="shared" si="148"/>
        <v>0.11763681518431346</v>
      </c>
      <c r="AV403" s="94">
        <f t="shared" si="149"/>
        <v>0.98283305310868918</v>
      </c>
      <c r="AW403" s="110"/>
    </row>
    <row r="404" spans="1:49" x14ac:dyDescent="0.3">
      <c r="A404" s="85" t="str">
        <f>_xlfn.XLOOKUP(B404,'Country codes &amp; Data sources'!G:G,'Country codes &amp; Data sources'!H:H,,0)</f>
        <v>Kenya</v>
      </c>
      <c r="B404" s="85" t="s">
        <v>175</v>
      </c>
      <c r="C404" s="86">
        <v>43725814.5</v>
      </c>
      <c r="D404" s="85" t="s">
        <v>203</v>
      </c>
      <c r="E404" s="87">
        <v>0</v>
      </c>
      <c r="F404" s="88">
        <v>44792368.000000007</v>
      </c>
      <c r="G404" s="87">
        <v>0</v>
      </c>
      <c r="I404" s="87">
        <v>0</v>
      </c>
      <c r="K404" s="87">
        <v>0</v>
      </c>
      <c r="M404" s="87">
        <v>0</v>
      </c>
      <c r="O404" s="87">
        <v>0</v>
      </c>
      <c r="P404" s="88">
        <v>49953303.999999993</v>
      </c>
      <c r="Q404" s="87">
        <v>0</v>
      </c>
      <c r="R404" s="87">
        <f t="shared" si="131"/>
        <v>0</v>
      </c>
      <c r="T404" s="87">
        <v>0</v>
      </c>
      <c r="V404" s="87">
        <v>0</v>
      </c>
      <c r="X404" s="87">
        <v>0</v>
      </c>
      <c r="Y404" s="88">
        <v>54027486.999999985</v>
      </c>
      <c r="Z404" s="87">
        <v>0</v>
      </c>
      <c r="AA404" s="87">
        <v>0</v>
      </c>
      <c r="AB404" s="89">
        <f t="shared" si="132"/>
        <v>0</v>
      </c>
      <c r="AC404" s="89">
        <f t="shared" si="133"/>
        <v>0</v>
      </c>
      <c r="AD404" s="89">
        <f t="shared" si="134"/>
        <v>0</v>
      </c>
      <c r="AF404" s="90" t="str">
        <f t="shared" si="135"/>
        <v/>
      </c>
      <c r="AH404" s="90" t="str">
        <f t="shared" si="136"/>
        <v/>
      </c>
      <c r="AI404" s="90">
        <f t="shared" si="137"/>
        <v>0</v>
      </c>
      <c r="AJ404" s="90" t="str">
        <f t="shared" si="138"/>
        <v/>
      </c>
      <c r="AK404" s="90" t="str">
        <f t="shared" si="139"/>
        <v/>
      </c>
      <c r="AL404" s="91"/>
      <c r="AM404" s="91">
        <f t="shared" si="140"/>
        <v>0</v>
      </c>
      <c r="AN404" s="92" t="str">
        <f t="shared" si="141"/>
        <v>No change</v>
      </c>
      <c r="AO404" s="93">
        <f>VLOOKUP(B404,'Growthrates source'!A$2:H$49,8,FALSE)</f>
        <v>7.1554687899516578E-2</v>
      </c>
      <c r="AP404" s="93">
        <f>VLOOKUP(B404,'Growthrates source'!A$2:I$49,9,FALSE)</f>
        <v>7.1815970063989321E-2</v>
      </c>
      <c r="AQ404" s="86">
        <f t="shared" si="142"/>
        <v>0</v>
      </c>
      <c r="AR404" s="86">
        <f t="shared" si="143"/>
        <v>0</v>
      </c>
      <c r="AS404" s="94">
        <f t="shared" si="144"/>
        <v>0</v>
      </c>
      <c r="AT404" s="94">
        <f t="shared" si="145"/>
        <v>0</v>
      </c>
      <c r="AU404" s="94">
        <f t="shared" si="148"/>
        <v>0</v>
      </c>
      <c r="AV404" s="94">
        <f t="shared" si="149"/>
        <v>0</v>
      </c>
      <c r="AW404" s="110"/>
    </row>
    <row r="405" spans="1:49" x14ac:dyDescent="0.3">
      <c r="A405" s="85" t="str">
        <f>_xlfn.XLOOKUP(B405,'Country codes &amp; Data sources'!G:G,'Country codes &amp; Data sources'!H:H,,0)</f>
        <v>Kenya</v>
      </c>
      <c r="B405" s="85" t="s">
        <v>175</v>
      </c>
      <c r="C405" s="86">
        <v>43725815.5</v>
      </c>
      <c r="D405" s="85" t="s">
        <v>204</v>
      </c>
      <c r="E405" s="87">
        <v>0</v>
      </c>
      <c r="F405" s="88">
        <v>44792368.000000007</v>
      </c>
      <c r="G405" s="87">
        <v>0</v>
      </c>
      <c r="I405" s="87">
        <v>0</v>
      </c>
      <c r="K405" s="87">
        <v>0</v>
      </c>
      <c r="M405" s="87">
        <v>0</v>
      </c>
      <c r="O405" s="87">
        <v>0</v>
      </c>
      <c r="P405" s="88">
        <v>49953303.999999993</v>
      </c>
      <c r="Q405" s="87">
        <v>0</v>
      </c>
      <c r="R405" s="87">
        <f t="shared" ref="R405:R457" si="150">MAX(Q405,AA405)</f>
        <v>0</v>
      </c>
      <c r="T405" s="87">
        <v>0</v>
      </c>
      <c r="V405" s="87">
        <v>0</v>
      </c>
      <c r="X405" s="87">
        <v>0</v>
      </c>
      <c r="Y405" s="88">
        <v>54027486.999999985</v>
      </c>
      <c r="Z405" s="87">
        <v>0</v>
      </c>
      <c r="AA405" s="87">
        <v>0</v>
      </c>
      <c r="AB405" s="89">
        <f t="shared" ref="AB405:AB457" si="151">MAX(G405,E405,I405,K405)</f>
        <v>0</v>
      </c>
      <c r="AC405" s="89">
        <f t="shared" ref="AC405:AC457" si="152">MAX(M405,O405,Q405,T405)</f>
        <v>0</v>
      </c>
      <c r="AD405" s="89">
        <f t="shared" ref="AD405:AD457" si="153">MAX(V405,X405,Z405)</f>
        <v>0</v>
      </c>
      <c r="AF405" s="90" t="str">
        <f t="shared" ref="AF405:AF457" si="154">IF(AE405&gt;0,_xlfn.XLOOKUP(AE405,$B405:$K405,$B$1:$K$1,,0),"")</f>
        <v/>
      </c>
      <c r="AH405" s="90" t="str">
        <f t="shared" ref="AH405:AH457" si="155">IF(AG405&gt;0,_xlfn.XLOOKUP(AG405,$L405:$T405,$L$1:$T$1,,0),"")</f>
        <v/>
      </c>
      <c r="AI405" s="90">
        <f t="shared" ref="AI405:AI457" si="156">IF((IF(Z405&gt;0,Z405,IF(X405&gt;0,X405,IF(V405&gt;0,V405,T405))))=0,AG405,IF(Z405&gt;0,Z405,IF(X405&gt;0,X405,IF(V405&gt;0,V405,T405))))</f>
        <v>0</v>
      </c>
      <c r="AJ405" s="90" t="str">
        <f t="shared" ref="AJ405:AJ457" si="157">IFERROR(IF(AI405&gt;0,_xlfn.XLOOKUP(AI405,$V405:$Z405,$V$1:$Z$1,,0),""),AH405)</f>
        <v/>
      </c>
      <c r="AK405" s="90" t="str">
        <f t="shared" ref="AK405:AK457" si="158">IF(AI405&lt;AG405,"Adjust","")</f>
        <v/>
      </c>
      <c r="AL405" s="91"/>
      <c r="AM405" s="91">
        <f t="shared" ref="AM405:AM457" si="159">IF(AL405&lt;AG405,AG405,AL405)</f>
        <v>0</v>
      </c>
      <c r="AN405" s="92" t="str">
        <f t="shared" ref="AN405:AN457" si="160">IF(AL405&gt;AG405,"Increasing",IF(AL405&lt;AG405,"Decreasing","No change"))</f>
        <v>No change</v>
      </c>
      <c r="AO405" s="93">
        <f>VLOOKUP(B405,'Growthrates source'!A$2:H$49,8,FALSE)</f>
        <v>7.1554687899516578E-2</v>
      </c>
      <c r="AP405" s="93">
        <f>VLOOKUP(B405,'Growthrates source'!A$2:I$49,9,FALSE)</f>
        <v>7.1815970063989321E-2</v>
      </c>
      <c r="AQ405" s="86">
        <f t="shared" ref="AQ405:AQ457" si="161">AA405/(EXP(AO405*5))</f>
        <v>0</v>
      </c>
      <c r="AR405" s="86">
        <f t="shared" ref="AR405:AR457" si="162">AA405*EXP(AP405*3)</f>
        <v>0</v>
      </c>
      <c r="AS405" s="94">
        <f t="shared" ref="AS405:AS457" si="163">(AE405*10000)/F405</f>
        <v>0</v>
      </c>
      <c r="AT405" s="94">
        <f t="shared" ref="AT405:AT457" si="164">(AG405*10000)/P405</f>
        <v>0</v>
      </c>
      <c r="AU405" s="94">
        <f t="shared" si="148"/>
        <v>0</v>
      </c>
      <c r="AV405" s="94">
        <f t="shared" si="149"/>
        <v>0</v>
      </c>
      <c r="AW405" s="110"/>
    </row>
    <row r="406" spans="1:49" x14ac:dyDescent="0.3">
      <c r="A406" s="85" t="str">
        <f>_xlfn.XLOOKUP(B406,'Country codes &amp; Data sources'!G:G,'Country codes &amp; Data sources'!H:H,,0)</f>
        <v>Kenya</v>
      </c>
      <c r="B406" s="85" t="s">
        <v>175</v>
      </c>
      <c r="C406" s="86">
        <v>43725816.5</v>
      </c>
      <c r="D406" s="85" t="s">
        <v>205</v>
      </c>
      <c r="E406" s="87">
        <v>0</v>
      </c>
      <c r="F406" s="88">
        <v>44792368.000000007</v>
      </c>
      <c r="G406" s="87">
        <v>0</v>
      </c>
      <c r="I406" s="87">
        <v>0</v>
      </c>
      <c r="K406" s="87">
        <v>0</v>
      </c>
      <c r="M406" s="87">
        <v>0</v>
      </c>
      <c r="O406" s="87">
        <v>0</v>
      </c>
      <c r="P406" s="88">
        <v>49953303.999999993</v>
      </c>
      <c r="Q406" s="87">
        <v>0</v>
      </c>
      <c r="R406" s="87">
        <f t="shared" si="150"/>
        <v>468</v>
      </c>
      <c r="T406" s="87">
        <v>468</v>
      </c>
      <c r="V406" s="87">
        <v>0</v>
      </c>
      <c r="X406" s="87">
        <v>261</v>
      </c>
      <c r="Y406" s="88">
        <v>54027486.999999985</v>
      </c>
      <c r="Z406" s="103">
        <v>987</v>
      </c>
      <c r="AA406" s="87">
        <v>468</v>
      </c>
      <c r="AB406" s="89">
        <f t="shared" si="151"/>
        <v>0</v>
      </c>
      <c r="AC406" s="89">
        <f t="shared" si="152"/>
        <v>468</v>
      </c>
      <c r="AD406" s="89">
        <f t="shared" si="153"/>
        <v>987</v>
      </c>
      <c r="AF406" s="90" t="str">
        <f t="shared" si="154"/>
        <v/>
      </c>
      <c r="AG406" s="90">
        <f t="shared" ref="AG406:AG457" si="165">IF(R406&gt;0,R406,IF(O406&gt;0,O406,T406))</f>
        <v>468</v>
      </c>
      <c r="AH406" s="90" t="str">
        <f t="shared" si="155"/>
        <v>2018 (triag)</v>
      </c>
      <c r="AI406" s="90">
        <f t="shared" si="156"/>
        <v>987</v>
      </c>
      <c r="AJ406" s="90">
        <f t="shared" si="157"/>
        <v>2022</v>
      </c>
      <c r="AK406" s="90" t="str">
        <f t="shared" si="158"/>
        <v/>
      </c>
      <c r="AL406" s="91">
        <f>IF(AK406="Adjust",(_xlfn.XLOOKUP(A406,'Adj factor'!A:A,'Adj factor'!I:I,,0)*AI406),'Master DataSheet (Rev)'!AI406)</f>
        <v>987</v>
      </c>
      <c r="AM406" s="61">
        <v>287</v>
      </c>
      <c r="AN406" s="92" t="str">
        <f t="shared" si="160"/>
        <v>Increasing</v>
      </c>
      <c r="AO406" s="93">
        <f>VLOOKUP(B406,'Growthrates source'!A$2:H$49,8,FALSE)</f>
        <v>7.1554687899516578E-2</v>
      </c>
      <c r="AP406" s="93">
        <f>VLOOKUP(B406,'Growthrates source'!A$2:I$49,9,FALSE)</f>
        <v>7.1815970063989321E-2</v>
      </c>
      <c r="AQ406" s="86">
        <f t="shared" si="161"/>
        <v>327.24033043879592</v>
      </c>
      <c r="AR406" s="86">
        <f t="shared" si="162"/>
        <v>580.51532828842414</v>
      </c>
      <c r="AS406" s="94">
        <f t="shared" si="163"/>
        <v>0</v>
      </c>
      <c r="AT406" s="94">
        <f t="shared" si="164"/>
        <v>9.3687496626849762E-2</v>
      </c>
      <c r="AU406" s="94">
        <f t="shared" si="148"/>
        <v>0.1826847878377168</v>
      </c>
      <c r="AV406" s="94">
        <f t="shared" si="149"/>
        <v>5.3121108520187157E-2</v>
      </c>
      <c r="AW406" s="110"/>
    </row>
    <row r="407" spans="1:49" x14ac:dyDescent="0.3">
      <c r="A407" s="85" t="str">
        <f>_xlfn.XLOOKUP(B407,'Country codes &amp; Data sources'!G:G,'Country codes &amp; Data sources'!H:H,,0)</f>
        <v>Kenya</v>
      </c>
      <c r="B407" s="85" t="s">
        <v>175</v>
      </c>
      <c r="C407" s="86">
        <v>43725817.5</v>
      </c>
      <c r="D407" s="85" t="s">
        <v>133</v>
      </c>
      <c r="E407" s="87">
        <v>0</v>
      </c>
      <c r="F407" s="88">
        <v>44792368.000000007</v>
      </c>
      <c r="G407" s="87">
        <v>0</v>
      </c>
      <c r="I407" s="87">
        <v>0</v>
      </c>
      <c r="K407" s="87">
        <v>0</v>
      </c>
      <c r="M407" s="87">
        <v>0</v>
      </c>
      <c r="O407" s="87">
        <v>0</v>
      </c>
      <c r="P407" s="88">
        <v>49953303.999999993</v>
      </c>
      <c r="Q407" s="87">
        <v>0</v>
      </c>
      <c r="R407" s="87">
        <f t="shared" si="150"/>
        <v>0</v>
      </c>
      <c r="T407" s="87">
        <v>0</v>
      </c>
      <c r="V407" s="87">
        <v>0</v>
      </c>
      <c r="X407" s="87">
        <v>5019</v>
      </c>
      <c r="Y407" s="88">
        <v>54027486.999999985</v>
      </c>
      <c r="Z407" s="103">
        <v>10000</v>
      </c>
      <c r="AA407" s="87">
        <v>0</v>
      </c>
      <c r="AB407" s="89">
        <f t="shared" si="151"/>
        <v>0</v>
      </c>
      <c r="AC407" s="89">
        <f t="shared" si="152"/>
        <v>0</v>
      </c>
      <c r="AD407" s="89">
        <f t="shared" si="153"/>
        <v>10000</v>
      </c>
      <c r="AF407" s="90" t="str">
        <f t="shared" si="154"/>
        <v/>
      </c>
      <c r="AH407" s="90" t="str">
        <f t="shared" si="155"/>
        <v/>
      </c>
      <c r="AI407" s="90">
        <f t="shared" si="156"/>
        <v>10000</v>
      </c>
      <c r="AJ407" s="90">
        <f t="shared" si="157"/>
        <v>2022</v>
      </c>
      <c r="AK407" s="90" t="str">
        <f t="shared" si="158"/>
        <v/>
      </c>
      <c r="AL407" s="91">
        <f>IF(AK407="Adjust",(_xlfn.XLOOKUP(A407,'Adj factor'!A:A,'Adj factor'!I:I,,0)*AI407),'Master DataSheet (Rev)'!AI407)</f>
        <v>10000</v>
      </c>
      <c r="AM407" s="91">
        <f t="shared" si="159"/>
        <v>10000</v>
      </c>
      <c r="AN407" s="92" t="str">
        <f t="shared" si="160"/>
        <v>Increasing</v>
      </c>
      <c r="AO407" s="93">
        <f>VLOOKUP(B407,'Growthrates source'!A$2:H$49,8,FALSE)</f>
        <v>7.1554687899516578E-2</v>
      </c>
      <c r="AP407" s="93">
        <f>VLOOKUP(B407,'Growthrates source'!A$2:I$49,9,FALSE)</f>
        <v>7.1815970063989321E-2</v>
      </c>
      <c r="AQ407" s="86">
        <f t="shared" si="161"/>
        <v>0</v>
      </c>
      <c r="AR407" s="86">
        <f t="shared" si="162"/>
        <v>0</v>
      </c>
      <c r="AS407" s="94">
        <f t="shared" si="163"/>
        <v>0</v>
      </c>
      <c r="AT407" s="94">
        <f t="shared" si="164"/>
        <v>0</v>
      </c>
      <c r="AU407" s="94">
        <f t="shared" si="148"/>
        <v>1.8509097045361378</v>
      </c>
      <c r="AV407" s="94">
        <f t="shared" si="149"/>
        <v>1.8509097045361378</v>
      </c>
      <c r="AW407" s="110"/>
    </row>
    <row r="408" spans="1:49" x14ac:dyDescent="0.3">
      <c r="A408" s="85" t="str">
        <f>_xlfn.XLOOKUP(B408,'Country codes &amp; Data sources'!G:G,'Country codes &amp; Data sources'!H:H,,0)</f>
        <v>Kenya</v>
      </c>
      <c r="B408" s="85" t="s">
        <v>175</v>
      </c>
      <c r="C408" s="86">
        <v>43725818.5</v>
      </c>
      <c r="D408" s="85" t="s">
        <v>206</v>
      </c>
      <c r="E408" s="87">
        <v>0</v>
      </c>
      <c r="F408" s="88">
        <v>44792368.000000007</v>
      </c>
      <c r="G408" s="87">
        <v>0</v>
      </c>
      <c r="I408" s="87">
        <v>0</v>
      </c>
      <c r="K408" s="87">
        <v>0</v>
      </c>
      <c r="M408" s="87">
        <v>0</v>
      </c>
      <c r="O408" s="87">
        <v>0</v>
      </c>
      <c r="P408" s="88">
        <v>49953303.999999993</v>
      </c>
      <c r="Q408" s="87">
        <v>0</v>
      </c>
      <c r="R408" s="87">
        <f t="shared" si="150"/>
        <v>0</v>
      </c>
      <c r="T408" s="87">
        <v>0</v>
      </c>
      <c r="V408" s="87">
        <v>0</v>
      </c>
      <c r="X408" s="87">
        <v>0</v>
      </c>
      <c r="Y408" s="88">
        <v>54027486.999999985</v>
      </c>
      <c r="Z408" s="87">
        <v>0</v>
      </c>
      <c r="AA408" s="87">
        <v>0</v>
      </c>
      <c r="AB408" s="89">
        <f t="shared" si="151"/>
        <v>0</v>
      </c>
      <c r="AC408" s="89">
        <f t="shared" si="152"/>
        <v>0</v>
      </c>
      <c r="AD408" s="89">
        <f t="shared" si="153"/>
        <v>0</v>
      </c>
      <c r="AF408" s="90" t="str">
        <f t="shared" si="154"/>
        <v/>
      </c>
      <c r="AH408" s="90" t="str">
        <f t="shared" si="155"/>
        <v/>
      </c>
      <c r="AI408" s="90">
        <f t="shared" si="156"/>
        <v>0</v>
      </c>
      <c r="AJ408" s="90" t="str">
        <f t="shared" si="157"/>
        <v/>
      </c>
      <c r="AK408" s="90" t="str">
        <f t="shared" si="158"/>
        <v/>
      </c>
      <c r="AL408" s="91"/>
      <c r="AM408" s="91">
        <f t="shared" si="159"/>
        <v>0</v>
      </c>
      <c r="AN408" s="92" t="str">
        <f t="shared" si="160"/>
        <v>No change</v>
      </c>
      <c r="AO408" s="93">
        <f>VLOOKUP(B408,'Growthrates source'!A$2:H$49,8,FALSE)</f>
        <v>7.1554687899516578E-2</v>
      </c>
      <c r="AP408" s="93">
        <f>VLOOKUP(B408,'Growthrates source'!A$2:I$49,9,FALSE)</f>
        <v>7.1815970063989321E-2</v>
      </c>
      <c r="AQ408" s="86">
        <f t="shared" si="161"/>
        <v>0</v>
      </c>
      <c r="AR408" s="86">
        <f t="shared" si="162"/>
        <v>0</v>
      </c>
      <c r="AS408" s="94">
        <f t="shared" si="163"/>
        <v>0</v>
      </c>
      <c r="AT408" s="94">
        <f t="shared" si="164"/>
        <v>0</v>
      </c>
      <c r="AU408" s="94">
        <f t="shared" si="148"/>
        <v>0</v>
      </c>
      <c r="AV408" s="94">
        <f t="shared" si="149"/>
        <v>0</v>
      </c>
      <c r="AW408" s="110"/>
    </row>
    <row r="409" spans="1:49" x14ac:dyDescent="0.3">
      <c r="A409" s="85" t="str">
        <f>_xlfn.XLOOKUP(B409,'Country codes &amp; Data sources'!G:G,'Country codes &amp; Data sources'!H:H,,0)</f>
        <v>Kenya</v>
      </c>
      <c r="B409" s="85" t="s">
        <v>175</v>
      </c>
      <c r="C409" s="86">
        <v>43725819.5</v>
      </c>
      <c r="D409" s="85" t="s">
        <v>136</v>
      </c>
      <c r="E409" s="87">
        <v>0</v>
      </c>
      <c r="F409" s="88">
        <v>44792368.000000007</v>
      </c>
      <c r="G409" s="87">
        <v>0</v>
      </c>
      <c r="I409" s="87">
        <v>0</v>
      </c>
      <c r="K409" s="87">
        <v>0</v>
      </c>
      <c r="M409" s="87">
        <v>0</v>
      </c>
      <c r="O409" s="87">
        <v>0</v>
      </c>
      <c r="P409" s="88">
        <v>49953303.999999993</v>
      </c>
      <c r="Q409" s="87">
        <v>430</v>
      </c>
      <c r="R409" s="87">
        <f t="shared" si="150"/>
        <v>430</v>
      </c>
      <c r="T409" s="87">
        <v>0</v>
      </c>
      <c r="V409" s="87">
        <v>0</v>
      </c>
      <c r="X409" s="87">
        <v>717</v>
      </c>
      <c r="Y409" s="88">
        <v>54027486.999999985</v>
      </c>
      <c r="Z409" s="87">
        <v>0</v>
      </c>
      <c r="AA409" s="87">
        <v>430</v>
      </c>
      <c r="AB409" s="89">
        <f t="shared" si="151"/>
        <v>0</v>
      </c>
      <c r="AC409" s="89">
        <f t="shared" si="152"/>
        <v>430</v>
      </c>
      <c r="AD409" s="89">
        <f t="shared" si="153"/>
        <v>717</v>
      </c>
      <c r="AF409" s="90" t="str">
        <f t="shared" si="154"/>
        <v/>
      </c>
      <c r="AG409" s="90">
        <f t="shared" si="165"/>
        <v>430</v>
      </c>
      <c r="AH409" s="90">
        <f t="shared" si="155"/>
        <v>2018</v>
      </c>
      <c r="AI409" s="90">
        <f t="shared" si="156"/>
        <v>717</v>
      </c>
      <c r="AJ409" s="90">
        <f t="shared" si="157"/>
        <v>2021</v>
      </c>
      <c r="AK409" s="90" t="str">
        <f t="shared" si="158"/>
        <v/>
      </c>
      <c r="AL409" s="91">
        <f>IF(AK409="Adjust",(_xlfn.XLOOKUP(A409,'Adj factor'!A:A,'Adj factor'!I:I,,0)*AI409),'Master DataSheet (Rev)'!AI409)</f>
        <v>717</v>
      </c>
      <c r="AM409" s="91">
        <f t="shared" si="159"/>
        <v>717</v>
      </c>
      <c r="AN409" s="92" t="str">
        <f t="shared" si="160"/>
        <v>Increasing</v>
      </c>
      <c r="AO409" s="93">
        <f>VLOOKUP(B409,'Growthrates source'!A$2:H$49,8,FALSE)</f>
        <v>7.1554687899516578E-2</v>
      </c>
      <c r="AP409" s="93">
        <f>VLOOKUP(B409,'Growthrates source'!A$2:I$49,9,FALSE)</f>
        <v>7.1815970063989321E-2</v>
      </c>
      <c r="AQ409" s="86">
        <f t="shared" si="161"/>
        <v>300.66953437752613</v>
      </c>
      <c r="AR409" s="86">
        <f t="shared" si="162"/>
        <v>533.37946829919315</v>
      </c>
      <c r="AS409" s="94">
        <f t="shared" si="163"/>
        <v>0</v>
      </c>
      <c r="AT409" s="94">
        <f t="shared" si="164"/>
        <v>8.6080392199883324E-2</v>
      </c>
      <c r="AU409" s="94">
        <f t="shared" si="148"/>
        <v>0.13271022581524108</v>
      </c>
      <c r="AV409" s="94">
        <f t="shared" si="149"/>
        <v>0.13271022581524108</v>
      </c>
      <c r="AW409" s="110"/>
    </row>
    <row r="410" spans="1:49" x14ac:dyDescent="0.3">
      <c r="A410" s="85" t="str">
        <f>_xlfn.XLOOKUP(B410,'Country codes &amp; Data sources'!G:G,'Country codes &amp; Data sources'!H:H,,0)</f>
        <v>Kenya</v>
      </c>
      <c r="B410" s="85" t="s">
        <v>175</v>
      </c>
      <c r="C410" s="86">
        <v>43725820.5</v>
      </c>
      <c r="D410" s="85" t="s">
        <v>207</v>
      </c>
      <c r="E410" s="87">
        <v>0</v>
      </c>
      <c r="F410" s="88">
        <v>44792368.000000007</v>
      </c>
      <c r="G410" s="87">
        <v>0</v>
      </c>
      <c r="I410" s="87">
        <v>0</v>
      </c>
      <c r="K410" s="87">
        <v>0</v>
      </c>
      <c r="M410" s="87">
        <v>0</v>
      </c>
      <c r="O410" s="87">
        <v>0</v>
      </c>
      <c r="P410" s="88">
        <v>49953303.999999993</v>
      </c>
      <c r="Q410" s="87">
        <v>714</v>
      </c>
      <c r="R410" s="87">
        <f t="shared" si="150"/>
        <v>2419</v>
      </c>
      <c r="T410" s="87">
        <v>0</v>
      </c>
      <c r="V410" s="87">
        <v>0</v>
      </c>
      <c r="X410" s="87">
        <v>0</v>
      </c>
      <c r="Y410" s="88">
        <v>54027486.999999985</v>
      </c>
      <c r="Z410" s="87">
        <v>0</v>
      </c>
      <c r="AA410" s="87">
        <v>2419</v>
      </c>
      <c r="AB410" s="89">
        <f t="shared" si="151"/>
        <v>0</v>
      </c>
      <c r="AC410" s="89">
        <f t="shared" si="152"/>
        <v>714</v>
      </c>
      <c r="AD410" s="89">
        <f t="shared" si="153"/>
        <v>0</v>
      </c>
      <c r="AF410" s="90" t="str">
        <f t="shared" si="154"/>
        <v/>
      </c>
      <c r="AG410" s="90">
        <f t="shared" si="165"/>
        <v>2419</v>
      </c>
      <c r="AH410" s="90" t="str">
        <f t="shared" si="155"/>
        <v>2018 (triag)</v>
      </c>
      <c r="AI410" s="90">
        <f t="shared" si="156"/>
        <v>2419</v>
      </c>
      <c r="AJ410" s="90" t="str">
        <f t="shared" si="157"/>
        <v>2018 (triag)</v>
      </c>
      <c r="AK410" s="90" t="str">
        <f t="shared" si="158"/>
        <v/>
      </c>
      <c r="AL410" s="91">
        <f>IF(AK410="Adjust",(_xlfn.XLOOKUP(A410,'Adj factor'!A:A,'Adj factor'!I:I,,0)*AI410),'Master DataSheet (Rev)'!AI410)</f>
        <v>2419</v>
      </c>
      <c r="AM410" s="91">
        <f t="shared" si="159"/>
        <v>2419</v>
      </c>
      <c r="AN410" s="92" t="str">
        <f t="shared" si="160"/>
        <v>No change</v>
      </c>
      <c r="AO410" s="93">
        <f>VLOOKUP(B410,'Growthrates source'!A$2:H$49,8,FALSE)</f>
        <v>7.1554687899516578E-2</v>
      </c>
      <c r="AP410" s="93">
        <f>VLOOKUP(B410,'Growthrates source'!A$2:I$49,9,FALSE)</f>
        <v>7.1815970063989321E-2</v>
      </c>
      <c r="AQ410" s="86">
        <f t="shared" si="161"/>
        <v>1691.4409387424089</v>
      </c>
      <c r="AR410" s="86">
        <f t="shared" si="162"/>
        <v>3000.5696135249959</v>
      </c>
      <c r="AS410" s="94">
        <f t="shared" si="163"/>
        <v>0</v>
      </c>
      <c r="AT410" s="94">
        <f t="shared" si="164"/>
        <v>0.48425225286399481</v>
      </c>
      <c r="AU410" s="94">
        <f t="shared" si="148"/>
        <v>0.44773505752729176</v>
      </c>
      <c r="AV410" s="94">
        <f t="shared" si="149"/>
        <v>0.44773505752729176</v>
      </c>
      <c r="AW410" s="110"/>
    </row>
    <row r="411" spans="1:49" x14ac:dyDescent="0.3">
      <c r="A411" s="85" t="str">
        <f>_xlfn.XLOOKUP(B411,'Country codes &amp; Data sources'!G:G,'Country codes &amp; Data sources'!H:H,,0)</f>
        <v>Kenya</v>
      </c>
      <c r="B411" s="85" t="s">
        <v>175</v>
      </c>
      <c r="C411" s="86">
        <v>43725821.5</v>
      </c>
      <c r="D411" s="85" t="s">
        <v>141</v>
      </c>
      <c r="E411" s="87">
        <v>0</v>
      </c>
      <c r="F411" s="88">
        <v>44792368.000000007</v>
      </c>
      <c r="G411" s="87">
        <v>0</v>
      </c>
      <c r="I411" s="87">
        <v>0</v>
      </c>
      <c r="K411" s="87">
        <v>0</v>
      </c>
      <c r="M411" s="87">
        <v>0</v>
      </c>
      <c r="O411" s="87">
        <v>0</v>
      </c>
      <c r="P411" s="88">
        <v>49953303.999999993</v>
      </c>
      <c r="Q411" s="87">
        <v>0</v>
      </c>
      <c r="R411" s="87">
        <f t="shared" si="150"/>
        <v>0</v>
      </c>
      <c r="T411" s="87">
        <v>0</v>
      </c>
      <c r="V411" s="87">
        <v>0</v>
      </c>
      <c r="X411" s="87">
        <v>0</v>
      </c>
      <c r="Y411" s="88">
        <v>54027486.999999985</v>
      </c>
      <c r="Z411" s="87">
        <v>0</v>
      </c>
      <c r="AA411" s="87">
        <v>0</v>
      </c>
      <c r="AB411" s="89">
        <f t="shared" si="151"/>
        <v>0</v>
      </c>
      <c r="AC411" s="89">
        <f t="shared" si="152"/>
        <v>0</v>
      </c>
      <c r="AD411" s="89">
        <f t="shared" si="153"/>
        <v>0</v>
      </c>
      <c r="AF411" s="90" t="str">
        <f t="shared" si="154"/>
        <v/>
      </c>
      <c r="AH411" s="90" t="str">
        <f t="shared" si="155"/>
        <v/>
      </c>
      <c r="AI411" s="90">
        <f t="shared" si="156"/>
        <v>0</v>
      </c>
      <c r="AJ411" s="90" t="str">
        <f t="shared" si="157"/>
        <v/>
      </c>
      <c r="AK411" s="90" t="str">
        <f t="shared" si="158"/>
        <v/>
      </c>
      <c r="AL411" s="91"/>
      <c r="AM411" s="91">
        <f t="shared" si="159"/>
        <v>0</v>
      </c>
      <c r="AN411" s="92" t="str">
        <f t="shared" si="160"/>
        <v>No change</v>
      </c>
      <c r="AO411" s="93">
        <f>VLOOKUP(B411,'Growthrates source'!A$2:H$49,8,FALSE)</f>
        <v>7.1554687899516578E-2</v>
      </c>
      <c r="AP411" s="93">
        <f>VLOOKUP(B411,'Growthrates source'!A$2:I$49,9,FALSE)</f>
        <v>7.1815970063989321E-2</v>
      </c>
      <c r="AQ411" s="86">
        <f t="shared" si="161"/>
        <v>0</v>
      </c>
      <c r="AR411" s="86">
        <f t="shared" si="162"/>
        <v>0</v>
      </c>
      <c r="AS411" s="94">
        <f t="shared" si="163"/>
        <v>0</v>
      </c>
      <c r="AT411" s="94">
        <f t="shared" si="164"/>
        <v>0</v>
      </c>
      <c r="AU411" s="94">
        <f t="shared" si="148"/>
        <v>0</v>
      </c>
      <c r="AV411" s="94">
        <f t="shared" si="149"/>
        <v>0</v>
      </c>
      <c r="AW411" s="110"/>
    </row>
    <row r="412" spans="1:49" x14ac:dyDescent="0.3">
      <c r="A412" s="85" t="str">
        <f>_xlfn.XLOOKUP(B412,'Country codes &amp; Data sources'!G:G,'Country codes &amp; Data sources'!H:H,,0)</f>
        <v>Kenya</v>
      </c>
      <c r="B412" s="85" t="s">
        <v>175</v>
      </c>
      <c r="C412" s="86">
        <v>43725822.5</v>
      </c>
      <c r="D412" s="85" t="s">
        <v>208</v>
      </c>
      <c r="E412" s="87">
        <v>0</v>
      </c>
      <c r="F412" s="88">
        <v>44792368.000000007</v>
      </c>
      <c r="G412" s="87">
        <v>0</v>
      </c>
      <c r="I412" s="87">
        <v>0</v>
      </c>
      <c r="K412" s="87">
        <v>0</v>
      </c>
      <c r="M412" s="87">
        <v>0</v>
      </c>
      <c r="O412" s="87">
        <v>0</v>
      </c>
      <c r="P412" s="88">
        <v>49953303.999999993</v>
      </c>
      <c r="Q412" s="87">
        <v>0</v>
      </c>
      <c r="R412" s="87">
        <f t="shared" si="150"/>
        <v>2759</v>
      </c>
      <c r="T412" s="87">
        <v>0</v>
      </c>
      <c r="V412" s="87">
        <v>0</v>
      </c>
      <c r="X412" s="87">
        <v>3295</v>
      </c>
      <c r="Y412" s="88">
        <v>54027486.999999985</v>
      </c>
      <c r="Z412" s="87">
        <v>0</v>
      </c>
      <c r="AA412" s="87">
        <v>2759</v>
      </c>
      <c r="AB412" s="89">
        <f t="shared" si="151"/>
        <v>0</v>
      </c>
      <c r="AC412" s="89">
        <f t="shared" si="152"/>
        <v>0</v>
      </c>
      <c r="AD412" s="89">
        <f t="shared" si="153"/>
        <v>3295</v>
      </c>
      <c r="AF412" s="90" t="str">
        <f t="shared" si="154"/>
        <v/>
      </c>
      <c r="AG412" s="90">
        <f t="shared" si="165"/>
        <v>2759</v>
      </c>
      <c r="AH412" s="90" t="str">
        <f t="shared" si="155"/>
        <v>2018 (triag)</v>
      </c>
      <c r="AI412" s="90">
        <f t="shared" si="156"/>
        <v>3295</v>
      </c>
      <c r="AJ412" s="90">
        <f t="shared" si="157"/>
        <v>2021</v>
      </c>
      <c r="AK412" s="90" t="str">
        <f t="shared" si="158"/>
        <v/>
      </c>
      <c r="AL412" s="91">
        <f>IF(AK412="Adjust",(_xlfn.XLOOKUP(A412,'Adj factor'!A:A,'Adj factor'!I:I,,0)*AI412),'Master DataSheet (Rev)'!AI412)</f>
        <v>3295</v>
      </c>
      <c r="AM412" s="91">
        <f t="shared" si="159"/>
        <v>3295</v>
      </c>
      <c r="AN412" s="92" t="str">
        <f t="shared" si="160"/>
        <v>Increasing</v>
      </c>
      <c r="AO412" s="93">
        <f>VLOOKUP(B412,'Growthrates source'!A$2:H$49,8,FALSE)</f>
        <v>7.1554687899516578E-2</v>
      </c>
      <c r="AP412" s="93">
        <f>VLOOKUP(B412,'Growthrates source'!A$2:I$49,9,FALSE)</f>
        <v>7.1815970063989321E-2</v>
      </c>
      <c r="AQ412" s="86">
        <f t="shared" si="161"/>
        <v>1929.1796403432434</v>
      </c>
      <c r="AR412" s="86">
        <f t="shared" si="162"/>
        <v>3422.3115186917998</v>
      </c>
      <c r="AS412" s="94">
        <f t="shared" si="163"/>
        <v>0</v>
      </c>
      <c r="AT412" s="94">
        <f t="shared" si="164"/>
        <v>0.55231581878948399</v>
      </c>
      <c r="AU412" s="94">
        <f t="shared" si="148"/>
        <v>0.60987474764465743</v>
      </c>
      <c r="AV412" s="94">
        <f t="shared" si="149"/>
        <v>0.60987474764465743</v>
      </c>
      <c r="AW412" s="110"/>
    </row>
    <row r="413" spans="1:49" x14ac:dyDescent="0.3">
      <c r="A413" s="85" t="str">
        <f>_xlfn.XLOOKUP(B413,'Country codes &amp; Data sources'!G:G,'Country codes &amp; Data sources'!H:H,,0)</f>
        <v>Kenya</v>
      </c>
      <c r="B413" s="85" t="s">
        <v>175</v>
      </c>
      <c r="C413" s="86">
        <v>43725823.5</v>
      </c>
      <c r="D413" s="85" t="s">
        <v>209</v>
      </c>
      <c r="E413" s="87">
        <v>0</v>
      </c>
      <c r="F413" s="88">
        <v>44792368.000000007</v>
      </c>
      <c r="G413" s="87">
        <v>0</v>
      </c>
      <c r="I413" s="87">
        <v>0</v>
      </c>
      <c r="K413" s="87">
        <v>0</v>
      </c>
      <c r="M413" s="87">
        <v>0</v>
      </c>
      <c r="O413" s="87">
        <v>0</v>
      </c>
      <c r="P413" s="88">
        <v>49953303.999999993</v>
      </c>
      <c r="Q413" s="87">
        <v>0</v>
      </c>
      <c r="R413" s="87">
        <f t="shared" si="150"/>
        <v>0</v>
      </c>
      <c r="T413" s="87">
        <v>0</v>
      </c>
      <c r="V413" s="87">
        <v>0</v>
      </c>
      <c r="X413" s="87">
        <v>11129</v>
      </c>
      <c r="Y413" s="88">
        <v>54027486.999999985</v>
      </c>
      <c r="Z413" s="87">
        <v>0</v>
      </c>
      <c r="AA413" s="87">
        <v>0</v>
      </c>
      <c r="AB413" s="89">
        <f t="shared" si="151"/>
        <v>0</v>
      </c>
      <c r="AC413" s="89">
        <f t="shared" si="152"/>
        <v>0</v>
      </c>
      <c r="AD413" s="89">
        <f t="shared" si="153"/>
        <v>11129</v>
      </c>
      <c r="AF413" s="90" t="str">
        <f t="shared" si="154"/>
        <v/>
      </c>
      <c r="AH413" s="90" t="str">
        <f t="shared" si="155"/>
        <v/>
      </c>
      <c r="AI413" s="90">
        <f t="shared" si="156"/>
        <v>11129</v>
      </c>
      <c r="AJ413" s="90">
        <f t="shared" si="157"/>
        <v>2021</v>
      </c>
      <c r="AK413" s="90" t="str">
        <f t="shared" si="158"/>
        <v/>
      </c>
      <c r="AL413" s="91">
        <f>IF(AK413="Adjust",(_xlfn.XLOOKUP(A413,'Adj factor'!A:A,'Adj factor'!I:I,,0)*AI413),'Master DataSheet (Rev)'!AI413)</f>
        <v>11129</v>
      </c>
      <c r="AM413" s="91">
        <f t="shared" si="159"/>
        <v>11129</v>
      </c>
      <c r="AN413" s="92" t="str">
        <f t="shared" si="160"/>
        <v>Increasing</v>
      </c>
      <c r="AO413" s="93">
        <f>VLOOKUP(B413,'Growthrates source'!A$2:H$49,8,FALSE)</f>
        <v>7.1554687899516578E-2</v>
      </c>
      <c r="AP413" s="93">
        <f>VLOOKUP(B413,'Growthrates source'!A$2:I$49,9,FALSE)</f>
        <v>7.1815970063989321E-2</v>
      </c>
      <c r="AQ413" s="86">
        <f t="shared" si="161"/>
        <v>0</v>
      </c>
      <c r="AR413" s="86">
        <f t="shared" si="162"/>
        <v>0</v>
      </c>
      <c r="AS413" s="94">
        <f t="shared" si="163"/>
        <v>0</v>
      </c>
      <c r="AT413" s="94">
        <f t="shared" si="164"/>
        <v>0</v>
      </c>
      <c r="AU413" s="94">
        <f t="shared" si="148"/>
        <v>2.059877410178268</v>
      </c>
      <c r="AV413" s="94">
        <f t="shared" si="149"/>
        <v>2.059877410178268</v>
      </c>
      <c r="AW413" s="110"/>
    </row>
    <row r="414" spans="1:49" x14ac:dyDescent="0.3">
      <c r="A414" s="85" t="str">
        <f>_xlfn.XLOOKUP(B414,'Country codes &amp; Data sources'!G:G,'Country codes &amp; Data sources'!H:H,,0)</f>
        <v>Kenya</v>
      </c>
      <c r="B414" s="85" t="s">
        <v>175</v>
      </c>
      <c r="C414" s="86">
        <v>43725824.5</v>
      </c>
      <c r="D414" s="85" t="s">
        <v>134</v>
      </c>
      <c r="E414" s="87">
        <v>0</v>
      </c>
      <c r="F414" s="88">
        <v>44792368.000000007</v>
      </c>
      <c r="G414" s="87">
        <v>0</v>
      </c>
      <c r="I414" s="87">
        <v>0</v>
      </c>
      <c r="K414" s="87">
        <v>0</v>
      </c>
      <c r="M414" s="87">
        <v>0</v>
      </c>
      <c r="O414" s="87">
        <v>0</v>
      </c>
      <c r="P414" s="88">
        <v>49953303.999999993</v>
      </c>
      <c r="Q414" s="87">
        <v>0</v>
      </c>
      <c r="R414" s="87">
        <f t="shared" si="150"/>
        <v>0</v>
      </c>
      <c r="T414" s="87">
        <v>0</v>
      </c>
      <c r="V414" s="87">
        <v>0</v>
      </c>
      <c r="X414" s="87">
        <v>0</v>
      </c>
      <c r="Y414" s="88">
        <v>54027486.999999985</v>
      </c>
      <c r="Z414" s="95">
        <v>1200</v>
      </c>
      <c r="AA414" s="87">
        <v>0</v>
      </c>
      <c r="AB414" s="89">
        <f t="shared" si="151"/>
        <v>0</v>
      </c>
      <c r="AC414" s="89">
        <f t="shared" si="152"/>
        <v>0</v>
      </c>
      <c r="AD414" s="89">
        <f t="shared" si="153"/>
        <v>1200</v>
      </c>
      <c r="AF414" s="90" t="str">
        <f t="shared" si="154"/>
        <v/>
      </c>
      <c r="AH414" s="90" t="str">
        <f t="shared" si="155"/>
        <v/>
      </c>
      <c r="AI414" s="90">
        <f t="shared" si="156"/>
        <v>1200</v>
      </c>
      <c r="AJ414" s="90">
        <f t="shared" si="157"/>
        <v>2022</v>
      </c>
      <c r="AK414" s="90" t="str">
        <f t="shared" si="158"/>
        <v/>
      </c>
      <c r="AL414" s="91">
        <f>IF(AK414="Adjust",(_xlfn.XLOOKUP(A414,'Adj factor'!A:A,'Adj factor'!I:I,,0)*AI414),'Master DataSheet (Rev)'!AI414)</f>
        <v>1200</v>
      </c>
      <c r="AM414" s="91">
        <f t="shared" si="159"/>
        <v>1200</v>
      </c>
      <c r="AN414" s="92" t="str">
        <f t="shared" si="160"/>
        <v>Increasing</v>
      </c>
      <c r="AO414" s="93">
        <f>VLOOKUP(B414,'Growthrates source'!A$2:H$49,8,FALSE)</f>
        <v>7.1554687899516578E-2</v>
      </c>
      <c r="AP414" s="93">
        <f>VLOOKUP(B414,'Growthrates source'!A$2:I$49,9,FALSE)</f>
        <v>7.1815970063989321E-2</v>
      </c>
      <c r="AQ414" s="86">
        <f t="shared" si="161"/>
        <v>0</v>
      </c>
      <c r="AR414" s="86">
        <f t="shared" si="162"/>
        <v>0</v>
      </c>
      <c r="AS414" s="94">
        <f t="shared" si="163"/>
        <v>0</v>
      </c>
      <c r="AT414" s="94">
        <f t="shared" si="164"/>
        <v>0</v>
      </c>
      <c r="AU414" s="94">
        <f t="shared" si="148"/>
        <v>0.22210916454433655</v>
      </c>
      <c r="AV414" s="94">
        <f t="shared" si="149"/>
        <v>0.22210916454433655</v>
      </c>
      <c r="AW414" s="110"/>
    </row>
    <row r="415" spans="1:49" x14ac:dyDescent="0.3">
      <c r="A415" s="85" t="str">
        <f>_xlfn.XLOOKUP(B415,'Country codes &amp; Data sources'!G:G,'Country codes &amp; Data sources'!H:H,,0)</f>
        <v>Kenya</v>
      </c>
      <c r="B415" s="85" t="s">
        <v>175</v>
      </c>
      <c r="C415" s="86">
        <v>43725825.5</v>
      </c>
      <c r="D415" s="85" t="s">
        <v>142</v>
      </c>
      <c r="E415" s="87">
        <v>0</v>
      </c>
      <c r="F415" s="88">
        <v>44792368.000000007</v>
      </c>
      <c r="G415" s="62">
        <v>13216</v>
      </c>
      <c r="I415" s="87">
        <v>0</v>
      </c>
      <c r="K415" s="87">
        <v>0</v>
      </c>
      <c r="M415" s="87">
        <v>0</v>
      </c>
      <c r="O415" s="87">
        <v>0</v>
      </c>
      <c r="P415" s="88">
        <v>49953303.999999993</v>
      </c>
      <c r="Q415" s="87">
        <v>21942</v>
      </c>
      <c r="R415" s="87">
        <f t="shared" si="150"/>
        <v>21942</v>
      </c>
      <c r="T415" s="87">
        <v>0</v>
      </c>
      <c r="V415" s="87">
        <v>0</v>
      </c>
      <c r="X415" s="87">
        <v>8087</v>
      </c>
      <c r="Y415" s="88">
        <v>54027486.999999985</v>
      </c>
      <c r="Z415" s="103">
        <v>25400</v>
      </c>
      <c r="AA415" s="87">
        <v>21942</v>
      </c>
      <c r="AB415" s="89">
        <f t="shared" si="151"/>
        <v>13216</v>
      </c>
      <c r="AC415" s="89">
        <f t="shared" si="152"/>
        <v>21942</v>
      </c>
      <c r="AD415" s="89">
        <f t="shared" si="153"/>
        <v>25400</v>
      </c>
      <c r="AE415" s="90">
        <f t="shared" ref="AE415:AE441" si="166">IF(G415&gt;0,G415,IF(E415&gt;0,E415,IF(I415&gt;0,I415,K415)))</f>
        <v>13216</v>
      </c>
      <c r="AF415" s="90">
        <v>2013</v>
      </c>
      <c r="AG415" s="90">
        <f t="shared" si="165"/>
        <v>21942</v>
      </c>
      <c r="AH415" s="90">
        <f t="shared" si="155"/>
        <v>2018</v>
      </c>
      <c r="AI415" s="90">
        <f t="shared" si="156"/>
        <v>25400</v>
      </c>
      <c r="AJ415" s="90">
        <f t="shared" si="157"/>
        <v>2022</v>
      </c>
      <c r="AK415" s="90" t="str">
        <f t="shared" si="158"/>
        <v/>
      </c>
      <c r="AL415" s="91">
        <f>IF(AK415="Adjust",(_xlfn.XLOOKUP(A415,'Adj factor'!A:A,'Adj factor'!I:I,,0)*AI415),'Master DataSheet (Rev)'!AI415)</f>
        <v>25400</v>
      </c>
      <c r="AM415" s="91">
        <f t="shared" si="159"/>
        <v>25400</v>
      </c>
      <c r="AN415" s="92" t="str">
        <f t="shared" si="160"/>
        <v>Increasing</v>
      </c>
      <c r="AO415" s="93">
        <f>VLOOKUP(B415,'Growthrates source'!A$2:H$49,8,FALSE)</f>
        <v>7.1554687899516578E-2</v>
      </c>
      <c r="AP415" s="93">
        <f>VLOOKUP(B415,'Growthrates source'!A$2:I$49,9,FALSE)</f>
        <v>7.1815970063989321E-2</v>
      </c>
      <c r="AQ415" s="86">
        <f t="shared" si="161"/>
        <v>15342.537030957394</v>
      </c>
      <c r="AR415" s="86">
        <f t="shared" si="162"/>
        <v>27217.237891676501</v>
      </c>
      <c r="AS415" s="94">
        <f t="shared" si="163"/>
        <v>2.9505026391996059</v>
      </c>
      <c r="AT415" s="94">
        <f t="shared" si="164"/>
        <v>4.392502245697302</v>
      </c>
      <c r="AU415" s="94">
        <f t="shared" si="148"/>
        <v>4.7013106495217905</v>
      </c>
      <c r="AV415" s="94">
        <f t="shared" si="149"/>
        <v>4.7013106495217905</v>
      </c>
      <c r="AW415" s="110"/>
    </row>
    <row r="416" spans="1:49" x14ac:dyDescent="0.3">
      <c r="A416" s="85" t="str">
        <f>_xlfn.XLOOKUP(B416,'Country codes &amp; Data sources'!G:G,'Country codes &amp; Data sources'!H:H,,0)</f>
        <v>Kenya</v>
      </c>
      <c r="B416" s="85" t="s">
        <v>175</v>
      </c>
      <c r="C416" s="86">
        <v>43725826.5</v>
      </c>
      <c r="D416" s="85" t="s">
        <v>83</v>
      </c>
      <c r="E416" s="87">
        <v>0</v>
      </c>
      <c r="F416" s="88">
        <v>44792368.000000007</v>
      </c>
      <c r="G416" s="87">
        <v>0</v>
      </c>
      <c r="I416" s="87">
        <v>0</v>
      </c>
      <c r="K416" s="87">
        <v>0</v>
      </c>
      <c r="M416" s="87">
        <v>0</v>
      </c>
      <c r="O416" s="87">
        <v>0</v>
      </c>
      <c r="P416" s="88">
        <v>49953303.999999993</v>
      </c>
      <c r="Q416" s="87">
        <v>0</v>
      </c>
      <c r="R416" s="87">
        <f t="shared" si="150"/>
        <v>0</v>
      </c>
      <c r="T416" s="87">
        <v>0</v>
      </c>
      <c r="V416" s="87">
        <v>0</v>
      </c>
      <c r="X416" s="87">
        <v>718</v>
      </c>
      <c r="Y416" s="88">
        <v>54027486.999999985</v>
      </c>
      <c r="Z416" s="87">
        <v>631</v>
      </c>
      <c r="AA416" s="87">
        <v>0</v>
      </c>
      <c r="AB416" s="89">
        <f t="shared" si="151"/>
        <v>0</v>
      </c>
      <c r="AC416" s="89">
        <f t="shared" si="152"/>
        <v>0</v>
      </c>
      <c r="AD416" s="89">
        <f t="shared" si="153"/>
        <v>718</v>
      </c>
      <c r="AF416" s="90" t="str">
        <f t="shared" si="154"/>
        <v/>
      </c>
      <c r="AH416" s="90" t="str">
        <f t="shared" si="155"/>
        <v/>
      </c>
      <c r="AI416" s="90">
        <f t="shared" si="156"/>
        <v>631</v>
      </c>
      <c r="AJ416" s="90">
        <f t="shared" si="157"/>
        <v>2022</v>
      </c>
      <c r="AK416" s="90" t="str">
        <f t="shared" si="158"/>
        <v/>
      </c>
      <c r="AL416" s="91">
        <f>IF(AK416="Adjust",(_xlfn.XLOOKUP(A416,'Adj factor'!A:A,'Adj factor'!I:I,,0)*AI416),'Master DataSheet (Rev)'!AI416)</f>
        <v>631</v>
      </c>
      <c r="AM416" s="91">
        <f t="shared" si="159"/>
        <v>631</v>
      </c>
      <c r="AN416" s="92" t="str">
        <f t="shared" si="160"/>
        <v>Increasing</v>
      </c>
      <c r="AO416" s="93">
        <f>VLOOKUP(B416,'Growthrates source'!A$2:H$49,8,FALSE)</f>
        <v>7.1554687899516578E-2</v>
      </c>
      <c r="AP416" s="93">
        <f>VLOOKUP(B416,'Growthrates source'!A$2:I$49,9,FALSE)</f>
        <v>7.1815970063989321E-2</v>
      </c>
      <c r="AQ416" s="86">
        <f t="shared" si="161"/>
        <v>0</v>
      </c>
      <c r="AR416" s="86">
        <f t="shared" si="162"/>
        <v>0</v>
      </c>
      <c r="AS416" s="94">
        <f t="shared" si="163"/>
        <v>0</v>
      </c>
      <c r="AT416" s="94">
        <f t="shared" si="164"/>
        <v>0</v>
      </c>
      <c r="AU416" s="94">
        <f t="shared" si="148"/>
        <v>0.1167924023562303</v>
      </c>
      <c r="AV416" s="94">
        <f t="shared" si="149"/>
        <v>0.1167924023562303</v>
      </c>
      <c r="AW416" s="110"/>
    </row>
    <row r="417" spans="1:49" x14ac:dyDescent="0.3">
      <c r="A417" s="85" t="str">
        <f>_xlfn.XLOOKUP(B417,'Country codes &amp; Data sources'!G:G,'Country codes &amp; Data sources'!H:H,,0)</f>
        <v>Kenya</v>
      </c>
      <c r="B417" s="85" t="s">
        <v>175</v>
      </c>
      <c r="C417" s="86">
        <v>43725827.5</v>
      </c>
      <c r="D417" s="85" t="s">
        <v>84</v>
      </c>
      <c r="E417" s="87">
        <v>0</v>
      </c>
      <c r="F417" s="88">
        <v>44792368.000000007</v>
      </c>
      <c r="G417" s="87">
        <v>0</v>
      </c>
      <c r="I417" s="87">
        <v>0</v>
      </c>
      <c r="K417" s="87">
        <v>0</v>
      </c>
      <c r="M417" s="87">
        <v>0</v>
      </c>
      <c r="O417" s="87">
        <v>0</v>
      </c>
      <c r="P417" s="88">
        <v>49953303.999999993</v>
      </c>
      <c r="Q417" s="87">
        <v>0</v>
      </c>
      <c r="R417" s="87">
        <f t="shared" si="150"/>
        <v>0</v>
      </c>
      <c r="T417" s="87">
        <v>0</v>
      </c>
      <c r="V417" s="87">
        <v>0</v>
      </c>
      <c r="X417" s="87">
        <v>749</v>
      </c>
      <c r="Y417" s="88">
        <v>54027486.999999985</v>
      </c>
      <c r="Z417" s="87">
        <v>642</v>
      </c>
      <c r="AA417" s="87">
        <v>0</v>
      </c>
      <c r="AB417" s="89">
        <f t="shared" si="151"/>
        <v>0</v>
      </c>
      <c r="AC417" s="89">
        <f t="shared" si="152"/>
        <v>0</v>
      </c>
      <c r="AD417" s="89">
        <f t="shared" si="153"/>
        <v>749</v>
      </c>
      <c r="AF417" s="90" t="str">
        <f t="shared" si="154"/>
        <v/>
      </c>
      <c r="AH417" s="90" t="str">
        <f t="shared" si="155"/>
        <v/>
      </c>
      <c r="AI417" s="90">
        <f>IF((IF(Z417&gt;0,Z417,IF(X417&gt;0,X417,IF(V417&gt;0,V417,T417))))=0,AG417,IF(Z417&gt;0,Z417,IF(X417&gt;0,X417,IF(V417&gt;0,V417,T417))))</f>
        <v>642</v>
      </c>
      <c r="AJ417" s="90">
        <f t="shared" si="157"/>
        <v>2022</v>
      </c>
      <c r="AK417" s="90" t="str">
        <f t="shared" si="158"/>
        <v/>
      </c>
      <c r="AL417" s="91">
        <f>IF(AK417="Adjust",(_xlfn.XLOOKUP(A417,'Adj factor'!A:A,'Adj factor'!I:I,,0)*AI417),'Master DataSheet (Rev)'!AI417)</f>
        <v>642</v>
      </c>
      <c r="AM417" s="91">
        <f t="shared" si="159"/>
        <v>642</v>
      </c>
      <c r="AN417" s="92" t="str">
        <f t="shared" si="160"/>
        <v>Increasing</v>
      </c>
      <c r="AO417" s="93">
        <f>VLOOKUP(B417,'Growthrates source'!A$2:H$49,8,FALSE)</f>
        <v>7.1554687899516578E-2</v>
      </c>
      <c r="AP417" s="93">
        <f>VLOOKUP(B417,'Growthrates source'!A$2:I$49,9,FALSE)</f>
        <v>7.1815970063989321E-2</v>
      </c>
      <c r="AQ417" s="86">
        <f t="shared" si="161"/>
        <v>0</v>
      </c>
      <c r="AR417" s="86">
        <f t="shared" si="162"/>
        <v>0</v>
      </c>
      <c r="AS417" s="94">
        <f t="shared" si="163"/>
        <v>0</v>
      </c>
      <c r="AT417" s="94">
        <f t="shared" si="164"/>
        <v>0</v>
      </c>
      <c r="AU417" s="94">
        <f t="shared" si="148"/>
        <v>0.11882840303122005</v>
      </c>
      <c r="AV417" s="94">
        <f t="shared" si="149"/>
        <v>0.11882840303122005</v>
      </c>
      <c r="AW417" s="110"/>
    </row>
    <row r="418" spans="1:49" x14ac:dyDescent="0.3">
      <c r="A418" s="85" t="str">
        <f>_xlfn.XLOOKUP(B418,'Country codes &amp; Data sources'!G:G,'Country codes &amp; Data sources'!H:H,,0)</f>
        <v>Kenya</v>
      </c>
      <c r="B418" s="85" t="s">
        <v>175</v>
      </c>
      <c r="C418" s="86">
        <v>43725828.5</v>
      </c>
      <c r="D418" s="85" t="s">
        <v>126</v>
      </c>
      <c r="E418" s="87">
        <v>0</v>
      </c>
      <c r="F418" s="88">
        <v>44792368.000000007</v>
      </c>
      <c r="G418" s="87">
        <v>0</v>
      </c>
      <c r="I418" s="87">
        <v>0</v>
      </c>
      <c r="K418" s="87">
        <v>0</v>
      </c>
      <c r="M418" s="87">
        <v>0</v>
      </c>
      <c r="O418" s="87">
        <v>0</v>
      </c>
      <c r="P418" s="88">
        <v>49953303.999999993</v>
      </c>
      <c r="Q418" s="87">
        <v>0</v>
      </c>
      <c r="R418" s="87">
        <f t="shared" si="150"/>
        <v>0</v>
      </c>
      <c r="T418" s="87">
        <v>0</v>
      </c>
      <c r="V418" s="87">
        <v>0</v>
      </c>
      <c r="X418" s="87">
        <v>0</v>
      </c>
      <c r="Y418" s="88">
        <v>54027486.999999985</v>
      </c>
      <c r="Z418" s="87">
        <v>0</v>
      </c>
      <c r="AA418" s="87">
        <v>0</v>
      </c>
      <c r="AB418" s="89">
        <f t="shared" si="151"/>
        <v>0</v>
      </c>
      <c r="AC418" s="89">
        <f t="shared" si="152"/>
        <v>0</v>
      </c>
      <c r="AD418" s="89">
        <f t="shared" si="153"/>
        <v>0</v>
      </c>
      <c r="AF418" s="90" t="str">
        <f t="shared" si="154"/>
        <v/>
      </c>
      <c r="AH418" s="90" t="str">
        <f t="shared" si="155"/>
        <v/>
      </c>
      <c r="AI418" s="90">
        <f t="shared" si="156"/>
        <v>0</v>
      </c>
      <c r="AJ418" s="90" t="str">
        <f t="shared" si="157"/>
        <v/>
      </c>
      <c r="AK418" s="90" t="str">
        <f t="shared" si="158"/>
        <v/>
      </c>
      <c r="AL418" s="91"/>
      <c r="AM418" s="91">
        <f t="shared" si="159"/>
        <v>0</v>
      </c>
      <c r="AN418" s="92" t="str">
        <f t="shared" si="160"/>
        <v>No change</v>
      </c>
      <c r="AO418" s="93">
        <f>VLOOKUP(B418,'Growthrates source'!A$2:H$49,8,FALSE)</f>
        <v>7.1554687899516578E-2</v>
      </c>
      <c r="AP418" s="93">
        <f>VLOOKUP(B418,'Growthrates source'!A$2:I$49,9,FALSE)</f>
        <v>7.1815970063989321E-2</v>
      </c>
      <c r="AQ418" s="86">
        <f t="shared" si="161"/>
        <v>0</v>
      </c>
      <c r="AR418" s="86">
        <f t="shared" si="162"/>
        <v>0</v>
      </c>
      <c r="AS418" s="94">
        <f t="shared" si="163"/>
        <v>0</v>
      </c>
      <c r="AT418" s="94">
        <f t="shared" si="164"/>
        <v>0</v>
      </c>
      <c r="AU418" s="94">
        <f t="shared" si="148"/>
        <v>0</v>
      </c>
      <c r="AV418" s="94">
        <f t="shared" si="149"/>
        <v>0</v>
      </c>
      <c r="AW418" s="110"/>
    </row>
    <row r="419" spans="1:49" x14ac:dyDescent="0.3">
      <c r="A419" s="85" t="str">
        <f>_xlfn.XLOOKUP(B419,'Country codes &amp; Data sources'!G:G,'Country codes &amp; Data sources'!H:H,,0)</f>
        <v>Kenya</v>
      </c>
      <c r="B419" s="85" t="s">
        <v>175</v>
      </c>
      <c r="C419" s="86">
        <v>43725829.5</v>
      </c>
      <c r="D419" s="85" t="s">
        <v>87</v>
      </c>
      <c r="E419" s="87">
        <v>0</v>
      </c>
      <c r="F419" s="88">
        <v>44792368.000000007</v>
      </c>
      <c r="G419" s="87">
        <v>0</v>
      </c>
      <c r="I419" s="87">
        <v>0</v>
      </c>
      <c r="K419" s="87">
        <v>0</v>
      </c>
      <c r="M419" s="87">
        <v>0</v>
      </c>
      <c r="O419" s="87">
        <v>0</v>
      </c>
      <c r="P419" s="88">
        <v>49953303.999999993</v>
      </c>
      <c r="Q419" s="87">
        <v>0</v>
      </c>
      <c r="R419" s="87">
        <f t="shared" si="150"/>
        <v>0</v>
      </c>
      <c r="T419" s="87">
        <v>0</v>
      </c>
      <c r="V419" s="87">
        <v>0</v>
      </c>
      <c r="X419" s="87">
        <v>0</v>
      </c>
      <c r="Y419" s="88">
        <v>54027486.999999985</v>
      </c>
      <c r="Z419" s="87">
        <v>0</v>
      </c>
      <c r="AA419" s="87">
        <v>0</v>
      </c>
      <c r="AB419" s="89">
        <f t="shared" si="151"/>
        <v>0</v>
      </c>
      <c r="AC419" s="89">
        <f t="shared" si="152"/>
        <v>0</v>
      </c>
      <c r="AD419" s="89">
        <f t="shared" si="153"/>
        <v>0</v>
      </c>
      <c r="AF419" s="90" t="str">
        <f t="shared" si="154"/>
        <v/>
      </c>
      <c r="AH419" s="90" t="str">
        <f t="shared" si="155"/>
        <v/>
      </c>
      <c r="AI419" s="90">
        <f t="shared" si="156"/>
        <v>0</v>
      </c>
      <c r="AJ419" s="90" t="str">
        <f t="shared" si="157"/>
        <v/>
      </c>
      <c r="AK419" s="90" t="str">
        <f t="shared" si="158"/>
        <v/>
      </c>
      <c r="AL419" s="91"/>
      <c r="AM419" s="91">
        <f t="shared" si="159"/>
        <v>0</v>
      </c>
      <c r="AN419" s="92" t="str">
        <f t="shared" si="160"/>
        <v>No change</v>
      </c>
      <c r="AO419" s="93">
        <f>VLOOKUP(B419,'Growthrates source'!A$2:H$49,8,FALSE)</f>
        <v>7.1554687899516578E-2</v>
      </c>
      <c r="AP419" s="93">
        <f>VLOOKUP(B419,'Growthrates source'!A$2:I$49,9,FALSE)</f>
        <v>7.1815970063989321E-2</v>
      </c>
      <c r="AQ419" s="86">
        <f t="shared" si="161"/>
        <v>0</v>
      </c>
      <c r="AR419" s="86">
        <f t="shared" si="162"/>
        <v>0</v>
      </c>
      <c r="AS419" s="94">
        <f t="shared" si="163"/>
        <v>0</v>
      </c>
      <c r="AT419" s="94">
        <f t="shared" si="164"/>
        <v>0</v>
      </c>
      <c r="AU419" s="94">
        <f t="shared" si="148"/>
        <v>0</v>
      </c>
      <c r="AV419" s="94">
        <f t="shared" si="149"/>
        <v>0</v>
      </c>
      <c r="AW419" s="110"/>
    </row>
    <row r="420" spans="1:49" x14ac:dyDescent="0.3">
      <c r="A420" s="85" t="str">
        <f>_xlfn.XLOOKUP(B420,'Country codes &amp; Data sources'!G:G,'Country codes &amp; Data sources'!H:H,,0)</f>
        <v>Liberia</v>
      </c>
      <c r="B420" s="85" t="s">
        <v>176</v>
      </c>
      <c r="C420" s="86">
        <v>4331745.5</v>
      </c>
      <c r="D420" s="85" t="s">
        <v>127</v>
      </c>
      <c r="E420" s="87">
        <v>0</v>
      </c>
      <c r="F420" s="88">
        <v>4427312.4999999991</v>
      </c>
      <c r="G420" s="87">
        <v>0</v>
      </c>
      <c r="I420" s="87">
        <v>0</v>
      </c>
      <c r="K420" s="87">
        <v>0</v>
      </c>
      <c r="M420" s="87">
        <v>0</v>
      </c>
      <c r="O420" s="87">
        <v>0</v>
      </c>
      <c r="P420" s="88">
        <v>4889391</v>
      </c>
      <c r="Q420" s="87">
        <v>3391</v>
      </c>
      <c r="R420" s="87">
        <f t="shared" si="150"/>
        <v>3391</v>
      </c>
      <c r="T420" s="87">
        <v>0</v>
      </c>
      <c r="V420" s="87">
        <v>12625</v>
      </c>
      <c r="X420" s="87">
        <v>0</v>
      </c>
      <c r="Y420" s="88">
        <v>5302681.0000000028</v>
      </c>
      <c r="Z420" s="87">
        <v>0</v>
      </c>
      <c r="AA420" s="87">
        <v>3391</v>
      </c>
      <c r="AB420" s="89">
        <f t="shared" si="151"/>
        <v>0</v>
      </c>
      <c r="AC420" s="89">
        <f t="shared" si="152"/>
        <v>3391</v>
      </c>
      <c r="AD420" s="89">
        <f t="shared" si="153"/>
        <v>12625</v>
      </c>
      <c r="AF420" s="90" t="str">
        <f t="shared" si="154"/>
        <v/>
      </c>
      <c r="AG420" s="90">
        <f t="shared" si="165"/>
        <v>3391</v>
      </c>
      <c r="AH420" s="90">
        <f t="shared" si="155"/>
        <v>2018</v>
      </c>
      <c r="AI420" s="90">
        <f t="shared" si="156"/>
        <v>12625</v>
      </c>
      <c r="AJ420" s="90">
        <f t="shared" si="157"/>
        <v>2020</v>
      </c>
      <c r="AK420" s="90" t="str">
        <f t="shared" si="158"/>
        <v/>
      </c>
      <c r="AL420" s="91">
        <f>IF(AK420="Adjust",(_xlfn.XLOOKUP(A420,'Adj factor'!A:A,'Adj factor'!I:I,,0)*AI420),'Master DataSheet (Rev)'!AI420)</f>
        <v>12625</v>
      </c>
      <c r="AM420" s="91">
        <f t="shared" si="159"/>
        <v>12625</v>
      </c>
      <c r="AN420" s="92" t="str">
        <f t="shared" si="160"/>
        <v>Increasing</v>
      </c>
      <c r="AO420" s="93">
        <f>VLOOKUP(B420,'Growthrates source'!A$2:H$49,8,FALSE)</f>
        <v>0.14269498586031326</v>
      </c>
      <c r="AP420" s="93">
        <f>VLOOKUP(B420,'Growthrates source'!A$2:I$49,9,FALSE)</f>
        <v>5.4673730437993617E-2</v>
      </c>
      <c r="AQ420" s="86">
        <f t="shared" si="161"/>
        <v>1661.3822454093627</v>
      </c>
      <c r="AR420" s="86">
        <f t="shared" si="162"/>
        <v>3995.4094095575947</v>
      </c>
      <c r="AS420" s="94">
        <f t="shared" si="163"/>
        <v>0</v>
      </c>
      <c r="AT420" s="94">
        <f t="shared" si="164"/>
        <v>6.9354240640603297</v>
      </c>
      <c r="AU420" s="94">
        <f t="shared" si="148"/>
        <v>23.808711102930751</v>
      </c>
      <c r="AV420" s="94">
        <f t="shared" si="149"/>
        <v>23.808711102930751</v>
      </c>
    </row>
    <row r="421" spans="1:49" x14ac:dyDescent="0.3">
      <c r="A421" s="85" t="str">
        <f>_xlfn.XLOOKUP(B421,'Country codes &amp; Data sources'!G:G,'Country codes &amp; Data sources'!H:H,,0)</f>
        <v>Liberia</v>
      </c>
      <c r="B421" s="85" t="s">
        <v>176</v>
      </c>
      <c r="C421" s="86">
        <v>4331746.5</v>
      </c>
      <c r="D421" s="85" t="s">
        <v>61</v>
      </c>
      <c r="E421" s="87">
        <v>0</v>
      </c>
      <c r="F421" s="88">
        <v>4427312.4999999991</v>
      </c>
      <c r="G421" s="87">
        <v>0</v>
      </c>
      <c r="I421" s="87">
        <v>0</v>
      </c>
      <c r="K421" s="87">
        <v>0</v>
      </c>
      <c r="M421" s="87">
        <v>8</v>
      </c>
      <c r="O421" s="87">
        <v>0</v>
      </c>
      <c r="P421" s="88">
        <v>4889391</v>
      </c>
      <c r="Q421" s="87">
        <v>0</v>
      </c>
      <c r="R421" s="87">
        <f t="shared" si="150"/>
        <v>0</v>
      </c>
      <c r="T421" s="87">
        <v>0</v>
      </c>
      <c r="V421" s="87">
        <v>0</v>
      </c>
      <c r="X421" s="87">
        <v>0</v>
      </c>
      <c r="Y421" s="88">
        <v>5302681.0000000028</v>
      </c>
      <c r="Z421" s="87">
        <v>0</v>
      </c>
      <c r="AA421" s="87">
        <v>0</v>
      </c>
      <c r="AB421" s="89">
        <f t="shared" si="151"/>
        <v>0</v>
      </c>
      <c r="AC421" s="89">
        <f t="shared" si="152"/>
        <v>8</v>
      </c>
      <c r="AD421" s="89">
        <f t="shared" si="153"/>
        <v>0</v>
      </c>
      <c r="AF421" s="90" t="str">
        <f t="shared" si="154"/>
        <v/>
      </c>
      <c r="AH421" s="90" t="str">
        <f t="shared" si="155"/>
        <v/>
      </c>
      <c r="AI421" s="90">
        <f t="shared" si="156"/>
        <v>0</v>
      </c>
      <c r="AJ421" s="90" t="str">
        <f t="shared" si="157"/>
        <v/>
      </c>
      <c r="AK421" s="90" t="str">
        <f t="shared" si="158"/>
        <v/>
      </c>
      <c r="AL421" s="91"/>
      <c r="AM421" s="91">
        <f t="shared" si="159"/>
        <v>0</v>
      </c>
      <c r="AN421" s="92" t="str">
        <f t="shared" si="160"/>
        <v>No change</v>
      </c>
      <c r="AO421" s="93">
        <f>VLOOKUP(B421,'Growthrates source'!A$2:H$49,8,FALSE)</f>
        <v>0.14269498586031326</v>
      </c>
      <c r="AP421" s="93">
        <f>VLOOKUP(B421,'Growthrates source'!A$2:I$49,9,FALSE)</f>
        <v>5.4673730437993617E-2</v>
      </c>
      <c r="AQ421" s="86">
        <f t="shared" si="161"/>
        <v>0</v>
      </c>
      <c r="AR421" s="86">
        <f t="shared" si="162"/>
        <v>0</v>
      </c>
      <c r="AS421" s="94">
        <f t="shared" si="163"/>
        <v>0</v>
      </c>
      <c r="AT421" s="94">
        <f t="shared" si="164"/>
        <v>0</v>
      </c>
      <c r="AU421" s="94">
        <f t="shared" si="148"/>
        <v>0</v>
      </c>
      <c r="AV421" s="94">
        <f t="shared" si="149"/>
        <v>0</v>
      </c>
    </row>
    <row r="422" spans="1:49" s="95" customFormat="1" x14ac:dyDescent="0.3">
      <c r="A422" s="95" t="str">
        <f>_xlfn.XLOOKUP(B422,'Country codes &amp; Data sources'!G:G,'Country codes &amp; Data sources'!H:H,,0)</f>
        <v>Liberia</v>
      </c>
      <c r="B422" s="95" t="s">
        <v>176</v>
      </c>
      <c r="C422" s="60">
        <v>4331747.5</v>
      </c>
      <c r="D422" s="95" t="s">
        <v>62</v>
      </c>
      <c r="E422" s="96">
        <v>0</v>
      </c>
      <c r="F422" s="97">
        <v>4427312.4999999991</v>
      </c>
      <c r="G422" s="96">
        <v>0</v>
      </c>
      <c r="H422" s="96"/>
      <c r="I422" s="96">
        <v>2036</v>
      </c>
      <c r="J422" s="96"/>
      <c r="K422" s="96">
        <v>0</v>
      </c>
      <c r="L422" s="96"/>
      <c r="M422" s="96">
        <v>344</v>
      </c>
      <c r="N422" s="96"/>
      <c r="O422" s="96">
        <v>0</v>
      </c>
      <c r="P422" s="97">
        <v>4889391</v>
      </c>
      <c r="Q422" s="96">
        <v>0</v>
      </c>
      <c r="R422" s="96">
        <f t="shared" si="150"/>
        <v>285</v>
      </c>
      <c r="S422" s="96"/>
      <c r="T422" s="96">
        <v>0</v>
      </c>
      <c r="U422" s="96"/>
      <c r="V422" s="96">
        <v>0</v>
      </c>
      <c r="W422" s="96"/>
      <c r="X422" s="96">
        <v>0</v>
      </c>
      <c r="Y422" s="97">
        <v>5302681.0000000028</v>
      </c>
      <c r="Z422" s="96">
        <v>0</v>
      </c>
      <c r="AA422" s="96">
        <v>285</v>
      </c>
      <c r="AB422" s="98">
        <f t="shared" si="151"/>
        <v>2036</v>
      </c>
      <c r="AC422" s="98">
        <f t="shared" si="152"/>
        <v>344</v>
      </c>
      <c r="AD422" s="98">
        <f t="shared" si="153"/>
        <v>0</v>
      </c>
      <c r="AE422" s="99">
        <f t="shared" si="166"/>
        <v>2036</v>
      </c>
      <c r="AF422" s="99">
        <f t="shared" si="154"/>
        <v>2014</v>
      </c>
      <c r="AG422" s="99">
        <f t="shared" si="165"/>
        <v>285</v>
      </c>
      <c r="AH422" s="99" t="str">
        <f t="shared" si="155"/>
        <v>2018 (triag)</v>
      </c>
      <c r="AI422" s="99">
        <f t="shared" si="156"/>
        <v>285</v>
      </c>
      <c r="AJ422" s="99" t="str">
        <f t="shared" si="157"/>
        <v>2018 (triag)</v>
      </c>
      <c r="AK422" s="99" t="str">
        <f t="shared" si="158"/>
        <v/>
      </c>
      <c r="AL422" s="61">
        <f>IF(AK422="Adjust",(_xlfn.XLOOKUP(A422,'Adj factor'!A:A,'Adj factor'!I:I,,0)*AI422),'Master DataSheet (Rev)'!AI422)</f>
        <v>285</v>
      </c>
      <c r="AM422" s="61">
        <f t="shared" si="159"/>
        <v>285</v>
      </c>
      <c r="AN422" s="62" t="str">
        <f t="shared" si="160"/>
        <v>No change</v>
      </c>
      <c r="AO422" s="100">
        <f>VLOOKUP(B422,'Growthrates source'!A$2:H$49,8,FALSE)</f>
        <v>0.14269498586031326</v>
      </c>
      <c r="AP422" s="100">
        <f>VLOOKUP(B422,'Growthrates source'!A$2:I$49,9,FALSE)</f>
        <v>5.4673730437993617E-2</v>
      </c>
      <c r="AQ422" s="60">
        <f t="shared" si="161"/>
        <v>139.63253905681756</v>
      </c>
      <c r="AR422" s="60">
        <f t="shared" si="162"/>
        <v>335.79819573102759</v>
      </c>
      <c r="AS422" s="101">
        <f t="shared" si="163"/>
        <v>4.5987266541496687</v>
      </c>
      <c r="AT422" s="102">
        <f t="shared" si="164"/>
        <v>0.58289467952143736</v>
      </c>
      <c r="AU422" s="94">
        <f t="shared" si="148"/>
        <v>0.53746397341269414</v>
      </c>
      <c r="AV422" s="94">
        <f t="shared" si="149"/>
        <v>0.53746397341269414</v>
      </c>
    </row>
    <row r="423" spans="1:49" x14ac:dyDescent="0.3">
      <c r="A423" s="85" t="str">
        <f>_xlfn.XLOOKUP(B423,'Country codes &amp; Data sources'!G:G,'Country codes &amp; Data sources'!H:H,,0)</f>
        <v>Liberia</v>
      </c>
      <c r="B423" s="85" t="s">
        <v>176</v>
      </c>
      <c r="C423" s="86">
        <v>4331748.5</v>
      </c>
      <c r="D423" s="85" t="s">
        <v>203</v>
      </c>
      <c r="E423" s="87">
        <v>0</v>
      </c>
      <c r="F423" s="88">
        <v>4427312.4999999991</v>
      </c>
      <c r="G423" s="87">
        <v>0</v>
      </c>
      <c r="I423" s="87">
        <v>0</v>
      </c>
      <c r="K423" s="87">
        <v>0</v>
      </c>
      <c r="M423" s="87">
        <v>0</v>
      </c>
      <c r="O423" s="87">
        <v>0</v>
      </c>
      <c r="P423" s="88">
        <v>4889391</v>
      </c>
      <c r="Q423" s="87">
        <v>0</v>
      </c>
      <c r="R423" s="87">
        <f t="shared" si="150"/>
        <v>148</v>
      </c>
      <c r="T423" s="87">
        <v>0</v>
      </c>
      <c r="V423" s="87">
        <v>0</v>
      </c>
      <c r="X423" s="87">
        <v>0</v>
      </c>
      <c r="Y423" s="88">
        <v>5302681.0000000028</v>
      </c>
      <c r="Z423" s="87">
        <v>0</v>
      </c>
      <c r="AA423" s="87">
        <v>148</v>
      </c>
      <c r="AB423" s="89">
        <f t="shared" si="151"/>
        <v>0</v>
      </c>
      <c r="AC423" s="89">
        <f t="shared" si="152"/>
        <v>0</v>
      </c>
      <c r="AD423" s="89">
        <f t="shared" si="153"/>
        <v>0</v>
      </c>
      <c r="AF423" s="90" t="str">
        <f t="shared" si="154"/>
        <v/>
      </c>
      <c r="AG423" s="90">
        <f t="shared" si="165"/>
        <v>148</v>
      </c>
      <c r="AH423" s="90" t="str">
        <f t="shared" si="155"/>
        <v>2018 (triag)</v>
      </c>
      <c r="AI423" s="90">
        <f t="shared" si="156"/>
        <v>148</v>
      </c>
      <c r="AJ423" s="90" t="str">
        <f t="shared" si="157"/>
        <v>2018 (triag)</v>
      </c>
      <c r="AK423" s="90" t="str">
        <f t="shared" si="158"/>
        <v/>
      </c>
      <c r="AL423" s="91">
        <f>IF(AK423="Adjust",(_xlfn.XLOOKUP(A423,'Adj factor'!A:A,'Adj factor'!I:I,,0)*AI423),'Master DataSheet (Rev)'!AI423)</f>
        <v>148</v>
      </c>
      <c r="AM423" s="91">
        <f t="shared" si="159"/>
        <v>148</v>
      </c>
      <c r="AN423" s="92" t="str">
        <f t="shared" si="160"/>
        <v>No change</v>
      </c>
      <c r="AO423" s="93">
        <f>VLOOKUP(B423,'Growthrates source'!A$2:H$49,8,FALSE)</f>
        <v>0.14269498586031326</v>
      </c>
      <c r="AP423" s="93">
        <f>VLOOKUP(B423,'Growthrates source'!A$2:I$49,9,FALSE)</f>
        <v>5.4673730437993617E-2</v>
      </c>
      <c r="AQ423" s="86">
        <f t="shared" si="161"/>
        <v>72.51093256283859</v>
      </c>
      <c r="AR423" s="86">
        <f t="shared" si="162"/>
        <v>174.379413923481</v>
      </c>
      <c r="AS423" s="94">
        <f t="shared" si="163"/>
        <v>0</v>
      </c>
      <c r="AT423" s="94">
        <f t="shared" si="164"/>
        <v>0.30269618445323765</v>
      </c>
      <c r="AU423" s="94">
        <f t="shared" si="148"/>
        <v>0.2791040984739605</v>
      </c>
      <c r="AV423" s="94">
        <f t="shared" si="149"/>
        <v>0.2791040984739605</v>
      </c>
    </row>
    <row r="424" spans="1:49" x14ac:dyDescent="0.3">
      <c r="A424" s="85" t="str">
        <f>_xlfn.XLOOKUP(B424,'Country codes &amp; Data sources'!G:G,'Country codes &amp; Data sources'!H:H,,0)</f>
        <v>Liberia</v>
      </c>
      <c r="B424" s="85" t="s">
        <v>176</v>
      </c>
      <c r="C424" s="86">
        <v>4331749.5</v>
      </c>
      <c r="D424" s="85" t="s">
        <v>204</v>
      </c>
      <c r="E424" s="87">
        <v>0</v>
      </c>
      <c r="F424" s="88">
        <v>4427312.4999999991</v>
      </c>
      <c r="G424" s="87">
        <v>0</v>
      </c>
      <c r="I424" s="87">
        <v>0</v>
      </c>
      <c r="K424" s="87">
        <v>0</v>
      </c>
      <c r="M424" s="87">
        <v>0</v>
      </c>
      <c r="O424" s="87">
        <v>0</v>
      </c>
      <c r="P424" s="88">
        <v>4889391</v>
      </c>
      <c r="Q424" s="87">
        <v>0</v>
      </c>
      <c r="R424" s="87">
        <f t="shared" si="150"/>
        <v>1404</v>
      </c>
      <c r="T424" s="87">
        <v>0</v>
      </c>
      <c r="V424" s="87">
        <v>0</v>
      </c>
      <c r="X424" s="87">
        <v>0</v>
      </c>
      <c r="Y424" s="88">
        <v>5302681.0000000028</v>
      </c>
      <c r="Z424" s="87">
        <v>0</v>
      </c>
      <c r="AA424" s="87">
        <v>1404</v>
      </c>
      <c r="AB424" s="89">
        <f t="shared" si="151"/>
        <v>0</v>
      </c>
      <c r="AC424" s="89">
        <f t="shared" si="152"/>
        <v>0</v>
      </c>
      <c r="AD424" s="89">
        <f t="shared" si="153"/>
        <v>0</v>
      </c>
      <c r="AF424" s="90" t="str">
        <f t="shared" si="154"/>
        <v/>
      </c>
      <c r="AG424" s="90">
        <f t="shared" si="165"/>
        <v>1404</v>
      </c>
      <c r="AH424" s="90" t="str">
        <f t="shared" si="155"/>
        <v>2018 (triag)</v>
      </c>
      <c r="AI424" s="90">
        <f t="shared" si="156"/>
        <v>1404</v>
      </c>
      <c r="AJ424" s="90" t="str">
        <f t="shared" si="157"/>
        <v>2018 (triag)</v>
      </c>
      <c r="AK424" s="90" t="str">
        <f t="shared" si="158"/>
        <v/>
      </c>
      <c r="AL424" s="91">
        <f>IF(AK424="Adjust",(_xlfn.XLOOKUP(A424,'Adj factor'!A:A,'Adj factor'!I:I,,0)*AI424),'Master DataSheet (Rev)'!AI424)</f>
        <v>1404</v>
      </c>
      <c r="AM424" s="91">
        <f t="shared" si="159"/>
        <v>1404</v>
      </c>
      <c r="AN424" s="92" t="str">
        <f t="shared" si="160"/>
        <v>No change</v>
      </c>
      <c r="AO424" s="93">
        <f>VLOOKUP(B424,'Growthrates source'!A$2:H$49,8,FALSE)</f>
        <v>0.14269498586031326</v>
      </c>
      <c r="AP424" s="93">
        <f>VLOOKUP(B424,'Growthrates source'!A$2:I$49,9,FALSE)</f>
        <v>5.4673730437993617E-2</v>
      </c>
      <c r="AQ424" s="86">
        <f t="shared" si="161"/>
        <v>687.87398187990129</v>
      </c>
      <c r="AR424" s="86">
        <f t="shared" si="162"/>
        <v>1654.2479537065358</v>
      </c>
      <c r="AS424" s="94">
        <f t="shared" si="163"/>
        <v>0</v>
      </c>
      <c r="AT424" s="94">
        <f t="shared" si="164"/>
        <v>2.8715232633266599</v>
      </c>
      <c r="AU424" s="94">
        <f t="shared" si="148"/>
        <v>2.6477172584962196</v>
      </c>
      <c r="AV424" s="94">
        <f t="shared" si="149"/>
        <v>2.6477172584962196</v>
      </c>
    </row>
    <row r="425" spans="1:49" x14ac:dyDescent="0.3">
      <c r="A425" s="85" t="str">
        <f>_xlfn.XLOOKUP(B425,'Country codes &amp; Data sources'!G:G,'Country codes &amp; Data sources'!H:H,,0)</f>
        <v>Liberia</v>
      </c>
      <c r="B425" s="85" t="s">
        <v>176</v>
      </c>
      <c r="C425" s="86">
        <v>4331750.5</v>
      </c>
      <c r="D425" s="85" t="s">
        <v>205</v>
      </c>
      <c r="E425" s="87">
        <v>0</v>
      </c>
      <c r="F425" s="88">
        <v>4427312.4999999991</v>
      </c>
      <c r="G425" s="87">
        <v>0</v>
      </c>
      <c r="I425" s="87">
        <v>0</v>
      </c>
      <c r="K425" s="87">
        <v>0</v>
      </c>
      <c r="M425" s="87">
        <v>0</v>
      </c>
      <c r="O425" s="87">
        <v>0</v>
      </c>
      <c r="P425" s="88">
        <v>4889391</v>
      </c>
      <c r="Q425" s="87">
        <v>0</v>
      </c>
      <c r="R425" s="87">
        <f t="shared" si="150"/>
        <v>0</v>
      </c>
      <c r="T425" s="87">
        <v>0</v>
      </c>
      <c r="V425" s="87">
        <v>0</v>
      </c>
      <c r="X425" s="87">
        <v>0</v>
      </c>
      <c r="Y425" s="88">
        <v>5302681.0000000028</v>
      </c>
      <c r="Z425" s="87">
        <v>0</v>
      </c>
      <c r="AA425" s="87">
        <v>0</v>
      </c>
      <c r="AB425" s="89">
        <f t="shared" si="151"/>
        <v>0</v>
      </c>
      <c r="AC425" s="89">
        <f t="shared" si="152"/>
        <v>0</v>
      </c>
      <c r="AD425" s="89">
        <f t="shared" si="153"/>
        <v>0</v>
      </c>
      <c r="AF425" s="90" t="str">
        <f t="shared" si="154"/>
        <v/>
      </c>
      <c r="AH425" s="90" t="str">
        <f t="shared" si="155"/>
        <v/>
      </c>
      <c r="AI425" s="90">
        <f t="shared" si="156"/>
        <v>0</v>
      </c>
      <c r="AJ425" s="90" t="str">
        <f t="shared" si="157"/>
        <v/>
      </c>
      <c r="AK425" s="90" t="str">
        <f t="shared" si="158"/>
        <v/>
      </c>
      <c r="AL425" s="91"/>
      <c r="AM425" s="91">
        <f t="shared" si="159"/>
        <v>0</v>
      </c>
      <c r="AN425" s="92" t="str">
        <f t="shared" si="160"/>
        <v>No change</v>
      </c>
      <c r="AO425" s="93">
        <f>VLOOKUP(B425,'Growthrates source'!A$2:H$49,8,FALSE)</f>
        <v>0.14269498586031326</v>
      </c>
      <c r="AP425" s="93">
        <f>VLOOKUP(B425,'Growthrates source'!A$2:I$49,9,FALSE)</f>
        <v>5.4673730437993617E-2</v>
      </c>
      <c r="AQ425" s="86">
        <f t="shared" si="161"/>
        <v>0</v>
      </c>
      <c r="AR425" s="86">
        <f t="shared" si="162"/>
        <v>0</v>
      </c>
      <c r="AS425" s="94">
        <f t="shared" si="163"/>
        <v>0</v>
      </c>
      <c r="AT425" s="94">
        <f t="shared" si="164"/>
        <v>0</v>
      </c>
      <c r="AU425" s="94">
        <f t="shared" si="148"/>
        <v>0</v>
      </c>
      <c r="AV425" s="94">
        <f t="shared" si="149"/>
        <v>0</v>
      </c>
    </row>
    <row r="426" spans="1:49" x14ac:dyDescent="0.3">
      <c r="A426" s="85" t="str">
        <f>_xlfn.XLOOKUP(B426,'Country codes &amp; Data sources'!G:G,'Country codes &amp; Data sources'!H:H,,0)</f>
        <v>Liberia</v>
      </c>
      <c r="B426" s="85" t="s">
        <v>176</v>
      </c>
      <c r="C426" s="86">
        <v>4331751.5</v>
      </c>
      <c r="D426" s="85" t="s">
        <v>133</v>
      </c>
      <c r="E426" s="87">
        <v>0</v>
      </c>
      <c r="F426" s="88">
        <v>4427312.4999999991</v>
      </c>
      <c r="G426" s="87">
        <v>0</v>
      </c>
      <c r="I426" s="87">
        <v>0</v>
      </c>
      <c r="K426" s="87">
        <v>0</v>
      </c>
      <c r="M426" s="87">
        <v>0</v>
      </c>
      <c r="O426" s="87">
        <v>0</v>
      </c>
      <c r="P426" s="88">
        <v>4889391</v>
      </c>
      <c r="Q426" s="87">
        <v>0</v>
      </c>
      <c r="R426" s="87">
        <f t="shared" si="150"/>
        <v>115</v>
      </c>
      <c r="T426" s="87">
        <v>0</v>
      </c>
      <c r="V426" s="87">
        <v>0</v>
      </c>
      <c r="X426" s="87">
        <v>0</v>
      </c>
      <c r="Y426" s="88">
        <v>5302681.0000000028</v>
      </c>
      <c r="Z426" s="87">
        <v>0</v>
      </c>
      <c r="AA426" s="87">
        <v>115</v>
      </c>
      <c r="AB426" s="89">
        <f t="shared" si="151"/>
        <v>0</v>
      </c>
      <c r="AC426" s="89">
        <f t="shared" si="152"/>
        <v>0</v>
      </c>
      <c r="AD426" s="89">
        <f t="shared" si="153"/>
        <v>0</v>
      </c>
      <c r="AF426" s="90" t="str">
        <f t="shared" si="154"/>
        <v/>
      </c>
      <c r="AG426" s="90">
        <f t="shared" si="165"/>
        <v>115</v>
      </c>
      <c r="AH426" s="90" t="str">
        <f t="shared" si="155"/>
        <v>2018 (triag)</v>
      </c>
      <c r="AI426" s="90">
        <f t="shared" si="156"/>
        <v>115</v>
      </c>
      <c r="AJ426" s="90" t="str">
        <f t="shared" si="157"/>
        <v>2018 (triag)</v>
      </c>
      <c r="AK426" s="90" t="str">
        <f t="shared" si="158"/>
        <v/>
      </c>
      <c r="AL426" s="91">
        <f>IF(AK426="Adjust",(_xlfn.XLOOKUP(A426,'Adj factor'!A:A,'Adj factor'!I:I,,0)*AI426),'Master DataSheet (Rev)'!AI426)</f>
        <v>115</v>
      </c>
      <c r="AM426" s="91">
        <f t="shared" si="159"/>
        <v>115</v>
      </c>
      <c r="AN426" s="92" t="str">
        <f t="shared" si="160"/>
        <v>No change</v>
      </c>
      <c r="AO426" s="93">
        <f>VLOOKUP(B426,'Growthrates source'!A$2:H$49,8,FALSE)</f>
        <v>0.14269498586031326</v>
      </c>
      <c r="AP426" s="93">
        <f>VLOOKUP(B426,'Growthrates source'!A$2:I$49,9,FALSE)</f>
        <v>5.4673730437993617E-2</v>
      </c>
      <c r="AQ426" s="86">
        <f t="shared" si="161"/>
        <v>56.342954356259717</v>
      </c>
      <c r="AR426" s="86">
        <f t="shared" si="162"/>
        <v>135.49751757567779</v>
      </c>
      <c r="AS426" s="94">
        <f t="shared" si="163"/>
        <v>0</v>
      </c>
      <c r="AT426" s="94">
        <f t="shared" si="164"/>
        <v>0.23520311629812385</v>
      </c>
      <c r="AU426" s="94">
        <f t="shared" si="148"/>
        <v>0.21687142786828009</v>
      </c>
      <c r="AV426" s="94">
        <f t="shared" si="149"/>
        <v>0.21687142786828009</v>
      </c>
    </row>
    <row r="427" spans="1:49" x14ac:dyDescent="0.3">
      <c r="A427" s="85" t="str">
        <f>_xlfn.XLOOKUP(B427,'Country codes &amp; Data sources'!G:G,'Country codes &amp; Data sources'!H:H,,0)</f>
        <v>Liberia</v>
      </c>
      <c r="B427" s="85" t="s">
        <v>176</v>
      </c>
      <c r="C427" s="86">
        <v>4331752.5</v>
      </c>
      <c r="D427" s="85" t="s">
        <v>206</v>
      </c>
      <c r="E427" s="87">
        <v>0</v>
      </c>
      <c r="F427" s="88">
        <v>4427312.4999999991</v>
      </c>
      <c r="G427" s="87">
        <v>0</v>
      </c>
      <c r="I427" s="87">
        <v>0</v>
      </c>
      <c r="K427" s="87">
        <v>0</v>
      </c>
      <c r="M427" s="87">
        <v>0</v>
      </c>
      <c r="O427" s="87">
        <v>0</v>
      </c>
      <c r="P427" s="88">
        <v>4889391</v>
      </c>
      <c r="Q427" s="87">
        <v>0</v>
      </c>
      <c r="R427" s="87">
        <f t="shared" si="150"/>
        <v>527</v>
      </c>
      <c r="T427" s="87">
        <v>0</v>
      </c>
      <c r="V427" s="87">
        <v>0</v>
      </c>
      <c r="X427" s="87">
        <v>0</v>
      </c>
      <c r="Y427" s="88">
        <v>5302681.0000000028</v>
      </c>
      <c r="Z427" s="87">
        <v>0</v>
      </c>
      <c r="AA427" s="87">
        <v>527</v>
      </c>
      <c r="AB427" s="89">
        <f t="shared" si="151"/>
        <v>0</v>
      </c>
      <c r="AC427" s="89">
        <f t="shared" si="152"/>
        <v>0</v>
      </c>
      <c r="AD427" s="89">
        <f t="shared" si="153"/>
        <v>0</v>
      </c>
      <c r="AF427" s="90" t="str">
        <f t="shared" si="154"/>
        <v/>
      </c>
      <c r="AG427" s="90">
        <f t="shared" si="165"/>
        <v>527</v>
      </c>
      <c r="AH427" s="90" t="str">
        <f t="shared" si="155"/>
        <v>2018 (triag)</v>
      </c>
      <c r="AI427" s="90">
        <f t="shared" si="156"/>
        <v>527</v>
      </c>
      <c r="AJ427" s="90" t="str">
        <f t="shared" si="157"/>
        <v>2018 (triag)</v>
      </c>
      <c r="AK427" s="90" t="str">
        <f t="shared" si="158"/>
        <v/>
      </c>
      <c r="AL427" s="91">
        <f>IF(AK427="Adjust",(_xlfn.XLOOKUP(A427,'Adj factor'!A:A,'Adj factor'!I:I,,0)*AI427),'Master DataSheet (Rev)'!AI427)</f>
        <v>527</v>
      </c>
      <c r="AM427" s="91">
        <f t="shared" si="159"/>
        <v>527</v>
      </c>
      <c r="AN427" s="92" t="str">
        <f t="shared" si="160"/>
        <v>No change</v>
      </c>
      <c r="AO427" s="93">
        <f>VLOOKUP(B427,'Growthrates source'!A$2:H$49,8,FALSE)</f>
        <v>0.14269498586031326</v>
      </c>
      <c r="AP427" s="93">
        <f>VLOOKUP(B427,'Growthrates source'!A$2:I$49,9,FALSE)</f>
        <v>5.4673730437993617E-2</v>
      </c>
      <c r="AQ427" s="86">
        <f t="shared" si="161"/>
        <v>258.19771257172931</v>
      </c>
      <c r="AR427" s="86">
        <f t="shared" si="162"/>
        <v>620.93210228158432</v>
      </c>
      <c r="AS427" s="94">
        <f t="shared" si="163"/>
        <v>0</v>
      </c>
      <c r="AT427" s="94">
        <f t="shared" si="164"/>
        <v>1.0778438459922719</v>
      </c>
      <c r="AU427" s="94">
        <f t="shared" si="148"/>
        <v>0.99383689118768359</v>
      </c>
      <c r="AV427" s="94">
        <f t="shared" si="149"/>
        <v>0.99383689118768359</v>
      </c>
    </row>
    <row r="428" spans="1:49" x14ac:dyDescent="0.3">
      <c r="A428" s="85" t="str">
        <f>_xlfn.XLOOKUP(B428,'Country codes &amp; Data sources'!G:G,'Country codes &amp; Data sources'!H:H,,0)</f>
        <v>Liberia</v>
      </c>
      <c r="B428" s="85" t="s">
        <v>176</v>
      </c>
      <c r="C428" s="86">
        <v>4331753.5</v>
      </c>
      <c r="D428" s="85" t="s">
        <v>136</v>
      </c>
      <c r="E428" s="87">
        <v>0</v>
      </c>
      <c r="F428" s="88">
        <v>4427312.4999999991</v>
      </c>
      <c r="G428" s="87">
        <v>0</v>
      </c>
      <c r="I428" s="87">
        <v>0</v>
      </c>
      <c r="K428" s="87">
        <v>0</v>
      </c>
      <c r="M428" s="87">
        <v>0</v>
      </c>
      <c r="O428" s="87">
        <v>0</v>
      </c>
      <c r="P428" s="88">
        <v>4889391</v>
      </c>
      <c r="Q428" s="87">
        <v>0</v>
      </c>
      <c r="R428" s="87">
        <f t="shared" si="150"/>
        <v>9</v>
      </c>
      <c r="T428" s="87">
        <v>0</v>
      </c>
      <c r="V428" s="87">
        <v>0</v>
      </c>
      <c r="X428" s="87">
        <v>0</v>
      </c>
      <c r="Y428" s="88">
        <v>5302681.0000000028</v>
      </c>
      <c r="Z428" s="87">
        <v>0</v>
      </c>
      <c r="AA428" s="87">
        <v>9</v>
      </c>
      <c r="AB428" s="89">
        <f t="shared" si="151"/>
        <v>0</v>
      </c>
      <c r="AC428" s="89">
        <f t="shared" si="152"/>
        <v>0</v>
      </c>
      <c r="AD428" s="89">
        <f t="shared" si="153"/>
        <v>0</v>
      </c>
      <c r="AF428" s="90" t="str">
        <f t="shared" si="154"/>
        <v/>
      </c>
      <c r="AG428" s="90">
        <f t="shared" si="165"/>
        <v>9</v>
      </c>
      <c r="AH428" s="90" t="str">
        <f t="shared" si="155"/>
        <v>2018 (triag)</v>
      </c>
      <c r="AI428" s="90">
        <f t="shared" si="156"/>
        <v>9</v>
      </c>
      <c r="AJ428" s="90" t="str">
        <f t="shared" si="157"/>
        <v>2018 (triag)</v>
      </c>
      <c r="AK428" s="90" t="str">
        <f t="shared" si="158"/>
        <v/>
      </c>
      <c r="AL428" s="91">
        <f>IF(AK428="Adjust",(_xlfn.XLOOKUP(A428,'Adj factor'!A:A,'Adj factor'!I:I,,0)*AI428),'Master DataSheet (Rev)'!AI428)</f>
        <v>9</v>
      </c>
      <c r="AM428" s="91">
        <f t="shared" si="159"/>
        <v>9</v>
      </c>
      <c r="AN428" s="92" t="str">
        <f t="shared" si="160"/>
        <v>No change</v>
      </c>
      <c r="AO428" s="93">
        <f>VLOOKUP(B428,'Growthrates source'!A$2:H$49,8,FALSE)</f>
        <v>0.14269498586031326</v>
      </c>
      <c r="AP428" s="93">
        <f>VLOOKUP(B428,'Growthrates source'!A$2:I$49,9,FALSE)</f>
        <v>5.4673730437993617E-2</v>
      </c>
      <c r="AQ428" s="86">
        <f t="shared" si="161"/>
        <v>4.4094486017942387</v>
      </c>
      <c r="AR428" s="86">
        <f t="shared" si="162"/>
        <v>10.60415354940087</v>
      </c>
      <c r="AS428" s="94">
        <f t="shared" si="163"/>
        <v>0</v>
      </c>
      <c r="AT428" s="94">
        <f t="shared" si="164"/>
        <v>1.8407200405940127E-2</v>
      </c>
      <c r="AU428" s="94">
        <f t="shared" si="148"/>
        <v>1.6972546528821922E-2</v>
      </c>
      <c r="AV428" s="94">
        <f t="shared" si="149"/>
        <v>1.6972546528821922E-2</v>
      </c>
    </row>
    <row r="429" spans="1:49" x14ac:dyDescent="0.3">
      <c r="A429" s="85" t="str">
        <f>_xlfn.XLOOKUP(B429,'Country codes &amp; Data sources'!G:G,'Country codes &amp; Data sources'!H:H,,0)</f>
        <v>Liberia</v>
      </c>
      <c r="B429" s="85" t="s">
        <v>176</v>
      </c>
      <c r="C429" s="86">
        <v>4331754.5</v>
      </c>
      <c r="D429" s="85" t="s">
        <v>207</v>
      </c>
      <c r="E429" s="87">
        <v>0</v>
      </c>
      <c r="F429" s="88">
        <v>4427312.4999999991</v>
      </c>
      <c r="G429" s="87">
        <v>0</v>
      </c>
      <c r="I429" s="87">
        <v>0</v>
      </c>
      <c r="K429" s="87">
        <v>0</v>
      </c>
      <c r="M429" s="87">
        <v>0</v>
      </c>
      <c r="O429" s="87">
        <v>0</v>
      </c>
      <c r="P429" s="88">
        <v>4889391</v>
      </c>
      <c r="Q429" s="87">
        <v>0</v>
      </c>
      <c r="R429" s="87">
        <f t="shared" si="150"/>
        <v>65</v>
      </c>
      <c r="T429" s="87">
        <v>0</v>
      </c>
      <c r="V429" s="87">
        <v>0</v>
      </c>
      <c r="X429" s="87">
        <v>0</v>
      </c>
      <c r="Y429" s="88">
        <v>5302681.0000000028</v>
      </c>
      <c r="Z429" s="87">
        <v>0</v>
      </c>
      <c r="AA429" s="87">
        <v>65</v>
      </c>
      <c r="AB429" s="89">
        <f t="shared" si="151"/>
        <v>0</v>
      </c>
      <c r="AC429" s="89">
        <f t="shared" si="152"/>
        <v>0</v>
      </c>
      <c r="AD429" s="89">
        <f t="shared" si="153"/>
        <v>0</v>
      </c>
      <c r="AF429" s="90" t="str">
        <f t="shared" si="154"/>
        <v/>
      </c>
      <c r="AG429" s="90">
        <f t="shared" si="165"/>
        <v>65</v>
      </c>
      <c r="AH429" s="90" t="str">
        <f t="shared" si="155"/>
        <v>2018 (triag)</v>
      </c>
      <c r="AI429" s="90">
        <f t="shared" si="156"/>
        <v>65</v>
      </c>
      <c r="AJ429" s="90" t="str">
        <f t="shared" si="157"/>
        <v>2018 (triag)</v>
      </c>
      <c r="AK429" s="90" t="str">
        <f t="shared" si="158"/>
        <v/>
      </c>
      <c r="AL429" s="91">
        <f>IF(AK429="Adjust",(_xlfn.XLOOKUP(A429,'Adj factor'!A:A,'Adj factor'!I:I,,0)*AI429),'Master DataSheet (Rev)'!AI429)</f>
        <v>65</v>
      </c>
      <c r="AM429" s="91">
        <f t="shared" si="159"/>
        <v>65</v>
      </c>
      <c r="AN429" s="92" t="str">
        <f t="shared" si="160"/>
        <v>No change</v>
      </c>
      <c r="AO429" s="93">
        <f>VLOOKUP(B429,'Growthrates source'!A$2:H$49,8,FALSE)</f>
        <v>0.14269498586031326</v>
      </c>
      <c r="AP429" s="93">
        <f>VLOOKUP(B429,'Growthrates source'!A$2:I$49,9,FALSE)</f>
        <v>5.4673730437993617E-2</v>
      </c>
      <c r="AQ429" s="86">
        <f t="shared" si="161"/>
        <v>31.84601767962506</v>
      </c>
      <c r="AR429" s="86">
        <f t="shared" si="162"/>
        <v>76.585553412339621</v>
      </c>
      <c r="AS429" s="94">
        <f t="shared" si="163"/>
        <v>0</v>
      </c>
      <c r="AT429" s="94">
        <f t="shared" si="164"/>
        <v>0.1329408918206787</v>
      </c>
      <c r="AU429" s="94">
        <f t="shared" si="148"/>
        <v>0.12257950270815832</v>
      </c>
      <c r="AV429" s="94">
        <f t="shared" si="149"/>
        <v>0.12257950270815832</v>
      </c>
    </row>
    <row r="430" spans="1:49" x14ac:dyDescent="0.3">
      <c r="A430" s="85" t="str">
        <f>_xlfn.XLOOKUP(B430,'Country codes &amp; Data sources'!G:G,'Country codes &amp; Data sources'!H:H,,0)</f>
        <v>Liberia</v>
      </c>
      <c r="B430" s="85" t="s">
        <v>176</v>
      </c>
      <c r="C430" s="86">
        <v>4331755.5</v>
      </c>
      <c r="D430" s="85" t="s">
        <v>141</v>
      </c>
      <c r="E430" s="87">
        <v>0</v>
      </c>
      <c r="F430" s="88">
        <v>4427312.4999999991</v>
      </c>
      <c r="G430" s="87">
        <v>0</v>
      </c>
      <c r="I430" s="87">
        <v>0</v>
      </c>
      <c r="K430" s="87">
        <v>0</v>
      </c>
      <c r="M430" s="87">
        <v>0</v>
      </c>
      <c r="O430" s="87">
        <v>0</v>
      </c>
      <c r="P430" s="88">
        <v>4889391</v>
      </c>
      <c r="Q430" s="87">
        <v>0</v>
      </c>
      <c r="R430" s="87">
        <f t="shared" si="150"/>
        <v>5</v>
      </c>
      <c r="T430" s="87">
        <v>0</v>
      </c>
      <c r="V430" s="87">
        <v>0</v>
      </c>
      <c r="X430" s="87">
        <v>0</v>
      </c>
      <c r="Y430" s="88">
        <v>5302681.0000000028</v>
      </c>
      <c r="Z430" s="87">
        <v>0</v>
      </c>
      <c r="AA430" s="87">
        <v>5</v>
      </c>
      <c r="AB430" s="89">
        <f t="shared" si="151"/>
        <v>0</v>
      </c>
      <c r="AC430" s="89">
        <f t="shared" si="152"/>
        <v>0</v>
      </c>
      <c r="AD430" s="89">
        <f t="shared" si="153"/>
        <v>0</v>
      </c>
      <c r="AF430" s="90" t="str">
        <f t="shared" si="154"/>
        <v/>
      </c>
      <c r="AG430" s="90">
        <f t="shared" si="165"/>
        <v>5</v>
      </c>
      <c r="AH430" s="90" t="str">
        <f t="shared" si="155"/>
        <v>2018 (triag)</v>
      </c>
      <c r="AI430" s="90">
        <f t="shared" si="156"/>
        <v>5</v>
      </c>
      <c r="AJ430" s="90" t="str">
        <f t="shared" si="157"/>
        <v>2018 (triag)</v>
      </c>
      <c r="AK430" s="90" t="str">
        <f t="shared" si="158"/>
        <v/>
      </c>
      <c r="AL430" s="91">
        <f>IF(AK430="Adjust",(_xlfn.XLOOKUP(A430,'Adj factor'!A:A,'Adj factor'!I:I,,0)*AI430),'Master DataSheet (Rev)'!AI430)</f>
        <v>5</v>
      </c>
      <c r="AM430" s="91">
        <f t="shared" si="159"/>
        <v>5</v>
      </c>
      <c r="AN430" s="92" t="str">
        <f t="shared" si="160"/>
        <v>No change</v>
      </c>
      <c r="AO430" s="93">
        <f>VLOOKUP(B430,'Growthrates source'!A$2:H$49,8,FALSE)</f>
        <v>0.14269498586031326</v>
      </c>
      <c r="AP430" s="93">
        <f>VLOOKUP(B430,'Growthrates source'!A$2:I$49,9,FALSE)</f>
        <v>5.4673730437993617E-2</v>
      </c>
      <c r="AQ430" s="86">
        <f t="shared" si="161"/>
        <v>2.4496936676634662</v>
      </c>
      <c r="AR430" s="86">
        <f t="shared" si="162"/>
        <v>5.8911964163338171</v>
      </c>
      <c r="AS430" s="94">
        <f t="shared" si="163"/>
        <v>0</v>
      </c>
      <c r="AT430" s="94">
        <f t="shared" si="164"/>
        <v>1.0226222447744515E-2</v>
      </c>
      <c r="AU430" s="94">
        <f t="shared" si="148"/>
        <v>9.4291925160121786E-3</v>
      </c>
      <c r="AV430" s="94">
        <f t="shared" si="149"/>
        <v>9.4291925160121786E-3</v>
      </c>
    </row>
    <row r="431" spans="1:49" x14ac:dyDescent="0.3">
      <c r="A431" s="85" t="str">
        <f>_xlfn.XLOOKUP(B431,'Country codes &amp; Data sources'!G:G,'Country codes &amp; Data sources'!H:H,,0)</f>
        <v>Liberia</v>
      </c>
      <c r="B431" s="85" t="s">
        <v>176</v>
      </c>
      <c r="C431" s="86">
        <v>4331756.5</v>
      </c>
      <c r="D431" s="85" t="s">
        <v>208</v>
      </c>
      <c r="E431" s="87">
        <v>0</v>
      </c>
      <c r="F431" s="88">
        <v>4427312.4999999991</v>
      </c>
      <c r="G431" s="87">
        <v>0</v>
      </c>
      <c r="I431" s="87">
        <v>0</v>
      </c>
      <c r="K431" s="87">
        <v>0</v>
      </c>
      <c r="M431" s="87">
        <v>0</v>
      </c>
      <c r="O431" s="87">
        <v>0</v>
      </c>
      <c r="P431" s="88">
        <v>4889391</v>
      </c>
      <c r="Q431" s="87">
        <v>0</v>
      </c>
      <c r="R431" s="87">
        <f t="shared" si="150"/>
        <v>4311</v>
      </c>
      <c r="T431" s="87">
        <v>0</v>
      </c>
      <c r="V431" s="87">
        <v>0</v>
      </c>
      <c r="X431" s="87">
        <v>0</v>
      </c>
      <c r="Y431" s="88">
        <v>5302681.0000000028</v>
      </c>
      <c r="Z431" s="87">
        <v>0</v>
      </c>
      <c r="AA431" s="87">
        <v>4311</v>
      </c>
      <c r="AB431" s="89">
        <f t="shared" si="151"/>
        <v>0</v>
      </c>
      <c r="AC431" s="89">
        <f t="shared" si="152"/>
        <v>0</v>
      </c>
      <c r="AD431" s="89">
        <f t="shared" si="153"/>
        <v>0</v>
      </c>
      <c r="AF431" s="90" t="str">
        <f t="shared" si="154"/>
        <v/>
      </c>
      <c r="AG431" s="90">
        <f t="shared" si="165"/>
        <v>4311</v>
      </c>
      <c r="AH431" s="90" t="str">
        <f t="shared" si="155"/>
        <v>2018 (triag)</v>
      </c>
      <c r="AI431" s="90">
        <f t="shared" si="156"/>
        <v>4311</v>
      </c>
      <c r="AJ431" s="90" t="str">
        <f t="shared" si="157"/>
        <v>2018 (triag)</v>
      </c>
      <c r="AK431" s="90" t="str">
        <f t="shared" si="158"/>
        <v/>
      </c>
      <c r="AL431" s="91">
        <f>IF(AK431="Adjust",(_xlfn.XLOOKUP(A431,'Adj factor'!A:A,'Adj factor'!I:I,,0)*AI431),'Master DataSheet (Rev)'!AI431)</f>
        <v>4311</v>
      </c>
      <c r="AM431" s="91">
        <f t="shared" si="159"/>
        <v>4311</v>
      </c>
      <c r="AN431" s="92" t="str">
        <f t="shared" si="160"/>
        <v>No change</v>
      </c>
      <c r="AO431" s="93">
        <f>VLOOKUP(B431,'Growthrates source'!A$2:H$49,8,FALSE)</f>
        <v>0.14269498586031326</v>
      </c>
      <c r="AP431" s="93">
        <f>VLOOKUP(B431,'Growthrates source'!A$2:I$49,9,FALSE)</f>
        <v>5.4673730437993617E-2</v>
      </c>
      <c r="AQ431" s="86">
        <f t="shared" si="161"/>
        <v>2112.1258802594407</v>
      </c>
      <c r="AR431" s="86">
        <f t="shared" si="162"/>
        <v>5079.3895501630168</v>
      </c>
      <c r="AS431" s="94">
        <f t="shared" si="163"/>
        <v>0</v>
      </c>
      <c r="AT431" s="94">
        <f t="shared" si="164"/>
        <v>8.8170489944453205</v>
      </c>
      <c r="AU431" s="94">
        <f t="shared" si="148"/>
        <v>8.1298497873056998</v>
      </c>
      <c r="AV431" s="94">
        <f t="shared" si="149"/>
        <v>8.1298497873056998</v>
      </c>
    </row>
    <row r="432" spans="1:49" x14ac:dyDescent="0.3">
      <c r="A432" s="85" t="str">
        <f>_xlfn.XLOOKUP(B432,'Country codes &amp; Data sources'!G:G,'Country codes &amp; Data sources'!H:H,,0)</f>
        <v>Liberia</v>
      </c>
      <c r="B432" s="85" t="s">
        <v>176</v>
      </c>
      <c r="C432" s="86">
        <v>4331757.5</v>
      </c>
      <c r="D432" s="85" t="s">
        <v>209</v>
      </c>
      <c r="E432" s="87">
        <v>0</v>
      </c>
      <c r="F432" s="88">
        <v>4427312.4999999991</v>
      </c>
      <c r="G432" s="87">
        <v>0</v>
      </c>
      <c r="I432" s="87">
        <v>0</v>
      </c>
      <c r="K432" s="87">
        <v>0</v>
      </c>
      <c r="M432" s="87">
        <v>0</v>
      </c>
      <c r="O432" s="87">
        <v>0</v>
      </c>
      <c r="P432" s="88">
        <v>4889391</v>
      </c>
      <c r="Q432" s="87">
        <v>0</v>
      </c>
      <c r="R432" s="87">
        <f t="shared" si="150"/>
        <v>3601</v>
      </c>
      <c r="T432" s="87">
        <v>0</v>
      </c>
      <c r="V432" s="87">
        <v>0</v>
      </c>
      <c r="X432" s="87">
        <v>0</v>
      </c>
      <c r="Y432" s="88">
        <v>5302681.0000000028</v>
      </c>
      <c r="Z432" s="87">
        <v>0</v>
      </c>
      <c r="AA432" s="87">
        <v>3601</v>
      </c>
      <c r="AB432" s="89">
        <f t="shared" si="151"/>
        <v>0</v>
      </c>
      <c r="AC432" s="89">
        <f t="shared" si="152"/>
        <v>0</v>
      </c>
      <c r="AD432" s="89">
        <f t="shared" si="153"/>
        <v>0</v>
      </c>
      <c r="AF432" s="90" t="str">
        <f t="shared" si="154"/>
        <v/>
      </c>
      <c r="AG432" s="90">
        <f t="shared" si="165"/>
        <v>3601</v>
      </c>
      <c r="AH432" s="90" t="str">
        <f t="shared" si="155"/>
        <v>2018 (triag)</v>
      </c>
      <c r="AI432" s="90">
        <f t="shared" si="156"/>
        <v>3601</v>
      </c>
      <c r="AJ432" s="90" t="str">
        <f t="shared" si="157"/>
        <v>2018 (triag)</v>
      </c>
      <c r="AK432" s="90" t="str">
        <f t="shared" si="158"/>
        <v/>
      </c>
      <c r="AL432" s="91">
        <f>IF(AK432="Adjust",(_xlfn.XLOOKUP(A432,'Adj factor'!A:A,'Adj factor'!I:I,,0)*AI432),'Master DataSheet (Rev)'!AI432)</f>
        <v>3601</v>
      </c>
      <c r="AM432" s="91">
        <f t="shared" si="159"/>
        <v>3601</v>
      </c>
      <c r="AN432" s="92" t="str">
        <f t="shared" si="160"/>
        <v>No change</v>
      </c>
      <c r="AO432" s="93">
        <f>VLOOKUP(B432,'Growthrates source'!A$2:H$49,8,FALSE)</f>
        <v>0.14269498586031326</v>
      </c>
      <c r="AP432" s="93">
        <f>VLOOKUP(B432,'Growthrates source'!A$2:I$49,9,FALSE)</f>
        <v>5.4673730437993617E-2</v>
      </c>
      <c r="AQ432" s="86">
        <f t="shared" si="161"/>
        <v>1764.2693794512284</v>
      </c>
      <c r="AR432" s="86">
        <f t="shared" si="162"/>
        <v>4242.839659043615</v>
      </c>
      <c r="AS432" s="94">
        <f t="shared" si="163"/>
        <v>0</v>
      </c>
      <c r="AT432" s="94">
        <f t="shared" si="164"/>
        <v>7.3649254068655994</v>
      </c>
      <c r="AU432" s="94">
        <f t="shared" si="148"/>
        <v>6.7909044500319711</v>
      </c>
      <c r="AV432" s="94">
        <f t="shared" si="149"/>
        <v>6.7909044500319711</v>
      </c>
    </row>
    <row r="433" spans="1:48" x14ac:dyDescent="0.3">
      <c r="A433" s="85" t="str">
        <f>_xlfn.XLOOKUP(B433,'Country codes &amp; Data sources'!G:G,'Country codes &amp; Data sources'!H:H,,0)</f>
        <v>Liberia</v>
      </c>
      <c r="B433" s="85" t="s">
        <v>176</v>
      </c>
      <c r="C433" s="86">
        <v>4331758.5</v>
      </c>
      <c r="D433" s="85" t="s">
        <v>134</v>
      </c>
      <c r="E433" s="87">
        <v>0</v>
      </c>
      <c r="F433" s="88">
        <v>4427312.4999999991</v>
      </c>
      <c r="G433" s="87">
        <v>0</v>
      </c>
      <c r="I433" s="87">
        <v>0</v>
      </c>
      <c r="K433" s="87">
        <v>0</v>
      </c>
      <c r="M433" s="87">
        <v>0</v>
      </c>
      <c r="O433" s="87">
        <v>0</v>
      </c>
      <c r="P433" s="88">
        <v>4889391</v>
      </c>
      <c r="Q433" s="87">
        <v>0</v>
      </c>
      <c r="R433" s="87">
        <f t="shared" si="150"/>
        <v>0</v>
      </c>
      <c r="T433" s="87">
        <v>0</v>
      </c>
      <c r="V433" s="87">
        <v>0</v>
      </c>
      <c r="X433" s="87">
        <v>0</v>
      </c>
      <c r="Y433" s="88">
        <v>5302681.0000000028</v>
      </c>
      <c r="Z433" s="87">
        <v>0</v>
      </c>
      <c r="AA433" s="87">
        <v>0</v>
      </c>
      <c r="AB433" s="89">
        <f t="shared" si="151"/>
        <v>0</v>
      </c>
      <c r="AC433" s="89">
        <f t="shared" si="152"/>
        <v>0</v>
      </c>
      <c r="AD433" s="89">
        <f t="shared" si="153"/>
        <v>0</v>
      </c>
      <c r="AF433" s="90" t="str">
        <f t="shared" si="154"/>
        <v/>
      </c>
      <c r="AH433" s="90" t="str">
        <f t="shared" si="155"/>
        <v/>
      </c>
      <c r="AI433" s="90">
        <f t="shared" si="156"/>
        <v>0</v>
      </c>
      <c r="AJ433" s="90" t="str">
        <f t="shared" si="157"/>
        <v/>
      </c>
      <c r="AK433" s="90" t="str">
        <f t="shared" si="158"/>
        <v/>
      </c>
      <c r="AL433" s="91"/>
      <c r="AM433" s="91">
        <f t="shared" si="159"/>
        <v>0</v>
      </c>
      <c r="AN433" s="92" t="str">
        <f t="shared" si="160"/>
        <v>No change</v>
      </c>
      <c r="AO433" s="93">
        <f>VLOOKUP(B433,'Growthrates source'!A$2:H$49,8,FALSE)</f>
        <v>0.14269498586031326</v>
      </c>
      <c r="AP433" s="93">
        <f>VLOOKUP(B433,'Growthrates source'!A$2:I$49,9,FALSE)</f>
        <v>5.4673730437993617E-2</v>
      </c>
      <c r="AQ433" s="86">
        <f t="shared" si="161"/>
        <v>0</v>
      </c>
      <c r="AR433" s="86">
        <f t="shared" si="162"/>
        <v>0</v>
      </c>
      <c r="AS433" s="94">
        <f t="shared" si="163"/>
        <v>0</v>
      </c>
      <c r="AT433" s="94">
        <f t="shared" si="164"/>
        <v>0</v>
      </c>
      <c r="AU433" s="94">
        <f t="shared" si="148"/>
        <v>0</v>
      </c>
      <c r="AV433" s="94">
        <f t="shared" si="149"/>
        <v>0</v>
      </c>
    </row>
    <row r="434" spans="1:48" x14ac:dyDescent="0.3">
      <c r="A434" s="85" t="str">
        <f>_xlfn.XLOOKUP(B434,'Country codes &amp; Data sources'!G:G,'Country codes &amp; Data sources'!H:H,,0)</f>
        <v>Liberia</v>
      </c>
      <c r="B434" s="85" t="s">
        <v>176</v>
      </c>
      <c r="C434" s="86">
        <v>4331759.5</v>
      </c>
      <c r="D434" s="85" t="s">
        <v>142</v>
      </c>
      <c r="E434" s="87">
        <v>0</v>
      </c>
      <c r="F434" s="88">
        <v>4427312.4999999991</v>
      </c>
      <c r="G434" s="87">
        <v>0</v>
      </c>
      <c r="I434" s="87">
        <v>0</v>
      </c>
      <c r="K434" s="87">
        <v>0</v>
      </c>
      <c r="M434" s="87">
        <v>0</v>
      </c>
      <c r="O434" s="87">
        <v>0</v>
      </c>
      <c r="P434" s="88">
        <v>4889391</v>
      </c>
      <c r="Q434" s="87">
        <v>0</v>
      </c>
      <c r="R434" s="87">
        <f t="shared" si="150"/>
        <v>0</v>
      </c>
      <c r="T434" s="87">
        <v>0</v>
      </c>
      <c r="V434" s="87">
        <v>0</v>
      </c>
      <c r="X434" s="87">
        <v>0</v>
      </c>
      <c r="Y434" s="88">
        <v>5302681.0000000028</v>
      </c>
      <c r="Z434" s="87">
        <v>0</v>
      </c>
      <c r="AA434" s="87">
        <v>0</v>
      </c>
      <c r="AB434" s="89">
        <f t="shared" si="151"/>
        <v>0</v>
      </c>
      <c r="AC434" s="89">
        <f t="shared" si="152"/>
        <v>0</v>
      </c>
      <c r="AD434" s="89">
        <f t="shared" si="153"/>
        <v>0</v>
      </c>
      <c r="AF434" s="90" t="str">
        <f t="shared" si="154"/>
        <v/>
      </c>
      <c r="AH434" s="90" t="str">
        <f t="shared" si="155"/>
        <v/>
      </c>
      <c r="AI434" s="90">
        <f t="shared" si="156"/>
        <v>0</v>
      </c>
      <c r="AJ434" s="90" t="str">
        <f t="shared" si="157"/>
        <v/>
      </c>
      <c r="AK434" s="90" t="str">
        <f t="shared" si="158"/>
        <v/>
      </c>
      <c r="AL434" s="91"/>
      <c r="AM434" s="91">
        <f t="shared" si="159"/>
        <v>0</v>
      </c>
      <c r="AN434" s="92" t="str">
        <f t="shared" si="160"/>
        <v>No change</v>
      </c>
      <c r="AO434" s="93">
        <f>VLOOKUP(B434,'Growthrates source'!A$2:H$49,8,FALSE)</f>
        <v>0.14269498586031326</v>
      </c>
      <c r="AP434" s="93">
        <f>VLOOKUP(B434,'Growthrates source'!A$2:I$49,9,FALSE)</f>
        <v>5.4673730437993617E-2</v>
      </c>
      <c r="AQ434" s="86">
        <f t="shared" si="161"/>
        <v>0</v>
      </c>
      <c r="AR434" s="86">
        <f t="shared" si="162"/>
        <v>0</v>
      </c>
      <c r="AS434" s="94">
        <f t="shared" si="163"/>
        <v>0</v>
      </c>
      <c r="AT434" s="94">
        <f t="shared" si="164"/>
        <v>0</v>
      </c>
      <c r="AU434" s="94">
        <f t="shared" si="148"/>
        <v>0</v>
      </c>
      <c r="AV434" s="94">
        <f t="shared" si="149"/>
        <v>0</v>
      </c>
    </row>
    <row r="435" spans="1:48" x14ac:dyDescent="0.3">
      <c r="A435" s="85" t="str">
        <f>_xlfn.XLOOKUP(B435,'Country codes &amp; Data sources'!G:G,'Country codes &amp; Data sources'!H:H,,0)</f>
        <v>Liberia</v>
      </c>
      <c r="B435" s="85" t="s">
        <v>176</v>
      </c>
      <c r="C435" s="86">
        <v>4331760.5</v>
      </c>
      <c r="D435" s="85" t="s">
        <v>83</v>
      </c>
      <c r="E435" s="87">
        <v>0</v>
      </c>
      <c r="F435" s="88">
        <v>4427312.4999999991</v>
      </c>
      <c r="G435" s="87">
        <v>0</v>
      </c>
      <c r="I435" s="87">
        <v>0</v>
      </c>
      <c r="K435" s="87">
        <v>0</v>
      </c>
      <c r="M435" s="87">
        <v>0</v>
      </c>
      <c r="O435" s="87">
        <v>0</v>
      </c>
      <c r="P435" s="88">
        <v>4889391</v>
      </c>
      <c r="Q435" s="87">
        <v>0</v>
      </c>
      <c r="R435" s="87">
        <f t="shared" si="150"/>
        <v>3</v>
      </c>
      <c r="T435" s="87">
        <v>0</v>
      </c>
      <c r="V435" s="87">
        <v>0</v>
      </c>
      <c r="X435" s="87">
        <v>0</v>
      </c>
      <c r="Y435" s="88">
        <v>5302681.0000000028</v>
      </c>
      <c r="Z435" s="87">
        <v>0</v>
      </c>
      <c r="AA435" s="87">
        <v>3</v>
      </c>
      <c r="AB435" s="89">
        <f t="shared" si="151"/>
        <v>0</v>
      </c>
      <c r="AC435" s="89">
        <f t="shared" si="152"/>
        <v>0</v>
      </c>
      <c r="AD435" s="89">
        <f t="shared" si="153"/>
        <v>0</v>
      </c>
      <c r="AF435" s="90" t="str">
        <f t="shared" si="154"/>
        <v/>
      </c>
      <c r="AG435" s="90">
        <f t="shared" si="165"/>
        <v>3</v>
      </c>
      <c r="AH435" s="90" t="str">
        <f t="shared" si="155"/>
        <v>2018 (triag)</v>
      </c>
      <c r="AI435" s="90">
        <f t="shared" si="156"/>
        <v>3</v>
      </c>
      <c r="AJ435" s="90" t="str">
        <f t="shared" si="157"/>
        <v>2018 (triag)</v>
      </c>
      <c r="AK435" s="90" t="str">
        <f t="shared" si="158"/>
        <v/>
      </c>
      <c r="AL435" s="91">
        <f>IF(AK435="Adjust",(_xlfn.XLOOKUP(A435,'Adj factor'!A:A,'Adj factor'!I:I,,0)*AI435),'Master DataSheet (Rev)'!AI435)</f>
        <v>3</v>
      </c>
      <c r="AM435" s="91">
        <f t="shared" si="159"/>
        <v>3</v>
      </c>
      <c r="AN435" s="92" t="str">
        <f t="shared" si="160"/>
        <v>No change</v>
      </c>
      <c r="AO435" s="93">
        <f>VLOOKUP(B435,'Growthrates source'!A$2:H$49,8,FALSE)</f>
        <v>0.14269498586031326</v>
      </c>
      <c r="AP435" s="93">
        <f>VLOOKUP(B435,'Growthrates source'!A$2:I$49,9,FALSE)</f>
        <v>5.4673730437993617E-2</v>
      </c>
      <c r="AQ435" s="86">
        <f t="shared" si="161"/>
        <v>1.4698162005980797</v>
      </c>
      <c r="AR435" s="86">
        <f t="shared" si="162"/>
        <v>3.5347178498002902</v>
      </c>
      <c r="AS435" s="94">
        <f t="shared" si="163"/>
        <v>0</v>
      </c>
      <c r="AT435" s="94">
        <f t="shared" si="164"/>
        <v>6.1357334686467091E-3</v>
      </c>
      <c r="AU435" s="94">
        <f t="shared" si="148"/>
        <v>5.657515509607307E-3</v>
      </c>
      <c r="AV435" s="94">
        <f t="shared" si="149"/>
        <v>5.657515509607307E-3</v>
      </c>
    </row>
    <row r="436" spans="1:48" x14ac:dyDescent="0.3">
      <c r="A436" s="85" t="str">
        <f>_xlfn.XLOOKUP(B436,'Country codes &amp; Data sources'!G:G,'Country codes &amp; Data sources'!H:H,,0)</f>
        <v>Liberia</v>
      </c>
      <c r="B436" s="85" t="s">
        <v>176</v>
      </c>
      <c r="C436" s="86">
        <v>4331761.5</v>
      </c>
      <c r="D436" s="85" t="s">
        <v>84</v>
      </c>
      <c r="E436" s="87">
        <v>0</v>
      </c>
      <c r="F436" s="88">
        <v>4427312.4999999991</v>
      </c>
      <c r="G436" s="87">
        <v>0</v>
      </c>
      <c r="I436" s="87">
        <v>0</v>
      </c>
      <c r="K436" s="87">
        <v>0</v>
      </c>
      <c r="M436" s="87">
        <v>0</v>
      </c>
      <c r="O436" s="87">
        <v>0</v>
      </c>
      <c r="P436" s="88">
        <v>4889391</v>
      </c>
      <c r="Q436" s="87">
        <v>0</v>
      </c>
      <c r="R436" s="87">
        <f t="shared" si="150"/>
        <v>0</v>
      </c>
      <c r="T436" s="87">
        <v>0</v>
      </c>
      <c r="V436" s="87">
        <v>0</v>
      </c>
      <c r="X436" s="87">
        <v>0</v>
      </c>
      <c r="Y436" s="88">
        <v>5302681.0000000028</v>
      </c>
      <c r="Z436" s="87">
        <v>0</v>
      </c>
      <c r="AA436" s="87">
        <v>0</v>
      </c>
      <c r="AB436" s="89">
        <f t="shared" si="151"/>
        <v>0</v>
      </c>
      <c r="AC436" s="89">
        <f t="shared" si="152"/>
        <v>0</v>
      </c>
      <c r="AD436" s="89">
        <f t="shared" si="153"/>
        <v>0</v>
      </c>
      <c r="AF436" s="90" t="str">
        <f t="shared" si="154"/>
        <v/>
      </c>
      <c r="AH436" s="90" t="str">
        <f t="shared" si="155"/>
        <v/>
      </c>
      <c r="AI436" s="90">
        <f t="shared" si="156"/>
        <v>0</v>
      </c>
      <c r="AJ436" s="90" t="str">
        <f t="shared" si="157"/>
        <v/>
      </c>
      <c r="AK436" s="90" t="str">
        <f t="shared" si="158"/>
        <v/>
      </c>
      <c r="AL436" s="91"/>
      <c r="AM436" s="91">
        <f t="shared" si="159"/>
        <v>0</v>
      </c>
      <c r="AN436" s="92" t="str">
        <f t="shared" si="160"/>
        <v>No change</v>
      </c>
      <c r="AO436" s="93">
        <f>VLOOKUP(B436,'Growthrates source'!A$2:H$49,8,FALSE)</f>
        <v>0.14269498586031326</v>
      </c>
      <c r="AP436" s="93">
        <f>VLOOKUP(B436,'Growthrates source'!A$2:I$49,9,FALSE)</f>
        <v>5.4673730437993617E-2</v>
      </c>
      <c r="AQ436" s="86">
        <f t="shared" si="161"/>
        <v>0</v>
      </c>
      <c r="AR436" s="86">
        <f t="shared" si="162"/>
        <v>0</v>
      </c>
      <c r="AS436" s="94">
        <f t="shared" si="163"/>
        <v>0</v>
      </c>
      <c r="AT436" s="94">
        <f t="shared" si="164"/>
        <v>0</v>
      </c>
      <c r="AU436" s="94">
        <f t="shared" si="148"/>
        <v>0</v>
      </c>
      <c r="AV436" s="94">
        <f t="shared" si="149"/>
        <v>0</v>
      </c>
    </row>
    <row r="437" spans="1:48" x14ac:dyDescent="0.3">
      <c r="A437" s="85" t="str">
        <f>_xlfn.XLOOKUP(B437,'Country codes &amp; Data sources'!G:G,'Country codes &amp; Data sources'!H:H,,0)</f>
        <v>Liberia</v>
      </c>
      <c r="B437" s="85" t="s">
        <v>176</v>
      </c>
      <c r="C437" s="86">
        <v>4331762.5</v>
      </c>
      <c r="D437" s="85" t="s">
        <v>126</v>
      </c>
      <c r="E437" s="87">
        <v>0</v>
      </c>
      <c r="F437" s="88">
        <v>4427312.4999999991</v>
      </c>
      <c r="G437" s="87">
        <v>0</v>
      </c>
      <c r="I437" s="87">
        <v>0</v>
      </c>
      <c r="K437" s="87">
        <v>0</v>
      </c>
      <c r="M437" s="87">
        <v>0</v>
      </c>
      <c r="O437" s="87">
        <v>0</v>
      </c>
      <c r="P437" s="88">
        <v>4889391</v>
      </c>
      <c r="Q437" s="87">
        <v>0</v>
      </c>
      <c r="R437" s="87">
        <f t="shared" si="150"/>
        <v>0</v>
      </c>
      <c r="T437" s="87">
        <v>0</v>
      </c>
      <c r="V437" s="87">
        <v>0</v>
      </c>
      <c r="X437" s="87">
        <v>0</v>
      </c>
      <c r="Y437" s="88">
        <v>5302681.0000000028</v>
      </c>
      <c r="Z437" s="87">
        <v>0</v>
      </c>
      <c r="AA437" s="87">
        <v>0</v>
      </c>
      <c r="AB437" s="89">
        <f t="shared" si="151"/>
        <v>0</v>
      </c>
      <c r="AC437" s="89">
        <f t="shared" si="152"/>
        <v>0</v>
      </c>
      <c r="AD437" s="89">
        <f t="shared" si="153"/>
        <v>0</v>
      </c>
      <c r="AF437" s="90" t="str">
        <f t="shared" si="154"/>
        <v/>
      </c>
      <c r="AH437" s="90" t="str">
        <f t="shared" si="155"/>
        <v/>
      </c>
      <c r="AI437" s="90">
        <f t="shared" si="156"/>
        <v>0</v>
      </c>
      <c r="AJ437" s="90" t="str">
        <f t="shared" si="157"/>
        <v/>
      </c>
      <c r="AK437" s="90" t="str">
        <f t="shared" si="158"/>
        <v/>
      </c>
      <c r="AL437" s="91"/>
      <c r="AM437" s="91">
        <f t="shared" si="159"/>
        <v>0</v>
      </c>
      <c r="AN437" s="92" t="str">
        <f t="shared" si="160"/>
        <v>No change</v>
      </c>
      <c r="AO437" s="93">
        <f>VLOOKUP(B437,'Growthrates source'!A$2:H$49,8,FALSE)</f>
        <v>0.14269498586031326</v>
      </c>
      <c r="AP437" s="93">
        <f>VLOOKUP(B437,'Growthrates source'!A$2:I$49,9,FALSE)</f>
        <v>5.4673730437993617E-2</v>
      </c>
      <c r="AQ437" s="86">
        <f t="shared" si="161"/>
        <v>0</v>
      </c>
      <c r="AR437" s="86">
        <f t="shared" si="162"/>
        <v>0</v>
      </c>
      <c r="AS437" s="94">
        <f t="shared" si="163"/>
        <v>0</v>
      </c>
      <c r="AT437" s="94">
        <f t="shared" si="164"/>
        <v>0</v>
      </c>
      <c r="AU437" s="94">
        <f t="shared" si="148"/>
        <v>0</v>
      </c>
      <c r="AV437" s="94">
        <f t="shared" si="149"/>
        <v>0</v>
      </c>
    </row>
    <row r="438" spans="1:48" x14ac:dyDescent="0.3">
      <c r="A438" s="85" t="str">
        <f>_xlfn.XLOOKUP(B438,'Country codes &amp; Data sources'!G:G,'Country codes &amp; Data sources'!H:H,,0)</f>
        <v>Liberia</v>
      </c>
      <c r="B438" s="85" t="s">
        <v>176</v>
      </c>
      <c r="C438" s="86">
        <v>4331763.5</v>
      </c>
      <c r="D438" s="85" t="s">
        <v>87</v>
      </c>
      <c r="E438" s="87">
        <v>0</v>
      </c>
      <c r="F438" s="88">
        <v>4427312.4999999991</v>
      </c>
      <c r="G438" s="87">
        <v>0</v>
      </c>
      <c r="I438" s="87">
        <v>0</v>
      </c>
      <c r="K438" s="87">
        <v>0</v>
      </c>
      <c r="M438" s="87">
        <v>0</v>
      </c>
      <c r="O438" s="87">
        <v>0</v>
      </c>
      <c r="P438" s="88">
        <v>4889391</v>
      </c>
      <c r="Q438" s="87">
        <v>0</v>
      </c>
      <c r="R438" s="87">
        <f t="shared" si="150"/>
        <v>0</v>
      </c>
      <c r="T438" s="87">
        <v>0</v>
      </c>
      <c r="V438" s="87">
        <v>0</v>
      </c>
      <c r="X438" s="87">
        <v>0</v>
      </c>
      <c r="Y438" s="88">
        <v>5302681.0000000028</v>
      </c>
      <c r="Z438" s="87">
        <v>0</v>
      </c>
      <c r="AA438" s="87">
        <v>0</v>
      </c>
      <c r="AB438" s="89">
        <f t="shared" si="151"/>
        <v>0</v>
      </c>
      <c r="AC438" s="89">
        <f t="shared" si="152"/>
        <v>0</v>
      </c>
      <c r="AD438" s="89">
        <f t="shared" si="153"/>
        <v>0</v>
      </c>
      <c r="AF438" s="90" t="str">
        <f t="shared" si="154"/>
        <v/>
      </c>
      <c r="AH438" s="90" t="str">
        <f t="shared" si="155"/>
        <v/>
      </c>
      <c r="AI438" s="90">
        <f t="shared" si="156"/>
        <v>0</v>
      </c>
      <c r="AJ438" s="90" t="str">
        <f t="shared" si="157"/>
        <v/>
      </c>
      <c r="AK438" s="90" t="str">
        <f t="shared" si="158"/>
        <v/>
      </c>
      <c r="AL438" s="91"/>
      <c r="AM438" s="91">
        <f t="shared" si="159"/>
        <v>0</v>
      </c>
      <c r="AN438" s="92" t="str">
        <f t="shared" si="160"/>
        <v>No change</v>
      </c>
      <c r="AO438" s="93">
        <f>VLOOKUP(B438,'Growthrates source'!A$2:H$49,8,FALSE)</f>
        <v>0.14269498586031326</v>
      </c>
      <c r="AP438" s="93">
        <f>VLOOKUP(B438,'Growthrates source'!A$2:I$49,9,FALSE)</f>
        <v>5.4673730437993617E-2</v>
      </c>
      <c r="AQ438" s="86">
        <f t="shared" si="161"/>
        <v>0</v>
      </c>
      <c r="AR438" s="86">
        <f t="shared" si="162"/>
        <v>0</v>
      </c>
      <c r="AS438" s="94">
        <f t="shared" si="163"/>
        <v>0</v>
      </c>
      <c r="AT438" s="94">
        <f t="shared" si="164"/>
        <v>0</v>
      </c>
      <c r="AU438" s="94">
        <f t="shared" si="148"/>
        <v>0</v>
      </c>
      <c r="AV438" s="94">
        <f t="shared" si="149"/>
        <v>0</v>
      </c>
    </row>
    <row r="439" spans="1:48" ht="14.5" x14ac:dyDescent="0.35">
      <c r="A439" s="85" t="str">
        <f>_xlfn.XLOOKUP(B439,'Country codes &amp; Data sources'!G:G,'Country codes &amp; Data sources'!H:H,,0)</f>
        <v>Lesotho</v>
      </c>
      <c r="B439" s="85" t="s">
        <v>160</v>
      </c>
      <c r="C439" s="86">
        <v>2054723</v>
      </c>
      <c r="D439" s="85" t="s">
        <v>127</v>
      </c>
      <c r="E439" s="87">
        <v>0</v>
      </c>
      <c r="F439" s="88">
        <v>2073938.4999999998</v>
      </c>
      <c r="G439" s="87">
        <v>0</v>
      </c>
      <c r="I439" s="87">
        <v>0</v>
      </c>
      <c r="K439" s="87">
        <v>0</v>
      </c>
      <c r="M439" s="87">
        <v>0</v>
      </c>
      <c r="O439" s="87">
        <v>0</v>
      </c>
      <c r="P439" s="88">
        <v>2198017</v>
      </c>
      <c r="Q439" s="87">
        <v>14508</v>
      </c>
      <c r="R439" s="87">
        <f t="shared" si="150"/>
        <v>14508</v>
      </c>
      <c r="T439" s="87">
        <v>0</v>
      </c>
      <c r="V439" s="87">
        <v>0</v>
      </c>
      <c r="X439" s="87">
        <v>14508</v>
      </c>
      <c r="Y439" s="88">
        <v>2305825.5000000019</v>
      </c>
      <c r="Z439" s="112">
        <v>14508</v>
      </c>
      <c r="AA439" s="87">
        <v>14508</v>
      </c>
      <c r="AB439" s="89">
        <f t="shared" si="151"/>
        <v>0</v>
      </c>
      <c r="AC439" s="89">
        <f t="shared" si="152"/>
        <v>14508</v>
      </c>
      <c r="AD439" s="89">
        <f t="shared" si="153"/>
        <v>14508</v>
      </c>
      <c r="AF439" s="90" t="str">
        <f t="shared" si="154"/>
        <v/>
      </c>
      <c r="AG439" s="90">
        <f t="shared" si="165"/>
        <v>14508</v>
      </c>
      <c r="AH439" s="90">
        <f t="shared" si="155"/>
        <v>2018</v>
      </c>
      <c r="AI439" s="90">
        <f t="shared" si="156"/>
        <v>14508</v>
      </c>
      <c r="AJ439" s="90">
        <f t="shared" si="157"/>
        <v>2021</v>
      </c>
      <c r="AK439" s="90" t="str">
        <f t="shared" si="158"/>
        <v/>
      </c>
      <c r="AL439" s="91">
        <f>IF(AK439="Adjust",(_xlfn.XLOOKUP(A439,'Adj factor'!A:A,'Adj factor'!I:I,,0)*AI439),'Master DataSheet (Rev)'!AI439)</f>
        <v>14508</v>
      </c>
      <c r="AM439" s="61">
        <f t="shared" si="159"/>
        <v>14508</v>
      </c>
      <c r="AN439" s="92" t="str">
        <f t="shared" si="160"/>
        <v>No change</v>
      </c>
      <c r="AO439" s="93">
        <f>VLOOKUP(B439,'Growthrates source'!A$2:H$49,8,FALSE)</f>
        <v>-2.9414192821425544E-2</v>
      </c>
      <c r="AP439" s="93">
        <f>VLOOKUP(B439,'Growthrates source'!A$2:I$49,9,FALSE)</f>
        <v>0.35384209356504925</v>
      </c>
      <c r="AQ439" s="86">
        <f t="shared" si="161"/>
        <v>16806.591918109276</v>
      </c>
      <c r="AR439" s="86">
        <f t="shared" si="162"/>
        <v>41939.432834201732</v>
      </c>
      <c r="AS439" s="94">
        <f t="shared" si="163"/>
        <v>0</v>
      </c>
      <c r="AT439" s="94">
        <f t="shared" si="164"/>
        <v>66.004949006308863</v>
      </c>
      <c r="AU439" s="94">
        <f t="shared" si="148"/>
        <v>62.918898242733405</v>
      </c>
      <c r="AV439" s="94">
        <f t="shared" si="149"/>
        <v>62.918898242733405</v>
      </c>
    </row>
    <row r="440" spans="1:48" x14ac:dyDescent="0.3">
      <c r="A440" s="85" t="str">
        <f>_xlfn.XLOOKUP(B440,'Country codes &amp; Data sources'!G:G,'Country codes &amp; Data sources'!H:H,,0)</f>
        <v>Lesotho</v>
      </c>
      <c r="B440" s="85" t="s">
        <v>160</v>
      </c>
      <c r="C440" s="86">
        <v>2054724</v>
      </c>
      <c r="D440" s="85" t="s">
        <v>61</v>
      </c>
      <c r="E440" s="87">
        <v>0</v>
      </c>
      <c r="F440" s="88">
        <v>2073938.4999999998</v>
      </c>
      <c r="G440" s="87">
        <v>11</v>
      </c>
      <c r="I440" s="87">
        <v>0</v>
      </c>
      <c r="K440" s="87">
        <v>16</v>
      </c>
      <c r="M440" s="87">
        <v>0</v>
      </c>
      <c r="O440" s="87">
        <v>0</v>
      </c>
      <c r="P440" s="88">
        <v>2198017</v>
      </c>
      <c r="Q440" s="87">
        <v>0</v>
      </c>
      <c r="R440" s="87">
        <f t="shared" si="150"/>
        <v>29</v>
      </c>
      <c r="T440" s="87">
        <v>0</v>
      </c>
      <c r="V440" s="87">
        <v>43</v>
      </c>
      <c r="X440" s="87">
        <v>0</v>
      </c>
      <c r="Y440" s="88">
        <v>2305825.5000000019</v>
      </c>
      <c r="Z440" s="87">
        <v>0</v>
      </c>
      <c r="AA440" s="87">
        <v>29</v>
      </c>
      <c r="AB440" s="89">
        <f t="shared" si="151"/>
        <v>16</v>
      </c>
      <c r="AC440" s="89">
        <f t="shared" si="152"/>
        <v>0</v>
      </c>
      <c r="AD440" s="89">
        <f t="shared" si="153"/>
        <v>43</v>
      </c>
      <c r="AE440" s="90">
        <f t="shared" si="166"/>
        <v>11</v>
      </c>
      <c r="AF440" s="90">
        <f t="shared" si="154"/>
        <v>2013</v>
      </c>
      <c r="AG440" s="90">
        <f t="shared" si="165"/>
        <v>29</v>
      </c>
      <c r="AH440" s="90" t="str">
        <f t="shared" si="155"/>
        <v>2018 (triag)</v>
      </c>
      <c r="AI440" s="90">
        <f t="shared" si="156"/>
        <v>43</v>
      </c>
      <c r="AJ440" s="90">
        <f t="shared" si="157"/>
        <v>2020</v>
      </c>
      <c r="AK440" s="90" t="str">
        <f t="shared" si="158"/>
        <v/>
      </c>
      <c r="AL440" s="91">
        <f>IF(AK440="Adjust",(_xlfn.XLOOKUP(A440,'Adj factor'!A:A,'Adj factor'!I:I,,0)*AI440),'Master DataSheet (Rev)'!AI440)</f>
        <v>43</v>
      </c>
      <c r="AM440" s="91">
        <f t="shared" si="159"/>
        <v>43</v>
      </c>
      <c r="AN440" s="92" t="str">
        <f t="shared" si="160"/>
        <v>Increasing</v>
      </c>
      <c r="AO440" s="93">
        <f>VLOOKUP(B440,'Growthrates source'!A$2:H$49,8,FALSE)</f>
        <v>-2.9414192821425544E-2</v>
      </c>
      <c r="AP440" s="93">
        <f>VLOOKUP(B440,'Growthrates source'!A$2:I$49,9,FALSE)</f>
        <v>0.35384209356504925</v>
      </c>
      <c r="AQ440" s="86">
        <f t="shared" si="161"/>
        <v>33.59464885753853</v>
      </c>
      <c r="AR440" s="86">
        <f t="shared" si="162"/>
        <v>83.832613192159513</v>
      </c>
      <c r="AS440" s="94">
        <f t="shared" si="163"/>
        <v>5.3039181248624299E-2</v>
      </c>
      <c r="AT440" s="94">
        <f t="shared" si="164"/>
        <v>0.13193710512703041</v>
      </c>
      <c r="AU440" s="94">
        <f t="shared" si="148"/>
        <v>0.18648418971860606</v>
      </c>
      <c r="AV440" s="94">
        <f t="shared" si="149"/>
        <v>0.18648418971860606</v>
      </c>
    </row>
    <row r="441" spans="1:48" x14ac:dyDescent="0.3">
      <c r="A441" s="85" t="str">
        <f>_xlfn.XLOOKUP(B441,'Country codes &amp; Data sources'!G:G,'Country codes &amp; Data sources'!H:H,,0)</f>
        <v>Lesotho</v>
      </c>
      <c r="B441" s="85" t="s">
        <v>160</v>
      </c>
      <c r="C441" s="86">
        <v>2054725</v>
      </c>
      <c r="D441" s="85" t="s">
        <v>62</v>
      </c>
      <c r="E441" s="87">
        <v>0</v>
      </c>
      <c r="F441" s="88">
        <v>2073938.4999999998</v>
      </c>
      <c r="G441" s="87">
        <v>205</v>
      </c>
      <c r="I441" s="87">
        <v>0</v>
      </c>
      <c r="K441" s="87">
        <v>142</v>
      </c>
      <c r="M441" s="87">
        <v>0</v>
      </c>
      <c r="O441" s="87">
        <v>0</v>
      </c>
      <c r="P441" s="88">
        <v>2198017</v>
      </c>
      <c r="Q441" s="87">
        <v>0</v>
      </c>
      <c r="R441" s="87">
        <f t="shared" si="150"/>
        <v>144</v>
      </c>
      <c r="T441" s="87">
        <v>0</v>
      </c>
      <c r="V441" s="87">
        <v>0</v>
      </c>
      <c r="X441" s="103">
        <v>144</v>
      </c>
      <c r="Y441" s="88">
        <v>2305825.5000000019</v>
      </c>
      <c r="Z441" s="87">
        <v>144</v>
      </c>
      <c r="AA441" s="87">
        <v>144</v>
      </c>
      <c r="AB441" s="89">
        <f t="shared" si="151"/>
        <v>205</v>
      </c>
      <c r="AC441" s="89">
        <f t="shared" si="152"/>
        <v>0</v>
      </c>
      <c r="AD441" s="89">
        <f t="shared" si="153"/>
        <v>144</v>
      </c>
      <c r="AE441" s="90">
        <f t="shared" si="166"/>
        <v>205</v>
      </c>
      <c r="AF441" s="90">
        <f t="shared" si="154"/>
        <v>2013</v>
      </c>
      <c r="AG441" s="90">
        <f t="shared" si="165"/>
        <v>144</v>
      </c>
      <c r="AH441" s="90" t="str">
        <f t="shared" si="155"/>
        <v>2018 (triag)</v>
      </c>
      <c r="AI441" s="90">
        <f t="shared" si="156"/>
        <v>144</v>
      </c>
      <c r="AJ441" s="90">
        <f t="shared" si="157"/>
        <v>2021</v>
      </c>
      <c r="AK441" s="90" t="str">
        <f t="shared" si="158"/>
        <v/>
      </c>
      <c r="AL441" s="91">
        <f>IF(AK441="Adjust",(_xlfn.XLOOKUP(A441,'Adj factor'!A:A,'Adj factor'!I:I,,0)*AI441),'Master DataSheet (Rev)'!AI441)</f>
        <v>144</v>
      </c>
      <c r="AM441" s="91">
        <f t="shared" si="159"/>
        <v>144</v>
      </c>
      <c r="AN441" s="92" t="str">
        <f t="shared" si="160"/>
        <v>No change</v>
      </c>
      <c r="AO441" s="93">
        <f>VLOOKUP(B441,'Growthrates source'!A$2:H$49,8,FALSE)</f>
        <v>-2.9414192821425544E-2</v>
      </c>
      <c r="AP441" s="93">
        <f>VLOOKUP(B441,'Growthrates source'!A$2:I$49,9,FALSE)</f>
        <v>0.35384209356504925</v>
      </c>
      <c r="AQ441" s="86">
        <f t="shared" si="161"/>
        <v>166.81480812019132</v>
      </c>
      <c r="AR441" s="86">
        <f t="shared" si="162"/>
        <v>416.27228619555069</v>
      </c>
      <c r="AS441" s="94">
        <f t="shared" si="163"/>
        <v>0.98845746872436202</v>
      </c>
      <c r="AT441" s="94">
        <f t="shared" si="164"/>
        <v>0.65513597028594406</v>
      </c>
      <c r="AU441" s="94">
        <f t="shared" si="148"/>
        <v>0.6245051934762621</v>
      </c>
      <c r="AV441" s="94">
        <f t="shared" si="149"/>
        <v>0.6245051934762621</v>
      </c>
    </row>
    <row r="442" spans="1:48" x14ac:dyDescent="0.3">
      <c r="A442" s="85" t="str">
        <f>_xlfn.XLOOKUP(B442,'Country codes &amp; Data sources'!G:G,'Country codes &amp; Data sources'!H:H,,0)</f>
        <v>Lesotho</v>
      </c>
      <c r="B442" s="85" t="s">
        <v>160</v>
      </c>
      <c r="C442" s="86">
        <v>2054726</v>
      </c>
      <c r="D442" s="85" t="s">
        <v>203</v>
      </c>
      <c r="E442" s="87">
        <v>0</v>
      </c>
      <c r="F442" s="88">
        <v>2073938.4999999998</v>
      </c>
      <c r="G442" s="87">
        <v>0</v>
      </c>
      <c r="I442" s="87">
        <v>0</v>
      </c>
      <c r="K442" s="87">
        <v>0</v>
      </c>
      <c r="M442" s="87">
        <v>0</v>
      </c>
      <c r="O442" s="87">
        <v>0</v>
      </c>
      <c r="P442" s="88">
        <v>2198017</v>
      </c>
      <c r="Q442" s="87">
        <v>0</v>
      </c>
      <c r="R442" s="87">
        <f t="shared" si="150"/>
        <v>849</v>
      </c>
      <c r="T442" s="87">
        <v>0</v>
      </c>
      <c r="V442" s="87">
        <v>0</v>
      </c>
      <c r="X442" s="87">
        <v>0</v>
      </c>
      <c r="Y442" s="88">
        <v>2305825.5000000019</v>
      </c>
      <c r="Z442" s="87">
        <v>0</v>
      </c>
      <c r="AA442" s="87">
        <v>849</v>
      </c>
      <c r="AB442" s="89">
        <f t="shared" si="151"/>
        <v>0</v>
      </c>
      <c r="AC442" s="89">
        <f t="shared" si="152"/>
        <v>0</v>
      </c>
      <c r="AD442" s="89">
        <f t="shared" si="153"/>
        <v>0</v>
      </c>
      <c r="AF442" s="90" t="str">
        <f t="shared" si="154"/>
        <v/>
      </c>
      <c r="AG442" s="90">
        <f t="shared" si="165"/>
        <v>849</v>
      </c>
      <c r="AH442" s="90" t="str">
        <f t="shared" si="155"/>
        <v>2018 (triag)</v>
      </c>
      <c r="AI442" s="90">
        <f t="shared" si="156"/>
        <v>849</v>
      </c>
      <c r="AJ442" s="90" t="str">
        <f t="shared" si="157"/>
        <v>2018 (triag)</v>
      </c>
      <c r="AK442" s="90" t="str">
        <f t="shared" si="158"/>
        <v/>
      </c>
      <c r="AL442" s="91">
        <f>IF(AK442="Adjust",(_xlfn.XLOOKUP(A442,'Adj factor'!A:A,'Adj factor'!I:I,,0)*AI442),'Master DataSheet (Rev)'!AI442)</f>
        <v>849</v>
      </c>
      <c r="AM442" s="91">
        <f t="shared" si="159"/>
        <v>849</v>
      </c>
      <c r="AN442" s="92" t="str">
        <f t="shared" si="160"/>
        <v>No change</v>
      </c>
      <c r="AO442" s="93">
        <f>VLOOKUP(B442,'Growthrates source'!A$2:H$49,8,FALSE)</f>
        <v>-2.9414192821425544E-2</v>
      </c>
      <c r="AP442" s="93">
        <f>VLOOKUP(B442,'Growthrates source'!A$2:I$49,9,FALSE)</f>
        <v>0.35384209356504925</v>
      </c>
      <c r="AQ442" s="86">
        <f t="shared" si="161"/>
        <v>983.51230620862793</v>
      </c>
      <c r="AR442" s="86">
        <f t="shared" si="162"/>
        <v>2454.272020694601</v>
      </c>
      <c r="AS442" s="94">
        <f t="shared" si="163"/>
        <v>0</v>
      </c>
      <c r="AT442" s="94">
        <f t="shared" si="164"/>
        <v>3.8625724914775454</v>
      </c>
      <c r="AU442" s="94">
        <f t="shared" si="148"/>
        <v>3.6819785365371289</v>
      </c>
      <c r="AV442" s="94">
        <f t="shared" si="149"/>
        <v>3.6819785365371289</v>
      </c>
    </row>
    <row r="443" spans="1:48" x14ac:dyDescent="0.3">
      <c r="A443" s="85" t="str">
        <f>_xlfn.XLOOKUP(B443,'Country codes &amp; Data sources'!G:G,'Country codes &amp; Data sources'!H:H,,0)</f>
        <v>Lesotho</v>
      </c>
      <c r="B443" s="85" t="s">
        <v>160</v>
      </c>
      <c r="C443" s="86">
        <v>2054727</v>
      </c>
      <c r="D443" s="85" t="s">
        <v>204</v>
      </c>
      <c r="E443" s="87">
        <v>0</v>
      </c>
      <c r="F443" s="88">
        <v>2073938.4999999998</v>
      </c>
      <c r="G443" s="87">
        <v>0</v>
      </c>
      <c r="I443" s="87">
        <v>0</v>
      </c>
      <c r="K443" s="87">
        <v>0</v>
      </c>
      <c r="M443" s="87">
        <v>0</v>
      </c>
      <c r="O443" s="87">
        <v>0</v>
      </c>
      <c r="P443" s="88">
        <v>2198017</v>
      </c>
      <c r="Q443" s="87">
        <v>0</v>
      </c>
      <c r="R443" s="87">
        <f t="shared" si="150"/>
        <v>110</v>
      </c>
      <c r="T443" s="87">
        <v>0</v>
      </c>
      <c r="V443" s="87">
        <v>0</v>
      </c>
      <c r="X443" s="87">
        <v>0</v>
      </c>
      <c r="Y443" s="88">
        <v>2305825.5000000019</v>
      </c>
      <c r="Z443" s="87">
        <v>33</v>
      </c>
      <c r="AA443" s="87">
        <v>110</v>
      </c>
      <c r="AB443" s="89">
        <f t="shared" si="151"/>
        <v>0</v>
      </c>
      <c r="AC443" s="89">
        <f t="shared" si="152"/>
        <v>0</v>
      </c>
      <c r="AD443" s="89">
        <f t="shared" si="153"/>
        <v>33</v>
      </c>
      <c r="AF443" s="90" t="str">
        <f t="shared" si="154"/>
        <v/>
      </c>
      <c r="AG443" s="90">
        <f t="shared" si="165"/>
        <v>110</v>
      </c>
      <c r="AH443" s="90" t="str">
        <f t="shared" si="155"/>
        <v>2018 (triag)</v>
      </c>
      <c r="AI443" s="90">
        <f t="shared" si="156"/>
        <v>33</v>
      </c>
      <c r="AJ443" s="90">
        <f t="shared" si="157"/>
        <v>2022</v>
      </c>
      <c r="AK443" s="90" t="str">
        <f t="shared" si="158"/>
        <v>Adjust</v>
      </c>
      <c r="AL443" s="91">
        <f>IF(AK443="Adjust",(_xlfn.XLOOKUP(A443,'Adj factor'!A:A,'Adj factor'!I:I,,0)*AI443),'Master DataSheet (Rev)'!AI443)</f>
        <v>42.162196889826042</v>
      </c>
      <c r="AM443" s="91">
        <f t="shared" si="159"/>
        <v>110</v>
      </c>
      <c r="AN443" s="92" t="str">
        <f t="shared" si="160"/>
        <v>Decreasing</v>
      </c>
      <c r="AO443" s="93">
        <f>VLOOKUP(B443,'Growthrates source'!A$2:H$49,8,FALSE)</f>
        <v>-2.9414192821425544E-2</v>
      </c>
      <c r="AP443" s="93">
        <f>VLOOKUP(B443,'Growthrates source'!A$2:I$49,9,FALSE)</f>
        <v>0.35384209356504925</v>
      </c>
      <c r="AQ443" s="86">
        <f t="shared" si="161"/>
        <v>127.42797842514614</v>
      </c>
      <c r="AR443" s="86">
        <f t="shared" si="162"/>
        <v>317.98577417715677</v>
      </c>
      <c r="AS443" s="94">
        <f t="shared" si="163"/>
        <v>0</v>
      </c>
      <c r="AT443" s="94">
        <f t="shared" si="164"/>
        <v>0.500451088412874</v>
      </c>
      <c r="AU443" s="94">
        <f t="shared" si="148"/>
        <v>0.18285077031989633</v>
      </c>
      <c r="AV443" s="94">
        <f t="shared" si="149"/>
        <v>0.47705257834992243</v>
      </c>
    </row>
    <row r="444" spans="1:48" x14ac:dyDescent="0.3">
      <c r="A444" s="85" t="str">
        <f>_xlfn.XLOOKUP(B444,'Country codes &amp; Data sources'!G:G,'Country codes &amp; Data sources'!H:H,,0)</f>
        <v>Lesotho</v>
      </c>
      <c r="B444" s="85" t="s">
        <v>160</v>
      </c>
      <c r="C444" s="86">
        <v>2054728</v>
      </c>
      <c r="D444" s="85" t="s">
        <v>205</v>
      </c>
      <c r="E444" s="87">
        <v>0</v>
      </c>
      <c r="F444" s="88">
        <v>2073938.4999999998</v>
      </c>
      <c r="G444" s="87">
        <v>0</v>
      </c>
      <c r="I444" s="87">
        <v>0</v>
      </c>
      <c r="K444" s="87">
        <v>0</v>
      </c>
      <c r="M444" s="87">
        <v>0</v>
      </c>
      <c r="O444" s="87">
        <v>0</v>
      </c>
      <c r="P444" s="88">
        <v>2198017</v>
      </c>
      <c r="Q444" s="87">
        <v>0</v>
      </c>
      <c r="R444" s="87">
        <f t="shared" si="150"/>
        <v>10</v>
      </c>
      <c r="T444" s="87">
        <v>6</v>
      </c>
      <c r="V444" s="87">
        <v>0</v>
      </c>
      <c r="X444" s="87">
        <v>13</v>
      </c>
      <c r="Y444" s="88">
        <v>2305825.5000000019</v>
      </c>
      <c r="Z444" s="87">
        <v>13</v>
      </c>
      <c r="AA444" s="87">
        <v>10</v>
      </c>
      <c r="AB444" s="89">
        <f t="shared" si="151"/>
        <v>0</v>
      </c>
      <c r="AC444" s="89">
        <f t="shared" si="152"/>
        <v>6</v>
      </c>
      <c r="AD444" s="89">
        <f t="shared" si="153"/>
        <v>13</v>
      </c>
      <c r="AF444" s="90" t="str">
        <f t="shared" si="154"/>
        <v/>
      </c>
      <c r="AG444" s="90">
        <f t="shared" si="165"/>
        <v>10</v>
      </c>
      <c r="AH444" s="90" t="str">
        <f t="shared" si="155"/>
        <v>2018 (triag)</v>
      </c>
      <c r="AI444" s="90">
        <f t="shared" si="156"/>
        <v>13</v>
      </c>
      <c r="AJ444" s="90">
        <f t="shared" si="157"/>
        <v>2021</v>
      </c>
      <c r="AK444" s="90" t="str">
        <f t="shared" si="158"/>
        <v/>
      </c>
      <c r="AL444" s="91">
        <f>IF(AK444="Adjust",(_xlfn.XLOOKUP(A444,'Adj factor'!A:A,'Adj factor'!I:I,,0)*AI444),'Master DataSheet (Rev)'!AI444)</f>
        <v>13</v>
      </c>
      <c r="AM444" s="104">
        <v>13</v>
      </c>
      <c r="AN444" s="92" t="str">
        <f t="shared" si="160"/>
        <v>Increasing</v>
      </c>
      <c r="AO444" s="93">
        <f>VLOOKUP(B444,'Growthrates source'!A$2:H$49,8,FALSE)</f>
        <v>-2.9414192821425544E-2</v>
      </c>
      <c r="AP444" s="93">
        <f>VLOOKUP(B444,'Growthrates source'!A$2:I$49,9,FALSE)</f>
        <v>0.35384209356504925</v>
      </c>
      <c r="AQ444" s="86">
        <f t="shared" si="161"/>
        <v>11.584361675013286</v>
      </c>
      <c r="AR444" s="86">
        <f t="shared" si="162"/>
        <v>28.907797652468798</v>
      </c>
      <c r="AS444" s="94">
        <f t="shared" si="163"/>
        <v>0</v>
      </c>
      <c r="AT444" s="94">
        <f t="shared" si="164"/>
        <v>4.5495553492079455E-2</v>
      </c>
      <c r="AU444" s="94">
        <f t="shared" si="148"/>
        <v>5.6378941077718105E-2</v>
      </c>
      <c r="AV444" s="94">
        <f t="shared" si="149"/>
        <v>5.6378941077718105E-2</v>
      </c>
    </row>
    <row r="445" spans="1:48" x14ac:dyDescent="0.3">
      <c r="A445" s="85" t="str">
        <f>_xlfn.XLOOKUP(B445,'Country codes &amp; Data sources'!G:G,'Country codes &amp; Data sources'!H:H,,0)</f>
        <v>Lesotho</v>
      </c>
      <c r="B445" s="85" t="s">
        <v>160</v>
      </c>
      <c r="C445" s="86">
        <v>2054729</v>
      </c>
      <c r="D445" s="85" t="s">
        <v>133</v>
      </c>
      <c r="E445" s="87">
        <v>0</v>
      </c>
      <c r="F445" s="88">
        <v>2073938.4999999998</v>
      </c>
      <c r="G445" s="87">
        <v>0</v>
      </c>
      <c r="I445" s="87">
        <v>0</v>
      </c>
      <c r="K445" s="87">
        <v>0</v>
      </c>
      <c r="M445" s="87">
        <v>0</v>
      </c>
      <c r="O445" s="87">
        <v>0</v>
      </c>
      <c r="P445" s="88">
        <v>2198017</v>
      </c>
      <c r="Q445" s="87">
        <v>205</v>
      </c>
      <c r="R445" s="87">
        <f t="shared" si="150"/>
        <v>416</v>
      </c>
      <c r="T445" s="87">
        <v>0</v>
      </c>
      <c r="V445" s="87">
        <v>0</v>
      </c>
      <c r="Y445" s="88">
        <v>2305825.5000000019</v>
      </c>
      <c r="Z445" s="87">
        <v>0</v>
      </c>
      <c r="AA445" s="87">
        <v>416</v>
      </c>
      <c r="AB445" s="89">
        <f t="shared" si="151"/>
        <v>0</v>
      </c>
      <c r="AC445" s="89">
        <f t="shared" si="152"/>
        <v>205</v>
      </c>
      <c r="AD445" s="89">
        <f t="shared" si="153"/>
        <v>0</v>
      </c>
      <c r="AF445" s="90" t="str">
        <f t="shared" si="154"/>
        <v/>
      </c>
      <c r="AG445" s="90">
        <f t="shared" si="165"/>
        <v>416</v>
      </c>
      <c r="AH445" s="90" t="str">
        <f t="shared" si="155"/>
        <v>2018 (triag)</v>
      </c>
      <c r="AI445" s="90">
        <f t="shared" si="156"/>
        <v>416</v>
      </c>
      <c r="AJ445" s="90" t="str">
        <f t="shared" si="157"/>
        <v>2018 (triag)</v>
      </c>
      <c r="AK445" s="90" t="str">
        <f t="shared" si="158"/>
        <v/>
      </c>
      <c r="AL445" s="91">
        <f>IF(AK445="Adjust",(_xlfn.XLOOKUP(A445,'Adj factor'!A:A,'Adj factor'!I:I,,0)*AI445),'Master DataSheet (Rev)'!AI445)</f>
        <v>416</v>
      </c>
      <c r="AM445" s="91">
        <f t="shared" si="159"/>
        <v>416</v>
      </c>
      <c r="AN445" s="92" t="str">
        <f t="shared" si="160"/>
        <v>No change</v>
      </c>
      <c r="AO445" s="93">
        <f>VLOOKUP(B445,'Growthrates source'!A$2:H$49,8,FALSE)</f>
        <v>-2.9414192821425544E-2</v>
      </c>
      <c r="AP445" s="93">
        <f>VLOOKUP(B445,'Growthrates source'!A$2:I$49,9,FALSE)</f>
        <v>0.35384209356504925</v>
      </c>
      <c r="AQ445" s="86">
        <f t="shared" si="161"/>
        <v>481.90944568055266</v>
      </c>
      <c r="AR445" s="86">
        <f t="shared" si="162"/>
        <v>1202.5643823427019</v>
      </c>
      <c r="AS445" s="94">
        <f t="shared" si="163"/>
        <v>0</v>
      </c>
      <c r="AT445" s="94">
        <f t="shared" si="164"/>
        <v>1.8926150252705052</v>
      </c>
      <c r="AU445" s="94">
        <f t="shared" si="148"/>
        <v>1.8041261144869793</v>
      </c>
      <c r="AV445" s="94">
        <f t="shared" si="149"/>
        <v>1.8041261144869793</v>
      </c>
    </row>
    <row r="446" spans="1:48" x14ac:dyDescent="0.3">
      <c r="A446" s="85" t="str">
        <f>_xlfn.XLOOKUP(B446,'Country codes &amp; Data sources'!G:G,'Country codes &amp; Data sources'!H:H,,0)</f>
        <v>Lesotho</v>
      </c>
      <c r="B446" s="85" t="s">
        <v>160</v>
      </c>
      <c r="C446" s="86">
        <v>2054730</v>
      </c>
      <c r="D446" s="85" t="s">
        <v>206</v>
      </c>
      <c r="E446" s="87">
        <v>0</v>
      </c>
      <c r="F446" s="88">
        <v>2073938.4999999998</v>
      </c>
      <c r="G446" s="87">
        <v>0</v>
      </c>
      <c r="I446" s="87">
        <v>0</v>
      </c>
      <c r="K446" s="87">
        <v>0</v>
      </c>
      <c r="M446" s="87">
        <v>0</v>
      </c>
      <c r="O446" s="87">
        <v>0</v>
      </c>
      <c r="P446" s="88">
        <v>2198017</v>
      </c>
      <c r="Q446" s="87">
        <v>0</v>
      </c>
      <c r="R446" s="87">
        <f t="shared" si="150"/>
        <v>71</v>
      </c>
      <c r="T446" s="87">
        <v>0</v>
      </c>
      <c r="V446" s="87">
        <v>0</v>
      </c>
      <c r="X446" s="87">
        <v>0</v>
      </c>
      <c r="Y446" s="88">
        <v>2305825.5000000019</v>
      </c>
      <c r="Z446" s="87">
        <v>5</v>
      </c>
      <c r="AA446" s="87">
        <v>71</v>
      </c>
      <c r="AB446" s="89">
        <f t="shared" si="151"/>
        <v>0</v>
      </c>
      <c r="AC446" s="89">
        <f t="shared" si="152"/>
        <v>0</v>
      </c>
      <c r="AD446" s="89">
        <f t="shared" si="153"/>
        <v>5</v>
      </c>
      <c r="AF446" s="90" t="str">
        <f t="shared" si="154"/>
        <v/>
      </c>
      <c r="AG446" s="90">
        <f t="shared" si="165"/>
        <v>71</v>
      </c>
      <c r="AH446" s="90" t="str">
        <f t="shared" si="155"/>
        <v>2018 (triag)</v>
      </c>
      <c r="AI446" s="90">
        <f t="shared" si="156"/>
        <v>5</v>
      </c>
      <c r="AJ446" s="90">
        <f t="shared" si="157"/>
        <v>2022</v>
      </c>
      <c r="AK446" s="90" t="str">
        <f t="shared" si="158"/>
        <v>Adjust</v>
      </c>
      <c r="AL446" s="91">
        <f>IF(AK446="Adjust",(_xlfn.XLOOKUP(A446,'Adj factor'!A:A,'Adj factor'!I:I,,0)*AI446),'Master DataSheet (Rev)'!AI446)</f>
        <v>6.388211649973643</v>
      </c>
      <c r="AM446" s="91">
        <f t="shared" si="159"/>
        <v>71</v>
      </c>
      <c r="AN446" s="92" t="str">
        <f t="shared" si="160"/>
        <v>Decreasing</v>
      </c>
      <c r="AO446" s="93">
        <f>VLOOKUP(B446,'Growthrates source'!A$2:H$49,8,FALSE)</f>
        <v>-2.9414192821425544E-2</v>
      </c>
      <c r="AP446" s="93">
        <f>VLOOKUP(B446,'Growthrates source'!A$2:I$49,9,FALSE)</f>
        <v>0.35384209356504925</v>
      </c>
      <c r="AQ446" s="86">
        <f t="shared" si="161"/>
        <v>82.248967892594322</v>
      </c>
      <c r="AR446" s="86">
        <f t="shared" si="162"/>
        <v>205.24536333252846</v>
      </c>
      <c r="AS446" s="94">
        <f t="shared" si="163"/>
        <v>0</v>
      </c>
      <c r="AT446" s="94">
        <f t="shared" si="164"/>
        <v>0.32301842979376411</v>
      </c>
      <c r="AU446" s="94">
        <f t="shared" si="148"/>
        <v>2.7704662169681264E-2</v>
      </c>
      <c r="AV446" s="94">
        <f t="shared" si="149"/>
        <v>0.30791575511676811</v>
      </c>
    </row>
    <row r="447" spans="1:48" x14ac:dyDescent="0.3">
      <c r="A447" s="85" t="str">
        <f>_xlfn.XLOOKUP(B447,'Country codes &amp; Data sources'!G:G,'Country codes &amp; Data sources'!H:H,,0)</f>
        <v>Lesotho</v>
      </c>
      <c r="B447" s="85" t="s">
        <v>160</v>
      </c>
      <c r="C447" s="86">
        <v>2054731</v>
      </c>
      <c r="D447" s="85" t="s">
        <v>136</v>
      </c>
      <c r="E447" s="87">
        <v>0</v>
      </c>
      <c r="F447" s="88">
        <v>2073938.4999999998</v>
      </c>
      <c r="G447" s="87">
        <v>0</v>
      </c>
      <c r="I447" s="87">
        <v>0</v>
      </c>
      <c r="K447" s="87">
        <v>0</v>
      </c>
      <c r="M447" s="87">
        <v>0</v>
      </c>
      <c r="O447" s="87">
        <v>0</v>
      </c>
      <c r="P447" s="88">
        <v>2198017</v>
      </c>
      <c r="Q447" s="87">
        <v>0</v>
      </c>
      <c r="R447" s="87">
        <f t="shared" si="150"/>
        <v>41</v>
      </c>
      <c r="T447" s="87">
        <v>0</v>
      </c>
      <c r="V447" s="87">
        <v>0</v>
      </c>
      <c r="X447" s="103">
        <v>41</v>
      </c>
      <c r="Y447" s="88">
        <v>2305825.5000000019</v>
      </c>
      <c r="Z447" s="87">
        <v>76</v>
      </c>
      <c r="AA447" s="87">
        <v>41</v>
      </c>
      <c r="AB447" s="89">
        <f t="shared" si="151"/>
        <v>0</v>
      </c>
      <c r="AC447" s="89">
        <f t="shared" si="152"/>
        <v>0</v>
      </c>
      <c r="AD447" s="89">
        <f t="shared" si="153"/>
        <v>76</v>
      </c>
      <c r="AF447" s="90" t="str">
        <f t="shared" si="154"/>
        <v/>
      </c>
      <c r="AG447" s="90">
        <f t="shared" si="165"/>
        <v>41</v>
      </c>
      <c r="AH447" s="90" t="str">
        <f t="shared" si="155"/>
        <v>2018 (triag)</v>
      </c>
      <c r="AI447" s="90">
        <f t="shared" si="156"/>
        <v>76</v>
      </c>
      <c r="AJ447" s="90">
        <f t="shared" si="157"/>
        <v>2022</v>
      </c>
      <c r="AK447" s="90" t="str">
        <f t="shared" si="158"/>
        <v/>
      </c>
      <c r="AL447" s="91">
        <f>IF(AK447="Adjust",(_xlfn.XLOOKUP(A447,'Adj factor'!A:A,'Adj factor'!I:I,,0)*AI447),'Master DataSheet (Rev)'!AI447)</f>
        <v>76</v>
      </c>
      <c r="AM447" s="91">
        <f t="shared" si="159"/>
        <v>76</v>
      </c>
      <c r="AN447" s="92" t="str">
        <f t="shared" si="160"/>
        <v>Increasing</v>
      </c>
      <c r="AO447" s="93">
        <f>VLOOKUP(B447,'Growthrates source'!A$2:H$49,8,FALSE)</f>
        <v>-2.9414192821425544E-2</v>
      </c>
      <c r="AP447" s="93">
        <f>VLOOKUP(B447,'Growthrates source'!A$2:I$49,9,FALSE)</f>
        <v>0.35384209356504925</v>
      </c>
      <c r="AQ447" s="86">
        <f t="shared" si="161"/>
        <v>47.495882867554471</v>
      </c>
      <c r="AR447" s="86">
        <f t="shared" si="162"/>
        <v>118.52197037512208</v>
      </c>
      <c r="AS447" s="94">
        <f t="shared" si="163"/>
        <v>0</v>
      </c>
      <c r="AT447" s="94">
        <f t="shared" si="164"/>
        <v>0.18653176931752574</v>
      </c>
      <c r="AU447" s="94">
        <f t="shared" si="148"/>
        <v>0.32959996322358276</v>
      </c>
      <c r="AV447" s="94">
        <f t="shared" si="149"/>
        <v>0.32959996322358276</v>
      </c>
    </row>
    <row r="448" spans="1:48" x14ac:dyDescent="0.3">
      <c r="A448" s="85" t="str">
        <f>_xlfn.XLOOKUP(B448,'Country codes &amp; Data sources'!G:G,'Country codes &amp; Data sources'!H:H,,0)</f>
        <v>Lesotho</v>
      </c>
      <c r="B448" s="85" t="s">
        <v>160</v>
      </c>
      <c r="C448" s="86">
        <v>2054732</v>
      </c>
      <c r="D448" s="85" t="s">
        <v>207</v>
      </c>
      <c r="E448" s="87">
        <v>0</v>
      </c>
      <c r="F448" s="88">
        <v>2073938.4999999998</v>
      </c>
      <c r="G448" s="87">
        <v>0</v>
      </c>
      <c r="I448" s="87">
        <v>0</v>
      </c>
      <c r="K448" s="87">
        <v>0</v>
      </c>
      <c r="M448" s="87">
        <v>0</v>
      </c>
      <c r="O448" s="87">
        <v>0</v>
      </c>
      <c r="P448" s="88">
        <v>2198017</v>
      </c>
      <c r="Q448" s="87">
        <v>0</v>
      </c>
      <c r="R448" s="87">
        <f t="shared" si="150"/>
        <v>349</v>
      </c>
      <c r="T448" s="87">
        <v>0</v>
      </c>
      <c r="V448" s="87">
        <v>0</v>
      </c>
      <c r="X448" s="87">
        <v>0</v>
      </c>
      <c r="Y448" s="88">
        <v>2305825.5000000019</v>
      </c>
      <c r="Z448" s="87">
        <v>0</v>
      </c>
      <c r="AA448" s="87">
        <v>349</v>
      </c>
      <c r="AB448" s="89">
        <f t="shared" si="151"/>
        <v>0</v>
      </c>
      <c r="AC448" s="89">
        <f t="shared" si="152"/>
        <v>0</v>
      </c>
      <c r="AD448" s="89">
        <f t="shared" si="153"/>
        <v>0</v>
      </c>
      <c r="AF448" s="90" t="str">
        <f t="shared" si="154"/>
        <v/>
      </c>
      <c r="AG448" s="90">
        <f t="shared" si="165"/>
        <v>349</v>
      </c>
      <c r="AH448" s="90" t="str">
        <f t="shared" si="155"/>
        <v>2018 (triag)</v>
      </c>
      <c r="AI448" s="90">
        <f t="shared" si="156"/>
        <v>349</v>
      </c>
      <c r="AJ448" s="90" t="str">
        <f t="shared" si="157"/>
        <v>2018 (triag)</v>
      </c>
      <c r="AK448" s="90" t="str">
        <f t="shared" si="158"/>
        <v/>
      </c>
      <c r="AL448" s="91">
        <f>IF(AK448="Adjust",(_xlfn.XLOOKUP(A448,'Adj factor'!A:A,'Adj factor'!I:I,,0)*AI448),'Master DataSheet (Rev)'!AI448)</f>
        <v>349</v>
      </c>
      <c r="AM448" s="91">
        <f t="shared" si="159"/>
        <v>349</v>
      </c>
      <c r="AN448" s="92" t="str">
        <f t="shared" si="160"/>
        <v>No change</v>
      </c>
      <c r="AO448" s="93">
        <f>VLOOKUP(B448,'Growthrates source'!A$2:H$49,8,FALSE)</f>
        <v>-2.9414192821425544E-2</v>
      </c>
      <c r="AP448" s="93">
        <f>VLOOKUP(B448,'Growthrates source'!A$2:I$49,9,FALSE)</f>
        <v>0.35384209356504925</v>
      </c>
      <c r="AQ448" s="86">
        <f t="shared" si="161"/>
        <v>404.29422245796366</v>
      </c>
      <c r="AR448" s="86">
        <f t="shared" si="162"/>
        <v>1008.8821380711611</v>
      </c>
      <c r="AS448" s="94">
        <f t="shared" si="163"/>
        <v>0</v>
      </c>
      <c r="AT448" s="94">
        <f t="shared" si="164"/>
        <v>1.5877948168735729</v>
      </c>
      <c r="AU448" s="94">
        <f t="shared" si="148"/>
        <v>1.5135577258556629</v>
      </c>
      <c r="AV448" s="94">
        <f t="shared" si="149"/>
        <v>1.5135577258556629</v>
      </c>
    </row>
    <row r="449" spans="1:48" x14ac:dyDescent="0.3">
      <c r="A449" s="85" t="str">
        <f>_xlfn.XLOOKUP(B449,'Country codes &amp; Data sources'!G:G,'Country codes &amp; Data sources'!H:H,,0)</f>
        <v>Lesotho</v>
      </c>
      <c r="B449" s="85" t="s">
        <v>160</v>
      </c>
      <c r="C449" s="86">
        <v>2054733</v>
      </c>
      <c r="D449" s="85" t="s">
        <v>141</v>
      </c>
      <c r="E449" s="87">
        <v>0</v>
      </c>
      <c r="F449" s="88">
        <v>2073938.4999999998</v>
      </c>
      <c r="G449" s="87">
        <v>0</v>
      </c>
      <c r="I449" s="87">
        <v>0</v>
      </c>
      <c r="K449" s="87">
        <v>0</v>
      </c>
      <c r="M449" s="87">
        <v>0</v>
      </c>
      <c r="O449" s="87">
        <v>0</v>
      </c>
      <c r="P449" s="88">
        <v>2198017</v>
      </c>
      <c r="Q449" s="87">
        <v>0</v>
      </c>
      <c r="R449" s="87">
        <f t="shared" si="150"/>
        <v>8</v>
      </c>
      <c r="T449" s="87">
        <v>0</v>
      </c>
      <c r="V449" s="87">
        <v>0</v>
      </c>
      <c r="X449" s="103">
        <v>13</v>
      </c>
      <c r="Y449" s="88">
        <v>2305825.5000000019</v>
      </c>
      <c r="Z449" s="87">
        <v>13</v>
      </c>
      <c r="AA449" s="87">
        <v>8</v>
      </c>
      <c r="AB449" s="89">
        <f t="shared" si="151"/>
        <v>0</v>
      </c>
      <c r="AC449" s="89">
        <f t="shared" si="152"/>
        <v>0</v>
      </c>
      <c r="AD449" s="89">
        <f t="shared" si="153"/>
        <v>13</v>
      </c>
      <c r="AF449" s="90" t="str">
        <f t="shared" si="154"/>
        <v/>
      </c>
      <c r="AG449" s="90">
        <f t="shared" si="165"/>
        <v>8</v>
      </c>
      <c r="AH449" s="90" t="str">
        <f t="shared" si="155"/>
        <v>2018 (triag)</v>
      </c>
      <c r="AI449" s="90">
        <f t="shared" si="156"/>
        <v>13</v>
      </c>
      <c r="AJ449" s="90">
        <f t="shared" si="157"/>
        <v>2021</v>
      </c>
      <c r="AK449" s="90" t="str">
        <f t="shared" si="158"/>
        <v/>
      </c>
      <c r="AL449" s="91">
        <f>IF(AK449="Adjust",(_xlfn.XLOOKUP(A449,'Adj factor'!A:A,'Adj factor'!I:I,,0)*AI449),'Master DataSheet (Rev)'!AI449)</f>
        <v>13</v>
      </c>
      <c r="AM449" s="61">
        <v>13</v>
      </c>
      <c r="AN449" s="92" t="str">
        <f t="shared" si="160"/>
        <v>Increasing</v>
      </c>
      <c r="AO449" s="93">
        <f>VLOOKUP(B449,'Growthrates source'!A$2:H$49,8,FALSE)</f>
        <v>-2.9414192821425544E-2</v>
      </c>
      <c r="AP449" s="93">
        <f>VLOOKUP(B449,'Growthrates source'!A$2:I$49,9,FALSE)</f>
        <v>0.35384209356504925</v>
      </c>
      <c r="AQ449" s="86">
        <f t="shared" si="161"/>
        <v>9.2674893400106289</v>
      </c>
      <c r="AR449" s="86">
        <f t="shared" si="162"/>
        <v>23.126238121975039</v>
      </c>
      <c r="AS449" s="94">
        <f t="shared" si="163"/>
        <v>0</v>
      </c>
      <c r="AT449" s="94">
        <f t="shared" si="164"/>
        <v>3.639644279366356E-2</v>
      </c>
      <c r="AU449" s="94">
        <f t="shared" si="148"/>
        <v>5.6378941077718105E-2</v>
      </c>
      <c r="AV449" s="94">
        <f t="shared" si="149"/>
        <v>5.6378941077718105E-2</v>
      </c>
    </row>
    <row r="450" spans="1:48" x14ac:dyDescent="0.3">
      <c r="A450" s="85" t="str">
        <f>_xlfn.XLOOKUP(B450,'Country codes &amp; Data sources'!G:G,'Country codes &amp; Data sources'!H:H,,0)</f>
        <v>Lesotho</v>
      </c>
      <c r="B450" s="85" t="s">
        <v>160</v>
      </c>
      <c r="C450" s="86">
        <v>2054734</v>
      </c>
      <c r="D450" s="85" t="s">
        <v>208</v>
      </c>
      <c r="E450" s="87">
        <v>0</v>
      </c>
      <c r="F450" s="88">
        <v>2073938.4999999998</v>
      </c>
      <c r="G450" s="87">
        <v>0</v>
      </c>
      <c r="I450" s="87">
        <v>0</v>
      </c>
      <c r="K450" s="87">
        <v>0</v>
      </c>
      <c r="M450" s="87">
        <v>0</v>
      </c>
      <c r="O450" s="87">
        <v>0</v>
      </c>
      <c r="P450" s="88">
        <v>2198017</v>
      </c>
      <c r="Q450" s="87">
        <v>0</v>
      </c>
      <c r="R450" s="87">
        <f t="shared" si="150"/>
        <v>2130</v>
      </c>
      <c r="T450" s="87">
        <v>0</v>
      </c>
      <c r="V450" s="87">
        <v>0</v>
      </c>
      <c r="X450" s="87">
        <v>0</v>
      </c>
      <c r="Y450" s="88">
        <v>2305825.5000000019</v>
      </c>
      <c r="Z450" s="87">
        <v>620</v>
      </c>
      <c r="AA450" s="87">
        <v>2130</v>
      </c>
      <c r="AB450" s="89">
        <f t="shared" si="151"/>
        <v>0</v>
      </c>
      <c r="AC450" s="89">
        <f t="shared" si="152"/>
        <v>0</v>
      </c>
      <c r="AD450" s="89">
        <f t="shared" si="153"/>
        <v>620</v>
      </c>
      <c r="AF450" s="90" t="str">
        <f t="shared" si="154"/>
        <v/>
      </c>
      <c r="AG450" s="90">
        <f t="shared" si="165"/>
        <v>2130</v>
      </c>
      <c r="AH450" s="90" t="str">
        <f t="shared" si="155"/>
        <v>2018 (triag)</v>
      </c>
      <c r="AI450" s="90">
        <f t="shared" si="156"/>
        <v>620</v>
      </c>
      <c r="AJ450" s="90">
        <f t="shared" si="157"/>
        <v>2022</v>
      </c>
      <c r="AK450" s="90" t="str">
        <f t="shared" si="158"/>
        <v>Adjust</v>
      </c>
      <c r="AL450" s="91">
        <f>IF(AK450="Adjust",(_xlfn.XLOOKUP(A450,'Adj factor'!A:A,'Adj factor'!I:I,,0)*AI450),'Master DataSheet (Rev)'!AI450)</f>
        <v>792.13824459673174</v>
      </c>
      <c r="AM450" s="91">
        <f t="shared" si="159"/>
        <v>2130</v>
      </c>
      <c r="AN450" s="92" t="str">
        <f t="shared" si="160"/>
        <v>Decreasing</v>
      </c>
      <c r="AO450" s="93">
        <f>VLOOKUP(B450,'Growthrates source'!A$2:H$49,8,FALSE)</f>
        <v>-2.9414192821425544E-2</v>
      </c>
      <c r="AP450" s="93">
        <f>VLOOKUP(B450,'Growthrates source'!A$2:I$49,9,FALSE)</f>
        <v>0.35384209356504925</v>
      </c>
      <c r="AQ450" s="86">
        <f t="shared" si="161"/>
        <v>2467.4690367778298</v>
      </c>
      <c r="AR450" s="86">
        <f t="shared" si="162"/>
        <v>6157.3608999758544</v>
      </c>
      <c r="AS450" s="94">
        <f t="shared" si="163"/>
        <v>0</v>
      </c>
      <c r="AT450" s="94">
        <f t="shared" si="164"/>
        <v>9.6905528938129226</v>
      </c>
      <c r="AU450" s="94">
        <f t="shared" si="148"/>
        <v>3.4353781090404762</v>
      </c>
      <c r="AV450" s="94">
        <f t="shared" si="149"/>
        <v>9.237472653503044</v>
      </c>
    </row>
    <row r="451" spans="1:48" x14ac:dyDescent="0.3">
      <c r="A451" s="85" t="str">
        <f>_xlfn.XLOOKUP(B451,'Country codes &amp; Data sources'!G:G,'Country codes &amp; Data sources'!H:H,,0)</f>
        <v>Lesotho</v>
      </c>
      <c r="B451" s="85" t="s">
        <v>160</v>
      </c>
      <c r="C451" s="86">
        <v>2054735</v>
      </c>
      <c r="D451" s="85" t="s">
        <v>209</v>
      </c>
      <c r="E451" s="87">
        <v>0</v>
      </c>
      <c r="F451" s="88">
        <v>2073938.4999999998</v>
      </c>
      <c r="G451" s="87">
        <v>0</v>
      </c>
      <c r="I451" s="87">
        <v>0</v>
      </c>
      <c r="K451" s="87">
        <v>0</v>
      </c>
      <c r="M451" s="87">
        <v>0</v>
      </c>
      <c r="O451" s="87">
        <v>0</v>
      </c>
      <c r="P451" s="88">
        <v>2198017</v>
      </c>
      <c r="Q451" s="87">
        <v>0</v>
      </c>
      <c r="R451" s="87">
        <f t="shared" si="150"/>
        <v>58</v>
      </c>
      <c r="T451" s="87">
        <v>0</v>
      </c>
      <c r="V451" s="87">
        <v>0</v>
      </c>
      <c r="X451" s="87">
        <v>0</v>
      </c>
      <c r="Y451" s="88">
        <v>2305825.5000000019</v>
      </c>
      <c r="Z451" s="87">
        <v>0</v>
      </c>
      <c r="AA451" s="87">
        <v>58</v>
      </c>
      <c r="AB451" s="89">
        <f t="shared" si="151"/>
        <v>0</v>
      </c>
      <c r="AC451" s="89">
        <f t="shared" si="152"/>
        <v>0</v>
      </c>
      <c r="AD451" s="89">
        <f t="shared" si="153"/>
        <v>0</v>
      </c>
      <c r="AF451" s="90" t="str">
        <f t="shared" si="154"/>
        <v/>
      </c>
      <c r="AG451" s="90">
        <f t="shared" si="165"/>
        <v>58</v>
      </c>
      <c r="AH451" s="90" t="str">
        <f t="shared" si="155"/>
        <v>2018 (triag)</v>
      </c>
      <c r="AI451" s="90">
        <f t="shared" si="156"/>
        <v>58</v>
      </c>
      <c r="AJ451" s="90" t="str">
        <f t="shared" si="157"/>
        <v>2018 (triag)</v>
      </c>
      <c r="AK451" s="90" t="str">
        <f t="shared" si="158"/>
        <v/>
      </c>
      <c r="AL451" s="91">
        <f>IF(AK451="Adjust",(_xlfn.XLOOKUP(A451,'Adj factor'!A:A,'Adj factor'!I:I,,0)*AI451),'Master DataSheet (Rev)'!AI451)</f>
        <v>58</v>
      </c>
      <c r="AM451" s="91">
        <f t="shared" si="159"/>
        <v>58</v>
      </c>
      <c r="AN451" s="92" t="str">
        <f t="shared" si="160"/>
        <v>No change</v>
      </c>
      <c r="AO451" s="93">
        <f>VLOOKUP(B451,'Growthrates source'!A$2:H$49,8,FALSE)</f>
        <v>-2.9414192821425544E-2</v>
      </c>
      <c r="AP451" s="93">
        <f>VLOOKUP(B451,'Growthrates source'!A$2:I$49,9,FALSE)</f>
        <v>0.35384209356504925</v>
      </c>
      <c r="AQ451" s="86">
        <f t="shared" si="161"/>
        <v>67.189297715077061</v>
      </c>
      <c r="AR451" s="86">
        <f t="shared" si="162"/>
        <v>167.66522638431903</v>
      </c>
      <c r="AS451" s="94">
        <f t="shared" si="163"/>
        <v>0</v>
      </c>
      <c r="AT451" s="94">
        <f t="shared" si="164"/>
        <v>0.26387421025406083</v>
      </c>
      <c r="AU451" s="94">
        <f t="shared" ref="AU451:AU514" si="167">(AL451*10000)/Y451</f>
        <v>0.25153681403905004</v>
      </c>
      <c r="AV451" s="94">
        <f t="shared" ref="AV451:AV514" si="168">(AM451*10000)/Y451</f>
        <v>0.25153681403905004</v>
      </c>
    </row>
    <row r="452" spans="1:48" x14ac:dyDescent="0.3">
      <c r="A452" s="85" t="str">
        <f>_xlfn.XLOOKUP(B452,'Country codes &amp; Data sources'!G:G,'Country codes &amp; Data sources'!H:H,,0)</f>
        <v>Lesotho</v>
      </c>
      <c r="B452" s="85" t="s">
        <v>160</v>
      </c>
      <c r="C452" s="86">
        <v>2054736</v>
      </c>
      <c r="D452" s="85" t="s">
        <v>134</v>
      </c>
      <c r="E452" s="87">
        <v>0</v>
      </c>
      <c r="F452" s="88">
        <v>2073938.4999999998</v>
      </c>
      <c r="G452" s="87">
        <v>0</v>
      </c>
      <c r="I452" s="87">
        <v>0</v>
      </c>
      <c r="K452" s="87">
        <v>0</v>
      </c>
      <c r="M452" s="87">
        <v>0</v>
      </c>
      <c r="O452" s="87">
        <v>0</v>
      </c>
      <c r="P452" s="88">
        <v>2198017</v>
      </c>
      <c r="Q452" s="87">
        <v>0</v>
      </c>
      <c r="R452" s="87">
        <f t="shared" si="150"/>
        <v>205</v>
      </c>
      <c r="T452" s="87">
        <v>0</v>
      </c>
      <c r="V452" s="87">
        <v>0</v>
      </c>
      <c r="X452" s="103">
        <v>273</v>
      </c>
      <c r="Y452" s="88">
        <v>2305825.5000000019</v>
      </c>
      <c r="Z452" s="103">
        <v>273</v>
      </c>
      <c r="AA452" s="87">
        <v>205</v>
      </c>
      <c r="AB452" s="89">
        <f t="shared" si="151"/>
        <v>0</v>
      </c>
      <c r="AC452" s="89">
        <f t="shared" si="152"/>
        <v>0</v>
      </c>
      <c r="AD452" s="89">
        <f t="shared" si="153"/>
        <v>273</v>
      </c>
      <c r="AF452" s="90" t="str">
        <f t="shared" si="154"/>
        <v/>
      </c>
      <c r="AG452" s="90">
        <f t="shared" si="165"/>
        <v>205</v>
      </c>
      <c r="AH452" s="90" t="str">
        <f t="shared" si="155"/>
        <v>2018 (triag)</v>
      </c>
      <c r="AI452" s="90">
        <f t="shared" si="156"/>
        <v>273</v>
      </c>
      <c r="AJ452" s="90">
        <f t="shared" si="157"/>
        <v>2021</v>
      </c>
      <c r="AK452" s="90" t="str">
        <f t="shared" si="158"/>
        <v/>
      </c>
      <c r="AL452" s="91">
        <f>IF(AK452="Adjust",(_xlfn.XLOOKUP(A452,'Adj factor'!A:A,'Adj factor'!I:I,,0)*AI452),'Master DataSheet (Rev)'!AI452)</f>
        <v>273</v>
      </c>
      <c r="AM452" s="104">
        <v>273</v>
      </c>
      <c r="AN452" s="92" t="str">
        <f t="shared" si="160"/>
        <v>Increasing</v>
      </c>
      <c r="AO452" s="93">
        <f>VLOOKUP(B452,'Growthrates source'!A$2:H$49,8,FALSE)</f>
        <v>-2.9414192821425544E-2</v>
      </c>
      <c r="AP452" s="93">
        <f>VLOOKUP(B452,'Growthrates source'!A$2:I$49,9,FALSE)</f>
        <v>0.35384209356504925</v>
      </c>
      <c r="AQ452" s="86">
        <f t="shared" si="161"/>
        <v>237.47941433777234</v>
      </c>
      <c r="AR452" s="86">
        <f t="shared" si="162"/>
        <v>592.60985187561039</v>
      </c>
      <c r="AS452" s="94">
        <f t="shared" si="163"/>
        <v>0</v>
      </c>
      <c r="AT452" s="94">
        <f t="shared" si="164"/>
        <v>0.93265884658762876</v>
      </c>
      <c r="AU452" s="94">
        <f t="shared" si="167"/>
        <v>1.1839577626320803</v>
      </c>
      <c r="AV452" s="94">
        <f t="shared" si="168"/>
        <v>1.1839577626320803</v>
      </c>
    </row>
    <row r="453" spans="1:48" x14ac:dyDescent="0.3">
      <c r="A453" s="85" t="str">
        <f>_xlfn.XLOOKUP(B453,'Country codes &amp; Data sources'!G:G,'Country codes &amp; Data sources'!H:H,,0)</f>
        <v>Lesotho</v>
      </c>
      <c r="B453" s="85" t="s">
        <v>160</v>
      </c>
      <c r="C453" s="86">
        <v>2054737</v>
      </c>
      <c r="D453" s="85" t="s">
        <v>142</v>
      </c>
      <c r="E453" s="87">
        <v>0</v>
      </c>
      <c r="F453" s="88">
        <v>2073938.4999999998</v>
      </c>
      <c r="G453" s="87">
        <v>0</v>
      </c>
      <c r="I453" s="87">
        <v>0</v>
      </c>
      <c r="K453" s="87">
        <v>0</v>
      </c>
      <c r="M453" s="87">
        <v>0</v>
      </c>
      <c r="O453" s="87">
        <v>0</v>
      </c>
      <c r="P453" s="88">
        <v>2198017</v>
      </c>
      <c r="Q453" s="87">
        <v>0</v>
      </c>
      <c r="R453" s="87">
        <f t="shared" si="150"/>
        <v>4</v>
      </c>
      <c r="T453" s="87">
        <v>0</v>
      </c>
      <c r="V453" s="87">
        <v>0</v>
      </c>
      <c r="X453" s="87">
        <v>0</v>
      </c>
      <c r="Y453" s="88">
        <v>2305825.5000000019</v>
      </c>
      <c r="Z453" s="87">
        <v>2</v>
      </c>
      <c r="AA453" s="87">
        <v>4</v>
      </c>
      <c r="AB453" s="89">
        <f t="shared" si="151"/>
        <v>0</v>
      </c>
      <c r="AC453" s="89">
        <f t="shared" si="152"/>
        <v>0</v>
      </c>
      <c r="AD453" s="89">
        <f t="shared" si="153"/>
        <v>2</v>
      </c>
      <c r="AF453" s="90" t="str">
        <f t="shared" si="154"/>
        <v/>
      </c>
      <c r="AG453" s="90">
        <f t="shared" si="165"/>
        <v>4</v>
      </c>
      <c r="AH453" s="90" t="str">
        <f t="shared" si="155"/>
        <v>2018 (triag)</v>
      </c>
      <c r="AI453" s="90">
        <f t="shared" si="156"/>
        <v>2</v>
      </c>
      <c r="AJ453" s="90">
        <f t="shared" si="157"/>
        <v>2022</v>
      </c>
      <c r="AK453" s="90" t="str">
        <f t="shared" si="158"/>
        <v>Adjust</v>
      </c>
      <c r="AL453" s="91">
        <f>IF(AK453="Adjust",(_xlfn.XLOOKUP(A453,'Adj factor'!A:A,'Adj factor'!I:I,,0)*AI453),'Master DataSheet (Rev)'!AI453)</f>
        <v>2.5552846599894572</v>
      </c>
      <c r="AM453" s="91">
        <f t="shared" si="159"/>
        <v>4</v>
      </c>
      <c r="AN453" s="92" t="str">
        <f t="shared" si="160"/>
        <v>Decreasing</v>
      </c>
      <c r="AO453" s="93">
        <f>VLOOKUP(B453,'Growthrates source'!A$2:H$49,8,FALSE)</f>
        <v>-2.9414192821425544E-2</v>
      </c>
      <c r="AP453" s="93">
        <f>VLOOKUP(B453,'Growthrates source'!A$2:I$49,9,FALSE)</f>
        <v>0.35384209356504925</v>
      </c>
      <c r="AQ453" s="86">
        <f t="shared" si="161"/>
        <v>4.6337446700053144</v>
      </c>
      <c r="AR453" s="86">
        <f t="shared" si="162"/>
        <v>11.563119060987519</v>
      </c>
      <c r="AS453" s="94">
        <f t="shared" si="163"/>
        <v>0</v>
      </c>
      <c r="AT453" s="94">
        <f t="shared" si="164"/>
        <v>1.819822139683178E-2</v>
      </c>
      <c r="AU453" s="94">
        <f t="shared" si="167"/>
        <v>1.1081864867872505E-2</v>
      </c>
      <c r="AV453" s="94">
        <f t="shared" si="168"/>
        <v>1.7347366485451727E-2</v>
      </c>
    </row>
    <row r="454" spans="1:48" x14ac:dyDescent="0.3">
      <c r="A454" s="85" t="str">
        <f>_xlfn.XLOOKUP(B454,'Country codes &amp; Data sources'!G:G,'Country codes &amp; Data sources'!H:H,,0)</f>
        <v>Lesotho</v>
      </c>
      <c r="B454" s="85" t="s">
        <v>160</v>
      </c>
      <c r="C454" s="86">
        <v>2054738</v>
      </c>
      <c r="D454" s="85" t="s">
        <v>83</v>
      </c>
      <c r="E454" s="87">
        <v>0</v>
      </c>
      <c r="F454" s="88">
        <v>2073938.4999999998</v>
      </c>
      <c r="G454" s="87">
        <v>0</v>
      </c>
      <c r="I454" s="87">
        <v>0</v>
      </c>
      <c r="K454" s="87">
        <v>0</v>
      </c>
      <c r="M454" s="87">
        <v>0</v>
      </c>
      <c r="O454" s="87">
        <v>0</v>
      </c>
      <c r="P454" s="88">
        <v>2198017</v>
      </c>
      <c r="Q454" s="87">
        <v>0</v>
      </c>
      <c r="R454" s="87">
        <f t="shared" si="150"/>
        <v>22</v>
      </c>
      <c r="T454" s="87">
        <v>0</v>
      </c>
      <c r="V454" s="87">
        <v>0</v>
      </c>
      <c r="X454" s="87">
        <v>22</v>
      </c>
      <c r="Y454" s="88">
        <v>2305825.5000000019</v>
      </c>
      <c r="Z454" s="87">
        <v>7</v>
      </c>
      <c r="AA454" s="87">
        <v>22</v>
      </c>
      <c r="AB454" s="89">
        <f t="shared" si="151"/>
        <v>0</v>
      </c>
      <c r="AC454" s="89">
        <f t="shared" si="152"/>
        <v>0</v>
      </c>
      <c r="AD454" s="89">
        <f t="shared" si="153"/>
        <v>22</v>
      </c>
      <c r="AF454" s="90" t="str">
        <f t="shared" si="154"/>
        <v/>
      </c>
      <c r="AG454" s="90">
        <f t="shared" si="165"/>
        <v>22</v>
      </c>
      <c r="AH454" s="90" t="str">
        <f t="shared" si="155"/>
        <v>2018 (triag)</v>
      </c>
      <c r="AI454" s="90">
        <f t="shared" si="156"/>
        <v>7</v>
      </c>
      <c r="AJ454" s="90">
        <f t="shared" si="157"/>
        <v>2022</v>
      </c>
      <c r="AK454" s="90" t="str">
        <f t="shared" si="158"/>
        <v>Adjust</v>
      </c>
      <c r="AL454" s="91">
        <f>IF(AK454="Adjust",(_xlfn.XLOOKUP(A454,'Adj factor'!A:A,'Adj factor'!I:I,,0)*AI454),'Master DataSheet (Rev)'!AI454)</f>
        <v>8.9434963099631002</v>
      </c>
      <c r="AM454" s="91">
        <f t="shared" si="159"/>
        <v>22</v>
      </c>
      <c r="AN454" s="92" t="str">
        <f t="shared" si="160"/>
        <v>Decreasing</v>
      </c>
      <c r="AO454" s="93">
        <f>VLOOKUP(B454,'Growthrates source'!A$2:H$49,8,FALSE)</f>
        <v>-2.9414192821425544E-2</v>
      </c>
      <c r="AP454" s="93">
        <f>VLOOKUP(B454,'Growthrates source'!A$2:I$49,9,FALSE)</f>
        <v>0.35384209356504925</v>
      </c>
      <c r="AQ454" s="86">
        <f t="shared" si="161"/>
        <v>25.485595685029228</v>
      </c>
      <c r="AR454" s="86">
        <f t="shared" si="162"/>
        <v>63.597154835431354</v>
      </c>
      <c r="AS454" s="94">
        <f t="shared" si="163"/>
        <v>0</v>
      </c>
      <c r="AT454" s="94">
        <f t="shared" si="164"/>
        <v>0.1000902176825748</v>
      </c>
      <c r="AU454" s="94">
        <f t="shared" si="167"/>
        <v>3.8786527037553767E-2</v>
      </c>
      <c r="AV454" s="94">
        <f t="shared" si="168"/>
        <v>9.5410515669984486E-2</v>
      </c>
    </row>
    <row r="455" spans="1:48" x14ac:dyDescent="0.3">
      <c r="A455" s="85" t="str">
        <f>_xlfn.XLOOKUP(B455,'Country codes &amp; Data sources'!G:G,'Country codes &amp; Data sources'!H:H,,0)</f>
        <v>Lesotho</v>
      </c>
      <c r="B455" s="85" t="s">
        <v>160</v>
      </c>
      <c r="C455" s="86">
        <v>2054739</v>
      </c>
      <c r="D455" s="85" t="s">
        <v>84</v>
      </c>
      <c r="E455" s="87">
        <v>0</v>
      </c>
      <c r="F455" s="88">
        <v>2073938.4999999998</v>
      </c>
      <c r="G455" s="87">
        <v>0</v>
      </c>
      <c r="I455" s="87">
        <v>0</v>
      </c>
      <c r="K455" s="87">
        <v>0</v>
      </c>
      <c r="M455" s="87">
        <v>0</v>
      </c>
      <c r="O455" s="87">
        <v>0</v>
      </c>
      <c r="P455" s="88">
        <v>2198017</v>
      </c>
      <c r="Q455" s="87">
        <v>0</v>
      </c>
      <c r="R455" s="87">
        <f t="shared" si="150"/>
        <v>0</v>
      </c>
      <c r="T455" s="87">
        <v>0</v>
      </c>
      <c r="V455" s="87">
        <v>0</v>
      </c>
      <c r="X455" s="87">
        <v>0</v>
      </c>
      <c r="Y455" s="88">
        <v>2305825.5000000019</v>
      </c>
      <c r="Z455" s="87">
        <v>0</v>
      </c>
      <c r="AA455" s="87">
        <v>0</v>
      </c>
      <c r="AB455" s="89">
        <f t="shared" si="151"/>
        <v>0</v>
      </c>
      <c r="AC455" s="89">
        <f t="shared" si="152"/>
        <v>0</v>
      </c>
      <c r="AD455" s="89">
        <f t="shared" si="153"/>
        <v>0</v>
      </c>
      <c r="AF455" s="90" t="str">
        <f t="shared" si="154"/>
        <v/>
      </c>
      <c r="AH455" s="90" t="str">
        <f t="shared" si="155"/>
        <v/>
      </c>
      <c r="AI455" s="90">
        <f t="shared" si="156"/>
        <v>0</v>
      </c>
      <c r="AJ455" s="90" t="str">
        <f t="shared" si="157"/>
        <v/>
      </c>
      <c r="AK455" s="90" t="str">
        <f t="shared" si="158"/>
        <v/>
      </c>
      <c r="AL455" s="91"/>
      <c r="AM455" s="91">
        <f t="shared" si="159"/>
        <v>0</v>
      </c>
      <c r="AN455" s="92" t="str">
        <f t="shared" si="160"/>
        <v>No change</v>
      </c>
      <c r="AO455" s="93">
        <f>VLOOKUP(B455,'Growthrates source'!A$2:H$49,8,FALSE)</f>
        <v>-2.9414192821425544E-2</v>
      </c>
      <c r="AP455" s="93">
        <f>VLOOKUP(B455,'Growthrates source'!A$2:I$49,9,FALSE)</f>
        <v>0.35384209356504925</v>
      </c>
      <c r="AQ455" s="86">
        <f t="shared" si="161"/>
        <v>0</v>
      </c>
      <c r="AR455" s="86">
        <f t="shared" si="162"/>
        <v>0</v>
      </c>
      <c r="AS455" s="94">
        <f t="shared" si="163"/>
        <v>0</v>
      </c>
      <c r="AT455" s="94">
        <f t="shared" si="164"/>
        <v>0</v>
      </c>
      <c r="AU455" s="94">
        <f t="shared" si="167"/>
        <v>0</v>
      </c>
      <c r="AV455" s="94">
        <f t="shared" si="168"/>
        <v>0</v>
      </c>
    </row>
    <row r="456" spans="1:48" x14ac:dyDescent="0.3">
      <c r="A456" s="85" t="str">
        <f>_xlfn.XLOOKUP(B456,'Country codes &amp; Data sources'!G:G,'Country codes &amp; Data sources'!H:H,,0)</f>
        <v>Lesotho</v>
      </c>
      <c r="B456" s="85" t="s">
        <v>160</v>
      </c>
      <c r="C456" s="86">
        <v>2054740</v>
      </c>
      <c r="D456" s="85" t="s">
        <v>126</v>
      </c>
      <c r="E456" s="87">
        <v>0</v>
      </c>
      <c r="F456" s="88">
        <v>2073938.4999999998</v>
      </c>
      <c r="G456" s="87">
        <v>0</v>
      </c>
      <c r="I456" s="87">
        <v>0</v>
      </c>
      <c r="K456" s="87">
        <v>0</v>
      </c>
      <c r="M456" s="87">
        <v>0</v>
      </c>
      <c r="O456" s="87">
        <v>0</v>
      </c>
      <c r="P456" s="88">
        <v>2198017</v>
      </c>
      <c r="Q456" s="87">
        <v>0</v>
      </c>
      <c r="R456" s="87">
        <f t="shared" si="150"/>
        <v>0</v>
      </c>
      <c r="T456" s="87">
        <v>0</v>
      </c>
      <c r="V456" s="87">
        <v>0</v>
      </c>
      <c r="X456" s="87">
        <v>0</v>
      </c>
      <c r="Y456" s="88">
        <v>2305825.5000000019</v>
      </c>
      <c r="Z456" s="87">
        <v>0</v>
      </c>
      <c r="AA456" s="87">
        <v>0</v>
      </c>
      <c r="AB456" s="89">
        <f t="shared" si="151"/>
        <v>0</v>
      </c>
      <c r="AC456" s="89">
        <f t="shared" si="152"/>
        <v>0</v>
      </c>
      <c r="AD456" s="89">
        <f t="shared" si="153"/>
        <v>0</v>
      </c>
      <c r="AF456" s="90" t="str">
        <f t="shared" si="154"/>
        <v/>
      </c>
      <c r="AH456" s="90" t="str">
        <f t="shared" si="155"/>
        <v/>
      </c>
      <c r="AI456" s="90">
        <f t="shared" si="156"/>
        <v>0</v>
      </c>
      <c r="AJ456" s="90" t="str">
        <f t="shared" si="157"/>
        <v/>
      </c>
      <c r="AK456" s="90" t="str">
        <f t="shared" si="158"/>
        <v/>
      </c>
      <c r="AL456" s="91"/>
      <c r="AM456" s="91">
        <f t="shared" si="159"/>
        <v>0</v>
      </c>
      <c r="AN456" s="92" t="str">
        <f t="shared" si="160"/>
        <v>No change</v>
      </c>
      <c r="AO456" s="93">
        <f>VLOOKUP(B456,'Growthrates source'!A$2:H$49,8,FALSE)</f>
        <v>-2.9414192821425544E-2</v>
      </c>
      <c r="AP456" s="93">
        <f>VLOOKUP(B456,'Growthrates source'!A$2:I$49,9,FALSE)</f>
        <v>0.35384209356504925</v>
      </c>
      <c r="AQ456" s="86">
        <f t="shared" si="161"/>
        <v>0</v>
      </c>
      <c r="AR456" s="86">
        <f t="shared" si="162"/>
        <v>0</v>
      </c>
      <c r="AS456" s="94">
        <f t="shared" si="163"/>
        <v>0</v>
      </c>
      <c r="AT456" s="94">
        <f t="shared" si="164"/>
        <v>0</v>
      </c>
      <c r="AU456" s="94">
        <f t="shared" si="167"/>
        <v>0</v>
      </c>
      <c r="AV456" s="94">
        <f t="shared" si="168"/>
        <v>0</v>
      </c>
    </row>
    <row r="457" spans="1:48" x14ac:dyDescent="0.3">
      <c r="A457" s="85" t="str">
        <f>_xlfn.XLOOKUP(B457,'Country codes &amp; Data sources'!G:G,'Country codes &amp; Data sources'!H:H,,0)</f>
        <v>Lesotho</v>
      </c>
      <c r="B457" s="85" t="s">
        <v>160</v>
      </c>
      <c r="C457" s="86">
        <v>2054741</v>
      </c>
      <c r="D457" s="85" t="s">
        <v>87</v>
      </c>
      <c r="E457" s="87">
        <v>0</v>
      </c>
      <c r="F457" s="88">
        <v>2073938.4999999998</v>
      </c>
      <c r="G457" s="87">
        <v>0</v>
      </c>
      <c r="I457" s="87">
        <v>0</v>
      </c>
      <c r="K457" s="87">
        <v>0</v>
      </c>
      <c r="M457" s="87">
        <v>0</v>
      </c>
      <c r="O457" s="87">
        <v>0</v>
      </c>
      <c r="P457" s="88">
        <v>2198017</v>
      </c>
      <c r="Q457" s="87">
        <v>0</v>
      </c>
      <c r="R457" s="87">
        <f t="shared" si="150"/>
        <v>6097</v>
      </c>
      <c r="T457" s="87">
        <v>0</v>
      </c>
      <c r="V457" s="87">
        <v>0</v>
      </c>
      <c r="X457" s="87">
        <v>0</v>
      </c>
      <c r="Y457" s="88">
        <v>2305825.5000000019</v>
      </c>
      <c r="Z457" s="87">
        <v>0</v>
      </c>
      <c r="AA457" s="87">
        <v>6097</v>
      </c>
      <c r="AB457" s="89">
        <f t="shared" si="151"/>
        <v>0</v>
      </c>
      <c r="AC457" s="89">
        <f t="shared" si="152"/>
        <v>0</v>
      </c>
      <c r="AD457" s="89">
        <f t="shared" si="153"/>
        <v>0</v>
      </c>
      <c r="AF457" s="90" t="str">
        <f t="shared" si="154"/>
        <v/>
      </c>
      <c r="AG457" s="90">
        <f t="shared" si="165"/>
        <v>6097</v>
      </c>
      <c r="AH457" s="90" t="str">
        <f t="shared" si="155"/>
        <v>2018 (triag)</v>
      </c>
      <c r="AI457" s="90">
        <f t="shared" si="156"/>
        <v>6097</v>
      </c>
      <c r="AJ457" s="90" t="str">
        <f t="shared" si="157"/>
        <v>2018 (triag)</v>
      </c>
      <c r="AK457" s="90" t="str">
        <f t="shared" si="158"/>
        <v/>
      </c>
      <c r="AL457" s="91">
        <f>IF(AK457="Adjust",(_xlfn.XLOOKUP(A457,'Adj factor'!A:A,'Adj factor'!I:I,,0)*AI457),'Master DataSheet (Rev)'!AI457)</f>
        <v>6097</v>
      </c>
      <c r="AM457" s="91">
        <f t="shared" si="159"/>
        <v>6097</v>
      </c>
      <c r="AN457" s="92" t="str">
        <f t="shared" si="160"/>
        <v>No change</v>
      </c>
      <c r="AO457" s="93">
        <f>VLOOKUP(B457,'Growthrates source'!A$2:H$49,8,FALSE)</f>
        <v>-2.9414192821425544E-2</v>
      </c>
      <c r="AP457" s="93">
        <f>VLOOKUP(B457,'Growthrates source'!A$2:I$49,9,FALSE)</f>
        <v>0.35384209356504925</v>
      </c>
      <c r="AQ457" s="86">
        <f t="shared" si="161"/>
        <v>7062.9853132556</v>
      </c>
      <c r="AR457" s="86">
        <f t="shared" si="162"/>
        <v>17625.084228710228</v>
      </c>
      <c r="AS457" s="94">
        <f t="shared" si="163"/>
        <v>0</v>
      </c>
      <c r="AT457" s="94">
        <f t="shared" si="164"/>
        <v>27.738638964120842</v>
      </c>
      <c r="AU457" s="94">
        <f t="shared" si="167"/>
        <v>26.441723365449793</v>
      </c>
      <c r="AV457" s="94">
        <f t="shared" si="168"/>
        <v>26.441723365449793</v>
      </c>
    </row>
    <row r="458" spans="1:48" x14ac:dyDescent="0.3">
      <c r="A458" s="85" t="str">
        <f>_xlfn.XLOOKUP(B458,'Country codes &amp; Data sources'!G:G,'Country codes &amp; Data sources'!H:H,,0)</f>
        <v>Madagascar</v>
      </c>
      <c r="B458" s="85" t="s">
        <v>177</v>
      </c>
      <c r="C458" s="86">
        <v>22966245</v>
      </c>
      <c r="D458" s="85" t="s">
        <v>127</v>
      </c>
      <c r="E458" s="87">
        <v>0</v>
      </c>
      <c r="F458" s="88">
        <v>23588073.5</v>
      </c>
      <c r="G458" s="87">
        <v>0</v>
      </c>
      <c r="I458" s="87">
        <v>0</v>
      </c>
      <c r="K458" s="87">
        <v>0</v>
      </c>
      <c r="M458" s="87">
        <v>0</v>
      </c>
      <c r="O458" s="87">
        <v>0</v>
      </c>
      <c r="P458" s="88">
        <v>26846541</v>
      </c>
      <c r="Q458" s="87">
        <v>35000</v>
      </c>
      <c r="R458" s="87">
        <f t="shared" ref="R458:R507" si="169">MAX(Q458,AA458)</f>
        <v>35000</v>
      </c>
      <c r="T458" s="87">
        <v>38338</v>
      </c>
      <c r="V458" s="87">
        <v>41616</v>
      </c>
      <c r="X458" s="87">
        <v>41616</v>
      </c>
      <c r="Y458" s="88">
        <v>29611714.000000004</v>
      </c>
      <c r="Z458" s="87">
        <v>0</v>
      </c>
      <c r="AA458" s="87">
        <v>35000</v>
      </c>
      <c r="AB458" s="89">
        <f t="shared" ref="AB458:AB507" si="170">MAX(G458,E458,I458,K458)</f>
        <v>0</v>
      </c>
      <c r="AC458" s="89">
        <f t="shared" ref="AC458:AC507" si="171">MAX(M458,O458,Q458,T458)</f>
        <v>38338</v>
      </c>
      <c r="AD458" s="89">
        <f t="shared" ref="AD458:AD507" si="172">MAX(V458,X458,Z458)</f>
        <v>41616</v>
      </c>
      <c r="AF458" s="90" t="str">
        <f t="shared" ref="AF458:AF507" si="173">IF(AE458&gt;0,_xlfn.XLOOKUP(AE458,$B458:$K458,$B$1:$K$1,,0),"")</f>
        <v/>
      </c>
      <c r="AG458" s="90">
        <f t="shared" ref="AG458:AG507" si="174">IF(R458&gt;0,R458,IF(O458&gt;0,O458,T458))</f>
        <v>35000</v>
      </c>
      <c r="AH458" s="90">
        <f t="shared" ref="AH458:AH507" si="175">IF(AG458&gt;0,_xlfn.XLOOKUP(AG458,$L458:$T458,$L$1:$T$1,,0),"")</f>
        <v>2018</v>
      </c>
      <c r="AI458" s="90">
        <f t="shared" ref="AI458:AI507" si="176">IF((IF(Z458&gt;0,Z458,IF(X458&gt;0,X458,IF(V458&gt;0,V458,T458))))=0,AG458,IF(Z458&gt;0,Z458,IF(X458&gt;0,X458,IF(V458&gt;0,V458,T458))))</f>
        <v>41616</v>
      </c>
      <c r="AJ458" s="90">
        <f t="shared" ref="AJ458:AJ507" si="177">IFERROR(IF(AI458&gt;0,_xlfn.XLOOKUP(AI458,$V458:$Z458,$V$1:$Z$1,,0),""),AH458)</f>
        <v>2020</v>
      </c>
      <c r="AK458" s="90" t="str">
        <f t="shared" ref="AK458:AK507" si="178">IF(AI458&lt;AG458,"Adjust","")</f>
        <v/>
      </c>
      <c r="AL458" s="91">
        <f>IF(AK458="Adjust",(_xlfn.XLOOKUP(A458,'Adj factor'!A:A,'Adj factor'!I:I,,0)*AI458),'Master DataSheet (Rev)'!AI458)</f>
        <v>41616</v>
      </c>
      <c r="AM458" s="91">
        <f t="shared" ref="AM458:AM507" si="179">IF(AL458&lt;AG458,AG458,AL458)</f>
        <v>41616</v>
      </c>
      <c r="AN458" s="92" t="str">
        <f t="shared" ref="AN458:AN507" si="180">IF(AL458&gt;AG458,"Increasing",IF(AL458&lt;AG458,"Decreasing","No change"))</f>
        <v>Increasing</v>
      </c>
      <c r="AO458" s="93">
        <f>VLOOKUP(B458,'Growthrates source'!A$2:H$49,8,FALSE)</f>
        <v>4.1448317953169944E-2</v>
      </c>
      <c r="AP458" s="93">
        <f>VLOOKUP(B458,'Growthrates source'!A$2:I$49,9,FALSE)</f>
        <v>6.6454487825566844E-3</v>
      </c>
      <c r="AQ458" s="86">
        <f t="shared" ref="AQ458:AQ507" si="181">AA458/(EXP(AO458*5))</f>
        <v>28448.813976974463</v>
      </c>
      <c r="AR458" s="86">
        <f t="shared" ref="AR458:AR507" si="182">AA458*EXP(AP458*3)</f>
        <v>35704.774089324441</v>
      </c>
      <c r="AS458" s="94">
        <f t="shared" ref="AS458:AS507" si="183">(AE458*10000)/F458</f>
        <v>0</v>
      </c>
      <c r="AT458" s="94">
        <f t="shared" ref="AT458:AT507" si="184">(AG458*10000)/P458</f>
        <v>13.037061273554757</v>
      </c>
      <c r="AU458" s="94">
        <f t="shared" si="167"/>
        <v>14.053897724393797</v>
      </c>
      <c r="AV458" s="94">
        <f t="shared" si="168"/>
        <v>14.053897724393797</v>
      </c>
    </row>
    <row r="459" spans="1:48" x14ac:dyDescent="0.3">
      <c r="A459" s="85" t="str">
        <f>_xlfn.XLOOKUP(B459,'Country codes &amp; Data sources'!G:G,'Country codes &amp; Data sources'!H:H,,0)</f>
        <v>Madagascar</v>
      </c>
      <c r="B459" s="85" t="s">
        <v>177</v>
      </c>
      <c r="C459" s="86">
        <v>22966246</v>
      </c>
      <c r="D459" s="85" t="s">
        <v>61</v>
      </c>
      <c r="E459" s="87">
        <v>0</v>
      </c>
      <c r="F459" s="88">
        <v>23588073.5</v>
      </c>
      <c r="G459" s="87">
        <v>0</v>
      </c>
      <c r="I459" s="87">
        <v>0</v>
      </c>
      <c r="K459" s="87">
        <v>0</v>
      </c>
      <c r="M459" s="87">
        <v>0</v>
      </c>
      <c r="O459" s="87">
        <v>0</v>
      </c>
      <c r="P459" s="88">
        <v>26846541</v>
      </c>
      <c r="Q459" s="87">
        <v>0</v>
      </c>
      <c r="R459" s="87">
        <f t="shared" si="169"/>
        <v>414</v>
      </c>
      <c r="T459" s="87">
        <v>0</v>
      </c>
      <c r="V459" s="87">
        <v>0</v>
      </c>
      <c r="X459" s="87">
        <v>0</v>
      </c>
      <c r="Y459" s="88">
        <v>29611714.000000004</v>
      </c>
      <c r="Z459" s="87">
        <v>0</v>
      </c>
      <c r="AA459" s="87">
        <v>414</v>
      </c>
      <c r="AB459" s="89">
        <f t="shared" si="170"/>
        <v>0</v>
      </c>
      <c r="AC459" s="89">
        <f t="shared" si="171"/>
        <v>0</v>
      </c>
      <c r="AD459" s="89">
        <f t="shared" si="172"/>
        <v>0</v>
      </c>
      <c r="AF459" s="90" t="str">
        <f t="shared" si="173"/>
        <v/>
      </c>
      <c r="AG459" s="90">
        <f t="shared" si="174"/>
        <v>414</v>
      </c>
      <c r="AH459" s="90" t="str">
        <f t="shared" si="175"/>
        <v>2018 (triag)</v>
      </c>
      <c r="AI459" s="90">
        <f t="shared" si="176"/>
        <v>414</v>
      </c>
      <c r="AJ459" s="90" t="str">
        <f t="shared" si="177"/>
        <v>2018 (triag)</v>
      </c>
      <c r="AK459" s="90" t="str">
        <f t="shared" si="178"/>
        <v/>
      </c>
      <c r="AL459" s="91">
        <f>IF(AK459="Adjust",(_xlfn.XLOOKUP(A459,'Adj factor'!A:A,'Adj factor'!I:I,,0)*AI459),'Master DataSheet (Rev)'!AI459)</f>
        <v>414</v>
      </c>
      <c r="AM459" s="91">
        <f t="shared" si="179"/>
        <v>414</v>
      </c>
      <c r="AN459" s="92" t="str">
        <f t="shared" si="180"/>
        <v>No change</v>
      </c>
      <c r="AO459" s="93">
        <f>VLOOKUP(B459,'Growthrates source'!A$2:H$49,8,FALSE)</f>
        <v>4.1448317953169944E-2</v>
      </c>
      <c r="AP459" s="93">
        <f>VLOOKUP(B459,'Growthrates source'!A$2:I$49,9,FALSE)</f>
        <v>6.6454487825566844E-3</v>
      </c>
      <c r="AQ459" s="86">
        <f t="shared" si="181"/>
        <v>336.50882818478362</v>
      </c>
      <c r="AR459" s="86">
        <f t="shared" si="182"/>
        <v>422.33647065658056</v>
      </c>
      <c r="AS459" s="94">
        <f t="shared" si="183"/>
        <v>0</v>
      </c>
      <c r="AT459" s="94">
        <f t="shared" si="184"/>
        <v>0.15420981049290483</v>
      </c>
      <c r="AU459" s="94">
        <f t="shared" si="167"/>
        <v>0.13980953618557843</v>
      </c>
      <c r="AV459" s="94">
        <f t="shared" si="168"/>
        <v>0.13980953618557843</v>
      </c>
    </row>
    <row r="460" spans="1:48" x14ac:dyDescent="0.3">
      <c r="A460" s="85" t="str">
        <f>_xlfn.XLOOKUP(B460,'Country codes &amp; Data sources'!G:G,'Country codes &amp; Data sources'!H:H,,0)</f>
        <v>Madagascar</v>
      </c>
      <c r="B460" s="85" t="s">
        <v>177</v>
      </c>
      <c r="C460" s="86">
        <v>22966247</v>
      </c>
      <c r="D460" s="85" t="s">
        <v>62</v>
      </c>
      <c r="E460" s="87">
        <v>0</v>
      </c>
      <c r="F460" s="88">
        <v>23588073.5</v>
      </c>
      <c r="G460" s="87">
        <v>0</v>
      </c>
      <c r="I460" s="87">
        <v>174</v>
      </c>
      <c r="K460" s="87">
        <v>0</v>
      </c>
      <c r="M460" s="87">
        <v>0</v>
      </c>
      <c r="O460" s="87">
        <v>0</v>
      </c>
      <c r="P460" s="88">
        <v>26846541</v>
      </c>
      <c r="Q460" s="87">
        <v>0</v>
      </c>
      <c r="R460" s="87">
        <f t="shared" si="169"/>
        <v>15</v>
      </c>
      <c r="T460" s="87">
        <v>0</v>
      </c>
      <c r="V460" s="87">
        <v>254</v>
      </c>
      <c r="X460" s="87">
        <v>0</v>
      </c>
      <c r="Y460" s="88">
        <v>29611714.000000004</v>
      </c>
      <c r="Z460" s="87">
        <v>0</v>
      </c>
      <c r="AA460" s="87">
        <v>15</v>
      </c>
      <c r="AB460" s="89">
        <f t="shared" si="170"/>
        <v>174</v>
      </c>
      <c r="AC460" s="89">
        <f t="shared" si="171"/>
        <v>0</v>
      </c>
      <c r="AD460" s="89">
        <f t="shared" si="172"/>
        <v>254</v>
      </c>
      <c r="AE460" s="90">
        <f t="shared" ref="AE460:AE506" si="185">IF(G460&gt;0,G460,IF(E460&gt;0,E460,IF(I460&gt;0,I460,K460)))</f>
        <v>174</v>
      </c>
      <c r="AF460" s="90">
        <f t="shared" si="173"/>
        <v>2014</v>
      </c>
      <c r="AG460" s="90">
        <f t="shared" si="174"/>
        <v>15</v>
      </c>
      <c r="AH460" s="90" t="str">
        <f t="shared" si="175"/>
        <v>2018 (triag)</v>
      </c>
      <c r="AI460" s="90">
        <f t="shared" si="176"/>
        <v>254</v>
      </c>
      <c r="AJ460" s="90">
        <f t="shared" si="177"/>
        <v>2020</v>
      </c>
      <c r="AK460" s="90" t="str">
        <f t="shared" si="178"/>
        <v/>
      </c>
      <c r="AL460" s="91">
        <f>IF(AK460="Adjust",(_xlfn.XLOOKUP(A460,'Adj factor'!A:A,'Adj factor'!I:I,,0)*AI460),'Master DataSheet (Rev)'!AI460)</f>
        <v>254</v>
      </c>
      <c r="AM460" s="91">
        <f t="shared" si="179"/>
        <v>254</v>
      </c>
      <c r="AN460" s="92" t="str">
        <f t="shared" si="180"/>
        <v>Increasing</v>
      </c>
      <c r="AO460" s="93">
        <f>VLOOKUP(B460,'Growthrates source'!A$2:H$49,8,FALSE)</f>
        <v>4.1448317953169944E-2</v>
      </c>
      <c r="AP460" s="93">
        <f>VLOOKUP(B460,'Growthrates source'!A$2:I$49,9,FALSE)</f>
        <v>6.6454487825566844E-3</v>
      </c>
      <c r="AQ460" s="86">
        <f t="shared" si="181"/>
        <v>12.19234884727477</v>
      </c>
      <c r="AR460" s="86">
        <f t="shared" si="182"/>
        <v>15.302046038281903</v>
      </c>
      <c r="AS460" s="94">
        <f t="shared" si="183"/>
        <v>7.376609200407995E-2</v>
      </c>
      <c r="AT460" s="94">
        <f t="shared" si="184"/>
        <v>5.5873119743806102E-3</v>
      </c>
      <c r="AU460" s="94">
        <f t="shared" si="167"/>
        <v>8.5776865195982904E-2</v>
      </c>
      <c r="AV460" s="94">
        <f t="shared" si="168"/>
        <v>8.5776865195982904E-2</v>
      </c>
    </row>
    <row r="461" spans="1:48" x14ac:dyDescent="0.3">
      <c r="A461" s="85" t="str">
        <f>_xlfn.XLOOKUP(B461,'Country codes &amp; Data sources'!G:G,'Country codes &amp; Data sources'!H:H,,0)</f>
        <v>Madagascar</v>
      </c>
      <c r="B461" s="85" t="s">
        <v>177</v>
      </c>
      <c r="C461" s="86">
        <v>22966248</v>
      </c>
      <c r="D461" s="85" t="s">
        <v>203</v>
      </c>
      <c r="E461" s="87">
        <v>0</v>
      </c>
      <c r="F461" s="88">
        <v>23588073.5</v>
      </c>
      <c r="G461" s="87">
        <v>0</v>
      </c>
      <c r="I461" s="87">
        <v>0</v>
      </c>
      <c r="K461" s="87">
        <v>0</v>
      </c>
      <c r="M461" s="87">
        <v>0</v>
      </c>
      <c r="O461" s="87">
        <v>0</v>
      </c>
      <c r="P461" s="88">
        <v>26846541</v>
      </c>
      <c r="Q461" s="87">
        <v>0</v>
      </c>
      <c r="R461" s="87">
        <f t="shared" si="169"/>
        <v>311</v>
      </c>
      <c r="T461" s="87">
        <v>0</v>
      </c>
      <c r="V461" s="87">
        <v>0</v>
      </c>
      <c r="X461" s="87">
        <v>0</v>
      </c>
      <c r="Y461" s="88">
        <v>29611714.000000004</v>
      </c>
      <c r="Z461" s="87">
        <v>0</v>
      </c>
      <c r="AA461" s="87">
        <v>311</v>
      </c>
      <c r="AB461" s="89">
        <f t="shared" si="170"/>
        <v>0</v>
      </c>
      <c r="AC461" s="89">
        <f t="shared" si="171"/>
        <v>0</v>
      </c>
      <c r="AD461" s="89">
        <f t="shared" si="172"/>
        <v>0</v>
      </c>
      <c r="AF461" s="90" t="str">
        <f t="shared" si="173"/>
        <v/>
      </c>
      <c r="AG461" s="90">
        <f t="shared" si="174"/>
        <v>311</v>
      </c>
      <c r="AH461" s="90" t="str">
        <f t="shared" si="175"/>
        <v>2018 (triag)</v>
      </c>
      <c r="AI461" s="90">
        <f t="shared" si="176"/>
        <v>311</v>
      </c>
      <c r="AJ461" s="90" t="str">
        <f t="shared" si="177"/>
        <v>2018 (triag)</v>
      </c>
      <c r="AK461" s="90" t="str">
        <f t="shared" si="178"/>
        <v/>
      </c>
      <c r="AL461" s="91">
        <f>IF(AK461="Adjust",(_xlfn.XLOOKUP(A461,'Adj factor'!A:A,'Adj factor'!I:I,,0)*AI461),'Master DataSheet (Rev)'!AI461)</f>
        <v>311</v>
      </c>
      <c r="AM461" s="91">
        <f t="shared" si="179"/>
        <v>311</v>
      </c>
      <c r="AN461" s="92" t="str">
        <f t="shared" si="180"/>
        <v>No change</v>
      </c>
      <c r="AO461" s="93">
        <f>VLOOKUP(B461,'Growthrates source'!A$2:H$49,8,FALSE)</f>
        <v>4.1448317953169944E-2</v>
      </c>
      <c r="AP461" s="93">
        <f>VLOOKUP(B461,'Growthrates source'!A$2:I$49,9,FALSE)</f>
        <v>6.6454487825566844E-3</v>
      </c>
      <c r="AQ461" s="86">
        <f t="shared" si="181"/>
        <v>252.78803276683024</v>
      </c>
      <c r="AR461" s="86">
        <f t="shared" si="182"/>
        <v>317.26242119371148</v>
      </c>
      <c r="AS461" s="94">
        <f t="shared" si="183"/>
        <v>0</v>
      </c>
      <c r="AT461" s="94">
        <f t="shared" si="184"/>
        <v>0.11584360160215798</v>
      </c>
      <c r="AU461" s="94">
        <f t="shared" si="167"/>
        <v>0.10502600423602632</v>
      </c>
      <c r="AV461" s="94">
        <f t="shared" si="168"/>
        <v>0.10502600423602632</v>
      </c>
    </row>
    <row r="462" spans="1:48" x14ac:dyDescent="0.3">
      <c r="A462" s="85" t="str">
        <f>_xlfn.XLOOKUP(B462,'Country codes &amp; Data sources'!G:G,'Country codes &amp; Data sources'!H:H,,0)</f>
        <v>Madagascar</v>
      </c>
      <c r="B462" s="85" t="s">
        <v>177</v>
      </c>
      <c r="C462" s="86">
        <v>22966249</v>
      </c>
      <c r="D462" s="85" t="s">
        <v>204</v>
      </c>
      <c r="E462" s="87">
        <v>0</v>
      </c>
      <c r="F462" s="88">
        <v>23588073.5</v>
      </c>
      <c r="G462" s="87">
        <v>0</v>
      </c>
      <c r="I462" s="87">
        <v>0</v>
      </c>
      <c r="K462" s="87">
        <v>0</v>
      </c>
      <c r="M462" s="87">
        <v>0</v>
      </c>
      <c r="O462" s="87">
        <v>0</v>
      </c>
      <c r="P462" s="88">
        <v>26846541</v>
      </c>
      <c r="Q462" s="87">
        <v>0</v>
      </c>
      <c r="R462" s="87">
        <f t="shared" si="169"/>
        <v>411</v>
      </c>
      <c r="T462" s="87">
        <v>0</v>
      </c>
      <c r="V462" s="87">
        <v>0</v>
      </c>
      <c r="X462" s="87">
        <v>0</v>
      </c>
      <c r="Y462" s="88">
        <v>29611714.000000004</v>
      </c>
      <c r="Z462" s="87">
        <v>0</v>
      </c>
      <c r="AA462" s="87">
        <v>411</v>
      </c>
      <c r="AB462" s="89">
        <f t="shared" si="170"/>
        <v>0</v>
      </c>
      <c r="AC462" s="89">
        <f t="shared" si="171"/>
        <v>0</v>
      </c>
      <c r="AD462" s="89">
        <f t="shared" si="172"/>
        <v>0</v>
      </c>
      <c r="AF462" s="90" t="str">
        <f t="shared" si="173"/>
        <v/>
      </c>
      <c r="AG462" s="90">
        <f t="shared" si="174"/>
        <v>411</v>
      </c>
      <c r="AH462" s="90" t="str">
        <f t="shared" si="175"/>
        <v>2018 (triag)</v>
      </c>
      <c r="AI462" s="90">
        <f t="shared" si="176"/>
        <v>411</v>
      </c>
      <c r="AJ462" s="90" t="str">
        <f t="shared" si="177"/>
        <v>2018 (triag)</v>
      </c>
      <c r="AK462" s="90" t="str">
        <f t="shared" si="178"/>
        <v/>
      </c>
      <c r="AL462" s="91">
        <f>IF(AK462="Adjust",(_xlfn.XLOOKUP(A462,'Adj factor'!A:A,'Adj factor'!I:I,,0)*AI462),'Master DataSheet (Rev)'!AI462)</f>
        <v>411</v>
      </c>
      <c r="AM462" s="91">
        <f t="shared" si="179"/>
        <v>411</v>
      </c>
      <c r="AN462" s="92" t="str">
        <f t="shared" si="180"/>
        <v>No change</v>
      </c>
      <c r="AO462" s="93">
        <f>VLOOKUP(B462,'Growthrates source'!A$2:H$49,8,FALSE)</f>
        <v>4.1448317953169944E-2</v>
      </c>
      <c r="AP462" s="93">
        <f>VLOOKUP(B462,'Growthrates source'!A$2:I$49,9,FALSE)</f>
        <v>6.6454487825566844E-3</v>
      </c>
      <c r="AQ462" s="86">
        <f t="shared" si="181"/>
        <v>334.07035841532871</v>
      </c>
      <c r="AR462" s="86">
        <f t="shared" si="182"/>
        <v>419.27606144892417</v>
      </c>
      <c r="AS462" s="94">
        <f t="shared" si="183"/>
        <v>0</v>
      </c>
      <c r="AT462" s="94">
        <f t="shared" si="184"/>
        <v>0.15309234809802871</v>
      </c>
      <c r="AU462" s="94">
        <f t="shared" si="167"/>
        <v>0.13879642360452352</v>
      </c>
      <c r="AV462" s="94">
        <f t="shared" si="168"/>
        <v>0.13879642360452352</v>
      </c>
    </row>
    <row r="463" spans="1:48" x14ac:dyDescent="0.3">
      <c r="A463" s="85" t="str">
        <f>_xlfn.XLOOKUP(B463,'Country codes &amp; Data sources'!G:G,'Country codes &amp; Data sources'!H:H,,0)</f>
        <v>Madagascar</v>
      </c>
      <c r="B463" s="85" t="s">
        <v>177</v>
      </c>
      <c r="C463" s="86">
        <v>22966250</v>
      </c>
      <c r="D463" s="85" t="s">
        <v>205</v>
      </c>
      <c r="E463" s="87">
        <v>0</v>
      </c>
      <c r="F463" s="88">
        <v>23588073.5</v>
      </c>
      <c r="G463" s="87">
        <v>0</v>
      </c>
      <c r="I463" s="87">
        <v>0</v>
      </c>
      <c r="K463" s="87">
        <v>0</v>
      </c>
      <c r="M463" s="87">
        <v>0</v>
      </c>
      <c r="O463" s="87">
        <v>0</v>
      </c>
      <c r="P463" s="88">
        <v>26846541</v>
      </c>
      <c r="Q463" s="87">
        <v>0</v>
      </c>
      <c r="R463" s="87">
        <f t="shared" si="169"/>
        <v>52</v>
      </c>
      <c r="T463" s="87">
        <v>12</v>
      </c>
      <c r="V463" s="87">
        <v>0</v>
      </c>
      <c r="X463" s="87">
        <v>0</v>
      </c>
      <c r="Y463" s="88">
        <v>29611714.000000004</v>
      </c>
      <c r="Z463" s="87">
        <v>0</v>
      </c>
      <c r="AA463" s="87">
        <v>52</v>
      </c>
      <c r="AB463" s="89">
        <f t="shared" si="170"/>
        <v>0</v>
      </c>
      <c r="AC463" s="89">
        <f t="shared" si="171"/>
        <v>12</v>
      </c>
      <c r="AD463" s="89">
        <f t="shared" si="172"/>
        <v>0</v>
      </c>
      <c r="AF463" s="90" t="str">
        <f t="shared" si="173"/>
        <v/>
      </c>
      <c r="AG463" s="90">
        <f t="shared" si="174"/>
        <v>52</v>
      </c>
      <c r="AH463" s="90" t="str">
        <f t="shared" si="175"/>
        <v>2018 (triag)</v>
      </c>
      <c r="AI463" s="90">
        <f t="shared" si="176"/>
        <v>12</v>
      </c>
      <c r="AJ463" s="90" t="str">
        <f t="shared" si="177"/>
        <v>2018 (triag)</v>
      </c>
      <c r="AK463" s="90" t="str">
        <f t="shared" si="178"/>
        <v>Adjust</v>
      </c>
      <c r="AL463" s="91">
        <f>IF(AK463="Adjust",(_xlfn.XLOOKUP(A463,'Adj factor'!A:A,'Adj factor'!I:I,,0)*AI463),'Master DataSheet (Rev)'!AI463)</f>
        <v>13.375262199878652</v>
      </c>
      <c r="AM463" s="91">
        <f t="shared" si="179"/>
        <v>52</v>
      </c>
      <c r="AN463" s="92" t="str">
        <f t="shared" si="180"/>
        <v>Decreasing</v>
      </c>
      <c r="AO463" s="93">
        <f>VLOOKUP(B463,'Growthrates source'!A$2:H$49,8,FALSE)</f>
        <v>4.1448317953169944E-2</v>
      </c>
      <c r="AP463" s="93">
        <f>VLOOKUP(B463,'Growthrates source'!A$2:I$49,9,FALSE)</f>
        <v>6.6454487825566844E-3</v>
      </c>
      <c r="AQ463" s="86">
        <f t="shared" si="181"/>
        <v>42.2668093372192</v>
      </c>
      <c r="AR463" s="86">
        <f t="shared" si="182"/>
        <v>53.047092932710598</v>
      </c>
      <c r="AS463" s="94">
        <f t="shared" si="183"/>
        <v>0</v>
      </c>
      <c r="AT463" s="94">
        <f t="shared" si="184"/>
        <v>1.9369348177852783E-2</v>
      </c>
      <c r="AU463" s="94">
        <f t="shared" si="167"/>
        <v>4.516882136535106E-3</v>
      </c>
      <c r="AV463" s="94">
        <f t="shared" si="168"/>
        <v>1.7560618071618548E-2</v>
      </c>
    </row>
    <row r="464" spans="1:48" x14ac:dyDescent="0.3">
      <c r="A464" s="85" t="str">
        <f>_xlfn.XLOOKUP(B464,'Country codes &amp; Data sources'!G:G,'Country codes &amp; Data sources'!H:H,,0)</f>
        <v>Madagascar</v>
      </c>
      <c r="B464" s="85" t="s">
        <v>177</v>
      </c>
      <c r="C464" s="86">
        <v>22966251</v>
      </c>
      <c r="D464" s="85" t="s">
        <v>133</v>
      </c>
      <c r="E464" s="87">
        <v>0</v>
      </c>
      <c r="F464" s="88">
        <v>23588073.5</v>
      </c>
      <c r="G464" s="87">
        <v>0</v>
      </c>
      <c r="I464" s="87">
        <v>0</v>
      </c>
      <c r="K464" s="87">
        <v>0</v>
      </c>
      <c r="M464" s="87">
        <v>0</v>
      </c>
      <c r="O464" s="87">
        <v>0</v>
      </c>
      <c r="P464" s="88">
        <v>26846541</v>
      </c>
      <c r="Q464" s="87">
        <v>306</v>
      </c>
      <c r="R464" s="87">
        <f t="shared" si="169"/>
        <v>306</v>
      </c>
      <c r="T464" s="87">
        <v>0</v>
      </c>
      <c r="V464" s="87">
        <v>0</v>
      </c>
      <c r="X464" s="87">
        <v>0</v>
      </c>
      <c r="Y464" s="88">
        <v>29611714.000000004</v>
      </c>
      <c r="Z464" s="87">
        <v>0</v>
      </c>
      <c r="AA464" s="87">
        <v>0</v>
      </c>
      <c r="AB464" s="89">
        <f t="shared" si="170"/>
        <v>0</v>
      </c>
      <c r="AC464" s="89">
        <f t="shared" si="171"/>
        <v>306</v>
      </c>
      <c r="AD464" s="89">
        <f t="shared" si="172"/>
        <v>0</v>
      </c>
      <c r="AF464" s="90" t="str">
        <f t="shared" si="173"/>
        <v/>
      </c>
      <c r="AG464" s="90">
        <f t="shared" si="174"/>
        <v>306</v>
      </c>
      <c r="AH464" s="90">
        <f t="shared" si="175"/>
        <v>2018</v>
      </c>
      <c r="AI464" s="90">
        <f t="shared" si="176"/>
        <v>306</v>
      </c>
      <c r="AJ464" s="90">
        <f t="shared" si="177"/>
        <v>2018</v>
      </c>
      <c r="AK464" s="90" t="str">
        <f t="shared" si="178"/>
        <v/>
      </c>
      <c r="AL464" s="91">
        <f>IF(AK464="Adjust",(_xlfn.XLOOKUP(A464,'Adj factor'!A:A,'Adj factor'!I:I,,0)*AI464),'Master DataSheet (Rev)'!AI464)</f>
        <v>306</v>
      </c>
      <c r="AM464" s="91">
        <f t="shared" si="179"/>
        <v>306</v>
      </c>
      <c r="AN464" s="92" t="str">
        <f t="shared" si="180"/>
        <v>No change</v>
      </c>
      <c r="AO464" s="93">
        <f>VLOOKUP(B464,'Growthrates source'!A$2:H$49,8,FALSE)</f>
        <v>4.1448317953169944E-2</v>
      </c>
      <c r="AP464" s="93">
        <f>VLOOKUP(B464,'Growthrates source'!A$2:I$49,9,FALSE)</f>
        <v>6.6454487825566844E-3</v>
      </c>
      <c r="AQ464" s="86">
        <f t="shared" si="181"/>
        <v>0</v>
      </c>
      <c r="AR464" s="86">
        <f t="shared" si="182"/>
        <v>0</v>
      </c>
      <c r="AS464" s="94">
        <f t="shared" si="183"/>
        <v>0</v>
      </c>
      <c r="AT464" s="94">
        <f t="shared" si="184"/>
        <v>0.11398116427736445</v>
      </c>
      <c r="AU464" s="94">
        <f t="shared" si="167"/>
        <v>0.10333748326760145</v>
      </c>
      <c r="AV464" s="94">
        <f t="shared" si="168"/>
        <v>0.10333748326760145</v>
      </c>
    </row>
    <row r="465" spans="1:48" x14ac:dyDescent="0.3">
      <c r="A465" s="85" t="str">
        <f>_xlfn.XLOOKUP(B465,'Country codes &amp; Data sources'!G:G,'Country codes &amp; Data sources'!H:H,,0)</f>
        <v>Madagascar</v>
      </c>
      <c r="B465" s="85" t="s">
        <v>177</v>
      </c>
      <c r="C465" s="86">
        <v>22966252</v>
      </c>
      <c r="D465" s="85" t="s">
        <v>206</v>
      </c>
      <c r="E465" s="87">
        <v>0</v>
      </c>
      <c r="F465" s="88">
        <v>23588073.5</v>
      </c>
      <c r="G465" s="87">
        <v>0</v>
      </c>
      <c r="I465" s="87">
        <v>0</v>
      </c>
      <c r="K465" s="87">
        <v>0</v>
      </c>
      <c r="M465" s="87">
        <v>0</v>
      </c>
      <c r="O465" s="87">
        <v>0</v>
      </c>
      <c r="P465" s="88">
        <v>26846541</v>
      </c>
      <c r="Q465" s="87">
        <v>0</v>
      </c>
      <c r="R465" s="87">
        <f t="shared" si="169"/>
        <v>0</v>
      </c>
      <c r="T465" s="87">
        <v>0</v>
      </c>
      <c r="V465" s="87">
        <v>0</v>
      </c>
      <c r="X465" s="87">
        <v>0</v>
      </c>
      <c r="Y465" s="88">
        <v>29611714.000000004</v>
      </c>
      <c r="Z465" s="87">
        <v>0</v>
      </c>
      <c r="AA465" s="87">
        <v>0</v>
      </c>
      <c r="AB465" s="89">
        <f t="shared" si="170"/>
        <v>0</v>
      </c>
      <c r="AC465" s="89">
        <f t="shared" si="171"/>
        <v>0</v>
      </c>
      <c r="AD465" s="89">
        <f t="shared" si="172"/>
        <v>0</v>
      </c>
      <c r="AF465" s="90" t="str">
        <f t="shared" si="173"/>
        <v/>
      </c>
      <c r="AH465" s="90" t="str">
        <f t="shared" si="175"/>
        <v/>
      </c>
      <c r="AI465" s="90">
        <f t="shared" si="176"/>
        <v>0</v>
      </c>
      <c r="AJ465" s="90" t="str">
        <f t="shared" si="177"/>
        <v/>
      </c>
      <c r="AK465" s="90" t="str">
        <f t="shared" si="178"/>
        <v/>
      </c>
      <c r="AL465" s="91"/>
      <c r="AM465" s="91">
        <f t="shared" si="179"/>
        <v>0</v>
      </c>
      <c r="AN465" s="92" t="str">
        <f t="shared" si="180"/>
        <v>No change</v>
      </c>
      <c r="AO465" s="93">
        <f>VLOOKUP(B465,'Growthrates source'!A$2:H$49,8,FALSE)</f>
        <v>4.1448317953169944E-2</v>
      </c>
      <c r="AP465" s="93">
        <f>VLOOKUP(B465,'Growthrates source'!A$2:I$49,9,FALSE)</f>
        <v>6.6454487825566844E-3</v>
      </c>
      <c r="AQ465" s="86">
        <f t="shared" si="181"/>
        <v>0</v>
      </c>
      <c r="AR465" s="86">
        <f t="shared" si="182"/>
        <v>0</v>
      </c>
      <c r="AS465" s="94">
        <f t="shared" si="183"/>
        <v>0</v>
      </c>
      <c r="AT465" s="94">
        <f t="shared" si="184"/>
        <v>0</v>
      </c>
      <c r="AU465" s="94">
        <f t="shared" si="167"/>
        <v>0</v>
      </c>
      <c r="AV465" s="94">
        <f t="shared" si="168"/>
        <v>0</v>
      </c>
    </row>
    <row r="466" spans="1:48" x14ac:dyDescent="0.3">
      <c r="A466" s="85" t="str">
        <f>_xlfn.XLOOKUP(B466,'Country codes &amp; Data sources'!G:G,'Country codes &amp; Data sources'!H:H,,0)</f>
        <v>Madagascar</v>
      </c>
      <c r="B466" s="85" t="s">
        <v>177</v>
      </c>
      <c r="C466" s="86">
        <v>22966253</v>
      </c>
      <c r="D466" s="85" t="s">
        <v>136</v>
      </c>
      <c r="E466" s="87">
        <v>0</v>
      </c>
      <c r="F466" s="88">
        <v>23588073.5</v>
      </c>
      <c r="G466" s="87">
        <v>0</v>
      </c>
      <c r="I466" s="87">
        <v>0</v>
      </c>
      <c r="K466" s="87">
        <v>0</v>
      </c>
      <c r="M466" s="87">
        <v>0</v>
      </c>
      <c r="O466" s="87">
        <v>0</v>
      </c>
      <c r="P466" s="88">
        <v>26846541</v>
      </c>
      <c r="Q466" s="87">
        <v>0</v>
      </c>
      <c r="R466" s="87">
        <f t="shared" si="169"/>
        <v>214</v>
      </c>
      <c r="T466" s="87">
        <v>0</v>
      </c>
      <c r="V466" s="87">
        <v>0</v>
      </c>
      <c r="X466" s="87">
        <v>0</v>
      </c>
      <c r="Y466" s="88">
        <v>29611714.000000004</v>
      </c>
      <c r="Z466" s="87">
        <v>0</v>
      </c>
      <c r="AA466" s="87">
        <v>214</v>
      </c>
      <c r="AB466" s="89">
        <f t="shared" si="170"/>
        <v>0</v>
      </c>
      <c r="AC466" s="89">
        <f t="shared" si="171"/>
        <v>0</v>
      </c>
      <c r="AD466" s="89">
        <f t="shared" si="172"/>
        <v>0</v>
      </c>
      <c r="AF466" s="90" t="str">
        <f t="shared" si="173"/>
        <v/>
      </c>
      <c r="AG466" s="90">
        <f t="shared" si="174"/>
        <v>214</v>
      </c>
      <c r="AH466" s="90" t="str">
        <f t="shared" si="175"/>
        <v>2018 (triag)</v>
      </c>
      <c r="AI466" s="90">
        <f t="shared" si="176"/>
        <v>214</v>
      </c>
      <c r="AJ466" s="90" t="str">
        <f t="shared" si="177"/>
        <v>2018 (triag)</v>
      </c>
      <c r="AK466" s="90" t="str">
        <f t="shared" si="178"/>
        <v/>
      </c>
      <c r="AL466" s="91">
        <f>IF(AK466="Adjust",(_xlfn.XLOOKUP(A466,'Adj factor'!A:A,'Adj factor'!I:I,,0)*AI466),'Master DataSheet (Rev)'!AI466)</f>
        <v>214</v>
      </c>
      <c r="AM466" s="91">
        <f t="shared" si="179"/>
        <v>214</v>
      </c>
      <c r="AN466" s="92" t="str">
        <f t="shared" si="180"/>
        <v>No change</v>
      </c>
      <c r="AO466" s="93">
        <f>VLOOKUP(B466,'Growthrates source'!A$2:H$49,8,FALSE)</f>
        <v>4.1448317953169944E-2</v>
      </c>
      <c r="AP466" s="93">
        <f>VLOOKUP(B466,'Growthrates source'!A$2:I$49,9,FALSE)</f>
        <v>6.6454487825566844E-3</v>
      </c>
      <c r="AQ466" s="86">
        <f t="shared" si="181"/>
        <v>173.94417688778671</v>
      </c>
      <c r="AR466" s="86">
        <f t="shared" si="182"/>
        <v>218.30919014615515</v>
      </c>
      <c r="AS466" s="94">
        <f t="shared" si="183"/>
        <v>0</v>
      </c>
      <c r="AT466" s="94">
        <f t="shared" si="184"/>
        <v>7.9712317501163366E-2</v>
      </c>
      <c r="AU466" s="94">
        <f t="shared" si="167"/>
        <v>7.2268697448584024E-2</v>
      </c>
      <c r="AV466" s="94">
        <f t="shared" si="168"/>
        <v>7.2268697448584024E-2</v>
      </c>
    </row>
    <row r="467" spans="1:48" x14ac:dyDescent="0.3">
      <c r="A467" s="85" t="str">
        <f>_xlfn.XLOOKUP(B467,'Country codes &amp; Data sources'!G:G,'Country codes &amp; Data sources'!H:H,,0)</f>
        <v>Madagascar</v>
      </c>
      <c r="B467" s="85" t="s">
        <v>177</v>
      </c>
      <c r="C467" s="86">
        <v>22966254</v>
      </c>
      <c r="D467" s="85" t="s">
        <v>207</v>
      </c>
      <c r="E467" s="87">
        <v>0</v>
      </c>
      <c r="F467" s="88">
        <v>23588073.5</v>
      </c>
      <c r="G467" s="87">
        <v>0</v>
      </c>
      <c r="I467" s="87">
        <v>0</v>
      </c>
      <c r="K467" s="87">
        <v>0</v>
      </c>
      <c r="M467" s="87">
        <v>0</v>
      </c>
      <c r="O467" s="87">
        <v>0</v>
      </c>
      <c r="P467" s="88">
        <v>26846541</v>
      </c>
      <c r="Q467" s="87">
        <v>0</v>
      </c>
      <c r="R467" s="87">
        <f t="shared" si="169"/>
        <v>11</v>
      </c>
      <c r="T467" s="87">
        <v>0</v>
      </c>
      <c r="V467" s="87">
        <v>0</v>
      </c>
      <c r="X467" s="87">
        <v>0</v>
      </c>
      <c r="Y467" s="88">
        <v>29611714.000000004</v>
      </c>
      <c r="Z467" s="87">
        <v>0</v>
      </c>
      <c r="AA467" s="87">
        <v>11</v>
      </c>
      <c r="AB467" s="89">
        <f t="shared" si="170"/>
        <v>0</v>
      </c>
      <c r="AC467" s="89">
        <f t="shared" si="171"/>
        <v>0</v>
      </c>
      <c r="AD467" s="89">
        <f t="shared" si="172"/>
        <v>0</v>
      </c>
      <c r="AF467" s="90" t="str">
        <f t="shared" si="173"/>
        <v/>
      </c>
      <c r="AG467" s="90">
        <f t="shared" si="174"/>
        <v>11</v>
      </c>
      <c r="AH467" s="90" t="str">
        <f t="shared" si="175"/>
        <v>2018 (triag)</v>
      </c>
      <c r="AI467" s="90">
        <f t="shared" si="176"/>
        <v>11</v>
      </c>
      <c r="AJ467" s="90" t="str">
        <f t="shared" si="177"/>
        <v>2018 (triag)</v>
      </c>
      <c r="AK467" s="90" t="str">
        <f t="shared" si="178"/>
        <v/>
      </c>
      <c r="AL467" s="91">
        <f>IF(AK467="Adjust",(_xlfn.XLOOKUP(A467,'Adj factor'!A:A,'Adj factor'!I:I,,0)*AI467),'Master DataSheet (Rev)'!AI467)</f>
        <v>11</v>
      </c>
      <c r="AM467" s="91">
        <f t="shared" si="179"/>
        <v>11</v>
      </c>
      <c r="AN467" s="92" t="str">
        <f t="shared" si="180"/>
        <v>No change</v>
      </c>
      <c r="AO467" s="93">
        <f>VLOOKUP(B467,'Growthrates source'!A$2:H$49,8,FALSE)</f>
        <v>4.1448317953169944E-2</v>
      </c>
      <c r="AP467" s="93">
        <f>VLOOKUP(B467,'Growthrates source'!A$2:I$49,9,FALSE)</f>
        <v>6.6454487825566844E-3</v>
      </c>
      <c r="AQ467" s="86">
        <f t="shared" si="181"/>
        <v>8.9410558213348317</v>
      </c>
      <c r="AR467" s="86">
        <f t="shared" si="182"/>
        <v>11.221500428073396</v>
      </c>
      <c r="AS467" s="94">
        <f t="shared" si="183"/>
        <v>0</v>
      </c>
      <c r="AT467" s="94">
        <f t="shared" si="184"/>
        <v>4.0973621145457811E-3</v>
      </c>
      <c r="AU467" s="94">
        <f t="shared" si="167"/>
        <v>3.7147461305346925E-3</v>
      </c>
      <c r="AV467" s="94">
        <f t="shared" si="168"/>
        <v>3.7147461305346925E-3</v>
      </c>
    </row>
    <row r="468" spans="1:48" x14ac:dyDescent="0.3">
      <c r="A468" s="85" t="str">
        <f>_xlfn.XLOOKUP(B468,'Country codes &amp; Data sources'!G:G,'Country codes &amp; Data sources'!H:H,,0)</f>
        <v>Madagascar</v>
      </c>
      <c r="B468" s="85" t="s">
        <v>177</v>
      </c>
      <c r="C468" s="86">
        <v>22966255</v>
      </c>
      <c r="D468" s="85" t="s">
        <v>141</v>
      </c>
      <c r="E468" s="87">
        <v>0</v>
      </c>
      <c r="F468" s="88">
        <v>23588073.5</v>
      </c>
      <c r="G468" s="87">
        <v>0</v>
      </c>
      <c r="I468" s="87">
        <v>0</v>
      </c>
      <c r="K468" s="87">
        <v>0</v>
      </c>
      <c r="M468" s="87">
        <v>0</v>
      </c>
      <c r="O468" s="87">
        <v>0</v>
      </c>
      <c r="P468" s="88">
        <v>26846541</v>
      </c>
      <c r="Q468" s="87">
        <v>0</v>
      </c>
      <c r="R468" s="87">
        <f t="shared" si="169"/>
        <v>56</v>
      </c>
      <c r="T468" s="87">
        <v>0</v>
      </c>
      <c r="V468" s="87">
        <v>0</v>
      </c>
      <c r="X468" s="87">
        <v>0</v>
      </c>
      <c r="Y468" s="88">
        <v>29611714.000000004</v>
      </c>
      <c r="Z468" s="87">
        <v>0</v>
      </c>
      <c r="AA468" s="87">
        <v>56</v>
      </c>
      <c r="AB468" s="89">
        <f t="shared" si="170"/>
        <v>0</v>
      </c>
      <c r="AC468" s="89">
        <f t="shared" si="171"/>
        <v>0</v>
      </c>
      <c r="AD468" s="89">
        <f t="shared" si="172"/>
        <v>0</v>
      </c>
      <c r="AF468" s="90" t="str">
        <f t="shared" si="173"/>
        <v/>
      </c>
      <c r="AG468" s="90">
        <f t="shared" si="174"/>
        <v>56</v>
      </c>
      <c r="AH468" s="90" t="str">
        <f t="shared" si="175"/>
        <v>2018 (triag)</v>
      </c>
      <c r="AI468" s="90">
        <f t="shared" si="176"/>
        <v>56</v>
      </c>
      <c r="AJ468" s="90" t="str">
        <f t="shared" si="177"/>
        <v>2018 (triag)</v>
      </c>
      <c r="AK468" s="90" t="str">
        <f t="shared" si="178"/>
        <v/>
      </c>
      <c r="AL468" s="91">
        <f>IF(AK468="Adjust",(_xlfn.XLOOKUP(A468,'Adj factor'!A:A,'Adj factor'!I:I,,0)*AI468),'Master DataSheet (Rev)'!AI468)</f>
        <v>56</v>
      </c>
      <c r="AM468" s="91">
        <f t="shared" si="179"/>
        <v>56</v>
      </c>
      <c r="AN468" s="92" t="str">
        <f t="shared" si="180"/>
        <v>No change</v>
      </c>
      <c r="AO468" s="93">
        <f>VLOOKUP(B468,'Growthrates source'!A$2:H$49,8,FALSE)</f>
        <v>4.1448317953169944E-2</v>
      </c>
      <c r="AP468" s="93">
        <f>VLOOKUP(B468,'Growthrates source'!A$2:I$49,9,FALSE)</f>
        <v>6.6454487825566844E-3</v>
      </c>
      <c r="AQ468" s="86">
        <f t="shared" si="181"/>
        <v>45.518102363159137</v>
      </c>
      <c r="AR468" s="86">
        <f t="shared" si="182"/>
        <v>57.127638542919108</v>
      </c>
      <c r="AS468" s="94">
        <f t="shared" si="183"/>
        <v>0</v>
      </c>
      <c r="AT468" s="94">
        <f t="shared" si="184"/>
        <v>2.0859298037687612E-2</v>
      </c>
      <c r="AU468" s="94">
        <f t="shared" si="167"/>
        <v>1.8911434846358436E-2</v>
      </c>
      <c r="AV468" s="94">
        <f t="shared" si="168"/>
        <v>1.8911434846358436E-2</v>
      </c>
    </row>
    <row r="469" spans="1:48" x14ac:dyDescent="0.3">
      <c r="A469" s="85" t="str">
        <f>_xlfn.XLOOKUP(B469,'Country codes &amp; Data sources'!G:G,'Country codes &amp; Data sources'!H:H,,0)</f>
        <v>Madagascar</v>
      </c>
      <c r="B469" s="85" t="s">
        <v>177</v>
      </c>
      <c r="C469" s="86">
        <v>22966256</v>
      </c>
      <c r="D469" s="85" t="s">
        <v>208</v>
      </c>
      <c r="E469" s="87">
        <v>0</v>
      </c>
      <c r="F469" s="88">
        <v>23588073.5</v>
      </c>
      <c r="G469" s="87">
        <v>0</v>
      </c>
      <c r="I469" s="87">
        <v>0</v>
      </c>
      <c r="K469" s="87">
        <v>0</v>
      </c>
      <c r="M469" s="87">
        <v>0</v>
      </c>
      <c r="O469" s="87">
        <v>0</v>
      </c>
      <c r="P469" s="88">
        <v>26846541</v>
      </c>
      <c r="Q469" s="87">
        <v>0</v>
      </c>
      <c r="R469" s="87">
        <f t="shared" si="169"/>
        <v>6355</v>
      </c>
      <c r="T469" s="87">
        <v>0</v>
      </c>
      <c r="V469" s="87">
        <v>0</v>
      </c>
      <c r="X469" s="87">
        <v>0</v>
      </c>
      <c r="Y469" s="88">
        <v>29611714.000000004</v>
      </c>
      <c r="Z469" s="87">
        <v>0</v>
      </c>
      <c r="AA469" s="87">
        <v>6355</v>
      </c>
      <c r="AB469" s="89">
        <f t="shared" si="170"/>
        <v>0</v>
      </c>
      <c r="AC469" s="89">
        <f t="shared" si="171"/>
        <v>0</v>
      </c>
      <c r="AD469" s="89">
        <f t="shared" si="172"/>
        <v>0</v>
      </c>
      <c r="AF469" s="90" t="str">
        <f t="shared" si="173"/>
        <v/>
      </c>
      <c r="AG469" s="90">
        <f t="shared" si="174"/>
        <v>6355</v>
      </c>
      <c r="AH469" s="90" t="str">
        <f t="shared" si="175"/>
        <v>2018 (triag)</v>
      </c>
      <c r="AI469" s="90">
        <f t="shared" si="176"/>
        <v>6355</v>
      </c>
      <c r="AJ469" s="90" t="str">
        <f t="shared" si="177"/>
        <v>2018 (triag)</v>
      </c>
      <c r="AK469" s="90" t="str">
        <f t="shared" si="178"/>
        <v/>
      </c>
      <c r="AL469" s="91">
        <f>IF(AK469="Adjust",(_xlfn.XLOOKUP(A469,'Adj factor'!A:A,'Adj factor'!I:I,,0)*AI469),'Master DataSheet (Rev)'!AI469)</f>
        <v>6355</v>
      </c>
      <c r="AM469" s="91">
        <f t="shared" si="179"/>
        <v>6355</v>
      </c>
      <c r="AN469" s="92" t="str">
        <f t="shared" si="180"/>
        <v>No change</v>
      </c>
      <c r="AO469" s="93">
        <f>VLOOKUP(B469,'Growthrates source'!A$2:H$49,8,FALSE)</f>
        <v>4.1448317953169944E-2</v>
      </c>
      <c r="AP469" s="93">
        <f>VLOOKUP(B469,'Growthrates source'!A$2:I$49,9,FALSE)</f>
        <v>6.6454487825566844E-3</v>
      </c>
      <c r="AQ469" s="86">
        <f t="shared" si="181"/>
        <v>5165.4917949620776</v>
      </c>
      <c r="AR469" s="86">
        <f t="shared" si="182"/>
        <v>6482.9668382187665</v>
      </c>
      <c r="AS469" s="94">
        <f t="shared" si="183"/>
        <v>0</v>
      </c>
      <c r="AT469" s="94">
        <f t="shared" si="184"/>
        <v>2.367157839812585</v>
      </c>
      <c r="AU469" s="94">
        <f t="shared" si="167"/>
        <v>2.1461101508679974</v>
      </c>
      <c r="AV469" s="94">
        <f t="shared" si="168"/>
        <v>2.1461101508679974</v>
      </c>
    </row>
    <row r="470" spans="1:48" x14ac:dyDescent="0.3">
      <c r="A470" s="85" t="str">
        <f>_xlfn.XLOOKUP(B470,'Country codes &amp; Data sources'!G:G,'Country codes &amp; Data sources'!H:H,,0)</f>
        <v>Madagascar</v>
      </c>
      <c r="B470" s="85" t="s">
        <v>177</v>
      </c>
      <c r="C470" s="86">
        <v>22966257</v>
      </c>
      <c r="D470" s="85" t="s">
        <v>209</v>
      </c>
      <c r="E470" s="87">
        <v>0</v>
      </c>
      <c r="F470" s="88">
        <v>23588073.5</v>
      </c>
      <c r="G470" s="87">
        <v>0</v>
      </c>
      <c r="I470" s="87">
        <v>0</v>
      </c>
      <c r="K470" s="87">
        <v>0</v>
      </c>
      <c r="M470" s="87">
        <v>0</v>
      </c>
      <c r="O470" s="87">
        <v>0</v>
      </c>
      <c r="P470" s="88">
        <v>26846541</v>
      </c>
      <c r="Q470" s="87">
        <v>0</v>
      </c>
      <c r="R470" s="87">
        <f t="shared" si="169"/>
        <v>0</v>
      </c>
      <c r="T470" s="87">
        <v>0</v>
      </c>
      <c r="V470" s="87">
        <v>0</v>
      </c>
      <c r="X470" s="87">
        <v>0</v>
      </c>
      <c r="Y470" s="88">
        <v>29611714.000000004</v>
      </c>
      <c r="Z470" s="87">
        <v>0</v>
      </c>
      <c r="AA470" s="87">
        <v>0</v>
      </c>
      <c r="AB470" s="89">
        <f t="shared" si="170"/>
        <v>0</v>
      </c>
      <c r="AC470" s="89">
        <f t="shared" si="171"/>
        <v>0</v>
      </c>
      <c r="AD470" s="89">
        <f t="shared" si="172"/>
        <v>0</v>
      </c>
      <c r="AF470" s="90" t="str">
        <f t="shared" si="173"/>
        <v/>
      </c>
      <c r="AH470" s="90" t="str">
        <f t="shared" si="175"/>
        <v/>
      </c>
      <c r="AI470" s="90">
        <f t="shared" si="176"/>
        <v>0</v>
      </c>
      <c r="AJ470" s="90" t="str">
        <f t="shared" si="177"/>
        <v/>
      </c>
      <c r="AK470" s="90" t="str">
        <f t="shared" si="178"/>
        <v/>
      </c>
      <c r="AL470" s="91"/>
      <c r="AM470" s="91">
        <f t="shared" si="179"/>
        <v>0</v>
      </c>
      <c r="AN470" s="92" t="str">
        <f t="shared" si="180"/>
        <v>No change</v>
      </c>
      <c r="AO470" s="93">
        <f>VLOOKUP(B470,'Growthrates source'!A$2:H$49,8,FALSE)</f>
        <v>4.1448317953169944E-2</v>
      </c>
      <c r="AP470" s="93">
        <f>VLOOKUP(B470,'Growthrates source'!A$2:I$49,9,FALSE)</f>
        <v>6.6454487825566844E-3</v>
      </c>
      <c r="AQ470" s="86">
        <f t="shared" si="181"/>
        <v>0</v>
      </c>
      <c r="AR470" s="86">
        <f t="shared" si="182"/>
        <v>0</v>
      </c>
      <c r="AS470" s="94">
        <f t="shared" si="183"/>
        <v>0</v>
      </c>
      <c r="AT470" s="94">
        <f t="shared" si="184"/>
        <v>0</v>
      </c>
      <c r="AU470" s="94">
        <f t="shared" si="167"/>
        <v>0</v>
      </c>
      <c r="AV470" s="94">
        <f t="shared" si="168"/>
        <v>0</v>
      </c>
    </row>
    <row r="471" spans="1:48" x14ac:dyDescent="0.3">
      <c r="A471" s="85" t="str">
        <f>_xlfn.XLOOKUP(B471,'Country codes &amp; Data sources'!G:G,'Country codes &amp; Data sources'!H:H,,0)</f>
        <v>Madagascar</v>
      </c>
      <c r="B471" s="85" t="s">
        <v>177</v>
      </c>
      <c r="C471" s="86">
        <v>22966258</v>
      </c>
      <c r="D471" s="85" t="s">
        <v>134</v>
      </c>
      <c r="E471" s="87">
        <v>0</v>
      </c>
      <c r="F471" s="88">
        <v>23588073.5</v>
      </c>
      <c r="G471" s="87">
        <v>0</v>
      </c>
      <c r="I471" s="87">
        <v>0</v>
      </c>
      <c r="K471" s="87">
        <v>0</v>
      </c>
      <c r="M471" s="87">
        <v>0</v>
      </c>
      <c r="O471" s="87">
        <v>0</v>
      </c>
      <c r="P471" s="88">
        <v>26846541</v>
      </c>
      <c r="Q471" s="87">
        <v>0</v>
      </c>
      <c r="R471" s="87">
        <f t="shared" si="169"/>
        <v>306</v>
      </c>
      <c r="T471" s="87">
        <v>0</v>
      </c>
      <c r="V471" s="87">
        <v>0</v>
      </c>
      <c r="X471" s="87">
        <v>0</v>
      </c>
      <c r="Y471" s="88">
        <v>29611714.000000004</v>
      </c>
      <c r="Z471" s="87">
        <v>0</v>
      </c>
      <c r="AA471" s="87">
        <v>306</v>
      </c>
      <c r="AB471" s="89">
        <f t="shared" si="170"/>
        <v>0</v>
      </c>
      <c r="AC471" s="89">
        <f t="shared" si="171"/>
        <v>0</v>
      </c>
      <c r="AD471" s="89">
        <f t="shared" si="172"/>
        <v>0</v>
      </c>
      <c r="AF471" s="90" t="str">
        <f t="shared" si="173"/>
        <v/>
      </c>
      <c r="AG471" s="90">
        <f t="shared" si="174"/>
        <v>306</v>
      </c>
      <c r="AH471" s="90" t="str">
        <f t="shared" si="175"/>
        <v>2018 (triag)</v>
      </c>
      <c r="AI471" s="90">
        <f t="shared" si="176"/>
        <v>306</v>
      </c>
      <c r="AJ471" s="90" t="str">
        <f t="shared" si="177"/>
        <v>2018 (triag)</v>
      </c>
      <c r="AK471" s="90" t="str">
        <f t="shared" si="178"/>
        <v/>
      </c>
      <c r="AL471" s="91">
        <f>IF(AK471="Adjust",(_xlfn.XLOOKUP(A471,'Adj factor'!A:A,'Adj factor'!I:I,,0)*AI471),'Master DataSheet (Rev)'!AI471)</f>
        <v>306</v>
      </c>
      <c r="AM471" s="91">
        <f t="shared" si="179"/>
        <v>306</v>
      </c>
      <c r="AN471" s="92" t="str">
        <f t="shared" si="180"/>
        <v>No change</v>
      </c>
      <c r="AO471" s="93">
        <f>VLOOKUP(B471,'Growthrates source'!A$2:H$49,8,FALSE)</f>
        <v>4.1448317953169944E-2</v>
      </c>
      <c r="AP471" s="93">
        <f>VLOOKUP(B471,'Growthrates source'!A$2:I$49,9,FALSE)</f>
        <v>6.6454487825566844E-3</v>
      </c>
      <c r="AQ471" s="86">
        <f t="shared" si="181"/>
        <v>248.72391648440529</v>
      </c>
      <c r="AR471" s="86">
        <f t="shared" si="182"/>
        <v>312.1617391809508</v>
      </c>
      <c r="AS471" s="94">
        <f t="shared" si="183"/>
        <v>0</v>
      </c>
      <c r="AT471" s="94">
        <f t="shared" si="184"/>
        <v>0.11398116427736445</v>
      </c>
      <c r="AU471" s="94">
        <f t="shared" si="167"/>
        <v>0.10333748326760145</v>
      </c>
      <c r="AV471" s="94">
        <f t="shared" si="168"/>
        <v>0.10333748326760145</v>
      </c>
    </row>
    <row r="472" spans="1:48" x14ac:dyDescent="0.3">
      <c r="A472" s="85" t="str">
        <f>_xlfn.XLOOKUP(B472,'Country codes &amp; Data sources'!G:G,'Country codes &amp; Data sources'!H:H,,0)</f>
        <v>Madagascar</v>
      </c>
      <c r="B472" s="85" t="s">
        <v>177</v>
      </c>
      <c r="C472" s="86">
        <v>22966259</v>
      </c>
      <c r="D472" s="85" t="s">
        <v>142</v>
      </c>
      <c r="E472" s="87">
        <v>0</v>
      </c>
      <c r="F472" s="88">
        <v>23588073.5</v>
      </c>
      <c r="G472" s="87">
        <v>0</v>
      </c>
      <c r="I472" s="87">
        <v>0</v>
      </c>
      <c r="K472" s="87">
        <v>0</v>
      </c>
      <c r="M472" s="87">
        <v>0</v>
      </c>
      <c r="O472" s="87">
        <v>0</v>
      </c>
      <c r="P472" s="88">
        <v>26846541</v>
      </c>
      <c r="Q472" s="87">
        <v>0</v>
      </c>
      <c r="R472" s="87">
        <f t="shared" si="169"/>
        <v>0</v>
      </c>
      <c r="T472" s="87">
        <v>0</v>
      </c>
      <c r="V472" s="87">
        <v>0</v>
      </c>
      <c r="X472" s="87">
        <v>0</v>
      </c>
      <c r="Y472" s="88">
        <v>29611714.000000004</v>
      </c>
      <c r="Z472" s="87">
        <v>0</v>
      </c>
      <c r="AA472" s="87">
        <v>0</v>
      </c>
      <c r="AB472" s="89">
        <f t="shared" si="170"/>
        <v>0</v>
      </c>
      <c r="AC472" s="89">
        <f t="shared" si="171"/>
        <v>0</v>
      </c>
      <c r="AD472" s="89">
        <f t="shared" si="172"/>
        <v>0</v>
      </c>
      <c r="AF472" s="90" t="str">
        <f t="shared" si="173"/>
        <v/>
      </c>
      <c r="AH472" s="90" t="str">
        <f t="shared" si="175"/>
        <v/>
      </c>
      <c r="AI472" s="90">
        <f t="shared" si="176"/>
        <v>0</v>
      </c>
      <c r="AJ472" s="90" t="str">
        <f t="shared" si="177"/>
        <v/>
      </c>
      <c r="AK472" s="90" t="str">
        <f t="shared" si="178"/>
        <v/>
      </c>
      <c r="AL472" s="91"/>
      <c r="AM472" s="91">
        <f t="shared" si="179"/>
        <v>0</v>
      </c>
      <c r="AN472" s="92" t="str">
        <f t="shared" si="180"/>
        <v>No change</v>
      </c>
      <c r="AO472" s="93">
        <f>VLOOKUP(B472,'Growthrates source'!A$2:H$49,8,FALSE)</f>
        <v>4.1448317953169944E-2</v>
      </c>
      <c r="AP472" s="93">
        <f>VLOOKUP(B472,'Growthrates source'!A$2:I$49,9,FALSE)</f>
        <v>6.6454487825566844E-3</v>
      </c>
      <c r="AQ472" s="86">
        <f t="shared" si="181"/>
        <v>0</v>
      </c>
      <c r="AR472" s="86">
        <f t="shared" si="182"/>
        <v>0</v>
      </c>
      <c r="AS472" s="94">
        <f t="shared" si="183"/>
        <v>0</v>
      </c>
      <c r="AT472" s="94">
        <f t="shared" si="184"/>
        <v>0</v>
      </c>
      <c r="AU472" s="94">
        <f t="shared" si="167"/>
        <v>0</v>
      </c>
      <c r="AV472" s="94">
        <f t="shared" si="168"/>
        <v>0</v>
      </c>
    </row>
    <row r="473" spans="1:48" x14ac:dyDescent="0.3">
      <c r="A473" s="85" t="str">
        <f>_xlfn.XLOOKUP(B473,'Country codes &amp; Data sources'!G:G,'Country codes &amp; Data sources'!H:H,,0)</f>
        <v>Madagascar</v>
      </c>
      <c r="B473" s="85" t="s">
        <v>177</v>
      </c>
      <c r="C473" s="86">
        <v>22966260</v>
      </c>
      <c r="D473" s="85" t="s">
        <v>83</v>
      </c>
      <c r="E473" s="87">
        <v>0</v>
      </c>
      <c r="F473" s="88">
        <v>23588073.5</v>
      </c>
      <c r="G473" s="87">
        <v>0</v>
      </c>
      <c r="I473" s="87">
        <v>0</v>
      </c>
      <c r="K473" s="87">
        <v>0</v>
      </c>
      <c r="M473" s="87">
        <v>0</v>
      </c>
      <c r="O473" s="87">
        <v>0</v>
      </c>
      <c r="P473" s="88">
        <v>26846541</v>
      </c>
      <c r="Q473" s="87">
        <v>0</v>
      </c>
      <c r="R473" s="87">
        <f t="shared" si="169"/>
        <v>99</v>
      </c>
      <c r="T473" s="87">
        <v>0</v>
      </c>
      <c r="V473" s="87">
        <v>0</v>
      </c>
      <c r="X473" s="87">
        <v>0</v>
      </c>
      <c r="Y473" s="88">
        <v>29611714.000000004</v>
      </c>
      <c r="Z473" s="87">
        <v>0</v>
      </c>
      <c r="AA473" s="87">
        <v>99</v>
      </c>
      <c r="AB473" s="89">
        <f t="shared" si="170"/>
        <v>0</v>
      </c>
      <c r="AC473" s="89">
        <f t="shared" si="171"/>
        <v>0</v>
      </c>
      <c r="AD473" s="89">
        <f t="shared" si="172"/>
        <v>0</v>
      </c>
      <c r="AF473" s="90" t="str">
        <f t="shared" si="173"/>
        <v/>
      </c>
      <c r="AG473" s="90">
        <f t="shared" si="174"/>
        <v>99</v>
      </c>
      <c r="AH473" s="90" t="str">
        <f t="shared" si="175"/>
        <v>2018 (triag)</v>
      </c>
      <c r="AI473" s="90">
        <f t="shared" si="176"/>
        <v>99</v>
      </c>
      <c r="AJ473" s="90" t="str">
        <f t="shared" si="177"/>
        <v>2018 (triag)</v>
      </c>
      <c r="AK473" s="90" t="str">
        <f t="shared" si="178"/>
        <v/>
      </c>
      <c r="AL473" s="91">
        <f>IF(AK473="Adjust",(_xlfn.XLOOKUP(A473,'Adj factor'!A:A,'Adj factor'!I:I,,0)*AI473),'Master DataSheet (Rev)'!AI473)</f>
        <v>99</v>
      </c>
      <c r="AM473" s="91">
        <f t="shared" si="179"/>
        <v>99</v>
      </c>
      <c r="AN473" s="92" t="str">
        <f t="shared" si="180"/>
        <v>No change</v>
      </c>
      <c r="AO473" s="93">
        <f>VLOOKUP(B473,'Growthrates source'!A$2:H$49,8,FALSE)</f>
        <v>4.1448317953169944E-2</v>
      </c>
      <c r="AP473" s="93">
        <f>VLOOKUP(B473,'Growthrates source'!A$2:I$49,9,FALSE)</f>
        <v>6.6454487825566844E-3</v>
      </c>
      <c r="AQ473" s="86">
        <f t="shared" si="181"/>
        <v>80.469502392013482</v>
      </c>
      <c r="AR473" s="86">
        <f t="shared" si="182"/>
        <v>100.99350385266057</v>
      </c>
      <c r="AS473" s="94">
        <f t="shared" si="183"/>
        <v>0</v>
      </c>
      <c r="AT473" s="94">
        <f t="shared" si="184"/>
        <v>3.6876259030912024E-2</v>
      </c>
      <c r="AU473" s="94">
        <f t="shared" si="167"/>
        <v>3.3432715174812236E-2</v>
      </c>
      <c r="AV473" s="94">
        <f t="shared" si="168"/>
        <v>3.3432715174812236E-2</v>
      </c>
    </row>
    <row r="474" spans="1:48" x14ac:dyDescent="0.3">
      <c r="A474" s="85" t="str">
        <f>_xlfn.XLOOKUP(B474,'Country codes &amp; Data sources'!G:G,'Country codes &amp; Data sources'!H:H,,0)</f>
        <v>Madagascar</v>
      </c>
      <c r="B474" s="85" t="s">
        <v>177</v>
      </c>
      <c r="C474" s="86">
        <v>22966261</v>
      </c>
      <c r="D474" s="85" t="s">
        <v>84</v>
      </c>
      <c r="E474" s="87">
        <v>0</v>
      </c>
      <c r="F474" s="88">
        <v>23588073.5</v>
      </c>
      <c r="G474" s="87">
        <v>0</v>
      </c>
      <c r="I474" s="87">
        <v>0</v>
      </c>
      <c r="K474" s="87">
        <v>0</v>
      </c>
      <c r="M474" s="87">
        <v>0</v>
      </c>
      <c r="O474" s="87">
        <v>0</v>
      </c>
      <c r="P474" s="88">
        <v>26846541</v>
      </c>
      <c r="Q474" s="87">
        <v>0</v>
      </c>
      <c r="R474" s="87">
        <f t="shared" si="169"/>
        <v>0</v>
      </c>
      <c r="T474" s="87">
        <v>0</v>
      </c>
      <c r="V474" s="87">
        <v>0</v>
      </c>
      <c r="X474" s="87">
        <v>0</v>
      </c>
      <c r="Y474" s="88">
        <v>29611714.000000004</v>
      </c>
      <c r="Z474" s="87">
        <v>0</v>
      </c>
      <c r="AA474" s="87">
        <v>0</v>
      </c>
      <c r="AB474" s="89">
        <f t="shared" si="170"/>
        <v>0</v>
      </c>
      <c r="AC474" s="89">
        <f t="shared" si="171"/>
        <v>0</v>
      </c>
      <c r="AD474" s="89">
        <f t="shared" si="172"/>
        <v>0</v>
      </c>
      <c r="AF474" s="90" t="str">
        <f t="shared" si="173"/>
        <v/>
      </c>
      <c r="AH474" s="90" t="str">
        <f t="shared" si="175"/>
        <v/>
      </c>
      <c r="AI474" s="90">
        <f t="shared" si="176"/>
        <v>0</v>
      </c>
      <c r="AJ474" s="90" t="str">
        <f t="shared" si="177"/>
        <v/>
      </c>
      <c r="AK474" s="90" t="str">
        <f t="shared" si="178"/>
        <v/>
      </c>
      <c r="AL474" s="91"/>
      <c r="AM474" s="91">
        <f t="shared" si="179"/>
        <v>0</v>
      </c>
      <c r="AN474" s="92" t="str">
        <f t="shared" si="180"/>
        <v>No change</v>
      </c>
      <c r="AO474" s="93">
        <f>VLOOKUP(B474,'Growthrates source'!A$2:H$49,8,FALSE)</f>
        <v>4.1448317953169944E-2</v>
      </c>
      <c r="AP474" s="93">
        <f>VLOOKUP(B474,'Growthrates source'!A$2:I$49,9,FALSE)</f>
        <v>6.6454487825566844E-3</v>
      </c>
      <c r="AQ474" s="86">
        <f t="shared" si="181"/>
        <v>0</v>
      </c>
      <c r="AR474" s="86">
        <f t="shared" si="182"/>
        <v>0</v>
      </c>
      <c r="AS474" s="94">
        <f t="shared" si="183"/>
        <v>0</v>
      </c>
      <c r="AT474" s="94">
        <f t="shared" si="184"/>
        <v>0</v>
      </c>
      <c r="AU474" s="94">
        <f t="shared" si="167"/>
        <v>0</v>
      </c>
      <c r="AV474" s="94">
        <f t="shared" si="168"/>
        <v>0</v>
      </c>
    </row>
    <row r="475" spans="1:48" x14ac:dyDescent="0.3">
      <c r="A475" s="85" t="str">
        <f>_xlfn.XLOOKUP(B475,'Country codes &amp; Data sources'!G:G,'Country codes &amp; Data sources'!H:H,,0)</f>
        <v>Madagascar</v>
      </c>
      <c r="B475" s="85" t="s">
        <v>177</v>
      </c>
      <c r="C475" s="86">
        <v>22966262</v>
      </c>
      <c r="D475" s="85" t="s">
        <v>126</v>
      </c>
      <c r="E475" s="87">
        <v>0</v>
      </c>
      <c r="F475" s="88">
        <v>23588073.5</v>
      </c>
      <c r="G475" s="87">
        <v>0</v>
      </c>
      <c r="I475" s="87">
        <v>0</v>
      </c>
      <c r="K475" s="87">
        <v>0</v>
      </c>
      <c r="M475" s="87">
        <v>0</v>
      </c>
      <c r="O475" s="87">
        <v>0</v>
      </c>
      <c r="P475" s="88">
        <v>26846541</v>
      </c>
      <c r="Q475" s="87">
        <v>0</v>
      </c>
      <c r="R475" s="87">
        <f t="shared" si="169"/>
        <v>0</v>
      </c>
      <c r="T475" s="87">
        <v>0</v>
      </c>
      <c r="V475" s="87">
        <v>0</v>
      </c>
      <c r="X475" s="87">
        <v>0</v>
      </c>
      <c r="Y475" s="88">
        <v>29611714.000000004</v>
      </c>
      <c r="Z475" s="87">
        <v>0</v>
      </c>
      <c r="AA475" s="87">
        <v>0</v>
      </c>
      <c r="AB475" s="89">
        <f t="shared" si="170"/>
        <v>0</v>
      </c>
      <c r="AC475" s="89">
        <f t="shared" si="171"/>
        <v>0</v>
      </c>
      <c r="AD475" s="89">
        <f t="shared" si="172"/>
        <v>0</v>
      </c>
      <c r="AF475" s="90" t="str">
        <f t="shared" si="173"/>
        <v/>
      </c>
      <c r="AH475" s="90" t="str">
        <f t="shared" si="175"/>
        <v/>
      </c>
      <c r="AI475" s="90">
        <f t="shared" si="176"/>
        <v>0</v>
      </c>
      <c r="AJ475" s="90" t="str">
        <f t="shared" si="177"/>
        <v/>
      </c>
      <c r="AK475" s="90" t="str">
        <f t="shared" si="178"/>
        <v/>
      </c>
      <c r="AL475" s="91"/>
      <c r="AM475" s="91">
        <f t="shared" si="179"/>
        <v>0</v>
      </c>
      <c r="AN475" s="92" t="str">
        <f t="shared" si="180"/>
        <v>No change</v>
      </c>
      <c r="AO475" s="93">
        <f>VLOOKUP(B475,'Growthrates source'!A$2:H$49,8,FALSE)</f>
        <v>4.1448317953169944E-2</v>
      </c>
      <c r="AP475" s="93">
        <f>VLOOKUP(B475,'Growthrates source'!A$2:I$49,9,FALSE)</f>
        <v>6.6454487825566844E-3</v>
      </c>
      <c r="AQ475" s="86">
        <f t="shared" si="181"/>
        <v>0</v>
      </c>
      <c r="AR475" s="86">
        <f t="shared" si="182"/>
        <v>0</v>
      </c>
      <c r="AS475" s="94">
        <f t="shared" si="183"/>
        <v>0</v>
      </c>
      <c r="AT475" s="94">
        <f t="shared" si="184"/>
        <v>0</v>
      </c>
      <c r="AU475" s="94">
        <f t="shared" si="167"/>
        <v>0</v>
      </c>
      <c r="AV475" s="94">
        <f t="shared" si="168"/>
        <v>0</v>
      </c>
    </row>
    <row r="476" spans="1:48" x14ac:dyDescent="0.3">
      <c r="A476" s="85" t="str">
        <f>_xlfn.XLOOKUP(B476,'Country codes &amp; Data sources'!G:G,'Country codes &amp; Data sources'!H:H,,0)</f>
        <v>Madagascar</v>
      </c>
      <c r="B476" s="85" t="s">
        <v>177</v>
      </c>
      <c r="C476" s="86">
        <v>22966263</v>
      </c>
      <c r="D476" s="85" t="s">
        <v>87</v>
      </c>
      <c r="E476" s="87">
        <v>0</v>
      </c>
      <c r="F476" s="88">
        <v>23588073.5</v>
      </c>
      <c r="G476" s="87">
        <v>0</v>
      </c>
      <c r="I476" s="87">
        <v>0</v>
      </c>
      <c r="K476" s="87">
        <v>0</v>
      </c>
      <c r="M476" s="87">
        <v>0</v>
      </c>
      <c r="O476" s="87">
        <v>0</v>
      </c>
      <c r="P476" s="88">
        <v>26846541</v>
      </c>
      <c r="Q476" s="87">
        <v>0</v>
      </c>
      <c r="R476" s="87">
        <f t="shared" si="169"/>
        <v>602</v>
      </c>
      <c r="T476" s="87">
        <v>0</v>
      </c>
      <c r="V476" s="87">
        <v>0</v>
      </c>
      <c r="X476" s="87">
        <v>0</v>
      </c>
      <c r="Y476" s="88">
        <v>29611714.000000004</v>
      </c>
      <c r="Z476" s="87">
        <v>0</v>
      </c>
      <c r="AA476" s="87">
        <v>602</v>
      </c>
      <c r="AB476" s="89">
        <f t="shared" si="170"/>
        <v>0</v>
      </c>
      <c r="AC476" s="89">
        <f t="shared" si="171"/>
        <v>0</v>
      </c>
      <c r="AD476" s="89">
        <f t="shared" si="172"/>
        <v>0</v>
      </c>
      <c r="AF476" s="90" t="str">
        <f t="shared" si="173"/>
        <v/>
      </c>
      <c r="AG476" s="90">
        <f t="shared" si="174"/>
        <v>602</v>
      </c>
      <c r="AH476" s="90" t="str">
        <f t="shared" si="175"/>
        <v>2018 (triag)</v>
      </c>
      <c r="AI476" s="90">
        <f t="shared" si="176"/>
        <v>602</v>
      </c>
      <c r="AJ476" s="90" t="str">
        <f t="shared" si="177"/>
        <v>2018 (triag)</v>
      </c>
      <c r="AK476" s="90" t="str">
        <f t="shared" si="178"/>
        <v/>
      </c>
      <c r="AL476" s="91">
        <f>IF(AK476="Adjust",(_xlfn.XLOOKUP(A476,'Adj factor'!A:A,'Adj factor'!I:I,,0)*AI476),'Master DataSheet (Rev)'!AI476)</f>
        <v>602</v>
      </c>
      <c r="AM476" s="91">
        <f t="shared" si="179"/>
        <v>602</v>
      </c>
      <c r="AN476" s="92" t="str">
        <f t="shared" si="180"/>
        <v>No change</v>
      </c>
      <c r="AO476" s="93">
        <f>VLOOKUP(B476,'Growthrates source'!A$2:H$49,8,FALSE)</f>
        <v>4.1448317953169944E-2</v>
      </c>
      <c r="AP476" s="93">
        <f>VLOOKUP(B476,'Growthrates source'!A$2:I$49,9,FALSE)</f>
        <v>6.6454487825566844E-3</v>
      </c>
      <c r="AQ476" s="86">
        <f t="shared" si="181"/>
        <v>489.31960040396075</v>
      </c>
      <c r="AR476" s="86">
        <f t="shared" si="182"/>
        <v>614.12211433638038</v>
      </c>
      <c r="AS476" s="94">
        <f t="shared" si="183"/>
        <v>0</v>
      </c>
      <c r="AT476" s="94">
        <f t="shared" si="184"/>
        <v>0.22423745390514183</v>
      </c>
      <c r="AU476" s="94">
        <f t="shared" si="167"/>
        <v>0.20329792459835319</v>
      </c>
      <c r="AV476" s="94">
        <f t="shared" si="168"/>
        <v>0.20329792459835319</v>
      </c>
    </row>
    <row r="477" spans="1:48" x14ac:dyDescent="0.3">
      <c r="A477" s="85" t="str">
        <f>_xlfn.XLOOKUP(B477,'Country codes &amp; Data sources'!G:G,'Country codes &amp; Data sources'!H:H,,0)</f>
        <v>Mali</v>
      </c>
      <c r="B477" s="85" t="s">
        <v>179</v>
      </c>
      <c r="C477" s="86">
        <v>16514692</v>
      </c>
      <c r="D477" s="85" t="s">
        <v>127</v>
      </c>
      <c r="E477" s="87">
        <v>0</v>
      </c>
      <c r="F477" s="88">
        <v>17004032.499999996</v>
      </c>
      <c r="G477" s="87">
        <v>0</v>
      </c>
      <c r="I477" s="87">
        <v>0</v>
      </c>
      <c r="K477" s="87">
        <v>0</v>
      </c>
      <c r="M477" s="87">
        <v>0</v>
      </c>
      <c r="O477" s="87">
        <v>0</v>
      </c>
      <c r="P477" s="88">
        <v>19934298.000000004</v>
      </c>
      <c r="Q477" s="87">
        <v>1152</v>
      </c>
      <c r="R477" s="87">
        <f t="shared" si="169"/>
        <v>1152</v>
      </c>
      <c r="T477" s="87">
        <v>0</v>
      </c>
      <c r="V477" s="87">
        <v>3303</v>
      </c>
      <c r="X477" s="87">
        <v>0</v>
      </c>
      <c r="Y477" s="88">
        <v>22593590.500000022</v>
      </c>
      <c r="Z477" s="87">
        <v>0</v>
      </c>
      <c r="AA477" s="87">
        <v>1152</v>
      </c>
      <c r="AB477" s="89">
        <f t="shared" si="170"/>
        <v>0</v>
      </c>
      <c r="AC477" s="89">
        <f t="shared" si="171"/>
        <v>1152</v>
      </c>
      <c r="AD477" s="89">
        <f t="shared" si="172"/>
        <v>3303</v>
      </c>
      <c r="AF477" s="90" t="str">
        <f t="shared" si="173"/>
        <v/>
      </c>
      <c r="AG477" s="90">
        <f t="shared" si="174"/>
        <v>1152</v>
      </c>
      <c r="AH477" s="90">
        <f t="shared" si="175"/>
        <v>2018</v>
      </c>
      <c r="AI477" s="90">
        <f t="shared" si="176"/>
        <v>3303</v>
      </c>
      <c r="AJ477" s="90">
        <f t="shared" si="177"/>
        <v>2020</v>
      </c>
      <c r="AK477" s="90" t="str">
        <f t="shared" si="178"/>
        <v/>
      </c>
      <c r="AL477" s="91">
        <f>IF(AK477="Adjust",(_xlfn.XLOOKUP(A477,'Adj factor'!A:A,'Adj factor'!I:I,,0)*AI477),'Master DataSheet (Rev)'!AI477)</f>
        <v>3303</v>
      </c>
      <c r="AM477" s="91">
        <f t="shared" si="179"/>
        <v>3303</v>
      </c>
      <c r="AN477" s="92" t="str">
        <f t="shared" si="180"/>
        <v>Increasing</v>
      </c>
      <c r="AO477" s="93">
        <f>VLOOKUP(B477,'Growthrates source'!A$2:H$49,8,FALSE)</f>
        <v>3.5406206546388264E-2</v>
      </c>
      <c r="AP477" s="93">
        <f>VLOOKUP(B477,'Growthrates source'!A$2:I$49,9,FALSE)</f>
        <v>8.9309654310665287E-4</v>
      </c>
      <c r="AQ477" s="86">
        <f t="shared" si="181"/>
        <v>965.09236185321345</v>
      </c>
      <c r="AR477" s="86">
        <f t="shared" si="182"/>
        <v>1155.0906802178097</v>
      </c>
      <c r="AS477" s="94">
        <f t="shared" si="183"/>
        <v>0</v>
      </c>
      <c r="AT477" s="94">
        <f t="shared" si="184"/>
        <v>0.57789845421193153</v>
      </c>
      <c r="AU477" s="94">
        <f t="shared" si="167"/>
        <v>1.4619190340729584</v>
      </c>
      <c r="AV477" s="94">
        <f t="shared" si="168"/>
        <v>1.4619190340729584</v>
      </c>
    </row>
    <row r="478" spans="1:48" x14ac:dyDescent="0.3">
      <c r="A478" s="85" t="str">
        <f>_xlfn.XLOOKUP(B478,'Country codes &amp; Data sources'!G:G,'Country codes &amp; Data sources'!H:H,,0)</f>
        <v>Mali</v>
      </c>
      <c r="B478" s="85" t="s">
        <v>179</v>
      </c>
      <c r="C478" s="86">
        <v>16514693</v>
      </c>
      <c r="D478" s="85" t="s">
        <v>61</v>
      </c>
      <c r="E478" s="87">
        <v>0</v>
      </c>
      <c r="F478" s="88">
        <v>17004032.499999996</v>
      </c>
      <c r="G478" s="87">
        <v>0</v>
      </c>
      <c r="I478" s="87">
        <v>0</v>
      </c>
      <c r="K478" s="87">
        <v>0</v>
      </c>
      <c r="M478" s="87">
        <v>0</v>
      </c>
      <c r="O478" s="87">
        <v>0</v>
      </c>
      <c r="P478" s="88">
        <v>19934298.000000004</v>
      </c>
      <c r="Q478" s="87">
        <v>0</v>
      </c>
      <c r="R478" s="87">
        <f t="shared" si="169"/>
        <v>7</v>
      </c>
      <c r="T478" s="87">
        <v>0</v>
      </c>
      <c r="V478" s="87">
        <v>0</v>
      </c>
      <c r="X478" s="87">
        <v>0</v>
      </c>
      <c r="Y478" s="88">
        <v>22593590.500000022</v>
      </c>
      <c r="Z478" s="87">
        <v>3342</v>
      </c>
      <c r="AA478" s="87">
        <v>7</v>
      </c>
      <c r="AB478" s="89">
        <f t="shared" si="170"/>
        <v>0</v>
      </c>
      <c r="AC478" s="89">
        <f t="shared" si="171"/>
        <v>0</v>
      </c>
      <c r="AD478" s="89">
        <f t="shared" si="172"/>
        <v>3342</v>
      </c>
      <c r="AF478" s="90" t="str">
        <f t="shared" si="173"/>
        <v/>
      </c>
      <c r="AG478" s="90">
        <f t="shared" si="174"/>
        <v>7</v>
      </c>
      <c r="AH478" s="90" t="str">
        <f t="shared" si="175"/>
        <v>2018 (triag)</v>
      </c>
      <c r="AI478" s="90">
        <f t="shared" si="176"/>
        <v>3342</v>
      </c>
      <c r="AJ478" s="90">
        <f t="shared" si="177"/>
        <v>2022</v>
      </c>
      <c r="AK478" s="90" t="str">
        <f t="shared" si="178"/>
        <v/>
      </c>
      <c r="AL478" s="91">
        <f>IF(AK478="Adjust",(_xlfn.XLOOKUP(A478,'Adj factor'!A:A,'Adj factor'!I:I,,0)*AI478),'Master DataSheet (Rev)'!AI478)</f>
        <v>3342</v>
      </c>
      <c r="AM478" s="91">
        <f t="shared" si="179"/>
        <v>3342</v>
      </c>
      <c r="AN478" s="92" t="str">
        <f t="shared" si="180"/>
        <v>Increasing</v>
      </c>
      <c r="AO478" s="93">
        <f>VLOOKUP(B478,'Growthrates source'!A$2:H$49,8,FALSE)</f>
        <v>3.5406206546388264E-2</v>
      </c>
      <c r="AP478" s="93">
        <f>VLOOKUP(B478,'Growthrates source'!A$2:I$49,9,FALSE)</f>
        <v>8.9309654310665287E-4</v>
      </c>
      <c r="AQ478" s="86">
        <f t="shared" si="181"/>
        <v>5.8642765043164014</v>
      </c>
      <c r="AR478" s="86">
        <f t="shared" si="182"/>
        <v>7.0187801749346077</v>
      </c>
      <c r="AS478" s="94">
        <f t="shared" si="183"/>
        <v>0</v>
      </c>
      <c r="AT478" s="94">
        <f t="shared" si="184"/>
        <v>3.5115357460794448E-3</v>
      </c>
      <c r="AU478" s="94">
        <f t="shared" si="167"/>
        <v>1.4791805667186881</v>
      </c>
      <c r="AV478" s="94">
        <f t="shared" si="168"/>
        <v>1.4791805667186881</v>
      </c>
    </row>
    <row r="479" spans="1:48" x14ac:dyDescent="0.3">
      <c r="A479" s="85" t="str">
        <f>_xlfn.XLOOKUP(B479,'Country codes &amp; Data sources'!G:G,'Country codes &amp; Data sources'!H:H,,0)</f>
        <v>Mali</v>
      </c>
      <c r="B479" s="85" t="s">
        <v>179</v>
      </c>
      <c r="C479" s="86">
        <v>16514694</v>
      </c>
      <c r="D479" s="85" t="s">
        <v>62</v>
      </c>
      <c r="E479" s="87">
        <v>0</v>
      </c>
      <c r="F479" s="88">
        <v>17004032.499999996</v>
      </c>
      <c r="G479" s="87">
        <v>0</v>
      </c>
      <c r="I479" s="87">
        <v>0</v>
      </c>
      <c r="K479" s="87">
        <v>0</v>
      </c>
      <c r="M479" s="87">
        <v>0</v>
      </c>
      <c r="O479" s="87">
        <v>0</v>
      </c>
      <c r="P479" s="88">
        <v>19934298.000000004</v>
      </c>
      <c r="Q479" s="87">
        <v>0</v>
      </c>
      <c r="R479" s="87">
        <f t="shared" si="169"/>
        <v>78</v>
      </c>
      <c r="T479" s="87">
        <v>146</v>
      </c>
      <c r="V479" s="87">
        <v>0</v>
      </c>
      <c r="X479" s="87">
        <v>0</v>
      </c>
      <c r="Y479" s="88">
        <v>22593590.500000022</v>
      </c>
      <c r="Z479" s="87">
        <v>3642</v>
      </c>
      <c r="AA479" s="87">
        <v>78</v>
      </c>
      <c r="AB479" s="89">
        <f t="shared" si="170"/>
        <v>0</v>
      </c>
      <c r="AC479" s="89">
        <f t="shared" si="171"/>
        <v>146</v>
      </c>
      <c r="AD479" s="89">
        <f t="shared" si="172"/>
        <v>3642</v>
      </c>
      <c r="AF479" s="90" t="str">
        <f t="shared" si="173"/>
        <v/>
      </c>
      <c r="AG479" s="90">
        <f t="shared" si="174"/>
        <v>78</v>
      </c>
      <c r="AH479" s="90" t="str">
        <f t="shared" si="175"/>
        <v>2018 (triag)</v>
      </c>
      <c r="AI479" s="90">
        <f t="shared" si="176"/>
        <v>3642</v>
      </c>
      <c r="AJ479" s="90">
        <f t="shared" si="177"/>
        <v>2022</v>
      </c>
      <c r="AK479" s="90" t="str">
        <f t="shared" si="178"/>
        <v/>
      </c>
      <c r="AL479" s="91">
        <f>IF(AK479="Adjust",(_xlfn.XLOOKUP(A479,'Adj factor'!A:A,'Adj factor'!I:I,,0)*AI479),'Master DataSheet (Rev)'!AI479)</f>
        <v>3642</v>
      </c>
      <c r="AM479" s="91">
        <f t="shared" si="179"/>
        <v>3642</v>
      </c>
      <c r="AN479" s="92" t="str">
        <f t="shared" si="180"/>
        <v>Increasing</v>
      </c>
      <c r="AO479" s="93">
        <f>VLOOKUP(B479,'Growthrates source'!A$2:H$49,8,FALSE)</f>
        <v>3.5406206546388264E-2</v>
      </c>
      <c r="AP479" s="93">
        <f>VLOOKUP(B479,'Growthrates source'!A$2:I$49,9,FALSE)</f>
        <v>8.9309654310665287E-4</v>
      </c>
      <c r="AQ479" s="86">
        <f t="shared" si="181"/>
        <v>65.344795333811319</v>
      </c>
      <c r="AR479" s="86">
        <f t="shared" si="182"/>
        <v>78.209264806414197</v>
      </c>
      <c r="AS479" s="94">
        <f t="shared" si="183"/>
        <v>0</v>
      </c>
      <c r="AT479" s="94">
        <f t="shared" si="184"/>
        <v>3.912854117059953E-2</v>
      </c>
      <c r="AU479" s="94">
        <f t="shared" si="167"/>
        <v>1.6119615870704553</v>
      </c>
      <c r="AV479" s="94">
        <f t="shared" si="168"/>
        <v>1.6119615870704553</v>
      </c>
    </row>
    <row r="480" spans="1:48" x14ac:dyDescent="0.3">
      <c r="A480" s="85" t="str">
        <f>_xlfn.XLOOKUP(B480,'Country codes &amp; Data sources'!G:G,'Country codes &amp; Data sources'!H:H,,0)</f>
        <v>Mali</v>
      </c>
      <c r="B480" s="85" t="s">
        <v>179</v>
      </c>
      <c r="C480" s="86">
        <v>16514695</v>
      </c>
      <c r="D480" s="85" t="s">
        <v>203</v>
      </c>
      <c r="E480" s="87">
        <v>0</v>
      </c>
      <c r="F480" s="88">
        <v>17004032.499999996</v>
      </c>
      <c r="G480" s="87">
        <v>0</v>
      </c>
      <c r="I480" s="87">
        <v>0</v>
      </c>
      <c r="K480" s="87">
        <v>0</v>
      </c>
      <c r="M480" s="87">
        <v>0</v>
      </c>
      <c r="O480" s="87">
        <v>0</v>
      </c>
      <c r="P480" s="88">
        <v>19934298.000000004</v>
      </c>
      <c r="Q480" s="87">
        <v>0</v>
      </c>
      <c r="R480" s="87">
        <f t="shared" si="169"/>
        <v>2153</v>
      </c>
      <c r="T480" s="87">
        <v>0</v>
      </c>
      <c r="V480" s="87">
        <v>0</v>
      </c>
      <c r="X480" s="87">
        <v>0</v>
      </c>
      <c r="Y480" s="88">
        <v>22593590.500000022</v>
      </c>
      <c r="Z480" s="87">
        <v>0</v>
      </c>
      <c r="AA480" s="87">
        <v>2153</v>
      </c>
      <c r="AB480" s="89">
        <f t="shared" si="170"/>
        <v>0</v>
      </c>
      <c r="AC480" s="89">
        <f t="shared" si="171"/>
        <v>0</v>
      </c>
      <c r="AD480" s="89">
        <f t="shared" si="172"/>
        <v>0</v>
      </c>
      <c r="AF480" s="90" t="str">
        <f t="shared" si="173"/>
        <v/>
      </c>
      <c r="AG480" s="90">
        <f t="shared" si="174"/>
        <v>2153</v>
      </c>
      <c r="AH480" s="90" t="str">
        <f t="shared" si="175"/>
        <v>2018 (triag)</v>
      </c>
      <c r="AI480" s="90">
        <f t="shared" si="176"/>
        <v>2153</v>
      </c>
      <c r="AJ480" s="90" t="str">
        <f t="shared" si="177"/>
        <v>2018 (triag)</v>
      </c>
      <c r="AK480" s="90" t="str">
        <f t="shared" si="178"/>
        <v/>
      </c>
      <c r="AL480" s="91">
        <f>IF(AK480="Adjust",(_xlfn.XLOOKUP(A480,'Adj factor'!A:A,'Adj factor'!I:I,,0)*AI480),'Master DataSheet (Rev)'!AI480)</f>
        <v>2153</v>
      </c>
      <c r="AM480" s="91">
        <f t="shared" si="179"/>
        <v>2153</v>
      </c>
      <c r="AN480" s="92" t="str">
        <f t="shared" si="180"/>
        <v>No change</v>
      </c>
      <c r="AO480" s="93">
        <f>VLOOKUP(B480,'Growthrates source'!A$2:H$49,8,FALSE)</f>
        <v>3.5406206546388264E-2</v>
      </c>
      <c r="AP480" s="93">
        <f>VLOOKUP(B480,'Growthrates source'!A$2:I$49,9,FALSE)</f>
        <v>8.9309654310665287E-4</v>
      </c>
      <c r="AQ480" s="86">
        <f t="shared" si="181"/>
        <v>1803.6839019704587</v>
      </c>
      <c r="AR480" s="86">
        <f t="shared" si="182"/>
        <v>2158.7762452334587</v>
      </c>
      <c r="AS480" s="94">
        <f t="shared" si="183"/>
        <v>0</v>
      </c>
      <c r="AT480" s="94">
        <f t="shared" si="184"/>
        <v>1.0800480659012921</v>
      </c>
      <c r="AU480" s="94">
        <f t="shared" si="167"/>
        <v>0.9529251227245169</v>
      </c>
      <c r="AV480" s="94">
        <f t="shared" si="168"/>
        <v>0.9529251227245169</v>
      </c>
    </row>
    <row r="481" spans="1:48" x14ac:dyDescent="0.3">
      <c r="A481" s="85" t="str">
        <f>_xlfn.XLOOKUP(B481,'Country codes &amp; Data sources'!G:G,'Country codes &amp; Data sources'!H:H,,0)</f>
        <v>Mali</v>
      </c>
      <c r="B481" s="85" t="s">
        <v>179</v>
      </c>
      <c r="C481" s="86">
        <v>16514696</v>
      </c>
      <c r="D481" s="85" t="s">
        <v>204</v>
      </c>
      <c r="E481" s="87">
        <v>0</v>
      </c>
      <c r="F481" s="88">
        <v>17004032.499999996</v>
      </c>
      <c r="G481" s="87">
        <v>0</v>
      </c>
      <c r="I481" s="87">
        <v>0</v>
      </c>
      <c r="K481" s="87">
        <v>0</v>
      </c>
      <c r="M481" s="87">
        <v>0</v>
      </c>
      <c r="O481" s="87">
        <v>0</v>
      </c>
      <c r="P481" s="88">
        <v>19934298.000000004</v>
      </c>
      <c r="Q481" s="87">
        <v>13</v>
      </c>
      <c r="R481" s="87">
        <f t="shared" si="169"/>
        <v>25</v>
      </c>
      <c r="T481" s="87">
        <v>0</v>
      </c>
      <c r="V481" s="87">
        <v>0</v>
      </c>
      <c r="X481" s="87">
        <v>0</v>
      </c>
      <c r="Y481" s="88">
        <v>22593590.500000022</v>
      </c>
      <c r="Z481" s="87">
        <v>0</v>
      </c>
      <c r="AA481" s="87">
        <v>25</v>
      </c>
      <c r="AB481" s="89">
        <f t="shared" si="170"/>
        <v>0</v>
      </c>
      <c r="AC481" s="89">
        <f t="shared" si="171"/>
        <v>13</v>
      </c>
      <c r="AD481" s="89">
        <f t="shared" si="172"/>
        <v>0</v>
      </c>
      <c r="AF481" s="90" t="str">
        <f t="shared" si="173"/>
        <v/>
      </c>
      <c r="AG481" s="90">
        <f t="shared" si="174"/>
        <v>25</v>
      </c>
      <c r="AH481" s="90" t="str">
        <f t="shared" si="175"/>
        <v>2018 (triag)</v>
      </c>
      <c r="AI481" s="90">
        <f t="shared" si="176"/>
        <v>25</v>
      </c>
      <c r="AJ481" s="90" t="str">
        <f t="shared" si="177"/>
        <v>2018 (triag)</v>
      </c>
      <c r="AK481" s="90" t="str">
        <f t="shared" si="178"/>
        <v/>
      </c>
      <c r="AL481" s="91">
        <f>IF(AK481="Adjust",(_xlfn.XLOOKUP(A481,'Adj factor'!A:A,'Adj factor'!I:I,,0)*AI481),'Master DataSheet (Rev)'!AI481)</f>
        <v>25</v>
      </c>
      <c r="AM481" s="91">
        <f t="shared" si="179"/>
        <v>25</v>
      </c>
      <c r="AN481" s="92" t="str">
        <f t="shared" si="180"/>
        <v>No change</v>
      </c>
      <c r="AO481" s="93">
        <f>VLOOKUP(B481,'Growthrates source'!A$2:H$49,8,FALSE)</f>
        <v>3.5406206546388264E-2</v>
      </c>
      <c r="AP481" s="93">
        <f>VLOOKUP(B481,'Growthrates source'!A$2:I$49,9,FALSE)</f>
        <v>8.9309654310665287E-4</v>
      </c>
      <c r="AQ481" s="86">
        <f t="shared" si="181"/>
        <v>20.943844658272862</v>
      </c>
      <c r="AR481" s="86">
        <f t="shared" si="182"/>
        <v>25.067072053337885</v>
      </c>
      <c r="AS481" s="94">
        <f t="shared" si="183"/>
        <v>0</v>
      </c>
      <c r="AT481" s="94">
        <f t="shared" si="184"/>
        <v>1.2541199093140875E-2</v>
      </c>
      <c r="AU481" s="94">
        <f t="shared" si="167"/>
        <v>1.1065085029313944E-2</v>
      </c>
      <c r="AV481" s="94">
        <f t="shared" si="168"/>
        <v>1.1065085029313944E-2</v>
      </c>
    </row>
    <row r="482" spans="1:48" x14ac:dyDescent="0.3">
      <c r="A482" s="85" t="str">
        <f>_xlfn.XLOOKUP(B482,'Country codes &amp; Data sources'!G:G,'Country codes &amp; Data sources'!H:H,,0)</f>
        <v>Mali</v>
      </c>
      <c r="B482" s="85" t="s">
        <v>179</v>
      </c>
      <c r="C482" s="86">
        <v>16514697</v>
      </c>
      <c r="D482" s="85" t="s">
        <v>205</v>
      </c>
      <c r="E482" s="87">
        <v>0</v>
      </c>
      <c r="F482" s="88">
        <v>17004032.499999996</v>
      </c>
      <c r="G482" s="87">
        <v>0</v>
      </c>
      <c r="I482" s="87">
        <v>0</v>
      </c>
      <c r="K482" s="87">
        <v>0</v>
      </c>
      <c r="M482" s="87">
        <v>0</v>
      </c>
      <c r="O482" s="87">
        <v>0</v>
      </c>
      <c r="P482" s="88">
        <v>19934298.000000004</v>
      </c>
      <c r="Q482" s="87">
        <v>15</v>
      </c>
      <c r="R482" s="87">
        <f t="shared" si="169"/>
        <v>15</v>
      </c>
      <c r="T482" s="87">
        <v>0</v>
      </c>
      <c r="V482" s="87">
        <v>0</v>
      </c>
      <c r="X482" s="87">
        <v>0</v>
      </c>
      <c r="Y482" s="88">
        <v>22593590.500000022</v>
      </c>
      <c r="Z482" s="87">
        <v>0</v>
      </c>
      <c r="AA482" s="87">
        <v>0</v>
      </c>
      <c r="AB482" s="89">
        <f t="shared" si="170"/>
        <v>0</v>
      </c>
      <c r="AC482" s="89">
        <f t="shared" si="171"/>
        <v>15</v>
      </c>
      <c r="AD482" s="89">
        <f t="shared" si="172"/>
        <v>0</v>
      </c>
      <c r="AF482" s="90" t="str">
        <f t="shared" si="173"/>
        <v/>
      </c>
      <c r="AG482" s="90">
        <f t="shared" si="174"/>
        <v>15</v>
      </c>
      <c r="AH482" s="90">
        <f t="shared" si="175"/>
        <v>2018</v>
      </c>
      <c r="AI482" s="90">
        <f t="shared" si="176"/>
        <v>15</v>
      </c>
      <c r="AJ482" s="90">
        <f t="shared" si="177"/>
        <v>2018</v>
      </c>
      <c r="AK482" s="90" t="str">
        <f t="shared" si="178"/>
        <v/>
      </c>
      <c r="AL482" s="91">
        <f>IF(AK482="Adjust",(_xlfn.XLOOKUP(A482,'Adj factor'!A:A,'Adj factor'!I:I,,0)*AI482),'Master DataSheet (Rev)'!AI482)</f>
        <v>15</v>
      </c>
      <c r="AM482" s="91">
        <f t="shared" si="179"/>
        <v>15</v>
      </c>
      <c r="AN482" s="92" t="str">
        <f t="shared" si="180"/>
        <v>No change</v>
      </c>
      <c r="AO482" s="93">
        <f>VLOOKUP(B482,'Growthrates source'!A$2:H$49,8,FALSE)</f>
        <v>3.5406206546388264E-2</v>
      </c>
      <c r="AP482" s="93">
        <f>VLOOKUP(B482,'Growthrates source'!A$2:I$49,9,FALSE)</f>
        <v>8.9309654310665287E-4</v>
      </c>
      <c r="AQ482" s="86">
        <f t="shared" si="181"/>
        <v>0</v>
      </c>
      <c r="AR482" s="86">
        <f t="shared" si="182"/>
        <v>0</v>
      </c>
      <c r="AS482" s="94">
        <f t="shared" si="183"/>
        <v>0</v>
      </c>
      <c r="AT482" s="94">
        <f t="shared" si="184"/>
        <v>7.5247194558845246E-3</v>
      </c>
      <c r="AU482" s="94">
        <f t="shared" si="167"/>
        <v>6.6390510175883665E-3</v>
      </c>
      <c r="AV482" s="94">
        <f t="shared" si="168"/>
        <v>6.6390510175883665E-3</v>
      </c>
    </row>
    <row r="483" spans="1:48" x14ac:dyDescent="0.3">
      <c r="A483" s="85" t="str">
        <f>_xlfn.XLOOKUP(B483,'Country codes &amp; Data sources'!G:G,'Country codes &amp; Data sources'!H:H,,0)</f>
        <v>Mali</v>
      </c>
      <c r="B483" s="85" t="s">
        <v>179</v>
      </c>
      <c r="C483" s="86">
        <v>16514698</v>
      </c>
      <c r="D483" s="85" t="s">
        <v>133</v>
      </c>
      <c r="E483" s="87">
        <v>0</v>
      </c>
      <c r="F483" s="88">
        <v>17004032.499999996</v>
      </c>
      <c r="G483" s="87">
        <v>0</v>
      </c>
      <c r="I483" s="87">
        <v>0</v>
      </c>
      <c r="K483" s="87">
        <v>0</v>
      </c>
      <c r="M483" s="87">
        <v>0</v>
      </c>
      <c r="O483" s="87">
        <v>0</v>
      </c>
      <c r="P483" s="88">
        <v>19934298.000000004</v>
      </c>
      <c r="Q483" s="87">
        <v>0</v>
      </c>
      <c r="R483" s="87">
        <f t="shared" si="169"/>
        <v>1496</v>
      </c>
      <c r="T483" s="87">
        <v>0</v>
      </c>
      <c r="V483" s="87">
        <v>0</v>
      </c>
      <c r="X483" s="87">
        <v>0</v>
      </c>
      <c r="Y483" s="88">
        <v>22593590.500000022</v>
      </c>
      <c r="Z483" s="87">
        <v>0</v>
      </c>
      <c r="AA483" s="87">
        <v>1496</v>
      </c>
      <c r="AB483" s="89">
        <f t="shared" si="170"/>
        <v>0</v>
      </c>
      <c r="AC483" s="89">
        <f t="shared" si="171"/>
        <v>0</v>
      </c>
      <c r="AD483" s="89">
        <f t="shared" si="172"/>
        <v>0</v>
      </c>
      <c r="AF483" s="90" t="str">
        <f t="shared" si="173"/>
        <v/>
      </c>
      <c r="AG483" s="90">
        <f t="shared" si="174"/>
        <v>1496</v>
      </c>
      <c r="AH483" s="90" t="str">
        <f t="shared" si="175"/>
        <v>2018 (triag)</v>
      </c>
      <c r="AI483" s="90">
        <f t="shared" si="176"/>
        <v>1496</v>
      </c>
      <c r="AJ483" s="90" t="str">
        <f t="shared" si="177"/>
        <v>2018 (triag)</v>
      </c>
      <c r="AK483" s="90" t="str">
        <f t="shared" si="178"/>
        <v/>
      </c>
      <c r="AL483" s="91">
        <f>IF(AK483="Adjust",(_xlfn.XLOOKUP(A483,'Adj factor'!A:A,'Adj factor'!I:I,,0)*AI483),'Master DataSheet (Rev)'!AI483)</f>
        <v>1496</v>
      </c>
      <c r="AM483" s="91">
        <f t="shared" si="179"/>
        <v>1496</v>
      </c>
      <c r="AN483" s="92" t="str">
        <f t="shared" si="180"/>
        <v>No change</v>
      </c>
      <c r="AO483" s="93">
        <f>VLOOKUP(B483,'Growthrates source'!A$2:H$49,8,FALSE)</f>
        <v>3.5406206546388264E-2</v>
      </c>
      <c r="AP483" s="93">
        <f>VLOOKUP(B483,'Growthrates source'!A$2:I$49,9,FALSE)</f>
        <v>8.9309654310665287E-4</v>
      </c>
      <c r="AQ483" s="86">
        <f t="shared" si="181"/>
        <v>1253.279664351048</v>
      </c>
      <c r="AR483" s="86">
        <f t="shared" si="182"/>
        <v>1500.0135916717391</v>
      </c>
      <c r="AS483" s="94">
        <f t="shared" si="183"/>
        <v>0</v>
      </c>
      <c r="AT483" s="94">
        <f t="shared" si="184"/>
        <v>0.75046535373354994</v>
      </c>
      <c r="AU483" s="94">
        <f t="shared" si="167"/>
        <v>0.66213468815414644</v>
      </c>
      <c r="AV483" s="94">
        <f t="shared" si="168"/>
        <v>0.66213468815414644</v>
      </c>
    </row>
    <row r="484" spans="1:48" x14ac:dyDescent="0.3">
      <c r="A484" s="85" t="str">
        <f>_xlfn.XLOOKUP(B484,'Country codes &amp; Data sources'!G:G,'Country codes &amp; Data sources'!H:H,,0)</f>
        <v>Mali</v>
      </c>
      <c r="B484" s="85" t="s">
        <v>179</v>
      </c>
      <c r="C484" s="86">
        <v>16514699</v>
      </c>
      <c r="D484" s="85" t="s">
        <v>206</v>
      </c>
      <c r="E484" s="87">
        <v>0</v>
      </c>
      <c r="F484" s="88">
        <v>17004032.499999996</v>
      </c>
      <c r="G484" s="87">
        <v>0</v>
      </c>
      <c r="I484" s="87">
        <v>0</v>
      </c>
      <c r="K484" s="87">
        <v>0</v>
      </c>
      <c r="M484" s="87">
        <v>0</v>
      </c>
      <c r="O484" s="87">
        <v>0</v>
      </c>
      <c r="P484" s="88">
        <v>19934298.000000004</v>
      </c>
      <c r="Q484" s="87">
        <v>1022</v>
      </c>
      <c r="R484" s="87">
        <f t="shared" si="169"/>
        <v>1041</v>
      </c>
      <c r="T484" s="87">
        <v>0</v>
      </c>
      <c r="V484" s="87">
        <v>0</v>
      </c>
      <c r="X484" s="87">
        <v>0</v>
      </c>
      <c r="Y484" s="88">
        <v>22593590.500000022</v>
      </c>
      <c r="Z484" s="87">
        <v>1481</v>
      </c>
      <c r="AA484" s="87">
        <v>1041</v>
      </c>
      <c r="AB484" s="89">
        <f t="shared" si="170"/>
        <v>0</v>
      </c>
      <c r="AC484" s="89">
        <f t="shared" si="171"/>
        <v>1022</v>
      </c>
      <c r="AD484" s="89">
        <f t="shared" si="172"/>
        <v>1481</v>
      </c>
      <c r="AF484" s="90" t="str">
        <f t="shared" si="173"/>
        <v/>
      </c>
      <c r="AG484" s="90">
        <f t="shared" si="174"/>
        <v>1041</v>
      </c>
      <c r="AH484" s="90" t="str">
        <f t="shared" si="175"/>
        <v>2018 (triag)</v>
      </c>
      <c r="AI484" s="90">
        <f t="shared" si="176"/>
        <v>1481</v>
      </c>
      <c r="AJ484" s="90">
        <f t="shared" si="177"/>
        <v>2022</v>
      </c>
      <c r="AK484" s="90" t="str">
        <f t="shared" si="178"/>
        <v/>
      </c>
      <c r="AL484" s="91">
        <f>IF(AK484="Adjust",(_xlfn.XLOOKUP(A484,'Adj factor'!A:A,'Adj factor'!I:I,,0)*AI484),'Master DataSheet (Rev)'!AI484)</f>
        <v>1481</v>
      </c>
      <c r="AM484" s="91">
        <f t="shared" si="179"/>
        <v>1481</v>
      </c>
      <c r="AN484" s="92" t="str">
        <f t="shared" si="180"/>
        <v>Increasing</v>
      </c>
      <c r="AO484" s="93">
        <f>VLOOKUP(B484,'Growthrates source'!A$2:H$49,8,FALSE)</f>
        <v>3.5406206546388264E-2</v>
      </c>
      <c r="AP484" s="93">
        <f>VLOOKUP(B484,'Growthrates source'!A$2:I$49,9,FALSE)</f>
        <v>8.9309654310665287E-4</v>
      </c>
      <c r="AQ484" s="86">
        <f t="shared" si="181"/>
        <v>872.10169157048188</v>
      </c>
      <c r="AR484" s="86">
        <f t="shared" si="182"/>
        <v>1043.7928803009895</v>
      </c>
      <c r="AS484" s="94">
        <f t="shared" si="183"/>
        <v>0</v>
      </c>
      <c r="AT484" s="94">
        <f t="shared" si="184"/>
        <v>0.52221553023838607</v>
      </c>
      <c r="AU484" s="94">
        <f t="shared" si="167"/>
        <v>0.65549563713655801</v>
      </c>
      <c r="AV484" s="94">
        <f t="shared" si="168"/>
        <v>0.65549563713655801</v>
      </c>
    </row>
    <row r="485" spans="1:48" x14ac:dyDescent="0.3">
      <c r="A485" s="85" t="str">
        <f>_xlfn.XLOOKUP(B485,'Country codes &amp; Data sources'!G:G,'Country codes &amp; Data sources'!H:H,,0)</f>
        <v>Mali</v>
      </c>
      <c r="B485" s="85" t="s">
        <v>179</v>
      </c>
      <c r="C485" s="86">
        <v>16514700</v>
      </c>
      <c r="D485" s="85" t="s">
        <v>136</v>
      </c>
      <c r="E485" s="87">
        <v>0</v>
      </c>
      <c r="F485" s="88">
        <v>17004032.499999996</v>
      </c>
      <c r="G485" s="87">
        <v>0</v>
      </c>
      <c r="I485" s="87">
        <v>0</v>
      </c>
      <c r="K485" s="87">
        <v>0</v>
      </c>
      <c r="M485" s="87">
        <v>0</v>
      </c>
      <c r="O485" s="87">
        <v>0</v>
      </c>
      <c r="P485" s="88">
        <v>19934298.000000004</v>
      </c>
      <c r="Q485" s="87">
        <v>0</v>
      </c>
      <c r="R485" s="87">
        <f t="shared" si="169"/>
        <v>0</v>
      </c>
      <c r="T485" s="87">
        <v>0</v>
      </c>
      <c r="V485" s="87">
        <v>0</v>
      </c>
      <c r="X485" s="87">
        <v>0</v>
      </c>
      <c r="Y485" s="88">
        <v>22593590.500000022</v>
      </c>
      <c r="Z485" s="87">
        <v>0</v>
      </c>
      <c r="AA485" s="87">
        <v>0</v>
      </c>
      <c r="AB485" s="89">
        <f t="shared" si="170"/>
        <v>0</v>
      </c>
      <c r="AC485" s="89">
        <f t="shared" si="171"/>
        <v>0</v>
      </c>
      <c r="AD485" s="89">
        <f t="shared" si="172"/>
        <v>0</v>
      </c>
      <c r="AF485" s="90" t="str">
        <f t="shared" si="173"/>
        <v/>
      </c>
      <c r="AH485" s="90" t="str">
        <f t="shared" si="175"/>
        <v/>
      </c>
      <c r="AI485" s="90">
        <f t="shared" si="176"/>
        <v>0</v>
      </c>
      <c r="AJ485" s="90" t="str">
        <f t="shared" si="177"/>
        <v/>
      </c>
      <c r="AK485" s="90" t="str">
        <f t="shared" si="178"/>
        <v/>
      </c>
      <c r="AL485" s="91"/>
      <c r="AM485" s="91">
        <f t="shared" si="179"/>
        <v>0</v>
      </c>
      <c r="AN485" s="92" t="str">
        <f t="shared" si="180"/>
        <v>No change</v>
      </c>
      <c r="AO485" s="93">
        <f>VLOOKUP(B485,'Growthrates source'!A$2:H$49,8,FALSE)</f>
        <v>3.5406206546388264E-2</v>
      </c>
      <c r="AP485" s="93">
        <f>VLOOKUP(B485,'Growthrates source'!A$2:I$49,9,FALSE)</f>
        <v>8.9309654310665287E-4</v>
      </c>
      <c r="AQ485" s="86">
        <f t="shared" si="181"/>
        <v>0</v>
      </c>
      <c r="AR485" s="86">
        <f t="shared" si="182"/>
        <v>0</v>
      </c>
      <c r="AS485" s="94">
        <f t="shared" si="183"/>
        <v>0</v>
      </c>
      <c r="AT485" s="94">
        <f t="shared" si="184"/>
        <v>0</v>
      </c>
      <c r="AU485" s="94">
        <f t="shared" si="167"/>
        <v>0</v>
      </c>
      <c r="AV485" s="94">
        <f t="shared" si="168"/>
        <v>0</v>
      </c>
    </row>
    <row r="486" spans="1:48" x14ac:dyDescent="0.3">
      <c r="A486" s="85" t="str">
        <f>_xlfn.XLOOKUP(B486,'Country codes &amp; Data sources'!G:G,'Country codes &amp; Data sources'!H:H,,0)</f>
        <v>Mali</v>
      </c>
      <c r="B486" s="85" t="s">
        <v>179</v>
      </c>
      <c r="C486" s="86">
        <v>16514701</v>
      </c>
      <c r="D486" s="85" t="s">
        <v>207</v>
      </c>
      <c r="E486" s="87">
        <v>0</v>
      </c>
      <c r="F486" s="88">
        <v>17004032.499999996</v>
      </c>
      <c r="G486" s="87">
        <v>0</v>
      </c>
      <c r="I486" s="87">
        <v>0</v>
      </c>
      <c r="K486" s="87">
        <v>0</v>
      </c>
      <c r="M486" s="87">
        <v>0</v>
      </c>
      <c r="O486" s="87">
        <v>0</v>
      </c>
      <c r="P486" s="88">
        <v>19934298.000000004</v>
      </c>
      <c r="Q486" s="87">
        <v>0</v>
      </c>
      <c r="R486" s="87">
        <f t="shared" si="169"/>
        <v>0</v>
      </c>
      <c r="T486" s="87">
        <v>0</v>
      </c>
      <c r="V486" s="87">
        <v>0</v>
      </c>
      <c r="X486" s="87">
        <v>0</v>
      </c>
      <c r="Y486" s="88">
        <v>22593590.500000022</v>
      </c>
      <c r="Z486" s="87">
        <v>0</v>
      </c>
      <c r="AA486" s="87">
        <v>0</v>
      </c>
      <c r="AB486" s="89">
        <f t="shared" si="170"/>
        <v>0</v>
      </c>
      <c r="AC486" s="89">
        <f t="shared" si="171"/>
        <v>0</v>
      </c>
      <c r="AD486" s="89">
        <f t="shared" si="172"/>
        <v>0</v>
      </c>
      <c r="AF486" s="90" t="str">
        <f t="shared" si="173"/>
        <v/>
      </c>
      <c r="AH486" s="90" t="str">
        <f t="shared" si="175"/>
        <v/>
      </c>
      <c r="AI486" s="90">
        <f t="shared" si="176"/>
        <v>0</v>
      </c>
      <c r="AJ486" s="90" t="str">
        <f t="shared" si="177"/>
        <v/>
      </c>
      <c r="AK486" s="90" t="str">
        <f t="shared" si="178"/>
        <v/>
      </c>
      <c r="AL486" s="91"/>
      <c r="AM486" s="91">
        <f t="shared" si="179"/>
        <v>0</v>
      </c>
      <c r="AN486" s="92" t="str">
        <f t="shared" si="180"/>
        <v>No change</v>
      </c>
      <c r="AO486" s="93">
        <f>VLOOKUP(B486,'Growthrates source'!A$2:H$49,8,FALSE)</f>
        <v>3.5406206546388264E-2</v>
      </c>
      <c r="AP486" s="93">
        <f>VLOOKUP(B486,'Growthrates source'!A$2:I$49,9,FALSE)</f>
        <v>8.9309654310665287E-4</v>
      </c>
      <c r="AQ486" s="86">
        <f t="shared" si="181"/>
        <v>0</v>
      </c>
      <c r="AR486" s="86">
        <f t="shared" si="182"/>
        <v>0</v>
      </c>
      <c r="AS486" s="94">
        <f t="shared" si="183"/>
        <v>0</v>
      </c>
      <c r="AT486" s="94">
        <f t="shared" si="184"/>
        <v>0</v>
      </c>
      <c r="AU486" s="94">
        <f t="shared" si="167"/>
        <v>0</v>
      </c>
      <c r="AV486" s="94">
        <f t="shared" si="168"/>
        <v>0</v>
      </c>
    </row>
    <row r="487" spans="1:48" x14ac:dyDescent="0.3">
      <c r="A487" s="85" t="str">
        <f>_xlfn.XLOOKUP(B487,'Country codes &amp; Data sources'!G:G,'Country codes &amp; Data sources'!H:H,,0)</f>
        <v>Mali</v>
      </c>
      <c r="B487" s="85" t="s">
        <v>179</v>
      </c>
      <c r="C487" s="86">
        <v>16514702</v>
      </c>
      <c r="D487" s="85" t="s">
        <v>141</v>
      </c>
      <c r="E487" s="87">
        <v>0</v>
      </c>
      <c r="F487" s="88">
        <v>17004032.499999996</v>
      </c>
      <c r="G487" s="87">
        <v>0</v>
      </c>
      <c r="I487" s="87">
        <v>0</v>
      </c>
      <c r="K487" s="87">
        <v>0</v>
      </c>
      <c r="M487" s="87">
        <v>0</v>
      </c>
      <c r="O487" s="87">
        <v>0</v>
      </c>
      <c r="P487" s="88">
        <v>19934298.000000004</v>
      </c>
      <c r="Q487" s="87">
        <v>0</v>
      </c>
      <c r="R487" s="87">
        <f t="shared" si="169"/>
        <v>0</v>
      </c>
      <c r="T487" s="87">
        <v>0</v>
      </c>
      <c r="V487" s="87">
        <v>0</v>
      </c>
      <c r="X487" s="87">
        <v>0</v>
      </c>
      <c r="Y487" s="88">
        <v>22593590.500000022</v>
      </c>
      <c r="Z487" s="87">
        <v>0</v>
      </c>
      <c r="AA487" s="87">
        <v>0</v>
      </c>
      <c r="AB487" s="89">
        <f t="shared" si="170"/>
        <v>0</v>
      </c>
      <c r="AC487" s="89">
        <f t="shared" si="171"/>
        <v>0</v>
      </c>
      <c r="AD487" s="89">
        <f t="shared" si="172"/>
        <v>0</v>
      </c>
      <c r="AF487" s="90" t="str">
        <f t="shared" si="173"/>
        <v/>
      </c>
      <c r="AH487" s="90" t="str">
        <f t="shared" si="175"/>
        <v/>
      </c>
      <c r="AI487" s="90">
        <f t="shared" si="176"/>
        <v>0</v>
      </c>
      <c r="AJ487" s="90" t="str">
        <f t="shared" si="177"/>
        <v/>
      </c>
      <c r="AK487" s="90" t="str">
        <f t="shared" si="178"/>
        <v/>
      </c>
      <c r="AL487" s="91"/>
      <c r="AM487" s="91">
        <f t="shared" si="179"/>
        <v>0</v>
      </c>
      <c r="AN487" s="92" t="str">
        <f t="shared" si="180"/>
        <v>No change</v>
      </c>
      <c r="AO487" s="93">
        <f>VLOOKUP(B487,'Growthrates source'!A$2:H$49,8,FALSE)</f>
        <v>3.5406206546388264E-2</v>
      </c>
      <c r="AP487" s="93">
        <f>VLOOKUP(B487,'Growthrates source'!A$2:I$49,9,FALSE)</f>
        <v>8.9309654310665287E-4</v>
      </c>
      <c r="AQ487" s="86">
        <f t="shared" si="181"/>
        <v>0</v>
      </c>
      <c r="AR487" s="86">
        <f t="shared" si="182"/>
        <v>0</v>
      </c>
      <c r="AS487" s="94">
        <f t="shared" si="183"/>
        <v>0</v>
      </c>
      <c r="AT487" s="94">
        <f t="shared" si="184"/>
        <v>0</v>
      </c>
      <c r="AU487" s="94">
        <f t="shared" si="167"/>
        <v>0</v>
      </c>
      <c r="AV487" s="94">
        <f t="shared" si="168"/>
        <v>0</v>
      </c>
    </row>
    <row r="488" spans="1:48" x14ac:dyDescent="0.3">
      <c r="A488" s="85" t="str">
        <f>_xlfn.XLOOKUP(B488,'Country codes &amp; Data sources'!G:G,'Country codes &amp; Data sources'!H:H,,0)</f>
        <v>Mali</v>
      </c>
      <c r="B488" s="85" t="s">
        <v>179</v>
      </c>
      <c r="C488" s="86">
        <v>16514703</v>
      </c>
      <c r="D488" s="85" t="s">
        <v>208</v>
      </c>
      <c r="E488" s="87">
        <v>0</v>
      </c>
      <c r="F488" s="88">
        <v>17004032.499999996</v>
      </c>
      <c r="G488" s="87">
        <v>0</v>
      </c>
      <c r="I488" s="87">
        <v>0</v>
      </c>
      <c r="K488" s="87">
        <v>0</v>
      </c>
      <c r="M488" s="87">
        <v>0</v>
      </c>
      <c r="O488" s="87">
        <v>0</v>
      </c>
      <c r="P488" s="88">
        <v>19934298.000000004</v>
      </c>
      <c r="Q488" s="87">
        <v>0</v>
      </c>
      <c r="R488" s="87">
        <f t="shared" si="169"/>
        <v>8306</v>
      </c>
      <c r="T488" s="87">
        <v>0</v>
      </c>
      <c r="V488" s="87">
        <v>0</v>
      </c>
      <c r="X488" s="87">
        <v>0</v>
      </c>
      <c r="Y488" s="88">
        <v>22593590.500000022</v>
      </c>
      <c r="Z488" s="87">
        <v>0</v>
      </c>
      <c r="AA488" s="87">
        <v>8306</v>
      </c>
      <c r="AB488" s="89">
        <f t="shared" si="170"/>
        <v>0</v>
      </c>
      <c r="AC488" s="89">
        <f t="shared" si="171"/>
        <v>0</v>
      </c>
      <c r="AD488" s="89">
        <f t="shared" si="172"/>
        <v>0</v>
      </c>
      <c r="AF488" s="90" t="str">
        <f t="shared" si="173"/>
        <v/>
      </c>
      <c r="AG488" s="90">
        <f t="shared" si="174"/>
        <v>8306</v>
      </c>
      <c r="AH488" s="90" t="str">
        <f t="shared" si="175"/>
        <v>2018 (triag)</v>
      </c>
      <c r="AI488" s="90">
        <f t="shared" si="176"/>
        <v>8306</v>
      </c>
      <c r="AJ488" s="90" t="str">
        <f t="shared" si="177"/>
        <v>2018 (triag)</v>
      </c>
      <c r="AK488" s="90" t="str">
        <f t="shared" si="178"/>
        <v/>
      </c>
      <c r="AL488" s="91">
        <f>IF(AK488="Adjust",(_xlfn.XLOOKUP(A488,'Adj factor'!A:A,'Adj factor'!I:I,,0)*AI488),'Master DataSheet (Rev)'!AI488)</f>
        <v>8306</v>
      </c>
      <c r="AM488" s="91">
        <f t="shared" si="179"/>
        <v>8306</v>
      </c>
      <c r="AN488" s="92" t="str">
        <f t="shared" si="180"/>
        <v>No change</v>
      </c>
      <c r="AO488" s="93">
        <f>VLOOKUP(B488,'Growthrates source'!A$2:H$49,8,FALSE)</f>
        <v>3.5406206546388264E-2</v>
      </c>
      <c r="AP488" s="93">
        <f>VLOOKUP(B488,'Growthrates source'!A$2:I$49,9,FALSE)</f>
        <v>8.9309654310665287E-4</v>
      </c>
      <c r="AQ488" s="86">
        <f t="shared" si="181"/>
        <v>6958.3829492645755</v>
      </c>
      <c r="AR488" s="86">
        <f t="shared" si="182"/>
        <v>8328.2840190009792</v>
      </c>
      <c r="AS488" s="94">
        <f t="shared" si="183"/>
        <v>0</v>
      </c>
      <c r="AT488" s="94">
        <f t="shared" si="184"/>
        <v>4.1666879867051243</v>
      </c>
      <c r="AU488" s="94">
        <f t="shared" si="167"/>
        <v>3.6762638501392648</v>
      </c>
      <c r="AV488" s="94">
        <f t="shared" si="168"/>
        <v>3.6762638501392648</v>
      </c>
    </row>
    <row r="489" spans="1:48" x14ac:dyDescent="0.3">
      <c r="A489" s="85" t="str">
        <f>_xlfn.XLOOKUP(B489,'Country codes &amp; Data sources'!G:G,'Country codes &amp; Data sources'!H:H,,0)</f>
        <v>Mali</v>
      </c>
      <c r="B489" s="85" t="s">
        <v>179</v>
      </c>
      <c r="C489" s="86">
        <v>16514704</v>
      </c>
      <c r="D489" s="85" t="s">
        <v>209</v>
      </c>
      <c r="E489" s="87">
        <v>0</v>
      </c>
      <c r="F489" s="88">
        <v>17004032.499999996</v>
      </c>
      <c r="G489" s="87">
        <v>0</v>
      </c>
      <c r="I489" s="87">
        <v>0</v>
      </c>
      <c r="K489" s="87">
        <v>0</v>
      </c>
      <c r="M489" s="87">
        <v>0</v>
      </c>
      <c r="O489" s="87">
        <v>0</v>
      </c>
      <c r="P489" s="88">
        <v>19934298.000000004</v>
      </c>
      <c r="Q489" s="87">
        <v>0</v>
      </c>
      <c r="R489" s="87">
        <f t="shared" si="169"/>
        <v>0</v>
      </c>
      <c r="T489" s="87">
        <v>0</v>
      </c>
      <c r="V489" s="87">
        <v>0</v>
      </c>
      <c r="X489" s="87">
        <v>0</v>
      </c>
      <c r="Y489" s="88">
        <v>22593590.500000022</v>
      </c>
      <c r="Z489" s="87">
        <v>0</v>
      </c>
      <c r="AA489" s="87">
        <v>0</v>
      </c>
      <c r="AB489" s="89">
        <f t="shared" si="170"/>
        <v>0</v>
      </c>
      <c r="AC489" s="89">
        <f t="shared" si="171"/>
        <v>0</v>
      </c>
      <c r="AD489" s="89">
        <f t="shared" si="172"/>
        <v>0</v>
      </c>
      <c r="AF489" s="90" t="str">
        <f t="shared" si="173"/>
        <v/>
      </c>
      <c r="AH489" s="90" t="str">
        <f t="shared" si="175"/>
        <v/>
      </c>
      <c r="AI489" s="90">
        <f t="shared" si="176"/>
        <v>0</v>
      </c>
      <c r="AJ489" s="90" t="str">
        <f t="shared" si="177"/>
        <v/>
      </c>
      <c r="AK489" s="90" t="str">
        <f t="shared" si="178"/>
        <v/>
      </c>
      <c r="AL489" s="91"/>
      <c r="AM489" s="91">
        <f t="shared" si="179"/>
        <v>0</v>
      </c>
      <c r="AN489" s="92" t="str">
        <f t="shared" si="180"/>
        <v>No change</v>
      </c>
      <c r="AO489" s="93">
        <f>VLOOKUP(B489,'Growthrates source'!A$2:H$49,8,FALSE)</f>
        <v>3.5406206546388264E-2</v>
      </c>
      <c r="AP489" s="93">
        <f>VLOOKUP(B489,'Growthrates source'!A$2:I$49,9,FALSE)</f>
        <v>8.9309654310665287E-4</v>
      </c>
      <c r="AQ489" s="86">
        <f t="shared" si="181"/>
        <v>0</v>
      </c>
      <c r="AR489" s="86">
        <f t="shared" si="182"/>
        <v>0</v>
      </c>
      <c r="AS489" s="94">
        <f t="shared" si="183"/>
        <v>0</v>
      </c>
      <c r="AT489" s="94">
        <f t="shared" si="184"/>
        <v>0</v>
      </c>
      <c r="AU489" s="94">
        <f t="shared" si="167"/>
        <v>0</v>
      </c>
      <c r="AV489" s="94">
        <f t="shared" si="168"/>
        <v>0</v>
      </c>
    </row>
    <row r="490" spans="1:48" x14ac:dyDescent="0.3">
      <c r="A490" s="85" t="str">
        <f>_xlfn.XLOOKUP(B490,'Country codes &amp; Data sources'!G:G,'Country codes &amp; Data sources'!H:H,,0)</f>
        <v>Mali</v>
      </c>
      <c r="B490" s="85" t="s">
        <v>179</v>
      </c>
      <c r="C490" s="86">
        <v>16514705</v>
      </c>
      <c r="D490" s="85" t="s">
        <v>134</v>
      </c>
      <c r="E490" s="87">
        <v>0</v>
      </c>
      <c r="F490" s="88">
        <v>17004032.499999996</v>
      </c>
      <c r="G490" s="87">
        <v>0</v>
      </c>
      <c r="I490" s="87">
        <v>0</v>
      </c>
      <c r="K490" s="87">
        <v>0</v>
      </c>
      <c r="M490" s="87">
        <v>0</v>
      </c>
      <c r="O490" s="87">
        <v>0</v>
      </c>
      <c r="P490" s="88">
        <v>19934298.000000004</v>
      </c>
      <c r="Q490" s="87">
        <v>0</v>
      </c>
      <c r="R490" s="87">
        <f t="shared" si="169"/>
        <v>0</v>
      </c>
      <c r="T490" s="87">
        <v>0</v>
      </c>
      <c r="V490" s="87">
        <v>0</v>
      </c>
      <c r="X490" s="87">
        <v>0</v>
      </c>
      <c r="Y490" s="88">
        <v>22593590.500000022</v>
      </c>
      <c r="Z490" s="87">
        <v>0</v>
      </c>
      <c r="AA490" s="87">
        <v>0</v>
      </c>
      <c r="AB490" s="89">
        <f t="shared" si="170"/>
        <v>0</v>
      </c>
      <c r="AC490" s="89">
        <f t="shared" si="171"/>
        <v>0</v>
      </c>
      <c r="AD490" s="89">
        <f t="shared" si="172"/>
        <v>0</v>
      </c>
      <c r="AF490" s="90" t="str">
        <f t="shared" si="173"/>
        <v/>
      </c>
      <c r="AH490" s="90" t="str">
        <f t="shared" si="175"/>
        <v/>
      </c>
      <c r="AI490" s="90">
        <f t="shared" si="176"/>
        <v>0</v>
      </c>
      <c r="AJ490" s="90" t="str">
        <f t="shared" si="177"/>
        <v/>
      </c>
      <c r="AK490" s="90" t="str">
        <f t="shared" si="178"/>
        <v/>
      </c>
      <c r="AL490" s="91"/>
      <c r="AM490" s="91">
        <f t="shared" si="179"/>
        <v>0</v>
      </c>
      <c r="AN490" s="92" t="str">
        <f t="shared" si="180"/>
        <v>No change</v>
      </c>
      <c r="AO490" s="93">
        <f>VLOOKUP(B490,'Growthrates source'!A$2:H$49,8,FALSE)</f>
        <v>3.5406206546388264E-2</v>
      </c>
      <c r="AP490" s="93">
        <f>VLOOKUP(B490,'Growthrates source'!A$2:I$49,9,FALSE)</f>
        <v>8.9309654310665287E-4</v>
      </c>
      <c r="AQ490" s="86">
        <f t="shared" si="181"/>
        <v>0</v>
      </c>
      <c r="AR490" s="86">
        <f t="shared" si="182"/>
        <v>0</v>
      </c>
      <c r="AS490" s="94">
        <f t="shared" si="183"/>
        <v>0</v>
      </c>
      <c r="AT490" s="94">
        <f t="shared" si="184"/>
        <v>0</v>
      </c>
      <c r="AU490" s="94">
        <f t="shared" si="167"/>
        <v>0</v>
      </c>
      <c r="AV490" s="94">
        <f t="shared" si="168"/>
        <v>0</v>
      </c>
    </row>
    <row r="491" spans="1:48" x14ac:dyDescent="0.3">
      <c r="A491" s="85" t="str">
        <f>_xlfn.XLOOKUP(B491,'Country codes &amp; Data sources'!G:G,'Country codes &amp; Data sources'!H:H,,0)</f>
        <v>Mali</v>
      </c>
      <c r="B491" s="85" t="s">
        <v>179</v>
      </c>
      <c r="C491" s="86">
        <v>16514706</v>
      </c>
      <c r="D491" s="85" t="s">
        <v>142</v>
      </c>
      <c r="E491" s="87">
        <v>0</v>
      </c>
      <c r="F491" s="88">
        <v>17004032.499999996</v>
      </c>
      <c r="G491" s="87">
        <v>0</v>
      </c>
      <c r="I491" s="87">
        <v>0</v>
      </c>
      <c r="K491" s="87">
        <v>0</v>
      </c>
      <c r="M491" s="87">
        <v>0</v>
      </c>
      <c r="O491" s="87">
        <v>0</v>
      </c>
      <c r="P491" s="88">
        <v>19934298.000000004</v>
      </c>
      <c r="Q491" s="87">
        <v>0</v>
      </c>
      <c r="R491" s="87">
        <f t="shared" si="169"/>
        <v>0</v>
      </c>
      <c r="T491" s="87">
        <v>0</v>
      </c>
      <c r="V491" s="87">
        <v>0</v>
      </c>
      <c r="X491" s="87">
        <v>0</v>
      </c>
      <c r="Y491" s="88">
        <v>22593590.500000022</v>
      </c>
      <c r="Z491" s="87">
        <v>0</v>
      </c>
      <c r="AA491" s="87">
        <v>0</v>
      </c>
      <c r="AB491" s="89">
        <f t="shared" si="170"/>
        <v>0</v>
      </c>
      <c r="AC491" s="89">
        <f t="shared" si="171"/>
        <v>0</v>
      </c>
      <c r="AD491" s="89">
        <f t="shared" si="172"/>
        <v>0</v>
      </c>
      <c r="AF491" s="90" t="str">
        <f t="shared" si="173"/>
        <v/>
      </c>
      <c r="AH491" s="90" t="str">
        <f t="shared" si="175"/>
        <v/>
      </c>
      <c r="AI491" s="90">
        <f t="shared" si="176"/>
        <v>0</v>
      </c>
      <c r="AJ491" s="90" t="str">
        <f t="shared" si="177"/>
        <v/>
      </c>
      <c r="AK491" s="90" t="str">
        <f t="shared" si="178"/>
        <v/>
      </c>
      <c r="AL491" s="91"/>
      <c r="AM491" s="91">
        <f t="shared" si="179"/>
        <v>0</v>
      </c>
      <c r="AN491" s="92" t="str">
        <f t="shared" si="180"/>
        <v>No change</v>
      </c>
      <c r="AO491" s="93">
        <f>VLOOKUP(B491,'Growthrates source'!A$2:H$49,8,FALSE)</f>
        <v>3.5406206546388264E-2</v>
      </c>
      <c r="AP491" s="93">
        <f>VLOOKUP(B491,'Growthrates source'!A$2:I$49,9,FALSE)</f>
        <v>8.9309654310665287E-4</v>
      </c>
      <c r="AQ491" s="86">
        <f t="shared" si="181"/>
        <v>0</v>
      </c>
      <c r="AR491" s="86">
        <f t="shared" si="182"/>
        <v>0</v>
      </c>
      <c r="AS491" s="94">
        <f t="shared" si="183"/>
        <v>0</v>
      </c>
      <c r="AT491" s="94">
        <f t="shared" si="184"/>
        <v>0</v>
      </c>
      <c r="AU491" s="94">
        <f t="shared" si="167"/>
        <v>0</v>
      </c>
      <c r="AV491" s="94">
        <f t="shared" si="168"/>
        <v>0</v>
      </c>
    </row>
    <row r="492" spans="1:48" x14ac:dyDescent="0.3">
      <c r="A492" s="85" t="str">
        <f>_xlfn.XLOOKUP(B492,'Country codes &amp; Data sources'!G:G,'Country codes &amp; Data sources'!H:H,,0)</f>
        <v>Mali</v>
      </c>
      <c r="B492" s="85" t="s">
        <v>179</v>
      </c>
      <c r="C492" s="86">
        <v>16514707</v>
      </c>
      <c r="D492" s="85" t="s">
        <v>83</v>
      </c>
      <c r="E492" s="87">
        <v>0</v>
      </c>
      <c r="F492" s="88">
        <v>17004032.499999996</v>
      </c>
      <c r="G492" s="87">
        <v>0</v>
      </c>
      <c r="I492" s="87">
        <v>0</v>
      </c>
      <c r="K492" s="87">
        <v>0</v>
      </c>
      <c r="M492" s="87">
        <v>0</v>
      </c>
      <c r="O492" s="87">
        <v>0</v>
      </c>
      <c r="P492" s="88">
        <v>19934298.000000004</v>
      </c>
      <c r="Q492" s="87">
        <v>0</v>
      </c>
      <c r="R492" s="87">
        <f t="shared" si="169"/>
        <v>0</v>
      </c>
      <c r="T492" s="87">
        <v>0</v>
      </c>
      <c r="V492" s="87">
        <v>0</v>
      </c>
      <c r="X492" s="87">
        <v>0</v>
      </c>
      <c r="Y492" s="88">
        <v>22593590.500000022</v>
      </c>
      <c r="Z492" s="87">
        <v>0</v>
      </c>
      <c r="AA492" s="87">
        <v>0</v>
      </c>
      <c r="AB492" s="89">
        <f t="shared" si="170"/>
        <v>0</v>
      </c>
      <c r="AC492" s="89">
        <f t="shared" si="171"/>
        <v>0</v>
      </c>
      <c r="AD492" s="89">
        <f t="shared" si="172"/>
        <v>0</v>
      </c>
      <c r="AF492" s="90" t="str">
        <f t="shared" si="173"/>
        <v/>
      </c>
      <c r="AH492" s="90" t="str">
        <f t="shared" si="175"/>
        <v/>
      </c>
      <c r="AI492" s="90">
        <f t="shared" si="176"/>
        <v>0</v>
      </c>
      <c r="AJ492" s="90" t="str">
        <f t="shared" si="177"/>
        <v/>
      </c>
      <c r="AK492" s="90" t="str">
        <f t="shared" si="178"/>
        <v/>
      </c>
      <c r="AL492" s="91"/>
      <c r="AM492" s="91">
        <f t="shared" si="179"/>
        <v>0</v>
      </c>
      <c r="AN492" s="92" t="str">
        <f t="shared" si="180"/>
        <v>No change</v>
      </c>
      <c r="AO492" s="93">
        <f>VLOOKUP(B492,'Growthrates source'!A$2:H$49,8,FALSE)</f>
        <v>3.5406206546388264E-2</v>
      </c>
      <c r="AP492" s="93">
        <f>VLOOKUP(B492,'Growthrates source'!A$2:I$49,9,FALSE)</f>
        <v>8.9309654310665287E-4</v>
      </c>
      <c r="AQ492" s="86">
        <f t="shared" si="181"/>
        <v>0</v>
      </c>
      <c r="AR492" s="86">
        <f t="shared" si="182"/>
        <v>0</v>
      </c>
      <c r="AS492" s="94">
        <f t="shared" si="183"/>
        <v>0</v>
      </c>
      <c r="AT492" s="94">
        <f t="shared" si="184"/>
        <v>0</v>
      </c>
      <c r="AU492" s="94">
        <f t="shared" si="167"/>
        <v>0</v>
      </c>
      <c r="AV492" s="94">
        <f t="shared" si="168"/>
        <v>0</v>
      </c>
    </row>
    <row r="493" spans="1:48" x14ac:dyDescent="0.3">
      <c r="A493" s="85" t="str">
        <f>_xlfn.XLOOKUP(B493,'Country codes &amp; Data sources'!G:G,'Country codes &amp; Data sources'!H:H,,0)</f>
        <v>Mali</v>
      </c>
      <c r="B493" s="85" t="s">
        <v>179</v>
      </c>
      <c r="C493" s="86">
        <v>16514708</v>
      </c>
      <c r="D493" s="85" t="s">
        <v>84</v>
      </c>
      <c r="E493" s="87">
        <v>0</v>
      </c>
      <c r="F493" s="88">
        <v>17004032.499999996</v>
      </c>
      <c r="G493" s="87">
        <v>0</v>
      </c>
      <c r="I493" s="87">
        <v>0</v>
      </c>
      <c r="K493" s="87">
        <v>0</v>
      </c>
      <c r="M493" s="87">
        <v>0</v>
      </c>
      <c r="O493" s="87">
        <v>0</v>
      </c>
      <c r="P493" s="88">
        <v>19934298.000000004</v>
      </c>
      <c r="Q493" s="87">
        <v>0</v>
      </c>
      <c r="R493" s="87">
        <f t="shared" si="169"/>
        <v>0</v>
      </c>
      <c r="T493" s="87">
        <v>0</v>
      </c>
      <c r="V493" s="87">
        <v>0</v>
      </c>
      <c r="X493" s="87">
        <v>0</v>
      </c>
      <c r="Y493" s="88">
        <v>22593590.500000022</v>
      </c>
      <c r="Z493" s="87">
        <v>0</v>
      </c>
      <c r="AA493" s="87">
        <v>0</v>
      </c>
      <c r="AB493" s="89">
        <f t="shared" si="170"/>
        <v>0</v>
      </c>
      <c r="AC493" s="89">
        <f t="shared" si="171"/>
        <v>0</v>
      </c>
      <c r="AD493" s="89">
        <f t="shared" si="172"/>
        <v>0</v>
      </c>
      <c r="AF493" s="90" t="str">
        <f t="shared" si="173"/>
        <v/>
      </c>
      <c r="AH493" s="90" t="str">
        <f t="shared" si="175"/>
        <v/>
      </c>
      <c r="AI493" s="90">
        <f t="shared" si="176"/>
        <v>0</v>
      </c>
      <c r="AJ493" s="90" t="str">
        <f t="shared" si="177"/>
        <v/>
      </c>
      <c r="AK493" s="90" t="str">
        <f t="shared" si="178"/>
        <v/>
      </c>
      <c r="AL493" s="91"/>
      <c r="AM493" s="91">
        <f t="shared" si="179"/>
        <v>0</v>
      </c>
      <c r="AN493" s="92" t="str">
        <f t="shared" si="180"/>
        <v>No change</v>
      </c>
      <c r="AO493" s="93">
        <f>VLOOKUP(B493,'Growthrates source'!A$2:H$49,8,FALSE)</f>
        <v>3.5406206546388264E-2</v>
      </c>
      <c r="AP493" s="93">
        <f>VLOOKUP(B493,'Growthrates source'!A$2:I$49,9,FALSE)</f>
        <v>8.9309654310665287E-4</v>
      </c>
      <c r="AQ493" s="86">
        <f t="shared" si="181"/>
        <v>0</v>
      </c>
      <c r="AR493" s="86">
        <f t="shared" si="182"/>
        <v>0</v>
      </c>
      <c r="AS493" s="94">
        <f t="shared" si="183"/>
        <v>0</v>
      </c>
      <c r="AT493" s="94">
        <f t="shared" si="184"/>
        <v>0</v>
      </c>
      <c r="AU493" s="94">
        <f t="shared" si="167"/>
        <v>0</v>
      </c>
      <c r="AV493" s="94">
        <f t="shared" si="168"/>
        <v>0</v>
      </c>
    </row>
    <row r="494" spans="1:48" x14ac:dyDescent="0.3">
      <c r="A494" s="85" t="str">
        <f>_xlfn.XLOOKUP(B494,'Country codes &amp; Data sources'!G:G,'Country codes &amp; Data sources'!H:H,,0)</f>
        <v>Mali</v>
      </c>
      <c r="B494" s="85" t="s">
        <v>179</v>
      </c>
      <c r="C494" s="86">
        <v>16514709</v>
      </c>
      <c r="D494" s="85" t="s">
        <v>126</v>
      </c>
      <c r="E494" s="87">
        <v>0</v>
      </c>
      <c r="F494" s="88">
        <v>17004032.499999996</v>
      </c>
      <c r="G494" s="87">
        <v>0</v>
      </c>
      <c r="I494" s="87">
        <v>0</v>
      </c>
      <c r="K494" s="87">
        <v>0</v>
      </c>
      <c r="M494" s="87">
        <v>0</v>
      </c>
      <c r="O494" s="87">
        <v>0</v>
      </c>
      <c r="P494" s="88">
        <v>19934298.000000004</v>
      </c>
      <c r="Q494" s="87">
        <v>0</v>
      </c>
      <c r="R494" s="87">
        <f t="shared" si="169"/>
        <v>0</v>
      </c>
      <c r="T494" s="87">
        <v>0</v>
      </c>
      <c r="V494" s="87">
        <v>0</v>
      </c>
      <c r="X494" s="87">
        <v>0</v>
      </c>
      <c r="Y494" s="88">
        <v>22593590.500000022</v>
      </c>
      <c r="Z494" s="87">
        <v>0</v>
      </c>
      <c r="AA494" s="87">
        <v>0</v>
      </c>
      <c r="AB494" s="89">
        <f t="shared" si="170"/>
        <v>0</v>
      </c>
      <c r="AC494" s="89">
        <f t="shared" si="171"/>
        <v>0</v>
      </c>
      <c r="AD494" s="89">
        <f t="shared" si="172"/>
        <v>0</v>
      </c>
      <c r="AF494" s="90" t="str">
        <f t="shared" si="173"/>
        <v/>
      </c>
      <c r="AH494" s="90" t="str">
        <f t="shared" si="175"/>
        <v/>
      </c>
      <c r="AI494" s="90">
        <f t="shared" si="176"/>
        <v>0</v>
      </c>
      <c r="AJ494" s="90" t="str">
        <f t="shared" si="177"/>
        <v/>
      </c>
      <c r="AK494" s="90" t="str">
        <f t="shared" si="178"/>
        <v/>
      </c>
      <c r="AL494" s="91"/>
      <c r="AM494" s="91">
        <f t="shared" si="179"/>
        <v>0</v>
      </c>
      <c r="AN494" s="92" t="str">
        <f t="shared" si="180"/>
        <v>No change</v>
      </c>
      <c r="AO494" s="93">
        <f>VLOOKUP(B494,'Growthrates source'!A$2:H$49,8,FALSE)</f>
        <v>3.5406206546388264E-2</v>
      </c>
      <c r="AP494" s="93">
        <f>VLOOKUP(B494,'Growthrates source'!A$2:I$49,9,FALSE)</f>
        <v>8.9309654310665287E-4</v>
      </c>
      <c r="AQ494" s="86">
        <f t="shared" si="181"/>
        <v>0</v>
      </c>
      <c r="AR494" s="86">
        <f t="shared" si="182"/>
        <v>0</v>
      </c>
      <c r="AS494" s="94">
        <f t="shared" si="183"/>
        <v>0</v>
      </c>
      <c r="AT494" s="94">
        <f t="shared" si="184"/>
        <v>0</v>
      </c>
      <c r="AU494" s="94">
        <f t="shared" si="167"/>
        <v>0</v>
      </c>
      <c r="AV494" s="94">
        <f t="shared" si="168"/>
        <v>0</v>
      </c>
    </row>
    <row r="495" spans="1:48" x14ac:dyDescent="0.3">
      <c r="A495" s="85" t="str">
        <f>_xlfn.XLOOKUP(B495,'Country codes &amp; Data sources'!G:G,'Country codes &amp; Data sources'!H:H,,0)</f>
        <v>Mali</v>
      </c>
      <c r="B495" s="85" t="s">
        <v>179</v>
      </c>
      <c r="C495" s="86">
        <v>16514710</v>
      </c>
      <c r="D495" s="85" t="s">
        <v>87</v>
      </c>
      <c r="E495" s="87">
        <v>0</v>
      </c>
      <c r="F495" s="88">
        <v>17004032.499999996</v>
      </c>
      <c r="G495" s="87">
        <v>0</v>
      </c>
      <c r="I495" s="87">
        <v>0</v>
      </c>
      <c r="K495" s="87">
        <v>0</v>
      </c>
      <c r="M495" s="87">
        <v>0</v>
      </c>
      <c r="O495" s="87">
        <v>0</v>
      </c>
      <c r="P495" s="88">
        <v>19934298.000000004</v>
      </c>
      <c r="Q495" s="87">
        <v>0</v>
      </c>
      <c r="R495" s="87">
        <f t="shared" si="169"/>
        <v>4</v>
      </c>
      <c r="T495" s="87">
        <v>0</v>
      </c>
      <c r="V495" s="87">
        <v>0</v>
      </c>
      <c r="X495" s="87">
        <v>0</v>
      </c>
      <c r="Y495" s="88">
        <v>22593590.500000022</v>
      </c>
      <c r="Z495" s="87">
        <v>0</v>
      </c>
      <c r="AA495" s="87">
        <v>4</v>
      </c>
      <c r="AB495" s="89">
        <f t="shared" si="170"/>
        <v>0</v>
      </c>
      <c r="AC495" s="89">
        <f t="shared" si="171"/>
        <v>0</v>
      </c>
      <c r="AD495" s="89">
        <f t="shared" si="172"/>
        <v>0</v>
      </c>
      <c r="AF495" s="90" t="str">
        <f t="shared" si="173"/>
        <v/>
      </c>
      <c r="AG495" s="90">
        <f t="shared" si="174"/>
        <v>4</v>
      </c>
      <c r="AH495" s="90" t="str">
        <f t="shared" si="175"/>
        <v>2018 (triag)</v>
      </c>
      <c r="AI495" s="90">
        <f t="shared" si="176"/>
        <v>4</v>
      </c>
      <c r="AJ495" s="90" t="str">
        <f t="shared" si="177"/>
        <v>2018 (triag)</v>
      </c>
      <c r="AK495" s="90" t="str">
        <f t="shared" si="178"/>
        <v/>
      </c>
      <c r="AL495" s="91">
        <f>IF(AK495="Adjust",(_xlfn.XLOOKUP(A495,'Adj factor'!A:A,'Adj factor'!I:I,,0)*AI495),'Master DataSheet (Rev)'!AI495)</f>
        <v>4</v>
      </c>
      <c r="AM495" s="91">
        <f t="shared" si="179"/>
        <v>4</v>
      </c>
      <c r="AN495" s="92" t="str">
        <f t="shared" si="180"/>
        <v>No change</v>
      </c>
      <c r="AO495" s="93">
        <f>VLOOKUP(B495,'Growthrates source'!A$2:H$49,8,FALSE)</f>
        <v>3.5406206546388264E-2</v>
      </c>
      <c r="AP495" s="93">
        <f>VLOOKUP(B495,'Growthrates source'!A$2:I$49,9,FALSE)</f>
        <v>8.9309654310665287E-4</v>
      </c>
      <c r="AQ495" s="86">
        <f t="shared" si="181"/>
        <v>3.3510151453236579</v>
      </c>
      <c r="AR495" s="86">
        <f t="shared" si="182"/>
        <v>4.0107315285340617</v>
      </c>
      <c r="AS495" s="94">
        <f t="shared" si="183"/>
        <v>0</v>
      </c>
      <c r="AT495" s="94">
        <f t="shared" si="184"/>
        <v>2.0065918549025401E-3</v>
      </c>
      <c r="AU495" s="94">
        <f t="shared" si="167"/>
        <v>1.770413604690231E-3</v>
      </c>
      <c r="AV495" s="94">
        <f t="shared" si="168"/>
        <v>1.770413604690231E-3</v>
      </c>
    </row>
    <row r="496" spans="1:48" x14ac:dyDescent="0.3">
      <c r="A496" s="85" t="str">
        <f>_xlfn.XLOOKUP(B496,'Country codes &amp; Data sources'!G:G,'Country codes &amp; Data sources'!H:H,,0)</f>
        <v>Mozambique</v>
      </c>
      <c r="B496" s="85" t="s">
        <v>181</v>
      </c>
      <c r="C496" s="86">
        <v>24487616</v>
      </c>
      <c r="D496" s="85" t="s">
        <v>127</v>
      </c>
      <c r="E496" s="87">
        <v>1213</v>
      </c>
      <c r="F496" s="88">
        <v>25251730.999999993</v>
      </c>
      <c r="G496" s="87">
        <v>1204</v>
      </c>
      <c r="I496" s="87">
        <v>0</v>
      </c>
      <c r="K496" s="87">
        <v>0</v>
      </c>
      <c r="M496" s="87">
        <v>0</v>
      </c>
      <c r="O496" s="87">
        <v>1991</v>
      </c>
      <c r="P496" s="88">
        <v>29423878.499999993</v>
      </c>
      <c r="Q496" s="87">
        <v>4787</v>
      </c>
      <c r="R496" s="87">
        <f t="shared" si="169"/>
        <v>4787</v>
      </c>
      <c r="T496" s="87">
        <v>6632</v>
      </c>
      <c r="V496" s="87">
        <v>6696</v>
      </c>
      <c r="X496" s="87">
        <v>7329</v>
      </c>
      <c r="Y496" s="88">
        <v>32969518.500000007</v>
      </c>
      <c r="Z496" s="87">
        <v>6992</v>
      </c>
      <c r="AA496" s="87">
        <v>2205</v>
      </c>
      <c r="AB496" s="89">
        <f t="shared" si="170"/>
        <v>1213</v>
      </c>
      <c r="AC496" s="89">
        <f t="shared" si="171"/>
        <v>6632</v>
      </c>
      <c r="AD496" s="89">
        <f t="shared" si="172"/>
        <v>7329</v>
      </c>
      <c r="AE496" s="90">
        <f t="shared" si="185"/>
        <v>1204</v>
      </c>
      <c r="AF496" s="90">
        <f t="shared" si="173"/>
        <v>2013</v>
      </c>
      <c r="AG496" s="90">
        <f t="shared" si="174"/>
        <v>4787</v>
      </c>
      <c r="AH496" s="90">
        <f t="shared" si="175"/>
        <v>2018</v>
      </c>
      <c r="AI496" s="90">
        <f t="shared" si="176"/>
        <v>6992</v>
      </c>
      <c r="AJ496" s="90">
        <f t="shared" si="177"/>
        <v>2022</v>
      </c>
      <c r="AK496" s="90" t="str">
        <f t="shared" si="178"/>
        <v/>
      </c>
      <c r="AL496" s="91">
        <f>IF(AK496="Adjust",(_xlfn.XLOOKUP(A496,'Adj factor'!A:A,'Adj factor'!I:I,,0)*AI496),'Master DataSheet (Rev)'!AI496)</f>
        <v>6992</v>
      </c>
      <c r="AM496" s="91">
        <f t="shared" si="179"/>
        <v>6992</v>
      </c>
      <c r="AN496" s="92" t="str">
        <f t="shared" si="180"/>
        <v>Increasing</v>
      </c>
      <c r="AO496" s="93">
        <f>VLOOKUP(B496,'Growthrates source'!A$2:H$49,8,FALSE)</f>
        <v>5.4585812874464734E-2</v>
      </c>
      <c r="AP496" s="93">
        <f>VLOOKUP(B496,'Growthrates source'!A$2:I$49,9,FALSE)</f>
        <v>3.4026707504662967E-2</v>
      </c>
      <c r="AQ496" s="86">
        <f t="shared" si="181"/>
        <v>1678.3286457952765</v>
      </c>
      <c r="AR496" s="86">
        <f t="shared" si="182"/>
        <v>2441.9762045946391</v>
      </c>
      <c r="AS496" s="94">
        <f t="shared" si="183"/>
        <v>0.47679899647275681</v>
      </c>
      <c r="AT496" s="94">
        <f t="shared" si="184"/>
        <v>1.6269099262355917</v>
      </c>
      <c r="AU496" s="94">
        <f t="shared" si="167"/>
        <v>2.120746774024012</v>
      </c>
      <c r="AV496" s="94">
        <f t="shared" si="168"/>
        <v>2.120746774024012</v>
      </c>
    </row>
    <row r="497" spans="1:48" ht="14.5" x14ac:dyDescent="0.35">
      <c r="A497" s="85" t="str">
        <f>_xlfn.XLOOKUP(B497,'Country codes &amp; Data sources'!G:G,'Country codes &amp; Data sources'!H:H,,0)</f>
        <v>Mozambique</v>
      </c>
      <c r="B497" s="85" t="s">
        <v>181</v>
      </c>
      <c r="C497" s="86">
        <v>24487617</v>
      </c>
      <c r="D497" s="85" t="s">
        <v>61</v>
      </c>
      <c r="E497" s="87">
        <v>0</v>
      </c>
      <c r="F497" s="88">
        <v>25251730.999999993</v>
      </c>
      <c r="G497" s="87">
        <v>0</v>
      </c>
      <c r="I497" s="87">
        <v>0</v>
      </c>
      <c r="K497" s="87">
        <v>0</v>
      </c>
      <c r="M497" s="87">
        <v>0</v>
      </c>
      <c r="O497" s="87">
        <v>0</v>
      </c>
      <c r="P497" s="88">
        <v>29423878.499999993</v>
      </c>
      <c r="Q497" s="87">
        <v>0</v>
      </c>
      <c r="R497" s="87">
        <f t="shared" si="169"/>
        <v>0</v>
      </c>
      <c r="T497" s="87">
        <v>0</v>
      </c>
      <c r="V497" s="87">
        <v>0</v>
      </c>
      <c r="X497" s="87">
        <v>0</v>
      </c>
      <c r="Y497" s="88">
        <v>32969518.500000007</v>
      </c>
      <c r="Z497" s="111">
        <v>856</v>
      </c>
      <c r="AA497" s="87">
        <v>0</v>
      </c>
      <c r="AB497" s="89">
        <f t="shared" si="170"/>
        <v>0</v>
      </c>
      <c r="AC497" s="89">
        <f t="shared" si="171"/>
        <v>0</v>
      </c>
      <c r="AD497" s="89">
        <f t="shared" si="172"/>
        <v>856</v>
      </c>
      <c r="AF497" s="90" t="str">
        <f t="shared" si="173"/>
        <v/>
      </c>
      <c r="AH497" s="90" t="str">
        <f t="shared" si="175"/>
        <v/>
      </c>
      <c r="AI497" s="90">
        <f t="shared" si="176"/>
        <v>856</v>
      </c>
      <c r="AJ497" s="90">
        <f t="shared" si="177"/>
        <v>2022</v>
      </c>
      <c r="AK497" s="90" t="str">
        <f t="shared" si="178"/>
        <v/>
      </c>
      <c r="AL497" s="91">
        <f>IF(AK497="Adjust",(_xlfn.XLOOKUP(A497,'Adj factor'!A:A,'Adj factor'!I:I,,0)*AI497),'Master DataSheet (Rev)'!AI497)</f>
        <v>856</v>
      </c>
      <c r="AM497" s="60">
        <v>856</v>
      </c>
      <c r="AN497" s="92" t="str">
        <f t="shared" si="180"/>
        <v>Increasing</v>
      </c>
      <c r="AO497" s="93">
        <f>VLOOKUP(B497,'Growthrates source'!A$2:H$49,8,FALSE)</f>
        <v>5.4585812874464734E-2</v>
      </c>
      <c r="AP497" s="93">
        <f>VLOOKUP(B497,'Growthrates source'!A$2:I$49,9,FALSE)</f>
        <v>3.4026707504662967E-2</v>
      </c>
      <c r="AQ497" s="86">
        <f t="shared" si="181"/>
        <v>0</v>
      </c>
      <c r="AR497" s="86">
        <f t="shared" si="182"/>
        <v>0</v>
      </c>
      <c r="AS497" s="94">
        <f t="shared" si="183"/>
        <v>0</v>
      </c>
      <c r="AT497" s="94">
        <f t="shared" si="184"/>
        <v>0</v>
      </c>
      <c r="AU497" s="94">
        <f t="shared" si="167"/>
        <v>0.25963375837593738</v>
      </c>
      <c r="AV497" s="94">
        <f t="shared" si="168"/>
        <v>0.25963375837593738</v>
      </c>
    </row>
    <row r="498" spans="1:48" x14ac:dyDescent="0.3">
      <c r="A498" s="85" t="str">
        <f>_xlfn.XLOOKUP(B498,'Country codes &amp; Data sources'!G:G,'Country codes &amp; Data sources'!H:H,,0)</f>
        <v>Mozambique</v>
      </c>
      <c r="B498" s="85" t="s">
        <v>181</v>
      </c>
      <c r="C498" s="86">
        <v>24487618</v>
      </c>
      <c r="D498" s="85" t="s">
        <v>62</v>
      </c>
      <c r="E498" s="87">
        <v>85</v>
      </c>
      <c r="F498" s="88">
        <v>25251730.999999993</v>
      </c>
      <c r="G498" s="87">
        <v>0</v>
      </c>
      <c r="I498" s="87">
        <v>0</v>
      </c>
      <c r="K498" s="87">
        <v>0</v>
      </c>
      <c r="M498" s="87">
        <v>0</v>
      </c>
      <c r="O498" s="87">
        <v>0</v>
      </c>
      <c r="P498" s="88">
        <v>29423878.499999993</v>
      </c>
      <c r="Q498" s="87">
        <v>0</v>
      </c>
      <c r="R498" s="87">
        <f t="shared" si="169"/>
        <v>0</v>
      </c>
      <c r="T498" s="87">
        <v>0</v>
      </c>
      <c r="V498" s="87">
        <v>0</v>
      </c>
      <c r="X498" s="87">
        <v>0</v>
      </c>
      <c r="Y498" s="88">
        <v>32969518.500000007</v>
      </c>
      <c r="Z498" s="96">
        <v>6</v>
      </c>
      <c r="AA498" s="87">
        <v>0</v>
      </c>
      <c r="AB498" s="89">
        <f t="shared" si="170"/>
        <v>85</v>
      </c>
      <c r="AC498" s="89">
        <f t="shared" si="171"/>
        <v>0</v>
      </c>
      <c r="AD498" s="89">
        <f t="shared" si="172"/>
        <v>6</v>
      </c>
      <c r="AE498" s="90">
        <f t="shared" si="185"/>
        <v>85</v>
      </c>
      <c r="AF498" s="90">
        <f t="shared" si="173"/>
        <v>2012</v>
      </c>
      <c r="AH498" s="90" t="str">
        <f t="shared" si="175"/>
        <v/>
      </c>
      <c r="AI498" s="90">
        <f t="shared" si="176"/>
        <v>6</v>
      </c>
      <c r="AJ498" s="90">
        <f t="shared" si="177"/>
        <v>2022</v>
      </c>
      <c r="AK498" s="90" t="str">
        <f t="shared" si="178"/>
        <v/>
      </c>
      <c r="AL498" s="91">
        <f>IF(AK498="Adjust",(_xlfn.XLOOKUP(A498,'Adj factor'!A:A,'Adj factor'!I:I,,0)*AI498),'Master DataSheet (Rev)'!AI498)</f>
        <v>6</v>
      </c>
      <c r="AM498" s="62">
        <v>6</v>
      </c>
      <c r="AN498" s="92" t="str">
        <f t="shared" si="180"/>
        <v>Increasing</v>
      </c>
      <c r="AO498" s="93">
        <f>VLOOKUP(B498,'Growthrates source'!A$2:H$49,8,FALSE)</f>
        <v>5.4585812874464734E-2</v>
      </c>
      <c r="AP498" s="93">
        <f>VLOOKUP(B498,'Growthrates source'!A$2:I$49,9,FALSE)</f>
        <v>3.4026707504662967E-2</v>
      </c>
      <c r="AQ498" s="86">
        <f t="shared" si="181"/>
        <v>0</v>
      </c>
      <c r="AR498" s="86">
        <f t="shared" si="182"/>
        <v>0</v>
      </c>
      <c r="AS498" s="94">
        <f t="shared" si="183"/>
        <v>3.3661058721083326E-2</v>
      </c>
      <c r="AT498" s="94">
        <f t="shared" si="184"/>
        <v>0</v>
      </c>
      <c r="AU498" s="94">
        <f t="shared" si="167"/>
        <v>1.8198627923547014E-3</v>
      </c>
      <c r="AV498" s="94">
        <f t="shared" si="168"/>
        <v>1.8198627923547014E-3</v>
      </c>
    </row>
    <row r="499" spans="1:48" x14ac:dyDescent="0.3">
      <c r="A499" s="85" t="str">
        <f>_xlfn.XLOOKUP(B499,'Country codes &amp; Data sources'!G:G,'Country codes &amp; Data sources'!H:H,,0)</f>
        <v>Mozambique</v>
      </c>
      <c r="B499" s="85" t="s">
        <v>181</v>
      </c>
      <c r="C499" s="86">
        <v>24487619</v>
      </c>
      <c r="D499" s="85" t="s">
        <v>203</v>
      </c>
      <c r="E499" s="87">
        <v>0</v>
      </c>
      <c r="F499" s="88">
        <v>25251730.999999993</v>
      </c>
      <c r="G499" s="87">
        <v>0</v>
      </c>
      <c r="I499" s="87">
        <v>0</v>
      </c>
      <c r="K499" s="87">
        <v>0</v>
      </c>
      <c r="M499" s="87">
        <v>0</v>
      </c>
      <c r="O499" s="87">
        <v>0</v>
      </c>
      <c r="P499" s="88">
        <v>29423878.499999993</v>
      </c>
      <c r="Q499" s="87">
        <v>0</v>
      </c>
      <c r="R499" s="87">
        <f t="shared" si="169"/>
        <v>0</v>
      </c>
      <c r="T499" s="87">
        <v>0</v>
      </c>
      <c r="V499" s="87">
        <v>0</v>
      </c>
      <c r="X499" s="87">
        <v>0</v>
      </c>
      <c r="Y499" s="88">
        <v>32969518.500000007</v>
      </c>
      <c r="Z499" s="87">
        <v>0</v>
      </c>
      <c r="AA499" s="87">
        <v>0</v>
      </c>
      <c r="AB499" s="89">
        <f t="shared" si="170"/>
        <v>0</v>
      </c>
      <c r="AC499" s="89">
        <f t="shared" si="171"/>
        <v>0</v>
      </c>
      <c r="AD499" s="89">
        <f t="shared" si="172"/>
        <v>0</v>
      </c>
      <c r="AF499" s="90" t="str">
        <f t="shared" si="173"/>
        <v/>
      </c>
      <c r="AH499" s="90" t="str">
        <f t="shared" si="175"/>
        <v/>
      </c>
      <c r="AI499" s="90">
        <f t="shared" si="176"/>
        <v>0</v>
      </c>
      <c r="AJ499" s="90" t="str">
        <f t="shared" si="177"/>
        <v/>
      </c>
      <c r="AK499" s="90" t="str">
        <f t="shared" si="178"/>
        <v/>
      </c>
      <c r="AL499" s="91"/>
      <c r="AM499" s="91">
        <f t="shared" si="179"/>
        <v>0</v>
      </c>
      <c r="AN499" s="92" t="str">
        <f t="shared" si="180"/>
        <v>No change</v>
      </c>
      <c r="AO499" s="93">
        <f>VLOOKUP(B499,'Growthrates source'!A$2:H$49,8,FALSE)</f>
        <v>5.4585812874464734E-2</v>
      </c>
      <c r="AP499" s="93">
        <f>VLOOKUP(B499,'Growthrates source'!A$2:I$49,9,FALSE)</f>
        <v>3.4026707504662967E-2</v>
      </c>
      <c r="AQ499" s="86">
        <f t="shared" si="181"/>
        <v>0</v>
      </c>
      <c r="AR499" s="86">
        <f t="shared" si="182"/>
        <v>0</v>
      </c>
      <c r="AS499" s="94">
        <f t="shared" si="183"/>
        <v>0</v>
      </c>
      <c r="AT499" s="94">
        <f t="shared" si="184"/>
        <v>0</v>
      </c>
      <c r="AU499" s="94">
        <f t="shared" si="167"/>
        <v>0</v>
      </c>
      <c r="AV499" s="94">
        <f t="shared" si="168"/>
        <v>0</v>
      </c>
    </row>
    <row r="500" spans="1:48" x14ac:dyDescent="0.3">
      <c r="A500" s="85" t="str">
        <f>_xlfn.XLOOKUP(B500,'Country codes &amp; Data sources'!G:G,'Country codes &amp; Data sources'!H:H,,0)</f>
        <v>Mozambique</v>
      </c>
      <c r="B500" s="85" t="s">
        <v>181</v>
      </c>
      <c r="C500" s="86">
        <v>24487620</v>
      </c>
      <c r="D500" s="85" t="s">
        <v>204</v>
      </c>
      <c r="E500" s="87">
        <v>0</v>
      </c>
      <c r="F500" s="88">
        <v>25251730.999999993</v>
      </c>
      <c r="G500" s="87">
        <v>0</v>
      </c>
      <c r="I500" s="87">
        <v>0</v>
      </c>
      <c r="K500" s="87">
        <v>0</v>
      </c>
      <c r="M500" s="87">
        <v>0</v>
      </c>
      <c r="O500" s="87">
        <v>2466</v>
      </c>
      <c r="P500" s="88">
        <v>29423878.499999993</v>
      </c>
      <c r="Q500" s="87">
        <v>0</v>
      </c>
      <c r="R500" s="87">
        <f t="shared" si="169"/>
        <v>2466</v>
      </c>
      <c r="T500" s="87">
        <v>2789</v>
      </c>
      <c r="V500" s="87">
        <v>2954</v>
      </c>
      <c r="X500" s="87">
        <v>3318</v>
      </c>
      <c r="Y500" s="88">
        <v>32969518.500000007</v>
      </c>
      <c r="Z500" s="87">
        <v>3337</v>
      </c>
      <c r="AA500" s="87">
        <v>2466</v>
      </c>
      <c r="AB500" s="89">
        <f t="shared" si="170"/>
        <v>0</v>
      </c>
      <c r="AC500" s="89">
        <f t="shared" si="171"/>
        <v>2789</v>
      </c>
      <c r="AD500" s="89">
        <f t="shared" si="172"/>
        <v>3337</v>
      </c>
      <c r="AF500" s="90" t="str">
        <f t="shared" si="173"/>
        <v/>
      </c>
      <c r="AG500" s="90">
        <f t="shared" si="174"/>
        <v>2466</v>
      </c>
      <c r="AH500" s="90">
        <f t="shared" si="175"/>
        <v>2017</v>
      </c>
      <c r="AI500" s="90">
        <f t="shared" si="176"/>
        <v>3337</v>
      </c>
      <c r="AJ500" s="90">
        <f t="shared" si="177"/>
        <v>2022</v>
      </c>
      <c r="AK500" s="90" t="str">
        <f t="shared" si="178"/>
        <v/>
      </c>
      <c r="AL500" s="91">
        <f>IF(AK500="Adjust",(_xlfn.XLOOKUP(A500,'Adj factor'!A:A,'Adj factor'!I:I,,0)*AI500),'Master DataSheet (Rev)'!AI500)</f>
        <v>3337</v>
      </c>
      <c r="AM500" s="91">
        <f t="shared" si="179"/>
        <v>3337</v>
      </c>
      <c r="AN500" s="92" t="str">
        <f t="shared" si="180"/>
        <v>Increasing</v>
      </c>
      <c r="AO500" s="93">
        <f>VLOOKUP(B500,'Growthrates source'!A$2:H$49,8,FALSE)</f>
        <v>5.4585812874464734E-2</v>
      </c>
      <c r="AP500" s="93">
        <f>VLOOKUP(B500,'Growthrates source'!A$2:I$49,9,FALSE)</f>
        <v>3.4026707504662967E-2</v>
      </c>
      <c r="AQ500" s="86">
        <f t="shared" si="181"/>
        <v>1876.9879548894114</v>
      </c>
      <c r="AR500" s="86">
        <f t="shared" si="182"/>
        <v>2731.0264492201272</v>
      </c>
      <c r="AS500" s="94">
        <f t="shared" si="183"/>
        <v>0</v>
      </c>
      <c r="AT500" s="94">
        <f t="shared" si="184"/>
        <v>0.83809481472675351</v>
      </c>
      <c r="AU500" s="94">
        <f t="shared" si="167"/>
        <v>1.0121470230146064</v>
      </c>
      <c r="AV500" s="94">
        <f t="shared" si="168"/>
        <v>1.0121470230146064</v>
      </c>
    </row>
    <row r="501" spans="1:48" x14ac:dyDescent="0.3">
      <c r="A501" s="85" t="str">
        <f>_xlfn.XLOOKUP(B501,'Country codes &amp; Data sources'!G:G,'Country codes &amp; Data sources'!H:H,,0)</f>
        <v>Mozambique</v>
      </c>
      <c r="B501" s="85" t="s">
        <v>181</v>
      </c>
      <c r="C501" s="86">
        <v>24487621</v>
      </c>
      <c r="D501" s="85" t="s">
        <v>205</v>
      </c>
      <c r="E501" s="87">
        <v>33</v>
      </c>
      <c r="F501" s="88">
        <v>25251730.999999993</v>
      </c>
      <c r="G501" s="87">
        <v>44</v>
      </c>
      <c r="I501" s="87">
        <v>0</v>
      </c>
      <c r="K501" s="87">
        <v>212</v>
      </c>
      <c r="M501" s="87">
        <v>0</v>
      </c>
      <c r="O501" s="87">
        <v>29</v>
      </c>
      <c r="P501" s="88">
        <v>29423878.499999993</v>
      </c>
      <c r="Q501" s="87">
        <v>304</v>
      </c>
      <c r="R501" s="87">
        <f t="shared" si="169"/>
        <v>304</v>
      </c>
      <c r="T501" s="87">
        <v>54</v>
      </c>
      <c r="V501" s="87">
        <v>0</v>
      </c>
      <c r="X501" s="87">
        <v>0</v>
      </c>
      <c r="Y501" s="88">
        <v>32969518.500000007</v>
      </c>
      <c r="Z501" s="87">
        <v>72</v>
      </c>
      <c r="AA501" s="87">
        <v>29</v>
      </c>
      <c r="AB501" s="89">
        <f t="shared" si="170"/>
        <v>212</v>
      </c>
      <c r="AC501" s="89">
        <f t="shared" si="171"/>
        <v>304</v>
      </c>
      <c r="AD501" s="89">
        <f t="shared" si="172"/>
        <v>72</v>
      </c>
      <c r="AE501" s="90">
        <f t="shared" si="185"/>
        <v>44</v>
      </c>
      <c r="AF501" s="90">
        <f t="shared" si="173"/>
        <v>2013</v>
      </c>
      <c r="AG501" s="90">
        <f t="shared" si="174"/>
        <v>304</v>
      </c>
      <c r="AH501" s="90">
        <f t="shared" si="175"/>
        <v>2018</v>
      </c>
      <c r="AI501" s="90">
        <f t="shared" si="176"/>
        <v>72</v>
      </c>
      <c r="AJ501" s="90">
        <f t="shared" si="177"/>
        <v>2022</v>
      </c>
      <c r="AK501" s="90" t="str">
        <f t="shared" si="178"/>
        <v>Adjust</v>
      </c>
      <c r="AL501" s="91">
        <f>IF(AK501="Adjust",(_xlfn.XLOOKUP(A501,'Adj factor'!A:A,'Adj factor'!I:I,,0)*AI501),'Master DataSheet (Rev)'!AI501)</f>
        <v>82.749502391069896</v>
      </c>
      <c r="AM501" s="91">
        <f t="shared" si="179"/>
        <v>304</v>
      </c>
      <c r="AN501" s="92" t="str">
        <f t="shared" si="180"/>
        <v>Decreasing</v>
      </c>
      <c r="AO501" s="93">
        <f>VLOOKUP(B501,'Growthrates source'!A$2:H$49,8,FALSE)</f>
        <v>5.4585812874464734E-2</v>
      </c>
      <c r="AP501" s="93">
        <f>VLOOKUP(B501,'Growthrates source'!A$2:I$49,9,FALSE)</f>
        <v>3.4026707504662967E-2</v>
      </c>
      <c r="AQ501" s="86">
        <f t="shared" si="181"/>
        <v>22.073256566014976</v>
      </c>
      <c r="AR501" s="86">
        <f t="shared" si="182"/>
        <v>32.116693847276437</v>
      </c>
      <c r="AS501" s="94">
        <f t="shared" si="183"/>
        <v>1.74245480438549E-2</v>
      </c>
      <c r="AT501" s="94">
        <f t="shared" si="184"/>
        <v>0.10331744674652599</v>
      </c>
      <c r="AU501" s="94">
        <f t="shared" si="167"/>
        <v>2.5098790081229082E-2</v>
      </c>
      <c r="AV501" s="94">
        <f t="shared" si="168"/>
        <v>9.2206381479304877E-2</v>
      </c>
    </row>
    <row r="502" spans="1:48" ht="14.5" x14ac:dyDescent="0.35">
      <c r="A502" s="85" t="str">
        <f>_xlfn.XLOOKUP(B502,'Country codes &amp; Data sources'!G:G,'Country codes &amp; Data sources'!H:H,,0)</f>
        <v>Mozambique</v>
      </c>
      <c r="B502" s="85" t="s">
        <v>181</v>
      </c>
      <c r="C502" s="86">
        <v>24487622</v>
      </c>
      <c r="D502" s="85" t="s">
        <v>133</v>
      </c>
      <c r="E502" s="87">
        <v>0</v>
      </c>
      <c r="F502" s="88">
        <v>25251730.999999993</v>
      </c>
      <c r="G502" s="60">
        <v>1908</v>
      </c>
      <c r="I502" s="87">
        <v>0</v>
      </c>
      <c r="K502" s="87">
        <v>0</v>
      </c>
      <c r="M502" s="87">
        <v>0</v>
      </c>
      <c r="O502" s="87">
        <v>0</v>
      </c>
      <c r="P502" s="88">
        <v>29423878.499999993</v>
      </c>
      <c r="Q502" s="87">
        <v>0</v>
      </c>
      <c r="R502" s="87">
        <f t="shared" si="169"/>
        <v>5726</v>
      </c>
      <c r="T502" s="87">
        <v>2055</v>
      </c>
      <c r="V502" s="87">
        <v>2041</v>
      </c>
      <c r="X502" s="87">
        <v>1912</v>
      </c>
      <c r="Y502" s="88">
        <v>32969518.500000007</v>
      </c>
      <c r="Z502" s="111">
        <v>1908</v>
      </c>
      <c r="AA502" s="87">
        <v>5726</v>
      </c>
      <c r="AB502" s="89">
        <f t="shared" si="170"/>
        <v>1908</v>
      </c>
      <c r="AC502" s="89">
        <f t="shared" si="171"/>
        <v>2055</v>
      </c>
      <c r="AD502" s="89">
        <f t="shared" si="172"/>
        <v>2041</v>
      </c>
      <c r="AE502" s="90">
        <f t="shared" si="185"/>
        <v>1908</v>
      </c>
      <c r="AF502" s="90">
        <v>2013</v>
      </c>
      <c r="AG502" s="90">
        <f t="shared" si="174"/>
        <v>5726</v>
      </c>
      <c r="AH502" s="90" t="str">
        <f t="shared" si="175"/>
        <v>2018 (triag)</v>
      </c>
      <c r="AI502" s="90">
        <f t="shared" si="176"/>
        <v>1908</v>
      </c>
      <c r="AJ502" s="90">
        <f t="shared" si="177"/>
        <v>2022</v>
      </c>
      <c r="AK502" s="90" t="str">
        <f t="shared" si="178"/>
        <v>Adjust</v>
      </c>
      <c r="AL502" s="91">
        <f>IF(AK502="Adjust",(_xlfn.XLOOKUP(A502,'Adj factor'!A:A,'Adj factor'!I:I,,0)*AI502),'Master DataSheet (Rev)'!AI502)</f>
        <v>2192.8618133633522</v>
      </c>
      <c r="AM502" s="91">
        <f t="shared" si="179"/>
        <v>5726</v>
      </c>
      <c r="AN502" s="92" t="str">
        <f t="shared" si="180"/>
        <v>Decreasing</v>
      </c>
      <c r="AO502" s="93">
        <f>VLOOKUP(B502,'Growthrates source'!A$2:H$49,8,FALSE)</f>
        <v>5.4585812874464734E-2</v>
      </c>
      <c r="AP502" s="93">
        <f>VLOOKUP(B502,'Growthrates source'!A$2:I$49,9,FALSE)</f>
        <v>3.4026707504662967E-2</v>
      </c>
      <c r="AQ502" s="86">
        <f t="shared" si="181"/>
        <v>4358.32645162075</v>
      </c>
      <c r="AR502" s="86">
        <f t="shared" si="182"/>
        <v>6341.3858265346507</v>
      </c>
      <c r="AS502" s="94">
        <f t="shared" si="183"/>
        <v>0.75559176517443516</v>
      </c>
      <c r="AT502" s="94">
        <f t="shared" si="184"/>
        <v>1.9460384870743677</v>
      </c>
      <c r="AU502" s="94">
        <f t="shared" si="167"/>
        <v>0.66511793715257062</v>
      </c>
      <c r="AV502" s="94">
        <f t="shared" si="168"/>
        <v>1.7367557248371701</v>
      </c>
    </row>
    <row r="503" spans="1:48" x14ac:dyDescent="0.3">
      <c r="A503" s="85" t="str">
        <f>_xlfn.XLOOKUP(B503,'Country codes &amp; Data sources'!G:G,'Country codes &amp; Data sources'!H:H,,0)</f>
        <v>Mozambique</v>
      </c>
      <c r="B503" s="85" t="s">
        <v>181</v>
      </c>
      <c r="C503" s="86">
        <v>24487623</v>
      </c>
      <c r="D503" s="85" t="s">
        <v>206</v>
      </c>
      <c r="E503" s="87">
        <v>0</v>
      </c>
      <c r="F503" s="88">
        <v>25251730.999999993</v>
      </c>
      <c r="G503" s="87">
        <v>0</v>
      </c>
      <c r="I503" s="87">
        <v>0</v>
      </c>
      <c r="K503" s="87">
        <v>0</v>
      </c>
      <c r="M503" s="87">
        <v>0</v>
      </c>
      <c r="O503" s="87">
        <v>0</v>
      </c>
      <c r="P503" s="88">
        <v>29423878.499999993</v>
      </c>
      <c r="Q503" s="87">
        <v>0</v>
      </c>
      <c r="R503" s="87">
        <f t="shared" si="169"/>
        <v>0</v>
      </c>
      <c r="T503" s="87">
        <v>0</v>
      </c>
      <c r="V503" s="87">
        <v>0</v>
      </c>
      <c r="X503" s="87">
        <v>0</v>
      </c>
      <c r="Y503" s="88">
        <v>32969518.500000007</v>
      </c>
      <c r="Z503" s="87">
        <v>0</v>
      </c>
      <c r="AA503" s="87">
        <v>0</v>
      </c>
      <c r="AB503" s="89">
        <f t="shared" si="170"/>
        <v>0</v>
      </c>
      <c r="AC503" s="89">
        <f t="shared" si="171"/>
        <v>0</v>
      </c>
      <c r="AD503" s="89">
        <f t="shared" si="172"/>
        <v>0</v>
      </c>
      <c r="AF503" s="90" t="str">
        <f t="shared" si="173"/>
        <v/>
      </c>
      <c r="AH503" s="90" t="str">
        <f t="shared" si="175"/>
        <v/>
      </c>
      <c r="AI503" s="90">
        <f t="shared" si="176"/>
        <v>0</v>
      </c>
      <c r="AJ503" s="90" t="str">
        <f t="shared" si="177"/>
        <v/>
      </c>
      <c r="AK503" s="90" t="str">
        <f t="shared" si="178"/>
        <v/>
      </c>
      <c r="AL503" s="91"/>
      <c r="AM503" s="91">
        <f t="shared" si="179"/>
        <v>0</v>
      </c>
      <c r="AN503" s="92" t="str">
        <f t="shared" si="180"/>
        <v>No change</v>
      </c>
      <c r="AO503" s="93">
        <f>VLOOKUP(B503,'Growthrates source'!A$2:H$49,8,FALSE)</f>
        <v>5.4585812874464734E-2</v>
      </c>
      <c r="AP503" s="93">
        <f>VLOOKUP(B503,'Growthrates source'!A$2:I$49,9,FALSE)</f>
        <v>3.4026707504662967E-2</v>
      </c>
      <c r="AQ503" s="86">
        <f t="shared" si="181"/>
        <v>0</v>
      </c>
      <c r="AR503" s="86">
        <f t="shared" si="182"/>
        <v>0</v>
      </c>
      <c r="AS503" s="94">
        <f t="shared" si="183"/>
        <v>0</v>
      </c>
      <c r="AT503" s="94">
        <f t="shared" si="184"/>
        <v>0</v>
      </c>
      <c r="AU503" s="94">
        <f t="shared" si="167"/>
        <v>0</v>
      </c>
      <c r="AV503" s="94">
        <f t="shared" si="168"/>
        <v>0</v>
      </c>
    </row>
    <row r="504" spans="1:48" x14ac:dyDescent="0.3">
      <c r="A504" s="85" t="str">
        <f>_xlfn.XLOOKUP(B504,'Country codes &amp; Data sources'!G:G,'Country codes &amp; Data sources'!H:H,,0)</f>
        <v>Mozambique</v>
      </c>
      <c r="B504" s="85" t="s">
        <v>181</v>
      </c>
      <c r="C504" s="86">
        <v>24487624</v>
      </c>
      <c r="D504" s="85" t="s">
        <v>136</v>
      </c>
      <c r="E504" s="87">
        <v>267</v>
      </c>
      <c r="F504" s="88">
        <v>25251730.999999993</v>
      </c>
      <c r="G504" s="87">
        <v>238</v>
      </c>
      <c r="I504" s="87">
        <v>0</v>
      </c>
      <c r="K504" s="87">
        <v>0</v>
      </c>
      <c r="M504" s="87">
        <v>0</v>
      </c>
      <c r="O504" s="87">
        <v>290</v>
      </c>
      <c r="P504" s="88">
        <v>29423878.499999993</v>
      </c>
      <c r="Q504" s="87">
        <v>0</v>
      </c>
      <c r="R504" s="87">
        <f t="shared" si="169"/>
        <v>206</v>
      </c>
      <c r="T504" s="87">
        <v>315</v>
      </c>
      <c r="V504" s="87">
        <v>301</v>
      </c>
      <c r="X504" s="87">
        <v>264</v>
      </c>
      <c r="Y504" s="88">
        <v>32969518.500000007</v>
      </c>
      <c r="Z504" s="87">
        <v>276</v>
      </c>
      <c r="AA504" s="87">
        <v>206</v>
      </c>
      <c r="AB504" s="89">
        <f t="shared" si="170"/>
        <v>267</v>
      </c>
      <c r="AC504" s="89">
        <f t="shared" si="171"/>
        <v>315</v>
      </c>
      <c r="AD504" s="89">
        <f t="shared" si="172"/>
        <v>301</v>
      </c>
      <c r="AE504" s="90">
        <f t="shared" si="185"/>
        <v>238</v>
      </c>
      <c r="AF504" s="90">
        <f t="shared" si="173"/>
        <v>2013</v>
      </c>
      <c r="AG504" s="90">
        <f t="shared" si="174"/>
        <v>206</v>
      </c>
      <c r="AH504" s="90" t="str">
        <f t="shared" si="175"/>
        <v>2018 (triag)</v>
      </c>
      <c r="AI504" s="90">
        <f t="shared" si="176"/>
        <v>276</v>
      </c>
      <c r="AJ504" s="90">
        <f t="shared" si="177"/>
        <v>2022</v>
      </c>
      <c r="AK504" s="90" t="str">
        <f t="shared" si="178"/>
        <v/>
      </c>
      <c r="AL504" s="91">
        <f>IF(AK504="Adjust",(_xlfn.XLOOKUP(A504,'Adj factor'!A:A,'Adj factor'!I:I,,0)*AI504),'Master DataSheet (Rev)'!AI504)</f>
        <v>276</v>
      </c>
      <c r="AM504" s="91">
        <f t="shared" si="179"/>
        <v>276</v>
      </c>
      <c r="AN504" s="92" t="str">
        <f t="shared" si="180"/>
        <v>Increasing</v>
      </c>
      <c r="AO504" s="93">
        <f>VLOOKUP(B504,'Growthrates source'!A$2:H$49,8,FALSE)</f>
        <v>5.4585812874464734E-2</v>
      </c>
      <c r="AP504" s="93">
        <f>VLOOKUP(B504,'Growthrates source'!A$2:I$49,9,FALSE)</f>
        <v>3.4026707504662967E-2</v>
      </c>
      <c r="AQ504" s="86">
        <f t="shared" si="181"/>
        <v>156.79623629652016</v>
      </c>
      <c r="AR504" s="86">
        <f t="shared" si="182"/>
        <v>228.13927353582571</v>
      </c>
      <c r="AS504" s="94">
        <f t="shared" si="183"/>
        <v>9.4250964419033315E-2</v>
      </c>
      <c r="AT504" s="94">
        <f t="shared" si="184"/>
        <v>7.0011164571659054E-2</v>
      </c>
      <c r="AU504" s="94">
        <f t="shared" si="167"/>
        <v>8.3713688448316267E-2</v>
      </c>
      <c r="AV504" s="94">
        <f t="shared" si="168"/>
        <v>8.3713688448316267E-2</v>
      </c>
    </row>
    <row r="505" spans="1:48" x14ac:dyDescent="0.3">
      <c r="A505" s="85" t="str">
        <f>_xlfn.XLOOKUP(B505,'Country codes &amp; Data sources'!G:G,'Country codes &amp; Data sources'!H:H,,0)</f>
        <v>Mozambique</v>
      </c>
      <c r="B505" s="85" t="s">
        <v>181</v>
      </c>
      <c r="C505" s="86">
        <v>24487625</v>
      </c>
      <c r="D505" s="85" t="s">
        <v>207</v>
      </c>
      <c r="E505" s="87">
        <v>0</v>
      </c>
      <c r="F505" s="88">
        <v>25251730.999999993</v>
      </c>
      <c r="G505" s="87">
        <v>0</v>
      </c>
      <c r="I505" s="87">
        <v>0</v>
      </c>
      <c r="K505" s="87">
        <v>0</v>
      </c>
      <c r="M505" s="87">
        <v>0</v>
      </c>
      <c r="O505" s="87">
        <v>0</v>
      </c>
      <c r="P505" s="88">
        <v>29423878.499999993</v>
      </c>
      <c r="Q505" s="87">
        <v>0</v>
      </c>
      <c r="R505" s="87">
        <f t="shared" si="169"/>
        <v>59</v>
      </c>
      <c r="T505" s="87">
        <v>0</v>
      </c>
      <c r="V505" s="87">
        <v>0</v>
      </c>
      <c r="X505" s="87">
        <v>0</v>
      </c>
      <c r="Y505" s="88">
        <v>32969518.500000007</v>
      </c>
      <c r="Z505" s="87">
        <v>172</v>
      </c>
      <c r="AA505" s="87">
        <v>59</v>
      </c>
      <c r="AB505" s="89">
        <f t="shared" si="170"/>
        <v>0</v>
      </c>
      <c r="AC505" s="89">
        <f t="shared" si="171"/>
        <v>0</v>
      </c>
      <c r="AD505" s="89">
        <f t="shared" si="172"/>
        <v>172</v>
      </c>
      <c r="AF505" s="90" t="str">
        <f t="shared" si="173"/>
        <v/>
      </c>
      <c r="AG505" s="90">
        <f t="shared" si="174"/>
        <v>59</v>
      </c>
      <c r="AH505" s="90" t="str">
        <f t="shared" si="175"/>
        <v>2018 (triag)</v>
      </c>
      <c r="AI505" s="90">
        <f t="shared" si="176"/>
        <v>172</v>
      </c>
      <c r="AJ505" s="90">
        <f t="shared" si="177"/>
        <v>2022</v>
      </c>
      <c r="AK505" s="90" t="str">
        <f t="shared" si="178"/>
        <v/>
      </c>
      <c r="AL505" s="91">
        <f>IF(AK505="Adjust",(_xlfn.XLOOKUP(A505,'Adj factor'!A:A,'Adj factor'!I:I,,0)*AI505),'Master DataSheet (Rev)'!AI505)</f>
        <v>172</v>
      </c>
      <c r="AM505" s="91">
        <f t="shared" si="179"/>
        <v>172</v>
      </c>
      <c r="AN505" s="92" t="str">
        <f t="shared" si="180"/>
        <v>Increasing</v>
      </c>
      <c r="AO505" s="93">
        <f>VLOOKUP(B505,'Growthrates source'!A$2:H$49,8,FALSE)</f>
        <v>5.4585812874464734E-2</v>
      </c>
      <c r="AP505" s="93">
        <f>VLOOKUP(B505,'Growthrates source'!A$2:I$49,9,FALSE)</f>
        <v>3.4026707504662967E-2</v>
      </c>
      <c r="AQ505" s="86">
        <f t="shared" si="181"/>
        <v>44.907659910168398</v>
      </c>
      <c r="AR505" s="86">
        <f t="shared" si="182"/>
        <v>65.34085989618309</v>
      </c>
      <c r="AS505" s="94">
        <f t="shared" si="183"/>
        <v>0</v>
      </c>
      <c r="AT505" s="94">
        <f t="shared" si="184"/>
        <v>2.0051741309358662E-2</v>
      </c>
      <c r="AU505" s="94">
        <f t="shared" si="167"/>
        <v>5.2169400047501438E-2</v>
      </c>
      <c r="AV505" s="94">
        <f t="shared" si="168"/>
        <v>5.2169400047501438E-2</v>
      </c>
    </row>
    <row r="506" spans="1:48" x14ac:dyDescent="0.3">
      <c r="A506" s="85" t="str">
        <f>_xlfn.XLOOKUP(B506,'Country codes &amp; Data sources'!G:G,'Country codes &amp; Data sources'!H:H,,0)</f>
        <v>Mozambique</v>
      </c>
      <c r="B506" s="85" t="s">
        <v>181</v>
      </c>
      <c r="C506" s="86">
        <v>24487626</v>
      </c>
      <c r="D506" s="85" t="s">
        <v>141</v>
      </c>
      <c r="E506" s="87">
        <v>76</v>
      </c>
      <c r="F506" s="88">
        <v>25251730.999999993</v>
      </c>
      <c r="G506" s="87">
        <v>115</v>
      </c>
      <c r="I506" s="87">
        <v>0</v>
      </c>
      <c r="K506" s="87">
        <v>0</v>
      </c>
      <c r="M506" s="87">
        <v>0</v>
      </c>
      <c r="O506" s="87">
        <v>147</v>
      </c>
      <c r="P506" s="88">
        <v>29423878.499999993</v>
      </c>
      <c r="Q506" s="87">
        <v>150</v>
      </c>
      <c r="R506" s="87">
        <f t="shared" si="169"/>
        <v>150</v>
      </c>
      <c r="T506" s="87">
        <v>165</v>
      </c>
      <c r="V506" s="87">
        <v>156</v>
      </c>
      <c r="X506" s="87">
        <v>151</v>
      </c>
      <c r="Y506" s="88">
        <v>32969518.500000007</v>
      </c>
      <c r="Z506" s="87">
        <v>154</v>
      </c>
      <c r="AA506" s="87">
        <v>147</v>
      </c>
      <c r="AB506" s="89">
        <f t="shared" si="170"/>
        <v>115</v>
      </c>
      <c r="AC506" s="89">
        <f t="shared" si="171"/>
        <v>165</v>
      </c>
      <c r="AD506" s="89">
        <f t="shared" si="172"/>
        <v>156</v>
      </c>
      <c r="AE506" s="90">
        <f t="shared" si="185"/>
        <v>115</v>
      </c>
      <c r="AF506" s="90">
        <f t="shared" si="173"/>
        <v>2013</v>
      </c>
      <c r="AG506" s="90">
        <f t="shared" si="174"/>
        <v>150</v>
      </c>
      <c r="AH506" s="90">
        <f t="shared" si="175"/>
        <v>2018</v>
      </c>
      <c r="AI506" s="90">
        <f t="shared" si="176"/>
        <v>154</v>
      </c>
      <c r="AJ506" s="90">
        <f t="shared" si="177"/>
        <v>2022</v>
      </c>
      <c r="AK506" s="90" t="str">
        <f t="shared" si="178"/>
        <v/>
      </c>
      <c r="AL506" s="91">
        <f>IF(AK506="Adjust",(_xlfn.XLOOKUP(A506,'Adj factor'!A:A,'Adj factor'!I:I,,0)*AI506),'Master DataSheet (Rev)'!AI506)</f>
        <v>154</v>
      </c>
      <c r="AM506" s="91">
        <f t="shared" si="179"/>
        <v>154</v>
      </c>
      <c r="AN506" s="92" t="str">
        <f t="shared" si="180"/>
        <v>Increasing</v>
      </c>
      <c r="AO506" s="93">
        <f>VLOOKUP(B506,'Growthrates source'!A$2:H$49,8,FALSE)</f>
        <v>5.4585812874464734E-2</v>
      </c>
      <c r="AP506" s="93">
        <f>VLOOKUP(B506,'Growthrates source'!A$2:I$49,9,FALSE)</f>
        <v>3.4026707504662967E-2</v>
      </c>
      <c r="AQ506" s="86">
        <f t="shared" si="181"/>
        <v>111.88857638635177</v>
      </c>
      <c r="AR506" s="86">
        <f t="shared" si="182"/>
        <v>162.7984136396426</v>
      </c>
      <c r="AS506" s="94">
        <f t="shared" si="183"/>
        <v>4.5541432387348035E-2</v>
      </c>
      <c r="AT506" s="94">
        <f t="shared" si="184"/>
        <v>5.0979003328877955E-2</v>
      </c>
      <c r="AU506" s="94">
        <f t="shared" si="167"/>
        <v>4.6709811670437335E-2</v>
      </c>
      <c r="AV506" s="94">
        <f t="shared" si="168"/>
        <v>4.6709811670437335E-2</v>
      </c>
    </row>
    <row r="507" spans="1:48" x14ac:dyDescent="0.3">
      <c r="A507" s="85" t="str">
        <f>_xlfn.XLOOKUP(B507,'Country codes &amp; Data sources'!G:G,'Country codes &amp; Data sources'!H:H,,0)</f>
        <v>Mozambique</v>
      </c>
      <c r="B507" s="85" t="s">
        <v>181</v>
      </c>
      <c r="C507" s="86">
        <v>24487627</v>
      </c>
      <c r="D507" s="85" t="s">
        <v>208</v>
      </c>
      <c r="E507" s="87">
        <v>0</v>
      </c>
      <c r="F507" s="88">
        <v>25251730.999999993</v>
      </c>
      <c r="G507" s="87">
        <v>0</v>
      </c>
      <c r="I507" s="87">
        <v>0</v>
      </c>
      <c r="K507" s="87">
        <v>0</v>
      </c>
      <c r="M507" s="87">
        <v>0</v>
      </c>
      <c r="O507" s="87">
        <v>34992</v>
      </c>
      <c r="P507" s="88">
        <v>29423878.499999993</v>
      </c>
      <c r="Q507" s="87">
        <v>0</v>
      </c>
      <c r="R507" s="87">
        <f t="shared" si="169"/>
        <v>26735</v>
      </c>
      <c r="T507" s="87">
        <v>399</v>
      </c>
      <c r="V507" s="87">
        <v>8308</v>
      </c>
      <c r="X507" s="87">
        <v>3530</v>
      </c>
      <c r="Y507" s="88">
        <v>32969518.500000007</v>
      </c>
      <c r="Z507" s="87">
        <v>696</v>
      </c>
      <c r="AA507" s="87">
        <v>26735</v>
      </c>
      <c r="AB507" s="89">
        <f t="shared" si="170"/>
        <v>0</v>
      </c>
      <c r="AC507" s="89">
        <f t="shared" si="171"/>
        <v>34992</v>
      </c>
      <c r="AD507" s="89">
        <f t="shared" si="172"/>
        <v>8308</v>
      </c>
      <c r="AF507" s="90" t="str">
        <f t="shared" si="173"/>
        <v/>
      </c>
      <c r="AG507" s="90">
        <f t="shared" si="174"/>
        <v>26735</v>
      </c>
      <c r="AH507" s="90" t="str">
        <f t="shared" si="175"/>
        <v>2018 (triag)</v>
      </c>
      <c r="AI507" s="90">
        <f t="shared" si="176"/>
        <v>696</v>
      </c>
      <c r="AJ507" s="90">
        <f t="shared" si="177"/>
        <v>2022</v>
      </c>
      <c r="AK507" s="90" t="str">
        <f t="shared" si="178"/>
        <v>Adjust</v>
      </c>
      <c r="AL507" s="91">
        <f>IF(AK507="Adjust",(_xlfn.XLOOKUP(A507,'Adj factor'!A:A,'Adj factor'!I:I,,0)*AI507),'Master DataSheet (Rev)'!AI507)</f>
        <v>799.91185644700897</v>
      </c>
      <c r="AM507" s="91">
        <f t="shared" si="179"/>
        <v>26735</v>
      </c>
      <c r="AN507" s="92" t="str">
        <f t="shared" si="180"/>
        <v>Decreasing</v>
      </c>
      <c r="AO507" s="93">
        <f>VLOOKUP(B507,'Growthrates source'!A$2:H$49,8,FALSE)</f>
        <v>5.4585812874464734E-2</v>
      </c>
      <c r="AP507" s="93">
        <f>VLOOKUP(B507,'Growthrates source'!A$2:I$49,9,FALSE)</f>
        <v>3.4026707504662967E-2</v>
      </c>
      <c r="AQ507" s="86">
        <f t="shared" si="181"/>
        <v>20349.259113531392</v>
      </c>
      <c r="AR507" s="86">
        <f t="shared" si="182"/>
        <v>29608.269310583983</v>
      </c>
      <c r="AS507" s="94">
        <f t="shared" si="183"/>
        <v>0</v>
      </c>
      <c r="AT507" s="94">
        <f t="shared" si="184"/>
        <v>9.0861576933170127</v>
      </c>
      <c r="AU507" s="94">
        <f t="shared" si="167"/>
        <v>0.24262163745188114</v>
      </c>
      <c r="AV507" s="94">
        <f t="shared" si="168"/>
        <v>8.1090052922671578</v>
      </c>
    </row>
    <row r="508" spans="1:48" x14ac:dyDescent="0.3">
      <c r="A508" s="85" t="str">
        <f>_xlfn.XLOOKUP(B508,'Country codes &amp; Data sources'!G:G,'Country codes &amp; Data sources'!H:H,,0)</f>
        <v>Mozambique</v>
      </c>
      <c r="B508" s="85" t="s">
        <v>181</v>
      </c>
      <c r="C508" s="86">
        <v>24487628</v>
      </c>
      <c r="D508" s="85" t="s">
        <v>209</v>
      </c>
      <c r="E508" s="87">
        <v>0</v>
      </c>
      <c r="F508" s="88">
        <v>25251730.999999993</v>
      </c>
      <c r="G508" s="87">
        <v>0</v>
      </c>
      <c r="I508" s="87">
        <v>0</v>
      </c>
      <c r="K508" s="87">
        <v>0</v>
      </c>
      <c r="M508" s="87">
        <v>0</v>
      </c>
      <c r="O508" s="87">
        <v>26735</v>
      </c>
      <c r="P508" s="88">
        <v>29423878.499999993</v>
      </c>
      <c r="Q508" s="87">
        <v>0</v>
      </c>
      <c r="R508" s="87">
        <f t="shared" ref="R508:R556" si="186">MAX(Q508,AA508)</f>
        <v>0</v>
      </c>
      <c r="T508" s="87">
        <v>16937</v>
      </c>
      <c r="V508" s="87">
        <v>14416</v>
      </c>
      <c r="X508" s="87">
        <v>10717</v>
      </c>
      <c r="Y508" s="88">
        <v>32969518.500000007</v>
      </c>
      <c r="Z508" s="87">
        <v>12261</v>
      </c>
      <c r="AA508" s="87">
        <v>0</v>
      </c>
      <c r="AB508" s="89">
        <f t="shared" ref="AB508:AB556" si="187">MAX(G508,E508,I508,K508)</f>
        <v>0</v>
      </c>
      <c r="AC508" s="89">
        <f t="shared" ref="AC508:AC556" si="188">MAX(M508,O508,Q508,T508)</f>
        <v>26735</v>
      </c>
      <c r="AD508" s="89">
        <f t="shared" ref="AD508:AD556" si="189">MAX(V508,X508,Z508)</f>
        <v>14416</v>
      </c>
      <c r="AF508" s="90" t="str">
        <f t="shared" ref="AF508:AF556" si="190">IF(AE508&gt;0,_xlfn.XLOOKUP(AE508,$B508:$K508,$B$1:$K$1,,0),"")</f>
        <v/>
      </c>
      <c r="AG508" s="90">
        <f t="shared" ref="AG508:AG556" si="191">IF(R508&gt;0,R508,IF(O508&gt;0,O508,T508))</f>
        <v>26735</v>
      </c>
      <c r="AH508" s="90">
        <f t="shared" ref="AH508:AH556" si="192">IF(AG508&gt;0,_xlfn.XLOOKUP(AG508,$L508:$T508,$L$1:$T$1,,0),"")</f>
        <v>2017</v>
      </c>
      <c r="AI508" s="90">
        <f t="shared" ref="AI508:AI556" si="193">IF((IF(Z508&gt;0,Z508,IF(X508&gt;0,X508,IF(V508&gt;0,V508,T508))))=0,AG508,IF(Z508&gt;0,Z508,IF(X508&gt;0,X508,IF(V508&gt;0,V508,T508))))</f>
        <v>12261</v>
      </c>
      <c r="AJ508" s="90">
        <f t="shared" ref="AJ508:AJ556" si="194">IFERROR(IF(AI508&gt;0,_xlfn.XLOOKUP(AI508,$V508:$Z508,$V$1:$Z$1,,0),""),AH508)</f>
        <v>2022</v>
      </c>
      <c r="AK508" s="90" t="str">
        <f t="shared" ref="AK508:AK556" si="195">IF(AI508&lt;AG508,"Adjust","")</f>
        <v>Adjust</v>
      </c>
      <c r="AL508" s="91">
        <f>IF(AK508="Adjust",(_xlfn.XLOOKUP(A508,'Adj factor'!A:A,'Adj factor'!I:I,,0)*AI508),'Master DataSheet (Rev)'!AI508)</f>
        <v>14091.550678012611</v>
      </c>
      <c r="AM508" s="91">
        <f t="shared" ref="AM508:AM556" si="196">IF(AL508&lt;AG508,AG508,AL508)</f>
        <v>26735</v>
      </c>
      <c r="AN508" s="92" t="str">
        <f t="shared" ref="AN508:AN556" si="197">IF(AL508&gt;AG508,"Increasing",IF(AL508&lt;AG508,"Decreasing","No change"))</f>
        <v>Decreasing</v>
      </c>
      <c r="AO508" s="93">
        <f>VLOOKUP(B508,'Growthrates source'!A$2:H$49,8,FALSE)</f>
        <v>5.4585812874464734E-2</v>
      </c>
      <c r="AP508" s="93">
        <f>VLOOKUP(B508,'Growthrates source'!A$2:I$49,9,FALSE)</f>
        <v>3.4026707504662967E-2</v>
      </c>
      <c r="AQ508" s="86">
        <f t="shared" ref="AQ508:AQ556" si="198">AA508/(EXP(AO508*5))</f>
        <v>0</v>
      </c>
      <c r="AR508" s="86">
        <f t="shared" ref="AR508:AR556" si="199">AA508*EXP(AP508*3)</f>
        <v>0</v>
      </c>
      <c r="AS508" s="94">
        <f t="shared" ref="AS508:AS556" si="200">(AE508*10000)/F508</f>
        <v>0</v>
      </c>
      <c r="AT508" s="94">
        <f t="shared" ref="AT508:AT556" si="201">(AG508*10000)/P508</f>
        <v>9.0861576933170127</v>
      </c>
      <c r="AU508" s="94">
        <f t="shared" si="167"/>
        <v>4.2741147942493019</v>
      </c>
      <c r="AV508" s="94">
        <f t="shared" si="168"/>
        <v>8.1090052922671578</v>
      </c>
    </row>
    <row r="509" spans="1:48" x14ac:dyDescent="0.3">
      <c r="A509" s="85" t="str">
        <f>_xlfn.XLOOKUP(B509,'Country codes &amp; Data sources'!G:G,'Country codes &amp; Data sources'!H:H,,0)</f>
        <v>Mozambique</v>
      </c>
      <c r="B509" s="85" t="s">
        <v>181</v>
      </c>
      <c r="C509" s="86">
        <v>24487629</v>
      </c>
      <c r="D509" s="85" t="s">
        <v>134</v>
      </c>
      <c r="E509" s="87">
        <v>1425</v>
      </c>
      <c r="F509" s="88">
        <v>25251730.999999993</v>
      </c>
      <c r="G509" s="87">
        <v>1465</v>
      </c>
      <c r="I509" s="87">
        <v>0</v>
      </c>
      <c r="K509" s="87">
        <v>0</v>
      </c>
      <c r="M509" s="87">
        <v>0</v>
      </c>
      <c r="O509" s="87">
        <v>1958</v>
      </c>
      <c r="P509" s="88">
        <v>29423878.499999993</v>
      </c>
      <c r="Q509" s="87">
        <v>0</v>
      </c>
      <c r="R509" s="87">
        <f t="shared" si="186"/>
        <v>1951</v>
      </c>
      <c r="T509" s="87">
        <v>0</v>
      </c>
      <c r="V509" s="87">
        <v>0</v>
      </c>
      <c r="X509" s="87">
        <v>301</v>
      </c>
      <c r="Y509" s="88">
        <v>32969518.500000007</v>
      </c>
      <c r="Z509" s="87">
        <v>2040</v>
      </c>
      <c r="AA509" s="87">
        <v>1951</v>
      </c>
      <c r="AB509" s="89">
        <f t="shared" si="187"/>
        <v>1465</v>
      </c>
      <c r="AC509" s="89">
        <f t="shared" si="188"/>
        <v>1958</v>
      </c>
      <c r="AD509" s="89">
        <f t="shared" si="189"/>
        <v>2040</v>
      </c>
      <c r="AE509" s="90">
        <f t="shared" ref="AE509:AE517" si="202">IF(G509&gt;0,G509,IF(E509&gt;0,E509,IF(I509&gt;0,I509,K509)))</f>
        <v>1465</v>
      </c>
      <c r="AF509" s="90">
        <f t="shared" si="190"/>
        <v>2013</v>
      </c>
      <c r="AG509" s="90">
        <f t="shared" si="191"/>
        <v>1951</v>
      </c>
      <c r="AH509" s="90" t="str">
        <f t="shared" si="192"/>
        <v>2018 (triag)</v>
      </c>
      <c r="AI509" s="90">
        <f t="shared" si="193"/>
        <v>2040</v>
      </c>
      <c r="AJ509" s="90">
        <f t="shared" si="194"/>
        <v>2022</v>
      </c>
      <c r="AK509" s="90" t="str">
        <f t="shared" si="195"/>
        <v/>
      </c>
      <c r="AL509" s="91">
        <f>IF(AK509="Adjust",(_xlfn.XLOOKUP(A509,'Adj factor'!A:A,'Adj factor'!I:I,,0)*AI509),'Master DataSheet (Rev)'!AI509)</f>
        <v>2040</v>
      </c>
      <c r="AM509" s="91">
        <f t="shared" si="196"/>
        <v>2040</v>
      </c>
      <c r="AN509" s="92" t="str">
        <f t="shared" si="197"/>
        <v>Increasing</v>
      </c>
      <c r="AO509" s="93">
        <f>VLOOKUP(B509,'Growthrates source'!A$2:H$49,8,FALSE)</f>
        <v>5.4585812874464734E-2</v>
      </c>
      <c r="AP509" s="93">
        <f>VLOOKUP(B509,'Growthrates source'!A$2:I$49,9,FALSE)</f>
        <v>3.4026707504662967E-2</v>
      </c>
      <c r="AQ509" s="86">
        <f t="shared" si="198"/>
        <v>1484.9973641481108</v>
      </c>
      <c r="AR509" s="86">
        <f t="shared" si="199"/>
        <v>2160.6782653805631</v>
      </c>
      <c r="AS509" s="94">
        <f t="shared" si="200"/>
        <v>0.58015824736925969</v>
      </c>
      <c r="AT509" s="94">
        <f t="shared" si="201"/>
        <v>0.66306690329760587</v>
      </c>
      <c r="AU509" s="94">
        <f t="shared" si="167"/>
        <v>0.61875334940059845</v>
      </c>
      <c r="AV509" s="94">
        <f t="shared" si="168"/>
        <v>0.61875334940059845</v>
      </c>
    </row>
    <row r="510" spans="1:48" x14ac:dyDescent="0.3">
      <c r="A510" s="85" t="str">
        <f>_xlfn.XLOOKUP(B510,'Country codes &amp; Data sources'!G:G,'Country codes &amp; Data sources'!H:H,,0)</f>
        <v>Mozambique</v>
      </c>
      <c r="B510" s="85" t="s">
        <v>181</v>
      </c>
      <c r="C510" s="86">
        <v>24487630</v>
      </c>
      <c r="D510" s="85" t="s">
        <v>142</v>
      </c>
      <c r="E510" s="87">
        <v>0</v>
      </c>
      <c r="F510" s="88">
        <v>25251730.999999993</v>
      </c>
      <c r="G510" s="87">
        <v>0</v>
      </c>
      <c r="I510" s="87">
        <v>0</v>
      </c>
      <c r="K510" s="87">
        <v>0</v>
      </c>
      <c r="M510" s="87">
        <v>0</v>
      </c>
      <c r="O510" s="87">
        <v>6281</v>
      </c>
      <c r="P510" s="88">
        <v>29423878.499999993</v>
      </c>
      <c r="Q510" s="87">
        <v>0</v>
      </c>
      <c r="R510" s="87">
        <f t="shared" si="186"/>
        <v>0</v>
      </c>
      <c r="T510" s="87">
        <v>6665</v>
      </c>
      <c r="V510" s="87">
        <v>0</v>
      </c>
      <c r="X510" s="87">
        <v>0</v>
      </c>
      <c r="Y510" s="88">
        <v>32969518.500000007</v>
      </c>
      <c r="Z510" s="87">
        <v>6873</v>
      </c>
      <c r="AA510" s="87">
        <v>0</v>
      </c>
      <c r="AB510" s="89">
        <f t="shared" si="187"/>
        <v>0</v>
      </c>
      <c r="AC510" s="89">
        <f t="shared" si="188"/>
        <v>6665</v>
      </c>
      <c r="AD510" s="89">
        <f t="shared" si="189"/>
        <v>6873</v>
      </c>
      <c r="AF510" s="90" t="str">
        <f t="shared" si="190"/>
        <v/>
      </c>
      <c r="AG510" s="90">
        <f t="shared" si="191"/>
        <v>6281</v>
      </c>
      <c r="AH510" s="90">
        <f t="shared" si="192"/>
        <v>2017</v>
      </c>
      <c r="AI510" s="90">
        <f t="shared" si="193"/>
        <v>6873</v>
      </c>
      <c r="AJ510" s="90">
        <f t="shared" si="194"/>
        <v>2022</v>
      </c>
      <c r="AK510" s="90" t="str">
        <f t="shared" si="195"/>
        <v/>
      </c>
      <c r="AL510" s="91">
        <f>IF(AK510="Adjust",(_xlfn.XLOOKUP(A510,'Adj factor'!A:A,'Adj factor'!I:I,,0)*AI510),'Master DataSheet (Rev)'!AI510)</f>
        <v>6873</v>
      </c>
      <c r="AM510" s="91">
        <f t="shared" si="196"/>
        <v>6873</v>
      </c>
      <c r="AN510" s="92" t="str">
        <f t="shared" si="197"/>
        <v>Increasing</v>
      </c>
      <c r="AO510" s="93">
        <f>VLOOKUP(B510,'Growthrates source'!A$2:H$49,8,FALSE)</f>
        <v>5.4585812874464734E-2</v>
      </c>
      <c r="AP510" s="93">
        <f>VLOOKUP(B510,'Growthrates source'!A$2:I$49,9,FALSE)</f>
        <v>3.4026707504662967E-2</v>
      </c>
      <c r="AQ510" s="86">
        <f t="shared" si="198"/>
        <v>0</v>
      </c>
      <c r="AR510" s="86">
        <f t="shared" si="199"/>
        <v>0</v>
      </c>
      <c r="AS510" s="94">
        <f t="shared" si="200"/>
        <v>0</v>
      </c>
      <c r="AT510" s="94">
        <f t="shared" si="201"/>
        <v>2.1346607993912161</v>
      </c>
      <c r="AU510" s="94">
        <f t="shared" si="167"/>
        <v>2.0846528286423105</v>
      </c>
      <c r="AV510" s="94">
        <f t="shared" si="168"/>
        <v>2.0846528286423105</v>
      </c>
    </row>
    <row r="511" spans="1:48" ht="14.5" x14ac:dyDescent="0.35">
      <c r="A511" s="85" t="str">
        <f>_xlfn.XLOOKUP(B511,'Country codes &amp; Data sources'!G:G,'Country codes &amp; Data sources'!H:H,,0)</f>
        <v>Mozambique</v>
      </c>
      <c r="B511" s="85" t="s">
        <v>181</v>
      </c>
      <c r="C511" s="86">
        <v>24487631</v>
      </c>
      <c r="D511" s="85" t="s">
        <v>83</v>
      </c>
      <c r="E511" s="87">
        <v>281</v>
      </c>
      <c r="F511" s="88">
        <v>25251730.999999993</v>
      </c>
      <c r="G511" s="87">
        <v>287</v>
      </c>
      <c r="I511" s="87">
        <v>0</v>
      </c>
      <c r="K511" s="87">
        <v>0</v>
      </c>
      <c r="M511" s="87">
        <v>0</v>
      </c>
      <c r="O511" s="87">
        <v>377</v>
      </c>
      <c r="P511" s="88">
        <v>29423878.499999993</v>
      </c>
      <c r="Q511" s="87">
        <v>362</v>
      </c>
      <c r="R511" s="87">
        <f t="shared" si="186"/>
        <v>377</v>
      </c>
      <c r="T511" s="87">
        <v>395</v>
      </c>
      <c r="V511" s="87">
        <v>444</v>
      </c>
      <c r="X511" s="87">
        <v>535</v>
      </c>
      <c r="Y511" s="88">
        <v>32969518.500000007</v>
      </c>
      <c r="Z511" s="111">
        <f>130+423</f>
        <v>553</v>
      </c>
      <c r="AA511" s="87">
        <v>377</v>
      </c>
      <c r="AB511" s="89">
        <f t="shared" si="187"/>
        <v>287</v>
      </c>
      <c r="AC511" s="89">
        <f t="shared" si="188"/>
        <v>395</v>
      </c>
      <c r="AD511" s="89">
        <f t="shared" si="189"/>
        <v>553</v>
      </c>
      <c r="AE511" s="90">
        <f t="shared" si="202"/>
        <v>287</v>
      </c>
      <c r="AF511" s="90">
        <f t="shared" si="190"/>
        <v>2013</v>
      </c>
      <c r="AG511" s="90">
        <f t="shared" si="191"/>
        <v>377</v>
      </c>
      <c r="AH511" s="90">
        <f t="shared" si="192"/>
        <v>2017</v>
      </c>
      <c r="AI511" s="90">
        <f t="shared" si="193"/>
        <v>553</v>
      </c>
      <c r="AJ511" s="90">
        <f t="shared" si="194"/>
        <v>2022</v>
      </c>
      <c r="AK511" s="90" t="str">
        <f t="shared" si="195"/>
        <v/>
      </c>
      <c r="AL511" s="91">
        <f>IF(AK511="Adjust",(_xlfn.XLOOKUP(A511,'Adj factor'!A:A,'Adj factor'!I:I,,0)*AI511),'Master DataSheet (Rev)'!AI511)</f>
        <v>553</v>
      </c>
      <c r="AM511" s="60">
        <f>130+423</f>
        <v>553</v>
      </c>
      <c r="AN511" s="92" t="str">
        <f t="shared" si="197"/>
        <v>Increasing</v>
      </c>
      <c r="AO511" s="93">
        <f>VLOOKUP(B511,'Growthrates source'!A$2:H$49,8,FALSE)</f>
        <v>5.4585812874464734E-2</v>
      </c>
      <c r="AP511" s="93">
        <f>VLOOKUP(B511,'Growthrates source'!A$2:I$49,9,FALSE)</f>
        <v>3.4026707504662967E-2</v>
      </c>
      <c r="AQ511" s="86">
        <f t="shared" si="198"/>
        <v>286.95233535819466</v>
      </c>
      <c r="AR511" s="86">
        <f t="shared" si="199"/>
        <v>417.51702001459364</v>
      </c>
      <c r="AS511" s="94">
        <f t="shared" si="200"/>
        <v>0.11365557474059901</v>
      </c>
      <c r="AT511" s="94">
        <f t="shared" si="201"/>
        <v>0.12812722836657991</v>
      </c>
      <c r="AU511" s="94">
        <f t="shared" si="167"/>
        <v>0.16773068736202498</v>
      </c>
      <c r="AV511" s="94">
        <f t="shared" si="168"/>
        <v>0.16773068736202498</v>
      </c>
    </row>
    <row r="512" spans="1:48" x14ac:dyDescent="0.3">
      <c r="A512" s="85" t="str">
        <f>_xlfn.XLOOKUP(B512,'Country codes &amp; Data sources'!G:G,'Country codes &amp; Data sources'!H:H,,0)</f>
        <v>Mozambique</v>
      </c>
      <c r="B512" s="85" t="s">
        <v>181</v>
      </c>
      <c r="C512" s="86">
        <v>24487632</v>
      </c>
      <c r="D512" s="85" t="s">
        <v>84</v>
      </c>
      <c r="E512" s="87">
        <v>0</v>
      </c>
      <c r="F512" s="88">
        <v>25251730.999999993</v>
      </c>
      <c r="G512" s="87">
        <v>0</v>
      </c>
      <c r="I512" s="87">
        <v>0</v>
      </c>
      <c r="K512" s="87">
        <v>0</v>
      </c>
      <c r="M512" s="87">
        <v>0</v>
      </c>
      <c r="O512" s="87">
        <v>287</v>
      </c>
      <c r="P512" s="88">
        <v>29423878.499999993</v>
      </c>
      <c r="Q512" s="87">
        <v>338</v>
      </c>
      <c r="R512" s="87">
        <f t="shared" si="186"/>
        <v>338</v>
      </c>
      <c r="T512" s="87">
        <v>422</v>
      </c>
      <c r="V512" s="87">
        <v>554</v>
      </c>
      <c r="X512" s="87">
        <v>552</v>
      </c>
      <c r="Y512" s="88">
        <v>32969518.500000007</v>
      </c>
      <c r="Z512" s="87">
        <v>342</v>
      </c>
      <c r="AA512" s="87">
        <v>0</v>
      </c>
      <c r="AB512" s="89">
        <f t="shared" si="187"/>
        <v>0</v>
      </c>
      <c r="AC512" s="89">
        <f t="shared" si="188"/>
        <v>422</v>
      </c>
      <c r="AD512" s="89">
        <f t="shared" si="189"/>
        <v>554</v>
      </c>
      <c r="AF512" s="90" t="str">
        <f t="shared" si="190"/>
        <v/>
      </c>
      <c r="AG512" s="90">
        <f t="shared" si="191"/>
        <v>338</v>
      </c>
      <c r="AH512" s="90">
        <f t="shared" si="192"/>
        <v>2018</v>
      </c>
      <c r="AI512" s="90">
        <f t="shared" si="193"/>
        <v>342</v>
      </c>
      <c r="AJ512" s="90">
        <f t="shared" si="194"/>
        <v>2022</v>
      </c>
      <c r="AK512" s="90" t="str">
        <f t="shared" si="195"/>
        <v/>
      </c>
      <c r="AL512" s="91">
        <f>IF(AK512="Adjust",(_xlfn.XLOOKUP(A512,'Adj factor'!A:A,'Adj factor'!I:I,,0)*AI512),'Master DataSheet (Rev)'!AI512)</f>
        <v>342</v>
      </c>
      <c r="AM512" s="91">
        <f t="shared" si="196"/>
        <v>342</v>
      </c>
      <c r="AN512" s="92" t="str">
        <f t="shared" si="197"/>
        <v>Increasing</v>
      </c>
      <c r="AO512" s="93">
        <f>VLOOKUP(B512,'Growthrates source'!A$2:H$49,8,FALSE)</f>
        <v>5.4585812874464734E-2</v>
      </c>
      <c r="AP512" s="93">
        <f>VLOOKUP(B512,'Growthrates source'!A$2:I$49,9,FALSE)</f>
        <v>3.4026707504662967E-2</v>
      </c>
      <c r="AQ512" s="86">
        <f t="shared" si="198"/>
        <v>0</v>
      </c>
      <c r="AR512" s="86">
        <f t="shared" si="199"/>
        <v>0</v>
      </c>
      <c r="AS512" s="94">
        <f t="shared" si="200"/>
        <v>0</v>
      </c>
      <c r="AT512" s="94">
        <f t="shared" si="201"/>
        <v>0.11487268750107164</v>
      </c>
      <c r="AU512" s="94">
        <f t="shared" si="167"/>
        <v>0.10373217916421798</v>
      </c>
      <c r="AV512" s="94">
        <f t="shared" si="168"/>
        <v>0.10373217916421798</v>
      </c>
    </row>
    <row r="513" spans="1:48" x14ac:dyDescent="0.3">
      <c r="A513" s="85" t="str">
        <f>_xlfn.XLOOKUP(B513,'Country codes &amp; Data sources'!G:G,'Country codes &amp; Data sources'!H:H,,0)</f>
        <v>Mozambique</v>
      </c>
      <c r="B513" s="85" t="s">
        <v>181</v>
      </c>
      <c r="C513" s="86">
        <v>24487633</v>
      </c>
      <c r="D513" s="85" t="s">
        <v>126</v>
      </c>
      <c r="E513" s="87">
        <v>0</v>
      </c>
      <c r="F513" s="88">
        <v>25251730.999999993</v>
      </c>
      <c r="G513" s="87">
        <v>0</v>
      </c>
      <c r="I513" s="87">
        <v>0</v>
      </c>
      <c r="K513" s="87">
        <v>0</v>
      </c>
      <c r="M513" s="87">
        <v>0</v>
      </c>
      <c r="O513" s="87">
        <v>2</v>
      </c>
      <c r="P513" s="88">
        <v>29423878.499999993</v>
      </c>
      <c r="Q513" s="87">
        <v>3</v>
      </c>
      <c r="R513" s="87">
        <f t="shared" si="186"/>
        <v>3</v>
      </c>
      <c r="T513" s="87">
        <v>2</v>
      </c>
      <c r="V513" s="87">
        <v>0</v>
      </c>
      <c r="X513" s="87">
        <v>0</v>
      </c>
      <c r="Y513" s="88">
        <v>32969518.500000007</v>
      </c>
      <c r="Z513" s="87">
        <v>0</v>
      </c>
      <c r="AA513" s="87">
        <v>0</v>
      </c>
      <c r="AB513" s="89">
        <f t="shared" si="187"/>
        <v>0</v>
      </c>
      <c r="AC513" s="89">
        <f t="shared" si="188"/>
        <v>3</v>
      </c>
      <c r="AD513" s="89">
        <f t="shared" si="189"/>
        <v>0</v>
      </c>
      <c r="AF513" s="90" t="str">
        <f t="shared" si="190"/>
        <v/>
      </c>
      <c r="AG513" s="90">
        <f t="shared" si="191"/>
        <v>3</v>
      </c>
      <c r="AH513" s="90">
        <f t="shared" si="192"/>
        <v>2018</v>
      </c>
      <c r="AI513" s="90">
        <f t="shared" si="193"/>
        <v>2</v>
      </c>
      <c r="AJ513" s="90">
        <f t="shared" si="194"/>
        <v>2018</v>
      </c>
      <c r="AK513" s="90" t="str">
        <f t="shared" si="195"/>
        <v>Adjust</v>
      </c>
      <c r="AL513" s="91">
        <f>IF(AK513="Adjust",(_xlfn.XLOOKUP(A513,'Adj factor'!A:A,'Adj factor'!I:I,,0)*AI513),'Master DataSheet (Rev)'!AI513)</f>
        <v>2.2985972886408303</v>
      </c>
      <c r="AM513" s="91">
        <f t="shared" si="196"/>
        <v>3</v>
      </c>
      <c r="AN513" s="92" t="str">
        <f t="shared" si="197"/>
        <v>Decreasing</v>
      </c>
      <c r="AO513" s="93">
        <f>VLOOKUP(B513,'Growthrates source'!A$2:H$49,8,FALSE)</f>
        <v>5.4585812874464734E-2</v>
      </c>
      <c r="AP513" s="93">
        <f>VLOOKUP(B513,'Growthrates source'!A$2:I$49,9,FALSE)</f>
        <v>3.4026707504662967E-2</v>
      </c>
      <c r="AQ513" s="86">
        <f t="shared" si="198"/>
        <v>0</v>
      </c>
      <c r="AR513" s="86">
        <f t="shared" si="199"/>
        <v>0</v>
      </c>
      <c r="AS513" s="94">
        <f t="shared" si="200"/>
        <v>0</v>
      </c>
      <c r="AT513" s="94">
        <f t="shared" si="201"/>
        <v>1.019580066577559E-3</v>
      </c>
      <c r="AU513" s="94">
        <f t="shared" si="167"/>
        <v>6.9718861336747449E-4</v>
      </c>
      <c r="AV513" s="94">
        <f t="shared" si="168"/>
        <v>9.0993139617735069E-4</v>
      </c>
    </row>
    <row r="514" spans="1:48" x14ac:dyDescent="0.3">
      <c r="A514" s="85" t="str">
        <f>_xlfn.XLOOKUP(B514,'Country codes &amp; Data sources'!G:G,'Country codes &amp; Data sources'!H:H,,0)</f>
        <v>Mozambique</v>
      </c>
      <c r="B514" s="85" t="s">
        <v>181</v>
      </c>
      <c r="C514" s="86">
        <v>24487634</v>
      </c>
      <c r="D514" s="85" t="s">
        <v>87</v>
      </c>
      <c r="E514" s="87">
        <v>0</v>
      </c>
      <c r="F514" s="88">
        <v>25251730.999999993</v>
      </c>
      <c r="G514" s="87">
        <v>0</v>
      </c>
      <c r="I514" s="87">
        <v>0</v>
      </c>
      <c r="K514" s="87">
        <v>0</v>
      </c>
      <c r="M514" s="87">
        <v>0</v>
      </c>
      <c r="O514" s="87">
        <v>0</v>
      </c>
      <c r="P514" s="88">
        <v>29423878.499999993</v>
      </c>
      <c r="Q514" s="87">
        <v>0</v>
      </c>
      <c r="R514" s="87">
        <f t="shared" si="186"/>
        <v>0</v>
      </c>
      <c r="T514" s="87">
        <v>0</v>
      </c>
      <c r="V514" s="87">
        <v>0</v>
      </c>
      <c r="X514" s="87">
        <v>0</v>
      </c>
      <c r="Y514" s="88">
        <v>32969518.500000007</v>
      </c>
      <c r="Z514" s="87">
        <v>99942</v>
      </c>
      <c r="AA514" s="87">
        <v>0</v>
      </c>
      <c r="AB514" s="89">
        <f t="shared" si="187"/>
        <v>0</v>
      </c>
      <c r="AC514" s="89">
        <f t="shared" si="188"/>
        <v>0</v>
      </c>
      <c r="AD514" s="89">
        <f t="shared" si="189"/>
        <v>99942</v>
      </c>
      <c r="AF514" s="90" t="str">
        <f t="shared" si="190"/>
        <v/>
      </c>
      <c r="AH514" s="90" t="str">
        <f t="shared" si="192"/>
        <v/>
      </c>
      <c r="AI514" s="90">
        <f t="shared" si="193"/>
        <v>99942</v>
      </c>
      <c r="AJ514" s="90">
        <f t="shared" si="194"/>
        <v>2022</v>
      </c>
      <c r="AK514" s="90" t="str">
        <f t="shared" si="195"/>
        <v/>
      </c>
      <c r="AL514" s="91">
        <f>IF(AK514="Adjust",(_xlfn.XLOOKUP(A514,'Adj factor'!A:A,'Adj factor'!I:I,,0)*AI514),'Master DataSheet (Rev)'!AI514)</f>
        <v>99942</v>
      </c>
      <c r="AM514" s="91">
        <f t="shared" si="196"/>
        <v>99942</v>
      </c>
      <c r="AN514" s="92" t="str">
        <f t="shared" si="197"/>
        <v>Increasing</v>
      </c>
      <c r="AO514" s="93">
        <f>VLOOKUP(B514,'Growthrates source'!A$2:H$49,8,FALSE)</f>
        <v>5.4585812874464734E-2</v>
      </c>
      <c r="AP514" s="93">
        <f>VLOOKUP(B514,'Growthrates source'!A$2:I$49,9,FALSE)</f>
        <v>3.4026707504662967E-2</v>
      </c>
      <c r="AQ514" s="86">
        <f t="shared" si="198"/>
        <v>0</v>
      </c>
      <c r="AR514" s="86">
        <f t="shared" si="199"/>
        <v>0</v>
      </c>
      <c r="AS514" s="94">
        <f t="shared" si="200"/>
        <v>0</v>
      </c>
      <c r="AT514" s="94">
        <f t="shared" si="201"/>
        <v>0</v>
      </c>
      <c r="AU514" s="94">
        <f t="shared" si="167"/>
        <v>30.313454532252262</v>
      </c>
      <c r="AV514" s="94">
        <f t="shared" si="168"/>
        <v>30.313454532252262</v>
      </c>
    </row>
    <row r="515" spans="1:48" x14ac:dyDescent="0.3">
      <c r="A515" s="85" t="str">
        <f>_xlfn.XLOOKUP(B515,'Country codes &amp; Data sources'!G:G,'Country codes &amp; Data sources'!H:H,,0)</f>
        <v>Mauritania</v>
      </c>
      <c r="B515" s="85" t="s">
        <v>158</v>
      </c>
      <c r="C515" s="86">
        <v>3636118.5</v>
      </c>
      <c r="D515" s="85" t="s">
        <v>127</v>
      </c>
      <c r="E515" s="87">
        <v>0</v>
      </c>
      <c r="F515" s="88">
        <v>3742958.9999999981</v>
      </c>
      <c r="G515" s="87">
        <v>0</v>
      </c>
      <c r="I515" s="87">
        <v>0</v>
      </c>
      <c r="K515" s="87">
        <v>0</v>
      </c>
      <c r="M515" s="87">
        <v>0</v>
      </c>
      <c r="O515" s="87">
        <v>0</v>
      </c>
      <c r="P515" s="88">
        <v>4270711.4999999972</v>
      </c>
      <c r="Q515" s="87">
        <v>0</v>
      </c>
      <c r="R515" s="87">
        <f t="shared" si="186"/>
        <v>500</v>
      </c>
      <c r="T515" s="87">
        <v>0</v>
      </c>
      <c r="V515" s="87">
        <v>0</v>
      </c>
      <c r="X515" s="87">
        <v>0</v>
      </c>
      <c r="Y515" s="88">
        <v>4736138.9999999991</v>
      </c>
      <c r="Z515" s="87">
        <v>0</v>
      </c>
      <c r="AA515" s="87">
        <v>500</v>
      </c>
      <c r="AB515" s="89">
        <f t="shared" si="187"/>
        <v>0</v>
      </c>
      <c r="AC515" s="89">
        <f t="shared" si="188"/>
        <v>0</v>
      </c>
      <c r="AD515" s="89">
        <f t="shared" si="189"/>
        <v>0</v>
      </c>
      <c r="AF515" s="90" t="str">
        <f t="shared" si="190"/>
        <v/>
      </c>
      <c r="AG515" s="90">
        <f t="shared" si="191"/>
        <v>500</v>
      </c>
      <c r="AH515" s="90" t="str">
        <f t="shared" si="192"/>
        <v>2018 (triag)</v>
      </c>
      <c r="AI515" s="90">
        <f t="shared" si="193"/>
        <v>500</v>
      </c>
      <c r="AJ515" s="90" t="str">
        <f t="shared" si="194"/>
        <v>2018 (triag)</v>
      </c>
      <c r="AK515" s="90" t="str">
        <f t="shared" si="195"/>
        <v/>
      </c>
      <c r="AL515" s="91">
        <f>IF(AK515="Adjust",(_xlfn.XLOOKUP(A515,'Adj factor'!A:A,'Adj factor'!I:I,,0)*AI515),'Master DataSheet (Rev)'!AI515)</f>
        <v>500</v>
      </c>
      <c r="AM515" s="91">
        <f t="shared" si="196"/>
        <v>500</v>
      </c>
      <c r="AN515" s="92" t="str">
        <f t="shared" si="197"/>
        <v>No change</v>
      </c>
      <c r="AO515" s="93">
        <f>VLOOKUP(B515,'Growthrates source'!A$2:H$49,8,FALSE)</f>
        <v>5.6024318930811168E-2</v>
      </c>
      <c r="AP515" s="93">
        <f>VLOOKUP(B515,'Growthrates source'!A$2:I$49,9,FALSE)</f>
        <v>5.4673730437993617E-2</v>
      </c>
      <c r="AQ515" s="86">
        <f t="shared" si="198"/>
        <v>377.84592389007258</v>
      </c>
      <c r="AR515" s="86">
        <f t="shared" si="199"/>
        <v>589.11964163338166</v>
      </c>
      <c r="AS515" s="94">
        <f t="shared" si="200"/>
        <v>0</v>
      </c>
      <c r="AT515" s="94">
        <f t="shared" si="201"/>
        <v>1.1707651055333528</v>
      </c>
      <c r="AU515" s="94">
        <f t="shared" ref="AU515:AU578" si="203">(AL515*10000)/Y515</f>
        <v>1.0557122584451177</v>
      </c>
      <c r="AV515" s="94">
        <f t="shared" ref="AV515:AV578" si="204">(AM515*10000)/Y515</f>
        <v>1.0557122584451177</v>
      </c>
    </row>
    <row r="516" spans="1:48" x14ac:dyDescent="0.3">
      <c r="A516" s="85" t="str">
        <f>_xlfn.XLOOKUP(B516,'Country codes &amp; Data sources'!G:G,'Country codes &amp; Data sources'!H:H,,0)</f>
        <v>Mauritania</v>
      </c>
      <c r="B516" s="85" t="s">
        <v>158</v>
      </c>
      <c r="C516" s="86">
        <v>3636119.5</v>
      </c>
      <c r="D516" s="85" t="s">
        <v>61</v>
      </c>
      <c r="E516" s="87">
        <v>1172</v>
      </c>
      <c r="F516" s="88">
        <v>3742958.9999999981</v>
      </c>
      <c r="G516" s="87">
        <v>35</v>
      </c>
      <c r="I516" s="87">
        <v>0</v>
      </c>
      <c r="K516" s="87">
        <v>12</v>
      </c>
      <c r="M516" s="87">
        <v>4</v>
      </c>
      <c r="O516" s="87">
        <v>0</v>
      </c>
      <c r="P516" s="88">
        <v>4270711.4999999972</v>
      </c>
      <c r="Q516" s="87">
        <v>4038</v>
      </c>
      <c r="R516" s="87">
        <f t="shared" si="186"/>
        <v>4038</v>
      </c>
      <c r="T516" s="87">
        <v>0</v>
      </c>
      <c r="V516" s="87">
        <v>0</v>
      </c>
      <c r="X516" s="87">
        <v>0</v>
      </c>
      <c r="Y516" s="88">
        <v>4736138.9999999991</v>
      </c>
      <c r="Z516" s="87">
        <v>0</v>
      </c>
      <c r="AA516" s="87">
        <v>20</v>
      </c>
      <c r="AB516" s="89">
        <f t="shared" si="187"/>
        <v>1172</v>
      </c>
      <c r="AC516" s="89">
        <f t="shared" si="188"/>
        <v>4038</v>
      </c>
      <c r="AD516" s="89">
        <f t="shared" si="189"/>
        <v>0</v>
      </c>
      <c r="AE516" s="90">
        <f t="shared" si="202"/>
        <v>35</v>
      </c>
      <c r="AF516" s="90">
        <f t="shared" si="190"/>
        <v>2013</v>
      </c>
      <c r="AG516" s="90">
        <f t="shared" si="191"/>
        <v>4038</v>
      </c>
      <c r="AH516" s="90">
        <f t="shared" si="192"/>
        <v>2018</v>
      </c>
      <c r="AI516" s="90">
        <f t="shared" si="193"/>
        <v>4038</v>
      </c>
      <c r="AJ516" s="90">
        <f t="shared" si="194"/>
        <v>2018</v>
      </c>
      <c r="AK516" s="90" t="str">
        <f t="shared" si="195"/>
        <v/>
      </c>
      <c r="AL516" s="91">
        <f>IF(AK516="Adjust",(_xlfn.XLOOKUP(A516,'Adj factor'!A:A,'Adj factor'!I:I,,0)*AI516),'Master DataSheet (Rev)'!AI516)</f>
        <v>4038</v>
      </c>
      <c r="AM516" s="91">
        <f t="shared" si="196"/>
        <v>4038</v>
      </c>
      <c r="AN516" s="92" t="str">
        <f t="shared" si="197"/>
        <v>No change</v>
      </c>
      <c r="AO516" s="93">
        <f>VLOOKUP(B516,'Growthrates source'!A$2:H$49,8,FALSE)</f>
        <v>5.6024318930811168E-2</v>
      </c>
      <c r="AP516" s="93">
        <f>VLOOKUP(B516,'Growthrates source'!A$2:I$49,9,FALSE)</f>
        <v>5.4673730437993617E-2</v>
      </c>
      <c r="AQ516" s="86">
        <f t="shared" si="198"/>
        <v>15.113836955602903</v>
      </c>
      <c r="AR516" s="86">
        <f t="shared" si="199"/>
        <v>23.564785665335268</v>
      </c>
      <c r="AS516" s="94">
        <f t="shared" si="200"/>
        <v>9.3508905654590441E-2</v>
      </c>
      <c r="AT516" s="94">
        <f t="shared" si="201"/>
        <v>9.4550989922873576</v>
      </c>
      <c r="AU516" s="94">
        <f t="shared" si="203"/>
        <v>8.5259321992027708</v>
      </c>
      <c r="AV516" s="94">
        <f t="shared" si="204"/>
        <v>8.5259321992027708</v>
      </c>
    </row>
    <row r="517" spans="1:48" x14ac:dyDescent="0.3">
      <c r="A517" s="85" t="str">
        <f>_xlfn.XLOOKUP(B517,'Country codes &amp; Data sources'!G:G,'Country codes &amp; Data sources'!H:H,,0)</f>
        <v>Mauritania</v>
      </c>
      <c r="B517" s="85" t="s">
        <v>158</v>
      </c>
      <c r="C517" s="86">
        <v>3636120.5</v>
      </c>
      <c r="D517" s="85" t="s">
        <v>62</v>
      </c>
      <c r="E517" s="87">
        <v>0</v>
      </c>
      <c r="F517" s="88">
        <v>3742958.9999999981</v>
      </c>
      <c r="G517" s="87">
        <v>209</v>
      </c>
      <c r="I517" s="87">
        <v>0</v>
      </c>
      <c r="K517" s="87">
        <v>53</v>
      </c>
      <c r="M517" s="87">
        <v>0</v>
      </c>
      <c r="O517" s="87">
        <v>0</v>
      </c>
      <c r="P517" s="88">
        <v>4270711.4999999972</v>
      </c>
      <c r="Q517" s="87">
        <v>4745</v>
      </c>
      <c r="R517" s="87">
        <f t="shared" si="186"/>
        <v>4745</v>
      </c>
      <c r="T517" s="87">
        <v>0</v>
      </c>
      <c r="V517" s="87">
        <v>0</v>
      </c>
      <c r="X517" s="87">
        <v>0</v>
      </c>
      <c r="Y517" s="88">
        <v>4736138.9999999991</v>
      </c>
      <c r="Z517" s="87">
        <v>0</v>
      </c>
      <c r="AA517" s="87">
        <v>5</v>
      </c>
      <c r="AB517" s="89">
        <f t="shared" si="187"/>
        <v>209</v>
      </c>
      <c r="AC517" s="89">
        <f t="shared" si="188"/>
        <v>4745</v>
      </c>
      <c r="AD517" s="89">
        <f t="shared" si="189"/>
        <v>0</v>
      </c>
      <c r="AE517" s="90">
        <f t="shared" si="202"/>
        <v>209</v>
      </c>
      <c r="AF517" s="90">
        <f t="shared" si="190"/>
        <v>2013</v>
      </c>
      <c r="AG517" s="90">
        <f t="shared" si="191"/>
        <v>4745</v>
      </c>
      <c r="AH517" s="90">
        <f t="shared" si="192"/>
        <v>2018</v>
      </c>
      <c r="AI517" s="90">
        <f t="shared" si="193"/>
        <v>4745</v>
      </c>
      <c r="AJ517" s="90">
        <f t="shared" si="194"/>
        <v>2018</v>
      </c>
      <c r="AK517" s="90" t="str">
        <f t="shared" si="195"/>
        <v/>
      </c>
      <c r="AL517" s="91">
        <f>IF(AK517="Adjust",(_xlfn.XLOOKUP(A517,'Adj factor'!A:A,'Adj factor'!I:I,,0)*AI517),'Master DataSheet (Rev)'!AI517)</f>
        <v>4745</v>
      </c>
      <c r="AM517" s="91">
        <f t="shared" si="196"/>
        <v>4745</v>
      </c>
      <c r="AN517" s="92" t="str">
        <f t="shared" si="197"/>
        <v>No change</v>
      </c>
      <c r="AO517" s="93">
        <f>VLOOKUP(B517,'Growthrates source'!A$2:H$49,8,FALSE)</f>
        <v>5.6024318930811168E-2</v>
      </c>
      <c r="AP517" s="93">
        <f>VLOOKUP(B517,'Growthrates source'!A$2:I$49,9,FALSE)</f>
        <v>5.4673730437993617E-2</v>
      </c>
      <c r="AQ517" s="86">
        <f t="shared" si="198"/>
        <v>3.7784592389007257</v>
      </c>
      <c r="AR517" s="86">
        <f t="shared" si="199"/>
        <v>5.8911964163338171</v>
      </c>
      <c r="AS517" s="94">
        <f t="shared" si="200"/>
        <v>0.55838175090884001</v>
      </c>
      <c r="AT517" s="94">
        <f t="shared" si="201"/>
        <v>11.110560851511517</v>
      </c>
      <c r="AU517" s="94">
        <f t="shared" si="203"/>
        <v>10.018709332644166</v>
      </c>
      <c r="AV517" s="94">
        <f t="shared" si="204"/>
        <v>10.018709332644166</v>
      </c>
    </row>
    <row r="518" spans="1:48" x14ac:dyDescent="0.3">
      <c r="A518" s="85" t="str">
        <f>_xlfn.XLOOKUP(B518,'Country codes &amp; Data sources'!G:G,'Country codes &amp; Data sources'!H:H,,0)</f>
        <v>Mauritania</v>
      </c>
      <c r="B518" s="85" t="s">
        <v>158</v>
      </c>
      <c r="C518" s="86">
        <v>3636121.5</v>
      </c>
      <c r="D518" s="85" t="s">
        <v>203</v>
      </c>
      <c r="E518" s="87">
        <v>0</v>
      </c>
      <c r="F518" s="88">
        <v>3742958.9999999981</v>
      </c>
      <c r="G518" s="87">
        <v>0</v>
      </c>
      <c r="I518" s="87">
        <v>0</v>
      </c>
      <c r="K518" s="87">
        <v>0</v>
      </c>
      <c r="M518" s="87">
        <v>0</v>
      </c>
      <c r="O518" s="87">
        <v>0</v>
      </c>
      <c r="P518" s="88">
        <v>4270711.4999999972</v>
      </c>
      <c r="Q518" s="87">
        <v>0</v>
      </c>
      <c r="R518" s="87">
        <f t="shared" si="186"/>
        <v>38</v>
      </c>
      <c r="T518" s="87">
        <v>0</v>
      </c>
      <c r="V518" s="87">
        <v>0</v>
      </c>
      <c r="X518" s="87">
        <v>0</v>
      </c>
      <c r="Y518" s="88">
        <v>4736138.9999999991</v>
      </c>
      <c r="Z518" s="87">
        <v>0</v>
      </c>
      <c r="AA518" s="87">
        <v>38</v>
      </c>
      <c r="AB518" s="89">
        <f t="shared" si="187"/>
        <v>0</v>
      </c>
      <c r="AC518" s="89">
        <f t="shared" si="188"/>
        <v>0</v>
      </c>
      <c r="AD518" s="89">
        <f t="shared" si="189"/>
        <v>0</v>
      </c>
      <c r="AF518" s="90" t="str">
        <f t="shared" si="190"/>
        <v/>
      </c>
      <c r="AG518" s="90">
        <f t="shared" si="191"/>
        <v>38</v>
      </c>
      <c r="AH518" s="90" t="str">
        <f t="shared" si="192"/>
        <v>2018 (triag)</v>
      </c>
      <c r="AI518" s="90">
        <f t="shared" si="193"/>
        <v>38</v>
      </c>
      <c r="AJ518" s="90" t="str">
        <f t="shared" si="194"/>
        <v>2018 (triag)</v>
      </c>
      <c r="AK518" s="90" t="str">
        <f t="shared" si="195"/>
        <v/>
      </c>
      <c r="AL518" s="91">
        <f>IF(AK518="Adjust",(_xlfn.XLOOKUP(A518,'Adj factor'!A:A,'Adj factor'!I:I,,0)*AI518),'Master DataSheet (Rev)'!AI518)</f>
        <v>38</v>
      </c>
      <c r="AM518" s="91">
        <f t="shared" si="196"/>
        <v>38</v>
      </c>
      <c r="AN518" s="92" t="str">
        <f t="shared" si="197"/>
        <v>No change</v>
      </c>
      <c r="AO518" s="93">
        <f>VLOOKUP(B518,'Growthrates source'!A$2:H$49,8,FALSE)</f>
        <v>5.6024318930811168E-2</v>
      </c>
      <c r="AP518" s="93">
        <f>VLOOKUP(B518,'Growthrates source'!A$2:I$49,9,FALSE)</f>
        <v>5.4673730437993617E-2</v>
      </c>
      <c r="AQ518" s="86">
        <f t="shared" si="198"/>
        <v>28.716290215645515</v>
      </c>
      <c r="AR518" s="86">
        <f t="shared" si="199"/>
        <v>44.773092764137012</v>
      </c>
      <c r="AS518" s="94">
        <f t="shared" si="200"/>
        <v>0</v>
      </c>
      <c r="AT518" s="94">
        <f t="shared" si="201"/>
        <v>8.8978148020534803E-2</v>
      </c>
      <c r="AU518" s="94">
        <f t="shared" si="203"/>
        <v>8.0234131641828937E-2</v>
      </c>
      <c r="AV518" s="94">
        <f t="shared" si="204"/>
        <v>8.0234131641828937E-2</v>
      </c>
    </row>
    <row r="519" spans="1:48" x14ac:dyDescent="0.3">
      <c r="A519" s="85" t="str">
        <f>_xlfn.XLOOKUP(B519,'Country codes &amp; Data sources'!G:G,'Country codes &amp; Data sources'!H:H,,0)</f>
        <v>Mauritania</v>
      </c>
      <c r="B519" s="85" t="s">
        <v>158</v>
      </c>
      <c r="C519" s="86">
        <v>3636122.5</v>
      </c>
      <c r="D519" s="85" t="s">
        <v>204</v>
      </c>
      <c r="E519" s="87">
        <v>0</v>
      </c>
      <c r="F519" s="88">
        <v>3742958.9999999981</v>
      </c>
      <c r="G519" s="87">
        <v>0</v>
      </c>
      <c r="I519" s="87">
        <v>0</v>
      </c>
      <c r="K519" s="87">
        <v>0</v>
      </c>
      <c r="M519" s="87">
        <v>0</v>
      </c>
      <c r="O519" s="87">
        <v>0</v>
      </c>
      <c r="P519" s="88">
        <v>4270711.4999999972</v>
      </c>
      <c r="Q519" s="87">
        <v>0</v>
      </c>
      <c r="R519" s="87">
        <f t="shared" si="186"/>
        <v>20</v>
      </c>
      <c r="T519" s="87">
        <v>0</v>
      </c>
      <c r="V519" s="87">
        <v>0</v>
      </c>
      <c r="X519" s="87">
        <v>0</v>
      </c>
      <c r="Y519" s="88">
        <v>4736138.9999999991</v>
      </c>
      <c r="Z519" s="87">
        <v>0</v>
      </c>
      <c r="AA519" s="87">
        <v>20</v>
      </c>
      <c r="AB519" s="89">
        <f t="shared" si="187"/>
        <v>0</v>
      </c>
      <c r="AC519" s="89">
        <f t="shared" si="188"/>
        <v>0</v>
      </c>
      <c r="AD519" s="89">
        <f t="shared" si="189"/>
        <v>0</v>
      </c>
      <c r="AF519" s="90" t="str">
        <f t="shared" si="190"/>
        <v/>
      </c>
      <c r="AG519" s="90">
        <f t="shared" si="191"/>
        <v>20</v>
      </c>
      <c r="AH519" s="90" t="str">
        <f t="shared" si="192"/>
        <v>2018 (triag)</v>
      </c>
      <c r="AI519" s="90">
        <f t="shared" si="193"/>
        <v>20</v>
      </c>
      <c r="AJ519" s="90" t="str">
        <f t="shared" si="194"/>
        <v>2018 (triag)</v>
      </c>
      <c r="AK519" s="90" t="str">
        <f t="shared" si="195"/>
        <v/>
      </c>
      <c r="AL519" s="91">
        <f>IF(AK519="Adjust",(_xlfn.XLOOKUP(A519,'Adj factor'!A:A,'Adj factor'!I:I,,0)*AI519),'Master DataSheet (Rev)'!AI519)</f>
        <v>20</v>
      </c>
      <c r="AM519" s="91">
        <f t="shared" si="196"/>
        <v>20</v>
      </c>
      <c r="AN519" s="92" t="str">
        <f t="shared" si="197"/>
        <v>No change</v>
      </c>
      <c r="AO519" s="93">
        <f>VLOOKUP(B519,'Growthrates source'!A$2:H$49,8,FALSE)</f>
        <v>5.6024318930811168E-2</v>
      </c>
      <c r="AP519" s="93">
        <f>VLOOKUP(B519,'Growthrates source'!A$2:I$49,9,FALSE)</f>
        <v>5.4673730437993617E-2</v>
      </c>
      <c r="AQ519" s="86">
        <f t="shared" si="198"/>
        <v>15.113836955602903</v>
      </c>
      <c r="AR519" s="86">
        <f t="shared" si="199"/>
        <v>23.564785665335268</v>
      </c>
      <c r="AS519" s="94">
        <f t="shared" si="200"/>
        <v>0</v>
      </c>
      <c r="AT519" s="94">
        <f t="shared" si="201"/>
        <v>4.6830604221334109E-2</v>
      </c>
      <c r="AU519" s="94">
        <f t="shared" si="203"/>
        <v>4.2228490337804708E-2</v>
      </c>
      <c r="AV519" s="94">
        <f t="shared" si="204"/>
        <v>4.2228490337804708E-2</v>
      </c>
    </row>
    <row r="520" spans="1:48" x14ac:dyDescent="0.3">
      <c r="A520" s="85" t="str">
        <f>_xlfn.XLOOKUP(B520,'Country codes &amp; Data sources'!G:G,'Country codes &amp; Data sources'!H:H,,0)</f>
        <v>Mauritania</v>
      </c>
      <c r="B520" s="85" t="s">
        <v>158</v>
      </c>
      <c r="C520" s="86">
        <v>3636123.5</v>
      </c>
      <c r="D520" s="85" t="s">
        <v>205</v>
      </c>
      <c r="E520" s="87">
        <v>0</v>
      </c>
      <c r="F520" s="88">
        <v>3742958.9999999981</v>
      </c>
      <c r="G520" s="87">
        <v>0</v>
      </c>
      <c r="I520" s="87">
        <v>0</v>
      </c>
      <c r="K520" s="87">
        <v>0</v>
      </c>
      <c r="M520" s="87">
        <v>0</v>
      </c>
      <c r="O520" s="87">
        <v>0</v>
      </c>
      <c r="P520" s="88">
        <v>4270711.4999999972</v>
      </c>
      <c r="Q520" s="87">
        <v>0</v>
      </c>
      <c r="R520" s="87">
        <f t="shared" si="186"/>
        <v>9</v>
      </c>
      <c r="T520" s="87">
        <v>0</v>
      </c>
      <c r="V520" s="87">
        <v>0</v>
      </c>
      <c r="X520" s="87">
        <v>0</v>
      </c>
      <c r="Y520" s="88">
        <v>4736138.9999999991</v>
      </c>
      <c r="Z520" s="87">
        <v>0</v>
      </c>
      <c r="AA520" s="87">
        <v>9</v>
      </c>
      <c r="AB520" s="89">
        <f t="shared" si="187"/>
        <v>0</v>
      </c>
      <c r="AC520" s="89">
        <f t="shared" si="188"/>
        <v>0</v>
      </c>
      <c r="AD520" s="89">
        <f t="shared" si="189"/>
        <v>0</v>
      </c>
      <c r="AF520" s="90" t="str">
        <f t="shared" si="190"/>
        <v/>
      </c>
      <c r="AG520" s="90">
        <f t="shared" si="191"/>
        <v>9</v>
      </c>
      <c r="AH520" s="90" t="str">
        <f t="shared" si="192"/>
        <v>2018 (triag)</v>
      </c>
      <c r="AI520" s="90">
        <f t="shared" si="193"/>
        <v>9</v>
      </c>
      <c r="AJ520" s="90" t="str">
        <f t="shared" si="194"/>
        <v>2018 (triag)</v>
      </c>
      <c r="AK520" s="90" t="str">
        <f t="shared" si="195"/>
        <v/>
      </c>
      <c r="AL520" s="91">
        <f>IF(AK520="Adjust",(_xlfn.XLOOKUP(A520,'Adj factor'!A:A,'Adj factor'!I:I,,0)*AI520),'Master DataSheet (Rev)'!AI520)</f>
        <v>9</v>
      </c>
      <c r="AM520" s="91">
        <f t="shared" si="196"/>
        <v>9</v>
      </c>
      <c r="AN520" s="92" t="str">
        <f t="shared" si="197"/>
        <v>No change</v>
      </c>
      <c r="AO520" s="93">
        <f>VLOOKUP(B520,'Growthrates source'!A$2:H$49,8,FALSE)</f>
        <v>5.6024318930811168E-2</v>
      </c>
      <c r="AP520" s="93">
        <f>VLOOKUP(B520,'Growthrates source'!A$2:I$49,9,FALSE)</f>
        <v>5.4673730437993617E-2</v>
      </c>
      <c r="AQ520" s="86">
        <f t="shared" si="198"/>
        <v>6.801226630021306</v>
      </c>
      <c r="AR520" s="86">
        <f t="shared" si="199"/>
        <v>10.60415354940087</v>
      </c>
      <c r="AS520" s="94">
        <f t="shared" si="200"/>
        <v>0</v>
      </c>
      <c r="AT520" s="94">
        <f t="shared" si="201"/>
        <v>2.1073771899600351E-2</v>
      </c>
      <c r="AU520" s="94">
        <f t="shared" si="203"/>
        <v>1.9002820652012118E-2</v>
      </c>
      <c r="AV520" s="94">
        <f t="shared" si="204"/>
        <v>1.9002820652012118E-2</v>
      </c>
    </row>
    <row r="521" spans="1:48" x14ac:dyDescent="0.3">
      <c r="A521" s="85" t="str">
        <f>_xlfn.XLOOKUP(B521,'Country codes &amp; Data sources'!G:G,'Country codes &amp; Data sources'!H:H,,0)</f>
        <v>Mauritania</v>
      </c>
      <c r="B521" s="85" t="s">
        <v>158</v>
      </c>
      <c r="C521" s="86">
        <v>3636124.5</v>
      </c>
      <c r="D521" s="85" t="s">
        <v>133</v>
      </c>
      <c r="E521" s="87">
        <v>0</v>
      </c>
      <c r="F521" s="88">
        <v>3742958.9999999981</v>
      </c>
      <c r="G521" s="87">
        <v>0</v>
      </c>
      <c r="I521" s="87">
        <v>0</v>
      </c>
      <c r="K521" s="87">
        <v>0</v>
      </c>
      <c r="M521" s="87">
        <v>0</v>
      </c>
      <c r="O521" s="87">
        <v>0</v>
      </c>
      <c r="P521" s="88">
        <v>4270711.4999999972</v>
      </c>
      <c r="Q521" s="87">
        <v>0</v>
      </c>
      <c r="R521" s="87">
        <f t="shared" si="186"/>
        <v>326</v>
      </c>
      <c r="T521" s="87">
        <v>0</v>
      </c>
      <c r="V521" s="87">
        <v>0</v>
      </c>
      <c r="X521" s="87">
        <v>0</v>
      </c>
      <c r="Y521" s="88">
        <v>4736138.9999999991</v>
      </c>
      <c r="Z521" s="87">
        <v>0</v>
      </c>
      <c r="AA521" s="87">
        <v>326</v>
      </c>
      <c r="AB521" s="89">
        <f t="shared" si="187"/>
        <v>0</v>
      </c>
      <c r="AC521" s="89">
        <f t="shared" si="188"/>
        <v>0</v>
      </c>
      <c r="AD521" s="89">
        <f t="shared" si="189"/>
        <v>0</v>
      </c>
      <c r="AF521" s="90" t="str">
        <f t="shared" si="190"/>
        <v/>
      </c>
      <c r="AG521" s="90">
        <f t="shared" si="191"/>
        <v>326</v>
      </c>
      <c r="AH521" s="90" t="str">
        <f t="shared" si="192"/>
        <v>2018 (triag)</v>
      </c>
      <c r="AI521" s="90">
        <f t="shared" si="193"/>
        <v>326</v>
      </c>
      <c r="AJ521" s="90" t="str">
        <f t="shared" si="194"/>
        <v>2018 (triag)</v>
      </c>
      <c r="AK521" s="90" t="str">
        <f t="shared" si="195"/>
        <v/>
      </c>
      <c r="AL521" s="91">
        <f>IF(AK521="Adjust",(_xlfn.XLOOKUP(A521,'Adj factor'!A:A,'Adj factor'!I:I,,0)*AI521),'Master DataSheet (Rev)'!AI521)</f>
        <v>326</v>
      </c>
      <c r="AM521" s="91">
        <f t="shared" si="196"/>
        <v>326</v>
      </c>
      <c r="AN521" s="92" t="str">
        <f t="shared" si="197"/>
        <v>No change</v>
      </c>
      <c r="AO521" s="93">
        <f>VLOOKUP(B521,'Growthrates source'!A$2:H$49,8,FALSE)</f>
        <v>5.6024318930811168E-2</v>
      </c>
      <c r="AP521" s="93">
        <f>VLOOKUP(B521,'Growthrates source'!A$2:I$49,9,FALSE)</f>
        <v>5.4673730437993617E-2</v>
      </c>
      <c r="AQ521" s="86">
        <f t="shared" si="198"/>
        <v>246.35554237632732</v>
      </c>
      <c r="AR521" s="86">
        <f t="shared" si="199"/>
        <v>384.1060063449649</v>
      </c>
      <c r="AS521" s="94">
        <f t="shared" si="200"/>
        <v>0</v>
      </c>
      <c r="AT521" s="94">
        <f t="shared" si="201"/>
        <v>0.76333884880774605</v>
      </c>
      <c r="AU521" s="94">
        <f t="shared" si="203"/>
        <v>0.68832439250621669</v>
      </c>
      <c r="AV521" s="94">
        <f t="shared" si="204"/>
        <v>0.68832439250621669</v>
      </c>
    </row>
    <row r="522" spans="1:48" x14ac:dyDescent="0.3">
      <c r="A522" s="85" t="str">
        <f>_xlfn.XLOOKUP(B522,'Country codes &amp; Data sources'!G:G,'Country codes &amp; Data sources'!H:H,,0)</f>
        <v>Mauritania</v>
      </c>
      <c r="B522" s="85" t="s">
        <v>158</v>
      </c>
      <c r="C522" s="86">
        <v>3636125.5</v>
      </c>
      <c r="D522" s="85" t="s">
        <v>206</v>
      </c>
      <c r="E522" s="87">
        <v>0</v>
      </c>
      <c r="F522" s="88">
        <v>3742958.9999999981</v>
      </c>
      <c r="G522" s="87">
        <v>0</v>
      </c>
      <c r="I522" s="87">
        <v>0</v>
      </c>
      <c r="K522" s="87">
        <v>0</v>
      </c>
      <c r="M522" s="87">
        <v>0</v>
      </c>
      <c r="O522" s="87">
        <v>0</v>
      </c>
      <c r="P522" s="88">
        <v>4270711.4999999972</v>
      </c>
      <c r="Q522" s="87">
        <v>0</v>
      </c>
      <c r="R522" s="87">
        <f t="shared" si="186"/>
        <v>0</v>
      </c>
      <c r="T522" s="87">
        <v>0</v>
      </c>
      <c r="V522" s="87">
        <v>0</v>
      </c>
      <c r="X522" s="87">
        <v>0</v>
      </c>
      <c r="Y522" s="88">
        <v>4736138.9999999991</v>
      </c>
      <c r="Z522" s="87">
        <v>0</v>
      </c>
      <c r="AA522" s="87">
        <v>0</v>
      </c>
      <c r="AB522" s="89">
        <f t="shared" si="187"/>
        <v>0</v>
      </c>
      <c r="AC522" s="89">
        <f t="shared" si="188"/>
        <v>0</v>
      </c>
      <c r="AD522" s="89">
        <f t="shared" si="189"/>
        <v>0</v>
      </c>
      <c r="AF522" s="90" t="str">
        <f t="shared" si="190"/>
        <v/>
      </c>
      <c r="AH522" s="90" t="str">
        <f t="shared" si="192"/>
        <v/>
      </c>
      <c r="AI522" s="90">
        <f t="shared" si="193"/>
        <v>0</v>
      </c>
      <c r="AJ522" s="90" t="str">
        <f t="shared" si="194"/>
        <v/>
      </c>
      <c r="AK522" s="90" t="str">
        <f t="shared" si="195"/>
        <v/>
      </c>
      <c r="AL522" s="91"/>
      <c r="AM522" s="91">
        <f t="shared" si="196"/>
        <v>0</v>
      </c>
      <c r="AN522" s="92" t="str">
        <f t="shared" si="197"/>
        <v>No change</v>
      </c>
      <c r="AO522" s="93">
        <f>VLOOKUP(B522,'Growthrates source'!A$2:H$49,8,FALSE)</f>
        <v>5.6024318930811168E-2</v>
      </c>
      <c r="AP522" s="93">
        <f>VLOOKUP(B522,'Growthrates source'!A$2:I$49,9,FALSE)</f>
        <v>5.4673730437993617E-2</v>
      </c>
      <c r="AQ522" s="86">
        <f t="shared" si="198"/>
        <v>0</v>
      </c>
      <c r="AR522" s="86">
        <f t="shared" si="199"/>
        <v>0</v>
      </c>
      <c r="AS522" s="94">
        <f t="shared" si="200"/>
        <v>0</v>
      </c>
      <c r="AT522" s="94">
        <f t="shared" si="201"/>
        <v>0</v>
      </c>
      <c r="AU522" s="94">
        <f t="shared" si="203"/>
        <v>0</v>
      </c>
      <c r="AV522" s="94">
        <f t="shared" si="204"/>
        <v>0</v>
      </c>
    </row>
    <row r="523" spans="1:48" x14ac:dyDescent="0.3">
      <c r="A523" s="85" t="str">
        <f>_xlfn.XLOOKUP(B523,'Country codes &amp; Data sources'!G:G,'Country codes &amp; Data sources'!H:H,,0)</f>
        <v>Mauritania</v>
      </c>
      <c r="B523" s="85" t="s">
        <v>158</v>
      </c>
      <c r="C523" s="86">
        <v>3636126.5</v>
      </c>
      <c r="D523" s="85" t="s">
        <v>136</v>
      </c>
      <c r="E523" s="87">
        <v>0</v>
      </c>
      <c r="F523" s="88">
        <v>3742958.9999999981</v>
      </c>
      <c r="G523" s="87">
        <v>0</v>
      </c>
      <c r="I523" s="87">
        <v>0</v>
      </c>
      <c r="K523" s="87">
        <v>0</v>
      </c>
      <c r="M523" s="87">
        <v>0</v>
      </c>
      <c r="O523" s="87">
        <v>0</v>
      </c>
      <c r="P523" s="88">
        <v>4270711.4999999972</v>
      </c>
      <c r="Q523" s="87">
        <v>0</v>
      </c>
      <c r="R523" s="87">
        <f t="shared" si="186"/>
        <v>0</v>
      </c>
      <c r="T523" s="87">
        <v>0</v>
      </c>
      <c r="V523" s="87">
        <v>0</v>
      </c>
      <c r="X523" s="87">
        <v>0</v>
      </c>
      <c r="Y523" s="88">
        <v>4736138.9999999991</v>
      </c>
      <c r="Z523" s="87">
        <v>0</v>
      </c>
      <c r="AA523" s="87">
        <v>0</v>
      </c>
      <c r="AB523" s="89">
        <f t="shared" si="187"/>
        <v>0</v>
      </c>
      <c r="AC523" s="89">
        <f t="shared" si="188"/>
        <v>0</v>
      </c>
      <c r="AD523" s="89">
        <f t="shared" si="189"/>
        <v>0</v>
      </c>
      <c r="AF523" s="90" t="str">
        <f t="shared" si="190"/>
        <v/>
      </c>
      <c r="AH523" s="90" t="str">
        <f t="shared" si="192"/>
        <v/>
      </c>
      <c r="AI523" s="90">
        <f t="shared" si="193"/>
        <v>0</v>
      </c>
      <c r="AJ523" s="90" t="str">
        <f t="shared" si="194"/>
        <v/>
      </c>
      <c r="AK523" s="90" t="str">
        <f t="shared" si="195"/>
        <v/>
      </c>
      <c r="AL523" s="91"/>
      <c r="AM523" s="91">
        <f t="shared" si="196"/>
        <v>0</v>
      </c>
      <c r="AN523" s="92" t="str">
        <f t="shared" si="197"/>
        <v>No change</v>
      </c>
      <c r="AO523" s="93">
        <f>VLOOKUP(B523,'Growthrates source'!A$2:H$49,8,FALSE)</f>
        <v>5.6024318930811168E-2</v>
      </c>
      <c r="AP523" s="93">
        <f>VLOOKUP(B523,'Growthrates source'!A$2:I$49,9,FALSE)</f>
        <v>5.4673730437993617E-2</v>
      </c>
      <c r="AQ523" s="86">
        <f t="shared" si="198"/>
        <v>0</v>
      </c>
      <c r="AR523" s="86">
        <f t="shared" si="199"/>
        <v>0</v>
      </c>
      <c r="AS523" s="94">
        <f t="shared" si="200"/>
        <v>0</v>
      </c>
      <c r="AT523" s="94">
        <f t="shared" si="201"/>
        <v>0</v>
      </c>
      <c r="AU523" s="94">
        <f t="shared" si="203"/>
        <v>0</v>
      </c>
      <c r="AV523" s="94">
        <f t="shared" si="204"/>
        <v>0</v>
      </c>
    </row>
    <row r="524" spans="1:48" x14ac:dyDescent="0.3">
      <c r="A524" s="85" t="str">
        <f>_xlfn.XLOOKUP(B524,'Country codes &amp; Data sources'!G:G,'Country codes &amp; Data sources'!H:H,,0)</f>
        <v>Mauritania</v>
      </c>
      <c r="B524" s="85" t="s">
        <v>158</v>
      </c>
      <c r="C524" s="86">
        <v>3636127.5</v>
      </c>
      <c r="D524" s="85" t="s">
        <v>207</v>
      </c>
      <c r="E524" s="87">
        <v>0</v>
      </c>
      <c r="F524" s="88">
        <v>3742958.9999999981</v>
      </c>
      <c r="G524" s="87">
        <v>0</v>
      </c>
      <c r="I524" s="87">
        <v>0</v>
      </c>
      <c r="K524" s="87">
        <v>0</v>
      </c>
      <c r="M524" s="87">
        <v>0</v>
      </c>
      <c r="O524" s="87">
        <v>0</v>
      </c>
      <c r="P524" s="88">
        <v>4270711.4999999972</v>
      </c>
      <c r="Q524" s="87">
        <v>0</v>
      </c>
      <c r="R524" s="87">
        <f t="shared" si="186"/>
        <v>15</v>
      </c>
      <c r="T524" s="87">
        <v>0</v>
      </c>
      <c r="V524" s="87">
        <v>0</v>
      </c>
      <c r="X524" s="87">
        <v>0</v>
      </c>
      <c r="Y524" s="88">
        <v>4736138.9999999991</v>
      </c>
      <c r="Z524" s="87">
        <v>0</v>
      </c>
      <c r="AA524" s="87">
        <v>15</v>
      </c>
      <c r="AB524" s="89">
        <f t="shared" si="187"/>
        <v>0</v>
      </c>
      <c r="AC524" s="89">
        <f t="shared" si="188"/>
        <v>0</v>
      </c>
      <c r="AD524" s="89">
        <f t="shared" si="189"/>
        <v>0</v>
      </c>
      <c r="AF524" s="90" t="str">
        <f t="shared" si="190"/>
        <v/>
      </c>
      <c r="AG524" s="90">
        <f t="shared" si="191"/>
        <v>15</v>
      </c>
      <c r="AH524" s="90" t="str">
        <f t="shared" si="192"/>
        <v>2018 (triag)</v>
      </c>
      <c r="AI524" s="90">
        <f t="shared" si="193"/>
        <v>15</v>
      </c>
      <c r="AJ524" s="90" t="str">
        <f t="shared" si="194"/>
        <v>2018 (triag)</v>
      </c>
      <c r="AK524" s="90" t="str">
        <f t="shared" si="195"/>
        <v/>
      </c>
      <c r="AL524" s="91">
        <f>IF(AK524="Adjust",(_xlfn.XLOOKUP(A524,'Adj factor'!A:A,'Adj factor'!I:I,,0)*AI524),'Master DataSheet (Rev)'!AI524)</f>
        <v>15</v>
      </c>
      <c r="AM524" s="91">
        <f t="shared" si="196"/>
        <v>15</v>
      </c>
      <c r="AN524" s="92" t="str">
        <f t="shared" si="197"/>
        <v>No change</v>
      </c>
      <c r="AO524" s="93">
        <f>VLOOKUP(B524,'Growthrates source'!A$2:H$49,8,FALSE)</f>
        <v>5.6024318930811168E-2</v>
      </c>
      <c r="AP524" s="93">
        <f>VLOOKUP(B524,'Growthrates source'!A$2:I$49,9,FALSE)</f>
        <v>5.4673730437993617E-2</v>
      </c>
      <c r="AQ524" s="86">
        <f t="shared" si="198"/>
        <v>11.335377716702178</v>
      </c>
      <c r="AR524" s="86">
        <f t="shared" si="199"/>
        <v>17.673589249001452</v>
      </c>
      <c r="AS524" s="94">
        <f t="shared" si="200"/>
        <v>0</v>
      </c>
      <c r="AT524" s="94">
        <f t="shared" si="201"/>
        <v>3.512295316600058E-2</v>
      </c>
      <c r="AU524" s="94">
        <f t="shared" si="203"/>
        <v>3.1671367753353531E-2</v>
      </c>
      <c r="AV524" s="94">
        <f t="shared" si="204"/>
        <v>3.1671367753353531E-2</v>
      </c>
    </row>
    <row r="525" spans="1:48" x14ac:dyDescent="0.3">
      <c r="A525" s="85" t="str">
        <f>_xlfn.XLOOKUP(B525,'Country codes &amp; Data sources'!G:G,'Country codes &amp; Data sources'!H:H,,0)</f>
        <v>Mauritania</v>
      </c>
      <c r="B525" s="85" t="s">
        <v>158</v>
      </c>
      <c r="C525" s="86">
        <v>3636128.5</v>
      </c>
      <c r="D525" s="85" t="s">
        <v>141</v>
      </c>
      <c r="E525" s="87">
        <v>0</v>
      </c>
      <c r="F525" s="88">
        <v>3742958.9999999981</v>
      </c>
      <c r="G525" s="87">
        <v>0</v>
      </c>
      <c r="I525" s="87">
        <v>0</v>
      </c>
      <c r="K525" s="87">
        <v>0</v>
      </c>
      <c r="M525" s="87">
        <v>0</v>
      </c>
      <c r="O525" s="87">
        <v>0</v>
      </c>
      <c r="P525" s="88">
        <v>4270711.4999999972</v>
      </c>
      <c r="Q525" s="87">
        <v>0</v>
      </c>
      <c r="R525" s="87">
        <f t="shared" si="186"/>
        <v>0</v>
      </c>
      <c r="T525" s="87">
        <v>0</v>
      </c>
      <c r="V525" s="87">
        <v>0</v>
      </c>
      <c r="X525" s="87">
        <v>0</v>
      </c>
      <c r="Y525" s="88">
        <v>4736138.9999999991</v>
      </c>
      <c r="Z525" s="87">
        <v>0</v>
      </c>
      <c r="AA525" s="87">
        <v>0</v>
      </c>
      <c r="AB525" s="89">
        <f t="shared" si="187"/>
        <v>0</v>
      </c>
      <c r="AC525" s="89">
        <f t="shared" si="188"/>
        <v>0</v>
      </c>
      <c r="AD525" s="89">
        <f t="shared" si="189"/>
        <v>0</v>
      </c>
      <c r="AF525" s="90" t="str">
        <f t="shared" si="190"/>
        <v/>
      </c>
      <c r="AH525" s="90" t="str">
        <f t="shared" si="192"/>
        <v/>
      </c>
      <c r="AI525" s="90">
        <f t="shared" si="193"/>
        <v>0</v>
      </c>
      <c r="AJ525" s="90" t="str">
        <f t="shared" si="194"/>
        <v/>
      </c>
      <c r="AK525" s="90" t="str">
        <f t="shared" si="195"/>
        <v/>
      </c>
      <c r="AL525" s="91"/>
      <c r="AM525" s="91">
        <f t="shared" si="196"/>
        <v>0</v>
      </c>
      <c r="AN525" s="92" t="str">
        <f t="shared" si="197"/>
        <v>No change</v>
      </c>
      <c r="AO525" s="93">
        <f>VLOOKUP(B525,'Growthrates source'!A$2:H$49,8,FALSE)</f>
        <v>5.6024318930811168E-2</v>
      </c>
      <c r="AP525" s="93">
        <f>VLOOKUP(B525,'Growthrates source'!A$2:I$49,9,FALSE)</f>
        <v>5.4673730437993617E-2</v>
      </c>
      <c r="AQ525" s="86">
        <f t="shared" si="198"/>
        <v>0</v>
      </c>
      <c r="AR525" s="86">
        <f t="shared" si="199"/>
        <v>0</v>
      </c>
      <c r="AS525" s="94">
        <f t="shared" si="200"/>
        <v>0</v>
      </c>
      <c r="AT525" s="94">
        <f t="shared" si="201"/>
        <v>0</v>
      </c>
      <c r="AU525" s="94">
        <f t="shared" si="203"/>
        <v>0</v>
      </c>
      <c r="AV525" s="94">
        <f t="shared" si="204"/>
        <v>0</v>
      </c>
    </row>
    <row r="526" spans="1:48" x14ac:dyDescent="0.3">
      <c r="A526" s="85" t="str">
        <f>_xlfn.XLOOKUP(B526,'Country codes &amp; Data sources'!G:G,'Country codes &amp; Data sources'!H:H,,0)</f>
        <v>Mauritania</v>
      </c>
      <c r="B526" s="85" t="s">
        <v>158</v>
      </c>
      <c r="C526" s="86">
        <v>3636129.5</v>
      </c>
      <c r="D526" s="85" t="s">
        <v>208</v>
      </c>
      <c r="E526" s="87">
        <v>0</v>
      </c>
      <c r="F526" s="88">
        <v>3742958.9999999981</v>
      </c>
      <c r="G526" s="87">
        <v>0</v>
      </c>
      <c r="I526" s="87">
        <v>0</v>
      </c>
      <c r="K526" s="87">
        <v>0</v>
      </c>
      <c r="M526" s="87">
        <v>0</v>
      </c>
      <c r="O526" s="87">
        <v>0</v>
      </c>
      <c r="P526" s="88">
        <v>4270711.4999999972</v>
      </c>
      <c r="Q526" s="87">
        <v>0</v>
      </c>
      <c r="R526" s="87">
        <f t="shared" si="186"/>
        <v>1532</v>
      </c>
      <c r="T526" s="87">
        <v>0</v>
      </c>
      <c r="V526" s="87">
        <v>0</v>
      </c>
      <c r="X526" s="87">
        <v>0</v>
      </c>
      <c r="Y526" s="88">
        <v>4736138.9999999991</v>
      </c>
      <c r="Z526" s="87">
        <v>0</v>
      </c>
      <c r="AA526" s="87">
        <v>1532</v>
      </c>
      <c r="AB526" s="89">
        <f t="shared" si="187"/>
        <v>0</v>
      </c>
      <c r="AC526" s="89">
        <f t="shared" si="188"/>
        <v>0</v>
      </c>
      <c r="AD526" s="89">
        <f t="shared" si="189"/>
        <v>0</v>
      </c>
      <c r="AF526" s="90" t="str">
        <f t="shared" si="190"/>
        <v/>
      </c>
      <c r="AG526" s="90">
        <f t="shared" si="191"/>
        <v>1532</v>
      </c>
      <c r="AH526" s="90" t="str">
        <f t="shared" si="192"/>
        <v>2018 (triag)</v>
      </c>
      <c r="AI526" s="90">
        <f t="shared" si="193"/>
        <v>1532</v>
      </c>
      <c r="AJ526" s="90" t="str">
        <f t="shared" si="194"/>
        <v>2018 (triag)</v>
      </c>
      <c r="AK526" s="90" t="str">
        <f t="shared" si="195"/>
        <v/>
      </c>
      <c r="AL526" s="91">
        <f>IF(AK526="Adjust",(_xlfn.XLOOKUP(A526,'Adj factor'!A:A,'Adj factor'!I:I,,0)*AI526),'Master DataSheet (Rev)'!AI526)</f>
        <v>1532</v>
      </c>
      <c r="AM526" s="91">
        <f t="shared" si="196"/>
        <v>1532</v>
      </c>
      <c r="AN526" s="92" t="str">
        <f t="shared" si="197"/>
        <v>No change</v>
      </c>
      <c r="AO526" s="93">
        <f>VLOOKUP(B526,'Growthrates source'!A$2:H$49,8,FALSE)</f>
        <v>5.6024318930811168E-2</v>
      </c>
      <c r="AP526" s="93">
        <f>VLOOKUP(B526,'Growthrates source'!A$2:I$49,9,FALSE)</f>
        <v>5.4673730437993617E-2</v>
      </c>
      <c r="AQ526" s="86">
        <f t="shared" si="198"/>
        <v>1157.7199107991823</v>
      </c>
      <c r="AR526" s="86">
        <f t="shared" si="199"/>
        <v>1805.0625819646816</v>
      </c>
      <c r="AS526" s="94">
        <f t="shared" si="200"/>
        <v>0</v>
      </c>
      <c r="AT526" s="94">
        <f t="shared" si="201"/>
        <v>3.587224283354193</v>
      </c>
      <c r="AU526" s="94">
        <f t="shared" si="203"/>
        <v>3.2347023598758406</v>
      </c>
      <c r="AV526" s="94">
        <f t="shared" si="204"/>
        <v>3.2347023598758406</v>
      </c>
    </row>
    <row r="527" spans="1:48" x14ac:dyDescent="0.3">
      <c r="A527" s="85" t="str">
        <f>_xlfn.XLOOKUP(B527,'Country codes &amp; Data sources'!G:G,'Country codes &amp; Data sources'!H:H,,0)</f>
        <v>Mauritania</v>
      </c>
      <c r="B527" s="85" t="s">
        <v>158</v>
      </c>
      <c r="C527" s="86">
        <v>3636130.5</v>
      </c>
      <c r="D527" s="85" t="s">
        <v>209</v>
      </c>
      <c r="E527" s="87">
        <v>0</v>
      </c>
      <c r="F527" s="88">
        <v>3742958.9999999981</v>
      </c>
      <c r="G527" s="87">
        <v>0</v>
      </c>
      <c r="I527" s="87">
        <v>0</v>
      </c>
      <c r="K527" s="87">
        <v>0</v>
      </c>
      <c r="M527" s="87">
        <v>0</v>
      </c>
      <c r="O527" s="87">
        <v>0</v>
      </c>
      <c r="P527" s="88">
        <v>4270711.4999999972</v>
      </c>
      <c r="Q527" s="87">
        <v>0</v>
      </c>
      <c r="R527" s="87">
        <f t="shared" si="186"/>
        <v>4</v>
      </c>
      <c r="T527" s="87">
        <v>0</v>
      </c>
      <c r="V527" s="87">
        <v>0</v>
      </c>
      <c r="X527" s="87">
        <v>0</v>
      </c>
      <c r="Y527" s="88">
        <v>4736138.9999999991</v>
      </c>
      <c r="Z527" s="87">
        <v>0</v>
      </c>
      <c r="AA527" s="87">
        <v>4</v>
      </c>
      <c r="AB527" s="89">
        <f t="shared" si="187"/>
        <v>0</v>
      </c>
      <c r="AC527" s="89">
        <f t="shared" si="188"/>
        <v>0</v>
      </c>
      <c r="AD527" s="89">
        <f t="shared" si="189"/>
        <v>0</v>
      </c>
      <c r="AF527" s="90" t="str">
        <f t="shared" si="190"/>
        <v/>
      </c>
      <c r="AG527" s="90">
        <f t="shared" si="191"/>
        <v>4</v>
      </c>
      <c r="AH527" s="90" t="str">
        <f t="shared" si="192"/>
        <v>2018 (triag)</v>
      </c>
      <c r="AI527" s="90">
        <f t="shared" si="193"/>
        <v>4</v>
      </c>
      <c r="AJ527" s="90" t="str">
        <f t="shared" si="194"/>
        <v>2018 (triag)</v>
      </c>
      <c r="AK527" s="90" t="str">
        <f t="shared" si="195"/>
        <v/>
      </c>
      <c r="AL527" s="91">
        <f>IF(AK527="Adjust",(_xlfn.XLOOKUP(A527,'Adj factor'!A:A,'Adj factor'!I:I,,0)*AI527),'Master DataSheet (Rev)'!AI527)</f>
        <v>4</v>
      </c>
      <c r="AM527" s="91">
        <f t="shared" si="196"/>
        <v>4</v>
      </c>
      <c r="AN527" s="92" t="str">
        <f t="shared" si="197"/>
        <v>No change</v>
      </c>
      <c r="AO527" s="93">
        <f>VLOOKUP(B527,'Growthrates source'!A$2:H$49,8,FALSE)</f>
        <v>5.6024318930811168E-2</v>
      </c>
      <c r="AP527" s="93">
        <f>VLOOKUP(B527,'Growthrates source'!A$2:I$49,9,FALSE)</f>
        <v>5.4673730437993617E-2</v>
      </c>
      <c r="AQ527" s="86">
        <f t="shared" si="198"/>
        <v>3.0227673911205803</v>
      </c>
      <c r="AR527" s="86">
        <f t="shared" si="199"/>
        <v>4.7129571330670537</v>
      </c>
      <c r="AS527" s="94">
        <f t="shared" si="200"/>
        <v>0</v>
      </c>
      <c r="AT527" s="94">
        <f t="shared" si="201"/>
        <v>9.3661208442668217E-3</v>
      </c>
      <c r="AU527" s="94">
        <f t="shared" si="203"/>
        <v>8.445698067560941E-3</v>
      </c>
      <c r="AV527" s="94">
        <f t="shared" si="204"/>
        <v>8.445698067560941E-3</v>
      </c>
    </row>
    <row r="528" spans="1:48" x14ac:dyDescent="0.3">
      <c r="A528" s="85" t="str">
        <f>_xlfn.XLOOKUP(B528,'Country codes &amp; Data sources'!G:G,'Country codes &amp; Data sources'!H:H,,0)</f>
        <v>Mauritania</v>
      </c>
      <c r="B528" s="85" t="s">
        <v>158</v>
      </c>
      <c r="C528" s="86">
        <v>3636131.5</v>
      </c>
      <c r="D528" s="85" t="s">
        <v>134</v>
      </c>
      <c r="E528" s="87">
        <v>0</v>
      </c>
      <c r="F528" s="88">
        <v>3742958.9999999981</v>
      </c>
      <c r="G528" s="87">
        <v>0</v>
      </c>
      <c r="I528" s="87">
        <v>0</v>
      </c>
      <c r="K528" s="87">
        <v>0</v>
      </c>
      <c r="M528" s="87">
        <v>0</v>
      </c>
      <c r="O528" s="87">
        <v>0</v>
      </c>
      <c r="P528" s="88">
        <v>4270711.4999999972</v>
      </c>
      <c r="Q528" s="87">
        <v>0</v>
      </c>
      <c r="R528" s="87">
        <f t="shared" si="186"/>
        <v>122</v>
      </c>
      <c r="T528" s="87">
        <v>0</v>
      </c>
      <c r="V528" s="87">
        <v>0</v>
      </c>
      <c r="X528" s="87">
        <v>0</v>
      </c>
      <c r="Y528" s="88">
        <v>4736138.9999999991</v>
      </c>
      <c r="Z528" s="87">
        <v>0</v>
      </c>
      <c r="AA528" s="87">
        <v>122</v>
      </c>
      <c r="AB528" s="89">
        <f t="shared" si="187"/>
        <v>0</v>
      </c>
      <c r="AC528" s="89">
        <f t="shared" si="188"/>
        <v>0</v>
      </c>
      <c r="AD528" s="89">
        <f t="shared" si="189"/>
        <v>0</v>
      </c>
      <c r="AF528" s="90" t="str">
        <f t="shared" si="190"/>
        <v/>
      </c>
      <c r="AG528" s="90">
        <f t="shared" si="191"/>
        <v>122</v>
      </c>
      <c r="AH528" s="90" t="str">
        <f t="shared" si="192"/>
        <v>2018 (triag)</v>
      </c>
      <c r="AI528" s="90">
        <f t="shared" si="193"/>
        <v>122</v>
      </c>
      <c r="AJ528" s="90" t="str">
        <f t="shared" si="194"/>
        <v>2018 (triag)</v>
      </c>
      <c r="AK528" s="90" t="str">
        <f t="shared" si="195"/>
        <v/>
      </c>
      <c r="AL528" s="91">
        <f>IF(AK528="Adjust",(_xlfn.XLOOKUP(A528,'Adj factor'!A:A,'Adj factor'!I:I,,0)*AI528),'Master DataSheet (Rev)'!AI528)</f>
        <v>122</v>
      </c>
      <c r="AM528" s="91">
        <f t="shared" si="196"/>
        <v>122</v>
      </c>
      <c r="AN528" s="92" t="str">
        <f t="shared" si="197"/>
        <v>No change</v>
      </c>
      <c r="AO528" s="93">
        <f>VLOOKUP(B528,'Growthrates source'!A$2:H$49,8,FALSE)</f>
        <v>5.6024318930811168E-2</v>
      </c>
      <c r="AP528" s="93">
        <f>VLOOKUP(B528,'Growthrates source'!A$2:I$49,9,FALSE)</f>
        <v>5.4673730437993617E-2</v>
      </c>
      <c r="AQ528" s="86">
        <f t="shared" si="198"/>
        <v>92.194405429177706</v>
      </c>
      <c r="AR528" s="86">
        <f t="shared" si="199"/>
        <v>143.74519255854514</v>
      </c>
      <c r="AS528" s="94">
        <f t="shared" si="200"/>
        <v>0</v>
      </c>
      <c r="AT528" s="94">
        <f t="shared" si="201"/>
        <v>0.28566668575013809</v>
      </c>
      <c r="AU528" s="94">
        <f t="shared" si="203"/>
        <v>0.2575937910606087</v>
      </c>
      <c r="AV528" s="94">
        <f t="shared" si="204"/>
        <v>0.2575937910606087</v>
      </c>
    </row>
    <row r="529" spans="1:48" x14ac:dyDescent="0.3">
      <c r="A529" s="85" t="str">
        <f>_xlfn.XLOOKUP(B529,'Country codes &amp; Data sources'!G:G,'Country codes &amp; Data sources'!H:H,,0)</f>
        <v>Mauritania</v>
      </c>
      <c r="B529" s="85" t="s">
        <v>158</v>
      </c>
      <c r="C529" s="86">
        <v>3636132.5</v>
      </c>
      <c r="D529" s="85" t="s">
        <v>142</v>
      </c>
      <c r="E529" s="87">
        <v>0</v>
      </c>
      <c r="F529" s="88">
        <v>3742958.9999999981</v>
      </c>
      <c r="G529" s="87">
        <v>0</v>
      </c>
      <c r="I529" s="87">
        <v>0</v>
      </c>
      <c r="K529" s="87">
        <v>0</v>
      </c>
      <c r="M529" s="87">
        <v>0</v>
      </c>
      <c r="O529" s="87">
        <v>0</v>
      </c>
      <c r="P529" s="88">
        <v>4270711.4999999972</v>
      </c>
      <c r="Q529" s="87">
        <v>0</v>
      </c>
      <c r="R529" s="87">
        <f t="shared" si="186"/>
        <v>65</v>
      </c>
      <c r="T529" s="87">
        <v>0</v>
      </c>
      <c r="V529" s="87">
        <v>0</v>
      </c>
      <c r="X529" s="87">
        <v>0</v>
      </c>
      <c r="Y529" s="88">
        <v>4736138.9999999991</v>
      </c>
      <c r="Z529" s="87">
        <v>0</v>
      </c>
      <c r="AA529" s="87">
        <v>65</v>
      </c>
      <c r="AB529" s="89">
        <f t="shared" si="187"/>
        <v>0</v>
      </c>
      <c r="AC529" s="89">
        <f t="shared" si="188"/>
        <v>0</v>
      </c>
      <c r="AD529" s="89">
        <f t="shared" si="189"/>
        <v>0</v>
      </c>
      <c r="AF529" s="90" t="str">
        <f t="shared" si="190"/>
        <v/>
      </c>
      <c r="AG529" s="90">
        <f t="shared" si="191"/>
        <v>65</v>
      </c>
      <c r="AH529" s="90" t="str">
        <f t="shared" si="192"/>
        <v>2018 (triag)</v>
      </c>
      <c r="AI529" s="90">
        <f t="shared" si="193"/>
        <v>65</v>
      </c>
      <c r="AJ529" s="90" t="str">
        <f t="shared" si="194"/>
        <v>2018 (triag)</v>
      </c>
      <c r="AK529" s="90" t="str">
        <f t="shared" si="195"/>
        <v/>
      </c>
      <c r="AL529" s="91">
        <f>IF(AK529="Adjust",(_xlfn.XLOOKUP(A529,'Adj factor'!A:A,'Adj factor'!I:I,,0)*AI529),'Master DataSheet (Rev)'!AI529)</f>
        <v>65</v>
      </c>
      <c r="AM529" s="91">
        <f t="shared" si="196"/>
        <v>65</v>
      </c>
      <c r="AN529" s="92" t="str">
        <f t="shared" si="197"/>
        <v>No change</v>
      </c>
      <c r="AO529" s="93">
        <f>VLOOKUP(B529,'Growthrates source'!A$2:H$49,8,FALSE)</f>
        <v>5.6024318930811168E-2</v>
      </c>
      <c r="AP529" s="93">
        <f>VLOOKUP(B529,'Growthrates source'!A$2:I$49,9,FALSE)</f>
        <v>5.4673730437993617E-2</v>
      </c>
      <c r="AQ529" s="86">
        <f t="shared" si="198"/>
        <v>49.119970105709434</v>
      </c>
      <c r="AR529" s="86">
        <f t="shared" si="199"/>
        <v>76.585553412339621</v>
      </c>
      <c r="AS529" s="94">
        <f t="shared" si="200"/>
        <v>0</v>
      </c>
      <c r="AT529" s="94">
        <f t="shared" si="201"/>
        <v>0.15219946371933585</v>
      </c>
      <c r="AU529" s="94">
        <f t="shared" si="203"/>
        <v>0.13724259359786528</v>
      </c>
      <c r="AV529" s="94">
        <f t="shared" si="204"/>
        <v>0.13724259359786528</v>
      </c>
    </row>
    <row r="530" spans="1:48" x14ac:dyDescent="0.3">
      <c r="A530" s="85" t="str">
        <f>_xlfn.XLOOKUP(B530,'Country codes &amp; Data sources'!G:G,'Country codes &amp; Data sources'!H:H,,0)</f>
        <v>Mauritania</v>
      </c>
      <c r="B530" s="85" t="s">
        <v>158</v>
      </c>
      <c r="C530" s="86">
        <v>3636133.5</v>
      </c>
      <c r="D530" s="85" t="s">
        <v>83</v>
      </c>
      <c r="E530" s="87">
        <v>0</v>
      </c>
      <c r="F530" s="88">
        <v>3742958.9999999981</v>
      </c>
      <c r="G530" s="87">
        <v>0</v>
      </c>
      <c r="I530" s="87">
        <v>0</v>
      </c>
      <c r="K530" s="87">
        <v>0</v>
      </c>
      <c r="M530" s="87">
        <v>0</v>
      </c>
      <c r="O530" s="87">
        <v>0</v>
      </c>
      <c r="P530" s="88">
        <v>4270711.4999999972</v>
      </c>
      <c r="Q530" s="87">
        <v>0</v>
      </c>
      <c r="R530" s="87">
        <f t="shared" si="186"/>
        <v>7</v>
      </c>
      <c r="T530" s="87">
        <v>0</v>
      </c>
      <c r="V530" s="87">
        <v>0</v>
      </c>
      <c r="X530" s="87">
        <v>0</v>
      </c>
      <c r="Y530" s="88">
        <v>4736138.9999999991</v>
      </c>
      <c r="Z530" s="87">
        <v>0</v>
      </c>
      <c r="AA530" s="87">
        <v>7</v>
      </c>
      <c r="AB530" s="89">
        <f t="shared" si="187"/>
        <v>0</v>
      </c>
      <c r="AC530" s="89">
        <f t="shared" si="188"/>
        <v>0</v>
      </c>
      <c r="AD530" s="89">
        <f t="shared" si="189"/>
        <v>0</v>
      </c>
      <c r="AF530" s="90" t="str">
        <f t="shared" si="190"/>
        <v/>
      </c>
      <c r="AG530" s="90">
        <f t="shared" si="191"/>
        <v>7</v>
      </c>
      <c r="AH530" s="90" t="str">
        <f t="shared" si="192"/>
        <v>2018 (triag)</v>
      </c>
      <c r="AI530" s="90">
        <f t="shared" si="193"/>
        <v>7</v>
      </c>
      <c r="AJ530" s="90" t="str">
        <f t="shared" si="194"/>
        <v>2018 (triag)</v>
      </c>
      <c r="AK530" s="90" t="str">
        <f t="shared" si="195"/>
        <v/>
      </c>
      <c r="AL530" s="91">
        <f>IF(AK530="Adjust",(_xlfn.XLOOKUP(A530,'Adj factor'!A:A,'Adj factor'!I:I,,0)*AI530),'Master DataSheet (Rev)'!AI530)</f>
        <v>7</v>
      </c>
      <c r="AM530" s="91">
        <f t="shared" si="196"/>
        <v>7</v>
      </c>
      <c r="AN530" s="92" t="str">
        <f t="shared" si="197"/>
        <v>No change</v>
      </c>
      <c r="AO530" s="93">
        <f>VLOOKUP(B530,'Growthrates source'!A$2:H$49,8,FALSE)</f>
        <v>5.6024318930811168E-2</v>
      </c>
      <c r="AP530" s="93">
        <f>VLOOKUP(B530,'Growthrates source'!A$2:I$49,9,FALSE)</f>
        <v>5.4673730437993617E-2</v>
      </c>
      <c r="AQ530" s="86">
        <f t="shared" si="198"/>
        <v>5.2898429344610163</v>
      </c>
      <c r="AR530" s="86">
        <f t="shared" si="199"/>
        <v>8.2476749828673448</v>
      </c>
      <c r="AS530" s="94">
        <f t="shared" si="200"/>
        <v>0</v>
      </c>
      <c r="AT530" s="94">
        <f t="shared" si="201"/>
        <v>1.639071147746694E-2</v>
      </c>
      <c r="AU530" s="94">
        <f t="shared" si="203"/>
        <v>1.4779971618231648E-2</v>
      </c>
      <c r="AV530" s="94">
        <f t="shared" si="204"/>
        <v>1.4779971618231648E-2</v>
      </c>
    </row>
    <row r="531" spans="1:48" x14ac:dyDescent="0.3">
      <c r="A531" s="85" t="str">
        <f>_xlfn.XLOOKUP(B531,'Country codes &amp; Data sources'!G:G,'Country codes &amp; Data sources'!H:H,,0)</f>
        <v>Mauritania</v>
      </c>
      <c r="B531" s="85" t="s">
        <v>158</v>
      </c>
      <c r="C531" s="86">
        <v>3636134.5</v>
      </c>
      <c r="D531" s="85" t="s">
        <v>84</v>
      </c>
      <c r="E531" s="87">
        <v>0</v>
      </c>
      <c r="F531" s="88">
        <v>3742958.9999999981</v>
      </c>
      <c r="G531" s="87">
        <v>0</v>
      </c>
      <c r="I531" s="87">
        <v>0</v>
      </c>
      <c r="K531" s="87">
        <v>0</v>
      </c>
      <c r="M531" s="87">
        <v>0</v>
      </c>
      <c r="O531" s="87">
        <v>0</v>
      </c>
      <c r="P531" s="88">
        <v>4270711.4999999972</v>
      </c>
      <c r="Q531" s="87">
        <v>0</v>
      </c>
      <c r="R531" s="87">
        <f t="shared" si="186"/>
        <v>0</v>
      </c>
      <c r="T531" s="87">
        <v>0</v>
      </c>
      <c r="V531" s="87">
        <v>0</v>
      </c>
      <c r="X531" s="87">
        <v>0</v>
      </c>
      <c r="Y531" s="88">
        <v>4736138.9999999991</v>
      </c>
      <c r="Z531" s="87">
        <v>0</v>
      </c>
      <c r="AA531" s="87">
        <v>0</v>
      </c>
      <c r="AB531" s="89">
        <f t="shared" si="187"/>
        <v>0</v>
      </c>
      <c r="AC531" s="89">
        <f t="shared" si="188"/>
        <v>0</v>
      </c>
      <c r="AD531" s="89">
        <f t="shared" si="189"/>
        <v>0</v>
      </c>
      <c r="AF531" s="90" t="str">
        <f t="shared" si="190"/>
        <v/>
      </c>
      <c r="AH531" s="90" t="str">
        <f t="shared" si="192"/>
        <v/>
      </c>
      <c r="AI531" s="90">
        <f t="shared" si="193"/>
        <v>0</v>
      </c>
      <c r="AJ531" s="90" t="str">
        <f t="shared" si="194"/>
        <v/>
      </c>
      <c r="AK531" s="90" t="str">
        <f t="shared" si="195"/>
        <v/>
      </c>
      <c r="AL531" s="91"/>
      <c r="AM531" s="91">
        <f t="shared" si="196"/>
        <v>0</v>
      </c>
      <c r="AN531" s="92" t="str">
        <f t="shared" si="197"/>
        <v>No change</v>
      </c>
      <c r="AO531" s="93">
        <f>VLOOKUP(B531,'Growthrates source'!A$2:H$49,8,FALSE)</f>
        <v>5.6024318930811168E-2</v>
      </c>
      <c r="AP531" s="93">
        <f>VLOOKUP(B531,'Growthrates source'!A$2:I$49,9,FALSE)</f>
        <v>5.4673730437993617E-2</v>
      </c>
      <c r="AQ531" s="86">
        <f t="shared" si="198"/>
        <v>0</v>
      </c>
      <c r="AR531" s="86">
        <f t="shared" si="199"/>
        <v>0</v>
      </c>
      <c r="AS531" s="94">
        <f t="shared" si="200"/>
        <v>0</v>
      </c>
      <c r="AT531" s="94">
        <f t="shared" si="201"/>
        <v>0</v>
      </c>
      <c r="AU531" s="94">
        <f t="shared" si="203"/>
        <v>0</v>
      </c>
      <c r="AV531" s="94">
        <f t="shared" si="204"/>
        <v>0</v>
      </c>
    </row>
    <row r="532" spans="1:48" x14ac:dyDescent="0.3">
      <c r="A532" s="85" t="str">
        <f>_xlfn.XLOOKUP(B532,'Country codes &amp; Data sources'!G:G,'Country codes &amp; Data sources'!H:H,,0)</f>
        <v>Mauritania</v>
      </c>
      <c r="B532" s="85" t="s">
        <v>158</v>
      </c>
      <c r="C532" s="86">
        <v>3636135.5</v>
      </c>
      <c r="D532" s="85" t="s">
        <v>126</v>
      </c>
      <c r="E532" s="87">
        <v>0</v>
      </c>
      <c r="F532" s="88">
        <v>3742958.9999999981</v>
      </c>
      <c r="G532" s="87">
        <v>0</v>
      </c>
      <c r="I532" s="87">
        <v>0</v>
      </c>
      <c r="K532" s="87">
        <v>0</v>
      </c>
      <c r="M532" s="87">
        <v>0</v>
      </c>
      <c r="O532" s="87">
        <v>0</v>
      </c>
      <c r="P532" s="88">
        <v>4270711.4999999972</v>
      </c>
      <c r="Q532" s="87">
        <v>0</v>
      </c>
      <c r="R532" s="87">
        <f t="shared" si="186"/>
        <v>0</v>
      </c>
      <c r="T532" s="87">
        <v>0</v>
      </c>
      <c r="V532" s="87">
        <v>0</v>
      </c>
      <c r="X532" s="87">
        <v>0</v>
      </c>
      <c r="Y532" s="88">
        <v>4736138.9999999991</v>
      </c>
      <c r="Z532" s="87">
        <v>0</v>
      </c>
      <c r="AA532" s="87">
        <v>0</v>
      </c>
      <c r="AB532" s="89">
        <f t="shared" si="187"/>
        <v>0</v>
      </c>
      <c r="AC532" s="89">
        <f t="shared" si="188"/>
        <v>0</v>
      </c>
      <c r="AD532" s="89">
        <f t="shared" si="189"/>
        <v>0</v>
      </c>
      <c r="AF532" s="90" t="str">
        <f t="shared" si="190"/>
        <v/>
      </c>
      <c r="AH532" s="90" t="str">
        <f t="shared" si="192"/>
        <v/>
      </c>
      <c r="AI532" s="90">
        <f t="shared" si="193"/>
        <v>0</v>
      </c>
      <c r="AJ532" s="90" t="str">
        <f t="shared" si="194"/>
        <v/>
      </c>
      <c r="AK532" s="90" t="str">
        <f t="shared" si="195"/>
        <v/>
      </c>
      <c r="AL532" s="91"/>
      <c r="AM532" s="91">
        <f t="shared" si="196"/>
        <v>0</v>
      </c>
      <c r="AN532" s="92" t="str">
        <f t="shared" si="197"/>
        <v>No change</v>
      </c>
      <c r="AO532" s="93">
        <f>VLOOKUP(B532,'Growthrates source'!A$2:H$49,8,FALSE)</f>
        <v>5.6024318930811168E-2</v>
      </c>
      <c r="AP532" s="93">
        <f>VLOOKUP(B532,'Growthrates source'!A$2:I$49,9,FALSE)</f>
        <v>5.4673730437993617E-2</v>
      </c>
      <c r="AQ532" s="86">
        <f t="shared" si="198"/>
        <v>0</v>
      </c>
      <c r="AR532" s="86">
        <f t="shared" si="199"/>
        <v>0</v>
      </c>
      <c r="AS532" s="94">
        <f t="shared" si="200"/>
        <v>0</v>
      </c>
      <c r="AT532" s="94">
        <f t="shared" si="201"/>
        <v>0</v>
      </c>
      <c r="AU532" s="94">
        <f t="shared" si="203"/>
        <v>0</v>
      </c>
      <c r="AV532" s="94">
        <f t="shared" si="204"/>
        <v>0</v>
      </c>
    </row>
    <row r="533" spans="1:48" x14ac:dyDescent="0.3">
      <c r="A533" s="85" t="str">
        <f>_xlfn.XLOOKUP(B533,'Country codes &amp; Data sources'!G:G,'Country codes &amp; Data sources'!H:H,,0)</f>
        <v>Mauritania</v>
      </c>
      <c r="B533" s="85" t="s">
        <v>158</v>
      </c>
      <c r="C533" s="86">
        <v>3636136.5</v>
      </c>
      <c r="D533" s="85" t="s">
        <v>87</v>
      </c>
      <c r="E533" s="87">
        <v>0</v>
      </c>
      <c r="F533" s="88">
        <v>3742958.9999999981</v>
      </c>
      <c r="G533" s="87">
        <v>0</v>
      </c>
      <c r="I533" s="87">
        <v>0</v>
      </c>
      <c r="K533" s="87">
        <v>0</v>
      </c>
      <c r="M533" s="87">
        <v>0</v>
      </c>
      <c r="O533" s="87">
        <v>0</v>
      </c>
      <c r="P533" s="88">
        <v>4270711.4999999972</v>
      </c>
      <c r="Q533" s="87">
        <v>0</v>
      </c>
      <c r="R533" s="87">
        <f t="shared" si="186"/>
        <v>42</v>
      </c>
      <c r="T533" s="87">
        <v>0</v>
      </c>
      <c r="V533" s="87">
        <v>0</v>
      </c>
      <c r="X533" s="87">
        <v>0</v>
      </c>
      <c r="Y533" s="88">
        <v>4736138.9999999991</v>
      </c>
      <c r="Z533" s="87">
        <v>0</v>
      </c>
      <c r="AA533" s="87">
        <v>42</v>
      </c>
      <c r="AB533" s="89">
        <f t="shared" si="187"/>
        <v>0</v>
      </c>
      <c r="AC533" s="89">
        <f t="shared" si="188"/>
        <v>0</v>
      </c>
      <c r="AD533" s="89">
        <f t="shared" si="189"/>
        <v>0</v>
      </c>
      <c r="AF533" s="90" t="str">
        <f t="shared" si="190"/>
        <v/>
      </c>
      <c r="AG533" s="90">
        <f t="shared" si="191"/>
        <v>42</v>
      </c>
      <c r="AH533" s="90" t="str">
        <f t="shared" si="192"/>
        <v>2018 (triag)</v>
      </c>
      <c r="AI533" s="90">
        <f t="shared" si="193"/>
        <v>42</v>
      </c>
      <c r="AJ533" s="90" t="str">
        <f t="shared" si="194"/>
        <v>2018 (triag)</v>
      </c>
      <c r="AK533" s="90" t="str">
        <f t="shared" si="195"/>
        <v/>
      </c>
      <c r="AL533" s="91">
        <f>IF(AK533="Adjust",(_xlfn.XLOOKUP(A533,'Adj factor'!A:A,'Adj factor'!I:I,,0)*AI533),'Master DataSheet (Rev)'!AI533)</f>
        <v>42</v>
      </c>
      <c r="AM533" s="91">
        <f t="shared" si="196"/>
        <v>42</v>
      </c>
      <c r="AN533" s="92" t="str">
        <f t="shared" si="197"/>
        <v>No change</v>
      </c>
      <c r="AO533" s="93">
        <f>VLOOKUP(B533,'Growthrates source'!A$2:H$49,8,FALSE)</f>
        <v>5.6024318930811168E-2</v>
      </c>
      <c r="AP533" s="93">
        <f>VLOOKUP(B533,'Growthrates source'!A$2:I$49,9,FALSE)</f>
        <v>5.4673730437993617E-2</v>
      </c>
      <c r="AQ533" s="86">
        <f t="shared" si="198"/>
        <v>31.739057606766096</v>
      </c>
      <c r="AR533" s="86">
        <f t="shared" si="199"/>
        <v>49.486049897204062</v>
      </c>
      <c r="AS533" s="94">
        <f t="shared" si="200"/>
        <v>0</v>
      </c>
      <c r="AT533" s="94">
        <f t="shared" si="201"/>
        <v>9.8344268864801632E-2</v>
      </c>
      <c r="AU533" s="94">
        <f t="shared" si="203"/>
        <v>8.8679829709389882E-2</v>
      </c>
      <c r="AV533" s="94">
        <f t="shared" si="204"/>
        <v>8.8679829709389882E-2</v>
      </c>
    </row>
    <row r="534" spans="1:48" x14ac:dyDescent="0.3">
      <c r="A534" s="85" t="str">
        <f>_xlfn.XLOOKUP(B534,'Country codes &amp; Data sources'!G:G,'Country codes &amp; Data sources'!H:H,,0)</f>
        <v>Mauritius</v>
      </c>
      <c r="B534" s="85" t="s">
        <v>180</v>
      </c>
      <c r="C534" s="86">
        <v>1288749.5</v>
      </c>
      <c r="D534" s="85" t="s">
        <v>127</v>
      </c>
      <c r="E534" s="87">
        <v>0</v>
      </c>
      <c r="F534" s="88">
        <v>1290691.4999999998</v>
      </c>
      <c r="G534" s="87">
        <v>0</v>
      </c>
      <c r="I534" s="87">
        <v>0</v>
      </c>
      <c r="K534" s="87">
        <v>0</v>
      </c>
      <c r="M534" s="87">
        <v>0</v>
      </c>
      <c r="O534" s="87">
        <v>0</v>
      </c>
      <c r="P534" s="88">
        <v>1295381.5000000005</v>
      </c>
      <c r="Q534" s="87">
        <v>180</v>
      </c>
      <c r="R534" s="87">
        <f t="shared" si="186"/>
        <v>180</v>
      </c>
      <c r="T534" s="87">
        <v>0</v>
      </c>
      <c r="V534" s="87">
        <v>163</v>
      </c>
      <c r="X534" s="87">
        <v>0</v>
      </c>
      <c r="Y534" s="88">
        <v>1299468.9999999986</v>
      </c>
      <c r="Z534" s="87">
        <v>916</v>
      </c>
      <c r="AA534" s="87">
        <v>180</v>
      </c>
      <c r="AB534" s="89">
        <f t="shared" si="187"/>
        <v>0</v>
      </c>
      <c r="AC534" s="89">
        <f t="shared" si="188"/>
        <v>180</v>
      </c>
      <c r="AD534" s="89">
        <f t="shared" si="189"/>
        <v>916</v>
      </c>
      <c r="AF534" s="90" t="str">
        <f t="shared" si="190"/>
        <v/>
      </c>
      <c r="AG534" s="90">
        <f t="shared" si="191"/>
        <v>180</v>
      </c>
      <c r="AH534" s="90">
        <f t="shared" si="192"/>
        <v>2018</v>
      </c>
      <c r="AI534" s="90">
        <f t="shared" si="193"/>
        <v>916</v>
      </c>
      <c r="AJ534" s="90">
        <f t="shared" si="194"/>
        <v>2022</v>
      </c>
      <c r="AK534" s="90" t="str">
        <f t="shared" si="195"/>
        <v/>
      </c>
      <c r="AL534" s="91">
        <f>IF(AK534="Adjust",(_xlfn.XLOOKUP(A534,'Adj factor'!A:A,'Adj factor'!I:I,,0)*AI534),'Master DataSheet (Rev)'!AI534)</f>
        <v>916</v>
      </c>
      <c r="AM534" s="91">
        <f t="shared" si="196"/>
        <v>916</v>
      </c>
      <c r="AN534" s="92" t="str">
        <f t="shared" si="197"/>
        <v>Increasing</v>
      </c>
      <c r="AO534" s="93">
        <f>VLOOKUP(B534,'Growthrates source'!A$2:H$49,8,FALSE)</f>
        <v>7.4156136535132866E-2</v>
      </c>
      <c r="AP534" s="93">
        <f>VLOOKUP(B534,'Growthrates source'!A$2:I$49,9,FALSE)</f>
        <v>5.4673730437993617E-2</v>
      </c>
      <c r="AQ534" s="86">
        <f t="shared" si="198"/>
        <v>124.23515341437476</v>
      </c>
      <c r="AR534" s="86">
        <f t="shared" si="199"/>
        <v>212.08307098801743</v>
      </c>
      <c r="AS534" s="94">
        <f t="shared" si="200"/>
        <v>0</v>
      </c>
      <c r="AT534" s="94">
        <f t="shared" si="201"/>
        <v>1.3895520354428401</v>
      </c>
      <c r="AU534" s="94">
        <f t="shared" si="203"/>
        <v>7.0490331050606132</v>
      </c>
      <c r="AV534" s="94">
        <f t="shared" si="204"/>
        <v>7.0490331050606132</v>
      </c>
    </row>
    <row r="535" spans="1:48" x14ac:dyDescent="0.3">
      <c r="A535" s="85" t="str">
        <f>_xlfn.XLOOKUP(B535,'Country codes &amp; Data sources'!G:G,'Country codes &amp; Data sources'!H:H,,0)</f>
        <v>Mauritius</v>
      </c>
      <c r="B535" s="85" t="s">
        <v>180</v>
      </c>
      <c r="C535" s="86">
        <v>1288750.5</v>
      </c>
      <c r="D535" s="85" t="s">
        <v>61</v>
      </c>
      <c r="E535" s="87">
        <v>0</v>
      </c>
      <c r="F535" s="88">
        <v>1290691.4999999998</v>
      </c>
      <c r="G535" s="87">
        <v>0</v>
      </c>
      <c r="I535" s="87">
        <v>0</v>
      </c>
      <c r="K535" s="87">
        <v>0</v>
      </c>
      <c r="M535" s="87">
        <v>202</v>
      </c>
      <c r="O535" s="87">
        <v>61</v>
      </c>
      <c r="P535" s="88">
        <v>1295381.5000000005</v>
      </c>
      <c r="Q535" s="87">
        <v>0</v>
      </c>
      <c r="R535" s="87">
        <f t="shared" si="186"/>
        <v>0</v>
      </c>
      <c r="T535" s="87">
        <v>1</v>
      </c>
      <c r="V535" s="87">
        <v>0</v>
      </c>
      <c r="X535" s="87">
        <v>0</v>
      </c>
      <c r="Y535" s="88">
        <v>1299468.9999999986</v>
      </c>
      <c r="Z535" s="87">
        <v>0</v>
      </c>
      <c r="AA535" s="87">
        <v>0</v>
      </c>
      <c r="AB535" s="89">
        <f t="shared" si="187"/>
        <v>0</v>
      </c>
      <c r="AC535" s="89">
        <f t="shared" si="188"/>
        <v>202</v>
      </c>
      <c r="AD535" s="89">
        <f t="shared" si="189"/>
        <v>0</v>
      </c>
      <c r="AF535" s="90" t="str">
        <f t="shared" si="190"/>
        <v/>
      </c>
      <c r="AG535" s="90">
        <f t="shared" si="191"/>
        <v>61</v>
      </c>
      <c r="AH535" s="90">
        <f t="shared" si="192"/>
        <v>2017</v>
      </c>
      <c r="AI535" s="90">
        <f t="shared" si="193"/>
        <v>1</v>
      </c>
      <c r="AJ535" s="90">
        <f t="shared" si="194"/>
        <v>2017</v>
      </c>
      <c r="AK535" s="90" t="str">
        <f t="shared" si="195"/>
        <v>Adjust</v>
      </c>
      <c r="AL535" s="91">
        <f>IF(AK535="Adjust",(_xlfn.XLOOKUP(A535,'Adj factor'!A:A,'Adj factor'!I:I,,0)*AI535),'Master DataSheet (Rev)'!AI535)</f>
        <v>1.1791996777225728</v>
      </c>
      <c r="AM535" s="91">
        <f t="shared" si="196"/>
        <v>61</v>
      </c>
      <c r="AN535" s="92" t="str">
        <f t="shared" si="197"/>
        <v>Decreasing</v>
      </c>
      <c r="AO535" s="93">
        <f>VLOOKUP(B535,'Growthrates source'!A$2:H$49,8,FALSE)</f>
        <v>7.4156136535132866E-2</v>
      </c>
      <c r="AP535" s="93">
        <f>VLOOKUP(B535,'Growthrates source'!A$2:I$49,9,FALSE)</f>
        <v>5.4673730437993617E-2</v>
      </c>
      <c r="AQ535" s="86">
        <f t="shared" si="198"/>
        <v>0</v>
      </c>
      <c r="AR535" s="86">
        <f t="shared" si="199"/>
        <v>0</v>
      </c>
      <c r="AS535" s="94">
        <f t="shared" si="200"/>
        <v>0</v>
      </c>
      <c r="AT535" s="94">
        <f t="shared" si="201"/>
        <v>0.47090374534451801</v>
      </c>
      <c r="AU535" s="94">
        <f t="shared" si="203"/>
        <v>9.0744733250471849E-3</v>
      </c>
      <c r="AV535" s="94">
        <f t="shared" si="204"/>
        <v>0.46942251027150372</v>
      </c>
    </row>
    <row r="536" spans="1:48" x14ac:dyDescent="0.3">
      <c r="A536" s="85" t="str">
        <f>_xlfn.XLOOKUP(B536,'Country codes &amp; Data sources'!G:G,'Country codes &amp; Data sources'!H:H,,0)</f>
        <v>Mauritius</v>
      </c>
      <c r="B536" s="85" t="s">
        <v>180</v>
      </c>
      <c r="C536" s="86">
        <v>1288751.5</v>
      </c>
      <c r="D536" s="85" t="s">
        <v>62</v>
      </c>
      <c r="E536" s="87">
        <v>0</v>
      </c>
      <c r="F536" s="88">
        <v>1290691.4999999998</v>
      </c>
      <c r="G536" s="87">
        <v>0</v>
      </c>
      <c r="I536" s="87">
        <v>0</v>
      </c>
      <c r="K536" s="87">
        <v>0</v>
      </c>
      <c r="M536" s="87">
        <v>1796</v>
      </c>
      <c r="O536" s="87">
        <v>1843</v>
      </c>
      <c r="P536" s="88">
        <v>1295381.5000000005</v>
      </c>
      <c r="Q536" s="87">
        <v>0</v>
      </c>
      <c r="R536" s="87">
        <f t="shared" si="186"/>
        <v>48</v>
      </c>
      <c r="T536" s="87">
        <v>311</v>
      </c>
      <c r="V536" s="87">
        <v>0</v>
      </c>
      <c r="X536" s="87">
        <v>0</v>
      </c>
      <c r="Y536" s="88">
        <v>1299468.9999999986</v>
      </c>
      <c r="Z536" s="87">
        <v>0</v>
      </c>
      <c r="AA536" s="87">
        <v>48</v>
      </c>
      <c r="AB536" s="89">
        <f t="shared" si="187"/>
        <v>0</v>
      </c>
      <c r="AC536" s="89">
        <f t="shared" si="188"/>
        <v>1843</v>
      </c>
      <c r="AD536" s="89">
        <f t="shared" si="189"/>
        <v>0</v>
      </c>
      <c r="AF536" s="90" t="str">
        <f t="shared" si="190"/>
        <v/>
      </c>
      <c r="AG536" s="90">
        <f t="shared" si="191"/>
        <v>48</v>
      </c>
      <c r="AH536" s="90" t="str">
        <f t="shared" si="192"/>
        <v>2018 (triag)</v>
      </c>
      <c r="AI536" s="90">
        <f t="shared" si="193"/>
        <v>311</v>
      </c>
      <c r="AJ536" s="90" t="str">
        <f t="shared" si="194"/>
        <v>2018 (triag)</v>
      </c>
      <c r="AK536" s="90" t="str">
        <f t="shared" si="195"/>
        <v/>
      </c>
      <c r="AL536" s="91">
        <f>IF(AK536="Adjust",(_xlfn.XLOOKUP(A536,'Adj factor'!A:A,'Adj factor'!I:I,,0)*AI536),'Master DataSheet (Rev)'!AI536)</f>
        <v>311</v>
      </c>
      <c r="AM536" s="91">
        <f t="shared" si="196"/>
        <v>311</v>
      </c>
      <c r="AN536" s="92" t="str">
        <f t="shared" si="197"/>
        <v>Increasing</v>
      </c>
      <c r="AO536" s="93">
        <f>VLOOKUP(B536,'Growthrates source'!A$2:H$49,8,FALSE)</f>
        <v>7.4156136535132866E-2</v>
      </c>
      <c r="AP536" s="93">
        <f>VLOOKUP(B536,'Growthrates source'!A$2:I$49,9,FALSE)</f>
        <v>5.4673730437993617E-2</v>
      </c>
      <c r="AQ536" s="86">
        <f t="shared" si="198"/>
        <v>33.129374243833269</v>
      </c>
      <c r="AR536" s="86">
        <f t="shared" si="199"/>
        <v>56.555485596804644</v>
      </c>
      <c r="AS536" s="94">
        <f t="shared" si="200"/>
        <v>0</v>
      </c>
      <c r="AT536" s="94">
        <f t="shared" si="201"/>
        <v>0.370547209451424</v>
      </c>
      <c r="AU536" s="94">
        <f t="shared" si="203"/>
        <v>2.3932852572858634</v>
      </c>
      <c r="AV536" s="94">
        <f t="shared" si="204"/>
        <v>2.3932852572858634</v>
      </c>
    </row>
    <row r="537" spans="1:48" x14ac:dyDescent="0.3">
      <c r="A537" s="85" t="str">
        <f>_xlfn.XLOOKUP(B537,'Country codes &amp; Data sources'!G:G,'Country codes &amp; Data sources'!H:H,,0)</f>
        <v>Mauritius</v>
      </c>
      <c r="B537" s="85" t="s">
        <v>180</v>
      </c>
      <c r="C537" s="86">
        <v>1288752.5</v>
      </c>
      <c r="D537" s="85" t="s">
        <v>203</v>
      </c>
      <c r="E537" s="87">
        <v>0</v>
      </c>
      <c r="F537" s="88">
        <v>1290691.4999999998</v>
      </c>
      <c r="G537" s="87">
        <v>0</v>
      </c>
      <c r="I537" s="87">
        <v>0</v>
      </c>
      <c r="K537" s="87">
        <v>0</v>
      </c>
      <c r="M537" s="87">
        <v>0</v>
      </c>
      <c r="O537" s="87">
        <v>0</v>
      </c>
      <c r="P537" s="88">
        <v>1295381.5000000005</v>
      </c>
      <c r="Q537" s="87">
        <v>0</v>
      </c>
      <c r="R537" s="87">
        <f t="shared" si="186"/>
        <v>1153</v>
      </c>
      <c r="T537" s="87">
        <v>0</v>
      </c>
      <c r="V537" s="87">
        <v>0</v>
      </c>
      <c r="X537" s="87">
        <v>0</v>
      </c>
      <c r="Y537" s="88">
        <v>1299468.9999999986</v>
      </c>
      <c r="Z537" s="87">
        <v>0</v>
      </c>
      <c r="AA537" s="87">
        <v>1153</v>
      </c>
      <c r="AB537" s="89">
        <f t="shared" si="187"/>
        <v>0</v>
      </c>
      <c r="AC537" s="89">
        <f t="shared" si="188"/>
        <v>0</v>
      </c>
      <c r="AD537" s="89">
        <f t="shared" si="189"/>
        <v>0</v>
      </c>
      <c r="AF537" s="90" t="str">
        <f t="shared" si="190"/>
        <v/>
      </c>
      <c r="AG537" s="90">
        <f t="shared" si="191"/>
        <v>1153</v>
      </c>
      <c r="AH537" s="90" t="str">
        <f t="shared" si="192"/>
        <v>2018 (triag)</v>
      </c>
      <c r="AI537" s="90">
        <f t="shared" si="193"/>
        <v>1153</v>
      </c>
      <c r="AJ537" s="90" t="str">
        <f t="shared" si="194"/>
        <v>2018 (triag)</v>
      </c>
      <c r="AK537" s="90" t="str">
        <f t="shared" si="195"/>
        <v/>
      </c>
      <c r="AL537" s="91">
        <f>IF(AK537="Adjust",(_xlfn.XLOOKUP(A537,'Adj factor'!A:A,'Adj factor'!I:I,,0)*AI537),'Master DataSheet (Rev)'!AI537)</f>
        <v>1153</v>
      </c>
      <c r="AM537" s="91">
        <f t="shared" si="196"/>
        <v>1153</v>
      </c>
      <c r="AN537" s="92" t="str">
        <f t="shared" si="197"/>
        <v>No change</v>
      </c>
      <c r="AO537" s="93">
        <f>VLOOKUP(B537,'Growthrates source'!A$2:H$49,8,FALSE)</f>
        <v>7.4156136535132866E-2</v>
      </c>
      <c r="AP537" s="93">
        <f>VLOOKUP(B537,'Growthrates source'!A$2:I$49,9,FALSE)</f>
        <v>5.4673730437993617E-2</v>
      </c>
      <c r="AQ537" s="86">
        <f t="shared" si="198"/>
        <v>795.79517714874498</v>
      </c>
      <c r="AR537" s="86">
        <f t="shared" si="199"/>
        <v>1358.5098936065783</v>
      </c>
      <c r="AS537" s="94">
        <f t="shared" si="200"/>
        <v>0</v>
      </c>
      <c r="AT537" s="94">
        <f t="shared" si="201"/>
        <v>8.9008527603644154</v>
      </c>
      <c r="AU537" s="94">
        <f t="shared" si="203"/>
        <v>8.8728549892302251</v>
      </c>
      <c r="AV537" s="94">
        <f t="shared" si="204"/>
        <v>8.8728549892302251</v>
      </c>
    </row>
    <row r="538" spans="1:48" x14ac:dyDescent="0.3">
      <c r="A538" s="85" t="str">
        <f>_xlfn.XLOOKUP(B538,'Country codes &amp; Data sources'!G:G,'Country codes &amp; Data sources'!H:H,,0)</f>
        <v>Mauritius</v>
      </c>
      <c r="B538" s="85" t="s">
        <v>180</v>
      </c>
      <c r="C538" s="86">
        <v>1288753.5</v>
      </c>
      <c r="D538" s="85" t="s">
        <v>204</v>
      </c>
      <c r="E538" s="87">
        <v>0</v>
      </c>
      <c r="F538" s="88">
        <v>1290691.4999999998</v>
      </c>
      <c r="G538" s="87">
        <v>0</v>
      </c>
      <c r="I538" s="87">
        <v>0</v>
      </c>
      <c r="K538" s="87">
        <v>0</v>
      </c>
      <c r="M538" s="87">
        <v>0</v>
      </c>
      <c r="O538" s="87">
        <v>0</v>
      </c>
      <c r="P538" s="88">
        <v>1295381.5000000005</v>
      </c>
      <c r="Q538" s="87">
        <v>0</v>
      </c>
      <c r="R538" s="87">
        <f t="shared" si="186"/>
        <v>315</v>
      </c>
      <c r="T538" s="87">
        <v>0</v>
      </c>
      <c r="V538" s="87">
        <v>0</v>
      </c>
      <c r="X538" s="87">
        <v>0</v>
      </c>
      <c r="Y538" s="88">
        <v>1299468.9999999986</v>
      </c>
      <c r="Z538" s="87">
        <v>0</v>
      </c>
      <c r="AA538" s="87">
        <v>315</v>
      </c>
      <c r="AB538" s="89">
        <f t="shared" si="187"/>
        <v>0</v>
      </c>
      <c r="AC538" s="89">
        <f t="shared" si="188"/>
        <v>0</v>
      </c>
      <c r="AD538" s="89">
        <f t="shared" si="189"/>
        <v>0</v>
      </c>
      <c r="AF538" s="90" t="str">
        <f t="shared" si="190"/>
        <v/>
      </c>
      <c r="AG538" s="90">
        <f t="shared" si="191"/>
        <v>315</v>
      </c>
      <c r="AH538" s="90" t="str">
        <f t="shared" si="192"/>
        <v>2018 (triag)</v>
      </c>
      <c r="AI538" s="90">
        <f t="shared" si="193"/>
        <v>315</v>
      </c>
      <c r="AJ538" s="90" t="str">
        <f t="shared" si="194"/>
        <v>2018 (triag)</v>
      </c>
      <c r="AK538" s="90" t="str">
        <f t="shared" si="195"/>
        <v/>
      </c>
      <c r="AL538" s="91">
        <f>IF(AK538="Adjust",(_xlfn.XLOOKUP(A538,'Adj factor'!A:A,'Adj factor'!I:I,,0)*AI538),'Master DataSheet (Rev)'!AI538)</f>
        <v>315</v>
      </c>
      <c r="AM538" s="91">
        <f t="shared" si="196"/>
        <v>315</v>
      </c>
      <c r="AN538" s="92" t="str">
        <f t="shared" si="197"/>
        <v>No change</v>
      </c>
      <c r="AO538" s="93">
        <f>VLOOKUP(B538,'Growthrates source'!A$2:H$49,8,FALSE)</f>
        <v>7.4156136535132866E-2</v>
      </c>
      <c r="AP538" s="93">
        <f>VLOOKUP(B538,'Growthrates source'!A$2:I$49,9,FALSE)</f>
        <v>5.4673730437993617E-2</v>
      </c>
      <c r="AQ538" s="86">
        <f t="shared" si="198"/>
        <v>217.41151847515582</v>
      </c>
      <c r="AR538" s="86">
        <f t="shared" si="199"/>
        <v>371.14537422903049</v>
      </c>
      <c r="AS538" s="94">
        <f t="shared" si="200"/>
        <v>0</v>
      </c>
      <c r="AT538" s="94">
        <f t="shared" si="201"/>
        <v>2.4317160620249703</v>
      </c>
      <c r="AU538" s="94">
        <f t="shared" si="203"/>
        <v>2.4240670612380928</v>
      </c>
      <c r="AV538" s="94">
        <f t="shared" si="204"/>
        <v>2.4240670612380928</v>
      </c>
    </row>
    <row r="539" spans="1:48" x14ac:dyDescent="0.3">
      <c r="A539" s="85" t="str">
        <f>_xlfn.XLOOKUP(B539,'Country codes &amp; Data sources'!G:G,'Country codes &amp; Data sources'!H:H,,0)</f>
        <v>Mauritius</v>
      </c>
      <c r="B539" s="85" t="s">
        <v>180</v>
      </c>
      <c r="C539" s="86">
        <v>1288754.5</v>
      </c>
      <c r="D539" s="85" t="s">
        <v>205</v>
      </c>
      <c r="E539" s="87">
        <v>0</v>
      </c>
      <c r="F539" s="88">
        <v>1290691.4999999998</v>
      </c>
      <c r="G539" s="87">
        <v>0</v>
      </c>
      <c r="I539" s="87">
        <v>0</v>
      </c>
      <c r="K539" s="87">
        <v>0</v>
      </c>
      <c r="M539" s="87">
        <v>0</v>
      </c>
      <c r="O539" s="87">
        <v>0</v>
      </c>
      <c r="P539" s="88">
        <v>1295381.5000000005</v>
      </c>
      <c r="Q539" s="87">
        <v>0</v>
      </c>
      <c r="R539" s="87">
        <f t="shared" si="186"/>
        <v>12</v>
      </c>
      <c r="T539" s="87">
        <v>15</v>
      </c>
      <c r="V539" s="87">
        <v>0</v>
      </c>
      <c r="X539" s="87">
        <v>0</v>
      </c>
      <c r="Y539" s="88">
        <v>1299468.9999999986</v>
      </c>
      <c r="Z539" s="87">
        <v>0</v>
      </c>
      <c r="AA539" s="87">
        <v>12</v>
      </c>
      <c r="AB539" s="89">
        <f t="shared" si="187"/>
        <v>0</v>
      </c>
      <c r="AC539" s="89">
        <f t="shared" si="188"/>
        <v>15</v>
      </c>
      <c r="AD539" s="89">
        <f t="shared" si="189"/>
        <v>0</v>
      </c>
      <c r="AF539" s="90" t="str">
        <f t="shared" si="190"/>
        <v/>
      </c>
      <c r="AG539" s="90">
        <f t="shared" si="191"/>
        <v>12</v>
      </c>
      <c r="AH539" s="90" t="str">
        <f t="shared" si="192"/>
        <v>2018 (triag)</v>
      </c>
      <c r="AI539" s="90">
        <f t="shared" si="193"/>
        <v>15</v>
      </c>
      <c r="AJ539" s="90" t="str">
        <f t="shared" si="194"/>
        <v>2018 (triag)</v>
      </c>
      <c r="AK539" s="90" t="str">
        <f t="shared" si="195"/>
        <v/>
      </c>
      <c r="AL539" s="91">
        <f>IF(AK539="Adjust",(_xlfn.XLOOKUP(A539,'Adj factor'!A:A,'Adj factor'!I:I,,0)*AI539),'Master DataSheet (Rev)'!AI539)</f>
        <v>15</v>
      </c>
      <c r="AM539" s="91">
        <f t="shared" si="196"/>
        <v>15</v>
      </c>
      <c r="AN539" s="92" t="str">
        <f t="shared" si="197"/>
        <v>Increasing</v>
      </c>
      <c r="AO539" s="93">
        <f>VLOOKUP(B539,'Growthrates source'!A$2:H$49,8,FALSE)</f>
        <v>7.4156136535132866E-2</v>
      </c>
      <c r="AP539" s="93">
        <f>VLOOKUP(B539,'Growthrates source'!A$2:I$49,9,FALSE)</f>
        <v>5.4673730437993617E-2</v>
      </c>
      <c r="AQ539" s="86">
        <f t="shared" si="198"/>
        <v>8.2823435609583171</v>
      </c>
      <c r="AR539" s="86">
        <f t="shared" si="199"/>
        <v>14.138871399201161</v>
      </c>
      <c r="AS539" s="94">
        <f t="shared" si="200"/>
        <v>0</v>
      </c>
      <c r="AT539" s="94">
        <f t="shared" si="201"/>
        <v>9.2636802362855999E-2</v>
      </c>
      <c r="AU539" s="94">
        <f t="shared" si="203"/>
        <v>0.11543176482086157</v>
      </c>
      <c r="AV539" s="94">
        <f t="shared" si="204"/>
        <v>0.11543176482086157</v>
      </c>
    </row>
    <row r="540" spans="1:48" x14ac:dyDescent="0.3">
      <c r="A540" s="85" t="str">
        <f>_xlfn.XLOOKUP(B540,'Country codes &amp; Data sources'!G:G,'Country codes &amp; Data sources'!H:H,,0)</f>
        <v>Mauritius</v>
      </c>
      <c r="B540" s="85" t="s">
        <v>180</v>
      </c>
      <c r="C540" s="86">
        <v>1288755.5</v>
      </c>
      <c r="D540" s="85" t="s">
        <v>133</v>
      </c>
      <c r="E540" s="87">
        <v>0</v>
      </c>
      <c r="F540" s="88">
        <v>1290691.4999999998</v>
      </c>
      <c r="G540" s="87">
        <v>0</v>
      </c>
      <c r="I540" s="87">
        <v>0</v>
      </c>
      <c r="K540" s="87">
        <v>0</v>
      </c>
      <c r="M540" s="87">
        <v>0</v>
      </c>
      <c r="O540" s="87">
        <v>0</v>
      </c>
      <c r="P540" s="88">
        <v>1295381.5000000005</v>
      </c>
      <c r="Q540" s="87">
        <v>291</v>
      </c>
      <c r="R540" s="87">
        <f t="shared" si="186"/>
        <v>291</v>
      </c>
      <c r="T540" s="87">
        <v>0</v>
      </c>
      <c r="V540" s="87">
        <v>0</v>
      </c>
      <c r="X540" s="87">
        <v>0</v>
      </c>
      <c r="Y540" s="88">
        <v>1299468.9999999986</v>
      </c>
      <c r="Z540" s="87">
        <v>270</v>
      </c>
      <c r="AA540" s="87">
        <v>274</v>
      </c>
      <c r="AB540" s="89">
        <f t="shared" si="187"/>
        <v>0</v>
      </c>
      <c r="AC540" s="89">
        <f t="shared" si="188"/>
        <v>291</v>
      </c>
      <c r="AD540" s="89">
        <f t="shared" si="189"/>
        <v>270</v>
      </c>
      <c r="AF540" s="90" t="str">
        <f t="shared" si="190"/>
        <v/>
      </c>
      <c r="AG540" s="90">
        <f t="shared" si="191"/>
        <v>291</v>
      </c>
      <c r="AH540" s="90">
        <f t="shared" si="192"/>
        <v>2018</v>
      </c>
      <c r="AI540" s="90">
        <f t="shared" si="193"/>
        <v>270</v>
      </c>
      <c r="AJ540" s="90">
        <f t="shared" si="194"/>
        <v>2022</v>
      </c>
      <c r="AK540" s="90" t="str">
        <f t="shared" si="195"/>
        <v>Adjust</v>
      </c>
      <c r="AL540" s="91">
        <f>IF(AK540="Adjust",(_xlfn.XLOOKUP(A540,'Adj factor'!A:A,'Adj factor'!I:I,,0)*AI540),'Master DataSheet (Rev)'!AI540)</f>
        <v>318.38391298509464</v>
      </c>
      <c r="AM540" s="91">
        <f t="shared" si="196"/>
        <v>318.38391298509464</v>
      </c>
      <c r="AN540" s="92" t="str">
        <f t="shared" si="197"/>
        <v>Increasing</v>
      </c>
      <c r="AO540" s="93">
        <f>VLOOKUP(B540,'Growthrates source'!A$2:H$49,8,FALSE)</f>
        <v>7.4156136535132866E-2</v>
      </c>
      <c r="AP540" s="93">
        <f>VLOOKUP(B540,'Growthrates source'!A$2:I$49,9,FALSE)</f>
        <v>5.4673730437993617E-2</v>
      </c>
      <c r="AQ540" s="86">
        <f t="shared" si="198"/>
        <v>189.11351130854825</v>
      </c>
      <c r="AR540" s="86">
        <f t="shared" si="199"/>
        <v>322.83756361509319</v>
      </c>
      <c r="AS540" s="94">
        <f t="shared" si="200"/>
        <v>0</v>
      </c>
      <c r="AT540" s="94">
        <f t="shared" si="201"/>
        <v>2.2464424572992581</v>
      </c>
      <c r="AU540" s="94">
        <f t="shared" si="203"/>
        <v>2.4501077977627399</v>
      </c>
      <c r="AV540" s="94">
        <f t="shared" si="204"/>
        <v>2.4501077977627399</v>
      </c>
    </row>
    <row r="541" spans="1:48" x14ac:dyDescent="0.3">
      <c r="A541" s="85" t="str">
        <f>_xlfn.XLOOKUP(B541,'Country codes &amp; Data sources'!G:G,'Country codes &amp; Data sources'!H:H,,0)</f>
        <v>Mauritius</v>
      </c>
      <c r="B541" s="85" t="s">
        <v>180</v>
      </c>
      <c r="C541" s="86">
        <v>1288756.5</v>
      </c>
      <c r="D541" s="85" t="s">
        <v>206</v>
      </c>
      <c r="E541" s="87">
        <v>0</v>
      </c>
      <c r="F541" s="88">
        <v>1290691.4999999998</v>
      </c>
      <c r="G541" s="87">
        <v>0</v>
      </c>
      <c r="I541" s="87">
        <v>0</v>
      </c>
      <c r="K541" s="87">
        <v>0</v>
      </c>
      <c r="M541" s="87">
        <v>0</v>
      </c>
      <c r="O541" s="87">
        <v>0</v>
      </c>
      <c r="P541" s="88">
        <v>1295381.5000000005</v>
      </c>
      <c r="Q541" s="87">
        <v>0</v>
      </c>
      <c r="R541" s="87">
        <f t="shared" si="186"/>
        <v>9</v>
      </c>
      <c r="T541" s="87">
        <v>0</v>
      </c>
      <c r="V541" s="87">
        <v>0</v>
      </c>
      <c r="X541" s="87">
        <v>0</v>
      </c>
      <c r="Y541" s="88">
        <v>1299468.9999999986</v>
      </c>
      <c r="Z541" s="87">
        <v>0</v>
      </c>
      <c r="AA541" s="87">
        <v>9</v>
      </c>
      <c r="AB541" s="89">
        <f t="shared" si="187"/>
        <v>0</v>
      </c>
      <c r="AC541" s="89">
        <f t="shared" si="188"/>
        <v>0</v>
      </c>
      <c r="AD541" s="89">
        <f t="shared" si="189"/>
        <v>0</v>
      </c>
      <c r="AF541" s="90" t="str">
        <f t="shared" si="190"/>
        <v/>
      </c>
      <c r="AG541" s="90">
        <f t="shared" si="191"/>
        <v>9</v>
      </c>
      <c r="AH541" s="90" t="str">
        <f t="shared" si="192"/>
        <v>2018 (triag)</v>
      </c>
      <c r="AI541" s="90">
        <f t="shared" si="193"/>
        <v>9</v>
      </c>
      <c r="AJ541" s="90" t="str">
        <f t="shared" si="194"/>
        <v>2018 (triag)</v>
      </c>
      <c r="AK541" s="90" t="str">
        <f t="shared" si="195"/>
        <v/>
      </c>
      <c r="AL541" s="91">
        <f>IF(AK541="Adjust",(_xlfn.XLOOKUP(A541,'Adj factor'!A:A,'Adj factor'!I:I,,0)*AI541),'Master DataSheet (Rev)'!AI541)</f>
        <v>9</v>
      </c>
      <c r="AM541" s="91">
        <f t="shared" si="196"/>
        <v>9</v>
      </c>
      <c r="AN541" s="92" t="str">
        <f t="shared" si="197"/>
        <v>No change</v>
      </c>
      <c r="AO541" s="93">
        <f>VLOOKUP(B541,'Growthrates source'!A$2:H$49,8,FALSE)</f>
        <v>7.4156136535132866E-2</v>
      </c>
      <c r="AP541" s="93">
        <f>VLOOKUP(B541,'Growthrates source'!A$2:I$49,9,FALSE)</f>
        <v>5.4673730437993617E-2</v>
      </c>
      <c r="AQ541" s="86">
        <f t="shared" si="198"/>
        <v>6.2117576707187379</v>
      </c>
      <c r="AR541" s="86">
        <f t="shared" si="199"/>
        <v>10.60415354940087</v>
      </c>
      <c r="AS541" s="94">
        <f t="shared" si="200"/>
        <v>0</v>
      </c>
      <c r="AT541" s="94">
        <f t="shared" si="201"/>
        <v>6.9477601772142003E-2</v>
      </c>
      <c r="AU541" s="94">
        <f t="shared" si="203"/>
        <v>6.9259058892516948E-2</v>
      </c>
      <c r="AV541" s="94">
        <f t="shared" si="204"/>
        <v>6.9259058892516948E-2</v>
      </c>
    </row>
    <row r="542" spans="1:48" x14ac:dyDescent="0.3">
      <c r="A542" s="85" t="str">
        <f>_xlfn.XLOOKUP(B542,'Country codes &amp; Data sources'!G:G,'Country codes &amp; Data sources'!H:H,,0)</f>
        <v>Mauritius</v>
      </c>
      <c r="B542" s="85" t="s">
        <v>180</v>
      </c>
      <c r="C542" s="86">
        <v>1288757.5</v>
      </c>
      <c r="D542" s="85" t="s">
        <v>136</v>
      </c>
      <c r="E542" s="87">
        <v>0</v>
      </c>
      <c r="F542" s="88">
        <v>1290691.4999999998</v>
      </c>
      <c r="G542" s="87">
        <v>0</v>
      </c>
      <c r="I542" s="87">
        <v>0</v>
      </c>
      <c r="K542" s="87">
        <v>0</v>
      </c>
      <c r="M542" s="87">
        <v>0</v>
      </c>
      <c r="O542" s="87">
        <v>0</v>
      </c>
      <c r="P542" s="88">
        <v>1295381.5000000005</v>
      </c>
      <c r="Q542" s="87">
        <v>0</v>
      </c>
      <c r="R542" s="87">
        <f t="shared" si="186"/>
        <v>213</v>
      </c>
      <c r="T542" s="87">
        <v>0</v>
      </c>
      <c r="V542" s="87">
        <v>0</v>
      </c>
      <c r="X542" s="87">
        <v>0</v>
      </c>
      <c r="Y542" s="88">
        <v>1299468.9999999986</v>
      </c>
      <c r="Z542" s="87">
        <v>0</v>
      </c>
      <c r="AA542" s="87">
        <v>213</v>
      </c>
      <c r="AB542" s="89">
        <f t="shared" si="187"/>
        <v>0</v>
      </c>
      <c r="AC542" s="89">
        <f t="shared" si="188"/>
        <v>0</v>
      </c>
      <c r="AD542" s="89">
        <f t="shared" si="189"/>
        <v>0</v>
      </c>
      <c r="AF542" s="90" t="str">
        <f t="shared" si="190"/>
        <v/>
      </c>
      <c r="AG542" s="90">
        <f t="shared" si="191"/>
        <v>213</v>
      </c>
      <c r="AH542" s="90" t="str">
        <f t="shared" si="192"/>
        <v>2018 (triag)</v>
      </c>
      <c r="AI542" s="90">
        <f t="shared" si="193"/>
        <v>213</v>
      </c>
      <c r="AJ542" s="90" t="str">
        <f t="shared" si="194"/>
        <v>2018 (triag)</v>
      </c>
      <c r="AK542" s="90" t="str">
        <f t="shared" si="195"/>
        <v/>
      </c>
      <c r="AL542" s="91">
        <f>IF(AK542="Adjust",(_xlfn.XLOOKUP(A542,'Adj factor'!A:A,'Adj factor'!I:I,,0)*AI542),'Master DataSheet (Rev)'!AI542)</f>
        <v>213</v>
      </c>
      <c r="AM542" s="91">
        <f t="shared" si="196"/>
        <v>213</v>
      </c>
      <c r="AN542" s="92" t="str">
        <f t="shared" si="197"/>
        <v>No change</v>
      </c>
      <c r="AO542" s="93">
        <f>VLOOKUP(B542,'Growthrates source'!A$2:H$49,8,FALSE)</f>
        <v>7.4156136535132866E-2</v>
      </c>
      <c r="AP542" s="93">
        <f>VLOOKUP(B542,'Growthrates source'!A$2:I$49,9,FALSE)</f>
        <v>5.4673730437993617E-2</v>
      </c>
      <c r="AQ542" s="86">
        <f t="shared" si="198"/>
        <v>147.01159820701014</v>
      </c>
      <c r="AR542" s="86">
        <f t="shared" si="199"/>
        <v>250.9649673358206</v>
      </c>
      <c r="AS542" s="94">
        <f t="shared" si="200"/>
        <v>0</v>
      </c>
      <c r="AT542" s="94">
        <f t="shared" si="201"/>
        <v>1.644303241940694</v>
      </c>
      <c r="AU542" s="94">
        <f t="shared" si="203"/>
        <v>1.6391310604562344</v>
      </c>
      <c r="AV542" s="94">
        <f t="shared" si="204"/>
        <v>1.6391310604562344</v>
      </c>
    </row>
    <row r="543" spans="1:48" x14ac:dyDescent="0.3">
      <c r="A543" s="85" t="str">
        <f>_xlfn.XLOOKUP(B543,'Country codes &amp; Data sources'!G:G,'Country codes &amp; Data sources'!H:H,,0)</f>
        <v>Mauritius</v>
      </c>
      <c r="B543" s="85" t="s">
        <v>180</v>
      </c>
      <c r="C543" s="86">
        <v>1288758.5</v>
      </c>
      <c r="D543" s="85" t="s">
        <v>207</v>
      </c>
      <c r="E543" s="87">
        <v>0</v>
      </c>
      <c r="F543" s="88">
        <v>1290691.4999999998</v>
      </c>
      <c r="G543" s="87">
        <v>0</v>
      </c>
      <c r="I543" s="87">
        <v>0</v>
      </c>
      <c r="K543" s="87">
        <v>0</v>
      </c>
      <c r="M543" s="87">
        <v>0</v>
      </c>
      <c r="O543" s="87">
        <v>0</v>
      </c>
      <c r="P543" s="88">
        <v>1295381.5000000005</v>
      </c>
      <c r="Q543" s="87">
        <v>0</v>
      </c>
      <c r="R543" s="87">
        <f t="shared" si="186"/>
        <v>416</v>
      </c>
      <c r="T543" s="87">
        <v>0</v>
      </c>
      <c r="V543" s="87">
        <v>0</v>
      </c>
      <c r="X543" s="87">
        <v>0</v>
      </c>
      <c r="Y543" s="88">
        <v>1299468.9999999986</v>
      </c>
      <c r="Z543" s="87">
        <v>378</v>
      </c>
      <c r="AA543" s="87">
        <v>416</v>
      </c>
      <c r="AB543" s="89">
        <f t="shared" si="187"/>
        <v>0</v>
      </c>
      <c r="AC543" s="89">
        <f t="shared" si="188"/>
        <v>0</v>
      </c>
      <c r="AD543" s="89">
        <f t="shared" si="189"/>
        <v>378</v>
      </c>
      <c r="AF543" s="90" t="str">
        <f t="shared" si="190"/>
        <v/>
      </c>
      <c r="AG543" s="90">
        <f t="shared" si="191"/>
        <v>416</v>
      </c>
      <c r="AH543" s="90" t="str">
        <f t="shared" si="192"/>
        <v>2018 (triag)</v>
      </c>
      <c r="AI543" s="90">
        <f t="shared" si="193"/>
        <v>378</v>
      </c>
      <c r="AJ543" s="90">
        <f t="shared" si="194"/>
        <v>2022</v>
      </c>
      <c r="AK543" s="90" t="str">
        <f t="shared" si="195"/>
        <v>Adjust</v>
      </c>
      <c r="AL543" s="91">
        <f>IF(AK543="Adjust",(_xlfn.XLOOKUP(A543,'Adj factor'!A:A,'Adj factor'!I:I,,0)*AI543),'Master DataSheet (Rev)'!AI543)</f>
        <v>445.73747817913255</v>
      </c>
      <c r="AM543" s="91">
        <f t="shared" si="196"/>
        <v>445.73747817913255</v>
      </c>
      <c r="AN543" s="92" t="str">
        <f t="shared" si="197"/>
        <v>Increasing</v>
      </c>
      <c r="AO543" s="93">
        <f>VLOOKUP(B543,'Growthrates source'!A$2:H$49,8,FALSE)</f>
        <v>7.4156136535132866E-2</v>
      </c>
      <c r="AP543" s="93">
        <f>VLOOKUP(B543,'Growthrates source'!A$2:I$49,9,FALSE)</f>
        <v>5.4673730437993617E-2</v>
      </c>
      <c r="AQ543" s="86">
        <f t="shared" si="198"/>
        <v>287.12124344655501</v>
      </c>
      <c r="AR543" s="86">
        <f t="shared" si="199"/>
        <v>490.14754183897355</v>
      </c>
      <c r="AS543" s="94">
        <f t="shared" si="200"/>
        <v>0</v>
      </c>
      <c r="AT543" s="94">
        <f t="shared" si="201"/>
        <v>3.2114091485790084</v>
      </c>
      <c r="AU543" s="94">
        <f t="shared" si="203"/>
        <v>3.4301509168678366</v>
      </c>
      <c r="AV543" s="94">
        <f t="shared" si="204"/>
        <v>3.4301509168678366</v>
      </c>
    </row>
    <row r="544" spans="1:48" x14ac:dyDescent="0.3">
      <c r="A544" s="85" t="str">
        <f>_xlfn.XLOOKUP(B544,'Country codes &amp; Data sources'!G:G,'Country codes &amp; Data sources'!H:H,,0)</f>
        <v>Mauritius</v>
      </c>
      <c r="B544" s="85" t="s">
        <v>180</v>
      </c>
      <c r="C544" s="86">
        <v>1288759.5</v>
      </c>
      <c r="D544" s="85" t="s">
        <v>141</v>
      </c>
      <c r="E544" s="87">
        <v>0</v>
      </c>
      <c r="F544" s="88">
        <v>1290691.4999999998</v>
      </c>
      <c r="G544" s="87">
        <v>0</v>
      </c>
      <c r="I544" s="87">
        <v>0</v>
      </c>
      <c r="K544" s="87">
        <v>0</v>
      </c>
      <c r="M544" s="87">
        <v>0</v>
      </c>
      <c r="O544" s="87">
        <v>0</v>
      </c>
      <c r="P544" s="88">
        <v>1295381.5000000005</v>
      </c>
      <c r="Q544" s="87">
        <v>0</v>
      </c>
      <c r="R544" s="87">
        <f t="shared" si="186"/>
        <v>0</v>
      </c>
      <c r="T544" s="87">
        <v>0</v>
      </c>
      <c r="V544" s="87">
        <v>0</v>
      </c>
      <c r="X544" s="87">
        <v>0</v>
      </c>
      <c r="Y544" s="88">
        <v>1299468.9999999986</v>
      </c>
      <c r="Z544" s="87">
        <v>6</v>
      </c>
      <c r="AA544" s="87">
        <v>0</v>
      </c>
      <c r="AB544" s="89">
        <f t="shared" si="187"/>
        <v>0</v>
      </c>
      <c r="AC544" s="89">
        <f t="shared" si="188"/>
        <v>0</v>
      </c>
      <c r="AD544" s="89">
        <f t="shared" si="189"/>
        <v>6</v>
      </c>
      <c r="AF544" s="90" t="str">
        <f t="shared" si="190"/>
        <v/>
      </c>
      <c r="AH544" s="90" t="str">
        <f t="shared" si="192"/>
        <v/>
      </c>
      <c r="AI544" s="90">
        <f t="shared" si="193"/>
        <v>6</v>
      </c>
      <c r="AJ544" s="90">
        <f t="shared" si="194"/>
        <v>2022</v>
      </c>
      <c r="AK544" s="90" t="str">
        <f t="shared" si="195"/>
        <v/>
      </c>
      <c r="AL544" s="91">
        <f>IF(AK544="Adjust",(_xlfn.XLOOKUP(A544,'Adj factor'!A:A,'Adj factor'!I:I,,0)*AI544),'Master DataSheet (Rev)'!AI544)</f>
        <v>6</v>
      </c>
      <c r="AM544" s="91">
        <f t="shared" si="196"/>
        <v>6</v>
      </c>
      <c r="AN544" s="92" t="str">
        <f t="shared" si="197"/>
        <v>Increasing</v>
      </c>
      <c r="AO544" s="93">
        <f>VLOOKUP(B544,'Growthrates source'!A$2:H$49,8,FALSE)</f>
        <v>7.4156136535132866E-2</v>
      </c>
      <c r="AP544" s="93">
        <f>VLOOKUP(B544,'Growthrates source'!A$2:I$49,9,FALSE)</f>
        <v>5.4673730437993617E-2</v>
      </c>
      <c r="AQ544" s="86">
        <f t="shared" si="198"/>
        <v>0</v>
      </c>
      <c r="AR544" s="86">
        <f t="shared" si="199"/>
        <v>0</v>
      </c>
      <c r="AS544" s="94">
        <f t="shared" si="200"/>
        <v>0</v>
      </c>
      <c r="AT544" s="94">
        <f t="shared" si="201"/>
        <v>0</v>
      </c>
      <c r="AU544" s="94">
        <f t="shared" si="203"/>
        <v>4.6172705928344625E-2</v>
      </c>
      <c r="AV544" s="94">
        <f t="shared" si="204"/>
        <v>4.6172705928344625E-2</v>
      </c>
    </row>
    <row r="545" spans="1:48" x14ac:dyDescent="0.3">
      <c r="A545" s="85" t="str">
        <f>_xlfn.XLOOKUP(B545,'Country codes &amp; Data sources'!G:G,'Country codes &amp; Data sources'!H:H,,0)</f>
        <v>Mauritius</v>
      </c>
      <c r="B545" s="85" t="s">
        <v>180</v>
      </c>
      <c r="C545" s="86">
        <v>1288760.5</v>
      </c>
      <c r="D545" s="85" t="s">
        <v>208</v>
      </c>
      <c r="E545" s="87">
        <v>0</v>
      </c>
      <c r="F545" s="88">
        <v>1290691.4999999998</v>
      </c>
      <c r="G545" s="87">
        <v>0</v>
      </c>
      <c r="I545" s="87">
        <v>0</v>
      </c>
      <c r="K545" s="87">
        <v>0</v>
      </c>
      <c r="M545" s="87">
        <v>0</v>
      </c>
      <c r="O545" s="87">
        <v>0</v>
      </c>
      <c r="P545" s="88">
        <v>1295381.5000000005</v>
      </c>
      <c r="Q545" s="87">
        <v>0</v>
      </c>
      <c r="R545" s="87">
        <f t="shared" si="186"/>
        <v>3295</v>
      </c>
      <c r="T545" s="87">
        <v>0</v>
      </c>
      <c r="V545" s="87">
        <v>0</v>
      </c>
      <c r="X545" s="87">
        <v>0</v>
      </c>
      <c r="Y545" s="88">
        <v>1299468.9999999986</v>
      </c>
      <c r="Z545" s="87">
        <v>0</v>
      </c>
      <c r="AA545" s="87">
        <v>3295</v>
      </c>
      <c r="AB545" s="89">
        <f t="shared" si="187"/>
        <v>0</v>
      </c>
      <c r="AC545" s="89">
        <f t="shared" si="188"/>
        <v>0</v>
      </c>
      <c r="AD545" s="89">
        <f t="shared" si="189"/>
        <v>0</v>
      </c>
      <c r="AF545" s="90" t="str">
        <f t="shared" si="190"/>
        <v/>
      </c>
      <c r="AG545" s="90">
        <f t="shared" si="191"/>
        <v>3295</v>
      </c>
      <c r="AH545" s="90" t="str">
        <f t="shared" si="192"/>
        <v>2018 (triag)</v>
      </c>
      <c r="AI545" s="90">
        <f t="shared" si="193"/>
        <v>3295</v>
      </c>
      <c r="AJ545" s="90" t="str">
        <f t="shared" si="194"/>
        <v>2018 (triag)</v>
      </c>
      <c r="AK545" s="90" t="str">
        <f t="shared" si="195"/>
        <v/>
      </c>
      <c r="AL545" s="91">
        <f>IF(AK545="Adjust",(_xlfn.XLOOKUP(A545,'Adj factor'!A:A,'Adj factor'!I:I,,0)*AI545),'Master DataSheet (Rev)'!AI545)</f>
        <v>3295</v>
      </c>
      <c r="AM545" s="91">
        <f t="shared" si="196"/>
        <v>3295</v>
      </c>
      <c r="AN545" s="92" t="str">
        <f t="shared" si="197"/>
        <v>No change</v>
      </c>
      <c r="AO545" s="93">
        <f>VLOOKUP(B545,'Growthrates source'!A$2:H$49,8,FALSE)</f>
        <v>7.4156136535132866E-2</v>
      </c>
      <c r="AP545" s="93">
        <f>VLOOKUP(B545,'Growthrates source'!A$2:I$49,9,FALSE)</f>
        <v>5.4673730437993617E-2</v>
      </c>
      <c r="AQ545" s="86">
        <f t="shared" si="198"/>
        <v>2274.1935027798045</v>
      </c>
      <c r="AR545" s="86">
        <f t="shared" si="199"/>
        <v>3882.2984383639855</v>
      </c>
      <c r="AS545" s="94">
        <f t="shared" si="200"/>
        <v>0</v>
      </c>
      <c r="AT545" s="94">
        <f t="shared" si="201"/>
        <v>25.436521982134213</v>
      </c>
      <c r="AU545" s="94">
        <f t="shared" si="203"/>
        <v>25.356511005649256</v>
      </c>
      <c r="AV545" s="94">
        <f t="shared" si="204"/>
        <v>25.356511005649256</v>
      </c>
    </row>
    <row r="546" spans="1:48" x14ac:dyDescent="0.3">
      <c r="A546" s="85" t="str">
        <f>_xlfn.XLOOKUP(B546,'Country codes &amp; Data sources'!G:G,'Country codes &amp; Data sources'!H:H,,0)</f>
        <v>Mauritius</v>
      </c>
      <c r="B546" s="85" t="s">
        <v>180</v>
      </c>
      <c r="C546" s="86">
        <v>1288761.5</v>
      </c>
      <c r="D546" s="85" t="s">
        <v>209</v>
      </c>
      <c r="E546" s="87">
        <v>0</v>
      </c>
      <c r="F546" s="88">
        <v>1290691.4999999998</v>
      </c>
      <c r="G546" s="87">
        <v>0</v>
      </c>
      <c r="I546" s="87">
        <v>0</v>
      </c>
      <c r="K546" s="87">
        <v>0</v>
      </c>
      <c r="M546" s="87">
        <v>0</v>
      </c>
      <c r="O546" s="87">
        <v>0</v>
      </c>
      <c r="P546" s="88">
        <v>1295381.5000000005</v>
      </c>
      <c r="Q546" s="87">
        <v>0</v>
      </c>
      <c r="R546" s="87">
        <f t="shared" si="186"/>
        <v>0</v>
      </c>
      <c r="T546" s="87">
        <v>0</v>
      </c>
      <c r="V546" s="87">
        <v>0</v>
      </c>
      <c r="X546" s="87">
        <v>0</v>
      </c>
      <c r="Y546" s="88">
        <v>1299468.9999999986</v>
      </c>
      <c r="Z546" s="87">
        <v>0</v>
      </c>
      <c r="AA546" s="87">
        <v>0</v>
      </c>
      <c r="AB546" s="89">
        <f t="shared" si="187"/>
        <v>0</v>
      </c>
      <c r="AC546" s="89">
        <f t="shared" si="188"/>
        <v>0</v>
      </c>
      <c r="AD546" s="89">
        <f t="shared" si="189"/>
        <v>0</v>
      </c>
      <c r="AF546" s="90" t="str">
        <f t="shared" si="190"/>
        <v/>
      </c>
      <c r="AH546" s="90" t="str">
        <f t="shared" si="192"/>
        <v/>
      </c>
      <c r="AI546" s="90">
        <f t="shared" si="193"/>
        <v>0</v>
      </c>
      <c r="AJ546" s="90" t="str">
        <f t="shared" si="194"/>
        <v/>
      </c>
      <c r="AK546" s="90" t="str">
        <f t="shared" si="195"/>
        <v/>
      </c>
      <c r="AL546" s="91"/>
      <c r="AM546" s="91">
        <f t="shared" si="196"/>
        <v>0</v>
      </c>
      <c r="AN546" s="92" t="str">
        <f t="shared" si="197"/>
        <v>No change</v>
      </c>
      <c r="AO546" s="93">
        <f>VLOOKUP(B546,'Growthrates source'!A$2:H$49,8,FALSE)</f>
        <v>7.4156136535132866E-2</v>
      </c>
      <c r="AP546" s="93">
        <f>VLOOKUP(B546,'Growthrates source'!A$2:I$49,9,FALSE)</f>
        <v>5.4673730437993617E-2</v>
      </c>
      <c r="AQ546" s="86">
        <f t="shared" si="198"/>
        <v>0</v>
      </c>
      <c r="AR546" s="86">
        <f t="shared" si="199"/>
        <v>0</v>
      </c>
      <c r="AS546" s="94">
        <f t="shared" si="200"/>
        <v>0</v>
      </c>
      <c r="AT546" s="94">
        <f t="shared" si="201"/>
        <v>0</v>
      </c>
      <c r="AU546" s="94">
        <f t="shared" si="203"/>
        <v>0</v>
      </c>
      <c r="AV546" s="94">
        <f t="shared" si="204"/>
        <v>0</v>
      </c>
    </row>
    <row r="547" spans="1:48" x14ac:dyDescent="0.3">
      <c r="A547" s="85" t="str">
        <f>_xlfn.XLOOKUP(B547,'Country codes &amp; Data sources'!G:G,'Country codes &amp; Data sources'!H:H,,0)</f>
        <v>Mauritius</v>
      </c>
      <c r="B547" s="85" t="s">
        <v>180</v>
      </c>
      <c r="C547" s="86">
        <v>1288762.5</v>
      </c>
      <c r="D547" s="85" t="s">
        <v>134</v>
      </c>
      <c r="E547" s="87">
        <v>0</v>
      </c>
      <c r="F547" s="88">
        <v>1290691.4999999998</v>
      </c>
      <c r="G547" s="87">
        <v>0</v>
      </c>
      <c r="I547" s="87">
        <v>0</v>
      </c>
      <c r="K547" s="87">
        <v>0</v>
      </c>
      <c r="M547" s="87">
        <v>0</v>
      </c>
      <c r="O547" s="87">
        <v>0</v>
      </c>
      <c r="P547" s="88">
        <v>1295381.5000000005</v>
      </c>
      <c r="Q547" s="87">
        <v>0</v>
      </c>
      <c r="R547" s="87">
        <f t="shared" si="186"/>
        <v>291</v>
      </c>
      <c r="T547" s="87">
        <v>0</v>
      </c>
      <c r="V547" s="87">
        <v>0</v>
      </c>
      <c r="X547" s="87">
        <v>0</v>
      </c>
      <c r="Y547" s="88">
        <v>1299468.9999999986</v>
      </c>
      <c r="Z547" s="87">
        <v>224</v>
      </c>
      <c r="AA547" s="87">
        <v>291</v>
      </c>
      <c r="AB547" s="89">
        <f t="shared" si="187"/>
        <v>0</v>
      </c>
      <c r="AC547" s="89">
        <f t="shared" si="188"/>
        <v>0</v>
      </c>
      <c r="AD547" s="89">
        <f t="shared" si="189"/>
        <v>224</v>
      </c>
      <c r="AF547" s="90" t="str">
        <f t="shared" si="190"/>
        <v/>
      </c>
      <c r="AG547" s="90">
        <f t="shared" si="191"/>
        <v>291</v>
      </c>
      <c r="AH547" s="90" t="str">
        <f t="shared" si="192"/>
        <v>2018 (triag)</v>
      </c>
      <c r="AI547" s="90">
        <f t="shared" si="193"/>
        <v>224</v>
      </c>
      <c r="AJ547" s="90">
        <f t="shared" si="194"/>
        <v>2022</v>
      </c>
      <c r="AK547" s="90" t="str">
        <f t="shared" si="195"/>
        <v>Adjust</v>
      </c>
      <c r="AL547" s="91">
        <f>IF(AK547="Adjust",(_xlfn.XLOOKUP(A547,'Adj factor'!A:A,'Adj factor'!I:I,,0)*AI547),'Master DataSheet (Rev)'!AI547)</f>
        <v>264.14072780985634</v>
      </c>
      <c r="AM547" s="91">
        <f t="shared" si="196"/>
        <v>291</v>
      </c>
      <c r="AN547" s="92" t="str">
        <f t="shared" si="197"/>
        <v>Decreasing</v>
      </c>
      <c r="AO547" s="93">
        <f>VLOOKUP(B547,'Growthrates source'!A$2:H$49,8,FALSE)</f>
        <v>7.4156136535132866E-2</v>
      </c>
      <c r="AP547" s="93">
        <f>VLOOKUP(B547,'Growthrates source'!A$2:I$49,9,FALSE)</f>
        <v>5.4673730437993617E-2</v>
      </c>
      <c r="AQ547" s="86">
        <f t="shared" si="198"/>
        <v>200.8468313532392</v>
      </c>
      <c r="AR547" s="86">
        <f t="shared" si="199"/>
        <v>342.86763143062814</v>
      </c>
      <c r="AS547" s="94">
        <f t="shared" si="200"/>
        <v>0</v>
      </c>
      <c r="AT547" s="94">
        <f t="shared" si="201"/>
        <v>2.2464424572992581</v>
      </c>
      <c r="AU547" s="94">
        <f t="shared" si="203"/>
        <v>2.0326820248105699</v>
      </c>
      <c r="AV547" s="94">
        <f t="shared" si="204"/>
        <v>2.2393762375247146</v>
      </c>
    </row>
    <row r="548" spans="1:48" x14ac:dyDescent="0.3">
      <c r="A548" s="85" t="str">
        <f>_xlfn.XLOOKUP(B548,'Country codes &amp; Data sources'!G:G,'Country codes &amp; Data sources'!H:H,,0)</f>
        <v>Mauritius</v>
      </c>
      <c r="B548" s="85" t="s">
        <v>180</v>
      </c>
      <c r="C548" s="86">
        <v>1288763.5</v>
      </c>
      <c r="D548" s="85" t="s">
        <v>142</v>
      </c>
      <c r="E548" s="87">
        <v>0</v>
      </c>
      <c r="F548" s="88">
        <v>1290691.4999999998</v>
      </c>
      <c r="G548" s="87">
        <v>0</v>
      </c>
      <c r="I548" s="87">
        <v>0</v>
      </c>
      <c r="K548" s="87">
        <v>0</v>
      </c>
      <c r="M548" s="87">
        <v>0</v>
      </c>
      <c r="O548" s="87">
        <v>0</v>
      </c>
      <c r="P548" s="88">
        <v>1295381.5000000005</v>
      </c>
      <c r="Q548" s="87">
        <v>0</v>
      </c>
      <c r="R548" s="87">
        <f t="shared" si="186"/>
        <v>24</v>
      </c>
      <c r="T548" s="87">
        <v>0</v>
      </c>
      <c r="V548" s="87">
        <v>0</v>
      </c>
      <c r="X548" s="87">
        <v>0</v>
      </c>
      <c r="Y548" s="88">
        <v>1299468.9999999986</v>
      </c>
      <c r="Z548" s="87">
        <v>0</v>
      </c>
      <c r="AA548" s="87">
        <v>24</v>
      </c>
      <c r="AB548" s="89">
        <f t="shared" si="187"/>
        <v>0</v>
      </c>
      <c r="AC548" s="89">
        <f t="shared" si="188"/>
        <v>0</v>
      </c>
      <c r="AD548" s="89">
        <f t="shared" si="189"/>
        <v>0</v>
      </c>
      <c r="AF548" s="90" t="str">
        <f t="shared" si="190"/>
        <v/>
      </c>
      <c r="AG548" s="90">
        <f t="shared" si="191"/>
        <v>24</v>
      </c>
      <c r="AH548" s="90" t="str">
        <f t="shared" si="192"/>
        <v>2018 (triag)</v>
      </c>
      <c r="AI548" s="90">
        <f t="shared" si="193"/>
        <v>24</v>
      </c>
      <c r="AJ548" s="90" t="str">
        <f t="shared" si="194"/>
        <v>2018 (triag)</v>
      </c>
      <c r="AK548" s="90" t="str">
        <f t="shared" si="195"/>
        <v/>
      </c>
      <c r="AL548" s="91">
        <f>IF(AK548="Adjust",(_xlfn.XLOOKUP(A548,'Adj factor'!A:A,'Adj factor'!I:I,,0)*AI548),'Master DataSheet (Rev)'!AI548)</f>
        <v>24</v>
      </c>
      <c r="AM548" s="91">
        <f t="shared" si="196"/>
        <v>24</v>
      </c>
      <c r="AN548" s="92" t="str">
        <f t="shared" si="197"/>
        <v>No change</v>
      </c>
      <c r="AO548" s="93">
        <f>VLOOKUP(B548,'Growthrates source'!A$2:H$49,8,FALSE)</f>
        <v>7.4156136535132866E-2</v>
      </c>
      <c r="AP548" s="93">
        <f>VLOOKUP(B548,'Growthrates source'!A$2:I$49,9,FALSE)</f>
        <v>5.4673730437993617E-2</v>
      </c>
      <c r="AQ548" s="86">
        <f t="shared" si="198"/>
        <v>16.564687121916634</v>
      </c>
      <c r="AR548" s="86">
        <f t="shared" si="199"/>
        <v>28.277742798402322</v>
      </c>
      <c r="AS548" s="94">
        <f t="shared" si="200"/>
        <v>0</v>
      </c>
      <c r="AT548" s="94">
        <f t="shared" si="201"/>
        <v>0.185273604725712</v>
      </c>
      <c r="AU548" s="94">
        <f t="shared" si="203"/>
        <v>0.1846908237133785</v>
      </c>
      <c r="AV548" s="94">
        <f t="shared" si="204"/>
        <v>0.1846908237133785</v>
      </c>
    </row>
    <row r="549" spans="1:48" x14ac:dyDescent="0.3">
      <c r="A549" s="85" t="str">
        <f>_xlfn.XLOOKUP(B549,'Country codes &amp; Data sources'!G:G,'Country codes &amp; Data sources'!H:H,,0)</f>
        <v>Mauritius</v>
      </c>
      <c r="B549" s="85" t="s">
        <v>180</v>
      </c>
      <c r="C549" s="86">
        <v>1288764.5</v>
      </c>
      <c r="D549" s="85" t="s">
        <v>83</v>
      </c>
      <c r="E549" s="87">
        <v>0</v>
      </c>
      <c r="F549" s="88">
        <v>1290691.4999999998</v>
      </c>
      <c r="G549" s="87">
        <v>0</v>
      </c>
      <c r="I549" s="87">
        <v>0</v>
      </c>
      <c r="K549" s="87">
        <v>0</v>
      </c>
      <c r="M549" s="87">
        <v>0</v>
      </c>
      <c r="O549" s="87">
        <v>0</v>
      </c>
      <c r="P549" s="88">
        <v>1295381.5000000005</v>
      </c>
      <c r="Q549" s="87">
        <v>0</v>
      </c>
      <c r="R549" s="87">
        <f t="shared" si="186"/>
        <v>64</v>
      </c>
      <c r="T549" s="87">
        <v>0</v>
      </c>
      <c r="V549" s="87">
        <v>0</v>
      </c>
      <c r="X549" s="87">
        <v>0</v>
      </c>
      <c r="Y549" s="88">
        <v>1299468.9999999986</v>
      </c>
      <c r="Z549" s="87">
        <v>0</v>
      </c>
      <c r="AA549" s="87">
        <v>64</v>
      </c>
      <c r="AB549" s="89">
        <f t="shared" si="187"/>
        <v>0</v>
      </c>
      <c r="AC549" s="89">
        <f t="shared" si="188"/>
        <v>0</v>
      </c>
      <c r="AD549" s="89">
        <f t="shared" si="189"/>
        <v>0</v>
      </c>
      <c r="AF549" s="90" t="str">
        <f t="shared" si="190"/>
        <v/>
      </c>
      <c r="AG549" s="90">
        <f t="shared" si="191"/>
        <v>64</v>
      </c>
      <c r="AH549" s="90" t="str">
        <f t="shared" si="192"/>
        <v>2018 (triag)</v>
      </c>
      <c r="AI549" s="90">
        <f t="shared" si="193"/>
        <v>64</v>
      </c>
      <c r="AJ549" s="90" t="str">
        <f t="shared" si="194"/>
        <v>2018 (triag)</v>
      </c>
      <c r="AK549" s="90" t="str">
        <f t="shared" si="195"/>
        <v/>
      </c>
      <c r="AL549" s="91">
        <f>IF(AK549="Adjust",(_xlfn.XLOOKUP(A549,'Adj factor'!A:A,'Adj factor'!I:I,,0)*AI549),'Master DataSheet (Rev)'!AI549)</f>
        <v>64</v>
      </c>
      <c r="AM549" s="91">
        <f t="shared" si="196"/>
        <v>64</v>
      </c>
      <c r="AN549" s="92" t="str">
        <f t="shared" si="197"/>
        <v>No change</v>
      </c>
      <c r="AO549" s="93">
        <f>VLOOKUP(B549,'Growthrates source'!A$2:H$49,8,FALSE)</f>
        <v>7.4156136535132866E-2</v>
      </c>
      <c r="AP549" s="93">
        <f>VLOOKUP(B549,'Growthrates source'!A$2:I$49,9,FALSE)</f>
        <v>5.4673730437993617E-2</v>
      </c>
      <c r="AQ549" s="86">
        <f t="shared" si="198"/>
        <v>44.172498991777694</v>
      </c>
      <c r="AR549" s="86">
        <f t="shared" si="199"/>
        <v>75.407314129072859</v>
      </c>
      <c r="AS549" s="94">
        <f t="shared" si="200"/>
        <v>0</v>
      </c>
      <c r="AT549" s="94">
        <f t="shared" si="201"/>
        <v>0.49406294593523203</v>
      </c>
      <c r="AU549" s="94">
        <f t="shared" si="203"/>
        <v>0.492508863235676</v>
      </c>
      <c r="AV549" s="94">
        <f t="shared" si="204"/>
        <v>0.492508863235676</v>
      </c>
    </row>
    <row r="550" spans="1:48" x14ac:dyDescent="0.3">
      <c r="A550" s="85" t="str">
        <f>_xlfn.XLOOKUP(B550,'Country codes &amp; Data sources'!G:G,'Country codes &amp; Data sources'!H:H,,0)</f>
        <v>Mauritius</v>
      </c>
      <c r="B550" s="85" t="s">
        <v>180</v>
      </c>
      <c r="C550" s="86">
        <v>1288765.5</v>
      </c>
      <c r="D550" s="85" t="s">
        <v>84</v>
      </c>
      <c r="E550" s="87">
        <v>0</v>
      </c>
      <c r="F550" s="88">
        <v>1290691.4999999998</v>
      </c>
      <c r="G550" s="87">
        <v>0</v>
      </c>
      <c r="I550" s="87">
        <v>0</v>
      </c>
      <c r="K550" s="87">
        <v>0</v>
      </c>
      <c r="M550" s="87">
        <v>0</v>
      </c>
      <c r="O550" s="87">
        <v>0</v>
      </c>
      <c r="P550" s="88">
        <v>1295381.5000000005</v>
      </c>
      <c r="Q550" s="87">
        <v>0</v>
      </c>
      <c r="R550" s="87">
        <f t="shared" si="186"/>
        <v>0</v>
      </c>
      <c r="T550" s="87">
        <v>0</v>
      </c>
      <c r="V550" s="87">
        <v>0</v>
      </c>
      <c r="X550" s="87">
        <v>0</v>
      </c>
      <c r="Y550" s="88">
        <v>1299468.9999999986</v>
      </c>
      <c r="Z550" s="87">
        <v>0</v>
      </c>
      <c r="AA550" s="87">
        <v>0</v>
      </c>
      <c r="AB550" s="89">
        <f t="shared" si="187"/>
        <v>0</v>
      </c>
      <c r="AC550" s="89">
        <f t="shared" si="188"/>
        <v>0</v>
      </c>
      <c r="AD550" s="89">
        <f t="shared" si="189"/>
        <v>0</v>
      </c>
      <c r="AF550" s="90" t="str">
        <f t="shared" si="190"/>
        <v/>
      </c>
      <c r="AH550" s="90" t="str">
        <f t="shared" si="192"/>
        <v/>
      </c>
      <c r="AI550" s="90">
        <f t="shared" si="193"/>
        <v>0</v>
      </c>
      <c r="AJ550" s="90" t="str">
        <f t="shared" si="194"/>
        <v/>
      </c>
      <c r="AK550" s="90" t="str">
        <f t="shared" si="195"/>
        <v/>
      </c>
      <c r="AL550" s="91"/>
      <c r="AM550" s="91">
        <f t="shared" si="196"/>
        <v>0</v>
      </c>
      <c r="AN550" s="92" t="str">
        <f t="shared" si="197"/>
        <v>No change</v>
      </c>
      <c r="AO550" s="93">
        <f>VLOOKUP(B550,'Growthrates source'!A$2:H$49,8,FALSE)</f>
        <v>7.4156136535132866E-2</v>
      </c>
      <c r="AP550" s="93">
        <f>VLOOKUP(B550,'Growthrates source'!A$2:I$49,9,FALSE)</f>
        <v>5.4673730437993617E-2</v>
      </c>
      <c r="AQ550" s="86">
        <f t="shared" si="198"/>
        <v>0</v>
      </c>
      <c r="AR550" s="86">
        <f t="shared" si="199"/>
        <v>0</v>
      </c>
      <c r="AS550" s="94">
        <f t="shared" si="200"/>
        <v>0</v>
      </c>
      <c r="AT550" s="94">
        <f t="shared" si="201"/>
        <v>0</v>
      </c>
      <c r="AU550" s="94">
        <f t="shared" si="203"/>
        <v>0</v>
      </c>
      <c r="AV550" s="94">
        <f t="shared" si="204"/>
        <v>0</v>
      </c>
    </row>
    <row r="551" spans="1:48" x14ac:dyDescent="0.3">
      <c r="A551" s="85" t="str">
        <f>_xlfn.XLOOKUP(B551,'Country codes &amp; Data sources'!G:G,'Country codes &amp; Data sources'!H:H,,0)</f>
        <v>Mauritius</v>
      </c>
      <c r="B551" s="85" t="s">
        <v>180</v>
      </c>
      <c r="C551" s="86">
        <v>1288766.5</v>
      </c>
      <c r="D551" s="85" t="s">
        <v>126</v>
      </c>
      <c r="E551" s="87">
        <v>0</v>
      </c>
      <c r="F551" s="88">
        <v>1290691.4999999998</v>
      </c>
      <c r="G551" s="87">
        <v>0</v>
      </c>
      <c r="I551" s="87">
        <v>0</v>
      </c>
      <c r="K551" s="87">
        <v>0</v>
      </c>
      <c r="M551" s="87">
        <v>0</v>
      </c>
      <c r="O551" s="87">
        <v>0</v>
      </c>
      <c r="P551" s="88">
        <v>1295381.5000000005</v>
      </c>
      <c r="Q551" s="87">
        <v>0</v>
      </c>
      <c r="R551" s="87">
        <f t="shared" si="186"/>
        <v>0</v>
      </c>
      <c r="T551" s="87">
        <v>0</v>
      </c>
      <c r="V551" s="87">
        <v>0</v>
      </c>
      <c r="X551" s="87">
        <v>0</v>
      </c>
      <c r="Y551" s="88">
        <v>1299468.9999999986</v>
      </c>
      <c r="Z551" s="87">
        <v>27</v>
      </c>
      <c r="AA551" s="87">
        <v>0</v>
      </c>
      <c r="AB551" s="89">
        <f t="shared" si="187"/>
        <v>0</v>
      </c>
      <c r="AC551" s="89">
        <f t="shared" si="188"/>
        <v>0</v>
      </c>
      <c r="AD551" s="89">
        <f t="shared" si="189"/>
        <v>27</v>
      </c>
      <c r="AF551" s="90" t="str">
        <f t="shared" si="190"/>
        <v/>
      </c>
      <c r="AH551" s="90" t="str">
        <f t="shared" si="192"/>
        <v/>
      </c>
      <c r="AI551" s="90">
        <f t="shared" si="193"/>
        <v>27</v>
      </c>
      <c r="AJ551" s="90">
        <f t="shared" si="194"/>
        <v>2022</v>
      </c>
      <c r="AK551" s="90" t="str">
        <f t="shared" si="195"/>
        <v/>
      </c>
      <c r="AL551" s="91">
        <f>IF(AK551="Adjust",(_xlfn.XLOOKUP(A551,'Adj factor'!A:A,'Adj factor'!I:I,,0)*AI551),'Master DataSheet (Rev)'!AI551)</f>
        <v>27</v>
      </c>
      <c r="AM551" s="91">
        <f t="shared" si="196"/>
        <v>27</v>
      </c>
      <c r="AN551" s="92" t="str">
        <f t="shared" si="197"/>
        <v>Increasing</v>
      </c>
      <c r="AO551" s="93">
        <f>VLOOKUP(B551,'Growthrates source'!A$2:H$49,8,FALSE)</f>
        <v>7.4156136535132866E-2</v>
      </c>
      <c r="AP551" s="93">
        <f>VLOOKUP(B551,'Growthrates source'!A$2:I$49,9,FALSE)</f>
        <v>5.4673730437993617E-2</v>
      </c>
      <c r="AQ551" s="86">
        <f t="shared" si="198"/>
        <v>0</v>
      </c>
      <c r="AR551" s="86">
        <f t="shared" si="199"/>
        <v>0</v>
      </c>
      <c r="AS551" s="94">
        <f t="shared" si="200"/>
        <v>0</v>
      </c>
      <c r="AT551" s="94">
        <f t="shared" si="201"/>
        <v>0</v>
      </c>
      <c r="AU551" s="94">
        <f t="shared" si="203"/>
        <v>0.20777717667755083</v>
      </c>
      <c r="AV551" s="94">
        <f t="shared" si="204"/>
        <v>0.20777717667755083</v>
      </c>
    </row>
    <row r="552" spans="1:48" x14ac:dyDescent="0.3">
      <c r="A552" s="85" t="str">
        <f>_xlfn.XLOOKUP(B552,'Country codes &amp; Data sources'!G:G,'Country codes &amp; Data sources'!H:H,,0)</f>
        <v>Mauritius</v>
      </c>
      <c r="B552" s="85" t="s">
        <v>180</v>
      </c>
      <c r="C552" s="86">
        <v>1288767.5</v>
      </c>
      <c r="D552" s="85" t="s">
        <v>87</v>
      </c>
      <c r="E552" s="87">
        <v>0</v>
      </c>
      <c r="F552" s="88">
        <v>1290691.4999999998</v>
      </c>
      <c r="G552" s="87">
        <v>0</v>
      </c>
      <c r="I552" s="87">
        <v>0</v>
      </c>
      <c r="K552" s="87">
        <v>0</v>
      </c>
      <c r="M552" s="87">
        <v>0</v>
      </c>
      <c r="O552" s="87">
        <v>0</v>
      </c>
      <c r="P552" s="88">
        <v>1295381.5000000005</v>
      </c>
      <c r="Q552" s="87">
        <v>0</v>
      </c>
      <c r="R552" s="87">
        <f t="shared" si="186"/>
        <v>5</v>
      </c>
      <c r="T552" s="87">
        <v>0</v>
      </c>
      <c r="V552" s="87">
        <v>0</v>
      </c>
      <c r="X552" s="87">
        <v>0</v>
      </c>
      <c r="Y552" s="88">
        <v>1299468.9999999986</v>
      </c>
      <c r="Z552" s="87">
        <v>0</v>
      </c>
      <c r="AA552" s="87">
        <v>5</v>
      </c>
      <c r="AB552" s="89">
        <f t="shared" si="187"/>
        <v>0</v>
      </c>
      <c r="AC552" s="89">
        <f t="shared" si="188"/>
        <v>0</v>
      </c>
      <c r="AD552" s="89">
        <f t="shared" si="189"/>
        <v>0</v>
      </c>
      <c r="AF552" s="90" t="str">
        <f t="shared" si="190"/>
        <v/>
      </c>
      <c r="AG552" s="90">
        <f t="shared" si="191"/>
        <v>5</v>
      </c>
      <c r="AH552" s="90" t="str">
        <f t="shared" si="192"/>
        <v>2018 (triag)</v>
      </c>
      <c r="AI552" s="90">
        <f t="shared" si="193"/>
        <v>5</v>
      </c>
      <c r="AJ552" s="90" t="str">
        <f t="shared" si="194"/>
        <v>2018 (triag)</v>
      </c>
      <c r="AK552" s="90" t="str">
        <f t="shared" si="195"/>
        <v/>
      </c>
      <c r="AL552" s="91">
        <f>IF(AK552="Adjust",(_xlfn.XLOOKUP(A552,'Adj factor'!A:A,'Adj factor'!I:I,,0)*AI552),'Master DataSheet (Rev)'!AI552)</f>
        <v>5</v>
      </c>
      <c r="AM552" s="91">
        <f t="shared" si="196"/>
        <v>5</v>
      </c>
      <c r="AN552" s="92" t="str">
        <f t="shared" si="197"/>
        <v>No change</v>
      </c>
      <c r="AO552" s="93">
        <f>VLOOKUP(B552,'Growthrates source'!A$2:H$49,8,FALSE)</f>
        <v>7.4156136535132866E-2</v>
      </c>
      <c r="AP552" s="93">
        <f>VLOOKUP(B552,'Growthrates source'!A$2:I$49,9,FALSE)</f>
        <v>5.4673730437993617E-2</v>
      </c>
      <c r="AQ552" s="86">
        <f t="shared" si="198"/>
        <v>3.450976483732632</v>
      </c>
      <c r="AR552" s="86">
        <f t="shared" si="199"/>
        <v>5.8911964163338171</v>
      </c>
      <c r="AS552" s="94">
        <f t="shared" si="200"/>
        <v>0</v>
      </c>
      <c r="AT552" s="94">
        <f t="shared" si="201"/>
        <v>3.8598667651190001E-2</v>
      </c>
      <c r="AU552" s="94">
        <f t="shared" si="203"/>
        <v>3.8477254940287191E-2</v>
      </c>
      <c r="AV552" s="94">
        <f t="shared" si="204"/>
        <v>3.8477254940287191E-2</v>
      </c>
    </row>
    <row r="553" spans="1:48" x14ac:dyDescent="0.3">
      <c r="A553" s="85" t="str">
        <f>_xlfn.XLOOKUP(B553,'Country codes &amp; Data sources'!G:G,'Country codes &amp; Data sources'!H:H,,0)</f>
        <v>Malawi</v>
      </c>
      <c r="B553" s="85" t="s">
        <v>178</v>
      </c>
      <c r="C553" s="86">
        <v>15581255.5</v>
      </c>
      <c r="D553" s="85" t="s">
        <v>127</v>
      </c>
      <c r="E553" s="87">
        <v>0</v>
      </c>
      <c r="F553" s="88">
        <v>16024775.499999996</v>
      </c>
      <c r="G553" s="87">
        <v>0</v>
      </c>
      <c r="I553" s="87">
        <v>0</v>
      </c>
      <c r="K553" s="87">
        <v>0</v>
      </c>
      <c r="M553" s="87">
        <v>0</v>
      </c>
      <c r="O553" s="87">
        <v>0</v>
      </c>
      <c r="P553" s="88">
        <v>18367882.999999985</v>
      </c>
      <c r="Q553" s="87">
        <v>10016</v>
      </c>
      <c r="R553" s="87">
        <f t="shared" si="186"/>
        <v>10016</v>
      </c>
      <c r="T553" s="87">
        <v>0</v>
      </c>
      <c r="V553" s="87">
        <v>0</v>
      </c>
      <c r="X553" s="87">
        <v>0</v>
      </c>
      <c r="Y553" s="88">
        <v>20405316.500000019</v>
      </c>
      <c r="Z553" s="87">
        <v>10747</v>
      </c>
      <c r="AA553" s="87">
        <v>10016</v>
      </c>
      <c r="AB553" s="89">
        <f t="shared" si="187"/>
        <v>0</v>
      </c>
      <c r="AC553" s="89">
        <f t="shared" si="188"/>
        <v>10016</v>
      </c>
      <c r="AD553" s="89">
        <f t="shared" si="189"/>
        <v>10747</v>
      </c>
      <c r="AF553" s="90" t="str">
        <f t="shared" si="190"/>
        <v/>
      </c>
      <c r="AG553" s="90">
        <f t="shared" si="191"/>
        <v>10016</v>
      </c>
      <c r="AH553" s="90">
        <f t="shared" si="192"/>
        <v>2018</v>
      </c>
      <c r="AI553" s="90">
        <f t="shared" si="193"/>
        <v>10747</v>
      </c>
      <c r="AJ553" s="90">
        <f t="shared" si="194"/>
        <v>2022</v>
      </c>
      <c r="AK553" s="90" t="str">
        <f t="shared" si="195"/>
        <v/>
      </c>
      <c r="AL553" s="91">
        <f>IF(AK553="Adjust",(_xlfn.XLOOKUP(A553,'Adj factor'!A:A,'Adj factor'!I:I,,0)*AI553),'Master DataSheet (Rev)'!AI553)</f>
        <v>10747</v>
      </c>
      <c r="AM553" s="91">
        <f t="shared" si="196"/>
        <v>10747</v>
      </c>
      <c r="AN553" s="92" t="str">
        <f t="shared" si="197"/>
        <v>Increasing</v>
      </c>
      <c r="AO553" s="93">
        <f>VLOOKUP(B553,'Growthrates source'!A$2:H$49,8,FALSE)</f>
        <v>-0.13121558498618857</v>
      </c>
      <c r="AP553" s="93">
        <f>VLOOKUP(B553,'Growthrates source'!A$2:I$49,9,FALSE)</f>
        <v>0.50042870775453441</v>
      </c>
      <c r="AQ553" s="86">
        <f t="shared" si="198"/>
        <v>19303.023453988262</v>
      </c>
      <c r="AR553" s="86">
        <f t="shared" si="199"/>
        <v>44946.367139643909</v>
      </c>
      <c r="AS553" s="94">
        <f t="shared" si="200"/>
        <v>0</v>
      </c>
      <c r="AT553" s="94">
        <f t="shared" si="201"/>
        <v>5.4529964068259842</v>
      </c>
      <c r="AU553" s="94">
        <f t="shared" si="203"/>
        <v>5.2667646689038072</v>
      </c>
      <c r="AV553" s="94">
        <f t="shared" si="204"/>
        <v>5.2667646689038072</v>
      </c>
    </row>
    <row r="554" spans="1:48" x14ac:dyDescent="0.3">
      <c r="A554" s="85" t="str">
        <f>_xlfn.XLOOKUP(B554,'Country codes &amp; Data sources'!G:G,'Country codes &amp; Data sources'!H:H,,0)</f>
        <v>Malawi</v>
      </c>
      <c r="B554" s="85" t="s">
        <v>178</v>
      </c>
      <c r="C554" s="86">
        <v>15581256.5</v>
      </c>
      <c r="D554" s="85" t="s">
        <v>61</v>
      </c>
      <c r="E554" s="87">
        <v>0</v>
      </c>
      <c r="F554" s="88">
        <v>16024775.499999996</v>
      </c>
      <c r="G554" s="87">
        <v>0</v>
      </c>
      <c r="I554" s="87">
        <v>0</v>
      </c>
      <c r="K554" s="87">
        <v>0</v>
      </c>
      <c r="M554" s="87">
        <v>0</v>
      </c>
      <c r="O554" s="87">
        <v>0</v>
      </c>
      <c r="P554" s="88">
        <v>18367882.999999985</v>
      </c>
      <c r="Q554" s="87">
        <v>0</v>
      </c>
      <c r="R554" s="87">
        <f t="shared" si="186"/>
        <v>25</v>
      </c>
      <c r="T554" s="87">
        <v>0</v>
      </c>
      <c r="V554" s="87">
        <v>9</v>
      </c>
      <c r="X554" s="87">
        <v>0</v>
      </c>
      <c r="Y554" s="88">
        <v>20405316.500000019</v>
      </c>
      <c r="Z554" s="87">
        <v>0</v>
      </c>
      <c r="AA554" s="87">
        <v>25</v>
      </c>
      <c r="AB554" s="89">
        <f t="shared" si="187"/>
        <v>0</v>
      </c>
      <c r="AC554" s="89">
        <f t="shared" si="188"/>
        <v>0</v>
      </c>
      <c r="AD554" s="89">
        <f t="shared" si="189"/>
        <v>9</v>
      </c>
      <c r="AF554" s="90" t="str">
        <f t="shared" si="190"/>
        <v/>
      </c>
      <c r="AG554" s="90">
        <f t="shared" si="191"/>
        <v>25</v>
      </c>
      <c r="AH554" s="90" t="str">
        <f t="shared" si="192"/>
        <v>2018 (triag)</v>
      </c>
      <c r="AI554" s="90">
        <f t="shared" si="193"/>
        <v>9</v>
      </c>
      <c r="AJ554" s="90">
        <f t="shared" si="194"/>
        <v>2020</v>
      </c>
      <c r="AK554" s="90" t="str">
        <f t="shared" si="195"/>
        <v>Adjust</v>
      </c>
      <c r="AL554" s="91">
        <f>IF(AK554="Adjust",(_xlfn.XLOOKUP(A554,'Adj factor'!A:A,'Adj factor'!I:I,,0)*AI554),'Master DataSheet (Rev)'!AI554)</f>
        <v>9.9719618239660672</v>
      </c>
      <c r="AM554" s="91">
        <f t="shared" si="196"/>
        <v>25</v>
      </c>
      <c r="AN554" s="92" t="str">
        <f t="shared" si="197"/>
        <v>Decreasing</v>
      </c>
      <c r="AO554" s="93">
        <f>VLOOKUP(B554,'Growthrates source'!A$2:H$49,8,FALSE)</f>
        <v>-0.13121558498618857</v>
      </c>
      <c r="AP554" s="93">
        <f>VLOOKUP(B554,'Growthrates source'!A$2:I$49,9,FALSE)</f>
        <v>0.50042870775453441</v>
      </c>
      <c r="AQ554" s="86">
        <f t="shared" si="198"/>
        <v>48.180469883157599</v>
      </c>
      <c r="AR554" s="86">
        <f t="shared" si="199"/>
        <v>112.18641957778533</v>
      </c>
      <c r="AS554" s="94">
        <f t="shared" si="200"/>
        <v>0</v>
      </c>
      <c r="AT554" s="94">
        <f t="shared" si="201"/>
        <v>1.3610713874865177E-2</v>
      </c>
      <c r="AU554" s="94">
        <f t="shared" si="203"/>
        <v>4.8869429807501677E-3</v>
      </c>
      <c r="AV554" s="94">
        <f t="shared" si="204"/>
        <v>1.2251709009267255E-2</v>
      </c>
    </row>
    <row r="555" spans="1:48" x14ac:dyDescent="0.3">
      <c r="A555" s="85" t="str">
        <f>_xlfn.XLOOKUP(B555,'Country codes &amp; Data sources'!G:G,'Country codes &amp; Data sources'!H:H,,0)</f>
        <v>Malawi</v>
      </c>
      <c r="B555" s="85" t="s">
        <v>178</v>
      </c>
      <c r="C555" s="86">
        <v>15581257.5</v>
      </c>
      <c r="D555" s="85" t="s">
        <v>62</v>
      </c>
      <c r="E555" s="87">
        <v>0</v>
      </c>
      <c r="F555" s="88">
        <v>16024775.499999996</v>
      </c>
      <c r="G555" s="87">
        <v>0</v>
      </c>
      <c r="I555" s="87">
        <v>0</v>
      </c>
      <c r="K555" s="87">
        <v>0</v>
      </c>
      <c r="M555" s="87">
        <v>0</v>
      </c>
      <c r="O555" s="87">
        <v>0</v>
      </c>
      <c r="P555" s="88">
        <v>18367882.999999985</v>
      </c>
      <c r="Q555" s="87">
        <v>0</v>
      </c>
      <c r="R555" s="87">
        <f t="shared" si="186"/>
        <v>35</v>
      </c>
      <c r="T555" s="87">
        <v>0</v>
      </c>
      <c r="V555" s="87">
        <v>0</v>
      </c>
      <c r="X555" s="87">
        <v>0</v>
      </c>
      <c r="Y555" s="88">
        <v>20405316.500000019</v>
      </c>
      <c r="Z555" s="87">
        <v>0</v>
      </c>
      <c r="AA555" s="87">
        <v>35</v>
      </c>
      <c r="AB555" s="89">
        <f t="shared" si="187"/>
        <v>0</v>
      </c>
      <c r="AC555" s="89">
        <f t="shared" si="188"/>
        <v>0</v>
      </c>
      <c r="AD555" s="89">
        <f t="shared" si="189"/>
        <v>0</v>
      </c>
      <c r="AF555" s="90" t="str">
        <f t="shared" si="190"/>
        <v/>
      </c>
      <c r="AG555" s="90">
        <f t="shared" si="191"/>
        <v>35</v>
      </c>
      <c r="AH555" s="90" t="str">
        <f t="shared" si="192"/>
        <v>2018 (triag)</v>
      </c>
      <c r="AI555" s="90">
        <f t="shared" si="193"/>
        <v>35</v>
      </c>
      <c r="AJ555" s="90" t="str">
        <f t="shared" si="194"/>
        <v>2018 (triag)</v>
      </c>
      <c r="AK555" s="90" t="str">
        <f t="shared" si="195"/>
        <v/>
      </c>
      <c r="AL555" s="91">
        <f>IF(AK555="Adjust",(_xlfn.XLOOKUP(A555,'Adj factor'!A:A,'Adj factor'!I:I,,0)*AI555),'Master DataSheet (Rev)'!AI555)</f>
        <v>35</v>
      </c>
      <c r="AM555" s="91">
        <f t="shared" si="196"/>
        <v>35</v>
      </c>
      <c r="AN555" s="92" t="str">
        <f t="shared" si="197"/>
        <v>No change</v>
      </c>
      <c r="AO555" s="93">
        <f>VLOOKUP(B555,'Growthrates source'!A$2:H$49,8,FALSE)</f>
        <v>-0.13121558498618857</v>
      </c>
      <c r="AP555" s="93">
        <f>VLOOKUP(B555,'Growthrates source'!A$2:I$49,9,FALSE)</f>
        <v>0.50042870775453441</v>
      </c>
      <c r="AQ555" s="86">
        <f t="shared" si="198"/>
        <v>67.452657836420642</v>
      </c>
      <c r="AR555" s="86">
        <f t="shared" si="199"/>
        <v>157.06098740889945</v>
      </c>
      <c r="AS555" s="94">
        <f t="shared" si="200"/>
        <v>0</v>
      </c>
      <c r="AT555" s="94">
        <f t="shared" si="201"/>
        <v>1.9054999424811248E-2</v>
      </c>
      <c r="AU555" s="94">
        <f t="shared" si="203"/>
        <v>1.7152392612974156E-2</v>
      </c>
      <c r="AV555" s="94">
        <f t="shared" si="204"/>
        <v>1.7152392612974156E-2</v>
      </c>
    </row>
    <row r="556" spans="1:48" x14ac:dyDescent="0.3">
      <c r="A556" s="85" t="str">
        <f>_xlfn.XLOOKUP(B556,'Country codes &amp; Data sources'!G:G,'Country codes &amp; Data sources'!H:H,,0)</f>
        <v>Malawi</v>
      </c>
      <c r="B556" s="85" t="s">
        <v>178</v>
      </c>
      <c r="C556" s="86">
        <v>15581258.5</v>
      </c>
      <c r="D556" s="85" t="s">
        <v>203</v>
      </c>
      <c r="E556" s="87">
        <v>0</v>
      </c>
      <c r="F556" s="88">
        <v>16024775.499999996</v>
      </c>
      <c r="G556" s="87">
        <v>0</v>
      </c>
      <c r="I556" s="87">
        <v>0</v>
      </c>
      <c r="K556" s="87">
        <v>0</v>
      </c>
      <c r="M556" s="87">
        <v>0</v>
      </c>
      <c r="O556" s="87">
        <v>0</v>
      </c>
      <c r="P556" s="88">
        <v>18367882.999999985</v>
      </c>
      <c r="Q556" s="87">
        <v>0</v>
      </c>
      <c r="R556" s="87">
        <f t="shared" si="186"/>
        <v>178</v>
      </c>
      <c r="T556" s="87">
        <v>0</v>
      </c>
      <c r="V556" s="87">
        <v>0</v>
      </c>
      <c r="X556" s="87">
        <v>0</v>
      </c>
      <c r="Y556" s="88">
        <v>20405316.500000019</v>
      </c>
      <c r="Z556" s="87">
        <v>0</v>
      </c>
      <c r="AA556" s="87">
        <v>178</v>
      </c>
      <c r="AB556" s="89">
        <f t="shared" si="187"/>
        <v>0</v>
      </c>
      <c r="AC556" s="89">
        <f t="shared" si="188"/>
        <v>0</v>
      </c>
      <c r="AD556" s="89">
        <f t="shared" si="189"/>
        <v>0</v>
      </c>
      <c r="AF556" s="90" t="str">
        <f t="shared" si="190"/>
        <v/>
      </c>
      <c r="AG556" s="90">
        <f t="shared" si="191"/>
        <v>178</v>
      </c>
      <c r="AH556" s="90" t="str">
        <f t="shared" si="192"/>
        <v>2018 (triag)</v>
      </c>
      <c r="AI556" s="90">
        <f t="shared" si="193"/>
        <v>178</v>
      </c>
      <c r="AJ556" s="90" t="str">
        <f t="shared" si="194"/>
        <v>2018 (triag)</v>
      </c>
      <c r="AK556" s="90" t="str">
        <f t="shared" si="195"/>
        <v/>
      </c>
      <c r="AL556" s="91">
        <f>IF(AK556="Adjust",(_xlfn.XLOOKUP(A556,'Adj factor'!A:A,'Adj factor'!I:I,,0)*AI556),'Master DataSheet (Rev)'!AI556)</f>
        <v>178</v>
      </c>
      <c r="AM556" s="91">
        <f t="shared" si="196"/>
        <v>178</v>
      </c>
      <c r="AN556" s="92" t="str">
        <f t="shared" si="197"/>
        <v>No change</v>
      </c>
      <c r="AO556" s="93">
        <f>VLOOKUP(B556,'Growthrates source'!A$2:H$49,8,FALSE)</f>
        <v>-0.13121558498618857</v>
      </c>
      <c r="AP556" s="93">
        <f>VLOOKUP(B556,'Growthrates source'!A$2:I$49,9,FALSE)</f>
        <v>0.50042870775453441</v>
      </c>
      <c r="AQ556" s="86">
        <f t="shared" si="198"/>
        <v>343.04494556808208</v>
      </c>
      <c r="AR556" s="86">
        <f t="shared" si="199"/>
        <v>798.76730739383152</v>
      </c>
      <c r="AS556" s="94">
        <f t="shared" si="200"/>
        <v>0</v>
      </c>
      <c r="AT556" s="94">
        <f t="shared" si="201"/>
        <v>9.6908282789040054E-2</v>
      </c>
      <c r="AU556" s="94">
        <f t="shared" si="203"/>
        <v>8.723216814598285E-2</v>
      </c>
      <c r="AV556" s="94">
        <f t="shared" si="204"/>
        <v>8.723216814598285E-2</v>
      </c>
    </row>
    <row r="557" spans="1:48" x14ac:dyDescent="0.3">
      <c r="A557" s="85" t="str">
        <f>_xlfn.XLOOKUP(B557,'Country codes &amp; Data sources'!G:G,'Country codes &amp; Data sources'!H:H,,0)</f>
        <v>Malawi</v>
      </c>
      <c r="B557" s="85" t="s">
        <v>178</v>
      </c>
      <c r="C557" s="86">
        <v>15581259.5</v>
      </c>
      <c r="D557" s="85" t="s">
        <v>204</v>
      </c>
      <c r="E557" s="87">
        <v>0</v>
      </c>
      <c r="F557" s="88">
        <v>16024775.499999996</v>
      </c>
      <c r="G557" s="87">
        <v>0</v>
      </c>
      <c r="I557" s="87">
        <v>0</v>
      </c>
      <c r="K557" s="87">
        <v>0</v>
      </c>
      <c r="M557" s="87">
        <v>0</v>
      </c>
      <c r="O557" s="87">
        <v>0</v>
      </c>
      <c r="P557" s="88">
        <v>18367882.999999985</v>
      </c>
      <c r="Q557" s="87">
        <v>0</v>
      </c>
      <c r="R557" s="87">
        <f t="shared" ref="R557:R609" si="205">MAX(Q557,AA557)</f>
        <v>178</v>
      </c>
      <c r="T557" s="87">
        <v>0</v>
      </c>
      <c r="V557" s="87">
        <v>2630</v>
      </c>
      <c r="X557" s="87">
        <v>0</v>
      </c>
      <c r="Y557" s="88">
        <v>20405316.500000019</v>
      </c>
      <c r="Z557" s="87">
        <v>561</v>
      </c>
      <c r="AA557" s="87">
        <v>178</v>
      </c>
      <c r="AB557" s="89">
        <f t="shared" ref="AB557:AB609" si="206">MAX(G557,E557,I557,K557)</f>
        <v>0</v>
      </c>
      <c r="AC557" s="89">
        <f t="shared" ref="AC557:AC609" si="207">MAX(M557,O557,Q557,T557)</f>
        <v>0</v>
      </c>
      <c r="AD557" s="89">
        <f t="shared" ref="AD557:AD609" si="208">MAX(V557,X557,Z557)</f>
        <v>2630</v>
      </c>
      <c r="AF557" s="90" t="str">
        <f t="shared" ref="AF557:AF609" si="209">IF(AE557&gt;0,_xlfn.XLOOKUP(AE557,$B557:$K557,$B$1:$K$1,,0),"")</f>
        <v/>
      </c>
      <c r="AG557" s="90">
        <f t="shared" ref="AG557:AG605" si="210">IF(R557&gt;0,R557,IF(O557&gt;0,O557,T557))</f>
        <v>178</v>
      </c>
      <c r="AH557" s="90" t="str">
        <f t="shared" ref="AH557:AH609" si="211">IF(AG557&gt;0,_xlfn.XLOOKUP(AG557,$L557:$T557,$L$1:$T$1,,0),"")</f>
        <v>2018 (triag)</v>
      </c>
      <c r="AI557" s="90">
        <f t="shared" ref="AI557:AI609" si="212">IF((IF(Z557&gt;0,Z557,IF(X557&gt;0,X557,IF(V557&gt;0,V557,T557))))=0,AG557,IF(Z557&gt;0,Z557,IF(X557&gt;0,X557,IF(V557&gt;0,V557,T557))))</f>
        <v>561</v>
      </c>
      <c r="AJ557" s="90">
        <f t="shared" ref="AJ557:AJ609" si="213">IFERROR(IF(AI557&gt;0,_xlfn.XLOOKUP(AI557,$V557:$Z557,$V$1:$Z$1,,0),""),AH557)</f>
        <v>2022</v>
      </c>
      <c r="AK557" s="90" t="str">
        <f t="shared" ref="AK557:AK609" si="214">IF(AI557&lt;AG557,"Adjust","")</f>
        <v/>
      </c>
      <c r="AL557" s="91">
        <f>IF(AK557="Adjust",(_xlfn.XLOOKUP(A557,'Adj factor'!A:A,'Adj factor'!I:I,,0)*AI557),'Master DataSheet (Rev)'!AI557)</f>
        <v>561</v>
      </c>
      <c r="AM557" s="91">
        <f t="shared" ref="AM557:AM609" si="215">IF(AL557&lt;AG557,AG557,AL557)</f>
        <v>561</v>
      </c>
      <c r="AN557" s="92" t="str">
        <f t="shared" ref="AN557:AN609" si="216">IF(AL557&gt;AG557,"Increasing",IF(AL557&lt;AG557,"Decreasing","No change"))</f>
        <v>Increasing</v>
      </c>
      <c r="AO557" s="93">
        <f>VLOOKUP(B557,'Growthrates source'!A$2:H$49,8,FALSE)</f>
        <v>-0.13121558498618857</v>
      </c>
      <c r="AP557" s="93">
        <f>VLOOKUP(B557,'Growthrates source'!A$2:I$49,9,FALSE)</f>
        <v>0.50042870775453441</v>
      </c>
      <c r="AQ557" s="86">
        <f t="shared" ref="AQ557:AQ609" si="217">AA557/(EXP(AO557*5))</f>
        <v>343.04494556808208</v>
      </c>
      <c r="AR557" s="86">
        <f t="shared" ref="AR557:AR609" si="218">AA557*EXP(AP557*3)</f>
        <v>798.76730739383152</v>
      </c>
      <c r="AS557" s="94">
        <f t="shared" ref="AS557:AS609" si="219">(AE557*10000)/F557</f>
        <v>0</v>
      </c>
      <c r="AT557" s="94">
        <f t="shared" ref="AT557:AT609" si="220">(AG557*10000)/P557</f>
        <v>9.6908282789040054E-2</v>
      </c>
      <c r="AU557" s="94">
        <f t="shared" si="203"/>
        <v>0.27492835016795719</v>
      </c>
      <c r="AV557" s="94">
        <f t="shared" si="204"/>
        <v>0.27492835016795719</v>
      </c>
    </row>
    <row r="558" spans="1:48" x14ac:dyDescent="0.3">
      <c r="A558" s="85" t="str">
        <f>_xlfn.XLOOKUP(B558,'Country codes &amp; Data sources'!G:G,'Country codes &amp; Data sources'!H:H,,0)</f>
        <v>Malawi</v>
      </c>
      <c r="B558" s="85" t="s">
        <v>178</v>
      </c>
      <c r="C558" s="86">
        <v>15581260.5</v>
      </c>
      <c r="D558" s="85" t="s">
        <v>205</v>
      </c>
      <c r="E558" s="87">
        <v>0</v>
      </c>
      <c r="F558" s="88">
        <v>16024775.499999996</v>
      </c>
      <c r="G558" s="87">
        <v>0</v>
      </c>
      <c r="I558" s="87">
        <v>0</v>
      </c>
      <c r="K558" s="87">
        <v>0</v>
      </c>
      <c r="M558" s="87">
        <v>0</v>
      </c>
      <c r="O558" s="87">
        <v>0</v>
      </c>
      <c r="P558" s="88">
        <v>18367882.999999985</v>
      </c>
      <c r="Q558" s="87">
        <v>0</v>
      </c>
      <c r="R558" s="87">
        <f t="shared" si="205"/>
        <v>0</v>
      </c>
      <c r="T558" s="87">
        <v>0</v>
      </c>
      <c r="V558" s="87">
        <v>0</v>
      </c>
      <c r="X558" s="87">
        <v>0</v>
      </c>
      <c r="Y558" s="88">
        <v>20405316.500000019</v>
      </c>
      <c r="Z558" s="87">
        <v>12</v>
      </c>
      <c r="AA558" s="87">
        <v>0</v>
      </c>
      <c r="AB558" s="89">
        <f t="shared" si="206"/>
        <v>0</v>
      </c>
      <c r="AC558" s="89">
        <f t="shared" si="207"/>
        <v>0</v>
      </c>
      <c r="AD558" s="89">
        <f t="shared" si="208"/>
        <v>12</v>
      </c>
      <c r="AF558" s="90" t="str">
        <f t="shared" si="209"/>
        <v/>
      </c>
      <c r="AH558" s="90" t="str">
        <f t="shared" si="211"/>
        <v/>
      </c>
      <c r="AI558" s="90">
        <f t="shared" si="212"/>
        <v>12</v>
      </c>
      <c r="AJ558" s="90">
        <f t="shared" si="213"/>
        <v>2022</v>
      </c>
      <c r="AK558" s="90" t="str">
        <f t="shared" si="214"/>
        <v/>
      </c>
      <c r="AL558" s="91">
        <f>IF(AK558="Adjust",(_xlfn.XLOOKUP(A558,'Adj factor'!A:A,'Adj factor'!I:I,,0)*AI558),'Master DataSheet (Rev)'!AI558)</f>
        <v>12</v>
      </c>
      <c r="AM558" s="91">
        <f t="shared" si="215"/>
        <v>12</v>
      </c>
      <c r="AN558" s="92" t="str">
        <f t="shared" si="216"/>
        <v>Increasing</v>
      </c>
      <c r="AO558" s="93">
        <f>VLOOKUP(B558,'Growthrates source'!A$2:H$49,8,FALSE)</f>
        <v>-0.13121558498618857</v>
      </c>
      <c r="AP558" s="93">
        <f>VLOOKUP(B558,'Growthrates source'!A$2:I$49,9,FALSE)</f>
        <v>0.50042870775453441</v>
      </c>
      <c r="AQ558" s="86">
        <f t="shared" si="217"/>
        <v>0</v>
      </c>
      <c r="AR558" s="86">
        <f t="shared" si="218"/>
        <v>0</v>
      </c>
      <c r="AS558" s="94">
        <f t="shared" si="219"/>
        <v>0</v>
      </c>
      <c r="AT558" s="94">
        <f t="shared" si="220"/>
        <v>0</v>
      </c>
      <c r="AU558" s="94">
        <f t="shared" si="203"/>
        <v>5.8808203244482826E-3</v>
      </c>
      <c r="AV558" s="94">
        <f t="shared" si="204"/>
        <v>5.8808203244482826E-3</v>
      </c>
    </row>
    <row r="559" spans="1:48" x14ac:dyDescent="0.3">
      <c r="A559" s="85" t="str">
        <f>_xlfn.XLOOKUP(B559,'Country codes &amp; Data sources'!G:G,'Country codes &amp; Data sources'!H:H,,0)</f>
        <v>Malawi</v>
      </c>
      <c r="B559" s="85" t="s">
        <v>178</v>
      </c>
      <c r="C559" s="86">
        <v>15581261.5</v>
      </c>
      <c r="D559" s="85" t="s">
        <v>133</v>
      </c>
      <c r="E559" s="87">
        <v>0</v>
      </c>
      <c r="F559" s="88">
        <v>16024775.499999996</v>
      </c>
      <c r="G559" s="87">
        <v>0</v>
      </c>
      <c r="I559" s="87">
        <v>0</v>
      </c>
      <c r="K559" s="87">
        <v>0</v>
      </c>
      <c r="M559" s="87">
        <v>0</v>
      </c>
      <c r="O559" s="87">
        <v>0</v>
      </c>
      <c r="P559" s="88">
        <v>18367882.999999985</v>
      </c>
      <c r="Q559" s="87">
        <v>542</v>
      </c>
      <c r="R559" s="87">
        <f t="shared" si="205"/>
        <v>542</v>
      </c>
      <c r="T559" s="87">
        <v>0</v>
      </c>
      <c r="V559" s="87">
        <v>743</v>
      </c>
      <c r="X559" s="87">
        <v>0</v>
      </c>
      <c r="Y559" s="88">
        <v>20405316.500000019</v>
      </c>
      <c r="Z559" s="87">
        <v>81</v>
      </c>
      <c r="AA559" s="87">
        <v>0</v>
      </c>
      <c r="AB559" s="89">
        <f t="shared" si="206"/>
        <v>0</v>
      </c>
      <c r="AC559" s="89">
        <f t="shared" si="207"/>
        <v>542</v>
      </c>
      <c r="AD559" s="89">
        <f t="shared" si="208"/>
        <v>743</v>
      </c>
      <c r="AF559" s="90" t="str">
        <f t="shared" si="209"/>
        <v/>
      </c>
      <c r="AG559" s="90">
        <f t="shared" si="210"/>
        <v>542</v>
      </c>
      <c r="AH559" s="90">
        <f t="shared" si="211"/>
        <v>2018</v>
      </c>
      <c r="AI559" s="90">
        <f t="shared" si="212"/>
        <v>81</v>
      </c>
      <c r="AJ559" s="90">
        <f t="shared" si="213"/>
        <v>2022</v>
      </c>
      <c r="AK559" s="90" t="str">
        <f t="shared" si="214"/>
        <v>Adjust</v>
      </c>
      <c r="AL559" s="91">
        <f>IF(AK559="Adjust",(_xlfn.XLOOKUP(A559,'Adj factor'!A:A,'Adj factor'!I:I,,0)*AI559),'Master DataSheet (Rev)'!AI559)</f>
        <v>89.747656415694607</v>
      </c>
      <c r="AM559" s="91">
        <f t="shared" si="215"/>
        <v>542</v>
      </c>
      <c r="AN559" s="92" t="str">
        <f t="shared" si="216"/>
        <v>Decreasing</v>
      </c>
      <c r="AO559" s="93">
        <f>VLOOKUP(B559,'Growthrates source'!A$2:H$49,8,FALSE)</f>
        <v>-0.13121558498618857</v>
      </c>
      <c r="AP559" s="93">
        <f>VLOOKUP(B559,'Growthrates source'!A$2:I$49,9,FALSE)</f>
        <v>0.50042870775453441</v>
      </c>
      <c r="AQ559" s="86">
        <f t="shared" si="217"/>
        <v>0</v>
      </c>
      <c r="AR559" s="86">
        <f t="shared" si="218"/>
        <v>0</v>
      </c>
      <c r="AS559" s="94">
        <f t="shared" si="219"/>
        <v>0</v>
      </c>
      <c r="AT559" s="94">
        <f t="shared" si="220"/>
        <v>0.29508027680707705</v>
      </c>
      <c r="AU559" s="94">
        <f t="shared" si="203"/>
        <v>4.3982486826751509E-2</v>
      </c>
      <c r="AV559" s="94">
        <f t="shared" si="204"/>
        <v>0.26561705132091407</v>
      </c>
    </row>
    <row r="560" spans="1:48" x14ac:dyDescent="0.3">
      <c r="A560" s="85" t="str">
        <f>_xlfn.XLOOKUP(B560,'Country codes &amp; Data sources'!G:G,'Country codes &amp; Data sources'!H:H,,0)</f>
        <v>Malawi</v>
      </c>
      <c r="B560" s="85" t="s">
        <v>178</v>
      </c>
      <c r="C560" s="86">
        <v>15581262.5</v>
      </c>
      <c r="D560" s="85" t="s">
        <v>206</v>
      </c>
      <c r="E560" s="87">
        <v>0</v>
      </c>
      <c r="F560" s="88">
        <v>16024775.499999996</v>
      </c>
      <c r="G560" s="87">
        <v>0</v>
      </c>
      <c r="I560" s="87">
        <v>0</v>
      </c>
      <c r="K560" s="87">
        <v>0</v>
      </c>
      <c r="M560" s="87">
        <v>0</v>
      </c>
      <c r="O560" s="87">
        <v>0</v>
      </c>
      <c r="P560" s="88">
        <v>18367882.999999985</v>
      </c>
      <c r="Q560" s="87">
        <v>0</v>
      </c>
      <c r="R560" s="87">
        <f t="shared" si="205"/>
        <v>2804</v>
      </c>
      <c r="T560" s="87">
        <v>0</v>
      </c>
      <c r="V560" s="87">
        <v>1809</v>
      </c>
      <c r="X560" s="87">
        <v>0</v>
      </c>
      <c r="Y560" s="88">
        <v>20405316.500000019</v>
      </c>
      <c r="Z560" s="87">
        <v>1661</v>
      </c>
      <c r="AA560" s="87">
        <v>2804</v>
      </c>
      <c r="AB560" s="89">
        <f t="shared" si="206"/>
        <v>0</v>
      </c>
      <c r="AC560" s="89">
        <f t="shared" si="207"/>
        <v>0</v>
      </c>
      <c r="AD560" s="89">
        <f t="shared" si="208"/>
        <v>1809</v>
      </c>
      <c r="AF560" s="90" t="str">
        <f t="shared" si="209"/>
        <v/>
      </c>
      <c r="AG560" s="90">
        <f t="shared" si="210"/>
        <v>2804</v>
      </c>
      <c r="AH560" s="90" t="str">
        <f t="shared" si="211"/>
        <v>2018 (triag)</v>
      </c>
      <c r="AI560" s="90">
        <f t="shared" si="212"/>
        <v>1661</v>
      </c>
      <c r="AJ560" s="90">
        <f t="shared" si="213"/>
        <v>2022</v>
      </c>
      <c r="AK560" s="90" t="str">
        <f t="shared" si="214"/>
        <v>Adjust</v>
      </c>
      <c r="AL560" s="91">
        <f>IF(AK560="Adjust",(_xlfn.XLOOKUP(A560,'Adj factor'!A:A,'Adj factor'!I:I,,0)*AI560),'Master DataSheet (Rev)'!AI560)</f>
        <v>1840.3809544008486</v>
      </c>
      <c r="AM560" s="91">
        <f t="shared" si="215"/>
        <v>2804</v>
      </c>
      <c r="AN560" s="92" t="str">
        <f t="shared" si="216"/>
        <v>Decreasing</v>
      </c>
      <c r="AO560" s="93">
        <f>VLOOKUP(B560,'Growthrates source'!A$2:H$49,8,FALSE)</f>
        <v>-0.13121558498618857</v>
      </c>
      <c r="AP560" s="93">
        <f>VLOOKUP(B560,'Growthrates source'!A$2:I$49,9,FALSE)</f>
        <v>0.50042870775453441</v>
      </c>
      <c r="AQ560" s="86">
        <f t="shared" si="217"/>
        <v>5403.9215020949559</v>
      </c>
      <c r="AR560" s="86">
        <f t="shared" si="218"/>
        <v>12582.828819844402</v>
      </c>
      <c r="AS560" s="94">
        <f t="shared" si="219"/>
        <v>0</v>
      </c>
      <c r="AT560" s="94">
        <f t="shared" si="220"/>
        <v>1.5265776682048782</v>
      </c>
      <c r="AU560" s="94">
        <f t="shared" si="203"/>
        <v>0.90191247678066988</v>
      </c>
      <c r="AV560" s="94">
        <f t="shared" si="204"/>
        <v>1.3741516824794153</v>
      </c>
    </row>
    <row r="561" spans="1:48" x14ac:dyDescent="0.3">
      <c r="A561" s="85" t="str">
        <f>_xlfn.XLOOKUP(B561,'Country codes &amp; Data sources'!G:G,'Country codes &amp; Data sources'!H:H,,0)</f>
        <v>Malawi</v>
      </c>
      <c r="B561" s="85" t="s">
        <v>178</v>
      </c>
      <c r="C561" s="86">
        <v>15581263.5</v>
      </c>
      <c r="D561" s="85" t="s">
        <v>136</v>
      </c>
      <c r="E561" s="87">
        <v>0</v>
      </c>
      <c r="F561" s="88">
        <v>16024775.499999996</v>
      </c>
      <c r="G561" s="87">
        <v>0</v>
      </c>
      <c r="I561" s="87">
        <v>0</v>
      </c>
      <c r="K561" s="87">
        <v>0</v>
      </c>
      <c r="M561" s="87">
        <v>0</v>
      </c>
      <c r="O561" s="87">
        <v>0</v>
      </c>
      <c r="P561" s="88">
        <v>18367882.999999985</v>
      </c>
      <c r="Q561" s="87">
        <v>0</v>
      </c>
      <c r="R561" s="87">
        <f t="shared" si="205"/>
        <v>44</v>
      </c>
      <c r="T561" s="87">
        <v>0</v>
      </c>
      <c r="V561" s="87">
        <v>0</v>
      </c>
      <c r="X561" s="87">
        <v>0</v>
      </c>
      <c r="Y561" s="88">
        <v>20405316.500000019</v>
      </c>
      <c r="Z561" s="87">
        <v>610</v>
      </c>
      <c r="AA561" s="87">
        <v>44</v>
      </c>
      <c r="AB561" s="89">
        <f t="shared" si="206"/>
        <v>0</v>
      </c>
      <c r="AC561" s="89">
        <f t="shared" si="207"/>
        <v>0</v>
      </c>
      <c r="AD561" s="89">
        <f t="shared" si="208"/>
        <v>610</v>
      </c>
      <c r="AF561" s="90" t="str">
        <f t="shared" si="209"/>
        <v/>
      </c>
      <c r="AG561" s="90">
        <f t="shared" si="210"/>
        <v>44</v>
      </c>
      <c r="AH561" s="90" t="str">
        <f t="shared" si="211"/>
        <v>2018 (triag)</v>
      </c>
      <c r="AI561" s="90">
        <f t="shared" si="212"/>
        <v>610</v>
      </c>
      <c r="AJ561" s="90">
        <f t="shared" si="213"/>
        <v>2022</v>
      </c>
      <c r="AK561" s="90" t="str">
        <f t="shared" si="214"/>
        <v/>
      </c>
      <c r="AL561" s="91">
        <f>IF(AK561="Adjust",(_xlfn.XLOOKUP(A561,'Adj factor'!A:A,'Adj factor'!I:I,,0)*AI561),'Master DataSheet (Rev)'!AI561)</f>
        <v>610</v>
      </c>
      <c r="AM561" s="91">
        <f t="shared" si="215"/>
        <v>610</v>
      </c>
      <c r="AN561" s="92" t="str">
        <f t="shared" si="216"/>
        <v>Increasing</v>
      </c>
      <c r="AO561" s="93">
        <f>VLOOKUP(B561,'Growthrates source'!A$2:H$49,8,FALSE)</f>
        <v>-0.13121558498618857</v>
      </c>
      <c r="AP561" s="93">
        <f>VLOOKUP(B561,'Growthrates source'!A$2:I$49,9,FALSE)</f>
        <v>0.50042870775453441</v>
      </c>
      <c r="AQ561" s="86">
        <f t="shared" si="217"/>
        <v>84.797626994357373</v>
      </c>
      <c r="AR561" s="86">
        <f t="shared" si="218"/>
        <v>197.44809845690216</v>
      </c>
      <c r="AS561" s="94">
        <f t="shared" si="219"/>
        <v>0</v>
      </c>
      <c r="AT561" s="94">
        <f t="shared" si="220"/>
        <v>2.3954856419762711E-2</v>
      </c>
      <c r="AU561" s="94">
        <f t="shared" si="203"/>
        <v>0.29894169982612101</v>
      </c>
      <c r="AV561" s="94">
        <f t="shared" si="204"/>
        <v>0.29894169982612101</v>
      </c>
    </row>
    <row r="562" spans="1:48" x14ac:dyDescent="0.3">
      <c r="A562" s="85" t="str">
        <f>_xlfn.XLOOKUP(B562,'Country codes &amp; Data sources'!G:G,'Country codes &amp; Data sources'!H:H,,0)</f>
        <v>Malawi</v>
      </c>
      <c r="B562" s="85" t="s">
        <v>178</v>
      </c>
      <c r="C562" s="86">
        <v>15581264.5</v>
      </c>
      <c r="D562" s="85" t="s">
        <v>207</v>
      </c>
      <c r="E562" s="87">
        <v>0</v>
      </c>
      <c r="F562" s="88">
        <v>16024775.499999996</v>
      </c>
      <c r="G562" s="87">
        <v>0</v>
      </c>
      <c r="I562" s="87">
        <v>0</v>
      </c>
      <c r="K562" s="87">
        <v>0</v>
      </c>
      <c r="M562" s="87">
        <v>0</v>
      </c>
      <c r="O562" s="87">
        <v>0</v>
      </c>
      <c r="P562" s="88">
        <v>18367882.999999985</v>
      </c>
      <c r="Q562" s="87">
        <v>0</v>
      </c>
      <c r="R562" s="87">
        <f t="shared" si="205"/>
        <v>306</v>
      </c>
      <c r="T562" s="87">
        <v>0</v>
      </c>
      <c r="V562" s="87">
        <v>0</v>
      </c>
      <c r="X562" s="87">
        <v>0</v>
      </c>
      <c r="Y562" s="88">
        <v>20405316.500000019</v>
      </c>
      <c r="Z562" s="87">
        <v>0</v>
      </c>
      <c r="AA562" s="87">
        <v>306</v>
      </c>
      <c r="AB562" s="89">
        <f t="shared" si="206"/>
        <v>0</v>
      </c>
      <c r="AC562" s="89">
        <f t="shared" si="207"/>
        <v>0</v>
      </c>
      <c r="AD562" s="89">
        <f t="shared" si="208"/>
        <v>0</v>
      </c>
      <c r="AF562" s="90" t="str">
        <f t="shared" si="209"/>
        <v/>
      </c>
      <c r="AG562" s="90">
        <f t="shared" si="210"/>
        <v>306</v>
      </c>
      <c r="AH562" s="90" t="str">
        <f t="shared" si="211"/>
        <v>2018 (triag)</v>
      </c>
      <c r="AI562" s="90">
        <f t="shared" si="212"/>
        <v>306</v>
      </c>
      <c r="AJ562" s="90" t="str">
        <f t="shared" si="213"/>
        <v>2018 (triag)</v>
      </c>
      <c r="AK562" s="90" t="str">
        <f t="shared" si="214"/>
        <v/>
      </c>
      <c r="AL562" s="91">
        <f>IF(AK562="Adjust",(_xlfn.XLOOKUP(A562,'Adj factor'!A:A,'Adj factor'!I:I,,0)*AI562),'Master DataSheet (Rev)'!AI562)</f>
        <v>306</v>
      </c>
      <c r="AM562" s="91">
        <f t="shared" si="215"/>
        <v>306</v>
      </c>
      <c r="AN562" s="92" t="str">
        <f t="shared" si="216"/>
        <v>No change</v>
      </c>
      <c r="AO562" s="93">
        <f>VLOOKUP(B562,'Growthrates source'!A$2:H$49,8,FALSE)</f>
        <v>-0.13121558498618857</v>
      </c>
      <c r="AP562" s="93">
        <f>VLOOKUP(B562,'Growthrates source'!A$2:I$49,9,FALSE)</f>
        <v>0.50042870775453441</v>
      </c>
      <c r="AQ562" s="86">
        <f t="shared" si="217"/>
        <v>589.72895136984903</v>
      </c>
      <c r="AR562" s="86">
        <f t="shared" si="218"/>
        <v>1373.1617756320923</v>
      </c>
      <c r="AS562" s="94">
        <f t="shared" si="219"/>
        <v>0</v>
      </c>
      <c r="AT562" s="94">
        <f t="shared" si="220"/>
        <v>0.16659513782834975</v>
      </c>
      <c r="AU562" s="94">
        <f t="shared" si="203"/>
        <v>0.14996091827343119</v>
      </c>
      <c r="AV562" s="94">
        <f t="shared" si="204"/>
        <v>0.14996091827343119</v>
      </c>
    </row>
    <row r="563" spans="1:48" x14ac:dyDescent="0.3">
      <c r="A563" s="85" t="str">
        <f>_xlfn.XLOOKUP(B563,'Country codes &amp; Data sources'!G:G,'Country codes &amp; Data sources'!H:H,,0)</f>
        <v>Malawi</v>
      </c>
      <c r="B563" s="85" t="s">
        <v>178</v>
      </c>
      <c r="C563" s="86">
        <v>15581265.5</v>
      </c>
      <c r="D563" s="85" t="s">
        <v>141</v>
      </c>
      <c r="E563" s="87">
        <v>0</v>
      </c>
      <c r="F563" s="88">
        <v>16024775.499999996</v>
      </c>
      <c r="G563" s="87">
        <v>0</v>
      </c>
      <c r="I563" s="87">
        <v>0</v>
      </c>
      <c r="K563" s="87">
        <v>0</v>
      </c>
      <c r="M563" s="87">
        <v>0</v>
      </c>
      <c r="O563" s="87">
        <v>0</v>
      </c>
      <c r="P563" s="88">
        <v>18367882.999999985</v>
      </c>
      <c r="Q563" s="87">
        <v>0</v>
      </c>
      <c r="R563" s="87">
        <f t="shared" si="205"/>
        <v>13</v>
      </c>
      <c r="T563" s="87">
        <v>0</v>
      </c>
      <c r="V563" s="87">
        <v>91</v>
      </c>
      <c r="X563" s="87">
        <v>0</v>
      </c>
      <c r="Y563" s="88">
        <v>20405316.500000019</v>
      </c>
      <c r="Z563" s="87">
        <v>73</v>
      </c>
      <c r="AA563" s="87">
        <v>13</v>
      </c>
      <c r="AB563" s="89">
        <f t="shared" si="206"/>
        <v>0</v>
      </c>
      <c r="AC563" s="89">
        <f t="shared" si="207"/>
        <v>0</v>
      </c>
      <c r="AD563" s="89">
        <f t="shared" si="208"/>
        <v>91</v>
      </c>
      <c r="AF563" s="90" t="str">
        <f t="shared" si="209"/>
        <v/>
      </c>
      <c r="AG563" s="90">
        <f t="shared" si="210"/>
        <v>13</v>
      </c>
      <c r="AH563" s="90" t="str">
        <f t="shared" si="211"/>
        <v>2018 (triag)</v>
      </c>
      <c r="AI563" s="90">
        <f t="shared" si="212"/>
        <v>73</v>
      </c>
      <c r="AJ563" s="90">
        <f t="shared" si="213"/>
        <v>2022</v>
      </c>
      <c r="AK563" s="90" t="str">
        <f t="shared" si="214"/>
        <v/>
      </c>
      <c r="AL563" s="91">
        <f>IF(AK563="Adjust",(_xlfn.XLOOKUP(A563,'Adj factor'!A:A,'Adj factor'!I:I,,0)*AI563),'Master DataSheet (Rev)'!AI563)</f>
        <v>73</v>
      </c>
      <c r="AM563" s="91">
        <f t="shared" si="215"/>
        <v>73</v>
      </c>
      <c r="AN563" s="92" t="str">
        <f t="shared" si="216"/>
        <v>Increasing</v>
      </c>
      <c r="AO563" s="93">
        <f>VLOOKUP(B563,'Growthrates source'!A$2:H$49,8,FALSE)</f>
        <v>-0.13121558498618857</v>
      </c>
      <c r="AP563" s="93">
        <f>VLOOKUP(B563,'Growthrates source'!A$2:I$49,9,FALSE)</f>
        <v>0.50042870775453441</v>
      </c>
      <c r="AQ563" s="86">
        <f t="shared" si="217"/>
        <v>25.053844339241952</v>
      </c>
      <c r="AR563" s="86">
        <f t="shared" si="218"/>
        <v>58.336938180448371</v>
      </c>
      <c r="AS563" s="94">
        <f t="shared" si="219"/>
        <v>0</v>
      </c>
      <c r="AT563" s="94">
        <f t="shared" si="220"/>
        <v>7.077571214929892E-3</v>
      </c>
      <c r="AU563" s="94">
        <f t="shared" si="203"/>
        <v>3.5774990307060384E-2</v>
      </c>
      <c r="AV563" s="94">
        <f t="shared" si="204"/>
        <v>3.5774990307060384E-2</v>
      </c>
    </row>
    <row r="564" spans="1:48" x14ac:dyDescent="0.3">
      <c r="A564" s="85" t="str">
        <f>_xlfn.XLOOKUP(B564,'Country codes &amp; Data sources'!G:G,'Country codes &amp; Data sources'!H:H,,0)</f>
        <v>Malawi</v>
      </c>
      <c r="B564" s="85" t="s">
        <v>178</v>
      </c>
      <c r="C564" s="86">
        <v>15581266.5</v>
      </c>
      <c r="D564" s="85" t="s">
        <v>208</v>
      </c>
      <c r="E564" s="87">
        <v>0</v>
      </c>
      <c r="F564" s="88">
        <v>16024775.499999996</v>
      </c>
      <c r="G564" s="87">
        <v>0</v>
      </c>
      <c r="I564" s="87">
        <v>0</v>
      </c>
      <c r="K564" s="87">
        <v>0</v>
      </c>
      <c r="M564" s="87">
        <v>0</v>
      </c>
      <c r="O564" s="87">
        <v>0</v>
      </c>
      <c r="P564" s="88">
        <v>18367882.999999985</v>
      </c>
      <c r="Q564" s="87">
        <v>0</v>
      </c>
      <c r="R564" s="87">
        <f t="shared" si="205"/>
        <v>0</v>
      </c>
      <c r="T564" s="87">
        <v>0</v>
      </c>
      <c r="V564" s="87">
        <v>0</v>
      </c>
      <c r="X564" s="87">
        <v>0</v>
      </c>
      <c r="Y564" s="88">
        <v>20405316.500000019</v>
      </c>
      <c r="Z564" s="87">
        <v>0</v>
      </c>
      <c r="AA564" s="87">
        <v>0</v>
      </c>
      <c r="AB564" s="89">
        <f t="shared" si="206"/>
        <v>0</v>
      </c>
      <c r="AC564" s="89">
        <f t="shared" si="207"/>
        <v>0</v>
      </c>
      <c r="AD564" s="89">
        <f t="shared" si="208"/>
        <v>0</v>
      </c>
      <c r="AF564" s="90" t="str">
        <f t="shared" si="209"/>
        <v/>
      </c>
      <c r="AH564" s="90" t="str">
        <f t="shared" si="211"/>
        <v/>
      </c>
      <c r="AI564" s="90">
        <f t="shared" si="212"/>
        <v>0</v>
      </c>
      <c r="AJ564" s="90" t="str">
        <f t="shared" si="213"/>
        <v/>
      </c>
      <c r="AK564" s="90" t="str">
        <f t="shared" si="214"/>
        <v/>
      </c>
      <c r="AL564" s="91"/>
      <c r="AM564" s="91">
        <f t="shared" si="215"/>
        <v>0</v>
      </c>
      <c r="AN564" s="92" t="str">
        <f t="shared" si="216"/>
        <v>No change</v>
      </c>
      <c r="AO564" s="93">
        <f>VLOOKUP(B564,'Growthrates source'!A$2:H$49,8,FALSE)</f>
        <v>-0.13121558498618857</v>
      </c>
      <c r="AP564" s="93">
        <f>VLOOKUP(B564,'Growthrates source'!A$2:I$49,9,FALSE)</f>
        <v>0.50042870775453441</v>
      </c>
      <c r="AQ564" s="86">
        <f t="shared" si="217"/>
        <v>0</v>
      </c>
      <c r="AR564" s="86">
        <f t="shared" si="218"/>
        <v>0</v>
      </c>
      <c r="AS564" s="94">
        <f t="shared" si="219"/>
        <v>0</v>
      </c>
      <c r="AT564" s="94">
        <f t="shared" si="220"/>
        <v>0</v>
      </c>
      <c r="AU564" s="94">
        <f t="shared" si="203"/>
        <v>0</v>
      </c>
      <c r="AV564" s="94">
        <f t="shared" si="204"/>
        <v>0</v>
      </c>
    </row>
    <row r="565" spans="1:48" x14ac:dyDescent="0.3">
      <c r="A565" s="85" t="str">
        <f>_xlfn.XLOOKUP(B565,'Country codes &amp; Data sources'!G:G,'Country codes &amp; Data sources'!H:H,,0)</f>
        <v>Malawi</v>
      </c>
      <c r="B565" s="85" t="s">
        <v>178</v>
      </c>
      <c r="C565" s="86">
        <v>15581267.5</v>
      </c>
      <c r="D565" s="85" t="s">
        <v>209</v>
      </c>
      <c r="E565" s="87">
        <v>0</v>
      </c>
      <c r="F565" s="88">
        <v>16024775.499999996</v>
      </c>
      <c r="G565" s="87">
        <v>0</v>
      </c>
      <c r="I565" s="87">
        <v>0</v>
      </c>
      <c r="K565" s="87">
        <v>0</v>
      </c>
      <c r="M565" s="87">
        <v>0</v>
      </c>
      <c r="O565" s="87">
        <v>0</v>
      </c>
      <c r="P565" s="88">
        <v>18367882.999999985</v>
      </c>
      <c r="Q565" s="87">
        <v>0</v>
      </c>
      <c r="R565" s="87">
        <f t="shared" si="205"/>
        <v>0</v>
      </c>
      <c r="T565" s="87">
        <v>0</v>
      </c>
      <c r="V565" s="87">
        <v>0</v>
      </c>
      <c r="X565" s="87">
        <v>0</v>
      </c>
      <c r="Y565" s="88">
        <v>20405316.500000019</v>
      </c>
      <c r="Z565" s="87">
        <v>11178</v>
      </c>
      <c r="AA565" s="87">
        <v>0</v>
      </c>
      <c r="AB565" s="89">
        <f t="shared" si="206"/>
        <v>0</v>
      </c>
      <c r="AC565" s="89">
        <f t="shared" si="207"/>
        <v>0</v>
      </c>
      <c r="AD565" s="89">
        <f t="shared" si="208"/>
        <v>11178</v>
      </c>
      <c r="AF565" s="90" t="str">
        <f t="shared" si="209"/>
        <v/>
      </c>
      <c r="AH565" s="90" t="str">
        <f t="shared" si="211"/>
        <v/>
      </c>
      <c r="AI565" s="90">
        <f t="shared" si="212"/>
        <v>11178</v>
      </c>
      <c r="AJ565" s="90">
        <f t="shared" si="213"/>
        <v>2022</v>
      </c>
      <c r="AK565" s="90" t="str">
        <f t="shared" si="214"/>
        <v/>
      </c>
      <c r="AL565" s="91">
        <f>IF(AK565="Adjust",(_xlfn.XLOOKUP(A565,'Adj factor'!A:A,'Adj factor'!I:I,,0)*AI565),'Master DataSheet (Rev)'!AI565)</f>
        <v>11178</v>
      </c>
      <c r="AM565" s="91">
        <f t="shared" si="215"/>
        <v>11178</v>
      </c>
      <c r="AN565" s="92" t="str">
        <f t="shared" si="216"/>
        <v>Increasing</v>
      </c>
      <c r="AO565" s="93">
        <f>VLOOKUP(B565,'Growthrates source'!A$2:H$49,8,FALSE)</f>
        <v>-0.13121558498618857</v>
      </c>
      <c r="AP565" s="93">
        <f>VLOOKUP(B565,'Growthrates source'!A$2:I$49,9,FALSE)</f>
        <v>0.50042870775453441</v>
      </c>
      <c r="AQ565" s="86">
        <f t="shared" si="217"/>
        <v>0</v>
      </c>
      <c r="AR565" s="86">
        <f t="shared" si="218"/>
        <v>0</v>
      </c>
      <c r="AS565" s="94">
        <f t="shared" si="219"/>
        <v>0</v>
      </c>
      <c r="AT565" s="94">
        <f t="shared" si="220"/>
        <v>0</v>
      </c>
      <c r="AU565" s="94">
        <f t="shared" si="203"/>
        <v>5.4779841322235754</v>
      </c>
      <c r="AV565" s="94">
        <f t="shared" si="204"/>
        <v>5.4779841322235754</v>
      </c>
    </row>
    <row r="566" spans="1:48" x14ac:dyDescent="0.3">
      <c r="A566" s="85" t="str">
        <f>_xlfn.XLOOKUP(B566,'Country codes &amp; Data sources'!G:G,'Country codes &amp; Data sources'!H:H,,0)</f>
        <v>Malawi</v>
      </c>
      <c r="B566" s="85" t="s">
        <v>178</v>
      </c>
      <c r="C566" s="86">
        <v>15581268.5</v>
      </c>
      <c r="D566" s="85" t="s">
        <v>134</v>
      </c>
      <c r="E566" s="87">
        <v>0</v>
      </c>
      <c r="F566" s="88">
        <v>16024775.499999996</v>
      </c>
      <c r="G566" s="87">
        <v>0</v>
      </c>
      <c r="I566" s="87">
        <v>0</v>
      </c>
      <c r="K566" s="87">
        <v>0</v>
      </c>
      <c r="M566" s="87">
        <v>397</v>
      </c>
      <c r="O566" s="87">
        <v>0</v>
      </c>
      <c r="P566" s="88">
        <v>18367882.999999985</v>
      </c>
      <c r="Q566" s="87">
        <v>0</v>
      </c>
      <c r="R566" s="87">
        <f t="shared" si="205"/>
        <v>542</v>
      </c>
      <c r="T566" s="87">
        <v>0</v>
      </c>
      <c r="V566" s="87">
        <v>282</v>
      </c>
      <c r="X566" s="87">
        <v>0</v>
      </c>
      <c r="Y566" s="88">
        <v>20405316.500000019</v>
      </c>
      <c r="Z566" s="87">
        <v>189</v>
      </c>
      <c r="AA566" s="87">
        <v>542</v>
      </c>
      <c r="AB566" s="89">
        <f t="shared" si="206"/>
        <v>0</v>
      </c>
      <c r="AC566" s="89">
        <f t="shared" si="207"/>
        <v>397</v>
      </c>
      <c r="AD566" s="89">
        <f t="shared" si="208"/>
        <v>282</v>
      </c>
      <c r="AF566" s="90" t="str">
        <f t="shared" si="209"/>
        <v/>
      </c>
      <c r="AG566" s="90">
        <f t="shared" si="210"/>
        <v>542</v>
      </c>
      <c r="AH566" s="90" t="str">
        <f t="shared" si="211"/>
        <v>2018 (triag)</v>
      </c>
      <c r="AI566" s="90">
        <f t="shared" si="212"/>
        <v>189</v>
      </c>
      <c r="AJ566" s="90">
        <f t="shared" si="213"/>
        <v>2022</v>
      </c>
      <c r="AK566" s="90" t="str">
        <f t="shared" si="214"/>
        <v>Adjust</v>
      </c>
      <c r="AL566" s="91">
        <f>IF(AK566="Adjust",(_xlfn.XLOOKUP(A566,'Adj factor'!A:A,'Adj factor'!I:I,,0)*AI566),'Master DataSheet (Rev)'!AI566)</f>
        <v>209.41119830328739</v>
      </c>
      <c r="AM566" s="91">
        <f t="shared" si="215"/>
        <v>542</v>
      </c>
      <c r="AN566" s="92" t="str">
        <f t="shared" si="216"/>
        <v>Decreasing</v>
      </c>
      <c r="AO566" s="93">
        <f>VLOOKUP(B566,'Growthrates source'!A$2:H$49,8,FALSE)</f>
        <v>-0.13121558498618857</v>
      </c>
      <c r="AP566" s="93">
        <f>VLOOKUP(B566,'Growthrates source'!A$2:I$49,9,FALSE)</f>
        <v>0.50042870775453441</v>
      </c>
      <c r="AQ566" s="86">
        <f t="shared" si="217"/>
        <v>1044.5525870668569</v>
      </c>
      <c r="AR566" s="86">
        <f t="shared" si="218"/>
        <v>2432.2015764463858</v>
      </c>
      <c r="AS566" s="94">
        <f t="shared" si="219"/>
        <v>0</v>
      </c>
      <c r="AT566" s="94">
        <f t="shared" si="220"/>
        <v>0.29508027680707705</v>
      </c>
      <c r="AU566" s="94">
        <f t="shared" si="203"/>
        <v>0.1026258025957535</v>
      </c>
      <c r="AV566" s="94">
        <f t="shared" si="204"/>
        <v>0.26561705132091407</v>
      </c>
    </row>
    <row r="567" spans="1:48" x14ac:dyDescent="0.3">
      <c r="A567" s="85" t="str">
        <f>_xlfn.XLOOKUP(B567,'Country codes &amp; Data sources'!G:G,'Country codes &amp; Data sources'!H:H,,0)</f>
        <v>Malawi</v>
      </c>
      <c r="B567" s="85" t="s">
        <v>178</v>
      </c>
      <c r="C567" s="86">
        <v>15581269.5</v>
      </c>
      <c r="D567" s="85" t="s">
        <v>142</v>
      </c>
      <c r="E567" s="87">
        <v>0</v>
      </c>
      <c r="F567" s="88">
        <v>16024775.499999996</v>
      </c>
      <c r="G567" s="87">
        <v>0</v>
      </c>
      <c r="I567" s="87">
        <v>0</v>
      </c>
      <c r="K567" s="87">
        <v>0</v>
      </c>
      <c r="M567" s="87">
        <v>1159</v>
      </c>
      <c r="O567" s="87">
        <v>0</v>
      </c>
      <c r="P567" s="88">
        <v>18367882.999999985</v>
      </c>
      <c r="Q567" s="87">
        <v>0</v>
      </c>
      <c r="R567" s="87">
        <f t="shared" si="205"/>
        <v>98</v>
      </c>
      <c r="T567" s="87">
        <v>0</v>
      </c>
      <c r="V567" s="87">
        <v>0</v>
      </c>
      <c r="X567" s="87">
        <v>0</v>
      </c>
      <c r="Y567" s="88">
        <v>20405316.500000019</v>
      </c>
      <c r="Z567" s="87">
        <v>37</v>
      </c>
      <c r="AA567" s="87">
        <v>98</v>
      </c>
      <c r="AB567" s="89">
        <f t="shared" si="206"/>
        <v>0</v>
      </c>
      <c r="AC567" s="89">
        <f t="shared" si="207"/>
        <v>1159</v>
      </c>
      <c r="AD567" s="89">
        <f t="shared" si="208"/>
        <v>37</v>
      </c>
      <c r="AF567" s="90" t="str">
        <f t="shared" si="209"/>
        <v/>
      </c>
      <c r="AG567" s="90">
        <f t="shared" si="210"/>
        <v>98</v>
      </c>
      <c r="AH567" s="90" t="str">
        <f t="shared" si="211"/>
        <v>2018 (triag)</v>
      </c>
      <c r="AI567" s="90">
        <f t="shared" si="212"/>
        <v>37</v>
      </c>
      <c r="AJ567" s="90">
        <f t="shared" si="213"/>
        <v>2022</v>
      </c>
      <c r="AK567" s="90" t="str">
        <f t="shared" si="214"/>
        <v>Adjust</v>
      </c>
      <c r="AL567" s="91">
        <f>IF(AK567="Adjust",(_xlfn.XLOOKUP(A567,'Adj factor'!A:A,'Adj factor'!I:I,,0)*AI567),'Master DataSheet (Rev)'!AI567)</f>
        <v>40.995843054082719</v>
      </c>
      <c r="AM567" s="91">
        <f t="shared" si="215"/>
        <v>98</v>
      </c>
      <c r="AN567" s="92" t="str">
        <f t="shared" si="216"/>
        <v>Decreasing</v>
      </c>
      <c r="AO567" s="93">
        <f>VLOOKUP(B567,'Growthrates source'!A$2:H$49,8,FALSE)</f>
        <v>-0.13121558498618857</v>
      </c>
      <c r="AP567" s="93">
        <f>VLOOKUP(B567,'Growthrates source'!A$2:I$49,9,FALSE)</f>
        <v>0.50042870775453441</v>
      </c>
      <c r="AQ567" s="86">
        <f t="shared" si="217"/>
        <v>188.8674419419778</v>
      </c>
      <c r="AR567" s="86">
        <f t="shared" si="218"/>
        <v>439.77076474491849</v>
      </c>
      <c r="AS567" s="94">
        <f t="shared" si="219"/>
        <v>0</v>
      </c>
      <c r="AT567" s="94">
        <f t="shared" si="220"/>
        <v>5.3353998389471489E-2</v>
      </c>
      <c r="AU567" s="94">
        <f t="shared" si="203"/>
        <v>2.0090765587528467E-2</v>
      </c>
      <c r="AV567" s="94">
        <f t="shared" si="204"/>
        <v>4.8026699316327637E-2</v>
      </c>
    </row>
    <row r="568" spans="1:48" x14ac:dyDescent="0.3">
      <c r="A568" s="85" t="str">
        <f>_xlfn.XLOOKUP(B568,'Country codes &amp; Data sources'!G:G,'Country codes &amp; Data sources'!H:H,,0)</f>
        <v>Malawi</v>
      </c>
      <c r="B568" s="85" t="s">
        <v>178</v>
      </c>
      <c r="C568" s="86">
        <v>15581270.5</v>
      </c>
      <c r="D568" s="85" t="s">
        <v>83</v>
      </c>
      <c r="E568" s="87">
        <v>0</v>
      </c>
      <c r="F568" s="88">
        <v>16024775.499999996</v>
      </c>
      <c r="G568" s="87">
        <v>0</v>
      </c>
      <c r="I568" s="87">
        <v>0</v>
      </c>
      <c r="K568" s="87">
        <v>0</v>
      </c>
      <c r="M568" s="87">
        <v>0</v>
      </c>
      <c r="O568" s="87">
        <v>0</v>
      </c>
      <c r="P568" s="88">
        <v>18367882.999999985</v>
      </c>
      <c r="Q568" s="87">
        <v>0</v>
      </c>
      <c r="R568" s="87">
        <f t="shared" si="205"/>
        <v>52</v>
      </c>
      <c r="T568" s="87">
        <v>0</v>
      </c>
      <c r="V568" s="87">
        <v>152</v>
      </c>
      <c r="X568" s="87">
        <v>0</v>
      </c>
      <c r="Y568" s="88">
        <v>20405316.500000019</v>
      </c>
      <c r="Z568" s="87">
        <v>248</v>
      </c>
      <c r="AA568" s="87">
        <v>52</v>
      </c>
      <c r="AB568" s="89">
        <f t="shared" si="206"/>
        <v>0</v>
      </c>
      <c r="AC568" s="89">
        <f t="shared" si="207"/>
        <v>0</v>
      </c>
      <c r="AD568" s="89">
        <f t="shared" si="208"/>
        <v>248</v>
      </c>
      <c r="AF568" s="90" t="str">
        <f t="shared" si="209"/>
        <v/>
      </c>
      <c r="AG568" s="90">
        <f t="shared" si="210"/>
        <v>52</v>
      </c>
      <c r="AH568" s="90" t="str">
        <f t="shared" si="211"/>
        <v>2018 (triag)</v>
      </c>
      <c r="AI568" s="90">
        <f t="shared" si="212"/>
        <v>248</v>
      </c>
      <c r="AJ568" s="90">
        <f t="shared" si="213"/>
        <v>2022</v>
      </c>
      <c r="AK568" s="90" t="str">
        <f t="shared" si="214"/>
        <v/>
      </c>
      <c r="AL568" s="91">
        <f>IF(AK568="Adjust",(_xlfn.XLOOKUP(A568,'Adj factor'!A:A,'Adj factor'!I:I,,0)*AI568),'Master DataSheet (Rev)'!AI568)</f>
        <v>248</v>
      </c>
      <c r="AM568" s="91">
        <f t="shared" si="215"/>
        <v>248</v>
      </c>
      <c r="AN568" s="92" t="str">
        <f t="shared" si="216"/>
        <v>Increasing</v>
      </c>
      <c r="AO568" s="93">
        <f>VLOOKUP(B568,'Growthrates source'!A$2:H$49,8,FALSE)</f>
        <v>-0.13121558498618857</v>
      </c>
      <c r="AP568" s="93">
        <f>VLOOKUP(B568,'Growthrates source'!A$2:I$49,9,FALSE)</f>
        <v>0.50042870775453441</v>
      </c>
      <c r="AQ568" s="86">
        <f t="shared" si="217"/>
        <v>100.21537735696781</v>
      </c>
      <c r="AR568" s="86">
        <f t="shared" si="218"/>
        <v>233.34775272179348</v>
      </c>
      <c r="AS568" s="94">
        <f t="shared" si="219"/>
        <v>0</v>
      </c>
      <c r="AT568" s="94">
        <f t="shared" si="220"/>
        <v>2.8310284859719568E-2</v>
      </c>
      <c r="AU568" s="94">
        <f t="shared" si="203"/>
        <v>0.12153695337193117</v>
      </c>
      <c r="AV568" s="94">
        <f t="shared" si="204"/>
        <v>0.12153695337193117</v>
      </c>
    </row>
    <row r="569" spans="1:48" x14ac:dyDescent="0.3">
      <c r="A569" s="85" t="str">
        <f>_xlfn.XLOOKUP(B569,'Country codes &amp; Data sources'!G:G,'Country codes &amp; Data sources'!H:H,,0)</f>
        <v>Malawi</v>
      </c>
      <c r="B569" s="85" t="s">
        <v>178</v>
      </c>
      <c r="C569" s="86">
        <v>15581271.5</v>
      </c>
      <c r="D569" s="85" t="s">
        <v>84</v>
      </c>
      <c r="E569" s="87">
        <v>0</v>
      </c>
      <c r="F569" s="88">
        <v>16024775.499999996</v>
      </c>
      <c r="G569" s="87">
        <v>0</v>
      </c>
      <c r="I569" s="87">
        <v>0</v>
      </c>
      <c r="K569" s="87">
        <v>0</v>
      </c>
      <c r="M569" s="87">
        <v>0</v>
      </c>
      <c r="O569" s="87">
        <v>0</v>
      </c>
      <c r="P569" s="88">
        <v>18367882.999999985</v>
      </c>
      <c r="Q569" s="87">
        <v>0</v>
      </c>
      <c r="R569" s="87">
        <f t="shared" si="205"/>
        <v>0</v>
      </c>
      <c r="T569" s="87">
        <v>0</v>
      </c>
      <c r="V569" s="87">
        <v>0</v>
      </c>
      <c r="X569" s="87">
        <v>0</v>
      </c>
      <c r="Y569" s="88">
        <v>20405316.500000019</v>
      </c>
      <c r="Z569" s="87">
        <v>72</v>
      </c>
      <c r="AA569" s="87">
        <v>0</v>
      </c>
      <c r="AB569" s="89">
        <f t="shared" si="206"/>
        <v>0</v>
      </c>
      <c r="AC569" s="89">
        <f t="shared" si="207"/>
        <v>0</v>
      </c>
      <c r="AD569" s="89">
        <f t="shared" si="208"/>
        <v>72</v>
      </c>
      <c r="AF569" s="90" t="str">
        <f t="shared" si="209"/>
        <v/>
      </c>
      <c r="AH569" s="90" t="str">
        <f t="shared" si="211"/>
        <v/>
      </c>
      <c r="AI569" s="90">
        <f t="shared" si="212"/>
        <v>72</v>
      </c>
      <c r="AJ569" s="90">
        <f t="shared" si="213"/>
        <v>2022</v>
      </c>
      <c r="AK569" s="90" t="str">
        <f t="shared" si="214"/>
        <v/>
      </c>
      <c r="AL569" s="91">
        <f>IF(AK569="Adjust",(_xlfn.XLOOKUP(A569,'Adj factor'!A:A,'Adj factor'!I:I,,0)*AI569),'Master DataSheet (Rev)'!AI569)</f>
        <v>72</v>
      </c>
      <c r="AM569" s="91">
        <f t="shared" si="215"/>
        <v>72</v>
      </c>
      <c r="AN569" s="92" t="str">
        <f t="shared" si="216"/>
        <v>Increasing</v>
      </c>
      <c r="AO569" s="93">
        <f>VLOOKUP(B569,'Growthrates source'!A$2:H$49,8,FALSE)</f>
        <v>-0.13121558498618857</v>
      </c>
      <c r="AP569" s="93">
        <f>VLOOKUP(B569,'Growthrates source'!A$2:I$49,9,FALSE)</f>
        <v>0.50042870775453441</v>
      </c>
      <c r="AQ569" s="86">
        <f t="shared" si="217"/>
        <v>0</v>
      </c>
      <c r="AR569" s="86">
        <f t="shared" si="218"/>
        <v>0</v>
      </c>
      <c r="AS569" s="94">
        <f t="shared" si="219"/>
        <v>0</v>
      </c>
      <c r="AT569" s="94">
        <f t="shared" si="220"/>
        <v>0</v>
      </c>
      <c r="AU569" s="94">
        <f t="shared" si="203"/>
        <v>3.5284921946689696E-2</v>
      </c>
      <c r="AV569" s="94">
        <f t="shared" si="204"/>
        <v>3.5284921946689696E-2</v>
      </c>
    </row>
    <row r="570" spans="1:48" x14ac:dyDescent="0.3">
      <c r="A570" s="85" t="str">
        <f>_xlfn.XLOOKUP(B570,'Country codes &amp; Data sources'!G:G,'Country codes &amp; Data sources'!H:H,,0)</f>
        <v>Malawi</v>
      </c>
      <c r="B570" s="85" t="s">
        <v>178</v>
      </c>
      <c r="C570" s="86">
        <v>15581272.5</v>
      </c>
      <c r="D570" s="85" t="s">
        <v>126</v>
      </c>
      <c r="E570" s="87">
        <v>0</v>
      </c>
      <c r="F570" s="88">
        <v>16024775.499999996</v>
      </c>
      <c r="G570" s="87">
        <v>0</v>
      </c>
      <c r="I570" s="87">
        <v>0</v>
      </c>
      <c r="K570" s="87">
        <v>0</v>
      </c>
      <c r="M570" s="87">
        <v>0</v>
      </c>
      <c r="O570" s="87">
        <v>0</v>
      </c>
      <c r="P570" s="88">
        <v>18367882.999999985</v>
      </c>
      <c r="Q570" s="87">
        <v>0</v>
      </c>
      <c r="R570" s="87">
        <f t="shared" si="205"/>
        <v>0</v>
      </c>
      <c r="T570" s="87">
        <v>0</v>
      </c>
      <c r="V570" s="87">
        <v>0</v>
      </c>
      <c r="X570" s="87">
        <v>0</v>
      </c>
      <c r="Y570" s="88">
        <v>20405316.500000019</v>
      </c>
      <c r="Z570" s="87">
        <v>0</v>
      </c>
      <c r="AA570" s="87">
        <v>0</v>
      </c>
      <c r="AB570" s="89">
        <f t="shared" si="206"/>
        <v>0</v>
      </c>
      <c r="AC570" s="89">
        <f t="shared" si="207"/>
        <v>0</v>
      </c>
      <c r="AD570" s="89">
        <f t="shared" si="208"/>
        <v>0</v>
      </c>
      <c r="AF570" s="90" t="str">
        <f t="shared" si="209"/>
        <v/>
      </c>
      <c r="AH570" s="90" t="str">
        <f t="shared" si="211"/>
        <v/>
      </c>
      <c r="AI570" s="90">
        <f t="shared" si="212"/>
        <v>0</v>
      </c>
      <c r="AJ570" s="90" t="str">
        <f t="shared" si="213"/>
        <v/>
      </c>
      <c r="AK570" s="90" t="str">
        <f t="shared" si="214"/>
        <v/>
      </c>
      <c r="AL570" s="91"/>
      <c r="AM570" s="91">
        <f t="shared" si="215"/>
        <v>0</v>
      </c>
      <c r="AN570" s="92" t="str">
        <f t="shared" si="216"/>
        <v>No change</v>
      </c>
      <c r="AO570" s="93">
        <f>VLOOKUP(B570,'Growthrates source'!A$2:H$49,8,FALSE)</f>
        <v>-0.13121558498618857</v>
      </c>
      <c r="AP570" s="93">
        <f>VLOOKUP(B570,'Growthrates source'!A$2:I$49,9,FALSE)</f>
        <v>0.50042870775453441</v>
      </c>
      <c r="AQ570" s="86">
        <f t="shared" si="217"/>
        <v>0</v>
      </c>
      <c r="AR570" s="86">
        <f t="shared" si="218"/>
        <v>0</v>
      </c>
      <c r="AS570" s="94">
        <f t="shared" si="219"/>
        <v>0</v>
      </c>
      <c r="AT570" s="94">
        <f t="shared" si="220"/>
        <v>0</v>
      </c>
      <c r="AU570" s="94">
        <f t="shared" si="203"/>
        <v>0</v>
      </c>
      <c r="AV570" s="94">
        <f t="shared" si="204"/>
        <v>0</v>
      </c>
    </row>
    <row r="571" spans="1:48" x14ac:dyDescent="0.3">
      <c r="A571" s="85" t="str">
        <f>_xlfn.XLOOKUP(B571,'Country codes &amp; Data sources'!G:G,'Country codes &amp; Data sources'!H:H,,0)</f>
        <v>Malawi</v>
      </c>
      <c r="B571" s="85" t="s">
        <v>178</v>
      </c>
      <c r="C571" s="86">
        <v>15581273.5</v>
      </c>
      <c r="D571" s="85" t="s">
        <v>87</v>
      </c>
      <c r="E571" s="87">
        <v>0</v>
      </c>
      <c r="F571" s="88">
        <v>16024775.499999996</v>
      </c>
      <c r="G571" s="87">
        <v>0</v>
      </c>
      <c r="I571" s="87">
        <v>0</v>
      </c>
      <c r="K571" s="87">
        <v>0</v>
      </c>
      <c r="M571" s="87">
        <v>0</v>
      </c>
      <c r="O571" s="87">
        <v>0</v>
      </c>
      <c r="P571" s="88">
        <v>18367882.999999985</v>
      </c>
      <c r="Q571" s="87">
        <v>0</v>
      </c>
      <c r="R571" s="87">
        <f t="shared" si="205"/>
        <v>0</v>
      </c>
      <c r="T571" s="87">
        <v>0</v>
      </c>
      <c r="V571" s="87">
        <v>0</v>
      </c>
      <c r="X571" s="87">
        <v>0</v>
      </c>
      <c r="Y571" s="88">
        <v>20405316.500000019</v>
      </c>
      <c r="Z571" s="87">
        <v>2</v>
      </c>
      <c r="AA571" s="87">
        <v>0</v>
      </c>
      <c r="AB571" s="89">
        <f t="shared" si="206"/>
        <v>0</v>
      </c>
      <c r="AC571" s="89">
        <f t="shared" si="207"/>
        <v>0</v>
      </c>
      <c r="AD571" s="89">
        <f t="shared" si="208"/>
        <v>2</v>
      </c>
      <c r="AF571" s="90" t="str">
        <f t="shared" si="209"/>
        <v/>
      </c>
      <c r="AH571" s="90" t="str">
        <f t="shared" si="211"/>
        <v/>
      </c>
      <c r="AI571" s="90">
        <f t="shared" si="212"/>
        <v>2</v>
      </c>
      <c r="AJ571" s="90">
        <f t="shared" si="213"/>
        <v>2022</v>
      </c>
      <c r="AK571" s="90" t="str">
        <f t="shared" si="214"/>
        <v/>
      </c>
      <c r="AL571" s="91">
        <f>IF(AK571="Adjust",(_xlfn.XLOOKUP(A571,'Adj factor'!A:A,'Adj factor'!I:I,,0)*AI571),'Master DataSheet (Rev)'!AI571)</f>
        <v>2</v>
      </c>
      <c r="AM571" s="91">
        <f t="shared" si="215"/>
        <v>2</v>
      </c>
      <c r="AN571" s="92" t="str">
        <f t="shared" si="216"/>
        <v>Increasing</v>
      </c>
      <c r="AO571" s="93">
        <f>VLOOKUP(B571,'Growthrates source'!A$2:H$49,8,FALSE)</f>
        <v>-0.13121558498618857</v>
      </c>
      <c r="AP571" s="93">
        <f>VLOOKUP(B571,'Growthrates source'!A$2:I$49,9,FALSE)</f>
        <v>0.50042870775453441</v>
      </c>
      <c r="AQ571" s="86">
        <f t="shared" si="217"/>
        <v>0</v>
      </c>
      <c r="AR571" s="86">
        <f t="shared" si="218"/>
        <v>0</v>
      </c>
      <c r="AS571" s="94">
        <f t="shared" si="219"/>
        <v>0</v>
      </c>
      <c r="AT571" s="94">
        <f t="shared" si="220"/>
        <v>0</v>
      </c>
      <c r="AU571" s="94">
        <f t="shared" si="203"/>
        <v>9.8013672074138036E-4</v>
      </c>
      <c r="AV571" s="94">
        <f t="shared" si="204"/>
        <v>9.8013672074138036E-4</v>
      </c>
    </row>
    <row r="572" spans="1:48" x14ac:dyDescent="0.3">
      <c r="A572" s="85" t="str">
        <f>_xlfn.XLOOKUP(B572,'Country codes &amp; Data sources'!G:G,'Country codes &amp; Data sources'!H:H,,0)</f>
        <v>Namibia</v>
      </c>
      <c r="B572" s="85" t="s">
        <v>182</v>
      </c>
      <c r="C572" s="86">
        <v>2167475</v>
      </c>
      <c r="D572" s="85" t="s">
        <v>127</v>
      </c>
      <c r="E572" s="87">
        <v>0</v>
      </c>
      <c r="F572" s="88">
        <v>2204510.0000000005</v>
      </c>
      <c r="G572" s="87">
        <v>0</v>
      </c>
      <c r="I572" s="87">
        <v>0</v>
      </c>
      <c r="K572" s="87">
        <v>0</v>
      </c>
      <c r="M572" s="87">
        <v>0</v>
      </c>
      <c r="O572" s="87">
        <v>0</v>
      </c>
      <c r="P572" s="88">
        <v>2405680.5000000005</v>
      </c>
      <c r="Q572" s="87">
        <v>2292</v>
      </c>
      <c r="R572" s="87">
        <f t="shared" si="205"/>
        <v>2292</v>
      </c>
      <c r="T572" s="87">
        <v>0</v>
      </c>
      <c r="V572" s="87">
        <v>0</v>
      </c>
      <c r="X572" s="87">
        <v>0</v>
      </c>
      <c r="Y572" s="88">
        <v>2567012.4999999995</v>
      </c>
      <c r="Z572" s="87">
        <v>0</v>
      </c>
      <c r="AA572" s="87">
        <v>2292</v>
      </c>
      <c r="AB572" s="89">
        <f t="shared" si="206"/>
        <v>0</v>
      </c>
      <c r="AC572" s="89">
        <f t="shared" si="207"/>
        <v>2292</v>
      </c>
      <c r="AD572" s="89">
        <f t="shared" si="208"/>
        <v>0</v>
      </c>
      <c r="AF572" s="90" t="str">
        <f t="shared" si="209"/>
        <v/>
      </c>
      <c r="AG572" s="90">
        <f t="shared" si="210"/>
        <v>2292</v>
      </c>
      <c r="AH572" s="90">
        <f t="shared" si="211"/>
        <v>2018</v>
      </c>
      <c r="AI572" s="90">
        <f t="shared" si="212"/>
        <v>2292</v>
      </c>
      <c r="AJ572" s="90">
        <f t="shared" si="213"/>
        <v>2018</v>
      </c>
      <c r="AK572" s="90" t="str">
        <f t="shared" si="214"/>
        <v/>
      </c>
      <c r="AL572" s="91">
        <f>IF(AK572="Adjust",(_xlfn.XLOOKUP(A572,'Adj factor'!A:A,'Adj factor'!I:I,,0)*AI572),'Master DataSheet (Rev)'!AI572)</f>
        <v>2292</v>
      </c>
      <c r="AM572" s="91">
        <f t="shared" si="215"/>
        <v>2292</v>
      </c>
      <c r="AN572" s="92" t="str">
        <f t="shared" si="216"/>
        <v>No change</v>
      </c>
      <c r="AO572" s="93">
        <f>VLOOKUP(B572,'Growthrates source'!A$2:H$49,8,FALSE)</f>
        <v>6.763943333062894E-2</v>
      </c>
      <c r="AP572" s="93">
        <f>VLOOKUP(B572,'Growthrates source'!A$2:I$49,9,FALSE)</f>
        <v>0.1043111029271564</v>
      </c>
      <c r="AQ572" s="86">
        <f t="shared" si="217"/>
        <v>1634.3213344262363</v>
      </c>
      <c r="AR572" s="86">
        <f t="shared" si="218"/>
        <v>3134.1503218411849</v>
      </c>
      <c r="AS572" s="94">
        <f t="shared" si="219"/>
        <v>0</v>
      </c>
      <c r="AT572" s="94">
        <f t="shared" si="220"/>
        <v>9.5274497174500095</v>
      </c>
      <c r="AU572" s="94">
        <f t="shared" si="203"/>
        <v>8.928667078948779</v>
      </c>
      <c r="AV572" s="94">
        <f t="shared" si="204"/>
        <v>8.928667078948779</v>
      </c>
    </row>
    <row r="573" spans="1:48" ht="14.5" x14ac:dyDescent="0.35">
      <c r="A573" s="85" t="str">
        <f>_xlfn.XLOOKUP(B573,'Country codes &amp; Data sources'!G:G,'Country codes &amp; Data sources'!H:H,,0)</f>
        <v>Namibia</v>
      </c>
      <c r="B573" s="85" t="s">
        <v>182</v>
      </c>
      <c r="C573" s="86">
        <v>2167476</v>
      </c>
      <c r="D573" s="85" t="s">
        <v>61</v>
      </c>
      <c r="E573" s="87">
        <v>0</v>
      </c>
      <c r="F573" s="88">
        <v>2204510.0000000005</v>
      </c>
      <c r="G573" s="87">
        <v>0</v>
      </c>
      <c r="I573" s="87">
        <v>0</v>
      </c>
      <c r="K573" s="87">
        <v>0</v>
      </c>
      <c r="M573" s="87">
        <v>0</v>
      </c>
      <c r="O573" s="87">
        <v>0</v>
      </c>
      <c r="P573" s="88">
        <v>2405680.5000000005</v>
      </c>
      <c r="Q573" s="87">
        <v>0</v>
      </c>
      <c r="R573" s="87">
        <f t="shared" si="205"/>
        <v>33</v>
      </c>
      <c r="T573" s="87">
        <v>0</v>
      </c>
      <c r="V573" s="87">
        <v>0</v>
      </c>
      <c r="X573" s="87">
        <v>0</v>
      </c>
      <c r="Y573" s="88">
        <v>2567012.4999999995</v>
      </c>
      <c r="Z573" s="111">
        <f>29+4</f>
        <v>33</v>
      </c>
      <c r="AA573" s="87">
        <v>33</v>
      </c>
      <c r="AB573" s="89">
        <f t="shared" si="206"/>
        <v>0</v>
      </c>
      <c r="AC573" s="89">
        <f t="shared" si="207"/>
        <v>0</v>
      </c>
      <c r="AD573" s="89">
        <f t="shared" si="208"/>
        <v>33</v>
      </c>
      <c r="AF573" s="90" t="str">
        <f t="shared" si="209"/>
        <v/>
      </c>
      <c r="AG573" s="90">
        <f t="shared" si="210"/>
        <v>33</v>
      </c>
      <c r="AH573" s="90" t="str">
        <f t="shared" si="211"/>
        <v>2018 (triag)</v>
      </c>
      <c r="AI573" s="90">
        <f t="shared" si="212"/>
        <v>33</v>
      </c>
      <c r="AJ573" s="90">
        <f t="shared" si="213"/>
        <v>2022</v>
      </c>
      <c r="AK573" s="90" t="str">
        <f t="shared" si="214"/>
        <v/>
      </c>
      <c r="AL573" s="91">
        <f>IF(AK573="Adjust",(_xlfn.XLOOKUP(A573,'Adj factor'!A:A,'Adj factor'!I:I,,0)*AI573),'Master DataSheet (Rev)'!AI573)</f>
        <v>33</v>
      </c>
      <c r="AM573" s="91">
        <f t="shared" si="215"/>
        <v>33</v>
      </c>
      <c r="AN573" s="92" t="str">
        <f t="shared" si="216"/>
        <v>No change</v>
      </c>
      <c r="AO573" s="93">
        <f>VLOOKUP(B573,'Growthrates source'!A$2:H$49,8,FALSE)</f>
        <v>6.763943333062894E-2</v>
      </c>
      <c r="AP573" s="93">
        <f>VLOOKUP(B573,'Growthrates source'!A$2:I$49,9,FALSE)</f>
        <v>0.1043111029271564</v>
      </c>
      <c r="AQ573" s="86">
        <f t="shared" si="217"/>
        <v>23.53080455325733</v>
      </c>
      <c r="AR573" s="86">
        <f t="shared" si="218"/>
        <v>45.125200968917582</v>
      </c>
      <c r="AS573" s="94">
        <f t="shared" si="219"/>
        <v>0</v>
      </c>
      <c r="AT573" s="94">
        <f t="shared" si="220"/>
        <v>0.13717532315700273</v>
      </c>
      <c r="AU573" s="94">
        <f t="shared" si="203"/>
        <v>0.12855410715763949</v>
      </c>
      <c r="AV573" s="94">
        <f t="shared" si="204"/>
        <v>0.12855410715763949</v>
      </c>
    </row>
    <row r="574" spans="1:48" x14ac:dyDescent="0.3">
      <c r="A574" s="85" t="str">
        <f>_xlfn.XLOOKUP(B574,'Country codes &amp; Data sources'!G:G,'Country codes &amp; Data sources'!H:H,,0)</f>
        <v>Namibia</v>
      </c>
      <c r="B574" s="85" t="s">
        <v>182</v>
      </c>
      <c r="C574" s="86">
        <v>2167477</v>
      </c>
      <c r="D574" s="85" t="s">
        <v>62</v>
      </c>
      <c r="E574" s="87">
        <v>0</v>
      </c>
      <c r="F574" s="88">
        <v>2204510.0000000005</v>
      </c>
      <c r="G574" s="87">
        <v>0</v>
      </c>
      <c r="I574" s="87">
        <v>0</v>
      </c>
      <c r="K574" s="87">
        <v>0</v>
      </c>
      <c r="M574" s="87">
        <v>0</v>
      </c>
      <c r="O574" s="87">
        <v>0</v>
      </c>
      <c r="P574" s="88">
        <v>2405680.5000000005</v>
      </c>
      <c r="Q574" s="87">
        <v>0</v>
      </c>
      <c r="R574" s="87">
        <f t="shared" si="205"/>
        <v>218</v>
      </c>
      <c r="T574" s="87">
        <v>0</v>
      </c>
      <c r="V574" s="87">
        <v>172</v>
      </c>
      <c r="X574" s="87">
        <v>0</v>
      </c>
      <c r="Y574" s="88">
        <v>2567012.4999999995</v>
      </c>
      <c r="Z574" s="87">
        <v>0</v>
      </c>
      <c r="AA574" s="87">
        <v>218</v>
      </c>
      <c r="AB574" s="89">
        <f t="shared" si="206"/>
        <v>0</v>
      </c>
      <c r="AC574" s="89">
        <f t="shared" si="207"/>
        <v>0</v>
      </c>
      <c r="AD574" s="89">
        <f t="shared" si="208"/>
        <v>172</v>
      </c>
      <c r="AF574" s="90" t="str">
        <f t="shared" si="209"/>
        <v/>
      </c>
      <c r="AG574" s="90">
        <f t="shared" si="210"/>
        <v>218</v>
      </c>
      <c r="AH574" s="90" t="str">
        <f t="shared" si="211"/>
        <v>2018 (triag)</v>
      </c>
      <c r="AI574" s="90">
        <f t="shared" si="212"/>
        <v>172</v>
      </c>
      <c r="AJ574" s="90">
        <f t="shared" si="213"/>
        <v>2020</v>
      </c>
      <c r="AK574" s="90" t="str">
        <f t="shared" si="214"/>
        <v>Adjust</v>
      </c>
      <c r="AL574" s="91">
        <f>IF(AK574="Adjust",(_xlfn.XLOOKUP(A574,'Adj factor'!A:A,'Adj factor'!I:I,,0)*AI574),'Master DataSheet (Rev)'!AI574)</f>
        <v>260.54243369734792</v>
      </c>
      <c r="AM574" s="60">
        <f>228+46+98</f>
        <v>372</v>
      </c>
      <c r="AN574" s="92" t="str">
        <f t="shared" si="216"/>
        <v>Increasing</v>
      </c>
      <c r="AO574" s="93">
        <f>VLOOKUP(B574,'Growthrates source'!A$2:H$49,8,FALSE)</f>
        <v>6.763943333062894E-2</v>
      </c>
      <c r="AP574" s="93">
        <f>VLOOKUP(B574,'Growthrates source'!A$2:I$49,9,FALSE)</f>
        <v>0.1043111029271564</v>
      </c>
      <c r="AQ574" s="86">
        <f t="shared" si="217"/>
        <v>155.44592098818478</v>
      </c>
      <c r="AR574" s="86">
        <f t="shared" si="218"/>
        <v>298.0998124613343</v>
      </c>
      <c r="AS574" s="94">
        <f t="shared" si="219"/>
        <v>0</v>
      </c>
      <c r="AT574" s="94">
        <f t="shared" si="220"/>
        <v>0.90618849843110905</v>
      </c>
      <c r="AU574" s="94">
        <f t="shared" si="203"/>
        <v>1.0149636345648803</v>
      </c>
      <c r="AV574" s="94">
        <f t="shared" si="204"/>
        <v>1.4491553897770271</v>
      </c>
    </row>
    <row r="575" spans="1:48" x14ac:dyDescent="0.3">
      <c r="A575" s="85" t="str">
        <f>_xlfn.XLOOKUP(B575,'Country codes &amp; Data sources'!G:G,'Country codes &amp; Data sources'!H:H,,0)</f>
        <v>Namibia</v>
      </c>
      <c r="B575" s="85" t="s">
        <v>182</v>
      </c>
      <c r="C575" s="86">
        <v>2167478</v>
      </c>
      <c r="D575" s="85" t="s">
        <v>203</v>
      </c>
      <c r="E575" s="87">
        <v>0</v>
      </c>
      <c r="F575" s="88">
        <v>2204510.0000000005</v>
      </c>
      <c r="G575" s="87">
        <v>0</v>
      </c>
      <c r="I575" s="87">
        <v>0</v>
      </c>
      <c r="K575" s="87">
        <v>0</v>
      </c>
      <c r="M575" s="87">
        <v>0</v>
      </c>
      <c r="O575" s="87">
        <v>0</v>
      </c>
      <c r="P575" s="88">
        <v>2405680.5000000005</v>
      </c>
      <c r="Q575" s="87">
        <v>0</v>
      </c>
      <c r="R575" s="87">
        <f t="shared" si="205"/>
        <v>0</v>
      </c>
      <c r="T575" s="87">
        <v>0</v>
      </c>
      <c r="V575" s="87">
        <v>0</v>
      </c>
      <c r="X575" s="87">
        <v>0</v>
      </c>
      <c r="Y575" s="88">
        <v>2567012.4999999995</v>
      </c>
      <c r="Z575" s="87">
        <v>889</v>
      </c>
      <c r="AA575" s="87">
        <v>0</v>
      </c>
      <c r="AB575" s="89">
        <f t="shared" si="206"/>
        <v>0</v>
      </c>
      <c r="AC575" s="89">
        <f t="shared" si="207"/>
        <v>0</v>
      </c>
      <c r="AD575" s="89">
        <f t="shared" si="208"/>
        <v>889</v>
      </c>
      <c r="AF575" s="90" t="str">
        <f t="shared" si="209"/>
        <v/>
      </c>
      <c r="AH575" s="90" t="str">
        <f t="shared" si="211"/>
        <v/>
      </c>
      <c r="AI575" s="90">
        <f t="shared" si="212"/>
        <v>889</v>
      </c>
      <c r="AJ575" s="90">
        <f t="shared" si="213"/>
        <v>2022</v>
      </c>
      <c r="AK575" s="90" t="str">
        <f t="shared" si="214"/>
        <v/>
      </c>
      <c r="AL575" s="91">
        <f>IF(AK575="Adjust",(_xlfn.XLOOKUP(A575,'Adj factor'!A:A,'Adj factor'!I:I,,0)*AI575),'Master DataSheet (Rev)'!AI575)</f>
        <v>889</v>
      </c>
      <c r="AM575" s="91">
        <f t="shared" si="215"/>
        <v>889</v>
      </c>
      <c r="AN575" s="92" t="str">
        <f t="shared" si="216"/>
        <v>Increasing</v>
      </c>
      <c r="AO575" s="93">
        <f>VLOOKUP(B575,'Growthrates source'!A$2:H$49,8,FALSE)</f>
        <v>6.763943333062894E-2</v>
      </c>
      <c r="AP575" s="93">
        <f>VLOOKUP(B575,'Growthrates source'!A$2:I$49,9,FALSE)</f>
        <v>0.1043111029271564</v>
      </c>
      <c r="AQ575" s="86">
        <f t="shared" si="217"/>
        <v>0</v>
      </c>
      <c r="AR575" s="86">
        <f t="shared" si="218"/>
        <v>0</v>
      </c>
      <c r="AS575" s="94">
        <f t="shared" si="219"/>
        <v>0</v>
      </c>
      <c r="AT575" s="94">
        <f t="shared" si="220"/>
        <v>0</v>
      </c>
      <c r="AU575" s="94">
        <f t="shared" si="203"/>
        <v>3.4631697352467126</v>
      </c>
      <c r="AV575" s="94">
        <f t="shared" si="204"/>
        <v>3.4631697352467126</v>
      </c>
    </row>
    <row r="576" spans="1:48" x14ac:dyDescent="0.3">
      <c r="A576" s="85" t="str">
        <f>_xlfn.XLOOKUP(B576,'Country codes &amp; Data sources'!G:G,'Country codes &amp; Data sources'!H:H,,0)</f>
        <v>Namibia</v>
      </c>
      <c r="B576" s="85" t="s">
        <v>182</v>
      </c>
      <c r="C576" s="86">
        <v>2167479</v>
      </c>
      <c r="D576" s="85" t="s">
        <v>204</v>
      </c>
      <c r="E576" s="87">
        <v>0</v>
      </c>
      <c r="F576" s="88">
        <v>2204510.0000000005</v>
      </c>
      <c r="G576" s="87">
        <v>0</v>
      </c>
      <c r="I576" s="87">
        <v>0</v>
      </c>
      <c r="K576" s="87">
        <v>0</v>
      </c>
      <c r="M576" s="87">
        <v>0</v>
      </c>
      <c r="O576" s="87">
        <v>0</v>
      </c>
      <c r="P576" s="88">
        <v>2405680.5000000005</v>
      </c>
      <c r="Q576" s="87">
        <v>0</v>
      </c>
      <c r="R576" s="87">
        <f t="shared" si="205"/>
        <v>313</v>
      </c>
      <c r="T576" s="87">
        <v>0</v>
      </c>
      <c r="V576" s="87">
        <v>0</v>
      </c>
      <c r="X576" s="87">
        <v>0</v>
      </c>
      <c r="Y576" s="88">
        <v>2567012.4999999995</v>
      </c>
      <c r="Z576" s="87">
        <v>51</v>
      </c>
      <c r="AA576" s="87">
        <v>313</v>
      </c>
      <c r="AB576" s="89">
        <f t="shared" si="206"/>
        <v>0</v>
      </c>
      <c r="AC576" s="89">
        <f t="shared" si="207"/>
        <v>0</v>
      </c>
      <c r="AD576" s="89">
        <f t="shared" si="208"/>
        <v>51</v>
      </c>
      <c r="AF576" s="90" t="str">
        <f t="shared" si="209"/>
        <v/>
      </c>
      <c r="AG576" s="90">
        <f t="shared" si="210"/>
        <v>313</v>
      </c>
      <c r="AH576" s="90" t="str">
        <f t="shared" si="211"/>
        <v>2018 (triag)</v>
      </c>
      <c r="AI576" s="90">
        <f t="shared" si="212"/>
        <v>51</v>
      </c>
      <c r="AJ576" s="90">
        <f t="shared" si="213"/>
        <v>2022</v>
      </c>
      <c r="AK576" s="90" t="str">
        <f t="shared" si="214"/>
        <v>Adjust</v>
      </c>
      <c r="AL576" s="91">
        <f>IF(AK576="Adjust",(_xlfn.XLOOKUP(A576,'Adj factor'!A:A,'Adj factor'!I:I,,0)*AI576),'Master DataSheet (Rev)'!AI576)</f>
        <v>77.253861154446184</v>
      </c>
      <c r="AM576" s="91">
        <f t="shared" si="215"/>
        <v>313</v>
      </c>
      <c r="AN576" s="92" t="str">
        <f t="shared" si="216"/>
        <v>Decreasing</v>
      </c>
      <c r="AO576" s="93">
        <f>VLOOKUP(B576,'Growthrates source'!A$2:H$49,8,FALSE)</f>
        <v>6.763943333062894E-2</v>
      </c>
      <c r="AP576" s="93">
        <f>VLOOKUP(B576,'Growthrates source'!A$2:I$49,9,FALSE)</f>
        <v>0.1043111029271564</v>
      </c>
      <c r="AQ576" s="86">
        <f t="shared" si="217"/>
        <v>223.18611591422862</v>
      </c>
      <c r="AR576" s="86">
        <f t="shared" si="218"/>
        <v>428.00569403852131</v>
      </c>
      <c r="AS576" s="94">
        <f t="shared" si="219"/>
        <v>0</v>
      </c>
      <c r="AT576" s="94">
        <f t="shared" si="220"/>
        <v>1.3010871560042987</v>
      </c>
      <c r="AU576" s="94">
        <f t="shared" si="203"/>
        <v>0.30094851955121449</v>
      </c>
      <c r="AV576" s="94">
        <f t="shared" si="204"/>
        <v>1.2193162284951868</v>
      </c>
    </row>
    <row r="577" spans="1:48" x14ac:dyDescent="0.3">
      <c r="A577" s="85" t="str">
        <f>_xlfn.XLOOKUP(B577,'Country codes &amp; Data sources'!G:G,'Country codes &amp; Data sources'!H:H,,0)</f>
        <v>Namibia</v>
      </c>
      <c r="B577" s="85" t="s">
        <v>182</v>
      </c>
      <c r="C577" s="86">
        <v>2167480</v>
      </c>
      <c r="D577" s="85" t="s">
        <v>205</v>
      </c>
      <c r="E577" s="87">
        <v>0</v>
      </c>
      <c r="F577" s="88">
        <v>2204510.0000000005</v>
      </c>
      <c r="G577" s="87">
        <v>0</v>
      </c>
      <c r="I577" s="87">
        <v>0</v>
      </c>
      <c r="K577" s="87">
        <v>0</v>
      </c>
      <c r="M577" s="87">
        <v>0</v>
      </c>
      <c r="O577" s="87">
        <v>0</v>
      </c>
      <c r="P577" s="88">
        <v>2405680.5000000005</v>
      </c>
      <c r="Q577" s="87">
        <v>0</v>
      </c>
      <c r="R577" s="87">
        <f t="shared" si="205"/>
        <v>470</v>
      </c>
      <c r="T577" s="87">
        <v>137</v>
      </c>
      <c r="V577" s="87">
        <v>0</v>
      </c>
      <c r="X577" s="87">
        <v>0</v>
      </c>
      <c r="Y577" s="88">
        <v>2567012.4999999995</v>
      </c>
      <c r="Z577" s="87">
        <v>10</v>
      </c>
      <c r="AA577" s="87">
        <v>470</v>
      </c>
      <c r="AB577" s="89">
        <f t="shared" si="206"/>
        <v>0</v>
      </c>
      <c r="AC577" s="89">
        <f t="shared" si="207"/>
        <v>137</v>
      </c>
      <c r="AD577" s="89">
        <f t="shared" si="208"/>
        <v>10</v>
      </c>
      <c r="AF577" s="90" t="str">
        <f t="shared" si="209"/>
        <v/>
      </c>
      <c r="AG577" s="90">
        <f t="shared" si="210"/>
        <v>470</v>
      </c>
      <c r="AH577" s="90" t="str">
        <f t="shared" si="211"/>
        <v>2018 (triag)</v>
      </c>
      <c r="AI577" s="90">
        <f t="shared" si="212"/>
        <v>10</v>
      </c>
      <c r="AJ577" s="90">
        <f t="shared" si="213"/>
        <v>2022</v>
      </c>
      <c r="AK577" s="90" t="str">
        <f t="shared" si="214"/>
        <v>Adjust</v>
      </c>
      <c r="AL577" s="91">
        <f>IF(AK577="Adjust",(_xlfn.XLOOKUP(A577,'Adj factor'!A:A,'Adj factor'!I:I,,0)*AI577),'Master DataSheet (Rev)'!AI577)</f>
        <v>15.147815912636506</v>
      </c>
      <c r="AM577" s="91">
        <f t="shared" si="215"/>
        <v>470</v>
      </c>
      <c r="AN577" s="92" t="str">
        <f t="shared" si="216"/>
        <v>Decreasing</v>
      </c>
      <c r="AO577" s="93">
        <f>VLOOKUP(B577,'Growthrates source'!A$2:H$49,8,FALSE)</f>
        <v>6.763943333062894E-2</v>
      </c>
      <c r="AP577" s="93">
        <f>VLOOKUP(B577,'Growthrates source'!A$2:I$49,9,FALSE)</f>
        <v>0.1043111029271564</v>
      </c>
      <c r="AQ577" s="86">
        <f t="shared" si="217"/>
        <v>335.13570121305895</v>
      </c>
      <c r="AR577" s="86">
        <f t="shared" si="218"/>
        <v>642.69225622397767</v>
      </c>
      <c r="AS577" s="94">
        <f t="shared" si="219"/>
        <v>0</v>
      </c>
      <c r="AT577" s="94">
        <f t="shared" si="220"/>
        <v>1.9537091479936755</v>
      </c>
      <c r="AU577" s="94">
        <f t="shared" si="203"/>
        <v>5.9009513637493037E-2</v>
      </c>
      <c r="AV577" s="94">
        <f t="shared" si="204"/>
        <v>1.8309221322451685</v>
      </c>
    </row>
    <row r="578" spans="1:48" ht="14.5" x14ac:dyDescent="0.35">
      <c r="A578" s="85" t="str">
        <f>_xlfn.XLOOKUP(B578,'Country codes &amp; Data sources'!G:G,'Country codes &amp; Data sources'!H:H,,0)</f>
        <v>Namibia</v>
      </c>
      <c r="B578" s="85" t="s">
        <v>182</v>
      </c>
      <c r="C578" s="86">
        <v>2167481</v>
      </c>
      <c r="D578" s="85" t="s">
        <v>133</v>
      </c>
      <c r="E578" s="87">
        <v>0</v>
      </c>
      <c r="F578" s="88">
        <v>2204510.0000000005</v>
      </c>
      <c r="G578" s="87">
        <v>0</v>
      </c>
      <c r="I578" s="87">
        <v>0</v>
      </c>
      <c r="K578" s="87">
        <v>0</v>
      </c>
      <c r="M578" s="87">
        <v>0</v>
      </c>
      <c r="O578" s="87">
        <v>0</v>
      </c>
      <c r="P578" s="88">
        <v>2405680.5000000005</v>
      </c>
      <c r="Q578" s="87">
        <v>0</v>
      </c>
      <c r="R578" s="87">
        <f t="shared" si="205"/>
        <v>1739</v>
      </c>
      <c r="T578" s="87">
        <v>503</v>
      </c>
      <c r="V578" s="87">
        <v>99</v>
      </c>
      <c r="X578" s="87">
        <v>0</v>
      </c>
      <c r="Y578" s="88">
        <v>2567012.4999999995</v>
      </c>
      <c r="Z578" s="111">
        <f>2+2+58+1+1</f>
        <v>64</v>
      </c>
      <c r="AA578" s="87">
        <v>1739</v>
      </c>
      <c r="AB578" s="89">
        <f t="shared" si="206"/>
        <v>0</v>
      </c>
      <c r="AC578" s="89">
        <f t="shared" si="207"/>
        <v>503</v>
      </c>
      <c r="AD578" s="89">
        <f t="shared" si="208"/>
        <v>99</v>
      </c>
      <c r="AF578" s="90" t="str">
        <f t="shared" si="209"/>
        <v/>
      </c>
      <c r="AG578" s="90">
        <f t="shared" si="210"/>
        <v>1739</v>
      </c>
      <c r="AH578" s="90" t="str">
        <f t="shared" si="211"/>
        <v>2018 (triag)</v>
      </c>
      <c r="AI578" s="90">
        <f t="shared" si="212"/>
        <v>64</v>
      </c>
      <c r="AJ578" s="90">
        <f t="shared" si="213"/>
        <v>2022</v>
      </c>
      <c r="AK578" s="90" t="str">
        <f t="shared" si="214"/>
        <v>Adjust</v>
      </c>
      <c r="AL578" s="91">
        <f>IF(AK578="Adjust",(_xlfn.XLOOKUP(A578,'Adj factor'!A:A,'Adj factor'!I:I,,0)*AI578),'Master DataSheet (Rev)'!AI578)</f>
        <v>96.946021840873641</v>
      </c>
      <c r="AM578" s="91">
        <f t="shared" si="215"/>
        <v>1739</v>
      </c>
      <c r="AN578" s="92" t="str">
        <f t="shared" si="216"/>
        <v>Decreasing</v>
      </c>
      <c r="AO578" s="93">
        <f>VLOOKUP(B578,'Growthrates source'!A$2:H$49,8,FALSE)</f>
        <v>6.763943333062894E-2</v>
      </c>
      <c r="AP578" s="93">
        <f>VLOOKUP(B578,'Growthrates source'!A$2:I$49,9,FALSE)</f>
        <v>0.1043111029271564</v>
      </c>
      <c r="AQ578" s="86">
        <f t="shared" si="217"/>
        <v>1240.0020944883181</v>
      </c>
      <c r="AR578" s="86">
        <f t="shared" si="218"/>
        <v>2377.9613480287176</v>
      </c>
      <c r="AS578" s="94">
        <f t="shared" si="219"/>
        <v>0</v>
      </c>
      <c r="AT578" s="94">
        <f t="shared" si="220"/>
        <v>7.2287238475765987</v>
      </c>
      <c r="AU578" s="94">
        <f t="shared" si="203"/>
        <v>0.37766088727995545</v>
      </c>
      <c r="AV578" s="94">
        <f t="shared" si="204"/>
        <v>6.7744118893071237</v>
      </c>
    </row>
    <row r="579" spans="1:48" x14ac:dyDescent="0.3">
      <c r="A579" s="85" t="str">
        <f>_xlfn.XLOOKUP(B579,'Country codes &amp; Data sources'!G:G,'Country codes &amp; Data sources'!H:H,,0)</f>
        <v>Namibia</v>
      </c>
      <c r="B579" s="85" t="s">
        <v>182</v>
      </c>
      <c r="C579" s="86">
        <v>2167482</v>
      </c>
      <c r="D579" s="85" t="s">
        <v>206</v>
      </c>
      <c r="E579" s="87">
        <v>0</v>
      </c>
      <c r="F579" s="88">
        <v>2204510.0000000005</v>
      </c>
      <c r="G579" s="87">
        <v>0</v>
      </c>
      <c r="I579" s="87">
        <v>0</v>
      </c>
      <c r="K579" s="87">
        <v>0</v>
      </c>
      <c r="M579" s="87">
        <v>0</v>
      </c>
      <c r="O579" s="87">
        <v>0</v>
      </c>
      <c r="P579" s="88">
        <v>2405680.5000000005</v>
      </c>
      <c r="Q579" s="87">
        <v>3</v>
      </c>
      <c r="R579" s="87">
        <f t="shared" si="205"/>
        <v>21</v>
      </c>
      <c r="T579" s="87">
        <v>3</v>
      </c>
      <c r="V579" s="87">
        <v>3</v>
      </c>
      <c r="X579" s="87">
        <v>3</v>
      </c>
      <c r="Y579" s="88">
        <v>2567012.4999999995</v>
      </c>
      <c r="Z579" s="87">
        <v>5</v>
      </c>
      <c r="AA579" s="87">
        <v>21</v>
      </c>
      <c r="AB579" s="89">
        <f t="shared" si="206"/>
        <v>0</v>
      </c>
      <c r="AC579" s="89">
        <f t="shared" si="207"/>
        <v>3</v>
      </c>
      <c r="AD579" s="89">
        <f t="shared" si="208"/>
        <v>5</v>
      </c>
      <c r="AF579" s="90" t="str">
        <f t="shared" si="209"/>
        <v/>
      </c>
      <c r="AG579" s="90">
        <f t="shared" si="210"/>
        <v>21</v>
      </c>
      <c r="AH579" s="90" t="str">
        <f t="shared" si="211"/>
        <v>2018 (triag)</v>
      </c>
      <c r="AI579" s="90">
        <f t="shared" si="212"/>
        <v>5</v>
      </c>
      <c r="AJ579" s="90">
        <f t="shared" si="213"/>
        <v>2022</v>
      </c>
      <c r="AK579" s="90" t="str">
        <f t="shared" si="214"/>
        <v>Adjust</v>
      </c>
      <c r="AL579" s="91">
        <f>IF(AK579="Adjust",(_xlfn.XLOOKUP(A579,'Adj factor'!A:A,'Adj factor'!I:I,,0)*AI579),'Master DataSheet (Rev)'!AI579)</f>
        <v>7.5739079563182532</v>
      </c>
      <c r="AM579" s="91">
        <f t="shared" si="215"/>
        <v>21</v>
      </c>
      <c r="AN579" s="92" t="str">
        <f t="shared" si="216"/>
        <v>Decreasing</v>
      </c>
      <c r="AO579" s="93">
        <f>VLOOKUP(B579,'Growthrates source'!A$2:H$49,8,FALSE)</f>
        <v>6.763943333062894E-2</v>
      </c>
      <c r="AP579" s="93">
        <f>VLOOKUP(B579,'Growthrates source'!A$2:I$49,9,FALSE)</f>
        <v>0.1043111029271564</v>
      </c>
      <c r="AQ579" s="86">
        <f t="shared" si="217"/>
        <v>14.974148352072847</v>
      </c>
      <c r="AR579" s="86">
        <f t="shared" si="218"/>
        <v>28.716036980220277</v>
      </c>
      <c r="AS579" s="94">
        <f t="shared" si="219"/>
        <v>0</v>
      </c>
      <c r="AT579" s="94">
        <f t="shared" si="220"/>
        <v>8.7293387463547201E-2</v>
      </c>
      <c r="AU579" s="94">
        <f t="shared" ref="AU579:AU642" si="221">(AL579*10000)/Y579</f>
        <v>2.9504756818746519E-2</v>
      </c>
      <c r="AV579" s="94">
        <f t="shared" ref="AV579:AV642" si="222">(AM579*10000)/Y579</f>
        <v>8.1807159100316038E-2</v>
      </c>
    </row>
    <row r="580" spans="1:48" x14ac:dyDescent="0.3">
      <c r="A580" s="85" t="str">
        <f>_xlfn.XLOOKUP(B580,'Country codes &amp; Data sources'!G:G,'Country codes &amp; Data sources'!H:H,,0)</f>
        <v>Namibia</v>
      </c>
      <c r="B580" s="85" t="s">
        <v>182</v>
      </c>
      <c r="C580" s="86">
        <v>2167483</v>
      </c>
      <c r="D580" s="85" t="s">
        <v>136</v>
      </c>
      <c r="E580" s="87">
        <v>0</v>
      </c>
      <c r="F580" s="88">
        <v>2204510.0000000005</v>
      </c>
      <c r="G580" s="87">
        <v>0</v>
      </c>
      <c r="I580" s="87">
        <v>0</v>
      </c>
      <c r="K580" s="87">
        <v>0</v>
      </c>
      <c r="M580" s="87">
        <v>0</v>
      </c>
      <c r="O580" s="87">
        <v>0</v>
      </c>
      <c r="P580" s="88">
        <v>2405680.5000000005</v>
      </c>
      <c r="Q580" s="87">
        <v>0</v>
      </c>
      <c r="R580" s="87">
        <f t="shared" si="205"/>
        <v>303</v>
      </c>
      <c r="T580" s="87">
        <v>291</v>
      </c>
      <c r="V580" s="87">
        <v>0</v>
      </c>
      <c r="X580" s="87">
        <v>0</v>
      </c>
      <c r="Y580" s="88">
        <v>2567012.4999999995</v>
      </c>
      <c r="Z580" s="87">
        <v>289</v>
      </c>
      <c r="AA580" s="87">
        <v>303</v>
      </c>
      <c r="AB580" s="89">
        <f t="shared" si="206"/>
        <v>0</v>
      </c>
      <c r="AC580" s="89">
        <f t="shared" si="207"/>
        <v>291</v>
      </c>
      <c r="AD580" s="89">
        <f t="shared" si="208"/>
        <v>289</v>
      </c>
      <c r="AF580" s="90" t="str">
        <f t="shared" si="209"/>
        <v/>
      </c>
      <c r="AG580" s="90">
        <f t="shared" si="210"/>
        <v>303</v>
      </c>
      <c r="AH580" s="90" t="str">
        <f t="shared" si="211"/>
        <v>2018 (triag)</v>
      </c>
      <c r="AI580" s="90">
        <f t="shared" si="212"/>
        <v>289</v>
      </c>
      <c r="AJ580" s="90">
        <f t="shared" si="213"/>
        <v>2022</v>
      </c>
      <c r="AK580" s="90" t="str">
        <f t="shared" si="214"/>
        <v>Adjust</v>
      </c>
      <c r="AL580" s="91">
        <f>IF(AK580="Adjust",(_xlfn.XLOOKUP(A580,'Adj factor'!A:A,'Adj factor'!I:I,,0)*AI580),'Master DataSheet (Rev)'!AI580)</f>
        <v>437.77187987519505</v>
      </c>
      <c r="AM580" s="91">
        <f t="shared" si="215"/>
        <v>437.77187987519505</v>
      </c>
      <c r="AN580" s="92" t="str">
        <f t="shared" si="216"/>
        <v>Increasing</v>
      </c>
      <c r="AO580" s="93">
        <f>VLOOKUP(B580,'Growthrates source'!A$2:H$49,8,FALSE)</f>
        <v>6.763943333062894E-2</v>
      </c>
      <c r="AP580" s="93">
        <f>VLOOKUP(B580,'Growthrates source'!A$2:I$49,9,FALSE)</f>
        <v>0.1043111029271564</v>
      </c>
      <c r="AQ580" s="86">
        <f t="shared" si="217"/>
        <v>216.0555690799082</v>
      </c>
      <c r="AR580" s="86">
        <f t="shared" si="218"/>
        <v>414.33139071460687</v>
      </c>
      <c r="AS580" s="94">
        <f t="shared" si="219"/>
        <v>0</v>
      </c>
      <c r="AT580" s="94">
        <f t="shared" si="220"/>
        <v>1.2595188762597525</v>
      </c>
      <c r="AU580" s="94">
        <f t="shared" si="221"/>
        <v>1.7053749441235486</v>
      </c>
      <c r="AV580" s="94">
        <f t="shared" si="222"/>
        <v>1.7053749441235486</v>
      </c>
    </row>
    <row r="581" spans="1:48" x14ac:dyDescent="0.3">
      <c r="A581" s="85" t="str">
        <f>_xlfn.XLOOKUP(B581,'Country codes &amp; Data sources'!G:G,'Country codes &amp; Data sources'!H:H,,0)</f>
        <v>Namibia</v>
      </c>
      <c r="B581" s="85" t="s">
        <v>182</v>
      </c>
      <c r="C581" s="86">
        <v>2167484</v>
      </c>
      <c r="D581" s="85" t="s">
        <v>207</v>
      </c>
      <c r="E581" s="87">
        <v>0</v>
      </c>
      <c r="F581" s="88">
        <v>2204510.0000000005</v>
      </c>
      <c r="G581" s="87">
        <v>0</v>
      </c>
      <c r="I581" s="87">
        <v>0</v>
      </c>
      <c r="K581" s="87">
        <v>0</v>
      </c>
      <c r="M581" s="87">
        <v>0</v>
      </c>
      <c r="O581" s="87">
        <v>0</v>
      </c>
      <c r="P581" s="88">
        <v>2405680.5000000005</v>
      </c>
      <c r="Q581" s="87">
        <v>0</v>
      </c>
      <c r="R581" s="87">
        <f t="shared" si="205"/>
        <v>37</v>
      </c>
      <c r="T581" s="87">
        <v>0</v>
      </c>
      <c r="V581" s="87">
        <v>0</v>
      </c>
      <c r="X581" s="87">
        <v>0</v>
      </c>
      <c r="Y581" s="88">
        <v>2567012.4999999995</v>
      </c>
      <c r="Z581" s="87">
        <v>0</v>
      </c>
      <c r="AA581" s="87">
        <v>37</v>
      </c>
      <c r="AB581" s="89">
        <f t="shared" si="206"/>
        <v>0</v>
      </c>
      <c r="AC581" s="89">
        <f t="shared" si="207"/>
        <v>0</v>
      </c>
      <c r="AD581" s="89">
        <f t="shared" si="208"/>
        <v>0</v>
      </c>
      <c r="AF581" s="90" t="str">
        <f t="shared" si="209"/>
        <v/>
      </c>
      <c r="AG581" s="90">
        <f t="shared" si="210"/>
        <v>37</v>
      </c>
      <c r="AH581" s="90" t="str">
        <f t="shared" si="211"/>
        <v>2018 (triag)</v>
      </c>
      <c r="AI581" s="90">
        <f t="shared" si="212"/>
        <v>37</v>
      </c>
      <c r="AJ581" s="90" t="str">
        <f t="shared" si="213"/>
        <v>2018 (triag)</v>
      </c>
      <c r="AK581" s="90" t="str">
        <f t="shared" si="214"/>
        <v/>
      </c>
      <c r="AL581" s="91">
        <f>IF(AK581="Adjust",(_xlfn.XLOOKUP(A581,'Adj factor'!A:A,'Adj factor'!I:I,,0)*AI581),'Master DataSheet (Rev)'!AI581)</f>
        <v>37</v>
      </c>
      <c r="AM581" s="91">
        <f t="shared" si="215"/>
        <v>37</v>
      </c>
      <c r="AN581" s="92" t="str">
        <f t="shared" si="216"/>
        <v>No change</v>
      </c>
      <c r="AO581" s="93">
        <f>VLOOKUP(B581,'Growthrates source'!A$2:H$49,8,FALSE)</f>
        <v>6.763943333062894E-2</v>
      </c>
      <c r="AP581" s="93">
        <f>VLOOKUP(B581,'Growthrates source'!A$2:I$49,9,FALSE)</f>
        <v>0.1043111029271564</v>
      </c>
      <c r="AQ581" s="86">
        <f t="shared" si="217"/>
        <v>26.383023286985491</v>
      </c>
      <c r="AR581" s="86">
        <f t="shared" si="218"/>
        <v>50.594922298483347</v>
      </c>
      <c r="AS581" s="94">
        <f t="shared" si="219"/>
        <v>0</v>
      </c>
      <c r="AT581" s="94">
        <f t="shared" si="220"/>
        <v>0.15380263505482125</v>
      </c>
      <c r="AU581" s="94">
        <f t="shared" si="221"/>
        <v>0.14413642317674732</v>
      </c>
      <c r="AV581" s="94">
        <f t="shared" si="222"/>
        <v>0.14413642317674732</v>
      </c>
    </row>
    <row r="582" spans="1:48" x14ac:dyDescent="0.3">
      <c r="A582" s="85" t="str">
        <f>_xlfn.XLOOKUP(B582,'Country codes &amp; Data sources'!G:G,'Country codes &amp; Data sources'!H:H,,0)</f>
        <v>Namibia</v>
      </c>
      <c r="B582" s="85" t="s">
        <v>182</v>
      </c>
      <c r="C582" s="86">
        <v>2167485</v>
      </c>
      <c r="D582" s="85" t="s">
        <v>141</v>
      </c>
      <c r="E582" s="87">
        <v>0</v>
      </c>
      <c r="F582" s="88">
        <v>2204510.0000000005</v>
      </c>
      <c r="G582" s="87">
        <v>0</v>
      </c>
      <c r="I582" s="87">
        <v>0</v>
      </c>
      <c r="K582" s="87">
        <v>0</v>
      </c>
      <c r="M582" s="87">
        <v>0</v>
      </c>
      <c r="O582" s="87">
        <v>0</v>
      </c>
      <c r="P582" s="88">
        <v>2405680.5000000005</v>
      </c>
      <c r="Q582" s="87">
        <v>84</v>
      </c>
      <c r="R582" s="87">
        <f t="shared" si="205"/>
        <v>147</v>
      </c>
      <c r="T582" s="87">
        <v>99</v>
      </c>
      <c r="V582" s="87">
        <v>95</v>
      </c>
      <c r="X582" s="87">
        <v>99</v>
      </c>
      <c r="Y582" s="88">
        <v>2567012.4999999995</v>
      </c>
      <c r="Z582" s="87">
        <v>107</v>
      </c>
      <c r="AA582" s="87">
        <v>147</v>
      </c>
      <c r="AB582" s="89">
        <f t="shared" si="206"/>
        <v>0</v>
      </c>
      <c r="AC582" s="89">
        <f t="shared" si="207"/>
        <v>99</v>
      </c>
      <c r="AD582" s="89">
        <f t="shared" si="208"/>
        <v>107</v>
      </c>
      <c r="AF582" s="90" t="str">
        <f t="shared" si="209"/>
        <v/>
      </c>
      <c r="AG582" s="90">
        <f t="shared" si="210"/>
        <v>147</v>
      </c>
      <c r="AH582" s="90" t="str">
        <f t="shared" si="211"/>
        <v>2018 (triag)</v>
      </c>
      <c r="AI582" s="90">
        <f t="shared" si="212"/>
        <v>107</v>
      </c>
      <c r="AJ582" s="90">
        <f t="shared" si="213"/>
        <v>2022</v>
      </c>
      <c r="AK582" s="90" t="str">
        <f t="shared" si="214"/>
        <v>Adjust</v>
      </c>
      <c r="AL582" s="91">
        <f>IF(AK582="Adjust",(_xlfn.XLOOKUP(A582,'Adj factor'!A:A,'Adj factor'!I:I,,0)*AI582),'Master DataSheet (Rev)'!AI582)</f>
        <v>162.08163026521061</v>
      </c>
      <c r="AM582" s="91">
        <f t="shared" si="215"/>
        <v>162.08163026521061</v>
      </c>
      <c r="AN582" s="92" t="str">
        <f t="shared" si="216"/>
        <v>Increasing</v>
      </c>
      <c r="AO582" s="93">
        <f>VLOOKUP(B582,'Growthrates source'!A$2:H$49,8,FALSE)</f>
        <v>6.763943333062894E-2</v>
      </c>
      <c r="AP582" s="93">
        <f>VLOOKUP(B582,'Growthrates source'!A$2:I$49,9,FALSE)</f>
        <v>0.1043111029271564</v>
      </c>
      <c r="AQ582" s="86">
        <f t="shared" si="217"/>
        <v>104.81903846450993</v>
      </c>
      <c r="AR582" s="86">
        <f t="shared" si="218"/>
        <v>201.01225886154197</v>
      </c>
      <c r="AS582" s="94">
        <f t="shared" si="219"/>
        <v>0</v>
      </c>
      <c r="AT582" s="94">
        <f t="shared" si="220"/>
        <v>0.6110537122448304</v>
      </c>
      <c r="AU582" s="94">
        <f t="shared" si="221"/>
        <v>0.63140179592117551</v>
      </c>
      <c r="AV582" s="94">
        <f t="shared" si="222"/>
        <v>0.63140179592117551</v>
      </c>
    </row>
    <row r="583" spans="1:48" x14ac:dyDescent="0.3">
      <c r="A583" s="85" t="str">
        <f>_xlfn.XLOOKUP(B583,'Country codes &amp; Data sources'!G:G,'Country codes &amp; Data sources'!H:H,,0)</f>
        <v>Namibia</v>
      </c>
      <c r="B583" s="85" t="s">
        <v>182</v>
      </c>
      <c r="C583" s="86">
        <v>2167486</v>
      </c>
      <c r="D583" s="85" t="s">
        <v>208</v>
      </c>
      <c r="E583" s="87">
        <v>0</v>
      </c>
      <c r="F583" s="88">
        <v>2204510.0000000005</v>
      </c>
      <c r="G583" s="87">
        <v>0</v>
      </c>
      <c r="I583" s="87">
        <v>0</v>
      </c>
      <c r="K583" s="87">
        <v>0</v>
      </c>
      <c r="M583" s="87">
        <v>0</v>
      </c>
      <c r="O583" s="87">
        <v>0</v>
      </c>
      <c r="P583" s="88">
        <v>2405680.5000000005</v>
      </c>
      <c r="Q583" s="87">
        <v>0</v>
      </c>
      <c r="R583" s="87">
        <f t="shared" si="205"/>
        <v>2157</v>
      </c>
      <c r="T583" s="87">
        <v>0</v>
      </c>
      <c r="V583" s="87">
        <v>0</v>
      </c>
      <c r="X583" s="87">
        <v>0</v>
      </c>
      <c r="Y583" s="88">
        <v>2567012.4999999995</v>
      </c>
      <c r="Z583" s="87">
        <v>0</v>
      </c>
      <c r="AA583" s="87">
        <v>2157</v>
      </c>
      <c r="AB583" s="89">
        <f t="shared" si="206"/>
        <v>0</v>
      </c>
      <c r="AC583" s="89">
        <f t="shared" si="207"/>
        <v>0</v>
      </c>
      <c r="AD583" s="89">
        <f t="shared" si="208"/>
        <v>0</v>
      </c>
      <c r="AF583" s="90" t="str">
        <f t="shared" si="209"/>
        <v/>
      </c>
      <c r="AG583" s="90">
        <f t="shared" si="210"/>
        <v>2157</v>
      </c>
      <c r="AH583" s="90" t="str">
        <f t="shared" si="211"/>
        <v>2018 (triag)</v>
      </c>
      <c r="AI583" s="90">
        <f t="shared" si="212"/>
        <v>2157</v>
      </c>
      <c r="AJ583" s="90" t="str">
        <f t="shared" si="213"/>
        <v>2018 (triag)</v>
      </c>
      <c r="AK583" s="90" t="str">
        <f t="shared" si="214"/>
        <v/>
      </c>
      <c r="AL583" s="91">
        <f>IF(AK583="Adjust",(_xlfn.XLOOKUP(A583,'Adj factor'!A:A,'Adj factor'!I:I,,0)*AI583),'Master DataSheet (Rev)'!AI583)</f>
        <v>2157</v>
      </c>
      <c r="AM583" s="91">
        <f t="shared" si="215"/>
        <v>2157</v>
      </c>
      <c r="AN583" s="92" t="str">
        <f t="shared" si="216"/>
        <v>No change</v>
      </c>
      <c r="AO583" s="93">
        <f>VLOOKUP(B583,'Growthrates source'!A$2:H$49,8,FALSE)</f>
        <v>6.763943333062894E-2</v>
      </c>
      <c r="AP583" s="93">
        <f>VLOOKUP(B583,'Growthrates source'!A$2:I$49,9,FALSE)</f>
        <v>0.1043111029271564</v>
      </c>
      <c r="AQ583" s="86">
        <f t="shared" si="217"/>
        <v>1538.0589521629108</v>
      </c>
      <c r="AR583" s="86">
        <f t="shared" si="218"/>
        <v>2949.5472269683401</v>
      </c>
      <c r="AS583" s="94">
        <f t="shared" si="219"/>
        <v>0</v>
      </c>
      <c r="AT583" s="94">
        <f t="shared" si="220"/>
        <v>8.9662779408986335</v>
      </c>
      <c r="AU583" s="94">
        <f t="shared" si="221"/>
        <v>8.4027639133038914</v>
      </c>
      <c r="AV583" s="94">
        <f t="shared" si="222"/>
        <v>8.4027639133038914</v>
      </c>
    </row>
    <row r="584" spans="1:48" x14ac:dyDescent="0.3">
      <c r="A584" s="85" t="str">
        <f>_xlfn.XLOOKUP(B584,'Country codes &amp; Data sources'!G:G,'Country codes &amp; Data sources'!H:H,,0)</f>
        <v>Namibia</v>
      </c>
      <c r="B584" s="85" t="s">
        <v>182</v>
      </c>
      <c r="C584" s="86">
        <v>2167487</v>
      </c>
      <c r="D584" s="85" t="s">
        <v>209</v>
      </c>
      <c r="E584" s="87">
        <v>0</v>
      </c>
      <c r="F584" s="88">
        <v>2204510.0000000005</v>
      </c>
      <c r="G584" s="87">
        <v>0</v>
      </c>
      <c r="I584" s="87">
        <v>0</v>
      </c>
      <c r="K584" s="87">
        <v>0</v>
      </c>
      <c r="M584" s="87">
        <v>0</v>
      </c>
      <c r="O584" s="87">
        <v>0</v>
      </c>
      <c r="P584" s="88">
        <v>2405680.5000000005</v>
      </c>
      <c r="Q584" s="87">
        <v>0</v>
      </c>
      <c r="R584" s="87">
        <f t="shared" si="205"/>
        <v>0</v>
      </c>
      <c r="T584" s="87">
        <v>0</v>
      </c>
      <c r="V584" s="87">
        <v>0</v>
      </c>
      <c r="X584" s="87">
        <v>0</v>
      </c>
      <c r="Y584" s="88">
        <v>2567012.4999999995</v>
      </c>
      <c r="Z584" s="87">
        <v>0</v>
      </c>
      <c r="AA584" s="87">
        <v>0</v>
      </c>
      <c r="AB584" s="89">
        <f t="shared" si="206"/>
        <v>0</v>
      </c>
      <c r="AC584" s="89">
        <f t="shared" si="207"/>
        <v>0</v>
      </c>
      <c r="AD584" s="89">
        <f t="shared" si="208"/>
        <v>0</v>
      </c>
      <c r="AF584" s="90" t="str">
        <f t="shared" si="209"/>
        <v/>
      </c>
      <c r="AH584" s="90" t="str">
        <f t="shared" si="211"/>
        <v/>
      </c>
      <c r="AI584" s="90">
        <f t="shared" si="212"/>
        <v>0</v>
      </c>
      <c r="AJ584" s="90" t="str">
        <f t="shared" si="213"/>
        <v/>
      </c>
      <c r="AK584" s="90" t="str">
        <f t="shared" si="214"/>
        <v/>
      </c>
      <c r="AL584" s="91"/>
      <c r="AM584" s="91">
        <f t="shared" si="215"/>
        <v>0</v>
      </c>
      <c r="AN584" s="92" t="str">
        <f t="shared" si="216"/>
        <v>No change</v>
      </c>
      <c r="AO584" s="93">
        <f>VLOOKUP(B584,'Growthrates source'!A$2:H$49,8,FALSE)</f>
        <v>6.763943333062894E-2</v>
      </c>
      <c r="AP584" s="93">
        <f>VLOOKUP(B584,'Growthrates source'!A$2:I$49,9,FALSE)</f>
        <v>0.1043111029271564</v>
      </c>
      <c r="AQ584" s="86">
        <f t="shared" si="217"/>
        <v>0</v>
      </c>
      <c r="AR584" s="86">
        <f t="shared" si="218"/>
        <v>0</v>
      </c>
      <c r="AS584" s="94">
        <f t="shared" si="219"/>
        <v>0</v>
      </c>
      <c r="AT584" s="94">
        <f t="shared" si="220"/>
        <v>0</v>
      </c>
      <c r="AU584" s="94">
        <f t="shared" si="221"/>
        <v>0</v>
      </c>
      <c r="AV584" s="94">
        <f t="shared" si="222"/>
        <v>0</v>
      </c>
    </row>
    <row r="585" spans="1:48" x14ac:dyDescent="0.3">
      <c r="A585" s="85" t="str">
        <f>_xlfn.XLOOKUP(B585,'Country codes &amp; Data sources'!G:G,'Country codes &amp; Data sources'!H:H,,0)</f>
        <v>Namibia</v>
      </c>
      <c r="B585" s="85" t="s">
        <v>182</v>
      </c>
      <c r="C585" s="86">
        <v>2167488</v>
      </c>
      <c r="D585" s="85" t="s">
        <v>134</v>
      </c>
      <c r="E585" s="87">
        <v>0</v>
      </c>
      <c r="F585" s="88">
        <v>2204510.0000000005</v>
      </c>
      <c r="G585" s="87">
        <v>0</v>
      </c>
      <c r="I585" s="87">
        <v>0</v>
      </c>
      <c r="K585" s="87">
        <v>0</v>
      </c>
      <c r="M585" s="87">
        <v>0</v>
      </c>
      <c r="O585" s="87">
        <v>0</v>
      </c>
      <c r="P585" s="88">
        <v>2405680.5000000005</v>
      </c>
      <c r="Q585" s="87">
        <v>140</v>
      </c>
      <c r="R585" s="87">
        <f t="shared" si="205"/>
        <v>510</v>
      </c>
      <c r="T585" s="87">
        <v>0</v>
      </c>
      <c r="V585" s="87">
        <v>99</v>
      </c>
      <c r="X585" s="87">
        <v>99</v>
      </c>
      <c r="Y585" s="88">
        <v>2567012.4999999995</v>
      </c>
      <c r="Z585" s="87">
        <v>1065</v>
      </c>
      <c r="AA585" s="87">
        <v>510</v>
      </c>
      <c r="AB585" s="89">
        <f t="shared" si="206"/>
        <v>0</v>
      </c>
      <c r="AC585" s="89">
        <f t="shared" si="207"/>
        <v>140</v>
      </c>
      <c r="AD585" s="89">
        <f t="shared" si="208"/>
        <v>1065</v>
      </c>
      <c r="AF585" s="90" t="str">
        <f t="shared" si="209"/>
        <v/>
      </c>
      <c r="AG585" s="90">
        <f t="shared" si="210"/>
        <v>510</v>
      </c>
      <c r="AH585" s="90" t="str">
        <f t="shared" si="211"/>
        <v>2018 (triag)</v>
      </c>
      <c r="AI585" s="90">
        <f t="shared" si="212"/>
        <v>1065</v>
      </c>
      <c r="AJ585" s="90">
        <f t="shared" si="213"/>
        <v>2022</v>
      </c>
      <c r="AK585" s="90" t="str">
        <f t="shared" si="214"/>
        <v/>
      </c>
      <c r="AL585" s="91">
        <f>IF(AK585="Adjust",(_xlfn.XLOOKUP(A585,'Adj factor'!A:A,'Adj factor'!I:I,,0)*AI585),'Master DataSheet (Rev)'!AI585)</f>
        <v>1065</v>
      </c>
      <c r="AM585" s="91">
        <f t="shared" si="215"/>
        <v>1065</v>
      </c>
      <c r="AN585" s="92" t="str">
        <f t="shared" si="216"/>
        <v>Increasing</v>
      </c>
      <c r="AO585" s="93">
        <f>VLOOKUP(B585,'Growthrates source'!A$2:H$49,8,FALSE)</f>
        <v>6.763943333062894E-2</v>
      </c>
      <c r="AP585" s="93">
        <f>VLOOKUP(B585,'Growthrates source'!A$2:I$49,9,FALSE)</f>
        <v>0.1043111029271564</v>
      </c>
      <c r="AQ585" s="86">
        <f t="shared" si="217"/>
        <v>363.65788855034054</v>
      </c>
      <c r="AR585" s="86">
        <f t="shared" si="218"/>
        <v>697.38946951963533</v>
      </c>
      <c r="AS585" s="94">
        <f t="shared" si="219"/>
        <v>0</v>
      </c>
      <c r="AT585" s="94">
        <f t="shared" si="220"/>
        <v>2.1199822669718604</v>
      </c>
      <c r="AU585" s="94">
        <f t="shared" si="221"/>
        <v>4.1487916400874569</v>
      </c>
      <c r="AV585" s="94">
        <f t="shared" si="222"/>
        <v>4.1487916400874569</v>
      </c>
    </row>
    <row r="586" spans="1:48" x14ac:dyDescent="0.3">
      <c r="A586" s="85" t="str">
        <f>_xlfn.XLOOKUP(B586,'Country codes &amp; Data sources'!G:G,'Country codes &amp; Data sources'!H:H,,0)</f>
        <v>Namibia</v>
      </c>
      <c r="B586" s="85" t="s">
        <v>182</v>
      </c>
      <c r="C586" s="86">
        <v>2167489</v>
      </c>
      <c r="D586" s="85" t="s">
        <v>142</v>
      </c>
      <c r="E586" s="87">
        <v>0</v>
      </c>
      <c r="F586" s="88">
        <v>2204510.0000000005</v>
      </c>
      <c r="G586" s="87">
        <v>0</v>
      </c>
      <c r="I586" s="87">
        <v>0</v>
      </c>
      <c r="K586" s="87">
        <v>0</v>
      </c>
      <c r="M586" s="87">
        <v>0</v>
      </c>
      <c r="O586" s="87">
        <v>0</v>
      </c>
      <c r="P586" s="88">
        <v>2405680.5000000005</v>
      </c>
      <c r="Q586" s="87">
        <v>52</v>
      </c>
      <c r="R586" s="87">
        <f t="shared" si="205"/>
        <v>1053</v>
      </c>
      <c r="T586" s="87">
        <v>53</v>
      </c>
      <c r="V586" s="87">
        <v>54</v>
      </c>
      <c r="X586" s="87">
        <v>63</v>
      </c>
      <c r="Y586" s="88">
        <v>2567012.4999999995</v>
      </c>
      <c r="Z586" s="87">
        <v>82</v>
      </c>
      <c r="AA586" s="87">
        <v>1053</v>
      </c>
      <c r="AB586" s="89">
        <f t="shared" si="206"/>
        <v>0</v>
      </c>
      <c r="AC586" s="89">
        <f t="shared" si="207"/>
        <v>53</v>
      </c>
      <c r="AD586" s="89">
        <f t="shared" si="208"/>
        <v>82</v>
      </c>
      <c r="AF586" s="90" t="str">
        <f t="shared" si="209"/>
        <v/>
      </c>
      <c r="AG586" s="90">
        <f t="shared" si="210"/>
        <v>1053</v>
      </c>
      <c r="AH586" s="90" t="str">
        <f t="shared" si="211"/>
        <v>2018 (triag)</v>
      </c>
      <c r="AI586" s="90">
        <f t="shared" si="212"/>
        <v>82</v>
      </c>
      <c r="AJ586" s="90">
        <f t="shared" si="213"/>
        <v>2022</v>
      </c>
      <c r="AK586" s="90" t="str">
        <f t="shared" si="214"/>
        <v>Adjust</v>
      </c>
      <c r="AL586" s="91">
        <f>IF(AK586="Adjust",(_xlfn.XLOOKUP(A586,'Adj factor'!A:A,'Adj factor'!I:I,,0)*AI586),'Master DataSheet (Rev)'!AI586)</f>
        <v>124.21209048361935</v>
      </c>
      <c r="AM586" s="91">
        <f t="shared" si="215"/>
        <v>1053</v>
      </c>
      <c r="AN586" s="92" t="str">
        <f t="shared" si="216"/>
        <v>Decreasing</v>
      </c>
      <c r="AO586" s="93">
        <f>VLOOKUP(B586,'Growthrates source'!A$2:H$49,8,FALSE)</f>
        <v>6.763943333062894E-2</v>
      </c>
      <c r="AP586" s="93">
        <f>VLOOKUP(B586,'Growthrates source'!A$2:I$49,9,FALSE)</f>
        <v>0.1043111029271564</v>
      </c>
      <c r="AQ586" s="86">
        <f t="shared" si="217"/>
        <v>750.84658165393842</v>
      </c>
      <c r="AR586" s="86">
        <f t="shared" si="218"/>
        <v>1439.9041400081883</v>
      </c>
      <c r="AS586" s="94">
        <f t="shared" si="219"/>
        <v>0</v>
      </c>
      <c r="AT586" s="94">
        <f t="shared" si="220"/>
        <v>4.3771398571007243</v>
      </c>
      <c r="AU586" s="94">
        <f t="shared" si="221"/>
        <v>0.48387801182744283</v>
      </c>
      <c r="AV586" s="94">
        <f t="shared" si="222"/>
        <v>4.102044692030133</v>
      </c>
    </row>
    <row r="587" spans="1:48" ht="14.5" x14ac:dyDescent="0.35">
      <c r="A587" s="85" t="str">
        <f>_xlfn.XLOOKUP(B587,'Country codes &amp; Data sources'!G:G,'Country codes &amp; Data sources'!H:H,,0)</f>
        <v>Namibia</v>
      </c>
      <c r="B587" s="85" t="s">
        <v>182</v>
      </c>
      <c r="C587" s="86">
        <v>2167490</v>
      </c>
      <c r="D587" s="85" t="s">
        <v>83</v>
      </c>
      <c r="E587" s="87">
        <v>0</v>
      </c>
      <c r="F587" s="88">
        <v>2204510.0000000005</v>
      </c>
      <c r="G587" s="87">
        <v>0</v>
      </c>
      <c r="I587" s="87">
        <v>0</v>
      </c>
      <c r="K587" s="87">
        <v>0</v>
      </c>
      <c r="M587" s="87">
        <v>0</v>
      </c>
      <c r="O587" s="87">
        <v>0</v>
      </c>
      <c r="P587" s="88">
        <v>2405680.5000000005</v>
      </c>
      <c r="Q587" s="87">
        <v>118</v>
      </c>
      <c r="R587" s="87">
        <f t="shared" si="205"/>
        <v>233</v>
      </c>
      <c r="T587" s="87">
        <v>123</v>
      </c>
      <c r="V587" s="87">
        <v>134</v>
      </c>
      <c r="X587" s="87">
        <v>140</v>
      </c>
      <c r="Y587" s="88">
        <v>2567012.4999999995</v>
      </c>
      <c r="Z587" s="111">
        <v>155</v>
      </c>
      <c r="AA587" s="87">
        <v>233</v>
      </c>
      <c r="AB587" s="89">
        <f t="shared" si="206"/>
        <v>0</v>
      </c>
      <c r="AC587" s="89">
        <f t="shared" si="207"/>
        <v>123</v>
      </c>
      <c r="AD587" s="89">
        <f t="shared" si="208"/>
        <v>155</v>
      </c>
      <c r="AF587" s="90" t="str">
        <f t="shared" si="209"/>
        <v/>
      </c>
      <c r="AG587" s="90">
        <f t="shared" si="210"/>
        <v>233</v>
      </c>
      <c r="AH587" s="90" t="str">
        <f t="shared" si="211"/>
        <v>2018 (triag)</v>
      </c>
      <c r="AI587" s="90">
        <f t="shared" si="212"/>
        <v>155</v>
      </c>
      <c r="AJ587" s="90">
        <f t="shared" si="213"/>
        <v>2022</v>
      </c>
      <c r="AK587" s="90" t="str">
        <f t="shared" si="214"/>
        <v>Adjust</v>
      </c>
      <c r="AL587" s="91">
        <f>IF(AK587="Adjust",(_xlfn.XLOOKUP(A587,'Adj factor'!A:A,'Adj factor'!I:I,,0)*AI587),'Master DataSheet (Rev)'!AI587)</f>
        <v>234.79114664586584</v>
      </c>
      <c r="AM587" s="91">
        <f t="shared" si="215"/>
        <v>234.79114664586584</v>
      </c>
      <c r="AN587" s="92" t="str">
        <f t="shared" si="216"/>
        <v>Increasing</v>
      </c>
      <c r="AO587" s="93">
        <f>VLOOKUP(B587,'Growthrates source'!A$2:H$49,8,FALSE)</f>
        <v>6.763943333062894E-2</v>
      </c>
      <c r="AP587" s="93">
        <f>VLOOKUP(B587,'Growthrates source'!A$2:I$49,9,FALSE)</f>
        <v>0.1043111029271564</v>
      </c>
      <c r="AQ587" s="86">
        <f t="shared" si="217"/>
        <v>166.14174123966538</v>
      </c>
      <c r="AR587" s="86">
        <f t="shared" si="218"/>
        <v>318.61126744720593</v>
      </c>
      <c r="AS587" s="94">
        <f t="shared" si="219"/>
        <v>0</v>
      </c>
      <c r="AT587" s="94">
        <f t="shared" si="220"/>
        <v>0.96854091804792841</v>
      </c>
      <c r="AU587" s="94">
        <f t="shared" si="221"/>
        <v>0.91464746138114195</v>
      </c>
      <c r="AV587" s="94">
        <f t="shared" si="222"/>
        <v>0.91464746138114195</v>
      </c>
    </row>
    <row r="588" spans="1:48" x14ac:dyDescent="0.3">
      <c r="A588" s="85" t="str">
        <f>_xlfn.XLOOKUP(B588,'Country codes &amp; Data sources'!G:G,'Country codes &amp; Data sources'!H:H,,0)</f>
        <v>Namibia</v>
      </c>
      <c r="B588" s="85" t="s">
        <v>182</v>
      </c>
      <c r="C588" s="86">
        <v>2167491</v>
      </c>
      <c r="D588" s="85" t="s">
        <v>84</v>
      </c>
      <c r="E588" s="87">
        <v>0</v>
      </c>
      <c r="F588" s="88">
        <v>2204510.0000000005</v>
      </c>
      <c r="G588" s="87">
        <v>0</v>
      </c>
      <c r="I588" s="87">
        <v>0</v>
      </c>
      <c r="K588" s="87">
        <v>0</v>
      </c>
      <c r="M588" s="87">
        <v>0</v>
      </c>
      <c r="O588" s="87">
        <v>0</v>
      </c>
      <c r="P588" s="88">
        <v>2405680.5000000005</v>
      </c>
      <c r="Q588" s="87">
        <v>0</v>
      </c>
      <c r="R588" s="87">
        <f t="shared" si="205"/>
        <v>509</v>
      </c>
      <c r="T588" s="87">
        <v>0</v>
      </c>
      <c r="V588" s="87">
        <v>0</v>
      </c>
      <c r="X588" s="87">
        <v>0</v>
      </c>
      <c r="Y588" s="88">
        <v>2567012.4999999995</v>
      </c>
      <c r="Z588" s="87">
        <v>0</v>
      </c>
      <c r="AA588" s="87">
        <v>509</v>
      </c>
      <c r="AB588" s="89">
        <f t="shared" si="206"/>
        <v>0</v>
      </c>
      <c r="AC588" s="89">
        <f t="shared" si="207"/>
        <v>0</v>
      </c>
      <c r="AD588" s="89">
        <f t="shared" si="208"/>
        <v>0</v>
      </c>
      <c r="AF588" s="90" t="str">
        <f t="shared" si="209"/>
        <v/>
      </c>
      <c r="AG588" s="90">
        <f t="shared" si="210"/>
        <v>509</v>
      </c>
      <c r="AH588" s="90" t="str">
        <f t="shared" si="211"/>
        <v>2018 (triag)</v>
      </c>
      <c r="AI588" s="90">
        <f t="shared" si="212"/>
        <v>509</v>
      </c>
      <c r="AJ588" s="90" t="str">
        <f t="shared" si="213"/>
        <v>2018 (triag)</v>
      </c>
      <c r="AK588" s="90" t="str">
        <f t="shared" si="214"/>
        <v/>
      </c>
      <c r="AL588" s="91">
        <f>IF(AK588="Adjust",(_xlfn.XLOOKUP(A588,'Adj factor'!A:A,'Adj factor'!I:I,,0)*AI588),'Master DataSheet (Rev)'!AI588)</f>
        <v>509</v>
      </c>
      <c r="AM588" s="60">
        <f>507+3</f>
        <v>510</v>
      </c>
      <c r="AN588" s="92" t="str">
        <f t="shared" si="216"/>
        <v>No change</v>
      </c>
      <c r="AO588" s="93">
        <f>VLOOKUP(B588,'Growthrates source'!A$2:H$49,8,FALSE)</f>
        <v>6.763943333062894E-2</v>
      </c>
      <c r="AP588" s="93">
        <f>VLOOKUP(B588,'Growthrates source'!A$2:I$49,9,FALSE)</f>
        <v>0.1043111029271564</v>
      </c>
      <c r="AQ588" s="86">
        <f t="shared" si="217"/>
        <v>362.94483386690854</v>
      </c>
      <c r="AR588" s="86">
        <f t="shared" si="218"/>
        <v>696.02203918724388</v>
      </c>
      <c r="AS588" s="94">
        <f t="shared" si="219"/>
        <v>0</v>
      </c>
      <c r="AT588" s="94">
        <f t="shared" si="220"/>
        <v>2.115825438997406</v>
      </c>
      <c r="AU588" s="94">
        <f t="shared" si="221"/>
        <v>1.9828497134314698</v>
      </c>
      <c r="AV588" s="94">
        <f t="shared" si="222"/>
        <v>1.9867452924362468</v>
      </c>
    </row>
    <row r="589" spans="1:48" ht="14.5" x14ac:dyDescent="0.35">
      <c r="A589" s="85" t="str">
        <f>_xlfn.XLOOKUP(B589,'Country codes &amp; Data sources'!G:G,'Country codes &amp; Data sources'!H:H,,0)</f>
        <v>Namibia</v>
      </c>
      <c r="B589" s="85" t="s">
        <v>182</v>
      </c>
      <c r="C589" s="86">
        <v>2167492</v>
      </c>
      <c r="D589" s="85" t="s">
        <v>126</v>
      </c>
      <c r="E589" s="87">
        <v>0</v>
      </c>
      <c r="F589" s="88">
        <v>2204510.0000000005</v>
      </c>
      <c r="G589" s="87">
        <v>0</v>
      </c>
      <c r="I589" s="87">
        <v>0</v>
      </c>
      <c r="K589" s="87">
        <v>0</v>
      </c>
      <c r="M589" s="87">
        <v>0</v>
      </c>
      <c r="O589" s="87">
        <v>0</v>
      </c>
      <c r="P589" s="88">
        <v>2405680.5000000005</v>
      </c>
      <c r="Q589" s="87">
        <v>0</v>
      </c>
      <c r="R589" s="87">
        <f t="shared" si="205"/>
        <v>0</v>
      </c>
      <c r="T589" s="87">
        <v>0</v>
      </c>
      <c r="V589" s="87">
        <v>0</v>
      </c>
      <c r="X589" s="87">
        <v>0</v>
      </c>
      <c r="Y589" s="88">
        <v>2567012.4999999995</v>
      </c>
      <c r="Z589" s="111">
        <f>3+12+7+7</f>
        <v>29</v>
      </c>
      <c r="AA589" s="87">
        <v>0</v>
      </c>
      <c r="AB589" s="89">
        <f t="shared" si="206"/>
        <v>0</v>
      </c>
      <c r="AC589" s="89">
        <f t="shared" si="207"/>
        <v>0</v>
      </c>
      <c r="AD589" s="89">
        <f t="shared" si="208"/>
        <v>29</v>
      </c>
      <c r="AF589" s="90" t="str">
        <f t="shared" si="209"/>
        <v/>
      </c>
      <c r="AH589" s="90" t="str">
        <f t="shared" si="211"/>
        <v/>
      </c>
      <c r="AI589" s="90">
        <f t="shared" si="212"/>
        <v>29</v>
      </c>
      <c r="AJ589" s="90">
        <f t="shared" si="213"/>
        <v>2022</v>
      </c>
      <c r="AK589" s="90" t="str">
        <f t="shared" si="214"/>
        <v/>
      </c>
      <c r="AL589" s="91">
        <f>IF(AK589="Adjust",(_xlfn.XLOOKUP(A589,'Adj factor'!A:A,'Adj factor'!I:I,,0)*AI589),'Master DataSheet (Rev)'!AI589)</f>
        <v>29</v>
      </c>
      <c r="AM589" s="60">
        <f>3+12+7+7</f>
        <v>29</v>
      </c>
      <c r="AN589" s="92" t="str">
        <f t="shared" si="216"/>
        <v>Increasing</v>
      </c>
      <c r="AO589" s="93">
        <f>VLOOKUP(B589,'Growthrates source'!A$2:H$49,8,FALSE)</f>
        <v>6.763943333062894E-2</v>
      </c>
      <c r="AP589" s="93">
        <f>VLOOKUP(B589,'Growthrates source'!A$2:I$49,9,FALSE)</f>
        <v>0.1043111029271564</v>
      </c>
      <c r="AQ589" s="86">
        <f t="shared" si="217"/>
        <v>0</v>
      </c>
      <c r="AR589" s="86">
        <f t="shared" si="218"/>
        <v>0</v>
      </c>
      <c r="AS589" s="94">
        <f t="shared" si="219"/>
        <v>0</v>
      </c>
      <c r="AT589" s="94">
        <f t="shared" si="220"/>
        <v>0</v>
      </c>
      <c r="AU589" s="94">
        <f t="shared" si="221"/>
        <v>0.11297179113853167</v>
      </c>
      <c r="AV589" s="94">
        <f t="shared" si="222"/>
        <v>0.11297179113853167</v>
      </c>
    </row>
    <row r="590" spans="1:48" x14ac:dyDescent="0.3">
      <c r="A590" s="85" t="str">
        <f>_xlfn.XLOOKUP(B590,'Country codes &amp; Data sources'!G:G,'Country codes &amp; Data sources'!H:H,,0)</f>
        <v>Namibia</v>
      </c>
      <c r="B590" s="85" t="s">
        <v>182</v>
      </c>
      <c r="C590" s="86">
        <v>2167493</v>
      </c>
      <c r="D590" s="85" t="s">
        <v>87</v>
      </c>
      <c r="E590" s="87">
        <v>0</v>
      </c>
      <c r="F590" s="88">
        <v>2204510.0000000005</v>
      </c>
      <c r="G590" s="87">
        <v>0</v>
      </c>
      <c r="I590" s="87">
        <v>0</v>
      </c>
      <c r="K590" s="87">
        <v>0</v>
      </c>
      <c r="M590" s="87">
        <v>0</v>
      </c>
      <c r="O590" s="87">
        <v>0</v>
      </c>
      <c r="P590" s="88">
        <v>2405680.5000000005</v>
      </c>
      <c r="Q590" s="87">
        <v>0</v>
      </c>
      <c r="R590" s="87">
        <f t="shared" si="205"/>
        <v>8</v>
      </c>
      <c r="T590" s="87">
        <v>0</v>
      </c>
      <c r="V590" s="87">
        <v>0</v>
      </c>
      <c r="X590" s="87">
        <v>0</v>
      </c>
      <c r="Y590" s="88">
        <v>2567012.4999999995</v>
      </c>
      <c r="Z590" s="87">
        <v>0</v>
      </c>
      <c r="AA590" s="87">
        <v>8</v>
      </c>
      <c r="AB590" s="89">
        <f t="shared" si="206"/>
        <v>0</v>
      </c>
      <c r="AC590" s="89">
        <f t="shared" si="207"/>
        <v>0</v>
      </c>
      <c r="AD590" s="89">
        <f t="shared" si="208"/>
        <v>0</v>
      </c>
      <c r="AF590" s="90" t="str">
        <f t="shared" si="209"/>
        <v/>
      </c>
      <c r="AG590" s="90">
        <f t="shared" si="210"/>
        <v>8</v>
      </c>
      <c r="AH590" s="90" t="str">
        <f t="shared" si="211"/>
        <v>2018 (triag)</v>
      </c>
      <c r="AI590" s="90">
        <f t="shared" si="212"/>
        <v>8</v>
      </c>
      <c r="AJ590" s="90" t="str">
        <f t="shared" si="213"/>
        <v>2018 (triag)</v>
      </c>
      <c r="AK590" s="90" t="str">
        <f t="shared" si="214"/>
        <v/>
      </c>
      <c r="AL590" s="91">
        <f>IF(AK590="Adjust",(_xlfn.XLOOKUP(A590,'Adj factor'!A:A,'Adj factor'!I:I,,0)*AI590),'Master DataSheet (Rev)'!AI590)</f>
        <v>8</v>
      </c>
      <c r="AM590" s="91">
        <f t="shared" si="215"/>
        <v>8</v>
      </c>
      <c r="AN590" s="92" t="str">
        <f t="shared" si="216"/>
        <v>No change</v>
      </c>
      <c r="AO590" s="93">
        <f>VLOOKUP(B590,'Growthrates source'!A$2:H$49,8,FALSE)</f>
        <v>6.763943333062894E-2</v>
      </c>
      <c r="AP590" s="93">
        <f>VLOOKUP(B590,'Growthrates source'!A$2:I$49,9,FALSE)</f>
        <v>0.1043111029271564</v>
      </c>
      <c r="AQ590" s="86">
        <f t="shared" si="217"/>
        <v>5.7044374674563221</v>
      </c>
      <c r="AR590" s="86">
        <f t="shared" si="218"/>
        <v>10.939442659131535</v>
      </c>
      <c r="AS590" s="94">
        <f t="shared" si="219"/>
        <v>0</v>
      </c>
      <c r="AT590" s="94">
        <f t="shared" si="220"/>
        <v>3.3254623795637026E-2</v>
      </c>
      <c r="AU590" s="94">
        <f t="shared" si="221"/>
        <v>3.1164632038215637E-2</v>
      </c>
      <c r="AV590" s="94">
        <f t="shared" si="222"/>
        <v>3.1164632038215637E-2</v>
      </c>
    </row>
    <row r="591" spans="1:48" x14ac:dyDescent="0.3">
      <c r="A591" s="85" t="str">
        <f>_xlfn.XLOOKUP(B591,'Country codes &amp; Data sources'!G:G,'Country codes &amp; Data sources'!H:H,,0)</f>
        <v>Niger</v>
      </c>
      <c r="B591" s="85" t="s">
        <v>190</v>
      </c>
      <c r="C591" s="86">
        <v>17954412</v>
      </c>
      <c r="D591" s="85" t="s">
        <v>127</v>
      </c>
      <c r="E591" s="87">
        <v>0</v>
      </c>
      <c r="F591" s="88">
        <v>18653199</v>
      </c>
      <c r="G591" s="87">
        <v>6560</v>
      </c>
      <c r="I591" s="87">
        <v>0</v>
      </c>
      <c r="K591" s="87">
        <v>0</v>
      </c>
      <c r="M591" s="87">
        <v>0</v>
      </c>
      <c r="O591" s="87">
        <v>0</v>
      </c>
      <c r="P591" s="88">
        <v>22577057.999999996</v>
      </c>
      <c r="Q591" s="87">
        <v>0</v>
      </c>
      <c r="R591" s="87">
        <f t="shared" si="205"/>
        <v>55</v>
      </c>
      <c r="T591" s="87">
        <v>0</v>
      </c>
      <c r="V591" s="87">
        <v>21429</v>
      </c>
      <c r="X591" s="87">
        <v>0</v>
      </c>
      <c r="Y591" s="88">
        <v>26207976.5</v>
      </c>
      <c r="Z591" s="87">
        <v>2239</v>
      </c>
      <c r="AA591" s="87">
        <v>55</v>
      </c>
      <c r="AB591" s="89">
        <f t="shared" si="206"/>
        <v>6560</v>
      </c>
      <c r="AC591" s="89">
        <f t="shared" si="207"/>
        <v>0</v>
      </c>
      <c r="AD591" s="89">
        <f t="shared" si="208"/>
        <v>21429</v>
      </c>
      <c r="AE591" s="90">
        <f t="shared" ref="AE591" si="223">IF(G591&gt;0,G591,IF(E591&gt;0,E591,IF(I591&gt;0,I591,K591)))</f>
        <v>6560</v>
      </c>
      <c r="AF591" s="90">
        <f t="shared" si="209"/>
        <v>2013</v>
      </c>
      <c r="AG591" s="90">
        <f t="shared" si="210"/>
        <v>55</v>
      </c>
      <c r="AH591" s="90" t="str">
        <f t="shared" si="211"/>
        <v>2018 (triag)</v>
      </c>
      <c r="AI591" s="90">
        <f t="shared" si="212"/>
        <v>2239</v>
      </c>
      <c r="AJ591" s="90">
        <f t="shared" si="213"/>
        <v>2022</v>
      </c>
      <c r="AK591" s="90" t="str">
        <f t="shared" si="214"/>
        <v/>
      </c>
      <c r="AL591" s="91">
        <f>IF(AK591="Adjust",(_xlfn.XLOOKUP(A591,'Adj factor'!A:A,'Adj factor'!I:I,,0)*AI591),'Master DataSheet (Rev)'!AI591)</f>
        <v>2239</v>
      </c>
      <c r="AM591" s="91">
        <f t="shared" si="215"/>
        <v>2239</v>
      </c>
      <c r="AN591" s="92" t="str">
        <f t="shared" si="216"/>
        <v>Increasing</v>
      </c>
      <c r="AO591" s="93">
        <f>VLOOKUP(B591,'Growthrates source'!A$2:H$49,8,FALSE)</f>
        <v>7.2635719552709199E-2</v>
      </c>
      <c r="AP591" s="93">
        <f>VLOOKUP(B591,'Growthrates source'!A$2:I$49,9,FALSE)</f>
        <v>2.4687803142194653E-2</v>
      </c>
      <c r="AQ591" s="86">
        <f t="shared" si="217"/>
        <v>38.250421792587133</v>
      </c>
      <c r="AR591" s="86">
        <f t="shared" si="218"/>
        <v>59.228129804972276</v>
      </c>
      <c r="AS591" s="94">
        <f t="shared" si="219"/>
        <v>3.5168230393081639</v>
      </c>
      <c r="AT591" s="94">
        <f t="shared" si="220"/>
        <v>2.4361012847643838E-2</v>
      </c>
      <c r="AU591" s="94">
        <f t="shared" si="221"/>
        <v>0.85432005786482601</v>
      </c>
      <c r="AV591" s="94">
        <f t="shared" si="222"/>
        <v>0.85432005786482601</v>
      </c>
    </row>
    <row r="592" spans="1:48" x14ac:dyDescent="0.3">
      <c r="A592" s="85" t="str">
        <f>_xlfn.XLOOKUP(B592,'Country codes &amp; Data sources'!G:G,'Country codes &amp; Data sources'!H:H,,0)</f>
        <v>Niger</v>
      </c>
      <c r="B592" s="85" t="s">
        <v>190</v>
      </c>
      <c r="C592" s="86">
        <v>17954413</v>
      </c>
      <c r="D592" s="85" t="s">
        <v>61</v>
      </c>
      <c r="E592" s="87">
        <v>0</v>
      </c>
      <c r="F592" s="88">
        <v>18653199</v>
      </c>
      <c r="G592" s="87">
        <v>0</v>
      </c>
      <c r="I592" s="87">
        <v>0</v>
      </c>
      <c r="K592" s="87">
        <v>0</v>
      </c>
      <c r="M592" s="87">
        <v>0</v>
      </c>
      <c r="O592" s="87">
        <v>0</v>
      </c>
      <c r="P592" s="88">
        <v>22577057.999999996</v>
      </c>
      <c r="Q592" s="87">
        <v>0</v>
      </c>
      <c r="R592" s="87">
        <f t="shared" si="205"/>
        <v>42</v>
      </c>
      <c r="T592" s="87">
        <v>0</v>
      </c>
      <c r="V592" s="87">
        <v>0</v>
      </c>
      <c r="X592" s="87">
        <v>0</v>
      </c>
      <c r="Y592" s="88">
        <v>26207976.5</v>
      </c>
      <c r="Z592" s="87">
        <v>0</v>
      </c>
      <c r="AA592" s="87">
        <v>42</v>
      </c>
      <c r="AB592" s="89">
        <f t="shared" si="206"/>
        <v>0</v>
      </c>
      <c r="AC592" s="89">
        <f t="shared" si="207"/>
        <v>0</v>
      </c>
      <c r="AD592" s="89">
        <f t="shared" si="208"/>
        <v>0</v>
      </c>
      <c r="AF592" s="90" t="str">
        <f t="shared" si="209"/>
        <v/>
      </c>
      <c r="AG592" s="90">
        <f t="shared" si="210"/>
        <v>42</v>
      </c>
      <c r="AH592" s="90" t="str">
        <f t="shared" si="211"/>
        <v>2018 (triag)</v>
      </c>
      <c r="AI592" s="90">
        <f t="shared" si="212"/>
        <v>42</v>
      </c>
      <c r="AJ592" s="90" t="str">
        <f t="shared" si="213"/>
        <v>2018 (triag)</v>
      </c>
      <c r="AK592" s="90" t="str">
        <f t="shared" si="214"/>
        <v/>
      </c>
      <c r="AL592" s="91">
        <f>IF(AK592="Adjust",(_xlfn.XLOOKUP(A592,'Adj factor'!A:A,'Adj factor'!I:I,,0)*AI592),'Master DataSheet (Rev)'!AI592)</f>
        <v>42</v>
      </c>
      <c r="AM592" s="91">
        <f t="shared" si="215"/>
        <v>42</v>
      </c>
      <c r="AN592" s="92" t="str">
        <f t="shared" si="216"/>
        <v>No change</v>
      </c>
      <c r="AO592" s="93">
        <f>VLOOKUP(B592,'Growthrates source'!A$2:H$49,8,FALSE)</f>
        <v>7.2635719552709199E-2</v>
      </c>
      <c r="AP592" s="93">
        <f>VLOOKUP(B592,'Growthrates source'!A$2:I$49,9,FALSE)</f>
        <v>2.4687803142194653E-2</v>
      </c>
      <c r="AQ592" s="86">
        <f t="shared" si="217"/>
        <v>29.209413005248354</v>
      </c>
      <c r="AR592" s="86">
        <f t="shared" si="218"/>
        <v>45.22875366925156</v>
      </c>
      <c r="AS592" s="94">
        <f t="shared" si="219"/>
        <v>0</v>
      </c>
      <c r="AT592" s="94">
        <f t="shared" si="220"/>
        <v>1.8602955265473477E-2</v>
      </c>
      <c r="AU592" s="94">
        <f t="shared" si="221"/>
        <v>1.6025655395409868E-2</v>
      </c>
      <c r="AV592" s="94">
        <f t="shared" si="222"/>
        <v>1.6025655395409868E-2</v>
      </c>
    </row>
    <row r="593" spans="1:48" x14ac:dyDescent="0.3">
      <c r="A593" s="85" t="str">
        <f>_xlfn.XLOOKUP(B593,'Country codes &amp; Data sources'!G:G,'Country codes &amp; Data sources'!H:H,,0)</f>
        <v>Niger</v>
      </c>
      <c r="B593" s="85" t="s">
        <v>190</v>
      </c>
      <c r="C593" s="86">
        <v>17954414</v>
      </c>
      <c r="D593" s="85" t="s">
        <v>62</v>
      </c>
      <c r="E593" s="87">
        <v>0</v>
      </c>
      <c r="F593" s="88">
        <v>18653199</v>
      </c>
      <c r="G593" s="87">
        <v>0</v>
      </c>
      <c r="I593" s="87">
        <v>0</v>
      </c>
      <c r="K593" s="87">
        <v>0</v>
      </c>
      <c r="M593" s="87">
        <v>0</v>
      </c>
      <c r="O593" s="87">
        <v>0</v>
      </c>
      <c r="P593" s="88">
        <v>22577057.999999996</v>
      </c>
      <c r="Q593" s="87">
        <v>0</v>
      </c>
      <c r="R593" s="87">
        <f t="shared" si="205"/>
        <v>101</v>
      </c>
      <c r="T593" s="87">
        <v>0</v>
      </c>
      <c r="V593" s="87">
        <v>0</v>
      </c>
      <c r="X593" s="87">
        <v>0</v>
      </c>
      <c r="Y593" s="88">
        <v>26207976.5</v>
      </c>
      <c r="Z593" s="87">
        <v>0</v>
      </c>
      <c r="AA593" s="87">
        <v>101</v>
      </c>
      <c r="AB593" s="89">
        <f t="shared" si="206"/>
        <v>0</v>
      </c>
      <c r="AC593" s="89">
        <f t="shared" si="207"/>
        <v>0</v>
      </c>
      <c r="AD593" s="89">
        <f t="shared" si="208"/>
        <v>0</v>
      </c>
      <c r="AF593" s="90" t="str">
        <f t="shared" si="209"/>
        <v/>
      </c>
      <c r="AG593" s="90">
        <f t="shared" si="210"/>
        <v>101</v>
      </c>
      <c r="AH593" s="90" t="str">
        <f t="shared" si="211"/>
        <v>2018 (triag)</v>
      </c>
      <c r="AI593" s="90">
        <f t="shared" si="212"/>
        <v>101</v>
      </c>
      <c r="AJ593" s="90" t="str">
        <f t="shared" si="213"/>
        <v>2018 (triag)</v>
      </c>
      <c r="AK593" s="90" t="str">
        <f t="shared" si="214"/>
        <v/>
      </c>
      <c r="AL593" s="91">
        <f>IF(AK593="Adjust",(_xlfn.XLOOKUP(A593,'Adj factor'!A:A,'Adj factor'!I:I,,0)*AI593),'Master DataSheet (Rev)'!AI593)</f>
        <v>101</v>
      </c>
      <c r="AM593" s="91">
        <f t="shared" si="215"/>
        <v>101</v>
      </c>
      <c r="AN593" s="92" t="str">
        <f t="shared" si="216"/>
        <v>No change</v>
      </c>
      <c r="AO593" s="93">
        <f>VLOOKUP(B593,'Growthrates source'!A$2:H$49,8,FALSE)</f>
        <v>7.2635719552709199E-2</v>
      </c>
      <c r="AP593" s="93">
        <f>VLOOKUP(B593,'Growthrates source'!A$2:I$49,9,FALSE)</f>
        <v>2.4687803142194653E-2</v>
      </c>
      <c r="AQ593" s="86">
        <f t="shared" si="217"/>
        <v>70.241683655478184</v>
      </c>
      <c r="AR593" s="86">
        <f t="shared" si="218"/>
        <v>108.76438382367637</v>
      </c>
      <c r="AS593" s="94">
        <f t="shared" si="219"/>
        <v>0</v>
      </c>
      <c r="AT593" s="94">
        <f t="shared" si="220"/>
        <v>4.47356781384005E-2</v>
      </c>
      <c r="AU593" s="94">
        <f t="shared" si="221"/>
        <v>3.8537885593723731E-2</v>
      </c>
      <c r="AV593" s="94">
        <f t="shared" si="222"/>
        <v>3.8537885593723731E-2</v>
      </c>
    </row>
    <row r="594" spans="1:48" x14ac:dyDescent="0.3">
      <c r="A594" s="85" t="str">
        <f>_xlfn.XLOOKUP(B594,'Country codes &amp; Data sources'!G:G,'Country codes &amp; Data sources'!H:H,,0)</f>
        <v>Niger</v>
      </c>
      <c r="B594" s="85" t="s">
        <v>190</v>
      </c>
      <c r="C594" s="86">
        <v>17954415</v>
      </c>
      <c r="D594" s="85" t="s">
        <v>203</v>
      </c>
      <c r="E594" s="87">
        <v>0</v>
      </c>
      <c r="F594" s="88">
        <v>18653199</v>
      </c>
      <c r="G594" s="87">
        <v>0</v>
      </c>
      <c r="I594" s="87">
        <v>0</v>
      </c>
      <c r="K594" s="87">
        <v>0</v>
      </c>
      <c r="M594" s="87">
        <v>0</v>
      </c>
      <c r="O594" s="87">
        <v>0</v>
      </c>
      <c r="P594" s="88">
        <v>22577057.999999996</v>
      </c>
      <c r="Q594" s="87">
        <v>95</v>
      </c>
      <c r="R594" s="87">
        <f t="shared" si="205"/>
        <v>152</v>
      </c>
      <c r="T594" s="87">
        <v>0</v>
      </c>
      <c r="V594" s="87">
        <v>0</v>
      </c>
      <c r="X594" s="87">
        <v>0</v>
      </c>
      <c r="Y594" s="88">
        <v>26207976.5</v>
      </c>
      <c r="Z594" s="87">
        <v>0</v>
      </c>
      <c r="AA594" s="87">
        <v>152</v>
      </c>
      <c r="AB594" s="89">
        <f t="shared" si="206"/>
        <v>0</v>
      </c>
      <c r="AC594" s="89">
        <f t="shared" si="207"/>
        <v>95</v>
      </c>
      <c r="AD594" s="89">
        <f t="shared" si="208"/>
        <v>0</v>
      </c>
      <c r="AF594" s="90" t="str">
        <f t="shared" si="209"/>
        <v/>
      </c>
      <c r="AG594" s="90">
        <f t="shared" si="210"/>
        <v>152</v>
      </c>
      <c r="AH594" s="90" t="str">
        <f t="shared" si="211"/>
        <v>2018 (triag)</v>
      </c>
      <c r="AI594" s="90">
        <f t="shared" si="212"/>
        <v>152</v>
      </c>
      <c r="AJ594" s="90" t="str">
        <f t="shared" si="213"/>
        <v>2018 (triag)</v>
      </c>
      <c r="AK594" s="90" t="str">
        <f t="shared" si="214"/>
        <v/>
      </c>
      <c r="AL594" s="91">
        <f>IF(AK594="Adjust",(_xlfn.XLOOKUP(A594,'Adj factor'!A:A,'Adj factor'!I:I,,0)*AI594),'Master DataSheet (Rev)'!AI594)</f>
        <v>152</v>
      </c>
      <c r="AM594" s="91">
        <f t="shared" si="215"/>
        <v>152</v>
      </c>
      <c r="AN594" s="92" t="str">
        <f t="shared" si="216"/>
        <v>No change</v>
      </c>
      <c r="AO594" s="93">
        <f>VLOOKUP(B594,'Growthrates source'!A$2:H$49,8,FALSE)</f>
        <v>7.2635719552709199E-2</v>
      </c>
      <c r="AP594" s="93">
        <f>VLOOKUP(B594,'Growthrates source'!A$2:I$49,9,FALSE)</f>
        <v>2.4687803142194653E-2</v>
      </c>
      <c r="AQ594" s="86">
        <f t="shared" si="217"/>
        <v>105.71025659042262</v>
      </c>
      <c r="AR594" s="86">
        <f t="shared" si="218"/>
        <v>163.68501327919611</v>
      </c>
      <c r="AS594" s="94">
        <f t="shared" si="219"/>
        <v>0</v>
      </c>
      <c r="AT594" s="94">
        <f t="shared" si="220"/>
        <v>6.7324980960761158E-2</v>
      </c>
      <c r="AU594" s="94">
        <f t="shared" si="221"/>
        <v>5.7997610002435709E-2</v>
      </c>
      <c r="AV594" s="94">
        <f t="shared" si="222"/>
        <v>5.7997610002435709E-2</v>
      </c>
    </row>
    <row r="595" spans="1:48" x14ac:dyDescent="0.3">
      <c r="A595" s="85" t="str">
        <f>_xlfn.XLOOKUP(B595,'Country codes &amp; Data sources'!G:G,'Country codes &amp; Data sources'!H:H,,0)</f>
        <v>Niger</v>
      </c>
      <c r="B595" s="85" t="s">
        <v>190</v>
      </c>
      <c r="C595" s="86">
        <v>17954416</v>
      </c>
      <c r="D595" s="85" t="s">
        <v>204</v>
      </c>
      <c r="E595" s="87">
        <v>0</v>
      </c>
      <c r="F595" s="88">
        <v>18653199</v>
      </c>
      <c r="G595" s="87">
        <v>0</v>
      </c>
      <c r="I595" s="87">
        <v>0</v>
      </c>
      <c r="K595" s="87">
        <v>0</v>
      </c>
      <c r="M595" s="87">
        <v>0</v>
      </c>
      <c r="O595" s="87">
        <v>0</v>
      </c>
      <c r="P595" s="88">
        <v>22577057.999999996</v>
      </c>
      <c r="Q595" s="87">
        <v>0</v>
      </c>
      <c r="R595" s="87">
        <f t="shared" si="205"/>
        <v>226</v>
      </c>
      <c r="T595" s="87">
        <v>0</v>
      </c>
      <c r="V595" s="87">
        <v>0</v>
      </c>
      <c r="X595" s="87">
        <v>0</v>
      </c>
      <c r="Y595" s="88">
        <v>26207976.5</v>
      </c>
      <c r="Z595" s="87">
        <v>0</v>
      </c>
      <c r="AA595" s="87">
        <v>226</v>
      </c>
      <c r="AB595" s="89">
        <f t="shared" si="206"/>
        <v>0</v>
      </c>
      <c r="AC595" s="89">
        <f t="shared" si="207"/>
        <v>0</v>
      </c>
      <c r="AD595" s="89">
        <f t="shared" si="208"/>
        <v>0</v>
      </c>
      <c r="AF595" s="90" t="str">
        <f t="shared" si="209"/>
        <v/>
      </c>
      <c r="AG595" s="90">
        <f t="shared" si="210"/>
        <v>226</v>
      </c>
      <c r="AH595" s="90" t="str">
        <f t="shared" si="211"/>
        <v>2018 (triag)</v>
      </c>
      <c r="AI595" s="90">
        <f t="shared" si="212"/>
        <v>226</v>
      </c>
      <c r="AJ595" s="90" t="str">
        <f t="shared" si="213"/>
        <v>2018 (triag)</v>
      </c>
      <c r="AK595" s="90" t="str">
        <f t="shared" si="214"/>
        <v/>
      </c>
      <c r="AL595" s="91">
        <f>IF(AK595="Adjust",(_xlfn.XLOOKUP(A595,'Adj factor'!A:A,'Adj factor'!I:I,,0)*AI595),'Master DataSheet (Rev)'!AI595)</f>
        <v>226</v>
      </c>
      <c r="AM595" s="91">
        <f t="shared" si="215"/>
        <v>226</v>
      </c>
      <c r="AN595" s="92" t="str">
        <f t="shared" si="216"/>
        <v>No change</v>
      </c>
      <c r="AO595" s="93">
        <f>VLOOKUP(B595,'Growthrates source'!A$2:H$49,8,FALSE)</f>
        <v>7.2635719552709199E-2</v>
      </c>
      <c r="AP595" s="93">
        <f>VLOOKUP(B595,'Growthrates source'!A$2:I$49,9,FALSE)</f>
        <v>2.4687803142194653E-2</v>
      </c>
      <c r="AQ595" s="86">
        <f t="shared" si="217"/>
        <v>157.17446045681257</v>
      </c>
      <c r="AR595" s="86">
        <f t="shared" si="218"/>
        <v>243.37376974406791</v>
      </c>
      <c r="AS595" s="94">
        <f t="shared" si="219"/>
        <v>0</v>
      </c>
      <c r="AT595" s="94">
        <f t="shared" si="220"/>
        <v>0.10010161642850013</v>
      </c>
      <c r="AU595" s="94">
        <f t="shared" si="221"/>
        <v>8.623328855625309E-2</v>
      </c>
      <c r="AV595" s="94">
        <f t="shared" si="222"/>
        <v>8.623328855625309E-2</v>
      </c>
    </row>
    <row r="596" spans="1:48" x14ac:dyDescent="0.3">
      <c r="A596" s="85" t="str">
        <f>_xlfn.XLOOKUP(B596,'Country codes &amp; Data sources'!G:G,'Country codes &amp; Data sources'!H:H,,0)</f>
        <v>Niger</v>
      </c>
      <c r="B596" s="85" t="s">
        <v>190</v>
      </c>
      <c r="C596" s="86">
        <v>17954417</v>
      </c>
      <c r="D596" s="85" t="s">
        <v>205</v>
      </c>
      <c r="E596" s="87">
        <v>0</v>
      </c>
      <c r="F596" s="88">
        <v>18653199</v>
      </c>
      <c r="G596" s="87">
        <v>0</v>
      </c>
      <c r="I596" s="87">
        <v>0</v>
      </c>
      <c r="K596" s="87">
        <v>0</v>
      </c>
      <c r="M596" s="87">
        <v>0</v>
      </c>
      <c r="O596" s="87">
        <v>0</v>
      </c>
      <c r="P596" s="88">
        <v>22577057.999999996</v>
      </c>
      <c r="Q596" s="87">
        <v>0</v>
      </c>
      <c r="R596" s="87">
        <f t="shared" si="205"/>
        <v>11</v>
      </c>
      <c r="T596" s="87">
        <v>0</v>
      </c>
      <c r="V596" s="87">
        <v>0</v>
      </c>
      <c r="X596" s="87">
        <v>0</v>
      </c>
      <c r="Y596" s="88">
        <v>26207976.5</v>
      </c>
      <c r="Z596" s="87">
        <v>6</v>
      </c>
      <c r="AA596" s="87">
        <v>11</v>
      </c>
      <c r="AB596" s="89">
        <f t="shared" si="206"/>
        <v>0</v>
      </c>
      <c r="AC596" s="89">
        <f t="shared" si="207"/>
        <v>0</v>
      </c>
      <c r="AD596" s="89">
        <f t="shared" si="208"/>
        <v>6</v>
      </c>
      <c r="AF596" s="90" t="str">
        <f t="shared" si="209"/>
        <v/>
      </c>
      <c r="AG596" s="90">
        <f t="shared" si="210"/>
        <v>11</v>
      </c>
      <c r="AH596" s="90" t="str">
        <f t="shared" si="211"/>
        <v>2018 (triag)</v>
      </c>
      <c r="AI596" s="90">
        <f t="shared" si="212"/>
        <v>6</v>
      </c>
      <c r="AJ596" s="90">
        <f t="shared" si="213"/>
        <v>2022</v>
      </c>
      <c r="AK596" s="90" t="str">
        <f t="shared" si="214"/>
        <v>Adjust</v>
      </c>
      <c r="AL596" s="91">
        <f>IF(AK596="Adjust",(_xlfn.XLOOKUP(A596,'Adj factor'!A:A,'Adj factor'!I:I,,0)*AI596),'Master DataSheet (Rev)'!AI596)</f>
        <v>6.895791865922491</v>
      </c>
      <c r="AM596" s="91">
        <f t="shared" si="215"/>
        <v>11</v>
      </c>
      <c r="AN596" s="92" t="str">
        <f t="shared" si="216"/>
        <v>Decreasing</v>
      </c>
      <c r="AO596" s="93">
        <f>VLOOKUP(B596,'Growthrates source'!A$2:H$49,8,FALSE)</f>
        <v>7.2635719552709199E-2</v>
      </c>
      <c r="AP596" s="93">
        <f>VLOOKUP(B596,'Growthrates source'!A$2:I$49,9,FALSE)</f>
        <v>2.4687803142194653E-2</v>
      </c>
      <c r="AQ596" s="86">
        <f t="shared" si="217"/>
        <v>7.6500843585174261</v>
      </c>
      <c r="AR596" s="86">
        <f t="shared" si="218"/>
        <v>11.845625960994456</v>
      </c>
      <c r="AS596" s="94">
        <f t="shared" si="219"/>
        <v>0</v>
      </c>
      <c r="AT596" s="94">
        <f t="shared" si="220"/>
        <v>4.8722025695287679E-3</v>
      </c>
      <c r="AU596" s="94">
        <f t="shared" si="221"/>
        <v>2.6311805743272441E-3</v>
      </c>
      <c r="AV596" s="94">
        <f t="shared" si="222"/>
        <v>4.1971954607025845E-3</v>
      </c>
    </row>
    <row r="597" spans="1:48" x14ac:dyDescent="0.3">
      <c r="A597" s="85" t="str">
        <f>_xlfn.XLOOKUP(B597,'Country codes &amp; Data sources'!G:G,'Country codes &amp; Data sources'!H:H,,0)</f>
        <v>Niger</v>
      </c>
      <c r="B597" s="85" t="s">
        <v>190</v>
      </c>
      <c r="C597" s="86">
        <v>17954418</v>
      </c>
      <c r="D597" s="85" t="s">
        <v>133</v>
      </c>
      <c r="E597" s="87">
        <v>0</v>
      </c>
      <c r="F597" s="88">
        <v>18653199</v>
      </c>
      <c r="G597" s="87">
        <v>0</v>
      </c>
      <c r="I597" s="87">
        <v>0</v>
      </c>
      <c r="K597" s="87">
        <v>0</v>
      </c>
      <c r="M597" s="87">
        <v>0</v>
      </c>
      <c r="O597" s="87">
        <v>0</v>
      </c>
      <c r="P597" s="88">
        <v>22577057.999999996</v>
      </c>
      <c r="Q597" s="87">
        <v>432</v>
      </c>
      <c r="R597" s="87">
        <f t="shared" si="205"/>
        <v>432</v>
      </c>
      <c r="T597" s="87">
        <v>0</v>
      </c>
      <c r="V597" s="87">
        <v>0</v>
      </c>
      <c r="X597" s="87">
        <v>0</v>
      </c>
      <c r="Y597" s="88">
        <v>26207976.5</v>
      </c>
      <c r="Z597" s="87">
        <v>0</v>
      </c>
      <c r="AA597" s="87">
        <v>191</v>
      </c>
      <c r="AB597" s="89">
        <f t="shared" si="206"/>
        <v>0</v>
      </c>
      <c r="AC597" s="89">
        <f t="shared" si="207"/>
        <v>432</v>
      </c>
      <c r="AD597" s="89">
        <f t="shared" si="208"/>
        <v>0</v>
      </c>
      <c r="AF597" s="90" t="str">
        <f t="shared" si="209"/>
        <v/>
      </c>
      <c r="AG597" s="90">
        <f t="shared" si="210"/>
        <v>432</v>
      </c>
      <c r="AH597" s="90">
        <f t="shared" si="211"/>
        <v>2018</v>
      </c>
      <c r="AI597" s="90">
        <f t="shared" si="212"/>
        <v>432</v>
      </c>
      <c r="AJ597" s="90">
        <f t="shared" si="213"/>
        <v>2018</v>
      </c>
      <c r="AK597" s="90" t="str">
        <f t="shared" si="214"/>
        <v/>
      </c>
      <c r="AL597" s="91">
        <f>IF(AK597="Adjust",(_xlfn.XLOOKUP(A597,'Adj factor'!A:A,'Adj factor'!I:I,,0)*AI597),'Master DataSheet (Rev)'!AI597)</f>
        <v>432</v>
      </c>
      <c r="AM597" s="91">
        <f t="shared" si="215"/>
        <v>432</v>
      </c>
      <c r="AN597" s="92" t="str">
        <f t="shared" si="216"/>
        <v>No change</v>
      </c>
      <c r="AO597" s="93">
        <f>VLOOKUP(B597,'Growthrates source'!A$2:H$49,8,FALSE)</f>
        <v>7.2635719552709199E-2</v>
      </c>
      <c r="AP597" s="93">
        <f>VLOOKUP(B597,'Growthrates source'!A$2:I$49,9,FALSE)</f>
        <v>2.4687803142194653E-2</v>
      </c>
      <c r="AQ597" s="86">
        <f t="shared" si="217"/>
        <v>132.83328295243894</v>
      </c>
      <c r="AR597" s="86">
        <f t="shared" si="218"/>
        <v>205.68314168635828</v>
      </c>
      <c r="AS597" s="94">
        <f t="shared" si="219"/>
        <v>0</v>
      </c>
      <c r="AT597" s="94">
        <f t="shared" si="220"/>
        <v>0.19134468273058433</v>
      </c>
      <c r="AU597" s="94">
        <f t="shared" si="221"/>
        <v>0.16483531263850149</v>
      </c>
      <c r="AV597" s="94">
        <f t="shared" si="222"/>
        <v>0.16483531263850149</v>
      </c>
    </row>
    <row r="598" spans="1:48" x14ac:dyDescent="0.3">
      <c r="A598" s="85" t="str">
        <f>_xlfn.XLOOKUP(B598,'Country codes &amp; Data sources'!G:G,'Country codes &amp; Data sources'!H:H,,0)</f>
        <v>Niger</v>
      </c>
      <c r="B598" s="85" t="s">
        <v>190</v>
      </c>
      <c r="C598" s="86">
        <v>17954419</v>
      </c>
      <c r="D598" s="85" t="s">
        <v>206</v>
      </c>
      <c r="E598" s="87">
        <v>0</v>
      </c>
      <c r="F598" s="88">
        <v>18653199</v>
      </c>
      <c r="G598" s="87">
        <v>0</v>
      </c>
      <c r="I598" s="87">
        <v>0</v>
      </c>
      <c r="K598" s="87">
        <v>0</v>
      </c>
      <c r="M598" s="87">
        <v>0</v>
      </c>
      <c r="O598" s="87">
        <v>0</v>
      </c>
      <c r="P598" s="88">
        <v>22577057.999999996</v>
      </c>
      <c r="Q598" s="87">
        <v>439</v>
      </c>
      <c r="R598" s="87">
        <f t="shared" si="205"/>
        <v>439</v>
      </c>
      <c r="T598" s="87">
        <v>0</v>
      </c>
      <c r="V598" s="87">
        <v>0</v>
      </c>
      <c r="X598" s="87">
        <v>0</v>
      </c>
      <c r="Y598" s="88">
        <v>26207976.5</v>
      </c>
      <c r="Z598" s="87">
        <v>0</v>
      </c>
      <c r="AA598" s="87">
        <v>0</v>
      </c>
      <c r="AB598" s="89">
        <f t="shared" si="206"/>
        <v>0</v>
      </c>
      <c r="AC598" s="89">
        <f t="shared" si="207"/>
        <v>439</v>
      </c>
      <c r="AD598" s="89">
        <f t="shared" si="208"/>
        <v>0</v>
      </c>
      <c r="AF598" s="90" t="str">
        <f t="shared" si="209"/>
        <v/>
      </c>
      <c r="AG598" s="90">
        <f t="shared" si="210"/>
        <v>439</v>
      </c>
      <c r="AH598" s="90">
        <f t="shared" si="211"/>
        <v>2018</v>
      </c>
      <c r="AI598" s="90">
        <f t="shared" si="212"/>
        <v>439</v>
      </c>
      <c r="AJ598" s="90">
        <f t="shared" si="213"/>
        <v>2018</v>
      </c>
      <c r="AK598" s="90" t="str">
        <f t="shared" si="214"/>
        <v/>
      </c>
      <c r="AL598" s="91">
        <f>IF(AK598="Adjust",(_xlfn.XLOOKUP(A598,'Adj factor'!A:A,'Adj factor'!I:I,,0)*AI598),'Master DataSheet (Rev)'!AI598)</f>
        <v>439</v>
      </c>
      <c r="AM598" s="91">
        <f t="shared" si="215"/>
        <v>439</v>
      </c>
      <c r="AN598" s="92" t="str">
        <f t="shared" si="216"/>
        <v>No change</v>
      </c>
      <c r="AO598" s="93">
        <f>VLOOKUP(B598,'Growthrates source'!A$2:H$49,8,FALSE)</f>
        <v>7.2635719552709199E-2</v>
      </c>
      <c r="AP598" s="93">
        <f>VLOOKUP(B598,'Growthrates source'!A$2:I$49,9,FALSE)</f>
        <v>2.4687803142194653E-2</v>
      </c>
      <c r="AQ598" s="86">
        <f t="shared" si="217"/>
        <v>0</v>
      </c>
      <c r="AR598" s="86">
        <f t="shared" si="218"/>
        <v>0</v>
      </c>
      <c r="AS598" s="94">
        <f t="shared" si="219"/>
        <v>0</v>
      </c>
      <c r="AT598" s="94">
        <f t="shared" si="220"/>
        <v>0.19444517527482991</v>
      </c>
      <c r="AU598" s="94">
        <f t="shared" si="221"/>
        <v>0.16750625520440313</v>
      </c>
      <c r="AV598" s="94">
        <f t="shared" si="222"/>
        <v>0.16750625520440313</v>
      </c>
    </row>
    <row r="599" spans="1:48" x14ac:dyDescent="0.3">
      <c r="A599" s="85" t="str">
        <f>_xlfn.XLOOKUP(B599,'Country codes &amp; Data sources'!G:G,'Country codes &amp; Data sources'!H:H,,0)</f>
        <v>Niger</v>
      </c>
      <c r="B599" s="85" t="s">
        <v>190</v>
      </c>
      <c r="C599" s="86">
        <v>17954420</v>
      </c>
      <c r="D599" s="85" t="s">
        <v>136</v>
      </c>
      <c r="E599" s="87">
        <v>0</v>
      </c>
      <c r="F599" s="88">
        <v>18653199</v>
      </c>
      <c r="G599" s="87">
        <v>0</v>
      </c>
      <c r="I599" s="87">
        <v>0</v>
      </c>
      <c r="K599" s="87">
        <v>0</v>
      </c>
      <c r="M599" s="87">
        <v>0</v>
      </c>
      <c r="O599" s="87">
        <v>0</v>
      </c>
      <c r="P599" s="88">
        <v>22577057.999999996</v>
      </c>
      <c r="Q599" s="87">
        <v>0</v>
      </c>
      <c r="R599" s="87">
        <f t="shared" si="205"/>
        <v>82</v>
      </c>
      <c r="T599" s="87">
        <v>0</v>
      </c>
      <c r="V599" s="87">
        <v>0</v>
      </c>
      <c r="X599" s="87">
        <v>0</v>
      </c>
      <c r="Y599" s="88">
        <v>26207976.5</v>
      </c>
      <c r="Z599" s="87">
        <v>0</v>
      </c>
      <c r="AA599" s="87">
        <v>82</v>
      </c>
      <c r="AB599" s="89">
        <f t="shared" si="206"/>
        <v>0</v>
      </c>
      <c r="AC599" s="89">
        <f t="shared" si="207"/>
        <v>0</v>
      </c>
      <c r="AD599" s="89">
        <f t="shared" si="208"/>
        <v>0</v>
      </c>
      <c r="AF599" s="90" t="str">
        <f t="shared" si="209"/>
        <v/>
      </c>
      <c r="AG599" s="90">
        <f t="shared" si="210"/>
        <v>82</v>
      </c>
      <c r="AH599" s="90" t="str">
        <f t="shared" si="211"/>
        <v>2018 (triag)</v>
      </c>
      <c r="AI599" s="90">
        <f t="shared" si="212"/>
        <v>82</v>
      </c>
      <c r="AJ599" s="90" t="str">
        <f t="shared" si="213"/>
        <v>2018 (triag)</v>
      </c>
      <c r="AK599" s="90" t="str">
        <f t="shared" si="214"/>
        <v/>
      </c>
      <c r="AL599" s="91">
        <f>IF(AK599="Adjust",(_xlfn.XLOOKUP(A599,'Adj factor'!A:A,'Adj factor'!I:I,,0)*AI599),'Master DataSheet (Rev)'!AI599)</f>
        <v>82</v>
      </c>
      <c r="AM599" s="91">
        <f t="shared" si="215"/>
        <v>82</v>
      </c>
      <c r="AN599" s="92" t="str">
        <f t="shared" si="216"/>
        <v>No change</v>
      </c>
      <c r="AO599" s="93">
        <f>VLOOKUP(B599,'Growthrates source'!A$2:H$49,8,FALSE)</f>
        <v>7.2635719552709199E-2</v>
      </c>
      <c r="AP599" s="93">
        <f>VLOOKUP(B599,'Growthrates source'!A$2:I$49,9,FALSE)</f>
        <v>2.4687803142194653E-2</v>
      </c>
      <c r="AQ599" s="86">
        <f t="shared" si="217"/>
        <v>57.027901581675358</v>
      </c>
      <c r="AR599" s="86">
        <f t="shared" si="218"/>
        <v>88.303757163776851</v>
      </c>
      <c r="AS599" s="94">
        <f t="shared" si="219"/>
        <v>0</v>
      </c>
      <c r="AT599" s="94">
        <f t="shared" si="220"/>
        <v>3.6320055518305361E-2</v>
      </c>
      <c r="AU599" s="94">
        <f t="shared" si="221"/>
        <v>3.1288184343419262E-2</v>
      </c>
      <c r="AV599" s="94">
        <f t="shared" si="222"/>
        <v>3.1288184343419262E-2</v>
      </c>
    </row>
    <row r="600" spans="1:48" x14ac:dyDescent="0.3">
      <c r="A600" s="85" t="str">
        <f>_xlfn.XLOOKUP(B600,'Country codes &amp; Data sources'!G:G,'Country codes &amp; Data sources'!H:H,,0)</f>
        <v>Niger</v>
      </c>
      <c r="B600" s="85" t="s">
        <v>190</v>
      </c>
      <c r="C600" s="86">
        <v>17954421</v>
      </c>
      <c r="D600" s="85" t="s">
        <v>207</v>
      </c>
      <c r="E600" s="87">
        <v>0</v>
      </c>
      <c r="F600" s="88">
        <v>18653199</v>
      </c>
      <c r="G600" s="87">
        <v>0</v>
      </c>
      <c r="I600" s="87">
        <v>0</v>
      </c>
      <c r="K600" s="87">
        <v>0</v>
      </c>
      <c r="M600" s="87">
        <v>0</v>
      </c>
      <c r="O600" s="87">
        <v>0</v>
      </c>
      <c r="P600" s="88">
        <v>22577057.999999996</v>
      </c>
      <c r="Q600" s="87">
        <v>0</v>
      </c>
      <c r="R600" s="87">
        <f t="shared" si="205"/>
        <v>22</v>
      </c>
      <c r="T600" s="87">
        <v>0</v>
      </c>
      <c r="V600" s="87">
        <v>0</v>
      </c>
      <c r="X600" s="87">
        <v>0</v>
      </c>
      <c r="Y600" s="88">
        <v>26207976.5</v>
      </c>
      <c r="Z600" s="87">
        <v>0</v>
      </c>
      <c r="AA600" s="87">
        <v>22</v>
      </c>
      <c r="AB600" s="89">
        <f t="shared" si="206"/>
        <v>0</v>
      </c>
      <c r="AC600" s="89">
        <f t="shared" si="207"/>
        <v>0</v>
      </c>
      <c r="AD600" s="89">
        <f t="shared" si="208"/>
        <v>0</v>
      </c>
      <c r="AF600" s="90" t="str">
        <f t="shared" si="209"/>
        <v/>
      </c>
      <c r="AG600" s="90">
        <f t="shared" si="210"/>
        <v>22</v>
      </c>
      <c r="AH600" s="90" t="str">
        <f t="shared" si="211"/>
        <v>2018 (triag)</v>
      </c>
      <c r="AI600" s="90">
        <f t="shared" si="212"/>
        <v>22</v>
      </c>
      <c r="AJ600" s="90" t="str">
        <f t="shared" si="213"/>
        <v>2018 (triag)</v>
      </c>
      <c r="AK600" s="90" t="str">
        <f t="shared" si="214"/>
        <v/>
      </c>
      <c r="AL600" s="91">
        <f>IF(AK600="Adjust",(_xlfn.XLOOKUP(A600,'Adj factor'!A:A,'Adj factor'!I:I,,0)*AI600),'Master DataSheet (Rev)'!AI600)</f>
        <v>22</v>
      </c>
      <c r="AM600" s="91">
        <f t="shared" si="215"/>
        <v>22</v>
      </c>
      <c r="AN600" s="92" t="str">
        <f t="shared" si="216"/>
        <v>No change</v>
      </c>
      <c r="AO600" s="93">
        <f>VLOOKUP(B600,'Growthrates source'!A$2:H$49,8,FALSE)</f>
        <v>7.2635719552709199E-2</v>
      </c>
      <c r="AP600" s="93">
        <f>VLOOKUP(B600,'Growthrates source'!A$2:I$49,9,FALSE)</f>
        <v>2.4687803142194653E-2</v>
      </c>
      <c r="AQ600" s="86">
        <f t="shared" si="217"/>
        <v>15.300168717034852</v>
      </c>
      <c r="AR600" s="86">
        <f t="shared" si="218"/>
        <v>23.691251921988911</v>
      </c>
      <c r="AS600" s="94">
        <f t="shared" si="219"/>
        <v>0</v>
      </c>
      <c r="AT600" s="94">
        <f t="shared" si="220"/>
        <v>9.7444051390575357E-3</v>
      </c>
      <c r="AU600" s="94">
        <f t="shared" si="221"/>
        <v>8.394390921405169E-3</v>
      </c>
      <c r="AV600" s="94">
        <f t="shared" si="222"/>
        <v>8.394390921405169E-3</v>
      </c>
    </row>
    <row r="601" spans="1:48" x14ac:dyDescent="0.3">
      <c r="A601" s="85" t="str">
        <f>_xlfn.XLOOKUP(B601,'Country codes &amp; Data sources'!G:G,'Country codes &amp; Data sources'!H:H,,0)</f>
        <v>Niger</v>
      </c>
      <c r="B601" s="85" t="s">
        <v>190</v>
      </c>
      <c r="C601" s="86">
        <v>17954422</v>
      </c>
      <c r="D601" s="85" t="s">
        <v>141</v>
      </c>
      <c r="E601" s="87">
        <v>0</v>
      </c>
      <c r="F601" s="88">
        <v>18653199</v>
      </c>
      <c r="G601" s="87">
        <v>0</v>
      </c>
      <c r="I601" s="87">
        <v>0</v>
      </c>
      <c r="K601" s="87">
        <v>0</v>
      </c>
      <c r="M601" s="87">
        <v>0</v>
      </c>
      <c r="O601" s="87">
        <v>0</v>
      </c>
      <c r="P601" s="88">
        <v>22577057.999999996</v>
      </c>
      <c r="Q601" s="87">
        <v>0</v>
      </c>
      <c r="R601" s="87">
        <f t="shared" si="205"/>
        <v>0</v>
      </c>
      <c r="T601" s="87">
        <v>0</v>
      </c>
      <c r="V601" s="87">
        <v>0</v>
      </c>
      <c r="X601" s="87">
        <v>0</v>
      </c>
      <c r="Y601" s="88">
        <v>26207976.5</v>
      </c>
      <c r="Z601" s="87">
        <v>0</v>
      </c>
      <c r="AA601" s="87">
        <v>0</v>
      </c>
      <c r="AB601" s="89">
        <f t="shared" si="206"/>
        <v>0</v>
      </c>
      <c r="AC601" s="89">
        <f t="shared" si="207"/>
        <v>0</v>
      </c>
      <c r="AD601" s="89">
        <f t="shared" si="208"/>
        <v>0</v>
      </c>
      <c r="AF601" s="90" t="str">
        <f t="shared" si="209"/>
        <v/>
      </c>
      <c r="AH601" s="90" t="str">
        <f t="shared" si="211"/>
        <v/>
      </c>
      <c r="AI601" s="90">
        <f t="shared" si="212"/>
        <v>0</v>
      </c>
      <c r="AJ601" s="90" t="str">
        <f t="shared" si="213"/>
        <v/>
      </c>
      <c r="AK601" s="90" t="str">
        <f t="shared" si="214"/>
        <v/>
      </c>
      <c r="AL601" s="91"/>
      <c r="AM601" s="91">
        <f t="shared" si="215"/>
        <v>0</v>
      </c>
      <c r="AN601" s="92" t="str">
        <f t="shared" si="216"/>
        <v>No change</v>
      </c>
      <c r="AO601" s="93">
        <f>VLOOKUP(B601,'Growthrates source'!A$2:H$49,8,FALSE)</f>
        <v>7.2635719552709199E-2</v>
      </c>
      <c r="AP601" s="93">
        <f>VLOOKUP(B601,'Growthrates source'!A$2:I$49,9,FALSE)</f>
        <v>2.4687803142194653E-2</v>
      </c>
      <c r="AQ601" s="86">
        <f t="shared" si="217"/>
        <v>0</v>
      </c>
      <c r="AR601" s="86">
        <f t="shared" si="218"/>
        <v>0</v>
      </c>
      <c r="AS601" s="94">
        <f t="shared" si="219"/>
        <v>0</v>
      </c>
      <c r="AT601" s="94">
        <f t="shared" si="220"/>
        <v>0</v>
      </c>
      <c r="AU601" s="94">
        <f t="shared" si="221"/>
        <v>0</v>
      </c>
      <c r="AV601" s="94">
        <f t="shared" si="222"/>
        <v>0</v>
      </c>
    </row>
    <row r="602" spans="1:48" x14ac:dyDescent="0.3">
      <c r="A602" s="85" t="str">
        <f>_xlfn.XLOOKUP(B602,'Country codes &amp; Data sources'!G:G,'Country codes &amp; Data sources'!H:H,,0)</f>
        <v>Niger</v>
      </c>
      <c r="B602" s="85" t="s">
        <v>190</v>
      </c>
      <c r="C602" s="86">
        <v>17954423</v>
      </c>
      <c r="D602" s="85" t="s">
        <v>208</v>
      </c>
      <c r="E602" s="87">
        <v>0</v>
      </c>
      <c r="F602" s="88">
        <v>18653199</v>
      </c>
      <c r="G602" s="87">
        <v>0</v>
      </c>
      <c r="I602" s="87">
        <v>0</v>
      </c>
      <c r="K602" s="87">
        <v>0</v>
      </c>
      <c r="M602" s="87">
        <v>0</v>
      </c>
      <c r="O602" s="87">
        <v>0</v>
      </c>
      <c r="P602" s="88">
        <v>22577057.999999996</v>
      </c>
      <c r="Q602" s="87">
        <v>0</v>
      </c>
      <c r="R602" s="87">
        <f t="shared" si="205"/>
        <v>542</v>
      </c>
      <c r="T602" s="87">
        <v>0</v>
      </c>
      <c r="V602" s="87">
        <v>0</v>
      </c>
      <c r="X602" s="87">
        <v>0</v>
      </c>
      <c r="Y602" s="88">
        <v>26207976.5</v>
      </c>
      <c r="Z602" s="87">
        <v>0</v>
      </c>
      <c r="AA602" s="87">
        <v>542</v>
      </c>
      <c r="AB602" s="89">
        <f t="shared" si="206"/>
        <v>0</v>
      </c>
      <c r="AC602" s="89">
        <f t="shared" si="207"/>
        <v>0</v>
      </c>
      <c r="AD602" s="89">
        <f t="shared" si="208"/>
        <v>0</v>
      </c>
      <c r="AF602" s="90" t="str">
        <f t="shared" si="209"/>
        <v/>
      </c>
      <c r="AG602" s="90">
        <f t="shared" si="210"/>
        <v>542</v>
      </c>
      <c r="AH602" s="90" t="str">
        <f t="shared" si="211"/>
        <v>2018 (triag)</v>
      </c>
      <c r="AI602" s="90">
        <f t="shared" si="212"/>
        <v>542</v>
      </c>
      <c r="AJ602" s="90" t="str">
        <f t="shared" si="213"/>
        <v>2018 (triag)</v>
      </c>
      <c r="AK602" s="90" t="str">
        <f t="shared" si="214"/>
        <v/>
      </c>
      <c r="AL602" s="91">
        <f>IF(AK602="Adjust",(_xlfn.XLOOKUP(A602,'Adj factor'!A:A,'Adj factor'!I:I,,0)*AI602),'Master DataSheet (Rev)'!AI602)</f>
        <v>542</v>
      </c>
      <c r="AM602" s="91">
        <f t="shared" si="215"/>
        <v>542</v>
      </c>
      <c r="AN602" s="92" t="str">
        <f t="shared" si="216"/>
        <v>No change</v>
      </c>
      <c r="AO602" s="93">
        <f>VLOOKUP(B602,'Growthrates source'!A$2:H$49,8,FALSE)</f>
        <v>7.2635719552709199E-2</v>
      </c>
      <c r="AP602" s="93">
        <f>VLOOKUP(B602,'Growthrates source'!A$2:I$49,9,FALSE)</f>
        <v>2.4687803142194653E-2</v>
      </c>
      <c r="AQ602" s="86">
        <f t="shared" si="217"/>
        <v>376.94052021058593</v>
      </c>
      <c r="AR602" s="86">
        <f t="shared" si="218"/>
        <v>583.66629735081767</v>
      </c>
      <c r="AS602" s="94">
        <f t="shared" si="219"/>
        <v>0</v>
      </c>
      <c r="AT602" s="94">
        <f t="shared" si="220"/>
        <v>0.24006670842587199</v>
      </c>
      <c r="AU602" s="94">
        <f t="shared" si="221"/>
        <v>0.20680726724552734</v>
      </c>
      <c r="AV602" s="94">
        <f t="shared" si="222"/>
        <v>0.20680726724552734</v>
      </c>
    </row>
    <row r="603" spans="1:48" x14ac:dyDescent="0.3">
      <c r="A603" s="85" t="str">
        <f>_xlfn.XLOOKUP(B603,'Country codes &amp; Data sources'!G:G,'Country codes &amp; Data sources'!H:H,,0)</f>
        <v>Niger</v>
      </c>
      <c r="B603" s="85" t="s">
        <v>190</v>
      </c>
      <c r="C603" s="86">
        <v>17954424</v>
      </c>
      <c r="D603" s="85" t="s">
        <v>209</v>
      </c>
      <c r="E603" s="87">
        <v>0</v>
      </c>
      <c r="F603" s="88">
        <v>18653199</v>
      </c>
      <c r="G603" s="87">
        <v>0</v>
      </c>
      <c r="I603" s="87">
        <v>0</v>
      </c>
      <c r="K603" s="87">
        <v>0</v>
      </c>
      <c r="M603" s="87">
        <v>0</v>
      </c>
      <c r="O603" s="87">
        <v>0</v>
      </c>
      <c r="P603" s="88">
        <v>22577057.999999996</v>
      </c>
      <c r="Q603" s="87">
        <v>249</v>
      </c>
      <c r="R603" s="87">
        <f t="shared" si="205"/>
        <v>462</v>
      </c>
      <c r="T603" s="87">
        <v>0</v>
      </c>
      <c r="V603" s="87">
        <v>0</v>
      </c>
      <c r="X603" s="87">
        <v>0</v>
      </c>
      <c r="Y603" s="88">
        <v>26207976.5</v>
      </c>
      <c r="Z603" s="87">
        <v>0</v>
      </c>
      <c r="AA603" s="87">
        <v>462</v>
      </c>
      <c r="AB603" s="89">
        <f t="shared" si="206"/>
        <v>0</v>
      </c>
      <c r="AC603" s="89">
        <f t="shared" si="207"/>
        <v>249</v>
      </c>
      <c r="AD603" s="89">
        <f t="shared" si="208"/>
        <v>0</v>
      </c>
      <c r="AF603" s="90" t="str">
        <f t="shared" si="209"/>
        <v/>
      </c>
      <c r="AG603" s="90">
        <f t="shared" si="210"/>
        <v>462</v>
      </c>
      <c r="AH603" s="90" t="str">
        <f t="shared" si="211"/>
        <v>2018 (triag)</v>
      </c>
      <c r="AI603" s="90">
        <f t="shared" si="212"/>
        <v>462</v>
      </c>
      <c r="AJ603" s="90" t="str">
        <f t="shared" si="213"/>
        <v>2018 (triag)</v>
      </c>
      <c r="AK603" s="90" t="str">
        <f t="shared" si="214"/>
        <v/>
      </c>
      <c r="AL603" s="91">
        <f>IF(AK603="Adjust",(_xlfn.XLOOKUP(A603,'Adj factor'!A:A,'Adj factor'!I:I,,0)*AI603),'Master DataSheet (Rev)'!AI603)</f>
        <v>462</v>
      </c>
      <c r="AM603" s="91">
        <f t="shared" si="215"/>
        <v>462</v>
      </c>
      <c r="AN603" s="92" t="str">
        <f t="shared" si="216"/>
        <v>No change</v>
      </c>
      <c r="AO603" s="93">
        <f>VLOOKUP(B603,'Growthrates source'!A$2:H$49,8,FALSE)</f>
        <v>7.2635719552709199E-2</v>
      </c>
      <c r="AP603" s="93">
        <f>VLOOKUP(B603,'Growthrates source'!A$2:I$49,9,FALSE)</f>
        <v>2.4687803142194653E-2</v>
      </c>
      <c r="AQ603" s="86">
        <f t="shared" si="217"/>
        <v>321.30354305773193</v>
      </c>
      <c r="AR603" s="86">
        <f t="shared" si="218"/>
        <v>497.51629036176712</v>
      </c>
      <c r="AS603" s="94">
        <f t="shared" si="219"/>
        <v>0</v>
      </c>
      <c r="AT603" s="94">
        <f t="shared" si="220"/>
        <v>0.20463250792020823</v>
      </c>
      <c r="AU603" s="94">
        <f t="shared" si="221"/>
        <v>0.17628220934950853</v>
      </c>
      <c r="AV603" s="94">
        <f t="shared" si="222"/>
        <v>0.17628220934950853</v>
      </c>
    </row>
    <row r="604" spans="1:48" x14ac:dyDescent="0.3">
      <c r="A604" s="85" t="str">
        <f>_xlfn.XLOOKUP(B604,'Country codes &amp; Data sources'!G:G,'Country codes &amp; Data sources'!H:H,,0)</f>
        <v>Niger</v>
      </c>
      <c r="B604" s="85" t="s">
        <v>190</v>
      </c>
      <c r="C604" s="86">
        <v>17954425</v>
      </c>
      <c r="D604" s="85" t="s">
        <v>134</v>
      </c>
      <c r="E604" s="87">
        <v>0</v>
      </c>
      <c r="F604" s="88">
        <v>18653199</v>
      </c>
      <c r="G604" s="87">
        <v>0</v>
      </c>
      <c r="I604" s="87">
        <v>0</v>
      </c>
      <c r="K604" s="87">
        <v>0</v>
      </c>
      <c r="M604" s="87">
        <v>0</v>
      </c>
      <c r="O604" s="87">
        <v>0</v>
      </c>
      <c r="P604" s="88">
        <v>22577057.999999996</v>
      </c>
      <c r="Q604" s="87">
        <v>0</v>
      </c>
      <c r="R604" s="87">
        <f t="shared" si="205"/>
        <v>432</v>
      </c>
      <c r="T604" s="87">
        <v>0</v>
      </c>
      <c r="V604" s="87">
        <v>0</v>
      </c>
      <c r="X604" s="87">
        <v>0</v>
      </c>
      <c r="Y604" s="88">
        <v>26207976.5</v>
      </c>
      <c r="Z604" s="87">
        <v>418</v>
      </c>
      <c r="AA604" s="87">
        <v>432</v>
      </c>
      <c r="AB604" s="89">
        <f t="shared" si="206"/>
        <v>0</v>
      </c>
      <c r="AC604" s="89">
        <f t="shared" si="207"/>
        <v>0</v>
      </c>
      <c r="AD604" s="89">
        <f t="shared" si="208"/>
        <v>418</v>
      </c>
      <c r="AF604" s="90" t="str">
        <f t="shared" si="209"/>
        <v/>
      </c>
      <c r="AG604" s="90">
        <f t="shared" si="210"/>
        <v>432</v>
      </c>
      <c r="AH604" s="90" t="str">
        <f t="shared" si="211"/>
        <v>2018 (triag)</v>
      </c>
      <c r="AI604" s="90">
        <f t="shared" si="212"/>
        <v>418</v>
      </c>
      <c r="AJ604" s="90">
        <f t="shared" si="213"/>
        <v>2022</v>
      </c>
      <c r="AK604" s="90" t="str">
        <f t="shared" si="214"/>
        <v>Adjust</v>
      </c>
      <c r="AL604" s="91">
        <f>IF(AK604="Adjust",(_xlfn.XLOOKUP(A604,'Adj factor'!A:A,'Adj factor'!I:I,,0)*AI604),'Master DataSheet (Rev)'!AI604)</f>
        <v>480.40683332593352</v>
      </c>
      <c r="AM604" s="91">
        <f t="shared" si="215"/>
        <v>480.40683332593352</v>
      </c>
      <c r="AN604" s="92" t="str">
        <f t="shared" si="216"/>
        <v>Increasing</v>
      </c>
      <c r="AO604" s="93">
        <f>VLOOKUP(B604,'Growthrates source'!A$2:H$49,8,FALSE)</f>
        <v>7.2635719552709199E-2</v>
      </c>
      <c r="AP604" s="93">
        <f>VLOOKUP(B604,'Growthrates source'!A$2:I$49,9,FALSE)</f>
        <v>2.4687803142194653E-2</v>
      </c>
      <c r="AQ604" s="86">
        <f t="shared" si="217"/>
        <v>300.43967662541166</v>
      </c>
      <c r="AR604" s="86">
        <f t="shared" si="218"/>
        <v>465.21003774087313</v>
      </c>
      <c r="AS604" s="94">
        <f t="shared" si="219"/>
        <v>0</v>
      </c>
      <c r="AT604" s="94">
        <f t="shared" si="220"/>
        <v>0.19134468273058433</v>
      </c>
      <c r="AU604" s="94">
        <f t="shared" si="221"/>
        <v>0.18330558001146463</v>
      </c>
      <c r="AV604" s="94">
        <f t="shared" si="222"/>
        <v>0.18330558001146463</v>
      </c>
    </row>
    <row r="605" spans="1:48" x14ac:dyDescent="0.3">
      <c r="A605" s="85" t="str">
        <f>_xlfn.XLOOKUP(B605,'Country codes &amp; Data sources'!G:G,'Country codes &amp; Data sources'!H:H,,0)</f>
        <v>Niger</v>
      </c>
      <c r="B605" s="85" t="s">
        <v>190</v>
      </c>
      <c r="C605" s="86">
        <v>17954426</v>
      </c>
      <c r="D605" s="85" t="s">
        <v>142</v>
      </c>
      <c r="E605" s="87">
        <v>0</v>
      </c>
      <c r="F605" s="88">
        <v>18653199</v>
      </c>
      <c r="G605" s="87">
        <v>0</v>
      </c>
      <c r="I605" s="87">
        <v>0</v>
      </c>
      <c r="K605" s="87">
        <v>0</v>
      </c>
      <c r="M605" s="87">
        <v>0</v>
      </c>
      <c r="O605" s="87">
        <v>0</v>
      </c>
      <c r="P605" s="88">
        <v>22577057.999999996</v>
      </c>
      <c r="Q605" s="87">
        <v>0</v>
      </c>
      <c r="R605" s="87">
        <f t="shared" si="205"/>
        <v>598</v>
      </c>
      <c r="T605" s="87">
        <v>0</v>
      </c>
      <c r="V605" s="87">
        <v>0</v>
      </c>
      <c r="X605" s="87">
        <v>0</v>
      </c>
      <c r="Y605" s="88">
        <v>26207976.5</v>
      </c>
      <c r="Z605" s="87">
        <v>1592</v>
      </c>
      <c r="AA605" s="87">
        <v>598</v>
      </c>
      <c r="AB605" s="89">
        <f t="shared" si="206"/>
        <v>0</v>
      </c>
      <c r="AC605" s="89">
        <f t="shared" si="207"/>
        <v>0</v>
      </c>
      <c r="AD605" s="89">
        <f t="shared" si="208"/>
        <v>1592</v>
      </c>
      <c r="AF605" s="90" t="str">
        <f t="shared" si="209"/>
        <v/>
      </c>
      <c r="AG605" s="90">
        <f t="shared" si="210"/>
        <v>598</v>
      </c>
      <c r="AH605" s="90" t="str">
        <f t="shared" si="211"/>
        <v>2018 (triag)</v>
      </c>
      <c r="AI605" s="90">
        <f t="shared" si="212"/>
        <v>1592</v>
      </c>
      <c r="AJ605" s="90">
        <f t="shared" si="213"/>
        <v>2022</v>
      </c>
      <c r="AK605" s="90" t="str">
        <f t="shared" si="214"/>
        <v/>
      </c>
      <c r="AL605" s="91">
        <f>IF(AK605="Adjust",(_xlfn.XLOOKUP(A605,'Adj factor'!A:A,'Adj factor'!I:I,,0)*AI605),'Master DataSheet (Rev)'!AI605)</f>
        <v>1592</v>
      </c>
      <c r="AM605" s="91">
        <f t="shared" si="215"/>
        <v>1592</v>
      </c>
      <c r="AN605" s="92" t="str">
        <f t="shared" si="216"/>
        <v>Increasing</v>
      </c>
      <c r="AO605" s="93">
        <f>VLOOKUP(B605,'Growthrates source'!A$2:H$49,8,FALSE)</f>
        <v>7.2635719552709199E-2</v>
      </c>
      <c r="AP605" s="93">
        <f>VLOOKUP(B605,'Growthrates source'!A$2:I$49,9,FALSE)</f>
        <v>2.4687803142194653E-2</v>
      </c>
      <c r="AQ605" s="86">
        <f t="shared" si="217"/>
        <v>415.88640421758373</v>
      </c>
      <c r="AR605" s="86">
        <f t="shared" si="218"/>
        <v>643.9713022431531</v>
      </c>
      <c r="AS605" s="94">
        <f t="shared" si="219"/>
        <v>0</v>
      </c>
      <c r="AT605" s="94">
        <f t="shared" si="220"/>
        <v>0.26487064877983663</v>
      </c>
      <c r="AU605" s="94">
        <f t="shared" si="221"/>
        <v>0.60744865213077404</v>
      </c>
      <c r="AV605" s="94">
        <f t="shared" si="222"/>
        <v>0.60744865213077404</v>
      </c>
    </row>
    <row r="606" spans="1:48" x14ac:dyDescent="0.3">
      <c r="A606" s="85" t="str">
        <f>_xlfn.XLOOKUP(B606,'Country codes &amp; Data sources'!G:G,'Country codes &amp; Data sources'!H:H,,0)</f>
        <v>Niger</v>
      </c>
      <c r="B606" s="85" t="s">
        <v>190</v>
      </c>
      <c r="C606" s="86">
        <v>17954427</v>
      </c>
      <c r="D606" s="85" t="s">
        <v>83</v>
      </c>
      <c r="E606" s="87">
        <v>0</v>
      </c>
      <c r="F606" s="88">
        <v>18653199</v>
      </c>
      <c r="G606" s="87">
        <v>0</v>
      </c>
      <c r="I606" s="87">
        <v>0</v>
      </c>
      <c r="K606" s="87">
        <v>0</v>
      </c>
      <c r="M606" s="87">
        <v>0</v>
      </c>
      <c r="O606" s="87">
        <v>0</v>
      </c>
      <c r="P606" s="88">
        <v>22577057.999999996</v>
      </c>
      <c r="Q606" s="87">
        <v>0</v>
      </c>
      <c r="R606" s="87">
        <f t="shared" si="205"/>
        <v>0</v>
      </c>
      <c r="T606" s="87">
        <v>0</v>
      </c>
      <c r="V606" s="87">
        <v>0</v>
      </c>
      <c r="X606" s="87">
        <v>0</v>
      </c>
      <c r="Y606" s="88">
        <v>26207976.5</v>
      </c>
      <c r="Z606" s="87">
        <v>0</v>
      </c>
      <c r="AA606" s="87">
        <v>0</v>
      </c>
      <c r="AB606" s="89">
        <f t="shared" si="206"/>
        <v>0</v>
      </c>
      <c r="AC606" s="89">
        <f t="shared" si="207"/>
        <v>0</v>
      </c>
      <c r="AD606" s="89">
        <f t="shared" si="208"/>
        <v>0</v>
      </c>
      <c r="AF606" s="90" t="str">
        <f t="shared" si="209"/>
        <v/>
      </c>
      <c r="AH606" s="90" t="str">
        <f t="shared" si="211"/>
        <v/>
      </c>
      <c r="AI606" s="90">
        <f t="shared" si="212"/>
        <v>0</v>
      </c>
      <c r="AJ606" s="90" t="str">
        <f t="shared" si="213"/>
        <v/>
      </c>
      <c r="AK606" s="90" t="str">
        <f t="shared" si="214"/>
        <v/>
      </c>
      <c r="AL606" s="91"/>
      <c r="AM606" s="91">
        <f t="shared" si="215"/>
        <v>0</v>
      </c>
      <c r="AN606" s="92" t="str">
        <f t="shared" si="216"/>
        <v>No change</v>
      </c>
      <c r="AO606" s="93">
        <f>VLOOKUP(B606,'Growthrates source'!A$2:H$49,8,FALSE)</f>
        <v>7.2635719552709199E-2</v>
      </c>
      <c r="AP606" s="93">
        <f>VLOOKUP(B606,'Growthrates source'!A$2:I$49,9,FALSE)</f>
        <v>2.4687803142194653E-2</v>
      </c>
      <c r="AQ606" s="86">
        <f t="shared" si="217"/>
        <v>0</v>
      </c>
      <c r="AR606" s="86">
        <f t="shared" si="218"/>
        <v>0</v>
      </c>
      <c r="AS606" s="94">
        <f t="shared" si="219"/>
        <v>0</v>
      </c>
      <c r="AT606" s="94">
        <f t="shared" si="220"/>
        <v>0</v>
      </c>
      <c r="AU606" s="94">
        <f t="shared" si="221"/>
        <v>0</v>
      </c>
      <c r="AV606" s="94">
        <f t="shared" si="222"/>
        <v>0</v>
      </c>
    </row>
    <row r="607" spans="1:48" x14ac:dyDescent="0.3">
      <c r="A607" s="85" t="str">
        <f>_xlfn.XLOOKUP(B607,'Country codes &amp; Data sources'!G:G,'Country codes &amp; Data sources'!H:H,,0)</f>
        <v>Niger</v>
      </c>
      <c r="B607" s="85" t="s">
        <v>190</v>
      </c>
      <c r="C607" s="86">
        <v>17954428</v>
      </c>
      <c r="D607" s="85" t="s">
        <v>84</v>
      </c>
      <c r="E607" s="87">
        <v>0</v>
      </c>
      <c r="F607" s="88">
        <v>18653199</v>
      </c>
      <c r="G607" s="87">
        <v>0</v>
      </c>
      <c r="I607" s="87">
        <v>0</v>
      </c>
      <c r="K607" s="87">
        <v>0</v>
      </c>
      <c r="M607" s="87">
        <v>0</v>
      </c>
      <c r="O607" s="87">
        <v>0</v>
      </c>
      <c r="P607" s="88">
        <v>22577057.999999996</v>
      </c>
      <c r="Q607" s="87">
        <v>0</v>
      </c>
      <c r="R607" s="87">
        <f t="shared" si="205"/>
        <v>0</v>
      </c>
      <c r="T607" s="87">
        <v>0</v>
      </c>
      <c r="V607" s="87">
        <v>0</v>
      </c>
      <c r="X607" s="87">
        <v>0</v>
      </c>
      <c r="Y607" s="88">
        <v>26207976.5</v>
      </c>
      <c r="Z607" s="87">
        <v>0</v>
      </c>
      <c r="AA607" s="87">
        <v>0</v>
      </c>
      <c r="AB607" s="89">
        <f t="shared" si="206"/>
        <v>0</v>
      </c>
      <c r="AC607" s="89">
        <f t="shared" si="207"/>
        <v>0</v>
      </c>
      <c r="AD607" s="89">
        <f t="shared" si="208"/>
        <v>0</v>
      </c>
      <c r="AF607" s="90" t="str">
        <f t="shared" si="209"/>
        <v/>
      </c>
      <c r="AH607" s="90" t="str">
        <f t="shared" si="211"/>
        <v/>
      </c>
      <c r="AI607" s="90">
        <f t="shared" si="212"/>
        <v>0</v>
      </c>
      <c r="AJ607" s="90" t="str">
        <f t="shared" si="213"/>
        <v/>
      </c>
      <c r="AK607" s="90" t="str">
        <f t="shared" si="214"/>
        <v/>
      </c>
      <c r="AL607" s="91"/>
      <c r="AM607" s="91">
        <f t="shared" si="215"/>
        <v>0</v>
      </c>
      <c r="AN607" s="92" t="str">
        <f t="shared" si="216"/>
        <v>No change</v>
      </c>
      <c r="AO607" s="93">
        <f>VLOOKUP(B607,'Growthrates source'!A$2:H$49,8,FALSE)</f>
        <v>7.2635719552709199E-2</v>
      </c>
      <c r="AP607" s="93">
        <f>VLOOKUP(B607,'Growthrates source'!A$2:I$49,9,FALSE)</f>
        <v>2.4687803142194653E-2</v>
      </c>
      <c r="AQ607" s="86">
        <f t="shared" si="217"/>
        <v>0</v>
      </c>
      <c r="AR607" s="86">
        <f t="shared" si="218"/>
        <v>0</v>
      </c>
      <c r="AS607" s="94">
        <f t="shared" si="219"/>
        <v>0</v>
      </c>
      <c r="AT607" s="94">
        <f t="shared" si="220"/>
        <v>0</v>
      </c>
      <c r="AU607" s="94">
        <f t="shared" si="221"/>
        <v>0</v>
      </c>
      <c r="AV607" s="94">
        <f t="shared" si="222"/>
        <v>0</v>
      </c>
    </row>
    <row r="608" spans="1:48" x14ac:dyDescent="0.3">
      <c r="A608" s="85" t="str">
        <f>_xlfn.XLOOKUP(B608,'Country codes &amp; Data sources'!G:G,'Country codes &amp; Data sources'!H:H,,0)</f>
        <v>Niger</v>
      </c>
      <c r="B608" s="85" t="s">
        <v>190</v>
      </c>
      <c r="C608" s="86">
        <v>17954429</v>
      </c>
      <c r="D608" s="85" t="s">
        <v>126</v>
      </c>
      <c r="E608" s="87">
        <v>0</v>
      </c>
      <c r="F608" s="88">
        <v>18653199</v>
      </c>
      <c r="G608" s="87">
        <v>0</v>
      </c>
      <c r="I608" s="87">
        <v>0</v>
      </c>
      <c r="K608" s="87">
        <v>0</v>
      </c>
      <c r="M608" s="87">
        <v>0</v>
      </c>
      <c r="O608" s="87">
        <v>0</v>
      </c>
      <c r="P608" s="88">
        <v>22577057.999999996</v>
      </c>
      <c r="Q608" s="87">
        <v>0</v>
      </c>
      <c r="R608" s="87">
        <f t="shared" si="205"/>
        <v>0</v>
      </c>
      <c r="T608" s="87">
        <v>0</v>
      </c>
      <c r="V608" s="87">
        <v>0</v>
      </c>
      <c r="X608" s="87">
        <v>0</v>
      </c>
      <c r="Y608" s="88">
        <v>26207976.5</v>
      </c>
      <c r="Z608" s="87">
        <v>0</v>
      </c>
      <c r="AA608" s="87">
        <v>0</v>
      </c>
      <c r="AB608" s="89">
        <f t="shared" si="206"/>
        <v>0</v>
      </c>
      <c r="AC608" s="89">
        <f t="shared" si="207"/>
        <v>0</v>
      </c>
      <c r="AD608" s="89">
        <f t="shared" si="208"/>
        <v>0</v>
      </c>
      <c r="AF608" s="90" t="str">
        <f t="shared" si="209"/>
        <v/>
      </c>
      <c r="AH608" s="90" t="str">
        <f t="shared" si="211"/>
        <v/>
      </c>
      <c r="AI608" s="90">
        <f t="shared" si="212"/>
        <v>0</v>
      </c>
      <c r="AJ608" s="90" t="str">
        <f t="shared" si="213"/>
        <v/>
      </c>
      <c r="AK608" s="90" t="str">
        <f t="shared" si="214"/>
        <v/>
      </c>
      <c r="AL608" s="91"/>
      <c r="AM608" s="91">
        <f t="shared" si="215"/>
        <v>0</v>
      </c>
      <c r="AN608" s="92" t="str">
        <f t="shared" si="216"/>
        <v>No change</v>
      </c>
      <c r="AO608" s="93">
        <f>VLOOKUP(B608,'Growthrates source'!A$2:H$49,8,FALSE)</f>
        <v>7.2635719552709199E-2</v>
      </c>
      <c r="AP608" s="93">
        <f>VLOOKUP(B608,'Growthrates source'!A$2:I$49,9,FALSE)</f>
        <v>2.4687803142194653E-2</v>
      </c>
      <c r="AQ608" s="86">
        <f t="shared" si="217"/>
        <v>0</v>
      </c>
      <c r="AR608" s="86">
        <f t="shared" si="218"/>
        <v>0</v>
      </c>
      <c r="AS608" s="94">
        <f t="shared" si="219"/>
        <v>0</v>
      </c>
      <c r="AT608" s="94">
        <f t="shared" si="220"/>
        <v>0</v>
      </c>
      <c r="AU608" s="94">
        <f t="shared" si="221"/>
        <v>0</v>
      </c>
      <c r="AV608" s="94">
        <f t="shared" si="222"/>
        <v>0</v>
      </c>
    </row>
    <row r="609" spans="1:48" x14ac:dyDescent="0.3">
      <c r="A609" s="85" t="str">
        <f>_xlfn.XLOOKUP(B609,'Country codes &amp; Data sources'!G:G,'Country codes &amp; Data sources'!H:H,,0)</f>
        <v>Niger</v>
      </c>
      <c r="B609" s="85" t="s">
        <v>190</v>
      </c>
      <c r="C609" s="86">
        <v>17954430</v>
      </c>
      <c r="D609" s="85" t="s">
        <v>87</v>
      </c>
      <c r="E609" s="87">
        <v>0</v>
      </c>
      <c r="F609" s="88">
        <v>18653199</v>
      </c>
      <c r="G609" s="87">
        <v>0</v>
      </c>
      <c r="I609" s="87">
        <v>0</v>
      </c>
      <c r="K609" s="87">
        <v>0</v>
      </c>
      <c r="M609" s="87">
        <v>0</v>
      </c>
      <c r="O609" s="87">
        <v>0</v>
      </c>
      <c r="P609" s="88">
        <v>22577057.999999996</v>
      </c>
      <c r="Q609" s="87">
        <v>0</v>
      </c>
      <c r="R609" s="87">
        <f t="shared" si="205"/>
        <v>0</v>
      </c>
      <c r="T609" s="87">
        <v>0</v>
      </c>
      <c r="V609" s="87">
        <v>0</v>
      </c>
      <c r="X609" s="87">
        <v>0</v>
      </c>
      <c r="Y609" s="88">
        <v>26207976.5</v>
      </c>
      <c r="Z609" s="87">
        <v>0</v>
      </c>
      <c r="AA609" s="87">
        <v>0</v>
      </c>
      <c r="AB609" s="89">
        <f t="shared" si="206"/>
        <v>0</v>
      </c>
      <c r="AC609" s="89">
        <f t="shared" si="207"/>
        <v>0</v>
      </c>
      <c r="AD609" s="89">
        <f t="shared" si="208"/>
        <v>0</v>
      </c>
      <c r="AF609" s="90" t="str">
        <f t="shared" si="209"/>
        <v/>
      </c>
      <c r="AH609" s="90" t="str">
        <f t="shared" si="211"/>
        <v/>
      </c>
      <c r="AI609" s="90">
        <f t="shared" si="212"/>
        <v>0</v>
      </c>
      <c r="AJ609" s="90" t="str">
        <f t="shared" si="213"/>
        <v/>
      </c>
      <c r="AK609" s="90" t="str">
        <f t="shared" si="214"/>
        <v/>
      </c>
      <c r="AL609" s="91"/>
      <c r="AM609" s="91">
        <f t="shared" si="215"/>
        <v>0</v>
      </c>
      <c r="AN609" s="92" t="str">
        <f t="shared" si="216"/>
        <v>No change</v>
      </c>
      <c r="AO609" s="93">
        <f>VLOOKUP(B609,'Growthrates source'!A$2:H$49,8,FALSE)</f>
        <v>7.2635719552709199E-2</v>
      </c>
      <c r="AP609" s="93">
        <f>VLOOKUP(B609,'Growthrates source'!A$2:I$49,9,FALSE)</f>
        <v>2.4687803142194653E-2</v>
      </c>
      <c r="AQ609" s="86">
        <f t="shared" si="217"/>
        <v>0</v>
      </c>
      <c r="AR609" s="86">
        <f t="shared" si="218"/>
        <v>0</v>
      </c>
      <c r="AS609" s="94">
        <f t="shared" si="219"/>
        <v>0</v>
      </c>
      <c r="AT609" s="94">
        <f t="shared" si="220"/>
        <v>0</v>
      </c>
      <c r="AU609" s="94">
        <f t="shared" si="221"/>
        <v>0</v>
      </c>
      <c r="AV609" s="94">
        <f t="shared" si="222"/>
        <v>0</v>
      </c>
    </row>
    <row r="610" spans="1:48" x14ac:dyDescent="0.3">
      <c r="A610" s="85" t="str">
        <f>_xlfn.XLOOKUP(B610,'Country codes &amp; Data sources'!G:G,'Country codes &amp; Data sources'!H:H,,0)</f>
        <v>Nigeria</v>
      </c>
      <c r="B610" s="85" t="s">
        <v>156</v>
      </c>
      <c r="C610" s="86">
        <v>170075936.5</v>
      </c>
      <c r="D610" s="85" t="s">
        <v>127</v>
      </c>
      <c r="E610" s="87">
        <v>0</v>
      </c>
      <c r="F610" s="88">
        <v>174726123.50000006</v>
      </c>
      <c r="G610" s="87">
        <v>0</v>
      </c>
      <c r="I610" s="87">
        <v>0</v>
      </c>
      <c r="K610" s="87">
        <v>0</v>
      </c>
      <c r="M610" s="87">
        <v>0</v>
      </c>
      <c r="O610" s="87">
        <v>0</v>
      </c>
      <c r="P610" s="88">
        <v>198387623.50000006</v>
      </c>
      <c r="Q610" s="87">
        <v>116454</v>
      </c>
      <c r="R610" s="87">
        <f t="shared" ref="R610:R659" si="224">MAX(Q610,AA610)</f>
        <v>116454</v>
      </c>
      <c r="T610" s="87">
        <v>116454</v>
      </c>
      <c r="V610" s="87">
        <v>0</v>
      </c>
      <c r="X610" s="87">
        <v>7912</v>
      </c>
      <c r="Y610" s="88">
        <v>218541211.50000003</v>
      </c>
      <c r="Z610" s="87">
        <v>154477</v>
      </c>
      <c r="AA610" s="87">
        <v>116454</v>
      </c>
      <c r="AB610" s="89">
        <f t="shared" ref="AB610:AB659" si="225">MAX(G610,E610,I610,K610)</f>
        <v>0</v>
      </c>
      <c r="AC610" s="89">
        <f t="shared" ref="AC610:AC659" si="226">MAX(M610,O610,Q610,T610)</f>
        <v>116454</v>
      </c>
      <c r="AD610" s="89">
        <f t="shared" ref="AD610:AD659" si="227">MAX(V610,X610,Z610)</f>
        <v>154477</v>
      </c>
      <c r="AF610" s="90" t="str">
        <f t="shared" ref="AF610:AF659" si="228">IF(AE610&gt;0,_xlfn.XLOOKUP(AE610,$B610:$K610,$B$1:$K$1,,0),"")</f>
        <v/>
      </c>
      <c r="AG610" s="90">
        <f t="shared" ref="AG610:AG659" si="229">IF(R610&gt;0,R610,IF(O610&gt;0,O610,T610))</f>
        <v>116454</v>
      </c>
      <c r="AH610" s="90">
        <f t="shared" ref="AH610:AH659" si="230">IF(AG610&gt;0,_xlfn.XLOOKUP(AG610,$L610:$T610,$L$1:$T$1,,0),"")</f>
        <v>2018</v>
      </c>
      <c r="AI610" s="90">
        <f t="shared" ref="AI610:AI659" si="231">IF((IF(Z610&gt;0,Z610,IF(X610&gt;0,X610,IF(V610&gt;0,V610,T610))))=0,AG610,IF(Z610&gt;0,Z610,IF(X610&gt;0,X610,IF(V610&gt;0,V610,T610))))</f>
        <v>154477</v>
      </c>
      <c r="AJ610" s="90">
        <f t="shared" ref="AJ610:AJ659" si="232">IFERROR(IF(AI610&gt;0,_xlfn.XLOOKUP(AI610,$V610:$Z610,$V$1:$Z$1,,0),""),AH610)</f>
        <v>2022</v>
      </c>
      <c r="AK610" s="90" t="str">
        <f t="shared" ref="AK610:AK659" si="233">IF(AI610&lt;AG610,"Adjust","")</f>
        <v/>
      </c>
      <c r="AL610" s="91">
        <f>IF(AK610="Adjust",(_xlfn.XLOOKUP(A610,'Adj factor'!A:A,'Adj factor'!I:I,,0)*AI610),'Master DataSheet (Rev)'!AI610)</f>
        <v>154477</v>
      </c>
      <c r="AM610" s="91">
        <f t="shared" ref="AM610:AM659" si="234">IF(AL610&lt;AG610,AG610,AL610)</f>
        <v>154477</v>
      </c>
      <c r="AN610" s="92" t="str">
        <f t="shared" ref="AN610:AN659" si="235">IF(AL610&gt;AG610,"Increasing",IF(AL610&lt;AG610,"Decreasing","No change"))</f>
        <v>Increasing</v>
      </c>
      <c r="AO610" s="93">
        <f>VLOOKUP(B610,'Growthrates source'!A$2:H$49,8,FALSE)</f>
        <v>3.0407746470616726E-2</v>
      </c>
      <c r="AP610" s="93">
        <f>VLOOKUP(B610,'Growthrates source'!A$2:I$49,9,FALSE)</f>
        <v>4.0299906228893123E-2</v>
      </c>
      <c r="AQ610" s="86">
        <f t="shared" ref="AQ610:AQ659" si="236">AA610/(EXP(AO610*5))</f>
        <v>100028.7468216541</v>
      </c>
      <c r="AR610" s="86">
        <f t="shared" ref="AR610:AR659" si="237">AA610*EXP(AP610*3)</f>
        <v>131419.70594329564</v>
      </c>
      <c r="AS610" s="94">
        <f t="shared" ref="AS610:AS659" si="238">(AE610*10000)/F610</f>
        <v>0</v>
      </c>
      <c r="AT610" s="94">
        <f t="shared" ref="AT610:AT659" si="239">(AG610*10000)/P610</f>
        <v>5.8700234392393922</v>
      </c>
      <c r="AU610" s="94">
        <f t="shared" si="221"/>
        <v>7.0685523769048926</v>
      </c>
      <c r="AV610" s="94">
        <f t="shared" si="222"/>
        <v>7.0685523769048926</v>
      </c>
    </row>
    <row r="611" spans="1:48" x14ac:dyDescent="0.3">
      <c r="A611" s="85" t="str">
        <f>_xlfn.XLOOKUP(B611,'Country codes &amp; Data sources'!G:G,'Country codes &amp; Data sources'!H:H,,0)</f>
        <v>Nigeria</v>
      </c>
      <c r="B611" s="85" t="s">
        <v>156</v>
      </c>
      <c r="C611" s="86">
        <v>170075937.5</v>
      </c>
      <c r="D611" s="85" t="s">
        <v>61</v>
      </c>
      <c r="E611" s="87">
        <v>0</v>
      </c>
      <c r="F611" s="88">
        <v>174726123.50000006</v>
      </c>
      <c r="G611" s="87">
        <v>0</v>
      </c>
      <c r="I611" s="87">
        <v>0</v>
      </c>
      <c r="K611" s="87">
        <v>0</v>
      </c>
      <c r="M611" s="87">
        <v>44</v>
      </c>
      <c r="O611" s="87">
        <v>48</v>
      </c>
      <c r="P611" s="88">
        <v>198387623.50000006</v>
      </c>
      <c r="Q611" s="87">
        <v>7</v>
      </c>
      <c r="R611" s="87">
        <f t="shared" si="224"/>
        <v>7</v>
      </c>
      <c r="T611" s="87">
        <v>0</v>
      </c>
      <c r="V611" s="87">
        <v>71</v>
      </c>
      <c r="X611" s="87">
        <v>77</v>
      </c>
      <c r="Y611" s="88">
        <v>218541211.50000003</v>
      </c>
      <c r="Z611" s="87">
        <v>0</v>
      </c>
      <c r="AA611" s="87">
        <v>0</v>
      </c>
      <c r="AB611" s="89">
        <f t="shared" si="225"/>
        <v>0</v>
      </c>
      <c r="AC611" s="89">
        <f t="shared" si="226"/>
        <v>48</v>
      </c>
      <c r="AD611" s="89">
        <f t="shared" si="227"/>
        <v>77</v>
      </c>
      <c r="AF611" s="90" t="str">
        <f t="shared" si="228"/>
        <v/>
      </c>
      <c r="AG611" s="90">
        <f t="shared" si="229"/>
        <v>7</v>
      </c>
      <c r="AH611" s="90">
        <f t="shared" si="230"/>
        <v>2018</v>
      </c>
      <c r="AI611" s="90">
        <f t="shared" si="231"/>
        <v>77</v>
      </c>
      <c r="AJ611" s="90">
        <f t="shared" si="232"/>
        <v>2021</v>
      </c>
      <c r="AK611" s="90" t="str">
        <f t="shared" si="233"/>
        <v/>
      </c>
      <c r="AL611" s="91">
        <f>IF(AK611="Adjust",(_xlfn.XLOOKUP(A611,'Adj factor'!A:A,'Adj factor'!I:I,,0)*AI611),'Master DataSheet (Rev)'!AI611)</f>
        <v>77</v>
      </c>
      <c r="AM611" s="91">
        <f t="shared" si="234"/>
        <v>77</v>
      </c>
      <c r="AN611" s="92" t="str">
        <f t="shared" si="235"/>
        <v>Increasing</v>
      </c>
      <c r="AO611" s="93">
        <f>VLOOKUP(B611,'Growthrates source'!A$2:H$49,8,FALSE)</f>
        <v>3.0407746470616726E-2</v>
      </c>
      <c r="AP611" s="93">
        <f>VLOOKUP(B611,'Growthrates source'!A$2:I$49,9,FALSE)</f>
        <v>4.0299906228893123E-2</v>
      </c>
      <c r="AQ611" s="86">
        <f t="shared" si="236"/>
        <v>0</v>
      </c>
      <c r="AR611" s="86">
        <f t="shared" si="237"/>
        <v>0</v>
      </c>
      <c r="AS611" s="94">
        <f t="shared" si="238"/>
        <v>0</v>
      </c>
      <c r="AT611" s="94">
        <f t="shared" si="239"/>
        <v>3.5284459163855038E-4</v>
      </c>
      <c r="AU611" s="94">
        <f t="shared" si="221"/>
        <v>3.5233629150079088E-3</v>
      </c>
      <c r="AV611" s="94">
        <f t="shared" si="222"/>
        <v>3.5233629150079088E-3</v>
      </c>
    </row>
    <row r="612" spans="1:48" x14ac:dyDescent="0.3">
      <c r="A612" s="85" t="str">
        <f>_xlfn.XLOOKUP(B612,'Country codes &amp; Data sources'!G:G,'Country codes &amp; Data sources'!H:H,,0)</f>
        <v>Nigeria</v>
      </c>
      <c r="B612" s="85" t="s">
        <v>156</v>
      </c>
      <c r="C612" s="86">
        <v>170075938.5</v>
      </c>
      <c r="D612" s="85" t="s">
        <v>62</v>
      </c>
      <c r="E612" s="87">
        <v>0</v>
      </c>
      <c r="F612" s="88">
        <v>174726123.50000006</v>
      </c>
      <c r="G612" s="87">
        <v>0</v>
      </c>
      <c r="I612" s="87">
        <v>0</v>
      </c>
      <c r="K612" s="87">
        <v>0</v>
      </c>
      <c r="M612" s="87">
        <v>311</v>
      </c>
      <c r="O612" s="87">
        <v>0</v>
      </c>
      <c r="P612" s="88">
        <v>198387623.50000006</v>
      </c>
      <c r="Q612" s="87">
        <v>0</v>
      </c>
      <c r="R612" s="87">
        <f t="shared" si="224"/>
        <v>14645</v>
      </c>
      <c r="T612" s="87">
        <v>0</v>
      </c>
      <c r="V612" s="87">
        <v>0</v>
      </c>
      <c r="X612" s="87">
        <v>0</v>
      </c>
      <c r="Y612" s="88">
        <v>218541211.50000003</v>
      </c>
      <c r="Z612" s="87">
        <v>0</v>
      </c>
      <c r="AA612" s="87">
        <v>14645</v>
      </c>
      <c r="AB612" s="89">
        <f t="shared" si="225"/>
        <v>0</v>
      </c>
      <c r="AC612" s="89">
        <f t="shared" si="226"/>
        <v>311</v>
      </c>
      <c r="AD612" s="89">
        <f t="shared" si="227"/>
        <v>0</v>
      </c>
      <c r="AF612" s="90" t="str">
        <f t="shared" si="228"/>
        <v/>
      </c>
      <c r="AG612" s="90">
        <f t="shared" si="229"/>
        <v>14645</v>
      </c>
      <c r="AH612" s="90" t="str">
        <f t="shared" si="230"/>
        <v>2018 (triag)</v>
      </c>
      <c r="AI612" s="90">
        <f t="shared" si="231"/>
        <v>14645</v>
      </c>
      <c r="AJ612" s="90" t="str">
        <f t="shared" si="232"/>
        <v>2018 (triag)</v>
      </c>
      <c r="AK612" s="90" t="str">
        <f t="shared" si="233"/>
        <v/>
      </c>
      <c r="AL612" s="91">
        <f>IF(AK612="Adjust",(_xlfn.XLOOKUP(A612,'Adj factor'!A:A,'Adj factor'!I:I,,0)*AI612),'Master DataSheet (Rev)'!AI612)</f>
        <v>14645</v>
      </c>
      <c r="AM612" s="91">
        <f t="shared" si="234"/>
        <v>14645</v>
      </c>
      <c r="AN612" s="92" t="str">
        <f t="shared" si="235"/>
        <v>No change</v>
      </c>
      <c r="AO612" s="93">
        <f>VLOOKUP(B612,'Growthrates source'!A$2:H$49,8,FALSE)</f>
        <v>3.0407746470616726E-2</v>
      </c>
      <c r="AP612" s="93">
        <f>VLOOKUP(B612,'Growthrates source'!A$2:I$49,9,FALSE)</f>
        <v>4.0299906228893123E-2</v>
      </c>
      <c r="AQ612" s="86">
        <f t="shared" si="236"/>
        <v>12579.396132405278</v>
      </c>
      <c r="AR612" s="86">
        <f t="shared" si="237"/>
        <v>16527.054403795188</v>
      </c>
      <c r="AS612" s="94">
        <f t="shared" si="238"/>
        <v>0</v>
      </c>
      <c r="AT612" s="94">
        <f t="shared" si="239"/>
        <v>0.73820129207808149</v>
      </c>
      <c r="AU612" s="94">
        <f t="shared" si="221"/>
        <v>0.6701253232505302</v>
      </c>
      <c r="AV612" s="94">
        <f t="shared" si="222"/>
        <v>0.6701253232505302</v>
      </c>
    </row>
    <row r="613" spans="1:48" x14ac:dyDescent="0.3">
      <c r="A613" s="85" t="str">
        <f>_xlfn.XLOOKUP(B613,'Country codes &amp; Data sources'!G:G,'Country codes &amp; Data sources'!H:H,,0)</f>
        <v>Nigeria</v>
      </c>
      <c r="B613" s="85" t="s">
        <v>156</v>
      </c>
      <c r="C613" s="86">
        <v>170075939.5</v>
      </c>
      <c r="D613" s="85" t="s">
        <v>203</v>
      </c>
      <c r="E613" s="87">
        <v>0</v>
      </c>
      <c r="F613" s="88">
        <v>174726123.50000006</v>
      </c>
      <c r="G613" s="87">
        <v>0</v>
      </c>
      <c r="I613" s="87">
        <v>0</v>
      </c>
      <c r="K613" s="87">
        <v>0</v>
      </c>
      <c r="M613" s="87">
        <v>0</v>
      </c>
      <c r="O613" s="87">
        <v>0</v>
      </c>
      <c r="P613" s="88">
        <v>198387623.50000006</v>
      </c>
      <c r="Q613" s="87">
        <v>0</v>
      </c>
      <c r="R613" s="87">
        <f t="shared" si="224"/>
        <v>0</v>
      </c>
      <c r="T613" s="87">
        <v>0</v>
      </c>
      <c r="V613" s="87">
        <v>0</v>
      </c>
      <c r="X613" s="87">
        <v>0</v>
      </c>
      <c r="Y613" s="88">
        <v>218541211.50000003</v>
      </c>
      <c r="Z613" s="87">
        <v>0</v>
      </c>
      <c r="AA613" s="87">
        <v>0</v>
      </c>
      <c r="AB613" s="89">
        <f t="shared" si="225"/>
        <v>0</v>
      </c>
      <c r="AC613" s="89">
        <f t="shared" si="226"/>
        <v>0</v>
      </c>
      <c r="AD613" s="89">
        <f t="shared" si="227"/>
        <v>0</v>
      </c>
      <c r="AF613" s="90" t="str">
        <f t="shared" si="228"/>
        <v/>
      </c>
      <c r="AH613" s="90" t="str">
        <f t="shared" si="230"/>
        <v/>
      </c>
      <c r="AI613" s="90">
        <f t="shared" si="231"/>
        <v>0</v>
      </c>
      <c r="AJ613" s="90" t="str">
        <f t="shared" si="232"/>
        <v/>
      </c>
      <c r="AK613" s="90" t="str">
        <f t="shared" si="233"/>
        <v/>
      </c>
      <c r="AL613" s="91"/>
      <c r="AM613" s="91">
        <f t="shared" si="234"/>
        <v>0</v>
      </c>
      <c r="AN613" s="92" t="str">
        <f t="shared" si="235"/>
        <v>No change</v>
      </c>
      <c r="AO613" s="93">
        <f>VLOOKUP(B613,'Growthrates source'!A$2:H$49,8,FALSE)</f>
        <v>3.0407746470616726E-2</v>
      </c>
      <c r="AP613" s="93">
        <f>VLOOKUP(B613,'Growthrates source'!A$2:I$49,9,FALSE)</f>
        <v>4.0299906228893123E-2</v>
      </c>
      <c r="AQ613" s="86">
        <f t="shared" si="236"/>
        <v>0</v>
      </c>
      <c r="AR613" s="86">
        <f t="shared" si="237"/>
        <v>0</v>
      </c>
      <c r="AS613" s="94">
        <f t="shared" si="238"/>
        <v>0</v>
      </c>
      <c r="AT613" s="94">
        <f t="shared" si="239"/>
        <v>0</v>
      </c>
      <c r="AU613" s="94">
        <f t="shared" si="221"/>
        <v>0</v>
      </c>
      <c r="AV613" s="94">
        <f t="shared" si="222"/>
        <v>0</v>
      </c>
    </row>
    <row r="614" spans="1:48" x14ac:dyDescent="0.3">
      <c r="A614" s="85" t="str">
        <f>_xlfn.XLOOKUP(B614,'Country codes &amp; Data sources'!G:G,'Country codes &amp; Data sources'!H:H,,0)</f>
        <v>Nigeria</v>
      </c>
      <c r="B614" s="85" t="s">
        <v>156</v>
      </c>
      <c r="C614" s="86">
        <v>170075940.5</v>
      </c>
      <c r="D614" s="85" t="s">
        <v>204</v>
      </c>
      <c r="E614" s="87">
        <v>0</v>
      </c>
      <c r="F614" s="88">
        <v>174726123.50000006</v>
      </c>
      <c r="G614" s="87">
        <v>0</v>
      </c>
      <c r="I614" s="87">
        <v>0</v>
      </c>
      <c r="K614" s="87">
        <v>0</v>
      </c>
      <c r="M614" s="87">
        <v>0</v>
      </c>
      <c r="O614" s="87">
        <v>0</v>
      </c>
      <c r="P614" s="88">
        <v>198387623.50000006</v>
      </c>
      <c r="Q614" s="87">
        <v>0</v>
      </c>
      <c r="R614" s="87">
        <f t="shared" si="224"/>
        <v>0</v>
      </c>
      <c r="T614" s="87">
        <v>0</v>
      </c>
      <c r="V614" s="87">
        <v>0</v>
      </c>
      <c r="X614" s="87">
        <v>0</v>
      </c>
      <c r="Y614" s="88">
        <v>218541211.50000003</v>
      </c>
      <c r="Z614" s="87">
        <v>0</v>
      </c>
      <c r="AA614" s="87">
        <v>0</v>
      </c>
      <c r="AB614" s="89">
        <f t="shared" si="225"/>
        <v>0</v>
      </c>
      <c r="AC614" s="89">
        <f t="shared" si="226"/>
        <v>0</v>
      </c>
      <c r="AD614" s="89">
        <f t="shared" si="227"/>
        <v>0</v>
      </c>
      <c r="AF614" s="90" t="str">
        <f t="shared" si="228"/>
        <v/>
      </c>
      <c r="AH614" s="90" t="str">
        <f t="shared" si="230"/>
        <v/>
      </c>
      <c r="AI614" s="90">
        <f t="shared" si="231"/>
        <v>0</v>
      </c>
      <c r="AJ614" s="90" t="str">
        <f t="shared" si="232"/>
        <v/>
      </c>
      <c r="AK614" s="90" t="str">
        <f t="shared" si="233"/>
        <v/>
      </c>
      <c r="AL614" s="91"/>
      <c r="AM614" s="91">
        <f t="shared" si="234"/>
        <v>0</v>
      </c>
      <c r="AN614" s="92" t="str">
        <f t="shared" si="235"/>
        <v>No change</v>
      </c>
      <c r="AO614" s="93">
        <f>VLOOKUP(B614,'Growthrates source'!A$2:H$49,8,FALSE)</f>
        <v>3.0407746470616726E-2</v>
      </c>
      <c r="AP614" s="93">
        <f>VLOOKUP(B614,'Growthrates source'!A$2:I$49,9,FALSE)</f>
        <v>4.0299906228893123E-2</v>
      </c>
      <c r="AQ614" s="86">
        <f t="shared" si="236"/>
        <v>0</v>
      </c>
      <c r="AR614" s="86">
        <f t="shared" si="237"/>
        <v>0</v>
      </c>
      <c r="AS614" s="94">
        <f t="shared" si="238"/>
        <v>0</v>
      </c>
      <c r="AT614" s="94">
        <f t="shared" si="239"/>
        <v>0</v>
      </c>
      <c r="AU614" s="94">
        <f t="shared" si="221"/>
        <v>0</v>
      </c>
      <c r="AV614" s="94">
        <f t="shared" si="222"/>
        <v>0</v>
      </c>
    </row>
    <row r="615" spans="1:48" x14ac:dyDescent="0.3">
      <c r="A615" s="85" t="str">
        <f>_xlfn.XLOOKUP(B615,'Country codes &amp; Data sources'!G:G,'Country codes &amp; Data sources'!H:H,,0)</f>
        <v>Nigeria</v>
      </c>
      <c r="B615" s="85" t="s">
        <v>156</v>
      </c>
      <c r="C615" s="86">
        <v>170075941.5</v>
      </c>
      <c r="D615" s="85" t="s">
        <v>205</v>
      </c>
      <c r="E615" s="87">
        <v>0</v>
      </c>
      <c r="F615" s="88">
        <v>174726123.50000006</v>
      </c>
      <c r="G615" s="87">
        <v>0</v>
      </c>
      <c r="I615" s="87">
        <v>0</v>
      </c>
      <c r="K615" s="87">
        <v>0</v>
      </c>
      <c r="M615" s="87">
        <v>0</v>
      </c>
      <c r="O615" s="87">
        <v>0</v>
      </c>
      <c r="P615" s="88">
        <v>198387623.50000006</v>
      </c>
      <c r="Q615" s="87">
        <v>6165</v>
      </c>
      <c r="R615" s="87">
        <f t="shared" si="224"/>
        <v>6165</v>
      </c>
      <c r="T615" s="87">
        <v>7</v>
      </c>
      <c r="V615" s="87">
        <v>0</v>
      </c>
      <c r="X615" s="87">
        <v>48589</v>
      </c>
      <c r="Y615" s="88">
        <v>218541211.50000003</v>
      </c>
      <c r="Z615" s="87">
        <v>280</v>
      </c>
      <c r="AA615" s="87">
        <v>0</v>
      </c>
      <c r="AB615" s="89">
        <f t="shared" si="225"/>
        <v>0</v>
      </c>
      <c r="AC615" s="89">
        <f t="shared" si="226"/>
        <v>6165</v>
      </c>
      <c r="AD615" s="89">
        <f t="shared" si="227"/>
        <v>48589</v>
      </c>
      <c r="AF615" s="90" t="str">
        <f t="shared" si="228"/>
        <v/>
      </c>
      <c r="AG615" s="90">
        <f t="shared" si="229"/>
        <v>6165</v>
      </c>
      <c r="AH615" s="90">
        <f t="shared" si="230"/>
        <v>2018</v>
      </c>
      <c r="AI615" s="90">
        <f t="shared" si="231"/>
        <v>280</v>
      </c>
      <c r="AJ615" s="90">
        <f t="shared" si="232"/>
        <v>2022</v>
      </c>
      <c r="AK615" s="90" t="str">
        <f t="shared" si="233"/>
        <v>Adjust</v>
      </c>
      <c r="AL615" s="91">
        <f>IF(AK615="Adjust",(_xlfn.XLOOKUP(A615,'Adj factor'!A:A,'Adj factor'!I:I,,0)*AI615),'Master DataSheet (Rev)'!AI615)</f>
        <v>321.80362040971625</v>
      </c>
      <c r="AM615" s="91">
        <f t="shared" si="234"/>
        <v>6165</v>
      </c>
      <c r="AN615" s="92" t="str">
        <f t="shared" si="235"/>
        <v>Decreasing</v>
      </c>
      <c r="AO615" s="93">
        <f>VLOOKUP(B615,'Growthrates source'!A$2:H$49,8,FALSE)</f>
        <v>3.0407746470616726E-2</v>
      </c>
      <c r="AP615" s="93">
        <f>VLOOKUP(B615,'Growthrates source'!A$2:I$49,9,FALSE)</f>
        <v>4.0299906228893123E-2</v>
      </c>
      <c r="AQ615" s="86">
        <f t="shared" si="236"/>
        <v>0</v>
      </c>
      <c r="AR615" s="86">
        <f t="shared" si="237"/>
        <v>0</v>
      </c>
      <c r="AS615" s="94">
        <f t="shared" si="238"/>
        <v>0</v>
      </c>
      <c r="AT615" s="94">
        <f t="shared" si="239"/>
        <v>0.3107552724930947</v>
      </c>
      <c r="AU615" s="94">
        <f t="shared" si="221"/>
        <v>1.4725077169699693E-2</v>
      </c>
      <c r="AV615" s="94">
        <f t="shared" si="222"/>
        <v>0.28209782300030856</v>
      </c>
    </row>
    <row r="616" spans="1:48" x14ac:dyDescent="0.3">
      <c r="A616" s="85" t="str">
        <f>_xlfn.XLOOKUP(B616,'Country codes &amp; Data sources'!G:G,'Country codes &amp; Data sources'!H:H,,0)</f>
        <v>Nigeria</v>
      </c>
      <c r="B616" s="85" t="s">
        <v>156</v>
      </c>
      <c r="C616" s="86">
        <v>170075942.5</v>
      </c>
      <c r="D616" s="85" t="s">
        <v>133</v>
      </c>
      <c r="E616" s="87">
        <v>0</v>
      </c>
      <c r="F616" s="88">
        <v>174726123.50000006</v>
      </c>
      <c r="G616" s="87">
        <v>0</v>
      </c>
      <c r="I616" s="87">
        <v>0</v>
      </c>
      <c r="K616" s="87">
        <v>0</v>
      </c>
      <c r="M616" s="87">
        <v>0</v>
      </c>
      <c r="O616" s="87">
        <v>0</v>
      </c>
      <c r="P616" s="88">
        <v>198387623.50000006</v>
      </c>
      <c r="Q616" s="87">
        <v>26677</v>
      </c>
      <c r="R616" s="87">
        <f t="shared" si="224"/>
        <v>26677</v>
      </c>
      <c r="T616" s="87">
        <v>26677</v>
      </c>
      <c r="V616" s="87">
        <v>0</v>
      </c>
      <c r="X616" s="87">
        <v>37181</v>
      </c>
      <c r="Y616" s="88">
        <v>218541211.50000003</v>
      </c>
      <c r="Z616" s="87">
        <v>36833</v>
      </c>
      <c r="AA616" s="87">
        <v>0</v>
      </c>
      <c r="AB616" s="89">
        <f t="shared" si="225"/>
        <v>0</v>
      </c>
      <c r="AC616" s="89">
        <f t="shared" si="226"/>
        <v>26677</v>
      </c>
      <c r="AD616" s="89">
        <f t="shared" si="227"/>
        <v>37181</v>
      </c>
      <c r="AF616" s="90" t="str">
        <f t="shared" si="228"/>
        <v/>
      </c>
      <c r="AG616" s="90">
        <f t="shared" si="229"/>
        <v>26677</v>
      </c>
      <c r="AH616" s="90">
        <f t="shared" si="230"/>
        <v>2018</v>
      </c>
      <c r="AI616" s="90">
        <f t="shared" si="231"/>
        <v>36833</v>
      </c>
      <c r="AJ616" s="90">
        <f t="shared" si="232"/>
        <v>2022</v>
      </c>
      <c r="AK616" s="90" t="str">
        <f t="shared" si="233"/>
        <v/>
      </c>
      <c r="AL616" s="91">
        <f>IF(AK616="Adjust",(_xlfn.XLOOKUP(A616,'Adj factor'!A:A,'Adj factor'!I:I,,0)*AI616),'Master DataSheet (Rev)'!AI616)</f>
        <v>36833</v>
      </c>
      <c r="AM616" s="91">
        <f t="shared" si="234"/>
        <v>36833</v>
      </c>
      <c r="AN616" s="92" t="str">
        <f t="shared" si="235"/>
        <v>Increasing</v>
      </c>
      <c r="AO616" s="93">
        <f>VLOOKUP(B616,'Growthrates source'!A$2:H$49,8,FALSE)</f>
        <v>3.0407746470616726E-2</v>
      </c>
      <c r="AP616" s="93">
        <f>VLOOKUP(B616,'Growthrates source'!A$2:I$49,9,FALSE)</f>
        <v>4.0299906228893123E-2</v>
      </c>
      <c r="AQ616" s="86">
        <f t="shared" si="236"/>
        <v>0</v>
      </c>
      <c r="AR616" s="86">
        <f t="shared" si="237"/>
        <v>0</v>
      </c>
      <c r="AS616" s="94">
        <f t="shared" si="238"/>
        <v>0</v>
      </c>
      <c r="AT616" s="94">
        <f t="shared" si="239"/>
        <v>1.3446907387345155</v>
      </c>
      <c r="AU616" s="94">
        <f t="shared" si="221"/>
        <v>1.6854029382920299</v>
      </c>
      <c r="AV616" s="94">
        <f t="shared" si="222"/>
        <v>1.6854029382920299</v>
      </c>
    </row>
    <row r="617" spans="1:48" x14ac:dyDescent="0.3">
      <c r="A617" s="85" t="str">
        <f>_xlfn.XLOOKUP(B617,'Country codes &amp; Data sources'!G:G,'Country codes &amp; Data sources'!H:H,,0)</f>
        <v>Nigeria</v>
      </c>
      <c r="B617" s="85" t="s">
        <v>156</v>
      </c>
      <c r="C617" s="86">
        <v>170075943.5</v>
      </c>
      <c r="D617" s="85" t="s">
        <v>206</v>
      </c>
      <c r="E617" s="87">
        <v>0</v>
      </c>
      <c r="F617" s="88">
        <v>174726123.50000006</v>
      </c>
      <c r="G617" s="87">
        <v>0</v>
      </c>
      <c r="I617" s="87">
        <v>0</v>
      </c>
      <c r="K617" s="87">
        <v>0</v>
      </c>
      <c r="M617" s="87">
        <v>0</v>
      </c>
      <c r="O617" s="87">
        <v>0</v>
      </c>
      <c r="P617" s="88">
        <v>198387623.50000006</v>
      </c>
      <c r="Q617" s="87">
        <v>0</v>
      </c>
      <c r="R617" s="87">
        <f t="shared" si="224"/>
        <v>0</v>
      </c>
      <c r="T617" s="87">
        <v>0</v>
      </c>
      <c r="V617" s="87">
        <v>0</v>
      </c>
      <c r="X617" s="87">
        <v>0</v>
      </c>
      <c r="Y617" s="88">
        <v>218541211.50000003</v>
      </c>
      <c r="Z617" s="87">
        <v>0</v>
      </c>
      <c r="AA617" s="87">
        <v>0</v>
      </c>
      <c r="AB617" s="89">
        <f t="shared" si="225"/>
        <v>0</v>
      </c>
      <c r="AC617" s="89">
        <f t="shared" si="226"/>
        <v>0</v>
      </c>
      <c r="AD617" s="89">
        <f t="shared" si="227"/>
        <v>0</v>
      </c>
      <c r="AF617" s="90" t="str">
        <f t="shared" si="228"/>
        <v/>
      </c>
      <c r="AH617" s="90" t="str">
        <f t="shared" si="230"/>
        <v/>
      </c>
      <c r="AI617" s="90">
        <f t="shared" si="231"/>
        <v>0</v>
      </c>
      <c r="AJ617" s="90" t="str">
        <f t="shared" si="232"/>
        <v/>
      </c>
      <c r="AK617" s="90" t="str">
        <f t="shared" si="233"/>
        <v/>
      </c>
      <c r="AL617" s="91"/>
      <c r="AM617" s="91">
        <f t="shared" si="234"/>
        <v>0</v>
      </c>
      <c r="AN617" s="92" t="str">
        <f t="shared" si="235"/>
        <v>No change</v>
      </c>
      <c r="AO617" s="93">
        <f>VLOOKUP(B617,'Growthrates source'!A$2:H$49,8,FALSE)</f>
        <v>3.0407746470616726E-2</v>
      </c>
      <c r="AP617" s="93">
        <f>VLOOKUP(B617,'Growthrates source'!A$2:I$49,9,FALSE)</f>
        <v>4.0299906228893123E-2</v>
      </c>
      <c r="AQ617" s="86">
        <f t="shared" si="236"/>
        <v>0</v>
      </c>
      <c r="AR617" s="86">
        <f t="shared" si="237"/>
        <v>0</v>
      </c>
      <c r="AS617" s="94">
        <f t="shared" si="238"/>
        <v>0</v>
      </c>
      <c r="AT617" s="94">
        <f t="shared" si="239"/>
        <v>0</v>
      </c>
      <c r="AU617" s="94">
        <f t="shared" si="221"/>
        <v>0</v>
      </c>
      <c r="AV617" s="94">
        <f t="shared" si="222"/>
        <v>0</v>
      </c>
    </row>
    <row r="618" spans="1:48" x14ac:dyDescent="0.3">
      <c r="A618" s="85" t="str">
        <f>_xlfn.XLOOKUP(B618,'Country codes &amp; Data sources'!G:G,'Country codes &amp; Data sources'!H:H,,0)</f>
        <v>Nigeria</v>
      </c>
      <c r="B618" s="85" t="s">
        <v>156</v>
      </c>
      <c r="C618" s="86">
        <v>170075944.5</v>
      </c>
      <c r="D618" s="85" t="s">
        <v>136</v>
      </c>
      <c r="E618" s="87">
        <v>0</v>
      </c>
      <c r="F618" s="88">
        <v>174726123.50000006</v>
      </c>
      <c r="G618" s="87">
        <v>0</v>
      </c>
      <c r="I618" s="87">
        <v>0</v>
      </c>
      <c r="K618" s="87">
        <v>0</v>
      </c>
      <c r="M618" s="87">
        <v>0</v>
      </c>
      <c r="O618" s="87">
        <v>0</v>
      </c>
      <c r="P618" s="88">
        <v>198387623.50000006</v>
      </c>
      <c r="Q618" s="87">
        <v>2578</v>
      </c>
      <c r="R618" s="87">
        <f t="shared" si="224"/>
        <v>2648</v>
      </c>
      <c r="T618" s="87">
        <v>369</v>
      </c>
      <c r="V618" s="87">
        <v>0</v>
      </c>
      <c r="X618" s="87">
        <v>0</v>
      </c>
      <c r="Y618" s="88">
        <v>218541211.50000003</v>
      </c>
      <c r="Z618" s="87">
        <v>4262</v>
      </c>
      <c r="AA618" s="87">
        <v>2648</v>
      </c>
      <c r="AB618" s="89">
        <f t="shared" si="225"/>
        <v>0</v>
      </c>
      <c r="AC618" s="89">
        <f t="shared" si="226"/>
        <v>2578</v>
      </c>
      <c r="AD618" s="89">
        <f t="shared" si="227"/>
        <v>4262</v>
      </c>
      <c r="AF618" s="90" t="str">
        <f t="shared" si="228"/>
        <v/>
      </c>
      <c r="AG618" s="90">
        <f t="shared" si="229"/>
        <v>2648</v>
      </c>
      <c r="AH618" s="90" t="str">
        <f t="shared" si="230"/>
        <v>2018 (triag)</v>
      </c>
      <c r="AI618" s="90">
        <f t="shared" si="231"/>
        <v>4262</v>
      </c>
      <c r="AJ618" s="90">
        <f t="shared" si="232"/>
        <v>2022</v>
      </c>
      <c r="AK618" s="90" t="str">
        <f t="shared" si="233"/>
        <v/>
      </c>
      <c r="AL618" s="91">
        <f>IF(AK618="Adjust",(_xlfn.XLOOKUP(A618,'Adj factor'!A:A,'Adj factor'!I:I,,0)*AI618),'Master DataSheet (Rev)'!AI618)</f>
        <v>4262</v>
      </c>
      <c r="AM618" s="91">
        <f t="shared" si="234"/>
        <v>4262</v>
      </c>
      <c r="AN618" s="92" t="str">
        <f t="shared" si="235"/>
        <v>Increasing</v>
      </c>
      <c r="AO618" s="93">
        <f>VLOOKUP(B618,'Growthrates source'!A$2:H$49,8,FALSE)</f>
        <v>3.0407746470616726E-2</v>
      </c>
      <c r="AP618" s="93">
        <f>VLOOKUP(B618,'Growthrates source'!A$2:I$49,9,FALSE)</f>
        <v>4.0299906228893123E-2</v>
      </c>
      <c r="AQ618" s="86">
        <f t="shared" si="236"/>
        <v>2274.5128684608521</v>
      </c>
      <c r="AR618" s="86">
        <f t="shared" si="237"/>
        <v>2988.2990823659716</v>
      </c>
      <c r="AS618" s="94">
        <f t="shared" si="238"/>
        <v>0</v>
      </c>
      <c r="AT618" s="94">
        <f t="shared" si="239"/>
        <v>0.13347606837984019</v>
      </c>
      <c r="AU618" s="94">
        <f t="shared" si="221"/>
        <v>0.19502042524368451</v>
      </c>
      <c r="AV618" s="94">
        <f t="shared" si="222"/>
        <v>0.19502042524368451</v>
      </c>
    </row>
    <row r="619" spans="1:48" x14ac:dyDescent="0.3">
      <c r="A619" s="85" t="str">
        <f>_xlfn.XLOOKUP(B619,'Country codes &amp; Data sources'!G:G,'Country codes &amp; Data sources'!H:H,,0)</f>
        <v>Nigeria</v>
      </c>
      <c r="B619" s="85" t="s">
        <v>156</v>
      </c>
      <c r="C619" s="86">
        <v>170075945.5</v>
      </c>
      <c r="D619" s="85" t="s">
        <v>207</v>
      </c>
      <c r="E619" s="87">
        <v>0</v>
      </c>
      <c r="F619" s="88">
        <v>174726123.50000006</v>
      </c>
      <c r="G619" s="87">
        <v>0</v>
      </c>
      <c r="I619" s="87">
        <v>0</v>
      </c>
      <c r="K619" s="87">
        <v>0</v>
      </c>
      <c r="M619" s="87">
        <v>0</v>
      </c>
      <c r="O619" s="87">
        <v>0</v>
      </c>
      <c r="P619" s="88">
        <v>198387623.50000006</v>
      </c>
      <c r="Q619" s="87">
        <v>0</v>
      </c>
      <c r="R619" s="87">
        <f t="shared" si="224"/>
        <v>34393</v>
      </c>
      <c r="T619" s="87">
        <v>27247</v>
      </c>
      <c r="V619" s="87">
        <v>0</v>
      </c>
      <c r="X619" s="87">
        <v>0</v>
      </c>
      <c r="Y619" s="88">
        <v>218541211.50000003</v>
      </c>
      <c r="Z619" s="87">
        <v>0</v>
      </c>
      <c r="AA619" s="87">
        <v>34393</v>
      </c>
      <c r="AB619" s="89">
        <f t="shared" si="225"/>
        <v>0</v>
      </c>
      <c r="AC619" s="89">
        <f t="shared" si="226"/>
        <v>27247</v>
      </c>
      <c r="AD619" s="89">
        <f t="shared" si="227"/>
        <v>0</v>
      </c>
      <c r="AF619" s="90" t="str">
        <f t="shared" si="228"/>
        <v/>
      </c>
      <c r="AG619" s="90">
        <f t="shared" si="229"/>
        <v>34393</v>
      </c>
      <c r="AH619" s="90" t="str">
        <f t="shared" si="230"/>
        <v>2018 (triag)</v>
      </c>
      <c r="AI619" s="90">
        <f t="shared" si="231"/>
        <v>27247</v>
      </c>
      <c r="AJ619" s="90" t="str">
        <f t="shared" si="232"/>
        <v>2018 (triag)</v>
      </c>
      <c r="AK619" s="90" t="str">
        <f t="shared" si="233"/>
        <v>Adjust</v>
      </c>
      <c r="AL619" s="91">
        <f>IF(AK619="Adjust",(_xlfn.XLOOKUP(A619,'Adj factor'!A:A,'Adj factor'!I:I,,0)*AI619),'Master DataSheet (Rev)'!AI619)</f>
        <v>31314.940161798353</v>
      </c>
      <c r="AM619" s="91">
        <f t="shared" si="234"/>
        <v>34393</v>
      </c>
      <c r="AN619" s="92" t="str">
        <f t="shared" si="235"/>
        <v>Decreasing</v>
      </c>
      <c r="AO619" s="93">
        <f>VLOOKUP(B619,'Growthrates source'!A$2:H$49,8,FALSE)</f>
        <v>3.0407746470616726E-2</v>
      </c>
      <c r="AP619" s="93">
        <f>VLOOKUP(B619,'Growthrates source'!A$2:I$49,9,FALSE)</f>
        <v>4.0299906228893123E-2</v>
      </c>
      <c r="AQ619" s="86">
        <f t="shared" si="236"/>
        <v>29542.039684657884</v>
      </c>
      <c r="AR619" s="86">
        <f t="shared" si="237"/>
        <v>38812.904206877967</v>
      </c>
      <c r="AS619" s="94">
        <f t="shared" si="238"/>
        <v>0</v>
      </c>
      <c r="AT619" s="94">
        <f t="shared" si="239"/>
        <v>1.7336262914606662</v>
      </c>
      <c r="AU619" s="94">
        <f t="shared" si="221"/>
        <v>1.4329077772957413</v>
      </c>
      <c r="AV619" s="94">
        <f t="shared" si="222"/>
        <v>1.5737535160502207</v>
      </c>
    </row>
    <row r="620" spans="1:48" x14ac:dyDescent="0.3">
      <c r="A620" s="85" t="str">
        <f>_xlfn.XLOOKUP(B620,'Country codes &amp; Data sources'!G:G,'Country codes &amp; Data sources'!H:H,,0)</f>
        <v>Nigeria</v>
      </c>
      <c r="B620" s="85" t="s">
        <v>156</v>
      </c>
      <c r="C620" s="86">
        <v>170075946.5</v>
      </c>
      <c r="D620" s="85" t="s">
        <v>141</v>
      </c>
      <c r="E620" s="87">
        <v>0</v>
      </c>
      <c r="F620" s="88">
        <v>174726123.50000006</v>
      </c>
      <c r="G620" s="87">
        <v>0</v>
      </c>
      <c r="I620" s="87">
        <v>0</v>
      </c>
      <c r="K620" s="87">
        <v>0</v>
      </c>
      <c r="M620" s="87">
        <v>0</v>
      </c>
      <c r="O620" s="87">
        <v>0</v>
      </c>
      <c r="P620" s="88">
        <v>198387623.50000006</v>
      </c>
      <c r="Q620" s="87">
        <v>4626</v>
      </c>
      <c r="R620" s="87">
        <f t="shared" si="224"/>
        <v>5371</v>
      </c>
      <c r="T620" s="87">
        <v>4429</v>
      </c>
      <c r="V620" s="87">
        <v>0</v>
      </c>
      <c r="X620" s="87">
        <v>5485</v>
      </c>
      <c r="Y620" s="88">
        <v>218541211.50000003</v>
      </c>
      <c r="Z620" s="87">
        <v>5632</v>
      </c>
      <c r="AA620" s="87">
        <v>5371</v>
      </c>
      <c r="AB620" s="89">
        <f t="shared" si="225"/>
        <v>0</v>
      </c>
      <c r="AC620" s="89">
        <f t="shared" si="226"/>
        <v>4626</v>
      </c>
      <c r="AD620" s="89">
        <f t="shared" si="227"/>
        <v>5632</v>
      </c>
      <c r="AF620" s="90" t="str">
        <f t="shared" si="228"/>
        <v/>
      </c>
      <c r="AG620" s="90">
        <f t="shared" si="229"/>
        <v>5371</v>
      </c>
      <c r="AH620" s="90" t="str">
        <f t="shared" si="230"/>
        <v>2018 (triag)</v>
      </c>
      <c r="AI620" s="90">
        <f t="shared" si="231"/>
        <v>5632</v>
      </c>
      <c r="AJ620" s="90">
        <f t="shared" si="232"/>
        <v>2022</v>
      </c>
      <c r="AK620" s="90" t="str">
        <f t="shared" si="233"/>
        <v/>
      </c>
      <c r="AL620" s="91">
        <f>IF(AK620="Adjust",(_xlfn.XLOOKUP(A620,'Adj factor'!A:A,'Adj factor'!I:I,,0)*AI620),'Master DataSheet (Rev)'!AI620)</f>
        <v>5632</v>
      </c>
      <c r="AM620" s="91">
        <f t="shared" si="234"/>
        <v>5632</v>
      </c>
      <c r="AN620" s="92" t="str">
        <f t="shared" si="235"/>
        <v>Increasing</v>
      </c>
      <c r="AO620" s="93">
        <f>VLOOKUP(B620,'Growthrates source'!A$2:H$49,8,FALSE)</f>
        <v>3.0407746470616726E-2</v>
      </c>
      <c r="AP620" s="93">
        <f>VLOOKUP(B620,'Growthrates source'!A$2:I$49,9,FALSE)</f>
        <v>4.0299906228893123E-2</v>
      </c>
      <c r="AQ620" s="86">
        <f t="shared" si="236"/>
        <v>4613.4473627278085</v>
      </c>
      <c r="AR620" s="86">
        <f t="shared" si="237"/>
        <v>6061.2365450859643</v>
      </c>
      <c r="AS620" s="94">
        <f t="shared" si="238"/>
        <v>0</v>
      </c>
      <c r="AT620" s="94">
        <f t="shared" si="239"/>
        <v>0.27073261452723629</v>
      </c>
      <c r="AU620" s="94">
        <f t="shared" si="221"/>
        <v>0.25770883035486419</v>
      </c>
      <c r="AV620" s="94">
        <f t="shared" si="222"/>
        <v>0.25770883035486419</v>
      </c>
    </row>
    <row r="621" spans="1:48" x14ac:dyDescent="0.3">
      <c r="A621" s="85" t="str">
        <f>_xlfn.XLOOKUP(B621,'Country codes &amp; Data sources'!G:G,'Country codes &amp; Data sources'!H:H,,0)</f>
        <v>Nigeria</v>
      </c>
      <c r="B621" s="85" t="s">
        <v>156</v>
      </c>
      <c r="C621" s="86">
        <v>170075947.5</v>
      </c>
      <c r="D621" s="85" t="s">
        <v>208</v>
      </c>
      <c r="E621" s="87">
        <v>0</v>
      </c>
      <c r="F621" s="88">
        <v>174726123.50000006</v>
      </c>
      <c r="G621" s="87">
        <v>0</v>
      </c>
      <c r="I621" s="87">
        <v>0</v>
      </c>
      <c r="K621" s="87">
        <v>0</v>
      </c>
      <c r="M621" s="87">
        <v>0</v>
      </c>
      <c r="O621" s="87">
        <v>0</v>
      </c>
      <c r="P621" s="88">
        <v>198387623.50000006</v>
      </c>
      <c r="Q621" s="87">
        <v>0</v>
      </c>
      <c r="R621" s="87">
        <f t="shared" si="224"/>
        <v>0</v>
      </c>
      <c r="T621" s="87">
        <v>0</v>
      </c>
      <c r="V621" s="87">
        <v>0</v>
      </c>
      <c r="X621" s="87">
        <v>0</v>
      </c>
      <c r="Y621" s="88">
        <v>218541211.50000003</v>
      </c>
      <c r="Z621" s="87">
        <v>0</v>
      </c>
      <c r="AA621" s="87">
        <v>0</v>
      </c>
      <c r="AB621" s="89">
        <f t="shared" si="225"/>
        <v>0</v>
      </c>
      <c r="AC621" s="89">
        <f t="shared" si="226"/>
        <v>0</v>
      </c>
      <c r="AD621" s="89">
        <f t="shared" si="227"/>
        <v>0</v>
      </c>
      <c r="AF621" s="90" t="str">
        <f t="shared" si="228"/>
        <v/>
      </c>
      <c r="AH621" s="90" t="str">
        <f t="shared" si="230"/>
        <v/>
      </c>
      <c r="AI621" s="90">
        <f t="shared" si="231"/>
        <v>0</v>
      </c>
      <c r="AJ621" s="90" t="str">
        <f t="shared" si="232"/>
        <v/>
      </c>
      <c r="AK621" s="90" t="str">
        <f t="shared" si="233"/>
        <v/>
      </c>
      <c r="AL621" s="91"/>
      <c r="AM621" s="91">
        <f t="shared" si="234"/>
        <v>0</v>
      </c>
      <c r="AN621" s="92" t="str">
        <f t="shared" si="235"/>
        <v>No change</v>
      </c>
      <c r="AO621" s="93">
        <f>VLOOKUP(B621,'Growthrates source'!A$2:H$49,8,FALSE)</f>
        <v>3.0407746470616726E-2</v>
      </c>
      <c r="AP621" s="93">
        <f>VLOOKUP(B621,'Growthrates source'!A$2:I$49,9,FALSE)</f>
        <v>4.0299906228893123E-2</v>
      </c>
      <c r="AQ621" s="86">
        <f t="shared" si="236"/>
        <v>0</v>
      </c>
      <c r="AR621" s="86">
        <f t="shared" si="237"/>
        <v>0</v>
      </c>
      <c r="AS621" s="94">
        <f t="shared" si="238"/>
        <v>0</v>
      </c>
      <c r="AT621" s="94">
        <f t="shared" si="239"/>
        <v>0</v>
      </c>
      <c r="AU621" s="94">
        <f t="shared" si="221"/>
        <v>0</v>
      </c>
      <c r="AV621" s="94">
        <f t="shared" si="222"/>
        <v>0</v>
      </c>
    </row>
    <row r="622" spans="1:48" x14ac:dyDescent="0.3">
      <c r="A622" s="85" t="str">
        <f>_xlfn.XLOOKUP(B622,'Country codes &amp; Data sources'!G:G,'Country codes &amp; Data sources'!H:H,,0)</f>
        <v>Nigeria</v>
      </c>
      <c r="B622" s="85" t="s">
        <v>156</v>
      </c>
      <c r="C622" s="86">
        <v>170075948.5</v>
      </c>
      <c r="D622" s="85" t="s">
        <v>209</v>
      </c>
      <c r="E622" s="87">
        <v>0</v>
      </c>
      <c r="F622" s="88">
        <v>174726123.50000006</v>
      </c>
      <c r="G622" s="87">
        <v>0</v>
      </c>
      <c r="I622" s="87">
        <v>0</v>
      </c>
      <c r="K622" s="87">
        <v>0</v>
      </c>
      <c r="M622" s="87">
        <v>0</v>
      </c>
      <c r="O622" s="87">
        <v>0</v>
      </c>
      <c r="P622" s="88">
        <v>198387623.50000006</v>
      </c>
      <c r="Q622" s="87">
        <v>0</v>
      </c>
      <c r="R622" s="87">
        <f t="shared" si="224"/>
        <v>3919</v>
      </c>
      <c r="T622" s="87">
        <v>0</v>
      </c>
      <c r="V622" s="87">
        <v>0</v>
      </c>
      <c r="X622" s="87">
        <v>0</v>
      </c>
      <c r="Y622" s="88">
        <v>218541211.50000003</v>
      </c>
      <c r="Z622" s="87">
        <v>0</v>
      </c>
      <c r="AA622" s="87">
        <v>3919</v>
      </c>
      <c r="AB622" s="89">
        <f t="shared" si="225"/>
        <v>0</v>
      </c>
      <c r="AC622" s="89">
        <f t="shared" si="226"/>
        <v>0</v>
      </c>
      <c r="AD622" s="89">
        <f t="shared" si="227"/>
        <v>0</v>
      </c>
      <c r="AF622" s="90" t="str">
        <f t="shared" si="228"/>
        <v/>
      </c>
      <c r="AG622" s="90">
        <f t="shared" si="229"/>
        <v>3919</v>
      </c>
      <c r="AH622" s="90" t="str">
        <f t="shared" si="230"/>
        <v>2018 (triag)</v>
      </c>
      <c r="AI622" s="90">
        <f t="shared" si="231"/>
        <v>3919</v>
      </c>
      <c r="AJ622" s="90" t="str">
        <f t="shared" si="232"/>
        <v>2018 (triag)</v>
      </c>
      <c r="AK622" s="90" t="str">
        <f t="shared" si="233"/>
        <v/>
      </c>
      <c r="AL622" s="91">
        <f>IF(AK622="Adjust",(_xlfn.XLOOKUP(A622,'Adj factor'!A:A,'Adj factor'!I:I,,0)*AI622),'Master DataSheet (Rev)'!AI622)</f>
        <v>3919</v>
      </c>
      <c r="AM622" s="91">
        <f t="shared" si="234"/>
        <v>3919</v>
      </c>
      <c r="AN622" s="92" t="str">
        <f t="shared" si="235"/>
        <v>No change</v>
      </c>
      <c r="AO622" s="93">
        <f>VLOOKUP(B622,'Growthrates source'!A$2:H$49,8,FALSE)</f>
        <v>3.0407746470616726E-2</v>
      </c>
      <c r="AP622" s="93">
        <f>VLOOKUP(B622,'Growthrates source'!A$2:I$49,9,FALSE)</f>
        <v>4.0299906228893123E-2</v>
      </c>
      <c r="AQ622" s="86">
        <f t="shared" si="236"/>
        <v>3366.2446871216307</v>
      </c>
      <c r="AR622" s="86">
        <f t="shared" si="237"/>
        <v>4422.6375014321156</v>
      </c>
      <c r="AS622" s="94">
        <f t="shared" si="238"/>
        <v>0</v>
      </c>
      <c r="AT622" s="94">
        <f t="shared" si="239"/>
        <v>0.19754256494735412</v>
      </c>
      <c r="AU622" s="94">
        <f t="shared" si="221"/>
        <v>0.17932544498592201</v>
      </c>
      <c r="AV622" s="94">
        <f t="shared" si="222"/>
        <v>0.17932544498592201</v>
      </c>
    </row>
    <row r="623" spans="1:48" x14ac:dyDescent="0.3">
      <c r="A623" s="85" t="str">
        <f>_xlfn.XLOOKUP(B623,'Country codes &amp; Data sources'!G:G,'Country codes &amp; Data sources'!H:H,,0)</f>
        <v>Nigeria</v>
      </c>
      <c r="B623" s="85" t="s">
        <v>156</v>
      </c>
      <c r="C623" s="86">
        <v>170075949.5</v>
      </c>
      <c r="D623" s="85" t="s">
        <v>134</v>
      </c>
      <c r="E623" s="87">
        <v>0</v>
      </c>
      <c r="F623" s="88">
        <v>174726123.50000006</v>
      </c>
      <c r="G623" s="87">
        <v>0</v>
      </c>
      <c r="I623" s="87">
        <v>0</v>
      </c>
      <c r="K623" s="87">
        <v>0</v>
      </c>
      <c r="M623" s="87">
        <v>0</v>
      </c>
      <c r="O623" s="87">
        <v>0</v>
      </c>
      <c r="P623" s="88">
        <v>198387623.50000006</v>
      </c>
      <c r="Q623" s="87">
        <v>29246</v>
      </c>
      <c r="R623" s="87">
        <f t="shared" si="224"/>
        <v>311269</v>
      </c>
      <c r="T623" s="87">
        <v>29803</v>
      </c>
      <c r="V623" s="87">
        <v>0</v>
      </c>
      <c r="X623" s="87">
        <v>34554</v>
      </c>
      <c r="Y623" s="88">
        <v>218541211.50000003</v>
      </c>
      <c r="Z623" s="87">
        <v>38712</v>
      </c>
      <c r="AA623" s="87">
        <v>311269</v>
      </c>
      <c r="AB623" s="89">
        <f t="shared" si="225"/>
        <v>0</v>
      </c>
      <c r="AC623" s="89">
        <f t="shared" si="226"/>
        <v>29803</v>
      </c>
      <c r="AD623" s="89">
        <f t="shared" si="227"/>
        <v>38712</v>
      </c>
      <c r="AF623" s="90" t="str">
        <f t="shared" si="228"/>
        <v/>
      </c>
      <c r="AG623" s="90">
        <f t="shared" si="229"/>
        <v>311269</v>
      </c>
      <c r="AH623" s="90" t="str">
        <f t="shared" si="230"/>
        <v>2018 (triag)</v>
      </c>
      <c r="AI623" s="90">
        <f t="shared" si="231"/>
        <v>38712</v>
      </c>
      <c r="AJ623" s="90">
        <f t="shared" si="232"/>
        <v>2022</v>
      </c>
      <c r="AK623" s="90" t="str">
        <f t="shared" si="233"/>
        <v>Adjust</v>
      </c>
      <c r="AL623" s="91">
        <f>IF(AK623="Adjust",(_xlfn.XLOOKUP(A623,'Adj factor'!A:A,'Adj factor'!I:I,,0)*AI623),'Master DataSheet (Rev)'!AI623)</f>
        <v>44491.649118931913</v>
      </c>
      <c r="AM623" s="91">
        <f t="shared" si="234"/>
        <v>311269</v>
      </c>
      <c r="AN623" s="92" t="str">
        <f t="shared" si="235"/>
        <v>Decreasing</v>
      </c>
      <c r="AO623" s="93">
        <f>VLOOKUP(B623,'Growthrates source'!A$2:H$49,8,FALSE)</f>
        <v>3.0407746470616726E-2</v>
      </c>
      <c r="AP623" s="93">
        <f>VLOOKUP(B623,'Growthrates source'!A$2:I$49,9,FALSE)</f>
        <v>4.0299906228893123E-2</v>
      </c>
      <c r="AQ623" s="86">
        <f t="shared" si="236"/>
        <v>267366.06724053662</v>
      </c>
      <c r="AR623" s="86">
        <f t="shared" si="237"/>
        <v>351270.72019221057</v>
      </c>
      <c r="AS623" s="94">
        <f t="shared" si="238"/>
        <v>0</v>
      </c>
      <c r="AT623" s="94">
        <f t="shared" si="239"/>
        <v>15.689940456391419</v>
      </c>
      <c r="AU623" s="94">
        <f t="shared" si="221"/>
        <v>2.0358470978336234</v>
      </c>
      <c r="AV623" s="94">
        <f t="shared" si="222"/>
        <v>14.243034431059698</v>
      </c>
    </row>
    <row r="624" spans="1:48" x14ac:dyDescent="0.3">
      <c r="A624" s="85" t="str">
        <f>_xlfn.XLOOKUP(B624,'Country codes &amp; Data sources'!G:G,'Country codes &amp; Data sources'!H:H,,0)</f>
        <v>Nigeria</v>
      </c>
      <c r="B624" s="85" t="s">
        <v>156</v>
      </c>
      <c r="C624" s="86">
        <v>170075950.5</v>
      </c>
      <c r="D624" s="85" t="s">
        <v>142</v>
      </c>
      <c r="E624" s="87">
        <v>0</v>
      </c>
      <c r="F624" s="88">
        <v>174726123.50000006</v>
      </c>
      <c r="G624" s="87">
        <v>0</v>
      </c>
      <c r="I624" s="87">
        <v>0</v>
      </c>
      <c r="K624" s="87">
        <v>0</v>
      </c>
      <c r="M624" s="87">
        <v>0</v>
      </c>
      <c r="O624" s="87">
        <v>0</v>
      </c>
      <c r="P624" s="88">
        <v>198387623.50000006</v>
      </c>
      <c r="Q624" s="87">
        <v>0</v>
      </c>
      <c r="R624" s="87">
        <f t="shared" si="224"/>
        <v>30</v>
      </c>
      <c r="T624" s="87">
        <v>0</v>
      </c>
      <c r="V624" s="87">
        <v>0</v>
      </c>
      <c r="X624" s="87">
        <v>0</v>
      </c>
      <c r="Y624" s="88">
        <v>218541211.50000003</v>
      </c>
      <c r="Z624" s="87">
        <v>0</v>
      </c>
      <c r="AA624" s="87">
        <v>30</v>
      </c>
      <c r="AB624" s="89">
        <f t="shared" si="225"/>
        <v>0</v>
      </c>
      <c r="AC624" s="89">
        <f t="shared" si="226"/>
        <v>0</v>
      </c>
      <c r="AD624" s="89">
        <f t="shared" si="227"/>
        <v>0</v>
      </c>
      <c r="AF624" s="90" t="str">
        <f t="shared" si="228"/>
        <v/>
      </c>
      <c r="AG624" s="90">
        <f t="shared" si="229"/>
        <v>30</v>
      </c>
      <c r="AH624" s="90" t="str">
        <f t="shared" si="230"/>
        <v>2018 (triag)</v>
      </c>
      <c r="AI624" s="90">
        <f t="shared" si="231"/>
        <v>30</v>
      </c>
      <c r="AJ624" s="90" t="str">
        <f t="shared" si="232"/>
        <v>2018 (triag)</v>
      </c>
      <c r="AK624" s="90" t="str">
        <f t="shared" si="233"/>
        <v/>
      </c>
      <c r="AL624" s="91">
        <f>IF(AK624="Adjust",(_xlfn.XLOOKUP(A624,'Adj factor'!A:A,'Adj factor'!I:I,,0)*AI624),'Master DataSheet (Rev)'!AI624)</f>
        <v>30</v>
      </c>
      <c r="AM624" s="91">
        <f t="shared" si="234"/>
        <v>30</v>
      </c>
      <c r="AN624" s="92" t="str">
        <f t="shared" si="235"/>
        <v>No change</v>
      </c>
      <c r="AO624" s="93">
        <f>VLOOKUP(B624,'Growthrates source'!A$2:H$49,8,FALSE)</f>
        <v>3.0407746470616726E-2</v>
      </c>
      <c r="AP624" s="93">
        <f>VLOOKUP(B624,'Growthrates source'!A$2:I$49,9,FALSE)</f>
        <v>4.0299906228893123E-2</v>
      </c>
      <c r="AQ624" s="86">
        <f t="shared" si="236"/>
        <v>25.768650322441676</v>
      </c>
      <c r="AR624" s="86">
        <f t="shared" si="237"/>
        <v>33.855352141608442</v>
      </c>
      <c r="AS624" s="94">
        <f t="shared" si="238"/>
        <v>0</v>
      </c>
      <c r="AT624" s="94">
        <f t="shared" si="239"/>
        <v>1.5121911070223588E-3</v>
      </c>
      <c r="AU624" s="94">
        <f t="shared" si="221"/>
        <v>1.3727387980550293E-3</v>
      </c>
      <c r="AV624" s="94">
        <f t="shared" si="222"/>
        <v>1.3727387980550293E-3</v>
      </c>
    </row>
    <row r="625" spans="1:48" x14ac:dyDescent="0.3">
      <c r="A625" s="85" t="str">
        <f>_xlfn.XLOOKUP(B625,'Country codes &amp; Data sources'!G:G,'Country codes &amp; Data sources'!H:H,,0)</f>
        <v>Nigeria</v>
      </c>
      <c r="B625" s="85" t="s">
        <v>156</v>
      </c>
      <c r="C625" s="86">
        <v>170075951.5</v>
      </c>
      <c r="D625" s="85" t="s">
        <v>83</v>
      </c>
      <c r="E625" s="87">
        <v>0</v>
      </c>
      <c r="F625" s="88">
        <v>174726123.50000006</v>
      </c>
      <c r="G625" s="87">
        <v>0</v>
      </c>
      <c r="I625" s="87">
        <v>0</v>
      </c>
      <c r="K625" s="87">
        <v>0</v>
      </c>
      <c r="M625" s="87">
        <v>0</v>
      </c>
      <c r="O625" s="87">
        <v>0</v>
      </c>
      <c r="P625" s="88">
        <v>198387623.50000006</v>
      </c>
      <c r="Q625" s="87">
        <v>5153</v>
      </c>
      <c r="R625" s="87">
        <f t="shared" si="224"/>
        <v>15823</v>
      </c>
      <c r="T625" s="87">
        <v>5089</v>
      </c>
      <c r="V625" s="87">
        <v>0</v>
      </c>
      <c r="X625" s="87">
        <v>0</v>
      </c>
      <c r="Y625" s="88">
        <v>218541211.50000003</v>
      </c>
      <c r="Z625" s="87">
        <v>6479</v>
      </c>
      <c r="AA625" s="87">
        <v>15823</v>
      </c>
      <c r="AB625" s="89">
        <f t="shared" si="225"/>
        <v>0</v>
      </c>
      <c r="AC625" s="89">
        <f t="shared" si="226"/>
        <v>5153</v>
      </c>
      <c r="AD625" s="89">
        <f t="shared" si="227"/>
        <v>6479</v>
      </c>
      <c r="AF625" s="90" t="str">
        <f t="shared" si="228"/>
        <v/>
      </c>
      <c r="AG625" s="90">
        <f t="shared" si="229"/>
        <v>15823</v>
      </c>
      <c r="AH625" s="90" t="str">
        <f t="shared" si="230"/>
        <v>2018 (triag)</v>
      </c>
      <c r="AI625" s="90">
        <f t="shared" si="231"/>
        <v>6479</v>
      </c>
      <c r="AJ625" s="90">
        <f t="shared" si="232"/>
        <v>2022</v>
      </c>
      <c r="AK625" s="90" t="str">
        <f t="shared" si="233"/>
        <v>Adjust</v>
      </c>
      <c r="AL625" s="91">
        <f>IF(AK625="Adjust",(_xlfn.XLOOKUP(A625,'Adj factor'!A:A,'Adj factor'!I:I,,0)*AI625),'Master DataSheet (Rev)'!AI625)</f>
        <v>7446.3059165519699</v>
      </c>
      <c r="AM625" s="91">
        <f t="shared" si="234"/>
        <v>15823</v>
      </c>
      <c r="AN625" s="92" t="str">
        <f t="shared" si="235"/>
        <v>Decreasing</v>
      </c>
      <c r="AO625" s="93">
        <f>VLOOKUP(B625,'Growthrates source'!A$2:H$49,8,FALSE)</f>
        <v>3.0407746470616726E-2</v>
      </c>
      <c r="AP625" s="93">
        <f>VLOOKUP(B625,'Growthrates source'!A$2:I$49,9,FALSE)</f>
        <v>4.0299906228893123E-2</v>
      </c>
      <c r="AQ625" s="86">
        <f t="shared" si="236"/>
        <v>13591.245135066489</v>
      </c>
      <c r="AR625" s="86">
        <f t="shared" si="237"/>
        <v>17856.441231222347</v>
      </c>
      <c r="AS625" s="94">
        <f t="shared" si="238"/>
        <v>0</v>
      </c>
      <c r="AT625" s="94">
        <f t="shared" si="239"/>
        <v>0.79757999621382603</v>
      </c>
      <c r="AU625" s="94">
        <f t="shared" si="221"/>
        <v>0.34072776779458686</v>
      </c>
      <c r="AV625" s="94">
        <f t="shared" si="222"/>
        <v>0.72402820005415769</v>
      </c>
    </row>
    <row r="626" spans="1:48" x14ac:dyDescent="0.3">
      <c r="A626" s="85" t="str">
        <f>_xlfn.XLOOKUP(B626,'Country codes &amp; Data sources'!G:G,'Country codes &amp; Data sources'!H:H,,0)</f>
        <v>Nigeria</v>
      </c>
      <c r="B626" s="85" t="s">
        <v>156</v>
      </c>
      <c r="C626" s="86">
        <v>170075952.5</v>
      </c>
      <c r="D626" s="85" t="s">
        <v>84</v>
      </c>
      <c r="E626" s="87">
        <v>0</v>
      </c>
      <c r="F626" s="88">
        <v>174726123.50000006</v>
      </c>
      <c r="G626" s="87">
        <v>68565</v>
      </c>
      <c r="I626" s="87">
        <v>0</v>
      </c>
      <c r="K626" s="87">
        <v>0</v>
      </c>
      <c r="M626" s="87">
        <v>0</v>
      </c>
      <c r="O626" s="87">
        <v>0</v>
      </c>
      <c r="P626" s="88">
        <v>198387623.50000006</v>
      </c>
      <c r="Q626" s="87">
        <v>0</v>
      </c>
      <c r="R626" s="87">
        <f t="shared" si="224"/>
        <v>0</v>
      </c>
      <c r="T626" s="87">
        <v>0</v>
      </c>
      <c r="V626" s="87">
        <v>0</v>
      </c>
      <c r="X626" s="87">
        <v>0</v>
      </c>
      <c r="Y626" s="88">
        <v>218541211.50000003</v>
      </c>
      <c r="Z626" s="87">
        <v>0</v>
      </c>
      <c r="AA626" s="87">
        <v>0</v>
      </c>
      <c r="AB626" s="89">
        <f t="shared" si="225"/>
        <v>68565</v>
      </c>
      <c r="AC626" s="89">
        <f t="shared" si="226"/>
        <v>0</v>
      </c>
      <c r="AD626" s="89">
        <f t="shared" si="227"/>
        <v>0</v>
      </c>
      <c r="AE626" s="90">
        <f t="shared" ref="AE626:AE656" si="240">IF(G626&gt;0,G626,IF(E626&gt;0,E626,IF(I626&gt;0,I626,K626)))</f>
        <v>68565</v>
      </c>
      <c r="AF626" s="90">
        <f t="shared" si="228"/>
        <v>2013</v>
      </c>
      <c r="AH626" s="90" t="str">
        <f t="shared" si="230"/>
        <v/>
      </c>
      <c r="AI626" s="90">
        <f t="shared" si="231"/>
        <v>0</v>
      </c>
      <c r="AJ626" s="90" t="str">
        <f t="shared" si="232"/>
        <v/>
      </c>
      <c r="AK626" s="90" t="str">
        <f t="shared" si="233"/>
        <v/>
      </c>
      <c r="AL626" s="91"/>
      <c r="AM626" s="91">
        <f t="shared" si="234"/>
        <v>0</v>
      </c>
      <c r="AN626" s="92" t="str">
        <f t="shared" si="235"/>
        <v>No change</v>
      </c>
      <c r="AO626" s="93">
        <f>VLOOKUP(B626,'Growthrates source'!A$2:H$49,8,FALSE)</f>
        <v>3.0407746470616726E-2</v>
      </c>
      <c r="AP626" s="93">
        <f>VLOOKUP(B626,'Growthrates source'!A$2:I$49,9,FALSE)</f>
        <v>4.0299906228893123E-2</v>
      </c>
      <c r="AQ626" s="86">
        <f t="shared" si="236"/>
        <v>0</v>
      </c>
      <c r="AR626" s="86">
        <f t="shared" si="237"/>
        <v>0</v>
      </c>
      <c r="AS626" s="94">
        <f t="shared" si="238"/>
        <v>3.9241413147931468</v>
      </c>
      <c r="AT626" s="94">
        <f t="shared" si="239"/>
        <v>0</v>
      </c>
      <c r="AU626" s="94">
        <f t="shared" si="221"/>
        <v>0</v>
      </c>
      <c r="AV626" s="94">
        <f t="shared" si="222"/>
        <v>0</v>
      </c>
    </row>
    <row r="627" spans="1:48" x14ac:dyDescent="0.3">
      <c r="A627" s="85" t="str">
        <f>_xlfn.XLOOKUP(B627,'Country codes &amp; Data sources'!G:G,'Country codes &amp; Data sources'!H:H,,0)</f>
        <v>Nigeria</v>
      </c>
      <c r="B627" s="85" t="s">
        <v>156</v>
      </c>
      <c r="C627" s="86">
        <v>170075953.5</v>
      </c>
      <c r="D627" s="85" t="s">
        <v>126</v>
      </c>
      <c r="E627" s="87">
        <v>0</v>
      </c>
      <c r="F627" s="88">
        <v>174726123.50000006</v>
      </c>
      <c r="G627" s="87">
        <v>0</v>
      </c>
      <c r="I627" s="87">
        <v>0</v>
      </c>
      <c r="K627" s="87">
        <v>0</v>
      </c>
      <c r="M627" s="87">
        <v>0</v>
      </c>
      <c r="O627" s="87">
        <v>0</v>
      </c>
      <c r="P627" s="88">
        <v>198387623.50000006</v>
      </c>
      <c r="Q627" s="87">
        <v>56</v>
      </c>
      <c r="R627" s="87">
        <f t="shared" si="224"/>
        <v>56</v>
      </c>
      <c r="T627" s="87">
        <v>79</v>
      </c>
      <c r="V627" s="87">
        <v>0</v>
      </c>
      <c r="X627" s="87">
        <v>0</v>
      </c>
      <c r="Y627" s="88">
        <v>218541211.50000003</v>
      </c>
      <c r="Z627" s="87">
        <v>168</v>
      </c>
      <c r="AA627" s="87">
        <v>0</v>
      </c>
      <c r="AB627" s="89">
        <f t="shared" si="225"/>
        <v>0</v>
      </c>
      <c r="AC627" s="89">
        <f t="shared" si="226"/>
        <v>79</v>
      </c>
      <c r="AD627" s="89">
        <f t="shared" si="227"/>
        <v>168</v>
      </c>
      <c r="AF627" s="90" t="str">
        <f t="shared" si="228"/>
        <v/>
      </c>
      <c r="AG627" s="90">
        <f t="shared" si="229"/>
        <v>56</v>
      </c>
      <c r="AH627" s="90">
        <f t="shared" si="230"/>
        <v>2018</v>
      </c>
      <c r="AI627" s="90">
        <f t="shared" si="231"/>
        <v>168</v>
      </c>
      <c r="AJ627" s="90">
        <f t="shared" si="232"/>
        <v>2022</v>
      </c>
      <c r="AK627" s="90" t="str">
        <f t="shared" si="233"/>
        <v/>
      </c>
      <c r="AL627" s="91">
        <f>IF(AK627="Adjust",(_xlfn.XLOOKUP(A627,'Adj factor'!A:A,'Adj factor'!I:I,,0)*AI627),'Master DataSheet (Rev)'!AI627)</f>
        <v>168</v>
      </c>
      <c r="AM627" s="91">
        <f t="shared" si="234"/>
        <v>168</v>
      </c>
      <c r="AN627" s="92" t="str">
        <f t="shared" si="235"/>
        <v>Increasing</v>
      </c>
      <c r="AO627" s="93">
        <f>VLOOKUP(B627,'Growthrates source'!A$2:H$49,8,FALSE)</f>
        <v>3.0407746470616726E-2</v>
      </c>
      <c r="AP627" s="93">
        <f>VLOOKUP(B627,'Growthrates source'!A$2:I$49,9,FALSE)</f>
        <v>4.0299906228893123E-2</v>
      </c>
      <c r="AQ627" s="86">
        <f t="shared" si="236"/>
        <v>0</v>
      </c>
      <c r="AR627" s="86">
        <f t="shared" si="237"/>
        <v>0</v>
      </c>
      <c r="AS627" s="94">
        <f t="shared" si="238"/>
        <v>0</v>
      </c>
      <c r="AT627" s="94">
        <f t="shared" si="239"/>
        <v>2.822756733108403E-3</v>
      </c>
      <c r="AU627" s="94">
        <f t="shared" si="221"/>
        <v>7.6873372691081644E-3</v>
      </c>
      <c r="AV627" s="94">
        <f t="shared" si="222"/>
        <v>7.6873372691081644E-3</v>
      </c>
    </row>
    <row r="628" spans="1:48" s="95" customFormat="1" x14ac:dyDescent="0.3">
      <c r="A628" s="95" t="str">
        <f>_xlfn.XLOOKUP(B628,'Country codes &amp; Data sources'!G:G,'Country codes &amp; Data sources'!H:H,,0)</f>
        <v>Nigeria</v>
      </c>
      <c r="B628" s="95" t="s">
        <v>156</v>
      </c>
      <c r="C628" s="60">
        <v>170075954.5</v>
      </c>
      <c r="D628" s="95" t="s">
        <v>87</v>
      </c>
      <c r="E628" s="96">
        <v>0</v>
      </c>
      <c r="F628" s="97">
        <v>174726123.50000006</v>
      </c>
      <c r="G628" s="96">
        <v>262512</v>
      </c>
      <c r="H628" s="96"/>
      <c r="I628" s="96">
        <v>0</v>
      </c>
      <c r="J628" s="96"/>
      <c r="K628" s="96">
        <v>0</v>
      </c>
      <c r="L628" s="96"/>
      <c r="M628" s="96">
        <v>0</v>
      </c>
      <c r="N628" s="96"/>
      <c r="O628" s="96">
        <v>0</v>
      </c>
      <c r="P628" s="97">
        <v>198387623.50000006</v>
      </c>
      <c r="Q628" s="96">
        <v>0</v>
      </c>
      <c r="R628" s="96">
        <f t="shared" si="224"/>
        <v>0</v>
      </c>
      <c r="S628" s="96"/>
      <c r="T628" s="96">
        <v>32</v>
      </c>
      <c r="U628" s="96"/>
      <c r="V628" s="96">
        <v>0</v>
      </c>
      <c r="W628" s="96"/>
      <c r="X628" s="96">
        <v>0</v>
      </c>
      <c r="Y628" s="97">
        <v>218541211.50000003</v>
      </c>
      <c r="Z628" s="96">
        <v>0</v>
      </c>
      <c r="AA628" s="96">
        <v>0</v>
      </c>
      <c r="AB628" s="98">
        <f t="shared" si="225"/>
        <v>262512</v>
      </c>
      <c r="AC628" s="98">
        <f t="shared" si="226"/>
        <v>32</v>
      </c>
      <c r="AD628" s="98">
        <f t="shared" si="227"/>
        <v>0</v>
      </c>
      <c r="AE628" s="99">
        <f t="shared" si="240"/>
        <v>262512</v>
      </c>
      <c r="AF628" s="99">
        <f t="shared" si="228"/>
        <v>2013</v>
      </c>
      <c r="AG628" s="99">
        <f t="shared" si="229"/>
        <v>32</v>
      </c>
      <c r="AH628" s="99">
        <f t="shared" si="230"/>
        <v>2019</v>
      </c>
      <c r="AI628" s="99">
        <f t="shared" si="231"/>
        <v>32</v>
      </c>
      <c r="AJ628" s="99">
        <f t="shared" si="232"/>
        <v>2019</v>
      </c>
      <c r="AK628" s="99" t="str">
        <f t="shared" si="233"/>
        <v/>
      </c>
      <c r="AL628" s="61">
        <f>IF(AK628="Adjust",(_xlfn.XLOOKUP(A628,'Adj factor'!A:A,'Adj factor'!I:I,,0)*AI628),'Master DataSheet (Rev)'!AI628)</f>
        <v>32</v>
      </c>
      <c r="AM628" s="61">
        <f t="shared" si="234"/>
        <v>32</v>
      </c>
      <c r="AN628" s="62" t="str">
        <f t="shared" si="235"/>
        <v>No change</v>
      </c>
      <c r="AO628" s="100">
        <f>VLOOKUP(B628,'Growthrates source'!A$2:H$49,8,FALSE)</f>
        <v>3.0407746470616726E-2</v>
      </c>
      <c r="AP628" s="100">
        <f>VLOOKUP(B628,'Growthrates source'!A$2:I$49,9,FALSE)</f>
        <v>4.0299906228893123E-2</v>
      </c>
      <c r="AQ628" s="60">
        <f t="shared" si="236"/>
        <v>0</v>
      </c>
      <c r="AR628" s="60">
        <f t="shared" si="237"/>
        <v>0</v>
      </c>
      <c r="AS628" s="101">
        <f t="shared" si="238"/>
        <v>15.024198714052046</v>
      </c>
      <c r="AT628" s="102">
        <f t="shared" si="239"/>
        <v>1.6130038474905159E-3</v>
      </c>
      <c r="AU628" s="94">
        <f t="shared" si="221"/>
        <v>1.4642547179253647E-3</v>
      </c>
      <c r="AV628" s="94">
        <f t="shared" si="222"/>
        <v>1.4642547179253647E-3</v>
      </c>
    </row>
    <row r="629" spans="1:48" x14ac:dyDescent="0.3">
      <c r="A629" s="85" t="str">
        <f>_xlfn.XLOOKUP(B629,'Country codes &amp; Data sources'!G:G,'Country codes &amp; Data sources'!H:H,,0)</f>
        <v>Rwanda</v>
      </c>
      <c r="B629" s="85" t="s">
        <v>183</v>
      </c>
      <c r="C629" s="86">
        <v>10840339</v>
      </c>
      <c r="D629" s="85" t="s">
        <v>127</v>
      </c>
      <c r="E629" s="87">
        <v>0</v>
      </c>
      <c r="F629" s="88">
        <v>11101349.499999996</v>
      </c>
      <c r="G629" s="87">
        <v>0</v>
      </c>
      <c r="I629" s="87">
        <v>0</v>
      </c>
      <c r="K629" s="87">
        <v>0</v>
      </c>
      <c r="M629" s="87">
        <v>0</v>
      </c>
      <c r="O629" s="87">
        <v>0</v>
      </c>
      <c r="P629" s="88">
        <v>12531807.499999998</v>
      </c>
      <c r="Q629" s="87">
        <v>45000</v>
      </c>
      <c r="R629" s="87">
        <f t="shared" si="224"/>
        <v>45000</v>
      </c>
      <c r="T629" s="87">
        <v>0</v>
      </c>
      <c r="V629" s="87">
        <v>58567</v>
      </c>
      <c r="X629" s="87">
        <v>0</v>
      </c>
      <c r="Y629" s="88">
        <v>13776697.499999994</v>
      </c>
      <c r="Z629" s="87">
        <v>0</v>
      </c>
      <c r="AA629" s="87">
        <v>45000</v>
      </c>
      <c r="AB629" s="89">
        <f t="shared" si="225"/>
        <v>0</v>
      </c>
      <c r="AC629" s="89">
        <f t="shared" si="226"/>
        <v>45000</v>
      </c>
      <c r="AD629" s="89">
        <f t="shared" si="227"/>
        <v>58567</v>
      </c>
      <c r="AF629" s="90" t="str">
        <f t="shared" si="228"/>
        <v/>
      </c>
      <c r="AG629" s="90">
        <f t="shared" si="229"/>
        <v>45000</v>
      </c>
      <c r="AH629" s="90">
        <f t="shared" si="230"/>
        <v>2018</v>
      </c>
      <c r="AI629" s="90">
        <f t="shared" si="231"/>
        <v>58567</v>
      </c>
      <c r="AJ629" s="90">
        <f t="shared" si="232"/>
        <v>2020</v>
      </c>
      <c r="AK629" s="90" t="str">
        <f t="shared" si="233"/>
        <v/>
      </c>
      <c r="AL629" s="91">
        <f>IF(AK629="Adjust",(_xlfn.XLOOKUP(A629,'Adj factor'!A:A,'Adj factor'!I:I,,0)*AI629),'Master DataSheet (Rev)'!AI629)</f>
        <v>58567</v>
      </c>
      <c r="AM629" s="91">
        <f t="shared" si="234"/>
        <v>58567</v>
      </c>
      <c r="AN629" s="92" t="str">
        <f t="shared" si="235"/>
        <v>Increasing</v>
      </c>
      <c r="AO629" s="93">
        <f>VLOOKUP(B629,'Growthrates source'!A$2:H$49,8,FALSE)</f>
        <v>-1.4357349923836749E-2</v>
      </c>
      <c r="AP629" s="93">
        <f>VLOOKUP(B629,'Growthrates source'!A$2:I$49,9,FALSE)</f>
        <v>0.17354491154631502</v>
      </c>
      <c r="AQ629" s="86">
        <f t="shared" si="236"/>
        <v>48349.178902623345</v>
      </c>
      <c r="AR629" s="86">
        <f t="shared" si="237"/>
        <v>75739.303341807521</v>
      </c>
      <c r="AS629" s="94">
        <f t="shared" si="238"/>
        <v>0</v>
      </c>
      <c r="AT629" s="94">
        <f t="shared" si="239"/>
        <v>35.908626907969982</v>
      </c>
      <c r="AU629" s="94">
        <f t="shared" si="221"/>
        <v>42.511639672715482</v>
      </c>
      <c r="AV629" s="94">
        <f t="shared" si="222"/>
        <v>42.511639672715482</v>
      </c>
    </row>
    <row r="630" spans="1:48" x14ac:dyDescent="0.3">
      <c r="A630" s="85" t="str">
        <f>_xlfn.XLOOKUP(B630,'Country codes &amp; Data sources'!G:G,'Country codes &amp; Data sources'!H:H,,0)</f>
        <v>Rwanda</v>
      </c>
      <c r="B630" s="85" t="s">
        <v>183</v>
      </c>
      <c r="C630" s="86">
        <v>10840340</v>
      </c>
      <c r="D630" s="85" t="s">
        <v>61</v>
      </c>
      <c r="E630" s="87">
        <v>0</v>
      </c>
      <c r="F630" s="88">
        <v>11101349.499999996</v>
      </c>
      <c r="G630" s="87">
        <v>0</v>
      </c>
      <c r="I630" s="87">
        <v>0</v>
      </c>
      <c r="K630" s="87">
        <v>0</v>
      </c>
      <c r="M630" s="87">
        <v>0</v>
      </c>
      <c r="O630" s="87">
        <v>0</v>
      </c>
      <c r="P630" s="88">
        <v>12531807.499999998</v>
      </c>
      <c r="Q630" s="87">
        <v>0</v>
      </c>
      <c r="R630" s="87">
        <f t="shared" si="224"/>
        <v>0</v>
      </c>
      <c r="T630" s="87">
        <v>0</v>
      </c>
      <c r="V630" s="87">
        <v>0</v>
      </c>
      <c r="X630" s="87">
        <v>207</v>
      </c>
      <c r="Y630" s="88">
        <v>13776697.499999994</v>
      </c>
      <c r="Z630" s="87">
        <v>0</v>
      </c>
      <c r="AA630" s="87">
        <v>0</v>
      </c>
      <c r="AB630" s="89">
        <f t="shared" si="225"/>
        <v>0</v>
      </c>
      <c r="AC630" s="89">
        <f t="shared" si="226"/>
        <v>0</v>
      </c>
      <c r="AD630" s="89">
        <f t="shared" si="227"/>
        <v>207</v>
      </c>
      <c r="AF630" s="90" t="str">
        <f t="shared" si="228"/>
        <v/>
      </c>
      <c r="AH630" s="90" t="str">
        <f t="shared" si="230"/>
        <v/>
      </c>
      <c r="AI630" s="90">
        <f t="shared" si="231"/>
        <v>207</v>
      </c>
      <c r="AJ630" s="90">
        <f t="shared" si="232"/>
        <v>2021</v>
      </c>
      <c r="AK630" s="90" t="str">
        <f t="shared" si="233"/>
        <v/>
      </c>
      <c r="AL630" s="91">
        <f>IF(AK630="Adjust",(_xlfn.XLOOKUP(A630,'Adj factor'!A:A,'Adj factor'!I:I,,0)*AI630),'Master DataSheet (Rev)'!AI630)</f>
        <v>207</v>
      </c>
      <c r="AM630" s="60">
        <v>224</v>
      </c>
      <c r="AN630" s="92" t="str">
        <f t="shared" si="235"/>
        <v>Increasing</v>
      </c>
      <c r="AO630" s="93">
        <f>VLOOKUP(B630,'Growthrates source'!A$2:H$49,8,FALSE)</f>
        <v>-1.4357349923836749E-2</v>
      </c>
      <c r="AP630" s="93">
        <f>VLOOKUP(B630,'Growthrates source'!A$2:I$49,9,FALSE)</f>
        <v>0.17354491154631502</v>
      </c>
      <c r="AQ630" s="86">
        <f t="shared" si="236"/>
        <v>0</v>
      </c>
      <c r="AR630" s="86">
        <f t="shared" si="237"/>
        <v>0</v>
      </c>
      <c r="AS630" s="94">
        <f t="shared" si="238"/>
        <v>0</v>
      </c>
      <c r="AT630" s="94">
        <f t="shared" si="239"/>
        <v>0</v>
      </c>
      <c r="AU630" s="94">
        <f t="shared" si="221"/>
        <v>0.15025371646579311</v>
      </c>
      <c r="AV630" s="94">
        <f t="shared" si="222"/>
        <v>0.16259339366346695</v>
      </c>
    </row>
    <row r="631" spans="1:48" x14ac:dyDescent="0.3">
      <c r="A631" s="85" t="str">
        <f>_xlfn.XLOOKUP(B631,'Country codes &amp; Data sources'!G:G,'Country codes &amp; Data sources'!H:H,,0)</f>
        <v>Rwanda</v>
      </c>
      <c r="B631" s="85" t="s">
        <v>183</v>
      </c>
      <c r="C631" s="86">
        <v>10840341</v>
      </c>
      <c r="D631" s="85" t="s">
        <v>62</v>
      </c>
      <c r="E631" s="87">
        <v>0</v>
      </c>
      <c r="F631" s="88">
        <v>11101349.499999996</v>
      </c>
      <c r="G631" s="87">
        <v>0</v>
      </c>
      <c r="I631" s="87">
        <v>0</v>
      </c>
      <c r="K631" s="87">
        <v>0</v>
      </c>
      <c r="M631" s="87">
        <v>0</v>
      </c>
      <c r="O631" s="87">
        <v>0</v>
      </c>
      <c r="P631" s="88">
        <v>12531807.499999998</v>
      </c>
      <c r="Q631" s="87">
        <v>0</v>
      </c>
      <c r="R631" s="87">
        <f t="shared" si="224"/>
        <v>0</v>
      </c>
      <c r="T631" s="87">
        <v>0</v>
      </c>
      <c r="V631" s="87">
        <v>0</v>
      </c>
      <c r="X631" s="87">
        <v>226</v>
      </c>
      <c r="Y631" s="88">
        <v>13776697.499999994</v>
      </c>
      <c r="Z631" s="87">
        <v>0</v>
      </c>
      <c r="AA631" s="87">
        <v>0</v>
      </c>
      <c r="AB631" s="89">
        <f t="shared" si="225"/>
        <v>0</v>
      </c>
      <c r="AC631" s="89">
        <f t="shared" si="226"/>
        <v>0</v>
      </c>
      <c r="AD631" s="89">
        <f t="shared" si="227"/>
        <v>226</v>
      </c>
      <c r="AF631" s="90" t="str">
        <f t="shared" si="228"/>
        <v/>
      </c>
      <c r="AH631" s="90" t="str">
        <f t="shared" si="230"/>
        <v/>
      </c>
      <c r="AI631" s="90">
        <f t="shared" si="231"/>
        <v>226</v>
      </c>
      <c r="AJ631" s="90">
        <f t="shared" si="232"/>
        <v>2021</v>
      </c>
      <c r="AK631" s="90" t="str">
        <f t="shared" si="233"/>
        <v/>
      </c>
      <c r="AL631" s="91">
        <f>IF(AK631="Adjust",(_xlfn.XLOOKUP(A631,'Adj factor'!A:A,'Adj factor'!I:I,,0)*AI631),'Master DataSheet (Rev)'!AI631)</f>
        <v>226</v>
      </c>
      <c r="AM631" s="91">
        <f t="shared" si="234"/>
        <v>226</v>
      </c>
      <c r="AN631" s="92" t="str">
        <f t="shared" si="235"/>
        <v>Increasing</v>
      </c>
      <c r="AO631" s="93">
        <f>VLOOKUP(B631,'Growthrates source'!A$2:H$49,8,FALSE)</f>
        <v>-1.4357349923836749E-2</v>
      </c>
      <c r="AP631" s="93">
        <f>VLOOKUP(B631,'Growthrates source'!A$2:I$49,9,FALSE)</f>
        <v>0.17354491154631502</v>
      </c>
      <c r="AQ631" s="86">
        <f t="shared" si="236"/>
        <v>0</v>
      </c>
      <c r="AR631" s="86">
        <f t="shared" si="237"/>
        <v>0</v>
      </c>
      <c r="AS631" s="94">
        <f t="shared" si="238"/>
        <v>0</v>
      </c>
      <c r="AT631" s="94">
        <f t="shared" si="239"/>
        <v>0</v>
      </c>
      <c r="AU631" s="94">
        <f t="shared" si="221"/>
        <v>0.16404512039260505</v>
      </c>
      <c r="AV631" s="94">
        <f t="shared" si="222"/>
        <v>0.16404512039260505</v>
      </c>
    </row>
    <row r="632" spans="1:48" x14ac:dyDescent="0.3">
      <c r="A632" s="85" t="str">
        <f>_xlfn.XLOOKUP(B632,'Country codes &amp; Data sources'!G:G,'Country codes &amp; Data sources'!H:H,,0)</f>
        <v>Rwanda</v>
      </c>
      <c r="B632" s="85" t="s">
        <v>183</v>
      </c>
      <c r="C632" s="86">
        <v>10840342</v>
      </c>
      <c r="D632" s="85" t="s">
        <v>203</v>
      </c>
      <c r="E632" s="87">
        <v>0</v>
      </c>
      <c r="F632" s="88">
        <v>11101349.499999996</v>
      </c>
      <c r="G632" s="87">
        <v>0</v>
      </c>
      <c r="I632" s="87">
        <v>0</v>
      </c>
      <c r="K632" s="87">
        <v>0</v>
      </c>
      <c r="M632" s="87">
        <v>0</v>
      </c>
      <c r="O632" s="87">
        <v>0</v>
      </c>
      <c r="P632" s="88">
        <v>12531807.499999998</v>
      </c>
      <c r="Q632" s="87">
        <v>0</v>
      </c>
      <c r="R632" s="87">
        <f t="shared" si="224"/>
        <v>0</v>
      </c>
      <c r="T632" s="87">
        <v>0</v>
      </c>
      <c r="V632" s="87">
        <v>0</v>
      </c>
      <c r="X632" s="87">
        <v>0</v>
      </c>
      <c r="Y632" s="88">
        <v>13776697.499999994</v>
      </c>
      <c r="Z632" s="87">
        <v>0</v>
      </c>
      <c r="AA632" s="87">
        <v>0</v>
      </c>
      <c r="AB632" s="89">
        <f t="shared" si="225"/>
        <v>0</v>
      </c>
      <c r="AC632" s="89">
        <f t="shared" si="226"/>
        <v>0</v>
      </c>
      <c r="AD632" s="89">
        <f t="shared" si="227"/>
        <v>0</v>
      </c>
      <c r="AF632" s="90" t="str">
        <f t="shared" si="228"/>
        <v/>
      </c>
      <c r="AH632" s="90" t="str">
        <f t="shared" si="230"/>
        <v/>
      </c>
      <c r="AI632" s="90">
        <f t="shared" si="231"/>
        <v>0</v>
      </c>
      <c r="AJ632" s="90" t="str">
        <f t="shared" si="232"/>
        <v/>
      </c>
      <c r="AK632" s="90" t="str">
        <f t="shared" si="233"/>
        <v/>
      </c>
      <c r="AL632" s="91"/>
      <c r="AM632" s="91">
        <f t="shared" si="234"/>
        <v>0</v>
      </c>
      <c r="AN632" s="92" t="str">
        <f t="shared" si="235"/>
        <v>No change</v>
      </c>
      <c r="AO632" s="93">
        <f>VLOOKUP(B632,'Growthrates source'!A$2:H$49,8,FALSE)</f>
        <v>-1.4357349923836749E-2</v>
      </c>
      <c r="AP632" s="93">
        <f>VLOOKUP(B632,'Growthrates source'!A$2:I$49,9,FALSE)</f>
        <v>0.17354491154631502</v>
      </c>
      <c r="AQ632" s="86">
        <f t="shared" si="236"/>
        <v>0</v>
      </c>
      <c r="AR632" s="86">
        <f t="shared" si="237"/>
        <v>0</v>
      </c>
      <c r="AS632" s="94">
        <f t="shared" si="238"/>
        <v>0</v>
      </c>
      <c r="AT632" s="94">
        <f t="shared" si="239"/>
        <v>0</v>
      </c>
      <c r="AU632" s="94">
        <f t="shared" si="221"/>
        <v>0</v>
      </c>
      <c r="AV632" s="94">
        <f t="shared" si="222"/>
        <v>0</v>
      </c>
    </row>
    <row r="633" spans="1:48" x14ac:dyDescent="0.3">
      <c r="A633" s="85" t="str">
        <f>_xlfn.XLOOKUP(B633,'Country codes &amp; Data sources'!G:G,'Country codes &amp; Data sources'!H:H,,0)</f>
        <v>Rwanda</v>
      </c>
      <c r="B633" s="85" t="s">
        <v>183</v>
      </c>
      <c r="C633" s="86">
        <v>10840343</v>
      </c>
      <c r="D633" s="85" t="s">
        <v>204</v>
      </c>
      <c r="E633" s="87">
        <v>0</v>
      </c>
      <c r="F633" s="88">
        <v>11101349.499999996</v>
      </c>
      <c r="G633" s="87">
        <v>0</v>
      </c>
      <c r="I633" s="87">
        <v>0</v>
      </c>
      <c r="K633" s="87">
        <v>0</v>
      </c>
      <c r="M633" s="87">
        <v>0</v>
      </c>
      <c r="O633" s="87">
        <v>0</v>
      </c>
      <c r="P633" s="88">
        <v>12531807.499999998</v>
      </c>
      <c r="Q633" s="87">
        <v>0</v>
      </c>
      <c r="R633" s="87">
        <f t="shared" si="224"/>
        <v>0</v>
      </c>
      <c r="T633" s="87">
        <v>0</v>
      </c>
      <c r="V633" s="87">
        <v>0</v>
      </c>
      <c r="X633" s="87">
        <v>0</v>
      </c>
      <c r="Y633" s="88">
        <v>13776697.499999994</v>
      </c>
      <c r="Z633" s="87">
        <v>0</v>
      </c>
      <c r="AA633" s="87">
        <v>0</v>
      </c>
      <c r="AB633" s="89">
        <f t="shared" si="225"/>
        <v>0</v>
      </c>
      <c r="AC633" s="89">
        <f t="shared" si="226"/>
        <v>0</v>
      </c>
      <c r="AD633" s="89">
        <f t="shared" si="227"/>
        <v>0</v>
      </c>
      <c r="AF633" s="90" t="str">
        <f t="shared" si="228"/>
        <v/>
      </c>
      <c r="AH633" s="90" t="str">
        <f t="shared" si="230"/>
        <v/>
      </c>
      <c r="AI633" s="90">
        <f t="shared" si="231"/>
        <v>0</v>
      </c>
      <c r="AJ633" s="90" t="str">
        <f t="shared" si="232"/>
        <v/>
      </c>
      <c r="AK633" s="90" t="str">
        <f t="shared" si="233"/>
        <v/>
      </c>
      <c r="AL633" s="91"/>
      <c r="AM633" s="91">
        <f t="shared" si="234"/>
        <v>0</v>
      </c>
      <c r="AN633" s="92" t="str">
        <f t="shared" si="235"/>
        <v>No change</v>
      </c>
      <c r="AO633" s="93">
        <f>VLOOKUP(B633,'Growthrates source'!A$2:H$49,8,FALSE)</f>
        <v>-1.4357349923836749E-2</v>
      </c>
      <c r="AP633" s="93">
        <f>VLOOKUP(B633,'Growthrates source'!A$2:I$49,9,FALSE)</f>
        <v>0.17354491154631502</v>
      </c>
      <c r="AQ633" s="86">
        <f t="shared" si="236"/>
        <v>0</v>
      </c>
      <c r="AR633" s="86">
        <f t="shared" si="237"/>
        <v>0</v>
      </c>
      <c r="AS633" s="94">
        <f t="shared" si="238"/>
        <v>0</v>
      </c>
      <c r="AT633" s="94">
        <f t="shared" si="239"/>
        <v>0</v>
      </c>
      <c r="AU633" s="94">
        <f t="shared" si="221"/>
        <v>0</v>
      </c>
      <c r="AV633" s="94">
        <f t="shared" si="222"/>
        <v>0</v>
      </c>
    </row>
    <row r="634" spans="1:48" x14ac:dyDescent="0.3">
      <c r="A634" s="85" t="str">
        <f>_xlfn.XLOOKUP(B634,'Country codes &amp; Data sources'!G:G,'Country codes &amp; Data sources'!H:H,,0)</f>
        <v>Rwanda</v>
      </c>
      <c r="B634" s="85" t="s">
        <v>183</v>
      </c>
      <c r="C634" s="86">
        <v>10840344</v>
      </c>
      <c r="D634" s="85" t="s">
        <v>205</v>
      </c>
      <c r="E634" s="87">
        <v>0</v>
      </c>
      <c r="F634" s="88">
        <v>11101349.499999996</v>
      </c>
      <c r="G634" s="87">
        <v>0</v>
      </c>
      <c r="I634" s="87">
        <v>0</v>
      </c>
      <c r="K634" s="87">
        <v>23</v>
      </c>
      <c r="M634" s="87">
        <v>0</v>
      </c>
      <c r="O634" s="87">
        <v>0</v>
      </c>
      <c r="P634" s="88">
        <v>12531807.499999998</v>
      </c>
      <c r="Q634" s="87">
        <v>0</v>
      </c>
      <c r="R634" s="87">
        <f t="shared" si="224"/>
        <v>0</v>
      </c>
      <c r="T634" s="87">
        <v>0</v>
      </c>
      <c r="V634" s="87">
        <v>0</v>
      </c>
      <c r="X634" s="87">
        <v>0</v>
      </c>
      <c r="Y634" s="88">
        <v>13776697.499999994</v>
      </c>
      <c r="Z634" s="87">
        <v>0</v>
      </c>
      <c r="AA634" s="87">
        <v>0</v>
      </c>
      <c r="AB634" s="89">
        <f t="shared" si="225"/>
        <v>23</v>
      </c>
      <c r="AC634" s="89">
        <f t="shared" si="226"/>
        <v>0</v>
      </c>
      <c r="AD634" s="89">
        <f t="shared" si="227"/>
        <v>0</v>
      </c>
      <c r="AE634" s="90">
        <f t="shared" si="240"/>
        <v>23</v>
      </c>
      <c r="AF634" s="90">
        <f t="shared" si="228"/>
        <v>2015</v>
      </c>
      <c r="AH634" s="90" t="str">
        <f t="shared" si="230"/>
        <v/>
      </c>
      <c r="AI634" s="90">
        <f t="shared" si="231"/>
        <v>0</v>
      </c>
      <c r="AJ634" s="90" t="str">
        <f t="shared" si="232"/>
        <v/>
      </c>
      <c r="AK634" s="90" t="str">
        <f t="shared" si="233"/>
        <v/>
      </c>
      <c r="AL634" s="91"/>
      <c r="AM634" s="91">
        <f t="shared" si="234"/>
        <v>0</v>
      </c>
      <c r="AN634" s="92" t="str">
        <f t="shared" si="235"/>
        <v>No change</v>
      </c>
      <c r="AO634" s="93">
        <f>VLOOKUP(B634,'Growthrates source'!A$2:H$49,8,FALSE)</f>
        <v>-1.4357349923836749E-2</v>
      </c>
      <c r="AP634" s="93">
        <f>VLOOKUP(B634,'Growthrates source'!A$2:I$49,9,FALSE)</f>
        <v>0.17354491154631502</v>
      </c>
      <c r="AQ634" s="86">
        <f t="shared" si="236"/>
        <v>0</v>
      </c>
      <c r="AR634" s="86">
        <f t="shared" si="237"/>
        <v>0</v>
      </c>
      <c r="AS634" s="94">
        <f t="shared" si="238"/>
        <v>2.0718201872664228E-2</v>
      </c>
      <c r="AT634" s="94">
        <f t="shared" si="239"/>
        <v>0</v>
      </c>
      <c r="AU634" s="94">
        <f t="shared" si="221"/>
        <v>0</v>
      </c>
      <c r="AV634" s="94">
        <f t="shared" si="222"/>
        <v>0</v>
      </c>
    </row>
    <row r="635" spans="1:48" x14ac:dyDescent="0.3">
      <c r="A635" s="85" t="str">
        <f>_xlfn.XLOOKUP(B635,'Country codes &amp; Data sources'!G:G,'Country codes &amp; Data sources'!H:H,,0)</f>
        <v>Rwanda</v>
      </c>
      <c r="B635" s="85" t="s">
        <v>183</v>
      </c>
      <c r="C635" s="86">
        <v>10840345</v>
      </c>
      <c r="D635" s="85" t="s">
        <v>133</v>
      </c>
      <c r="E635" s="87">
        <v>0</v>
      </c>
      <c r="F635" s="88">
        <v>11101349.499999996</v>
      </c>
      <c r="G635" s="87">
        <v>0</v>
      </c>
      <c r="I635" s="87">
        <v>0</v>
      </c>
      <c r="K635" s="87">
        <v>0</v>
      </c>
      <c r="M635" s="87">
        <v>0</v>
      </c>
      <c r="O635" s="87">
        <v>0</v>
      </c>
      <c r="P635" s="88">
        <v>12531807.499999998</v>
      </c>
      <c r="Q635" s="87">
        <v>1990</v>
      </c>
      <c r="R635" s="87">
        <f t="shared" si="224"/>
        <v>1990</v>
      </c>
      <c r="T635" s="87">
        <v>0</v>
      </c>
      <c r="V635" s="87">
        <v>0</v>
      </c>
      <c r="X635" s="87">
        <v>0</v>
      </c>
      <c r="Y635" s="88">
        <v>13776697.499999994</v>
      </c>
      <c r="Z635" s="87">
        <v>0</v>
      </c>
      <c r="AA635" s="87">
        <v>321</v>
      </c>
      <c r="AB635" s="89">
        <f t="shared" si="225"/>
        <v>0</v>
      </c>
      <c r="AC635" s="89">
        <f t="shared" si="226"/>
        <v>1990</v>
      </c>
      <c r="AD635" s="89">
        <f t="shared" si="227"/>
        <v>0</v>
      </c>
      <c r="AF635" s="90" t="str">
        <f t="shared" si="228"/>
        <v/>
      </c>
      <c r="AG635" s="90">
        <f t="shared" si="229"/>
        <v>1990</v>
      </c>
      <c r="AH635" s="90">
        <f t="shared" si="230"/>
        <v>2018</v>
      </c>
      <c r="AI635" s="90">
        <f t="shared" si="231"/>
        <v>1990</v>
      </c>
      <c r="AJ635" s="90">
        <f t="shared" si="232"/>
        <v>2018</v>
      </c>
      <c r="AK635" s="90" t="str">
        <f t="shared" si="233"/>
        <v/>
      </c>
      <c r="AL635" s="91">
        <f>IF(AK635="Adjust",(_xlfn.XLOOKUP(A635,'Adj factor'!A:A,'Adj factor'!I:I,,0)*AI635),'Master DataSheet (Rev)'!AI635)</f>
        <v>1990</v>
      </c>
      <c r="AM635" s="91">
        <f t="shared" si="234"/>
        <v>1990</v>
      </c>
      <c r="AN635" s="92" t="str">
        <f t="shared" si="235"/>
        <v>No change</v>
      </c>
      <c r="AO635" s="93">
        <f>VLOOKUP(B635,'Growthrates source'!A$2:H$49,8,FALSE)</f>
        <v>-1.4357349923836749E-2</v>
      </c>
      <c r="AP635" s="93">
        <f>VLOOKUP(B635,'Growthrates source'!A$2:I$49,9,FALSE)</f>
        <v>0.17354491154631502</v>
      </c>
      <c r="AQ635" s="86">
        <f t="shared" si="236"/>
        <v>344.89080950537988</v>
      </c>
      <c r="AR635" s="86">
        <f t="shared" si="237"/>
        <v>540.27369717156034</v>
      </c>
      <c r="AS635" s="94">
        <f t="shared" si="238"/>
        <v>0</v>
      </c>
      <c r="AT635" s="94">
        <f t="shared" si="239"/>
        <v>1.587959278819117</v>
      </c>
      <c r="AU635" s="94">
        <f t="shared" si="221"/>
        <v>1.4444680954924072</v>
      </c>
      <c r="AV635" s="94">
        <f t="shared" si="222"/>
        <v>1.4444680954924072</v>
      </c>
    </row>
    <row r="636" spans="1:48" x14ac:dyDescent="0.3">
      <c r="A636" s="85" t="str">
        <f>_xlfn.XLOOKUP(B636,'Country codes &amp; Data sources'!G:G,'Country codes &amp; Data sources'!H:H,,0)</f>
        <v>Rwanda</v>
      </c>
      <c r="B636" s="85" t="s">
        <v>183</v>
      </c>
      <c r="C636" s="86">
        <v>10840346</v>
      </c>
      <c r="D636" s="85" t="s">
        <v>206</v>
      </c>
      <c r="E636" s="87">
        <v>0</v>
      </c>
      <c r="F636" s="88">
        <v>11101349.499999996</v>
      </c>
      <c r="G636" s="87">
        <v>0</v>
      </c>
      <c r="I636" s="87">
        <v>0</v>
      </c>
      <c r="K636" s="87">
        <v>0</v>
      </c>
      <c r="M636" s="87">
        <v>0</v>
      </c>
      <c r="O636" s="87">
        <v>0</v>
      </c>
      <c r="P636" s="88">
        <v>12531807.499999998</v>
      </c>
      <c r="Q636" s="87">
        <v>0</v>
      </c>
      <c r="R636" s="87">
        <f t="shared" si="224"/>
        <v>0</v>
      </c>
      <c r="T636" s="87">
        <v>0</v>
      </c>
      <c r="V636" s="87">
        <v>0</v>
      </c>
      <c r="X636" s="87">
        <v>0</v>
      </c>
      <c r="Y636" s="88">
        <v>13776697.499999994</v>
      </c>
      <c r="Z636" s="87">
        <v>0</v>
      </c>
      <c r="AA636" s="87">
        <v>0</v>
      </c>
      <c r="AB636" s="89">
        <f t="shared" si="225"/>
        <v>0</v>
      </c>
      <c r="AC636" s="89">
        <f t="shared" si="226"/>
        <v>0</v>
      </c>
      <c r="AD636" s="89">
        <f t="shared" si="227"/>
        <v>0</v>
      </c>
      <c r="AF636" s="90" t="str">
        <f t="shared" si="228"/>
        <v/>
      </c>
      <c r="AH636" s="90" t="str">
        <f t="shared" si="230"/>
        <v/>
      </c>
      <c r="AI636" s="90">
        <f t="shared" si="231"/>
        <v>0</v>
      </c>
      <c r="AJ636" s="90" t="str">
        <f t="shared" si="232"/>
        <v/>
      </c>
      <c r="AK636" s="90" t="str">
        <f t="shared" si="233"/>
        <v/>
      </c>
      <c r="AL636" s="91"/>
      <c r="AM636" s="91">
        <f t="shared" si="234"/>
        <v>0</v>
      </c>
      <c r="AN636" s="92" t="str">
        <f t="shared" si="235"/>
        <v>No change</v>
      </c>
      <c r="AO636" s="93">
        <f>VLOOKUP(B636,'Growthrates source'!A$2:H$49,8,FALSE)</f>
        <v>-1.4357349923836749E-2</v>
      </c>
      <c r="AP636" s="93">
        <f>VLOOKUP(B636,'Growthrates source'!A$2:I$49,9,FALSE)</f>
        <v>0.17354491154631502</v>
      </c>
      <c r="AQ636" s="86">
        <f t="shared" si="236"/>
        <v>0</v>
      </c>
      <c r="AR636" s="86">
        <f t="shared" si="237"/>
        <v>0</v>
      </c>
      <c r="AS636" s="94">
        <f t="shared" si="238"/>
        <v>0</v>
      </c>
      <c r="AT636" s="94">
        <f t="shared" si="239"/>
        <v>0</v>
      </c>
      <c r="AU636" s="94">
        <f t="shared" si="221"/>
        <v>0</v>
      </c>
      <c r="AV636" s="94">
        <f t="shared" si="222"/>
        <v>0</v>
      </c>
    </row>
    <row r="637" spans="1:48" x14ac:dyDescent="0.3">
      <c r="A637" s="85" t="str">
        <f>_xlfn.XLOOKUP(B637,'Country codes &amp; Data sources'!G:G,'Country codes &amp; Data sources'!H:H,,0)</f>
        <v>Rwanda</v>
      </c>
      <c r="B637" s="85" t="s">
        <v>183</v>
      </c>
      <c r="C637" s="86">
        <v>10840347</v>
      </c>
      <c r="D637" s="85" t="s">
        <v>136</v>
      </c>
      <c r="E637" s="87">
        <v>0</v>
      </c>
      <c r="F637" s="88">
        <v>11101349.499999996</v>
      </c>
      <c r="G637" s="87">
        <v>0</v>
      </c>
      <c r="I637" s="87">
        <v>0</v>
      </c>
      <c r="K637" s="87">
        <v>116</v>
      </c>
      <c r="M637" s="87">
        <v>0</v>
      </c>
      <c r="O637" s="87">
        <v>0</v>
      </c>
      <c r="P637" s="88">
        <v>12531807.499999998</v>
      </c>
      <c r="Q637" s="87">
        <v>152</v>
      </c>
      <c r="R637" s="87">
        <f t="shared" si="224"/>
        <v>152</v>
      </c>
      <c r="T637" s="87">
        <v>0</v>
      </c>
      <c r="V637" s="87">
        <v>0</v>
      </c>
      <c r="X637" s="87">
        <v>0</v>
      </c>
      <c r="Y637" s="88">
        <v>13776697.499999994</v>
      </c>
      <c r="Z637" s="87">
        <v>0</v>
      </c>
      <c r="AA637" s="87">
        <v>0</v>
      </c>
      <c r="AB637" s="89">
        <f t="shared" si="225"/>
        <v>116</v>
      </c>
      <c r="AC637" s="89">
        <f t="shared" si="226"/>
        <v>152</v>
      </c>
      <c r="AD637" s="89">
        <f t="shared" si="227"/>
        <v>0</v>
      </c>
      <c r="AE637" s="90">
        <f t="shared" si="240"/>
        <v>116</v>
      </c>
      <c r="AF637" s="90">
        <f t="shared" si="228"/>
        <v>2015</v>
      </c>
      <c r="AG637" s="90">
        <f t="shared" si="229"/>
        <v>152</v>
      </c>
      <c r="AH637" s="90">
        <f t="shared" si="230"/>
        <v>2018</v>
      </c>
      <c r="AI637" s="90">
        <f t="shared" si="231"/>
        <v>152</v>
      </c>
      <c r="AJ637" s="90">
        <f t="shared" si="232"/>
        <v>2018</v>
      </c>
      <c r="AK637" s="90" t="str">
        <f t="shared" si="233"/>
        <v/>
      </c>
      <c r="AL637" s="91">
        <f>IF(AK637="Adjust",(_xlfn.XLOOKUP(A637,'Adj factor'!A:A,'Adj factor'!I:I,,0)*AI637),'Master DataSheet (Rev)'!AI637)</f>
        <v>152</v>
      </c>
      <c r="AM637" s="91">
        <f t="shared" si="234"/>
        <v>152</v>
      </c>
      <c r="AN637" s="92" t="str">
        <f t="shared" si="235"/>
        <v>No change</v>
      </c>
      <c r="AO637" s="93">
        <f>VLOOKUP(B637,'Growthrates source'!A$2:H$49,8,FALSE)</f>
        <v>-1.4357349923836749E-2</v>
      </c>
      <c r="AP637" s="93">
        <f>VLOOKUP(B637,'Growthrates source'!A$2:I$49,9,FALSE)</f>
        <v>0.17354491154631502</v>
      </c>
      <c r="AQ637" s="86">
        <f t="shared" si="236"/>
        <v>0</v>
      </c>
      <c r="AR637" s="86">
        <f t="shared" si="237"/>
        <v>0</v>
      </c>
      <c r="AS637" s="94">
        <f t="shared" si="238"/>
        <v>0.10449180074908915</v>
      </c>
      <c r="AT637" s="94">
        <f t="shared" si="239"/>
        <v>0.12129136200025417</v>
      </c>
      <c r="AU637" s="94">
        <f t="shared" si="221"/>
        <v>0.11033123141449543</v>
      </c>
      <c r="AV637" s="94">
        <f t="shared" si="222"/>
        <v>0.11033123141449543</v>
      </c>
    </row>
    <row r="638" spans="1:48" x14ac:dyDescent="0.3">
      <c r="A638" s="85" t="str">
        <f>_xlfn.XLOOKUP(B638,'Country codes &amp; Data sources'!G:G,'Country codes &amp; Data sources'!H:H,,0)</f>
        <v>Rwanda</v>
      </c>
      <c r="B638" s="85" t="s">
        <v>183</v>
      </c>
      <c r="C638" s="86">
        <v>10840348</v>
      </c>
      <c r="D638" s="85" t="s">
        <v>207</v>
      </c>
      <c r="E638" s="87">
        <v>0</v>
      </c>
      <c r="F638" s="88">
        <v>11101349.499999996</v>
      </c>
      <c r="G638" s="87">
        <v>0</v>
      </c>
      <c r="I638" s="87">
        <v>0</v>
      </c>
      <c r="K638" s="87">
        <v>0</v>
      </c>
      <c r="M638" s="87">
        <v>0</v>
      </c>
      <c r="O638" s="87">
        <v>0</v>
      </c>
      <c r="P638" s="88">
        <v>12531807.499999998</v>
      </c>
      <c r="Q638" s="87">
        <v>0</v>
      </c>
      <c r="R638" s="87">
        <f t="shared" si="224"/>
        <v>0</v>
      </c>
      <c r="T638" s="87">
        <v>0</v>
      </c>
      <c r="V638" s="87">
        <v>0</v>
      </c>
      <c r="X638" s="87">
        <v>0</v>
      </c>
      <c r="Y638" s="88">
        <v>13776697.499999994</v>
      </c>
      <c r="Z638" s="87">
        <v>0</v>
      </c>
      <c r="AA638" s="87">
        <v>0</v>
      </c>
      <c r="AB638" s="89">
        <f t="shared" si="225"/>
        <v>0</v>
      </c>
      <c r="AC638" s="89">
        <f t="shared" si="226"/>
        <v>0</v>
      </c>
      <c r="AD638" s="89">
        <f t="shared" si="227"/>
        <v>0</v>
      </c>
      <c r="AF638" s="90" t="str">
        <f t="shared" si="228"/>
        <v/>
      </c>
      <c r="AH638" s="90" t="str">
        <f t="shared" si="230"/>
        <v/>
      </c>
      <c r="AI638" s="90">
        <f t="shared" si="231"/>
        <v>0</v>
      </c>
      <c r="AJ638" s="90" t="str">
        <f t="shared" si="232"/>
        <v/>
      </c>
      <c r="AK638" s="90" t="str">
        <f t="shared" si="233"/>
        <v/>
      </c>
      <c r="AL638" s="91"/>
      <c r="AM638" s="91">
        <f t="shared" si="234"/>
        <v>0</v>
      </c>
      <c r="AN638" s="92" t="str">
        <f t="shared" si="235"/>
        <v>No change</v>
      </c>
      <c r="AO638" s="93">
        <f>VLOOKUP(B638,'Growthrates source'!A$2:H$49,8,FALSE)</f>
        <v>-1.4357349923836749E-2</v>
      </c>
      <c r="AP638" s="93">
        <f>VLOOKUP(B638,'Growthrates source'!A$2:I$49,9,FALSE)</f>
        <v>0.17354491154631502</v>
      </c>
      <c r="AQ638" s="86">
        <f t="shared" si="236"/>
        <v>0</v>
      </c>
      <c r="AR638" s="86">
        <f t="shared" si="237"/>
        <v>0</v>
      </c>
      <c r="AS638" s="94">
        <f t="shared" si="238"/>
        <v>0</v>
      </c>
      <c r="AT638" s="94">
        <f t="shared" si="239"/>
        <v>0</v>
      </c>
      <c r="AU638" s="94">
        <f t="shared" si="221"/>
        <v>0</v>
      </c>
      <c r="AV638" s="94">
        <f t="shared" si="222"/>
        <v>0</v>
      </c>
    </row>
    <row r="639" spans="1:48" x14ac:dyDescent="0.3">
      <c r="A639" s="85" t="str">
        <f>_xlfn.XLOOKUP(B639,'Country codes &amp; Data sources'!G:G,'Country codes &amp; Data sources'!H:H,,0)</f>
        <v>Rwanda</v>
      </c>
      <c r="B639" s="85" t="s">
        <v>183</v>
      </c>
      <c r="C639" s="86">
        <v>10840349</v>
      </c>
      <c r="D639" s="85" t="s">
        <v>141</v>
      </c>
      <c r="E639" s="87">
        <v>0</v>
      </c>
      <c r="F639" s="88">
        <v>11101349.499999996</v>
      </c>
      <c r="G639" s="87">
        <v>0</v>
      </c>
      <c r="I639" s="87">
        <v>0</v>
      </c>
      <c r="K639" s="87">
        <v>0</v>
      </c>
      <c r="M639" s="87">
        <v>0</v>
      </c>
      <c r="O639" s="87">
        <v>0</v>
      </c>
      <c r="P639" s="88">
        <v>12531807.499999998</v>
      </c>
      <c r="Q639" s="87">
        <v>13</v>
      </c>
      <c r="R639" s="87">
        <f t="shared" si="224"/>
        <v>13</v>
      </c>
      <c r="T639" s="87">
        <v>0</v>
      </c>
      <c r="V639" s="87">
        <v>0</v>
      </c>
      <c r="X639" s="87">
        <v>0</v>
      </c>
      <c r="Y639" s="88">
        <v>13776697.499999994</v>
      </c>
      <c r="Z639" s="87">
        <v>0</v>
      </c>
      <c r="AA639" s="87">
        <v>0</v>
      </c>
      <c r="AB639" s="89">
        <f t="shared" si="225"/>
        <v>0</v>
      </c>
      <c r="AC639" s="89">
        <f t="shared" si="226"/>
        <v>13</v>
      </c>
      <c r="AD639" s="89">
        <f t="shared" si="227"/>
        <v>0</v>
      </c>
      <c r="AF639" s="90" t="str">
        <f t="shared" si="228"/>
        <v/>
      </c>
      <c r="AG639" s="90">
        <f t="shared" si="229"/>
        <v>13</v>
      </c>
      <c r="AH639" s="90">
        <f t="shared" si="230"/>
        <v>2018</v>
      </c>
      <c r="AI639" s="90">
        <f t="shared" si="231"/>
        <v>13</v>
      </c>
      <c r="AJ639" s="90">
        <f t="shared" si="232"/>
        <v>2018</v>
      </c>
      <c r="AK639" s="90" t="str">
        <f t="shared" si="233"/>
        <v/>
      </c>
      <c r="AL639" s="91">
        <f>IF(AK639="Adjust",(_xlfn.XLOOKUP(A639,'Adj factor'!A:A,'Adj factor'!I:I,,0)*AI639),'Master DataSheet (Rev)'!AI639)</f>
        <v>13</v>
      </c>
      <c r="AM639" s="60">
        <f>90+13</f>
        <v>103</v>
      </c>
      <c r="AN639" s="92" t="str">
        <f t="shared" si="235"/>
        <v>No change</v>
      </c>
      <c r="AO639" s="93">
        <f>VLOOKUP(B639,'Growthrates source'!A$2:H$49,8,FALSE)</f>
        <v>-1.4357349923836749E-2</v>
      </c>
      <c r="AP639" s="93">
        <f>VLOOKUP(B639,'Growthrates source'!A$2:I$49,9,FALSE)</f>
        <v>0.17354491154631502</v>
      </c>
      <c r="AQ639" s="86">
        <f t="shared" si="236"/>
        <v>0</v>
      </c>
      <c r="AR639" s="86">
        <f t="shared" si="237"/>
        <v>0</v>
      </c>
      <c r="AS639" s="94">
        <f t="shared" si="238"/>
        <v>0</v>
      </c>
      <c r="AT639" s="94">
        <f t="shared" si="239"/>
        <v>1.0373603328969108E-2</v>
      </c>
      <c r="AU639" s="94">
        <f t="shared" si="221"/>
        <v>9.4362237393976357E-3</v>
      </c>
      <c r="AV639" s="94">
        <f t="shared" si="222"/>
        <v>7.4763926550612037E-2</v>
      </c>
    </row>
    <row r="640" spans="1:48" x14ac:dyDescent="0.3">
      <c r="A640" s="85" t="str">
        <f>_xlfn.XLOOKUP(B640,'Country codes &amp; Data sources'!G:G,'Country codes &amp; Data sources'!H:H,,0)</f>
        <v>Rwanda</v>
      </c>
      <c r="B640" s="85" t="s">
        <v>183</v>
      </c>
      <c r="C640" s="86">
        <v>10840350</v>
      </c>
      <c r="D640" s="85" t="s">
        <v>208</v>
      </c>
      <c r="E640" s="87">
        <v>0</v>
      </c>
      <c r="F640" s="88">
        <v>11101349.499999996</v>
      </c>
      <c r="G640" s="87">
        <v>0</v>
      </c>
      <c r="I640" s="87">
        <v>0</v>
      </c>
      <c r="K640" s="87">
        <v>0</v>
      </c>
      <c r="M640" s="87">
        <v>0</v>
      </c>
      <c r="O640" s="87">
        <v>0</v>
      </c>
      <c r="P640" s="88">
        <v>12531807.499999998</v>
      </c>
      <c r="Q640" s="87">
        <v>0</v>
      </c>
      <c r="R640" s="87">
        <f t="shared" si="224"/>
        <v>0</v>
      </c>
      <c r="T640" s="87">
        <v>0</v>
      </c>
      <c r="V640" s="87">
        <v>0</v>
      </c>
      <c r="X640" s="87">
        <v>0</v>
      </c>
      <c r="Y640" s="88">
        <v>13776697.499999994</v>
      </c>
      <c r="Z640" s="87">
        <v>0</v>
      </c>
      <c r="AA640" s="87">
        <v>0</v>
      </c>
      <c r="AB640" s="89">
        <f t="shared" si="225"/>
        <v>0</v>
      </c>
      <c r="AC640" s="89">
        <f t="shared" si="226"/>
        <v>0</v>
      </c>
      <c r="AD640" s="89">
        <f t="shared" si="227"/>
        <v>0</v>
      </c>
      <c r="AF640" s="90" t="str">
        <f t="shared" si="228"/>
        <v/>
      </c>
      <c r="AH640" s="90" t="str">
        <f t="shared" si="230"/>
        <v/>
      </c>
      <c r="AI640" s="90">
        <f t="shared" si="231"/>
        <v>0</v>
      </c>
      <c r="AJ640" s="90" t="str">
        <f t="shared" si="232"/>
        <v/>
      </c>
      <c r="AK640" s="90" t="str">
        <f t="shared" si="233"/>
        <v/>
      </c>
      <c r="AL640" s="91"/>
      <c r="AM640" s="91">
        <f t="shared" si="234"/>
        <v>0</v>
      </c>
      <c r="AN640" s="92" t="str">
        <f t="shared" si="235"/>
        <v>No change</v>
      </c>
      <c r="AO640" s="93">
        <f>VLOOKUP(B640,'Growthrates source'!A$2:H$49,8,FALSE)</f>
        <v>-1.4357349923836749E-2</v>
      </c>
      <c r="AP640" s="93">
        <f>VLOOKUP(B640,'Growthrates source'!A$2:I$49,9,FALSE)</f>
        <v>0.17354491154631502</v>
      </c>
      <c r="AQ640" s="86">
        <f t="shared" si="236"/>
        <v>0</v>
      </c>
      <c r="AR640" s="86">
        <f t="shared" si="237"/>
        <v>0</v>
      </c>
      <c r="AS640" s="94">
        <f t="shared" si="238"/>
        <v>0</v>
      </c>
      <c r="AT640" s="94">
        <f t="shared" si="239"/>
        <v>0</v>
      </c>
      <c r="AU640" s="94">
        <f t="shared" si="221"/>
        <v>0</v>
      </c>
      <c r="AV640" s="94">
        <f t="shared" si="222"/>
        <v>0</v>
      </c>
    </row>
    <row r="641" spans="1:48" x14ac:dyDescent="0.3">
      <c r="A641" s="85" t="str">
        <f>_xlfn.XLOOKUP(B641,'Country codes &amp; Data sources'!G:G,'Country codes &amp; Data sources'!H:H,,0)</f>
        <v>Rwanda</v>
      </c>
      <c r="B641" s="85" t="s">
        <v>183</v>
      </c>
      <c r="C641" s="86">
        <v>10840351</v>
      </c>
      <c r="D641" s="85" t="s">
        <v>209</v>
      </c>
      <c r="E641" s="87">
        <v>0</v>
      </c>
      <c r="F641" s="88">
        <v>11101349.499999996</v>
      </c>
      <c r="G641" s="87">
        <v>0</v>
      </c>
      <c r="I641" s="87">
        <v>0</v>
      </c>
      <c r="K641" s="87">
        <v>0</v>
      </c>
      <c r="M641" s="87">
        <v>0</v>
      </c>
      <c r="O641" s="87">
        <v>0</v>
      </c>
      <c r="P641" s="88">
        <v>12531807.499999998</v>
      </c>
      <c r="Q641" s="87">
        <v>0</v>
      </c>
      <c r="R641" s="87">
        <f t="shared" si="224"/>
        <v>0</v>
      </c>
      <c r="T641" s="87">
        <v>0</v>
      </c>
      <c r="V641" s="87">
        <v>0</v>
      </c>
      <c r="X641" s="87">
        <v>0</v>
      </c>
      <c r="Y641" s="88">
        <v>13776697.499999994</v>
      </c>
      <c r="Z641" s="87">
        <v>0</v>
      </c>
      <c r="AA641" s="87">
        <v>0</v>
      </c>
      <c r="AB641" s="89">
        <f t="shared" si="225"/>
        <v>0</v>
      </c>
      <c r="AC641" s="89">
        <f t="shared" si="226"/>
        <v>0</v>
      </c>
      <c r="AD641" s="89">
        <f t="shared" si="227"/>
        <v>0</v>
      </c>
      <c r="AF641" s="90" t="str">
        <f t="shared" si="228"/>
        <v/>
      </c>
      <c r="AH641" s="90" t="str">
        <f t="shared" si="230"/>
        <v/>
      </c>
      <c r="AI641" s="90">
        <f t="shared" si="231"/>
        <v>0</v>
      </c>
      <c r="AJ641" s="90" t="str">
        <f t="shared" si="232"/>
        <v/>
      </c>
      <c r="AK641" s="90" t="str">
        <f t="shared" si="233"/>
        <v/>
      </c>
      <c r="AL641" s="91"/>
      <c r="AM641" s="91">
        <f t="shared" si="234"/>
        <v>0</v>
      </c>
      <c r="AN641" s="92" t="str">
        <f t="shared" si="235"/>
        <v>No change</v>
      </c>
      <c r="AO641" s="93">
        <f>VLOOKUP(B641,'Growthrates source'!A$2:H$49,8,FALSE)</f>
        <v>-1.4357349923836749E-2</v>
      </c>
      <c r="AP641" s="93">
        <f>VLOOKUP(B641,'Growthrates source'!A$2:I$49,9,FALSE)</f>
        <v>0.17354491154631502</v>
      </c>
      <c r="AQ641" s="86">
        <f t="shared" si="236"/>
        <v>0</v>
      </c>
      <c r="AR641" s="86">
        <f t="shared" si="237"/>
        <v>0</v>
      </c>
      <c r="AS641" s="94">
        <f t="shared" si="238"/>
        <v>0</v>
      </c>
      <c r="AT641" s="94">
        <f t="shared" si="239"/>
        <v>0</v>
      </c>
      <c r="AU641" s="94">
        <f t="shared" si="221"/>
        <v>0</v>
      </c>
      <c r="AV641" s="94">
        <f t="shared" si="222"/>
        <v>0</v>
      </c>
    </row>
    <row r="642" spans="1:48" x14ac:dyDescent="0.3">
      <c r="A642" s="85" t="str">
        <f>_xlfn.XLOOKUP(B642,'Country codes &amp; Data sources'!G:G,'Country codes &amp; Data sources'!H:H,,0)</f>
        <v>Rwanda</v>
      </c>
      <c r="B642" s="85" t="s">
        <v>183</v>
      </c>
      <c r="C642" s="86">
        <v>10840352</v>
      </c>
      <c r="D642" s="85" t="s">
        <v>134</v>
      </c>
      <c r="E642" s="87">
        <v>0</v>
      </c>
      <c r="F642" s="88">
        <v>11101349.499999996</v>
      </c>
      <c r="G642" s="87">
        <v>0</v>
      </c>
      <c r="I642" s="87">
        <v>0</v>
      </c>
      <c r="K642" s="87">
        <v>1545</v>
      </c>
      <c r="M642" s="87">
        <v>0</v>
      </c>
      <c r="O642" s="87">
        <v>1990</v>
      </c>
      <c r="P642" s="88">
        <v>12531807.499999998</v>
      </c>
      <c r="Q642" s="87">
        <v>0</v>
      </c>
      <c r="R642" s="87">
        <f t="shared" si="224"/>
        <v>1990</v>
      </c>
      <c r="T642" s="87">
        <v>0</v>
      </c>
      <c r="V642" s="87">
        <v>0</v>
      </c>
      <c r="X642" s="87">
        <v>0</v>
      </c>
      <c r="Y642" s="88">
        <v>13776697.499999994</v>
      </c>
      <c r="Z642" s="87">
        <v>0</v>
      </c>
      <c r="AA642" s="87">
        <v>1990</v>
      </c>
      <c r="AB642" s="89">
        <f t="shared" si="225"/>
        <v>1545</v>
      </c>
      <c r="AC642" s="89">
        <f t="shared" si="226"/>
        <v>1990</v>
      </c>
      <c r="AD642" s="89">
        <f t="shared" si="227"/>
        <v>0</v>
      </c>
      <c r="AE642" s="90">
        <f t="shared" si="240"/>
        <v>1545</v>
      </c>
      <c r="AF642" s="90">
        <f t="shared" si="228"/>
        <v>2015</v>
      </c>
      <c r="AG642" s="90">
        <f t="shared" si="229"/>
        <v>1990</v>
      </c>
      <c r="AH642" s="90">
        <f t="shared" si="230"/>
        <v>2017</v>
      </c>
      <c r="AI642" s="90">
        <f t="shared" si="231"/>
        <v>1990</v>
      </c>
      <c r="AJ642" s="90">
        <f t="shared" si="232"/>
        <v>2017</v>
      </c>
      <c r="AK642" s="90" t="str">
        <f t="shared" si="233"/>
        <v/>
      </c>
      <c r="AL642" s="91">
        <f>IF(AK642="Adjust",(_xlfn.XLOOKUP(A642,'Adj factor'!A:A,'Adj factor'!I:I,,0)*AI642),'Master DataSheet (Rev)'!AI642)</f>
        <v>1990</v>
      </c>
      <c r="AM642" s="91">
        <f t="shared" si="234"/>
        <v>1990</v>
      </c>
      <c r="AN642" s="92" t="str">
        <f t="shared" si="235"/>
        <v>No change</v>
      </c>
      <c r="AO642" s="93">
        <f>VLOOKUP(B642,'Growthrates source'!A$2:H$49,8,FALSE)</f>
        <v>-1.4357349923836749E-2</v>
      </c>
      <c r="AP642" s="93">
        <f>VLOOKUP(B642,'Growthrates source'!A$2:I$49,9,FALSE)</f>
        <v>0.17354491154631502</v>
      </c>
      <c r="AQ642" s="86">
        <f t="shared" si="236"/>
        <v>2138.1081336937877</v>
      </c>
      <c r="AR642" s="86">
        <f t="shared" si="237"/>
        <v>3349.3603033377103</v>
      </c>
      <c r="AS642" s="94">
        <f t="shared" si="238"/>
        <v>1.3917226910115752</v>
      </c>
      <c r="AT642" s="94">
        <f t="shared" si="239"/>
        <v>1.587959278819117</v>
      </c>
      <c r="AU642" s="94">
        <f t="shared" si="221"/>
        <v>1.4444680954924072</v>
      </c>
      <c r="AV642" s="94">
        <f t="shared" si="222"/>
        <v>1.4444680954924072</v>
      </c>
    </row>
    <row r="643" spans="1:48" x14ac:dyDescent="0.3">
      <c r="A643" s="85" t="str">
        <f>_xlfn.XLOOKUP(B643,'Country codes &amp; Data sources'!G:G,'Country codes &amp; Data sources'!H:H,,0)</f>
        <v>Rwanda</v>
      </c>
      <c r="B643" s="85" t="s">
        <v>183</v>
      </c>
      <c r="C643" s="86">
        <v>10840353</v>
      </c>
      <c r="D643" s="85" t="s">
        <v>142</v>
      </c>
      <c r="E643" s="87">
        <v>0</v>
      </c>
      <c r="F643" s="88">
        <v>11101349.499999996</v>
      </c>
      <c r="G643" s="87">
        <v>0</v>
      </c>
      <c r="I643" s="87">
        <v>0</v>
      </c>
      <c r="K643" s="87">
        <v>0</v>
      </c>
      <c r="M643" s="87">
        <v>0</v>
      </c>
      <c r="O643" s="87">
        <v>0</v>
      </c>
      <c r="P643" s="88">
        <v>12531807.499999998</v>
      </c>
      <c r="Q643" s="87">
        <v>0</v>
      </c>
      <c r="R643" s="87">
        <f t="shared" si="224"/>
        <v>0</v>
      </c>
      <c r="T643" s="87">
        <v>0</v>
      </c>
      <c r="V643" s="87">
        <v>0</v>
      </c>
      <c r="X643" s="87">
        <v>0</v>
      </c>
      <c r="Y643" s="88">
        <v>13776697.499999994</v>
      </c>
      <c r="Z643" s="87">
        <v>0</v>
      </c>
      <c r="AA643" s="87">
        <v>0</v>
      </c>
      <c r="AB643" s="89">
        <f t="shared" si="225"/>
        <v>0</v>
      </c>
      <c r="AC643" s="89">
        <f t="shared" si="226"/>
        <v>0</v>
      </c>
      <c r="AD643" s="89">
        <f t="shared" si="227"/>
        <v>0</v>
      </c>
      <c r="AF643" s="90" t="str">
        <f t="shared" si="228"/>
        <v/>
      </c>
      <c r="AH643" s="90" t="str">
        <f t="shared" si="230"/>
        <v/>
      </c>
      <c r="AI643" s="90">
        <f t="shared" si="231"/>
        <v>0</v>
      </c>
      <c r="AJ643" s="90" t="str">
        <f t="shared" si="232"/>
        <v/>
      </c>
      <c r="AK643" s="90" t="str">
        <f t="shared" si="233"/>
        <v/>
      </c>
      <c r="AL643" s="91"/>
      <c r="AM643" s="91">
        <f t="shared" si="234"/>
        <v>0</v>
      </c>
      <c r="AN643" s="92" t="str">
        <f t="shared" si="235"/>
        <v>No change</v>
      </c>
      <c r="AO643" s="93">
        <f>VLOOKUP(B643,'Growthrates source'!A$2:H$49,8,FALSE)</f>
        <v>-1.4357349923836749E-2</v>
      </c>
      <c r="AP643" s="93">
        <f>VLOOKUP(B643,'Growthrates source'!A$2:I$49,9,FALSE)</f>
        <v>0.17354491154631502</v>
      </c>
      <c r="AQ643" s="86">
        <f t="shared" si="236"/>
        <v>0</v>
      </c>
      <c r="AR643" s="86">
        <f t="shared" si="237"/>
        <v>0</v>
      </c>
      <c r="AS643" s="94">
        <f t="shared" si="238"/>
        <v>0</v>
      </c>
      <c r="AT643" s="94">
        <f t="shared" si="239"/>
        <v>0</v>
      </c>
      <c r="AU643" s="94">
        <f t="shared" ref="AU643:AU706" si="241">(AL643*10000)/Y643</f>
        <v>0</v>
      </c>
      <c r="AV643" s="94">
        <f t="shared" ref="AV643:AV706" si="242">(AM643*10000)/Y643</f>
        <v>0</v>
      </c>
    </row>
    <row r="644" spans="1:48" x14ac:dyDescent="0.3">
      <c r="A644" s="85" t="str">
        <f>_xlfn.XLOOKUP(B644,'Country codes &amp; Data sources'!G:G,'Country codes &amp; Data sources'!H:H,,0)</f>
        <v>Rwanda</v>
      </c>
      <c r="B644" s="85" t="s">
        <v>183</v>
      </c>
      <c r="C644" s="86">
        <v>10840354</v>
      </c>
      <c r="D644" s="85" t="s">
        <v>83</v>
      </c>
      <c r="E644" s="87">
        <v>0</v>
      </c>
      <c r="F644" s="88">
        <v>11101349.499999996</v>
      </c>
      <c r="G644" s="87">
        <v>0</v>
      </c>
      <c r="I644" s="87">
        <v>0</v>
      </c>
      <c r="K644" s="87">
        <v>125</v>
      </c>
      <c r="M644" s="87">
        <v>0</v>
      </c>
      <c r="O644" s="87">
        <v>182</v>
      </c>
      <c r="P644" s="88">
        <v>12531807.499999998</v>
      </c>
      <c r="Q644" s="87">
        <v>225</v>
      </c>
      <c r="R644" s="87">
        <f t="shared" si="224"/>
        <v>225</v>
      </c>
      <c r="T644" s="87">
        <v>0</v>
      </c>
      <c r="V644" s="87">
        <v>0</v>
      </c>
      <c r="X644" s="87">
        <v>0</v>
      </c>
      <c r="Y644" s="88">
        <v>13776697.499999994</v>
      </c>
      <c r="Z644" s="87">
        <v>0</v>
      </c>
      <c r="AA644" s="87">
        <v>182</v>
      </c>
      <c r="AB644" s="89">
        <f t="shared" si="225"/>
        <v>125</v>
      </c>
      <c r="AC644" s="89">
        <f t="shared" si="226"/>
        <v>225</v>
      </c>
      <c r="AD644" s="89">
        <f t="shared" si="227"/>
        <v>0</v>
      </c>
      <c r="AE644" s="90">
        <f t="shared" si="240"/>
        <v>125</v>
      </c>
      <c r="AF644" s="90">
        <f t="shared" si="228"/>
        <v>2015</v>
      </c>
      <c r="AG644" s="90">
        <f t="shared" si="229"/>
        <v>225</v>
      </c>
      <c r="AH644" s="90">
        <f t="shared" si="230"/>
        <v>2018</v>
      </c>
      <c r="AI644" s="90">
        <f t="shared" si="231"/>
        <v>225</v>
      </c>
      <c r="AJ644" s="90">
        <f t="shared" si="232"/>
        <v>2018</v>
      </c>
      <c r="AK644" s="90" t="str">
        <f t="shared" si="233"/>
        <v/>
      </c>
      <c r="AL644" s="91">
        <f>IF(AK644="Adjust",(_xlfn.XLOOKUP(A644,'Adj factor'!A:A,'Adj factor'!I:I,,0)*AI644),'Master DataSheet (Rev)'!AI644)</f>
        <v>225</v>
      </c>
      <c r="AM644" s="91">
        <f t="shared" si="234"/>
        <v>225</v>
      </c>
      <c r="AN644" s="92" t="str">
        <f t="shared" si="235"/>
        <v>No change</v>
      </c>
      <c r="AO644" s="93">
        <f>VLOOKUP(B644,'Growthrates source'!A$2:H$49,8,FALSE)</f>
        <v>-1.4357349923836749E-2</v>
      </c>
      <c r="AP644" s="93">
        <f>VLOOKUP(B644,'Growthrates source'!A$2:I$49,9,FALSE)</f>
        <v>0.17354491154631502</v>
      </c>
      <c r="AQ644" s="86">
        <f t="shared" si="236"/>
        <v>195.54556800616552</v>
      </c>
      <c r="AR644" s="86">
        <f t="shared" si="237"/>
        <v>306.32340462686597</v>
      </c>
      <c r="AS644" s="94">
        <f t="shared" si="238"/>
        <v>0.11259892322100123</v>
      </c>
      <c r="AT644" s="94">
        <f t="shared" si="239"/>
        <v>0.17954313453984994</v>
      </c>
      <c r="AU644" s="94">
        <f t="shared" si="241"/>
        <v>0.16331925702803599</v>
      </c>
      <c r="AV644" s="94">
        <f t="shared" si="242"/>
        <v>0.16331925702803599</v>
      </c>
    </row>
    <row r="645" spans="1:48" x14ac:dyDescent="0.3">
      <c r="A645" s="85" t="str">
        <f>_xlfn.XLOOKUP(B645,'Country codes &amp; Data sources'!G:G,'Country codes &amp; Data sources'!H:H,,0)</f>
        <v>Rwanda</v>
      </c>
      <c r="B645" s="85" t="s">
        <v>183</v>
      </c>
      <c r="C645" s="86">
        <v>10840355</v>
      </c>
      <c r="D645" s="85" t="s">
        <v>84</v>
      </c>
      <c r="E645" s="87">
        <v>0</v>
      </c>
      <c r="F645" s="88">
        <v>11101349.499999996</v>
      </c>
      <c r="G645" s="87">
        <v>0</v>
      </c>
      <c r="I645" s="87">
        <v>0</v>
      </c>
      <c r="K645" s="87">
        <v>886</v>
      </c>
      <c r="M645" s="87">
        <v>0</v>
      </c>
      <c r="O645" s="87">
        <v>0</v>
      </c>
      <c r="P645" s="88">
        <v>12531807.499999998</v>
      </c>
      <c r="Q645" s="87">
        <v>0</v>
      </c>
      <c r="R645" s="87">
        <f t="shared" si="224"/>
        <v>0</v>
      </c>
      <c r="T645" s="87">
        <v>0</v>
      </c>
      <c r="V645" s="87">
        <v>0</v>
      </c>
      <c r="X645" s="87">
        <v>0</v>
      </c>
      <c r="Y645" s="88">
        <v>13776697.499999994</v>
      </c>
      <c r="Z645" s="87">
        <v>0</v>
      </c>
      <c r="AA645" s="87">
        <v>0</v>
      </c>
      <c r="AB645" s="89">
        <f t="shared" si="225"/>
        <v>886</v>
      </c>
      <c r="AC645" s="89">
        <f t="shared" si="226"/>
        <v>0</v>
      </c>
      <c r="AD645" s="89">
        <f t="shared" si="227"/>
        <v>0</v>
      </c>
      <c r="AE645" s="90">
        <f t="shared" si="240"/>
        <v>886</v>
      </c>
      <c r="AF645" s="90">
        <f t="shared" si="228"/>
        <v>2015</v>
      </c>
      <c r="AH645" s="90" t="str">
        <f t="shared" si="230"/>
        <v/>
      </c>
      <c r="AI645" s="90">
        <f t="shared" si="231"/>
        <v>0</v>
      </c>
      <c r="AJ645" s="90" t="str">
        <f t="shared" si="232"/>
        <v/>
      </c>
      <c r="AK645" s="90" t="str">
        <f t="shared" si="233"/>
        <v/>
      </c>
      <c r="AL645" s="91"/>
      <c r="AM645" s="91">
        <f t="shared" si="234"/>
        <v>0</v>
      </c>
      <c r="AN645" s="92" t="str">
        <f t="shared" si="235"/>
        <v>No change</v>
      </c>
      <c r="AO645" s="93">
        <f>VLOOKUP(B645,'Growthrates source'!A$2:H$49,8,FALSE)</f>
        <v>-1.4357349923836749E-2</v>
      </c>
      <c r="AP645" s="93">
        <f>VLOOKUP(B645,'Growthrates source'!A$2:I$49,9,FALSE)</f>
        <v>0.17354491154631502</v>
      </c>
      <c r="AQ645" s="86">
        <f t="shared" si="236"/>
        <v>0</v>
      </c>
      <c r="AR645" s="86">
        <f t="shared" si="237"/>
        <v>0</v>
      </c>
      <c r="AS645" s="94">
        <f t="shared" si="238"/>
        <v>0.7981011677904567</v>
      </c>
      <c r="AT645" s="94">
        <f t="shared" si="239"/>
        <v>0</v>
      </c>
      <c r="AU645" s="94">
        <f t="shared" si="241"/>
        <v>0</v>
      </c>
      <c r="AV645" s="94">
        <f t="shared" si="242"/>
        <v>0</v>
      </c>
    </row>
    <row r="646" spans="1:48" x14ac:dyDescent="0.3">
      <c r="A646" s="85" t="str">
        <f>_xlfn.XLOOKUP(B646,'Country codes &amp; Data sources'!G:G,'Country codes &amp; Data sources'!H:H,,0)</f>
        <v>Rwanda</v>
      </c>
      <c r="B646" s="85" t="s">
        <v>183</v>
      </c>
      <c r="C646" s="86">
        <v>10840356</v>
      </c>
      <c r="D646" s="85" t="s">
        <v>126</v>
      </c>
      <c r="E646" s="87">
        <v>0</v>
      </c>
      <c r="F646" s="88">
        <v>11101349.499999996</v>
      </c>
      <c r="G646" s="87">
        <v>0</v>
      </c>
      <c r="I646" s="87">
        <v>0</v>
      </c>
      <c r="K646" s="87">
        <v>0</v>
      </c>
      <c r="M646" s="87">
        <v>0</v>
      </c>
      <c r="O646" s="87">
        <v>0</v>
      </c>
      <c r="P646" s="88">
        <v>12531807.499999998</v>
      </c>
      <c r="Q646" s="87">
        <v>0</v>
      </c>
      <c r="R646" s="87">
        <f t="shared" si="224"/>
        <v>0</v>
      </c>
      <c r="T646" s="87">
        <v>0</v>
      </c>
      <c r="V646" s="87">
        <v>0</v>
      </c>
      <c r="X646" s="87">
        <v>0</v>
      </c>
      <c r="Y646" s="88">
        <v>13776697.499999994</v>
      </c>
      <c r="Z646" s="87">
        <v>0</v>
      </c>
      <c r="AA646" s="87">
        <v>0</v>
      </c>
      <c r="AB646" s="89">
        <f t="shared" si="225"/>
        <v>0</v>
      </c>
      <c r="AC646" s="89">
        <f t="shared" si="226"/>
        <v>0</v>
      </c>
      <c r="AD646" s="89">
        <f t="shared" si="227"/>
        <v>0</v>
      </c>
      <c r="AF646" s="90" t="str">
        <f t="shared" si="228"/>
        <v/>
      </c>
      <c r="AH646" s="90" t="str">
        <f t="shared" si="230"/>
        <v/>
      </c>
      <c r="AI646" s="90">
        <f t="shared" si="231"/>
        <v>0</v>
      </c>
      <c r="AJ646" s="90" t="str">
        <f t="shared" si="232"/>
        <v/>
      </c>
      <c r="AK646" s="90" t="str">
        <f t="shared" si="233"/>
        <v/>
      </c>
      <c r="AL646" s="91"/>
      <c r="AM646" s="60">
        <v>3</v>
      </c>
      <c r="AN646" s="92" t="str">
        <f t="shared" si="235"/>
        <v>No change</v>
      </c>
      <c r="AO646" s="93">
        <f>VLOOKUP(B646,'Growthrates source'!A$2:H$49,8,FALSE)</f>
        <v>-1.4357349923836749E-2</v>
      </c>
      <c r="AP646" s="93">
        <f>VLOOKUP(B646,'Growthrates source'!A$2:I$49,9,FALSE)</f>
        <v>0.17354491154631502</v>
      </c>
      <c r="AQ646" s="86">
        <f t="shared" si="236"/>
        <v>0</v>
      </c>
      <c r="AR646" s="86">
        <f t="shared" si="237"/>
        <v>0</v>
      </c>
      <c r="AS646" s="94">
        <f t="shared" si="238"/>
        <v>0</v>
      </c>
      <c r="AT646" s="94">
        <f t="shared" si="239"/>
        <v>0</v>
      </c>
      <c r="AU646" s="94">
        <f t="shared" si="241"/>
        <v>0</v>
      </c>
      <c r="AV646" s="94">
        <f t="shared" si="242"/>
        <v>2.1775900937071467E-3</v>
      </c>
    </row>
    <row r="647" spans="1:48" x14ac:dyDescent="0.3">
      <c r="A647" s="85" t="str">
        <f>_xlfn.XLOOKUP(B647,'Country codes &amp; Data sources'!G:G,'Country codes &amp; Data sources'!H:H,,0)</f>
        <v>Rwanda</v>
      </c>
      <c r="B647" s="85" t="s">
        <v>183</v>
      </c>
      <c r="C647" s="86">
        <v>10840357</v>
      </c>
      <c r="D647" s="85" t="s">
        <v>87</v>
      </c>
      <c r="E647" s="87">
        <v>0</v>
      </c>
      <c r="F647" s="88">
        <v>11101349.499999996</v>
      </c>
      <c r="G647" s="87">
        <v>0</v>
      </c>
      <c r="I647" s="87">
        <v>0</v>
      </c>
      <c r="K647" s="87">
        <v>0</v>
      </c>
      <c r="M647" s="87">
        <v>0</v>
      </c>
      <c r="O647" s="87">
        <v>0</v>
      </c>
      <c r="P647" s="88">
        <v>12531807.499999998</v>
      </c>
      <c r="Q647" s="87">
        <v>0</v>
      </c>
      <c r="R647" s="87">
        <f t="shared" si="224"/>
        <v>0</v>
      </c>
      <c r="T647" s="87">
        <v>0</v>
      </c>
      <c r="V647" s="87">
        <v>0</v>
      </c>
      <c r="X647" s="87">
        <v>0</v>
      </c>
      <c r="Y647" s="88">
        <v>13776697.499999994</v>
      </c>
      <c r="Z647" s="87">
        <v>0</v>
      </c>
      <c r="AA647" s="87">
        <v>0</v>
      </c>
      <c r="AB647" s="89">
        <f t="shared" si="225"/>
        <v>0</v>
      </c>
      <c r="AC647" s="89">
        <f t="shared" si="226"/>
        <v>0</v>
      </c>
      <c r="AD647" s="89">
        <f t="shared" si="227"/>
        <v>0</v>
      </c>
      <c r="AF647" s="90" t="str">
        <f t="shared" si="228"/>
        <v/>
      </c>
      <c r="AH647" s="90" t="str">
        <f t="shared" si="230"/>
        <v/>
      </c>
      <c r="AI647" s="90">
        <f t="shared" si="231"/>
        <v>0</v>
      </c>
      <c r="AJ647" s="90" t="str">
        <f t="shared" si="232"/>
        <v/>
      </c>
      <c r="AK647" s="90" t="str">
        <f t="shared" si="233"/>
        <v/>
      </c>
      <c r="AL647" s="91"/>
      <c r="AM647" s="91">
        <f t="shared" si="234"/>
        <v>0</v>
      </c>
      <c r="AN647" s="92" t="str">
        <f t="shared" si="235"/>
        <v>No change</v>
      </c>
      <c r="AO647" s="93">
        <f>VLOOKUP(B647,'Growthrates source'!A$2:H$49,8,FALSE)</f>
        <v>-1.4357349923836749E-2</v>
      </c>
      <c r="AP647" s="93">
        <f>VLOOKUP(B647,'Growthrates source'!A$2:I$49,9,FALSE)</f>
        <v>0.17354491154631502</v>
      </c>
      <c r="AQ647" s="86">
        <f t="shared" si="236"/>
        <v>0</v>
      </c>
      <c r="AR647" s="86">
        <f t="shared" si="237"/>
        <v>0</v>
      </c>
      <c r="AS647" s="94">
        <f t="shared" si="238"/>
        <v>0</v>
      </c>
      <c r="AT647" s="94">
        <f t="shared" si="239"/>
        <v>0</v>
      </c>
      <c r="AU647" s="94">
        <f t="shared" si="241"/>
        <v>0</v>
      </c>
      <c r="AV647" s="94">
        <f t="shared" si="242"/>
        <v>0</v>
      </c>
    </row>
    <row r="648" spans="1:48" x14ac:dyDescent="0.3">
      <c r="A648" s="85" t="str">
        <f>_xlfn.XLOOKUP(B648,'Country codes &amp; Data sources'!G:G,'Country codes &amp; Data sources'!H:H,,0)</f>
        <v>Senegal</v>
      </c>
      <c r="B648" s="85" t="s">
        <v>184</v>
      </c>
      <c r="C648" s="86">
        <v>13231838</v>
      </c>
      <c r="D648" s="85" t="s">
        <v>127</v>
      </c>
      <c r="E648" s="87">
        <v>0</v>
      </c>
      <c r="F648" s="88">
        <v>13595565.499999993</v>
      </c>
      <c r="G648" s="87">
        <v>0</v>
      </c>
      <c r="I648" s="87">
        <v>0</v>
      </c>
      <c r="K648" s="87">
        <v>770</v>
      </c>
      <c r="M648" s="87">
        <v>5</v>
      </c>
      <c r="O648" s="87">
        <v>5</v>
      </c>
      <c r="P648" s="88">
        <v>15574908.999999998</v>
      </c>
      <c r="Q648" s="87">
        <v>17417</v>
      </c>
      <c r="R648" s="87">
        <f t="shared" si="224"/>
        <v>17417</v>
      </c>
      <c r="T648" s="87">
        <v>1116</v>
      </c>
      <c r="V648" s="87">
        <v>0</v>
      </c>
      <c r="X648" s="87">
        <v>16443</v>
      </c>
      <c r="Y648" s="88">
        <v>17316449</v>
      </c>
      <c r="Z648" s="87">
        <v>18757</v>
      </c>
      <c r="AA648" s="87">
        <v>17417</v>
      </c>
      <c r="AB648" s="89">
        <f t="shared" si="225"/>
        <v>770</v>
      </c>
      <c r="AC648" s="89">
        <f t="shared" si="226"/>
        <v>17417</v>
      </c>
      <c r="AD648" s="89">
        <f t="shared" si="227"/>
        <v>18757</v>
      </c>
      <c r="AE648" s="90">
        <f t="shared" si="240"/>
        <v>770</v>
      </c>
      <c r="AF648" s="90">
        <f t="shared" si="228"/>
        <v>2015</v>
      </c>
      <c r="AG648" s="90">
        <f t="shared" si="229"/>
        <v>17417</v>
      </c>
      <c r="AH648" s="90">
        <f t="shared" si="230"/>
        <v>2018</v>
      </c>
      <c r="AI648" s="90">
        <f t="shared" si="231"/>
        <v>18757</v>
      </c>
      <c r="AJ648" s="90">
        <f t="shared" si="232"/>
        <v>2022</v>
      </c>
      <c r="AK648" s="90" t="str">
        <f t="shared" si="233"/>
        <v/>
      </c>
      <c r="AL648" s="91">
        <f>IF(AK648="Adjust",(_xlfn.XLOOKUP(A648,'Adj factor'!A:A,'Adj factor'!I:I,,0)*AI648),'Master DataSheet (Rev)'!AI648)</f>
        <v>18757</v>
      </c>
      <c r="AM648" s="91">
        <f t="shared" si="234"/>
        <v>18757</v>
      </c>
      <c r="AN648" s="92" t="str">
        <f t="shared" si="235"/>
        <v>Increasing</v>
      </c>
      <c r="AO648" s="93">
        <f>VLOOKUP(B648,'Growthrates source'!A$2:H$49,8,FALSE)</f>
        <v>2.5918907427795013E-2</v>
      </c>
      <c r="AP648" s="93">
        <f>VLOOKUP(B648,'Growthrates source'!A$2:I$49,9,FALSE)</f>
        <v>7.7050082831477074E-2</v>
      </c>
      <c r="AQ648" s="86">
        <f t="shared" si="236"/>
        <v>15299.990440750918</v>
      </c>
      <c r="AR648" s="86">
        <f t="shared" si="237"/>
        <v>21946.265519138116</v>
      </c>
      <c r="AS648" s="94">
        <f t="shared" si="238"/>
        <v>0.56636114180024388</v>
      </c>
      <c r="AT648" s="94">
        <f t="shared" si="239"/>
        <v>11.182729863782834</v>
      </c>
      <c r="AU648" s="94">
        <f t="shared" si="241"/>
        <v>10.831897463504209</v>
      </c>
      <c r="AV648" s="94">
        <f t="shared" si="242"/>
        <v>10.831897463504209</v>
      </c>
    </row>
    <row r="649" spans="1:48" x14ac:dyDescent="0.3">
      <c r="A649" s="85" t="str">
        <f>_xlfn.XLOOKUP(B649,'Country codes &amp; Data sources'!G:G,'Country codes &amp; Data sources'!H:H,,0)</f>
        <v>Senegal</v>
      </c>
      <c r="B649" s="85" t="s">
        <v>184</v>
      </c>
      <c r="C649" s="86">
        <v>13231839</v>
      </c>
      <c r="D649" s="85" t="s">
        <v>61</v>
      </c>
      <c r="E649" s="87">
        <v>0</v>
      </c>
      <c r="F649" s="88">
        <v>13595565.499999993</v>
      </c>
      <c r="G649" s="87">
        <v>0</v>
      </c>
      <c r="I649" s="87">
        <v>0</v>
      </c>
      <c r="K649" s="87">
        <v>0</v>
      </c>
      <c r="M649" s="87">
        <v>0</v>
      </c>
      <c r="O649" s="87">
        <v>0</v>
      </c>
      <c r="P649" s="88">
        <v>15574908.999999998</v>
      </c>
      <c r="Q649" s="87">
        <v>0</v>
      </c>
      <c r="R649" s="87">
        <f t="shared" si="224"/>
        <v>4</v>
      </c>
      <c r="T649" s="87">
        <v>0</v>
      </c>
      <c r="V649" s="87">
        <v>0</v>
      </c>
      <c r="X649" s="87">
        <v>0</v>
      </c>
      <c r="Y649" s="88">
        <v>17316449</v>
      </c>
      <c r="Z649" s="87">
        <v>0</v>
      </c>
      <c r="AA649" s="87">
        <v>4</v>
      </c>
      <c r="AB649" s="89">
        <f t="shared" si="225"/>
        <v>0</v>
      </c>
      <c r="AC649" s="89">
        <f t="shared" si="226"/>
        <v>0</v>
      </c>
      <c r="AD649" s="89">
        <f t="shared" si="227"/>
        <v>0</v>
      </c>
      <c r="AF649" s="90" t="str">
        <f t="shared" si="228"/>
        <v/>
      </c>
      <c r="AG649" s="90">
        <f t="shared" si="229"/>
        <v>4</v>
      </c>
      <c r="AH649" s="90" t="str">
        <f t="shared" si="230"/>
        <v>2018 (triag)</v>
      </c>
      <c r="AI649" s="90">
        <f t="shared" si="231"/>
        <v>4</v>
      </c>
      <c r="AJ649" s="90" t="str">
        <f t="shared" si="232"/>
        <v>2018 (triag)</v>
      </c>
      <c r="AK649" s="90" t="str">
        <f t="shared" si="233"/>
        <v/>
      </c>
      <c r="AL649" s="91">
        <f>IF(AK649="Adjust",(_xlfn.XLOOKUP(A649,'Adj factor'!A:A,'Adj factor'!I:I,,0)*AI649),'Master DataSheet (Rev)'!AI649)</f>
        <v>4</v>
      </c>
      <c r="AM649" s="91">
        <f t="shared" si="234"/>
        <v>4</v>
      </c>
      <c r="AN649" s="92" t="str">
        <f t="shared" si="235"/>
        <v>No change</v>
      </c>
      <c r="AO649" s="93">
        <f>VLOOKUP(B649,'Growthrates source'!A$2:H$49,8,FALSE)</f>
        <v>2.5918907427795013E-2</v>
      </c>
      <c r="AP649" s="93">
        <f>VLOOKUP(B649,'Growthrates source'!A$2:I$49,9,FALSE)</f>
        <v>7.7050082831477074E-2</v>
      </c>
      <c r="AQ649" s="86">
        <f t="shared" si="236"/>
        <v>3.5138061527819757</v>
      </c>
      <c r="AR649" s="86">
        <f t="shared" si="237"/>
        <v>5.0401941824971273</v>
      </c>
      <c r="AS649" s="94">
        <f t="shared" si="238"/>
        <v>0</v>
      </c>
      <c r="AT649" s="94">
        <f t="shared" si="239"/>
        <v>2.5682333039634456E-3</v>
      </c>
      <c r="AU649" s="94">
        <f t="shared" si="241"/>
        <v>2.3099424137131117E-3</v>
      </c>
      <c r="AV649" s="94">
        <f t="shared" si="242"/>
        <v>2.3099424137131117E-3</v>
      </c>
    </row>
    <row r="650" spans="1:48" s="95" customFormat="1" x14ac:dyDescent="0.3">
      <c r="A650" s="95" t="str">
        <f>_xlfn.XLOOKUP(B650,'Country codes &amp; Data sources'!G:G,'Country codes &amp; Data sources'!H:H,,0)</f>
        <v>Senegal</v>
      </c>
      <c r="B650" s="95" t="s">
        <v>184</v>
      </c>
      <c r="C650" s="60">
        <v>13231840</v>
      </c>
      <c r="D650" s="95" t="s">
        <v>62</v>
      </c>
      <c r="E650" s="96">
        <v>0</v>
      </c>
      <c r="F650" s="97">
        <v>13595565.499999993</v>
      </c>
      <c r="G650" s="96">
        <v>0</v>
      </c>
      <c r="H650" s="96"/>
      <c r="I650" s="96">
        <v>3518</v>
      </c>
      <c r="J650" s="96"/>
      <c r="K650" s="96">
        <v>0</v>
      </c>
      <c r="L650" s="96"/>
      <c r="M650" s="96">
        <v>0</v>
      </c>
      <c r="N650" s="96"/>
      <c r="O650" s="96">
        <v>0</v>
      </c>
      <c r="P650" s="97">
        <v>15574908.999999998</v>
      </c>
      <c r="Q650" s="96">
        <v>1925</v>
      </c>
      <c r="R650" s="96">
        <f t="shared" si="224"/>
        <v>1925</v>
      </c>
      <c r="S650" s="96"/>
      <c r="T650" s="96">
        <v>0</v>
      </c>
      <c r="U650" s="96"/>
      <c r="V650" s="96">
        <v>2494</v>
      </c>
      <c r="W650" s="96"/>
      <c r="X650" s="96">
        <v>0</v>
      </c>
      <c r="Y650" s="97">
        <v>17316449</v>
      </c>
      <c r="Z650" s="96">
        <v>0</v>
      </c>
      <c r="AA650" s="96">
        <v>573</v>
      </c>
      <c r="AB650" s="98">
        <f t="shared" si="225"/>
        <v>3518</v>
      </c>
      <c r="AC650" s="98">
        <f t="shared" si="226"/>
        <v>1925</v>
      </c>
      <c r="AD650" s="98">
        <f t="shared" si="227"/>
        <v>2494</v>
      </c>
      <c r="AE650" s="99">
        <f t="shared" si="240"/>
        <v>3518</v>
      </c>
      <c r="AF650" s="99">
        <f t="shared" si="228"/>
        <v>2014</v>
      </c>
      <c r="AG650" s="99">
        <f t="shared" si="229"/>
        <v>1925</v>
      </c>
      <c r="AH650" s="99">
        <f t="shared" si="230"/>
        <v>2018</v>
      </c>
      <c r="AI650" s="99">
        <f t="shared" si="231"/>
        <v>2494</v>
      </c>
      <c r="AJ650" s="99">
        <f t="shared" si="232"/>
        <v>2020</v>
      </c>
      <c r="AK650" s="99" t="str">
        <f t="shared" si="233"/>
        <v/>
      </c>
      <c r="AL650" s="61">
        <f>IF(AK650="Adjust",(_xlfn.XLOOKUP(A650,'Adj factor'!A:A,'Adj factor'!I:I,,0)*AI650),'Master DataSheet (Rev)'!AI650)</f>
        <v>2494</v>
      </c>
      <c r="AM650" s="61">
        <f t="shared" si="234"/>
        <v>2494</v>
      </c>
      <c r="AN650" s="62" t="str">
        <f t="shared" si="235"/>
        <v>Increasing</v>
      </c>
      <c r="AO650" s="100">
        <f>VLOOKUP(B650,'Growthrates source'!A$2:H$49,8,FALSE)</f>
        <v>2.5918907427795013E-2</v>
      </c>
      <c r="AP650" s="100">
        <f>VLOOKUP(B650,'Growthrates source'!A$2:I$49,9,FALSE)</f>
        <v>7.7050082831477074E-2</v>
      </c>
      <c r="AQ650" s="60">
        <f t="shared" si="236"/>
        <v>503.35273138601804</v>
      </c>
      <c r="AR650" s="60">
        <f t="shared" si="237"/>
        <v>722.00781664271346</v>
      </c>
      <c r="AS650" s="101">
        <f t="shared" si="238"/>
        <v>2.5876084374717636</v>
      </c>
      <c r="AT650" s="102">
        <f t="shared" si="239"/>
        <v>1.2359622775324082</v>
      </c>
      <c r="AU650" s="94">
        <f t="shared" si="241"/>
        <v>1.4402490949501252</v>
      </c>
      <c r="AV650" s="94">
        <f t="shared" si="242"/>
        <v>1.4402490949501252</v>
      </c>
    </row>
    <row r="651" spans="1:48" x14ac:dyDescent="0.3">
      <c r="A651" s="85" t="str">
        <f>_xlfn.XLOOKUP(B651,'Country codes &amp; Data sources'!G:G,'Country codes &amp; Data sources'!H:H,,0)</f>
        <v>Senegal</v>
      </c>
      <c r="B651" s="85" t="s">
        <v>184</v>
      </c>
      <c r="C651" s="86">
        <v>13231841</v>
      </c>
      <c r="D651" s="85" t="s">
        <v>203</v>
      </c>
      <c r="E651" s="87">
        <v>0</v>
      </c>
      <c r="F651" s="88">
        <v>13595565.499999993</v>
      </c>
      <c r="G651" s="87">
        <v>0</v>
      </c>
      <c r="I651" s="87">
        <v>0</v>
      </c>
      <c r="K651" s="87">
        <v>0</v>
      </c>
      <c r="M651" s="87">
        <v>0</v>
      </c>
      <c r="O651" s="87">
        <v>0</v>
      </c>
      <c r="P651" s="88">
        <v>15574908.999999998</v>
      </c>
      <c r="Q651" s="87">
        <v>0</v>
      </c>
      <c r="R651" s="87">
        <f t="shared" si="224"/>
        <v>1670</v>
      </c>
      <c r="T651" s="87">
        <v>15422</v>
      </c>
      <c r="V651" s="87">
        <v>0</v>
      </c>
      <c r="X651" s="87">
        <v>949</v>
      </c>
      <c r="Y651" s="88">
        <v>17316449</v>
      </c>
      <c r="Z651" s="87">
        <v>3378</v>
      </c>
      <c r="AA651" s="87">
        <v>1670</v>
      </c>
      <c r="AB651" s="89">
        <f t="shared" si="225"/>
        <v>0</v>
      </c>
      <c r="AC651" s="89">
        <f t="shared" si="226"/>
        <v>15422</v>
      </c>
      <c r="AD651" s="89">
        <f t="shared" si="227"/>
        <v>3378</v>
      </c>
      <c r="AF651" s="90" t="str">
        <f t="shared" si="228"/>
        <v/>
      </c>
      <c r="AG651" s="90">
        <f t="shared" si="229"/>
        <v>1670</v>
      </c>
      <c r="AH651" s="90" t="str">
        <f t="shared" si="230"/>
        <v>2018 (triag)</v>
      </c>
      <c r="AI651" s="90">
        <f t="shared" si="231"/>
        <v>3378</v>
      </c>
      <c r="AJ651" s="90">
        <f t="shared" si="232"/>
        <v>2022</v>
      </c>
      <c r="AK651" s="90" t="str">
        <f t="shared" si="233"/>
        <v/>
      </c>
      <c r="AL651" s="91">
        <f>IF(AK651="Adjust",(_xlfn.XLOOKUP(A651,'Adj factor'!A:A,'Adj factor'!I:I,,0)*AI651),'Master DataSheet (Rev)'!AI651)</f>
        <v>3378</v>
      </c>
      <c r="AM651" s="91">
        <f t="shared" si="234"/>
        <v>3378</v>
      </c>
      <c r="AN651" s="92" t="str">
        <f t="shared" si="235"/>
        <v>Increasing</v>
      </c>
      <c r="AO651" s="93">
        <f>VLOOKUP(B651,'Growthrates source'!A$2:H$49,8,FALSE)</f>
        <v>2.5918907427795013E-2</v>
      </c>
      <c r="AP651" s="93">
        <f>VLOOKUP(B651,'Growthrates source'!A$2:I$49,9,FALSE)</f>
        <v>7.7050082831477074E-2</v>
      </c>
      <c r="AQ651" s="86">
        <f t="shared" si="236"/>
        <v>1467.0140687864748</v>
      </c>
      <c r="AR651" s="86">
        <f t="shared" si="237"/>
        <v>2104.2810711925508</v>
      </c>
      <c r="AS651" s="94">
        <f t="shared" si="238"/>
        <v>0</v>
      </c>
      <c r="AT651" s="94">
        <f t="shared" si="239"/>
        <v>1.0722374044047385</v>
      </c>
      <c r="AU651" s="94">
        <f t="shared" si="241"/>
        <v>1.9507463683807229</v>
      </c>
      <c r="AV651" s="94">
        <f t="shared" si="242"/>
        <v>1.9507463683807229</v>
      </c>
    </row>
    <row r="652" spans="1:48" x14ac:dyDescent="0.3">
      <c r="A652" s="85" t="str">
        <f>_xlfn.XLOOKUP(B652,'Country codes &amp; Data sources'!G:G,'Country codes &amp; Data sources'!H:H,,0)</f>
        <v>Senegal</v>
      </c>
      <c r="B652" s="85" t="s">
        <v>184</v>
      </c>
      <c r="C652" s="86">
        <v>13231842</v>
      </c>
      <c r="D652" s="85" t="s">
        <v>204</v>
      </c>
      <c r="E652" s="87">
        <v>0</v>
      </c>
      <c r="F652" s="88">
        <v>13595565.499999993</v>
      </c>
      <c r="G652" s="87">
        <v>0</v>
      </c>
      <c r="I652" s="87">
        <v>0</v>
      </c>
      <c r="K652" s="87">
        <v>0</v>
      </c>
      <c r="M652" s="87">
        <v>0</v>
      </c>
      <c r="O652" s="87">
        <v>0</v>
      </c>
      <c r="P652" s="88">
        <v>15574908.999999998</v>
      </c>
      <c r="Q652" s="87">
        <v>0</v>
      </c>
      <c r="R652" s="87">
        <f t="shared" si="224"/>
        <v>135</v>
      </c>
      <c r="T652" s="87">
        <v>686</v>
      </c>
      <c r="V652" s="87">
        <v>27</v>
      </c>
      <c r="X652" s="87">
        <v>188</v>
      </c>
      <c r="Y652" s="88">
        <v>17316449</v>
      </c>
      <c r="Z652" s="87">
        <v>0</v>
      </c>
      <c r="AA652" s="87">
        <v>135</v>
      </c>
      <c r="AB652" s="89">
        <f t="shared" si="225"/>
        <v>0</v>
      </c>
      <c r="AC652" s="89">
        <f t="shared" si="226"/>
        <v>686</v>
      </c>
      <c r="AD652" s="89">
        <f t="shared" si="227"/>
        <v>188</v>
      </c>
      <c r="AF652" s="90" t="str">
        <f t="shared" si="228"/>
        <v/>
      </c>
      <c r="AG652" s="90">
        <f t="shared" si="229"/>
        <v>135</v>
      </c>
      <c r="AH652" s="90" t="str">
        <f t="shared" si="230"/>
        <v>2018 (triag)</v>
      </c>
      <c r="AI652" s="90">
        <f t="shared" si="231"/>
        <v>188</v>
      </c>
      <c r="AJ652" s="90">
        <f t="shared" si="232"/>
        <v>2021</v>
      </c>
      <c r="AK652" s="90" t="str">
        <f t="shared" si="233"/>
        <v/>
      </c>
      <c r="AL652" s="91">
        <f>IF(AK652="Adjust",(_xlfn.XLOOKUP(A652,'Adj factor'!A:A,'Adj factor'!I:I,,0)*AI652),'Master DataSheet (Rev)'!AI652)</f>
        <v>188</v>
      </c>
      <c r="AM652" s="91">
        <f t="shared" si="234"/>
        <v>188</v>
      </c>
      <c r="AN652" s="92" t="str">
        <f t="shared" si="235"/>
        <v>Increasing</v>
      </c>
      <c r="AO652" s="93">
        <f>VLOOKUP(B652,'Growthrates source'!A$2:H$49,8,FALSE)</f>
        <v>2.5918907427795013E-2</v>
      </c>
      <c r="AP652" s="93">
        <f>VLOOKUP(B652,'Growthrates source'!A$2:I$49,9,FALSE)</f>
        <v>7.7050082831477074E-2</v>
      </c>
      <c r="AQ652" s="86">
        <f t="shared" si="236"/>
        <v>118.59095765639168</v>
      </c>
      <c r="AR652" s="86">
        <f t="shared" si="237"/>
        <v>170.10655365927803</v>
      </c>
      <c r="AS652" s="94">
        <f t="shared" si="238"/>
        <v>0</v>
      </c>
      <c r="AT652" s="94">
        <f t="shared" si="239"/>
        <v>8.6677874008766295E-2</v>
      </c>
      <c r="AU652" s="94">
        <f t="shared" si="241"/>
        <v>0.10856729344451625</v>
      </c>
      <c r="AV652" s="94">
        <f t="shared" si="242"/>
        <v>0.10856729344451625</v>
      </c>
    </row>
    <row r="653" spans="1:48" x14ac:dyDescent="0.3">
      <c r="A653" s="85" t="str">
        <f>_xlfn.XLOOKUP(B653,'Country codes &amp; Data sources'!G:G,'Country codes &amp; Data sources'!H:H,,0)</f>
        <v>Senegal</v>
      </c>
      <c r="B653" s="85" t="s">
        <v>184</v>
      </c>
      <c r="C653" s="86">
        <v>13231843</v>
      </c>
      <c r="D653" s="85" t="s">
        <v>205</v>
      </c>
      <c r="E653" s="87">
        <v>0</v>
      </c>
      <c r="F653" s="88">
        <v>13595565.499999993</v>
      </c>
      <c r="G653" s="87">
        <v>0</v>
      </c>
      <c r="I653" s="87">
        <v>0</v>
      </c>
      <c r="K653" s="87">
        <v>0</v>
      </c>
      <c r="M653" s="87">
        <v>57</v>
      </c>
      <c r="O653" s="87">
        <v>0</v>
      </c>
      <c r="P653" s="88">
        <v>15574908.999999998</v>
      </c>
      <c r="Q653" s="87">
        <v>0</v>
      </c>
      <c r="R653" s="87">
        <f t="shared" si="224"/>
        <v>100</v>
      </c>
      <c r="T653" s="87">
        <v>22</v>
      </c>
      <c r="V653" s="87">
        <v>13</v>
      </c>
      <c r="X653" s="87">
        <v>98</v>
      </c>
      <c r="Y653" s="88">
        <v>17316449</v>
      </c>
      <c r="Z653" s="87">
        <v>15</v>
      </c>
      <c r="AA653" s="87">
        <v>100</v>
      </c>
      <c r="AB653" s="89">
        <f t="shared" si="225"/>
        <v>0</v>
      </c>
      <c r="AC653" s="89">
        <f t="shared" si="226"/>
        <v>57</v>
      </c>
      <c r="AD653" s="89">
        <f t="shared" si="227"/>
        <v>98</v>
      </c>
      <c r="AF653" s="90" t="str">
        <f t="shared" si="228"/>
        <v/>
      </c>
      <c r="AG653" s="90">
        <f t="shared" si="229"/>
        <v>100</v>
      </c>
      <c r="AH653" s="90" t="str">
        <f t="shared" si="230"/>
        <v>2018 (triag)</v>
      </c>
      <c r="AI653" s="90">
        <f t="shared" si="231"/>
        <v>15</v>
      </c>
      <c r="AJ653" s="90">
        <f t="shared" si="232"/>
        <v>2022</v>
      </c>
      <c r="AK653" s="90" t="str">
        <f t="shared" si="233"/>
        <v>Adjust</v>
      </c>
      <c r="AL653" s="91">
        <f>IF(AK653="Adjust",(_xlfn.XLOOKUP(A653,'Adj factor'!A:A,'Adj factor'!I:I,,0)*AI653),'Master DataSheet (Rev)'!AI653)</f>
        <v>17.556185826093202</v>
      </c>
      <c r="AM653" s="91">
        <f t="shared" si="234"/>
        <v>100</v>
      </c>
      <c r="AN653" s="92" t="str">
        <f t="shared" si="235"/>
        <v>Decreasing</v>
      </c>
      <c r="AO653" s="93">
        <f>VLOOKUP(B653,'Growthrates source'!A$2:H$49,8,FALSE)</f>
        <v>2.5918907427795013E-2</v>
      </c>
      <c r="AP653" s="93">
        <f>VLOOKUP(B653,'Growthrates source'!A$2:I$49,9,FALSE)</f>
        <v>7.7050082831477074E-2</v>
      </c>
      <c r="AQ653" s="86">
        <f t="shared" si="236"/>
        <v>87.845153819549395</v>
      </c>
      <c r="AR653" s="86">
        <f t="shared" si="237"/>
        <v>126.00485456242818</v>
      </c>
      <c r="AS653" s="94">
        <f t="shared" si="238"/>
        <v>0</v>
      </c>
      <c r="AT653" s="94">
        <f t="shared" si="239"/>
        <v>6.4205832599086146E-2</v>
      </c>
      <c r="AU653" s="94">
        <f t="shared" si="241"/>
        <v>1.0138444565680414E-2</v>
      </c>
      <c r="AV653" s="94">
        <f t="shared" si="242"/>
        <v>5.7748560342827791E-2</v>
      </c>
    </row>
    <row r="654" spans="1:48" x14ac:dyDescent="0.3">
      <c r="A654" s="85" t="str">
        <f>_xlfn.XLOOKUP(B654,'Country codes &amp; Data sources'!G:G,'Country codes &amp; Data sources'!H:H,,0)</f>
        <v>Senegal</v>
      </c>
      <c r="B654" s="85" t="s">
        <v>184</v>
      </c>
      <c r="C654" s="86">
        <v>13231844</v>
      </c>
      <c r="D654" s="85" t="s">
        <v>133</v>
      </c>
      <c r="E654" s="87">
        <v>0</v>
      </c>
      <c r="F654" s="88">
        <v>13595565.499999993</v>
      </c>
      <c r="G654" s="87">
        <v>0</v>
      </c>
      <c r="I654" s="87">
        <v>0</v>
      </c>
      <c r="K654" s="87">
        <v>0</v>
      </c>
      <c r="M654" s="87">
        <v>0</v>
      </c>
      <c r="O654" s="87">
        <v>37</v>
      </c>
      <c r="P654" s="88">
        <v>15574908.999999998</v>
      </c>
      <c r="Q654" s="87">
        <v>328</v>
      </c>
      <c r="R654" s="87">
        <f t="shared" si="224"/>
        <v>1045</v>
      </c>
      <c r="T654" s="87">
        <v>715</v>
      </c>
      <c r="V654" s="87">
        <v>101</v>
      </c>
      <c r="X654" s="87">
        <v>434</v>
      </c>
      <c r="Y654" s="88">
        <v>17316449</v>
      </c>
      <c r="Z654" s="87">
        <v>0</v>
      </c>
      <c r="AA654" s="87">
        <v>1045</v>
      </c>
      <c r="AB654" s="89">
        <f t="shared" si="225"/>
        <v>0</v>
      </c>
      <c r="AC654" s="89">
        <f t="shared" si="226"/>
        <v>715</v>
      </c>
      <c r="AD654" s="89">
        <f t="shared" si="227"/>
        <v>434</v>
      </c>
      <c r="AF654" s="90" t="str">
        <f t="shared" si="228"/>
        <v/>
      </c>
      <c r="AG654" s="90">
        <f t="shared" si="229"/>
        <v>1045</v>
      </c>
      <c r="AH654" s="90" t="str">
        <f t="shared" si="230"/>
        <v>2018 (triag)</v>
      </c>
      <c r="AI654" s="90">
        <f t="shared" si="231"/>
        <v>434</v>
      </c>
      <c r="AJ654" s="90">
        <f t="shared" si="232"/>
        <v>2021</v>
      </c>
      <c r="AK654" s="90" t="str">
        <f t="shared" si="233"/>
        <v>Adjust</v>
      </c>
      <c r="AL654" s="91">
        <f>IF(AK654="Adjust",(_xlfn.XLOOKUP(A654,'Adj factor'!A:A,'Adj factor'!I:I,,0)*AI654),'Master DataSheet (Rev)'!AI654)</f>
        <v>507.95897656829663</v>
      </c>
      <c r="AM654" s="91">
        <f t="shared" si="234"/>
        <v>1045</v>
      </c>
      <c r="AN654" s="92" t="str">
        <f t="shared" si="235"/>
        <v>Decreasing</v>
      </c>
      <c r="AO654" s="93">
        <f>VLOOKUP(B654,'Growthrates source'!A$2:H$49,8,FALSE)</f>
        <v>2.5918907427795013E-2</v>
      </c>
      <c r="AP654" s="93">
        <f>VLOOKUP(B654,'Growthrates source'!A$2:I$49,9,FALSE)</f>
        <v>7.7050082831477074E-2</v>
      </c>
      <c r="AQ654" s="86">
        <f t="shared" si="236"/>
        <v>917.9818574142912</v>
      </c>
      <c r="AR654" s="86">
        <f t="shared" si="237"/>
        <v>1316.7507301773744</v>
      </c>
      <c r="AS654" s="94">
        <f t="shared" si="238"/>
        <v>0</v>
      </c>
      <c r="AT654" s="94">
        <f t="shared" si="239"/>
        <v>0.67095095066045018</v>
      </c>
      <c r="AU654" s="94">
        <f t="shared" si="241"/>
        <v>0.2933389961003533</v>
      </c>
      <c r="AV654" s="94">
        <f t="shared" si="242"/>
        <v>0.60347245558255047</v>
      </c>
    </row>
    <row r="655" spans="1:48" x14ac:dyDescent="0.3">
      <c r="A655" s="85" t="str">
        <f>_xlfn.XLOOKUP(B655,'Country codes &amp; Data sources'!G:G,'Country codes &amp; Data sources'!H:H,,0)</f>
        <v>Senegal</v>
      </c>
      <c r="B655" s="85" t="s">
        <v>184</v>
      </c>
      <c r="C655" s="86">
        <v>13231845</v>
      </c>
      <c r="D655" s="85" t="s">
        <v>206</v>
      </c>
      <c r="E655" s="87">
        <v>0</v>
      </c>
      <c r="F655" s="88">
        <v>13595565.499999993</v>
      </c>
      <c r="G655" s="87">
        <v>0</v>
      </c>
      <c r="I655" s="87">
        <v>0</v>
      </c>
      <c r="K655" s="87">
        <v>0</v>
      </c>
      <c r="M655" s="87">
        <v>0</v>
      </c>
      <c r="O655" s="87">
        <v>0</v>
      </c>
      <c r="P655" s="88">
        <v>15574908.999999998</v>
      </c>
      <c r="Q655" s="87">
        <v>0</v>
      </c>
      <c r="R655" s="87">
        <f t="shared" si="224"/>
        <v>2543</v>
      </c>
      <c r="T655" s="87">
        <v>2112</v>
      </c>
      <c r="V655" s="87">
        <v>1482</v>
      </c>
      <c r="X655" s="87">
        <v>0</v>
      </c>
      <c r="Y655" s="88">
        <v>17316449</v>
      </c>
      <c r="Z655" s="87">
        <v>0</v>
      </c>
      <c r="AA655" s="87">
        <v>2543</v>
      </c>
      <c r="AB655" s="89">
        <f t="shared" si="225"/>
        <v>0</v>
      </c>
      <c r="AC655" s="89">
        <f t="shared" si="226"/>
        <v>2112</v>
      </c>
      <c r="AD655" s="89">
        <f t="shared" si="227"/>
        <v>1482</v>
      </c>
      <c r="AF655" s="90" t="str">
        <f t="shared" si="228"/>
        <v/>
      </c>
      <c r="AG655" s="90">
        <f t="shared" si="229"/>
        <v>2543</v>
      </c>
      <c r="AH655" s="90" t="str">
        <f t="shared" si="230"/>
        <v>2018 (triag)</v>
      </c>
      <c r="AI655" s="90">
        <f t="shared" si="231"/>
        <v>1482</v>
      </c>
      <c r="AJ655" s="90">
        <f t="shared" si="232"/>
        <v>2020</v>
      </c>
      <c r="AK655" s="90" t="str">
        <f t="shared" si="233"/>
        <v>Adjust</v>
      </c>
      <c r="AL655" s="91">
        <f>IF(AK655="Adjust",(_xlfn.XLOOKUP(A655,'Adj factor'!A:A,'Adj factor'!I:I,,0)*AI655),'Master DataSheet (Rev)'!AI655)</f>
        <v>1734.5511596180083</v>
      </c>
      <c r="AM655" s="91">
        <f t="shared" si="234"/>
        <v>2543</v>
      </c>
      <c r="AN655" s="92" t="str">
        <f t="shared" si="235"/>
        <v>Decreasing</v>
      </c>
      <c r="AO655" s="93">
        <f>VLOOKUP(B655,'Growthrates source'!A$2:H$49,8,FALSE)</f>
        <v>2.5918907427795013E-2</v>
      </c>
      <c r="AP655" s="93">
        <f>VLOOKUP(B655,'Growthrates source'!A$2:I$49,9,FALSE)</f>
        <v>7.7050082831477074E-2</v>
      </c>
      <c r="AQ655" s="86">
        <f t="shared" si="236"/>
        <v>2233.9022616311408</v>
      </c>
      <c r="AR655" s="86">
        <f t="shared" si="237"/>
        <v>3204.3034515225486</v>
      </c>
      <c r="AS655" s="94">
        <f t="shared" si="238"/>
        <v>0</v>
      </c>
      <c r="AT655" s="94">
        <f t="shared" si="239"/>
        <v>1.6327543229947605</v>
      </c>
      <c r="AU655" s="94">
        <f t="shared" si="241"/>
        <v>1.0016783230892248</v>
      </c>
      <c r="AV655" s="94">
        <f t="shared" si="242"/>
        <v>1.4685458895181107</v>
      </c>
    </row>
    <row r="656" spans="1:48" x14ac:dyDescent="0.3">
      <c r="A656" s="85" t="str">
        <f>_xlfn.XLOOKUP(B656,'Country codes &amp; Data sources'!G:G,'Country codes &amp; Data sources'!H:H,,0)</f>
        <v>Senegal</v>
      </c>
      <c r="B656" s="85" t="s">
        <v>184</v>
      </c>
      <c r="C656" s="86">
        <v>13231846</v>
      </c>
      <c r="D656" s="85" t="s">
        <v>136</v>
      </c>
      <c r="E656" s="87">
        <v>0</v>
      </c>
      <c r="F656" s="88">
        <v>13595565.499999993</v>
      </c>
      <c r="G656" s="87">
        <v>22</v>
      </c>
      <c r="I656" s="87">
        <v>0</v>
      </c>
      <c r="K656" s="87">
        <v>0</v>
      </c>
      <c r="M656" s="87">
        <v>78</v>
      </c>
      <c r="O656" s="87">
        <v>0</v>
      </c>
      <c r="P656" s="88">
        <v>15574908.999999998</v>
      </c>
      <c r="Q656" s="87">
        <v>0</v>
      </c>
      <c r="R656" s="87">
        <f t="shared" si="224"/>
        <v>542</v>
      </c>
      <c r="T656" s="87">
        <v>124</v>
      </c>
      <c r="V656" s="87">
        <v>121</v>
      </c>
      <c r="X656" s="87">
        <v>123</v>
      </c>
      <c r="Y656" s="88">
        <v>17316449</v>
      </c>
      <c r="Z656" s="87">
        <v>237</v>
      </c>
      <c r="AA656" s="87">
        <v>542</v>
      </c>
      <c r="AB656" s="89">
        <f t="shared" si="225"/>
        <v>22</v>
      </c>
      <c r="AC656" s="89">
        <f t="shared" si="226"/>
        <v>124</v>
      </c>
      <c r="AD656" s="89">
        <f t="shared" si="227"/>
        <v>237</v>
      </c>
      <c r="AE656" s="90">
        <f t="shared" si="240"/>
        <v>22</v>
      </c>
      <c r="AF656" s="90">
        <f t="shared" si="228"/>
        <v>2013</v>
      </c>
      <c r="AG656" s="90">
        <f t="shared" si="229"/>
        <v>542</v>
      </c>
      <c r="AH656" s="90" t="str">
        <f t="shared" si="230"/>
        <v>2018 (triag)</v>
      </c>
      <c r="AI656" s="90">
        <f t="shared" si="231"/>
        <v>237</v>
      </c>
      <c r="AJ656" s="90">
        <f t="shared" si="232"/>
        <v>2022</v>
      </c>
      <c r="AK656" s="90" t="str">
        <f t="shared" si="233"/>
        <v>Adjust</v>
      </c>
      <c r="AL656" s="91">
        <f>IF(AK656="Adjust",(_xlfn.XLOOKUP(A656,'Adj factor'!A:A,'Adj factor'!I:I,,0)*AI656),'Master DataSheet (Rev)'!AI656)</f>
        <v>277.3877360522726</v>
      </c>
      <c r="AM656" s="91">
        <f t="shared" si="234"/>
        <v>542</v>
      </c>
      <c r="AN656" s="92" t="str">
        <f t="shared" si="235"/>
        <v>Decreasing</v>
      </c>
      <c r="AO656" s="93">
        <f>VLOOKUP(B656,'Growthrates source'!A$2:H$49,8,FALSE)</f>
        <v>2.5918907427795013E-2</v>
      </c>
      <c r="AP656" s="93">
        <f>VLOOKUP(B656,'Growthrates source'!A$2:I$49,9,FALSE)</f>
        <v>7.7050082831477074E-2</v>
      </c>
      <c r="AQ656" s="86">
        <f t="shared" si="236"/>
        <v>476.1207337019577</v>
      </c>
      <c r="AR656" s="86">
        <f t="shared" si="237"/>
        <v>682.9463117283608</v>
      </c>
      <c r="AS656" s="94">
        <f t="shared" si="238"/>
        <v>1.6181746908578397E-2</v>
      </c>
      <c r="AT656" s="94">
        <f t="shared" si="239"/>
        <v>0.34799561268704687</v>
      </c>
      <c r="AU656" s="94">
        <f t="shared" si="241"/>
        <v>0.16018742413775053</v>
      </c>
      <c r="AV656" s="94">
        <f t="shared" si="242"/>
        <v>0.31299719705812662</v>
      </c>
    </row>
    <row r="657" spans="1:48" x14ac:dyDescent="0.3">
      <c r="A657" s="85" t="str">
        <f>_xlfn.XLOOKUP(B657,'Country codes &amp; Data sources'!G:G,'Country codes &amp; Data sources'!H:H,,0)</f>
        <v>Senegal</v>
      </c>
      <c r="B657" s="85" t="s">
        <v>184</v>
      </c>
      <c r="C657" s="86">
        <v>13231847</v>
      </c>
      <c r="D657" s="85" t="s">
        <v>207</v>
      </c>
      <c r="E657" s="87">
        <v>0</v>
      </c>
      <c r="F657" s="88">
        <v>13595565.499999993</v>
      </c>
      <c r="G657" s="87">
        <v>0</v>
      </c>
      <c r="I657" s="87">
        <v>0</v>
      </c>
      <c r="K657" s="87">
        <v>0</v>
      </c>
      <c r="M657" s="87">
        <v>0</v>
      </c>
      <c r="O657" s="87">
        <v>0</v>
      </c>
      <c r="P657" s="88">
        <v>15574908.999999998</v>
      </c>
      <c r="Q657" s="87">
        <v>0</v>
      </c>
      <c r="R657" s="87">
        <f t="shared" si="224"/>
        <v>17</v>
      </c>
      <c r="T657" s="87">
        <v>123</v>
      </c>
      <c r="V657" s="87">
        <v>0</v>
      </c>
      <c r="X657" s="87">
        <v>2</v>
      </c>
      <c r="Y657" s="88">
        <v>17316449</v>
      </c>
      <c r="Z657" s="87">
        <v>0</v>
      </c>
      <c r="AA657" s="87">
        <v>17</v>
      </c>
      <c r="AB657" s="89">
        <f t="shared" si="225"/>
        <v>0</v>
      </c>
      <c r="AC657" s="89">
        <f t="shared" si="226"/>
        <v>123</v>
      </c>
      <c r="AD657" s="89">
        <f t="shared" si="227"/>
        <v>2</v>
      </c>
      <c r="AF657" s="90" t="str">
        <f t="shared" si="228"/>
        <v/>
      </c>
      <c r="AG657" s="90">
        <f t="shared" si="229"/>
        <v>17</v>
      </c>
      <c r="AH657" s="90" t="str">
        <f t="shared" si="230"/>
        <v>2018 (triag)</v>
      </c>
      <c r="AI657" s="90">
        <f t="shared" si="231"/>
        <v>2</v>
      </c>
      <c r="AJ657" s="90">
        <f t="shared" si="232"/>
        <v>2021</v>
      </c>
      <c r="AK657" s="90" t="str">
        <f t="shared" si="233"/>
        <v>Adjust</v>
      </c>
      <c r="AL657" s="91">
        <f>IF(AK657="Adjust",(_xlfn.XLOOKUP(A657,'Adj factor'!A:A,'Adj factor'!I:I,,0)*AI657),'Master DataSheet (Rev)'!AI657)</f>
        <v>2.3408247768124268</v>
      </c>
      <c r="AM657" s="91">
        <f t="shared" si="234"/>
        <v>17</v>
      </c>
      <c r="AN657" s="92" t="str">
        <f t="shared" si="235"/>
        <v>Decreasing</v>
      </c>
      <c r="AO657" s="93">
        <f>VLOOKUP(B657,'Growthrates source'!A$2:H$49,8,FALSE)</f>
        <v>2.5918907427795013E-2</v>
      </c>
      <c r="AP657" s="93">
        <f>VLOOKUP(B657,'Growthrates source'!A$2:I$49,9,FALSE)</f>
        <v>7.7050082831477074E-2</v>
      </c>
      <c r="AQ657" s="86">
        <f t="shared" si="236"/>
        <v>14.933676149323396</v>
      </c>
      <c r="AR657" s="86">
        <f t="shared" si="237"/>
        <v>21.420825275612792</v>
      </c>
      <c r="AS657" s="94">
        <f t="shared" si="238"/>
        <v>0</v>
      </c>
      <c r="AT657" s="94">
        <f t="shared" si="239"/>
        <v>1.0914991541844644E-2</v>
      </c>
      <c r="AU657" s="94">
        <f t="shared" si="241"/>
        <v>1.3517926087573883E-3</v>
      </c>
      <c r="AV657" s="94">
        <f t="shared" si="242"/>
        <v>9.8172552582807254E-3</v>
      </c>
    </row>
    <row r="658" spans="1:48" x14ac:dyDescent="0.3">
      <c r="A658" s="85" t="str">
        <f>_xlfn.XLOOKUP(B658,'Country codes &amp; Data sources'!G:G,'Country codes &amp; Data sources'!H:H,,0)</f>
        <v>Senegal</v>
      </c>
      <c r="B658" s="85" t="s">
        <v>184</v>
      </c>
      <c r="C658" s="86">
        <v>13231848</v>
      </c>
      <c r="D658" s="85" t="s">
        <v>141</v>
      </c>
      <c r="E658" s="87">
        <v>0</v>
      </c>
      <c r="F658" s="88">
        <v>13595565.499999993</v>
      </c>
      <c r="G658" s="87">
        <v>0</v>
      </c>
      <c r="I658" s="87">
        <v>0</v>
      </c>
      <c r="K658" s="87">
        <v>0</v>
      </c>
      <c r="M658" s="87">
        <v>0</v>
      </c>
      <c r="O658" s="87">
        <v>0</v>
      </c>
      <c r="P658" s="88">
        <v>15574908.999999998</v>
      </c>
      <c r="Q658" s="87">
        <v>0</v>
      </c>
      <c r="R658" s="87">
        <f t="shared" si="224"/>
        <v>108</v>
      </c>
      <c r="T658" s="87">
        <v>1</v>
      </c>
      <c r="V658" s="87">
        <v>0</v>
      </c>
      <c r="X658" s="87">
        <v>107</v>
      </c>
      <c r="Y658" s="88">
        <v>17316449</v>
      </c>
      <c r="Z658" s="87">
        <v>0</v>
      </c>
      <c r="AA658" s="87">
        <v>108</v>
      </c>
      <c r="AB658" s="89">
        <f t="shared" si="225"/>
        <v>0</v>
      </c>
      <c r="AC658" s="89">
        <f t="shared" si="226"/>
        <v>1</v>
      </c>
      <c r="AD658" s="89">
        <f t="shared" si="227"/>
        <v>107</v>
      </c>
      <c r="AF658" s="90" t="str">
        <f t="shared" si="228"/>
        <v/>
      </c>
      <c r="AG658" s="90">
        <f t="shared" si="229"/>
        <v>108</v>
      </c>
      <c r="AH658" s="90" t="str">
        <f t="shared" si="230"/>
        <v>2018 (triag)</v>
      </c>
      <c r="AI658" s="90">
        <f t="shared" si="231"/>
        <v>107</v>
      </c>
      <c r="AJ658" s="90">
        <f t="shared" si="232"/>
        <v>2021</v>
      </c>
      <c r="AK658" s="90" t="str">
        <f t="shared" si="233"/>
        <v>Adjust</v>
      </c>
      <c r="AL658" s="91">
        <f>IF(AK658="Adjust",(_xlfn.XLOOKUP(A658,'Adj factor'!A:A,'Adj factor'!I:I,,0)*AI658),'Master DataSheet (Rev)'!AI658)</f>
        <v>125.23412555946484</v>
      </c>
      <c r="AM658" s="91">
        <f t="shared" si="234"/>
        <v>125.23412555946484</v>
      </c>
      <c r="AN658" s="92" t="str">
        <f t="shared" si="235"/>
        <v>Increasing</v>
      </c>
      <c r="AO658" s="93">
        <f>VLOOKUP(B658,'Growthrates source'!A$2:H$49,8,FALSE)</f>
        <v>2.5918907427795013E-2</v>
      </c>
      <c r="AP658" s="93">
        <f>VLOOKUP(B658,'Growthrates source'!A$2:I$49,9,FALSE)</f>
        <v>7.7050082831477074E-2</v>
      </c>
      <c r="AQ658" s="86">
        <f t="shared" si="236"/>
        <v>94.872766125113344</v>
      </c>
      <c r="AR658" s="86">
        <f t="shared" si="237"/>
        <v>136.08524292742243</v>
      </c>
      <c r="AS658" s="94">
        <f t="shared" si="238"/>
        <v>0</v>
      </c>
      <c r="AT658" s="94">
        <f t="shared" si="239"/>
        <v>6.9342299207013028E-2</v>
      </c>
      <c r="AU658" s="94">
        <f t="shared" si="241"/>
        <v>7.2320904568520278E-2</v>
      </c>
      <c r="AV658" s="94">
        <f t="shared" si="242"/>
        <v>7.2320904568520278E-2</v>
      </c>
    </row>
    <row r="659" spans="1:48" x14ac:dyDescent="0.3">
      <c r="A659" s="85" t="str">
        <f>_xlfn.XLOOKUP(B659,'Country codes &amp; Data sources'!G:G,'Country codes &amp; Data sources'!H:H,,0)</f>
        <v>Senegal</v>
      </c>
      <c r="B659" s="85" t="s">
        <v>184</v>
      </c>
      <c r="C659" s="86">
        <v>13231849</v>
      </c>
      <c r="D659" s="85" t="s">
        <v>208</v>
      </c>
      <c r="E659" s="87">
        <v>0</v>
      </c>
      <c r="F659" s="88">
        <v>13595565.499999993</v>
      </c>
      <c r="G659" s="87">
        <v>0</v>
      </c>
      <c r="I659" s="87">
        <v>0</v>
      </c>
      <c r="K659" s="87">
        <v>0</v>
      </c>
      <c r="M659" s="87">
        <v>0</v>
      </c>
      <c r="O659" s="87">
        <v>0</v>
      </c>
      <c r="P659" s="88">
        <v>15574908.999999998</v>
      </c>
      <c r="Q659" s="87">
        <v>0</v>
      </c>
      <c r="R659" s="87">
        <f t="shared" si="224"/>
        <v>5868</v>
      </c>
      <c r="T659" s="87">
        <v>3647</v>
      </c>
      <c r="V659" s="87">
        <v>0</v>
      </c>
      <c r="X659" s="87">
        <v>16</v>
      </c>
      <c r="Y659" s="88">
        <v>17316449</v>
      </c>
      <c r="Z659" s="87">
        <v>0</v>
      </c>
      <c r="AA659" s="87">
        <v>5868</v>
      </c>
      <c r="AB659" s="89">
        <f t="shared" si="225"/>
        <v>0</v>
      </c>
      <c r="AC659" s="89">
        <f t="shared" si="226"/>
        <v>3647</v>
      </c>
      <c r="AD659" s="89">
        <f t="shared" si="227"/>
        <v>16</v>
      </c>
      <c r="AF659" s="90" t="str">
        <f t="shared" si="228"/>
        <v/>
      </c>
      <c r="AG659" s="90">
        <f t="shared" si="229"/>
        <v>5868</v>
      </c>
      <c r="AH659" s="90" t="str">
        <f t="shared" si="230"/>
        <v>2018 (triag)</v>
      </c>
      <c r="AI659" s="90">
        <f t="shared" si="231"/>
        <v>16</v>
      </c>
      <c r="AJ659" s="90">
        <f t="shared" si="232"/>
        <v>2021</v>
      </c>
      <c r="AK659" s="90" t="str">
        <f t="shared" si="233"/>
        <v>Adjust</v>
      </c>
      <c r="AL659" s="91">
        <f>IF(AK659="Adjust",(_xlfn.XLOOKUP(A659,'Adj factor'!A:A,'Adj factor'!I:I,,0)*AI659),'Master DataSheet (Rev)'!AI659)</f>
        <v>18.726598214499415</v>
      </c>
      <c r="AM659" s="91">
        <f t="shared" si="234"/>
        <v>5868</v>
      </c>
      <c r="AN659" s="92" t="str">
        <f t="shared" si="235"/>
        <v>Decreasing</v>
      </c>
      <c r="AO659" s="93">
        <f>VLOOKUP(B659,'Growthrates source'!A$2:H$49,8,FALSE)</f>
        <v>2.5918907427795013E-2</v>
      </c>
      <c r="AP659" s="93">
        <f>VLOOKUP(B659,'Growthrates source'!A$2:I$49,9,FALSE)</f>
        <v>7.7050082831477074E-2</v>
      </c>
      <c r="AQ659" s="86">
        <f t="shared" si="236"/>
        <v>5154.7536261311579</v>
      </c>
      <c r="AR659" s="86">
        <f t="shared" si="237"/>
        <v>7393.9648657232856</v>
      </c>
      <c r="AS659" s="94">
        <f t="shared" si="238"/>
        <v>0</v>
      </c>
      <c r="AT659" s="94">
        <f t="shared" si="239"/>
        <v>3.7675982569143747</v>
      </c>
      <c r="AU659" s="94">
        <f t="shared" si="241"/>
        <v>1.0814340870059107E-2</v>
      </c>
      <c r="AV659" s="94">
        <f t="shared" si="242"/>
        <v>3.3886855209171349</v>
      </c>
    </row>
    <row r="660" spans="1:48" x14ac:dyDescent="0.3">
      <c r="A660" s="85" t="str">
        <f>_xlfn.XLOOKUP(B660,'Country codes &amp; Data sources'!G:G,'Country codes &amp; Data sources'!H:H,,0)</f>
        <v>Senegal</v>
      </c>
      <c r="B660" s="85" t="s">
        <v>184</v>
      </c>
      <c r="C660" s="86">
        <v>13231850</v>
      </c>
      <c r="D660" s="85" t="s">
        <v>209</v>
      </c>
      <c r="E660" s="87">
        <v>0</v>
      </c>
      <c r="F660" s="88">
        <v>13595565.499999993</v>
      </c>
      <c r="G660" s="87">
        <v>0</v>
      </c>
      <c r="I660" s="87">
        <v>0</v>
      </c>
      <c r="K660" s="87">
        <v>0</v>
      </c>
      <c r="M660" s="87">
        <v>0</v>
      </c>
      <c r="O660" s="87">
        <v>0</v>
      </c>
      <c r="P660" s="88">
        <v>15574908.999999998</v>
      </c>
      <c r="Q660" s="87">
        <v>0</v>
      </c>
      <c r="R660" s="87">
        <f t="shared" ref="R660:R708" si="243">MAX(Q660,AA660)</f>
        <v>0</v>
      </c>
      <c r="T660" s="87">
        <v>1722</v>
      </c>
      <c r="V660" s="87">
        <v>0</v>
      </c>
      <c r="X660" s="87">
        <v>344</v>
      </c>
      <c r="Y660" s="88">
        <v>17316449</v>
      </c>
      <c r="Z660" s="87">
        <v>0</v>
      </c>
      <c r="AA660" s="87">
        <v>0</v>
      </c>
      <c r="AB660" s="89">
        <f t="shared" ref="AB660:AB708" si="244">MAX(G660,E660,I660,K660)</f>
        <v>0</v>
      </c>
      <c r="AC660" s="89">
        <f t="shared" ref="AC660:AC708" si="245">MAX(M660,O660,Q660,T660)</f>
        <v>1722</v>
      </c>
      <c r="AD660" s="89">
        <f t="shared" ref="AD660:AD708" si="246">MAX(V660,X660,Z660)</f>
        <v>344</v>
      </c>
      <c r="AF660" s="90" t="str">
        <f t="shared" ref="AF660:AF708" si="247">IF(AE660&gt;0,_xlfn.XLOOKUP(AE660,$B660:$K660,$B$1:$K$1,,0),"")</f>
        <v/>
      </c>
      <c r="AG660" s="90">
        <f t="shared" ref="AG660:AG707" si="248">IF(R660&gt;0,R660,IF(O660&gt;0,O660,T660))</f>
        <v>1722</v>
      </c>
      <c r="AH660" s="90">
        <f t="shared" ref="AH660:AH708" si="249">IF(AG660&gt;0,_xlfn.XLOOKUP(AG660,$L660:$T660,$L$1:$T$1,,0),"")</f>
        <v>2019</v>
      </c>
      <c r="AI660" s="90">
        <f t="shared" ref="AI660:AI708" si="250">IF((IF(Z660&gt;0,Z660,IF(X660&gt;0,X660,IF(V660&gt;0,V660,T660))))=0,AG660,IF(Z660&gt;0,Z660,IF(X660&gt;0,X660,IF(V660&gt;0,V660,T660))))</f>
        <v>344</v>
      </c>
      <c r="AJ660" s="90">
        <f t="shared" ref="AJ660:AJ708" si="251">IFERROR(IF(AI660&gt;0,_xlfn.XLOOKUP(AI660,$V660:$Z660,$V$1:$Z$1,,0),""),AH660)</f>
        <v>2021</v>
      </c>
      <c r="AK660" s="90" t="str">
        <f t="shared" ref="AK660:AK708" si="252">IF(AI660&lt;AG660,"Adjust","")</f>
        <v>Adjust</v>
      </c>
      <c r="AL660" s="91">
        <f>IF(AK660="Adjust",(_xlfn.XLOOKUP(A660,'Adj factor'!A:A,'Adj factor'!I:I,,0)*AI660),'Master DataSheet (Rev)'!AI660)</f>
        <v>402.62186161173742</v>
      </c>
      <c r="AM660" s="91">
        <f t="shared" ref="AM660:AM708" si="253">IF(AL660&lt;AG660,AG660,AL660)</f>
        <v>1722</v>
      </c>
      <c r="AN660" s="92" t="str">
        <f t="shared" ref="AN660:AN708" si="254">IF(AL660&gt;AG660,"Increasing",IF(AL660&lt;AG660,"Decreasing","No change"))</f>
        <v>Decreasing</v>
      </c>
      <c r="AO660" s="93">
        <f>VLOOKUP(B660,'Growthrates source'!A$2:H$49,8,FALSE)</f>
        <v>2.5918907427795013E-2</v>
      </c>
      <c r="AP660" s="93">
        <f>VLOOKUP(B660,'Growthrates source'!A$2:I$49,9,FALSE)</f>
        <v>7.7050082831477074E-2</v>
      </c>
      <c r="AQ660" s="86">
        <f t="shared" ref="AQ660:AQ708" si="255">AA660/(EXP(AO660*5))</f>
        <v>0</v>
      </c>
      <c r="AR660" s="86">
        <f t="shared" ref="AR660:AR708" si="256">AA660*EXP(AP660*3)</f>
        <v>0</v>
      </c>
      <c r="AS660" s="94">
        <f t="shared" ref="AS660:AS708" si="257">(AE660*10000)/F660</f>
        <v>0</v>
      </c>
      <c r="AT660" s="94">
        <f t="shared" ref="AT660:AT708" si="258">(AG660*10000)/P660</f>
        <v>1.1056244373562634</v>
      </c>
      <c r="AU660" s="94">
        <f t="shared" si="241"/>
        <v>0.23250832870627078</v>
      </c>
      <c r="AV660" s="94">
        <f t="shared" si="242"/>
        <v>0.99443020910349456</v>
      </c>
    </row>
    <row r="661" spans="1:48" x14ac:dyDescent="0.3">
      <c r="A661" s="85" t="str">
        <f>_xlfn.XLOOKUP(B661,'Country codes &amp; Data sources'!G:G,'Country codes &amp; Data sources'!H:H,,0)</f>
        <v>Senegal</v>
      </c>
      <c r="B661" s="85" t="s">
        <v>184</v>
      </c>
      <c r="C661" s="86">
        <v>13231851</v>
      </c>
      <c r="D661" s="85" t="s">
        <v>134</v>
      </c>
      <c r="E661" s="87">
        <v>0</v>
      </c>
      <c r="F661" s="88">
        <v>13595565.499999993</v>
      </c>
      <c r="G661" s="87">
        <v>546</v>
      </c>
      <c r="I661" s="87">
        <v>0</v>
      </c>
      <c r="K661" s="87">
        <v>0</v>
      </c>
      <c r="M661" s="87">
        <v>37</v>
      </c>
      <c r="O661" s="87">
        <v>0</v>
      </c>
      <c r="P661" s="88">
        <v>15574908.999999998</v>
      </c>
      <c r="Q661" s="87">
        <v>0</v>
      </c>
      <c r="R661" s="87">
        <f t="shared" si="243"/>
        <v>328</v>
      </c>
      <c r="T661" s="87">
        <v>0</v>
      </c>
      <c r="V661" s="87">
        <v>323</v>
      </c>
      <c r="X661" s="87">
        <v>14</v>
      </c>
      <c r="Y661" s="88">
        <v>17316449</v>
      </c>
      <c r="Z661" s="87">
        <v>252</v>
      </c>
      <c r="AA661" s="87">
        <v>328</v>
      </c>
      <c r="AB661" s="89">
        <f t="shared" si="244"/>
        <v>546</v>
      </c>
      <c r="AC661" s="89">
        <f t="shared" si="245"/>
        <v>37</v>
      </c>
      <c r="AD661" s="89">
        <f t="shared" si="246"/>
        <v>323</v>
      </c>
      <c r="AE661" s="90">
        <f t="shared" ref="AE661:AE707" si="259">IF(G661&gt;0,G661,IF(E661&gt;0,E661,IF(I661&gt;0,I661,K661)))</f>
        <v>546</v>
      </c>
      <c r="AF661" s="90">
        <f t="shared" si="247"/>
        <v>2013</v>
      </c>
      <c r="AG661" s="90">
        <f t="shared" si="248"/>
        <v>328</v>
      </c>
      <c r="AH661" s="90" t="str">
        <f t="shared" si="249"/>
        <v>2018 (triag)</v>
      </c>
      <c r="AI661" s="90">
        <f t="shared" si="250"/>
        <v>252</v>
      </c>
      <c r="AJ661" s="90">
        <f t="shared" si="251"/>
        <v>2022</v>
      </c>
      <c r="AK661" s="90" t="str">
        <f t="shared" si="252"/>
        <v>Adjust</v>
      </c>
      <c r="AL661" s="91">
        <f>IF(AK661="Adjust",(_xlfn.XLOOKUP(A661,'Adj factor'!A:A,'Adj factor'!I:I,,0)*AI661),'Master DataSheet (Rev)'!AI661)</f>
        <v>294.94392187836576</v>
      </c>
      <c r="AM661" s="91">
        <f t="shared" si="253"/>
        <v>328</v>
      </c>
      <c r="AN661" s="92" t="str">
        <f t="shared" si="254"/>
        <v>Decreasing</v>
      </c>
      <c r="AO661" s="93">
        <f>VLOOKUP(B661,'Growthrates source'!A$2:H$49,8,FALSE)</f>
        <v>2.5918907427795013E-2</v>
      </c>
      <c r="AP661" s="93">
        <f>VLOOKUP(B661,'Growthrates source'!A$2:I$49,9,FALSE)</f>
        <v>7.7050082831477074E-2</v>
      </c>
      <c r="AQ661" s="86">
        <f t="shared" si="255"/>
        <v>288.132104528122</v>
      </c>
      <c r="AR661" s="86">
        <f t="shared" si="256"/>
        <v>413.29592296476443</v>
      </c>
      <c r="AS661" s="94">
        <f t="shared" si="257"/>
        <v>0.40160153691290024</v>
      </c>
      <c r="AT661" s="94">
        <f t="shared" si="258"/>
        <v>0.21059513092500254</v>
      </c>
      <c r="AU661" s="94">
        <f t="shared" si="241"/>
        <v>0.17032586870343092</v>
      </c>
      <c r="AV661" s="94">
        <f t="shared" si="242"/>
        <v>0.18941527792447516</v>
      </c>
    </row>
    <row r="662" spans="1:48" x14ac:dyDescent="0.3">
      <c r="A662" s="85" t="str">
        <f>_xlfn.XLOOKUP(B662,'Country codes &amp; Data sources'!G:G,'Country codes &amp; Data sources'!H:H,,0)</f>
        <v>Senegal</v>
      </c>
      <c r="B662" s="85" t="s">
        <v>184</v>
      </c>
      <c r="C662" s="86">
        <v>13231852</v>
      </c>
      <c r="D662" s="85" t="s">
        <v>142</v>
      </c>
      <c r="E662" s="87">
        <v>0</v>
      </c>
      <c r="F662" s="88">
        <v>13595565.499999993</v>
      </c>
      <c r="G662" s="87">
        <v>11</v>
      </c>
      <c r="I662" s="87">
        <v>0</v>
      </c>
      <c r="K662" s="87">
        <v>0</v>
      </c>
      <c r="M662" s="87">
        <v>0</v>
      </c>
      <c r="O662" s="87">
        <v>0</v>
      </c>
      <c r="P662" s="88">
        <v>15574908.999999998</v>
      </c>
      <c r="Q662" s="87">
        <v>0</v>
      </c>
      <c r="R662" s="87">
        <f t="shared" si="243"/>
        <v>505</v>
      </c>
      <c r="T662" s="87">
        <v>2352</v>
      </c>
      <c r="V662" s="87">
        <v>662</v>
      </c>
      <c r="X662" s="87">
        <v>917</v>
      </c>
      <c r="Y662" s="88">
        <v>17316449</v>
      </c>
      <c r="Z662" s="87">
        <v>1083</v>
      </c>
      <c r="AA662" s="87">
        <v>505</v>
      </c>
      <c r="AB662" s="89">
        <f t="shared" si="244"/>
        <v>11</v>
      </c>
      <c r="AC662" s="89">
        <f t="shared" si="245"/>
        <v>2352</v>
      </c>
      <c r="AD662" s="89">
        <f t="shared" si="246"/>
        <v>1083</v>
      </c>
      <c r="AE662" s="90">
        <f t="shared" si="259"/>
        <v>11</v>
      </c>
      <c r="AF662" s="90">
        <f t="shared" si="247"/>
        <v>2013</v>
      </c>
      <c r="AG662" s="90">
        <f t="shared" si="248"/>
        <v>505</v>
      </c>
      <c r="AH662" s="90" t="str">
        <f t="shared" si="249"/>
        <v>2018 (triag)</v>
      </c>
      <c r="AI662" s="90">
        <f t="shared" si="250"/>
        <v>1083</v>
      </c>
      <c r="AJ662" s="90">
        <f t="shared" si="251"/>
        <v>2022</v>
      </c>
      <c r="AK662" s="90" t="str">
        <f t="shared" si="252"/>
        <v/>
      </c>
      <c r="AL662" s="91">
        <f>IF(AK662="Adjust",(_xlfn.XLOOKUP(A662,'Adj factor'!A:A,'Adj factor'!I:I,,0)*AI662),'Master DataSheet (Rev)'!AI662)</f>
        <v>1083</v>
      </c>
      <c r="AM662" s="91">
        <f t="shared" si="253"/>
        <v>1083</v>
      </c>
      <c r="AN662" s="92" t="str">
        <f t="shared" si="254"/>
        <v>Increasing</v>
      </c>
      <c r="AO662" s="93">
        <f>VLOOKUP(B662,'Growthrates source'!A$2:H$49,8,FALSE)</f>
        <v>2.5918907427795013E-2</v>
      </c>
      <c r="AP662" s="93">
        <f>VLOOKUP(B662,'Growthrates source'!A$2:I$49,9,FALSE)</f>
        <v>7.7050082831477074E-2</v>
      </c>
      <c r="AQ662" s="86">
        <f t="shared" si="255"/>
        <v>443.61802678872442</v>
      </c>
      <c r="AR662" s="86">
        <f t="shared" si="256"/>
        <v>636.32451554026227</v>
      </c>
      <c r="AS662" s="94">
        <f t="shared" si="257"/>
        <v>8.0908734542891984E-3</v>
      </c>
      <c r="AT662" s="94">
        <f t="shared" si="258"/>
        <v>0.324239454625385</v>
      </c>
      <c r="AU662" s="94">
        <f t="shared" si="241"/>
        <v>0.62541690851282505</v>
      </c>
      <c r="AV662" s="94">
        <f t="shared" si="242"/>
        <v>0.62541690851282505</v>
      </c>
    </row>
    <row r="663" spans="1:48" x14ac:dyDescent="0.3">
      <c r="A663" s="85" t="str">
        <f>_xlfn.XLOOKUP(B663,'Country codes &amp; Data sources'!G:G,'Country codes &amp; Data sources'!H:H,,0)</f>
        <v>Senegal</v>
      </c>
      <c r="B663" s="85" t="s">
        <v>184</v>
      </c>
      <c r="C663" s="86">
        <v>13231853</v>
      </c>
      <c r="D663" s="85" t="s">
        <v>83</v>
      </c>
      <c r="E663" s="87">
        <v>0</v>
      </c>
      <c r="F663" s="88">
        <v>13595565.499999993</v>
      </c>
      <c r="G663" s="87">
        <v>11</v>
      </c>
      <c r="I663" s="87">
        <v>0</v>
      </c>
      <c r="K663" s="87">
        <v>0</v>
      </c>
      <c r="M663" s="87">
        <v>0</v>
      </c>
      <c r="O663" s="87">
        <v>0</v>
      </c>
      <c r="P663" s="88">
        <v>15574908.999999998</v>
      </c>
      <c r="Q663" s="87">
        <v>0</v>
      </c>
      <c r="R663" s="87">
        <f t="shared" si="243"/>
        <v>0</v>
      </c>
      <c r="T663" s="87">
        <v>0</v>
      </c>
      <c r="V663" s="87">
        <v>98</v>
      </c>
      <c r="X663" s="87">
        <v>0</v>
      </c>
      <c r="Y663" s="88">
        <v>17316449</v>
      </c>
      <c r="Z663" s="87">
        <v>94</v>
      </c>
      <c r="AA663" s="87">
        <v>0</v>
      </c>
      <c r="AB663" s="89">
        <f t="shared" si="244"/>
        <v>11</v>
      </c>
      <c r="AC663" s="89">
        <f t="shared" si="245"/>
        <v>0</v>
      </c>
      <c r="AD663" s="89">
        <f t="shared" si="246"/>
        <v>98</v>
      </c>
      <c r="AE663" s="90">
        <f t="shared" si="259"/>
        <v>11</v>
      </c>
      <c r="AF663" s="90">
        <f t="shared" si="247"/>
        <v>2013</v>
      </c>
      <c r="AH663" s="90" t="str">
        <f t="shared" si="249"/>
        <v/>
      </c>
      <c r="AI663" s="90">
        <f t="shared" si="250"/>
        <v>94</v>
      </c>
      <c r="AJ663" s="90">
        <f t="shared" si="251"/>
        <v>2022</v>
      </c>
      <c r="AK663" s="90" t="str">
        <f t="shared" si="252"/>
        <v/>
      </c>
      <c r="AL663" s="91">
        <f>IF(AK663="Adjust",(_xlfn.XLOOKUP(A663,'Adj factor'!A:A,'Adj factor'!I:I,,0)*AI663),'Master DataSheet (Rev)'!AI663)</f>
        <v>94</v>
      </c>
      <c r="AM663" s="91">
        <f t="shared" si="253"/>
        <v>94</v>
      </c>
      <c r="AN663" s="92" t="str">
        <f t="shared" si="254"/>
        <v>Increasing</v>
      </c>
      <c r="AO663" s="93">
        <f>VLOOKUP(B663,'Growthrates source'!A$2:H$49,8,FALSE)</f>
        <v>2.5918907427795013E-2</v>
      </c>
      <c r="AP663" s="93">
        <f>VLOOKUP(B663,'Growthrates source'!A$2:I$49,9,FALSE)</f>
        <v>7.7050082831477074E-2</v>
      </c>
      <c r="AQ663" s="86">
        <f t="shared" si="255"/>
        <v>0</v>
      </c>
      <c r="AR663" s="86">
        <f t="shared" si="256"/>
        <v>0</v>
      </c>
      <c r="AS663" s="94">
        <f t="shared" si="257"/>
        <v>8.0908734542891984E-3</v>
      </c>
      <c r="AT663" s="94">
        <f t="shared" si="258"/>
        <v>0</v>
      </c>
      <c r="AU663" s="94">
        <f t="shared" si="241"/>
        <v>5.4283646722258126E-2</v>
      </c>
      <c r="AV663" s="94">
        <f t="shared" si="242"/>
        <v>5.4283646722258126E-2</v>
      </c>
    </row>
    <row r="664" spans="1:48" x14ac:dyDescent="0.3">
      <c r="A664" s="85" t="str">
        <f>_xlfn.XLOOKUP(B664,'Country codes &amp; Data sources'!G:G,'Country codes &amp; Data sources'!H:H,,0)</f>
        <v>Senegal</v>
      </c>
      <c r="B664" s="85" t="s">
        <v>184</v>
      </c>
      <c r="C664" s="86">
        <v>13231854</v>
      </c>
      <c r="D664" s="85" t="s">
        <v>84</v>
      </c>
      <c r="E664" s="87">
        <v>0</v>
      </c>
      <c r="F664" s="88">
        <v>13595565.499999993</v>
      </c>
      <c r="G664" s="87">
        <v>0</v>
      </c>
      <c r="I664" s="87">
        <v>0</v>
      </c>
      <c r="K664" s="87">
        <v>0</v>
      </c>
      <c r="M664" s="87">
        <v>0</v>
      </c>
      <c r="O664" s="87">
        <v>0</v>
      </c>
      <c r="P664" s="88">
        <v>15574908.999999998</v>
      </c>
      <c r="Q664" s="87">
        <v>0</v>
      </c>
      <c r="R664" s="87">
        <f t="shared" si="243"/>
        <v>0</v>
      </c>
      <c r="T664" s="87">
        <v>402</v>
      </c>
      <c r="V664" s="87">
        <v>491</v>
      </c>
      <c r="X664" s="87">
        <v>173</v>
      </c>
      <c r="Y664" s="88">
        <v>17316449</v>
      </c>
      <c r="Z664" s="87">
        <v>543</v>
      </c>
      <c r="AA664" s="87">
        <v>0</v>
      </c>
      <c r="AB664" s="89">
        <f t="shared" si="244"/>
        <v>0</v>
      </c>
      <c r="AC664" s="89">
        <f t="shared" si="245"/>
        <v>402</v>
      </c>
      <c r="AD664" s="89">
        <f t="shared" si="246"/>
        <v>543</v>
      </c>
      <c r="AF664" s="90" t="str">
        <f t="shared" si="247"/>
        <v/>
      </c>
      <c r="AG664" s="90">
        <f t="shared" si="248"/>
        <v>402</v>
      </c>
      <c r="AH664" s="90">
        <f t="shared" si="249"/>
        <v>2019</v>
      </c>
      <c r="AI664" s="90">
        <f t="shared" si="250"/>
        <v>543</v>
      </c>
      <c r="AJ664" s="90">
        <f t="shared" si="251"/>
        <v>2022</v>
      </c>
      <c r="AK664" s="90" t="str">
        <f t="shared" si="252"/>
        <v/>
      </c>
      <c r="AL664" s="91">
        <f>IF(AK664="Adjust",(_xlfn.XLOOKUP(A664,'Adj factor'!A:A,'Adj factor'!I:I,,0)*AI664),'Master DataSheet (Rev)'!AI664)</f>
        <v>543</v>
      </c>
      <c r="AM664" s="91">
        <f t="shared" si="253"/>
        <v>543</v>
      </c>
      <c r="AN664" s="92" t="str">
        <f t="shared" si="254"/>
        <v>Increasing</v>
      </c>
      <c r="AO664" s="93">
        <f>VLOOKUP(B664,'Growthrates source'!A$2:H$49,8,FALSE)</f>
        <v>2.5918907427795013E-2</v>
      </c>
      <c r="AP664" s="93">
        <f>VLOOKUP(B664,'Growthrates source'!A$2:I$49,9,FALSE)</f>
        <v>7.7050082831477074E-2</v>
      </c>
      <c r="AQ664" s="86">
        <f t="shared" si="255"/>
        <v>0</v>
      </c>
      <c r="AR664" s="86">
        <f t="shared" si="256"/>
        <v>0</v>
      </c>
      <c r="AS664" s="94">
        <f t="shared" si="257"/>
        <v>0</v>
      </c>
      <c r="AT664" s="94">
        <f t="shared" si="258"/>
        <v>0.25810744704832628</v>
      </c>
      <c r="AU664" s="94">
        <f t="shared" si="241"/>
        <v>0.31357468266155492</v>
      </c>
      <c r="AV664" s="94">
        <f t="shared" si="242"/>
        <v>0.31357468266155492</v>
      </c>
    </row>
    <row r="665" spans="1:48" x14ac:dyDescent="0.3">
      <c r="A665" s="85" t="str">
        <f>_xlfn.XLOOKUP(B665,'Country codes &amp; Data sources'!G:G,'Country codes &amp; Data sources'!H:H,,0)</f>
        <v>Senegal</v>
      </c>
      <c r="B665" s="85" t="s">
        <v>184</v>
      </c>
      <c r="C665" s="86">
        <v>13231855</v>
      </c>
      <c r="D665" s="85" t="s">
        <v>126</v>
      </c>
      <c r="E665" s="87">
        <v>0</v>
      </c>
      <c r="F665" s="88">
        <v>13595565.499999993</v>
      </c>
      <c r="G665" s="87">
        <v>0</v>
      </c>
      <c r="I665" s="87">
        <v>0</v>
      </c>
      <c r="K665" s="87">
        <v>0</v>
      </c>
      <c r="M665" s="87">
        <v>0</v>
      </c>
      <c r="O665" s="87">
        <v>0</v>
      </c>
      <c r="P665" s="88">
        <v>15574908.999999998</v>
      </c>
      <c r="Q665" s="87">
        <v>0</v>
      </c>
      <c r="R665" s="87">
        <f t="shared" si="243"/>
        <v>0</v>
      </c>
      <c r="T665" s="87">
        <v>2</v>
      </c>
      <c r="V665" s="87">
        <v>1</v>
      </c>
      <c r="X665" s="87">
        <v>0</v>
      </c>
      <c r="Y665" s="88">
        <v>17316449</v>
      </c>
      <c r="Z665" s="87">
        <v>0</v>
      </c>
      <c r="AA665" s="87">
        <v>0</v>
      </c>
      <c r="AB665" s="89">
        <f t="shared" si="244"/>
        <v>0</v>
      </c>
      <c r="AC665" s="89">
        <f t="shared" si="245"/>
        <v>2</v>
      </c>
      <c r="AD665" s="89">
        <f t="shared" si="246"/>
        <v>1</v>
      </c>
      <c r="AF665" s="90" t="str">
        <f t="shared" si="247"/>
        <v/>
      </c>
      <c r="AG665" s="90">
        <f t="shared" si="248"/>
        <v>2</v>
      </c>
      <c r="AH665" s="90">
        <f t="shared" si="249"/>
        <v>2019</v>
      </c>
      <c r="AI665" s="90">
        <f t="shared" si="250"/>
        <v>1</v>
      </c>
      <c r="AJ665" s="90">
        <f t="shared" si="251"/>
        <v>2020</v>
      </c>
      <c r="AK665" s="90" t="str">
        <f t="shared" si="252"/>
        <v>Adjust</v>
      </c>
      <c r="AL665" s="91">
        <f>IF(AK665="Adjust",(_xlfn.XLOOKUP(A665,'Adj factor'!A:A,'Adj factor'!I:I,,0)*AI665),'Master DataSheet (Rev)'!AI665)</f>
        <v>1.1704123884062134</v>
      </c>
      <c r="AM665" s="91">
        <f t="shared" si="253"/>
        <v>2</v>
      </c>
      <c r="AN665" s="92" t="str">
        <f t="shared" si="254"/>
        <v>Decreasing</v>
      </c>
      <c r="AO665" s="93">
        <f>VLOOKUP(B665,'Growthrates source'!A$2:H$49,8,FALSE)</f>
        <v>2.5918907427795013E-2</v>
      </c>
      <c r="AP665" s="93">
        <f>VLOOKUP(B665,'Growthrates source'!A$2:I$49,9,FALSE)</f>
        <v>7.7050082831477074E-2</v>
      </c>
      <c r="AQ665" s="86">
        <f t="shared" si="255"/>
        <v>0</v>
      </c>
      <c r="AR665" s="86">
        <f t="shared" si="256"/>
        <v>0</v>
      </c>
      <c r="AS665" s="94">
        <f t="shared" si="257"/>
        <v>0</v>
      </c>
      <c r="AT665" s="94">
        <f t="shared" si="258"/>
        <v>1.2841166519817228E-3</v>
      </c>
      <c r="AU665" s="94">
        <f t="shared" si="241"/>
        <v>6.7589630437869417E-4</v>
      </c>
      <c r="AV665" s="94">
        <f t="shared" si="242"/>
        <v>1.1549712068565558E-3</v>
      </c>
    </row>
    <row r="666" spans="1:48" x14ac:dyDescent="0.3">
      <c r="A666" s="85" t="str">
        <f>_xlfn.XLOOKUP(B666,'Country codes &amp; Data sources'!G:G,'Country codes &amp; Data sources'!H:H,,0)</f>
        <v>Senegal</v>
      </c>
      <c r="B666" s="85" t="s">
        <v>184</v>
      </c>
      <c r="C666" s="86">
        <v>13231856</v>
      </c>
      <c r="D666" s="85" t="s">
        <v>87</v>
      </c>
      <c r="E666" s="87">
        <v>0</v>
      </c>
      <c r="F666" s="88">
        <v>13595565.499999993</v>
      </c>
      <c r="G666" s="87">
        <v>54</v>
      </c>
      <c r="I666" s="87">
        <v>0</v>
      </c>
      <c r="K666" s="87">
        <v>0</v>
      </c>
      <c r="M666" s="87">
        <v>0</v>
      </c>
      <c r="O666" s="87">
        <v>0</v>
      </c>
      <c r="P666" s="88">
        <v>15574908.999999998</v>
      </c>
      <c r="Q666" s="87">
        <v>0</v>
      </c>
      <c r="R666" s="87">
        <f t="shared" si="243"/>
        <v>0</v>
      </c>
      <c r="T666" s="87">
        <v>0</v>
      </c>
      <c r="V666" s="87">
        <v>0</v>
      </c>
      <c r="X666" s="87">
        <v>0</v>
      </c>
      <c r="Y666" s="88">
        <v>17316449</v>
      </c>
      <c r="Z666" s="87">
        <v>0</v>
      </c>
      <c r="AA666" s="87">
        <v>0</v>
      </c>
      <c r="AB666" s="89">
        <f t="shared" si="244"/>
        <v>54</v>
      </c>
      <c r="AC666" s="89">
        <f t="shared" si="245"/>
        <v>0</v>
      </c>
      <c r="AD666" s="89">
        <f t="shared" si="246"/>
        <v>0</v>
      </c>
      <c r="AE666" s="90">
        <f t="shared" si="259"/>
        <v>54</v>
      </c>
      <c r="AF666" s="90">
        <f t="shared" si="247"/>
        <v>2013</v>
      </c>
      <c r="AH666" s="90" t="str">
        <f t="shared" si="249"/>
        <v/>
      </c>
      <c r="AI666" s="90">
        <f t="shared" si="250"/>
        <v>0</v>
      </c>
      <c r="AJ666" s="90" t="str">
        <f t="shared" si="251"/>
        <v/>
      </c>
      <c r="AK666" s="90" t="str">
        <f t="shared" si="252"/>
        <v/>
      </c>
      <c r="AL666" s="91"/>
      <c r="AM666" s="91">
        <f t="shared" si="253"/>
        <v>0</v>
      </c>
      <c r="AN666" s="92" t="str">
        <f t="shared" si="254"/>
        <v>No change</v>
      </c>
      <c r="AO666" s="93">
        <f>VLOOKUP(B666,'Growthrates source'!A$2:H$49,8,FALSE)</f>
        <v>2.5918907427795013E-2</v>
      </c>
      <c r="AP666" s="93">
        <f>VLOOKUP(B666,'Growthrates source'!A$2:I$49,9,FALSE)</f>
        <v>7.7050082831477074E-2</v>
      </c>
      <c r="AQ666" s="86">
        <f t="shared" si="255"/>
        <v>0</v>
      </c>
      <c r="AR666" s="86">
        <f t="shared" si="256"/>
        <v>0</v>
      </c>
      <c r="AS666" s="94">
        <f t="shared" si="257"/>
        <v>3.9718833321056066E-2</v>
      </c>
      <c r="AT666" s="94">
        <f t="shared" si="258"/>
        <v>0</v>
      </c>
      <c r="AU666" s="94">
        <f t="shared" si="241"/>
        <v>0</v>
      </c>
      <c r="AV666" s="94">
        <f t="shared" si="242"/>
        <v>0</v>
      </c>
    </row>
    <row r="667" spans="1:48" x14ac:dyDescent="0.3">
      <c r="A667" s="85" t="str">
        <f>_xlfn.XLOOKUP(B667,'Country codes &amp; Data sources'!G:G,'Country codes &amp; Data sources'!H:H,,0)</f>
        <v>Sierra Leone</v>
      </c>
      <c r="B667" s="85" t="s">
        <v>186</v>
      </c>
      <c r="C667" s="86">
        <v>6788592.5</v>
      </c>
      <c r="D667" s="85" t="s">
        <v>127</v>
      </c>
      <c r="E667" s="87">
        <v>0</v>
      </c>
      <c r="F667" s="88">
        <v>6964858.4999999972</v>
      </c>
      <c r="G667" s="87">
        <v>0</v>
      </c>
      <c r="I667" s="87">
        <v>0</v>
      </c>
      <c r="K667" s="87">
        <v>0</v>
      </c>
      <c r="M667" s="87">
        <v>14622</v>
      </c>
      <c r="O667" s="87">
        <v>0</v>
      </c>
      <c r="P667" s="88">
        <v>7861281</v>
      </c>
      <c r="Q667" s="87">
        <v>0</v>
      </c>
      <c r="R667" s="87">
        <f t="shared" si="243"/>
        <v>505</v>
      </c>
      <c r="T667" s="87">
        <v>15000</v>
      </c>
      <c r="V667" s="87">
        <v>13966</v>
      </c>
      <c r="X667" s="87">
        <v>0</v>
      </c>
      <c r="Y667" s="88">
        <v>8605718.0000000056</v>
      </c>
      <c r="Z667" s="87">
        <v>0</v>
      </c>
      <c r="AA667" s="87">
        <v>505</v>
      </c>
      <c r="AB667" s="89">
        <f t="shared" si="244"/>
        <v>0</v>
      </c>
      <c r="AC667" s="89">
        <f t="shared" si="245"/>
        <v>15000</v>
      </c>
      <c r="AD667" s="89">
        <f t="shared" si="246"/>
        <v>13966</v>
      </c>
      <c r="AF667" s="90" t="str">
        <f t="shared" si="247"/>
        <v/>
      </c>
      <c r="AG667" s="90">
        <f t="shared" si="248"/>
        <v>505</v>
      </c>
      <c r="AH667" s="90" t="str">
        <f t="shared" si="249"/>
        <v>2018 (triag)</v>
      </c>
      <c r="AI667" s="90">
        <f t="shared" si="250"/>
        <v>13966</v>
      </c>
      <c r="AJ667" s="90">
        <f t="shared" si="251"/>
        <v>2020</v>
      </c>
      <c r="AK667" s="90" t="str">
        <f t="shared" si="252"/>
        <v/>
      </c>
      <c r="AL667" s="91">
        <f>IF(AK667="Adjust",(_xlfn.XLOOKUP(A667,'Adj factor'!A:A,'Adj factor'!I:I,,0)*AI667),'Master DataSheet (Rev)'!AI667)</f>
        <v>13966</v>
      </c>
      <c r="AM667" s="91">
        <f t="shared" si="253"/>
        <v>13966</v>
      </c>
      <c r="AN667" s="92" t="str">
        <f t="shared" si="254"/>
        <v>Increasing</v>
      </c>
      <c r="AO667" s="93">
        <f>VLOOKUP(B667,'Growthrates source'!A$2:H$49,8,FALSE)</f>
        <v>-0.11784850836422744</v>
      </c>
      <c r="AP667" s="93">
        <f>VLOOKUP(B667,'Growthrates source'!A$2:I$49,9,FALSE)</f>
        <v>0.29117585098474064</v>
      </c>
      <c r="AQ667" s="86">
        <f t="shared" si="255"/>
        <v>910.32435593508387</v>
      </c>
      <c r="AR667" s="86">
        <f t="shared" si="256"/>
        <v>1209.6495665580298</v>
      </c>
      <c r="AS667" s="94">
        <f t="shared" si="257"/>
        <v>0</v>
      </c>
      <c r="AT667" s="94">
        <f t="shared" si="258"/>
        <v>0.64238894399017155</v>
      </c>
      <c r="AU667" s="94">
        <f t="shared" si="241"/>
        <v>16.228744655588287</v>
      </c>
      <c r="AV667" s="94">
        <f t="shared" si="242"/>
        <v>16.228744655588287</v>
      </c>
    </row>
    <row r="668" spans="1:48" x14ac:dyDescent="0.3">
      <c r="A668" s="85" t="str">
        <f>_xlfn.XLOOKUP(B668,'Country codes &amp; Data sources'!G:G,'Country codes &amp; Data sources'!H:H,,0)</f>
        <v>Sierra Leone</v>
      </c>
      <c r="B668" s="85" t="s">
        <v>186</v>
      </c>
      <c r="C668" s="86">
        <v>6788593.5</v>
      </c>
      <c r="D668" s="85" t="s">
        <v>61</v>
      </c>
      <c r="E668" s="87">
        <v>0</v>
      </c>
      <c r="F668" s="88">
        <v>6964858.4999999972</v>
      </c>
      <c r="G668" s="87">
        <v>0</v>
      </c>
      <c r="I668" s="87">
        <v>0</v>
      </c>
      <c r="K668" s="87">
        <v>0</v>
      </c>
      <c r="M668" s="87">
        <v>0</v>
      </c>
      <c r="O668" s="87">
        <v>0</v>
      </c>
      <c r="P668" s="88">
        <v>7861281</v>
      </c>
      <c r="Q668" s="87">
        <v>0</v>
      </c>
      <c r="R668" s="87">
        <f t="shared" si="243"/>
        <v>103</v>
      </c>
      <c r="T668" s="87">
        <v>0</v>
      </c>
      <c r="V668" s="87">
        <v>0</v>
      </c>
      <c r="X668" s="87">
        <v>120</v>
      </c>
      <c r="Y668" s="88">
        <v>8605718.0000000056</v>
      </c>
      <c r="Z668" s="118">
        <v>120</v>
      </c>
      <c r="AA668" s="87">
        <v>103</v>
      </c>
      <c r="AB668" s="89">
        <f t="shared" si="244"/>
        <v>0</v>
      </c>
      <c r="AC668" s="89">
        <f t="shared" si="245"/>
        <v>0</v>
      </c>
      <c r="AD668" s="89">
        <f t="shared" si="246"/>
        <v>120</v>
      </c>
      <c r="AF668" s="90" t="str">
        <f t="shared" si="247"/>
        <v/>
      </c>
      <c r="AG668" s="90">
        <f t="shared" si="248"/>
        <v>103</v>
      </c>
      <c r="AH668" s="90" t="str">
        <f t="shared" si="249"/>
        <v>2018 (triag)</v>
      </c>
      <c r="AI668" s="90">
        <f t="shared" si="250"/>
        <v>120</v>
      </c>
      <c r="AJ668" s="90">
        <f t="shared" si="251"/>
        <v>2021</v>
      </c>
      <c r="AK668" s="90" t="str">
        <f t="shared" si="252"/>
        <v/>
      </c>
      <c r="AL668" s="91">
        <f>IF(AK668="Adjust",(_xlfn.XLOOKUP(A668,'Adj factor'!A:A,'Adj factor'!I:I,,0)*AI668),'Master DataSheet (Rev)'!AI668)</f>
        <v>120</v>
      </c>
      <c r="AM668" s="91">
        <f t="shared" si="253"/>
        <v>120</v>
      </c>
      <c r="AN668" s="92" t="str">
        <f t="shared" si="254"/>
        <v>Increasing</v>
      </c>
      <c r="AO668" s="93">
        <f>VLOOKUP(B668,'Growthrates source'!A$2:H$49,8,FALSE)</f>
        <v>-0.11784850836422744</v>
      </c>
      <c r="AP668" s="93">
        <f>VLOOKUP(B668,'Growthrates source'!A$2:I$49,9,FALSE)</f>
        <v>0.29117585098474064</v>
      </c>
      <c r="AQ668" s="86">
        <f t="shared" si="255"/>
        <v>185.67011616101709</v>
      </c>
      <c r="AR668" s="86">
        <f t="shared" si="256"/>
        <v>246.72060466431103</v>
      </c>
      <c r="AS668" s="94">
        <f t="shared" si="257"/>
        <v>0</v>
      </c>
      <c r="AT668" s="94">
        <f t="shared" si="258"/>
        <v>0.13102190342769837</v>
      </c>
      <c r="AU668" s="94">
        <f t="shared" si="241"/>
        <v>0.13944217089149322</v>
      </c>
      <c r="AV668" s="94">
        <f t="shared" si="242"/>
        <v>0.13944217089149322</v>
      </c>
    </row>
    <row r="669" spans="1:48" x14ac:dyDescent="0.3">
      <c r="A669" s="85" t="str">
        <f>_xlfn.XLOOKUP(B669,'Country codes &amp; Data sources'!G:G,'Country codes &amp; Data sources'!H:H,,0)</f>
        <v>Sierra Leone</v>
      </c>
      <c r="B669" s="85" t="s">
        <v>186</v>
      </c>
      <c r="C669" s="86">
        <v>6788594.5</v>
      </c>
      <c r="D669" s="85" t="s">
        <v>62</v>
      </c>
      <c r="E669" s="87">
        <v>0</v>
      </c>
      <c r="F669" s="88">
        <v>6964858.4999999972</v>
      </c>
      <c r="G669" s="87">
        <v>0</v>
      </c>
      <c r="I669" s="87">
        <v>0</v>
      </c>
      <c r="K669" s="87">
        <v>0</v>
      </c>
      <c r="M669" s="87">
        <v>0</v>
      </c>
      <c r="O669" s="87">
        <v>0</v>
      </c>
      <c r="P669" s="88">
        <v>7861281</v>
      </c>
      <c r="Q669" s="87">
        <v>0</v>
      </c>
      <c r="R669" s="87">
        <f t="shared" si="243"/>
        <v>406</v>
      </c>
      <c r="T669" s="87">
        <v>0</v>
      </c>
      <c r="V669" s="87">
        <v>0</v>
      </c>
      <c r="X669" s="87">
        <v>790</v>
      </c>
      <c r="Y669" s="88">
        <v>8605718.0000000056</v>
      </c>
      <c r="Z669" s="87">
        <v>0</v>
      </c>
      <c r="AA669" s="87">
        <v>406</v>
      </c>
      <c r="AB669" s="89">
        <f t="shared" si="244"/>
        <v>0</v>
      </c>
      <c r="AC669" s="89">
        <f t="shared" si="245"/>
        <v>0</v>
      </c>
      <c r="AD669" s="89">
        <f t="shared" si="246"/>
        <v>790</v>
      </c>
      <c r="AF669" s="90" t="str">
        <f t="shared" si="247"/>
        <v/>
      </c>
      <c r="AG669" s="90">
        <f t="shared" si="248"/>
        <v>406</v>
      </c>
      <c r="AH669" s="90" t="str">
        <f t="shared" si="249"/>
        <v>2018 (triag)</v>
      </c>
      <c r="AI669" s="90">
        <f t="shared" si="250"/>
        <v>790</v>
      </c>
      <c r="AJ669" s="90">
        <f t="shared" si="251"/>
        <v>2021</v>
      </c>
      <c r="AK669" s="90" t="str">
        <f t="shared" si="252"/>
        <v/>
      </c>
      <c r="AL669" s="91">
        <f>IF(AK669="Adjust",(_xlfn.XLOOKUP(A669,'Adj factor'!A:A,'Adj factor'!I:I,,0)*AI669),'Master DataSheet (Rev)'!AI669)</f>
        <v>790</v>
      </c>
      <c r="AM669" s="91">
        <f t="shared" si="253"/>
        <v>790</v>
      </c>
      <c r="AN669" s="92" t="str">
        <f t="shared" si="254"/>
        <v>Increasing</v>
      </c>
      <c r="AO669" s="93">
        <f>VLOOKUP(B669,'Growthrates source'!A$2:H$49,8,FALSE)</f>
        <v>-0.11784850836422744</v>
      </c>
      <c r="AP669" s="93">
        <f>VLOOKUP(B669,'Growthrates source'!A$2:I$49,9,FALSE)</f>
        <v>0.29117585098474064</v>
      </c>
      <c r="AQ669" s="86">
        <f t="shared" si="255"/>
        <v>731.86472972206741</v>
      </c>
      <c r="AR669" s="86">
        <f t="shared" si="256"/>
        <v>972.51034459912887</v>
      </c>
      <c r="AS669" s="94">
        <f t="shared" si="257"/>
        <v>0</v>
      </c>
      <c r="AT669" s="94">
        <f t="shared" si="258"/>
        <v>0.51645526982180134</v>
      </c>
      <c r="AU669" s="94">
        <f t="shared" si="241"/>
        <v>0.91799429170233038</v>
      </c>
      <c r="AV669" s="94">
        <f t="shared" si="242"/>
        <v>0.91799429170233038</v>
      </c>
    </row>
    <row r="670" spans="1:48" x14ac:dyDescent="0.3">
      <c r="A670" s="85" t="str">
        <f>_xlfn.XLOOKUP(B670,'Country codes &amp; Data sources'!G:G,'Country codes &amp; Data sources'!H:H,,0)</f>
        <v>Sierra Leone</v>
      </c>
      <c r="B670" s="85" t="s">
        <v>186</v>
      </c>
      <c r="C670" s="86">
        <v>6788595.5</v>
      </c>
      <c r="D670" s="85" t="s">
        <v>203</v>
      </c>
      <c r="E670" s="87">
        <v>0</v>
      </c>
      <c r="F670" s="88">
        <v>6964858.4999999972</v>
      </c>
      <c r="G670" s="87">
        <v>0</v>
      </c>
      <c r="I670" s="87">
        <v>0</v>
      </c>
      <c r="K670" s="87">
        <v>0</v>
      </c>
      <c r="M670" s="87">
        <v>0</v>
      </c>
      <c r="O670" s="87">
        <v>0</v>
      </c>
      <c r="P670" s="88">
        <v>7861281</v>
      </c>
      <c r="Q670" s="87">
        <v>0</v>
      </c>
      <c r="R670" s="87">
        <f t="shared" si="243"/>
        <v>0</v>
      </c>
      <c r="T670" s="87">
        <v>0</v>
      </c>
      <c r="V670" s="87">
        <v>2251</v>
      </c>
      <c r="X670" s="87">
        <v>0</v>
      </c>
      <c r="Y670" s="88">
        <v>8605718.0000000056</v>
      </c>
      <c r="Z670" s="87">
        <v>0</v>
      </c>
      <c r="AA670" s="87">
        <v>0</v>
      </c>
      <c r="AB670" s="89">
        <f t="shared" si="244"/>
        <v>0</v>
      </c>
      <c r="AC670" s="89">
        <f t="shared" si="245"/>
        <v>0</v>
      </c>
      <c r="AD670" s="89">
        <f t="shared" si="246"/>
        <v>2251</v>
      </c>
      <c r="AF670" s="90" t="str">
        <f t="shared" si="247"/>
        <v/>
      </c>
      <c r="AH670" s="90" t="str">
        <f t="shared" si="249"/>
        <v/>
      </c>
      <c r="AI670" s="90">
        <f t="shared" si="250"/>
        <v>2251</v>
      </c>
      <c r="AJ670" s="90">
        <f t="shared" si="251"/>
        <v>2020</v>
      </c>
      <c r="AK670" s="90" t="str">
        <f t="shared" si="252"/>
        <v/>
      </c>
      <c r="AL670" s="91">
        <f>IF(AK670="Adjust",(_xlfn.XLOOKUP(A670,'Adj factor'!A:A,'Adj factor'!I:I,,0)*AI670),'Master DataSheet (Rev)'!AI670)</f>
        <v>2251</v>
      </c>
      <c r="AM670" s="91">
        <f t="shared" si="253"/>
        <v>2251</v>
      </c>
      <c r="AN670" s="92" t="str">
        <f t="shared" si="254"/>
        <v>Increasing</v>
      </c>
      <c r="AO670" s="93">
        <f>VLOOKUP(B670,'Growthrates source'!A$2:H$49,8,FALSE)</f>
        <v>-0.11784850836422744</v>
      </c>
      <c r="AP670" s="93">
        <f>VLOOKUP(B670,'Growthrates source'!A$2:I$49,9,FALSE)</f>
        <v>0.29117585098474064</v>
      </c>
      <c r="AQ670" s="86">
        <f t="shared" si="255"/>
        <v>0</v>
      </c>
      <c r="AR670" s="86">
        <f t="shared" si="256"/>
        <v>0</v>
      </c>
      <c r="AS670" s="94">
        <f t="shared" si="257"/>
        <v>0</v>
      </c>
      <c r="AT670" s="94">
        <f t="shared" si="258"/>
        <v>0</v>
      </c>
      <c r="AU670" s="94">
        <f t="shared" si="241"/>
        <v>2.6157027223062603</v>
      </c>
      <c r="AV670" s="94">
        <f t="shared" si="242"/>
        <v>2.6157027223062603</v>
      </c>
    </row>
    <row r="671" spans="1:48" x14ac:dyDescent="0.3">
      <c r="A671" s="85" t="str">
        <f>_xlfn.XLOOKUP(B671,'Country codes &amp; Data sources'!G:G,'Country codes &amp; Data sources'!H:H,,0)</f>
        <v>Sierra Leone</v>
      </c>
      <c r="B671" s="85" t="s">
        <v>186</v>
      </c>
      <c r="C671" s="86">
        <v>6788596.5</v>
      </c>
      <c r="D671" s="85" t="s">
        <v>204</v>
      </c>
      <c r="E671" s="87">
        <v>0</v>
      </c>
      <c r="F671" s="88">
        <v>6964858.4999999972</v>
      </c>
      <c r="G671" s="87">
        <v>0</v>
      </c>
      <c r="I671" s="87">
        <v>0</v>
      </c>
      <c r="K671" s="87">
        <v>0</v>
      </c>
      <c r="M671" s="87">
        <v>0</v>
      </c>
      <c r="O671" s="87">
        <v>0</v>
      </c>
      <c r="P671" s="88">
        <v>7861281</v>
      </c>
      <c r="Q671" s="87">
        <v>0</v>
      </c>
      <c r="R671" s="87">
        <f t="shared" si="243"/>
        <v>0</v>
      </c>
      <c r="T671" s="87">
        <v>93</v>
      </c>
      <c r="V671" s="87">
        <v>487</v>
      </c>
      <c r="X671" s="87">
        <v>0</v>
      </c>
      <c r="Y671" s="88">
        <v>8605718.0000000056</v>
      </c>
      <c r="Z671" s="87">
        <v>0</v>
      </c>
      <c r="AA671" s="87">
        <v>0</v>
      </c>
      <c r="AB671" s="89">
        <f t="shared" si="244"/>
        <v>0</v>
      </c>
      <c r="AC671" s="89">
        <f t="shared" si="245"/>
        <v>93</v>
      </c>
      <c r="AD671" s="89">
        <f t="shared" si="246"/>
        <v>487</v>
      </c>
      <c r="AF671" s="90" t="str">
        <f t="shared" si="247"/>
        <v/>
      </c>
      <c r="AG671" s="90">
        <f t="shared" si="248"/>
        <v>93</v>
      </c>
      <c r="AH671" s="90">
        <f t="shared" si="249"/>
        <v>2019</v>
      </c>
      <c r="AI671" s="90">
        <f t="shared" si="250"/>
        <v>487</v>
      </c>
      <c r="AJ671" s="90">
        <f t="shared" si="251"/>
        <v>2020</v>
      </c>
      <c r="AK671" s="90" t="str">
        <f t="shared" si="252"/>
        <v/>
      </c>
      <c r="AL671" s="91">
        <f>IF(AK671="Adjust",(_xlfn.XLOOKUP(A671,'Adj factor'!A:A,'Adj factor'!I:I,,0)*AI671),'Master DataSheet (Rev)'!AI671)</f>
        <v>487</v>
      </c>
      <c r="AM671" s="91">
        <f t="shared" si="253"/>
        <v>487</v>
      </c>
      <c r="AN671" s="92" t="str">
        <f t="shared" si="254"/>
        <v>Increasing</v>
      </c>
      <c r="AO671" s="93">
        <f>VLOOKUP(B671,'Growthrates source'!A$2:H$49,8,FALSE)</f>
        <v>-0.11784850836422744</v>
      </c>
      <c r="AP671" s="93">
        <f>VLOOKUP(B671,'Growthrates source'!A$2:I$49,9,FALSE)</f>
        <v>0.29117585098474064</v>
      </c>
      <c r="AQ671" s="86">
        <f t="shared" si="255"/>
        <v>0</v>
      </c>
      <c r="AR671" s="86">
        <f t="shared" si="256"/>
        <v>0</v>
      </c>
      <c r="AS671" s="94">
        <f t="shared" si="257"/>
        <v>0</v>
      </c>
      <c r="AT671" s="94">
        <f t="shared" si="258"/>
        <v>0.11830133027937813</v>
      </c>
      <c r="AU671" s="94">
        <f t="shared" si="241"/>
        <v>0.56590281020130995</v>
      </c>
      <c r="AV671" s="94">
        <f t="shared" si="242"/>
        <v>0.56590281020130995</v>
      </c>
    </row>
    <row r="672" spans="1:48" x14ac:dyDescent="0.3">
      <c r="A672" s="85" t="str">
        <f>_xlfn.XLOOKUP(B672,'Country codes &amp; Data sources'!G:G,'Country codes &amp; Data sources'!H:H,,0)</f>
        <v>Sierra Leone</v>
      </c>
      <c r="B672" s="85" t="s">
        <v>186</v>
      </c>
      <c r="C672" s="86">
        <v>6788597.5</v>
      </c>
      <c r="D672" s="85" t="s">
        <v>205</v>
      </c>
      <c r="E672" s="87">
        <v>0</v>
      </c>
      <c r="F672" s="88">
        <v>6964858.4999999972</v>
      </c>
      <c r="G672" s="87">
        <v>0</v>
      </c>
      <c r="I672" s="87">
        <v>0</v>
      </c>
      <c r="K672" s="87">
        <v>0</v>
      </c>
      <c r="M672" s="87">
        <v>0</v>
      </c>
      <c r="O672" s="87">
        <v>0</v>
      </c>
      <c r="P672" s="88">
        <v>7861281</v>
      </c>
      <c r="Q672" s="87">
        <v>0</v>
      </c>
      <c r="R672" s="87">
        <f t="shared" si="243"/>
        <v>128</v>
      </c>
      <c r="T672" s="87">
        <v>25</v>
      </c>
      <c r="V672" s="87">
        <v>530</v>
      </c>
      <c r="X672" s="87">
        <v>0</v>
      </c>
      <c r="Y672" s="88">
        <v>8605718.0000000056</v>
      </c>
      <c r="Z672" s="87">
        <v>13</v>
      </c>
      <c r="AA672" s="87">
        <v>128</v>
      </c>
      <c r="AB672" s="89">
        <f t="shared" si="244"/>
        <v>0</v>
      </c>
      <c r="AC672" s="89">
        <f t="shared" si="245"/>
        <v>25</v>
      </c>
      <c r="AD672" s="89">
        <f t="shared" si="246"/>
        <v>530</v>
      </c>
      <c r="AF672" s="90" t="str">
        <f t="shared" si="247"/>
        <v/>
      </c>
      <c r="AG672" s="90">
        <f t="shared" si="248"/>
        <v>128</v>
      </c>
      <c r="AH672" s="90" t="str">
        <f t="shared" si="249"/>
        <v>2018 (triag)</v>
      </c>
      <c r="AI672" s="90">
        <f t="shared" si="250"/>
        <v>13</v>
      </c>
      <c r="AJ672" s="90">
        <f t="shared" si="251"/>
        <v>2022</v>
      </c>
      <c r="AK672" s="90" t="str">
        <f t="shared" si="252"/>
        <v>Adjust</v>
      </c>
      <c r="AL672" s="91">
        <f>IF(AK672="Adjust",(_xlfn.XLOOKUP(A672,'Adj factor'!A:A,'Adj factor'!I:I,,0)*AI672),'Master DataSheet (Rev)'!AI672)</f>
        <v>14.940882376165398</v>
      </c>
      <c r="AM672" s="91">
        <f t="shared" si="253"/>
        <v>128</v>
      </c>
      <c r="AN672" s="92" t="str">
        <f t="shared" si="254"/>
        <v>Decreasing</v>
      </c>
      <c r="AO672" s="93">
        <f>VLOOKUP(B672,'Growthrates source'!A$2:H$49,8,FALSE)</f>
        <v>-0.11784850836422744</v>
      </c>
      <c r="AP672" s="93">
        <f>VLOOKUP(B672,'Growthrates source'!A$2:I$49,9,FALSE)</f>
        <v>0.29117585098474064</v>
      </c>
      <c r="AQ672" s="86">
        <f t="shared" si="255"/>
        <v>230.73567833602124</v>
      </c>
      <c r="AR672" s="86">
        <f t="shared" si="256"/>
        <v>306.60424657312439</v>
      </c>
      <c r="AS672" s="94">
        <f t="shared" si="257"/>
        <v>0</v>
      </c>
      <c r="AT672" s="94">
        <f t="shared" si="258"/>
        <v>0.16282333629849893</v>
      </c>
      <c r="AU672" s="94">
        <f t="shared" si="241"/>
        <v>1.7361575613057956E-2</v>
      </c>
      <c r="AV672" s="94">
        <f t="shared" si="242"/>
        <v>0.14873831561759276</v>
      </c>
    </row>
    <row r="673" spans="1:48" ht="14.5" x14ac:dyDescent="0.35">
      <c r="A673" s="85" t="str">
        <f>_xlfn.XLOOKUP(B673,'Country codes &amp; Data sources'!G:G,'Country codes &amp; Data sources'!H:H,,0)</f>
        <v>Sierra Leone</v>
      </c>
      <c r="B673" s="85" t="s">
        <v>186</v>
      </c>
      <c r="C673" s="86">
        <v>6788598.5</v>
      </c>
      <c r="D673" s="85" t="s">
        <v>133</v>
      </c>
      <c r="E673" s="87">
        <v>0</v>
      </c>
      <c r="F673" s="88">
        <v>6964858.4999999972</v>
      </c>
      <c r="G673" s="87">
        <v>0</v>
      </c>
      <c r="I673" s="87">
        <v>0</v>
      </c>
      <c r="K673" s="87">
        <v>0</v>
      </c>
      <c r="M673" s="87">
        <v>0</v>
      </c>
      <c r="O673" s="87">
        <v>0</v>
      </c>
      <c r="P673" s="88">
        <v>7861281</v>
      </c>
      <c r="Q673" s="87">
        <v>311</v>
      </c>
      <c r="R673" s="87">
        <f t="shared" si="243"/>
        <v>311</v>
      </c>
      <c r="T673" s="87">
        <v>0</v>
      </c>
      <c r="V673" s="87">
        <v>114</v>
      </c>
      <c r="X673" s="87">
        <v>0</v>
      </c>
      <c r="Y673" s="88">
        <v>8605718.0000000056</v>
      </c>
      <c r="Z673" s="111">
        <v>20</v>
      </c>
      <c r="AA673" s="87">
        <v>0</v>
      </c>
      <c r="AB673" s="89">
        <f t="shared" si="244"/>
        <v>0</v>
      </c>
      <c r="AC673" s="89">
        <f t="shared" si="245"/>
        <v>311</v>
      </c>
      <c r="AD673" s="89">
        <f t="shared" si="246"/>
        <v>114</v>
      </c>
      <c r="AF673" s="90" t="str">
        <f t="shared" si="247"/>
        <v/>
      </c>
      <c r="AG673" s="90">
        <f t="shared" si="248"/>
        <v>311</v>
      </c>
      <c r="AH673" s="90">
        <f t="shared" si="249"/>
        <v>2018</v>
      </c>
      <c r="AI673" s="90">
        <f t="shared" si="250"/>
        <v>20</v>
      </c>
      <c r="AJ673" s="90">
        <f t="shared" si="251"/>
        <v>2022</v>
      </c>
      <c r="AK673" s="90" t="str">
        <f t="shared" si="252"/>
        <v>Adjust</v>
      </c>
      <c r="AL673" s="91">
        <f>IF(AK673="Adjust",(_xlfn.XLOOKUP(A673,'Adj factor'!A:A,'Adj factor'!I:I,,0)*AI673),'Master DataSheet (Rev)'!AI673)</f>
        <v>22.985972886408305</v>
      </c>
      <c r="AM673" s="91">
        <f t="shared" si="253"/>
        <v>311</v>
      </c>
      <c r="AN673" s="92" t="str">
        <f t="shared" si="254"/>
        <v>Decreasing</v>
      </c>
      <c r="AO673" s="93">
        <f>VLOOKUP(B673,'Growthrates source'!A$2:H$49,8,FALSE)</f>
        <v>-0.11784850836422744</v>
      </c>
      <c r="AP673" s="93">
        <f>VLOOKUP(B673,'Growthrates source'!A$2:I$49,9,FALSE)</f>
        <v>0.29117585098474064</v>
      </c>
      <c r="AQ673" s="86">
        <f t="shared" si="255"/>
        <v>0</v>
      </c>
      <c r="AR673" s="86">
        <f t="shared" si="256"/>
        <v>0</v>
      </c>
      <c r="AS673" s="94">
        <f t="shared" si="257"/>
        <v>0</v>
      </c>
      <c r="AT673" s="94">
        <f t="shared" si="258"/>
        <v>0.39560982491275914</v>
      </c>
      <c r="AU673" s="94">
        <f t="shared" si="241"/>
        <v>2.6710116327781471E-2</v>
      </c>
      <c r="AV673" s="94">
        <f t="shared" si="242"/>
        <v>0.3613876262271199</v>
      </c>
    </row>
    <row r="674" spans="1:48" x14ac:dyDescent="0.3">
      <c r="A674" s="85" t="str">
        <f>_xlfn.XLOOKUP(B674,'Country codes &amp; Data sources'!G:G,'Country codes &amp; Data sources'!H:H,,0)</f>
        <v>Sierra Leone</v>
      </c>
      <c r="B674" s="85" t="s">
        <v>186</v>
      </c>
      <c r="C674" s="86">
        <v>6788599.5</v>
      </c>
      <c r="D674" s="85" t="s">
        <v>206</v>
      </c>
      <c r="E674" s="87">
        <v>0</v>
      </c>
      <c r="F674" s="88">
        <v>6964858.4999999972</v>
      </c>
      <c r="G674" s="87">
        <v>0</v>
      </c>
      <c r="I674" s="87">
        <v>0</v>
      </c>
      <c r="K674" s="87">
        <v>0</v>
      </c>
      <c r="M674" s="87">
        <v>0</v>
      </c>
      <c r="O674" s="87">
        <v>0</v>
      </c>
      <c r="P674" s="88">
        <v>7861281</v>
      </c>
      <c r="Q674" s="87">
        <v>0</v>
      </c>
      <c r="R674" s="87">
        <f t="shared" si="243"/>
        <v>0</v>
      </c>
      <c r="T674" s="87">
        <v>0</v>
      </c>
      <c r="V674" s="87">
        <v>0</v>
      </c>
      <c r="X674" s="87">
        <v>0</v>
      </c>
      <c r="Y674" s="88">
        <v>8605718.0000000056</v>
      </c>
      <c r="Z674" s="87">
        <v>0</v>
      </c>
      <c r="AA674" s="87">
        <v>0</v>
      </c>
      <c r="AB674" s="89">
        <f t="shared" si="244"/>
        <v>0</v>
      </c>
      <c r="AC674" s="89">
        <f t="shared" si="245"/>
        <v>0</v>
      </c>
      <c r="AD674" s="89">
        <f t="shared" si="246"/>
        <v>0</v>
      </c>
      <c r="AF674" s="90" t="str">
        <f t="shared" si="247"/>
        <v/>
      </c>
      <c r="AH674" s="90" t="str">
        <f t="shared" si="249"/>
        <v/>
      </c>
      <c r="AI674" s="90">
        <f t="shared" si="250"/>
        <v>0</v>
      </c>
      <c r="AJ674" s="90" t="str">
        <f t="shared" si="251"/>
        <v/>
      </c>
      <c r="AK674" s="90" t="str">
        <f t="shared" si="252"/>
        <v/>
      </c>
      <c r="AL674" s="91"/>
      <c r="AM674" s="91">
        <f t="shared" si="253"/>
        <v>0</v>
      </c>
      <c r="AN674" s="92" t="str">
        <f t="shared" si="254"/>
        <v>No change</v>
      </c>
      <c r="AO674" s="93">
        <f>VLOOKUP(B674,'Growthrates source'!A$2:H$49,8,FALSE)</f>
        <v>-0.11784850836422744</v>
      </c>
      <c r="AP674" s="93">
        <f>VLOOKUP(B674,'Growthrates source'!A$2:I$49,9,FALSE)</f>
        <v>0.29117585098474064</v>
      </c>
      <c r="AQ674" s="86">
        <f t="shared" si="255"/>
        <v>0</v>
      </c>
      <c r="AR674" s="86">
        <f t="shared" si="256"/>
        <v>0</v>
      </c>
      <c r="AS674" s="94">
        <f t="shared" si="257"/>
        <v>0</v>
      </c>
      <c r="AT674" s="94">
        <f t="shared" si="258"/>
        <v>0</v>
      </c>
      <c r="AU674" s="94">
        <f t="shared" si="241"/>
        <v>0</v>
      </c>
      <c r="AV674" s="94">
        <f t="shared" si="242"/>
        <v>0</v>
      </c>
    </row>
    <row r="675" spans="1:48" x14ac:dyDescent="0.3">
      <c r="A675" s="85" t="str">
        <f>_xlfn.XLOOKUP(B675,'Country codes &amp; Data sources'!G:G,'Country codes &amp; Data sources'!H:H,,0)</f>
        <v>Sierra Leone</v>
      </c>
      <c r="B675" s="85" t="s">
        <v>186</v>
      </c>
      <c r="C675" s="86">
        <v>6788600.5</v>
      </c>
      <c r="D675" s="85" t="s">
        <v>136</v>
      </c>
      <c r="E675" s="87">
        <v>0</v>
      </c>
      <c r="F675" s="88">
        <v>6964858.4999999972</v>
      </c>
      <c r="G675" s="87">
        <v>0</v>
      </c>
      <c r="I675" s="87">
        <v>0</v>
      </c>
      <c r="K675" s="87">
        <v>0</v>
      </c>
      <c r="M675" s="87">
        <v>0</v>
      </c>
      <c r="O675" s="87">
        <v>0</v>
      </c>
      <c r="P675" s="88">
        <v>7861281</v>
      </c>
      <c r="Q675" s="87">
        <v>0</v>
      </c>
      <c r="R675" s="87">
        <f t="shared" si="243"/>
        <v>22</v>
      </c>
      <c r="T675" s="87">
        <v>36</v>
      </c>
      <c r="V675" s="87">
        <v>0</v>
      </c>
      <c r="X675" s="87">
        <v>0</v>
      </c>
      <c r="Y675" s="88">
        <v>8605718.0000000056</v>
      </c>
      <c r="Z675" s="96">
        <v>50</v>
      </c>
      <c r="AA675" s="87">
        <v>22</v>
      </c>
      <c r="AB675" s="89">
        <f t="shared" si="244"/>
        <v>0</v>
      </c>
      <c r="AC675" s="89">
        <f t="shared" si="245"/>
        <v>36</v>
      </c>
      <c r="AD675" s="89">
        <f t="shared" si="246"/>
        <v>50</v>
      </c>
      <c r="AF675" s="90" t="str">
        <f t="shared" si="247"/>
        <v/>
      </c>
      <c r="AG675" s="90">
        <f t="shared" si="248"/>
        <v>22</v>
      </c>
      <c r="AH675" s="90" t="str">
        <f t="shared" si="249"/>
        <v>2018 (triag)</v>
      </c>
      <c r="AI675" s="90">
        <f t="shared" si="250"/>
        <v>50</v>
      </c>
      <c r="AJ675" s="90">
        <f t="shared" si="251"/>
        <v>2022</v>
      </c>
      <c r="AK675" s="90" t="str">
        <f t="shared" si="252"/>
        <v/>
      </c>
      <c r="AL675" s="91">
        <f>IF(AK675="Adjust",(_xlfn.XLOOKUP(A675,'Adj factor'!A:A,'Adj factor'!I:I,,0)*AI675),'Master DataSheet (Rev)'!AI675)</f>
        <v>50</v>
      </c>
      <c r="AM675" s="91">
        <f t="shared" si="253"/>
        <v>50</v>
      </c>
      <c r="AN675" s="92" t="str">
        <f t="shared" si="254"/>
        <v>Increasing</v>
      </c>
      <c r="AO675" s="93">
        <f>VLOOKUP(B675,'Growthrates source'!A$2:H$49,8,FALSE)</f>
        <v>-0.11784850836422744</v>
      </c>
      <c r="AP675" s="93">
        <f>VLOOKUP(B675,'Growthrates source'!A$2:I$49,9,FALSE)</f>
        <v>0.29117585098474064</v>
      </c>
      <c r="AQ675" s="86">
        <f t="shared" si="255"/>
        <v>39.657694714003654</v>
      </c>
      <c r="AR675" s="86">
        <f t="shared" si="256"/>
        <v>52.697604879755751</v>
      </c>
      <c r="AS675" s="94">
        <f t="shared" si="257"/>
        <v>0</v>
      </c>
      <c r="AT675" s="94">
        <f t="shared" si="258"/>
        <v>2.7985260926304503E-2</v>
      </c>
      <c r="AU675" s="94">
        <f t="shared" si="241"/>
        <v>5.8100904538122174E-2</v>
      </c>
      <c r="AV675" s="94">
        <f t="shared" si="242"/>
        <v>5.8100904538122174E-2</v>
      </c>
    </row>
    <row r="676" spans="1:48" x14ac:dyDescent="0.3">
      <c r="A676" s="85" t="str">
        <f>_xlfn.XLOOKUP(B676,'Country codes &amp; Data sources'!G:G,'Country codes &amp; Data sources'!H:H,,0)</f>
        <v>Sierra Leone</v>
      </c>
      <c r="B676" s="85" t="s">
        <v>186</v>
      </c>
      <c r="C676" s="86">
        <v>6788601.5</v>
      </c>
      <c r="D676" s="85" t="s">
        <v>207</v>
      </c>
      <c r="E676" s="87">
        <v>0</v>
      </c>
      <c r="F676" s="88">
        <v>6964858.4999999972</v>
      </c>
      <c r="G676" s="87">
        <v>0</v>
      </c>
      <c r="I676" s="87">
        <v>0</v>
      </c>
      <c r="K676" s="87">
        <v>0</v>
      </c>
      <c r="M676" s="87">
        <v>0</v>
      </c>
      <c r="O676" s="87">
        <v>0</v>
      </c>
      <c r="P676" s="88">
        <v>7861281</v>
      </c>
      <c r="Q676" s="87">
        <v>0</v>
      </c>
      <c r="R676" s="87">
        <f t="shared" si="243"/>
        <v>0</v>
      </c>
      <c r="T676" s="87">
        <v>64</v>
      </c>
      <c r="V676" s="87">
        <v>0</v>
      </c>
      <c r="X676" s="87">
        <v>0</v>
      </c>
      <c r="Y676" s="88">
        <v>8605718.0000000056</v>
      </c>
      <c r="Z676" s="87">
        <v>195</v>
      </c>
      <c r="AA676" s="87">
        <v>0</v>
      </c>
      <c r="AB676" s="89">
        <f t="shared" si="244"/>
        <v>0</v>
      </c>
      <c r="AC676" s="89">
        <f t="shared" si="245"/>
        <v>64</v>
      </c>
      <c r="AD676" s="89">
        <f t="shared" si="246"/>
        <v>195</v>
      </c>
      <c r="AF676" s="90" t="str">
        <f t="shared" si="247"/>
        <v/>
      </c>
      <c r="AG676" s="90">
        <f t="shared" si="248"/>
        <v>64</v>
      </c>
      <c r="AH676" s="90">
        <f t="shared" si="249"/>
        <v>2019</v>
      </c>
      <c r="AI676" s="90">
        <f t="shared" si="250"/>
        <v>195</v>
      </c>
      <c r="AJ676" s="90">
        <f t="shared" si="251"/>
        <v>2022</v>
      </c>
      <c r="AK676" s="90" t="str">
        <f t="shared" si="252"/>
        <v/>
      </c>
      <c r="AL676" s="91">
        <f>IF(AK676="Adjust",(_xlfn.XLOOKUP(A676,'Adj factor'!A:A,'Adj factor'!I:I,,0)*AI676),'Master DataSheet (Rev)'!AI676)</f>
        <v>195</v>
      </c>
      <c r="AM676" s="91">
        <f t="shared" si="253"/>
        <v>195</v>
      </c>
      <c r="AN676" s="92" t="str">
        <f t="shared" si="254"/>
        <v>Increasing</v>
      </c>
      <c r="AO676" s="93">
        <f>VLOOKUP(B676,'Growthrates source'!A$2:H$49,8,FALSE)</f>
        <v>-0.11784850836422744</v>
      </c>
      <c r="AP676" s="93">
        <f>VLOOKUP(B676,'Growthrates source'!A$2:I$49,9,FALSE)</f>
        <v>0.29117585098474064</v>
      </c>
      <c r="AQ676" s="86">
        <f t="shared" si="255"/>
        <v>0</v>
      </c>
      <c r="AR676" s="86">
        <f t="shared" si="256"/>
        <v>0</v>
      </c>
      <c r="AS676" s="94">
        <f t="shared" si="257"/>
        <v>0</v>
      </c>
      <c r="AT676" s="94">
        <f t="shared" si="258"/>
        <v>8.1411668149249466E-2</v>
      </c>
      <c r="AU676" s="94">
        <f t="shared" si="241"/>
        <v>0.22659352769867647</v>
      </c>
      <c r="AV676" s="94">
        <f t="shared" si="242"/>
        <v>0.22659352769867647</v>
      </c>
    </row>
    <row r="677" spans="1:48" x14ac:dyDescent="0.3">
      <c r="A677" s="85" t="str">
        <f>_xlfn.XLOOKUP(B677,'Country codes &amp; Data sources'!G:G,'Country codes &amp; Data sources'!H:H,,0)</f>
        <v>Sierra Leone</v>
      </c>
      <c r="B677" s="85" t="s">
        <v>186</v>
      </c>
      <c r="C677" s="86">
        <v>6788602.5</v>
      </c>
      <c r="D677" s="85" t="s">
        <v>141</v>
      </c>
      <c r="E677" s="87">
        <v>0</v>
      </c>
      <c r="F677" s="88">
        <v>6964858.4999999972</v>
      </c>
      <c r="G677" s="87">
        <v>0</v>
      </c>
      <c r="I677" s="87">
        <v>0</v>
      </c>
      <c r="K677" s="87">
        <v>0</v>
      </c>
      <c r="M677" s="87">
        <v>0</v>
      </c>
      <c r="O677" s="87">
        <v>0</v>
      </c>
      <c r="P677" s="88">
        <v>7861281</v>
      </c>
      <c r="Q677" s="87">
        <v>0</v>
      </c>
      <c r="R677" s="87">
        <f t="shared" si="243"/>
        <v>13</v>
      </c>
      <c r="T677" s="87">
        <v>15</v>
      </c>
      <c r="V677" s="87">
        <v>1</v>
      </c>
      <c r="X677" s="87">
        <v>0</v>
      </c>
      <c r="Y677" s="88">
        <v>8605718.0000000056</v>
      </c>
      <c r="Z677" s="87">
        <v>2</v>
      </c>
      <c r="AA677" s="87">
        <v>13</v>
      </c>
      <c r="AB677" s="89">
        <f t="shared" si="244"/>
        <v>0</v>
      </c>
      <c r="AC677" s="89">
        <f t="shared" si="245"/>
        <v>15</v>
      </c>
      <c r="AD677" s="89">
        <f t="shared" si="246"/>
        <v>2</v>
      </c>
      <c r="AF677" s="90" t="str">
        <f t="shared" si="247"/>
        <v/>
      </c>
      <c r="AG677" s="90">
        <f t="shared" si="248"/>
        <v>13</v>
      </c>
      <c r="AH677" s="90" t="str">
        <f t="shared" si="249"/>
        <v>2018 (triag)</v>
      </c>
      <c r="AI677" s="90">
        <f t="shared" si="250"/>
        <v>2</v>
      </c>
      <c r="AJ677" s="90">
        <f t="shared" si="251"/>
        <v>2022</v>
      </c>
      <c r="AK677" s="90" t="str">
        <f t="shared" si="252"/>
        <v>Adjust</v>
      </c>
      <c r="AL677" s="91">
        <f>IF(AK677="Adjust",(_xlfn.XLOOKUP(A677,'Adj factor'!A:A,'Adj factor'!I:I,,0)*AI677),'Master DataSheet (Rev)'!AI677)</f>
        <v>2.2985972886408303</v>
      </c>
      <c r="AM677" s="91">
        <f t="shared" si="253"/>
        <v>13</v>
      </c>
      <c r="AN677" s="92" t="str">
        <f t="shared" si="254"/>
        <v>Decreasing</v>
      </c>
      <c r="AO677" s="93">
        <f>VLOOKUP(B677,'Growthrates source'!A$2:H$49,8,FALSE)</f>
        <v>-0.11784850836422744</v>
      </c>
      <c r="AP677" s="93">
        <f>VLOOKUP(B677,'Growthrates source'!A$2:I$49,9,FALSE)</f>
        <v>0.29117585098474064</v>
      </c>
      <c r="AQ677" s="86">
        <f t="shared" si="255"/>
        <v>23.434092331002159</v>
      </c>
      <c r="AR677" s="86">
        <f t="shared" si="256"/>
        <v>31.139493792582947</v>
      </c>
      <c r="AS677" s="94">
        <f t="shared" si="257"/>
        <v>0</v>
      </c>
      <c r="AT677" s="94">
        <f t="shared" si="258"/>
        <v>1.6536745092816298E-2</v>
      </c>
      <c r="AU677" s="94">
        <f t="shared" si="241"/>
        <v>2.6710116327781472E-3</v>
      </c>
      <c r="AV677" s="94">
        <f t="shared" si="242"/>
        <v>1.5106235179911765E-2</v>
      </c>
    </row>
    <row r="678" spans="1:48" x14ac:dyDescent="0.3">
      <c r="A678" s="85" t="str">
        <f>_xlfn.XLOOKUP(B678,'Country codes &amp; Data sources'!G:G,'Country codes &amp; Data sources'!H:H,,0)</f>
        <v>Sierra Leone</v>
      </c>
      <c r="B678" s="85" t="s">
        <v>186</v>
      </c>
      <c r="C678" s="86">
        <v>6788603.5</v>
      </c>
      <c r="D678" s="85" t="s">
        <v>208</v>
      </c>
      <c r="E678" s="87">
        <v>0</v>
      </c>
      <c r="F678" s="88">
        <v>6964858.4999999972</v>
      </c>
      <c r="G678" s="87">
        <v>0</v>
      </c>
      <c r="I678" s="87">
        <v>0</v>
      </c>
      <c r="K678" s="87">
        <v>0</v>
      </c>
      <c r="M678" s="87">
        <v>0</v>
      </c>
      <c r="O678" s="87">
        <v>0</v>
      </c>
      <c r="P678" s="88">
        <v>7861281</v>
      </c>
      <c r="Q678" s="87">
        <v>0</v>
      </c>
      <c r="R678" s="87">
        <f t="shared" si="243"/>
        <v>0</v>
      </c>
      <c r="T678" s="87">
        <v>0</v>
      </c>
      <c r="V678" s="87">
        <v>0</v>
      </c>
      <c r="X678" s="87">
        <v>0</v>
      </c>
      <c r="Y678" s="88">
        <v>8605718.0000000056</v>
      </c>
      <c r="Z678" s="87">
        <v>0</v>
      </c>
      <c r="AA678" s="87">
        <v>0</v>
      </c>
      <c r="AB678" s="89">
        <f t="shared" si="244"/>
        <v>0</v>
      </c>
      <c r="AC678" s="89">
        <f t="shared" si="245"/>
        <v>0</v>
      </c>
      <c r="AD678" s="89">
        <f t="shared" si="246"/>
        <v>0</v>
      </c>
      <c r="AF678" s="90" t="str">
        <f t="shared" si="247"/>
        <v/>
      </c>
      <c r="AH678" s="90" t="str">
        <f t="shared" si="249"/>
        <v/>
      </c>
      <c r="AI678" s="90">
        <f t="shared" si="250"/>
        <v>0</v>
      </c>
      <c r="AJ678" s="90" t="str">
        <f t="shared" si="251"/>
        <v/>
      </c>
      <c r="AK678" s="90" t="str">
        <f t="shared" si="252"/>
        <v/>
      </c>
      <c r="AL678" s="91"/>
      <c r="AM678" s="91">
        <f t="shared" si="253"/>
        <v>0</v>
      </c>
      <c r="AN678" s="92" t="str">
        <f t="shared" si="254"/>
        <v>No change</v>
      </c>
      <c r="AO678" s="93">
        <f>VLOOKUP(B678,'Growthrates source'!A$2:H$49,8,FALSE)</f>
        <v>-0.11784850836422744</v>
      </c>
      <c r="AP678" s="93">
        <f>VLOOKUP(B678,'Growthrates source'!A$2:I$49,9,FALSE)</f>
        <v>0.29117585098474064</v>
      </c>
      <c r="AQ678" s="86">
        <f t="shared" si="255"/>
        <v>0</v>
      </c>
      <c r="AR678" s="86">
        <f t="shared" si="256"/>
        <v>0</v>
      </c>
      <c r="AS678" s="94">
        <f t="shared" si="257"/>
        <v>0</v>
      </c>
      <c r="AT678" s="94">
        <f t="shared" si="258"/>
        <v>0</v>
      </c>
      <c r="AU678" s="94">
        <f t="shared" si="241"/>
        <v>0</v>
      </c>
      <c r="AV678" s="94">
        <f t="shared" si="242"/>
        <v>0</v>
      </c>
    </row>
    <row r="679" spans="1:48" x14ac:dyDescent="0.3">
      <c r="A679" s="85" t="str">
        <f>_xlfn.XLOOKUP(B679,'Country codes &amp; Data sources'!G:G,'Country codes &amp; Data sources'!H:H,,0)</f>
        <v>Sierra Leone</v>
      </c>
      <c r="B679" s="85" t="s">
        <v>186</v>
      </c>
      <c r="C679" s="86">
        <v>6788604.5</v>
      </c>
      <c r="D679" s="85" t="s">
        <v>209</v>
      </c>
      <c r="E679" s="87">
        <v>0</v>
      </c>
      <c r="F679" s="88">
        <v>6964858.4999999972</v>
      </c>
      <c r="G679" s="87">
        <v>0</v>
      </c>
      <c r="I679" s="87">
        <v>0</v>
      </c>
      <c r="K679" s="87">
        <v>0</v>
      </c>
      <c r="M679" s="87">
        <v>0</v>
      </c>
      <c r="O679" s="87">
        <v>0</v>
      </c>
      <c r="P679" s="88">
        <v>7861281</v>
      </c>
      <c r="Q679" s="87">
        <v>0</v>
      </c>
      <c r="R679" s="87">
        <f t="shared" si="243"/>
        <v>0</v>
      </c>
      <c r="T679" s="87">
        <v>0</v>
      </c>
      <c r="V679" s="87">
        <v>0</v>
      </c>
      <c r="X679" s="87">
        <v>0</v>
      </c>
      <c r="Y679" s="88">
        <v>8605718.0000000056</v>
      </c>
      <c r="Z679" s="87">
        <v>0</v>
      </c>
      <c r="AA679" s="87">
        <v>0</v>
      </c>
      <c r="AB679" s="89">
        <f t="shared" si="244"/>
        <v>0</v>
      </c>
      <c r="AC679" s="89">
        <f t="shared" si="245"/>
        <v>0</v>
      </c>
      <c r="AD679" s="89">
        <f t="shared" si="246"/>
        <v>0</v>
      </c>
      <c r="AF679" s="90" t="str">
        <f t="shared" si="247"/>
        <v/>
      </c>
      <c r="AH679" s="90" t="str">
        <f t="shared" si="249"/>
        <v/>
      </c>
      <c r="AI679" s="90">
        <f t="shared" si="250"/>
        <v>0</v>
      </c>
      <c r="AJ679" s="90" t="str">
        <f t="shared" si="251"/>
        <v/>
      </c>
      <c r="AK679" s="90" t="str">
        <f t="shared" si="252"/>
        <v/>
      </c>
      <c r="AL679" s="91"/>
      <c r="AM679" s="91">
        <f t="shared" si="253"/>
        <v>0</v>
      </c>
      <c r="AN679" s="92" t="str">
        <f t="shared" si="254"/>
        <v>No change</v>
      </c>
      <c r="AO679" s="93">
        <f>VLOOKUP(B679,'Growthrates source'!A$2:H$49,8,FALSE)</f>
        <v>-0.11784850836422744</v>
      </c>
      <c r="AP679" s="93">
        <f>VLOOKUP(B679,'Growthrates source'!A$2:I$49,9,FALSE)</f>
        <v>0.29117585098474064</v>
      </c>
      <c r="AQ679" s="86">
        <f t="shared" si="255"/>
        <v>0</v>
      </c>
      <c r="AR679" s="86">
        <f t="shared" si="256"/>
        <v>0</v>
      </c>
      <c r="AS679" s="94">
        <f t="shared" si="257"/>
        <v>0</v>
      </c>
      <c r="AT679" s="94">
        <f t="shared" si="258"/>
        <v>0</v>
      </c>
      <c r="AU679" s="94">
        <f t="shared" si="241"/>
        <v>0</v>
      </c>
      <c r="AV679" s="94">
        <f t="shared" si="242"/>
        <v>0</v>
      </c>
    </row>
    <row r="680" spans="1:48" x14ac:dyDescent="0.3">
      <c r="A680" s="85" t="str">
        <f>_xlfn.XLOOKUP(B680,'Country codes &amp; Data sources'!G:G,'Country codes &amp; Data sources'!H:H,,0)</f>
        <v>Sierra Leone</v>
      </c>
      <c r="B680" s="85" t="s">
        <v>186</v>
      </c>
      <c r="C680" s="86">
        <v>6788605.5</v>
      </c>
      <c r="D680" s="85" t="s">
        <v>134</v>
      </c>
      <c r="E680" s="87">
        <v>0</v>
      </c>
      <c r="F680" s="88">
        <v>6964858.4999999972</v>
      </c>
      <c r="G680" s="87">
        <v>0</v>
      </c>
      <c r="I680" s="87">
        <v>0</v>
      </c>
      <c r="K680" s="87">
        <v>0</v>
      </c>
      <c r="M680" s="87">
        <v>0</v>
      </c>
      <c r="O680" s="87">
        <v>0</v>
      </c>
      <c r="P680" s="88">
        <v>7861281</v>
      </c>
      <c r="Q680" s="87">
        <v>0</v>
      </c>
      <c r="R680" s="87">
        <f t="shared" si="243"/>
        <v>311</v>
      </c>
      <c r="T680" s="87">
        <v>342</v>
      </c>
      <c r="V680" s="87">
        <v>0</v>
      </c>
      <c r="X680" s="87">
        <v>0</v>
      </c>
      <c r="Y680" s="88">
        <v>8605718.0000000056</v>
      </c>
      <c r="Z680" s="87">
        <v>298</v>
      </c>
      <c r="AA680" s="87">
        <v>311</v>
      </c>
      <c r="AB680" s="89">
        <f t="shared" si="244"/>
        <v>0</v>
      </c>
      <c r="AC680" s="89">
        <f t="shared" si="245"/>
        <v>342</v>
      </c>
      <c r="AD680" s="89">
        <f t="shared" si="246"/>
        <v>298</v>
      </c>
      <c r="AF680" s="90" t="str">
        <f t="shared" si="247"/>
        <v/>
      </c>
      <c r="AG680" s="90">
        <f t="shared" si="248"/>
        <v>311</v>
      </c>
      <c r="AH680" s="90" t="str">
        <f t="shared" si="249"/>
        <v>2018 (triag)</v>
      </c>
      <c r="AI680" s="90">
        <f t="shared" si="250"/>
        <v>298</v>
      </c>
      <c r="AJ680" s="90">
        <f t="shared" si="251"/>
        <v>2022</v>
      </c>
      <c r="AK680" s="90" t="str">
        <f t="shared" si="252"/>
        <v>Adjust</v>
      </c>
      <c r="AL680" s="91">
        <f>IF(AK680="Adjust",(_xlfn.XLOOKUP(A680,'Adj factor'!A:A,'Adj factor'!I:I,,0)*AI680),'Master DataSheet (Rev)'!AI680)</f>
        <v>342.49099600748372</v>
      </c>
      <c r="AM680" s="91">
        <f t="shared" si="253"/>
        <v>342.49099600748372</v>
      </c>
      <c r="AN680" s="92" t="str">
        <f t="shared" si="254"/>
        <v>Increasing</v>
      </c>
      <c r="AO680" s="93">
        <f>VLOOKUP(B680,'Growthrates source'!A$2:H$49,8,FALSE)</f>
        <v>-0.11784850836422744</v>
      </c>
      <c r="AP680" s="93">
        <f>VLOOKUP(B680,'Growthrates source'!A$2:I$49,9,FALSE)</f>
        <v>0.29117585098474064</v>
      </c>
      <c r="AQ680" s="86">
        <f t="shared" si="255"/>
        <v>560.61559345705166</v>
      </c>
      <c r="AR680" s="86">
        <f t="shared" si="256"/>
        <v>744.9525053456382</v>
      </c>
      <c r="AS680" s="94">
        <f t="shared" si="257"/>
        <v>0</v>
      </c>
      <c r="AT680" s="94">
        <f t="shared" si="258"/>
        <v>0.39560982491275914</v>
      </c>
      <c r="AU680" s="94">
        <f t="shared" si="241"/>
        <v>0.3979807332839439</v>
      </c>
      <c r="AV680" s="94">
        <f t="shared" si="242"/>
        <v>0.3979807332839439</v>
      </c>
    </row>
    <row r="681" spans="1:48" x14ac:dyDescent="0.3">
      <c r="A681" s="85" t="str">
        <f>_xlfn.XLOOKUP(B681,'Country codes &amp; Data sources'!G:G,'Country codes &amp; Data sources'!H:H,,0)</f>
        <v>Sierra Leone</v>
      </c>
      <c r="B681" s="85" t="s">
        <v>186</v>
      </c>
      <c r="C681" s="86">
        <v>6788606.5</v>
      </c>
      <c r="D681" s="85" t="s">
        <v>142</v>
      </c>
      <c r="E681" s="87">
        <v>0</v>
      </c>
      <c r="F681" s="88">
        <v>6964858.4999999972</v>
      </c>
      <c r="G681" s="87">
        <v>0</v>
      </c>
      <c r="I681" s="87">
        <v>0</v>
      </c>
      <c r="K681" s="87">
        <v>0</v>
      </c>
      <c r="M681" s="87">
        <v>0</v>
      </c>
      <c r="O681" s="87">
        <v>0</v>
      </c>
      <c r="P681" s="88">
        <v>7861281</v>
      </c>
      <c r="Q681" s="87">
        <v>0</v>
      </c>
      <c r="R681" s="87">
        <f t="shared" si="243"/>
        <v>0</v>
      </c>
      <c r="T681" s="87">
        <v>319</v>
      </c>
      <c r="V681" s="87">
        <v>650</v>
      </c>
      <c r="X681" s="87">
        <v>0</v>
      </c>
      <c r="Y681" s="88">
        <v>8605718.0000000056</v>
      </c>
      <c r="Z681" s="87">
        <v>0</v>
      </c>
      <c r="AA681" s="87">
        <v>0</v>
      </c>
      <c r="AB681" s="89">
        <f t="shared" si="244"/>
        <v>0</v>
      </c>
      <c r="AC681" s="89">
        <f t="shared" si="245"/>
        <v>319</v>
      </c>
      <c r="AD681" s="89">
        <f t="shared" si="246"/>
        <v>650</v>
      </c>
      <c r="AF681" s="90" t="str">
        <f t="shared" si="247"/>
        <v/>
      </c>
      <c r="AG681" s="90">
        <f t="shared" si="248"/>
        <v>319</v>
      </c>
      <c r="AH681" s="90">
        <f t="shared" si="249"/>
        <v>2019</v>
      </c>
      <c r="AI681" s="90">
        <f t="shared" si="250"/>
        <v>650</v>
      </c>
      <c r="AJ681" s="90">
        <f t="shared" si="251"/>
        <v>2020</v>
      </c>
      <c r="AK681" s="90" t="str">
        <f t="shared" si="252"/>
        <v/>
      </c>
      <c r="AL681" s="91">
        <f>IF(AK681="Adjust",(_xlfn.XLOOKUP(A681,'Adj factor'!A:A,'Adj factor'!I:I,,0)*AI681),'Master DataSheet (Rev)'!AI681)</f>
        <v>650</v>
      </c>
      <c r="AM681" s="91">
        <f t="shared" si="253"/>
        <v>650</v>
      </c>
      <c r="AN681" s="92" t="str">
        <f t="shared" si="254"/>
        <v>Increasing</v>
      </c>
      <c r="AO681" s="93">
        <f>VLOOKUP(B681,'Growthrates source'!A$2:H$49,8,FALSE)</f>
        <v>-0.11784850836422744</v>
      </c>
      <c r="AP681" s="93">
        <f>VLOOKUP(B681,'Growthrates source'!A$2:I$49,9,FALSE)</f>
        <v>0.29117585098474064</v>
      </c>
      <c r="AQ681" s="86">
        <f t="shared" si="255"/>
        <v>0</v>
      </c>
      <c r="AR681" s="86">
        <f t="shared" si="256"/>
        <v>0</v>
      </c>
      <c r="AS681" s="94">
        <f t="shared" si="257"/>
        <v>0</v>
      </c>
      <c r="AT681" s="94">
        <f t="shared" si="258"/>
        <v>0.40578628343141532</v>
      </c>
      <c r="AU681" s="94">
        <f t="shared" si="241"/>
        <v>0.75531175899558822</v>
      </c>
      <c r="AV681" s="94">
        <f t="shared" si="242"/>
        <v>0.75531175899558822</v>
      </c>
    </row>
    <row r="682" spans="1:48" x14ac:dyDescent="0.3">
      <c r="A682" s="85" t="str">
        <f>_xlfn.XLOOKUP(B682,'Country codes &amp; Data sources'!G:G,'Country codes &amp; Data sources'!H:H,,0)</f>
        <v>Sierra Leone</v>
      </c>
      <c r="B682" s="85" t="s">
        <v>186</v>
      </c>
      <c r="C682" s="86">
        <v>6788607.5</v>
      </c>
      <c r="D682" s="85" t="s">
        <v>83</v>
      </c>
      <c r="E682" s="87">
        <v>0</v>
      </c>
      <c r="F682" s="88">
        <v>6964858.4999999972</v>
      </c>
      <c r="G682" s="87">
        <v>0</v>
      </c>
      <c r="I682" s="87">
        <v>0</v>
      </c>
      <c r="K682" s="87">
        <v>0</v>
      </c>
      <c r="M682" s="87">
        <v>0</v>
      </c>
      <c r="O682" s="87">
        <v>0</v>
      </c>
      <c r="P682" s="88">
        <v>7861281</v>
      </c>
      <c r="Q682" s="87">
        <v>0</v>
      </c>
      <c r="R682" s="87">
        <f t="shared" si="243"/>
        <v>13</v>
      </c>
      <c r="T682" s="87">
        <v>8</v>
      </c>
      <c r="V682" s="87">
        <v>6</v>
      </c>
      <c r="X682" s="87">
        <v>0</v>
      </c>
      <c r="Y682" s="88">
        <v>8605718.0000000056</v>
      </c>
      <c r="Z682" s="87">
        <v>6</v>
      </c>
      <c r="AA682" s="87">
        <v>13</v>
      </c>
      <c r="AB682" s="89">
        <f t="shared" si="244"/>
        <v>0</v>
      </c>
      <c r="AC682" s="89">
        <f t="shared" si="245"/>
        <v>8</v>
      </c>
      <c r="AD682" s="89">
        <f t="shared" si="246"/>
        <v>6</v>
      </c>
      <c r="AF682" s="90" t="str">
        <f t="shared" si="247"/>
        <v/>
      </c>
      <c r="AG682" s="90">
        <f t="shared" si="248"/>
        <v>13</v>
      </c>
      <c r="AH682" s="90" t="str">
        <f t="shared" si="249"/>
        <v>2018 (triag)</v>
      </c>
      <c r="AI682" s="90">
        <f t="shared" si="250"/>
        <v>6</v>
      </c>
      <c r="AJ682" s="90">
        <f t="shared" si="251"/>
        <v>2020</v>
      </c>
      <c r="AK682" s="90" t="str">
        <f t="shared" si="252"/>
        <v>Adjust</v>
      </c>
      <c r="AL682" s="91">
        <f>IF(AK682="Adjust",(_xlfn.XLOOKUP(A682,'Adj factor'!A:A,'Adj factor'!I:I,,0)*AI682),'Master DataSheet (Rev)'!AI682)</f>
        <v>6.895791865922491</v>
      </c>
      <c r="AM682" s="91">
        <f t="shared" si="253"/>
        <v>13</v>
      </c>
      <c r="AN682" s="92" t="str">
        <f t="shared" si="254"/>
        <v>Decreasing</v>
      </c>
      <c r="AO682" s="93">
        <f>VLOOKUP(B682,'Growthrates source'!A$2:H$49,8,FALSE)</f>
        <v>-0.11784850836422744</v>
      </c>
      <c r="AP682" s="93">
        <f>VLOOKUP(B682,'Growthrates source'!A$2:I$49,9,FALSE)</f>
        <v>0.29117585098474064</v>
      </c>
      <c r="AQ682" s="86">
        <f t="shared" si="255"/>
        <v>23.434092331002159</v>
      </c>
      <c r="AR682" s="86">
        <f t="shared" si="256"/>
        <v>31.139493792582947</v>
      </c>
      <c r="AS682" s="94">
        <f t="shared" si="257"/>
        <v>0</v>
      </c>
      <c r="AT682" s="94">
        <f t="shared" si="258"/>
        <v>1.6536745092816298E-2</v>
      </c>
      <c r="AU682" s="94">
        <f t="shared" si="241"/>
        <v>8.013034898334442E-3</v>
      </c>
      <c r="AV682" s="94">
        <f t="shared" si="242"/>
        <v>1.5106235179911765E-2</v>
      </c>
    </row>
    <row r="683" spans="1:48" x14ac:dyDescent="0.3">
      <c r="A683" s="85" t="str">
        <f>_xlfn.XLOOKUP(B683,'Country codes &amp; Data sources'!G:G,'Country codes &amp; Data sources'!H:H,,0)</f>
        <v>Sierra Leone</v>
      </c>
      <c r="B683" s="85" t="s">
        <v>186</v>
      </c>
      <c r="C683" s="86">
        <v>6788608.5</v>
      </c>
      <c r="D683" s="85" t="s">
        <v>84</v>
      </c>
      <c r="E683" s="87">
        <v>0</v>
      </c>
      <c r="F683" s="88">
        <v>6964858.4999999972</v>
      </c>
      <c r="G683" s="87">
        <v>0</v>
      </c>
      <c r="I683" s="87">
        <v>1511</v>
      </c>
      <c r="K683" s="87">
        <v>0</v>
      </c>
      <c r="M683" s="87">
        <v>0</v>
      </c>
      <c r="O683" s="87">
        <v>0</v>
      </c>
      <c r="P683" s="88">
        <v>7861281</v>
      </c>
      <c r="Q683" s="87">
        <v>0</v>
      </c>
      <c r="R683" s="87">
        <f t="shared" si="243"/>
        <v>0</v>
      </c>
      <c r="T683" s="87">
        <v>0</v>
      </c>
      <c r="V683" s="87">
        <v>0</v>
      </c>
      <c r="X683" s="87">
        <v>0</v>
      </c>
      <c r="Y683" s="88">
        <v>8605718.0000000056</v>
      </c>
      <c r="Z683" s="87">
        <v>0</v>
      </c>
      <c r="AA683" s="87">
        <v>0</v>
      </c>
      <c r="AB683" s="89">
        <f t="shared" si="244"/>
        <v>1511</v>
      </c>
      <c r="AC683" s="89">
        <f t="shared" si="245"/>
        <v>0</v>
      </c>
      <c r="AD683" s="89">
        <f t="shared" si="246"/>
        <v>0</v>
      </c>
      <c r="AE683" s="90">
        <f t="shared" si="259"/>
        <v>1511</v>
      </c>
      <c r="AF683" s="90">
        <f t="shared" si="247"/>
        <v>2014</v>
      </c>
      <c r="AH683" s="90" t="str">
        <f t="shared" si="249"/>
        <v/>
      </c>
      <c r="AI683" s="90">
        <f t="shared" si="250"/>
        <v>0</v>
      </c>
      <c r="AJ683" s="90" t="str">
        <f t="shared" si="251"/>
        <v/>
      </c>
      <c r="AK683" s="90" t="str">
        <f t="shared" si="252"/>
        <v/>
      </c>
      <c r="AL683" s="91"/>
      <c r="AM683" s="91">
        <f t="shared" si="253"/>
        <v>0</v>
      </c>
      <c r="AN683" s="92" t="str">
        <f t="shared" si="254"/>
        <v>No change</v>
      </c>
      <c r="AO683" s="93">
        <f>VLOOKUP(B683,'Growthrates source'!A$2:H$49,8,FALSE)</f>
        <v>-0.11784850836422744</v>
      </c>
      <c r="AP683" s="93">
        <f>VLOOKUP(B683,'Growthrates source'!A$2:I$49,9,FALSE)</f>
        <v>0.29117585098474064</v>
      </c>
      <c r="AQ683" s="86">
        <f t="shared" si="255"/>
        <v>0</v>
      </c>
      <c r="AR683" s="86">
        <f t="shared" si="256"/>
        <v>0</v>
      </c>
      <c r="AS683" s="94">
        <f t="shared" si="257"/>
        <v>2.169462595686618</v>
      </c>
      <c r="AT683" s="94">
        <f t="shared" si="258"/>
        <v>0</v>
      </c>
      <c r="AU683" s="94">
        <f t="shared" si="241"/>
        <v>0</v>
      </c>
      <c r="AV683" s="94">
        <f t="shared" si="242"/>
        <v>0</v>
      </c>
    </row>
    <row r="684" spans="1:48" x14ac:dyDescent="0.3">
      <c r="A684" s="85" t="str">
        <f>_xlfn.XLOOKUP(B684,'Country codes &amp; Data sources'!G:G,'Country codes &amp; Data sources'!H:H,,0)</f>
        <v>Sierra Leone</v>
      </c>
      <c r="B684" s="85" t="s">
        <v>186</v>
      </c>
      <c r="C684" s="86">
        <v>6788609.5</v>
      </c>
      <c r="D684" s="85" t="s">
        <v>126</v>
      </c>
      <c r="E684" s="87">
        <v>0</v>
      </c>
      <c r="F684" s="88">
        <v>6964858.4999999972</v>
      </c>
      <c r="G684" s="87">
        <v>0</v>
      </c>
      <c r="I684" s="87">
        <v>0</v>
      </c>
      <c r="K684" s="87">
        <v>0</v>
      </c>
      <c r="M684" s="87">
        <v>0</v>
      </c>
      <c r="O684" s="87">
        <v>0</v>
      </c>
      <c r="P684" s="88">
        <v>7861281</v>
      </c>
      <c r="Q684" s="87">
        <v>0</v>
      </c>
      <c r="R684" s="87">
        <f t="shared" si="243"/>
        <v>0</v>
      </c>
      <c r="T684" s="87">
        <v>0</v>
      </c>
      <c r="V684" s="87">
        <v>0</v>
      </c>
      <c r="X684" s="87">
        <v>0</v>
      </c>
      <c r="Y684" s="88">
        <v>8605718.0000000056</v>
      </c>
      <c r="Z684" s="87">
        <v>0</v>
      </c>
      <c r="AA684" s="87">
        <v>0</v>
      </c>
      <c r="AB684" s="89">
        <f t="shared" si="244"/>
        <v>0</v>
      </c>
      <c r="AC684" s="89">
        <f t="shared" si="245"/>
        <v>0</v>
      </c>
      <c r="AD684" s="89">
        <f t="shared" si="246"/>
        <v>0</v>
      </c>
      <c r="AF684" s="90" t="str">
        <f t="shared" si="247"/>
        <v/>
      </c>
      <c r="AH684" s="90" t="str">
        <f t="shared" si="249"/>
        <v/>
      </c>
      <c r="AI684" s="90">
        <f t="shared" si="250"/>
        <v>0</v>
      </c>
      <c r="AJ684" s="90" t="str">
        <f t="shared" si="251"/>
        <v/>
      </c>
      <c r="AK684" s="90" t="str">
        <f t="shared" si="252"/>
        <v/>
      </c>
      <c r="AL684" s="91"/>
      <c r="AM684" s="91">
        <f t="shared" si="253"/>
        <v>0</v>
      </c>
      <c r="AN684" s="92" t="str">
        <f t="shared" si="254"/>
        <v>No change</v>
      </c>
      <c r="AO684" s="93">
        <f>VLOOKUP(B684,'Growthrates source'!A$2:H$49,8,FALSE)</f>
        <v>-0.11784850836422744</v>
      </c>
      <c r="AP684" s="93">
        <f>VLOOKUP(B684,'Growthrates source'!A$2:I$49,9,FALSE)</f>
        <v>0.29117585098474064</v>
      </c>
      <c r="AQ684" s="86">
        <f t="shared" si="255"/>
        <v>0</v>
      </c>
      <c r="AR684" s="86">
        <f t="shared" si="256"/>
        <v>0</v>
      </c>
      <c r="AS684" s="94">
        <f t="shared" si="257"/>
        <v>0</v>
      </c>
      <c r="AT684" s="94">
        <f t="shared" si="258"/>
        <v>0</v>
      </c>
      <c r="AU684" s="94">
        <f t="shared" si="241"/>
        <v>0</v>
      </c>
      <c r="AV684" s="94">
        <f t="shared" si="242"/>
        <v>0</v>
      </c>
    </row>
    <row r="685" spans="1:48" x14ac:dyDescent="0.3">
      <c r="A685" s="85" t="str">
        <f>_xlfn.XLOOKUP(B685,'Country codes &amp; Data sources'!G:G,'Country codes &amp; Data sources'!H:H,,0)</f>
        <v>Sierra Leone</v>
      </c>
      <c r="B685" s="85" t="s">
        <v>186</v>
      </c>
      <c r="C685" s="86">
        <v>6788610.5</v>
      </c>
      <c r="D685" s="85" t="s">
        <v>87</v>
      </c>
      <c r="E685" s="87">
        <v>0</v>
      </c>
      <c r="F685" s="88">
        <v>6964858.4999999972</v>
      </c>
      <c r="G685" s="87">
        <v>0</v>
      </c>
      <c r="I685" s="87">
        <v>3046</v>
      </c>
      <c r="K685" s="87">
        <v>0</v>
      </c>
      <c r="M685" s="87">
        <v>0</v>
      </c>
      <c r="O685" s="87">
        <v>0</v>
      </c>
      <c r="P685" s="88">
        <v>7861281</v>
      </c>
      <c r="Q685" s="87">
        <v>0</v>
      </c>
      <c r="R685" s="87">
        <f t="shared" si="243"/>
        <v>0</v>
      </c>
      <c r="T685" s="87">
        <v>0</v>
      </c>
      <c r="V685" s="87">
        <v>0</v>
      </c>
      <c r="X685" s="87">
        <v>0</v>
      </c>
      <c r="Y685" s="88">
        <v>8605718.0000000056</v>
      </c>
      <c r="Z685" s="87">
        <v>0</v>
      </c>
      <c r="AA685" s="87">
        <v>0</v>
      </c>
      <c r="AB685" s="89">
        <f t="shared" si="244"/>
        <v>3046</v>
      </c>
      <c r="AC685" s="89">
        <f t="shared" si="245"/>
        <v>0</v>
      </c>
      <c r="AD685" s="89">
        <f t="shared" si="246"/>
        <v>0</v>
      </c>
      <c r="AE685" s="90">
        <f t="shared" si="259"/>
        <v>3046</v>
      </c>
      <c r="AF685" s="90">
        <f t="shared" si="247"/>
        <v>2014</v>
      </c>
      <c r="AH685" s="90" t="str">
        <f t="shared" si="249"/>
        <v/>
      </c>
      <c r="AI685" s="90">
        <f t="shared" si="250"/>
        <v>0</v>
      </c>
      <c r="AJ685" s="90" t="str">
        <f t="shared" si="251"/>
        <v/>
      </c>
      <c r="AK685" s="90" t="str">
        <f t="shared" si="252"/>
        <v/>
      </c>
      <c r="AL685" s="91"/>
      <c r="AM685" s="91">
        <f t="shared" si="253"/>
        <v>0</v>
      </c>
      <c r="AN685" s="92" t="str">
        <f t="shared" si="254"/>
        <v>No change</v>
      </c>
      <c r="AO685" s="93">
        <f>VLOOKUP(B685,'Growthrates source'!A$2:H$49,8,FALSE)</f>
        <v>-0.11784850836422744</v>
      </c>
      <c r="AP685" s="93">
        <f>VLOOKUP(B685,'Growthrates source'!A$2:I$49,9,FALSE)</f>
        <v>0.29117585098474064</v>
      </c>
      <c r="AQ685" s="86">
        <f t="shared" si="255"/>
        <v>0</v>
      </c>
      <c r="AR685" s="86">
        <f t="shared" si="256"/>
        <v>0</v>
      </c>
      <c r="AS685" s="94">
        <f t="shared" si="257"/>
        <v>4.3733838957388746</v>
      </c>
      <c r="AT685" s="94">
        <f t="shared" si="258"/>
        <v>0</v>
      </c>
      <c r="AU685" s="94">
        <f t="shared" si="241"/>
        <v>0</v>
      </c>
      <c r="AV685" s="94">
        <f t="shared" si="242"/>
        <v>0</v>
      </c>
    </row>
    <row r="686" spans="1:48" x14ac:dyDescent="0.3">
      <c r="A686" s="85" t="str">
        <f>_xlfn.XLOOKUP(B686,'Country codes &amp; Data sources'!G:G,'Country codes &amp; Data sources'!H:H,,0)</f>
        <v>South Sudan</v>
      </c>
      <c r="B686" s="85" t="s">
        <v>188</v>
      </c>
      <c r="C686" s="86">
        <v>10701609.5</v>
      </c>
      <c r="D686" s="85" t="s">
        <v>127</v>
      </c>
      <c r="E686" s="87">
        <v>0</v>
      </c>
      <c r="F686" s="88">
        <v>11106031.000000004</v>
      </c>
      <c r="G686" s="87">
        <v>0</v>
      </c>
      <c r="I686" s="87">
        <v>0</v>
      </c>
      <c r="K686" s="87">
        <v>0</v>
      </c>
      <c r="M686" s="87">
        <v>0</v>
      </c>
      <c r="O686" s="87">
        <v>0</v>
      </c>
      <c r="P686" s="88">
        <v>10395329.5</v>
      </c>
      <c r="Q686" s="87">
        <v>1455</v>
      </c>
      <c r="R686" s="87">
        <f t="shared" si="243"/>
        <v>1455</v>
      </c>
      <c r="T686" s="87">
        <v>850</v>
      </c>
      <c r="V686" s="87">
        <v>2826</v>
      </c>
      <c r="X686" s="87">
        <v>0</v>
      </c>
      <c r="Y686" s="88">
        <v>10913163.5</v>
      </c>
      <c r="Z686" s="87">
        <v>0</v>
      </c>
      <c r="AA686" s="87">
        <v>1455</v>
      </c>
      <c r="AB686" s="89">
        <f t="shared" si="244"/>
        <v>0</v>
      </c>
      <c r="AC686" s="89">
        <f t="shared" si="245"/>
        <v>1455</v>
      </c>
      <c r="AD686" s="89">
        <f t="shared" si="246"/>
        <v>2826</v>
      </c>
      <c r="AF686" s="90" t="str">
        <f t="shared" si="247"/>
        <v/>
      </c>
      <c r="AG686" s="90">
        <f t="shared" si="248"/>
        <v>1455</v>
      </c>
      <c r="AH686" s="90">
        <f t="shared" si="249"/>
        <v>2018</v>
      </c>
      <c r="AI686" s="90">
        <f t="shared" si="250"/>
        <v>2826</v>
      </c>
      <c r="AJ686" s="90">
        <f t="shared" si="251"/>
        <v>2020</v>
      </c>
      <c r="AK686" s="90" t="str">
        <f t="shared" si="252"/>
        <v/>
      </c>
      <c r="AL686" s="91">
        <f>IF(AK686="Adjust",(_xlfn.XLOOKUP(A686,'Adj factor'!A:A,'Adj factor'!I:I,,0)*AI686),'Master DataSheet (Rev)'!AI686)</f>
        <v>2826</v>
      </c>
      <c r="AM686" s="91">
        <f t="shared" si="253"/>
        <v>2826</v>
      </c>
      <c r="AN686" s="92" t="str">
        <f t="shared" si="254"/>
        <v>Increasing</v>
      </c>
      <c r="AO686" s="93">
        <f>VLOOKUP(B686,'Growthrates source'!A$2:H$49,8,FALSE)</f>
        <v>0.25992104989487319</v>
      </c>
      <c r="AP686" s="93">
        <f>VLOOKUP(B686,'Growthrates source'!A$2:I$49,9,FALSE)</f>
        <v>5.4673730437993617E-2</v>
      </c>
      <c r="AQ686" s="86">
        <f t="shared" si="255"/>
        <v>396.69032167382431</v>
      </c>
      <c r="AR686" s="86">
        <f t="shared" si="256"/>
        <v>1714.3381571531409</v>
      </c>
      <c r="AS686" s="94">
        <f t="shared" si="257"/>
        <v>0</v>
      </c>
      <c r="AT686" s="94">
        <f t="shared" si="258"/>
        <v>1.3996670331613827</v>
      </c>
      <c r="AU686" s="94">
        <f t="shared" si="241"/>
        <v>2.5895332732804746</v>
      </c>
      <c r="AV686" s="94">
        <f t="shared" si="242"/>
        <v>2.5895332732804746</v>
      </c>
    </row>
    <row r="687" spans="1:48" x14ac:dyDescent="0.3">
      <c r="A687" s="85" t="str">
        <f>_xlfn.XLOOKUP(B687,'Country codes &amp; Data sources'!G:G,'Country codes &amp; Data sources'!H:H,,0)</f>
        <v>South Sudan</v>
      </c>
      <c r="B687" s="85" t="s">
        <v>188</v>
      </c>
      <c r="C687" s="86">
        <v>10701610.5</v>
      </c>
      <c r="D687" s="85" t="s">
        <v>61</v>
      </c>
      <c r="E687" s="87">
        <v>0</v>
      </c>
      <c r="F687" s="88">
        <v>11106031.000000004</v>
      </c>
      <c r="G687" s="87">
        <v>0</v>
      </c>
      <c r="I687" s="87">
        <v>0</v>
      </c>
      <c r="K687" s="87">
        <v>0</v>
      </c>
      <c r="M687" s="87">
        <v>0</v>
      </c>
      <c r="O687" s="87">
        <v>0</v>
      </c>
      <c r="P687" s="88">
        <v>10395329.5</v>
      </c>
      <c r="Q687" s="87">
        <v>0</v>
      </c>
      <c r="R687" s="87">
        <f t="shared" si="243"/>
        <v>22</v>
      </c>
      <c r="T687" s="87">
        <v>0</v>
      </c>
      <c r="V687" s="87">
        <v>0</v>
      </c>
      <c r="X687" s="87">
        <v>0</v>
      </c>
      <c r="Y687" s="88">
        <v>10913163.5</v>
      </c>
      <c r="Z687" s="87">
        <v>0</v>
      </c>
      <c r="AA687" s="87">
        <v>22</v>
      </c>
      <c r="AB687" s="89">
        <f t="shared" si="244"/>
        <v>0</v>
      </c>
      <c r="AC687" s="89">
        <f t="shared" si="245"/>
        <v>0</v>
      </c>
      <c r="AD687" s="89">
        <f t="shared" si="246"/>
        <v>0</v>
      </c>
      <c r="AF687" s="90" t="str">
        <f t="shared" si="247"/>
        <v/>
      </c>
      <c r="AG687" s="90">
        <f t="shared" si="248"/>
        <v>22</v>
      </c>
      <c r="AH687" s="90" t="str">
        <f t="shared" si="249"/>
        <v>2018 (triag)</v>
      </c>
      <c r="AI687" s="90">
        <f t="shared" si="250"/>
        <v>22</v>
      </c>
      <c r="AJ687" s="90" t="str">
        <f t="shared" si="251"/>
        <v>2018 (triag)</v>
      </c>
      <c r="AK687" s="90" t="str">
        <f t="shared" si="252"/>
        <v/>
      </c>
      <c r="AL687" s="91">
        <f>IF(AK687="Adjust",(_xlfn.XLOOKUP(A687,'Adj factor'!A:A,'Adj factor'!I:I,,0)*AI687),'Master DataSheet (Rev)'!AI687)</f>
        <v>22</v>
      </c>
      <c r="AM687" s="91">
        <f t="shared" si="253"/>
        <v>22</v>
      </c>
      <c r="AN687" s="92" t="str">
        <f t="shared" si="254"/>
        <v>No change</v>
      </c>
      <c r="AO687" s="93">
        <f>VLOOKUP(B687,'Growthrates source'!A$2:H$49,8,FALSE)</f>
        <v>0.25992104989487319</v>
      </c>
      <c r="AP687" s="93">
        <f>VLOOKUP(B687,'Growthrates source'!A$2:I$49,9,FALSE)</f>
        <v>5.4673730437993617E-2</v>
      </c>
      <c r="AQ687" s="86">
        <f t="shared" si="255"/>
        <v>5.9980667194667587</v>
      </c>
      <c r="AR687" s="86">
        <f t="shared" si="256"/>
        <v>25.921264231868797</v>
      </c>
      <c r="AS687" s="94">
        <f t="shared" si="257"/>
        <v>0</v>
      </c>
      <c r="AT687" s="94">
        <f t="shared" si="258"/>
        <v>2.1163350329587917E-2</v>
      </c>
      <c r="AU687" s="94">
        <f t="shared" si="241"/>
        <v>2.0159140839409215E-2</v>
      </c>
      <c r="AV687" s="94">
        <f t="shared" si="242"/>
        <v>2.0159140839409215E-2</v>
      </c>
    </row>
    <row r="688" spans="1:48" x14ac:dyDescent="0.3">
      <c r="A688" s="85" t="str">
        <f>_xlfn.XLOOKUP(B688,'Country codes &amp; Data sources'!G:G,'Country codes &amp; Data sources'!H:H,,0)</f>
        <v>South Sudan</v>
      </c>
      <c r="B688" s="85" t="s">
        <v>188</v>
      </c>
      <c r="C688" s="86">
        <v>10701611.5</v>
      </c>
      <c r="D688" s="85" t="s">
        <v>62</v>
      </c>
      <c r="E688" s="87">
        <v>0</v>
      </c>
      <c r="F688" s="88">
        <v>11106031.000000004</v>
      </c>
      <c r="G688" s="87">
        <v>0</v>
      </c>
      <c r="I688" s="87">
        <v>0</v>
      </c>
      <c r="K688" s="87">
        <v>0</v>
      </c>
      <c r="M688" s="87">
        <v>0</v>
      </c>
      <c r="O688" s="87">
        <v>3435</v>
      </c>
      <c r="P688" s="88">
        <v>10395329.5</v>
      </c>
      <c r="Q688" s="87">
        <v>0</v>
      </c>
      <c r="R688" s="87">
        <f t="shared" si="243"/>
        <v>250</v>
      </c>
      <c r="T688" s="87">
        <v>0</v>
      </c>
      <c r="V688" s="87">
        <v>0</v>
      </c>
      <c r="X688" s="87">
        <v>0</v>
      </c>
      <c r="Y688" s="88">
        <v>10913163.5</v>
      </c>
      <c r="Z688" s="87">
        <v>0</v>
      </c>
      <c r="AA688" s="87">
        <v>250</v>
      </c>
      <c r="AB688" s="89">
        <f t="shared" si="244"/>
        <v>0</v>
      </c>
      <c r="AC688" s="89">
        <f t="shared" si="245"/>
        <v>3435</v>
      </c>
      <c r="AD688" s="89">
        <f t="shared" si="246"/>
        <v>0</v>
      </c>
      <c r="AF688" s="90" t="str">
        <f t="shared" si="247"/>
        <v/>
      </c>
      <c r="AG688" s="90">
        <f t="shared" si="248"/>
        <v>250</v>
      </c>
      <c r="AH688" s="90" t="str">
        <f t="shared" si="249"/>
        <v>2018 (triag)</v>
      </c>
      <c r="AI688" s="90">
        <f t="shared" si="250"/>
        <v>250</v>
      </c>
      <c r="AJ688" s="90" t="str">
        <f t="shared" si="251"/>
        <v>2018 (triag)</v>
      </c>
      <c r="AK688" s="90" t="str">
        <f t="shared" si="252"/>
        <v/>
      </c>
      <c r="AL688" s="91">
        <f>IF(AK688="Adjust",(_xlfn.XLOOKUP(A688,'Adj factor'!A:A,'Adj factor'!I:I,,0)*AI688),'Master DataSheet (Rev)'!AI688)</f>
        <v>250</v>
      </c>
      <c r="AM688" s="91">
        <f t="shared" si="253"/>
        <v>250</v>
      </c>
      <c r="AN688" s="92" t="str">
        <f t="shared" si="254"/>
        <v>No change</v>
      </c>
      <c r="AO688" s="93">
        <f>VLOOKUP(B688,'Growthrates source'!A$2:H$49,8,FALSE)</f>
        <v>0.25992104989487319</v>
      </c>
      <c r="AP688" s="93">
        <f>VLOOKUP(B688,'Growthrates source'!A$2:I$49,9,FALSE)</f>
        <v>5.4673730437993617E-2</v>
      </c>
      <c r="AQ688" s="86">
        <f t="shared" si="255"/>
        <v>68.15984908484954</v>
      </c>
      <c r="AR688" s="86">
        <f t="shared" si="256"/>
        <v>294.55982081669083</v>
      </c>
      <c r="AS688" s="94">
        <f t="shared" si="257"/>
        <v>0</v>
      </c>
      <c r="AT688" s="94">
        <f t="shared" si="258"/>
        <v>0.24049261738168087</v>
      </c>
      <c r="AU688" s="94">
        <f t="shared" si="241"/>
        <v>0.22908114590237744</v>
      </c>
      <c r="AV688" s="94">
        <f t="shared" si="242"/>
        <v>0.22908114590237744</v>
      </c>
    </row>
    <row r="689" spans="1:48" x14ac:dyDescent="0.3">
      <c r="A689" s="85" t="str">
        <f>_xlfn.XLOOKUP(B689,'Country codes &amp; Data sources'!G:G,'Country codes &amp; Data sources'!H:H,,0)</f>
        <v>South Sudan</v>
      </c>
      <c r="B689" s="85" t="s">
        <v>188</v>
      </c>
      <c r="C689" s="86">
        <v>10701612.5</v>
      </c>
      <c r="D689" s="85" t="s">
        <v>203</v>
      </c>
      <c r="E689" s="87">
        <v>0</v>
      </c>
      <c r="F689" s="88">
        <v>11106031.000000004</v>
      </c>
      <c r="G689" s="87">
        <v>0</v>
      </c>
      <c r="I689" s="87">
        <v>0</v>
      </c>
      <c r="K689" s="87">
        <v>0</v>
      </c>
      <c r="M689" s="87">
        <v>0</v>
      </c>
      <c r="O689" s="87">
        <v>0</v>
      </c>
      <c r="P689" s="88">
        <v>10395329.5</v>
      </c>
      <c r="Q689" s="87">
        <v>0</v>
      </c>
      <c r="R689" s="87">
        <f t="shared" si="243"/>
        <v>0</v>
      </c>
      <c r="T689" s="87">
        <v>5870</v>
      </c>
      <c r="V689" s="87">
        <v>0</v>
      </c>
      <c r="X689" s="87">
        <v>0</v>
      </c>
      <c r="Y689" s="88">
        <v>10913163.5</v>
      </c>
      <c r="Z689" s="87">
        <v>0</v>
      </c>
      <c r="AA689" s="87">
        <v>0</v>
      </c>
      <c r="AB689" s="89">
        <f t="shared" si="244"/>
        <v>0</v>
      </c>
      <c r="AC689" s="89">
        <f t="shared" si="245"/>
        <v>5870</v>
      </c>
      <c r="AD689" s="89">
        <f t="shared" si="246"/>
        <v>0</v>
      </c>
      <c r="AF689" s="90" t="str">
        <f t="shared" si="247"/>
        <v/>
      </c>
      <c r="AG689" s="90">
        <f t="shared" si="248"/>
        <v>5870</v>
      </c>
      <c r="AH689" s="90">
        <f t="shared" si="249"/>
        <v>2019</v>
      </c>
      <c r="AI689" s="90">
        <f t="shared" si="250"/>
        <v>5870</v>
      </c>
      <c r="AJ689" s="90">
        <f t="shared" si="251"/>
        <v>2019</v>
      </c>
      <c r="AK689" s="90" t="str">
        <f t="shared" si="252"/>
        <v/>
      </c>
      <c r="AL689" s="91">
        <f>IF(AK689="Adjust",(_xlfn.XLOOKUP(A689,'Adj factor'!A:A,'Adj factor'!I:I,,0)*AI689),'Master DataSheet (Rev)'!AI689)</f>
        <v>5870</v>
      </c>
      <c r="AM689" s="91">
        <f t="shared" si="253"/>
        <v>5870</v>
      </c>
      <c r="AN689" s="92" t="str">
        <f t="shared" si="254"/>
        <v>No change</v>
      </c>
      <c r="AO689" s="93">
        <f>VLOOKUP(B689,'Growthrates source'!A$2:H$49,8,FALSE)</f>
        <v>0.25992104989487319</v>
      </c>
      <c r="AP689" s="93">
        <f>VLOOKUP(B689,'Growthrates source'!A$2:I$49,9,FALSE)</f>
        <v>5.4673730437993617E-2</v>
      </c>
      <c r="AQ689" s="86">
        <f t="shared" si="255"/>
        <v>0</v>
      </c>
      <c r="AR689" s="86">
        <f t="shared" si="256"/>
        <v>0</v>
      </c>
      <c r="AS689" s="94">
        <f t="shared" si="257"/>
        <v>0</v>
      </c>
      <c r="AT689" s="94">
        <f t="shared" si="258"/>
        <v>5.6467666561218675</v>
      </c>
      <c r="AU689" s="94">
        <f t="shared" si="241"/>
        <v>5.3788253057878226</v>
      </c>
      <c r="AV689" s="94">
        <f t="shared" si="242"/>
        <v>5.3788253057878226</v>
      </c>
    </row>
    <row r="690" spans="1:48" x14ac:dyDescent="0.3">
      <c r="A690" s="85" t="str">
        <f>_xlfn.XLOOKUP(B690,'Country codes &amp; Data sources'!G:G,'Country codes &amp; Data sources'!H:H,,0)</f>
        <v>South Sudan</v>
      </c>
      <c r="B690" s="85" t="s">
        <v>188</v>
      </c>
      <c r="C690" s="86">
        <v>10701613.5</v>
      </c>
      <c r="D690" s="85" t="s">
        <v>204</v>
      </c>
      <c r="E690" s="87">
        <v>0</v>
      </c>
      <c r="F690" s="88">
        <v>11106031.000000004</v>
      </c>
      <c r="G690" s="87">
        <v>0</v>
      </c>
      <c r="I690" s="87">
        <v>0</v>
      </c>
      <c r="K690" s="87">
        <v>0</v>
      </c>
      <c r="M690" s="87">
        <v>0</v>
      </c>
      <c r="O690" s="87">
        <v>0</v>
      </c>
      <c r="P690" s="88">
        <v>10395329.5</v>
      </c>
      <c r="Q690" s="87">
        <v>0</v>
      </c>
      <c r="R690" s="87">
        <f t="shared" si="243"/>
        <v>20</v>
      </c>
      <c r="T690" s="87">
        <v>0</v>
      </c>
      <c r="V690" s="87">
        <v>0</v>
      </c>
      <c r="X690" s="87">
        <v>0</v>
      </c>
      <c r="Y690" s="88">
        <v>10913163.5</v>
      </c>
      <c r="Z690" s="87">
        <v>0</v>
      </c>
      <c r="AA690" s="87">
        <v>20</v>
      </c>
      <c r="AB690" s="89">
        <f t="shared" si="244"/>
        <v>0</v>
      </c>
      <c r="AC690" s="89">
        <f t="shared" si="245"/>
        <v>0</v>
      </c>
      <c r="AD690" s="89">
        <f t="shared" si="246"/>
        <v>0</v>
      </c>
      <c r="AF690" s="90" t="str">
        <f t="shared" si="247"/>
        <v/>
      </c>
      <c r="AG690" s="90">
        <f t="shared" si="248"/>
        <v>20</v>
      </c>
      <c r="AH690" s="90" t="str">
        <f t="shared" si="249"/>
        <v>2018 (triag)</v>
      </c>
      <c r="AI690" s="90">
        <f t="shared" si="250"/>
        <v>20</v>
      </c>
      <c r="AJ690" s="90" t="str">
        <f t="shared" si="251"/>
        <v>2018 (triag)</v>
      </c>
      <c r="AK690" s="90" t="str">
        <f t="shared" si="252"/>
        <v/>
      </c>
      <c r="AL690" s="91">
        <f>IF(AK690="Adjust",(_xlfn.XLOOKUP(A690,'Adj factor'!A:A,'Adj factor'!I:I,,0)*AI690),'Master DataSheet (Rev)'!AI690)</f>
        <v>20</v>
      </c>
      <c r="AM690" s="91">
        <f t="shared" si="253"/>
        <v>20</v>
      </c>
      <c r="AN690" s="92" t="str">
        <f t="shared" si="254"/>
        <v>No change</v>
      </c>
      <c r="AO690" s="93">
        <f>VLOOKUP(B690,'Growthrates source'!A$2:H$49,8,FALSE)</f>
        <v>0.25992104989487319</v>
      </c>
      <c r="AP690" s="93">
        <f>VLOOKUP(B690,'Growthrates source'!A$2:I$49,9,FALSE)</f>
        <v>5.4673730437993617E-2</v>
      </c>
      <c r="AQ690" s="86">
        <f t="shared" si="255"/>
        <v>5.4527879267879626</v>
      </c>
      <c r="AR690" s="86">
        <f t="shared" si="256"/>
        <v>23.564785665335268</v>
      </c>
      <c r="AS690" s="94">
        <f t="shared" si="257"/>
        <v>0</v>
      </c>
      <c r="AT690" s="94">
        <f t="shared" si="258"/>
        <v>1.9239409390534472E-2</v>
      </c>
      <c r="AU690" s="94">
        <f t="shared" si="241"/>
        <v>1.8326491672190196E-2</v>
      </c>
      <c r="AV690" s="94">
        <f t="shared" si="242"/>
        <v>1.8326491672190196E-2</v>
      </c>
    </row>
    <row r="691" spans="1:48" x14ac:dyDescent="0.3">
      <c r="A691" s="85" t="str">
        <f>_xlfn.XLOOKUP(B691,'Country codes &amp; Data sources'!G:G,'Country codes &amp; Data sources'!H:H,,0)</f>
        <v>South Sudan</v>
      </c>
      <c r="B691" s="85" t="s">
        <v>188</v>
      </c>
      <c r="C691" s="86">
        <v>10701614.5</v>
      </c>
      <c r="D691" s="85" t="s">
        <v>205</v>
      </c>
      <c r="E691" s="87">
        <v>0</v>
      </c>
      <c r="F691" s="88">
        <v>11106031.000000004</v>
      </c>
      <c r="G691" s="87">
        <v>0</v>
      </c>
      <c r="I691" s="87">
        <v>0</v>
      </c>
      <c r="K691" s="87">
        <v>0</v>
      </c>
      <c r="M691" s="87">
        <v>0</v>
      </c>
      <c r="O691" s="87">
        <v>0</v>
      </c>
      <c r="P691" s="88">
        <v>10395329.5</v>
      </c>
      <c r="Q691" s="87">
        <v>2</v>
      </c>
      <c r="R691" s="87">
        <f t="shared" si="243"/>
        <v>21</v>
      </c>
      <c r="T691" s="87">
        <v>0</v>
      </c>
      <c r="V691" s="87">
        <v>0</v>
      </c>
      <c r="X691" s="87">
        <v>0</v>
      </c>
      <c r="Y691" s="88">
        <v>10913163.5</v>
      </c>
      <c r="Z691" s="87">
        <v>0</v>
      </c>
      <c r="AA691" s="87">
        <v>21</v>
      </c>
      <c r="AB691" s="89">
        <f t="shared" si="244"/>
        <v>0</v>
      </c>
      <c r="AC691" s="89">
        <f t="shared" si="245"/>
        <v>2</v>
      </c>
      <c r="AD691" s="89">
        <f t="shared" si="246"/>
        <v>0</v>
      </c>
      <c r="AF691" s="90" t="str">
        <f t="shared" si="247"/>
        <v/>
      </c>
      <c r="AG691" s="90">
        <f t="shared" si="248"/>
        <v>21</v>
      </c>
      <c r="AH691" s="90" t="str">
        <f t="shared" si="249"/>
        <v>2018 (triag)</v>
      </c>
      <c r="AI691" s="90">
        <f t="shared" si="250"/>
        <v>21</v>
      </c>
      <c r="AJ691" s="90" t="str">
        <f t="shared" si="251"/>
        <v>2018 (triag)</v>
      </c>
      <c r="AK691" s="90" t="str">
        <f t="shared" si="252"/>
        <v/>
      </c>
      <c r="AL691" s="91">
        <f>IF(AK691="Adjust",(_xlfn.XLOOKUP(A691,'Adj factor'!A:A,'Adj factor'!I:I,,0)*AI691),'Master DataSheet (Rev)'!AI691)</f>
        <v>21</v>
      </c>
      <c r="AM691" s="91">
        <f t="shared" si="253"/>
        <v>21</v>
      </c>
      <c r="AN691" s="92" t="str">
        <f t="shared" si="254"/>
        <v>No change</v>
      </c>
      <c r="AO691" s="93">
        <f>VLOOKUP(B691,'Growthrates source'!A$2:H$49,8,FALSE)</f>
        <v>0.25992104989487319</v>
      </c>
      <c r="AP691" s="93">
        <f>VLOOKUP(B691,'Growthrates source'!A$2:I$49,9,FALSE)</f>
        <v>5.4673730437993617E-2</v>
      </c>
      <c r="AQ691" s="86">
        <f t="shared" si="255"/>
        <v>5.7254273231273611</v>
      </c>
      <c r="AR691" s="86">
        <f t="shared" si="256"/>
        <v>24.743024948602031</v>
      </c>
      <c r="AS691" s="94">
        <f t="shared" si="257"/>
        <v>0</v>
      </c>
      <c r="AT691" s="94">
        <f t="shared" si="258"/>
        <v>2.0201379860061194E-2</v>
      </c>
      <c r="AU691" s="94">
        <f t="shared" si="241"/>
        <v>1.9242816255799704E-2</v>
      </c>
      <c r="AV691" s="94">
        <f t="shared" si="242"/>
        <v>1.9242816255799704E-2</v>
      </c>
    </row>
    <row r="692" spans="1:48" x14ac:dyDescent="0.3">
      <c r="A692" s="85" t="str">
        <f>_xlfn.XLOOKUP(B692,'Country codes &amp; Data sources'!G:G,'Country codes &amp; Data sources'!H:H,,0)</f>
        <v>South Sudan</v>
      </c>
      <c r="B692" s="85" t="s">
        <v>188</v>
      </c>
      <c r="C692" s="86">
        <v>10701615.5</v>
      </c>
      <c r="D692" s="85" t="s">
        <v>133</v>
      </c>
      <c r="E692" s="87">
        <v>0</v>
      </c>
      <c r="F692" s="88">
        <v>11106031.000000004</v>
      </c>
      <c r="G692" s="87">
        <v>0</v>
      </c>
      <c r="I692" s="87">
        <v>0</v>
      </c>
      <c r="K692" s="87">
        <v>0</v>
      </c>
      <c r="M692" s="87">
        <v>0</v>
      </c>
      <c r="O692" s="87">
        <v>0</v>
      </c>
      <c r="P692" s="88">
        <v>10395329.5</v>
      </c>
      <c r="Q692" s="87">
        <v>272</v>
      </c>
      <c r="R692" s="87">
        <f t="shared" si="243"/>
        <v>272</v>
      </c>
      <c r="T692" s="87">
        <v>485</v>
      </c>
      <c r="V692" s="87">
        <v>635</v>
      </c>
      <c r="X692" s="87">
        <v>0</v>
      </c>
      <c r="Y692" s="88">
        <v>10913163.5</v>
      </c>
      <c r="Z692" s="87">
        <v>0</v>
      </c>
      <c r="AA692" s="87">
        <v>16</v>
      </c>
      <c r="AB692" s="89">
        <f t="shared" si="244"/>
        <v>0</v>
      </c>
      <c r="AC692" s="89">
        <f t="shared" si="245"/>
        <v>485</v>
      </c>
      <c r="AD692" s="89">
        <f t="shared" si="246"/>
        <v>635</v>
      </c>
      <c r="AF692" s="90" t="str">
        <f t="shared" si="247"/>
        <v/>
      </c>
      <c r="AG692" s="90">
        <f t="shared" si="248"/>
        <v>272</v>
      </c>
      <c r="AH692" s="90">
        <f t="shared" si="249"/>
        <v>2018</v>
      </c>
      <c r="AI692" s="90">
        <f t="shared" si="250"/>
        <v>635</v>
      </c>
      <c r="AJ692" s="90">
        <f t="shared" si="251"/>
        <v>2020</v>
      </c>
      <c r="AK692" s="90" t="str">
        <f t="shared" si="252"/>
        <v/>
      </c>
      <c r="AL692" s="91">
        <f>IF(AK692="Adjust",(_xlfn.XLOOKUP(A692,'Adj factor'!A:A,'Adj factor'!I:I,,0)*AI692),'Master DataSheet (Rev)'!AI692)</f>
        <v>635</v>
      </c>
      <c r="AM692" s="91">
        <f t="shared" si="253"/>
        <v>635</v>
      </c>
      <c r="AN692" s="92" t="str">
        <f t="shared" si="254"/>
        <v>Increasing</v>
      </c>
      <c r="AO692" s="93">
        <f>VLOOKUP(B692,'Growthrates source'!A$2:H$49,8,FALSE)</f>
        <v>0.25992104989487319</v>
      </c>
      <c r="AP692" s="93">
        <f>VLOOKUP(B692,'Growthrates source'!A$2:I$49,9,FALSE)</f>
        <v>5.4673730437993617E-2</v>
      </c>
      <c r="AQ692" s="86">
        <f t="shared" si="255"/>
        <v>4.3622303414303705</v>
      </c>
      <c r="AR692" s="86">
        <f t="shared" si="256"/>
        <v>18.851828532268215</v>
      </c>
      <c r="AS692" s="94">
        <f t="shared" si="257"/>
        <v>0</v>
      </c>
      <c r="AT692" s="94">
        <f t="shared" si="258"/>
        <v>0.26165596771126881</v>
      </c>
      <c r="AU692" s="94">
        <f t="shared" si="241"/>
        <v>0.58186611059203874</v>
      </c>
      <c r="AV692" s="94">
        <f t="shared" si="242"/>
        <v>0.58186611059203874</v>
      </c>
    </row>
    <row r="693" spans="1:48" x14ac:dyDescent="0.3">
      <c r="A693" s="85" t="str">
        <f>_xlfn.XLOOKUP(B693,'Country codes &amp; Data sources'!G:G,'Country codes &amp; Data sources'!H:H,,0)</f>
        <v>South Sudan</v>
      </c>
      <c r="B693" s="85" t="s">
        <v>188</v>
      </c>
      <c r="C693" s="86">
        <v>10701616.5</v>
      </c>
      <c r="D693" s="85" t="s">
        <v>206</v>
      </c>
      <c r="E693" s="87">
        <v>0</v>
      </c>
      <c r="F693" s="88">
        <v>11106031.000000004</v>
      </c>
      <c r="G693" s="87">
        <v>0</v>
      </c>
      <c r="I693" s="87">
        <v>0</v>
      </c>
      <c r="K693" s="87">
        <v>0</v>
      </c>
      <c r="M693" s="87">
        <v>0</v>
      </c>
      <c r="O693" s="87">
        <v>0</v>
      </c>
      <c r="P693" s="88">
        <v>10395329.5</v>
      </c>
      <c r="Q693" s="87">
        <v>0</v>
      </c>
      <c r="R693" s="87">
        <f t="shared" si="243"/>
        <v>1306</v>
      </c>
      <c r="T693" s="87">
        <v>0</v>
      </c>
      <c r="V693" s="87">
        <v>0</v>
      </c>
      <c r="X693" s="87">
        <v>0</v>
      </c>
      <c r="Y693" s="88">
        <v>10913163.5</v>
      </c>
      <c r="Z693" s="87">
        <v>0</v>
      </c>
      <c r="AA693" s="87">
        <v>1306</v>
      </c>
      <c r="AB693" s="89">
        <f t="shared" si="244"/>
        <v>0</v>
      </c>
      <c r="AC693" s="89">
        <f t="shared" si="245"/>
        <v>0</v>
      </c>
      <c r="AD693" s="89">
        <f t="shared" si="246"/>
        <v>0</v>
      </c>
      <c r="AF693" s="90" t="str">
        <f t="shared" si="247"/>
        <v/>
      </c>
      <c r="AG693" s="90">
        <f t="shared" si="248"/>
        <v>1306</v>
      </c>
      <c r="AH693" s="90" t="str">
        <f t="shared" si="249"/>
        <v>2018 (triag)</v>
      </c>
      <c r="AI693" s="90">
        <f t="shared" si="250"/>
        <v>1306</v>
      </c>
      <c r="AJ693" s="90" t="str">
        <f t="shared" si="251"/>
        <v>2018 (triag)</v>
      </c>
      <c r="AK693" s="90" t="str">
        <f t="shared" si="252"/>
        <v/>
      </c>
      <c r="AL693" s="91">
        <f>IF(AK693="Adjust",(_xlfn.XLOOKUP(A693,'Adj factor'!A:A,'Adj factor'!I:I,,0)*AI693),'Master DataSheet (Rev)'!AI693)</f>
        <v>1306</v>
      </c>
      <c r="AM693" s="91">
        <f t="shared" si="253"/>
        <v>1306</v>
      </c>
      <c r="AN693" s="92" t="str">
        <f t="shared" si="254"/>
        <v>No change</v>
      </c>
      <c r="AO693" s="93">
        <f>VLOOKUP(B693,'Growthrates source'!A$2:H$49,8,FALSE)</f>
        <v>0.25992104989487319</v>
      </c>
      <c r="AP693" s="93">
        <f>VLOOKUP(B693,'Growthrates source'!A$2:I$49,9,FALSE)</f>
        <v>5.4673730437993617E-2</v>
      </c>
      <c r="AQ693" s="86">
        <f t="shared" si="255"/>
        <v>356.06705161925396</v>
      </c>
      <c r="AR693" s="86">
        <f t="shared" si="256"/>
        <v>1538.7805039463931</v>
      </c>
      <c r="AS693" s="94">
        <f t="shared" si="257"/>
        <v>0</v>
      </c>
      <c r="AT693" s="94">
        <f t="shared" si="258"/>
        <v>1.2563334332019009</v>
      </c>
      <c r="AU693" s="94">
        <f t="shared" si="241"/>
        <v>1.1967199061940197</v>
      </c>
      <c r="AV693" s="94">
        <f t="shared" si="242"/>
        <v>1.1967199061940197</v>
      </c>
    </row>
    <row r="694" spans="1:48" x14ac:dyDescent="0.3">
      <c r="A694" s="85" t="str">
        <f>_xlfn.XLOOKUP(B694,'Country codes &amp; Data sources'!G:G,'Country codes &amp; Data sources'!H:H,,0)</f>
        <v>South Sudan</v>
      </c>
      <c r="B694" s="85" t="s">
        <v>188</v>
      </c>
      <c r="C694" s="86">
        <v>10701617.5</v>
      </c>
      <c r="D694" s="85" t="s">
        <v>136</v>
      </c>
      <c r="E694" s="87">
        <v>0</v>
      </c>
      <c r="F694" s="88">
        <v>11106031.000000004</v>
      </c>
      <c r="G694" s="87">
        <v>0</v>
      </c>
      <c r="I694" s="87">
        <v>0</v>
      </c>
      <c r="K694" s="87">
        <v>0</v>
      </c>
      <c r="M694" s="87">
        <v>0</v>
      </c>
      <c r="O694" s="87">
        <v>0</v>
      </c>
      <c r="P694" s="88">
        <v>10395329.5</v>
      </c>
      <c r="Q694" s="87">
        <v>0</v>
      </c>
      <c r="R694" s="87">
        <f t="shared" si="243"/>
        <v>6</v>
      </c>
      <c r="T694" s="87">
        <v>13</v>
      </c>
      <c r="V694" s="87">
        <v>16</v>
      </c>
      <c r="X694" s="87">
        <v>0</v>
      </c>
      <c r="Y694" s="88">
        <v>10913163.5</v>
      </c>
      <c r="Z694" s="87">
        <v>0</v>
      </c>
      <c r="AA694" s="87">
        <v>6</v>
      </c>
      <c r="AB694" s="89">
        <f t="shared" si="244"/>
        <v>0</v>
      </c>
      <c r="AC694" s="89">
        <f t="shared" si="245"/>
        <v>13</v>
      </c>
      <c r="AD694" s="89">
        <f t="shared" si="246"/>
        <v>16</v>
      </c>
      <c r="AF694" s="90" t="str">
        <f t="shared" si="247"/>
        <v/>
      </c>
      <c r="AG694" s="90">
        <f t="shared" si="248"/>
        <v>6</v>
      </c>
      <c r="AH694" s="90" t="str">
        <f t="shared" si="249"/>
        <v>2018 (triag)</v>
      </c>
      <c r="AI694" s="90">
        <f t="shared" si="250"/>
        <v>16</v>
      </c>
      <c r="AJ694" s="90">
        <f t="shared" si="251"/>
        <v>2020</v>
      </c>
      <c r="AK694" s="90" t="str">
        <f t="shared" si="252"/>
        <v/>
      </c>
      <c r="AL694" s="91">
        <f>IF(AK694="Adjust",(_xlfn.XLOOKUP(A694,'Adj factor'!A:A,'Adj factor'!I:I,,0)*AI694),'Master DataSheet (Rev)'!AI694)</f>
        <v>16</v>
      </c>
      <c r="AM694" s="91">
        <f t="shared" si="253"/>
        <v>16</v>
      </c>
      <c r="AN694" s="92" t="str">
        <f t="shared" si="254"/>
        <v>Increasing</v>
      </c>
      <c r="AO694" s="93">
        <f>VLOOKUP(B694,'Growthrates source'!A$2:H$49,8,FALSE)</f>
        <v>0.25992104989487319</v>
      </c>
      <c r="AP694" s="93">
        <f>VLOOKUP(B694,'Growthrates source'!A$2:I$49,9,FALSE)</f>
        <v>5.4673730437993617E-2</v>
      </c>
      <c r="AQ694" s="86">
        <f t="shared" si="255"/>
        <v>1.6358363780363889</v>
      </c>
      <c r="AR694" s="86">
        <f t="shared" si="256"/>
        <v>7.0694356996005805</v>
      </c>
      <c r="AS694" s="94">
        <f t="shared" si="257"/>
        <v>0</v>
      </c>
      <c r="AT694" s="94">
        <f t="shared" si="258"/>
        <v>5.7718228171603414E-3</v>
      </c>
      <c r="AU694" s="94">
        <f t="shared" si="241"/>
        <v>1.4661193337752156E-2</v>
      </c>
      <c r="AV694" s="94">
        <f t="shared" si="242"/>
        <v>1.4661193337752156E-2</v>
      </c>
    </row>
    <row r="695" spans="1:48" x14ac:dyDescent="0.3">
      <c r="A695" s="85" t="str">
        <f>_xlfn.XLOOKUP(B695,'Country codes &amp; Data sources'!G:G,'Country codes &amp; Data sources'!H:H,,0)</f>
        <v>South Sudan</v>
      </c>
      <c r="B695" s="85" t="s">
        <v>188</v>
      </c>
      <c r="C695" s="86">
        <v>10701618.5</v>
      </c>
      <c r="D695" s="85" t="s">
        <v>207</v>
      </c>
      <c r="E695" s="87">
        <v>0</v>
      </c>
      <c r="F695" s="88">
        <v>11106031.000000004</v>
      </c>
      <c r="G695" s="87">
        <v>0</v>
      </c>
      <c r="I695" s="87">
        <v>0</v>
      </c>
      <c r="K695" s="87">
        <v>0</v>
      </c>
      <c r="M695" s="87">
        <v>0</v>
      </c>
      <c r="O695" s="87">
        <v>0</v>
      </c>
      <c r="P695" s="88">
        <v>10395329.5</v>
      </c>
      <c r="Q695" s="87">
        <v>0</v>
      </c>
      <c r="R695" s="87">
        <f t="shared" si="243"/>
        <v>57</v>
      </c>
      <c r="T695" s="87">
        <v>850</v>
      </c>
      <c r="V695" s="87">
        <v>1006</v>
      </c>
      <c r="X695" s="87">
        <v>0</v>
      </c>
      <c r="Y695" s="88">
        <v>10913163.5</v>
      </c>
      <c r="Z695" s="87">
        <v>0</v>
      </c>
      <c r="AA695" s="87">
        <v>57</v>
      </c>
      <c r="AB695" s="89">
        <f t="shared" si="244"/>
        <v>0</v>
      </c>
      <c r="AC695" s="89">
        <f t="shared" si="245"/>
        <v>850</v>
      </c>
      <c r="AD695" s="89">
        <f t="shared" si="246"/>
        <v>1006</v>
      </c>
      <c r="AF695" s="90" t="str">
        <f t="shared" si="247"/>
        <v/>
      </c>
      <c r="AG695" s="90">
        <f t="shared" si="248"/>
        <v>57</v>
      </c>
      <c r="AH695" s="90" t="str">
        <f t="shared" si="249"/>
        <v>2018 (triag)</v>
      </c>
      <c r="AI695" s="90">
        <f t="shared" si="250"/>
        <v>1006</v>
      </c>
      <c r="AJ695" s="90">
        <f t="shared" si="251"/>
        <v>2020</v>
      </c>
      <c r="AK695" s="90" t="str">
        <f t="shared" si="252"/>
        <v/>
      </c>
      <c r="AL695" s="91">
        <f>IF(AK695="Adjust",(_xlfn.XLOOKUP(A695,'Adj factor'!A:A,'Adj factor'!I:I,,0)*AI695),'Master DataSheet (Rev)'!AI695)</f>
        <v>1006</v>
      </c>
      <c r="AM695" s="91">
        <f t="shared" si="253"/>
        <v>1006</v>
      </c>
      <c r="AN695" s="92" t="str">
        <f t="shared" si="254"/>
        <v>Increasing</v>
      </c>
      <c r="AO695" s="93">
        <f>VLOOKUP(B695,'Growthrates source'!A$2:H$49,8,FALSE)</f>
        <v>0.25992104989487319</v>
      </c>
      <c r="AP695" s="93">
        <f>VLOOKUP(B695,'Growthrates source'!A$2:I$49,9,FALSE)</f>
        <v>5.4673730437993617E-2</v>
      </c>
      <c r="AQ695" s="86">
        <f t="shared" si="255"/>
        <v>15.540445591345694</v>
      </c>
      <c r="AR695" s="86">
        <f t="shared" si="256"/>
        <v>67.159639146205521</v>
      </c>
      <c r="AS695" s="94">
        <f t="shared" si="257"/>
        <v>0</v>
      </c>
      <c r="AT695" s="94">
        <f t="shared" si="258"/>
        <v>5.4832316763023241E-2</v>
      </c>
      <c r="AU695" s="94">
        <f t="shared" si="241"/>
        <v>0.92182253111116685</v>
      </c>
      <c r="AV695" s="94">
        <f t="shared" si="242"/>
        <v>0.92182253111116685</v>
      </c>
    </row>
    <row r="696" spans="1:48" x14ac:dyDescent="0.3">
      <c r="A696" s="85" t="str">
        <f>_xlfn.XLOOKUP(B696,'Country codes &amp; Data sources'!G:G,'Country codes &amp; Data sources'!H:H,,0)</f>
        <v>South Sudan</v>
      </c>
      <c r="B696" s="85" t="s">
        <v>188</v>
      </c>
      <c r="C696" s="86">
        <v>10701619.5</v>
      </c>
      <c r="D696" s="85" t="s">
        <v>141</v>
      </c>
      <c r="E696" s="87">
        <v>0</v>
      </c>
      <c r="F696" s="88">
        <v>11106031.000000004</v>
      </c>
      <c r="G696" s="87">
        <v>0</v>
      </c>
      <c r="I696" s="87">
        <v>0</v>
      </c>
      <c r="K696" s="87">
        <v>0</v>
      </c>
      <c r="M696" s="87">
        <v>0</v>
      </c>
      <c r="O696" s="87">
        <v>0</v>
      </c>
      <c r="P696" s="88">
        <v>10395329.5</v>
      </c>
      <c r="Q696" s="87">
        <v>0</v>
      </c>
      <c r="R696" s="87">
        <f t="shared" si="243"/>
        <v>7</v>
      </c>
      <c r="T696" s="87">
        <v>13</v>
      </c>
      <c r="V696" s="87">
        <v>24</v>
      </c>
      <c r="X696" s="87">
        <v>0</v>
      </c>
      <c r="Y696" s="88">
        <v>10913163.5</v>
      </c>
      <c r="Z696" s="87">
        <v>0</v>
      </c>
      <c r="AA696" s="87">
        <v>7</v>
      </c>
      <c r="AB696" s="89">
        <f t="shared" si="244"/>
        <v>0</v>
      </c>
      <c r="AC696" s="89">
        <f t="shared" si="245"/>
        <v>13</v>
      </c>
      <c r="AD696" s="89">
        <f t="shared" si="246"/>
        <v>24</v>
      </c>
      <c r="AF696" s="90" t="str">
        <f t="shared" si="247"/>
        <v/>
      </c>
      <c r="AG696" s="90">
        <f t="shared" si="248"/>
        <v>7</v>
      </c>
      <c r="AH696" s="90" t="str">
        <f t="shared" si="249"/>
        <v>2018 (triag)</v>
      </c>
      <c r="AI696" s="90">
        <f t="shared" si="250"/>
        <v>24</v>
      </c>
      <c r="AJ696" s="90">
        <f t="shared" si="251"/>
        <v>2020</v>
      </c>
      <c r="AK696" s="90" t="str">
        <f t="shared" si="252"/>
        <v/>
      </c>
      <c r="AL696" s="91">
        <f>IF(AK696="Adjust",(_xlfn.XLOOKUP(A696,'Adj factor'!A:A,'Adj factor'!I:I,,0)*AI696),'Master DataSheet (Rev)'!AI696)</f>
        <v>24</v>
      </c>
      <c r="AM696" s="91">
        <f t="shared" si="253"/>
        <v>24</v>
      </c>
      <c r="AN696" s="92" t="str">
        <f t="shared" si="254"/>
        <v>Increasing</v>
      </c>
      <c r="AO696" s="93">
        <f>VLOOKUP(B696,'Growthrates source'!A$2:H$49,8,FALSE)</f>
        <v>0.25992104989487319</v>
      </c>
      <c r="AP696" s="93">
        <f>VLOOKUP(B696,'Growthrates source'!A$2:I$49,9,FALSE)</f>
        <v>5.4673730437993617E-2</v>
      </c>
      <c r="AQ696" s="86">
        <f t="shared" si="255"/>
        <v>1.908475774375787</v>
      </c>
      <c r="AR696" s="86">
        <f t="shared" si="256"/>
        <v>8.2476749828673448</v>
      </c>
      <c r="AS696" s="94">
        <f t="shared" si="257"/>
        <v>0</v>
      </c>
      <c r="AT696" s="94">
        <f t="shared" si="258"/>
        <v>6.7337932866870648E-3</v>
      </c>
      <c r="AU696" s="94">
        <f t="shared" si="241"/>
        <v>2.1991790006628233E-2</v>
      </c>
      <c r="AV696" s="94">
        <f t="shared" si="242"/>
        <v>2.1991790006628233E-2</v>
      </c>
    </row>
    <row r="697" spans="1:48" x14ac:dyDescent="0.3">
      <c r="A697" s="85" t="str">
        <f>_xlfn.XLOOKUP(B697,'Country codes &amp; Data sources'!G:G,'Country codes &amp; Data sources'!H:H,,0)</f>
        <v>South Sudan</v>
      </c>
      <c r="B697" s="85" t="s">
        <v>188</v>
      </c>
      <c r="C697" s="86">
        <v>10701620.5</v>
      </c>
      <c r="D697" s="85" t="s">
        <v>208</v>
      </c>
      <c r="E697" s="87">
        <v>0</v>
      </c>
      <c r="F697" s="88">
        <v>11106031.000000004</v>
      </c>
      <c r="G697" s="87">
        <v>0</v>
      </c>
      <c r="I697" s="87">
        <v>0</v>
      </c>
      <c r="K697" s="87">
        <v>0</v>
      </c>
      <c r="M697" s="87">
        <v>0</v>
      </c>
      <c r="O697" s="87">
        <v>0</v>
      </c>
      <c r="P697" s="88">
        <v>10395329.5</v>
      </c>
      <c r="Q697" s="87">
        <v>0</v>
      </c>
      <c r="R697" s="87">
        <f t="shared" si="243"/>
        <v>0</v>
      </c>
      <c r="T697" s="87">
        <v>0</v>
      </c>
      <c r="V697" s="87">
        <v>0</v>
      </c>
      <c r="X697" s="87">
        <v>0</v>
      </c>
      <c r="Y697" s="88">
        <v>10913163.5</v>
      </c>
      <c r="Z697" s="87">
        <v>0</v>
      </c>
      <c r="AA697" s="87">
        <v>0</v>
      </c>
      <c r="AB697" s="89">
        <f t="shared" si="244"/>
        <v>0</v>
      </c>
      <c r="AC697" s="89">
        <f t="shared" si="245"/>
        <v>0</v>
      </c>
      <c r="AD697" s="89">
        <f t="shared" si="246"/>
        <v>0</v>
      </c>
      <c r="AF697" s="90" t="str">
        <f t="shared" si="247"/>
        <v/>
      </c>
      <c r="AH697" s="90" t="str">
        <f t="shared" si="249"/>
        <v/>
      </c>
      <c r="AI697" s="90">
        <f t="shared" si="250"/>
        <v>0</v>
      </c>
      <c r="AJ697" s="90" t="str">
        <f t="shared" si="251"/>
        <v/>
      </c>
      <c r="AK697" s="90" t="str">
        <f t="shared" si="252"/>
        <v/>
      </c>
      <c r="AL697" s="91"/>
      <c r="AM697" s="91">
        <f t="shared" si="253"/>
        <v>0</v>
      </c>
      <c r="AN697" s="92" t="str">
        <f t="shared" si="254"/>
        <v>No change</v>
      </c>
      <c r="AO697" s="93">
        <f>VLOOKUP(B697,'Growthrates source'!A$2:H$49,8,FALSE)</f>
        <v>0.25992104989487319</v>
      </c>
      <c r="AP697" s="93">
        <f>VLOOKUP(B697,'Growthrates source'!A$2:I$49,9,FALSE)</f>
        <v>5.4673730437993617E-2</v>
      </c>
      <c r="AQ697" s="86">
        <f t="shared" si="255"/>
        <v>0</v>
      </c>
      <c r="AR697" s="86">
        <f t="shared" si="256"/>
        <v>0</v>
      </c>
      <c r="AS697" s="94">
        <f t="shared" si="257"/>
        <v>0</v>
      </c>
      <c r="AT697" s="94">
        <f t="shared" si="258"/>
        <v>0</v>
      </c>
      <c r="AU697" s="94">
        <f t="shared" si="241"/>
        <v>0</v>
      </c>
      <c r="AV697" s="94">
        <f t="shared" si="242"/>
        <v>0</v>
      </c>
    </row>
    <row r="698" spans="1:48" x14ac:dyDescent="0.3">
      <c r="A698" s="85" t="str">
        <f>_xlfn.XLOOKUP(B698,'Country codes &amp; Data sources'!G:G,'Country codes &amp; Data sources'!H:H,,0)</f>
        <v>South Sudan</v>
      </c>
      <c r="B698" s="85" t="s">
        <v>188</v>
      </c>
      <c r="C698" s="86">
        <v>10701621.5</v>
      </c>
      <c r="D698" s="85" t="s">
        <v>209</v>
      </c>
      <c r="E698" s="87">
        <v>0</v>
      </c>
      <c r="F698" s="88">
        <v>11106031.000000004</v>
      </c>
      <c r="G698" s="87">
        <v>0</v>
      </c>
      <c r="I698" s="87">
        <v>0</v>
      </c>
      <c r="K698" s="87">
        <v>0</v>
      </c>
      <c r="M698" s="87">
        <v>0</v>
      </c>
      <c r="O698" s="87">
        <v>0</v>
      </c>
      <c r="P698" s="88">
        <v>10395329.5</v>
      </c>
      <c r="Q698" s="87">
        <v>0</v>
      </c>
      <c r="R698" s="87">
        <f t="shared" si="243"/>
        <v>0</v>
      </c>
      <c r="T698" s="87">
        <v>0</v>
      </c>
      <c r="V698" s="87">
        <v>0</v>
      </c>
      <c r="X698" s="87">
        <v>0</v>
      </c>
      <c r="Y698" s="88">
        <v>10913163.5</v>
      </c>
      <c r="Z698" s="87">
        <v>0</v>
      </c>
      <c r="AA698" s="87">
        <v>0</v>
      </c>
      <c r="AB698" s="89">
        <f t="shared" si="244"/>
        <v>0</v>
      </c>
      <c r="AC698" s="89">
        <f t="shared" si="245"/>
        <v>0</v>
      </c>
      <c r="AD698" s="89">
        <f t="shared" si="246"/>
        <v>0</v>
      </c>
      <c r="AF698" s="90" t="str">
        <f t="shared" si="247"/>
        <v/>
      </c>
      <c r="AH698" s="90" t="str">
        <f t="shared" si="249"/>
        <v/>
      </c>
      <c r="AI698" s="90">
        <f t="shared" si="250"/>
        <v>0</v>
      </c>
      <c r="AJ698" s="90" t="str">
        <f t="shared" si="251"/>
        <v/>
      </c>
      <c r="AK698" s="90" t="str">
        <f t="shared" si="252"/>
        <v/>
      </c>
      <c r="AL698" s="91"/>
      <c r="AM698" s="91">
        <f t="shared" si="253"/>
        <v>0</v>
      </c>
      <c r="AN698" s="92" t="str">
        <f t="shared" si="254"/>
        <v>No change</v>
      </c>
      <c r="AO698" s="93">
        <f>VLOOKUP(B698,'Growthrates source'!A$2:H$49,8,FALSE)</f>
        <v>0.25992104989487319</v>
      </c>
      <c r="AP698" s="93">
        <f>VLOOKUP(B698,'Growthrates source'!A$2:I$49,9,FALSE)</f>
        <v>5.4673730437993617E-2</v>
      </c>
      <c r="AQ698" s="86">
        <f t="shared" si="255"/>
        <v>0</v>
      </c>
      <c r="AR698" s="86">
        <f t="shared" si="256"/>
        <v>0</v>
      </c>
      <c r="AS698" s="94">
        <f t="shared" si="257"/>
        <v>0</v>
      </c>
      <c r="AT698" s="94">
        <f t="shared" si="258"/>
        <v>0</v>
      </c>
      <c r="AU698" s="94">
        <f t="shared" si="241"/>
        <v>0</v>
      </c>
      <c r="AV698" s="94">
        <f t="shared" si="242"/>
        <v>0</v>
      </c>
    </row>
    <row r="699" spans="1:48" x14ac:dyDescent="0.3">
      <c r="A699" s="85" t="str">
        <f>_xlfn.XLOOKUP(B699,'Country codes &amp; Data sources'!G:G,'Country codes &amp; Data sources'!H:H,,0)</f>
        <v>South Sudan</v>
      </c>
      <c r="B699" s="85" t="s">
        <v>188</v>
      </c>
      <c r="C699" s="86">
        <v>10701622.5</v>
      </c>
      <c r="D699" s="85" t="s">
        <v>134</v>
      </c>
      <c r="E699" s="87">
        <v>0</v>
      </c>
      <c r="F699" s="88">
        <v>11106031.000000004</v>
      </c>
      <c r="G699" s="87">
        <v>0</v>
      </c>
      <c r="I699" s="87">
        <v>0</v>
      </c>
      <c r="K699" s="87">
        <v>0</v>
      </c>
      <c r="M699" s="87">
        <v>0</v>
      </c>
      <c r="O699" s="87">
        <v>0</v>
      </c>
      <c r="P699" s="88">
        <v>10395329.5</v>
      </c>
      <c r="Q699" s="87">
        <v>0</v>
      </c>
      <c r="R699" s="87">
        <f t="shared" si="243"/>
        <v>272</v>
      </c>
      <c r="T699" s="87">
        <v>0</v>
      </c>
      <c r="V699" s="87">
        <v>0</v>
      </c>
      <c r="X699" s="87">
        <v>0</v>
      </c>
      <c r="Y699" s="88">
        <v>10913163.5</v>
      </c>
      <c r="Z699" s="87">
        <v>0</v>
      </c>
      <c r="AA699" s="87">
        <v>272</v>
      </c>
      <c r="AB699" s="89">
        <f t="shared" si="244"/>
        <v>0</v>
      </c>
      <c r="AC699" s="89">
        <f t="shared" si="245"/>
        <v>0</v>
      </c>
      <c r="AD699" s="89">
        <f t="shared" si="246"/>
        <v>0</v>
      </c>
      <c r="AF699" s="90" t="str">
        <f t="shared" si="247"/>
        <v/>
      </c>
      <c r="AG699" s="90">
        <f t="shared" si="248"/>
        <v>272</v>
      </c>
      <c r="AH699" s="90" t="str">
        <f t="shared" si="249"/>
        <v>2018 (triag)</v>
      </c>
      <c r="AI699" s="90">
        <f t="shared" si="250"/>
        <v>272</v>
      </c>
      <c r="AJ699" s="90" t="str">
        <f t="shared" si="251"/>
        <v>2018 (triag)</v>
      </c>
      <c r="AK699" s="90" t="str">
        <f t="shared" si="252"/>
        <v/>
      </c>
      <c r="AL699" s="91">
        <f>IF(AK699="Adjust",(_xlfn.XLOOKUP(A699,'Adj factor'!A:A,'Adj factor'!I:I,,0)*AI699),'Master DataSheet (Rev)'!AI699)</f>
        <v>272</v>
      </c>
      <c r="AM699" s="91">
        <f t="shared" si="253"/>
        <v>272</v>
      </c>
      <c r="AN699" s="92" t="str">
        <f t="shared" si="254"/>
        <v>No change</v>
      </c>
      <c r="AO699" s="93">
        <f>VLOOKUP(B699,'Growthrates source'!A$2:H$49,8,FALSE)</f>
        <v>0.25992104989487319</v>
      </c>
      <c r="AP699" s="93">
        <f>VLOOKUP(B699,'Growthrates source'!A$2:I$49,9,FALSE)</f>
        <v>5.4673730437993617E-2</v>
      </c>
      <c r="AQ699" s="86">
        <f t="shared" si="255"/>
        <v>74.157915804316289</v>
      </c>
      <c r="AR699" s="86">
        <f t="shared" si="256"/>
        <v>320.48108504855963</v>
      </c>
      <c r="AS699" s="94">
        <f t="shared" si="257"/>
        <v>0</v>
      </c>
      <c r="AT699" s="94">
        <f t="shared" si="258"/>
        <v>0.26165596771126881</v>
      </c>
      <c r="AU699" s="94">
        <f t="shared" si="241"/>
        <v>0.24924028674178664</v>
      </c>
      <c r="AV699" s="94">
        <f t="shared" si="242"/>
        <v>0.24924028674178664</v>
      </c>
    </row>
    <row r="700" spans="1:48" x14ac:dyDescent="0.3">
      <c r="A700" s="85" t="str">
        <f>_xlfn.XLOOKUP(B700,'Country codes &amp; Data sources'!G:G,'Country codes &amp; Data sources'!H:H,,0)</f>
        <v>South Sudan</v>
      </c>
      <c r="B700" s="85" t="s">
        <v>188</v>
      </c>
      <c r="C700" s="86">
        <v>10701623.5</v>
      </c>
      <c r="D700" s="85" t="s">
        <v>142</v>
      </c>
      <c r="E700" s="87">
        <v>0</v>
      </c>
      <c r="F700" s="88">
        <v>11106031.000000004</v>
      </c>
      <c r="G700" s="87">
        <v>0</v>
      </c>
      <c r="I700" s="87">
        <v>0</v>
      </c>
      <c r="K700" s="87">
        <v>0</v>
      </c>
      <c r="M700" s="87">
        <v>0</v>
      </c>
      <c r="O700" s="87">
        <v>0</v>
      </c>
      <c r="P700" s="88">
        <v>10395329.5</v>
      </c>
      <c r="Q700" s="87">
        <v>0</v>
      </c>
      <c r="R700" s="87">
        <f t="shared" si="243"/>
        <v>0</v>
      </c>
      <c r="T700" s="87">
        <v>580</v>
      </c>
      <c r="V700" s="87">
        <v>623</v>
      </c>
      <c r="X700" s="87">
        <v>0</v>
      </c>
      <c r="Y700" s="88">
        <v>10913163.5</v>
      </c>
      <c r="Z700" s="87">
        <v>0</v>
      </c>
      <c r="AA700" s="87">
        <v>0</v>
      </c>
      <c r="AB700" s="89">
        <f t="shared" si="244"/>
        <v>0</v>
      </c>
      <c r="AC700" s="89">
        <f t="shared" si="245"/>
        <v>580</v>
      </c>
      <c r="AD700" s="89">
        <f t="shared" si="246"/>
        <v>623</v>
      </c>
      <c r="AF700" s="90" t="str">
        <f t="shared" si="247"/>
        <v/>
      </c>
      <c r="AG700" s="90">
        <f t="shared" si="248"/>
        <v>580</v>
      </c>
      <c r="AH700" s="90">
        <f t="shared" si="249"/>
        <v>2019</v>
      </c>
      <c r="AI700" s="90">
        <f t="shared" si="250"/>
        <v>623</v>
      </c>
      <c r="AJ700" s="90">
        <f t="shared" si="251"/>
        <v>2020</v>
      </c>
      <c r="AK700" s="90" t="str">
        <f t="shared" si="252"/>
        <v/>
      </c>
      <c r="AL700" s="91">
        <f>IF(AK700="Adjust",(_xlfn.XLOOKUP(A700,'Adj factor'!A:A,'Adj factor'!I:I,,0)*AI700),'Master DataSheet (Rev)'!AI700)</f>
        <v>623</v>
      </c>
      <c r="AM700" s="91">
        <f t="shared" si="253"/>
        <v>623</v>
      </c>
      <c r="AN700" s="92" t="str">
        <f t="shared" si="254"/>
        <v>Increasing</v>
      </c>
      <c r="AO700" s="93">
        <f>VLOOKUP(B700,'Growthrates source'!A$2:H$49,8,FALSE)</f>
        <v>0.25992104989487319</v>
      </c>
      <c r="AP700" s="93">
        <f>VLOOKUP(B700,'Growthrates source'!A$2:I$49,9,FALSE)</f>
        <v>5.4673730437993617E-2</v>
      </c>
      <c r="AQ700" s="86">
        <f t="shared" si="255"/>
        <v>0</v>
      </c>
      <c r="AR700" s="86">
        <f t="shared" si="256"/>
        <v>0</v>
      </c>
      <c r="AS700" s="94">
        <f t="shared" si="257"/>
        <v>0</v>
      </c>
      <c r="AT700" s="94">
        <f t="shared" si="258"/>
        <v>0.55794287232549966</v>
      </c>
      <c r="AU700" s="94">
        <f t="shared" si="241"/>
        <v>0.57087021558872453</v>
      </c>
      <c r="AV700" s="94">
        <f t="shared" si="242"/>
        <v>0.57087021558872453</v>
      </c>
    </row>
    <row r="701" spans="1:48" x14ac:dyDescent="0.3">
      <c r="A701" s="85" t="str">
        <f>_xlfn.XLOOKUP(B701,'Country codes &amp; Data sources'!G:G,'Country codes &amp; Data sources'!H:H,,0)</f>
        <v>South Sudan</v>
      </c>
      <c r="B701" s="85" t="s">
        <v>188</v>
      </c>
      <c r="C701" s="86">
        <v>10701624.5</v>
      </c>
      <c r="D701" s="85" t="s">
        <v>83</v>
      </c>
      <c r="E701" s="87">
        <v>0</v>
      </c>
      <c r="F701" s="88">
        <v>11106031.000000004</v>
      </c>
      <c r="G701" s="87">
        <v>0</v>
      </c>
      <c r="I701" s="87">
        <v>0</v>
      </c>
      <c r="K701" s="87">
        <v>0</v>
      </c>
      <c r="M701" s="87">
        <v>0</v>
      </c>
      <c r="O701" s="87">
        <v>0</v>
      </c>
      <c r="P701" s="88">
        <v>10395329.5</v>
      </c>
      <c r="Q701" s="87">
        <v>0</v>
      </c>
      <c r="R701" s="87">
        <f t="shared" si="243"/>
        <v>9</v>
      </c>
      <c r="T701" s="87">
        <v>11</v>
      </c>
      <c r="V701" s="87">
        <v>17</v>
      </c>
      <c r="X701" s="87">
        <v>0</v>
      </c>
      <c r="Y701" s="88">
        <v>10913163.5</v>
      </c>
      <c r="Z701" s="87">
        <v>0</v>
      </c>
      <c r="AA701" s="87">
        <v>9</v>
      </c>
      <c r="AB701" s="89">
        <f t="shared" si="244"/>
        <v>0</v>
      </c>
      <c r="AC701" s="89">
        <f t="shared" si="245"/>
        <v>11</v>
      </c>
      <c r="AD701" s="89">
        <f t="shared" si="246"/>
        <v>17</v>
      </c>
      <c r="AF701" s="90" t="str">
        <f t="shared" si="247"/>
        <v/>
      </c>
      <c r="AG701" s="90">
        <f t="shared" si="248"/>
        <v>9</v>
      </c>
      <c r="AH701" s="90" t="str">
        <f t="shared" si="249"/>
        <v>2018 (triag)</v>
      </c>
      <c r="AI701" s="90">
        <f t="shared" si="250"/>
        <v>17</v>
      </c>
      <c r="AJ701" s="90">
        <f t="shared" si="251"/>
        <v>2020</v>
      </c>
      <c r="AK701" s="90" t="str">
        <f t="shared" si="252"/>
        <v/>
      </c>
      <c r="AL701" s="91">
        <f>IF(AK701="Adjust",(_xlfn.XLOOKUP(A701,'Adj factor'!A:A,'Adj factor'!I:I,,0)*AI701),'Master DataSheet (Rev)'!AI701)</f>
        <v>17</v>
      </c>
      <c r="AM701" s="91">
        <f t="shared" si="253"/>
        <v>17</v>
      </c>
      <c r="AN701" s="92" t="str">
        <f t="shared" si="254"/>
        <v>Increasing</v>
      </c>
      <c r="AO701" s="93">
        <f>VLOOKUP(B701,'Growthrates source'!A$2:H$49,8,FALSE)</f>
        <v>0.25992104989487319</v>
      </c>
      <c r="AP701" s="93">
        <f>VLOOKUP(B701,'Growthrates source'!A$2:I$49,9,FALSE)</f>
        <v>5.4673730437993617E-2</v>
      </c>
      <c r="AQ701" s="86">
        <f t="shared" si="255"/>
        <v>2.4537545670545833</v>
      </c>
      <c r="AR701" s="86">
        <f t="shared" si="256"/>
        <v>10.60415354940087</v>
      </c>
      <c r="AS701" s="94">
        <f t="shared" si="257"/>
        <v>0</v>
      </c>
      <c r="AT701" s="94">
        <f t="shared" si="258"/>
        <v>8.6577342257405116E-3</v>
      </c>
      <c r="AU701" s="94">
        <f t="shared" si="241"/>
        <v>1.5577517921361665E-2</v>
      </c>
      <c r="AV701" s="94">
        <f t="shared" si="242"/>
        <v>1.5577517921361665E-2</v>
      </c>
    </row>
    <row r="702" spans="1:48" x14ac:dyDescent="0.3">
      <c r="A702" s="85" t="str">
        <f>_xlfn.XLOOKUP(B702,'Country codes &amp; Data sources'!G:G,'Country codes &amp; Data sources'!H:H,,0)</f>
        <v>South Sudan</v>
      </c>
      <c r="B702" s="85" t="s">
        <v>188</v>
      </c>
      <c r="C702" s="86">
        <v>10701625.5</v>
      </c>
      <c r="D702" s="85" t="s">
        <v>84</v>
      </c>
      <c r="E702" s="87">
        <v>0</v>
      </c>
      <c r="F702" s="88">
        <v>11106031.000000004</v>
      </c>
      <c r="G702" s="87">
        <v>0</v>
      </c>
      <c r="I702" s="87">
        <v>0</v>
      </c>
      <c r="K702" s="87">
        <v>0</v>
      </c>
      <c r="M702" s="87">
        <v>0</v>
      </c>
      <c r="O702" s="87">
        <v>0</v>
      </c>
      <c r="P702" s="88">
        <v>10395329.5</v>
      </c>
      <c r="Q702" s="87">
        <v>0</v>
      </c>
      <c r="R702" s="87">
        <f t="shared" si="243"/>
        <v>0</v>
      </c>
      <c r="T702" s="87">
        <v>0</v>
      </c>
      <c r="V702" s="87">
        <v>0</v>
      </c>
      <c r="X702" s="87">
        <v>0</v>
      </c>
      <c r="Y702" s="88">
        <v>10913163.5</v>
      </c>
      <c r="Z702" s="87">
        <v>0</v>
      </c>
      <c r="AA702" s="87">
        <v>0</v>
      </c>
      <c r="AB702" s="89">
        <f t="shared" si="244"/>
        <v>0</v>
      </c>
      <c r="AC702" s="89">
        <f t="shared" si="245"/>
        <v>0</v>
      </c>
      <c r="AD702" s="89">
        <f t="shared" si="246"/>
        <v>0</v>
      </c>
      <c r="AF702" s="90" t="str">
        <f t="shared" si="247"/>
        <v/>
      </c>
      <c r="AH702" s="90" t="str">
        <f t="shared" si="249"/>
        <v/>
      </c>
      <c r="AI702" s="90">
        <f t="shared" si="250"/>
        <v>0</v>
      </c>
      <c r="AJ702" s="90" t="str">
        <f t="shared" si="251"/>
        <v/>
      </c>
      <c r="AK702" s="90" t="str">
        <f t="shared" si="252"/>
        <v/>
      </c>
      <c r="AL702" s="91"/>
      <c r="AM702" s="91">
        <f t="shared" si="253"/>
        <v>0</v>
      </c>
      <c r="AN702" s="92" t="str">
        <f t="shared" si="254"/>
        <v>No change</v>
      </c>
      <c r="AO702" s="93">
        <f>VLOOKUP(B702,'Growthrates source'!A$2:H$49,8,FALSE)</f>
        <v>0.25992104989487319</v>
      </c>
      <c r="AP702" s="93">
        <f>VLOOKUP(B702,'Growthrates source'!A$2:I$49,9,FALSE)</f>
        <v>5.4673730437993617E-2</v>
      </c>
      <c r="AQ702" s="86">
        <f t="shared" si="255"/>
        <v>0</v>
      </c>
      <c r="AR702" s="86">
        <f t="shared" si="256"/>
        <v>0</v>
      </c>
      <c r="AS702" s="94">
        <f t="shared" si="257"/>
        <v>0</v>
      </c>
      <c r="AT702" s="94">
        <f t="shared" si="258"/>
        <v>0</v>
      </c>
      <c r="AU702" s="94">
        <f t="shared" si="241"/>
        <v>0</v>
      </c>
      <c r="AV702" s="94">
        <f t="shared" si="242"/>
        <v>0</v>
      </c>
    </row>
    <row r="703" spans="1:48" x14ac:dyDescent="0.3">
      <c r="A703" s="85" t="str">
        <f>_xlfn.XLOOKUP(B703,'Country codes &amp; Data sources'!G:G,'Country codes &amp; Data sources'!H:H,,0)</f>
        <v>South Sudan</v>
      </c>
      <c r="B703" s="85" t="s">
        <v>188</v>
      </c>
      <c r="C703" s="86">
        <v>10701626.5</v>
      </c>
      <c r="D703" s="85" t="s">
        <v>126</v>
      </c>
      <c r="E703" s="87">
        <v>0</v>
      </c>
      <c r="F703" s="88">
        <v>11106031.000000004</v>
      </c>
      <c r="G703" s="87">
        <v>0</v>
      </c>
      <c r="I703" s="87">
        <v>0</v>
      </c>
      <c r="K703" s="87">
        <v>0</v>
      </c>
      <c r="M703" s="87">
        <v>0</v>
      </c>
      <c r="O703" s="87">
        <v>0</v>
      </c>
      <c r="P703" s="88">
        <v>10395329.5</v>
      </c>
      <c r="Q703" s="87">
        <v>0</v>
      </c>
      <c r="R703" s="87">
        <f t="shared" si="243"/>
        <v>0</v>
      </c>
      <c r="T703" s="87">
        <v>0</v>
      </c>
      <c r="V703" s="87">
        <v>0</v>
      </c>
      <c r="X703" s="87">
        <v>0</v>
      </c>
      <c r="Y703" s="88">
        <v>10913163.5</v>
      </c>
      <c r="Z703" s="87">
        <v>0</v>
      </c>
      <c r="AA703" s="87">
        <v>0</v>
      </c>
      <c r="AB703" s="89">
        <f t="shared" si="244"/>
        <v>0</v>
      </c>
      <c r="AC703" s="89">
        <f t="shared" si="245"/>
        <v>0</v>
      </c>
      <c r="AD703" s="89">
        <f t="shared" si="246"/>
        <v>0</v>
      </c>
      <c r="AF703" s="90" t="str">
        <f t="shared" si="247"/>
        <v/>
      </c>
      <c r="AH703" s="90" t="str">
        <f t="shared" si="249"/>
        <v/>
      </c>
      <c r="AI703" s="90">
        <f t="shared" si="250"/>
        <v>0</v>
      </c>
      <c r="AJ703" s="90" t="str">
        <f t="shared" si="251"/>
        <v/>
      </c>
      <c r="AK703" s="90" t="str">
        <f t="shared" si="252"/>
        <v/>
      </c>
      <c r="AL703" s="91"/>
      <c r="AM703" s="91">
        <f t="shared" si="253"/>
        <v>0</v>
      </c>
      <c r="AN703" s="92" t="str">
        <f t="shared" si="254"/>
        <v>No change</v>
      </c>
      <c r="AO703" s="93">
        <f>VLOOKUP(B703,'Growthrates source'!A$2:H$49,8,FALSE)</f>
        <v>0.25992104989487319</v>
      </c>
      <c r="AP703" s="93">
        <f>VLOOKUP(B703,'Growthrates source'!A$2:I$49,9,FALSE)</f>
        <v>5.4673730437993617E-2</v>
      </c>
      <c r="AQ703" s="86">
        <f t="shared" si="255"/>
        <v>0</v>
      </c>
      <c r="AR703" s="86">
        <f t="shared" si="256"/>
        <v>0</v>
      </c>
      <c r="AS703" s="94">
        <f t="shared" si="257"/>
        <v>0</v>
      </c>
      <c r="AT703" s="94">
        <f t="shared" si="258"/>
        <v>0</v>
      </c>
      <c r="AU703" s="94">
        <f t="shared" si="241"/>
        <v>0</v>
      </c>
      <c r="AV703" s="94">
        <f t="shared" si="242"/>
        <v>0</v>
      </c>
    </row>
    <row r="704" spans="1:48" x14ac:dyDescent="0.3">
      <c r="A704" s="85" t="str">
        <f>_xlfn.XLOOKUP(B704,'Country codes &amp; Data sources'!G:G,'Country codes &amp; Data sources'!H:H,,0)</f>
        <v>South Sudan</v>
      </c>
      <c r="B704" s="85" t="s">
        <v>188</v>
      </c>
      <c r="C704" s="86">
        <v>10701627.5</v>
      </c>
      <c r="D704" s="85" t="s">
        <v>87</v>
      </c>
      <c r="E704" s="87">
        <v>0</v>
      </c>
      <c r="F704" s="88">
        <v>11106031.000000004</v>
      </c>
      <c r="G704" s="87">
        <v>0</v>
      </c>
      <c r="I704" s="87">
        <v>0</v>
      </c>
      <c r="K704" s="87">
        <v>0</v>
      </c>
      <c r="M704" s="87">
        <v>0</v>
      </c>
      <c r="O704" s="87">
        <v>0</v>
      </c>
      <c r="P704" s="88">
        <v>10395329.5</v>
      </c>
      <c r="Q704" s="87">
        <v>0</v>
      </c>
      <c r="R704" s="87">
        <f t="shared" si="243"/>
        <v>0</v>
      </c>
      <c r="T704" s="87">
        <v>0</v>
      </c>
      <c r="V704" s="87">
        <v>0</v>
      </c>
      <c r="X704" s="87">
        <v>0</v>
      </c>
      <c r="Y704" s="88">
        <v>10913163.5</v>
      </c>
      <c r="Z704" s="87">
        <v>0</v>
      </c>
      <c r="AA704" s="87">
        <v>0</v>
      </c>
      <c r="AB704" s="89">
        <f t="shared" si="244"/>
        <v>0</v>
      </c>
      <c r="AC704" s="89">
        <f t="shared" si="245"/>
        <v>0</v>
      </c>
      <c r="AD704" s="89">
        <f t="shared" si="246"/>
        <v>0</v>
      </c>
      <c r="AF704" s="90" t="str">
        <f t="shared" si="247"/>
        <v/>
      </c>
      <c r="AH704" s="90" t="str">
        <f t="shared" si="249"/>
        <v/>
      </c>
      <c r="AI704" s="90">
        <f t="shared" si="250"/>
        <v>0</v>
      </c>
      <c r="AJ704" s="90" t="str">
        <f t="shared" si="251"/>
        <v/>
      </c>
      <c r="AK704" s="90" t="str">
        <f t="shared" si="252"/>
        <v/>
      </c>
      <c r="AL704" s="91"/>
      <c r="AM704" s="91">
        <f t="shared" si="253"/>
        <v>0</v>
      </c>
      <c r="AN704" s="92" t="str">
        <f t="shared" si="254"/>
        <v>No change</v>
      </c>
      <c r="AO704" s="93">
        <f>VLOOKUP(B704,'Growthrates source'!A$2:H$49,8,FALSE)</f>
        <v>0.25992104989487319</v>
      </c>
      <c r="AP704" s="93">
        <f>VLOOKUP(B704,'Growthrates source'!A$2:I$49,9,FALSE)</f>
        <v>5.4673730437993617E-2</v>
      </c>
      <c r="AQ704" s="86">
        <f t="shared" si="255"/>
        <v>0</v>
      </c>
      <c r="AR704" s="86">
        <f t="shared" si="256"/>
        <v>0</v>
      </c>
      <c r="AS704" s="94">
        <f t="shared" si="257"/>
        <v>0</v>
      </c>
      <c r="AT704" s="94">
        <f t="shared" si="258"/>
        <v>0</v>
      </c>
      <c r="AU704" s="94">
        <f t="shared" si="241"/>
        <v>0</v>
      </c>
      <c r="AV704" s="94">
        <f t="shared" si="242"/>
        <v>0</v>
      </c>
    </row>
    <row r="705" spans="1:48" x14ac:dyDescent="0.3">
      <c r="A705" s="85" t="str">
        <f>_xlfn.XLOOKUP(B705,'Country codes &amp; Data sources'!G:G,'Country codes &amp; Data sources'!H:H,,0)</f>
        <v>Sao Tome and Principe</v>
      </c>
      <c r="B705" s="85" t="s">
        <v>153</v>
      </c>
      <c r="C705" s="86">
        <v>189929.5</v>
      </c>
      <c r="D705" s="85" t="s">
        <v>127</v>
      </c>
      <c r="E705" s="87">
        <v>0</v>
      </c>
      <c r="F705" s="88">
        <v>193756.99999999997</v>
      </c>
      <c r="G705" s="87">
        <v>0</v>
      </c>
      <c r="I705" s="87">
        <v>0</v>
      </c>
      <c r="K705" s="87">
        <v>0</v>
      </c>
      <c r="M705" s="87">
        <v>0</v>
      </c>
      <c r="O705" s="87">
        <v>0</v>
      </c>
      <c r="P705" s="88">
        <v>211344</v>
      </c>
      <c r="Q705" s="87">
        <v>0</v>
      </c>
      <c r="R705" s="87">
        <f t="shared" si="243"/>
        <v>0</v>
      </c>
      <c r="T705" s="87">
        <v>0</v>
      </c>
      <c r="V705" s="87">
        <v>0</v>
      </c>
      <c r="X705" s="87">
        <v>0</v>
      </c>
      <c r="Y705" s="88">
        <v>227379.5</v>
      </c>
      <c r="Z705" s="87">
        <v>0</v>
      </c>
      <c r="AA705" s="87">
        <v>0</v>
      </c>
      <c r="AB705" s="89">
        <f t="shared" si="244"/>
        <v>0</v>
      </c>
      <c r="AC705" s="89">
        <f t="shared" si="245"/>
        <v>0</v>
      </c>
      <c r="AD705" s="89">
        <f t="shared" si="246"/>
        <v>0</v>
      </c>
      <c r="AF705" s="90" t="str">
        <f t="shared" si="247"/>
        <v/>
      </c>
      <c r="AH705" s="90" t="str">
        <f t="shared" si="249"/>
        <v/>
      </c>
      <c r="AI705" s="90">
        <f t="shared" si="250"/>
        <v>0</v>
      </c>
      <c r="AJ705" s="90" t="str">
        <f t="shared" si="251"/>
        <v/>
      </c>
      <c r="AK705" s="90" t="str">
        <f t="shared" si="252"/>
        <v/>
      </c>
      <c r="AL705" s="91"/>
      <c r="AM705" s="91">
        <f t="shared" si="253"/>
        <v>0</v>
      </c>
      <c r="AN705" s="92" t="str">
        <f t="shared" si="254"/>
        <v>No change</v>
      </c>
      <c r="AO705" s="93">
        <f>VLOOKUP(B705,'Growthrates source'!A$2:H$49,8,FALSE)</f>
        <v>-0.16643545882510058</v>
      </c>
      <c r="AP705" s="93">
        <f>VLOOKUP(B705,'Growthrates source'!A$2:I$49,9,FALSE)</f>
        <v>0.34338657876279233</v>
      </c>
      <c r="AQ705" s="86">
        <f t="shared" si="255"/>
        <v>0</v>
      </c>
      <c r="AR705" s="86">
        <f t="shared" si="256"/>
        <v>0</v>
      </c>
      <c r="AS705" s="94">
        <f t="shared" si="257"/>
        <v>0</v>
      </c>
      <c r="AT705" s="94">
        <f t="shared" si="258"/>
        <v>0</v>
      </c>
      <c r="AU705" s="94">
        <f t="shared" si="241"/>
        <v>0</v>
      </c>
      <c r="AV705" s="94">
        <f t="shared" si="242"/>
        <v>0</v>
      </c>
    </row>
    <row r="706" spans="1:48" x14ac:dyDescent="0.3">
      <c r="A706" s="85" t="str">
        <f>_xlfn.XLOOKUP(B706,'Country codes &amp; Data sources'!G:G,'Country codes &amp; Data sources'!H:H,,0)</f>
        <v>Sao Tome and Principe</v>
      </c>
      <c r="B706" s="85" t="s">
        <v>153</v>
      </c>
      <c r="C706" s="86">
        <v>189930.5</v>
      </c>
      <c r="D706" s="85" t="s">
        <v>61</v>
      </c>
      <c r="E706" s="87">
        <v>0</v>
      </c>
      <c r="F706" s="88">
        <v>193756.99999999997</v>
      </c>
      <c r="G706" s="87">
        <v>4</v>
      </c>
      <c r="I706" s="87">
        <v>2217</v>
      </c>
      <c r="K706" s="87">
        <v>0</v>
      </c>
      <c r="M706" s="87">
        <v>0</v>
      </c>
      <c r="O706" s="87">
        <v>61</v>
      </c>
      <c r="P706" s="88">
        <v>211344</v>
      </c>
      <c r="Q706" s="87">
        <v>0</v>
      </c>
      <c r="R706" s="87">
        <f t="shared" si="243"/>
        <v>0</v>
      </c>
      <c r="T706" s="87">
        <v>14</v>
      </c>
      <c r="V706" s="87">
        <v>1344</v>
      </c>
      <c r="X706" s="87">
        <v>44</v>
      </c>
      <c r="Y706" s="88">
        <v>227379.5</v>
      </c>
      <c r="Z706" s="87">
        <v>0</v>
      </c>
      <c r="AA706" s="87">
        <v>0</v>
      </c>
      <c r="AB706" s="89">
        <f t="shared" si="244"/>
        <v>2217</v>
      </c>
      <c r="AC706" s="89">
        <f t="shared" si="245"/>
        <v>61</v>
      </c>
      <c r="AD706" s="89">
        <f t="shared" si="246"/>
        <v>1344</v>
      </c>
      <c r="AE706" s="90">
        <f t="shared" si="259"/>
        <v>4</v>
      </c>
      <c r="AF706" s="90">
        <f t="shared" si="247"/>
        <v>2013</v>
      </c>
      <c r="AG706" s="90">
        <f t="shared" si="248"/>
        <v>61</v>
      </c>
      <c r="AH706" s="90">
        <f t="shared" si="249"/>
        <v>2017</v>
      </c>
      <c r="AI706" s="90">
        <f t="shared" si="250"/>
        <v>44</v>
      </c>
      <c r="AJ706" s="90">
        <f t="shared" si="251"/>
        <v>2021</v>
      </c>
      <c r="AK706" s="90" t="str">
        <f t="shared" si="252"/>
        <v>Adjust</v>
      </c>
      <c r="AL706" s="91">
        <f>IF(AK706="Adjust",(_xlfn.XLOOKUP(A706,'Adj factor'!A:A,'Adj factor'!I:I,,0)*AI706),'Master DataSheet (Rev)'!AI706)</f>
        <v>50.569140350098266</v>
      </c>
      <c r="AM706" s="91">
        <f t="shared" si="253"/>
        <v>61</v>
      </c>
      <c r="AN706" s="92" t="str">
        <f t="shared" si="254"/>
        <v>Decreasing</v>
      </c>
      <c r="AO706" s="93">
        <f>VLOOKUP(B706,'Growthrates source'!A$2:H$49,8,FALSE)</f>
        <v>-0.16643545882510058</v>
      </c>
      <c r="AP706" s="93">
        <f>VLOOKUP(B706,'Growthrates source'!A$2:I$49,9,FALSE)</f>
        <v>0.34338657876279233</v>
      </c>
      <c r="AQ706" s="86">
        <f t="shared" si="255"/>
        <v>0</v>
      </c>
      <c r="AR706" s="86">
        <f t="shared" si="256"/>
        <v>0</v>
      </c>
      <c r="AS706" s="94">
        <f t="shared" si="257"/>
        <v>0.20644415427571652</v>
      </c>
      <c r="AT706" s="94">
        <f t="shared" si="258"/>
        <v>2.8862896509955331</v>
      </c>
      <c r="AU706" s="94">
        <f t="shared" si="241"/>
        <v>2.223997341453309</v>
      </c>
      <c r="AV706" s="94">
        <f t="shared" si="242"/>
        <v>2.6827396489129409</v>
      </c>
    </row>
    <row r="707" spans="1:48" x14ac:dyDescent="0.3">
      <c r="A707" s="85" t="str">
        <f>_xlfn.XLOOKUP(B707,'Country codes &amp; Data sources'!G:G,'Country codes &amp; Data sources'!H:H,,0)</f>
        <v>Sao Tome and Principe</v>
      </c>
      <c r="B707" s="85" t="s">
        <v>153</v>
      </c>
      <c r="C707" s="86">
        <v>189931.5</v>
      </c>
      <c r="D707" s="85" t="s">
        <v>62</v>
      </c>
      <c r="E707" s="87">
        <v>0</v>
      </c>
      <c r="F707" s="88">
        <v>193756.99999999997</v>
      </c>
      <c r="G707" s="87">
        <v>24</v>
      </c>
      <c r="I707" s="87">
        <v>4286</v>
      </c>
      <c r="K707" s="87">
        <v>0</v>
      </c>
      <c r="M707" s="87">
        <v>0</v>
      </c>
      <c r="O707" s="87">
        <v>548</v>
      </c>
      <c r="P707" s="88">
        <v>211344</v>
      </c>
      <c r="Q707" s="87">
        <v>0</v>
      </c>
      <c r="R707" s="87">
        <f t="shared" si="243"/>
        <v>0</v>
      </c>
      <c r="T707" s="87">
        <v>26</v>
      </c>
      <c r="V707" s="87">
        <v>0</v>
      </c>
      <c r="X707" s="87">
        <v>245</v>
      </c>
      <c r="Y707" s="88">
        <v>227379.5</v>
      </c>
      <c r="Z707" s="87">
        <v>0</v>
      </c>
      <c r="AA707" s="87">
        <v>0</v>
      </c>
      <c r="AB707" s="89">
        <f t="shared" si="244"/>
        <v>4286</v>
      </c>
      <c r="AC707" s="89">
        <f t="shared" si="245"/>
        <v>548</v>
      </c>
      <c r="AD707" s="89">
        <f t="shared" si="246"/>
        <v>245</v>
      </c>
      <c r="AE707" s="90">
        <f t="shared" si="259"/>
        <v>24</v>
      </c>
      <c r="AF707" s="90">
        <f t="shared" si="247"/>
        <v>2013</v>
      </c>
      <c r="AG707" s="90">
        <f t="shared" si="248"/>
        <v>548</v>
      </c>
      <c r="AH707" s="90">
        <f t="shared" si="249"/>
        <v>2017</v>
      </c>
      <c r="AI707" s="90">
        <f t="shared" si="250"/>
        <v>245</v>
      </c>
      <c r="AJ707" s="90">
        <f t="shared" si="251"/>
        <v>2021</v>
      </c>
      <c r="AK707" s="90" t="str">
        <f t="shared" si="252"/>
        <v>Adjust</v>
      </c>
      <c r="AL707" s="91">
        <f>IF(AK707="Adjust",(_xlfn.XLOOKUP(A707,'Adj factor'!A:A,'Adj factor'!I:I,,0)*AI707),'Master DataSheet (Rev)'!AI707)</f>
        <v>281.57816785850173</v>
      </c>
      <c r="AM707" s="91">
        <f t="shared" si="253"/>
        <v>548</v>
      </c>
      <c r="AN707" s="92" t="str">
        <f t="shared" si="254"/>
        <v>Decreasing</v>
      </c>
      <c r="AO707" s="93">
        <f>VLOOKUP(B707,'Growthrates source'!A$2:H$49,8,FALSE)</f>
        <v>-0.16643545882510058</v>
      </c>
      <c r="AP707" s="93">
        <f>VLOOKUP(B707,'Growthrates source'!A$2:I$49,9,FALSE)</f>
        <v>0.34338657876279233</v>
      </c>
      <c r="AQ707" s="86">
        <f t="shared" si="255"/>
        <v>0</v>
      </c>
      <c r="AR707" s="86">
        <f t="shared" si="256"/>
        <v>0</v>
      </c>
      <c r="AS707" s="94">
        <f t="shared" si="257"/>
        <v>1.2386649256542992</v>
      </c>
      <c r="AT707" s="94">
        <f t="shared" si="258"/>
        <v>25.92929063517299</v>
      </c>
      <c r="AU707" s="94">
        <f t="shared" ref="AU707:AU770" si="260">(AL707*10000)/Y707</f>
        <v>12.383621560365016</v>
      </c>
      <c r="AV707" s="94">
        <f t="shared" ref="AV707:AV770" si="261">(AM707*10000)/Y707</f>
        <v>24.100677501709697</v>
      </c>
    </row>
    <row r="708" spans="1:48" x14ac:dyDescent="0.3">
      <c r="A708" s="85" t="str">
        <f>_xlfn.XLOOKUP(B708,'Country codes &amp; Data sources'!G:G,'Country codes &amp; Data sources'!H:H,,0)</f>
        <v>Sao Tome and Principe</v>
      </c>
      <c r="B708" s="85" t="s">
        <v>153</v>
      </c>
      <c r="C708" s="86">
        <v>189932.5</v>
      </c>
      <c r="D708" s="85" t="s">
        <v>203</v>
      </c>
      <c r="E708" s="87">
        <v>0</v>
      </c>
      <c r="F708" s="88">
        <v>193756.99999999997</v>
      </c>
      <c r="G708" s="87">
        <v>0</v>
      </c>
      <c r="I708" s="87">
        <v>0</v>
      </c>
      <c r="K708" s="87">
        <v>0</v>
      </c>
      <c r="M708" s="87">
        <v>0</v>
      </c>
      <c r="O708" s="87">
        <v>0</v>
      </c>
      <c r="P708" s="88">
        <v>211344</v>
      </c>
      <c r="Q708" s="87">
        <v>0</v>
      </c>
      <c r="R708" s="87">
        <f t="shared" si="243"/>
        <v>0</v>
      </c>
      <c r="T708" s="87">
        <v>0</v>
      </c>
      <c r="V708" s="87">
        <v>0</v>
      </c>
      <c r="X708" s="87">
        <v>0</v>
      </c>
      <c r="Y708" s="88">
        <v>227379.5</v>
      </c>
      <c r="Z708" s="87">
        <v>0</v>
      </c>
      <c r="AA708" s="87">
        <v>0</v>
      </c>
      <c r="AB708" s="89">
        <f t="shared" si="244"/>
        <v>0</v>
      </c>
      <c r="AC708" s="89">
        <f t="shared" si="245"/>
        <v>0</v>
      </c>
      <c r="AD708" s="89">
        <f t="shared" si="246"/>
        <v>0</v>
      </c>
      <c r="AF708" s="90" t="str">
        <f t="shared" si="247"/>
        <v/>
      </c>
      <c r="AH708" s="90" t="str">
        <f t="shared" si="249"/>
        <v/>
      </c>
      <c r="AI708" s="90">
        <f t="shared" si="250"/>
        <v>0</v>
      </c>
      <c r="AJ708" s="90" t="str">
        <f t="shared" si="251"/>
        <v/>
      </c>
      <c r="AK708" s="90" t="str">
        <f t="shared" si="252"/>
        <v/>
      </c>
      <c r="AL708" s="91"/>
      <c r="AM708" s="91">
        <f t="shared" si="253"/>
        <v>0</v>
      </c>
      <c r="AN708" s="92" t="str">
        <f t="shared" si="254"/>
        <v>No change</v>
      </c>
      <c r="AO708" s="93">
        <f>VLOOKUP(B708,'Growthrates source'!A$2:H$49,8,FALSE)</f>
        <v>-0.16643545882510058</v>
      </c>
      <c r="AP708" s="93">
        <f>VLOOKUP(B708,'Growthrates source'!A$2:I$49,9,FALSE)</f>
        <v>0.34338657876279233</v>
      </c>
      <c r="AQ708" s="86">
        <f t="shared" si="255"/>
        <v>0</v>
      </c>
      <c r="AR708" s="86">
        <f t="shared" si="256"/>
        <v>0</v>
      </c>
      <c r="AS708" s="94">
        <f t="shared" si="257"/>
        <v>0</v>
      </c>
      <c r="AT708" s="94">
        <f t="shared" si="258"/>
        <v>0</v>
      </c>
      <c r="AU708" s="94">
        <f t="shared" si="260"/>
        <v>0</v>
      </c>
      <c r="AV708" s="94">
        <f t="shared" si="261"/>
        <v>0</v>
      </c>
    </row>
    <row r="709" spans="1:48" x14ac:dyDescent="0.3">
      <c r="A709" s="85" t="str">
        <f>_xlfn.XLOOKUP(B709,'Country codes &amp; Data sources'!G:G,'Country codes &amp; Data sources'!H:H,,0)</f>
        <v>Sao Tome and Principe</v>
      </c>
      <c r="B709" s="85" t="s">
        <v>153</v>
      </c>
      <c r="C709" s="86">
        <v>189933.5</v>
      </c>
      <c r="D709" s="85" t="s">
        <v>204</v>
      </c>
      <c r="E709" s="87">
        <v>0</v>
      </c>
      <c r="F709" s="88">
        <v>193756.99999999997</v>
      </c>
      <c r="G709" s="87">
        <v>0</v>
      </c>
      <c r="I709" s="87">
        <v>0</v>
      </c>
      <c r="K709" s="87">
        <v>0</v>
      </c>
      <c r="M709" s="87">
        <v>0</v>
      </c>
      <c r="O709" s="87">
        <v>0</v>
      </c>
      <c r="P709" s="88">
        <v>211344</v>
      </c>
      <c r="Q709" s="87">
        <v>0</v>
      </c>
      <c r="R709" s="87">
        <f t="shared" ref="R709:R761" si="262">MAX(Q709,AA709)</f>
        <v>79</v>
      </c>
      <c r="T709" s="87">
        <v>0</v>
      </c>
      <c r="V709" s="87">
        <v>0</v>
      </c>
      <c r="X709" s="87">
        <v>0</v>
      </c>
      <c r="Y709" s="88">
        <v>227379.5</v>
      </c>
      <c r="Z709" s="87">
        <v>0</v>
      </c>
      <c r="AA709" s="87">
        <v>79</v>
      </c>
      <c r="AB709" s="89">
        <f t="shared" ref="AB709:AB761" si="263">MAX(G709,E709,I709,K709)</f>
        <v>0</v>
      </c>
      <c r="AC709" s="89">
        <f t="shared" ref="AC709:AC761" si="264">MAX(M709,O709,Q709,T709)</f>
        <v>0</v>
      </c>
      <c r="AD709" s="89">
        <f t="shared" ref="AD709:AD761" si="265">MAX(V709,X709,Z709)</f>
        <v>0</v>
      </c>
      <c r="AF709" s="90" t="str">
        <f t="shared" ref="AF709:AF761" si="266">IF(AE709&gt;0,_xlfn.XLOOKUP(AE709,$B709:$K709,$B$1:$K$1,,0),"")</f>
        <v/>
      </c>
      <c r="AG709" s="90">
        <f t="shared" ref="AG709:AG758" si="267">IF(R709&gt;0,R709,IF(O709&gt;0,O709,T709))</f>
        <v>79</v>
      </c>
      <c r="AH709" s="90" t="str">
        <f t="shared" ref="AH709:AH761" si="268">IF(AG709&gt;0,_xlfn.XLOOKUP(AG709,$L709:$T709,$L$1:$T$1,,0),"")</f>
        <v>2018 (triag)</v>
      </c>
      <c r="AI709" s="90">
        <f t="shared" ref="AI709:AI761" si="269">IF((IF(Z709&gt;0,Z709,IF(X709&gt;0,X709,IF(V709&gt;0,V709,T709))))=0,AG709,IF(Z709&gt;0,Z709,IF(X709&gt;0,X709,IF(V709&gt;0,V709,T709))))</f>
        <v>79</v>
      </c>
      <c r="AJ709" s="90" t="str">
        <f t="shared" ref="AJ709:AJ761" si="270">IFERROR(IF(AI709&gt;0,_xlfn.XLOOKUP(AI709,$V709:$Z709,$V$1:$Z$1,,0),""),AH709)</f>
        <v>2018 (triag)</v>
      </c>
      <c r="AK709" s="90" t="str">
        <f t="shared" ref="AK709:AK761" si="271">IF(AI709&lt;AG709,"Adjust","")</f>
        <v/>
      </c>
      <c r="AL709" s="91">
        <f>IF(AK709="Adjust",(_xlfn.XLOOKUP(A709,'Adj factor'!A:A,'Adj factor'!I:I,,0)*AI709),'Master DataSheet (Rev)'!AI709)</f>
        <v>79</v>
      </c>
      <c r="AM709" s="91">
        <f t="shared" ref="AM709:AM761" si="272">IF(AL709&lt;AG709,AG709,AL709)</f>
        <v>79</v>
      </c>
      <c r="AN709" s="92" t="str">
        <f t="shared" ref="AN709:AN761" si="273">IF(AL709&gt;AG709,"Increasing",IF(AL709&lt;AG709,"Decreasing","No change"))</f>
        <v>No change</v>
      </c>
      <c r="AO709" s="93">
        <f>VLOOKUP(B709,'Growthrates source'!A$2:H$49,8,FALSE)</f>
        <v>-0.16643545882510058</v>
      </c>
      <c r="AP709" s="93">
        <f>VLOOKUP(B709,'Growthrates source'!A$2:I$49,9,FALSE)</f>
        <v>0.34338657876279233</v>
      </c>
      <c r="AQ709" s="86">
        <f t="shared" ref="AQ709:AQ761" si="274">AA709/(EXP(AO709*5))</f>
        <v>181.56707535027212</v>
      </c>
      <c r="AR709" s="86">
        <f t="shared" ref="AR709:AR761" si="275">AA709*EXP(AP709*3)</f>
        <v>221.31955088142104</v>
      </c>
      <c r="AS709" s="94">
        <f t="shared" ref="AS709:AS761" si="276">(AE709*10000)/F709</f>
        <v>0</v>
      </c>
      <c r="AT709" s="94">
        <f t="shared" ref="AT709:AT761" si="277">(AG709*10000)/P709</f>
        <v>3.7379816791581497</v>
      </c>
      <c r="AU709" s="94">
        <f t="shared" si="260"/>
        <v>3.4743677420347923</v>
      </c>
      <c r="AV709" s="94">
        <f t="shared" si="261"/>
        <v>3.4743677420347923</v>
      </c>
    </row>
    <row r="710" spans="1:48" x14ac:dyDescent="0.3">
      <c r="A710" s="85" t="str">
        <f>_xlfn.XLOOKUP(B710,'Country codes &amp; Data sources'!G:G,'Country codes &amp; Data sources'!H:H,,0)</f>
        <v>Sao Tome and Principe</v>
      </c>
      <c r="B710" s="85" t="s">
        <v>153</v>
      </c>
      <c r="C710" s="86">
        <v>189934.5</v>
      </c>
      <c r="D710" s="85" t="s">
        <v>205</v>
      </c>
      <c r="E710" s="87">
        <v>0</v>
      </c>
      <c r="F710" s="88">
        <v>193756.99999999997</v>
      </c>
      <c r="G710" s="87">
        <v>0</v>
      </c>
      <c r="I710" s="87">
        <v>0</v>
      </c>
      <c r="K710" s="87">
        <v>0</v>
      </c>
      <c r="M710" s="87">
        <v>0</v>
      </c>
      <c r="O710" s="87">
        <v>0</v>
      </c>
      <c r="P710" s="88">
        <v>211344</v>
      </c>
      <c r="Q710" s="87">
        <v>0</v>
      </c>
      <c r="R710" s="87">
        <f t="shared" si="262"/>
        <v>0</v>
      </c>
      <c r="T710" s="87">
        <v>0</v>
      </c>
      <c r="V710" s="87">
        <v>0</v>
      </c>
      <c r="X710" s="87">
        <v>0</v>
      </c>
      <c r="Y710" s="88">
        <v>227379.5</v>
      </c>
      <c r="Z710" s="87">
        <v>0</v>
      </c>
      <c r="AA710" s="87">
        <v>0</v>
      </c>
      <c r="AB710" s="89">
        <f t="shared" si="263"/>
        <v>0</v>
      </c>
      <c r="AC710" s="89">
        <f t="shared" si="264"/>
        <v>0</v>
      </c>
      <c r="AD710" s="89">
        <f t="shared" si="265"/>
        <v>0</v>
      </c>
      <c r="AF710" s="90" t="str">
        <f t="shared" si="266"/>
        <v/>
      </c>
      <c r="AH710" s="90" t="str">
        <f t="shared" si="268"/>
        <v/>
      </c>
      <c r="AI710" s="90">
        <f t="shared" si="269"/>
        <v>0</v>
      </c>
      <c r="AJ710" s="90" t="str">
        <f t="shared" si="270"/>
        <v/>
      </c>
      <c r="AK710" s="90" t="str">
        <f t="shared" si="271"/>
        <v/>
      </c>
      <c r="AL710" s="91"/>
      <c r="AM710" s="91">
        <f t="shared" si="272"/>
        <v>0</v>
      </c>
      <c r="AN710" s="92" t="str">
        <f t="shared" si="273"/>
        <v>No change</v>
      </c>
      <c r="AO710" s="93">
        <f>VLOOKUP(B710,'Growthrates source'!A$2:H$49,8,FALSE)</f>
        <v>-0.16643545882510058</v>
      </c>
      <c r="AP710" s="93">
        <f>VLOOKUP(B710,'Growthrates source'!A$2:I$49,9,FALSE)</f>
        <v>0.34338657876279233</v>
      </c>
      <c r="AQ710" s="86">
        <f t="shared" si="274"/>
        <v>0</v>
      </c>
      <c r="AR710" s="86">
        <f t="shared" si="275"/>
        <v>0</v>
      </c>
      <c r="AS710" s="94">
        <f t="shared" si="276"/>
        <v>0</v>
      </c>
      <c r="AT710" s="94">
        <f t="shared" si="277"/>
        <v>0</v>
      </c>
      <c r="AU710" s="94">
        <f t="shared" si="260"/>
        <v>0</v>
      </c>
      <c r="AV710" s="94">
        <f t="shared" si="261"/>
        <v>0</v>
      </c>
    </row>
    <row r="711" spans="1:48" x14ac:dyDescent="0.3">
      <c r="A711" s="85" t="str">
        <f>_xlfn.XLOOKUP(B711,'Country codes &amp; Data sources'!G:G,'Country codes &amp; Data sources'!H:H,,0)</f>
        <v>Sao Tome and Principe</v>
      </c>
      <c r="B711" s="85" t="s">
        <v>153</v>
      </c>
      <c r="C711" s="86">
        <v>189935.5</v>
      </c>
      <c r="D711" s="85" t="s">
        <v>133</v>
      </c>
      <c r="E711" s="87">
        <v>0</v>
      </c>
      <c r="F711" s="88">
        <v>193756.99999999997</v>
      </c>
      <c r="G711" s="87">
        <v>0</v>
      </c>
      <c r="I711" s="87">
        <v>0</v>
      </c>
      <c r="K711" s="87">
        <v>0</v>
      </c>
      <c r="M711" s="87">
        <v>0</v>
      </c>
      <c r="O711" s="87">
        <v>0</v>
      </c>
      <c r="P711" s="88">
        <v>211344</v>
      </c>
      <c r="Q711" s="87">
        <v>0</v>
      </c>
      <c r="R711" s="87">
        <f t="shared" si="262"/>
        <v>146</v>
      </c>
      <c r="T711" s="87">
        <v>0</v>
      </c>
      <c r="V711" s="87">
        <v>0</v>
      </c>
      <c r="X711" s="87">
        <v>0</v>
      </c>
      <c r="Y711" s="88">
        <v>227379.5</v>
      </c>
      <c r="Z711" s="87">
        <v>0</v>
      </c>
      <c r="AA711" s="87">
        <v>146</v>
      </c>
      <c r="AB711" s="89">
        <f t="shared" si="263"/>
        <v>0</v>
      </c>
      <c r="AC711" s="89">
        <f t="shared" si="264"/>
        <v>0</v>
      </c>
      <c r="AD711" s="89">
        <f t="shared" si="265"/>
        <v>0</v>
      </c>
      <c r="AF711" s="90" t="str">
        <f t="shared" si="266"/>
        <v/>
      </c>
      <c r="AG711" s="90">
        <f t="shared" si="267"/>
        <v>146</v>
      </c>
      <c r="AH711" s="90" t="str">
        <f t="shared" si="268"/>
        <v>2018 (triag)</v>
      </c>
      <c r="AI711" s="90">
        <f t="shared" si="269"/>
        <v>146</v>
      </c>
      <c r="AJ711" s="90" t="str">
        <f t="shared" si="270"/>
        <v>2018 (triag)</v>
      </c>
      <c r="AK711" s="90" t="str">
        <f t="shared" si="271"/>
        <v/>
      </c>
      <c r="AL711" s="91">
        <f>IF(AK711="Adjust",(_xlfn.XLOOKUP(A711,'Adj factor'!A:A,'Adj factor'!I:I,,0)*AI711),'Master DataSheet (Rev)'!AI711)</f>
        <v>146</v>
      </c>
      <c r="AM711" s="91">
        <f t="shared" si="272"/>
        <v>146</v>
      </c>
      <c r="AN711" s="92" t="str">
        <f t="shared" si="273"/>
        <v>No change</v>
      </c>
      <c r="AO711" s="93">
        <f>VLOOKUP(B711,'Growthrates source'!A$2:H$49,8,FALSE)</f>
        <v>-0.16643545882510058</v>
      </c>
      <c r="AP711" s="93">
        <f>VLOOKUP(B711,'Growthrates source'!A$2:I$49,9,FALSE)</f>
        <v>0.34338657876279233</v>
      </c>
      <c r="AQ711" s="86">
        <f t="shared" si="274"/>
        <v>335.5543417865789</v>
      </c>
      <c r="AR711" s="86">
        <f t="shared" si="275"/>
        <v>409.02094213528443</v>
      </c>
      <c r="AS711" s="94">
        <f t="shared" si="276"/>
        <v>0</v>
      </c>
      <c r="AT711" s="94">
        <f t="shared" si="277"/>
        <v>6.908168672874555</v>
      </c>
      <c r="AU711" s="94">
        <f t="shared" si="260"/>
        <v>6.4209834219883497</v>
      </c>
      <c r="AV711" s="94">
        <f t="shared" si="261"/>
        <v>6.4209834219883497</v>
      </c>
    </row>
    <row r="712" spans="1:48" x14ac:dyDescent="0.3">
      <c r="A712" s="85" t="str">
        <f>_xlfn.XLOOKUP(B712,'Country codes &amp; Data sources'!G:G,'Country codes &amp; Data sources'!H:H,,0)</f>
        <v>Sao Tome and Principe</v>
      </c>
      <c r="B712" s="85" t="s">
        <v>153</v>
      </c>
      <c r="C712" s="86">
        <v>189936.5</v>
      </c>
      <c r="D712" s="85" t="s">
        <v>206</v>
      </c>
      <c r="E712" s="87">
        <v>0</v>
      </c>
      <c r="F712" s="88">
        <v>193756.99999999997</v>
      </c>
      <c r="G712" s="87">
        <v>0</v>
      </c>
      <c r="I712" s="87">
        <v>0</v>
      </c>
      <c r="K712" s="87">
        <v>0</v>
      </c>
      <c r="M712" s="87">
        <v>0</v>
      </c>
      <c r="O712" s="87">
        <v>0</v>
      </c>
      <c r="P712" s="88">
        <v>211344</v>
      </c>
      <c r="Q712" s="87">
        <v>0</v>
      </c>
      <c r="R712" s="87">
        <f t="shared" si="262"/>
        <v>0</v>
      </c>
      <c r="T712" s="87">
        <v>0</v>
      </c>
      <c r="V712" s="87">
        <v>0</v>
      </c>
      <c r="X712" s="87">
        <v>0</v>
      </c>
      <c r="Y712" s="88">
        <v>227379.5</v>
      </c>
      <c r="Z712" s="87">
        <v>0</v>
      </c>
      <c r="AA712" s="87">
        <v>0</v>
      </c>
      <c r="AB712" s="89">
        <f t="shared" si="263"/>
        <v>0</v>
      </c>
      <c r="AC712" s="89">
        <f t="shared" si="264"/>
        <v>0</v>
      </c>
      <c r="AD712" s="89">
        <f t="shared" si="265"/>
        <v>0</v>
      </c>
      <c r="AF712" s="90" t="str">
        <f t="shared" si="266"/>
        <v/>
      </c>
      <c r="AH712" s="90" t="str">
        <f t="shared" si="268"/>
        <v/>
      </c>
      <c r="AI712" s="90">
        <f t="shared" si="269"/>
        <v>0</v>
      </c>
      <c r="AJ712" s="90" t="str">
        <f t="shared" si="270"/>
        <v/>
      </c>
      <c r="AK712" s="90" t="str">
        <f t="shared" si="271"/>
        <v/>
      </c>
      <c r="AL712" s="91"/>
      <c r="AM712" s="91">
        <f t="shared" si="272"/>
        <v>0</v>
      </c>
      <c r="AN712" s="92" t="str">
        <f t="shared" si="273"/>
        <v>No change</v>
      </c>
      <c r="AO712" s="93">
        <f>VLOOKUP(B712,'Growthrates source'!A$2:H$49,8,FALSE)</f>
        <v>-0.16643545882510058</v>
      </c>
      <c r="AP712" s="93">
        <f>VLOOKUP(B712,'Growthrates source'!A$2:I$49,9,FALSE)</f>
        <v>0.34338657876279233</v>
      </c>
      <c r="AQ712" s="86">
        <f t="shared" si="274"/>
        <v>0</v>
      </c>
      <c r="AR712" s="86">
        <f t="shared" si="275"/>
        <v>0</v>
      </c>
      <c r="AS712" s="94">
        <f t="shared" si="276"/>
        <v>0</v>
      </c>
      <c r="AT712" s="94">
        <f t="shared" si="277"/>
        <v>0</v>
      </c>
      <c r="AU712" s="94">
        <f t="shared" si="260"/>
        <v>0</v>
      </c>
      <c r="AV712" s="94">
        <f t="shared" si="261"/>
        <v>0</v>
      </c>
    </row>
    <row r="713" spans="1:48" x14ac:dyDescent="0.3">
      <c r="A713" s="85" t="str">
        <f>_xlfn.XLOOKUP(B713,'Country codes &amp; Data sources'!G:G,'Country codes &amp; Data sources'!H:H,,0)</f>
        <v>Sao Tome and Principe</v>
      </c>
      <c r="B713" s="85" t="s">
        <v>153</v>
      </c>
      <c r="C713" s="86">
        <v>189937.5</v>
      </c>
      <c r="D713" s="85" t="s">
        <v>136</v>
      </c>
      <c r="E713" s="87">
        <v>0</v>
      </c>
      <c r="F713" s="88">
        <v>193756.99999999997</v>
      </c>
      <c r="G713" s="87">
        <v>0</v>
      </c>
      <c r="I713" s="87">
        <v>0</v>
      </c>
      <c r="K713" s="87">
        <v>0</v>
      </c>
      <c r="M713" s="87">
        <v>0</v>
      </c>
      <c r="O713" s="87">
        <v>0</v>
      </c>
      <c r="P713" s="88">
        <v>211344</v>
      </c>
      <c r="Q713" s="87">
        <v>0</v>
      </c>
      <c r="R713" s="87">
        <f t="shared" si="262"/>
        <v>0</v>
      </c>
      <c r="T713" s="87">
        <v>0</v>
      </c>
      <c r="V713" s="87">
        <v>0</v>
      </c>
      <c r="X713" s="87">
        <v>0</v>
      </c>
      <c r="Y713" s="88">
        <v>227379.5</v>
      </c>
      <c r="Z713" s="87">
        <v>0</v>
      </c>
      <c r="AA713" s="87">
        <v>0</v>
      </c>
      <c r="AB713" s="89">
        <f t="shared" si="263"/>
        <v>0</v>
      </c>
      <c r="AC713" s="89">
        <f t="shared" si="264"/>
        <v>0</v>
      </c>
      <c r="AD713" s="89">
        <f t="shared" si="265"/>
        <v>0</v>
      </c>
      <c r="AF713" s="90" t="str">
        <f t="shared" si="266"/>
        <v/>
      </c>
      <c r="AH713" s="90" t="str">
        <f t="shared" si="268"/>
        <v/>
      </c>
      <c r="AI713" s="90">
        <f t="shared" si="269"/>
        <v>0</v>
      </c>
      <c r="AJ713" s="90" t="str">
        <f t="shared" si="270"/>
        <v/>
      </c>
      <c r="AK713" s="90" t="str">
        <f t="shared" si="271"/>
        <v/>
      </c>
      <c r="AL713" s="91"/>
      <c r="AM713" s="91">
        <f t="shared" si="272"/>
        <v>0</v>
      </c>
      <c r="AN713" s="92" t="str">
        <f t="shared" si="273"/>
        <v>No change</v>
      </c>
      <c r="AO713" s="93">
        <f>VLOOKUP(B713,'Growthrates source'!A$2:H$49,8,FALSE)</f>
        <v>-0.16643545882510058</v>
      </c>
      <c r="AP713" s="93">
        <f>VLOOKUP(B713,'Growthrates source'!A$2:I$49,9,FALSE)</f>
        <v>0.34338657876279233</v>
      </c>
      <c r="AQ713" s="86">
        <f t="shared" si="274"/>
        <v>0</v>
      </c>
      <c r="AR713" s="86">
        <f t="shared" si="275"/>
        <v>0</v>
      </c>
      <c r="AS713" s="94">
        <f t="shared" si="276"/>
        <v>0</v>
      </c>
      <c r="AT713" s="94">
        <f t="shared" si="277"/>
        <v>0</v>
      </c>
      <c r="AU713" s="94">
        <f t="shared" si="260"/>
        <v>0</v>
      </c>
      <c r="AV713" s="94">
        <f t="shared" si="261"/>
        <v>0</v>
      </c>
    </row>
    <row r="714" spans="1:48" x14ac:dyDescent="0.3">
      <c r="A714" s="85" t="str">
        <f>_xlfn.XLOOKUP(B714,'Country codes &amp; Data sources'!G:G,'Country codes &amp; Data sources'!H:H,,0)</f>
        <v>Sao Tome and Principe</v>
      </c>
      <c r="B714" s="85" t="s">
        <v>153</v>
      </c>
      <c r="C714" s="86">
        <v>189938.5</v>
      </c>
      <c r="D714" s="85" t="s">
        <v>207</v>
      </c>
      <c r="E714" s="87">
        <v>0</v>
      </c>
      <c r="F714" s="88">
        <v>193756.99999999997</v>
      </c>
      <c r="G714" s="87">
        <v>0</v>
      </c>
      <c r="I714" s="87">
        <v>0</v>
      </c>
      <c r="K714" s="87">
        <v>0</v>
      </c>
      <c r="M714" s="87">
        <v>0</v>
      </c>
      <c r="O714" s="87">
        <v>0</v>
      </c>
      <c r="P714" s="88">
        <v>211344</v>
      </c>
      <c r="Q714" s="87">
        <v>0</v>
      </c>
      <c r="R714" s="87">
        <f t="shared" si="262"/>
        <v>0</v>
      </c>
      <c r="T714" s="87">
        <v>0</v>
      </c>
      <c r="V714" s="87">
        <v>0</v>
      </c>
      <c r="X714" s="87">
        <v>0</v>
      </c>
      <c r="Y714" s="88">
        <v>227379.5</v>
      </c>
      <c r="Z714" s="87">
        <v>0</v>
      </c>
      <c r="AA714" s="87">
        <v>0</v>
      </c>
      <c r="AB714" s="89">
        <f t="shared" si="263"/>
        <v>0</v>
      </c>
      <c r="AC714" s="89">
        <f t="shared" si="264"/>
        <v>0</v>
      </c>
      <c r="AD714" s="89">
        <f t="shared" si="265"/>
        <v>0</v>
      </c>
      <c r="AF714" s="90" t="str">
        <f t="shared" si="266"/>
        <v/>
      </c>
      <c r="AH714" s="90" t="str">
        <f t="shared" si="268"/>
        <v/>
      </c>
      <c r="AI714" s="90">
        <f t="shared" si="269"/>
        <v>0</v>
      </c>
      <c r="AJ714" s="90" t="str">
        <f t="shared" si="270"/>
        <v/>
      </c>
      <c r="AK714" s="90" t="str">
        <f t="shared" si="271"/>
        <v/>
      </c>
      <c r="AL714" s="91"/>
      <c r="AM714" s="91">
        <f t="shared" si="272"/>
        <v>0</v>
      </c>
      <c r="AN714" s="92" t="str">
        <f t="shared" si="273"/>
        <v>No change</v>
      </c>
      <c r="AO714" s="93">
        <f>VLOOKUP(B714,'Growthrates source'!A$2:H$49,8,FALSE)</f>
        <v>-0.16643545882510058</v>
      </c>
      <c r="AP714" s="93">
        <f>VLOOKUP(B714,'Growthrates source'!A$2:I$49,9,FALSE)</f>
        <v>0.34338657876279233</v>
      </c>
      <c r="AQ714" s="86">
        <f t="shared" si="274"/>
        <v>0</v>
      </c>
      <c r="AR714" s="86">
        <f t="shared" si="275"/>
        <v>0</v>
      </c>
      <c r="AS714" s="94">
        <f t="shared" si="276"/>
        <v>0</v>
      </c>
      <c r="AT714" s="94">
        <f t="shared" si="277"/>
        <v>0</v>
      </c>
      <c r="AU714" s="94">
        <f t="shared" si="260"/>
        <v>0</v>
      </c>
      <c r="AV714" s="94">
        <f t="shared" si="261"/>
        <v>0</v>
      </c>
    </row>
    <row r="715" spans="1:48" x14ac:dyDescent="0.3">
      <c r="A715" s="85" t="str">
        <f>_xlfn.XLOOKUP(B715,'Country codes &amp; Data sources'!G:G,'Country codes &amp; Data sources'!H:H,,0)</f>
        <v>Sao Tome and Principe</v>
      </c>
      <c r="B715" s="85" t="s">
        <v>153</v>
      </c>
      <c r="C715" s="86">
        <v>189939.5</v>
      </c>
      <c r="D715" s="85" t="s">
        <v>141</v>
      </c>
      <c r="E715" s="87">
        <v>0</v>
      </c>
      <c r="F715" s="88">
        <v>193756.99999999997</v>
      </c>
      <c r="G715" s="87">
        <v>0</v>
      </c>
      <c r="I715" s="87">
        <v>0</v>
      </c>
      <c r="K715" s="87">
        <v>0</v>
      </c>
      <c r="M715" s="87">
        <v>0</v>
      </c>
      <c r="O715" s="87">
        <v>0</v>
      </c>
      <c r="P715" s="88">
        <v>211344</v>
      </c>
      <c r="Q715" s="87">
        <v>0</v>
      </c>
      <c r="R715" s="87">
        <f t="shared" si="262"/>
        <v>0</v>
      </c>
      <c r="T715" s="87">
        <v>0</v>
      </c>
      <c r="V715" s="87">
        <v>0</v>
      </c>
      <c r="X715" s="87">
        <v>0</v>
      </c>
      <c r="Y715" s="88">
        <v>227379.5</v>
      </c>
      <c r="Z715" s="87">
        <v>0</v>
      </c>
      <c r="AA715" s="87">
        <v>0</v>
      </c>
      <c r="AB715" s="89">
        <f t="shared" si="263"/>
        <v>0</v>
      </c>
      <c r="AC715" s="89">
        <f t="shared" si="264"/>
        <v>0</v>
      </c>
      <c r="AD715" s="89">
        <f t="shared" si="265"/>
        <v>0</v>
      </c>
      <c r="AF715" s="90" t="str">
        <f t="shared" si="266"/>
        <v/>
      </c>
      <c r="AH715" s="90" t="str">
        <f t="shared" si="268"/>
        <v/>
      </c>
      <c r="AI715" s="90">
        <f t="shared" si="269"/>
        <v>0</v>
      </c>
      <c r="AJ715" s="90" t="str">
        <f t="shared" si="270"/>
        <v/>
      </c>
      <c r="AK715" s="90" t="str">
        <f t="shared" si="271"/>
        <v/>
      </c>
      <c r="AL715" s="91"/>
      <c r="AM715" s="91">
        <f t="shared" si="272"/>
        <v>0</v>
      </c>
      <c r="AN715" s="92" t="str">
        <f t="shared" si="273"/>
        <v>No change</v>
      </c>
      <c r="AO715" s="93">
        <f>VLOOKUP(B715,'Growthrates source'!A$2:H$49,8,FALSE)</f>
        <v>-0.16643545882510058</v>
      </c>
      <c r="AP715" s="93">
        <f>VLOOKUP(B715,'Growthrates source'!A$2:I$49,9,FALSE)</f>
        <v>0.34338657876279233</v>
      </c>
      <c r="AQ715" s="86">
        <f t="shared" si="274"/>
        <v>0</v>
      </c>
      <c r="AR715" s="86">
        <f t="shared" si="275"/>
        <v>0</v>
      </c>
      <c r="AS715" s="94">
        <f t="shared" si="276"/>
        <v>0</v>
      </c>
      <c r="AT715" s="94">
        <f t="shared" si="277"/>
        <v>0</v>
      </c>
      <c r="AU715" s="94">
        <f t="shared" si="260"/>
        <v>0</v>
      </c>
      <c r="AV715" s="94">
        <f t="shared" si="261"/>
        <v>0</v>
      </c>
    </row>
    <row r="716" spans="1:48" x14ac:dyDescent="0.3">
      <c r="A716" s="85" t="str">
        <f>_xlfn.XLOOKUP(B716,'Country codes &amp; Data sources'!G:G,'Country codes &amp; Data sources'!H:H,,0)</f>
        <v>Sao Tome and Principe</v>
      </c>
      <c r="B716" s="85" t="s">
        <v>153</v>
      </c>
      <c r="C716" s="86">
        <v>189940.5</v>
      </c>
      <c r="D716" s="85" t="s">
        <v>208</v>
      </c>
      <c r="E716" s="87">
        <v>0</v>
      </c>
      <c r="F716" s="88">
        <v>193756.99999999997</v>
      </c>
      <c r="G716" s="87">
        <v>0</v>
      </c>
      <c r="I716" s="87">
        <v>0</v>
      </c>
      <c r="K716" s="87">
        <v>0</v>
      </c>
      <c r="M716" s="87">
        <v>0</v>
      </c>
      <c r="O716" s="87">
        <v>0</v>
      </c>
      <c r="P716" s="88">
        <v>211344</v>
      </c>
      <c r="Q716" s="87">
        <v>0</v>
      </c>
      <c r="R716" s="87">
        <f t="shared" si="262"/>
        <v>0</v>
      </c>
      <c r="T716" s="87">
        <v>0</v>
      </c>
      <c r="V716" s="87">
        <v>0</v>
      </c>
      <c r="X716" s="87">
        <v>0</v>
      </c>
      <c r="Y716" s="88">
        <v>227379.5</v>
      </c>
      <c r="Z716" s="87">
        <v>0</v>
      </c>
      <c r="AA716" s="87">
        <v>0</v>
      </c>
      <c r="AB716" s="89">
        <f t="shared" si="263"/>
        <v>0</v>
      </c>
      <c r="AC716" s="89">
        <f t="shared" si="264"/>
        <v>0</v>
      </c>
      <c r="AD716" s="89">
        <f t="shared" si="265"/>
        <v>0</v>
      </c>
      <c r="AF716" s="90" t="str">
        <f t="shared" si="266"/>
        <v/>
      </c>
      <c r="AH716" s="90" t="str">
        <f t="shared" si="268"/>
        <v/>
      </c>
      <c r="AI716" s="90">
        <f t="shared" si="269"/>
        <v>0</v>
      </c>
      <c r="AJ716" s="90" t="str">
        <f t="shared" si="270"/>
        <v/>
      </c>
      <c r="AK716" s="90" t="str">
        <f t="shared" si="271"/>
        <v/>
      </c>
      <c r="AL716" s="91"/>
      <c r="AM716" s="91">
        <f t="shared" si="272"/>
        <v>0</v>
      </c>
      <c r="AN716" s="92" t="str">
        <f t="shared" si="273"/>
        <v>No change</v>
      </c>
      <c r="AO716" s="93">
        <f>VLOOKUP(B716,'Growthrates source'!A$2:H$49,8,FALSE)</f>
        <v>-0.16643545882510058</v>
      </c>
      <c r="AP716" s="93">
        <f>VLOOKUP(B716,'Growthrates source'!A$2:I$49,9,FALSE)</f>
        <v>0.34338657876279233</v>
      </c>
      <c r="AQ716" s="86">
        <f t="shared" si="274"/>
        <v>0</v>
      </c>
      <c r="AR716" s="86">
        <f t="shared" si="275"/>
        <v>0</v>
      </c>
      <c r="AS716" s="94">
        <f t="shared" si="276"/>
        <v>0</v>
      </c>
      <c r="AT716" s="94">
        <f t="shared" si="277"/>
        <v>0</v>
      </c>
      <c r="AU716" s="94">
        <f t="shared" si="260"/>
        <v>0</v>
      </c>
      <c r="AV716" s="94">
        <f t="shared" si="261"/>
        <v>0</v>
      </c>
    </row>
    <row r="717" spans="1:48" x14ac:dyDescent="0.3">
      <c r="A717" s="85" t="str">
        <f>_xlfn.XLOOKUP(B717,'Country codes &amp; Data sources'!G:G,'Country codes &amp; Data sources'!H:H,,0)</f>
        <v>Sao Tome and Principe</v>
      </c>
      <c r="B717" s="85" t="s">
        <v>153</v>
      </c>
      <c r="C717" s="86">
        <v>189941.5</v>
      </c>
      <c r="D717" s="85" t="s">
        <v>209</v>
      </c>
      <c r="E717" s="87">
        <v>0</v>
      </c>
      <c r="F717" s="88">
        <v>193756.99999999997</v>
      </c>
      <c r="G717" s="87">
        <v>0</v>
      </c>
      <c r="I717" s="87">
        <v>0</v>
      </c>
      <c r="K717" s="87">
        <v>0</v>
      </c>
      <c r="M717" s="87">
        <v>0</v>
      </c>
      <c r="O717" s="87">
        <v>0</v>
      </c>
      <c r="P717" s="88">
        <v>211344</v>
      </c>
      <c r="Q717" s="87">
        <v>0</v>
      </c>
      <c r="R717" s="87">
        <f t="shared" si="262"/>
        <v>271</v>
      </c>
      <c r="T717" s="87">
        <v>0</v>
      </c>
      <c r="V717" s="87">
        <v>0</v>
      </c>
      <c r="X717" s="87">
        <v>0</v>
      </c>
      <c r="Y717" s="88">
        <v>227379.5</v>
      </c>
      <c r="Z717" s="87">
        <v>0</v>
      </c>
      <c r="AA717" s="87">
        <v>271</v>
      </c>
      <c r="AB717" s="89">
        <f t="shared" si="263"/>
        <v>0</v>
      </c>
      <c r="AC717" s="89">
        <f t="shared" si="264"/>
        <v>0</v>
      </c>
      <c r="AD717" s="89">
        <f t="shared" si="265"/>
        <v>0</v>
      </c>
      <c r="AF717" s="90" t="str">
        <f t="shared" si="266"/>
        <v/>
      </c>
      <c r="AG717" s="90">
        <f t="shared" si="267"/>
        <v>271</v>
      </c>
      <c r="AH717" s="90" t="str">
        <f t="shared" si="268"/>
        <v>2018 (triag)</v>
      </c>
      <c r="AI717" s="90">
        <f t="shared" si="269"/>
        <v>271</v>
      </c>
      <c r="AJ717" s="90" t="str">
        <f t="shared" si="270"/>
        <v>2018 (triag)</v>
      </c>
      <c r="AK717" s="90" t="str">
        <f t="shared" si="271"/>
        <v/>
      </c>
      <c r="AL717" s="91">
        <f>IF(AK717="Adjust",(_xlfn.XLOOKUP(A717,'Adj factor'!A:A,'Adj factor'!I:I,,0)*AI717),'Master DataSheet (Rev)'!AI717)</f>
        <v>271</v>
      </c>
      <c r="AM717" s="91">
        <f t="shared" si="272"/>
        <v>271</v>
      </c>
      <c r="AN717" s="92" t="str">
        <f t="shared" si="273"/>
        <v>No change</v>
      </c>
      <c r="AO717" s="93">
        <f>VLOOKUP(B717,'Growthrates source'!A$2:H$49,8,FALSE)</f>
        <v>-0.16643545882510058</v>
      </c>
      <c r="AP717" s="93">
        <f>VLOOKUP(B717,'Growthrates source'!A$2:I$49,9,FALSE)</f>
        <v>0.34338657876279233</v>
      </c>
      <c r="AQ717" s="86">
        <f t="shared" si="274"/>
        <v>622.84401797371834</v>
      </c>
      <c r="AR717" s="86">
        <f t="shared" si="275"/>
        <v>759.21010492234302</v>
      </c>
      <c r="AS717" s="94">
        <f t="shared" si="276"/>
        <v>0</v>
      </c>
      <c r="AT717" s="94">
        <f t="shared" si="277"/>
        <v>12.822696646226058</v>
      </c>
      <c r="AU717" s="94">
        <f t="shared" si="260"/>
        <v>11.91840073533454</v>
      </c>
      <c r="AV717" s="94">
        <f t="shared" si="261"/>
        <v>11.91840073533454</v>
      </c>
    </row>
    <row r="718" spans="1:48" x14ac:dyDescent="0.3">
      <c r="A718" s="85" t="str">
        <f>_xlfn.XLOOKUP(B718,'Country codes &amp; Data sources'!G:G,'Country codes &amp; Data sources'!H:H,,0)</f>
        <v>Sao Tome and Principe</v>
      </c>
      <c r="B718" s="85" t="s">
        <v>153</v>
      </c>
      <c r="C718" s="86">
        <v>189942.5</v>
      </c>
      <c r="D718" s="85" t="s">
        <v>134</v>
      </c>
      <c r="E718" s="87">
        <v>0</v>
      </c>
      <c r="F718" s="88">
        <v>193756.99999999997</v>
      </c>
      <c r="G718" s="87">
        <v>0</v>
      </c>
      <c r="I718" s="87">
        <v>0</v>
      </c>
      <c r="K718" s="87">
        <v>0</v>
      </c>
      <c r="M718" s="87">
        <v>0</v>
      </c>
      <c r="O718" s="87">
        <v>0</v>
      </c>
      <c r="P718" s="88">
        <v>211344</v>
      </c>
      <c r="Q718" s="87">
        <v>0</v>
      </c>
      <c r="R718" s="87">
        <f t="shared" si="262"/>
        <v>0</v>
      </c>
      <c r="T718" s="87">
        <v>0</v>
      </c>
      <c r="V718" s="87">
        <v>0</v>
      </c>
      <c r="X718" s="87">
        <v>0</v>
      </c>
      <c r="Y718" s="88">
        <v>227379.5</v>
      </c>
      <c r="Z718" s="87">
        <v>0</v>
      </c>
      <c r="AA718" s="87">
        <v>0</v>
      </c>
      <c r="AB718" s="89">
        <f t="shared" si="263"/>
        <v>0</v>
      </c>
      <c r="AC718" s="89">
        <f t="shared" si="264"/>
        <v>0</v>
      </c>
      <c r="AD718" s="89">
        <f t="shared" si="265"/>
        <v>0</v>
      </c>
      <c r="AF718" s="90" t="str">
        <f t="shared" si="266"/>
        <v/>
      </c>
      <c r="AH718" s="90" t="str">
        <f t="shared" si="268"/>
        <v/>
      </c>
      <c r="AI718" s="90">
        <f t="shared" si="269"/>
        <v>0</v>
      </c>
      <c r="AJ718" s="90" t="str">
        <f t="shared" si="270"/>
        <v/>
      </c>
      <c r="AK718" s="90" t="str">
        <f t="shared" si="271"/>
        <v/>
      </c>
      <c r="AL718" s="91"/>
      <c r="AM718" s="91">
        <f t="shared" si="272"/>
        <v>0</v>
      </c>
      <c r="AN718" s="92" t="str">
        <f t="shared" si="273"/>
        <v>No change</v>
      </c>
      <c r="AO718" s="93">
        <f>VLOOKUP(B718,'Growthrates source'!A$2:H$49,8,FALSE)</f>
        <v>-0.16643545882510058</v>
      </c>
      <c r="AP718" s="93">
        <f>VLOOKUP(B718,'Growthrates source'!A$2:I$49,9,FALSE)</f>
        <v>0.34338657876279233</v>
      </c>
      <c r="AQ718" s="86">
        <f t="shared" si="274"/>
        <v>0</v>
      </c>
      <c r="AR718" s="86">
        <f t="shared" si="275"/>
        <v>0</v>
      </c>
      <c r="AS718" s="94">
        <f t="shared" si="276"/>
        <v>0</v>
      </c>
      <c r="AT718" s="94">
        <f t="shared" si="277"/>
        <v>0</v>
      </c>
      <c r="AU718" s="94">
        <f t="shared" si="260"/>
        <v>0</v>
      </c>
      <c r="AV718" s="94">
        <f t="shared" si="261"/>
        <v>0</v>
      </c>
    </row>
    <row r="719" spans="1:48" x14ac:dyDescent="0.3">
      <c r="A719" s="85" t="str">
        <f>_xlfn.XLOOKUP(B719,'Country codes &amp; Data sources'!G:G,'Country codes &amp; Data sources'!H:H,,0)</f>
        <v>Sao Tome and Principe</v>
      </c>
      <c r="B719" s="85" t="s">
        <v>153</v>
      </c>
      <c r="C719" s="86">
        <v>189943.5</v>
      </c>
      <c r="D719" s="85" t="s">
        <v>142</v>
      </c>
      <c r="E719" s="87">
        <v>0</v>
      </c>
      <c r="F719" s="88">
        <v>193756.99999999997</v>
      </c>
      <c r="G719" s="87">
        <v>0</v>
      </c>
      <c r="I719" s="87">
        <v>0</v>
      </c>
      <c r="K719" s="87">
        <v>0</v>
      </c>
      <c r="M719" s="87">
        <v>0</v>
      </c>
      <c r="O719" s="87">
        <v>0</v>
      </c>
      <c r="P719" s="88">
        <v>211344</v>
      </c>
      <c r="Q719" s="87">
        <v>0</v>
      </c>
      <c r="R719" s="87">
        <f t="shared" si="262"/>
        <v>0</v>
      </c>
      <c r="T719" s="87">
        <v>0</v>
      </c>
      <c r="V719" s="87">
        <v>0</v>
      </c>
      <c r="X719" s="87">
        <v>0</v>
      </c>
      <c r="Y719" s="88">
        <v>227379.5</v>
      </c>
      <c r="Z719" s="87">
        <v>0</v>
      </c>
      <c r="AA719" s="87">
        <v>0</v>
      </c>
      <c r="AB719" s="89">
        <f t="shared" si="263"/>
        <v>0</v>
      </c>
      <c r="AC719" s="89">
        <f t="shared" si="264"/>
        <v>0</v>
      </c>
      <c r="AD719" s="89">
        <f t="shared" si="265"/>
        <v>0</v>
      </c>
      <c r="AF719" s="90" t="str">
        <f t="shared" si="266"/>
        <v/>
      </c>
      <c r="AH719" s="90" t="str">
        <f t="shared" si="268"/>
        <v/>
      </c>
      <c r="AI719" s="90">
        <f t="shared" si="269"/>
        <v>0</v>
      </c>
      <c r="AJ719" s="90" t="str">
        <f t="shared" si="270"/>
        <v/>
      </c>
      <c r="AK719" s="90" t="str">
        <f t="shared" si="271"/>
        <v/>
      </c>
      <c r="AL719" s="91"/>
      <c r="AM719" s="91">
        <f t="shared" si="272"/>
        <v>0</v>
      </c>
      <c r="AN719" s="92" t="str">
        <f t="shared" si="273"/>
        <v>No change</v>
      </c>
      <c r="AO719" s="93">
        <f>VLOOKUP(B719,'Growthrates source'!A$2:H$49,8,FALSE)</f>
        <v>-0.16643545882510058</v>
      </c>
      <c r="AP719" s="93">
        <f>VLOOKUP(B719,'Growthrates source'!A$2:I$49,9,FALSE)</f>
        <v>0.34338657876279233</v>
      </c>
      <c r="AQ719" s="86">
        <f t="shared" si="274"/>
        <v>0</v>
      </c>
      <c r="AR719" s="86">
        <f t="shared" si="275"/>
        <v>0</v>
      </c>
      <c r="AS719" s="94">
        <f t="shared" si="276"/>
        <v>0</v>
      </c>
      <c r="AT719" s="94">
        <f t="shared" si="277"/>
        <v>0</v>
      </c>
      <c r="AU719" s="94">
        <f t="shared" si="260"/>
        <v>0</v>
      </c>
      <c r="AV719" s="94">
        <f t="shared" si="261"/>
        <v>0</v>
      </c>
    </row>
    <row r="720" spans="1:48" x14ac:dyDescent="0.3">
      <c r="A720" s="85" t="str">
        <f>_xlfn.XLOOKUP(B720,'Country codes &amp; Data sources'!G:G,'Country codes &amp; Data sources'!H:H,,0)</f>
        <v>Sao Tome and Principe</v>
      </c>
      <c r="B720" s="85" t="s">
        <v>153</v>
      </c>
      <c r="C720" s="86">
        <v>189944.5</v>
      </c>
      <c r="D720" s="85" t="s">
        <v>83</v>
      </c>
      <c r="E720" s="87">
        <v>0</v>
      </c>
      <c r="F720" s="88">
        <v>193756.99999999997</v>
      </c>
      <c r="G720" s="87">
        <v>0</v>
      </c>
      <c r="I720" s="87">
        <v>0</v>
      </c>
      <c r="K720" s="87">
        <v>0</v>
      </c>
      <c r="M720" s="87">
        <v>0</v>
      </c>
      <c r="O720" s="87">
        <v>0</v>
      </c>
      <c r="P720" s="88">
        <v>211344</v>
      </c>
      <c r="Q720" s="87">
        <v>0</v>
      </c>
      <c r="R720" s="87">
        <f t="shared" si="262"/>
        <v>0</v>
      </c>
      <c r="T720" s="87">
        <v>0</v>
      </c>
      <c r="V720" s="87">
        <v>0</v>
      </c>
      <c r="X720" s="87">
        <v>0</v>
      </c>
      <c r="Y720" s="88">
        <v>227379.5</v>
      </c>
      <c r="Z720" s="87">
        <v>0</v>
      </c>
      <c r="AA720" s="87">
        <v>0</v>
      </c>
      <c r="AB720" s="89">
        <f t="shared" si="263"/>
        <v>0</v>
      </c>
      <c r="AC720" s="89">
        <f t="shared" si="264"/>
        <v>0</v>
      </c>
      <c r="AD720" s="89">
        <f t="shared" si="265"/>
        <v>0</v>
      </c>
      <c r="AF720" s="90" t="str">
        <f t="shared" si="266"/>
        <v/>
      </c>
      <c r="AH720" s="90" t="str">
        <f t="shared" si="268"/>
        <v/>
      </c>
      <c r="AI720" s="90">
        <f t="shared" si="269"/>
        <v>0</v>
      </c>
      <c r="AJ720" s="90" t="str">
        <f t="shared" si="270"/>
        <v/>
      </c>
      <c r="AK720" s="90" t="str">
        <f t="shared" si="271"/>
        <v/>
      </c>
      <c r="AL720" s="91"/>
      <c r="AM720" s="91">
        <f t="shared" si="272"/>
        <v>0</v>
      </c>
      <c r="AN720" s="92" t="str">
        <f t="shared" si="273"/>
        <v>No change</v>
      </c>
      <c r="AO720" s="93">
        <f>VLOOKUP(B720,'Growthrates source'!A$2:H$49,8,FALSE)</f>
        <v>-0.16643545882510058</v>
      </c>
      <c r="AP720" s="93">
        <f>VLOOKUP(B720,'Growthrates source'!A$2:I$49,9,FALSE)</f>
        <v>0.34338657876279233</v>
      </c>
      <c r="AQ720" s="86">
        <f t="shared" si="274"/>
        <v>0</v>
      </c>
      <c r="AR720" s="86">
        <f t="shared" si="275"/>
        <v>0</v>
      </c>
      <c r="AS720" s="94">
        <f t="shared" si="276"/>
        <v>0</v>
      </c>
      <c r="AT720" s="94">
        <f t="shared" si="277"/>
        <v>0</v>
      </c>
      <c r="AU720" s="94">
        <f t="shared" si="260"/>
        <v>0</v>
      </c>
      <c r="AV720" s="94">
        <f t="shared" si="261"/>
        <v>0</v>
      </c>
    </row>
    <row r="721" spans="1:48" x14ac:dyDescent="0.3">
      <c r="A721" s="85" t="str">
        <f>_xlfn.XLOOKUP(B721,'Country codes &amp; Data sources'!G:G,'Country codes &amp; Data sources'!H:H,,0)</f>
        <v>Sao Tome and Principe</v>
      </c>
      <c r="B721" s="85" t="s">
        <v>153</v>
      </c>
      <c r="C721" s="86">
        <v>189945.5</v>
      </c>
      <c r="D721" s="85" t="s">
        <v>84</v>
      </c>
      <c r="E721" s="87">
        <v>0</v>
      </c>
      <c r="F721" s="88">
        <v>193756.99999999997</v>
      </c>
      <c r="G721" s="87">
        <v>0</v>
      </c>
      <c r="I721" s="87">
        <v>0</v>
      </c>
      <c r="K721" s="87">
        <v>0</v>
      </c>
      <c r="M721" s="87">
        <v>0</v>
      </c>
      <c r="O721" s="87">
        <v>0</v>
      </c>
      <c r="P721" s="88">
        <v>211344</v>
      </c>
      <c r="Q721" s="87">
        <v>0</v>
      </c>
      <c r="R721" s="87">
        <f t="shared" si="262"/>
        <v>0</v>
      </c>
      <c r="T721" s="87">
        <v>0</v>
      </c>
      <c r="V721" s="87">
        <v>0</v>
      </c>
      <c r="X721" s="87">
        <v>0</v>
      </c>
      <c r="Y721" s="88">
        <v>227379.5</v>
      </c>
      <c r="Z721" s="87">
        <v>0</v>
      </c>
      <c r="AA721" s="87">
        <v>0</v>
      </c>
      <c r="AB721" s="89">
        <f t="shared" si="263"/>
        <v>0</v>
      </c>
      <c r="AC721" s="89">
        <f t="shared" si="264"/>
        <v>0</v>
      </c>
      <c r="AD721" s="89">
        <f t="shared" si="265"/>
        <v>0</v>
      </c>
      <c r="AF721" s="90" t="str">
        <f t="shared" si="266"/>
        <v/>
      </c>
      <c r="AH721" s="90" t="str">
        <f t="shared" si="268"/>
        <v/>
      </c>
      <c r="AI721" s="90">
        <f t="shared" si="269"/>
        <v>0</v>
      </c>
      <c r="AJ721" s="90" t="str">
        <f t="shared" si="270"/>
        <v/>
      </c>
      <c r="AK721" s="90" t="str">
        <f t="shared" si="271"/>
        <v/>
      </c>
      <c r="AL721" s="91"/>
      <c r="AM721" s="91">
        <f t="shared" si="272"/>
        <v>0</v>
      </c>
      <c r="AN721" s="92" t="str">
        <f t="shared" si="273"/>
        <v>No change</v>
      </c>
      <c r="AO721" s="93">
        <f>VLOOKUP(B721,'Growthrates source'!A$2:H$49,8,FALSE)</f>
        <v>-0.16643545882510058</v>
      </c>
      <c r="AP721" s="93">
        <f>VLOOKUP(B721,'Growthrates source'!A$2:I$49,9,FALSE)</f>
        <v>0.34338657876279233</v>
      </c>
      <c r="AQ721" s="86">
        <f t="shared" si="274"/>
        <v>0</v>
      </c>
      <c r="AR721" s="86">
        <f t="shared" si="275"/>
        <v>0</v>
      </c>
      <c r="AS721" s="94">
        <f t="shared" si="276"/>
        <v>0</v>
      </c>
      <c r="AT721" s="94">
        <f t="shared" si="277"/>
        <v>0</v>
      </c>
      <c r="AU721" s="94">
        <f t="shared" si="260"/>
        <v>0</v>
      </c>
      <c r="AV721" s="94">
        <f t="shared" si="261"/>
        <v>0</v>
      </c>
    </row>
    <row r="722" spans="1:48" x14ac:dyDescent="0.3">
      <c r="A722" s="85" t="str">
        <f>_xlfn.XLOOKUP(B722,'Country codes &amp; Data sources'!G:G,'Country codes &amp; Data sources'!H:H,,0)</f>
        <v>Sao Tome and Principe</v>
      </c>
      <c r="B722" s="85" t="s">
        <v>153</v>
      </c>
      <c r="C722" s="86">
        <v>189946.5</v>
      </c>
      <c r="D722" s="85" t="s">
        <v>126</v>
      </c>
      <c r="E722" s="87">
        <v>0</v>
      </c>
      <c r="F722" s="88">
        <v>193756.99999999997</v>
      </c>
      <c r="G722" s="87">
        <v>0</v>
      </c>
      <c r="I722" s="87">
        <v>0</v>
      </c>
      <c r="K722" s="87">
        <v>0</v>
      </c>
      <c r="M722" s="87">
        <v>0</v>
      </c>
      <c r="O722" s="87">
        <v>0</v>
      </c>
      <c r="P722" s="88">
        <v>211344</v>
      </c>
      <c r="Q722" s="87">
        <v>0</v>
      </c>
      <c r="R722" s="87">
        <f t="shared" si="262"/>
        <v>0</v>
      </c>
      <c r="T722" s="87">
        <v>0</v>
      </c>
      <c r="V722" s="87">
        <v>0</v>
      </c>
      <c r="X722" s="87">
        <v>0</v>
      </c>
      <c r="Y722" s="88">
        <v>227379.5</v>
      </c>
      <c r="Z722" s="87">
        <v>0</v>
      </c>
      <c r="AA722" s="87">
        <v>0</v>
      </c>
      <c r="AB722" s="89">
        <f t="shared" si="263"/>
        <v>0</v>
      </c>
      <c r="AC722" s="89">
        <f t="shared" si="264"/>
        <v>0</v>
      </c>
      <c r="AD722" s="89">
        <f t="shared" si="265"/>
        <v>0</v>
      </c>
      <c r="AF722" s="90" t="str">
        <f t="shared" si="266"/>
        <v/>
      </c>
      <c r="AH722" s="90" t="str">
        <f t="shared" si="268"/>
        <v/>
      </c>
      <c r="AI722" s="90">
        <f t="shared" si="269"/>
        <v>0</v>
      </c>
      <c r="AJ722" s="90" t="str">
        <f t="shared" si="270"/>
        <v/>
      </c>
      <c r="AK722" s="90" t="str">
        <f t="shared" si="271"/>
        <v/>
      </c>
      <c r="AL722" s="91"/>
      <c r="AM722" s="91">
        <f t="shared" si="272"/>
        <v>0</v>
      </c>
      <c r="AN722" s="92" t="str">
        <f t="shared" si="273"/>
        <v>No change</v>
      </c>
      <c r="AO722" s="93">
        <f>VLOOKUP(B722,'Growthrates source'!A$2:H$49,8,FALSE)</f>
        <v>-0.16643545882510058</v>
      </c>
      <c r="AP722" s="93">
        <f>VLOOKUP(B722,'Growthrates source'!A$2:I$49,9,FALSE)</f>
        <v>0.34338657876279233</v>
      </c>
      <c r="AQ722" s="86">
        <f t="shared" si="274"/>
        <v>0</v>
      </c>
      <c r="AR722" s="86">
        <f t="shared" si="275"/>
        <v>0</v>
      </c>
      <c r="AS722" s="94">
        <f t="shared" si="276"/>
        <v>0</v>
      </c>
      <c r="AT722" s="94">
        <f t="shared" si="277"/>
        <v>0</v>
      </c>
      <c r="AU722" s="94">
        <f t="shared" si="260"/>
        <v>0</v>
      </c>
      <c r="AV722" s="94">
        <f t="shared" si="261"/>
        <v>0</v>
      </c>
    </row>
    <row r="723" spans="1:48" x14ac:dyDescent="0.3">
      <c r="A723" s="85" t="str">
        <f>_xlfn.XLOOKUP(B723,'Country codes &amp; Data sources'!G:G,'Country codes &amp; Data sources'!H:H,,0)</f>
        <v>Sao Tome and Principe</v>
      </c>
      <c r="B723" s="85" t="s">
        <v>153</v>
      </c>
      <c r="C723" s="86">
        <v>189947.5</v>
      </c>
      <c r="D723" s="85" t="s">
        <v>87</v>
      </c>
      <c r="E723" s="87">
        <v>0</v>
      </c>
      <c r="F723" s="88">
        <v>193756.99999999997</v>
      </c>
      <c r="G723" s="87">
        <v>0</v>
      </c>
      <c r="I723" s="87">
        <v>0</v>
      </c>
      <c r="K723" s="87">
        <v>0</v>
      </c>
      <c r="M723" s="87">
        <v>0</v>
      </c>
      <c r="O723" s="87">
        <v>0</v>
      </c>
      <c r="P723" s="88">
        <v>211344</v>
      </c>
      <c r="Q723" s="87">
        <v>0</v>
      </c>
      <c r="R723" s="87">
        <f t="shared" si="262"/>
        <v>0</v>
      </c>
      <c r="T723" s="87">
        <v>0</v>
      </c>
      <c r="V723" s="87">
        <v>0</v>
      </c>
      <c r="X723" s="87">
        <v>0</v>
      </c>
      <c r="Y723" s="88">
        <v>227379.5</v>
      </c>
      <c r="Z723" s="87">
        <v>0</v>
      </c>
      <c r="AA723" s="87">
        <v>0</v>
      </c>
      <c r="AB723" s="89">
        <f t="shared" si="263"/>
        <v>0</v>
      </c>
      <c r="AC723" s="89">
        <f t="shared" si="264"/>
        <v>0</v>
      </c>
      <c r="AD723" s="89">
        <f t="shared" si="265"/>
        <v>0</v>
      </c>
      <c r="AF723" s="90" t="str">
        <f t="shared" si="266"/>
        <v/>
      </c>
      <c r="AH723" s="90" t="str">
        <f t="shared" si="268"/>
        <v/>
      </c>
      <c r="AI723" s="90">
        <f t="shared" si="269"/>
        <v>0</v>
      </c>
      <c r="AJ723" s="90" t="str">
        <f t="shared" si="270"/>
        <v/>
      </c>
      <c r="AK723" s="90" t="str">
        <f t="shared" si="271"/>
        <v/>
      </c>
      <c r="AL723" s="91"/>
      <c r="AM723" s="91">
        <f t="shared" si="272"/>
        <v>0</v>
      </c>
      <c r="AN723" s="92" t="str">
        <f t="shared" si="273"/>
        <v>No change</v>
      </c>
      <c r="AO723" s="93">
        <f>VLOOKUP(B723,'Growthrates source'!A$2:H$49,8,FALSE)</f>
        <v>-0.16643545882510058</v>
      </c>
      <c r="AP723" s="93">
        <f>VLOOKUP(B723,'Growthrates source'!A$2:I$49,9,FALSE)</f>
        <v>0.34338657876279233</v>
      </c>
      <c r="AQ723" s="86">
        <f t="shared" si="274"/>
        <v>0</v>
      </c>
      <c r="AR723" s="86">
        <f t="shared" si="275"/>
        <v>0</v>
      </c>
      <c r="AS723" s="94">
        <f t="shared" si="276"/>
        <v>0</v>
      </c>
      <c r="AT723" s="94">
        <f t="shared" si="277"/>
        <v>0</v>
      </c>
      <c r="AU723" s="94">
        <f t="shared" si="260"/>
        <v>0</v>
      </c>
      <c r="AV723" s="94">
        <f t="shared" si="261"/>
        <v>0</v>
      </c>
    </row>
    <row r="724" spans="1:48" x14ac:dyDescent="0.3">
      <c r="A724" s="85" t="str">
        <f>_xlfn.XLOOKUP(B724,'Country codes &amp; Data sources'!G:G,'Country codes &amp; Data sources'!H:H,,0)</f>
        <v>Eswatini</v>
      </c>
      <c r="B724" s="85" t="s">
        <v>159</v>
      </c>
      <c r="C724" s="86">
        <v>1111449</v>
      </c>
      <c r="D724" s="85" t="s">
        <v>127</v>
      </c>
      <c r="E724" s="87">
        <v>0</v>
      </c>
      <c r="F724" s="88">
        <v>1118318.9999999998</v>
      </c>
      <c r="G724" s="87">
        <v>0</v>
      </c>
      <c r="I724" s="87">
        <v>0</v>
      </c>
      <c r="K724" s="87">
        <v>0</v>
      </c>
      <c r="M724" s="87">
        <v>0</v>
      </c>
      <c r="O724" s="87">
        <v>0</v>
      </c>
      <c r="P724" s="88">
        <v>1160427.5</v>
      </c>
      <c r="Q724" s="87">
        <v>6324</v>
      </c>
      <c r="R724" s="87">
        <f t="shared" si="262"/>
        <v>6324</v>
      </c>
      <c r="T724" s="87">
        <v>0</v>
      </c>
      <c r="V724" s="87">
        <v>5386</v>
      </c>
      <c r="X724" s="87">
        <v>0</v>
      </c>
      <c r="Y724" s="88">
        <v>1201670.4999999995</v>
      </c>
      <c r="Z724" s="105">
        <v>3200</v>
      </c>
      <c r="AA724" s="87">
        <v>6324</v>
      </c>
      <c r="AB724" s="89">
        <f t="shared" si="263"/>
        <v>0</v>
      </c>
      <c r="AC724" s="89">
        <f t="shared" si="264"/>
        <v>6324</v>
      </c>
      <c r="AD724" s="89">
        <f t="shared" si="265"/>
        <v>5386</v>
      </c>
      <c r="AF724" s="90" t="str">
        <f t="shared" si="266"/>
        <v/>
      </c>
      <c r="AG724" s="90">
        <f t="shared" si="267"/>
        <v>6324</v>
      </c>
      <c r="AH724" s="90">
        <f t="shared" si="268"/>
        <v>2018</v>
      </c>
      <c r="AI724" s="90">
        <f t="shared" si="269"/>
        <v>3200</v>
      </c>
      <c r="AJ724" s="90">
        <f t="shared" si="270"/>
        <v>2022</v>
      </c>
      <c r="AK724" s="90" t="str">
        <f t="shared" si="271"/>
        <v>Adjust</v>
      </c>
      <c r="AL724" s="91">
        <f>IF(AK724="Adjust",(_xlfn.XLOOKUP(A724,'Adj factor'!A:A,'Adj factor'!I:I,,0)*AI724),'Master DataSheet (Rev)'!AI724)</f>
        <v>4586.4308415089126</v>
      </c>
      <c r="AM724" s="91">
        <f t="shared" si="272"/>
        <v>6324</v>
      </c>
      <c r="AN724" s="92" t="str">
        <f t="shared" si="273"/>
        <v>Decreasing</v>
      </c>
      <c r="AO724" s="93">
        <f>VLOOKUP(B724,'Growthrates source'!A$2:H$49,8,FALSE)</f>
        <v>-0.11185567778326533</v>
      </c>
      <c r="AP724" s="93">
        <f>VLOOKUP(B724,'Growthrates source'!A$2:I$49,9,FALSE)</f>
        <v>0.45661638376408309</v>
      </c>
      <c r="AQ724" s="86">
        <f t="shared" si="274"/>
        <v>11063.266634907941</v>
      </c>
      <c r="AR724" s="86">
        <f t="shared" si="275"/>
        <v>24883.403885705367</v>
      </c>
      <c r="AS724" s="94">
        <f t="shared" si="276"/>
        <v>0</v>
      </c>
      <c r="AT724" s="94">
        <f t="shared" si="277"/>
        <v>54.497157297633848</v>
      </c>
      <c r="AU724" s="94">
        <f t="shared" si="260"/>
        <v>38.167125193710874</v>
      </c>
      <c r="AV724" s="94">
        <f t="shared" si="261"/>
        <v>52.626739193481093</v>
      </c>
    </row>
    <row r="725" spans="1:48" s="95" customFormat="1" x14ac:dyDescent="0.3">
      <c r="A725" s="95" t="str">
        <f>_xlfn.XLOOKUP(B725,'Country codes &amp; Data sources'!G:G,'Country codes &amp; Data sources'!H:H,,0)</f>
        <v>Eswatini</v>
      </c>
      <c r="B725" s="95" t="s">
        <v>159</v>
      </c>
      <c r="C725" s="60">
        <v>1111450</v>
      </c>
      <c r="D725" s="95" t="s">
        <v>61</v>
      </c>
      <c r="E725" s="96">
        <v>0</v>
      </c>
      <c r="F725" s="97">
        <v>1118318.9999999998</v>
      </c>
      <c r="G725" s="96">
        <v>0</v>
      </c>
      <c r="H725" s="96"/>
      <c r="I725" s="96">
        <v>0</v>
      </c>
      <c r="J725" s="96"/>
      <c r="K725" s="96">
        <v>15</v>
      </c>
      <c r="L725" s="96"/>
      <c r="M725" s="96">
        <v>0</v>
      </c>
      <c r="N725" s="96"/>
      <c r="O725" s="96">
        <v>0</v>
      </c>
      <c r="P725" s="97">
        <v>1160427.5</v>
      </c>
      <c r="Q725" s="96">
        <v>31</v>
      </c>
      <c r="R725" s="96">
        <f t="shared" si="262"/>
        <v>31</v>
      </c>
      <c r="S725" s="96"/>
      <c r="T725" s="96">
        <v>0</v>
      </c>
      <c r="U725" s="96"/>
      <c r="V725" s="96">
        <v>0</v>
      </c>
      <c r="W725" s="96"/>
      <c r="X725" s="96">
        <v>0</v>
      </c>
      <c r="Y725" s="97">
        <v>1201670.4999999995</v>
      </c>
      <c r="Z725" s="105">
        <v>10</v>
      </c>
      <c r="AA725" s="96">
        <v>0</v>
      </c>
      <c r="AB725" s="98">
        <f t="shared" si="263"/>
        <v>15</v>
      </c>
      <c r="AC725" s="98">
        <f t="shared" si="264"/>
        <v>31</v>
      </c>
      <c r="AD725" s="98">
        <f t="shared" si="265"/>
        <v>10</v>
      </c>
      <c r="AE725" s="99">
        <f t="shared" ref="AE725:AE726" si="278">IF(G725&gt;0,G725,IF(E725&gt;0,E725,IF(I725&gt;0,I725,K725)))</f>
        <v>15</v>
      </c>
      <c r="AF725" s="99">
        <f t="shared" si="266"/>
        <v>2015</v>
      </c>
      <c r="AG725" s="99">
        <f t="shared" si="267"/>
        <v>31</v>
      </c>
      <c r="AH725" s="99">
        <f t="shared" si="268"/>
        <v>2018</v>
      </c>
      <c r="AI725" s="99">
        <f t="shared" si="269"/>
        <v>10</v>
      </c>
      <c r="AJ725" s="99">
        <f t="shared" si="270"/>
        <v>2022</v>
      </c>
      <c r="AK725" s="99" t="str">
        <f t="shared" si="271"/>
        <v>Adjust</v>
      </c>
      <c r="AL725" s="61">
        <f>IF(AK725="Adjust",(_xlfn.XLOOKUP(A725,'Adj factor'!A:A,'Adj factor'!I:I,,0)*AI725),'Master DataSheet (Rev)'!AI725)</f>
        <v>14.332596379715351</v>
      </c>
      <c r="AM725" s="61">
        <f t="shared" si="272"/>
        <v>31</v>
      </c>
      <c r="AN725" s="62" t="str">
        <f t="shared" si="273"/>
        <v>Decreasing</v>
      </c>
      <c r="AO725" s="100">
        <f>VLOOKUP(B725,'Growthrates source'!A$2:H$49,8,FALSE)</f>
        <v>-0.11185567778326533</v>
      </c>
      <c r="AP725" s="100">
        <f>VLOOKUP(B725,'Growthrates source'!A$2:I$49,9,FALSE)</f>
        <v>0.45661638376408309</v>
      </c>
      <c r="AQ725" s="60">
        <f t="shared" si="274"/>
        <v>0</v>
      </c>
      <c r="AR725" s="60">
        <f t="shared" si="275"/>
        <v>0</v>
      </c>
      <c r="AS725" s="102">
        <f t="shared" si="276"/>
        <v>0.13412988601642289</v>
      </c>
      <c r="AT725" s="102">
        <f t="shared" si="277"/>
        <v>0.26714292792957767</v>
      </c>
      <c r="AU725" s="94">
        <f t="shared" si="260"/>
        <v>0.11927226623034649</v>
      </c>
      <c r="AV725" s="94">
        <f t="shared" si="261"/>
        <v>0.25797421173275048</v>
      </c>
    </row>
    <row r="726" spans="1:48" s="95" customFormat="1" x14ac:dyDescent="0.3">
      <c r="A726" s="95" t="str">
        <f>_xlfn.XLOOKUP(B726,'Country codes &amp; Data sources'!G:G,'Country codes &amp; Data sources'!H:H,,0)</f>
        <v>Eswatini</v>
      </c>
      <c r="B726" s="95" t="s">
        <v>159</v>
      </c>
      <c r="C726" s="60">
        <v>1111451</v>
      </c>
      <c r="D726" s="95" t="s">
        <v>62</v>
      </c>
      <c r="E726" s="96">
        <v>4646</v>
      </c>
      <c r="F726" s="97">
        <v>1118318.9999999998</v>
      </c>
      <c r="G726" s="96">
        <v>0</v>
      </c>
      <c r="H726" s="96"/>
      <c r="I726" s="96">
        <v>234</v>
      </c>
      <c r="J726" s="96"/>
      <c r="K726" s="96">
        <v>428</v>
      </c>
      <c r="L726" s="96"/>
      <c r="M726" s="96">
        <v>0</v>
      </c>
      <c r="N726" s="96"/>
      <c r="O726" s="96">
        <v>0</v>
      </c>
      <c r="P726" s="97">
        <v>1160427.5</v>
      </c>
      <c r="Q726" s="96">
        <v>275</v>
      </c>
      <c r="R726" s="96">
        <f t="shared" si="262"/>
        <v>275</v>
      </c>
      <c r="S726" s="96"/>
      <c r="T726" s="96">
        <v>0</v>
      </c>
      <c r="U726" s="96"/>
      <c r="V726" s="96">
        <v>0</v>
      </c>
      <c r="W726" s="96"/>
      <c r="X726" s="96">
        <v>0</v>
      </c>
      <c r="Y726" s="97">
        <v>1201670.4999999995</v>
      </c>
      <c r="Z726" s="105">
        <v>83</v>
      </c>
      <c r="AA726" s="96">
        <v>187</v>
      </c>
      <c r="AB726" s="98">
        <f t="shared" si="263"/>
        <v>4646</v>
      </c>
      <c r="AC726" s="98">
        <f t="shared" si="264"/>
        <v>275</v>
      </c>
      <c r="AD726" s="98">
        <f t="shared" si="265"/>
        <v>83</v>
      </c>
      <c r="AE726" s="99">
        <f t="shared" si="278"/>
        <v>4646</v>
      </c>
      <c r="AF726" s="99">
        <f t="shared" si="266"/>
        <v>2012</v>
      </c>
      <c r="AG726" s="99">
        <f t="shared" si="267"/>
        <v>275</v>
      </c>
      <c r="AH726" s="99">
        <f t="shared" si="268"/>
        <v>2018</v>
      </c>
      <c r="AI726" s="99">
        <f t="shared" si="269"/>
        <v>83</v>
      </c>
      <c r="AJ726" s="99">
        <f t="shared" si="270"/>
        <v>2022</v>
      </c>
      <c r="AK726" s="99" t="str">
        <f t="shared" si="271"/>
        <v>Adjust</v>
      </c>
      <c r="AL726" s="61">
        <f>IF(AK726="Adjust",(_xlfn.XLOOKUP(A726,'Adj factor'!A:A,'Adj factor'!I:I,,0)*AI726),'Master DataSheet (Rev)'!AI726)</f>
        <v>118.96054995163742</v>
      </c>
      <c r="AM726" s="61">
        <f t="shared" si="272"/>
        <v>275</v>
      </c>
      <c r="AN726" s="62" t="str">
        <f t="shared" si="273"/>
        <v>Decreasing</v>
      </c>
      <c r="AO726" s="100">
        <f>VLOOKUP(B726,'Growthrates source'!A$2:H$49,8,FALSE)</f>
        <v>-0.11185567778326533</v>
      </c>
      <c r="AP726" s="100">
        <f>VLOOKUP(B726,'Growthrates source'!A$2:I$49,9,FALSE)</f>
        <v>0.45661638376408309</v>
      </c>
      <c r="AQ726" s="60">
        <f t="shared" si="274"/>
        <v>327.13960479566492</v>
      </c>
      <c r="AR726" s="60">
        <f t="shared" si="275"/>
        <v>735.79957726548139</v>
      </c>
      <c r="AS726" s="101">
        <f t="shared" si="276"/>
        <v>41.544496695486714</v>
      </c>
      <c r="AT726" s="102">
        <f t="shared" si="277"/>
        <v>2.3698162961494793</v>
      </c>
      <c r="AU726" s="94">
        <f t="shared" si="260"/>
        <v>0.9899598097118758</v>
      </c>
      <c r="AV726" s="94">
        <f t="shared" si="261"/>
        <v>2.2884809105324639</v>
      </c>
    </row>
    <row r="727" spans="1:48" x14ac:dyDescent="0.3">
      <c r="A727" s="85" t="str">
        <f>_xlfn.XLOOKUP(B727,'Country codes &amp; Data sources'!G:G,'Country codes &amp; Data sources'!H:H,,0)</f>
        <v>Eswatini</v>
      </c>
      <c r="B727" s="85" t="s">
        <v>159</v>
      </c>
      <c r="C727" s="86">
        <v>1111452</v>
      </c>
      <c r="D727" s="85" t="s">
        <v>203</v>
      </c>
      <c r="E727" s="87">
        <v>0</v>
      </c>
      <c r="F727" s="88">
        <v>1118318.9999999998</v>
      </c>
      <c r="G727" s="87">
        <v>0</v>
      </c>
      <c r="I727" s="87">
        <v>0</v>
      </c>
      <c r="K727" s="87">
        <v>0</v>
      </c>
      <c r="M727" s="87">
        <v>0</v>
      </c>
      <c r="O727" s="87">
        <v>0</v>
      </c>
      <c r="P727" s="88">
        <v>1160427.5</v>
      </c>
      <c r="Q727" s="87">
        <v>0</v>
      </c>
      <c r="R727" s="87">
        <f t="shared" si="262"/>
        <v>927</v>
      </c>
      <c r="T727" s="87">
        <v>0</v>
      </c>
      <c r="V727" s="87">
        <v>0</v>
      </c>
      <c r="X727" s="87">
        <v>0</v>
      </c>
      <c r="Y727" s="88">
        <v>1201670.4999999995</v>
      </c>
      <c r="Z727" s="87">
        <v>0</v>
      </c>
      <c r="AA727" s="87">
        <v>927</v>
      </c>
      <c r="AB727" s="89">
        <f t="shared" si="263"/>
        <v>0</v>
      </c>
      <c r="AC727" s="89">
        <f t="shared" si="264"/>
        <v>0</v>
      </c>
      <c r="AD727" s="89">
        <f t="shared" si="265"/>
        <v>0</v>
      </c>
      <c r="AF727" s="90" t="str">
        <f t="shared" si="266"/>
        <v/>
      </c>
      <c r="AG727" s="90">
        <f t="shared" si="267"/>
        <v>927</v>
      </c>
      <c r="AH727" s="90" t="str">
        <f t="shared" si="268"/>
        <v>2018 (triag)</v>
      </c>
      <c r="AI727" s="90">
        <f t="shared" si="269"/>
        <v>927</v>
      </c>
      <c r="AJ727" s="90" t="str">
        <f t="shared" si="270"/>
        <v>2018 (triag)</v>
      </c>
      <c r="AK727" s="90" t="str">
        <f t="shared" si="271"/>
        <v/>
      </c>
      <c r="AL727" s="91">
        <f>IF(AK727="Adjust",(_xlfn.XLOOKUP(A727,'Adj factor'!A:A,'Adj factor'!I:I,,0)*AI727),'Master DataSheet (Rev)'!AI727)</f>
        <v>927</v>
      </c>
      <c r="AM727" s="91">
        <f t="shared" si="272"/>
        <v>927</v>
      </c>
      <c r="AN727" s="92" t="str">
        <f t="shared" si="273"/>
        <v>No change</v>
      </c>
      <c r="AO727" s="93">
        <f>VLOOKUP(B727,'Growthrates source'!A$2:H$49,8,FALSE)</f>
        <v>-0.11185567778326533</v>
      </c>
      <c r="AP727" s="93">
        <f>VLOOKUP(B727,'Growthrates source'!A$2:I$49,9,FALSE)</f>
        <v>0.45661638376408309</v>
      </c>
      <c r="AQ727" s="86">
        <f t="shared" si="274"/>
        <v>1621.7027467678149</v>
      </c>
      <c r="AR727" s="86">
        <f t="shared" si="275"/>
        <v>3647.5198295459959</v>
      </c>
      <c r="AS727" s="94">
        <f t="shared" si="276"/>
        <v>0</v>
      </c>
      <c r="AT727" s="94">
        <f t="shared" si="277"/>
        <v>7.9884352964747904</v>
      </c>
      <c r="AU727" s="94">
        <f t="shared" si="260"/>
        <v>7.7142611056857966</v>
      </c>
      <c r="AV727" s="94">
        <f t="shared" si="261"/>
        <v>7.7142611056857966</v>
      </c>
    </row>
    <row r="728" spans="1:48" x14ac:dyDescent="0.3">
      <c r="A728" s="85" t="str">
        <f>_xlfn.XLOOKUP(B728,'Country codes &amp; Data sources'!G:G,'Country codes &amp; Data sources'!H:H,,0)</f>
        <v>Eswatini</v>
      </c>
      <c r="B728" s="85" t="s">
        <v>159</v>
      </c>
      <c r="C728" s="86">
        <v>1111453</v>
      </c>
      <c r="D728" s="85" t="s">
        <v>204</v>
      </c>
      <c r="E728" s="87">
        <v>0</v>
      </c>
      <c r="F728" s="88">
        <v>1118318.9999999998</v>
      </c>
      <c r="G728" s="87">
        <v>0</v>
      </c>
      <c r="I728" s="87">
        <v>0</v>
      </c>
      <c r="K728" s="87">
        <v>0</v>
      </c>
      <c r="M728" s="87">
        <v>0</v>
      </c>
      <c r="O728" s="87">
        <v>0</v>
      </c>
      <c r="P728" s="88">
        <v>1160427.5</v>
      </c>
      <c r="Q728" s="87">
        <v>0</v>
      </c>
      <c r="R728" s="87">
        <f t="shared" si="262"/>
        <v>195</v>
      </c>
      <c r="T728" s="87">
        <v>0</v>
      </c>
      <c r="V728" s="87">
        <v>0</v>
      </c>
      <c r="X728" s="87">
        <v>0</v>
      </c>
      <c r="Y728" s="88">
        <v>1201670.4999999995</v>
      </c>
      <c r="Z728" s="87">
        <v>0</v>
      </c>
      <c r="AA728" s="87">
        <v>195</v>
      </c>
      <c r="AB728" s="89">
        <f t="shared" si="263"/>
        <v>0</v>
      </c>
      <c r="AC728" s="89">
        <f t="shared" si="264"/>
        <v>0</v>
      </c>
      <c r="AD728" s="89">
        <f t="shared" si="265"/>
        <v>0</v>
      </c>
      <c r="AF728" s="90" t="str">
        <f t="shared" si="266"/>
        <v/>
      </c>
      <c r="AG728" s="90">
        <f t="shared" si="267"/>
        <v>195</v>
      </c>
      <c r="AH728" s="90" t="str">
        <f t="shared" si="268"/>
        <v>2018 (triag)</v>
      </c>
      <c r="AI728" s="90">
        <f t="shared" si="269"/>
        <v>195</v>
      </c>
      <c r="AJ728" s="90" t="str">
        <f t="shared" si="270"/>
        <v>2018 (triag)</v>
      </c>
      <c r="AK728" s="90" t="str">
        <f t="shared" si="271"/>
        <v/>
      </c>
      <c r="AL728" s="91">
        <f>IF(AK728="Adjust",(_xlfn.XLOOKUP(A728,'Adj factor'!A:A,'Adj factor'!I:I,,0)*AI728),'Master DataSheet (Rev)'!AI728)</f>
        <v>195</v>
      </c>
      <c r="AM728" s="91">
        <f t="shared" si="272"/>
        <v>195</v>
      </c>
      <c r="AN728" s="92" t="str">
        <f t="shared" si="273"/>
        <v>No change</v>
      </c>
      <c r="AO728" s="93">
        <f>VLOOKUP(B728,'Growthrates source'!A$2:H$49,8,FALSE)</f>
        <v>-0.11185567778326533</v>
      </c>
      <c r="AP728" s="93">
        <f>VLOOKUP(B728,'Growthrates source'!A$2:I$49,9,FALSE)</f>
        <v>0.45661638376408309</v>
      </c>
      <c r="AQ728" s="86">
        <f t="shared" si="274"/>
        <v>341.13488200617462</v>
      </c>
      <c r="AR728" s="86">
        <f t="shared" si="275"/>
        <v>767.27763404689233</v>
      </c>
      <c r="AS728" s="94">
        <f t="shared" si="276"/>
        <v>0</v>
      </c>
      <c r="AT728" s="94">
        <f t="shared" si="277"/>
        <v>1.6804151918150854</v>
      </c>
      <c r="AU728" s="94">
        <f t="shared" si="260"/>
        <v>1.6227410092866561</v>
      </c>
      <c r="AV728" s="94">
        <f t="shared" si="261"/>
        <v>1.6227410092866561</v>
      </c>
    </row>
    <row r="729" spans="1:48" x14ac:dyDescent="0.3">
      <c r="A729" s="85" t="str">
        <f>_xlfn.XLOOKUP(B729,'Country codes &amp; Data sources'!G:G,'Country codes &amp; Data sources'!H:H,,0)</f>
        <v>Eswatini</v>
      </c>
      <c r="B729" s="85" t="s">
        <v>159</v>
      </c>
      <c r="C729" s="86">
        <v>1111454</v>
      </c>
      <c r="D729" s="85" t="s">
        <v>205</v>
      </c>
      <c r="E729" s="87">
        <v>0</v>
      </c>
      <c r="F729" s="88">
        <v>1118318.9999999998</v>
      </c>
      <c r="G729" s="87">
        <v>0</v>
      </c>
      <c r="I729" s="87">
        <v>0</v>
      </c>
      <c r="K729" s="87">
        <v>0</v>
      </c>
      <c r="M729" s="87">
        <v>0</v>
      </c>
      <c r="O729" s="87">
        <v>0</v>
      </c>
      <c r="P729" s="88">
        <v>1160427.5</v>
      </c>
      <c r="Q729" s="87">
        <v>0</v>
      </c>
      <c r="R729" s="87">
        <f t="shared" si="262"/>
        <v>0</v>
      </c>
      <c r="T729" s="87">
        <v>3</v>
      </c>
      <c r="V729" s="87">
        <v>0</v>
      </c>
      <c r="X729" s="87">
        <v>0</v>
      </c>
      <c r="Y729" s="88">
        <v>1201670.4999999995</v>
      </c>
      <c r="Z729" s="87">
        <v>0</v>
      </c>
      <c r="AA729" s="87">
        <v>0</v>
      </c>
      <c r="AB729" s="89">
        <f t="shared" si="263"/>
        <v>0</v>
      </c>
      <c r="AC729" s="89">
        <f t="shared" si="264"/>
        <v>3</v>
      </c>
      <c r="AD729" s="89">
        <f t="shared" si="265"/>
        <v>0</v>
      </c>
      <c r="AF729" s="90" t="str">
        <f t="shared" si="266"/>
        <v/>
      </c>
      <c r="AG729" s="90">
        <f t="shared" si="267"/>
        <v>3</v>
      </c>
      <c r="AH729" s="90">
        <f t="shared" si="268"/>
        <v>2019</v>
      </c>
      <c r="AI729" s="90">
        <f t="shared" si="269"/>
        <v>3</v>
      </c>
      <c r="AJ729" s="90">
        <f t="shared" si="270"/>
        <v>2019</v>
      </c>
      <c r="AK729" s="90" t="str">
        <f t="shared" si="271"/>
        <v/>
      </c>
      <c r="AL729" s="91">
        <f>IF(AK729="Adjust",(_xlfn.XLOOKUP(A729,'Adj factor'!A:A,'Adj factor'!I:I,,0)*AI729),'Master DataSheet (Rev)'!AI729)</f>
        <v>3</v>
      </c>
      <c r="AM729" s="91">
        <f t="shared" si="272"/>
        <v>3</v>
      </c>
      <c r="AN729" s="92" t="str">
        <f t="shared" si="273"/>
        <v>No change</v>
      </c>
      <c r="AO729" s="93">
        <f>VLOOKUP(B729,'Growthrates source'!A$2:H$49,8,FALSE)</f>
        <v>-0.11185567778326533</v>
      </c>
      <c r="AP729" s="93">
        <f>VLOOKUP(B729,'Growthrates source'!A$2:I$49,9,FALSE)</f>
        <v>0.45661638376408309</v>
      </c>
      <c r="AQ729" s="86">
        <f t="shared" si="274"/>
        <v>0</v>
      </c>
      <c r="AR729" s="86">
        <f t="shared" si="275"/>
        <v>0</v>
      </c>
      <c r="AS729" s="94">
        <f t="shared" si="276"/>
        <v>0</v>
      </c>
      <c r="AT729" s="94">
        <f t="shared" si="277"/>
        <v>2.5852541412539776E-2</v>
      </c>
      <c r="AU729" s="94">
        <f t="shared" si="260"/>
        <v>2.4965246296717786E-2</v>
      </c>
      <c r="AV729" s="94">
        <f t="shared" si="261"/>
        <v>2.4965246296717786E-2</v>
      </c>
    </row>
    <row r="730" spans="1:48" x14ac:dyDescent="0.3">
      <c r="A730" s="85" t="str">
        <f>_xlfn.XLOOKUP(B730,'Country codes &amp; Data sources'!G:G,'Country codes &amp; Data sources'!H:H,,0)</f>
        <v>Eswatini</v>
      </c>
      <c r="B730" s="85" t="s">
        <v>159</v>
      </c>
      <c r="C730" s="86">
        <v>1111455</v>
      </c>
      <c r="D730" s="85" t="s">
        <v>133</v>
      </c>
      <c r="E730" s="87">
        <v>0</v>
      </c>
      <c r="F730" s="88">
        <v>1118318.9999999998</v>
      </c>
      <c r="G730" s="87">
        <v>0</v>
      </c>
      <c r="I730" s="87">
        <v>0</v>
      </c>
      <c r="K730" s="87">
        <v>0</v>
      </c>
      <c r="M730" s="87">
        <v>0</v>
      </c>
      <c r="O730" s="87">
        <v>0</v>
      </c>
      <c r="P730" s="88">
        <v>1160427.5</v>
      </c>
      <c r="Q730" s="87">
        <v>370</v>
      </c>
      <c r="R730" s="87">
        <f t="shared" si="262"/>
        <v>370</v>
      </c>
      <c r="T730" s="87">
        <v>0</v>
      </c>
      <c r="V730" s="87">
        <v>0</v>
      </c>
      <c r="X730" s="87">
        <v>0</v>
      </c>
      <c r="Y730" s="88">
        <v>1201670.4999999995</v>
      </c>
      <c r="Z730" s="103">
        <v>130</v>
      </c>
      <c r="AA730" s="87">
        <v>84</v>
      </c>
      <c r="AB730" s="89">
        <f t="shared" si="263"/>
        <v>0</v>
      </c>
      <c r="AC730" s="89">
        <f t="shared" si="264"/>
        <v>370</v>
      </c>
      <c r="AD730" s="89">
        <f t="shared" si="265"/>
        <v>130</v>
      </c>
      <c r="AF730" s="90" t="str">
        <f t="shared" si="266"/>
        <v/>
      </c>
      <c r="AG730" s="90">
        <f t="shared" si="267"/>
        <v>370</v>
      </c>
      <c r="AH730" s="90">
        <f t="shared" si="268"/>
        <v>2018</v>
      </c>
      <c r="AI730" s="90">
        <f t="shared" si="269"/>
        <v>130</v>
      </c>
      <c r="AJ730" s="90">
        <f t="shared" si="270"/>
        <v>2022</v>
      </c>
      <c r="AK730" s="90" t="str">
        <f t="shared" si="271"/>
        <v>Adjust</v>
      </c>
      <c r="AL730" s="91">
        <f>IF(AK730="Adjust",(_xlfn.XLOOKUP(A730,'Adj factor'!A:A,'Adj factor'!I:I,,0)*AI730),'Master DataSheet (Rev)'!AI730)</f>
        <v>186.32375293629957</v>
      </c>
      <c r="AM730" s="91">
        <f t="shared" si="272"/>
        <v>370</v>
      </c>
      <c r="AN730" s="92" t="str">
        <f t="shared" si="273"/>
        <v>Decreasing</v>
      </c>
      <c r="AO730" s="93">
        <f>VLOOKUP(B730,'Growthrates source'!A$2:H$49,8,FALSE)</f>
        <v>-0.11185567778326533</v>
      </c>
      <c r="AP730" s="93">
        <f>VLOOKUP(B730,'Growthrates source'!A$2:I$49,9,FALSE)</f>
        <v>0.45661638376408309</v>
      </c>
      <c r="AQ730" s="86">
        <f t="shared" si="274"/>
        <v>146.95041071035214</v>
      </c>
      <c r="AR730" s="86">
        <f t="shared" si="275"/>
        <v>330.51959620481517</v>
      </c>
      <c r="AS730" s="94">
        <f t="shared" si="276"/>
        <v>0</v>
      </c>
      <c r="AT730" s="94">
        <f t="shared" si="277"/>
        <v>3.1884801075465723</v>
      </c>
      <c r="AU730" s="94">
        <f t="shared" si="260"/>
        <v>1.5505394609945042</v>
      </c>
      <c r="AV730" s="94">
        <f t="shared" si="261"/>
        <v>3.0790470432618604</v>
      </c>
    </row>
    <row r="731" spans="1:48" x14ac:dyDescent="0.3">
      <c r="A731" s="85" t="str">
        <f>_xlfn.XLOOKUP(B731,'Country codes &amp; Data sources'!G:G,'Country codes &amp; Data sources'!H:H,,0)</f>
        <v>Eswatini</v>
      </c>
      <c r="B731" s="85" t="s">
        <v>159</v>
      </c>
      <c r="C731" s="86">
        <v>1111456</v>
      </c>
      <c r="D731" s="85" t="s">
        <v>206</v>
      </c>
      <c r="E731" s="87">
        <v>0</v>
      </c>
      <c r="F731" s="88">
        <v>1118318.9999999998</v>
      </c>
      <c r="G731" s="87">
        <v>0</v>
      </c>
      <c r="I731" s="87">
        <v>0</v>
      </c>
      <c r="K731" s="87">
        <v>0</v>
      </c>
      <c r="M731" s="87">
        <v>0</v>
      </c>
      <c r="O731" s="87">
        <v>0</v>
      </c>
      <c r="P731" s="88">
        <v>1160427.5</v>
      </c>
      <c r="Q731" s="87">
        <v>0</v>
      </c>
      <c r="R731" s="87">
        <f t="shared" si="262"/>
        <v>28</v>
      </c>
      <c r="T731" s="87">
        <v>0</v>
      </c>
      <c r="V731" s="87">
        <v>30</v>
      </c>
      <c r="X731" s="87">
        <v>0</v>
      </c>
      <c r="Y731" s="88">
        <v>1201670.4999999995</v>
      </c>
      <c r="Z731" s="87">
        <v>0</v>
      </c>
      <c r="AA731" s="87">
        <v>28</v>
      </c>
      <c r="AB731" s="89">
        <f t="shared" si="263"/>
        <v>0</v>
      </c>
      <c r="AC731" s="89">
        <f t="shared" si="264"/>
        <v>0</v>
      </c>
      <c r="AD731" s="89">
        <f t="shared" si="265"/>
        <v>30</v>
      </c>
      <c r="AF731" s="90" t="str">
        <f t="shared" si="266"/>
        <v/>
      </c>
      <c r="AG731" s="90">
        <f t="shared" si="267"/>
        <v>28</v>
      </c>
      <c r="AH731" s="90" t="str">
        <f t="shared" si="268"/>
        <v>2018 (triag)</v>
      </c>
      <c r="AI731" s="90">
        <f t="shared" si="269"/>
        <v>30</v>
      </c>
      <c r="AJ731" s="90">
        <f t="shared" si="270"/>
        <v>2020</v>
      </c>
      <c r="AK731" s="90" t="str">
        <f t="shared" si="271"/>
        <v/>
      </c>
      <c r="AL731" s="91">
        <f>IF(AK731="Adjust",(_xlfn.XLOOKUP(A731,'Adj factor'!A:A,'Adj factor'!I:I,,0)*AI731),'Master DataSheet (Rev)'!AI731)</f>
        <v>30</v>
      </c>
      <c r="AM731" s="91">
        <f t="shared" si="272"/>
        <v>30</v>
      </c>
      <c r="AN731" s="92" t="str">
        <f t="shared" si="273"/>
        <v>Increasing</v>
      </c>
      <c r="AO731" s="93">
        <f>VLOOKUP(B731,'Growthrates source'!A$2:H$49,8,FALSE)</f>
        <v>-0.11185567778326533</v>
      </c>
      <c r="AP731" s="93">
        <f>VLOOKUP(B731,'Growthrates source'!A$2:I$49,9,FALSE)</f>
        <v>0.45661638376408309</v>
      </c>
      <c r="AQ731" s="86">
        <f t="shared" si="274"/>
        <v>48.983470236784051</v>
      </c>
      <c r="AR731" s="86">
        <f t="shared" si="275"/>
        <v>110.17319873493838</v>
      </c>
      <c r="AS731" s="94">
        <f t="shared" si="276"/>
        <v>0</v>
      </c>
      <c r="AT731" s="94">
        <f t="shared" si="277"/>
        <v>0.24129038651703791</v>
      </c>
      <c r="AU731" s="94">
        <f t="shared" si="260"/>
        <v>0.24965246296717788</v>
      </c>
      <c r="AV731" s="94">
        <f t="shared" si="261"/>
        <v>0.24965246296717788</v>
      </c>
    </row>
    <row r="732" spans="1:48" x14ac:dyDescent="0.3">
      <c r="A732" s="85" t="str">
        <f>_xlfn.XLOOKUP(B732,'Country codes &amp; Data sources'!G:G,'Country codes &amp; Data sources'!H:H,,0)</f>
        <v>Eswatini</v>
      </c>
      <c r="B732" s="85" t="s">
        <v>159</v>
      </c>
      <c r="C732" s="86">
        <v>1111457</v>
      </c>
      <c r="D732" s="85" t="s">
        <v>136</v>
      </c>
      <c r="E732" s="87">
        <v>0</v>
      </c>
      <c r="F732" s="88">
        <v>1118318.9999999998</v>
      </c>
      <c r="G732" s="87">
        <v>0</v>
      </c>
      <c r="I732" s="87">
        <v>0</v>
      </c>
      <c r="K732" s="87">
        <v>0</v>
      </c>
      <c r="M732" s="87">
        <v>0</v>
      </c>
      <c r="O732" s="87">
        <v>0</v>
      </c>
      <c r="P732" s="88">
        <v>1160427.5</v>
      </c>
      <c r="Q732" s="87">
        <v>0</v>
      </c>
      <c r="R732" s="87">
        <f t="shared" si="262"/>
        <v>47</v>
      </c>
      <c r="T732" s="87">
        <v>0</v>
      </c>
      <c r="V732" s="87">
        <v>53</v>
      </c>
      <c r="X732" s="87">
        <v>0</v>
      </c>
      <c r="Y732" s="88">
        <v>1201670.4999999995</v>
      </c>
      <c r="Z732" s="103">
        <v>64</v>
      </c>
      <c r="AA732" s="87">
        <v>47</v>
      </c>
      <c r="AB732" s="89">
        <f t="shared" si="263"/>
        <v>0</v>
      </c>
      <c r="AC732" s="89">
        <f t="shared" si="264"/>
        <v>0</v>
      </c>
      <c r="AD732" s="89">
        <f t="shared" si="265"/>
        <v>64</v>
      </c>
      <c r="AF732" s="90" t="str">
        <f t="shared" si="266"/>
        <v/>
      </c>
      <c r="AG732" s="90">
        <f t="shared" si="267"/>
        <v>47</v>
      </c>
      <c r="AH732" s="90" t="str">
        <f t="shared" si="268"/>
        <v>2018 (triag)</v>
      </c>
      <c r="AI732" s="90">
        <f t="shared" si="269"/>
        <v>64</v>
      </c>
      <c r="AJ732" s="90">
        <f t="shared" si="270"/>
        <v>2022</v>
      </c>
      <c r="AK732" s="90" t="str">
        <f t="shared" si="271"/>
        <v/>
      </c>
      <c r="AL732" s="91">
        <f>IF(AK732="Adjust",(_xlfn.XLOOKUP(A732,'Adj factor'!A:A,'Adj factor'!I:I,,0)*AI732),'Master DataSheet (Rev)'!AI732)</f>
        <v>64</v>
      </c>
      <c r="AM732" s="91">
        <f t="shared" si="272"/>
        <v>64</v>
      </c>
      <c r="AN732" s="92" t="str">
        <f t="shared" si="273"/>
        <v>Increasing</v>
      </c>
      <c r="AO732" s="93">
        <f>VLOOKUP(B732,'Growthrates source'!A$2:H$49,8,FALSE)</f>
        <v>-0.11185567778326533</v>
      </c>
      <c r="AP732" s="93">
        <f>VLOOKUP(B732,'Growthrates source'!A$2:I$49,9,FALSE)</f>
        <v>0.45661638376408309</v>
      </c>
      <c r="AQ732" s="86">
        <f t="shared" si="274"/>
        <v>82.222253611744662</v>
      </c>
      <c r="AR732" s="86">
        <f t="shared" si="275"/>
        <v>184.93358359078942</v>
      </c>
      <c r="AS732" s="94">
        <f t="shared" si="276"/>
        <v>0</v>
      </c>
      <c r="AT732" s="94">
        <f t="shared" si="277"/>
        <v>0.40502314879645646</v>
      </c>
      <c r="AU732" s="94">
        <f t="shared" si="260"/>
        <v>0.5325919209966461</v>
      </c>
      <c r="AV732" s="94">
        <f t="shared" si="261"/>
        <v>0.5325919209966461</v>
      </c>
    </row>
    <row r="733" spans="1:48" x14ac:dyDescent="0.3">
      <c r="A733" s="85" t="str">
        <f>_xlfn.XLOOKUP(B733,'Country codes &amp; Data sources'!G:G,'Country codes &amp; Data sources'!H:H,,0)</f>
        <v>Eswatini</v>
      </c>
      <c r="B733" s="85" t="s">
        <v>159</v>
      </c>
      <c r="C733" s="86">
        <v>1111458</v>
      </c>
      <c r="D733" s="85" t="s">
        <v>207</v>
      </c>
      <c r="E733" s="87">
        <v>0</v>
      </c>
      <c r="F733" s="88">
        <v>1118318.9999999998</v>
      </c>
      <c r="G733" s="87">
        <v>0</v>
      </c>
      <c r="I733" s="87">
        <v>0</v>
      </c>
      <c r="K733" s="87">
        <v>0</v>
      </c>
      <c r="M733" s="87">
        <v>0</v>
      </c>
      <c r="O733" s="87">
        <v>0</v>
      </c>
      <c r="P733" s="88">
        <v>1160427.5</v>
      </c>
      <c r="Q733" s="87">
        <v>0</v>
      </c>
      <c r="R733" s="87">
        <f t="shared" si="262"/>
        <v>2084</v>
      </c>
      <c r="T733" s="87">
        <v>0</v>
      </c>
      <c r="V733" s="87">
        <v>0</v>
      </c>
      <c r="X733" s="87">
        <v>0</v>
      </c>
      <c r="Y733" s="88">
        <v>1201670.4999999995</v>
      </c>
      <c r="Z733" s="87">
        <v>0</v>
      </c>
      <c r="AA733" s="87">
        <v>2084</v>
      </c>
      <c r="AB733" s="89">
        <f t="shared" si="263"/>
        <v>0</v>
      </c>
      <c r="AC733" s="89">
        <f t="shared" si="264"/>
        <v>0</v>
      </c>
      <c r="AD733" s="89">
        <f t="shared" si="265"/>
        <v>0</v>
      </c>
      <c r="AF733" s="90" t="str">
        <f t="shared" si="266"/>
        <v/>
      </c>
      <c r="AG733" s="90">
        <f t="shared" si="267"/>
        <v>2084</v>
      </c>
      <c r="AH733" s="90" t="str">
        <f t="shared" si="268"/>
        <v>2018 (triag)</v>
      </c>
      <c r="AI733" s="90">
        <f t="shared" si="269"/>
        <v>2084</v>
      </c>
      <c r="AJ733" s="90" t="str">
        <f t="shared" si="270"/>
        <v>2018 (triag)</v>
      </c>
      <c r="AK733" s="90" t="str">
        <f t="shared" si="271"/>
        <v/>
      </c>
      <c r="AL733" s="91">
        <f>IF(AK733="Adjust",(_xlfn.XLOOKUP(A733,'Adj factor'!A:A,'Adj factor'!I:I,,0)*AI733),'Master DataSheet (Rev)'!AI733)</f>
        <v>2084</v>
      </c>
      <c r="AM733" s="91">
        <f t="shared" si="272"/>
        <v>2084</v>
      </c>
      <c r="AN733" s="92" t="str">
        <f t="shared" si="273"/>
        <v>No change</v>
      </c>
      <c r="AO733" s="93">
        <f>VLOOKUP(B733,'Growthrates source'!A$2:H$49,8,FALSE)</f>
        <v>-0.11185567778326533</v>
      </c>
      <c r="AP733" s="93">
        <f>VLOOKUP(B733,'Growthrates source'!A$2:I$49,9,FALSE)</f>
        <v>0.45661638376408309</v>
      </c>
      <c r="AQ733" s="86">
        <f t="shared" si="274"/>
        <v>3645.7697133377842</v>
      </c>
      <c r="AR733" s="86">
        <f t="shared" si="275"/>
        <v>8200.0337915575565</v>
      </c>
      <c r="AS733" s="94">
        <f t="shared" si="276"/>
        <v>0</v>
      </c>
      <c r="AT733" s="94">
        <f t="shared" si="277"/>
        <v>17.958898767910963</v>
      </c>
      <c r="AU733" s="94">
        <f t="shared" si="260"/>
        <v>17.342524427453288</v>
      </c>
      <c r="AV733" s="94">
        <f t="shared" si="261"/>
        <v>17.342524427453288</v>
      </c>
    </row>
    <row r="734" spans="1:48" x14ac:dyDescent="0.3">
      <c r="A734" s="85" t="str">
        <f>_xlfn.XLOOKUP(B734,'Country codes &amp; Data sources'!G:G,'Country codes &amp; Data sources'!H:H,,0)</f>
        <v>Eswatini</v>
      </c>
      <c r="B734" s="85" t="s">
        <v>159</v>
      </c>
      <c r="C734" s="86">
        <v>1111459</v>
      </c>
      <c r="D734" s="85" t="s">
        <v>141</v>
      </c>
      <c r="E734" s="87">
        <v>0</v>
      </c>
      <c r="F734" s="88">
        <v>1118318.9999999998</v>
      </c>
      <c r="G734" s="87">
        <v>0</v>
      </c>
      <c r="I734" s="87">
        <v>0</v>
      </c>
      <c r="K734" s="87">
        <v>0</v>
      </c>
      <c r="M734" s="87">
        <v>0</v>
      </c>
      <c r="O734" s="87">
        <v>0</v>
      </c>
      <c r="P734" s="88">
        <v>1160427.5</v>
      </c>
      <c r="Q734" s="87">
        <v>0</v>
      </c>
      <c r="R734" s="87">
        <f t="shared" si="262"/>
        <v>12</v>
      </c>
      <c r="T734" s="87">
        <v>0</v>
      </c>
      <c r="V734" s="87">
        <v>6</v>
      </c>
      <c r="X734" s="87">
        <v>0</v>
      </c>
      <c r="Y734" s="88">
        <v>1201670.4999999995</v>
      </c>
      <c r="Z734" s="103">
        <v>6</v>
      </c>
      <c r="AA734" s="87">
        <v>12</v>
      </c>
      <c r="AB734" s="89">
        <f t="shared" si="263"/>
        <v>0</v>
      </c>
      <c r="AC734" s="89">
        <f t="shared" si="264"/>
        <v>0</v>
      </c>
      <c r="AD734" s="89">
        <f t="shared" si="265"/>
        <v>6</v>
      </c>
      <c r="AF734" s="90" t="str">
        <f t="shared" si="266"/>
        <v/>
      </c>
      <c r="AG734" s="90">
        <f t="shared" si="267"/>
        <v>12</v>
      </c>
      <c r="AH734" s="90" t="str">
        <f t="shared" si="268"/>
        <v>2018 (triag)</v>
      </c>
      <c r="AI734" s="90">
        <f t="shared" si="269"/>
        <v>6</v>
      </c>
      <c r="AJ734" s="90">
        <f t="shared" si="270"/>
        <v>2020</v>
      </c>
      <c r="AK734" s="90" t="str">
        <f t="shared" si="271"/>
        <v>Adjust</v>
      </c>
      <c r="AL734" s="91">
        <f>IF(AK734="Adjust",(_xlfn.XLOOKUP(A734,'Adj factor'!A:A,'Adj factor'!I:I,,0)*AI734),'Master DataSheet (Rev)'!AI734)</f>
        <v>8.5995578278292122</v>
      </c>
      <c r="AM734" s="91">
        <f t="shared" si="272"/>
        <v>12</v>
      </c>
      <c r="AN734" s="92" t="str">
        <f t="shared" si="273"/>
        <v>Decreasing</v>
      </c>
      <c r="AO734" s="93">
        <f>VLOOKUP(B734,'Growthrates source'!A$2:H$49,8,FALSE)</f>
        <v>-0.11185567778326533</v>
      </c>
      <c r="AP734" s="93">
        <f>VLOOKUP(B734,'Growthrates source'!A$2:I$49,9,FALSE)</f>
        <v>0.45661638376408309</v>
      </c>
      <c r="AQ734" s="86">
        <f t="shared" si="274"/>
        <v>20.992915815764594</v>
      </c>
      <c r="AR734" s="86">
        <f t="shared" si="275"/>
        <v>47.217085172116448</v>
      </c>
      <c r="AS734" s="94">
        <f t="shared" si="276"/>
        <v>0</v>
      </c>
      <c r="AT734" s="94">
        <f t="shared" si="277"/>
        <v>0.10341016565015911</v>
      </c>
      <c r="AU734" s="94">
        <f t="shared" si="260"/>
        <v>7.1563359738207891E-2</v>
      </c>
      <c r="AV734" s="94">
        <f t="shared" si="261"/>
        <v>9.9860985186871143E-2</v>
      </c>
    </row>
    <row r="735" spans="1:48" x14ac:dyDescent="0.3">
      <c r="A735" s="85" t="str">
        <f>_xlfn.XLOOKUP(B735,'Country codes &amp; Data sources'!G:G,'Country codes &amp; Data sources'!H:H,,0)</f>
        <v>Eswatini</v>
      </c>
      <c r="B735" s="85" t="s">
        <v>159</v>
      </c>
      <c r="C735" s="86">
        <v>1111460</v>
      </c>
      <c r="D735" s="85" t="s">
        <v>208</v>
      </c>
      <c r="E735" s="87">
        <v>0</v>
      </c>
      <c r="F735" s="88">
        <v>1118318.9999999998</v>
      </c>
      <c r="G735" s="87">
        <v>0</v>
      </c>
      <c r="I735" s="87">
        <v>0</v>
      </c>
      <c r="K735" s="87">
        <v>0</v>
      </c>
      <c r="M735" s="87">
        <v>0</v>
      </c>
      <c r="O735" s="87">
        <v>0</v>
      </c>
      <c r="P735" s="88">
        <v>1160427.5</v>
      </c>
      <c r="Q735" s="87">
        <v>0</v>
      </c>
      <c r="R735" s="87">
        <f t="shared" si="262"/>
        <v>1215</v>
      </c>
      <c r="T735" s="87">
        <v>0</v>
      </c>
      <c r="V735" s="87">
        <v>52</v>
      </c>
      <c r="X735" s="87">
        <v>0</v>
      </c>
      <c r="Y735" s="88">
        <v>1201670.4999999995</v>
      </c>
      <c r="Z735" s="87">
        <v>0</v>
      </c>
      <c r="AA735" s="87">
        <v>1215</v>
      </c>
      <c r="AB735" s="89">
        <f t="shared" si="263"/>
        <v>0</v>
      </c>
      <c r="AC735" s="89">
        <f t="shared" si="264"/>
        <v>0</v>
      </c>
      <c r="AD735" s="89">
        <f t="shared" si="265"/>
        <v>52</v>
      </c>
      <c r="AF735" s="90" t="str">
        <f t="shared" si="266"/>
        <v/>
      </c>
      <c r="AG735" s="90">
        <f t="shared" si="267"/>
        <v>1215</v>
      </c>
      <c r="AH735" s="90" t="str">
        <f t="shared" si="268"/>
        <v>2018 (triag)</v>
      </c>
      <c r="AI735" s="90">
        <f t="shared" si="269"/>
        <v>52</v>
      </c>
      <c r="AJ735" s="90">
        <f t="shared" si="270"/>
        <v>2020</v>
      </c>
      <c r="AK735" s="90" t="str">
        <f t="shared" si="271"/>
        <v>Adjust</v>
      </c>
      <c r="AL735" s="91">
        <f>IF(AK735="Adjust",(_xlfn.XLOOKUP(A735,'Adj factor'!A:A,'Adj factor'!I:I,,0)*AI735),'Master DataSheet (Rev)'!AI735)</f>
        <v>74.529501174519837</v>
      </c>
      <c r="AM735" s="91">
        <f t="shared" si="272"/>
        <v>1215</v>
      </c>
      <c r="AN735" s="92" t="str">
        <f t="shared" si="273"/>
        <v>Decreasing</v>
      </c>
      <c r="AO735" s="93">
        <f>VLOOKUP(B735,'Growthrates source'!A$2:H$49,8,FALSE)</f>
        <v>-0.11185567778326533</v>
      </c>
      <c r="AP735" s="93">
        <f>VLOOKUP(B735,'Growthrates source'!A$2:I$49,9,FALSE)</f>
        <v>0.45661638376408309</v>
      </c>
      <c r="AQ735" s="86">
        <f t="shared" si="274"/>
        <v>2125.532726346165</v>
      </c>
      <c r="AR735" s="86">
        <f t="shared" si="275"/>
        <v>4780.7298736767907</v>
      </c>
      <c r="AS735" s="94">
        <f t="shared" si="276"/>
        <v>0</v>
      </c>
      <c r="AT735" s="94">
        <f t="shared" si="277"/>
        <v>10.470279272078608</v>
      </c>
      <c r="AU735" s="94">
        <f t="shared" si="260"/>
        <v>0.62021578439780178</v>
      </c>
      <c r="AV735" s="94">
        <f t="shared" si="261"/>
        <v>10.110924750170703</v>
      </c>
    </row>
    <row r="736" spans="1:48" x14ac:dyDescent="0.3">
      <c r="A736" s="85" t="str">
        <f>_xlfn.XLOOKUP(B736,'Country codes &amp; Data sources'!G:G,'Country codes &amp; Data sources'!H:H,,0)</f>
        <v>Eswatini</v>
      </c>
      <c r="B736" s="85" t="s">
        <v>159</v>
      </c>
      <c r="C736" s="86">
        <v>1111461</v>
      </c>
      <c r="D736" s="85" t="s">
        <v>209</v>
      </c>
      <c r="E736" s="87">
        <v>0</v>
      </c>
      <c r="F736" s="88">
        <v>1118318.9999999998</v>
      </c>
      <c r="G736" s="87">
        <v>0</v>
      </c>
      <c r="I736" s="87">
        <v>0</v>
      </c>
      <c r="K736" s="87">
        <v>0</v>
      </c>
      <c r="M736" s="87">
        <v>0</v>
      </c>
      <c r="O736" s="87">
        <v>0</v>
      </c>
      <c r="P736" s="88">
        <v>1160427.5</v>
      </c>
      <c r="Q736" s="87">
        <v>0</v>
      </c>
      <c r="R736" s="87">
        <f t="shared" si="262"/>
        <v>85</v>
      </c>
      <c r="T736" s="87">
        <v>0</v>
      </c>
      <c r="V736" s="87">
        <v>1861</v>
      </c>
      <c r="X736" s="87">
        <v>0</v>
      </c>
      <c r="Y736" s="88">
        <v>1201670.4999999995</v>
      </c>
      <c r="Z736" s="87">
        <v>0</v>
      </c>
      <c r="AA736" s="87">
        <v>85</v>
      </c>
      <c r="AB736" s="89">
        <f t="shared" si="263"/>
        <v>0</v>
      </c>
      <c r="AC736" s="89">
        <f t="shared" si="264"/>
        <v>0</v>
      </c>
      <c r="AD736" s="89">
        <f t="shared" si="265"/>
        <v>1861</v>
      </c>
      <c r="AF736" s="90" t="str">
        <f t="shared" si="266"/>
        <v/>
      </c>
      <c r="AG736" s="90">
        <f t="shared" si="267"/>
        <v>85</v>
      </c>
      <c r="AH736" s="90" t="str">
        <f t="shared" si="268"/>
        <v>2018 (triag)</v>
      </c>
      <c r="AI736" s="90">
        <f t="shared" si="269"/>
        <v>1861</v>
      </c>
      <c r="AJ736" s="90">
        <f t="shared" si="270"/>
        <v>2020</v>
      </c>
      <c r="AK736" s="90" t="str">
        <f t="shared" si="271"/>
        <v/>
      </c>
      <c r="AL736" s="91">
        <f>IF(AK736="Adjust",(_xlfn.XLOOKUP(A736,'Adj factor'!A:A,'Adj factor'!I:I,,0)*AI736),'Master DataSheet (Rev)'!AI736)</f>
        <v>1861</v>
      </c>
      <c r="AM736" s="91">
        <f t="shared" si="272"/>
        <v>1861</v>
      </c>
      <c r="AN736" s="92" t="str">
        <f t="shared" si="273"/>
        <v>Increasing</v>
      </c>
      <c r="AO736" s="93">
        <f>VLOOKUP(B736,'Growthrates source'!A$2:H$49,8,FALSE)</f>
        <v>-0.11185567778326533</v>
      </c>
      <c r="AP736" s="93">
        <f>VLOOKUP(B736,'Growthrates source'!A$2:I$49,9,FALSE)</f>
        <v>0.45661638376408309</v>
      </c>
      <c r="AQ736" s="86">
        <f t="shared" si="274"/>
        <v>148.69982036166587</v>
      </c>
      <c r="AR736" s="86">
        <f t="shared" si="275"/>
        <v>334.45435330249154</v>
      </c>
      <c r="AS736" s="94">
        <f t="shared" si="276"/>
        <v>0</v>
      </c>
      <c r="AT736" s="94">
        <f t="shared" si="277"/>
        <v>0.73248867335529366</v>
      </c>
      <c r="AU736" s="94">
        <f t="shared" si="260"/>
        <v>15.4867744527306</v>
      </c>
      <c r="AV736" s="94">
        <f t="shared" si="261"/>
        <v>15.4867744527306</v>
      </c>
    </row>
    <row r="737" spans="1:48" x14ac:dyDescent="0.3">
      <c r="A737" s="85" t="str">
        <f>_xlfn.XLOOKUP(B737,'Country codes &amp; Data sources'!G:G,'Country codes &amp; Data sources'!H:H,,0)</f>
        <v>Eswatini</v>
      </c>
      <c r="B737" s="85" t="s">
        <v>159</v>
      </c>
      <c r="C737" s="86">
        <v>1111462</v>
      </c>
      <c r="D737" s="85" t="s">
        <v>134</v>
      </c>
      <c r="E737" s="87">
        <v>0</v>
      </c>
      <c r="F737" s="88">
        <v>1118318.9999999998</v>
      </c>
      <c r="G737" s="87">
        <v>0</v>
      </c>
      <c r="I737" s="87">
        <v>0</v>
      </c>
      <c r="K737" s="87">
        <v>0</v>
      </c>
      <c r="M737" s="87">
        <v>0</v>
      </c>
      <c r="O737" s="87">
        <v>0</v>
      </c>
      <c r="P737" s="88">
        <v>1160427.5</v>
      </c>
      <c r="Q737" s="87">
        <v>0</v>
      </c>
      <c r="R737" s="87">
        <f t="shared" si="262"/>
        <v>370</v>
      </c>
      <c r="T737" s="87">
        <v>0</v>
      </c>
      <c r="V737" s="87">
        <v>0</v>
      </c>
      <c r="X737" s="87">
        <v>0</v>
      </c>
      <c r="Y737" s="88">
        <v>1201670.4999999995</v>
      </c>
      <c r="Z737" s="103">
        <v>249</v>
      </c>
      <c r="AA737" s="87">
        <v>370</v>
      </c>
      <c r="AB737" s="89">
        <f t="shared" si="263"/>
        <v>0</v>
      </c>
      <c r="AC737" s="89">
        <f t="shared" si="264"/>
        <v>0</v>
      </c>
      <c r="AD737" s="89">
        <f t="shared" si="265"/>
        <v>249</v>
      </c>
      <c r="AF737" s="90" t="str">
        <f t="shared" si="266"/>
        <v/>
      </c>
      <c r="AG737" s="90">
        <f t="shared" si="267"/>
        <v>370</v>
      </c>
      <c r="AH737" s="90" t="str">
        <f t="shared" si="268"/>
        <v>2018 (triag)</v>
      </c>
      <c r="AI737" s="90">
        <f t="shared" si="269"/>
        <v>249</v>
      </c>
      <c r="AJ737" s="90">
        <f t="shared" si="270"/>
        <v>2022</v>
      </c>
      <c r="AK737" s="90" t="str">
        <f t="shared" si="271"/>
        <v>Adjust</v>
      </c>
      <c r="AL737" s="91">
        <f>IF(AK737="Adjust",(_xlfn.XLOOKUP(A737,'Adj factor'!A:A,'Adj factor'!I:I,,0)*AI737),'Master DataSheet (Rev)'!AI737)</f>
        <v>356.88164985491227</v>
      </c>
      <c r="AM737" s="91">
        <f t="shared" si="272"/>
        <v>370</v>
      </c>
      <c r="AN737" s="92" t="str">
        <f t="shared" si="273"/>
        <v>Decreasing</v>
      </c>
      <c r="AO737" s="93">
        <f>VLOOKUP(B737,'Growthrates source'!A$2:H$49,8,FALSE)</f>
        <v>-0.11185567778326533</v>
      </c>
      <c r="AP737" s="93">
        <f>VLOOKUP(B737,'Growthrates source'!A$2:I$49,9,FALSE)</f>
        <v>0.45661638376408309</v>
      </c>
      <c r="AQ737" s="86">
        <f t="shared" si="274"/>
        <v>647.28157098607494</v>
      </c>
      <c r="AR737" s="86">
        <f t="shared" si="275"/>
        <v>1455.8601261402573</v>
      </c>
      <c r="AS737" s="94">
        <f t="shared" si="276"/>
        <v>0</v>
      </c>
      <c r="AT737" s="94">
        <f t="shared" si="277"/>
        <v>3.1884801075465723</v>
      </c>
      <c r="AU737" s="94">
        <f t="shared" si="260"/>
        <v>2.9698794291356276</v>
      </c>
      <c r="AV737" s="94">
        <f t="shared" si="261"/>
        <v>3.0790470432618604</v>
      </c>
    </row>
    <row r="738" spans="1:48" x14ac:dyDescent="0.3">
      <c r="A738" s="85" t="str">
        <f>_xlfn.XLOOKUP(B738,'Country codes &amp; Data sources'!G:G,'Country codes &amp; Data sources'!H:H,,0)</f>
        <v>Eswatini</v>
      </c>
      <c r="B738" s="85" t="s">
        <v>159</v>
      </c>
      <c r="C738" s="86">
        <v>1111463</v>
      </c>
      <c r="D738" s="85" t="s">
        <v>142</v>
      </c>
      <c r="E738" s="87">
        <v>0</v>
      </c>
      <c r="F738" s="88">
        <v>1118318.9999999998</v>
      </c>
      <c r="G738" s="87">
        <v>0</v>
      </c>
      <c r="I738" s="87">
        <v>0</v>
      </c>
      <c r="K738" s="87">
        <v>0</v>
      </c>
      <c r="M738" s="87">
        <v>0</v>
      </c>
      <c r="O738" s="87">
        <v>0</v>
      </c>
      <c r="P738" s="88">
        <v>1160427.5</v>
      </c>
      <c r="Q738" s="87">
        <v>0</v>
      </c>
      <c r="R738" s="87">
        <f t="shared" si="262"/>
        <v>29</v>
      </c>
      <c r="T738" s="87">
        <v>0</v>
      </c>
      <c r="V738" s="87">
        <v>0</v>
      </c>
      <c r="X738" s="87">
        <v>0</v>
      </c>
      <c r="Y738" s="88">
        <v>1201670.4999999995</v>
      </c>
      <c r="Z738" s="87">
        <v>0</v>
      </c>
      <c r="AA738" s="87">
        <v>29</v>
      </c>
      <c r="AB738" s="89">
        <f t="shared" si="263"/>
        <v>0</v>
      </c>
      <c r="AC738" s="89">
        <f t="shared" si="264"/>
        <v>0</v>
      </c>
      <c r="AD738" s="89">
        <f t="shared" si="265"/>
        <v>0</v>
      </c>
      <c r="AF738" s="90" t="str">
        <f t="shared" si="266"/>
        <v/>
      </c>
      <c r="AG738" s="90">
        <f t="shared" si="267"/>
        <v>29</v>
      </c>
      <c r="AH738" s="90" t="str">
        <f t="shared" si="268"/>
        <v>2018 (triag)</v>
      </c>
      <c r="AI738" s="90">
        <f t="shared" si="269"/>
        <v>29</v>
      </c>
      <c r="AJ738" s="90" t="str">
        <f t="shared" si="270"/>
        <v>2018 (triag)</v>
      </c>
      <c r="AK738" s="90" t="str">
        <f t="shared" si="271"/>
        <v/>
      </c>
      <c r="AL738" s="91">
        <f>IF(AK738="Adjust",(_xlfn.XLOOKUP(A738,'Adj factor'!A:A,'Adj factor'!I:I,,0)*AI738),'Master DataSheet (Rev)'!AI738)</f>
        <v>29</v>
      </c>
      <c r="AM738" s="91">
        <f t="shared" si="272"/>
        <v>29</v>
      </c>
      <c r="AN738" s="92" t="str">
        <f t="shared" si="273"/>
        <v>No change</v>
      </c>
      <c r="AO738" s="93">
        <f>VLOOKUP(B738,'Growthrates source'!A$2:H$49,8,FALSE)</f>
        <v>-0.11185567778326533</v>
      </c>
      <c r="AP738" s="93">
        <f>VLOOKUP(B738,'Growthrates source'!A$2:I$49,9,FALSE)</f>
        <v>0.45661638376408309</v>
      </c>
      <c r="AQ738" s="86">
        <f t="shared" si="274"/>
        <v>50.73287988809777</v>
      </c>
      <c r="AR738" s="86">
        <f t="shared" si="275"/>
        <v>114.10795583261475</v>
      </c>
      <c r="AS738" s="94">
        <f t="shared" si="276"/>
        <v>0</v>
      </c>
      <c r="AT738" s="94">
        <f t="shared" si="277"/>
        <v>0.24990790032121782</v>
      </c>
      <c r="AU738" s="94">
        <f t="shared" si="260"/>
        <v>0.24133071420160526</v>
      </c>
      <c r="AV738" s="94">
        <f t="shared" si="261"/>
        <v>0.24133071420160526</v>
      </c>
    </row>
    <row r="739" spans="1:48" x14ac:dyDescent="0.3">
      <c r="A739" s="85" t="str">
        <f>_xlfn.XLOOKUP(B739,'Country codes &amp; Data sources'!G:G,'Country codes &amp; Data sources'!H:H,,0)</f>
        <v>Eswatini</v>
      </c>
      <c r="B739" s="85" t="s">
        <v>159</v>
      </c>
      <c r="C739" s="86">
        <v>1111464</v>
      </c>
      <c r="D739" s="85" t="s">
        <v>83</v>
      </c>
      <c r="E739" s="87">
        <v>0</v>
      </c>
      <c r="F739" s="88">
        <v>1118318.9999999998</v>
      </c>
      <c r="G739" s="87">
        <v>0</v>
      </c>
      <c r="I739" s="87">
        <v>0</v>
      </c>
      <c r="K739" s="87">
        <v>0</v>
      </c>
      <c r="M739" s="87">
        <v>0</v>
      </c>
      <c r="O739" s="87">
        <v>0</v>
      </c>
      <c r="P739" s="88">
        <v>1160427.5</v>
      </c>
      <c r="Q739" s="87">
        <v>0</v>
      </c>
      <c r="R739" s="87">
        <f t="shared" si="262"/>
        <v>29</v>
      </c>
      <c r="T739" s="87">
        <v>0</v>
      </c>
      <c r="V739" s="87">
        <v>15</v>
      </c>
      <c r="X739" s="87">
        <v>0</v>
      </c>
      <c r="Y739" s="88">
        <v>1201670.4999999995</v>
      </c>
      <c r="Z739" s="103">
        <v>32</v>
      </c>
      <c r="AA739" s="87">
        <v>29</v>
      </c>
      <c r="AB739" s="89">
        <f t="shared" si="263"/>
        <v>0</v>
      </c>
      <c r="AC739" s="89">
        <f t="shared" si="264"/>
        <v>0</v>
      </c>
      <c r="AD739" s="89">
        <f t="shared" si="265"/>
        <v>32</v>
      </c>
      <c r="AF739" s="90" t="str">
        <f t="shared" si="266"/>
        <v/>
      </c>
      <c r="AG739" s="90">
        <f t="shared" si="267"/>
        <v>29</v>
      </c>
      <c r="AH739" s="90" t="str">
        <f t="shared" si="268"/>
        <v>2018 (triag)</v>
      </c>
      <c r="AI739" s="90">
        <f t="shared" si="269"/>
        <v>32</v>
      </c>
      <c r="AJ739" s="90">
        <f t="shared" si="270"/>
        <v>2022</v>
      </c>
      <c r="AK739" s="90" t="str">
        <f t="shared" si="271"/>
        <v/>
      </c>
      <c r="AL739" s="91">
        <f>IF(AK739="Adjust",(_xlfn.XLOOKUP(A739,'Adj factor'!A:A,'Adj factor'!I:I,,0)*AI739),'Master DataSheet (Rev)'!AI739)</f>
        <v>32</v>
      </c>
      <c r="AM739" s="91">
        <f t="shared" si="272"/>
        <v>32</v>
      </c>
      <c r="AN739" s="92" t="str">
        <f t="shared" si="273"/>
        <v>Increasing</v>
      </c>
      <c r="AO739" s="93">
        <f>VLOOKUP(B739,'Growthrates source'!A$2:H$49,8,FALSE)</f>
        <v>-0.11185567778326533</v>
      </c>
      <c r="AP739" s="93">
        <f>VLOOKUP(B739,'Growthrates source'!A$2:I$49,9,FALSE)</f>
        <v>0.45661638376408309</v>
      </c>
      <c r="AQ739" s="86">
        <f t="shared" si="274"/>
        <v>50.73287988809777</v>
      </c>
      <c r="AR739" s="86">
        <f t="shared" si="275"/>
        <v>114.10795583261475</v>
      </c>
      <c r="AS739" s="94">
        <f t="shared" si="276"/>
        <v>0</v>
      </c>
      <c r="AT739" s="94">
        <f t="shared" si="277"/>
        <v>0.24990790032121782</v>
      </c>
      <c r="AU739" s="94">
        <f t="shared" si="260"/>
        <v>0.26629596049832305</v>
      </c>
      <c r="AV739" s="94">
        <f t="shared" si="261"/>
        <v>0.26629596049832305</v>
      </c>
    </row>
    <row r="740" spans="1:48" x14ac:dyDescent="0.3">
      <c r="A740" s="85" t="str">
        <f>_xlfn.XLOOKUP(B740,'Country codes &amp; Data sources'!G:G,'Country codes &amp; Data sources'!H:H,,0)</f>
        <v>Eswatini</v>
      </c>
      <c r="B740" s="85" t="s">
        <v>159</v>
      </c>
      <c r="C740" s="86">
        <v>1111465</v>
      </c>
      <c r="D740" s="85" t="s">
        <v>84</v>
      </c>
      <c r="E740" s="87">
        <v>0</v>
      </c>
      <c r="F740" s="88">
        <v>1118318.9999999998</v>
      </c>
      <c r="G740" s="87">
        <v>0</v>
      </c>
      <c r="I740" s="87">
        <v>0</v>
      </c>
      <c r="K740" s="87">
        <v>0</v>
      </c>
      <c r="M740" s="87">
        <v>0</v>
      </c>
      <c r="O740" s="87">
        <v>0</v>
      </c>
      <c r="P740" s="88">
        <v>1160427.5</v>
      </c>
      <c r="Q740" s="87">
        <v>0</v>
      </c>
      <c r="R740" s="87">
        <f t="shared" si="262"/>
        <v>0</v>
      </c>
      <c r="T740" s="87">
        <v>0</v>
      </c>
      <c r="V740" s="87">
        <v>38</v>
      </c>
      <c r="X740" s="87">
        <v>0</v>
      </c>
      <c r="Y740" s="88">
        <v>1201670.4999999995</v>
      </c>
      <c r="Z740" s="87">
        <v>0</v>
      </c>
      <c r="AA740" s="87">
        <v>0</v>
      </c>
      <c r="AB740" s="89">
        <f t="shared" si="263"/>
        <v>0</v>
      </c>
      <c r="AC740" s="89">
        <f t="shared" si="264"/>
        <v>0</v>
      </c>
      <c r="AD740" s="89">
        <f t="shared" si="265"/>
        <v>38</v>
      </c>
      <c r="AF740" s="90" t="str">
        <f t="shared" si="266"/>
        <v/>
      </c>
      <c r="AH740" s="90" t="str">
        <f t="shared" si="268"/>
        <v/>
      </c>
      <c r="AI740" s="90">
        <f t="shared" si="269"/>
        <v>38</v>
      </c>
      <c r="AJ740" s="90">
        <f t="shared" si="270"/>
        <v>2020</v>
      </c>
      <c r="AK740" s="90" t="str">
        <f t="shared" si="271"/>
        <v/>
      </c>
      <c r="AL740" s="91">
        <f>IF(AK740="Adjust",(_xlfn.XLOOKUP(A740,'Adj factor'!A:A,'Adj factor'!I:I,,0)*AI740),'Master DataSheet (Rev)'!AI740)</f>
        <v>38</v>
      </c>
      <c r="AM740" s="91">
        <f t="shared" si="272"/>
        <v>38</v>
      </c>
      <c r="AN740" s="92" t="str">
        <f t="shared" si="273"/>
        <v>Increasing</v>
      </c>
      <c r="AO740" s="93">
        <f>VLOOKUP(B740,'Growthrates source'!A$2:H$49,8,FALSE)</f>
        <v>-0.11185567778326533</v>
      </c>
      <c r="AP740" s="93">
        <f>VLOOKUP(B740,'Growthrates source'!A$2:I$49,9,FALSE)</f>
        <v>0.45661638376408309</v>
      </c>
      <c r="AQ740" s="86">
        <f t="shared" si="274"/>
        <v>0</v>
      </c>
      <c r="AR740" s="86">
        <f t="shared" si="275"/>
        <v>0</v>
      </c>
      <c r="AS740" s="94">
        <f t="shared" si="276"/>
        <v>0</v>
      </c>
      <c r="AT740" s="94">
        <f t="shared" si="277"/>
        <v>0</v>
      </c>
      <c r="AU740" s="94">
        <f t="shared" si="260"/>
        <v>0.31622645309175862</v>
      </c>
      <c r="AV740" s="94">
        <f t="shared" si="261"/>
        <v>0.31622645309175862</v>
      </c>
    </row>
    <row r="741" spans="1:48" x14ac:dyDescent="0.3">
      <c r="A741" s="85" t="str">
        <f>_xlfn.XLOOKUP(B741,'Country codes &amp; Data sources'!G:G,'Country codes &amp; Data sources'!H:H,,0)</f>
        <v>Eswatini</v>
      </c>
      <c r="B741" s="85" t="s">
        <v>159</v>
      </c>
      <c r="C741" s="86">
        <v>1111466</v>
      </c>
      <c r="D741" s="85" t="s">
        <v>126</v>
      </c>
      <c r="E741" s="87">
        <v>0</v>
      </c>
      <c r="F741" s="88">
        <v>1118318.9999999998</v>
      </c>
      <c r="G741" s="87">
        <v>0</v>
      </c>
      <c r="I741" s="87">
        <v>0</v>
      </c>
      <c r="K741" s="87">
        <v>0</v>
      </c>
      <c r="M741" s="87">
        <v>0</v>
      </c>
      <c r="O741" s="87">
        <v>0</v>
      </c>
      <c r="P741" s="88">
        <v>1160427.5</v>
      </c>
      <c r="Q741" s="87">
        <v>0</v>
      </c>
      <c r="R741" s="87">
        <f t="shared" si="262"/>
        <v>0</v>
      </c>
      <c r="T741" s="87">
        <v>0</v>
      </c>
      <c r="V741" s="87">
        <v>7</v>
      </c>
      <c r="X741" s="87">
        <v>0</v>
      </c>
      <c r="Y741" s="88">
        <v>1201670.4999999995</v>
      </c>
      <c r="Z741" s="103">
        <v>14</v>
      </c>
      <c r="AA741" s="87">
        <v>0</v>
      </c>
      <c r="AB741" s="89">
        <f t="shared" si="263"/>
        <v>0</v>
      </c>
      <c r="AC741" s="89">
        <f t="shared" si="264"/>
        <v>0</v>
      </c>
      <c r="AD741" s="89">
        <f t="shared" si="265"/>
        <v>14</v>
      </c>
      <c r="AF741" s="90" t="str">
        <f t="shared" si="266"/>
        <v/>
      </c>
      <c r="AH741" s="90" t="str">
        <f t="shared" si="268"/>
        <v/>
      </c>
      <c r="AI741" s="90">
        <f t="shared" si="269"/>
        <v>14</v>
      </c>
      <c r="AJ741" s="90">
        <f t="shared" si="270"/>
        <v>2022</v>
      </c>
      <c r="AK741" s="90" t="str">
        <f t="shared" si="271"/>
        <v/>
      </c>
      <c r="AL741" s="91">
        <f>IF(AK741="Adjust",(_xlfn.XLOOKUP(A741,'Adj factor'!A:A,'Adj factor'!I:I,,0)*AI741),'Master DataSheet (Rev)'!AI741)</f>
        <v>14</v>
      </c>
      <c r="AM741" s="91">
        <f t="shared" si="272"/>
        <v>14</v>
      </c>
      <c r="AN741" s="92" t="str">
        <f t="shared" si="273"/>
        <v>Increasing</v>
      </c>
      <c r="AO741" s="93">
        <f>VLOOKUP(B741,'Growthrates source'!A$2:H$49,8,FALSE)</f>
        <v>-0.11185567778326533</v>
      </c>
      <c r="AP741" s="93">
        <f>VLOOKUP(B741,'Growthrates source'!A$2:I$49,9,FALSE)</f>
        <v>0.45661638376408309</v>
      </c>
      <c r="AQ741" s="86">
        <f t="shared" si="274"/>
        <v>0</v>
      </c>
      <c r="AR741" s="86">
        <f t="shared" si="275"/>
        <v>0</v>
      </c>
      <c r="AS741" s="94">
        <f t="shared" si="276"/>
        <v>0</v>
      </c>
      <c r="AT741" s="94">
        <f t="shared" si="277"/>
        <v>0</v>
      </c>
      <c r="AU741" s="94">
        <f t="shared" si="260"/>
        <v>0.11650448271801633</v>
      </c>
      <c r="AV741" s="94">
        <f t="shared" si="261"/>
        <v>0.11650448271801633</v>
      </c>
    </row>
    <row r="742" spans="1:48" x14ac:dyDescent="0.3">
      <c r="A742" s="85" t="str">
        <f>_xlfn.XLOOKUP(B742,'Country codes &amp; Data sources'!G:G,'Country codes &amp; Data sources'!H:H,,0)</f>
        <v>Eswatini</v>
      </c>
      <c r="B742" s="85" t="s">
        <v>159</v>
      </c>
      <c r="C742" s="86">
        <v>1111467</v>
      </c>
      <c r="D742" s="85" t="s">
        <v>87</v>
      </c>
      <c r="E742" s="87">
        <v>0</v>
      </c>
      <c r="F742" s="88">
        <v>1118318.9999999998</v>
      </c>
      <c r="G742" s="87">
        <v>0</v>
      </c>
      <c r="I742" s="87">
        <v>0</v>
      </c>
      <c r="K742" s="87">
        <v>0</v>
      </c>
      <c r="M742" s="87">
        <v>0</v>
      </c>
      <c r="O742" s="87">
        <v>0</v>
      </c>
      <c r="P742" s="88">
        <v>1160427.5</v>
      </c>
      <c r="Q742" s="87">
        <v>0</v>
      </c>
      <c r="R742" s="87">
        <f t="shared" si="262"/>
        <v>7</v>
      </c>
      <c r="T742" s="87">
        <v>0</v>
      </c>
      <c r="V742" s="87">
        <v>0</v>
      </c>
      <c r="X742" s="87">
        <v>0</v>
      </c>
      <c r="Y742" s="88">
        <v>1201670.4999999995</v>
      </c>
      <c r="Z742" s="87">
        <v>0</v>
      </c>
      <c r="AA742" s="87">
        <v>7</v>
      </c>
      <c r="AB742" s="89">
        <f t="shared" si="263"/>
        <v>0</v>
      </c>
      <c r="AC742" s="89">
        <f t="shared" si="264"/>
        <v>0</v>
      </c>
      <c r="AD742" s="89">
        <f t="shared" si="265"/>
        <v>0</v>
      </c>
      <c r="AF742" s="90" t="str">
        <f t="shared" si="266"/>
        <v/>
      </c>
      <c r="AG742" s="90">
        <f t="shared" si="267"/>
        <v>7</v>
      </c>
      <c r="AH742" s="90" t="str">
        <f t="shared" si="268"/>
        <v>2018 (triag)</v>
      </c>
      <c r="AI742" s="90">
        <f t="shared" si="269"/>
        <v>7</v>
      </c>
      <c r="AJ742" s="90" t="str">
        <f t="shared" si="270"/>
        <v>2018 (triag)</v>
      </c>
      <c r="AK742" s="90" t="str">
        <f t="shared" si="271"/>
        <v/>
      </c>
      <c r="AL742" s="91">
        <f>IF(AK742="Adjust",(_xlfn.XLOOKUP(A742,'Adj factor'!A:A,'Adj factor'!I:I,,0)*AI742),'Master DataSheet (Rev)'!AI742)</f>
        <v>7</v>
      </c>
      <c r="AM742" s="91">
        <f t="shared" si="272"/>
        <v>7</v>
      </c>
      <c r="AN742" s="92" t="str">
        <f t="shared" si="273"/>
        <v>No change</v>
      </c>
      <c r="AO742" s="93">
        <f>VLOOKUP(B742,'Growthrates source'!A$2:H$49,8,FALSE)</f>
        <v>-0.11185567778326533</v>
      </c>
      <c r="AP742" s="93">
        <f>VLOOKUP(B742,'Growthrates source'!A$2:I$49,9,FALSE)</f>
        <v>0.45661638376408309</v>
      </c>
      <c r="AQ742" s="86">
        <f t="shared" si="274"/>
        <v>12.245867559196013</v>
      </c>
      <c r="AR742" s="86">
        <f t="shared" si="275"/>
        <v>27.543299683734595</v>
      </c>
      <c r="AS742" s="94">
        <f t="shared" si="276"/>
        <v>0</v>
      </c>
      <c r="AT742" s="94">
        <f t="shared" si="277"/>
        <v>6.0322596629259477E-2</v>
      </c>
      <c r="AU742" s="94">
        <f t="shared" si="260"/>
        <v>5.8252241359008167E-2</v>
      </c>
      <c r="AV742" s="94">
        <f t="shared" si="261"/>
        <v>5.8252241359008167E-2</v>
      </c>
    </row>
    <row r="743" spans="1:48" x14ac:dyDescent="0.3">
      <c r="A743" s="85" t="str">
        <f>_xlfn.XLOOKUP(B743,'Country codes &amp; Data sources'!G:G,'Country codes &amp; Data sources'!H:H,,0)</f>
        <v>Seychelles</v>
      </c>
      <c r="B743" s="85" t="s">
        <v>185</v>
      </c>
      <c r="C743" s="86">
        <v>95314</v>
      </c>
      <c r="D743" s="85" t="s">
        <v>127</v>
      </c>
      <c r="E743" s="87">
        <v>0</v>
      </c>
      <c r="F743" s="88">
        <v>96714</v>
      </c>
      <c r="G743" s="87">
        <v>0</v>
      </c>
      <c r="I743" s="87">
        <v>0</v>
      </c>
      <c r="K743" s="87">
        <v>0</v>
      </c>
      <c r="M743" s="87">
        <v>0</v>
      </c>
      <c r="O743" s="87">
        <v>0</v>
      </c>
      <c r="P743" s="88">
        <v>103101.00000000003</v>
      </c>
      <c r="Q743" s="87">
        <v>0</v>
      </c>
      <c r="R743" s="87">
        <f t="shared" si="262"/>
        <v>0</v>
      </c>
      <c r="T743" s="87">
        <v>0</v>
      </c>
      <c r="V743" s="87">
        <v>0</v>
      </c>
      <c r="X743" s="87">
        <v>0</v>
      </c>
      <c r="Y743" s="88">
        <v>107118.5</v>
      </c>
      <c r="Z743" s="87">
        <v>0</v>
      </c>
      <c r="AA743" s="87">
        <v>0</v>
      </c>
      <c r="AB743" s="89">
        <f t="shared" si="263"/>
        <v>0</v>
      </c>
      <c r="AC743" s="89">
        <f t="shared" si="264"/>
        <v>0</v>
      </c>
      <c r="AD743" s="89">
        <f t="shared" si="265"/>
        <v>0</v>
      </c>
      <c r="AF743" s="90" t="str">
        <f t="shared" si="266"/>
        <v/>
      </c>
      <c r="AH743" s="90" t="str">
        <f t="shared" si="268"/>
        <v/>
      </c>
      <c r="AI743" s="90">
        <f t="shared" si="269"/>
        <v>0</v>
      </c>
      <c r="AJ743" s="90" t="str">
        <f t="shared" si="270"/>
        <v/>
      </c>
      <c r="AK743" s="90" t="str">
        <f t="shared" si="271"/>
        <v/>
      </c>
      <c r="AL743" s="91"/>
      <c r="AM743" s="91">
        <f t="shared" si="272"/>
        <v>0</v>
      </c>
      <c r="AN743" s="92" t="str">
        <f t="shared" si="273"/>
        <v>No change</v>
      </c>
      <c r="AO743" s="93">
        <f>VLOOKUP(B743,'Growthrates source'!A$2:H$49,8,FALSE)</f>
        <v>-6.1731500721997512E-2</v>
      </c>
      <c r="AP743" s="93">
        <f>VLOOKUP(B743,'Growthrates source'!A$2:I$49,9,FALSE)</f>
        <v>0.10455737067903281</v>
      </c>
      <c r="AQ743" s="86">
        <f t="shared" si="274"/>
        <v>0</v>
      </c>
      <c r="AR743" s="86">
        <f t="shared" si="275"/>
        <v>0</v>
      </c>
      <c r="AS743" s="94">
        <f t="shared" si="276"/>
        <v>0</v>
      </c>
      <c r="AT743" s="94">
        <f t="shared" si="277"/>
        <v>0</v>
      </c>
      <c r="AU743" s="94">
        <f t="shared" si="260"/>
        <v>0</v>
      </c>
      <c r="AV743" s="94">
        <f t="shared" si="261"/>
        <v>0</v>
      </c>
    </row>
    <row r="744" spans="1:48" x14ac:dyDescent="0.3">
      <c r="A744" s="85" t="str">
        <f>_xlfn.XLOOKUP(B744,'Country codes &amp; Data sources'!G:G,'Country codes &amp; Data sources'!H:H,,0)</f>
        <v>Seychelles</v>
      </c>
      <c r="B744" s="85" t="s">
        <v>185</v>
      </c>
      <c r="C744" s="86">
        <v>95315</v>
      </c>
      <c r="D744" s="85" t="s">
        <v>61</v>
      </c>
      <c r="E744" s="87">
        <v>0</v>
      </c>
      <c r="F744" s="88">
        <v>96714</v>
      </c>
      <c r="G744" s="87">
        <v>0</v>
      </c>
      <c r="I744" s="87">
        <v>0</v>
      </c>
      <c r="K744" s="87">
        <v>0</v>
      </c>
      <c r="M744" s="87">
        <v>0</v>
      </c>
      <c r="O744" s="87">
        <v>0</v>
      </c>
      <c r="P744" s="88">
        <v>103101.00000000003</v>
      </c>
      <c r="Q744" s="87">
        <v>0</v>
      </c>
      <c r="R744" s="87">
        <f t="shared" si="262"/>
        <v>5</v>
      </c>
      <c r="T744" s="87">
        <v>0</v>
      </c>
      <c r="V744" s="87">
        <v>0</v>
      </c>
      <c r="X744" s="87">
        <v>0</v>
      </c>
      <c r="Y744" s="88">
        <v>107118.5</v>
      </c>
      <c r="Z744" s="87">
        <v>0</v>
      </c>
      <c r="AA744" s="87">
        <v>5</v>
      </c>
      <c r="AB744" s="89">
        <f t="shared" si="263"/>
        <v>0</v>
      </c>
      <c r="AC744" s="89">
        <f t="shared" si="264"/>
        <v>0</v>
      </c>
      <c r="AD744" s="89">
        <f t="shared" si="265"/>
        <v>0</v>
      </c>
      <c r="AF744" s="90" t="str">
        <f t="shared" si="266"/>
        <v/>
      </c>
      <c r="AG744" s="90">
        <f t="shared" si="267"/>
        <v>5</v>
      </c>
      <c r="AH744" s="90" t="str">
        <f t="shared" si="268"/>
        <v>2018 (triag)</v>
      </c>
      <c r="AI744" s="90">
        <f t="shared" si="269"/>
        <v>5</v>
      </c>
      <c r="AJ744" s="90" t="str">
        <f t="shared" si="270"/>
        <v>2018 (triag)</v>
      </c>
      <c r="AK744" s="90" t="str">
        <f t="shared" si="271"/>
        <v/>
      </c>
      <c r="AL744" s="91">
        <f>IF(AK744="Adjust",(_xlfn.XLOOKUP(A744,'Adj factor'!A:A,'Adj factor'!I:I,,0)*AI744),'Master DataSheet (Rev)'!AI744)</f>
        <v>5</v>
      </c>
      <c r="AM744" s="91">
        <f t="shared" si="272"/>
        <v>5</v>
      </c>
      <c r="AN744" s="92" t="str">
        <f t="shared" si="273"/>
        <v>No change</v>
      </c>
      <c r="AO744" s="93">
        <f>VLOOKUP(B744,'Growthrates source'!A$2:H$49,8,FALSE)</f>
        <v>-6.1731500721997512E-2</v>
      </c>
      <c r="AP744" s="93">
        <f>VLOOKUP(B744,'Growthrates source'!A$2:I$49,9,FALSE)</f>
        <v>0.10455737067903281</v>
      </c>
      <c r="AQ744" s="86">
        <f t="shared" si="274"/>
        <v>6.8079797446848174</v>
      </c>
      <c r="AR744" s="86">
        <f t="shared" si="275"/>
        <v>6.8422048382860083</v>
      </c>
      <c r="AS744" s="94">
        <f t="shared" si="276"/>
        <v>0</v>
      </c>
      <c r="AT744" s="94">
        <f t="shared" si="277"/>
        <v>0.48496134858051798</v>
      </c>
      <c r="AU744" s="94">
        <f t="shared" si="260"/>
        <v>0.46677277967858027</v>
      </c>
      <c r="AV744" s="94">
        <f t="shared" si="261"/>
        <v>0.46677277967858027</v>
      </c>
    </row>
    <row r="745" spans="1:48" x14ac:dyDescent="0.3">
      <c r="A745" s="85" t="str">
        <f>_xlfn.XLOOKUP(B745,'Country codes &amp; Data sources'!G:G,'Country codes &amp; Data sources'!H:H,,0)</f>
        <v>Seychelles</v>
      </c>
      <c r="B745" s="85" t="s">
        <v>185</v>
      </c>
      <c r="C745" s="86">
        <v>95316</v>
      </c>
      <c r="D745" s="85" t="s">
        <v>62</v>
      </c>
      <c r="E745" s="87">
        <v>0</v>
      </c>
      <c r="F745" s="88">
        <v>96714</v>
      </c>
      <c r="G745" s="87">
        <v>0</v>
      </c>
      <c r="I745" s="87">
        <v>0</v>
      </c>
      <c r="K745" s="87">
        <v>0</v>
      </c>
      <c r="M745" s="87">
        <v>0</v>
      </c>
      <c r="O745" s="87">
        <v>0</v>
      </c>
      <c r="P745" s="88">
        <v>103101.00000000003</v>
      </c>
      <c r="Q745" s="87">
        <v>0</v>
      </c>
      <c r="R745" s="87">
        <f t="shared" si="262"/>
        <v>50</v>
      </c>
      <c r="T745" s="87">
        <v>0</v>
      </c>
      <c r="V745" s="87">
        <v>0</v>
      </c>
      <c r="X745" s="87">
        <v>0</v>
      </c>
      <c r="Y745" s="88">
        <v>107118.5</v>
      </c>
      <c r="Z745" s="87">
        <v>0</v>
      </c>
      <c r="AA745" s="87">
        <v>50</v>
      </c>
      <c r="AB745" s="89">
        <f t="shared" si="263"/>
        <v>0</v>
      </c>
      <c r="AC745" s="89">
        <f t="shared" si="264"/>
        <v>0</v>
      </c>
      <c r="AD745" s="89">
        <f t="shared" si="265"/>
        <v>0</v>
      </c>
      <c r="AF745" s="90" t="str">
        <f t="shared" si="266"/>
        <v/>
      </c>
      <c r="AG745" s="90">
        <f t="shared" si="267"/>
        <v>50</v>
      </c>
      <c r="AH745" s="90" t="str">
        <f t="shared" si="268"/>
        <v>2018 (triag)</v>
      </c>
      <c r="AI745" s="90">
        <f t="shared" si="269"/>
        <v>50</v>
      </c>
      <c r="AJ745" s="90" t="str">
        <f t="shared" si="270"/>
        <v>2018 (triag)</v>
      </c>
      <c r="AK745" s="90" t="str">
        <f t="shared" si="271"/>
        <v/>
      </c>
      <c r="AL745" s="91">
        <f>IF(AK745="Adjust",(_xlfn.XLOOKUP(A745,'Adj factor'!A:A,'Adj factor'!I:I,,0)*AI745),'Master DataSheet (Rev)'!AI745)</f>
        <v>50</v>
      </c>
      <c r="AM745" s="91">
        <f t="shared" si="272"/>
        <v>50</v>
      </c>
      <c r="AN745" s="92" t="str">
        <f t="shared" si="273"/>
        <v>No change</v>
      </c>
      <c r="AO745" s="93">
        <f>VLOOKUP(B745,'Growthrates source'!A$2:H$49,8,FALSE)</f>
        <v>-6.1731500721997512E-2</v>
      </c>
      <c r="AP745" s="93">
        <f>VLOOKUP(B745,'Growthrates source'!A$2:I$49,9,FALSE)</f>
        <v>0.10455737067903281</v>
      </c>
      <c r="AQ745" s="86">
        <f t="shared" si="274"/>
        <v>68.079797446848175</v>
      </c>
      <c r="AR745" s="86">
        <f t="shared" si="275"/>
        <v>68.422048382860083</v>
      </c>
      <c r="AS745" s="94">
        <f t="shared" si="276"/>
        <v>0</v>
      </c>
      <c r="AT745" s="94">
        <f t="shared" si="277"/>
        <v>4.8496134858051798</v>
      </c>
      <c r="AU745" s="94">
        <f t="shared" si="260"/>
        <v>4.6677277967858029</v>
      </c>
      <c r="AV745" s="94">
        <f t="shared" si="261"/>
        <v>4.6677277967858029</v>
      </c>
    </row>
    <row r="746" spans="1:48" x14ac:dyDescent="0.3">
      <c r="A746" s="85" t="str">
        <f>_xlfn.XLOOKUP(B746,'Country codes &amp; Data sources'!G:G,'Country codes &amp; Data sources'!H:H,,0)</f>
        <v>Seychelles</v>
      </c>
      <c r="B746" s="85" t="s">
        <v>185</v>
      </c>
      <c r="C746" s="86">
        <v>95317</v>
      </c>
      <c r="D746" s="85" t="s">
        <v>203</v>
      </c>
      <c r="E746" s="87">
        <v>0</v>
      </c>
      <c r="F746" s="88">
        <v>96714</v>
      </c>
      <c r="G746" s="87">
        <v>0</v>
      </c>
      <c r="I746" s="87">
        <v>0</v>
      </c>
      <c r="K746" s="87">
        <v>0</v>
      </c>
      <c r="M746" s="87">
        <v>0</v>
      </c>
      <c r="O746" s="87">
        <v>0</v>
      </c>
      <c r="P746" s="88">
        <v>103101.00000000003</v>
      </c>
      <c r="Q746" s="87">
        <v>0</v>
      </c>
      <c r="R746" s="87">
        <f t="shared" si="262"/>
        <v>258</v>
      </c>
      <c r="T746" s="87">
        <v>0</v>
      </c>
      <c r="V746" s="87">
        <v>0</v>
      </c>
      <c r="X746" s="87">
        <v>0</v>
      </c>
      <c r="Y746" s="88">
        <v>107118.5</v>
      </c>
      <c r="Z746" s="87">
        <v>0</v>
      </c>
      <c r="AA746" s="87">
        <v>258</v>
      </c>
      <c r="AB746" s="89">
        <f t="shared" si="263"/>
        <v>0</v>
      </c>
      <c r="AC746" s="89">
        <f t="shared" si="264"/>
        <v>0</v>
      </c>
      <c r="AD746" s="89">
        <f t="shared" si="265"/>
        <v>0</v>
      </c>
      <c r="AF746" s="90" t="str">
        <f t="shared" si="266"/>
        <v/>
      </c>
      <c r="AG746" s="90">
        <f t="shared" si="267"/>
        <v>258</v>
      </c>
      <c r="AH746" s="90" t="str">
        <f t="shared" si="268"/>
        <v>2018 (triag)</v>
      </c>
      <c r="AI746" s="90">
        <f t="shared" si="269"/>
        <v>258</v>
      </c>
      <c r="AJ746" s="90" t="str">
        <f t="shared" si="270"/>
        <v>2018 (triag)</v>
      </c>
      <c r="AK746" s="90" t="str">
        <f t="shared" si="271"/>
        <v/>
      </c>
      <c r="AL746" s="91">
        <f>IF(AK746="Adjust",(_xlfn.XLOOKUP(A746,'Adj factor'!A:A,'Adj factor'!I:I,,0)*AI746),'Master DataSheet (Rev)'!AI746)</f>
        <v>258</v>
      </c>
      <c r="AM746" s="91">
        <f t="shared" si="272"/>
        <v>258</v>
      </c>
      <c r="AN746" s="92" t="str">
        <f t="shared" si="273"/>
        <v>No change</v>
      </c>
      <c r="AO746" s="93">
        <f>VLOOKUP(B746,'Growthrates source'!A$2:H$49,8,FALSE)</f>
        <v>-6.1731500721997512E-2</v>
      </c>
      <c r="AP746" s="93">
        <f>VLOOKUP(B746,'Growthrates source'!A$2:I$49,9,FALSE)</f>
        <v>0.10455737067903281</v>
      </c>
      <c r="AQ746" s="86">
        <f t="shared" si="274"/>
        <v>351.29175482573658</v>
      </c>
      <c r="AR746" s="86">
        <f t="shared" si="275"/>
        <v>353.05776965555799</v>
      </c>
      <c r="AS746" s="94">
        <f t="shared" si="276"/>
        <v>0</v>
      </c>
      <c r="AT746" s="94">
        <f t="shared" si="277"/>
        <v>25.024005586754729</v>
      </c>
      <c r="AU746" s="94">
        <f t="shared" si="260"/>
        <v>24.085475431414743</v>
      </c>
      <c r="AV746" s="94">
        <f t="shared" si="261"/>
        <v>24.085475431414743</v>
      </c>
    </row>
    <row r="747" spans="1:48" x14ac:dyDescent="0.3">
      <c r="A747" s="85" t="str">
        <f>_xlfn.XLOOKUP(B747,'Country codes &amp; Data sources'!G:G,'Country codes &amp; Data sources'!H:H,,0)</f>
        <v>Seychelles</v>
      </c>
      <c r="B747" s="85" t="s">
        <v>185</v>
      </c>
      <c r="C747" s="86">
        <v>95318</v>
      </c>
      <c r="D747" s="85" t="s">
        <v>204</v>
      </c>
      <c r="E747" s="87">
        <v>0</v>
      </c>
      <c r="F747" s="88">
        <v>96714</v>
      </c>
      <c r="G747" s="87">
        <v>0</v>
      </c>
      <c r="I747" s="87">
        <v>0</v>
      </c>
      <c r="K747" s="87">
        <v>0</v>
      </c>
      <c r="M747" s="87">
        <v>0</v>
      </c>
      <c r="O747" s="87">
        <v>0</v>
      </c>
      <c r="P747" s="88">
        <v>103101.00000000003</v>
      </c>
      <c r="Q747" s="87">
        <v>0</v>
      </c>
      <c r="R747" s="87">
        <f t="shared" si="262"/>
        <v>0</v>
      </c>
      <c r="T747" s="87">
        <v>0</v>
      </c>
      <c r="V747" s="87">
        <v>0</v>
      </c>
      <c r="X747" s="87">
        <v>0</v>
      </c>
      <c r="Y747" s="88">
        <v>107118.5</v>
      </c>
      <c r="Z747" s="87">
        <v>0</v>
      </c>
      <c r="AA747" s="87">
        <v>0</v>
      </c>
      <c r="AB747" s="89">
        <f t="shared" si="263"/>
        <v>0</v>
      </c>
      <c r="AC747" s="89">
        <f t="shared" si="264"/>
        <v>0</v>
      </c>
      <c r="AD747" s="89">
        <f t="shared" si="265"/>
        <v>0</v>
      </c>
      <c r="AF747" s="90" t="str">
        <f t="shared" si="266"/>
        <v/>
      </c>
      <c r="AH747" s="90" t="str">
        <f t="shared" si="268"/>
        <v/>
      </c>
      <c r="AI747" s="90">
        <f t="shared" si="269"/>
        <v>0</v>
      </c>
      <c r="AJ747" s="90" t="str">
        <f t="shared" si="270"/>
        <v/>
      </c>
      <c r="AK747" s="90" t="str">
        <f t="shared" si="271"/>
        <v/>
      </c>
      <c r="AL747" s="91"/>
      <c r="AM747" s="91">
        <f t="shared" si="272"/>
        <v>0</v>
      </c>
      <c r="AN747" s="92" t="str">
        <f t="shared" si="273"/>
        <v>No change</v>
      </c>
      <c r="AO747" s="93">
        <f>VLOOKUP(B747,'Growthrates source'!A$2:H$49,8,FALSE)</f>
        <v>-6.1731500721997512E-2</v>
      </c>
      <c r="AP747" s="93">
        <f>VLOOKUP(B747,'Growthrates source'!A$2:I$49,9,FALSE)</f>
        <v>0.10455737067903281</v>
      </c>
      <c r="AQ747" s="86">
        <f t="shared" si="274"/>
        <v>0</v>
      </c>
      <c r="AR747" s="86">
        <f t="shared" si="275"/>
        <v>0</v>
      </c>
      <c r="AS747" s="94">
        <f t="shared" si="276"/>
        <v>0</v>
      </c>
      <c r="AT747" s="94">
        <f t="shared" si="277"/>
        <v>0</v>
      </c>
      <c r="AU747" s="94">
        <f t="shared" si="260"/>
        <v>0</v>
      </c>
      <c r="AV747" s="94">
        <f t="shared" si="261"/>
        <v>0</v>
      </c>
    </row>
    <row r="748" spans="1:48" x14ac:dyDescent="0.3">
      <c r="A748" s="85" t="str">
        <f>_xlfn.XLOOKUP(B748,'Country codes &amp; Data sources'!G:G,'Country codes &amp; Data sources'!H:H,,0)</f>
        <v>Seychelles</v>
      </c>
      <c r="B748" s="85" t="s">
        <v>185</v>
      </c>
      <c r="C748" s="86">
        <v>95319</v>
      </c>
      <c r="D748" s="85" t="s">
        <v>205</v>
      </c>
      <c r="E748" s="87">
        <v>0</v>
      </c>
      <c r="F748" s="88">
        <v>96714</v>
      </c>
      <c r="G748" s="87">
        <v>0</v>
      </c>
      <c r="I748" s="87">
        <v>0</v>
      </c>
      <c r="K748" s="87">
        <v>0</v>
      </c>
      <c r="M748" s="87">
        <v>0</v>
      </c>
      <c r="O748" s="87">
        <v>0</v>
      </c>
      <c r="P748" s="88">
        <v>103101.00000000003</v>
      </c>
      <c r="Q748" s="87">
        <v>0</v>
      </c>
      <c r="R748" s="87">
        <f t="shared" si="262"/>
        <v>2</v>
      </c>
      <c r="T748" s="87">
        <v>14</v>
      </c>
      <c r="V748" s="87">
        <v>0</v>
      </c>
      <c r="X748" s="87">
        <v>4</v>
      </c>
      <c r="Y748" s="88">
        <v>107118.5</v>
      </c>
      <c r="Z748" s="87">
        <v>11</v>
      </c>
      <c r="AA748" s="87">
        <v>2</v>
      </c>
      <c r="AB748" s="89">
        <f t="shared" si="263"/>
        <v>0</v>
      </c>
      <c r="AC748" s="89">
        <f t="shared" si="264"/>
        <v>14</v>
      </c>
      <c r="AD748" s="89">
        <f t="shared" si="265"/>
        <v>11</v>
      </c>
      <c r="AF748" s="90" t="str">
        <f t="shared" si="266"/>
        <v/>
      </c>
      <c r="AG748" s="90">
        <f t="shared" si="267"/>
        <v>2</v>
      </c>
      <c r="AH748" s="90" t="str">
        <f t="shared" si="268"/>
        <v>2018 (triag)</v>
      </c>
      <c r="AI748" s="90">
        <f t="shared" si="269"/>
        <v>11</v>
      </c>
      <c r="AJ748" s="90">
        <f t="shared" si="270"/>
        <v>2022</v>
      </c>
      <c r="AK748" s="90" t="str">
        <f t="shared" si="271"/>
        <v/>
      </c>
      <c r="AL748" s="91">
        <f>IF(AK748="Adjust",(_xlfn.XLOOKUP(A748,'Adj factor'!A:A,'Adj factor'!I:I,,0)*AI748),'Master DataSheet (Rev)'!AI748)</f>
        <v>11</v>
      </c>
      <c r="AM748" s="61">
        <v>13</v>
      </c>
      <c r="AN748" s="92" t="str">
        <f t="shared" si="273"/>
        <v>Increasing</v>
      </c>
      <c r="AO748" s="93">
        <f>VLOOKUP(B748,'Growthrates source'!A$2:H$49,8,FALSE)</f>
        <v>-6.1731500721997512E-2</v>
      </c>
      <c r="AP748" s="93">
        <f>VLOOKUP(B748,'Growthrates source'!A$2:I$49,9,FALSE)</f>
        <v>0.10455737067903281</v>
      </c>
      <c r="AQ748" s="86">
        <f t="shared" si="274"/>
        <v>2.7231918978739271</v>
      </c>
      <c r="AR748" s="86">
        <f t="shared" si="275"/>
        <v>2.7368819353144032</v>
      </c>
      <c r="AS748" s="94">
        <f t="shared" si="276"/>
        <v>0</v>
      </c>
      <c r="AT748" s="94">
        <f t="shared" si="277"/>
        <v>0.1939845394322072</v>
      </c>
      <c r="AU748" s="94">
        <f t="shared" si="260"/>
        <v>1.0269001152928765</v>
      </c>
      <c r="AV748" s="94">
        <f t="shared" si="261"/>
        <v>1.2136092271643086</v>
      </c>
    </row>
    <row r="749" spans="1:48" x14ac:dyDescent="0.3">
      <c r="A749" s="85" t="str">
        <f>_xlfn.XLOOKUP(B749,'Country codes &amp; Data sources'!G:G,'Country codes &amp; Data sources'!H:H,,0)</f>
        <v>Seychelles</v>
      </c>
      <c r="B749" s="85" t="s">
        <v>185</v>
      </c>
      <c r="C749" s="86">
        <v>95320</v>
      </c>
      <c r="D749" s="85" t="s">
        <v>133</v>
      </c>
      <c r="E749" s="87">
        <v>0</v>
      </c>
      <c r="F749" s="88">
        <v>96714</v>
      </c>
      <c r="G749" s="87">
        <v>0</v>
      </c>
      <c r="I749" s="87">
        <v>0</v>
      </c>
      <c r="K749" s="87">
        <v>0</v>
      </c>
      <c r="M749" s="87">
        <v>0</v>
      </c>
      <c r="O749" s="87">
        <v>0</v>
      </c>
      <c r="P749" s="88">
        <v>103101.00000000003</v>
      </c>
      <c r="Q749" s="87">
        <v>71</v>
      </c>
      <c r="R749" s="87">
        <f t="shared" si="262"/>
        <v>71</v>
      </c>
      <c r="T749" s="87">
        <v>0</v>
      </c>
      <c r="V749" s="87">
        <v>0</v>
      </c>
      <c r="X749" s="87">
        <v>0</v>
      </c>
      <c r="Y749" s="88">
        <v>107118.5</v>
      </c>
      <c r="Z749" s="87">
        <v>0</v>
      </c>
      <c r="AA749" s="87">
        <v>70</v>
      </c>
      <c r="AB749" s="89">
        <f t="shared" si="263"/>
        <v>0</v>
      </c>
      <c r="AC749" s="89">
        <f t="shared" si="264"/>
        <v>71</v>
      </c>
      <c r="AD749" s="89">
        <f t="shared" si="265"/>
        <v>0</v>
      </c>
      <c r="AF749" s="90" t="str">
        <f t="shared" si="266"/>
        <v/>
      </c>
      <c r="AG749" s="90">
        <f t="shared" si="267"/>
        <v>71</v>
      </c>
      <c r="AH749" s="90">
        <f t="shared" si="268"/>
        <v>2018</v>
      </c>
      <c r="AI749" s="90">
        <f t="shared" si="269"/>
        <v>71</v>
      </c>
      <c r="AJ749" s="90">
        <f t="shared" si="270"/>
        <v>2018</v>
      </c>
      <c r="AK749" s="90" t="str">
        <f t="shared" si="271"/>
        <v/>
      </c>
      <c r="AL749" s="91">
        <f>IF(AK749="Adjust",(_xlfn.XLOOKUP(A749,'Adj factor'!A:A,'Adj factor'!I:I,,0)*AI749),'Master DataSheet (Rev)'!AI749)</f>
        <v>71</v>
      </c>
      <c r="AM749" s="91">
        <f t="shared" si="272"/>
        <v>71</v>
      </c>
      <c r="AN749" s="92" t="str">
        <f t="shared" si="273"/>
        <v>No change</v>
      </c>
      <c r="AO749" s="93">
        <f>VLOOKUP(B749,'Growthrates source'!A$2:H$49,8,FALSE)</f>
        <v>-6.1731500721997512E-2</v>
      </c>
      <c r="AP749" s="93">
        <f>VLOOKUP(B749,'Growthrates source'!A$2:I$49,9,FALSE)</f>
        <v>0.10455737067903281</v>
      </c>
      <c r="AQ749" s="86">
        <f t="shared" si="274"/>
        <v>95.311716425587448</v>
      </c>
      <c r="AR749" s="86">
        <f t="shared" si="275"/>
        <v>95.790867736004117</v>
      </c>
      <c r="AS749" s="94">
        <f t="shared" si="276"/>
        <v>0</v>
      </c>
      <c r="AT749" s="94">
        <f t="shared" si="277"/>
        <v>6.8864511498433556</v>
      </c>
      <c r="AU749" s="94">
        <f t="shared" si="260"/>
        <v>6.62817347143584</v>
      </c>
      <c r="AV749" s="94">
        <f t="shared" si="261"/>
        <v>6.62817347143584</v>
      </c>
    </row>
    <row r="750" spans="1:48" x14ac:dyDescent="0.3">
      <c r="A750" s="85" t="str">
        <f>_xlfn.XLOOKUP(B750,'Country codes &amp; Data sources'!G:G,'Country codes &amp; Data sources'!H:H,,0)</f>
        <v>Seychelles</v>
      </c>
      <c r="B750" s="85" t="s">
        <v>185</v>
      </c>
      <c r="C750" s="86">
        <v>95321</v>
      </c>
      <c r="D750" s="85" t="s">
        <v>206</v>
      </c>
      <c r="E750" s="87">
        <v>0</v>
      </c>
      <c r="F750" s="88">
        <v>96714</v>
      </c>
      <c r="G750" s="87">
        <v>0</v>
      </c>
      <c r="I750" s="87">
        <v>0</v>
      </c>
      <c r="K750" s="87">
        <v>0</v>
      </c>
      <c r="M750" s="87">
        <v>0</v>
      </c>
      <c r="O750" s="87">
        <v>0</v>
      </c>
      <c r="P750" s="88">
        <v>103101.00000000003</v>
      </c>
      <c r="Q750" s="87">
        <v>0</v>
      </c>
      <c r="R750" s="87">
        <f t="shared" si="262"/>
        <v>0</v>
      </c>
      <c r="T750" s="87">
        <v>0</v>
      </c>
      <c r="V750" s="87">
        <v>0</v>
      </c>
      <c r="X750" s="87">
        <v>0</v>
      </c>
      <c r="Y750" s="88">
        <v>107118.5</v>
      </c>
      <c r="Z750" s="87">
        <v>0</v>
      </c>
      <c r="AA750" s="87">
        <v>0</v>
      </c>
      <c r="AB750" s="89">
        <f t="shared" si="263"/>
        <v>0</v>
      </c>
      <c r="AC750" s="89">
        <f t="shared" si="264"/>
        <v>0</v>
      </c>
      <c r="AD750" s="89">
        <f t="shared" si="265"/>
        <v>0</v>
      </c>
      <c r="AF750" s="90" t="str">
        <f t="shared" si="266"/>
        <v/>
      </c>
      <c r="AH750" s="90" t="str">
        <f t="shared" si="268"/>
        <v/>
      </c>
      <c r="AI750" s="90">
        <f t="shared" si="269"/>
        <v>0</v>
      </c>
      <c r="AJ750" s="90" t="str">
        <f t="shared" si="270"/>
        <v/>
      </c>
      <c r="AK750" s="90" t="str">
        <f t="shared" si="271"/>
        <v/>
      </c>
      <c r="AL750" s="91"/>
      <c r="AM750" s="91">
        <f t="shared" si="272"/>
        <v>0</v>
      </c>
      <c r="AN750" s="92" t="str">
        <f t="shared" si="273"/>
        <v>No change</v>
      </c>
      <c r="AO750" s="93">
        <f>VLOOKUP(B750,'Growthrates source'!A$2:H$49,8,FALSE)</f>
        <v>-6.1731500721997512E-2</v>
      </c>
      <c r="AP750" s="93">
        <f>VLOOKUP(B750,'Growthrates source'!A$2:I$49,9,FALSE)</f>
        <v>0.10455737067903281</v>
      </c>
      <c r="AQ750" s="86">
        <f t="shared" si="274"/>
        <v>0</v>
      </c>
      <c r="AR750" s="86">
        <f t="shared" si="275"/>
        <v>0</v>
      </c>
      <c r="AS750" s="94">
        <f t="shared" si="276"/>
        <v>0</v>
      </c>
      <c r="AT750" s="94">
        <f t="shared" si="277"/>
        <v>0</v>
      </c>
      <c r="AU750" s="94">
        <f t="shared" si="260"/>
        <v>0</v>
      </c>
      <c r="AV750" s="94">
        <f t="shared" si="261"/>
        <v>0</v>
      </c>
    </row>
    <row r="751" spans="1:48" x14ac:dyDescent="0.3">
      <c r="A751" s="85" t="str">
        <f>_xlfn.XLOOKUP(B751,'Country codes &amp; Data sources'!G:G,'Country codes &amp; Data sources'!H:H,,0)</f>
        <v>Seychelles</v>
      </c>
      <c r="B751" s="85" t="s">
        <v>185</v>
      </c>
      <c r="C751" s="86">
        <v>95322</v>
      </c>
      <c r="D751" s="85" t="s">
        <v>136</v>
      </c>
      <c r="E751" s="87">
        <v>0</v>
      </c>
      <c r="F751" s="88">
        <v>96714</v>
      </c>
      <c r="G751" s="87">
        <v>0</v>
      </c>
      <c r="I751" s="87">
        <v>0</v>
      </c>
      <c r="K751" s="87">
        <v>0</v>
      </c>
      <c r="M751" s="87">
        <v>0</v>
      </c>
      <c r="O751" s="87">
        <v>0</v>
      </c>
      <c r="P751" s="88">
        <v>103101.00000000003</v>
      </c>
      <c r="Q751" s="87">
        <v>0</v>
      </c>
      <c r="R751" s="87">
        <f t="shared" si="262"/>
        <v>7</v>
      </c>
      <c r="T751" s="87">
        <v>0</v>
      </c>
      <c r="V751" s="87">
        <v>0</v>
      </c>
      <c r="X751" s="87">
        <v>0</v>
      </c>
      <c r="Y751" s="88">
        <v>107118.5</v>
      </c>
      <c r="Z751" s="87">
        <v>0</v>
      </c>
      <c r="AA751" s="87">
        <v>7</v>
      </c>
      <c r="AB751" s="89">
        <f t="shared" si="263"/>
        <v>0</v>
      </c>
      <c r="AC751" s="89">
        <f t="shared" si="264"/>
        <v>0</v>
      </c>
      <c r="AD751" s="89">
        <f t="shared" si="265"/>
        <v>0</v>
      </c>
      <c r="AF751" s="90" t="str">
        <f t="shared" si="266"/>
        <v/>
      </c>
      <c r="AG751" s="90">
        <f t="shared" si="267"/>
        <v>7</v>
      </c>
      <c r="AH751" s="90" t="str">
        <f t="shared" si="268"/>
        <v>2018 (triag)</v>
      </c>
      <c r="AI751" s="90">
        <f t="shared" si="269"/>
        <v>7</v>
      </c>
      <c r="AJ751" s="90" t="str">
        <f t="shared" si="270"/>
        <v>2018 (triag)</v>
      </c>
      <c r="AK751" s="90" t="str">
        <f t="shared" si="271"/>
        <v/>
      </c>
      <c r="AL751" s="91">
        <f>IF(AK751="Adjust",(_xlfn.XLOOKUP(A751,'Adj factor'!A:A,'Adj factor'!I:I,,0)*AI751),'Master DataSheet (Rev)'!AI751)</f>
        <v>7</v>
      </c>
      <c r="AM751" s="91">
        <f t="shared" si="272"/>
        <v>7</v>
      </c>
      <c r="AN751" s="92" t="str">
        <f t="shared" si="273"/>
        <v>No change</v>
      </c>
      <c r="AO751" s="93">
        <f>VLOOKUP(B751,'Growthrates source'!A$2:H$49,8,FALSE)</f>
        <v>-6.1731500721997512E-2</v>
      </c>
      <c r="AP751" s="93">
        <f>VLOOKUP(B751,'Growthrates source'!A$2:I$49,9,FALSE)</f>
        <v>0.10455737067903281</v>
      </c>
      <c r="AQ751" s="86">
        <f t="shared" si="274"/>
        <v>9.5311716425587445</v>
      </c>
      <c r="AR751" s="86">
        <f t="shared" si="275"/>
        <v>9.5790867736004106</v>
      </c>
      <c r="AS751" s="94">
        <f t="shared" si="276"/>
        <v>0</v>
      </c>
      <c r="AT751" s="94">
        <f t="shared" si="277"/>
        <v>0.67894588801272515</v>
      </c>
      <c r="AU751" s="94">
        <f t="shared" si="260"/>
        <v>0.65348189155001235</v>
      </c>
      <c r="AV751" s="94">
        <f t="shared" si="261"/>
        <v>0.65348189155001235</v>
      </c>
    </row>
    <row r="752" spans="1:48" x14ac:dyDescent="0.3">
      <c r="A752" s="85" t="str">
        <f>_xlfn.XLOOKUP(B752,'Country codes &amp; Data sources'!G:G,'Country codes &amp; Data sources'!H:H,,0)</f>
        <v>Seychelles</v>
      </c>
      <c r="B752" s="85" t="s">
        <v>185</v>
      </c>
      <c r="C752" s="86">
        <v>95323</v>
      </c>
      <c r="D752" s="85" t="s">
        <v>207</v>
      </c>
      <c r="E752" s="87">
        <v>0</v>
      </c>
      <c r="F752" s="88">
        <v>96714</v>
      </c>
      <c r="G752" s="87">
        <v>0</v>
      </c>
      <c r="I752" s="87">
        <v>0</v>
      </c>
      <c r="K752" s="87">
        <v>0</v>
      </c>
      <c r="M752" s="87">
        <v>0</v>
      </c>
      <c r="O752" s="87">
        <v>0</v>
      </c>
      <c r="P752" s="88">
        <v>103101.00000000003</v>
      </c>
      <c r="Q752" s="87">
        <v>0</v>
      </c>
      <c r="R752" s="87">
        <f t="shared" si="262"/>
        <v>0</v>
      </c>
      <c r="T752" s="87">
        <v>0</v>
      </c>
      <c r="V752" s="87">
        <v>0</v>
      </c>
      <c r="X752" s="87">
        <v>0</v>
      </c>
      <c r="Y752" s="88">
        <v>107118.5</v>
      </c>
      <c r="Z752" s="87">
        <v>0</v>
      </c>
      <c r="AA752" s="87">
        <v>0</v>
      </c>
      <c r="AB752" s="89">
        <f t="shared" si="263"/>
        <v>0</v>
      </c>
      <c r="AC752" s="89">
        <f t="shared" si="264"/>
        <v>0</v>
      </c>
      <c r="AD752" s="89">
        <f t="shared" si="265"/>
        <v>0</v>
      </c>
      <c r="AF752" s="90" t="str">
        <f t="shared" si="266"/>
        <v/>
      </c>
      <c r="AH752" s="90" t="str">
        <f t="shared" si="268"/>
        <v/>
      </c>
      <c r="AI752" s="90">
        <f t="shared" si="269"/>
        <v>0</v>
      </c>
      <c r="AJ752" s="90" t="str">
        <f t="shared" si="270"/>
        <v/>
      </c>
      <c r="AK752" s="90" t="str">
        <f t="shared" si="271"/>
        <v/>
      </c>
      <c r="AL752" s="91"/>
      <c r="AM752" s="91">
        <f t="shared" si="272"/>
        <v>0</v>
      </c>
      <c r="AN752" s="92" t="str">
        <f t="shared" si="273"/>
        <v>No change</v>
      </c>
      <c r="AO752" s="93">
        <f>VLOOKUP(B752,'Growthrates source'!A$2:H$49,8,FALSE)</f>
        <v>-6.1731500721997512E-2</v>
      </c>
      <c r="AP752" s="93">
        <f>VLOOKUP(B752,'Growthrates source'!A$2:I$49,9,FALSE)</f>
        <v>0.10455737067903281</v>
      </c>
      <c r="AQ752" s="86">
        <f t="shared" si="274"/>
        <v>0</v>
      </c>
      <c r="AR752" s="86">
        <f t="shared" si="275"/>
        <v>0</v>
      </c>
      <c r="AS752" s="94">
        <f t="shared" si="276"/>
        <v>0</v>
      </c>
      <c r="AT752" s="94">
        <f t="shared" si="277"/>
        <v>0</v>
      </c>
      <c r="AU752" s="94">
        <f t="shared" si="260"/>
        <v>0</v>
      </c>
      <c r="AV752" s="94">
        <f t="shared" si="261"/>
        <v>0</v>
      </c>
    </row>
    <row r="753" spans="1:48" x14ac:dyDescent="0.3">
      <c r="A753" s="85" t="str">
        <f>_xlfn.XLOOKUP(B753,'Country codes &amp; Data sources'!G:G,'Country codes &amp; Data sources'!H:H,,0)</f>
        <v>Seychelles</v>
      </c>
      <c r="B753" s="85" t="s">
        <v>185</v>
      </c>
      <c r="C753" s="86">
        <v>95324</v>
      </c>
      <c r="D753" s="85" t="s">
        <v>141</v>
      </c>
      <c r="E753" s="87">
        <v>0</v>
      </c>
      <c r="F753" s="88">
        <v>96714</v>
      </c>
      <c r="G753" s="87">
        <v>0</v>
      </c>
      <c r="I753" s="87">
        <v>0</v>
      </c>
      <c r="K753" s="87">
        <v>0</v>
      </c>
      <c r="M753" s="87">
        <v>0</v>
      </c>
      <c r="O753" s="87">
        <v>0</v>
      </c>
      <c r="P753" s="88">
        <v>103101.00000000003</v>
      </c>
      <c r="Q753" s="87">
        <v>0</v>
      </c>
      <c r="R753" s="87">
        <f t="shared" si="262"/>
        <v>28</v>
      </c>
      <c r="T753" s="87">
        <v>0</v>
      </c>
      <c r="V753" s="87">
        <v>0</v>
      </c>
      <c r="X753" s="87">
        <v>22</v>
      </c>
      <c r="Y753" s="88">
        <v>107118.5</v>
      </c>
      <c r="Z753" s="87">
        <v>0</v>
      </c>
      <c r="AA753" s="87">
        <v>28</v>
      </c>
      <c r="AB753" s="89">
        <f t="shared" si="263"/>
        <v>0</v>
      </c>
      <c r="AC753" s="89">
        <f t="shared" si="264"/>
        <v>0</v>
      </c>
      <c r="AD753" s="89">
        <f t="shared" si="265"/>
        <v>22</v>
      </c>
      <c r="AF753" s="90" t="str">
        <f t="shared" si="266"/>
        <v/>
      </c>
      <c r="AG753" s="90">
        <f t="shared" si="267"/>
        <v>28</v>
      </c>
      <c r="AH753" s="90" t="str">
        <f t="shared" si="268"/>
        <v>2018 (triag)</v>
      </c>
      <c r="AI753" s="90">
        <f t="shared" si="269"/>
        <v>22</v>
      </c>
      <c r="AJ753" s="90">
        <f t="shared" si="270"/>
        <v>2021</v>
      </c>
      <c r="AK753" s="90" t="str">
        <f t="shared" si="271"/>
        <v>Adjust</v>
      </c>
      <c r="AL753" s="91">
        <f>IF(AK753="Adjust",(_xlfn.XLOOKUP(A753,'Adj factor'!A:A,'Adj factor'!I:I,,0)*AI753),'Master DataSheet (Rev)'!AI753)</f>
        <v>25.284570175049133</v>
      </c>
      <c r="AM753" s="91">
        <f t="shared" si="272"/>
        <v>28</v>
      </c>
      <c r="AN753" s="92" t="str">
        <f t="shared" si="273"/>
        <v>Decreasing</v>
      </c>
      <c r="AO753" s="93">
        <f>VLOOKUP(B753,'Growthrates source'!A$2:H$49,8,FALSE)</f>
        <v>-6.1731500721997512E-2</v>
      </c>
      <c r="AP753" s="93">
        <f>VLOOKUP(B753,'Growthrates source'!A$2:I$49,9,FALSE)</f>
        <v>0.10455737067903281</v>
      </c>
      <c r="AQ753" s="86">
        <f t="shared" si="274"/>
        <v>38.124686570234978</v>
      </c>
      <c r="AR753" s="86">
        <f t="shared" si="275"/>
        <v>38.316347094401642</v>
      </c>
      <c r="AS753" s="94">
        <f t="shared" si="276"/>
        <v>0</v>
      </c>
      <c r="AT753" s="94">
        <f t="shared" si="277"/>
        <v>2.7157835520509006</v>
      </c>
      <c r="AU753" s="94">
        <f t="shared" si="260"/>
        <v>2.3604298207171621</v>
      </c>
      <c r="AV753" s="94">
        <f t="shared" si="261"/>
        <v>2.6139275662000494</v>
      </c>
    </row>
    <row r="754" spans="1:48" x14ac:dyDescent="0.3">
      <c r="A754" s="85" t="str">
        <f>_xlfn.XLOOKUP(B754,'Country codes &amp; Data sources'!G:G,'Country codes &amp; Data sources'!H:H,,0)</f>
        <v>Seychelles</v>
      </c>
      <c r="B754" s="85" t="s">
        <v>185</v>
      </c>
      <c r="C754" s="86">
        <v>95325</v>
      </c>
      <c r="D754" s="85" t="s">
        <v>208</v>
      </c>
      <c r="E754" s="87">
        <v>0</v>
      </c>
      <c r="F754" s="88">
        <v>96714</v>
      </c>
      <c r="G754" s="87">
        <v>0</v>
      </c>
      <c r="I754" s="87">
        <v>0</v>
      </c>
      <c r="K754" s="87">
        <v>0</v>
      </c>
      <c r="M754" s="87">
        <v>0</v>
      </c>
      <c r="O754" s="87">
        <v>0</v>
      </c>
      <c r="P754" s="88">
        <v>103101.00000000003</v>
      </c>
      <c r="Q754" s="87">
        <v>0</v>
      </c>
      <c r="R754" s="87">
        <f t="shared" si="262"/>
        <v>0</v>
      </c>
      <c r="T754" s="87">
        <v>0</v>
      </c>
      <c r="V754" s="87">
        <v>0</v>
      </c>
      <c r="X754" s="87">
        <v>0</v>
      </c>
      <c r="Y754" s="88">
        <v>107118.5</v>
      </c>
      <c r="Z754" s="87">
        <v>0</v>
      </c>
      <c r="AA754" s="87">
        <v>0</v>
      </c>
      <c r="AB754" s="89">
        <f t="shared" si="263"/>
        <v>0</v>
      </c>
      <c r="AC754" s="89">
        <f t="shared" si="264"/>
        <v>0</v>
      </c>
      <c r="AD754" s="89">
        <f t="shared" si="265"/>
        <v>0</v>
      </c>
      <c r="AF754" s="90" t="str">
        <f t="shared" si="266"/>
        <v/>
      </c>
      <c r="AH754" s="90" t="str">
        <f t="shared" si="268"/>
        <v/>
      </c>
      <c r="AI754" s="90">
        <f t="shared" si="269"/>
        <v>0</v>
      </c>
      <c r="AJ754" s="90" t="str">
        <f t="shared" si="270"/>
        <v/>
      </c>
      <c r="AK754" s="90" t="str">
        <f t="shared" si="271"/>
        <v/>
      </c>
      <c r="AL754" s="91"/>
      <c r="AM754" s="91">
        <f t="shared" si="272"/>
        <v>0</v>
      </c>
      <c r="AN754" s="92" t="str">
        <f t="shared" si="273"/>
        <v>No change</v>
      </c>
      <c r="AO754" s="93">
        <f>VLOOKUP(B754,'Growthrates source'!A$2:H$49,8,FALSE)</f>
        <v>-6.1731500721997512E-2</v>
      </c>
      <c r="AP754" s="93">
        <f>VLOOKUP(B754,'Growthrates source'!A$2:I$49,9,FALSE)</f>
        <v>0.10455737067903281</v>
      </c>
      <c r="AQ754" s="86">
        <f t="shared" si="274"/>
        <v>0</v>
      </c>
      <c r="AR754" s="86">
        <f t="shared" si="275"/>
        <v>0</v>
      </c>
      <c r="AS754" s="94">
        <f t="shared" si="276"/>
        <v>0</v>
      </c>
      <c r="AT754" s="94">
        <f t="shared" si="277"/>
        <v>0</v>
      </c>
      <c r="AU754" s="94">
        <f t="shared" si="260"/>
        <v>0</v>
      </c>
      <c r="AV754" s="94">
        <f t="shared" si="261"/>
        <v>0</v>
      </c>
    </row>
    <row r="755" spans="1:48" x14ac:dyDescent="0.3">
      <c r="A755" s="85" t="str">
        <f>_xlfn.XLOOKUP(B755,'Country codes &amp; Data sources'!G:G,'Country codes &amp; Data sources'!H:H,,0)</f>
        <v>Seychelles</v>
      </c>
      <c r="B755" s="85" t="s">
        <v>185</v>
      </c>
      <c r="C755" s="86">
        <v>95326</v>
      </c>
      <c r="D755" s="85" t="s">
        <v>209</v>
      </c>
      <c r="E755" s="87">
        <v>0</v>
      </c>
      <c r="F755" s="88">
        <v>96714</v>
      </c>
      <c r="G755" s="87">
        <v>0</v>
      </c>
      <c r="I755" s="87">
        <v>0</v>
      </c>
      <c r="K755" s="87">
        <v>0</v>
      </c>
      <c r="M755" s="87">
        <v>0</v>
      </c>
      <c r="O755" s="87">
        <v>0</v>
      </c>
      <c r="P755" s="88">
        <v>103101.00000000003</v>
      </c>
      <c r="Q755" s="87">
        <v>0</v>
      </c>
      <c r="R755" s="87">
        <f t="shared" si="262"/>
        <v>0</v>
      </c>
      <c r="T755" s="87">
        <v>0</v>
      </c>
      <c r="V755" s="87">
        <v>0</v>
      </c>
      <c r="X755" s="87">
        <v>0</v>
      </c>
      <c r="Y755" s="88">
        <v>107118.5</v>
      </c>
      <c r="Z755" s="87">
        <v>0</v>
      </c>
      <c r="AA755" s="87">
        <v>0</v>
      </c>
      <c r="AB755" s="89">
        <f t="shared" si="263"/>
        <v>0</v>
      </c>
      <c r="AC755" s="89">
        <f t="shared" si="264"/>
        <v>0</v>
      </c>
      <c r="AD755" s="89">
        <f t="shared" si="265"/>
        <v>0</v>
      </c>
      <c r="AF755" s="90" t="str">
        <f t="shared" si="266"/>
        <v/>
      </c>
      <c r="AH755" s="90" t="str">
        <f t="shared" si="268"/>
        <v/>
      </c>
      <c r="AI755" s="90">
        <f t="shared" si="269"/>
        <v>0</v>
      </c>
      <c r="AJ755" s="90" t="str">
        <f t="shared" si="270"/>
        <v/>
      </c>
      <c r="AK755" s="90" t="str">
        <f t="shared" si="271"/>
        <v/>
      </c>
      <c r="AL755" s="91"/>
      <c r="AM755" s="91">
        <f t="shared" si="272"/>
        <v>0</v>
      </c>
      <c r="AN755" s="92" t="str">
        <f t="shared" si="273"/>
        <v>No change</v>
      </c>
      <c r="AO755" s="93">
        <f>VLOOKUP(B755,'Growthrates source'!A$2:H$49,8,FALSE)</f>
        <v>-6.1731500721997512E-2</v>
      </c>
      <c r="AP755" s="93">
        <f>VLOOKUP(B755,'Growthrates source'!A$2:I$49,9,FALSE)</f>
        <v>0.10455737067903281</v>
      </c>
      <c r="AQ755" s="86">
        <f t="shared" si="274"/>
        <v>0</v>
      </c>
      <c r="AR755" s="86">
        <f t="shared" si="275"/>
        <v>0</v>
      </c>
      <c r="AS755" s="94">
        <f t="shared" si="276"/>
        <v>0</v>
      </c>
      <c r="AT755" s="94">
        <f t="shared" si="277"/>
        <v>0</v>
      </c>
      <c r="AU755" s="94">
        <f t="shared" si="260"/>
        <v>0</v>
      </c>
      <c r="AV755" s="94">
        <f t="shared" si="261"/>
        <v>0</v>
      </c>
    </row>
    <row r="756" spans="1:48" x14ac:dyDescent="0.3">
      <c r="A756" s="85" t="str">
        <f>_xlfn.XLOOKUP(B756,'Country codes &amp; Data sources'!G:G,'Country codes &amp; Data sources'!H:H,,0)</f>
        <v>Seychelles</v>
      </c>
      <c r="B756" s="85" t="s">
        <v>185</v>
      </c>
      <c r="C756" s="86">
        <v>95327</v>
      </c>
      <c r="D756" s="85" t="s">
        <v>134</v>
      </c>
      <c r="E756" s="87">
        <v>0</v>
      </c>
      <c r="F756" s="88">
        <v>96714</v>
      </c>
      <c r="G756" s="87">
        <v>0</v>
      </c>
      <c r="I756" s="87">
        <v>0</v>
      </c>
      <c r="K756" s="87">
        <v>0</v>
      </c>
      <c r="M756" s="87">
        <v>0</v>
      </c>
      <c r="O756" s="87">
        <v>0</v>
      </c>
      <c r="P756" s="88">
        <v>103101.00000000003</v>
      </c>
      <c r="Q756" s="87">
        <v>0</v>
      </c>
      <c r="R756" s="87">
        <f t="shared" si="262"/>
        <v>71</v>
      </c>
      <c r="T756" s="87">
        <v>0</v>
      </c>
      <c r="V756" s="87">
        <v>0</v>
      </c>
      <c r="X756" s="87">
        <v>0</v>
      </c>
      <c r="Y756" s="88">
        <v>107118.5</v>
      </c>
      <c r="Z756" s="87">
        <v>0</v>
      </c>
      <c r="AA756" s="87">
        <v>71</v>
      </c>
      <c r="AB756" s="89">
        <f t="shared" si="263"/>
        <v>0</v>
      </c>
      <c r="AC756" s="89">
        <f t="shared" si="264"/>
        <v>0</v>
      </c>
      <c r="AD756" s="89">
        <f t="shared" si="265"/>
        <v>0</v>
      </c>
      <c r="AF756" s="90" t="str">
        <f t="shared" si="266"/>
        <v/>
      </c>
      <c r="AG756" s="90">
        <f t="shared" si="267"/>
        <v>71</v>
      </c>
      <c r="AH756" s="90" t="str">
        <f t="shared" si="268"/>
        <v>2018 (triag)</v>
      </c>
      <c r="AI756" s="90">
        <f t="shared" si="269"/>
        <v>71</v>
      </c>
      <c r="AJ756" s="90" t="str">
        <f t="shared" si="270"/>
        <v>2018 (triag)</v>
      </c>
      <c r="AK756" s="90" t="str">
        <f t="shared" si="271"/>
        <v/>
      </c>
      <c r="AL756" s="91">
        <f>IF(AK756="Adjust",(_xlfn.XLOOKUP(A756,'Adj factor'!A:A,'Adj factor'!I:I,,0)*AI756),'Master DataSheet (Rev)'!AI756)</f>
        <v>71</v>
      </c>
      <c r="AM756" s="91">
        <f t="shared" si="272"/>
        <v>71</v>
      </c>
      <c r="AN756" s="92" t="str">
        <f t="shared" si="273"/>
        <v>No change</v>
      </c>
      <c r="AO756" s="93">
        <f>VLOOKUP(B756,'Growthrates source'!A$2:H$49,8,FALSE)</f>
        <v>-6.1731500721997512E-2</v>
      </c>
      <c r="AP756" s="93">
        <f>VLOOKUP(B756,'Growthrates source'!A$2:I$49,9,FALSE)</f>
        <v>0.10455737067903281</v>
      </c>
      <c r="AQ756" s="86">
        <f t="shared" si="274"/>
        <v>96.673312374524414</v>
      </c>
      <c r="AR756" s="86">
        <f t="shared" si="275"/>
        <v>97.15930870366131</v>
      </c>
      <c r="AS756" s="94">
        <f t="shared" si="276"/>
        <v>0</v>
      </c>
      <c r="AT756" s="94">
        <f t="shared" si="277"/>
        <v>6.8864511498433556</v>
      </c>
      <c r="AU756" s="94">
        <f t="shared" si="260"/>
        <v>6.62817347143584</v>
      </c>
      <c r="AV756" s="94">
        <f t="shared" si="261"/>
        <v>6.62817347143584</v>
      </c>
    </row>
    <row r="757" spans="1:48" x14ac:dyDescent="0.3">
      <c r="A757" s="85" t="str">
        <f>_xlfn.XLOOKUP(B757,'Country codes &amp; Data sources'!G:G,'Country codes &amp; Data sources'!H:H,,0)</f>
        <v>Seychelles</v>
      </c>
      <c r="B757" s="85" t="s">
        <v>185</v>
      </c>
      <c r="C757" s="86">
        <v>95328</v>
      </c>
      <c r="D757" s="85" t="s">
        <v>142</v>
      </c>
      <c r="E757" s="87">
        <v>0</v>
      </c>
      <c r="F757" s="88">
        <v>96714</v>
      </c>
      <c r="G757" s="87">
        <v>0</v>
      </c>
      <c r="I757" s="87">
        <v>0</v>
      </c>
      <c r="K757" s="87">
        <v>0</v>
      </c>
      <c r="M757" s="87">
        <v>0</v>
      </c>
      <c r="O757" s="87">
        <v>0</v>
      </c>
      <c r="P757" s="88">
        <v>103101.00000000003</v>
      </c>
      <c r="Q757" s="87">
        <v>0</v>
      </c>
      <c r="R757" s="87">
        <f t="shared" si="262"/>
        <v>0</v>
      </c>
      <c r="T757" s="87">
        <v>0</v>
      </c>
      <c r="V757" s="87">
        <v>0</v>
      </c>
      <c r="X757" s="87">
        <v>0</v>
      </c>
      <c r="Y757" s="88">
        <v>107118.5</v>
      </c>
      <c r="Z757" s="87">
        <v>0</v>
      </c>
      <c r="AA757" s="87">
        <v>0</v>
      </c>
      <c r="AB757" s="89">
        <f t="shared" si="263"/>
        <v>0</v>
      </c>
      <c r="AC757" s="89">
        <f t="shared" si="264"/>
        <v>0</v>
      </c>
      <c r="AD757" s="89">
        <f t="shared" si="265"/>
        <v>0</v>
      </c>
      <c r="AF757" s="90" t="str">
        <f t="shared" si="266"/>
        <v/>
      </c>
      <c r="AH757" s="90" t="str">
        <f t="shared" si="268"/>
        <v/>
      </c>
      <c r="AI757" s="90">
        <f t="shared" si="269"/>
        <v>0</v>
      </c>
      <c r="AJ757" s="90" t="str">
        <f t="shared" si="270"/>
        <v/>
      </c>
      <c r="AK757" s="90" t="str">
        <f t="shared" si="271"/>
        <v/>
      </c>
      <c r="AL757" s="91"/>
      <c r="AM757" s="91">
        <f t="shared" si="272"/>
        <v>0</v>
      </c>
      <c r="AN757" s="92" t="str">
        <f t="shared" si="273"/>
        <v>No change</v>
      </c>
      <c r="AO757" s="93">
        <f>VLOOKUP(B757,'Growthrates source'!A$2:H$49,8,FALSE)</f>
        <v>-6.1731500721997512E-2</v>
      </c>
      <c r="AP757" s="93">
        <f>VLOOKUP(B757,'Growthrates source'!A$2:I$49,9,FALSE)</f>
        <v>0.10455737067903281</v>
      </c>
      <c r="AQ757" s="86">
        <f t="shared" si="274"/>
        <v>0</v>
      </c>
      <c r="AR757" s="86">
        <f t="shared" si="275"/>
        <v>0</v>
      </c>
      <c r="AS757" s="94">
        <f t="shared" si="276"/>
        <v>0</v>
      </c>
      <c r="AT757" s="94">
        <f t="shared" si="277"/>
        <v>0</v>
      </c>
      <c r="AU757" s="94">
        <f t="shared" si="260"/>
        <v>0</v>
      </c>
      <c r="AV757" s="94">
        <f t="shared" si="261"/>
        <v>0</v>
      </c>
    </row>
    <row r="758" spans="1:48" x14ac:dyDescent="0.3">
      <c r="A758" s="85" t="str">
        <f>_xlfn.XLOOKUP(B758,'Country codes &amp; Data sources'!G:G,'Country codes &amp; Data sources'!H:H,,0)</f>
        <v>Seychelles</v>
      </c>
      <c r="B758" s="85" t="s">
        <v>185</v>
      </c>
      <c r="C758" s="86">
        <v>95329</v>
      </c>
      <c r="D758" s="85" t="s">
        <v>83</v>
      </c>
      <c r="E758" s="87">
        <v>0</v>
      </c>
      <c r="F758" s="88">
        <v>96714</v>
      </c>
      <c r="G758" s="87">
        <v>0</v>
      </c>
      <c r="I758" s="87">
        <v>0</v>
      </c>
      <c r="K758" s="87">
        <v>0</v>
      </c>
      <c r="M758" s="87">
        <v>0</v>
      </c>
      <c r="O758" s="87">
        <v>0</v>
      </c>
      <c r="P758" s="88">
        <v>103101.00000000003</v>
      </c>
      <c r="Q758" s="87">
        <v>0</v>
      </c>
      <c r="R758" s="87">
        <f t="shared" si="262"/>
        <v>33</v>
      </c>
      <c r="T758" s="87">
        <v>0</v>
      </c>
      <c r="V758" s="87">
        <v>0</v>
      </c>
      <c r="X758" s="87">
        <v>60</v>
      </c>
      <c r="Y758" s="88">
        <v>107118.5</v>
      </c>
      <c r="Z758" s="87">
        <v>0</v>
      </c>
      <c r="AA758" s="87">
        <v>33</v>
      </c>
      <c r="AB758" s="89">
        <f t="shared" si="263"/>
        <v>0</v>
      </c>
      <c r="AC758" s="89">
        <f t="shared" si="264"/>
        <v>0</v>
      </c>
      <c r="AD758" s="89">
        <f t="shared" si="265"/>
        <v>60</v>
      </c>
      <c r="AF758" s="90" t="str">
        <f t="shared" si="266"/>
        <v/>
      </c>
      <c r="AG758" s="90">
        <f t="shared" si="267"/>
        <v>33</v>
      </c>
      <c r="AH758" s="90" t="str">
        <f t="shared" si="268"/>
        <v>2018 (triag)</v>
      </c>
      <c r="AI758" s="90">
        <f t="shared" si="269"/>
        <v>60</v>
      </c>
      <c r="AJ758" s="90">
        <f t="shared" si="270"/>
        <v>2021</v>
      </c>
      <c r="AK758" s="90" t="str">
        <f t="shared" si="271"/>
        <v/>
      </c>
      <c r="AL758" s="91">
        <f>IF(AK758="Adjust",(_xlfn.XLOOKUP(A758,'Adj factor'!A:A,'Adj factor'!I:I,,0)*AI758),'Master DataSheet (Rev)'!AI758)</f>
        <v>60</v>
      </c>
      <c r="AM758" s="91">
        <f t="shared" si="272"/>
        <v>60</v>
      </c>
      <c r="AN758" s="92" t="str">
        <f t="shared" si="273"/>
        <v>Increasing</v>
      </c>
      <c r="AO758" s="93">
        <f>VLOOKUP(B758,'Growthrates source'!A$2:H$49,8,FALSE)</f>
        <v>-6.1731500721997512E-2</v>
      </c>
      <c r="AP758" s="93">
        <f>VLOOKUP(B758,'Growthrates source'!A$2:I$49,9,FALSE)</f>
        <v>0.10455737067903281</v>
      </c>
      <c r="AQ758" s="86">
        <f t="shared" si="274"/>
        <v>44.9326663149198</v>
      </c>
      <c r="AR758" s="86">
        <f t="shared" si="275"/>
        <v>45.158551932687651</v>
      </c>
      <c r="AS758" s="94">
        <f t="shared" si="276"/>
        <v>0</v>
      </c>
      <c r="AT758" s="94">
        <f t="shared" si="277"/>
        <v>3.2007449006314186</v>
      </c>
      <c r="AU758" s="94">
        <f t="shared" si="260"/>
        <v>5.6012733561429631</v>
      </c>
      <c r="AV758" s="94">
        <f t="shared" si="261"/>
        <v>5.6012733561429631</v>
      </c>
    </row>
    <row r="759" spans="1:48" x14ac:dyDescent="0.3">
      <c r="A759" s="85" t="str">
        <f>_xlfn.XLOOKUP(B759,'Country codes &amp; Data sources'!G:G,'Country codes &amp; Data sources'!H:H,,0)</f>
        <v>Seychelles</v>
      </c>
      <c r="B759" s="85" t="s">
        <v>185</v>
      </c>
      <c r="C759" s="86">
        <v>95330</v>
      </c>
      <c r="D759" s="85" t="s">
        <v>84</v>
      </c>
      <c r="E759" s="87">
        <v>0</v>
      </c>
      <c r="F759" s="88">
        <v>96714</v>
      </c>
      <c r="G759" s="87">
        <v>0</v>
      </c>
      <c r="I759" s="87">
        <v>0</v>
      </c>
      <c r="K759" s="87">
        <v>0</v>
      </c>
      <c r="M759" s="87">
        <v>0</v>
      </c>
      <c r="O759" s="87">
        <v>0</v>
      </c>
      <c r="P759" s="88">
        <v>103101.00000000003</v>
      </c>
      <c r="Q759" s="87">
        <v>0</v>
      </c>
      <c r="R759" s="87">
        <f t="shared" si="262"/>
        <v>0</v>
      </c>
      <c r="T759" s="87">
        <v>0</v>
      </c>
      <c r="V759" s="87">
        <v>0</v>
      </c>
      <c r="X759" s="87">
        <v>2</v>
      </c>
      <c r="Y759" s="88">
        <v>107118.5</v>
      </c>
      <c r="Z759" s="87">
        <v>0</v>
      </c>
      <c r="AA759" s="87">
        <v>0</v>
      </c>
      <c r="AB759" s="89">
        <f t="shared" si="263"/>
        <v>0</v>
      </c>
      <c r="AC759" s="89">
        <f t="shared" si="264"/>
        <v>0</v>
      </c>
      <c r="AD759" s="89">
        <f t="shared" si="265"/>
        <v>2</v>
      </c>
      <c r="AF759" s="90" t="str">
        <f t="shared" si="266"/>
        <v/>
      </c>
      <c r="AH759" s="90" t="str">
        <f t="shared" si="268"/>
        <v/>
      </c>
      <c r="AI759" s="90">
        <f t="shared" si="269"/>
        <v>2</v>
      </c>
      <c r="AJ759" s="90">
        <f t="shared" si="270"/>
        <v>2021</v>
      </c>
      <c r="AK759" s="90" t="str">
        <f t="shared" si="271"/>
        <v/>
      </c>
      <c r="AL759" s="91">
        <f>IF(AK759="Adjust",(_xlfn.XLOOKUP(A759,'Adj factor'!A:A,'Adj factor'!I:I,,0)*AI759),'Master DataSheet (Rev)'!AI759)</f>
        <v>2</v>
      </c>
      <c r="AM759" s="91">
        <f t="shared" si="272"/>
        <v>2</v>
      </c>
      <c r="AN759" s="92" t="str">
        <f t="shared" si="273"/>
        <v>Increasing</v>
      </c>
      <c r="AO759" s="93">
        <f>VLOOKUP(B759,'Growthrates source'!A$2:H$49,8,FALSE)</f>
        <v>-6.1731500721997512E-2</v>
      </c>
      <c r="AP759" s="93">
        <f>VLOOKUP(B759,'Growthrates source'!A$2:I$49,9,FALSE)</f>
        <v>0.10455737067903281</v>
      </c>
      <c r="AQ759" s="86">
        <f t="shared" si="274"/>
        <v>0</v>
      </c>
      <c r="AR759" s="86">
        <f t="shared" si="275"/>
        <v>0</v>
      </c>
      <c r="AS759" s="94">
        <f t="shared" si="276"/>
        <v>0</v>
      </c>
      <c r="AT759" s="94">
        <f t="shared" si="277"/>
        <v>0</v>
      </c>
      <c r="AU759" s="94">
        <f t="shared" si="260"/>
        <v>0.1867091118714321</v>
      </c>
      <c r="AV759" s="94">
        <f t="shared" si="261"/>
        <v>0.1867091118714321</v>
      </c>
    </row>
    <row r="760" spans="1:48" x14ac:dyDescent="0.3">
      <c r="A760" s="85" t="str">
        <f>_xlfn.XLOOKUP(B760,'Country codes &amp; Data sources'!G:G,'Country codes &amp; Data sources'!H:H,,0)</f>
        <v>Seychelles</v>
      </c>
      <c r="B760" s="85" t="s">
        <v>185</v>
      </c>
      <c r="C760" s="86">
        <v>95331</v>
      </c>
      <c r="D760" s="85" t="s">
        <v>126</v>
      </c>
      <c r="E760" s="87">
        <v>0</v>
      </c>
      <c r="F760" s="88">
        <v>96714</v>
      </c>
      <c r="G760" s="87">
        <v>0</v>
      </c>
      <c r="I760" s="87">
        <v>0</v>
      </c>
      <c r="K760" s="87">
        <v>0</v>
      </c>
      <c r="M760" s="87">
        <v>0</v>
      </c>
      <c r="O760" s="87">
        <v>0</v>
      </c>
      <c r="P760" s="88">
        <v>103101.00000000003</v>
      </c>
      <c r="Q760" s="87">
        <v>0</v>
      </c>
      <c r="R760" s="87">
        <f t="shared" si="262"/>
        <v>0</v>
      </c>
      <c r="T760" s="87">
        <v>0</v>
      </c>
      <c r="V760" s="87">
        <v>0</v>
      </c>
      <c r="X760" s="87">
        <v>5</v>
      </c>
      <c r="Y760" s="88">
        <v>107118.5</v>
      </c>
      <c r="Z760" s="87">
        <v>5</v>
      </c>
      <c r="AA760" s="87">
        <v>0</v>
      </c>
      <c r="AB760" s="89">
        <f t="shared" si="263"/>
        <v>0</v>
      </c>
      <c r="AC760" s="89">
        <f t="shared" si="264"/>
        <v>0</v>
      </c>
      <c r="AD760" s="89">
        <f t="shared" si="265"/>
        <v>5</v>
      </c>
      <c r="AF760" s="90" t="str">
        <f t="shared" si="266"/>
        <v/>
      </c>
      <c r="AH760" s="90" t="str">
        <f t="shared" si="268"/>
        <v/>
      </c>
      <c r="AI760" s="90">
        <f t="shared" si="269"/>
        <v>5</v>
      </c>
      <c r="AJ760" s="90">
        <f t="shared" si="270"/>
        <v>2021</v>
      </c>
      <c r="AK760" s="90" t="str">
        <f t="shared" si="271"/>
        <v/>
      </c>
      <c r="AL760" s="91">
        <f>IF(AK760="Adjust",(_xlfn.XLOOKUP(A760,'Adj factor'!A:A,'Adj factor'!I:I,,0)*AI760),'Master DataSheet (Rev)'!AI760)</f>
        <v>5</v>
      </c>
      <c r="AM760" s="91">
        <f t="shared" si="272"/>
        <v>5</v>
      </c>
      <c r="AN760" s="92" t="str">
        <f t="shared" si="273"/>
        <v>Increasing</v>
      </c>
      <c r="AO760" s="93">
        <f>VLOOKUP(B760,'Growthrates source'!A$2:H$49,8,FALSE)</f>
        <v>-6.1731500721997512E-2</v>
      </c>
      <c r="AP760" s="93">
        <f>VLOOKUP(B760,'Growthrates source'!A$2:I$49,9,FALSE)</f>
        <v>0.10455737067903281</v>
      </c>
      <c r="AQ760" s="86">
        <f t="shared" si="274"/>
        <v>0</v>
      </c>
      <c r="AR760" s="86">
        <f t="shared" si="275"/>
        <v>0</v>
      </c>
      <c r="AS760" s="94">
        <f t="shared" si="276"/>
        <v>0</v>
      </c>
      <c r="AT760" s="94">
        <f t="shared" si="277"/>
        <v>0</v>
      </c>
      <c r="AU760" s="94">
        <f t="shared" si="260"/>
        <v>0.46677277967858027</v>
      </c>
      <c r="AV760" s="94">
        <f t="shared" si="261"/>
        <v>0.46677277967858027</v>
      </c>
    </row>
    <row r="761" spans="1:48" x14ac:dyDescent="0.3">
      <c r="A761" s="85" t="str">
        <f>_xlfn.XLOOKUP(B761,'Country codes &amp; Data sources'!G:G,'Country codes &amp; Data sources'!H:H,,0)</f>
        <v>Seychelles</v>
      </c>
      <c r="B761" s="85" t="s">
        <v>185</v>
      </c>
      <c r="C761" s="86">
        <v>95332</v>
      </c>
      <c r="D761" s="85" t="s">
        <v>87</v>
      </c>
      <c r="E761" s="87">
        <v>0</v>
      </c>
      <c r="F761" s="88">
        <v>96714</v>
      </c>
      <c r="G761" s="87">
        <v>0</v>
      </c>
      <c r="I761" s="87">
        <v>0</v>
      </c>
      <c r="K761" s="87">
        <v>0</v>
      </c>
      <c r="M761" s="87">
        <v>0</v>
      </c>
      <c r="O761" s="87">
        <v>0</v>
      </c>
      <c r="P761" s="88">
        <v>103101.00000000003</v>
      </c>
      <c r="Q761" s="87">
        <v>0</v>
      </c>
      <c r="R761" s="87">
        <f t="shared" si="262"/>
        <v>0</v>
      </c>
      <c r="T761" s="87">
        <v>0</v>
      </c>
      <c r="V761" s="87">
        <v>0</v>
      </c>
      <c r="X761" s="87">
        <v>2</v>
      </c>
      <c r="Y761" s="88">
        <v>107118.5</v>
      </c>
      <c r="Z761" s="87">
        <v>0</v>
      </c>
      <c r="AA761" s="87">
        <v>0</v>
      </c>
      <c r="AB761" s="89">
        <f t="shared" si="263"/>
        <v>0</v>
      </c>
      <c r="AC761" s="89">
        <f t="shared" si="264"/>
        <v>0</v>
      </c>
      <c r="AD761" s="89">
        <f t="shared" si="265"/>
        <v>2</v>
      </c>
      <c r="AF761" s="90" t="str">
        <f t="shared" si="266"/>
        <v/>
      </c>
      <c r="AH761" s="90" t="str">
        <f t="shared" si="268"/>
        <v/>
      </c>
      <c r="AI761" s="90">
        <f t="shared" si="269"/>
        <v>2</v>
      </c>
      <c r="AJ761" s="90">
        <f t="shared" si="270"/>
        <v>2021</v>
      </c>
      <c r="AK761" s="90" t="str">
        <f t="shared" si="271"/>
        <v/>
      </c>
      <c r="AL761" s="91">
        <f>IF(AK761="Adjust",(_xlfn.XLOOKUP(A761,'Adj factor'!A:A,'Adj factor'!I:I,,0)*AI761),'Master DataSheet (Rev)'!AI761)</f>
        <v>2</v>
      </c>
      <c r="AM761" s="91">
        <f t="shared" si="272"/>
        <v>2</v>
      </c>
      <c r="AN761" s="92" t="str">
        <f t="shared" si="273"/>
        <v>Increasing</v>
      </c>
      <c r="AO761" s="93">
        <f>VLOOKUP(B761,'Growthrates source'!A$2:H$49,8,FALSE)</f>
        <v>-6.1731500721997512E-2</v>
      </c>
      <c r="AP761" s="93">
        <f>VLOOKUP(B761,'Growthrates source'!A$2:I$49,9,FALSE)</f>
        <v>0.10455737067903281</v>
      </c>
      <c r="AQ761" s="86">
        <f t="shared" si="274"/>
        <v>0</v>
      </c>
      <c r="AR761" s="86">
        <f t="shared" si="275"/>
        <v>0</v>
      </c>
      <c r="AS761" s="94">
        <f t="shared" si="276"/>
        <v>0</v>
      </c>
      <c r="AT761" s="94">
        <f t="shared" si="277"/>
        <v>0</v>
      </c>
      <c r="AU761" s="94">
        <f t="shared" si="260"/>
        <v>0.1867091118714321</v>
      </c>
      <c r="AV761" s="94">
        <f t="shared" si="261"/>
        <v>0.1867091118714321</v>
      </c>
    </row>
    <row r="762" spans="1:48" x14ac:dyDescent="0.3">
      <c r="A762" s="85" t="str">
        <f>_xlfn.XLOOKUP(B762,'Country codes &amp; Data sources'!G:G,'Country codes &amp; Data sources'!H:H,,0)</f>
        <v>Chad</v>
      </c>
      <c r="B762" s="85" t="s">
        <v>169</v>
      </c>
      <c r="C762" s="86">
        <v>12754911</v>
      </c>
      <c r="D762" s="85" t="s">
        <v>127</v>
      </c>
      <c r="E762" s="87">
        <v>0</v>
      </c>
      <c r="F762" s="88">
        <v>13216766.5</v>
      </c>
      <c r="G762" s="87">
        <v>0</v>
      </c>
      <c r="I762" s="87">
        <v>0</v>
      </c>
      <c r="K762" s="87">
        <v>0</v>
      </c>
      <c r="M762" s="87">
        <v>0</v>
      </c>
      <c r="O762" s="87">
        <v>0</v>
      </c>
      <c r="P762" s="88">
        <v>15604210</v>
      </c>
      <c r="Q762" s="87">
        <v>0</v>
      </c>
      <c r="R762" s="87">
        <f t="shared" ref="R762:R811" si="279">MAX(Q762,AA762)</f>
        <v>7</v>
      </c>
      <c r="T762" s="87">
        <v>0</v>
      </c>
      <c r="V762" s="87">
        <v>592</v>
      </c>
      <c r="X762" s="87">
        <v>8077</v>
      </c>
      <c r="Y762" s="88">
        <v>17723314.500000004</v>
      </c>
      <c r="Z762" s="87">
        <v>0</v>
      </c>
      <c r="AA762" s="87">
        <v>7</v>
      </c>
      <c r="AB762" s="89">
        <f t="shared" ref="AB762:AB811" si="280">MAX(G762,E762,I762,K762)</f>
        <v>0</v>
      </c>
      <c r="AC762" s="89">
        <f t="shared" ref="AC762:AC811" si="281">MAX(M762,O762,Q762,T762)</f>
        <v>0</v>
      </c>
      <c r="AD762" s="89">
        <f t="shared" ref="AD762:AD811" si="282">MAX(V762,X762,Z762)</f>
        <v>8077</v>
      </c>
      <c r="AF762" s="90" t="str">
        <f t="shared" ref="AF762:AF811" si="283">IF(AE762&gt;0,_xlfn.XLOOKUP(AE762,$B762:$K762,$B$1:$K$1,,0),"")</f>
        <v/>
      </c>
      <c r="AG762" s="90">
        <f t="shared" ref="AG762:AG810" si="284">IF(R762&gt;0,R762,IF(O762&gt;0,O762,T762))</f>
        <v>7</v>
      </c>
      <c r="AH762" s="90" t="str">
        <f t="shared" ref="AH762:AH811" si="285">IF(AG762&gt;0,_xlfn.XLOOKUP(AG762,$L762:$T762,$L$1:$T$1,,0),"")</f>
        <v>2018 (triag)</v>
      </c>
      <c r="AI762" s="90">
        <f t="shared" ref="AI762:AI811" si="286">IF((IF(Z762&gt;0,Z762,IF(X762&gt;0,X762,IF(V762&gt;0,V762,T762))))=0,AG762,IF(Z762&gt;0,Z762,IF(X762&gt;0,X762,IF(V762&gt;0,V762,T762))))</f>
        <v>8077</v>
      </c>
      <c r="AJ762" s="90">
        <f t="shared" ref="AJ762:AJ811" si="287">IFERROR(IF(AI762&gt;0,_xlfn.XLOOKUP(AI762,$V762:$Z762,$V$1:$Z$1,,0),""),AH762)</f>
        <v>2021</v>
      </c>
      <c r="AK762" s="90" t="str">
        <f t="shared" ref="AK762:AK811" si="288">IF(AI762&lt;AG762,"Adjust","")</f>
        <v/>
      </c>
      <c r="AL762" s="91">
        <f>IF(AK762="Adjust",(_xlfn.XLOOKUP(A762,'Adj factor'!A:A,'Adj factor'!I:I,,0)*AI762),'Master DataSheet (Rev)'!AI762)</f>
        <v>8077</v>
      </c>
      <c r="AM762" s="91">
        <f t="shared" ref="AM762:AM811" si="289">IF(AL762&lt;AG762,AG762,AL762)</f>
        <v>8077</v>
      </c>
      <c r="AN762" s="92" t="str">
        <f t="shared" ref="AN762:AN811" si="290">IF(AL762&gt;AG762,"Increasing",IF(AL762&lt;AG762,"Decreasing","No change"))</f>
        <v>Increasing</v>
      </c>
      <c r="AO762" s="93">
        <f>VLOOKUP(B762,'Growthrates source'!A$2:H$49,8,FALSE)</f>
        <v>-3.1578929217935259E-2</v>
      </c>
      <c r="AP762" s="93">
        <f>VLOOKUP(B762,'Growthrates source'!A$2:I$49,9,FALSE)</f>
        <v>1.4876976840610734E-2</v>
      </c>
      <c r="AQ762" s="86">
        <f t="shared" ref="AQ762:AQ811" si="291">AA762/(EXP(AO762*5))</f>
        <v>8.1972996998818672</v>
      </c>
      <c r="AR762" s="86">
        <f t="shared" ref="AR762:AR811" si="292">AA762*EXP(AP762*3)</f>
        <v>7.3194931192912742</v>
      </c>
      <c r="AS762" s="94">
        <f t="shared" ref="AS762:AS811" si="293">(AE762*10000)/F762</f>
        <v>0</v>
      </c>
      <c r="AT762" s="94">
        <f t="shared" ref="AT762:AT811" si="294">(AG762*10000)/P762</f>
        <v>4.4859688507140061E-3</v>
      </c>
      <c r="AU762" s="94">
        <f t="shared" si="260"/>
        <v>4.5572739794241075</v>
      </c>
      <c r="AV762" s="94">
        <f t="shared" si="261"/>
        <v>4.5572739794241075</v>
      </c>
    </row>
    <row r="763" spans="1:48" x14ac:dyDescent="0.3">
      <c r="A763" s="85" t="str">
        <f>_xlfn.XLOOKUP(B763,'Country codes &amp; Data sources'!G:G,'Country codes &amp; Data sources'!H:H,,0)</f>
        <v>Chad</v>
      </c>
      <c r="B763" s="85" t="s">
        <v>169</v>
      </c>
      <c r="C763" s="86">
        <v>12754912</v>
      </c>
      <c r="D763" s="85" t="s">
        <v>61</v>
      </c>
      <c r="E763" s="87">
        <v>406</v>
      </c>
      <c r="F763" s="88">
        <v>13216766.5</v>
      </c>
      <c r="G763" s="87">
        <v>0</v>
      </c>
      <c r="I763" s="87">
        <v>0</v>
      </c>
      <c r="K763" s="87">
        <v>43</v>
      </c>
      <c r="M763" s="87">
        <v>0</v>
      </c>
      <c r="O763" s="87">
        <v>0</v>
      </c>
      <c r="P763" s="88">
        <v>15604210</v>
      </c>
      <c r="Q763" s="87">
        <v>0</v>
      </c>
      <c r="R763" s="87">
        <f t="shared" si="279"/>
        <v>58</v>
      </c>
      <c r="T763" s="87">
        <v>0</v>
      </c>
      <c r="V763" s="87">
        <v>0</v>
      </c>
      <c r="X763" s="87">
        <v>0</v>
      </c>
      <c r="Y763" s="88">
        <v>17723314.500000004</v>
      </c>
      <c r="Z763" s="87">
        <v>0</v>
      </c>
      <c r="AA763" s="87">
        <v>58</v>
      </c>
      <c r="AB763" s="89">
        <f t="shared" si="280"/>
        <v>406</v>
      </c>
      <c r="AC763" s="89">
        <f t="shared" si="281"/>
        <v>0</v>
      </c>
      <c r="AD763" s="89">
        <f t="shared" si="282"/>
        <v>0</v>
      </c>
      <c r="AE763" s="90">
        <f t="shared" ref="AE763:AE810" si="295">IF(G763&gt;0,G763,IF(E763&gt;0,E763,IF(I763&gt;0,I763,K763)))</f>
        <v>406</v>
      </c>
      <c r="AF763" s="90">
        <f t="shared" si="283"/>
        <v>2012</v>
      </c>
      <c r="AG763" s="90">
        <f t="shared" si="284"/>
        <v>58</v>
      </c>
      <c r="AH763" s="90" t="str">
        <f t="shared" si="285"/>
        <v>2018 (triag)</v>
      </c>
      <c r="AI763" s="90">
        <f t="shared" si="286"/>
        <v>58</v>
      </c>
      <c r="AJ763" s="90" t="str">
        <f t="shared" si="287"/>
        <v>2018 (triag)</v>
      </c>
      <c r="AK763" s="90" t="str">
        <f t="shared" si="288"/>
        <v/>
      </c>
      <c r="AL763" s="91">
        <f>IF(AK763="Adjust",(_xlfn.XLOOKUP(A763,'Adj factor'!A:A,'Adj factor'!I:I,,0)*AI763),'Master DataSheet (Rev)'!AI763)</f>
        <v>58</v>
      </c>
      <c r="AM763" s="91">
        <f t="shared" si="289"/>
        <v>58</v>
      </c>
      <c r="AN763" s="92" t="str">
        <f t="shared" si="290"/>
        <v>No change</v>
      </c>
      <c r="AO763" s="93">
        <f>VLOOKUP(B763,'Growthrates source'!A$2:H$49,8,FALSE)</f>
        <v>-3.1578929217935259E-2</v>
      </c>
      <c r="AP763" s="93">
        <f>VLOOKUP(B763,'Growthrates source'!A$2:I$49,9,FALSE)</f>
        <v>1.4876976840610734E-2</v>
      </c>
      <c r="AQ763" s="86">
        <f t="shared" si="291"/>
        <v>67.920483227592612</v>
      </c>
      <c r="AR763" s="86">
        <f t="shared" si="292"/>
        <v>60.647228702699131</v>
      </c>
      <c r="AS763" s="94">
        <f t="shared" si="293"/>
        <v>0.30718557371804972</v>
      </c>
      <c r="AT763" s="94">
        <f t="shared" si="294"/>
        <v>3.7169456191630333E-2</v>
      </c>
      <c r="AU763" s="94">
        <f t="shared" si="260"/>
        <v>3.2725255764095358E-2</v>
      </c>
      <c r="AV763" s="94">
        <f t="shared" si="261"/>
        <v>3.2725255764095358E-2</v>
      </c>
    </row>
    <row r="764" spans="1:48" x14ac:dyDescent="0.3">
      <c r="A764" s="85" t="str">
        <f>_xlfn.XLOOKUP(B764,'Country codes &amp; Data sources'!G:G,'Country codes &amp; Data sources'!H:H,,0)</f>
        <v>Chad</v>
      </c>
      <c r="B764" s="85" t="s">
        <v>169</v>
      </c>
      <c r="C764" s="86">
        <v>12754913</v>
      </c>
      <c r="D764" s="85" t="s">
        <v>62</v>
      </c>
      <c r="E764" s="87">
        <v>1258</v>
      </c>
      <c r="F764" s="88">
        <v>13216766.5</v>
      </c>
      <c r="G764" s="87">
        <v>0</v>
      </c>
      <c r="I764" s="87">
        <v>255</v>
      </c>
      <c r="K764" s="87">
        <v>0</v>
      </c>
      <c r="M764" s="87">
        <v>0</v>
      </c>
      <c r="O764" s="87">
        <v>0</v>
      </c>
      <c r="P764" s="88">
        <v>15604210</v>
      </c>
      <c r="Q764" s="87">
        <v>0</v>
      </c>
      <c r="R764" s="87">
        <f t="shared" si="279"/>
        <v>76</v>
      </c>
      <c r="T764" s="87">
        <v>0</v>
      </c>
      <c r="V764" s="87">
        <v>0</v>
      </c>
      <c r="X764" s="87">
        <v>0</v>
      </c>
      <c r="Y764" s="88">
        <v>17723314.500000004</v>
      </c>
      <c r="Z764" s="87">
        <v>0</v>
      </c>
      <c r="AA764" s="87">
        <v>76</v>
      </c>
      <c r="AB764" s="89">
        <f t="shared" si="280"/>
        <v>1258</v>
      </c>
      <c r="AC764" s="89">
        <f t="shared" si="281"/>
        <v>0</v>
      </c>
      <c r="AD764" s="89">
        <f t="shared" si="282"/>
        <v>0</v>
      </c>
      <c r="AE764" s="90">
        <f t="shared" si="295"/>
        <v>1258</v>
      </c>
      <c r="AF764" s="90">
        <f t="shared" si="283"/>
        <v>2012</v>
      </c>
      <c r="AG764" s="90">
        <f t="shared" si="284"/>
        <v>76</v>
      </c>
      <c r="AH764" s="90" t="str">
        <f t="shared" si="285"/>
        <v>2018 (triag)</v>
      </c>
      <c r="AI764" s="90">
        <f t="shared" si="286"/>
        <v>76</v>
      </c>
      <c r="AJ764" s="90" t="str">
        <f t="shared" si="287"/>
        <v>2018 (triag)</v>
      </c>
      <c r="AK764" s="90" t="str">
        <f t="shared" si="288"/>
        <v/>
      </c>
      <c r="AL764" s="91">
        <f>IF(AK764="Adjust",(_xlfn.XLOOKUP(A764,'Adj factor'!A:A,'Adj factor'!I:I,,0)*AI764),'Master DataSheet (Rev)'!AI764)</f>
        <v>76</v>
      </c>
      <c r="AM764" s="91">
        <f t="shared" si="289"/>
        <v>76</v>
      </c>
      <c r="AN764" s="92" t="str">
        <f t="shared" si="290"/>
        <v>No change</v>
      </c>
      <c r="AO764" s="93">
        <f>VLOOKUP(B764,'Growthrates source'!A$2:H$49,8,FALSE)</f>
        <v>-3.1578929217935259E-2</v>
      </c>
      <c r="AP764" s="93">
        <f>VLOOKUP(B764,'Growthrates source'!A$2:I$49,9,FALSE)</f>
        <v>1.4876976840610734E-2</v>
      </c>
      <c r="AQ764" s="86">
        <f t="shared" si="291"/>
        <v>88.999253884431695</v>
      </c>
      <c r="AR764" s="86">
        <f t="shared" si="292"/>
        <v>79.468782438019545</v>
      </c>
      <c r="AS764" s="94">
        <f t="shared" si="293"/>
        <v>0.95182130969779943</v>
      </c>
      <c r="AT764" s="94">
        <f t="shared" si="294"/>
        <v>4.8704804664894921E-2</v>
      </c>
      <c r="AU764" s="94">
        <f t="shared" si="260"/>
        <v>4.2881369621918061E-2</v>
      </c>
      <c r="AV764" s="94">
        <f t="shared" si="261"/>
        <v>4.2881369621918061E-2</v>
      </c>
    </row>
    <row r="765" spans="1:48" x14ac:dyDescent="0.3">
      <c r="A765" s="85" t="str">
        <f>_xlfn.XLOOKUP(B765,'Country codes &amp; Data sources'!G:G,'Country codes &amp; Data sources'!H:H,,0)</f>
        <v>Chad</v>
      </c>
      <c r="B765" s="85" t="s">
        <v>169</v>
      </c>
      <c r="C765" s="86">
        <v>12754914</v>
      </c>
      <c r="D765" s="85" t="s">
        <v>203</v>
      </c>
      <c r="E765" s="87">
        <v>0</v>
      </c>
      <c r="F765" s="88">
        <v>13216766.5</v>
      </c>
      <c r="G765" s="87">
        <v>0</v>
      </c>
      <c r="I765" s="87">
        <v>0</v>
      </c>
      <c r="K765" s="87">
        <v>0</v>
      </c>
      <c r="M765" s="87">
        <v>0</v>
      </c>
      <c r="O765" s="87">
        <v>0</v>
      </c>
      <c r="P765" s="88">
        <v>15604210</v>
      </c>
      <c r="Q765" s="87">
        <v>0</v>
      </c>
      <c r="R765" s="87">
        <f t="shared" si="279"/>
        <v>738</v>
      </c>
      <c r="T765" s="87">
        <v>208</v>
      </c>
      <c r="V765" s="87">
        <v>0</v>
      </c>
      <c r="X765" s="87">
        <v>0</v>
      </c>
      <c r="Y765" s="88">
        <v>17723314.500000004</v>
      </c>
      <c r="Z765" s="87">
        <v>0</v>
      </c>
      <c r="AA765" s="87">
        <v>738</v>
      </c>
      <c r="AB765" s="89">
        <f t="shared" si="280"/>
        <v>0</v>
      </c>
      <c r="AC765" s="89">
        <f t="shared" si="281"/>
        <v>208</v>
      </c>
      <c r="AD765" s="89">
        <f t="shared" si="282"/>
        <v>0</v>
      </c>
      <c r="AF765" s="90" t="str">
        <f t="shared" si="283"/>
        <v/>
      </c>
      <c r="AG765" s="90">
        <f t="shared" si="284"/>
        <v>738</v>
      </c>
      <c r="AH765" s="90" t="str">
        <f t="shared" si="285"/>
        <v>2018 (triag)</v>
      </c>
      <c r="AI765" s="90">
        <f t="shared" si="286"/>
        <v>208</v>
      </c>
      <c r="AJ765" s="90" t="str">
        <f t="shared" si="287"/>
        <v>2018 (triag)</v>
      </c>
      <c r="AK765" s="90" t="str">
        <f t="shared" si="288"/>
        <v>Adjust</v>
      </c>
      <c r="AL765" s="91">
        <f>IF(AK765="Adjust",(_xlfn.XLOOKUP(A765,'Adj factor'!A:A,'Adj factor'!I:I,,0)*AI765),'Master DataSheet (Rev)'!AI765)</f>
        <v>240.20714655618852</v>
      </c>
      <c r="AM765" s="91">
        <f t="shared" si="289"/>
        <v>738</v>
      </c>
      <c r="AN765" s="92" t="str">
        <f t="shared" si="290"/>
        <v>Decreasing</v>
      </c>
      <c r="AO765" s="93">
        <f>VLOOKUP(B765,'Growthrates source'!A$2:H$49,8,FALSE)</f>
        <v>-3.1578929217935259E-2</v>
      </c>
      <c r="AP765" s="93">
        <f>VLOOKUP(B765,'Growthrates source'!A$2:I$49,9,FALSE)</f>
        <v>1.4876976840610734E-2</v>
      </c>
      <c r="AQ765" s="86">
        <f t="shared" si="291"/>
        <v>864.22959693040252</v>
      </c>
      <c r="AR765" s="86">
        <f t="shared" si="292"/>
        <v>771.68370314813717</v>
      </c>
      <c r="AS765" s="94">
        <f t="shared" si="293"/>
        <v>0</v>
      </c>
      <c r="AT765" s="94">
        <f t="shared" si="294"/>
        <v>0.47294928740384806</v>
      </c>
      <c r="AU765" s="94">
        <f t="shared" si="260"/>
        <v>0.13553172943818634</v>
      </c>
      <c r="AV765" s="94">
        <f t="shared" si="261"/>
        <v>0.41640066817073063</v>
      </c>
    </row>
    <row r="766" spans="1:48" x14ac:dyDescent="0.3">
      <c r="A766" s="85" t="str">
        <f>_xlfn.XLOOKUP(B766,'Country codes &amp; Data sources'!G:G,'Country codes &amp; Data sources'!H:H,,0)</f>
        <v>Chad</v>
      </c>
      <c r="B766" s="85" t="s">
        <v>169</v>
      </c>
      <c r="C766" s="86">
        <v>12754915</v>
      </c>
      <c r="D766" s="85" t="s">
        <v>204</v>
      </c>
      <c r="E766" s="87">
        <v>0</v>
      </c>
      <c r="F766" s="88">
        <v>13216766.5</v>
      </c>
      <c r="G766" s="87">
        <v>0</v>
      </c>
      <c r="I766" s="87">
        <v>0</v>
      </c>
      <c r="K766" s="87">
        <v>0</v>
      </c>
      <c r="M766" s="87">
        <v>0</v>
      </c>
      <c r="O766" s="87">
        <v>0</v>
      </c>
      <c r="P766" s="88">
        <v>15604210</v>
      </c>
      <c r="Q766" s="87">
        <v>0</v>
      </c>
      <c r="R766" s="87">
        <f t="shared" si="279"/>
        <v>732</v>
      </c>
      <c r="T766" s="87">
        <v>109</v>
      </c>
      <c r="V766" s="87">
        <v>0</v>
      </c>
      <c r="X766" s="87">
        <v>371</v>
      </c>
      <c r="Y766" s="88">
        <v>17723314.500000004</v>
      </c>
      <c r="Z766" s="87">
        <v>0</v>
      </c>
      <c r="AA766" s="87">
        <v>732</v>
      </c>
      <c r="AB766" s="89">
        <f t="shared" si="280"/>
        <v>0</v>
      </c>
      <c r="AC766" s="89">
        <f t="shared" si="281"/>
        <v>109</v>
      </c>
      <c r="AD766" s="89">
        <f t="shared" si="282"/>
        <v>371</v>
      </c>
      <c r="AF766" s="90" t="str">
        <f t="shared" si="283"/>
        <v/>
      </c>
      <c r="AG766" s="90">
        <f t="shared" si="284"/>
        <v>732</v>
      </c>
      <c r="AH766" s="90" t="str">
        <f t="shared" si="285"/>
        <v>2018 (triag)</v>
      </c>
      <c r="AI766" s="90">
        <f t="shared" si="286"/>
        <v>371</v>
      </c>
      <c r="AJ766" s="90">
        <f t="shared" si="287"/>
        <v>2021</v>
      </c>
      <c r="AK766" s="90" t="str">
        <f t="shared" si="288"/>
        <v>Adjust</v>
      </c>
      <c r="AL766" s="91">
        <f>IF(AK766="Adjust",(_xlfn.XLOOKUP(A766,'Adj factor'!A:A,'Adj factor'!I:I,,0)*AI766),'Master DataSheet (Rev)'!AI766)</f>
        <v>428.44640082858621</v>
      </c>
      <c r="AM766" s="91">
        <f t="shared" si="289"/>
        <v>732</v>
      </c>
      <c r="AN766" s="92" t="str">
        <f t="shared" si="290"/>
        <v>Decreasing</v>
      </c>
      <c r="AO766" s="93">
        <f>VLOOKUP(B766,'Growthrates source'!A$2:H$49,8,FALSE)</f>
        <v>-3.1578929217935259E-2</v>
      </c>
      <c r="AP766" s="93">
        <f>VLOOKUP(B766,'Growthrates source'!A$2:I$49,9,FALSE)</f>
        <v>1.4876976840610734E-2</v>
      </c>
      <c r="AQ766" s="86">
        <f t="shared" si="291"/>
        <v>857.20334004478946</v>
      </c>
      <c r="AR766" s="86">
        <f t="shared" si="292"/>
        <v>765.40985190303036</v>
      </c>
      <c r="AS766" s="94">
        <f t="shared" si="293"/>
        <v>0</v>
      </c>
      <c r="AT766" s="94">
        <f t="shared" si="294"/>
        <v>0.46910417124609322</v>
      </c>
      <c r="AU766" s="94">
        <f t="shared" si="260"/>
        <v>0.24174169048830349</v>
      </c>
      <c r="AV766" s="94">
        <f t="shared" si="261"/>
        <v>0.41301529688478972</v>
      </c>
    </row>
    <row r="767" spans="1:48" x14ac:dyDescent="0.3">
      <c r="A767" s="85" t="str">
        <f>_xlfn.XLOOKUP(B767,'Country codes &amp; Data sources'!G:G,'Country codes &amp; Data sources'!H:H,,0)</f>
        <v>Chad</v>
      </c>
      <c r="B767" s="85" t="s">
        <v>169</v>
      </c>
      <c r="C767" s="86">
        <v>12754916</v>
      </c>
      <c r="D767" s="85" t="s">
        <v>205</v>
      </c>
      <c r="E767" s="87">
        <v>0</v>
      </c>
      <c r="F767" s="88">
        <v>13216766.5</v>
      </c>
      <c r="G767" s="87">
        <v>0</v>
      </c>
      <c r="I767" s="87">
        <v>0</v>
      </c>
      <c r="K767" s="87">
        <v>0</v>
      </c>
      <c r="M767" s="87">
        <v>0</v>
      </c>
      <c r="O767" s="87">
        <v>0</v>
      </c>
      <c r="P767" s="88">
        <v>15604210</v>
      </c>
      <c r="Q767" s="87">
        <v>0</v>
      </c>
      <c r="R767" s="87">
        <f t="shared" si="279"/>
        <v>0</v>
      </c>
      <c r="T767" s="87">
        <v>0</v>
      </c>
      <c r="V767" s="87">
        <v>0</v>
      </c>
      <c r="X767" s="87">
        <v>4</v>
      </c>
      <c r="Y767" s="88">
        <v>17723314.500000004</v>
      </c>
      <c r="Z767" s="87">
        <v>11</v>
      </c>
      <c r="AA767" s="87">
        <v>0</v>
      </c>
      <c r="AB767" s="89">
        <f t="shared" si="280"/>
        <v>0</v>
      </c>
      <c r="AC767" s="89">
        <f t="shared" si="281"/>
        <v>0</v>
      </c>
      <c r="AD767" s="89">
        <f t="shared" si="282"/>
        <v>11</v>
      </c>
      <c r="AF767" s="90" t="str">
        <f t="shared" si="283"/>
        <v/>
      </c>
      <c r="AH767" s="90" t="str">
        <f t="shared" si="285"/>
        <v/>
      </c>
      <c r="AI767" s="90">
        <f t="shared" si="286"/>
        <v>11</v>
      </c>
      <c r="AJ767" s="90">
        <f t="shared" si="287"/>
        <v>2022</v>
      </c>
      <c r="AK767" s="90" t="str">
        <f t="shared" si="288"/>
        <v/>
      </c>
      <c r="AL767" s="91">
        <f>IF(AK767="Adjust",(_xlfn.XLOOKUP(A767,'Adj factor'!A:A,'Adj factor'!I:I,,0)*AI767),'Master DataSheet (Rev)'!AI767)</f>
        <v>11</v>
      </c>
      <c r="AM767" s="91">
        <f t="shared" si="289"/>
        <v>11</v>
      </c>
      <c r="AN767" s="92" t="str">
        <f t="shared" si="290"/>
        <v>Increasing</v>
      </c>
      <c r="AO767" s="93">
        <f>VLOOKUP(B767,'Growthrates source'!A$2:H$49,8,FALSE)</f>
        <v>-3.1578929217935259E-2</v>
      </c>
      <c r="AP767" s="93">
        <f>VLOOKUP(B767,'Growthrates source'!A$2:I$49,9,FALSE)</f>
        <v>1.4876976840610734E-2</v>
      </c>
      <c r="AQ767" s="86">
        <f t="shared" si="291"/>
        <v>0</v>
      </c>
      <c r="AR767" s="86">
        <f t="shared" si="292"/>
        <v>0</v>
      </c>
      <c r="AS767" s="94">
        <f t="shared" si="293"/>
        <v>0</v>
      </c>
      <c r="AT767" s="94">
        <f t="shared" si="294"/>
        <v>0</v>
      </c>
      <c r="AU767" s="94">
        <f t="shared" si="260"/>
        <v>6.206514024224982E-3</v>
      </c>
      <c r="AV767" s="94">
        <f t="shared" si="261"/>
        <v>6.206514024224982E-3</v>
      </c>
    </row>
    <row r="768" spans="1:48" x14ac:dyDescent="0.3">
      <c r="A768" s="85" t="str">
        <f>_xlfn.XLOOKUP(B768,'Country codes &amp; Data sources'!G:G,'Country codes &amp; Data sources'!H:H,,0)</f>
        <v>Chad</v>
      </c>
      <c r="B768" s="85" t="s">
        <v>169</v>
      </c>
      <c r="C768" s="86">
        <v>12754917</v>
      </c>
      <c r="D768" s="85" t="s">
        <v>133</v>
      </c>
      <c r="E768" s="87">
        <v>0</v>
      </c>
      <c r="F768" s="88">
        <v>13216766.5</v>
      </c>
      <c r="G768" s="87">
        <v>0</v>
      </c>
      <c r="I768" s="87">
        <v>0</v>
      </c>
      <c r="K768" s="87">
        <v>0</v>
      </c>
      <c r="M768" s="87">
        <v>0</v>
      </c>
      <c r="O768" s="87">
        <v>0</v>
      </c>
      <c r="P768" s="88">
        <v>15604210</v>
      </c>
      <c r="Q768" s="87">
        <v>749</v>
      </c>
      <c r="R768" s="87">
        <f t="shared" si="279"/>
        <v>814</v>
      </c>
      <c r="T768" s="87">
        <v>0</v>
      </c>
      <c r="V768" s="87">
        <v>0</v>
      </c>
      <c r="X768" s="87">
        <v>848</v>
      </c>
      <c r="Y768" s="88">
        <v>17723314.500000004</v>
      </c>
      <c r="Z768" s="87">
        <v>1028</v>
      </c>
      <c r="AA768" s="87">
        <v>814</v>
      </c>
      <c r="AB768" s="89">
        <f t="shared" si="280"/>
        <v>0</v>
      </c>
      <c r="AC768" s="89">
        <f t="shared" si="281"/>
        <v>749</v>
      </c>
      <c r="AD768" s="89">
        <f t="shared" si="282"/>
        <v>1028</v>
      </c>
      <c r="AF768" s="90" t="str">
        <f t="shared" si="283"/>
        <v/>
      </c>
      <c r="AG768" s="90">
        <f t="shared" si="284"/>
        <v>814</v>
      </c>
      <c r="AH768" s="90" t="str">
        <f t="shared" si="285"/>
        <v>2018 (triag)</v>
      </c>
      <c r="AI768" s="90">
        <f t="shared" si="286"/>
        <v>1028</v>
      </c>
      <c r="AJ768" s="90">
        <f t="shared" si="287"/>
        <v>2022</v>
      </c>
      <c r="AK768" s="90" t="str">
        <f t="shared" si="288"/>
        <v/>
      </c>
      <c r="AL768" s="91">
        <f>IF(AK768="Adjust",(_xlfn.XLOOKUP(A768,'Adj factor'!A:A,'Adj factor'!I:I,,0)*AI768),'Master DataSheet (Rev)'!AI768)</f>
        <v>1028</v>
      </c>
      <c r="AM768" s="91">
        <f t="shared" si="289"/>
        <v>1028</v>
      </c>
      <c r="AN768" s="92" t="str">
        <f t="shared" si="290"/>
        <v>Increasing</v>
      </c>
      <c r="AO768" s="93">
        <f>VLOOKUP(B768,'Growthrates source'!A$2:H$49,8,FALSE)</f>
        <v>-3.1578929217935259E-2</v>
      </c>
      <c r="AP768" s="93">
        <f>VLOOKUP(B768,'Growthrates source'!A$2:I$49,9,FALSE)</f>
        <v>1.4876976840610734E-2</v>
      </c>
      <c r="AQ768" s="86">
        <f t="shared" si="291"/>
        <v>953.22885081483423</v>
      </c>
      <c r="AR768" s="86">
        <f t="shared" si="292"/>
        <v>851.15248558615679</v>
      </c>
      <c r="AS768" s="94">
        <f t="shared" si="293"/>
        <v>0</v>
      </c>
      <c r="AT768" s="94">
        <f t="shared" si="294"/>
        <v>0.52165409206874302</v>
      </c>
      <c r="AU768" s="94">
        <f t="shared" si="260"/>
        <v>0.58002694699120738</v>
      </c>
      <c r="AV768" s="94">
        <f t="shared" si="261"/>
        <v>0.58002694699120738</v>
      </c>
    </row>
    <row r="769" spans="1:48" x14ac:dyDescent="0.3">
      <c r="A769" s="85" t="str">
        <f>_xlfn.XLOOKUP(B769,'Country codes &amp; Data sources'!G:G,'Country codes &amp; Data sources'!H:H,,0)</f>
        <v>Chad</v>
      </c>
      <c r="B769" s="85" t="s">
        <v>169</v>
      </c>
      <c r="C769" s="86">
        <v>12754918</v>
      </c>
      <c r="D769" s="85" t="s">
        <v>206</v>
      </c>
      <c r="E769" s="87">
        <v>0</v>
      </c>
      <c r="F769" s="88">
        <v>13216766.5</v>
      </c>
      <c r="G769" s="87">
        <v>0</v>
      </c>
      <c r="I769" s="87">
        <v>0</v>
      </c>
      <c r="K769" s="87">
        <v>0</v>
      </c>
      <c r="M769" s="87">
        <v>0</v>
      </c>
      <c r="O769" s="87">
        <v>0</v>
      </c>
      <c r="P769" s="88">
        <v>15604210</v>
      </c>
      <c r="Q769" s="87">
        <v>0</v>
      </c>
      <c r="R769" s="87">
        <f t="shared" si="279"/>
        <v>42</v>
      </c>
      <c r="T769" s="87">
        <v>0</v>
      </c>
      <c r="V769" s="87">
        <v>0</v>
      </c>
      <c r="X769" s="87">
        <v>104</v>
      </c>
      <c r="Y769" s="88">
        <v>17723314.500000004</v>
      </c>
      <c r="Z769" s="87">
        <v>104</v>
      </c>
      <c r="AA769" s="87">
        <v>42</v>
      </c>
      <c r="AB769" s="89">
        <f t="shared" si="280"/>
        <v>0</v>
      </c>
      <c r="AC769" s="89">
        <f t="shared" si="281"/>
        <v>0</v>
      </c>
      <c r="AD769" s="89">
        <f t="shared" si="282"/>
        <v>104</v>
      </c>
      <c r="AF769" s="90" t="str">
        <f t="shared" si="283"/>
        <v/>
      </c>
      <c r="AG769" s="90">
        <f t="shared" si="284"/>
        <v>42</v>
      </c>
      <c r="AH769" s="90" t="str">
        <f t="shared" si="285"/>
        <v>2018 (triag)</v>
      </c>
      <c r="AI769" s="90">
        <f t="shared" si="286"/>
        <v>104</v>
      </c>
      <c r="AJ769" s="90">
        <f t="shared" si="287"/>
        <v>2021</v>
      </c>
      <c r="AK769" s="90" t="str">
        <f t="shared" si="288"/>
        <v/>
      </c>
      <c r="AL769" s="91">
        <f>IF(AK769="Adjust",(_xlfn.XLOOKUP(A769,'Adj factor'!A:A,'Adj factor'!I:I,,0)*AI769),'Master DataSheet (Rev)'!AI769)</f>
        <v>104</v>
      </c>
      <c r="AM769" s="91">
        <f t="shared" si="289"/>
        <v>104</v>
      </c>
      <c r="AN769" s="92" t="str">
        <f t="shared" si="290"/>
        <v>Increasing</v>
      </c>
      <c r="AO769" s="93">
        <f>VLOOKUP(B769,'Growthrates source'!A$2:H$49,8,FALSE)</f>
        <v>-3.1578929217935259E-2</v>
      </c>
      <c r="AP769" s="93">
        <f>VLOOKUP(B769,'Growthrates source'!A$2:I$49,9,FALSE)</f>
        <v>1.4876976840610734E-2</v>
      </c>
      <c r="AQ769" s="86">
        <f t="shared" si="291"/>
        <v>49.183798199291203</v>
      </c>
      <c r="AR769" s="86">
        <f t="shared" si="292"/>
        <v>43.916958715747647</v>
      </c>
      <c r="AS769" s="94">
        <f t="shared" si="293"/>
        <v>0</v>
      </c>
      <c r="AT769" s="94">
        <f t="shared" si="294"/>
        <v>2.6915813104284037E-2</v>
      </c>
      <c r="AU769" s="94">
        <f t="shared" si="260"/>
        <v>5.8679768956308921E-2</v>
      </c>
      <c r="AV769" s="94">
        <f t="shared" si="261"/>
        <v>5.8679768956308921E-2</v>
      </c>
    </row>
    <row r="770" spans="1:48" x14ac:dyDescent="0.3">
      <c r="A770" s="85" t="str">
        <f>_xlfn.XLOOKUP(B770,'Country codes &amp; Data sources'!G:G,'Country codes &amp; Data sources'!H:H,,0)</f>
        <v>Chad</v>
      </c>
      <c r="B770" s="85" t="s">
        <v>169</v>
      </c>
      <c r="C770" s="86">
        <v>12754919</v>
      </c>
      <c r="D770" s="85" t="s">
        <v>136</v>
      </c>
      <c r="E770" s="87">
        <v>0</v>
      </c>
      <c r="F770" s="88">
        <v>13216766.5</v>
      </c>
      <c r="G770" s="87">
        <v>0</v>
      </c>
      <c r="I770" s="87">
        <v>0</v>
      </c>
      <c r="K770" s="87">
        <v>0</v>
      </c>
      <c r="M770" s="87">
        <v>0</v>
      </c>
      <c r="O770" s="87">
        <v>0</v>
      </c>
      <c r="P770" s="88">
        <v>15604210</v>
      </c>
      <c r="Q770" s="87">
        <v>0</v>
      </c>
      <c r="R770" s="87">
        <f t="shared" si="279"/>
        <v>25</v>
      </c>
      <c r="T770" s="87">
        <v>48</v>
      </c>
      <c r="V770" s="87">
        <v>0</v>
      </c>
      <c r="X770" s="87">
        <v>0</v>
      </c>
      <c r="Y770" s="88">
        <v>17723314.500000004</v>
      </c>
      <c r="Z770" s="87">
        <v>0</v>
      </c>
      <c r="AA770" s="87">
        <v>25</v>
      </c>
      <c r="AB770" s="89">
        <f t="shared" si="280"/>
        <v>0</v>
      </c>
      <c r="AC770" s="89">
        <f t="shared" si="281"/>
        <v>48</v>
      </c>
      <c r="AD770" s="89">
        <f t="shared" si="282"/>
        <v>0</v>
      </c>
      <c r="AF770" s="90" t="str">
        <f t="shared" si="283"/>
        <v/>
      </c>
      <c r="AG770" s="90">
        <f t="shared" si="284"/>
        <v>25</v>
      </c>
      <c r="AH770" s="90" t="str">
        <f t="shared" si="285"/>
        <v>2018 (triag)</v>
      </c>
      <c r="AI770" s="90">
        <f t="shared" si="286"/>
        <v>48</v>
      </c>
      <c r="AJ770" s="90" t="str">
        <f t="shared" si="287"/>
        <v>2018 (triag)</v>
      </c>
      <c r="AK770" s="90" t="str">
        <f t="shared" si="288"/>
        <v/>
      </c>
      <c r="AL770" s="91">
        <f>IF(AK770="Adjust",(_xlfn.XLOOKUP(A770,'Adj factor'!A:A,'Adj factor'!I:I,,0)*AI770),'Master DataSheet (Rev)'!AI770)</f>
        <v>48</v>
      </c>
      <c r="AM770" s="91">
        <f t="shared" si="289"/>
        <v>48</v>
      </c>
      <c r="AN770" s="92" t="str">
        <f t="shared" si="290"/>
        <v>Increasing</v>
      </c>
      <c r="AO770" s="93">
        <f>VLOOKUP(B770,'Growthrates source'!A$2:H$49,8,FALSE)</f>
        <v>-3.1578929217935259E-2</v>
      </c>
      <c r="AP770" s="93">
        <f>VLOOKUP(B770,'Growthrates source'!A$2:I$49,9,FALSE)</f>
        <v>1.4876976840610734E-2</v>
      </c>
      <c r="AQ770" s="86">
        <f t="shared" si="291"/>
        <v>29.276070356720954</v>
      </c>
      <c r="AR770" s="86">
        <f t="shared" si="292"/>
        <v>26.141046854611695</v>
      </c>
      <c r="AS770" s="94">
        <f t="shared" si="293"/>
        <v>0</v>
      </c>
      <c r="AT770" s="94">
        <f t="shared" si="294"/>
        <v>1.6021317323978594E-2</v>
      </c>
      <c r="AU770" s="94">
        <f t="shared" si="260"/>
        <v>2.7082970287527194E-2</v>
      </c>
      <c r="AV770" s="94">
        <f t="shared" si="261"/>
        <v>2.7082970287527194E-2</v>
      </c>
    </row>
    <row r="771" spans="1:48" x14ac:dyDescent="0.3">
      <c r="A771" s="85" t="str">
        <f>_xlfn.XLOOKUP(B771,'Country codes &amp; Data sources'!G:G,'Country codes &amp; Data sources'!H:H,,0)</f>
        <v>Chad</v>
      </c>
      <c r="B771" s="85" t="s">
        <v>169</v>
      </c>
      <c r="C771" s="86">
        <v>12754920</v>
      </c>
      <c r="D771" s="85" t="s">
        <v>207</v>
      </c>
      <c r="E771" s="87">
        <v>0</v>
      </c>
      <c r="F771" s="88">
        <v>13216766.5</v>
      </c>
      <c r="G771" s="87">
        <v>0</v>
      </c>
      <c r="I771" s="87">
        <v>0</v>
      </c>
      <c r="K771" s="87">
        <v>0</v>
      </c>
      <c r="M771" s="87">
        <v>0</v>
      </c>
      <c r="O771" s="87">
        <v>0</v>
      </c>
      <c r="P771" s="88">
        <v>15604210</v>
      </c>
      <c r="Q771" s="87">
        <v>0</v>
      </c>
      <c r="R771" s="87">
        <f t="shared" si="279"/>
        <v>6</v>
      </c>
      <c r="T771" s="87">
        <v>0</v>
      </c>
      <c r="V771" s="87">
        <v>0</v>
      </c>
      <c r="X771" s="87">
        <v>0</v>
      </c>
      <c r="Y771" s="88">
        <v>17723314.500000004</v>
      </c>
      <c r="Z771" s="87">
        <v>0</v>
      </c>
      <c r="AA771" s="87">
        <v>6</v>
      </c>
      <c r="AB771" s="89">
        <f t="shared" si="280"/>
        <v>0</v>
      </c>
      <c r="AC771" s="89">
        <f t="shared" si="281"/>
        <v>0</v>
      </c>
      <c r="AD771" s="89">
        <f t="shared" si="282"/>
        <v>0</v>
      </c>
      <c r="AF771" s="90" t="str">
        <f t="shared" si="283"/>
        <v/>
      </c>
      <c r="AG771" s="90">
        <f t="shared" si="284"/>
        <v>6</v>
      </c>
      <c r="AH771" s="90" t="str">
        <f t="shared" si="285"/>
        <v>2018 (triag)</v>
      </c>
      <c r="AI771" s="90">
        <f t="shared" si="286"/>
        <v>6</v>
      </c>
      <c r="AJ771" s="90" t="str">
        <f t="shared" si="287"/>
        <v>2018 (triag)</v>
      </c>
      <c r="AK771" s="90" t="str">
        <f t="shared" si="288"/>
        <v/>
      </c>
      <c r="AL771" s="91">
        <f>IF(AK771="Adjust",(_xlfn.XLOOKUP(A771,'Adj factor'!A:A,'Adj factor'!I:I,,0)*AI771),'Master DataSheet (Rev)'!AI771)</f>
        <v>6</v>
      </c>
      <c r="AM771" s="91">
        <f t="shared" si="289"/>
        <v>6</v>
      </c>
      <c r="AN771" s="92" t="str">
        <f t="shared" si="290"/>
        <v>No change</v>
      </c>
      <c r="AO771" s="93">
        <f>VLOOKUP(B771,'Growthrates source'!A$2:H$49,8,FALSE)</f>
        <v>-3.1578929217935259E-2</v>
      </c>
      <c r="AP771" s="93">
        <f>VLOOKUP(B771,'Growthrates source'!A$2:I$49,9,FALSE)</f>
        <v>1.4876976840610734E-2</v>
      </c>
      <c r="AQ771" s="86">
        <f t="shared" si="291"/>
        <v>7.0262568856130283</v>
      </c>
      <c r="AR771" s="86">
        <f t="shared" si="292"/>
        <v>6.2738512451068065</v>
      </c>
      <c r="AS771" s="94">
        <f t="shared" si="293"/>
        <v>0</v>
      </c>
      <c r="AT771" s="94">
        <f t="shared" si="294"/>
        <v>3.8451161577548621E-3</v>
      </c>
      <c r="AU771" s="94">
        <f t="shared" ref="AU771:AU834" si="296">(AL771*10000)/Y771</f>
        <v>3.3853712859408993E-3</v>
      </c>
      <c r="AV771" s="94">
        <f t="shared" ref="AV771:AV834" si="297">(AM771*10000)/Y771</f>
        <v>3.3853712859408993E-3</v>
      </c>
    </row>
    <row r="772" spans="1:48" x14ac:dyDescent="0.3">
      <c r="A772" s="85" t="str">
        <f>_xlfn.XLOOKUP(B772,'Country codes &amp; Data sources'!G:G,'Country codes &amp; Data sources'!H:H,,0)</f>
        <v>Chad</v>
      </c>
      <c r="B772" s="85" t="s">
        <v>169</v>
      </c>
      <c r="C772" s="86">
        <v>12754921</v>
      </c>
      <c r="D772" s="85" t="s">
        <v>141</v>
      </c>
      <c r="E772" s="87">
        <v>0</v>
      </c>
      <c r="F772" s="88">
        <v>13216766.5</v>
      </c>
      <c r="G772" s="87">
        <v>0</v>
      </c>
      <c r="I772" s="87">
        <v>0</v>
      </c>
      <c r="K772" s="87">
        <v>0</v>
      </c>
      <c r="M772" s="87">
        <v>0</v>
      </c>
      <c r="O772" s="87">
        <v>0</v>
      </c>
      <c r="P772" s="88">
        <v>15604210</v>
      </c>
      <c r="Q772" s="87">
        <v>0</v>
      </c>
      <c r="R772" s="87">
        <f t="shared" si="279"/>
        <v>6</v>
      </c>
      <c r="T772" s="87">
        <v>50</v>
      </c>
      <c r="V772" s="87">
        <v>1</v>
      </c>
      <c r="X772" s="87">
        <v>0</v>
      </c>
      <c r="Y772" s="88">
        <v>17723314.500000004</v>
      </c>
      <c r="Z772" s="87">
        <v>0</v>
      </c>
      <c r="AA772" s="87">
        <v>6</v>
      </c>
      <c r="AB772" s="89">
        <f t="shared" si="280"/>
        <v>0</v>
      </c>
      <c r="AC772" s="89">
        <f t="shared" si="281"/>
        <v>50</v>
      </c>
      <c r="AD772" s="89">
        <f t="shared" si="282"/>
        <v>1</v>
      </c>
      <c r="AF772" s="90" t="str">
        <f t="shared" si="283"/>
        <v/>
      </c>
      <c r="AG772" s="90">
        <f t="shared" si="284"/>
        <v>6</v>
      </c>
      <c r="AH772" s="90" t="str">
        <f t="shared" si="285"/>
        <v>2018 (triag)</v>
      </c>
      <c r="AI772" s="90">
        <f t="shared" si="286"/>
        <v>1</v>
      </c>
      <c r="AJ772" s="90">
        <f t="shared" si="287"/>
        <v>2020</v>
      </c>
      <c r="AK772" s="90" t="str">
        <f t="shared" si="288"/>
        <v>Adjust</v>
      </c>
      <c r="AL772" s="91">
        <f>IF(AK772="Adjust",(_xlfn.XLOOKUP(A772,'Adj factor'!A:A,'Adj factor'!I:I,,0)*AI772),'Master DataSheet (Rev)'!AI772)</f>
        <v>1.1548420507509063</v>
      </c>
      <c r="AM772" s="91">
        <f t="shared" si="289"/>
        <v>6</v>
      </c>
      <c r="AN772" s="92" t="str">
        <f t="shared" si="290"/>
        <v>Decreasing</v>
      </c>
      <c r="AO772" s="93">
        <f>VLOOKUP(B772,'Growthrates source'!A$2:H$49,8,FALSE)</f>
        <v>-3.1578929217935259E-2</v>
      </c>
      <c r="AP772" s="93">
        <f>VLOOKUP(B772,'Growthrates source'!A$2:I$49,9,FALSE)</f>
        <v>1.4876976840610734E-2</v>
      </c>
      <c r="AQ772" s="86">
        <f t="shared" si="291"/>
        <v>7.0262568856130283</v>
      </c>
      <c r="AR772" s="86">
        <f t="shared" si="292"/>
        <v>6.2738512451068065</v>
      </c>
      <c r="AS772" s="94">
        <f t="shared" si="293"/>
        <v>0</v>
      </c>
      <c r="AT772" s="94">
        <f t="shared" si="294"/>
        <v>3.8451161577548621E-3</v>
      </c>
      <c r="AU772" s="94">
        <f t="shared" si="296"/>
        <v>6.5159485306820356E-4</v>
      </c>
      <c r="AV772" s="94">
        <f t="shared" si="297"/>
        <v>3.3853712859408993E-3</v>
      </c>
    </row>
    <row r="773" spans="1:48" x14ac:dyDescent="0.3">
      <c r="A773" s="85" t="str">
        <f>_xlfn.XLOOKUP(B773,'Country codes &amp; Data sources'!G:G,'Country codes &amp; Data sources'!H:H,,0)</f>
        <v>Chad</v>
      </c>
      <c r="B773" s="85" t="s">
        <v>169</v>
      </c>
      <c r="C773" s="86">
        <v>12754922</v>
      </c>
      <c r="D773" s="85" t="s">
        <v>208</v>
      </c>
      <c r="E773" s="87">
        <v>0</v>
      </c>
      <c r="F773" s="88">
        <v>13216766.5</v>
      </c>
      <c r="G773" s="87">
        <v>0</v>
      </c>
      <c r="I773" s="87">
        <v>0</v>
      </c>
      <c r="K773" s="87">
        <v>0</v>
      </c>
      <c r="M773" s="87">
        <v>0</v>
      </c>
      <c r="O773" s="87">
        <v>0</v>
      </c>
      <c r="P773" s="88">
        <v>15604210</v>
      </c>
      <c r="Q773" s="87">
        <v>0</v>
      </c>
      <c r="R773" s="87">
        <f t="shared" si="279"/>
        <v>436</v>
      </c>
      <c r="T773" s="87">
        <v>6</v>
      </c>
      <c r="V773" s="87">
        <v>0</v>
      </c>
      <c r="X773" s="87">
        <v>0</v>
      </c>
      <c r="Y773" s="88">
        <v>17723314.500000004</v>
      </c>
      <c r="Z773" s="87">
        <v>0</v>
      </c>
      <c r="AA773" s="87">
        <v>436</v>
      </c>
      <c r="AB773" s="89">
        <f t="shared" si="280"/>
        <v>0</v>
      </c>
      <c r="AC773" s="89">
        <f t="shared" si="281"/>
        <v>6</v>
      </c>
      <c r="AD773" s="89">
        <f t="shared" si="282"/>
        <v>0</v>
      </c>
      <c r="AF773" s="90" t="str">
        <f t="shared" si="283"/>
        <v/>
      </c>
      <c r="AG773" s="90">
        <f t="shared" si="284"/>
        <v>436</v>
      </c>
      <c r="AH773" s="90" t="str">
        <f t="shared" si="285"/>
        <v>2018 (triag)</v>
      </c>
      <c r="AI773" s="90">
        <f t="shared" si="286"/>
        <v>6</v>
      </c>
      <c r="AJ773" s="90" t="str">
        <f t="shared" si="287"/>
        <v>2018 (triag)</v>
      </c>
      <c r="AK773" s="90" t="str">
        <f t="shared" si="288"/>
        <v>Adjust</v>
      </c>
      <c r="AL773" s="91">
        <f>IF(AK773="Adjust",(_xlfn.XLOOKUP(A773,'Adj factor'!A:A,'Adj factor'!I:I,,0)*AI773),'Master DataSheet (Rev)'!AI773)</f>
        <v>6.9290523045054382</v>
      </c>
      <c r="AM773" s="91">
        <f t="shared" si="289"/>
        <v>436</v>
      </c>
      <c r="AN773" s="92" t="str">
        <f t="shared" si="290"/>
        <v>Decreasing</v>
      </c>
      <c r="AO773" s="93">
        <f>VLOOKUP(B773,'Growthrates source'!A$2:H$49,8,FALSE)</f>
        <v>-3.1578929217935259E-2</v>
      </c>
      <c r="AP773" s="93">
        <f>VLOOKUP(B773,'Growthrates source'!A$2:I$49,9,FALSE)</f>
        <v>1.4876976840610734E-2</v>
      </c>
      <c r="AQ773" s="86">
        <f t="shared" si="291"/>
        <v>510.57466702121343</v>
      </c>
      <c r="AR773" s="86">
        <f t="shared" si="292"/>
        <v>455.89985714442793</v>
      </c>
      <c r="AS773" s="94">
        <f t="shared" si="293"/>
        <v>0</v>
      </c>
      <c r="AT773" s="94">
        <f t="shared" si="294"/>
        <v>0.27941177413018664</v>
      </c>
      <c r="AU773" s="94">
        <f t="shared" si="296"/>
        <v>3.9095691184092207E-3</v>
      </c>
      <c r="AV773" s="94">
        <f t="shared" si="297"/>
        <v>0.24600364677837203</v>
      </c>
    </row>
    <row r="774" spans="1:48" x14ac:dyDescent="0.3">
      <c r="A774" s="85" t="str">
        <f>_xlfn.XLOOKUP(B774,'Country codes &amp; Data sources'!G:G,'Country codes &amp; Data sources'!H:H,,0)</f>
        <v>Chad</v>
      </c>
      <c r="B774" s="85" t="s">
        <v>169</v>
      </c>
      <c r="C774" s="86">
        <v>12754923</v>
      </c>
      <c r="D774" s="85" t="s">
        <v>209</v>
      </c>
      <c r="E774" s="87">
        <v>0</v>
      </c>
      <c r="F774" s="88">
        <v>13216766.5</v>
      </c>
      <c r="G774" s="87">
        <v>0</v>
      </c>
      <c r="I774" s="87">
        <v>0</v>
      </c>
      <c r="K774" s="87">
        <v>0</v>
      </c>
      <c r="M774" s="87">
        <v>0</v>
      </c>
      <c r="O774" s="87">
        <v>0</v>
      </c>
      <c r="P774" s="88">
        <v>15604210</v>
      </c>
      <c r="Q774" s="87">
        <v>0</v>
      </c>
      <c r="R774" s="87">
        <f t="shared" si="279"/>
        <v>90</v>
      </c>
      <c r="T774" s="87">
        <v>791</v>
      </c>
      <c r="V774" s="87">
        <v>0</v>
      </c>
      <c r="X774" s="87">
        <v>0</v>
      </c>
      <c r="Y774" s="88">
        <v>17723314.500000004</v>
      </c>
      <c r="Z774" s="87">
        <v>0</v>
      </c>
      <c r="AA774" s="87">
        <v>90</v>
      </c>
      <c r="AB774" s="89">
        <f t="shared" si="280"/>
        <v>0</v>
      </c>
      <c r="AC774" s="89">
        <f t="shared" si="281"/>
        <v>791</v>
      </c>
      <c r="AD774" s="89">
        <f t="shared" si="282"/>
        <v>0</v>
      </c>
      <c r="AF774" s="90" t="str">
        <f t="shared" si="283"/>
        <v/>
      </c>
      <c r="AG774" s="90">
        <f t="shared" si="284"/>
        <v>90</v>
      </c>
      <c r="AH774" s="90" t="str">
        <f t="shared" si="285"/>
        <v>2018 (triag)</v>
      </c>
      <c r="AI774" s="90">
        <f t="shared" si="286"/>
        <v>791</v>
      </c>
      <c r="AJ774" s="90" t="str">
        <f t="shared" si="287"/>
        <v>2018 (triag)</v>
      </c>
      <c r="AK774" s="90" t="str">
        <f t="shared" si="288"/>
        <v/>
      </c>
      <c r="AL774" s="91">
        <f>IF(AK774="Adjust",(_xlfn.XLOOKUP(A774,'Adj factor'!A:A,'Adj factor'!I:I,,0)*AI774),'Master DataSheet (Rev)'!AI774)</f>
        <v>791</v>
      </c>
      <c r="AM774" s="91">
        <f t="shared" si="289"/>
        <v>791</v>
      </c>
      <c r="AN774" s="92" t="str">
        <f t="shared" si="290"/>
        <v>Increasing</v>
      </c>
      <c r="AO774" s="93">
        <f>VLOOKUP(B774,'Growthrates source'!A$2:H$49,8,FALSE)</f>
        <v>-3.1578929217935259E-2</v>
      </c>
      <c r="AP774" s="93">
        <f>VLOOKUP(B774,'Growthrates source'!A$2:I$49,9,FALSE)</f>
        <v>1.4876976840610734E-2</v>
      </c>
      <c r="AQ774" s="86">
        <f t="shared" si="291"/>
        <v>105.39385328419543</v>
      </c>
      <c r="AR774" s="86">
        <f t="shared" si="292"/>
        <v>94.107768676602092</v>
      </c>
      <c r="AS774" s="94">
        <f t="shared" si="293"/>
        <v>0</v>
      </c>
      <c r="AT774" s="94">
        <f t="shared" si="294"/>
        <v>5.7676742366322933E-2</v>
      </c>
      <c r="AU774" s="94">
        <f t="shared" si="296"/>
        <v>0.44630478119654188</v>
      </c>
      <c r="AV774" s="94">
        <f t="shared" si="297"/>
        <v>0.44630478119654188</v>
      </c>
    </row>
    <row r="775" spans="1:48" x14ac:dyDescent="0.3">
      <c r="A775" s="85" t="str">
        <f>_xlfn.XLOOKUP(B775,'Country codes &amp; Data sources'!G:G,'Country codes &amp; Data sources'!H:H,,0)</f>
        <v>Chad</v>
      </c>
      <c r="B775" s="85" t="s">
        <v>169</v>
      </c>
      <c r="C775" s="86">
        <v>12754924</v>
      </c>
      <c r="D775" s="85" t="s">
        <v>134</v>
      </c>
      <c r="E775" s="87">
        <v>0</v>
      </c>
      <c r="F775" s="88">
        <v>13216766.5</v>
      </c>
      <c r="G775" s="87">
        <v>0</v>
      </c>
      <c r="I775" s="87">
        <v>0</v>
      </c>
      <c r="K775" s="87">
        <v>0</v>
      </c>
      <c r="M775" s="87">
        <v>0</v>
      </c>
      <c r="O775" s="87">
        <v>0</v>
      </c>
      <c r="P775" s="88">
        <v>15604210</v>
      </c>
      <c r="Q775" s="87">
        <v>0</v>
      </c>
      <c r="R775" s="87">
        <f t="shared" si="279"/>
        <v>749</v>
      </c>
      <c r="T775" s="87">
        <v>0</v>
      </c>
      <c r="V775" s="87">
        <v>0</v>
      </c>
      <c r="X775" s="87">
        <v>848</v>
      </c>
      <c r="Y775" s="88">
        <v>17723314.500000004</v>
      </c>
      <c r="Z775" s="87">
        <v>1028</v>
      </c>
      <c r="AA775" s="87">
        <v>749</v>
      </c>
      <c r="AB775" s="89">
        <f t="shared" si="280"/>
        <v>0</v>
      </c>
      <c r="AC775" s="89">
        <f t="shared" si="281"/>
        <v>0</v>
      </c>
      <c r="AD775" s="89">
        <f t="shared" si="282"/>
        <v>1028</v>
      </c>
      <c r="AF775" s="90" t="str">
        <f t="shared" si="283"/>
        <v/>
      </c>
      <c r="AG775" s="90">
        <f t="shared" si="284"/>
        <v>749</v>
      </c>
      <c r="AH775" s="90" t="str">
        <f t="shared" si="285"/>
        <v>2018 (triag)</v>
      </c>
      <c r="AI775" s="90">
        <f t="shared" si="286"/>
        <v>1028</v>
      </c>
      <c r="AJ775" s="90">
        <f t="shared" si="287"/>
        <v>2022</v>
      </c>
      <c r="AK775" s="90" t="str">
        <f t="shared" si="288"/>
        <v/>
      </c>
      <c r="AL775" s="91">
        <f>IF(AK775="Adjust",(_xlfn.XLOOKUP(A775,'Adj factor'!A:A,'Adj factor'!I:I,,0)*AI775),'Master DataSheet (Rev)'!AI775)</f>
        <v>1028</v>
      </c>
      <c r="AM775" s="91">
        <f t="shared" si="289"/>
        <v>1028</v>
      </c>
      <c r="AN775" s="92" t="str">
        <f t="shared" si="290"/>
        <v>Increasing</v>
      </c>
      <c r="AO775" s="93">
        <f>VLOOKUP(B775,'Growthrates source'!A$2:H$49,8,FALSE)</f>
        <v>-3.1578929217935259E-2</v>
      </c>
      <c r="AP775" s="93">
        <f>VLOOKUP(B775,'Growthrates source'!A$2:I$49,9,FALSE)</f>
        <v>1.4876976840610734E-2</v>
      </c>
      <c r="AQ775" s="86">
        <f t="shared" si="291"/>
        <v>877.1110678873597</v>
      </c>
      <c r="AR775" s="86">
        <f t="shared" si="292"/>
        <v>783.18576376416638</v>
      </c>
      <c r="AS775" s="94">
        <f t="shared" si="293"/>
        <v>0</v>
      </c>
      <c r="AT775" s="94">
        <f t="shared" si="294"/>
        <v>0.47999866702639865</v>
      </c>
      <c r="AU775" s="94">
        <f t="shared" si="296"/>
        <v>0.58002694699120738</v>
      </c>
      <c r="AV775" s="94">
        <f t="shared" si="297"/>
        <v>0.58002694699120738</v>
      </c>
    </row>
    <row r="776" spans="1:48" x14ac:dyDescent="0.3">
      <c r="A776" s="85" t="str">
        <f>_xlfn.XLOOKUP(B776,'Country codes &amp; Data sources'!G:G,'Country codes &amp; Data sources'!H:H,,0)</f>
        <v>Chad</v>
      </c>
      <c r="B776" s="85" t="s">
        <v>169</v>
      </c>
      <c r="C776" s="86">
        <v>12754925</v>
      </c>
      <c r="D776" s="85" t="s">
        <v>142</v>
      </c>
      <c r="E776" s="87">
        <v>0</v>
      </c>
      <c r="F776" s="88">
        <v>13216766.5</v>
      </c>
      <c r="G776" s="87">
        <v>0</v>
      </c>
      <c r="I776" s="87">
        <v>0</v>
      </c>
      <c r="K776" s="87">
        <v>0</v>
      </c>
      <c r="M776" s="87">
        <v>0</v>
      </c>
      <c r="O776" s="87">
        <v>0</v>
      </c>
      <c r="P776" s="88">
        <v>15604210</v>
      </c>
      <c r="Q776" s="87">
        <v>0</v>
      </c>
      <c r="R776" s="87">
        <f t="shared" si="279"/>
        <v>0</v>
      </c>
      <c r="T776" s="87">
        <v>0</v>
      </c>
      <c r="V776" s="87">
        <v>0</v>
      </c>
      <c r="X776" s="87">
        <v>0</v>
      </c>
      <c r="Y776" s="88">
        <v>17723314.500000004</v>
      </c>
      <c r="Z776" s="87">
        <v>0</v>
      </c>
      <c r="AA776" s="87">
        <v>0</v>
      </c>
      <c r="AB776" s="89">
        <f t="shared" si="280"/>
        <v>0</v>
      </c>
      <c r="AC776" s="89">
        <f t="shared" si="281"/>
        <v>0</v>
      </c>
      <c r="AD776" s="89">
        <f t="shared" si="282"/>
        <v>0</v>
      </c>
      <c r="AF776" s="90" t="str">
        <f t="shared" si="283"/>
        <v/>
      </c>
      <c r="AH776" s="90" t="str">
        <f t="shared" si="285"/>
        <v/>
      </c>
      <c r="AI776" s="90">
        <f t="shared" si="286"/>
        <v>0</v>
      </c>
      <c r="AJ776" s="90" t="str">
        <f t="shared" si="287"/>
        <v/>
      </c>
      <c r="AK776" s="90" t="str">
        <f t="shared" si="288"/>
        <v/>
      </c>
      <c r="AL776" s="91"/>
      <c r="AM776" s="91">
        <f t="shared" si="289"/>
        <v>0</v>
      </c>
      <c r="AN776" s="92" t="str">
        <f t="shared" si="290"/>
        <v>No change</v>
      </c>
      <c r="AO776" s="93">
        <f>VLOOKUP(B776,'Growthrates source'!A$2:H$49,8,FALSE)</f>
        <v>-3.1578929217935259E-2</v>
      </c>
      <c r="AP776" s="93">
        <f>VLOOKUP(B776,'Growthrates source'!A$2:I$49,9,FALSE)</f>
        <v>1.4876976840610734E-2</v>
      </c>
      <c r="AQ776" s="86">
        <f t="shared" si="291"/>
        <v>0</v>
      </c>
      <c r="AR776" s="86">
        <f t="shared" si="292"/>
        <v>0</v>
      </c>
      <c r="AS776" s="94">
        <f t="shared" si="293"/>
        <v>0</v>
      </c>
      <c r="AT776" s="94">
        <f t="shared" si="294"/>
        <v>0</v>
      </c>
      <c r="AU776" s="94">
        <f t="shared" si="296"/>
        <v>0</v>
      </c>
      <c r="AV776" s="94">
        <f t="shared" si="297"/>
        <v>0</v>
      </c>
    </row>
    <row r="777" spans="1:48" x14ac:dyDescent="0.3">
      <c r="A777" s="85" t="str">
        <f>_xlfn.XLOOKUP(B777,'Country codes &amp; Data sources'!G:G,'Country codes &amp; Data sources'!H:H,,0)</f>
        <v>Chad</v>
      </c>
      <c r="B777" s="85" t="s">
        <v>169</v>
      </c>
      <c r="C777" s="86">
        <v>12754926</v>
      </c>
      <c r="D777" s="85" t="s">
        <v>83</v>
      </c>
      <c r="E777" s="87">
        <v>0</v>
      </c>
      <c r="F777" s="88">
        <v>13216766.5</v>
      </c>
      <c r="G777" s="87">
        <v>0</v>
      </c>
      <c r="I777" s="87">
        <v>0</v>
      </c>
      <c r="K777" s="87">
        <v>0</v>
      </c>
      <c r="M777" s="87">
        <v>0</v>
      </c>
      <c r="O777" s="87">
        <v>0</v>
      </c>
      <c r="P777" s="88">
        <v>15604210</v>
      </c>
      <c r="Q777" s="87">
        <v>0</v>
      </c>
      <c r="R777" s="87">
        <f t="shared" si="279"/>
        <v>2</v>
      </c>
      <c r="T777" s="87">
        <v>18</v>
      </c>
      <c r="V777" s="87">
        <v>0</v>
      </c>
      <c r="X777" s="87">
        <v>0</v>
      </c>
      <c r="Y777" s="88">
        <v>17723314.500000004</v>
      </c>
      <c r="Z777" s="87">
        <v>0</v>
      </c>
      <c r="AA777" s="87">
        <v>2</v>
      </c>
      <c r="AB777" s="89">
        <f t="shared" si="280"/>
        <v>0</v>
      </c>
      <c r="AC777" s="89">
        <f t="shared" si="281"/>
        <v>18</v>
      </c>
      <c r="AD777" s="89">
        <f t="shared" si="282"/>
        <v>0</v>
      </c>
      <c r="AF777" s="90" t="str">
        <f t="shared" si="283"/>
        <v/>
      </c>
      <c r="AG777" s="90">
        <f t="shared" si="284"/>
        <v>2</v>
      </c>
      <c r="AH777" s="90" t="str">
        <f t="shared" si="285"/>
        <v>2018 (triag)</v>
      </c>
      <c r="AI777" s="90">
        <f t="shared" si="286"/>
        <v>18</v>
      </c>
      <c r="AJ777" s="90" t="str">
        <f t="shared" si="287"/>
        <v>2018 (triag)</v>
      </c>
      <c r="AK777" s="90" t="str">
        <f t="shared" si="288"/>
        <v/>
      </c>
      <c r="AL777" s="91">
        <f>IF(AK777="Adjust",(_xlfn.XLOOKUP(A777,'Adj factor'!A:A,'Adj factor'!I:I,,0)*AI777),'Master DataSheet (Rev)'!AI777)</f>
        <v>18</v>
      </c>
      <c r="AM777" s="91">
        <f t="shared" si="289"/>
        <v>18</v>
      </c>
      <c r="AN777" s="92" t="str">
        <f t="shared" si="290"/>
        <v>Increasing</v>
      </c>
      <c r="AO777" s="93">
        <f>VLOOKUP(B777,'Growthrates source'!A$2:H$49,8,FALSE)</f>
        <v>-3.1578929217935259E-2</v>
      </c>
      <c r="AP777" s="93">
        <f>VLOOKUP(B777,'Growthrates source'!A$2:I$49,9,FALSE)</f>
        <v>1.4876976840610734E-2</v>
      </c>
      <c r="AQ777" s="86">
        <f t="shared" si="291"/>
        <v>2.3420856285376761</v>
      </c>
      <c r="AR777" s="86">
        <f t="shared" si="292"/>
        <v>2.0912837483689355</v>
      </c>
      <c r="AS777" s="94">
        <f t="shared" si="293"/>
        <v>0</v>
      </c>
      <c r="AT777" s="94">
        <f t="shared" si="294"/>
        <v>1.2817053859182875E-3</v>
      </c>
      <c r="AU777" s="94">
        <f t="shared" si="296"/>
        <v>1.0156113857822698E-2</v>
      </c>
      <c r="AV777" s="94">
        <f t="shared" si="297"/>
        <v>1.0156113857822698E-2</v>
      </c>
    </row>
    <row r="778" spans="1:48" x14ac:dyDescent="0.3">
      <c r="A778" s="85" t="str">
        <f>_xlfn.XLOOKUP(B778,'Country codes &amp; Data sources'!G:G,'Country codes &amp; Data sources'!H:H,,0)</f>
        <v>Chad</v>
      </c>
      <c r="B778" s="85" t="s">
        <v>169</v>
      </c>
      <c r="C778" s="86">
        <v>12754927</v>
      </c>
      <c r="D778" s="85" t="s">
        <v>84</v>
      </c>
      <c r="E778" s="87">
        <v>0</v>
      </c>
      <c r="F778" s="88">
        <v>13216766.5</v>
      </c>
      <c r="G778" s="87">
        <v>0</v>
      </c>
      <c r="I778" s="87">
        <v>0</v>
      </c>
      <c r="K778" s="87">
        <v>0</v>
      </c>
      <c r="M778" s="87">
        <v>0</v>
      </c>
      <c r="O778" s="87">
        <v>0</v>
      </c>
      <c r="P778" s="88">
        <v>15604210</v>
      </c>
      <c r="Q778" s="87">
        <v>0</v>
      </c>
      <c r="R778" s="87">
        <f t="shared" si="279"/>
        <v>0</v>
      </c>
      <c r="T778" s="87">
        <v>19</v>
      </c>
      <c r="V778" s="87">
        <v>0</v>
      </c>
      <c r="X778" s="87">
        <v>0</v>
      </c>
      <c r="Y778" s="88">
        <v>17723314.500000004</v>
      </c>
      <c r="Z778" s="87">
        <v>0</v>
      </c>
      <c r="AA778" s="87">
        <v>0</v>
      </c>
      <c r="AB778" s="89">
        <f t="shared" si="280"/>
        <v>0</v>
      </c>
      <c r="AC778" s="89">
        <f t="shared" si="281"/>
        <v>19</v>
      </c>
      <c r="AD778" s="89">
        <f t="shared" si="282"/>
        <v>0</v>
      </c>
      <c r="AF778" s="90" t="str">
        <f t="shared" si="283"/>
        <v/>
      </c>
      <c r="AG778" s="90">
        <f t="shared" si="284"/>
        <v>19</v>
      </c>
      <c r="AH778" s="90">
        <f t="shared" si="285"/>
        <v>2019</v>
      </c>
      <c r="AI778" s="90">
        <f t="shared" si="286"/>
        <v>19</v>
      </c>
      <c r="AJ778" s="90">
        <f t="shared" si="287"/>
        <v>2019</v>
      </c>
      <c r="AK778" s="90" t="str">
        <f t="shared" si="288"/>
        <v/>
      </c>
      <c r="AL778" s="91">
        <f>IF(AK778="Adjust",(_xlfn.XLOOKUP(A778,'Adj factor'!A:A,'Adj factor'!I:I,,0)*AI778),'Master DataSheet (Rev)'!AI778)</f>
        <v>19</v>
      </c>
      <c r="AM778" s="91">
        <f t="shared" si="289"/>
        <v>19</v>
      </c>
      <c r="AN778" s="92" t="str">
        <f t="shared" si="290"/>
        <v>No change</v>
      </c>
      <c r="AO778" s="93">
        <f>VLOOKUP(B778,'Growthrates source'!A$2:H$49,8,FALSE)</f>
        <v>-3.1578929217935259E-2</v>
      </c>
      <c r="AP778" s="93">
        <f>VLOOKUP(B778,'Growthrates source'!A$2:I$49,9,FALSE)</f>
        <v>1.4876976840610734E-2</v>
      </c>
      <c r="AQ778" s="86">
        <f t="shared" si="291"/>
        <v>0</v>
      </c>
      <c r="AR778" s="86">
        <f t="shared" si="292"/>
        <v>0</v>
      </c>
      <c r="AS778" s="94">
        <f t="shared" si="293"/>
        <v>0</v>
      </c>
      <c r="AT778" s="94">
        <f t="shared" si="294"/>
        <v>1.217620116622373E-2</v>
      </c>
      <c r="AU778" s="94">
        <f t="shared" si="296"/>
        <v>1.0720342405479515E-2</v>
      </c>
      <c r="AV778" s="94">
        <f t="shared" si="297"/>
        <v>1.0720342405479515E-2</v>
      </c>
    </row>
    <row r="779" spans="1:48" x14ac:dyDescent="0.3">
      <c r="A779" s="85" t="str">
        <f>_xlfn.XLOOKUP(B779,'Country codes &amp; Data sources'!G:G,'Country codes &amp; Data sources'!H:H,,0)</f>
        <v>Chad</v>
      </c>
      <c r="B779" s="85" t="s">
        <v>169</v>
      </c>
      <c r="C779" s="86">
        <v>12754928</v>
      </c>
      <c r="D779" s="85" t="s">
        <v>126</v>
      </c>
      <c r="E779" s="87">
        <v>0</v>
      </c>
      <c r="F779" s="88">
        <v>13216766.5</v>
      </c>
      <c r="G779" s="87">
        <v>0</v>
      </c>
      <c r="I779" s="87">
        <v>0</v>
      </c>
      <c r="K779" s="87">
        <v>0</v>
      </c>
      <c r="M779" s="87">
        <v>0</v>
      </c>
      <c r="O779" s="87">
        <v>0</v>
      </c>
      <c r="P779" s="88">
        <v>15604210</v>
      </c>
      <c r="Q779" s="87">
        <v>0</v>
      </c>
      <c r="R779" s="87">
        <f t="shared" si="279"/>
        <v>0</v>
      </c>
      <c r="T779" s="87">
        <v>0</v>
      </c>
      <c r="V779" s="87">
        <v>0</v>
      </c>
      <c r="X779" s="87">
        <v>0</v>
      </c>
      <c r="Y779" s="88">
        <v>17723314.500000004</v>
      </c>
      <c r="Z779" s="87">
        <v>0</v>
      </c>
      <c r="AA779" s="87">
        <v>0</v>
      </c>
      <c r="AB779" s="89">
        <f t="shared" si="280"/>
        <v>0</v>
      </c>
      <c r="AC779" s="89">
        <f t="shared" si="281"/>
        <v>0</v>
      </c>
      <c r="AD779" s="89">
        <f t="shared" si="282"/>
        <v>0</v>
      </c>
      <c r="AF779" s="90" t="str">
        <f t="shared" si="283"/>
        <v/>
      </c>
      <c r="AH779" s="90" t="str">
        <f t="shared" si="285"/>
        <v/>
      </c>
      <c r="AI779" s="90">
        <f t="shared" si="286"/>
        <v>0</v>
      </c>
      <c r="AJ779" s="90" t="str">
        <f t="shared" si="287"/>
        <v/>
      </c>
      <c r="AK779" s="90" t="str">
        <f t="shared" si="288"/>
        <v/>
      </c>
      <c r="AL779" s="91"/>
      <c r="AM779" s="91">
        <f t="shared" si="289"/>
        <v>0</v>
      </c>
      <c r="AN779" s="92" t="str">
        <f t="shared" si="290"/>
        <v>No change</v>
      </c>
      <c r="AO779" s="93">
        <f>VLOOKUP(B779,'Growthrates source'!A$2:H$49,8,FALSE)</f>
        <v>-3.1578929217935259E-2</v>
      </c>
      <c r="AP779" s="93">
        <f>VLOOKUP(B779,'Growthrates source'!A$2:I$49,9,FALSE)</f>
        <v>1.4876976840610734E-2</v>
      </c>
      <c r="AQ779" s="86">
        <f t="shared" si="291"/>
        <v>0</v>
      </c>
      <c r="AR779" s="86">
        <f t="shared" si="292"/>
        <v>0</v>
      </c>
      <c r="AS779" s="94">
        <f t="shared" si="293"/>
        <v>0</v>
      </c>
      <c r="AT779" s="94">
        <f t="shared" si="294"/>
        <v>0</v>
      </c>
      <c r="AU779" s="94">
        <f t="shared" si="296"/>
        <v>0</v>
      </c>
      <c r="AV779" s="94">
        <f t="shared" si="297"/>
        <v>0</v>
      </c>
    </row>
    <row r="780" spans="1:48" x14ac:dyDescent="0.3">
      <c r="A780" s="85" t="str">
        <f>_xlfn.XLOOKUP(B780,'Country codes &amp; Data sources'!G:G,'Country codes &amp; Data sources'!H:H,,0)</f>
        <v>Chad</v>
      </c>
      <c r="B780" s="85" t="s">
        <v>169</v>
      </c>
      <c r="C780" s="86">
        <v>12754929</v>
      </c>
      <c r="D780" s="85" t="s">
        <v>87</v>
      </c>
      <c r="E780" s="87">
        <v>0</v>
      </c>
      <c r="F780" s="88">
        <v>13216766.5</v>
      </c>
      <c r="G780" s="87">
        <v>0</v>
      </c>
      <c r="I780" s="87">
        <v>0</v>
      </c>
      <c r="K780" s="87">
        <v>0</v>
      </c>
      <c r="M780" s="87">
        <v>0</v>
      </c>
      <c r="O780" s="87">
        <v>0</v>
      </c>
      <c r="P780" s="88">
        <v>15604210</v>
      </c>
      <c r="Q780" s="87">
        <v>0</v>
      </c>
      <c r="R780" s="87">
        <f t="shared" si="279"/>
        <v>0</v>
      </c>
      <c r="T780" s="87">
        <v>0</v>
      </c>
      <c r="V780" s="87">
        <v>0</v>
      </c>
      <c r="X780" s="87">
        <v>0</v>
      </c>
      <c r="Y780" s="88">
        <v>17723314.500000004</v>
      </c>
      <c r="Z780" s="87">
        <v>21983</v>
      </c>
      <c r="AA780" s="87">
        <v>0</v>
      </c>
      <c r="AB780" s="89">
        <f t="shared" si="280"/>
        <v>0</v>
      </c>
      <c r="AC780" s="89">
        <f t="shared" si="281"/>
        <v>0</v>
      </c>
      <c r="AD780" s="89">
        <f t="shared" si="282"/>
        <v>21983</v>
      </c>
      <c r="AF780" s="90" t="str">
        <f t="shared" si="283"/>
        <v/>
      </c>
      <c r="AH780" s="90" t="str">
        <f t="shared" si="285"/>
        <v/>
      </c>
      <c r="AI780" s="90">
        <f t="shared" si="286"/>
        <v>21983</v>
      </c>
      <c r="AJ780" s="90">
        <f t="shared" si="287"/>
        <v>2022</v>
      </c>
      <c r="AK780" s="90" t="str">
        <f t="shared" si="288"/>
        <v/>
      </c>
      <c r="AL780" s="91">
        <f>IF(AK780="Adjust",(_xlfn.XLOOKUP(A780,'Adj factor'!A:A,'Adj factor'!I:I,,0)*AI780),'Master DataSheet (Rev)'!AI780)</f>
        <v>21983</v>
      </c>
      <c r="AM780" s="91">
        <f t="shared" si="289"/>
        <v>21983</v>
      </c>
      <c r="AN780" s="92" t="str">
        <f t="shared" si="290"/>
        <v>Increasing</v>
      </c>
      <c r="AO780" s="93">
        <f>VLOOKUP(B780,'Growthrates source'!A$2:H$49,8,FALSE)</f>
        <v>-3.1578929217935259E-2</v>
      </c>
      <c r="AP780" s="93">
        <f>VLOOKUP(B780,'Growthrates source'!A$2:I$49,9,FALSE)</f>
        <v>1.4876976840610734E-2</v>
      </c>
      <c r="AQ780" s="86">
        <f t="shared" si="291"/>
        <v>0</v>
      </c>
      <c r="AR780" s="86">
        <f t="shared" si="292"/>
        <v>0</v>
      </c>
      <c r="AS780" s="94">
        <f t="shared" si="293"/>
        <v>0</v>
      </c>
      <c r="AT780" s="94">
        <f t="shared" si="294"/>
        <v>0</v>
      </c>
      <c r="AU780" s="94">
        <f t="shared" si="296"/>
        <v>12.403436163139798</v>
      </c>
      <c r="AV780" s="94">
        <f t="shared" si="297"/>
        <v>12.403436163139798</v>
      </c>
    </row>
    <row r="781" spans="1:48" x14ac:dyDescent="0.3">
      <c r="A781" s="85" t="str">
        <f>_xlfn.XLOOKUP(B781,'Country codes &amp; Data sources'!G:G,'Country codes &amp; Data sources'!H:H,,0)</f>
        <v>Togo</v>
      </c>
      <c r="B781" s="85" t="s">
        <v>195</v>
      </c>
      <c r="C781" s="86">
        <v>6926639.5</v>
      </c>
      <c r="D781" s="85" t="s">
        <v>127</v>
      </c>
      <c r="E781" s="87">
        <v>0</v>
      </c>
      <c r="F781" s="88">
        <v>7106229</v>
      </c>
      <c r="G781" s="87">
        <v>0</v>
      </c>
      <c r="I781" s="87">
        <v>0</v>
      </c>
      <c r="K781" s="87">
        <v>0</v>
      </c>
      <c r="M781" s="87">
        <v>0</v>
      </c>
      <c r="O781" s="87">
        <v>7545</v>
      </c>
      <c r="P781" s="88">
        <v>8046679</v>
      </c>
      <c r="Q781" s="87">
        <v>7086</v>
      </c>
      <c r="R781" s="87">
        <f t="shared" si="279"/>
        <v>7500</v>
      </c>
      <c r="T781" s="87">
        <v>0</v>
      </c>
      <c r="V781" s="87">
        <v>7386</v>
      </c>
      <c r="X781" s="87">
        <v>7500</v>
      </c>
      <c r="Y781" s="88">
        <v>8848698.5000000019</v>
      </c>
      <c r="Z781" s="87">
        <v>0</v>
      </c>
      <c r="AA781" s="87">
        <v>7500</v>
      </c>
      <c r="AB781" s="89">
        <f t="shared" si="280"/>
        <v>0</v>
      </c>
      <c r="AC781" s="89">
        <f t="shared" si="281"/>
        <v>7545</v>
      </c>
      <c r="AD781" s="89">
        <f t="shared" si="282"/>
        <v>7500</v>
      </c>
      <c r="AF781" s="90" t="str">
        <f t="shared" si="283"/>
        <v/>
      </c>
      <c r="AG781" s="90">
        <f t="shared" si="284"/>
        <v>7500</v>
      </c>
      <c r="AH781" s="90" t="str">
        <f t="shared" si="285"/>
        <v>2018 (triag)</v>
      </c>
      <c r="AI781" s="90">
        <f t="shared" si="286"/>
        <v>7500</v>
      </c>
      <c r="AJ781" s="90">
        <f t="shared" si="287"/>
        <v>2021</v>
      </c>
      <c r="AK781" s="90" t="str">
        <f t="shared" si="288"/>
        <v/>
      </c>
      <c r="AL781" s="91">
        <f>IF(AK781="Adjust",(_xlfn.XLOOKUP(A781,'Adj factor'!A:A,'Adj factor'!I:I,,0)*AI781),'Master DataSheet (Rev)'!AI781)</f>
        <v>7500</v>
      </c>
      <c r="AM781" s="91">
        <f t="shared" si="289"/>
        <v>7500</v>
      </c>
      <c r="AN781" s="92" t="str">
        <f t="shared" si="290"/>
        <v>No change</v>
      </c>
      <c r="AO781" s="93">
        <f>VLOOKUP(B781,'Growthrates source'!A$2:H$49,8,FALSE)</f>
        <v>-1.0198610590244073E-2</v>
      </c>
      <c r="AP781" s="93">
        <f>VLOOKUP(B781,'Growthrates source'!A$2:I$49,9,FALSE)</f>
        <v>0.13933439758107946</v>
      </c>
      <c r="AQ781" s="86">
        <f t="shared" si="291"/>
        <v>7892.3668707759425</v>
      </c>
      <c r="AR781" s="86">
        <f t="shared" si="292"/>
        <v>11391.941429502709</v>
      </c>
      <c r="AS781" s="94">
        <f t="shared" si="293"/>
        <v>0</v>
      </c>
      <c r="AT781" s="94">
        <f t="shared" si="294"/>
        <v>9.3206153743674882</v>
      </c>
      <c r="AU781" s="94">
        <f t="shared" si="296"/>
        <v>8.4758227438758347</v>
      </c>
      <c r="AV781" s="94">
        <f t="shared" si="297"/>
        <v>8.4758227438758347</v>
      </c>
    </row>
    <row r="782" spans="1:48" x14ac:dyDescent="0.3">
      <c r="A782" s="85" t="str">
        <f>_xlfn.XLOOKUP(B782,'Country codes &amp; Data sources'!G:G,'Country codes &amp; Data sources'!H:H,,0)</f>
        <v>Togo</v>
      </c>
      <c r="B782" s="85" t="s">
        <v>195</v>
      </c>
      <c r="C782" s="86">
        <v>6926640.5</v>
      </c>
      <c r="D782" s="85" t="s">
        <v>61</v>
      </c>
      <c r="E782" s="87">
        <v>0</v>
      </c>
      <c r="F782" s="88">
        <v>7106229</v>
      </c>
      <c r="G782" s="87">
        <v>0</v>
      </c>
      <c r="I782" s="87">
        <v>0</v>
      </c>
      <c r="K782" s="87">
        <v>0</v>
      </c>
      <c r="M782" s="87">
        <v>0</v>
      </c>
      <c r="O782" s="87">
        <v>0</v>
      </c>
      <c r="P782" s="88">
        <v>8046679</v>
      </c>
      <c r="Q782" s="87">
        <v>0</v>
      </c>
      <c r="R782" s="87">
        <f t="shared" si="279"/>
        <v>12</v>
      </c>
      <c r="T782" s="87">
        <v>0</v>
      </c>
      <c r="V782" s="87">
        <v>0</v>
      </c>
      <c r="X782" s="87">
        <v>0</v>
      </c>
      <c r="Y782" s="88">
        <v>8848698.5000000019</v>
      </c>
      <c r="Z782" s="87">
        <v>0</v>
      </c>
      <c r="AA782" s="87">
        <v>12</v>
      </c>
      <c r="AB782" s="89">
        <f t="shared" si="280"/>
        <v>0</v>
      </c>
      <c r="AC782" s="89">
        <f t="shared" si="281"/>
        <v>0</v>
      </c>
      <c r="AD782" s="89">
        <f t="shared" si="282"/>
        <v>0</v>
      </c>
      <c r="AF782" s="90" t="str">
        <f t="shared" si="283"/>
        <v/>
      </c>
      <c r="AG782" s="90">
        <f t="shared" si="284"/>
        <v>12</v>
      </c>
      <c r="AH782" s="90" t="str">
        <f t="shared" si="285"/>
        <v>2018 (triag)</v>
      </c>
      <c r="AI782" s="90">
        <f t="shared" si="286"/>
        <v>12</v>
      </c>
      <c r="AJ782" s="90" t="str">
        <f t="shared" si="287"/>
        <v>2018 (triag)</v>
      </c>
      <c r="AK782" s="90" t="str">
        <f t="shared" si="288"/>
        <v/>
      </c>
      <c r="AL782" s="91">
        <f>IF(AK782="Adjust",(_xlfn.XLOOKUP(A782,'Adj factor'!A:A,'Adj factor'!I:I,,0)*AI782),'Master DataSheet (Rev)'!AI782)</f>
        <v>12</v>
      </c>
      <c r="AM782" s="91">
        <f t="shared" si="289"/>
        <v>12</v>
      </c>
      <c r="AN782" s="92" t="str">
        <f t="shared" si="290"/>
        <v>No change</v>
      </c>
      <c r="AO782" s="93">
        <f>VLOOKUP(B782,'Growthrates source'!A$2:H$49,8,FALSE)</f>
        <v>-1.0198610590244073E-2</v>
      </c>
      <c r="AP782" s="93">
        <f>VLOOKUP(B782,'Growthrates source'!A$2:I$49,9,FALSE)</f>
        <v>0.13933439758107946</v>
      </c>
      <c r="AQ782" s="86">
        <f t="shared" si="291"/>
        <v>12.627786993241507</v>
      </c>
      <c r="AR782" s="86">
        <f t="shared" si="292"/>
        <v>18.227106287204336</v>
      </c>
      <c r="AS782" s="94">
        <f t="shared" si="293"/>
        <v>0</v>
      </c>
      <c r="AT782" s="94">
        <f t="shared" si="294"/>
        <v>1.491298459898798E-2</v>
      </c>
      <c r="AU782" s="94">
        <f t="shared" si="296"/>
        <v>1.3561316390201335E-2</v>
      </c>
      <c r="AV782" s="94">
        <f t="shared" si="297"/>
        <v>1.3561316390201335E-2</v>
      </c>
    </row>
    <row r="783" spans="1:48" x14ac:dyDescent="0.3">
      <c r="A783" s="85" t="str">
        <f>_xlfn.XLOOKUP(B783,'Country codes &amp; Data sources'!G:G,'Country codes &amp; Data sources'!H:H,,0)</f>
        <v>Togo</v>
      </c>
      <c r="B783" s="85" t="s">
        <v>195</v>
      </c>
      <c r="C783" s="86">
        <v>6926641.5</v>
      </c>
      <c r="D783" s="85" t="s">
        <v>62</v>
      </c>
      <c r="E783" s="87">
        <v>0</v>
      </c>
      <c r="F783" s="88">
        <v>7106229</v>
      </c>
      <c r="G783" s="87">
        <v>0</v>
      </c>
      <c r="I783" s="87">
        <v>0</v>
      </c>
      <c r="K783" s="87">
        <v>0</v>
      </c>
      <c r="M783" s="87">
        <v>0</v>
      </c>
      <c r="O783" s="87">
        <v>0</v>
      </c>
      <c r="P783" s="88">
        <v>8046679</v>
      </c>
      <c r="Q783" s="87">
        <v>0</v>
      </c>
      <c r="R783" s="87">
        <f t="shared" si="279"/>
        <v>340</v>
      </c>
      <c r="T783" s="87">
        <v>0</v>
      </c>
      <c r="V783" s="87">
        <v>0</v>
      </c>
      <c r="X783" s="87">
        <v>0</v>
      </c>
      <c r="Y783" s="88">
        <v>8848698.5000000019</v>
      </c>
      <c r="Z783" s="87">
        <v>0</v>
      </c>
      <c r="AA783" s="87">
        <v>340</v>
      </c>
      <c r="AB783" s="89">
        <f t="shared" si="280"/>
        <v>0</v>
      </c>
      <c r="AC783" s="89">
        <f t="shared" si="281"/>
        <v>0</v>
      </c>
      <c r="AD783" s="89">
        <f t="shared" si="282"/>
        <v>0</v>
      </c>
      <c r="AF783" s="90" t="str">
        <f t="shared" si="283"/>
        <v/>
      </c>
      <c r="AG783" s="90">
        <f t="shared" si="284"/>
        <v>340</v>
      </c>
      <c r="AH783" s="90" t="str">
        <f t="shared" si="285"/>
        <v>2018 (triag)</v>
      </c>
      <c r="AI783" s="90">
        <f t="shared" si="286"/>
        <v>340</v>
      </c>
      <c r="AJ783" s="90" t="str">
        <f t="shared" si="287"/>
        <v>2018 (triag)</v>
      </c>
      <c r="AK783" s="90" t="str">
        <f t="shared" si="288"/>
        <v/>
      </c>
      <c r="AL783" s="91">
        <f>IF(AK783="Adjust",(_xlfn.XLOOKUP(A783,'Adj factor'!A:A,'Adj factor'!I:I,,0)*AI783),'Master DataSheet (Rev)'!AI783)</f>
        <v>340</v>
      </c>
      <c r="AM783" s="91">
        <f t="shared" si="289"/>
        <v>340</v>
      </c>
      <c r="AN783" s="92" t="str">
        <f t="shared" si="290"/>
        <v>No change</v>
      </c>
      <c r="AO783" s="93">
        <f>VLOOKUP(B783,'Growthrates source'!A$2:H$49,8,FALSE)</f>
        <v>-1.0198610590244073E-2</v>
      </c>
      <c r="AP783" s="93">
        <f>VLOOKUP(B783,'Growthrates source'!A$2:I$49,9,FALSE)</f>
        <v>0.13933439758107946</v>
      </c>
      <c r="AQ783" s="86">
        <f t="shared" si="291"/>
        <v>357.78729814184271</v>
      </c>
      <c r="AR783" s="86">
        <f t="shared" si="292"/>
        <v>516.4346781374561</v>
      </c>
      <c r="AS783" s="94">
        <f t="shared" si="293"/>
        <v>0</v>
      </c>
      <c r="AT783" s="94">
        <f t="shared" si="294"/>
        <v>0.42253456363799274</v>
      </c>
      <c r="AU783" s="94">
        <f t="shared" si="296"/>
        <v>0.3842372977223712</v>
      </c>
      <c r="AV783" s="94">
        <f t="shared" si="297"/>
        <v>0.3842372977223712</v>
      </c>
    </row>
    <row r="784" spans="1:48" x14ac:dyDescent="0.3">
      <c r="A784" s="85" t="str">
        <f>_xlfn.XLOOKUP(B784,'Country codes &amp; Data sources'!G:G,'Country codes &amp; Data sources'!H:H,,0)</f>
        <v>Togo</v>
      </c>
      <c r="B784" s="85" t="s">
        <v>195</v>
      </c>
      <c r="C784" s="86">
        <v>6926642.5</v>
      </c>
      <c r="D784" s="85" t="s">
        <v>203</v>
      </c>
      <c r="E784" s="87">
        <v>0</v>
      </c>
      <c r="F784" s="88">
        <v>7106229</v>
      </c>
      <c r="G784" s="87">
        <v>0</v>
      </c>
      <c r="I784" s="87">
        <v>0</v>
      </c>
      <c r="K784" s="87">
        <v>0</v>
      </c>
      <c r="M784" s="87">
        <v>2249</v>
      </c>
      <c r="O784" s="87">
        <v>3474</v>
      </c>
      <c r="P784" s="88">
        <v>8046679</v>
      </c>
      <c r="Q784" s="87">
        <v>3903</v>
      </c>
      <c r="R784" s="87">
        <f t="shared" si="279"/>
        <v>3903</v>
      </c>
      <c r="T784" s="87">
        <v>3845</v>
      </c>
      <c r="V784" s="87">
        <v>4622</v>
      </c>
      <c r="X784" s="87">
        <v>2974</v>
      </c>
      <c r="Y784" s="88">
        <v>8848698.5000000019</v>
      </c>
      <c r="Z784" s="87">
        <v>0</v>
      </c>
      <c r="AA784" s="87">
        <v>3413</v>
      </c>
      <c r="AB784" s="89">
        <f t="shared" si="280"/>
        <v>0</v>
      </c>
      <c r="AC784" s="89">
        <f t="shared" si="281"/>
        <v>3903</v>
      </c>
      <c r="AD784" s="89">
        <f t="shared" si="282"/>
        <v>4622</v>
      </c>
      <c r="AF784" s="90" t="str">
        <f t="shared" si="283"/>
        <v/>
      </c>
      <c r="AG784" s="90">
        <f t="shared" si="284"/>
        <v>3903</v>
      </c>
      <c r="AH784" s="90">
        <f t="shared" si="285"/>
        <v>2018</v>
      </c>
      <c r="AI784" s="90">
        <f t="shared" si="286"/>
        <v>2974</v>
      </c>
      <c r="AJ784" s="90">
        <f t="shared" si="287"/>
        <v>2021</v>
      </c>
      <c r="AK784" s="90" t="str">
        <f t="shared" si="288"/>
        <v>Adjust</v>
      </c>
      <c r="AL784" s="91">
        <f>IF(AK784="Adjust",(_xlfn.XLOOKUP(A784,'Adj factor'!A:A,'Adj factor'!I:I,,0)*AI784),'Master DataSheet (Rev)'!AI784)</f>
        <v>3595.1391245334239</v>
      </c>
      <c r="AM784" s="91">
        <f t="shared" si="289"/>
        <v>3903</v>
      </c>
      <c r="AN784" s="92" t="str">
        <f t="shared" si="290"/>
        <v>Decreasing</v>
      </c>
      <c r="AO784" s="93">
        <f>VLOOKUP(B784,'Growthrates source'!A$2:H$49,8,FALSE)</f>
        <v>-1.0198610590244073E-2</v>
      </c>
      <c r="AP784" s="93">
        <f>VLOOKUP(B784,'Growthrates source'!A$2:I$49,9,FALSE)</f>
        <v>0.13933439758107946</v>
      </c>
      <c r="AQ784" s="86">
        <f t="shared" si="291"/>
        <v>3591.5530839944386</v>
      </c>
      <c r="AR784" s="86">
        <f t="shared" si="292"/>
        <v>5184.092813185699</v>
      </c>
      <c r="AS784" s="94">
        <f t="shared" si="293"/>
        <v>0</v>
      </c>
      <c r="AT784" s="94">
        <f t="shared" si="294"/>
        <v>4.8504482408208407</v>
      </c>
      <c r="AU784" s="94">
        <f t="shared" si="296"/>
        <v>4.0629015945490998</v>
      </c>
      <c r="AV784" s="94">
        <f t="shared" si="297"/>
        <v>4.4108181559129847</v>
      </c>
    </row>
    <row r="785" spans="1:48" x14ac:dyDescent="0.3">
      <c r="A785" s="85" t="str">
        <f>_xlfn.XLOOKUP(B785,'Country codes &amp; Data sources'!G:G,'Country codes &amp; Data sources'!H:H,,0)</f>
        <v>Togo</v>
      </c>
      <c r="B785" s="85" t="s">
        <v>195</v>
      </c>
      <c r="C785" s="86">
        <v>6926643.5</v>
      </c>
      <c r="D785" s="85" t="s">
        <v>204</v>
      </c>
      <c r="E785" s="87">
        <v>0</v>
      </c>
      <c r="F785" s="88">
        <v>7106229</v>
      </c>
      <c r="G785" s="87">
        <v>0</v>
      </c>
      <c r="I785" s="87">
        <v>0</v>
      </c>
      <c r="K785" s="87">
        <v>0</v>
      </c>
      <c r="M785" s="87">
        <v>0</v>
      </c>
      <c r="O785" s="87">
        <v>0</v>
      </c>
      <c r="P785" s="88">
        <v>8046679</v>
      </c>
      <c r="Q785" s="87">
        <v>0</v>
      </c>
      <c r="R785" s="87">
        <f t="shared" si="279"/>
        <v>63</v>
      </c>
      <c r="T785" s="87">
        <v>0</v>
      </c>
      <c r="V785" s="87">
        <v>0</v>
      </c>
      <c r="X785" s="87">
        <v>0</v>
      </c>
      <c r="Y785" s="88">
        <v>8848698.5000000019</v>
      </c>
      <c r="Z785" s="87">
        <v>1377</v>
      </c>
      <c r="AA785" s="87">
        <v>63</v>
      </c>
      <c r="AB785" s="89">
        <f t="shared" si="280"/>
        <v>0</v>
      </c>
      <c r="AC785" s="89">
        <f t="shared" si="281"/>
        <v>0</v>
      </c>
      <c r="AD785" s="89">
        <f t="shared" si="282"/>
        <v>1377</v>
      </c>
      <c r="AF785" s="90" t="str">
        <f t="shared" si="283"/>
        <v/>
      </c>
      <c r="AG785" s="90">
        <f t="shared" si="284"/>
        <v>63</v>
      </c>
      <c r="AH785" s="90" t="str">
        <f t="shared" si="285"/>
        <v>2018 (triag)</v>
      </c>
      <c r="AI785" s="90">
        <f t="shared" si="286"/>
        <v>1377</v>
      </c>
      <c r="AJ785" s="90">
        <f t="shared" si="287"/>
        <v>2022</v>
      </c>
      <c r="AK785" s="90" t="str">
        <f t="shared" si="288"/>
        <v/>
      </c>
      <c r="AL785" s="91">
        <f>IF(AK785="Adjust",(_xlfn.XLOOKUP(A785,'Adj factor'!A:A,'Adj factor'!I:I,,0)*AI785),'Master DataSheet (Rev)'!AI785)</f>
        <v>1377</v>
      </c>
      <c r="AM785" s="91">
        <f t="shared" si="289"/>
        <v>1377</v>
      </c>
      <c r="AN785" s="92" t="str">
        <f t="shared" si="290"/>
        <v>Increasing</v>
      </c>
      <c r="AO785" s="93">
        <f>VLOOKUP(B785,'Growthrates source'!A$2:H$49,8,FALSE)</f>
        <v>-1.0198610590244073E-2</v>
      </c>
      <c r="AP785" s="93">
        <f>VLOOKUP(B785,'Growthrates source'!A$2:I$49,9,FALSE)</f>
        <v>0.13933439758107946</v>
      </c>
      <c r="AQ785" s="86">
        <f t="shared" si="291"/>
        <v>66.295881714517918</v>
      </c>
      <c r="AR785" s="86">
        <f t="shared" si="292"/>
        <v>95.69230800782276</v>
      </c>
      <c r="AS785" s="94">
        <f t="shared" si="293"/>
        <v>0</v>
      </c>
      <c r="AT785" s="94">
        <f t="shared" si="294"/>
        <v>7.8293169144686897E-2</v>
      </c>
      <c r="AU785" s="94">
        <f t="shared" si="296"/>
        <v>1.5561610557756034</v>
      </c>
      <c r="AV785" s="94">
        <f t="shared" si="297"/>
        <v>1.5561610557756034</v>
      </c>
    </row>
    <row r="786" spans="1:48" x14ac:dyDescent="0.3">
      <c r="A786" s="85" t="str">
        <f>_xlfn.XLOOKUP(B786,'Country codes &amp; Data sources'!G:G,'Country codes &amp; Data sources'!H:H,,0)</f>
        <v>Togo</v>
      </c>
      <c r="B786" s="85" t="s">
        <v>195</v>
      </c>
      <c r="C786" s="86">
        <v>6926644.5</v>
      </c>
      <c r="D786" s="85" t="s">
        <v>205</v>
      </c>
      <c r="E786" s="87">
        <v>0</v>
      </c>
      <c r="F786" s="88">
        <v>7106229</v>
      </c>
      <c r="G786" s="87">
        <v>0</v>
      </c>
      <c r="I786" s="87">
        <v>0</v>
      </c>
      <c r="K786" s="87">
        <v>0</v>
      </c>
      <c r="M786" s="87">
        <v>50</v>
      </c>
      <c r="O786" s="87">
        <v>64</v>
      </c>
      <c r="P786" s="88">
        <v>8046679</v>
      </c>
      <c r="Q786" s="87">
        <v>55</v>
      </c>
      <c r="R786" s="87">
        <f t="shared" si="279"/>
        <v>55</v>
      </c>
      <c r="T786" s="87">
        <v>16</v>
      </c>
      <c r="V786" s="87">
        <v>8</v>
      </c>
      <c r="X786" s="87">
        <v>19</v>
      </c>
      <c r="Y786" s="88">
        <v>8848698.5000000019</v>
      </c>
      <c r="Z786" s="87">
        <v>19</v>
      </c>
      <c r="AA786" s="87">
        <v>2</v>
      </c>
      <c r="AB786" s="89">
        <f t="shared" si="280"/>
        <v>0</v>
      </c>
      <c r="AC786" s="89">
        <f t="shared" si="281"/>
        <v>64</v>
      </c>
      <c r="AD786" s="89">
        <f t="shared" si="282"/>
        <v>19</v>
      </c>
      <c r="AF786" s="90" t="str">
        <f t="shared" si="283"/>
        <v/>
      </c>
      <c r="AG786" s="90">
        <f t="shared" si="284"/>
        <v>55</v>
      </c>
      <c r="AH786" s="90">
        <f t="shared" si="285"/>
        <v>2018</v>
      </c>
      <c r="AI786" s="90">
        <f t="shared" si="286"/>
        <v>19</v>
      </c>
      <c r="AJ786" s="90">
        <f t="shared" si="287"/>
        <v>2021</v>
      </c>
      <c r="AK786" s="90" t="str">
        <f t="shared" si="288"/>
        <v>Adjust</v>
      </c>
      <c r="AL786" s="91">
        <f>IF(AK786="Adjust",(_xlfn.XLOOKUP(A786,'Adj factor'!A:A,'Adj factor'!I:I,,0)*AI786),'Master DataSheet (Rev)'!AI786)</f>
        <v>22.968272819816764</v>
      </c>
      <c r="AM786" s="91">
        <f t="shared" si="289"/>
        <v>55</v>
      </c>
      <c r="AN786" s="92" t="str">
        <f t="shared" si="290"/>
        <v>Decreasing</v>
      </c>
      <c r="AO786" s="93">
        <f>VLOOKUP(B786,'Growthrates source'!A$2:H$49,8,FALSE)</f>
        <v>-1.0198610590244073E-2</v>
      </c>
      <c r="AP786" s="93">
        <f>VLOOKUP(B786,'Growthrates source'!A$2:I$49,9,FALSE)</f>
        <v>0.13933439758107946</v>
      </c>
      <c r="AQ786" s="86">
        <f t="shared" si="291"/>
        <v>2.1046311655402512</v>
      </c>
      <c r="AR786" s="86">
        <f t="shared" si="292"/>
        <v>3.037851047867389</v>
      </c>
      <c r="AS786" s="94">
        <f t="shared" si="293"/>
        <v>0</v>
      </c>
      <c r="AT786" s="94">
        <f t="shared" si="294"/>
        <v>6.8351179412028243E-2</v>
      </c>
      <c r="AU786" s="94">
        <f t="shared" si="296"/>
        <v>2.5956667887166409E-2</v>
      </c>
      <c r="AV786" s="94">
        <f t="shared" si="297"/>
        <v>6.2156033455089459E-2</v>
      </c>
    </row>
    <row r="787" spans="1:48" x14ac:dyDescent="0.3">
      <c r="A787" s="85" t="str">
        <f>_xlfn.XLOOKUP(B787,'Country codes &amp; Data sources'!G:G,'Country codes &amp; Data sources'!H:H,,0)</f>
        <v>Togo</v>
      </c>
      <c r="B787" s="85" t="s">
        <v>195</v>
      </c>
      <c r="C787" s="86">
        <v>6926645.5</v>
      </c>
      <c r="D787" s="85" t="s">
        <v>133</v>
      </c>
      <c r="E787" s="87">
        <v>0</v>
      </c>
      <c r="F787" s="88">
        <v>7106229</v>
      </c>
      <c r="G787" s="87">
        <v>0</v>
      </c>
      <c r="I787" s="87">
        <v>0</v>
      </c>
      <c r="K787" s="87">
        <v>407</v>
      </c>
      <c r="M787" s="87">
        <v>276</v>
      </c>
      <c r="O787" s="87">
        <v>454</v>
      </c>
      <c r="P787" s="88">
        <v>8046679</v>
      </c>
      <c r="Q787" s="87">
        <v>460</v>
      </c>
      <c r="R787" s="87">
        <f t="shared" si="279"/>
        <v>857</v>
      </c>
      <c r="T787" s="87">
        <v>518</v>
      </c>
      <c r="V787" s="87">
        <v>589</v>
      </c>
      <c r="X787" s="87">
        <v>446</v>
      </c>
      <c r="Y787" s="88">
        <v>8848698.5000000019</v>
      </c>
      <c r="Z787" s="87">
        <v>0</v>
      </c>
      <c r="AA787" s="87">
        <v>857</v>
      </c>
      <c r="AB787" s="89">
        <f t="shared" si="280"/>
        <v>407</v>
      </c>
      <c r="AC787" s="89">
        <f t="shared" si="281"/>
        <v>518</v>
      </c>
      <c r="AD787" s="89">
        <f t="shared" si="282"/>
        <v>589</v>
      </c>
      <c r="AE787" s="90">
        <f t="shared" si="295"/>
        <v>407</v>
      </c>
      <c r="AF787" s="90">
        <f t="shared" si="283"/>
        <v>2015</v>
      </c>
      <c r="AG787" s="90">
        <f t="shared" si="284"/>
        <v>857</v>
      </c>
      <c r="AH787" s="90" t="str">
        <f t="shared" si="285"/>
        <v>2018 (triag)</v>
      </c>
      <c r="AI787" s="90">
        <f t="shared" si="286"/>
        <v>446</v>
      </c>
      <c r="AJ787" s="90">
        <f t="shared" si="287"/>
        <v>2021</v>
      </c>
      <c r="AK787" s="90" t="str">
        <f t="shared" si="288"/>
        <v>Adjust</v>
      </c>
      <c r="AL787" s="91">
        <f>IF(AK787="Adjust",(_xlfn.XLOOKUP(A787,'Adj factor'!A:A,'Adj factor'!I:I,,0)*AI787),'Master DataSheet (Rev)'!AI787)</f>
        <v>539.14998303359357</v>
      </c>
      <c r="AM787" s="91">
        <f t="shared" si="289"/>
        <v>857</v>
      </c>
      <c r="AN787" s="92" t="str">
        <f t="shared" si="290"/>
        <v>Decreasing</v>
      </c>
      <c r="AO787" s="93">
        <f>VLOOKUP(B787,'Growthrates source'!A$2:H$49,8,FALSE)</f>
        <v>-1.0198610590244073E-2</v>
      </c>
      <c r="AP787" s="93">
        <f>VLOOKUP(B787,'Growthrates source'!A$2:I$49,9,FALSE)</f>
        <v>0.13933439758107946</v>
      </c>
      <c r="AQ787" s="86">
        <f t="shared" si="291"/>
        <v>901.83445443399762</v>
      </c>
      <c r="AR787" s="86">
        <f t="shared" si="292"/>
        <v>1301.7191740111762</v>
      </c>
      <c r="AS787" s="94">
        <f t="shared" si="293"/>
        <v>0.57273696077061409</v>
      </c>
      <c r="AT787" s="94">
        <f t="shared" si="294"/>
        <v>1.0650356501110583</v>
      </c>
      <c r="AU787" s="94">
        <f t="shared" si="296"/>
        <v>0.60929862514085376</v>
      </c>
      <c r="AV787" s="94">
        <f t="shared" si="297"/>
        <v>0.96850401220021209</v>
      </c>
    </row>
    <row r="788" spans="1:48" x14ac:dyDescent="0.3">
      <c r="A788" s="85" t="str">
        <f>_xlfn.XLOOKUP(B788,'Country codes &amp; Data sources'!G:G,'Country codes &amp; Data sources'!H:H,,0)</f>
        <v>Togo</v>
      </c>
      <c r="B788" s="85" t="s">
        <v>195</v>
      </c>
      <c r="C788" s="86">
        <v>6926646.5</v>
      </c>
      <c r="D788" s="85" t="s">
        <v>206</v>
      </c>
      <c r="E788" s="87">
        <v>0</v>
      </c>
      <c r="F788" s="88">
        <v>7106229</v>
      </c>
      <c r="G788" s="87">
        <v>0</v>
      </c>
      <c r="I788" s="87">
        <v>0</v>
      </c>
      <c r="K788" s="87">
        <v>0</v>
      </c>
      <c r="M788" s="87">
        <v>0</v>
      </c>
      <c r="O788" s="87">
        <v>0</v>
      </c>
      <c r="P788" s="88">
        <v>8046679</v>
      </c>
      <c r="Q788" s="87">
        <v>0</v>
      </c>
      <c r="R788" s="87">
        <f t="shared" si="279"/>
        <v>1075</v>
      </c>
      <c r="T788" s="87">
        <v>0</v>
      </c>
      <c r="V788" s="87">
        <v>997</v>
      </c>
      <c r="X788" s="87">
        <v>0</v>
      </c>
      <c r="Y788" s="88">
        <v>8848698.5000000019</v>
      </c>
      <c r="Z788" s="87">
        <v>595</v>
      </c>
      <c r="AA788" s="87">
        <v>1075</v>
      </c>
      <c r="AB788" s="89">
        <f t="shared" si="280"/>
        <v>0</v>
      </c>
      <c r="AC788" s="89">
        <f t="shared" si="281"/>
        <v>0</v>
      </c>
      <c r="AD788" s="89">
        <f t="shared" si="282"/>
        <v>997</v>
      </c>
      <c r="AF788" s="90" t="str">
        <f t="shared" si="283"/>
        <v/>
      </c>
      <c r="AG788" s="90">
        <f t="shared" si="284"/>
        <v>1075</v>
      </c>
      <c r="AH788" s="90" t="str">
        <f t="shared" si="285"/>
        <v>2018 (triag)</v>
      </c>
      <c r="AI788" s="90">
        <f t="shared" si="286"/>
        <v>595</v>
      </c>
      <c r="AJ788" s="90">
        <f t="shared" si="287"/>
        <v>2022</v>
      </c>
      <c r="AK788" s="90" t="str">
        <f t="shared" si="288"/>
        <v>Adjust</v>
      </c>
      <c r="AL788" s="91">
        <f>IF(AK788="Adjust",(_xlfn.XLOOKUP(A788,'Adj factor'!A:A,'Adj factor'!I:I,,0)*AI788),'Master DataSheet (Rev)'!AI788)</f>
        <v>719.26959619952504</v>
      </c>
      <c r="AM788" s="91">
        <f t="shared" si="289"/>
        <v>1075</v>
      </c>
      <c r="AN788" s="92" t="str">
        <f t="shared" si="290"/>
        <v>Decreasing</v>
      </c>
      <c r="AO788" s="93">
        <f>VLOOKUP(B788,'Growthrates source'!A$2:H$49,8,FALSE)</f>
        <v>-1.0198610590244073E-2</v>
      </c>
      <c r="AP788" s="93">
        <f>VLOOKUP(B788,'Growthrates source'!A$2:I$49,9,FALSE)</f>
        <v>0.13933439758107946</v>
      </c>
      <c r="AQ788" s="86">
        <f t="shared" si="291"/>
        <v>1131.2392514778851</v>
      </c>
      <c r="AR788" s="86">
        <f t="shared" si="292"/>
        <v>1632.8449382287215</v>
      </c>
      <c r="AS788" s="94">
        <f t="shared" si="293"/>
        <v>0</v>
      </c>
      <c r="AT788" s="94">
        <f t="shared" si="294"/>
        <v>1.3359548703260065</v>
      </c>
      <c r="AU788" s="94">
        <f t="shared" si="296"/>
        <v>0.81285354699284296</v>
      </c>
      <c r="AV788" s="94">
        <f t="shared" si="297"/>
        <v>1.2148679266222029</v>
      </c>
    </row>
    <row r="789" spans="1:48" x14ac:dyDescent="0.3">
      <c r="A789" s="85" t="str">
        <f>_xlfn.XLOOKUP(B789,'Country codes &amp; Data sources'!G:G,'Country codes &amp; Data sources'!H:H,,0)</f>
        <v>Togo</v>
      </c>
      <c r="B789" s="85" t="s">
        <v>195</v>
      </c>
      <c r="C789" s="86">
        <v>6926647.5</v>
      </c>
      <c r="D789" s="85" t="s">
        <v>136</v>
      </c>
      <c r="E789" s="87">
        <v>0</v>
      </c>
      <c r="F789" s="88">
        <v>7106229</v>
      </c>
      <c r="G789" s="87">
        <v>0</v>
      </c>
      <c r="I789" s="87">
        <v>0</v>
      </c>
      <c r="K789" s="87">
        <v>0</v>
      </c>
      <c r="M789" s="87">
        <v>112</v>
      </c>
      <c r="O789" s="87">
        <v>151</v>
      </c>
      <c r="P789" s="88">
        <v>8046679</v>
      </c>
      <c r="Q789" s="87">
        <v>148</v>
      </c>
      <c r="R789" s="87">
        <f t="shared" si="279"/>
        <v>148</v>
      </c>
      <c r="T789" s="87">
        <v>139</v>
      </c>
      <c r="V789" s="87">
        <v>280</v>
      </c>
      <c r="X789" s="87">
        <v>95</v>
      </c>
      <c r="Y789" s="88">
        <v>8848698.5000000019</v>
      </c>
      <c r="Z789" s="87">
        <v>0</v>
      </c>
      <c r="AA789" s="87">
        <v>23</v>
      </c>
      <c r="AB789" s="89">
        <f t="shared" si="280"/>
        <v>0</v>
      </c>
      <c r="AC789" s="89">
        <f t="shared" si="281"/>
        <v>151</v>
      </c>
      <c r="AD789" s="89">
        <f t="shared" si="282"/>
        <v>280</v>
      </c>
      <c r="AF789" s="90" t="str">
        <f t="shared" si="283"/>
        <v/>
      </c>
      <c r="AG789" s="90">
        <f t="shared" si="284"/>
        <v>148</v>
      </c>
      <c r="AH789" s="90">
        <f t="shared" si="285"/>
        <v>2018</v>
      </c>
      <c r="AI789" s="90">
        <f t="shared" si="286"/>
        <v>95</v>
      </c>
      <c r="AJ789" s="90">
        <f t="shared" si="287"/>
        <v>2021</v>
      </c>
      <c r="AK789" s="90" t="str">
        <f t="shared" si="288"/>
        <v>Adjust</v>
      </c>
      <c r="AL789" s="91">
        <f>IF(AK789="Adjust",(_xlfn.XLOOKUP(A789,'Adj factor'!A:A,'Adj factor'!I:I,,0)*AI789),'Master DataSheet (Rev)'!AI789)</f>
        <v>114.84136409908382</v>
      </c>
      <c r="AM789" s="91">
        <f t="shared" si="289"/>
        <v>148</v>
      </c>
      <c r="AN789" s="92" t="str">
        <f t="shared" si="290"/>
        <v>Decreasing</v>
      </c>
      <c r="AO789" s="93">
        <f>VLOOKUP(B789,'Growthrates source'!A$2:H$49,8,FALSE)</f>
        <v>-1.0198610590244073E-2</v>
      </c>
      <c r="AP789" s="93">
        <f>VLOOKUP(B789,'Growthrates source'!A$2:I$49,9,FALSE)</f>
        <v>0.13933439758107946</v>
      </c>
      <c r="AQ789" s="86">
        <f t="shared" si="291"/>
        <v>24.203258403712891</v>
      </c>
      <c r="AR789" s="86">
        <f t="shared" si="292"/>
        <v>34.935287050474976</v>
      </c>
      <c r="AS789" s="94">
        <f t="shared" si="293"/>
        <v>0</v>
      </c>
      <c r="AT789" s="94">
        <f t="shared" si="294"/>
        <v>0.1839268100541851</v>
      </c>
      <c r="AU789" s="94">
        <f t="shared" si="296"/>
        <v>0.12978333943583206</v>
      </c>
      <c r="AV789" s="94">
        <f t="shared" si="297"/>
        <v>0.16725623547914981</v>
      </c>
    </row>
    <row r="790" spans="1:48" x14ac:dyDescent="0.3">
      <c r="A790" s="85" t="str">
        <f>_xlfn.XLOOKUP(B790,'Country codes &amp; Data sources'!G:G,'Country codes &amp; Data sources'!H:H,,0)</f>
        <v>Togo</v>
      </c>
      <c r="B790" s="85" t="s">
        <v>195</v>
      </c>
      <c r="C790" s="86">
        <v>6926648.5</v>
      </c>
      <c r="D790" s="85" t="s">
        <v>207</v>
      </c>
      <c r="E790" s="87">
        <v>0</v>
      </c>
      <c r="F790" s="88">
        <v>7106229</v>
      </c>
      <c r="G790" s="87">
        <v>0</v>
      </c>
      <c r="I790" s="87">
        <v>0</v>
      </c>
      <c r="K790" s="87">
        <v>0</v>
      </c>
      <c r="M790" s="87">
        <v>0</v>
      </c>
      <c r="O790" s="87">
        <v>0</v>
      </c>
      <c r="P790" s="88">
        <v>8046679</v>
      </c>
      <c r="Q790" s="87">
        <v>0</v>
      </c>
      <c r="R790" s="87">
        <f t="shared" si="279"/>
        <v>0</v>
      </c>
      <c r="T790" s="87">
        <v>0</v>
      </c>
      <c r="V790" s="87">
        <v>0</v>
      </c>
      <c r="X790" s="87">
        <v>0</v>
      </c>
      <c r="Y790" s="88">
        <v>8848698.5000000019</v>
      </c>
      <c r="Z790" s="87">
        <v>0</v>
      </c>
      <c r="AA790" s="87">
        <v>0</v>
      </c>
      <c r="AB790" s="89">
        <f t="shared" si="280"/>
        <v>0</v>
      </c>
      <c r="AC790" s="89">
        <f t="shared" si="281"/>
        <v>0</v>
      </c>
      <c r="AD790" s="89">
        <f t="shared" si="282"/>
        <v>0</v>
      </c>
      <c r="AF790" s="90" t="str">
        <f t="shared" si="283"/>
        <v/>
      </c>
      <c r="AH790" s="90" t="str">
        <f t="shared" si="285"/>
        <v/>
      </c>
      <c r="AI790" s="90">
        <f t="shared" si="286"/>
        <v>0</v>
      </c>
      <c r="AJ790" s="90" t="str">
        <f t="shared" si="287"/>
        <v/>
      </c>
      <c r="AK790" s="90" t="str">
        <f t="shared" si="288"/>
        <v/>
      </c>
      <c r="AL790" s="91"/>
      <c r="AM790" s="91">
        <f t="shared" si="289"/>
        <v>0</v>
      </c>
      <c r="AN790" s="92" t="str">
        <f t="shared" si="290"/>
        <v>No change</v>
      </c>
      <c r="AO790" s="93">
        <f>VLOOKUP(B790,'Growthrates source'!A$2:H$49,8,FALSE)</f>
        <v>-1.0198610590244073E-2</v>
      </c>
      <c r="AP790" s="93">
        <f>VLOOKUP(B790,'Growthrates source'!A$2:I$49,9,FALSE)</f>
        <v>0.13933439758107946</v>
      </c>
      <c r="AQ790" s="86">
        <f t="shared" si="291"/>
        <v>0</v>
      </c>
      <c r="AR790" s="86">
        <f t="shared" si="292"/>
        <v>0</v>
      </c>
      <c r="AS790" s="94">
        <f t="shared" si="293"/>
        <v>0</v>
      </c>
      <c r="AT790" s="94">
        <f t="shared" si="294"/>
        <v>0</v>
      </c>
      <c r="AU790" s="94">
        <f t="shared" si="296"/>
        <v>0</v>
      </c>
      <c r="AV790" s="94">
        <f t="shared" si="297"/>
        <v>0</v>
      </c>
    </row>
    <row r="791" spans="1:48" x14ac:dyDescent="0.3">
      <c r="A791" s="85" t="str">
        <f>_xlfn.XLOOKUP(B791,'Country codes &amp; Data sources'!G:G,'Country codes &amp; Data sources'!H:H,,0)</f>
        <v>Togo</v>
      </c>
      <c r="B791" s="85" t="s">
        <v>195</v>
      </c>
      <c r="C791" s="86">
        <v>6926649.5</v>
      </c>
      <c r="D791" s="85" t="s">
        <v>141</v>
      </c>
      <c r="E791" s="87">
        <v>0</v>
      </c>
      <c r="F791" s="88">
        <v>7106229</v>
      </c>
      <c r="G791" s="87">
        <v>0</v>
      </c>
      <c r="I791" s="87">
        <v>0</v>
      </c>
      <c r="K791" s="87">
        <v>0</v>
      </c>
      <c r="M791" s="87">
        <v>2</v>
      </c>
      <c r="O791" s="87">
        <v>6</v>
      </c>
      <c r="P791" s="88">
        <v>8046679</v>
      </c>
      <c r="Q791" s="87">
        <v>5</v>
      </c>
      <c r="R791" s="87">
        <f t="shared" si="279"/>
        <v>5</v>
      </c>
      <c r="T791" s="87">
        <v>4</v>
      </c>
      <c r="V791" s="87">
        <v>3</v>
      </c>
      <c r="X791" s="87">
        <v>1</v>
      </c>
      <c r="Y791" s="88">
        <v>8848698.5000000019</v>
      </c>
      <c r="Z791" s="87">
        <v>2</v>
      </c>
      <c r="AA791" s="87">
        <v>2</v>
      </c>
      <c r="AB791" s="89">
        <f t="shared" si="280"/>
        <v>0</v>
      </c>
      <c r="AC791" s="89">
        <f t="shared" si="281"/>
        <v>6</v>
      </c>
      <c r="AD791" s="89">
        <f t="shared" si="282"/>
        <v>3</v>
      </c>
      <c r="AF791" s="90" t="str">
        <f t="shared" si="283"/>
        <v/>
      </c>
      <c r="AG791" s="90">
        <f t="shared" si="284"/>
        <v>5</v>
      </c>
      <c r="AH791" s="90">
        <f t="shared" si="285"/>
        <v>2018</v>
      </c>
      <c r="AI791" s="90">
        <f t="shared" si="286"/>
        <v>2</v>
      </c>
      <c r="AJ791" s="90">
        <f t="shared" si="287"/>
        <v>2022</v>
      </c>
      <c r="AK791" s="90" t="str">
        <f t="shared" si="288"/>
        <v>Adjust</v>
      </c>
      <c r="AL791" s="91">
        <f>IF(AK791="Adjust",(_xlfn.XLOOKUP(A791,'Adj factor'!A:A,'Adj factor'!I:I,,0)*AI791),'Master DataSheet (Rev)'!AI791)</f>
        <v>2.4177129284017647</v>
      </c>
      <c r="AM791" s="91">
        <f t="shared" si="289"/>
        <v>5</v>
      </c>
      <c r="AN791" s="92" t="str">
        <f t="shared" si="290"/>
        <v>Decreasing</v>
      </c>
      <c r="AO791" s="93">
        <f>VLOOKUP(B791,'Growthrates source'!A$2:H$49,8,FALSE)</f>
        <v>-1.0198610590244073E-2</v>
      </c>
      <c r="AP791" s="93">
        <f>VLOOKUP(B791,'Growthrates source'!A$2:I$49,9,FALSE)</f>
        <v>0.13933439758107946</v>
      </c>
      <c r="AQ791" s="86">
        <f t="shared" si="291"/>
        <v>2.1046311655402512</v>
      </c>
      <c r="AR791" s="86">
        <f t="shared" si="292"/>
        <v>3.037851047867389</v>
      </c>
      <c r="AS791" s="94">
        <f t="shared" si="293"/>
        <v>0</v>
      </c>
      <c r="AT791" s="94">
        <f t="shared" si="294"/>
        <v>6.213743582911658E-3</v>
      </c>
      <c r="AU791" s="94">
        <f t="shared" si="296"/>
        <v>2.7322808302280431E-3</v>
      </c>
      <c r="AV791" s="94">
        <f t="shared" si="297"/>
        <v>5.6505484959172231E-3</v>
      </c>
    </row>
    <row r="792" spans="1:48" x14ac:dyDescent="0.3">
      <c r="A792" s="85" t="str">
        <f>_xlfn.XLOOKUP(B792,'Country codes &amp; Data sources'!G:G,'Country codes &amp; Data sources'!H:H,,0)</f>
        <v>Togo</v>
      </c>
      <c r="B792" s="85" t="s">
        <v>195</v>
      </c>
      <c r="C792" s="86">
        <v>6926650.5</v>
      </c>
      <c r="D792" s="85" t="s">
        <v>208</v>
      </c>
      <c r="E792" s="87">
        <v>0</v>
      </c>
      <c r="F792" s="88">
        <v>7106229</v>
      </c>
      <c r="G792" s="87">
        <v>0</v>
      </c>
      <c r="I792" s="87">
        <v>0</v>
      </c>
      <c r="K792" s="87">
        <v>0</v>
      </c>
      <c r="M792" s="87">
        <v>1340</v>
      </c>
      <c r="O792" s="87">
        <v>1364</v>
      </c>
      <c r="P792" s="88">
        <v>8046679</v>
      </c>
      <c r="Q792" s="87">
        <v>1353</v>
      </c>
      <c r="R792" s="87">
        <f t="shared" si="279"/>
        <v>4010</v>
      </c>
      <c r="T792" s="87">
        <v>1353</v>
      </c>
      <c r="V792" s="87">
        <v>2137</v>
      </c>
      <c r="X792" s="87">
        <v>2139</v>
      </c>
      <c r="Y792" s="88">
        <v>8848698.5000000019</v>
      </c>
      <c r="Z792" s="87">
        <v>0</v>
      </c>
      <c r="AA792" s="87">
        <v>4010</v>
      </c>
      <c r="AB792" s="89">
        <f t="shared" si="280"/>
        <v>0</v>
      </c>
      <c r="AC792" s="89">
        <f t="shared" si="281"/>
        <v>1364</v>
      </c>
      <c r="AD792" s="89">
        <f t="shared" si="282"/>
        <v>2139</v>
      </c>
      <c r="AF792" s="90" t="str">
        <f t="shared" si="283"/>
        <v/>
      </c>
      <c r="AG792" s="90">
        <f t="shared" si="284"/>
        <v>4010</v>
      </c>
      <c r="AH792" s="90" t="str">
        <f t="shared" si="285"/>
        <v>2018 (triag)</v>
      </c>
      <c r="AI792" s="90">
        <f t="shared" si="286"/>
        <v>2139</v>
      </c>
      <c r="AJ792" s="90">
        <f t="shared" si="287"/>
        <v>2021</v>
      </c>
      <c r="AK792" s="90" t="str">
        <f t="shared" si="288"/>
        <v>Adjust</v>
      </c>
      <c r="AL792" s="91">
        <f>IF(AK792="Adjust",(_xlfn.XLOOKUP(A792,'Adj factor'!A:A,'Adj factor'!I:I,,0)*AI792),'Master DataSheet (Rev)'!AI792)</f>
        <v>2585.7439769256871</v>
      </c>
      <c r="AM792" s="91">
        <f t="shared" si="289"/>
        <v>4010</v>
      </c>
      <c r="AN792" s="92" t="str">
        <f t="shared" si="290"/>
        <v>Decreasing</v>
      </c>
      <c r="AO792" s="93">
        <f>VLOOKUP(B792,'Growthrates source'!A$2:H$49,8,FALSE)</f>
        <v>-1.0198610590244073E-2</v>
      </c>
      <c r="AP792" s="93">
        <f>VLOOKUP(B792,'Growthrates source'!A$2:I$49,9,FALSE)</f>
        <v>0.13933439758107946</v>
      </c>
      <c r="AQ792" s="86">
        <f t="shared" si="291"/>
        <v>4219.7854869082039</v>
      </c>
      <c r="AR792" s="86">
        <f t="shared" si="292"/>
        <v>6090.8913509741151</v>
      </c>
      <c r="AS792" s="94">
        <f t="shared" si="293"/>
        <v>0</v>
      </c>
      <c r="AT792" s="94">
        <f t="shared" si="294"/>
        <v>4.9834223534951496</v>
      </c>
      <c r="AU792" s="94">
        <f t="shared" si="296"/>
        <v>2.922174347928892</v>
      </c>
      <c r="AV792" s="94">
        <f t="shared" si="297"/>
        <v>4.5317398937256135</v>
      </c>
    </row>
    <row r="793" spans="1:48" x14ac:dyDescent="0.3">
      <c r="A793" s="85" t="str">
        <f>_xlfn.XLOOKUP(B793,'Country codes &amp; Data sources'!G:G,'Country codes &amp; Data sources'!H:H,,0)</f>
        <v>Togo</v>
      </c>
      <c r="B793" s="85" t="s">
        <v>195</v>
      </c>
      <c r="C793" s="86">
        <v>6926651.5</v>
      </c>
      <c r="D793" s="85" t="s">
        <v>209</v>
      </c>
      <c r="E793" s="87">
        <v>0</v>
      </c>
      <c r="F793" s="88">
        <v>7106229</v>
      </c>
      <c r="G793" s="87">
        <v>0</v>
      </c>
      <c r="I793" s="87">
        <v>0</v>
      </c>
      <c r="K793" s="87">
        <v>0</v>
      </c>
      <c r="M793" s="87">
        <v>1264</v>
      </c>
      <c r="O793" s="87">
        <v>1806</v>
      </c>
      <c r="P793" s="88">
        <v>8046679</v>
      </c>
      <c r="Q793" s="87">
        <v>1554</v>
      </c>
      <c r="R793" s="87">
        <f t="shared" si="279"/>
        <v>1554</v>
      </c>
      <c r="T793" s="87">
        <v>1948</v>
      </c>
      <c r="V793" s="87">
        <v>1371</v>
      </c>
      <c r="X793" s="87">
        <v>0</v>
      </c>
      <c r="Y793" s="88">
        <v>8848698.5000000019</v>
      </c>
      <c r="Z793" s="87">
        <v>0</v>
      </c>
      <c r="AA793" s="87">
        <v>360</v>
      </c>
      <c r="AB793" s="89">
        <f t="shared" si="280"/>
        <v>0</v>
      </c>
      <c r="AC793" s="89">
        <f t="shared" si="281"/>
        <v>1948</v>
      </c>
      <c r="AD793" s="89">
        <f t="shared" si="282"/>
        <v>1371</v>
      </c>
      <c r="AF793" s="90" t="str">
        <f t="shared" si="283"/>
        <v/>
      </c>
      <c r="AG793" s="90">
        <f t="shared" si="284"/>
        <v>1554</v>
      </c>
      <c r="AH793" s="90">
        <f t="shared" si="285"/>
        <v>2018</v>
      </c>
      <c r="AI793" s="90">
        <f t="shared" si="286"/>
        <v>1371</v>
      </c>
      <c r="AJ793" s="90">
        <f t="shared" si="287"/>
        <v>2020</v>
      </c>
      <c r="AK793" s="90" t="str">
        <f t="shared" si="288"/>
        <v>Adjust</v>
      </c>
      <c r="AL793" s="91">
        <f>IF(AK793="Adjust",(_xlfn.XLOOKUP(A793,'Adj factor'!A:A,'Adj factor'!I:I,,0)*AI793),'Master DataSheet (Rev)'!AI793)</f>
        <v>1657.3422124194096</v>
      </c>
      <c r="AM793" s="91">
        <f t="shared" si="289"/>
        <v>1657.3422124194096</v>
      </c>
      <c r="AN793" s="92" t="str">
        <f t="shared" si="290"/>
        <v>Increasing</v>
      </c>
      <c r="AO793" s="93">
        <f>VLOOKUP(B793,'Growthrates source'!A$2:H$49,8,FALSE)</f>
        <v>-1.0198610590244073E-2</v>
      </c>
      <c r="AP793" s="93">
        <f>VLOOKUP(B793,'Growthrates source'!A$2:I$49,9,FALSE)</f>
        <v>0.13933439758107946</v>
      </c>
      <c r="AQ793" s="86">
        <f t="shared" si="291"/>
        <v>378.83360979724523</v>
      </c>
      <c r="AR793" s="86">
        <f t="shared" si="292"/>
        <v>546.81318861612999</v>
      </c>
      <c r="AS793" s="94">
        <f t="shared" si="293"/>
        <v>0</v>
      </c>
      <c r="AT793" s="94">
        <f t="shared" si="294"/>
        <v>1.9312315055689435</v>
      </c>
      <c r="AU793" s="94">
        <f t="shared" si="296"/>
        <v>1.8729785091213238</v>
      </c>
      <c r="AV793" s="94">
        <f t="shared" si="297"/>
        <v>1.8729785091213238</v>
      </c>
    </row>
    <row r="794" spans="1:48" x14ac:dyDescent="0.3">
      <c r="A794" s="85" t="str">
        <f>_xlfn.XLOOKUP(B794,'Country codes &amp; Data sources'!G:G,'Country codes &amp; Data sources'!H:H,,0)</f>
        <v>Togo</v>
      </c>
      <c r="B794" s="85" t="s">
        <v>195</v>
      </c>
      <c r="C794" s="86">
        <v>6926652.5</v>
      </c>
      <c r="D794" s="85" t="s">
        <v>134</v>
      </c>
      <c r="E794" s="87">
        <v>0</v>
      </c>
      <c r="F794" s="88">
        <v>7106229</v>
      </c>
      <c r="G794" s="87">
        <v>0</v>
      </c>
      <c r="I794" s="87">
        <v>0</v>
      </c>
      <c r="K794" s="87">
        <v>0</v>
      </c>
      <c r="M794" s="87">
        <v>129</v>
      </c>
      <c r="O794" s="87">
        <v>201</v>
      </c>
      <c r="P794" s="88">
        <v>8046679</v>
      </c>
      <c r="Q794" s="87">
        <v>183</v>
      </c>
      <c r="R794" s="87">
        <f t="shared" si="279"/>
        <v>615</v>
      </c>
      <c r="T794" s="87">
        <v>195</v>
      </c>
      <c r="V794" s="87">
        <v>338</v>
      </c>
      <c r="X794" s="87">
        <v>149</v>
      </c>
      <c r="Y794" s="88">
        <v>8848698.5000000019</v>
      </c>
      <c r="Z794" s="87">
        <v>887</v>
      </c>
      <c r="AA794" s="87">
        <v>615</v>
      </c>
      <c r="AB794" s="89">
        <f t="shared" si="280"/>
        <v>0</v>
      </c>
      <c r="AC794" s="89">
        <f t="shared" si="281"/>
        <v>201</v>
      </c>
      <c r="AD794" s="89">
        <f t="shared" si="282"/>
        <v>887</v>
      </c>
      <c r="AF794" s="90" t="str">
        <f t="shared" si="283"/>
        <v/>
      </c>
      <c r="AG794" s="90">
        <f t="shared" si="284"/>
        <v>615</v>
      </c>
      <c r="AH794" s="90" t="str">
        <f t="shared" si="285"/>
        <v>2018 (triag)</v>
      </c>
      <c r="AI794" s="90">
        <f t="shared" si="286"/>
        <v>887</v>
      </c>
      <c r="AJ794" s="90">
        <f t="shared" si="287"/>
        <v>2022</v>
      </c>
      <c r="AK794" s="90" t="str">
        <f t="shared" si="288"/>
        <v/>
      </c>
      <c r="AL794" s="91">
        <f>IF(AK794="Adjust",(_xlfn.XLOOKUP(A794,'Adj factor'!A:A,'Adj factor'!I:I,,0)*AI794),'Master DataSheet (Rev)'!AI794)</f>
        <v>887</v>
      </c>
      <c r="AM794" s="91">
        <f t="shared" si="289"/>
        <v>887</v>
      </c>
      <c r="AN794" s="92" t="str">
        <f t="shared" si="290"/>
        <v>Increasing</v>
      </c>
      <c r="AO794" s="93">
        <f>VLOOKUP(B794,'Growthrates source'!A$2:H$49,8,FALSE)</f>
        <v>-1.0198610590244073E-2</v>
      </c>
      <c r="AP794" s="93">
        <f>VLOOKUP(B794,'Growthrates source'!A$2:I$49,9,FALSE)</f>
        <v>0.13933439758107946</v>
      </c>
      <c r="AQ794" s="86">
        <f t="shared" si="291"/>
        <v>647.17408340362726</v>
      </c>
      <c r="AR794" s="86">
        <f t="shared" si="292"/>
        <v>934.13919721922207</v>
      </c>
      <c r="AS794" s="94">
        <f t="shared" si="293"/>
        <v>0</v>
      </c>
      <c r="AT794" s="94">
        <f t="shared" si="294"/>
        <v>0.764290460698134</v>
      </c>
      <c r="AU794" s="94">
        <f t="shared" si="296"/>
        <v>1.0024073031757155</v>
      </c>
      <c r="AV794" s="94">
        <f t="shared" si="297"/>
        <v>1.0024073031757155</v>
      </c>
    </row>
    <row r="795" spans="1:48" x14ac:dyDescent="0.3">
      <c r="A795" s="85" t="str">
        <f>_xlfn.XLOOKUP(B795,'Country codes &amp; Data sources'!G:G,'Country codes &amp; Data sources'!H:H,,0)</f>
        <v>Togo</v>
      </c>
      <c r="B795" s="85" t="s">
        <v>195</v>
      </c>
      <c r="C795" s="86">
        <v>6926653.5</v>
      </c>
      <c r="D795" s="85" t="s">
        <v>142</v>
      </c>
      <c r="E795" s="87">
        <v>0</v>
      </c>
      <c r="F795" s="88">
        <v>7106229</v>
      </c>
      <c r="G795" s="87">
        <v>0</v>
      </c>
      <c r="I795" s="87">
        <v>0</v>
      </c>
      <c r="K795" s="87">
        <v>0</v>
      </c>
      <c r="M795" s="87">
        <v>638</v>
      </c>
      <c r="O795" s="87">
        <v>945</v>
      </c>
      <c r="P795" s="88">
        <v>8046679</v>
      </c>
      <c r="Q795" s="87">
        <v>978</v>
      </c>
      <c r="R795" s="87">
        <f t="shared" si="279"/>
        <v>978</v>
      </c>
      <c r="T795" s="87">
        <v>817</v>
      </c>
      <c r="V795" s="87">
        <v>0</v>
      </c>
      <c r="X795" s="87">
        <v>813</v>
      </c>
      <c r="Y795" s="88">
        <v>8848698.5000000019</v>
      </c>
      <c r="Z795" s="87">
        <v>390</v>
      </c>
      <c r="AA795" s="87">
        <v>0</v>
      </c>
      <c r="AB795" s="89">
        <f t="shared" si="280"/>
        <v>0</v>
      </c>
      <c r="AC795" s="89">
        <f t="shared" si="281"/>
        <v>978</v>
      </c>
      <c r="AD795" s="89">
        <f t="shared" si="282"/>
        <v>813</v>
      </c>
      <c r="AF795" s="90" t="str">
        <f t="shared" si="283"/>
        <v/>
      </c>
      <c r="AG795" s="90">
        <f t="shared" si="284"/>
        <v>978</v>
      </c>
      <c r="AH795" s="90">
        <f t="shared" si="285"/>
        <v>2018</v>
      </c>
      <c r="AI795" s="90">
        <f t="shared" si="286"/>
        <v>390</v>
      </c>
      <c r="AJ795" s="90">
        <f t="shared" si="287"/>
        <v>2022</v>
      </c>
      <c r="AK795" s="90" t="str">
        <f t="shared" si="288"/>
        <v>Adjust</v>
      </c>
      <c r="AL795" s="91">
        <f>IF(AK795="Adjust",(_xlfn.XLOOKUP(A795,'Adj factor'!A:A,'Adj factor'!I:I,,0)*AI795),'Master DataSheet (Rev)'!AI795)</f>
        <v>471.45402103834408</v>
      </c>
      <c r="AM795" s="91">
        <f t="shared" si="289"/>
        <v>978</v>
      </c>
      <c r="AN795" s="92" t="str">
        <f t="shared" si="290"/>
        <v>Decreasing</v>
      </c>
      <c r="AO795" s="93">
        <f>VLOOKUP(B795,'Growthrates source'!A$2:H$49,8,FALSE)</f>
        <v>-1.0198610590244073E-2</v>
      </c>
      <c r="AP795" s="93">
        <f>VLOOKUP(B795,'Growthrates source'!A$2:I$49,9,FALSE)</f>
        <v>0.13933439758107946</v>
      </c>
      <c r="AQ795" s="86">
        <f t="shared" si="291"/>
        <v>0</v>
      </c>
      <c r="AR795" s="86">
        <f t="shared" si="292"/>
        <v>0</v>
      </c>
      <c r="AS795" s="94">
        <f t="shared" si="293"/>
        <v>0</v>
      </c>
      <c r="AT795" s="94">
        <f t="shared" si="294"/>
        <v>1.2154082448175203</v>
      </c>
      <c r="AU795" s="94">
        <f t="shared" si="296"/>
        <v>0.53279476189446839</v>
      </c>
      <c r="AV795" s="94">
        <f t="shared" si="297"/>
        <v>1.1052472858014089</v>
      </c>
    </row>
    <row r="796" spans="1:48" x14ac:dyDescent="0.3">
      <c r="A796" s="85" t="str">
        <f>_xlfn.XLOOKUP(B796,'Country codes &amp; Data sources'!G:G,'Country codes &amp; Data sources'!H:H,,0)</f>
        <v>Togo</v>
      </c>
      <c r="B796" s="85" t="s">
        <v>195</v>
      </c>
      <c r="C796" s="86">
        <v>6926654.5</v>
      </c>
      <c r="D796" s="85" t="s">
        <v>83</v>
      </c>
      <c r="E796" s="87">
        <v>0</v>
      </c>
      <c r="F796" s="88">
        <v>7106229</v>
      </c>
      <c r="G796" s="87">
        <v>0</v>
      </c>
      <c r="I796" s="87">
        <v>0</v>
      </c>
      <c r="K796" s="87">
        <v>231</v>
      </c>
      <c r="M796" s="87">
        <v>152</v>
      </c>
      <c r="O796" s="87">
        <v>174</v>
      </c>
      <c r="P796" s="88">
        <v>8046679</v>
      </c>
      <c r="Q796" s="87">
        <v>160</v>
      </c>
      <c r="R796" s="87">
        <f t="shared" si="279"/>
        <v>252</v>
      </c>
      <c r="T796" s="87">
        <v>175</v>
      </c>
      <c r="V796" s="87">
        <v>230</v>
      </c>
      <c r="X796" s="87">
        <v>161</v>
      </c>
      <c r="Y796" s="88">
        <v>8848698.5000000019</v>
      </c>
      <c r="Z796" s="87">
        <v>183</v>
      </c>
      <c r="AA796" s="87">
        <v>252</v>
      </c>
      <c r="AB796" s="89">
        <f t="shared" si="280"/>
        <v>231</v>
      </c>
      <c r="AC796" s="89">
        <f t="shared" si="281"/>
        <v>175</v>
      </c>
      <c r="AD796" s="89">
        <f t="shared" si="282"/>
        <v>230</v>
      </c>
      <c r="AE796" s="90">
        <f t="shared" si="295"/>
        <v>231</v>
      </c>
      <c r="AF796" s="90">
        <f t="shared" si="283"/>
        <v>2015</v>
      </c>
      <c r="AG796" s="90">
        <f t="shared" si="284"/>
        <v>252</v>
      </c>
      <c r="AH796" s="90" t="str">
        <f t="shared" si="285"/>
        <v>2018 (triag)</v>
      </c>
      <c r="AI796" s="90">
        <f t="shared" si="286"/>
        <v>183</v>
      </c>
      <c r="AJ796" s="90">
        <f t="shared" si="287"/>
        <v>2022</v>
      </c>
      <c r="AK796" s="90" t="str">
        <f t="shared" si="288"/>
        <v>Adjust</v>
      </c>
      <c r="AL796" s="91">
        <f>IF(AK796="Adjust",(_xlfn.XLOOKUP(A796,'Adj factor'!A:A,'Adj factor'!I:I,,0)*AI796),'Master DataSheet (Rev)'!AI796)</f>
        <v>221.22073294876148</v>
      </c>
      <c r="AM796" s="91">
        <f t="shared" si="289"/>
        <v>252</v>
      </c>
      <c r="AN796" s="92" t="str">
        <f t="shared" si="290"/>
        <v>Decreasing</v>
      </c>
      <c r="AO796" s="93">
        <f>VLOOKUP(B796,'Growthrates source'!A$2:H$49,8,FALSE)</f>
        <v>-1.0198610590244073E-2</v>
      </c>
      <c r="AP796" s="93">
        <f>VLOOKUP(B796,'Growthrates source'!A$2:I$49,9,FALSE)</f>
        <v>0.13933439758107946</v>
      </c>
      <c r="AQ796" s="86">
        <f t="shared" si="291"/>
        <v>265.18352685807167</v>
      </c>
      <c r="AR796" s="86">
        <f t="shared" si="292"/>
        <v>382.76923203129104</v>
      </c>
      <c r="AS796" s="94">
        <f t="shared" si="293"/>
        <v>0.32506692368061879</v>
      </c>
      <c r="AT796" s="94">
        <f t="shared" si="294"/>
        <v>0.31317267657874759</v>
      </c>
      <c r="AU796" s="94">
        <f t="shared" si="296"/>
        <v>0.25000369596586597</v>
      </c>
      <c r="AV796" s="94">
        <f t="shared" si="297"/>
        <v>0.28478764419422803</v>
      </c>
    </row>
    <row r="797" spans="1:48" x14ac:dyDescent="0.3">
      <c r="A797" s="85" t="str">
        <f>_xlfn.XLOOKUP(B797,'Country codes &amp; Data sources'!G:G,'Country codes &amp; Data sources'!H:H,,0)</f>
        <v>Togo</v>
      </c>
      <c r="B797" s="85" t="s">
        <v>195</v>
      </c>
      <c r="C797" s="86">
        <v>6926655.5</v>
      </c>
      <c r="D797" s="85" t="s">
        <v>84</v>
      </c>
      <c r="E797" s="87">
        <v>0</v>
      </c>
      <c r="F797" s="88">
        <v>7106229</v>
      </c>
      <c r="G797" s="87">
        <v>0</v>
      </c>
      <c r="I797" s="87">
        <v>0</v>
      </c>
      <c r="K797" s="87">
        <v>0</v>
      </c>
      <c r="M797" s="87">
        <v>14</v>
      </c>
      <c r="O797" s="87">
        <v>62</v>
      </c>
      <c r="P797" s="88">
        <v>8046679</v>
      </c>
      <c r="Q797" s="87">
        <v>62</v>
      </c>
      <c r="R797" s="87">
        <f t="shared" si="279"/>
        <v>62</v>
      </c>
      <c r="T797" s="87">
        <v>62</v>
      </c>
      <c r="V797" s="87">
        <v>66</v>
      </c>
      <c r="X797" s="87">
        <v>56</v>
      </c>
      <c r="Y797" s="88">
        <v>8848698.5000000019</v>
      </c>
      <c r="Z797" s="87">
        <v>0</v>
      </c>
      <c r="AA797" s="87">
        <v>0</v>
      </c>
      <c r="AB797" s="89">
        <f t="shared" si="280"/>
        <v>0</v>
      </c>
      <c r="AC797" s="89">
        <f t="shared" si="281"/>
        <v>62</v>
      </c>
      <c r="AD797" s="89">
        <f t="shared" si="282"/>
        <v>66</v>
      </c>
      <c r="AF797" s="90" t="str">
        <f t="shared" si="283"/>
        <v/>
      </c>
      <c r="AG797" s="90">
        <f t="shared" si="284"/>
        <v>62</v>
      </c>
      <c r="AH797" s="90">
        <f t="shared" si="285"/>
        <v>2017</v>
      </c>
      <c r="AI797" s="90">
        <f t="shared" si="286"/>
        <v>56</v>
      </c>
      <c r="AJ797" s="90">
        <f t="shared" si="287"/>
        <v>2021</v>
      </c>
      <c r="AK797" s="90" t="str">
        <f t="shared" si="288"/>
        <v>Adjust</v>
      </c>
      <c r="AL797" s="91">
        <f>IF(AK797="Adjust",(_xlfn.XLOOKUP(A797,'Adj factor'!A:A,'Adj factor'!I:I,,0)*AI797),'Master DataSheet (Rev)'!AI797)</f>
        <v>67.695961995249405</v>
      </c>
      <c r="AM797" s="91">
        <f t="shared" si="289"/>
        <v>67.695961995249405</v>
      </c>
      <c r="AN797" s="92" t="str">
        <f t="shared" si="290"/>
        <v>Increasing</v>
      </c>
      <c r="AO797" s="93">
        <f>VLOOKUP(B797,'Growthrates source'!A$2:H$49,8,FALSE)</f>
        <v>-1.0198610590244073E-2</v>
      </c>
      <c r="AP797" s="93">
        <f>VLOOKUP(B797,'Growthrates source'!A$2:I$49,9,FALSE)</f>
        <v>0.13933439758107946</v>
      </c>
      <c r="AQ797" s="86">
        <f t="shared" si="291"/>
        <v>0</v>
      </c>
      <c r="AR797" s="86">
        <f t="shared" si="292"/>
        <v>0</v>
      </c>
      <c r="AS797" s="94">
        <f t="shared" si="293"/>
        <v>0</v>
      </c>
      <c r="AT797" s="94">
        <f t="shared" si="294"/>
        <v>7.705042042810456E-2</v>
      </c>
      <c r="AU797" s="94">
        <f t="shared" si="296"/>
        <v>7.6503863246385209E-2</v>
      </c>
      <c r="AV797" s="94">
        <f t="shared" si="297"/>
        <v>7.6503863246385209E-2</v>
      </c>
    </row>
    <row r="798" spans="1:48" x14ac:dyDescent="0.3">
      <c r="A798" s="85" t="str">
        <f>_xlfn.XLOOKUP(B798,'Country codes &amp; Data sources'!G:G,'Country codes &amp; Data sources'!H:H,,0)</f>
        <v>Togo</v>
      </c>
      <c r="B798" s="85" t="s">
        <v>195</v>
      </c>
      <c r="C798" s="86">
        <v>6926656.5</v>
      </c>
      <c r="D798" s="85" t="s">
        <v>126</v>
      </c>
      <c r="E798" s="87">
        <v>0</v>
      </c>
      <c r="F798" s="88">
        <v>7106229</v>
      </c>
      <c r="G798" s="87">
        <v>0</v>
      </c>
      <c r="I798" s="87">
        <v>0</v>
      </c>
      <c r="K798" s="87">
        <v>0</v>
      </c>
      <c r="M798" s="87">
        <v>9</v>
      </c>
      <c r="O798" s="87">
        <v>21</v>
      </c>
      <c r="P798" s="88">
        <v>8046679</v>
      </c>
      <c r="Q798" s="87">
        <v>25</v>
      </c>
      <c r="R798" s="87">
        <f t="shared" si="279"/>
        <v>25</v>
      </c>
      <c r="T798" s="87">
        <v>35</v>
      </c>
      <c r="V798" s="87">
        <v>83</v>
      </c>
      <c r="X798" s="87">
        <v>33</v>
      </c>
      <c r="Y798" s="88">
        <v>8848698.5000000019</v>
      </c>
      <c r="Z798" s="87">
        <v>0</v>
      </c>
      <c r="AA798" s="87">
        <v>0</v>
      </c>
      <c r="AB798" s="89">
        <f t="shared" si="280"/>
        <v>0</v>
      </c>
      <c r="AC798" s="89">
        <f t="shared" si="281"/>
        <v>35</v>
      </c>
      <c r="AD798" s="89">
        <f t="shared" si="282"/>
        <v>83</v>
      </c>
      <c r="AF798" s="90" t="str">
        <f t="shared" si="283"/>
        <v/>
      </c>
      <c r="AG798" s="90">
        <f t="shared" si="284"/>
        <v>25</v>
      </c>
      <c r="AH798" s="90">
        <f t="shared" si="285"/>
        <v>2018</v>
      </c>
      <c r="AI798" s="90">
        <f t="shared" si="286"/>
        <v>33</v>
      </c>
      <c r="AJ798" s="90">
        <f t="shared" si="287"/>
        <v>2021</v>
      </c>
      <c r="AK798" s="90" t="str">
        <f t="shared" si="288"/>
        <v/>
      </c>
      <c r="AL798" s="91">
        <f>IF(AK798="Adjust",(_xlfn.XLOOKUP(A798,'Adj factor'!A:A,'Adj factor'!I:I,,0)*AI798),'Master DataSheet (Rev)'!AI798)</f>
        <v>33</v>
      </c>
      <c r="AM798" s="91">
        <f t="shared" si="289"/>
        <v>33</v>
      </c>
      <c r="AN798" s="92" t="str">
        <f t="shared" si="290"/>
        <v>Increasing</v>
      </c>
      <c r="AO798" s="93">
        <f>VLOOKUP(B798,'Growthrates source'!A$2:H$49,8,FALSE)</f>
        <v>-1.0198610590244073E-2</v>
      </c>
      <c r="AP798" s="93">
        <f>VLOOKUP(B798,'Growthrates source'!A$2:I$49,9,FALSE)</f>
        <v>0.13933439758107946</v>
      </c>
      <c r="AQ798" s="86">
        <f t="shared" si="291"/>
        <v>0</v>
      </c>
      <c r="AR798" s="86">
        <f t="shared" si="292"/>
        <v>0</v>
      </c>
      <c r="AS798" s="94">
        <f t="shared" si="293"/>
        <v>0</v>
      </c>
      <c r="AT798" s="94">
        <f t="shared" si="294"/>
        <v>3.1068717914558293E-2</v>
      </c>
      <c r="AU798" s="94">
        <f t="shared" si="296"/>
        <v>3.7293620073053674E-2</v>
      </c>
      <c r="AV798" s="94">
        <f t="shared" si="297"/>
        <v>3.7293620073053674E-2</v>
      </c>
    </row>
    <row r="799" spans="1:48" x14ac:dyDescent="0.3">
      <c r="A799" s="85" t="str">
        <f>_xlfn.XLOOKUP(B799,'Country codes &amp; Data sources'!G:G,'Country codes &amp; Data sources'!H:H,,0)</f>
        <v>Togo</v>
      </c>
      <c r="B799" s="85" t="s">
        <v>195</v>
      </c>
      <c r="C799" s="86">
        <v>6926657.5</v>
      </c>
      <c r="D799" s="85" t="s">
        <v>87</v>
      </c>
      <c r="E799" s="87">
        <v>0</v>
      </c>
      <c r="F799" s="88">
        <v>7106229</v>
      </c>
      <c r="G799" s="87">
        <v>0</v>
      </c>
      <c r="I799" s="87">
        <v>0</v>
      </c>
      <c r="K799" s="87">
        <v>0</v>
      </c>
      <c r="M799" s="87">
        <v>0</v>
      </c>
      <c r="O799" s="87">
        <v>0</v>
      </c>
      <c r="P799" s="88">
        <v>8046679</v>
      </c>
      <c r="Q799" s="87">
        <v>0</v>
      </c>
      <c r="R799" s="87">
        <f t="shared" si="279"/>
        <v>987</v>
      </c>
      <c r="T799" s="87">
        <v>0</v>
      </c>
      <c r="V799" s="87">
        <v>0</v>
      </c>
      <c r="X799" s="87">
        <v>0</v>
      </c>
      <c r="Y799" s="88">
        <v>8848698.5000000019</v>
      </c>
      <c r="Z799" s="87">
        <v>0</v>
      </c>
      <c r="AA799" s="87">
        <v>987</v>
      </c>
      <c r="AB799" s="89">
        <f t="shared" si="280"/>
        <v>0</v>
      </c>
      <c r="AC799" s="89">
        <f t="shared" si="281"/>
        <v>0</v>
      </c>
      <c r="AD799" s="89">
        <f t="shared" si="282"/>
        <v>0</v>
      </c>
      <c r="AF799" s="90" t="str">
        <f t="shared" si="283"/>
        <v/>
      </c>
      <c r="AG799" s="90">
        <f t="shared" si="284"/>
        <v>987</v>
      </c>
      <c r="AH799" s="90" t="str">
        <f t="shared" si="285"/>
        <v>2018 (triag)</v>
      </c>
      <c r="AI799" s="90">
        <f t="shared" si="286"/>
        <v>987</v>
      </c>
      <c r="AJ799" s="90" t="str">
        <f t="shared" si="287"/>
        <v>2018 (triag)</v>
      </c>
      <c r="AK799" s="90" t="str">
        <f t="shared" si="288"/>
        <v/>
      </c>
      <c r="AL799" s="91">
        <f>IF(AK799="Adjust",(_xlfn.XLOOKUP(A799,'Adj factor'!A:A,'Adj factor'!I:I,,0)*AI799),'Master DataSheet (Rev)'!AI799)</f>
        <v>987</v>
      </c>
      <c r="AM799" s="91">
        <f t="shared" si="289"/>
        <v>987</v>
      </c>
      <c r="AN799" s="92" t="str">
        <f t="shared" si="290"/>
        <v>No change</v>
      </c>
      <c r="AO799" s="93">
        <f>VLOOKUP(B799,'Growthrates source'!A$2:H$49,8,FALSE)</f>
        <v>-1.0198610590244073E-2</v>
      </c>
      <c r="AP799" s="93">
        <f>VLOOKUP(B799,'Growthrates source'!A$2:I$49,9,FALSE)</f>
        <v>0.13933439758107946</v>
      </c>
      <c r="AQ799" s="86">
        <f t="shared" si="291"/>
        <v>1038.6354801941141</v>
      </c>
      <c r="AR799" s="86">
        <f t="shared" si="292"/>
        <v>1499.1794921225564</v>
      </c>
      <c r="AS799" s="94">
        <f t="shared" si="293"/>
        <v>0</v>
      </c>
      <c r="AT799" s="94">
        <f t="shared" si="294"/>
        <v>1.2265929832667612</v>
      </c>
      <c r="AU799" s="94">
        <f t="shared" si="296"/>
        <v>1.1154182730940598</v>
      </c>
      <c r="AV799" s="94">
        <f t="shared" si="297"/>
        <v>1.1154182730940598</v>
      </c>
    </row>
    <row r="800" spans="1:48" x14ac:dyDescent="0.3">
      <c r="A800" s="85" t="str">
        <f>_xlfn.XLOOKUP(B800,'Country codes &amp; Data sources'!G:G,'Country codes &amp; Data sources'!H:H,,0)</f>
        <v>Tanzania</v>
      </c>
      <c r="B800" s="85" t="s">
        <v>197</v>
      </c>
      <c r="C800" s="86">
        <v>47786142.5</v>
      </c>
      <c r="D800" s="85" t="s">
        <v>127</v>
      </c>
      <c r="E800" s="87">
        <v>0</v>
      </c>
      <c r="F800" s="88">
        <v>49253643.5</v>
      </c>
      <c r="G800" s="87">
        <v>0</v>
      </c>
      <c r="I800" s="87">
        <v>0</v>
      </c>
      <c r="K800" s="87">
        <v>0</v>
      </c>
      <c r="M800" s="87">
        <v>0</v>
      </c>
      <c r="O800" s="87">
        <v>0</v>
      </c>
      <c r="P800" s="88">
        <v>58090443.000000007</v>
      </c>
      <c r="Q800" s="87">
        <v>0</v>
      </c>
      <c r="R800" s="87">
        <f t="shared" si="279"/>
        <v>0</v>
      </c>
      <c r="T800" s="87">
        <v>0</v>
      </c>
      <c r="V800" s="87">
        <v>0</v>
      </c>
      <c r="X800" s="87">
        <v>0</v>
      </c>
      <c r="Y800" s="88">
        <v>65497748.000000045</v>
      </c>
      <c r="Z800" s="87">
        <v>20737</v>
      </c>
      <c r="AA800" s="87">
        <v>0</v>
      </c>
      <c r="AB800" s="89">
        <f t="shared" si="280"/>
        <v>0</v>
      </c>
      <c r="AC800" s="89">
        <f t="shared" si="281"/>
        <v>0</v>
      </c>
      <c r="AD800" s="89">
        <f t="shared" si="282"/>
        <v>20737</v>
      </c>
      <c r="AF800" s="90" t="str">
        <f t="shared" si="283"/>
        <v/>
      </c>
      <c r="AH800" s="90" t="str">
        <f t="shared" si="285"/>
        <v/>
      </c>
      <c r="AI800" s="90">
        <f t="shared" si="286"/>
        <v>20737</v>
      </c>
      <c r="AJ800" s="90">
        <f t="shared" si="287"/>
        <v>2022</v>
      </c>
      <c r="AK800" s="90" t="str">
        <f t="shared" si="288"/>
        <v/>
      </c>
      <c r="AL800" s="91">
        <f>IF(AK800="Adjust",(_xlfn.XLOOKUP(A800,'Adj factor'!A:A,'Adj factor'!I:I,,0)*AI800),'Master DataSheet (Rev)'!AI800)</f>
        <v>20737</v>
      </c>
      <c r="AM800" s="91">
        <f t="shared" si="289"/>
        <v>20737</v>
      </c>
      <c r="AN800" s="92" t="str">
        <f t="shared" si="290"/>
        <v>Increasing</v>
      </c>
      <c r="AO800" s="93">
        <f>VLOOKUP(B800,'Growthrates source'!A$2:H$49,8,FALSE)</f>
        <v>0.14011618556211447</v>
      </c>
      <c r="AP800" s="93">
        <f>VLOOKUP(B800,'Growthrates source'!A$2:I$49,9,FALSE)</f>
        <v>5.4673730437993617E-2</v>
      </c>
      <c r="AQ800" s="86">
        <f t="shared" si="291"/>
        <v>0</v>
      </c>
      <c r="AR800" s="86">
        <f t="shared" si="292"/>
        <v>0</v>
      </c>
      <c r="AS800" s="94">
        <f t="shared" si="293"/>
        <v>0</v>
      </c>
      <c r="AT800" s="94">
        <f t="shared" si="294"/>
        <v>0</v>
      </c>
      <c r="AU800" s="94">
        <f t="shared" si="296"/>
        <v>3.166063053038096</v>
      </c>
      <c r="AV800" s="94">
        <f t="shared" si="297"/>
        <v>3.166063053038096</v>
      </c>
    </row>
    <row r="801" spans="1:48" x14ac:dyDescent="0.3">
      <c r="A801" s="85" t="str">
        <f>_xlfn.XLOOKUP(B801,'Country codes &amp; Data sources'!G:G,'Country codes &amp; Data sources'!H:H,,0)</f>
        <v>Tanzania</v>
      </c>
      <c r="B801" s="85" t="s">
        <v>197</v>
      </c>
      <c r="C801" s="86">
        <v>47786143.5</v>
      </c>
      <c r="D801" s="85" t="s">
        <v>61</v>
      </c>
      <c r="E801" s="87">
        <v>0</v>
      </c>
      <c r="F801" s="88">
        <v>49253643.5</v>
      </c>
      <c r="G801" s="87">
        <v>0</v>
      </c>
      <c r="I801" s="87">
        <v>0</v>
      </c>
      <c r="K801" s="87">
        <v>0</v>
      </c>
      <c r="M801" s="87">
        <v>0</v>
      </c>
      <c r="O801" s="87">
        <v>49</v>
      </c>
      <c r="P801" s="88">
        <v>58090443.000000007</v>
      </c>
      <c r="Q801" s="87">
        <v>855</v>
      </c>
      <c r="R801" s="87">
        <f t="shared" si="279"/>
        <v>855</v>
      </c>
      <c r="T801" s="87">
        <v>0</v>
      </c>
      <c r="V801" s="87">
        <v>0</v>
      </c>
      <c r="X801" s="87">
        <v>0</v>
      </c>
      <c r="Y801" s="88">
        <v>65497748.000000045</v>
      </c>
      <c r="Z801" s="87">
        <v>65</v>
      </c>
      <c r="AA801" s="87">
        <v>148</v>
      </c>
      <c r="AB801" s="89">
        <f t="shared" si="280"/>
        <v>0</v>
      </c>
      <c r="AC801" s="89">
        <f t="shared" si="281"/>
        <v>855</v>
      </c>
      <c r="AD801" s="89">
        <f t="shared" si="282"/>
        <v>65</v>
      </c>
      <c r="AF801" s="90" t="str">
        <f t="shared" si="283"/>
        <v/>
      </c>
      <c r="AG801" s="90">
        <f t="shared" si="284"/>
        <v>855</v>
      </c>
      <c r="AH801" s="90">
        <f t="shared" si="285"/>
        <v>2018</v>
      </c>
      <c r="AI801" s="90">
        <f t="shared" si="286"/>
        <v>65</v>
      </c>
      <c r="AJ801" s="90">
        <f t="shared" si="287"/>
        <v>2022</v>
      </c>
      <c r="AK801" s="90" t="str">
        <f t="shared" si="288"/>
        <v>Adjust</v>
      </c>
      <c r="AL801" s="91">
        <f>IF(AK801="Adjust",(_xlfn.XLOOKUP(A801,'Adj factor'!A:A,'Adj factor'!I:I,,0)*AI801),'Master DataSheet (Rev)'!AI801)</f>
        <v>84.207649746486481</v>
      </c>
      <c r="AM801" s="91">
        <f t="shared" si="289"/>
        <v>855</v>
      </c>
      <c r="AN801" s="92" t="str">
        <f t="shared" si="290"/>
        <v>Decreasing</v>
      </c>
      <c r="AO801" s="93">
        <f>VLOOKUP(B801,'Growthrates source'!A$2:H$49,8,FALSE)</f>
        <v>0.14011618556211447</v>
      </c>
      <c r="AP801" s="93">
        <f>VLOOKUP(B801,'Growthrates source'!A$2:I$49,9,FALSE)</f>
        <v>5.4673730437993617E-2</v>
      </c>
      <c r="AQ801" s="86">
        <f t="shared" si="291"/>
        <v>73.451942288537239</v>
      </c>
      <c r="AR801" s="86">
        <f t="shared" si="292"/>
        <v>174.379413923481</v>
      </c>
      <c r="AS801" s="94">
        <f t="shared" si="293"/>
        <v>0</v>
      </c>
      <c r="AT801" s="94">
        <f t="shared" si="294"/>
        <v>0.14718427952081548</v>
      </c>
      <c r="AU801" s="94">
        <f t="shared" si="296"/>
        <v>1.2856571762816399E-2</v>
      </c>
      <c r="AV801" s="94">
        <f t="shared" si="297"/>
        <v>0.13053883928955839</v>
      </c>
    </row>
    <row r="802" spans="1:48" x14ac:dyDescent="0.3">
      <c r="A802" s="85" t="str">
        <f>_xlfn.XLOOKUP(B802,'Country codes &amp; Data sources'!G:G,'Country codes &amp; Data sources'!H:H,,0)</f>
        <v>Tanzania</v>
      </c>
      <c r="B802" s="85" t="s">
        <v>197</v>
      </c>
      <c r="C802" s="86">
        <v>47786144.5</v>
      </c>
      <c r="D802" s="85" t="s">
        <v>62</v>
      </c>
      <c r="E802" s="87">
        <v>3255</v>
      </c>
      <c r="F802" s="88">
        <v>49253643.5</v>
      </c>
      <c r="G802" s="87">
        <v>0</v>
      </c>
      <c r="I802" s="87">
        <v>0</v>
      </c>
      <c r="K802" s="87">
        <v>0</v>
      </c>
      <c r="M802" s="87">
        <v>0</v>
      </c>
      <c r="O802" s="87">
        <v>566</v>
      </c>
      <c r="P802" s="88">
        <v>58090443.000000007</v>
      </c>
      <c r="Q802" s="87">
        <v>1905</v>
      </c>
      <c r="R802" s="87">
        <f t="shared" si="279"/>
        <v>1905</v>
      </c>
      <c r="T802" s="87">
        <v>0</v>
      </c>
      <c r="V802" s="87">
        <v>0</v>
      </c>
      <c r="X802" s="87">
        <v>0</v>
      </c>
      <c r="Y802" s="88">
        <v>65497748.000000045</v>
      </c>
      <c r="Z802" s="87">
        <v>929</v>
      </c>
      <c r="AA802" s="87">
        <v>578</v>
      </c>
      <c r="AB802" s="89">
        <f t="shared" si="280"/>
        <v>3255</v>
      </c>
      <c r="AC802" s="89">
        <f t="shared" si="281"/>
        <v>1905</v>
      </c>
      <c r="AD802" s="89">
        <f t="shared" si="282"/>
        <v>929</v>
      </c>
      <c r="AE802" s="90">
        <f t="shared" si="295"/>
        <v>3255</v>
      </c>
      <c r="AF802" s="90">
        <f t="shared" si="283"/>
        <v>2012</v>
      </c>
      <c r="AG802" s="90">
        <f t="shared" si="284"/>
        <v>1905</v>
      </c>
      <c r="AH802" s="90">
        <f t="shared" si="285"/>
        <v>2018</v>
      </c>
      <c r="AI802" s="90">
        <f t="shared" si="286"/>
        <v>929</v>
      </c>
      <c r="AJ802" s="90">
        <f t="shared" si="287"/>
        <v>2022</v>
      </c>
      <c r="AK802" s="90" t="str">
        <f t="shared" si="288"/>
        <v>Adjust</v>
      </c>
      <c r="AL802" s="91">
        <f>IF(AK802="Adjust",(_xlfn.XLOOKUP(A802,'Adj factor'!A:A,'Adj factor'!I:I,,0)*AI802),'Master DataSheet (Rev)'!AI802)</f>
        <v>1203.5216402228605</v>
      </c>
      <c r="AM802" s="91">
        <f t="shared" si="289"/>
        <v>1905</v>
      </c>
      <c r="AN802" s="92" t="str">
        <f t="shared" si="290"/>
        <v>Decreasing</v>
      </c>
      <c r="AO802" s="93">
        <f>VLOOKUP(B802,'Growthrates source'!A$2:H$49,8,FALSE)</f>
        <v>0.14011618556211447</v>
      </c>
      <c r="AP802" s="93">
        <f>VLOOKUP(B802,'Growthrates source'!A$2:I$49,9,FALSE)</f>
        <v>5.4673730437993617E-2</v>
      </c>
      <c r="AQ802" s="86">
        <f t="shared" si="291"/>
        <v>286.8596124511792</v>
      </c>
      <c r="AR802" s="86">
        <f t="shared" si="292"/>
        <v>681.02230572818928</v>
      </c>
      <c r="AS802" s="94">
        <f t="shared" si="293"/>
        <v>0.66086481500602079</v>
      </c>
      <c r="AT802" s="94">
        <f t="shared" si="294"/>
        <v>0.32793690349374677</v>
      </c>
      <c r="AU802" s="94">
        <f t="shared" si="296"/>
        <v>0.18375007950240665</v>
      </c>
      <c r="AV802" s="94">
        <f t="shared" si="297"/>
        <v>0.29084969455743709</v>
      </c>
    </row>
    <row r="803" spans="1:48" x14ac:dyDescent="0.3">
      <c r="A803" s="85" t="str">
        <f>_xlfn.XLOOKUP(B803,'Country codes &amp; Data sources'!G:G,'Country codes &amp; Data sources'!H:H,,0)</f>
        <v>Tanzania</v>
      </c>
      <c r="B803" s="85" t="s">
        <v>197</v>
      </c>
      <c r="C803" s="86">
        <v>47786145.5</v>
      </c>
      <c r="D803" s="85" t="s">
        <v>203</v>
      </c>
      <c r="E803" s="87">
        <v>0</v>
      </c>
      <c r="F803" s="88">
        <v>49253643.5</v>
      </c>
      <c r="G803" s="87">
        <v>0</v>
      </c>
      <c r="I803" s="87">
        <v>0</v>
      </c>
      <c r="K803" s="87">
        <v>0</v>
      </c>
      <c r="M803" s="87">
        <v>0</v>
      </c>
      <c r="O803" s="87">
        <v>0</v>
      </c>
      <c r="P803" s="88">
        <v>58090443.000000007</v>
      </c>
      <c r="Q803" s="87">
        <v>0</v>
      </c>
      <c r="R803" s="87">
        <f t="shared" si="279"/>
        <v>25803</v>
      </c>
      <c r="T803" s="87">
        <v>0</v>
      </c>
      <c r="V803" s="87">
        <v>0</v>
      </c>
      <c r="X803" s="87">
        <v>0</v>
      </c>
      <c r="Y803" s="88">
        <v>65497748.000000045</v>
      </c>
      <c r="Z803" s="87">
        <v>0</v>
      </c>
      <c r="AA803" s="87">
        <v>25803</v>
      </c>
      <c r="AB803" s="89">
        <f t="shared" si="280"/>
        <v>0</v>
      </c>
      <c r="AC803" s="89">
        <f t="shared" si="281"/>
        <v>0</v>
      </c>
      <c r="AD803" s="89">
        <f t="shared" si="282"/>
        <v>0</v>
      </c>
      <c r="AF803" s="90" t="str">
        <f t="shared" si="283"/>
        <v/>
      </c>
      <c r="AG803" s="90">
        <f t="shared" si="284"/>
        <v>25803</v>
      </c>
      <c r="AH803" s="90" t="str">
        <f t="shared" si="285"/>
        <v>2018 (triag)</v>
      </c>
      <c r="AI803" s="90">
        <f t="shared" si="286"/>
        <v>25803</v>
      </c>
      <c r="AJ803" s="90" t="str">
        <f t="shared" si="287"/>
        <v>2018 (triag)</v>
      </c>
      <c r="AK803" s="90" t="str">
        <f t="shared" si="288"/>
        <v/>
      </c>
      <c r="AL803" s="91">
        <f>IF(AK803="Adjust",(_xlfn.XLOOKUP(A803,'Adj factor'!A:A,'Adj factor'!I:I,,0)*AI803),'Master DataSheet (Rev)'!AI803)</f>
        <v>25803</v>
      </c>
      <c r="AM803" s="91">
        <f>IF(AL803&lt;AG803,AG803,AL803)</f>
        <v>25803</v>
      </c>
      <c r="AN803" s="92" t="str">
        <f t="shared" si="290"/>
        <v>No change</v>
      </c>
      <c r="AO803" s="93">
        <f>VLOOKUP(B803,'Growthrates source'!A$2:H$49,8,FALSE)</f>
        <v>0.14011618556211447</v>
      </c>
      <c r="AP803" s="93">
        <f>VLOOKUP(B803,'Growthrates source'!A$2:I$49,9,FALSE)</f>
        <v>5.4673730437993617E-2</v>
      </c>
      <c r="AQ803" s="86">
        <f t="shared" si="291"/>
        <v>12805.949100480582</v>
      </c>
      <c r="AR803" s="86">
        <f t="shared" si="292"/>
        <v>30402.108226132295</v>
      </c>
      <c r="AS803" s="94">
        <f t="shared" si="293"/>
        <v>0</v>
      </c>
      <c r="AT803" s="94">
        <f t="shared" si="294"/>
        <v>4.4418666251176626</v>
      </c>
      <c r="AU803" s="94">
        <f t="shared" si="296"/>
        <v>3.9395247604543568</v>
      </c>
      <c r="AV803" s="94">
        <f t="shared" si="297"/>
        <v>3.9395247604543568</v>
      </c>
    </row>
    <row r="804" spans="1:48" x14ac:dyDescent="0.3">
      <c r="A804" s="85" t="str">
        <f>_xlfn.XLOOKUP(B804,'Country codes &amp; Data sources'!G:G,'Country codes &amp; Data sources'!H:H,,0)</f>
        <v>Tanzania</v>
      </c>
      <c r="B804" s="85" t="s">
        <v>197</v>
      </c>
      <c r="C804" s="86">
        <v>47786146.5</v>
      </c>
      <c r="D804" s="85" t="s">
        <v>204</v>
      </c>
      <c r="E804" s="87">
        <v>0</v>
      </c>
      <c r="F804" s="88">
        <v>49253643.5</v>
      </c>
      <c r="G804" s="87">
        <v>0</v>
      </c>
      <c r="I804" s="87">
        <v>0</v>
      </c>
      <c r="K804" s="87">
        <v>0</v>
      </c>
      <c r="M804" s="87">
        <v>0</v>
      </c>
      <c r="O804" s="87">
        <v>0</v>
      </c>
      <c r="P804" s="88">
        <v>58090443.000000007</v>
      </c>
      <c r="Q804" s="87">
        <v>0</v>
      </c>
      <c r="R804" s="87">
        <f t="shared" si="279"/>
        <v>633</v>
      </c>
      <c r="T804" s="87">
        <v>0</v>
      </c>
      <c r="V804" s="87">
        <v>0</v>
      </c>
      <c r="X804" s="87">
        <v>0</v>
      </c>
      <c r="Y804" s="88">
        <v>65497748.000000045</v>
      </c>
      <c r="Z804" s="87">
        <v>0</v>
      </c>
      <c r="AA804" s="87">
        <v>633</v>
      </c>
      <c r="AB804" s="89">
        <f t="shared" si="280"/>
        <v>0</v>
      </c>
      <c r="AC804" s="89">
        <f t="shared" si="281"/>
        <v>0</v>
      </c>
      <c r="AD804" s="89">
        <f t="shared" si="282"/>
        <v>0</v>
      </c>
      <c r="AF804" s="90" t="str">
        <f t="shared" si="283"/>
        <v/>
      </c>
      <c r="AG804" s="90">
        <f t="shared" si="284"/>
        <v>633</v>
      </c>
      <c r="AH804" s="90" t="str">
        <f t="shared" si="285"/>
        <v>2018 (triag)</v>
      </c>
      <c r="AI804" s="90">
        <f t="shared" si="286"/>
        <v>633</v>
      </c>
      <c r="AJ804" s="90" t="str">
        <f t="shared" si="287"/>
        <v>2018 (triag)</v>
      </c>
      <c r="AK804" s="90" t="str">
        <f t="shared" si="288"/>
        <v/>
      </c>
      <c r="AL804" s="91">
        <f>IF(AK804="Adjust",(_xlfn.XLOOKUP(A804,'Adj factor'!A:A,'Adj factor'!I:I,,0)*AI804),'Master DataSheet (Rev)'!AI804)</f>
        <v>633</v>
      </c>
      <c r="AM804" s="91">
        <f t="shared" si="289"/>
        <v>633</v>
      </c>
      <c r="AN804" s="92" t="str">
        <f t="shared" si="290"/>
        <v>No change</v>
      </c>
      <c r="AO804" s="93">
        <f>VLOOKUP(B804,'Growthrates source'!A$2:H$49,8,FALSE)</f>
        <v>0.14011618556211447</v>
      </c>
      <c r="AP804" s="93">
        <f>VLOOKUP(B804,'Growthrates source'!A$2:I$49,9,FALSE)</f>
        <v>5.4673730437993617E-2</v>
      </c>
      <c r="AQ804" s="86">
        <f t="shared" si="291"/>
        <v>314.15594235570319</v>
      </c>
      <c r="AR804" s="86">
        <f t="shared" si="292"/>
        <v>745.82546630786123</v>
      </c>
      <c r="AS804" s="94">
        <f t="shared" si="293"/>
        <v>0</v>
      </c>
      <c r="AT804" s="94">
        <f t="shared" si="294"/>
        <v>0.10896801045225286</v>
      </c>
      <c r="AU804" s="94">
        <f t="shared" si="296"/>
        <v>9.6644544175778307E-2</v>
      </c>
      <c r="AV804" s="94">
        <f t="shared" si="297"/>
        <v>9.6644544175778307E-2</v>
      </c>
    </row>
    <row r="805" spans="1:48" x14ac:dyDescent="0.3">
      <c r="A805" s="85" t="str">
        <f>_xlfn.XLOOKUP(B805,'Country codes &amp; Data sources'!G:G,'Country codes &amp; Data sources'!H:H,,0)</f>
        <v>Tanzania</v>
      </c>
      <c r="B805" s="85" t="s">
        <v>197</v>
      </c>
      <c r="C805" s="86">
        <v>47786147.5</v>
      </c>
      <c r="D805" s="85" t="s">
        <v>205</v>
      </c>
      <c r="E805" s="87">
        <v>60</v>
      </c>
      <c r="F805" s="88">
        <v>49253643.5</v>
      </c>
      <c r="G805" s="87">
        <v>0</v>
      </c>
      <c r="I805" s="87">
        <v>0</v>
      </c>
      <c r="K805" s="87">
        <v>0</v>
      </c>
      <c r="M805" s="87">
        <v>0</v>
      </c>
      <c r="O805" s="87">
        <v>0</v>
      </c>
      <c r="P805" s="88">
        <v>58090443.000000007</v>
      </c>
      <c r="Q805" s="87">
        <v>89</v>
      </c>
      <c r="R805" s="87">
        <f t="shared" si="279"/>
        <v>89</v>
      </c>
      <c r="T805" s="87">
        <v>0</v>
      </c>
      <c r="V805" s="87">
        <v>0</v>
      </c>
      <c r="X805" s="87">
        <v>0</v>
      </c>
      <c r="Y805" s="88">
        <v>65497748.000000045</v>
      </c>
      <c r="Z805" s="87">
        <v>12</v>
      </c>
      <c r="AA805" s="87">
        <v>73</v>
      </c>
      <c r="AB805" s="89">
        <f t="shared" si="280"/>
        <v>60</v>
      </c>
      <c r="AC805" s="89">
        <f t="shared" si="281"/>
        <v>89</v>
      </c>
      <c r="AD805" s="89">
        <f t="shared" si="282"/>
        <v>12</v>
      </c>
      <c r="AE805" s="90">
        <f t="shared" si="295"/>
        <v>60</v>
      </c>
      <c r="AF805" s="90">
        <f t="shared" si="283"/>
        <v>2012</v>
      </c>
      <c r="AG805" s="90">
        <f t="shared" si="284"/>
        <v>89</v>
      </c>
      <c r="AH805" s="90">
        <f t="shared" si="285"/>
        <v>2018</v>
      </c>
      <c r="AI805" s="90">
        <f t="shared" si="286"/>
        <v>12</v>
      </c>
      <c r="AJ805" s="90">
        <f t="shared" si="287"/>
        <v>2022</v>
      </c>
      <c r="AK805" s="90" t="str">
        <f t="shared" si="288"/>
        <v>Adjust</v>
      </c>
      <c r="AL805" s="91">
        <f>IF(AK805="Adjust",(_xlfn.XLOOKUP(A805,'Adj factor'!A:A,'Adj factor'!I:I,,0)*AI805),'Master DataSheet (Rev)'!AI805)</f>
        <v>15.546027645505195</v>
      </c>
      <c r="AM805" s="91">
        <f t="shared" si="289"/>
        <v>89</v>
      </c>
      <c r="AN805" s="92" t="str">
        <f t="shared" si="290"/>
        <v>Decreasing</v>
      </c>
      <c r="AO805" s="93">
        <f>VLOOKUP(B805,'Growthrates source'!A$2:H$49,8,FALSE)</f>
        <v>0.14011618556211447</v>
      </c>
      <c r="AP805" s="93">
        <f>VLOOKUP(B805,'Growthrates source'!A$2:I$49,9,FALSE)</f>
        <v>5.4673730437993617E-2</v>
      </c>
      <c r="AQ805" s="86">
        <f t="shared" si="291"/>
        <v>36.229674236913638</v>
      </c>
      <c r="AR805" s="86">
        <f t="shared" si="292"/>
        <v>86.011467678473736</v>
      </c>
      <c r="AS805" s="94">
        <f t="shared" si="293"/>
        <v>1.2181839907945084E-2</v>
      </c>
      <c r="AT805" s="94">
        <f t="shared" si="294"/>
        <v>1.5320936698657986E-2</v>
      </c>
      <c r="AU805" s="94">
        <f t="shared" si="296"/>
        <v>2.3735209408276424E-3</v>
      </c>
      <c r="AV805" s="94">
        <f t="shared" si="297"/>
        <v>1.3588253446515434E-2</v>
      </c>
    </row>
    <row r="806" spans="1:48" x14ac:dyDescent="0.3">
      <c r="A806" s="85" t="str">
        <f>_xlfn.XLOOKUP(B806,'Country codes &amp; Data sources'!G:G,'Country codes &amp; Data sources'!H:H,,0)</f>
        <v>Tanzania</v>
      </c>
      <c r="B806" s="85" t="s">
        <v>197</v>
      </c>
      <c r="C806" s="86">
        <v>47786148.5</v>
      </c>
      <c r="D806" s="85" t="s">
        <v>133</v>
      </c>
      <c r="E806" s="87">
        <v>89</v>
      </c>
      <c r="F806" s="88">
        <v>49253643.5</v>
      </c>
      <c r="G806" s="87">
        <v>0</v>
      </c>
      <c r="I806" s="87">
        <v>93</v>
      </c>
      <c r="K806" s="87">
        <v>0</v>
      </c>
      <c r="M806" s="87">
        <v>0</v>
      </c>
      <c r="O806" s="87">
        <v>0</v>
      </c>
      <c r="P806" s="88">
        <v>58090443.000000007</v>
      </c>
      <c r="Q806" s="87">
        <v>4361</v>
      </c>
      <c r="R806" s="87">
        <f t="shared" si="279"/>
        <v>4361</v>
      </c>
      <c r="T806" s="87">
        <v>0</v>
      </c>
      <c r="V806" s="87">
        <v>0</v>
      </c>
      <c r="X806" s="87">
        <v>0</v>
      </c>
      <c r="Y806" s="88">
        <v>65497748.000000045</v>
      </c>
      <c r="Z806" s="87">
        <v>1198</v>
      </c>
      <c r="AA806" s="87">
        <v>3028</v>
      </c>
      <c r="AB806" s="89">
        <f t="shared" si="280"/>
        <v>93</v>
      </c>
      <c r="AC806" s="89">
        <f t="shared" si="281"/>
        <v>4361</v>
      </c>
      <c r="AD806" s="89">
        <f t="shared" si="282"/>
        <v>1198</v>
      </c>
      <c r="AE806" s="90">
        <f t="shared" si="295"/>
        <v>89</v>
      </c>
      <c r="AF806" s="90">
        <f t="shared" si="283"/>
        <v>2012</v>
      </c>
      <c r="AG806" s="90">
        <f t="shared" si="284"/>
        <v>4361</v>
      </c>
      <c r="AH806" s="90">
        <f t="shared" si="285"/>
        <v>2018</v>
      </c>
      <c r="AI806" s="90">
        <f t="shared" si="286"/>
        <v>1198</v>
      </c>
      <c r="AJ806" s="90">
        <f t="shared" si="287"/>
        <v>2022</v>
      </c>
      <c r="AK806" s="90" t="str">
        <f t="shared" si="288"/>
        <v>Adjust</v>
      </c>
      <c r="AL806" s="91">
        <f>IF(AK806="Adjust",(_xlfn.XLOOKUP(A806,'Adj factor'!A:A,'Adj factor'!I:I,,0)*AI806),'Master DataSheet (Rev)'!AI806)</f>
        <v>1552.0117599429354</v>
      </c>
      <c r="AM806" s="91">
        <f t="shared" si="289"/>
        <v>4361</v>
      </c>
      <c r="AN806" s="92" t="str">
        <f t="shared" si="290"/>
        <v>Decreasing</v>
      </c>
      <c r="AO806" s="93">
        <f>VLOOKUP(B806,'Growthrates source'!A$2:H$49,8,FALSE)</f>
        <v>0.14011618556211447</v>
      </c>
      <c r="AP806" s="93">
        <f>VLOOKUP(B806,'Growthrates source'!A$2:I$49,9,FALSE)</f>
        <v>5.4673730437993617E-2</v>
      </c>
      <c r="AQ806" s="86">
        <f t="shared" si="291"/>
        <v>1502.7870354708834</v>
      </c>
      <c r="AR806" s="86">
        <f t="shared" si="292"/>
        <v>3567.7085497317598</v>
      </c>
      <c r="AS806" s="94">
        <f t="shared" si="293"/>
        <v>1.8069729196785209E-2</v>
      </c>
      <c r="AT806" s="94">
        <f t="shared" si="294"/>
        <v>0.7507258982342413</v>
      </c>
      <c r="AU806" s="94">
        <f t="shared" si="296"/>
        <v>0.23695650725929299</v>
      </c>
      <c r="AV806" s="94">
        <f t="shared" si="297"/>
        <v>0.66582441887925625</v>
      </c>
    </row>
    <row r="807" spans="1:48" x14ac:dyDescent="0.3">
      <c r="A807" s="85" t="str">
        <f>_xlfn.XLOOKUP(B807,'Country codes &amp; Data sources'!G:G,'Country codes &amp; Data sources'!H:H,,0)</f>
        <v>Tanzania</v>
      </c>
      <c r="B807" s="85" t="s">
        <v>197</v>
      </c>
      <c r="C807" s="86">
        <v>47786149.5</v>
      </c>
      <c r="D807" s="85" t="s">
        <v>206</v>
      </c>
      <c r="E807" s="87">
        <v>0</v>
      </c>
      <c r="F807" s="88">
        <v>49253643.5</v>
      </c>
      <c r="G807" s="87">
        <v>0</v>
      </c>
      <c r="I807" s="87">
        <v>0</v>
      </c>
      <c r="K807" s="87">
        <v>0</v>
      </c>
      <c r="M807" s="87">
        <v>0</v>
      </c>
      <c r="O807" s="87">
        <v>0</v>
      </c>
      <c r="P807" s="88">
        <v>58090443.000000007</v>
      </c>
      <c r="Q807" s="87">
        <v>0</v>
      </c>
      <c r="R807" s="87">
        <f t="shared" si="279"/>
        <v>9250</v>
      </c>
      <c r="T807" s="87">
        <v>0</v>
      </c>
      <c r="V807" s="87">
        <v>0</v>
      </c>
      <c r="X807" s="87">
        <v>0</v>
      </c>
      <c r="Y807" s="88">
        <v>65497748.000000045</v>
      </c>
      <c r="Z807" s="87">
        <v>2337</v>
      </c>
      <c r="AA807" s="87">
        <v>9250</v>
      </c>
      <c r="AB807" s="89">
        <f t="shared" si="280"/>
        <v>0</v>
      </c>
      <c r="AC807" s="89">
        <f t="shared" si="281"/>
        <v>0</v>
      </c>
      <c r="AD807" s="89">
        <f t="shared" si="282"/>
        <v>2337</v>
      </c>
      <c r="AF807" s="90" t="str">
        <f t="shared" si="283"/>
        <v/>
      </c>
      <c r="AG807" s="90">
        <f t="shared" si="284"/>
        <v>9250</v>
      </c>
      <c r="AH807" s="90" t="str">
        <f t="shared" si="285"/>
        <v>2018 (triag)</v>
      </c>
      <c r="AI807" s="90">
        <f t="shared" si="286"/>
        <v>2337</v>
      </c>
      <c r="AJ807" s="90">
        <f t="shared" si="287"/>
        <v>2022</v>
      </c>
      <c r="AK807" s="90" t="str">
        <f t="shared" si="288"/>
        <v>Adjust</v>
      </c>
      <c r="AL807" s="91">
        <f>IF(AK807="Adjust",(_xlfn.XLOOKUP(A807,'Adj factor'!A:A,'Adj factor'!I:I,,0)*AI807),'Master DataSheet (Rev)'!AI807)</f>
        <v>3027.5888839621371</v>
      </c>
      <c r="AM807" s="91">
        <f t="shared" si="289"/>
        <v>9250</v>
      </c>
      <c r="AN807" s="92" t="str">
        <f t="shared" si="290"/>
        <v>Decreasing</v>
      </c>
      <c r="AO807" s="93">
        <f>VLOOKUP(B807,'Growthrates source'!A$2:H$49,8,FALSE)</f>
        <v>0.14011618556211447</v>
      </c>
      <c r="AP807" s="93">
        <f>VLOOKUP(B807,'Growthrates source'!A$2:I$49,9,FALSE)</f>
        <v>5.4673730437993617E-2</v>
      </c>
      <c r="AQ807" s="86">
        <f t="shared" si="291"/>
        <v>4590.7463930335771</v>
      </c>
      <c r="AR807" s="86">
        <f t="shared" si="292"/>
        <v>10898.713370217562</v>
      </c>
      <c r="AS807" s="94">
        <f t="shared" si="293"/>
        <v>0</v>
      </c>
      <c r="AT807" s="94">
        <f t="shared" si="294"/>
        <v>1.5923445445234423</v>
      </c>
      <c r="AU807" s="94">
        <f t="shared" si="296"/>
        <v>0.4622432032261834</v>
      </c>
      <c r="AV807" s="94">
        <f t="shared" si="297"/>
        <v>1.4122622964075029</v>
      </c>
    </row>
    <row r="808" spans="1:48" x14ac:dyDescent="0.3">
      <c r="A808" s="85" t="str">
        <f>_xlfn.XLOOKUP(B808,'Country codes &amp; Data sources'!G:G,'Country codes &amp; Data sources'!H:H,,0)</f>
        <v>Tanzania</v>
      </c>
      <c r="B808" s="85" t="s">
        <v>197</v>
      </c>
      <c r="C808" s="86">
        <v>47786150.5</v>
      </c>
      <c r="D808" s="85" t="s">
        <v>136</v>
      </c>
      <c r="E808" s="87">
        <v>223</v>
      </c>
      <c r="F808" s="88">
        <v>49253643.5</v>
      </c>
      <c r="G808" s="87">
        <v>0</v>
      </c>
      <c r="I808" s="87">
        <v>0</v>
      </c>
      <c r="K808" s="87">
        <v>0</v>
      </c>
      <c r="M808" s="87">
        <v>0</v>
      </c>
      <c r="O808" s="87">
        <v>0</v>
      </c>
      <c r="P808" s="88">
        <v>58090443.000000007</v>
      </c>
      <c r="Q808" s="87">
        <v>0</v>
      </c>
      <c r="R808" s="87">
        <f t="shared" si="279"/>
        <v>681</v>
      </c>
      <c r="T808" s="87">
        <v>0</v>
      </c>
      <c r="V808" s="87">
        <v>0</v>
      </c>
      <c r="X808" s="87">
        <v>0</v>
      </c>
      <c r="Y808" s="88">
        <v>65497748.000000045</v>
      </c>
      <c r="Z808" s="87">
        <v>543</v>
      </c>
      <c r="AA808" s="87">
        <v>681</v>
      </c>
      <c r="AB808" s="89">
        <f t="shared" si="280"/>
        <v>223</v>
      </c>
      <c r="AC808" s="89">
        <f t="shared" si="281"/>
        <v>0</v>
      </c>
      <c r="AD808" s="89">
        <f t="shared" si="282"/>
        <v>543</v>
      </c>
      <c r="AE808" s="90">
        <f t="shared" si="295"/>
        <v>223</v>
      </c>
      <c r="AF808" s="90">
        <f t="shared" si="283"/>
        <v>2012</v>
      </c>
      <c r="AG808" s="90">
        <f t="shared" si="284"/>
        <v>681</v>
      </c>
      <c r="AH808" s="90" t="str">
        <f t="shared" si="285"/>
        <v>2018 (triag)</v>
      </c>
      <c r="AI808" s="90">
        <f t="shared" si="286"/>
        <v>543</v>
      </c>
      <c r="AJ808" s="90">
        <f t="shared" si="287"/>
        <v>2022</v>
      </c>
      <c r="AK808" s="90" t="str">
        <f t="shared" si="288"/>
        <v>Adjust</v>
      </c>
      <c r="AL808" s="91">
        <f>IF(AK808="Adjust",(_xlfn.XLOOKUP(A808,'Adj factor'!A:A,'Adj factor'!I:I,,0)*AI808),'Master DataSheet (Rev)'!AI808)</f>
        <v>703.45775095911006</v>
      </c>
      <c r="AM808" s="91">
        <f t="shared" si="289"/>
        <v>703.45775095911006</v>
      </c>
      <c r="AN808" s="92" t="str">
        <f t="shared" si="290"/>
        <v>Increasing</v>
      </c>
      <c r="AO808" s="93">
        <f>VLOOKUP(B808,'Growthrates source'!A$2:H$49,8,FALSE)</f>
        <v>0.14011618556211447</v>
      </c>
      <c r="AP808" s="93">
        <f>VLOOKUP(B808,'Growthrates source'!A$2:I$49,9,FALSE)</f>
        <v>5.4673730437993617E-2</v>
      </c>
      <c r="AQ808" s="86">
        <f t="shared" si="291"/>
        <v>337.9781939087423</v>
      </c>
      <c r="AR808" s="86">
        <f t="shared" si="292"/>
        <v>802.38095190466584</v>
      </c>
      <c r="AS808" s="94">
        <f t="shared" si="293"/>
        <v>4.5275838324529229E-2</v>
      </c>
      <c r="AT808" s="94">
        <f t="shared" si="294"/>
        <v>0.11723098754815829</v>
      </c>
      <c r="AU808" s="94">
        <f t="shared" si="296"/>
        <v>0.10740182257245083</v>
      </c>
      <c r="AV808" s="94">
        <f t="shared" si="297"/>
        <v>0.10740182257245083</v>
      </c>
    </row>
    <row r="809" spans="1:48" x14ac:dyDescent="0.3">
      <c r="A809" s="85" t="str">
        <f>_xlfn.XLOOKUP(B809,'Country codes &amp; Data sources'!G:G,'Country codes &amp; Data sources'!H:H,,0)</f>
        <v>Tanzania</v>
      </c>
      <c r="B809" s="85" t="s">
        <v>197</v>
      </c>
      <c r="C809" s="86">
        <v>47786151.5</v>
      </c>
      <c r="D809" s="85" t="s">
        <v>207</v>
      </c>
      <c r="E809" s="87">
        <v>470</v>
      </c>
      <c r="F809" s="88">
        <v>49253643.5</v>
      </c>
      <c r="G809" s="87">
        <v>0</v>
      </c>
      <c r="I809" s="87">
        <v>0</v>
      </c>
      <c r="K809" s="87">
        <v>0</v>
      </c>
      <c r="M809" s="87">
        <v>0</v>
      </c>
      <c r="O809" s="87">
        <v>0</v>
      </c>
      <c r="P809" s="88">
        <v>58090443.000000007</v>
      </c>
      <c r="Q809" s="87">
        <v>0</v>
      </c>
      <c r="R809" s="87">
        <f t="shared" si="279"/>
        <v>724</v>
      </c>
      <c r="T809" s="87">
        <v>0</v>
      </c>
      <c r="V809" s="87">
        <v>0</v>
      </c>
      <c r="X809" s="87">
        <v>0</v>
      </c>
      <c r="Y809" s="88">
        <v>65497748.000000045</v>
      </c>
      <c r="Z809" s="87">
        <v>724</v>
      </c>
      <c r="AA809" s="87">
        <v>724</v>
      </c>
      <c r="AB809" s="89">
        <f t="shared" si="280"/>
        <v>470</v>
      </c>
      <c r="AC809" s="89">
        <f t="shared" si="281"/>
        <v>0</v>
      </c>
      <c r="AD809" s="89">
        <f t="shared" si="282"/>
        <v>724</v>
      </c>
      <c r="AE809" s="90">
        <f t="shared" si="295"/>
        <v>470</v>
      </c>
      <c r="AF809" s="90">
        <f t="shared" si="283"/>
        <v>2012</v>
      </c>
      <c r="AG809" s="90">
        <f t="shared" si="284"/>
        <v>724</v>
      </c>
      <c r="AH809" s="90" t="str">
        <f t="shared" si="285"/>
        <v>2018 (triag)</v>
      </c>
      <c r="AI809" s="90">
        <f t="shared" si="286"/>
        <v>724</v>
      </c>
      <c r="AJ809" s="90">
        <f t="shared" si="287"/>
        <v>2022</v>
      </c>
      <c r="AK809" s="90" t="str">
        <f t="shared" si="288"/>
        <v/>
      </c>
      <c r="AL809" s="91">
        <f>IF(AK809="Adjust",(_xlfn.XLOOKUP(A809,'Adj factor'!A:A,'Adj factor'!I:I,,0)*AI809),'Master DataSheet (Rev)'!AI809)</f>
        <v>724</v>
      </c>
      <c r="AM809" s="91">
        <f t="shared" si="289"/>
        <v>724</v>
      </c>
      <c r="AN809" s="92" t="str">
        <f t="shared" si="290"/>
        <v>No change</v>
      </c>
      <c r="AO809" s="93">
        <f>VLOOKUP(B809,'Growthrates source'!A$2:H$49,8,FALSE)</f>
        <v>0.14011618556211447</v>
      </c>
      <c r="AP809" s="93">
        <f>VLOOKUP(B809,'Growthrates source'!A$2:I$49,9,FALSE)</f>
        <v>5.4673730437993617E-2</v>
      </c>
      <c r="AQ809" s="86">
        <f t="shared" si="291"/>
        <v>359.31896092500648</v>
      </c>
      <c r="AR809" s="86">
        <f t="shared" si="292"/>
        <v>853.04524108513669</v>
      </c>
      <c r="AS809" s="94">
        <f t="shared" si="293"/>
        <v>9.5424412612236498E-2</v>
      </c>
      <c r="AT809" s="94">
        <f t="shared" si="294"/>
        <v>0.12463323786324024</v>
      </c>
      <c r="AU809" s="94">
        <f t="shared" si="296"/>
        <v>0.1105381516323278</v>
      </c>
      <c r="AV809" s="94">
        <f t="shared" si="297"/>
        <v>0.1105381516323278</v>
      </c>
    </row>
    <row r="810" spans="1:48" x14ac:dyDescent="0.3">
      <c r="A810" s="85" t="str">
        <f>_xlfn.XLOOKUP(B810,'Country codes &amp; Data sources'!G:G,'Country codes &amp; Data sources'!H:H,,0)</f>
        <v>Tanzania</v>
      </c>
      <c r="B810" s="85" t="s">
        <v>197</v>
      </c>
      <c r="C810" s="86">
        <v>47786152.5</v>
      </c>
      <c r="D810" s="85" t="s">
        <v>141</v>
      </c>
      <c r="E810" s="87">
        <v>82</v>
      </c>
      <c r="F810" s="88">
        <v>49253643.5</v>
      </c>
      <c r="G810" s="87">
        <v>0</v>
      </c>
      <c r="I810" s="87">
        <v>0</v>
      </c>
      <c r="K810" s="87">
        <v>0</v>
      </c>
      <c r="M810" s="87">
        <v>0</v>
      </c>
      <c r="O810" s="87">
        <v>0</v>
      </c>
      <c r="P810" s="88">
        <v>58090443.000000007</v>
      </c>
      <c r="Q810" s="87">
        <v>0</v>
      </c>
      <c r="R810" s="87">
        <f t="shared" si="279"/>
        <v>213</v>
      </c>
      <c r="T810" s="87">
        <v>0</v>
      </c>
      <c r="V810" s="87">
        <v>0</v>
      </c>
      <c r="X810" s="87">
        <v>0</v>
      </c>
      <c r="Y810" s="88">
        <v>65497748.000000045</v>
      </c>
      <c r="Z810" s="87">
        <v>201</v>
      </c>
      <c r="AA810" s="87">
        <v>213</v>
      </c>
      <c r="AB810" s="89">
        <f t="shared" si="280"/>
        <v>82</v>
      </c>
      <c r="AC810" s="89">
        <f t="shared" si="281"/>
        <v>0</v>
      </c>
      <c r="AD810" s="89">
        <f t="shared" si="282"/>
        <v>201</v>
      </c>
      <c r="AE810" s="90">
        <f t="shared" si="295"/>
        <v>82</v>
      </c>
      <c r="AF810" s="90">
        <f t="shared" si="283"/>
        <v>2012</v>
      </c>
      <c r="AG810" s="90">
        <f t="shared" si="284"/>
        <v>213</v>
      </c>
      <c r="AH810" s="90" t="str">
        <f t="shared" si="285"/>
        <v>2018 (triag)</v>
      </c>
      <c r="AI810" s="90">
        <f t="shared" si="286"/>
        <v>201</v>
      </c>
      <c r="AJ810" s="90">
        <f t="shared" si="287"/>
        <v>2022</v>
      </c>
      <c r="AK810" s="90" t="str">
        <f t="shared" si="288"/>
        <v>Adjust</v>
      </c>
      <c r="AL810" s="91">
        <f>IF(AK810="Adjust",(_xlfn.XLOOKUP(A810,'Adj factor'!A:A,'Adj factor'!I:I,,0)*AI810),'Master DataSheet (Rev)'!AI810)</f>
        <v>260.39596306221205</v>
      </c>
      <c r="AM810" s="91">
        <f t="shared" si="289"/>
        <v>260.39596306221205</v>
      </c>
      <c r="AN810" s="92" t="str">
        <f t="shared" si="290"/>
        <v>Increasing</v>
      </c>
      <c r="AO810" s="93">
        <f>VLOOKUP(B810,'Growthrates source'!A$2:H$49,8,FALSE)</f>
        <v>0.14011618556211447</v>
      </c>
      <c r="AP810" s="93">
        <f>VLOOKUP(B810,'Growthrates source'!A$2:I$49,9,FALSE)</f>
        <v>5.4673730437993617E-2</v>
      </c>
      <c r="AQ810" s="86">
        <f t="shared" si="291"/>
        <v>105.71124126661103</v>
      </c>
      <c r="AR810" s="86">
        <f t="shared" si="292"/>
        <v>250.9649673358206</v>
      </c>
      <c r="AS810" s="94">
        <f t="shared" si="293"/>
        <v>1.6648514540858281E-2</v>
      </c>
      <c r="AT810" s="94">
        <f t="shared" si="294"/>
        <v>3.6666960863080349E-2</v>
      </c>
      <c r="AU810" s="94">
        <f t="shared" si="296"/>
        <v>3.975647575886302E-2</v>
      </c>
      <c r="AV810" s="94">
        <f t="shared" si="297"/>
        <v>3.975647575886302E-2</v>
      </c>
    </row>
    <row r="811" spans="1:48" x14ac:dyDescent="0.3">
      <c r="A811" s="85" t="str">
        <f>_xlfn.XLOOKUP(B811,'Country codes &amp; Data sources'!G:G,'Country codes &amp; Data sources'!H:H,,0)</f>
        <v>Tanzania</v>
      </c>
      <c r="B811" s="85" t="s">
        <v>197</v>
      </c>
      <c r="C811" s="86">
        <v>47786153.5</v>
      </c>
      <c r="D811" s="85" t="s">
        <v>208</v>
      </c>
      <c r="E811" s="87">
        <v>0</v>
      </c>
      <c r="F811" s="88">
        <v>49253643.5</v>
      </c>
      <c r="G811" s="87">
        <v>0</v>
      </c>
      <c r="I811" s="87">
        <v>0</v>
      </c>
      <c r="K811" s="87">
        <v>0</v>
      </c>
      <c r="M811" s="87">
        <v>0</v>
      </c>
      <c r="O811" s="87">
        <v>0</v>
      </c>
      <c r="P811" s="88">
        <v>58090443.000000007</v>
      </c>
      <c r="Q811" s="87">
        <v>0</v>
      </c>
      <c r="R811" s="87">
        <f t="shared" si="279"/>
        <v>0</v>
      </c>
      <c r="T811" s="87">
        <v>0</v>
      </c>
      <c r="V811" s="87">
        <v>0</v>
      </c>
      <c r="X811" s="87">
        <v>0</v>
      </c>
      <c r="Y811" s="88">
        <v>65497748.000000045</v>
      </c>
      <c r="Z811" s="87">
        <v>0</v>
      </c>
      <c r="AA811" s="87">
        <v>0</v>
      </c>
      <c r="AB811" s="89">
        <f t="shared" si="280"/>
        <v>0</v>
      </c>
      <c r="AC811" s="89">
        <f t="shared" si="281"/>
        <v>0</v>
      </c>
      <c r="AD811" s="89">
        <f t="shared" si="282"/>
        <v>0</v>
      </c>
      <c r="AF811" s="90" t="str">
        <f t="shared" si="283"/>
        <v/>
      </c>
      <c r="AH811" s="90" t="str">
        <f t="shared" si="285"/>
        <v/>
      </c>
      <c r="AI811" s="90">
        <f t="shared" si="286"/>
        <v>0</v>
      </c>
      <c r="AJ811" s="90" t="str">
        <f t="shared" si="287"/>
        <v/>
      </c>
      <c r="AK811" s="90" t="str">
        <f t="shared" si="288"/>
        <v/>
      </c>
      <c r="AL811" s="91"/>
      <c r="AM811" s="91">
        <f t="shared" si="289"/>
        <v>0</v>
      </c>
      <c r="AN811" s="92" t="str">
        <f t="shared" si="290"/>
        <v>No change</v>
      </c>
      <c r="AO811" s="93">
        <f>VLOOKUP(B811,'Growthrates source'!A$2:H$49,8,FALSE)</f>
        <v>0.14011618556211447</v>
      </c>
      <c r="AP811" s="93">
        <f>VLOOKUP(B811,'Growthrates source'!A$2:I$49,9,FALSE)</f>
        <v>5.4673730437993617E-2</v>
      </c>
      <c r="AQ811" s="86">
        <f t="shared" si="291"/>
        <v>0</v>
      </c>
      <c r="AR811" s="86">
        <f t="shared" si="292"/>
        <v>0</v>
      </c>
      <c r="AS811" s="94">
        <f t="shared" si="293"/>
        <v>0</v>
      </c>
      <c r="AT811" s="94">
        <f t="shared" si="294"/>
        <v>0</v>
      </c>
      <c r="AU811" s="94">
        <f t="shared" si="296"/>
        <v>0</v>
      </c>
      <c r="AV811" s="94">
        <f t="shared" si="297"/>
        <v>0</v>
      </c>
    </row>
    <row r="812" spans="1:48" x14ac:dyDescent="0.3">
      <c r="A812" s="85" t="str">
        <f>_xlfn.XLOOKUP(B812,'Country codes &amp; Data sources'!G:G,'Country codes &amp; Data sources'!H:H,,0)</f>
        <v>Tanzania</v>
      </c>
      <c r="B812" s="85" t="s">
        <v>197</v>
      </c>
      <c r="C812" s="86">
        <v>47786154.5</v>
      </c>
      <c r="D812" s="85" t="s">
        <v>209</v>
      </c>
      <c r="E812" s="87">
        <v>0</v>
      </c>
      <c r="F812" s="88">
        <v>49253643.5</v>
      </c>
      <c r="G812" s="87">
        <v>0</v>
      </c>
      <c r="I812" s="87">
        <v>0</v>
      </c>
      <c r="K812" s="87">
        <v>0</v>
      </c>
      <c r="M812" s="87">
        <v>0</v>
      </c>
      <c r="O812" s="87">
        <v>0</v>
      </c>
      <c r="P812" s="88">
        <v>58090443.000000007</v>
      </c>
      <c r="Q812" s="87">
        <v>0</v>
      </c>
      <c r="R812" s="87">
        <f t="shared" ref="R812:R860" si="298">MAX(Q812,AA812)</f>
        <v>3630</v>
      </c>
      <c r="T812" s="87">
        <v>0</v>
      </c>
      <c r="V812" s="87">
        <v>0</v>
      </c>
      <c r="X812" s="87">
        <v>0</v>
      </c>
      <c r="Y812" s="88">
        <v>65497748.000000045</v>
      </c>
      <c r="Z812" s="87">
        <v>2</v>
      </c>
      <c r="AA812" s="87">
        <v>3630</v>
      </c>
      <c r="AB812" s="89">
        <f t="shared" ref="AB812:AB860" si="299">MAX(G812,E812,I812,K812)</f>
        <v>0</v>
      </c>
      <c r="AC812" s="89">
        <f t="shared" ref="AC812:AC860" si="300">MAX(M812,O812,Q812,T812)</f>
        <v>0</v>
      </c>
      <c r="AD812" s="89">
        <f t="shared" ref="AD812:AD860" si="301">MAX(V812,X812,Z812)</f>
        <v>2</v>
      </c>
      <c r="AF812" s="90" t="str">
        <f t="shared" ref="AF812:AF860" si="302">IF(AE812&gt;0,_xlfn.XLOOKUP(AE812,$B812:$K812,$B$1:$K$1,,0),"")</f>
        <v/>
      </c>
      <c r="AG812" s="90">
        <f t="shared" ref="AG812:AG860" si="303">IF(R812&gt;0,R812,IF(O812&gt;0,O812,T812))</f>
        <v>3630</v>
      </c>
      <c r="AH812" s="90" t="str">
        <f t="shared" ref="AH812:AH860" si="304">IF(AG812&gt;0,_xlfn.XLOOKUP(AG812,$L812:$T812,$L$1:$T$1,,0),"")</f>
        <v>2018 (triag)</v>
      </c>
      <c r="AI812" s="90">
        <f t="shared" ref="AI812:AI860" si="305">IF((IF(Z812&gt;0,Z812,IF(X812&gt;0,X812,IF(V812&gt;0,V812,T812))))=0,AG812,IF(Z812&gt;0,Z812,IF(X812&gt;0,X812,IF(V812&gt;0,V812,T812))))</f>
        <v>2</v>
      </c>
      <c r="AJ812" s="90">
        <f t="shared" ref="AJ812:AJ860" si="306">IFERROR(IF(AI812&gt;0,_xlfn.XLOOKUP(AI812,$V812:$Z812,$V$1:$Z$1,,0),""),AH812)</f>
        <v>2022</v>
      </c>
      <c r="AK812" s="90" t="str">
        <f t="shared" ref="AK812:AK860" si="307">IF(AI812&lt;AG812,"Adjust","")</f>
        <v>Adjust</v>
      </c>
      <c r="AL812" s="91">
        <f>IF(AK812="Adjust",(_xlfn.XLOOKUP(A812,'Adj factor'!A:A,'Adj factor'!I:I,,0)*AI812),'Master DataSheet (Rev)'!AI812)</f>
        <v>2.5910046075841993</v>
      </c>
      <c r="AM812" s="91">
        <f t="shared" ref="AM812:AM860" si="308">IF(AL812&lt;AG812,AG812,AL812)</f>
        <v>3630</v>
      </c>
      <c r="AN812" s="92" t="str">
        <f t="shared" ref="AN812:AN860" si="309">IF(AL812&gt;AG812,"Increasing",IF(AL812&lt;AG812,"Decreasing","No change"))</f>
        <v>Decreasing</v>
      </c>
      <c r="AO812" s="93">
        <f>VLOOKUP(B812,'Growthrates source'!A$2:H$49,8,FALSE)</f>
        <v>0.14011618556211447</v>
      </c>
      <c r="AP812" s="93">
        <f>VLOOKUP(B812,'Growthrates source'!A$2:I$49,9,FALSE)</f>
        <v>5.4673730437993617E-2</v>
      </c>
      <c r="AQ812" s="86">
        <f t="shared" ref="AQ812:AQ860" si="310">AA812/(EXP(AO812*5))</f>
        <v>1801.5577736985822</v>
      </c>
      <c r="AR812" s="86">
        <f t="shared" ref="AR812:AR860" si="311">AA812*EXP(AP812*3)</f>
        <v>4277.0085982583514</v>
      </c>
      <c r="AS812" s="94">
        <f t="shared" ref="AS812:AS860" si="312">(AE812*10000)/F812</f>
        <v>0</v>
      </c>
      <c r="AT812" s="94">
        <f t="shared" ref="AT812:AT860" si="313">(AG812*10000)/P812</f>
        <v>0.62488764287784815</v>
      </c>
      <c r="AU812" s="94">
        <f t="shared" si="296"/>
        <v>3.9558682347127377E-4</v>
      </c>
      <c r="AV812" s="94">
        <f t="shared" si="297"/>
        <v>0.55421752821180925</v>
      </c>
    </row>
    <row r="813" spans="1:48" x14ac:dyDescent="0.3">
      <c r="A813" s="85" t="str">
        <f>_xlfn.XLOOKUP(B813,'Country codes &amp; Data sources'!G:G,'Country codes &amp; Data sources'!H:H,,0)</f>
        <v>Tanzania</v>
      </c>
      <c r="B813" s="85" t="s">
        <v>197</v>
      </c>
      <c r="C813" s="86">
        <v>47786155.5</v>
      </c>
      <c r="D813" s="85" t="s">
        <v>134</v>
      </c>
      <c r="E813" s="87">
        <v>1997</v>
      </c>
      <c r="F813" s="88">
        <v>49253643.5</v>
      </c>
      <c r="G813" s="87">
        <v>0</v>
      </c>
      <c r="I813" s="87">
        <v>2508</v>
      </c>
      <c r="K813" s="87">
        <v>0</v>
      </c>
      <c r="M813" s="87">
        <v>0</v>
      </c>
      <c r="O813" s="87">
        <v>0</v>
      </c>
      <c r="P813" s="88">
        <v>58090443.000000007</v>
      </c>
      <c r="Q813" s="87">
        <v>0</v>
      </c>
      <c r="R813" s="87">
        <f t="shared" si="298"/>
        <v>4361</v>
      </c>
      <c r="T813" s="87">
        <v>0</v>
      </c>
      <c r="V813" s="87">
        <v>0</v>
      </c>
      <c r="X813" s="87">
        <v>0</v>
      </c>
      <c r="Y813" s="88">
        <v>65497748.000000045</v>
      </c>
      <c r="Z813" s="87">
        <v>4743</v>
      </c>
      <c r="AA813" s="87">
        <v>4361</v>
      </c>
      <c r="AB813" s="89">
        <f t="shared" si="299"/>
        <v>2508</v>
      </c>
      <c r="AC813" s="89">
        <f t="shared" si="300"/>
        <v>0</v>
      </c>
      <c r="AD813" s="89">
        <f t="shared" si="301"/>
        <v>4743</v>
      </c>
      <c r="AE813" s="90">
        <f t="shared" ref="AE813:AE855" si="314">IF(G813&gt;0,G813,IF(E813&gt;0,E813,IF(I813&gt;0,I813,K813)))</f>
        <v>1997</v>
      </c>
      <c r="AF813" s="90">
        <f t="shared" si="302"/>
        <v>2012</v>
      </c>
      <c r="AG813" s="90">
        <f t="shared" si="303"/>
        <v>4361</v>
      </c>
      <c r="AH813" s="90" t="str">
        <f t="shared" si="304"/>
        <v>2018 (triag)</v>
      </c>
      <c r="AI813" s="90">
        <f t="shared" si="305"/>
        <v>4743</v>
      </c>
      <c r="AJ813" s="90">
        <f t="shared" si="306"/>
        <v>2022</v>
      </c>
      <c r="AK813" s="90" t="str">
        <f t="shared" si="307"/>
        <v/>
      </c>
      <c r="AL813" s="91">
        <f>IF(AK813="Adjust",(_xlfn.XLOOKUP(A813,'Adj factor'!A:A,'Adj factor'!I:I,,0)*AI813),'Master DataSheet (Rev)'!AI813)</f>
        <v>4743</v>
      </c>
      <c r="AM813" s="91">
        <f t="shared" si="308"/>
        <v>4743</v>
      </c>
      <c r="AN813" s="92" t="str">
        <f t="shared" si="309"/>
        <v>Increasing</v>
      </c>
      <c r="AO813" s="93">
        <f>VLOOKUP(B813,'Growthrates source'!A$2:H$49,8,FALSE)</f>
        <v>0.14011618556211447</v>
      </c>
      <c r="AP813" s="93">
        <f>VLOOKUP(B813,'Growthrates source'!A$2:I$49,9,FALSE)</f>
        <v>5.4673730437993617E-2</v>
      </c>
      <c r="AQ813" s="86">
        <f t="shared" si="310"/>
        <v>2164.3508129750735</v>
      </c>
      <c r="AR813" s="86">
        <f t="shared" si="311"/>
        <v>5138.3015143263556</v>
      </c>
      <c r="AS813" s="94">
        <f t="shared" si="312"/>
        <v>0.40545223826943888</v>
      </c>
      <c r="AT813" s="94">
        <f t="shared" si="313"/>
        <v>0.7507258982342413</v>
      </c>
      <c r="AU813" s="94">
        <f t="shared" si="296"/>
        <v>0.7241470347957607</v>
      </c>
      <c r="AV813" s="94">
        <f t="shared" si="297"/>
        <v>0.7241470347957607</v>
      </c>
    </row>
    <row r="814" spans="1:48" s="95" customFormat="1" x14ac:dyDescent="0.3">
      <c r="A814" s="95" t="str">
        <f>_xlfn.XLOOKUP(B814,'Country codes &amp; Data sources'!G:G,'Country codes &amp; Data sources'!H:H,,0)</f>
        <v>Tanzania</v>
      </c>
      <c r="B814" s="95" t="s">
        <v>197</v>
      </c>
      <c r="C814" s="60">
        <v>47786156.5</v>
      </c>
      <c r="D814" s="95" t="s">
        <v>142</v>
      </c>
      <c r="E814" s="96">
        <v>8787</v>
      </c>
      <c r="F814" s="97">
        <v>49253643.5</v>
      </c>
      <c r="G814" s="96">
        <v>0</v>
      </c>
      <c r="H814" s="96"/>
      <c r="I814" s="96">
        <v>10536</v>
      </c>
      <c r="J814" s="96"/>
      <c r="K814" s="96">
        <v>0</v>
      </c>
      <c r="L814" s="96"/>
      <c r="M814" s="96">
        <v>0</v>
      </c>
      <c r="N814" s="96"/>
      <c r="O814" s="96">
        <v>0</v>
      </c>
      <c r="P814" s="97">
        <v>58090443.000000007</v>
      </c>
      <c r="Q814" s="96">
        <v>0</v>
      </c>
      <c r="R814" s="96">
        <f t="shared" si="298"/>
        <v>1963</v>
      </c>
      <c r="S814" s="96"/>
      <c r="T814" s="96">
        <v>0</v>
      </c>
      <c r="U814" s="96"/>
      <c r="V814" s="96">
        <v>0</v>
      </c>
      <c r="W814" s="96"/>
      <c r="X814" s="96">
        <v>0</v>
      </c>
      <c r="Y814" s="97">
        <v>65497748.000000045</v>
      </c>
      <c r="Z814" s="96">
        <v>71119</v>
      </c>
      <c r="AA814" s="96">
        <v>1963</v>
      </c>
      <c r="AB814" s="98">
        <f t="shared" si="299"/>
        <v>10536</v>
      </c>
      <c r="AC814" s="98">
        <f t="shared" si="300"/>
        <v>0</v>
      </c>
      <c r="AD814" s="98">
        <f t="shared" si="301"/>
        <v>71119</v>
      </c>
      <c r="AE814" s="99">
        <f t="shared" si="314"/>
        <v>8787</v>
      </c>
      <c r="AF814" s="99">
        <f t="shared" si="302"/>
        <v>2012</v>
      </c>
      <c r="AG814" s="99">
        <f t="shared" si="303"/>
        <v>1963</v>
      </c>
      <c r="AH814" s="99" t="str">
        <f t="shared" si="304"/>
        <v>2018 (triag)</v>
      </c>
      <c r="AI814" s="99">
        <f t="shared" si="305"/>
        <v>71119</v>
      </c>
      <c r="AJ814" s="99">
        <f t="shared" si="306"/>
        <v>2022</v>
      </c>
      <c r="AK814" s="99" t="str">
        <f t="shared" si="307"/>
        <v/>
      </c>
      <c r="AL814" s="61">
        <f>IF(AK814="Adjust",(_xlfn.XLOOKUP(A814,'Adj factor'!A:A,'Adj factor'!I:I,,0)*AI814),'Master DataSheet (Rev)'!AI814)</f>
        <v>71119</v>
      </c>
      <c r="AM814" s="61">
        <f t="shared" si="308"/>
        <v>71119</v>
      </c>
      <c r="AN814" s="62" t="str">
        <f t="shared" si="309"/>
        <v>Increasing</v>
      </c>
      <c r="AO814" s="100">
        <f>VLOOKUP(B814,'Growthrates source'!A$2:H$49,8,FALSE)</f>
        <v>0.14011618556211447</v>
      </c>
      <c r="AP814" s="100">
        <f>VLOOKUP(B814,'Growthrates source'!A$2:I$49,9,FALSE)</f>
        <v>5.4673730437993617E-2</v>
      </c>
      <c r="AQ814" s="60">
        <f t="shared" si="310"/>
        <v>974.23082913782832</v>
      </c>
      <c r="AR814" s="60">
        <f t="shared" si="311"/>
        <v>2312.8837130526567</v>
      </c>
      <c r="AS814" s="102">
        <f t="shared" si="312"/>
        <v>1.7840304545185577</v>
      </c>
      <c r="AT814" s="102">
        <f t="shared" si="313"/>
        <v>0.33792133415129916</v>
      </c>
      <c r="AU814" s="94">
        <f t="shared" si="296"/>
        <v>10.858235919805969</v>
      </c>
      <c r="AV814" s="94">
        <f t="shared" si="297"/>
        <v>10.858235919805969</v>
      </c>
    </row>
    <row r="815" spans="1:48" x14ac:dyDescent="0.3">
      <c r="A815" s="85" t="str">
        <f>_xlfn.XLOOKUP(B815,'Country codes &amp; Data sources'!G:G,'Country codes &amp; Data sources'!H:H,,0)</f>
        <v>Tanzania</v>
      </c>
      <c r="B815" s="85" t="s">
        <v>197</v>
      </c>
      <c r="C815" s="86">
        <v>47786157.5</v>
      </c>
      <c r="D815" s="85" t="s">
        <v>83</v>
      </c>
      <c r="E815" s="87">
        <v>130</v>
      </c>
      <c r="F815" s="88">
        <v>49253643.5</v>
      </c>
      <c r="G815" s="87">
        <v>0</v>
      </c>
      <c r="I815" s="87">
        <v>0</v>
      </c>
      <c r="K815" s="87">
        <v>0</v>
      </c>
      <c r="M815" s="87">
        <v>0</v>
      </c>
      <c r="O815" s="87">
        <v>0</v>
      </c>
      <c r="P815" s="88">
        <v>58090443.000000007</v>
      </c>
      <c r="Q815" s="87">
        <v>0</v>
      </c>
      <c r="R815" s="87">
        <f t="shared" si="298"/>
        <v>103</v>
      </c>
      <c r="T815" s="87">
        <v>0</v>
      </c>
      <c r="V815" s="87">
        <v>0</v>
      </c>
      <c r="X815" s="87">
        <v>0</v>
      </c>
      <c r="Y815" s="88">
        <v>65497748.000000045</v>
      </c>
      <c r="Z815" s="87">
        <v>1358</v>
      </c>
      <c r="AA815" s="87">
        <v>103</v>
      </c>
      <c r="AB815" s="89">
        <f t="shared" si="299"/>
        <v>130</v>
      </c>
      <c r="AC815" s="89">
        <f t="shared" si="300"/>
        <v>0</v>
      </c>
      <c r="AD815" s="89">
        <f t="shared" si="301"/>
        <v>1358</v>
      </c>
      <c r="AE815" s="90">
        <f t="shared" si="314"/>
        <v>130</v>
      </c>
      <c r="AF815" s="90">
        <f t="shared" si="302"/>
        <v>2012</v>
      </c>
      <c r="AG815" s="90">
        <f t="shared" si="303"/>
        <v>103</v>
      </c>
      <c r="AH815" s="90" t="str">
        <f t="shared" si="304"/>
        <v>2018 (triag)</v>
      </c>
      <c r="AI815" s="90">
        <f t="shared" si="305"/>
        <v>1358</v>
      </c>
      <c r="AJ815" s="90">
        <f t="shared" si="306"/>
        <v>2022</v>
      </c>
      <c r="AK815" s="90" t="str">
        <f t="shared" si="307"/>
        <v/>
      </c>
      <c r="AL815" s="91">
        <f>IF(AK815="Adjust",(_xlfn.XLOOKUP(A815,'Adj factor'!A:A,'Adj factor'!I:I,,0)*AI815),'Master DataSheet (Rev)'!AI815)</f>
        <v>1358</v>
      </c>
      <c r="AM815" s="91">
        <f t="shared" si="308"/>
        <v>1358</v>
      </c>
      <c r="AN815" s="92" t="str">
        <f t="shared" si="309"/>
        <v>Increasing</v>
      </c>
      <c r="AO815" s="93">
        <f>VLOOKUP(B815,'Growthrates source'!A$2:H$49,8,FALSE)</f>
        <v>0.14011618556211447</v>
      </c>
      <c r="AP815" s="93">
        <f>VLOOKUP(B815,'Growthrates source'!A$2:I$49,9,FALSE)</f>
        <v>5.4673730437993617E-2</v>
      </c>
      <c r="AQ815" s="86">
        <f t="shared" si="310"/>
        <v>51.118581457563074</v>
      </c>
      <c r="AR815" s="86">
        <f t="shared" si="311"/>
        <v>121.35864617647663</v>
      </c>
      <c r="AS815" s="94">
        <f t="shared" si="312"/>
        <v>2.6393986467214348E-2</v>
      </c>
      <c r="AT815" s="94">
        <f t="shared" si="313"/>
        <v>1.7730971684963737E-2</v>
      </c>
      <c r="AU815" s="94">
        <f t="shared" si="296"/>
        <v>0.20733537281312314</v>
      </c>
      <c r="AV815" s="94">
        <f t="shared" si="297"/>
        <v>0.20733537281312314</v>
      </c>
    </row>
    <row r="816" spans="1:48" x14ac:dyDescent="0.3">
      <c r="A816" s="85" t="str">
        <f>_xlfn.XLOOKUP(B816,'Country codes &amp; Data sources'!G:G,'Country codes &amp; Data sources'!H:H,,0)</f>
        <v>Tanzania</v>
      </c>
      <c r="B816" s="85" t="s">
        <v>197</v>
      </c>
      <c r="C816" s="86">
        <v>47786158.5</v>
      </c>
      <c r="D816" s="85" t="s">
        <v>84</v>
      </c>
      <c r="E816" s="87">
        <v>0</v>
      </c>
      <c r="F816" s="88">
        <v>49253643.5</v>
      </c>
      <c r="G816" s="87">
        <v>0</v>
      </c>
      <c r="I816" s="87">
        <v>0</v>
      </c>
      <c r="K816" s="87">
        <v>0</v>
      </c>
      <c r="M816" s="87">
        <v>0</v>
      </c>
      <c r="O816" s="87">
        <v>0</v>
      </c>
      <c r="P816" s="88">
        <v>58090443.000000007</v>
      </c>
      <c r="Q816" s="87">
        <v>0</v>
      </c>
      <c r="R816" s="87">
        <f t="shared" si="298"/>
        <v>0</v>
      </c>
      <c r="T816" s="87">
        <v>0</v>
      </c>
      <c r="V816" s="87">
        <v>0</v>
      </c>
      <c r="X816" s="87">
        <v>0</v>
      </c>
      <c r="Y816" s="88">
        <v>65497748.000000045</v>
      </c>
      <c r="Z816" s="87">
        <v>0</v>
      </c>
      <c r="AA816" s="87">
        <v>0</v>
      </c>
      <c r="AB816" s="89">
        <f t="shared" si="299"/>
        <v>0</v>
      </c>
      <c r="AC816" s="89">
        <f t="shared" si="300"/>
        <v>0</v>
      </c>
      <c r="AD816" s="89">
        <f t="shared" si="301"/>
        <v>0</v>
      </c>
      <c r="AF816" s="90" t="str">
        <f t="shared" si="302"/>
        <v/>
      </c>
      <c r="AH816" s="90" t="str">
        <f t="shared" si="304"/>
        <v/>
      </c>
      <c r="AI816" s="90">
        <f t="shared" si="305"/>
        <v>0</v>
      </c>
      <c r="AJ816" s="90" t="str">
        <f t="shared" si="306"/>
        <v/>
      </c>
      <c r="AK816" s="90" t="str">
        <f t="shared" si="307"/>
        <v/>
      </c>
      <c r="AL816" s="91"/>
      <c r="AM816" s="91">
        <f t="shared" si="308"/>
        <v>0</v>
      </c>
      <c r="AN816" s="92" t="str">
        <f t="shared" si="309"/>
        <v>No change</v>
      </c>
      <c r="AO816" s="93">
        <f>VLOOKUP(B816,'Growthrates source'!A$2:H$49,8,FALSE)</f>
        <v>0.14011618556211447</v>
      </c>
      <c r="AP816" s="93">
        <f>VLOOKUP(B816,'Growthrates source'!A$2:I$49,9,FALSE)</f>
        <v>5.4673730437993617E-2</v>
      </c>
      <c r="AQ816" s="86">
        <f t="shared" si="310"/>
        <v>0</v>
      </c>
      <c r="AR816" s="86">
        <f t="shared" si="311"/>
        <v>0</v>
      </c>
      <c r="AS816" s="94">
        <f t="shared" si="312"/>
        <v>0</v>
      </c>
      <c r="AT816" s="94">
        <f t="shared" si="313"/>
        <v>0</v>
      </c>
      <c r="AU816" s="94">
        <f t="shared" si="296"/>
        <v>0</v>
      </c>
      <c r="AV816" s="94">
        <f t="shared" si="297"/>
        <v>0</v>
      </c>
    </row>
    <row r="817" spans="1:48" x14ac:dyDescent="0.3">
      <c r="A817" s="85" t="str">
        <f>_xlfn.XLOOKUP(B817,'Country codes &amp; Data sources'!G:G,'Country codes &amp; Data sources'!H:H,,0)</f>
        <v>Tanzania</v>
      </c>
      <c r="B817" s="85" t="s">
        <v>197</v>
      </c>
      <c r="C817" s="86">
        <v>47786159.5</v>
      </c>
      <c r="D817" s="85" t="s">
        <v>126</v>
      </c>
      <c r="E817" s="87">
        <v>0</v>
      </c>
      <c r="F817" s="88">
        <v>49253643.5</v>
      </c>
      <c r="G817" s="87">
        <v>0</v>
      </c>
      <c r="I817" s="87">
        <v>0</v>
      </c>
      <c r="K817" s="87">
        <v>0</v>
      </c>
      <c r="M817" s="87">
        <v>0</v>
      </c>
      <c r="O817" s="87">
        <v>0</v>
      </c>
      <c r="P817" s="88">
        <v>58090443.000000007</v>
      </c>
      <c r="Q817" s="87">
        <v>0</v>
      </c>
      <c r="R817" s="87">
        <f t="shared" si="298"/>
        <v>2</v>
      </c>
      <c r="T817" s="87">
        <v>0</v>
      </c>
      <c r="V817" s="87">
        <v>0</v>
      </c>
      <c r="X817" s="87">
        <v>0</v>
      </c>
      <c r="Y817" s="88">
        <v>65497748.000000045</v>
      </c>
      <c r="Z817" s="87">
        <v>2</v>
      </c>
      <c r="AA817" s="87">
        <v>2</v>
      </c>
      <c r="AB817" s="89">
        <f t="shared" si="299"/>
        <v>0</v>
      </c>
      <c r="AC817" s="89">
        <f t="shared" si="300"/>
        <v>0</v>
      </c>
      <c r="AD817" s="89">
        <f t="shared" si="301"/>
        <v>2</v>
      </c>
      <c r="AF817" s="90" t="str">
        <f t="shared" si="302"/>
        <v/>
      </c>
      <c r="AG817" s="90">
        <f t="shared" si="303"/>
        <v>2</v>
      </c>
      <c r="AH817" s="90" t="str">
        <f t="shared" si="304"/>
        <v>2018 (triag)</v>
      </c>
      <c r="AI817" s="90">
        <f t="shared" si="305"/>
        <v>2</v>
      </c>
      <c r="AJ817" s="90">
        <f t="shared" si="306"/>
        <v>2022</v>
      </c>
      <c r="AK817" s="90" t="str">
        <f t="shared" si="307"/>
        <v/>
      </c>
      <c r="AL817" s="91">
        <f>IF(AK817="Adjust",(_xlfn.XLOOKUP(A817,'Adj factor'!A:A,'Adj factor'!I:I,,0)*AI817),'Master DataSheet (Rev)'!AI817)</f>
        <v>2</v>
      </c>
      <c r="AM817" s="91">
        <f t="shared" si="308"/>
        <v>2</v>
      </c>
      <c r="AN817" s="92" t="str">
        <f t="shared" si="309"/>
        <v>No change</v>
      </c>
      <c r="AO817" s="93">
        <f>VLOOKUP(B817,'Growthrates source'!A$2:H$49,8,FALSE)</f>
        <v>0.14011618556211447</v>
      </c>
      <c r="AP817" s="93">
        <f>VLOOKUP(B817,'Growthrates source'!A$2:I$49,9,FALSE)</f>
        <v>5.4673730437993617E-2</v>
      </c>
      <c r="AQ817" s="86">
        <f t="shared" si="310"/>
        <v>0.99259381470996266</v>
      </c>
      <c r="AR817" s="86">
        <f t="shared" si="311"/>
        <v>2.3564785665335268</v>
      </c>
      <c r="AS817" s="94">
        <f t="shared" si="312"/>
        <v>0</v>
      </c>
      <c r="AT817" s="94">
        <f t="shared" si="313"/>
        <v>3.4429071232939293E-4</v>
      </c>
      <c r="AU817" s="94">
        <f t="shared" si="296"/>
        <v>3.0535401003405473E-4</v>
      </c>
      <c r="AV817" s="94">
        <f t="shared" si="297"/>
        <v>3.0535401003405473E-4</v>
      </c>
    </row>
    <row r="818" spans="1:48" x14ac:dyDescent="0.3">
      <c r="A818" s="85" t="str">
        <f>_xlfn.XLOOKUP(B818,'Country codes &amp; Data sources'!G:G,'Country codes &amp; Data sources'!H:H,,0)</f>
        <v>Tanzania</v>
      </c>
      <c r="B818" s="85" t="s">
        <v>197</v>
      </c>
      <c r="C818" s="86">
        <v>47786160.5</v>
      </c>
      <c r="D818" s="85" t="s">
        <v>87</v>
      </c>
      <c r="E818" s="87">
        <v>0</v>
      </c>
      <c r="F818" s="88">
        <v>49253643.5</v>
      </c>
      <c r="G818" s="87">
        <v>0</v>
      </c>
      <c r="I818" s="87">
        <v>0</v>
      </c>
      <c r="K818" s="87">
        <v>0</v>
      </c>
      <c r="M818" s="87">
        <v>0</v>
      </c>
      <c r="O818" s="87">
        <v>0</v>
      </c>
      <c r="P818" s="88">
        <v>58090443.000000007</v>
      </c>
      <c r="Q818" s="87">
        <v>0</v>
      </c>
      <c r="R818" s="87">
        <f t="shared" si="298"/>
        <v>15200</v>
      </c>
      <c r="T818" s="87">
        <v>0</v>
      </c>
      <c r="V818" s="87">
        <v>0</v>
      </c>
      <c r="X818" s="87">
        <v>0</v>
      </c>
      <c r="Y818" s="88">
        <v>65497748.000000045</v>
      </c>
      <c r="Z818" s="87">
        <v>4710</v>
      </c>
      <c r="AA818" s="87">
        <v>15200</v>
      </c>
      <c r="AB818" s="89">
        <f t="shared" si="299"/>
        <v>0</v>
      </c>
      <c r="AC818" s="89">
        <f t="shared" si="300"/>
        <v>0</v>
      </c>
      <c r="AD818" s="89">
        <f t="shared" si="301"/>
        <v>4710</v>
      </c>
      <c r="AF818" s="90" t="str">
        <f t="shared" si="302"/>
        <v/>
      </c>
      <c r="AG818" s="90">
        <f t="shared" si="303"/>
        <v>15200</v>
      </c>
      <c r="AH818" s="90" t="str">
        <f t="shared" si="304"/>
        <v>2018 (triag)</v>
      </c>
      <c r="AI818" s="90">
        <f t="shared" si="305"/>
        <v>4710</v>
      </c>
      <c r="AJ818" s="90">
        <f t="shared" si="306"/>
        <v>2022</v>
      </c>
      <c r="AK818" s="90" t="str">
        <f t="shared" si="307"/>
        <v>Adjust</v>
      </c>
      <c r="AL818" s="91">
        <f>IF(AK818="Adjust",(_xlfn.XLOOKUP(A818,'Adj factor'!A:A,'Adj factor'!I:I,,0)*AI818),'Master DataSheet (Rev)'!AI818)</f>
        <v>6101.8158508607894</v>
      </c>
      <c r="AM818" s="91">
        <f t="shared" si="308"/>
        <v>15200</v>
      </c>
      <c r="AN818" s="92" t="str">
        <f t="shared" si="309"/>
        <v>Decreasing</v>
      </c>
      <c r="AO818" s="93">
        <f>VLOOKUP(B818,'Growthrates source'!A$2:H$49,8,FALSE)</f>
        <v>0.14011618556211447</v>
      </c>
      <c r="AP818" s="93">
        <f>VLOOKUP(B818,'Growthrates source'!A$2:I$49,9,FALSE)</f>
        <v>5.4673730437993617E-2</v>
      </c>
      <c r="AQ818" s="86">
        <f t="shared" si="310"/>
        <v>7543.7129917957163</v>
      </c>
      <c r="AR818" s="86">
        <f t="shared" si="311"/>
        <v>17909.237105654804</v>
      </c>
      <c r="AS818" s="94">
        <f t="shared" si="312"/>
        <v>0</v>
      </c>
      <c r="AT818" s="94">
        <f t="shared" si="313"/>
        <v>2.6166094137033862</v>
      </c>
      <c r="AU818" s="94">
        <f t="shared" si="296"/>
        <v>0.93160696927484976</v>
      </c>
      <c r="AV818" s="94">
        <f t="shared" si="297"/>
        <v>2.3206904762588159</v>
      </c>
    </row>
    <row r="819" spans="1:48" x14ac:dyDescent="0.3">
      <c r="A819" s="85" t="str">
        <f>_xlfn.XLOOKUP(B819,'Country codes &amp; Data sources'!G:G,'Country codes &amp; Data sources'!H:H,,0)</f>
        <v>Uganda</v>
      </c>
      <c r="B819" s="85" t="s">
        <v>191</v>
      </c>
      <c r="C819" s="86">
        <v>34273300</v>
      </c>
      <c r="D819" s="85" t="s">
        <v>127</v>
      </c>
      <c r="E819" s="87">
        <v>0</v>
      </c>
      <c r="F819" s="88">
        <v>35273569.999999993</v>
      </c>
      <c r="G819" s="87">
        <v>0</v>
      </c>
      <c r="I819" s="87">
        <v>0</v>
      </c>
      <c r="K819" s="87">
        <v>179175</v>
      </c>
      <c r="M819" s="87">
        <v>0</v>
      </c>
      <c r="O819" s="87">
        <v>0</v>
      </c>
      <c r="P819" s="88">
        <v>41515395.000000015</v>
      </c>
      <c r="Q819" s="87">
        <v>0</v>
      </c>
      <c r="R819" s="87">
        <f t="shared" si="298"/>
        <v>0</v>
      </c>
      <c r="T819" s="87">
        <v>179000</v>
      </c>
      <c r="V819" s="87">
        <v>0</v>
      </c>
      <c r="X819" s="87">
        <v>0</v>
      </c>
      <c r="Y819" s="88">
        <v>47249584.999999978</v>
      </c>
      <c r="Z819" s="87">
        <v>0</v>
      </c>
      <c r="AA819" s="87">
        <v>0</v>
      </c>
      <c r="AB819" s="89">
        <f t="shared" si="299"/>
        <v>179175</v>
      </c>
      <c r="AC819" s="89">
        <f t="shared" si="300"/>
        <v>179000</v>
      </c>
      <c r="AD819" s="89">
        <f t="shared" si="301"/>
        <v>0</v>
      </c>
      <c r="AE819" s="90">
        <f t="shared" si="314"/>
        <v>179175</v>
      </c>
      <c r="AF819" s="90">
        <f t="shared" si="302"/>
        <v>2015</v>
      </c>
      <c r="AG819" s="90">
        <f t="shared" si="303"/>
        <v>179000</v>
      </c>
      <c r="AH819" s="90">
        <f t="shared" si="304"/>
        <v>2019</v>
      </c>
      <c r="AI819" s="90">
        <f t="shared" si="305"/>
        <v>179000</v>
      </c>
      <c r="AJ819" s="90">
        <f t="shared" si="306"/>
        <v>2019</v>
      </c>
      <c r="AK819" s="90" t="str">
        <f t="shared" si="307"/>
        <v/>
      </c>
      <c r="AL819" s="91">
        <f>IF(AK819="Adjust",(_xlfn.XLOOKUP(A819,'Adj factor'!A:A,'Adj factor'!I:I,,0)*AI819),'Master DataSheet (Rev)'!AI819)</f>
        <v>179000</v>
      </c>
      <c r="AM819" s="91">
        <f t="shared" si="308"/>
        <v>179000</v>
      </c>
      <c r="AN819" s="92" t="str">
        <f t="shared" si="309"/>
        <v>No change</v>
      </c>
      <c r="AO819" s="93">
        <f>VLOOKUP(B819,'Growthrates source'!A$2:H$49,8,FALSE)</f>
        <v>4.7050173871553191E-2</v>
      </c>
      <c r="AP819" s="93">
        <f>VLOOKUP(B819,'Growthrates source'!A$2:I$49,9,FALSE)</f>
        <v>5.4673730437993617E-2</v>
      </c>
      <c r="AQ819" s="86">
        <f t="shared" si="310"/>
        <v>0</v>
      </c>
      <c r="AR819" s="86">
        <f t="shared" si="311"/>
        <v>0</v>
      </c>
      <c r="AS819" s="94">
        <f t="shared" si="312"/>
        <v>50.795822481251555</v>
      </c>
      <c r="AT819" s="94">
        <f t="shared" si="313"/>
        <v>43.116535444261082</v>
      </c>
      <c r="AU819" s="94">
        <f t="shared" si="296"/>
        <v>37.883930620766314</v>
      </c>
      <c r="AV819" s="94">
        <f t="shared" si="297"/>
        <v>37.883930620766314</v>
      </c>
    </row>
    <row r="820" spans="1:48" ht="14.5" x14ac:dyDescent="0.35">
      <c r="A820" s="85" t="str">
        <f>_xlfn.XLOOKUP(B820,'Country codes &amp; Data sources'!G:G,'Country codes &amp; Data sources'!H:H,,0)</f>
        <v>Uganda</v>
      </c>
      <c r="B820" s="85" t="s">
        <v>191</v>
      </c>
      <c r="C820" s="86">
        <v>34273301</v>
      </c>
      <c r="D820" s="85" t="s">
        <v>61</v>
      </c>
      <c r="E820" s="87">
        <v>0</v>
      </c>
      <c r="F820" s="88">
        <v>35273569.999999993</v>
      </c>
      <c r="G820" s="87">
        <v>0</v>
      </c>
      <c r="I820" s="87">
        <v>0</v>
      </c>
      <c r="K820" s="87">
        <v>0</v>
      </c>
      <c r="M820" s="87">
        <v>0</v>
      </c>
      <c r="O820" s="87">
        <v>0</v>
      </c>
      <c r="P820" s="88">
        <v>41515395.000000015</v>
      </c>
      <c r="Q820" s="87">
        <v>0</v>
      </c>
      <c r="R820" s="87">
        <f t="shared" si="298"/>
        <v>3</v>
      </c>
      <c r="T820" s="87">
        <v>0</v>
      </c>
      <c r="V820" s="87">
        <v>0</v>
      </c>
      <c r="X820" s="87">
        <v>0</v>
      </c>
      <c r="Y820" s="88">
        <v>47249584.999999978</v>
      </c>
      <c r="Z820" s="111">
        <f>17+76</f>
        <v>93</v>
      </c>
      <c r="AA820" s="87">
        <v>3</v>
      </c>
      <c r="AB820" s="89">
        <f t="shared" si="299"/>
        <v>0</v>
      </c>
      <c r="AC820" s="89">
        <f t="shared" si="300"/>
        <v>0</v>
      </c>
      <c r="AD820" s="89">
        <f t="shared" si="301"/>
        <v>93</v>
      </c>
      <c r="AF820" s="90" t="str">
        <f t="shared" si="302"/>
        <v/>
      </c>
      <c r="AG820" s="90">
        <f t="shared" si="303"/>
        <v>3</v>
      </c>
      <c r="AH820" s="90" t="str">
        <f t="shared" si="304"/>
        <v>2018 (triag)</v>
      </c>
      <c r="AI820" s="90">
        <f t="shared" si="305"/>
        <v>93</v>
      </c>
      <c r="AJ820" s="90">
        <f t="shared" si="306"/>
        <v>2022</v>
      </c>
      <c r="AK820" s="90" t="str">
        <f t="shared" si="307"/>
        <v/>
      </c>
      <c r="AL820" s="91">
        <f>IF(AK820="Adjust",(_xlfn.XLOOKUP(A820,'Adj factor'!A:A,'Adj factor'!I:I,,0)*AI820),'Master DataSheet (Rev)'!AI820)</f>
        <v>93</v>
      </c>
      <c r="AM820" s="60">
        <f>17+76</f>
        <v>93</v>
      </c>
      <c r="AN820" s="92" t="str">
        <f t="shared" si="309"/>
        <v>Increasing</v>
      </c>
      <c r="AO820" s="93">
        <f>VLOOKUP(B820,'Growthrates source'!A$2:H$49,8,FALSE)</f>
        <v>4.7050173871553191E-2</v>
      </c>
      <c r="AP820" s="93">
        <f>VLOOKUP(B820,'Growthrates source'!A$2:I$49,9,FALSE)</f>
        <v>5.4673730437993617E-2</v>
      </c>
      <c r="AQ820" s="86">
        <f t="shared" si="310"/>
        <v>2.3711176335084017</v>
      </c>
      <c r="AR820" s="86">
        <f t="shared" si="311"/>
        <v>3.5347178498002902</v>
      </c>
      <c r="AS820" s="94">
        <f t="shared" si="312"/>
        <v>0</v>
      </c>
      <c r="AT820" s="94">
        <f t="shared" si="313"/>
        <v>7.226234990658282E-4</v>
      </c>
      <c r="AU820" s="94">
        <f t="shared" si="296"/>
        <v>1.9682712557157919E-2</v>
      </c>
      <c r="AV820" s="94">
        <f t="shared" si="297"/>
        <v>1.9682712557157919E-2</v>
      </c>
    </row>
    <row r="821" spans="1:48" ht="14.5" x14ac:dyDescent="0.35">
      <c r="A821" s="85" t="str">
        <f>_xlfn.XLOOKUP(B821,'Country codes &amp; Data sources'!G:G,'Country codes &amp; Data sources'!H:H,,0)</f>
        <v>Uganda</v>
      </c>
      <c r="B821" s="85" t="s">
        <v>191</v>
      </c>
      <c r="C821" s="86">
        <v>34273302</v>
      </c>
      <c r="D821" s="85" t="s">
        <v>62</v>
      </c>
      <c r="E821" s="87">
        <v>0</v>
      </c>
      <c r="F821" s="88">
        <v>35273569.999999993</v>
      </c>
      <c r="G821" s="87">
        <v>0</v>
      </c>
      <c r="I821" s="87">
        <v>0</v>
      </c>
      <c r="K821" s="87">
        <v>0</v>
      </c>
      <c r="M821" s="87">
        <v>5112</v>
      </c>
      <c r="O821" s="87">
        <v>0</v>
      </c>
      <c r="P821" s="88">
        <v>41515395.000000015</v>
      </c>
      <c r="Q821" s="87">
        <v>0</v>
      </c>
      <c r="R821" s="87">
        <f t="shared" si="298"/>
        <v>16</v>
      </c>
      <c r="T821" s="87">
        <v>0</v>
      </c>
      <c r="V821" s="87">
        <v>0</v>
      </c>
      <c r="X821" s="87">
        <v>0</v>
      </c>
      <c r="Y821" s="88">
        <v>47249584.999999978</v>
      </c>
      <c r="Z821" s="111">
        <v>426</v>
      </c>
      <c r="AA821" s="87">
        <v>16</v>
      </c>
      <c r="AB821" s="89">
        <f t="shared" si="299"/>
        <v>0</v>
      </c>
      <c r="AC821" s="89">
        <f t="shared" si="300"/>
        <v>5112</v>
      </c>
      <c r="AD821" s="89">
        <f t="shared" si="301"/>
        <v>426</v>
      </c>
      <c r="AF821" s="90" t="str">
        <f t="shared" si="302"/>
        <v/>
      </c>
      <c r="AG821" s="90">
        <f t="shared" si="303"/>
        <v>16</v>
      </c>
      <c r="AH821" s="90" t="str">
        <f t="shared" si="304"/>
        <v>2018 (triag)</v>
      </c>
      <c r="AI821" s="90">
        <f t="shared" si="305"/>
        <v>426</v>
      </c>
      <c r="AJ821" s="90">
        <f t="shared" si="306"/>
        <v>2022</v>
      </c>
      <c r="AK821" s="90" t="str">
        <f t="shared" si="307"/>
        <v/>
      </c>
      <c r="AL821" s="91">
        <f>IF(AK821="Adjust",(_xlfn.XLOOKUP(A821,'Adj factor'!A:A,'Adj factor'!I:I,,0)*AI821),'Master DataSheet (Rev)'!AI821)</f>
        <v>426</v>
      </c>
      <c r="AM821" s="60">
        <v>426</v>
      </c>
      <c r="AN821" s="92" t="str">
        <f t="shared" si="309"/>
        <v>Increasing</v>
      </c>
      <c r="AO821" s="93">
        <f>VLOOKUP(B821,'Growthrates source'!A$2:H$49,8,FALSE)</f>
        <v>4.7050173871553191E-2</v>
      </c>
      <c r="AP821" s="93">
        <f>VLOOKUP(B821,'Growthrates source'!A$2:I$49,9,FALSE)</f>
        <v>5.4673730437993617E-2</v>
      </c>
      <c r="AQ821" s="86">
        <f t="shared" si="310"/>
        <v>12.645960712044809</v>
      </c>
      <c r="AR821" s="86">
        <f t="shared" si="311"/>
        <v>18.851828532268215</v>
      </c>
      <c r="AS821" s="94">
        <f t="shared" si="312"/>
        <v>0</v>
      </c>
      <c r="AT821" s="94">
        <f t="shared" si="313"/>
        <v>3.8539919950177507E-3</v>
      </c>
      <c r="AU821" s="94">
        <f t="shared" si="296"/>
        <v>9.0159522036013698E-2</v>
      </c>
      <c r="AV821" s="94">
        <f t="shared" si="297"/>
        <v>9.0159522036013698E-2</v>
      </c>
    </row>
    <row r="822" spans="1:48" x14ac:dyDescent="0.3">
      <c r="A822" s="85" t="str">
        <f>_xlfn.XLOOKUP(B822,'Country codes &amp; Data sources'!G:G,'Country codes &amp; Data sources'!H:H,,0)</f>
        <v>Uganda</v>
      </c>
      <c r="B822" s="85" t="s">
        <v>191</v>
      </c>
      <c r="C822" s="86">
        <v>34273303</v>
      </c>
      <c r="D822" s="85" t="s">
        <v>203</v>
      </c>
      <c r="E822" s="87">
        <v>0</v>
      </c>
      <c r="F822" s="88">
        <v>35273569.999999993</v>
      </c>
      <c r="G822" s="87">
        <v>0</v>
      </c>
      <c r="I822" s="87">
        <v>0</v>
      </c>
      <c r="K822" s="87">
        <v>0</v>
      </c>
      <c r="M822" s="87">
        <v>0</v>
      </c>
      <c r="O822" s="87">
        <v>0</v>
      </c>
      <c r="P822" s="88">
        <v>41515395.000000015</v>
      </c>
      <c r="Q822" s="87">
        <v>0</v>
      </c>
      <c r="R822" s="87">
        <f t="shared" si="298"/>
        <v>527</v>
      </c>
      <c r="T822" s="87">
        <v>0</v>
      </c>
      <c r="V822" s="87">
        <v>0</v>
      </c>
      <c r="X822" s="87">
        <v>0</v>
      </c>
      <c r="Y822" s="88">
        <v>47249584.999999978</v>
      </c>
      <c r="Z822" s="87">
        <v>0</v>
      </c>
      <c r="AA822" s="87">
        <v>527</v>
      </c>
      <c r="AB822" s="89">
        <f t="shared" si="299"/>
        <v>0</v>
      </c>
      <c r="AC822" s="89">
        <f t="shared" si="300"/>
        <v>0</v>
      </c>
      <c r="AD822" s="89">
        <f t="shared" si="301"/>
        <v>0</v>
      </c>
      <c r="AF822" s="90" t="str">
        <f t="shared" si="302"/>
        <v/>
      </c>
      <c r="AG822" s="90">
        <f t="shared" si="303"/>
        <v>527</v>
      </c>
      <c r="AH822" s="90" t="str">
        <f t="shared" si="304"/>
        <v>2018 (triag)</v>
      </c>
      <c r="AI822" s="90">
        <f t="shared" si="305"/>
        <v>527</v>
      </c>
      <c r="AJ822" s="90" t="str">
        <f t="shared" si="306"/>
        <v>2018 (triag)</v>
      </c>
      <c r="AK822" s="90" t="str">
        <f t="shared" si="307"/>
        <v/>
      </c>
      <c r="AL822" s="91">
        <f>IF(AK822="Adjust",(_xlfn.XLOOKUP(A822,'Adj factor'!A:A,'Adj factor'!I:I,,0)*AI822),'Master DataSheet (Rev)'!AI822)</f>
        <v>527</v>
      </c>
      <c r="AM822" s="91">
        <f t="shared" si="308"/>
        <v>527</v>
      </c>
      <c r="AN822" s="92" t="str">
        <f t="shared" si="309"/>
        <v>No change</v>
      </c>
      <c r="AO822" s="93">
        <f>VLOOKUP(B822,'Growthrates source'!A$2:H$49,8,FALSE)</f>
        <v>4.7050173871553191E-2</v>
      </c>
      <c r="AP822" s="93">
        <f>VLOOKUP(B822,'Growthrates source'!A$2:I$49,9,FALSE)</f>
        <v>5.4673730437993617E-2</v>
      </c>
      <c r="AQ822" s="86">
        <f t="shared" si="310"/>
        <v>416.52633095297591</v>
      </c>
      <c r="AR822" s="86">
        <f t="shared" si="311"/>
        <v>620.93210228158432</v>
      </c>
      <c r="AS822" s="94">
        <f t="shared" si="312"/>
        <v>0</v>
      </c>
      <c r="AT822" s="94">
        <f t="shared" si="313"/>
        <v>0.12694086133589716</v>
      </c>
      <c r="AU822" s="94">
        <f t="shared" si="296"/>
        <v>0.11153537115722821</v>
      </c>
      <c r="AV822" s="94">
        <f t="shared" si="297"/>
        <v>0.11153537115722821</v>
      </c>
    </row>
    <row r="823" spans="1:48" x14ac:dyDescent="0.3">
      <c r="A823" s="85" t="str">
        <f>_xlfn.XLOOKUP(B823,'Country codes &amp; Data sources'!G:G,'Country codes &amp; Data sources'!H:H,,0)</f>
        <v>Uganda</v>
      </c>
      <c r="B823" s="85" t="s">
        <v>191</v>
      </c>
      <c r="C823" s="86">
        <v>34273304</v>
      </c>
      <c r="D823" s="85" t="s">
        <v>204</v>
      </c>
      <c r="E823" s="87">
        <v>0</v>
      </c>
      <c r="F823" s="88">
        <v>35273569.999999993</v>
      </c>
      <c r="G823" s="87">
        <v>0</v>
      </c>
      <c r="I823" s="87">
        <v>0</v>
      </c>
      <c r="K823" s="87">
        <v>0</v>
      </c>
      <c r="M823" s="87">
        <v>0</v>
      </c>
      <c r="O823" s="87">
        <v>0</v>
      </c>
      <c r="P823" s="88">
        <v>41515395.000000015</v>
      </c>
      <c r="Q823" s="87">
        <v>0</v>
      </c>
      <c r="R823" s="87">
        <f t="shared" si="298"/>
        <v>0</v>
      </c>
      <c r="T823" s="87">
        <v>0</v>
      </c>
      <c r="V823" s="87">
        <v>0</v>
      </c>
      <c r="X823" s="87">
        <v>0</v>
      </c>
      <c r="Y823" s="88">
        <v>47249584.999999978</v>
      </c>
      <c r="Z823" s="87">
        <v>0</v>
      </c>
      <c r="AA823" s="87">
        <v>0</v>
      </c>
      <c r="AB823" s="89">
        <f t="shared" si="299"/>
        <v>0</v>
      </c>
      <c r="AC823" s="89">
        <f t="shared" si="300"/>
        <v>0</v>
      </c>
      <c r="AD823" s="89">
        <f t="shared" si="301"/>
        <v>0</v>
      </c>
      <c r="AF823" s="90" t="str">
        <f t="shared" si="302"/>
        <v/>
      </c>
      <c r="AH823" s="90" t="str">
        <f t="shared" si="304"/>
        <v/>
      </c>
      <c r="AI823" s="90">
        <f t="shared" si="305"/>
        <v>0</v>
      </c>
      <c r="AJ823" s="90" t="str">
        <f t="shared" si="306"/>
        <v/>
      </c>
      <c r="AK823" s="90" t="str">
        <f t="shared" si="307"/>
        <v/>
      </c>
      <c r="AL823" s="91"/>
      <c r="AM823" s="91">
        <f t="shared" si="308"/>
        <v>0</v>
      </c>
      <c r="AN823" s="92" t="str">
        <f t="shared" si="309"/>
        <v>No change</v>
      </c>
      <c r="AO823" s="93">
        <f>VLOOKUP(B823,'Growthrates source'!A$2:H$49,8,FALSE)</f>
        <v>4.7050173871553191E-2</v>
      </c>
      <c r="AP823" s="93">
        <f>VLOOKUP(B823,'Growthrates source'!A$2:I$49,9,FALSE)</f>
        <v>5.4673730437993617E-2</v>
      </c>
      <c r="AQ823" s="86">
        <f t="shared" si="310"/>
        <v>0</v>
      </c>
      <c r="AR823" s="86">
        <f t="shared" si="311"/>
        <v>0</v>
      </c>
      <c r="AS823" s="94">
        <f t="shared" si="312"/>
        <v>0</v>
      </c>
      <c r="AT823" s="94">
        <f t="shared" si="313"/>
        <v>0</v>
      </c>
      <c r="AU823" s="94">
        <f t="shared" si="296"/>
        <v>0</v>
      </c>
      <c r="AV823" s="94">
        <f t="shared" si="297"/>
        <v>0</v>
      </c>
    </row>
    <row r="824" spans="1:48" ht="14.5" x14ac:dyDescent="0.35">
      <c r="A824" s="85" t="str">
        <f>_xlfn.XLOOKUP(B824,'Country codes &amp; Data sources'!G:G,'Country codes &amp; Data sources'!H:H,,0)</f>
        <v>Uganda</v>
      </c>
      <c r="B824" s="85" t="s">
        <v>191</v>
      </c>
      <c r="C824" s="86">
        <v>34273305</v>
      </c>
      <c r="D824" s="85" t="s">
        <v>205</v>
      </c>
      <c r="E824" s="87">
        <v>0</v>
      </c>
      <c r="F824" s="88">
        <v>35273569.999999993</v>
      </c>
      <c r="G824" s="87">
        <v>0</v>
      </c>
      <c r="I824" s="87">
        <v>0</v>
      </c>
      <c r="K824" s="87">
        <v>227</v>
      </c>
      <c r="M824" s="87">
        <v>0</v>
      </c>
      <c r="O824" s="87">
        <v>0</v>
      </c>
      <c r="P824" s="88">
        <v>41515395.000000015</v>
      </c>
      <c r="Q824" s="87">
        <v>0</v>
      </c>
      <c r="R824" s="87">
        <f t="shared" si="298"/>
        <v>0</v>
      </c>
      <c r="T824" s="87">
        <v>30</v>
      </c>
      <c r="V824" s="87">
        <v>0</v>
      </c>
      <c r="X824" s="87">
        <v>0</v>
      </c>
      <c r="Y824" s="88">
        <v>47249584.999999978</v>
      </c>
      <c r="Z824" s="111">
        <f>890+392</f>
        <v>1282</v>
      </c>
      <c r="AA824" s="87">
        <v>0</v>
      </c>
      <c r="AB824" s="89">
        <f t="shared" si="299"/>
        <v>227</v>
      </c>
      <c r="AC824" s="89">
        <f t="shared" si="300"/>
        <v>30</v>
      </c>
      <c r="AD824" s="89">
        <f t="shared" si="301"/>
        <v>1282</v>
      </c>
      <c r="AE824" s="90">
        <f t="shared" si="314"/>
        <v>227</v>
      </c>
      <c r="AF824" s="90">
        <f t="shared" si="302"/>
        <v>2015</v>
      </c>
      <c r="AG824" s="90">
        <f t="shared" si="303"/>
        <v>30</v>
      </c>
      <c r="AH824" s="90">
        <f t="shared" si="304"/>
        <v>2019</v>
      </c>
      <c r="AI824" s="90">
        <f t="shared" si="305"/>
        <v>1282</v>
      </c>
      <c r="AJ824" s="90">
        <f t="shared" si="306"/>
        <v>2022</v>
      </c>
      <c r="AK824" s="90" t="str">
        <f t="shared" si="307"/>
        <v/>
      </c>
      <c r="AL824" s="91">
        <f>IF(AK824="Adjust",(_xlfn.XLOOKUP(A824,'Adj factor'!A:A,'Adj factor'!I:I,,0)*AI824),'Master DataSheet (Rev)'!AI824)</f>
        <v>1282</v>
      </c>
      <c r="AM824" s="60">
        <f>890+392</f>
        <v>1282</v>
      </c>
      <c r="AN824" s="92" t="str">
        <f t="shared" si="309"/>
        <v>Increasing</v>
      </c>
      <c r="AO824" s="93">
        <f>VLOOKUP(B824,'Growthrates source'!A$2:H$49,8,FALSE)</f>
        <v>4.7050173871553191E-2</v>
      </c>
      <c r="AP824" s="93">
        <f>VLOOKUP(B824,'Growthrates source'!A$2:I$49,9,FALSE)</f>
        <v>5.4673730437993617E-2</v>
      </c>
      <c r="AQ824" s="86">
        <f t="shared" si="310"/>
        <v>0</v>
      </c>
      <c r="AR824" s="86">
        <f t="shared" si="311"/>
        <v>0</v>
      </c>
      <c r="AS824" s="94">
        <f t="shared" si="312"/>
        <v>6.4354132570080103E-2</v>
      </c>
      <c r="AT824" s="94">
        <f t="shared" si="313"/>
        <v>7.2262349906582818E-3</v>
      </c>
      <c r="AU824" s="94">
        <f t="shared" si="296"/>
        <v>0.27132513439006939</v>
      </c>
      <c r="AV824" s="94">
        <f t="shared" si="297"/>
        <v>0.27132513439006939</v>
      </c>
    </row>
    <row r="825" spans="1:48" x14ac:dyDescent="0.3">
      <c r="A825" s="85" t="str">
        <f>_xlfn.XLOOKUP(B825,'Country codes &amp; Data sources'!G:G,'Country codes &amp; Data sources'!H:H,,0)</f>
        <v>Uganda</v>
      </c>
      <c r="B825" s="85" t="s">
        <v>191</v>
      </c>
      <c r="C825" s="86">
        <v>34273306</v>
      </c>
      <c r="D825" s="85" t="s">
        <v>133</v>
      </c>
      <c r="E825" s="87">
        <v>0</v>
      </c>
      <c r="F825" s="88">
        <v>35273569.999999993</v>
      </c>
      <c r="G825" s="87">
        <v>0</v>
      </c>
      <c r="I825" s="87">
        <v>0</v>
      </c>
      <c r="K825" s="87">
        <v>0</v>
      </c>
      <c r="M825" s="87">
        <v>0</v>
      </c>
      <c r="O825" s="87">
        <v>0</v>
      </c>
      <c r="P825" s="88">
        <v>41515395.000000015</v>
      </c>
      <c r="Q825" s="87">
        <v>3874</v>
      </c>
      <c r="R825" s="87">
        <f t="shared" si="298"/>
        <v>3874</v>
      </c>
      <c r="T825" s="87">
        <v>0</v>
      </c>
      <c r="V825" s="87">
        <v>0</v>
      </c>
      <c r="X825" s="87">
        <v>0</v>
      </c>
      <c r="Y825" s="88">
        <v>47249584.999999978</v>
      </c>
      <c r="Z825" s="87">
        <v>3309</v>
      </c>
      <c r="AA825" s="87">
        <v>526</v>
      </c>
      <c r="AB825" s="89">
        <f t="shared" si="299"/>
        <v>0</v>
      </c>
      <c r="AC825" s="89">
        <f t="shared" si="300"/>
        <v>3874</v>
      </c>
      <c r="AD825" s="89">
        <f t="shared" si="301"/>
        <v>3309</v>
      </c>
      <c r="AF825" s="90" t="str">
        <f t="shared" si="302"/>
        <v/>
      </c>
      <c r="AG825" s="90">
        <f t="shared" si="303"/>
        <v>3874</v>
      </c>
      <c r="AH825" s="90">
        <f t="shared" si="304"/>
        <v>2018</v>
      </c>
      <c r="AI825" s="90">
        <f t="shared" si="305"/>
        <v>3309</v>
      </c>
      <c r="AJ825" s="90">
        <f t="shared" si="306"/>
        <v>2022</v>
      </c>
      <c r="AK825" s="90" t="str">
        <f t="shared" si="307"/>
        <v>Adjust</v>
      </c>
      <c r="AL825" s="91">
        <f>IF(AK825="Adjust",(_xlfn.XLOOKUP(A825,'Adj factor'!A:A,'Adj factor'!I:I,,0)*AI825),'Master DataSheet (Rev)'!AI825)</f>
        <v>3771.8605231388328</v>
      </c>
      <c r="AM825" s="91">
        <f t="shared" si="308"/>
        <v>3874</v>
      </c>
      <c r="AN825" s="92" t="str">
        <f t="shared" si="309"/>
        <v>Decreasing</v>
      </c>
      <c r="AO825" s="93">
        <f>VLOOKUP(B825,'Growthrates source'!A$2:H$49,8,FALSE)</f>
        <v>4.7050173871553191E-2</v>
      </c>
      <c r="AP825" s="93">
        <f>VLOOKUP(B825,'Growthrates source'!A$2:I$49,9,FALSE)</f>
        <v>5.4673730437993617E-2</v>
      </c>
      <c r="AQ825" s="86">
        <f t="shared" si="310"/>
        <v>415.7359584084731</v>
      </c>
      <c r="AR825" s="86">
        <f t="shared" si="311"/>
        <v>619.75386299831757</v>
      </c>
      <c r="AS825" s="94">
        <f t="shared" si="312"/>
        <v>0</v>
      </c>
      <c r="AT825" s="94">
        <f t="shared" si="313"/>
        <v>0.93314781179367279</v>
      </c>
      <c r="AU825" s="94">
        <f t="shared" si="296"/>
        <v>0.79828437078099945</v>
      </c>
      <c r="AV825" s="94">
        <f t="shared" si="297"/>
        <v>0.81990138114440625</v>
      </c>
    </row>
    <row r="826" spans="1:48" x14ac:dyDescent="0.3">
      <c r="A826" s="85" t="str">
        <f>_xlfn.XLOOKUP(B826,'Country codes &amp; Data sources'!G:G,'Country codes &amp; Data sources'!H:H,,0)</f>
        <v>Uganda</v>
      </c>
      <c r="B826" s="85" t="s">
        <v>191</v>
      </c>
      <c r="C826" s="86">
        <v>34273307</v>
      </c>
      <c r="D826" s="85" t="s">
        <v>206</v>
      </c>
      <c r="E826" s="87">
        <v>0</v>
      </c>
      <c r="F826" s="88">
        <v>35273569.999999993</v>
      </c>
      <c r="G826" s="87">
        <v>0</v>
      </c>
      <c r="I826" s="87">
        <v>0</v>
      </c>
      <c r="K826" s="87">
        <v>0</v>
      </c>
      <c r="M826" s="87">
        <v>0</v>
      </c>
      <c r="O826" s="87">
        <v>0</v>
      </c>
      <c r="P826" s="88">
        <v>41515395.000000015</v>
      </c>
      <c r="Q826" s="87">
        <v>0</v>
      </c>
      <c r="R826" s="87">
        <f t="shared" si="298"/>
        <v>3505</v>
      </c>
      <c r="T826" s="87">
        <v>0</v>
      </c>
      <c r="V826" s="87">
        <v>0</v>
      </c>
      <c r="X826" s="87">
        <v>0</v>
      </c>
      <c r="Y826" s="88">
        <v>47249584.999999978</v>
      </c>
      <c r="Z826" s="87">
        <v>14531</v>
      </c>
      <c r="AA826" s="87">
        <v>3505</v>
      </c>
      <c r="AB826" s="89">
        <f t="shared" si="299"/>
        <v>0</v>
      </c>
      <c r="AC826" s="89">
        <f t="shared" si="300"/>
        <v>0</v>
      </c>
      <c r="AD826" s="89">
        <f t="shared" si="301"/>
        <v>14531</v>
      </c>
      <c r="AF826" s="90" t="str">
        <f t="shared" si="302"/>
        <v/>
      </c>
      <c r="AG826" s="90">
        <f t="shared" si="303"/>
        <v>3505</v>
      </c>
      <c r="AH826" s="90" t="str">
        <f t="shared" si="304"/>
        <v>2018 (triag)</v>
      </c>
      <c r="AI826" s="90">
        <f t="shared" si="305"/>
        <v>14531</v>
      </c>
      <c r="AJ826" s="90">
        <f t="shared" si="306"/>
        <v>2022</v>
      </c>
      <c r="AK826" s="90" t="str">
        <f t="shared" si="307"/>
        <v/>
      </c>
      <c r="AL826" s="91">
        <f>IF(AK826="Adjust",(_xlfn.XLOOKUP(A826,'Adj factor'!A:A,'Adj factor'!I:I,,0)*AI826),'Master DataSheet (Rev)'!AI826)</f>
        <v>14531</v>
      </c>
      <c r="AM826" s="91">
        <f t="shared" si="308"/>
        <v>14531</v>
      </c>
      <c r="AN826" s="92" t="str">
        <f t="shared" si="309"/>
        <v>Increasing</v>
      </c>
      <c r="AO826" s="93">
        <f>VLOOKUP(B826,'Growthrates source'!A$2:H$49,8,FALSE)</f>
        <v>4.7050173871553191E-2</v>
      </c>
      <c r="AP826" s="93">
        <f>VLOOKUP(B826,'Growthrates source'!A$2:I$49,9,FALSE)</f>
        <v>5.4673730437993617E-2</v>
      </c>
      <c r="AQ826" s="86">
        <f t="shared" si="310"/>
        <v>2770.2557684823159</v>
      </c>
      <c r="AR826" s="86">
        <f t="shared" si="311"/>
        <v>4129.7286878500054</v>
      </c>
      <c r="AS826" s="94">
        <f t="shared" si="312"/>
        <v>0</v>
      </c>
      <c r="AT826" s="94">
        <f t="shared" si="313"/>
        <v>0.84426512140857601</v>
      </c>
      <c r="AU826" s="94">
        <f t="shared" si="296"/>
        <v>3.075370926538298</v>
      </c>
      <c r="AV826" s="94">
        <f t="shared" si="297"/>
        <v>3.075370926538298</v>
      </c>
    </row>
    <row r="827" spans="1:48" x14ac:dyDescent="0.3">
      <c r="A827" s="85" t="str">
        <f>_xlfn.XLOOKUP(B827,'Country codes &amp; Data sources'!G:G,'Country codes &amp; Data sources'!H:H,,0)</f>
        <v>Uganda</v>
      </c>
      <c r="B827" s="85" t="s">
        <v>191</v>
      </c>
      <c r="C827" s="86">
        <v>34273308</v>
      </c>
      <c r="D827" s="85" t="s">
        <v>136</v>
      </c>
      <c r="E827" s="87">
        <v>0</v>
      </c>
      <c r="F827" s="88">
        <v>35273569.999999993</v>
      </c>
      <c r="G827" s="87">
        <v>0</v>
      </c>
      <c r="I827" s="87">
        <v>0</v>
      </c>
      <c r="K827" s="87">
        <v>121</v>
      </c>
      <c r="M827" s="87">
        <v>0</v>
      </c>
      <c r="O827" s="87">
        <v>0</v>
      </c>
      <c r="P827" s="88">
        <v>41515395.000000015</v>
      </c>
      <c r="Q827" s="87">
        <v>0</v>
      </c>
      <c r="R827" s="87">
        <f t="shared" si="298"/>
        <v>42</v>
      </c>
      <c r="T827" s="87">
        <v>0</v>
      </c>
      <c r="V827" s="87">
        <v>0</v>
      </c>
      <c r="X827" s="87">
        <v>0</v>
      </c>
      <c r="Y827" s="88">
        <v>47249584.999999978</v>
      </c>
      <c r="Z827" s="87">
        <v>1249</v>
      </c>
      <c r="AA827" s="87">
        <v>42</v>
      </c>
      <c r="AB827" s="89">
        <f t="shared" si="299"/>
        <v>121</v>
      </c>
      <c r="AC827" s="89">
        <f t="shared" si="300"/>
        <v>0</v>
      </c>
      <c r="AD827" s="89">
        <f t="shared" si="301"/>
        <v>1249</v>
      </c>
      <c r="AE827" s="90">
        <f t="shared" si="314"/>
        <v>121</v>
      </c>
      <c r="AF827" s="90">
        <f t="shared" si="302"/>
        <v>2015</v>
      </c>
      <c r="AG827" s="90">
        <f t="shared" si="303"/>
        <v>42</v>
      </c>
      <c r="AH827" s="90" t="str">
        <f t="shared" si="304"/>
        <v>2018 (triag)</v>
      </c>
      <c r="AI827" s="90">
        <f t="shared" si="305"/>
        <v>1249</v>
      </c>
      <c r="AJ827" s="90">
        <f t="shared" si="306"/>
        <v>2022</v>
      </c>
      <c r="AK827" s="90" t="str">
        <f t="shared" si="307"/>
        <v/>
      </c>
      <c r="AL827" s="91">
        <f>IF(AK827="Adjust",(_xlfn.XLOOKUP(A827,'Adj factor'!A:A,'Adj factor'!I:I,,0)*AI827),'Master DataSheet (Rev)'!AI827)</f>
        <v>1249</v>
      </c>
      <c r="AM827" s="91">
        <f t="shared" si="308"/>
        <v>1249</v>
      </c>
      <c r="AN827" s="92" t="str">
        <f t="shared" si="309"/>
        <v>Increasing</v>
      </c>
      <c r="AO827" s="93">
        <f>VLOOKUP(B827,'Growthrates source'!A$2:H$49,8,FALSE)</f>
        <v>4.7050173871553191E-2</v>
      </c>
      <c r="AP827" s="93">
        <f>VLOOKUP(B827,'Growthrates source'!A$2:I$49,9,FALSE)</f>
        <v>5.4673730437993617E-2</v>
      </c>
      <c r="AQ827" s="86">
        <f t="shared" si="310"/>
        <v>33.195646869117624</v>
      </c>
      <c r="AR827" s="86">
        <f t="shared" si="311"/>
        <v>49.486049897204062</v>
      </c>
      <c r="AS827" s="94">
        <f t="shared" si="312"/>
        <v>3.4303304145284992E-2</v>
      </c>
      <c r="AT827" s="94">
        <f t="shared" si="313"/>
        <v>1.0116728986921595E-2</v>
      </c>
      <c r="AU827" s="94">
        <f t="shared" si="296"/>
        <v>0.26434094606333591</v>
      </c>
      <c r="AV827" s="94">
        <f t="shared" si="297"/>
        <v>0.26434094606333591</v>
      </c>
    </row>
    <row r="828" spans="1:48" x14ac:dyDescent="0.3">
      <c r="A828" s="85" t="str">
        <f>_xlfn.XLOOKUP(B828,'Country codes &amp; Data sources'!G:G,'Country codes &amp; Data sources'!H:H,,0)</f>
        <v>Uganda</v>
      </c>
      <c r="B828" s="85" t="s">
        <v>191</v>
      </c>
      <c r="C828" s="86">
        <v>34273309</v>
      </c>
      <c r="D828" s="85" t="s">
        <v>207</v>
      </c>
      <c r="E828" s="87">
        <v>0</v>
      </c>
      <c r="F828" s="88">
        <v>35273569.999999993</v>
      </c>
      <c r="G828" s="87">
        <v>0</v>
      </c>
      <c r="I828" s="87">
        <v>0</v>
      </c>
      <c r="K828" s="87">
        <v>0</v>
      </c>
      <c r="M828" s="87">
        <v>0</v>
      </c>
      <c r="O828" s="87">
        <v>0</v>
      </c>
      <c r="P828" s="88">
        <v>41515395.000000015</v>
      </c>
      <c r="Q828" s="87">
        <v>0</v>
      </c>
      <c r="R828" s="87">
        <f t="shared" si="298"/>
        <v>0</v>
      </c>
      <c r="T828" s="87">
        <v>0</v>
      </c>
      <c r="V828" s="87">
        <v>0</v>
      </c>
      <c r="X828" s="87">
        <v>0</v>
      </c>
      <c r="Y828" s="88">
        <v>47249584.999999978</v>
      </c>
      <c r="Z828" s="87">
        <v>0</v>
      </c>
      <c r="AA828" s="87">
        <v>0</v>
      </c>
      <c r="AB828" s="89">
        <f t="shared" si="299"/>
        <v>0</v>
      </c>
      <c r="AC828" s="89">
        <f t="shared" si="300"/>
        <v>0</v>
      </c>
      <c r="AD828" s="89">
        <f t="shared" si="301"/>
        <v>0</v>
      </c>
      <c r="AF828" s="90" t="str">
        <f t="shared" si="302"/>
        <v/>
      </c>
      <c r="AH828" s="90" t="str">
        <f t="shared" si="304"/>
        <v/>
      </c>
      <c r="AI828" s="90">
        <f t="shared" si="305"/>
        <v>0</v>
      </c>
      <c r="AJ828" s="90" t="str">
        <f t="shared" si="306"/>
        <v/>
      </c>
      <c r="AK828" s="90" t="str">
        <f t="shared" si="307"/>
        <v/>
      </c>
      <c r="AL828" s="91"/>
      <c r="AM828" s="91">
        <f t="shared" si="308"/>
        <v>0</v>
      </c>
      <c r="AN828" s="92" t="str">
        <f t="shared" si="309"/>
        <v>No change</v>
      </c>
      <c r="AO828" s="93">
        <f>VLOOKUP(B828,'Growthrates source'!A$2:H$49,8,FALSE)</f>
        <v>4.7050173871553191E-2</v>
      </c>
      <c r="AP828" s="93">
        <f>VLOOKUP(B828,'Growthrates source'!A$2:I$49,9,FALSE)</f>
        <v>5.4673730437993617E-2</v>
      </c>
      <c r="AQ828" s="86">
        <f t="shared" si="310"/>
        <v>0</v>
      </c>
      <c r="AR828" s="86">
        <f t="shared" si="311"/>
        <v>0</v>
      </c>
      <c r="AS828" s="94">
        <f t="shared" si="312"/>
        <v>0</v>
      </c>
      <c r="AT828" s="94">
        <f t="shared" si="313"/>
        <v>0</v>
      </c>
      <c r="AU828" s="94">
        <f t="shared" si="296"/>
        <v>0</v>
      </c>
      <c r="AV828" s="94">
        <f t="shared" si="297"/>
        <v>0</v>
      </c>
    </row>
    <row r="829" spans="1:48" ht="14.5" x14ac:dyDescent="0.35">
      <c r="A829" s="85" t="str">
        <f>_xlfn.XLOOKUP(B829,'Country codes &amp; Data sources'!G:G,'Country codes &amp; Data sources'!H:H,,0)</f>
        <v>Uganda</v>
      </c>
      <c r="B829" s="85" t="s">
        <v>191</v>
      </c>
      <c r="C829" s="86">
        <v>34273310</v>
      </c>
      <c r="D829" s="85" t="s">
        <v>141</v>
      </c>
      <c r="E829" s="87">
        <v>0</v>
      </c>
      <c r="F829" s="88">
        <v>35273569.999999993</v>
      </c>
      <c r="G829" s="87">
        <v>0</v>
      </c>
      <c r="I829" s="87">
        <v>0</v>
      </c>
      <c r="K829" s="87">
        <v>0</v>
      </c>
      <c r="M829" s="87">
        <v>0</v>
      </c>
      <c r="O829" s="87">
        <v>0</v>
      </c>
      <c r="P829" s="88">
        <v>41515395.000000015</v>
      </c>
      <c r="Q829" s="87">
        <v>0</v>
      </c>
      <c r="R829" s="87">
        <f t="shared" si="298"/>
        <v>9</v>
      </c>
      <c r="T829" s="87">
        <v>0</v>
      </c>
      <c r="V829" s="87">
        <v>0</v>
      </c>
      <c r="X829" s="87">
        <v>0</v>
      </c>
      <c r="Y829" s="88">
        <v>47249584.999999978</v>
      </c>
      <c r="Z829" s="111">
        <f>264+19</f>
        <v>283</v>
      </c>
      <c r="AA829" s="87">
        <v>9</v>
      </c>
      <c r="AB829" s="89">
        <f t="shared" si="299"/>
        <v>0</v>
      </c>
      <c r="AC829" s="89">
        <f t="shared" si="300"/>
        <v>0</v>
      </c>
      <c r="AD829" s="89">
        <f t="shared" si="301"/>
        <v>283</v>
      </c>
      <c r="AF829" s="90" t="str">
        <f t="shared" si="302"/>
        <v/>
      </c>
      <c r="AG829" s="90">
        <f t="shared" si="303"/>
        <v>9</v>
      </c>
      <c r="AH829" s="90" t="str">
        <f t="shared" si="304"/>
        <v>2018 (triag)</v>
      </c>
      <c r="AI829" s="90">
        <f t="shared" si="305"/>
        <v>283</v>
      </c>
      <c r="AJ829" s="90">
        <f t="shared" si="306"/>
        <v>2022</v>
      </c>
      <c r="AK829" s="90" t="str">
        <f t="shared" si="307"/>
        <v/>
      </c>
      <c r="AL829" s="91">
        <f>IF(AK829="Adjust",(_xlfn.XLOOKUP(A829,'Adj factor'!A:A,'Adj factor'!I:I,,0)*AI829),'Master DataSheet (Rev)'!AI829)</f>
        <v>283</v>
      </c>
      <c r="AM829" s="60">
        <f>264+19</f>
        <v>283</v>
      </c>
      <c r="AN829" s="92" t="str">
        <f t="shared" si="309"/>
        <v>Increasing</v>
      </c>
      <c r="AO829" s="93">
        <f>VLOOKUP(B829,'Growthrates source'!A$2:H$49,8,FALSE)</f>
        <v>4.7050173871553191E-2</v>
      </c>
      <c r="AP829" s="93">
        <f>VLOOKUP(B829,'Growthrates source'!A$2:I$49,9,FALSE)</f>
        <v>5.4673730437993617E-2</v>
      </c>
      <c r="AQ829" s="86">
        <f t="shared" si="310"/>
        <v>7.1133529005252045</v>
      </c>
      <c r="AR829" s="86">
        <f t="shared" si="311"/>
        <v>10.60415354940087</v>
      </c>
      <c r="AS829" s="94">
        <f t="shared" si="312"/>
        <v>0</v>
      </c>
      <c r="AT829" s="94">
        <f t="shared" si="313"/>
        <v>2.1678704971974847E-3</v>
      </c>
      <c r="AU829" s="94">
        <f t="shared" si="296"/>
        <v>5.9894705953502055E-2</v>
      </c>
      <c r="AV829" s="94">
        <f t="shared" si="297"/>
        <v>5.9894705953502055E-2</v>
      </c>
    </row>
    <row r="830" spans="1:48" x14ac:dyDescent="0.3">
      <c r="A830" s="85" t="str">
        <f>_xlfn.XLOOKUP(B830,'Country codes &amp; Data sources'!G:G,'Country codes &amp; Data sources'!H:H,,0)</f>
        <v>Uganda</v>
      </c>
      <c r="B830" s="85" t="s">
        <v>191</v>
      </c>
      <c r="C830" s="86">
        <v>34273311</v>
      </c>
      <c r="D830" s="85" t="s">
        <v>208</v>
      </c>
      <c r="E830" s="87">
        <v>0</v>
      </c>
      <c r="F830" s="88">
        <v>35273569.999999993</v>
      </c>
      <c r="G830" s="87">
        <v>0</v>
      </c>
      <c r="I830" s="87">
        <v>0</v>
      </c>
      <c r="K830" s="87">
        <v>0</v>
      </c>
      <c r="M830" s="87">
        <v>0</v>
      </c>
      <c r="O830" s="87">
        <v>0</v>
      </c>
      <c r="P830" s="88">
        <v>41515395.000000015</v>
      </c>
      <c r="Q830" s="87">
        <v>0</v>
      </c>
      <c r="R830" s="87">
        <f t="shared" si="298"/>
        <v>0</v>
      </c>
      <c r="T830" s="87">
        <v>0</v>
      </c>
      <c r="V830" s="87">
        <v>0</v>
      </c>
      <c r="X830" s="87">
        <v>0</v>
      </c>
      <c r="Y830" s="88">
        <v>47249584.999999978</v>
      </c>
      <c r="Z830" s="87">
        <v>0</v>
      </c>
      <c r="AA830" s="87">
        <v>0</v>
      </c>
      <c r="AB830" s="89">
        <f t="shared" si="299"/>
        <v>0</v>
      </c>
      <c r="AC830" s="89">
        <f t="shared" si="300"/>
        <v>0</v>
      </c>
      <c r="AD830" s="89">
        <f t="shared" si="301"/>
        <v>0</v>
      </c>
      <c r="AF830" s="90" t="str">
        <f t="shared" si="302"/>
        <v/>
      </c>
      <c r="AH830" s="90" t="str">
        <f t="shared" si="304"/>
        <v/>
      </c>
      <c r="AI830" s="90">
        <f t="shared" si="305"/>
        <v>0</v>
      </c>
      <c r="AJ830" s="90" t="str">
        <f t="shared" si="306"/>
        <v/>
      </c>
      <c r="AK830" s="90" t="str">
        <f t="shared" si="307"/>
        <v/>
      </c>
      <c r="AL830" s="91"/>
      <c r="AM830" s="91">
        <f t="shared" si="308"/>
        <v>0</v>
      </c>
      <c r="AN830" s="92" t="str">
        <f t="shared" si="309"/>
        <v>No change</v>
      </c>
      <c r="AO830" s="93">
        <f>VLOOKUP(B830,'Growthrates source'!A$2:H$49,8,FALSE)</f>
        <v>4.7050173871553191E-2</v>
      </c>
      <c r="AP830" s="93">
        <f>VLOOKUP(B830,'Growthrates source'!A$2:I$49,9,FALSE)</f>
        <v>5.4673730437993617E-2</v>
      </c>
      <c r="AQ830" s="86">
        <f t="shared" si="310"/>
        <v>0</v>
      </c>
      <c r="AR830" s="86">
        <f t="shared" si="311"/>
        <v>0</v>
      </c>
      <c r="AS830" s="94">
        <f t="shared" si="312"/>
        <v>0</v>
      </c>
      <c r="AT830" s="94">
        <f t="shared" si="313"/>
        <v>0</v>
      </c>
      <c r="AU830" s="94">
        <f t="shared" si="296"/>
        <v>0</v>
      </c>
      <c r="AV830" s="94">
        <f t="shared" si="297"/>
        <v>0</v>
      </c>
    </row>
    <row r="831" spans="1:48" x14ac:dyDescent="0.3">
      <c r="A831" s="85" t="str">
        <f>_xlfn.XLOOKUP(B831,'Country codes &amp; Data sources'!G:G,'Country codes &amp; Data sources'!H:H,,0)</f>
        <v>Uganda</v>
      </c>
      <c r="B831" s="85" t="s">
        <v>191</v>
      </c>
      <c r="C831" s="86">
        <v>34273312</v>
      </c>
      <c r="D831" s="85" t="s">
        <v>209</v>
      </c>
      <c r="E831" s="87">
        <v>0</v>
      </c>
      <c r="F831" s="88">
        <v>35273569.999999993</v>
      </c>
      <c r="G831" s="87">
        <v>0</v>
      </c>
      <c r="I831" s="87">
        <v>0</v>
      </c>
      <c r="K831" s="87">
        <v>0</v>
      </c>
      <c r="M831" s="87">
        <v>0</v>
      </c>
      <c r="O831" s="87">
        <v>0</v>
      </c>
      <c r="P831" s="88">
        <v>41515395.000000015</v>
      </c>
      <c r="Q831" s="87">
        <v>0</v>
      </c>
      <c r="R831" s="87">
        <f t="shared" si="298"/>
        <v>0</v>
      </c>
      <c r="T831" s="87">
        <v>0</v>
      </c>
      <c r="V831" s="87">
        <v>0</v>
      </c>
      <c r="X831" s="87">
        <v>0</v>
      </c>
      <c r="Y831" s="88">
        <v>47249584.999999978</v>
      </c>
      <c r="Z831" s="87">
        <v>0</v>
      </c>
      <c r="AA831" s="87">
        <v>0</v>
      </c>
      <c r="AB831" s="89">
        <f t="shared" si="299"/>
        <v>0</v>
      </c>
      <c r="AC831" s="89">
        <f t="shared" si="300"/>
        <v>0</v>
      </c>
      <c r="AD831" s="89">
        <f t="shared" si="301"/>
        <v>0</v>
      </c>
      <c r="AF831" s="90" t="str">
        <f t="shared" si="302"/>
        <v/>
      </c>
      <c r="AH831" s="90" t="str">
        <f t="shared" si="304"/>
        <v/>
      </c>
      <c r="AI831" s="90">
        <f t="shared" si="305"/>
        <v>0</v>
      </c>
      <c r="AJ831" s="90" t="str">
        <f t="shared" si="306"/>
        <v/>
      </c>
      <c r="AK831" s="90" t="str">
        <f t="shared" si="307"/>
        <v/>
      </c>
      <c r="AL831" s="91"/>
      <c r="AM831" s="91">
        <f t="shared" si="308"/>
        <v>0</v>
      </c>
      <c r="AN831" s="92" t="str">
        <f t="shared" si="309"/>
        <v>No change</v>
      </c>
      <c r="AO831" s="93">
        <f>VLOOKUP(B831,'Growthrates source'!A$2:H$49,8,FALSE)</f>
        <v>4.7050173871553191E-2</v>
      </c>
      <c r="AP831" s="93">
        <f>VLOOKUP(B831,'Growthrates source'!A$2:I$49,9,FALSE)</f>
        <v>5.4673730437993617E-2</v>
      </c>
      <c r="AQ831" s="86">
        <f t="shared" si="310"/>
        <v>0</v>
      </c>
      <c r="AR831" s="86">
        <f t="shared" si="311"/>
        <v>0</v>
      </c>
      <c r="AS831" s="94">
        <f t="shared" si="312"/>
        <v>0</v>
      </c>
      <c r="AT831" s="94">
        <f t="shared" si="313"/>
        <v>0</v>
      </c>
      <c r="AU831" s="94">
        <f t="shared" si="296"/>
        <v>0</v>
      </c>
      <c r="AV831" s="94">
        <f t="shared" si="297"/>
        <v>0</v>
      </c>
    </row>
    <row r="832" spans="1:48" x14ac:dyDescent="0.3">
      <c r="A832" s="85" t="str">
        <f>_xlfn.XLOOKUP(B832,'Country codes &amp; Data sources'!G:G,'Country codes &amp; Data sources'!H:H,,0)</f>
        <v>Uganda</v>
      </c>
      <c r="B832" s="85" t="s">
        <v>191</v>
      </c>
      <c r="C832" s="86">
        <v>34273313</v>
      </c>
      <c r="D832" s="85" t="s">
        <v>134</v>
      </c>
      <c r="E832" s="87">
        <v>0</v>
      </c>
      <c r="F832" s="88">
        <v>35273569.999999993</v>
      </c>
      <c r="G832" s="87">
        <v>0</v>
      </c>
      <c r="I832" s="87">
        <v>0</v>
      </c>
      <c r="K832" s="87">
        <v>2447</v>
      </c>
      <c r="M832" s="87">
        <v>0</v>
      </c>
      <c r="O832" s="87">
        <v>0</v>
      </c>
      <c r="P832" s="88">
        <v>41515395.000000015</v>
      </c>
      <c r="Q832" s="87">
        <v>0</v>
      </c>
      <c r="R832" s="87">
        <f t="shared" si="298"/>
        <v>3874</v>
      </c>
      <c r="T832" s="87">
        <v>0</v>
      </c>
      <c r="V832" s="87">
        <v>0</v>
      </c>
      <c r="X832" s="87">
        <v>0</v>
      </c>
      <c r="Y832" s="88">
        <v>47249584.999999978</v>
      </c>
      <c r="Z832" s="87">
        <v>13380</v>
      </c>
      <c r="AA832" s="87">
        <v>3874</v>
      </c>
      <c r="AB832" s="89">
        <f t="shared" si="299"/>
        <v>2447</v>
      </c>
      <c r="AC832" s="89">
        <f t="shared" si="300"/>
        <v>0</v>
      </c>
      <c r="AD832" s="89">
        <f t="shared" si="301"/>
        <v>13380</v>
      </c>
      <c r="AE832" s="90">
        <f t="shared" si="314"/>
        <v>2447</v>
      </c>
      <c r="AF832" s="90">
        <f t="shared" si="302"/>
        <v>2015</v>
      </c>
      <c r="AG832" s="90">
        <f t="shared" si="303"/>
        <v>3874</v>
      </c>
      <c r="AH832" s="90" t="str">
        <f t="shared" si="304"/>
        <v>2018 (triag)</v>
      </c>
      <c r="AI832" s="90">
        <f t="shared" si="305"/>
        <v>13380</v>
      </c>
      <c r="AJ832" s="90">
        <f t="shared" si="306"/>
        <v>2022</v>
      </c>
      <c r="AK832" s="90" t="str">
        <f t="shared" si="307"/>
        <v/>
      </c>
      <c r="AL832" s="91">
        <f>IF(AK832="Adjust",(_xlfn.XLOOKUP(A832,'Adj factor'!A:A,'Adj factor'!I:I,,0)*AI832),'Master DataSheet (Rev)'!AI832)</f>
        <v>13380</v>
      </c>
      <c r="AM832" s="91">
        <f t="shared" si="308"/>
        <v>13380</v>
      </c>
      <c r="AN832" s="92" t="str">
        <f t="shared" si="309"/>
        <v>Increasing</v>
      </c>
      <c r="AO832" s="93">
        <f>VLOOKUP(B832,'Growthrates source'!A$2:H$49,8,FALSE)</f>
        <v>4.7050173871553191E-2</v>
      </c>
      <c r="AP832" s="93">
        <f>VLOOKUP(B832,'Growthrates source'!A$2:I$49,9,FALSE)</f>
        <v>5.4673730437993617E-2</v>
      </c>
      <c r="AQ832" s="86">
        <f t="shared" si="310"/>
        <v>3061.9032374038493</v>
      </c>
      <c r="AR832" s="86">
        <f t="shared" si="311"/>
        <v>4564.4989833754416</v>
      </c>
      <c r="AS832" s="94">
        <f t="shared" si="312"/>
        <v>0.69372053920258159</v>
      </c>
      <c r="AT832" s="94">
        <f t="shared" si="313"/>
        <v>0.93314781179367279</v>
      </c>
      <c r="AU832" s="94">
        <f t="shared" si="296"/>
        <v>2.8317709033846552</v>
      </c>
      <c r="AV832" s="94">
        <f t="shared" si="297"/>
        <v>2.8317709033846552</v>
      </c>
    </row>
    <row r="833" spans="1:48" x14ac:dyDescent="0.3">
      <c r="A833" s="85" t="str">
        <f>_xlfn.XLOOKUP(B833,'Country codes &amp; Data sources'!G:G,'Country codes &amp; Data sources'!H:H,,0)</f>
        <v>Uganda</v>
      </c>
      <c r="B833" s="85" t="s">
        <v>191</v>
      </c>
      <c r="C833" s="86">
        <v>34273314</v>
      </c>
      <c r="D833" s="85" t="s">
        <v>142</v>
      </c>
      <c r="E833" s="87">
        <v>0</v>
      </c>
      <c r="F833" s="88">
        <v>35273569.999999993</v>
      </c>
      <c r="G833" s="87">
        <v>0</v>
      </c>
      <c r="I833" s="87">
        <v>0</v>
      </c>
      <c r="K833" s="87">
        <v>0</v>
      </c>
      <c r="M833" s="87">
        <v>0</v>
      </c>
      <c r="O833" s="87">
        <v>0</v>
      </c>
      <c r="P833" s="88">
        <v>41515395.000000015</v>
      </c>
      <c r="Q833" s="87">
        <v>0</v>
      </c>
      <c r="R833" s="87">
        <f t="shared" si="298"/>
        <v>0</v>
      </c>
      <c r="T833" s="87">
        <v>0</v>
      </c>
      <c r="V833" s="87">
        <v>0</v>
      </c>
      <c r="X833" s="87">
        <v>0</v>
      </c>
      <c r="Y833" s="88">
        <v>47249584.999999978</v>
      </c>
      <c r="Z833" s="87">
        <v>0</v>
      </c>
      <c r="AA833" s="87">
        <v>0</v>
      </c>
      <c r="AB833" s="89">
        <f t="shared" si="299"/>
        <v>0</v>
      </c>
      <c r="AC833" s="89">
        <f t="shared" si="300"/>
        <v>0</v>
      </c>
      <c r="AD833" s="89">
        <f t="shared" si="301"/>
        <v>0</v>
      </c>
      <c r="AF833" s="90" t="str">
        <f t="shared" si="302"/>
        <v/>
      </c>
      <c r="AH833" s="90" t="str">
        <f t="shared" si="304"/>
        <v/>
      </c>
      <c r="AI833" s="90">
        <f t="shared" si="305"/>
        <v>0</v>
      </c>
      <c r="AJ833" s="90" t="str">
        <f t="shared" si="306"/>
        <v/>
      </c>
      <c r="AK833" s="90" t="str">
        <f t="shared" si="307"/>
        <v/>
      </c>
      <c r="AL833" s="91"/>
      <c r="AM833" s="91">
        <f t="shared" si="308"/>
        <v>0</v>
      </c>
      <c r="AN833" s="92" t="str">
        <f t="shared" si="309"/>
        <v>No change</v>
      </c>
      <c r="AO833" s="93">
        <f>VLOOKUP(B833,'Growthrates source'!A$2:H$49,8,FALSE)</f>
        <v>4.7050173871553191E-2</v>
      </c>
      <c r="AP833" s="93">
        <f>VLOOKUP(B833,'Growthrates source'!A$2:I$49,9,FALSE)</f>
        <v>5.4673730437993617E-2</v>
      </c>
      <c r="AQ833" s="86">
        <f t="shared" si="310"/>
        <v>0</v>
      </c>
      <c r="AR833" s="86">
        <f t="shared" si="311"/>
        <v>0</v>
      </c>
      <c r="AS833" s="94">
        <f t="shared" si="312"/>
        <v>0</v>
      </c>
      <c r="AT833" s="94">
        <f t="shared" si="313"/>
        <v>0</v>
      </c>
      <c r="AU833" s="94">
        <f t="shared" si="296"/>
        <v>0</v>
      </c>
      <c r="AV833" s="94">
        <f t="shared" si="297"/>
        <v>0</v>
      </c>
    </row>
    <row r="834" spans="1:48" x14ac:dyDescent="0.3">
      <c r="A834" s="85" t="str">
        <f>_xlfn.XLOOKUP(B834,'Country codes &amp; Data sources'!G:G,'Country codes &amp; Data sources'!H:H,,0)</f>
        <v>Uganda</v>
      </c>
      <c r="B834" s="85" t="s">
        <v>191</v>
      </c>
      <c r="C834" s="86">
        <v>34273315</v>
      </c>
      <c r="D834" s="85" t="s">
        <v>83</v>
      </c>
      <c r="E834" s="87">
        <v>0</v>
      </c>
      <c r="F834" s="88">
        <v>35273569.999999993</v>
      </c>
      <c r="G834" s="87">
        <v>0</v>
      </c>
      <c r="I834" s="87">
        <v>0</v>
      </c>
      <c r="K834" s="87">
        <v>114</v>
      </c>
      <c r="M834" s="87">
        <v>0</v>
      </c>
      <c r="O834" s="87">
        <v>0</v>
      </c>
      <c r="P834" s="88">
        <v>41515395.000000015</v>
      </c>
      <c r="Q834" s="87">
        <v>0</v>
      </c>
      <c r="R834" s="87">
        <f t="shared" si="298"/>
        <v>18</v>
      </c>
      <c r="T834" s="87">
        <v>0</v>
      </c>
      <c r="V834" s="87">
        <v>0</v>
      </c>
      <c r="X834" s="87">
        <v>0</v>
      </c>
      <c r="Y834" s="88">
        <v>47249584.999999978</v>
      </c>
      <c r="Z834" s="87">
        <v>572</v>
      </c>
      <c r="AA834" s="87">
        <v>18</v>
      </c>
      <c r="AB834" s="89">
        <f t="shared" si="299"/>
        <v>114</v>
      </c>
      <c r="AC834" s="89">
        <f t="shared" si="300"/>
        <v>0</v>
      </c>
      <c r="AD834" s="89">
        <f t="shared" si="301"/>
        <v>572</v>
      </c>
      <c r="AE834" s="90">
        <f t="shared" si="314"/>
        <v>114</v>
      </c>
      <c r="AF834" s="90">
        <f t="shared" si="302"/>
        <v>2015</v>
      </c>
      <c r="AG834" s="90">
        <f t="shared" si="303"/>
        <v>18</v>
      </c>
      <c r="AH834" s="90" t="str">
        <f t="shared" si="304"/>
        <v>2018 (triag)</v>
      </c>
      <c r="AI834" s="90">
        <f t="shared" si="305"/>
        <v>572</v>
      </c>
      <c r="AJ834" s="90">
        <f t="shared" si="306"/>
        <v>2022</v>
      </c>
      <c r="AK834" s="90" t="str">
        <f t="shared" si="307"/>
        <v/>
      </c>
      <c r="AL834" s="91">
        <f>IF(AK834="Adjust",(_xlfn.XLOOKUP(A834,'Adj factor'!A:A,'Adj factor'!I:I,,0)*AI834),'Master DataSheet (Rev)'!AI834)</f>
        <v>572</v>
      </c>
      <c r="AM834" s="91">
        <f t="shared" si="308"/>
        <v>572</v>
      </c>
      <c r="AN834" s="92" t="str">
        <f t="shared" si="309"/>
        <v>Increasing</v>
      </c>
      <c r="AO834" s="93">
        <f>VLOOKUP(B834,'Growthrates source'!A$2:H$49,8,FALSE)</f>
        <v>4.7050173871553191E-2</v>
      </c>
      <c r="AP834" s="93">
        <f>VLOOKUP(B834,'Growthrates source'!A$2:I$49,9,FALSE)</f>
        <v>5.4673730437993617E-2</v>
      </c>
      <c r="AQ834" s="86">
        <f t="shared" si="310"/>
        <v>14.226705801050409</v>
      </c>
      <c r="AR834" s="86">
        <f t="shared" si="311"/>
        <v>21.20830709880174</v>
      </c>
      <c r="AS834" s="94">
        <f t="shared" si="312"/>
        <v>3.2318815475723045E-2</v>
      </c>
      <c r="AT834" s="94">
        <f t="shared" si="313"/>
        <v>4.3357409943949694E-3</v>
      </c>
      <c r="AU834" s="94">
        <f t="shared" si="296"/>
        <v>0.12105926433004656</v>
      </c>
      <c r="AV834" s="94">
        <f t="shared" si="297"/>
        <v>0.12105926433004656</v>
      </c>
    </row>
    <row r="835" spans="1:48" x14ac:dyDescent="0.3">
      <c r="A835" s="85" t="str">
        <f>_xlfn.XLOOKUP(B835,'Country codes &amp; Data sources'!G:G,'Country codes &amp; Data sources'!H:H,,0)</f>
        <v>Uganda</v>
      </c>
      <c r="B835" s="85" t="s">
        <v>191</v>
      </c>
      <c r="C835" s="86">
        <v>34273316</v>
      </c>
      <c r="D835" s="85" t="s">
        <v>84</v>
      </c>
      <c r="E835" s="87">
        <v>6046</v>
      </c>
      <c r="F835" s="88">
        <v>35273569.999999993</v>
      </c>
      <c r="G835" s="87">
        <v>0</v>
      </c>
      <c r="I835" s="87">
        <v>0</v>
      </c>
      <c r="K835" s="87">
        <v>0</v>
      </c>
      <c r="M835" s="87">
        <v>0</v>
      </c>
      <c r="O835" s="87">
        <v>0</v>
      </c>
      <c r="P835" s="88">
        <v>41515395.000000015</v>
      </c>
      <c r="Q835" s="87">
        <v>0</v>
      </c>
      <c r="R835" s="87">
        <f t="shared" si="298"/>
        <v>0</v>
      </c>
      <c r="T835" s="87">
        <v>0</v>
      </c>
      <c r="V835" s="87">
        <v>0</v>
      </c>
      <c r="X835" s="87">
        <v>0</v>
      </c>
      <c r="Y835" s="88">
        <v>47249584.999999978</v>
      </c>
      <c r="Z835" s="87">
        <v>0</v>
      </c>
      <c r="AA835" s="87">
        <v>0</v>
      </c>
      <c r="AB835" s="89">
        <f t="shared" si="299"/>
        <v>6046</v>
      </c>
      <c r="AC835" s="89">
        <f t="shared" si="300"/>
        <v>0</v>
      </c>
      <c r="AD835" s="89">
        <f t="shared" si="301"/>
        <v>0</v>
      </c>
      <c r="AE835" s="90">
        <f t="shared" si="314"/>
        <v>6046</v>
      </c>
      <c r="AF835" s="90">
        <f t="shared" si="302"/>
        <v>2012</v>
      </c>
      <c r="AH835" s="90" t="str">
        <f t="shared" si="304"/>
        <v/>
      </c>
      <c r="AI835" s="90">
        <f t="shared" si="305"/>
        <v>0</v>
      </c>
      <c r="AJ835" s="90" t="str">
        <f t="shared" si="306"/>
        <v/>
      </c>
      <c r="AK835" s="90" t="str">
        <f t="shared" si="307"/>
        <v/>
      </c>
      <c r="AL835" s="91"/>
      <c r="AM835" s="91">
        <f t="shared" si="308"/>
        <v>0</v>
      </c>
      <c r="AN835" s="92" t="str">
        <f t="shared" si="309"/>
        <v>No change</v>
      </c>
      <c r="AO835" s="93">
        <f>VLOOKUP(B835,'Growthrates source'!A$2:H$49,8,FALSE)</f>
        <v>4.7050173871553191E-2</v>
      </c>
      <c r="AP835" s="93">
        <f>VLOOKUP(B835,'Growthrates source'!A$2:I$49,9,FALSE)</f>
        <v>5.4673730437993617E-2</v>
      </c>
      <c r="AQ835" s="86">
        <f t="shared" si="310"/>
        <v>0</v>
      </c>
      <c r="AR835" s="86">
        <f t="shared" si="311"/>
        <v>0</v>
      </c>
      <c r="AS835" s="94">
        <f t="shared" si="312"/>
        <v>1.7140312137387854</v>
      </c>
      <c r="AT835" s="94">
        <f t="shared" si="313"/>
        <v>0</v>
      </c>
      <c r="AU835" s="94">
        <f t="shared" ref="AU835:AU898" si="315">(AL835*10000)/Y835</f>
        <v>0</v>
      </c>
      <c r="AV835" s="94">
        <f t="shared" ref="AV835:AV898" si="316">(AM835*10000)/Y835</f>
        <v>0</v>
      </c>
    </row>
    <row r="836" spans="1:48" x14ac:dyDescent="0.3">
      <c r="A836" s="85" t="str">
        <f>_xlfn.XLOOKUP(B836,'Country codes &amp; Data sources'!G:G,'Country codes &amp; Data sources'!H:H,,0)</f>
        <v>Uganda</v>
      </c>
      <c r="B836" s="85" t="s">
        <v>191</v>
      </c>
      <c r="C836" s="86">
        <v>34273317</v>
      </c>
      <c r="D836" s="85" t="s">
        <v>126</v>
      </c>
      <c r="E836" s="87">
        <v>0</v>
      </c>
      <c r="F836" s="88">
        <v>35273569.999999993</v>
      </c>
      <c r="G836" s="87">
        <v>0</v>
      </c>
      <c r="I836" s="87">
        <v>0</v>
      </c>
      <c r="K836" s="87">
        <v>0</v>
      </c>
      <c r="M836" s="87">
        <v>0</v>
      </c>
      <c r="O836" s="87">
        <v>0</v>
      </c>
      <c r="P836" s="88">
        <v>41515395.000000015</v>
      </c>
      <c r="Q836" s="87">
        <v>0</v>
      </c>
      <c r="R836" s="87">
        <f t="shared" si="298"/>
        <v>0</v>
      </c>
      <c r="T836" s="87">
        <v>0</v>
      </c>
      <c r="V836" s="87">
        <v>0</v>
      </c>
      <c r="X836" s="87">
        <v>0</v>
      </c>
      <c r="Y836" s="88">
        <v>47249584.999999978</v>
      </c>
      <c r="Z836" s="96">
        <v>29</v>
      </c>
      <c r="AA836" s="87">
        <v>0</v>
      </c>
      <c r="AB836" s="89">
        <f t="shared" si="299"/>
        <v>0</v>
      </c>
      <c r="AC836" s="89">
        <f t="shared" si="300"/>
        <v>0</v>
      </c>
      <c r="AD836" s="89">
        <f t="shared" si="301"/>
        <v>29</v>
      </c>
      <c r="AF836" s="90" t="str">
        <f t="shared" si="302"/>
        <v/>
      </c>
      <c r="AH836" s="90" t="str">
        <f t="shared" si="304"/>
        <v/>
      </c>
      <c r="AI836" s="90">
        <f t="shared" si="305"/>
        <v>29</v>
      </c>
      <c r="AJ836" s="90">
        <f t="shared" si="306"/>
        <v>2022</v>
      </c>
      <c r="AK836" s="90" t="str">
        <f t="shared" si="307"/>
        <v/>
      </c>
      <c r="AL836" s="91">
        <f>IF(AK836="Adjust",(_xlfn.XLOOKUP(A836,'Adj factor'!A:A,'Adj factor'!I:I,,0)*AI836),'Master DataSheet (Rev)'!AI836)</f>
        <v>29</v>
      </c>
      <c r="AM836" s="91">
        <f t="shared" si="308"/>
        <v>29</v>
      </c>
      <c r="AN836" s="92" t="str">
        <f t="shared" si="309"/>
        <v>Increasing</v>
      </c>
      <c r="AO836" s="93">
        <f>VLOOKUP(B836,'Growthrates source'!A$2:H$49,8,FALSE)</f>
        <v>4.7050173871553191E-2</v>
      </c>
      <c r="AP836" s="93">
        <f>VLOOKUP(B836,'Growthrates source'!A$2:I$49,9,FALSE)</f>
        <v>5.4673730437993617E-2</v>
      </c>
      <c r="AQ836" s="86">
        <f t="shared" si="310"/>
        <v>0</v>
      </c>
      <c r="AR836" s="86">
        <f t="shared" si="311"/>
        <v>0</v>
      </c>
      <c r="AS836" s="94">
        <f t="shared" si="312"/>
        <v>0</v>
      </c>
      <c r="AT836" s="94">
        <f t="shared" si="313"/>
        <v>0</v>
      </c>
      <c r="AU836" s="94">
        <f t="shared" si="315"/>
        <v>6.1376200447051579E-3</v>
      </c>
      <c r="AV836" s="94">
        <f t="shared" si="316"/>
        <v>6.1376200447051579E-3</v>
      </c>
    </row>
    <row r="837" spans="1:48" x14ac:dyDescent="0.3">
      <c r="A837" s="85" t="str">
        <f>_xlfn.XLOOKUP(B837,'Country codes &amp; Data sources'!G:G,'Country codes &amp; Data sources'!H:H,,0)</f>
        <v>Uganda</v>
      </c>
      <c r="B837" s="85" t="s">
        <v>191</v>
      </c>
      <c r="C837" s="86">
        <v>34273318</v>
      </c>
      <c r="D837" s="85" t="s">
        <v>87</v>
      </c>
      <c r="E837" s="87">
        <v>19791</v>
      </c>
      <c r="F837" s="88">
        <v>35273569.999999993</v>
      </c>
      <c r="G837" s="87">
        <v>0</v>
      </c>
      <c r="I837" s="87">
        <v>0</v>
      </c>
      <c r="K837" s="87">
        <v>0</v>
      </c>
      <c r="M837" s="87">
        <v>0</v>
      </c>
      <c r="O837" s="87">
        <v>0</v>
      </c>
      <c r="P837" s="88">
        <v>41515395.000000015</v>
      </c>
      <c r="Q837" s="87">
        <v>0</v>
      </c>
      <c r="R837" s="87">
        <f t="shared" si="298"/>
        <v>0</v>
      </c>
      <c r="T837" s="87">
        <v>0</v>
      </c>
      <c r="V837" s="87">
        <v>0</v>
      </c>
      <c r="X837" s="87">
        <v>0</v>
      </c>
      <c r="Y837" s="88">
        <v>47249584.999999978</v>
      </c>
      <c r="Z837" s="87">
        <v>0</v>
      </c>
      <c r="AA837" s="87">
        <v>0</v>
      </c>
      <c r="AB837" s="89">
        <f t="shared" si="299"/>
        <v>19791</v>
      </c>
      <c r="AC837" s="89">
        <f t="shared" si="300"/>
        <v>0</v>
      </c>
      <c r="AD837" s="89">
        <f t="shared" si="301"/>
        <v>0</v>
      </c>
      <c r="AE837" s="90">
        <f t="shared" si="314"/>
        <v>19791</v>
      </c>
      <c r="AF837" s="90">
        <f t="shared" si="302"/>
        <v>2012</v>
      </c>
      <c r="AH837" s="90" t="str">
        <f t="shared" si="304"/>
        <v/>
      </c>
      <c r="AI837" s="90">
        <f t="shared" si="305"/>
        <v>0</v>
      </c>
      <c r="AJ837" s="90" t="str">
        <f t="shared" si="306"/>
        <v/>
      </c>
      <c r="AK837" s="90" t="str">
        <f t="shared" si="307"/>
        <v/>
      </c>
      <c r="AL837" s="91"/>
      <c r="AM837" s="60">
        <v>29</v>
      </c>
      <c r="AN837" s="92" t="str">
        <f t="shared" si="309"/>
        <v>No change</v>
      </c>
      <c r="AO837" s="93">
        <f>VLOOKUP(B837,'Growthrates source'!A$2:H$49,8,FALSE)</f>
        <v>4.7050173871553191E-2</v>
      </c>
      <c r="AP837" s="93">
        <f>VLOOKUP(B837,'Growthrates source'!A$2:I$49,9,FALSE)</f>
        <v>5.4673730437993617E-2</v>
      </c>
      <c r="AQ837" s="86">
        <f t="shared" si="310"/>
        <v>0</v>
      </c>
      <c r="AR837" s="86">
        <f t="shared" si="311"/>
        <v>0</v>
      </c>
      <c r="AS837" s="94">
        <f t="shared" si="312"/>
        <v>5.6107164656143409</v>
      </c>
      <c r="AT837" s="94">
        <f t="shared" si="313"/>
        <v>0</v>
      </c>
      <c r="AU837" s="94">
        <f t="shared" si="315"/>
        <v>0</v>
      </c>
      <c r="AV837" s="94">
        <f t="shared" si="316"/>
        <v>6.1376200447051579E-3</v>
      </c>
    </row>
    <row r="838" spans="1:48" x14ac:dyDescent="0.3">
      <c r="A838" s="85" t="str">
        <f>_xlfn.XLOOKUP(B838,'Country codes &amp; Data sources'!G:G,'Country codes &amp; Data sources'!H:H,,0)</f>
        <v>South Africa</v>
      </c>
      <c r="B838" s="85" t="s">
        <v>187</v>
      </c>
      <c r="C838" s="86">
        <v>53145038</v>
      </c>
      <c r="D838" s="85" t="s">
        <v>127</v>
      </c>
      <c r="E838" s="87">
        <v>0</v>
      </c>
      <c r="F838" s="88">
        <v>53873616</v>
      </c>
      <c r="G838" s="87">
        <v>0</v>
      </c>
      <c r="I838" s="87">
        <v>0</v>
      </c>
      <c r="K838" s="87">
        <v>0</v>
      </c>
      <c r="M838" s="87">
        <v>0</v>
      </c>
      <c r="O838" s="87">
        <v>0</v>
      </c>
      <c r="P838" s="88">
        <v>57339635.000000015</v>
      </c>
      <c r="Q838" s="87">
        <v>54180</v>
      </c>
      <c r="R838" s="87">
        <f t="shared" si="298"/>
        <v>54180</v>
      </c>
      <c r="T838" s="87">
        <v>0</v>
      </c>
      <c r="V838" s="87">
        <v>0</v>
      </c>
      <c r="X838" s="87">
        <v>0</v>
      </c>
      <c r="Y838" s="88">
        <v>59893885.5</v>
      </c>
      <c r="Z838" s="87">
        <v>63290</v>
      </c>
      <c r="AA838" s="87">
        <v>54180</v>
      </c>
      <c r="AB838" s="89">
        <f t="shared" si="299"/>
        <v>0</v>
      </c>
      <c r="AC838" s="89">
        <f t="shared" si="300"/>
        <v>54180</v>
      </c>
      <c r="AD838" s="89">
        <f t="shared" si="301"/>
        <v>63290</v>
      </c>
      <c r="AF838" s="90" t="str">
        <f t="shared" si="302"/>
        <v/>
      </c>
      <c r="AG838" s="90">
        <f t="shared" si="303"/>
        <v>54180</v>
      </c>
      <c r="AH838" s="90">
        <f t="shared" si="304"/>
        <v>2018</v>
      </c>
      <c r="AI838" s="90">
        <f t="shared" si="305"/>
        <v>63290</v>
      </c>
      <c r="AJ838" s="90">
        <f t="shared" si="306"/>
        <v>2022</v>
      </c>
      <c r="AK838" s="90" t="str">
        <f t="shared" si="307"/>
        <v/>
      </c>
      <c r="AL838" s="91">
        <f>IF(AK838="Adjust",(_xlfn.XLOOKUP(A838,'Adj factor'!A:A,'Adj factor'!I:I,,0)*AI838),'Master DataSheet (Rev)'!AI838)</f>
        <v>63290</v>
      </c>
      <c r="AM838" s="91">
        <f t="shared" si="308"/>
        <v>63290</v>
      </c>
      <c r="AN838" s="92" t="str">
        <f t="shared" si="309"/>
        <v>Increasing</v>
      </c>
      <c r="AO838" s="93">
        <f>VLOOKUP(B838,'Growthrates source'!A$2:H$49,8,FALSE)</f>
        <v>-1.4844947843777323E-3</v>
      </c>
      <c r="AP838" s="93">
        <f>VLOOKUP(B838,'Growthrates source'!A$2:I$49,9,FALSE)</f>
        <v>5.4673730437993617E-2</v>
      </c>
      <c r="AQ838" s="86">
        <f t="shared" si="310"/>
        <v>54583.64580916016</v>
      </c>
      <c r="AR838" s="86">
        <f t="shared" si="311"/>
        <v>63837.004367393245</v>
      </c>
      <c r="AS838" s="94">
        <f t="shared" si="312"/>
        <v>0</v>
      </c>
      <c r="AT838" s="94">
        <f t="shared" si="313"/>
        <v>9.448961438279122</v>
      </c>
      <c r="AU838" s="94">
        <f t="shared" si="315"/>
        <v>10.567021904097372</v>
      </c>
      <c r="AV838" s="94">
        <f t="shared" si="316"/>
        <v>10.567021904097372</v>
      </c>
    </row>
    <row r="839" spans="1:48" x14ac:dyDescent="0.3">
      <c r="A839" s="85" t="str">
        <f>_xlfn.XLOOKUP(B839,'Country codes &amp; Data sources'!G:G,'Country codes &amp; Data sources'!H:H,,0)</f>
        <v>South Africa</v>
      </c>
      <c r="B839" s="85" t="s">
        <v>187</v>
      </c>
      <c r="C839" s="86">
        <v>53145039</v>
      </c>
      <c r="D839" s="85" t="s">
        <v>61</v>
      </c>
      <c r="E839" s="87">
        <v>0</v>
      </c>
      <c r="F839" s="88">
        <v>53873616</v>
      </c>
      <c r="G839" s="87">
        <v>0</v>
      </c>
      <c r="I839" s="87">
        <v>0</v>
      </c>
      <c r="K839" s="87">
        <v>0</v>
      </c>
      <c r="M839" s="87">
        <v>0</v>
      </c>
      <c r="O839" s="87">
        <v>0</v>
      </c>
      <c r="P839" s="88">
        <v>57339635.000000015</v>
      </c>
      <c r="Q839" s="87">
        <v>0</v>
      </c>
      <c r="R839" s="87">
        <f t="shared" si="298"/>
        <v>0</v>
      </c>
      <c r="T839" s="87">
        <v>0</v>
      </c>
      <c r="V839" s="87">
        <v>0</v>
      </c>
      <c r="X839" s="87">
        <v>0</v>
      </c>
      <c r="Y839" s="88">
        <v>59893885.5</v>
      </c>
      <c r="Z839" s="87">
        <v>0</v>
      </c>
      <c r="AA839" s="87">
        <v>0</v>
      </c>
      <c r="AB839" s="89">
        <f t="shared" si="299"/>
        <v>0</v>
      </c>
      <c r="AC839" s="89">
        <f t="shared" si="300"/>
        <v>0</v>
      </c>
      <c r="AD839" s="89">
        <f t="shared" si="301"/>
        <v>0</v>
      </c>
      <c r="AF839" s="90" t="str">
        <f t="shared" si="302"/>
        <v/>
      </c>
      <c r="AH839" s="90" t="str">
        <f t="shared" si="304"/>
        <v/>
      </c>
      <c r="AI839" s="90">
        <f t="shared" si="305"/>
        <v>0</v>
      </c>
      <c r="AJ839" s="90" t="str">
        <f t="shared" si="306"/>
        <v/>
      </c>
      <c r="AK839" s="90" t="str">
        <f t="shared" si="307"/>
        <v/>
      </c>
      <c r="AL839" s="91"/>
      <c r="AM839" s="91">
        <f t="shared" si="308"/>
        <v>0</v>
      </c>
      <c r="AN839" s="92" t="str">
        <f t="shared" si="309"/>
        <v>No change</v>
      </c>
      <c r="AO839" s="93">
        <f>VLOOKUP(B839,'Growthrates source'!A$2:H$49,8,FALSE)</f>
        <v>-1.4844947843777323E-3</v>
      </c>
      <c r="AP839" s="93">
        <f>VLOOKUP(B839,'Growthrates source'!A$2:I$49,9,FALSE)</f>
        <v>5.4673730437993617E-2</v>
      </c>
      <c r="AQ839" s="86">
        <f t="shared" si="310"/>
        <v>0</v>
      </c>
      <c r="AR839" s="86">
        <f t="shared" si="311"/>
        <v>0</v>
      </c>
      <c r="AS839" s="94">
        <f t="shared" si="312"/>
        <v>0</v>
      </c>
      <c r="AT839" s="94">
        <f t="shared" si="313"/>
        <v>0</v>
      </c>
      <c r="AU839" s="94">
        <f t="shared" si="315"/>
        <v>0</v>
      </c>
      <c r="AV839" s="94">
        <f t="shared" si="316"/>
        <v>0</v>
      </c>
    </row>
    <row r="840" spans="1:48" x14ac:dyDescent="0.3">
      <c r="A840" s="85" t="str">
        <f>_xlfn.XLOOKUP(B840,'Country codes &amp; Data sources'!G:G,'Country codes &amp; Data sources'!H:H,,0)</f>
        <v>South Africa</v>
      </c>
      <c r="B840" s="85" t="s">
        <v>187</v>
      </c>
      <c r="C840" s="86">
        <v>53145040</v>
      </c>
      <c r="D840" s="85" t="s">
        <v>62</v>
      </c>
      <c r="E840" s="87">
        <v>0</v>
      </c>
      <c r="F840" s="88">
        <v>53873616</v>
      </c>
      <c r="G840" s="87">
        <v>0</v>
      </c>
      <c r="I840" s="87">
        <v>0</v>
      </c>
      <c r="K840" s="87">
        <v>0</v>
      </c>
      <c r="M840" s="87">
        <v>0</v>
      </c>
      <c r="O840" s="87">
        <v>0</v>
      </c>
      <c r="P840" s="88">
        <v>57339635.000000015</v>
      </c>
      <c r="Q840" s="87">
        <v>0</v>
      </c>
      <c r="R840" s="87">
        <f t="shared" si="298"/>
        <v>3585</v>
      </c>
      <c r="T840" s="87">
        <v>0</v>
      </c>
      <c r="V840" s="87">
        <v>0</v>
      </c>
      <c r="X840" s="87">
        <v>0</v>
      </c>
      <c r="Y840" s="88">
        <v>59893885.5</v>
      </c>
      <c r="Z840" s="87">
        <v>0</v>
      </c>
      <c r="AA840" s="87">
        <v>3585</v>
      </c>
      <c r="AB840" s="89">
        <f t="shared" si="299"/>
        <v>0</v>
      </c>
      <c r="AC840" s="89">
        <f t="shared" si="300"/>
        <v>0</v>
      </c>
      <c r="AD840" s="89">
        <f t="shared" si="301"/>
        <v>0</v>
      </c>
      <c r="AF840" s="90" t="str">
        <f t="shared" si="302"/>
        <v/>
      </c>
      <c r="AG840" s="90">
        <f t="shared" si="303"/>
        <v>3585</v>
      </c>
      <c r="AH840" s="90" t="str">
        <f t="shared" si="304"/>
        <v>2018 (triag)</v>
      </c>
      <c r="AI840" s="90">
        <f t="shared" si="305"/>
        <v>3585</v>
      </c>
      <c r="AJ840" s="90" t="str">
        <f t="shared" si="306"/>
        <v>2018 (triag)</v>
      </c>
      <c r="AK840" s="90" t="str">
        <f t="shared" si="307"/>
        <v/>
      </c>
      <c r="AL840" s="91">
        <f>IF(AK840="Adjust",(_xlfn.XLOOKUP(A840,'Adj factor'!A:A,'Adj factor'!I:I,,0)*AI840),'Master DataSheet (Rev)'!AI840)</f>
        <v>3585</v>
      </c>
      <c r="AM840" s="91">
        <f t="shared" si="308"/>
        <v>3585</v>
      </c>
      <c r="AN840" s="92" t="str">
        <f t="shared" si="309"/>
        <v>No change</v>
      </c>
      <c r="AO840" s="93">
        <f>VLOOKUP(B840,'Growthrates source'!A$2:H$49,8,FALSE)</f>
        <v>-1.4844947843777323E-3</v>
      </c>
      <c r="AP840" s="93">
        <f>VLOOKUP(B840,'Growthrates source'!A$2:I$49,9,FALSE)</f>
        <v>5.4673730437993617E-2</v>
      </c>
      <c r="AQ840" s="86">
        <f t="shared" si="310"/>
        <v>3611.708568214086</v>
      </c>
      <c r="AR840" s="86">
        <f t="shared" si="311"/>
        <v>4223.9878305113471</v>
      </c>
      <c r="AS840" s="94">
        <f t="shared" si="312"/>
        <v>0</v>
      </c>
      <c r="AT840" s="94">
        <f t="shared" si="313"/>
        <v>0.62522197778203492</v>
      </c>
      <c r="AU840" s="94">
        <f t="shared" si="315"/>
        <v>0.59855859576851134</v>
      </c>
      <c r="AV840" s="94">
        <f t="shared" si="316"/>
        <v>0.59855859576851134</v>
      </c>
    </row>
    <row r="841" spans="1:48" x14ac:dyDescent="0.3">
      <c r="A841" s="85" t="str">
        <f>_xlfn.XLOOKUP(B841,'Country codes &amp; Data sources'!G:G,'Country codes &amp; Data sources'!H:H,,0)</f>
        <v>South Africa</v>
      </c>
      <c r="B841" s="85" t="s">
        <v>187</v>
      </c>
      <c r="C841" s="86">
        <v>53145041</v>
      </c>
      <c r="D841" s="85" t="s">
        <v>203</v>
      </c>
      <c r="E841" s="87">
        <v>0</v>
      </c>
      <c r="F841" s="88">
        <v>53873616</v>
      </c>
      <c r="G841" s="87">
        <v>0</v>
      </c>
      <c r="I841" s="87">
        <v>0</v>
      </c>
      <c r="K841" s="87">
        <v>0</v>
      </c>
      <c r="M841" s="87">
        <v>0</v>
      </c>
      <c r="O841" s="87">
        <v>0</v>
      </c>
      <c r="P841" s="88">
        <v>57339635.000000015</v>
      </c>
      <c r="Q841" s="87">
        <v>0</v>
      </c>
      <c r="R841" s="87">
        <f t="shared" si="298"/>
        <v>0</v>
      </c>
      <c r="T841" s="87">
        <v>0</v>
      </c>
      <c r="V841" s="87">
        <v>0</v>
      </c>
      <c r="X841" s="87">
        <v>0</v>
      </c>
      <c r="Y841" s="88">
        <v>59893885.5</v>
      </c>
      <c r="Z841" s="87">
        <v>2857</v>
      </c>
      <c r="AA841" s="87">
        <v>0</v>
      </c>
      <c r="AB841" s="89">
        <f t="shared" si="299"/>
        <v>0</v>
      </c>
      <c r="AC841" s="89">
        <f t="shared" si="300"/>
        <v>0</v>
      </c>
      <c r="AD841" s="89">
        <f t="shared" si="301"/>
        <v>2857</v>
      </c>
      <c r="AF841" s="90" t="str">
        <f t="shared" si="302"/>
        <v/>
      </c>
      <c r="AH841" s="90" t="str">
        <f t="shared" si="304"/>
        <v/>
      </c>
      <c r="AI841" s="90">
        <f t="shared" si="305"/>
        <v>2857</v>
      </c>
      <c r="AJ841" s="90">
        <f t="shared" si="306"/>
        <v>2022</v>
      </c>
      <c r="AK841" s="90" t="str">
        <f t="shared" si="307"/>
        <v/>
      </c>
      <c r="AL841" s="91">
        <f>IF(AK841="Adjust",(_xlfn.XLOOKUP(A841,'Adj factor'!A:A,'Adj factor'!I:I,,0)*AI841),'Master DataSheet (Rev)'!AI841)</f>
        <v>2857</v>
      </c>
      <c r="AM841" s="91">
        <f t="shared" si="308"/>
        <v>2857</v>
      </c>
      <c r="AN841" s="92" t="str">
        <f t="shared" si="309"/>
        <v>Increasing</v>
      </c>
      <c r="AO841" s="93">
        <f>VLOOKUP(B841,'Growthrates source'!A$2:H$49,8,FALSE)</f>
        <v>-1.4844947843777323E-3</v>
      </c>
      <c r="AP841" s="93">
        <f>VLOOKUP(B841,'Growthrates source'!A$2:I$49,9,FALSE)</f>
        <v>5.4673730437993617E-2</v>
      </c>
      <c r="AQ841" s="86">
        <f t="shared" si="310"/>
        <v>0</v>
      </c>
      <c r="AR841" s="86">
        <f t="shared" si="311"/>
        <v>0</v>
      </c>
      <c r="AS841" s="94">
        <f t="shared" si="312"/>
        <v>0</v>
      </c>
      <c r="AT841" s="94">
        <f t="shared" si="313"/>
        <v>0</v>
      </c>
      <c r="AU841" s="94">
        <f t="shared" si="315"/>
        <v>0.47701029514941051</v>
      </c>
      <c r="AV841" s="94">
        <f t="shared" si="316"/>
        <v>0.47701029514941051</v>
      </c>
    </row>
    <row r="842" spans="1:48" x14ac:dyDescent="0.3">
      <c r="A842" s="85" t="str">
        <f>_xlfn.XLOOKUP(B842,'Country codes &amp; Data sources'!G:G,'Country codes &amp; Data sources'!H:H,,0)</f>
        <v>South Africa</v>
      </c>
      <c r="B842" s="85" t="s">
        <v>187</v>
      </c>
      <c r="C842" s="86">
        <v>53145042</v>
      </c>
      <c r="D842" s="85" t="s">
        <v>204</v>
      </c>
      <c r="E842" s="87">
        <v>0</v>
      </c>
      <c r="F842" s="88">
        <v>53873616</v>
      </c>
      <c r="G842" s="87">
        <v>0</v>
      </c>
      <c r="I842" s="87">
        <v>0</v>
      </c>
      <c r="K842" s="87">
        <v>0</v>
      </c>
      <c r="M842" s="87">
        <v>0</v>
      </c>
      <c r="O842" s="87">
        <v>0</v>
      </c>
      <c r="P842" s="88">
        <v>57339635.000000015</v>
      </c>
      <c r="Q842" s="87">
        <v>0</v>
      </c>
      <c r="R842" s="87">
        <f t="shared" si="298"/>
        <v>0</v>
      </c>
      <c r="T842" s="87">
        <v>0</v>
      </c>
      <c r="V842" s="87">
        <v>0</v>
      </c>
      <c r="X842" s="87">
        <v>0</v>
      </c>
      <c r="Y842" s="88">
        <v>59893885.5</v>
      </c>
      <c r="Z842" s="87">
        <v>26692</v>
      </c>
      <c r="AA842" s="87">
        <v>0</v>
      </c>
      <c r="AB842" s="89">
        <f t="shared" si="299"/>
        <v>0</v>
      </c>
      <c r="AC842" s="89">
        <f t="shared" si="300"/>
        <v>0</v>
      </c>
      <c r="AD842" s="89">
        <f t="shared" si="301"/>
        <v>26692</v>
      </c>
      <c r="AF842" s="90" t="str">
        <f t="shared" si="302"/>
        <v/>
      </c>
      <c r="AH842" s="90" t="str">
        <f t="shared" si="304"/>
        <v/>
      </c>
      <c r="AI842" s="90">
        <f t="shared" si="305"/>
        <v>26692</v>
      </c>
      <c r="AJ842" s="90">
        <f t="shared" si="306"/>
        <v>2022</v>
      </c>
      <c r="AK842" s="90" t="str">
        <f t="shared" si="307"/>
        <v/>
      </c>
      <c r="AL842" s="91">
        <f>IF(AK842="Adjust",(_xlfn.XLOOKUP(A842,'Adj factor'!A:A,'Adj factor'!I:I,,0)*AI842),'Master DataSheet (Rev)'!AI842)</f>
        <v>26692</v>
      </c>
      <c r="AM842" s="91">
        <f t="shared" si="308"/>
        <v>26692</v>
      </c>
      <c r="AN842" s="92" t="str">
        <f t="shared" si="309"/>
        <v>Increasing</v>
      </c>
      <c r="AO842" s="93">
        <f>VLOOKUP(B842,'Growthrates source'!A$2:H$49,8,FALSE)</f>
        <v>-1.4844947843777323E-3</v>
      </c>
      <c r="AP842" s="93">
        <f>VLOOKUP(B842,'Growthrates source'!A$2:I$49,9,FALSE)</f>
        <v>5.4673730437993617E-2</v>
      </c>
      <c r="AQ842" s="86">
        <f t="shared" si="310"/>
        <v>0</v>
      </c>
      <c r="AR842" s="86">
        <f t="shared" si="311"/>
        <v>0</v>
      </c>
      <c r="AS842" s="94">
        <f t="shared" si="312"/>
        <v>0</v>
      </c>
      <c r="AT842" s="94">
        <f t="shared" si="313"/>
        <v>0</v>
      </c>
      <c r="AU842" s="94">
        <f t="shared" si="315"/>
        <v>4.4565484067651617</v>
      </c>
      <c r="AV842" s="94">
        <f t="shared" si="316"/>
        <v>4.4565484067651617</v>
      </c>
    </row>
    <row r="843" spans="1:48" x14ac:dyDescent="0.3">
      <c r="A843" s="85" t="str">
        <f>_xlfn.XLOOKUP(B843,'Country codes &amp; Data sources'!G:G,'Country codes &amp; Data sources'!H:H,,0)</f>
        <v>South Africa</v>
      </c>
      <c r="B843" s="85" t="s">
        <v>187</v>
      </c>
      <c r="C843" s="86">
        <v>53145043</v>
      </c>
      <c r="D843" s="85" t="s">
        <v>205</v>
      </c>
      <c r="E843" s="87">
        <v>0</v>
      </c>
      <c r="F843" s="88">
        <v>53873616</v>
      </c>
      <c r="G843" s="87">
        <v>0</v>
      </c>
      <c r="I843" s="87">
        <v>0</v>
      </c>
      <c r="K843" s="87">
        <v>0</v>
      </c>
      <c r="M843" s="87">
        <v>0</v>
      </c>
      <c r="O843" s="87">
        <v>3330</v>
      </c>
      <c r="P843" s="88">
        <v>57339635.000000015</v>
      </c>
      <c r="Q843" s="87">
        <v>0</v>
      </c>
      <c r="R843" s="87">
        <f t="shared" si="298"/>
        <v>0</v>
      </c>
      <c r="T843" s="87">
        <v>0</v>
      </c>
      <c r="V843" s="87">
        <v>0</v>
      </c>
      <c r="X843" s="87">
        <v>0</v>
      </c>
      <c r="Y843" s="88">
        <v>59893885.5</v>
      </c>
      <c r="Z843" s="87">
        <v>329</v>
      </c>
      <c r="AA843" s="87">
        <v>0</v>
      </c>
      <c r="AB843" s="89">
        <f t="shared" si="299"/>
        <v>0</v>
      </c>
      <c r="AC843" s="89">
        <f t="shared" si="300"/>
        <v>3330</v>
      </c>
      <c r="AD843" s="89">
        <f t="shared" si="301"/>
        <v>329</v>
      </c>
      <c r="AF843" s="90" t="str">
        <f t="shared" si="302"/>
        <v/>
      </c>
      <c r="AG843" s="90">
        <f t="shared" si="303"/>
        <v>3330</v>
      </c>
      <c r="AH843" s="90">
        <f t="shared" si="304"/>
        <v>2017</v>
      </c>
      <c r="AI843" s="90">
        <f t="shared" si="305"/>
        <v>329</v>
      </c>
      <c r="AJ843" s="90">
        <f t="shared" si="306"/>
        <v>2022</v>
      </c>
      <c r="AK843" s="90" t="str">
        <f t="shared" si="307"/>
        <v>Adjust</v>
      </c>
      <c r="AL843" s="91">
        <f>IF(AK843="Adjust",(_xlfn.XLOOKUP(A843,'Adj factor'!A:A,'Adj factor'!I:I,,0)*AI843),'Master DataSheet (Rev)'!AI843)</f>
        <v>482.20032365440028</v>
      </c>
      <c r="AM843" s="91">
        <f t="shared" si="308"/>
        <v>3330</v>
      </c>
      <c r="AN843" s="92" t="str">
        <f t="shared" si="309"/>
        <v>Decreasing</v>
      </c>
      <c r="AO843" s="93">
        <f>VLOOKUP(B843,'Growthrates source'!A$2:H$49,8,FALSE)</f>
        <v>-1.4844947843777323E-3</v>
      </c>
      <c r="AP843" s="93">
        <f>VLOOKUP(B843,'Growthrates source'!A$2:I$49,9,FALSE)</f>
        <v>5.4673730437993617E-2</v>
      </c>
      <c r="AQ843" s="86">
        <f t="shared" si="310"/>
        <v>0</v>
      </c>
      <c r="AR843" s="86">
        <f t="shared" si="311"/>
        <v>0</v>
      </c>
      <c r="AS843" s="94">
        <f t="shared" si="312"/>
        <v>0</v>
      </c>
      <c r="AT843" s="94">
        <f t="shared" si="313"/>
        <v>0.5807501216218065</v>
      </c>
      <c r="AU843" s="94">
        <f t="shared" si="315"/>
        <v>8.0509107002984512E-2</v>
      </c>
      <c r="AV843" s="94">
        <f t="shared" si="316"/>
        <v>0.55598329816154601</v>
      </c>
    </row>
    <row r="844" spans="1:48" x14ac:dyDescent="0.3">
      <c r="A844" s="85" t="str">
        <f>_xlfn.XLOOKUP(B844,'Country codes &amp; Data sources'!G:G,'Country codes &amp; Data sources'!H:H,,0)</f>
        <v>South Africa</v>
      </c>
      <c r="B844" s="85" t="s">
        <v>187</v>
      </c>
      <c r="C844" s="86">
        <v>53145044</v>
      </c>
      <c r="D844" s="85" t="s">
        <v>133</v>
      </c>
      <c r="E844" s="87">
        <v>133</v>
      </c>
      <c r="F844" s="88">
        <v>53873616</v>
      </c>
      <c r="G844" s="87">
        <v>144</v>
      </c>
      <c r="I844" s="87">
        <v>145</v>
      </c>
      <c r="K844" s="87">
        <v>149</v>
      </c>
      <c r="M844" s="87">
        <v>4802</v>
      </c>
      <c r="O844" s="87">
        <v>5267</v>
      </c>
      <c r="P844" s="88">
        <v>57339635.000000015</v>
      </c>
      <c r="Q844" s="87">
        <v>5455</v>
      </c>
      <c r="R844" s="87">
        <f t="shared" si="298"/>
        <v>8415</v>
      </c>
      <c r="T844" s="87">
        <v>9939</v>
      </c>
      <c r="V844" s="87">
        <v>0</v>
      </c>
      <c r="X844" s="87">
        <v>6166</v>
      </c>
      <c r="Y844" s="88">
        <v>59893885.5</v>
      </c>
      <c r="Z844" s="87">
        <v>13</v>
      </c>
      <c r="AA844" s="87">
        <v>8415</v>
      </c>
      <c r="AB844" s="89">
        <f t="shared" si="299"/>
        <v>149</v>
      </c>
      <c r="AC844" s="89">
        <f t="shared" si="300"/>
        <v>9939</v>
      </c>
      <c r="AD844" s="89">
        <f t="shared" si="301"/>
        <v>6166</v>
      </c>
      <c r="AE844" s="90">
        <f t="shared" si="314"/>
        <v>144</v>
      </c>
      <c r="AF844" s="90">
        <f t="shared" si="302"/>
        <v>2013</v>
      </c>
      <c r="AG844" s="90">
        <f t="shared" si="303"/>
        <v>8415</v>
      </c>
      <c r="AH844" s="90" t="str">
        <f t="shared" si="304"/>
        <v>2018 (triag)</v>
      </c>
      <c r="AI844" s="90">
        <f t="shared" si="305"/>
        <v>13</v>
      </c>
      <c r="AJ844" s="90">
        <f t="shared" si="306"/>
        <v>2022</v>
      </c>
      <c r="AK844" s="90" t="str">
        <f t="shared" si="307"/>
        <v>Adjust</v>
      </c>
      <c r="AL844" s="91">
        <f>IF(AK844="Adjust",(_xlfn.XLOOKUP(A844,'Adj factor'!A:A,'Adj factor'!I:I,,0)*AI844),'Master DataSheet (Rev)'!AI844)</f>
        <v>19.053508229505177</v>
      </c>
      <c r="AM844" s="91">
        <f t="shared" si="308"/>
        <v>8415</v>
      </c>
      <c r="AN844" s="92" t="str">
        <f t="shared" si="309"/>
        <v>Decreasing</v>
      </c>
      <c r="AO844" s="93">
        <f>VLOOKUP(B844,'Growthrates source'!A$2:H$49,8,FALSE)</f>
        <v>-1.4844947843777323E-3</v>
      </c>
      <c r="AP844" s="93">
        <f>VLOOKUP(B844,'Growthrates source'!A$2:I$49,9,FALSE)</f>
        <v>5.4673730437993617E-2</v>
      </c>
      <c r="AQ844" s="86">
        <f t="shared" si="310"/>
        <v>8477.6924969376651</v>
      </c>
      <c r="AR844" s="86">
        <f t="shared" si="311"/>
        <v>9914.8835686898146</v>
      </c>
      <c r="AS844" s="94">
        <f t="shared" si="312"/>
        <v>2.6729224932664629E-2</v>
      </c>
      <c r="AT844" s="94">
        <f t="shared" si="313"/>
        <v>1.467571253287538</v>
      </c>
      <c r="AU844" s="94">
        <f t="shared" si="315"/>
        <v>3.181210915011546E-3</v>
      </c>
      <c r="AV844" s="94">
        <f t="shared" si="316"/>
        <v>1.4049848210298528</v>
      </c>
    </row>
    <row r="845" spans="1:48" x14ac:dyDescent="0.3">
      <c r="A845" s="85" t="str">
        <f>_xlfn.XLOOKUP(B845,'Country codes &amp; Data sources'!G:G,'Country codes &amp; Data sources'!H:H,,0)</f>
        <v>South Africa</v>
      </c>
      <c r="B845" s="85" t="s">
        <v>187</v>
      </c>
      <c r="C845" s="86">
        <v>53145045</v>
      </c>
      <c r="D845" s="85" t="s">
        <v>206</v>
      </c>
      <c r="E845" s="87">
        <v>0</v>
      </c>
      <c r="F845" s="88">
        <v>53873616</v>
      </c>
      <c r="G845" s="87">
        <v>0</v>
      </c>
      <c r="I845" s="87">
        <v>0</v>
      </c>
      <c r="K845" s="87">
        <v>0</v>
      </c>
      <c r="M845" s="87">
        <v>0</v>
      </c>
      <c r="O845" s="87">
        <v>0</v>
      </c>
      <c r="P845" s="88">
        <v>57339635.000000015</v>
      </c>
      <c r="Q845" s="87">
        <v>0</v>
      </c>
      <c r="R845" s="87">
        <f t="shared" si="298"/>
        <v>577</v>
      </c>
      <c r="T845" s="87">
        <v>0</v>
      </c>
      <c r="V845" s="87">
        <v>0</v>
      </c>
      <c r="X845" s="87">
        <v>0</v>
      </c>
      <c r="Y845" s="88">
        <v>59893885.5</v>
      </c>
      <c r="Z845" s="87">
        <v>0</v>
      </c>
      <c r="AA845" s="87">
        <v>577</v>
      </c>
      <c r="AB845" s="89">
        <f t="shared" si="299"/>
        <v>0</v>
      </c>
      <c r="AC845" s="89">
        <f t="shared" si="300"/>
        <v>0</v>
      </c>
      <c r="AD845" s="89">
        <f t="shared" si="301"/>
        <v>0</v>
      </c>
      <c r="AF845" s="90" t="str">
        <f t="shared" si="302"/>
        <v/>
      </c>
      <c r="AG845" s="90">
        <f t="shared" si="303"/>
        <v>577</v>
      </c>
      <c r="AH845" s="90" t="str">
        <f t="shared" si="304"/>
        <v>2018 (triag)</v>
      </c>
      <c r="AI845" s="90">
        <f t="shared" si="305"/>
        <v>577</v>
      </c>
      <c r="AJ845" s="90" t="str">
        <f t="shared" si="306"/>
        <v>2018 (triag)</v>
      </c>
      <c r="AK845" s="90" t="str">
        <f t="shared" si="307"/>
        <v/>
      </c>
      <c r="AL845" s="91">
        <f>IF(AK845="Adjust",(_xlfn.XLOOKUP(A845,'Adj factor'!A:A,'Adj factor'!I:I,,0)*AI845),'Master DataSheet (Rev)'!AI845)</f>
        <v>577</v>
      </c>
      <c r="AM845" s="91">
        <f t="shared" si="308"/>
        <v>577</v>
      </c>
      <c r="AN845" s="92" t="str">
        <f t="shared" si="309"/>
        <v>No change</v>
      </c>
      <c r="AO845" s="93">
        <f>VLOOKUP(B845,'Growthrates source'!A$2:H$49,8,FALSE)</f>
        <v>-1.4844947843777323E-3</v>
      </c>
      <c r="AP845" s="93">
        <f>VLOOKUP(B845,'Growthrates source'!A$2:I$49,9,FALSE)</f>
        <v>5.4673730437993617E-2</v>
      </c>
      <c r="AQ845" s="86">
        <f t="shared" si="310"/>
        <v>581.29870121604677</v>
      </c>
      <c r="AR845" s="86">
        <f t="shared" si="311"/>
        <v>679.84406644492253</v>
      </c>
      <c r="AS845" s="94">
        <f t="shared" si="312"/>
        <v>0</v>
      </c>
      <c r="AT845" s="94">
        <f t="shared" si="313"/>
        <v>0.10062847452726197</v>
      </c>
      <c r="AU845" s="94">
        <f t="shared" si="315"/>
        <v>9.6337045957721343E-2</v>
      </c>
      <c r="AV845" s="94">
        <f t="shared" si="316"/>
        <v>9.6337045957721343E-2</v>
      </c>
    </row>
    <row r="846" spans="1:48" x14ac:dyDescent="0.3">
      <c r="A846" s="85" t="str">
        <f>_xlfn.XLOOKUP(B846,'Country codes &amp; Data sources'!G:G,'Country codes &amp; Data sources'!H:H,,0)</f>
        <v>South Africa</v>
      </c>
      <c r="B846" s="85" t="s">
        <v>187</v>
      </c>
      <c r="C846" s="86">
        <v>53145046</v>
      </c>
      <c r="D846" s="85" t="s">
        <v>136</v>
      </c>
      <c r="E846" s="87">
        <v>8095</v>
      </c>
      <c r="F846" s="88">
        <v>53873616</v>
      </c>
      <c r="G846" s="87">
        <v>8476</v>
      </c>
      <c r="I846" s="87">
        <v>8924</v>
      </c>
      <c r="K846" s="87">
        <v>9175</v>
      </c>
      <c r="M846" s="87">
        <v>8484</v>
      </c>
      <c r="O846" s="87">
        <v>8681</v>
      </c>
      <c r="P846" s="88">
        <v>57339635.000000015</v>
      </c>
      <c r="Q846" s="87">
        <v>8878</v>
      </c>
      <c r="R846" s="87">
        <f t="shared" si="298"/>
        <v>8878</v>
      </c>
      <c r="T846" s="87">
        <v>0</v>
      </c>
      <c r="V846" s="87">
        <v>0</v>
      </c>
      <c r="X846" s="87">
        <v>9281</v>
      </c>
      <c r="Y846" s="88">
        <v>59893885.5</v>
      </c>
      <c r="Z846" s="87">
        <v>0</v>
      </c>
      <c r="AA846" s="87">
        <v>8072</v>
      </c>
      <c r="AB846" s="89">
        <f t="shared" si="299"/>
        <v>9175</v>
      </c>
      <c r="AC846" s="89">
        <f t="shared" si="300"/>
        <v>8878</v>
      </c>
      <c r="AD846" s="89">
        <f t="shared" si="301"/>
        <v>9281</v>
      </c>
      <c r="AE846" s="90">
        <f t="shared" si="314"/>
        <v>8476</v>
      </c>
      <c r="AF846" s="90">
        <f t="shared" si="302"/>
        <v>2013</v>
      </c>
      <c r="AG846" s="90">
        <f t="shared" si="303"/>
        <v>8878</v>
      </c>
      <c r="AH846" s="90">
        <f t="shared" si="304"/>
        <v>2018</v>
      </c>
      <c r="AI846" s="90">
        <f t="shared" si="305"/>
        <v>9281</v>
      </c>
      <c r="AJ846" s="90">
        <f t="shared" si="306"/>
        <v>2021</v>
      </c>
      <c r="AK846" s="90" t="str">
        <f t="shared" si="307"/>
        <v/>
      </c>
      <c r="AL846" s="91">
        <f>IF(AK846="Adjust",(_xlfn.XLOOKUP(A846,'Adj factor'!A:A,'Adj factor'!I:I,,0)*AI846),'Master DataSheet (Rev)'!AI846)</f>
        <v>9281</v>
      </c>
      <c r="AM846" s="91">
        <f t="shared" si="308"/>
        <v>9281</v>
      </c>
      <c r="AN846" s="92" t="str">
        <f t="shared" si="309"/>
        <v>Increasing</v>
      </c>
      <c r="AO846" s="93">
        <f>VLOOKUP(B846,'Growthrates source'!A$2:H$49,8,FALSE)</f>
        <v>-1.4844947843777323E-3</v>
      </c>
      <c r="AP846" s="93">
        <f>VLOOKUP(B846,'Growthrates source'!A$2:I$49,9,FALSE)</f>
        <v>5.4673730437993617E-2</v>
      </c>
      <c r="AQ846" s="86">
        <f t="shared" si="310"/>
        <v>8132.1371164920783</v>
      </c>
      <c r="AR846" s="86">
        <f t="shared" si="311"/>
        <v>9510.7474945293143</v>
      </c>
      <c r="AS846" s="94">
        <f t="shared" si="312"/>
        <v>1.5733118786754541</v>
      </c>
      <c r="AT846" s="94">
        <f t="shared" si="313"/>
        <v>1.5483181921196389</v>
      </c>
      <c r="AU846" s="94">
        <f t="shared" si="315"/>
        <v>1.5495738709421347</v>
      </c>
      <c r="AV846" s="94">
        <f t="shared" si="316"/>
        <v>1.5495738709421347</v>
      </c>
    </row>
    <row r="847" spans="1:48" x14ac:dyDescent="0.3">
      <c r="A847" s="85" t="str">
        <f>_xlfn.XLOOKUP(B847,'Country codes &amp; Data sources'!G:G,'Country codes &amp; Data sources'!H:H,,0)</f>
        <v>South Africa</v>
      </c>
      <c r="B847" s="85" t="s">
        <v>187</v>
      </c>
      <c r="C847" s="86">
        <v>53145047</v>
      </c>
      <c r="D847" s="85" t="s">
        <v>207</v>
      </c>
      <c r="E847" s="87">
        <v>0</v>
      </c>
      <c r="F847" s="88">
        <v>53873616</v>
      </c>
      <c r="G847" s="87">
        <v>0</v>
      </c>
      <c r="I847" s="87">
        <v>0</v>
      </c>
      <c r="K847" s="87">
        <v>0</v>
      </c>
      <c r="M847" s="87">
        <v>0</v>
      </c>
      <c r="O847" s="87">
        <v>0</v>
      </c>
      <c r="P847" s="88">
        <v>57339635.000000015</v>
      </c>
      <c r="Q847" s="87">
        <v>0</v>
      </c>
      <c r="R847" s="87">
        <f t="shared" si="298"/>
        <v>0</v>
      </c>
      <c r="T847" s="87">
        <v>0</v>
      </c>
      <c r="V847" s="87">
        <v>0</v>
      </c>
      <c r="X847" s="87">
        <v>0</v>
      </c>
      <c r="Y847" s="88">
        <v>59893885.5</v>
      </c>
      <c r="Z847" s="87">
        <v>0</v>
      </c>
      <c r="AA847" s="87">
        <v>0</v>
      </c>
      <c r="AB847" s="89">
        <f t="shared" si="299"/>
        <v>0</v>
      </c>
      <c r="AC847" s="89">
        <f t="shared" si="300"/>
        <v>0</v>
      </c>
      <c r="AD847" s="89">
        <f t="shared" si="301"/>
        <v>0</v>
      </c>
      <c r="AF847" s="90" t="str">
        <f t="shared" si="302"/>
        <v/>
      </c>
      <c r="AH847" s="90" t="str">
        <f t="shared" si="304"/>
        <v/>
      </c>
      <c r="AI847" s="90">
        <f t="shared" si="305"/>
        <v>0</v>
      </c>
      <c r="AJ847" s="90" t="str">
        <f t="shared" si="306"/>
        <v/>
      </c>
      <c r="AK847" s="90" t="str">
        <f t="shared" si="307"/>
        <v/>
      </c>
      <c r="AL847" s="91"/>
      <c r="AM847" s="91">
        <f t="shared" si="308"/>
        <v>0</v>
      </c>
      <c r="AN847" s="92" t="str">
        <f t="shared" si="309"/>
        <v>No change</v>
      </c>
      <c r="AO847" s="93">
        <f>VLOOKUP(B847,'Growthrates source'!A$2:H$49,8,FALSE)</f>
        <v>-1.4844947843777323E-3</v>
      </c>
      <c r="AP847" s="93">
        <f>VLOOKUP(B847,'Growthrates source'!A$2:I$49,9,FALSE)</f>
        <v>5.4673730437993617E-2</v>
      </c>
      <c r="AQ847" s="86">
        <f t="shared" si="310"/>
        <v>0</v>
      </c>
      <c r="AR847" s="86">
        <f t="shared" si="311"/>
        <v>0</v>
      </c>
      <c r="AS847" s="94">
        <f t="shared" si="312"/>
        <v>0</v>
      </c>
      <c r="AT847" s="94">
        <f t="shared" si="313"/>
        <v>0</v>
      </c>
      <c r="AU847" s="94">
        <f t="shared" si="315"/>
        <v>0</v>
      </c>
      <c r="AV847" s="94">
        <f t="shared" si="316"/>
        <v>0</v>
      </c>
    </row>
    <row r="848" spans="1:48" x14ac:dyDescent="0.3">
      <c r="A848" s="85" t="str">
        <f>_xlfn.XLOOKUP(B848,'Country codes &amp; Data sources'!G:G,'Country codes &amp; Data sources'!H:H,,0)</f>
        <v>South Africa</v>
      </c>
      <c r="B848" s="85" t="s">
        <v>187</v>
      </c>
      <c r="C848" s="86">
        <v>53145048</v>
      </c>
      <c r="D848" s="85" t="s">
        <v>141</v>
      </c>
      <c r="E848" s="87">
        <v>3453</v>
      </c>
      <c r="F848" s="88">
        <v>53873616</v>
      </c>
      <c r="G848" s="87">
        <v>3588</v>
      </c>
      <c r="I848" s="87">
        <v>3705</v>
      </c>
      <c r="K848" s="87">
        <v>3783</v>
      </c>
      <c r="M848" s="87">
        <v>3725</v>
      </c>
      <c r="O848" s="87">
        <v>3790</v>
      </c>
      <c r="P848" s="88">
        <v>57339635.000000015</v>
      </c>
      <c r="Q848" s="87">
        <v>3848</v>
      </c>
      <c r="R848" s="87">
        <f t="shared" si="298"/>
        <v>3848</v>
      </c>
      <c r="T848" s="87">
        <v>3830</v>
      </c>
      <c r="V848" s="87">
        <v>0</v>
      </c>
      <c r="X848" s="87">
        <v>4012</v>
      </c>
      <c r="Y848" s="88">
        <v>59893885.5</v>
      </c>
      <c r="Z848" s="87">
        <v>255</v>
      </c>
      <c r="AA848" s="87">
        <v>0</v>
      </c>
      <c r="AB848" s="89">
        <f t="shared" si="299"/>
        <v>3783</v>
      </c>
      <c r="AC848" s="89">
        <f t="shared" si="300"/>
        <v>3848</v>
      </c>
      <c r="AD848" s="89">
        <f t="shared" si="301"/>
        <v>4012</v>
      </c>
      <c r="AE848" s="90">
        <f t="shared" si="314"/>
        <v>3588</v>
      </c>
      <c r="AF848" s="90">
        <f t="shared" si="302"/>
        <v>2013</v>
      </c>
      <c r="AG848" s="90">
        <f t="shared" si="303"/>
        <v>3848</v>
      </c>
      <c r="AH848" s="90">
        <f t="shared" si="304"/>
        <v>2018</v>
      </c>
      <c r="AI848" s="90">
        <f t="shared" si="305"/>
        <v>255</v>
      </c>
      <c r="AJ848" s="90">
        <f t="shared" si="306"/>
        <v>2022</v>
      </c>
      <c r="AK848" s="90" t="str">
        <f t="shared" si="307"/>
        <v>Adjust</v>
      </c>
      <c r="AL848" s="91">
        <f>IF(AK848="Adjust",(_xlfn.XLOOKUP(A848,'Adj factor'!A:A,'Adj factor'!I:I,,0)*AI848),'Master DataSheet (Rev)'!AI848)</f>
        <v>373.74189219414001</v>
      </c>
      <c r="AM848" s="91">
        <f t="shared" si="308"/>
        <v>3848</v>
      </c>
      <c r="AN848" s="92" t="str">
        <f t="shared" si="309"/>
        <v>Decreasing</v>
      </c>
      <c r="AO848" s="93">
        <f>VLOOKUP(B848,'Growthrates source'!A$2:H$49,8,FALSE)</f>
        <v>-1.4844947843777323E-3</v>
      </c>
      <c r="AP848" s="93">
        <f>VLOOKUP(B848,'Growthrates source'!A$2:I$49,9,FALSE)</f>
        <v>5.4673730437993617E-2</v>
      </c>
      <c r="AQ848" s="86">
        <f t="shared" si="310"/>
        <v>0</v>
      </c>
      <c r="AR848" s="86">
        <f t="shared" si="311"/>
        <v>0</v>
      </c>
      <c r="AS848" s="94">
        <f t="shared" si="312"/>
        <v>0.66600318790556035</v>
      </c>
      <c r="AT848" s="94">
        <f t="shared" si="313"/>
        <v>0.67108902942964299</v>
      </c>
      <c r="AU848" s="94">
        <f t="shared" si="315"/>
        <v>6.2400675640611095E-2</v>
      </c>
      <c r="AV848" s="94">
        <f t="shared" si="316"/>
        <v>0.64246958898667539</v>
      </c>
    </row>
    <row r="849" spans="1:48" x14ac:dyDescent="0.3">
      <c r="A849" s="85" t="str">
        <f>_xlfn.XLOOKUP(B849,'Country codes &amp; Data sources'!G:G,'Country codes &amp; Data sources'!H:H,,0)</f>
        <v>South Africa</v>
      </c>
      <c r="B849" s="85" t="s">
        <v>187</v>
      </c>
      <c r="C849" s="86">
        <v>53145049</v>
      </c>
      <c r="D849" s="85" t="s">
        <v>208</v>
      </c>
      <c r="E849" s="87">
        <v>0</v>
      </c>
      <c r="F849" s="88">
        <v>53873616</v>
      </c>
      <c r="G849" s="87">
        <v>0</v>
      </c>
      <c r="I849" s="87">
        <v>0</v>
      </c>
      <c r="K849" s="87">
        <v>0</v>
      </c>
      <c r="M849" s="87">
        <v>0</v>
      </c>
      <c r="O849" s="87">
        <v>0</v>
      </c>
      <c r="P849" s="88">
        <v>57339635.000000015</v>
      </c>
      <c r="Q849" s="87">
        <v>0</v>
      </c>
      <c r="R849" s="87">
        <f t="shared" si="298"/>
        <v>0</v>
      </c>
      <c r="T849" s="87">
        <v>0</v>
      </c>
      <c r="V849" s="87">
        <v>0</v>
      </c>
      <c r="X849" s="87">
        <v>0</v>
      </c>
      <c r="Y849" s="88">
        <v>59893885.5</v>
      </c>
      <c r="Z849" s="87">
        <v>15459</v>
      </c>
      <c r="AA849" s="87">
        <v>0</v>
      </c>
      <c r="AB849" s="89">
        <f t="shared" si="299"/>
        <v>0</v>
      </c>
      <c r="AC849" s="89">
        <f t="shared" si="300"/>
        <v>0</v>
      </c>
      <c r="AD849" s="89">
        <f t="shared" si="301"/>
        <v>15459</v>
      </c>
      <c r="AF849" s="90" t="str">
        <f t="shared" si="302"/>
        <v/>
      </c>
      <c r="AH849" s="90" t="str">
        <f t="shared" si="304"/>
        <v/>
      </c>
      <c r="AI849" s="90">
        <f t="shared" si="305"/>
        <v>15459</v>
      </c>
      <c r="AJ849" s="90">
        <f t="shared" si="306"/>
        <v>2022</v>
      </c>
      <c r="AK849" s="90" t="str">
        <f t="shared" si="307"/>
        <v/>
      </c>
      <c r="AL849" s="91">
        <f>IF(AK849="Adjust",(_xlfn.XLOOKUP(A849,'Adj factor'!A:A,'Adj factor'!I:I,,0)*AI849),'Master DataSheet (Rev)'!AI849)</f>
        <v>15459</v>
      </c>
      <c r="AM849" s="91">
        <f t="shared" si="308"/>
        <v>15459</v>
      </c>
      <c r="AN849" s="92" t="str">
        <f t="shared" si="309"/>
        <v>Increasing</v>
      </c>
      <c r="AO849" s="93">
        <f>VLOOKUP(B849,'Growthrates source'!A$2:H$49,8,FALSE)</f>
        <v>-1.4844947843777323E-3</v>
      </c>
      <c r="AP849" s="93">
        <f>VLOOKUP(B849,'Growthrates source'!A$2:I$49,9,FALSE)</f>
        <v>5.4673730437993617E-2</v>
      </c>
      <c r="AQ849" s="86">
        <f t="shared" si="310"/>
        <v>0</v>
      </c>
      <c r="AR849" s="86">
        <f t="shared" si="311"/>
        <v>0</v>
      </c>
      <c r="AS849" s="94">
        <f t="shared" si="312"/>
        <v>0</v>
      </c>
      <c r="AT849" s="94">
        <f t="shared" si="313"/>
        <v>0</v>
      </c>
      <c r="AU849" s="94">
        <f t="shared" si="315"/>
        <v>2.5810648066904927</v>
      </c>
      <c r="AV849" s="94">
        <f t="shared" si="316"/>
        <v>2.5810648066904927</v>
      </c>
    </row>
    <row r="850" spans="1:48" x14ac:dyDescent="0.3">
      <c r="A850" s="85" t="str">
        <f>_xlfn.XLOOKUP(B850,'Country codes &amp; Data sources'!G:G,'Country codes &amp; Data sources'!H:H,,0)</f>
        <v>South Africa</v>
      </c>
      <c r="B850" s="85" t="s">
        <v>187</v>
      </c>
      <c r="C850" s="86">
        <v>53145050</v>
      </c>
      <c r="D850" s="85" t="s">
        <v>209</v>
      </c>
      <c r="E850" s="87">
        <v>0</v>
      </c>
      <c r="F850" s="88">
        <v>53873616</v>
      </c>
      <c r="G850" s="87">
        <v>0</v>
      </c>
      <c r="I850" s="87">
        <v>0</v>
      </c>
      <c r="K850" s="87">
        <v>0</v>
      </c>
      <c r="M850" s="87">
        <v>0</v>
      </c>
      <c r="O850" s="87">
        <v>0</v>
      </c>
      <c r="P850" s="88">
        <v>57339635.000000015</v>
      </c>
      <c r="Q850" s="87">
        <v>0</v>
      </c>
      <c r="R850" s="87">
        <f t="shared" si="298"/>
        <v>15266</v>
      </c>
      <c r="T850" s="87">
        <v>0</v>
      </c>
      <c r="V850" s="87">
        <v>0</v>
      </c>
      <c r="X850" s="87">
        <v>0</v>
      </c>
      <c r="Y850" s="88">
        <v>59893885.5</v>
      </c>
      <c r="Z850" s="87">
        <v>0</v>
      </c>
      <c r="AA850" s="87">
        <v>15266</v>
      </c>
      <c r="AB850" s="89">
        <f t="shared" si="299"/>
        <v>0</v>
      </c>
      <c r="AC850" s="89">
        <f t="shared" si="300"/>
        <v>0</v>
      </c>
      <c r="AD850" s="89">
        <f t="shared" si="301"/>
        <v>0</v>
      </c>
      <c r="AF850" s="90" t="str">
        <f t="shared" si="302"/>
        <v/>
      </c>
      <c r="AG850" s="90">
        <f t="shared" si="303"/>
        <v>15266</v>
      </c>
      <c r="AH850" s="90" t="str">
        <f t="shared" si="304"/>
        <v>2018 (triag)</v>
      </c>
      <c r="AI850" s="90">
        <f t="shared" si="305"/>
        <v>15266</v>
      </c>
      <c r="AJ850" s="90" t="str">
        <f t="shared" si="306"/>
        <v>2018 (triag)</v>
      </c>
      <c r="AK850" s="90" t="str">
        <f t="shared" si="307"/>
        <v/>
      </c>
      <c r="AL850" s="91">
        <f>IF(AK850="Adjust",(_xlfn.XLOOKUP(A850,'Adj factor'!A:A,'Adj factor'!I:I,,0)*AI850),'Master DataSheet (Rev)'!AI850)</f>
        <v>15266</v>
      </c>
      <c r="AM850" s="91">
        <f t="shared" si="308"/>
        <v>15266</v>
      </c>
      <c r="AN850" s="92" t="str">
        <f t="shared" si="309"/>
        <v>No change</v>
      </c>
      <c r="AO850" s="93">
        <f>VLOOKUP(B850,'Growthrates source'!A$2:H$49,8,FALSE)</f>
        <v>-1.4844947843777323E-3</v>
      </c>
      <c r="AP850" s="93">
        <f>VLOOKUP(B850,'Growthrates source'!A$2:I$49,9,FALSE)</f>
        <v>5.4673730437993617E-2</v>
      </c>
      <c r="AQ850" s="86">
        <f t="shared" si="310"/>
        <v>15379.733055050554</v>
      </c>
      <c r="AR850" s="86">
        <f t="shared" si="311"/>
        <v>17987.000898350409</v>
      </c>
      <c r="AS850" s="94">
        <f t="shared" si="312"/>
        <v>0</v>
      </c>
      <c r="AT850" s="94">
        <f t="shared" si="313"/>
        <v>2.6623817887923416</v>
      </c>
      <c r="AU850" s="94">
        <f t="shared" si="315"/>
        <v>2.5488411500703188</v>
      </c>
      <c r="AV850" s="94">
        <f t="shared" si="316"/>
        <v>2.5488411500703188</v>
      </c>
    </row>
    <row r="851" spans="1:48" x14ac:dyDescent="0.3">
      <c r="A851" s="85" t="str">
        <f>_xlfn.XLOOKUP(B851,'Country codes &amp; Data sources'!G:G,'Country codes &amp; Data sources'!H:H,,0)</f>
        <v>South Africa</v>
      </c>
      <c r="B851" s="85" t="s">
        <v>187</v>
      </c>
      <c r="C851" s="86">
        <v>53145051</v>
      </c>
      <c r="D851" s="85" t="s">
        <v>134</v>
      </c>
      <c r="E851" s="87">
        <v>171</v>
      </c>
      <c r="F851" s="88">
        <v>53873616</v>
      </c>
      <c r="G851" s="87">
        <v>273</v>
      </c>
      <c r="I851" s="87">
        <v>326</v>
      </c>
      <c r="K851" s="87">
        <v>453</v>
      </c>
      <c r="M851" s="87">
        <v>5377</v>
      </c>
      <c r="O851" s="87">
        <v>5525</v>
      </c>
      <c r="P851" s="88">
        <v>57339635.000000015</v>
      </c>
      <c r="Q851" s="87">
        <v>5731</v>
      </c>
      <c r="R851" s="87">
        <f t="shared" si="298"/>
        <v>5731</v>
      </c>
      <c r="T851" s="87">
        <v>0</v>
      </c>
      <c r="V851" s="87">
        <v>0</v>
      </c>
      <c r="X851" s="87">
        <v>6353</v>
      </c>
      <c r="Y851" s="88">
        <v>59893885.5</v>
      </c>
      <c r="Z851" s="87">
        <v>0</v>
      </c>
      <c r="AA851" s="87">
        <v>0</v>
      </c>
      <c r="AB851" s="89">
        <f t="shared" si="299"/>
        <v>453</v>
      </c>
      <c r="AC851" s="89">
        <f t="shared" si="300"/>
        <v>5731</v>
      </c>
      <c r="AD851" s="89">
        <f t="shared" si="301"/>
        <v>6353</v>
      </c>
      <c r="AE851" s="90">
        <f t="shared" si="314"/>
        <v>273</v>
      </c>
      <c r="AF851" s="90">
        <f t="shared" si="302"/>
        <v>2013</v>
      </c>
      <c r="AG851" s="90">
        <f t="shared" si="303"/>
        <v>5731</v>
      </c>
      <c r="AH851" s="90">
        <f t="shared" si="304"/>
        <v>2018</v>
      </c>
      <c r="AI851" s="90">
        <f t="shared" si="305"/>
        <v>6353</v>
      </c>
      <c r="AJ851" s="90">
        <f t="shared" si="306"/>
        <v>2021</v>
      </c>
      <c r="AK851" s="90" t="str">
        <f t="shared" si="307"/>
        <v/>
      </c>
      <c r="AL851" s="91">
        <f>IF(AK851="Adjust",(_xlfn.XLOOKUP(A851,'Adj factor'!A:A,'Adj factor'!I:I,,0)*AI851),'Master DataSheet (Rev)'!AI851)</f>
        <v>6353</v>
      </c>
      <c r="AM851" s="91">
        <f t="shared" si="308"/>
        <v>6353</v>
      </c>
      <c r="AN851" s="92" t="str">
        <f t="shared" si="309"/>
        <v>Increasing</v>
      </c>
      <c r="AO851" s="93">
        <f>VLOOKUP(B851,'Growthrates source'!A$2:H$49,8,FALSE)</f>
        <v>-1.4844947843777323E-3</v>
      </c>
      <c r="AP851" s="93">
        <f>VLOOKUP(B851,'Growthrates source'!A$2:I$49,9,FALSE)</f>
        <v>5.4673730437993617E-2</v>
      </c>
      <c r="AQ851" s="86">
        <f t="shared" si="310"/>
        <v>0</v>
      </c>
      <c r="AR851" s="86">
        <f t="shared" si="311"/>
        <v>0</v>
      </c>
      <c r="AS851" s="94">
        <f t="shared" si="312"/>
        <v>5.0674155601510021E-2</v>
      </c>
      <c r="AT851" s="94">
        <f t="shared" si="313"/>
        <v>0.99948316727164355</v>
      </c>
      <c r="AU851" s="94">
        <f t="shared" si="315"/>
        <v>1.060709277243334</v>
      </c>
      <c r="AV851" s="94">
        <f t="shared" si="316"/>
        <v>1.060709277243334</v>
      </c>
    </row>
    <row r="852" spans="1:48" x14ac:dyDescent="0.3">
      <c r="A852" s="85" t="str">
        <f>_xlfn.XLOOKUP(B852,'Country codes &amp; Data sources'!G:G,'Country codes &amp; Data sources'!H:H,,0)</f>
        <v>South Africa</v>
      </c>
      <c r="B852" s="85" t="s">
        <v>187</v>
      </c>
      <c r="C852" s="86">
        <v>53145052</v>
      </c>
      <c r="D852" s="85" t="s">
        <v>142</v>
      </c>
      <c r="E852" s="87">
        <v>90</v>
      </c>
      <c r="F852" s="88">
        <v>53873616</v>
      </c>
      <c r="G852" s="87">
        <v>217</v>
      </c>
      <c r="I852" s="87">
        <v>362</v>
      </c>
      <c r="K852" s="87">
        <v>474</v>
      </c>
      <c r="M852" s="87">
        <v>0</v>
      </c>
      <c r="O852" s="87">
        <v>8919</v>
      </c>
      <c r="P852" s="88">
        <v>57339635.000000015</v>
      </c>
      <c r="Q852" s="87">
        <v>0</v>
      </c>
      <c r="R852" s="87">
        <f t="shared" si="298"/>
        <v>0</v>
      </c>
      <c r="T852" s="87">
        <v>0</v>
      </c>
      <c r="V852" s="87">
        <v>0</v>
      </c>
      <c r="X852" s="87">
        <v>3870</v>
      </c>
      <c r="Y852" s="88">
        <v>59893885.5</v>
      </c>
      <c r="Z852" s="87">
        <v>20327</v>
      </c>
      <c r="AA852" s="87">
        <v>0</v>
      </c>
      <c r="AB852" s="89">
        <f t="shared" si="299"/>
        <v>474</v>
      </c>
      <c r="AC852" s="89">
        <f t="shared" si="300"/>
        <v>8919</v>
      </c>
      <c r="AD852" s="89">
        <f t="shared" si="301"/>
        <v>20327</v>
      </c>
      <c r="AE852" s="90">
        <f t="shared" si="314"/>
        <v>217</v>
      </c>
      <c r="AF852" s="90">
        <f t="shared" si="302"/>
        <v>2013</v>
      </c>
      <c r="AG852" s="90">
        <f t="shared" si="303"/>
        <v>8919</v>
      </c>
      <c r="AH852" s="90">
        <f t="shared" si="304"/>
        <v>2017</v>
      </c>
      <c r="AI852" s="90">
        <f t="shared" si="305"/>
        <v>20327</v>
      </c>
      <c r="AJ852" s="90">
        <f t="shared" si="306"/>
        <v>2022</v>
      </c>
      <c r="AK852" s="90" t="str">
        <f t="shared" si="307"/>
        <v/>
      </c>
      <c r="AL852" s="91">
        <f>IF(AK852="Adjust",(_xlfn.XLOOKUP(A852,'Adj factor'!A:A,'Adj factor'!I:I,,0)*AI852),'Master DataSheet (Rev)'!AI852)</f>
        <v>20327</v>
      </c>
      <c r="AM852" s="91">
        <f t="shared" si="308"/>
        <v>20327</v>
      </c>
      <c r="AN852" s="92" t="str">
        <f t="shared" si="309"/>
        <v>Increasing</v>
      </c>
      <c r="AO852" s="93">
        <f>VLOOKUP(B852,'Growthrates source'!A$2:H$49,8,FALSE)</f>
        <v>-1.4844947843777323E-3</v>
      </c>
      <c r="AP852" s="93">
        <f>VLOOKUP(B852,'Growthrates source'!A$2:I$49,9,FALSE)</f>
        <v>5.4673730437993617E-2</v>
      </c>
      <c r="AQ852" s="86">
        <f t="shared" si="310"/>
        <v>0</v>
      </c>
      <c r="AR852" s="86">
        <f t="shared" si="311"/>
        <v>0</v>
      </c>
      <c r="AS852" s="94">
        <f t="shared" si="312"/>
        <v>4.0279457016584891E-2</v>
      </c>
      <c r="AT852" s="94">
        <f t="shared" si="313"/>
        <v>1.5554685689924601</v>
      </c>
      <c r="AU852" s="94">
        <f t="shared" si="315"/>
        <v>3.3938355861050291</v>
      </c>
      <c r="AV852" s="94">
        <f t="shared" si="316"/>
        <v>3.3938355861050291</v>
      </c>
    </row>
    <row r="853" spans="1:48" x14ac:dyDescent="0.3">
      <c r="A853" s="85" t="str">
        <f>_xlfn.XLOOKUP(B853,'Country codes &amp; Data sources'!G:G,'Country codes &amp; Data sources'!H:H,,0)</f>
        <v>South Africa</v>
      </c>
      <c r="B853" s="85" t="s">
        <v>187</v>
      </c>
      <c r="C853" s="86">
        <v>53145053</v>
      </c>
      <c r="D853" s="85" t="s">
        <v>83</v>
      </c>
      <c r="E853" s="87">
        <v>7791</v>
      </c>
      <c r="F853" s="88">
        <v>53873616</v>
      </c>
      <c r="G853" s="87">
        <v>8185</v>
      </c>
      <c r="I853" s="87">
        <v>8781</v>
      </c>
      <c r="K853" s="87">
        <v>9289</v>
      </c>
      <c r="M853" s="87">
        <v>7451</v>
      </c>
      <c r="O853" s="87">
        <v>7704</v>
      </c>
      <c r="P853" s="88">
        <v>57339635.000000015</v>
      </c>
      <c r="Q853" s="87">
        <v>7922</v>
      </c>
      <c r="R853" s="87">
        <f t="shared" si="298"/>
        <v>11975</v>
      </c>
      <c r="T853" s="87">
        <v>8110</v>
      </c>
      <c r="V853" s="87">
        <v>0</v>
      </c>
      <c r="X853" s="87">
        <v>8509</v>
      </c>
      <c r="Y853" s="88">
        <v>59893885.5</v>
      </c>
      <c r="Z853" s="87">
        <v>1555</v>
      </c>
      <c r="AA853" s="87">
        <v>11975</v>
      </c>
      <c r="AB853" s="89">
        <f t="shared" si="299"/>
        <v>9289</v>
      </c>
      <c r="AC853" s="89">
        <f t="shared" si="300"/>
        <v>8110</v>
      </c>
      <c r="AD853" s="89">
        <f t="shared" si="301"/>
        <v>8509</v>
      </c>
      <c r="AE853" s="90">
        <f t="shared" si="314"/>
        <v>8185</v>
      </c>
      <c r="AF853" s="90">
        <f t="shared" si="302"/>
        <v>2013</v>
      </c>
      <c r="AG853" s="90">
        <f t="shared" si="303"/>
        <v>11975</v>
      </c>
      <c r="AH853" s="90" t="str">
        <f t="shared" si="304"/>
        <v>2018 (triag)</v>
      </c>
      <c r="AI853" s="90">
        <f t="shared" si="305"/>
        <v>1555</v>
      </c>
      <c r="AJ853" s="90">
        <f t="shared" si="306"/>
        <v>2022</v>
      </c>
      <c r="AK853" s="90" t="str">
        <f t="shared" si="307"/>
        <v>Adjust</v>
      </c>
      <c r="AL853" s="91">
        <f>IF(AK853="Adjust",(_xlfn.XLOOKUP(A853,'Adj factor'!A:A,'Adj factor'!I:I,,0)*AI853),'Master DataSheet (Rev)'!AI853)</f>
        <v>2279.0927151446576</v>
      </c>
      <c r="AM853" s="91">
        <f t="shared" si="308"/>
        <v>11975</v>
      </c>
      <c r="AN853" s="92" t="str">
        <f t="shared" si="309"/>
        <v>Decreasing</v>
      </c>
      <c r="AO853" s="93">
        <f>VLOOKUP(B853,'Growthrates source'!A$2:H$49,8,FALSE)</f>
        <v>-1.4844947843777323E-3</v>
      </c>
      <c r="AP853" s="93">
        <f>VLOOKUP(B853,'Growthrates source'!A$2:I$49,9,FALSE)</f>
        <v>5.4673730437993617E-2</v>
      </c>
      <c r="AQ853" s="86">
        <f t="shared" si="310"/>
        <v>12064.214812932685</v>
      </c>
      <c r="AR853" s="86">
        <f t="shared" si="311"/>
        <v>14109.415417119491</v>
      </c>
      <c r="AS853" s="94">
        <f t="shared" si="312"/>
        <v>1.5192965699573608</v>
      </c>
      <c r="AT853" s="94">
        <f t="shared" si="313"/>
        <v>2.0884332451715113</v>
      </c>
      <c r="AU853" s="94">
        <f t="shared" si="315"/>
        <v>0.38052176714176572</v>
      </c>
      <c r="AV853" s="94">
        <f t="shared" si="316"/>
        <v>1.9993693680133675</v>
      </c>
    </row>
    <row r="854" spans="1:48" x14ac:dyDescent="0.3">
      <c r="A854" s="85" t="str">
        <f>_xlfn.XLOOKUP(B854,'Country codes &amp; Data sources'!G:G,'Country codes &amp; Data sources'!H:H,,0)</f>
        <v>South Africa</v>
      </c>
      <c r="B854" s="85" t="s">
        <v>187</v>
      </c>
      <c r="C854" s="86">
        <v>53145054</v>
      </c>
      <c r="D854" s="85" t="s">
        <v>84</v>
      </c>
      <c r="E854" s="87">
        <v>0</v>
      </c>
      <c r="F854" s="88">
        <v>53873616</v>
      </c>
      <c r="G854" s="87">
        <v>0</v>
      </c>
      <c r="I854" s="87">
        <v>0</v>
      </c>
      <c r="K854" s="87">
        <v>0</v>
      </c>
      <c r="M854" s="87">
        <v>0</v>
      </c>
      <c r="O854" s="87">
        <v>27694</v>
      </c>
      <c r="P854" s="88">
        <v>57339635.000000015</v>
      </c>
      <c r="Q854" s="87">
        <v>0</v>
      </c>
      <c r="R854" s="87">
        <f t="shared" si="298"/>
        <v>0</v>
      </c>
      <c r="T854" s="87">
        <v>0</v>
      </c>
      <c r="V854" s="87">
        <v>0</v>
      </c>
      <c r="X854" s="87">
        <v>0</v>
      </c>
      <c r="Y854" s="88">
        <v>59893885.5</v>
      </c>
      <c r="Z854" s="87">
        <v>15754</v>
      </c>
      <c r="AA854" s="87">
        <v>0</v>
      </c>
      <c r="AB854" s="89">
        <f t="shared" si="299"/>
        <v>0</v>
      </c>
      <c r="AC854" s="89">
        <f t="shared" si="300"/>
        <v>27694</v>
      </c>
      <c r="AD854" s="89">
        <f t="shared" si="301"/>
        <v>15754</v>
      </c>
      <c r="AF854" s="90" t="str">
        <f t="shared" si="302"/>
        <v/>
      </c>
      <c r="AG854" s="90">
        <f t="shared" si="303"/>
        <v>27694</v>
      </c>
      <c r="AH854" s="90">
        <f t="shared" si="304"/>
        <v>2017</v>
      </c>
      <c r="AI854" s="90">
        <f t="shared" si="305"/>
        <v>15754</v>
      </c>
      <c r="AJ854" s="90">
        <f t="shared" si="306"/>
        <v>2022</v>
      </c>
      <c r="AK854" s="90" t="str">
        <f t="shared" si="307"/>
        <v>Adjust</v>
      </c>
      <c r="AL854" s="91">
        <f>IF(AK854="Adjust",(_xlfn.XLOOKUP(A854,'Adj factor'!A:A,'Adj factor'!I:I,,0)*AI854),'Master DataSheet (Rev)'!AI854)</f>
        <v>23089.920665201891</v>
      </c>
      <c r="AM854" s="91">
        <f t="shared" si="308"/>
        <v>27694</v>
      </c>
      <c r="AN854" s="92" t="str">
        <f t="shared" si="309"/>
        <v>Decreasing</v>
      </c>
      <c r="AO854" s="93">
        <f>VLOOKUP(B854,'Growthrates source'!A$2:H$49,8,FALSE)</f>
        <v>-1.4844947843777323E-3</v>
      </c>
      <c r="AP854" s="93">
        <f>VLOOKUP(B854,'Growthrates source'!A$2:I$49,9,FALSE)</f>
        <v>5.4673730437993617E-2</v>
      </c>
      <c r="AQ854" s="86">
        <f t="shared" si="310"/>
        <v>0</v>
      </c>
      <c r="AR854" s="86">
        <f t="shared" si="311"/>
        <v>0</v>
      </c>
      <c r="AS854" s="94">
        <f t="shared" si="312"/>
        <v>0</v>
      </c>
      <c r="AT854" s="94">
        <f t="shared" si="313"/>
        <v>4.8298179784367292</v>
      </c>
      <c r="AU854" s="94">
        <f t="shared" si="315"/>
        <v>3.8551382119301461</v>
      </c>
      <c r="AV854" s="94">
        <f t="shared" si="316"/>
        <v>4.6238442820678252</v>
      </c>
    </row>
    <row r="855" spans="1:48" x14ac:dyDescent="0.3">
      <c r="A855" s="85" t="str">
        <f>_xlfn.XLOOKUP(B855,'Country codes &amp; Data sources'!G:G,'Country codes &amp; Data sources'!H:H,,0)</f>
        <v>South Africa</v>
      </c>
      <c r="B855" s="85" t="s">
        <v>187</v>
      </c>
      <c r="C855" s="86">
        <v>53145055</v>
      </c>
      <c r="D855" s="85" t="s">
        <v>126</v>
      </c>
      <c r="E855" s="87">
        <v>2285</v>
      </c>
      <c r="F855" s="88">
        <v>53873616</v>
      </c>
      <c r="G855" s="87">
        <v>2586</v>
      </c>
      <c r="I855" s="87">
        <v>2746</v>
      </c>
      <c r="K855" s="87">
        <v>2913</v>
      </c>
      <c r="M855" s="87">
        <v>3140</v>
      </c>
      <c r="O855" s="87">
        <v>3323</v>
      </c>
      <c r="P855" s="88">
        <v>57339635.000000015</v>
      </c>
      <c r="Q855" s="87">
        <v>3512</v>
      </c>
      <c r="R855" s="87">
        <f t="shared" si="298"/>
        <v>3512</v>
      </c>
      <c r="T855" s="87">
        <v>3676</v>
      </c>
      <c r="V855" s="87">
        <v>0</v>
      </c>
      <c r="X855" s="87">
        <v>4037</v>
      </c>
      <c r="Y855" s="88">
        <v>59893885.5</v>
      </c>
      <c r="Z855" s="87">
        <v>586</v>
      </c>
      <c r="AA855" s="87">
        <v>0</v>
      </c>
      <c r="AB855" s="89">
        <f t="shared" si="299"/>
        <v>2913</v>
      </c>
      <c r="AC855" s="89">
        <f t="shared" si="300"/>
        <v>3676</v>
      </c>
      <c r="AD855" s="89">
        <f t="shared" si="301"/>
        <v>4037</v>
      </c>
      <c r="AE855" s="90">
        <f t="shared" si="314"/>
        <v>2586</v>
      </c>
      <c r="AF855" s="90">
        <f t="shared" si="302"/>
        <v>2013</v>
      </c>
      <c r="AG855" s="90">
        <f t="shared" si="303"/>
        <v>3512</v>
      </c>
      <c r="AH855" s="90">
        <f t="shared" si="304"/>
        <v>2018</v>
      </c>
      <c r="AI855" s="90">
        <f t="shared" si="305"/>
        <v>586</v>
      </c>
      <c r="AJ855" s="90">
        <f t="shared" si="306"/>
        <v>2022</v>
      </c>
      <c r="AK855" s="90" t="str">
        <f t="shared" si="307"/>
        <v>Adjust</v>
      </c>
      <c r="AL855" s="91">
        <f>IF(AK855="Adjust",(_xlfn.XLOOKUP(A855,'Adj factor'!A:A,'Adj factor'!I:I,,0)*AI855),'Master DataSheet (Rev)'!AI855)</f>
        <v>858.87352480692573</v>
      </c>
      <c r="AM855" s="91">
        <f t="shared" si="308"/>
        <v>3512</v>
      </c>
      <c r="AN855" s="92" t="str">
        <f t="shared" si="309"/>
        <v>Decreasing</v>
      </c>
      <c r="AO855" s="93">
        <f>VLOOKUP(B855,'Growthrates source'!A$2:H$49,8,FALSE)</f>
        <v>-1.4844947843777323E-3</v>
      </c>
      <c r="AP855" s="93">
        <f>VLOOKUP(B855,'Growthrates source'!A$2:I$49,9,FALSE)</f>
        <v>5.4673730437993617E-2</v>
      </c>
      <c r="AQ855" s="86">
        <f t="shared" si="310"/>
        <v>0</v>
      </c>
      <c r="AR855" s="86">
        <f t="shared" si="311"/>
        <v>0</v>
      </c>
      <c r="AS855" s="94">
        <f t="shared" si="312"/>
        <v>0.48001233108243563</v>
      </c>
      <c r="AT855" s="94">
        <f t="shared" si="313"/>
        <v>0.61249081895969504</v>
      </c>
      <c r="AU855" s="94">
        <f t="shared" si="315"/>
        <v>0.14339919970744353</v>
      </c>
      <c r="AV855" s="94">
        <f t="shared" si="316"/>
        <v>0.58637037331632125</v>
      </c>
    </row>
    <row r="856" spans="1:48" x14ac:dyDescent="0.3">
      <c r="A856" s="85" t="str">
        <f>_xlfn.XLOOKUP(B856,'Country codes &amp; Data sources'!G:G,'Country codes &amp; Data sources'!H:H,,0)</f>
        <v>South Africa</v>
      </c>
      <c r="B856" s="85" t="s">
        <v>187</v>
      </c>
      <c r="C856" s="86">
        <v>53145056</v>
      </c>
      <c r="D856" s="85" t="s">
        <v>87</v>
      </c>
      <c r="E856" s="87">
        <v>0</v>
      </c>
      <c r="F856" s="88">
        <v>53873616</v>
      </c>
      <c r="G856" s="87">
        <v>0</v>
      </c>
      <c r="I856" s="87">
        <v>0</v>
      </c>
      <c r="K856" s="87">
        <v>0</v>
      </c>
      <c r="M856" s="87">
        <v>0</v>
      </c>
      <c r="O856" s="87">
        <v>49732</v>
      </c>
      <c r="P856" s="88">
        <v>57339635.000000015</v>
      </c>
      <c r="Q856" s="87">
        <v>0</v>
      </c>
      <c r="R856" s="87">
        <f t="shared" si="298"/>
        <v>0</v>
      </c>
      <c r="T856" s="87">
        <v>0</v>
      </c>
      <c r="V856" s="87">
        <v>0</v>
      </c>
      <c r="X856" s="87">
        <v>0</v>
      </c>
      <c r="Y856" s="88">
        <v>59893885.5</v>
      </c>
      <c r="Z856" s="87">
        <v>9</v>
      </c>
      <c r="AA856" s="87">
        <v>0</v>
      </c>
      <c r="AB856" s="89">
        <f t="shared" si="299"/>
        <v>0</v>
      </c>
      <c r="AC856" s="89">
        <f t="shared" si="300"/>
        <v>49732</v>
      </c>
      <c r="AD856" s="89">
        <f t="shared" si="301"/>
        <v>9</v>
      </c>
      <c r="AF856" s="90" t="str">
        <f t="shared" si="302"/>
        <v/>
      </c>
      <c r="AG856" s="90">
        <f t="shared" si="303"/>
        <v>49732</v>
      </c>
      <c r="AH856" s="90">
        <f t="shared" si="304"/>
        <v>2017</v>
      </c>
      <c r="AI856" s="90">
        <f t="shared" si="305"/>
        <v>9</v>
      </c>
      <c r="AJ856" s="90">
        <f t="shared" si="306"/>
        <v>2022</v>
      </c>
      <c r="AK856" s="90" t="str">
        <f t="shared" si="307"/>
        <v>Adjust</v>
      </c>
      <c r="AL856" s="91">
        <f>IF(AK856="Adjust",(_xlfn.XLOOKUP(A856,'Adj factor'!A:A,'Adj factor'!I:I,,0)*AI856),'Master DataSheet (Rev)'!AI856)</f>
        <v>13.190890312734354</v>
      </c>
      <c r="AM856" s="91">
        <f t="shared" si="308"/>
        <v>49732</v>
      </c>
      <c r="AN856" s="92" t="str">
        <f t="shared" si="309"/>
        <v>Decreasing</v>
      </c>
      <c r="AO856" s="93">
        <f>VLOOKUP(B856,'Growthrates source'!A$2:H$49,8,FALSE)</f>
        <v>-1.4844947843777323E-3</v>
      </c>
      <c r="AP856" s="93">
        <f>VLOOKUP(B856,'Growthrates source'!A$2:I$49,9,FALSE)</f>
        <v>5.4673730437993617E-2</v>
      </c>
      <c r="AQ856" s="86">
        <f t="shared" si="310"/>
        <v>0</v>
      </c>
      <c r="AR856" s="86">
        <f t="shared" si="311"/>
        <v>0</v>
      </c>
      <c r="AS856" s="94">
        <f t="shared" si="312"/>
        <v>0</v>
      </c>
      <c r="AT856" s="94">
        <f t="shared" si="313"/>
        <v>8.6732327472959998</v>
      </c>
      <c r="AU856" s="94">
        <f t="shared" si="315"/>
        <v>2.202376787315686E-3</v>
      </c>
      <c r="AV856" s="94">
        <f t="shared" si="316"/>
        <v>8.3033517670180199</v>
      </c>
    </row>
    <row r="857" spans="1:48" x14ac:dyDescent="0.3">
      <c r="A857" s="85" t="str">
        <f>_xlfn.XLOOKUP(B857,'Country codes &amp; Data sources'!G:G,'Country codes &amp; Data sources'!H:H,,0)</f>
        <v>Zambia</v>
      </c>
      <c r="B857" s="85" t="s">
        <v>192</v>
      </c>
      <c r="C857" s="86">
        <v>14744663</v>
      </c>
      <c r="D857" s="85" t="s">
        <v>127</v>
      </c>
      <c r="E857" s="87">
        <v>0</v>
      </c>
      <c r="F857" s="88">
        <v>15234975.999999991</v>
      </c>
      <c r="G857" s="87">
        <v>0</v>
      </c>
      <c r="I857" s="87">
        <v>0</v>
      </c>
      <c r="K857" s="87">
        <v>0</v>
      </c>
      <c r="M857" s="87">
        <v>0</v>
      </c>
      <c r="O857" s="87">
        <v>0</v>
      </c>
      <c r="P857" s="88">
        <v>17835892.999999981</v>
      </c>
      <c r="Q857" s="87">
        <v>1283</v>
      </c>
      <c r="R857" s="87">
        <f t="shared" si="298"/>
        <v>1283</v>
      </c>
      <c r="T857" s="87">
        <v>1846</v>
      </c>
      <c r="V857" s="87">
        <v>41669</v>
      </c>
      <c r="X857" s="87">
        <v>0</v>
      </c>
      <c r="Y857" s="88">
        <v>20017675.000000004</v>
      </c>
      <c r="Z857" s="87">
        <v>2421</v>
      </c>
      <c r="AA857" s="87">
        <v>1262</v>
      </c>
      <c r="AB857" s="89">
        <f t="shared" si="299"/>
        <v>0</v>
      </c>
      <c r="AC857" s="89">
        <f t="shared" si="300"/>
        <v>1846</v>
      </c>
      <c r="AD857" s="89">
        <f t="shared" si="301"/>
        <v>41669</v>
      </c>
      <c r="AF857" s="90" t="str">
        <f t="shared" si="302"/>
        <v/>
      </c>
      <c r="AG857" s="90">
        <f t="shared" si="303"/>
        <v>1283</v>
      </c>
      <c r="AH857" s="90">
        <f t="shared" si="304"/>
        <v>2018</v>
      </c>
      <c r="AI857" s="90">
        <f t="shared" si="305"/>
        <v>2421</v>
      </c>
      <c r="AJ857" s="90">
        <f t="shared" si="306"/>
        <v>2022</v>
      </c>
      <c r="AK857" s="90" t="str">
        <f t="shared" si="307"/>
        <v/>
      </c>
      <c r="AL857" s="91">
        <f>IF(AK857="Adjust",(_xlfn.XLOOKUP(A857,'Adj factor'!A:A,'Adj factor'!I:I,,0)*AI857),'Master DataSheet (Rev)'!AI857)</f>
        <v>2421</v>
      </c>
      <c r="AM857" s="91">
        <f t="shared" si="308"/>
        <v>2421</v>
      </c>
      <c r="AN857" s="92" t="str">
        <f t="shared" si="309"/>
        <v>Increasing</v>
      </c>
      <c r="AO857" s="93">
        <f>VLOOKUP(B857,'Growthrates source'!A$2:H$49,8,FALSE)</f>
        <v>9.0528744101809888E-2</v>
      </c>
      <c r="AP857" s="93">
        <f>VLOOKUP(B857,'Growthrates source'!A$2:I$49,9,FALSE)</f>
        <v>5.4673730437993617E-2</v>
      </c>
      <c r="AQ857" s="86">
        <f t="shared" si="310"/>
        <v>802.5621701473749</v>
      </c>
      <c r="AR857" s="86">
        <f t="shared" si="311"/>
        <v>1486.9379754826555</v>
      </c>
      <c r="AS857" s="94">
        <f t="shared" si="312"/>
        <v>0</v>
      </c>
      <c r="AT857" s="94">
        <f t="shared" si="313"/>
        <v>0.71933600409018006</v>
      </c>
      <c r="AU857" s="94">
        <f t="shared" si="315"/>
        <v>1.2094311652077474</v>
      </c>
      <c r="AV857" s="94">
        <f t="shared" si="316"/>
        <v>1.2094311652077474</v>
      </c>
    </row>
    <row r="858" spans="1:48" ht="14.5" x14ac:dyDescent="0.35">
      <c r="A858" s="85" t="str">
        <f>_xlfn.XLOOKUP(B858,'Country codes &amp; Data sources'!G:G,'Country codes &amp; Data sources'!H:H,,0)</f>
        <v>Zambia</v>
      </c>
      <c r="B858" s="85" t="s">
        <v>192</v>
      </c>
      <c r="C858" s="86">
        <v>14744664</v>
      </c>
      <c r="D858" s="85" t="s">
        <v>61</v>
      </c>
      <c r="E858" s="87">
        <v>0</v>
      </c>
      <c r="F858" s="88">
        <v>15234975.999999991</v>
      </c>
      <c r="G858" s="87">
        <v>0</v>
      </c>
      <c r="I858" s="87">
        <v>0</v>
      </c>
      <c r="K858" s="87">
        <v>0</v>
      </c>
      <c r="M858" s="87">
        <v>0</v>
      </c>
      <c r="O858" s="87">
        <v>66</v>
      </c>
      <c r="P858" s="88">
        <v>17835892.999999981</v>
      </c>
      <c r="Q858" s="87">
        <v>0</v>
      </c>
      <c r="R858" s="87">
        <f t="shared" si="298"/>
        <v>404</v>
      </c>
      <c r="T858" s="87">
        <v>0</v>
      </c>
      <c r="V858" s="87">
        <v>0</v>
      </c>
      <c r="X858" s="87">
        <v>0</v>
      </c>
      <c r="Y858" s="88">
        <v>20017675.000000004</v>
      </c>
      <c r="Z858" s="111">
        <f>689+85</f>
        <v>774</v>
      </c>
      <c r="AA858" s="87">
        <v>404</v>
      </c>
      <c r="AB858" s="89">
        <f t="shared" si="299"/>
        <v>0</v>
      </c>
      <c r="AC858" s="89">
        <f t="shared" si="300"/>
        <v>66</v>
      </c>
      <c r="AD858" s="89">
        <f t="shared" si="301"/>
        <v>774</v>
      </c>
      <c r="AF858" s="90" t="str">
        <f t="shared" si="302"/>
        <v/>
      </c>
      <c r="AG858" s="90">
        <f t="shared" si="303"/>
        <v>404</v>
      </c>
      <c r="AH858" s="90" t="str">
        <f t="shared" si="304"/>
        <v>2018 (triag)</v>
      </c>
      <c r="AI858" s="90">
        <f t="shared" si="305"/>
        <v>774</v>
      </c>
      <c r="AJ858" s="90">
        <f t="shared" si="306"/>
        <v>2022</v>
      </c>
      <c r="AK858" s="90" t="str">
        <f t="shared" si="307"/>
        <v/>
      </c>
      <c r="AL858" s="91">
        <f>IF(AK858="Adjust",(_xlfn.XLOOKUP(A858,'Adj factor'!A:A,'Adj factor'!I:I,,0)*AI858),'Master DataSheet (Rev)'!AI858)</f>
        <v>774</v>
      </c>
      <c r="AM858" s="60">
        <f>689+85</f>
        <v>774</v>
      </c>
      <c r="AN858" s="92" t="str">
        <f t="shared" si="309"/>
        <v>Increasing</v>
      </c>
      <c r="AO858" s="93">
        <f>VLOOKUP(B858,'Growthrates source'!A$2:H$49,8,FALSE)</f>
        <v>9.0528744101809888E-2</v>
      </c>
      <c r="AP858" s="93">
        <f>VLOOKUP(B858,'Growthrates source'!A$2:I$49,9,FALSE)</f>
        <v>5.4673730437993617E-2</v>
      </c>
      <c r="AQ858" s="86">
        <f t="shared" si="310"/>
        <v>256.92164559392984</v>
      </c>
      <c r="AR858" s="86">
        <f t="shared" si="311"/>
        <v>476.0086704397724</v>
      </c>
      <c r="AS858" s="94">
        <f t="shared" si="312"/>
        <v>0</v>
      </c>
      <c r="AT858" s="94">
        <f t="shared" si="313"/>
        <v>0.22650954454593353</v>
      </c>
      <c r="AU858" s="94">
        <f t="shared" si="315"/>
        <v>0.38665829073556235</v>
      </c>
      <c r="AV858" s="94">
        <f t="shared" si="316"/>
        <v>0.38665829073556235</v>
      </c>
    </row>
    <row r="859" spans="1:48" ht="14.5" x14ac:dyDescent="0.35">
      <c r="A859" s="85" t="str">
        <f>_xlfn.XLOOKUP(B859,'Country codes &amp; Data sources'!G:G,'Country codes &amp; Data sources'!H:H,,0)</f>
        <v>Zambia</v>
      </c>
      <c r="B859" s="85" t="s">
        <v>192</v>
      </c>
      <c r="C859" s="86">
        <v>14744665</v>
      </c>
      <c r="D859" s="85" t="s">
        <v>62</v>
      </c>
      <c r="E859" s="87">
        <v>0</v>
      </c>
      <c r="F859" s="88">
        <v>15234975.999999991</v>
      </c>
      <c r="G859" s="87">
        <v>0</v>
      </c>
      <c r="I859" s="87">
        <v>0</v>
      </c>
      <c r="K859" s="87">
        <v>0</v>
      </c>
      <c r="M859" s="87">
        <v>0</v>
      </c>
      <c r="O859" s="87">
        <v>0</v>
      </c>
      <c r="P859" s="88">
        <v>17835892.999999981</v>
      </c>
      <c r="Q859" s="87">
        <v>0</v>
      </c>
      <c r="R859" s="87">
        <f t="shared" si="298"/>
        <v>2016</v>
      </c>
      <c r="T859" s="87">
        <v>0</v>
      </c>
      <c r="V859" s="87">
        <v>3330</v>
      </c>
      <c r="X859" s="87">
        <v>0</v>
      </c>
      <c r="Y859" s="88">
        <v>20017675.000000004</v>
      </c>
      <c r="Z859" s="111">
        <f>5+1169+3151+67</f>
        <v>4392</v>
      </c>
      <c r="AA859" s="87">
        <v>2016</v>
      </c>
      <c r="AB859" s="89">
        <f t="shared" si="299"/>
        <v>0</v>
      </c>
      <c r="AC859" s="89">
        <f t="shared" si="300"/>
        <v>0</v>
      </c>
      <c r="AD859" s="89">
        <f t="shared" si="301"/>
        <v>4392</v>
      </c>
      <c r="AF859" s="90" t="str">
        <f t="shared" si="302"/>
        <v/>
      </c>
      <c r="AG859" s="90">
        <f t="shared" si="303"/>
        <v>2016</v>
      </c>
      <c r="AH859" s="90" t="str">
        <f t="shared" si="304"/>
        <v>2018 (triag)</v>
      </c>
      <c r="AI859" s="90">
        <f t="shared" si="305"/>
        <v>4392</v>
      </c>
      <c r="AJ859" s="90">
        <f t="shared" si="306"/>
        <v>2022</v>
      </c>
      <c r="AK859" s="90" t="str">
        <f t="shared" si="307"/>
        <v/>
      </c>
      <c r="AL859" s="91">
        <f>IF(AK859="Adjust",(_xlfn.XLOOKUP(A859,'Adj factor'!A:A,'Adj factor'!I:I,,0)*AI859),'Master DataSheet (Rev)'!AI859)</f>
        <v>4392</v>
      </c>
      <c r="AM859" s="91">
        <f t="shared" si="308"/>
        <v>4392</v>
      </c>
      <c r="AN859" s="92" t="str">
        <f t="shared" si="309"/>
        <v>Increasing</v>
      </c>
      <c r="AO859" s="93">
        <f>VLOOKUP(B859,'Growthrates source'!A$2:H$49,8,FALSE)</f>
        <v>9.0528744101809888E-2</v>
      </c>
      <c r="AP859" s="93">
        <f>VLOOKUP(B859,'Growthrates source'!A$2:I$49,9,FALSE)</f>
        <v>5.4673730437993617E-2</v>
      </c>
      <c r="AQ859" s="86">
        <f t="shared" si="310"/>
        <v>1282.0644493004024</v>
      </c>
      <c r="AR859" s="86">
        <f t="shared" si="311"/>
        <v>2375.3303950657951</v>
      </c>
      <c r="AS859" s="94">
        <f t="shared" si="312"/>
        <v>0</v>
      </c>
      <c r="AT859" s="94">
        <f t="shared" si="313"/>
        <v>1.1303050539717872</v>
      </c>
      <c r="AU859" s="94">
        <f t="shared" si="315"/>
        <v>2.1940609985924935</v>
      </c>
      <c r="AV859" s="94">
        <f t="shared" si="316"/>
        <v>2.1940609985924935</v>
      </c>
    </row>
    <row r="860" spans="1:48" x14ac:dyDescent="0.3">
      <c r="A860" s="85" t="str">
        <f>_xlfn.XLOOKUP(B860,'Country codes &amp; Data sources'!G:G,'Country codes &amp; Data sources'!H:H,,0)</f>
        <v>Zambia</v>
      </c>
      <c r="B860" s="85" t="s">
        <v>192</v>
      </c>
      <c r="C860" s="86">
        <v>14744666</v>
      </c>
      <c r="D860" s="85" t="s">
        <v>203</v>
      </c>
      <c r="E860" s="87">
        <v>0</v>
      </c>
      <c r="F860" s="88">
        <v>15234975.999999991</v>
      </c>
      <c r="G860" s="87">
        <v>0</v>
      </c>
      <c r="I860" s="87">
        <v>0</v>
      </c>
      <c r="K860" s="87">
        <v>0</v>
      </c>
      <c r="M860" s="87">
        <v>0</v>
      </c>
      <c r="O860" s="87">
        <v>0</v>
      </c>
      <c r="P860" s="88">
        <v>17835892.999999981</v>
      </c>
      <c r="Q860" s="87">
        <v>119</v>
      </c>
      <c r="R860" s="87">
        <f t="shared" si="298"/>
        <v>119</v>
      </c>
      <c r="T860" s="87">
        <v>0</v>
      </c>
      <c r="V860" s="87">
        <v>0</v>
      </c>
      <c r="X860" s="87">
        <v>0</v>
      </c>
      <c r="Y860" s="88">
        <v>20017675.000000004</v>
      </c>
      <c r="Z860" s="87">
        <v>0</v>
      </c>
      <c r="AA860" s="87">
        <v>0</v>
      </c>
      <c r="AB860" s="89">
        <f t="shared" si="299"/>
        <v>0</v>
      </c>
      <c r="AC860" s="89">
        <f t="shared" si="300"/>
        <v>119</v>
      </c>
      <c r="AD860" s="89">
        <f t="shared" si="301"/>
        <v>0</v>
      </c>
      <c r="AF860" s="90" t="str">
        <f t="shared" si="302"/>
        <v/>
      </c>
      <c r="AG860" s="90">
        <f t="shared" si="303"/>
        <v>119</v>
      </c>
      <c r="AH860" s="90">
        <f t="shared" si="304"/>
        <v>2018</v>
      </c>
      <c r="AI860" s="90">
        <f t="shared" si="305"/>
        <v>119</v>
      </c>
      <c r="AJ860" s="90">
        <f t="shared" si="306"/>
        <v>2018</v>
      </c>
      <c r="AK860" s="90" t="str">
        <f t="shared" si="307"/>
        <v/>
      </c>
      <c r="AL860" s="91">
        <f>IF(AK860="Adjust",(_xlfn.XLOOKUP(A860,'Adj factor'!A:A,'Adj factor'!I:I,,0)*AI860),'Master DataSheet (Rev)'!AI860)</f>
        <v>119</v>
      </c>
      <c r="AM860" s="91">
        <f t="shared" si="308"/>
        <v>119</v>
      </c>
      <c r="AN860" s="92" t="str">
        <f t="shared" si="309"/>
        <v>No change</v>
      </c>
      <c r="AO860" s="93">
        <f>VLOOKUP(B860,'Growthrates source'!A$2:H$49,8,FALSE)</f>
        <v>9.0528744101809888E-2</v>
      </c>
      <c r="AP860" s="93">
        <f>VLOOKUP(B860,'Growthrates source'!A$2:I$49,9,FALSE)</f>
        <v>5.4673730437993617E-2</v>
      </c>
      <c r="AQ860" s="86">
        <f t="shared" si="310"/>
        <v>0</v>
      </c>
      <c r="AR860" s="86">
        <f t="shared" si="311"/>
        <v>0</v>
      </c>
      <c r="AS860" s="94">
        <f t="shared" si="312"/>
        <v>0</v>
      </c>
      <c r="AT860" s="94">
        <f t="shared" si="313"/>
        <v>6.6719395546945767E-2</v>
      </c>
      <c r="AU860" s="94">
        <f t="shared" si="315"/>
        <v>5.944746330430481E-2</v>
      </c>
      <c r="AV860" s="94">
        <f t="shared" si="316"/>
        <v>5.944746330430481E-2</v>
      </c>
    </row>
    <row r="861" spans="1:48" x14ac:dyDescent="0.3">
      <c r="A861" s="85" t="str">
        <f>_xlfn.XLOOKUP(B861,'Country codes &amp; Data sources'!G:G,'Country codes &amp; Data sources'!H:H,,0)</f>
        <v>Zambia</v>
      </c>
      <c r="B861" s="85" t="s">
        <v>192</v>
      </c>
      <c r="C861" s="86">
        <v>14744667</v>
      </c>
      <c r="D861" s="85" t="s">
        <v>204</v>
      </c>
      <c r="E861" s="87">
        <v>0</v>
      </c>
      <c r="F861" s="88">
        <v>15234975.999999991</v>
      </c>
      <c r="G861" s="87">
        <v>0</v>
      </c>
      <c r="I861" s="87">
        <v>0</v>
      </c>
      <c r="K861" s="87">
        <v>0</v>
      </c>
      <c r="M861" s="87">
        <v>0</v>
      </c>
      <c r="O861" s="87">
        <v>0</v>
      </c>
      <c r="P861" s="88">
        <v>17835892.999999981</v>
      </c>
      <c r="Q861" s="87">
        <v>0</v>
      </c>
      <c r="R861" s="87">
        <f t="shared" ref="R861:R893" si="317">MAX(Q861,AA861)</f>
        <v>0</v>
      </c>
      <c r="T861" s="87">
        <v>0</v>
      </c>
      <c r="V861" s="87">
        <v>0</v>
      </c>
      <c r="X861" s="87">
        <v>0</v>
      </c>
      <c r="Y861" s="88">
        <v>20017675.000000004</v>
      </c>
      <c r="Z861" s="87">
        <v>0</v>
      </c>
      <c r="AA861" s="87">
        <v>0</v>
      </c>
      <c r="AB861" s="89">
        <f t="shared" ref="AB861:AB919" si="318">MAX(G861,E861,I861,K861)</f>
        <v>0</v>
      </c>
      <c r="AC861" s="89">
        <f t="shared" ref="AC861:AC919" si="319">MAX(M861,O861,Q861,T861)</f>
        <v>0</v>
      </c>
      <c r="AD861" s="89">
        <f t="shared" ref="AD861:AD919" si="320">MAX(V861,X861,Z861)</f>
        <v>0</v>
      </c>
      <c r="AF861" s="90" t="str">
        <f t="shared" ref="AF861:AF919" si="321">IF(AE861&gt;0,_xlfn.XLOOKUP(AE861,$B861:$K861,$B$1:$K$1,,0),"")</f>
        <v/>
      </c>
      <c r="AH861" s="90" t="str">
        <f t="shared" ref="AH861:AH919" si="322">IF(AG861&gt;0,_xlfn.XLOOKUP(AG861,$L861:$T861,$L$1:$T$1,,0),"")</f>
        <v/>
      </c>
      <c r="AI861" s="90">
        <f t="shared" ref="AI861:AI919" si="323">IF((IF(Z861&gt;0,Z861,IF(X861&gt;0,X861,IF(V861&gt;0,V861,T861))))=0,AG861,IF(Z861&gt;0,Z861,IF(X861&gt;0,X861,IF(V861&gt;0,V861,T861))))</f>
        <v>0</v>
      </c>
      <c r="AJ861" s="90" t="str">
        <f t="shared" ref="AJ861:AJ919" si="324">IFERROR(IF(AI861&gt;0,_xlfn.XLOOKUP(AI861,$V861:$Z861,$V$1:$Z$1,,0),""),AH861)</f>
        <v/>
      </c>
      <c r="AK861" s="90" t="str">
        <f t="shared" ref="AK861:AK919" si="325">IF(AI861&lt;AG861,"Adjust","")</f>
        <v/>
      </c>
      <c r="AL861" s="91"/>
      <c r="AM861" s="91">
        <f t="shared" ref="AM861:AM919" si="326">IF(AL861&lt;AG861,AG861,AL861)</f>
        <v>0</v>
      </c>
      <c r="AN861" s="92" t="str">
        <f t="shared" ref="AN861:AN919" si="327">IF(AL861&gt;AG861,"Increasing",IF(AL861&lt;AG861,"Decreasing","No change"))</f>
        <v>No change</v>
      </c>
      <c r="AO861" s="93">
        <f>VLOOKUP(B861,'Growthrates source'!A$2:H$49,8,FALSE)</f>
        <v>9.0528744101809888E-2</v>
      </c>
      <c r="AP861" s="93">
        <f>VLOOKUP(B861,'Growthrates source'!A$2:I$49,9,FALSE)</f>
        <v>5.4673730437993617E-2</v>
      </c>
      <c r="AQ861" s="86">
        <f t="shared" ref="AQ861:AQ894" si="328">AA861/(EXP(AO861*5))</f>
        <v>0</v>
      </c>
      <c r="AR861" s="86">
        <f t="shared" ref="AR861:AR894" si="329">AA861*EXP(AP861*3)</f>
        <v>0</v>
      </c>
      <c r="AS861" s="94">
        <f t="shared" ref="AS861:AS919" si="330">(AE861*10000)/F861</f>
        <v>0</v>
      </c>
      <c r="AT861" s="94">
        <f t="shared" ref="AT861:AT919" si="331">(AG861*10000)/P861</f>
        <v>0</v>
      </c>
      <c r="AU861" s="94">
        <f t="shared" si="315"/>
        <v>0</v>
      </c>
      <c r="AV861" s="94">
        <f t="shared" si="316"/>
        <v>0</v>
      </c>
    </row>
    <row r="862" spans="1:48" x14ac:dyDescent="0.3">
      <c r="A862" s="85" t="str">
        <f>_xlfn.XLOOKUP(B862,'Country codes &amp; Data sources'!G:G,'Country codes &amp; Data sources'!H:H,,0)</f>
        <v>Zambia</v>
      </c>
      <c r="B862" s="85" t="s">
        <v>192</v>
      </c>
      <c r="C862" s="86">
        <v>14744668</v>
      </c>
      <c r="D862" s="85" t="s">
        <v>205</v>
      </c>
      <c r="E862" s="87">
        <v>53</v>
      </c>
      <c r="F862" s="88">
        <v>15234975.999999991</v>
      </c>
      <c r="G862" s="87">
        <v>0</v>
      </c>
      <c r="I862" s="87">
        <v>0</v>
      </c>
      <c r="K862" s="87">
        <v>0</v>
      </c>
      <c r="M862" s="87">
        <v>0</v>
      </c>
      <c r="O862" s="87">
        <v>0</v>
      </c>
      <c r="P862" s="88">
        <v>17835892.999999981</v>
      </c>
      <c r="Q862" s="87">
        <v>0</v>
      </c>
      <c r="R862" s="87">
        <f t="shared" si="317"/>
        <v>0</v>
      </c>
      <c r="T862" s="87">
        <v>0</v>
      </c>
      <c r="V862" s="87">
        <v>0</v>
      </c>
      <c r="X862" s="87">
        <v>0</v>
      </c>
      <c r="Y862" s="88">
        <v>20017675.000000004</v>
      </c>
      <c r="Z862" s="87">
        <v>28</v>
      </c>
      <c r="AA862" s="87">
        <v>0</v>
      </c>
      <c r="AB862" s="89">
        <f t="shared" si="318"/>
        <v>53</v>
      </c>
      <c r="AC862" s="89">
        <f t="shared" si="319"/>
        <v>0</v>
      </c>
      <c r="AD862" s="89">
        <f t="shared" si="320"/>
        <v>28</v>
      </c>
      <c r="AE862" s="90">
        <f t="shared" ref="AE862:AE918" si="332">IF(G862&gt;0,G862,IF(E862&gt;0,E862,IF(I862&gt;0,I862,K862)))</f>
        <v>53</v>
      </c>
      <c r="AF862" s="90">
        <f t="shared" si="321"/>
        <v>2012</v>
      </c>
      <c r="AH862" s="90" t="str">
        <f t="shared" si="322"/>
        <v/>
      </c>
      <c r="AI862" s="90">
        <f t="shared" si="323"/>
        <v>28</v>
      </c>
      <c r="AJ862" s="90">
        <f t="shared" si="324"/>
        <v>2022</v>
      </c>
      <c r="AK862" s="90" t="str">
        <f t="shared" si="325"/>
        <v/>
      </c>
      <c r="AL862" s="91">
        <f>IF(AK862="Adjust",(_xlfn.XLOOKUP(A862,'Adj factor'!A:A,'Adj factor'!I:I,,0)*AI862),'Master DataSheet (Rev)'!AI862)</f>
        <v>28</v>
      </c>
      <c r="AM862" s="91">
        <f t="shared" si="326"/>
        <v>28</v>
      </c>
      <c r="AN862" s="92" t="str">
        <f t="shared" si="327"/>
        <v>Increasing</v>
      </c>
      <c r="AO862" s="93">
        <f>VLOOKUP(B862,'Growthrates source'!A$2:H$49,8,FALSE)</f>
        <v>9.0528744101809888E-2</v>
      </c>
      <c r="AP862" s="93">
        <f>VLOOKUP(B862,'Growthrates source'!A$2:I$49,9,FALSE)</f>
        <v>5.4673730437993617E-2</v>
      </c>
      <c r="AQ862" s="86">
        <f t="shared" si="328"/>
        <v>0</v>
      </c>
      <c r="AR862" s="86">
        <f t="shared" si="329"/>
        <v>0</v>
      </c>
      <c r="AS862" s="94">
        <f t="shared" si="330"/>
        <v>3.4788371179580481E-2</v>
      </c>
      <c r="AT862" s="94">
        <f t="shared" si="331"/>
        <v>0</v>
      </c>
      <c r="AU862" s="94">
        <f t="shared" si="315"/>
        <v>1.3987638424542308E-2</v>
      </c>
      <c r="AV862" s="94">
        <f t="shared" si="316"/>
        <v>1.3987638424542308E-2</v>
      </c>
    </row>
    <row r="863" spans="1:48" ht="14.5" x14ac:dyDescent="0.35">
      <c r="A863" s="85" t="str">
        <f>_xlfn.XLOOKUP(B863,'Country codes &amp; Data sources'!G:G,'Country codes &amp; Data sources'!H:H,,0)</f>
        <v>Zambia</v>
      </c>
      <c r="B863" s="85" t="s">
        <v>192</v>
      </c>
      <c r="C863" s="86">
        <v>14744669</v>
      </c>
      <c r="D863" s="85" t="s">
        <v>133</v>
      </c>
      <c r="E863" s="87">
        <v>184</v>
      </c>
      <c r="F863" s="88">
        <v>15234975.999999991</v>
      </c>
      <c r="G863" s="87">
        <v>0</v>
      </c>
      <c r="I863" s="87">
        <v>0</v>
      </c>
      <c r="K863" s="87">
        <v>0</v>
      </c>
      <c r="M863" s="87">
        <v>921</v>
      </c>
      <c r="O863" s="87">
        <v>0</v>
      </c>
      <c r="P863" s="88">
        <v>17835892.999999981</v>
      </c>
      <c r="Q863" s="87">
        <v>18</v>
      </c>
      <c r="R863" s="87">
        <f t="shared" si="317"/>
        <v>18</v>
      </c>
      <c r="T863" s="87">
        <v>18</v>
      </c>
      <c r="V863" s="87">
        <v>19</v>
      </c>
      <c r="X863" s="87">
        <v>19</v>
      </c>
      <c r="Y863" s="88">
        <v>20017675.000000004</v>
      </c>
      <c r="Z863" s="111">
        <v>641</v>
      </c>
      <c r="AA863" s="87">
        <v>0</v>
      </c>
      <c r="AB863" s="89">
        <f t="shared" si="318"/>
        <v>184</v>
      </c>
      <c r="AC863" s="89">
        <f t="shared" si="319"/>
        <v>921</v>
      </c>
      <c r="AD863" s="89">
        <f t="shared" si="320"/>
        <v>641</v>
      </c>
      <c r="AE863" s="90">
        <f t="shared" si="332"/>
        <v>184</v>
      </c>
      <c r="AF863" s="90">
        <f t="shared" si="321"/>
        <v>2012</v>
      </c>
      <c r="AG863" s="90">
        <f t="shared" ref="AG863:AG918" si="333">IF(R863&gt;0,R863,IF(O863&gt;0,O863,T863))</f>
        <v>18</v>
      </c>
      <c r="AH863" s="90">
        <f t="shared" si="322"/>
        <v>2018</v>
      </c>
      <c r="AI863" s="90">
        <f t="shared" si="323"/>
        <v>641</v>
      </c>
      <c r="AJ863" s="90">
        <f t="shared" si="324"/>
        <v>2022</v>
      </c>
      <c r="AK863" s="90" t="str">
        <f t="shared" si="325"/>
        <v/>
      </c>
      <c r="AL863" s="91">
        <f>IF(AK863="Adjust",(_xlfn.XLOOKUP(A863,'Adj factor'!A:A,'Adj factor'!I:I,,0)*AI863),'Master DataSheet (Rev)'!AI863)</f>
        <v>641</v>
      </c>
      <c r="AM863" s="60">
        <v>641</v>
      </c>
      <c r="AN863" s="92" t="str">
        <f t="shared" si="327"/>
        <v>Increasing</v>
      </c>
      <c r="AO863" s="93">
        <f>VLOOKUP(B863,'Growthrates source'!A$2:H$49,8,FALSE)</f>
        <v>9.0528744101809888E-2</v>
      </c>
      <c r="AP863" s="93">
        <f>VLOOKUP(B863,'Growthrates source'!A$2:I$49,9,FALSE)</f>
        <v>5.4673730437993617E-2</v>
      </c>
      <c r="AQ863" s="86">
        <f t="shared" si="328"/>
        <v>0</v>
      </c>
      <c r="AR863" s="86">
        <f t="shared" si="329"/>
        <v>0</v>
      </c>
      <c r="AS863" s="94">
        <f t="shared" si="330"/>
        <v>0.12077472258571337</v>
      </c>
      <c r="AT863" s="94">
        <f t="shared" si="331"/>
        <v>1.0092009410462385E-2</v>
      </c>
      <c r="AU863" s="94">
        <f t="shared" si="315"/>
        <v>0.32021700821898641</v>
      </c>
      <c r="AV863" s="94">
        <f t="shared" si="316"/>
        <v>0.32021700821898641</v>
      </c>
    </row>
    <row r="864" spans="1:48" x14ac:dyDescent="0.3">
      <c r="A864" s="85" t="str">
        <f>_xlfn.XLOOKUP(B864,'Country codes &amp; Data sources'!G:G,'Country codes &amp; Data sources'!H:H,,0)</f>
        <v>Zambia</v>
      </c>
      <c r="B864" s="85" t="s">
        <v>192</v>
      </c>
      <c r="C864" s="86">
        <v>14744670</v>
      </c>
      <c r="D864" s="85" t="s">
        <v>206</v>
      </c>
      <c r="E864" s="87">
        <v>0</v>
      </c>
      <c r="F864" s="88">
        <v>15234975.999999991</v>
      </c>
      <c r="G864" s="87">
        <v>0</v>
      </c>
      <c r="I864" s="87">
        <v>0</v>
      </c>
      <c r="K864" s="87">
        <v>0</v>
      </c>
      <c r="M864" s="87">
        <v>0</v>
      </c>
      <c r="O864" s="87">
        <v>0</v>
      </c>
      <c r="P864" s="88">
        <v>17835892.999999981</v>
      </c>
      <c r="Q864" s="87">
        <v>0</v>
      </c>
      <c r="R864" s="87">
        <f t="shared" si="317"/>
        <v>2617</v>
      </c>
      <c r="T864" s="87">
        <v>0</v>
      </c>
      <c r="V864" s="87">
        <v>0</v>
      </c>
      <c r="X864" s="87">
        <v>0</v>
      </c>
      <c r="Y864" s="88">
        <v>20017675.000000004</v>
      </c>
      <c r="Z864" s="87">
        <v>7144</v>
      </c>
      <c r="AA864" s="87">
        <v>2617</v>
      </c>
      <c r="AB864" s="89">
        <f t="shared" si="318"/>
        <v>0</v>
      </c>
      <c r="AC864" s="89">
        <f t="shared" si="319"/>
        <v>0</v>
      </c>
      <c r="AD864" s="89">
        <f t="shared" si="320"/>
        <v>7144</v>
      </c>
      <c r="AF864" s="90" t="str">
        <f t="shared" si="321"/>
        <v/>
      </c>
      <c r="AG864" s="90">
        <f t="shared" si="333"/>
        <v>2617</v>
      </c>
      <c r="AH864" s="90" t="str">
        <f t="shared" si="322"/>
        <v>2018 (triag)</v>
      </c>
      <c r="AI864" s="90">
        <f t="shared" si="323"/>
        <v>7144</v>
      </c>
      <c r="AJ864" s="90">
        <f t="shared" si="324"/>
        <v>2022</v>
      </c>
      <c r="AK864" s="90" t="str">
        <f t="shared" si="325"/>
        <v/>
      </c>
      <c r="AL864" s="91">
        <f>IF(AK864="Adjust",(_xlfn.XLOOKUP(A864,'Adj factor'!A:A,'Adj factor'!I:I,,0)*AI864),'Master DataSheet (Rev)'!AI864)</f>
        <v>7144</v>
      </c>
      <c r="AM864" s="91">
        <f t="shared" si="326"/>
        <v>7144</v>
      </c>
      <c r="AN864" s="92" t="str">
        <f t="shared" si="327"/>
        <v>Increasing</v>
      </c>
      <c r="AO864" s="93">
        <f>VLOOKUP(B864,'Growthrates source'!A$2:H$49,8,FALSE)</f>
        <v>9.0528744101809888E-2</v>
      </c>
      <c r="AP864" s="93">
        <f>VLOOKUP(B864,'Growthrates source'!A$2:I$49,9,FALSE)</f>
        <v>5.4673730437993617E-2</v>
      </c>
      <c r="AQ864" s="86">
        <f t="shared" si="328"/>
        <v>1664.2671943547386</v>
      </c>
      <c r="AR864" s="86">
        <f t="shared" si="329"/>
        <v>3083.4522043091197</v>
      </c>
      <c r="AS864" s="94">
        <f t="shared" si="330"/>
        <v>0</v>
      </c>
      <c r="AT864" s="94">
        <f t="shared" si="331"/>
        <v>1.4672660348433368</v>
      </c>
      <c r="AU864" s="94">
        <f t="shared" si="315"/>
        <v>3.5688460323189375</v>
      </c>
      <c r="AV864" s="94">
        <f t="shared" si="316"/>
        <v>3.5688460323189375</v>
      </c>
    </row>
    <row r="865" spans="1:48" x14ac:dyDescent="0.3">
      <c r="A865" s="85" t="str">
        <f>_xlfn.XLOOKUP(B865,'Country codes &amp; Data sources'!G:G,'Country codes &amp; Data sources'!H:H,,0)</f>
        <v>Zambia</v>
      </c>
      <c r="B865" s="85" t="s">
        <v>192</v>
      </c>
      <c r="C865" s="86">
        <v>14744671</v>
      </c>
      <c r="D865" s="85" t="s">
        <v>136</v>
      </c>
      <c r="E865" s="87">
        <v>500</v>
      </c>
      <c r="F865" s="88">
        <v>15234975.999999991</v>
      </c>
      <c r="G865" s="87">
        <v>0</v>
      </c>
      <c r="I865" s="87">
        <v>0</v>
      </c>
      <c r="K865" s="87">
        <v>0</v>
      </c>
      <c r="M865" s="87">
        <v>419</v>
      </c>
      <c r="O865" s="87">
        <v>0</v>
      </c>
      <c r="P865" s="88">
        <v>17835892.999999981</v>
      </c>
      <c r="Q865" s="87">
        <v>761</v>
      </c>
      <c r="R865" s="87">
        <f t="shared" si="317"/>
        <v>761</v>
      </c>
      <c r="T865" s="87">
        <v>929</v>
      </c>
      <c r="V865" s="87">
        <v>1075</v>
      </c>
      <c r="X865" s="87">
        <v>1375</v>
      </c>
      <c r="Y865" s="88">
        <v>20017675.000000004</v>
      </c>
      <c r="Z865" s="87">
        <v>2633</v>
      </c>
      <c r="AA865" s="87">
        <v>602</v>
      </c>
      <c r="AB865" s="89">
        <f t="shared" si="318"/>
        <v>500</v>
      </c>
      <c r="AC865" s="89">
        <f t="shared" si="319"/>
        <v>929</v>
      </c>
      <c r="AD865" s="89">
        <f t="shared" si="320"/>
        <v>2633</v>
      </c>
      <c r="AE865" s="90">
        <f t="shared" si="332"/>
        <v>500</v>
      </c>
      <c r="AF865" s="90">
        <f t="shared" si="321"/>
        <v>2012</v>
      </c>
      <c r="AG865" s="90">
        <f t="shared" si="333"/>
        <v>761</v>
      </c>
      <c r="AH865" s="90">
        <f t="shared" si="322"/>
        <v>2018</v>
      </c>
      <c r="AI865" s="90">
        <f t="shared" si="323"/>
        <v>2633</v>
      </c>
      <c r="AJ865" s="90">
        <f t="shared" si="324"/>
        <v>2022</v>
      </c>
      <c r="AK865" s="90" t="str">
        <f t="shared" si="325"/>
        <v/>
      </c>
      <c r="AL865" s="91">
        <f>IF(AK865="Adjust",(_xlfn.XLOOKUP(A865,'Adj factor'!A:A,'Adj factor'!I:I,,0)*AI865),'Master DataSheet (Rev)'!AI865)</f>
        <v>2633</v>
      </c>
      <c r="AM865" s="91">
        <f t="shared" si="326"/>
        <v>2633</v>
      </c>
      <c r="AN865" s="92" t="str">
        <f t="shared" si="327"/>
        <v>Increasing</v>
      </c>
      <c r="AO865" s="93">
        <f>VLOOKUP(B865,'Growthrates source'!A$2:H$49,8,FALSE)</f>
        <v>9.0528744101809888E-2</v>
      </c>
      <c r="AP865" s="93">
        <f>VLOOKUP(B865,'Growthrates source'!A$2:I$49,9,FALSE)</f>
        <v>5.4673730437993617E-2</v>
      </c>
      <c r="AQ865" s="86">
        <f t="shared" si="328"/>
        <v>382.83868972164794</v>
      </c>
      <c r="AR865" s="86">
        <f t="shared" si="329"/>
        <v>709.30004852659158</v>
      </c>
      <c r="AS865" s="94">
        <f t="shared" si="330"/>
        <v>0.32819218093943853</v>
      </c>
      <c r="AT865" s="94">
        <f t="shared" si="331"/>
        <v>0.42666773118677087</v>
      </c>
      <c r="AU865" s="94">
        <f t="shared" si="315"/>
        <v>1.3153375704221393</v>
      </c>
      <c r="AV865" s="94">
        <f t="shared" si="316"/>
        <v>1.3153375704221393</v>
      </c>
    </row>
    <row r="866" spans="1:48" x14ac:dyDescent="0.3">
      <c r="A866" s="85" t="str">
        <f>_xlfn.XLOOKUP(B866,'Country codes &amp; Data sources'!G:G,'Country codes &amp; Data sources'!H:H,,0)</f>
        <v>Zambia</v>
      </c>
      <c r="B866" s="85" t="s">
        <v>192</v>
      </c>
      <c r="C866" s="86">
        <v>14744672</v>
      </c>
      <c r="D866" s="85" t="s">
        <v>207</v>
      </c>
      <c r="E866" s="87">
        <v>0</v>
      </c>
      <c r="F866" s="88">
        <v>15234975.999999991</v>
      </c>
      <c r="G866" s="87">
        <v>0</v>
      </c>
      <c r="I866" s="87">
        <v>0</v>
      </c>
      <c r="K866" s="87">
        <v>0</v>
      </c>
      <c r="M866" s="87">
        <v>0</v>
      </c>
      <c r="O866" s="87">
        <v>0</v>
      </c>
      <c r="P866" s="88">
        <v>17835892.999999981</v>
      </c>
      <c r="Q866" s="87">
        <v>67</v>
      </c>
      <c r="R866" s="87">
        <f t="shared" si="317"/>
        <v>1232</v>
      </c>
      <c r="T866" s="87">
        <v>0</v>
      </c>
      <c r="V866" s="87">
        <v>0</v>
      </c>
      <c r="X866" s="87">
        <v>0</v>
      </c>
      <c r="Y866" s="88">
        <v>20017675.000000004</v>
      </c>
      <c r="Z866" s="87">
        <v>0</v>
      </c>
      <c r="AA866" s="87">
        <v>1232</v>
      </c>
      <c r="AB866" s="89">
        <f t="shared" si="318"/>
        <v>0</v>
      </c>
      <c r="AC866" s="89">
        <f t="shared" si="319"/>
        <v>67</v>
      </c>
      <c r="AD866" s="89">
        <f t="shared" si="320"/>
        <v>0</v>
      </c>
      <c r="AF866" s="90" t="str">
        <f t="shared" si="321"/>
        <v/>
      </c>
      <c r="AG866" s="90">
        <f t="shared" si="333"/>
        <v>1232</v>
      </c>
      <c r="AH866" s="90" t="str">
        <f t="shared" si="322"/>
        <v>2018 (triag)</v>
      </c>
      <c r="AI866" s="90">
        <f t="shared" si="323"/>
        <v>1232</v>
      </c>
      <c r="AJ866" s="90" t="str">
        <f t="shared" si="324"/>
        <v>2018 (triag)</v>
      </c>
      <c r="AK866" s="90" t="str">
        <f t="shared" si="325"/>
        <v/>
      </c>
      <c r="AL866" s="91">
        <f>IF(AK866="Adjust",(_xlfn.XLOOKUP(A866,'Adj factor'!A:A,'Adj factor'!I:I,,0)*AI866),'Master DataSheet (Rev)'!AI866)</f>
        <v>1232</v>
      </c>
      <c r="AM866" s="91">
        <f t="shared" si="326"/>
        <v>1232</v>
      </c>
      <c r="AN866" s="92" t="str">
        <f t="shared" si="327"/>
        <v>No change</v>
      </c>
      <c r="AO866" s="93">
        <f>VLOOKUP(B866,'Growthrates source'!A$2:H$49,8,FALSE)</f>
        <v>9.0528744101809888E-2</v>
      </c>
      <c r="AP866" s="93">
        <f>VLOOKUP(B866,'Growthrates source'!A$2:I$49,9,FALSE)</f>
        <v>5.4673730437993617E-2</v>
      </c>
      <c r="AQ866" s="86">
        <f t="shared" si="328"/>
        <v>783.48383012802367</v>
      </c>
      <c r="AR866" s="86">
        <f t="shared" si="329"/>
        <v>1451.5907969846526</v>
      </c>
      <c r="AS866" s="94">
        <f t="shared" si="330"/>
        <v>0</v>
      </c>
      <c r="AT866" s="94">
        <f t="shared" si="331"/>
        <v>0.69074197742720322</v>
      </c>
      <c r="AU866" s="94">
        <f t="shared" si="315"/>
        <v>0.61545609067986151</v>
      </c>
      <c r="AV866" s="94">
        <f t="shared" si="316"/>
        <v>0.61545609067986151</v>
      </c>
    </row>
    <row r="867" spans="1:48" ht="14.5" x14ac:dyDescent="0.35">
      <c r="A867" s="85" t="str">
        <f>_xlfn.XLOOKUP(B867,'Country codes &amp; Data sources'!G:G,'Country codes &amp; Data sources'!H:H,,0)</f>
        <v>Zambia</v>
      </c>
      <c r="B867" s="85" t="s">
        <v>192</v>
      </c>
      <c r="C867" s="86">
        <v>14744673</v>
      </c>
      <c r="D867" s="85" t="s">
        <v>141</v>
      </c>
      <c r="E867" s="87">
        <v>18</v>
      </c>
      <c r="F867" s="88">
        <v>15234975.999999991</v>
      </c>
      <c r="G867" s="87">
        <v>0</v>
      </c>
      <c r="I867" s="87">
        <v>0</v>
      </c>
      <c r="K867" s="87">
        <v>0</v>
      </c>
      <c r="M867" s="87">
        <v>0</v>
      </c>
      <c r="O867" s="87">
        <v>0</v>
      </c>
      <c r="P867" s="88">
        <v>17835892.999999981</v>
      </c>
      <c r="Q867" s="87">
        <v>16</v>
      </c>
      <c r="R867" s="87">
        <f t="shared" si="317"/>
        <v>61</v>
      </c>
      <c r="T867" s="87">
        <v>0</v>
      </c>
      <c r="V867" s="87">
        <v>0</v>
      </c>
      <c r="X867" s="87">
        <v>0</v>
      </c>
      <c r="Y867" s="88">
        <v>20017675.000000004</v>
      </c>
      <c r="Z867" s="111">
        <v>244</v>
      </c>
      <c r="AA867" s="87">
        <v>61</v>
      </c>
      <c r="AB867" s="89">
        <f t="shared" si="318"/>
        <v>18</v>
      </c>
      <c r="AC867" s="89">
        <f t="shared" si="319"/>
        <v>16</v>
      </c>
      <c r="AD867" s="89">
        <f t="shared" si="320"/>
        <v>244</v>
      </c>
      <c r="AE867" s="90">
        <f t="shared" si="332"/>
        <v>18</v>
      </c>
      <c r="AF867" s="90">
        <f t="shared" si="321"/>
        <v>2012</v>
      </c>
      <c r="AG867" s="90">
        <f t="shared" si="333"/>
        <v>61</v>
      </c>
      <c r="AH867" s="90" t="str">
        <f t="shared" si="322"/>
        <v>2018 (triag)</v>
      </c>
      <c r="AI867" s="90">
        <f t="shared" si="323"/>
        <v>244</v>
      </c>
      <c r="AJ867" s="90">
        <f t="shared" si="324"/>
        <v>2022</v>
      </c>
      <c r="AK867" s="90" t="str">
        <f t="shared" si="325"/>
        <v/>
      </c>
      <c r="AL867" s="91">
        <f>IF(AK867="Adjust",(_xlfn.XLOOKUP(A867,'Adj factor'!A:A,'Adj factor'!I:I,,0)*AI867),'Master DataSheet (Rev)'!AI867)</f>
        <v>244</v>
      </c>
      <c r="AM867" s="60">
        <v>244</v>
      </c>
      <c r="AN867" s="92" t="str">
        <f t="shared" si="327"/>
        <v>Increasing</v>
      </c>
      <c r="AO867" s="93">
        <f>VLOOKUP(B867,'Growthrates source'!A$2:H$49,8,FALSE)</f>
        <v>9.0528744101809888E-2</v>
      </c>
      <c r="AP867" s="93">
        <f>VLOOKUP(B867,'Growthrates source'!A$2:I$49,9,FALSE)</f>
        <v>5.4673730437993617E-2</v>
      </c>
      <c r="AQ867" s="86">
        <f t="shared" si="328"/>
        <v>38.792624706014159</v>
      </c>
      <c r="AR867" s="86">
        <f t="shared" si="329"/>
        <v>71.872596279272571</v>
      </c>
      <c r="AS867" s="94">
        <f t="shared" si="330"/>
        <v>1.1814918513819786E-2</v>
      </c>
      <c r="AT867" s="94">
        <f t="shared" si="331"/>
        <v>3.4200698557678086E-2</v>
      </c>
      <c r="AU867" s="94">
        <f t="shared" si="315"/>
        <v>0.12189227769958297</v>
      </c>
      <c r="AV867" s="94">
        <f t="shared" si="316"/>
        <v>0.12189227769958297</v>
      </c>
    </row>
    <row r="868" spans="1:48" x14ac:dyDescent="0.3">
      <c r="A868" s="85" t="str">
        <f>_xlfn.XLOOKUP(B868,'Country codes &amp; Data sources'!G:G,'Country codes &amp; Data sources'!H:H,,0)</f>
        <v>Zambia</v>
      </c>
      <c r="B868" s="85" t="s">
        <v>192</v>
      </c>
      <c r="C868" s="86">
        <v>14744674</v>
      </c>
      <c r="D868" s="85" t="s">
        <v>208</v>
      </c>
      <c r="E868" s="87">
        <v>0</v>
      </c>
      <c r="F868" s="88">
        <v>15234975.999999991</v>
      </c>
      <c r="G868" s="87">
        <v>0</v>
      </c>
      <c r="I868" s="87">
        <v>0</v>
      </c>
      <c r="K868" s="87">
        <v>0</v>
      </c>
      <c r="M868" s="87">
        <v>0</v>
      </c>
      <c r="O868" s="87">
        <v>0</v>
      </c>
      <c r="P868" s="88">
        <v>17835892.999999981</v>
      </c>
      <c r="Q868" s="87">
        <v>0</v>
      </c>
      <c r="R868" s="87">
        <f t="shared" si="317"/>
        <v>17801</v>
      </c>
      <c r="T868" s="87">
        <v>0</v>
      </c>
      <c r="V868" s="87">
        <v>0</v>
      </c>
      <c r="X868" s="87">
        <v>0</v>
      </c>
      <c r="Y868" s="88">
        <v>20017675.000000004</v>
      </c>
      <c r="Z868" s="87">
        <v>0</v>
      </c>
      <c r="AA868" s="87">
        <v>17801</v>
      </c>
      <c r="AB868" s="89">
        <f t="shared" si="318"/>
        <v>0</v>
      </c>
      <c r="AC868" s="89">
        <f t="shared" si="319"/>
        <v>0</v>
      </c>
      <c r="AD868" s="89">
        <f t="shared" si="320"/>
        <v>0</v>
      </c>
      <c r="AF868" s="90" t="str">
        <f t="shared" si="321"/>
        <v/>
      </c>
      <c r="AG868" s="90">
        <f t="shared" si="333"/>
        <v>17801</v>
      </c>
      <c r="AH868" s="90" t="str">
        <f t="shared" si="322"/>
        <v>2018 (triag)</v>
      </c>
      <c r="AI868" s="90">
        <f t="shared" si="323"/>
        <v>17801</v>
      </c>
      <c r="AJ868" s="90" t="str">
        <f t="shared" si="324"/>
        <v>2018 (triag)</v>
      </c>
      <c r="AK868" s="90" t="str">
        <f t="shared" si="325"/>
        <v/>
      </c>
      <c r="AL868" s="91">
        <f>IF(AK868="Adjust",(_xlfn.XLOOKUP(A868,'Adj factor'!A:A,'Adj factor'!I:I,,0)*AI868),'Master DataSheet (Rev)'!AI868)</f>
        <v>17801</v>
      </c>
      <c r="AM868" s="91">
        <f t="shared" si="326"/>
        <v>17801</v>
      </c>
      <c r="AN868" s="92" t="str">
        <f t="shared" si="327"/>
        <v>No change</v>
      </c>
      <c r="AO868" s="93">
        <f>VLOOKUP(B868,'Growthrates source'!A$2:H$49,8,FALSE)</f>
        <v>9.0528744101809888E-2</v>
      </c>
      <c r="AP868" s="93">
        <f>VLOOKUP(B868,'Growthrates source'!A$2:I$49,9,FALSE)</f>
        <v>5.4673730437993617E-2</v>
      </c>
      <c r="AQ868" s="86">
        <f t="shared" si="328"/>
        <v>11320.451022815707</v>
      </c>
      <c r="AR868" s="86">
        <f t="shared" si="329"/>
        <v>20973.837481431656</v>
      </c>
      <c r="AS868" s="94">
        <f t="shared" si="330"/>
        <v>0</v>
      </c>
      <c r="AT868" s="94">
        <f t="shared" si="331"/>
        <v>9.9804366397578299</v>
      </c>
      <c r="AU868" s="94">
        <f t="shared" si="315"/>
        <v>8.8926411284027722</v>
      </c>
      <c r="AV868" s="94">
        <f t="shared" si="316"/>
        <v>8.8926411284027722</v>
      </c>
    </row>
    <row r="869" spans="1:48" x14ac:dyDescent="0.3">
      <c r="A869" s="85" t="str">
        <f>_xlfn.XLOOKUP(B869,'Country codes &amp; Data sources'!G:G,'Country codes &amp; Data sources'!H:H,,0)</f>
        <v>Zambia</v>
      </c>
      <c r="B869" s="85" t="s">
        <v>192</v>
      </c>
      <c r="C869" s="86">
        <v>14744675</v>
      </c>
      <c r="D869" s="85" t="s">
        <v>209</v>
      </c>
      <c r="E869" s="87">
        <v>0</v>
      </c>
      <c r="F869" s="88">
        <v>15234975.999999991</v>
      </c>
      <c r="G869" s="87">
        <v>0</v>
      </c>
      <c r="I869" s="87">
        <v>0</v>
      </c>
      <c r="K869" s="87">
        <v>0</v>
      </c>
      <c r="M869" s="87">
        <v>0</v>
      </c>
      <c r="O869" s="87">
        <v>0</v>
      </c>
      <c r="P869" s="88">
        <v>17835892.999999981</v>
      </c>
      <c r="Q869" s="87">
        <v>0</v>
      </c>
      <c r="R869" s="87">
        <f t="shared" si="317"/>
        <v>0</v>
      </c>
      <c r="T869" s="87">
        <v>0</v>
      </c>
      <c r="V869" s="87">
        <v>0</v>
      </c>
      <c r="X869" s="87">
        <v>0</v>
      </c>
      <c r="Y869" s="88">
        <v>20017675.000000004</v>
      </c>
      <c r="Z869" s="87">
        <v>0</v>
      </c>
      <c r="AA869" s="87">
        <v>0</v>
      </c>
      <c r="AB869" s="89">
        <f t="shared" si="318"/>
        <v>0</v>
      </c>
      <c r="AC869" s="89">
        <f t="shared" si="319"/>
        <v>0</v>
      </c>
      <c r="AD869" s="89">
        <f t="shared" si="320"/>
        <v>0</v>
      </c>
      <c r="AF869" s="90" t="str">
        <f t="shared" si="321"/>
        <v/>
      </c>
      <c r="AH869" s="90" t="str">
        <f t="shared" si="322"/>
        <v/>
      </c>
      <c r="AI869" s="90">
        <f t="shared" si="323"/>
        <v>0</v>
      </c>
      <c r="AJ869" s="90" t="str">
        <f t="shared" si="324"/>
        <v/>
      </c>
      <c r="AK869" s="90" t="str">
        <f t="shared" si="325"/>
        <v/>
      </c>
      <c r="AL869" s="91"/>
      <c r="AM869" s="91">
        <f t="shared" si="326"/>
        <v>0</v>
      </c>
      <c r="AN869" s="92" t="str">
        <f t="shared" si="327"/>
        <v>No change</v>
      </c>
      <c r="AO869" s="93">
        <f>VLOOKUP(B869,'Growthrates source'!A$2:H$49,8,FALSE)</f>
        <v>9.0528744101809888E-2</v>
      </c>
      <c r="AP869" s="93">
        <f>VLOOKUP(B869,'Growthrates source'!A$2:I$49,9,FALSE)</f>
        <v>5.4673730437993617E-2</v>
      </c>
      <c r="AQ869" s="86">
        <f t="shared" si="328"/>
        <v>0</v>
      </c>
      <c r="AR869" s="86">
        <f t="shared" si="329"/>
        <v>0</v>
      </c>
      <c r="AS869" s="94">
        <f t="shared" si="330"/>
        <v>0</v>
      </c>
      <c r="AT869" s="94">
        <f t="shared" si="331"/>
        <v>0</v>
      </c>
      <c r="AU869" s="94">
        <f t="shared" si="315"/>
        <v>0</v>
      </c>
      <c r="AV869" s="94">
        <f t="shared" si="316"/>
        <v>0</v>
      </c>
    </row>
    <row r="870" spans="1:48" ht="14.5" x14ac:dyDescent="0.35">
      <c r="A870" s="85" t="str">
        <f>_xlfn.XLOOKUP(B870,'Country codes &amp; Data sources'!G:G,'Country codes &amp; Data sources'!H:H,,0)</f>
        <v>Zambia</v>
      </c>
      <c r="B870" s="85" t="s">
        <v>192</v>
      </c>
      <c r="C870" s="86">
        <v>14744676</v>
      </c>
      <c r="D870" s="85" t="s">
        <v>134</v>
      </c>
      <c r="E870" s="87">
        <v>1126</v>
      </c>
      <c r="F870" s="88">
        <v>15234975.999999991</v>
      </c>
      <c r="G870" s="87">
        <v>0</v>
      </c>
      <c r="I870" s="87">
        <v>0</v>
      </c>
      <c r="K870" s="87">
        <v>0</v>
      </c>
      <c r="M870" s="87">
        <v>0</v>
      </c>
      <c r="O870" s="87">
        <v>0</v>
      </c>
      <c r="P870" s="88">
        <v>17835892.999999981</v>
      </c>
      <c r="Q870" s="87">
        <v>1712</v>
      </c>
      <c r="R870" s="87">
        <f t="shared" si="317"/>
        <v>1712</v>
      </c>
      <c r="T870" s="87">
        <v>2045</v>
      </c>
      <c r="V870" s="87">
        <v>2506</v>
      </c>
      <c r="X870" s="87">
        <v>3182</v>
      </c>
      <c r="Y870" s="88">
        <v>20017675.000000004</v>
      </c>
      <c r="Z870" s="111">
        <v>2235</v>
      </c>
      <c r="AA870" s="87">
        <v>1602</v>
      </c>
      <c r="AB870" s="89">
        <f t="shared" si="318"/>
        <v>1126</v>
      </c>
      <c r="AC870" s="89">
        <f t="shared" si="319"/>
        <v>2045</v>
      </c>
      <c r="AD870" s="89">
        <f t="shared" si="320"/>
        <v>3182</v>
      </c>
      <c r="AE870" s="90">
        <f t="shared" si="332"/>
        <v>1126</v>
      </c>
      <c r="AF870" s="90">
        <f t="shared" si="321"/>
        <v>2012</v>
      </c>
      <c r="AG870" s="90">
        <f t="shared" si="333"/>
        <v>1712</v>
      </c>
      <c r="AH870" s="90">
        <f t="shared" si="322"/>
        <v>2018</v>
      </c>
      <c r="AI870" s="90">
        <f t="shared" si="323"/>
        <v>2235</v>
      </c>
      <c r="AJ870" s="90">
        <f t="shared" si="324"/>
        <v>2022</v>
      </c>
      <c r="AK870" s="90" t="str">
        <f t="shared" si="325"/>
        <v/>
      </c>
      <c r="AL870" s="91">
        <f>IF(AK870="Adjust",(_xlfn.XLOOKUP(A870,'Adj factor'!A:A,'Adj factor'!I:I,,0)*AI870),'Master DataSheet (Rev)'!AI870)</f>
        <v>2235</v>
      </c>
      <c r="AM870" s="60">
        <v>2235</v>
      </c>
      <c r="AN870" s="92" t="str">
        <f t="shared" si="327"/>
        <v>Increasing</v>
      </c>
      <c r="AO870" s="93">
        <f>VLOOKUP(B870,'Growthrates source'!A$2:H$49,8,FALSE)</f>
        <v>9.0528744101809888E-2</v>
      </c>
      <c r="AP870" s="93">
        <f>VLOOKUP(B870,'Growthrates source'!A$2:I$49,9,FALSE)</f>
        <v>5.4673730437993617E-2</v>
      </c>
      <c r="AQ870" s="86">
        <f t="shared" si="328"/>
        <v>1018.7833570333555</v>
      </c>
      <c r="AR870" s="86">
        <f t="shared" si="329"/>
        <v>1887.5393317933549</v>
      </c>
      <c r="AS870" s="94">
        <f t="shared" si="330"/>
        <v>0.73908879147561546</v>
      </c>
      <c r="AT870" s="94">
        <f t="shared" si="331"/>
        <v>0.95986222837286683</v>
      </c>
      <c r="AU870" s="94">
        <f t="shared" si="315"/>
        <v>1.1165132813875736</v>
      </c>
      <c r="AV870" s="94">
        <f t="shared" si="316"/>
        <v>1.1165132813875736</v>
      </c>
    </row>
    <row r="871" spans="1:48" x14ac:dyDescent="0.3">
      <c r="A871" s="85" t="str">
        <f>_xlfn.XLOOKUP(B871,'Country codes &amp; Data sources'!G:G,'Country codes &amp; Data sources'!H:H,,0)</f>
        <v>Zambia</v>
      </c>
      <c r="B871" s="85" t="s">
        <v>192</v>
      </c>
      <c r="C871" s="86">
        <v>14744677</v>
      </c>
      <c r="D871" s="85" t="s">
        <v>142</v>
      </c>
      <c r="E871" s="87">
        <v>3141</v>
      </c>
      <c r="F871" s="88">
        <v>15234975.999999991</v>
      </c>
      <c r="G871" s="87">
        <v>0</v>
      </c>
      <c r="I871" s="87">
        <v>0</v>
      </c>
      <c r="K871" s="87">
        <v>0</v>
      </c>
      <c r="M871" s="87">
        <v>1814</v>
      </c>
      <c r="O871" s="87">
        <v>0</v>
      </c>
      <c r="P871" s="88">
        <v>17835892.999999981</v>
      </c>
      <c r="Q871" s="87">
        <v>3616</v>
      </c>
      <c r="R871" s="87">
        <f t="shared" si="317"/>
        <v>3616</v>
      </c>
      <c r="T871" s="87">
        <v>4562</v>
      </c>
      <c r="V871" s="87">
        <v>5544</v>
      </c>
      <c r="X871" s="87">
        <v>8281</v>
      </c>
      <c r="Y871" s="88">
        <v>20017675.000000004</v>
      </c>
      <c r="Z871" s="87">
        <v>970</v>
      </c>
      <c r="AA871" s="87">
        <v>0</v>
      </c>
      <c r="AB871" s="89">
        <f t="shared" si="318"/>
        <v>3141</v>
      </c>
      <c r="AC871" s="89">
        <f t="shared" si="319"/>
        <v>4562</v>
      </c>
      <c r="AD871" s="89">
        <f t="shared" si="320"/>
        <v>8281</v>
      </c>
      <c r="AE871" s="90">
        <f t="shared" si="332"/>
        <v>3141</v>
      </c>
      <c r="AF871" s="90">
        <f t="shared" si="321"/>
        <v>2012</v>
      </c>
      <c r="AG871" s="90">
        <f t="shared" si="333"/>
        <v>3616</v>
      </c>
      <c r="AH871" s="90">
        <f t="shared" si="322"/>
        <v>2018</v>
      </c>
      <c r="AI871" s="90">
        <f t="shared" si="323"/>
        <v>970</v>
      </c>
      <c r="AJ871" s="90">
        <f t="shared" si="324"/>
        <v>2022</v>
      </c>
      <c r="AK871" s="90" t="str">
        <f t="shared" si="325"/>
        <v>Adjust</v>
      </c>
      <c r="AL871" s="91">
        <f>IF(AK871="Adjust",(_xlfn.XLOOKUP(A871,'Adj factor'!A:A,'Adj factor'!I:I,,0)*AI871),'Master DataSheet (Rev)'!AI871)</f>
        <v>1114.8196849908027</v>
      </c>
      <c r="AM871" s="91">
        <f t="shared" si="326"/>
        <v>3616</v>
      </c>
      <c r="AN871" s="92" t="str">
        <f t="shared" si="327"/>
        <v>Decreasing</v>
      </c>
      <c r="AO871" s="93">
        <f>VLOOKUP(B871,'Growthrates source'!A$2:H$49,8,FALSE)</f>
        <v>9.0528744101809888E-2</v>
      </c>
      <c r="AP871" s="93">
        <f>VLOOKUP(B871,'Growthrates source'!A$2:I$49,9,FALSE)</f>
        <v>5.4673730437993617E-2</v>
      </c>
      <c r="AQ871" s="86">
        <f t="shared" si="328"/>
        <v>0</v>
      </c>
      <c r="AR871" s="86">
        <f t="shared" si="329"/>
        <v>0</v>
      </c>
      <c r="AS871" s="94">
        <f t="shared" si="330"/>
        <v>2.0617032806615527</v>
      </c>
      <c r="AT871" s="94">
        <f t="shared" si="331"/>
        <v>2.0273725571239991</v>
      </c>
      <c r="AU871" s="94">
        <f t="shared" si="315"/>
        <v>0.55691766650762509</v>
      </c>
      <c r="AV871" s="94">
        <f t="shared" si="316"/>
        <v>1.8064035908266067</v>
      </c>
    </row>
    <row r="872" spans="1:48" x14ac:dyDescent="0.3">
      <c r="A872" s="85" t="str">
        <f>_xlfn.XLOOKUP(B872,'Country codes &amp; Data sources'!G:G,'Country codes &amp; Data sources'!H:H,,0)</f>
        <v>Zambia</v>
      </c>
      <c r="B872" s="85" t="s">
        <v>192</v>
      </c>
      <c r="C872" s="86">
        <v>14744678</v>
      </c>
      <c r="D872" s="85" t="s">
        <v>83</v>
      </c>
      <c r="E872" s="87">
        <v>485</v>
      </c>
      <c r="F872" s="88">
        <v>15234975.999999991</v>
      </c>
      <c r="G872" s="87">
        <v>0</v>
      </c>
      <c r="I872" s="87">
        <v>0</v>
      </c>
      <c r="K872" s="87">
        <v>0</v>
      </c>
      <c r="M872" s="87">
        <v>432</v>
      </c>
      <c r="O872" s="87">
        <v>0</v>
      </c>
      <c r="P872" s="88">
        <v>17835892.999999981</v>
      </c>
      <c r="Q872" s="87">
        <v>739</v>
      </c>
      <c r="R872" s="87">
        <f t="shared" si="317"/>
        <v>739</v>
      </c>
      <c r="T872" s="87">
        <v>864</v>
      </c>
      <c r="V872" s="87">
        <v>1036</v>
      </c>
      <c r="X872" s="87">
        <v>1324</v>
      </c>
      <c r="Y872" s="88">
        <v>20017675.000000004</v>
      </c>
      <c r="Z872" s="87">
        <v>1239</v>
      </c>
      <c r="AA872" s="87">
        <v>606</v>
      </c>
      <c r="AB872" s="89">
        <f t="shared" si="318"/>
        <v>485</v>
      </c>
      <c r="AC872" s="89">
        <f t="shared" si="319"/>
        <v>864</v>
      </c>
      <c r="AD872" s="89">
        <f t="shared" si="320"/>
        <v>1324</v>
      </c>
      <c r="AE872" s="90">
        <f t="shared" si="332"/>
        <v>485</v>
      </c>
      <c r="AF872" s="90">
        <f t="shared" si="321"/>
        <v>2012</v>
      </c>
      <c r="AG872" s="90">
        <f t="shared" si="333"/>
        <v>739</v>
      </c>
      <c r="AH872" s="90">
        <f t="shared" si="322"/>
        <v>2018</v>
      </c>
      <c r="AI872" s="90">
        <f t="shared" si="323"/>
        <v>1239</v>
      </c>
      <c r="AJ872" s="90">
        <f t="shared" si="324"/>
        <v>2022</v>
      </c>
      <c r="AK872" s="90" t="str">
        <f t="shared" si="325"/>
        <v/>
      </c>
      <c r="AL872" s="91">
        <f>IF(AK872="Adjust",(_xlfn.XLOOKUP(A872,'Adj factor'!A:A,'Adj factor'!I:I,,0)*AI872),'Master DataSheet (Rev)'!AI872)</f>
        <v>1239</v>
      </c>
      <c r="AM872" s="60">
        <f>380+947</f>
        <v>1327</v>
      </c>
      <c r="AN872" s="92" t="str">
        <f t="shared" si="327"/>
        <v>Increasing</v>
      </c>
      <c r="AO872" s="93">
        <f>VLOOKUP(B872,'Growthrates source'!A$2:H$49,8,FALSE)</f>
        <v>9.0528744101809888E-2</v>
      </c>
      <c r="AP872" s="93">
        <f>VLOOKUP(B872,'Growthrates source'!A$2:I$49,9,FALSE)</f>
        <v>5.4673730437993617E-2</v>
      </c>
      <c r="AQ872" s="86">
        <f t="shared" si="328"/>
        <v>385.38246839089476</v>
      </c>
      <c r="AR872" s="86">
        <f t="shared" si="329"/>
        <v>714.01300565965857</v>
      </c>
      <c r="AS872" s="94">
        <f t="shared" si="330"/>
        <v>0.31834641551125537</v>
      </c>
      <c r="AT872" s="94">
        <f t="shared" si="331"/>
        <v>0.41433305301842793</v>
      </c>
      <c r="AU872" s="94">
        <f t="shared" si="315"/>
        <v>0.61895300028599709</v>
      </c>
      <c r="AV872" s="94">
        <f t="shared" si="316"/>
        <v>0.66291414962027295</v>
      </c>
    </row>
    <row r="873" spans="1:48" x14ac:dyDescent="0.3">
      <c r="A873" s="85" t="str">
        <f>_xlfn.XLOOKUP(B873,'Country codes &amp; Data sources'!G:G,'Country codes &amp; Data sources'!H:H,,0)</f>
        <v>Zambia</v>
      </c>
      <c r="B873" s="85" t="s">
        <v>192</v>
      </c>
      <c r="C873" s="86">
        <v>14744679</v>
      </c>
      <c r="D873" s="85" t="s">
        <v>84</v>
      </c>
      <c r="E873" s="87">
        <v>0</v>
      </c>
      <c r="F873" s="88">
        <v>15234975.999999991</v>
      </c>
      <c r="G873" s="87">
        <v>0</v>
      </c>
      <c r="I873" s="87">
        <v>0</v>
      </c>
      <c r="K873" s="87">
        <v>0</v>
      </c>
      <c r="M873" s="87">
        <v>0</v>
      </c>
      <c r="O873" s="87">
        <v>0</v>
      </c>
      <c r="P873" s="88">
        <v>17835892.999999981</v>
      </c>
      <c r="Q873" s="87">
        <v>0</v>
      </c>
      <c r="R873" s="87">
        <f t="shared" si="317"/>
        <v>0</v>
      </c>
      <c r="T873" s="87">
        <v>0</v>
      </c>
      <c r="V873" s="87">
        <v>0</v>
      </c>
      <c r="X873" s="87">
        <v>0</v>
      </c>
      <c r="Y873" s="88">
        <v>20017675.000000004</v>
      </c>
      <c r="Z873" s="87">
        <v>0</v>
      </c>
      <c r="AA873" s="87">
        <v>0</v>
      </c>
      <c r="AB873" s="89">
        <f t="shared" si="318"/>
        <v>0</v>
      </c>
      <c r="AC873" s="89">
        <f t="shared" si="319"/>
        <v>0</v>
      </c>
      <c r="AD873" s="89">
        <f t="shared" si="320"/>
        <v>0</v>
      </c>
      <c r="AF873" s="90" t="str">
        <f t="shared" si="321"/>
        <v/>
      </c>
      <c r="AH873" s="90" t="str">
        <f t="shared" si="322"/>
        <v/>
      </c>
      <c r="AI873" s="90">
        <f t="shared" si="323"/>
        <v>0</v>
      </c>
      <c r="AJ873" s="90" t="str">
        <f t="shared" si="324"/>
        <v/>
      </c>
      <c r="AK873" s="90" t="str">
        <f t="shared" si="325"/>
        <v/>
      </c>
      <c r="AL873" s="91"/>
      <c r="AM873" s="91">
        <f t="shared" si="326"/>
        <v>0</v>
      </c>
      <c r="AN873" s="92" t="str">
        <f t="shared" si="327"/>
        <v>No change</v>
      </c>
      <c r="AO873" s="93">
        <f>VLOOKUP(B873,'Growthrates source'!A$2:H$49,8,FALSE)</f>
        <v>9.0528744101809888E-2</v>
      </c>
      <c r="AP873" s="93">
        <f>VLOOKUP(B873,'Growthrates source'!A$2:I$49,9,FALSE)</f>
        <v>5.4673730437993617E-2</v>
      </c>
      <c r="AQ873" s="86">
        <f t="shared" si="328"/>
        <v>0</v>
      </c>
      <c r="AR873" s="86">
        <f t="shared" si="329"/>
        <v>0</v>
      </c>
      <c r="AS873" s="94">
        <f t="shared" si="330"/>
        <v>0</v>
      </c>
      <c r="AT873" s="94">
        <f t="shared" si="331"/>
        <v>0</v>
      </c>
      <c r="AU873" s="94">
        <f t="shared" si="315"/>
        <v>0</v>
      </c>
      <c r="AV873" s="94">
        <f t="shared" si="316"/>
        <v>0</v>
      </c>
    </row>
    <row r="874" spans="1:48" x14ac:dyDescent="0.3">
      <c r="A874" s="85" t="str">
        <f>_xlfn.XLOOKUP(B874,'Country codes &amp; Data sources'!G:G,'Country codes &amp; Data sources'!H:H,,0)</f>
        <v>Zambia</v>
      </c>
      <c r="B874" s="85" t="s">
        <v>192</v>
      </c>
      <c r="C874" s="86">
        <v>14744680</v>
      </c>
      <c r="D874" s="85" t="s">
        <v>126</v>
      </c>
      <c r="E874" s="87">
        <v>0</v>
      </c>
      <c r="F874" s="88">
        <v>15234975.999999991</v>
      </c>
      <c r="G874" s="87">
        <v>0</v>
      </c>
      <c r="I874" s="87">
        <v>0</v>
      </c>
      <c r="K874" s="87">
        <v>0</v>
      </c>
      <c r="M874" s="87">
        <v>0</v>
      </c>
      <c r="O874" s="87">
        <v>0</v>
      </c>
      <c r="P874" s="88">
        <v>17835892.999999981</v>
      </c>
      <c r="Q874" s="87">
        <v>0</v>
      </c>
      <c r="R874" s="87">
        <f t="shared" si="317"/>
        <v>0</v>
      </c>
      <c r="T874" s="87">
        <v>0</v>
      </c>
      <c r="V874" s="87">
        <v>0</v>
      </c>
      <c r="X874" s="87">
        <v>0</v>
      </c>
      <c r="Y874" s="88">
        <v>20017675.000000004</v>
      </c>
      <c r="Z874" s="87">
        <v>2</v>
      </c>
      <c r="AA874" s="87">
        <v>0</v>
      </c>
      <c r="AB874" s="89">
        <f t="shared" si="318"/>
        <v>0</v>
      </c>
      <c r="AC874" s="89">
        <f t="shared" si="319"/>
        <v>0</v>
      </c>
      <c r="AD874" s="89">
        <f t="shared" si="320"/>
        <v>2</v>
      </c>
      <c r="AF874" s="90" t="str">
        <f t="shared" si="321"/>
        <v/>
      </c>
      <c r="AH874" s="90" t="str">
        <f t="shared" si="322"/>
        <v/>
      </c>
      <c r="AI874" s="90">
        <f t="shared" si="323"/>
        <v>2</v>
      </c>
      <c r="AJ874" s="90">
        <f t="shared" si="324"/>
        <v>2022</v>
      </c>
      <c r="AK874" s="90" t="str">
        <f t="shared" si="325"/>
        <v/>
      </c>
      <c r="AL874" s="91">
        <f>IF(AK874="Adjust",(_xlfn.XLOOKUP(A874,'Adj factor'!A:A,'Adj factor'!I:I,,0)*AI874),'Master DataSheet (Rev)'!AI874)</f>
        <v>2</v>
      </c>
      <c r="AM874" s="91">
        <f t="shared" si="326"/>
        <v>2</v>
      </c>
      <c r="AN874" s="92" t="str">
        <f t="shared" si="327"/>
        <v>Increasing</v>
      </c>
      <c r="AO874" s="93">
        <f>VLOOKUP(B874,'Growthrates source'!A$2:H$49,8,FALSE)</f>
        <v>9.0528744101809888E-2</v>
      </c>
      <c r="AP874" s="93">
        <f>VLOOKUP(B874,'Growthrates source'!A$2:I$49,9,FALSE)</f>
        <v>5.4673730437993617E-2</v>
      </c>
      <c r="AQ874" s="86">
        <f t="shared" si="328"/>
        <v>0</v>
      </c>
      <c r="AR874" s="86">
        <f t="shared" si="329"/>
        <v>0</v>
      </c>
      <c r="AS874" s="94">
        <f t="shared" si="330"/>
        <v>0</v>
      </c>
      <c r="AT874" s="94">
        <f t="shared" si="331"/>
        <v>0</v>
      </c>
      <c r="AU874" s="94">
        <f t="shared" si="315"/>
        <v>9.9911703032445052E-4</v>
      </c>
      <c r="AV874" s="94">
        <f t="shared" si="316"/>
        <v>9.9911703032445052E-4</v>
      </c>
    </row>
    <row r="875" spans="1:48" x14ac:dyDescent="0.3">
      <c r="A875" s="85" t="str">
        <f>_xlfn.XLOOKUP(B875,'Country codes &amp; Data sources'!G:G,'Country codes &amp; Data sources'!H:H,,0)</f>
        <v>Zambia</v>
      </c>
      <c r="B875" s="85" t="s">
        <v>192</v>
      </c>
      <c r="C875" s="86">
        <v>14744681</v>
      </c>
      <c r="D875" s="85" t="s">
        <v>87</v>
      </c>
      <c r="E875" s="87">
        <v>0</v>
      </c>
      <c r="F875" s="88">
        <v>15234975.999999991</v>
      </c>
      <c r="G875" s="87">
        <v>0</v>
      </c>
      <c r="I875" s="87">
        <v>0</v>
      </c>
      <c r="K875" s="87">
        <v>0</v>
      </c>
      <c r="M875" s="87">
        <v>0</v>
      </c>
      <c r="O875" s="87">
        <v>0</v>
      </c>
      <c r="P875" s="88">
        <v>17835892.999999981</v>
      </c>
      <c r="Q875" s="87">
        <v>0</v>
      </c>
      <c r="R875" s="87">
        <f t="shared" si="317"/>
        <v>0</v>
      </c>
      <c r="T875" s="87">
        <v>0</v>
      </c>
      <c r="V875" s="87">
        <v>0</v>
      </c>
      <c r="X875" s="87">
        <v>0</v>
      </c>
      <c r="Y875" s="88">
        <v>20017675.000000004</v>
      </c>
      <c r="Z875" s="87">
        <v>0</v>
      </c>
      <c r="AA875" s="87">
        <v>0</v>
      </c>
      <c r="AB875" s="89">
        <f t="shared" si="318"/>
        <v>0</v>
      </c>
      <c r="AC875" s="89">
        <f t="shared" si="319"/>
        <v>0</v>
      </c>
      <c r="AD875" s="89">
        <f t="shared" si="320"/>
        <v>0</v>
      </c>
      <c r="AF875" s="90" t="str">
        <f t="shared" si="321"/>
        <v/>
      </c>
      <c r="AH875" s="90" t="str">
        <f t="shared" si="322"/>
        <v/>
      </c>
      <c r="AI875" s="90">
        <f t="shared" si="323"/>
        <v>0</v>
      </c>
      <c r="AJ875" s="90" t="str">
        <f t="shared" si="324"/>
        <v/>
      </c>
      <c r="AK875" s="90" t="str">
        <f t="shared" si="325"/>
        <v/>
      </c>
      <c r="AL875" s="91"/>
      <c r="AM875" s="91">
        <f t="shared" si="326"/>
        <v>0</v>
      </c>
      <c r="AN875" s="92" t="str">
        <f t="shared" si="327"/>
        <v>No change</v>
      </c>
      <c r="AO875" s="93">
        <f>VLOOKUP(B875,'Growthrates source'!A$2:H$49,8,FALSE)</f>
        <v>9.0528744101809888E-2</v>
      </c>
      <c r="AP875" s="93">
        <f>VLOOKUP(B875,'Growthrates source'!A$2:I$49,9,FALSE)</f>
        <v>5.4673730437993617E-2</v>
      </c>
      <c r="AQ875" s="86">
        <f t="shared" si="328"/>
        <v>0</v>
      </c>
      <c r="AR875" s="86">
        <f t="shared" si="329"/>
        <v>0</v>
      </c>
      <c r="AS875" s="94">
        <f t="shared" si="330"/>
        <v>0</v>
      </c>
      <c r="AT875" s="94">
        <f t="shared" si="331"/>
        <v>0</v>
      </c>
      <c r="AU875" s="94">
        <f t="shared" si="315"/>
        <v>0</v>
      </c>
      <c r="AV875" s="94">
        <f t="shared" si="316"/>
        <v>0</v>
      </c>
    </row>
    <row r="876" spans="1:48" x14ac:dyDescent="0.3">
      <c r="A876" s="85" t="str">
        <f>_xlfn.XLOOKUP(B876,'Country codes &amp; Data sources'!G:G,'Country codes &amp; Data sources'!H:H,,0)</f>
        <v>Zimbabwe</v>
      </c>
      <c r="B876" s="85" t="s">
        <v>193</v>
      </c>
      <c r="C876" s="86">
        <v>13265336</v>
      </c>
      <c r="D876" s="85" t="s">
        <v>127</v>
      </c>
      <c r="E876" s="87">
        <v>0</v>
      </c>
      <c r="F876" s="88">
        <v>13555421.500000011</v>
      </c>
      <c r="G876" s="87">
        <v>0</v>
      </c>
      <c r="I876" s="87">
        <v>0</v>
      </c>
      <c r="K876" s="87">
        <v>11200</v>
      </c>
      <c r="M876" s="87">
        <v>0</v>
      </c>
      <c r="O876" s="87">
        <v>15000</v>
      </c>
      <c r="P876" s="88">
        <v>15052184.000000007</v>
      </c>
      <c r="Q876" s="87">
        <v>15888</v>
      </c>
      <c r="R876" s="87">
        <f t="shared" si="317"/>
        <v>15888</v>
      </c>
      <c r="T876" s="87">
        <v>0</v>
      </c>
      <c r="V876" s="87">
        <v>0</v>
      </c>
      <c r="X876" s="87">
        <v>0</v>
      </c>
      <c r="Y876" s="88">
        <v>16320536.999999996</v>
      </c>
      <c r="Z876" s="87">
        <v>19722</v>
      </c>
      <c r="AA876" s="87">
        <v>2143</v>
      </c>
      <c r="AB876" s="89">
        <f t="shared" si="318"/>
        <v>11200</v>
      </c>
      <c r="AC876" s="89">
        <f t="shared" si="319"/>
        <v>15888</v>
      </c>
      <c r="AD876" s="89">
        <f t="shared" si="320"/>
        <v>19722</v>
      </c>
      <c r="AE876" s="90">
        <f t="shared" si="332"/>
        <v>11200</v>
      </c>
      <c r="AF876" s="90">
        <f t="shared" si="321"/>
        <v>2015</v>
      </c>
      <c r="AG876" s="90">
        <f t="shared" si="333"/>
        <v>15888</v>
      </c>
      <c r="AH876" s="90">
        <f t="shared" si="322"/>
        <v>2018</v>
      </c>
      <c r="AI876" s="90">
        <f t="shared" si="323"/>
        <v>19722</v>
      </c>
      <c r="AJ876" s="90">
        <f t="shared" si="324"/>
        <v>2022</v>
      </c>
      <c r="AK876" s="90" t="str">
        <f t="shared" si="325"/>
        <v/>
      </c>
      <c r="AL876" s="91">
        <f>IF(AK876="Adjust",(_xlfn.XLOOKUP(A876,'Adj factor'!A:A,'Adj factor'!I:I,,0)*AI876),'Master DataSheet (Rev)'!AI876)</f>
        <v>19722</v>
      </c>
      <c r="AM876" s="91">
        <f t="shared" si="326"/>
        <v>19722</v>
      </c>
      <c r="AN876" s="92" t="str">
        <f t="shared" si="327"/>
        <v>Increasing</v>
      </c>
      <c r="AO876" s="93">
        <f>VLOOKUP(B876,'Growthrates source'!A$2:H$49,8,FALSE)</f>
        <v>8.5173735635071912E-2</v>
      </c>
      <c r="AP876" s="93">
        <f>VLOOKUP(B876,'Growthrates source'!A$2:I$49,9,FALSE)</f>
        <v>0.17704702295875174</v>
      </c>
      <c r="AQ876" s="86">
        <f t="shared" si="328"/>
        <v>1399.81213497868</v>
      </c>
      <c r="AR876" s="86">
        <f t="shared" si="329"/>
        <v>3644.9687256954526</v>
      </c>
      <c r="AS876" s="94">
        <f t="shared" si="330"/>
        <v>8.262376791455722</v>
      </c>
      <c r="AT876" s="94">
        <f t="shared" si="331"/>
        <v>10.555278888432397</v>
      </c>
      <c r="AU876" s="94">
        <f t="shared" si="315"/>
        <v>12.084161201313416</v>
      </c>
      <c r="AV876" s="94">
        <f t="shared" si="316"/>
        <v>12.084161201313416</v>
      </c>
    </row>
    <row r="877" spans="1:48" x14ac:dyDescent="0.3">
      <c r="A877" s="85" t="str">
        <f>_xlfn.XLOOKUP(B877,'Country codes &amp; Data sources'!G:G,'Country codes &amp; Data sources'!H:H,,0)</f>
        <v>Zimbabwe</v>
      </c>
      <c r="B877" s="85" t="s">
        <v>193</v>
      </c>
      <c r="C877" s="86">
        <v>13265337</v>
      </c>
      <c r="D877" s="85" t="s">
        <v>61</v>
      </c>
      <c r="E877" s="87">
        <v>0</v>
      </c>
      <c r="F877" s="88">
        <v>13555421.500000011</v>
      </c>
      <c r="G877" s="87">
        <v>0</v>
      </c>
      <c r="I877" s="87">
        <v>0</v>
      </c>
      <c r="K877" s="87">
        <v>845</v>
      </c>
      <c r="M877" s="87">
        <v>0</v>
      </c>
      <c r="O877" s="87">
        <v>0</v>
      </c>
      <c r="P877" s="88">
        <v>15052184.000000007</v>
      </c>
      <c r="Q877" s="87">
        <v>0</v>
      </c>
      <c r="R877" s="87">
        <f t="shared" si="317"/>
        <v>0</v>
      </c>
      <c r="T877" s="87">
        <v>0</v>
      </c>
      <c r="V877" s="87">
        <v>0</v>
      </c>
      <c r="X877" s="87">
        <v>0</v>
      </c>
      <c r="Y877" s="88">
        <v>16320536.999999996</v>
      </c>
      <c r="Z877" s="103">
        <v>280</v>
      </c>
      <c r="AA877" s="87">
        <v>0</v>
      </c>
      <c r="AB877" s="89">
        <f t="shared" si="318"/>
        <v>845</v>
      </c>
      <c r="AC877" s="89">
        <f t="shared" si="319"/>
        <v>0</v>
      </c>
      <c r="AD877" s="89">
        <f t="shared" si="320"/>
        <v>280</v>
      </c>
      <c r="AE877" s="90">
        <f t="shared" si="332"/>
        <v>845</v>
      </c>
      <c r="AF877" s="90">
        <f t="shared" si="321"/>
        <v>2015</v>
      </c>
      <c r="AH877" s="90" t="str">
        <f t="shared" si="322"/>
        <v/>
      </c>
      <c r="AI877" s="90">
        <f t="shared" si="323"/>
        <v>280</v>
      </c>
      <c r="AJ877" s="90">
        <f t="shared" si="324"/>
        <v>2022</v>
      </c>
      <c r="AK877" s="90" t="str">
        <f t="shared" si="325"/>
        <v/>
      </c>
      <c r="AL877" s="91">
        <f>IF(AK877="Adjust",(_xlfn.XLOOKUP(A877,'Adj factor'!A:A,'Adj factor'!I:I,,0)*AI877),'Master DataSheet (Rev)'!AI877)</f>
        <v>280</v>
      </c>
      <c r="AM877" s="60">
        <v>280</v>
      </c>
      <c r="AN877" s="92" t="str">
        <f t="shared" si="327"/>
        <v>Increasing</v>
      </c>
      <c r="AO877" s="93">
        <f>VLOOKUP(B877,'Growthrates source'!A$2:H$49,8,FALSE)</f>
        <v>8.5173735635071912E-2</v>
      </c>
      <c r="AP877" s="93">
        <f>VLOOKUP(B877,'Growthrates source'!A$2:I$49,9,FALSE)</f>
        <v>0.17704702295875174</v>
      </c>
      <c r="AQ877" s="86">
        <f t="shared" si="328"/>
        <v>0</v>
      </c>
      <c r="AR877" s="86">
        <f t="shared" si="329"/>
        <v>0</v>
      </c>
      <c r="AS877" s="94">
        <f t="shared" si="330"/>
        <v>0.62336682042679326</v>
      </c>
      <c r="AT877" s="94">
        <f t="shared" si="331"/>
        <v>0</v>
      </c>
      <c r="AU877" s="94">
        <f t="shared" si="315"/>
        <v>0.17156298227196817</v>
      </c>
      <c r="AV877" s="94">
        <f t="shared" si="316"/>
        <v>0.17156298227196817</v>
      </c>
    </row>
    <row r="878" spans="1:48" x14ac:dyDescent="0.3">
      <c r="A878" s="85" t="str">
        <f>_xlfn.XLOOKUP(B878,'Country codes &amp; Data sources'!G:G,'Country codes &amp; Data sources'!H:H,,0)</f>
        <v>Zimbabwe</v>
      </c>
      <c r="B878" s="85" t="s">
        <v>193</v>
      </c>
      <c r="C878" s="86">
        <v>13265338</v>
      </c>
      <c r="D878" s="85" t="s">
        <v>62</v>
      </c>
      <c r="E878" s="87">
        <v>0</v>
      </c>
      <c r="F878" s="88">
        <v>13555421.500000011</v>
      </c>
      <c r="G878" s="87">
        <v>0</v>
      </c>
      <c r="I878" s="87">
        <v>0</v>
      </c>
      <c r="K878" s="87">
        <v>1885</v>
      </c>
      <c r="M878" s="87">
        <v>0</v>
      </c>
      <c r="O878" s="87">
        <v>0</v>
      </c>
      <c r="P878" s="88">
        <v>15052184.000000007</v>
      </c>
      <c r="Q878" s="87">
        <v>0</v>
      </c>
      <c r="R878" s="87">
        <f t="shared" si="317"/>
        <v>1644</v>
      </c>
      <c r="T878" s="87">
        <v>0</v>
      </c>
      <c r="V878" s="87">
        <v>91</v>
      </c>
      <c r="X878" s="87">
        <v>0</v>
      </c>
      <c r="Y878" s="88">
        <v>16320536.999999996</v>
      </c>
      <c r="Z878" s="103">
        <v>2684</v>
      </c>
      <c r="AA878" s="87">
        <v>1644</v>
      </c>
      <c r="AB878" s="89">
        <f t="shared" si="318"/>
        <v>1885</v>
      </c>
      <c r="AC878" s="89">
        <f t="shared" si="319"/>
        <v>0</v>
      </c>
      <c r="AD878" s="89">
        <f t="shared" si="320"/>
        <v>2684</v>
      </c>
      <c r="AE878" s="90">
        <f t="shared" si="332"/>
        <v>1885</v>
      </c>
      <c r="AF878" s="90">
        <f t="shared" si="321"/>
        <v>2015</v>
      </c>
      <c r="AG878" s="90">
        <f t="shared" si="333"/>
        <v>1644</v>
      </c>
      <c r="AH878" s="90" t="str">
        <f t="shared" si="322"/>
        <v>2018 (triag)</v>
      </c>
      <c r="AI878" s="90">
        <f t="shared" si="323"/>
        <v>2684</v>
      </c>
      <c r="AJ878" s="90">
        <f t="shared" si="324"/>
        <v>2022</v>
      </c>
      <c r="AK878" s="90" t="str">
        <f t="shared" si="325"/>
        <v/>
      </c>
      <c r="AL878" s="91">
        <f>IF(AK878="Adjust",(_xlfn.XLOOKUP(A878,'Adj factor'!A:A,'Adj factor'!I:I,,0)*AI878),'Master DataSheet (Rev)'!AI878)</f>
        <v>2684</v>
      </c>
      <c r="AM878" s="62">
        <v>2684</v>
      </c>
      <c r="AN878" s="92" t="str">
        <f t="shared" si="327"/>
        <v>Increasing</v>
      </c>
      <c r="AO878" s="93">
        <f>VLOOKUP(B878,'Growthrates source'!A$2:H$49,8,FALSE)</f>
        <v>8.5173735635071912E-2</v>
      </c>
      <c r="AP878" s="93">
        <f>VLOOKUP(B878,'Growthrates source'!A$2:I$49,9,FALSE)</f>
        <v>0.17704702295875174</v>
      </c>
      <c r="AQ878" s="86">
        <f t="shared" si="328"/>
        <v>1073.8642790037097</v>
      </c>
      <c r="AR878" s="86">
        <f t="shared" si="329"/>
        <v>2796.2335907808324</v>
      </c>
      <c r="AS878" s="94">
        <f t="shared" si="330"/>
        <v>1.3905875224905389</v>
      </c>
      <c r="AT878" s="94">
        <f t="shared" si="331"/>
        <v>1.0922003079420231</v>
      </c>
      <c r="AU878" s="94">
        <f t="shared" si="315"/>
        <v>1.644553730064152</v>
      </c>
      <c r="AV878" s="94">
        <f t="shared" si="316"/>
        <v>1.644553730064152</v>
      </c>
    </row>
    <row r="879" spans="1:48" x14ac:dyDescent="0.3">
      <c r="A879" s="85" t="str">
        <f>_xlfn.XLOOKUP(B879,'Country codes &amp; Data sources'!G:G,'Country codes &amp; Data sources'!H:H,,0)</f>
        <v>Zimbabwe</v>
      </c>
      <c r="B879" s="85" t="s">
        <v>193</v>
      </c>
      <c r="C879" s="86">
        <v>13265339</v>
      </c>
      <c r="D879" s="85" t="s">
        <v>203</v>
      </c>
      <c r="E879" s="87">
        <v>0</v>
      </c>
      <c r="F879" s="88">
        <v>13555421.500000011</v>
      </c>
      <c r="G879" s="87">
        <v>0</v>
      </c>
      <c r="I879" s="87">
        <v>0</v>
      </c>
      <c r="K879" s="87">
        <v>0</v>
      </c>
      <c r="M879" s="87">
        <v>551</v>
      </c>
      <c r="O879" s="87">
        <v>607</v>
      </c>
      <c r="P879" s="88">
        <v>15052184.000000007</v>
      </c>
      <c r="Q879" s="87">
        <v>2021</v>
      </c>
      <c r="R879" s="87">
        <f t="shared" si="317"/>
        <v>2115</v>
      </c>
      <c r="T879" s="87">
        <v>0</v>
      </c>
      <c r="V879" s="87">
        <v>0</v>
      </c>
      <c r="X879" s="87">
        <v>0</v>
      </c>
      <c r="Y879" s="88">
        <v>16320536.999999996</v>
      </c>
      <c r="Z879" s="87">
        <v>0</v>
      </c>
      <c r="AA879" s="87">
        <v>2115</v>
      </c>
      <c r="AB879" s="89">
        <f t="shared" si="318"/>
        <v>0</v>
      </c>
      <c r="AC879" s="89">
        <f t="shared" si="319"/>
        <v>2021</v>
      </c>
      <c r="AD879" s="89">
        <f t="shared" si="320"/>
        <v>0</v>
      </c>
      <c r="AF879" s="90" t="str">
        <f t="shared" si="321"/>
        <v/>
      </c>
      <c r="AG879" s="90">
        <f t="shared" si="333"/>
        <v>2115</v>
      </c>
      <c r="AH879" s="90" t="str">
        <f t="shared" si="322"/>
        <v>2018 (triag)</v>
      </c>
      <c r="AI879" s="90">
        <f t="shared" si="323"/>
        <v>2115</v>
      </c>
      <c r="AJ879" s="90" t="str">
        <f t="shared" si="324"/>
        <v>2018 (triag)</v>
      </c>
      <c r="AK879" s="90" t="str">
        <f t="shared" si="325"/>
        <v/>
      </c>
      <c r="AL879" s="91">
        <f>IF(AK879="Adjust",(_xlfn.XLOOKUP(A879,'Adj factor'!A:A,'Adj factor'!I:I,,0)*AI879),'Master DataSheet (Rev)'!AI879)</f>
        <v>2115</v>
      </c>
      <c r="AM879" s="91">
        <f t="shared" si="326"/>
        <v>2115</v>
      </c>
      <c r="AN879" s="92" t="str">
        <f t="shared" si="327"/>
        <v>No change</v>
      </c>
      <c r="AO879" s="93">
        <f>VLOOKUP(B879,'Growthrates source'!A$2:H$49,8,FALSE)</f>
        <v>8.5173735635071912E-2</v>
      </c>
      <c r="AP879" s="93">
        <f>VLOOKUP(B879,'Growthrates source'!A$2:I$49,9,FALSE)</f>
        <v>0.17704702295875174</v>
      </c>
      <c r="AQ879" s="86">
        <f t="shared" si="328"/>
        <v>1381.5224757255755</v>
      </c>
      <c r="AR879" s="86">
        <f t="shared" si="329"/>
        <v>3597.3443093074575</v>
      </c>
      <c r="AS879" s="94">
        <f t="shared" si="330"/>
        <v>0</v>
      </c>
      <c r="AT879" s="94">
        <f t="shared" si="331"/>
        <v>1.405111710034902</v>
      </c>
      <c r="AU879" s="94">
        <f t="shared" si="315"/>
        <v>1.2959132410900454</v>
      </c>
      <c r="AV879" s="94">
        <f t="shared" si="316"/>
        <v>1.2959132410900454</v>
      </c>
    </row>
    <row r="880" spans="1:48" x14ac:dyDescent="0.3">
      <c r="A880" s="85" t="str">
        <f>_xlfn.XLOOKUP(B880,'Country codes &amp; Data sources'!G:G,'Country codes &amp; Data sources'!H:H,,0)</f>
        <v>Zimbabwe</v>
      </c>
      <c r="B880" s="85" t="s">
        <v>193</v>
      </c>
      <c r="C880" s="86">
        <v>13265340</v>
      </c>
      <c r="D880" s="85" t="s">
        <v>204</v>
      </c>
      <c r="E880" s="87">
        <v>0</v>
      </c>
      <c r="F880" s="88">
        <v>13555421.500000011</v>
      </c>
      <c r="G880" s="87">
        <v>0</v>
      </c>
      <c r="I880" s="87">
        <v>229</v>
      </c>
      <c r="K880" s="87">
        <v>270</v>
      </c>
      <c r="M880" s="87">
        <v>257</v>
      </c>
      <c r="O880" s="87">
        <v>451</v>
      </c>
      <c r="P880" s="88">
        <v>15052184.000000007</v>
      </c>
      <c r="Q880" s="87">
        <v>414</v>
      </c>
      <c r="R880" s="87">
        <f t="shared" si="317"/>
        <v>414</v>
      </c>
      <c r="T880" s="87">
        <v>0</v>
      </c>
      <c r="V880" s="87">
        <v>0</v>
      </c>
      <c r="X880" s="87">
        <v>0</v>
      </c>
      <c r="Y880" s="88">
        <v>16320536.999999996</v>
      </c>
      <c r="Z880" s="87">
        <v>0</v>
      </c>
      <c r="AA880" s="87">
        <v>327</v>
      </c>
      <c r="AB880" s="89">
        <f t="shared" si="318"/>
        <v>270</v>
      </c>
      <c r="AC880" s="89">
        <f t="shared" si="319"/>
        <v>451</v>
      </c>
      <c r="AD880" s="89">
        <f t="shared" si="320"/>
        <v>0</v>
      </c>
      <c r="AE880" s="90">
        <f t="shared" si="332"/>
        <v>229</v>
      </c>
      <c r="AF880" s="90">
        <f t="shared" si="321"/>
        <v>2014</v>
      </c>
      <c r="AG880" s="90">
        <f t="shared" si="333"/>
        <v>414</v>
      </c>
      <c r="AH880" s="90">
        <f t="shared" si="322"/>
        <v>2018</v>
      </c>
      <c r="AI880" s="90">
        <f t="shared" si="323"/>
        <v>414</v>
      </c>
      <c r="AJ880" s="90">
        <f t="shared" si="324"/>
        <v>2018</v>
      </c>
      <c r="AK880" s="90" t="str">
        <f t="shared" si="325"/>
        <v/>
      </c>
      <c r="AL880" s="91">
        <f>IF(AK880="Adjust",(_xlfn.XLOOKUP(A880,'Adj factor'!A:A,'Adj factor'!I:I,,0)*AI880),'Master DataSheet (Rev)'!AI880)</f>
        <v>414</v>
      </c>
      <c r="AM880" s="91">
        <f t="shared" si="326"/>
        <v>414</v>
      </c>
      <c r="AN880" s="92" t="str">
        <f t="shared" si="327"/>
        <v>No change</v>
      </c>
      <c r="AO880" s="93">
        <f>VLOOKUP(B880,'Growthrates source'!A$2:H$49,8,FALSE)</f>
        <v>8.5173735635071912E-2</v>
      </c>
      <c r="AP880" s="93">
        <f>VLOOKUP(B880,'Growthrates source'!A$2:I$49,9,FALSE)</f>
        <v>0.17704702295875174</v>
      </c>
      <c r="AQ880" s="86">
        <f t="shared" si="328"/>
        <v>213.59709199161381</v>
      </c>
      <c r="AR880" s="86">
        <f t="shared" si="329"/>
        <v>556.18514853122394</v>
      </c>
      <c r="AS880" s="94">
        <f t="shared" si="330"/>
        <v>0.16893609689672859</v>
      </c>
      <c r="AT880" s="94">
        <f t="shared" si="331"/>
        <v>0.27504314324087442</v>
      </c>
      <c r="AU880" s="94">
        <f t="shared" si="315"/>
        <v>0.25366812378783865</v>
      </c>
      <c r="AV880" s="94">
        <f t="shared" si="316"/>
        <v>0.25366812378783865</v>
      </c>
    </row>
    <row r="881" spans="1:48" x14ac:dyDescent="0.3">
      <c r="A881" s="85" t="str">
        <f>_xlfn.XLOOKUP(B881,'Country codes &amp; Data sources'!G:G,'Country codes &amp; Data sources'!H:H,,0)</f>
        <v>Zimbabwe</v>
      </c>
      <c r="B881" s="85" t="s">
        <v>193</v>
      </c>
      <c r="C881" s="86">
        <v>13265341</v>
      </c>
      <c r="D881" s="85" t="s">
        <v>205</v>
      </c>
      <c r="E881" s="87">
        <v>27</v>
      </c>
      <c r="F881" s="88">
        <v>13555421.500000011</v>
      </c>
      <c r="G881" s="87">
        <v>26</v>
      </c>
      <c r="I881" s="87">
        <v>26</v>
      </c>
      <c r="K881" s="87">
        <v>0</v>
      </c>
      <c r="M881" s="87">
        <v>17</v>
      </c>
      <c r="O881" s="87">
        <v>0</v>
      </c>
      <c r="P881" s="88">
        <v>15052184.000000007</v>
      </c>
      <c r="Q881" s="87">
        <v>40</v>
      </c>
      <c r="R881" s="87">
        <f t="shared" si="317"/>
        <v>40</v>
      </c>
      <c r="T881" s="87">
        <v>25</v>
      </c>
      <c r="V881" s="87">
        <v>0</v>
      </c>
      <c r="X881" s="87">
        <v>0</v>
      </c>
      <c r="Y881" s="88">
        <v>16320536.999999996</v>
      </c>
      <c r="Z881" s="103">
        <v>318</v>
      </c>
      <c r="AA881" s="87">
        <v>10</v>
      </c>
      <c r="AB881" s="89">
        <f t="shared" si="318"/>
        <v>27</v>
      </c>
      <c r="AC881" s="89">
        <f t="shared" si="319"/>
        <v>40</v>
      </c>
      <c r="AD881" s="89">
        <f t="shared" si="320"/>
        <v>318</v>
      </c>
      <c r="AE881" s="90">
        <f t="shared" si="332"/>
        <v>26</v>
      </c>
      <c r="AF881" s="90">
        <f t="shared" si="321"/>
        <v>2013</v>
      </c>
      <c r="AG881" s="90">
        <f t="shared" si="333"/>
        <v>40</v>
      </c>
      <c r="AH881" s="90">
        <f t="shared" si="322"/>
        <v>2018</v>
      </c>
      <c r="AI881" s="90">
        <f t="shared" si="323"/>
        <v>318</v>
      </c>
      <c r="AJ881" s="90">
        <f t="shared" si="324"/>
        <v>2022</v>
      </c>
      <c r="AK881" s="90" t="str">
        <f t="shared" si="325"/>
        <v/>
      </c>
      <c r="AL881" s="91">
        <f>IF(AK881="Adjust",(_xlfn.XLOOKUP(A881,'Adj factor'!A:A,'Adj factor'!I:I,,0)*AI881),'Master DataSheet (Rev)'!AI881)</f>
        <v>318</v>
      </c>
      <c r="AM881" s="91">
        <f t="shared" si="326"/>
        <v>318</v>
      </c>
      <c r="AN881" s="92" t="str">
        <f t="shared" si="327"/>
        <v>Increasing</v>
      </c>
      <c r="AO881" s="93">
        <f>VLOOKUP(B881,'Growthrates source'!A$2:H$49,8,FALSE)</f>
        <v>8.5173735635071912E-2</v>
      </c>
      <c r="AP881" s="93">
        <f>VLOOKUP(B881,'Growthrates source'!A$2:I$49,9,FALSE)</f>
        <v>0.17704702295875174</v>
      </c>
      <c r="AQ881" s="86">
        <f t="shared" si="328"/>
        <v>6.5320211618230521</v>
      </c>
      <c r="AR881" s="86">
        <f t="shared" si="329"/>
        <v>17.00872013856954</v>
      </c>
      <c r="AS881" s="94">
        <f t="shared" si="330"/>
        <v>1.918051755159364E-2</v>
      </c>
      <c r="AT881" s="94">
        <f t="shared" si="331"/>
        <v>2.6574216738248734E-2</v>
      </c>
      <c r="AU881" s="94">
        <f t="shared" si="315"/>
        <v>0.194846529866021</v>
      </c>
      <c r="AV881" s="94">
        <f t="shared" si="316"/>
        <v>0.194846529866021</v>
      </c>
    </row>
    <row r="882" spans="1:48" x14ac:dyDescent="0.3">
      <c r="A882" s="85" t="str">
        <f>_xlfn.XLOOKUP(B882,'Country codes &amp; Data sources'!G:G,'Country codes &amp; Data sources'!H:H,,0)</f>
        <v>Zimbabwe</v>
      </c>
      <c r="B882" s="85" t="s">
        <v>193</v>
      </c>
      <c r="C882" s="86">
        <v>13265342</v>
      </c>
      <c r="D882" s="85" t="s">
        <v>133</v>
      </c>
      <c r="E882" s="87">
        <v>352</v>
      </c>
      <c r="F882" s="88">
        <v>13555421.500000011</v>
      </c>
      <c r="G882" s="87">
        <v>343</v>
      </c>
      <c r="I882" s="87">
        <v>0</v>
      </c>
      <c r="K882" s="87">
        <v>0</v>
      </c>
      <c r="M882" s="87">
        <v>0</v>
      </c>
      <c r="O882" s="87">
        <v>0</v>
      </c>
      <c r="P882" s="88">
        <v>15052184.000000007</v>
      </c>
      <c r="Q882" s="87">
        <v>644</v>
      </c>
      <c r="R882" s="87">
        <f t="shared" si="317"/>
        <v>644</v>
      </c>
      <c r="T882" s="87">
        <v>0</v>
      </c>
      <c r="V882" s="87">
        <v>0</v>
      </c>
      <c r="X882" s="87">
        <v>0</v>
      </c>
      <c r="Y882" s="88">
        <v>16320536.999999996</v>
      </c>
      <c r="Z882" s="87">
        <v>757</v>
      </c>
      <c r="AA882" s="87">
        <v>368</v>
      </c>
      <c r="AB882" s="89">
        <f t="shared" si="318"/>
        <v>352</v>
      </c>
      <c r="AC882" s="89">
        <f t="shared" si="319"/>
        <v>644</v>
      </c>
      <c r="AD882" s="89">
        <f t="shared" si="320"/>
        <v>757</v>
      </c>
      <c r="AE882" s="90">
        <f t="shared" si="332"/>
        <v>343</v>
      </c>
      <c r="AF882" s="90">
        <f t="shared" si="321"/>
        <v>2013</v>
      </c>
      <c r="AG882" s="90">
        <f t="shared" si="333"/>
        <v>644</v>
      </c>
      <c r="AH882" s="90">
        <f t="shared" si="322"/>
        <v>2018</v>
      </c>
      <c r="AI882" s="90">
        <f t="shared" si="323"/>
        <v>757</v>
      </c>
      <c r="AJ882" s="90">
        <f t="shared" si="324"/>
        <v>2022</v>
      </c>
      <c r="AK882" s="90" t="str">
        <f t="shared" si="325"/>
        <v/>
      </c>
      <c r="AL882" s="91">
        <f>IF(AK882="Adjust",(_xlfn.XLOOKUP(A882,'Adj factor'!A:A,'Adj factor'!I:I,,0)*AI882),'Master DataSheet (Rev)'!AI882)</f>
        <v>757</v>
      </c>
      <c r="AM882" s="91">
        <f t="shared" si="326"/>
        <v>757</v>
      </c>
      <c r="AN882" s="92" t="str">
        <f t="shared" si="327"/>
        <v>Increasing</v>
      </c>
      <c r="AO882" s="93">
        <f>VLOOKUP(B882,'Growthrates source'!A$2:H$49,8,FALSE)</f>
        <v>8.5173735635071912E-2</v>
      </c>
      <c r="AP882" s="93">
        <f>VLOOKUP(B882,'Growthrates source'!A$2:I$49,9,FALSE)</f>
        <v>0.17704702295875174</v>
      </c>
      <c r="AQ882" s="86">
        <f t="shared" si="328"/>
        <v>240.37837875508831</v>
      </c>
      <c r="AR882" s="86">
        <f t="shared" si="329"/>
        <v>625.92090109935907</v>
      </c>
      <c r="AS882" s="94">
        <f t="shared" si="330"/>
        <v>0.25303528923833146</v>
      </c>
      <c r="AT882" s="94">
        <f t="shared" si="331"/>
        <v>0.42784488948580462</v>
      </c>
      <c r="AU882" s="94">
        <f t="shared" si="315"/>
        <v>0.46383277707099968</v>
      </c>
      <c r="AV882" s="94">
        <f t="shared" si="316"/>
        <v>0.46383277707099968</v>
      </c>
    </row>
    <row r="883" spans="1:48" x14ac:dyDescent="0.3">
      <c r="A883" s="85" t="str">
        <f>_xlfn.XLOOKUP(B883,'Country codes &amp; Data sources'!G:G,'Country codes &amp; Data sources'!H:H,,0)</f>
        <v>Zimbabwe</v>
      </c>
      <c r="B883" s="85" t="s">
        <v>193</v>
      </c>
      <c r="C883" s="86">
        <v>13265343</v>
      </c>
      <c r="D883" s="85" t="s">
        <v>206</v>
      </c>
      <c r="E883" s="87">
        <v>0</v>
      </c>
      <c r="F883" s="88">
        <v>13555421.500000011</v>
      </c>
      <c r="G883" s="87">
        <v>0</v>
      </c>
      <c r="I883" s="87">
        <v>0</v>
      </c>
      <c r="K883" s="87">
        <v>0</v>
      </c>
      <c r="M883" s="87">
        <v>0</v>
      </c>
      <c r="O883" s="87">
        <v>0</v>
      </c>
      <c r="P883" s="88">
        <v>15052184.000000007</v>
      </c>
      <c r="Q883" s="87">
        <v>164</v>
      </c>
      <c r="R883" s="87">
        <f t="shared" si="317"/>
        <v>164</v>
      </c>
      <c r="T883" s="87">
        <v>0</v>
      </c>
      <c r="V883" s="87">
        <v>0</v>
      </c>
      <c r="X883" s="87">
        <v>0</v>
      </c>
      <c r="Y883" s="88">
        <v>16320536.999999996</v>
      </c>
      <c r="Z883" s="87">
        <v>0</v>
      </c>
      <c r="AA883" s="87">
        <v>76</v>
      </c>
      <c r="AB883" s="89">
        <f t="shared" si="318"/>
        <v>0</v>
      </c>
      <c r="AC883" s="89">
        <f t="shared" si="319"/>
        <v>164</v>
      </c>
      <c r="AD883" s="89">
        <f t="shared" si="320"/>
        <v>0</v>
      </c>
      <c r="AF883" s="90" t="str">
        <f t="shared" si="321"/>
        <v/>
      </c>
      <c r="AG883" s="90">
        <f t="shared" si="333"/>
        <v>164</v>
      </c>
      <c r="AH883" s="90">
        <f t="shared" si="322"/>
        <v>2018</v>
      </c>
      <c r="AI883" s="90">
        <f t="shared" si="323"/>
        <v>164</v>
      </c>
      <c r="AJ883" s="90">
        <f t="shared" si="324"/>
        <v>2018</v>
      </c>
      <c r="AK883" s="90" t="str">
        <f t="shared" si="325"/>
        <v/>
      </c>
      <c r="AL883" s="91">
        <f>IF(AK883="Adjust",(_xlfn.XLOOKUP(A883,'Adj factor'!A:A,'Adj factor'!I:I,,0)*AI883),'Master DataSheet (Rev)'!AI883)</f>
        <v>164</v>
      </c>
      <c r="AM883" s="91">
        <f t="shared" si="326"/>
        <v>164</v>
      </c>
      <c r="AN883" s="92" t="str">
        <f t="shared" si="327"/>
        <v>No change</v>
      </c>
      <c r="AO883" s="93">
        <f>VLOOKUP(B883,'Growthrates source'!A$2:H$49,8,FALSE)</f>
        <v>8.5173735635071912E-2</v>
      </c>
      <c r="AP883" s="93">
        <f>VLOOKUP(B883,'Growthrates source'!A$2:I$49,9,FALSE)</f>
        <v>0.17704702295875174</v>
      </c>
      <c r="AQ883" s="86">
        <f t="shared" si="328"/>
        <v>49.643360829855197</v>
      </c>
      <c r="AR883" s="86">
        <f t="shared" si="329"/>
        <v>129.26627305312851</v>
      </c>
      <c r="AS883" s="94">
        <f t="shared" si="330"/>
        <v>0</v>
      </c>
      <c r="AT883" s="94">
        <f t="shared" si="331"/>
        <v>0.10895428862681981</v>
      </c>
      <c r="AU883" s="94">
        <f t="shared" si="315"/>
        <v>0.10048688961643851</v>
      </c>
      <c r="AV883" s="94">
        <f t="shared" si="316"/>
        <v>0.10048688961643851</v>
      </c>
    </row>
    <row r="884" spans="1:48" x14ac:dyDescent="0.3">
      <c r="A884" s="85" t="str">
        <f>_xlfn.XLOOKUP(B884,'Country codes &amp; Data sources'!G:G,'Country codes &amp; Data sources'!H:H,,0)</f>
        <v>Zimbabwe</v>
      </c>
      <c r="B884" s="85" t="s">
        <v>193</v>
      </c>
      <c r="C884" s="86">
        <v>13265344</v>
      </c>
      <c r="D884" s="85" t="s">
        <v>136</v>
      </c>
      <c r="E884" s="87">
        <v>233</v>
      </c>
      <c r="F884" s="88">
        <v>13555421.500000011</v>
      </c>
      <c r="G884" s="87">
        <v>239</v>
      </c>
      <c r="I884" s="87">
        <v>312</v>
      </c>
      <c r="K884" s="87">
        <v>511</v>
      </c>
      <c r="M884" s="87">
        <v>320</v>
      </c>
      <c r="O884" s="87">
        <v>417</v>
      </c>
      <c r="P884" s="88">
        <v>15052184.000000007</v>
      </c>
      <c r="Q884" s="87">
        <v>480</v>
      </c>
      <c r="R884" s="87">
        <f t="shared" si="317"/>
        <v>480</v>
      </c>
      <c r="T884" s="87">
        <v>0</v>
      </c>
      <c r="V884" s="87">
        <v>0</v>
      </c>
      <c r="X884" s="87">
        <v>0</v>
      </c>
      <c r="Y884" s="88">
        <v>16320536.999999996</v>
      </c>
      <c r="Z884" s="103">
        <v>376</v>
      </c>
      <c r="AA884" s="87">
        <v>412</v>
      </c>
      <c r="AB884" s="89">
        <f t="shared" si="318"/>
        <v>511</v>
      </c>
      <c r="AC884" s="89">
        <f t="shared" si="319"/>
        <v>480</v>
      </c>
      <c r="AD884" s="89">
        <f t="shared" si="320"/>
        <v>376</v>
      </c>
      <c r="AE884" s="90">
        <f t="shared" si="332"/>
        <v>239</v>
      </c>
      <c r="AF884" s="90">
        <f t="shared" si="321"/>
        <v>2013</v>
      </c>
      <c r="AG884" s="90">
        <f t="shared" si="333"/>
        <v>480</v>
      </c>
      <c r="AH884" s="90">
        <f t="shared" si="322"/>
        <v>2018</v>
      </c>
      <c r="AI884" s="90">
        <f t="shared" si="323"/>
        <v>376</v>
      </c>
      <c r="AJ884" s="90">
        <f t="shared" si="324"/>
        <v>2022</v>
      </c>
      <c r="AK884" s="90" t="str">
        <f t="shared" si="325"/>
        <v>Adjust</v>
      </c>
      <c r="AL884" s="91">
        <f>IF(AK884="Adjust",(_xlfn.XLOOKUP(A884,'Adj factor'!A:A,'Adj factor'!I:I,,0)*AI884),'Master DataSheet (Rev)'!AI884)</f>
        <v>434.81572579045508</v>
      </c>
      <c r="AM884" s="91">
        <f t="shared" si="326"/>
        <v>480</v>
      </c>
      <c r="AN884" s="92" t="str">
        <f t="shared" si="327"/>
        <v>Decreasing</v>
      </c>
      <c r="AO884" s="93">
        <f>VLOOKUP(B884,'Growthrates source'!A$2:H$49,8,FALSE)</f>
        <v>8.5173735635071912E-2</v>
      </c>
      <c r="AP884" s="93">
        <f>VLOOKUP(B884,'Growthrates source'!A$2:I$49,9,FALSE)</f>
        <v>0.17704702295875174</v>
      </c>
      <c r="AQ884" s="86">
        <f t="shared" si="328"/>
        <v>269.11927186710972</v>
      </c>
      <c r="AR884" s="86">
        <f t="shared" si="329"/>
        <v>700.75926970906505</v>
      </c>
      <c r="AS884" s="94">
        <f t="shared" si="330"/>
        <v>0.17631321903195693</v>
      </c>
      <c r="AT884" s="94">
        <f t="shared" si="331"/>
        <v>0.3188906008589848</v>
      </c>
      <c r="AU884" s="94">
        <f t="shared" si="315"/>
        <v>0.2664224380548601</v>
      </c>
      <c r="AV884" s="94">
        <f t="shared" si="316"/>
        <v>0.2941079696090883</v>
      </c>
    </row>
    <row r="885" spans="1:48" x14ac:dyDescent="0.3">
      <c r="A885" s="85" t="str">
        <f>_xlfn.XLOOKUP(B885,'Country codes &amp; Data sources'!G:G,'Country codes &amp; Data sources'!H:H,,0)</f>
        <v>Zimbabwe</v>
      </c>
      <c r="B885" s="85" t="s">
        <v>193</v>
      </c>
      <c r="C885" s="86">
        <v>13265345</v>
      </c>
      <c r="D885" s="85" t="s">
        <v>207</v>
      </c>
      <c r="E885" s="87">
        <v>0</v>
      </c>
      <c r="F885" s="88">
        <v>13555421.500000011</v>
      </c>
      <c r="G885" s="87">
        <v>0</v>
      </c>
      <c r="I885" s="87">
        <v>0</v>
      </c>
      <c r="K885" s="87">
        <v>0</v>
      </c>
      <c r="M885" s="87">
        <v>678</v>
      </c>
      <c r="O885" s="87">
        <v>605</v>
      </c>
      <c r="P885" s="88">
        <v>15052184.000000007</v>
      </c>
      <c r="Q885" s="87">
        <v>703</v>
      </c>
      <c r="R885" s="87">
        <f t="shared" si="317"/>
        <v>718</v>
      </c>
      <c r="T885" s="87">
        <v>0</v>
      </c>
      <c r="V885" s="87">
        <v>0</v>
      </c>
      <c r="X885" s="87">
        <v>0</v>
      </c>
      <c r="Y885" s="88">
        <v>16320536.999999996</v>
      </c>
      <c r="Z885" s="87">
        <v>0</v>
      </c>
      <c r="AA885" s="87">
        <v>718</v>
      </c>
      <c r="AB885" s="89">
        <f t="shared" si="318"/>
        <v>0</v>
      </c>
      <c r="AC885" s="89">
        <f t="shared" si="319"/>
        <v>703</v>
      </c>
      <c r="AD885" s="89">
        <f t="shared" si="320"/>
        <v>0</v>
      </c>
      <c r="AF885" s="90" t="str">
        <f t="shared" si="321"/>
        <v/>
      </c>
      <c r="AG885" s="90">
        <f t="shared" si="333"/>
        <v>718</v>
      </c>
      <c r="AH885" s="90" t="str">
        <f t="shared" si="322"/>
        <v>2018 (triag)</v>
      </c>
      <c r="AI885" s="90">
        <f t="shared" si="323"/>
        <v>718</v>
      </c>
      <c r="AJ885" s="90" t="str">
        <f t="shared" si="324"/>
        <v>2018 (triag)</v>
      </c>
      <c r="AK885" s="90" t="str">
        <f t="shared" si="325"/>
        <v/>
      </c>
      <c r="AL885" s="91">
        <f>IF(AK885="Adjust",(_xlfn.XLOOKUP(A885,'Adj factor'!A:A,'Adj factor'!I:I,,0)*AI885),'Master DataSheet (Rev)'!AI885)</f>
        <v>718</v>
      </c>
      <c r="AM885" s="91">
        <f t="shared" si="326"/>
        <v>718</v>
      </c>
      <c r="AN885" s="92" t="str">
        <f t="shared" si="327"/>
        <v>No change</v>
      </c>
      <c r="AO885" s="93">
        <f>VLOOKUP(B885,'Growthrates source'!A$2:H$49,8,FALSE)</f>
        <v>8.5173735635071912E-2</v>
      </c>
      <c r="AP885" s="93">
        <f>VLOOKUP(B885,'Growthrates source'!A$2:I$49,9,FALSE)</f>
        <v>0.17704702295875174</v>
      </c>
      <c r="AQ885" s="86">
        <f t="shared" si="328"/>
        <v>468.99911941889513</v>
      </c>
      <c r="AR885" s="86">
        <f t="shared" si="329"/>
        <v>1221.226105949293</v>
      </c>
      <c r="AS885" s="94">
        <f t="shared" si="330"/>
        <v>0</v>
      </c>
      <c r="AT885" s="94">
        <f t="shared" si="331"/>
        <v>0.47700719045156481</v>
      </c>
      <c r="AU885" s="94">
        <f t="shared" si="315"/>
        <v>0.43993650454026123</v>
      </c>
      <c r="AV885" s="94">
        <f t="shared" si="316"/>
        <v>0.43993650454026123</v>
      </c>
    </row>
    <row r="886" spans="1:48" x14ac:dyDescent="0.3">
      <c r="A886" s="85" t="str">
        <f>_xlfn.XLOOKUP(B886,'Country codes &amp; Data sources'!G:G,'Country codes &amp; Data sources'!H:H,,0)</f>
        <v>Zimbabwe</v>
      </c>
      <c r="B886" s="85" t="s">
        <v>193</v>
      </c>
      <c r="C886" s="86">
        <v>13265346</v>
      </c>
      <c r="D886" s="85" t="s">
        <v>141</v>
      </c>
      <c r="E886" s="87">
        <v>0</v>
      </c>
      <c r="F886" s="88">
        <v>13555421.500000011</v>
      </c>
      <c r="G886" s="87">
        <v>0</v>
      </c>
      <c r="I886" s="87">
        <v>0</v>
      </c>
      <c r="K886" s="87">
        <v>0</v>
      </c>
      <c r="M886" s="87">
        <v>13</v>
      </c>
      <c r="O886" s="87">
        <v>20</v>
      </c>
      <c r="P886" s="88">
        <v>15052184.000000007</v>
      </c>
      <c r="Q886" s="87">
        <v>20</v>
      </c>
      <c r="R886" s="87">
        <f t="shared" si="317"/>
        <v>20</v>
      </c>
      <c r="T886" s="87">
        <v>0</v>
      </c>
      <c r="V886" s="87">
        <v>0</v>
      </c>
      <c r="X886" s="87">
        <v>0</v>
      </c>
      <c r="Y886" s="88">
        <v>16320536.999999996</v>
      </c>
      <c r="Z886" s="87">
        <v>0</v>
      </c>
      <c r="AA886" s="87">
        <v>0</v>
      </c>
      <c r="AB886" s="89">
        <f t="shared" si="318"/>
        <v>0</v>
      </c>
      <c r="AC886" s="89">
        <f t="shared" si="319"/>
        <v>20</v>
      </c>
      <c r="AD886" s="89">
        <f t="shared" si="320"/>
        <v>0</v>
      </c>
      <c r="AF886" s="90" t="str">
        <f t="shared" si="321"/>
        <v/>
      </c>
      <c r="AG886" s="90">
        <f t="shared" si="333"/>
        <v>20</v>
      </c>
      <c r="AH886" s="90">
        <f t="shared" si="322"/>
        <v>2017</v>
      </c>
      <c r="AI886" s="90">
        <f t="shared" si="323"/>
        <v>20</v>
      </c>
      <c r="AJ886" s="90">
        <f t="shared" si="324"/>
        <v>2017</v>
      </c>
      <c r="AK886" s="90" t="str">
        <f t="shared" si="325"/>
        <v/>
      </c>
      <c r="AL886" s="91">
        <f>IF(AK886="Adjust",(_xlfn.XLOOKUP(A886,'Adj factor'!A:A,'Adj factor'!I:I,,0)*AI886),'Master DataSheet (Rev)'!AI886)</f>
        <v>20</v>
      </c>
      <c r="AM886" s="91">
        <f t="shared" si="326"/>
        <v>20</v>
      </c>
      <c r="AN886" s="92" t="str">
        <f t="shared" si="327"/>
        <v>No change</v>
      </c>
      <c r="AO886" s="93">
        <f>VLOOKUP(B886,'Growthrates source'!A$2:H$49,8,FALSE)</f>
        <v>8.5173735635071912E-2</v>
      </c>
      <c r="AP886" s="93">
        <f>VLOOKUP(B886,'Growthrates source'!A$2:I$49,9,FALSE)</f>
        <v>0.17704702295875174</v>
      </c>
      <c r="AQ886" s="86">
        <f t="shared" si="328"/>
        <v>0</v>
      </c>
      <c r="AR886" s="86">
        <f t="shared" si="329"/>
        <v>0</v>
      </c>
      <c r="AS886" s="94">
        <f t="shared" si="330"/>
        <v>0</v>
      </c>
      <c r="AT886" s="94">
        <f t="shared" si="331"/>
        <v>1.3287108369124367E-2</v>
      </c>
      <c r="AU886" s="94">
        <f t="shared" si="315"/>
        <v>1.2254498733712012E-2</v>
      </c>
      <c r="AV886" s="94">
        <f t="shared" si="316"/>
        <v>1.2254498733712012E-2</v>
      </c>
    </row>
    <row r="887" spans="1:48" x14ac:dyDescent="0.3">
      <c r="A887" s="85" t="str">
        <f>_xlfn.XLOOKUP(B887,'Country codes &amp; Data sources'!G:G,'Country codes &amp; Data sources'!H:H,,0)</f>
        <v>Zimbabwe</v>
      </c>
      <c r="B887" s="85" t="s">
        <v>193</v>
      </c>
      <c r="C887" s="86">
        <v>13265347</v>
      </c>
      <c r="D887" s="85" t="s">
        <v>208</v>
      </c>
      <c r="E887" s="87">
        <v>0</v>
      </c>
      <c r="F887" s="88">
        <v>13555421.500000011</v>
      </c>
      <c r="G887" s="87">
        <v>0</v>
      </c>
      <c r="I887" s="87">
        <v>0</v>
      </c>
      <c r="K887" s="87">
        <v>0</v>
      </c>
      <c r="M887" s="87">
        <v>0</v>
      </c>
      <c r="O887" s="87">
        <v>1733</v>
      </c>
      <c r="P887" s="88">
        <v>15052184.000000007</v>
      </c>
      <c r="Q887" s="87">
        <v>0</v>
      </c>
      <c r="R887" s="87">
        <f t="shared" si="317"/>
        <v>9502</v>
      </c>
      <c r="T887" s="87">
        <v>0</v>
      </c>
      <c r="V887" s="87">
        <v>0</v>
      </c>
      <c r="X887" s="87">
        <v>0</v>
      </c>
      <c r="Y887" s="88">
        <v>16320536.999999996</v>
      </c>
      <c r="Z887" s="87">
        <v>0</v>
      </c>
      <c r="AA887" s="87">
        <v>9502</v>
      </c>
      <c r="AB887" s="89">
        <f t="shared" si="318"/>
        <v>0</v>
      </c>
      <c r="AC887" s="89">
        <f t="shared" si="319"/>
        <v>1733</v>
      </c>
      <c r="AD887" s="89">
        <f t="shared" si="320"/>
        <v>0</v>
      </c>
      <c r="AF887" s="90" t="str">
        <f t="shared" si="321"/>
        <v/>
      </c>
      <c r="AG887" s="90">
        <f t="shared" si="333"/>
        <v>9502</v>
      </c>
      <c r="AH887" s="90" t="str">
        <f t="shared" si="322"/>
        <v>2018 (triag)</v>
      </c>
      <c r="AI887" s="90">
        <f t="shared" si="323"/>
        <v>9502</v>
      </c>
      <c r="AJ887" s="90" t="str">
        <f t="shared" si="324"/>
        <v>2018 (triag)</v>
      </c>
      <c r="AK887" s="90" t="str">
        <f t="shared" si="325"/>
        <v/>
      </c>
      <c r="AL887" s="91">
        <f>IF(AK887="Adjust",(_xlfn.XLOOKUP(A887,'Adj factor'!A:A,'Adj factor'!I:I,,0)*AI887),'Master DataSheet (Rev)'!AI887)</f>
        <v>9502</v>
      </c>
      <c r="AM887" s="91">
        <f t="shared" si="326"/>
        <v>9502</v>
      </c>
      <c r="AN887" s="92" t="str">
        <f t="shared" si="327"/>
        <v>No change</v>
      </c>
      <c r="AO887" s="93">
        <f>VLOOKUP(B887,'Growthrates source'!A$2:H$49,8,FALSE)</f>
        <v>8.5173735635071912E-2</v>
      </c>
      <c r="AP887" s="93">
        <f>VLOOKUP(B887,'Growthrates source'!A$2:I$49,9,FALSE)</f>
        <v>0.17704702295875174</v>
      </c>
      <c r="AQ887" s="86">
        <f t="shared" si="328"/>
        <v>6206.7265079642639</v>
      </c>
      <c r="AR887" s="86">
        <f t="shared" si="329"/>
        <v>16161.685875668776</v>
      </c>
      <c r="AS887" s="94">
        <f t="shared" si="330"/>
        <v>0</v>
      </c>
      <c r="AT887" s="94">
        <f t="shared" si="331"/>
        <v>6.3127051861709873</v>
      </c>
      <c r="AU887" s="94">
        <f t="shared" si="315"/>
        <v>5.8221123483865771</v>
      </c>
      <c r="AV887" s="94">
        <f t="shared" si="316"/>
        <v>5.8221123483865771</v>
      </c>
    </row>
    <row r="888" spans="1:48" x14ac:dyDescent="0.3">
      <c r="A888" s="85" t="str">
        <f>_xlfn.XLOOKUP(B888,'Country codes &amp; Data sources'!G:G,'Country codes &amp; Data sources'!H:H,,0)</f>
        <v>Zimbabwe</v>
      </c>
      <c r="B888" s="85" t="s">
        <v>193</v>
      </c>
      <c r="C888" s="86">
        <v>13265348</v>
      </c>
      <c r="D888" s="85" t="s">
        <v>209</v>
      </c>
      <c r="E888" s="87">
        <v>0</v>
      </c>
      <c r="F888" s="88">
        <v>13555421.500000011</v>
      </c>
      <c r="G888" s="87">
        <v>0</v>
      </c>
      <c r="I888" s="87">
        <v>0</v>
      </c>
      <c r="K888" s="87">
        <v>0</v>
      </c>
      <c r="M888" s="87">
        <v>0</v>
      </c>
      <c r="O888" s="87">
        <v>0</v>
      </c>
      <c r="P888" s="88">
        <v>15052184.000000007</v>
      </c>
      <c r="Q888" s="87">
        <v>0</v>
      </c>
      <c r="R888" s="87">
        <f t="shared" si="317"/>
        <v>1122</v>
      </c>
      <c r="T888" s="87">
        <v>0</v>
      </c>
      <c r="V888" s="87">
        <v>0</v>
      </c>
      <c r="X888" s="87">
        <v>0</v>
      </c>
      <c r="Y888" s="88">
        <v>16320536.999999996</v>
      </c>
      <c r="Z888" s="87">
        <v>0</v>
      </c>
      <c r="AA888" s="87">
        <v>1122</v>
      </c>
      <c r="AB888" s="89">
        <f t="shared" si="318"/>
        <v>0</v>
      </c>
      <c r="AC888" s="89">
        <f t="shared" si="319"/>
        <v>0</v>
      </c>
      <c r="AD888" s="89">
        <f t="shared" si="320"/>
        <v>0</v>
      </c>
      <c r="AF888" s="90" t="str">
        <f t="shared" si="321"/>
        <v/>
      </c>
      <c r="AG888" s="90">
        <f t="shared" si="333"/>
        <v>1122</v>
      </c>
      <c r="AH888" s="90" t="str">
        <f t="shared" si="322"/>
        <v>2018 (triag)</v>
      </c>
      <c r="AI888" s="90">
        <f t="shared" si="323"/>
        <v>1122</v>
      </c>
      <c r="AJ888" s="90" t="str">
        <f t="shared" si="324"/>
        <v>2018 (triag)</v>
      </c>
      <c r="AK888" s="90" t="str">
        <f t="shared" si="325"/>
        <v/>
      </c>
      <c r="AL888" s="91">
        <f>IF(AK888="Adjust",(_xlfn.XLOOKUP(A888,'Adj factor'!A:A,'Adj factor'!I:I,,0)*AI888),'Master DataSheet (Rev)'!AI888)</f>
        <v>1122</v>
      </c>
      <c r="AM888" s="91">
        <f t="shared" si="326"/>
        <v>1122</v>
      </c>
      <c r="AN888" s="92" t="str">
        <f t="shared" si="327"/>
        <v>No change</v>
      </c>
      <c r="AO888" s="93">
        <f>VLOOKUP(B888,'Growthrates source'!A$2:H$49,8,FALSE)</f>
        <v>8.5173735635071912E-2</v>
      </c>
      <c r="AP888" s="93">
        <f>VLOOKUP(B888,'Growthrates source'!A$2:I$49,9,FALSE)</f>
        <v>0.17704702295875174</v>
      </c>
      <c r="AQ888" s="86">
        <f t="shared" si="328"/>
        <v>732.8927743565464</v>
      </c>
      <c r="AR888" s="86">
        <f t="shared" si="329"/>
        <v>1908.3783995475023</v>
      </c>
      <c r="AS888" s="94">
        <f t="shared" si="330"/>
        <v>0</v>
      </c>
      <c r="AT888" s="94">
        <f t="shared" si="331"/>
        <v>0.74540677950787704</v>
      </c>
      <c r="AU888" s="94">
        <f t="shared" si="315"/>
        <v>0.68747737896124395</v>
      </c>
      <c r="AV888" s="94">
        <f t="shared" si="316"/>
        <v>0.68747737896124395</v>
      </c>
    </row>
    <row r="889" spans="1:48" x14ac:dyDescent="0.3">
      <c r="A889" s="85" t="str">
        <f>_xlfn.XLOOKUP(B889,'Country codes &amp; Data sources'!G:G,'Country codes &amp; Data sources'!H:H,,0)</f>
        <v>Zimbabwe</v>
      </c>
      <c r="B889" s="85" t="s">
        <v>193</v>
      </c>
      <c r="C889" s="86">
        <v>13265349</v>
      </c>
      <c r="D889" s="85" t="s">
        <v>134</v>
      </c>
      <c r="E889" s="87">
        <v>0</v>
      </c>
      <c r="F889" s="88">
        <v>13555421.500000011</v>
      </c>
      <c r="G889" s="87">
        <v>0</v>
      </c>
      <c r="I889" s="87">
        <v>519</v>
      </c>
      <c r="K889" s="87">
        <v>644</v>
      </c>
      <c r="M889" s="87">
        <v>600</v>
      </c>
      <c r="O889" s="87">
        <v>781</v>
      </c>
      <c r="P889" s="88">
        <v>15052184.000000007</v>
      </c>
      <c r="Q889" s="87">
        <v>1126</v>
      </c>
      <c r="R889" s="87">
        <f t="shared" si="317"/>
        <v>1126</v>
      </c>
      <c r="T889" s="87">
        <v>0</v>
      </c>
      <c r="V889" s="87">
        <v>0</v>
      </c>
      <c r="X889" s="87">
        <v>0</v>
      </c>
      <c r="Y889" s="88">
        <v>16320536.999999996</v>
      </c>
      <c r="Z889" s="87">
        <v>795</v>
      </c>
      <c r="AA889" s="87">
        <v>648</v>
      </c>
      <c r="AB889" s="89">
        <f t="shared" si="318"/>
        <v>644</v>
      </c>
      <c r="AC889" s="89">
        <f t="shared" si="319"/>
        <v>1126</v>
      </c>
      <c r="AD889" s="89">
        <f t="shared" si="320"/>
        <v>795</v>
      </c>
      <c r="AE889" s="90">
        <f t="shared" si="332"/>
        <v>519</v>
      </c>
      <c r="AF889" s="90">
        <f t="shared" si="321"/>
        <v>2014</v>
      </c>
      <c r="AG889" s="90">
        <f t="shared" si="333"/>
        <v>1126</v>
      </c>
      <c r="AH889" s="90">
        <f t="shared" si="322"/>
        <v>2018</v>
      </c>
      <c r="AI889" s="90">
        <f t="shared" si="323"/>
        <v>795</v>
      </c>
      <c r="AJ889" s="90">
        <f t="shared" si="324"/>
        <v>2022</v>
      </c>
      <c r="AK889" s="90" t="str">
        <f t="shared" si="325"/>
        <v>Adjust</v>
      </c>
      <c r="AL889" s="91">
        <f>IF(AK889="Adjust",(_xlfn.XLOOKUP(A889,'Adj factor'!A:A,'Adj factor'!I:I,,0)*AI889),'Master DataSheet (Rev)'!AI889)</f>
        <v>919.35771809418031</v>
      </c>
      <c r="AM889" s="91">
        <f t="shared" si="326"/>
        <v>1126</v>
      </c>
      <c r="AN889" s="92" t="str">
        <f t="shared" si="327"/>
        <v>Decreasing</v>
      </c>
      <c r="AO889" s="93">
        <f>VLOOKUP(B889,'Growthrates source'!A$2:H$49,8,FALSE)</f>
        <v>8.5173735635071912E-2</v>
      </c>
      <c r="AP889" s="93">
        <f>VLOOKUP(B889,'Growthrates source'!A$2:I$49,9,FALSE)</f>
        <v>0.17704702295875174</v>
      </c>
      <c r="AQ889" s="86">
        <f t="shared" si="328"/>
        <v>423.27497128613379</v>
      </c>
      <c r="AR889" s="86">
        <f t="shared" si="329"/>
        <v>1102.1650649793062</v>
      </c>
      <c r="AS889" s="94">
        <f t="shared" si="330"/>
        <v>0.38287263881834999</v>
      </c>
      <c r="AT889" s="94">
        <f t="shared" si="331"/>
        <v>0.74806420118170192</v>
      </c>
      <c r="AU889" s="94">
        <f t="shared" si="315"/>
        <v>0.56331339961067495</v>
      </c>
      <c r="AV889" s="94">
        <f t="shared" si="316"/>
        <v>0.68992827870798634</v>
      </c>
    </row>
    <row r="890" spans="1:48" x14ac:dyDescent="0.3">
      <c r="A890" s="85" t="str">
        <f>_xlfn.XLOOKUP(B890,'Country codes &amp; Data sources'!G:G,'Country codes &amp; Data sources'!H:H,,0)</f>
        <v>Zimbabwe</v>
      </c>
      <c r="B890" s="85" t="s">
        <v>193</v>
      </c>
      <c r="C890" s="86">
        <v>13265350</v>
      </c>
      <c r="D890" s="85" t="s">
        <v>142</v>
      </c>
      <c r="E890" s="87">
        <v>0</v>
      </c>
      <c r="F890" s="88">
        <v>13555421.500000011</v>
      </c>
      <c r="G890" s="87">
        <v>0</v>
      </c>
      <c r="I890" s="87">
        <v>145</v>
      </c>
      <c r="K890" s="87">
        <v>0</v>
      </c>
      <c r="M890" s="87">
        <v>130</v>
      </c>
      <c r="O890" s="87">
        <v>174</v>
      </c>
      <c r="P890" s="88">
        <v>15052184.000000007</v>
      </c>
      <c r="Q890" s="87">
        <v>0</v>
      </c>
      <c r="R890" s="87">
        <f t="shared" si="317"/>
        <v>1094</v>
      </c>
      <c r="T890" s="87">
        <v>0</v>
      </c>
      <c r="V890" s="87">
        <v>0</v>
      </c>
      <c r="X890" s="87">
        <v>0</v>
      </c>
      <c r="Y890" s="88">
        <v>16320536.999999996</v>
      </c>
      <c r="Z890" s="87">
        <v>0</v>
      </c>
      <c r="AA890" s="87">
        <v>1094</v>
      </c>
      <c r="AB890" s="89">
        <f t="shared" si="318"/>
        <v>145</v>
      </c>
      <c r="AC890" s="89">
        <f t="shared" si="319"/>
        <v>174</v>
      </c>
      <c r="AD890" s="89">
        <f t="shared" si="320"/>
        <v>0</v>
      </c>
      <c r="AE890" s="90">
        <f t="shared" si="332"/>
        <v>145</v>
      </c>
      <c r="AF890" s="90">
        <f t="shared" si="321"/>
        <v>2014</v>
      </c>
      <c r="AG890" s="90">
        <f t="shared" si="333"/>
        <v>1094</v>
      </c>
      <c r="AH890" s="90" t="str">
        <f t="shared" si="322"/>
        <v>2018 (triag)</v>
      </c>
      <c r="AI890" s="90">
        <f t="shared" si="323"/>
        <v>1094</v>
      </c>
      <c r="AJ890" s="90" t="str">
        <f t="shared" si="324"/>
        <v>2018 (triag)</v>
      </c>
      <c r="AK890" s="90" t="str">
        <f t="shared" si="325"/>
        <v/>
      </c>
      <c r="AL890" s="91">
        <f>IF(AK890="Adjust",(_xlfn.XLOOKUP(A890,'Adj factor'!A:A,'Adj factor'!I:I,,0)*AI890),'Master DataSheet (Rev)'!AI890)</f>
        <v>1094</v>
      </c>
      <c r="AM890" s="91">
        <f t="shared" si="326"/>
        <v>1094</v>
      </c>
      <c r="AN890" s="92" t="str">
        <f t="shared" si="327"/>
        <v>No change</v>
      </c>
      <c r="AO890" s="93">
        <f>VLOOKUP(B890,'Growthrates source'!A$2:H$49,8,FALSE)</f>
        <v>8.5173735635071912E-2</v>
      </c>
      <c r="AP890" s="93">
        <f>VLOOKUP(B890,'Growthrates source'!A$2:I$49,9,FALSE)</f>
        <v>0.17704702295875174</v>
      </c>
      <c r="AQ890" s="86">
        <f t="shared" si="328"/>
        <v>714.60311510344184</v>
      </c>
      <c r="AR890" s="86">
        <f t="shared" si="329"/>
        <v>1860.7539831595077</v>
      </c>
      <c r="AS890" s="94">
        <f t="shared" si="330"/>
        <v>0.10696827096081069</v>
      </c>
      <c r="AT890" s="94">
        <f t="shared" si="331"/>
        <v>0.72680482779110289</v>
      </c>
      <c r="AU890" s="94">
        <f t="shared" si="315"/>
        <v>0.67032108073404706</v>
      </c>
      <c r="AV890" s="94">
        <f t="shared" si="316"/>
        <v>0.67032108073404706</v>
      </c>
    </row>
    <row r="891" spans="1:48" x14ac:dyDescent="0.3">
      <c r="A891" s="85" t="str">
        <f>_xlfn.XLOOKUP(B891,'Country codes &amp; Data sources'!G:G,'Country codes &amp; Data sources'!H:H,,0)</f>
        <v>Zimbabwe</v>
      </c>
      <c r="B891" s="85" t="s">
        <v>193</v>
      </c>
      <c r="C891" s="86">
        <v>13265351</v>
      </c>
      <c r="D891" s="85" t="s">
        <v>83</v>
      </c>
      <c r="E891" s="87">
        <v>377</v>
      </c>
      <c r="F891" s="88">
        <v>13555421.500000011</v>
      </c>
      <c r="G891" s="87">
        <v>419</v>
      </c>
      <c r="I891" s="87">
        <v>413</v>
      </c>
      <c r="K891" s="87">
        <v>472</v>
      </c>
      <c r="M891" s="87">
        <v>432</v>
      </c>
      <c r="O891" s="87">
        <v>503</v>
      </c>
      <c r="P891" s="88">
        <v>15052184.000000007</v>
      </c>
      <c r="Q891" s="87">
        <v>688</v>
      </c>
      <c r="R891" s="87">
        <f t="shared" si="317"/>
        <v>688</v>
      </c>
      <c r="T891" s="87">
        <v>0</v>
      </c>
      <c r="V891" s="87">
        <v>0</v>
      </c>
      <c r="X891" s="87">
        <v>0</v>
      </c>
      <c r="Y891" s="88">
        <v>16320536.999999996</v>
      </c>
      <c r="Z891" s="87">
        <v>957</v>
      </c>
      <c r="AA891" s="87">
        <v>459</v>
      </c>
      <c r="AB891" s="89">
        <f t="shared" si="318"/>
        <v>472</v>
      </c>
      <c r="AC891" s="89">
        <f t="shared" si="319"/>
        <v>688</v>
      </c>
      <c r="AD891" s="89">
        <f t="shared" si="320"/>
        <v>957</v>
      </c>
      <c r="AE891" s="90">
        <f t="shared" si="332"/>
        <v>419</v>
      </c>
      <c r="AF891" s="90">
        <f t="shared" si="321"/>
        <v>2013</v>
      </c>
      <c r="AG891" s="90">
        <f t="shared" si="333"/>
        <v>688</v>
      </c>
      <c r="AH891" s="90">
        <f t="shared" si="322"/>
        <v>2018</v>
      </c>
      <c r="AI891" s="90">
        <f t="shared" si="323"/>
        <v>957</v>
      </c>
      <c r="AJ891" s="90">
        <f t="shared" si="324"/>
        <v>2022</v>
      </c>
      <c r="AK891" s="90" t="str">
        <f t="shared" si="325"/>
        <v/>
      </c>
      <c r="AL891" s="91">
        <f>IF(AK891="Adjust",(_xlfn.XLOOKUP(A891,'Adj factor'!A:A,'Adj factor'!I:I,,0)*AI891),'Master DataSheet (Rev)'!AI891)</f>
        <v>957</v>
      </c>
      <c r="AM891" s="91">
        <f t="shared" si="326"/>
        <v>957</v>
      </c>
      <c r="AN891" s="92" t="str">
        <f t="shared" si="327"/>
        <v>Increasing</v>
      </c>
      <c r="AO891" s="93">
        <f>VLOOKUP(B891,'Growthrates source'!A$2:H$49,8,FALSE)</f>
        <v>8.5173735635071912E-2</v>
      </c>
      <c r="AP891" s="93">
        <f>VLOOKUP(B891,'Growthrates source'!A$2:I$49,9,FALSE)</f>
        <v>0.17704702295875174</v>
      </c>
      <c r="AQ891" s="86">
        <f t="shared" si="328"/>
        <v>299.8197713276781</v>
      </c>
      <c r="AR891" s="86">
        <f t="shared" si="329"/>
        <v>780.70025436034189</v>
      </c>
      <c r="AS891" s="94">
        <f t="shared" si="330"/>
        <v>0.30910141746606673</v>
      </c>
      <c r="AT891" s="94">
        <f t="shared" si="331"/>
        <v>0.45707652789787823</v>
      </c>
      <c r="AU891" s="94">
        <f t="shared" si="315"/>
        <v>0.58637776440811984</v>
      </c>
      <c r="AV891" s="94">
        <f t="shared" si="316"/>
        <v>0.58637776440811984</v>
      </c>
    </row>
    <row r="892" spans="1:48" x14ac:dyDescent="0.3">
      <c r="A892" s="85" t="str">
        <f>_xlfn.XLOOKUP(B892,'Country codes &amp; Data sources'!G:G,'Country codes &amp; Data sources'!H:H,,0)</f>
        <v>Zimbabwe</v>
      </c>
      <c r="B892" s="85" t="s">
        <v>193</v>
      </c>
      <c r="C892" s="86">
        <v>13265352</v>
      </c>
      <c r="D892" s="85" t="s">
        <v>84</v>
      </c>
      <c r="E892" s="87">
        <v>0</v>
      </c>
      <c r="F892" s="88">
        <v>13555421.500000011</v>
      </c>
      <c r="G892" s="87">
        <v>0</v>
      </c>
      <c r="I892" s="87">
        <v>0</v>
      </c>
      <c r="K892" s="87">
        <v>0</v>
      </c>
      <c r="M892" s="87">
        <v>0</v>
      </c>
      <c r="O892" s="87">
        <v>0</v>
      </c>
      <c r="P892" s="88">
        <v>15052184.000000007</v>
      </c>
      <c r="Q892" s="87">
        <v>12</v>
      </c>
      <c r="R892" s="87">
        <f t="shared" si="317"/>
        <v>12</v>
      </c>
      <c r="T892" s="87">
        <v>0</v>
      </c>
      <c r="V892" s="87">
        <v>0</v>
      </c>
      <c r="X892" s="87">
        <v>0</v>
      </c>
      <c r="Y892" s="88">
        <v>16320536.999999996</v>
      </c>
      <c r="Z892" s="87">
        <v>84</v>
      </c>
      <c r="AA892" s="87">
        <v>0</v>
      </c>
      <c r="AB892" s="89">
        <f t="shared" si="318"/>
        <v>0</v>
      </c>
      <c r="AC892" s="89">
        <f t="shared" si="319"/>
        <v>12</v>
      </c>
      <c r="AD892" s="89">
        <f t="shared" si="320"/>
        <v>84</v>
      </c>
      <c r="AF892" s="90" t="str">
        <f t="shared" si="321"/>
        <v/>
      </c>
      <c r="AG892" s="90">
        <f t="shared" si="333"/>
        <v>12</v>
      </c>
      <c r="AH892" s="90">
        <f t="shared" si="322"/>
        <v>2018</v>
      </c>
      <c r="AI892" s="90">
        <f t="shared" si="323"/>
        <v>84</v>
      </c>
      <c r="AJ892" s="90">
        <f t="shared" si="324"/>
        <v>2022</v>
      </c>
      <c r="AK892" s="90" t="str">
        <f t="shared" si="325"/>
        <v/>
      </c>
      <c r="AL892" s="91">
        <f>IF(AK892="Adjust",(_xlfn.XLOOKUP(A892,'Adj factor'!A:A,'Adj factor'!I:I,,0)*AI892),'Master DataSheet (Rev)'!AI892)</f>
        <v>84</v>
      </c>
      <c r="AM892" s="91">
        <f t="shared" si="326"/>
        <v>84</v>
      </c>
      <c r="AN892" s="92" t="str">
        <f t="shared" si="327"/>
        <v>Increasing</v>
      </c>
      <c r="AO892" s="93">
        <f>VLOOKUP(B892,'Growthrates source'!A$2:H$49,8,FALSE)</f>
        <v>8.5173735635071912E-2</v>
      </c>
      <c r="AP892" s="93">
        <f>VLOOKUP(B892,'Growthrates source'!A$2:I$49,9,FALSE)</f>
        <v>0.17704702295875174</v>
      </c>
      <c r="AQ892" s="86">
        <f t="shared" si="328"/>
        <v>0</v>
      </c>
      <c r="AR892" s="86">
        <f t="shared" si="329"/>
        <v>0</v>
      </c>
      <c r="AS892" s="94">
        <f t="shared" si="330"/>
        <v>0</v>
      </c>
      <c r="AT892" s="94">
        <f t="shared" si="331"/>
        <v>7.9722650214746199E-3</v>
      </c>
      <c r="AU892" s="94">
        <f t="shared" si="315"/>
        <v>5.1468894681590452E-2</v>
      </c>
      <c r="AV892" s="94">
        <f t="shared" si="316"/>
        <v>5.1468894681590452E-2</v>
      </c>
    </row>
    <row r="893" spans="1:48" x14ac:dyDescent="0.3">
      <c r="A893" s="85" t="str">
        <f>_xlfn.XLOOKUP(B893,'Country codes &amp; Data sources'!G:G,'Country codes &amp; Data sources'!H:H,,0)</f>
        <v>Zimbabwe</v>
      </c>
      <c r="B893" s="85" t="s">
        <v>193</v>
      </c>
      <c r="C893" s="86">
        <v>13265353</v>
      </c>
      <c r="D893" s="85" t="s">
        <v>126</v>
      </c>
      <c r="E893" s="87">
        <v>0</v>
      </c>
      <c r="F893" s="88">
        <v>13555421.500000011</v>
      </c>
      <c r="G893" s="87">
        <v>0</v>
      </c>
      <c r="I893" s="87">
        <v>0</v>
      </c>
      <c r="K893" s="87">
        <v>0</v>
      </c>
      <c r="M893" s="87">
        <v>0</v>
      </c>
      <c r="O893" s="87">
        <v>0</v>
      </c>
      <c r="P893" s="88">
        <v>15052184.000000007</v>
      </c>
      <c r="Q893" s="87">
        <v>0</v>
      </c>
      <c r="R893" s="87">
        <f t="shared" si="317"/>
        <v>0</v>
      </c>
      <c r="T893" s="87">
        <v>0</v>
      </c>
      <c r="V893" s="87">
        <v>0</v>
      </c>
      <c r="X893" s="87">
        <v>0</v>
      </c>
      <c r="Y893" s="88">
        <v>16320536.999999996</v>
      </c>
      <c r="Z893" s="103">
        <v>22</v>
      </c>
      <c r="AA893" s="87">
        <v>0</v>
      </c>
      <c r="AB893" s="89">
        <f t="shared" si="318"/>
        <v>0</v>
      </c>
      <c r="AC893" s="89">
        <f t="shared" si="319"/>
        <v>0</v>
      </c>
      <c r="AD893" s="89">
        <f t="shared" si="320"/>
        <v>22</v>
      </c>
      <c r="AF893" s="90" t="str">
        <f t="shared" si="321"/>
        <v/>
      </c>
      <c r="AH893" s="90" t="str">
        <f t="shared" si="322"/>
        <v/>
      </c>
      <c r="AI893" s="90">
        <f t="shared" si="323"/>
        <v>22</v>
      </c>
      <c r="AJ893" s="90">
        <f t="shared" si="324"/>
        <v>2022</v>
      </c>
      <c r="AK893" s="90" t="str">
        <f t="shared" si="325"/>
        <v/>
      </c>
      <c r="AL893" s="91">
        <f>IF(AK893="Adjust",(_xlfn.XLOOKUP(A893,'Adj factor'!A:A,'Adj factor'!I:I,,0)*AI893),'Master DataSheet (Rev)'!AI893)</f>
        <v>22</v>
      </c>
      <c r="AM893" s="60">
        <v>22</v>
      </c>
      <c r="AN893" s="92" t="str">
        <f t="shared" si="327"/>
        <v>Increasing</v>
      </c>
      <c r="AO893" s="93">
        <f>VLOOKUP(B893,'Growthrates source'!A$2:H$49,8,FALSE)</f>
        <v>8.5173735635071912E-2</v>
      </c>
      <c r="AP893" s="93">
        <f>VLOOKUP(B893,'Growthrates source'!A$2:I$49,9,FALSE)</f>
        <v>0.17704702295875174</v>
      </c>
      <c r="AQ893" s="86">
        <f t="shared" si="328"/>
        <v>0</v>
      </c>
      <c r="AR893" s="86">
        <f t="shared" si="329"/>
        <v>0</v>
      </c>
      <c r="AS893" s="94">
        <f t="shared" si="330"/>
        <v>0</v>
      </c>
      <c r="AT893" s="94">
        <f t="shared" si="331"/>
        <v>0</v>
      </c>
      <c r="AU893" s="94">
        <f t="shared" si="315"/>
        <v>1.3479948607083214E-2</v>
      </c>
      <c r="AV893" s="94">
        <f t="shared" si="316"/>
        <v>1.3479948607083214E-2</v>
      </c>
    </row>
    <row r="894" spans="1:48" x14ac:dyDescent="0.3">
      <c r="A894" s="85" t="str">
        <f>_xlfn.XLOOKUP(B894,'Country codes &amp; Data sources'!G:G,'Country codes &amp; Data sources'!H:H,,0)</f>
        <v>Zimbabwe</v>
      </c>
      <c r="B894" s="85" t="s">
        <v>193</v>
      </c>
      <c r="C894" s="86">
        <v>13265354</v>
      </c>
      <c r="D894" s="85" t="s">
        <v>87</v>
      </c>
      <c r="E894" s="87">
        <v>0</v>
      </c>
      <c r="F894" s="88">
        <v>13555421.500000011</v>
      </c>
      <c r="G894" s="87">
        <v>0</v>
      </c>
      <c r="I894" s="87">
        <v>0</v>
      </c>
      <c r="K894" s="87">
        <v>0</v>
      </c>
      <c r="M894" s="87">
        <v>0</v>
      </c>
      <c r="O894" s="87">
        <v>596</v>
      </c>
      <c r="P894" s="88">
        <v>15052184.000000007</v>
      </c>
      <c r="Q894" s="87">
        <v>1215</v>
      </c>
      <c r="R894" s="87">
        <f>MAX(Q894,AA894)</f>
        <v>1215</v>
      </c>
      <c r="T894" s="87">
        <v>0</v>
      </c>
      <c r="V894" s="87">
        <v>0</v>
      </c>
      <c r="X894" s="87">
        <v>0</v>
      </c>
      <c r="Y894" s="88">
        <v>16320536.999999996</v>
      </c>
      <c r="Z894" s="87">
        <v>0</v>
      </c>
      <c r="AA894" s="87">
        <v>5</v>
      </c>
      <c r="AB894" s="89">
        <f t="shared" si="318"/>
        <v>0</v>
      </c>
      <c r="AC894" s="89">
        <f t="shared" si="319"/>
        <v>1215</v>
      </c>
      <c r="AD894" s="89">
        <f t="shared" si="320"/>
        <v>0</v>
      </c>
      <c r="AF894" s="90" t="str">
        <f t="shared" si="321"/>
        <v/>
      </c>
      <c r="AG894" s="90">
        <f t="shared" si="333"/>
        <v>1215</v>
      </c>
      <c r="AH894" s="90">
        <f t="shared" si="322"/>
        <v>2018</v>
      </c>
      <c r="AI894" s="90">
        <f t="shared" si="323"/>
        <v>1215</v>
      </c>
      <c r="AJ894" s="90">
        <f t="shared" si="324"/>
        <v>2018</v>
      </c>
      <c r="AK894" s="90" t="str">
        <f t="shared" si="325"/>
        <v/>
      </c>
      <c r="AL894" s="91">
        <f>IF(AK894="Adjust",(_xlfn.XLOOKUP(A894,'Adj factor'!A:A,'Adj factor'!I:I,,0)*AI894),'Master DataSheet (Rev)'!AI894)</f>
        <v>1215</v>
      </c>
      <c r="AM894" s="91">
        <f t="shared" si="326"/>
        <v>1215</v>
      </c>
      <c r="AN894" s="92" t="str">
        <f t="shared" si="327"/>
        <v>No change</v>
      </c>
      <c r="AO894" s="93">
        <f>VLOOKUP(B894,'Growthrates source'!A$2:H$49,8,FALSE)</f>
        <v>8.5173735635071912E-2</v>
      </c>
      <c r="AP894" s="93">
        <f>VLOOKUP(B894,'Growthrates source'!A$2:I$49,9,FALSE)</f>
        <v>0.17704702295875174</v>
      </c>
      <c r="AQ894" s="86">
        <f t="shared" si="328"/>
        <v>3.2660105809115261</v>
      </c>
      <c r="AR894" s="86">
        <f t="shared" si="329"/>
        <v>8.5043600692847701</v>
      </c>
      <c r="AS894" s="94">
        <f t="shared" si="330"/>
        <v>0</v>
      </c>
      <c r="AT894" s="94">
        <f t="shared" si="331"/>
        <v>0.80719183342430534</v>
      </c>
      <c r="AU894" s="94">
        <f t="shared" si="315"/>
        <v>0.7444607980730048</v>
      </c>
      <c r="AV894" s="94">
        <f t="shared" si="316"/>
        <v>0.7444607980730048</v>
      </c>
    </row>
    <row r="895" spans="1:48" x14ac:dyDescent="0.3">
      <c r="A895" s="85" t="str">
        <f>_xlfn.XLOOKUP(B895,'Country codes &amp; Data sources'!G:G,'Country codes &amp; Data sources'!H:H,,0)</f>
        <v>Angola</v>
      </c>
      <c r="B895" s="85" t="s">
        <v>162</v>
      </c>
      <c r="C895" s="85">
        <v>25188292.499999996</v>
      </c>
      <c r="D895" s="85" t="s">
        <v>326</v>
      </c>
      <c r="E895" s="86">
        <v>0</v>
      </c>
      <c r="F895" s="86">
        <v>26147002.000000011</v>
      </c>
      <c r="G895" s="86">
        <v>0</v>
      </c>
      <c r="H895" s="86">
        <v>27128336.499999981</v>
      </c>
      <c r="I895" s="86">
        <v>0</v>
      </c>
      <c r="J895" s="86">
        <v>28127721.000000004</v>
      </c>
      <c r="K895" s="86">
        <v>0</v>
      </c>
      <c r="L895" s="86">
        <v>29154745.500000007</v>
      </c>
      <c r="M895" s="86">
        <v>0</v>
      </c>
      <c r="N895" s="86">
        <v>30208628.000000015</v>
      </c>
      <c r="O895" s="86">
        <v>6400</v>
      </c>
      <c r="P895" s="86">
        <v>31273533.000000004</v>
      </c>
      <c r="Q895" s="86">
        <v>6593</v>
      </c>
      <c r="R895" s="87">
        <f t="shared" ref="R895:R958" si="334">MAX(Q895,AA895)</f>
        <v>6593</v>
      </c>
      <c r="S895" s="87">
        <v>32353587.999999993</v>
      </c>
      <c r="T895" s="87">
        <v>0</v>
      </c>
      <c r="U895" s="89">
        <v>33428485.999999974</v>
      </c>
      <c r="V895" s="89">
        <v>0</v>
      </c>
      <c r="W895" s="90">
        <v>34503773.49999997</v>
      </c>
      <c r="X895" s="90">
        <v>0</v>
      </c>
      <c r="Y895" s="90">
        <v>35588987.00000003</v>
      </c>
      <c r="Z895" s="90">
        <v>8693</v>
      </c>
      <c r="AA895" s="90">
        <v>6593</v>
      </c>
      <c r="AB895" s="89">
        <f t="shared" si="318"/>
        <v>0</v>
      </c>
      <c r="AC895" s="89">
        <f t="shared" si="319"/>
        <v>6593</v>
      </c>
      <c r="AD895" s="89">
        <f t="shared" si="320"/>
        <v>8693</v>
      </c>
      <c r="AF895" s="90" t="str">
        <f t="shared" si="321"/>
        <v/>
      </c>
      <c r="AG895" s="90">
        <f t="shared" si="333"/>
        <v>6593</v>
      </c>
      <c r="AH895" s="90">
        <f t="shared" si="322"/>
        <v>2018</v>
      </c>
      <c r="AI895" s="90">
        <f t="shared" si="323"/>
        <v>8693</v>
      </c>
      <c r="AJ895" s="90">
        <f t="shared" si="324"/>
        <v>2022</v>
      </c>
      <c r="AK895" s="90" t="str">
        <f t="shared" si="325"/>
        <v/>
      </c>
      <c r="AL895" s="91">
        <f>IF(AK895="Adjust",(_xlfn.XLOOKUP(A895,'Adj factor'!A:A,'Adj factor'!I:I,,0)*AI895),'Master DataSheet (Rev)'!AI895)</f>
        <v>8693</v>
      </c>
      <c r="AM895" s="91">
        <f t="shared" si="326"/>
        <v>8693</v>
      </c>
      <c r="AN895" s="92" t="str">
        <f t="shared" si="327"/>
        <v>Increasing</v>
      </c>
      <c r="AS895" s="94">
        <f t="shared" si="330"/>
        <v>0</v>
      </c>
      <c r="AT895" s="94">
        <f t="shared" si="331"/>
        <v>2.1081724281039813</v>
      </c>
      <c r="AU895" s="94">
        <f t="shared" si="315"/>
        <v>2.4426095634584915</v>
      </c>
      <c r="AV895" s="94">
        <f t="shared" si="316"/>
        <v>2.4426095634584915</v>
      </c>
    </row>
    <row r="896" spans="1:48" x14ac:dyDescent="0.3">
      <c r="A896" s="85" t="str">
        <f>_xlfn.XLOOKUP(B896,'Country codes &amp; Data sources'!G:G,'Country codes &amp; Data sources'!H:H,,0)</f>
        <v>Angola</v>
      </c>
      <c r="B896" s="85" t="s">
        <v>162</v>
      </c>
      <c r="C896" s="85">
        <v>25188292.499999996</v>
      </c>
      <c r="D896" s="85" t="s">
        <v>327</v>
      </c>
      <c r="E896" s="86">
        <v>0</v>
      </c>
      <c r="F896" s="86">
        <v>26147002.000000011</v>
      </c>
      <c r="G896" s="86">
        <v>0</v>
      </c>
      <c r="H896" s="86"/>
      <c r="I896" s="86">
        <v>0</v>
      </c>
      <c r="J896" s="86"/>
      <c r="K896" s="86">
        <v>0</v>
      </c>
      <c r="L896" s="86"/>
      <c r="M896" s="86">
        <v>0</v>
      </c>
      <c r="N896" s="86"/>
      <c r="O896" s="86">
        <v>0</v>
      </c>
      <c r="P896" s="86">
        <v>31273533.000000004</v>
      </c>
      <c r="Q896" s="86">
        <v>3043</v>
      </c>
      <c r="R896" s="87">
        <f t="shared" si="334"/>
        <v>3043</v>
      </c>
      <c r="T896" s="87">
        <v>0</v>
      </c>
      <c r="U896" s="89"/>
      <c r="V896" s="89">
        <v>0</v>
      </c>
      <c r="W896" s="90"/>
      <c r="X896" s="90">
        <v>0</v>
      </c>
      <c r="Y896" s="90">
        <v>35588987.00000003</v>
      </c>
      <c r="Z896" s="90">
        <v>4778</v>
      </c>
      <c r="AA896" s="90">
        <v>3043</v>
      </c>
      <c r="AB896" s="89">
        <f t="shared" si="318"/>
        <v>0</v>
      </c>
      <c r="AC896" s="89">
        <f t="shared" si="319"/>
        <v>3043</v>
      </c>
      <c r="AD896" s="89">
        <f t="shared" si="320"/>
        <v>4778</v>
      </c>
      <c r="AF896" s="90" t="str">
        <f t="shared" si="321"/>
        <v/>
      </c>
      <c r="AG896" s="90">
        <f t="shared" si="333"/>
        <v>3043</v>
      </c>
      <c r="AH896" s="90">
        <f t="shared" si="322"/>
        <v>2018</v>
      </c>
      <c r="AI896" s="90">
        <f t="shared" si="323"/>
        <v>4778</v>
      </c>
      <c r="AJ896" s="90">
        <f t="shared" si="324"/>
        <v>2022</v>
      </c>
      <c r="AK896" s="90" t="str">
        <f t="shared" si="325"/>
        <v/>
      </c>
      <c r="AL896" s="91">
        <f>IF(AK896="Adjust",(_xlfn.XLOOKUP(A896,'Adj factor'!A:A,'Adj factor'!I:I,,0)*AI896),'Master DataSheet (Rev)'!AI896)</f>
        <v>4778</v>
      </c>
      <c r="AM896" s="91">
        <f t="shared" si="326"/>
        <v>4778</v>
      </c>
      <c r="AN896" s="92" t="str">
        <f t="shared" si="327"/>
        <v>Increasing</v>
      </c>
      <c r="AS896" s="94">
        <f t="shared" si="330"/>
        <v>0</v>
      </c>
      <c r="AT896" s="94">
        <f t="shared" si="331"/>
        <v>0.97302725598671558</v>
      </c>
      <c r="AU896" s="94">
        <f t="shared" si="315"/>
        <v>1.3425501546306997</v>
      </c>
      <c r="AV896" s="94">
        <f t="shared" si="316"/>
        <v>1.3425501546306997</v>
      </c>
    </row>
    <row r="897" spans="1:48" x14ac:dyDescent="0.3">
      <c r="A897" s="85" t="str">
        <f>_xlfn.XLOOKUP(B897,'Country codes &amp; Data sources'!G:G,'Country codes &amp; Data sources'!H:H,,0)</f>
        <v>Angola</v>
      </c>
      <c r="B897" s="85" t="s">
        <v>162</v>
      </c>
      <c r="C897" s="85">
        <v>25188292.499999996</v>
      </c>
      <c r="D897" s="85" t="s">
        <v>328</v>
      </c>
      <c r="E897" s="86">
        <v>0</v>
      </c>
      <c r="F897" s="86">
        <v>26147002.000000011</v>
      </c>
      <c r="G897" s="86">
        <v>0</v>
      </c>
      <c r="H897" s="86"/>
      <c r="I897" s="86">
        <v>0</v>
      </c>
      <c r="J897" s="86"/>
      <c r="K897" s="86">
        <v>0</v>
      </c>
      <c r="L897" s="86"/>
      <c r="M897" s="86">
        <v>0</v>
      </c>
      <c r="N897" s="86"/>
      <c r="O897" s="86">
        <v>0</v>
      </c>
      <c r="P897" s="86">
        <v>31273533.000000004</v>
      </c>
      <c r="Q897" s="86">
        <v>3550</v>
      </c>
      <c r="R897" s="87">
        <f>MAX(Q897,AA897)</f>
        <v>3550</v>
      </c>
      <c r="T897" s="87">
        <v>0</v>
      </c>
      <c r="U897" s="89"/>
      <c r="V897" s="89">
        <v>0</v>
      </c>
      <c r="W897" s="90"/>
      <c r="X897" s="90">
        <v>0</v>
      </c>
      <c r="Y897" s="90">
        <v>35588987.00000003</v>
      </c>
      <c r="Z897" s="90">
        <v>3915</v>
      </c>
      <c r="AA897" s="90">
        <v>3550</v>
      </c>
      <c r="AB897" s="89">
        <f t="shared" si="318"/>
        <v>0</v>
      </c>
      <c r="AC897" s="89">
        <f t="shared" si="319"/>
        <v>3550</v>
      </c>
      <c r="AD897" s="89">
        <f t="shared" si="320"/>
        <v>3915</v>
      </c>
      <c r="AF897" s="90" t="str">
        <f t="shared" si="321"/>
        <v/>
      </c>
      <c r="AG897" s="90">
        <f t="shared" si="333"/>
        <v>3550</v>
      </c>
      <c r="AH897" s="90">
        <f t="shared" si="322"/>
        <v>2018</v>
      </c>
      <c r="AI897" s="90">
        <f t="shared" si="323"/>
        <v>3915</v>
      </c>
      <c r="AJ897" s="90">
        <f t="shared" si="324"/>
        <v>2022</v>
      </c>
      <c r="AK897" s="90" t="str">
        <f t="shared" si="325"/>
        <v/>
      </c>
      <c r="AL897" s="91">
        <f>IF(AK897="Adjust",(_xlfn.XLOOKUP(A897,'Adj factor'!A:A,'Adj factor'!I:I,,0)*AI897),'Master DataSheet (Rev)'!AI897)</f>
        <v>3915</v>
      </c>
      <c r="AM897" s="91">
        <f t="shared" si="326"/>
        <v>3915</v>
      </c>
      <c r="AN897" s="92" t="str">
        <f t="shared" si="327"/>
        <v>Increasing</v>
      </c>
      <c r="AS897" s="94">
        <f t="shared" si="330"/>
        <v>0</v>
      </c>
      <c r="AT897" s="94">
        <f t="shared" si="331"/>
        <v>1.1351451721172658</v>
      </c>
      <c r="AU897" s="94">
        <f t="shared" si="315"/>
        <v>1.1000594088277917</v>
      </c>
      <c r="AV897" s="94">
        <f t="shared" si="316"/>
        <v>1.1000594088277917</v>
      </c>
    </row>
    <row r="898" spans="1:48" x14ac:dyDescent="0.3">
      <c r="A898" s="85" t="str">
        <f>_xlfn.XLOOKUP(B898,'Country codes &amp; Data sources'!G:G,'Country codes &amp; Data sources'!H:H,,0)</f>
        <v>Angola</v>
      </c>
      <c r="B898" s="85" t="s">
        <v>162</v>
      </c>
      <c r="C898" s="85">
        <v>25188292.499999996</v>
      </c>
      <c r="D898" s="85" t="s">
        <v>329</v>
      </c>
      <c r="E898" s="86">
        <v>0</v>
      </c>
      <c r="F898" s="86">
        <v>26147002.000000011</v>
      </c>
      <c r="G898" s="86">
        <v>0</v>
      </c>
      <c r="H898" s="86"/>
      <c r="I898" s="86">
        <v>0</v>
      </c>
      <c r="J898" s="86"/>
      <c r="K898" s="86">
        <v>0</v>
      </c>
      <c r="L898" s="86"/>
      <c r="M898" s="86">
        <v>0</v>
      </c>
      <c r="N898" s="86"/>
      <c r="O898" s="86">
        <v>0</v>
      </c>
      <c r="P898" s="86">
        <v>31273533.000000004</v>
      </c>
      <c r="Q898" s="86">
        <v>12554</v>
      </c>
      <c r="R898" s="87">
        <f t="shared" si="334"/>
        <v>46082</v>
      </c>
      <c r="T898" s="87">
        <v>0</v>
      </c>
      <c r="U898" s="89"/>
      <c r="V898" s="89">
        <v>0</v>
      </c>
      <c r="W898" s="90"/>
      <c r="X898" s="90">
        <v>0</v>
      </c>
      <c r="Y898" s="90">
        <v>35588987.00000003</v>
      </c>
      <c r="Z898" s="90">
        <v>44989</v>
      </c>
      <c r="AA898" s="90">
        <v>46082</v>
      </c>
      <c r="AB898" s="89">
        <f t="shared" si="318"/>
        <v>0</v>
      </c>
      <c r="AC898" s="89">
        <f t="shared" si="319"/>
        <v>12554</v>
      </c>
      <c r="AD898" s="89">
        <f t="shared" si="320"/>
        <v>44989</v>
      </c>
      <c r="AF898" s="90" t="str">
        <f t="shared" si="321"/>
        <v/>
      </c>
      <c r="AG898" s="90">
        <f t="shared" si="333"/>
        <v>46082</v>
      </c>
      <c r="AH898" s="90" t="str">
        <f t="shared" si="322"/>
        <v>2018 (triag)</v>
      </c>
      <c r="AI898" s="90">
        <f t="shared" si="323"/>
        <v>44989</v>
      </c>
      <c r="AJ898" s="90">
        <f t="shared" si="324"/>
        <v>2022</v>
      </c>
      <c r="AK898" s="90" t="str">
        <f t="shared" si="325"/>
        <v>Adjust</v>
      </c>
      <c r="AL898" s="91">
        <f>IF(AK898="Adjust",(_xlfn.XLOOKUP(A898,'Adj factor'!A:A,'Adj factor'!I:I,,0)*AI898),'Master DataSheet (Rev)'!AI898)</f>
        <v>66717.353814379763</v>
      </c>
      <c r="AM898" s="91">
        <f t="shared" si="326"/>
        <v>66717.353814379763</v>
      </c>
      <c r="AN898" s="92" t="str">
        <f>IF(AL898&gt;AG898,"Increasing",IF(AL898&lt;AG898,"Decreasing","No change"))</f>
        <v>Increasing</v>
      </c>
      <c r="AS898" s="94">
        <f t="shared" si="330"/>
        <v>0</v>
      </c>
      <c r="AT898" s="94">
        <f t="shared" si="331"/>
        <v>14.735143611692351</v>
      </c>
      <c r="AU898" s="94">
        <f t="shared" si="315"/>
        <v>18.746629066564807</v>
      </c>
      <c r="AV898" s="94">
        <f t="shared" si="316"/>
        <v>18.746629066564807</v>
      </c>
    </row>
    <row r="899" spans="1:48" x14ac:dyDescent="0.3">
      <c r="A899" s="85" t="str">
        <f>_xlfn.XLOOKUP(B899,'Country codes &amp; Data sources'!G:G,'Country codes &amp; Data sources'!H:H,,0)</f>
        <v>Angola</v>
      </c>
      <c r="B899" s="85" t="s">
        <v>162</v>
      </c>
      <c r="C899" s="85">
        <v>25188292.499999996</v>
      </c>
      <c r="D899" s="85" t="s">
        <v>330</v>
      </c>
      <c r="E899" s="86">
        <v>0</v>
      </c>
      <c r="F899" s="86">
        <v>26147002.000000011</v>
      </c>
      <c r="G899" s="86">
        <v>0</v>
      </c>
      <c r="H899" s="86"/>
      <c r="I899" s="86">
        <v>0</v>
      </c>
      <c r="J899" s="86"/>
      <c r="K899" s="86">
        <v>0</v>
      </c>
      <c r="L899" s="86"/>
      <c r="M899" s="86">
        <v>0</v>
      </c>
      <c r="N899" s="86"/>
      <c r="O899" s="86">
        <v>0</v>
      </c>
      <c r="P899" s="86">
        <v>31273533.000000004</v>
      </c>
      <c r="Q899" s="86">
        <v>9317</v>
      </c>
      <c r="R899" s="87">
        <f t="shared" si="334"/>
        <v>9317</v>
      </c>
      <c r="T899" s="87">
        <v>0</v>
      </c>
      <c r="U899" s="89"/>
      <c r="V899" s="89">
        <v>0</v>
      </c>
      <c r="W899" s="90"/>
      <c r="X899" s="90">
        <v>0</v>
      </c>
      <c r="Y899" s="90">
        <v>35588987.00000003</v>
      </c>
      <c r="Z899" s="90">
        <v>6241</v>
      </c>
      <c r="AA899" s="90">
        <v>7221</v>
      </c>
      <c r="AB899" s="89">
        <f t="shared" si="318"/>
        <v>0</v>
      </c>
      <c r="AC899" s="89">
        <f t="shared" si="319"/>
        <v>9317</v>
      </c>
      <c r="AD899" s="89">
        <f t="shared" si="320"/>
        <v>6241</v>
      </c>
      <c r="AF899" s="90" t="str">
        <f t="shared" si="321"/>
        <v/>
      </c>
      <c r="AG899" s="90">
        <f t="shared" si="333"/>
        <v>9317</v>
      </c>
      <c r="AH899" s="90">
        <f t="shared" si="322"/>
        <v>2018</v>
      </c>
      <c r="AI899" s="90">
        <f t="shared" si="323"/>
        <v>6241</v>
      </c>
      <c r="AJ899" s="90">
        <f t="shared" si="324"/>
        <v>2022</v>
      </c>
      <c r="AK899" s="90" t="str">
        <f t="shared" si="325"/>
        <v>Adjust</v>
      </c>
      <c r="AL899" s="91">
        <f>IF(AK899="Adjust",(_xlfn.XLOOKUP(A899,'Adj factor'!A:A,'Adj factor'!I:I,,0)*AI899),'Master DataSheet (Rev)'!AI899)</f>
        <v>9255.2180567592986</v>
      </c>
      <c r="AM899" s="91">
        <f t="shared" si="326"/>
        <v>9317</v>
      </c>
      <c r="AN899" s="92" t="str">
        <f t="shared" si="327"/>
        <v>Decreasing</v>
      </c>
      <c r="AS899" s="94">
        <f t="shared" si="330"/>
        <v>0</v>
      </c>
      <c r="AT899" s="94">
        <f t="shared" si="331"/>
        <v>2.97919649820185</v>
      </c>
      <c r="AU899" s="94">
        <f t="shared" ref="AU899:AU962" si="335">(AL899*10000)/Y899</f>
        <v>2.6005848541739307</v>
      </c>
      <c r="AV899" s="94">
        <f t="shared" ref="AV899:AV962" si="336">(AM899*10000)/Y899</f>
        <v>2.6179447029498175</v>
      </c>
    </row>
    <row r="900" spans="1:48" x14ac:dyDescent="0.3">
      <c r="A900" s="85" t="str">
        <f>_xlfn.XLOOKUP(B900,'Country codes &amp; Data sources'!G:G,'Country codes &amp; Data sources'!H:H,,0)</f>
        <v>Angola</v>
      </c>
      <c r="B900" s="85" t="s">
        <v>162</v>
      </c>
      <c r="C900" s="85">
        <v>25188292.499999996</v>
      </c>
      <c r="D900" s="85" t="s">
        <v>331</v>
      </c>
      <c r="E900" s="86">
        <v>0</v>
      </c>
      <c r="F900" s="86">
        <v>26147002.000000011</v>
      </c>
      <c r="G900" s="86">
        <v>0</v>
      </c>
      <c r="H900" s="86"/>
      <c r="I900" s="86">
        <v>0</v>
      </c>
      <c r="J900" s="86"/>
      <c r="K900" s="86">
        <v>0</v>
      </c>
      <c r="L900" s="86"/>
      <c r="M900" s="86">
        <v>0</v>
      </c>
      <c r="N900" s="86"/>
      <c r="O900" s="86">
        <v>0</v>
      </c>
      <c r="P900" s="86">
        <v>31273533.000000004</v>
      </c>
      <c r="Q900" s="86">
        <v>3237</v>
      </c>
      <c r="R900" s="87">
        <f t="shared" si="334"/>
        <v>38861</v>
      </c>
      <c r="T900" s="87">
        <v>0</v>
      </c>
      <c r="U900" s="89"/>
      <c r="V900" s="89">
        <v>0</v>
      </c>
      <c r="W900" s="90"/>
      <c r="X900" s="90">
        <v>0</v>
      </c>
      <c r="Y900" s="90">
        <v>35588987.00000003</v>
      </c>
      <c r="Z900" s="90">
        <v>37151</v>
      </c>
      <c r="AA900" s="90">
        <v>38861</v>
      </c>
      <c r="AB900" s="89">
        <f t="shared" si="318"/>
        <v>0</v>
      </c>
      <c r="AC900" s="89">
        <f t="shared" si="319"/>
        <v>3237</v>
      </c>
      <c r="AD900" s="89">
        <f t="shared" si="320"/>
        <v>37151</v>
      </c>
      <c r="AF900" s="90" t="str">
        <f t="shared" si="321"/>
        <v/>
      </c>
      <c r="AG900" s="90">
        <f t="shared" si="333"/>
        <v>38861</v>
      </c>
      <c r="AH900" s="90" t="str">
        <f t="shared" si="322"/>
        <v>2018 (triag)</v>
      </c>
      <c r="AI900" s="90">
        <f t="shared" si="323"/>
        <v>37151</v>
      </c>
      <c r="AJ900" s="90">
        <f t="shared" si="324"/>
        <v>2022</v>
      </c>
      <c r="AK900" s="90" t="str">
        <f t="shared" si="325"/>
        <v>Adjust</v>
      </c>
      <c r="AL900" s="91">
        <f>IF(AK900="Adjust",(_xlfn.XLOOKUP(A900,'Adj factor'!A:A,'Adj factor'!I:I,,0)*AI900),'Master DataSheet (Rev)'!AI900)</f>
        <v>55093.832082465102</v>
      </c>
      <c r="AM900" s="91">
        <f t="shared" si="326"/>
        <v>55093.832082465102</v>
      </c>
      <c r="AN900" s="92" t="str">
        <f t="shared" si="327"/>
        <v>Increasing</v>
      </c>
      <c r="AS900" s="94">
        <f t="shared" si="330"/>
        <v>0</v>
      </c>
      <c r="AT900" s="94">
        <f t="shared" si="331"/>
        <v>12.426162403844808</v>
      </c>
      <c r="AU900" s="94">
        <f t="shared" si="335"/>
        <v>15.480584508478719</v>
      </c>
      <c r="AV900" s="94">
        <f t="shared" si="336"/>
        <v>15.480584508478719</v>
      </c>
    </row>
    <row r="901" spans="1:48" x14ac:dyDescent="0.3">
      <c r="A901" s="85" t="str">
        <f>_xlfn.XLOOKUP(B901,'Country codes &amp; Data sources'!G:G,'Country codes &amp; Data sources'!H:H,,0)</f>
        <v>Angola</v>
      </c>
      <c r="B901" s="85" t="s">
        <v>162</v>
      </c>
      <c r="C901" s="85">
        <v>25188292.499999996</v>
      </c>
      <c r="D901" s="85" t="s">
        <v>332</v>
      </c>
      <c r="E901" s="86">
        <v>0</v>
      </c>
      <c r="F901" s="86">
        <v>26147002.000000011</v>
      </c>
      <c r="G901" s="86">
        <v>30</v>
      </c>
      <c r="H901" s="86"/>
      <c r="I901" s="86">
        <v>0</v>
      </c>
      <c r="J901" s="86"/>
      <c r="K901" s="86">
        <v>0</v>
      </c>
      <c r="L901" s="86"/>
      <c r="M901" s="86">
        <v>0</v>
      </c>
      <c r="N901" s="86"/>
      <c r="O901" s="86">
        <v>0</v>
      </c>
      <c r="P901" s="86">
        <v>31273533.000000004</v>
      </c>
      <c r="Q901" s="86">
        <v>0</v>
      </c>
      <c r="R901" s="87">
        <f t="shared" si="334"/>
        <v>1438</v>
      </c>
      <c r="T901" s="87">
        <v>0</v>
      </c>
      <c r="U901" s="89"/>
      <c r="V901" s="89">
        <v>0</v>
      </c>
      <c r="W901" s="90"/>
      <c r="X901" s="90">
        <v>0</v>
      </c>
      <c r="Y901" s="90">
        <v>35588987.00000003</v>
      </c>
      <c r="Z901" s="90">
        <v>22</v>
      </c>
      <c r="AA901" s="90">
        <v>1438</v>
      </c>
      <c r="AB901" s="89">
        <f t="shared" si="318"/>
        <v>30</v>
      </c>
      <c r="AC901" s="89">
        <f t="shared" si="319"/>
        <v>0</v>
      </c>
      <c r="AD901" s="89">
        <f t="shared" si="320"/>
        <v>22</v>
      </c>
      <c r="AE901" s="90">
        <f t="shared" si="332"/>
        <v>30</v>
      </c>
      <c r="AF901" s="90">
        <f t="shared" si="321"/>
        <v>2013</v>
      </c>
      <c r="AG901" s="90">
        <f t="shared" si="333"/>
        <v>1438</v>
      </c>
      <c r="AH901" s="90" t="str">
        <f t="shared" si="322"/>
        <v>2018 (triag)</v>
      </c>
      <c r="AI901" s="90">
        <f t="shared" si="323"/>
        <v>22</v>
      </c>
      <c r="AJ901" s="90">
        <f t="shared" si="324"/>
        <v>2022</v>
      </c>
      <c r="AK901" s="90" t="str">
        <f t="shared" si="325"/>
        <v>Adjust</v>
      </c>
      <c r="AL901" s="91">
        <f>IF(AK901="Adjust",(_xlfn.XLOOKUP(A901,'Adj factor'!A:A,'Adj factor'!I:I,,0)*AI901),'Master DataSheet (Rev)'!AI901)</f>
        <v>32.625348061000572</v>
      </c>
      <c r="AM901" s="91">
        <f t="shared" si="326"/>
        <v>1438</v>
      </c>
      <c r="AN901" s="92" t="str">
        <f t="shared" si="327"/>
        <v>Decreasing</v>
      </c>
      <c r="AS901" s="94">
        <f t="shared" si="330"/>
        <v>1.147359073900709E-2</v>
      </c>
      <c r="AT901" s="94">
        <f t="shared" si="331"/>
        <v>0.45981373450834601</v>
      </c>
      <c r="AU901" s="94">
        <f t="shared" si="335"/>
        <v>9.1672595404304561E-3</v>
      </c>
      <c r="AV901" s="94">
        <f t="shared" si="336"/>
        <v>0.40405758107135747</v>
      </c>
    </row>
    <row r="902" spans="1:48" x14ac:dyDescent="0.3">
      <c r="A902" s="85" t="str">
        <f>_xlfn.XLOOKUP(B902,'Country codes &amp; Data sources'!G:G,'Country codes &amp; Data sources'!H:H,,0)</f>
        <v>Angola</v>
      </c>
      <c r="B902" s="85" t="s">
        <v>162</v>
      </c>
      <c r="C902" s="85">
        <v>25188292.499999996</v>
      </c>
      <c r="D902" s="85" t="s">
        <v>333</v>
      </c>
      <c r="E902" s="86">
        <v>0</v>
      </c>
      <c r="F902" s="86">
        <v>26147002.000000011</v>
      </c>
      <c r="G902" s="86">
        <v>30</v>
      </c>
      <c r="H902" s="86"/>
      <c r="I902" s="86">
        <v>0</v>
      </c>
      <c r="J902" s="86"/>
      <c r="K902" s="86">
        <v>0</v>
      </c>
      <c r="L902" s="86"/>
      <c r="M902" s="86">
        <v>0</v>
      </c>
      <c r="N902" s="86"/>
      <c r="O902" s="86">
        <v>0</v>
      </c>
      <c r="P902" s="86">
        <v>31273533.000000004</v>
      </c>
      <c r="Q902" s="86">
        <v>0</v>
      </c>
      <c r="R902" s="87">
        <f t="shared" si="334"/>
        <v>769</v>
      </c>
      <c r="T902" s="87">
        <v>0</v>
      </c>
      <c r="U902" s="89"/>
      <c r="V902" s="89">
        <v>0</v>
      </c>
      <c r="W902" s="90"/>
      <c r="X902" s="90">
        <v>0</v>
      </c>
      <c r="Y902" s="90">
        <v>35588987.00000003</v>
      </c>
      <c r="Z902" s="90">
        <v>2</v>
      </c>
      <c r="AA902" s="90">
        <v>769</v>
      </c>
      <c r="AB902" s="89">
        <f t="shared" si="318"/>
        <v>30</v>
      </c>
      <c r="AC902" s="89">
        <f t="shared" si="319"/>
        <v>0</v>
      </c>
      <c r="AD902" s="89">
        <f t="shared" si="320"/>
        <v>2</v>
      </c>
      <c r="AE902" s="90">
        <f t="shared" si="332"/>
        <v>30</v>
      </c>
      <c r="AF902" s="90">
        <f t="shared" si="321"/>
        <v>2013</v>
      </c>
      <c r="AG902" s="90">
        <f t="shared" si="333"/>
        <v>769</v>
      </c>
      <c r="AH902" s="90" t="str">
        <f t="shared" si="322"/>
        <v>2018 (triag)</v>
      </c>
      <c r="AI902" s="90">
        <f t="shared" si="323"/>
        <v>2</v>
      </c>
      <c r="AJ902" s="90">
        <f t="shared" si="324"/>
        <v>2022</v>
      </c>
      <c r="AK902" s="90" t="str">
        <f t="shared" si="325"/>
        <v>Adjust</v>
      </c>
      <c r="AL902" s="91">
        <f>IF(AK902="Adjust",(_xlfn.XLOOKUP(A902,'Adj factor'!A:A,'Adj factor'!I:I,,0)*AI902),'Master DataSheet (Rev)'!AI902)</f>
        <v>2.9659407328182339</v>
      </c>
      <c r="AM902" s="91">
        <f t="shared" si="326"/>
        <v>769</v>
      </c>
      <c r="AN902" s="92" t="str">
        <f t="shared" si="327"/>
        <v>Decreasing</v>
      </c>
      <c r="AS902" s="94">
        <f t="shared" si="330"/>
        <v>1.147359073900709E-2</v>
      </c>
      <c r="AT902" s="94">
        <f t="shared" si="331"/>
        <v>0.24589482742483873</v>
      </c>
      <c r="AU902" s="94">
        <f t="shared" si="335"/>
        <v>8.3338723094822321E-4</v>
      </c>
      <c r="AV902" s="94">
        <f t="shared" si="336"/>
        <v>0.2160780805590222</v>
      </c>
    </row>
    <row r="903" spans="1:48" x14ac:dyDescent="0.3">
      <c r="A903" s="85" t="str">
        <f>_xlfn.XLOOKUP(B903,'Country codes &amp; Data sources'!G:G,'Country codes &amp; Data sources'!H:H,,0)</f>
        <v>Angola</v>
      </c>
      <c r="B903" s="85" t="s">
        <v>162</v>
      </c>
      <c r="C903" s="85">
        <v>25188292.499999996</v>
      </c>
      <c r="D903" s="85" t="s">
        <v>334</v>
      </c>
      <c r="E903" s="86">
        <v>0</v>
      </c>
      <c r="F903" s="86">
        <v>26147002.000000011</v>
      </c>
      <c r="G903" s="86">
        <v>0</v>
      </c>
      <c r="H903" s="86"/>
      <c r="I903" s="86">
        <v>0</v>
      </c>
      <c r="J903" s="86"/>
      <c r="K903" s="86">
        <v>0</v>
      </c>
      <c r="L903" s="86"/>
      <c r="M903" s="86">
        <v>0</v>
      </c>
      <c r="N903" s="86"/>
      <c r="O903" s="86">
        <v>0</v>
      </c>
      <c r="P903" s="86">
        <v>31273533.000000004</v>
      </c>
      <c r="Q903" s="86">
        <v>0</v>
      </c>
      <c r="R903" s="87">
        <f t="shared" si="334"/>
        <v>669</v>
      </c>
      <c r="T903" s="87">
        <v>0</v>
      </c>
      <c r="U903" s="89"/>
      <c r="V903" s="89">
        <v>0</v>
      </c>
      <c r="W903" s="90"/>
      <c r="X903" s="90">
        <v>0</v>
      </c>
      <c r="Y903" s="90">
        <v>35588987.00000003</v>
      </c>
      <c r="Z903" s="90">
        <v>20</v>
      </c>
      <c r="AA903" s="90">
        <v>669</v>
      </c>
      <c r="AB903" s="89">
        <f t="shared" si="318"/>
        <v>0</v>
      </c>
      <c r="AC903" s="89">
        <f t="shared" si="319"/>
        <v>0</v>
      </c>
      <c r="AD903" s="89">
        <f t="shared" si="320"/>
        <v>20</v>
      </c>
      <c r="AF903" s="90" t="str">
        <f t="shared" si="321"/>
        <v/>
      </c>
      <c r="AG903" s="90">
        <f t="shared" si="333"/>
        <v>669</v>
      </c>
      <c r="AH903" s="90" t="str">
        <f t="shared" si="322"/>
        <v>2018 (triag)</v>
      </c>
      <c r="AI903" s="90">
        <f t="shared" si="323"/>
        <v>20</v>
      </c>
      <c r="AJ903" s="90">
        <f t="shared" si="324"/>
        <v>2022</v>
      </c>
      <c r="AK903" s="90" t="str">
        <f t="shared" si="325"/>
        <v>Adjust</v>
      </c>
      <c r="AL903" s="91">
        <f>IF(AK903="Adjust",(_xlfn.XLOOKUP(A903,'Adj factor'!A:A,'Adj factor'!I:I,,0)*AI903),'Master DataSheet (Rev)'!AI903)</f>
        <v>29.65940732818234</v>
      </c>
      <c r="AM903" s="91">
        <f t="shared" si="326"/>
        <v>669</v>
      </c>
      <c r="AN903" s="92" t="str">
        <f t="shared" si="327"/>
        <v>Decreasing</v>
      </c>
      <c r="AS903" s="94">
        <f t="shared" si="330"/>
        <v>0</v>
      </c>
      <c r="AT903" s="94">
        <f t="shared" si="331"/>
        <v>0.2139189070835073</v>
      </c>
      <c r="AU903" s="94">
        <f t="shared" si="335"/>
        <v>8.3338723094822341E-3</v>
      </c>
      <c r="AV903" s="94">
        <f t="shared" si="336"/>
        <v>0.18797950051233531</v>
      </c>
    </row>
    <row r="904" spans="1:48" x14ac:dyDescent="0.3">
      <c r="A904" s="85" t="str">
        <f>_xlfn.XLOOKUP(B904,'Country codes &amp; Data sources'!G:G,'Country codes &amp; Data sources'!H:H,,0)</f>
        <v>Angola</v>
      </c>
      <c r="B904" s="85" t="s">
        <v>162</v>
      </c>
      <c r="C904" s="85">
        <v>25188292.499999996</v>
      </c>
      <c r="D904" s="85" t="s">
        <v>335</v>
      </c>
      <c r="E904" s="86">
        <v>0</v>
      </c>
      <c r="F904" s="86">
        <v>26147002.000000011</v>
      </c>
      <c r="G904" s="86">
        <v>0</v>
      </c>
      <c r="H904" s="86"/>
      <c r="I904" s="86">
        <v>0</v>
      </c>
      <c r="J904" s="86"/>
      <c r="K904" s="86">
        <v>0</v>
      </c>
      <c r="L904" s="86"/>
      <c r="M904" s="86">
        <v>0</v>
      </c>
      <c r="N904" s="86"/>
      <c r="O904" s="86">
        <v>0</v>
      </c>
      <c r="P904" s="86">
        <v>31273533.000000004</v>
      </c>
      <c r="Q904" s="86">
        <v>2302</v>
      </c>
      <c r="R904" s="87">
        <f t="shared" si="334"/>
        <v>2302</v>
      </c>
      <c r="T904" s="87">
        <v>0</v>
      </c>
      <c r="U904" s="89"/>
      <c r="V904" s="89">
        <v>0</v>
      </c>
      <c r="W904" s="90"/>
      <c r="X904" s="90">
        <v>0</v>
      </c>
      <c r="Y904" s="90">
        <v>35588987.00000003</v>
      </c>
      <c r="Z904" s="90">
        <v>967</v>
      </c>
      <c r="AA904" s="90">
        <v>697</v>
      </c>
      <c r="AB904" s="89">
        <f t="shared" si="318"/>
        <v>0</v>
      </c>
      <c r="AC904" s="89">
        <f t="shared" si="319"/>
        <v>2302</v>
      </c>
      <c r="AD904" s="89">
        <f t="shared" si="320"/>
        <v>967</v>
      </c>
      <c r="AF904" s="90" t="str">
        <f t="shared" si="321"/>
        <v/>
      </c>
      <c r="AG904" s="90">
        <f t="shared" si="333"/>
        <v>2302</v>
      </c>
      <c r="AH904" s="90">
        <f t="shared" si="322"/>
        <v>2018</v>
      </c>
      <c r="AI904" s="90">
        <f t="shared" si="323"/>
        <v>967</v>
      </c>
      <c r="AJ904" s="90">
        <f t="shared" si="324"/>
        <v>2022</v>
      </c>
      <c r="AK904" s="90" t="str">
        <f t="shared" si="325"/>
        <v>Adjust</v>
      </c>
      <c r="AL904" s="91">
        <f>IF(AK904="Adjust",(_xlfn.XLOOKUP(A904,'Adj factor'!A:A,'Adj factor'!I:I,,0)*AI904),'Master DataSheet (Rev)'!AI904)</f>
        <v>1434.032344317616</v>
      </c>
      <c r="AM904" s="91">
        <f t="shared" si="326"/>
        <v>2302</v>
      </c>
      <c r="AN904" s="92" t="str">
        <f t="shared" si="327"/>
        <v>Decreasing</v>
      </c>
      <c r="AS904" s="94">
        <f t="shared" si="330"/>
        <v>0</v>
      </c>
      <c r="AT904" s="94">
        <f t="shared" si="331"/>
        <v>0.73608568625744963</v>
      </c>
      <c r="AU904" s="94">
        <f t="shared" si="335"/>
        <v>0.40294272616346588</v>
      </c>
      <c r="AV904" s="94">
        <f t="shared" si="336"/>
        <v>0.6468293126747322</v>
      </c>
    </row>
    <row r="905" spans="1:48" x14ac:dyDescent="0.3">
      <c r="A905" s="85" t="str">
        <f>_xlfn.XLOOKUP(B905,'Country codes &amp; Data sources'!G:G,'Country codes &amp; Data sources'!H:H,,0)</f>
        <v>Angola</v>
      </c>
      <c r="B905" s="85" t="s">
        <v>162</v>
      </c>
      <c r="C905" s="85">
        <v>25188292.499999996</v>
      </c>
      <c r="D905" s="85" t="s">
        <v>336</v>
      </c>
      <c r="E905" s="86">
        <v>0</v>
      </c>
      <c r="F905" s="86">
        <v>26147002.000000011</v>
      </c>
      <c r="G905" s="86">
        <v>0</v>
      </c>
      <c r="H905" s="86"/>
      <c r="I905" s="86">
        <v>0</v>
      </c>
      <c r="J905" s="86"/>
      <c r="K905" s="86">
        <v>0</v>
      </c>
      <c r="L905" s="86"/>
      <c r="M905" s="86">
        <v>0</v>
      </c>
      <c r="N905" s="86"/>
      <c r="O905" s="86">
        <v>0</v>
      </c>
      <c r="P905" s="86">
        <v>31273533.000000004</v>
      </c>
      <c r="Q905" s="86">
        <v>0</v>
      </c>
      <c r="R905" s="87">
        <f t="shared" si="334"/>
        <v>1605</v>
      </c>
      <c r="T905" s="87">
        <v>0</v>
      </c>
      <c r="U905" s="89"/>
      <c r="V905" s="89">
        <v>0</v>
      </c>
      <c r="W905" s="90"/>
      <c r="X905" s="90">
        <v>0</v>
      </c>
      <c r="Y905" s="90">
        <v>35588987.00000003</v>
      </c>
      <c r="Z905" s="90">
        <v>636</v>
      </c>
      <c r="AA905" s="90">
        <v>1605</v>
      </c>
      <c r="AB905" s="89">
        <f t="shared" si="318"/>
        <v>0</v>
      </c>
      <c r="AC905" s="89">
        <f t="shared" si="319"/>
        <v>0</v>
      </c>
      <c r="AD905" s="89">
        <f t="shared" si="320"/>
        <v>636</v>
      </c>
      <c r="AF905" s="90" t="str">
        <f t="shared" si="321"/>
        <v/>
      </c>
      <c r="AG905" s="90">
        <f t="shared" si="333"/>
        <v>1605</v>
      </c>
      <c r="AH905" s="90" t="str">
        <f t="shared" si="322"/>
        <v>2018 (triag)</v>
      </c>
      <c r="AI905" s="90">
        <f t="shared" si="323"/>
        <v>636</v>
      </c>
      <c r="AJ905" s="90">
        <f t="shared" si="324"/>
        <v>2022</v>
      </c>
      <c r="AK905" s="90" t="str">
        <f t="shared" si="325"/>
        <v>Adjust</v>
      </c>
      <c r="AL905" s="91">
        <f>IF(AK905="Adjust",(_xlfn.XLOOKUP(A905,'Adj factor'!A:A,'Adj factor'!I:I,,0)*AI905),'Master DataSheet (Rev)'!AI905)</f>
        <v>943.1691530361984</v>
      </c>
      <c r="AM905" s="91">
        <f t="shared" si="326"/>
        <v>1605</v>
      </c>
      <c r="AN905" s="92" t="str">
        <f t="shared" si="327"/>
        <v>Decreasing</v>
      </c>
      <c r="AS905" s="94">
        <f t="shared" si="330"/>
        <v>0</v>
      </c>
      <c r="AT905" s="94">
        <f t="shared" si="331"/>
        <v>0.51321352147836952</v>
      </c>
      <c r="AU905" s="94">
        <f t="shared" si="335"/>
        <v>0.26501713944153499</v>
      </c>
      <c r="AV905" s="94">
        <f t="shared" si="336"/>
        <v>0.45098220974932463</v>
      </c>
    </row>
    <row r="906" spans="1:48" x14ac:dyDescent="0.3">
      <c r="A906" s="85" t="str">
        <f>_xlfn.XLOOKUP(B906,'Country codes &amp; Data sources'!G:G,'Country codes &amp; Data sources'!H:H,,0)</f>
        <v>Angola</v>
      </c>
      <c r="B906" s="85" t="s">
        <v>162</v>
      </c>
      <c r="C906" s="85">
        <v>25188292.499999996</v>
      </c>
      <c r="D906" s="85" t="s">
        <v>337</v>
      </c>
      <c r="E906" s="86">
        <v>0</v>
      </c>
      <c r="F906" s="86">
        <v>26147002.000000011</v>
      </c>
      <c r="G906" s="86">
        <v>0</v>
      </c>
      <c r="H906" s="86"/>
      <c r="I906" s="86">
        <v>0</v>
      </c>
      <c r="J906" s="86"/>
      <c r="K906" s="86">
        <v>0</v>
      </c>
      <c r="L906" s="86"/>
      <c r="M906" s="86">
        <v>0</v>
      </c>
      <c r="N906" s="86"/>
      <c r="O906" s="86">
        <v>0</v>
      </c>
      <c r="P906" s="86">
        <v>31273533.000000004</v>
      </c>
      <c r="Q906" s="86">
        <v>1652</v>
      </c>
      <c r="R906" s="87">
        <f t="shared" si="334"/>
        <v>1652</v>
      </c>
      <c r="T906" s="87">
        <v>0</v>
      </c>
      <c r="U906" s="89"/>
      <c r="V906" s="89">
        <v>0</v>
      </c>
      <c r="W906" s="90"/>
      <c r="X906" s="90">
        <v>0</v>
      </c>
      <c r="Y906" s="90">
        <v>35588987.00000003</v>
      </c>
      <c r="Z906" s="90">
        <v>171</v>
      </c>
      <c r="AA906" s="90">
        <v>856</v>
      </c>
      <c r="AB906" s="89">
        <f t="shared" si="318"/>
        <v>0</v>
      </c>
      <c r="AC906" s="89">
        <f t="shared" si="319"/>
        <v>1652</v>
      </c>
      <c r="AD906" s="89">
        <f t="shared" si="320"/>
        <v>171</v>
      </c>
      <c r="AF906" s="90" t="str">
        <f t="shared" si="321"/>
        <v/>
      </c>
      <c r="AG906" s="90">
        <f t="shared" si="333"/>
        <v>1652</v>
      </c>
      <c r="AH906" s="90">
        <f t="shared" si="322"/>
        <v>2018</v>
      </c>
      <c r="AI906" s="90">
        <f t="shared" si="323"/>
        <v>171</v>
      </c>
      <c r="AJ906" s="90">
        <f t="shared" si="324"/>
        <v>2022</v>
      </c>
      <c r="AK906" s="90" t="str">
        <f t="shared" si="325"/>
        <v>Adjust</v>
      </c>
      <c r="AL906" s="91">
        <f>IF(AK906="Adjust",(_xlfn.XLOOKUP(A906,'Adj factor'!A:A,'Adj factor'!I:I,,0)*AI906),'Master DataSheet (Rev)'!AI906)</f>
        <v>253.58793265595901</v>
      </c>
      <c r="AM906" s="91">
        <f t="shared" si="326"/>
        <v>1652</v>
      </c>
      <c r="AN906" s="92" t="str">
        <f t="shared" si="327"/>
        <v>Decreasing</v>
      </c>
      <c r="AS906" s="94">
        <f t="shared" si="330"/>
        <v>0</v>
      </c>
      <c r="AT906" s="94">
        <f t="shared" si="331"/>
        <v>0.52824220403879529</v>
      </c>
      <c r="AU906" s="94">
        <f t="shared" si="335"/>
        <v>7.125460824607309E-2</v>
      </c>
      <c r="AV906" s="94">
        <f t="shared" si="336"/>
        <v>0.46418854237126744</v>
      </c>
    </row>
    <row r="907" spans="1:48" x14ac:dyDescent="0.3">
      <c r="A907" s="85" t="str">
        <f>_xlfn.XLOOKUP(B907,'Country codes &amp; Data sources'!G:G,'Country codes &amp; Data sources'!H:H,,0)</f>
        <v>Angola</v>
      </c>
      <c r="B907" s="85" t="s">
        <v>162</v>
      </c>
      <c r="C907" s="85">
        <v>25188292.499999996</v>
      </c>
      <c r="D907" s="85" t="s">
        <v>338</v>
      </c>
      <c r="E907" s="86">
        <v>0</v>
      </c>
      <c r="F907" s="86">
        <v>26147002.000000011</v>
      </c>
      <c r="G907" s="86">
        <v>0</v>
      </c>
      <c r="H907" s="86"/>
      <c r="I907" s="86">
        <v>0</v>
      </c>
      <c r="J907" s="86"/>
      <c r="K907" s="86">
        <v>0</v>
      </c>
      <c r="L907" s="86"/>
      <c r="M907" s="86">
        <v>0</v>
      </c>
      <c r="N907" s="86"/>
      <c r="O907" s="86">
        <v>0</v>
      </c>
      <c r="P907" s="86">
        <v>31273533.000000004</v>
      </c>
      <c r="Q907" s="86">
        <v>0</v>
      </c>
      <c r="R907" s="87">
        <f t="shared" si="334"/>
        <v>796</v>
      </c>
      <c r="T907" s="87">
        <v>0</v>
      </c>
      <c r="U907" s="89"/>
      <c r="V907" s="89">
        <v>0</v>
      </c>
      <c r="W907" s="90"/>
      <c r="X907" s="90">
        <v>0</v>
      </c>
      <c r="Y907" s="90">
        <v>35588987.00000003</v>
      </c>
      <c r="Z907" s="90">
        <v>0</v>
      </c>
      <c r="AA907" s="90">
        <v>796</v>
      </c>
      <c r="AB907" s="89">
        <f t="shared" si="318"/>
        <v>0</v>
      </c>
      <c r="AC907" s="89">
        <f t="shared" si="319"/>
        <v>0</v>
      </c>
      <c r="AD907" s="89">
        <f t="shared" si="320"/>
        <v>0</v>
      </c>
      <c r="AF907" s="90" t="str">
        <f t="shared" si="321"/>
        <v/>
      </c>
      <c r="AG907" s="90">
        <f t="shared" si="333"/>
        <v>796</v>
      </c>
      <c r="AH907" s="90" t="str">
        <f t="shared" si="322"/>
        <v>2018 (triag)</v>
      </c>
      <c r="AI907" s="90">
        <f t="shared" si="323"/>
        <v>796</v>
      </c>
      <c r="AJ907" s="90" t="str">
        <f t="shared" si="324"/>
        <v>2018 (triag)</v>
      </c>
      <c r="AK907" s="90" t="str">
        <f t="shared" si="325"/>
        <v/>
      </c>
      <c r="AL907" s="91">
        <f>IF(AK907="Adjust",(_xlfn.XLOOKUP(A907,'Adj factor'!A:A,'Adj factor'!I:I,,0)*AI907),'Master DataSheet (Rev)'!AI907)</f>
        <v>796</v>
      </c>
      <c r="AM907" s="91">
        <f t="shared" si="326"/>
        <v>796</v>
      </c>
      <c r="AN907" s="92" t="str">
        <f t="shared" si="327"/>
        <v>No change</v>
      </c>
      <c r="AS907" s="94">
        <f t="shared" si="330"/>
        <v>0</v>
      </c>
      <c r="AT907" s="94">
        <f t="shared" si="331"/>
        <v>0.2545283259169982</v>
      </c>
      <c r="AU907" s="94">
        <f t="shared" si="335"/>
        <v>0.22366469717162765</v>
      </c>
      <c r="AV907" s="94">
        <f t="shared" si="336"/>
        <v>0.22366469717162765</v>
      </c>
    </row>
    <row r="908" spans="1:48" x14ac:dyDescent="0.3">
      <c r="A908" s="85" t="str">
        <f>_xlfn.XLOOKUP(B908,'Country codes &amp; Data sources'!G:G,'Country codes &amp; Data sources'!H:H,,0)</f>
        <v>Angola</v>
      </c>
      <c r="B908" s="85" t="s">
        <v>162</v>
      </c>
      <c r="C908" s="85">
        <v>25188292.499999996</v>
      </c>
      <c r="D908" s="85" t="s">
        <v>339</v>
      </c>
      <c r="E908" s="86">
        <v>0</v>
      </c>
      <c r="F908" s="86">
        <v>26147002.000000011</v>
      </c>
      <c r="G908" s="86">
        <v>0</v>
      </c>
      <c r="H908" s="86"/>
      <c r="I908" s="86">
        <v>0</v>
      </c>
      <c r="J908" s="86"/>
      <c r="K908" s="86">
        <v>0</v>
      </c>
      <c r="L908" s="86"/>
      <c r="M908" s="86">
        <v>0</v>
      </c>
      <c r="N908" s="86"/>
      <c r="O908" s="86">
        <v>0</v>
      </c>
      <c r="P908" s="86">
        <v>31273533.000000004</v>
      </c>
      <c r="Q908" s="86">
        <v>0</v>
      </c>
      <c r="R908" s="87">
        <f t="shared" si="334"/>
        <v>0</v>
      </c>
      <c r="T908" s="87">
        <v>0</v>
      </c>
      <c r="U908" s="89"/>
      <c r="V908" s="89">
        <v>0</v>
      </c>
      <c r="W908" s="90"/>
      <c r="X908" s="90">
        <v>0</v>
      </c>
      <c r="Y908" s="90">
        <v>35588987.00000003</v>
      </c>
      <c r="Z908" s="90">
        <v>767</v>
      </c>
      <c r="AA908" s="90">
        <v>0</v>
      </c>
      <c r="AB908" s="89">
        <f t="shared" si="318"/>
        <v>0</v>
      </c>
      <c r="AC908" s="89">
        <f t="shared" si="319"/>
        <v>0</v>
      </c>
      <c r="AD908" s="89">
        <f t="shared" si="320"/>
        <v>767</v>
      </c>
      <c r="AF908" s="90" t="str">
        <f t="shared" si="321"/>
        <v/>
      </c>
      <c r="AH908" s="90" t="str">
        <f t="shared" si="322"/>
        <v/>
      </c>
      <c r="AI908" s="90">
        <f t="shared" si="323"/>
        <v>767</v>
      </c>
      <c r="AJ908" s="90">
        <f t="shared" si="324"/>
        <v>2022</v>
      </c>
      <c r="AK908" s="90" t="str">
        <f t="shared" si="325"/>
        <v/>
      </c>
      <c r="AL908" s="91">
        <f>IF(AK908="Adjust",(_xlfn.XLOOKUP(A908,'Adj factor'!A:A,'Adj factor'!I:I,,0)*AI908),'Master DataSheet (Rev)'!AI908)</f>
        <v>767</v>
      </c>
      <c r="AM908" s="91">
        <f t="shared" si="326"/>
        <v>767</v>
      </c>
      <c r="AN908" s="92" t="str">
        <f t="shared" si="327"/>
        <v>Increasing</v>
      </c>
      <c r="AS908" s="94">
        <f t="shared" si="330"/>
        <v>0</v>
      </c>
      <c r="AT908" s="94">
        <f t="shared" si="331"/>
        <v>0</v>
      </c>
      <c r="AU908" s="94">
        <f t="shared" si="335"/>
        <v>0.21551610895808845</v>
      </c>
      <c r="AV908" s="94">
        <f t="shared" si="336"/>
        <v>0.21551610895808845</v>
      </c>
    </row>
    <row r="909" spans="1:48" x14ac:dyDescent="0.3">
      <c r="A909" s="85" t="str">
        <f>_xlfn.XLOOKUP(B909,'Country codes &amp; Data sources'!G:G,'Country codes &amp; Data sources'!H:H,,0)</f>
        <v>Burundi</v>
      </c>
      <c r="B909" s="85" t="s">
        <v>165</v>
      </c>
      <c r="C909" s="85">
        <v>9795479.0000000019</v>
      </c>
      <c r="D909" s="85" t="s">
        <v>326</v>
      </c>
      <c r="E909" s="86">
        <v>498</v>
      </c>
      <c r="F909" s="86">
        <v>10149577.500000002</v>
      </c>
      <c r="G909" s="86">
        <v>554</v>
      </c>
      <c r="H909" s="86">
        <v>10494912.499999989</v>
      </c>
      <c r="I909" s="86">
        <v>609</v>
      </c>
      <c r="J909" s="86">
        <v>10727148.499999996</v>
      </c>
      <c r="K909" s="86">
        <v>508</v>
      </c>
      <c r="L909" s="86">
        <v>10903327.500000004</v>
      </c>
      <c r="M909" s="86">
        <v>0</v>
      </c>
      <c r="N909" s="86">
        <v>11155593.000000002</v>
      </c>
      <c r="O909" s="86">
        <v>0</v>
      </c>
      <c r="P909" s="86">
        <v>11493472.499999993</v>
      </c>
      <c r="Q909" s="86">
        <v>0</v>
      </c>
      <c r="R909" s="87">
        <f t="shared" si="334"/>
        <v>1084</v>
      </c>
      <c r="S909" s="87">
        <v>11874838</v>
      </c>
      <c r="T909" s="87">
        <v>0</v>
      </c>
      <c r="U909" s="89">
        <v>12220226.500000007</v>
      </c>
      <c r="V909" s="89">
        <v>852</v>
      </c>
      <c r="W909" s="90">
        <v>12551212.999999998</v>
      </c>
      <c r="X909" s="90">
        <v>812</v>
      </c>
      <c r="Y909" s="90">
        <v>12889576.499999994</v>
      </c>
      <c r="Z909" s="90">
        <v>0</v>
      </c>
      <c r="AA909" s="90">
        <v>1084</v>
      </c>
      <c r="AB909" s="89">
        <f t="shared" si="318"/>
        <v>609</v>
      </c>
      <c r="AC909" s="89">
        <f t="shared" si="319"/>
        <v>0</v>
      </c>
      <c r="AD909" s="89">
        <f t="shared" si="320"/>
        <v>852</v>
      </c>
      <c r="AE909" s="90">
        <f t="shared" si="332"/>
        <v>554</v>
      </c>
      <c r="AF909" s="90">
        <f t="shared" si="321"/>
        <v>2013</v>
      </c>
      <c r="AG909" s="90">
        <f t="shared" si="333"/>
        <v>1084</v>
      </c>
      <c r="AH909" s="90" t="str">
        <f t="shared" si="322"/>
        <v>2018 (triag)</v>
      </c>
      <c r="AI909" s="90">
        <f t="shared" si="323"/>
        <v>812</v>
      </c>
      <c r="AJ909" s="90">
        <f t="shared" si="324"/>
        <v>2021</v>
      </c>
      <c r="AK909" s="90" t="str">
        <f t="shared" si="325"/>
        <v>Adjust</v>
      </c>
      <c r="AL909" s="91">
        <f>IF(AK909="Adjust",(_xlfn.XLOOKUP(A909,'Adj factor'!A:A,'Adj factor'!I:I,,0)*AI909),'Master DataSheet (Rev)'!AI909)</f>
        <v>1014.8610394397346</v>
      </c>
      <c r="AM909" s="91">
        <f t="shared" si="326"/>
        <v>1084</v>
      </c>
      <c r="AN909" s="92" t="str">
        <f t="shared" si="327"/>
        <v>Decreasing</v>
      </c>
      <c r="AS909" s="94">
        <f t="shared" si="330"/>
        <v>0.54583552862175777</v>
      </c>
      <c r="AT909" s="94">
        <f t="shared" si="331"/>
        <v>0.9431440324062208</v>
      </c>
      <c r="AU909" s="94">
        <f t="shared" si="335"/>
        <v>0.78735018131878509</v>
      </c>
      <c r="AV909" s="94">
        <f t="shared" si="336"/>
        <v>0.84098961668756178</v>
      </c>
    </row>
    <row r="910" spans="1:48" x14ac:dyDescent="0.3">
      <c r="A910" s="85" t="str">
        <f>_xlfn.XLOOKUP(B910,'Country codes &amp; Data sources'!G:G,'Country codes &amp; Data sources'!H:H,,0)</f>
        <v>Burundi</v>
      </c>
      <c r="B910" s="85" t="s">
        <v>165</v>
      </c>
      <c r="C910" s="85">
        <v>9795480</v>
      </c>
      <c r="D910" s="85" t="s">
        <v>327</v>
      </c>
      <c r="E910" s="86">
        <v>475</v>
      </c>
      <c r="F910" s="86">
        <v>10149577.500000002</v>
      </c>
      <c r="G910" s="86">
        <v>486</v>
      </c>
      <c r="H910" s="86"/>
      <c r="I910" s="86">
        <v>556</v>
      </c>
      <c r="J910" s="86"/>
      <c r="K910" s="86">
        <v>467</v>
      </c>
      <c r="L910" s="86"/>
      <c r="M910" s="86">
        <v>0</v>
      </c>
      <c r="N910" s="86"/>
      <c r="O910" s="86">
        <v>0</v>
      </c>
      <c r="P910" s="86">
        <v>11493472.499999993</v>
      </c>
      <c r="Q910" s="86">
        <v>0</v>
      </c>
      <c r="R910" s="87">
        <f t="shared" si="334"/>
        <v>889</v>
      </c>
      <c r="T910" s="87">
        <v>0</v>
      </c>
      <c r="U910" s="89"/>
      <c r="V910" s="89">
        <v>0</v>
      </c>
      <c r="W910" s="90"/>
      <c r="X910" s="90">
        <v>725</v>
      </c>
      <c r="Y910" s="90">
        <v>12889576.499999994</v>
      </c>
      <c r="Z910" s="90">
        <v>0</v>
      </c>
      <c r="AA910" s="90">
        <v>889</v>
      </c>
      <c r="AB910" s="89">
        <f t="shared" si="318"/>
        <v>556</v>
      </c>
      <c r="AC910" s="89">
        <f t="shared" si="319"/>
        <v>0</v>
      </c>
      <c r="AD910" s="89">
        <f t="shared" si="320"/>
        <v>725</v>
      </c>
      <c r="AE910" s="90">
        <f t="shared" si="332"/>
        <v>486</v>
      </c>
      <c r="AF910" s="90">
        <f t="shared" si="321"/>
        <v>2013</v>
      </c>
      <c r="AG910" s="90">
        <f t="shared" si="333"/>
        <v>889</v>
      </c>
      <c r="AH910" s="90" t="str">
        <f t="shared" si="322"/>
        <v>2018 (triag)</v>
      </c>
      <c r="AI910" s="90">
        <f t="shared" si="323"/>
        <v>725</v>
      </c>
      <c r="AJ910" s="90">
        <f t="shared" si="324"/>
        <v>2021</v>
      </c>
      <c r="AK910" s="90" t="str">
        <f t="shared" si="325"/>
        <v>Adjust</v>
      </c>
      <c r="AL910" s="91">
        <f>IF(AK910="Adjust",(_xlfn.XLOOKUP(A910,'Adj factor'!A:A,'Adj factor'!I:I,,0)*AI910),'Master DataSheet (Rev)'!AI910)</f>
        <v>906.12592807119154</v>
      </c>
      <c r="AM910" s="91">
        <f t="shared" si="326"/>
        <v>906.12592807119154</v>
      </c>
      <c r="AN910" s="92" t="str">
        <f t="shared" si="327"/>
        <v>Increasing</v>
      </c>
      <c r="AS910" s="94">
        <f t="shared" si="330"/>
        <v>0.47883766590284166</v>
      </c>
      <c r="AT910" s="94">
        <f t="shared" si="331"/>
        <v>0.77348251366155929</v>
      </c>
      <c r="AU910" s="94">
        <f t="shared" si="335"/>
        <v>0.70299123332034374</v>
      </c>
      <c r="AV910" s="94">
        <f t="shared" si="336"/>
        <v>0.70299123332034374</v>
      </c>
    </row>
    <row r="911" spans="1:48" x14ac:dyDescent="0.3">
      <c r="A911" s="85" t="str">
        <f>_xlfn.XLOOKUP(B911,'Country codes &amp; Data sources'!G:G,'Country codes &amp; Data sources'!H:H,,0)</f>
        <v>Burundi</v>
      </c>
      <c r="B911" s="85" t="s">
        <v>165</v>
      </c>
      <c r="C911" s="85">
        <v>9795481</v>
      </c>
      <c r="D911" s="85" t="s">
        <v>328</v>
      </c>
      <c r="E911" s="86">
        <v>23</v>
      </c>
      <c r="F911" s="86">
        <v>10149577.500000002</v>
      </c>
      <c r="G911" s="86">
        <v>68</v>
      </c>
      <c r="H911" s="86"/>
      <c r="I911" s="86">
        <v>53</v>
      </c>
      <c r="J911" s="86"/>
      <c r="K911" s="86">
        <v>41</v>
      </c>
      <c r="L911" s="86"/>
      <c r="M911" s="86">
        <v>0</v>
      </c>
      <c r="N911" s="86"/>
      <c r="O911" s="86">
        <v>0</v>
      </c>
      <c r="P911" s="86">
        <v>11493472.499999993</v>
      </c>
      <c r="Q911" s="86">
        <v>0</v>
      </c>
      <c r="R911" s="87">
        <f t="shared" si="334"/>
        <v>195</v>
      </c>
      <c r="T911" s="87">
        <v>0</v>
      </c>
      <c r="U911" s="89"/>
      <c r="V911" s="89">
        <v>0</v>
      </c>
      <c r="W911" s="90"/>
      <c r="X911" s="90">
        <v>87</v>
      </c>
      <c r="Y911" s="90">
        <v>12889576.499999994</v>
      </c>
      <c r="Z911" s="90">
        <v>0</v>
      </c>
      <c r="AA911" s="90">
        <v>195</v>
      </c>
      <c r="AB911" s="89">
        <f t="shared" si="318"/>
        <v>68</v>
      </c>
      <c r="AC911" s="89">
        <f t="shared" si="319"/>
        <v>0</v>
      </c>
      <c r="AD911" s="89">
        <f t="shared" si="320"/>
        <v>87</v>
      </c>
      <c r="AE911" s="90">
        <f t="shared" si="332"/>
        <v>68</v>
      </c>
      <c r="AF911" s="90">
        <f t="shared" si="321"/>
        <v>2013</v>
      </c>
      <c r="AG911" s="90">
        <f t="shared" si="333"/>
        <v>195</v>
      </c>
      <c r="AH911" s="90" t="str">
        <f t="shared" si="322"/>
        <v>2018 (triag)</v>
      </c>
      <c r="AI911" s="90">
        <f t="shared" si="323"/>
        <v>87</v>
      </c>
      <c r="AJ911" s="90">
        <f t="shared" si="324"/>
        <v>2021</v>
      </c>
      <c r="AK911" s="90" t="str">
        <f t="shared" si="325"/>
        <v>Adjust</v>
      </c>
      <c r="AL911" s="91">
        <f>IF(AK911="Adjust",(_xlfn.XLOOKUP(A911,'Adj factor'!A:A,'Adj factor'!I:I,,0)*AI911),'Master DataSheet (Rev)'!AI911)</f>
        <v>108.73511136854299</v>
      </c>
      <c r="AM911" s="91">
        <f t="shared" si="326"/>
        <v>195</v>
      </c>
      <c r="AN911" s="92" t="str">
        <f t="shared" si="327"/>
        <v>Decreasing</v>
      </c>
      <c r="AS911" s="94">
        <f t="shared" si="330"/>
        <v>6.6997862718916126E-2</v>
      </c>
      <c r="AT911" s="94">
        <f t="shared" si="331"/>
        <v>0.16966151874466148</v>
      </c>
      <c r="AU911" s="94">
        <f t="shared" si="335"/>
        <v>8.4358947998441236E-2</v>
      </c>
      <c r="AV911" s="94">
        <f t="shared" si="336"/>
        <v>0.15128503252220901</v>
      </c>
    </row>
    <row r="912" spans="1:48" x14ac:dyDescent="0.3">
      <c r="A912" s="85" t="str">
        <f>_xlfn.XLOOKUP(B912,'Country codes &amp; Data sources'!G:G,'Country codes &amp; Data sources'!H:H,,0)</f>
        <v>Burundi</v>
      </c>
      <c r="B912" s="85" t="s">
        <v>165</v>
      </c>
      <c r="C912" s="85">
        <v>9795482</v>
      </c>
      <c r="D912" s="85" t="s">
        <v>329</v>
      </c>
      <c r="E912" s="86">
        <v>6486</v>
      </c>
      <c r="F912" s="86">
        <v>10149577.500000002</v>
      </c>
      <c r="G912" s="86">
        <v>6573</v>
      </c>
      <c r="H912" s="86"/>
      <c r="I912" s="86">
        <v>6819</v>
      </c>
      <c r="J912" s="86"/>
      <c r="K912" s="86">
        <v>6688</v>
      </c>
      <c r="L912" s="86"/>
      <c r="M912" s="86">
        <v>0</v>
      </c>
      <c r="N912" s="86"/>
      <c r="O912" s="86">
        <v>9071</v>
      </c>
      <c r="P912" s="86">
        <v>11493472.499999993</v>
      </c>
      <c r="Q912" s="86">
        <v>9156</v>
      </c>
      <c r="R912" s="87">
        <f t="shared" si="334"/>
        <v>9156</v>
      </c>
      <c r="T912" s="87">
        <v>7518</v>
      </c>
      <c r="U912" s="89"/>
      <c r="V912" s="89">
        <v>7713</v>
      </c>
      <c r="W912" s="90"/>
      <c r="X912" s="90">
        <v>9372</v>
      </c>
      <c r="Y912" s="90">
        <v>12889576.499999994</v>
      </c>
      <c r="Z912" s="90">
        <v>0</v>
      </c>
      <c r="AA912" s="90">
        <v>8996</v>
      </c>
      <c r="AB912" s="89">
        <f t="shared" si="318"/>
        <v>6819</v>
      </c>
      <c r="AC912" s="89">
        <f t="shared" si="319"/>
        <v>9156</v>
      </c>
      <c r="AD912" s="89">
        <f t="shared" si="320"/>
        <v>9372</v>
      </c>
      <c r="AE912" s="90">
        <f t="shared" si="332"/>
        <v>6573</v>
      </c>
      <c r="AF912" s="90">
        <f t="shared" si="321"/>
        <v>2013</v>
      </c>
      <c r="AG912" s="90">
        <f t="shared" si="333"/>
        <v>9156</v>
      </c>
      <c r="AH912" s="90">
        <f t="shared" si="322"/>
        <v>2018</v>
      </c>
      <c r="AI912" s="90">
        <f t="shared" si="323"/>
        <v>9372</v>
      </c>
      <c r="AJ912" s="90">
        <f t="shared" si="324"/>
        <v>2021</v>
      </c>
      <c r="AK912" s="90" t="str">
        <f t="shared" si="325"/>
        <v/>
      </c>
      <c r="AL912" s="91">
        <f>IF(AK912="Adjust",(_xlfn.XLOOKUP(A912,'Adj factor'!A:A,'Adj factor'!I:I,,0)*AI912),'Master DataSheet (Rev)'!AI912)</f>
        <v>9372</v>
      </c>
      <c r="AM912" s="91">
        <f t="shared" si="326"/>
        <v>9372</v>
      </c>
      <c r="AN912" s="92" t="str">
        <f t="shared" si="327"/>
        <v>Increasing</v>
      </c>
      <c r="AS912" s="94">
        <f t="shared" si="330"/>
        <v>6.4761316419328772</v>
      </c>
      <c r="AT912" s="94">
        <f t="shared" si="331"/>
        <v>7.9662608493647209</v>
      </c>
      <c r="AU912" s="94">
        <f t="shared" si="335"/>
        <v>7.2709914092212449</v>
      </c>
      <c r="AV912" s="94">
        <f t="shared" si="336"/>
        <v>7.2709914092212449</v>
      </c>
    </row>
    <row r="913" spans="1:48" x14ac:dyDescent="0.3">
      <c r="A913" s="85" t="str">
        <f>_xlfn.XLOOKUP(B913,'Country codes &amp; Data sources'!G:G,'Country codes &amp; Data sources'!H:H,,0)</f>
        <v>Burundi</v>
      </c>
      <c r="B913" s="85" t="s">
        <v>165</v>
      </c>
      <c r="C913" s="85">
        <v>9795483</v>
      </c>
      <c r="D913" s="85" t="s">
        <v>330</v>
      </c>
      <c r="E913" s="86">
        <v>2843</v>
      </c>
      <c r="F913" s="86">
        <v>10149577.500000002</v>
      </c>
      <c r="G913" s="86">
        <v>2568</v>
      </c>
      <c r="H913" s="86"/>
      <c r="I913" s="86">
        <v>2747</v>
      </c>
      <c r="J913" s="86"/>
      <c r="K913" s="86">
        <v>2616</v>
      </c>
      <c r="L913" s="86"/>
      <c r="M913" s="86">
        <v>0</v>
      </c>
      <c r="N913" s="86"/>
      <c r="O913" s="86">
        <v>9071</v>
      </c>
      <c r="P913" s="86">
        <v>11493472.499999993</v>
      </c>
      <c r="Q913" s="86">
        <v>0</v>
      </c>
      <c r="R913" s="87">
        <f t="shared" si="334"/>
        <v>654</v>
      </c>
      <c r="T913" s="87">
        <v>7518</v>
      </c>
      <c r="U913" s="89"/>
      <c r="V913" s="89">
        <v>0</v>
      </c>
      <c r="W913" s="90"/>
      <c r="X913" s="90">
        <v>9372</v>
      </c>
      <c r="Y913" s="90">
        <v>12889576.499999994</v>
      </c>
      <c r="Z913" s="90">
        <v>0</v>
      </c>
      <c r="AA913" s="90">
        <v>654</v>
      </c>
      <c r="AB913" s="89">
        <f t="shared" si="318"/>
        <v>2843</v>
      </c>
      <c r="AC913" s="89">
        <f t="shared" si="319"/>
        <v>9071</v>
      </c>
      <c r="AD913" s="89">
        <f t="shared" si="320"/>
        <v>9372</v>
      </c>
      <c r="AE913" s="90">
        <f t="shared" si="332"/>
        <v>2568</v>
      </c>
      <c r="AF913" s="90">
        <f t="shared" si="321"/>
        <v>2013</v>
      </c>
      <c r="AG913" s="99">
        <v>5970</v>
      </c>
      <c r="AH913" s="90">
        <v>2018</v>
      </c>
      <c r="AI913" s="90">
        <f t="shared" si="323"/>
        <v>9372</v>
      </c>
      <c r="AJ913" s="90">
        <f t="shared" si="324"/>
        <v>2021</v>
      </c>
      <c r="AK913" s="90" t="str">
        <f t="shared" si="325"/>
        <v/>
      </c>
      <c r="AL913" s="91">
        <f>IF(AK913="Adjust",(_xlfn.XLOOKUP(A913,'Adj factor'!A:A,'Adj factor'!I:I,,0)*AI913),'Master DataSheet (Rev)'!AI913)</f>
        <v>9372</v>
      </c>
      <c r="AM913" s="91">
        <f t="shared" si="326"/>
        <v>9372</v>
      </c>
      <c r="AN913" s="92" t="str">
        <f t="shared" si="327"/>
        <v>Increasing</v>
      </c>
      <c r="AS913" s="94">
        <f t="shared" si="330"/>
        <v>2.5301545803261263</v>
      </c>
      <c r="AT913" s="94">
        <f t="shared" si="331"/>
        <v>5.1942526507980977</v>
      </c>
      <c r="AU913" s="94">
        <f t="shared" si="335"/>
        <v>7.2709914092212449</v>
      </c>
      <c r="AV913" s="94">
        <f t="shared" si="336"/>
        <v>7.2709914092212449</v>
      </c>
    </row>
    <row r="914" spans="1:48" x14ac:dyDescent="0.3">
      <c r="A914" s="85" t="str">
        <f>_xlfn.XLOOKUP(B914,'Country codes &amp; Data sources'!G:G,'Country codes &amp; Data sources'!H:H,,0)</f>
        <v>Burundi</v>
      </c>
      <c r="B914" s="85" t="s">
        <v>165</v>
      </c>
      <c r="C914" s="85">
        <v>9795484</v>
      </c>
      <c r="D914" s="85" t="s">
        <v>331</v>
      </c>
      <c r="E914" s="86">
        <v>3643</v>
      </c>
      <c r="F914" s="86">
        <v>10149577.500000002</v>
      </c>
      <c r="G914" s="86">
        <v>4005</v>
      </c>
      <c r="H914" s="86"/>
      <c r="I914" s="86">
        <v>4072</v>
      </c>
      <c r="J914" s="86"/>
      <c r="K914" s="86">
        <v>4072</v>
      </c>
      <c r="L914" s="86"/>
      <c r="M914" s="86">
        <v>0</v>
      </c>
      <c r="N914" s="86"/>
      <c r="O914" s="86">
        <v>0</v>
      </c>
      <c r="P914" s="86">
        <v>11493472.499999993</v>
      </c>
      <c r="Q914" s="86">
        <v>0</v>
      </c>
      <c r="R914" s="87">
        <f t="shared" si="334"/>
        <v>8342</v>
      </c>
      <c r="T914" s="87">
        <v>0</v>
      </c>
      <c r="U914" s="89"/>
      <c r="V914" s="89">
        <v>0</v>
      </c>
      <c r="W914" s="90"/>
      <c r="X914" s="90">
        <v>0</v>
      </c>
      <c r="Y914" s="90">
        <v>12889576.499999994</v>
      </c>
      <c r="Z914" s="90">
        <v>0</v>
      </c>
      <c r="AA914" s="90">
        <v>8342</v>
      </c>
      <c r="AB914" s="89">
        <f t="shared" si="318"/>
        <v>4072</v>
      </c>
      <c r="AC914" s="89">
        <f t="shared" si="319"/>
        <v>0</v>
      </c>
      <c r="AD914" s="89">
        <f t="shared" si="320"/>
        <v>0</v>
      </c>
      <c r="AE914" s="90">
        <f t="shared" si="332"/>
        <v>4005</v>
      </c>
      <c r="AF914" s="90">
        <f t="shared" si="321"/>
        <v>2013</v>
      </c>
      <c r="AG914" s="90">
        <f t="shared" si="333"/>
        <v>8342</v>
      </c>
      <c r="AH914" s="90" t="str">
        <f t="shared" si="322"/>
        <v>2018 (triag)</v>
      </c>
      <c r="AI914" s="90">
        <f t="shared" si="323"/>
        <v>8342</v>
      </c>
      <c r="AJ914" s="90" t="str">
        <f t="shared" si="324"/>
        <v>2018 (triag)</v>
      </c>
      <c r="AK914" s="90" t="str">
        <f t="shared" si="325"/>
        <v/>
      </c>
      <c r="AL914" s="91">
        <f>IF(AK914="Adjust",(_xlfn.XLOOKUP(A914,'Adj factor'!A:A,'Adj factor'!I:I,,0)*AI914),'Master DataSheet (Rev)'!AI914)</f>
        <v>8342</v>
      </c>
      <c r="AM914" s="91">
        <f t="shared" si="326"/>
        <v>8342</v>
      </c>
      <c r="AN914" s="92" t="str">
        <f t="shared" si="327"/>
        <v>No change</v>
      </c>
      <c r="AS914" s="94">
        <f t="shared" si="330"/>
        <v>3.9459770616067509</v>
      </c>
      <c r="AT914" s="94">
        <f t="shared" si="331"/>
        <v>7.2580327659895696</v>
      </c>
      <c r="AU914" s="94">
        <f t="shared" si="335"/>
        <v>6.4718961092321408</v>
      </c>
      <c r="AV914" s="94">
        <f t="shared" si="336"/>
        <v>6.4718961092321408</v>
      </c>
    </row>
    <row r="915" spans="1:48" x14ac:dyDescent="0.3">
      <c r="A915" s="85" t="str">
        <f>_xlfn.XLOOKUP(B915,'Country codes &amp; Data sources'!G:G,'Country codes &amp; Data sources'!H:H,,0)</f>
        <v>Burundi</v>
      </c>
      <c r="B915" s="85" t="s">
        <v>165</v>
      </c>
      <c r="C915" s="85">
        <v>9795485</v>
      </c>
      <c r="D915" s="85" t="s">
        <v>332</v>
      </c>
      <c r="E915" s="86">
        <v>16</v>
      </c>
      <c r="F915" s="86">
        <v>10149577.500000002</v>
      </c>
      <c r="G915" s="86">
        <v>35</v>
      </c>
      <c r="H915" s="86"/>
      <c r="I915" s="86">
        <v>24</v>
      </c>
      <c r="J915" s="86"/>
      <c r="K915" s="86">
        <v>79</v>
      </c>
      <c r="L915" s="86"/>
      <c r="M915" s="86">
        <v>0</v>
      </c>
      <c r="N915" s="86"/>
      <c r="O915" s="86">
        <v>160</v>
      </c>
      <c r="P915" s="86">
        <v>11493472.499999993</v>
      </c>
      <c r="Q915" s="86">
        <v>0</v>
      </c>
      <c r="R915" s="87">
        <f t="shared" si="334"/>
        <v>160</v>
      </c>
      <c r="T915" s="87">
        <v>124</v>
      </c>
      <c r="U915" s="89"/>
      <c r="V915" s="89">
        <v>0</v>
      </c>
      <c r="W915" s="90"/>
      <c r="X915" s="90">
        <v>143</v>
      </c>
      <c r="Y915" s="90">
        <v>12889576.499999994</v>
      </c>
      <c r="Z915" s="90">
        <v>0</v>
      </c>
      <c r="AA915" s="90">
        <v>160</v>
      </c>
      <c r="AB915" s="89">
        <f t="shared" si="318"/>
        <v>79</v>
      </c>
      <c r="AC915" s="89">
        <f t="shared" si="319"/>
        <v>160</v>
      </c>
      <c r="AD915" s="89">
        <f t="shared" si="320"/>
        <v>143</v>
      </c>
      <c r="AE915" s="90">
        <f t="shared" si="332"/>
        <v>35</v>
      </c>
      <c r="AF915" s="90">
        <f t="shared" si="321"/>
        <v>2013</v>
      </c>
      <c r="AG915" s="90">
        <f t="shared" si="333"/>
        <v>160</v>
      </c>
      <c r="AH915" s="90">
        <f t="shared" si="322"/>
        <v>2017</v>
      </c>
      <c r="AI915" s="90">
        <f t="shared" si="323"/>
        <v>143</v>
      </c>
      <c r="AJ915" s="90">
        <f t="shared" si="324"/>
        <v>2021</v>
      </c>
      <c r="AK915" s="90" t="str">
        <f t="shared" si="325"/>
        <v>Adjust</v>
      </c>
      <c r="AL915" s="91">
        <f>IF(AK915="Adjust",(_xlfn.XLOOKUP(A915,'Adj factor'!A:A,'Adj factor'!I:I,,0)*AI915),'Master DataSheet (Rev)'!AI915)</f>
        <v>178.72552788162812</v>
      </c>
      <c r="AM915" s="91">
        <f t="shared" si="326"/>
        <v>178.72552788162812</v>
      </c>
      <c r="AN915" s="92" t="str">
        <f t="shared" si="327"/>
        <v>Increasing</v>
      </c>
      <c r="AS915" s="94">
        <f t="shared" si="330"/>
        <v>3.4484194046500945E-2</v>
      </c>
      <c r="AT915" s="94">
        <f t="shared" si="331"/>
        <v>0.13920945127767095</v>
      </c>
      <c r="AU915" s="94">
        <f t="shared" si="335"/>
        <v>0.13865896050318505</v>
      </c>
      <c r="AV915" s="94">
        <f t="shared" si="336"/>
        <v>0.13865896050318505</v>
      </c>
    </row>
    <row r="916" spans="1:48" x14ac:dyDescent="0.3">
      <c r="A916" s="85" t="str">
        <f>_xlfn.XLOOKUP(B916,'Country codes &amp; Data sources'!G:G,'Country codes &amp; Data sources'!H:H,,0)</f>
        <v>Burundi</v>
      </c>
      <c r="B916" s="85" t="s">
        <v>165</v>
      </c>
      <c r="C916" s="85">
        <v>9795486</v>
      </c>
      <c r="D916" s="85" t="s">
        <v>333</v>
      </c>
      <c r="E916" s="86">
        <v>16</v>
      </c>
      <c r="F916" s="86">
        <v>10149577.500000002</v>
      </c>
      <c r="G916" s="86">
        <v>35</v>
      </c>
      <c r="H916" s="86"/>
      <c r="I916" s="86">
        <v>24</v>
      </c>
      <c r="J916" s="86"/>
      <c r="K916" s="86">
        <v>79</v>
      </c>
      <c r="L916" s="86"/>
      <c r="M916" s="86">
        <v>0</v>
      </c>
      <c r="N916" s="86"/>
      <c r="O916" s="86">
        <v>160</v>
      </c>
      <c r="P916" s="86">
        <v>11493472.499999993</v>
      </c>
      <c r="Q916" s="86">
        <v>0</v>
      </c>
      <c r="R916" s="87">
        <f t="shared" si="334"/>
        <v>41</v>
      </c>
      <c r="T916" s="87">
        <v>124</v>
      </c>
      <c r="U916" s="89"/>
      <c r="V916" s="89">
        <v>0</v>
      </c>
      <c r="W916" s="90"/>
      <c r="X916" s="90">
        <v>143</v>
      </c>
      <c r="Y916" s="90">
        <v>12889576.499999994</v>
      </c>
      <c r="Z916" s="90">
        <v>0</v>
      </c>
      <c r="AA916" s="90">
        <v>41</v>
      </c>
      <c r="AB916" s="89">
        <f t="shared" si="318"/>
        <v>79</v>
      </c>
      <c r="AC916" s="89">
        <f t="shared" si="319"/>
        <v>160</v>
      </c>
      <c r="AD916" s="89">
        <f t="shared" si="320"/>
        <v>143</v>
      </c>
      <c r="AE916" s="90">
        <f t="shared" si="332"/>
        <v>35</v>
      </c>
      <c r="AF916" s="90">
        <f t="shared" si="321"/>
        <v>2013</v>
      </c>
      <c r="AG916" s="90">
        <f t="shared" si="333"/>
        <v>41</v>
      </c>
      <c r="AH916" s="90" t="str">
        <f t="shared" si="322"/>
        <v>2018 (triag)</v>
      </c>
      <c r="AI916" s="90">
        <f t="shared" si="323"/>
        <v>143</v>
      </c>
      <c r="AJ916" s="90">
        <f t="shared" si="324"/>
        <v>2021</v>
      </c>
      <c r="AK916" s="90" t="str">
        <f t="shared" si="325"/>
        <v/>
      </c>
      <c r="AL916" s="91">
        <f>IF(AK916="Adjust",(_xlfn.XLOOKUP(A916,'Adj factor'!A:A,'Adj factor'!I:I,,0)*AI916),'Master DataSheet (Rev)'!AI916)</f>
        <v>143</v>
      </c>
      <c r="AM916" s="91">
        <f t="shared" si="326"/>
        <v>143</v>
      </c>
      <c r="AN916" s="92" t="str">
        <f t="shared" si="327"/>
        <v>Increasing</v>
      </c>
      <c r="AS916" s="94">
        <f t="shared" si="330"/>
        <v>3.4484194046500945E-2</v>
      </c>
      <c r="AT916" s="94">
        <f t="shared" si="331"/>
        <v>3.5672421889903182E-2</v>
      </c>
      <c r="AU916" s="94">
        <f t="shared" si="335"/>
        <v>0.11094235718295327</v>
      </c>
      <c r="AV916" s="94">
        <f t="shared" si="336"/>
        <v>0.11094235718295327</v>
      </c>
    </row>
    <row r="917" spans="1:48" x14ac:dyDescent="0.3">
      <c r="A917" s="85" t="str">
        <f>_xlfn.XLOOKUP(B917,'Country codes &amp; Data sources'!G:G,'Country codes &amp; Data sources'!H:H,,0)</f>
        <v>Burundi</v>
      </c>
      <c r="B917" s="85" t="s">
        <v>165</v>
      </c>
      <c r="C917" s="85">
        <v>9795487</v>
      </c>
      <c r="D917" s="85" t="s">
        <v>334</v>
      </c>
      <c r="E917" s="86">
        <v>0</v>
      </c>
      <c r="F917" s="86">
        <v>10149577.500000002</v>
      </c>
      <c r="G917" s="86">
        <v>0</v>
      </c>
      <c r="H917" s="86"/>
      <c r="I917" s="86">
        <v>0</v>
      </c>
      <c r="J917" s="86"/>
      <c r="K917" s="86">
        <v>0</v>
      </c>
      <c r="L917" s="86"/>
      <c r="M917" s="86">
        <v>0</v>
      </c>
      <c r="N917" s="86"/>
      <c r="O917" s="86">
        <v>0</v>
      </c>
      <c r="P917" s="86">
        <v>11493472.499999993</v>
      </c>
      <c r="Q917" s="86">
        <v>0</v>
      </c>
      <c r="R917" s="87">
        <f t="shared" si="334"/>
        <v>119</v>
      </c>
      <c r="T917" s="87">
        <v>0</v>
      </c>
      <c r="U917" s="89"/>
      <c r="V917" s="89">
        <v>0</v>
      </c>
      <c r="W917" s="90"/>
      <c r="X917" s="90">
        <v>0</v>
      </c>
      <c r="Y917" s="90">
        <v>12889576.499999994</v>
      </c>
      <c r="Z917" s="90">
        <v>0</v>
      </c>
      <c r="AA917" s="90">
        <v>119</v>
      </c>
      <c r="AB917" s="89">
        <f t="shared" si="318"/>
        <v>0</v>
      </c>
      <c r="AC917" s="89">
        <f t="shared" si="319"/>
        <v>0</v>
      </c>
      <c r="AD917" s="89">
        <f t="shared" si="320"/>
        <v>0</v>
      </c>
      <c r="AF917" s="90" t="str">
        <f t="shared" si="321"/>
        <v/>
      </c>
      <c r="AG917" s="90">
        <f t="shared" si="333"/>
        <v>119</v>
      </c>
      <c r="AH917" s="90" t="str">
        <f t="shared" si="322"/>
        <v>2018 (triag)</v>
      </c>
      <c r="AI917" s="90">
        <f t="shared" si="323"/>
        <v>119</v>
      </c>
      <c r="AJ917" s="90" t="str">
        <f t="shared" si="324"/>
        <v>2018 (triag)</v>
      </c>
      <c r="AK917" s="90" t="str">
        <f t="shared" si="325"/>
        <v/>
      </c>
      <c r="AL917" s="91">
        <f>IF(AK917="Adjust",(_xlfn.XLOOKUP(A917,'Adj factor'!A:A,'Adj factor'!I:I,,0)*AI917),'Master DataSheet (Rev)'!AI917)</f>
        <v>119</v>
      </c>
      <c r="AM917" s="91">
        <f t="shared" si="326"/>
        <v>119</v>
      </c>
      <c r="AN917" s="92" t="str">
        <f t="shared" si="327"/>
        <v>No change</v>
      </c>
      <c r="AS917" s="94">
        <f t="shared" si="330"/>
        <v>0</v>
      </c>
      <c r="AT917" s="94">
        <f t="shared" si="331"/>
        <v>0.10353702938776778</v>
      </c>
      <c r="AU917" s="94">
        <f t="shared" si="335"/>
        <v>9.2322660872527537E-2</v>
      </c>
      <c r="AV917" s="94">
        <f t="shared" si="336"/>
        <v>9.2322660872527537E-2</v>
      </c>
    </row>
    <row r="918" spans="1:48" x14ac:dyDescent="0.3">
      <c r="A918" s="85" t="str">
        <f>_xlfn.XLOOKUP(B918,'Country codes &amp; Data sources'!G:G,'Country codes &amp; Data sources'!H:H,,0)</f>
        <v>Burundi</v>
      </c>
      <c r="B918" s="85" t="s">
        <v>165</v>
      </c>
      <c r="C918" s="85">
        <v>9795488</v>
      </c>
      <c r="D918" s="85" t="s">
        <v>335</v>
      </c>
      <c r="E918" s="86">
        <v>4</v>
      </c>
      <c r="F918" s="86">
        <v>10149577.500000002</v>
      </c>
      <c r="G918" s="86">
        <v>0</v>
      </c>
      <c r="H918" s="86"/>
      <c r="I918" s="86">
        <v>0</v>
      </c>
      <c r="J918" s="86"/>
      <c r="K918" s="86">
        <v>0</v>
      </c>
      <c r="L918" s="86"/>
      <c r="M918" s="86">
        <v>0</v>
      </c>
      <c r="N918" s="86"/>
      <c r="O918" s="86">
        <v>0</v>
      </c>
      <c r="P918" s="86">
        <v>11493472.499999993</v>
      </c>
      <c r="Q918" s="86">
        <v>119</v>
      </c>
      <c r="R918" s="87">
        <f t="shared" si="334"/>
        <v>119</v>
      </c>
      <c r="T918" s="87">
        <v>0</v>
      </c>
      <c r="U918" s="89"/>
      <c r="V918" s="89">
        <v>0</v>
      </c>
      <c r="W918" s="90"/>
      <c r="X918" s="90">
        <v>99</v>
      </c>
      <c r="Y918" s="90">
        <v>12889576.499999994</v>
      </c>
      <c r="Z918" s="90">
        <v>0</v>
      </c>
      <c r="AA918" s="90">
        <v>119</v>
      </c>
      <c r="AB918" s="89">
        <f t="shared" si="318"/>
        <v>4</v>
      </c>
      <c r="AC918" s="89">
        <f t="shared" si="319"/>
        <v>119</v>
      </c>
      <c r="AD918" s="89">
        <f t="shared" si="320"/>
        <v>99</v>
      </c>
      <c r="AE918" s="90">
        <f t="shared" si="332"/>
        <v>4</v>
      </c>
      <c r="AF918" s="90">
        <f t="shared" si="321"/>
        <v>2012</v>
      </c>
      <c r="AG918" s="90">
        <f t="shared" si="333"/>
        <v>119</v>
      </c>
      <c r="AH918" s="90">
        <f t="shared" si="322"/>
        <v>2018</v>
      </c>
      <c r="AI918" s="90">
        <f t="shared" si="323"/>
        <v>99</v>
      </c>
      <c r="AJ918" s="90">
        <f t="shared" si="324"/>
        <v>2021</v>
      </c>
      <c r="AK918" s="90" t="str">
        <f t="shared" si="325"/>
        <v>Adjust</v>
      </c>
      <c r="AL918" s="91">
        <f>IF(AK918="Adjust",(_xlfn.XLOOKUP(A918,'Adj factor'!A:A,'Adj factor'!I:I,,0)*AI918),'Master DataSheet (Rev)'!AI918)</f>
        <v>123.73305776420409</v>
      </c>
      <c r="AM918" s="91">
        <f t="shared" si="326"/>
        <v>123.73305776420409</v>
      </c>
      <c r="AN918" s="92" t="str">
        <f t="shared" si="327"/>
        <v>Increasing</v>
      </c>
      <c r="AS918" s="94">
        <f t="shared" si="330"/>
        <v>3.9410507481715366E-3</v>
      </c>
      <c r="AT918" s="94">
        <f t="shared" si="331"/>
        <v>0.10353702938776778</v>
      </c>
      <c r="AU918" s="94">
        <f t="shared" si="335"/>
        <v>9.5994664963743481E-2</v>
      </c>
      <c r="AV918" s="94">
        <f t="shared" si="336"/>
        <v>9.5994664963743481E-2</v>
      </c>
    </row>
    <row r="919" spans="1:48" x14ac:dyDescent="0.3">
      <c r="A919" s="85" t="str">
        <f>_xlfn.XLOOKUP(B919,'Country codes &amp; Data sources'!G:G,'Country codes &amp; Data sources'!H:H,,0)</f>
        <v>Burundi</v>
      </c>
      <c r="B919" s="85" t="s">
        <v>165</v>
      </c>
      <c r="C919" s="85">
        <v>9795489</v>
      </c>
      <c r="D919" s="85" t="s">
        <v>336</v>
      </c>
      <c r="E919" s="86">
        <v>0</v>
      </c>
      <c r="F919" s="86">
        <v>10149577.500000002</v>
      </c>
      <c r="G919" s="86">
        <v>0</v>
      </c>
      <c r="H919" s="86"/>
      <c r="I919" s="86">
        <v>0</v>
      </c>
      <c r="J919" s="86"/>
      <c r="K919" s="86">
        <v>0</v>
      </c>
      <c r="L919" s="86"/>
      <c r="M919" s="86">
        <v>0</v>
      </c>
      <c r="N919" s="86"/>
      <c r="O919" s="86">
        <v>0</v>
      </c>
      <c r="P919" s="86">
        <v>11493472.499999993</v>
      </c>
      <c r="Q919" s="86">
        <v>0</v>
      </c>
      <c r="R919" s="87">
        <f t="shared" si="334"/>
        <v>0</v>
      </c>
      <c r="T919" s="87">
        <v>0</v>
      </c>
      <c r="U919" s="89"/>
      <c r="V919" s="89">
        <v>0</v>
      </c>
      <c r="W919" s="90"/>
      <c r="X919" s="90">
        <v>6</v>
      </c>
      <c r="Y919" s="90">
        <v>12889576.499999994</v>
      </c>
      <c r="Z919" s="90">
        <v>0</v>
      </c>
      <c r="AA919" s="90">
        <v>0</v>
      </c>
      <c r="AB919" s="89">
        <f t="shared" si="318"/>
        <v>0</v>
      </c>
      <c r="AC919" s="89">
        <f t="shared" si="319"/>
        <v>0</v>
      </c>
      <c r="AD919" s="89">
        <f t="shared" si="320"/>
        <v>6</v>
      </c>
      <c r="AF919" s="90" t="str">
        <f t="shared" si="321"/>
        <v/>
      </c>
      <c r="AH919" s="90" t="str">
        <f t="shared" si="322"/>
        <v/>
      </c>
      <c r="AI919" s="90">
        <f t="shared" si="323"/>
        <v>6</v>
      </c>
      <c r="AJ919" s="90">
        <f t="shared" si="324"/>
        <v>2021</v>
      </c>
      <c r="AK919" s="90" t="str">
        <f t="shared" si="325"/>
        <v/>
      </c>
      <c r="AL919" s="91">
        <f>IF(AK919="Adjust",(_xlfn.XLOOKUP(A919,'Adj factor'!A:A,'Adj factor'!I:I,,0)*AI919),'Master DataSheet (Rev)'!AI919)</f>
        <v>6</v>
      </c>
      <c r="AM919" s="91">
        <f t="shared" si="326"/>
        <v>6</v>
      </c>
      <c r="AN919" s="92" t="str">
        <f t="shared" si="327"/>
        <v>Increasing</v>
      </c>
      <c r="AS919" s="94">
        <f t="shared" si="330"/>
        <v>0</v>
      </c>
      <c r="AT919" s="94">
        <f t="shared" si="331"/>
        <v>0</v>
      </c>
      <c r="AU919" s="94">
        <f t="shared" si="335"/>
        <v>4.6549240776064304E-3</v>
      </c>
      <c r="AV919" s="94">
        <f t="shared" si="336"/>
        <v>4.6549240776064304E-3</v>
      </c>
    </row>
    <row r="920" spans="1:48" x14ac:dyDescent="0.3">
      <c r="A920" s="85" t="str">
        <f>_xlfn.XLOOKUP(B920,'Country codes &amp; Data sources'!G:G,'Country codes &amp; Data sources'!H:H,,0)</f>
        <v>Burundi</v>
      </c>
      <c r="B920" s="85" t="s">
        <v>165</v>
      </c>
      <c r="C920" s="85">
        <v>9795490</v>
      </c>
      <c r="D920" s="85" t="s">
        <v>337</v>
      </c>
      <c r="E920" s="86">
        <v>0</v>
      </c>
      <c r="F920" s="86">
        <v>10149577.500000002</v>
      </c>
      <c r="G920" s="86">
        <v>4</v>
      </c>
      <c r="H920" s="86"/>
      <c r="I920" s="86">
        <v>0</v>
      </c>
      <c r="J920" s="86"/>
      <c r="K920" s="86">
        <v>0</v>
      </c>
      <c r="L920" s="86"/>
      <c r="M920" s="86">
        <v>0</v>
      </c>
      <c r="N920" s="86"/>
      <c r="O920" s="86">
        <v>0</v>
      </c>
      <c r="P920" s="86">
        <v>11493472.499999993</v>
      </c>
      <c r="Q920" s="86">
        <v>14</v>
      </c>
      <c r="R920" s="87">
        <f t="shared" si="334"/>
        <v>14</v>
      </c>
      <c r="T920" s="87">
        <v>0</v>
      </c>
      <c r="U920" s="89"/>
      <c r="V920" s="89">
        <v>0</v>
      </c>
      <c r="W920" s="90"/>
      <c r="X920" s="90">
        <v>0</v>
      </c>
      <c r="Y920" s="90">
        <v>12889576.499999994</v>
      </c>
      <c r="Z920" s="90">
        <v>0</v>
      </c>
      <c r="AA920" s="90">
        <v>14</v>
      </c>
      <c r="AB920" s="89">
        <f t="shared" ref="AB920:AB983" si="337">MAX(G920,E920,I920,K920)</f>
        <v>4</v>
      </c>
      <c r="AC920" s="89">
        <f t="shared" ref="AC920:AC983" si="338">MAX(M920,O920,Q920,T920)</f>
        <v>14</v>
      </c>
      <c r="AD920" s="89">
        <f t="shared" ref="AD920:AD983" si="339">MAX(V920,X920,Z920)</f>
        <v>0</v>
      </c>
      <c r="AE920" s="90">
        <f t="shared" ref="AE920:AE983" si="340">IF(G920&gt;0,G920,IF(E920&gt;0,E920,IF(I920&gt;0,I920,K920)))</f>
        <v>4</v>
      </c>
      <c r="AF920" s="90">
        <f t="shared" ref="AF920:AF983" si="341">IF(AE920&gt;0,_xlfn.XLOOKUP(AE920,$B920:$K920,$B$1:$K$1,,0),"")</f>
        <v>2013</v>
      </c>
      <c r="AG920" s="90">
        <f t="shared" ref="AG920:AG983" si="342">IF(R920&gt;0,R920,IF(O920&gt;0,O920,T920))</f>
        <v>14</v>
      </c>
      <c r="AH920" s="90">
        <f t="shared" ref="AH920:AH983" si="343">IF(AG920&gt;0,_xlfn.XLOOKUP(AG920,$L920:$T920,$L$1:$T$1,,0),"")</f>
        <v>2018</v>
      </c>
      <c r="AI920" s="90">
        <f t="shared" ref="AI920:AI983" si="344">IF((IF(Z920&gt;0,Z920,IF(X920&gt;0,X920,IF(V920&gt;0,V920,T920))))=0,AG920,IF(Z920&gt;0,Z920,IF(X920&gt;0,X920,IF(V920&gt;0,V920,T920))))</f>
        <v>14</v>
      </c>
      <c r="AJ920" s="90">
        <f t="shared" ref="AJ920:AJ983" si="345">IFERROR(IF(AI920&gt;0,_xlfn.XLOOKUP(AI920,$V920:$Z920,$V$1:$Z$1,,0),""),AH920)</f>
        <v>2018</v>
      </c>
      <c r="AK920" s="90" t="str">
        <f t="shared" ref="AK920:AK983" si="346">IF(AI920&lt;AG920,"Adjust","")</f>
        <v/>
      </c>
      <c r="AL920" s="91">
        <f>IF(AK920="Adjust",(_xlfn.XLOOKUP(A920,'Adj factor'!A:A,'Adj factor'!I:I,,0)*AI920),'Master DataSheet (Rev)'!AI920)</f>
        <v>14</v>
      </c>
      <c r="AM920" s="91">
        <f t="shared" ref="AM920:AM983" si="347">IF(AL920&lt;AG920,AG920,AL920)</f>
        <v>14</v>
      </c>
      <c r="AN920" s="92" t="str">
        <f t="shared" ref="AN920:AN983" si="348">IF(AL920&gt;AG920,"Increasing",IF(AL920&lt;AG920,"Decreasing","No change"))</f>
        <v>No change</v>
      </c>
      <c r="AS920" s="94">
        <f t="shared" ref="AS920:AS983" si="349">(AE920*10000)/F920</f>
        <v>3.9410507481715366E-3</v>
      </c>
      <c r="AT920" s="94">
        <f t="shared" ref="AT920:AT983" si="350">(AG920*10000)/P920</f>
        <v>1.2180826986796209E-2</v>
      </c>
      <c r="AU920" s="94">
        <f t="shared" si="335"/>
        <v>1.0861489514415006E-2</v>
      </c>
      <c r="AV920" s="94">
        <f t="shared" si="336"/>
        <v>1.0861489514415006E-2</v>
      </c>
    </row>
    <row r="921" spans="1:48" x14ac:dyDescent="0.3">
      <c r="A921" s="85" t="str">
        <f>_xlfn.XLOOKUP(B921,'Country codes &amp; Data sources'!G:G,'Country codes &amp; Data sources'!H:H,,0)</f>
        <v>Burundi</v>
      </c>
      <c r="B921" s="85" t="s">
        <v>165</v>
      </c>
      <c r="C921" s="85">
        <v>9795491</v>
      </c>
      <c r="D921" s="85" t="s">
        <v>338</v>
      </c>
      <c r="E921" s="86">
        <v>0</v>
      </c>
      <c r="F921" s="86">
        <v>10149577.500000002</v>
      </c>
      <c r="G921" s="86">
        <v>0</v>
      </c>
      <c r="H921" s="86"/>
      <c r="I921" s="86">
        <v>0</v>
      </c>
      <c r="J921" s="86"/>
      <c r="K921" s="86">
        <v>0</v>
      </c>
      <c r="L921" s="86"/>
      <c r="M921" s="86">
        <v>0</v>
      </c>
      <c r="N921" s="86"/>
      <c r="O921" s="86">
        <v>0</v>
      </c>
      <c r="P921" s="86">
        <v>11493472.499999993</v>
      </c>
      <c r="Q921" s="86">
        <v>0</v>
      </c>
      <c r="R921" s="87">
        <f t="shared" si="334"/>
        <v>0</v>
      </c>
      <c r="T921" s="87">
        <v>0</v>
      </c>
      <c r="U921" s="89"/>
      <c r="V921" s="89">
        <v>0</v>
      </c>
      <c r="W921" s="90"/>
      <c r="X921" s="90">
        <v>0</v>
      </c>
      <c r="Y921" s="90">
        <v>12889576.499999994</v>
      </c>
      <c r="Z921" s="90">
        <v>0</v>
      </c>
      <c r="AA921" s="90">
        <v>0</v>
      </c>
      <c r="AB921" s="89">
        <f t="shared" si="337"/>
        <v>0</v>
      </c>
      <c r="AC921" s="89">
        <f t="shared" si="338"/>
        <v>0</v>
      </c>
      <c r="AD921" s="89">
        <f t="shared" si="339"/>
        <v>0</v>
      </c>
      <c r="AF921" s="90" t="str">
        <f t="shared" si="341"/>
        <v/>
      </c>
      <c r="AH921" s="90" t="str">
        <f t="shared" si="343"/>
        <v/>
      </c>
      <c r="AI921" s="90">
        <f t="shared" si="344"/>
        <v>0</v>
      </c>
      <c r="AJ921" s="90" t="str">
        <f t="shared" si="345"/>
        <v/>
      </c>
      <c r="AK921" s="90" t="str">
        <f t="shared" si="346"/>
        <v/>
      </c>
      <c r="AL921" s="91"/>
      <c r="AM921" s="91">
        <f t="shared" si="347"/>
        <v>0</v>
      </c>
      <c r="AN921" s="92" t="str">
        <f t="shared" si="348"/>
        <v>No change</v>
      </c>
      <c r="AS921" s="94">
        <f t="shared" si="349"/>
        <v>0</v>
      </c>
      <c r="AT921" s="94">
        <f t="shared" si="350"/>
        <v>0</v>
      </c>
      <c r="AU921" s="94">
        <f t="shared" si="335"/>
        <v>0</v>
      </c>
      <c r="AV921" s="94">
        <f t="shared" si="336"/>
        <v>0</v>
      </c>
    </row>
    <row r="922" spans="1:48" x14ac:dyDescent="0.3">
      <c r="A922" s="85" t="str">
        <f>_xlfn.XLOOKUP(B922,'Country codes &amp; Data sources'!G:G,'Country codes &amp; Data sources'!H:H,,0)</f>
        <v>Burundi</v>
      </c>
      <c r="B922" s="85" t="s">
        <v>165</v>
      </c>
      <c r="C922" s="85">
        <v>9795492</v>
      </c>
      <c r="D922" s="85" t="s">
        <v>339</v>
      </c>
      <c r="E922" s="86">
        <v>0</v>
      </c>
      <c r="F922" s="86">
        <v>10149577.500000002</v>
      </c>
      <c r="G922" s="86">
        <v>0</v>
      </c>
      <c r="H922" s="86"/>
      <c r="I922" s="86">
        <v>0</v>
      </c>
      <c r="J922" s="86"/>
      <c r="K922" s="86">
        <v>0</v>
      </c>
      <c r="L922" s="86"/>
      <c r="M922" s="86">
        <v>0</v>
      </c>
      <c r="N922" s="86"/>
      <c r="O922" s="86">
        <v>93</v>
      </c>
      <c r="P922" s="86">
        <v>11493472.499999993</v>
      </c>
      <c r="Q922" s="86">
        <v>0</v>
      </c>
      <c r="R922" s="87">
        <f t="shared" si="334"/>
        <v>0</v>
      </c>
      <c r="T922" s="87">
        <v>0</v>
      </c>
      <c r="U922" s="89"/>
      <c r="V922" s="89">
        <v>0</v>
      </c>
      <c r="W922" s="90"/>
      <c r="X922" s="90">
        <v>15</v>
      </c>
      <c r="Y922" s="90">
        <v>12889576.499999994</v>
      </c>
      <c r="Z922" s="90">
        <v>0</v>
      </c>
      <c r="AA922" s="90">
        <v>0</v>
      </c>
      <c r="AB922" s="89">
        <f t="shared" si="337"/>
        <v>0</v>
      </c>
      <c r="AC922" s="89">
        <f t="shared" si="338"/>
        <v>93</v>
      </c>
      <c r="AD922" s="89">
        <f t="shared" si="339"/>
        <v>15</v>
      </c>
      <c r="AF922" s="90" t="str">
        <f t="shared" si="341"/>
        <v/>
      </c>
      <c r="AG922" s="90">
        <f t="shared" si="342"/>
        <v>93</v>
      </c>
      <c r="AH922" s="90">
        <f t="shared" si="343"/>
        <v>2017</v>
      </c>
      <c r="AI922" s="90">
        <f t="shared" si="344"/>
        <v>15</v>
      </c>
      <c r="AJ922" s="90">
        <f t="shared" si="345"/>
        <v>2021</v>
      </c>
      <c r="AK922" s="90" t="str">
        <f t="shared" si="346"/>
        <v>Adjust</v>
      </c>
      <c r="AL922" s="91">
        <f>IF(AK922="Adjust",(_xlfn.XLOOKUP(A922,'Adj factor'!A:A,'Adj factor'!I:I,,0)*AI922),'Master DataSheet (Rev)'!AI922)</f>
        <v>18.747432994576378</v>
      </c>
      <c r="AM922" s="91">
        <f t="shared" si="347"/>
        <v>93</v>
      </c>
      <c r="AN922" s="92" t="str">
        <f t="shared" si="348"/>
        <v>Decreasing</v>
      </c>
      <c r="AS922" s="94">
        <f t="shared" si="349"/>
        <v>0</v>
      </c>
      <c r="AT922" s="94">
        <f t="shared" si="350"/>
        <v>8.091549355514624E-2</v>
      </c>
      <c r="AU922" s="94">
        <f t="shared" si="335"/>
        <v>1.4544646206627801E-2</v>
      </c>
      <c r="AV922" s="94">
        <f t="shared" si="336"/>
        <v>7.2151323202899673E-2</v>
      </c>
    </row>
    <row r="923" spans="1:48" x14ac:dyDescent="0.3">
      <c r="A923" s="85" t="str">
        <f>_xlfn.XLOOKUP(B923,'Country codes &amp; Data sources'!G:G,'Country codes &amp; Data sources'!H:H,,0)</f>
        <v>Benin</v>
      </c>
      <c r="B923" s="85" t="s">
        <v>163</v>
      </c>
      <c r="C923" s="85">
        <v>10014078.499999996</v>
      </c>
      <c r="D923" s="85" t="s">
        <v>326</v>
      </c>
      <c r="E923" s="86">
        <v>0</v>
      </c>
      <c r="F923" s="86">
        <v>10308730.499999994</v>
      </c>
      <c r="G923" s="86">
        <v>0</v>
      </c>
      <c r="H923" s="86">
        <v>10614844.000000013</v>
      </c>
      <c r="I923" s="86">
        <v>0</v>
      </c>
      <c r="J923" s="86">
        <v>10932783.499999994</v>
      </c>
      <c r="K923" s="86">
        <v>0</v>
      </c>
      <c r="L923" s="86">
        <v>11260084.499999996</v>
      </c>
      <c r="M923" s="86">
        <v>523</v>
      </c>
      <c r="N923" s="86">
        <v>11596778.499999991</v>
      </c>
      <c r="O923" s="86">
        <v>0</v>
      </c>
      <c r="P923" s="86">
        <v>11940683.499999996</v>
      </c>
      <c r="Q923" s="86">
        <v>908</v>
      </c>
      <c r="R923" s="87">
        <f t="shared" si="334"/>
        <v>908</v>
      </c>
      <c r="S923" s="87">
        <v>12290444.000000004</v>
      </c>
      <c r="T923" s="87">
        <v>763</v>
      </c>
      <c r="U923" s="89">
        <v>12643123.000000002</v>
      </c>
      <c r="V923" s="89">
        <v>0</v>
      </c>
      <c r="W923" s="90">
        <v>12996895</v>
      </c>
      <c r="X923" s="90">
        <v>2755</v>
      </c>
      <c r="Y923" s="90">
        <v>13352864</v>
      </c>
      <c r="Z923" s="90">
        <v>2608</v>
      </c>
      <c r="AA923" s="90">
        <v>710</v>
      </c>
      <c r="AB923" s="89">
        <f t="shared" si="337"/>
        <v>0</v>
      </c>
      <c r="AC923" s="89">
        <f t="shared" si="338"/>
        <v>908</v>
      </c>
      <c r="AD923" s="89">
        <f t="shared" si="339"/>
        <v>2755</v>
      </c>
      <c r="AF923" s="90" t="str">
        <f t="shared" si="341"/>
        <v/>
      </c>
      <c r="AG923" s="90">
        <f t="shared" si="342"/>
        <v>908</v>
      </c>
      <c r="AH923" s="90">
        <f t="shared" si="343"/>
        <v>2018</v>
      </c>
      <c r="AI923" s="90">
        <f t="shared" si="344"/>
        <v>2608</v>
      </c>
      <c r="AJ923" s="90">
        <f t="shared" si="345"/>
        <v>2022</v>
      </c>
      <c r="AK923" s="90" t="str">
        <f t="shared" si="346"/>
        <v/>
      </c>
      <c r="AL923" s="91">
        <f>IF(AK923="Adjust",(_xlfn.XLOOKUP(A923,'Adj factor'!A:A,'Adj factor'!I:I,,0)*AI923),'Master DataSheet (Rev)'!AI923)</f>
        <v>2608</v>
      </c>
      <c r="AM923" s="91">
        <f t="shared" si="347"/>
        <v>2608</v>
      </c>
      <c r="AN923" s="92" t="str">
        <f t="shared" si="348"/>
        <v>Increasing</v>
      </c>
      <c r="AS923" s="94">
        <f t="shared" si="349"/>
        <v>0</v>
      </c>
      <c r="AT923" s="94">
        <f t="shared" si="350"/>
        <v>0.76042548150614686</v>
      </c>
      <c r="AU923" s="94">
        <f t="shared" si="335"/>
        <v>1.953139041931379</v>
      </c>
      <c r="AV923" s="94">
        <f t="shared" si="336"/>
        <v>1.953139041931379</v>
      </c>
    </row>
    <row r="924" spans="1:48" x14ac:dyDescent="0.3">
      <c r="A924" s="85" t="str">
        <f>_xlfn.XLOOKUP(B924,'Country codes &amp; Data sources'!G:G,'Country codes &amp; Data sources'!H:H,,0)</f>
        <v>Benin</v>
      </c>
      <c r="B924" s="85" t="s">
        <v>163</v>
      </c>
      <c r="C924" s="85">
        <v>10014079.5</v>
      </c>
      <c r="D924" s="85" t="s">
        <v>327</v>
      </c>
      <c r="E924" s="86">
        <v>0</v>
      </c>
      <c r="F924" s="86">
        <v>10308730.499999994</v>
      </c>
      <c r="G924" s="86">
        <v>0</v>
      </c>
      <c r="H924" s="86"/>
      <c r="I924" s="86">
        <v>0</v>
      </c>
      <c r="J924" s="86"/>
      <c r="K924" s="86">
        <v>0</v>
      </c>
      <c r="L924" s="86"/>
      <c r="M924" s="86">
        <v>0</v>
      </c>
      <c r="N924" s="86"/>
      <c r="O924" s="86">
        <v>0</v>
      </c>
      <c r="P924" s="86">
        <v>11940683.499999996</v>
      </c>
      <c r="Q924" s="86">
        <v>346</v>
      </c>
      <c r="R924" s="87">
        <f t="shared" si="334"/>
        <v>391</v>
      </c>
      <c r="T924" s="87">
        <v>202</v>
      </c>
      <c r="U924" s="89"/>
      <c r="V924" s="89">
        <v>0</v>
      </c>
      <c r="W924" s="90"/>
      <c r="X924" s="90">
        <v>1797</v>
      </c>
      <c r="Y924" s="90">
        <v>13352864</v>
      </c>
      <c r="Z924" s="90">
        <v>1753</v>
      </c>
      <c r="AA924" s="90">
        <v>391</v>
      </c>
      <c r="AB924" s="89">
        <f t="shared" si="337"/>
        <v>0</v>
      </c>
      <c r="AC924" s="89">
        <f t="shared" si="338"/>
        <v>346</v>
      </c>
      <c r="AD924" s="89">
        <f t="shared" si="339"/>
        <v>1797</v>
      </c>
      <c r="AF924" s="90" t="str">
        <f t="shared" si="341"/>
        <v/>
      </c>
      <c r="AG924" s="90">
        <f t="shared" si="342"/>
        <v>391</v>
      </c>
      <c r="AH924" s="90" t="str">
        <f t="shared" si="343"/>
        <v>2018 (triag)</v>
      </c>
      <c r="AI924" s="90">
        <f t="shared" si="344"/>
        <v>1753</v>
      </c>
      <c r="AJ924" s="90">
        <f t="shared" si="345"/>
        <v>2022</v>
      </c>
      <c r="AK924" s="90" t="str">
        <f t="shared" si="346"/>
        <v/>
      </c>
      <c r="AL924" s="91">
        <f>IF(AK924="Adjust",(_xlfn.XLOOKUP(A924,'Adj factor'!A:A,'Adj factor'!I:I,,0)*AI924),'Master DataSheet (Rev)'!AI924)</f>
        <v>1753</v>
      </c>
      <c r="AM924" s="91">
        <f t="shared" si="347"/>
        <v>1753</v>
      </c>
      <c r="AN924" s="92" t="str">
        <f t="shared" si="348"/>
        <v>Increasing</v>
      </c>
      <c r="AS924" s="94">
        <f t="shared" si="349"/>
        <v>0</v>
      </c>
      <c r="AT924" s="94">
        <f t="shared" si="350"/>
        <v>0.32745194192610511</v>
      </c>
      <c r="AU924" s="94">
        <f t="shared" si="335"/>
        <v>1.3128269710528018</v>
      </c>
      <c r="AV924" s="94">
        <f t="shared" si="336"/>
        <v>1.3128269710528018</v>
      </c>
    </row>
    <row r="925" spans="1:48" x14ac:dyDescent="0.3">
      <c r="A925" s="85" t="str">
        <f>_xlfn.XLOOKUP(B925,'Country codes &amp; Data sources'!G:G,'Country codes &amp; Data sources'!H:H,,0)</f>
        <v>Benin</v>
      </c>
      <c r="B925" s="85" t="s">
        <v>163</v>
      </c>
      <c r="C925" s="85">
        <v>10014080.5</v>
      </c>
      <c r="D925" s="85" t="s">
        <v>328</v>
      </c>
      <c r="E925" s="86">
        <v>0</v>
      </c>
      <c r="F925" s="86">
        <v>10308730.499999994</v>
      </c>
      <c r="G925" s="86">
        <v>0</v>
      </c>
      <c r="H925" s="86"/>
      <c r="I925" s="86">
        <v>0</v>
      </c>
      <c r="J925" s="86"/>
      <c r="K925" s="86">
        <v>0</v>
      </c>
      <c r="L925" s="86"/>
      <c r="M925" s="86">
        <v>0</v>
      </c>
      <c r="N925" s="86"/>
      <c r="O925" s="86">
        <v>0</v>
      </c>
      <c r="P925" s="86">
        <v>11940683.499999996</v>
      </c>
      <c r="Q925" s="86">
        <v>562</v>
      </c>
      <c r="R925" s="87">
        <f t="shared" si="334"/>
        <v>562</v>
      </c>
      <c r="T925" s="87">
        <v>0</v>
      </c>
      <c r="U925" s="89"/>
      <c r="V925" s="89">
        <v>0</v>
      </c>
      <c r="W925" s="90"/>
      <c r="X925" s="90">
        <v>958</v>
      </c>
      <c r="Y925" s="90">
        <v>13352864</v>
      </c>
      <c r="Z925" s="90">
        <v>855</v>
      </c>
      <c r="AA925" s="90">
        <v>319</v>
      </c>
      <c r="AB925" s="89">
        <f t="shared" si="337"/>
        <v>0</v>
      </c>
      <c r="AC925" s="89">
        <f t="shared" si="338"/>
        <v>562</v>
      </c>
      <c r="AD925" s="89">
        <f t="shared" si="339"/>
        <v>958</v>
      </c>
      <c r="AF925" s="90" t="str">
        <f t="shared" si="341"/>
        <v/>
      </c>
      <c r="AG925" s="90">
        <f t="shared" si="342"/>
        <v>562</v>
      </c>
      <c r="AH925" s="90">
        <f t="shared" si="343"/>
        <v>2018</v>
      </c>
      <c r="AI925" s="90">
        <f t="shared" si="344"/>
        <v>855</v>
      </c>
      <c r="AJ925" s="90">
        <f t="shared" si="345"/>
        <v>2022</v>
      </c>
      <c r="AK925" s="90" t="str">
        <f t="shared" si="346"/>
        <v/>
      </c>
      <c r="AL925" s="91">
        <f>IF(AK925="Adjust",(_xlfn.XLOOKUP(A925,'Adj factor'!A:A,'Adj factor'!I:I,,0)*AI925),'Master DataSheet (Rev)'!AI925)</f>
        <v>855</v>
      </c>
      <c r="AM925" s="91">
        <f t="shared" si="347"/>
        <v>855</v>
      </c>
      <c r="AN925" s="92" t="str">
        <f t="shared" si="348"/>
        <v>Increasing</v>
      </c>
      <c r="AS925" s="94">
        <f t="shared" si="349"/>
        <v>0</v>
      </c>
      <c r="AT925" s="94">
        <f t="shared" si="350"/>
        <v>0.47065982445644772</v>
      </c>
      <c r="AU925" s="94">
        <f t="shared" si="335"/>
        <v>0.64031207087857711</v>
      </c>
      <c r="AV925" s="94">
        <f t="shared" si="336"/>
        <v>0.64031207087857711</v>
      </c>
    </row>
    <row r="926" spans="1:48" x14ac:dyDescent="0.3">
      <c r="A926" s="85" t="str">
        <f>_xlfn.XLOOKUP(B926,'Country codes &amp; Data sources'!G:G,'Country codes &amp; Data sources'!H:H,,0)</f>
        <v>Benin</v>
      </c>
      <c r="B926" s="85" t="s">
        <v>163</v>
      </c>
      <c r="C926" s="85">
        <v>10014081.5</v>
      </c>
      <c r="D926" s="85" t="s">
        <v>329</v>
      </c>
      <c r="E926" s="86">
        <v>5138</v>
      </c>
      <c r="F926" s="86">
        <v>10308730.499999994</v>
      </c>
      <c r="G926" s="86">
        <v>4880</v>
      </c>
      <c r="H926" s="86"/>
      <c r="I926" s="86">
        <v>0</v>
      </c>
      <c r="J926" s="86"/>
      <c r="K926" s="86">
        <v>0</v>
      </c>
      <c r="L926" s="86"/>
      <c r="M926" s="86">
        <v>7224</v>
      </c>
      <c r="N926" s="86"/>
      <c r="O926" s="86">
        <v>0</v>
      </c>
      <c r="P926" s="86">
        <v>11940683.499999996</v>
      </c>
      <c r="Q926" s="86">
        <v>3410</v>
      </c>
      <c r="R926" s="87">
        <f t="shared" si="334"/>
        <v>3410</v>
      </c>
      <c r="T926" s="87">
        <v>2670</v>
      </c>
      <c r="U926" s="89"/>
      <c r="V926" s="89">
        <v>0</v>
      </c>
      <c r="W926" s="90"/>
      <c r="X926" s="90">
        <v>5484</v>
      </c>
      <c r="Y926" s="90">
        <v>13352864</v>
      </c>
      <c r="Z926" s="90">
        <v>5893</v>
      </c>
      <c r="AA926" s="90">
        <v>3260</v>
      </c>
      <c r="AB926" s="89">
        <f t="shared" si="337"/>
        <v>5138</v>
      </c>
      <c r="AC926" s="89">
        <f t="shared" si="338"/>
        <v>7224</v>
      </c>
      <c r="AD926" s="89">
        <f t="shared" si="339"/>
        <v>5893</v>
      </c>
      <c r="AE926" s="90">
        <f t="shared" si="340"/>
        <v>4880</v>
      </c>
      <c r="AF926" s="90">
        <f t="shared" si="341"/>
        <v>2013</v>
      </c>
      <c r="AG926" s="90">
        <f t="shared" si="342"/>
        <v>3410</v>
      </c>
      <c r="AH926" s="90">
        <f t="shared" si="343"/>
        <v>2018</v>
      </c>
      <c r="AI926" s="90">
        <f t="shared" si="344"/>
        <v>5893</v>
      </c>
      <c r="AJ926" s="90">
        <f t="shared" si="345"/>
        <v>2022</v>
      </c>
      <c r="AK926" s="90" t="str">
        <f t="shared" si="346"/>
        <v/>
      </c>
      <c r="AL926" s="91">
        <f>IF(AK926="Adjust",(_xlfn.XLOOKUP(A926,'Adj factor'!A:A,'Adj factor'!I:I,,0)*AI926),'Master DataSheet (Rev)'!AI926)</f>
        <v>5893</v>
      </c>
      <c r="AM926" s="91">
        <f t="shared" si="347"/>
        <v>5893</v>
      </c>
      <c r="AN926" s="92" t="str">
        <f t="shared" si="348"/>
        <v>Increasing</v>
      </c>
      <c r="AS926" s="94">
        <f t="shared" si="349"/>
        <v>4.7338515639728893</v>
      </c>
      <c r="AT926" s="94">
        <f t="shared" si="350"/>
        <v>2.8557829206343182</v>
      </c>
      <c r="AU926" s="94">
        <f t="shared" si="335"/>
        <v>4.4132854195174911</v>
      </c>
      <c r="AV926" s="94">
        <f t="shared" si="336"/>
        <v>4.4132854195174911</v>
      </c>
    </row>
    <row r="927" spans="1:48" x14ac:dyDescent="0.3">
      <c r="A927" s="85" t="str">
        <f>_xlfn.XLOOKUP(B927,'Country codes &amp; Data sources'!G:G,'Country codes &amp; Data sources'!H:H,,0)</f>
        <v>Benin</v>
      </c>
      <c r="B927" s="85" t="s">
        <v>163</v>
      </c>
      <c r="C927" s="85">
        <v>10014082.5</v>
      </c>
      <c r="D927" s="85" t="s">
        <v>330</v>
      </c>
      <c r="E927" s="86">
        <v>0</v>
      </c>
      <c r="F927" s="86">
        <v>10308730.499999994</v>
      </c>
      <c r="G927" s="86">
        <v>0</v>
      </c>
      <c r="H927" s="86"/>
      <c r="I927" s="86">
        <v>0</v>
      </c>
      <c r="J927" s="86"/>
      <c r="K927" s="86">
        <v>0</v>
      </c>
      <c r="L927" s="86"/>
      <c r="M927" s="86">
        <v>1577</v>
      </c>
      <c r="N927" s="86"/>
      <c r="O927" s="86">
        <v>0</v>
      </c>
      <c r="P927" s="86">
        <v>11940683.499999996</v>
      </c>
      <c r="Q927" s="86">
        <v>3410</v>
      </c>
      <c r="R927" s="87">
        <f t="shared" si="334"/>
        <v>3410</v>
      </c>
      <c r="T927" s="87">
        <v>0</v>
      </c>
      <c r="U927" s="89"/>
      <c r="V927" s="89">
        <v>0</v>
      </c>
      <c r="W927" s="90"/>
      <c r="X927" s="90">
        <v>5484</v>
      </c>
      <c r="Y927" s="90">
        <v>13352864</v>
      </c>
      <c r="Z927" s="90">
        <v>5893</v>
      </c>
      <c r="AA927" s="90">
        <v>1938</v>
      </c>
      <c r="AB927" s="89">
        <f t="shared" si="337"/>
        <v>0</v>
      </c>
      <c r="AC927" s="89">
        <f t="shared" si="338"/>
        <v>3410</v>
      </c>
      <c r="AD927" s="89">
        <f t="shared" si="339"/>
        <v>5893</v>
      </c>
      <c r="AF927" s="90" t="str">
        <f t="shared" si="341"/>
        <v/>
      </c>
      <c r="AG927" s="90">
        <f t="shared" si="342"/>
        <v>3410</v>
      </c>
      <c r="AH927" s="90">
        <f t="shared" si="343"/>
        <v>2018</v>
      </c>
      <c r="AI927" s="90">
        <f t="shared" si="344"/>
        <v>5893</v>
      </c>
      <c r="AJ927" s="90">
        <f t="shared" si="345"/>
        <v>2022</v>
      </c>
      <c r="AK927" s="90" t="str">
        <f t="shared" si="346"/>
        <v/>
      </c>
      <c r="AL927" s="91">
        <f>IF(AK927="Adjust",(_xlfn.XLOOKUP(A927,'Adj factor'!A:A,'Adj factor'!I:I,,0)*AI927),'Master DataSheet (Rev)'!AI927)</f>
        <v>5893</v>
      </c>
      <c r="AM927" s="91">
        <f t="shared" si="347"/>
        <v>5893</v>
      </c>
      <c r="AN927" s="92" t="str">
        <f t="shared" si="348"/>
        <v>Increasing</v>
      </c>
      <c r="AS927" s="94">
        <f t="shared" si="349"/>
        <v>0</v>
      </c>
      <c r="AT927" s="94">
        <f t="shared" si="350"/>
        <v>2.8557829206343182</v>
      </c>
      <c r="AU927" s="94">
        <f t="shared" si="335"/>
        <v>4.4132854195174911</v>
      </c>
      <c r="AV927" s="94">
        <f t="shared" si="336"/>
        <v>4.4132854195174911</v>
      </c>
    </row>
    <row r="928" spans="1:48" x14ac:dyDescent="0.3">
      <c r="A928" s="85" t="str">
        <f>_xlfn.XLOOKUP(B928,'Country codes &amp; Data sources'!G:G,'Country codes &amp; Data sources'!H:H,,0)</f>
        <v>Benin</v>
      </c>
      <c r="B928" s="85" t="s">
        <v>163</v>
      </c>
      <c r="C928" s="85">
        <v>10014083.5</v>
      </c>
      <c r="D928" s="85" t="s">
        <v>331</v>
      </c>
      <c r="E928" s="86">
        <v>0</v>
      </c>
      <c r="F928" s="86">
        <v>10308730.499999994</v>
      </c>
      <c r="G928" s="86">
        <v>0</v>
      </c>
      <c r="H928" s="86"/>
      <c r="I928" s="86">
        <v>0</v>
      </c>
      <c r="J928" s="86"/>
      <c r="K928" s="86">
        <v>0</v>
      </c>
      <c r="L928" s="86"/>
      <c r="M928" s="86">
        <v>0</v>
      </c>
      <c r="N928" s="86"/>
      <c r="O928" s="86">
        <v>0</v>
      </c>
      <c r="P928" s="86">
        <v>11940683.499999996</v>
      </c>
      <c r="Q928" s="86">
        <v>0</v>
      </c>
      <c r="R928" s="87">
        <f t="shared" si="334"/>
        <v>1322</v>
      </c>
      <c r="T928" s="87">
        <v>0</v>
      </c>
      <c r="U928" s="89"/>
      <c r="V928" s="89">
        <v>0</v>
      </c>
      <c r="W928" s="90"/>
      <c r="X928" s="90">
        <v>0</v>
      </c>
      <c r="Y928" s="90">
        <v>13352864</v>
      </c>
      <c r="Z928" s="90">
        <v>0</v>
      </c>
      <c r="AA928" s="90">
        <v>1322</v>
      </c>
      <c r="AB928" s="89">
        <f t="shared" si="337"/>
        <v>0</v>
      </c>
      <c r="AC928" s="89">
        <f t="shared" si="338"/>
        <v>0</v>
      </c>
      <c r="AD928" s="89">
        <f t="shared" si="339"/>
        <v>0</v>
      </c>
      <c r="AF928" s="90" t="str">
        <f t="shared" si="341"/>
        <v/>
      </c>
      <c r="AG928" s="90">
        <f t="shared" si="342"/>
        <v>1322</v>
      </c>
      <c r="AH928" s="90" t="str">
        <f t="shared" si="343"/>
        <v>2018 (triag)</v>
      </c>
      <c r="AI928" s="90">
        <f t="shared" si="344"/>
        <v>1322</v>
      </c>
      <c r="AJ928" s="90" t="str">
        <f t="shared" si="345"/>
        <v>2018 (triag)</v>
      </c>
      <c r="AK928" s="90" t="str">
        <f t="shared" si="346"/>
        <v/>
      </c>
      <c r="AL928" s="91">
        <f>IF(AK928="Adjust",(_xlfn.XLOOKUP(A928,'Adj factor'!A:A,'Adj factor'!I:I,,0)*AI928),'Master DataSheet (Rev)'!AI928)</f>
        <v>1322</v>
      </c>
      <c r="AM928" s="91">
        <f t="shared" si="347"/>
        <v>1322</v>
      </c>
      <c r="AN928" s="92" t="str">
        <f t="shared" si="348"/>
        <v>No change</v>
      </c>
      <c r="AS928" s="94">
        <f t="shared" si="349"/>
        <v>0</v>
      </c>
      <c r="AT928" s="94">
        <f t="shared" si="350"/>
        <v>1.1071393023690816</v>
      </c>
      <c r="AU928" s="94">
        <f t="shared" si="335"/>
        <v>0.99004977508944902</v>
      </c>
      <c r="AV928" s="94">
        <f t="shared" si="336"/>
        <v>0.99004977508944902</v>
      </c>
    </row>
    <row r="929" spans="1:48" x14ac:dyDescent="0.3">
      <c r="A929" s="85" t="str">
        <f>_xlfn.XLOOKUP(B929,'Country codes &amp; Data sources'!G:G,'Country codes &amp; Data sources'!H:H,,0)</f>
        <v>Benin</v>
      </c>
      <c r="B929" s="85" t="s">
        <v>163</v>
      </c>
      <c r="C929" s="85">
        <v>10014084.5</v>
      </c>
      <c r="D929" s="85" t="s">
        <v>332</v>
      </c>
      <c r="E929" s="86">
        <v>1480</v>
      </c>
      <c r="F929" s="86">
        <v>10308730.499999994</v>
      </c>
      <c r="G929" s="86">
        <v>943</v>
      </c>
      <c r="H929" s="86"/>
      <c r="I929" s="86">
        <v>0</v>
      </c>
      <c r="J929" s="86"/>
      <c r="K929" s="86">
        <v>0</v>
      </c>
      <c r="L929" s="86"/>
      <c r="M929" s="86">
        <v>1034</v>
      </c>
      <c r="N929" s="86"/>
      <c r="O929" s="86">
        <v>0</v>
      </c>
      <c r="P929" s="86">
        <v>11940683.499999996</v>
      </c>
      <c r="Q929" s="86">
        <v>1055</v>
      </c>
      <c r="R929" s="87">
        <f t="shared" si="334"/>
        <v>1055</v>
      </c>
      <c r="T929" s="87">
        <v>905</v>
      </c>
      <c r="U929" s="89"/>
      <c r="V929" s="89">
        <v>0</v>
      </c>
      <c r="W929" s="90"/>
      <c r="X929" s="90">
        <v>2086</v>
      </c>
      <c r="Y929" s="90">
        <v>13352864</v>
      </c>
      <c r="Z929" s="90">
        <v>2055</v>
      </c>
      <c r="AA929" s="90">
        <v>813</v>
      </c>
      <c r="AB929" s="89">
        <f t="shared" si="337"/>
        <v>1480</v>
      </c>
      <c r="AC929" s="89">
        <f t="shared" si="338"/>
        <v>1055</v>
      </c>
      <c r="AD929" s="89">
        <f t="shared" si="339"/>
        <v>2086</v>
      </c>
      <c r="AE929" s="90">
        <f t="shared" si="340"/>
        <v>943</v>
      </c>
      <c r="AF929" s="90">
        <f t="shared" si="341"/>
        <v>2013</v>
      </c>
      <c r="AG929" s="90">
        <f t="shared" si="342"/>
        <v>1055</v>
      </c>
      <c r="AH929" s="90">
        <f t="shared" si="343"/>
        <v>2018</v>
      </c>
      <c r="AI929" s="90">
        <f t="shared" si="344"/>
        <v>2055</v>
      </c>
      <c r="AJ929" s="90">
        <f t="shared" si="345"/>
        <v>2022</v>
      </c>
      <c r="AK929" s="90" t="str">
        <f t="shared" si="346"/>
        <v/>
      </c>
      <c r="AL929" s="91">
        <f>IF(AK929="Adjust",(_xlfn.XLOOKUP(A929,'Adj factor'!A:A,'Adj factor'!I:I,,0)*AI929),'Master DataSheet (Rev)'!AI929)</f>
        <v>2055</v>
      </c>
      <c r="AM929" s="91">
        <f t="shared" si="347"/>
        <v>2055</v>
      </c>
      <c r="AN929" s="92" t="str">
        <f t="shared" si="348"/>
        <v>Increasing</v>
      </c>
      <c r="AS929" s="94">
        <f t="shared" si="349"/>
        <v>0.91475861164476124</v>
      </c>
      <c r="AT929" s="94">
        <f t="shared" si="350"/>
        <v>0.88353401210240634</v>
      </c>
      <c r="AU929" s="94">
        <f t="shared" si="335"/>
        <v>1.5389956791292114</v>
      </c>
      <c r="AV929" s="94">
        <f t="shared" si="336"/>
        <v>1.5389956791292114</v>
      </c>
    </row>
    <row r="930" spans="1:48" x14ac:dyDescent="0.3">
      <c r="A930" s="85" t="str">
        <f>_xlfn.XLOOKUP(B930,'Country codes &amp; Data sources'!G:G,'Country codes &amp; Data sources'!H:H,,0)</f>
        <v>Benin</v>
      </c>
      <c r="B930" s="85" t="s">
        <v>163</v>
      </c>
      <c r="C930" s="85">
        <v>10014085.5</v>
      </c>
      <c r="D930" s="85" t="s">
        <v>333</v>
      </c>
      <c r="E930" s="86">
        <v>0</v>
      </c>
      <c r="F930" s="86">
        <v>10308730.499999994</v>
      </c>
      <c r="G930" s="86">
        <v>943</v>
      </c>
      <c r="H930" s="86"/>
      <c r="I930" s="86">
        <v>0</v>
      </c>
      <c r="J930" s="86"/>
      <c r="K930" s="86">
        <v>0</v>
      </c>
      <c r="L930" s="86"/>
      <c r="M930" s="86">
        <v>0</v>
      </c>
      <c r="N930" s="86"/>
      <c r="O930" s="86">
        <v>0</v>
      </c>
      <c r="P930" s="86">
        <v>11940683.499999996</v>
      </c>
      <c r="Q930" s="86">
        <v>1055</v>
      </c>
      <c r="R930" s="87">
        <f t="shared" si="334"/>
        <v>1055</v>
      </c>
      <c r="T930" s="87">
        <v>0</v>
      </c>
      <c r="U930" s="89"/>
      <c r="V930" s="89">
        <v>0</v>
      </c>
      <c r="W930" s="90"/>
      <c r="X930" s="90">
        <v>2086</v>
      </c>
      <c r="Y930" s="90">
        <v>13352864</v>
      </c>
      <c r="Z930" s="90">
        <v>2055</v>
      </c>
      <c r="AA930" s="90">
        <v>807</v>
      </c>
      <c r="AB930" s="89">
        <f t="shared" si="337"/>
        <v>943</v>
      </c>
      <c r="AC930" s="89">
        <f t="shared" si="338"/>
        <v>1055</v>
      </c>
      <c r="AD930" s="89">
        <f t="shared" si="339"/>
        <v>2086</v>
      </c>
      <c r="AE930" s="90">
        <f t="shared" si="340"/>
        <v>943</v>
      </c>
      <c r="AF930" s="90">
        <f t="shared" si="341"/>
        <v>2013</v>
      </c>
      <c r="AG930" s="90">
        <f t="shared" si="342"/>
        <v>1055</v>
      </c>
      <c r="AH930" s="90">
        <f t="shared" si="343"/>
        <v>2018</v>
      </c>
      <c r="AI930" s="90">
        <f t="shared" si="344"/>
        <v>2055</v>
      </c>
      <c r="AJ930" s="90">
        <f t="shared" si="345"/>
        <v>2022</v>
      </c>
      <c r="AK930" s="90" t="str">
        <f t="shared" si="346"/>
        <v/>
      </c>
      <c r="AL930" s="91">
        <f>IF(AK930="Adjust",(_xlfn.XLOOKUP(A930,'Adj factor'!A:A,'Adj factor'!I:I,,0)*AI930),'Master DataSheet (Rev)'!AI930)</f>
        <v>2055</v>
      </c>
      <c r="AM930" s="91">
        <f t="shared" si="347"/>
        <v>2055</v>
      </c>
      <c r="AN930" s="92" t="str">
        <f t="shared" si="348"/>
        <v>Increasing</v>
      </c>
      <c r="AS930" s="94">
        <f t="shared" si="349"/>
        <v>0.91475861164476124</v>
      </c>
      <c r="AT930" s="94">
        <f t="shared" si="350"/>
        <v>0.88353401210240634</v>
      </c>
      <c r="AU930" s="94">
        <f t="shared" si="335"/>
        <v>1.5389956791292114</v>
      </c>
      <c r="AV930" s="94">
        <f t="shared" si="336"/>
        <v>1.5389956791292114</v>
      </c>
    </row>
    <row r="931" spans="1:48" x14ac:dyDescent="0.3">
      <c r="A931" s="85" t="str">
        <f>_xlfn.XLOOKUP(B931,'Country codes &amp; Data sources'!G:G,'Country codes &amp; Data sources'!H:H,,0)</f>
        <v>Benin</v>
      </c>
      <c r="B931" s="85" t="s">
        <v>163</v>
      </c>
      <c r="C931" s="85">
        <v>10014086.5</v>
      </c>
      <c r="D931" s="85" t="s">
        <v>334</v>
      </c>
      <c r="E931" s="86">
        <v>0</v>
      </c>
      <c r="F931" s="86">
        <v>10308730.499999994</v>
      </c>
      <c r="G931" s="86">
        <v>0</v>
      </c>
      <c r="H931" s="86"/>
      <c r="I931" s="86">
        <v>0</v>
      </c>
      <c r="J931" s="86"/>
      <c r="K931" s="86">
        <v>0</v>
      </c>
      <c r="L931" s="86"/>
      <c r="M931" s="86">
        <v>0</v>
      </c>
      <c r="N931" s="86"/>
      <c r="O931" s="86">
        <v>0</v>
      </c>
      <c r="P931" s="86">
        <v>11940683.499999996</v>
      </c>
      <c r="Q931" s="86">
        <v>0</v>
      </c>
      <c r="R931" s="87">
        <f t="shared" si="334"/>
        <v>6</v>
      </c>
      <c r="T931" s="87">
        <v>0</v>
      </c>
      <c r="U931" s="89"/>
      <c r="V931" s="89">
        <v>0</v>
      </c>
      <c r="W931" s="90"/>
      <c r="X931" s="90">
        <v>0</v>
      </c>
      <c r="Y931" s="90">
        <v>13352864</v>
      </c>
      <c r="Z931" s="90">
        <v>0</v>
      </c>
      <c r="AA931" s="90">
        <v>6</v>
      </c>
      <c r="AB931" s="89">
        <f t="shared" si="337"/>
        <v>0</v>
      </c>
      <c r="AC931" s="89">
        <f t="shared" si="338"/>
        <v>0</v>
      </c>
      <c r="AD931" s="89">
        <f t="shared" si="339"/>
        <v>0</v>
      </c>
      <c r="AF931" s="90" t="str">
        <f t="shared" si="341"/>
        <v/>
      </c>
      <c r="AG931" s="90">
        <f t="shared" si="342"/>
        <v>6</v>
      </c>
      <c r="AH931" s="90" t="str">
        <f t="shared" si="343"/>
        <v>2018 (triag)</v>
      </c>
      <c r="AI931" s="90">
        <f t="shared" si="344"/>
        <v>6</v>
      </c>
      <c r="AJ931" s="90" t="str">
        <f t="shared" si="345"/>
        <v>2018 (triag)</v>
      </c>
      <c r="AK931" s="90" t="str">
        <f t="shared" si="346"/>
        <v/>
      </c>
      <c r="AL931" s="91">
        <f>IF(AK931="Adjust",(_xlfn.XLOOKUP(A931,'Adj factor'!A:A,'Adj factor'!I:I,,0)*AI931),'Master DataSheet (Rev)'!AI931)</f>
        <v>6</v>
      </c>
      <c r="AM931" s="91">
        <f t="shared" si="347"/>
        <v>6</v>
      </c>
      <c r="AN931" s="92" t="str">
        <f t="shared" si="348"/>
        <v>No change</v>
      </c>
      <c r="AS931" s="94">
        <f t="shared" si="349"/>
        <v>0</v>
      </c>
      <c r="AT931" s="94">
        <f t="shared" si="350"/>
        <v>5.0248379835207942E-3</v>
      </c>
      <c r="AU931" s="94">
        <f t="shared" si="335"/>
        <v>4.4934180412531726E-3</v>
      </c>
      <c r="AV931" s="94">
        <f t="shared" si="336"/>
        <v>4.4934180412531726E-3</v>
      </c>
    </row>
    <row r="932" spans="1:48" x14ac:dyDescent="0.3">
      <c r="A932" s="85" t="str">
        <f>_xlfn.XLOOKUP(B932,'Country codes &amp; Data sources'!G:G,'Country codes &amp; Data sources'!H:H,,0)</f>
        <v>Benin</v>
      </c>
      <c r="B932" s="85" t="s">
        <v>163</v>
      </c>
      <c r="C932" s="85">
        <v>10014087.5</v>
      </c>
      <c r="D932" s="85" t="s">
        <v>335</v>
      </c>
      <c r="E932" s="86">
        <v>0</v>
      </c>
      <c r="F932" s="86">
        <v>10308730.499999994</v>
      </c>
      <c r="G932" s="86">
        <v>1330</v>
      </c>
      <c r="H932" s="86"/>
      <c r="I932" s="86">
        <v>0</v>
      </c>
      <c r="J932" s="86"/>
      <c r="K932" s="86">
        <v>0</v>
      </c>
      <c r="L932" s="86"/>
      <c r="M932" s="86">
        <v>13</v>
      </c>
      <c r="N932" s="86"/>
      <c r="O932" s="86">
        <v>0</v>
      </c>
      <c r="P932" s="86">
        <v>11940683.499999996</v>
      </c>
      <c r="Q932" s="86">
        <v>306</v>
      </c>
      <c r="R932" s="87">
        <f t="shared" si="334"/>
        <v>306</v>
      </c>
      <c r="T932" s="87">
        <v>0</v>
      </c>
      <c r="U932" s="89"/>
      <c r="V932" s="89">
        <v>0</v>
      </c>
      <c r="W932" s="90"/>
      <c r="X932" s="90">
        <v>403</v>
      </c>
      <c r="Y932" s="90">
        <v>13352864</v>
      </c>
      <c r="Z932" s="90">
        <v>382</v>
      </c>
      <c r="AA932" s="90">
        <v>14</v>
      </c>
      <c r="AB932" s="89">
        <f t="shared" si="337"/>
        <v>1330</v>
      </c>
      <c r="AC932" s="89">
        <f t="shared" si="338"/>
        <v>306</v>
      </c>
      <c r="AD932" s="89">
        <f t="shared" si="339"/>
        <v>403</v>
      </c>
      <c r="AE932" s="90">
        <f t="shared" si="340"/>
        <v>1330</v>
      </c>
      <c r="AF932" s="90">
        <f t="shared" si="341"/>
        <v>2013</v>
      </c>
      <c r="AG932" s="90">
        <f t="shared" si="342"/>
        <v>306</v>
      </c>
      <c r="AH932" s="90">
        <f t="shared" si="343"/>
        <v>2018</v>
      </c>
      <c r="AI932" s="90">
        <f t="shared" si="344"/>
        <v>382</v>
      </c>
      <c r="AJ932" s="90">
        <f t="shared" si="345"/>
        <v>2022</v>
      </c>
      <c r="AK932" s="90" t="str">
        <f t="shared" si="346"/>
        <v/>
      </c>
      <c r="AL932" s="91">
        <f>IF(AK932="Adjust",(_xlfn.XLOOKUP(A932,'Adj factor'!A:A,'Adj factor'!I:I,,0)*AI932),'Master DataSheet (Rev)'!AI932)</f>
        <v>382</v>
      </c>
      <c r="AM932" s="91">
        <f t="shared" si="347"/>
        <v>382</v>
      </c>
      <c r="AN932" s="92" t="str">
        <f t="shared" si="348"/>
        <v>Increasing</v>
      </c>
      <c r="AS932" s="94">
        <f t="shared" si="349"/>
        <v>1.2901685614926113</v>
      </c>
      <c r="AT932" s="94">
        <f t="shared" si="350"/>
        <v>0.2562667371595605</v>
      </c>
      <c r="AU932" s="94">
        <f t="shared" si="335"/>
        <v>0.28608094862645195</v>
      </c>
      <c r="AV932" s="94">
        <f t="shared" si="336"/>
        <v>0.28608094862645195</v>
      </c>
    </row>
    <row r="933" spans="1:48" x14ac:dyDescent="0.3">
      <c r="A933" s="85" t="str">
        <f>_xlfn.XLOOKUP(B933,'Country codes &amp; Data sources'!G:G,'Country codes &amp; Data sources'!H:H,,0)</f>
        <v>Benin</v>
      </c>
      <c r="B933" s="85" t="s">
        <v>163</v>
      </c>
      <c r="C933" s="85">
        <v>10014088.5</v>
      </c>
      <c r="D933" s="85" t="s">
        <v>336</v>
      </c>
      <c r="E933" s="86">
        <v>0</v>
      </c>
      <c r="F933" s="86">
        <v>10308730.499999994</v>
      </c>
      <c r="G933" s="86">
        <v>770</v>
      </c>
      <c r="H933" s="86"/>
      <c r="I933" s="86">
        <v>0</v>
      </c>
      <c r="J933" s="86"/>
      <c r="K933" s="86">
        <v>0</v>
      </c>
      <c r="L933" s="86"/>
      <c r="M933" s="86">
        <v>0</v>
      </c>
      <c r="N933" s="86"/>
      <c r="O933" s="86">
        <v>0</v>
      </c>
      <c r="P933" s="86">
        <v>11940683.499999996</v>
      </c>
      <c r="Q933" s="86">
        <v>45</v>
      </c>
      <c r="R933" s="87">
        <f t="shared" si="334"/>
        <v>45</v>
      </c>
      <c r="T933" s="87">
        <v>0</v>
      </c>
      <c r="U933" s="89"/>
      <c r="V933" s="89">
        <v>0</v>
      </c>
      <c r="W933" s="90"/>
      <c r="X933" s="90">
        <v>56</v>
      </c>
      <c r="Y933" s="90">
        <v>13352864</v>
      </c>
      <c r="Z933" s="90">
        <v>0</v>
      </c>
      <c r="AA933" s="90">
        <v>0</v>
      </c>
      <c r="AB933" s="89">
        <f t="shared" si="337"/>
        <v>770</v>
      </c>
      <c r="AC933" s="89">
        <f t="shared" si="338"/>
        <v>45</v>
      </c>
      <c r="AD933" s="89">
        <f t="shared" si="339"/>
        <v>56</v>
      </c>
      <c r="AE933" s="90">
        <f t="shared" si="340"/>
        <v>770</v>
      </c>
      <c r="AF933" s="90">
        <f t="shared" si="341"/>
        <v>2013</v>
      </c>
      <c r="AG933" s="90">
        <f t="shared" si="342"/>
        <v>45</v>
      </c>
      <c r="AH933" s="90">
        <f t="shared" si="343"/>
        <v>2018</v>
      </c>
      <c r="AI933" s="90">
        <f t="shared" si="344"/>
        <v>56</v>
      </c>
      <c r="AJ933" s="90">
        <f t="shared" si="345"/>
        <v>2021</v>
      </c>
      <c r="AK933" s="90" t="str">
        <f t="shared" si="346"/>
        <v/>
      </c>
      <c r="AL933" s="91">
        <f>IF(AK933="Adjust",(_xlfn.XLOOKUP(A933,'Adj factor'!A:A,'Adj factor'!I:I,,0)*AI933),'Master DataSheet (Rev)'!AI933)</f>
        <v>56</v>
      </c>
      <c r="AM933" s="91">
        <f t="shared" si="347"/>
        <v>56</v>
      </c>
      <c r="AN933" s="92" t="str">
        <f t="shared" si="348"/>
        <v>Increasing</v>
      </c>
      <c r="AS933" s="94">
        <f t="shared" si="349"/>
        <v>0.74693969349572231</v>
      </c>
      <c r="AT933" s="94">
        <f t="shared" si="350"/>
        <v>3.7686284876405955E-2</v>
      </c>
      <c r="AU933" s="94">
        <f t="shared" si="335"/>
        <v>4.1938568385029608E-2</v>
      </c>
      <c r="AV933" s="94">
        <f t="shared" si="336"/>
        <v>4.1938568385029608E-2</v>
      </c>
    </row>
    <row r="934" spans="1:48" x14ac:dyDescent="0.3">
      <c r="A934" s="85" t="str">
        <f>_xlfn.XLOOKUP(B934,'Country codes &amp; Data sources'!G:G,'Country codes &amp; Data sources'!H:H,,0)</f>
        <v>Benin</v>
      </c>
      <c r="B934" s="85" t="s">
        <v>163</v>
      </c>
      <c r="C934" s="85">
        <v>10014089.5</v>
      </c>
      <c r="D934" s="85" t="s">
        <v>337</v>
      </c>
      <c r="E934" s="86">
        <v>0</v>
      </c>
      <c r="F934" s="86">
        <v>10308730.499999994</v>
      </c>
      <c r="G934" s="86">
        <v>0</v>
      </c>
      <c r="H934" s="86"/>
      <c r="I934" s="86">
        <v>0</v>
      </c>
      <c r="J934" s="86"/>
      <c r="K934" s="86">
        <v>0</v>
      </c>
      <c r="L934" s="86"/>
      <c r="M934" s="86">
        <v>9</v>
      </c>
      <c r="N934" s="86"/>
      <c r="O934" s="86">
        <v>73</v>
      </c>
      <c r="P934" s="86">
        <v>11940683.499999996</v>
      </c>
      <c r="Q934" s="86">
        <v>12</v>
      </c>
      <c r="R934" s="87">
        <f t="shared" si="334"/>
        <v>12</v>
      </c>
      <c r="T934" s="87">
        <v>0</v>
      </c>
      <c r="U934" s="89"/>
      <c r="V934" s="89">
        <v>0</v>
      </c>
      <c r="W934" s="90"/>
      <c r="X934" s="90">
        <v>50</v>
      </c>
      <c r="Y934" s="90">
        <v>13352864</v>
      </c>
      <c r="Z934" s="90">
        <v>50</v>
      </c>
      <c r="AA934" s="90">
        <v>0</v>
      </c>
      <c r="AB934" s="89">
        <f t="shared" si="337"/>
        <v>0</v>
      </c>
      <c r="AC934" s="89">
        <f t="shared" si="338"/>
        <v>73</v>
      </c>
      <c r="AD934" s="89">
        <f t="shared" si="339"/>
        <v>50</v>
      </c>
      <c r="AF934" s="90" t="str">
        <f t="shared" si="341"/>
        <v/>
      </c>
      <c r="AG934" s="90">
        <f t="shared" si="342"/>
        <v>12</v>
      </c>
      <c r="AH934" s="90">
        <f t="shared" si="343"/>
        <v>2018</v>
      </c>
      <c r="AI934" s="90">
        <f t="shared" si="344"/>
        <v>50</v>
      </c>
      <c r="AJ934" s="90">
        <f t="shared" si="345"/>
        <v>2021</v>
      </c>
      <c r="AK934" s="90" t="str">
        <f t="shared" si="346"/>
        <v/>
      </c>
      <c r="AL934" s="91">
        <f>IF(AK934="Adjust",(_xlfn.XLOOKUP(A934,'Adj factor'!A:A,'Adj factor'!I:I,,0)*AI934),'Master DataSheet (Rev)'!AI934)</f>
        <v>50</v>
      </c>
      <c r="AM934" s="91">
        <f t="shared" si="347"/>
        <v>50</v>
      </c>
      <c r="AN934" s="92" t="str">
        <f t="shared" si="348"/>
        <v>Increasing</v>
      </c>
      <c r="AS934" s="94">
        <f t="shared" si="349"/>
        <v>0</v>
      </c>
      <c r="AT934" s="94">
        <f t="shared" si="350"/>
        <v>1.0049675967041588E-2</v>
      </c>
      <c r="AU934" s="94">
        <f t="shared" si="335"/>
        <v>3.7445150343776434E-2</v>
      </c>
      <c r="AV934" s="94">
        <f t="shared" si="336"/>
        <v>3.7445150343776434E-2</v>
      </c>
    </row>
    <row r="935" spans="1:48" x14ac:dyDescent="0.3">
      <c r="A935" s="85" t="str">
        <f>_xlfn.XLOOKUP(B935,'Country codes &amp; Data sources'!G:G,'Country codes &amp; Data sources'!H:H,,0)</f>
        <v>Benin</v>
      </c>
      <c r="B935" s="85" t="s">
        <v>163</v>
      </c>
      <c r="C935" s="85">
        <v>10014090.5</v>
      </c>
      <c r="D935" s="85" t="s">
        <v>338</v>
      </c>
      <c r="E935" s="86">
        <v>0</v>
      </c>
      <c r="F935" s="86">
        <v>10308730.499999994</v>
      </c>
      <c r="G935" s="86">
        <v>0</v>
      </c>
      <c r="H935" s="86"/>
      <c r="I935" s="86">
        <v>0</v>
      </c>
      <c r="J935" s="86"/>
      <c r="K935" s="86">
        <v>0</v>
      </c>
      <c r="L935" s="86"/>
      <c r="M935" s="86">
        <v>0</v>
      </c>
      <c r="N935" s="86"/>
      <c r="O935" s="86">
        <v>33</v>
      </c>
      <c r="P935" s="86">
        <v>11940683.499999996</v>
      </c>
      <c r="Q935" s="86">
        <v>0</v>
      </c>
      <c r="R935" s="87">
        <f t="shared" si="334"/>
        <v>0</v>
      </c>
      <c r="T935" s="87">
        <v>0</v>
      </c>
      <c r="U935" s="89"/>
      <c r="V935" s="89">
        <v>0</v>
      </c>
      <c r="W935" s="90"/>
      <c r="X935" s="90">
        <v>6</v>
      </c>
      <c r="Y935" s="90">
        <v>13352864</v>
      </c>
      <c r="Z935" s="90">
        <v>0</v>
      </c>
      <c r="AA935" s="90">
        <v>0</v>
      </c>
      <c r="AB935" s="89">
        <f t="shared" si="337"/>
        <v>0</v>
      </c>
      <c r="AC935" s="89">
        <f t="shared" si="338"/>
        <v>33</v>
      </c>
      <c r="AD935" s="89">
        <f t="shared" si="339"/>
        <v>6</v>
      </c>
      <c r="AF935" s="90" t="str">
        <f t="shared" si="341"/>
        <v/>
      </c>
      <c r="AG935" s="90">
        <f t="shared" si="342"/>
        <v>33</v>
      </c>
      <c r="AH935" s="90">
        <f t="shared" si="343"/>
        <v>2017</v>
      </c>
      <c r="AI935" s="90">
        <f t="shared" si="344"/>
        <v>6</v>
      </c>
      <c r="AJ935" s="90">
        <f t="shared" si="345"/>
        <v>2021</v>
      </c>
      <c r="AK935" s="90" t="str">
        <f t="shared" si="346"/>
        <v>Adjust</v>
      </c>
      <c r="AL935" s="91">
        <f>IF(AK935="Adjust",(_xlfn.XLOOKUP(A935,'Adj factor'!A:A,'Adj factor'!I:I,,0)*AI935),'Master DataSheet (Rev)'!AI935)</f>
        <v>7.4754468485418633</v>
      </c>
      <c r="AM935" s="91">
        <f t="shared" si="347"/>
        <v>33</v>
      </c>
      <c r="AN935" s="92" t="str">
        <f t="shared" si="348"/>
        <v>Decreasing</v>
      </c>
      <c r="AS935" s="94">
        <f t="shared" si="349"/>
        <v>0</v>
      </c>
      <c r="AT935" s="94">
        <f t="shared" si="350"/>
        <v>2.7636608909364369E-2</v>
      </c>
      <c r="AU935" s="94">
        <f t="shared" si="335"/>
        <v>5.5983846226111966E-3</v>
      </c>
      <c r="AV935" s="94">
        <f t="shared" si="336"/>
        <v>2.4713799226892447E-2</v>
      </c>
    </row>
    <row r="936" spans="1:48" x14ac:dyDescent="0.3">
      <c r="A936" s="85" t="str">
        <f>_xlfn.XLOOKUP(B936,'Country codes &amp; Data sources'!G:G,'Country codes &amp; Data sources'!H:H,,0)</f>
        <v>Benin</v>
      </c>
      <c r="B936" s="85" t="s">
        <v>163</v>
      </c>
      <c r="C936" s="85">
        <v>10014091.5</v>
      </c>
      <c r="D936" s="85" t="s">
        <v>339</v>
      </c>
      <c r="E936" s="86">
        <v>0</v>
      </c>
      <c r="F936" s="86">
        <v>10308730.499999994</v>
      </c>
      <c r="G936" s="86">
        <v>0</v>
      </c>
      <c r="H936" s="86"/>
      <c r="I936" s="86">
        <v>0</v>
      </c>
      <c r="J936" s="86"/>
      <c r="K936" s="86">
        <v>0</v>
      </c>
      <c r="L936" s="86"/>
      <c r="M936" s="86">
        <v>0</v>
      </c>
      <c r="N936" s="86"/>
      <c r="O936" s="86">
        <v>0</v>
      </c>
      <c r="P936" s="86">
        <v>11940683.499999996</v>
      </c>
      <c r="Q936" s="86">
        <v>0</v>
      </c>
      <c r="R936" s="87">
        <f t="shared" si="334"/>
        <v>0</v>
      </c>
      <c r="T936" s="87">
        <v>0</v>
      </c>
      <c r="U936" s="89"/>
      <c r="V936" s="89">
        <v>0</v>
      </c>
      <c r="W936" s="90"/>
      <c r="X936" s="90">
        <v>0</v>
      </c>
      <c r="Y936" s="90">
        <v>13352864</v>
      </c>
      <c r="Z936" s="90">
        <v>0</v>
      </c>
      <c r="AA936" s="90">
        <v>0</v>
      </c>
      <c r="AB936" s="89">
        <f t="shared" si="337"/>
        <v>0</v>
      </c>
      <c r="AC936" s="89">
        <f t="shared" si="338"/>
        <v>0</v>
      </c>
      <c r="AD936" s="89">
        <f t="shared" si="339"/>
        <v>0</v>
      </c>
      <c r="AF936" s="90" t="str">
        <f t="shared" si="341"/>
        <v/>
      </c>
      <c r="AH936" s="90" t="str">
        <f t="shared" si="343"/>
        <v/>
      </c>
      <c r="AI936" s="90">
        <f t="shared" si="344"/>
        <v>0</v>
      </c>
      <c r="AJ936" s="90" t="str">
        <f t="shared" si="345"/>
        <v/>
      </c>
      <c r="AK936" s="90" t="str">
        <f t="shared" si="346"/>
        <v/>
      </c>
      <c r="AL936" s="91"/>
      <c r="AM936" s="91">
        <f t="shared" si="347"/>
        <v>0</v>
      </c>
      <c r="AN936" s="92" t="str">
        <f t="shared" si="348"/>
        <v>No change</v>
      </c>
      <c r="AS936" s="94">
        <f t="shared" si="349"/>
        <v>0</v>
      </c>
      <c r="AT936" s="94">
        <f t="shared" si="350"/>
        <v>0</v>
      </c>
      <c r="AU936" s="94">
        <f t="shared" si="335"/>
        <v>0</v>
      </c>
      <c r="AV936" s="94">
        <f t="shared" si="336"/>
        <v>0</v>
      </c>
    </row>
    <row r="937" spans="1:48" x14ac:dyDescent="0.3">
      <c r="A937" s="85" t="str">
        <f>_xlfn.XLOOKUP(B937,'Country codes &amp; Data sources'!G:G,'Country codes &amp; Data sources'!H:H,,0)</f>
        <v>Burkina Faso</v>
      </c>
      <c r="B937" s="85" t="s">
        <v>151</v>
      </c>
      <c r="C937" s="85">
        <v>17113732.499999996</v>
      </c>
      <c r="D937" s="85" t="s">
        <v>326</v>
      </c>
      <c r="E937" s="86">
        <v>787</v>
      </c>
      <c r="F937" s="86">
        <v>17636407.5</v>
      </c>
      <c r="G937" s="86">
        <v>803</v>
      </c>
      <c r="H937" s="86">
        <v>18169842.499999996</v>
      </c>
      <c r="I937" s="86">
        <v>857</v>
      </c>
      <c r="J937" s="86">
        <v>18718019.499999996</v>
      </c>
      <c r="K937" s="86">
        <v>1189</v>
      </c>
      <c r="L937" s="86">
        <v>19275497.999999981</v>
      </c>
      <c r="M937" s="86">
        <v>1202</v>
      </c>
      <c r="N937" s="86">
        <v>19835858.500000007</v>
      </c>
      <c r="O937" s="86">
        <v>1626</v>
      </c>
      <c r="P937" s="86">
        <v>20392723</v>
      </c>
      <c r="Q937" s="86">
        <v>1684</v>
      </c>
      <c r="R937" s="87">
        <f t="shared" si="334"/>
        <v>1684</v>
      </c>
      <c r="S937" s="87">
        <v>20951638.999999996</v>
      </c>
      <c r="T937" s="87">
        <v>1910</v>
      </c>
      <c r="U937" s="89">
        <v>21522625.999999993</v>
      </c>
      <c r="V937" s="89">
        <v>2061</v>
      </c>
      <c r="W937" s="90">
        <v>22100683.499999989</v>
      </c>
      <c r="X937" s="90">
        <v>2221</v>
      </c>
      <c r="Y937" s="90">
        <v>22673762.000000007</v>
      </c>
      <c r="Z937" s="90">
        <v>3323</v>
      </c>
      <c r="AA937" s="90">
        <v>1626</v>
      </c>
      <c r="AB937" s="89">
        <f t="shared" si="337"/>
        <v>1189</v>
      </c>
      <c r="AC937" s="89">
        <f t="shared" si="338"/>
        <v>1910</v>
      </c>
      <c r="AD937" s="89">
        <f t="shared" si="339"/>
        <v>3323</v>
      </c>
      <c r="AE937" s="90">
        <f t="shared" si="340"/>
        <v>803</v>
      </c>
      <c r="AF937" s="90">
        <f t="shared" si="341"/>
        <v>2013</v>
      </c>
      <c r="AG937" s="90">
        <f t="shared" si="342"/>
        <v>1684</v>
      </c>
      <c r="AH937" s="90">
        <f t="shared" si="343"/>
        <v>2018</v>
      </c>
      <c r="AI937" s="90">
        <f t="shared" si="344"/>
        <v>3323</v>
      </c>
      <c r="AJ937" s="90">
        <f t="shared" si="345"/>
        <v>2022</v>
      </c>
      <c r="AK937" s="90" t="str">
        <f t="shared" si="346"/>
        <v/>
      </c>
      <c r="AL937" s="91">
        <f>IF(AK937="Adjust",(_xlfn.XLOOKUP(A937,'Adj factor'!A:A,'Adj factor'!I:I,,0)*AI937),'Master DataSheet (Rev)'!AI937)</f>
        <v>3323</v>
      </c>
      <c r="AM937" s="91">
        <f t="shared" si="347"/>
        <v>3323</v>
      </c>
      <c r="AN937" s="92" t="str">
        <f t="shared" si="348"/>
        <v>Increasing</v>
      </c>
      <c r="AS937" s="94">
        <f t="shared" si="349"/>
        <v>0.45530814594752361</v>
      </c>
      <c r="AT937" s="94">
        <f t="shared" si="350"/>
        <v>0.82578476645811349</v>
      </c>
      <c r="AU937" s="94">
        <f t="shared" si="335"/>
        <v>1.4655706450477866</v>
      </c>
      <c r="AV937" s="94">
        <f t="shared" si="336"/>
        <v>1.4655706450477866</v>
      </c>
    </row>
    <row r="938" spans="1:48" x14ac:dyDescent="0.3">
      <c r="A938" s="85" t="str">
        <f>_xlfn.XLOOKUP(B938,'Country codes &amp; Data sources'!G:G,'Country codes &amp; Data sources'!H:H,,0)</f>
        <v>Burkina Faso</v>
      </c>
      <c r="B938" s="85" t="s">
        <v>151</v>
      </c>
      <c r="C938" s="85">
        <v>17113733.5</v>
      </c>
      <c r="D938" s="85" t="s">
        <v>327</v>
      </c>
      <c r="E938" s="86">
        <v>0</v>
      </c>
      <c r="F938" s="86">
        <v>17636407.5</v>
      </c>
      <c r="G938" s="86">
        <v>0</v>
      </c>
      <c r="H938" s="86"/>
      <c r="I938" s="86">
        <v>0</v>
      </c>
      <c r="J938" s="86"/>
      <c r="K938" s="86">
        <v>0</v>
      </c>
      <c r="L938" s="86"/>
      <c r="M938" s="86">
        <v>0</v>
      </c>
      <c r="N938" s="86"/>
      <c r="O938" s="86">
        <v>888</v>
      </c>
      <c r="P938" s="86">
        <v>20392723</v>
      </c>
      <c r="Q938" s="86">
        <v>732</v>
      </c>
      <c r="R938" s="87">
        <f t="shared" si="334"/>
        <v>888</v>
      </c>
      <c r="T938" s="87">
        <v>1026</v>
      </c>
      <c r="U938" s="89"/>
      <c r="V938" s="89">
        <v>1088</v>
      </c>
      <c r="W938" s="90"/>
      <c r="X938" s="90">
        <v>1220</v>
      </c>
      <c r="Y938" s="90">
        <v>22673762.000000007</v>
      </c>
      <c r="Z938" s="90">
        <v>2372</v>
      </c>
      <c r="AA938" s="90">
        <v>888</v>
      </c>
      <c r="AB938" s="89">
        <f t="shared" si="337"/>
        <v>0</v>
      </c>
      <c r="AC938" s="89">
        <f t="shared" si="338"/>
        <v>1026</v>
      </c>
      <c r="AD938" s="89">
        <f t="shared" si="339"/>
        <v>2372</v>
      </c>
      <c r="AF938" s="90" t="str">
        <f t="shared" si="341"/>
        <v/>
      </c>
      <c r="AG938" s="90">
        <f t="shared" si="342"/>
        <v>888</v>
      </c>
      <c r="AH938" s="90">
        <f t="shared" si="343"/>
        <v>2017</v>
      </c>
      <c r="AI938" s="90">
        <f t="shared" si="344"/>
        <v>2372</v>
      </c>
      <c r="AJ938" s="90">
        <f t="shared" si="345"/>
        <v>2022</v>
      </c>
      <c r="AK938" s="90" t="str">
        <f t="shared" si="346"/>
        <v/>
      </c>
      <c r="AL938" s="91">
        <f>IF(AK938="Adjust",(_xlfn.XLOOKUP(A938,'Adj factor'!A:A,'Adj factor'!I:I,,0)*AI938),'Master DataSheet (Rev)'!AI938)</f>
        <v>2372</v>
      </c>
      <c r="AM938" s="91">
        <f t="shared" si="347"/>
        <v>2372</v>
      </c>
      <c r="AN938" s="92" t="str">
        <f t="shared" si="348"/>
        <v>Increasing</v>
      </c>
      <c r="AS938" s="94">
        <f t="shared" si="349"/>
        <v>0</v>
      </c>
      <c r="AT938" s="94">
        <f t="shared" si="350"/>
        <v>0.43544944929620238</v>
      </c>
      <c r="AU938" s="94">
        <f t="shared" si="335"/>
        <v>1.0461431146714864</v>
      </c>
      <c r="AV938" s="94">
        <f t="shared" si="336"/>
        <v>1.0461431146714864</v>
      </c>
    </row>
    <row r="939" spans="1:48" x14ac:dyDescent="0.3">
      <c r="A939" s="85" t="str">
        <f>_xlfn.XLOOKUP(B939,'Country codes &amp; Data sources'!G:G,'Country codes &amp; Data sources'!H:H,,0)</f>
        <v>Burkina Faso</v>
      </c>
      <c r="B939" s="85" t="s">
        <v>151</v>
      </c>
      <c r="C939" s="85">
        <v>17113734.5</v>
      </c>
      <c r="D939" s="85" t="s">
        <v>328</v>
      </c>
      <c r="E939" s="86">
        <v>0</v>
      </c>
      <c r="F939" s="86">
        <v>17636407.5</v>
      </c>
      <c r="G939" s="86">
        <v>0</v>
      </c>
      <c r="H939" s="86"/>
      <c r="I939" s="86">
        <v>0</v>
      </c>
      <c r="J939" s="86"/>
      <c r="K939" s="86">
        <v>0</v>
      </c>
      <c r="L939" s="86"/>
      <c r="M939" s="86">
        <v>0</v>
      </c>
      <c r="N939" s="86"/>
      <c r="O939" s="86">
        <v>738</v>
      </c>
      <c r="P939" s="86">
        <v>20392723</v>
      </c>
      <c r="Q939" s="86">
        <v>952</v>
      </c>
      <c r="R939" s="87">
        <f t="shared" si="334"/>
        <v>952</v>
      </c>
      <c r="T939" s="87">
        <v>884</v>
      </c>
      <c r="U939" s="89"/>
      <c r="V939" s="89">
        <v>973</v>
      </c>
      <c r="W939" s="90"/>
      <c r="X939" s="90">
        <v>1001</v>
      </c>
      <c r="Y939" s="90">
        <v>22673762.000000007</v>
      </c>
      <c r="Z939" s="90">
        <v>951</v>
      </c>
      <c r="AA939" s="90">
        <v>738</v>
      </c>
      <c r="AB939" s="89">
        <f t="shared" si="337"/>
        <v>0</v>
      </c>
      <c r="AC939" s="89">
        <f t="shared" si="338"/>
        <v>952</v>
      </c>
      <c r="AD939" s="89">
        <f t="shared" si="339"/>
        <v>1001</v>
      </c>
      <c r="AF939" s="90" t="str">
        <f t="shared" si="341"/>
        <v/>
      </c>
      <c r="AG939" s="90">
        <f t="shared" si="342"/>
        <v>952</v>
      </c>
      <c r="AH939" s="90">
        <f t="shared" si="343"/>
        <v>2018</v>
      </c>
      <c r="AI939" s="90">
        <f t="shared" si="344"/>
        <v>951</v>
      </c>
      <c r="AJ939" s="90">
        <f t="shared" si="345"/>
        <v>2022</v>
      </c>
      <c r="AK939" s="90" t="str">
        <f t="shared" si="346"/>
        <v>Adjust</v>
      </c>
      <c r="AL939" s="91">
        <f>IF(AK939="Adjust",(_xlfn.XLOOKUP(A939,'Adj factor'!A:A,'Adj factor'!I:I,,0)*AI939),'Master DataSheet (Rev)'!AI939)</f>
        <v>976.99387949059121</v>
      </c>
      <c r="AM939" s="91">
        <f t="shared" si="347"/>
        <v>976.99387949059121</v>
      </c>
      <c r="AN939" s="92" t="str">
        <f t="shared" si="348"/>
        <v>Increasing</v>
      </c>
      <c r="AS939" s="94">
        <f t="shared" si="349"/>
        <v>0</v>
      </c>
      <c r="AT939" s="94">
        <f t="shared" si="350"/>
        <v>0.46683319338962237</v>
      </c>
      <c r="AU939" s="94">
        <f t="shared" si="335"/>
        <v>0.43089182972397383</v>
      </c>
      <c r="AV939" s="94">
        <f t="shared" si="336"/>
        <v>0.43089182972397383</v>
      </c>
    </row>
    <row r="940" spans="1:48" x14ac:dyDescent="0.3">
      <c r="A940" s="85" t="str">
        <f>_xlfn.XLOOKUP(B940,'Country codes &amp; Data sources'!G:G,'Country codes &amp; Data sources'!H:H,,0)</f>
        <v>Burkina Faso</v>
      </c>
      <c r="B940" s="85" t="s">
        <v>151</v>
      </c>
      <c r="C940" s="85">
        <v>17113735.5</v>
      </c>
      <c r="D940" s="85" t="s">
        <v>329</v>
      </c>
      <c r="E940" s="86">
        <v>6008</v>
      </c>
      <c r="F940" s="86">
        <v>17636407.5</v>
      </c>
      <c r="G940" s="86">
        <v>6196</v>
      </c>
      <c r="H940" s="86"/>
      <c r="I940" s="86">
        <v>6358</v>
      </c>
      <c r="J940" s="86"/>
      <c r="K940" s="86">
        <v>9748</v>
      </c>
      <c r="L940" s="86"/>
      <c r="M940" s="86">
        <v>9701</v>
      </c>
      <c r="N940" s="86"/>
      <c r="O940" s="86">
        <v>10376</v>
      </c>
      <c r="P940" s="86">
        <v>20392723</v>
      </c>
      <c r="Q940" s="86">
        <v>0</v>
      </c>
      <c r="R940" s="87">
        <f t="shared" si="334"/>
        <v>10325</v>
      </c>
      <c r="T940" s="87">
        <v>11364</v>
      </c>
      <c r="U940" s="89"/>
      <c r="V940" s="89">
        <v>11874</v>
      </c>
      <c r="W940" s="90"/>
      <c r="X940" s="90">
        <v>12189</v>
      </c>
      <c r="Y940" s="90">
        <v>22673762.000000007</v>
      </c>
      <c r="Z940" s="90">
        <v>13961</v>
      </c>
      <c r="AA940" s="90">
        <v>10325</v>
      </c>
      <c r="AB940" s="89">
        <f t="shared" si="337"/>
        <v>9748</v>
      </c>
      <c r="AC940" s="89">
        <f t="shared" si="338"/>
        <v>11364</v>
      </c>
      <c r="AD940" s="89">
        <f t="shared" si="339"/>
        <v>13961</v>
      </c>
      <c r="AE940" s="90">
        <f t="shared" si="340"/>
        <v>6196</v>
      </c>
      <c r="AF940" s="90">
        <f t="shared" si="341"/>
        <v>2013</v>
      </c>
      <c r="AG940" s="90">
        <f t="shared" si="342"/>
        <v>10325</v>
      </c>
      <c r="AH940" s="90" t="str">
        <f t="shared" si="343"/>
        <v>2018 (triag)</v>
      </c>
      <c r="AI940" s="90">
        <f t="shared" si="344"/>
        <v>13961</v>
      </c>
      <c r="AJ940" s="90">
        <f t="shared" si="345"/>
        <v>2022</v>
      </c>
      <c r="AK940" s="90" t="str">
        <f t="shared" si="346"/>
        <v/>
      </c>
      <c r="AL940" s="91">
        <f>IF(AK940="Adjust",(_xlfn.XLOOKUP(A940,'Adj factor'!A:A,'Adj factor'!I:I,,0)*AI940),'Master DataSheet (Rev)'!AI940)</f>
        <v>13961</v>
      </c>
      <c r="AM940" s="91">
        <f t="shared" si="347"/>
        <v>13961</v>
      </c>
      <c r="AN940" s="92" t="str">
        <f t="shared" si="348"/>
        <v>Increasing</v>
      </c>
      <c r="AS940" s="94">
        <f t="shared" si="349"/>
        <v>3.5131871385938434</v>
      </c>
      <c r="AT940" s="94">
        <f t="shared" si="350"/>
        <v>5.0630805900712721</v>
      </c>
      <c r="AU940" s="94">
        <f t="shared" si="335"/>
        <v>6.1573372782161142</v>
      </c>
      <c r="AV940" s="94">
        <f t="shared" si="336"/>
        <v>6.1573372782161142</v>
      </c>
    </row>
    <row r="941" spans="1:48" x14ac:dyDescent="0.3">
      <c r="A941" s="85" t="str">
        <f>_xlfn.XLOOKUP(B941,'Country codes &amp; Data sources'!G:G,'Country codes &amp; Data sources'!H:H,,0)</f>
        <v>Burkina Faso</v>
      </c>
      <c r="B941" s="85" t="s">
        <v>151</v>
      </c>
      <c r="C941" s="85">
        <v>17113736.5</v>
      </c>
      <c r="D941" s="85" t="s">
        <v>330</v>
      </c>
      <c r="E941" s="86">
        <v>0</v>
      </c>
      <c r="F941" s="86">
        <v>17636407.5</v>
      </c>
      <c r="G941" s="86">
        <v>3489</v>
      </c>
      <c r="H941" s="86"/>
      <c r="I941" s="86">
        <v>3718</v>
      </c>
      <c r="J941" s="86"/>
      <c r="K941" s="86">
        <v>7096</v>
      </c>
      <c r="L941" s="86"/>
      <c r="M941" s="86">
        <v>7364</v>
      </c>
      <c r="N941" s="86"/>
      <c r="O941" s="86">
        <v>8259</v>
      </c>
      <c r="P941" s="86">
        <v>20392723</v>
      </c>
      <c r="Q941" s="86">
        <v>0</v>
      </c>
      <c r="R941" s="87">
        <f t="shared" si="334"/>
        <v>8208</v>
      </c>
      <c r="T941" s="87">
        <v>9471</v>
      </c>
      <c r="U941" s="89"/>
      <c r="V941" s="89">
        <v>10228</v>
      </c>
      <c r="W941" s="90"/>
      <c r="X941" s="90">
        <v>10703</v>
      </c>
      <c r="Y941" s="90">
        <v>22673762.000000007</v>
      </c>
      <c r="Z941" s="90">
        <v>13894</v>
      </c>
      <c r="AA941" s="90">
        <v>8208</v>
      </c>
      <c r="AB941" s="89">
        <f t="shared" si="337"/>
        <v>7096</v>
      </c>
      <c r="AC941" s="89">
        <f t="shared" si="338"/>
        <v>9471</v>
      </c>
      <c r="AD941" s="89">
        <f t="shared" si="339"/>
        <v>13894</v>
      </c>
      <c r="AE941" s="90">
        <f t="shared" si="340"/>
        <v>3489</v>
      </c>
      <c r="AF941" s="90">
        <f t="shared" si="341"/>
        <v>2013</v>
      </c>
      <c r="AG941" s="90">
        <f t="shared" si="342"/>
        <v>8208</v>
      </c>
      <c r="AH941" s="90" t="str">
        <f t="shared" si="343"/>
        <v>2018 (triag)</v>
      </c>
      <c r="AI941" s="90">
        <f t="shared" si="344"/>
        <v>13894</v>
      </c>
      <c r="AJ941" s="90">
        <f t="shared" si="345"/>
        <v>2022</v>
      </c>
      <c r="AK941" s="90" t="str">
        <f t="shared" si="346"/>
        <v/>
      </c>
      <c r="AL941" s="91">
        <f>IF(AK941="Adjust",(_xlfn.XLOOKUP(A941,'Adj factor'!A:A,'Adj factor'!I:I,,0)*AI941),'Master DataSheet (Rev)'!AI941)</f>
        <v>13894</v>
      </c>
      <c r="AM941" s="91">
        <f t="shared" si="347"/>
        <v>13894</v>
      </c>
      <c r="AN941" s="92" t="str">
        <f t="shared" si="348"/>
        <v>Increasing</v>
      </c>
      <c r="AS941" s="94">
        <f t="shared" si="349"/>
        <v>1.978294048830523</v>
      </c>
      <c r="AT941" s="94">
        <f t="shared" si="350"/>
        <v>4.0249651799811135</v>
      </c>
      <c r="AU941" s="94">
        <f t="shared" si="335"/>
        <v>6.1277877045723574</v>
      </c>
      <c r="AV941" s="94">
        <f t="shared" si="336"/>
        <v>6.1277877045723574</v>
      </c>
    </row>
    <row r="942" spans="1:48" x14ac:dyDescent="0.3">
      <c r="A942" s="85" t="str">
        <f>_xlfn.XLOOKUP(B942,'Country codes &amp; Data sources'!G:G,'Country codes &amp; Data sources'!H:H,,0)</f>
        <v>Burkina Faso</v>
      </c>
      <c r="B942" s="85" t="s">
        <v>151</v>
      </c>
      <c r="C942" s="85">
        <v>17113737.5</v>
      </c>
      <c r="D942" s="85" t="s">
        <v>331</v>
      </c>
      <c r="E942" s="86">
        <v>0</v>
      </c>
      <c r="F942" s="86">
        <v>17636407.5</v>
      </c>
      <c r="G942" s="86">
        <v>2707</v>
      </c>
      <c r="H942" s="86"/>
      <c r="I942" s="86">
        <v>2640</v>
      </c>
      <c r="J942" s="86"/>
      <c r="K942" s="86">
        <v>2652</v>
      </c>
      <c r="L942" s="86"/>
      <c r="M942" s="86">
        <v>2337</v>
      </c>
      <c r="N942" s="86"/>
      <c r="O942" s="86">
        <v>2117</v>
      </c>
      <c r="P942" s="86">
        <v>20392723</v>
      </c>
      <c r="Q942" s="86">
        <v>0</v>
      </c>
      <c r="R942" s="87">
        <f t="shared" si="334"/>
        <v>2117</v>
      </c>
      <c r="T942" s="87">
        <v>1893</v>
      </c>
      <c r="U942" s="89"/>
      <c r="V942" s="89">
        <v>1646</v>
      </c>
      <c r="W942" s="90"/>
      <c r="X942" s="90">
        <v>1486</v>
      </c>
      <c r="Y942" s="90">
        <v>22673762.000000007</v>
      </c>
      <c r="Z942" s="90">
        <v>67</v>
      </c>
      <c r="AA942" s="90">
        <v>2117</v>
      </c>
      <c r="AB942" s="89">
        <f t="shared" si="337"/>
        <v>2707</v>
      </c>
      <c r="AC942" s="89">
        <f t="shared" si="338"/>
        <v>2337</v>
      </c>
      <c r="AD942" s="89">
        <f t="shared" si="339"/>
        <v>1646</v>
      </c>
      <c r="AE942" s="90">
        <f t="shared" si="340"/>
        <v>2707</v>
      </c>
      <c r="AF942" s="90">
        <f t="shared" si="341"/>
        <v>2013</v>
      </c>
      <c r="AG942" s="90">
        <f t="shared" si="342"/>
        <v>2117</v>
      </c>
      <c r="AH942" s="90">
        <f t="shared" si="343"/>
        <v>2017</v>
      </c>
      <c r="AI942" s="90">
        <f t="shared" si="344"/>
        <v>67</v>
      </c>
      <c r="AJ942" s="90">
        <f t="shared" si="345"/>
        <v>2022</v>
      </c>
      <c r="AK942" s="90" t="str">
        <f t="shared" si="346"/>
        <v>Adjust</v>
      </c>
      <c r="AL942" s="91">
        <f>IF(AK942="Adjust",(_xlfn.XLOOKUP(A942,'Adj factor'!A:A,'Adj factor'!I:I,,0)*AI942),'Master DataSheet (Rev)'!AI942)</f>
        <v>68.831324843185712</v>
      </c>
      <c r="AM942" s="91">
        <f t="shared" si="347"/>
        <v>2117</v>
      </c>
      <c r="AN942" s="92" t="str">
        <f t="shared" si="348"/>
        <v>Decreasing</v>
      </c>
      <c r="AS942" s="94">
        <f t="shared" si="349"/>
        <v>1.5348930897633206</v>
      </c>
      <c r="AT942" s="94">
        <f t="shared" si="350"/>
        <v>1.0381154100901582</v>
      </c>
      <c r="AU942" s="94">
        <f t="shared" si="335"/>
        <v>3.0357258245537588E-2</v>
      </c>
      <c r="AV942" s="94">
        <f t="shared" si="336"/>
        <v>0.93367831946017577</v>
      </c>
    </row>
    <row r="943" spans="1:48" x14ac:dyDescent="0.3">
      <c r="A943" s="85" t="str">
        <f>_xlfn.XLOOKUP(B943,'Country codes &amp; Data sources'!G:G,'Country codes &amp; Data sources'!H:H,,0)</f>
        <v>Burkina Faso</v>
      </c>
      <c r="B943" s="85" t="s">
        <v>151</v>
      </c>
      <c r="C943" s="85">
        <v>17113738.5</v>
      </c>
      <c r="D943" s="85" t="s">
        <v>332</v>
      </c>
      <c r="E943" s="86">
        <v>4451</v>
      </c>
      <c r="F943" s="86">
        <v>17636407.5</v>
      </c>
      <c r="G943" s="86">
        <v>1591</v>
      </c>
      <c r="H943" s="86"/>
      <c r="I943" s="86">
        <v>1744</v>
      </c>
      <c r="J943" s="86"/>
      <c r="K943" s="86">
        <v>2383</v>
      </c>
      <c r="L943" s="86"/>
      <c r="M943" s="86">
        <v>2580</v>
      </c>
      <c r="N943" s="86"/>
      <c r="O943" s="86">
        <v>6569</v>
      </c>
      <c r="P943" s="86">
        <v>20392723</v>
      </c>
      <c r="Q943" s="86">
        <v>0</v>
      </c>
      <c r="R943" s="87">
        <f t="shared" si="334"/>
        <v>6569</v>
      </c>
      <c r="T943" s="87">
        <v>7477</v>
      </c>
      <c r="U943" s="89"/>
      <c r="V943" s="89">
        <v>7804</v>
      </c>
      <c r="W943" s="90"/>
      <c r="X943" s="90">
        <v>8052</v>
      </c>
      <c r="Y943" s="90">
        <v>22673762.000000007</v>
      </c>
      <c r="Z943" s="90">
        <v>9294</v>
      </c>
      <c r="AA943" s="90">
        <v>6569</v>
      </c>
      <c r="AB943" s="89">
        <f t="shared" si="337"/>
        <v>4451</v>
      </c>
      <c r="AC943" s="89">
        <f t="shared" si="338"/>
        <v>7477</v>
      </c>
      <c r="AD943" s="89">
        <f t="shared" si="339"/>
        <v>9294</v>
      </c>
      <c r="AE943" s="90">
        <f t="shared" si="340"/>
        <v>1591</v>
      </c>
      <c r="AF943" s="90">
        <f t="shared" si="341"/>
        <v>2013</v>
      </c>
      <c r="AG943" s="90">
        <f t="shared" si="342"/>
        <v>6569</v>
      </c>
      <c r="AH943" s="90">
        <f t="shared" si="343"/>
        <v>2017</v>
      </c>
      <c r="AI943" s="90">
        <f t="shared" si="344"/>
        <v>9294</v>
      </c>
      <c r="AJ943" s="90">
        <f t="shared" si="345"/>
        <v>2022</v>
      </c>
      <c r="AK943" s="90" t="str">
        <f t="shared" si="346"/>
        <v/>
      </c>
      <c r="AL943" s="91">
        <f>IF(AK943="Adjust",(_xlfn.XLOOKUP(A943,'Adj factor'!A:A,'Adj factor'!I:I,,0)*AI943),'Master DataSheet (Rev)'!AI943)</f>
        <v>9294</v>
      </c>
      <c r="AM943" s="91">
        <f t="shared" si="347"/>
        <v>9294</v>
      </c>
      <c r="AN943" s="92" t="str">
        <f t="shared" si="348"/>
        <v>Increasing</v>
      </c>
      <c r="AS943" s="94">
        <f t="shared" si="349"/>
        <v>0.90211115840910339</v>
      </c>
      <c r="AT943" s="94">
        <f t="shared" si="350"/>
        <v>3.2212471085886865</v>
      </c>
      <c r="AU943" s="94">
        <f t="shared" si="335"/>
        <v>4.0990110066428311</v>
      </c>
      <c r="AV943" s="94">
        <f t="shared" si="336"/>
        <v>4.0990110066428311</v>
      </c>
    </row>
    <row r="944" spans="1:48" x14ac:dyDescent="0.3">
      <c r="A944" s="85" t="str">
        <f>_xlfn.XLOOKUP(B944,'Country codes &amp; Data sources'!G:G,'Country codes &amp; Data sources'!H:H,,0)</f>
        <v>Burkina Faso</v>
      </c>
      <c r="B944" s="85" t="s">
        <v>151</v>
      </c>
      <c r="C944" s="85">
        <v>17113739.5</v>
      </c>
      <c r="D944" s="85" t="s">
        <v>333</v>
      </c>
      <c r="E944" s="86">
        <v>0</v>
      </c>
      <c r="F944" s="86">
        <v>17636407.5</v>
      </c>
      <c r="G944" s="86">
        <v>0</v>
      </c>
      <c r="H944" s="86"/>
      <c r="I944" s="86">
        <v>0</v>
      </c>
      <c r="J944" s="86"/>
      <c r="K944" s="86">
        <v>0</v>
      </c>
      <c r="L944" s="86"/>
      <c r="M944" s="86">
        <v>0</v>
      </c>
      <c r="N944" s="86"/>
      <c r="O944" s="86">
        <v>3583</v>
      </c>
      <c r="P944" s="86">
        <v>20392723</v>
      </c>
      <c r="Q944" s="86">
        <v>0</v>
      </c>
      <c r="R944" s="87">
        <f t="shared" si="334"/>
        <v>3583</v>
      </c>
      <c r="T944" s="87">
        <v>4420</v>
      </c>
      <c r="U944" s="89"/>
      <c r="V944" s="89">
        <v>4827</v>
      </c>
      <c r="W944" s="90"/>
      <c r="X944" s="90">
        <v>4986</v>
      </c>
      <c r="Y944" s="90">
        <v>22673762.000000007</v>
      </c>
      <c r="Z944" s="90">
        <v>5686</v>
      </c>
      <c r="AA944" s="90">
        <v>3583</v>
      </c>
      <c r="AB944" s="89">
        <f t="shared" si="337"/>
        <v>0</v>
      </c>
      <c r="AC944" s="89">
        <f t="shared" si="338"/>
        <v>4420</v>
      </c>
      <c r="AD944" s="89">
        <f t="shared" si="339"/>
        <v>5686</v>
      </c>
      <c r="AF944" s="90" t="str">
        <f t="shared" si="341"/>
        <v/>
      </c>
      <c r="AG944" s="90">
        <f t="shared" si="342"/>
        <v>3583</v>
      </c>
      <c r="AH944" s="90">
        <f t="shared" si="343"/>
        <v>2017</v>
      </c>
      <c r="AI944" s="90">
        <f t="shared" si="344"/>
        <v>5686</v>
      </c>
      <c r="AJ944" s="90">
        <f t="shared" si="345"/>
        <v>2022</v>
      </c>
      <c r="AK944" s="90" t="str">
        <f t="shared" si="346"/>
        <v/>
      </c>
      <c r="AL944" s="91">
        <f>IF(AK944="Adjust",(_xlfn.XLOOKUP(A944,'Adj factor'!A:A,'Adj factor'!I:I,,0)*AI944),'Master DataSheet (Rev)'!AI944)</f>
        <v>5686</v>
      </c>
      <c r="AM944" s="91">
        <f t="shared" si="347"/>
        <v>5686</v>
      </c>
      <c r="AN944" s="92" t="str">
        <f t="shared" si="348"/>
        <v>Increasing</v>
      </c>
      <c r="AS944" s="94">
        <f t="shared" si="349"/>
        <v>0</v>
      </c>
      <c r="AT944" s="94">
        <f t="shared" si="350"/>
        <v>1.7569992982300597</v>
      </c>
      <c r="AU944" s="94">
        <f t="shared" si="335"/>
        <v>2.5077444140059324</v>
      </c>
      <c r="AV944" s="94">
        <f t="shared" si="336"/>
        <v>2.5077444140059324</v>
      </c>
    </row>
    <row r="945" spans="1:48" x14ac:dyDescent="0.3">
      <c r="A945" s="85" t="str">
        <f>_xlfn.XLOOKUP(B945,'Country codes &amp; Data sources'!G:G,'Country codes &amp; Data sources'!H:H,,0)</f>
        <v>Burkina Faso</v>
      </c>
      <c r="B945" s="85" t="s">
        <v>151</v>
      </c>
      <c r="C945" s="85">
        <v>17113740.5</v>
      </c>
      <c r="D945" s="85" t="s">
        <v>334</v>
      </c>
      <c r="E945" s="86">
        <v>0</v>
      </c>
      <c r="F945" s="86">
        <v>17636407.5</v>
      </c>
      <c r="G945" s="86">
        <v>0</v>
      </c>
      <c r="H945" s="86"/>
      <c r="I945" s="86">
        <v>0</v>
      </c>
      <c r="J945" s="86"/>
      <c r="K945" s="86">
        <v>0</v>
      </c>
      <c r="L945" s="86"/>
      <c r="M945" s="86">
        <v>0</v>
      </c>
      <c r="N945" s="86"/>
      <c r="O945" s="86">
        <v>2986</v>
      </c>
      <c r="P945" s="86">
        <v>20392723</v>
      </c>
      <c r="Q945" s="86">
        <v>0</v>
      </c>
      <c r="R945" s="87">
        <f t="shared" si="334"/>
        <v>2986</v>
      </c>
      <c r="T945" s="87">
        <v>3057</v>
      </c>
      <c r="U945" s="89"/>
      <c r="V945" s="89">
        <v>2977</v>
      </c>
      <c r="W945" s="90"/>
      <c r="X945" s="90">
        <v>3066</v>
      </c>
      <c r="Y945" s="90">
        <v>22673762.000000007</v>
      </c>
      <c r="Z945" s="90">
        <v>3608</v>
      </c>
      <c r="AA945" s="90">
        <v>2986</v>
      </c>
      <c r="AB945" s="89">
        <f t="shared" si="337"/>
        <v>0</v>
      </c>
      <c r="AC945" s="89">
        <f t="shared" si="338"/>
        <v>3057</v>
      </c>
      <c r="AD945" s="89">
        <f t="shared" si="339"/>
        <v>3608</v>
      </c>
      <c r="AF945" s="90" t="str">
        <f t="shared" si="341"/>
        <v/>
      </c>
      <c r="AG945" s="90">
        <f t="shared" si="342"/>
        <v>2986</v>
      </c>
      <c r="AH945" s="90">
        <f t="shared" si="343"/>
        <v>2017</v>
      </c>
      <c r="AI945" s="90">
        <f t="shared" si="344"/>
        <v>3608</v>
      </c>
      <c r="AJ945" s="90">
        <f t="shared" si="345"/>
        <v>2022</v>
      </c>
      <c r="AK945" s="90" t="str">
        <f t="shared" si="346"/>
        <v/>
      </c>
      <c r="AL945" s="91">
        <f>IF(AK945="Adjust",(_xlfn.XLOOKUP(A945,'Adj factor'!A:A,'Adj factor'!I:I,,0)*AI945),'Master DataSheet (Rev)'!AI945)</f>
        <v>3608</v>
      </c>
      <c r="AM945" s="91">
        <f t="shared" si="347"/>
        <v>3608</v>
      </c>
      <c r="AN945" s="92" t="str">
        <f t="shared" si="348"/>
        <v>Increasing</v>
      </c>
      <c r="AS945" s="94">
        <f t="shared" si="349"/>
        <v>0</v>
      </c>
      <c r="AT945" s="94">
        <f t="shared" si="350"/>
        <v>1.4642478103586265</v>
      </c>
      <c r="AU945" s="94">
        <f t="shared" si="335"/>
        <v>1.5912665926368985</v>
      </c>
      <c r="AV945" s="94">
        <f t="shared" si="336"/>
        <v>1.5912665926368985</v>
      </c>
    </row>
    <row r="946" spans="1:48" x14ac:dyDescent="0.3">
      <c r="A946" s="85" t="str">
        <f>_xlfn.XLOOKUP(B946,'Country codes &amp; Data sources'!G:G,'Country codes &amp; Data sources'!H:H,,0)</f>
        <v>Burkina Faso</v>
      </c>
      <c r="B946" s="85" t="s">
        <v>151</v>
      </c>
      <c r="C946" s="85">
        <v>17113741.5</v>
      </c>
      <c r="D946" s="85" t="s">
        <v>335</v>
      </c>
      <c r="E946" s="86">
        <v>203</v>
      </c>
      <c r="F946" s="86">
        <v>17636407.5</v>
      </c>
      <c r="G946" s="86">
        <v>207</v>
      </c>
      <c r="H946" s="86"/>
      <c r="I946" s="86">
        <v>217</v>
      </c>
      <c r="J946" s="86"/>
      <c r="K946" s="86">
        <v>258</v>
      </c>
      <c r="L946" s="86"/>
      <c r="M946" s="86">
        <v>235</v>
      </c>
      <c r="N946" s="86"/>
      <c r="O946" s="86">
        <v>284</v>
      </c>
      <c r="P946" s="86">
        <v>20392723</v>
      </c>
      <c r="Q946" s="86">
        <v>239</v>
      </c>
      <c r="R946" s="87">
        <f t="shared" si="334"/>
        <v>636</v>
      </c>
      <c r="T946" s="87">
        <v>313</v>
      </c>
      <c r="U946" s="89"/>
      <c r="V946" s="89">
        <v>718</v>
      </c>
      <c r="W946" s="90"/>
      <c r="X946" s="90">
        <v>691</v>
      </c>
      <c r="Y946" s="90">
        <v>22673762.000000007</v>
      </c>
      <c r="Z946" s="90">
        <v>575</v>
      </c>
      <c r="AA946" s="90">
        <v>636</v>
      </c>
      <c r="AB946" s="89">
        <f t="shared" si="337"/>
        <v>258</v>
      </c>
      <c r="AC946" s="89">
        <f t="shared" si="338"/>
        <v>313</v>
      </c>
      <c r="AD946" s="89">
        <f t="shared" si="339"/>
        <v>718</v>
      </c>
      <c r="AE946" s="90">
        <f t="shared" si="340"/>
        <v>207</v>
      </c>
      <c r="AF946" s="90">
        <f t="shared" si="341"/>
        <v>2013</v>
      </c>
      <c r="AG946" s="90">
        <f t="shared" si="342"/>
        <v>636</v>
      </c>
      <c r="AH946" s="90" t="str">
        <f t="shared" si="343"/>
        <v>2018 (triag)</v>
      </c>
      <c r="AI946" s="90">
        <f t="shared" si="344"/>
        <v>575</v>
      </c>
      <c r="AJ946" s="90">
        <f t="shared" si="345"/>
        <v>2022</v>
      </c>
      <c r="AK946" s="90" t="str">
        <f t="shared" si="346"/>
        <v>Adjust</v>
      </c>
      <c r="AL946" s="91">
        <f>IF(AK946="Adjust",(_xlfn.XLOOKUP(A946,'Adj factor'!A:A,'Adj factor'!I:I,,0)*AI946),'Master DataSheet (Rev)'!AI946)</f>
        <v>590.71659380345943</v>
      </c>
      <c r="AM946" s="91">
        <f t="shared" si="347"/>
        <v>636</v>
      </c>
      <c r="AN946" s="92" t="str">
        <f t="shared" si="348"/>
        <v>Decreasing</v>
      </c>
      <c r="AS946" s="94">
        <f t="shared" si="349"/>
        <v>0.11737084210602414</v>
      </c>
      <c r="AT946" s="94">
        <f t="shared" si="350"/>
        <v>0.31187595692836118</v>
      </c>
      <c r="AU946" s="94">
        <f t="shared" si="335"/>
        <v>0.26052870882364348</v>
      </c>
      <c r="AV946" s="94">
        <f t="shared" si="336"/>
        <v>0.28050043040938677</v>
      </c>
    </row>
    <row r="947" spans="1:48" x14ac:dyDescent="0.3">
      <c r="A947" s="85" t="str">
        <f>_xlfn.XLOOKUP(B947,'Country codes &amp; Data sources'!G:G,'Country codes &amp; Data sources'!H:H,,0)</f>
        <v>Burkina Faso</v>
      </c>
      <c r="B947" s="85" t="s">
        <v>151</v>
      </c>
      <c r="C947" s="85">
        <v>17113742.5</v>
      </c>
      <c r="D947" s="85" t="s">
        <v>336</v>
      </c>
      <c r="E947" s="86">
        <v>148</v>
      </c>
      <c r="F947" s="86">
        <v>17636407.5</v>
      </c>
      <c r="G947" s="86">
        <v>0</v>
      </c>
      <c r="H947" s="86"/>
      <c r="I947" s="86">
        <v>0</v>
      </c>
      <c r="J947" s="86"/>
      <c r="K947" s="86">
        <v>0</v>
      </c>
      <c r="L947" s="86"/>
      <c r="M947" s="86">
        <v>0</v>
      </c>
      <c r="N947" s="86"/>
      <c r="O947" s="86">
        <v>156</v>
      </c>
      <c r="P947" s="86">
        <v>20392723</v>
      </c>
      <c r="Q947" s="86">
        <v>0</v>
      </c>
      <c r="R947" s="87">
        <f t="shared" si="334"/>
        <v>156</v>
      </c>
      <c r="T947" s="87">
        <v>192</v>
      </c>
      <c r="U947" s="89"/>
      <c r="V947" s="89">
        <v>203</v>
      </c>
      <c r="W947" s="90"/>
      <c r="X947" s="90">
        <v>203</v>
      </c>
      <c r="Y947" s="90">
        <v>22673762.000000007</v>
      </c>
      <c r="Z947" s="90">
        <v>210</v>
      </c>
      <c r="AA947" s="90">
        <v>156</v>
      </c>
      <c r="AB947" s="89">
        <f t="shared" si="337"/>
        <v>148</v>
      </c>
      <c r="AC947" s="89">
        <f t="shared" si="338"/>
        <v>192</v>
      </c>
      <c r="AD947" s="89">
        <f t="shared" si="339"/>
        <v>210</v>
      </c>
      <c r="AE947" s="90">
        <f t="shared" si="340"/>
        <v>148</v>
      </c>
      <c r="AF947" s="90">
        <f t="shared" si="341"/>
        <v>2012</v>
      </c>
      <c r="AG947" s="90">
        <f t="shared" si="342"/>
        <v>156</v>
      </c>
      <c r="AH947" s="90">
        <f t="shared" si="343"/>
        <v>2017</v>
      </c>
      <c r="AI947" s="90">
        <f t="shared" si="344"/>
        <v>210</v>
      </c>
      <c r="AJ947" s="90">
        <f t="shared" si="345"/>
        <v>2022</v>
      </c>
      <c r="AK947" s="90" t="str">
        <f t="shared" si="346"/>
        <v/>
      </c>
      <c r="AL947" s="91">
        <f>IF(AK947="Adjust",(_xlfn.XLOOKUP(A947,'Adj factor'!A:A,'Adj factor'!I:I,,0)*AI947),'Master DataSheet (Rev)'!AI947)</f>
        <v>210</v>
      </c>
      <c r="AM947" s="91">
        <f t="shared" si="347"/>
        <v>210</v>
      </c>
      <c r="AN947" s="92" t="str">
        <f t="shared" si="348"/>
        <v>Increasing</v>
      </c>
      <c r="AS947" s="94">
        <f t="shared" si="349"/>
        <v>8.3917317061311947E-2</v>
      </c>
      <c r="AT947" s="94">
        <f t="shared" si="350"/>
        <v>7.6497876227711231E-2</v>
      </c>
      <c r="AU947" s="94">
        <f t="shared" si="335"/>
        <v>9.2618066644608837E-2</v>
      </c>
      <c r="AV947" s="94">
        <f t="shared" si="336"/>
        <v>9.2618066644608837E-2</v>
      </c>
    </row>
    <row r="948" spans="1:48" x14ac:dyDescent="0.3">
      <c r="A948" s="85" t="str">
        <f>_xlfn.XLOOKUP(B948,'Country codes &amp; Data sources'!G:G,'Country codes &amp; Data sources'!H:H,,0)</f>
        <v>Burkina Faso</v>
      </c>
      <c r="B948" s="85" t="s">
        <v>151</v>
      </c>
      <c r="C948" s="85">
        <v>17113743.5</v>
      </c>
      <c r="D948" s="85" t="s">
        <v>337</v>
      </c>
      <c r="E948" s="86">
        <v>38</v>
      </c>
      <c r="F948" s="86">
        <v>17636407.5</v>
      </c>
      <c r="G948" s="86">
        <v>0</v>
      </c>
      <c r="H948" s="86"/>
      <c r="I948" s="86">
        <v>0</v>
      </c>
      <c r="J948" s="86"/>
      <c r="K948" s="86">
        <v>0</v>
      </c>
      <c r="L948" s="86"/>
      <c r="M948" s="86">
        <v>0</v>
      </c>
      <c r="N948" s="86"/>
      <c r="O948" s="86">
        <v>80</v>
      </c>
      <c r="P948" s="86">
        <v>20392723</v>
      </c>
      <c r="Q948" s="86">
        <v>91</v>
      </c>
      <c r="R948" s="87">
        <f t="shared" si="334"/>
        <v>91</v>
      </c>
      <c r="T948" s="87">
        <v>52</v>
      </c>
      <c r="U948" s="89"/>
      <c r="V948" s="89">
        <v>103</v>
      </c>
      <c r="W948" s="90"/>
      <c r="X948" s="90">
        <v>107</v>
      </c>
      <c r="Y948" s="90">
        <v>22673762.000000007</v>
      </c>
      <c r="Z948" s="90">
        <v>39</v>
      </c>
      <c r="AA948" s="90">
        <v>80</v>
      </c>
      <c r="AB948" s="89">
        <f t="shared" si="337"/>
        <v>38</v>
      </c>
      <c r="AC948" s="89">
        <f t="shared" si="338"/>
        <v>91</v>
      </c>
      <c r="AD948" s="89">
        <f t="shared" si="339"/>
        <v>107</v>
      </c>
      <c r="AE948" s="90">
        <f t="shared" si="340"/>
        <v>38</v>
      </c>
      <c r="AF948" s="90">
        <f t="shared" si="341"/>
        <v>2012</v>
      </c>
      <c r="AG948" s="90">
        <f t="shared" si="342"/>
        <v>91</v>
      </c>
      <c r="AH948" s="90">
        <f t="shared" si="343"/>
        <v>2018</v>
      </c>
      <c r="AI948" s="90">
        <f t="shared" si="344"/>
        <v>39</v>
      </c>
      <c r="AJ948" s="90">
        <f t="shared" si="345"/>
        <v>2022</v>
      </c>
      <c r="AK948" s="90" t="str">
        <f t="shared" si="346"/>
        <v>Adjust</v>
      </c>
      <c r="AL948" s="91">
        <f>IF(AK948="Adjust",(_xlfn.XLOOKUP(A948,'Adj factor'!A:A,'Adj factor'!I:I,,0)*AI948),'Master DataSheet (Rev)'!AI948)</f>
        <v>40.065995057973772</v>
      </c>
      <c r="AM948" s="91">
        <f t="shared" si="347"/>
        <v>91</v>
      </c>
      <c r="AN948" s="92" t="str">
        <f t="shared" si="348"/>
        <v>Decreasing</v>
      </c>
      <c r="AS948" s="94">
        <f t="shared" si="349"/>
        <v>2.1546338164390905E-2</v>
      </c>
      <c r="AT948" s="94">
        <f t="shared" si="350"/>
        <v>4.4623761132831549E-2</v>
      </c>
      <c r="AU948" s="94">
        <f t="shared" si="335"/>
        <v>1.7670642859342778E-2</v>
      </c>
      <c r="AV948" s="94">
        <f t="shared" si="336"/>
        <v>4.0134495545997163E-2</v>
      </c>
    </row>
    <row r="949" spans="1:48" x14ac:dyDescent="0.3">
      <c r="A949" s="85" t="str">
        <f>_xlfn.XLOOKUP(B949,'Country codes &amp; Data sources'!G:G,'Country codes &amp; Data sources'!H:H,,0)</f>
        <v>Burkina Faso</v>
      </c>
      <c r="B949" s="85" t="s">
        <v>151</v>
      </c>
      <c r="C949" s="85">
        <v>17113744.5</v>
      </c>
      <c r="D949" s="85" t="s">
        <v>338</v>
      </c>
      <c r="E949" s="86">
        <v>0</v>
      </c>
      <c r="F949" s="86">
        <v>17636407.5</v>
      </c>
      <c r="G949" s="86">
        <v>0</v>
      </c>
      <c r="H949" s="86"/>
      <c r="I949" s="86">
        <v>0</v>
      </c>
      <c r="J949" s="86"/>
      <c r="K949" s="86">
        <v>0</v>
      </c>
      <c r="L949" s="86"/>
      <c r="M949" s="86">
        <v>0</v>
      </c>
      <c r="N949" s="86"/>
      <c r="O949" s="86">
        <v>0</v>
      </c>
      <c r="P949" s="86">
        <v>20392723</v>
      </c>
      <c r="Q949" s="86">
        <v>185</v>
      </c>
      <c r="R949" s="87">
        <f t="shared" si="334"/>
        <v>185</v>
      </c>
      <c r="T949" s="87">
        <v>143</v>
      </c>
      <c r="U949" s="89"/>
      <c r="V949" s="89">
        <v>172</v>
      </c>
      <c r="W949" s="90"/>
      <c r="X949" s="90">
        <v>168</v>
      </c>
      <c r="Y949" s="90">
        <v>22673762.000000007</v>
      </c>
      <c r="Z949" s="90">
        <v>0</v>
      </c>
      <c r="AA949" s="90">
        <v>0</v>
      </c>
      <c r="AB949" s="89">
        <f t="shared" si="337"/>
        <v>0</v>
      </c>
      <c r="AC949" s="89">
        <f t="shared" si="338"/>
        <v>185</v>
      </c>
      <c r="AD949" s="89">
        <f t="shared" si="339"/>
        <v>172</v>
      </c>
      <c r="AF949" s="90" t="str">
        <f t="shared" si="341"/>
        <v/>
      </c>
      <c r="AG949" s="90">
        <f t="shared" si="342"/>
        <v>185</v>
      </c>
      <c r="AH949" s="90">
        <f t="shared" si="343"/>
        <v>2018</v>
      </c>
      <c r="AI949" s="90">
        <f t="shared" si="344"/>
        <v>168</v>
      </c>
      <c r="AJ949" s="90">
        <f t="shared" si="345"/>
        <v>2021</v>
      </c>
      <c r="AK949" s="90" t="str">
        <f t="shared" si="346"/>
        <v>Adjust</v>
      </c>
      <c r="AL949" s="91">
        <f>IF(AK949="Adjust",(_xlfn.XLOOKUP(A949,'Adj factor'!A:A,'Adj factor'!I:I,,0)*AI949),'Master DataSheet (Rev)'!AI949)</f>
        <v>172.59197871127162</v>
      </c>
      <c r="AM949" s="91">
        <f t="shared" si="347"/>
        <v>185</v>
      </c>
      <c r="AN949" s="92" t="str">
        <f t="shared" si="348"/>
        <v>Decreasing</v>
      </c>
      <c r="AS949" s="94">
        <f t="shared" si="349"/>
        <v>0</v>
      </c>
      <c r="AT949" s="94">
        <f t="shared" si="350"/>
        <v>9.0718635270042161E-2</v>
      </c>
      <c r="AU949" s="94">
        <f t="shared" si="335"/>
        <v>7.6119692317168877E-2</v>
      </c>
      <c r="AV949" s="94">
        <f t="shared" si="336"/>
        <v>8.1592106329774455E-2</v>
      </c>
    </row>
    <row r="950" spans="1:48" x14ac:dyDescent="0.3">
      <c r="A950" s="85" t="str">
        <f>_xlfn.XLOOKUP(B950,'Country codes &amp; Data sources'!G:G,'Country codes &amp; Data sources'!H:H,,0)</f>
        <v>Burkina Faso</v>
      </c>
      <c r="B950" s="85" t="s">
        <v>151</v>
      </c>
      <c r="C950" s="85">
        <v>17113745.5</v>
      </c>
      <c r="D950" s="85" t="s">
        <v>339</v>
      </c>
      <c r="E950" s="86">
        <v>0</v>
      </c>
      <c r="F950" s="86">
        <v>17636407.5</v>
      </c>
      <c r="G950" s="86">
        <v>0</v>
      </c>
      <c r="H950" s="86"/>
      <c r="I950" s="86">
        <v>0</v>
      </c>
      <c r="J950" s="86"/>
      <c r="K950" s="86">
        <v>0</v>
      </c>
      <c r="L950" s="86"/>
      <c r="M950" s="86">
        <v>0</v>
      </c>
      <c r="N950" s="86"/>
      <c r="O950" s="86">
        <v>0</v>
      </c>
      <c r="P950" s="86">
        <v>20392723</v>
      </c>
      <c r="Q950" s="86">
        <v>0</v>
      </c>
      <c r="R950" s="87">
        <f t="shared" si="334"/>
        <v>0</v>
      </c>
      <c r="T950" s="87">
        <v>8</v>
      </c>
      <c r="U950" s="89"/>
      <c r="V950" s="89">
        <v>8</v>
      </c>
      <c r="W950" s="90"/>
      <c r="X950" s="90">
        <v>8</v>
      </c>
      <c r="Y950" s="90">
        <v>22673762.000000007</v>
      </c>
      <c r="Z950" s="90">
        <v>9</v>
      </c>
      <c r="AA950" s="90">
        <v>0</v>
      </c>
      <c r="AB950" s="89">
        <f t="shared" si="337"/>
        <v>0</v>
      </c>
      <c r="AC950" s="89">
        <f t="shared" si="338"/>
        <v>8</v>
      </c>
      <c r="AD950" s="89">
        <f t="shared" si="339"/>
        <v>9</v>
      </c>
      <c r="AF950" s="90" t="str">
        <f t="shared" si="341"/>
        <v/>
      </c>
      <c r="AG950" s="90">
        <f t="shared" si="342"/>
        <v>8</v>
      </c>
      <c r="AH950" s="90">
        <f t="shared" si="343"/>
        <v>2019</v>
      </c>
      <c r="AI950" s="90">
        <f t="shared" si="344"/>
        <v>9</v>
      </c>
      <c r="AJ950" s="90">
        <f t="shared" si="345"/>
        <v>2022</v>
      </c>
      <c r="AK950" s="90" t="str">
        <f t="shared" si="346"/>
        <v/>
      </c>
      <c r="AL950" s="91">
        <f>IF(AK950="Adjust",(_xlfn.XLOOKUP(A950,'Adj factor'!A:A,'Adj factor'!I:I,,0)*AI950),'Master DataSheet (Rev)'!AI950)</f>
        <v>9</v>
      </c>
      <c r="AM950" s="91">
        <f t="shared" si="347"/>
        <v>9</v>
      </c>
      <c r="AN950" s="92" t="str">
        <f t="shared" si="348"/>
        <v>Increasing</v>
      </c>
      <c r="AS950" s="94">
        <f t="shared" si="349"/>
        <v>0</v>
      </c>
      <c r="AT950" s="94">
        <f t="shared" si="350"/>
        <v>3.922968011677499E-3</v>
      </c>
      <c r="AU950" s="94">
        <f t="shared" si="335"/>
        <v>3.9693457133403789E-3</v>
      </c>
      <c r="AV950" s="94">
        <f t="shared" si="336"/>
        <v>3.9693457133403789E-3</v>
      </c>
    </row>
    <row r="951" spans="1:48" x14ac:dyDescent="0.3">
      <c r="A951" s="85" t="str">
        <f>_xlfn.XLOOKUP(B951,'Country codes &amp; Data sources'!G:G,'Country codes &amp; Data sources'!H:H,,0)</f>
        <v>Botswana</v>
      </c>
      <c r="B951" s="85" t="s">
        <v>164</v>
      </c>
      <c r="C951" s="85">
        <v>2175425.5000000005</v>
      </c>
      <c r="D951" s="85" t="s">
        <v>326</v>
      </c>
      <c r="E951" s="86">
        <v>819</v>
      </c>
      <c r="F951" s="86">
        <v>2217278.0000000009</v>
      </c>
      <c r="G951" s="86">
        <v>0</v>
      </c>
      <c r="H951" s="86">
        <v>2260375.5000000019</v>
      </c>
      <c r="I951" s="86">
        <v>0</v>
      </c>
      <c r="J951" s="86">
        <v>2305171.5000000005</v>
      </c>
      <c r="K951" s="86">
        <v>0</v>
      </c>
      <c r="L951" s="86">
        <v>2352415.5000000005</v>
      </c>
      <c r="M951" s="86">
        <v>830</v>
      </c>
      <c r="N951" s="86">
        <v>2401839.9999999986</v>
      </c>
      <c r="O951" s="86">
        <v>0</v>
      </c>
      <c r="P951" s="86">
        <v>2451408.4999999995</v>
      </c>
      <c r="Q951" s="86">
        <v>925</v>
      </c>
      <c r="R951" s="87">
        <f t="shared" si="334"/>
        <v>925</v>
      </c>
      <c r="S951" s="87">
        <v>2499701.5</v>
      </c>
      <c r="T951" s="87">
        <v>920</v>
      </c>
      <c r="U951" s="89">
        <v>2546401.9999999986</v>
      </c>
      <c r="V951" s="89">
        <v>1024</v>
      </c>
      <c r="W951" s="90">
        <v>2588422.9999999981</v>
      </c>
      <c r="X951" s="90">
        <v>1014</v>
      </c>
      <c r="Y951" s="90">
        <v>2630296.0000000019</v>
      </c>
      <c r="Z951" s="90">
        <v>992</v>
      </c>
      <c r="AA951" s="90">
        <v>853</v>
      </c>
      <c r="AB951" s="89">
        <f t="shared" si="337"/>
        <v>819</v>
      </c>
      <c r="AC951" s="89">
        <f t="shared" si="338"/>
        <v>925</v>
      </c>
      <c r="AD951" s="89">
        <f t="shared" si="339"/>
        <v>1024</v>
      </c>
      <c r="AE951" s="90">
        <f t="shared" si="340"/>
        <v>819</v>
      </c>
      <c r="AF951" s="90">
        <f t="shared" si="341"/>
        <v>2012</v>
      </c>
      <c r="AG951" s="90">
        <f t="shared" si="342"/>
        <v>925</v>
      </c>
      <c r="AH951" s="90">
        <f t="shared" si="343"/>
        <v>2018</v>
      </c>
      <c r="AI951" s="90">
        <f t="shared" si="344"/>
        <v>992</v>
      </c>
      <c r="AJ951" s="90">
        <f t="shared" si="345"/>
        <v>2022</v>
      </c>
      <c r="AK951" s="90" t="str">
        <f t="shared" si="346"/>
        <v/>
      </c>
      <c r="AL951" s="91">
        <f>IF(AK951="Adjust",(_xlfn.XLOOKUP(A951,'Adj factor'!A:A,'Adj factor'!I:I,,0)*AI951),'Master DataSheet (Rev)'!AI951)</f>
        <v>992</v>
      </c>
      <c r="AM951" s="91">
        <f t="shared" si="347"/>
        <v>992</v>
      </c>
      <c r="AN951" s="92" t="str">
        <f t="shared" si="348"/>
        <v>Increasing</v>
      </c>
      <c r="AS951" s="94">
        <f t="shared" si="349"/>
        <v>3.6937181535197645</v>
      </c>
      <c r="AT951" s="94">
        <f t="shared" si="350"/>
        <v>3.77334091808852</v>
      </c>
      <c r="AU951" s="94">
        <f t="shared" si="335"/>
        <v>3.7714386517715091</v>
      </c>
      <c r="AV951" s="94">
        <f t="shared" si="336"/>
        <v>3.7714386517715091</v>
      </c>
    </row>
    <row r="952" spans="1:48" x14ac:dyDescent="0.3">
      <c r="A952" s="85" t="str">
        <f>_xlfn.XLOOKUP(B952,'Country codes &amp; Data sources'!G:G,'Country codes &amp; Data sources'!H:H,,0)</f>
        <v>Botswana</v>
      </c>
      <c r="B952" s="85" t="s">
        <v>164</v>
      </c>
      <c r="C952" s="85">
        <v>2175426.5</v>
      </c>
      <c r="D952" s="85" t="s">
        <v>327</v>
      </c>
      <c r="E952" s="86">
        <v>0</v>
      </c>
      <c r="F952" s="86">
        <v>2217278.0000000009</v>
      </c>
      <c r="G952" s="86">
        <v>0</v>
      </c>
      <c r="H952" s="86"/>
      <c r="I952" s="86">
        <v>0</v>
      </c>
      <c r="J952" s="86"/>
      <c r="K952" s="86">
        <v>0</v>
      </c>
      <c r="L952" s="86"/>
      <c r="M952" s="86">
        <v>0</v>
      </c>
      <c r="N952" s="86"/>
      <c r="O952" s="86">
        <v>0</v>
      </c>
      <c r="P952" s="86">
        <v>2451408.4999999995</v>
      </c>
      <c r="Q952" s="86">
        <v>807</v>
      </c>
      <c r="R952" s="87">
        <f t="shared" si="334"/>
        <v>815</v>
      </c>
      <c r="T952" s="87">
        <v>813</v>
      </c>
      <c r="U952" s="89"/>
      <c r="V952" s="89">
        <v>902</v>
      </c>
      <c r="W952" s="90"/>
      <c r="X952" s="90">
        <v>900</v>
      </c>
      <c r="Y952" s="90">
        <v>2630296.0000000019</v>
      </c>
      <c r="Z952" s="90">
        <v>898</v>
      </c>
      <c r="AA952" s="90">
        <v>815</v>
      </c>
      <c r="AB952" s="89">
        <f t="shared" si="337"/>
        <v>0</v>
      </c>
      <c r="AC952" s="89">
        <f t="shared" si="338"/>
        <v>813</v>
      </c>
      <c r="AD952" s="89">
        <f t="shared" si="339"/>
        <v>902</v>
      </c>
      <c r="AF952" s="90" t="str">
        <f t="shared" si="341"/>
        <v/>
      </c>
      <c r="AG952" s="90">
        <f t="shared" si="342"/>
        <v>815</v>
      </c>
      <c r="AH952" s="90" t="str">
        <f t="shared" si="343"/>
        <v>2018 (triag)</v>
      </c>
      <c r="AI952" s="90">
        <f t="shared" si="344"/>
        <v>898</v>
      </c>
      <c r="AJ952" s="90">
        <f t="shared" si="345"/>
        <v>2022</v>
      </c>
      <c r="AK952" s="90" t="str">
        <f t="shared" si="346"/>
        <v/>
      </c>
      <c r="AL952" s="91">
        <f>IF(AK952="Adjust",(_xlfn.XLOOKUP(A952,'Adj factor'!A:A,'Adj factor'!I:I,,0)*AI952),'Master DataSheet (Rev)'!AI952)</f>
        <v>898</v>
      </c>
      <c r="AM952" s="91">
        <f t="shared" si="347"/>
        <v>898</v>
      </c>
      <c r="AN952" s="92" t="str">
        <f t="shared" si="348"/>
        <v>Increasing</v>
      </c>
      <c r="AS952" s="94">
        <f t="shared" si="349"/>
        <v>0</v>
      </c>
      <c r="AT952" s="94">
        <f t="shared" si="350"/>
        <v>3.324619295396912</v>
      </c>
      <c r="AU952" s="94">
        <f t="shared" si="335"/>
        <v>3.4140644246883216</v>
      </c>
      <c r="AV952" s="94">
        <f t="shared" si="336"/>
        <v>3.4140644246883216</v>
      </c>
    </row>
    <row r="953" spans="1:48" x14ac:dyDescent="0.3">
      <c r="A953" s="85" t="str">
        <f>_xlfn.XLOOKUP(B953,'Country codes &amp; Data sources'!G:G,'Country codes &amp; Data sources'!H:H,,0)</f>
        <v>Botswana</v>
      </c>
      <c r="B953" s="85" t="s">
        <v>164</v>
      </c>
      <c r="C953" s="85">
        <v>2175427.5</v>
      </c>
      <c r="D953" s="85" t="s">
        <v>328</v>
      </c>
      <c r="E953" s="86">
        <v>0</v>
      </c>
      <c r="F953" s="86">
        <v>2217278.0000000009</v>
      </c>
      <c r="G953" s="86">
        <v>0</v>
      </c>
      <c r="H953" s="86"/>
      <c r="I953" s="86">
        <v>0</v>
      </c>
      <c r="J953" s="86"/>
      <c r="K953" s="86">
        <v>0</v>
      </c>
      <c r="L953" s="86"/>
      <c r="M953" s="86">
        <v>0</v>
      </c>
      <c r="N953" s="86"/>
      <c r="O953" s="86">
        <v>0</v>
      </c>
      <c r="P953" s="86">
        <v>2451408.4999999995</v>
      </c>
      <c r="Q953" s="86">
        <v>118</v>
      </c>
      <c r="R953" s="87">
        <f t="shared" si="334"/>
        <v>118</v>
      </c>
      <c r="T953" s="87">
        <v>107</v>
      </c>
      <c r="U953" s="89"/>
      <c r="V953" s="89">
        <v>122</v>
      </c>
      <c r="W953" s="90"/>
      <c r="X953" s="90">
        <v>114</v>
      </c>
      <c r="Y953" s="90">
        <v>2630296.0000000019</v>
      </c>
      <c r="Z953" s="90">
        <v>94</v>
      </c>
      <c r="AA953" s="90">
        <v>38</v>
      </c>
      <c r="AB953" s="89">
        <f t="shared" si="337"/>
        <v>0</v>
      </c>
      <c r="AC953" s="89">
        <f t="shared" si="338"/>
        <v>118</v>
      </c>
      <c r="AD953" s="89">
        <f t="shared" si="339"/>
        <v>122</v>
      </c>
      <c r="AF953" s="90" t="str">
        <f t="shared" si="341"/>
        <v/>
      </c>
      <c r="AG953" s="90">
        <f t="shared" si="342"/>
        <v>118</v>
      </c>
      <c r="AH953" s="90">
        <f t="shared" si="343"/>
        <v>2018</v>
      </c>
      <c r="AI953" s="90">
        <f t="shared" si="344"/>
        <v>94</v>
      </c>
      <c r="AJ953" s="90">
        <f t="shared" si="345"/>
        <v>2022</v>
      </c>
      <c r="AK953" s="90" t="str">
        <f t="shared" si="346"/>
        <v>Adjust</v>
      </c>
      <c r="AL953" s="91">
        <f>IF(AK953="Adjust",(_xlfn.XLOOKUP(A953,'Adj factor'!A:A,'Adj factor'!I:I,,0)*AI953),'Master DataSheet (Rev)'!AI953)</f>
        <v>108.03407256611902</v>
      </c>
      <c r="AM953" s="91">
        <f t="shared" si="347"/>
        <v>118</v>
      </c>
      <c r="AN953" s="92" t="str">
        <f t="shared" si="348"/>
        <v>Decreasing</v>
      </c>
      <c r="AS953" s="94">
        <f t="shared" si="349"/>
        <v>0</v>
      </c>
      <c r="AT953" s="94">
        <f t="shared" si="350"/>
        <v>0.48135592252372472</v>
      </c>
      <c r="AU953" s="94">
        <f t="shared" si="335"/>
        <v>0.41072971470176339</v>
      </c>
      <c r="AV953" s="94">
        <f t="shared" si="336"/>
        <v>0.44861871059378838</v>
      </c>
    </row>
    <row r="954" spans="1:48" x14ac:dyDescent="0.3">
      <c r="A954" s="85" t="str">
        <f>_xlfn.XLOOKUP(B954,'Country codes &amp; Data sources'!G:G,'Country codes &amp; Data sources'!H:H,,0)</f>
        <v>Botswana</v>
      </c>
      <c r="B954" s="85" t="s">
        <v>164</v>
      </c>
      <c r="C954" s="85">
        <v>2175428.5</v>
      </c>
      <c r="D954" s="85" t="s">
        <v>329</v>
      </c>
      <c r="E954" s="86">
        <v>5816</v>
      </c>
      <c r="F954" s="86">
        <v>2217278.0000000009</v>
      </c>
      <c r="G954" s="86">
        <v>0</v>
      </c>
      <c r="H954" s="86"/>
      <c r="I954" s="86">
        <v>0</v>
      </c>
      <c r="J954" s="86"/>
      <c r="K954" s="86">
        <v>0</v>
      </c>
      <c r="L954" s="86"/>
      <c r="M954" s="86">
        <v>7427</v>
      </c>
      <c r="N954" s="86"/>
      <c r="O954" s="86">
        <v>0</v>
      </c>
      <c r="P954" s="86">
        <v>2451408.4999999995</v>
      </c>
      <c r="Q954" s="86">
        <v>7645</v>
      </c>
      <c r="R954" s="87">
        <f t="shared" si="334"/>
        <v>7645</v>
      </c>
      <c r="T954" s="87">
        <v>7763</v>
      </c>
      <c r="U954" s="89"/>
      <c r="V954" s="89">
        <v>7771</v>
      </c>
      <c r="W954" s="90"/>
      <c r="X954" s="90">
        <v>7886</v>
      </c>
      <c r="Y954" s="90">
        <v>2630296.0000000019</v>
      </c>
      <c r="Z954" s="90">
        <v>8028</v>
      </c>
      <c r="AA954" s="90">
        <v>6935</v>
      </c>
      <c r="AB954" s="89">
        <f t="shared" si="337"/>
        <v>5816</v>
      </c>
      <c r="AC954" s="89">
        <f t="shared" si="338"/>
        <v>7763</v>
      </c>
      <c r="AD954" s="89">
        <f t="shared" si="339"/>
        <v>8028</v>
      </c>
      <c r="AE954" s="90">
        <f t="shared" si="340"/>
        <v>5816</v>
      </c>
      <c r="AF954" s="90">
        <f t="shared" si="341"/>
        <v>2012</v>
      </c>
      <c r="AG954" s="90">
        <f t="shared" si="342"/>
        <v>7645</v>
      </c>
      <c r="AH954" s="90">
        <f t="shared" si="343"/>
        <v>2018</v>
      </c>
      <c r="AI954" s="90">
        <f t="shared" si="344"/>
        <v>8028</v>
      </c>
      <c r="AJ954" s="90">
        <f t="shared" si="345"/>
        <v>2022</v>
      </c>
      <c r="AK954" s="90" t="str">
        <f t="shared" si="346"/>
        <v/>
      </c>
      <c r="AL954" s="91">
        <f>IF(AK954="Adjust",(_xlfn.XLOOKUP(A954,'Adj factor'!A:A,'Adj factor'!I:I,,0)*AI954),'Master DataSheet (Rev)'!AI954)</f>
        <v>8028</v>
      </c>
      <c r="AM954" s="91">
        <f t="shared" si="347"/>
        <v>8028</v>
      </c>
      <c r="AN954" s="92" t="str">
        <f t="shared" si="348"/>
        <v>Increasing</v>
      </c>
      <c r="AS954" s="94">
        <f t="shared" si="349"/>
        <v>26.230359927803359</v>
      </c>
      <c r="AT954" s="94">
        <f t="shared" si="350"/>
        <v>31.186152777066741</v>
      </c>
      <c r="AU954" s="94">
        <f t="shared" si="335"/>
        <v>30.521279734296041</v>
      </c>
      <c r="AV954" s="94">
        <f t="shared" si="336"/>
        <v>30.521279734296041</v>
      </c>
    </row>
    <row r="955" spans="1:48" x14ac:dyDescent="0.3">
      <c r="A955" s="85" t="str">
        <f>_xlfn.XLOOKUP(B955,'Country codes &amp; Data sources'!G:G,'Country codes &amp; Data sources'!H:H,,0)</f>
        <v>Botswana</v>
      </c>
      <c r="B955" s="85" t="s">
        <v>164</v>
      </c>
      <c r="C955" s="85">
        <v>2175429.5</v>
      </c>
      <c r="D955" s="85" t="s">
        <v>330</v>
      </c>
      <c r="E955" s="86">
        <v>0</v>
      </c>
      <c r="F955" s="86">
        <v>2217278.0000000009</v>
      </c>
      <c r="G955" s="86">
        <v>0</v>
      </c>
      <c r="H955" s="86"/>
      <c r="I955" s="86">
        <v>0</v>
      </c>
      <c r="J955" s="86"/>
      <c r="K955" s="86">
        <v>0</v>
      </c>
      <c r="L955" s="86"/>
      <c r="M955" s="86">
        <v>0</v>
      </c>
      <c r="N955" s="86"/>
      <c r="O955" s="86">
        <v>0</v>
      </c>
      <c r="P955" s="86">
        <v>2451408.4999999995</v>
      </c>
      <c r="Q955" s="86">
        <v>7645</v>
      </c>
      <c r="R955" s="87">
        <f t="shared" si="334"/>
        <v>7645</v>
      </c>
      <c r="T955" s="87">
        <v>7763</v>
      </c>
      <c r="U955" s="89"/>
      <c r="V955" s="89">
        <v>7771</v>
      </c>
      <c r="W955" s="90"/>
      <c r="X955" s="90">
        <v>7886</v>
      </c>
      <c r="Y955" s="90">
        <v>2630296.0000000019</v>
      </c>
      <c r="Z955" s="90">
        <v>8028</v>
      </c>
      <c r="AA955" s="90">
        <v>6935</v>
      </c>
      <c r="AB955" s="89">
        <f t="shared" si="337"/>
        <v>0</v>
      </c>
      <c r="AC955" s="89">
        <f t="shared" si="338"/>
        <v>7763</v>
      </c>
      <c r="AD955" s="89">
        <f t="shared" si="339"/>
        <v>8028</v>
      </c>
      <c r="AF955" s="90" t="str">
        <f t="shared" si="341"/>
        <v/>
      </c>
      <c r="AG955" s="90">
        <f t="shared" si="342"/>
        <v>7645</v>
      </c>
      <c r="AH955" s="90">
        <f t="shared" si="343"/>
        <v>2018</v>
      </c>
      <c r="AI955" s="90">
        <f t="shared" si="344"/>
        <v>8028</v>
      </c>
      <c r="AJ955" s="90">
        <f t="shared" si="345"/>
        <v>2022</v>
      </c>
      <c r="AK955" s="90" t="str">
        <f t="shared" si="346"/>
        <v/>
      </c>
      <c r="AL955" s="91">
        <f>IF(AK955="Adjust",(_xlfn.XLOOKUP(A955,'Adj factor'!A:A,'Adj factor'!I:I,,0)*AI955),'Master DataSheet (Rev)'!AI955)</f>
        <v>8028</v>
      </c>
      <c r="AM955" s="91">
        <f t="shared" si="347"/>
        <v>8028</v>
      </c>
      <c r="AN955" s="92" t="str">
        <f t="shared" si="348"/>
        <v>Increasing</v>
      </c>
      <c r="AS955" s="94">
        <f t="shared" si="349"/>
        <v>0</v>
      </c>
      <c r="AT955" s="94">
        <f t="shared" si="350"/>
        <v>31.186152777066741</v>
      </c>
      <c r="AU955" s="94">
        <f t="shared" si="335"/>
        <v>30.521279734296041</v>
      </c>
      <c r="AV955" s="94">
        <f t="shared" si="336"/>
        <v>30.521279734296041</v>
      </c>
    </row>
    <row r="956" spans="1:48" x14ac:dyDescent="0.3">
      <c r="A956" s="85" t="str">
        <f>_xlfn.XLOOKUP(B956,'Country codes &amp; Data sources'!G:G,'Country codes &amp; Data sources'!H:H,,0)</f>
        <v>Botswana</v>
      </c>
      <c r="B956" s="85" t="s">
        <v>164</v>
      </c>
      <c r="C956" s="85">
        <v>2175430.5</v>
      </c>
      <c r="D956" s="85" t="s">
        <v>331</v>
      </c>
      <c r="E956" s="86">
        <v>0</v>
      </c>
      <c r="F956" s="86">
        <v>2217278.0000000009</v>
      </c>
      <c r="G956" s="86">
        <v>0</v>
      </c>
      <c r="H956" s="86"/>
      <c r="I956" s="86">
        <v>0</v>
      </c>
      <c r="J956" s="86"/>
      <c r="K956" s="86">
        <v>0</v>
      </c>
      <c r="L956" s="86"/>
      <c r="M956" s="86">
        <v>0</v>
      </c>
      <c r="N956" s="86"/>
      <c r="O956" s="86">
        <v>0</v>
      </c>
      <c r="P956" s="86">
        <v>2451408.4999999995</v>
      </c>
      <c r="Q956" s="86">
        <v>0</v>
      </c>
      <c r="R956" s="87">
        <f t="shared" si="334"/>
        <v>0</v>
      </c>
      <c r="T956" s="87">
        <v>0</v>
      </c>
      <c r="U956" s="89"/>
      <c r="V956" s="89">
        <v>0</v>
      </c>
      <c r="W956" s="90"/>
      <c r="X956" s="90">
        <v>0</v>
      </c>
      <c r="Y956" s="90">
        <v>2630296.0000000019</v>
      </c>
      <c r="Z956" s="90">
        <v>0</v>
      </c>
      <c r="AA956" s="90">
        <v>0</v>
      </c>
      <c r="AB956" s="89">
        <f t="shared" si="337"/>
        <v>0</v>
      </c>
      <c r="AC956" s="89">
        <f t="shared" si="338"/>
        <v>0</v>
      </c>
      <c r="AD956" s="89">
        <f t="shared" si="339"/>
        <v>0</v>
      </c>
      <c r="AF956" s="90" t="str">
        <f t="shared" si="341"/>
        <v/>
      </c>
      <c r="AH956" s="90" t="str">
        <f t="shared" si="343"/>
        <v/>
      </c>
      <c r="AI956" s="90">
        <f t="shared" si="344"/>
        <v>0</v>
      </c>
      <c r="AJ956" s="90" t="str">
        <f t="shared" si="345"/>
        <v/>
      </c>
      <c r="AK956" s="90" t="str">
        <f t="shared" si="346"/>
        <v/>
      </c>
      <c r="AL956" s="91"/>
      <c r="AM956" s="91">
        <f t="shared" si="347"/>
        <v>0</v>
      </c>
      <c r="AN956" s="92" t="str">
        <f t="shared" si="348"/>
        <v>No change</v>
      </c>
      <c r="AS956" s="94">
        <f t="shared" si="349"/>
        <v>0</v>
      </c>
      <c r="AT956" s="94">
        <f t="shared" si="350"/>
        <v>0</v>
      </c>
      <c r="AU956" s="94">
        <f t="shared" si="335"/>
        <v>0</v>
      </c>
      <c r="AV956" s="94">
        <f t="shared" si="336"/>
        <v>0</v>
      </c>
    </row>
    <row r="957" spans="1:48" x14ac:dyDescent="0.3">
      <c r="A957" s="85" t="str">
        <f>_xlfn.XLOOKUP(B957,'Country codes &amp; Data sources'!G:G,'Country codes &amp; Data sources'!H:H,,0)</f>
        <v>Botswana</v>
      </c>
      <c r="B957" s="85" t="s">
        <v>164</v>
      </c>
      <c r="C957" s="85">
        <v>2175431.5</v>
      </c>
      <c r="D957" s="85" t="s">
        <v>332</v>
      </c>
      <c r="E957" s="86">
        <v>0</v>
      </c>
      <c r="F957" s="86">
        <v>2217278.0000000009</v>
      </c>
      <c r="G957" s="86">
        <v>1501</v>
      </c>
      <c r="H957" s="86"/>
      <c r="I957" s="86">
        <v>0</v>
      </c>
      <c r="J957" s="86"/>
      <c r="K957" s="86">
        <v>0</v>
      </c>
      <c r="L957" s="86"/>
      <c r="M957" s="86">
        <v>1461</v>
      </c>
      <c r="N957" s="86"/>
      <c r="O957" s="86">
        <v>0</v>
      </c>
      <c r="P957" s="86">
        <v>2451408.4999999995</v>
      </c>
      <c r="Q957" s="86">
        <v>0</v>
      </c>
      <c r="R957" s="87">
        <f t="shared" si="334"/>
        <v>0</v>
      </c>
      <c r="T957" s="87">
        <v>0</v>
      </c>
      <c r="U957" s="89"/>
      <c r="V957" s="89">
        <v>0</v>
      </c>
      <c r="W957" s="90"/>
      <c r="X957" s="90">
        <v>0</v>
      </c>
      <c r="Y957" s="90">
        <v>2630296.0000000019</v>
      </c>
      <c r="Z957" s="90">
        <v>0</v>
      </c>
      <c r="AA957" s="90">
        <v>0</v>
      </c>
      <c r="AB957" s="89">
        <f t="shared" si="337"/>
        <v>1501</v>
      </c>
      <c r="AC957" s="89">
        <f t="shared" si="338"/>
        <v>1461</v>
      </c>
      <c r="AD957" s="89">
        <f t="shared" si="339"/>
        <v>0</v>
      </c>
      <c r="AE957" s="90">
        <f t="shared" si="340"/>
        <v>1501</v>
      </c>
      <c r="AF957" s="90">
        <f t="shared" si="341"/>
        <v>2013</v>
      </c>
      <c r="AH957" s="90" t="str">
        <f t="shared" si="343"/>
        <v/>
      </c>
      <c r="AI957" s="90">
        <f t="shared" si="344"/>
        <v>0</v>
      </c>
      <c r="AJ957" s="90" t="str">
        <f t="shared" si="345"/>
        <v/>
      </c>
      <c r="AK957" s="90" t="str">
        <f t="shared" si="346"/>
        <v/>
      </c>
      <c r="AL957" s="91"/>
      <c r="AM957" s="91">
        <f t="shared" si="347"/>
        <v>0</v>
      </c>
      <c r="AN957" s="92" t="str">
        <f t="shared" si="348"/>
        <v>No change</v>
      </c>
      <c r="AS957" s="94">
        <f t="shared" si="349"/>
        <v>6.7695615975984937</v>
      </c>
      <c r="AT957" s="94">
        <f t="shared" si="350"/>
        <v>0</v>
      </c>
      <c r="AU957" s="94">
        <f t="shared" si="335"/>
        <v>0</v>
      </c>
      <c r="AV957" s="94">
        <f t="shared" si="336"/>
        <v>0</v>
      </c>
    </row>
    <row r="958" spans="1:48" x14ac:dyDescent="0.3">
      <c r="A958" s="85" t="str">
        <f>_xlfn.XLOOKUP(B958,'Country codes &amp; Data sources'!G:G,'Country codes &amp; Data sources'!H:H,,0)</f>
        <v>Botswana</v>
      </c>
      <c r="B958" s="85" t="s">
        <v>164</v>
      </c>
      <c r="C958" s="85">
        <v>2175432.5</v>
      </c>
      <c r="D958" s="85" t="s">
        <v>333</v>
      </c>
      <c r="E958" s="86">
        <v>0</v>
      </c>
      <c r="F958" s="86">
        <v>2217278.0000000009</v>
      </c>
      <c r="G958" s="86">
        <v>1501</v>
      </c>
      <c r="H958" s="86"/>
      <c r="I958" s="86">
        <v>0</v>
      </c>
      <c r="J958" s="86"/>
      <c r="K958" s="86">
        <v>0</v>
      </c>
      <c r="L958" s="86"/>
      <c r="M958" s="86">
        <v>1461</v>
      </c>
      <c r="N958" s="86"/>
      <c r="O958" s="86">
        <v>0</v>
      </c>
      <c r="P958" s="86">
        <v>2451408.4999999995</v>
      </c>
      <c r="Q958" s="86">
        <v>0</v>
      </c>
      <c r="R958" s="87">
        <f t="shared" si="334"/>
        <v>0</v>
      </c>
      <c r="T958" s="87">
        <v>0</v>
      </c>
      <c r="U958" s="89"/>
      <c r="V958" s="89">
        <v>0</v>
      </c>
      <c r="W958" s="90"/>
      <c r="X958" s="90">
        <v>0</v>
      </c>
      <c r="Y958" s="90">
        <v>2630296.0000000019</v>
      </c>
      <c r="Z958" s="90">
        <v>0</v>
      </c>
      <c r="AA958" s="90">
        <v>0</v>
      </c>
      <c r="AB958" s="89">
        <f t="shared" si="337"/>
        <v>1501</v>
      </c>
      <c r="AC958" s="89">
        <f t="shared" si="338"/>
        <v>1461</v>
      </c>
      <c r="AD958" s="89">
        <f t="shared" si="339"/>
        <v>0</v>
      </c>
      <c r="AE958" s="90">
        <f t="shared" si="340"/>
        <v>1501</v>
      </c>
      <c r="AF958" s="90">
        <f t="shared" si="341"/>
        <v>2013</v>
      </c>
      <c r="AH958" s="90" t="str">
        <f t="shared" si="343"/>
        <v/>
      </c>
      <c r="AI958" s="90">
        <f t="shared" si="344"/>
        <v>0</v>
      </c>
      <c r="AJ958" s="90" t="str">
        <f t="shared" si="345"/>
        <v/>
      </c>
      <c r="AK958" s="90" t="str">
        <f t="shared" si="346"/>
        <v/>
      </c>
      <c r="AL958" s="91"/>
      <c r="AM958" s="91">
        <f t="shared" si="347"/>
        <v>0</v>
      </c>
      <c r="AN958" s="92" t="str">
        <f t="shared" si="348"/>
        <v>No change</v>
      </c>
      <c r="AS958" s="94">
        <f t="shared" si="349"/>
        <v>6.7695615975984937</v>
      </c>
      <c r="AT958" s="94">
        <f t="shared" si="350"/>
        <v>0</v>
      </c>
      <c r="AU958" s="94">
        <f t="shared" si="335"/>
        <v>0</v>
      </c>
      <c r="AV958" s="94">
        <f t="shared" si="336"/>
        <v>0</v>
      </c>
    </row>
    <row r="959" spans="1:48" x14ac:dyDescent="0.3">
      <c r="A959" s="85" t="str">
        <f>_xlfn.XLOOKUP(B959,'Country codes &amp; Data sources'!G:G,'Country codes &amp; Data sources'!H:H,,0)</f>
        <v>Botswana</v>
      </c>
      <c r="B959" s="85" t="s">
        <v>164</v>
      </c>
      <c r="C959" s="85">
        <v>2175433.5</v>
      </c>
      <c r="D959" s="85" t="s">
        <v>334</v>
      </c>
      <c r="E959" s="86">
        <v>0</v>
      </c>
      <c r="F959" s="86">
        <v>2217278.0000000009</v>
      </c>
      <c r="G959" s="86">
        <v>0</v>
      </c>
      <c r="H959" s="86"/>
      <c r="I959" s="86">
        <v>0</v>
      </c>
      <c r="J959" s="86"/>
      <c r="K959" s="86">
        <v>0</v>
      </c>
      <c r="L959" s="86"/>
      <c r="M959" s="86">
        <v>0</v>
      </c>
      <c r="N959" s="86"/>
      <c r="O959" s="86">
        <v>0</v>
      </c>
      <c r="P959" s="86">
        <v>2451408.4999999995</v>
      </c>
      <c r="Q959" s="86">
        <v>0</v>
      </c>
      <c r="R959" s="87">
        <f t="shared" ref="R959:R1022" si="351">MAX(Q959,AA959)</f>
        <v>0</v>
      </c>
      <c r="T959" s="87">
        <v>0</v>
      </c>
      <c r="U959" s="89"/>
      <c r="V959" s="89">
        <v>0</v>
      </c>
      <c r="W959" s="90"/>
      <c r="X959" s="90">
        <v>0</v>
      </c>
      <c r="Y959" s="90">
        <v>2630296.0000000019</v>
      </c>
      <c r="Z959" s="90">
        <v>0</v>
      </c>
      <c r="AA959" s="90">
        <v>0</v>
      </c>
      <c r="AB959" s="89">
        <f t="shared" si="337"/>
        <v>0</v>
      </c>
      <c r="AC959" s="89">
        <f t="shared" si="338"/>
        <v>0</v>
      </c>
      <c r="AD959" s="89">
        <f t="shared" si="339"/>
        <v>0</v>
      </c>
      <c r="AF959" s="90" t="str">
        <f t="shared" si="341"/>
        <v/>
      </c>
      <c r="AH959" s="90" t="str">
        <f t="shared" si="343"/>
        <v/>
      </c>
      <c r="AI959" s="90">
        <f t="shared" si="344"/>
        <v>0</v>
      </c>
      <c r="AJ959" s="90" t="str">
        <f t="shared" si="345"/>
        <v/>
      </c>
      <c r="AK959" s="90" t="str">
        <f t="shared" si="346"/>
        <v/>
      </c>
      <c r="AL959" s="91"/>
      <c r="AM959" s="91">
        <f t="shared" si="347"/>
        <v>0</v>
      </c>
      <c r="AN959" s="92" t="str">
        <f t="shared" si="348"/>
        <v>No change</v>
      </c>
      <c r="AS959" s="94">
        <f t="shared" si="349"/>
        <v>0</v>
      </c>
      <c r="AT959" s="94">
        <f t="shared" si="350"/>
        <v>0</v>
      </c>
      <c r="AU959" s="94">
        <f t="shared" si="335"/>
        <v>0</v>
      </c>
      <c r="AV959" s="94">
        <f t="shared" si="336"/>
        <v>0</v>
      </c>
    </row>
    <row r="960" spans="1:48" x14ac:dyDescent="0.3">
      <c r="A960" s="85" t="str">
        <f>_xlfn.XLOOKUP(B960,'Country codes &amp; Data sources'!G:G,'Country codes &amp; Data sources'!H:H,,0)</f>
        <v>Botswana</v>
      </c>
      <c r="B960" s="85" t="s">
        <v>164</v>
      </c>
      <c r="C960" s="85">
        <v>2175434.5</v>
      </c>
      <c r="D960" s="85" t="s">
        <v>335</v>
      </c>
      <c r="E960" s="86">
        <v>0</v>
      </c>
      <c r="F960" s="86">
        <v>2217278.0000000009</v>
      </c>
      <c r="G960" s="86">
        <v>0</v>
      </c>
      <c r="H960" s="86"/>
      <c r="I960" s="86">
        <v>0</v>
      </c>
      <c r="J960" s="86"/>
      <c r="K960" s="86">
        <v>0</v>
      </c>
      <c r="L960" s="86"/>
      <c r="M960" s="86">
        <v>0</v>
      </c>
      <c r="N960" s="86"/>
      <c r="O960" s="86">
        <v>0</v>
      </c>
      <c r="P960" s="86">
        <v>2451408.4999999995</v>
      </c>
      <c r="Q960" s="86">
        <v>156</v>
      </c>
      <c r="R960" s="87">
        <f t="shared" si="351"/>
        <v>156</v>
      </c>
      <c r="T960" s="87">
        <v>138</v>
      </c>
      <c r="U960" s="89"/>
      <c r="V960" s="89">
        <v>145</v>
      </c>
      <c r="W960" s="90"/>
      <c r="X960" s="90">
        <v>158</v>
      </c>
      <c r="Y960" s="90">
        <v>2630296.0000000019</v>
      </c>
      <c r="Z960" s="90">
        <v>125</v>
      </c>
      <c r="AA960" s="90">
        <v>149</v>
      </c>
      <c r="AB960" s="89">
        <f t="shared" si="337"/>
        <v>0</v>
      </c>
      <c r="AC960" s="89">
        <f t="shared" si="338"/>
        <v>156</v>
      </c>
      <c r="AD960" s="89">
        <f t="shared" si="339"/>
        <v>158</v>
      </c>
      <c r="AF960" s="90" t="str">
        <f t="shared" si="341"/>
        <v/>
      </c>
      <c r="AG960" s="90">
        <f t="shared" si="342"/>
        <v>156</v>
      </c>
      <c r="AH960" s="90">
        <f t="shared" si="343"/>
        <v>2018</v>
      </c>
      <c r="AI960" s="90">
        <f t="shared" si="344"/>
        <v>125</v>
      </c>
      <c r="AJ960" s="90">
        <f t="shared" si="345"/>
        <v>2022</v>
      </c>
      <c r="AK960" s="90" t="str">
        <f t="shared" si="346"/>
        <v>Adjust</v>
      </c>
      <c r="AL960" s="91">
        <f>IF(AK960="Adjust",(_xlfn.XLOOKUP(A960,'Adj factor'!A:A,'Adj factor'!I:I,,0)*AI960),'Master DataSheet (Rev)'!AI960)</f>
        <v>143.6623305400519</v>
      </c>
      <c r="AM960" s="91">
        <f t="shared" si="347"/>
        <v>156</v>
      </c>
      <c r="AN960" s="92" t="str">
        <f t="shared" si="348"/>
        <v>Decreasing</v>
      </c>
      <c r="AS960" s="94">
        <f t="shared" si="349"/>
        <v>0</v>
      </c>
      <c r="AT960" s="94">
        <f t="shared" si="350"/>
        <v>0.63636884672628014</v>
      </c>
      <c r="AU960" s="94">
        <f t="shared" si="335"/>
        <v>0.54618313125234497</v>
      </c>
      <c r="AV960" s="94">
        <f t="shared" si="336"/>
        <v>0.59308914281890668</v>
      </c>
    </row>
    <row r="961" spans="1:48" x14ac:dyDescent="0.3">
      <c r="A961" s="85" t="str">
        <f>_xlfn.XLOOKUP(B961,'Country codes &amp; Data sources'!G:G,'Country codes &amp; Data sources'!H:H,,0)</f>
        <v>Botswana</v>
      </c>
      <c r="B961" s="85" t="s">
        <v>164</v>
      </c>
      <c r="C961" s="85">
        <v>2175435.5</v>
      </c>
      <c r="D961" s="85" t="s">
        <v>336</v>
      </c>
      <c r="E961" s="86">
        <v>0</v>
      </c>
      <c r="F961" s="86">
        <v>2217278.0000000009</v>
      </c>
      <c r="G961" s="86">
        <v>0</v>
      </c>
      <c r="H961" s="86"/>
      <c r="I961" s="86">
        <v>0</v>
      </c>
      <c r="J961" s="86"/>
      <c r="K961" s="86">
        <v>0</v>
      </c>
      <c r="L961" s="86"/>
      <c r="M961" s="86">
        <v>0</v>
      </c>
      <c r="N961" s="86"/>
      <c r="O961" s="86">
        <v>0</v>
      </c>
      <c r="P961" s="86">
        <v>2451408.4999999995</v>
      </c>
      <c r="Q961" s="86">
        <v>435</v>
      </c>
      <c r="R961" s="87">
        <f t="shared" si="351"/>
        <v>435</v>
      </c>
      <c r="T961" s="87">
        <v>408</v>
      </c>
      <c r="U961" s="89"/>
      <c r="V961" s="89">
        <v>435</v>
      </c>
      <c r="W961" s="90"/>
      <c r="X961" s="90">
        <v>413</v>
      </c>
      <c r="Y961" s="90">
        <v>2630296.0000000019</v>
      </c>
      <c r="Z961" s="90">
        <v>449</v>
      </c>
      <c r="AA961" s="90">
        <v>338</v>
      </c>
      <c r="AB961" s="89">
        <f t="shared" si="337"/>
        <v>0</v>
      </c>
      <c r="AC961" s="89">
        <f t="shared" si="338"/>
        <v>435</v>
      </c>
      <c r="AD961" s="89">
        <f t="shared" si="339"/>
        <v>449</v>
      </c>
      <c r="AF961" s="90" t="str">
        <f t="shared" si="341"/>
        <v/>
      </c>
      <c r="AG961" s="90">
        <f t="shared" si="342"/>
        <v>435</v>
      </c>
      <c r="AH961" s="90">
        <f t="shared" si="343"/>
        <v>2018</v>
      </c>
      <c r="AI961" s="90">
        <f t="shared" si="344"/>
        <v>449</v>
      </c>
      <c r="AJ961" s="90">
        <f t="shared" si="345"/>
        <v>2022</v>
      </c>
      <c r="AK961" s="90" t="str">
        <f t="shared" si="346"/>
        <v/>
      </c>
      <c r="AL961" s="91">
        <f>IF(AK961="Adjust",(_xlfn.XLOOKUP(A961,'Adj factor'!A:A,'Adj factor'!I:I,,0)*AI961),'Master DataSheet (Rev)'!AI961)</f>
        <v>449</v>
      </c>
      <c r="AM961" s="91">
        <f t="shared" si="347"/>
        <v>449</v>
      </c>
      <c r="AN961" s="92" t="str">
        <f t="shared" si="348"/>
        <v>Increasing</v>
      </c>
      <c r="AS961" s="94">
        <f t="shared" si="349"/>
        <v>0</v>
      </c>
      <c r="AT961" s="94">
        <f t="shared" si="350"/>
        <v>1.7744900533713581</v>
      </c>
      <c r="AU961" s="94">
        <f t="shared" si="335"/>
        <v>1.7070322123441608</v>
      </c>
      <c r="AV961" s="94">
        <f t="shared" si="336"/>
        <v>1.7070322123441608</v>
      </c>
    </row>
    <row r="962" spans="1:48" x14ac:dyDescent="0.3">
      <c r="A962" s="85" t="str">
        <f>_xlfn.XLOOKUP(B962,'Country codes &amp; Data sources'!G:G,'Country codes &amp; Data sources'!H:H,,0)</f>
        <v>Botswana</v>
      </c>
      <c r="B962" s="85" t="s">
        <v>164</v>
      </c>
      <c r="C962" s="85">
        <v>2175436.5</v>
      </c>
      <c r="D962" s="85" t="s">
        <v>337</v>
      </c>
      <c r="E962" s="86">
        <v>55</v>
      </c>
      <c r="F962" s="86">
        <v>2217278.0000000009</v>
      </c>
      <c r="G962" s="86">
        <v>0</v>
      </c>
      <c r="H962" s="86"/>
      <c r="I962" s="86">
        <v>0</v>
      </c>
      <c r="J962" s="86"/>
      <c r="K962" s="86">
        <v>0</v>
      </c>
      <c r="L962" s="86"/>
      <c r="M962" s="86">
        <v>91</v>
      </c>
      <c r="N962" s="86"/>
      <c r="O962" s="86">
        <v>0</v>
      </c>
      <c r="P962" s="86">
        <v>2451408.4999999995</v>
      </c>
      <c r="Q962" s="86">
        <v>96</v>
      </c>
      <c r="R962" s="87">
        <f t="shared" si="351"/>
        <v>96</v>
      </c>
      <c r="T962" s="87">
        <v>88</v>
      </c>
      <c r="U962" s="89"/>
      <c r="V962" s="89">
        <v>89</v>
      </c>
      <c r="W962" s="90"/>
      <c r="X962" s="90">
        <v>89</v>
      </c>
      <c r="Y962" s="90">
        <v>2630296.0000000019</v>
      </c>
      <c r="Z962" s="90">
        <v>86</v>
      </c>
      <c r="AA962" s="90">
        <v>94</v>
      </c>
      <c r="AB962" s="89">
        <f t="shared" si="337"/>
        <v>55</v>
      </c>
      <c r="AC962" s="89">
        <f t="shared" si="338"/>
        <v>96</v>
      </c>
      <c r="AD962" s="89">
        <f t="shared" si="339"/>
        <v>89</v>
      </c>
      <c r="AE962" s="90">
        <f t="shared" si="340"/>
        <v>55</v>
      </c>
      <c r="AF962" s="90">
        <f t="shared" si="341"/>
        <v>2012</v>
      </c>
      <c r="AG962" s="90">
        <f t="shared" si="342"/>
        <v>96</v>
      </c>
      <c r="AH962" s="90">
        <f t="shared" si="343"/>
        <v>2018</v>
      </c>
      <c r="AI962" s="90">
        <f t="shared" si="344"/>
        <v>86</v>
      </c>
      <c r="AJ962" s="90">
        <f t="shared" si="345"/>
        <v>2022</v>
      </c>
      <c r="AK962" s="90" t="str">
        <f t="shared" si="346"/>
        <v>Adjust</v>
      </c>
      <c r="AL962" s="91">
        <f>IF(AK962="Adjust",(_xlfn.XLOOKUP(A962,'Adj factor'!A:A,'Adj factor'!I:I,,0)*AI962),'Master DataSheet (Rev)'!AI962)</f>
        <v>98.839683411555711</v>
      </c>
      <c r="AM962" s="91">
        <f t="shared" si="347"/>
        <v>98.839683411555711</v>
      </c>
      <c r="AN962" s="92" t="str">
        <f t="shared" si="348"/>
        <v>Increasing</v>
      </c>
      <c r="AS962" s="94">
        <f t="shared" si="349"/>
        <v>0.24805189065151045</v>
      </c>
      <c r="AT962" s="94">
        <f t="shared" si="350"/>
        <v>0.39161159798540318</v>
      </c>
      <c r="AU962" s="94">
        <f t="shared" si="335"/>
        <v>0.37577399430161335</v>
      </c>
      <c r="AV962" s="94">
        <f t="shared" si="336"/>
        <v>0.37577399430161335</v>
      </c>
    </row>
    <row r="963" spans="1:48" x14ac:dyDescent="0.3">
      <c r="A963" s="85" t="str">
        <f>_xlfn.XLOOKUP(B963,'Country codes &amp; Data sources'!G:G,'Country codes &amp; Data sources'!H:H,,0)</f>
        <v>Botswana</v>
      </c>
      <c r="B963" s="85" t="s">
        <v>164</v>
      </c>
      <c r="C963" s="85">
        <v>2175437.5</v>
      </c>
      <c r="D963" s="85" t="s">
        <v>338</v>
      </c>
      <c r="E963" s="86">
        <v>0</v>
      </c>
      <c r="F963" s="86">
        <v>2217278.0000000009</v>
      </c>
      <c r="G963" s="86">
        <v>0</v>
      </c>
      <c r="H963" s="86"/>
      <c r="I963" s="86">
        <v>0</v>
      </c>
      <c r="J963" s="86"/>
      <c r="K963" s="86">
        <v>0</v>
      </c>
      <c r="L963" s="86"/>
      <c r="M963" s="86">
        <v>0</v>
      </c>
      <c r="N963" s="86"/>
      <c r="O963" s="86">
        <v>0</v>
      </c>
      <c r="P963" s="86">
        <v>2451408.4999999995</v>
      </c>
      <c r="Q963" s="86">
        <v>27</v>
      </c>
      <c r="R963" s="87">
        <f t="shared" si="351"/>
        <v>27</v>
      </c>
      <c r="T963" s="87">
        <v>27</v>
      </c>
      <c r="U963" s="89"/>
      <c r="V963" s="89">
        <v>28</v>
      </c>
      <c r="W963" s="90"/>
      <c r="X963" s="90">
        <v>26</v>
      </c>
      <c r="Y963" s="90">
        <v>2630296.0000000019</v>
      </c>
      <c r="Z963" s="90">
        <v>24</v>
      </c>
      <c r="AA963" s="90">
        <v>0</v>
      </c>
      <c r="AB963" s="89">
        <f t="shared" si="337"/>
        <v>0</v>
      </c>
      <c r="AC963" s="89">
        <f t="shared" si="338"/>
        <v>27</v>
      </c>
      <c r="AD963" s="89">
        <f t="shared" si="339"/>
        <v>28</v>
      </c>
      <c r="AF963" s="90" t="str">
        <f t="shared" si="341"/>
        <v/>
      </c>
      <c r="AG963" s="90">
        <f t="shared" si="342"/>
        <v>27</v>
      </c>
      <c r="AH963" s="90">
        <f t="shared" si="343"/>
        <v>2018</v>
      </c>
      <c r="AI963" s="90">
        <f t="shared" si="344"/>
        <v>24</v>
      </c>
      <c r="AJ963" s="90">
        <f t="shared" si="345"/>
        <v>2022</v>
      </c>
      <c r="AK963" s="90" t="str">
        <f t="shared" si="346"/>
        <v>Adjust</v>
      </c>
      <c r="AL963" s="91">
        <f>IF(AK963="Adjust",(_xlfn.XLOOKUP(A963,'Adj factor'!A:A,'Adj factor'!I:I,,0)*AI963),'Master DataSheet (Rev)'!AI963)</f>
        <v>27.583167463689964</v>
      </c>
      <c r="AM963" s="91">
        <f t="shared" si="347"/>
        <v>27.583167463689964</v>
      </c>
      <c r="AN963" s="92" t="str">
        <f t="shared" si="348"/>
        <v>Increasing</v>
      </c>
      <c r="AS963" s="94">
        <f t="shared" si="349"/>
        <v>0</v>
      </c>
      <c r="AT963" s="94">
        <f t="shared" si="350"/>
        <v>0.11014076193339464</v>
      </c>
      <c r="AU963" s="94">
        <f t="shared" ref="AU963:AU1026" si="352">(AL963*10000)/Y963</f>
        <v>0.10486716120045024</v>
      </c>
      <c r="AV963" s="94">
        <f t="shared" ref="AV963:AV1026" si="353">(AM963*10000)/Y963</f>
        <v>0.10486716120045024</v>
      </c>
    </row>
    <row r="964" spans="1:48" x14ac:dyDescent="0.3">
      <c r="A964" s="85" t="str">
        <f>_xlfn.XLOOKUP(B964,'Country codes &amp; Data sources'!G:G,'Country codes &amp; Data sources'!H:H,,0)</f>
        <v>Botswana</v>
      </c>
      <c r="B964" s="85" t="s">
        <v>164</v>
      </c>
      <c r="C964" s="85">
        <v>2175438.5</v>
      </c>
      <c r="D964" s="85" t="s">
        <v>339</v>
      </c>
      <c r="E964" s="86">
        <v>0</v>
      </c>
      <c r="F964" s="86">
        <v>2217278.0000000009</v>
      </c>
      <c r="G964" s="86">
        <v>0</v>
      </c>
      <c r="H964" s="86"/>
      <c r="I964" s="86">
        <v>0</v>
      </c>
      <c r="J964" s="86"/>
      <c r="K964" s="86">
        <v>0</v>
      </c>
      <c r="L964" s="86"/>
      <c r="M964" s="86">
        <v>0</v>
      </c>
      <c r="N964" s="86"/>
      <c r="O964" s="86">
        <v>0</v>
      </c>
      <c r="P964" s="86">
        <v>2451408.4999999995</v>
      </c>
      <c r="Q964" s="86">
        <v>16</v>
      </c>
      <c r="R964" s="87">
        <f t="shared" si="351"/>
        <v>16</v>
      </c>
      <c r="T964" s="87">
        <v>15</v>
      </c>
      <c r="U964" s="89"/>
      <c r="V964" s="89">
        <v>13</v>
      </c>
      <c r="W964" s="90"/>
      <c r="X964" s="90">
        <v>15</v>
      </c>
      <c r="Y964" s="90">
        <v>2630296.0000000019</v>
      </c>
      <c r="Z964" s="90">
        <v>17</v>
      </c>
      <c r="AA964" s="90">
        <v>0</v>
      </c>
      <c r="AB964" s="89">
        <f t="shared" si="337"/>
        <v>0</v>
      </c>
      <c r="AC964" s="89">
        <f t="shared" si="338"/>
        <v>16</v>
      </c>
      <c r="AD964" s="89">
        <f t="shared" si="339"/>
        <v>17</v>
      </c>
      <c r="AF964" s="90" t="str">
        <f t="shared" si="341"/>
        <v/>
      </c>
      <c r="AG964" s="90">
        <f t="shared" si="342"/>
        <v>16</v>
      </c>
      <c r="AH964" s="90">
        <f t="shared" si="343"/>
        <v>2018</v>
      </c>
      <c r="AI964" s="90">
        <f t="shared" si="344"/>
        <v>17</v>
      </c>
      <c r="AJ964" s="90">
        <f t="shared" si="345"/>
        <v>2022</v>
      </c>
      <c r="AK964" s="90" t="str">
        <f t="shared" si="346"/>
        <v/>
      </c>
      <c r="AL964" s="91">
        <f>IF(AK964="Adjust",(_xlfn.XLOOKUP(A964,'Adj factor'!A:A,'Adj factor'!I:I,,0)*AI964),'Master DataSheet (Rev)'!AI964)</f>
        <v>17</v>
      </c>
      <c r="AM964" s="91">
        <f t="shared" si="347"/>
        <v>17</v>
      </c>
      <c r="AN964" s="92" t="str">
        <f t="shared" si="348"/>
        <v>Increasing</v>
      </c>
      <c r="AS964" s="94">
        <f t="shared" si="349"/>
        <v>0</v>
      </c>
      <c r="AT964" s="94">
        <f t="shared" si="350"/>
        <v>6.5268599664233859E-2</v>
      </c>
      <c r="AU964" s="94">
        <f t="shared" si="352"/>
        <v>6.4631509153342398E-2</v>
      </c>
      <c r="AV964" s="94">
        <f t="shared" si="353"/>
        <v>6.4631509153342398E-2</v>
      </c>
    </row>
    <row r="965" spans="1:48" x14ac:dyDescent="0.3">
      <c r="A965" s="85" t="str">
        <f>_xlfn.XLOOKUP(B965,'Country codes &amp; Data sources'!G:G,'Country codes &amp; Data sources'!H:H,,0)</f>
        <v>Central African Republic</v>
      </c>
      <c r="B965" s="85" t="s">
        <v>152</v>
      </c>
      <c r="C965" s="85">
        <v>4773305.4999999991</v>
      </c>
      <c r="D965" s="85" t="s">
        <v>326</v>
      </c>
      <c r="E965" s="86">
        <v>0</v>
      </c>
      <c r="F965" s="86">
        <v>4802428.5000000102</v>
      </c>
      <c r="G965" s="86">
        <v>0</v>
      </c>
      <c r="H965" s="86">
        <v>4798734.5</v>
      </c>
      <c r="I965" s="86">
        <v>0</v>
      </c>
      <c r="J965" s="86">
        <v>4819332.9999999991</v>
      </c>
      <c r="K965" s="86">
        <v>324</v>
      </c>
      <c r="L965" s="86">
        <v>4904177.5000000019</v>
      </c>
      <c r="M965" s="86">
        <v>0</v>
      </c>
      <c r="N965" s="86">
        <v>4996741.0000000009</v>
      </c>
      <c r="O965" s="86">
        <v>0</v>
      </c>
      <c r="P965" s="86">
        <v>5094779.9999999991</v>
      </c>
      <c r="Q965" s="86">
        <v>335</v>
      </c>
      <c r="R965" s="87">
        <f t="shared" si="351"/>
        <v>335</v>
      </c>
      <c r="S965" s="87">
        <v>5209324.4999999963</v>
      </c>
      <c r="T965" s="87">
        <v>0</v>
      </c>
      <c r="U965" s="89">
        <v>5343019.9999999991</v>
      </c>
      <c r="V965" s="89">
        <v>0</v>
      </c>
      <c r="W965" s="90">
        <v>5457154.4999999991</v>
      </c>
      <c r="X965" s="90">
        <v>114</v>
      </c>
      <c r="Y965" s="90">
        <v>5579143.5000000047</v>
      </c>
      <c r="Z965" s="90">
        <v>0</v>
      </c>
      <c r="AA965" s="90">
        <v>335</v>
      </c>
      <c r="AB965" s="89">
        <f t="shared" si="337"/>
        <v>324</v>
      </c>
      <c r="AC965" s="89">
        <f t="shared" si="338"/>
        <v>335</v>
      </c>
      <c r="AD965" s="89">
        <f t="shared" si="339"/>
        <v>114</v>
      </c>
      <c r="AE965" s="90">
        <f t="shared" si="340"/>
        <v>324</v>
      </c>
      <c r="AF965" s="90">
        <f t="shared" si="341"/>
        <v>2015</v>
      </c>
      <c r="AG965" s="90">
        <f t="shared" si="342"/>
        <v>335</v>
      </c>
      <c r="AH965" s="90">
        <f t="shared" si="343"/>
        <v>2018</v>
      </c>
      <c r="AI965" s="90">
        <f t="shared" si="344"/>
        <v>114</v>
      </c>
      <c r="AJ965" s="90">
        <f t="shared" si="345"/>
        <v>2021</v>
      </c>
      <c r="AK965" s="90" t="str">
        <f t="shared" si="346"/>
        <v>Adjust</v>
      </c>
      <c r="AL965" s="91">
        <f>IF(AK965="Adjust",(_xlfn.XLOOKUP(A965,'Adj factor'!A:A,'Adj factor'!I:I,,0)*AI965),'Master DataSheet (Rev)'!AI965)</f>
        <v>146.38957816377172</v>
      </c>
      <c r="AM965" s="91">
        <f t="shared" si="347"/>
        <v>335</v>
      </c>
      <c r="AN965" s="92" t="str">
        <f t="shared" si="348"/>
        <v>Decreasing</v>
      </c>
      <c r="AS965" s="94">
        <f t="shared" si="349"/>
        <v>0.67465866488173498</v>
      </c>
      <c r="AT965" s="94">
        <f t="shared" si="350"/>
        <v>0.65753575227978456</v>
      </c>
      <c r="AU965" s="94">
        <f t="shared" si="352"/>
        <v>0.2623871892948651</v>
      </c>
      <c r="AV965" s="94">
        <f t="shared" si="353"/>
        <v>0.60045058887623115</v>
      </c>
    </row>
    <row r="966" spans="1:48" x14ac:dyDescent="0.3">
      <c r="A966" s="85" t="str">
        <f>_xlfn.XLOOKUP(B966,'Country codes &amp; Data sources'!G:G,'Country codes &amp; Data sources'!H:H,,0)</f>
        <v>Central African Republic</v>
      </c>
      <c r="B966" s="85" t="s">
        <v>152</v>
      </c>
      <c r="C966" s="85">
        <v>4773306.5</v>
      </c>
      <c r="D966" s="85" t="s">
        <v>327</v>
      </c>
      <c r="E966" s="86">
        <v>0</v>
      </c>
      <c r="F966" s="86">
        <v>4802428.5000000102</v>
      </c>
      <c r="G966" s="86">
        <v>0</v>
      </c>
      <c r="H966" s="86"/>
      <c r="I966" s="86">
        <v>0</v>
      </c>
      <c r="J966" s="86"/>
      <c r="K966" s="86">
        <v>0</v>
      </c>
      <c r="L966" s="86"/>
      <c r="M966" s="86">
        <v>0</v>
      </c>
      <c r="N966" s="86"/>
      <c r="O966" s="86">
        <v>0</v>
      </c>
      <c r="P966" s="86">
        <v>5094779.9999999991</v>
      </c>
      <c r="Q966" s="86">
        <v>263</v>
      </c>
      <c r="R966" s="87">
        <f t="shared" si="351"/>
        <v>263</v>
      </c>
      <c r="T966" s="87">
        <v>0</v>
      </c>
      <c r="U966" s="89"/>
      <c r="V966" s="89">
        <v>0</v>
      </c>
      <c r="W966" s="90"/>
      <c r="X966" s="90">
        <v>108</v>
      </c>
      <c r="Y966" s="90">
        <v>5579143.5000000047</v>
      </c>
      <c r="Z966" s="90">
        <v>0</v>
      </c>
      <c r="AA966" s="90">
        <v>263</v>
      </c>
      <c r="AB966" s="89">
        <f t="shared" si="337"/>
        <v>0</v>
      </c>
      <c r="AC966" s="89">
        <f t="shared" si="338"/>
        <v>263</v>
      </c>
      <c r="AD966" s="89">
        <f t="shared" si="339"/>
        <v>108</v>
      </c>
      <c r="AF966" s="90" t="str">
        <f t="shared" si="341"/>
        <v/>
      </c>
      <c r="AG966" s="90">
        <f t="shared" si="342"/>
        <v>263</v>
      </c>
      <c r="AH966" s="90">
        <f t="shared" si="343"/>
        <v>2018</v>
      </c>
      <c r="AI966" s="90">
        <f t="shared" si="344"/>
        <v>108</v>
      </c>
      <c r="AJ966" s="90">
        <f t="shared" si="345"/>
        <v>2021</v>
      </c>
      <c r="AK966" s="90" t="str">
        <f t="shared" si="346"/>
        <v>Adjust</v>
      </c>
      <c r="AL966" s="91">
        <f>IF(AK966="Adjust",(_xlfn.XLOOKUP(A966,'Adj factor'!A:A,'Adj factor'!I:I,,0)*AI966),'Master DataSheet (Rev)'!AI966)</f>
        <v>138.6848635235732</v>
      </c>
      <c r="AM966" s="91">
        <f t="shared" si="347"/>
        <v>263</v>
      </c>
      <c r="AN966" s="92" t="str">
        <f t="shared" si="348"/>
        <v>Decreasing</v>
      </c>
      <c r="AS966" s="94">
        <f t="shared" si="349"/>
        <v>0</v>
      </c>
      <c r="AT966" s="94">
        <f t="shared" si="350"/>
        <v>0.5162146353718905</v>
      </c>
      <c r="AU966" s="94">
        <f t="shared" si="352"/>
        <v>0.24857733722671424</v>
      </c>
      <c r="AV966" s="94">
        <f t="shared" si="353"/>
        <v>0.47139852201327997</v>
      </c>
    </row>
    <row r="967" spans="1:48" x14ac:dyDescent="0.3">
      <c r="A967" s="85" t="str">
        <f>_xlfn.XLOOKUP(B967,'Country codes &amp; Data sources'!G:G,'Country codes &amp; Data sources'!H:H,,0)</f>
        <v>Central African Republic</v>
      </c>
      <c r="B967" s="85" t="s">
        <v>152</v>
      </c>
      <c r="C967" s="85">
        <v>4773307.5</v>
      </c>
      <c r="D967" s="85" t="s">
        <v>328</v>
      </c>
      <c r="E967" s="86">
        <v>0</v>
      </c>
      <c r="F967" s="86">
        <v>4802428.5000000102</v>
      </c>
      <c r="G967" s="86">
        <v>0</v>
      </c>
      <c r="H967" s="86"/>
      <c r="I967" s="86">
        <v>0</v>
      </c>
      <c r="J967" s="86"/>
      <c r="K967" s="86">
        <v>38</v>
      </c>
      <c r="L967" s="86"/>
      <c r="M967" s="86">
        <v>0</v>
      </c>
      <c r="N967" s="86"/>
      <c r="O967" s="86">
        <v>0</v>
      </c>
      <c r="P967" s="86">
        <v>5094779.9999999991</v>
      </c>
      <c r="Q967" s="86">
        <v>72</v>
      </c>
      <c r="R967" s="87">
        <f t="shared" si="351"/>
        <v>72</v>
      </c>
      <c r="T967" s="87">
        <v>0</v>
      </c>
      <c r="U967" s="89"/>
      <c r="V967" s="89">
        <v>0</v>
      </c>
      <c r="W967" s="90"/>
      <c r="X967" s="90">
        <v>4</v>
      </c>
      <c r="Y967" s="90">
        <v>5579143.5000000047</v>
      </c>
      <c r="Z967" s="90">
        <v>0</v>
      </c>
      <c r="AA967" s="90">
        <v>72</v>
      </c>
      <c r="AB967" s="89">
        <f t="shared" si="337"/>
        <v>38</v>
      </c>
      <c r="AC967" s="89">
        <f t="shared" si="338"/>
        <v>72</v>
      </c>
      <c r="AD967" s="89">
        <f t="shared" si="339"/>
        <v>4</v>
      </c>
      <c r="AE967" s="90">
        <f t="shared" si="340"/>
        <v>38</v>
      </c>
      <c r="AF967" s="90">
        <f t="shared" si="341"/>
        <v>2015</v>
      </c>
      <c r="AG967" s="90">
        <f t="shared" si="342"/>
        <v>72</v>
      </c>
      <c r="AH967" s="90">
        <f t="shared" si="343"/>
        <v>2018</v>
      </c>
      <c r="AI967" s="90">
        <f t="shared" si="344"/>
        <v>4</v>
      </c>
      <c r="AJ967" s="90">
        <f t="shared" si="345"/>
        <v>2021</v>
      </c>
      <c r="AK967" s="90" t="str">
        <f t="shared" si="346"/>
        <v>Adjust</v>
      </c>
      <c r="AL967" s="91">
        <f>IF(AK967="Adjust",(_xlfn.XLOOKUP(A967,'Adj factor'!A:A,'Adj factor'!I:I,,0)*AI967),'Master DataSheet (Rev)'!AI967)</f>
        <v>5.1364764267990077</v>
      </c>
      <c r="AM967" s="91">
        <f t="shared" si="347"/>
        <v>72</v>
      </c>
      <c r="AN967" s="92" t="str">
        <f t="shared" si="348"/>
        <v>Decreasing</v>
      </c>
      <c r="AS967" s="94">
        <f t="shared" si="349"/>
        <v>7.9126633535512123E-2</v>
      </c>
      <c r="AT967" s="94">
        <f t="shared" si="350"/>
        <v>0.14132111690789398</v>
      </c>
      <c r="AU967" s="94">
        <f t="shared" si="352"/>
        <v>9.2065680454338616E-3</v>
      </c>
      <c r="AV967" s="94">
        <f t="shared" si="353"/>
        <v>0.12905206686295118</v>
      </c>
    </row>
    <row r="968" spans="1:48" x14ac:dyDescent="0.3">
      <c r="A968" s="85" t="str">
        <f>_xlfn.XLOOKUP(B968,'Country codes &amp; Data sources'!G:G,'Country codes &amp; Data sources'!H:H,,0)</f>
        <v>Central African Republic</v>
      </c>
      <c r="B968" s="85" t="s">
        <v>152</v>
      </c>
      <c r="C968" s="85">
        <v>4773308.5</v>
      </c>
      <c r="D968" s="85" t="s">
        <v>329</v>
      </c>
      <c r="E968" s="86">
        <v>0</v>
      </c>
      <c r="F968" s="86">
        <v>4802428.5000000102</v>
      </c>
      <c r="G968" s="86">
        <v>0</v>
      </c>
      <c r="H968" s="86"/>
      <c r="I968" s="86">
        <v>0</v>
      </c>
      <c r="J968" s="86"/>
      <c r="K968" s="86">
        <v>322</v>
      </c>
      <c r="L968" s="86"/>
      <c r="M968" s="86">
        <v>0</v>
      </c>
      <c r="N968" s="86"/>
      <c r="O968" s="86">
        <v>0</v>
      </c>
      <c r="P968" s="86">
        <v>5094779.9999999991</v>
      </c>
      <c r="Q968" s="86">
        <v>1195</v>
      </c>
      <c r="R968" s="87">
        <f t="shared" si="351"/>
        <v>1195</v>
      </c>
      <c r="T968" s="87">
        <v>0</v>
      </c>
      <c r="U968" s="89"/>
      <c r="V968" s="89">
        <v>0</v>
      </c>
      <c r="W968" s="90"/>
      <c r="X968" s="90">
        <v>505</v>
      </c>
      <c r="Y968" s="90">
        <v>5579143.5000000047</v>
      </c>
      <c r="Z968" s="90">
        <v>0</v>
      </c>
      <c r="AA968" s="90">
        <v>751</v>
      </c>
      <c r="AB968" s="89">
        <f t="shared" si="337"/>
        <v>322</v>
      </c>
      <c r="AC968" s="89">
        <f t="shared" si="338"/>
        <v>1195</v>
      </c>
      <c r="AD968" s="89">
        <f t="shared" si="339"/>
        <v>505</v>
      </c>
      <c r="AE968" s="90">
        <f t="shared" si="340"/>
        <v>322</v>
      </c>
      <c r="AF968" s="90">
        <f t="shared" si="341"/>
        <v>2015</v>
      </c>
      <c r="AG968" s="90">
        <f t="shared" si="342"/>
        <v>1195</v>
      </c>
      <c r="AH968" s="90">
        <f t="shared" si="343"/>
        <v>2018</v>
      </c>
      <c r="AI968" s="90">
        <f t="shared" si="344"/>
        <v>505</v>
      </c>
      <c r="AJ968" s="90">
        <f t="shared" si="345"/>
        <v>2021</v>
      </c>
      <c r="AK968" s="90" t="str">
        <f t="shared" si="346"/>
        <v>Adjust</v>
      </c>
      <c r="AL968" s="91">
        <f>IF(AK968="Adjust",(_xlfn.XLOOKUP(A968,'Adj factor'!A:A,'Adj factor'!I:I,,0)*AI968),'Master DataSheet (Rev)'!AI968)</f>
        <v>648.48014888337468</v>
      </c>
      <c r="AM968" s="91">
        <f t="shared" si="347"/>
        <v>1195</v>
      </c>
      <c r="AN968" s="92" t="str">
        <f t="shared" si="348"/>
        <v>Decreasing</v>
      </c>
      <c r="AS968" s="94">
        <f t="shared" si="349"/>
        <v>0.67049410522197117</v>
      </c>
      <c r="AT968" s="94">
        <f t="shared" si="350"/>
        <v>2.3455379820129627</v>
      </c>
      <c r="AU968" s="94">
        <f t="shared" si="352"/>
        <v>1.162329215736025</v>
      </c>
      <c r="AV968" s="94">
        <f t="shared" si="353"/>
        <v>2.141905831961481</v>
      </c>
    </row>
    <row r="969" spans="1:48" x14ac:dyDescent="0.3">
      <c r="A969" s="85" t="str">
        <f>_xlfn.XLOOKUP(B969,'Country codes &amp; Data sources'!G:G,'Country codes &amp; Data sources'!H:H,,0)</f>
        <v>Central African Republic</v>
      </c>
      <c r="B969" s="85" t="s">
        <v>152</v>
      </c>
      <c r="C969" s="85">
        <v>4773309.5</v>
      </c>
      <c r="D969" s="85" t="s">
        <v>330</v>
      </c>
      <c r="E969" s="86">
        <v>0</v>
      </c>
      <c r="F969" s="86">
        <v>4802428.5000000102</v>
      </c>
      <c r="G969" s="86">
        <v>0</v>
      </c>
      <c r="H969" s="86"/>
      <c r="I969" s="86">
        <v>0</v>
      </c>
      <c r="J969" s="86"/>
      <c r="K969" s="86">
        <v>0</v>
      </c>
      <c r="L969" s="86"/>
      <c r="M969" s="86">
        <v>0</v>
      </c>
      <c r="N969" s="86"/>
      <c r="O969" s="86">
        <v>0</v>
      </c>
      <c r="P969" s="86">
        <v>5094779.9999999991</v>
      </c>
      <c r="Q969" s="86">
        <v>0</v>
      </c>
      <c r="R969" s="87">
        <f t="shared" si="351"/>
        <v>426</v>
      </c>
      <c r="T969" s="87">
        <v>0</v>
      </c>
      <c r="U969" s="89"/>
      <c r="V969" s="89">
        <v>0</v>
      </c>
      <c r="W969" s="90"/>
      <c r="X969" s="90">
        <v>249</v>
      </c>
      <c r="Y969" s="90">
        <v>5579143.5000000047</v>
      </c>
      <c r="Z969" s="90">
        <v>0</v>
      </c>
      <c r="AA969" s="90">
        <v>426</v>
      </c>
      <c r="AB969" s="89">
        <f t="shared" si="337"/>
        <v>0</v>
      </c>
      <c r="AC969" s="89">
        <f t="shared" si="338"/>
        <v>0</v>
      </c>
      <c r="AD969" s="89">
        <f t="shared" si="339"/>
        <v>249</v>
      </c>
      <c r="AF969" s="90" t="str">
        <f t="shared" si="341"/>
        <v/>
      </c>
      <c r="AG969" s="90">
        <f t="shared" si="342"/>
        <v>426</v>
      </c>
      <c r="AH969" s="90" t="str">
        <f t="shared" si="343"/>
        <v>2018 (triag)</v>
      </c>
      <c r="AI969" s="90">
        <f t="shared" si="344"/>
        <v>249</v>
      </c>
      <c r="AJ969" s="90">
        <f t="shared" si="345"/>
        <v>2021</v>
      </c>
      <c r="AK969" s="90" t="str">
        <f t="shared" si="346"/>
        <v>Adjust</v>
      </c>
      <c r="AL969" s="91">
        <f>IF(AK969="Adjust",(_xlfn.XLOOKUP(A969,'Adj factor'!A:A,'Adj factor'!I:I,,0)*AI969),'Master DataSheet (Rev)'!AI969)</f>
        <v>319.74565756823824</v>
      </c>
      <c r="AM969" s="91">
        <f t="shared" si="347"/>
        <v>426</v>
      </c>
      <c r="AN969" s="92" t="str">
        <f t="shared" si="348"/>
        <v>Decreasing</v>
      </c>
      <c r="AS969" s="94">
        <f t="shared" si="349"/>
        <v>0</v>
      </c>
      <c r="AT969" s="94">
        <f t="shared" si="350"/>
        <v>0.83614994170503942</v>
      </c>
      <c r="AU969" s="94">
        <f t="shared" si="352"/>
        <v>0.57310886082825796</v>
      </c>
      <c r="AV969" s="94">
        <f t="shared" si="353"/>
        <v>0.76355806227246104</v>
      </c>
    </row>
    <row r="970" spans="1:48" x14ac:dyDescent="0.3">
      <c r="A970" s="85" t="str">
        <f>_xlfn.XLOOKUP(B970,'Country codes &amp; Data sources'!G:G,'Country codes &amp; Data sources'!H:H,,0)</f>
        <v>Central African Republic</v>
      </c>
      <c r="B970" s="85" t="s">
        <v>152</v>
      </c>
      <c r="C970" s="85">
        <v>4773310.5</v>
      </c>
      <c r="D970" s="85" t="s">
        <v>331</v>
      </c>
      <c r="E970" s="86">
        <v>0</v>
      </c>
      <c r="F970" s="86">
        <v>4802428.5000000102</v>
      </c>
      <c r="G970" s="86">
        <v>0</v>
      </c>
      <c r="H970" s="86"/>
      <c r="I970" s="86">
        <v>0</v>
      </c>
      <c r="J970" s="86"/>
      <c r="K970" s="86">
        <v>0</v>
      </c>
      <c r="L970" s="86"/>
      <c r="M970" s="86">
        <v>0</v>
      </c>
      <c r="N970" s="86"/>
      <c r="O970" s="86">
        <v>0</v>
      </c>
      <c r="P970" s="86">
        <v>5094779.9999999991</v>
      </c>
      <c r="Q970" s="86">
        <v>0</v>
      </c>
      <c r="R970" s="87">
        <f t="shared" si="351"/>
        <v>325</v>
      </c>
      <c r="T970" s="87">
        <v>0</v>
      </c>
      <c r="U970" s="89"/>
      <c r="V970" s="89">
        <v>0</v>
      </c>
      <c r="W970" s="90"/>
      <c r="X970" s="90">
        <v>1</v>
      </c>
      <c r="Y970" s="90">
        <v>5579143.5000000047</v>
      </c>
      <c r="Z970" s="90">
        <v>0</v>
      </c>
      <c r="AA970" s="90">
        <v>325</v>
      </c>
      <c r="AB970" s="89">
        <f t="shared" si="337"/>
        <v>0</v>
      </c>
      <c r="AC970" s="89">
        <f t="shared" si="338"/>
        <v>0</v>
      </c>
      <c r="AD970" s="89">
        <f t="shared" si="339"/>
        <v>1</v>
      </c>
      <c r="AF970" s="90" t="str">
        <f t="shared" si="341"/>
        <v/>
      </c>
      <c r="AG970" s="90">
        <f t="shared" si="342"/>
        <v>325</v>
      </c>
      <c r="AH970" s="90" t="str">
        <f t="shared" si="343"/>
        <v>2018 (triag)</v>
      </c>
      <c r="AI970" s="90">
        <f t="shared" si="344"/>
        <v>1</v>
      </c>
      <c r="AJ970" s="90">
        <f t="shared" si="345"/>
        <v>2021</v>
      </c>
      <c r="AK970" s="90" t="str">
        <f t="shared" si="346"/>
        <v>Adjust</v>
      </c>
      <c r="AL970" s="91">
        <f>IF(AK970="Adjust",(_xlfn.XLOOKUP(A970,'Adj factor'!A:A,'Adj factor'!I:I,,0)*AI970),'Master DataSheet (Rev)'!AI970)</f>
        <v>1.2841191066997519</v>
      </c>
      <c r="AM970" s="91">
        <f t="shared" si="347"/>
        <v>325</v>
      </c>
      <c r="AN970" s="92" t="str">
        <f t="shared" si="348"/>
        <v>Decreasing</v>
      </c>
      <c r="AS970" s="94">
        <f t="shared" si="349"/>
        <v>0</v>
      </c>
      <c r="AT970" s="94">
        <f t="shared" si="350"/>
        <v>0.63790781937591035</v>
      </c>
      <c r="AU970" s="94">
        <f t="shared" si="352"/>
        <v>2.3016420113584654E-3</v>
      </c>
      <c r="AV970" s="94">
        <f t="shared" si="353"/>
        <v>0.58252669070082119</v>
      </c>
    </row>
    <row r="971" spans="1:48" x14ac:dyDescent="0.3">
      <c r="A971" s="85" t="str">
        <f>_xlfn.XLOOKUP(B971,'Country codes &amp; Data sources'!G:G,'Country codes &amp; Data sources'!H:H,,0)</f>
        <v>Central African Republic</v>
      </c>
      <c r="B971" s="85" t="s">
        <v>152</v>
      </c>
      <c r="C971" s="85">
        <v>4773311.5</v>
      </c>
      <c r="D971" s="85" t="s">
        <v>332</v>
      </c>
      <c r="E971" s="86">
        <v>0</v>
      </c>
      <c r="F971" s="86">
        <v>4802428.5000000102</v>
      </c>
      <c r="G971" s="86">
        <v>514</v>
      </c>
      <c r="H971" s="86"/>
      <c r="I971" s="86">
        <v>0</v>
      </c>
      <c r="J971" s="86"/>
      <c r="K971" s="86">
        <v>605</v>
      </c>
      <c r="L971" s="86"/>
      <c r="M971" s="86">
        <v>0</v>
      </c>
      <c r="N971" s="86"/>
      <c r="O971" s="86">
        <v>0</v>
      </c>
      <c r="P971" s="86">
        <v>5094779.9999999991</v>
      </c>
      <c r="Q971" s="86">
        <v>0</v>
      </c>
      <c r="R971" s="87">
        <f t="shared" si="351"/>
        <v>444</v>
      </c>
      <c r="T971" s="87">
        <v>0</v>
      </c>
      <c r="U971" s="89"/>
      <c r="V971" s="89">
        <v>0</v>
      </c>
      <c r="W971" s="90"/>
      <c r="X971" s="90">
        <v>537</v>
      </c>
      <c r="Y971" s="90">
        <v>5579143.5000000047</v>
      </c>
      <c r="Z971" s="90">
        <v>0</v>
      </c>
      <c r="AA971" s="90">
        <v>444</v>
      </c>
      <c r="AB971" s="89">
        <f t="shared" si="337"/>
        <v>605</v>
      </c>
      <c r="AC971" s="89">
        <f t="shared" si="338"/>
        <v>0</v>
      </c>
      <c r="AD971" s="89">
        <f t="shared" si="339"/>
        <v>537</v>
      </c>
      <c r="AE971" s="90">
        <f t="shared" si="340"/>
        <v>514</v>
      </c>
      <c r="AF971" s="90">
        <f t="shared" si="341"/>
        <v>2013</v>
      </c>
      <c r="AG971" s="90">
        <f t="shared" si="342"/>
        <v>444</v>
      </c>
      <c r="AH971" s="90" t="str">
        <f t="shared" si="343"/>
        <v>2018 (triag)</v>
      </c>
      <c r="AI971" s="90">
        <f t="shared" si="344"/>
        <v>537</v>
      </c>
      <c r="AJ971" s="90">
        <f t="shared" si="345"/>
        <v>2021</v>
      </c>
      <c r="AK971" s="90" t="str">
        <f t="shared" si="346"/>
        <v/>
      </c>
      <c r="AL971" s="91">
        <f>IF(AK971="Adjust",(_xlfn.XLOOKUP(A971,'Adj factor'!A:A,'Adj factor'!I:I,,0)*AI971),'Master DataSheet (Rev)'!AI971)</f>
        <v>537</v>
      </c>
      <c r="AM971" s="91">
        <f t="shared" si="347"/>
        <v>537</v>
      </c>
      <c r="AN971" s="92" t="str">
        <f t="shared" si="348"/>
        <v>Increasing</v>
      </c>
      <c r="AS971" s="94">
        <f t="shared" si="349"/>
        <v>1.0702918325592956</v>
      </c>
      <c r="AT971" s="94">
        <f t="shared" si="350"/>
        <v>0.87148022093201294</v>
      </c>
      <c r="AU971" s="94">
        <f t="shared" si="352"/>
        <v>0.96251333201951084</v>
      </c>
      <c r="AV971" s="94">
        <f t="shared" si="353"/>
        <v>0.96251333201951084</v>
      </c>
    </row>
    <row r="972" spans="1:48" x14ac:dyDescent="0.3">
      <c r="A972" s="85" t="str">
        <f>_xlfn.XLOOKUP(B972,'Country codes &amp; Data sources'!G:G,'Country codes &amp; Data sources'!H:H,,0)</f>
        <v>Central African Republic</v>
      </c>
      <c r="B972" s="85" t="s">
        <v>152</v>
      </c>
      <c r="C972" s="85">
        <v>4773312.5</v>
      </c>
      <c r="D972" s="85" t="s">
        <v>333</v>
      </c>
      <c r="E972" s="86">
        <v>0</v>
      </c>
      <c r="F972" s="86">
        <v>4802428.5000000102</v>
      </c>
      <c r="G972" s="86">
        <v>241</v>
      </c>
      <c r="H972" s="86"/>
      <c r="I972" s="86">
        <v>0</v>
      </c>
      <c r="J972" s="86"/>
      <c r="K972" s="86">
        <v>0</v>
      </c>
      <c r="L972" s="86"/>
      <c r="M972" s="86">
        <v>0</v>
      </c>
      <c r="N972" s="86"/>
      <c r="O972" s="86">
        <v>0</v>
      </c>
      <c r="P972" s="86">
        <v>5094779.9999999991</v>
      </c>
      <c r="Q972" s="86">
        <v>0</v>
      </c>
      <c r="R972" s="87">
        <f t="shared" si="351"/>
        <v>276</v>
      </c>
      <c r="T972" s="87">
        <v>0</v>
      </c>
      <c r="U972" s="89"/>
      <c r="V972" s="89">
        <v>0</v>
      </c>
      <c r="W972" s="90"/>
      <c r="X972" s="90">
        <v>130</v>
      </c>
      <c r="Y972" s="90">
        <v>5579143.5000000047</v>
      </c>
      <c r="Z972" s="90">
        <v>0</v>
      </c>
      <c r="AA972" s="90">
        <v>276</v>
      </c>
      <c r="AB972" s="89">
        <f t="shared" si="337"/>
        <v>241</v>
      </c>
      <c r="AC972" s="89">
        <f t="shared" si="338"/>
        <v>0</v>
      </c>
      <c r="AD972" s="89">
        <f t="shared" si="339"/>
        <v>130</v>
      </c>
      <c r="AE972" s="90">
        <f t="shared" si="340"/>
        <v>241</v>
      </c>
      <c r="AF972" s="90">
        <f t="shared" si="341"/>
        <v>2013</v>
      </c>
      <c r="AG972" s="90">
        <f t="shared" si="342"/>
        <v>276</v>
      </c>
      <c r="AH972" s="90" t="str">
        <f t="shared" si="343"/>
        <v>2018 (triag)</v>
      </c>
      <c r="AI972" s="90">
        <f t="shared" si="344"/>
        <v>130</v>
      </c>
      <c r="AJ972" s="90">
        <f t="shared" si="345"/>
        <v>2021</v>
      </c>
      <c r="AK972" s="90" t="str">
        <f t="shared" si="346"/>
        <v>Adjust</v>
      </c>
      <c r="AL972" s="91">
        <f>IF(AK972="Adjust",(_xlfn.XLOOKUP(A972,'Adj factor'!A:A,'Adj factor'!I:I,,0)*AI972),'Master DataSheet (Rev)'!AI972)</f>
        <v>166.93548387096774</v>
      </c>
      <c r="AM972" s="91">
        <f t="shared" si="347"/>
        <v>276</v>
      </c>
      <c r="AN972" s="92" t="str">
        <f t="shared" si="348"/>
        <v>Decreasing</v>
      </c>
      <c r="AS972" s="94">
        <f t="shared" si="349"/>
        <v>0.50182943900153743</v>
      </c>
      <c r="AT972" s="94">
        <f t="shared" si="350"/>
        <v>0.54173094814692691</v>
      </c>
      <c r="AU972" s="94">
        <f t="shared" si="352"/>
        <v>0.2992134614766005</v>
      </c>
      <c r="AV972" s="94">
        <f t="shared" si="353"/>
        <v>0.49469958964131283</v>
      </c>
    </row>
    <row r="973" spans="1:48" x14ac:dyDescent="0.3">
      <c r="A973" s="85" t="str">
        <f>_xlfn.XLOOKUP(B973,'Country codes &amp; Data sources'!G:G,'Country codes &amp; Data sources'!H:H,,0)</f>
        <v>Central African Republic</v>
      </c>
      <c r="B973" s="85" t="s">
        <v>152</v>
      </c>
      <c r="C973" s="85">
        <v>4773313.5</v>
      </c>
      <c r="D973" s="85" t="s">
        <v>334</v>
      </c>
      <c r="E973" s="86">
        <v>0</v>
      </c>
      <c r="F973" s="86">
        <v>4802428.5000000102</v>
      </c>
      <c r="G973" s="86">
        <v>273</v>
      </c>
      <c r="H973" s="86"/>
      <c r="I973" s="86">
        <v>0</v>
      </c>
      <c r="J973" s="86"/>
      <c r="K973" s="86">
        <v>0</v>
      </c>
      <c r="L973" s="86"/>
      <c r="M973" s="86">
        <v>0</v>
      </c>
      <c r="N973" s="86"/>
      <c r="O973" s="86">
        <v>0</v>
      </c>
      <c r="P973" s="86">
        <v>5094779.9999999991</v>
      </c>
      <c r="Q973" s="86">
        <v>0</v>
      </c>
      <c r="R973" s="87">
        <f t="shared" si="351"/>
        <v>168</v>
      </c>
      <c r="T973" s="87">
        <v>0</v>
      </c>
      <c r="U973" s="89"/>
      <c r="V973" s="89">
        <v>0</v>
      </c>
      <c r="W973" s="90"/>
      <c r="X973" s="90">
        <v>197</v>
      </c>
      <c r="Y973" s="90">
        <v>5579143.5000000047</v>
      </c>
      <c r="Z973" s="90">
        <v>0</v>
      </c>
      <c r="AA973" s="90">
        <v>168</v>
      </c>
      <c r="AB973" s="89">
        <f t="shared" si="337"/>
        <v>273</v>
      </c>
      <c r="AC973" s="89">
        <f t="shared" si="338"/>
        <v>0</v>
      </c>
      <c r="AD973" s="89">
        <f t="shared" si="339"/>
        <v>197</v>
      </c>
      <c r="AE973" s="90">
        <f t="shared" si="340"/>
        <v>273</v>
      </c>
      <c r="AF973" s="90">
        <f t="shared" si="341"/>
        <v>2013</v>
      </c>
      <c r="AG973" s="90">
        <f t="shared" si="342"/>
        <v>168</v>
      </c>
      <c r="AH973" s="90" t="str">
        <f t="shared" si="343"/>
        <v>2018 (triag)</v>
      </c>
      <c r="AI973" s="90">
        <f t="shared" si="344"/>
        <v>197</v>
      </c>
      <c r="AJ973" s="90">
        <f t="shared" si="345"/>
        <v>2021</v>
      </c>
      <c r="AK973" s="90" t="str">
        <f t="shared" si="346"/>
        <v/>
      </c>
      <c r="AL973" s="91">
        <f>IF(AK973="Adjust",(_xlfn.XLOOKUP(A973,'Adj factor'!A:A,'Adj factor'!I:I,,0)*AI973),'Master DataSheet (Rev)'!AI973)</f>
        <v>197</v>
      </c>
      <c r="AM973" s="91">
        <f t="shared" si="347"/>
        <v>197</v>
      </c>
      <c r="AN973" s="92" t="str">
        <f t="shared" si="348"/>
        <v>Increasing</v>
      </c>
      <c r="AS973" s="94">
        <f t="shared" si="349"/>
        <v>0.56846239355775818</v>
      </c>
      <c r="AT973" s="94">
        <f t="shared" si="350"/>
        <v>0.32974927278508598</v>
      </c>
      <c r="AU973" s="94">
        <f t="shared" si="352"/>
        <v>0.35310079405557471</v>
      </c>
      <c r="AV973" s="94">
        <f t="shared" si="353"/>
        <v>0.35310079405557471</v>
      </c>
    </row>
    <row r="974" spans="1:48" x14ac:dyDescent="0.3">
      <c r="A974" s="85" t="str">
        <f>_xlfn.XLOOKUP(B974,'Country codes &amp; Data sources'!G:G,'Country codes &amp; Data sources'!H:H,,0)</f>
        <v>Central African Republic</v>
      </c>
      <c r="B974" s="85" t="s">
        <v>152</v>
      </c>
      <c r="C974" s="85">
        <v>4773314.5</v>
      </c>
      <c r="D974" s="85" t="s">
        <v>335</v>
      </c>
      <c r="E974" s="86">
        <v>0</v>
      </c>
      <c r="F974" s="86">
        <v>4802428.5000000102</v>
      </c>
      <c r="G974" s="86">
        <v>0</v>
      </c>
      <c r="H974" s="86"/>
      <c r="I974" s="86">
        <v>0</v>
      </c>
      <c r="J974" s="86"/>
      <c r="K974" s="86">
        <v>20</v>
      </c>
      <c r="L974" s="86"/>
      <c r="M974" s="86">
        <v>0</v>
      </c>
      <c r="N974" s="86"/>
      <c r="O974" s="86">
        <v>0</v>
      </c>
      <c r="P974" s="86">
        <v>5094779.9999999991</v>
      </c>
      <c r="Q974" s="86">
        <v>36</v>
      </c>
      <c r="R974" s="87">
        <f t="shared" si="351"/>
        <v>36</v>
      </c>
      <c r="T974" s="87">
        <v>0</v>
      </c>
      <c r="U974" s="89"/>
      <c r="V974" s="89">
        <v>0</v>
      </c>
      <c r="W974" s="90"/>
      <c r="X974" s="90">
        <v>2</v>
      </c>
      <c r="Y974" s="90">
        <v>5579143.5000000047</v>
      </c>
      <c r="Z974" s="90">
        <v>0</v>
      </c>
      <c r="AA974" s="90">
        <v>36</v>
      </c>
      <c r="AB974" s="89">
        <f t="shared" si="337"/>
        <v>20</v>
      </c>
      <c r="AC974" s="89">
        <f t="shared" si="338"/>
        <v>36</v>
      </c>
      <c r="AD974" s="89">
        <f t="shared" si="339"/>
        <v>2</v>
      </c>
      <c r="AE974" s="90">
        <f t="shared" si="340"/>
        <v>20</v>
      </c>
      <c r="AF974" s="90">
        <f t="shared" si="341"/>
        <v>2015</v>
      </c>
      <c r="AG974" s="90">
        <f t="shared" si="342"/>
        <v>36</v>
      </c>
      <c r="AH974" s="90">
        <f t="shared" si="343"/>
        <v>2018</v>
      </c>
      <c r="AI974" s="90">
        <f t="shared" si="344"/>
        <v>2</v>
      </c>
      <c r="AJ974" s="90">
        <f t="shared" si="345"/>
        <v>2021</v>
      </c>
      <c r="AK974" s="90" t="str">
        <f t="shared" si="346"/>
        <v>Adjust</v>
      </c>
      <c r="AL974" s="91">
        <f>IF(AK974="Adjust",(_xlfn.XLOOKUP(A974,'Adj factor'!A:A,'Adj factor'!I:I,,0)*AI974),'Master DataSheet (Rev)'!AI974)</f>
        <v>2.5682382133995039</v>
      </c>
      <c r="AM974" s="91">
        <f t="shared" si="347"/>
        <v>36</v>
      </c>
      <c r="AN974" s="92" t="str">
        <f t="shared" si="348"/>
        <v>Decreasing</v>
      </c>
      <c r="AS974" s="94">
        <f t="shared" si="349"/>
        <v>4.164559659763796E-2</v>
      </c>
      <c r="AT974" s="94">
        <f t="shared" si="350"/>
        <v>7.0660558453946989E-2</v>
      </c>
      <c r="AU974" s="94">
        <f t="shared" si="352"/>
        <v>4.6032840227169308E-3</v>
      </c>
      <c r="AV974" s="94">
        <f t="shared" si="353"/>
        <v>6.4526033431475588E-2</v>
      </c>
    </row>
    <row r="975" spans="1:48" x14ac:dyDescent="0.3">
      <c r="A975" s="85" t="str">
        <f>_xlfn.XLOOKUP(B975,'Country codes &amp; Data sources'!G:G,'Country codes &amp; Data sources'!H:H,,0)</f>
        <v>Central African Republic</v>
      </c>
      <c r="B975" s="85" t="s">
        <v>152</v>
      </c>
      <c r="C975" s="85">
        <v>4773315.5</v>
      </c>
      <c r="D975" s="85" t="s">
        <v>336</v>
      </c>
      <c r="E975" s="86">
        <v>0</v>
      </c>
      <c r="F975" s="86">
        <v>4802428.5000000102</v>
      </c>
      <c r="G975" s="86">
        <v>0</v>
      </c>
      <c r="H975" s="86"/>
      <c r="I975" s="86">
        <v>0</v>
      </c>
      <c r="J975" s="86"/>
      <c r="K975" s="86">
        <v>0</v>
      </c>
      <c r="L975" s="86"/>
      <c r="M975" s="86">
        <v>0</v>
      </c>
      <c r="N975" s="86"/>
      <c r="O975" s="86">
        <v>0</v>
      </c>
      <c r="P975" s="86">
        <v>5094779.9999999991</v>
      </c>
      <c r="Q975" s="86">
        <v>0</v>
      </c>
      <c r="R975" s="87">
        <f t="shared" si="351"/>
        <v>0</v>
      </c>
      <c r="T975" s="87">
        <v>0</v>
      </c>
      <c r="U975" s="89"/>
      <c r="V975" s="89">
        <v>0</v>
      </c>
      <c r="W975" s="90"/>
      <c r="X975" s="90">
        <v>0</v>
      </c>
      <c r="Y975" s="90">
        <v>5579143.5000000047</v>
      </c>
      <c r="Z975" s="90">
        <v>0</v>
      </c>
      <c r="AA975" s="90">
        <v>0</v>
      </c>
      <c r="AB975" s="89">
        <f t="shared" si="337"/>
        <v>0</v>
      </c>
      <c r="AC975" s="89">
        <f t="shared" si="338"/>
        <v>0</v>
      </c>
      <c r="AD975" s="89">
        <f t="shared" si="339"/>
        <v>0</v>
      </c>
      <c r="AF975" s="90" t="str">
        <f t="shared" si="341"/>
        <v/>
      </c>
      <c r="AH975" s="90" t="str">
        <f t="shared" si="343"/>
        <v/>
      </c>
      <c r="AI975" s="90">
        <f t="shared" si="344"/>
        <v>0</v>
      </c>
      <c r="AJ975" s="90" t="str">
        <f t="shared" si="345"/>
        <v/>
      </c>
      <c r="AK975" s="90" t="str">
        <f t="shared" si="346"/>
        <v/>
      </c>
      <c r="AL975" s="91"/>
      <c r="AM975" s="91">
        <f t="shared" si="347"/>
        <v>0</v>
      </c>
      <c r="AN975" s="92" t="str">
        <f t="shared" si="348"/>
        <v>No change</v>
      </c>
      <c r="AS975" s="94">
        <f t="shared" si="349"/>
        <v>0</v>
      </c>
      <c r="AT975" s="94">
        <f t="shared" si="350"/>
        <v>0</v>
      </c>
      <c r="AU975" s="94">
        <f t="shared" si="352"/>
        <v>0</v>
      </c>
      <c r="AV975" s="94">
        <f t="shared" si="353"/>
        <v>0</v>
      </c>
    </row>
    <row r="976" spans="1:48" x14ac:dyDescent="0.3">
      <c r="A976" s="85" t="str">
        <f>_xlfn.XLOOKUP(B976,'Country codes &amp; Data sources'!G:G,'Country codes &amp; Data sources'!H:H,,0)</f>
        <v>Central African Republic</v>
      </c>
      <c r="B976" s="85" t="s">
        <v>152</v>
      </c>
      <c r="C976" s="85">
        <v>4773316.5</v>
      </c>
      <c r="D976" s="85" t="s">
        <v>337</v>
      </c>
      <c r="E976" s="86">
        <v>0</v>
      </c>
      <c r="F976" s="86">
        <v>4802428.5000000102</v>
      </c>
      <c r="G976" s="86">
        <v>0</v>
      </c>
      <c r="H976" s="86"/>
      <c r="I976" s="86">
        <v>0</v>
      </c>
      <c r="J976" s="86"/>
      <c r="K976" s="86">
        <v>0</v>
      </c>
      <c r="L976" s="86"/>
      <c r="M976" s="86">
        <v>0</v>
      </c>
      <c r="N976" s="86"/>
      <c r="O976" s="86">
        <v>0</v>
      </c>
      <c r="P976" s="86">
        <v>5094779.9999999991</v>
      </c>
      <c r="Q976" s="86">
        <v>10</v>
      </c>
      <c r="R976" s="87">
        <f t="shared" si="351"/>
        <v>10</v>
      </c>
      <c r="T976" s="87">
        <v>0</v>
      </c>
      <c r="U976" s="89"/>
      <c r="V976" s="89">
        <v>0</v>
      </c>
      <c r="W976" s="90"/>
      <c r="X976" s="90">
        <v>2</v>
      </c>
      <c r="Y976" s="90">
        <v>5579143.5000000047</v>
      </c>
      <c r="Z976" s="90">
        <v>0</v>
      </c>
      <c r="AA976" s="90">
        <v>3</v>
      </c>
      <c r="AB976" s="89">
        <f t="shared" si="337"/>
        <v>0</v>
      </c>
      <c r="AC976" s="89">
        <f t="shared" si="338"/>
        <v>10</v>
      </c>
      <c r="AD976" s="89">
        <f t="shared" si="339"/>
        <v>2</v>
      </c>
      <c r="AF976" s="90" t="str">
        <f t="shared" si="341"/>
        <v/>
      </c>
      <c r="AG976" s="90">
        <f t="shared" si="342"/>
        <v>10</v>
      </c>
      <c r="AH976" s="90">
        <f t="shared" si="343"/>
        <v>2018</v>
      </c>
      <c r="AI976" s="90">
        <f t="shared" si="344"/>
        <v>2</v>
      </c>
      <c r="AJ976" s="90">
        <f t="shared" si="345"/>
        <v>2021</v>
      </c>
      <c r="AK976" s="90" t="str">
        <f t="shared" si="346"/>
        <v>Adjust</v>
      </c>
      <c r="AL976" s="91">
        <f>IF(AK976="Adjust",(_xlfn.XLOOKUP(A976,'Adj factor'!A:A,'Adj factor'!I:I,,0)*AI976),'Master DataSheet (Rev)'!AI976)</f>
        <v>2.5682382133995039</v>
      </c>
      <c r="AM976" s="91">
        <f t="shared" si="347"/>
        <v>10</v>
      </c>
      <c r="AN976" s="92" t="str">
        <f t="shared" si="348"/>
        <v>Decreasing</v>
      </c>
      <c r="AS976" s="94">
        <f t="shared" si="349"/>
        <v>0</v>
      </c>
      <c r="AT976" s="94">
        <f t="shared" si="350"/>
        <v>1.9627932903874164E-2</v>
      </c>
      <c r="AU976" s="94">
        <f t="shared" si="352"/>
        <v>4.6032840227169308E-3</v>
      </c>
      <c r="AV976" s="94">
        <f t="shared" si="353"/>
        <v>1.7923898175409885E-2</v>
      </c>
    </row>
    <row r="977" spans="1:48" x14ac:dyDescent="0.3">
      <c r="A977" s="85" t="str">
        <f>_xlfn.XLOOKUP(B977,'Country codes &amp; Data sources'!G:G,'Country codes &amp; Data sources'!H:H,,0)</f>
        <v>Central African Republic</v>
      </c>
      <c r="B977" s="85" t="s">
        <v>152</v>
      </c>
      <c r="C977" s="85">
        <v>4773317.5</v>
      </c>
      <c r="D977" s="85" t="s">
        <v>338</v>
      </c>
      <c r="E977" s="86">
        <v>0</v>
      </c>
      <c r="F977" s="86">
        <v>4802428.5000000102</v>
      </c>
      <c r="G977" s="86">
        <v>0</v>
      </c>
      <c r="H977" s="86"/>
      <c r="I977" s="86">
        <v>0</v>
      </c>
      <c r="J977" s="86"/>
      <c r="K977" s="86">
        <v>0</v>
      </c>
      <c r="L977" s="86"/>
      <c r="M977" s="86">
        <v>0</v>
      </c>
      <c r="N977" s="86"/>
      <c r="O977" s="86">
        <v>0</v>
      </c>
      <c r="P977" s="86">
        <v>5094779.9999999991</v>
      </c>
      <c r="Q977" s="86">
        <v>0</v>
      </c>
      <c r="R977" s="87">
        <f t="shared" si="351"/>
        <v>7</v>
      </c>
      <c r="T977" s="87">
        <v>0</v>
      </c>
      <c r="U977" s="89"/>
      <c r="V977" s="89">
        <v>0</v>
      </c>
      <c r="W977" s="90"/>
      <c r="X977" s="90">
        <v>0</v>
      </c>
      <c r="Y977" s="90">
        <v>5579143.5000000047</v>
      </c>
      <c r="Z977" s="90">
        <v>0</v>
      </c>
      <c r="AA977" s="90">
        <v>7</v>
      </c>
      <c r="AB977" s="89">
        <f t="shared" si="337"/>
        <v>0</v>
      </c>
      <c r="AC977" s="89">
        <f t="shared" si="338"/>
        <v>0</v>
      </c>
      <c r="AD977" s="89">
        <f t="shared" si="339"/>
        <v>0</v>
      </c>
      <c r="AF977" s="90" t="str">
        <f t="shared" si="341"/>
        <v/>
      </c>
      <c r="AG977" s="90">
        <f t="shared" si="342"/>
        <v>7</v>
      </c>
      <c r="AH977" s="90" t="str">
        <f t="shared" si="343"/>
        <v>2018 (triag)</v>
      </c>
      <c r="AI977" s="90">
        <f t="shared" si="344"/>
        <v>7</v>
      </c>
      <c r="AJ977" s="90" t="str">
        <f t="shared" si="345"/>
        <v>2018 (triag)</v>
      </c>
      <c r="AK977" s="90" t="str">
        <f t="shared" si="346"/>
        <v/>
      </c>
      <c r="AL977" s="91">
        <f>IF(AK977="Adjust",(_xlfn.XLOOKUP(A977,'Adj factor'!A:A,'Adj factor'!I:I,,0)*AI977),'Master DataSheet (Rev)'!AI977)</f>
        <v>7</v>
      </c>
      <c r="AM977" s="91">
        <f t="shared" si="347"/>
        <v>7</v>
      </c>
      <c r="AN977" s="92" t="str">
        <f t="shared" si="348"/>
        <v>No change</v>
      </c>
      <c r="AS977" s="94">
        <f t="shared" si="349"/>
        <v>0</v>
      </c>
      <c r="AT977" s="94">
        <f t="shared" si="350"/>
        <v>1.3739553032711916E-2</v>
      </c>
      <c r="AU977" s="94">
        <f t="shared" si="352"/>
        <v>1.2546728722786919E-2</v>
      </c>
      <c r="AV977" s="94">
        <f t="shared" si="353"/>
        <v>1.2546728722786919E-2</v>
      </c>
    </row>
    <row r="978" spans="1:48" x14ac:dyDescent="0.3">
      <c r="A978" s="85" t="str">
        <f>_xlfn.XLOOKUP(B978,'Country codes &amp; Data sources'!G:G,'Country codes &amp; Data sources'!H:H,,0)</f>
        <v>Central African Republic</v>
      </c>
      <c r="B978" s="85" t="s">
        <v>152</v>
      </c>
      <c r="C978" s="85">
        <v>4773318.5</v>
      </c>
      <c r="D978" s="85" t="s">
        <v>339</v>
      </c>
      <c r="E978" s="86">
        <v>0</v>
      </c>
      <c r="F978" s="86">
        <v>4802428.5000000102</v>
      </c>
      <c r="G978" s="86">
        <v>0</v>
      </c>
      <c r="H978" s="86"/>
      <c r="I978" s="86">
        <v>0</v>
      </c>
      <c r="J978" s="86"/>
      <c r="K978" s="86">
        <v>0</v>
      </c>
      <c r="L978" s="86"/>
      <c r="M978" s="86">
        <v>0</v>
      </c>
      <c r="N978" s="86"/>
      <c r="O978" s="86">
        <v>0</v>
      </c>
      <c r="P978" s="86">
        <v>5094779.9999999991</v>
      </c>
      <c r="Q978" s="86">
        <v>0</v>
      </c>
      <c r="R978" s="87">
        <f t="shared" si="351"/>
        <v>0</v>
      </c>
      <c r="T978" s="87">
        <v>0</v>
      </c>
      <c r="U978" s="89"/>
      <c r="V978" s="89">
        <v>0</v>
      </c>
      <c r="W978" s="90"/>
      <c r="X978" s="90">
        <v>0</v>
      </c>
      <c r="Y978" s="90">
        <v>5579143.5000000047</v>
      </c>
      <c r="Z978" s="90">
        <v>0</v>
      </c>
      <c r="AA978" s="90">
        <v>0</v>
      </c>
      <c r="AB978" s="89">
        <f t="shared" si="337"/>
        <v>0</v>
      </c>
      <c r="AC978" s="89">
        <f t="shared" si="338"/>
        <v>0</v>
      </c>
      <c r="AD978" s="89">
        <f t="shared" si="339"/>
        <v>0</v>
      </c>
      <c r="AF978" s="90" t="str">
        <f t="shared" si="341"/>
        <v/>
      </c>
      <c r="AH978" s="90" t="str">
        <f t="shared" si="343"/>
        <v/>
      </c>
      <c r="AI978" s="90">
        <f t="shared" si="344"/>
        <v>0</v>
      </c>
      <c r="AJ978" s="90" t="str">
        <f t="shared" si="345"/>
        <v/>
      </c>
      <c r="AK978" s="90" t="str">
        <f t="shared" si="346"/>
        <v/>
      </c>
      <c r="AL978" s="91"/>
      <c r="AM978" s="91">
        <f t="shared" si="347"/>
        <v>0</v>
      </c>
      <c r="AN978" s="92" t="str">
        <f t="shared" si="348"/>
        <v>No change</v>
      </c>
      <c r="AS978" s="94">
        <f t="shared" si="349"/>
        <v>0</v>
      </c>
      <c r="AT978" s="94">
        <f t="shared" si="350"/>
        <v>0</v>
      </c>
      <c r="AU978" s="94">
        <f t="shared" si="352"/>
        <v>0</v>
      </c>
      <c r="AV978" s="94">
        <f t="shared" si="353"/>
        <v>0</v>
      </c>
    </row>
    <row r="979" spans="1:48" x14ac:dyDescent="0.3">
      <c r="A979" s="85" t="str">
        <f>_xlfn.XLOOKUP(B979,'Country codes &amp; Data sources'!G:G,'Country codes &amp; Data sources'!H:H,,0)</f>
        <v>Cote d'Ivoire</v>
      </c>
      <c r="B979" s="85" t="s">
        <v>166</v>
      </c>
      <c r="C979" s="85">
        <v>22010711.499999996</v>
      </c>
      <c r="D979" s="85" t="s">
        <v>326</v>
      </c>
      <c r="E979" s="86">
        <v>0</v>
      </c>
      <c r="F979" s="86">
        <v>22469267.5</v>
      </c>
      <c r="G979" s="86">
        <v>0</v>
      </c>
      <c r="H979" s="86">
        <v>22995555.5</v>
      </c>
      <c r="I979" s="86">
        <v>5240</v>
      </c>
      <c r="J979" s="86">
        <v>23596741</v>
      </c>
      <c r="K979" s="86">
        <v>0</v>
      </c>
      <c r="L979" s="86">
        <v>24213621.500000015</v>
      </c>
      <c r="M979" s="86">
        <v>0</v>
      </c>
      <c r="N979" s="86">
        <v>24848015.5</v>
      </c>
      <c r="O979" s="86">
        <v>0</v>
      </c>
      <c r="P979" s="86">
        <v>25493988.499999996</v>
      </c>
      <c r="Q979" s="86">
        <v>5602</v>
      </c>
      <c r="R979" s="87">
        <f t="shared" si="351"/>
        <v>5602</v>
      </c>
      <c r="S979" s="87">
        <v>26147550.999999996</v>
      </c>
      <c r="T979" s="87">
        <v>4173</v>
      </c>
      <c r="U979" s="89">
        <v>26811790.500000004</v>
      </c>
      <c r="V979" s="89">
        <v>4435</v>
      </c>
      <c r="W979" s="90">
        <v>27478249.000000004</v>
      </c>
      <c r="X979" s="90">
        <v>4951</v>
      </c>
      <c r="Y979" s="90">
        <v>28160542.500000004</v>
      </c>
      <c r="Z979" s="90">
        <v>4930</v>
      </c>
      <c r="AA979" s="90">
        <v>5602</v>
      </c>
      <c r="AB979" s="89">
        <f t="shared" si="337"/>
        <v>5240</v>
      </c>
      <c r="AC979" s="89">
        <f t="shared" si="338"/>
        <v>5602</v>
      </c>
      <c r="AD979" s="89">
        <f t="shared" si="339"/>
        <v>4951</v>
      </c>
      <c r="AE979" s="90">
        <f t="shared" si="340"/>
        <v>5240</v>
      </c>
      <c r="AF979" s="90">
        <f t="shared" si="341"/>
        <v>2014</v>
      </c>
      <c r="AG979" s="90">
        <f t="shared" si="342"/>
        <v>5602</v>
      </c>
      <c r="AH979" s="90">
        <f t="shared" si="343"/>
        <v>2018</v>
      </c>
      <c r="AI979" s="90">
        <f t="shared" si="344"/>
        <v>4930</v>
      </c>
      <c r="AJ979" s="90">
        <f t="shared" si="345"/>
        <v>2022</v>
      </c>
      <c r="AK979" s="90" t="str">
        <f t="shared" si="346"/>
        <v>Adjust</v>
      </c>
      <c r="AL979" s="91">
        <f>IF(AK979="Adjust",(_xlfn.XLOOKUP(A979,'Adj factor'!A:A,'Adj factor'!I:I,,0)*AI979),'Master DataSheet (Rev)'!AI979)</f>
        <v>6327.5519796794806</v>
      </c>
      <c r="AM979" s="91">
        <f t="shared" si="347"/>
        <v>6327.5519796794806</v>
      </c>
      <c r="AN979" s="92" t="str">
        <f t="shared" si="348"/>
        <v>Increasing</v>
      </c>
      <c r="AS979" s="94">
        <f t="shared" si="349"/>
        <v>2.3320742431857204</v>
      </c>
      <c r="AT979" s="94">
        <f t="shared" si="350"/>
        <v>2.1973807668423482</v>
      </c>
      <c r="AU979" s="94">
        <f t="shared" si="352"/>
        <v>2.2469567053544797</v>
      </c>
      <c r="AV979" s="94">
        <f t="shared" si="353"/>
        <v>2.2469567053544797</v>
      </c>
    </row>
    <row r="980" spans="1:48" x14ac:dyDescent="0.3">
      <c r="A980" s="85" t="str">
        <f>_xlfn.XLOOKUP(B980,'Country codes &amp; Data sources'!G:G,'Country codes &amp; Data sources'!H:H,,0)</f>
        <v>Cote d'Ivoire</v>
      </c>
      <c r="B980" s="85" t="s">
        <v>166</v>
      </c>
      <c r="C980" s="85">
        <v>22010712.5</v>
      </c>
      <c r="D980" s="85" t="s">
        <v>327</v>
      </c>
      <c r="E980" s="86">
        <v>0</v>
      </c>
      <c r="F980" s="86">
        <v>22469267.5</v>
      </c>
      <c r="G980" s="86">
        <v>0</v>
      </c>
      <c r="H980" s="86"/>
      <c r="I980" s="86">
        <v>0</v>
      </c>
      <c r="J980" s="86"/>
      <c r="K980" s="86">
        <v>0</v>
      </c>
      <c r="L980" s="86"/>
      <c r="M980" s="86">
        <v>0</v>
      </c>
      <c r="N980" s="86"/>
      <c r="O980" s="86">
        <v>0</v>
      </c>
      <c r="P980" s="86">
        <v>25493988.499999996</v>
      </c>
      <c r="Q980" s="86">
        <v>4246</v>
      </c>
      <c r="R980" s="87">
        <f t="shared" si="351"/>
        <v>4246</v>
      </c>
      <c r="T980" s="87">
        <v>0</v>
      </c>
      <c r="U980" s="89"/>
      <c r="V980" s="89">
        <v>4435</v>
      </c>
      <c r="W980" s="90"/>
      <c r="X980" s="90">
        <v>4623</v>
      </c>
      <c r="Y980" s="90">
        <v>28160542.500000004</v>
      </c>
      <c r="Z980" s="90">
        <v>4412</v>
      </c>
      <c r="AA980" s="90">
        <v>4246</v>
      </c>
      <c r="AB980" s="89">
        <f t="shared" si="337"/>
        <v>0</v>
      </c>
      <c r="AC980" s="89">
        <f t="shared" si="338"/>
        <v>4246</v>
      </c>
      <c r="AD980" s="89">
        <f t="shared" si="339"/>
        <v>4623</v>
      </c>
      <c r="AF980" s="90" t="str">
        <f t="shared" si="341"/>
        <v/>
      </c>
      <c r="AG980" s="90">
        <f t="shared" si="342"/>
        <v>4246</v>
      </c>
      <c r="AH980" s="90">
        <f t="shared" si="343"/>
        <v>2018</v>
      </c>
      <c r="AI980" s="90">
        <f t="shared" si="344"/>
        <v>4412</v>
      </c>
      <c r="AJ980" s="90">
        <f t="shared" si="345"/>
        <v>2022</v>
      </c>
      <c r="AK980" s="90" t="str">
        <f t="shared" si="346"/>
        <v/>
      </c>
      <c r="AL980" s="91">
        <f>IF(AK980="Adjust",(_xlfn.XLOOKUP(A980,'Adj factor'!A:A,'Adj factor'!I:I,,0)*AI980),'Master DataSheet (Rev)'!AI980)</f>
        <v>4412</v>
      </c>
      <c r="AM980" s="91">
        <f t="shared" si="347"/>
        <v>4412</v>
      </c>
      <c r="AN980" s="92" t="str">
        <f t="shared" si="348"/>
        <v>Increasing</v>
      </c>
      <c r="AS980" s="94">
        <f t="shared" si="349"/>
        <v>0</v>
      </c>
      <c r="AT980" s="94">
        <f t="shared" si="350"/>
        <v>1.6654906704770815</v>
      </c>
      <c r="AU980" s="94">
        <f t="shared" si="352"/>
        <v>1.5667311806936957</v>
      </c>
      <c r="AV980" s="94">
        <f t="shared" si="353"/>
        <v>1.5667311806936957</v>
      </c>
    </row>
    <row r="981" spans="1:48" x14ac:dyDescent="0.3">
      <c r="A981" s="85" t="str">
        <f>_xlfn.XLOOKUP(B981,'Country codes &amp; Data sources'!G:G,'Country codes &amp; Data sources'!H:H,,0)</f>
        <v>Cote d'Ivoire</v>
      </c>
      <c r="B981" s="85" t="s">
        <v>166</v>
      </c>
      <c r="C981" s="85">
        <v>22010713.5</v>
      </c>
      <c r="D981" s="85" t="s">
        <v>328</v>
      </c>
      <c r="E981" s="86">
        <v>0</v>
      </c>
      <c r="F981" s="86">
        <v>22469267.5</v>
      </c>
      <c r="G981" s="86">
        <v>0</v>
      </c>
      <c r="H981" s="86"/>
      <c r="I981" s="86">
        <v>0</v>
      </c>
      <c r="J981" s="86"/>
      <c r="K981" s="86">
        <v>0</v>
      </c>
      <c r="L981" s="86"/>
      <c r="M981" s="86">
        <v>0</v>
      </c>
      <c r="N981" s="86"/>
      <c r="O981" s="86">
        <v>0</v>
      </c>
      <c r="P981" s="86">
        <v>25493988.499999996</v>
      </c>
      <c r="Q981" s="86">
        <v>1356</v>
      </c>
      <c r="R981" s="87">
        <f t="shared" si="351"/>
        <v>1356</v>
      </c>
      <c r="T981" s="87">
        <v>0</v>
      </c>
      <c r="U981" s="89"/>
      <c r="V981" s="89">
        <v>0</v>
      </c>
      <c r="W981" s="90"/>
      <c r="X981" s="90">
        <v>328</v>
      </c>
      <c r="Y981" s="90">
        <v>28160542.500000004</v>
      </c>
      <c r="Z981" s="90">
        <v>518</v>
      </c>
      <c r="AA981" s="90">
        <v>1356</v>
      </c>
      <c r="AB981" s="89">
        <f t="shared" si="337"/>
        <v>0</v>
      </c>
      <c r="AC981" s="89">
        <f t="shared" si="338"/>
        <v>1356</v>
      </c>
      <c r="AD981" s="89">
        <f t="shared" si="339"/>
        <v>518</v>
      </c>
      <c r="AF981" s="90" t="str">
        <f t="shared" si="341"/>
        <v/>
      </c>
      <c r="AG981" s="90">
        <f t="shared" si="342"/>
        <v>1356</v>
      </c>
      <c r="AH981" s="90">
        <f t="shared" si="343"/>
        <v>2018</v>
      </c>
      <c r="AI981" s="90">
        <f t="shared" si="344"/>
        <v>518</v>
      </c>
      <c r="AJ981" s="90">
        <f t="shared" si="345"/>
        <v>2022</v>
      </c>
      <c r="AK981" s="90" t="str">
        <f t="shared" si="346"/>
        <v>Adjust</v>
      </c>
      <c r="AL981" s="91">
        <f>IF(AK981="Adjust",(_xlfn.XLOOKUP(A981,'Adj factor'!A:A,'Adj factor'!I:I,,0)*AI981),'Master DataSheet (Rev)'!AI981)</f>
        <v>664.84217555252962</v>
      </c>
      <c r="AM981" s="91">
        <f t="shared" si="347"/>
        <v>1356</v>
      </c>
      <c r="AN981" s="92" t="str">
        <f t="shared" si="348"/>
        <v>Decreasing</v>
      </c>
      <c r="AS981" s="94">
        <f t="shared" si="349"/>
        <v>0</v>
      </c>
      <c r="AT981" s="94">
        <f t="shared" si="350"/>
        <v>0.53189009636526674</v>
      </c>
      <c r="AU981" s="94">
        <f t="shared" si="352"/>
        <v>0.23608997431513601</v>
      </c>
      <c r="AV981" s="94">
        <f t="shared" si="353"/>
        <v>0.48152481437458095</v>
      </c>
    </row>
    <row r="982" spans="1:48" x14ac:dyDescent="0.3">
      <c r="A982" s="85" t="str">
        <f>_xlfn.XLOOKUP(B982,'Country codes &amp; Data sources'!G:G,'Country codes &amp; Data sources'!H:H,,0)</f>
        <v>Cote d'Ivoire</v>
      </c>
      <c r="B982" s="85" t="s">
        <v>166</v>
      </c>
      <c r="C982" s="85">
        <v>22010714.5</v>
      </c>
      <c r="D982" s="85" t="s">
        <v>329</v>
      </c>
      <c r="E982" s="86">
        <v>0</v>
      </c>
      <c r="F982" s="86">
        <v>22469267.5</v>
      </c>
      <c r="G982" s="86">
        <v>8780</v>
      </c>
      <c r="H982" s="86"/>
      <c r="I982" s="86">
        <v>8868</v>
      </c>
      <c r="J982" s="86"/>
      <c r="K982" s="86">
        <v>10891</v>
      </c>
      <c r="L982" s="86"/>
      <c r="M982" s="86">
        <v>12132</v>
      </c>
      <c r="N982" s="86"/>
      <c r="O982" s="86">
        <v>13583</v>
      </c>
      <c r="P982" s="86">
        <v>25493988.499999996</v>
      </c>
      <c r="Q982" s="86">
        <v>15163</v>
      </c>
      <c r="R982" s="87">
        <f t="shared" si="351"/>
        <v>15163</v>
      </c>
      <c r="T982" s="87">
        <v>11259</v>
      </c>
      <c r="U982" s="89"/>
      <c r="V982" s="89">
        <v>13396</v>
      </c>
      <c r="W982" s="90"/>
      <c r="X982" s="90">
        <v>12887</v>
      </c>
      <c r="Y982" s="90">
        <v>28160542.500000004</v>
      </c>
      <c r="Z982" s="90">
        <v>14979</v>
      </c>
      <c r="AA982" s="90">
        <v>11730</v>
      </c>
      <c r="AB982" s="89">
        <f t="shared" si="337"/>
        <v>10891</v>
      </c>
      <c r="AC982" s="89">
        <f t="shared" si="338"/>
        <v>15163</v>
      </c>
      <c r="AD982" s="89">
        <f t="shared" si="339"/>
        <v>14979</v>
      </c>
      <c r="AE982" s="90">
        <f t="shared" si="340"/>
        <v>8780</v>
      </c>
      <c r="AF982" s="90">
        <f t="shared" si="341"/>
        <v>2013</v>
      </c>
      <c r="AG982" s="90">
        <f t="shared" si="342"/>
        <v>15163</v>
      </c>
      <c r="AH982" s="90">
        <f t="shared" si="343"/>
        <v>2018</v>
      </c>
      <c r="AI982" s="90">
        <f t="shared" si="344"/>
        <v>14979</v>
      </c>
      <c r="AJ982" s="90">
        <f t="shared" si="345"/>
        <v>2022</v>
      </c>
      <c r="AK982" s="90" t="str">
        <f t="shared" si="346"/>
        <v>Adjust</v>
      </c>
      <c r="AL982" s="91">
        <f>IF(AK982="Adjust",(_xlfn.XLOOKUP(A982,'Adj factor'!A:A,'Adj factor'!I:I,,0)*AI982),'Master DataSheet (Rev)'!AI982)</f>
        <v>19225.233489577877</v>
      </c>
      <c r="AM982" s="91">
        <f t="shared" si="347"/>
        <v>19225.233489577877</v>
      </c>
      <c r="AN982" s="92" t="str">
        <f t="shared" si="348"/>
        <v>Increasing</v>
      </c>
      <c r="AS982" s="94">
        <f t="shared" si="349"/>
        <v>3.9075595143455391</v>
      </c>
      <c r="AT982" s="94">
        <f t="shared" si="350"/>
        <v>5.9476766454178023</v>
      </c>
      <c r="AU982" s="94">
        <f t="shared" si="352"/>
        <v>6.8270110526378796</v>
      </c>
      <c r="AV982" s="94">
        <f t="shared" si="353"/>
        <v>6.8270110526378796</v>
      </c>
    </row>
    <row r="983" spans="1:48" x14ac:dyDescent="0.3">
      <c r="A983" s="85" t="str">
        <f>_xlfn.XLOOKUP(B983,'Country codes &amp; Data sources'!G:G,'Country codes &amp; Data sources'!H:H,,0)</f>
        <v>Cote d'Ivoire</v>
      </c>
      <c r="B983" s="85" t="s">
        <v>166</v>
      </c>
      <c r="C983" s="85">
        <v>22010715.5</v>
      </c>
      <c r="D983" s="85" t="s">
        <v>330</v>
      </c>
      <c r="E983" s="86">
        <v>0</v>
      </c>
      <c r="F983" s="86">
        <v>22469267.5</v>
      </c>
      <c r="G983" s="86">
        <v>7172</v>
      </c>
      <c r="H983" s="86"/>
      <c r="I983" s="86">
        <v>7245</v>
      </c>
      <c r="J983" s="86"/>
      <c r="K983" s="86">
        <v>8904</v>
      </c>
      <c r="L983" s="86"/>
      <c r="M983" s="86">
        <v>9805</v>
      </c>
      <c r="N983" s="86"/>
      <c r="O983" s="86">
        <v>10813</v>
      </c>
      <c r="P983" s="86">
        <v>25493988.499999996</v>
      </c>
      <c r="Q983" s="86">
        <v>11568</v>
      </c>
      <c r="R983" s="87">
        <f t="shared" si="351"/>
        <v>11667</v>
      </c>
      <c r="T983" s="87">
        <v>11259</v>
      </c>
      <c r="U983" s="89"/>
      <c r="V983" s="89">
        <v>13396</v>
      </c>
      <c r="W983" s="90"/>
      <c r="X983" s="90">
        <v>12887</v>
      </c>
      <c r="Y983" s="90">
        <v>28160542.500000004</v>
      </c>
      <c r="Z983" s="90">
        <v>14934</v>
      </c>
      <c r="AA983" s="90">
        <v>11667</v>
      </c>
      <c r="AB983" s="89">
        <f t="shared" si="337"/>
        <v>8904</v>
      </c>
      <c r="AC983" s="89">
        <f t="shared" si="338"/>
        <v>11568</v>
      </c>
      <c r="AD983" s="89">
        <f t="shared" si="339"/>
        <v>14934</v>
      </c>
      <c r="AE983" s="90">
        <f t="shared" si="340"/>
        <v>7172</v>
      </c>
      <c r="AF983" s="90">
        <f t="shared" si="341"/>
        <v>2013</v>
      </c>
      <c r="AG983" s="90">
        <f t="shared" si="342"/>
        <v>11667</v>
      </c>
      <c r="AH983" s="90" t="str">
        <f t="shared" si="343"/>
        <v>2018 (triag)</v>
      </c>
      <c r="AI983" s="90">
        <f t="shared" si="344"/>
        <v>14934</v>
      </c>
      <c r="AJ983" s="90">
        <f t="shared" si="345"/>
        <v>2022</v>
      </c>
      <c r="AK983" s="90" t="str">
        <f t="shared" si="346"/>
        <v/>
      </c>
      <c r="AL983" s="91">
        <f>IF(AK983="Adjust",(_xlfn.XLOOKUP(A983,'Adj factor'!A:A,'Adj factor'!I:I,,0)*AI983),'Master DataSheet (Rev)'!AI983)</f>
        <v>14934</v>
      </c>
      <c r="AM983" s="91">
        <f t="shared" si="347"/>
        <v>14934</v>
      </c>
      <c r="AN983" s="92" t="str">
        <f t="shared" si="348"/>
        <v>Increasing</v>
      </c>
      <c r="AS983" s="94">
        <f t="shared" si="349"/>
        <v>3.1919153572763332</v>
      </c>
      <c r="AT983" s="94">
        <f t="shared" si="350"/>
        <v>4.5763729751427489</v>
      </c>
      <c r="AU983" s="94">
        <f t="shared" si="352"/>
        <v>5.303164880435097</v>
      </c>
      <c r="AV983" s="94">
        <f t="shared" si="353"/>
        <v>5.303164880435097</v>
      </c>
    </row>
    <row r="984" spans="1:48" x14ac:dyDescent="0.3">
      <c r="A984" s="85" t="str">
        <f>_xlfn.XLOOKUP(B984,'Country codes &amp; Data sources'!G:G,'Country codes &amp; Data sources'!H:H,,0)</f>
        <v>Cote d'Ivoire</v>
      </c>
      <c r="B984" s="85" t="s">
        <v>166</v>
      </c>
      <c r="C984" s="85">
        <v>22010716.5</v>
      </c>
      <c r="D984" s="85" t="s">
        <v>331</v>
      </c>
      <c r="E984" s="86">
        <v>0</v>
      </c>
      <c r="F984" s="86">
        <v>22469267.5</v>
      </c>
      <c r="G984" s="86">
        <v>1608</v>
      </c>
      <c r="H984" s="86"/>
      <c r="I984" s="86">
        <v>1623</v>
      </c>
      <c r="J984" s="86"/>
      <c r="K984" s="86">
        <v>1987</v>
      </c>
      <c r="L984" s="86"/>
      <c r="M984" s="86">
        <v>2327</v>
      </c>
      <c r="N984" s="86"/>
      <c r="O984" s="86">
        <v>2770</v>
      </c>
      <c r="P984" s="86">
        <v>25493988.499999996</v>
      </c>
      <c r="Q984" s="86">
        <v>3595</v>
      </c>
      <c r="R984" s="87">
        <f t="shared" si="351"/>
        <v>3595</v>
      </c>
      <c r="T984" s="87">
        <v>0</v>
      </c>
      <c r="U984" s="89"/>
      <c r="V984" s="89">
        <v>0</v>
      </c>
      <c r="W984" s="90"/>
      <c r="X984" s="90">
        <v>0</v>
      </c>
      <c r="Y984" s="90">
        <v>28160542.500000004</v>
      </c>
      <c r="Z984" s="90">
        <v>0</v>
      </c>
      <c r="AA984" s="90">
        <v>63</v>
      </c>
      <c r="AB984" s="89">
        <f t="shared" ref="AB984:AB1047" si="354">MAX(G984,E984,I984,K984)</f>
        <v>1987</v>
      </c>
      <c r="AC984" s="89">
        <f t="shared" ref="AC984:AC1047" si="355">MAX(M984,O984,Q984,T984)</f>
        <v>3595</v>
      </c>
      <c r="AD984" s="89">
        <f t="shared" ref="AD984:AD1047" si="356">MAX(V984,X984,Z984)</f>
        <v>0</v>
      </c>
      <c r="AE984" s="90">
        <f t="shared" ref="AE984:AE1046" si="357">IF(G984&gt;0,G984,IF(E984&gt;0,E984,IF(I984&gt;0,I984,K984)))</f>
        <v>1608</v>
      </c>
      <c r="AF984" s="90">
        <f t="shared" ref="AF984:AF1047" si="358">IF(AE984&gt;0,_xlfn.XLOOKUP(AE984,$B984:$K984,$B$1:$K$1,,0),"")</f>
        <v>2013</v>
      </c>
      <c r="AG984" s="90">
        <f t="shared" ref="AG984:AG1046" si="359">IF(R984&gt;0,R984,IF(O984&gt;0,O984,T984))</f>
        <v>3595</v>
      </c>
      <c r="AH984" s="90">
        <f t="shared" ref="AH984:AH1047" si="360">IF(AG984&gt;0,_xlfn.XLOOKUP(AG984,$L984:$T984,$L$1:$T$1,,0),"")</f>
        <v>2018</v>
      </c>
      <c r="AI984" s="90">
        <f t="shared" ref="AI984:AI1047" si="361">IF((IF(Z984&gt;0,Z984,IF(X984&gt;0,X984,IF(V984&gt;0,V984,T984))))=0,AG984,IF(Z984&gt;0,Z984,IF(X984&gt;0,X984,IF(V984&gt;0,V984,T984))))</f>
        <v>3595</v>
      </c>
      <c r="AJ984" s="90">
        <f t="shared" ref="AJ984:AJ1047" si="362">IFERROR(IF(AI984&gt;0,_xlfn.XLOOKUP(AI984,$V984:$Z984,$V$1:$Z$1,,0),""),AH984)</f>
        <v>2018</v>
      </c>
      <c r="AK984" s="90" t="str">
        <f t="shared" ref="AK984:AK1047" si="363">IF(AI984&lt;AG984,"Adjust","")</f>
        <v/>
      </c>
      <c r="AL984" s="91">
        <f>IF(AK984="Adjust",(_xlfn.XLOOKUP(A984,'Adj factor'!A:A,'Adj factor'!I:I,,0)*AI984),'Master DataSheet (Rev)'!AI984)</f>
        <v>3595</v>
      </c>
      <c r="AM984" s="91">
        <f t="shared" ref="AM984:AM1047" si="364">IF(AL984&lt;AG984,AG984,AL984)</f>
        <v>3595</v>
      </c>
      <c r="AN984" s="92" t="str">
        <f t="shared" ref="AN984:AN1047" si="365">IF(AL984&gt;AG984,"Increasing",IF(AL984&lt;AG984,"Decreasing","No change"))</f>
        <v>No change</v>
      </c>
      <c r="AS984" s="94">
        <f t="shared" ref="AS984:AS1047" si="366">(AE984*10000)/F984</f>
        <v>0.7156441570692057</v>
      </c>
      <c r="AT984" s="94">
        <f t="shared" ref="AT984:AT1047" si="367">(AG984*10000)/P984</f>
        <v>1.4101363543017211</v>
      </c>
      <c r="AU984" s="94">
        <f t="shared" si="352"/>
        <v>1.276608928965058</v>
      </c>
      <c r="AV984" s="94">
        <f t="shared" si="353"/>
        <v>1.276608928965058</v>
      </c>
    </row>
    <row r="985" spans="1:48" x14ac:dyDescent="0.3">
      <c r="A985" s="85" t="str">
        <f>_xlfn.XLOOKUP(B985,'Country codes &amp; Data sources'!G:G,'Country codes &amp; Data sources'!H:H,,0)</f>
        <v>Cote d'Ivoire</v>
      </c>
      <c r="B985" s="85" t="s">
        <v>166</v>
      </c>
      <c r="C985" s="85">
        <v>22010717.5</v>
      </c>
      <c r="D985" s="85" t="s">
        <v>332</v>
      </c>
      <c r="E985" s="86">
        <v>0</v>
      </c>
      <c r="F985" s="86">
        <v>22469267.5</v>
      </c>
      <c r="G985" s="86">
        <v>3851</v>
      </c>
      <c r="H985" s="86"/>
      <c r="I985" s="86">
        <v>5300</v>
      </c>
      <c r="J985" s="86"/>
      <c r="K985" s="86">
        <v>0</v>
      </c>
      <c r="L985" s="86"/>
      <c r="M985" s="86">
        <v>0</v>
      </c>
      <c r="N985" s="86"/>
      <c r="O985" s="86">
        <v>0</v>
      </c>
      <c r="P985" s="86">
        <v>25493988.499999996</v>
      </c>
      <c r="Q985" s="86">
        <v>0</v>
      </c>
      <c r="R985" s="87">
        <f t="shared" si="351"/>
        <v>5460</v>
      </c>
      <c r="T985" s="87">
        <v>5601</v>
      </c>
      <c r="U985" s="89"/>
      <c r="V985" s="89">
        <v>6345</v>
      </c>
      <c r="W985" s="90"/>
      <c r="X985" s="90">
        <v>7074</v>
      </c>
      <c r="Y985" s="90">
        <v>28160542.500000004</v>
      </c>
      <c r="Z985" s="90">
        <v>7425</v>
      </c>
      <c r="AA985" s="90">
        <v>5460</v>
      </c>
      <c r="AB985" s="89">
        <f t="shared" si="354"/>
        <v>5300</v>
      </c>
      <c r="AC985" s="89">
        <f t="shared" si="355"/>
        <v>5601</v>
      </c>
      <c r="AD985" s="89">
        <f t="shared" si="356"/>
        <v>7425</v>
      </c>
      <c r="AE985" s="90">
        <f t="shared" si="357"/>
        <v>3851</v>
      </c>
      <c r="AF985" s="90">
        <f t="shared" si="358"/>
        <v>2013</v>
      </c>
      <c r="AG985" s="90">
        <f t="shared" si="359"/>
        <v>5460</v>
      </c>
      <c r="AH985" s="90" t="str">
        <f t="shared" si="360"/>
        <v>2018 (triag)</v>
      </c>
      <c r="AI985" s="90">
        <f t="shared" si="361"/>
        <v>7425</v>
      </c>
      <c r="AJ985" s="90">
        <f t="shared" si="362"/>
        <v>2022</v>
      </c>
      <c r="AK985" s="90" t="str">
        <f t="shared" si="363"/>
        <v/>
      </c>
      <c r="AL985" s="91">
        <f>IF(AK985="Adjust",(_xlfn.XLOOKUP(A985,'Adj factor'!A:A,'Adj factor'!I:I,,0)*AI985),'Master DataSheet (Rev)'!AI985)</f>
        <v>7425</v>
      </c>
      <c r="AM985" s="91">
        <f t="shared" si="364"/>
        <v>7425</v>
      </c>
      <c r="AN985" s="92" t="str">
        <f t="shared" si="365"/>
        <v>Increasing</v>
      </c>
      <c r="AS985" s="94">
        <f t="shared" si="366"/>
        <v>1.7138965478069101</v>
      </c>
      <c r="AT985" s="94">
        <f t="shared" si="367"/>
        <v>2.1416813614707642</v>
      </c>
      <c r="AU985" s="94">
        <f t="shared" si="352"/>
        <v>2.6366679548165664</v>
      </c>
      <c r="AV985" s="94">
        <f t="shared" si="353"/>
        <v>2.6366679548165664</v>
      </c>
    </row>
    <row r="986" spans="1:48" x14ac:dyDescent="0.3">
      <c r="A986" s="85" t="str">
        <f>_xlfn.XLOOKUP(B986,'Country codes &amp; Data sources'!G:G,'Country codes &amp; Data sources'!H:H,,0)</f>
        <v>Cote d'Ivoire</v>
      </c>
      <c r="B986" s="85" t="s">
        <v>166</v>
      </c>
      <c r="C986" s="85">
        <v>22010718.5</v>
      </c>
      <c r="D986" s="85" t="s">
        <v>333</v>
      </c>
      <c r="E986" s="86">
        <v>0</v>
      </c>
      <c r="F986" s="86">
        <v>22469267.5</v>
      </c>
      <c r="G986" s="86">
        <v>2627</v>
      </c>
      <c r="H986" s="86"/>
      <c r="I986" s="86">
        <v>0</v>
      </c>
      <c r="J986" s="86"/>
      <c r="K986" s="86">
        <v>0</v>
      </c>
      <c r="L986" s="86"/>
      <c r="M986" s="86">
        <v>0</v>
      </c>
      <c r="N986" s="86"/>
      <c r="O986" s="86">
        <v>0</v>
      </c>
      <c r="P986" s="86">
        <v>25493988.499999996</v>
      </c>
      <c r="Q986" s="86">
        <v>0</v>
      </c>
      <c r="R986" s="87">
        <f t="shared" si="351"/>
        <v>5456</v>
      </c>
      <c r="T986" s="87">
        <v>5601</v>
      </c>
      <c r="U986" s="89"/>
      <c r="V986" s="89">
        <v>6345</v>
      </c>
      <c r="W986" s="90"/>
      <c r="X986" s="90">
        <v>7074</v>
      </c>
      <c r="Y986" s="90">
        <v>28160542.500000004</v>
      </c>
      <c r="Z986" s="90">
        <v>7421</v>
      </c>
      <c r="AA986" s="90">
        <v>5456</v>
      </c>
      <c r="AB986" s="89">
        <f t="shared" si="354"/>
        <v>2627</v>
      </c>
      <c r="AC986" s="89">
        <f t="shared" si="355"/>
        <v>5601</v>
      </c>
      <c r="AD986" s="89">
        <f t="shared" si="356"/>
        <v>7421</v>
      </c>
      <c r="AE986" s="90">
        <f t="shared" si="357"/>
        <v>2627</v>
      </c>
      <c r="AF986" s="90">
        <f t="shared" si="358"/>
        <v>2013</v>
      </c>
      <c r="AG986" s="90">
        <f t="shared" si="359"/>
        <v>5456</v>
      </c>
      <c r="AH986" s="90" t="str">
        <f t="shared" si="360"/>
        <v>2018 (triag)</v>
      </c>
      <c r="AI986" s="90">
        <f t="shared" si="361"/>
        <v>7421</v>
      </c>
      <c r="AJ986" s="90">
        <f t="shared" si="362"/>
        <v>2022</v>
      </c>
      <c r="AK986" s="90" t="str">
        <f t="shared" si="363"/>
        <v/>
      </c>
      <c r="AL986" s="91">
        <f>IF(AK986="Adjust",(_xlfn.XLOOKUP(A986,'Adj factor'!A:A,'Adj factor'!I:I,,0)*AI986),'Master DataSheet (Rev)'!AI986)</f>
        <v>7421</v>
      </c>
      <c r="AM986" s="91">
        <f t="shared" si="364"/>
        <v>7421</v>
      </c>
      <c r="AN986" s="92" t="str">
        <f t="shared" si="365"/>
        <v>Increasing</v>
      </c>
      <c r="AS986" s="94">
        <f t="shared" si="366"/>
        <v>1.1691524879482609</v>
      </c>
      <c r="AT986" s="94">
        <f t="shared" si="367"/>
        <v>2.1401123641363533</v>
      </c>
      <c r="AU986" s="94">
        <f t="shared" si="352"/>
        <v>2.6352475276355203</v>
      </c>
      <c r="AV986" s="94">
        <f t="shared" si="353"/>
        <v>2.6352475276355203</v>
      </c>
    </row>
    <row r="987" spans="1:48" x14ac:dyDescent="0.3">
      <c r="A987" s="85" t="str">
        <f>_xlfn.XLOOKUP(B987,'Country codes &amp; Data sources'!G:G,'Country codes &amp; Data sources'!H:H,,0)</f>
        <v>Cote d'Ivoire</v>
      </c>
      <c r="B987" s="85" t="s">
        <v>166</v>
      </c>
      <c r="C987" s="85">
        <v>22010719.5</v>
      </c>
      <c r="D987" s="85" t="s">
        <v>334</v>
      </c>
      <c r="E987" s="86">
        <v>0</v>
      </c>
      <c r="F987" s="86">
        <v>22469267.5</v>
      </c>
      <c r="G987" s="86">
        <v>1224</v>
      </c>
      <c r="H987" s="86"/>
      <c r="I987" s="86">
        <v>0</v>
      </c>
      <c r="J987" s="86"/>
      <c r="K987" s="86">
        <v>0</v>
      </c>
      <c r="L987" s="86"/>
      <c r="M987" s="86">
        <v>0</v>
      </c>
      <c r="N987" s="86"/>
      <c r="O987" s="86">
        <v>0</v>
      </c>
      <c r="P987" s="86">
        <v>25493988.499999996</v>
      </c>
      <c r="Q987" s="86">
        <v>0</v>
      </c>
      <c r="R987" s="87">
        <f t="shared" si="351"/>
        <v>4</v>
      </c>
      <c r="T987" s="87">
        <v>0</v>
      </c>
      <c r="U987" s="89"/>
      <c r="V987" s="89">
        <v>0</v>
      </c>
      <c r="W987" s="90"/>
      <c r="X987" s="90">
        <v>0</v>
      </c>
      <c r="Y987" s="90">
        <v>28160542.500000004</v>
      </c>
      <c r="Z987" s="90">
        <v>4</v>
      </c>
      <c r="AA987" s="90">
        <v>4</v>
      </c>
      <c r="AB987" s="89">
        <f t="shared" si="354"/>
        <v>1224</v>
      </c>
      <c r="AC987" s="89">
        <f t="shared" si="355"/>
        <v>0</v>
      </c>
      <c r="AD987" s="89">
        <f t="shared" si="356"/>
        <v>4</v>
      </c>
      <c r="AE987" s="90">
        <f t="shared" si="357"/>
        <v>1224</v>
      </c>
      <c r="AF987" s="90">
        <f t="shared" si="358"/>
        <v>2013</v>
      </c>
      <c r="AG987" s="90">
        <f t="shared" si="359"/>
        <v>4</v>
      </c>
      <c r="AH987" s="90" t="str">
        <f t="shared" si="360"/>
        <v>2018 (triag)</v>
      </c>
      <c r="AI987" s="90">
        <f t="shared" si="361"/>
        <v>4</v>
      </c>
      <c r="AJ987" s="90">
        <f t="shared" si="362"/>
        <v>2022</v>
      </c>
      <c r="AK987" s="90" t="str">
        <f t="shared" si="363"/>
        <v/>
      </c>
      <c r="AL987" s="91">
        <f>IF(AK987="Adjust",(_xlfn.XLOOKUP(A987,'Adj factor'!A:A,'Adj factor'!I:I,,0)*AI987),'Master DataSheet (Rev)'!AI987)</f>
        <v>4</v>
      </c>
      <c r="AM987" s="91">
        <f t="shared" si="364"/>
        <v>4</v>
      </c>
      <c r="AN987" s="92" t="str">
        <f t="shared" si="365"/>
        <v>No change</v>
      </c>
      <c r="AS987" s="94">
        <f t="shared" si="366"/>
        <v>0.54474405985864915</v>
      </c>
      <c r="AT987" s="94">
        <f t="shared" si="367"/>
        <v>1.5689973344108162E-3</v>
      </c>
      <c r="AU987" s="94">
        <f t="shared" si="352"/>
        <v>1.4204271810459616E-3</v>
      </c>
      <c r="AV987" s="94">
        <f t="shared" si="353"/>
        <v>1.4204271810459616E-3</v>
      </c>
    </row>
    <row r="988" spans="1:48" x14ac:dyDescent="0.3">
      <c r="A988" s="85" t="str">
        <f>_xlfn.XLOOKUP(B988,'Country codes &amp; Data sources'!G:G,'Country codes &amp; Data sources'!H:H,,0)</f>
        <v>Cote d'Ivoire</v>
      </c>
      <c r="B988" s="85" t="s">
        <v>166</v>
      </c>
      <c r="C988" s="85">
        <v>22010720.5</v>
      </c>
      <c r="D988" s="85" t="s">
        <v>335</v>
      </c>
      <c r="E988" s="86">
        <v>0</v>
      </c>
      <c r="F988" s="86">
        <v>22469267.5</v>
      </c>
      <c r="G988" s="86">
        <v>0</v>
      </c>
      <c r="H988" s="86"/>
      <c r="I988" s="86">
        <v>2430</v>
      </c>
      <c r="J988" s="86"/>
      <c r="K988" s="86">
        <v>0</v>
      </c>
      <c r="L988" s="86"/>
      <c r="M988" s="86">
        <v>0</v>
      </c>
      <c r="N988" s="86"/>
      <c r="O988" s="86">
        <v>0</v>
      </c>
      <c r="P988" s="86">
        <v>25493988.499999996</v>
      </c>
      <c r="Q988" s="86">
        <v>2495</v>
      </c>
      <c r="R988" s="87">
        <f t="shared" si="351"/>
        <v>2495</v>
      </c>
      <c r="T988" s="87">
        <v>944</v>
      </c>
      <c r="U988" s="89"/>
      <c r="V988" s="89">
        <v>1029</v>
      </c>
      <c r="W988" s="90"/>
      <c r="X988" s="90">
        <v>1117</v>
      </c>
      <c r="Y988" s="90">
        <v>28160542.500000004</v>
      </c>
      <c r="Z988" s="90">
        <v>1162</v>
      </c>
      <c r="AA988" s="90">
        <v>2278</v>
      </c>
      <c r="AB988" s="89">
        <f t="shared" si="354"/>
        <v>2430</v>
      </c>
      <c r="AC988" s="89">
        <f t="shared" si="355"/>
        <v>2495</v>
      </c>
      <c r="AD988" s="89">
        <f t="shared" si="356"/>
        <v>1162</v>
      </c>
      <c r="AE988" s="90">
        <f t="shared" si="357"/>
        <v>2430</v>
      </c>
      <c r="AF988" s="90">
        <f t="shared" si="358"/>
        <v>2014</v>
      </c>
      <c r="AG988" s="90">
        <f t="shared" si="359"/>
        <v>2495</v>
      </c>
      <c r="AH988" s="90">
        <f t="shared" si="360"/>
        <v>2018</v>
      </c>
      <c r="AI988" s="90">
        <f t="shared" si="361"/>
        <v>1162</v>
      </c>
      <c r="AJ988" s="90">
        <f t="shared" si="362"/>
        <v>2022</v>
      </c>
      <c r="AK988" s="90" t="str">
        <f t="shared" si="363"/>
        <v>Adjust</v>
      </c>
      <c r="AL988" s="91">
        <f>IF(AK988="Adjust",(_xlfn.XLOOKUP(A988,'Adj factor'!A:A,'Adj factor'!I:I,,0)*AI988),'Master DataSheet (Rev)'!AI988)</f>
        <v>1491.4027181313502</v>
      </c>
      <c r="AM988" s="91">
        <f t="shared" si="364"/>
        <v>2495</v>
      </c>
      <c r="AN988" s="92" t="str">
        <f t="shared" si="365"/>
        <v>Decreasing</v>
      </c>
      <c r="AS988" s="94">
        <f t="shared" si="366"/>
        <v>1.0814771776605534</v>
      </c>
      <c r="AT988" s="94">
        <f t="shared" si="367"/>
        <v>0.97866208733874671</v>
      </c>
      <c r="AU988" s="94">
        <f t="shared" si="352"/>
        <v>0.52960723967989964</v>
      </c>
      <c r="AV988" s="94">
        <f t="shared" si="353"/>
        <v>0.88599145417741854</v>
      </c>
    </row>
    <row r="989" spans="1:48" x14ac:dyDescent="0.3">
      <c r="A989" s="85" t="str">
        <f>_xlfn.XLOOKUP(B989,'Country codes &amp; Data sources'!G:G,'Country codes &amp; Data sources'!H:H,,0)</f>
        <v>Cote d'Ivoire</v>
      </c>
      <c r="B989" s="85" t="s">
        <v>166</v>
      </c>
      <c r="C989" s="85">
        <v>22010721.5</v>
      </c>
      <c r="D989" s="85" t="s">
        <v>336</v>
      </c>
      <c r="E989" s="86">
        <v>0</v>
      </c>
      <c r="F989" s="86">
        <v>22469267.5</v>
      </c>
      <c r="G989" s="86">
        <v>0</v>
      </c>
      <c r="H989" s="86"/>
      <c r="I989" s="86">
        <v>2310</v>
      </c>
      <c r="J989" s="86"/>
      <c r="K989" s="86">
        <v>0</v>
      </c>
      <c r="L989" s="86"/>
      <c r="M989" s="86">
        <v>0</v>
      </c>
      <c r="N989" s="86"/>
      <c r="O989" s="86">
        <v>0</v>
      </c>
      <c r="P989" s="86">
        <v>25493988.499999996</v>
      </c>
      <c r="Q989" s="86">
        <v>0</v>
      </c>
      <c r="R989" s="87">
        <f t="shared" si="351"/>
        <v>217</v>
      </c>
      <c r="T989" s="87">
        <v>0</v>
      </c>
      <c r="U989" s="89"/>
      <c r="V989" s="89">
        <v>0</v>
      </c>
      <c r="W989" s="90"/>
      <c r="X989" s="90">
        <v>215</v>
      </c>
      <c r="Y989" s="90">
        <v>28160542.500000004</v>
      </c>
      <c r="Z989" s="90">
        <v>200</v>
      </c>
      <c r="AA989" s="90">
        <v>217</v>
      </c>
      <c r="AB989" s="89">
        <f t="shared" si="354"/>
        <v>2310</v>
      </c>
      <c r="AC989" s="89">
        <f t="shared" si="355"/>
        <v>0</v>
      </c>
      <c r="AD989" s="89">
        <f t="shared" si="356"/>
        <v>215</v>
      </c>
      <c r="AE989" s="90">
        <f t="shared" si="357"/>
        <v>2310</v>
      </c>
      <c r="AF989" s="90">
        <f t="shared" si="358"/>
        <v>2014</v>
      </c>
      <c r="AG989" s="90">
        <f t="shared" si="359"/>
        <v>217</v>
      </c>
      <c r="AH989" s="90" t="str">
        <f t="shared" si="360"/>
        <v>2018 (triag)</v>
      </c>
      <c r="AI989" s="90">
        <f t="shared" si="361"/>
        <v>200</v>
      </c>
      <c r="AJ989" s="90">
        <f t="shared" si="362"/>
        <v>2022</v>
      </c>
      <c r="AK989" s="90" t="str">
        <f t="shared" si="363"/>
        <v>Adjust</v>
      </c>
      <c r="AL989" s="91">
        <f>IF(AK989="Adjust",(_xlfn.XLOOKUP(A989,'Adj factor'!A:A,'Adj factor'!I:I,,0)*AI989),'Master DataSheet (Rev)'!AI989)</f>
        <v>256.69582067665237</v>
      </c>
      <c r="AM989" s="91">
        <f t="shared" si="364"/>
        <v>256.69582067665237</v>
      </c>
      <c r="AN989" s="92" t="str">
        <f t="shared" si="365"/>
        <v>Increasing</v>
      </c>
      <c r="AS989" s="94">
        <f t="shared" si="366"/>
        <v>1.0280708972822545</v>
      </c>
      <c r="AT989" s="94">
        <f t="shared" si="367"/>
        <v>8.5118105391786783E-2</v>
      </c>
      <c r="AU989" s="94">
        <f t="shared" si="352"/>
        <v>9.1154430237504247E-2</v>
      </c>
      <c r="AV989" s="94">
        <f t="shared" si="353"/>
        <v>9.1154430237504247E-2</v>
      </c>
    </row>
    <row r="990" spans="1:48" x14ac:dyDescent="0.3">
      <c r="A990" s="85" t="str">
        <f>_xlfn.XLOOKUP(B990,'Country codes &amp; Data sources'!G:G,'Country codes &amp; Data sources'!H:H,,0)</f>
        <v>Cote d'Ivoire</v>
      </c>
      <c r="B990" s="85" t="s">
        <v>166</v>
      </c>
      <c r="C990" s="85">
        <v>22010722.5</v>
      </c>
      <c r="D990" s="85" t="s">
        <v>337</v>
      </c>
      <c r="E990" s="86">
        <v>0</v>
      </c>
      <c r="F990" s="86">
        <v>22469267.5</v>
      </c>
      <c r="G990" s="86">
        <v>0</v>
      </c>
      <c r="H990" s="86"/>
      <c r="I990" s="86">
        <v>490</v>
      </c>
      <c r="J990" s="86"/>
      <c r="K990" s="86">
        <v>0</v>
      </c>
      <c r="L990" s="86"/>
      <c r="M990" s="86">
        <v>0</v>
      </c>
      <c r="N990" s="86"/>
      <c r="O990" s="86">
        <v>0</v>
      </c>
      <c r="P990" s="86">
        <v>25493988.499999996</v>
      </c>
      <c r="Q990" s="86">
        <v>506</v>
      </c>
      <c r="R990" s="87">
        <f t="shared" si="351"/>
        <v>506</v>
      </c>
      <c r="T990" s="87">
        <v>373</v>
      </c>
      <c r="U990" s="89"/>
      <c r="V990" s="89">
        <v>397</v>
      </c>
      <c r="W990" s="90"/>
      <c r="X990" s="90">
        <v>416</v>
      </c>
      <c r="Y990" s="90">
        <v>28160542.500000004</v>
      </c>
      <c r="Z990" s="90">
        <v>418</v>
      </c>
      <c r="AA990" s="90">
        <v>506</v>
      </c>
      <c r="AB990" s="89">
        <f t="shared" si="354"/>
        <v>490</v>
      </c>
      <c r="AC990" s="89">
        <f t="shared" si="355"/>
        <v>506</v>
      </c>
      <c r="AD990" s="89">
        <f t="shared" si="356"/>
        <v>418</v>
      </c>
      <c r="AE990" s="90">
        <f t="shared" si="357"/>
        <v>490</v>
      </c>
      <c r="AF990" s="90">
        <f t="shared" si="358"/>
        <v>2014</v>
      </c>
      <c r="AG990" s="90">
        <f t="shared" si="359"/>
        <v>506</v>
      </c>
      <c r="AH990" s="90">
        <f t="shared" si="360"/>
        <v>2018</v>
      </c>
      <c r="AI990" s="90">
        <f t="shared" si="361"/>
        <v>418</v>
      </c>
      <c r="AJ990" s="90">
        <f t="shared" si="362"/>
        <v>2022</v>
      </c>
      <c r="AK990" s="90" t="str">
        <f t="shared" si="363"/>
        <v>Adjust</v>
      </c>
      <c r="AL990" s="91">
        <f>IF(AK990="Adjust",(_xlfn.XLOOKUP(A990,'Adj factor'!A:A,'Adj factor'!I:I,,0)*AI990),'Master DataSheet (Rev)'!AI990)</f>
        <v>536.49426521420344</v>
      </c>
      <c r="AM990" s="91">
        <f t="shared" si="364"/>
        <v>536.49426521420344</v>
      </c>
      <c r="AN990" s="92" t="str">
        <f t="shared" si="365"/>
        <v>Increasing</v>
      </c>
      <c r="AS990" s="94">
        <f t="shared" si="366"/>
        <v>0.218075644878054</v>
      </c>
      <c r="AT990" s="94">
        <f t="shared" si="367"/>
        <v>0.19847816280296826</v>
      </c>
      <c r="AU990" s="94">
        <f t="shared" si="352"/>
        <v>0.19051275919638386</v>
      </c>
      <c r="AV990" s="94">
        <f t="shared" si="353"/>
        <v>0.19051275919638386</v>
      </c>
    </row>
    <row r="991" spans="1:48" x14ac:dyDescent="0.3">
      <c r="A991" s="85" t="str">
        <f>_xlfn.XLOOKUP(B991,'Country codes &amp; Data sources'!G:G,'Country codes &amp; Data sources'!H:H,,0)</f>
        <v>Cote d'Ivoire</v>
      </c>
      <c r="B991" s="85" t="s">
        <v>166</v>
      </c>
      <c r="C991" s="85">
        <v>22010723.5</v>
      </c>
      <c r="D991" s="85" t="s">
        <v>338</v>
      </c>
      <c r="E991" s="86">
        <v>0</v>
      </c>
      <c r="F991" s="86">
        <v>22469267.5</v>
      </c>
      <c r="G991" s="86">
        <v>0</v>
      </c>
      <c r="H991" s="86"/>
      <c r="I991" s="86">
        <v>120</v>
      </c>
      <c r="J991" s="86"/>
      <c r="K991" s="86">
        <v>0</v>
      </c>
      <c r="L991" s="86"/>
      <c r="M991" s="86">
        <v>0</v>
      </c>
      <c r="N991" s="86"/>
      <c r="O991" s="86">
        <v>0</v>
      </c>
      <c r="P991" s="86">
        <v>25493988.499999996</v>
      </c>
      <c r="Q991" s="86">
        <v>0</v>
      </c>
      <c r="R991" s="87">
        <f t="shared" si="351"/>
        <v>0</v>
      </c>
      <c r="T991" s="87">
        <v>0</v>
      </c>
      <c r="U991" s="89"/>
      <c r="V991" s="89">
        <v>0</v>
      </c>
      <c r="W991" s="90"/>
      <c r="X991" s="90">
        <v>0</v>
      </c>
      <c r="Y991" s="90">
        <v>28160542.500000004</v>
      </c>
      <c r="Z991" s="90">
        <v>28</v>
      </c>
      <c r="AA991" s="90">
        <v>0</v>
      </c>
      <c r="AB991" s="89">
        <f t="shared" si="354"/>
        <v>120</v>
      </c>
      <c r="AC991" s="89">
        <f t="shared" si="355"/>
        <v>0</v>
      </c>
      <c r="AD991" s="89">
        <f t="shared" si="356"/>
        <v>28</v>
      </c>
      <c r="AE991" s="90">
        <f t="shared" si="357"/>
        <v>120</v>
      </c>
      <c r="AF991" s="90">
        <f t="shared" si="358"/>
        <v>2014</v>
      </c>
      <c r="AH991" s="90" t="str">
        <f t="shared" si="360"/>
        <v/>
      </c>
      <c r="AI991" s="90">
        <f t="shared" si="361"/>
        <v>28</v>
      </c>
      <c r="AJ991" s="90">
        <f t="shared" si="362"/>
        <v>2022</v>
      </c>
      <c r="AK991" s="90" t="str">
        <f t="shared" si="363"/>
        <v/>
      </c>
      <c r="AL991" s="91">
        <f>IF(AK991="Adjust",(_xlfn.XLOOKUP(A991,'Adj factor'!A:A,'Adj factor'!I:I,,0)*AI991),'Master DataSheet (Rev)'!AI991)</f>
        <v>28</v>
      </c>
      <c r="AM991" s="91">
        <f t="shared" si="364"/>
        <v>28</v>
      </c>
      <c r="AN991" s="92" t="str">
        <f t="shared" si="365"/>
        <v>Increasing</v>
      </c>
      <c r="AS991" s="94">
        <f t="shared" si="366"/>
        <v>5.3406280378298934E-2</v>
      </c>
      <c r="AT991" s="94">
        <f t="shared" si="367"/>
        <v>0</v>
      </c>
      <c r="AU991" s="94">
        <f t="shared" si="352"/>
        <v>9.9429902673217312E-3</v>
      </c>
      <c r="AV991" s="94">
        <f t="shared" si="353"/>
        <v>9.9429902673217312E-3</v>
      </c>
    </row>
    <row r="992" spans="1:48" x14ac:dyDescent="0.3">
      <c r="A992" s="85" t="str">
        <f>_xlfn.XLOOKUP(B992,'Country codes &amp; Data sources'!G:G,'Country codes &amp; Data sources'!H:H,,0)</f>
        <v>Cote d'Ivoire</v>
      </c>
      <c r="B992" s="85" t="s">
        <v>166</v>
      </c>
      <c r="C992" s="85">
        <v>22010724.5</v>
      </c>
      <c r="D992" s="85" t="s">
        <v>339</v>
      </c>
      <c r="E992" s="86">
        <v>0</v>
      </c>
      <c r="F992" s="86">
        <v>22469267.5</v>
      </c>
      <c r="G992" s="86">
        <v>0</v>
      </c>
      <c r="H992" s="86"/>
      <c r="I992" s="86">
        <v>0</v>
      </c>
      <c r="J992" s="86"/>
      <c r="K992" s="86">
        <v>0</v>
      </c>
      <c r="L992" s="86"/>
      <c r="M992" s="86">
        <v>0</v>
      </c>
      <c r="N992" s="86"/>
      <c r="O992" s="86">
        <v>0</v>
      </c>
      <c r="P992" s="86">
        <v>25493988.499999996</v>
      </c>
      <c r="Q992" s="86">
        <v>0</v>
      </c>
      <c r="R992" s="87">
        <f t="shared" si="351"/>
        <v>0</v>
      </c>
      <c r="T992" s="87">
        <v>0</v>
      </c>
      <c r="U992" s="89"/>
      <c r="V992" s="89">
        <v>0</v>
      </c>
      <c r="W992" s="90"/>
      <c r="X992" s="90">
        <v>0</v>
      </c>
      <c r="Y992" s="90">
        <v>28160542.500000004</v>
      </c>
      <c r="Z992" s="90">
        <v>0</v>
      </c>
      <c r="AA992" s="90">
        <v>0</v>
      </c>
      <c r="AB992" s="89">
        <f t="shared" si="354"/>
        <v>0</v>
      </c>
      <c r="AC992" s="89">
        <f t="shared" si="355"/>
        <v>0</v>
      </c>
      <c r="AD992" s="89">
        <f t="shared" si="356"/>
        <v>0</v>
      </c>
      <c r="AF992" s="90" t="str">
        <f t="shared" si="358"/>
        <v/>
      </c>
      <c r="AH992" s="90" t="str">
        <f t="shared" si="360"/>
        <v/>
      </c>
      <c r="AI992" s="90">
        <f t="shared" si="361"/>
        <v>0</v>
      </c>
      <c r="AJ992" s="90" t="str">
        <f t="shared" si="362"/>
        <v/>
      </c>
      <c r="AK992" s="90" t="str">
        <f t="shared" si="363"/>
        <v/>
      </c>
      <c r="AL992" s="91"/>
      <c r="AM992" s="91">
        <f t="shared" si="364"/>
        <v>0</v>
      </c>
      <c r="AN992" s="92" t="str">
        <f t="shared" si="365"/>
        <v>No change</v>
      </c>
      <c r="AS992" s="94">
        <f t="shared" si="366"/>
        <v>0</v>
      </c>
      <c r="AT992" s="94">
        <f t="shared" si="367"/>
        <v>0</v>
      </c>
      <c r="AU992" s="94">
        <f t="shared" si="352"/>
        <v>0</v>
      </c>
      <c r="AV992" s="94">
        <f t="shared" si="353"/>
        <v>0</v>
      </c>
    </row>
    <row r="993" spans="1:48" x14ac:dyDescent="0.3">
      <c r="A993" s="85" t="str">
        <f>_xlfn.XLOOKUP(B993,'Country codes &amp; Data sources'!G:G,'Country codes &amp; Data sources'!H:H,,0)</f>
        <v>Cameroon</v>
      </c>
      <c r="B993" s="85" t="s">
        <v>168</v>
      </c>
      <c r="C993" s="85">
        <v>21032684.000000004</v>
      </c>
      <c r="D993" s="85" t="s">
        <v>326</v>
      </c>
      <c r="E993" s="86">
        <v>0</v>
      </c>
      <c r="F993" s="86">
        <v>21632850.000000004</v>
      </c>
      <c r="G993" s="113">
        <v>1842</v>
      </c>
      <c r="H993" s="86">
        <v>22299584.999999989</v>
      </c>
      <c r="I993" s="86">
        <v>0</v>
      </c>
      <c r="J993" s="86">
        <v>23012646.5</v>
      </c>
      <c r="K993" s="86">
        <v>0</v>
      </c>
      <c r="L993" s="86">
        <v>23711630.000000004</v>
      </c>
      <c r="M993" s="86">
        <v>0</v>
      </c>
      <c r="N993" s="86">
        <v>24393181.5</v>
      </c>
      <c r="O993" s="86">
        <v>0</v>
      </c>
      <c r="P993" s="86">
        <v>25076746.500000015</v>
      </c>
      <c r="Q993" s="86">
        <v>3259</v>
      </c>
      <c r="R993" s="87">
        <f t="shared" si="351"/>
        <v>3259</v>
      </c>
      <c r="S993" s="87">
        <v>25782340.999999996</v>
      </c>
      <c r="T993" s="87">
        <v>0</v>
      </c>
      <c r="U993" s="89">
        <v>26491086.500000011</v>
      </c>
      <c r="V993" s="89">
        <v>2562</v>
      </c>
      <c r="W993" s="90">
        <v>27198627.999999985</v>
      </c>
      <c r="X993" s="90">
        <v>3378</v>
      </c>
      <c r="Y993" s="90">
        <v>27914536.499999989</v>
      </c>
      <c r="Z993" s="90">
        <v>3759</v>
      </c>
      <c r="AA993" s="90">
        <v>3259</v>
      </c>
      <c r="AB993" s="89">
        <f t="shared" si="354"/>
        <v>1842</v>
      </c>
      <c r="AC993" s="89">
        <f t="shared" si="355"/>
        <v>3259</v>
      </c>
      <c r="AD993" s="89">
        <f t="shared" si="356"/>
        <v>3759</v>
      </c>
      <c r="AE993" s="90">
        <f t="shared" si="357"/>
        <v>1842</v>
      </c>
      <c r="AF993" s="90">
        <v>2013</v>
      </c>
      <c r="AG993" s="90">
        <f t="shared" si="359"/>
        <v>3259</v>
      </c>
      <c r="AH993" s="90">
        <f t="shared" si="360"/>
        <v>2018</v>
      </c>
      <c r="AI993" s="90">
        <f t="shared" si="361"/>
        <v>3759</v>
      </c>
      <c r="AJ993" s="90">
        <f t="shared" si="362"/>
        <v>2022</v>
      </c>
      <c r="AK993" s="90" t="str">
        <f t="shared" si="363"/>
        <v/>
      </c>
      <c r="AL993" s="91">
        <f>IF(AK993="Adjust",(_xlfn.XLOOKUP(A993,'Adj factor'!A:A,'Adj factor'!I:I,,0)*AI993),'Master DataSheet (Rev)'!AI993)</f>
        <v>3759</v>
      </c>
      <c r="AM993" s="91">
        <f t="shared" si="364"/>
        <v>3759</v>
      </c>
      <c r="AN993" s="92" t="str">
        <f t="shared" si="365"/>
        <v>Increasing</v>
      </c>
      <c r="AS993" s="94">
        <f t="shared" si="366"/>
        <v>0.85148281433098261</v>
      </c>
      <c r="AT993" s="94">
        <f t="shared" si="367"/>
        <v>1.2996103780847321</v>
      </c>
      <c r="AU993" s="94">
        <f t="shared" si="352"/>
        <v>1.3466102150755759</v>
      </c>
      <c r="AV993" s="94">
        <f t="shared" si="353"/>
        <v>1.3466102150755759</v>
      </c>
    </row>
    <row r="994" spans="1:48" x14ac:dyDescent="0.3">
      <c r="A994" s="85" t="str">
        <f>_xlfn.XLOOKUP(B994,'Country codes &amp; Data sources'!G:G,'Country codes &amp; Data sources'!H:H,,0)</f>
        <v>Cameroon</v>
      </c>
      <c r="B994" s="85" t="s">
        <v>168</v>
      </c>
      <c r="C994" s="85">
        <v>21032685</v>
      </c>
      <c r="D994" s="85" t="s">
        <v>327</v>
      </c>
      <c r="E994" s="86">
        <v>0</v>
      </c>
      <c r="F994" s="86">
        <v>21632850.000000004</v>
      </c>
      <c r="G994" s="86">
        <v>0</v>
      </c>
      <c r="H994" s="86"/>
      <c r="I994" s="86">
        <v>0</v>
      </c>
      <c r="J994" s="86"/>
      <c r="K994" s="86">
        <v>0</v>
      </c>
      <c r="L994" s="86"/>
      <c r="M994" s="86">
        <v>0</v>
      </c>
      <c r="N994" s="86"/>
      <c r="O994" s="86">
        <v>0</v>
      </c>
      <c r="P994" s="86">
        <v>25076746.500000015</v>
      </c>
      <c r="Q994" s="86">
        <v>2400</v>
      </c>
      <c r="R994" s="87">
        <f t="shared" si="351"/>
        <v>2400</v>
      </c>
      <c r="T994" s="87">
        <v>0</v>
      </c>
      <c r="U994" s="89"/>
      <c r="V994" s="89">
        <v>1643</v>
      </c>
      <c r="W994" s="90"/>
      <c r="X994" s="90">
        <v>2477</v>
      </c>
      <c r="Y994" s="90">
        <v>27914536.499999989</v>
      </c>
      <c r="Z994" s="90">
        <v>2467</v>
      </c>
      <c r="AA994" s="90">
        <v>2400</v>
      </c>
      <c r="AB994" s="89">
        <f t="shared" si="354"/>
        <v>0</v>
      </c>
      <c r="AC994" s="89">
        <f t="shared" si="355"/>
        <v>2400</v>
      </c>
      <c r="AD994" s="89">
        <f t="shared" si="356"/>
        <v>2477</v>
      </c>
      <c r="AF994" s="90" t="str">
        <f t="shared" si="358"/>
        <v/>
      </c>
      <c r="AG994" s="90">
        <f t="shared" si="359"/>
        <v>2400</v>
      </c>
      <c r="AH994" s="90">
        <f t="shared" si="360"/>
        <v>2018</v>
      </c>
      <c r="AI994" s="90">
        <f t="shared" si="361"/>
        <v>2467</v>
      </c>
      <c r="AJ994" s="90">
        <f t="shared" si="362"/>
        <v>2022</v>
      </c>
      <c r="AK994" s="90" t="str">
        <f t="shared" si="363"/>
        <v/>
      </c>
      <c r="AL994" s="91">
        <f>IF(AK994="Adjust",(_xlfn.XLOOKUP(A994,'Adj factor'!A:A,'Adj factor'!I:I,,0)*AI994),'Master DataSheet (Rev)'!AI994)</f>
        <v>2467</v>
      </c>
      <c r="AM994" s="91">
        <f t="shared" si="364"/>
        <v>2467</v>
      </c>
      <c r="AN994" s="92" t="str">
        <f t="shared" si="365"/>
        <v>Increasing</v>
      </c>
      <c r="AS994" s="94">
        <f t="shared" si="366"/>
        <v>0</v>
      </c>
      <c r="AT994" s="94">
        <f t="shared" si="367"/>
        <v>0.95706195379053605</v>
      </c>
      <c r="AU994" s="94">
        <f t="shared" si="352"/>
        <v>0.88376892806369933</v>
      </c>
      <c r="AV994" s="94">
        <f t="shared" si="353"/>
        <v>0.88376892806369933</v>
      </c>
    </row>
    <row r="995" spans="1:48" x14ac:dyDescent="0.3">
      <c r="A995" s="85" t="str">
        <f>_xlfn.XLOOKUP(B995,'Country codes &amp; Data sources'!G:G,'Country codes &amp; Data sources'!H:H,,0)</f>
        <v>Cameroon</v>
      </c>
      <c r="B995" s="85" t="s">
        <v>168</v>
      </c>
      <c r="C995" s="85">
        <v>21032686</v>
      </c>
      <c r="D995" s="85" t="s">
        <v>328</v>
      </c>
      <c r="E995" s="86">
        <v>0</v>
      </c>
      <c r="F995" s="86">
        <v>21632850.000000004</v>
      </c>
      <c r="G995" s="86">
        <v>0</v>
      </c>
      <c r="H995" s="86"/>
      <c r="I995" s="86">
        <v>0</v>
      </c>
      <c r="J995" s="86"/>
      <c r="K995" s="86">
        <v>0</v>
      </c>
      <c r="L995" s="86"/>
      <c r="M995" s="86">
        <v>0</v>
      </c>
      <c r="N995" s="86"/>
      <c r="O995" s="86">
        <v>0</v>
      </c>
      <c r="P995" s="86">
        <v>25076746.500000015</v>
      </c>
      <c r="Q995" s="86">
        <v>859</v>
      </c>
      <c r="R995" s="87">
        <f t="shared" si="351"/>
        <v>859</v>
      </c>
      <c r="T995" s="87">
        <v>0</v>
      </c>
      <c r="U995" s="89"/>
      <c r="V995" s="89">
        <v>919</v>
      </c>
      <c r="W995" s="90"/>
      <c r="X995" s="90">
        <v>897</v>
      </c>
      <c r="Y995" s="90">
        <v>27914536.499999989</v>
      </c>
      <c r="Z995" s="90">
        <v>1289</v>
      </c>
      <c r="AA995" s="90">
        <v>859</v>
      </c>
      <c r="AB995" s="89">
        <f t="shared" si="354"/>
        <v>0</v>
      </c>
      <c r="AC995" s="89">
        <f t="shared" si="355"/>
        <v>859</v>
      </c>
      <c r="AD995" s="89">
        <f t="shared" si="356"/>
        <v>1289</v>
      </c>
      <c r="AF995" s="90" t="str">
        <f t="shared" si="358"/>
        <v/>
      </c>
      <c r="AG995" s="90">
        <f t="shared" si="359"/>
        <v>859</v>
      </c>
      <c r="AH995" s="90">
        <f t="shared" si="360"/>
        <v>2018</v>
      </c>
      <c r="AI995" s="90">
        <f t="shared" si="361"/>
        <v>1289</v>
      </c>
      <c r="AJ995" s="90">
        <f t="shared" si="362"/>
        <v>2022</v>
      </c>
      <c r="AK995" s="90" t="str">
        <f t="shared" si="363"/>
        <v/>
      </c>
      <c r="AL995" s="91">
        <f>IF(AK995="Adjust",(_xlfn.XLOOKUP(A995,'Adj factor'!A:A,'Adj factor'!I:I,,0)*AI995),'Master DataSheet (Rev)'!AI995)</f>
        <v>1289</v>
      </c>
      <c r="AM995" s="91">
        <f t="shared" si="364"/>
        <v>1289</v>
      </c>
      <c r="AN995" s="92" t="str">
        <f t="shared" si="365"/>
        <v>Increasing</v>
      </c>
      <c r="AS995" s="94">
        <f t="shared" si="366"/>
        <v>0</v>
      </c>
      <c r="AT995" s="94">
        <f t="shared" si="367"/>
        <v>0.34254842429419602</v>
      </c>
      <c r="AU995" s="94">
        <f t="shared" si="352"/>
        <v>0.461766578141106</v>
      </c>
      <c r="AV995" s="94">
        <f t="shared" si="353"/>
        <v>0.461766578141106</v>
      </c>
    </row>
    <row r="996" spans="1:48" x14ac:dyDescent="0.3">
      <c r="A996" s="85" t="str">
        <f>_xlfn.XLOOKUP(B996,'Country codes &amp; Data sources'!G:G,'Country codes &amp; Data sources'!H:H,,0)</f>
        <v>Cameroon</v>
      </c>
      <c r="B996" s="85" t="s">
        <v>168</v>
      </c>
      <c r="C996" s="85">
        <v>21032687</v>
      </c>
      <c r="D996" s="85" t="s">
        <v>329</v>
      </c>
      <c r="E996" s="86">
        <v>0</v>
      </c>
      <c r="F996" s="86">
        <v>21632850.000000004</v>
      </c>
      <c r="G996" s="113">
        <v>18954</v>
      </c>
      <c r="H996" s="86"/>
      <c r="I996" s="86">
        <v>0</v>
      </c>
      <c r="J996" s="86"/>
      <c r="K996" s="86">
        <v>0</v>
      </c>
      <c r="L996" s="86"/>
      <c r="M996" s="86">
        <v>0</v>
      </c>
      <c r="O996" s="86">
        <v>0</v>
      </c>
      <c r="P996" s="86">
        <v>25076746.500000015</v>
      </c>
      <c r="Q996" s="86">
        <v>9156</v>
      </c>
      <c r="R996" s="87">
        <f t="shared" si="351"/>
        <v>9925</v>
      </c>
      <c r="T996" s="87">
        <v>0</v>
      </c>
      <c r="U996" s="89"/>
      <c r="V996" s="89">
        <v>11478</v>
      </c>
      <c r="W996" s="90"/>
      <c r="X996" s="90">
        <v>4543</v>
      </c>
      <c r="Y996" s="90">
        <v>27914536.499999989</v>
      </c>
      <c r="Z996" s="90">
        <v>16473</v>
      </c>
      <c r="AA996" s="90">
        <v>9925</v>
      </c>
      <c r="AB996" s="89">
        <f t="shared" si="354"/>
        <v>18954</v>
      </c>
      <c r="AC996" s="89">
        <f t="shared" si="355"/>
        <v>9156</v>
      </c>
      <c r="AD996" s="89">
        <f t="shared" si="356"/>
        <v>16473</v>
      </c>
      <c r="AE996" s="90">
        <f t="shared" si="357"/>
        <v>18954</v>
      </c>
      <c r="AF996" s="90">
        <v>2013</v>
      </c>
      <c r="AG996" s="90">
        <f t="shared" si="359"/>
        <v>9925</v>
      </c>
      <c r="AH996" s="90" t="str">
        <f t="shared" si="360"/>
        <v>2018 (triag)</v>
      </c>
      <c r="AI996" s="90">
        <f t="shared" si="361"/>
        <v>16473</v>
      </c>
      <c r="AJ996" s="90">
        <f t="shared" si="362"/>
        <v>2022</v>
      </c>
      <c r="AK996" s="90" t="str">
        <f t="shared" si="363"/>
        <v/>
      </c>
      <c r="AL996" s="91">
        <f>IF(AK996="Adjust",(_xlfn.XLOOKUP(A996,'Adj factor'!A:A,'Adj factor'!I:I,,0)*AI996),'Master DataSheet (Rev)'!AI996)</f>
        <v>16473</v>
      </c>
      <c r="AM996" s="91">
        <f t="shared" si="364"/>
        <v>16473</v>
      </c>
      <c r="AN996" s="92" t="str">
        <f t="shared" si="365"/>
        <v>Increasing</v>
      </c>
      <c r="AS996" s="94">
        <f t="shared" si="366"/>
        <v>8.7616749526761364</v>
      </c>
      <c r="AT996" s="94">
        <f t="shared" si="367"/>
        <v>3.957849954737946</v>
      </c>
      <c r="AU996" s="94">
        <f t="shared" si="352"/>
        <v>5.9012264094014268</v>
      </c>
      <c r="AV996" s="94">
        <f t="shared" si="353"/>
        <v>5.9012264094014268</v>
      </c>
    </row>
    <row r="997" spans="1:48" x14ac:dyDescent="0.3">
      <c r="A997" s="85" t="str">
        <f>_xlfn.XLOOKUP(B997,'Country codes &amp; Data sources'!G:G,'Country codes &amp; Data sources'!H:H,,0)</f>
        <v>Cameroon</v>
      </c>
      <c r="B997" s="85" t="s">
        <v>168</v>
      </c>
      <c r="C997" s="85">
        <v>21032688</v>
      </c>
      <c r="D997" s="85" t="s">
        <v>330</v>
      </c>
      <c r="E997" s="86">
        <v>0</v>
      </c>
      <c r="F997" s="86">
        <v>21632850.000000004</v>
      </c>
      <c r="G997" s="86">
        <v>0</v>
      </c>
      <c r="H997" s="86"/>
      <c r="I997" s="86">
        <v>0</v>
      </c>
      <c r="J997" s="86"/>
      <c r="K997" s="86">
        <v>0</v>
      </c>
      <c r="L997" s="86"/>
      <c r="M997" s="86">
        <v>0</v>
      </c>
      <c r="N997" s="86"/>
      <c r="O997" s="86">
        <v>0</v>
      </c>
      <c r="P997" s="86">
        <v>25076746.500000015</v>
      </c>
      <c r="Q997" s="86">
        <v>0</v>
      </c>
      <c r="R997" s="87">
        <f t="shared" si="351"/>
        <v>9925</v>
      </c>
      <c r="T997" s="87">
        <v>0</v>
      </c>
      <c r="U997" s="89"/>
      <c r="V997" s="89">
        <v>8841</v>
      </c>
      <c r="W997" s="90"/>
      <c r="X997" s="90">
        <v>3519</v>
      </c>
      <c r="Y997" s="90">
        <v>27914536.499999989</v>
      </c>
      <c r="Z997" s="90">
        <v>11485</v>
      </c>
      <c r="AA997" s="90">
        <v>9925</v>
      </c>
      <c r="AB997" s="89">
        <f t="shared" si="354"/>
        <v>0</v>
      </c>
      <c r="AC997" s="89">
        <f t="shared" si="355"/>
        <v>0</v>
      </c>
      <c r="AD997" s="89">
        <f t="shared" si="356"/>
        <v>11485</v>
      </c>
      <c r="AF997" s="90" t="str">
        <f t="shared" si="358"/>
        <v/>
      </c>
      <c r="AG997" s="90">
        <f t="shared" si="359"/>
        <v>9925</v>
      </c>
      <c r="AH997" s="90" t="str">
        <f t="shared" si="360"/>
        <v>2018 (triag)</v>
      </c>
      <c r="AI997" s="90">
        <f t="shared" si="361"/>
        <v>11485</v>
      </c>
      <c r="AJ997" s="90">
        <f t="shared" si="362"/>
        <v>2022</v>
      </c>
      <c r="AK997" s="90" t="str">
        <f t="shared" si="363"/>
        <v/>
      </c>
      <c r="AL997" s="91">
        <f>IF(AK997="Adjust",(_xlfn.XLOOKUP(A997,'Adj factor'!A:A,'Adj factor'!I:I,,0)*AI997),'Master DataSheet (Rev)'!AI997)</f>
        <v>11485</v>
      </c>
      <c r="AM997" s="91">
        <f t="shared" si="364"/>
        <v>11485</v>
      </c>
      <c r="AN997" s="92" t="str">
        <f t="shared" si="365"/>
        <v>Increasing</v>
      </c>
      <c r="AS997" s="94">
        <f t="shared" si="366"/>
        <v>0</v>
      </c>
      <c r="AT997" s="94">
        <f t="shared" si="367"/>
        <v>3.957849954737946</v>
      </c>
      <c r="AU997" s="94">
        <f t="shared" si="352"/>
        <v>4.114343793600157</v>
      </c>
      <c r="AV997" s="94">
        <f t="shared" si="353"/>
        <v>4.114343793600157</v>
      </c>
    </row>
    <row r="998" spans="1:48" x14ac:dyDescent="0.3">
      <c r="A998" s="85" t="str">
        <f>_xlfn.XLOOKUP(B998,'Country codes &amp; Data sources'!G:G,'Country codes &amp; Data sources'!H:H,,0)</f>
        <v>Cameroon</v>
      </c>
      <c r="B998" s="85" t="s">
        <v>168</v>
      </c>
      <c r="C998" s="85">
        <v>21032689</v>
      </c>
      <c r="D998" s="85" t="s">
        <v>331</v>
      </c>
      <c r="E998" s="86">
        <v>0</v>
      </c>
      <c r="F998" s="86">
        <v>21632850.000000004</v>
      </c>
      <c r="G998" s="86">
        <v>0</v>
      </c>
      <c r="H998" s="86"/>
      <c r="I998" s="86">
        <v>0</v>
      </c>
      <c r="J998" s="86"/>
      <c r="K998" s="86">
        <v>0</v>
      </c>
      <c r="L998" s="86"/>
      <c r="M998" s="86">
        <v>0</v>
      </c>
      <c r="N998" s="86"/>
      <c r="O998" s="86">
        <v>0</v>
      </c>
      <c r="P998" s="86">
        <v>25076746.500000015</v>
      </c>
      <c r="Q998" s="86">
        <v>0</v>
      </c>
      <c r="R998" s="87">
        <f t="shared" si="351"/>
        <v>0</v>
      </c>
      <c r="T998" s="87">
        <v>0</v>
      </c>
      <c r="U998" s="89"/>
      <c r="V998" s="89">
        <v>1202</v>
      </c>
      <c r="W998" s="90"/>
      <c r="X998" s="90">
        <v>43</v>
      </c>
      <c r="Y998" s="90">
        <v>27914536.499999989</v>
      </c>
      <c r="Z998" s="90">
        <v>4925</v>
      </c>
      <c r="AA998" s="90">
        <v>0</v>
      </c>
      <c r="AB998" s="89">
        <f t="shared" si="354"/>
        <v>0</v>
      </c>
      <c r="AC998" s="89">
        <f t="shared" si="355"/>
        <v>0</v>
      </c>
      <c r="AD998" s="89">
        <f t="shared" si="356"/>
        <v>4925</v>
      </c>
      <c r="AF998" s="90" t="str">
        <f t="shared" si="358"/>
        <v/>
      </c>
      <c r="AH998" s="90" t="str">
        <f t="shared" si="360"/>
        <v/>
      </c>
      <c r="AI998" s="90">
        <f t="shared" si="361"/>
        <v>4925</v>
      </c>
      <c r="AJ998" s="90">
        <f t="shared" si="362"/>
        <v>2022</v>
      </c>
      <c r="AK998" s="90" t="str">
        <f t="shared" si="363"/>
        <v/>
      </c>
      <c r="AL998" s="91">
        <f>IF(AK998="Adjust",(_xlfn.XLOOKUP(A998,'Adj factor'!A:A,'Adj factor'!I:I,,0)*AI998),'Master DataSheet (Rev)'!AI998)</f>
        <v>4925</v>
      </c>
      <c r="AM998" s="91">
        <f t="shared" si="364"/>
        <v>4925</v>
      </c>
      <c r="AN998" s="92" t="str">
        <f t="shared" si="365"/>
        <v>Increasing</v>
      </c>
      <c r="AS998" s="94">
        <f t="shared" si="366"/>
        <v>0</v>
      </c>
      <c r="AT998" s="94">
        <f t="shared" si="367"/>
        <v>0</v>
      </c>
      <c r="AU998" s="94">
        <f t="shared" si="352"/>
        <v>1.7643137295150868</v>
      </c>
      <c r="AV998" s="94">
        <f t="shared" si="353"/>
        <v>1.7643137295150868</v>
      </c>
    </row>
    <row r="999" spans="1:48" x14ac:dyDescent="0.3">
      <c r="A999" s="85" t="str">
        <f>_xlfn.XLOOKUP(B999,'Country codes &amp; Data sources'!G:G,'Country codes &amp; Data sources'!H:H,,0)</f>
        <v>Cameroon</v>
      </c>
      <c r="B999" s="85" t="s">
        <v>168</v>
      </c>
      <c r="C999" s="85">
        <v>21032690</v>
      </c>
      <c r="D999" s="85" t="s">
        <v>332</v>
      </c>
      <c r="E999" s="86">
        <v>0</v>
      </c>
      <c r="F999" s="86">
        <v>21632850.000000004</v>
      </c>
      <c r="G999" s="86">
        <v>127</v>
      </c>
      <c r="H999" s="86"/>
      <c r="I999" s="86">
        <v>0</v>
      </c>
      <c r="J999" s="86"/>
      <c r="K999" s="86">
        <v>0</v>
      </c>
      <c r="L999" s="86"/>
      <c r="M999" s="86">
        <v>0</v>
      </c>
      <c r="N999" s="86"/>
      <c r="O999" s="86">
        <v>0</v>
      </c>
      <c r="P999" s="86">
        <v>25076746.500000015</v>
      </c>
      <c r="Q999" s="86">
        <v>0</v>
      </c>
      <c r="R999" s="87">
        <f t="shared" si="351"/>
        <v>690</v>
      </c>
      <c r="T999" s="87">
        <v>0</v>
      </c>
      <c r="U999" s="89"/>
      <c r="V999" s="89">
        <v>1258</v>
      </c>
      <c r="W999" s="90"/>
      <c r="X999" s="90">
        <v>704</v>
      </c>
      <c r="Y999" s="90">
        <v>27914536.499999989</v>
      </c>
      <c r="Z999" s="90">
        <v>1674</v>
      </c>
      <c r="AA999" s="90">
        <v>690</v>
      </c>
      <c r="AB999" s="89">
        <f t="shared" si="354"/>
        <v>127</v>
      </c>
      <c r="AC999" s="89">
        <f t="shared" si="355"/>
        <v>0</v>
      </c>
      <c r="AD999" s="89">
        <f t="shared" si="356"/>
        <v>1674</v>
      </c>
      <c r="AE999" s="90">
        <f t="shared" si="357"/>
        <v>127</v>
      </c>
      <c r="AF999" s="90">
        <f t="shared" si="358"/>
        <v>2013</v>
      </c>
      <c r="AG999" s="90">
        <f t="shared" si="359"/>
        <v>690</v>
      </c>
      <c r="AH999" s="90" t="str">
        <f t="shared" si="360"/>
        <v>2018 (triag)</v>
      </c>
      <c r="AI999" s="90">
        <f t="shared" si="361"/>
        <v>1674</v>
      </c>
      <c r="AJ999" s="90">
        <f t="shared" si="362"/>
        <v>2022</v>
      </c>
      <c r="AK999" s="90" t="str">
        <f t="shared" si="363"/>
        <v/>
      </c>
      <c r="AL999" s="91">
        <f>IF(AK999="Adjust",(_xlfn.XLOOKUP(A999,'Adj factor'!A:A,'Adj factor'!I:I,,0)*AI999),'Master DataSheet (Rev)'!AI999)</f>
        <v>1674</v>
      </c>
      <c r="AM999" s="91">
        <f t="shared" si="364"/>
        <v>1674</v>
      </c>
      <c r="AN999" s="92" t="str">
        <f t="shared" si="365"/>
        <v>Increasing</v>
      </c>
      <c r="AS999" s="94">
        <f t="shared" si="366"/>
        <v>5.870701271445971E-2</v>
      </c>
      <c r="AT999" s="94">
        <f t="shared" si="367"/>
        <v>0.27515531171477908</v>
      </c>
      <c r="AU999" s="94">
        <f t="shared" si="352"/>
        <v>0.59968754989000106</v>
      </c>
      <c r="AV999" s="94">
        <f t="shared" si="353"/>
        <v>0.59968754989000106</v>
      </c>
    </row>
    <row r="1000" spans="1:48" x14ac:dyDescent="0.3">
      <c r="A1000" s="85" t="str">
        <f>_xlfn.XLOOKUP(B1000,'Country codes &amp; Data sources'!G:G,'Country codes &amp; Data sources'!H:H,,0)</f>
        <v>Cameroon</v>
      </c>
      <c r="B1000" s="85" t="s">
        <v>168</v>
      </c>
      <c r="C1000" s="85">
        <v>21032691</v>
      </c>
      <c r="D1000" s="85" t="s">
        <v>333</v>
      </c>
      <c r="E1000" s="86">
        <v>0</v>
      </c>
      <c r="F1000" s="86">
        <v>21632850.000000004</v>
      </c>
      <c r="G1000" s="86">
        <v>127</v>
      </c>
      <c r="H1000" s="86"/>
      <c r="I1000" s="86">
        <v>0</v>
      </c>
      <c r="J1000" s="86"/>
      <c r="K1000" s="86">
        <v>0</v>
      </c>
      <c r="L1000" s="86"/>
      <c r="M1000" s="86">
        <v>0</v>
      </c>
      <c r="N1000" s="86"/>
      <c r="O1000" s="86">
        <v>0</v>
      </c>
      <c r="P1000" s="86">
        <v>25076746.500000015</v>
      </c>
      <c r="Q1000" s="86">
        <v>0</v>
      </c>
      <c r="R1000" s="87">
        <f t="shared" si="351"/>
        <v>690</v>
      </c>
      <c r="T1000" s="87">
        <v>0</v>
      </c>
      <c r="U1000" s="89"/>
      <c r="V1000" s="89">
        <v>998</v>
      </c>
      <c r="W1000" s="90"/>
      <c r="X1000" s="90">
        <v>704</v>
      </c>
      <c r="Y1000" s="90">
        <v>27914536.499999989</v>
      </c>
      <c r="Z1000" s="90">
        <v>1578</v>
      </c>
      <c r="AA1000" s="90">
        <v>690</v>
      </c>
      <c r="AB1000" s="89">
        <f t="shared" si="354"/>
        <v>127</v>
      </c>
      <c r="AC1000" s="89">
        <f t="shared" si="355"/>
        <v>0</v>
      </c>
      <c r="AD1000" s="89">
        <f t="shared" si="356"/>
        <v>1578</v>
      </c>
      <c r="AE1000" s="90">
        <f t="shared" si="357"/>
        <v>127</v>
      </c>
      <c r="AF1000" s="90">
        <f t="shared" si="358"/>
        <v>2013</v>
      </c>
      <c r="AG1000" s="90">
        <f t="shared" si="359"/>
        <v>690</v>
      </c>
      <c r="AH1000" s="90" t="str">
        <f t="shared" si="360"/>
        <v>2018 (triag)</v>
      </c>
      <c r="AI1000" s="90">
        <f t="shared" si="361"/>
        <v>1578</v>
      </c>
      <c r="AJ1000" s="90">
        <f t="shared" si="362"/>
        <v>2022</v>
      </c>
      <c r="AK1000" s="90" t="str">
        <f t="shared" si="363"/>
        <v/>
      </c>
      <c r="AL1000" s="91">
        <f>IF(AK1000="Adjust",(_xlfn.XLOOKUP(A1000,'Adj factor'!A:A,'Adj factor'!I:I,,0)*AI1000),'Master DataSheet (Rev)'!AI1000)</f>
        <v>1578</v>
      </c>
      <c r="AM1000" s="91">
        <f t="shared" si="364"/>
        <v>1578</v>
      </c>
      <c r="AN1000" s="92" t="str">
        <f t="shared" si="365"/>
        <v>Increasing</v>
      </c>
      <c r="AS1000" s="94">
        <f t="shared" si="366"/>
        <v>5.870701271445971E-2</v>
      </c>
      <c r="AT1000" s="94">
        <f t="shared" si="367"/>
        <v>0.27515531171477908</v>
      </c>
      <c r="AU1000" s="94">
        <f t="shared" si="352"/>
        <v>0.56529686602534157</v>
      </c>
      <c r="AV1000" s="94">
        <f t="shared" si="353"/>
        <v>0.56529686602534157</v>
      </c>
    </row>
    <row r="1001" spans="1:48" x14ac:dyDescent="0.3">
      <c r="A1001" s="85" t="str">
        <f>_xlfn.XLOOKUP(B1001,'Country codes &amp; Data sources'!G:G,'Country codes &amp; Data sources'!H:H,,0)</f>
        <v>Cameroon</v>
      </c>
      <c r="B1001" s="85" t="s">
        <v>168</v>
      </c>
      <c r="C1001" s="85">
        <v>21032692</v>
      </c>
      <c r="D1001" s="85" t="s">
        <v>334</v>
      </c>
      <c r="E1001" s="86">
        <v>0</v>
      </c>
      <c r="F1001" s="86">
        <v>21632850.000000004</v>
      </c>
      <c r="G1001" s="86">
        <v>0</v>
      </c>
      <c r="H1001" s="86"/>
      <c r="I1001" s="86">
        <v>0</v>
      </c>
      <c r="J1001" s="86"/>
      <c r="K1001" s="86">
        <v>0</v>
      </c>
      <c r="L1001" s="86"/>
      <c r="M1001" s="86">
        <v>0</v>
      </c>
      <c r="N1001" s="86"/>
      <c r="O1001" s="86">
        <v>0</v>
      </c>
      <c r="P1001" s="86">
        <v>25076746.500000015</v>
      </c>
      <c r="Q1001" s="86">
        <v>0</v>
      </c>
      <c r="R1001" s="87">
        <f t="shared" si="351"/>
        <v>0</v>
      </c>
      <c r="T1001" s="87">
        <v>0</v>
      </c>
      <c r="U1001" s="89"/>
      <c r="V1001" s="89">
        <v>239</v>
      </c>
      <c r="W1001" s="90"/>
      <c r="X1001" s="90">
        <v>0</v>
      </c>
      <c r="Y1001" s="90">
        <v>27914536.499999989</v>
      </c>
      <c r="Z1001" s="90">
        <v>77</v>
      </c>
      <c r="AA1001" s="90">
        <v>0</v>
      </c>
      <c r="AB1001" s="89">
        <f t="shared" si="354"/>
        <v>0</v>
      </c>
      <c r="AC1001" s="89">
        <f t="shared" si="355"/>
        <v>0</v>
      </c>
      <c r="AD1001" s="89">
        <f t="shared" si="356"/>
        <v>239</v>
      </c>
      <c r="AF1001" s="90" t="str">
        <f t="shared" si="358"/>
        <v/>
      </c>
      <c r="AH1001" s="90" t="str">
        <f t="shared" si="360"/>
        <v/>
      </c>
      <c r="AI1001" s="90">
        <f t="shared" si="361"/>
        <v>77</v>
      </c>
      <c r="AJ1001" s="90">
        <f t="shared" si="362"/>
        <v>2022</v>
      </c>
      <c r="AK1001" s="90" t="str">
        <f t="shared" si="363"/>
        <v/>
      </c>
      <c r="AL1001" s="91">
        <f>IF(AK1001="Adjust",(_xlfn.XLOOKUP(A1001,'Adj factor'!A:A,'Adj factor'!I:I,,0)*AI1001),'Master DataSheet (Rev)'!AI1001)</f>
        <v>77</v>
      </c>
      <c r="AM1001" s="91">
        <f t="shared" si="364"/>
        <v>77</v>
      </c>
      <c r="AN1001" s="92" t="str">
        <f t="shared" si="365"/>
        <v>Increasing</v>
      </c>
      <c r="AS1001" s="94">
        <f t="shared" si="366"/>
        <v>0</v>
      </c>
      <c r="AT1001" s="94">
        <f t="shared" si="367"/>
        <v>0</v>
      </c>
      <c r="AU1001" s="94">
        <f t="shared" si="352"/>
        <v>2.7584194349779025E-2</v>
      </c>
      <c r="AV1001" s="94">
        <f t="shared" si="353"/>
        <v>2.7584194349779025E-2</v>
      </c>
    </row>
    <row r="1002" spans="1:48" x14ac:dyDescent="0.3">
      <c r="A1002" s="85" t="str">
        <f>_xlfn.XLOOKUP(B1002,'Country codes &amp; Data sources'!G:G,'Country codes &amp; Data sources'!H:H,,0)</f>
        <v>Cameroon</v>
      </c>
      <c r="B1002" s="85" t="s">
        <v>168</v>
      </c>
      <c r="C1002" s="85">
        <v>21032693</v>
      </c>
      <c r="D1002" s="85" t="s">
        <v>335</v>
      </c>
      <c r="E1002" s="86">
        <v>0</v>
      </c>
      <c r="F1002" s="86">
        <v>21632850.000000004</v>
      </c>
      <c r="G1002" s="86">
        <v>0</v>
      </c>
      <c r="H1002" s="86"/>
      <c r="I1002" s="86">
        <v>0</v>
      </c>
      <c r="J1002" s="86"/>
      <c r="K1002" s="86">
        <v>0</v>
      </c>
      <c r="L1002" s="86"/>
      <c r="M1002" s="86">
        <v>199</v>
      </c>
      <c r="N1002" s="86"/>
      <c r="O1002" s="86">
        <v>0</v>
      </c>
      <c r="P1002" s="86">
        <v>25076746.500000015</v>
      </c>
      <c r="Q1002" s="86">
        <v>14</v>
      </c>
      <c r="R1002" s="87">
        <f t="shared" si="351"/>
        <v>350</v>
      </c>
      <c r="T1002" s="87">
        <v>0</v>
      </c>
      <c r="U1002" s="89"/>
      <c r="V1002" s="89">
        <v>337</v>
      </c>
      <c r="W1002" s="90"/>
      <c r="X1002" s="90">
        <v>264</v>
      </c>
      <c r="Y1002" s="90">
        <v>27914536.499999989</v>
      </c>
      <c r="Z1002" s="90">
        <v>602</v>
      </c>
      <c r="AA1002" s="90">
        <v>350</v>
      </c>
      <c r="AB1002" s="89">
        <f t="shared" si="354"/>
        <v>0</v>
      </c>
      <c r="AC1002" s="89">
        <f t="shared" si="355"/>
        <v>199</v>
      </c>
      <c r="AD1002" s="89">
        <f t="shared" si="356"/>
        <v>602</v>
      </c>
      <c r="AE1002" s="113">
        <v>162</v>
      </c>
      <c r="AF1002" s="90">
        <v>2013</v>
      </c>
      <c r="AG1002" s="90">
        <f t="shared" si="359"/>
        <v>350</v>
      </c>
      <c r="AH1002" s="90" t="str">
        <f t="shared" si="360"/>
        <v>2018 (triag)</v>
      </c>
      <c r="AI1002" s="90">
        <f t="shared" si="361"/>
        <v>602</v>
      </c>
      <c r="AJ1002" s="90">
        <f t="shared" si="362"/>
        <v>2022</v>
      </c>
      <c r="AK1002" s="90" t="str">
        <f t="shared" si="363"/>
        <v/>
      </c>
      <c r="AL1002" s="91">
        <f>IF(AK1002="Adjust",(_xlfn.XLOOKUP(A1002,'Adj factor'!A:A,'Adj factor'!I:I,,0)*AI1002),'Master DataSheet (Rev)'!AI1002)</f>
        <v>602</v>
      </c>
      <c r="AM1002" s="91">
        <f t="shared" si="364"/>
        <v>602</v>
      </c>
      <c r="AN1002" s="92" t="str">
        <f t="shared" si="365"/>
        <v>Increasing</v>
      </c>
      <c r="AS1002" s="94">
        <f t="shared" si="366"/>
        <v>7.4886110706633646E-2</v>
      </c>
      <c r="AT1002" s="94">
        <f t="shared" si="367"/>
        <v>0.13957153492778651</v>
      </c>
      <c r="AU1002" s="94">
        <f t="shared" si="352"/>
        <v>0.21565824673463599</v>
      </c>
      <c r="AV1002" s="94">
        <f t="shared" si="353"/>
        <v>0.21565824673463599</v>
      </c>
    </row>
    <row r="1003" spans="1:48" x14ac:dyDescent="0.3">
      <c r="A1003" s="85" t="str">
        <f>_xlfn.XLOOKUP(B1003,'Country codes &amp; Data sources'!G:G,'Country codes &amp; Data sources'!H:H,,0)</f>
        <v>Cameroon</v>
      </c>
      <c r="B1003" s="85" t="s">
        <v>168</v>
      </c>
      <c r="C1003" s="85">
        <v>21032694</v>
      </c>
      <c r="D1003" s="85" t="s">
        <v>336</v>
      </c>
      <c r="E1003" s="86">
        <v>0</v>
      </c>
      <c r="F1003" s="86">
        <v>21632850.000000004</v>
      </c>
      <c r="G1003" s="86">
        <v>0</v>
      </c>
      <c r="H1003" s="86"/>
      <c r="I1003" s="86">
        <v>0</v>
      </c>
      <c r="J1003" s="86"/>
      <c r="K1003" s="86">
        <v>0</v>
      </c>
      <c r="L1003" s="86"/>
      <c r="M1003" s="86">
        <v>0</v>
      </c>
      <c r="N1003" s="86"/>
      <c r="O1003" s="86">
        <v>0</v>
      </c>
      <c r="P1003" s="86">
        <v>25076746.500000015</v>
      </c>
      <c r="Q1003" s="86">
        <v>0</v>
      </c>
      <c r="R1003" s="87">
        <f t="shared" si="351"/>
        <v>0</v>
      </c>
      <c r="T1003" s="87">
        <v>0</v>
      </c>
      <c r="U1003" s="89"/>
      <c r="V1003" s="89">
        <v>54</v>
      </c>
      <c r="W1003" s="90"/>
      <c r="X1003" s="90">
        <v>324</v>
      </c>
      <c r="Y1003" s="90">
        <v>27914536.499999989</v>
      </c>
      <c r="Z1003" s="90">
        <v>369</v>
      </c>
      <c r="AA1003" s="90">
        <v>0</v>
      </c>
      <c r="AB1003" s="89">
        <f t="shared" si="354"/>
        <v>0</v>
      </c>
      <c r="AC1003" s="89">
        <f t="shared" si="355"/>
        <v>0</v>
      </c>
      <c r="AD1003" s="89">
        <f t="shared" si="356"/>
        <v>369</v>
      </c>
      <c r="AE1003" s="113">
        <v>1178</v>
      </c>
      <c r="AF1003" s="90">
        <v>2013</v>
      </c>
      <c r="AH1003" s="90" t="str">
        <f t="shared" si="360"/>
        <v/>
      </c>
      <c r="AI1003" s="90">
        <f t="shared" si="361"/>
        <v>369</v>
      </c>
      <c r="AJ1003" s="90">
        <f t="shared" si="362"/>
        <v>2022</v>
      </c>
      <c r="AK1003" s="90" t="str">
        <f t="shared" si="363"/>
        <v/>
      </c>
      <c r="AL1003" s="91">
        <f>IF(AK1003="Adjust",(_xlfn.XLOOKUP(A1003,'Adj factor'!A:A,'Adj factor'!I:I,,0)*AI1003),'Master DataSheet (Rev)'!AI1003)</f>
        <v>369</v>
      </c>
      <c r="AM1003" s="91">
        <f t="shared" si="364"/>
        <v>369</v>
      </c>
      <c r="AN1003" s="92" t="str">
        <f t="shared" si="365"/>
        <v>Increasing</v>
      </c>
      <c r="AS1003" s="94">
        <f t="shared" si="366"/>
        <v>0.54454221242231138</v>
      </c>
      <c r="AT1003" s="94">
        <f t="shared" si="367"/>
        <v>0</v>
      </c>
      <c r="AU1003" s="94">
        <f t="shared" si="352"/>
        <v>0.13218919110478519</v>
      </c>
      <c r="AV1003" s="94">
        <f t="shared" si="353"/>
        <v>0.13218919110478519</v>
      </c>
    </row>
    <row r="1004" spans="1:48" x14ac:dyDescent="0.3">
      <c r="A1004" s="85" t="str">
        <f>_xlfn.XLOOKUP(B1004,'Country codes &amp; Data sources'!G:G,'Country codes &amp; Data sources'!H:H,,0)</f>
        <v>Cameroon</v>
      </c>
      <c r="B1004" s="85" t="s">
        <v>168</v>
      </c>
      <c r="C1004" s="85">
        <v>21032695</v>
      </c>
      <c r="D1004" s="85" t="s">
        <v>337</v>
      </c>
      <c r="E1004" s="86">
        <v>0</v>
      </c>
      <c r="F1004" s="86">
        <v>21632850.000000004</v>
      </c>
      <c r="G1004" s="86">
        <v>0</v>
      </c>
      <c r="H1004" s="86"/>
      <c r="I1004" s="86">
        <v>0</v>
      </c>
      <c r="J1004" s="86"/>
      <c r="K1004" s="86">
        <v>0</v>
      </c>
      <c r="L1004" s="86"/>
      <c r="M1004" s="86">
        <v>88</v>
      </c>
      <c r="N1004" s="86"/>
      <c r="O1004" s="86">
        <v>0</v>
      </c>
      <c r="P1004" s="86">
        <v>25076746.500000015</v>
      </c>
      <c r="Q1004" s="86">
        <v>0</v>
      </c>
      <c r="R1004" s="87">
        <f t="shared" si="351"/>
        <v>308</v>
      </c>
      <c r="T1004" s="87">
        <v>300</v>
      </c>
      <c r="U1004" s="89"/>
      <c r="V1004" s="89">
        <v>179</v>
      </c>
      <c r="W1004" s="90"/>
      <c r="X1004" s="90">
        <v>133</v>
      </c>
      <c r="Y1004" s="90">
        <v>27914536.499999989</v>
      </c>
      <c r="Z1004" s="90">
        <v>317</v>
      </c>
      <c r="AA1004" s="90">
        <v>308</v>
      </c>
      <c r="AB1004" s="89">
        <f t="shared" si="354"/>
        <v>0</v>
      </c>
      <c r="AC1004" s="89">
        <f t="shared" si="355"/>
        <v>300</v>
      </c>
      <c r="AD1004" s="89">
        <f t="shared" si="356"/>
        <v>317</v>
      </c>
      <c r="AE1004" s="113">
        <v>58</v>
      </c>
      <c r="AF1004" s="90">
        <v>2013</v>
      </c>
      <c r="AG1004" s="90">
        <f t="shared" si="359"/>
        <v>308</v>
      </c>
      <c r="AH1004" s="90" t="str">
        <f t="shared" si="360"/>
        <v>2018 (triag)</v>
      </c>
      <c r="AI1004" s="90">
        <f t="shared" si="361"/>
        <v>317</v>
      </c>
      <c r="AJ1004" s="90">
        <f t="shared" si="362"/>
        <v>2022</v>
      </c>
      <c r="AK1004" s="90" t="str">
        <f t="shared" si="363"/>
        <v/>
      </c>
      <c r="AL1004" s="91">
        <f>IF(AK1004="Adjust",(_xlfn.XLOOKUP(A1004,'Adj factor'!A:A,'Adj factor'!I:I,,0)*AI1004),'Master DataSheet (Rev)'!AI1004)</f>
        <v>317</v>
      </c>
      <c r="AM1004" s="91">
        <f t="shared" si="364"/>
        <v>317</v>
      </c>
      <c r="AN1004" s="92" t="str">
        <f t="shared" si="365"/>
        <v>Increasing</v>
      </c>
      <c r="AS1004" s="94">
        <f t="shared" si="366"/>
        <v>2.681107667274538E-2</v>
      </c>
      <c r="AT1004" s="94">
        <f t="shared" si="367"/>
        <v>0.12282295073645212</v>
      </c>
      <c r="AU1004" s="94">
        <f t="shared" si="352"/>
        <v>0.11356090401142793</v>
      </c>
      <c r="AV1004" s="94">
        <f t="shared" si="353"/>
        <v>0.11356090401142793</v>
      </c>
    </row>
    <row r="1005" spans="1:48" x14ac:dyDescent="0.3">
      <c r="A1005" s="85" t="str">
        <f>_xlfn.XLOOKUP(B1005,'Country codes &amp; Data sources'!G:G,'Country codes &amp; Data sources'!H:H,,0)</f>
        <v>Cameroon</v>
      </c>
      <c r="B1005" s="85" t="s">
        <v>168</v>
      </c>
      <c r="C1005" s="85">
        <v>21032696</v>
      </c>
      <c r="D1005" s="85" t="s">
        <v>338</v>
      </c>
      <c r="E1005" s="86">
        <v>0</v>
      </c>
      <c r="F1005" s="86">
        <v>21632850.000000004</v>
      </c>
      <c r="G1005" s="86">
        <v>0</v>
      </c>
      <c r="H1005" s="86"/>
      <c r="I1005" s="86">
        <v>0</v>
      </c>
      <c r="J1005" s="86"/>
      <c r="K1005" s="86">
        <v>0</v>
      </c>
      <c r="L1005" s="86"/>
      <c r="M1005" s="86">
        <v>0</v>
      </c>
      <c r="N1005" s="86"/>
      <c r="O1005" s="86">
        <v>0</v>
      </c>
      <c r="P1005" s="86">
        <v>25076746.500000015</v>
      </c>
      <c r="Q1005" s="86">
        <v>0</v>
      </c>
      <c r="R1005" s="87">
        <f t="shared" si="351"/>
        <v>0</v>
      </c>
      <c r="T1005" s="87">
        <v>0</v>
      </c>
      <c r="U1005" s="89"/>
      <c r="V1005" s="89">
        <v>45</v>
      </c>
      <c r="W1005" s="90"/>
      <c r="X1005" s="90">
        <v>97</v>
      </c>
      <c r="Y1005" s="90">
        <v>27914536.499999989</v>
      </c>
      <c r="Z1005" s="90">
        <v>88</v>
      </c>
      <c r="AA1005" s="90">
        <v>0</v>
      </c>
      <c r="AB1005" s="89">
        <f t="shared" si="354"/>
        <v>0</v>
      </c>
      <c r="AC1005" s="89">
        <f t="shared" si="355"/>
        <v>0</v>
      </c>
      <c r="AD1005" s="89">
        <f t="shared" si="356"/>
        <v>97</v>
      </c>
      <c r="AF1005" s="90" t="str">
        <f t="shared" si="358"/>
        <v/>
      </c>
      <c r="AH1005" s="90" t="str">
        <f t="shared" si="360"/>
        <v/>
      </c>
      <c r="AI1005" s="90">
        <f t="shared" si="361"/>
        <v>88</v>
      </c>
      <c r="AJ1005" s="90">
        <f t="shared" si="362"/>
        <v>2022</v>
      </c>
      <c r="AK1005" s="90" t="str">
        <f t="shared" si="363"/>
        <v/>
      </c>
      <c r="AL1005" s="91">
        <f>IF(AK1005="Adjust",(_xlfn.XLOOKUP(A1005,'Adj factor'!A:A,'Adj factor'!I:I,,0)*AI1005),'Master DataSheet (Rev)'!AI1005)</f>
        <v>88</v>
      </c>
      <c r="AM1005" s="91">
        <f t="shared" si="364"/>
        <v>88</v>
      </c>
      <c r="AN1005" s="92" t="str">
        <f t="shared" si="365"/>
        <v>Increasing</v>
      </c>
      <c r="AS1005" s="94">
        <f t="shared" si="366"/>
        <v>0</v>
      </c>
      <c r="AT1005" s="94">
        <f t="shared" si="367"/>
        <v>0</v>
      </c>
      <c r="AU1005" s="94">
        <f t="shared" si="352"/>
        <v>3.1524793542604596E-2</v>
      </c>
      <c r="AV1005" s="94">
        <f t="shared" si="353"/>
        <v>3.1524793542604596E-2</v>
      </c>
    </row>
    <row r="1006" spans="1:48" x14ac:dyDescent="0.3">
      <c r="A1006" s="85" t="str">
        <f>_xlfn.XLOOKUP(B1006,'Country codes &amp; Data sources'!G:G,'Country codes &amp; Data sources'!H:H,,0)</f>
        <v>Cameroon</v>
      </c>
      <c r="B1006" s="85" t="s">
        <v>168</v>
      </c>
      <c r="C1006" s="85">
        <v>21032697</v>
      </c>
      <c r="D1006" s="85" t="s">
        <v>339</v>
      </c>
      <c r="E1006" s="86">
        <v>0</v>
      </c>
      <c r="F1006" s="86">
        <v>21632850.000000004</v>
      </c>
      <c r="G1006" s="86">
        <v>0</v>
      </c>
      <c r="H1006" s="86"/>
      <c r="I1006" s="86">
        <v>0</v>
      </c>
      <c r="J1006" s="86"/>
      <c r="K1006" s="86">
        <v>0</v>
      </c>
      <c r="L1006" s="86"/>
      <c r="M1006" s="86">
        <v>0</v>
      </c>
      <c r="N1006" s="86"/>
      <c r="O1006" s="86">
        <v>0</v>
      </c>
      <c r="P1006" s="86">
        <v>25076746.500000015</v>
      </c>
      <c r="Q1006" s="86">
        <v>0</v>
      </c>
      <c r="R1006" s="87">
        <f t="shared" si="351"/>
        <v>0</v>
      </c>
      <c r="T1006" s="87">
        <v>0</v>
      </c>
      <c r="U1006" s="89"/>
      <c r="V1006" s="89">
        <v>6</v>
      </c>
      <c r="W1006" s="90"/>
      <c r="X1006" s="90">
        <v>44</v>
      </c>
      <c r="Y1006" s="90">
        <v>27914536.499999989</v>
      </c>
      <c r="Z1006" s="90">
        <v>32</v>
      </c>
      <c r="AA1006" s="90">
        <v>0</v>
      </c>
      <c r="AB1006" s="89">
        <f t="shared" si="354"/>
        <v>0</v>
      </c>
      <c r="AC1006" s="89">
        <f t="shared" si="355"/>
        <v>0</v>
      </c>
      <c r="AD1006" s="89">
        <f t="shared" si="356"/>
        <v>44</v>
      </c>
      <c r="AF1006" s="90" t="str">
        <f t="shared" si="358"/>
        <v/>
      </c>
      <c r="AH1006" s="90" t="str">
        <f t="shared" si="360"/>
        <v/>
      </c>
      <c r="AI1006" s="90">
        <f t="shared" si="361"/>
        <v>32</v>
      </c>
      <c r="AJ1006" s="90">
        <f t="shared" si="362"/>
        <v>2022</v>
      </c>
      <c r="AK1006" s="90" t="str">
        <f t="shared" si="363"/>
        <v/>
      </c>
      <c r="AL1006" s="91">
        <f>IF(AK1006="Adjust",(_xlfn.XLOOKUP(A1006,'Adj factor'!A:A,'Adj factor'!I:I,,0)*AI1006),'Master DataSheet (Rev)'!AI1006)</f>
        <v>32</v>
      </c>
      <c r="AM1006" s="91">
        <f t="shared" si="364"/>
        <v>32</v>
      </c>
      <c r="AN1006" s="92" t="str">
        <f t="shared" si="365"/>
        <v>Increasing</v>
      </c>
      <c r="AS1006" s="94">
        <f t="shared" si="366"/>
        <v>0</v>
      </c>
      <c r="AT1006" s="94">
        <f t="shared" si="367"/>
        <v>0</v>
      </c>
      <c r="AU1006" s="94">
        <f t="shared" si="352"/>
        <v>1.1463561288219853E-2</v>
      </c>
      <c r="AV1006" s="94">
        <f t="shared" si="353"/>
        <v>1.1463561288219853E-2</v>
      </c>
    </row>
    <row r="1007" spans="1:48" x14ac:dyDescent="0.3">
      <c r="A1007" s="85" t="str">
        <f>_xlfn.XLOOKUP(B1007,'Country codes &amp; Data sources'!G:G,'Country codes &amp; Data sources'!H:H,,0)</f>
        <v>DRC</v>
      </c>
      <c r="B1007" s="85" t="s">
        <v>154</v>
      </c>
      <c r="C1007" s="85">
        <v>70997869.50000006</v>
      </c>
      <c r="D1007" s="85" t="s">
        <v>326</v>
      </c>
      <c r="E1007" s="86">
        <v>0</v>
      </c>
      <c r="F1007" s="86">
        <v>73460021</v>
      </c>
      <c r="G1007" s="86">
        <v>6418</v>
      </c>
      <c r="H1007" s="86">
        <v>76035588.49999994</v>
      </c>
      <c r="I1007" s="86">
        <v>0</v>
      </c>
      <c r="J1007" s="86">
        <v>78656903.50000006</v>
      </c>
      <c r="K1007" s="86">
        <v>0</v>
      </c>
      <c r="L1007" s="86">
        <v>81430976.499999985</v>
      </c>
      <c r="M1007" s="86">
        <v>0</v>
      </c>
      <c r="N1007" s="86">
        <v>84283273.000000045</v>
      </c>
      <c r="O1007" s="86">
        <v>0</v>
      </c>
      <c r="P1007" s="86">
        <v>87087354.999999985</v>
      </c>
      <c r="Q1007" s="86">
        <v>0</v>
      </c>
      <c r="R1007" s="87">
        <f t="shared" si="351"/>
        <v>31546</v>
      </c>
      <c r="S1007" s="87">
        <v>89906890.500000015</v>
      </c>
      <c r="T1007" s="87">
        <v>15016</v>
      </c>
      <c r="U1007" s="89">
        <v>92853164.500000015</v>
      </c>
      <c r="V1007" s="89">
        <v>0</v>
      </c>
      <c r="W1007" s="90">
        <v>95894118.499999985</v>
      </c>
      <c r="X1007" s="90">
        <v>16989</v>
      </c>
      <c r="Y1007" s="90">
        <v>99010212</v>
      </c>
      <c r="Z1007" s="90">
        <v>18493</v>
      </c>
      <c r="AA1007" s="90">
        <v>31546</v>
      </c>
      <c r="AB1007" s="89">
        <f t="shared" si="354"/>
        <v>6418</v>
      </c>
      <c r="AC1007" s="89">
        <f t="shared" si="355"/>
        <v>15016</v>
      </c>
      <c r="AD1007" s="89">
        <f t="shared" si="356"/>
        <v>18493</v>
      </c>
      <c r="AE1007" s="90">
        <f t="shared" si="357"/>
        <v>6418</v>
      </c>
      <c r="AF1007" s="90">
        <f t="shared" si="358"/>
        <v>2013</v>
      </c>
      <c r="AG1007" s="90">
        <f t="shared" si="359"/>
        <v>31546</v>
      </c>
      <c r="AH1007" s="90" t="str">
        <f t="shared" si="360"/>
        <v>2018 (triag)</v>
      </c>
      <c r="AI1007" s="90">
        <f t="shared" si="361"/>
        <v>18493</v>
      </c>
      <c r="AJ1007" s="90">
        <f t="shared" si="362"/>
        <v>2022</v>
      </c>
      <c r="AK1007" s="90" t="str">
        <f t="shared" si="363"/>
        <v>Adjust</v>
      </c>
      <c r="AL1007" s="91">
        <f>IF(AK1007="Adjust",(_xlfn.XLOOKUP(A1007,'Adj factor'!A:A,'Adj factor'!I:I,,0)*AI1007),'Master DataSheet (Rev)'!AI1007)</f>
        <v>21289.958719118578</v>
      </c>
      <c r="AM1007" s="91">
        <f t="shared" si="364"/>
        <v>31546</v>
      </c>
      <c r="AN1007" s="92" t="str">
        <f t="shared" si="365"/>
        <v>Decreasing</v>
      </c>
      <c r="AS1007" s="94">
        <f t="shared" si="366"/>
        <v>0.87367249731660168</v>
      </c>
      <c r="AT1007" s="94">
        <f t="shared" si="367"/>
        <v>3.6223398907912641</v>
      </c>
      <c r="AU1007" s="94">
        <f t="shared" si="352"/>
        <v>2.1502790761743422</v>
      </c>
      <c r="AV1007" s="94">
        <f t="shared" si="353"/>
        <v>3.186135991709623</v>
      </c>
    </row>
    <row r="1008" spans="1:48" x14ac:dyDescent="0.3">
      <c r="A1008" s="85" t="str">
        <f>_xlfn.XLOOKUP(B1008,'Country codes &amp; Data sources'!G:G,'Country codes &amp; Data sources'!H:H,,0)</f>
        <v>DRC</v>
      </c>
      <c r="B1008" s="85" t="s">
        <v>154</v>
      </c>
      <c r="C1008" s="85">
        <v>70997870.500000104</v>
      </c>
      <c r="D1008" s="85" t="s">
        <v>327</v>
      </c>
      <c r="E1008" s="86">
        <v>0</v>
      </c>
      <c r="F1008" s="86">
        <v>73460021</v>
      </c>
      <c r="G1008" s="86">
        <v>0</v>
      </c>
      <c r="H1008" s="86"/>
      <c r="I1008" s="86">
        <v>0</v>
      </c>
      <c r="J1008" s="86"/>
      <c r="K1008" s="86">
        <v>0</v>
      </c>
      <c r="L1008" s="86"/>
      <c r="M1008" s="86">
        <v>0</v>
      </c>
      <c r="N1008" s="86"/>
      <c r="O1008" s="86">
        <v>0</v>
      </c>
      <c r="P1008" s="86">
        <v>87087354.999999985</v>
      </c>
      <c r="Q1008" s="86">
        <v>0</v>
      </c>
      <c r="R1008" s="87">
        <f t="shared" si="351"/>
        <v>30768</v>
      </c>
      <c r="T1008" s="87">
        <v>15016</v>
      </c>
      <c r="U1008" s="89"/>
      <c r="V1008" s="89">
        <v>0</v>
      </c>
      <c r="W1008" s="90"/>
      <c r="X1008" s="90">
        <v>16989</v>
      </c>
      <c r="Y1008" s="90">
        <v>99010212</v>
      </c>
      <c r="Z1008" s="90">
        <v>18493</v>
      </c>
      <c r="AA1008" s="90">
        <v>30768</v>
      </c>
      <c r="AB1008" s="89">
        <f t="shared" si="354"/>
        <v>0</v>
      </c>
      <c r="AC1008" s="89">
        <f t="shared" si="355"/>
        <v>15016</v>
      </c>
      <c r="AD1008" s="89">
        <f t="shared" si="356"/>
        <v>18493</v>
      </c>
      <c r="AF1008" s="90" t="str">
        <f t="shared" si="358"/>
        <v/>
      </c>
      <c r="AG1008" s="90">
        <f t="shared" si="359"/>
        <v>30768</v>
      </c>
      <c r="AH1008" s="90" t="str">
        <f t="shared" si="360"/>
        <v>2018 (triag)</v>
      </c>
      <c r="AI1008" s="90">
        <f t="shared" si="361"/>
        <v>18493</v>
      </c>
      <c r="AJ1008" s="90">
        <f t="shared" si="362"/>
        <v>2022</v>
      </c>
      <c r="AK1008" s="90" t="str">
        <f t="shared" si="363"/>
        <v>Adjust</v>
      </c>
      <c r="AL1008" s="91">
        <f>IF(AK1008="Adjust",(_xlfn.XLOOKUP(A1008,'Adj factor'!A:A,'Adj factor'!I:I,,0)*AI1008),'Master DataSheet (Rev)'!AI1008)</f>
        <v>21289.958719118578</v>
      </c>
      <c r="AM1008" s="91">
        <f t="shared" si="364"/>
        <v>30768</v>
      </c>
      <c r="AN1008" s="92" t="str">
        <f t="shared" si="365"/>
        <v>Decreasing</v>
      </c>
      <c r="AS1008" s="94">
        <f t="shared" si="366"/>
        <v>0</v>
      </c>
      <c r="AT1008" s="94">
        <f t="shared" si="367"/>
        <v>3.5330043035524508</v>
      </c>
      <c r="AU1008" s="94">
        <f t="shared" si="352"/>
        <v>2.1502790761743422</v>
      </c>
      <c r="AV1008" s="94">
        <f t="shared" si="353"/>
        <v>3.1075582385380609</v>
      </c>
    </row>
    <row r="1009" spans="1:48" x14ac:dyDescent="0.3">
      <c r="A1009" s="85" t="str">
        <f>_xlfn.XLOOKUP(B1009,'Country codes &amp; Data sources'!G:G,'Country codes &amp; Data sources'!H:H,,0)</f>
        <v>DRC</v>
      </c>
      <c r="B1009" s="85" t="s">
        <v>154</v>
      </c>
      <c r="C1009" s="85">
        <v>70997871.500000104</v>
      </c>
      <c r="D1009" s="85" t="s">
        <v>328</v>
      </c>
      <c r="E1009" s="86">
        <v>0</v>
      </c>
      <c r="F1009" s="86">
        <v>73460021</v>
      </c>
      <c r="G1009" s="86">
        <v>0</v>
      </c>
      <c r="H1009" s="86"/>
      <c r="I1009" s="86">
        <v>0</v>
      </c>
      <c r="J1009" s="86"/>
      <c r="K1009" s="86">
        <v>0</v>
      </c>
      <c r="L1009" s="86"/>
      <c r="M1009" s="86">
        <v>0</v>
      </c>
      <c r="N1009" s="86"/>
      <c r="O1009" s="86">
        <v>0</v>
      </c>
      <c r="P1009" s="86">
        <v>87087354.999999985</v>
      </c>
      <c r="Q1009" s="86">
        <v>0</v>
      </c>
      <c r="R1009" s="87">
        <f t="shared" si="351"/>
        <v>778</v>
      </c>
      <c r="T1009" s="87">
        <v>0</v>
      </c>
      <c r="U1009" s="89"/>
      <c r="V1009" s="89">
        <v>0</v>
      </c>
      <c r="W1009" s="90"/>
      <c r="X1009" s="90">
        <v>0</v>
      </c>
      <c r="Y1009" s="90">
        <v>99010212</v>
      </c>
      <c r="Z1009" s="90">
        <v>0</v>
      </c>
      <c r="AA1009" s="90">
        <v>778</v>
      </c>
      <c r="AB1009" s="89">
        <f t="shared" si="354"/>
        <v>0</v>
      </c>
      <c r="AC1009" s="89">
        <f t="shared" si="355"/>
        <v>0</v>
      </c>
      <c r="AD1009" s="89">
        <f t="shared" si="356"/>
        <v>0</v>
      </c>
      <c r="AF1009" s="90" t="str">
        <f t="shared" si="358"/>
        <v/>
      </c>
      <c r="AG1009" s="90">
        <f t="shared" si="359"/>
        <v>778</v>
      </c>
      <c r="AH1009" s="90" t="str">
        <f t="shared" si="360"/>
        <v>2018 (triag)</v>
      </c>
      <c r="AI1009" s="90">
        <f t="shared" si="361"/>
        <v>778</v>
      </c>
      <c r="AJ1009" s="90" t="str">
        <f t="shared" si="362"/>
        <v>2018 (triag)</v>
      </c>
      <c r="AK1009" s="90" t="str">
        <f t="shared" si="363"/>
        <v/>
      </c>
      <c r="AL1009" s="91">
        <f>IF(AK1009="Adjust",(_xlfn.XLOOKUP(A1009,'Adj factor'!A:A,'Adj factor'!I:I,,0)*AI1009),'Master DataSheet (Rev)'!AI1009)</f>
        <v>778</v>
      </c>
      <c r="AM1009" s="91">
        <f t="shared" si="364"/>
        <v>778</v>
      </c>
      <c r="AN1009" s="92" t="str">
        <f t="shared" si="365"/>
        <v>No change</v>
      </c>
      <c r="AS1009" s="94">
        <f t="shared" si="366"/>
        <v>0</v>
      </c>
      <c r="AT1009" s="94">
        <f t="shared" si="367"/>
        <v>8.9335587238813269E-2</v>
      </c>
      <c r="AU1009" s="94">
        <f t="shared" si="352"/>
        <v>7.8577753171561737E-2</v>
      </c>
      <c r="AV1009" s="94">
        <f t="shared" si="353"/>
        <v>7.8577753171561737E-2</v>
      </c>
    </row>
    <row r="1010" spans="1:48" x14ac:dyDescent="0.3">
      <c r="A1010" s="85" t="str">
        <f>_xlfn.XLOOKUP(B1010,'Country codes &amp; Data sources'!G:G,'Country codes &amp; Data sources'!H:H,,0)</f>
        <v>DRC</v>
      </c>
      <c r="B1010" s="85" t="s">
        <v>154</v>
      </c>
      <c r="C1010" s="85">
        <v>70997872.500000104</v>
      </c>
      <c r="D1010" s="85" t="s">
        <v>329</v>
      </c>
      <c r="E1010" s="86">
        <v>0</v>
      </c>
      <c r="F1010" s="86">
        <v>73460021</v>
      </c>
      <c r="G1010" s="86">
        <v>59813</v>
      </c>
      <c r="H1010" s="86"/>
      <c r="I1010" s="86">
        <v>0</v>
      </c>
      <c r="J1010" s="86"/>
      <c r="K1010" s="86">
        <v>72270</v>
      </c>
      <c r="L1010" s="86"/>
      <c r="M1010" s="86">
        <v>44897</v>
      </c>
      <c r="N1010" s="86"/>
      <c r="O1010" s="86">
        <v>73046</v>
      </c>
      <c r="P1010" s="86">
        <v>87087354.999999985</v>
      </c>
      <c r="Q1010" s="86">
        <v>93326</v>
      </c>
      <c r="R1010" s="87">
        <f t="shared" si="351"/>
        <v>103785</v>
      </c>
      <c r="T1010" s="87">
        <v>93964</v>
      </c>
      <c r="U1010" s="89"/>
      <c r="V1010" s="89">
        <v>0</v>
      </c>
      <c r="W1010" s="90"/>
      <c r="X1010" s="90">
        <v>101752</v>
      </c>
      <c r="Y1010" s="90">
        <v>99010212</v>
      </c>
      <c r="Z1010" s="90">
        <v>115316</v>
      </c>
      <c r="AA1010" s="90">
        <v>103785</v>
      </c>
      <c r="AB1010" s="89">
        <f t="shared" si="354"/>
        <v>72270</v>
      </c>
      <c r="AC1010" s="89">
        <f t="shared" si="355"/>
        <v>93964</v>
      </c>
      <c r="AD1010" s="89">
        <f t="shared" si="356"/>
        <v>115316</v>
      </c>
      <c r="AE1010" s="90">
        <f t="shared" si="357"/>
        <v>59813</v>
      </c>
      <c r="AF1010" s="90">
        <f t="shared" si="358"/>
        <v>2013</v>
      </c>
      <c r="AG1010" s="90">
        <f t="shared" si="359"/>
        <v>103785</v>
      </c>
      <c r="AH1010" s="90" t="str">
        <f t="shared" si="360"/>
        <v>2018 (triag)</v>
      </c>
      <c r="AI1010" s="90">
        <f t="shared" si="361"/>
        <v>115316</v>
      </c>
      <c r="AJ1010" s="90">
        <f t="shared" si="362"/>
        <v>2022</v>
      </c>
      <c r="AK1010" s="90" t="str">
        <f t="shared" si="363"/>
        <v/>
      </c>
      <c r="AL1010" s="91">
        <f>IF(AK1010="Adjust",(_xlfn.XLOOKUP(A1010,'Adj factor'!A:A,'Adj factor'!I:I,,0)*AI1010),'Master DataSheet (Rev)'!AI1010)</f>
        <v>115316</v>
      </c>
      <c r="AM1010" s="91">
        <f t="shared" si="364"/>
        <v>115316</v>
      </c>
      <c r="AN1010" s="92" t="str">
        <f t="shared" si="365"/>
        <v>Increasing</v>
      </c>
      <c r="AS1010" s="94">
        <f t="shared" si="366"/>
        <v>8.1422519604234793</v>
      </c>
      <c r="AT1010" s="94">
        <f t="shared" si="367"/>
        <v>11.917344372211099</v>
      </c>
      <c r="AU1010" s="94">
        <f t="shared" si="352"/>
        <v>11.646879414822383</v>
      </c>
      <c r="AV1010" s="94">
        <f t="shared" si="353"/>
        <v>11.646879414822383</v>
      </c>
    </row>
    <row r="1011" spans="1:48" x14ac:dyDescent="0.3">
      <c r="A1011" s="85" t="str">
        <f>_xlfn.XLOOKUP(B1011,'Country codes &amp; Data sources'!G:G,'Country codes &amp; Data sources'!H:H,,0)</f>
        <v>DRC</v>
      </c>
      <c r="B1011" s="85" t="s">
        <v>154</v>
      </c>
      <c r="C1011" s="85">
        <v>70997873.500000104</v>
      </c>
      <c r="D1011" s="85" t="s">
        <v>330</v>
      </c>
      <c r="E1011" s="86">
        <v>0</v>
      </c>
      <c r="F1011" s="86">
        <v>73460021</v>
      </c>
      <c r="G1011" s="86">
        <v>0</v>
      </c>
      <c r="H1011" s="86"/>
      <c r="I1011" s="86">
        <v>0</v>
      </c>
      <c r="J1011" s="86"/>
      <c r="K1011" s="86">
        <v>27373</v>
      </c>
      <c r="L1011" s="86"/>
      <c r="M1011" s="86">
        <v>0</v>
      </c>
      <c r="N1011" s="86"/>
      <c r="O1011" s="86">
        <v>29514</v>
      </c>
      <c r="P1011" s="86">
        <v>87087354.999999985</v>
      </c>
      <c r="Q1011" s="86">
        <v>36980</v>
      </c>
      <c r="R1011" s="87">
        <f t="shared" si="351"/>
        <v>51019</v>
      </c>
      <c r="T1011" s="87">
        <v>93964</v>
      </c>
      <c r="U1011" s="89"/>
      <c r="V1011" s="89">
        <v>0</v>
      </c>
      <c r="W1011" s="90"/>
      <c r="X1011" s="90">
        <v>101752</v>
      </c>
      <c r="Y1011" s="90">
        <v>99010212</v>
      </c>
      <c r="Z1011" s="90">
        <v>115316</v>
      </c>
      <c r="AA1011" s="90">
        <v>51019</v>
      </c>
      <c r="AB1011" s="89">
        <f t="shared" si="354"/>
        <v>27373</v>
      </c>
      <c r="AC1011" s="89">
        <f t="shared" si="355"/>
        <v>93964</v>
      </c>
      <c r="AD1011" s="89">
        <f t="shared" si="356"/>
        <v>115316</v>
      </c>
      <c r="AE1011" s="90">
        <f t="shared" si="357"/>
        <v>27373</v>
      </c>
      <c r="AF1011" s="90">
        <f t="shared" si="358"/>
        <v>2015</v>
      </c>
      <c r="AG1011" s="90">
        <f t="shared" si="359"/>
        <v>51019</v>
      </c>
      <c r="AH1011" s="90" t="str">
        <f t="shared" si="360"/>
        <v>2018 (triag)</v>
      </c>
      <c r="AI1011" s="90">
        <f t="shared" si="361"/>
        <v>115316</v>
      </c>
      <c r="AJ1011" s="90">
        <f t="shared" si="362"/>
        <v>2022</v>
      </c>
      <c r="AK1011" s="90" t="str">
        <f t="shared" si="363"/>
        <v/>
      </c>
      <c r="AL1011" s="91">
        <f>IF(AK1011="Adjust",(_xlfn.XLOOKUP(A1011,'Adj factor'!A:A,'Adj factor'!I:I,,0)*AI1011),'Master DataSheet (Rev)'!AI1011)</f>
        <v>115316</v>
      </c>
      <c r="AM1011" s="91">
        <f t="shared" si="364"/>
        <v>115316</v>
      </c>
      <c r="AN1011" s="92" t="str">
        <f t="shared" si="365"/>
        <v>Increasing</v>
      </c>
      <c r="AS1011" s="94">
        <f t="shared" si="366"/>
        <v>3.7262445106025766</v>
      </c>
      <c r="AT1011" s="94">
        <f t="shared" si="367"/>
        <v>5.8583705981195555</v>
      </c>
      <c r="AU1011" s="94">
        <f t="shared" si="352"/>
        <v>11.646879414822383</v>
      </c>
      <c r="AV1011" s="94">
        <f t="shared" si="353"/>
        <v>11.646879414822383</v>
      </c>
    </row>
    <row r="1012" spans="1:48" x14ac:dyDescent="0.3">
      <c r="A1012" s="85" t="str">
        <f>_xlfn.XLOOKUP(B1012,'Country codes &amp; Data sources'!G:G,'Country codes &amp; Data sources'!H:H,,0)</f>
        <v>DRC</v>
      </c>
      <c r="B1012" s="85" t="s">
        <v>154</v>
      </c>
      <c r="C1012" s="85">
        <v>70997874.500000104</v>
      </c>
      <c r="D1012" s="85" t="s">
        <v>331</v>
      </c>
      <c r="E1012" s="86">
        <v>0</v>
      </c>
      <c r="F1012" s="86">
        <v>73460021</v>
      </c>
      <c r="G1012" s="86">
        <v>0</v>
      </c>
      <c r="H1012" s="86"/>
      <c r="I1012" s="86">
        <v>0</v>
      </c>
      <c r="J1012" s="86"/>
      <c r="K1012" s="86">
        <v>17611</v>
      </c>
      <c r="L1012" s="86"/>
      <c r="M1012" s="86">
        <v>0</v>
      </c>
      <c r="N1012" s="86"/>
      <c r="O1012" s="86">
        <v>14251</v>
      </c>
      <c r="P1012" s="86">
        <v>87087354.999999985</v>
      </c>
      <c r="Q1012" s="86">
        <v>14398</v>
      </c>
      <c r="R1012" s="87">
        <f t="shared" si="351"/>
        <v>52766</v>
      </c>
      <c r="T1012" s="87">
        <v>0</v>
      </c>
      <c r="U1012" s="89"/>
      <c r="V1012" s="89">
        <v>0</v>
      </c>
      <c r="W1012" s="90"/>
      <c r="X1012" s="90">
        <v>0</v>
      </c>
      <c r="Y1012" s="90">
        <v>99010212</v>
      </c>
      <c r="Z1012" s="90">
        <v>0</v>
      </c>
      <c r="AA1012" s="90">
        <v>52766</v>
      </c>
      <c r="AB1012" s="89">
        <f t="shared" si="354"/>
        <v>17611</v>
      </c>
      <c r="AC1012" s="89">
        <f t="shared" si="355"/>
        <v>14398</v>
      </c>
      <c r="AD1012" s="89">
        <f t="shared" si="356"/>
        <v>0</v>
      </c>
      <c r="AE1012" s="90">
        <f t="shared" si="357"/>
        <v>17611</v>
      </c>
      <c r="AF1012" s="90">
        <f t="shared" si="358"/>
        <v>2015</v>
      </c>
      <c r="AG1012" s="90">
        <f t="shared" si="359"/>
        <v>52766</v>
      </c>
      <c r="AH1012" s="90" t="str">
        <f t="shared" si="360"/>
        <v>2018 (triag)</v>
      </c>
      <c r="AI1012" s="90">
        <f t="shared" si="361"/>
        <v>52766</v>
      </c>
      <c r="AJ1012" s="90" t="str">
        <f t="shared" si="362"/>
        <v>2018 (triag)</v>
      </c>
      <c r="AK1012" s="90" t="str">
        <f t="shared" si="363"/>
        <v/>
      </c>
      <c r="AL1012" s="91">
        <f>IF(AK1012="Adjust",(_xlfn.XLOOKUP(A1012,'Adj factor'!A:A,'Adj factor'!I:I,,0)*AI1012),'Master DataSheet (Rev)'!AI1012)</f>
        <v>52766</v>
      </c>
      <c r="AM1012" s="91">
        <f t="shared" si="364"/>
        <v>52766</v>
      </c>
      <c r="AN1012" s="92" t="str">
        <f t="shared" si="365"/>
        <v>No change</v>
      </c>
      <c r="AS1012" s="94">
        <f t="shared" si="366"/>
        <v>2.3973584216644861</v>
      </c>
      <c r="AT1012" s="94">
        <f t="shared" si="367"/>
        <v>6.0589737740915437</v>
      </c>
      <c r="AU1012" s="94">
        <f t="shared" si="352"/>
        <v>5.3293492594481062</v>
      </c>
      <c r="AV1012" s="94">
        <f t="shared" si="353"/>
        <v>5.3293492594481062</v>
      </c>
    </row>
    <row r="1013" spans="1:48" x14ac:dyDescent="0.3">
      <c r="A1013" s="85" t="str">
        <f>_xlfn.XLOOKUP(B1013,'Country codes &amp; Data sources'!G:G,'Country codes &amp; Data sources'!H:H,,0)</f>
        <v>DRC</v>
      </c>
      <c r="B1013" s="85" t="s">
        <v>154</v>
      </c>
      <c r="C1013" s="85">
        <v>70997875.500000104</v>
      </c>
      <c r="D1013" s="85" t="s">
        <v>332</v>
      </c>
      <c r="E1013" s="86">
        <v>0</v>
      </c>
      <c r="F1013" s="86">
        <v>73460021</v>
      </c>
      <c r="G1013" s="86">
        <v>1555</v>
      </c>
      <c r="H1013" s="86"/>
      <c r="I1013" s="86">
        <v>0</v>
      </c>
      <c r="J1013" s="86"/>
      <c r="K1013" s="86">
        <v>0</v>
      </c>
      <c r="L1013" s="86"/>
      <c r="M1013" s="86">
        <v>1793</v>
      </c>
      <c r="N1013" s="86"/>
      <c r="O1013" s="86">
        <v>0</v>
      </c>
      <c r="P1013" s="86">
        <v>87087354.999999985</v>
      </c>
      <c r="Q1013" s="86">
        <v>0</v>
      </c>
      <c r="R1013" s="87">
        <f t="shared" si="351"/>
        <v>3642</v>
      </c>
      <c r="T1013" s="87">
        <v>3149</v>
      </c>
      <c r="U1013" s="89"/>
      <c r="V1013" s="89">
        <v>0</v>
      </c>
      <c r="W1013" s="90"/>
      <c r="X1013" s="90">
        <v>2093</v>
      </c>
      <c r="Y1013" s="90">
        <v>99010212</v>
      </c>
      <c r="Z1013" s="90">
        <v>2640</v>
      </c>
      <c r="AA1013" s="90">
        <v>3642</v>
      </c>
      <c r="AB1013" s="89">
        <f t="shared" si="354"/>
        <v>1555</v>
      </c>
      <c r="AC1013" s="89">
        <f t="shared" si="355"/>
        <v>3149</v>
      </c>
      <c r="AD1013" s="89">
        <f t="shared" si="356"/>
        <v>2640</v>
      </c>
      <c r="AE1013" s="90">
        <f t="shared" si="357"/>
        <v>1555</v>
      </c>
      <c r="AF1013" s="90">
        <f t="shared" si="358"/>
        <v>2013</v>
      </c>
      <c r="AG1013" s="90">
        <f t="shared" si="359"/>
        <v>3642</v>
      </c>
      <c r="AH1013" s="90" t="str">
        <f t="shared" si="360"/>
        <v>2018 (triag)</v>
      </c>
      <c r="AI1013" s="90">
        <f t="shared" si="361"/>
        <v>2640</v>
      </c>
      <c r="AJ1013" s="90">
        <f t="shared" si="362"/>
        <v>2022</v>
      </c>
      <c r="AK1013" s="90" t="str">
        <f t="shared" si="363"/>
        <v>Adjust</v>
      </c>
      <c r="AL1013" s="91">
        <f>IF(AK1013="Adjust",(_xlfn.XLOOKUP(A1013,'Adj factor'!A:A,'Adj factor'!I:I,,0)*AI1013),'Master DataSheet (Rev)'!AI1013)</f>
        <v>3039.2846492442031</v>
      </c>
      <c r="AM1013" s="91">
        <f t="shared" si="364"/>
        <v>3642</v>
      </c>
      <c r="AN1013" s="92" t="str">
        <f t="shared" si="365"/>
        <v>Decreasing</v>
      </c>
      <c r="AS1013" s="94">
        <f t="shared" si="366"/>
        <v>0.21167976524264812</v>
      </c>
      <c r="AT1013" s="94">
        <f t="shared" si="367"/>
        <v>0.41820078242128272</v>
      </c>
      <c r="AU1013" s="94">
        <f t="shared" si="352"/>
        <v>0.30696678532959842</v>
      </c>
      <c r="AV1013" s="94">
        <f t="shared" si="353"/>
        <v>0.36784084453833915</v>
      </c>
    </row>
    <row r="1014" spans="1:48" x14ac:dyDescent="0.3">
      <c r="A1014" s="85" t="str">
        <f>_xlfn.XLOOKUP(B1014,'Country codes &amp; Data sources'!G:G,'Country codes &amp; Data sources'!H:H,,0)</f>
        <v>DRC</v>
      </c>
      <c r="B1014" s="85" t="s">
        <v>154</v>
      </c>
      <c r="C1014" s="85">
        <v>70997876.500000104</v>
      </c>
      <c r="D1014" s="85" t="s">
        <v>333</v>
      </c>
      <c r="E1014" s="86">
        <v>0</v>
      </c>
      <c r="F1014" s="86">
        <v>73460021</v>
      </c>
      <c r="G1014" s="86">
        <v>0</v>
      </c>
      <c r="H1014" s="86"/>
      <c r="I1014" s="86">
        <v>0</v>
      </c>
      <c r="J1014" s="86"/>
      <c r="K1014" s="86">
        <v>0</v>
      </c>
      <c r="L1014" s="86"/>
      <c r="M1014" s="86">
        <v>40</v>
      </c>
      <c r="N1014" s="86"/>
      <c r="O1014" s="86">
        <v>0</v>
      </c>
      <c r="P1014" s="86">
        <v>87087354.999999985</v>
      </c>
      <c r="Q1014" s="86">
        <v>0</v>
      </c>
      <c r="R1014" s="87">
        <f t="shared" si="351"/>
        <v>1990</v>
      </c>
      <c r="T1014" s="87">
        <v>3149</v>
      </c>
      <c r="U1014" s="89"/>
      <c r="V1014" s="89">
        <v>0</v>
      </c>
      <c r="W1014" s="90"/>
      <c r="X1014" s="90">
        <v>2093</v>
      </c>
      <c r="Y1014" s="90">
        <v>99010212</v>
      </c>
      <c r="Z1014" s="90">
        <v>2640</v>
      </c>
      <c r="AA1014" s="90">
        <v>1990</v>
      </c>
      <c r="AB1014" s="89">
        <f t="shared" si="354"/>
        <v>0</v>
      </c>
      <c r="AC1014" s="89">
        <f t="shared" si="355"/>
        <v>3149</v>
      </c>
      <c r="AD1014" s="89">
        <f t="shared" si="356"/>
        <v>2640</v>
      </c>
      <c r="AF1014" s="90" t="str">
        <f t="shared" si="358"/>
        <v/>
      </c>
      <c r="AG1014" s="90">
        <f t="shared" si="359"/>
        <v>1990</v>
      </c>
      <c r="AH1014" s="90" t="str">
        <f t="shared" si="360"/>
        <v>2018 (triag)</v>
      </c>
      <c r="AI1014" s="90">
        <f t="shared" si="361"/>
        <v>2640</v>
      </c>
      <c r="AJ1014" s="90">
        <f t="shared" si="362"/>
        <v>2022</v>
      </c>
      <c r="AK1014" s="90" t="str">
        <f t="shared" si="363"/>
        <v/>
      </c>
      <c r="AL1014" s="91">
        <f>IF(AK1014="Adjust",(_xlfn.XLOOKUP(A1014,'Adj factor'!A:A,'Adj factor'!I:I,,0)*AI1014),'Master DataSheet (Rev)'!AI1014)</f>
        <v>2640</v>
      </c>
      <c r="AM1014" s="91">
        <f t="shared" si="364"/>
        <v>2640</v>
      </c>
      <c r="AN1014" s="92" t="str">
        <f t="shared" si="365"/>
        <v>Increasing</v>
      </c>
      <c r="AS1014" s="94">
        <f t="shared" si="366"/>
        <v>0</v>
      </c>
      <c r="AT1014" s="94">
        <f t="shared" si="367"/>
        <v>0.22850619357999796</v>
      </c>
      <c r="AU1014" s="94">
        <f t="shared" si="352"/>
        <v>0.26663916243306296</v>
      </c>
      <c r="AV1014" s="94">
        <f t="shared" si="353"/>
        <v>0.26663916243306296</v>
      </c>
    </row>
    <row r="1015" spans="1:48" x14ac:dyDescent="0.3">
      <c r="A1015" s="85" t="str">
        <f>_xlfn.XLOOKUP(B1015,'Country codes &amp; Data sources'!G:G,'Country codes &amp; Data sources'!H:H,,0)</f>
        <v>DRC</v>
      </c>
      <c r="B1015" s="85" t="s">
        <v>154</v>
      </c>
      <c r="C1015" s="85">
        <v>70997877.500000104</v>
      </c>
      <c r="D1015" s="85" t="s">
        <v>334</v>
      </c>
      <c r="E1015" s="86">
        <v>0</v>
      </c>
      <c r="F1015" s="86">
        <v>73460021</v>
      </c>
      <c r="G1015" s="86">
        <v>1555</v>
      </c>
      <c r="H1015" s="86"/>
      <c r="I1015" s="86">
        <v>0</v>
      </c>
      <c r="J1015" s="86"/>
      <c r="K1015" s="86">
        <v>0</v>
      </c>
      <c r="L1015" s="86"/>
      <c r="M1015" s="86">
        <v>1753</v>
      </c>
      <c r="N1015" s="86"/>
      <c r="O1015" s="86">
        <v>0</v>
      </c>
      <c r="P1015" s="86">
        <v>87087354.999999985</v>
      </c>
      <c r="Q1015" s="86">
        <v>0</v>
      </c>
      <c r="R1015" s="87">
        <f t="shared" si="351"/>
        <v>1652</v>
      </c>
      <c r="T1015" s="87">
        <v>0</v>
      </c>
      <c r="U1015" s="89"/>
      <c r="V1015" s="89">
        <v>0</v>
      </c>
      <c r="W1015" s="90"/>
      <c r="X1015" s="90">
        <v>0</v>
      </c>
      <c r="Y1015" s="90">
        <v>99010212</v>
      </c>
      <c r="Z1015" s="90">
        <v>0</v>
      </c>
      <c r="AA1015" s="90">
        <v>1652</v>
      </c>
      <c r="AB1015" s="89">
        <f t="shared" si="354"/>
        <v>1555</v>
      </c>
      <c r="AC1015" s="89">
        <f t="shared" si="355"/>
        <v>1753</v>
      </c>
      <c r="AD1015" s="89">
        <f t="shared" si="356"/>
        <v>0</v>
      </c>
      <c r="AE1015" s="90">
        <f t="shared" si="357"/>
        <v>1555</v>
      </c>
      <c r="AF1015" s="90">
        <f t="shared" si="358"/>
        <v>2013</v>
      </c>
      <c r="AG1015" s="90">
        <f t="shared" si="359"/>
        <v>1652</v>
      </c>
      <c r="AH1015" s="90" t="str">
        <f t="shared" si="360"/>
        <v>2018 (triag)</v>
      </c>
      <c r="AI1015" s="90">
        <f t="shared" si="361"/>
        <v>1652</v>
      </c>
      <c r="AJ1015" s="90" t="str">
        <f t="shared" si="362"/>
        <v>2018 (triag)</v>
      </c>
      <c r="AK1015" s="90" t="str">
        <f t="shared" si="363"/>
        <v/>
      </c>
      <c r="AL1015" s="91">
        <f>IF(AK1015="Adjust",(_xlfn.XLOOKUP(A1015,'Adj factor'!A:A,'Adj factor'!I:I,,0)*AI1015),'Master DataSheet (Rev)'!AI1015)</f>
        <v>1652</v>
      </c>
      <c r="AM1015" s="91">
        <f t="shared" si="364"/>
        <v>1652</v>
      </c>
      <c r="AN1015" s="92" t="str">
        <f t="shared" si="365"/>
        <v>No change</v>
      </c>
      <c r="AS1015" s="94">
        <f t="shared" si="366"/>
        <v>0.21167976524264812</v>
      </c>
      <c r="AT1015" s="94">
        <f t="shared" si="367"/>
        <v>0.18969458884128473</v>
      </c>
      <c r="AU1015" s="94">
        <f t="shared" si="352"/>
        <v>0.16685147588614394</v>
      </c>
      <c r="AV1015" s="94">
        <f t="shared" si="353"/>
        <v>0.16685147588614394</v>
      </c>
    </row>
    <row r="1016" spans="1:48" x14ac:dyDescent="0.3">
      <c r="A1016" s="85" t="str">
        <f>_xlfn.XLOOKUP(B1016,'Country codes &amp; Data sources'!G:G,'Country codes &amp; Data sources'!H:H,,0)</f>
        <v>DRC</v>
      </c>
      <c r="B1016" s="85" t="s">
        <v>154</v>
      </c>
      <c r="C1016" s="85">
        <v>70997878.500000104</v>
      </c>
      <c r="D1016" s="85" t="s">
        <v>335</v>
      </c>
      <c r="E1016" s="86">
        <v>0</v>
      </c>
      <c r="F1016" s="86">
        <v>73460021</v>
      </c>
      <c r="G1016" s="86">
        <v>283</v>
      </c>
      <c r="H1016" s="86"/>
      <c r="I1016" s="86">
        <v>0</v>
      </c>
      <c r="J1016" s="86"/>
      <c r="K1016" s="86">
        <v>0</v>
      </c>
      <c r="L1016" s="86"/>
      <c r="M1016" s="86">
        <v>404</v>
      </c>
      <c r="N1016" s="86"/>
      <c r="O1016" s="86">
        <v>0</v>
      </c>
      <c r="P1016" s="86">
        <v>87087354.999999985</v>
      </c>
      <c r="Q1016" s="86">
        <v>1687</v>
      </c>
      <c r="R1016" s="87">
        <f t="shared" si="351"/>
        <v>1687</v>
      </c>
      <c r="T1016" s="87">
        <v>584</v>
      </c>
      <c r="U1016" s="89"/>
      <c r="V1016" s="89">
        <v>0</v>
      </c>
      <c r="W1016" s="90"/>
      <c r="X1016" s="90">
        <v>682</v>
      </c>
      <c r="Y1016" s="90">
        <v>99010212</v>
      </c>
      <c r="Z1016" s="90">
        <v>806</v>
      </c>
      <c r="AA1016" s="90">
        <v>1461</v>
      </c>
      <c r="AB1016" s="89">
        <f t="shared" si="354"/>
        <v>283</v>
      </c>
      <c r="AC1016" s="89">
        <f t="shared" si="355"/>
        <v>1687</v>
      </c>
      <c r="AD1016" s="89">
        <f t="shared" si="356"/>
        <v>806</v>
      </c>
      <c r="AE1016" s="90">
        <f t="shared" si="357"/>
        <v>283</v>
      </c>
      <c r="AF1016" s="90">
        <f t="shared" si="358"/>
        <v>2013</v>
      </c>
      <c r="AG1016" s="90">
        <f t="shared" si="359"/>
        <v>1687</v>
      </c>
      <c r="AH1016" s="90">
        <f t="shared" si="360"/>
        <v>2018</v>
      </c>
      <c r="AI1016" s="90">
        <f t="shared" si="361"/>
        <v>806</v>
      </c>
      <c r="AJ1016" s="90">
        <f t="shared" si="362"/>
        <v>2022</v>
      </c>
      <c r="AK1016" s="90" t="str">
        <f t="shared" si="363"/>
        <v>Adjust</v>
      </c>
      <c r="AL1016" s="91">
        <f>IF(AK1016="Adjust",(_xlfn.XLOOKUP(A1016,'Adj factor'!A:A,'Adj factor'!I:I,,0)*AI1016),'Master DataSheet (Rev)'!AI1016)</f>
        <v>927.90281336773774</v>
      </c>
      <c r="AM1016" s="91">
        <f t="shared" si="364"/>
        <v>1687</v>
      </c>
      <c r="AN1016" s="92" t="str">
        <f t="shared" si="365"/>
        <v>Decreasing</v>
      </c>
      <c r="AS1016" s="94">
        <f t="shared" si="366"/>
        <v>3.8524355989498014E-2</v>
      </c>
      <c r="AT1016" s="94">
        <f t="shared" si="367"/>
        <v>0.19371354199470178</v>
      </c>
      <c r="AU1016" s="94">
        <f t="shared" si="352"/>
        <v>9.3717889763506174E-2</v>
      </c>
      <c r="AV1016" s="94">
        <f t="shared" si="353"/>
        <v>0.17038646478203684</v>
      </c>
    </row>
    <row r="1017" spans="1:48" x14ac:dyDescent="0.3">
      <c r="A1017" s="85" t="str">
        <f>_xlfn.XLOOKUP(B1017,'Country codes &amp; Data sources'!G:G,'Country codes &amp; Data sources'!H:H,,0)</f>
        <v>DRC</v>
      </c>
      <c r="B1017" s="85" t="s">
        <v>154</v>
      </c>
      <c r="C1017" s="85">
        <v>70997879.500000104</v>
      </c>
      <c r="D1017" s="85" t="s">
        <v>336</v>
      </c>
      <c r="E1017" s="86">
        <v>0</v>
      </c>
      <c r="F1017" s="86">
        <v>73460021</v>
      </c>
      <c r="G1017" s="86">
        <v>0</v>
      </c>
      <c r="H1017" s="86"/>
      <c r="I1017" s="86">
        <v>0</v>
      </c>
      <c r="J1017" s="86"/>
      <c r="K1017" s="86">
        <v>0</v>
      </c>
      <c r="L1017" s="86"/>
      <c r="M1017" s="86">
        <v>0</v>
      </c>
      <c r="N1017" s="86"/>
      <c r="O1017" s="86">
        <v>0</v>
      </c>
      <c r="P1017" s="86">
        <v>87087354.999999985</v>
      </c>
      <c r="Q1017" s="86">
        <v>0</v>
      </c>
      <c r="R1017" s="87">
        <f t="shared" si="351"/>
        <v>226</v>
      </c>
      <c r="T1017" s="87">
        <v>188</v>
      </c>
      <c r="U1017" s="89"/>
      <c r="V1017" s="89">
        <v>0</v>
      </c>
      <c r="W1017" s="90"/>
      <c r="X1017" s="90">
        <v>313</v>
      </c>
      <c r="Y1017" s="90">
        <v>99010212</v>
      </c>
      <c r="Z1017" s="90">
        <v>378</v>
      </c>
      <c r="AA1017" s="90">
        <v>226</v>
      </c>
      <c r="AB1017" s="89">
        <f t="shared" si="354"/>
        <v>0</v>
      </c>
      <c r="AC1017" s="89">
        <f t="shared" si="355"/>
        <v>188</v>
      </c>
      <c r="AD1017" s="89">
        <f t="shared" si="356"/>
        <v>378</v>
      </c>
      <c r="AF1017" s="90" t="str">
        <f t="shared" si="358"/>
        <v/>
      </c>
      <c r="AG1017" s="90">
        <f t="shared" si="359"/>
        <v>226</v>
      </c>
      <c r="AH1017" s="90" t="str">
        <f t="shared" si="360"/>
        <v>2018 (triag)</v>
      </c>
      <c r="AI1017" s="90">
        <f t="shared" si="361"/>
        <v>378</v>
      </c>
      <c r="AJ1017" s="90">
        <f t="shared" si="362"/>
        <v>2022</v>
      </c>
      <c r="AK1017" s="90" t="str">
        <f t="shared" si="363"/>
        <v/>
      </c>
      <c r="AL1017" s="91">
        <f>IF(AK1017="Adjust",(_xlfn.XLOOKUP(A1017,'Adj factor'!A:A,'Adj factor'!I:I,,0)*AI1017),'Master DataSheet (Rev)'!AI1017)</f>
        <v>378</v>
      </c>
      <c r="AM1017" s="91">
        <f t="shared" si="364"/>
        <v>378</v>
      </c>
      <c r="AN1017" s="92" t="str">
        <f t="shared" si="365"/>
        <v>Increasing</v>
      </c>
      <c r="AS1017" s="94">
        <f t="shared" si="366"/>
        <v>0</v>
      </c>
      <c r="AT1017" s="94">
        <f t="shared" si="367"/>
        <v>2.5950954647778662E-2</v>
      </c>
      <c r="AU1017" s="94">
        <f t="shared" si="352"/>
        <v>3.8177880075643107E-2</v>
      </c>
      <c r="AV1017" s="94">
        <f t="shared" si="353"/>
        <v>3.8177880075643107E-2</v>
      </c>
    </row>
    <row r="1018" spans="1:48" x14ac:dyDescent="0.3">
      <c r="A1018" s="85" t="str">
        <f>_xlfn.XLOOKUP(B1018,'Country codes &amp; Data sources'!G:G,'Country codes &amp; Data sources'!H:H,,0)</f>
        <v>DRC</v>
      </c>
      <c r="B1018" s="85" t="s">
        <v>154</v>
      </c>
      <c r="C1018" s="85">
        <v>70997880.500000104</v>
      </c>
      <c r="D1018" s="85" t="s">
        <v>337</v>
      </c>
      <c r="E1018" s="86">
        <v>0</v>
      </c>
      <c r="F1018" s="86">
        <v>73460021</v>
      </c>
      <c r="G1018" s="86">
        <v>0</v>
      </c>
      <c r="H1018" s="86"/>
      <c r="I1018" s="86">
        <v>0</v>
      </c>
      <c r="J1018" s="86"/>
      <c r="K1018" s="86">
        <v>0</v>
      </c>
      <c r="L1018" s="86"/>
      <c r="M1018" s="86">
        <v>147</v>
      </c>
      <c r="N1018" s="86"/>
      <c r="O1018" s="86">
        <v>0</v>
      </c>
      <c r="P1018" s="86">
        <v>87087354.999999985</v>
      </c>
      <c r="Q1018" s="86">
        <v>404</v>
      </c>
      <c r="R1018" s="87">
        <f t="shared" si="351"/>
        <v>404</v>
      </c>
      <c r="T1018" s="87">
        <v>422</v>
      </c>
      <c r="U1018" s="89"/>
      <c r="V1018" s="89">
        <v>0</v>
      </c>
      <c r="W1018" s="90"/>
      <c r="X1018" s="90">
        <v>268</v>
      </c>
      <c r="Y1018" s="90">
        <v>99010212</v>
      </c>
      <c r="Z1018" s="90">
        <v>392</v>
      </c>
      <c r="AA1018" s="90">
        <v>404</v>
      </c>
      <c r="AB1018" s="89">
        <f t="shared" si="354"/>
        <v>0</v>
      </c>
      <c r="AC1018" s="89">
        <f t="shared" si="355"/>
        <v>422</v>
      </c>
      <c r="AD1018" s="89">
        <f t="shared" si="356"/>
        <v>392</v>
      </c>
      <c r="AF1018" s="90" t="str">
        <f t="shared" si="358"/>
        <v/>
      </c>
      <c r="AG1018" s="90">
        <f t="shared" si="359"/>
        <v>404</v>
      </c>
      <c r="AH1018" s="90">
        <f t="shared" si="360"/>
        <v>2018</v>
      </c>
      <c r="AI1018" s="90">
        <f t="shared" si="361"/>
        <v>392</v>
      </c>
      <c r="AJ1018" s="90">
        <f t="shared" si="362"/>
        <v>2022</v>
      </c>
      <c r="AK1018" s="90" t="str">
        <f t="shared" si="363"/>
        <v>Adjust</v>
      </c>
      <c r="AL1018" s="91">
        <f>IF(AK1018="Adjust",(_xlfn.XLOOKUP(A1018,'Adj factor'!A:A,'Adj factor'!I:I,,0)*AI1018),'Master DataSheet (Rev)'!AI1018)</f>
        <v>451.28772064535138</v>
      </c>
      <c r="AM1018" s="91">
        <f t="shared" si="364"/>
        <v>451.28772064535138</v>
      </c>
      <c r="AN1018" s="92" t="str">
        <f t="shared" si="365"/>
        <v>Increasing</v>
      </c>
      <c r="AS1018" s="94">
        <f t="shared" si="366"/>
        <v>0</v>
      </c>
      <c r="AT1018" s="94">
        <f t="shared" si="367"/>
        <v>4.6390202113728227E-2</v>
      </c>
      <c r="AU1018" s="94">
        <f t="shared" si="352"/>
        <v>4.5579916609546439E-2</v>
      </c>
      <c r="AV1018" s="94">
        <f t="shared" si="353"/>
        <v>4.5579916609546439E-2</v>
      </c>
    </row>
    <row r="1019" spans="1:48" x14ac:dyDescent="0.3">
      <c r="A1019" s="85" t="str">
        <f>_xlfn.XLOOKUP(B1019,'Country codes &amp; Data sources'!G:G,'Country codes &amp; Data sources'!H:H,,0)</f>
        <v>DRC</v>
      </c>
      <c r="B1019" s="85" t="s">
        <v>154</v>
      </c>
      <c r="C1019" s="85">
        <v>70997881.500000104</v>
      </c>
      <c r="D1019" s="85" t="s">
        <v>338</v>
      </c>
      <c r="E1019" s="86">
        <v>0</v>
      </c>
      <c r="F1019" s="86">
        <v>73460021</v>
      </c>
      <c r="G1019" s="86">
        <v>0</v>
      </c>
      <c r="H1019" s="86"/>
      <c r="I1019" s="86">
        <v>0</v>
      </c>
      <c r="J1019" s="86"/>
      <c r="K1019" s="86">
        <v>0</v>
      </c>
      <c r="L1019" s="86"/>
      <c r="M1019" s="86">
        <v>0</v>
      </c>
      <c r="N1019" s="86"/>
      <c r="O1019" s="86">
        <v>0</v>
      </c>
      <c r="P1019" s="86">
        <v>87087354.999999985</v>
      </c>
      <c r="Q1019" s="86">
        <v>0</v>
      </c>
      <c r="R1019" s="87">
        <f t="shared" si="351"/>
        <v>0</v>
      </c>
      <c r="T1019" s="87">
        <v>0</v>
      </c>
      <c r="U1019" s="89"/>
      <c r="V1019" s="89">
        <v>0</v>
      </c>
      <c r="W1019" s="90"/>
      <c r="X1019" s="90">
        <v>0</v>
      </c>
      <c r="Y1019" s="90">
        <v>99010212</v>
      </c>
      <c r="Z1019" s="90">
        <v>0</v>
      </c>
      <c r="AA1019" s="90">
        <v>0</v>
      </c>
      <c r="AB1019" s="89">
        <f t="shared" si="354"/>
        <v>0</v>
      </c>
      <c r="AC1019" s="89">
        <f t="shared" si="355"/>
        <v>0</v>
      </c>
      <c r="AD1019" s="89">
        <f t="shared" si="356"/>
        <v>0</v>
      </c>
      <c r="AF1019" s="90" t="str">
        <f t="shared" si="358"/>
        <v/>
      </c>
      <c r="AH1019" s="90" t="str">
        <f t="shared" si="360"/>
        <v/>
      </c>
      <c r="AI1019" s="90">
        <f t="shared" si="361"/>
        <v>0</v>
      </c>
      <c r="AJ1019" s="90" t="str">
        <f t="shared" si="362"/>
        <v/>
      </c>
      <c r="AK1019" s="90" t="str">
        <f t="shared" si="363"/>
        <v/>
      </c>
      <c r="AL1019" s="91"/>
      <c r="AM1019" s="91">
        <f t="shared" si="364"/>
        <v>0</v>
      </c>
      <c r="AN1019" s="92" t="str">
        <f t="shared" si="365"/>
        <v>No change</v>
      </c>
      <c r="AS1019" s="94">
        <f t="shared" si="366"/>
        <v>0</v>
      </c>
      <c r="AT1019" s="94">
        <f t="shared" si="367"/>
        <v>0</v>
      </c>
      <c r="AU1019" s="94">
        <f t="shared" si="352"/>
        <v>0</v>
      </c>
      <c r="AV1019" s="94">
        <f t="shared" si="353"/>
        <v>0</v>
      </c>
    </row>
    <row r="1020" spans="1:48" x14ac:dyDescent="0.3">
      <c r="A1020" s="85" t="str">
        <f>_xlfn.XLOOKUP(B1020,'Country codes &amp; Data sources'!G:G,'Country codes &amp; Data sources'!H:H,,0)</f>
        <v>DRC</v>
      </c>
      <c r="B1020" s="85" t="s">
        <v>154</v>
      </c>
      <c r="C1020" s="85">
        <v>70997882.500000104</v>
      </c>
      <c r="D1020" s="85" t="s">
        <v>339</v>
      </c>
      <c r="E1020" s="86">
        <v>0</v>
      </c>
      <c r="F1020" s="86">
        <v>73460021</v>
      </c>
      <c r="G1020" s="86">
        <v>0</v>
      </c>
      <c r="H1020" s="86"/>
      <c r="I1020" s="86">
        <v>0</v>
      </c>
      <c r="J1020" s="86"/>
      <c r="K1020" s="86">
        <v>0</v>
      </c>
      <c r="L1020" s="86"/>
      <c r="M1020" s="86">
        <v>0</v>
      </c>
      <c r="N1020" s="86"/>
      <c r="O1020" s="86">
        <v>0</v>
      </c>
      <c r="P1020" s="86">
        <v>87087354.999999985</v>
      </c>
      <c r="Q1020" s="86">
        <v>0</v>
      </c>
      <c r="R1020" s="87">
        <f t="shared" si="351"/>
        <v>0</v>
      </c>
      <c r="T1020" s="87">
        <v>0</v>
      </c>
      <c r="U1020" s="89"/>
      <c r="V1020" s="89">
        <v>0</v>
      </c>
      <c r="W1020" s="90"/>
      <c r="X1020" s="90">
        <v>0</v>
      </c>
      <c r="Y1020" s="90">
        <v>99010212</v>
      </c>
      <c r="Z1020" s="90">
        <v>0</v>
      </c>
      <c r="AA1020" s="90">
        <v>0</v>
      </c>
      <c r="AB1020" s="89">
        <f t="shared" si="354"/>
        <v>0</v>
      </c>
      <c r="AC1020" s="89">
        <f t="shared" si="355"/>
        <v>0</v>
      </c>
      <c r="AD1020" s="89">
        <f t="shared" si="356"/>
        <v>0</v>
      </c>
      <c r="AF1020" s="90" t="str">
        <f t="shared" si="358"/>
        <v/>
      </c>
      <c r="AH1020" s="90" t="str">
        <f t="shared" si="360"/>
        <v/>
      </c>
      <c r="AI1020" s="90">
        <f t="shared" si="361"/>
        <v>0</v>
      </c>
      <c r="AJ1020" s="90" t="str">
        <f t="shared" si="362"/>
        <v/>
      </c>
      <c r="AK1020" s="90" t="str">
        <f t="shared" si="363"/>
        <v/>
      </c>
      <c r="AL1020" s="91"/>
      <c r="AM1020" s="91">
        <f t="shared" si="364"/>
        <v>0</v>
      </c>
      <c r="AN1020" s="92" t="str">
        <f t="shared" si="365"/>
        <v>No change</v>
      </c>
      <c r="AS1020" s="94">
        <f t="shared" si="366"/>
        <v>0</v>
      </c>
      <c r="AT1020" s="94">
        <f t="shared" si="367"/>
        <v>0</v>
      </c>
      <c r="AU1020" s="94">
        <f t="shared" si="352"/>
        <v>0</v>
      </c>
      <c r="AV1020" s="94">
        <f t="shared" si="353"/>
        <v>0</v>
      </c>
    </row>
    <row r="1021" spans="1:48" x14ac:dyDescent="0.3">
      <c r="A1021" s="85" t="str">
        <f>_xlfn.XLOOKUP(B1021,'Country codes &amp; Data sources'!G:G,'Country codes &amp; Data sources'!H:H,,0)</f>
        <v>Congo</v>
      </c>
      <c r="B1021" s="85" t="s">
        <v>189</v>
      </c>
      <c r="C1021" s="85">
        <v>4713256.5000000028</v>
      </c>
      <c r="D1021" s="85" t="s">
        <v>326</v>
      </c>
      <c r="E1021" s="86">
        <v>0</v>
      </c>
      <c r="F1021" s="86">
        <v>4828066.5000000028</v>
      </c>
      <c r="G1021" s="86">
        <v>0</v>
      </c>
      <c r="H1021" s="86">
        <v>4944861.5000000019</v>
      </c>
      <c r="I1021" s="86">
        <v>0</v>
      </c>
      <c r="J1021" s="86">
        <v>5064386.0000000019</v>
      </c>
      <c r="K1021" s="86">
        <v>0</v>
      </c>
      <c r="L1021" s="86">
        <v>5186823.4999999981</v>
      </c>
      <c r="M1021" s="86">
        <v>530</v>
      </c>
      <c r="N1021" s="86">
        <v>5312339.5000000009</v>
      </c>
      <c r="O1021" s="86">
        <v>0</v>
      </c>
      <c r="P1021" s="86">
        <v>5441061.9999999972</v>
      </c>
      <c r="Q1021" s="86">
        <v>544</v>
      </c>
      <c r="R1021" s="87">
        <f t="shared" si="351"/>
        <v>544</v>
      </c>
      <c r="S1021" s="87">
        <v>5570732.4999999953</v>
      </c>
      <c r="T1021" s="87">
        <v>0</v>
      </c>
      <c r="U1021" s="89">
        <v>5702174</v>
      </c>
      <c r="V1021" s="89">
        <v>0</v>
      </c>
      <c r="W1021" s="90">
        <v>5835806.0000000009</v>
      </c>
      <c r="X1021" s="90">
        <v>0</v>
      </c>
      <c r="Y1021" s="90">
        <v>5970424.0000000009</v>
      </c>
      <c r="Z1021" s="90">
        <v>1042</v>
      </c>
      <c r="AA1021" s="90">
        <v>544</v>
      </c>
      <c r="AB1021" s="89">
        <f t="shared" si="354"/>
        <v>0</v>
      </c>
      <c r="AC1021" s="89">
        <f t="shared" si="355"/>
        <v>544</v>
      </c>
      <c r="AD1021" s="89">
        <f t="shared" si="356"/>
        <v>1042</v>
      </c>
      <c r="AF1021" s="90" t="str">
        <f t="shared" si="358"/>
        <v/>
      </c>
      <c r="AG1021" s="90">
        <f t="shared" si="359"/>
        <v>544</v>
      </c>
      <c r="AH1021" s="90">
        <f t="shared" si="360"/>
        <v>2018</v>
      </c>
      <c r="AI1021" s="90">
        <f t="shared" si="361"/>
        <v>1042</v>
      </c>
      <c r="AJ1021" s="90">
        <f t="shared" si="362"/>
        <v>2022</v>
      </c>
      <c r="AK1021" s="90" t="str">
        <f t="shared" si="363"/>
        <v/>
      </c>
      <c r="AL1021" s="91">
        <f>IF(AK1021="Adjust",(_xlfn.XLOOKUP(A1021,'Adj factor'!A:A,'Adj factor'!I:I,,0)*AI1021),'Master DataSheet (Rev)'!AI1021)</f>
        <v>1042</v>
      </c>
      <c r="AM1021" s="91">
        <f t="shared" si="364"/>
        <v>1042</v>
      </c>
      <c r="AN1021" s="92" t="str">
        <f t="shared" si="365"/>
        <v>Increasing</v>
      </c>
      <c r="AS1021" s="94">
        <f t="shared" si="366"/>
        <v>0</v>
      </c>
      <c r="AT1021" s="94">
        <f t="shared" si="367"/>
        <v>0.99980481751540462</v>
      </c>
      <c r="AU1021" s="94">
        <f t="shared" si="352"/>
        <v>1.7452696826892025</v>
      </c>
      <c r="AV1021" s="94">
        <f t="shared" si="353"/>
        <v>1.7452696826892025</v>
      </c>
    </row>
    <row r="1022" spans="1:48" x14ac:dyDescent="0.3">
      <c r="A1022" s="85" t="str">
        <f>_xlfn.XLOOKUP(B1022,'Country codes &amp; Data sources'!G:G,'Country codes &amp; Data sources'!H:H,,0)</f>
        <v>Congo</v>
      </c>
      <c r="B1022" s="85" t="s">
        <v>189</v>
      </c>
      <c r="C1022" s="85">
        <v>4713257.5</v>
      </c>
      <c r="D1022" s="85" t="s">
        <v>327</v>
      </c>
      <c r="E1022" s="86">
        <v>0</v>
      </c>
      <c r="F1022" s="86">
        <v>4828066.5000000028</v>
      </c>
      <c r="G1022" s="86">
        <v>0</v>
      </c>
      <c r="H1022" s="86"/>
      <c r="I1022" s="86">
        <v>0</v>
      </c>
      <c r="J1022" s="86"/>
      <c r="K1022" s="86">
        <v>0</v>
      </c>
      <c r="L1022" s="86"/>
      <c r="M1022" s="86">
        <v>269</v>
      </c>
      <c r="N1022" s="86"/>
      <c r="O1022" s="86">
        <v>0</v>
      </c>
      <c r="P1022" s="86">
        <v>5441061.9999999972</v>
      </c>
      <c r="Q1022" s="86">
        <v>269</v>
      </c>
      <c r="R1022" s="87">
        <f t="shared" si="351"/>
        <v>269</v>
      </c>
      <c r="T1022" s="87">
        <v>0</v>
      </c>
      <c r="U1022" s="89"/>
      <c r="V1022" s="89">
        <v>0</v>
      </c>
      <c r="W1022" s="90"/>
      <c r="X1022" s="90">
        <v>0</v>
      </c>
      <c r="Y1022" s="90">
        <v>5970424.0000000009</v>
      </c>
      <c r="Z1022" s="90">
        <v>787</v>
      </c>
      <c r="AA1022" s="90">
        <v>269</v>
      </c>
      <c r="AB1022" s="89">
        <f t="shared" si="354"/>
        <v>0</v>
      </c>
      <c r="AC1022" s="89">
        <f t="shared" si="355"/>
        <v>269</v>
      </c>
      <c r="AD1022" s="89">
        <f t="shared" si="356"/>
        <v>787</v>
      </c>
      <c r="AF1022" s="90" t="str">
        <f t="shared" si="358"/>
        <v/>
      </c>
      <c r="AG1022" s="90">
        <f t="shared" si="359"/>
        <v>269</v>
      </c>
      <c r="AH1022" s="90">
        <f t="shared" si="360"/>
        <v>2016</v>
      </c>
      <c r="AI1022" s="90">
        <f t="shared" si="361"/>
        <v>787</v>
      </c>
      <c r="AJ1022" s="90">
        <f t="shared" si="362"/>
        <v>2022</v>
      </c>
      <c r="AK1022" s="90" t="str">
        <f t="shared" si="363"/>
        <v/>
      </c>
      <c r="AL1022" s="91">
        <f>IF(AK1022="Adjust",(_xlfn.XLOOKUP(A1022,'Adj factor'!A:A,'Adj factor'!I:I,,0)*AI1022),'Master DataSheet (Rev)'!AI1022)</f>
        <v>787</v>
      </c>
      <c r="AM1022" s="91">
        <f t="shared" si="364"/>
        <v>787</v>
      </c>
      <c r="AN1022" s="92" t="str">
        <f t="shared" si="365"/>
        <v>Increasing</v>
      </c>
      <c r="AS1022" s="94">
        <f t="shared" si="366"/>
        <v>0</v>
      </c>
      <c r="AT1022" s="94">
        <f t="shared" si="367"/>
        <v>0.49438877924934532</v>
      </c>
      <c r="AU1022" s="94">
        <f t="shared" si="352"/>
        <v>1.3181643380771615</v>
      </c>
      <c r="AV1022" s="94">
        <f t="shared" si="353"/>
        <v>1.3181643380771615</v>
      </c>
    </row>
    <row r="1023" spans="1:48" x14ac:dyDescent="0.3">
      <c r="A1023" s="85" t="str">
        <f>_xlfn.XLOOKUP(B1023,'Country codes &amp; Data sources'!G:G,'Country codes &amp; Data sources'!H:H,,0)</f>
        <v>Congo</v>
      </c>
      <c r="B1023" s="85" t="s">
        <v>189</v>
      </c>
      <c r="C1023" s="85">
        <v>4713258.5</v>
      </c>
      <c r="D1023" s="85" t="s">
        <v>328</v>
      </c>
      <c r="E1023" s="86">
        <v>0</v>
      </c>
      <c r="F1023" s="86">
        <v>4828066.5000000028</v>
      </c>
      <c r="G1023" s="86">
        <v>0</v>
      </c>
      <c r="H1023" s="86"/>
      <c r="I1023" s="86">
        <v>0</v>
      </c>
      <c r="J1023" s="86"/>
      <c r="K1023" s="86">
        <v>0</v>
      </c>
      <c r="L1023" s="86"/>
      <c r="M1023" s="86">
        <v>261</v>
      </c>
      <c r="N1023" s="86"/>
      <c r="O1023" s="86">
        <v>0</v>
      </c>
      <c r="P1023" s="86">
        <v>5441061.9999999972</v>
      </c>
      <c r="Q1023" s="86">
        <v>275</v>
      </c>
      <c r="R1023" s="87">
        <f t="shared" ref="R1023:R1086" si="368">MAX(Q1023,AA1023)</f>
        <v>275</v>
      </c>
      <c r="T1023" s="87">
        <v>0</v>
      </c>
      <c r="U1023" s="89"/>
      <c r="V1023" s="89">
        <v>0</v>
      </c>
      <c r="W1023" s="90"/>
      <c r="X1023" s="90">
        <v>0</v>
      </c>
      <c r="Y1023" s="90">
        <v>5970424.0000000009</v>
      </c>
      <c r="Z1023" s="90">
        <v>255</v>
      </c>
      <c r="AA1023" s="90">
        <v>275</v>
      </c>
      <c r="AB1023" s="89">
        <f t="shared" si="354"/>
        <v>0</v>
      </c>
      <c r="AC1023" s="89">
        <f t="shared" si="355"/>
        <v>275</v>
      </c>
      <c r="AD1023" s="89">
        <f t="shared" si="356"/>
        <v>255</v>
      </c>
      <c r="AF1023" s="90" t="str">
        <f t="shared" si="358"/>
        <v/>
      </c>
      <c r="AG1023" s="90">
        <f t="shared" si="359"/>
        <v>275</v>
      </c>
      <c r="AH1023" s="90">
        <f t="shared" si="360"/>
        <v>2018</v>
      </c>
      <c r="AI1023" s="90">
        <f t="shared" si="361"/>
        <v>255</v>
      </c>
      <c r="AJ1023" s="90">
        <f t="shared" si="362"/>
        <v>2022</v>
      </c>
      <c r="AK1023" s="90" t="str">
        <f t="shared" si="363"/>
        <v>Adjust</v>
      </c>
      <c r="AL1023" s="91">
        <f>IF(AK1023="Adjust",(_xlfn.XLOOKUP(A1023,'Adj factor'!A:A,'Adj factor'!I:I,,0)*AI1023),'Master DataSheet (Rev)'!AI1023)</f>
        <v>293.07115430170586</v>
      </c>
      <c r="AM1023" s="91">
        <f t="shared" si="364"/>
        <v>293.07115430170586</v>
      </c>
      <c r="AN1023" s="92" t="str">
        <f t="shared" si="365"/>
        <v>Increasing</v>
      </c>
      <c r="AS1023" s="94">
        <f t="shared" si="366"/>
        <v>0</v>
      </c>
      <c r="AT1023" s="94">
        <f t="shared" si="367"/>
        <v>0.5054160382660593</v>
      </c>
      <c r="AU1023" s="94">
        <f t="shared" si="352"/>
        <v>0.49087159354462234</v>
      </c>
      <c r="AV1023" s="94">
        <f t="shared" si="353"/>
        <v>0.49087159354462234</v>
      </c>
    </row>
    <row r="1024" spans="1:48" x14ac:dyDescent="0.3">
      <c r="A1024" s="85" t="str">
        <f>_xlfn.XLOOKUP(B1024,'Country codes &amp; Data sources'!G:G,'Country codes &amp; Data sources'!H:H,,0)</f>
        <v>Congo</v>
      </c>
      <c r="B1024" s="85" t="s">
        <v>189</v>
      </c>
      <c r="C1024" s="85">
        <v>4713259.5</v>
      </c>
      <c r="D1024" s="85" t="s">
        <v>329</v>
      </c>
      <c r="E1024" s="86">
        <v>0</v>
      </c>
      <c r="F1024" s="86">
        <v>4828066.5000000028</v>
      </c>
      <c r="G1024" s="86">
        <v>3289</v>
      </c>
      <c r="H1024" s="86"/>
      <c r="I1024" s="86">
        <v>3458</v>
      </c>
      <c r="J1024" s="86"/>
      <c r="K1024" s="86">
        <v>3852</v>
      </c>
      <c r="L1024" s="86"/>
      <c r="M1024" s="86">
        <v>3717</v>
      </c>
      <c r="N1024" s="86"/>
      <c r="O1024" s="86">
        <v>0</v>
      </c>
      <c r="P1024" s="86">
        <v>5441061.9999999972</v>
      </c>
      <c r="Q1024" s="86">
        <v>5081</v>
      </c>
      <c r="R1024" s="87">
        <f t="shared" si="368"/>
        <v>5081</v>
      </c>
      <c r="T1024" s="87">
        <v>0</v>
      </c>
      <c r="U1024" s="89"/>
      <c r="V1024" s="89">
        <v>0</v>
      </c>
      <c r="W1024" s="90"/>
      <c r="X1024" s="90">
        <v>0</v>
      </c>
      <c r="Y1024" s="90">
        <v>5970424.0000000009</v>
      </c>
      <c r="Z1024" s="90">
        <v>5573</v>
      </c>
      <c r="AA1024" s="90">
        <v>4012</v>
      </c>
      <c r="AB1024" s="89">
        <f t="shared" si="354"/>
        <v>3852</v>
      </c>
      <c r="AC1024" s="89">
        <f t="shared" si="355"/>
        <v>5081</v>
      </c>
      <c r="AD1024" s="89">
        <f t="shared" si="356"/>
        <v>5573</v>
      </c>
      <c r="AE1024" s="90">
        <f t="shared" si="357"/>
        <v>3289</v>
      </c>
      <c r="AF1024" s="90">
        <f t="shared" si="358"/>
        <v>2013</v>
      </c>
      <c r="AG1024" s="90">
        <f t="shared" si="359"/>
        <v>5081</v>
      </c>
      <c r="AH1024" s="90">
        <f t="shared" si="360"/>
        <v>2018</v>
      </c>
      <c r="AI1024" s="90">
        <f t="shared" si="361"/>
        <v>5573</v>
      </c>
      <c r="AJ1024" s="90">
        <f t="shared" si="362"/>
        <v>2022</v>
      </c>
      <c r="AK1024" s="90" t="str">
        <f t="shared" si="363"/>
        <v/>
      </c>
      <c r="AL1024" s="91">
        <f>IF(AK1024="Adjust",(_xlfn.XLOOKUP(A1024,'Adj factor'!A:A,'Adj factor'!I:I,,0)*AI1024),'Master DataSheet (Rev)'!AI1024)</f>
        <v>5573</v>
      </c>
      <c r="AM1024" s="91">
        <f t="shared" si="364"/>
        <v>5573</v>
      </c>
      <c r="AN1024" s="92" t="str">
        <f t="shared" si="365"/>
        <v>Increasing</v>
      </c>
      <c r="AS1024" s="94">
        <f t="shared" si="366"/>
        <v>6.8122508254598362</v>
      </c>
      <c r="AT1024" s="94">
        <f t="shared" si="367"/>
        <v>9.3382505106539906</v>
      </c>
      <c r="AU1024" s="94">
        <f t="shared" si="352"/>
        <v>9.3343454334231524</v>
      </c>
      <c r="AV1024" s="94">
        <f t="shared" si="353"/>
        <v>9.3343454334231524</v>
      </c>
    </row>
    <row r="1025" spans="1:48" x14ac:dyDescent="0.3">
      <c r="A1025" s="85" t="str">
        <f>_xlfn.XLOOKUP(B1025,'Country codes &amp; Data sources'!G:G,'Country codes &amp; Data sources'!H:H,,0)</f>
        <v>Congo</v>
      </c>
      <c r="B1025" s="85" t="s">
        <v>189</v>
      </c>
      <c r="C1025" s="85">
        <v>4713260.5</v>
      </c>
      <c r="D1025" s="85" t="s">
        <v>330</v>
      </c>
      <c r="E1025" s="86">
        <v>0</v>
      </c>
      <c r="F1025" s="86">
        <v>4828066.5000000028</v>
      </c>
      <c r="G1025" s="86">
        <v>0</v>
      </c>
      <c r="H1025" s="86"/>
      <c r="I1025" s="86">
        <v>0</v>
      </c>
      <c r="J1025" s="86"/>
      <c r="K1025" s="86">
        <v>1934</v>
      </c>
      <c r="L1025" s="86"/>
      <c r="M1025" s="86">
        <v>1870</v>
      </c>
      <c r="N1025" s="86"/>
      <c r="O1025" s="86">
        <v>0</v>
      </c>
      <c r="P1025" s="86">
        <v>5441061.9999999972</v>
      </c>
      <c r="Q1025" s="86">
        <v>0</v>
      </c>
      <c r="R1025" s="87">
        <f t="shared" si="368"/>
        <v>2707</v>
      </c>
      <c r="T1025" s="87">
        <v>0</v>
      </c>
      <c r="U1025" s="89"/>
      <c r="V1025" s="89">
        <v>0</v>
      </c>
      <c r="W1025" s="90"/>
      <c r="X1025" s="90">
        <v>0</v>
      </c>
      <c r="Y1025" s="90">
        <v>5970424.0000000009</v>
      </c>
      <c r="Z1025" s="90">
        <v>5573</v>
      </c>
      <c r="AA1025" s="90">
        <v>2707</v>
      </c>
      <c r="AB1025" s="89">
        <f t="shared" si="354"/>
        <v>1934</v>
      </c>
      <c r="AC1025" s="89">
        <f t="shared" si="355"/>
        <v>1870</v>
      </c>
      <c r="AD1025" s="89">
        <f t="shared" si="356"/>
        <v>5573</v>
      </c>
      <c r="AE1025" s="90">
        <f t="shared" si="357"/>
        <v>1934</v>
      </c>
      <c r="AF1025" s="90">
        <f t="shared" si="358"/>
        <v>2015</v>
      </c>
      <c r="AG1025" s="90">
        <f t="shared" si="359"/>
        <v>2707</v>
      </c>
      <c r="AH1025" s="90" t="str">
        <f t="shared" si="360"/>
        <v>2018 (triag)</v>
      </c>
      <c r="AI1025" s="90">
        <f t="shared" si="361"/>
        <v>5573</v>
      </c>
      <c r="AJ1025" s="90">
        <f t="shared" si="362"/>
        <v>2022</v>
      </c>
      <c r="AK1025" s="90" t="str">
        <f t="shared" si="363"/>
        <v/>
      </c>
      <c r="AL1025" s="91">
        <f>IF(AK1025="Adjust",(_xlfn.XLOOKUP(A1025,'Adj factor'!A:A,'Adj factor'!I:I,,0)*AI1025),'Master DataSheet (Rev)'!AI1025)</f>
        <v>5573</v>
      </c>
      <c r="AM1025" s="91">
        <f t="shared" si="364"/>
        <v>5573</v>
      </c>
      <c r="AN1025" s="92" t="str">
        <f t="shared" si="365"/>
        <v>Increasing</v>
      </c>
      <c r="AS1025" s="94">
        <f t="shared" si="366"/>
        <v>4.0057443285008585</v>
      </c>
      <c r="AT1025" s="94">
        <f t="shared" si="367"/>
        <v>4.9751316930408098</v>
      </c>
      <c r="AU1025" s="94">
        <f t="shared" si="352"/>
        <v>9.3343454334231524</v>
      </c>
      <c r="AV1025" s="94">
        <f t="shared" si="353"/>
        <v>9.3343454334231524</v>
      </c>
    </row>
    <row r="1026" spans="1:48" x14ac:dyDescent="0.3">
      <c r="A1026" s="85" t="str">
        <f>_xlfn.XLOOKUP(B1026,'Country codes &amp; Data sources'!G:G,'Country codes &amp; Data sources'!H:H,,0)</f>
        <v>Congo</v>
      </c>
      <c r="B1026" s="85" t="s">
        <v>189</v>
      </c>
      <c r="C1026" s="85">
        <v>4713261.5</v>
      </c>
      <c r="D1026" s="85" t="s">
        <v>331</v>
      </c>
      <c r="E1026" s="86">
        <v>0</v>
      </c>
      <c r="F1026" s="86">
        <v>4828066.5000000028</v>
      </c>
      <c r="G1026" s="86">
        <v>0</v>
      </c>
      <c r="H1026" s="86"/>
      <c r="I1026" s="86">
        <v>0</v>
      </c>
      <c r="J1026" s="86"/>
      <c r="K1026" s="86">
        <v>1918</v>
      </c>
      <c r="L1026" s="86"/>
      <c r="M1026" s="86">
        <v>1847</v>
      </c>
      <c r="N1026" s="86"/>
      <c r="O1026" s="86">
        <v>0</v>
      </c>
      <c r="P1026" s="86">
        <v>5441061.9999999972</v>
      </c>
      <c r="Q1026" s="86">
        <v>0</v>
      </c>
      <c r="R1026" s="87">
        <f t="shared" si="368"/>
        <v>1305</v>
      </c>
      <c r="T1026" s="87">
        <v>0</v>
      </c>
      <c r="U1026" s="89"/>
      <c r="V1026" s="89">
        <v>0</v>
      </c>
      <c r="W1026" s="90"/>
      <c r="X1026" s="90">
        <v>0</v>
      </c>
      <c r="Y1026" s="90">
        <v>5970424.0000000009</v>
      </c>
      <c r="Z1026" s="90">
        <v>0</v>
      </c>
      <c r="AA1026" s="90">
        <v>1305</v>
      </c>
      <c r="AB1026" s="89">
        <f t="shared" si="354"/>
        <v>1918</v>
      </c>
      <c r="AC1026" s="89">
        <f t="shared" si="355"/>
        <v>1847</v>
      </c>
      <c r="AD1026" s="89">
        <f t="shared" si="356"/>
        <v>0</v>
      </c>
      <c r="AE1026" s="90">
        <f t="shared" si="357"/>
        <v>1918</v>
      </c>
      <c r="AF1026" s="90">
        <f t="shared" si="358"/>
        <v>2015</v>
      </c>
      <c r="AG1026" s="90">
        <f t="shared" si="359"/>
        <v>1305</v>
      </c>
      <c r="AH1026" s="90" t="str">
        <f t="shared" si="360"/>
        <v>2018 (triag)</v>
      </c>
      <c r="AI1026" s="90">
        <f t="shared" si="361"/>
        <v>1305</v>
      </c>
      <c r="AJ1026" s="90" t="str">
        <f t="shared" si="362"/>
        <v>2018 (triag)</v>
      </c>
      <c r="AK1026" s="90" t="str">
        <f t="shared" si="363"/>
        <v/>
      </c>
      <c r="AL1026" s="91">
        <f>IF(AK1026="Adjust",(_xlfn.XLOOKUP(A1026,'Adj factor'!A:A,'Adj factor'!I:I,,0)*AI1026),'Master DataSheet (Rev)'!AI1026)</f>
        <v>1305</v>
      </c>
      <c r="AM1026" s="91">
        <f t="shared" si="364"/>
        <v>1305</v>
      </c>
      <c r="AN1026" s="92" t="str">
        <f t="shared" si="365"/>
        <v>No change</v>
      </c>
      <c r="AS1026" s="94">
        <f t="shared" si="366"/>
        <v>3.9726047683891657</v>
      </c>
      <c r="AT1026" s="94">
        <f t="shared" si="367"/>
        <v>2.3984288361352997</v>
      </c>
      <c r="AU1026" s="94">
        <f t="shared" si="352"/>
        <v>2.185774410661621</v>
      </c>
      <c r="AV1026" s="94">
        <f t="shared" si="353"/>
        <v>2.185774410661621</v>
      </c>
    </row>
    <row r="1027" spans="1:48" x14ac:dyDescent="0.3">
      <c r="A1027" s="85" t="str">
        <f>_xlfn.XLOOKUP(B1027,'Country codes &amp; Data sources'!G:G,'Country codes &amp; Data sources'!H:H,,0)</f>
        <v>Congo</v>
      </c>
      <c r="B1027" s="85" t="s">
        <v>189</v>
      </c>
      <c r="C1027" s="85">
        <v>4713262.5</v>
      </c>
      <c r="D1027" s="85" t="s">
        <v>332</v>
      </c>
      <c r="E1027" s="86">
        <v>0</v>
      </c>
      <c r="F1027" s="86">
        <v>4828066.5000000028</v>
      </c>
      <c r="G1027" s="86">
        <v>1282</v>
      </c>
      <c r="H1027" s="86"/>
      <c r="I1027" s="86">
        <v>0</v>
      </c>
      <c r="J1027" s="86"/>
      <c r="K1027" s="86">
        <v>0</v>
      </c>
      <c r="L1027" s="86"/>
      <c r="M1027" s="86">
        <v>921</v>
      </c>
      <c r="N1027" s="86"/>
      <c r="O1027" s="86">
        <v>0</v>
      </c>
      <c r="P1027" s="86">
        <v>5441061.9999999972</v>
      </c>
      <c r="Q1027" s="86">
        <v>0</v>
      </c>
      <c r="R1027" s="87">
        <f t="shared" si="368"/>
        <v>1069</v>
      </c>
      <c r="T1027" s="87">
        <v>0</v>
      </c>
      <c r="U1027" s="89"/>
      <c r="V1027" s="89">
        <v>0</v>
      </c>
      <c r="W1027" s="90"/>
      <c r="X1027" s="90">
        <v>0</v>
      </c>
      <c r="Y1027" s="90">
        <v>5970424.0000000009</v>
      </c>
      <c r="Z1027" s="90">
        <v>907</v>
      </c>
      <c r="AA1027" s="90">
        <v>1069</v>
      </c>
      <c r="AB1027" s="89">
        <f t="shared" si="354"/>
        <v>1282</v>
      </c>
      <c r="AC1027" s="89">
        <f t="shared" si="355"/>
        <v>921</v>
      </c>
      <c r="AD1027" s="89">
        <f t="shared" si="356"/>
        <v>907</v>
      </c>
      <c r="AE1027" s="90">
        <f t="shared" si="357"/>
        <v>1282</v>
      </c>
      <c r="AF1027" s="90">
        <f t="shared" si="358"/>
        <v>2013</v>
      </c>
      <c r="AG1027" s="90">
        <f t="shared" si="359"/>
        <v>1069</v>
      </c>
      <c r="AH1027" s="90" t="str">
        <f t="shared" si="360"/>
        <v>2018 (triag)</v>
      </c>
      <c r="AI1027" s="90">
        <f t="shared" si="361"/>
        <v>907</v>
      </c>
      <c r="AJ1027" s="90">
        <f t="shared" si="362"/>
        <v>2022</v>
      </c>
      <c r="AK1027" s="90" t="str">
        <f t="shared" si="363"/>
        <v>Adjust</v>
      </c>
      <c r="AL1027" s="91">
        <f>IF(AK1027="Adjust",(_xlfn.XLOOKUP(A1027,'Adj factor'!A:A,'Adj factor'!I:I,,0)*AI1027),'Master DataSheet (Rev)'!AI1027)</f>
        <v>1042.4138703986166</v>
      </c>
      <c r="AM1027" s="91">
        <f t="shared" si="364"/>
        <v>1069</v>
      </c>
      <c r="AN1027" s="92" t="str">
        <f t="shared" si="365"/>
        <v>Decreasing</v>
      </c>
      <c r="AS1027" s="94">
        <f t="shared" si="366"/>
        <v>2.6553072539493798</v>
      </c>
      <c r="AT1027" s="94">
        <f t="shared" si="367"/>
        <v>1.9646899814778815</v>
      </c>
      <c r="AU1027" s="94">
        <f t="shared" ref="AU1027:AU1090" si="369">(AL1027*10000)/Y1027</f>
        <v>1.7459628837057743</v>
      </c>
      <c r="AV1027" s="94">
        <f t="shared" ref="AV1027:AV1090" si="370">(AM1027*10000)/Y1027</f>
        <v>1.7904926015304772</v>
      </c>
    </row>
    <row r="1028" spans="1:48" x14ac:dyDescent="0.3">
      <c r="A1028" s="85" t="str">
        <f>_xlfn.XLOOKUP(B1028,'Country codes &amp; Data sources'!G:G,'Country codes &amp; Data sources'!H:H,,0)</f>
        <v>Congo</v>
      </c>
      <c r="B1028" s="85" t="s">
        <v>189</v>
      </c>
      <c r="C1028" s="85">
        <v>4713263.5</v>
      </c>
      <c r="D1028" s="85" t="s">
        <v>333</v>
      </c>
      <c r="E1028" s="86">
        <v>0</v>
      </c>
      <c r="F1028" s="86">
        <v>4828066.5000000028</v>
      </c>
      <c r="G1028" s="86">
        <v>1215</v>
      </c>
      <c r="H1028" s="86"/>
      <c r="I1028" s="86">
        <v>0</v>
      </c>
      <c r="J1028" s="86"/>
      <c r="K1028" s="86">
        <v>0</v>
      </c>
      <c r="L1028" s="86"/>
      <c r="M1028" s="86">
        <v>0</v>
      </c>
      <c r="N1028" s="86"/>
      <c r="O1028" s="86">
        <v>0</v>
      </c>
      <c r="P1028" s="86">
        <v>5441061.9999999972</v>
      </c>
      <c r="Q1028" s="86">
        <v>0</v>
      </c>
      <c r="R1028" s="87">
        <f t="shared" si="368"/>
        <v>921</v>
      </c>
      <c r="T1028" s="87">
        <v>0</v>
      </c>
      <c r="U1028" s="89"/>
      <c r="V1028" s="89">
        <v>0</v>
      </c>
      <c r="W1028" s="90"/>
      <c r="X1028" s="90">
        <v>0</v>
      </c>
      <c r="Y1028" s="90">
        <v>5970424.0000000009</v>
      </c>
      <c r="Z1028" s="90">
        <v>907</v>
      </c>
      <c r="AA1028" s="90">
        <v>921</v>
      </c>
      <c r="AB1028" s="89">
        <f t="shared" si="354"/>
        <v>1215</v>
      </c>
      <c r="AC1028" s="89">
        <f t="shared" si="355"/>
        <v>0</v>
      </c>
      <c r="AD1028" s="89">
        <f t="shared" si="356"/>
        <v>907</v>
      </c>
      <c r="AE1028" s="90">
        <f t="shared" si="357"/>
        <v>1215</v>
      </c>
      <c r="AF1028" s="90">
        <f t="shared" si="358"/>
        <v>2013</v>
      </c>
      <c r="AG1028" s="90">
        <f t="shared" si="359"/>
        <v>921</v>
      </c>
      <c r="AH1028" s="90" t="str">
        <f t="shared" si="360"/>
        <v>2018 (triag)</v>
      </c>
      <c r="AI1028" s="90">
        <f t="shared" si="361"/>
        <v>907</v>
      </c>
      <c r="AJ1028" s="90">
        <f t="shared" si="362"/>
        <v>2022</v>
      </c>
      <c r="AK1028" s="90" t="str">
        <f t="shared" si="363"/>
        <v>Adjust</v>
      </c>
      <c r="AL1028" s="91">
        <f>IF(AK1028="Adjust",(_xlfn.XLOOKUP(A1028,'Adj factor'!A:A,'Adj factor'!I:I,,0)*AI1028),'Master DataSheet (Rev)'!AI1028)</f>
        <v>1042.4138703986166</v>
      </c>
      <c r="AM1028" s="91">
        <f t="shared" si="364"/>
        <v>1042.4138703986166</v>
      </c>
      <c r="AN1028" s="92" t="str">
        <f t="shared" si="365"/>
        <v>Increasing</v>
      </c>
      <c r="AS1028" s="94">
        <f t="shared" si="366"/>
        <v>2.5165353459816662</v>
      </c>
      <c r="AT1028" s="94">
        <f t="shared" si="367"/>
        <v>1.6926842590656024</v>
      </c>
      <c r="AU1028" s="94">
        <f t="shared" si="369"/>
        <v>1.7459628837057743</v>
      </c>
      <c r="AV1028" s="94">
        <f t="shared" si="370"/>
        <v>1.7459628837057743</v>
      </c>
    </row>
    <row r="1029" spans="1:48" x14ac:dyDescent="0.3">
      <c r="A1029" s="85" t="str">
        <f>_xlfn.XLOOKUP(B1029,'Country codes &amp; Data sources'!G:G,'Country codes &amp; Data sources'!H:H,,0)</f>
        <v>Congo</v>
      </c>
      <c r="B1029" s="85" t="s">
        <v>189</v>
      </c>
      <c r="C1029" s="85">
        <v>4713264.5</v>
      </c>
      <c r="D1029" s="85" t="s">
        <v>334</v>
      </c>
      <c r="E1029" s="86">
        <v>0</v>
      </c>
      <c r="F1029" s="86">
        <v>4828066.5000000028</v>
      </c>
      <c r="G1029" s="86">
        <v>67</v>
      </c>
      <c r="H1029" s="86"/>
      <c r="I1029" s="86">
        <v>0</v>
      </c>
      <c r="J1029" s="86"/>
      <c r="K1029" s="86">
        <v>0</v>
      </c>
      <c r="L1029" s="86"/>
      <c r="M1029" s="86">
        <v>0</v>
      </c>
      <c r="N1029" s="86"/>
      <c r="O1029" s="86">
        <v>0</v>
      </c>
      <c r="P1029" s="86">
        <v>5441061.9999999972</v>
      </c>
      <c r="Q1029" s="86">
        <v>0</v>
      </c>
      <c r="R1029" s="87">
        <f t="shared" si="368"/>
        <v>148</v>
      </c>
      <c r="T1029" s="87">
        <v>0</v>
      </c>
      <c r="U1029" s="89"/>
      <c r="V1029" s="89">
        <v>0</v>
      </c>
      <c r="W1029" s="90"/>
      <c r="X1029" s="90">
        <v>0</v>
      </c>
      <c r="Y1029" s="90">
        <v>5970424.0000000009</v>
      </c>
      <c r="Z1029" s="90">
        <v>0</v>
      </c>
      <c r="AA1029" s="90">
        <v>148</v>
      </c>
      <c r="AB1029" s="89">
        <f t="shared" si="354"/>
        <v>67</v>
      </c>
      <c r="AC1029" s="89">
        <f t="shared" si="355"/>
        <v>0</v>
      </c>
      <c r="AD1029" s="89">
        <f t="shared" si="356"/>
        <v>0</v>
      </c>
      <c r="AE1029" s="90">
        <f t="shared" si="357"/>
        <v>67</v>
      </c>
      <c r="AF1029" s="90">
        <f t="shared" si="358"/>
        <v>2013</v>
      </c>
      <c r="AG1029" s="90">
        <f t="shared" si="359"/>
        <v>148</v>
      </c>
      <c r="AH1029" s="90" t="str">
        <f t="shared" si="360"/>
        <v>2018 (triag)</v>
      </c>
      <c r="AI1029" s="90">
        <f t="shared" si="361"/>
        <v>148</v>
      </c>
      <c r="AJ1029" s="90" t="str">
        <f t="shared" si="362"/>
        <v>2018 (triag)</v>
      </c>
      <c r="AK1029" s="90" t="str">
        <f t="shared" si="363"/>
        <v/>
      </c>
      <c r="AL1029" s="91">
        <f>IF(AK1029="Adjust",(_xlfn.XLOOKUP(A1029,'Adj factor'!A:A,'Adj factor'!I:I,,0)*AI1029),'Master DataSheet (Rev)'!AI1029)</f>
        <v>148</v>
      </c>
      <c r="AM1029" s="91">
        <f t="shared" si="364"/>
        <v>148</v>
      </c>
      <c r="AN1029" s="92" t="str">
        <f t="shared" si="365"/>
        <v>No change</v>
      </c>
      <c r="AS1029" s="94">
        <f t="shared" si="366"/>
        <v>0.1387719079677133</v>
      </c>
      <c r="AT1029" s="94">
        <f t="shared" si="367"/>
        <v>0.27200572241227922</v>
      </c>
      <c r="AU1029" s="94">
        <f t="shared" si="369"/>
        <v>0.24788859216698844</v>
      </c>
      <c r="AV1029" s="94">
        <f t="shared" si="370"/>
        <v>0.24788859216698844</v>
      </c>
    </row>
    <row r="1030" spans="1:48" x14ac:dyDescent="0.3">
      <c r="A1030" s="85" t="str">
        <f>_xlfn.XLOOKUP(B1030,'Country codes &amp; Data sources'!G:G,'Country codes &amp; Data sources'!H:H,,0)</f>
        <v>Congo</v>
      </c>
      <c r="B1030" s="85" t="s">
        <v>189</v>
      </c>
      <c r="C1030" s="85">
        <v>4713265.5</v>
      </c>
      <c r="D1030" s="85" t="s">
        <v>335</v>
      </c>
      <c r="E1030" s="86">
        <v>0</v>
      </c>
      <c r="F1030" s="86">
        <v>4828066.5000000028</v>
      </c>
      <c r="G1030" s="86">
        <v>0</v>
      </c>
      <c r="H1030" s="86"/>
      <c r="I1030" s="86">
        <v>0</v>
      </c>
      <c r="J1030" s="86"/>
      <c r="K1030" s="86">
        <v>0</v>
      </c>
      <c r="L1030" s="86"/>
      <c r="M1030" s="86">
        <v>73</v>
      </c>
      <c r="N1030" s="86"/>
      <c r="O1030" s="86">
        <v>0</v>
      </c>
      <c r="P1030" s="86">
        <v>5441061.9999999972</v>
      </c>
      <c r="Q1030" s="86">
        <v>157</v>
      </c>
      <c r="R1030" s="87">
        <f t="shared" si="368"/>
        <v>157</v>
      </c>
      <c r="T1030" s="87">
        <v>0</v>
      </c>
      <c r="U1030" s="89"/>
      <c r="V1030" s="89">
        <v>0</v>
      </c>
      <c r="W1030" s="90"/>
      <c r="X1030" s="90">
        <v>0</v>
      </c>
      <c r="Y1030" s="90">
        <v>5970424.0000000009</v>
      </c>
      <c r="Z1030" s="90">
        <v>28</v>
      </c>
      <c r="AA1030" s="90">
        <v>73</v>
      </c>
      <c r="AB1030" s="89">
        <f t="shared" si="354"/>
        <v>0</v>
      </c>
      <c r="AC1030" s="89">
        <f t="shared" si="355"/>
        <v>157</v>
      </c>
      <c r="AD1030" s="89">
        <f t="shared" si="356"/>
        <v>28</v>
      </c>
      <c r="AF1030" s="90" t="str">
        <f t="shared" si="358"/>
        <v/>
      </c>
      <c r="AG1030" s="90">
        <f t="shared" si="359"/>
        <v>157</v>
      </c>
      <c r="AH1030" s="90">
        <f t="shared" si="360"/>
        <v>2018</v>
      </c>
      <c r="AI1030" s="90">
        <f t="shared" si="361"/>
        <v>28</v>
      </c>
      <c r="AJ1030" s="90">
        <f t="shared" si="362"/>
        <v>2022</v>
      </c>
      <c r="AK1030" s="90" t="str">
        <f t="shared" si="363"/>
        <v>Adjust</v>
      </c>
      <c r="AL1030" s="91">
        <f>IF(AK1030="Adjust",(_xlfn.XLOOKUP(A1030,'Adj factor'!A:A,'Adj factor'!I:I,,0)*AI1030),'Master DataSheet (Rev)'!AI1030)</f>
        <v>32.180362040971623</v>
      </c>
      <c r="AM1030" s="91">
        <f t="shared" si="364"/>
        <v>157</v>
      </c>
      <c r="AN1030" s="92" t="str">
        <f t="shared" si="365"/>
        <v>Decreasing</v>
      </c>
      <c r="AS1030" s="94">
        <f t="shared" si="366"/>
        <v>0</v>
      </c>
      <c r="AT1030" s="94">
        <f t="shared" si="367"/>
        <v>0.28854661093735023</v>
      </c>
      <c r="AU1030" s="94">
        <f t="shared" si="369"/>
        <v>5.3899625957840876E-2</v>
      </c>
      <c r="AV1030" s="94">
        <f t="shared" si="370"/>
        <v>0.26296289844741338</v>
      </c>
    </row>
    <row r="1031" spans="1:48" x14ac:dyDescent="0.3">
      <c r="A1031" s="85" t="str">
        <f>_xlfn.XLOOKUP(B1031,'Country codes &amp; Data sources'!G:G,'Country codes &amp; Data sources'!H:H,,0)</f>
        <v>Congo</v>
      </c>
      <c r="B1031" s="85" t="s">
        <v>189</v>
      </c>
      <c r="C1031" s="85">
        <v>4713266.5</v>
      </c>
      <c r="D1031" s="85" t="s">
        <v>336</v>
      </c>
      <c r="E1031" s="86">
        <v>0</v>
      </c>
      <c r="F1031" s="86">
        <v>4828066.5000000028</v>
      </c>
      <c r="G1031" s="86">
        <v>0</v>
      </c>
      <c r="H1031" s="86"/>
      <c r="I1031" s="86">
        <v>0</v>
      </c>
      <c r="J1031" s="86"/>
      <c r="K1031" s="86">
        <v>0</v>
      </c>
      <c r="L1031" s="86"/>
      <c r="M1031" s="86">
        <v>0</v>
      </c>
      <c r="N1031" s="86"/>
      <c r="O1031" s="86">
        <v>0</v>
      </c>
      <c r="P1031" s="86">
        <v>5441061.9999999972</v>
      </c>
      <c r="Q1031" s="86">
        <v>0</v>
      </c>
      <c r="R1031" s="87">
        <f t="shared" si="368"/>
        <v>84</v>
      </c>
      <c r="T1031" s="87">
        <v>0</v>
      </c>
      <c r="U1031" s="89"/>
      <c r="V1031" s="89">
        <v>0</v>
      </c>
      <c r="W1031" s="90"/>
      <c r="X1031" s="90">
        <v>0</v>
      </c>
      <c r="Y1031" s="90">
        <v>5970424.0000000009</v>
      </c>
      <c r="Z1031" s="90">
        <v>80</v>
      </c>
      <c r="AA1031" s="90">
        <v>84</v>
      </c>
      <c r="AB1031" s="89">
        <f t="shared" si="354"/>
        <v>0</v>
      </c>
      <c r="AC1031" s="89">
        <f t="shared" si="355"/>
        <v>0</v>
      </c>
      <c r="AD1031" s="89">
        <f t="shared" si="356"/>
        <v>80</v>
      </c>
      <c r="AF1031" s="90" t="str">
        <f t="shared" si="358"/>
        <v/>
      </c>
      <c r="AG1031" s="90">
        <f t="shared" si="359"/>
        <v>84</v>
      </c>
      <c r="AH1031" s="90" t="str">
        <f t="shared" si="360"/>
        <v>2018 (triag)</v>
      </c>
      <c r="AI1031" s="90">
        <f t="shared" si="361"/>
        <v>80</v>
      </c>
      <c r="AJ1031" s="90">
        <f t="shared" si="362"/>
        <v>2022</v>
      </c>
      <c r="AK1031" s="90" t="str">
        <f t="shared" si="363"/>
        <v>Adjust</v>
      </c>
      <c r="AL1031" s="91">
        <f>IF(AK1031="Adjust",(_xlfn.XLOOKUP(A1031,'Adj factor'!A:A,'Adj factor'!I:I,,0)*AI1031),'Master DataSheet (Rev)'!AI1031)</f>
        <v>91.943891545633221</v>
      </c>
      <c r="AM1031" s="91">
        <f t="shared" si="364"/>
        <v>91.943891545633221</v>
      </c>
      <c r="AN1031" s="92" t="str">
        <f t="shared" si="365"/>
        <v>Increasing</v>
      </c>
      <c r="AS1031" s="94">
        <f t="shared" si="366"/>
        <v>0</v>
      </c>
      <c r="AT1031" s="94">
        <f t="shared" si="367"/>
        <v>0.15438162623399632</v>
      </c>
      <c r="AU1031" s="94">
        <f t="shared" si="369"/>
        <v>0.15399893130811684</v>
      </c>
      <c r="AV1031" s="94">
        <f t="shared" si="370"/>
        <v>0.15399893130811684</v>
      </c>
    </row>
    <row r="1032" spans="1:48" x14ac:dyDescent="0.3">
      <c r="A1032" s="85" t="str">
        <f>_xlfn.XLOOKUP(B1032,'Country codes &amp; Data sources'!G:G,'Country codes &amp; Data sources'!H:H,,0)</f>
        <v>Congo</v>
      </c>
      <c r="B1032" s="85" t="s">
        <v>189</v>
      </c>
      <c r="C1032" s="85">
        <v>4713267.5</v>
      </c>
      <c r="D1032" s="85" t="s">
        <v>337</v>
      </c>
      <c r="E1032" s="86">
        <v>0</v>
      </c>
      <c r="F1032" s="86">
        <v>4828066.5000000028</v>
      </c>
      <c r="G1032" s="86">
        <v>0</v>
      </c>
      <c r="H1032" s="86"/>
      <c r="I1032" s="86">
        <v>0</v>
      </c>
      <c r="J1032" s="86"/>
      <c r="K1032" s="86">
        <v>0</v>
      </c>
      <c r="L1032" s="86"/>
      <c r="M1032" s="86">
        <v>27</v>
      </c>
      <c r="N1032" s="86"/>
      <c r="O1032" s="86">
        <v>0</v>
      </c>
      <c r="P1032" s="86">
        <v>5441061.9999999972</v>
      </c>
      <c r="Q1032" s="86">
        <v>27</v>
      </c>
      <c r="R1032" s="87">
        <f t="shared" si="368"/>
        <v>27</v>
      </c>
      <c r="T1032" s="87">
        <v>0</v>
      </c>
      <c r="U1032" s="89"/>
      <c r="V1032" s="89">
        <v>0</v>
      </c>
      <c r="W1032" s="90"/>
      <c r="X1032" s="90">
        <v>0</v>
      </c>
      <c r="Y1032" s="90">
        <v>5970424.0000000009</v>
      </c>
      <c r="Z1032" s="90">
        <v>9</v>
      </c>
      <c r="AA1032" s="90">
        <v>27</v>
      </c>
      <c r="AB1032" s="89">
        <f t="shared" si="354"/>
        <v>0</v>
      </c>
      <c r="AC1032" s="89">
        <f t="shared" si="355"/>
        <v>27</v>
      </c>
      <c r="AD1032" s="89">
        <f t="shared" si="356"/>
        <v>9</v>
      </c>
      <c r="AF1032" s="90" t="str">
        <f t="shared" si="358"/>
        <v/>
      </c>
      <c r="AG1032" s="90">
        <f t="shared" si="359"/>
        <v>27</v>
      </c>
      <c r="AH1032" s="90">
        <f t="shared" si="360"/>
        <v>2016</v>
      </c>
      <c r="AI1032" s="90">
        <f t="shared" si="361"/>
        <v>9</v>
      </c>
      <c r="AJ1032" s="90">
        <f t="shared" si="362"/>
        <v>2022</v>
      </c>
      <c r="AK1032" s="90" t="str">
        <f t="shared" si="363"/>
        <v>Adjust</v>
      </c>
      <c r="AL1032" s="91">
        <f>IF(AK1032="Adjust",(_xlfn.XLOOKUP(A1032,'Adj factor'!A:A,'Adj factor'!I:I,,0)*AI1032),'Master DataSheet (Rev)'!AI1032)</f>
        <v>10.343687798883737</v>
      </c>
      <c r="AM1032" s="91">
        <f t="shared" si="364"/>
        <v>27</v>
      </c>
      <c r="AN1032" s="92" t="str">
        <f t="shared" si="365"/>
        <v>Decreasing</v>
      </c>
      <c r="AS1032" s="94">
        <f t="shared" si="366"/>
        <v>0</v>
      </c>
      <c r="AT1032" s="94">
        <f t="shared" si="367"/>
        <v>4.9622665575213103E-2</v>
      </c>
      <c r="AU1032" s="94">
        <f t="shared" si="369"/>
        <v>1.732487977216314E-2</v>
      </c>
      <c r="AV1032" s="94">
        <f t="shared" si="370"/>
        <v>4.5222918841274919E-2</v>
      </c>
    </row>
    <row r="1033" spans="1:48" x14ac:dyDescent="0.3">
      <c r="A1033" s="85" t="str">
        <f>_xlfn.XLOOKUP(B1033,'Country codes &amp; Data sources'!G:G,'Country codes &amp; Data sources'!H:H,,0)</f>
        <v>Congo</v>
      </c>
      <c r="B1033" s="85" t="s">
        <v>189</v>
      </c>
      <c r="C1033" s="85">
        <v>4713268.5</v>
      </c>
      <c r="D1033" s="85" t="s">
        <v>338</v>
      </c>
      <c r="E1033" s="86">
        <v>0</v>
      </c>
      <c r="F1033" s="86">
        <v>4828066.5000000028</v>
      </c>
      <c r="G1033" s="86">
        <v>0</v>
      </c>
      <c r="H1033" s="86"/>
      <c r="I1033" s="86">
        <v>0</v>
      </c>
      <c r="J1033" s="86"/>
      <c r="K1033" s="86">
        <v>0</v>
      </c>
      <c r="L1033" s="86"/>
      <c r="M1033" s="86">
        <v>0</v>
      </c>
      <c r="N1033" s="86"/>
      <c r="O1033" s="86">
        <v>0</v>
      </c>
      <c r="P1033" s="86">
        <v>5441061.9999999972</v>
      </c>
      <c r="Q1033" s="86">
        <v>0</v>
      </c>
      <c r="R1033" s="87">
        <f t="shared" si="368"/>
        <v>0</v>
      </c>
      <c r="T1033" s="87">
        <v>0</v>
      </c>
      <c r="U1033" s="89"/>
      <c r="V1033" s="89">
        <v>0</v>
      </c>
      <c r="W1033" s="90"/>
      <c r="X1033" s="90">
        <v>0</v>
      </c>
      <c r="Y1033" s="90">
        <v>5970424.0000000009</v>
      </c>
      <c r="Z1033" s="90">
        <v>0</v>
      </c>
      <c r="AA1033" s="90">
        <v>0</v>
      </c>
      <c r="AB1033" s="89">
        <f t="shared" si="354"/>
        <v>0</v>
      </c>
      <c r="AC1033" s="89">
        <f t="shared" si="355"/>
        <v>0</v>
      </c>
      <c r="AD1033" s="89">
        <f t="shared" si="356"/>
        <v>0</v>
      </c>
      <c r="AF1033" s="90" t="str">
        <f t="shared" si="358"/>
        <v/>
      </c>
      <c r="AH1033" s="90" t="str">
        <f t="shared" si="360"/>
        <v/>
      </c>
      <c r="AI1033" s="90">
        <f t="shared" si="361"/>
        <v>0</v>
      </c>
      <c r="AJ1033" s="90" t="str">
        <f t="shared" si="362"/>
        <v/>
      </c>
      <c r="AK1033" s="90" t="str">
        <f t="shared" si="363"/>
        <v/>
      </c>
      <c r="AL1033" s="91"/>
      <c r="AM1033" s="91">
        <f t="shared" si="364"/>
        <v>0</v>
      </c>
      <c r="AN1033" s="92" t="str">
        <f t="shared" si="365"/>
        <v>No change</v>
      </c>
      <c r="AS1033" s="94">
        <f t="shared" si="366"/>
        <v>0</v>
      </c>
      <c r="AT1033" s="94">
        <f t="shared" si="367"/>
        <v>0</v>
      </c>
      <c r="AU1033" s="94">
        <f t="shared" si="369"/>
        <v>0</v>
      </c>
      <c r="AV1033" s="94">
        <f t="shared" si="370"/>
        <v>0</v>
      </c>
    </row>
    <row r="1034" spans="1:48" x14ac:dyDescent="0.3">
      <c r="A1034" s="85" t="str">
        <f>_xlfn.XLOOKUP(B1034,'Country codes &amp; Data sources'!G:G,'Country codes &amp; Data sources'!H:H,,0)</f>
        <v>Congo</v>
      </c>
      <c r="B1034" s="85" t="s">
        <v>189</v>
      </c>
      <c r="C1034" s="85">
        <v>4713269.5</v>
      </c>
      <c r="D1034" s="85" t="s">
        <v>339</v>
      </c>
      <c r="E1034" s="86">
        <v>0</v>
      </c>
      <c r="F1034" s="86">
        <v>4828066.5000000028</v>
      </c>
      <c r="G1034" s="86">
        <v>0</v>
      </c>
      <c r="H1034" s="86"/>
      <c r="I1034" s="86">
        <v>0</v>
      </c>
      <c r="J1034" s="86"/>
      <c r="K1034" s="86">
        <v>0</v>
      </c>
      <c r="L1034" s="86"/>
      <c r="M1034" s="86">
        <v>67</v>
      </c>
      <c r="N1034" s="86"/>
      <c r="O1034" s="86">
        <v>0</v>
      </c>
      <c r="P1034" s="86">
        <v>5441061.9999999972</v>
      </c>
      <c r="Q1034" s="86">
        <v>0</v>
      </c>
      <c r="R1034" s="87">
        <f t="shared" si="368"/>
        <v>0</v>
      </c>
      <c r="T1034" s="87">
        <v>0</v>
      </c>
      <c r="U1034" s="89"/>
      <c r="V1034" s="89">
        <v>0</v>
      </c>
      <c r="W1034" s="90"/>
      <c r="X1034" s="90">
        <v>0</v>
      </c>
      <c r="Y1034" s="90">
        <v>5970424.0000000009</v>
      </c>
      <c r="Z1034" s="90">
        <v>0</v>
      </c>
      <c r="AA1034" s="90">
        <v>0</v>
      </c>
      <c r="AB1034" s="89">
        <f t="shared" si="354"/>
        <v>0</v>
      </c>
      <c r="AC1034" s="89">
        <f t="shared" si="355"/>
        <v>67</v>
      </c>
      <c r="AD1034" s="89">
        <f t="shared" si="356"/>
        <v>0</v>
      </c>
      <c r="AF1034" s="90" t="str">
        <f t="shared" si="358"/>
        <v/>
      </c>
      <c r="AH1034" s="90" t="str">
        <f t="shared" si="360"/>
        <v/>
      </c>
      <c r="AI1034" s="90">
        <f t="shared" si="361"/>
        <v>0</v>
      </c>
      <c r="AJ1034" s="90" t="str">
        <f t="shared" si="362"/>
        <v/>
      </c>
      <c r="AK1034" s="90" t="str">
        <f t="shared" si="363"/>
        <v/>
      </c>
      <c r="AL1034" s="91"/>
      <c r="AM1034" s="91">
        <f t="shared" si="364"/>
        <v>0</v>
      </c>
      <c r="AN1034" s="92" t="str">
        <f t="shared" si="365"/>
        <v>No change</v>
      </c>
      <c r="AS1034" s="94">
        <f t="shared" si="366"/>
        <v>0</v>
      </c>
      <c r="AT1034" s="94">
        <f t="shared" si="367"/>
        <v>0</v>
      </c>
      <c r="AU1034" s="94">
        <f t="shared" si="369"/>
        <v>0</v>
      </c>
      <c r="AV1034" s="94">
        <f t="shared" si="370"/>
        <v>0</v>
      </c>
    </row>
    <row r="1035" spans="1:48" x14ac:dyDescent="0.3">
      <c r="A1035" s="85" t="str">
        <f>_xlfn.XLOOKUP(B1035,'Country codes &amp; Data sources'!G:G,'Country codes &amp; Data sources'!H:H,,0)</f>
        <v>Comoros</v>
      </c>
      <c r="B1035" s="85" t="s">
        <v>196</v>
      </c>
      <c r="C1035" s="85">
        <v>684552.49999999988</v>
      </c>
      <c r="D1035" s="85" t="s">
        <v>326</v>
      </c>
      <c r="E1035" s="86">
        <v>123</v>
      </c>
      <c r="F1035" s="86">
        <v>699392.50000000035</v>
      </c>
      <c r="G1035" s="86">
        <v>0</v>
      </c>
      <c r="H1035" s="86">
        <v>714612.00000000012</v>
      </c>
      <c r="I1035" s="86">
        <v>0</v>
      </c>
      <c r="J1035" s="86">
        <v>730215.49999999953</v>
      </c>
      <c r="K1035" s="86">
        <v>0</v>
      </c>
      <c r="L1035" s="86">
        <v>746232.00000000012</v>
      </c>
      <c r="M1035" s="86">
        <v>216</v>
      </c>
      <c r="N1035" s="86">
        <v>761663.99999999977</v>
      </c>
      <c r="O1035" s="86">
        <v>0</v>
      </c>
      <c r="P1035" s="86">
        <v>776313.5000000007</v>
      </c>
      <c r="Q1035" s="86">
        <v>220</v>
      </c>
      <c r="R1035" s="87">
        <f t="shared" si="368"/>
        <v>220</v>
      </c>
      <c r="S1035" s="87">
        <v>790986.00000000023</v>
      </c>
      <c r="T1035" s="87">
        <v>0</v>
      </c>
      <c r="U1035" s="89">
        <v>806166.00000000023</v>
      </c>
      <c r="V1035" s="89">
        <v>354</v>
      </c>
      <c r="W1035" s="90">
        <v>821625.49999999988</v>
      </c>
      <c r="X1035" s="90">
        <v>0</v>
      </c>
      <c r="Y1035" s="90">
        <v>836773.49999999977</v>
      </c>
      <c r="Z1035" s="90">
        <v>0</v>
      </c>
      <c r="AA1035" s="90">
        <v>220</v>
      </c>
      <c r="AB1035" s="89">
        <f t="shared" si="354"/>
        <v>123</v>
      </c>
      <c r="AC1035" s="89">
        <f t="shared" si="355"/>
        <v>220</v>
      </c>
      <c r="AD1035" s="89">
        <f t="shared" si="356"/>
        <v>354</v>
      </c>
      <c r="AE1035" s="90">
        <f t="shared" si="357"/>
        <v>123</v>
      </c>
      <c r="AF1035" s="90">
        <f t="shared" si="358"/>
        <v>2012</v>
      </c>
      <c r="AG1035" s="90">
        <f t="shared" si="359"/>
        <v>220</v>
      </c>
      <c r="AH1035" s="90">
        <f t="shared" si="360"/>
        <v>2018</v>
      </c>
      <c r="AI1035" s="90">
        <f t="shared" si="361"/>
        <v>354</v>
      </c>
      <c r="AJ1035" s="90">
        <f t="shared" si="362"/>
        <v>2020</v>
      </c>
      <c r="AK1035" s="90" t="str">
        <f t="shared" si="363"/>
        <v/>
      </c>
      <c r="AL1035" s="91">
        <f>IF(AK1035="Adjust",(_xlfn.XLOOKUP(A1035,'Adj factor'!A:A,'Adj factor'!I:I,,0)*AI1035),'Master DataSheet (Rev)'!AI1035)</f>
        <v>354</v>
      </c>
      <c r="AM1035" s="91">
        <f t="shared" si="364"/>
        <v>354</v>
      </c>
      <c r="AN1035" s="92" t="str">
        <f t="shared" si="365"/>
        <v>Increasing</v>
      </c>
      <c r="AS1035" s="94">
        <f t="shared" si="366"/>
        <v>1.7586691307098652</v>
      </c>
      <c r="AT1035" s="94">
        <f t="shared" si="367"/>
        <v>2.8339066627077822</v>
      </c>
      <c r="AU1035" s="94">
        <f t="shared" si="369"/>
        <v>4.2305355033351333</v>
      </c>
      <c r="AV1035" s="94">
        <f t="shared" si="370"/>
        <v>4.2305355033351333</v>
      </c>
    </row>
    <row r="1036" spans="1:48" x14ac:dyDescent="0.3">
      <c r="A1036" s="85" t="str">
        <f>_xlfn.XLOOKUP(B1036,'Country codes &amp; Data sources'!G:G,'Country codes &amp; Data sources'!H:H,,0)</f>
        <v>Comoros</v>
      </c>
      <c r="B1036" s="85" t="s">
        <v>196</v>
      </c>
      <c r="C1036" s="85">
        <v>684553.5</v>
      </c>
      <c r="D1036" s="85" t="s">
        <v>327</v>
      </c>
      <c r="E1036" s="86">
        <v>0</v>
      </c>
      <c r="F1036" s="86">
        <v>699392.50000000035</v>
      </c>
      <c r="G1036" s="86">
        <v>0</v>
      </c>
      <c r="H1036" s="86"/>
      <c r="I1036" s="86">
        <v>0</v>
      </c>
      <c r="J1036" s="86"/>
      <c r="K1036" s="86">
        <v>0</v>
      </c>
      <c r="L1036" s="86"/>
      <c r="M1036" s="86">
        <v>216</v>
      </c>
      <c r="N1036" s="86"/>
      <c r="O1036" s="86">
        <v>0</v>
      </c>
      <c r="P1036" s="86">
        <v>776313.5000000007</v>
      </c>
      <c r="Q1036" s="86">
        <v>130</v>
      </c>
      <c r="R1036" s="87">
        <f t="shared" si="368"/>
        <v>130</v>
      </c>
      <c r="T1036" s="87">
        <v>0</v>
      </c>
      <c r="U1036" s="89"/>
      <c r="V1036" s="89">
        <v>241</v>
      </c>
      <c r="W1036" s="90"/>
      <c r="X1036" s="90">
        <v>0</v>
      </c>
      <c r="Y1036" s="90">
        <v>836773.49999999977</v>
      </c>
      <c r="Z1036" s="90">
        <v>0</v>
      </c>
      <c r="AA1036" s="90">
        <v>130</v>
      </c>
      <c r="AB1036" s="89">
        <f t="shared" si="354"/>
        <v>0</v>
      </c>
      <c r="AC1036" s="89">
        <f t="shared" si="355"/>
        <v>216</v>
      </c>
      <c r="AD1036" s="89">
        <f t="shared" si="356"/>
        <v>241</v>
      </c>
      <c r="AF1036" s="90" t="str">
        <f t="shared" si="358"/>
        <v/>
      </c>
      <c r="AG1036" s="90">
        <f t="shared" si="359"/>
        <v>130</v>
      </c>
      <c r="AH1036" s="90">
        <f t="shared" si="360"/>
        <v>2018</v>
      </c>
      <c r="AI1036" s="90">
        <f t="shared" si="361"/>
        <v>241</v>
      </c>
      <c r="AJ1036" s="90">
        <f t="shared" si="362"/>
        <v>2020</v>
      </c>
      <c r="AK1036" s="90" t="str">
        <f t="shared" si="363"/>
        <v/>
      </c>
      <c r="AL1036" s="91">
        <f>IF(AK1036="Adjust",(_xlfn.XLOOKUP(A1036,'Adj factor'!A:A,'Adj factor'!I:I,,0)*AI1036),'Master DataSheet (Rev)'!AI1036)</f>
        <v>241</v>
      </c>
      <c r="AM1036" s="91">
        <f t="shared" si="364"/>
        <v>241</v>
      </c>
      <c r="AN1036" s="92" t="str">
        <f t="shared" si="365"/>
        <v>Increasing</v>
      </c>
      <c r="AS1036" s="94">
        <f t="shared" si="366"/>
        <v>0</v>
      </c>
      <c r="AT1036" s="94">
        <f t="shared" si="367"/>
        <v>1.6745812097818713</v>
      </c>
      <c r="AU1036" s="94">
        <f t="shared" si="369"/>
        <v>2.8801103285417149</v>
      </c>
      <c r="AV1036" s="94">
        <f t="shared" si="370"/>
        <v>2.8801103285417149</v>
      </c>
    </row>
    <row r="1037" spans="1:48" x14ac:dyDescent="0.3">
      <c r="A1037" s="85" t="str">
        <f>_xlfn.XLOOKUP(B1037,'Country codes &amp; Data sources'!G:G,'Country codes &amp; Data sources'!H:H,,0)</f>
        <v>Comoros</v>
      </c>
      <c r="B1037" s="85" t="s">
        <v>196</v>
      </c>
      <c r="C1037" s="85">
        <v>684554.5</v>
      </c>
      <c r="D1037" s="85" t="s">
        <v>328</v>
      </c>
      <c r="E1037" s="86">
        <v>0</v>
      </c>
      <c r="F1037" s="86">
        <v>699392.50000000035</v>
      </c>
      <c r="G1037" s="86">
        <v>0</v>
      </c>
      <c r="H1037" s="86"/>
      <c r="I1037" s="86">
        <v>0</v>
      </c>
      <c r="J1037" s="86"/>
      <c r="K1037" s="86">
        <v>0</v>
      </c>
      <c r="L1037" s="86"/>
      <c r="M1037" s="86">
        <v>0</v>
      </c>
      <c r="N1037" s="86"/>
      <c r="O1037" s="86">
        <v>0</v>
      </c>
      <c r="P1037" s="86">
        <v>776313.5000000007</v>
      </c>
      <c r="Q1037" s="86">
        <v>90</v>
      </c>
      <c r="R1037" s="87">
        <f t="shared" si="368"/>
        <v>90</v>
      </c>
      <c r="T1037" s="87">
        <v>0</v>
      </c>
      <c r="U1037" s="89"/>
      <c r="V1037" s="89">
        <v>113</v>
      </c>
      <c r="W1037" s="90"/>
      <c r="X1037" s="90">
        <v>0</v>
      </c>
      <c r="Y1037" s="90">
        <v>836773.49999999977</v>
      </c>
      <c r="Z1037" s="90">
        <v>0</v>
      </c>
      <c r="AA1037" s="90">
        <v>90</v>
      </c>
      <c r="AB1037" s="89">
        <f t="shared" si="354"/>
        <v>0</v>
      </c>
      <c r="AC1037" s="89">
        <f t="shared" si="355"/>
        <v>90</v>
      </c>
      <c r="AD1037" s="89">
        <f t="shared" si="356"/>
        <v>113</v>
      </c>
      <c r="AF1037" s="90" t="str">
        <f t="shared" si="358"/>
        <v/>
      </c>
      <c r="AG1037" s="90">
        <f t="shared" si="359"/>
        <v>90</v>
      </c>
      <c r="AH1037" s="90">
        <f t="shared" si="360"/>
        <v>2018</v>
      </c>
      <c r="AI1037" s="90">
        <f t="shared" si="361"/>
        <v>113</v>
      </c>
      <c r="AJ1037" s="90">
        <f t="shared" si="362"/>
        <v>2020</v>
      </c>
      <c r="AK1037" s="90" t="str">
        <f t="shared" si="363"/>
        <v/>
      </c>
      <c r="AL1037" s="91">
        <f>IF(AK1037="Adjust",(_xlfn.XLOOKUP(A1037,'Adj factor'!A:A,'Adj factor'!I:I,,0)*AI1037),'Master DataSheet (Rev)'!AI1037)</f>
        <v>113</v>
      </c>
      <c r="AM1037" s="91">
        <f t="shared" si="364"/>
        <v>113</v>
      </c>
      <c r="AN1037" s="92" t="str">
        <f t="shared" si="365"/>
        <v>Increasing</v>
      </c>
      <c r="AS1037" s="94">
        <f t="shared" si="366"/>
        <v>0</v>
      </c>
      <c r="AT1037" s="94">
        <f t="shared" si="367"/>
        <v>1.1593254529259109</v>
      </c>
      <c r="AU1037" s="94">
        <f t="shared" si="369"/>
        <v>1.3504251747934182</v>
      </c>
      <c r="AV1037" s="94">
        <f t="shared" si="370"/>
        <v>1.3504251747934182</v>
      </c>
    </row>
    <row r="1038" spans="1:48" x14ac:dyDescent="0.3">
      <c r="A1038" s="85" t="str">
        <f>_xlfn.XLOOKUP(B1038,'Country codes &amp; Data sources'!G:G,'Country codes &amp; Data sources'!H:H,,0)</f>
        <v>Comoros</v>
      </c>
      <c r="B1038" s="85" t="s">
        <v>196</v>
      </c>
      <c r="C1038" s="85">
        <v>684555.5</v>
      </c>
      <c r="D1038" s="85" t="s">
        <v>329</v>
      </c>
      <c r="E1038" s="86">
        <v>0</v>
      </c>
      <c r="F1038" s="86">
        <v>699392.50000000035</v>
      </c>
      <c r="G1038" s="86">
        <v>0</v>
      </c>
      <c r="H1038" s="86"/>
      <c r="I1038" s="86">
        <v>0</v>
      </c>
      <c r="J1038" s="86"/>
      <c r="K1038" s="86">
        <v>0</v>
      </c>
      <c r="L1038" s="86"/>
      <c r="M1038" s="86">
        <v>0</v>
      </c>
      <c r="N1038" s="86"/>
      <c r="O1038" s="86">
        <v>0</v>
      </c>
      <c r="P1038" s="86">
        <v>776313.5000000007</v>
      </c>
      <c r="Q1038" s="86">
        <v>679</v>
      </c>
      <c r="R1038" s="87">
        <f t="shared" si="368"/>
        <v>747</v>
      </c>
      <c r="T1038" s="87">
        <v>0</v>
      </c>
      <c r="U1038" s="89"/>
      <c r="V1038" s="89">
        <v>683</v>
      </c>
      <c r="W1038" s="90"/>
      <c r="X1038" s="90">
        <v>0</v>
      </c>
      <c r="Y1038" s="90">
        <v>836773.49999999977</v>
      </c>
      <c r="Z1038" s="90">
        <v>0</v>
      </c>
      <c r="AA1038" s="90">
        <v>747</v>
      </c>
      <c r="AB1038" s="89">
        <f t="shared" si="354"/>
        <v>0</v>
      </c>
      <c r="AC1038" s="89">
        <f t="shared" si="355"/>
        <v>679</v>
      </c>
      <c r="AD1038" s="89">
        <f t="shared" si="356"/>
        <v>683</v>
      </c>
      <c r="AF1038" s="90" t="str">
        <f t="shared" si="358"/>
        <v/>
      </c>
      <c r="AG1038" s="90">
        <f t="shared" si="359"/>
        <v>747</v>
      </c>
      <c r="AH1038" s="90" t="str">
        <f t="shared" si="360"/>
        <v>2018 (triag)</v>
      </c>
      <c r="AI1038" s="90">
        <f t="shared" si="361"/>
        <v>683</v>
      </c>
      <c r="AJ1038" s="90">
        <f t="shared" si="362"/>
        <v>2020</v>
      </c>
      <c r="AK1038" s="90" t="str">
        <f t="shared" si="363"/>
        <v>Adjust</v>
      </c>
      <c r="AL1038" s="91">
        <f>IF(AK1038="Adjust",(_xlfn.XLOOKUP(A1038,'Adj factor'!A:A,'Adj factor'!I:I,,0)*AI1038),'Master DataSheet (Rev)'!AI1038)</f>
        <v>784.97097407084357</v>
      </c>
      <c r="AM1038" s="91">
        <f t="shared" si="364"/>
        <v>784.97097407084357</v>
      </c>
      <c r="AN1038" s="92" t="str">
        <f t="shared" si="365"/>
        <v>Increasing</v>
      </c>
      <c r="AS1038" s="94">
        <f t="shared" si="366"/>
        <v>0</v>
      </c>
      <c r="AT1038" s="94">
        <f t="shared" si="367"/>
        <v>9.622401259285061</v>
      </c>
      <c r="AU1038" s="94">
        <f t="shared" si="369"/>
        <v>9.3809253528086618</v>
      </c>
      <c r="AV1038" s="94">
        <f t="shared" si="370"/>
        <v>9.3809253528086618</v>
      </c>
    </row>
    <row r="1039" spans="1:48" x14ac:dyDescent="0.3">
      <c r="A1039" s="85" t="str">
        <f>_xlfn.XLOOKUP(B1039,'Country codes &amp; Data sources'!G:G,'Country codes &amp; Data sources'!H:H,,0)</f>
        <v>Comoros</v>
      </c>
      <c r="B1039" s="85" t="s">
        <v>196</v>
      </c>
      <c r="C1039" s="85">
        <v>684556.5</v>
      </c>
      <c r="D1039" s="85" t="s">
        <v>330</v>
      </c>
      <c r="E1039" s="86">
        <v>0</v>
      </c>
      <c r="F1039" s="86">
        <v>699392.50000000035</v>
      </c>
      <c r="G1039" s="86">
        <v>0</v>
      </c>
      <c r="H1039" s="86"/>
      <c r="I1039" s="86">
        <v>0</v>
      </c>
      <c r="J1039" s="86"/>
      <c r="K1039" s="86">
        <v>0</v>
      </c>
      <c r="L1039" s="86"/>
      <c r="M1039" s="86">
        <v>0</v>
      </c>
      <c r="N1039" s="86"/>
      <c r="O1039" s="86">
        <v>0</v>
      </c>
      <c r="P1039" s="86">
        <v>776313.5000000007</v>
      </c>
      <c r="Q1039" s="86">
        <v>679</v>
      </c>
      <c r="R1039" s="87">
        <f t="shared" si="368"/>
        <v>679</v>
      </c>
      <c r="T1039" s="87">
        <v>0</v>
      </c>
      <c r="U1039" s="89"/>
      <c r="V1039" s="89">
        <v>683</v>
      </c>
      <c r="W1039" s="90"/>
      <c r="X1039" s="90">
        <v>0</v>
      </c>
      <c r="Y1039" s="90">
        <v>836773.49999999977</v>
      </c>
      <c r="Z1039" s="90">
        <v>0</v>
      </c>
      <c r="AA1039" s="90">
        <v>676</v>
      </c>
      <c r="AB1039" s="89">
        <f t="shared" si="354"/>
        <v>0</v>
      </c>
      <c r="AC1039" s="89">
        <f t="shared" si="355"/>
        <v>679</v>
      </c>
      <c r="AD1039" s="89">
        <f t="shared" si="356"/>
        <v>683</v>
      </c>
      <c r="AF1039" s="90" t="str">
        <f t="shared" si="358"/>
        <v/>
      </c>
      <c r="AG1039" s="90">
        <f t="shared" si="359"/>
        <v>679</v>
      </c>
      <c r="AH1039" s="90">
        <f t="shared" si="360"/>
        <v>2018</v>
      </c>
      <c r="AI1039" s="90">
        <f t="shared" si="361"/>
        <v>683</v>
      </c>
      <c r="AJ1039" s="90">
        <f t="shared" si="362"/>
        <v>2020</v>
      </c>
      <c r="AK1039" s="90" t="str">
        <f t="shared" si="363"/>
        <v/>
      </c>
      <c r="AL1039" s="91">
        <f>IF(AK1039="Adjust",(_xlfn.XLOOKUP(A1039,'Adj factor'!A:A,'Adj factor'!I:I,,0)*AI1039),'Master DataSheet (Rev)'!AI1039)</f>
        <v>683</v>
      </c>
      <c r="AM1039" s="91">
        <f t="shared" si="364"/>
        <v>683</v>
      </c>
      <c r="AN1039" s="92" t="str">
        <f t="shared" si="365"/>
        <v>Increasing</v>
      </c>
      <c r="AS1039" s="94">
        <f t="shared" si="366"/>
        <v>0</v>
      </c>
      <c r="AT1039" s="94">
        <f t="shared" si="367"/>
        <v>8.7464664726299279</v>
      </c>
      <c r="AU1039" s="94">
        <f t="shared" si="369"/>
        <v>8.1623043750788025</v>
      </c>
      <c r="AV1039" s="94">
        <f t="shared" si="370"/>
        <v>8.1623043750788025</v>
      </c>
    </row>
    <row r="1040" spans="1:48" x14ac:dyDescent="0.3">
      <c r="A1040" s="85" t="str">
        <f>_xlfn.XLOOKUP(B1040,'Country codes &amp; Data sources'!G:G,'Country codes &amp; Data sources'!H:H,,0)</f>
        <v>Comoros</v>
      </c>
      <c r="B1040" s="85" t="s">
        <v>196</v>
      </c>
      <c r="C1040" s="85">
        <v>684557.5</v>
      </c>
      <c r="D1040" s="85" t="s">
        <v>331</v>
      </c>
      <c r="E1040" s="86">
        <v>0</v>
      </c>
      <c r="F1040" s="86">
        <v>699392.50000000035</v>
      </c>
      <c r="G1040" s="86">
        <v>0</v>
      </c>
      <c r="H1040" s="86"/>
      <c r="I1040" s="86">
        <v>0</v>
      </c>
      <c r="J1040" s="86"/>
      <c r="K1040" s="86">
        <v>0</v>
      </c>
      <c r="L1040" s="86"/>
      <c r="M1040" s="86">
        <v>0</v>
      </c>
      <c r="N1040" s="86"/>
      <c r="O1040" s="86">
        <v>0</v>
      </c>
      <c r="P1040" s="86">
        <v>776313.5000000007</v>
      </c>
      <c r="Q1040" s="86">
        <v>0</v>
      </c>
      <c r="R1040" s="87">
        <f t="shared" si="368"/>
        <v>71</v>
      </c>
      <c r="T1040" s="87">
        <v>0</v>
      </c>
      <c r="U1040" s="89"/>
      <c r="V1040" s="89">
        <v>0</v>
      </c>
      <c r="W1040" s="90"/>
      <c r="X1040" s="90">
        <v>0</v>
      </c>
      <c r="Y1040" s="90">
        <v>836773.49999999977</v>
      </c>
      <c r="Z1040" s="90">
        <v>0</v>
      </c>
      <c r="AA1040" s="90">
        <v>71</v>
      </c>
      <c r="AB1040" s="89">
        <f t="shared" si="354"/>
        <v>0</v>
      </c>
      <c r="AC1040" s="89">
        <f t="shared" si="355"/>
        <v>0</v>
      </c>
      <c r="AD1040" s="89">
        <f t="shared" si="356"/>
        <v>0</v>
      </c>
      <c r="AF1040" s="90" t="str">
        <f t="shared" si="358"/>
        <v/>
      </c>
      <c r="AG1040" s="90">
        <f t="shared" si="359"/>
        <v>71</v>
      </c>
      <c r="AH1040" s="90" t="str">
        <f t="shared" si="360"/>
        <v>2018 (triag)</v>
      </c>
      <c r="AI1040" s="90">
        <f t="shared" si="361"/>
        <v>71</v>
      </c>
      <c r="AJ1040" s="90" t="str">
        <f t="shared" si="362"/>
        <v>2018 (triag)</v>
      </c>
      <c r="AK1040" s="90" t="str">
        <f t="shared" si="363"/>
        <v/>
      </c>
      <c r="AL1040" s="91">
        <f>IF(AK1040="Adjust",(_xlfn.XLOOKUP(A1040,'Adj factor'!A:A,'Adj factor'!I:I,,0)*AI1040),'Master DataSheet (Rev)'!AI1040)</f>
        <v>71</v>
      </c>
      <c r="AM1040" s="91">
        <f t="shared" si="364"/>
        <v>71</v>
      </c>
      <c r="AN1040" s="92" t="str">
        <f t="shared" si="365"/>
        <v>No change</v>
      </c>
      <c r="AS1040" s="94">
        <f t="shared" si="366"/>
        <v>0</v>
      </c>
      <c r="AT1040" s="94">
        <f t="shared" si="367"/>
        <v>0.91457896841932973</v>
      </c>
      <c r="AU1040" s="94">
        <f t="shared" si="369"/>
        <v>0.84849723371975838</v>
      </c>
      <c r="AV1040" s="94">
        <f t="shared" si="370"/>
        <v>0.84849723371975838</v>
      </c>
    </row>
    <row r="1041" spans="1:48" x14ac:dyDescent="0.3">
      <c r="A1041" s="85" t="str">
        <f>_xlfn.XLOOKUP(B1041,'Country codes &amp; Data sources'!G:G,'Country codes &amp; Data sources'!H:H,,0)</f>
        <v>Comoros</v>
      </c>
      <c r="B1041" s="85" t="s">
        <v>196</v>
      </c>
      <c r="C1041" s="85">
        <v>684558.5</v>
      </c>
      <c r="D1041" s="85" t="s">
        <v>332</v>
      </c>
      <c r="E1041" s="86">
        <v>667</v>
      </c>
      <c r="F1041" s="86">
        <v>699392.50000000035</v>
      </c>
      <c r="G1041" s="86">
        <v>295</v>
      </c>
      <c r="H1041" s="86"/>
      <c r="I1041" s="86">
        <v>0</v>
      </c>
      <c r="J1041" s="86"/>
      <c r="K1041" s="86">
        <v>0</v>
      </c>
      <c r="L1041" s="86"/>
      <c r="M1041" s="86">
        <v>500</v>
      </c>
      <c r="N1041" s="86"/>
      <c r="O1041" s="86">
        <v>0</v>
      </c>
      <c r="P1041" s="86">
        <v>776313.5000000007</v>
      </c>
      <c r="Q1041" s="86">
        <v>484</v>
      </c>
      <c r="R1041" s="87">
        <f t="shared" si="368"/>
        <v>487</v>
      </c>
      <c r="T1041" s="87">
        <v>0</v>
      </c>
      <c r="U1041" s="89"/>
      <c r="V1041" s="89">
        <v>586</v>
      </c>
      <c r="W1041" s="90"/>
      <c r="X1041" s="90">
        <v>0</v>
      </c>
      <c r="Y1041" s="90">
        <v>836773.49999999977</v>
      </c>
      <c r="Z1041" s="90">
        <v>0</v>
      </c>
      <c r="AA1041" s="90">
        <v>487</v>
      </c>
      <c r="AB1041" s="89">
        <f t="shared" si="354"/>
        <v>667</v>
      </c>
      <c r="AC1041" s="89">
        <f t="shared" si="355"/>
        <v>500</v>
      </c>
      <c r="AD1041" s="89">
        <f t="shared" si="356"/>
        <v>586</v>
      </c>
      <c r="AE1041" s="90">
        <f t="shared" si="357"/>
        <v>295</v>
      </c>
      <c r="AF1041" s="90">
        <f t="shared" si="358"/>
        <v>2013</v>
      </c>
      <c r="AG1041" s="90">
        <f t="shared" si="359"/>
        <v>487</v>
      </c>
      <c r="AH1041" s="90" t="str">
        <f t="shared" si="360"/>
        <v>2018 (triag)</v>
      </c>
      <c r="AI1041" s="90">
        <f t="shared" si="361"/>
        <v>586</v>
      </c>
      <c r="AJ1041" s="90">
        <f t="shared" si="362"/>
        <v>2020</v>
      </c>
      <c r="AK1041" s="90" t="str">
        <f t="shared" si="363"/>
        <v/>
      </c>
      <c r="AL1041" s="91">
        <f>IF(AK1041="Adjust",(_xlfn.XLOOKUP(A1041,'Adj factor'!A:A,'Adj factor'!I:I,,0)*AI1041),'Master DataSheet (Rev)'!AI1041)</f>
        <v>586</v>
      </c>
      <c r="AM1041" s="91">
        <f t="shared" si="364"/>
        <v>586</v>
      </c>
      <c r="AN1041" s="92" t="str">
        <f t="shared" si="365"/>
        <v>Increasing</v>
      </c>
      <c r="AS1041" s="94">
        <f t="shared" si="366"/>
        <v>4.2179462891008965</v>
      </c>
      <c r="AT1041" s="94">
        <f t="shared" si="367"/>
        <v>6.2732388397213183</v>
      </c>
      <c r="AU1041" s="94">
        <f t="shared" si="369"/>
        <v>7.0030898445039211</v>
      </c>
      <c r="AV1041" s="94">
        <f t="shared" si="370"/>
        <v>7.0030898445039211</v>
      </c>
    </row>
    <row r="1042" spans="1:48" x14ac:dyDescent="0.3">
      <c r="A1042" s="85" t="str">
        <f>_xlfn.XLOOKUP(B1042,'Country codes &amp; Data sources'!G:G,'Country codes &amp; Data sources'!H:H,,0)</f>
        <v>Comoros</v>
      </c>
      <c r="B1042" s="85" t="s">
        <v>196</v>
      </c>
      <c r="C1042" s="85">
        <v>684559.5</v>
      </c>
      <c r="D1042" s="85" t="s">
        <v>333</v>
      </c>
      <c r="E1042" s="86">
        <v>0</v>
      </c>
      <c r="F1042" s="86">
        <v>699392.50000000035</v>
      </c>
      <c r="G1042" s="86">
        <v>284</v>
      </c>
      <c r="H1042" s="86"/>
      <c r="I1042" s="86">
        <v>0</v>
      </c>
      <c r="J1042" s="86"/>
      <c r="K1042" s="86">
        <v>0</v>
      </c>
      <c r="L1042" s="86"/>
      <c r="M1042" s="86">
        <v>475</v>
      </c>
      <c r="N1042" s="86"/>
      <c r="O1042" s="86">
        <v>0</v>
      </c>
      <c r="P1042" s="86">
        <v>776313.5000000007</v>
      </c>
      <c r="Q1042" s="86">
        <v>484</v>
      </c>
      <c r="R1042" s="87">
        <f t="shared" si="368"/>
        <v>487</v>
      </c>
      <c r="T1042" s="87">
        <v>0</v>
      </c>
      <c r="U1042" s="89"/>
      <c r="V1042" s="89">
        <v>586</v>
      </c>
      <c r="W1042" s="90"/>
      <c r="X1042" s="90">
        <v>0</v>
      </c>
      <c r="Y1042" s="90">
        <v>836773.49999999977</v>
      </c>
      <c r="Z1042" s="90">
        <v>0</v>
      </c>
      <c r="AA1042" s="90">
        <v>487</v>
      </c>
      <c r="AB1042" s="89">
        <f t="shared" si="354"/>
        <v>284</v>
      </c>
      <c r="AC1042" s="89">
        <f t="shared" si="355"/>
        <v>484</v>
      </c>
      <c r="AD1042" s="89">
        <f t="shared" si="356"/>
        <v>586</v>
      </c>
      <c r="AE1042" s="90">
        <f t="shared" si="357"/>
        <v>284</v>
      </c>
      <c r="AF1042" s="90">
        <f t="shared" si="358"/>
        <v>2013</v>
      </c>
      <c r="AG1042" s="90">
        <f t="shared" si="359"/>
        <v>487</v>
      </c>
      <c r="AH1042" s="90" t="str">
        <f t="shared" si="360"/>
        <v>2018 (triag)</v>
      </c>
      <c r="AI1042" s="90">
        <f t="shared" si="361"/>
        <v>586</v>
      </c>
      <c r="AJ1042" s="90">
        <f t="shared" si="362"/>
        <v>2020</v>
      </c>
      <c r="AK1042" s="90" t="str">
        <f t="shared" si="363"/>
        <v/>
      </c>
      <c r="AL1042" s="91">
        <f>IF(AK1042="Adjust",(_xlfn.XLOOKUP(A1042,'Adj factor'!A:A,'Adj factor'!I:I,,0)*AI1042),'Master DataSheet (Rev)'!AI1042)</f>
        <v>586</v>
      </c>
      <c r="AM1042" s="91">
        <f t="shared" si="364"/>
        <v>586</v>
      </c>
      <c r="AN1042" s="92" t="str">
        <f t="shared" si="365"/>
        <v>Increasing</v>
      </c>
      <c r="AS1042" s="94">
        <f t="shared" si="366"/>
        <v>4.0606669359479817</v>
      </c>
      <c r="AT1042" s="94">
        <f t="shared" si="367"/>
        <v>6.2732388397213183</v>
      </c>
      <c r="AU1042" s="94">
        <f t="shared" si="369"/>
        <v>7.0030898445039211</v>
      </c>
      <c r="AV1042" s="94">
        <f t="shared" si="370"/>
        <v>7.0030898445039211</v>
      </c>
    </row>
    <row r="1043" spans="1:48" x14ac:dyDescent="0.3">
      <c r="A1043" s="85" t="str">
        <f>_xlfn.XLOOKUP(B1043,'Country codes &amp; Data sources'!G:G,'Country codes &amp; Data sources'!H:H,,0)</f>
        <v>Comoros</v>
      </c>
      <c r="B1043" s="85" t="s">
        <v>196</v>
      </c>
      <c r="C1043" s="85">
        <v>684560.5</v>
      </c>
      <c r="D1043" s="85" t="s">
        <v>334</v>
      </c>
      <c r="E1043" s="86">
        <v>0</v>
      </c>
      <c r="F1043" s="86">
        <v>699392.50000000035</v>
      </c>
      <c r="G1043" s="86">
        <v>11</v>
      </c>
      <c r="H1043" s="86"/>
      <c r="I1043" s="86">
        <v>0</v>
      </c>
      <c r="J1043" s="86"/>
      <c r="K1043" s="86">
        <v>0</v>
      </c>
      <c r="L1043" s="86"/>
      <c r="M1043" s="86">
        <v>25</v>
      </c>
      <c r="N1043" s="86"/>
      <c r="O1043" s="86">
        <v>0</v>
      </c>
      <c r="P1043" s="86">
        <v>776313.5000000007</v>
      </c>
      <c r="Q1043" s="86">
        <v>0</v>
      </c>
      <c r="R1043" s="87">
        <f t="shared" si="368"/>
        <v>0</v>
      </c>
      <c r="T1043" s="87">
        <v>0</v>
      </c>
      <c r="U1043" s="89"/>
      <c r="V1043" s="89">
        <v>0</v>
      </c>
      <c r="W1043" s="90"/>
      <c r="X1043" s="90">
        <v>0</v>
      </c>
      <c r="Y1043" s="90">
        <v>836773.49999999977</v>
      </c>
      <c r="Z1043" s="90">
        <v>0</v>
      </c>
      <c r="AA1043" s="90">
        <v>0</v>
      </c>
      <c r="AB1043" s="89">
        <f t="shared" si="354"/>
        <v>11</v>
      </c>
      <c r="AC1043" s="89">
        <f t="shared" si="355"/>
        <v>25</v>
      </c>
      <c r="AD1043" s="89">
        <f t="shared" si="356"/>
        <v>0</v>
      </c>
      <c r="AE1043" s="90">
        <f t="shared" si="357"/>
        <v>11</v>
      </c>
      <c r="AF1043" s="90">
        <f t="shared" si="358"/>
        <v>2013</v>
      </c>
      <c r="AH1043" s="90" t="str">
        <f t="shared" si="360"/>
        <v/>
      </c>
      <c r="AI1043" s="90">
        <f t="shared" si="361"/>
        <v>0</v>
      </c>
      <c r="AJ1043" s="90" t="str">
        <f t="shared" si="362"/>
        <v/>
      </c>
      <c r="AK1043" s="90" t="str">
        <f t="shared" si="363"/>
        <v/>
      </c>
      <c r="AL1043" s="91"/>
      <c r="AM1043" s="91">
        <f t="shared" si="364"/>
        <v>0</v>
      </c>
      <c r="AN1043" s="92" t="str">
        <f t="shared" si="365"/>
        <v>No change</v>
      </c>
      <c r="AS1043" s="94">
        <f t="shared" si="366"/>
        <v>0.15727935315291477</v>
      </c>
      <c r="AT1043" s="94">
        <f t="shared" si="367"/>
        <v>0</v>
      </c>
      <c r="AU1043" s="94">
        <f t="shared" si="369"/>
        <v>0</v>
      </c>
      <c r="AV1043" s="94">
        <f t="shared" si="370"/>
        <v>0</v>
      </c>
    </row>
    <row r="1044" spans="1:48" x14ac:dyDescent="0.3">
      <c r="A1044" s="85" t="str">
        <f>_xlfn.XLOOKUP(B1044,'Country codes &amp; Data sources'!G:G,'Country codes &amp; Data sources'!H:H,,0)</f>
        <v>Comoros</v>
      </c>
      <c r="B1044" s="85" t="s">
        <v>196</v>
      </c>
      <c r="C1044" s="85">
        <v>684561.5</v>
      </c>
      <c r="D1044" s="85" t="s">
        <v>335</v>
      </c>
      <c r="E1044" s="86">
        <v>16</v>
      </c>
      <c r="F1044" s="86">
        <v>699392.50000000035</v>
      </c>
      <c r="G1044" s="86">
        <v>0</v>
      </c>
      <c r="H1044" s="86"/>
      <c r="I1044" s="86">
        <v>0</v>
      </c>
      <c r="J1044" s="86"/>
      <c r="K1044" s="86">
        <v>0</v>
      </c>
      <c r="L1044" s="86"/>
      <c r="M1044" s="86">
        <v>0</v>
      </c>
      <c r="N1044" s="86"/>
      <c r="O1044" s="86">
        <v>0</v>
      </c>
      <c r="P1044" s="86">
        <v>776313.5000000007</v>
      </c>
      <c r="Q1044" s="86">
        <v>36</v>
      </c>
      <c r="R1044" s="87">
        <f t="shared" si="368"/>
        <v>36</v>
      </c>
      <c r="T1044" s="87">
        <v>0</v>
      </c>
      <c r="U1044" s="89"/>
      <c r="V1044" s="89">
        <v>35</v>
      </c>
      <c r="W1044" s="90"/>
      <c r="X1044" s="90">
        <v>0</v>
      </c>
      <c r="Y1044" s="90">
        <v>836773.49999999977</v>
      </c>
      <c r="Z1044" s="90">
        <v>0</v>
      </c>
      <c r="AA1044" s="90">
        <v>36</v>
      </c>
      <c r="AB1044" s="89">
        <f t="shared" si="354"/>
        <v>16</v>
      </c>
      <c r="AC1044" s="89">
        <f t="shared" si="355"/>
        <v>36</v>
      </c>
      <c r="AD1044" s="89">
        <f t="shared" si="356"/>
        <v>35</v>
      </c>
      <c r="AE1044" s="90">
        <f t="shared" si="357"/>
        <v>16</v>
      </c>
      <c r="AF1044" s="90">
        <f t="shared" si="358"/>
        <v>2012</v>
      </c>
      <c r="AG1044" s="90">
        <f t="shared" si="359"/>
        <v>36</v>
      </c>
      <c r="AH1044" s="90">
        <f t="shared" si="360"/>
        <v>2018</v>
      </c>
      <c r="AI1044" s="90">
        <f t="shared" si="361"/>
        <v>35</v>
      </c>
      <c r="AJ1044" s="90">
        <f t="shared" si="362"/>
        <v>2020</v>
      </c>
      <c r="AK1044" s="90" t="str">
        <f t="shared" si="363"/>
        <v>Adjust</v>
      </c>
      <c r="AL1044" s="91">
        <f>IF(AK1044="Adjust",(_xlfn.XLOOKUP(A1044,'Adj factor'!A:A,'Adj factor'!I:I,,0)*AI1044),'Master DataSheet (Rev)'!AI1044)</f>
        <v>40.225452551214531</v>
      </c>
      <c r="AM1044" s="91">
        <f t="shared" si="364"/>
        <v>40.225452551214531</v>
      </c>
      <c r="AN1044" s="92" t="str">
        <f t="shared" si="365"/>
        <v>Increasing</v>
      </c>
      <c r="AS1044" s="94">
        <f t="shared" si="366"/>
        <v>0.22876996822242149</v>
      </c>
      <c r="AT1044" s="94">
        <f t="shared" si="367"/>
        <v>0.46373018117036441</v>
      </c>
      <c r="AU1044" s="94">
        <f t="shared" si="369"/>
        <v>0.48072091851874543</v>
      </c>
      <c r="AV1044" s="94">
        <f t="shared" si="370"/>
        <v>0.48072091851874543</v>
      </c>
    </row>
    <row r="1045" spans="1:48" x14ac:dyDescent="0.3">
      <c r="A1045" s="85" t="str">
        <f>_xlfn.XLOOKUP(B1045,'Country codes &amp; Data sources'!G:G,'Country codes &amp; Data sources'!H:H,,0)</f>
        <v>Comoros</v>
      </c>
      <c r="B1045" s="85" t="s">
        <v>196</v>
      </c>
      <c r="C1045" s="85">
        <v>684562.5</v>
      </c>
      <c r="D1045" s="85" t="s">
        <v>336</v>
      </c>
      <c r="E1045" s="86">
        <v>0</v>
      </c>
      <c r="F1045" s="86">
        <v>699392.50000000035</v>
      </c>
      <c r="G1045" s="86">
        <v>0</v>
      </c>
      <c r="H1045" s="86"/>
      <c r="I1045" s="86">
        <v>0</v>
      </c>
      <c r="J1045" s="86"/>
      <c r="K1045" s="86">
        <v>0</v>
      </c>
      <c r="L1045" s="86"/>
      <c r="M1045" s="86">
        <v>0</v>
      </c>
      <c r="N1045" s="86"/>
      <c r="O1045" s="86">
        <v>0</v>
      </c>
      <c r="P1045" s="86">
        <v>776313.5000000007</v>
      </c>
      <c r="Q1045" s="86">
        <v>19</v>
      </c>
      <c r="R1045" s="87">
        <f t="shared" si="368"/>
        <v>19</v>
      </c>
      <c r="T1045" s="87">
        <v>0</v>
      </c>
      <c r="U1045" s="89"/>
      <c r="V1045" s="89">
        <v>71</v>
      </c>
      <c r="W1045" s="90"/>
      <c r="X1045" s="90">
        <v>0</v>
      </c>
      <c r="Y1045" s="90">
        <v>836773.49999999977</v>
      </c>
      <c r="Z1045" s="90">
        <v>0</v>
      </c>
      <c r="AA1045" s="90">
        <v>19</v>
      </c>
      <c r="AB1045" s="89">
        <f t="shared" si="354"/>
        <v>0</v>
      </c>
      <c r="AC1045" s="89">
        <f t="shared" si="355"/>
        <v>19</v>
      </c>
      <c r="AD1045" s="89">
        <f t="shared" si="356"/>
        <v>71</v>
      </c>
      <c r="AF1045" s="90" t="str">
        <f t="shared" si="358"/>
        <v/>
      </c>
      <c r="AG1045" s="90">
        <f t="shared" si="359"/>
        <v>19</v>
      </c>
      <c r="AH1045" s="90">
        <f t="shared" si="360"/>
        <v>2018</v>
      </c>
      <c r="AI1045" s="90">
        <f t="shared" si="361"/>
        <v>71</v>
      </c>
      <c r="AJ1045" s="90">
        <f t="shared" si="362"/>
        <v>2020</v>
      </c>
      <c r="AK1045" s="90" t="str">
        <f t="shared" si="363"/>
        <v/>
      </c>
      <c r="AL1045" s="91">
        <f>IF(AK1045="Adjust",(_xlfn.XLOOKUP(A1045,'Adj factor'!A:A,'Adj factor'!I:I,,0)*AI1045),'Master DataSheet (Rev)'!AI1045)</f>
        <v>71</v>
      </c>
      <c r="AM1045" s="91">
        <f t="shared" si="364"/>
        <v>71</v>
      </c>
      <c r="AN1045" s="92" t="str">
        <f t="shared" si="365"/>
        <v>Increasing</v>
      </c>
      <c r="AS1045" s="94">
        <f t="shared" si="366"/>
        <v>0</v>
      </c>
      <c r="AT1045" s="94">
        <f t="shared" si="367"/>
        <v>0.24474648450658121</v>
      </c>
      <c r="AU1045" s="94">
        <f t="shared" si="369"/>
        <v>0.84849723371975838</v>
      </c>
      <c r="AV1045" s="94">
        <f t="shared" si="370"/>
        <v>0.84849723371975838</v>
      </c>
    </row>
    <row r="1046" spans="1:48" x14ac:dyDescent="0.3">
      <c r="A1046" s="85" t="str">
        <f>_xlfn.XLOOKUP(B1046,'Country codes &amp; Data sources'!G:G,'Country codes &amp; Data sources'!H:H,,0)</f>
        <v>Comoros</v>
      </c>
      <c r="B1046" s="85" t="s">
        <v>196</v>
      </c>
      <c r="C1046" s="85">
        <v>684563.5</v>
      </c>
      <c r="D1046" s="85" t="s">
        <v>337</v>
      </c>
      <c r="E1046" s="86">
        <v>18</v>
      </c>
      <c r="F1046" s="86">
        <v>699392.50000000035</v>
      </c>
      <c r="G1046" s="86">
        <v>0</v>
      </c>
      <c r="H1046" s="86"/>
      <c r="I1046" s="86">
        <v>0</v>
      </c>
      <c r="J1046" s="86"/>
      <c r="K1046" s="86">
        <v>0</v>
      </c>
      <c r="L1046" s="86"/>
      <c r="M1046" s="86">
        <v>0</v>
      </c>
      <c r="N1046" s="86"/>
      <c r="O1046" s="86">
        <v>0</v>
      </c>
      <c r="P1046" s="86">
        <v>776313.5000000007</v>
      </c>
      <c r="Q1046" s="86">
        <v>32</v>
      </c>
      <c r="R1046" s="87">
        <f t="shared" si="368"/>
        <v>32</v>
      </c>
      <c r="T1046" s="87">
        <v>0</v>
      </c>
      <c r="U1046" s="89"/>
      <c r="V1046" s="89">
        <v>32</v>
      </c>
      <c r="W1046" s="90"/>
      <c r="X1046" s="90">
        <v>0</v>
      </c>
      <c r="Y1046" s="90">
        <v>836773.49999999977</v>
      </c>
      <c r="Z1046" s="90">
        <v>0</v>
      </c>
      <c r="AA1046" s="90">
        <v>32</v>
      </c>
      <c r="AB1046" s="89">
        <f t="shared" si="354"/>
        <v>18</v>
      </c>
      <c r="AC1046" s="89">
        <f t="shared" si="355"/>
        <v>32</v>
      </c>
      <c r="AD1046" s="89">
        <f t="shared" si="356"/>
        <v>32</v>
      </c>
      <c r="AE1046" s="90">
        <f t="shared" si="357"/>
        <v>18</v>
      </c>
      <c r="AF1046" s="90">
        <f t="shared" si="358"/>
        <v>2012</v>
      </c>
      <c r="AG1046" s="90">
        <f t="shared" si="359"/>
        <v>32</v>
      </c>
      <c r="AH1046" s="90">
        <f t="shared" si="360"/>
        <v>2018</v>
      </c>
      <c r="AI1046" s="90">
        <f t="shared" si="361"/>
        <v>32</v>
      </c>
      <c r="AJ1046" s="90">
        <f t="shared" si="362"/>
        <v>2020</v>
      </c>
      <c r="AK1046" s="90" t="str">
        <f t="shared" si="363"/>
        <v/>
      </c>
      <c r="AL1046" s="91">
        <f>IF(AK1046="Adjust",(_xlfn.XLOOKUP(A1046,'Adj factor'!A:A,'Adj factor'!I:I,,0)*AI1046),'Master DataSheet (Rev)'!AI1046)</f>
        <v>32</v>
      </c>
      <c r="AM1046" s="91">
        <f t="shared" si="364"/>
        <v>32</v>
      </c>
      <c r="AN1046" s="92" t="str">
        <f t="shared" si="365"/>
        <v>No change</v>
      </c>
      <c r="AS1046" s="94">
        <f t="shared" si="366"/>
        <v>0.25736621425022416</v>
      </c>
      <c r="AT1046" s="94">
        <f t="shared" si="367"/>
        <v>0.41220460548476834</v>
      </c>
      <c r="AU1046" s="94">
        <f t="shared" si="369"/>
        <v>0.38242128843707418</v>
      </c>
      <c r="AV1046" s="94">
        <f t="shared" si="370"/>
        <v>0.38242128843707418</v>
      </c>
    </row>
    <row r="1047" spans="1:48" x14ac:dyDescent="0.3">
      <c r="A1047" s="85" t="str">
        <f>_xlfn.XLOOKUP(B1047,'Country codes &amp; Data sources'!G:G,'Country codes &amp; Data sources'!H:H,,0)</f>
        <v>Comoros</v>
      </c>
      <c r="B1047" s="85" t="s">
        <v>196</v>
      </c>
      <c r="C1047" s="85">
        <v>684564.5</v>
      </c>
      <c r="D1047" s="85" t="s">
        <v>338</v>
      </c>
      <c r="E1047" s="86">
        <v>0</v>
      </c>
      <c r="F1047" s="86">
        <v>699392.50000000035</v>
      </c>
      <c r="G1047" s="86">
        <v>0</v>
      </c>
      <c r="H1047" s="86"/>
      <c r="I1047" s="86">
        <v>0</v>
      </c>
      <c r="J1047" s="86"/>
      <c r="K1047" s="86">
        <v>0</v>
      </c>
      <c r="L1047" s="86"/>
      <c r="M1047" s="86">
        <v>0</v>
      </c>
      <c r="N1047" s="86"/>
      <c r="O1047" s="86">
        <v>0</v>
      </c>
      <c r="P1047" s="86">
        <v>776313.5000000007</v>
      </c>
      <c r="Q1047" s="86">
        <v>0</v>
      </c>
      <c r="R1047" s="87">
        <f t="shared" si="368"/>
        <v>0</v>
      </c>
      <c r="T1047" s="87">
        <v>0</v>
      </c>
      <c r="U1047" s="89"/>
      <c r="V1047" s="89">
        <v>0</v>
      </c>
      <c r="W1047" s="90"/>
      <c r="X1047" s="90">
        <v>0</v>
      </c>
      <c r="Y1047" s="90">
        <v>836773.49999999977</v>
      </c>
      <c r="Z1047" s="90">
        <v>0</v>
      </c>
      <c r="AA1047" s="90">
        <v>0</v>
      </c>
      <c r="AB1047" s="89">
        <f t="shared" si="354"/>
        <v>0</v>
      </c>
      <c r="AC1047" s="89">
        <f t="shared" si="355"/>
        <v>0</v>
      </c>
      <c r="AD1047" s="89">
        <f t="shared" si="356"/>
        <v>0</v>
      </c>
      <c r="AF1047" s="90" t="str">
        <f t="shared" si="358"/>
        <v/>
      </c>
      <c r="AH1047" s="90" t="str">
        <f t="shared" si="360"/>
        <v/>
      </c>
      <c r="AI1047" s="90">
        <f t="shared" si="361"/>
        <v>0</v>
      </c>
      <c r="AJ1047" s="90" t="str">
        <f t="shared" si="362"/>
        <v/>
      </c>
      <c r="AK1047" s="90" t="str">
        <f t="shared" si="363"/>
        <v/>
      </c>
      <c r="AL1047" s="91"/>
      <c r="AM1047" s="91">
        <f t="shared" si="364"/>
        <v>0</v>
      </c>
      <c r="AN1047" s="92" t="str">
        <f t="shared" si="365"/>
        <v>No change</v>
      </c>
      <c r="AS1047" s="94">
        <f t="shared" si="366"/>
        <v>0</v>
      </c>
      <c r="AT1047" s="94">
        <f t="shared" si="367"/>
        <v>0</v>
      </c>
      <c r="AU1047" s="94">
        <f t="shared" si="369"/>
        <v>0</v>
      </c>
      <c r="AV1047" s="94">
        <f t="shared" si="370"/>
        <v>0</v>
      </c>
    </row>
    <row r="1048" spans="1:48" x14ac:dyDescent="0.3">
      <c r="A1048" s="85" t="str">
        <f>_xlfn.XLOOKUP(B1048,'Country codes &amp; Data sources'!G:G,'Country codes &amp; Data sources'!H:H,,0)</f>
        <v>Comoros</v>
      </c>
      <c r="B1048" s="85" t="s">
        <v>196</v>
      </c>
      <c r="C1048" s="85">
        <v>684565.5</v>
      </c>
      <c r="D1048" s="85" t="s">
        <v>339</v>
      </c>
      <c r="E1048" s="86">
        <v>0</v>
      </c>
      <c r="F1048" s="86">
        <v>699392.50000000035</v>
      </c>
      <c r="G1048" s="86">
        <v>0</v>
      </c>
      <c r="H1048" s="86"/>
      <c r="I1048" s="86">
        <v>0</v>
      </c>
      <c r="J1048" s="86"/>
      <c r="K1048" s="86">
        <v>0</v>
      </c>
      <c r="L1048" s="86"/>
      <c r="M1048" s="86">
        <v>0</v>
      </c>
      <c r="N1048" s="86"/>
      <c r="O1048" s="86">
        <v>0</v>
      </c>
      <c r="P1048" s="86">
        <v>776313.5000000007</v>
      </c>
      <c r="Q1048" s="86">
        <v>0</v>
      </c>
      <c r="R1048" s="87">
        <f t="shared" si="368"/>
        <v>0</v>
      </c>
      <c r="T1048" s="87">
        <v>0</v>
      </c>
      <c r="U1048" s="89"/>
      <c r="V1048" s="89">
        <v>0</v>
      </c>
      <c r="W1048" s="90"/>
      <c r="X1048" s="90">
        <v>0</v>
      </c>
      <c r="Y1048" s="90">
        <v>836773.49999999977</v>
      </c>
      <c r="Z1048" s="90">
        <v>0</v>
      </c>
      <c r="AA1048" s="90">
        <v>0</v>
      </c>
      <c r="AB1048" s="89">
        <f t="shared" ref="AB1048:AB1111" si="371">MAX(G1048,E1048,I1048,K1048)</f>
        <v>0</v>
      </c>
      <c r="AC1048" s="89">
        <f t="shared" ref="AC1048:AC1111" si="372">MAX(M1048,O1048,Q1048,T1048)</f>
        <v>0</v>
      </c>
      <c r="AD1048" s="89">
        <f t="shared" ref="AD1048:AD1111" si="373">MAX(V1048,X1048,Z1048)</f>
        <v>0</v>
      </c>
      <c r="AF1048" s="90" t="str">
        <f t="shared" ref="AF1048:AF1111" si="374">IF(AE1048&gt;0,_xlfn.XLOOKUP(AE1048,$B1048:$K1048,$B$1:$K$1,,0),"")</f>
        <v/>
      </c>
      <c r="AH1048" s="90" t="str">
        <f t="shared" ref="AH1048:AH1111" si="375">IF(AG1048&gt;0,_xlfn.XLOOKUP(AG1048,$L1048:$T1048,$L$1:$T$1,,0),"")</f>
        <v/>
      </c>
      <c r="AI1048" s="90">
        <f t="shared" ref="AI1048:AI1111" si="376">IF((IF(Z1048&gt;0,Z1048,IF(X1048&gt;0,X1048,IF(V1048&gt;0,V1048,T1048))))=0,AG1048,IF(Z1048&gt;0,Z1048,IF(X1048&gt;0,X1048,IF(V1048&gt;0,V1048,T1048))))</f>
        <v>0</v>
      </c>
      <c r="AJ1048" s="90" t="str">
        <f t="shared" ref="AJ1048:AJ1111" si="377">IFERROR(IF(AI1048&gt;0,_xlfn.XLOOKUP(AI1048,$V1048:$Z1048,$V$1:$Z$1,,0),""),AH1048)</f>
        <v/>
      </c>
      <c r="AK1048" s="90" t="str">
        <f t="shared" ref="AK1048:AK1111" si="378">IF(AI1048&lt;AG1048,"Adjust","")</f>
        <v/>
      </c>
      <c r="AL1048" s="91"/>
      <c r="AM1048" s="91">
        <f t="shared" ref="AM1048:AM1111" si="379">IF(AL1048&lt;AG1048,AG1048,AL1048)</f>
        <v>0</v>
      </c>
      <c r="AN1048" s="92" t="str">
        <f t="shared" ref="AN1048:AN1111" si="380">IF(AL1048&gt;AG1048,"Increasing",IF(AL1048&lt;AG1048,"Decreasing","No change"))</f>
        <v>No change</v>
      </c>
      <c r="AS1048" s="94">
        <f t="shared" ref="AS1048:AS1111" si="381">(AE1048*10000)/F1048</f>
        <v>0</v>
      </c>
      <c r="AT1048" s="94">
        <f t="shared" ref="AT1048:AT1111" si="382">(AG1048*10000)/P1048</f>
        <v>0</v>
      </c>
      <c r="AU1048" s="94">
        <f t="shared" si="369"/>
        <v>0</v>
      </c>
      <c r="AV1048" s="94">
        <f t="shared" si="370"/>
        <v>0</v>
      </c>
    </row>
    <row r="1049" spans="1:48" x14ac:dyDescent="0.3">
      <c r="A1049" s="85" t="str">
        <f>_xlfn.XLOOKUP(B1049,'Country codes &amp; Data sources'!G:G,'Country codes &amp; Data sources'!H:H,,0)</f>
        <v>Cape-Verde</v>
      </c>
      <c r="B1049" s="85" t="s">
        <v>167</v>
      </c>
      <c r="C1049" s="85">
        <v>533864.00000000012</v>
      </c>
      <c r="D1049" s="85" t="s">
        <v>326</v>
      </c>
      <c r="E1049" s="86">
        <v>260</v>
      </c>
      <c r="F1049" s="86">
        <v>539939.99999999988</v>
      </c>
      <c r="G1049" s="86">
        <v>308</v>
      </c>
      <c r="H1049" s="86">
        <v>546076</v>
      </c>
      <c r="I1049" s="86">
        <v>0</v>
      </c>
      <c r="J1049" s="86">
        <v>552166.00000000012</v>
      </c>
      <c r="K1049" s="86">
        <v>410</v>
      </c>
      <c r="L1049" s="86">
        <v>558394.50000000035</v>
      </c>
      <c r="M1049" s="86">
        <v>408</v>
      </c>
      <c r="N1049" s="86">
        <v>564954.00000000035</v>
      </c>
      <c r="O1049" s="86">
        <v>0</v>
      </c>
      <c r="P1049" s="86">
        <v>571201.5</v>
      </c>
      <c r="Q1049" s="86">
        <v>452</v>
      </c>
      <c r="R1049" s="87">
        <f t="shared" si="368"/>
        <v>452</v>
      </c>
      <c r="S1049" s="87">
        <v>577030.49999999965</v>
      </c>
      <c r="T1049" s="87">
        <v>0</v>
      </c>
      <c r="U1049" s="89">
        <v>582640.00000000023</v>
      </c>
      <c r="V1049" s="89">
        <v>0</v>
      </c>
      <c r="W1049" s="90">
        <v>587925</v>
      </c>
      <c r="X1049" s="90">
        <v>0</v>
      </c>
      <c r="Y1049" s="90">
        <v>593149.50000000012</v>
      </c>
      <c r="Z1049" s="90">
        <v>2644</v>
      </c>
      <c r="AA1049" s="90">
        <v>452</v>
      </c>
      <c r="AB1049" s="89">
        <f t="shared" si="371"/>
        <v>410</v>
      </c>
      <c r="AC1049" s="89">
        <f t="shared" si="372"/>
        <v>452</v>
      </c>
      <c r="AD1049" s="89">
        <f t="shared" si="373"/>
        <v>2644</v>
      </c>
      <c r="AE1049" s="90">
        <f t="shared" ref="AE1049:AE1111" si="383">IF(G1049&gt;0,G1049,IF(E1049&gt;0,E1049,IF(I1049&gt;0,I1049,K1049)))</f>
        <v>308</v>
      </c>
      <c r="AF1049" s="90">
        <f t="shared" si="374"/>
        <v>2013</v>
      </c>
      <c r="AG1049" s="90">
        <f t="shared" ref="AG1049:AG1111" si="384">IF(R1049&gt;0,R1049,IF(O1049&gt;0,O1049,T1049))</f>
        <v>452</v>
      </c>
      <c r="AH1049" s="90">
        <f t="shared" si="375"/>
        <v>2018</v>
      </c>
      <c r="AI1049" s="90">
        <f t="shared" si="376"/>
        <v>2644</v>
      </c>
      <c r="AJ1049" s="90">
        <f t="shared" si="377"/>
        <v>2022</v>
      </c>
      <c r="AK1049" s="90" t="str">
        <f t="shared" si="378"/>
        <v/>
      </c>
      <c r="AL1049" s="91">
        <f>IF(AK1049="Adjust",(_xlfn.XLOOKUP(A1049,'Adj factor'!A:A,'Adj factor'!I:I,,0)*AI1049),'Master DataSheet (Rev)'!AI1049)</f>
        <v>2644</v>
      </c>
      <c r="AM1049" s="91">
        <f t="shared" si="379"/>
        <v>2644</v>
      </c>
      <c r="AN1049" s="92" t="str">
        <f t="shared" si="380"/>
        <v>Increasing</v>
      </c>
      <c r="AS1049" s="94">
        <f t="shared" si="381"/>
        <v>5.7043375189835919</v>
      </c>
      <c r="AT1049" s="94">
        <f t="shared" si="382"/>
        <v>7.913144485790041</v>
      </c>
      <c r="AU1049" s="94">
        <f t="shared" si="369"/>
        <v>44.57560867875636</v>
      </c>
      <c r="AV1049" s="94">
        <f t="shared" si="370"/>
        <v>44.57560867875636</v>
      </c>
    </row>
    <row r="1050" spans="1:48" x14ac:dyDescent="0.3">
      <c r="A1050" s="85" t="str">
        <f>_xlfn.XLOOKUP(B1050,'Country codes &amp; Data sources'!G:G,'Country codes &amp; Data sources'!H:H,,0)</f>
        <v>Cape-Verde</v>
      </c>
      <c r="B1050" s="85" t="s">
        <v>167</v>
      </c>
      <c r="C1050" s="85">
        <v>533865</v>
      </c>
      <c r="D1050" s="85" t="s">
        <v>327</v>
      </c>
      <c r="E1050" s="86">
        <v>0</v>
      </c>
      <c r="F1050" s="86">
        <v>539939.99999999988</v>
      </c>
      <c r="G1050" s="86">
        <v>0</v>
      </c>
      <c r="H1050" s="86"/>
      <c r="I1050" s="86">
        <v>0</v>
      </c>
      <c r="J1050" s="86"/>
      <c r="K1050" s="86">
        <v>0</v>
      </c>
      <c r="L1050" s="86"/>
      <c r="M1050" s="86">
        <v>0</v>
      </c>
      <c r="N1050" s="86"/>
      <c r="O1050" s="86">
        <v>0</v>
      </c>
      <c r="P1050" s="86">
        <v>571201.5</v>
      </c>
      <c r="Q1050" s="86">
        <v>165</v>
      </c>
      <c r="R1050" s="87">
        <f t="shared" si="368"/>
        <v>165</v>
      </c>
      <c r="T1050" s="87">
        <v>0</v>
      </c>
      <c r="U1050" s="89"/>
      <c r="V1050" s="89">
        <v>0</v>
      </c>
      <c r="W1050" s="90"/>
      <c r="X1050" s="90">
        <v>0</v>
      </c>
      <c r="Y1050" s="90">
        <v>593149.50000000012</v>
      </c>
      <c r="Z1050" s="90">
        <v>187</v>
      </c>
      <c r="AA1050" s="90">
        <v>165</v>
      </c>
      <c r="AB1050" s="89">
        <f t="shared" si="371"/>
        <v>0</v>
      </c>
      <c r="AC1050" s="89">
        <f t="shared" si="372"/>
        <v>165</v>
      </c>
      <c r="AD1050" s="89">
        <f t="shared" si="373"/>
        <v>187</v>
      </c>
      <c r="AF1050" s="90" t="str">
        <f t="shared" si="374"/>
        <v/>
      </c>
      <c r="AG1050" s="90">
        <f t="shared" si="384"/>
        <v>165</v>
      </c>
      <c r="AH1050" s="90">
        <f t="shared" si="375"/>
        <v>2018</v>
      </c>
      <c r="AI1050" s="90">
        <f t="shared" si="376"/>
        <v>187</v>
      </c>
      <c r="AJ1050" s="90">
        <f t="shared" si="377"/>
        <v>2022</v>
      </c>
      <c r="AK1050" s="90" t="str">
        <f t="shared" si="378"/>
        <v/>
      </c>
      <c r="AL1050" s="91">
        <f>IF(AK1050="Adjust",(_xlfn.XLOOKUP(A1050,'Adj factor'!A:A,'Adj factor'!I:I,,0)*AI1050),'Master DataSheet (Rev)'!AI1050)</f>
        <v>187</v>
      </c>
      <c r="AM1050" s="91">
        <f t="shared" si="379"/>
        <v>187</v>
      </c>
      <c r="AN1050" s="92" t="str">
        <f t="shared" si="380"/>
        <v>Increasing</v>
      </c>
      <c r="AS1050" s="94">
        <f t="shared" si="381"/>
        <v>0</v>
      </c>
      <c r="AT1050" s="94">
        <f t="shared" si="382"/>
        <v>2.8886478764499044</v>
      </c>
      <c r="AU1050" s="94">
        <f t="shared" si="369"/>
        <v>3.1526621871888953</v>
      </c>
      <c r="AV1050" s="94">
        <f t="shared" si="370"/>
        <v>3.1526621871888953</v>
      </c>
    </row>
    <row r="1051" spans="1:48" x14ac:dyDescent="0.3">
      <c r="A1051" s="85" t="str">
        <f>_xlfn.XLOOKUP(B1051,'Country codes &amp; Data sources'!G:G,'Country codes &amp; Data sources'!H:H,,0)</f>
        <v>Cape-Verde</v>
      </c>
      <c r="B1051" s="85" t="s">
        <v>167</v>
      </c>
      <c r="C1051" s="85">
        <v>533866</v>
      </c>
      <c r="D1051" s="85" t="s">
        <v>328</v>
      </c>
      <c r="E1051" s="86">
        <v>0</v>
      </c>
      <c r="F1051" s="86">
        <v>539939.99999999988</v>
      </c>
      <c r="G1051" s="86">
        <v>0</v>
      </c>
      <c r="H1051" s="86"/>
      <c r="I1051" s="86">
        <v>0</v>
      </c>
      <c r="J1051" s="86"/>
      <c r="K1051" s="86">
        <v>0</v>
      </c>
      <c r="L1051" s="86"/>
      <c r="M1051" s="86">
        <v>0</v>
      </c>
      <c r="N1051" s="86"/>
      <c r="O1051" s="86">
        <v>0</v>
      </c>
      <c r="P1051" s="86">
        <v>571201.5</v>
      </c>
      <c r="Q1051" s="86">
        <v>287</v>
      </c>
      <c r="R1051" s="87">
        <f t="shared" si="368"/>
        <v>287</v>
      </c>
      <c r="T1051" s="87">
        <v>0</v>
      </c>
      <c r="U1051" s="89"/>
      <c r="V1051" s="89">
        <v>0</v>
      </c>
      <c r="W1051" s="90"/>
      <c r="X1051" s="90">
        <v>0</v>
      </c>
      <c r="Y1051" s="90">
        <v>593149.50000000012</v>
      </c>
      <c r="Z1051" s="90">
        <v>108</v>
      </c>
      <c r="AA1051" s="90">
        <v>287</v>
      </c>
      <c r="AB1051" s="89">
        <f t="shared" si="371"/>
        <v>0</v>
      </c>
      <c r="AC1051" s="89">
        <f t="shared" si="372"/>
        <v>287</v>
      </c>
      <c r="AD1051" s="89">
        <f t="shared" si="373"/>
        <v>108</v>
      </c>
      <c r="AF1051" s="90" t="str">
        <f t="shared" si="374"/>
        <v/>
      </c>
      <c r="AG1051" s="90">
        <f t="shared" si="384"/>
        <v>287</v>
      </c>
      <c r="AH1051" s="90">
        <f t="shared" si="375"/>
        <v>2018</v>
      </c>
      <c r="AI1051" s="90">
        <f t="shared" si="376"/>
        <v>108</v>
      </c>
      <c r="AJ1051" s="90">
        <f t="shared" si="377"/>
        <v>2022</v>
      </c>
      <c r="AK1051" s="90" t="str">
        <f t="shared" si="378"/>
        <v>Adjust</v>
      </c>
      <c r="AL1051" s="91">
        <f>IF(AK1051="Adjust",(_xlfn.XLOOKUP(A1051,'Adj factor'!A:A,'Adj factor'!I:I,,0)*AI1051),'Master DataSheet (Rev)'!AI1051)</f>
        <v>134.29007633587787</v>
      </c>
      <c r="AM1051" s="91">
        <f t="shared" si="379"/>
        <v>287</v>
      </c>
      <c r="AN1051" s="92" t="str">
        <f t="shared" si="380"/>
        <v>Decreasing</v>
      </c>
      <c r="AS1051" s="94">
        <f t="shared" si="381"/>
        <v>0</v>
      </c>
      <c r="AT1051" s="94">
        <f t="shared" si="382"/>
        <v>5.0244966093401366</v>
      </c>
      <c r="AU1051" s="94">
        <f t="shared" si="369"/>
        <v>2.2640173571060558</v>
      </c>
      <c r="AV1051" s="94">
        <f t="shared" si="370"/>
        <v>4.8385777953112994</v>
      </c>
    </row>
    <row r="1052" spans="1:48" x14ac:dyDescent="0.3">
      <c r="A1052" s="85" t="str">
        <f>_xlfn.XLOOKUP(B1052,'Country codes &amp; Data sources'!G:G,'Country codes &amp; Data sources'!H:H,,0)</f>
        <v>Cape-Verde</v>
      </c>
      <c r="B1052" s="85" t="s">
        <v>167</v>
      </c>
      <c r="C1052" s="85">
        <v>533867</v>
      </c>
      <c r="D1052" s="85" t="s">
        <v>329</v>
      </c>
      <c r="E1052" s="86">
        <v>551</v>
      </c>
      <c r="F1052" s="86">
        <v>539939.99999999988</v>
      </c>
      <c r="G1052" s="86">
        <v>403</v>
      </c>
      <c r="H1052" s="86"/>
      <c r="I1052" s="86">
        <v>476</v>
      </c>
      <c r="J1052" s="86"/>
      <c r="K1052" s="86">
        <v>498</v>
      </c>
      <c r="L1052" s="86"/>
      <c r="M1052" s="86">
        <v>612</v>
      </c>
      <c r="N1052" s="86"/>
      <c r="O1052" s="86">
        <v>688</v>
      </c>
      <c r="P1052" s="86">
        <v>571201.5</v>
      </c>
      <c r="Q1052" s="86">
        <v>706</v>
      </c>
      <c r="R1052" s="87">
        <f t="shared" si="368"/>
        <v>768</v>
      </c>
      <c r="T1052" s="87">
        <v>0</v>
      </c>
      <c r="U1052" s="89"/>
      <c r="V1052" s="89">
        <v>0</v>
      </c>
      <c r="W1052" s="90"/>
      <c r="X1052" s="90">
        <v>0</v>
      </c>
      <c r="Y1052" s="90">
        <v>593149.50000000012</v>
      </c>
      <c r="Z1052" s="90">
        <v>941</v>
      </c>
      <c r="AA1052" s="90">
        <v>768</v>
      </c>
      <c r="AB1052" s="89">
        <f t="shared" si="371"/>
        <v>551</v>
      </c>
      <c r="AC1052" s="89">
        <f t="shared" si="372"/>
        <v>706</v>
      </c>
      <c r="AD1052" s="89">
        <f t="shared" si="373"/>
        <v>941</v>
      </c>
      <c r="AE1052" s="90">
        <f t="shared" si="383"/>
        <v>403</v>
      </c>
      <c r="AF1052" s="90">
        <f t="shared" si="374"/>
        <v>2013</v>
      </c>
      <c r="AG1052" s="90">
        <f t="shared" si="384"/>
        <v>768</v>
      </c>
      <c r="AH1052" s="90" t="str">
        <f t="shared" si="375"/>
        <v>2018 (triag)</v>
      </c>
      <c r="AI1052" s="90">
        <f t="shared" si="376"/>
        <v>941</v>
      </c>
      <c r="AJ1052" s="90">
        <f t="shared" si="377"/>
        <v>2022</v>
      </c>
      <c r="AK1052" s="90" t="str">
        <f t="shared" si="378"/>
        <v/>
      </c>
      <c r="AL1052" s="91">
        <f>IF(AK1052="Adjust",(_xlfn.XLOOKUP(A1052,'Adj factor'!A:A,'Adj factor'!I:I,,0)*AI1052),'Master DataSheet (Rev)'!AI1052)</f>
        <v>941</v>
      </c>
      <c r="AM1052" s="91">
        <f t="shared" si="379"/>
        <v>941</v>
      </c>
      <c r="AN1052" s="92" t="str">
        <f t="shared" si="380"/>
        <v>Increasing</v>
      </c>
      <c r="AS1052" s="94">
        <f t="shared" si="381"/>
        <v>7.4637922732155442</v>
      </c>
      <c r="AT1052" s="94">
        <f t="shared" si="382"/>
        <v>13.445342843112282</v>
      </c>
      <c r="AU1052" s="94">
        <f t="shared" si="369"/>
        <v>15.86446587243182</v>
      </c>
      <c r="AV1052" s="94">
        <f t="shared" si="370"/>
        <v>15.86446587243182</v>
      </c>
    </row>
    <row r="1053" spans="1:48" x14ac:dyDescent="0.3">
      <c r="A1053" s="85" t="str">
        <f>_xlfn.XLOOKUP(B1053,'Country codes &amp; Data sources'!G:G,'Country codes &amp; Data sources'!H:H,,0)</f>
        <v>Cape-Verde</v>
      </c>
      <c r="B1053" s="85" t="s">
        <v>167</v>
      </c>
      <c r="C1053" s="85">
        <v>533868</v>
      </c>
      <c r="D1053" s="85" t="s">
        <v>330</v>
      </c>
      <c r="E1053" s="86">
        <v>0</v>
      </c>
      <c r="F1053" s="86">
        <v>539939.99999999988</v>
      </c>
      <c r="G1053" s="86">
        <v>0</v>
      </c>
      <c r="H1053" s="86"/>
      <c r="I1053" s="86">
        <v>0</v>
      </c>
      <c r="J1053" s="86"/>
      <c r="K1053" s="86">
        <v>0</v>
      </c>
      <c r="L1053" s="86"/>
      <c r="M1053" s="86">
        <v>0</v>
      </c>
      <c r="N1053" s="86"/>
      <c r="O1053" s="86">
        <v>0</v>
      </c>
      <c r="P1053" s="86">
        <v>571201.5</v>
      </c>
      <c r="Q1053" s="86">
        <v>0</v>
      </c>
      <c r="R1053" s="87">
        <f t="shared" si="368"/>
        <v>243</v>
      </c>
      <c r="T1053" s="87">
        <v>0</v>
      </c>
      <c r="U1053" s="89"/>
      <c r="V1053" s="89">
        <v>0</v>
      </c>
      <c r="W1053" s="90"/>
      <c r="X1053" s="90">
        <v>0</v>
      </c>
      <c r="Y1053" s="90">
        <v>593149.50000000012</v>
      </c>
      <c r="Z1053" s="90">
        <v>846</v>
      </c>
      <c r="AA1053" s="90">
        <v>243</v>
      </c>
      <c r="AB1053" s="89">
        <f t="shared" si="371"/>
        <v>0</v>
      </c>
      <c r="AC1053" s="89">
        <f t="shared" si="372"/>
        <v>0</v>
      </c>
      <c r="AD1053" s="89">
        <f t="shared" si="373"/>
        <v>846</v>
      </c>
      <c r="AF1053" s="90" t="str">
        <f t="shared" si="374"/>
        <v/>
      </c>
      <c r="AG1053" s="90">
        <f t="shared" si="384"/>
        <v>243</v>
      </c>
      <c r="AH1053" s="90" t="str">
        <f t="shared" si="375"/>
        <v>2018 (triag)</v>
      </c>
      <c r="AI1053" s="90">
        <f t="shared" si="376"/>
        <v>846</v>
      </c>
      <c r="AJ1053" s="90">
        <f t="shared" si="377"/>
        <v>2022</v>
      </c>
      <c r="AK1053" s="90" t="str">
        <f t="shared" si="378"/>
        <v/>
      </c>
      <c r="AL1053" s="91">
        <f>IF(AK1053="Adjust",(_xlfn.XLOOKUP(A1053,'Adj factor'!A:A,'Adj factor'!I:I,,0)*AI1053),'Master DataSheet (Rev)'!AI1053)</f>
        <v>846</v>
      </c>
      <c r="AM1053" s="91">
        <f t="shared" si="379"/>
        <v>846</v>
      </c>
      <c r="AN1053" s="92" t="str">
        <f t="shared" si="380"/>
        <v>Increasing</v>
      </c>
      <c r="AS1053" s="94">
        <f t="shared" si="381"/>
        <v>0</v>
      </c>
      <c r="AT1053" s="94">
        <f t="shared" si="382"/>
        <v>4.2541905089534957</v>
      </c>
      <c r="AU1053" s="94">
        <f t="shared" si="369"/>
        <v>14.262846044715538</v>
      </c>
      <c r="AV1053" s="94">
        <f t="shared" si="370"/>
        <v>14.262846044715538</v>
      </c>
    </row>
    <row r="1054" spans="1:48" x14ac:dyDescent="0.3">
      <c r="A1054" s="85" t="str">
        <f>_xlfn.XLOOKUP(B1054,'Country codes &amp; Data sources'!G:G,'Country codes &amp; Data sources'!H:H,,0)</f>
        <v>Cape-Verde</v>
      </c>
      <c r="B1054" s="85" t="s">
        <v>167</v>
      </c>
      <c r="C1054" s="85">
        <v>533869</v>
      </c>
      <c r="D1054" s="85" t="s">
        <v>331</v>
      </c>
      <c r="E1054" s="86">
        <v>0</v>
      </c>
      <c r="F1054" s="86">
        <v>539939.99999999988</v>
      </c>
      <c r="G1054" s="86">
        <v>0</v>
      </c>
      <c r="H1054" s="86"/>
      <c r="I1054" s="86">
        <v>0</v>
      </c>
      <c r="J1054" s="86"/>
      <c r="K1054" s="86">
        <v>0</v>
      </c>
      <c r="L1054" s="86"/>
      <c r="M1054" s="86">
        <v>0</v>
      </c>
      <c r="N1054" s="86"/>
      <c r="O1054" s="86">
        <v>0</v>
      </c>
      <c r="P1054" s="86">
        <v>571201.5</v>
      </c>
      <c r="Q1054" s="86">
        <v>0</v>
      </c>
      <c r="R1054" s="87">
        <f t="shared" si="368"/>
        <v>525</v>
      </c>
      <c r="T1054" s="87">
        <v>0</v>
      </c>
      <c r="U1054" s="89"/>
      <c r="V1054" s="89">
        <v>0</v>
      </c>
      <c r="W1054" s="90"/>
      <c r="X1054" s="90">
        <v>0</v>
      </c>
      <c r="Y1054" s="90">
        <v>593149.50000000012</v>
      </c>
      <c r="Z1054" s="90">
        <v>95</v>
      </c>
      <c r="AA1054" s="90">
        <v>525</v>
      </c>
      <c r="AB1054" s="89">
        <f t="shared" si="371"/>
        <v>0</v>
      </c>
      <c r="AC1054" s="89">
        <f t="shared" si="372"/>
        <v>0</v>
      </c>
      <c r="AD1054" s="89">
        <f t="shared" si="373"/>
        <v>95</v>
      </c>
      <c r="AF1054" s="90" t="str">
        <f t="shared" si="374"/>
        <v/>
      </c>
      <c r="AG1054" s="90">
        <f t="shared" si="384"/>
        <v>525</v>
      </c>
      <c r="AH1054" s="90" t="str">
        <f t="shared" si="375"/>
        <v>2018 (triag)</v>
      </c>
      <c r="AI1054" s="90">
        <f t="shared" si="376"/>
        <v>95</v>
      </c>
      <c r="AJ1054" s="90">
        <f t="shared" si="377"/>
        <v>2022</v>
      </c>
      <c r="AK1054" s="90" t="str">
        <f t="shared" si="378"/>
        <v>Adjust</v>
      </c>
      <c r="AL1054" s="91">
        <f>IF(AK1054="Adjust",(_xlfn.XLOOKUP(A1054,'Adj factor'!A:A,'Adj factor'!I:I,,0)*AI1054),'Master DataSheet (Rev)'!AI1054)</f>
        <v>118.12553011026294</v>
      </c>
      <c r="AM1054" s="91">
        <f t="shared" si="379"/>
        <v>525</v>
      </c>
      <c r="AN1054" s="92" t="str">
        <f t="shared" si="380"/>
        <v>Decreasing</v>
      </c>
      <c r="AS1054" s="94">
        <f t="shared" si="381"/>
        <v>0</v>
      </c>
      <c r="AT1054" s="94">
        <f t="shared" si="382"/>
        <v>9.1911523341587866</v>
      </c>
      <c r="AU1054" s="94">
        <f t="shared" si="369"/>
        <v>1.9914967493062528</v>
      </c>
      <c r="AV1054" s="94">
        <f t="shared" si="370"/>
        <v>8.8510569426426198</v>
      </c>
    </row>
    <row r="1055" spans="1:48" x14ac:dyDescent="0.3">
      <c r="A1055" s="85" t="str">
        <f>_xlfn.XLOOKUP(B1055,'Country codes &amp; Data sources'!G:G,'Country codes &amp; Data sources'!H:H,,0)</f>
        <v>Cape-Verde</v>
      </c>
      <c r="B1055" s="85" t="s">
        <v>167</v>
      </c>
      <c r="C1055" s="85">
        <v>533870</v>
      </c>
      <c r="D1055" s="85" t="s">
        <v>332</v>
      </c>
      <c r="E1055" s="86">
        <v>0</v>
      </c>
      <c r="F1055" s="86">
        <v>539939.99999999988</v>
      </c>
      <c r="G1055" s="86">
        <v>0</v>
      </c>
      <c r="H1055" s="86"/>
      <c r="I1055" s="86">
        <v>0</v>
      </c>
      <c r="J1055" s="86"/>
      <c r="K1055" s="86">
        <v>0</v>
      </c>
      <c r="L1055" s="86"/>
      <c r="M1055" s="86">
        <v>0</v>
      </c>
      <c r="N1055" s="86"/>
      <c r="O1055" s="86">
        <v>0</v>
      </c>
      <c r="P1055" s="86">
        <v>571201.5</v>
      </c>
      <c r="Q1055" s="86">
        <v>0</v>
      </c>
      <c r="R1055" s="87">
        <f t="shared" si="368"/>
        <v>27</v>
      </c>
      <c r="T1055" s="87">
        <v>0</v>
      </c>
      <c r="U1055" s="89"/>
      <c r="V1055" s="89">
        <v>0</v>
      </c>
      <c r="W1055" s="90"/>
      <c r="X1055" s="90">
        <v>0</v>
      </c>
      <c r="Y1055" s="90">
        <v>593149.50000000012</v>
      </c>
      <c r="Z1055" s="90">
        <v>0</v>
      </c>
      <c r="AA1055" s="90">
        <v>27</v>
      </c>
      <c r="AB1055" s="89">
        <f t="shared" si="371"/>
        <v>0</v>
      </c>
      <c r="AC1055" s="89">
        <f t="shared" si="372"/>
        <v>0</v>
      </c>
      <c r="AD1055" s="89">
        <f t="shared" si="373"/>
        <v>0</v>
      </c>
      <c r="AF1055" s="90" t="str">
        <f t="shared" si="374"/>
        <v/>
      </c>
      <c r="AG1055" s="90">
        <f t="shared" si="384"/>
        <v>27</v>
      </c>
      <c r="AH1055" s="90" t="str">
        <f t="shared" si="375"/>
        <v>2018 (triag)</v>
      </c>
      <c r="AI1055" s="90">
        <f t="shared" si="376"/>
        <v>27</v>
      </c>
      <c r="AJ1055" s="90" t="str">
        <f t="shared" si="377"/>
        <v>2018 (triag)</v>
      </c>
      <c r="AK1055" s="90" t="str">
        <f t="shared" si="378"/>
        <v/>
      </c>
      <c r="AL1055" s="91">
        <f>IF(AK1055="Adjust",(_xlfn.XLOOKUP(A1055,'Adj factor'!A:A,'Adj factor'!I:I,,0)*AI1055),'Master DataSheet (Rev)'!AI1055)</f>
        <v>27</v>
      </c>
      <c r="AM1055" s="91">
        <f t="shared" si="379"/>
        <v>27</v>
      </c>
      <c r="AN1055" s="92" t="str">
        <f t="shared" si="380"/>
        <v>No change</v>
      </c>
      <c r="AS1055" s="94">
        <f t="shared" si="381"/>
        <v>0</v>
      </c>
      <c r="AT1055" s="94">
        <f t="shared" si="382"/>
        <v>0.47268783432816613</v>
      </c>
      <c r="AU1055" s="94">
        <f t="shared" si="369"/>
        <v>0.45519721419304904</v>
      </c>
      <c r="AV1055" s="94">
        <f t="shared" si="370"/>
        <v>0.45519721419304904</v>
      </c>
    </row>
    <row r="1056" spans="1:48" x14ac:dyDescent="0.3">
      <c r="A1056" s="85" t="str">
        <f>_xlfn.XLOOKUP(B1056,'Country codes &amp; Data sources'!G:G,'Country codes &amp; Data sources'!H:H,,0)</f>
        <v>Cape-Verde</v>
      </c>
      <c r="B1056" s="85" t="s">
        <v>167</v>
      </c>
      <c r="C1056" s="85">
        <v>533871</v>
      </c>
      <c r="D1056" s="85" t="s">
        <v>333</v>
      </c>
      <c r="E1056" s="86">
        <v>0</v>
      </c>
      <c r="F1056" s="86">
        <v>539939.99999999988</v>
      </c>
      <c r="G1056" s="86">
        <v>0</v>
      </c>
      <c r="H1056" s="86"/>
      <c r="I1056" s="86">
        <v>0</v>
      </c>
      <c r="J1056" s="86"/>
      <c r="K1056" s="86">
        <v>0</v>
      </c>
      <c r="L1056" s="86"/>
      <c r="M1056" s="86">
        <v>0</v>
      </c>
      <c r="N1056" s="86"/>
      <c r="O1056" s="86">
        <v>0</v>
      </c>
      <c r="P1056" s="86">
        <v>571201.5</v>
      </c>
      <c r="Q1056" s="86">
        <v>0</v>
      </c>
      <c r="R1056" s="87">
        <f t="shared" si="368"/>
        <v>7</v>
      </c>
      <c r="T1056" s="87">
        <v>0</v>
      </c>
      <c r="U1056" s="89"/>
      <c r="V1056" s="89">
        <v>0</v>
      </c>
      <c r="W1056" s="90"/>
      <c r="X1056" s="90">
        <v>0</v>
      </c>
      <c r="Y1056" s="90">
        <v>593149.50000000012</v>
      </c>
      <c r="Z1056" s="90">
        <v>0</v>
      </c>
      <c r="AA1056" s="90">
        <v>7</v>
      </c>
      <c r="AB1056" s="89">
        <f t="shared" si="371"/>
        <v>0</v>
      </c>
      <c r="AC1056" s="89">
        <f t="shared" si="372"/>
        <v>0</v>
      </c>
      <c r="AD1056" s="89">
        <f t="shared" si="373"/>
        <v>0</v>
      </c>
      <c r="AF1056" s="90" t="str">
        <f t="shared" si="374"/>
        <v/>
      </c>
      <c r="AG1056" s="90">
        <f t="shared" si="384"/>
        <v>7</v>
      </c>
      <c r="AH1056" s="90" t="str">
        <f t="shared" si="375"/>
        <v>2018 (triag)</v>
      </c>
      <c r="AI1056" s="90">
        <f t="shared" si="376"/>
        <v>7</v>
      </c>
      <c r="AJ1056" s="90" t="str">
        <f t="shared" si="377"/>
        <v>2018 (triag)</v>
      </c>
      <c r="AK1056" s="90" t="str">
        <f t="shared" si="378"/>
        <v/>
      </c>
      <c r="AL1056" s="91">
        <f>IF(AK1056="Adjust",(_xlfn.XLOOKUP(A1056,'Adj factor'!A:A,'Adj factor'!I:I,,0)*AI1056),'Master DataSheet (Rev)'!AI1056)</f>
        <v>7</v>
      </c>
      <c r="AM1056" s="91">
        <f t="shared" si="379"/>
        <v>7</v>
      </c>
      <c r="AN1056" s="92" t="str">
        <f t="shared" si="380"/>
        <v>No change</v>
      </c>
      <c r="AS1056" s="94">
        <f t="shared" si="381"/>
        <v>0</v>
      </c>
      <c r="AT1056" s="94">
        <f t="shared" si="382"/>
        <v>0.12254869778878381</v>
      </c>
      <c r="AU1056" s="94">
        <f t="shared" si="369"/>
        <v>0.11801409256856828</v>
      </c>
      <c r="AV1056" s="94">
        <f t="shared" si="370"/>
        <v>0.11801409256856828</v>
      </c>
    </row>
    <row r="1057" spans="1:48" x14ac:dyDescent="0.3">
      <c r="A1057" s="85" t="str">
        <f>_xlfn.XLOOKUP(B1057,'Country codes &amp; Data sources'!G:G,'Country codes &amp; Data sources'!H:H,,0)</f>
        <v>Cape-Verde</v>
      </c>
      <c r="B1057" s="85" t="s">
        <v>167</v>
      </c>
      <c r="C1057" s="85">
        <v>533872</v>
      </c>
      <c r="D1057" s="85" t="s">
        <v>334</v>
      </c>
      <c r="E1057" s="86">
        <v>0</v>
      </c>
      <c r="F1057" s="86">
        <v>539939.99999999988</v>
      </c>
      <c r="G1057" s="86">
        <v>0</v>
      </c>
      <c r="H1057" s="86"/>
      <c r="I1057" s="86">
        <v>0</v>
      </c>
      <c r="J1057" s="86"/>
      <c r="K1057" s="86">
        <v>0</v>
      </c>
      <c r="L1057" s="86"/>
      <c r="M1057" s="86">
        <v>0</v>
      </c>
      <c r="N1057" s="86"/>
      <c r="O1057" s="86">
        <v>0</v>
      </c>
      <c r="P1057" s="86">
        <v>571201.5</v>
      </c>
      <c r="Q1057" s="86">
        <v>0</v>
      </c>
      <c r="R1057" s="87">
        <f t="shared" si="368"/>
        <v>20</v>
      </c>
      <c r="T1057" s="87">
        <v>0</v>
      </c>
      <c r="U1057" s="89"/>
      <c r="V1057" s="89">
        <v>0</v>
      </c>
      <c r="W1057" s="90"/>
      <c r="X1057" s="90">
        <v>0</v>
      </c>
      <c r="Y1057" s="90">
        <v>593149.50000000012</v>
      </c>
      <c r="Z1057" s="90">
        <v>0</v>
      </c>
      <c r="AA1057" s="90">
        <v>20</v>
      </c>
      <c r="AB1057" s="89">
        <f t="shared" si="371"/>
        <v>0</v>
      </c>
      <c r="AC1057" s="89">
        <f t="shared" si="372"/>
        <v>0</v>
      </c>
      <c r="AD1057" s="89">
        <f t="shared" si="373"/>
        <v>0</v>
      </c>
      <c r="AF1057" s="90" t="str">
        <f t="shared" si="374"/>
        <v/>
      </c>
      <c r="AG1057" s="90">
        <f t="shared" si="384"/>
        <v>20</v>
      </c>
      <c r="AH1057" s="90" t="str">
        <f t="shared" si="375"/>
        <v>2018 (triag)</v>
      </c>
      <c r="AI1057" s="90">
        <f t="shared" si="376"/>
        <v>20</v>
      </c>
      <c r="AJ1057" s="90" t="str">
        <f t="shared" si="377"/>
        <v>2018 (triag)</v>
      </c>
      <c r="AK1057" s="90" t="str">
        <f t="shared" si="378"/>
        <v/>
      </c>
      <c r="AL1057" s="91">
        <f>IF(AK1057="Adjust",(_xlfn.XLOOKUP(A1057,'Adj factor'!A:A,'Adj factor'!I:I,,0)*AI1057),'Master DataSheet (Rev)'!AI1057)</f>
        <v>20</v>
      </c>
      <c r="AM1057" s="91">
        <f t="shared" si="379"/>
        <v>20</v>
      </c>
      <c r="AN1057" s="92" t="str">
        <f t="shared" si="380"/>
        <v>No change</v>
      </c>
      <c r="AS1057" s="94">
        <f t="shared" si="381"/>
        <v>0</v>
      </c>
      <c r="AT1057" s="94">
        <f t="shared" si="382"/>
        <v>0.35013913653938233</v>
      </c>
      <c r="AU1057" s="94">
        <f t="shared" si="369"/>
        <v>0.33718312162448077</v>
      </c>
      <c r="AV1057" s="94">
        <f t="shared" si="370"/>
        <v>0.33718312162448077</v>
      </c>
    </row>
    <row r="1058" spans="1:48" x14ac:dyDescent="0.3">
      <c r="A1058" s="85" t="str">
        <f>_xlfn.XLOOKUP(B1058,'Country codes &amp; Data sources'!G:G,'Country codes &amp; Data sources'!H:H,,0)</f>
        <v>Cape-Verde</v>
      </c>
      <c r="B1058" s="85" t="s">
        <v>167</v>
      </c>
      <c r="C1058" s="85">
        <v>533873</v>
      </c>
      <c r="D1058" s="85" t="s">
        <v>335</v>
      </c>
      <c r="E1058" s="86">
        <v>0</v>
      </c>
      <c r="F1058" s="86">
        <v>539939.99999999988</v>
      </c>
      <c r="G1058" s="86">
        <v>0</v>
      </c>
      <c r="H1058" s="86"/>
      <c r="I1058" s="86">
        <v>0</v>
      </c>
      <c r="J1058" s="86"/>
      <c r="K1058" s="86">
        <v>0</v>
      </c>
      <c r="L1058" s="86"/>
      <c r="M1058" s="86">
        <v>4</v>
      </c>
      <c r="N1058" s="86"/>
      <c r="O1058" s="86">
        <v>0</v>
      </c>
      <c r="P1058" s="86">
        <v>571201.5</v>
      </c>
      <c r="Q1058" s="86">
        <v>172</v>
      </c>
      <c r="R1058" s="87">
        <f t="shared" si="368"/>
        <v>172</v>
      </c>
      <c r="T1058" s="87">
        <v>0</v>
      </c>
      <c r="U1058" s="89"/>
      <c r="V1058" s="89">
        <v>0</v>
      </c>
      <c r="W1058" s="90"/>
      <c r="X1058" s="90">
        <v>0</v>
      </c>
      <c r="Y1058" s="90">
        <v>593149.50000000012</v>
      </c>
      <c r="Z1058" s="90">
        <v>23</v>
      </c>
      <c r="AA1058" s="90">
        <v>80</v>
      </c>
      <c r="AB1058" s="89">
        <f t="shared" si="371"/>
        <v>0</v>
      </c>
      <c r="AC1058" s="89">
        <f t="shared" si="372"/>
        <v>172</v>
      </c>
      <c r="AD1058" s="89">
        <f t="shared" si="373"/>
        <v>23</v>
      </c>
      <c r="AF1058" s="90" t="str">
        <f t="shared" si="374"/>
        <v/>
      </c>
      <c r="AG1058" s="90">
        <f t="shared" si="384"/>
        <v>172</v>
      </c>
      <c r="AH1058" s="90">
        <f t="shared" si="375"/>
        <v>2018</v>
      </c>
      <c r="AI1058" s="90">
        <f t="shared" si="376"/>
        <v>23</v>
      </c>
      <c r="AJ1058" s="90">
        <f t="shared" si="377"/>
        <v>2022</v>
      </c>
      <c r="AK1058" s="90" t="str">
        <f t="shared" si="378"/>
        <v>Adjust</v>
      </c>
      <c r="AL1058" s="91">
        <f>IF(AK1058="Adjust",(_xlfn.XLOOKUP(A1058,'Adj factor'!A:A,'Adj factor'!I:I,,0)*AI1058),'Master DataSheet (Rev)'!AI1058)</f>
        <v>28.59881255301103</v>
      </c>
      <c r="AM1058" s="91">
        <f t="shared" si="379"/>
        <v>172</v>
      </c>
      <c r="AN1058" s="92" t="str">
        <f t="shared" si="380"/>
        <v>Decreasing</v>
      </c>
      <c r="AS1058" s="94">
        <f t="shared" si="381"/>
        <v>0</v>
      </c>
      <c r="AT1058" s="94">
        <f t="shared" si="382"/>
        <v>3.0111965742386881</v>
      </c>
      <c r="AU1058" s="94">
        <f t="shared" si="369"/>
        <v>0.48215184456888233</v>
      </c>
      <c r="AV1058" s="94">
        <f t="shared" si="370"/>
        <v>2.8997748459705348</v>
      </c>
    </row>
    <row r="1059" spans="1:48" x14ac:dyDescent="0.3">
      <c r="A1059" s="85" t="str">
        <f>_xlfn.XLOOKUP(B1059,'Country codes &amp; Data sources'!G:G,'Country codes &amp; Data sources'!H:H,,0)</f>
        <v>Cape-Verde</v>
      </c>
      <c r="B1059" s="85" t="s">
        <v>167</v>
      </c>
      <c r="C1059" s="85">
        <v>533874</v>
      </c>
      <c r="D1059" s="85" t="s">
        <v>336</v>
      </c>
      <c r="E1059" s="86">
        <v>0</v>
      </c>
      <c r="F1059" s="86">
        <v>539939.99999999988</v>
      </c>
      <c r="G1059" s="86">
        <v>0</v>
      </c>
      <c r="H1059" s="86"/>
      <c r="I1059" s="86">
        <v>0</v>
      </c>
      <c r="J1059" s="86"/>
      <c r="K1059" s="86">
        <v>0</v>
      </c>
      <c r="L1059" s="86"/>
      <c r="M1059" s="86">
        <v>0</v>
      </c>
      <c r="N1059" s="86"/>
      <c r="O1059" s="86">
        <v>0</v>
      </c>
      <c r="P1059" s="86">
        <v>571201.5</v>
      </c>
      <c r="Q1059" s="86">
        <v>0</v>
      </c>
      <c r="R1059" s="87">
        <f t="shared" si="368"/>
        <v>92</v>
      </c>
      <c r="T1059" s="87">
        <v>0</v>
      </c>
      <c r="U1059" s="89"/>
      <c r="V1059" s="89">
        <v>0</v>
      </c>
      <c r="W1059" s="90"/>
      <c r="X1059" s="90">
        <v>0</v>
      </c>
      <c r="Y1059" s="90">
        <v>593149.50000000012</v>
      </c>
      <c r="Z1059" s="90">
        <v>6</v>
      </c>
      <c r="AA1059" s="90">
        <v>92</v>
      </c>
      <c r="AB1059" s="89">
        <f t="shared" si="371"/>
        <v>0</v>
      </c>
      <c r="AC1059" s="89">
        <f t="shared" si="372"/>
        <v>0</v>
      </c>
      <c r="AD1059" s="89">
        <f t="shared" si="373"/>
        <v>6</v>
      </c>
      <c r="AF1059" s="90" t="str">
        <f t="shared" si="374"/>
        <v/>
      </c>
      <c r="AG1059" s="90">
        <f t="shared" si="384"/>
        <v>92</v>
      </c>
      <c r="AH1059" s="90" t="str">
        <f t="shared" si="375"/>
        <v>2018 (triag)</v>
      </c>
      <c r="AI1059" s="90">
        <f t="shared" si="376"/>
        <v>6</v>
      </c>
      <c r="AJ1059" s="90">
        <f t="shared" si="377"/>
        <v>2022</v>
      </c>
      <c r="AK1059" s="90" t="str">
        <f t="shared" si="378"/>
        <v>Adjust</v>
      </c>
      <c r="AL1059" s="91">
        <f>IF(AK1059="Adjust",(_xlfn.XLOOKUP(A1059,'Adj factor'!A:A,'Adj factor'!I:I,,0)*AI1059),'Master DataSheet (Rev)'!AI1059)</f>
        <v>7.4605597964376598</v>
      </c>
      <c r="AM1059" s="91">
        <f t="shared" si="379"/>
        <v>92</v>
      </c>
      <c r="AN1059" s="92" t="str">
        <f t="shared" si="380"/>
        <v>Decreasing</v>
      </c>
      <c r="AS1059" s="94">
        <f t="shared" si="381"/>
        <v>0</v>
      </c>
      <c r="AT1059" s="94">
        <f t="shared" si="382"/>
        <v>1.6106400280811588</v>
      </c>
      <c r="AU1059" s="94">
        <f t="shared" si="369"/>
        <v>0.12577874206144757</v>
      </c>
      <c r="AV1059" s="94">
        <f t="shared" si="370"/>
        <v>1.5510423594726115</v>
      </c>
    </row>
    <row r="1060" spans="1:48" x14ac:dyDescent="0.3">
      <c r="A1060" s="85" t="str">
        <f>_xlfn.XLOOKUP(B1060,'Country codes &amp; Data sources'!G:G,'Country codes &amp; Data sources'!H:H,,0)</f>
        <v>Cape-Verde</v>
      </c>
      <c r="B1060" s="85" t="s">
        <v>167</v>
      </c>
      <c r="C1060" s="85">
        <v>533875</v>
      </c>
      <c r="D1060" s="85" t="s">
        <v>337</v>
      </c>
      <c r="E1060" s="86">
        <v>0</v>
      </c>
      <c r="F1060" s="86">
        <v>539939.99999999988</v>
      </c>
      <c r="G1060" s="86">
        <v>0</v>
      </c>
      <c r="H1060" s="86"/>
      <c r="I1060" s="86">
        <v>0</v>
      </c>
      <c r="J1060" s="86"/>
      <c r="K1060" s="86">
        <v>0</v>
      </c>
      <c r="L1060" s="86"/>
      <c r="M1060" s="86">
        <v>4</v>
      </c>
      <c r="N1060" s="86"/>
      <c r="O1060" s="86">
        <v>0</v>
      </c>
      <c r="P1060" s="86">
        <v>571201.5</v>
      </c>
      <c r="Q1060" s="86">
        <v>81</v>
      </c>
      <c r="R1060" s="87">
        <f t="shared" si="368"/>
        <v>81</v>
      </c>
      <c r="T1060" s="87">
        <v>120</v>
      </c>
      <c r="U1060" s="89"/>
      <c r="V1060" s="89">
        <v>0</v>
      </c>
      <c r="W1060" s="90"/>
      <c r="X1060" s="90">
        <v>0</v>
      </c>
      <c r="Y1060" s="90">
        <v>593149.50000000012</v>
      </c>
      <c r="Z1060" s="90">
        <v>10</v>
      </c>
      <c r="AA1060" s="90">
        <v>81</v>
      </c>
      <c r="AB1060" s="89">
        <f t="shared" si="371"/>
        <v>0</v>
      </c>
      <c r="AC1060" s="89">
        <f t="shared" si="372"/>
        <v>120</v>
      </c>
      <c r="AD1060" s="89">
        <f t="shared" si="373"/>
        <v>10</v>
      </c>
      <c r="AF1060" s="90" t="str">
        <f t="shared" si="374"/>
        <v/>
      </c>
      <c r="AG1060" s="90">
        <f t="shared" si="384"/>
        <v>81</v>
      </c>
      <c r="AH1060" s="90">
        <f t="shared" si="375"/>
        <v>2018</v>
      </c>
      <c r="AI1060" s="90">
        <f t="shared" si="376"/>
        <v>10</v>
      </c>
      <c r="AJ1060" s="90">
        <f t="shared" si="377"/>
        <v>2022</v>
      </c>
      <c r="AK1060" s="90" t="str">
        <f t="shared" si="378"/>
        <v>Adjust</v>
      </c>
      <c r="AL1060" s="91">
        <f>IF(AK1060="Adjust",(_xlfn.XLOOKUP(A1060,'Adj factor'!A:A,'Adj factor'!I:I,,0)*AI1060),'Master DataSheet (Rev)'!AI1060)</f>
        <v>12.434266327396099</v>
      </c>
      <c r="AM1060" s="91">
        <f t="shared" si="379"/>
        <v>81</v>
      </c>
      <c r="AN1060" s="92" t="str">
        <f t="shared" si="380"/>
        <v>Decreasing</v>
      </c>
      <c r="AS1060" s="94">
        <f t="shared" si="381"/>
        <v>0</v>
      </c>
      <c r="AT1060" s="94">
        <f t="shared" si="382"/>
        <v>1.4180635029844986</v>
      </c>
      <c r="AU1060" s="94">
        <f t="shared" si="369"/>
        <v>0.20963123676907924</v>
      </c>
      <c r="AV1060" s="94">
        <f t="shared" si="370"/>
        <v>1.3655916425791472</v>
      </c>
    </row>
    <row r="1061" spans="1:48" x14ac:dyDescent="0.3">
      <c r="A1061" s="85" t="str">
        <f>_xlfn.XLOOKUP(B1061,'Country codes &amp; Data sources'!G:G,'Country codes &amp; Data sources'!H:H,,0)</f>
        <v>Cape-Verde</v>
      </c>
      <c r="B1061" s="85" t="s">
        <v>167</v>
      </c>
      <c r="C1061" s="85">
        <v>533876</v>
      </c>
      <c r="D1061" s="85" t="s">
        <v>338</v>
      </c>
      <c r="E1061" s="86">
        <v>0</v>
      </c>
      <c r="F1061" s="86">
        <v>539939.99999999988</v>
      </c>
      <c r="G1061" s="86">
        <v>0</v>
      </c>
      <c r="H1061" s="86"/>
      <c r="I1061" s="86">
        <v>0</v>
      </c>
      <c r="J1061" s="86"/>
      <c r="K1061" s="86">
        <v>0</v>
      </c>
      <c r="L1061" s="86"/>
      <c r="M1061" s="86">
        <v>0</v>
      </c>
      <c r="N1061" s="86"/>
      <c r="O1061" s="86">
        <v>0</v>
      </c>
      <c r="P1061" s="86">
        <v>571201.5</v>
      </c>
      <c r="Q1061" s="86">
        <v>0</v>
      </c>
      <c r="R1061" s="87">
        <f t="shared" si="368"/>
        <v>0</v>
      </c>
      <c r="T1061" s="87">
        <v>74</v>
      </c>
      <c r="U1061" s="89"/>
      <c r="V1061" s="89">
        <v>0</v>
      </c>
      <c r="W1061" s="90"/>
      <c r="X1061" s="90">
        <v>0</v>
      </c>
      <c r="Y1061" s="90">
        <v>593149.50000000012</v>
      </c>
      <c r="Z1061" s="90">
        <v>0</v>
      </c>
      <c r="AA1061" s="90">
        <v>0</v>
      </c>
      <c r="AB1061" s="89">
        <f t="shared" si="371"/>
        <v>0</v>
      </c>
      <c r="AC1061" s="89">
        <f t="shared" si="372"/>
        <v>74</v>
      </c>
      <c r="AD1061" s="89">
        <f t="shared" si="373"/>
        <v>0</v>
      </c>
      <c r="AF1061" s="90" t="str">
        <f t="shared" si="374"/>
        <v/>
      </c>
      <c r="AG1061" s="90">
        <f t="shared" si="384"/>
        <v>74</v>
      </c>
      <c r="AH1061" s="90">
        <f t="shared" si="375"/>
        <v>2019</v>
      </c>
      <c r="AI1061" s="90">
        <f t="shared" si="376"/>
        <v>74</v>
      </c>
      <c r="AJ1061" s="90">
        <f t="shared" si="377"/>
        <v>2019</v>
      </c>
      <c r="AK1061" s="90" t="str">
        <f t="shared" si="378"/>
        <v/>
      </c>
      <c r="AL1061" s="91">
        <f>IF(AK1061="Adjust",(_xlfn.XLOOKUP(A1061,'Adj factor'!A:A,'Adj factor'!I:I,,0)*AI1061),'Master DataSheet (Rev)'!AI1061)</f>
        <v>74</v>
      </c>
      <c r="AM1061" s="91">
        <f t="shared" si="379"/>
        <v>74</v>
      </c>
      <c r="AN1061" s="92" t="str">
        <f t="shared" si="380"/>
        <v>No change</v>
      </c>
      <c r="AS1061" s="94">
        <f t="shared" si="381"/>
        <v>0</v>
      </c>
      <c r="AT1061" s="94">
        <f t="shared" si="382"/>
        <v>1.2955148051957146</v>
      </c>
      <c r="AU1061" s="94">
        <f t="shared" si="369"/>
        <v>1.2475775500105788</v>
      </c>
      <c r="AV1061" s="94">
        <f t="shared" si="370"/>
        <v>1.2475775500105788</v>
      </c>
    </row>
    <row r="1062" spans="1:48" x14ac:dyDescent="0.3">
      <c r="A1062" s="85" t="str">
        <f>_xlfn.XLOOKUP(B1062,'Country codes &amp; Data sources'!G:G,'Country codes &amp; Data sources'!H:H,,0)</f>
        <v>Cape-Verde</v>
      </c>
      <c r="B1062" s="85" t="s">
        <v>167</v>
      </c>
      <c r="C1062" s="85">
        <v>533877</v>
      </c>
      <c r="D1062" s="85" t="s">
        <v>339</v>
      </c>
      <c r="E1062" s="86">
        <v>0</v>
      </c>
      <c r="F1062" s="86">
        <v>539939.99999999988</v>
      </c>
      <c r="G1062" s="86">
        <v>0</v>
      </c>
      <c r="H1062" s="86"/>
      <c r="I1062" s="86">
        <v>0</v>
      </c>
      <c r="J1062" s="86"/>
      <c r="K1062" s="86">
        <v>0</v>
      </c>
      <c r="L1062" s="86"/>
      <c r="M1062" s="86">
        <v>0</v>
      </c>
      <c r="N1062" s="86"/>
      <c r="O1062" s="86">
        <v>0</v>
      </c>
      <c r="P1062" s="86">
        <v>571201.5</v>
      </c>
      <c r="Q1062" s="86">
        <v>0</v>
      </c>
      <c r="R1062" s="87">
        <f t="shared" si="368"/>
        <v>0</v>
      </c>
      <c r="T1062" s="87">
        <v>0</v>
      </c>
      <c r="U1062" s="89"/>
      <c r="V1062" s="89">
        <v>0</v>
      </c>
      <c r="W1062" s="90"/>
      <c r="X1062" s="90">
        <v>0</v>
      </c>
      <c r="Y1062" s="90">
        <v>593149.50000000012</v>
      </c>
      <c r="Z1062" s="90">
        <v>0</v>
      </c>
      <c r="AA1062" s="90">
        <v>0</v>
      </c>
      <c r="AB1062" s="89">
        <f t="shared" si="371"/>
        <v>0</v>
      </c>
      <c r="AC1062" s="89">
        <f t="shared" si="372"/>
        <v>0</v>
      </c>
      <c r="AD1062" s="89">
        <f t="shared" si="373"/>
        <v>0</v>
      </c>
      <c r="AF1062" s="90" t="str">
        <f t="shared" si="374"/>
        <v/>
      </c>
      <c r="AH1062" s="90" t="str">
        <f t="shared" si="375"/>
        <v/>
      </c>
      <c r="AI1062" s="90">
        <f t="shared" si="376"/>
        <v>0</v>
      </c>
      <c r="AJ1062" s="90" t="str">
        <f t="shared" si="377"/>
        <v/>
      </c>
      <c r="AK1062" s="90" t="str">
        <f t="shared" si="378"/>
        <v/>
      </c>
      <c r="AL1062" s="91"/>
      <c r="AM1062" s="91">
        <f t="shared" si="379"/>
        <v>0</v>
      </c>
      <c r="AN1062" s="92" t="str">
        <f t="shared" si="380"/>
        <v>No change</v>
      </c>
      <c r="AS1062" s="94">
        <f t="shared" si="381"/>
        <v>0</v>
      </c>
      <c r="AT1062" s="94">
        <f t="shared" si="382"/>
        <v>0</v>
      </c>
      <c r="AU1062" s="94">
        <f t="shared" si="369"/>
        <v>0</v>
      </c>
      <c r="AV1062" s="94">
        <f t="shared" si="370"/>
        <v>0</v>
      </c>
    </row>
    <row r="1063" spans="1:48" x14ac:dyDescent="0.3">
      <c r="A1063" s="85" t="str">
        <f>_xlfn.XLOOKUP(B1063,'Country codes &amp; Data sources'!G:G,'Country codes &amp; Data sources'!H:H,,0)</f>
        <v>Algeria</v>
      </c>
      <c r="B1063" s="85" t="s">
        <v>161</v>
      </c>
      <c r="C1063" s="85">
        <v>37260562.50000003</v>
      </c>
      <c r="D1063" s="85" t="s">
        <v>326</v>
      </c>
      <c r="E1063" s="86">
        <v>0</v>
      </c>
      <c r="F1063" s="86">
        <v>38000626.500000022</v>
      </c>
      <c r="G1063" s="86">
        <v>0</v>
      </c>
      <c r="H1063" s="86">
        <v>38760167.5</v>
      </c>
      <c r="I1063" s="86">
        <v>0</v>
      </c>
      <c r="J1063" s="86">
        <v>39543154.499999985</v>
      </c>
      <c r="K1063" s="86">
        <v>0</v>
      </c>
      <c r="L1063" s="86">
        <v>40339328.5</v>
      </c>
      <c r="M1063" s="86">
        <v>74309</v>
      </c>
      <c r="N1063" s="86">
        <v>41136545.999999985</v>
      </c>
      <c r="O1063" s="86">
        <v>0</v>
      </c>
      <c r="P1063" s="86">
        <v>41927007.000000007</v>
      </c>
      <c r="Q1063" s="86">
        <v>72604</v>
      </c>
      <c r="R1063" s="87">
        <f t="shared" si="368"/>
        <v>73168</v>
      </c>
      <c r="S1063" s="87">
        <v>42705368.50000003</v>
      </c>
      <c r="T1063" s="87">
        <v>42140</v>
      </c>
      <c r="U1063" s="89">
        <v>43451665.999999985</v>
      </c>
      <c r="V1063" s="89">
        <v>0</v>
      </c>
      <c r="W1063" s="90">
        <v>44177968.500000007</v>
      </c>
      <c r="X1063" s="90">
        <v>0</v>
      </c>
      <c r="Y1063" s="90">
        <v>44903225.000000007</v>
      </c>
      <c r="Z1063" s="90">
        <v>0</v>
      </c>
      <c r="AA1063" s="90">
        <v>73168</v>
      </c>
      <c r="AB1063" s="89">
        <f t="shared" si="371"/>
        <v>0</v>
      </c>
      <c r="AC1063" s="89">
        <f t="shared" si="372"/>
        <v>74309</v>
      </c>
      <c r="AD1063" s="89">
        <f t="shared" si="373"/>
        <v>0</v>
      </c>
      <c r="AF1063" s="90" t="str">
        <f t="shared" si="374"/>
        <v/>
      </c>
      <c r="AG1063" s="90">
        <f t="shared" si="384"/>
        <v>73168</v>
      </c>
      <c r="AH1063" s="90" t="str">
        <f t="shared" si="375"/>
        <v>2018 (triag)</v>
      </c>
      <c r="AI1063" s="90">
        <f t="shared" si="376"/>
        <v>42140</v>
      </c>
      <c r="AJ1063" s="90" t="str">
        <f t="shared" si="377"/>
        <v>2018 (triag)</v>
      </c>
      <c r="AK1063" s="90" t="str">
        <f t="shared" si="378"/>
        <v>Adjust</v>
      </c>
      <c r="AL1063" s="61">
        <v>75512</v>
      </c>
      <c r="AM1063" s="91">
        <f t="shared" si="379"/>
        <v>75512</v>
      </c>
      <c r="AN1063" s="92" t="str">
        <f t="shared" si="380"/>
        <v>Increasing</v>
      </c>
      <c r="AS1063" s="94">
        <f t="shared" si="381"/>
        <v>0</v>
      </c>
      <c r="AT1063" s="94">
        <f t="shared" si="382"/>
        <v>17.451281461612556</v>
      </c>
      <c r="AU1063" s="94">
        <f t="shared" si="369"/>
        <v>16.816609497424736</v>
      </c>
      <c r="AV1063" s="94">
        <f t="shared" si="370"/>
        <v>16.816609497424736</v>
      </c>
    </row>
    <row r="1064" spans="1:48" x14ac:dyDescent="0.3">
      <c r="A1064" s="85" t="str">
        <f>_xlfn.XLOOKUP(B1064,'Country codes &amp; Data sources'!G:G,'Country codes &amp; Data sources'!H:H,,0)</f>
        <v>Algeria</v>
      </c>
      <c r="B1064" s="85" t="s">
        <v>161</v>
      </c>
      <c r="C1064" s="85">
        <v>37260563.5</v>
      </c>
      <c r="D1064" s="85" t="s">
        <v>327</v>
      </c>
      <c r="E1064" s="86">
        <v>0</v>
      </c>
      <c r="F1064" s="86">
        <v>38000626.500000022</v>
      </c>
      <c r="G1064" s="86">
        <v>0</v>
      </c>
      <c r="H1064" s="86"/>
      <c r="I1064" s="86">
        <v>0</v>
      </c>
      <c r="J1064" s="86"/>
      <c r="K1064" s="86">
        <v>0</v>
      </c>
      <c r="L1064" s="86"/>
      <c r="M1064" s="86">
        <v>0</v>
      </c>
      <c r="N1064" s="86"/>
      <c r="O1064" s="86">
        <v>0</v>
      </c>
      <c r="P1064" s="86">
        <v>41927007.000000007</v>
      </c>
      <c r="Q1064" s="86">
        <v>32774</v>
      </c>
      <c r="R1064" s="87">
        <f t="shared" si="368"/>
        <v>34077</v>
      </c>
      <c r="T1064" s="87">
        <v>27560</v>
      </c>
      <c r="U1064" s="89"/>
      <c r="V1064" s="89">
        <v>0</v>
      </c>
      <c r="W1064" s="90"/>
      <c r="X1064" s="90">
        <v>0</v>
      </c>
      <c r="Y1064" s="90">
        <v>44903225.000000007</v>
      </c>
      <c r="Z1064" s="90">
        <v>0</v>
      </c>
      <c r="AA1064" s="90">
        <v>34077</v>
      </c>
      <c r="AB1064" s="89">
        <f t="shared" si="371"/>
        <v>0</v>
      </c>
      <c r="AC1064" s="89">
        <f t="shared" si="372"/>
        <v>32774</v>
      </c>
      <c r="AD1064" s="89">
        <f t="shared" si="373"/>
        <v>0</v>
      </c>
      <c r="AF1064" s="90" t="str">
        <f t="shared" si="374"/>
        <v/>
      </c>
      <c r="AG1064" s="90">
        <f t="shared" si="384"/>
        <v>34077</v>
      </c>
      <c r="AH1064" s="90" t="str">
        <f t="shared" si="375"/>
        <v>2018 (triag)</v>
      </c>
      <c r="AI1064" s="90">
        <f t="shared" si="376"/>
        <v>27560</v>
      </c>
      <c r="AJ1064" s="90" t="str">
        <f t="shared" si="377"/>
        <v>2018 (triag)</v>
      </c>
      <c r="AK1064" s="90" t="str">
        <f t="shared" si="378"/>
        <v>Adjust</v>
      </c>
      <c r="AL1064" s="61">
        <v>37679</v>
      </c>
      <c r="AM1064" s="91">
        <f t="shared" si="379"/>
        <v>37679</v>
      </c>
      <c r="AN1064" s="92" t="str">
        <f t="shared" si="380"/>
        <v>Increasing</v>
      </c>
      <c r="AS1064" s="94">
        <f t="shared" si="381"/>
        <v>0</v>
      </c>
      <c r="AT1064" s="94">
        <f t="shared" si="382"/>
        <v>8.1276967850340451</v>
      </c>
      <c r="AU1064" s="94">
        <f t="shared" si="369"/>
        <v>8.3911567598986476</v>
      </c>
      <c r="AV1064" s="94">
        <f t="shared" si="370"/>
        <v>8.3911567598986476</v>
      </c>
    </row>
    <row r="1065" spans="1:48" x14ac:dyDescent="0.3">
      <c r="A1065" s="85" t="str">
        <f>_xlfn.XLOOKUP(B1065,'Country codes &amp; Data sources'!G:G,'Country codes &amp; Data sources'!H:H,,0)</f>
        <v>Algeria</v>
      </c>
      <c r="B1065" s="85" t="s">
        <v>161</v>
      </c>
      <c r="C1065" s="85">
        <v>37260564.5</v>
      </c>
      <c r="D1065" s="85" t="s">
        <v>328</v>
      </c>
      <c r="E1065" s="86">
        <v>0</v>
      </c>
      <c r="F1065" s="86">
        <v>38000626.500000022</v>
      </c>
      <c r="G1065" s="86">
        <v>0</v>
      </c>
      <c r="H1065" s="86"/>
      <c r="I1065" s="86">
        <v>0</v>
      </c>
      <c r="J1065" s="86"/>
      <c r="K1065" s="86">
        <v>0</v>
      </c>
      <c r="L1065" s="86"/>
      <c r="M1065" s="86">
        <v>0</v>
      </c>
      <c r="N1065" s="86"/>
      <c r="O1065" s="86">
        <v>0</v>
      </c>
      <c r="P1065" s="86">
        <v>41927007.000000007</v>
      </c>
      <c r="Q1065" s="86">
        <v>39830</v>
      </c>
      <c r="R1065" s="87">
        <f t="shared" si="368"/>
        <v>39830</v>
      </c>
      <c r="T1065" s="87">
        <v>14580</v>
      </c>
      <c r="U1065" s="89"/>
      <c r="V1065" s="89">
        <v>0</v>
      </c>
      <c r="W1065" s="90"/>
      <c r="X1065" s="90">
        <v>0</v>
      </c>
      <c r="Y1065" s="90">
        <v>44903225.000000007</v>
      </c>
      <c r="Z1065" s="90">
        <v>0</v>
      </c>
      <c r="AA1065" s="90">
        <v>39091</v>
      </c>
      <c r="AB1065" s="89">
        <f t="shared" si="371"/>
        <v>0</v>
      </c>
      <c r="AC1065" s="89">
        <f t="shared" si="372"/>
        <v>39830</v>
      </c>
      <c r="AD1065" s="89">
        <f t="shared" si="373"/>
        <v>0</v>
      </c>
      <c r="AF1065" s="90" t="str">
        <f t="shared" si="374"/>
        <v/>
      </c>
      <c r="AG1065" s="90">
        <f t="shared" si="384"/>
        <v>39830</v>
      </c>
      <c r="AH1065" s="90">
        <f t="shared" si="375"/>
        <v>2018</v>
      </c>
      <c r="AI1065" s="90">
        <f t="shared" si="376"/>
        <v>14580</v>
      </c>
      <c r="AJ1065" s="90">
        <f t="shared" si="377"/>
        <v>2018</v>
      </c>
      <c r="AK1065" s="90" t="str">
        <f t="shared" si="378"/>
        <v>Adjust</v>
      </c>
      <c r="AL1065" s="61">
        <v>37833</v>
      </c>
      <c r="AM1065" s="91">
        <f t="shared" si="379"/>
        <v>39830</v>
      </c>
      <c r="AN1065" s="92" t="str">
        <f t="shared" si="380"/>
        <v>Decreasing</v>
      </c>
      <c r="AS1065" s="94">
        <f t="shared" si="381"/>
        <v>0</v>
      </c>
      <c r="AT1065" s="94">
        <f t="shared" si="382"/>
        <v>9.499843382572001</v>
      </c>
      <c r="AU1065" s="94">
        <f t="shared" si="369"/>
        <v>8.4254527375260899</v>
      </c>
      <c r="AV1065" s="94">
        <f t="shared" si="370"/>
        <v>8.8701869409157119</v>
      </c>
    </row>
    <row r="1066" spans="1:48" x14ac:dyDescent="0.3">
      <c r="A1066" s="85" t="str">
        <f>_xlfn.XLOOKUP(B1066,'Country codes &amp; Data sources'!G:G,'Country codes &amp; Data sources'!H:H,,0)</f>
        <v>Algeria</v>
      </c>
      <c r="B1066" s="85" t="s">
        <v>161</v>
      </c>
      <c r="C1066" s="85">
        <v>37260565.5</v>
      </c>
      <c r="D1066" s="85" t="s">
        <v>329</v>
      </c>
      <c r="E1066" s="86">
        <v>0</v>
      </c>
      <c r="F1066" s="86">
        <v>38000626.500000022</v>
      </c>
      <c r="G1066" s="86">
        <v>0</v>
      </c>
      <c r="H1066" s="86"/>
      <c r="I1066" s="86">
        <v>0</v>
      </c>
      <c r="J1066" s="86"/>
      <c r="K1066" s="86">
        <v>0</v>
      </c>
      <c r="L1066" s="86"/>
      <c r="M1066" s="86">
        <v>90958</v>
      </c>
      <c r="N1066" s="86"/>
      <c r="O1066" s="86">
        <v>92000</v>
      </c>
      <c r="P1066" s="86">
        <v>41927007.000000007</v>
      </c>
      <c r="Q1066" s="86">
        <v>56411</v>
      </c>
      <c r="R1066" s="87">
        <f t="shared" si="368"/>
        <v>57705</v>
      </c>
      <c r="T1066" s="87">
        <v>4425</v>
      </c>
      <c r="U1066" s="89"/>
      <c r="V1066" s="89">
        <v>0</v>
      </c>
      <c r="W1066" s="90"/>
      <c r="X1066" s="90">
        <v>0</v>
      </c>
      <c r="Y1066" s="90">
        <v>44903225.000000007</v>
      </c>
      <c r="Z1066" s="90">
        <v>0</v>
      </c>
      <c r="AA1066" s="90">
        <v>57705</v>
      </c>
      <c r="AB1066" s="89">
        <f t="shared" si="371"/>
        <v>0</v>
      </c>
      <c r="AC1066" s="89">
        <f t="shared" si="372"/>
        <v>92000</v>
      </c>
      <c r="AD1066" s="89">
        <f t="shared" si="373"/>
        <v>0</v>
      </c>
      <c r="AF1066" s="90" t="str">
        <f t="shared" si="374"/>
        <v/>
      </c>
      <c r="AG1066" s="90">
        <f t="shared" si="384"/>
        <v>57705</v>
      </c>
      <c r="AH1066" s="90" t="str">
        <f t="shared" si="375"/>
        <v>2018 (triag)</v>
      </c>
      <c r="AI1066" s="90">
        <f t="shared" si="376"/>
        <v>4425</v>
      </c>
      <c r="AJ1066" s="90" t="str">
        <f t="shared" si="377"/>
        <v>2018 (triag)</v>
      </c>
      <c r="AK1066" s="90" t="str">
        <f t="shared" si="378"/>
        <v>Adjust</v>
      </c>
      <c r="AL1066" s="61">
        <v>104776</v>
      </c>
      <c r="AM1066" s="91">
        <f t="shared" si="379"/>
        <v>104776</v>
      </c>
      <c r="AN1066" s="92" t="str">
        <f t="shared" si="380"/>
        <v>Increasing</v>
      </c>
      <c r="AS1066" s="94">
        <f t="shared" si="381"/>
        <v>0</v>
      </c>
      <c r="AT1066" s="94">
        <f t="shared" si="382"/>
        <v>13.763205181805606</v>
      </c>
      <c r="AU1066" s="94">
        <f t="shared" si="369"/>
        <v>23.333736051252441</v>
      </c>
      <c r="AV1066" s="94">
        <f t="shared" si="370"/>
        <v>23.333736051252441</v>
      </c>
    </row>
    <row r="1067" spans="1:48" x14ac:dyDescent="0.3">
      <c r="A1067" s="85" t="str">
        <f>_xlfn.XLOOKUP(B1067,'Country codes &amp; Data sources'!G:G,'Country codes &amp; Data sources'!H:H,,0)</f>
        <v>Algeria</v>
      </c>
      <c r="B1067" s="85" t="s">
        <v>161</v>
      </c>
      <c r="C1067" s="85">
        <v>37260566.5</v>
      </c>
      <c r="D1067" s="85" t="s">
        <v>330</v>
      </c>
      <c r="E1067" s="86">
        <v>0</v>
      </c>
      <c r="F1067" s="86">
        <v>38000626.500000022</v>
      </c>
      <c r="G1067" s="86">
        <v>0</v>
      </c>
      <c r="H1067" s="86"/>
      <c r="I1067" s="86">
        <v>0</v>
      </c>
      <c r="J1067" s="86"/>
      <c r="K1067" s="86">
        <v>0</v>
      </c>
      <c r="L1067" s="86"/>
      <c r="M1067" s="86">
        <v>0</v>
      </c>
      <c r="N1067" s="86"/>
      <c r="O1067" s="86">
        <v>0</v>
      </c>
      <c r="P1067" s="86">
        <v>41927007.000000007</v>
      </c>
      <c r="Q1067" s="86">
        <v>45173</v>
      </c>
      <c r="R1067" s="87">
        <f t="shared" si="368"/>
        <v>47676</v>
      </c>
      <c r="T1067" s="87">
        <v>4425</v>
      </c>
      <c r="U1067" s="89"/>
      <c r="V1067" s="89">
        <v>0</v>
      </c>
      <c r="W1067" s="90"/>
      <c r="X1067" s="90">
        <v>0</v>
      </c>
      <c r="Y1067" s="90">
        <v>44903225.000000007</v>
      </c>
      <c r="Z1067" s="90">
        <v>0</v>
      </c>
      <c r="AA1067" s="90">
        <v>47676</v>
      </c>
      <c r="AB1067" s="89">
        <f t="shared" si="371"/>
        <v>0</v>
      </c>
      <c r="AC1067" s="89">
        <f t="shared" si="372"/>
        <v>45173</v>
      </c>
      <c r="AD1067" s="89">
        <f t="shared" si="373"/>
        <v>0</v>
      </c>
      <c r="AF1067" s="90" t="str">
        <f t="shared" si="374"/>
        <v/>
      </c>
      <c r="AG1067" s="90">
        <f t="shared" si="384"/>
        <v>47676</v>
      </c>
      <c r="AH1067" s="90" t="str">
        <f t="shared" si="375"/>
        <v>2018 (triag)</v>
      </c>
      <c r="AI1067" s="90">
        <f t="shared" si="376"/>
        <v>4425</v>
      </c>
      <c r="AJ1067" s="90" t="str">
        <f t="shared" si="377"/>
        <v>2018 (triag)</v>
      </c>
      <c r="AK1067" s="90" t="str">
        <f t="shared" si="378"/>
        <v>Adjust</v>
      </c>
      <c r="AL1067" s="91">
        <f>IF(AK1067="Adjust",(_xlfn.XLOOKUP(A1067,'Adj factor'!A:A,'Adj factor'!I:I,,0)*AI1067),'Master DataSheet (Rev)'!AI1067)</f>
        <v>5043.8935155116633</v>
      </c>
      <c r="AM1067" s="91">
        <f t="shared" si="379"/>
        <v>47676</v>
      </c>
      <c r="AN1067" s="92" t="str">
        <f t="shared" si="380"/>
        <v>Decreasing</v>
      </c>
      <c r="AS1067" s="94">
        <f t="shared" si="381"/>
        <v>0</v>
      </c>
      <c r="AT1067" s="94">
        <f t="shared" si="382"/>
        <v>11.371190888965671</v>
      </c>
      <c r="AU1067" s="94">
        <f t="shared" si="369"/>
        <v>1.1232809036570675</v>
      </c>
      <c r="AV1067" s="94">
        <f t="shared" si="370"/>
        <v>10.617500190687862</v>
      </c>
    </row>
    <row r="1068" spans="1:48" x14ac:dyDescent="0.3">
      <c r="A1068" s="85" t="str">
        <f>_xlfn.XLOOKUP(B1068,'Country codes &amp; Data sources'!G:G,'Country codes &amp; Data sources'!H:H,,0)</f>
        <v>Algeria</v>
      </c>
      <c r="B1068" s="85" t="s">
        <v>161</v>
      </c>
      <c r="C1068" s="85">
        <v>37260567.5</v>
      </c>
      <c r="D1068" s="85" t="s">
        <v>331</v>
      </c>
      <c r="E1068" s="86">
        <v>0</v>
      </c>
      <c r="F1068" s="86">
        <v>38000626.500000022</v>
      </c>
      <c r="G1068" s="86">
        <v>0</v>
      </c>
      <c r="H1068" s="86"/>
      <c r="I1068" s="86">
        <v>0</v>
      </c>
      <c r="J1068" s="86"/>
      <c r="K1068" s="86">
        <v>0</v>
      </c>
      <c r="L1068" s="86"/>
      <c r="M1068" s="86">
        <v>0</v>
      </c>
      <c r="N1068" s="86"/>
      <c r="O1068" s="86">
        <v>0</v>
      </c>
      <c r="P1068" s="86">
        <v>41927007.000000007</v>
      </c>
      <c r="Q1068" s="86">
        <v>11238</v>
      </c>
      <c r="R1068" s="87">
        <f t="shared" si="368"/>
        <v>11238</v>
      </c>
      <c r="T1068" s="87">
        <v>0</v>
      </c>
      <c r="U1068" s="89"/>
      <c r="V1068" s="89">
        <v>0</v>
      </c>
      <c r="W1068" s="90"/>
      <c r="X1068" s="90">
        <v>0</v>
      </c>
      <c r="Y1068" s="90">
        <v>44903225.000000007</v>
      </c>
      <c r="Z1068" s="90">
        <v>0</v>
      </c>
      <c r="AA1068" s="90">
        <v>10029</v>
      </c>
      <c r="AB1068" s="89">
        <f t="shared" si="371"/>
        <v>0</v>
      </c>
      <c r="AC1068" s="89">
        <f t="shared" si="372"/>
        <v>11238</v>
      </c>
      <c r="AD1068" s="89">
        <f t="shared" si="373"/>
        <v>0</v>
      </c>
      <c r="AF1068" s="90" t="str">
        <f t="shared" si="374"/>
        <v/>
      </c>
      <c r="AG1068" s="90">
        <f t="shared" si="384"/>
        <v>11238</v>
      </c>
      <c r="AH1068" s="90">
        <f t="shared" si="375"/>
        <v>2018</v>
      </c>
      <c r="AI1068" s="90">
        <f t="shared" si="376"/>
        <v>11238</v>
      </c>
      <c r="AJ1068" s="90">
        <f t="shared" si="377"/>
        <v>2018</v>
      </c>
      <c r="AK1068" s="90" t="str">
        <f t="shared" si="378"/>
        <v/>
      </c>
      <c r="AL1068" s="91">
        <f>IF(AK1068="Adjust",(_xlfn.XLOOKUP(A1068,'Adj factor'!A:A,'Adj factor'!I:I,,0)*AI1068),'Master DataSheet (Rev)'!AI1068)</f>
        <v>11238</v>
      </c>
      <c r="AM1068" s="91">
        <f t="shared" si="379"/>
        <v>11238</v>
      </c>
      <c r="AN1068" s="92" t="str">
        <f t="shared" si="380"/>
        <v>No change</v>
      </c>
      <c r="AS1068" s="94">
        <f t="shared" si="381"/>
        <v>0</v>
      </c>
      <c r="AT1068" s="94">
        <f t="shared" si="382"/>
        <v>2.6803725818062802</v>
      </c>
      <c r="AU1068" s="94">
        <f t="shared" si="369"/>
        <v>2.5027155621895751</v>
      </c>
      <c r="AV1068" s="94">
        <f t="shared" si="370"/>
        <v>2.5027155621895751</v>
      </c>
    </row>
    <row r="1069" spans="1:48" x14ac:dyDescent="0.3">
      <c r="A1069" s="85" t="str">
        <f>_xlfn.XLOOKUP(B1069,'Country codes &amp; Data sources'!G:G,'Country codes &amp; Data sources'!H:H,,0)</f>
        <v>Algeria</v>
      </c>
      <c r="B1069" s="85" t="s">
        <v>161</v>
      </c>
      <c r="C1069" s="85">
        <v>37260568.5</v>
      </c>
      <c r="D1069" s="85" t="s">
        <v>332</v>
      </c>
      <c r="E1069" s="86">
        <v>0</v>
      </c>
      <c r="F1069" s="86">
        <v>38000626.500000022</v>
      </c>
      <c r="G1069" s="86">
        <v>0</v>
      </c>
      <c r="H1069" s="86"/>
      <c r="I1069" s="86">
        <v>11139</v>
      </c>
      <c r="J1069" s="86"/>
      <c r="K1069" s="86">
        <v>0</v>
      </c>
      <c r="L1069" s="86"/>
      <c r="M1069" s="86">
        <v>0</v>
      </c>
      <c r="N1069" s="86"/>
      <c r="O1069" s="86">
        <v>0</v>
      </c>
      <c r="P1069" s="86">
        <v>41927007.000000007</v>
      </c>
      <c r="Q1069" s="86">
        <v>8948</v>
      </c>
      <c r="R1069" s="87">
        <f t="shared" si="368"/>
        <v>8948</v>
      </c>
      <c r="T1069" s="87">
        <v>9070</v>
      </c>
      <c r="U1069" s="89"/>
      <c r="V1069" s="89">
        <v>0</v>
      </c>
      <c r="W1069" s="90"/>
      <c r="X1069" s="90">
        <v>0</v>
      </c>
      <c r="Y1069" s="90">
        <v>44903225.000000007</v>
      </c>
      <c r="Z1069" s="90">
        <v>0</v>
      </c>
      <c r="AA1069" s="90">
        <v>8620</v>
      </c>
      <c r="AB1069" s="89">
        <f t="shared" si="371"/>
        <v>11139</v>
      </c>
      <c r="AC1069" s="89">
        <f t="shared" si="372"/>
        <v>9070</v>
      </c>
      <c r="AD1069" s="89">
        <f t="shared" si="373"/>
        <v>0</v>
      </c>
      <c r="AE1069" s="90">
        <f t="shared" si="383"/>
        <v>11139</v>
      </c>
      <c r="AF1069" s="90">
        <f t="shared" si="374"/>
        <v>2014</v>
      </c>
      <c r="AG1069" s="90">
        <f t="shared" si="384"/>
        <v>8948</v>
      </c>
      <c r="AH1069" s="90">
        <f t="shared" si="375"/>
        <v>2018</v>
      </c>
      <c r="AI1069" s="90">
        <f t="shared" si="376"/>
        <v>9070</v>
      </c>
      <c r="AJ1069" s="90">
        <f t="shared" si="377"/>
        <v>2018</v>
      </c>
      <c r="AK1069" s="90" t="str">
        <f t="shared" si="378"/>
        <v/>
      </c>
      <c r="AL1069" s="91">
        <f>IF(AK1069="Adjust",(_xlfn.XLOOKUP(A1069,'Adj factor'!A:A,'Adj factor'!I:I,,0)*AI1069),'Master DataSheet (Rev)'!AI1069)</f>
        <v>9070</v>
      </c>
      <c r="AM1069" s="91">
        <f t="shared" si="379"/>
        <v>9070</v>
      </c>
      <c r="AN1069" s="92" t="str">
        <f t="shared" si="380"/>
        <v>Increasing</v>
      </c>
      <c r="AS1069" s="94">
        <f t="shared" si="381"/>
        <v>2.931267462129866</v>
      </c>
      <c r="AT1069" s="94">
        <f t="shared" si="382"/>
        <v>2.1341852520023665</v>
      </c>
      <c r="AU1069" s="94">
        <f t="shared" si="369"/>
        <v>2.019899461564286</v>
      </c>
      <c r="AV1069" s="94">
        <f t="shared" si="370"/>
        <v>2.019899461564286</v>
      </c>
    </row>
    <row r="1070" spans="1:48" x14ac:dyDescent="0.3">
      <c r="A1070" s="85" t="str">
        <f>_xlfn.XLOOKUP(B1070,'Country codes &amp; Data sources'!G:G,'Country codes &amp; Data sources'!H:H,,0)</f>
        <v>Algeria</v>
      </c>
      <c r="B1070" s="85" t="s">
        <v>161</v>
      </c>
      <c r="C1070" s="85">
        <v>37260569.5</v>
      </c>
      <c r="D1070" s="85" t="s">
        <v>333</v>
      </c>
      <c r="E1070" s="86">
        <v>0</v>
      </c>
      <c r="F1070" s="86">
        <v>38000626.500000022</v>
      </c>
      <c r="G1070" s="86">
        <v>0</v>
      </c>
      <c r="H1070" s="86"/>
      <c r="I1070" s="86">
        <v>9404</v>
      </c>
      <c r="J1070" s="86"/>
      <c r="K1070" s="86">
        <v>0</v>
      </c>
      <c r="L1070" s="86"/>
      <c r="M1070" s="86">
        <v>0</v>
      </c>
      <c r="N1070" s="86"/>
      <c r="O1070" s="86">
        <v>0</v>
      </c>
      <c r="P1070" s="86">
        <v>41927007.000000007</v>
      </c>
      <c r="Q1070" s="86">
        <v>8739</v>
      </c>
      <c r="R1070" s="87">
        <f t="shared" si="368"/>
        <v>8739</v>
      </c>
      <c r="T1070" s="87">
        <v>9070</v>
      </c>
      <c r="U1070" s="89"/>
      <c r="V1070" s="89">
        <v>0</v>
      </c>
      <c r="W1070" s="90"/>
      <c r="X1070" s="90">
        <v>0</v>
      </c>
      <c r="Y1070" s="90">
        <v>44903225.000000007</v>
      </c>
      <c r="Z1070" s="90">
        <v>0</v>
      </c>
      <c r="AA1070" s="90">
        <v>8582</v>
      </c>
      <c r="AB1070" s="89">
        <f t="shared" si="371"/>
        <v>9404</v>
      </c>
      <c r="AC1070" s="89">
        <f t="shared" si="372"/>
        <v>9070</v>
      </c>
      <c r="AD1070" s="89">
        <f t="shared" si="373"/>
        <v>0</v>
      </c>
      <c r="AE1070" s="90">
        <f t="shared" si="383"/>
        <v>9404</v>
      </c>
      <c r="AF1070" s="90">
        <f t="shared" si="374"/>
        <v>2014</v>
      </c>
      <c r="AG1070" s="90">
        <f t="shared" si="384"/>
        <v>8739</v>
      </c>
      <c r="AH1070" s="90">
        <f t="shared" si="375"/>
        <v>2018</v>
      </c>
      <c r="AI1070" s="90">
        <f t="shared" si="376"/>
        <v>9070</v>
      </c>
      <c r="AJ1070" s="90">
        <f t="shared" si="377"/>
        <v>2018</v>
      </c>
      <c r="AK1070" s="90" t="str">
        <f t="shared" si="378"/>
        <v/>
      </c>
      <c r="AL1070" s="91">
        <f>IF(AK1070="Adjust",(_xlfn.XLOOKUP(A1070,'Adj factor'!A:A,'Adj factor'!I:I,,0)*AI1070),'Master DataSheet (Rev)'!AI1070)</f>
        <v>9070</v>
      </c>
      <c r="AM1070" s="91">
        <f t="shared" si="379"/>
        <v>9070</v>
      </c>
      <c r="AN1070" s="92" t="str">
        <f t="shared" si="380"/>
        <v>Increasing</v>
      </c>
      <c r="AS1070" s="94">
        <f t="shared" si="381"/>
        <v>2.4746960421823556</v>
      </c>
      <c r="AT1070" s="94">
        <f t="shared" si="382"/>
        <v>2.0843367140420965</v>
      </c>
      <c r="AU1070" s="94">
        <f t="shared" si="369"/>
        <v>2.019899461564286</v>
      </c>
      <c r="AV1070" s="94">
        <f t="shared" si="370"/>
        <v>2.019899461564286</v>
      </c>
    </row>
    <row r="1071" spans="1:48" x14ac:dyDescent="0.3">
      <c r="A1071" s="85" t="str">
        <f>_xlfn.XLOOKUP(B1071,'Country codes &amp; Data sources'!G:G,'Country codes &amp; Data sources'!H:H,,0)</f>
        <v>Algeria</v>
      </c>
      <c r="B1071" s="85" t="s">
        <v>161</v>
      </c>
      <c r="C1071" s="85">
        <v>37260570.5</v>
      </c>
      <c r="D1071" s="85" t="s">
        <v>334</v>
      </c>
      <c r="E1071" s="86">
        <v>0</v>
      </c>
      <c r="F1071" s="86">
        <v>38000626.500000022</v>
      </c>
      <c r="G1071" s="86">
        <v>0</v>
      </c>
      <c r="H1071" s="86"/>
      <c r="I1071" s="86">
        <v>1735</v>
      </c>
      <c r="J1071" s="86"/>
      <c r="K1071" s="86">
        <v>0</v>
      </c>
      <c r="L1071" s="86"/>
      <c r="M1071" s="86">
        <v>0</v>
      </c>
      <c r="N1071" s="86"/>
      <c r="O1071" s="86">
        <v>0</v>
      </c>
      <c r="P1071" s="86">
        <v>41927007.000000007</v>
      </c>
      <c r="Q1071" s="86">
        <v>209</v>
      </c>
      <c r="R1071" s="87">
        <f t="shared" si="368"/>
        <v>209</v>
      </c>
      <c r="T1071" s="87">
        <v>0</v>
      </c>
      <c r="U1071" s="89"/>
      <c r="V1071" s="89">
        <v>0</v>
      </c>
      <c r="W1071" s="90"/>
      <c r="X1071" s="90">
        <v>0</v>
      </c>
      <c r="Y1071" s="90">
        <v>44903225.000000007</v>
      </c>
      <c r="Z1071" s="90">
        <v>0</v>
      </c>
      <c r="AA1071" s="90">
        <v>38</v>
      </c>
      <c r="AB1071" s="89">
        <f t="shared" si="371"/>
        <v>1735</v>
      </c>
      <c r="AC1071" s="89">
        <f t="shared" si="372"/>
        <v>209</v>
      </c>
      <c r="AD1071" s="89">
        <f t="shared" si="373"/>
        <v>0</v>
      </c>
      <c r="AE1071" s="90">
        <f t="shared" si="383"/>
        <v>1735</v>
      </c>
      <c r="AF1071" s="90">
        <f t="shared" si="374"/>
        <v>2014</v>
      </c>
      <c r="AG1071" s="90">
        <f t="shared" si="384"/>
        <v>209</v>
      </c>
      <c r="AH1071" s="90">
        <f t="shared" si="375"/>
        <v>2018</v>
      </c>
      <c r="AI1071" s="90">
        <f t="shared" si="376"/>
        <v>209</v>
      </c>
      <c r="AJ1071" s="90">
        <f t="shared" si="377"/>
        <v>2018</v>
      </c>
      <c r="AK1071" s="90" t="str">
        <f t="shared" si="378"/>
        <v/>
      </c>
      <c r="AL1071" s="91">
        <f>IF(AK1071="Adjust",(_xlfn.XLOOKUP(A1071,'Adj factor'!A:A,'Adj factor'!I:I,,0)*AI1071),'Master DataSheet (Rev)'!AI1071)</f>
        <v>209</v>
      </c>
      <c r="AM1071" s="91">
        <f t="shared" si="379"/>
        <v>209</v>
      </c>
      <c r="AN1071" s="92" t="str">
        <f t="shared" si="380"/>
        <v>No change</v>
      </c>
      <c r="AS1071" s="94">
        <f t="shared" si="381"/>
        <v>0.45657141994751033</v>
      </c>
      <c r="AT1071" s="94">
        <f t="shared" si="382"/>
        <v>4.9848537960269848E-2</v>
      </c>
      <c r="AU1071" s="94">
        <f t="shared" si="369"/>
        <v>4.6544541065814307E-2</v>
      </c>
      <c r="AV1071" s="94">
        <f t="shared" si="370"/>
        <v>4.6544541065814307E-2</v>
      </c>
    </row>
    <row r="1072" spans="1:48" x14ac:dyDescent="0.3">
      <c r="A1072" s="85" t="str">
        <f>_xlfn.XLOOKUP(B1072,'Country codes &amp; Data sources'!G:G,'Country codes &amp; Data sources'!H:H,,0)</f>
        <v>Algeria</v>
      </c>
      <c r="B1072" s="85" t="s">
        <v>161</v>
      </c>
      <c r="C1072" s="85">
        <v>37260571.5</v>
      </c>
      <c r="D1072" s="85" t="s">
        <v>335</v>
      </c>
      <c r="E1072" s="86">
        <v>0</v>
      </c>
      <c r="F1072" s="86">
        <v>38000626.500000022</v>
      </c>
      <c r="G1072" s="86">
        <v>0</v>
      </c>
      <c r="H1072" s="86"/>
      <c r="I1072" s="86">
        <v>0</v>
      </c>
      <c r="J1072" s="86"/>
      <c r="K1072" s="86">
        <v>0</v>
      </c>
      <c r="L1072" s="86"/>
      <c r="M1072" s="86">
        <v>0</v>
      </c>
      <c r="N1072" s="86"/>
      <c r="O1072" s="86">
        <v>0</v>
      </c>
      <c r="P1072" s="86">
        <v>41927007.000000007</v>
      </c>
      <c r="Q1072" s="86">
        <v>18807</v>
      </c>
      <c r="R1072" s="87">
        <f t="shared" si="368"/>
        <v>18807</v>
      </c>
      <c r="T1072" s="87">
        <v>2156</v>
      </c>
      <c r="U1072" s="89"/>
      <c r="V1072" s="89">
        <v>0</v>
      </c>
      <c r="W1072" s="90"/>
      <c r="X1072" s="90">
        <v>0</v>
      </c>
      <c r="Y1072" s="90">
        <v>44903225.000000007</v>
      </c>
      <c r="Z1072" s="90">
        <v>0</v>
      </c>
      <c r="AA1072" s="90">
        <v>12570</v>
      </c>
      <c r="AB1072" s="89">
        <f t="shared" si="371"/>
        <v>0</v>
      </c>
      <c r="AC1072" s="89">
        <f t="shared" si="372"/>
        <v>18807</v>
      </c>
      <c r="AD1072" s="89">
        <f t="shared" si="373"/>
        <v>0</v>
      </c>
      <c r="AF1072" s="90" t="str">
        <f t="shared" si="374"/>
        <v/>
      </c>
      <c r="AG1072" s="90">
        <f t="shared" si="384"/>
        <v>18807</v>
      </c>
      <c r="AH1072" s="90">
        <f t="shared" si="375"/>
        <v>2018</v>
      </c>
      <c r="AI1072" s="90">
        <f t="shared" si="376"/>
        <v>2156</v>
      </c>
      <c r="AJ1072" s="90">
        <f t="shared" si="377"/>
        <v>2018</v>
      </c>
      <c r="AK1072" s="90" t="str">
        <f t="shared" si="378"/>
        <v>Adjust</v>
      </c>
      <c r="AL1072" s="61">
        <v>13642</v>
      </c>
      <c r="AM1072" s="91">
        <f t="shared" si="379"/>
        <v>18807</v>
      </c>
      <c r="AN1072" s="92" t="str">
        <f>IF(AL1072&gt;AG1072,"Increasing",IF(AL1072&lt;AG1072,"Decreasing","No change"))</f>
        <v>Decreasing</v>
      </c>
      <c r="AS1072" s="94">
        <f t="shared" si="381"/>
        <v>0</v>
      </c>
      <c r="AT1072" s="94">
        <f t="shared" si="382"/>
        <v>4.485652887171268</v>
      </c>
      <c r="AU1072" s="94">
        <f t="shared" si="369"/>
        <v>3.038089135023152</v>
      </c>
      <c r="AV1072" s="94">
        <f t="shared" si="370"/>
        <v>4.188340592463013</v>
      </c>
    </row>
    <row r="1073" spans="1:48" x14ac:dyDescent="0.3">
      <c r="A1073" s="85" t="str">
        <f>_xlfn.XLOOKUP(B1073,'Country codes &amp; Data sources'!G:G,'Country codes &amp; Data sources'!H:H,,0)</f>
        <v>Algeria</v>
      </c>
      <c r="B1073" s="85" t="s">
        <v>161</v>
      </c>
      <c r="C1073" s="85">
        <v>37260572.5</v>
      </c>
      <c r="D1073" s="85" t="s">
        <v>336</v>
      </c>
      <c r="E1073" s="86">
        <v>0</v>
      </c>
      <c r="F1073" s="86">
        <v>38000626.500000022</v>
      </c>
      <c r="G1073" s="86">
        <v>0</v>
      </c>
      <c r="H1073" s="86"/>
      <c r="I1073" s="86">
        <v>0</v>
      </c>
      <c r="J1073" s="86"/>
      <c r="K1073" s="86">
        <v>0</v>
      </c>
      <c r="L1073" s="86"/>
      <c r="M1073" s="86">
        <v>0</v>
      </c>
      <c r="N1073" s="86"/>
      <c r="O1073" s="86">
        <v>0</v>
      </c>
      <c r="P1073" s="86">
        <v>41927007.000000007</v>
      </c>
      <c r="Q1073" s="86">
        <v>880</v>
      </c>
      <c r="R1073" s="87">
        <f t="shared" si="368"/>
        <v>1536</v>
      </c>
      <c r="T1073" s="87">
        <v>0</v>
      </c>
      <c r="U1073" s="89"/>
      <c r="V1073" s="89">
        <v>0</v>
      </c>
      <c r="W1073" s="90"/>
      <c r="X1073" s="90">
        <v>0</v>
      </c>
      <c r="Y1073" s="90">
        <v>44903225.000000007</v>
      </c>
      <c r="Z1073" s="90">
        <v>0</v>
      </c>
      <c r="AA1073" s="90">
        <v>1536</v>
      </c>
      <c r="AB1073" s="89">
        <f t="shared" si="371"/>
        <v>0</v>
      </c>
      <c r="AC1073" s="89">
        <f t="shared" si="372"/>
        <v>880</v>
      </c>
      <c r="AD1073" s="89">
        <f t="shared" si="373"/>
        <v>0</v>
      </c>
      <c r="AF1073" s="90" t="str">
        <f t="shared" si="374"/>
        <v/>
      </c>
      <c r="AG1073" s="90">
        <f t="shared" si="384"/>
        <v>1536</v>
      </c>
      <c r="AH1073" s="90" t="str">
        <f t="shared" si="375"/>
        <v>2018 (triag)</v>
      </c>
      <c r="AI1073" s="90">
        <f t="shared" si="376"/>
        <v>1536</v>
      </c>
      <c r="AJ1073" s="90" t="str">
        <f t="shared" si="377"/>
        <v>2018 (triag)</v>
      </c>
      <c r="AK1073" s="90" t="str">
        <f t="shared" si="378"/>
        <v/>
      </c>
      <c r="AL1073" s="91">
        <f>IF(AK1073="Adjust",(_xlfn.XLOOKUP(A1073,'Adj factor'!A:A,'Adj factor'!I:I,,0)*AI1073),'Master DataSheet (Rev)'!AI1073)</f>
        <v>1536</v>
      </c>
      <c r="AM1073" s="91">
        <f t="shared" si="379"/>
        <v>1536</v>
      </c>
      <c r="AN1073" s="92" t="str">
        <f t="shared" si="380"/>
        <v>No change</v>
      </c>
      <c r="AS1073" s="94">
        <f t="shared" si="381"/>
        <v>0</v>
      </c>
      <c r="AT1073" s="94">
        <f t="shared" si="382"/>
        <v>0.36635097754533247</v>
      </c>
      <c r="AU1073" s="94">
        <f t="shared" si="369"/>
        <v>0.34206897166072142</v>
      </c>
      <c r="AV1073" s="94">
        <f t="shared" si="370"/>
        <v>0.34206897166072142</v>
      </c>
    </row>
    <row r="1074" spans="1:48" x14ac:dyDescent="0.3">
      <c r="A1074" s="85" t="str">
        <f>_xlfn.XLOOKUP(B1074,'Country codes &amp; Data sources'!G:G,'Country codes &amp; Data sources'!H:H,,0)</f>
        <v>Algeria</v>
      </c>
      <c r="B1074" s="85" t="s">
        <v>161</v>
      </c>
      <c r="C1074" s="85">
        <v>37260573.5</v>
      </c>
      <c r="D1074" s="85" t="s">
        <v>337</v>
      </c>
      <c r="E1074" s="86">
        <v>0</v>
      </c>
      <c r="F1074" s="86">
        <v>38000626.500000022</v>
      </c>
      <c r="G1074" s="86">
        <v>0</v>
      </c>
      <c r="H1074" s="86"/>
      <c r="I1074" s="86">
        <v>0</v>
      </c>
      <c r="J1074" s="86"/>
      <c r="K1074" s="86">
        <v>0</v>
      </c>
      <c r="L1074" s="86"/>
      <c r="M1074" s="86">
        <v>0</v>
      </c>
      <c r="N1074" s="86"/>
      <c r="O1074" s="86">
        <v>14263</v>
      </c>
      <c r="P1074" s="86">
        <v>41927007.000000007</v>
      </c>
      <c r="Q1074" s="86">
        <v>15437</v>
      </c>
      <c r="R1074" s="87">
        <f t="shared" si="368"/>
        <v>15437</v>
      </c>
      <c r="T1074" s="87">
        <v>7018</v>
      </c>
      <c r="U1074" s="89"/>
      <c r="V1074" s="89">
        <v>0</v>
      </c>
      <c r="W1074" s="90"/>
      <c r="X1074" s="90">
        <v>0</v>
      </c>
      <c r="Y1074" s="90">
        <v>44903225.000000007</v>
      </c>
      <c r="Z1074" s="90">
        <v>0</v>
      </c>
      <c r="AA1074" s="90">
        <v>12774</v>
      </c>
      <c r="AB1074" s="89">
        <f t="shared" si="371"/>
        <v>0</v>
      </c>
      <c r="AC1074" s="89">
        <f t="shared" si="372"/>
        <v>15437</v>
      </c>
      <c r="AD1074" s="89">
        <f t="shared" si="373"/>
        <v>0</v>
      </c>
      <c r="AF1074" s="90" t="str">
        <f t="shared" si="374"/>
        <v/>
      </c>
      <c r="AG1074" s="90">
        <f t="shared" si="384"/>
        <v>15437</v>
      </c>
      <c r="AH1074" s="90">
        <f t="shared" si="375"/>
        <v>2018</v>
      </c>
      <c r="AI1074" s="90">
        <f t="shared" si="376"/>
        <v>7018</v>
      </c>
      <c r="AJ1074" s="90">
        <f t="shared" si="377"/>
        <v>2018</v>
      </c>
      <c r="AK1074" s="90" t="str">
        <f t="shared" si="378"/>
        <v>Adjust</v>
      </c>
      <c r="AL1074" s="61">
        <v>16223</v>
      </c>
      <c r="AM1074" s="91">
        <f t="shared" si="379"/>
        <v>16223</v>
      </c>
      <c r="AN1074" s="92" t="str">
        <f t="shared" si="380"/>
        <v>Increasing</v>
      </c>
      <c r="AS1074" s="94">
        <f t="shared" si="381"/>
        <v>0</v>
      </c>
      <c r="AT1074" s="94">
        <f t="shared" si="382"/>
        <v>3.6818750262807924</v>
      </c>
      <c r="AU1074" s="94">
        <f t="shared" si="369"/>
        <v>3.612880812012945</v>
      </c>
      <c r="AV1074" s="94">
        <f t="shared" si="370"/>
        <v>3.612880812012945</v>
      </c>
    </row>
    <row r="1075" spans="1:48" x14ac:dyDescent="0.3">
      <c r="A1075" s="85" t="str">
        <f>_xlfn.XLOOKUP(B1075,'Country codes &amp; Data sources'!G:G,'Country codes &amp; Data sources'!H:H,,0)</f>
        <v>Algeria</v>
      </c>
      <c r="B1075" s="85" t="s">
        <v>161</v>
      </c>
      <c r="C1075" s="85">
        <v>37260574.5</v>
      </c>
      <c r="D1075" s="85" t="s">
        <v>338</v>
      </c>
      <c r="E1075" s="86">
        <v>0</v>
      </c>
      <c r="F1075" s="86">
        <v>38000626.500000022</v>
      </c>
      <c r="G1075" s="86">
        <v>0</v>
      </c>
      <c r="H1075" s="86"/>
      <c r="I1075" s="86">
        <v>0</v>
      </c>
      <c r="J1075" s="86"/>
      <c r="K1075" s="86">
        <v>0</v>
      </c>
      <c r="L1075" s="86"/>
      <c r="M1075" s="86">
        <v>0</v>
      </c>
      <c r="N1075" s="86"/>
      <c r="O1075" s="86">
        <v>0</v>
      </c>
      <c r="P1075" s="86">
        <v>41927007.000000007</v>
      </c>
      <c r="Q1075" s="86">
        <v>46</v>
      </c>
      <c r="R1075" s="87">
        <f t="shared" si="368"/>
        <v>46</v>
      </c>
      <c r="T1075" s="87">
        <v>0</v>
      </c>
      <c r="U1075" s="89"/>
      <c r="V1075" s="89">
        <v>0</v>
      </c>
      <c r="W1075" s="90"/>
      <c r="X1075" s="90">
        <v>0</v>
      </c>
      <c r="Y1075" s="90">
        <v>44903225.000000007</v>
      </c>
      <c r="Z1075" s="90">
        <v>0</v>
      </c>
      <c r="AA1075" s="90">
        <v>7</v>
      </c>
      <c r="AB1075" s="89">
        <f t="shared" si="371"/>
        <v>0</v>
      </c>
      <c r="AC1075" s="89">
        <f t="shared" si="372"/>
        <v>46</v>
      </c>
      <c r="AD1075" s="89">
        <f t="shared" si="373"/>
        <v>0</v>
      </c>
      <c r="AF1075" s="90" t="str">
        <f t="shared" si="374"/>
        <v/>
      </c>
      <c r="AG1075" s="90">
        <f t="shared" si="384"/>
        <v>46</v>
      </c>
      <c r="AH1075" s="90">
        <f t="shared" si="375"/>
        <v>2018</v>
      </c>
      <c r="AI1075" s="90">
        <f t="shared" si="376"/>
        <v>46</v>
      </c>
      <c r="AJ1075" s="90">
        <f t="shared" si="377"/>
        <v>2018</v>
      </c>
      <c r="AK1075" s="90" t="str">
        <f t="shared" si="378"/>
        <v/>
      </c>
      <c r="AL1075" s="91">
        <f>IF(AK1075="Adjust",(_xlfn.XLOOKUP(A1075,'Adj factor'!A:A,'Adj factor'!I:I,,0)*AI1075),'Master DataSheet (Rev)'!AI1075)</f>
        <v>46</v>
      </c>
      <c r="AM1075" s="91">
        <f t="shared" si="379"/>
        <v>46</v>
      </c>
      <c r="AN1075" s="92" t="str">
        <f t="shared" si="380"/>
        <v>No change</v>
      </c>
      <c r="AS1075" s="94">
        <f t="shared" si="381"/>
        <v>0</v>
      </c>
      <c r="AT1075" s="94">
        <f t="shared" si="382"/>
        <v>1.0971448546279489E-2</v>
      </c>
      <c r="AU1075" s="94">
        <f t="shared" si="369"/>
        <v>1.0244253057547647E-2</v>
      </c>
      <c r="AV1075" s="94">
        <f t="shared" si="370"/>
        <v>1.0244253057547647E-2</v>
      </c>
    </row>
    <row r="1076" spans="1:48" x14ac:dyDescent="0.3">
      <c r="A1076" s="85" t="str">
        <f>_xlfn.XLOOKUP(B1076,'Country codes &amp; Data sources'!G:G,'Country codes &amp; Data sources'!H:H,,0)</f>
        <v>Algeria</v>
      </c>
      <c r="B1076" s="85" t="s">
        <v>161</v>
      </c>
      <c r="C1076" s="85">
        <v>37260575.5</v>
      </c>
      <c r="D1076" s="85" t="s">
        <v>339</v>
      </c>
      <c r="E1076" s="86">
        <v>0</v>
      </c>
      <c r="F1076" s="86">
        <v>38000626.500000022</v>
      </c>
      <c r="G1076" s="86">
        <v>0</v>
      </c>
      <c r="H1076" s="86"/>
      <c r="I1076" s="86">
        <v>0</v>
      </c>
      <c r="J1076" s="86"/>
      <c r="K1076" s="86">
        <v>0</v>
      </c>
      <c r="L1076" s="86"/>
      <c r="M1076" s="86">
        <v>0</v>
      </c>
      <c r="N1076" s="86"/>
      <c r="O1076" s="86">
        <v>0</v>
      </c>
      <c r="P1076" s="86">
        <v>41927007.000000007</v>
      </c>
      <c r="Q1076" s="86">
        <v>4403</v>
      </c>
      <c r="R1076" s="87">
        <f t="shared" si="368"/>
        <v>4403</v>
      </c>
      <c r="T1076" s="87">
        <v>0</v>
      </c>
      <c r="U1076" s="89"/>
      <c r="V1076" s="89">
        <v>0</v>
      </c>
      <c r="W1076" s="90"/>
      <c r="X1076" s="90">
        <v>0</v>
      </c>
      <c r="Y1076" s="90">
        <v>44903225.000000007</v>
      </c>
      <c r="Z1076" s="90">
        <v>0</v>
      </c>
      <c r="AA1076" s="90">
        <v>0</v>
      </c>
      <c r="AB1076" s="89">
        <f t="shared" si="371"/>
        <v>0</v>
      </c>
      <c r="AC1076" s="89">
        <f t="shared" si="372"/>
        <v>4403</v>
      </c>
      <c r="AD1076" s="89">
        <f t="shared" si="373"/>
        <v>0</v>
      </c>
      <c r="AF1076" s="90" t="str">
        <f t="shared" si="374"/>
        <v/>
      </c>
      <c r="AG1076" s="90">
        <f t="shared" si="384"/>
        <v>4403</v>
      </c>
      <c r="AH1076" s="90">
        <f t="shared" si="375"/>
        <v>2018</v>
      </c>
      <c r="AI1076" s="90">
        <f t="shared" si="376"/>
        <v>4403</v>
      </c>
      <c r="AJ1076" s="90">
        <f t="shared" si="377"/>
        <v>2018</v>
      </c>
      <c r="AK1076" s="90" t="str">
        <f t="shared" si="378"/>
        <v/>
      </c>
      <c r="AL1076" s="91">
        <f>IF(AK1076="Adjust",(_xlfn.XLOOKUP(A1076,'Adj factor'!A:A,'Adj factor'!I:I,,0)*AI1076),'Master DataSheet (Rev)'!AI1076)</f>
        <v>4403</v>
      </c>
      <c r="AM1076" s="91">
        <f t="shared" si="379"/>
        <v>4403</v>
      </c>
      <c r="AN1076" s="92" t="str">
        <f t="shared" si="380"/>
        <v>No change</v>
      </c>
      <c r="AS1076" s="94">
        <f t="shared" si="381"/>
        <v>0</v>
      </c>
      <c r="AT1076" s="94">
        <f t="shared" si="382"/>
        <v>1.0501584336797518</v>
      </c>
      <c r="AU1076" s="94">
        <f t="shared" si="369"/>
        <v>0.98055317853004975</v>
      </c>
      <c r="AV1076" s="94">
        <f t="shared" si="370"/>
        <v>0.98055317853004975</v>
      </c>
    </row>
    <row r="1077" spans="1:48" x14ac:dyDescent="0.3">
      <c r="A1077" s="85" t="str">
        <f>_xlfn.XLOOKUP(B1077,'Country codes &amp; Data sources'!G:G,'Country codes &amp; Data sources'!H:H,,0)</f>
        <v>Eritrea</v>
      </c>
      <c r="B1077" s="85" t="s">
        <v>194</v>
      </c>
      <c r="C1077" s="85">
        <v>3252595.9999999991</v>
      </c>
      <c r="D1077" s="85" t="s">
        <v>326</v>
      </c>
      <c r="E1077" s="86">
        <v>153</v>
      </c>
      <c r="F1077" s="86">
        <v>3296367</v>
      </c>
      <c r="G1077" s="86">
        <v>172</v>
      </c>
      <c r="H1077" s="86">
        <v>3323425.0000000009</v>
      </c>
      <c r="I1077" s="86">
        <v>204</v>
      </c>
      <c r="J1077" s="86">
        <v>3340005.9999999991</v>
      </c>
      <c r="K1077" s="86">
        <v>212</v>
      </c>
      <c r="L1077" s="86">
        <v>3365287.5000000014</v>
      </c>
      <c r="M1077" s="86">
        <v>226</v>
      </c>
      <c r="N1077" s="86">
        <v>3396933.0000000019</v>
      </c>
      <c r="O1077" s="86">
        <v>224</v>
      </c>
      <c r="P1077" s="86">
        <v>3445374.4999999986</v>
      </c>
      <c r="Q1077" s="86">
        <v>280</v>
      </c>
      <c r="R1077" s="87">
        <f t="shared" si="368"/>
        <v>280</v>
      </c>
      <c r="S1077" s="87">
        <v>3498818.0000000014</v>
      </c>
      <c r="T1077" s="87">
        <v>248</v>
      </c>
      <c r="U1077" s="89">
        <v>3555867.9999999991</v>
      </c>
      <c r="V1077" s="89">
        <v>291</v>
      </c>
      <c r="W1077" s="90">
        <v>3620312.0000000023</v>
      </c>
      <c r="X1077" s="90">
        <v>286</v>
      </c>
      <c r="Y1077" s="90">
        <v>3684031.5000000019</v>
      </c>
      <c r="Z1077" s="90">
        <v>260</v>
      </c>
      <c r="AA1077" s="90">
        <v>280</v>
      </c>
      <c r="AB1077" s="89">
        <f t="shared" si="371"/>
        <v>212</v>
      </c>
      <c r="AC1077" s="89">
        <f t="shared" si="372"/>
        <v>280</v>
      </c>
      <c r="AD1077" s="89">
        <f t="shared" si="373"/>
        <v>291</v>
      </c>
      <c r="AE1077" s="90">
        <f t="shared" si="383"/>
        <v>172</v>
      </c>
      <c r="AF1077" s="90">
        <f t="shared" si="374"/>
        <v>2013</v>
      </c>
      <c r="AG1077" s="90">
        <f t="shared" si="384"/>
        <v>280</v>
      </c>
      <c r="AH1077" s="90">
        <f t="shared" si="375"/>
        <v>2018</v>
      </c>
      <c r="AI1077" s="90">
        <f t="shared" si="376"/>
        <v>260</v>
      </c>
      <c r="AJ1077" s="90">
        <f t="shared" si="377"/>
        <v>2022</v>
      </c>
      <c r="AK1077" s="90" t="str">
        <f t="shared" si="378"/>
        <v>Adjust</v>
      </c>
      <c r="AL1077" s="91">
        <f>IF(AK1077="Adjust",(_xlfn.XLOOKUP(A1077,'Adj factor'!A:A,'Adj factor'!I:I,,0)*AI1077),'Master DataSheet (Rev)'!AI1077)</f>
        <v>298.81764752330793</v>
      </c>
      <c r="AM1077" s="91">
        <f t="shared" si="379"/>
        <v>298.81764752330793</v>
      </c>
      <c r="AN1077" s="92" t="str">
        <f t="shared" si="380"/>
        <v>Increasing</v>
      </c>
      <c r="AS1077" s="94">
        <f t="shared" si="381"/>
        <v>0.52178656078039853</v>
      </c>
      <c r="AT1077" s="94">
        <f t="shared" si="382"/>
        <v>0.81268378807586839</v>
      </c>
      <c r="AU1077" s="94">
        <f t="shared" si="369"/>
        <v>0.81111588628736697</v>
      </c>
      <c r="AV1077" s="94">
        <f t="shared" si="370"/>
        <v>0.81111588628736697</v>
      </c>
    </row>
    <row r="1078" spans="1:48" x14ac:dyDescent="0.3">
      <c r="A1078" s="85" t="str">
        <f>_xlfn.XLOOKUP(B1078,'Country codes &amp; Data sources'!G:G,'Country codes &amp; Data sources'!H:H,,0)</f>
        <v>Eritrea</v>
      </c>
      <c r="B1078" s="85" t="s">
        <v>194</v>
      </c>
      <c r="C1078" s="85">
        <v>3252597</v>
      </c>
      <c r="D1078" s="85" t="s">
        <v>327</v>
      </c>
      <c r="E1078" s="86">
        <v>0</v>
      </c>
      <c r="F1078" s="86">
        <v>3296367</v>
      </c>
      <c r="G1078" s="86">
        <v>0</v>
      </c>
      <c r="H1078" s="86"/>
      <c r="I1078" s="86">
        <v>0</v>
      </c>
      <c r="J1078" s="86"/>
      <c r="K1078" s="86">
        <v>0</v>
      </c>
      <c r="L1078" s="86"/>
      <c r="M1078" s="86">
        <v>0</v>
      </c>
      <c r="N1078" s="86"/>
      <c r="O1078" s="86">
        <v>0</v>
      </c>
      <c r="P1078" s="86">
        <v>3445374.4999999986</v>
      </c>
      <c r="Q1078" s="86">
        <v>160</v>
      </c>
      <c r="R1078" s="87">
        <f t="shared" si="368"/>
        <v>160</v>
      </c>
      <c r="T1078" s="87">
        <v>0</v>
      </c>
      <c r="U1078" s="89"/>
      <c r="V1078" s="89">
        <v>0</v>
      </c>
      <c r="W1078" s="90"/>
      <c r="X1078" s="90">
        <v>276</v>
      </c>
      <c r="Y1078" s="90">
        <v>3684031.5000000019</v>
      </c>
      <c r="Z1078" s="90">
        <v>260</v>
      </c>
      <c r="AA1078" s="90">
        <v>160</v>
      </c>
      <c r="AB1078" s="89">
        <f t="shared" si="371"/>
        <v>0</v>
      </c>
      <c r="AC1078" s="89">
        <f t="shared" si="372"/>
        <v>160</v>
      </c>
      <c r="AD1078" s="89">
        <f t="shared" si="373"/>
        <v>276</v>
      </c>
      <c r="AF1078" s="90" t="str">
        <f t="shared" si="374"/>
        <v/>
      </c>
      <c r="AG1078" s="90">
        <f t="shared" si="384"/>
        <v>160</v>
      </c>
      <c r="AH1078" s="90">
        <f t="shared" si="375"/>
        <v>2018</v>
      </c>
      <c r="AI1078" s="90">
        <f t="shared" si="376"/>
        <v>260</v>
      </c>
      <c r="AJ1078" s="90">
        <f t="shared" si="377"/>
        <v>2022</v>
      </c>
      <c r="AK1078" s="90" t="str">
        <f t="shared" si="378"/>
        <v/>
      </c>
      <c r="AL1078" s="91">
        <f>IF(AK1078="Adjust",(_xlfn.XLOOKUP(A1078,'Adj factor'!A:A,'Adj factor'!I:I,,0)*AI1078),'Master DataSheet (Rev)'!AI1078)</f>
        <v>260</v>
      </c>
      <c r="AM1078" s="91">
        <f t="shared" si="379"/>
        <v>260</v>
      </c>
      <c r="AN1078" s="92" t="str">
        <f t="shared" si="380"/>
        <v>Increasing</v>
      </c>
      <c r="AS1078" s="94">
        <f t="shared" si="381"/>
        <v>0</v>
      </c>
      <c r="AT1078" s="94">
        <f t="shared" si="382"/>
        <v>0.4643907360433534</v>
      </c>
      <c r="AU1078" s="94">
        <f t="shared" si="369"/>
        <v>0.7057485800542147</v>
      </c>
      <c r="AV1078" s="94">
        <f t="shared" si="370"/>
        <v>0.7057485800542147</v>
      </c>
    </row>
    <row r="1079" spans="1:48" x14ac:dyDescent="0.3">
      <c r="A1079" s="85" t="str">
        <f>_xlfn.XLOOKUP(B1079,'Country codes &amp; Data sources'!G:G,'Country codes &amp; Data sources'!H:H,,0)</f>
        <v>Eritrea</v>
      </c>
      <c r="B1079" s="85" t="s">
        <v>194</v>
      </c>
      <c r="C1079" s="85">
        <v>3252598</v>
      </c>
      <c r="D1079" s="85" t="s">
        <v>328</v>
      </c>
      <c r="E1079" s="86">
        <v>0</v>
      </c>
      <c r="F1079" s="86">
        <v>3296367</v>
      </c>
      <c r="G1079" s="86">
        <v>0</v>
      </c>
      <c r="H1079" s="86"/>
      <c r="I1079" s="86">
        <v>0</v>
      </c>
      <c r="J1079" s="86"/>
      <c r="K1079" s="86">
        <v>0</v>
      </c>
      <c r="L1079" s="86"/>
      <c r="M1079" s="86">
        <v>0</v>
      </c>
      <c r="N1079" s="86"/>
      <c r="O1079" s="86">
        <v>0</v>
      </c>
      <c r="P1079" s="86">
        <v>3445374.4999999986</v>
      </c>
      <c r="Q1079" s="86">
        <v>120</v>
      </c>
      <c r="R1079" s="87">
        <f t="shared" si="368"/>
        <v>120</v>
      </c>
      <c r="T1079" s="87">
        <v>0</v>
      </c>
      <c r="U1079" s="89"/>
      <c r="V1079" s="89">
        <v>0</v>
      </c>
      <c r="W1079" s="90"/>
      <c r="X1079" s="90">
        <v>10</v>
      </c>
      <c r="Y1079" s="90">
        <v>3684031.5000000019</v>
      </c>
      <c r="Z1079" s="90">
        <v>0</v>
      </c>
      <c r="AA1079" s="90">
        <v>120</v>
      </c>
      <c r="AB1079" s="89">
        <f t="shared" si="371"/>
        <v>0</v>
      </c>
      <c r="AC1079" s="89">
        <f t="shared" si="372"/>
        <v>120</v>
      </c>
      <c r="AD1079" s="89">
        <f t="shared" si="373"/>
        <v>10</v>
      </c>
      <c r="AF1079" s="90" t="str">
        <f t="shared" si="374"/>
        <v/>
      </c>
      <c r="AG1079" s="90">
        <f t="shared" si="384"/>
        <v>120</v>
      </c>
      <c r="AH1079" s="90">
        <f t="shared" si="375"/>
        <v>2018</v>
      </c>
      <c r="AI1079" s="90">
        <f t="shared" si="376"/>
        <v>10</v>
      </c>
      <c r="AJ1079" s="90">
        <f t="shared" si="377"/>
        <v>2021</v>
      </c>
      <c r="AK1079" s="90" t="str">
        <f t="shared" si="378"/>
        <v>Adjust</v>
      </c>
      <c r="AL1079" s="91">
        <f>IF(AK1079="Adjust",(_xlfn.XLOOKUP(A1079,'Adj factor'!A:A,'Adj factor'!I:I,,0)*AI1079),'Master DataSheet (Rev)'!AI1079)</f>
        <v>11.492986443204153</v>
      </c>
      <c r="AM1079" s="91">
        <f t="shared" si="379"/>
        <v>120</v>
      </c>
      <c r="AN1079" s="92" t="str">
        <f t="shared" si="380"/>
        <v>Decreasing</v>
      </c>
      <c r="AS1079" s="94">
        <f t="shared" si="381"/>
        <v>0</v>
      </c>
      <c r="AT1079" s="94">
        <f t="shared" si="382"/>
        <v>0.34829305203251504</v>
      </c>
      <c r="AU1079" s="94">
        <f t="shared" si="369"/>
        <v>3.1196764857206426E-2</v>
      </c>
      <c r="AV1079" s="94">
        <f t="shared" si="370"/>
        <v>0.32573011387117601</v>
      </c>
    </row>
    <row r="1080" spans="1:48" x14ac:dyDescent="0.3">
      <c r="A1080" s="85" t="str">
        <f>_xlfn.XLOOKUP(B1080,'Country codes &amp; Data sources'!G:G,'Country codes &amp; Data sources'!H:H,,0)</f>
        <v>Eritrea</v>
      </c>
      <c r="B1080" s="85" t="s">
        <v>194</v>
      </c>
      <c r="C1080" s="85">
        <v>3252599</v>
      </c>
      <c r="D1080" s="85" t="s">
        <v>329</v>
      </c>
      <c r="E1080" s="86">
        <v>0</v>
      </c>
      <c r="F1080" s="86">
        <v>3296367</v>
      </c>
      <c r="G1080" s="86">
        <v>4262</v>
      </c>
      <c r="H1080" s="86"/>
      <c r="I1080" s="86">
        <v>4132</v>
      </c>
      <c r="J1080" s="86"/>
      <c r="K1080" s="86">
        <v>3962</v>
      </c>
      <c r="L1080" s="86"/>
      <c r="M1080" s="86">
        <v>4484</v>
      </c>
      <c r="N1080" s="86"/>
      <c r="O1080" s="86">
        <v>4528</v>
      </c>
      <c r="P1080" s="86">
        <v>3445374.4999999986</v>
      </c>
      <c r="Q1080" s="86">
        <v>4971</v>
      </c>
      <c r="R1080" s="87">
        <f t="shared" si="368"/>
        <v>4971</v>
      </c>
      <c r="T1080" s="87">
        <v>0</v>
      </c>
      <c r="U1080" s="89"/>
      <c r="V1080" s="89">
        <v>0</v>
      </c>
      <c r="W1080" s="90"/>
      <c r="X1080" s="90">
        <v>4681</v>
      </c>
      <c r="Y1080" s="90">
        <v>3684031.5000000019</v>
      </c>
      <c r="Z1080" s="90">
        <v>5007</v>
      </c>
      <c r="AA1080" s="90">
        <v>3939</v>
      </c>
      <c r="AB1080" s="89">
        <f t="shared" si="371"/>
        <v>4262</v>
      </c>
      <c r="AC1080" s="89">
        <f t="shared" si="372"/>
        <v>4971</v>
      </c>
      <c r="AD1080" s="89">
        <f t="shared" si="373"/>
        <v>5007</v>
      </c>
      <c r="AE1080" s="90">
        <f t="shared" si="383"/>
        <v>4262</v>
      </c>
      <c r="AF1080" s="90">
        <f t="shared" si="374"/>
        <v>2013</v>
      </c>
      <c r="AG1080" s="90">
        <f t="shared" si="384"/>
        <v>4971</v>
      </c>
      <c r="AH1080" s="90">
        <f t="shared" si="375"/>
        <v>2018</v>
      </c>
      <c r="AI1080" s="90">
        <f t="shared" si="376"/>
        <v>5007</v>
      </c>
      <c r="AJ1080" s="90">
        <f t="shared" si="377"/>
        <v>2022</v>
      </c>
      <c r="AK1080" s="90" t="str">
        <f t="shared" si="378"/>
        <v/>
      </c>
      <c r="AL1080" s="91">
        <f>IF(AK1080="Adjust",(_xlfn.XLOOKUP(A1080,'Adj factor'!A:A,'Adj factor'!I:I,,0)*AI1080),'Master DataSheet (Rev)'!AI1080)</f>
        <v>5007</v>
      </c>
      <c r="AM1080" s="91">
        <f t="shared" si="379"/>
        <v>5007</v>
      </c>
      <c r="AN1080" s="92" t="str">
        <f t="shared" si="380"/>
        <v>Increasing</v>
      </c>
      <c r="AS1080" s="94">
        <f t="shared" si="381"/>
        <v>12.929385593291038</v>
      </c>
      <c r="AT1080" s="94">
        <f t="shared" si="382"/>
        <v>14.428039680446936</v>
      </c>
      <c r="AU1080" s="94">
        <f t="shared" si="369"/>
        <v>13.591089001274819</v>
      </c>
      <c r="AV1080" s="94">
        <f t="shared" si="370"/>
        <v>13.591089001274819</v>
      </c>
    </row>
    <row r="1081" spans="1:48" x14ac:dyDescent="0.3">
      <c r="A1081" s="85" t="str">
        <f>_xlfn.XLOOKUP(B1081,'Country codes &amp; Data sources'!G:G,'Country codes &amp; Data sources'!H:H,,0)</f>
        <v>Eritrea</v>
      </c>
      <c r="B1081" s="85" t="s">
        <v>194</v>
      </c>
      <c r="C1081" s="85">
        <v>3252600</v>
      </c>
      <c r="D1081" s="85" t="s">
        <v>330</v>
      </c>
      <c r="E1081" s="86">
        <v>0</v>
      </c>
      <c r="F1081" s="86">
        <v>3296367</v>
      </c>
      <c r="G1081" s="86">
        <v>1395</v>
      </c>
      <c r="H1081" s="86"/>
      <c r="I1081" s="86">
        <v>1397</v>
      </c>
      <c r="J1081" s="86"/>
      <c r="K1081" s="86">
        <v>1304</v>
      </c>
      <c r="L1081" s="86"/>
      <c r="M1081" s="86">
        <v>1505</v>
      </c>
      <c r="N1081" s="86"/>
      <c r="O1081" s="86">
        <v>1629</v>
      </c>
      <c r="P1081" s="86">
        <v>3445374.4999999986</v>
      </c>
      <c r="Q1081" s="86">
        <v>2058</v>
      </c>
      <c r="R1081" s="87">
        <f t="shared" si="368"/>
        <v>2058</v>
      </c>
      <c r="T1081" s="87">
        <v>0</v>
      </c>
      <c r="U1081" s="89"/>
      <c r="V1081" s="89">
        <v>0</v>
      </c>
      <c r="W1081" s="90"/>
      <c r="X1081" s="90">
        <v>1449</v>
      </c>
      <c r="Y1081" s="90">
        <v>3684031.5000000019</v>
      </c>
      <c r="Z1081" s="90">
        <v>1447</v>
      </c>
      <c r="AA1081" s="90">
        <v>1442</v>
      </c>
      <c r="AB1081" s="89">
        <f t="shared" si="371"/>
        <v>1397</v>
      </c>
      <c r="AC1081" s="89">
        <f t="shared" si="372"/>
        <v>2058</v>
      </c>
      <c r="AD1081" s="89">
        <f t="shared" si="373"/>
        <v>1449</v>
      </c>
      <c r="AE1081" s="90">
        <f t="shared" si="383"/>
        <v>1395</v>
      </c>
      <c r="AF1081" s="90">
        <f t="shared" si="374"/>
        <v>2013</v>
      </c>
      <c r="AG1081" s="90">
        <f t="shared" si="384"/>
        <v>2058</v>
      </c>
      <c r="AH1081" s="90">
        <f t="shared" si="375"/>
        <v>2018</v>
      </c>
      <c r="AI1081" s="90">
        <f t="shared" si="376"/>
        <v>1447</v>
      </c>
      <c r="AJ1081" s="90">
        <f t="shared" si="377"/>
        <v>2022</v>
      </c>
      <c r="AK1081" s="90" t="str">
        <f t="shared" si="378"/>
        <v>Adjust</v>
      </c>
      <c r="AL1081" s="91">
        <f>IF(AK1081="Adjust",(_xlfn.XLOOKUP(A1081,'Adj factor'!A:A,'Adj factor'!I:I,,0)*AI1081),'Master DataSheet (Rev)'!AI1081)</f>
        <v>1663.0351383316408</v>
      </c>
      <c r="AM1081" s="91">
        <f t="shared" si="379"/>
        <v>2058</v>
      </c>
      <c r="AN1081" s="92" t="str">
        <f t="shared" si="380"/>
        <v>Decreasing</v>
      </c>
      <c r="AS1081" s="94">
        <f t="shared" si="381"/>
        <v>4.2319316993526508</v>
      </c>
      <c r="AT1081" s="94">
        <f t="shared" si="382"/>
        <v>5.9732258423576328</v>
      </c>
      <c r="AU1081" s="94">
        <f t="shared" si="369"/>
        <v>4.5141718748377695</v>
      </c>
      <c r="AV1081" s="94">
        <f t="shared" si="370"/>
        <v>5.586271452890669</v>
      </c>
    </row>
    <row r="1082" spans="1:48" x14ac:dyDescent="0.3">
      <c r="A1082" s="85" t="str">
        <f>_xlfn.XLOOKUP(B1082,'Country codes &amp; Data sources'!G:G,'Country codes &amp; Data sources'!H:H,,0)</f>
        <v>Eritrea</v>
      </c>
      <c r="B1082" s="85" t="s">
        <v>194</v>
      </c>
      <c r="C1082" s="85">
        <v>3252601</v>
      </c>
      <c r="D1082" s="85" t="s">
        <v>331</v>
      </c>
      <c r="E1082" s="86">
        <v>0</v>
      </c>
      <c r="F1082" s="86">
        <v>3296367</v>
      </c>
      <c r="G1082" s="86">
        <v>2867</v>
      </c>
      <c r="H1082" s="86"/>
      <c r="I1082" s="86">
        <v>2735</v>
      </c>
      <c r="J1082" s="86"/>
      <c r="K1082" s="86">
        <v>2658</v>
      </c>
      <c r="L1082" s="86"/>
      <c r="M1082" s="86">
        <v>2979</v>
      </c>
      <c r="N1082" s="86"/>
      <c r="O1082" s="86">
        <v>2899</v>
      </c>
      <c r="P1082" s="86">
        <v>3445374.4999999986</v>
      </c>
      <c r="Q1082" s="86">
        <v>2913</v>
      </c>
      <c r="R1082" s="87">
        <f t="shared" si="368"/>
        <v>2913</v>
      </c>
      <c r="T1082" s="87">
        <v>0</v>
      </c>
      <c r="U1082" s="89"/>
      <c r="V1082" s="89">
        <v>0</v>
      </c>
      <c r="W1082" s="90"/>
      <c r="X1082" s="90">
        <v>3050</v>
      </c>
      <c r="Y1082" s="90">
        <v>3684031.5000000019</v>
      </c>
      <c r="Z1082" s="90">
        <v>3372</v>
      </c>
      <c r="AA1082" s="90">
        <v>2497</v>
      </c>
      <c r="AB1082" s="89">
        <f t="shared" si="371"/>
        <v>2867</v>
      </c>
      <c r="AC1082" s="89">
        <f t="shared" si="372"/>
        <v>2979</v>
      </c>
      <c r="AD1082" s="89">
        <f t="shared" si="373"/>
        <v>3372</v>
      </c>
      <c r="AE1082" s="90">
        <f t="shared" si="383"/>
        <v>2867</v>
      </c>
      <c r="AF1082" s="90">
        <f t="shared" si="374"/>
        <v>2013</v>
      </c>
      <c r="AG1082" s="90">
        <f t="shared" si="384"/>
        <v>2913</v>
      </c>
      <c r="AH1082" s="90">
        <f t="shared" si="375"/>
        <v>2018</v>
      </c>
      <c r="AI1082" s="90">
        <f t="shared" si="376"/>
        <v>3372</v>
      </c>
      <c r="AJ1082" s="90">
        <f t="shared" si="377"/>
        <v>2022</v>
      </c>
      <c r="AK1082" s="90" t="str">
        <f t="shared" si="378"/>
        <v/>
      </c>
      <c r="AL1082" s="91">
        <f>IF(AK1082="Adjust",(_xlfn.XLOOKUP(A1082,'Adj factor'!A:A,'Adj factor'!I:I,,0)*AI1082),'Master DataSheet (Rev)'!AI1082)</f>
        <v>3372</v>
      </c>
      <c r="AM1082" s="91">
        <f t="shared" si="379"/>
        <v>3372</v>
      </c>
      <c r="AN1082" s="92" t="str">
        <f t="shared" si="380"/>
        <v>Increasing</v>
      </c>
      <c r="AS1082" s="94">
        <f t="shared" si="381"/>
        <v>8.6974538939383876</v>
      </c>
      <c r="AT1082" s="94">
        <f t="shared" si="382"/>
        <v>8.4548138380893025</v>
      </c>
      <c r="AU1082" s="94">
        <f t="shared" si="369"/>
        <v>9.1530161997800459</v>
      </c>
      <c r="AV1082" s="94">
        <f t="shared" si="370"/>
        <v>9.1530161997800459</v>
      </c>
    </row>
    <row r="1083" spans="1:48" x14ac:dyDescent="0.3">
      <c r="A1083" s="85" t="str">
        <f>_xlfn.XLOOKUP(B1083,'Country codes &amp; Data sources'!G:G,'Country codes &amp; Data sources'!H:H,,0)</f>
        <v>Eritrea</v>
      </c>
      <c r="B1083" s="85" t="s">
        <v>194</v>
      </c>
      <c r="C1083" s="85">
        <v>3252602</v>
      </c>
      <c r="D1083" s="85" t="s">
        <v>332</v>
      </c>
      <c r="E1083" s="86">
        <v>0</v>
      </c>
      <c r="F1083" s="86">
        <v>3296367</v>
      </c>
      <c r="G1083" s="86">
        <v>0</v>
      </c>
      <c r="H1083" s="86"/>
      <c r="I1083" s="86">
        <v>0</v>
      </c>
      <c r="J1083" s="86"/>
      <c r="K1083" s="86">
        <v>0</v>
      </c>
      <c r="L1083" s="86"/>
      <c r="M1083" s="86">
        <v>376</v>
      </c>
      <c r="N1083" s="86"/>
      <c r="O1083" s="86">
        <v>0</v>
      </c>
      <c r="P1083" s="86">
        <v>3445374.4999999986</v>
      </c>
      <c r="Q1083" s="86">
        <v>0</v>
      </c>
      <c r="R1083" s="87">
        <f t="shared" si="368"/>
        <v>45</v>
      </c>
      <c r="T1083" s="87">
        <v>0</v>
      </c>
      <c r="U1083" s="89"/>
      <c r="V1083" s="89">
        <v>0</v>
      </c>
      <c r="W1083" s="90"/>
      <c r="X1083" s="90">
        <v>67</v>
      </c>
      <c r="Y1083" s="90">
        <v>3684031.5000000019</v>
      </c>
      <c r="Z1083" s="90">
        <v>67</v>
      </c>
      <c r="AA1083" s="90">
        <v>45</v>
      </c>
      <c r="AB1083" s="89">
        <f t="shared" si="371"/>
        <v>0</v>
      </c>
      <c r="AC1083" s="89">
        <f t="shared" si="372"/>
        <v>376</v>
      </c>
      <c r="AD1083" s="89">
        <f t="shared" si="373"/>
        <v>67</v>
      </c>
      <c r="AF1083" s="90" t="str">
        <f t="shared" si="374"/>
        <v/>
      </c>
      <c r="AG1083" s="90">
        <f t="shared" si="384"/>
        <v>45</v>
      </c>
      <c r="AH1083" s="90" t="str">
        <f t="shared" si="375"/>
        <v>2018 (triag)</v>
      </c>
      <c r="AI1083" s="90">
        <f t="shared" si="376"/>
        <v>67</v>
      </c>
      <c r="AJ1083" s="90">
        <f t="shared" si="377"/>
        <v>2021</v>
      </c>
      <c r="AK1083" s="90" t="str">
        <f t="shared" si="378"/>
        <v/>
      </c>
      <c r="AL1083" s="91">
        <f>IF(AK1083="Adjust",(_xlfn.XLOOKUP(A1083,'Adj factor'!A:A,'Adj factor'!I:I,,0)*AI1083),'Master DataSheet (Rev)'!AI1083)</f>
        <v>67</v>
      </c>
      <c r="AM1083" s="91">
        <f t="shared" si="379"/>
        <v>67</v>
      </c>
      <c r="AN1083" s="92" t="str">
        <f t="shared" si="380"/>
        <v>Increasing</v>
      </c>
      <c r="AS1083" s="94">
        <f t="shared" si="381"/>
        <v>0</v>
      </c>
      <c r="AT1083" s="94">
        <f t="shared" si="382"/>
        <v>0.13060989451219315</v>
      </c>
      <c r="AU1083" s="94">
        <f t="shared" si="369"/>
        <v>0.18186598024473993</v>
      </c>
      <c r="AV1083" s="94">
        <f t="shared" si="370"/>
        <v>0.18186598024473993</v>
      </c>
    </row>
    <row r="1084" spans="1:48" x14ac:dyDescent="0.3">
      <c r="A1084" s="85" t="str">
        <f>_xlfn.XLOOKUP(B1084,'Country codes &amp; Data sources'!G:G,'Country codes &amp; Data sources'!H:H,,0)</f>
        <v>Eritrea</v>
      </c>
      <c r="B1084" s="85" t="s">
        <v>194</v>
      </c>
      <c r="C1084" s="85">
        <v>3252603</v>
      </c>
      <c r="D1084" s="85" t="s">
        <v>333</v>
      </c>
      <c r="E1084" s="86">
        <v>0</v>
      </c>
      <c r="F1084" s="86">
        <v>3296367</v>
      </c>
      <c r="G1084" s="86">
        <v>0</v>
      </c>
      <c r="H1084" s="86"/>
      <c r="I1084" s="86">
        <v>0</v>
      </c>
      <c r="J1084" s="86"/>
      <c r="K1084" s="86">
        <v>0</v>
      </c>
      <c r="L1084" s="86"/>
      <c r="M1084" s="86">
        <v>376</v>
      </c>
      <c r="N1084" s="86"/>
      <c r="O1084" s="86">
        <v>0</v>
      </c>
      <c r="P1084" s="86">
        <v>3445374.4999999986</v>
      </c>
      <c r="Q1084" s="86">
        <v>0</v>
      </c>
      <c r="R1084" s="87">
        <f t="shared" si="368"/>
        <v>45</v>
      </c>
      <c r="T1084" s="87">
        <v>0</v>
      </c>
      <c r="U1084" s="89"/>
      <c r="V1084" s="89">
        <v>0</v>
      </c>
      <c r="W1084" s="90"/>
      <c r="X1084" s="90">
        <v>67</v>
      </c>
      <c r="Y1084" s="90">
        <v>3684031.5000000019</v>
      </c>
      <c r="Z1084" s="90">
        <v>67</v>
      </c>
      <c r="AA1084" s="90">
        <v>45</v>
      </c>
      <c r="AB1084" s="89">
        <f t="shared" si="371"/>
        <v>0</v>
      </c>
      <c r="AC1084" s="89">
        <f t="shared" si="372"/>
        <v>376</v>
      </c>
      <c r="AD1084" s="89">
        <f t="shared" si="373"/>
        <v>67</v>
      </c>
      <c r="AF1084" s="90" t="str">
        <f t="shared" si="374"/>
        <v/>
      </c>
      <c r="AG1084" s="90">
        <f t="shared" si="384"/>
        <v>45</v>
      </c>
      <c r="AH1084" s="90" t="str">
        <f t="shared" si="375"/>
        <v>2018 (triag)</v>
      </c>
      <c r="AI1084" s="90">
        <f t="shared" si="376"/>
        <v>67</v>
      </c>
      <c r="AJ1084" s="90">
        <f t="shared" si="377"/>
        <v>2021</v>
      </c>
      <c r="AK1084" s="90" t="str">
        <f t="shared" si="378"/>
        <v/>
      </c>
      <c r="AL1084" s="91">
        <f>IF(AK1084="Adjust",(_xlfn.XLOOKUP(A1084,'Adj factor'!A:A,'Adj factor'!I:I,,0)*AI1084),'Master DataSheet (Rev)'!AI1084)</f>
        <v>67</v>
      </c>
      <c r="AM1084" s="91">
        <f t="shared" si="379"/>
        <v>67</v>
      </c>
      <c r="AN1084" s="92" t="str">
        <f t="shared" si="380"/>
        <v>Increasing</v>
      </c>
      <c r="AS1084" s="94">
        <f t="shared" si="381"/>
        <v>0</v>
      </c>
      <c r="AT1084" s="94">
        <f t="shared" si="382"/>
        <v>0.13060989451219315</v>
      </c>
      <c r="AU1084" s="94">
        <f t="shared" si="369"/>
        <v>0.18186598024473993</v>
      </c>
      <c r="AV1084" s="94">
        <f t="shared" si="370"/>
        <v>0.18186598024473993</v>
      </c>
    </row>
    <row r="1085" spans="1:48" x14ac:dyDescent="0.3">
      <c r="A1085" s="85" t="str">
        <f>_xlfn.XLOOKUP(B1085,'Country codes &amp; Data sources'!G:G,'Country codes &amp; Data sources'!H:H,,0)</f>
        <v>Eritrea</v>
      </c>
      <c r="B1085" s="85" t="s">
        <v>194</v>
      </c>
      <c r="C1085" s="85">
        <v>3252604</v>
      </c>
      <c r="D1085" s="85" t="s">
        <v>334</v>
      </c>
      <c r="E1085" s="86">
        <v>0</v>
      </c>
      <c r="F1085" s="86">
        <v>3296367</v>
      </c>
      <c r="G1085" s="86">
        <v>0</v>
      </c>
      <c r="H1085" s="86"/>
      <c r="I1085" s="86">
        <v>0</v>
      </c>
      <c r="J1085" s="86"/>
      <c r="K1085" s="86">
        <v>0</v>
      </c>
      <c r="L1085" s="86"/>
      <c r="M1085" s="86">
        <v>0</v>
      </c>
      <c r="N1085" s="86"/>
      <c r="O1085" s="86">
        <v>0</v>
      </c>
      <c r="P1085" s="86">
        <v>3445374.4999999986</v>
      </c>
      <c r="Q1085" s="86">
        <v>0</v>
      </c>
      <c r="R1085" s="87">
        <f t="shared" si="368"/>
        <v>0</v>
      </c>
      <c r="T1085" s="87">
        <v>0</v>
      </c>
      <c r="U1085" s="89"/>
      <c r="V1085" s="89">
        <v>0</v>
      </c>
      <c r="W1085" s="90"/>
      <c r="X1085" s="90">
        <v>0</v>
      </c>
      <c r="Y1085" s="90">
        <v>3684031.5000000019</v>
      </c>
      <c r="Z1085" s="90">
        <v>0</v>
      </c>
      <c r="AA1085" s="90">
        <v>0</v>
      </c>
      <c r="AB1085" s="89">
        <f t="shared" si="371"/>
        <v>0</v>
      </c>
      <c r="AC1085" s="89">
        <f t="shared" si="372"/>
        <v>0</v>
      </c>
      <c r="AD1085" s="89">
        <f t="shared" si="373"/>
        <v>0</v>
      </c>
      <c r="AF1085" s="90" t="str">
        <f t="shared" si="374"/>
        <v/>
      </c>
      <c r="AH1085" s="90" t="str">
        <f t="shared" si="375"/>
        <v/>
      </c>
      <c r="AI1085" s="90">
        <f t="shared" si="376"/>
        <v>0</v>
      </c>
      <c r="AJ1085" s="90" t="str">
        <f t="shared" si="377"/>
        <v/>
      </c>
      <c r="AK1085" s="90" t="str">
        <f t="shared" si="378"/>
        <v/>
      </c>
      <c r="AL1085" s="91"/>
      <c r="AM1085" s="91">
        <f t="shared" si="379"/>
        <v>0</v>
      </c>
      <c r="AN1085" s="92" t="str">
        <f t="shared" si="380"/>
        <v>No change</v>
      </c>
      <c r="AS1085" s="94">
        <f t="shared" si="381"/>
        <v>0</v>
      </c>
      <c r="AT1085" s="94">
        <f t="shared" si="382"/>
        <v>0</v>
      </c>
      <c r="AU1085" s="94">
        <f t="shared" si="369"/>
        <v>0</v>
      </c>
      <c r="AV1085" s="94">
        <f t="shared" si="370"/>
        <v>0</v>
      </c>
    </row>
    <row r="1086" spans="1:48" x14ac:dyDescent="0.3">
      <c r="A1086" s="85" t="str">
        <f>_xlfn.XLOOKUP(B1086,'Country codes &amp; Data sources'!G:G,'Country codes &amp; Data sources'!H:H,,0)</f>
        <v>Eritrea</v>
      </c>
      <c r="B1086" s="85" t="s">
        <v>194</v>
      </c>
      <c r="C1086" s="85">
        <v>3252605</v>
      </c>
      <c r="D1086" s="85" t="s">
        <v>335</v>
      </c>
      <c r="E1086" s="86">
        <v>0</v>
      </c>
      <c r="F1086" s="86">
        <v>3296367</v>
      </c>
      <c r="G1086" s="86">
        <v>0</v>
      </c>
      <c r="H1086" s="86"/>
      <c r="I1086" s="86">
        <v>0</v>
      </c>
      <c r="J1086" s="86"/>
      <c r="K1086" s="86">
        <v>0</v>
      </c>
      <c r="L1086" s="86"/>
      <c r="M1086" s="86">
        <v>0</v>
      </c>
      <c r="N1086" s="86"/>
      <c r="O1086" s="86">
        <v>0</v>
      </c>
      <c r="P1086" s="86">
        <v>3445374.4999999986</v>
      </c>
      <c r="Q1086" s="86">
        <v>451</v>
      </c>
      <c r="R1086" s="87">
        <f t="shared" si="368"/>
        <v>451</v>
      </c>
      <c r="T1086" s="87">
        <v>0</v>
      </c>
      <c r="U1086" s="89"/>
      <c r="V1086" s="89">
        <v>0</v>
      </c>
      <c r="W1086" s="90"/>
      <c r="X1086" s="90">
        <v>208</v>
      </c>
      <c r="Y1086" s="90">
        <v>3684031.5000000019</v>
      </c>
      <c r="Z1086" s="90">
        <v>199</v>
      </c>
      <c r="AA1086" s="90">
        <v>151</v>
      </c>
      <c r="AB1086" s="89">
        <f t="shared" si="371"/>
        <v>0</v>
      </c>
      <c r="AC1086" s="89">
        <f t="shared" si="372"/>
        <v>451</v>
      </c>
      <c r="AD1086" s="89">
        <f t="shared" si="373"/>
        <v>208</v>
      </c>
      <c r="AF1086" s="90" t="str">
        <f t="shared" si="374"/>
        <v/>
      </c>
      <c r="AG1086" s="90">
        <f t="shared" si="384"/>
        <v>451</v>
      </c>
      <c r="AH1086" s="90">
        <f t="shared" si="375"/>
        <v>2018</v>
      </c>
      <c r="AI1086" s="90">
        <f t="shared" si="376"/>
        <v>199</v>
      </c>
      <c r="AJ1086" s="90">
        <f t="shared" si="377"/>
        <v>2022</v>
      </c>
      <c r="AK1086" s="90" t="str">
        <f t="shared" si="378"/>
        <v>Adjust</v>
      </c>
      <c r="AL1086" s="91">
        <f>IF(AK1086="Adjust",(_xlfn.XLOOKUP(A1086,'Adj factor'!A:A,'Adj factor'!I:I,,0)*AI1086),'Master DataSheet (Rev)'!AI1086)</f>
        <v>228.71043021976263</v>
      </c>
      <c r="AM1086" s="91">
        <f t="shared" si="379"/>
        <v>451</v>
      </c>
      <c r="AN1086" s="92" t="str">
        <f t="shared" si="380"/>
        <v>Decreasing</v>
      </c>
      <c r="AS1086" s="94">
        <f t="shared" si="381"/>
        <v>0</v>
      </c>
      <c r="AT1086" s="94">
        <f t="shared" si="382"/>
        <v>1.3090013872222024</v>
      </c>
      <c r="AU1086" s="94">
        <f t="shared" si="369"/>
        <v>0.62081562065840779</v>
      </c>
      <c r="AV1086" s="94">
        <f t="shared" si="370"/>
        <v>1.2242023446325032</v>
      </c>
    </row>
    <row r="1087" spans="1:48" x14ac:dyDescent="0.3">
      <c r="A1087" s="85" t="str">
        <f>_xlfn.XLOOKUP(B1087,'Country codes &amp; Data sources'!G:G,'Country codes &amp; Data sources'!H:H,,0)</f>
        <v>Eritrea</v>
      </c>
      <c r="B1087" s="85" t="s">
        <v>194</v>
      </c>
      <c r="C1087" s="85">
        <v>3252606</v>
      </c>
      <c r="D1087" s="85" t="s">
        <v>336</v>
      </c>
      <c r="E1087" s="86">
        <v>0</v>
      </c>
      <c r="F1087" s="86">
        <v>3296367</v>
      </c>
      <c r="G1087" s="86">
        <v>0</v>
      </c>
      <c r="H1087" s="86"/>
      <c r="I1087" s="86">
        <v>0</v>
      </c>
      <c r="J1087" s="86"/>
      <c r="K1087" s="86">
        <v>0</v>
      </c>
      <c r="L1087" s="86"/>
      <c r="M1087" s="86">
        <v>0</v>
      </c>
      <c r="N1087" s="86"/>
      <c r="O1087" s="86">
        <v>0</v>
      </c>
      <c r="P1087" s="86">
        <v>3445374.4999999986</v>
      </c>
      <c r="Q1087" s="86">
        <v>0</v>
      </c>
      <c r="R1087" s="87">
        <f t="shared" ref="R1087:R1150" si="385">MAX(Q1087,AA1087)</f>
        <v>300</v>
      </c>
      <c r="T1087" s="87">
        <v>0</v>
      </c>
      <c r="U1087" s="89"/>
      <c r="V1087" s="89">
        <v>0</v>
      </c>
      <c r="W1087" s="90"/>
      <c r="X1087" s="90">
        <v>280</v>
      </c>
      <c r="Y1087" s="90">
        <v>3684031.5000000019</v>
      </c>
      <c r="Z1087" s="90">
        <v>288</v>
      </c>
      <c r="AA1087" s="90">
        <v>300</v>
      </c>
      <c r="AB1087" s="89">
        <f t="shared" si="371"/>
        <v>0</v>
      </c>
      <c r="AC1087" s="89">
        <f t="shared" si="372"/>
        <v>0</v>
      </c>
      <c r="AD1087" s="89">
        <f t="shared" si="373"/>
        <v>288</v>
      </c>
      <c r="AF1087" s="90" t="str">
        <f t="shared" si="374"/>
        <v/>
      </c>
      <c r="AG1087" s="90">
        <f t="shared" si="384"/>
        <v>300</v>
      </c>
      <c r="AH1087" s="90" t="str">
        <f t="shared" si="375"/>
        <v>2018 (triag)</v>
      </c>
      <c r="AI1087" s="90">
        <f t="shared" si="376"/>
        <v>288</v>
      </c>
      <c r="AJ1087" s="90">
        <f t="shared" si="377"/>
        <v>2022</v>
      </c>
      <c r="AK1087" s="90" t="str">
        <f t="shared" si="378"/>
        <v>Adjust</v>
      </c>
      <c r="AL1087" s="91">
        <f>IF(AK1087="Adjust",(_xlfn.XLOOKUP(A1087,'Adj factor'!A:A,'Adj factor'!I:I,,0)*AI1087),'Master DataSheet (Rev)'!AI1087)</f>
        <v>330.99800956427958</v>
      </c>
      <c r="AM1087" s="91">
        <f t="shared" si="379"/>
        <v>330.99800956427958</v>
      </c>
      <c r="AN1087" s="92" t="str">
        <f t="shared" si="380"/>
        <v>Increasing</v>
      </c>
      <c r="AS1087" s="94">
        <f t="shared" si="381"/>
        <v>0</v>
      </c>
      <c r="AT1087" s="94">
        <f t="shared" si="382"/>
        <v>0.87073263008128765</v>
      </c>
      <c r="AU1087" s="94">
        <f t="shared" si="369"/>
        <v>0.89846682788754495</v>
      </c>
      <c r="AV1087" s="94">
        <f t="shared" si="370"/>
        <v>0.89846682788754495</v>
      </c>
    </row>
    <row r="1088" spans="1:48" x14ac:dyDescent="0.3">
      <c r="A1088" s="85" t="str">
        <f>_xlfn.XLOOKUP(B1088,'Country codes &amp; Data sources'!G:G,'Country codes &amp; Data sources'!H:H,,0)</f>
        <v>Eritrea</v>
      </c>
      <c r="B1088" s="85" t="s">
        <v>194</v>
      </c>
      <c r="C1088" s="85">
        <v>3252607</v>
      </c>
      <c r="D1088" s="85" t="s">
        <v>337</v>
      </c>
      <c r="E1088" s="86">
        <v>0</v>
      </c>
      <c r="F1088" s="86">
        <v>3296367</v>
      </c>
      <c r="G1088" s="86">
        <v>0</v>
      </c>
      <c r="H1088" s="86"/>
      <c r="I1088" s="86">
        <v>0</v>
      </c>
      <c r="J1088" s="86"/>
      <c r="K1088" s="86">
        <v>0</v>
      </c>
      <c r="L1088" s="86"/>
      <c r="M1088" s="86">
        <v>0</v>
      </c>
      <c r="N1088" s="86"/>
      <c r="O1088" s="86">
        <v>0</v>
      </c>
      <c r="P1088" s="86">
        <v>3445374.4999999986</v>
      </c>
      <c r="Q1088" s="86">
        <v>186</v>
      </c>
      <c r="R1088" s="87">
        <f t="shared" si="385"/>
        <v>186</v>
      </c>
      <c r="T1088" s="87">
        <v>0</v>
      </c>
      <c r="U1088" s="89"/>
      <c r="V1088" s="89">
        <v>0</v>
      </c>
      <c r="W1088" s="90"/>
      <c r="X1088" s="90">
        <v>60</v>
      </c>
      <c r="Y1088" s="90">
        <v>3684031.5000000019</v>
      </c>
      <c r="Z1088" s="90">
        <v>58</v>
      </c>
      <c r="AA1088" s="90">
        <v>22</v>
      </c>
      <c r="AB1088" s="89">
        <f t="shared" si="371"/>
        <v>0</v>
      </c>
      <c r="AC1088" s="89">
        <f t="shared" si="372"/>
        <v>186</v>
      </c>
      <c r="AD1088" s="89">
        <f t="shared" si="373"/>
        <v>60</v>
      </c>
      <c r="AF1088" s="90" t="str">
        <f t="shared" si="374"/>
        <v/>
      </c>
      <c r="AG1088" s="90">
        <f t="shared" si="384"/>
        <v>186</v>
      </c>
      <c r="AH1088" s="90">
        <f t="shared" si="375"/>
        <v>2018</v>
      </c>
      <c r="AI1088" s="90">
        <f t="shared" si="376"/>
        <v>58</v>
      </c>
      <c r="AJ1088" s="90">
        <f t="shared" si="377"/>
        <v>2022</v>
      </c>
      <c r="AK1088" s="90" t="str">
        <f t="shared" si="378"/>
        <v>Adjust</v>
      </c>
      <c r="AL1088" s="91">
        <f>IF(AK1088="Adjust",(_xlfn.XLOOKUP(A1088,'Adj factor'!A:A,'Adj factor'!I:I,,0)*AI1088),'Master DataSheet (Rev)'!AI1088)</f>
        <v>66.659321370584081</v>
      </c>
      <c r="AM1088" s="91">
        <f t="shared" si="379"/>
        <v>186</v>
      </c>
      <c r="AN1088" s="92" t="str">
        <f t="shared" si="380"/>
        <v>Decreasing</v>
      </c>
      <c r="AS1088" s="94">
        <f t="shared" si="381"/>
        <v>0</v>
      </c>
      <c r="AT1088" s="94">
        <f t="shared" si="382"/>
        <v>0.53985423065039828</v>
      </c>
      <c r="AU1088" s="94">
        <f t="shared" si="369"/>
        <v>0.18094123617179722</v>
      </c>
      <c r="AV1088" s="94">
        <f t="shared" si="370"/>
        <v>0.50488167650032278</v>
      </c>
    </row>
    <row r="1089" spans="1:48" x14ac:dyDescent="0.3">
      <c r="A1089" s="85" t="str">
        <f>_xlfn.XLOOKUP(B1089,'Country codes &amp; Data sources'!G:G,'Country codes &amp; Data sources'!H:H,,0)</f>
        <v>Eritrea</v>
      </c>
      <c r="B1089" s="85" t="s">
        <v>194</v>
      </c>
      <c r="C1089" s="85">
        <v>3252608</v>
      </c>
      <c r="D1089" s="85" t="s">
        <v>338</v>
      </c>
      <c r="E1089" s="86">
        <v>0</v>
      </c>
      <c r="F1089" s="86">
        <v>3296367</v>
      </c>
      <c r="G1089" s="86">
        <v>0</v>
      </c>
      <c r="H1089" s="86"/>
      <c r="I1089" s="86">
        <v>0</v>
      </c>
      <c r="J1089" s="86"/>
      <c r="K1089" s="86">
        <v>0</v>
      </c>
      <c r="L1089" s="86"/>
      <c r="M1089" s="86">
        <v>0</v>
      </c>
      <c r="N1089" s="86"/>
      <c r="O1089" s="86">
        <v>0</v>
      </c>
      <c r="P1089" s="86">
        <v>3445374.4999999986</v>
      </c>
      <c r="Q1089" s="86">
        <v>0</v>
      </c>
      <c r="R1089" s="87">
        <f t="shared" si="385"/>
        <v>164</v>
      </c>
      <c r="T1089" s="87">
        <v>0</v>
      </c>
      <c r="U1089" s="89"/>
      <c r="V1089" s="89">
        <v>0</v>
      </c>
      <c r="W1089" s="90"/>
      <c r="X1089" s="90">
        <v>154</v>
      </c>
      <c r="Y1089" s="90">
        <v>3684031.5000000019</v>
      </c>
      <c r="Z1089" s="90">
        <v>157</v>
      </c>
      <c r="AA1089" s="90">
        <v>164</v>
      </c>
      <c r="AB1089" s="89">
        <f t="shared" si="371"/>
        <v>0</v>
      </c>
      <c r="AC1089" s="89">
        <f t="shared" si="372"/>
        <v>0</v>
      </c>
      <c r="AD1089" s="89">
        <f t="shared" si="373"/>
        <v>157</v>
      </c>
      <c r="AF1089" s="90" t="str">
        <f t="shared" si="374"/>
        <v/>
      </c>
      <c r="AG1089" s="90">
        <f t="shared" si="384"/>
        <v>164</v>
      </c>
      <c r="AH1089" s="90" t="str">
        <f t="shared" si="375"/>
        <v>2018 (triag)</v>
      </c>
      <c r="AI1089" s="90">
        <f t="shared" si="376"/>
        <v>157</v>
      </c>
      <c r="AJ1089" s="90">
        <f t="shared" si="377"/>
        <v>2022</v>
      </c>
      <c r="AK1089" s="90" t="str">
        <f t="shared" si="378"/>
        <v>Adjust</v>
      </c>
      <c r="AL1089" s="91">
        <f>IF(AK1089="Adjust",(_xlfn.XLOOKUP(A1089,'Adj factor'!A:A,'Adj factor'!I:I,,0)*AI1089),'Master DataSheet (Rev)'!AI1089)</f>
        <v>180.43988715830517</v>
      </c>
      <c r="AM1089" s="91">
        <f t="shared" si="379"/>
        <v>180.43988715830517</v>
      </c>
      <c r="AN1089" s="92" t="str">
        <f t="shared" si="380"/>
        <v>Increasing</v>
      </c>
      <c r="AS1089" s="94">
        <f t="shared" si="381"/>
        <v>0</v>
      </c>
      <c r="AT1089" s="94">
        <f t="shared" si="382"/>
        <v>0.4760005044444372</v>
      </c>
      <c r="AU1089" s="94">
        <f t="shared" si="369"/>
        <v>0.48978920825814082</v>
      </c>
      <c r="AV1089" s="94">
        <f t="shared" si="370"/>
        <v>0.48978920825814082</v>
      </c>
    </row>
    <row r="1090" spans="1:48" x14ac:dyDescent="0.3">
      <c r="A1090" s="85" t="str">
        <f>_xlfn.XLOOKUP(B1090,'Country codes &amp; Data sources'!G:G,'Country codes &amp; Data sources'!H:H,,0)</f>
        <v>Eritrea</v>
      </c>
      <c r="B1090" s="85" t="s">
        <v>194</v>
      </c>
      <c r="C1090" s="85">
        <v>3252609</v>
      </c>
      <c r="D1090" s="85" t="s">
        <v>339</v>
      </c>
      <c r="E1090" s="86">
        <v>0</v>
      </c>
      <c r="F1090" s="86">
        <v>3296367</v>
      </c>
      <c r="G1090" s="86">
        <v>0</v>
      </c>
      <c r="H1090" s="86"/>
      <c r="I1090" s="86">
        <v>0</v>
      </c>
      <c r="J1090" s="86"/>
      <c r="K1090" s="86">
        <v>0</v>
      </c>
      <c r="L1090" s="86"/>
      <c r="M1090" s="86">
        <v>0</v>
      </c>
      <c r="N1090" s="86"/>
      <c r="O1090" s="86">
        <v>0</v>
      </c>
      <c r="P1090" s="86">
        <v>3445374.4999999986</v>
      </c>
      <c r="Q1090" s="86">
        <v>0</v>
      </c>
      <c r="R1090" s="87">
        <f t="shared" si="385"/>
        <v>0</v>
      </c>
      <c r="T1090" s="87">
        <v>0</v>
      </c>
      <c r="U1090" s="89"/>
      <c r="V1090" s="89">
        <v>0</v>
      </c>
      <c r="W1090" s="90"/>
      <c r="X1090" s="90">
        <v>7</v>
      </c>
      <c r="Y1090" s="90">
        <v>3684031.5000000019</v>
      </c>
      <c r="Z1090" s="90">
        <v>7</v>
      </c>
      <c r="AA1090" s="90">
        <v>0</v>
      </c>
      <c r="AB1090" s="89">
        <f t="shared" si="371"/>
        <v>0</v>
      </c>
      <c r="AC1090" s="89">
        <f t="shared" si="372"/>
        <v>0</v>
      </c>
      <c r="AD1090" s="89">
        <f t="shared" si="373"/>
        <v>7</v>
      </c>
      <c r="AF1090" s="90" t="str">
        <f t="shared" si="374"/>
        <v/>
      </c>
      <c r="AH1090" s="90" t="str">
        <f t="shared" si="375"/>
        <v/>
      </c>
      <c r="AI1090" s="90">
        <f t="shared" si="376"/>
        <v>7</v>
      </c>
      <c r="AJ1090" s="90">
        <f t="shared" si="377"/>
        <v>2021</v>
      </c>
      <c r="AK1090" s="90" t="str">
        <f t="shared" si="378"/>
        <v/>
      </c>
      <c r="AL1090" s="91">
        <f>IF(AK1090="Adjust",(_xlfn.XLOOKUP(A1090,'Adj factor'!A:A,'Adj factor'!I:I,,0)*AI1090),'Master DataSheet (Rev)'!AI1090)</f>
        <v>7</v>
      </c>
      <c r="AM1090" s="91">
        <f t="shared" si="379"/>
        <v>7</v>
      </c>
      <c r="AN1090" s="92" t="str">
        <f t="shared" si="380"/>
        <v>Increasing</v>
      </c>
      <c r="AS1090" s="94">
        <f t="shared" si="381"/>
        <v>0</v>
      </c>
      <c r="AT1090" s="94">
        <f t="shared" si="382"/>
        <v>0</v>
      </c>
      <c r="AU1090" s="94">
        <f t="shared" si="369"/>
        <v>1.9000923309151936E-2</v>
      </c>
      <c r="AV1090" s="94">
        <f t="shared" si="370"/>
        <v>1.9000923309151936E-2</v>
      </c>
    </row>
    <row r="1091" spans="1:48" x14ac:dyDescent="0.3">
      <c r="A1091" s="85" t="str">
        <f>_xlfn.XLOOKUP(B1091,'Country codes &amp; Data sources'!G:G,'Country codes &amp; Data sources'!H:H,,0)</f>
        <v>Ethiopia</v>
      </c>
      <c r="B1091" s="85" t="s">
        <v>155</v>
      </c>
      <c r="C1091" s="85">
        <v>94451279.50000006</v>
      </c>
      <c r="D1091" s="85" t="s">
        <v>326</v>
      </c>
      <c r="E1091" s="86">
        <v>0</v>
      </c>
      <c r="F1091" s="86">
        <v>97084366.00000003</v>
      </c>
      <c r="G1091" s="86">
        <v>0</v>
      </c>
      <c r="H1091" s="86">
        <v>99746766.49999994</v>
      </c>
      <c r="I1091" s="86">
        <v>0</v>
      </c>
      <c r="J1091" s="86">
        <v>102471895.49999996</v>
      </c>
      <c r="K1091" s="86">
        <v>0</v>
      </c>
      <c r="L1091" s="86">
        <v>105293228.50000003</v>
      </c>
      <c r="M1091" s="86">
        <v>0</v>
      </c>
      <c r="N1091" s="86">
        <v>108197949.49999994</v>
      </c>
      <c r="O1091" s="86">
        <v>0</v>
      </c>
      <c r="P1091" s="86">
        <v>111129438.00000001</v>
      </c>
      <c r="Q1091" s="86">
        <v>8395</v>
      </c>
      <c r="R1091" s="87">
        <f t="shared" si="385"/>
        <v>11263</v>
      </c>
      <c r="S1091" s="87">
        <v>114120593.49999996</v>
      </c>
      <c r="T1091" s="87">
        <v>5867</v>
      </c>
      <c r="U1091" s="89">
        <v>117190910.99999994</v>
      </c>
      <c r="V1091" s="89">
        <v>12174</v>
      </c>
      <c r="W1091" s="90">
        <v>120283026.00000006</v>
      </c>
      <c r="X1091" s="90">
        <v>12174</v>
      </c>
      <c r="Y1091" s="90">
        <v>123379924.50000004</v>
      </c>
      <c r="Z1091" s="113">
        <f>13399+10342</f>
        <v>23741</v>
      </c>
      <c r="AA1091" s="90">
        <v>11263</v>
      </c>
      <c r="AB1091" s="89">
        <f t="shared" si="371"/>
        <v>0</v>
      </c>
      <c r="AC1091" s="89">
        <f t="shared" si="372"/>
        <v>8395</v>
      </c>
      <c r="AD1091" s="89">
        <f t="shared" si="373"/>
        <v>23741</v>
      </c>
      <c r="AF1091" s="90" t="str">
        <f t="shared" si="374"/>
        <v/>
      </c>
      <c r="AG1091" s="90">
        <f t="shared" si="384"/>
        <v>11263</v>
      </c>
      <c r="AH1091" s="90" t="str">
        <f t="shared" si="375"/>
        <v>2018 (triag)</v>
      </c>
      <c r="AI1091" s="90">
        <f t="shared" si="376"/>
        <v>23741</v>
      </c>
      <c r="AJ1091" s="90">
        <v>2022</v>
      </c>
      <c r="AK1091" s="90" t="str">
        <f t="shared" si="378"/>
        <v/>
      </c>
      <c r="AL1091" s="91">
        <f>IF(AK1091="Adjust",(_xlfn.XLOOKUP(A1091,'Adj factor'!A:A,'Adj factor'!I:I,,0)*AI1091),'Master DataSheet (Rev)'!AI1091)</f>
        <v>23741</v>
      </c>
      <c r="AM1091" s="91">
        <f t="shared" si="379"/>
        <v>23741</v>
      </c>
      <c r="AN1091" s="92" t="str">
        <f t="shared" si="380"/>
        <v>Increasing</v>
      </c>
      <c r="AS1091" s="94">
        <f t="shared" si="381"/>
        <v>0</v>
      </c>
      <c r="AT1091" s="94">
        <f t="shared" si="382"/>
        <v>1.0135028308160794</v>
      </c>
      <c r="AU1091" s="94">
        <f t="shared" ref="AU1091:AU1154" si="386">(AL1091*10000)/Y1091</f>
        <v>1.9242190409996556</v>
      </c>
      <c r="AV1091" s="94">
        <f t="shared" ref="AV1091:AV1154" si="387">(AM1091*10000)/Y1091</f>
        <v>1.9242190409996556</v>
      </c>
    </row>
    <row r="1092" spans="1:48" x14ac:dyDescent="0.3">
      <c r="A1092" s="85" t="str">
        <f>_xlfn.XLOOKUP(B1092,'Country codes &amp; Data sources'!G:G,'Country codes &amp; Data sources'!H:H,,0)</f>
        <v>Ethiopia</v>
      </c>
      <c r="B1092" s="85" t="s">
        <v>155</v>
      </c>
      <c r="C1092" s="85">
        <v>94451280.500000104</v>
      </c>
      <c r="D1092" s="85" t="s">
        <v>327</v>
      </c>
      <c r="E1092" s="86">
        <v>0</v>
      </c>
      <c r="F1092" s="86">
        <v>97084366.00000003</v>
      </c>
      <c r="G1092" s="86">
        <v>0</v>
      </c>
      <c r="H1092" s="86"/>
      <c r="I1092" s="86">
        <v>0</v>
      </c>
      <c r="J1092" s="86"/>
      <c r="K1092" s="86">
        <v>0</v>
      </c>
      <c r="L1092" s="86"/>
      <c r="M1092" s="86">
        <v>0</v>
      </c>
      <c r="N1092" s="86"/>
      <c r="O1092" s="86">
        <v>0</v>
      </c>
      <c r="P1092" s="86">
        <v>111129438.00000001</v>
      </c>
      <c r="Q1092" s="86">
        <v>5867</v>
      </c>
      <c r="R1092" s="87">
        <f t="shared" si="385"/>
        <v>5867</v>
      </c>
      <c r="T1092" s="87">
        <v>5867</v>
      </c>
      <c r="U1092" s="89"/>
      <c r="V1092" s="89">
        <v>9361</v>
      </c>
      <c r="W1092" s="90"/>
      <c r="X1092" s="90">
        <v>9361</v>
      </c>
      <c r="Y1092" s="90">
        <v>123379924.50000004</v>
      </c>
      <c r="Z1092" s="90">
        <v>8860</v>
      </c>
      <c r="AA1092" s="90">
        <v>5867</v>
      </c>
      <c r="AB1092" s="89">
        <f t="shared" si="371"/>
        <v>0</v>
      </c>
      <c r="AC1092" s="89">
        <f t="shared" si="372"/>
        <v>5867</v>
      </c>
      <c r="AD1092" s="89">
        <f t="shared" si="373"/>
        <v>9361</v>
      </c>
      <c r="AF1092" s="90" t="str">
        <f t="shared" si="374"/>
        <v/>
      </c>
      <c r="AG1092" s="90">
        <f t="shared" si="384"/>
        <v>5867</v>
      </c>
      <c r="AH1092" s="90">
        <f t="shared" si="375"/>
        <v>2018</v>
      </c>
      <c r="AI1092" s="90">
        <f t="shared" si="376"/>
        <v>8860</v>
      </c>
      <c r="AJ1092" s="90">
        <f t="shared" si="377"/>
        <v>2022</v>
      </c>
      <c r="AK1092" s="90" t="str">
        <f t="shared" si="378"/>
        <v/>
      </c>
      <c r="AL1092" s="91">
        <f>IF(AK1092="Adjust",(_xlfn.XLOOKUP(A1092,'Adj factor'!A:A,'Adj factor'!I:I,,0)*AI1092),'Master DataSheet (Rev)'!AI1092)</f>
        <v>8860</v>
      </c>
      <c r="AM1092" s="91">
        <f t="shared" si="379"/>
        <v>8860</v>
      </c>
      <c r="AN1092" s="92" t="str">
        <f t="shared" si="380"/>
        <v>Increasing</v>
      </c>
      <c r="AS1092" s="94">
        <f t="shared" si="381"/>
        <v>0</v>
      </c>
      <c r="AT1092" s="94">
        <f t="shared" si="382"/>
        <v>0.52794292003888288</v>
      </c>
      <c r="AU1092" s="94">
        <f t="shared" si="386"/>
        <v>0.71810710177570236</v>
      </c>
      <c r="AV1092" s="94">
        <f t="shared" si="387"/>
        <v>0.71810710177570236</v>
      </c>
    </row>
    <row r="1093" spans="1:48" x14ac:dyDescent="0.3">
      <c r="A1093" s="85" t="str">
        <f>_xlfn.XLOOKUP(B1093,'Country codes &amp; Data sources'!G:G,'Country codes &amp; Data sources'!H:H,,0)</f>
        <v>Ethiopia</v>
      </c>
      <c r="B1093" s="85" t="s">
        <v>155</v>
      </c>
      <c r="C1093" s="85">
        <v>94451281.500000104</v>
      </c>
      <c r="D1093" s="85" t="s">
        <v>328</v>
      </c>
      <c r="E1093" s="86">
        <v>0</v>
      </c>
      <c r="F1093" s="86">
        <v>97084366.00000003</v>
      </c>
      <c r="G1093" s="86">
        <v>0</v>
      </c>
      <c r="H1093" s="86"/>
      <c r="I1093" s="86">
        <v>0</v>
      </c>
      <c r="J1093" s="86"/>
      <c r="K1093" s="86">
        <v>0</v>
      </c>
      <c r="L1093" s="86"/>
      <c r="M1093" s="86">
        <v>0</v>
      </c>
      <c r="N1093" s="86"/>
      <c r="O1093" s="86">
        <v>0</v>
      </c>
      <c r="P1093" s="86">
        <v>111129438.00000001</v>
      </c>
      <c r="Q1093" s="86">
        <v>2528</v>
      </c>
      <c r="R1093" s="87">
        <f t="shared" si="385"/>
        <v>5396</v>
      </c>
      <c r="T1093" s="87">
        <v>0</v>
      </c>
      <c r="U1093" s="89"/>
      <c r="V1093" s="89">
        <v>2813</v>
      </c>
      <c r="W1093" s="90"/>
      <c r="X1093" s="90">
        <v>2813</v>
      </c>
      <c r="Y1093" s="90">
        <v>123379924.50000004</v>
      </c>
      <c r="Z1093" s="90">
        <v>4467</v>
      </c>
      <c r="AA1093" s="90">
        <v>5396</v>
      </c>
      <c r="AB1093" s="89">
        <f t="shared" si="371"/>
        <v>0</v>
      </c>
      <c r="AC1093" s="89">
        <f t="shared" si="372"/>
        <v>2528</v>
      </c>
      <c r="AD1093" s="89">
        <f t="shared" si="373"/>
        <v>4467</v>
      </c>
      <c r="AF1093" s="90" t="str">
        <f t="shared" si="374"/>
        <v/>
      </c>
      <c r="AG1093" s="90">
        <f t="shared" si="384"/>
        <v>5396</v>
      </c>
      <c r="AH1093" s="90" t="str">
        <f t="shared" si="375"/>
        <v>2018 (triag)</v>
      </c>
      <c r="AI1093" s="90">
        <f t="shared" si="376"/>
        <v>4467</v>
      </c>
      <c r="AJ1093" s="90">
        <f t="shared" si="377"/>
        <v>2022</v>
      </c>
      <c r="AK1093" s="90" t="str">
        <f t="shared" si="378"/>
        <v>Adjust</v>
      </c>
      <c r="AL1093" s="91">
        <f>IF(AK1093="Adjust",(_xlfn.XLOOKUP(A1093,'Adj factor'!A:A,'Adj factor'!I:I,,0)*AI1093),'Master DataSheet (Rev)'!AI1093)</f>
        <v>4560.2238523992301</v>
      </c>
      <c r="AM1093" s="91">
        <f t="shared" si="379"/>
        <v>5396</v>
      </c>
      <c r="AN1093" s="92" t="str">
        <f t="shared" si="380"/>
        <v>Decreasing</v>
      </c>
      <c r="AS1093" s="94">
        <f t="shared" si="381"/>
        <v>0</v>
      </c>
      <c r="AT1093" s="94">
        <f t="shared" si="382"/>
        <v>0.48555991077719651</v>
      </c>
      <c r="AU1093" s="94">
        <f t="shared" si="386"/>
        <v>0.36960825441251005</v>
      </c>
      <c r="AV1093" s="94">
        <f t="shared" si="387"/>
        <v>0.43734829810177084</v>
      </c>
    </row>
    <row r="1094" spans="1:48" x14ac:dyDescent="0.3">
      <c r="A1094" s="85" t="str">
        <f>_xlfn.XLOOKUP(B1094,'Country codes &amp; Data sources'!G:G,'Country codes &amp; Data sources'!H:H,,0)</f>
        <v>Ethiopia</v>
      </c>
      <c r="B1094" s="85" t="s">
        <v>155</v>
      </c>
      <c r="C1094" s="85">
        <v>94451282.500000104</v>
      </c>
      <c r="D1094" s="85" t="s">
        <v>329</v>
      </c>
      <c r="E1094" s="86">
        <v>0</v>
      </c>
      <c r="F1094" s="86">
        <v>97084366.00000003</v>
      </c>
      <c r="G1094" s="86">
        <v>0</v>
      </c>
      <c r="H1094" s="86"/>
      <c r="I1094" s="86">
        <v>0</v>
      </c>
      <c r="J1094" s="86"/>
      <c r="K1094" s="86">
        <v>0</v>
      </c>
      <c r="L1094" s="86"/>
      <c r="M1094" s="86">
        <v>0</v>
      </c>
      <c r="N1094" s="86"/>
      <c r="O1094" s="86">
        <v>88164</v>
      </c>
      <c r="P1094" s="86">
        <v>111129438.00000001</v>
      </c>
      <c r="Q1094" s="86">
        <v>61772</v>
      </c>
      <c r="R1094" s="87">
        <f t="shared" si="385"/>
        <v>61772</v>
      </c>
      <c r="T1094" s="87">
        <v>0</v>
      </c>
      <c r="U1094" s="89"/>
      <c r="V1094" s="89">
        <v>69824</v>
      </c>
      <c r="W1094" s="90"/>
      <c r="X1094" s="90">
        <v>69824</v>
      </c>
      <c r="Y1094" s="90">
        <v>123379924.50000004</v>
      </c>
      <c r="Z1094" s="113">
        <f>127696+3566</f>
        <v>131262</v>
      </c>
      <c r="AA1094" s="90">
        <v>61772</v>
      </c>
      <c r="AB1094" s="89">
        <f t="shared" si="371"/>
        <v>0</v>
      </c>
      <c r="AC1094" s="89">
        <f t="shared" si="372"/>
        <v>88164</v>
      </c>
      <c r="AD1094" s="89">
        <f t="shared" si="373"/>
        <v>131262</v>
      </c>
      <c r="AF1094" s="90" t="str">
        <f t="shared" si="374"/>
        <v/>
      </c>
      <c r="AG1094" s="90">
        <f t="shared" si="384"/>
        <v>61772</v>
      </c>
      <c r="AH1094" s="90">
        <f t="shared" si="375"/>
        <v>2018</v>
      </c>
      <c r="AI1094" s="90">
        <f t="shared" si="376"/>
        <v>131262</v>
      </c>
      <c r="AJ1094" s="90">
        <v>2022</v>
      </c>
      <c r="AK1094" s="90" t="str">
        <f t="shared" si="378"/>
        <v/>
      </c>
      <c r="AL1094" s="91">
        <f>IF(AK1094="Adjust",(_xlfn.XLOOKUP(A1094,'Adj factor'!A:A,'Adj factor'!I:I,,0)*AI1094),'Master DataSheet (Rev)'!AI1094)</f>
        <v>131262</v>
      </c>
      <c r="AM1094" s="91">
        <f t="shared" si="379"/>
        <v>131262</v>
      </c>
      <c r="AN1094" s="92" t="str">
        <f t="shared" si="380"/>
        <v>Increasing</v>
      </c>
      <c r="AS1094" s="94">
        <f t="shared" si="381"/>
        <v>0</v>
      </c>
      <c r="AT1094" s="94">
        <f t="shared" si="382"/>
        <v>5.5585631594753488</v>
      </c>
      <c r="AU1094" s="94">
        <f t="shared" si="386"/>
        <v>10.638845868316279</v>
      </c>
      <c r="AV1094" s="94">
        <f t="shared" si="387"/>
        <v>10.638845868316279</v>
      </c>
    </row>
    <row r="1095" spans="1:48" x14ac:dyDescent="0.3">
      <c r="A1095" s="85" t="str">
        <f>_xlfn.XLOOKUP(B1095,'Country codes &amp; Data sources'!G:G,'Country codes &amp; Data sources'!H:H,,0)</f>
        <v>Ethiopia</v>
      </c>
      <c r="B1095" s="85" t="s">
        <v>155</v>
      </c>
      <c r="C1095" s="85">
        <v>94451283.500000104</v>
      </c>
      <c r="D1095" s="85" t="s">
        <v>330</v>
      </c>
      <c r="E1095" s="86">
        <v>0</v>
      </c>
      <c r="F1095" s="86">
        <v>97084366.00000003</v>
      </c>
      <c r="G1095" s="86">
        <v>0</v>
      </c>
      <c r="H1095" s="86"/>
      <c r="I1095" s="86">
        <v>0</v>
      </c>
      <c r="J1095" s="86"/>
      <c r="K1095" s="86">
        <v>0</v>
      </c>
      <c r="L1095" s="86"/>
      <c r="M1095" s="86">
        <v>0</v>
      </c>
      <c r="N1095" s="86"/>
      <c r="O1095" s="86">
        <v>0</v>
      </c>
      <c r="P1095" s="86">
        <v>111129438.00000001</v>
      </c>
      <c r="Q1095" s="86">
        <v>61772</v>
      </c>
      <c r="R1095" s="87">
        <f t="shared" si="385"/>
        <v>61772</v>
      </c>
      <c r="T1095" s="87">
        <v>0</v>
      </c>
      <c r="U1095" s="89"/>
      <c r="V1095" s="89">
        <v>69824</v>
      </c>
      <c r="W1095" s="90"/>
      <c r="X1095" s="90">
        <v>69824</v>
      </c>
      <c r="Y1095" s="90">
        <v>123379924.50000004</v>
      </c>
      <c r="Z1095" s="90">
        <v>70246</v>
      </c>
      <c r="AA1095" s="90">
        <v>61772</v>
      </c>
      <c r="AB1095" s="89">
        <f t="shared" si="371"/>
        <v>0</v>
      </c>
      <c r="AC1095" s="89">
        <f t="shared" si="372"/>
        <v>61772</v>
      </c>
      <c r="AD1095" s="89">
        <f t="shared" si="373"/>
        <v>70246</v>
      </c>
      <c r="AF1095" s="90" t="str">
        <f t="shared" si="374"/>
        <v/>
      </c>
      <c r="AG1095" s="90">
        <f t="shared" si="384"/>
        <v>61772</v>
      </c>
      <c r="AH1095" s="90">
        <f t="shared" si="375"/>
        <v>2018</v>
      </c>
      <c r="AI1095" s="90">
        <f t="shared" si="376"/>
        <v>70246</v>
      </c>
      <c r="AJ1095" s="90">
        <f t="shared" si="377"/>
        <v>2022</v>
      </c>
      <c r="AK1095" s="90" t="str">
        <f t="shared" si="378"/>
        <v/>
      </c>
      <c r="AL1095" s="91">
        <f>IF(AK1095="Adjust",(_xlfn.XLOOKUP(A1095,'Adj factor'!A:A,'Adj factor'!I:I,,0)*AI1095),'Master DataSheet (Rev)'!AI1095)</f>
        <v>70246</v>
      </c>
      <c r="AM1095" s="91">
        <f t="shared" si="379"/>
        <v>70246</v>
      </c>
      <c r="AN1095" s="92" t="str">
        <f t="shared" si="380"/>
        <v>Increasing</v>
      </c>
      <c r="AS1095" s="94">
        <f t="shared" si="381"/>
        <v>0</v>
      </c>
      <c r="AT1095" s="94">
        <f t="shared" si="382"/>
        <v>5.5585631594753488</v>
      </c>
      <c r="AU1095" s="94">
        <f t="shared" si="386"/>
        <v>5.6934708206925491</v>
      </c>
      <c r="AV1095" s="94">
        <f t="shared" si="387"/>
        <v>5.6934708206925491</v>
      </c>
    </row>
    <row r="1096" spans="1:48" x14ac:dyDescent="0.3">
      <c r="A1096" s="85" t="str">
        <f>_xlfn.XLOOKUP(B1096,'Country codes &amp; Data sources'!G:G,'Country codes &amp; Data sources'!H:H,,0)</f>
        <v>Ethiopia</v>
      </c>
      <c r="B1096" s="85" t="s">
        <v>155</v>
      </c>
      <c r="C1096" s="85">
        <v>94451284.500000104</v>
      </c>
      <c r="D1096" s="85" t="s">
        <v>331</v>
      </c>
      <c r="E1096" s="86">
        <v>0</v>
      </c>
      <c r="F1096" s="86">
        <v>97084366.00000003</v>
      </c>
      <c r="G1096" s="86">
        <v>0</v>
      </c>
      <c r="H1096" s="86"/>
      <c r="I1096" s="86">
        <v>0</v>
      </c>
      <c r="J1096" s="86"/>
      <c r="K1096" s="86">
        <v>0</v>
      </c>
      <c r="L1096" s="86"/>
      <c r="M1096" s="86">
        <v>0</v>
      </c>
      <c r="N1096" s="86"/>
      <c r="O1096" s="86">
        <v>0</v>
      </c>
      <c r="P1096" s="86">
        <v>111129438.00000001</v>
      </c>
      <c r="Q1096" s="86">
        <v>0</v>
      </c>
      <c r="R1096" s="87">
        <f t="shared" si="385"/>
        <v>0</v>
      </c>
      <c r="T1096" s="87">
        <v>0</v>
      </c>
      <c r="U1096" s="89"/>
      <c r="V1096" s="89">
        <v>0</v>
      </c>
      <c r="W1096" s="90"/>
      <c r="X1096" s="90">
        <v>0</v>
      </c>
      <c r="Y1096" s="90">
        <v>123379924.50000004</v>
      </c>
      <c r="Z1096" s="90">
        <v>0</v>
      </c>
      <c r="AA1096" s="90">
        <v>0</v>
      </c>
      <c r="AB1096" s="89">
        <f t="shared" si="371"/>
        <v>0</v>
      </c>
      <c r="AC1096" s="89">
        <f t="shared" si="372"/>
        <v>0</v>
      </c>
      <c r="AD1096" s="89">
        <f t="shared" si="373"/>
        <v>0</v>
      </c>
      <c r="AF1096" s="90" t="str">
        <f t="shared" si="374"/>
        <v/>
      </c>
      <c r="AH1096" s="90" t="str">
        <f t="shared" si="375"/>
        <v/>
      </c>
      <c r="AI1096" s="90">
        <f t="shared" si="376"/>
        <v>0</v>
      </c>
      <c r="AJ1096" s="90" t="str">
        <f t="shared" si="377"/>
        <v/>
      </c>
      <c r="AK1096" s="90" t="str">
        <f t="shared" si="378"/>
        <v/>
      </c>
      <c r="AL1096" s="91"/>
      <c r="AM1096" s="91">
        <f t="shared" si="379"/>
        <v>0</v>
      </c>
      <c r="AN1096" s="92" t="str">
        <f t="shared" si="380"/>
        <v>No change</v>
      </c>
      <c r="AS1096" s="94">
        <f t="shared" si="381"/>
        <v>0</v>
      </c>
      <c r="AT1096" s="94">
        <f t="shared" si="382"/>
        <v>0</v>
      </c>
      <c r="AU1096" s="94">
        <f t="shared" si="386"/>
        <v>0</v>
      </c>
      <c r="AV1096" s="94">
        <f t="shared" si="387"/>
        <v>0</v>
      </c>
    </row>
    <row r="1097" spans="1:48" x14ac:dyDescent="0.3">
      <c r="A1097" s="85" t="str">
        <f>_xlfn.XLOOKUP(B1097,'Country codes &amp; Data sources'!G:G,'Country codes &amp; Data sources'!H:H,,0)</f>
        <v>Ethiopia</v>
      </c>
      <c r="B1097" s="85" t="s">
        <v>155</v>
      </c>
      <c r="C1097" s="85">
        <v>94451285.500000104</v>
      </c>
      <c r="D1097" s="85" t="s">
        <v>332</v>
      </c>
      <c r="E1097" s="86">
        <v>0</v>
      </c>
      <c r="F1097" s="86">
        <v>97084366.00000003</v>
      </c>
      <c r="G1097" s="86">
        <v>6925</v>
      </c>
      <c r="H1097" s="86"/>
      <c r="I1097" s="86">
        <v>0</v>
      </c>
      <c r="J1097" s="86"/>
      <c r="K1097" s="86">
        <v>0</v>
      </c>
      <c r="L1097" s="86"/>
      <c r="M1097" s="86">
        <v>12069</v>
      </c>
      <c r="N1097" s="86"/>
      <c r="O1097" s="86">
        <v>0</v>
      </c>
      <c r="P1097" s="86">
        <v>111129438.00000001</v>
      </c>
      <c r="Q1097" s="86">
        <v>16159</v>
      </c>
      <c r="R1097" s="87">
        <f t="shared" si="385"/>
        <v>16161</v>
      </c>
      <c r="T1097" s="87">
        <v>0</v>
      </c>
      <c r="U1097" s="89"/>
      <c r="V1097" s="89">
        <v>20355</v>
      </c>
      <c r="W1097" s="90"/>
      <c r="X1097" s="90">
        <v>20355</v>
      </c>
      <c r="Y1097" s="90">
        <v>123379924.50000004</v>
      </c>
      <c r="Z1097" s="113">
        <v>34541</v>
      </c>
      <c r="AA1097" s="90">
        <v>16161</v>
      </c>
      <c r="AB1097" s="89">
        <f t="shared" si="371"/>
        <v>6925</v>
      </c>
      <c r="AC1097" s="89">
        <f t="shared" si="372"/>
        <v>16159</v>
      </c>
      <c r="AD1097" s="89">
        <f t="shared" si="373"/>
        <v>34541</v>
      </c>
      <c r="AE1097" s="90">
        <f t="shared" si="383"/>
        <v>6925</v>
      </c>
      <c r="AF1097" s="90">
        <f t="shared" si="374"/>
        <v>2013</v>
      </c>
      <c r="AG1097" s="90">
        <f t="shared" si="384"/>
        <v>16161</v>
      </c>
      <c r="AH1097" s="90" t="str">
        <f t="shared" si="375"/>
        <v>2018 (triag)</v>
      </c>
      <c r="AI1097" s="90">
        <f t="shared" si="376"/>
        <v>34541</v>
      </c>
      <c r="AJ1097" s="90">
        <v>2022</v>
      </c>
      <c r="AK1097" s="90" t="str">
        <f t="shared" si="378"/>
        <v/>
      </c>
      <c r="AL1097" s="91">
        <f>IF(AK1097="Adjust",(_xlfn.XLOOKUP(A1097,'Adj factor'!A:A,'Adj factor'!I:I,,0)*AI1097),'Master DataSheet (Rev)'!AI1097)</f>
        <v>34541</v>
      </c>
      <c r="AM1097" s="91">
        <f t="shared" si="379"/>
        <v>34541</v>
      </c>
      <c r="AN1097" s="92" t="str">
        <f t="shared" si="380"/>
        <v>Increasing</v>
      </c>
      <c r="AS1097" s="94">
        <f t="shared" si="381"/>
        <v>0.71329713375271953</v>
      </c>
      <c r="AT1097" s="94">
        <f t="shared" si="382"/>
        <v>1.4542501330745503</v>
      </c>
      <c r="AU1097" s="94">
        <f t="shared" si="386"/>
        <v>2.7995640409068323</v>
      </c>
      <c r="AV1097" s="94">
        <f t="shared" si="387"/>
        <v>2.7995640409068323</v>
      </c>
    </row>
    <row r="1098" spans="1:48" x14ac:dyDescent="0.3">
      <c r="A1098" s="85" t="str">
        <f>_xlfn.XLOOKUP(B1098,'Country codes &amp; Data sources'!G:G,'Country codes &amp; Data sources'!H:H,,0)</f>
        <v>Ethiopia</v>
      </c>
      <c r="B1098" s="85" t="s">
        <v>155</v>
      </c>
      <c r="C1098" s="85">
        <v>94451286.500000104</v>
      </c>
      <c r="D1098" s="85" t="s">
        <v>333</v>
      </c>
      <c r="E1098" s="86">
        <v>0</v>
      </c>
      <c r="F1098" s="86">
        <v>97084366.00000003</v>
      </c>
      <c r="G1098" s="86">
        <v>6925</v>
      </c>
      <c r="H1098" s="86"/>
      <c r="I1098" s="86">
        <v>0</v>
      </c>
      <c r="J1098" s="86"/>
      <c r="K1098" s="86">
        <v>0</v>
      </c>
      <c r="L1098" s="86"/>
      <c r="M1098" s="86">
        <v>12069</v>
      </c>
      <c r="N1098" s="86"/>
      <c r="O1098" s="86">
        <v>0</v>
      </c>
      <c r="P1098" s="86">
        <v>111129438.00000001</v>
      </c>
      <c r="Q1098" s="86">
        <v>16159</v>
      </c>
      <c r="R1098" s="87">
        <f t="shared" si="385"/>
        <v>16159</v>
      </c>
      <c r="T1098" s="87">
        <v>0</v>
      </c>
      <c r="U1098" s="89"/>
      <c r="V1098" s="89">
        <v>20355</v>
      </c>
      <c r="W1098" s="90"/>
      <c r="X1098" s="90">
        <v>20355</v>
      </c>
      <c r="Y1098" s="90">
        <v>123379924.50000004</v>
      </c>
      <c r="Z1098" s="90">
        <v>21993</v>
      </c>
      <c r="AA1098" s="90">
        <v>16159</v>
      </c>
      <c r="AB1098" s="89">
        <f t="shared" si="371"/>
        <v>6925</v>
      </c>
      <c r="AC1098" s="89">
        <f t="shared" si="372"/>
        <v>16159</v>
      </c>
      <c r="AD1098" s="89">
        <f t="shared" si="373"/>
        <v>21993</v>
      </c>
      <c r="AE1098" s="90">
        <f t="shared" si="383"/>
        <v>6925</v>
      </c>
      <c r="AF1098" s="90">
        <f t="shared" si="374"/>
        <v>2013</v>
      </c>
      <c r="AG1098" s="90">
        <f t="shared" si="384"/>
        <v>16159</v>
      </c>
      <c r="AH1098" s="90">
        <f t="shared" si="375"/>
        <v>2018</v>
      </c>
      <c r="AI1098" s="90">
        <f t="shared" si="376"/>
        <v>21993</v>
      </c>
      <c r="AJ1098" s="90">
        <f t="shared" si="377"/>
        <v>2022</v>
      </c>
      <c r="AK1098" s="90" t="str">
        <f t="shared" si="378"/>
        <v/>
      </c>
      <c r="AL1098" s="91">
        <f>IF(AK1098="Adjust",(_xlfn.XLOOKUP(A1098,'Adj factor'!A:A,'Adj factor'!I:I,,0)*AI1098),'Master DataSheet (Rev)'!AI1098)</f>
        <v>21993</v>
      </c>
      <c r="AM1098" s="91">
        <f t="shared" si="379"/>
        <v>21993</v>
      </c>
      <c r="AN1098" s="92" t="str">
        <f t="shared" si="380"/>
        <v>Increasing</v>
      </c>
      <c r="AS1098" s="94">
        <f t="shared" si="381"/>
        <v>0.71329713375271953</v>
      </c>
      <c r="AT1098" s="94">
        <f t="shared" si="382"/>
        <v>1.4540701627592141</v>
      </c>
      <c r="AU1098" s="94">
        <f t="shared" si="386"/>
        <v>1.7825428317554199</v>
      </c>
      <c r="AV1098" s="94">
        <f t="shared" si="387"/>
        <v>1.7825428317554199</v>
      </c>
    </row>
    <row r="1099" spans="1:48" x14ac:dyDescent="0.3">
      <c r="A1099" s="85" t="str">
        <f>_xlfn.XLOOKUP(B1099,'Country codes &amp; Data sources'!G:G,'Country codes &amp; Data sources'!H:H,,0)</f>
        <v>Ethiopia</v>
      </c>
      <c r="B1099" s="85" t="s">
        <v>155</v>
      </c>
      <c r="C1099" s="85">
        <v>94451287.500000104</v>
      </c>
      <c r="D1099" s="85" t="s">
        <v>334</v>
      </c>
      <c r="E1099" s="86">
        <v>0</v>
      </c>
      <c r="F1099" s="86">
        <v>97084366.00000003</v>
      </c>
      <c r="G1099" s="86">
        <v>0</v>
      </c>
      <c r="H1099" s="86"/>
      <c r="I1099" s="86">
        <v>0</v>
      </c>
      <c r="J1099" s="86"/>
      <c r="K1099" s="86">
        <v>0</v>
      </c>
      <c r="L1099" s="86"/>
      <c r="M1099" s="86">
        <v>0</v>
      </c>
      <c r="N1099" s="86"/>
      <c r="O1099" s="86">
        <v>0</v>
      </c>
      <c r="P1099" s="86">
        <v>111129438.00000001</v>
      </c>
      <c r="Q1099" s="86">
        <v>0</v>
      </c>
      <c r="R1099" s="87">
        <f t="shared" si="385"/>
        <v>2</v>
      </c>
      <c r="T1099" s="87">
        <v>0</v>
      </c>
      <c r="U1099" s="89"/>
      <c r="V1099" s="89">
        <v>0</v>
      </c>
      <c r="W1099" s="90"/>
      <c r="X1099" s="90">
        <v>0</v>
      </c>
      <c r="Y1099" s="90">
        <v>123379924.50000004</v>
      </c>
      <c r="Z1099" s="90">
        <v>0</v>
      </c>
      <c r="AA1099" s="90">
        <v>2</v>
      </c>
      <c r="AB1099" s="89">
        <f t="shared" si="371"/>
        <v>0</v>
      </c>
      <c r="AC1099" s="89">
        <f t="shared" si="372"/>
        <v>0</v>
      </c>
      <c r="AD1099" s="89">
        <f t="shared" si="373"/>
        <v>0</v>
      </c>
      <c r="AF1099" s="90" t="str">
        <f t="shared" si="374"/>
        <v/>
      </c>
      <c r="AG1099" s="90">
        <f t="shared" si="384"/>
        <v>2</v>
      </c>
      <c r="AH1099" s="90" t="str">
        <f t="shared" si="375"/>
        <v>2018 (triag)</v>
      </c>
      <c r="AI1099" s="90">
        <f t="shared" si="376"/>
        <v>2</v>
      </c>
      <c r="AJ1099" s="90" t="str">
        <f t="shared" si="377"/>
        <v>2018 (triag)</v>
      </c>
      <c r="AK1099" s="90" t="str">
        <f t="shared" si="378"/>
        <v/>
      </c>
      <c r="AL1099" s="91">
        <f>IF(AK1099="Adjust",(_xlfn.XLOOKUP(A1099,'Adj factor'!A:A,'Adj factor'!I:I,,0)*AI1099),'Master DataSheet (Rev)'!AI1099)</f>
        <v>2</v>
      </c>
      <c r="AM1099" s="91">
        <f t="shared" si="379"/>
        <v>2</v>
      </c>
      <c r="AN1099" s="92" t="str">
        <f t="shared" si="380"/>
        <v>No change</v>
      </c>
      <c r="AS1099" s="94">
        <f t="shared" si="381"/>
        <v>0</v>
      </c>
      <c r="AT1099" s="94">
        <f t="shared" si="382"/>
        <v>1.7997031533624778E-4</v>
      </c>
      <c r="AU1099" s="94">
        <f t="shared" si="386"/>
        <v>1.6210092590873641E-4</v>
      </c>
      <c r="AV1099" s="94">
        <f t="shared" si="387"/>
        <v>1.6210092590873641E-4</v>
      </c>
    </row>
    <row r="1100" spans="1:48" x14ac:dyDescent="0.3">
      <c r="A1100" s="85" t="str">
        <f>_xlfn.XLOOKUP(B1100,'Country codes &amp; Data sources'!G:G,'Country codes &amp; Data sources'!H:H,,0)</f>
        <v>Ethiopia</v>
      </c>
      <c r="B1100" s="85" t="s">
        <v>155</v>
      </c>
      <c r="C1100" s="85">
        <v>94451288.500000104</v>
      </c>
      <c r="D1100" s="85" t="s">
        <v>335</v>
      </c>
      <c r="E1100" s="86">
        <v>0</v>
      </c>
      <c r="F1100" s="86">
        <v>97084366.00000003</v>
      </c>
      <c r="G1100" s="86">
        <v>0</v>
      </c>
      <c r="H1100" s="86"/>
      <c r="I1100" s="86">
        <v>0</v>
      </c>
      <c r="J1100" s="86"/>
      <c r="K1100" s="86">
        <v>0</v>
      </c>
      <c r="L1100" s="86"/>
      <c r="M1100" s="86">
        <v>0</v>
      </c>
      <c r="N1100" s="86"/>
      <c r="O1100" s="86">
        <v>0</v>
      </c>
      <c r="P1100" s="86">
        <v>111129438.00000001</v>
      </c>
      <c r="Q1100" s="86">
        <v>10752</v>
      </c>
      <c r="R1100" s="87">
        <f t="shared" si="385"/>
        <v>10752</v>
      </c>
      <c r="T1100" s="87">
        <v>0</v>
      </c>
      <c r="U1100" s="89"/>
      <c r="V1100" s="89">
        <v>5394</v>
      </c>
      <c r="W1100" s="90"/>
      <c r="X1100" s="90">
        <v>15498</v>
      </c>
      <c r="Y1100" s="90">
        <v>123379924.50000004</v>
      </c>
      <c r="Z1100" s="113">
        <v>22344</v>
      </c>
      <c r="AA1100" s="90">
        <v>3907</v>
      </c>
      <c r="AB1100" s="89">
        <f t="shared" si="371"/>
        <v>0</v>
      </c>
      <c r="AC1100" s="89">
        <f t="shared" si="372"/>
        <v>10752</v>
      </c>
      <c r="AD1100" s="89">
        <f t="shared" si="373"/>
        <v>22344</v>
      </c>
      <c r="AF1100" s="90" t="str">
        <f t="shared" si="374"/>
        <v/>
      </c>
      <c r="AG1100" s="90">
        <f t="shared" si="384"/>
        <v>10752</v>
      </c>
      <c r="AH1100" s="90">
        <f t="shared" si="375"/>
        <v>2018</v>
      </c>
      <c r="AI1100" s="90">
        <f t="shared" si="376"/>
        <v>22344</v>
      </c>
      <c r="AJ1100" s="90">
        <v>2022</v>
      </c>
      <c r="AK1100" s="90" t="str">
        <f t="shared" si="378"/>
        <v/>
      </c>
      <c r="AL1100" s="91">
        <f>IF(AK1100="Adjust",(_xlfn.XLOOKUP(A1100,'Adj factor'!A:A,'Adj factor'!I:I,,0)*AI1100),'Master DataSheet (Rev)'!AI1100)</f>
        <v>22344</v>
      </c>
      <c r="AM1100" s="91">
        <f t="shared" si="379"/>
        <v>22344</v>
      </c>
      <c r="AN1100" s="92" t="str">
        <f t="shared" si="380"/>
        <v>Increasing</v>
      </c>
      <c r="AS1100" s="94">
        <f t="shared" si="381"/>
        <v>0</v>
      </c>
      <c r="AT1100" s="94">
        <f t="shared" si="382"/>
        <v>0.96752041524766808</v>
      </c>
      <c r="AU1100" s="94">
        <f t="shared" si="386"/>
        <v>1.8109915442524032</v>
      </c>
      <c r="AV1100" s="94">
        <f t="shared" si="387"/>
        <v>1.8109915442524032</v>
      </c>
    </row>
    <row r="1101" spans="1:48" x14ac:dyDescent="0.3">
      <c r="A1101" s="85" t="str">
        <f>_xlfn.XLOOKUP(B1101,'Country codes &amp; Data sources'!G:G,'Country codes &amp; Data sources'!H:H,,0)</f>
        <v>Ethiopia</v>
      </c>
      <c r="B1101" s="85" t="s">
        <v>155</v>
      </c>
      <c r="C1101" s="85">
        <v>94451289.500000104</v>
      </c>
      <c r="D1101" s="85" t="s">
        <v>336</v>
      </c>
      <c r="E1101" s="86">
        <v>0</v>
      </c>
      <c r="F1101" s="86">
        <v>97084366.00000003</v>
      </c>
      <c r="G1101" s="86">
        <v>0</v>
      </c>
      <c r="H1101" s="86"/>
      <c r="I1101" s="86">
        <v>0</v>
      </c>
      <c r="J1101" s="86"/>
      <c r="K1101" s="86">
        <v>0</v>
      </c>
      <c r="L1101" s="86"/>
      <c r="M1101" s="86">
        <v>0</v>
      </c>
      <c r="N1101" s="86"/>
      <c r="O1101" s="86">
        <v>0</v>
      </c>
      <c r="P1101" s="86">
        <v>111129438.00000001</v>
      </c>
      <c r="Q1101" s="86">
        <v>0</v>
      </c>
      <c r="R1101" s="87">
        <f t="shared" si="385"/>
        <v>6845</v>
      </c>
      <c r="T1101" s="87">
        <v>0</v>
      </c>
      <c r="U1101" s="89"/>
      <c r="V1101" s="89">
        <v>10104</v>
      </c>
      <c r="W1101" s="90"/>
      <c r="X1101" s="90">
        <v>0</v>
      </c>
      <c r="Y1101" s="90">
        <v>123379924.50000004</v>
      </c>
      <c r="Z1101" s="113">
        <v>13620</v>
      </c>
      <c r="AA1101" s="90">
        <v>6845</v>
      </c>
      <c r="AB1101" s="89">
        <f t="shared" si="371"/>
        <v>0</v>
      </c>
      <c r="AC1101" s="89">
        <f t="shared" si="372"/>
        <v>0</v>
      </c>
      <c r="AD1101" s="89">
        <f t="shared" si="373"/>
        <v>13620</v>
      </c>
      <c r="AF1101" s="90" t="str">
        <f t="shared" si="374"/>
        <v/>
      </c>
      <c r="AG1101" s="90">
        <f t="shared" si="384"/>
        <v>6845</v>
      </c>
      <c r="AH1101" s="90" t="str">
        <f t="shared" si="375"/>
        <v>2018 (triag)</v>
      </c>
      <c r="AI1101" s="90">
        <f t="shared" si="376"/>
        <v>13620</v>
      </c>
      <c r="AJ1101" s="90">
        <v>2022</v>
      </c>
      <c r="AK1101" s="90" t="str">
        <f t="shared" si="378"/>
        <v/>
      </c>
      <c r="AL1101" s="91">
        <f>IF(AK1101="Adjust",(_xlfn.XLOOKUP(A1101,'Adj factor'!A:A,'Adj factor'!I:I,,0)*AI1101),'Master DataSheet (Rev)'!AI1101)</f>
        <v>13620</v>
      </c>
      <c r="AM1101" s="91">
        <f t="shared" si="379"/>
        <v>13620</v>
      </c>
      <c r="AN1101" s="92" t="str">
        <f t="shared" si="380"/>
        <v>Increasing</v>
      </c>
      <c r="AS1101" s="94">
        <f t="shared" si="381"/>
        <v>0</v>
      </c>
      <c r="AT1101" s="94">
        <f t="shared" si="382"/>
        <v>0.61594840423830799</v>
      </c>
      <c r="AU1101" s="94">
        <f t="shared" si="386"/>
        <v>1.1039073054384949</v>
      </c>
      <c r="AV1101" s="94">
        <f t="shared" si="387"/>
        <v>1.1039073054384949</v>
      </c>
    </row>
    <row r="1102" spans="1:48" x14ac:dyDescent="0.3">
      <c r="A1102" s="85" t="str">
        <f>_xlfn.XLOOKUP(B1102,'Country codes &amp; Data sources'!G:G,'Country codes &amp; Data sources'!H:H,,0)</f>
        <v>Ethiopia</v>
      </c>
      <c r="B1102" s="85" t="s">
        <v>155</v>
      </c>
      <c r="C1102" s="85">
        <v>94451290.500000104</v>
      </c>
      <c r="D1102" s="85" t="s">
        <v>337</v>
      </c>
      <c r="E1102" s="86">
        <v>0</v>
      </c>
      <c r="F1102" s="86">
        <v>97084366.00000003</v>
      </c>
      <c r="G1102" s="86">
        <v>0</v>
      </c>
      <c r="H1102" s="86"/>
      <c r="I1102" s="86">
        <v>0</v>
      </c>
      <c r="J1102" s="86"/>
      <c r="K1102" s="86">
        <v>0</v>
      </c>
      <c r="L1102" s="86"/>
      <c r="M1102" s="86">
        <v>0</v>
      </c>
      <c r="N1102" s="86"/>
      <c r="O1102" s="86">
        <v>0</v>
      </c>
      <c r="P1102" s="86">
        <v>111129438.00000001</v>
      </c>
      <c r="Q1102" s="86">
        <v>1889</v>
      </c>
      <c r="R1102" s="87">
        <f t="shared" si="385"/>
        <v>1889</v>
      </c>
      <c r="T1102" s="87">
        <v>52</v>
      </c>
      <c r="U1102" s="89"/>
      <c r="V1102" s="89">
        <v>228</v>
      </c>
      <c r="W1102" s="90"/>
      <c r="X1102" s="90">
        <v>0</v>
      </c>
      <c r="Y1102" s="90">
        <v>123379924.50000004</v>
      </c>
      <c r="Z1102" s="113">
        <v>3522</v>
      </c>
      <c r="AA1102" s="90">
        <v>1745</v>
      </c>
      <c r="AB1102" s="89">
        <f t="shared" si="371"/>
        <v>0</v>
      </c>
      <c r="AC1102" s="89">
        <f t="shared" si="372"/>
        <v>1889</v>
      </c>
      <c r="AD1102" s="89">
        <f t="shared" si="373"/>
        <v>3522</v>
      </c>
      <c r="AF1102" s="90" t="str">
        <f t="shared" si="374"/>
        <v/>
      </c>
      <c r="AG1102" s="90">
        <f t="shared" si="384"/>
        <v>1889</v>
      </c>
      <c r="AH1102" s="90">
        <f t="shared" si="375"/>
        <v>2018</v>
      </c>
      <c r="AI1102" s="90">
        <f t="shared" si="376"/>
        <v>3522</v>
      </c>
      <c r="AJ1102" s="90">
        <v>2022</v>
      </c>
      <c r="AK1102" s="90" t="str">
        <f t="shared" si="378"/>
        <v/>
      </c>
      <c r="AL1102" s="91">
        <f>IF(AK1102="Adjust",(_xlfn.XLOOKUP(A1102,'Adj factor'!A:A,'Adj factor'!I:I,,0)*AI1102),'Master DataSheet (Rev)'!AI1102)</f>
        <v>3522</v>
      </c>
      <c r="AM1102" s="91">
        <f t="shared" si="379"/>
        <v>3522</v>
      </c>
      <c r="AN1102" s="92" t="str">
        <f t="shared" si="380"/>
        <v>Increasing</v>
      </c>
      <c r="AS1102" s="94">
        <f t="shared" si="381"/>
        <v>0</v>
      </c>
      <c r="AT1102" s="94">
        <f t="shared" si="382"/>
        <v>0.16998196283508604</v>
      </c>
      <c r="AU1102" s="94">
        <f t="shared" si="386"/>
        <v>0.28545973052528484</v>
      </c>
      <c r="AV1102" s="94">
        <f t="shared" si="387"/>
        <v>0.28545973052528484</v>
      </c>
    </row>
    <row r="1103" spans="1:48" x14ac:dyDescent="0.3">
      <c r="A1103" s="85" t="str">
        <f>_xlfn.XLOOKUP(B1103,'Country codes &amp; Data sources'!G:G,'Country codes &amp; Data sources'!H:H,,0)</f>
        <v>Ethiopia</v>
      </c>
      <c r="B1103" s="85" t="s">
        <v>155</v>
      </c>
      <c r="C1103" s="85">
        <v>94451291.500000104</v>
      </c>
      <c r="D1103" s="85" t="s">
        <v>338</v>
      </c>
      <c r="E1103" s="86">
        <v>0</v>
      </c>
      <c r="F1103" s="86">
        <v>97084366.00000003</v>
      </c>
      <c r="G1103" s="86">
        <v>0</v>
      </c>
      <c r="H1103" s="86"/>
      <c r="I1103" s="86">
        <v>0</v>
      </c>
      <c r="J1103" s="86"/>
      <c r="K1103" s="86">
        <v>0</v>
      </c>
      <c r="L1103" s="86"/>
      <c r="M1103" s="86">
        <v>0</v>
      </c>
      <c r="N1103" s="86"/>
      <c r="O1103" s="86">
        <v>0</v>
      </c>
      <c r="P1103" s="86">
        <v>111129438.00000001</v>
      </c>
      <c r="Q1103" s="86">
        <v>0</v>
      </c>
      <c r="R1103" s="87">
        <f t="shared" si="385"/>
        <v>144</v>
      </c>
      <c r="T1103" s="87">
        <v>0</v>
      </c>
      <c r="U1103" s="89"/>
      <c r="V1103" s="89">
        <v>110</v>
      </c>
      <c r="W1103" s="90"/>
      <c r="X1103" s="90">
        <v>0</v>
      </c>
      <c r="Y1103" s="90">
        <v>123379924.50000004</v>
      </c>
      <c r="Z1103" s="90">
        <v>195</v>
      </c>
      <c r="AA1103" s="90">
        <v>144</v>
      </c>
      <c r="AB1103" s="89">
        <f t="shared" si="371"/>
        <v>0</v>
      </c>
      <c r="AC1103" s="89">
        <f t="shared" si="372"/>
        <v>0</v>
      </c>
      <c r="AD1103" s="89">
        <f t="shared" si="373"/>
        <v>195</v>
      </c>
      <c r="AF1103" s="90" t="str">
        <f t="shared" si="374"/>
        <v/>
      </c>
      <c r="AG1103" s="90">
        <f t="shared" si="384"/>
        <v>144</v>
      </c>
      <c r="AH1103" s="90" t="str">
        <f t="shared" si="375"/>
        <v>2018 (triag)</v>
      </c>
      <c r="AI1103" s="90">
        <f t="shared" si="376"/>
        <v>195</v>
      </c>
      <c r="AJ1103" s="90">
        <f t="shared" si="377"/>
        <v>2022</v>
      </c>
      <c r="AK1103" s="90" t="str">
        <f t="shared" si="378"/>
        <v/>
      </c>
      <c r="AL1103" s="91">
        <f>IF(AK1103="Adjust",(_xlfn.XLOOKUP(A1103,'Adj factor'!A:A,'Adj factor'!I:I,,0)*AI1103),'Master DataSheet (Rev)'!AI1103)</f>
        <v>195</v>
      </c>
      <c r="AM1103" s="91">
        <f t="shared" si="379"/>
        <v>195</v>
      </c>
      <c r="AN1103" s="92" t="str">
        <f t="shared" si="380"/>
        <v>Increasing</v>
      </c>
      <c r="AS1103" s="94">
        <f t="shared" si="381"/>
        <v>0</v>
      </c>
      <c r="AT1103" s="94">
        <f t="shared" si="382"/>
        <v>1.295786270420984E-2</v>
      </c>
      <c r="AU1103" s="94">
        <f t="shared" si="386"/>
        <v>1.5804840276101802E-2</v>
      </c>
      <c r="AV1103" s="94">
        <f t="shared" si="387"/>
        <v>1.5804840276101802E-2</v>
      </c>
    </row>
    <row r="1104" spans="1:48" x14ac:dyDescent="0.3">
      <c r="A1104" s="85" t="str">
        <f>_xlfn.XLOOKUP(B1104,'Country codes &amp; Data sources'!G:G,'Country codes &amp; Data sources'!H:H,,0)</f>
        <v>Ethiopia</v>
      </c>
      <c r="B1104" s="85" t="s">
        <v>155</v>
      </c>
      <c r="C1104" s="85">
        <v>94451292.500000104</v>
      </c>
      <c r="D1104" s="85" t="s">
        <v>339</v>
      </c>
      <c r="E1104" s="86">
        <v>0</v>
      </c>
      <c r="F1104" s="86">
        <v>97084366.00000003</v>
      </c>
      <c r="G1104" s="86">
        <v>0</v>
      </c>
      <c r="H1104" s="86"/>
      <c r="I1104" s="86">
        <v>0</v>
      </c>
      <c r="J1104" s="86"/>
      <c r="K1104" s="86">
        <v>0</v>
      </c>
      <c r="L1104" s="86"/>
      <c r="M1104" s="86">
        <v>0</v>
      </c>
      <c r="N1104" s="86"/>
      <c r="O1104" s="86">
        <v>0</v>
      </c>
      <c r="P1104" s="86">
        <v>111129438.00000001</v>
      </c>
      <c r="Q1104" s="86">
        <v>0</v>
      </c>
      <c r="R1104" s="87">
        <f t="shared" si="385"/>
        <v>0</v>
      </c>
      <c r="T1104" s="87">
        <v>0</v>
      </c>
      <c r="U1104" s="89"/>
      <c r="V1104" s="89">
        <v>0</v>
      </c>
      <c r="W1104" s="90"/>
      <c r="X1104" s="90">
        <v>0</v>
      </c>
      <c r="Y1104" s="90">
        <v>123379924.50000004</v>
      </c>
      <c r="Z1104" s="90">
        <v>0</v>
      </c>
      <c r="AA1104" s="90">
        <v>0</v>
      </c>
      <c r="AB1104" s="89">
        <f t="shared" si="371"/>
        <v>0</v>
      </c>
      <c r="AC1104" s="89">
        <f t="shared" si="372"/>
        <v>0</v>
      </c>
      <c r="AD1104" s="89">
        <f t="shared" si="373"/>
        <v>0</v>
      </c>
      <c r="AF1104" s="90" t="str">
        <f t="shared" si="374"/>
        <v/>
      </c>
      <c r="AH1104" s="90" t="str">
        <f t="shared" si="375"/>
        <v/>
      </c>
      <c r="AI1104" s="90">
        <f t="shared" si="376"/>
        <v>0</v>
      </c>
      <c r="AJ1104" s="90" t="str">
        <f t="shared" si="377"/>
        <v/>
      </c>
      <c r="AK1104" s="90" t="str">
        <f t="shared" si="378"/>
        <v/>
      </c>
      <c r="AL1104" s="91"/>
      <c r="AM1104" s="91">
        <f t="shared" si="379"/>
        <v>0</v>
      </c>
      <c r="AN1104" s="92" t="str">
        <f t="shared" si="380"/>
        <v>No change</v>
      </c>
      <c r="AS1104" s="94">
        <f t="shared" si="381"/>
        <v>0</v>
      </c>
      <c r="AT1104" s="94">
        <f t="shared" si="382"/>
        <v>0</v>
      </c>
      <c r="AU1104" s="94">
        <f t="shared" si="386"/>
        <v>0</v>
      </c>
      <c r="AV1104" s="94">
        <f t="shared" si="387"/>
        <v>0</v>
      </c>
    </row>
    <row r="1105" spans="1:48" x14ac:dyDescent="0.3">
      <c r="A1105" s="85" t="str">
        <f>_xlfn.XLOOKUP(B1105,'Country codes &amp; Data sources'!G:G,'Country codes &amp; Data sources'!H:H,,0)</f>
        <v>Gabon</v>
      </c>
      <c r="B1105" s="85" t="s">
        <v>157</v>
      </c>
      <c r="C1105" s="85">
        <v>1836705</v>
      </c>
      <c r="D1105" s="85" t="s">
        <v>326</v>
      </c>
      <c r="E1105" s="86">
        <v>0</v>
      </c>
      <c r="F1105" s="86">
        <v>1902226.5000000007</v>
      </c>
      <c r="G1105" s="86">
        <v>0</v>
      </c>
      <c r="H1105" s="86">
        <v>1966855.5</v>
      </c>
      <c r="I1105" s="86">
        <v>0</v>
      </c>
      <c r="J1105" s="86">
        <v>2028517.0000000007</v>
      </c>
      <c r="K1105" s="86">
        <v>0</v>
      </c>
      <c r="L1105" s="86">
        <v>2086205.5000000009</v>
      </c>
      <c r="M1105" s="86">
        <v>715</v>
      </c>
      <c r="N1105" s="86">
        <v>2140215.5000000005</v>
      </c>
      <c r="O1105" s="86">
        <v>1408</v>
      </c>
      <c r="P1105" s="86">
        <v>2192011.5</v>
      </c>
      <c r="Q1105" s="86">
        <v>1368</v>
      </c>
      <c r="R1105" s="87">
        <f t="shared" si="385"/>
        <v>1368</v>
      </c>
      <c r="S1105" s="87">
        <v>2242785.5000000005</v>
      </c>
      <c r="T1105" s="87">
        <v>1368</v>
      </c>
      <c r="U1105" s="89">
        <v>2292572.9999999981</v>
      </c>
      <c r="V1105" s="89">
        <v>1362</v>
      </c>
      <c r="W1105" s="90">
        <v>2341178.9999999986</v>
      </c>
      <c r="X1105" s="90">
        <v>0</v>
      </c>
      <c r="Y1105" s="90">
        <v>2388992.5000000005</v>
      </c>
      <c r="Z1105" s="90">
        <v>1139</v>
      </c>
      <c r="AA1105" s="90">
        <v>1368</v>
      </c>
      <c r="AB1105" s="89">
        <f t="shared" si="371"/>
        <v>0</v>
      </c>
      <c r="AC1105" s="89">
        <f t="shared" si="372"/>
        <v>1408</v>
      </c>
      <c r="AD1105" s="89">
        <f t="shared" si="373"/>
        <v>1362</v>
      </c>
      <c r="AF1105" s="90" t="str">
        <f t="shared" si="374"/>
        <v/>
      </c>
      <c r="AG1105" s="90">
        <f t="shared" si="384"/>
        <v>1368</v>
      </c>
      <c r="AH1105" s="90">
        <f t="shared" si="375"/>
        <v>2018</v>
      </c>
      <c r="AI1105" s="90">
        <f t="shared" si="376"/>
        <v>1139</v>
      </c>
      <c r="AJ1105" s="90">
        <f t="shared" si="377"/>
        <v>2022</v>
      </c>
      <c r="AK1105" s="90" t="str">
        <f t="shared" si="378"/>
        <v>Adjust</v>
      </c>
      <c r="AL1105" s="91">
        <f>IF(AK1105="Adjust",(_xlfn.XLOOKUP(A1105,'Adj factor'!A:A,'Adj factor'!I:I,,0)*AI1105),'Master DataSheet (Rev)'!AI1105)</f>
        <v>1265.3898201501661</v>
      </c>
      <c r="AM1105" s="91">
        <f t="shared" si="379"/>
        <v>1368</v>
      </c>
      <c r="AN1105" s="92" t="str">
        <f t="shared" si="380"/>
        <v>Decreasing</v>
      </c>
      <c r="AS1105" s="94">
        <f t="shared" si="381"/>
        <v>0</v>
      </c>
      <c r="AT1105" s="94">
        <f t="shared" si="382"/>
        <v>6.2408431707589127</v>
      </c>
      <c r="AU1105" s="94">
        <f t="shared" si="386"/>
        <v>5.2967509113158195</v>
      </c>
      <c r="AV1105" s="94">
        <f t="shared" si="387"/>
        <v>5.7262632678838452</v>
      </c>
    </row>
    <row r="1106" spans="1:48" x14ac:dyDescent="0.3">
      <c r="A1106" s="85" t="str">
        <f>_xlfn.XLOOKUP(B1106,'Country codes &amp; Data sources'!G:G,'Country codes &amp; Data sources'!H:H,,0)</f>
        <v>Gabon</v>
      </c>
      <c r="B1106" s="85" t="s">
        <v>157</v>
      </c>
      <c r="C1106" s="85">
        <v>1836706</v>
      </c>
      <c r="D1106" s="85" t="s">
        <v>327</v>
      </c>
      <c r="E1106" s="86">
        <v>0</v>
      </c>
      <c r="F1106" s="86">
        <v>1902226.5000000007</v>
      </c>
      <c r="G1106" s="86">
        <v>0</v>
      </c>
      <c r="H1106" s="86"/>
      <c r="I1106" s="86">
        <v>0</v>
      </c>
      <c r="J1106" s="86"/>
      <c r="K1106" s="86">
        <v>0</v>
      </c>
      <c r="L1106" s="86"/>
      <c r="M1106" s="86">
        <v>0</v>
      </c>
      <c r="N1106" s="86"/>
      <c r="O1106" s="86">
        <v>570</v>
      </c>
      <c r="P1106" s="86">
        <v>2192011.5</v>
      </c>
      <c r="Q1106" s="86">
        <v>570</v>
      </c>
      <c r="R1106" s="87">
        <f t="shared" si="385"/>
        <v>570</v>
      </c>
      <c r="T1106" s="87">
        <v>516</v>
      </c>
      <c r="U1106" s="89"/>
      <c r="V1106" s="89">
        <v>526</v>
      </c>
      <c r="W1106" s="90"/>
      <c r="X1106" s="90">
        <v>0</v>
      </c>
      <c r="Y1106" s="90">
        <v>2388992.5000000005</v>
      </c>
      <c r="Z1106" s="90">
        <v>612</v>
      </c>
      <c r="AA1106" s="90">
        <v>570</v>
      </c>
      <c r="AB1106" s="89">
        <f t="shared" si="371"/>
        <v>0</v>
      </c>
      <c r="AC1106" s="89">
        <f t="shared" si="372"/>
        <v>570</v>
      </c>
      <c r="AD1106" s="89">
        <f t="shared" si="373"/>
        <v>612</v>
      </c>
      <c r="AF1106" s="90" t="str">
        <f t="shared" si="374"/>
        <v/>
      </c>
      <c r="AG1106" s="90">
        <f t="shared" si="384"/>
        <v>570</v>
      </c>
      <c r="AH1106" s="90">
        <f t="shared" si="375"/>
        <v>2017</v>
      </c>
      <c r="AI1106" s="90">
        <f t="shared" si="376"/>
        <v>612</v>
      </c>
      <c r="AJ1106" s="90">
        <f t="shared" si="377"/>
        <v>2022</v>
      </c>
      <c r="AK1106" s="90" t="str">
        <f t="shared" si="378"/>
        <v/>
      </c>
      <c r="AL1106" s="91">
        <f>IF(AK1106="Adjust",(_xlfn.XLOOKUP(A1106,'Adj factor'!A:A,'Adj factor'!I:I,,0)*AI1106),'Master DataSheet (Rev)'!AI1106)</f>
        <v>612</v>
      </c>
      <c r="AM1106" s="91">
        <f t="shared" si="379"/>
        <v>612</v>
      </c>
      <c r="AN1106" s="92" t="str">
        <f t="shared" si="380"/>
        <v>Increasing</v>
      </c>
      <c r="AS1106" s="94">
        <f t="shared" si="381"/>
        <v>0</v>
      </c>
      <c r="AT1106" s="94">
        <f t="shared" si="382"/>
        <v>2.6003513211495468</v>
      </c>
      <c r="AU1106" s="94">
        <f t="shared" si="386"/>
        <v>2.5617493566848784</v>
      </c>
      <c r="AV1106" s="94">
        <f t="shared" si="387"/>
        <v>2.5617493566848784</v>
      </c>
    </row>
    <row r="1107" spans="1:48" x14ac:dyDescent="0.3">
      <c r="A1107" s="85" t="str">
        <f>_xlfn.XLOOKUP(B1107,'Country codes &amp; Data sources'!G:G,'Country codes &amp; Data sources'!H:H,,0)</f>
        <v>Gabon</v>
      </c>
      <c r="B1107" s="85" t="s">
        <v>157</v>
      </c>
      <c r="C1107" s="85">
        <v>1836707</v>
      </c>
      <c r="D1107" s="85" t="s">
        <v>328</v>
      </c>
      <c r="E1107" s="86">
        <v>0</v>
      </c>
      <c r="F1107" s="86">
        <v>1902226.5000000007</v>
      </c>
      <c r="G1107" s="86">
        <v>0</v>
      </c>
      <c r="H1107" s="86"/>
      <c r="I1107" s="86">
        <v>0</v>
      </c>
      <c r="J1107" s="86"/>
      <c r="K1107" s="86">
        <v>0</v>
      </c>
      <c r="L1107" s="86"/>
      <c r="M1107" s="86">
        <v>0</v>
      </c>
      <c r="N1107" s="86"/>
      <c r="O1107" s="86">
        <v>838</v>
      </c>
      <c r="P1107" s="86">
        <v>2192011.5</v>
      </c>
      <c r="Q1107" s="86">
        <v>798</v>
      </c>
      <c r="R1107" s="87">
        <f t="shared" si="385"/>
        <v>798</v>
      </c>
      <c r="T1107" s="87">
        <v>851</v>
      </c>
      <c r="U1107" s="89"/>
      <c r="V1107" s="89">
        <v>835</v>
      </c>
      <c r="W1107" s="90"/>
      <c r="X1107" s="90">
        <v>0</v>
      </c>
      <c r="Y1107" s="90">
        <v>2388992.5000000005</v>
      </c>
      <c r="Z1107" s="90">
        <v>527</v>
      </c>
      <c r="AA1107" s="90">
        <v>798</v>
      </c>
      <c r="AB1107" s="89">
        <f t="shared" si="371"/>
        <v>0</v>
      </c>
      <c r="AC1107" s="89">
        <f t="shared" si="372"/>
        <v>851</v>
      </c>
      <c r="AD1107" s="89">
        <f t="shared" si="373"/>
        <v>835</v>
      </c>
      <c r="AF1107" s="90" t="str">
        <f t="shared" si="374"/>
        <v/>
      </c>
      <c r="AG1107" s="90">
        <f t="shared" si="384"/>
        <v>798</v>
      </c>
      <c r="AH1107" s="90">
        <f t="shared" si="375"/>
        <v>2018</v>
      </c>
      <c r="AI1107" s="90">
        <f t="shared" si="376"/>
        <v>527</v>
      </c>
      <c r="AJ1107" s="90">
        <f t="shared" si="377"/>
        <v>2022</v>
      </c>
      <c r="AK1107" s="90" t="str">
        <f t="shared" si="378"/>
        <v>Adjust</v>
      </c>
      <c r="AL1107" s="91">
        <f>IF(AK1107="Adjust",(_xlfn.XLOOKUP(A1107,'Adj factor'!A:A,'Adj factor'!I:I,,0)*AI1107),'Master DataSheet (Rev)'!AI1107)</f>
        <v>585.47887200977834</v>
      </c>
      <c r="AM1107" s="91">
        <f t="shared" si="379"/>
        <v>798</v>
      </c>
      <c r="AN1107" s="92" t="str">
        <f t="shared" si="380"/>
        <v>Decreasing</v>
      </c>
      <c r="AS1107" s="94">
        <f t="shared" si="381"/>
        <v>0</v>
      </c>
      <c r="AT1107" s="94">
        <f t="shared" si="382"/>
        <v>3.6404918496093654</v>
      </c>
      <c r="AU1107" s="94">
        <f t="shared" si="386"/>
        <v>2.450735496280454</v>
      </c>
      <c r="AV1107" s="94">
        <f t="shared" si="387"/>
        <v>3.3403202395989098</v>
      </c>
    </row>
    <row r="1108" spans="1:48" x14ac:dyDescent="0.3">
      <c r="A1108" s="85" t="str">
        <f>_xlfn.XLOOKUP(B1108,'Country codes &amp; Data sources'!G:G,'Country codes &amp; Data sources'!H:H,,0)</f>
        <v>Gabon</v>
      </c>
      <c r="B1108" s="85" t="s">
        <v>157</v>
      </c>
      <c r="C1108" s="85">
        <v>1836708</v>
      </c>
      <c r="D1108" s="85" t="s">
        <v>329</v>
      </c>
      <c r="E1108" s="86">
        <v>0</v>
      </c>
      <c r="F1108" s="86">
        <v>1902226.5000000007</v>
      </c>
      <c r="G1108" s="86">
        <v>0</v>
      </c>
      <c r="H1108" s="86"/>
      <c r="I1108" s="86">
        <v>0</v>
      </c>
      <c r="J1108" s="86"/>
      <c r="K1108" s="86">
        <v>0</v>
      </c>
      <c r="L1108" s="86"/>
      <c r="M1108" s="86">
        <v>4596</v>
      </c>
      <c r="N1108" s="86"/>
      <c r="O1108" s="86">
        <v>5350</v>
      </c>
      <c r="P1108" s="86">
        <v>2192011.5</v>
      </c>
      <c r="Q1108" s="86">
        <v>6085</v>
      </c>
      <c r="R1108" s="87">
        <f t="shared" si="385"/>
        <v>6085</v>
      </c>
      <c r="T1108" s="87">
        <v>4711</v>
      </c>
      <c r="U1108" s="89"/>
      <c r="V1108" s="89">
        <v>5481</v>
      </c>
      <c r="W1108" s="90"/>
      <c r="X1108" s="90">
        <v>0</v>
      </c>
      <c r="Y1108" s="90">
        <v>2388992.5000000005</v>
      </c>
      <c r="Z1108" s="90">
        <v>4277</v>
      </c>
      <c r="AA1108" s="90">
        <v>5352</v>
      </c>
      <c r="AB1108" s="89">
        <f t="shared" si="371"/>
        <v>0</v>
      </c>
      <c r="AC1108" s="89">
        <f t="shared" si="372"/>
        <v>6085</v>
      </c>
      <c r="AD1108" s="89">
        <f t="shared" si="373"/>
        <v>5481</v>
      </c>
      <c r="AF1108" s="90" t="str">
        <f t="shared" si="374"/>
        <v/>
      </c>
      <c r="AG1108" s="90">
        <f t="shared" si="384"/>
        <v>6085</v>
      </c>
      <c r="AH1108" s="90">
        <f t="shared" si="375"/>
        <v>2018</v>
      </c>
      <c r="AI1108" s="90">
        <f t="shared" si="376"/>
        <v>4277</v>
      </c>
      <c r="AJ1108" s="90">
        <f t="shared" si="377"/>
        <v>2022</v>
      </c>
      <c r="AK1108" s="90" t="str">
        <f t="shared" si="378"/>
        <v>Adjust</v>
      </c>
      <c r="AL1108" s="91">
        <f>IF(AK1108="Adjust",(_xlfn.XLOOKUP(A1108,'Adj factor'!A:A,'Adj factor'!I:I,,0)*AI1108),'Master DataSheet (Rev)'!AI1108)</f>
        <v>4751.5998777719578</v>
      </c>
      <c r="AM1108" s="91">
        <f t="shared" si="379"/>
        <v>6085</v>
      </c>
      <c r="AN1108" s="92" t="str">
        <f t="shared" si="380"/>
        <v>Decreasing</v>
      </c>
      <c r="AS1108" s="94">
        <f t="shared" si="381"/>
        <v>0</v>
      </c>
      <c r="AT1108" s="94">
        <f t="shared" si="382"/>
        <v>27.75989085823683</v>
      </c>
      <c r="AU1108" s="94">
        <f t="shared" si="386"/>
        <v>19.889555441350097</v>
      </c>
      <c r="AV1108" s="94">
        <f t="shared" si="387"/>
        <v>25.470988293182163</v>
      </c>
    </row>
    <row r="1109" spans="1:48" x14ac:dyDescent="0.3">
      <c r="A1109" s="85" t="str">
        <f>_xlfn.XLOOKUP(B1109,'Country codes &amp; Data sources'!G:G,'Country codes &amp; Data sources'!H:H,,0)</f>
        <v>Gabon</v>
      </c>
      <c r="B1109" s="85" t="s">
        <v>157</v>
      </c>
      <c r="C1109" s="85">
        <v>1836709</v>
      </c>
      <c r="D1109" s="85" t="s">
        <v>330</v>
      </c>
      <c r="E1109" s="86">
        <v>0</v>
      </c>
      <c r="F1109" s="86">
        <v>1902226.5000000007</v>
      </c>
      <c r="G1109" s="86">
        <v>0</v>
      </c>
      <c r="H1109" s="86"/>
      <c r="I1109" s="86">
        <v>0</v>
      </c>
      <c r="J1109" s="86"/>
      <c r="K1109" s="86">
        <v>0</v>
      </c>
      <c r="L1109" s="86"/>
      <c r="M1109" s="86">
        <v>0</v>
      </c>
      <c r="N1109" s="86"/>
      <c r="O1109" s="86">
        <v>1077</v>
      </c>
      <c r="P1109" s="86">
        <v>2192011.5</v>
      </c>
      <c r="Q1109" s="86">
        <v>0</v>
      </c>
      <c r="R1109" s="87">
        <f t="shared" si="385"/>
        <v>1077</v>
      </c>
      <c r="T1109" s="87">
        <v>3301</v>
      </c>
      <c r="U1109" s="89"/>
      <c r="V1109" s="89">
        <v>4844</v>
      </c>
      <c r="W1109" s="90"/>
      <c r="X1109" s="90">
        <v>0</v>
      </c>
      <c r="Y1109" s="90">
        <v>2388992.5000000005</v>
      </c>
      <c r="Z1109" s="90">
        <v>992</v>
      </c>
      <c r="AA1109" s="90">
        <v>1077</v>
      </c>
      <c r="AB1109" s="89">
        <f t="shared" si="371"/>
        <v>0</v>
      </c>
      <c r="AC1109" s="89">
        <f t="shared" si="372"/>
        <v>3301</v>
      </c>
      <c r="AD1109" s="89">
        <f t="shared" si="373"/>
        <v>4844</v>
      </c>
      <c r="AF1109" s="90" t="str">
        <f t="shared" si="374"/>
        <v/>
      </c>
      <c r="AG1109" s="90">
        <f t="shared" si="384"/>
        <v>1077</v>
      </c>
      <c r="AH1109" s="90">
        <f t="shared" si="375"/>
        <v>2017</v>
      </c>
      <c r="AI1109" s="90">
        <f t="shared" si="376"/>
        <v>992</v>
      </c>
      <c r="AJ1109" s="90">
        <f t="shared" si="377"/>
        <v>2022</v>
      </c>
      <c r="AK1109" s="90" t="str">
        <f t="shared" si="378"/>
        <v>Adjust</v>
      </c>
      <c r="AL1109" s="91">
        <f>IF(AK1109="Adjust",(_xlfn.XLOOKUP(A1109,'Adj factor'!A:A,'Adj factor'!I:I,,0)*AI1109),'Master DataSheet (Rev)'!AI1109)</f>
        <v>1102.0778767242884</v>
      </c>
      <c r="AM1109" s="91">
        <f t="shared" si="379"/>
        <v>1102.0778767242884</v>
      </c>
      <c r="AN1109" s="92" t="str">
        <f t="shared" si="380"/>
        <v>Increasing</v>
      </c>
      <c r="AS1109" s="94">
        <f t="shared" si="381"/>
        <v>0</v>
      </c>
      <c r="AT1109" s="94">
        <f t="shared" si="382"/>
        <v>4.9132953910141435</v>
      </c>
      <c r="AU1109" s="94">
        <f t="shared" si="386"/>
        <v>4.6131491694690885</v>
      </c>
      <c r="AV1109" s="94">
        <f t="shared" si="387"/>
        <v>4.6131491694690885</v>
      </c>
    </row>
    <row r="1110" spans="1:48" x14ac:dyDescent="0.3">
      <c r="A1110" s="85" t="str">
        <f>_xlfn.XLOOKUP(B1110,'Country codes &amp; Data sources'!G:G,'Country codes &amp; Data sources'!H:H,,0)</f>
        <v>Gabon</v>
      </c>
      <c r="B1110" s="85" t="s">
        <v>157</v>
      </c>
      <c r="C1110" s="85">
        <v>1836710</v>
      </c>
      <c r="D1110" s="85" t="s">
        <v>331</v>
      </c>
      <c r="E1110" s="86">
        <v>0</v>
      </c>
      <c r="F1110" s="86">
        <v>1902226.5000000007</v>
      </c>
      <c r="G1110" s="86">
        <v>0</v>
      </c>
      <c r="H1110" s="86"/>
      <c r="I1110" s="86">
        <v>0</v>
      </c>
      <c r="J1110" s="86"/>
      <c r="K1110" s="86">
        <v>0</v>
      </c>
      <c r="L1110" s="86"/>
      <c r="M1110" s="86">
        <v>0</v>
      </c>
      <c r="N1110" s="86"/>
      <c r="O1110" s="86">
        <v>0</v>
      </c>
      <c r="P1110" s="86">
        <v>2192011.5</v>
      </c>
      <c r="Q1110" s="86">
        <v>0</v>
      </c>
      <c r="R1110" s="87">
        <f t="shared" si="385"/>
        <v>4275</v>
      </c>
      <c r="T1110" s="87">
        <v>1408</v>
      </c>
      <c r="U1110" s="89"/>
      <c r="V1110" s="89">
        <v>635</v>
      </c>
      <c r="W1110" s="90"/>
      <c r="X1110" s="90">
        <v>0</v>
      </c>
      <c r="Y1110" s="90">
        <v>2388992.5000000005</v>
      </c>
      <c r="Z1110" s="90">
        <v>3201</v>
      </c>
      <c r="AA1110" s="90">
        <v>4275</v>
      </c>
      <c r="AB1110" s="89">
        <f t="shared" si="371"/>
        <v>0</v>
      </c>
      <c r="AC1110" s="89">
        <f t="shared" si="372"/>
        <v>1408</v>
      </c>
      <c r="AD1110" s="89">
        <f t="shared" si="373"/>
        <v>3201</v>
      </c>
      <c r="AF1110" s="90" t="str">
        <f t="shared" si="374"/>
        <v/>
      </c>
      <c r="AG1110" s="90">
        <f t="shared" si="384"/>
        <v>4275</v>
      </c>
      <c r="AH1110" s="90" t="str">
        <f t="shared" si="375"/>
        <v>2018 (triag)</v>
      </c>
      <c r="AI1110" s="90">
        <f t="shared" si="376"/>
        <v>3201</v>
      </c>
      <c r="AJ1110" s="90">
        <f t="shared" si="377"/>
        <v>2022</v>
      </c>
      <c r="AK1110" s="90" t="str">
        <f t="shared" si="378"/>
        <v>Adjust</v>
      </c>
      <c r="AL1110" s="91">
        <f>IF(AK1110="Adjust",(_xlfn.XLOOKUP(A1110,'Adj factor'!A:A,'Adj factor'!I:I,,0)*AI1110),'Master DataSheet (Rev)'!AI1110)</f>
        <v>3556.2008905185962</v>
      </c>
      <c r="AM1110" s="91">
        <f t="shared" si="379"/>
        <v>4275</v>
      </c>
      <c r="AN1110" s="92" t="str">
        <f t="shared" si="380"/>
        <v>Decreasing</v>
      </c>
      <c r="AS1110" s="94">
        <f t="shared" si="381"/>
        <v>0</v>
      </c>
      <c r="AT1110" s="94">
        <f t="shared" si="382"/>
        <v>19.502634908621602</v>
      </c>
      <c r="AU1110" s="94">
        <f t="shared" si="386"/>
        <v>14.885776705111445</v>
      </c>
      <c r="AV1110" s="94">
        <f t="shared" si="387"/>
        <v>17.894572712137016</v>
      </c>
    </row>
    <row r="1111" spans="1:48" x14ac:dyDescent="0.3">
      <c r="A1111" s="85" t="str">
        <f>_xlfn.XLOOKUP(B1111,'Country codes &amp; Data sources'!G:G,'Country codes &amp; Data sources'!H:H,,0)</f>
        <v>Gabon</v>
      </c>
      <c r="B1111" s="85" t="s">
        <v>157</v>
      </c>
      <c r="C1111" s="85">
        <v>1836711</v>
      </c>
      <c r="D1111" s="85" t="s">
        <v>332</v>
      </c>
      <c r="E1111" s="86">
        <v>0</v>
      </c>
      <c r="F1111" s="86">
        <v>1902226.5000000007</v>
      </c>
      <c r="G1111" s="86">
        <v>437</v>
      </c>
      <c r="H1111" s="86"/>
      <c r="I1111" s="86">
        <v>0</v>
      </c>
      <c r="J1111" s="86"/>
      <c r="K1111" s="86">
        <v>0</v>
      </c>
      <c r="L1111" s="86"/>
      <c r="M1111" s="86">
        <v>513</v>
      </c>
      <c r="N1111" s="86"/>
      <c r="O1111" s="86">
        <v>733</v>
      </c>
      <c r="P1111" s="86">
        <v>2192011.5</v>
      </c>
      <c r="Q1111" s="86">
        <v>0</v>
      </c>
      <c r="R1111" s="87">
        <f t="shared" si="385"/>
        <v>733</v>
      </c>
      <c r="T1111" s="87">
        <v>607</v>
      </c>
      <c r="U1111" s="89"/>
      <c r="V1111" s="89">
        <v>662</v>
      </c>
      <c r="W1111" s="90"/>
      <c r="X1111" s="90">
        <v>0</v>
      </c>
      <c r="Y1111" s="90">
        <v>2388992.5000000005</v>
      </c>
      <c r="Z1111" s="90">
        <v>920</v>
      </c>
      <c r="AA1111" s="90">
        <v>733</v>
      </c>
      <c r="AB1111" s="89">
        <f t="shared" si="371"/>
        <v>437</v>
      </c>
      <c r="AC1111" s="89">
        <f t="shared" si="372"/>
        <v>733</v>
      </c>
      <c r="AD1111" s="89">
        <f t="shared" si="373"/>
        <v>920</v>
      </c>
      <c r="AE1111" s="90">
        <f t="shared" si="383"/>
        <v>437</v>
      </c>
      <c r="AF1111" s="90">
        <f t="shared" si="374"/>
        <v>2013</v>
      </c>
      <c r="AG1111" s="90">
        <f t="shared" si="384"/>
        <v>733</v>
      </c>
      <c r="AH1111" s="90">
        <f t="shared" si="375"/>
        <v>2017</v>
      </c>
      <c r="AI1111" s="90">
        <f t="shared" si="376"/>
        <v>920</v>
      </c>
      <c r="AJ1111" s="90">
        <f t="shared" si="377"/>
        <v>2022</v>
      </c>
      <c r="AK1111" s="90" t="str">
        <f t="shared" si="378"/>
        <v/>
      </c>
      <c r="AL1111" s="91">
        <f>IF(AK1111="Adjust",(_xlfn.XLOOKUP(A1111,'Adj factor'!A:A,'Adj factor'!I:I,,0)*AI1111),'Master DataSheet (Rev)'!AI1111)</f>
        <v>920</v>
      </c>
      <c r="AM1111" s="91">
        <f t="shared" si="379"/>
        <v>920</v>
      </c>
      <c r="AN1111" s="92" t="str">
        <f t="shared" si="380"/>
        <v>Increasing</v>
      </c>
      <c r="AS1111" s="94">
        <f t="shared" si="381"/>
        <v>2.2973079178531046</v>
      </c>
      <c r="AT1111" s="94">
        <f t="shared" si="382"/>
        <v>3.3439605586010841</v>
      </c>
      <c r="AU1111" s="94">
        <f t="shared" si="386"/>
        <v>3.8509957649511239</v>
      </c>
      <c r="AV1111" s="94">
        <f t="shared" si="387"/>
        <v>3.8509957649511239</v>
      </c>
    </row>
    <row r="1112" spans="1:48" x14ac:dyDescent="0.3">
      <c r="A1112" s="85" t="str">
        <f>_xlfn.XLOOKUP(B1112,'Country codes &amp; Data sources'!G:G,'Country codes &amp; Data sources'!H:H,,0)</f>
        <v>Gabon</v>
      </c>
      <c r="B1112" s="85" t="s">
        <v>157</v>
      </c>
      <c r="C1112" s="85">
        <v>1836712</v>
      </c>
      <c r="D1112" s="85" t="s">
        <v>333</v>
      </c>
      <c r="E1112" s="86">
        <v>0</v>
      </c>
      <c r="F1112" s="86">
        <v>1902226.5000000007</v>
      </c>
      <c r="G1112" s="86">
        <v>437</v>
      </c>
      <c r="H1112" s="86"/>
      <c r="I1112" s="86">
        <v>0</v>
      </c>
      <c r="J1112" s="86"/>
      <c r="K1112" s="86">
        <v>0</v>
      </c>
      <c r="L1112" s="86"/>
      <c r="M1112" s="86">
        <v>0</v>
      </c>
      <c r="N1112" s="86"/>
      <c r="O1112" s="86">
        <v>109</v>
      </c>
      <c r="P1112" s="86">
        <v>2192011.5</v>
      </c>
      <c r="Q1112" s="86">
        <v>0</v>
      </c>
      <c r="R1112" s="87">
        <f t="shared" si="385"/>
        <v>107</v>
      </c>
      <c r="T1112" s="87">
        <v>607</v>
      </c>
      <c r="U1112" s="89"/>
      <c r="V1112" s="89">
        <v>662</v>
      </c>
      <c r="W1112" s="90"/>
      <c r="X1112" s="90">
        <v>0</v>
      </c>
      <c r="Y1112" s="90">
        <v>2388992.5000000005</v>
      </c>
      <c r="Z1112" s="90">
        <v>867</v>
      </c>
      <c r="AA1112" s="90">
        <v>107</v>
      </c>
      <c r="AB1112" s="89">
        <f t="shared" ref="AB1112:AB1175" si="388">MAX(G1112,E1112,I1112,K1112)</f>
        <v>437</v>
      </c>
      <c r="AC1112" s="89">
        <f t="shared" ref="AC1112:AC1175" si="389">MAX(M1112,O1112,Q1112,T1112)</f>
        <v>607</v>
      </c>
      <c r="AD1112" s="89">
        <f t="shared" ref="AD1112:AD1175" si="390">MAX(V1112,X1112,Z1112)</f>
        <v>867</v>
      </c>
      <c r="AE1112" s="90">
        <f t="shared" ref="AE1112:AE1169" si="391">IF(G1112&gt;0,G1112,IF(E1112&gt;0,E1112,IF(I1112&gt;0,I1112,K1112)))</f>
        <v>437</v>
      </c>
      <c r="AF1112" s="90">
        <f t="shared" ref="AF1112:AF1175" si="392">IF(AE1112&gt;0,_xlfn.XLOOKUP(AE1112,$B1112:$K1112,$B$1:$K$1,,0),"")</f>
        <v>2013</v>
      </c>
      <c r="AG1112" s="90">
        <f t="shared" ref="AG1112:AG1175" si="393">IF(R1112&gt;0,R1112,IF(O1112&gt;0,O1112,T1112))</f>
        <v>107</v>
      </c>
      <c r="AH1112" s="90" t="str">
        <f t="shared" ref="AH1112:AH1175" si="394">IF(AG1112&gt;0,_xlfn.XLOOKUP(AG1112,$L1112:$T1112,$L$1:$T$1,,0),"")</f>
        <v>2018 (triag)</v>
      </c>
      <c r="AI1112" s="90">
        <f t="shared" ref="AI1112:AI1175" si="395">IF((IF(Z1112&gt;0,Z1112,IF(X1112&gt;0,X1112,IF(V1112&gt;0,V1112,T1112))))=0,AG1112,IF(Z1112&gt;0,Z1112,IF(X1112&gt;0,X1112,IF(V1112&gt;0,V1112,T1112))))</f>
        <v>867</v>
      </c>
      <c r="AJ1112" s="90">
        <f t="shared" ref="AJ1112:AJ1175" si="396">IFERROR(IF(AI1112&gt;0,_xlfn.XLOOKUP(AI1112,$V1112:$Z1112,$V$1:$Z$1,,0),""),AH1112)</f>
        <v>2022</v>
      </c>
      <c r="AK1112" s="90" t="str">
        <f t="shared" ref="AK1112:AK1175" si="397">IF(AI1112&lt;AG1112,"Adjust","")</f>
        <v/>
      </c>
      <c r="AL1112" s="91">
        <f>IF(AK1112="Adjust",(_xlfn.XLOOKUP(A1112,'Adj factor'!A:A,'Adj factor'!I:I,,0)*AI1112),'Master DataSheet (Rev)'!AI1112)</f>
        <v>867</v>
      </c>
      <c r="AM1112" s="91">
        <f t="shared" ref="AM1112:AM1175" si="398">IF(AL1112&lt;AG1112,AG1112,AL1112)</f>
        <v>867</v>
      </c>
      <c r="AN1112" s="92" t="str">
        <f t="shared" ref="AN1112:AN1175" si="399">IF(AL1112&gt;AG1112,"Increasing",IF(AL1112&lt;AG1112,"Decreasing","No change"))</f>
        <v>Increasing</v>
      </c>
      <c r="AS1112" s="94">
        <f t="shared" ref="AS1112:AS1175" si="400">(AE1112*10000)/F1112</f>
        <v>2.2973079178531046</v>
      </c>
      <c r="AT1112" s="94">
        <f t="shared" ref="AT1112:AT1175" si="401">(AG1112*10000)/P1112</f>
        <v>0.48813612519824828</v>
      </c>
      <c r="AU1112" s="94">
        <f t="shared" si="386"/>
        <v>3.6291449219702439</v>
      </c>
      <c r="AV1112" s="94">
        <f t="shared" si="387"/>
        <v>3.6291449219702439</v>
      </c>
    </row>
    <row r="1113" spans="1:48" x14ac:dyDescent="0.3">
      <c r="A1113" s="85" t="str">
        <f>_xlfn.XLOOKUP(B1113,'Country codes &amp; Data sources'!G:G,'Country codes &amp; Data sources'!H:H,,0)</f>
        <v>Gabon</v>
      </c>
      <c r="B1113" s="85" t="s">
        <v>157</v>
      </c>
      <c r="C1113" s="85">
        <v>1836713</v>
      </c>
      <c r="D1113" s="85" t="s">
        <v>334</v>
      </c>
      <c r="E1113" s="86">
        <v>0</v>
      </c>
      <c r="F1113" s="86">
        <v>1902226.5000000007</v>
      </c>
      <c r="G1113" s="86">
        <v>0</v>
      </c>
      <c r="H1113" s="86"/>
      <c r="I1113" s="86">
        <v>0</v>
      </c>
      <c r="J1113" s="86"/>
      <c r="K1113" s="86">
        <v>0</v>
      </c>
      <c r="L1113" s="86"/>
      <c r="M1113" s="86">
        <v>0</v>
      </c>
      <c r="N1113" s="86"/>
      <c r="O1113" s="86">
        <v>0</v>
      </c>
      <c r="P1113" s="86">
        <v>2192011.5</v>
      </c>
      <c r="Q1113" s="86">
        <v>0</v>
      </c>
      <c r="R1113" s="87">
        <f t="shared" si="385"/>
        <v>626</v>
      </c>
      <c r="T1113" s="87">
        <v>0</v>
      </c>
      <c r="U1113" s="89"/>
      <c r="V1113" s="89">
        <v>0</v>
      </c>
      <c r="W1113" s="90"/>
      <c r="X1113" s="90">
        <v>0</v>
      </c>
      <c r="Y1113" s="90">
        <v>2388992.5000000005</v>
      </c>
      <c r="Z1113" s="90">
        <v>43</v>
      </c>
      <c r="AA1113" s="90">
        <v>626</v>
      </c>
      <c r="AB1113" s="89">
        <f t="shared" si="388"/>
        <v>0</v>
      </c>
      <c r="AC1113" s="89">
        <f t="shared" si="389"/>
        <v>0</v>
      </c>
      <c r="AD1113" s="89">
        <f t="shared" si="390"/>
        <v>43</v>
      </c>
      <c r="AF1113" s="90" t="str">
        <f t="shared" si="392"/>
        <v/>
      </c>
      <c r="AG1113" s="90">
        <f t="shared" si="393"/>
        <v>626</v>
      </c>
      <c r="AH1113" s="90" t="str">
        <f t="shared" si="394"/>
        <v>2018 (triag)</v>
      </c>
      <c r="AI1113" s="90">
        <f t="shared" si="395"/>
        <v>43</v>
      </c>
      <c r="AJ1113" s="90">
        <f t="shared" si="396"/>
        <v>2022</v>
      </c>
      <c r="AK1113" s="90" t="str">
        <f t="shared" si="397"/>
        <v>Adjust</v>
      </c>
      <c r="AL1113" s="91">
        <f>IF(AK1113="Adjust",(_xlfn.XLOOKUP(A1113,'Adj factor'!A:A,'Adj factor'!I:I,,0)*AI1113),'Master DataSheet (Rev)'!AI1113)</f>
        <v>47.77152086607299</v>
      </c>
      <c r="AM1113" s="91">
        <f t="shared" si="398"/>
        <v>626</v>
      </c>
      <c r="AN1113" s="92" t="str">
        <f t="shared" si="399"/>
        <v>Decreasing</v>
      </c>
      <c r="AS1113" s="94">
        <f t="shared" si="400"/>
        <v>0</v>
      </c>
      <c r="AT1113" s="94">
        <f t="shared" si="401"/>
        <v>2.8558244334028355</v>
      </c>
      <c r="AU1113" s="94">
        <f t="shared" si="386"/>
        <v>0.19996513537013191</v>
      </c>
      <c r="AV1113" s="94">
        <f t="shared" si="387"/>
        <v>2.6203514661515257</v>
      </c>
    </row>
    <row r="1114" spans="1:48" x14ac:dyDescent="0.3">
      <c r="A1114" s="85" t="str">
        <f>_xlfn.XLOOKUP(B1114,'Country codes &amp; Data sources'!G:G,'Country codes &amp; Data sources'!H:H,,0)</f>
        <v>Gabon</v>
      </c>
      <c r="B1114" s="85" t="s">
        <v>157</v>
      </c>
      <c r="C1114" s="85">
        <v>1836714</v>
      </c>
      <c r="D1114" s="85" t="s">
        <v>335</v>
      </c>
      <c r="E1114" s="86">
        <v>0</v>
      </c>
      <c r="F1114" s="86">
        <v>1902226.5000000007</v>
      </c>
      <c r="G1114" s="86">
        <v>0</v>
      </c>
      <c r="H1114" s="86"/>
      <c r="I1114" s="86">
        <v>0</v>
      </c>
      <c r="J1114" s="86"/>
      <c r="K1114" s="86">
        <v>0</v>
      </c>
      <c r="L1114" s="86"/>
      <c r="M1114" s="86">
        <v>46</v>
      </c>
      <c r="N1114" s="86"/>
      <c r="O1114" s="86">
        <v>121</v>
      </c>
      <c r="P1114" s="86">
        <v>2192011.5</v>
      </c>
      <c r="Q1114" s="86">
        <v>227</v>
      </c>
      <c r="R1114" s="87">
        <f t="shared" si="385"/>
        <v>227</v>
      </c>
      <c r="T1114" s="87">
        <v>140</v>
      </c>
      <c r="U1114" s="89"/>
      <c r="V1114" s="89">
        <v>139</v>
      </c>
      <c r="W1114" s="90"/>
      <c r="X1114" s="90">
        <v>0</v>
      </c>
      <c r="Y1114" s="90">
        <v>2388992.5000000005</v>
      </c>
      <c r="Z1114" s="90">
        <v>168</v>
      </c>
      <c r="AA1114" s="90">
        <v>121</v>
      </c>
      <c r="AB1114" s="89">
        <f t="shared" si="388"/>
        <v>0</v>
      </c>
      <c r="AC1114" s="89">
        <f t="shared" si="389"/>
        <v>227</v>
      </c>
      <c r="AD1114" s="89">
        <f t="shared" si="390"/>
        <v>168</v>
      </c>
      <c r="AF1114" s="90" t="str">
        <f t="shared" si="392"/>
        <v/>
      </c>
      <c r="AG1114" s="90">
        <f t="shared" si="393"/>
        <v>227</v>
      </c>
      <c r="AH1114" s="90">
        <f t="shared" si="394"/>
        <v>2018</v>
      </c>
      <c r="AI1114" s="90">
        <f t="shared" si="395"/>
        <v>168</v>
      </c>
      <c r="AJ1114" s="90">
        <f t="shared" si="396"/>
        <v>2022</v>
      </c>
      <c r="AK1114" s="90" t="str">
        <f t="shared" si="397"/>
        <v>Adjust</v>
      </c>
      <c r="AL1114" s="91">
        <f>IF(AK1114="Adjust",(_xlfn.XLOOKUP(A1114,'Adj factor'!A:A,'Adj factor'!I:I,,0)*AI1114),'Master DataSheet (Rev)'!AI1114)</f>
        <v>186.64222105814565</v>
      </c>
      <c r="AM1114" s="91">
        <f t="shared" si="398"/>
        <v>227</v>
      </c>
      <c r="AN1114" s="92" t="str">
        <f t="shared" si="399"/>
        <v>Decreasing</v>
      </c>
      <c r="AS1114" s="94">
        <f t="shared" si="400"/>
        <v>0</v>
      </c>
      <c r="AT1114" s="94">
        <f t="shared" si="401"/>
        <v>1.0355785085981528</v>
      </c>
      <c r="AU1114" s="94">
        <f t="shared" si="386"/>
        <v>0.78125913353912002</v>
      </c>
      <c r="AV1114" s="94">
        <f t="shared" si="387"/>
        <v>0.95019134635207081</v>
      </c>
    </row>
    <row r="1115" spans="1:48" x14ac:dyDescent="0.3">
      <c r="A1115" s="85" t="str">
        <f>_xlfn.XLOOKUP(B1115,'Country codes &amp; Data sources'!G:G,'Country codes &amp; Data sources'!H:H,,0)</f>
        <v>Gabon</v>
      </c>
      <c r="B1115" s="85" t="s">
        <v>157</v>
      </c>
      <c r="C1115" s="85">
        <v>1836715</v>
      </c>
      <c r="D1115" s="85" t="s">
        <v>336</v>
      </c>
      <c r="E1115" s="86">
        <v>0</v>
      </c>
      <c r="F1115" s="86">
        <v>1902226.5000000007</v>
      </c>
      <c r="G1115" s="86">
        <v>0</v>
      </c>
      <c r="H1115" s="86"/>
      <c r="I1115" s="86">
        <v>0</v>
      </c>
      <c r="J1115" s="86"/>
      <c r="K1115" s="86">
        <v>0</v>
      </c>
      <c r="L1115" s="86"/>
      <c r="M1115" s="86">
        <v>72</v>
      </c>
      <c r="N1115" s="86"/>
      <c r="O1115" s="86">
        <v>106</v>
      </c>
      <c r="P1115" s="86">
        <v>2192011.5</v>
      </c>
      <c r="Q1115" s="86">
        <v>0</v>
      </c>
      <c r="R1115" s="87">
        <f t="shared" si="385"/>
        <v>106</v>
      </c>
      <c r="T1115" s="87">
        <v>179</v>
      </c>
      <c r="U1115" s="89"/>
      <c r="V1115" s="89">
        <v>179</v>
      </c>
      <c r="W1115" s="90"/>
      <c r="X1115" s="90">
        <v>0</v>
      </c>
      <c r="Y1115" s="90">
        <v>2388992.5000000005</v>
      </c>
      <c r="Z1115" s="90">
        <v>233</v>
      </c>
      <c r="AA1115" s="90">
        <v>106</v>
      </c>
      <c r="AB1115" s="89">
        <f t="shared" si="388"/>
        <v>0</v>
      </c>
      <c r="AC1115" s="89">
        <f t="shared" si="389"/>
        <v>179</v>
      </c>
      <c r="AD1115" s="89">
        <f t="shared" si="390"/>
        <v>233</v>
      </c>
      <c r="AF1115" s="90" t="str">
        <f t="shared" si="392"/>
        <v/>
      </c>
      <c r="AG1115" s="90">
        <f t="shared" si="393"/>
        <v>106</v>
      </c>
      <c r="AH1115" s="90">
        <f t="shared" si="394"/>
        <v>2017</v>
      </c>
      <c r="AI1115" s="90">
        <f t="shared" si="395"/>
        <v>233</v>
      </c>
      <c r="AJ1115" s="90">
        <f t="shared" si="396"/>
        <v>2022</v>
      </c>
      <c r="AK1115" s="90" t="str">
        <f t="shared" si="397"/>
        <v/>
      </c>
      <c r="AL1115" s="91">
        <f>IF(AK1115="Adjust",(_xlfn.XLOOKUP(A1115,'Adj factor'!A:A,'Adj factor'!I:I,,0)*AI1115),'Master DataSheet (Rev)'!AI1115)</f>
        <v>233</v>
      </c>
      <c r="AM1115" s="91">
        <f t="shared" si="398"/>
        <v>233</v>
      </c>
      <c r="AN1115" s="92" t="str">
        <f t="shared" si="399"/>
        <v>Increasing</v>
      </c>
      <c r="AS1115" s="94">
        <f t="shared" si="400"/>
        <v>0</v>
      </c>
      <c r="AT1115" s="94">
        <f t="shared" si="401"/>
        <v>0.4835741053365824</v>
      </c>
      <c r="AU1115" s="94">
        <f t="shared" si="386"/>
        <v>0.97530653612349116</v>
      </c>
      <c r="AV1115" s="94">
        <f t="shared" si="387"/>
        <v>0.97530653612349116</v>
      </c>
    </row>
    <row r="1116" spans="1:48" x14ac:dyDescent="0.3">
      <c r="A1116" s="85" t="str">
        <f>_xlfn.XLOOKUP(B1116,'Country codes &amp; Data sources'!G:G,'Country codes &amp; Data sources'!H:H,,0)</f>
        <v>Gabon</v>
      </c>
      <c r="B1116" s="85" t="s">
        <v>157</v>
      </c>
      <c r="C1116" s="85">
        <v>1836716</v>
      </c>
      <c r="D1116" s="85" t="s">
        <v>337</v>
      </c>
      <c r="E1116" s="86">
        <v>0</v>
      </c>
      <c r="F1116" s="86">
        <v>1902226.5000000007</v>
      </c>
      <c r="G1116" s="86">
        <v>0</v>
      </c>
      <c r="H1116" s="86"/>
      <c r="I1116" s="86">
        <v>0</v>
      </c>
      <c r="J1116" s="86"/>
      <c r="K1116" s="86">
        <v>0</v>
      </c>
      <c r="L1116" s="86"/>
      <c r="M1116" s="86">
        <v>0</v>
      </c>
      <c r="N1116" s="86"/>
      <c r="O1116" s="86">
        <v>37</v>
      </c>
      <c r="P1116" s="86">
        <v>2192011.5</v>
      </c>
      <c r="Q1116" s="86">
        <v>40</v>
      </c>
      <c r="R1116" s="87">
        <f t="shared" si="385"/>
        <v>40</v>
      </c>
      <c r="T1116" s="87">
        <v>34</v>
      </c>
      <c r="U1116" s="89"/>
      <c r="V1116" s="89">
        <v>34</v>
      </c>
      <c r="W1116" s="90"/>
      <c r="X1116" s="90">
        <v>0</v>
      </c>
      <c r="Y1116" s="90">
        <v>2388992.5000000005</v>
      </c>
      <c r="Z1116" s="90">
        <v>44</v>
      </c>
      <c r="AA1116" s="90">
        <v>37</v>
      </c>
      <c r="AB1116" s="89">
        <f t="shared" si="388"/>
        <v>0</v>
      </c>
      <c r="AC1116" s="89">
        <f t="shared" si="389"/>
        <v>40</v>
      </c>
      <c r="AD1116" s="89">
        <f t="shared" si="390"/>
        <v>44</v>
      </c>
      <c r="AF1116" s="90" t="str">
        <f t="shared" si="392"/>
        <v/>
      </c>
      <c r="AG1116" s="90">
        <f t="shared" si="393"/>
        <v>40</v>
      </c>
      <c r="AH1116" s="90">
        <f t="shared" si="394"/>
        <v>2018</v>
      </c>
      <c r="AI1116" s="90">
        <f t="shared" si="395"/>
        <v>44</v>
      </c>
      <c r="AJ1116" s="90">
        <f t="shared" si="396"/>
        <v>2022</v>
      </c>
      <c r="AK1116" s="90" t="str">
        <f t="shared" si="397"/>
        <v/>
      </c>
      <c r="AL1116" s="91">
        <f>IF(AK1116="Adjust",(_xlfn.XLOOKUP(A1116,'Adj factor'!A:A,'Adj factor'!I:I,,0)*AI1116),'Master DataSheet (Rev)'!AI1116)</f>
        <v>44</v>
      </c>
      <c r="AM1116" s="91">
        <f t="shared" si="398"/>
        <v>44</v>
      </c>
      <c r="AN1116" s="92" t="str">
        <f t="shared" si="399"/>
        <v>Increasing</v>
      </c>
      <c r="AS1116" s="94">
        <f t="shared" si="400"/>
        <v>0</v>
      </c>
      <c r="AT1116" s="94">
        <f t="shared" si="401"/>
        <v>0.18248079446663487</v>
      </c>
      <c r="AU1116" s="94">
        <f t="shared" si="386"/>
        <v>0.18417805832374942</v>
      </c>
      <c r="AV1116" s="94">
        <f t="shared" si="387"/>
        <v>0.18417805832374942</v>
      </c>
    </row>
    <row r="1117" spans="1:48" x14ac:dyDescent="0.3">
      <c r="A1117" s="85" t="str">
        <f>_xlfn.XLOOKUP(B1117,'Country codes &amp; Data sources'!G:G,'Country codes &amp; Data sources'!H:H,,0)</f>
        <v>Gabon</v>
      </c>
      <c r="B1117" s="85" t="s">
        <v>157</v>
      </c>
      <c r="C1117" s="85">
        <v>1836717</v>
      </c>
      <c r="D1117" s="85" t="s">
        <v>338</v>
      </c>
      <c r="E1117" s="86">
        <v>0</v>
      </c>
      <c r="F1117" s="86">
        <v>1902226.5000000007</v>
      </c>
      <c r="G1117" s="86">
        <v>0</v>
      </c>
      <c r="H1117" s="86"/>
      <c r="I1117" s="86">
        <v>0</v>
      </c>
      <c r="J1117" s="86"/>
      <c r="K1117" s="86">
        <v>0</v>
      </c>
      <c r="L1117" s="86"/>
      <c r="M1117" s="86">
        <v>0</v>
      </c>
      <c r="N1117" s="86"/>
      <c r="O1117" s="86">
        <v>3</v>
      </c>
      <c r="P1117" s="86">
        <v>2192011.5</v>
      </c>
      <c r="Q1117" s="86">
        <v>0</v>
      </c>
      <c r="R1117" s="87">
        <f t="shared" si="385"/>
        <v>3</v>
      </c>
      <c r="T1117" s="87">
        <v>32</v>
      </c>
      <c r="U1117" s="89"/>
      <c r="V1117" s="89">
        <v>32</v>
      </c>
      <c r="W1117" s="90"/>
      <c r="X1117" s="90">
        <v>0</v>
      </c>
      <c r="Y1117" s="90">
        <v>2388992.5000000005</v>
      </c>
      <c r="Z1117" s="90">
        <v>67</v>
      </c>
      <c r="AA1117" s="90">
        <v>3</v>
      </c>
      <c r="AB1117" s="89">
        <f t="shared" si="388"/>
        <v>0</v>
      </c>
      <c r="AC1117" s="89">
        <f t="shared" si="389"/>
        <v>32</v>
      </c>
      <c r="AD1117" s="89">
        <f t="shared" si="390"/>
        <v>67</v>
      </c>
      <c r="AF1117" s="90" t="str">
        <f t="shared" si="392"/>
        <v/>
      </c>
      <c r="AG1117" s="90">
        <f t="shared" si="393"/>
        <v>3</v>
      </c>
      <c r="AH1117" s="90">
        <f t="shared" si="394"/>
        <v>2017</v>
      </c>
      <c r="AI1117" s="90">
        <f t="shared" si="395"/>
        <v>67</v>
      </c>
      <c r="AJ1117" s="90">
        <f t="shared" si="396"/>
        <v>2022</v>
      </c>
      <c r="AK1117" s="90" t="str">
        <f t="shared" si="397"/>
        <v/>
      </c>
      <c r="AL1117" s="91">
        <f>IF(AK1117="Adjust",(_xlfn.XLOOKUP(A1117,'Adj factor'!A:A,'Adj factor'!I:I,,0)*AI1117),'Master DataSheet (Rev)'!AI1117)</f>
        <v>67</v>
      </c>
      <c r="AM1117" s="91">
        <f t="shared" si="398"/>
        <v>67</v>
      </c>
      <c r="AN1117" s="92" t="str">
        <f t="shared" si="399"/>
        <v>Increasing</v>
      </c>
      <c r="AS1117" s="94">
        <f t="shared" si="400"/>
        <v>0</v>
      </c>
      <c r="AT1117" s="94">
        <f t="shared" si="401"/>
        <v>1.3686059584997615E-2</v>
      </c>
      <c r="AU1117" s="94">
        <f t="shared" si="386"/>
        <v>0.28045295244752749</v>
      </c>
      <c r="AV1117" s="94">
        <f t="shared" si="387"/>
        <v>0.28045295244752749</v>
      </c>
    </row>
    <row r="1118" spans="1:48" x14ac:dyDescent="0.3">
      <c r="A1118" s="85" t="str">
        <f>_xlfn.XLOOKUP(B1118,'Country codes &amp; Data sources'!G:G,'Country codes &amp; Data sources'!H:H,,0)</f>
        <v>Gabon</v>
      </c>
      <c r="B1118" s="85" t="s">
        <v>157</v>
      </c>
      <c r="C1118" s="85">
        <v>1836718</v>
      </c>
      <c r="D1118" s="85" t="s">
        <v>339</v>
      </c>
      <c r="E1118" s="86">
        <v>0</v>
      </c>
      <c r="F1118" s="86">
        <v>1902226.5000000007</v>
      </c>
      <c r="G1118" s="86">
        <v>0</v>
      </c>
      <c r="H1118" s="86"/>
      <c r="I1118" s="86">
        <v>0</v>
      </c>
      <c r="J1118" s="86"/>
      <c r="K1118" s="86">
        <v>0</v>
      </c>
      <c r="L1118" s="86"/>
      <c r="M1118" s="86">
        <v>0</v>
      </c>
      <c r="N1118" s="86"/>
      <c r="O1118" s="86">
        <v>41</v>
      </c>
      <c r="P1118" s="86">
        <v>2192011.5</v>
      </c>
      <c r="Q1118" s="86">
        <v>0</v>
      </c>
      <c r="R1118" s="87">
        <f t="shared" si="385"/>
        <v>0</v>
      </c>
      <c r="T1118" s="87">
        <v>85</v>
      </c>
      <c r="U1118" s="89"/>
      <c r="V1118" s="89">
        <v>86</v>
      </c>
      <c r="W1118" s="90"/>
      <c r="X1118" s="90">
        <v>0</v>
      </c>
      <c r="Y1118" s="90">
        <v>2388992.5000000005</v>
      </c>
      <c r="Z1118" s="90">
        <v>175</v>
      </c>
      <c r="AA1118" s="90">
        <v>0</v>
      </c>
      <c r="AB1118" s="89">
        <f t="shared" si="388"/>
        <v>0</v>
      </c>
      <c r="AC1118" s="89">
        <f t="shared" si="389"/>
        <v>85</v>
      </c>
      <c r="AD1118" s="89">
        <f t="shared" si="390"/>
        <v>175</v>
      </c>
      <c r="AF1118" s="90" t="str">
        <f t="shared" si="392"/>
        <v/>
      </c>
      <c r="AG1118" s="90">
        <f t="shared" si="393"/>
        <v>41</v>
      </c>
      <c r="AH1118" s="90">
        <f t="shared" si="394"/>
        <v>2017</v>
      </c>
      <c r="AI1118" s="90">
        <f t="shared" si="395"/>
        <v>175</v>
      </c>
      <c r="AJ1118" s="90">
        <f t="shared" si="396"/>
        <v>2022</v>
      </c>
      <c r="AK1118" s="90" t="str">
        <f t="shared" si="397"/>
        <v/>
      </c>
      <c r="AL1118" s="91">
        <f>IF(AK1118="Adjust",(_xlfn.XLOOKUP(A1118,'Adj factor'!A:A,'Adj factor'!I:I,,0)*AI1118),'Master DataSheet (Rev)'!AI1118)</f>
        <v>175</v>
      </c>
      <c r="AM1118" s="91">
        <f t="shared" si="398"/>
        <v>175</v>
      </c>
      <c r="AN1118" s="92" t="str">
        <f t="shared" si="399"/>
        <v>Increasing</v>
      </c>
      <c r="AS1118" s="94">
        <f t="shared" si="400"/>
        <v>0</v>
      </c>
      <c r="AT1118" s="94">
        <f t="shared" si="401"/>
        <v>0.18704281432830075</v>
      </c>
      <c r="AU1118" s="94">
        <f t="shared" si="386"/>
        <v>0.73252636833309426</v>
      </c>
      <c r="AV1118" s="94">
        <f t="shared" si="387"/>
        <v>0.73252636833309426</v>
      </c>
    </row>
    <row r="1119" spans="1:48" x14ac:dyDescent="0.3">
      <c r="A1119" s="85" t="str">
        <f>_xlfn.XLOOKUP(B1119,'Country codes &amp; Data sources'!G:G,'Country codes &amp; Data sources'!H:H,,0)</f>
        <v>Ghana</v>
      </c>
      <c r="B1119" s="85" t="s">
        <v>172</v>
      </c>
      <c r="C1119" s="85">
        <v>26858761.999999993</v>
      </c>
      <c r="D1119" s="85" t="s">
        <v>326</v>
      </c>
      <c r="E1119" s="86">
        <v>2486</v>
      </c>
      <c r="F1119" s="86">
        <v>27525596.999999989</v>
      </c>
      <c r="G1119" s="86">
        <v>2730</v>
      </c>
      <c r="H1119" s="86">
        <v>28196358.499999996</v>
      </c>
      <c r="I1119" s="86">
        <v>3016</v>
      </c>
      <c r="J1119" s="86">
        <v>28870939.000000007</v>
      </c>
      <c r="K1119" s="86">
        <v>3263</v>
      </c>
      <c r="L1119" s="86">
        <v>29554302.499999993</v>
      </c>
      <c r="M1119" s="86">
        <v>3618</v>
      </c>
      <c r="N1119" s="86">
        <v>30222261.500000004</v>
      </c>
      <c r="O1119" s="86">
        <v>2679</v>
      </c>
      <c r="P1119" s="86">
        <v>30870640.5</v>
      </c>
      <c r="Q1119" s="86">
        <v>4406</v>
      </c>
      <c r="R1119" s="87">
        <f t="shared" si="385"/>
        <v>4406</v>
      </c>
      <c r="S1119" s="87">
        <v>31522289.999999996</v>
      </c>
      <c r="T1119" s="87">
        <v>3236</v>
      </c>
      <c r="U1119" s="89">
        <v>32180401.499999981</v>
      </c>
      <c r="V1119" s="89">
        <v>5285</v>
      </c>
      <c r="W1119" s="90">
        <v>32833031.499999996</v>
      </c>
      <c r="X1119" s="90">
        <v>4169</v>
      </c>
      <c r="Y1119" s="90">
        <v>33475870.500000011</v>
      </c>
      <c r="Z1119" s="90">
        <v>4726</v>
      </c>
      <c r="AA1119" s="90">
        <v>4406</v>
      </c>
      <c r="AB1119" s="89">
        <f t="shared" si="388"/>
        <v>3263</v>
      </c>
      <c r="AC1119" s="89">
        <f t="shared" si="389"/>
        <v>4406</v>
      </c>
      <c r="AD1119" s="89">
        <f t="shared" si="390"/>
        <v>5285</v>
      </c>
      <c r="AE1119" s="90">
        <f t="shared" si="391"/>
        <v>2730</v>
      </c>
      <c r="AF1119" s="90">
        <f t="shared" si="392"/>
        <v>2013</v>
      </c>
      <c r="AG1119" s="90">
        <f t="shared" si="393"/>
        <v>4406</v>
      </c>
      <c r="AH1119" s="90">
        <f t="shared" si="394"/>
        <v>2018</v>
      </c>
      <c r="AI1119" s="90">
        <f t="shared" si="395"/>
        <v>4726</v>
      </c>
      <c r="AJ1119" s="90">
        <f t="shared" si="396"/>
        <v>2022</v>
      </c>
      <c r="AK1119" s="90" t="str">
        <f t="shared" si="397"/>
        <v/>
      </c>
      <c r="AL1119" s="91">
        <f>IF(AK1119="Adjust",(_xlfn.XLOOKUP(A1119,'Adj factor'!A:A,'Adj factor'!I:I,,0)*AI1119),'Master DataSheet (Rev)'!AI1119)</f>
        <v>4726</v>
      </c>
      <c r="AM1119" s="91">
        <f t="shared" si="398"/>
        <v>4726</v>
      </c>
      <c r="AN1119" s="92" t="str">
        <f t="shared" si="399"/>
        <v>Increasing</v>
      </c>
      <c r="AS1119" s="94">
        <f t="shared" si="400"/>
        <v>0.99180410146962517</v>
      </c>
      <c r="AT1119" s="94">
        <f t="shared" si="401"/>
        <v>1.4272460592451912</v>
      </c>
      <c r="AU1119" s="94">
        <f t="shared" si="386"/>
        <v>1.411763138467153</v>
      </c>
      <c r="AV1119" s="94">
        <f t="shared" si="387"/>
        <v>1.411763138467153</v>
      </c>
    </row>
    <row r="1120" spans="1:48" x14ac:dyDescent="0.3">
      <c r="A1120" s="85" t="str">
        <f>_xlfn.XLOOKUP(B1120,'Country codes &amp; Data sources'!G:G,'Country codes &amp; Data sources'!H:H,,0)</f>
        <v>Ghana</v>
      </c>
      <c r="B1120" s="85" t="s">
        <v>172</v>
      </c>
      <c r="C1120" s="85">
        <v>26858763</v>
      </c>
      <c r="D1120" s="85" t="s">
        <v>327</v>
      </c>
      <c r="E1120" s="86">
        <v>0</v>
      </c>
      <c r="F1120" s="86">
        <v>27525596.999999989</v>
      </c>
      <c r="G1120" s="86">
        <v>0</v>
      </c>
      <c r="H1120" s="86"/>
      <c r="I1120" s="86">
        <v>0</v>
      </c>
      <c r="J1120" s="86"/>
      <c r="K1120" s="86">
        <v>0</v>
      </c>
      <c r="L1120" s="86"/>
      <c r="M1120" s="86">
        <v>0</v>
      </c>
      <c r="N1120" s="86"/>
      <c r="O1120" s="86">
        <v>1757</v>
      </c>
      <c r="P1120" s="86">
        <v>30870640.5</v>
      </c>
      <c r="Q1120" s="86">
        <v>3316</v>
      </c>
      <c r="R1120" s="87">
        <f t="shared" si="385"/>
        <v>3316</v>
      </c>
      <c r="T1120" s="87">
        <v>2181</v>
      </c>
      <c r="U1120" s="89"/>
      <c r="V1120" s="89">
        <v>0</v>
      </c>
      <c r="W1120" s="90"/>
      <c r="X1120" s="90">
        <v>3034</v>
      </c>
      <c r="Y1120" s="90">
        <v>33475870.500000011</v>
      </c>
      <c r="Z1120" s="90">
        <v>3344</v>
      </c>
      <c r="AA1120" s="90">
        <v>3316</v>
      </c>
      <c r="AB1120" s="89">
        <f t="shared" si="388"/>
        <v>0</v>
      </c>
      <c r="AC1120" s="89">
        <f t="shared" si="389"/>
        <v>3316</v>
      </c>
      <c r="AD1120" s="89">
        <f t="shared" si="390"/>
        <v>3344</v>
      </c>
      <c r="AF1120" s="90" t="str">
        <f t="shared" si="392"/>
        <v/>
      </c>
      <c r="AG1120" s="90">
        <f t="shared" si="393"/>
        <v>3316</v>
      </c>
      <c r="AH1120" s="90">
        <f t="shared" si="394"/>
        <v>2018</v>
      </c>
      <c r="AI1120" s="90">
        <f t="shared" si="395"/>
        <v>3344</v>
      </c>
      <c r="AJ1120" s="90">
        <f t="shared" si="396"/>
        <v>2022</v>
      </c>
      <c r="AK1120" s="90" t="str">
        <f t="shared" si="397"/>
        <v/>
      </c>
      <c r="AL1120" s="91">
        <f>IF(AK1120="Adjust",(_xlfn.XLOOKUP(A1120,'Adj factor'!A:A,'Adj factor'!I:I,,0)*AI1120),'Master DataSheet (Rev)'!AI1120)</f>
        <v>3344</v>
      </c>
      <c r="AM1120" s="91">
        <f t="shared" si="398"/>
        <v>3344</v>
      </c>
      <c r="AN1120" s="92" t="str">
        <f t="shared" si="399"/>
        <v>Increasing</v>
      </c>
      <c r="AS1120" s="94">
        <f t="shared" si="400"/>
        <v>0</v>
      </c>
      <c r="AT1120" s="94">
        <f t="shared" si="401"/>
        <v>1.074159766785532</v>
      </c>
      <c r="AU1120" s="94">
        <f t="shared" si="386"/>
        <v>0.99892846699834104</v>
      </c>
      <c r="AV1120" s="94">
        <f t="shared" si="387"/>
        <v>0.99892846699834104</v>
      </c>
    </row>
    <row r="1121" spans="1:48" x14ac:dyDescent="0.3">
      <c r="A1121" s="85" t="str">
        <f>_xlfn.XLOOKUP(B1121,'Country codes &amp; Data sources'!G:G,'Country codes &amp; Data sources'!H:H,,0)</f>
        <v>Ghana</v>
      </c>
      <c r="B1121" s="85" t="s">
        <v>172</v>
      </c>
      <c r="C1121" s="85">
        <v>26858764</v>
      </c>
      <c r="D1121" s="85" t="s">
        <v>328</v>
      </c>
      <c r="E1121" s="86">
        <v>0</v>
      </c>
      <c r="F1121" s="86">
        <v>27525596.999999989</v>
      </c>
      <c r="G1121" s="86">
        <v>0</v>
      </c>
      <c r="H1121" s="86"/>
      <c r="I1121" s="86">
        <v>0</v>
      </c>
      <c r="J1121" s="86"/>
      <c r="K1121" s="86">
        <v>0</v>
      </c>
      <c r="L1121" s="86"/>
      <c r="M1121" s="86">
        <v>0</v>
      </c>
      <c r="N1121" s="86"/>
      <c r="O1121" s="86">
        <v>861</v>
      </c>
      <c r="P1121" s="86">
        <v>30870640.5</v>
      </c>
      <c r="Q1121" s="86">
        <v>1090</v>
      </c>
      <c r="R1121" s="87">
        <f t="shared" si="385"/>
        <v>1090</v>
      </c>
      <c r="T1121" s="87">
        <v>1055</v>
      </c>
      <c r="U1121" s="89"/>
      <c r="V1121" s="89">
        <v>0</v>
      </c>
      <c r="W1121" s="90"/>
      <c r="X1121" s="90">
        <v>1135</v>
      </c>
      <c r="Y1121" s="90">
        <v>33475870.500000011</v>
      </c>
      <c r="Z1121" s="90">
        <v>1382</v>
      </c>
      <c r="AA1121" s="90">
        <v>1090</v>
      </c>
      <c r="AB1121" s="89">
        <f t="shared" si="388"/>
        <v>0</v>
      </c>
      <c r="AC1121" s="89">
        <f t="shared" si="389"/>
        <v>1090</v>
      </c>
      <c r="AD1121" s="89">
        <f t="shared" si="390"/>
        <v>1382</v>
      </c>
      <c r="AF1121" s="90" t="str">
        <f t="shared" si="392"/>
        <v/>
      </c>
      <c r="AG1121" s="90">
        <f t="shared" si="393"/>
        <v>1090</v>
      </c>
      <c r="AH1121" s="90">
        <f t="shared" si="394"/>
        <v>2018</v>
      </c>
      <c r="AI1121" s="90">
        <f t="shared" si="395"/>
        <v>1382</v>
      </c>
      <c r="AJ1121" s="90">
        <f t="shared" si="396"/>
        <v>2022</v>
      </c>
      <c r="AK1121" s="90" t="str">
        <f t="shared" si="397"/>
        <v/>
      </c>
      <c r="AL1121" s="91">
        <f>IF(AK1121="Adjust",(_xlfn.XLOOKUP(A1121,'Adj factor'!A:A,'Adj factor'!I:I,,0)*AI1121),'Master DataSheet (Rev)'!AI1121)</f>
        <v>1382</v>
      </c>
      <c r="AM1121" s="91">
        <f t="shared" si="398"/>
        <v>1382</v>
      </c>
      <c r="AN1121" s="92" t="str">
        <f t="shared" si="399"/>
        <v>Increasing</v>
      </c>
      <c r="AS1121" s="94">
        <f t="shared" si="400"/>
        <v>0</v>
      </c>
      <c r="AT1121" s="94">
        <f t="shared" si="401"/>
        <v>0.35308629245965922</v>
      </c>
      <c r="AU1121" s="94">
        <f t="shared" si="386"/>
        <v>0.41283467146881198</v>
      </c>
      <c r="AV1121" s="94">
        <f t="shared" si="387"/>
        <v>0.41283467146881198</v>
      </c>
    </row>
    <row r="1122" spans="1:48" x14ac:dyDescent="0.3">
      <c r="A1122" s="85" t="str">
        <f>_xlfn.XLOOKUP(B1122,'Country codes &amp; Data sources'!G:G,'Country codes &amp; Data sources'!H:H,,0)</f>
        <v>Ghana</v>
      </c>
      <c r="B1122" s="85" t="s">
        <v>172</v>
      </c>
      <c r="C1122" s="85">
        <v>26858765</v>
      </c>
      <c r="D1122" s="85" t="s">
        <v>329</v>
      </c>
      <c r="E1122" s="86">
        <v>0</v>
      </c>
      <c r="F1122" s="86">
        <v>27525596.999999989</v>
      </c>
      <c r="G1122" s="86">
        <v>0</v>
      </c>
      <c r="H1122" s="86"/>
      <c r="I1122" s="86">
        <v>37404</v>
      </c>
      <c r="J1122" s="86"/>
      <c r="K1122" s="86">
        <v>48939</v>
      </c>
      <c r="L1122" s="86"/>
      <c r="M1122" s="86">
        <v>52605</v>
      </c>
      <c r="N1122" s="86"/>
      <c r="O1122" s="86">
        <v>58608</v>
      </c>
      <c r="P1122" s="86">
        <v>30870640.5</v>
      </c>
      <c r="Q1122" s="86">
        <v>125024</v>
      </c>
      <c r="R1122" s="87">
        <f t="shared" si="385"/>
        <v>125024</v>
      </c>
      <c r="T1122" s="87">
        <v>69789</v>
      </c>
      <c r="U1122" s="89"/>
      <c r="V1122" s="89">
        <v>95789</v>
      </c>
      <c r="W1122" s="90"/>
      <c r="X1122" s="90">
        <v>93144</v>
      </c>
      <c r="Y1122" s="90">
        <v>33475870.500000011</v>
      </c>
      <c r="Z1122" s="90">
        <v>102943</v>
      </c>
      <c r="AA1122" s="90">
        <v>42827</v>
      </c>
      <c r="AB1122" s="89">
        <f t="shared" si="388"/>
        <v>48939</v>
      </c>
      <c r="AC1122" s="89">
        <f t="shared" si="389"/>
        <v>125024</v>
      </c>
      <c r="AD1122" s="89">
        <f t="shared" si="390"/>
        <v>102943</v>
      </c>
      <c r="AE1122" s="90">
        <f t="shared" si="391"/>
        <v>37404</v>
      </c>
      <c r="AF1122" s="90">
        <f t="shared" si="392"/>
        <v>2014</v>
      </c>
      <c r="AG1122" s="90">
        <f t="shared" si="393"/>
        <v>125024</v>
      </c>
      <c r="AH1122" s="90">
        <f t="shared" si="394"/>
        <v>2018</v>
      </c>
      <c r="AI1122" s="90">
        <f t="shared" si="395"/>
        <v>102943</v>
      </c>
      <c r="AJ1122" s="90">
        <f t="shared" si="396"/>
        <v>2022</v>
      </c>
      <c r="AK1122" s="90" t="str">
        <f t="shared" si="397"/>
        <v>Adjust</v>
      </c>
      <c r="AL1122" s="91">
        <f>IF(AK1122="Adjust",(_xlfn.XLOOKUP(A1122,'Adj factor'!A:A,'Adj factor'!I:I,,0)*AI1122),'Master DataSheet (Rev)'!AI1122)</f>
        <v>124204.27697797566</v>
      </c>
      <c r="AM1122" s="91">
        <f t="shared" si="398"/>
        <v>125024</v>
      </c>
      <c r="AN1122" s="92" t="str">
        <f t="shared" si="399"/>
        <v>Decreasing</v>
      </c>
      <c r="AS1122" s="94">
        <f t="shared" si="400"/>
        <v>13.588806084750864</v>
      </c>
      <c r="AT1122" s="94">
        <f t="shared" si="401"/>
        <v>40.499321677501314</v>
      </c>
      <c r="AU1122" s="94">
        <f t="shared" si="386"/>
        <v>37.102627989308182</v>
      </c>
      <c r="AV1122" s="94">
        <f t="shared" si="387"/>
        <v>37.347497804426013</v>
      </c>
    </row>
    <row r="1123" spans="1:48" x14ac:dyDescent="0.3">
      <c r="A1123" s="85" t="str">
        <f>_xlfn.XLOOKUP(B1123,'Country codes &amp; Data sources'!G:G,'Country codes &amp; Data sources'!H:H,,0)</f>
        <v>Ghana</v>
      </c>
      <c r="B1123" s="85" t="s">
        <v>172</v>
      </c>
      <c r="C1123" s="85">
        <v>26858766</v>
      </c>
      <c r="D1123" s="85" t="s">
        <v>330</v>
      </c>
      <c r="E1123" s="86">
        <v>0</v>
      </c>
      <c r="F1123" s="86">
        <v>27525596.999999989</v>
      </c>
      <c r="G1123" s="86">
        <v>0</v>
      </c>
      <c r="H1123" s="86"/>
      <c r="I1123" s="86">
        <v>15412</v>
      </c>
      <c r="J1123" s="86"/>
      <c r="K1123" s="86">
        <v>0</v>
      </c>
      <c r="L1123" s="86"/>
      <c r="M1123" s="86">
        <v>0</v>
      </c>
      <c r="N1123" s="86"/>
      <c r="O1123" s="86">
        <v>21927</v>
      </c>
      <c r="P1123" s="86">
        <v>30870640.5</v>
      </c>
      <c r="Q1123" s="86">
        <v>60530</v>
      </c>
      <c r="R1123" s="87">
        <f t="shared" si="385"/>
        <v>60530</v>
      </c>
      <c r="T1123" s="87">
        <v>25959</v>
      </c>
      <c r="U1123" s="89"/>
      <c r="V1123" s="89">
        <v>0</v>
      </c>
      <c r="W1123" s="90"/>
      <c r="X1123" s="90">
        <v>41308</v>
      </c>
      <c r="Y1123" s="90">
        <v>33475870.500000011</v>
      </c>
      <c r="Z1123" s="90">
        <v>46459</v>
      </c>
      <c r="AA1123" s="90">
        <v>22303</v>
      </c>
      <c r="AB1123" s="89">
        <f t="shared" si="388"/>
        <v>15412</v>
      </c>
      <c r="AC1123" s="89">
        <f t="shared" si="389"/>
        <v>60530</v>
      </c>
      <c r="AD1123" s="89">
        <f t="shared" si="390"/>
        <v>46459</v>
      </c>
      <c r="AE1123" s="90">
        <f t="shared" si="391"/>
        <v>15412</v>
      </c>
      <c r="AF1123" s="90">
        <f t="shared" si="392"/>
        <v>2014</v>
      </c>
      <c r="AG1123" s="90">
        <f t="shared" si="393"/>
        <v>60530</v>
      </c>
      <c r="AH1123" s="90">
        <f t="shared" si="394"/>
        <v>2018</v>
      </c>
      <c r="AI1123" s="90">
        <f t="shared" si="395"/>
        <v>46459</v>
      </c>
      <c r="AJ1123" s="90">
        <f t="shared" si="396"/>
        <v>2022</v>
      </c>
      <c r="AK1123" s="90" t="str">
        <f t="shared" si="397"/>
        <v>Adjust</v>
      </c>
      <c r="AL1123" s="91">
        <f>IF(AK1123="Adjust",(_xlfn.XLOOKUP(A1123,'Adj factor'!A:A,'Adj factor'!I:I,,0)*AI1123),'Master DataSheet (Rev)'!AI1123)</f>
        <v>56054.384505209397</v>
      </c>
      <c r="AM1123" s="91">
        <f t="shared" si="398"/>
        <v>60530</v>
      </c>
      <c r="AN1123" s="92" t="str">
        <f t="shared" si="399"/>
        <v>Decreasing</v>
      </c>
      <c r="AS1123" s="94">
        <f t="shared" si="400"/>
        <v>5.5991519457325509</v>
      </c>
      <c r="AT1123" s="94">
        <f t="shared" si="401"/>
        <v>19.607626864755204</v>
      </c>
      <c r="AU1123" s="94">
        <f t="shared" si="386"/>
        <v>16.744713032991744</v>
      </c>
      <c r="AV1123" s="94">
        <f t="shared" si="387"/>
        <v>18.081680654129659</v>
      </c>
    </row>
    <row r="1124" spans="1:48" x14ac:dyDescent="0.3">
      <c r="A1124" s="85" t="str">
        <f>_xlfn.XLOOKUP(B1124,'Country codes &amp; Data sources'!G:G,'Country codes &amp; Data sources'!H:H,,0)</f>
        <v>Ghana</v>
      </c>
      <c r="B1124" s="85" t="s">
        <v>172</v>
      </c>
      <c r="C1124" s="85">
        <v>26858767</v>
      </c>
      <c r="D1124" s="85" t="s">
        <v>331</v>
      </c>
      <c r="E1124" s="86">
        <v>0</v>
      </c>
      <c r="F1124" s="86">
        <v>27525596.999999989</v>
      </c>
      <c r="G1124" s="86">
        <v>0</v>
      </c>
      <c r="H1124" s="86"/>
      <c r="I1124" s="86">
        <v>21992</v>
      </c>
      <c r="J1124" s="86"/>
      <c r="K1124" s="86">
        <v>0</v>
      </c>
      <c r="L1124" s="86"/>
      <c r="M1124" s="86">
        <v>0</v>
      </c>
      <c r="N1124" s="86"/>
      <c r="O1124" s="86">
        <v>36681</v>
      </c>
      <c r="P1124" s="86">
        <v>30870640.5</v>
      </c>
      <c r="Q1124" s="86">
        <v>64494</v>
      </c>
      <c r="R1124" s="87">
        <f t="shared" si="385"/>
        <v>64494</v>
      </c>
      <c r="T1124" s="87">
        <v>43830</v>
      </c>
      <c r="U1124" s="89"/>
      <c r="V1124" s="89">
        <v>0</v>
      </c>
      <c r="W1124" s="90"/>
      <c r="X1124" s="90">
        <v>51836</v>
      </c>
      <c r="Y1124" s="90">
        <v>33475870.500000011</v>
      </c>
      <c r="Z1124" s="90">
        <v>56484</v>
      </c>
      <c r="AA1124" s="90">
        <v>20524</v>
      </c>
      <c r="AB1124" s="89">
        <f t="shared" si="388"/>
        <v>21992</v>
      </c>
      <c r="AC1124" s="89">
        <f t="shared" si="389"/>
        <v>64494</v>
      </c>
      <c r="AD1124" s="89">
        <f t="shared" si="390"/>
        <v>56484</v>
      </c>
      <c r="AE1124" s="90">
        <f t="shared" si="391"/>
        <v>21992</v>
      </c>
      <c r="AF1124" s="90">
        <f t="shared" si="392"/>
        <v>2014</v>
      </c>
      <c r="AG1124" s="90">
        <f t="shared" si="393"/>
        <v>64494</v>
      </c>
      <c r="AH1124" s="90">
        <f t="shared" si="394"/>
        <v>2018</v>
      </c>
      <c r="AI1124" s="90">
        <f t="shared" si="395"/>
        <v>56484</v>
      </c>
      <c r="AJ1124" s="90">
        <f t="shared" si="396"/>
        <v>2022</v>
      </c>
      <c r="AK1124" s="90" t="str">
        <f t="shared" si="397"/>
        <v>Adjust</v>
      </c>
      <c r="AL1124" s="91">
        <f>IF(AK1124="Adjust",(_xlfn.XLOOKUP(A1124,'Adj factor'!A:A,'Adj factor'!I:I,,0)*AI1124),'Master DataSheet (Rev)'!AI1124)</f>
        <v>68149.892472766252</v>
      </c>
      <c r="AM1124" s="91">
        <f t="shared" si="398"/>
        <v>68149.892472766252</v>
      </c>
      <c r="AN1124" s="92" t="str">
        <f t="shared" si="399"/>
        <v>Increasing</v>
      </c>
      <c r="AS1124" s="94">
        <f t="shared" si="400"/>
        <v>7.989654139018314</v>
      </c>
      <c r="AT1124" s="94">
        <f t="shared" si="401"/>
        <v>20.89169481274611</v>
      </c>
      <c r="AU1124" s="94">
        <f t="shared" si="386"/>
        <v>20.357914956316442</v>
      </c>
      <c r="AV1124" s="94">
        <f t="shared" si="387"/>
        <v>20.357914956316442</v>
      </c>
    </row>
    <row r="1125" spans="1:48" x14ac:dyDescent="0.3">
      <c r="A1125" s="85" t="str">
        <f>_xlfn.XLOOKUP(B1125,'Country codes &amp; Data sources'!G:G,'Country codes &amp; Data sources'!H:H,,0)</f>
        <v>Ghana</v>
      </c>
      <c r="B1125" s="85" t="s">
        <v>172</v>
      </c>
      <c r="C1125" s="85">
        <v>26858768</v>
      </c>
      <c r="D1125" s="85" t="s">
        <v>332</v>
      </c>
      <c r="E1125" s="86">
        <v>0</v>
      </c>
      <c r="F1125" s="86">
        <v>27525596.999999989</v>
      </c>
      <c r="G1125" s="86">
        <v>11287</v>
      </c>
      <c r="H1125" s="86"/>
      <c r="I1125" s="86">
        <v>0</v>
      </c>
      <c r="J1125" s="86"/>
      <c r="K1125" s="86">
        <v>6808</v>
      </c>
      <c r="L1125" s="86"/>
      <c r="M1125" s="86">
        <v>7662</v>
      </c>
      <c r="N1125" s="86"/>
      <c r="O1125" s="86">
        <v>9554</v>
      </c>
      <c r="P1125" s="86">
        <v>30870640.5</v>
      </c>
      <c r="Q1125" s="86">
        <v>10489</v>
      </c>
      <c r="R1125" s="87">
        <f t="shared" si="385"/>
        <v>10625</v>
      </c>
      <c r="T1125" s="87">
        <v>12673</v>
      </c>
      <c r="U1125" s="89"/>
      <c r="V1125" s="89">
        <v>16700</v>
      </c>
      <c r="W1125" s="90"/>
      <c r="X1125" s="90">
        <v>19141</v>
      </c>
      <c r="Y1125" s="90">
        <v>33475870.500000011</v>
      </c>
      <c r="Z1125" s="90">
        <v>23882</v>
      </c>
      <c r="AA1125" s="90">
        <v>10625</v>
      </c>
      <c r="AB1125" s="89">
        <f t="shared" si="388"/>
        <v>11287</v>
      </c>
      <c r="AC1125" s="89">
        <f t="shared" si="389"/>
        <v>12673</v>
      </c>
      <c r="AD1125" s="89">
        <f t="shared" si="390"/>
        <v>23882</v>
      </c>
      <c r="AE1125" s="90">
        <f t="shared" si="391"/>
        <v>11287</v>
      </c>
      <c r="AF1125" s="90">
        <f t="shared" si="392"/>
        <v>2013</v>
      </c>
      <c r="AG1125" s="90">
        <f t="shared" si="393"/>
        <v>10625</v>
      </c>
      <c r="AH1125" s="90" t="str">
        <f t="shared" si="394"/>
        <v>2018 (triag)</v>
      </c>
      <c r="AI1125" s="90">
        <f t="shared" si="395"/>
        <v>23882</v>
      </c>
      <c r="AJ1125" s="90">
        <f t="shared" si="396"/>
        <v>2022</v>
      </c>
      <c r="AK1125" s="90" t="str">
        <f t="shared" si="397"/>
        <v/>
      </c>
      <c r="AL1125" s="91">
        <f>IF(AK1125="Adjust",(_xlfn.XLOOKUP(A1125,'Adj factor'!A:A,'Adj factor'!I:I,,0)*AI1125),'Master DataSheet (Rev)'!AI1125)</f>
        <v>23882</v>
      </c>
      <c r="AM1125" s="91">
        <f t="shared" si="398"/>
        <v>23882</v>
      </c>
      <c r="AN1125" s="92" t="str">
        <f t="shared" si="399"/>
        <v>Increasing</v>
      </c>
      <c r="AS1125" s="94">
        <f t="shared" si="400"/>
        <v>4.1005468473581175</v>
      </c>
      <c r="AT1125" s="94">
        <f t="shared" si="401"/>
        <v>3.441781520535669</v>
      </c>
      <c r="AU1125" s="94">
        <f t="shared" si="386"/>
        <v>7.1340937945138698</v>
      </c>
      <c r="AV1125" s="94">
        <f t="shared" si="387"/>
        <v>7.1340937945138698</v>
      </c>
    </row>
    <row r="1126" spans="1:48" x14ac:dyDescent="0.3">
      <c r="A1126" s="85" t="str">
        <f>_xlfn.XLOOKUP(B1126,'Country codes &amp; Data sources'!G:G,'Country codes &amp; Data sources'!H:H,,0)</f>
        <v>Ghana</v>
      </c>
      <c r="B1126" s="85" t="s">
        <v>172</v>
      </c>
      <c r="C1126" s="85">
        <v>26858769</v>
      </c>
      <c r="D1126" s="85" t="s">
        <v>333</v>
      </c>
      <c r="E1126" s="86">
        <v>0</v>
      </c>
      <c r="F1126" s="86">
        <v>27525596.999999989</v>
      </c>
      <c r="G1126" s="86">
        <v>4185</v>
      </c>
      <c r="H1126" s="86"/>
      <c r="I1126" s="86">
        <v>0</v>
      </c>
      <c r="J1126" s="86"/>
      <c r="K1126" s="86">
        <v>0</v>
      </c>
      <c r="L1126" s="86"/>
      <c r="M1126" s="86">
        <v>0</v>
      </c>
      <c r="N1126" s="86"/>
      <c r="O1126" s="86">
        <v>9554</v>
      </c>
      <c r="P1126" s="86">
        <v>30870640.5</v>
      </c>
      <c r="Q1126" s="86">
        <v>10489</v>
      </c>
      <c r="R1126" s="87">
        <f t="shared" si="385"/>
        <v>10625</v>
      </c>
      <c r="T1126" s="87">
        <v>12673</v>
      </c>
      <c r="U1126" s="89"/>
      <c r="V1126" s="89">
        <v>0</v>
      </c>
      <c r="W1126" s="90"/>
      <c r="X1126" s="90">
        <v>19141</v>
      </c>
      <c r="Y1126" s="90">
        <v>33475870.500000011</v>
      </c>
      <c r="Z1126" s="90">
        <v>23882</v>
      </c>
      <c r="AA1126" s="90">
        <v>10625</v>
      </c>
      <c r="AB1126" s="89">
        <f t="shared" si="388"/>
        <v>4185</v>
      </c>
      <c r="AC1126" s="89">
        <f t="shared" si="389"/>
        <v>12673</v>
      </c>
      <c r="AD1126" s="89">
        <f t="shared" si="390"/>
        <v>23882</v>
      </c>
      <c r="AE1126" s="90">
        <f t="shared" si="391"/>
        <v>4185</v>
      </c>
      <c r="AF1126" s="90">
        <f t="shared" si="392"/>
        <v>2013</v>
      </c>
      <c r="AG1126" s="90">
        <f t="shared" si="393"/>
        <v>10625</v>
      </c>
      <c r="AH1126" s="90" t="str">
        <f t="shared" si="394"/>
        <v>2018 (triag)</v>
      </c>
      <c r="AI1126" s="90">
        <f t="shared" si="395"/>
        <v>23882</v>
      </c>
      <c r="AJ1126" s="90">
        <f t="shared" si="396"/>
        <v>2022</v>
      </c>
      <c r="AK1126" s="90" t="str">
        <f t="shared" si="397"/>
        <v/>
      </c>
      <c r="AL1126" s="91">
        <f>IF(AK1126="Adjust",(_xlfn.XLOOKUP(A1126,'Adj factor'!A:A,'Adj factor'!I:I,,0)*AI1126),'Master DataSheet (Rev)'!AI1126)</f>
        <v>23882</v>
      </c>
      <c r="AM1126" s="91">
        <f t="shared" si="398"/>
        <v>23882</v>
      </c>
      <c r="AN1126" s="92" t="str">
        <f t="shared" si="399"/>
        <v>Increasing</v>
      </c>
      <c r="AS1126" s="94">
        <f t="shared" si="400"/>
        <v>1.5204029907144254</v>
      </c>
      <c r="AT1126" s="94">
        <f t="shared" si="401"/>
        <v>3.441781520535669</v>
      </c>
      <c r="AU1126" s="94">
        <f t="shared" si="386"/>
        <v>7.1340937945138698</v>
      </c>
      <c r="AV1126" s="94">
        <f t="shared" si="387"/>
        <v>7.1340937945138698</v>
      </c>
    </row>
    <row r="1127" spans="1:48" x14ac:dyDescent="0.3">
      <c r="A1127" s="85" t="str">
        <f>_xlfn.XLOOKUP(B1127,'Country codes &amp; Data sources'!G:G,'Country codes &amp; Data sources'!H:H,,0)</f>
        <v>Ghana</v>
      </c>
      <c r="B1127" s="85" t="s">
        <v>172</v>
      </c>
      <c r="C1127" s="85">
        <v>26858770</v>
      </c>
      <c r="D1127" s="85" t="s">
        <v>334</v>
      </c>
      <c r="E1127" s="86">
        <v>0</v>
      </c>
      <c r="F1127" s="86">
        <v>27525596.999999989</v>
      </c>
      <c r="G1127" s="86">
        <v>0</v>
      </c>
      <c r="H1127" s="86"/>
      <c r="I1127" s="86">
        <v>0</v>
      </c>
      <c r="J1127" s="86"/>
      <c r="K1127" s="86">
        <v>0</v>
      </c>
      <c r="L1127" s="86"/>
      <c r="M1127" s="86">
        <v>0</v>
      </c>
      <c r="N1127" s="86"/>
      <c r="O1127" s="86">
        <v>0</v>
      </c>
      <c r="P1127" s="86">
        <v>30870640.5</v>
      </c>
      <c r="Q1127" s="86">
        <v>0</v>
      </c>
      <c r="R1127" s="87">
        <f t="shared" si="385"/>
        <v>0</v>
      </c>
      <c r="T1127" s="87">
        <v>0</v>
      </c>
      <c r="U1127" s="89"/>
      <c r="V1127" s="89">
        <v>0</v>
      </c>
      <c r="W1127" s="90"/>
      <c r="X1127" s="90">
        <v>0</v>
      </c>
      <c r="Y1127" s="90">
        <v>33475870.500000011</v>
      </c>
      <c r="Z1127" s="90">
        <v>0</v>
      </c>
      <c r="AA1127" s="90">
        <v>0</v>
      </c>
      <c r="AB1127" s="89">
        <f t="shared" si="388"/>
        <v>0</v>
      </c>
      <c r="AC1127" s="89">
        <f t="shared" si="389"/>
        <v>0</v>
      </c>
      <c r="AD1127" s="89">
        <f t="shared" si="390"/>
        <v>0</v>
      </c>
      <c r="AF1127" s="90" t="str">
        <f t="shared" si="392"/>
        <v/>
      </c>
      <c r="AH1127" s="90" t="str">
        <f t="shared" si="394"/>
        <v/>
      </c>
      <c r="AI1127" s="90">
        <f t="shared" si="395"/>
        <v>0</v>
      </c>
      <c r="AJ1127" s="90" t="str">
        <f t="shared" si="396"/>
        <v/>
      </c>
      <c r="AK1127" s="90" t="str">
        <f t="shared" si="397"/>
        <v/>
      </c>
      <c r="AL1127" s="91"/>
      <c r="AM1127" s="91">
        <f t="shared" si="398"/>
        <v>0</v>
      </c>
      <c r="AN1127" s="92" t="str">
        <f t="shared" si="399"/>
        <v>No change</v>
      </c>
      <c r="AS1127" s="94">
        <f t="shared" si="400"/>
        <v>0</v>
      </c>
      <c r="AT1127" s="94">
        <f t="shared" si="401"/>
        <v>0</v>
      </c>
      <c r="AU1127" s="94">
        <f t="shared" si="386"/>
        <v>0</v>
      </c>
      <c r="AV1127" s="94">
        <f t="shared" si="387"/>
        <v>0</v>
      </c>
    </row>
    <row r="1128" spans="1:48" x14ac:dyDescent="0.3">
      <c r="A1128" s="85" t="str">
        <f>_xlfn.XLOOKUP(B1128,'Country codes &amp; Data sources'!G:G,'Country codes &amp; Data sources'!H:H,,0)</f>
        <v>Ghana</v>
      </c>
      <c r="B1128" s="85" t="s">
        <v>172</v>
      </c>
      <c r="C1128" s="85">
        <v>26858771</v>
      </c>
      <c r="D1128" s="85" t="s">
        <v>335</v>
      </c>
      <c r="E1128" s="86">
        <v>0</v>
      </c>
      <c r="F1128" s="86">
        <v>27525596.999999989</v>
      </c>
      <c r="G1128" s="86">
        <v>0</v>
      </c>
      <c r="H1128" s="86"/>
      <c r="I1128" s="86">
        <v>0</v>
      </c>
      <c r="J1128" s="86"/>
      <c r="K1128" s="86">
        <v>0</v>
      </c>
      <c r="L1128" s="86"/>
      <c r="M1128" s="86">
        <v>570</v>
      </c>
      <c r="N1128" s="86"/>
      <c r="O1128" s="86">
        <v>718</v>
      </c>
      <c r="P1128" s="86">
        <v>30870640.5</v>
      </c>
      <c r="Q1128" s="86">
        <v>918</v>
      </c>
      <c r="R1128" s="87">
        <f t="shared" si="385"/>
        <v>918</v>
      </c>
      <c r="T1128" s="87">
        <v>1138</v>
      </c>
      <c r="U1128" s="89"/>
      <c r="V1128" s="89">
        <v>1388</v>
      </c>
      <c r="W1128" s="90"/>
      <c r="X1128" s="90">
        <v>1035</v>
      </c>
      <c r="Y1128" s="90">
        <v>33475870.500000011</v>
      </c>
      <c r="Z1128" s="103">
        <v>5736</v>
      </c>
      <c r="AA1128" s="90">
        <v>775</v>
      </c>
      <c r="AB1128" s="89">
        <f t="shared" si="388"/>
        <v>0</v>
      </c>
      <c r="AC1128" s="89">
        <f t="shared" si="389"/>
        <v>1138</v>
      </c>
      <c r="AD1128" s="89">
        <f t="shared" si="390"/>
        <v>5736</v>
      </c>
      <c r="AF1128" s="90" t="str">
        <f t="shared" si="392"/>
        <v/>
      </c>
      <c r="AG1128" s="90">
        <f t="shared" si="393"/>
        <v>918</v>
      </c>
      <c r="AH1128" s="90">
        <f t="shared" si="394"/>
        <v>2018</v>
      </c>
      <c r="AI1128" s="90">
        <f t="shared" si="395"/>
        <v>5736</v>
      </c>
      <c r="AJ1128" s="90">
        <f t="shared" si="396"/>
        <v>2022</v>
      </c>
      <c r="AK1128" s="90" t="str">
        <f t="shared" si="397"/>
        <v/>
      </c>
      <c r="AL1128" s="91">
        <f>IF(AK1128="Adjust",(_xlfn.XLOOKUP(A1128,'Adj factor'!A:A,'Adj factor'!I:I,,0)*AI1128),'Master DataSheet (Rev)'!AI1128)</f>
        <v>5736</v>
      </c>
      <c r="AM1128" s="91">
        <f t="shared" si="398"/>
        <v>5736</v>
      </c>
      <c r="AN1128" s="92" t="str">
        <f t="shared" si="399"/>
        <v>Increasing</v>
      </c>
      <c r="AS1128" s="94">
        <f t="shared" si="400"/>
        <v>0</v>
      </c>
      <c r="AT1128" s="94">
        <f t="shared" si="401"/>
        <v>0.29736992337428181</v>
      </c>
      <c r="AU1128" s="94">
        <f t="shared" si="386"/>
        <v>1.7134729924349534</v>
      </c>
      <c r="AV1128" s="94">
        <f t="shared" si="387"/>
        <v>1.7134729924349534</v>
      </c>
    </row>
    <row r="1129" spans="1:48" x14ac:dyDescent="0.3">
      <c r="A1129" s="85" t="str">
        <f>_xlfn.XLOOKUP(B1129,'Country codes &amp; Data sources'!G:G,'Country codes &amp; Data sources'!H:H,,0)</f>
        <v>Ghana</v>
      </c>
      <c r="B1129" s="85" t="s">
        <v>172</v>
      </c>
      <c r="C1129" s="85">
        <v>26858772</v>
      </c>
      <c r="D1129" s="85" t="s">
        <v>336</v>
      </c>
      <c r="E1129" s="86">
        <v>0</v>
      </c>
      <c r="F1129" s="86">
        <v>27525596.999999989</v>
      </c>
      <c r="G1129" s="86">
        <v>0</v>
      </c>
      <c r="H1129" s="86"/>
      <c r="I1129" s="86">
        <v>0</v>
      </c>
      <c r="J1129" s="86"/>
      <c r="K1129" s="86">
        <v>0</v>
      </c>
      <c r="L1129" s="86"/>
      <c r="M1129" s="86">
        <v>0</v>
      </c>
      <c r="N1129" s="86"/>
      <c r="O1129" s="86">
        <v>821</v>
      </c>
      <c r="P1129" s="86">
        <v>30870640.5</v>
      </c>
      <c r="Q1129" s="86">
        <v>0</v>
      </c>
      <c r="R1129" s="87">
        <f t="shared" si="385"/>
        <v>1352</v>
      </c>
      <c r="T1129" s="87">
        <v>0</v>
      </c>
      <c r="U1129" s="89"/>
      <c r="V1129" s="89">
        <v>0</v>
      </c>
      <c r="W1129" s="90"/>
      <c r="X1129" s="90">
        <v>1096</v>
      </c>
      <c r="Y1129" s="90">
        <v>33475870.500000011</v>
      </c>
      <c r="Z1129" s="90">
        <v>1507</v>
      </c>
      <c r="AA1129" s="90">
        <v>1352</v>
      </c>
      <c r="AB1129" s="89">
        <f t="shared" si="388"/>
        <v>0</v>
      </c>
      <c r="AC1129" s="89">
        <f t="shared" si="389"/>
        <v>821</v>
      </c>
      <c r="AD1129" s="89">
        <f t="shared" si="390"/>
        <v>1507</v>
      </c>
      <c r="AF1129" s="90" t="str">
        <f t="shared" si="392"/>
        <v/>
      </c>
      <c r="AG1129" s="90">
        <f t="shared" si="393"/>
        <v>1352</v>
      </c>
      <c r="AH1129" s="90" t="str">
        <f t="shared" si="394"/>
        <v>2018 (triag)</v>
      </c>
      <c r="AI1129" s="90">
        <f t="shared" si="395"/>
        <v>1507</v>
      </c>
      <c r="AJ1129" s="90">
        <f t="shared" si="396"/>
        <v>2022</v>
      </c>
      <c r="AK1129" s="90" t="str">
        <f t="shared" si="397"/>
        <v/>
      </c>
      <c r="AL1129" s="91">
        <f>IF(AK1129="Adjust",(_xlfn.XLOOKUP(A1129,'Adj factor'!A:A,'Adj factor'!I:I,,0)*AI1129),'Master DataSheet (Rev)'!AI1129)</f>
        <v>1507</v>
      </c>
      <c r="AM1129" s="91">
        <f t="shared" si="398"/>
        <v>1507</v>
      </c>
      <c r="AN1129" s="92" t="str">
        <f t="shared" si="399"/>
        <v>Increasing</v>
      </c>
      <c r="AS1129" s="94">
        <f t="shared" si="400"/>
        <v>0</v>
      </c>
      <c r="AT1129" s="94">
        <f t="shared" si="401"/>
        <v>0.43795657560133877</v>
      </c>
      <c r="AU1129" s="94">
        <f t="shared" si="386"/>
        <v>0.45017499993017346</v>
      </c>
      <c r="AV1129" s="94">
        <f t="shared" si="387"/>
        <v>0.45017499993017346</v>
      </c>
    </row>
    <row r="1130" spans="1:48" x14ac:dyDescent="0.3">
      <c r="A1130" s="85" t="str">
        <f>_xlfn.XLOOKUP(B1130,'Country codes &amp; Data sources'!G:G,'Country codes &amp; Data sources'!H:H,,0)</f>
        <v>Ghana</v>
      </c>
      <c r="B1130" s="85" t="s">
        <v>172</v>
      </c>
      <c r="C1130" s="85">
        <v>26858773</v>
      </c>
      <c r="D1130" s="85" t="s">
        <v>337</v>
      </c>
      <c r="E1130" s="86">
        <v>0</v>
      </c>
      <c r="F1130" s="86">
        <v>27525596.999999989</v>
      </c>
      <c r="G1130" s="86">
        <v>0</v>
      </c>
      <c r="H1130" s="86"/>
      <c r="I1130" s="86">
        <v>0</v>
      </c>
      <c r="J1130" s="86"/>
      <c r="K1130" s="86">
        <v>0</v>
      </c>
      <c r="L1130" s="86"/>
      <c r="M1130" s="86">
        <v>400</v>
      </c>
      <c r="N1130" s="86"/>
      <c r="O1130" s="86">
        <v>0</v>
      </c>
      <c r="P1130" s="86">
        <v>30870640.5</v>
      </c>
      <c r="Q1130" s="86">
        <v>713</v>
      </c>
      <c r="R1130" s="87">
        <f t="shared" si="385"/>
        <v>713</v>
      </c>
      <c r="T1130" s="87">
        <v>0</v>
      </c>
      <c r="U1130" s="89"/>
      <c r="V1130" s="89">
        <v>0</v>
      </c>
      <c r="W1130" s="90"/>
      <c r="X1130" s="90">
        <v>0</v>
      </c>
      <c r="Y1130" s="90">
        <v>33475870.500000011</v>
      </c>
      <c r="Z1130" s="103">
        <v>202</v>
      </c>
      <c r="AA1130" s="90">
        <v>486</v>
      </c>
      <c r="AB1130" s="89">
        <f t="shared" si="388"/>
        <v>0</v>
      </c>
      <c r="AC1130" s="89">
        <f t="shared" si="389"/>
        <v>713</v>
      </c>
      <c r="AD1130" s="89">
        <f t="shared" si="390"/>
        <v>202</v>
      </c>
      <c r="AF1130" s="90" t="str">
        <f t="shared" si="392"/>
        <v/>
      </c>
      <c r="AG1130" s="90">
        <f t="shared" si="393"/>
        <v>713</v>
      </c>
      <c r="AH1130" s="90">
        <f t="shared" si="394"/>
        <v>2018</v>
      </c>
      <c r="AI1130" s="90">
        <f t="shared" si="395"/>
        <v>202</v>
      </c>
      <c r="AJ1130" s="90">
        <f t="shared" si="396"/>
        <v>2022</v>
      </c>
      <c r="AK1130" s="90" t="str">
        <f t="shared" si="397"/>
        <v>Adjust</v>
      </c>
      <c r="AL1130" s="91">
        <f>IF(AK1130="Adjust",(_xlfn.XLOOKUP(A1130,'Adj factor'!A:A,'Adj factor'!I:I,,0)*AI1130),'Master DataSheet (Rev)'!AI1130)</f>
        <v>243.71996104204348</v>
      </c>
      <c r="AM1130" s="91">
        <f t="shared" si="398"/>
        <v>713</v>
      </c>
      <c r="AN1130" s="92" t="str">
        <f t="shared" si="399"/>
        <v>Decreasing</v>
      </c>
      <c r="AS1130" s="94">
        <f t="shared" si="400"/>
        <v>0</v>
      </c>
      <c r="AT1130" s="94">
        <f t="shared" si="401"/>
        <v>0.2309637858015936</v>
      </c>
      <c r="AU1130" s="94">
        <f t="shared" si="386"/>
        <v>7.280466718320093E-2</v>
      </c>
      <c r="AV1130" s="94">
        <f t="shared" si="387"/>
        <v>0.21298923354360561</v>
      </c>
    </row>
    <row r="1131" spans="1:48" x14ac:dyDescent="0.3">
      <c r="A1131" s="85" t="str">
        <f>_xlfn.XLOOKUP(B1131,'Country codes &amp; Data sources'!G:G,'Country codes &amp; Data sources'!H:H,,0)</f>
        <v>Ghana</v>
      </c>
      <c r="B1131" s="85" t="s">
        <v>172</v>
      </c>
      <c r="C1131" s="85">
        <v>26858774</v>
      </c>
      <c r="D1131" s="85" t="s">
        <v>338</v>
      </c>
      <c r="E1131" s="86">
        <v>0</v>
      </c>
      <c r="F1131" s="86">
        <v>27525596.999999989</v>
      </c>
      <c r="G1131" s="86">
        <v>0</v>
      </c>
      <c r="H1131" s="86"/>
      <c r="I1131" s="86">
        <v>0</v>
      </c>
      <c r="J1131" s="86"/>
      <c r="K1131" s="86">
        <v>0</v>
      </c>
      <c r="L1131" s="86"/>
      <c r="M1131" s="86">
        <v>516</v>
      </c>
      <c r="N1131" s="86"/>
      <c r="O1131" s="86">
        <v>46</v>
      </c>
      <c r="P1131" s="86">
        <v>30870640.5</v>
      </c>
      <c r="Q1131" s="86">
        <v>0</v>
      </c>
      <c r="R1131" s="87">
        <f t="shared" si="385"/>
        <v>227</v>
      </c>
      <c r="T1131" s="87">
        <v>0</v>
      </c>
      <c r="U1131" s="89"/>
      <c r="V1131" s="89">
        <v>0</v>
      </c>
      <c r="W1131" s="90"/>
      <c r="X1131" s="90">
        <v>396</v>
      </c>
      <c r="Y1131" s="90">
        <v>33475870.500000011</v>
      </c>
      <c r="Z1131" s="90">
        <v>488</v>
      </c>
      <c r="AA1131" s="90">
        <v>227</v>
      </c>
      <c r="AB1131" s="89">
        <f t="shared" si="388"/>
        <v>0</v>
      </c>
      <c r="AC1131" s="89">
        <f t="shared" si="389"/>
        <v>516</v>
      </c>
      <c r="AD1131" s="89">
        <f t="shared" si="390"/>
        <v>488</v>
      </c>
      <c r="AF1131" s="90" t="str">
        <f t="shared" si="392"/>
        <v/>
      </c>
      <c r="AG1131" s="90">
        <f t="shared" si="393"/>
        <v>227</v>
      </c>
      <c r="AH1131" s="90" t="str">
        <f t="shared" si="394"/>
        <v>2018 (triag)</v>
      </c>
      <c r="AI1131" s="90">
        <f t="shared" si="395"/>
        <v>488</v>
      </c>
      <c r="AJ1131" s="90">
        <f t="shared" si="396"/>
        <v>2022</v>
      </c>
      <c r="AK1131" s="90" t="str">
        <f t="shared" si="397"/>
        <v/>
      </c>
      <c r="AL1131" s="91">
        <f>IF(AK1131="Adjust",(_xlfn.XLOOKUP(A1131,'Adj factor'!A:A,'Adj factor'!I:I,,0)*AI1131),'Master DataSheet (Rev)'!AI1131)</f>
        <v>488</v>
      </c>
      <c r="AM1131" s="91">
        <f t="shared" si="398"/>
        <v>488</v>
      </c>
      <c r="AN1131" s="92" t="str">
        <f t="shared" si="399"/>
        <v>Increasing</v>
      </c>
      <c r="AS1131" s="94">
        <f t="shared" si="400"/>
        <v>0</v>
      </c>
      <c r="AT1131" s="94">
        <f t="shared" si="401"/>
        <v>7.3532649897562058E-2</v>
      </c>
      <c r="AU1131" s="94">
        <f t="shared" si="386"/>
        <v>0.14577664231315504</v>
      </c>
      <c r="AV1131" s="94">
        <f t="shared" si="387"/>
        <v>0.14577664231315504</v>
      </c>
    </row>
    <row r="1132" spans="1:48" x14ac:dyDescent="0.3">
      <c r="A1132" s="85" t="str">
        <f>_xlfn.XLOOKUP(B1132,'Country codes &amp; Data sources'!G:G,'Country codes &amp; Data sources'!H:H,,0)</f>
        <v>Ghana</v>
      </c>
      <c r="B1132" s="85" t="s">
        <v>172</v>
      </c>
      <c r="C1132" s="85">
        <v>26858775</v>
      </c>
      <c r="D1132" s="85" t="s">
        <v>339</v>
      </c>
      <c r="E1132" s="86">
        <v>0</v>
      </c>
      <c r="F1132" s="86">
        <v>27525596.999999989</v>
      </c>
      <c r="G1132" s="86">
        <v>0</v>
      </c>
      <c r="H1132" s="86"/>
      <c r="I1132" s="86">
        <v>0</v>
      </c>
      <c r="J1132" s="86"/>
      <c r="K1132" s="86">
        <v>0</v>
      </c>
      <c r="L1132" s="86"/>
      <c r="M1132" s="86">
        <v>0</v>
      </c>
      <c r="N1132" s="86"/>
      <c r="O1132" s="86">
        <v>0</v>
      </c>
      <c r="P1132" s="86">
        <v>30870640.5</v>
      </c>
      <c r="Q1132" s="86">
        <v>0</v>
      </c>
      <c r="R1132" s="87">
        <f t="shared" si="385"/>
        <v>0</v>
      </c>
      <c r="T1132" s="87">
        <v>0</v>
      </c>
      <c r="U1132" s="89"/>
      <c r="V1132" s="89">
        <v>0</v>
      </c>
      <c r="W1132" s="90"/>
      <c r="X1132" s="90">
        <v>48</v>
      </c>
      <c r="Y1132" s="90">
        <v>33475870.500000011</v>
      </c>
      <c r="Z1132" s="90">
        <v>65</v>
      </c>
      <c r="AA1132" s="90">
        <v>0</v>
      </c>
      <c r="AB1132" s="89">
        <f t="shared" si="388"/>
        <v>0</v>
      </c>
      <c r="AC1132" s="89">
        <f t="shared" si="389"/>
        <v>0</v>
      </c>
      <c r="AD1132" s="89">
        <f t="shared" si="390"/>
        <v>65</v>
      </c>
      <c r="AF1132" s="90" t="str">
        <f t="shared" si="392"/>
        <v/>
      </c>
      <c r="AH1132" s="90" t="str">
        <f t="shared" si="394"/>
        <v/>
      </c>
      <c r="AI1132" s="90">
        <f t="shared" si="395"/>
        <v>65</v>
      </c>
      <c r="AJ1132" s="90">
        <f t="shared" si="396"/>
        <v>2022</v>
      </c>
      <c r="AK1132" s="90" t="str">
        <f t="shared" si="397"/>
        <v/>
      </c>
      <c r="AL1132" s="91">
        <f>IF(AK1132="Adjust",(_xlfn.XLOOKUP(A1132,'Adj factor'!A:A,'Adj factor'!I:I,,0)*AI1132),'Master DataSheet (Rev)'!AI1132)</f>
        <v>65</v>
      </c>
      <c r="AM1132" s="91">
        <f t="shared" si="398"/>
        <v>65</v>
      </c>
      <c r="AN1132" s="92" t="str">
        <f t="shared" si="399"/>
        <v>Increasing</v>
      </c>
      <c r="AS1132" s="94">
        <f t="shared" si="400"/>
        <v>0</v>
      </c>
      <c r="AT1132" s="94">
        <f t="shared" si="401"/>
        <v>0</v>
      </c>
      <c r="AU1132" s="94">
        <f t="shared" si="386"/>
        <v>1.9416970799907944E-2</v>
      </c>
      <c r="AV1132" s="94">
        <f t="shared" si="387"/>
        <v>1.9416970799907944E-2</v>
      </c>
    </row>
    <row r="1133" spans="1:48" x14ac:dyDescent="0.3">
      <c r="A1133" s="85" t="str">
        <f>_xlfn.XLOOKUP(B1133,'Country codes &amp; Data sources'!G:G,'Country codes &amp; Data sources'!H:H,,0)</f>
        <v>Guinea</v>
      </c>
      <c r="B1133" s="85" t="s">
        <v>173</v>
      </c>
      <c r="C1133" s="85">
        <v>10788692</v>
      </c>
      <c r="D1133" s="85" t="s">
        <v>326</v>
      </c>
      <c r="E1133" s="86">
        <v>0</v>
      </c>
      <c r="F1133" s="86">
        <v>11055430.000000004</v>
      </c>
      <c r="G1133" s="86">
        <v>0</v>
      </c>
      <c r="H1133" s="86">
        <v>11333365.500000002</v>
      </c>
      <c r="I1133" s="86">
        <v>1844</v>
      </c>
      <c r="J1133" s="86">
        <v>11625998.500000007</v>
      </c>
      <c r="K1133" s="86">
        <v>977</v>
      </c>
      <c r="L1133" s="86">
        <v>11930984.999999998</v>
      </c>
      <c r="M1133" s="86">
        <v>977</v>
      </c>
      <c r="N1133" s="86">
        <v>12240788.500000004</v>
      </c>
      <c r="O1133" s="86">
        <v>0</v>
      </c>
      <c r="P1133" s="86">
        <v>12554864.499999998</v>
      </c>
      <c r="Q1133" s="86">
        <v>2787</v>
      </c>
      <c r="R1133" s="87">
        <f t="shared" si="385"/>
        <v>2787</v>
      </c>
      <c r="S1133" s="87">
        <v>12877538.499999994</v>
      </c>
      <c r="T1133" s="87">
        <v>0</v>
      </c>
      <c r="U1133" s="89">
        <v>13205152.499999998</v>
      </c>
      <c r="V1133" s="89">
        <v>0</v>
      </c>
      <c r="W1133" s="90">
        <v>13531906.000000004</v>
      </c>
      <c r="X1133" s="90">
        <v>0</v>
      </c>
      <c r="Y1133" s="90">
        <v>13859340.500000006</v>
      </c>
      <c r="Z1133" s="90">
        <v>297</v>
      </c>
      <c r="AA1133" s="90">
        <v>2787</v>
      </c>
      <c r="AB1133" s="89">
        <f t="shared" si="388"/>
        <v>1844</v>
      </c>
      <c r="AC1133" s="89">
        <f t="shared" si="389"/>
        <v>2787</v>
      </c>
      <c r="AD1133" s="89">
        <f t="shared" si="390"/>
        <v>297</v>
      </c>
      <c r="AE1133" s="90">
        <f t="shared" si="391"/>
        <v>1844</v>
      </c>
      <c r="AF1133" s="90">
        <f t="shared" si="392"/>
        <v>2014</v>
      </c>
      <c r="AG1133" s="90">
        <f t="shared" si="393"/>
        <v>2787</v>
      </c>
      <c r="AH1133" s="90">
        <f t="shared" si="394"/>
        <v>2018</v>
      </c>
      <c r="AI1133" s="90">
        <f t="shared" si="395"/>
        <v>297</v>
      </c>
      <c r="AJ1133" s="90">
        <f t="shared" si="396"/>
        <v>2022</v>
      </c>
      <c r="AK1133" s="90" t="str">
        <f t="shared" si="397"/>
        <v>Adjust</v>
      </c>
      <c r="AL1133" s="122">
        <v>2945</v>
      </c>
      <c r="AM1133" s="91">
        <f t="shared" si="398"/>
        <v>2945</v>
      </c>
      <c r="AN1133" s="92" t="str">
        <f t="shared" si="399"/>
        <v>Increasing</v>
      </c>
      <c r="AS1133" s="94">
        <f t="shared" si="400"/>
        <v>1.667958641138336</v>
      </c>
      <c r="AT1133" s="94">
        <f t="shared" si="401"/>
        <v>2.2198566937938682</v>
      </c>
      <c r="AU1133" s="94">
        <f t="shared" si="386"/>
        <v>2.1249207348646921</v>
      </c>
      <c r="AV1133" s="94">
        <f t="shared" si="387"/>
        <v>2.1249207348646921</v>
      </c>
    </row>
    <row r="1134" spans="1:48" x14ac:dyDescent="0.3">
      <c r="A1134" s="85" t="str">
        <f>_xlfn.XLOOKUP(B1134,'Country codes &amp; Data sources'!G:G,'Country codes &amp; Data sources'!H:H,,0)</f>
        <v>Guinea</v>
      </c>
      <c r="B1134" s="85" t="s">
        <v>173</v>
      </c>
      <c r="C1134" s="85">
        <v>10788693</v>
      </c>
      <c r="D1134" s="85" t="s">
        <v>327</v>
      </c>
      <c r="E1134" s="86">
        <v>0</v>
      </c>
      <c r="F1134" s="86">
        <v>11055430.000000004</v>
      </c>
      <c r="G1134" s="86">
        <v>0</v>
      </c>
      <c r="H1134" s="86"/>
      <c r="I1134" s="86">
        <v>0</v>
      </c>
      <c r="J1134" s="86"/>
      <c r="K1134" s="86">
        <v>0</v>
      </c>
      <c r="L1134" s="86"/>
      <c r="M1134" s="86">
        <v>0</v>
      </c>
      <c r="N1134" s="86"/>
      <c r="O1134" s="86">
        <v>0</v>
      </c>
      <c r="P1134" s="86">
        <v>12554864.499999998</v>
      </c>
      <c r="Q1134" s="86">
        <v>2649</v>
      </c>
      <c r="R1134" s="87">
        <f t="shared" si="385"/>
        <v>2649</v>
      </c>
      <c r="T1134" s="87">
        <v>0</v>
      </c>
      <c r="U1134" s="89"/>
      <c r="V1134" s="89">
        <v>0</v>
      </c>
      <c r="W1134" s="90"/>
      <c r="X1134" s="90">
        <v>0</v>
      </c>
      <c r="Y1134" s="90">
        <v>13859340.500000006</v>
      </c>
      <c r="Z1134" s="90">
        <v>0</v>
      </c>
      <c r="AA1134" s="90">
        <v>2649</v>
      </c>
      <c r="AB1134" s="89">
        <f t="shared" si="388"/>
        <v>0</v>
      </c>
      <c r="AC1134" s="89">
        <f t="shared" si="389"/>
        <v>2649</v>
      </c>
      <c r="AD1134" s="89">
        <f t="shared" si="390"/>
        <v>0</v>
      </c>
      <c r="AF1134" s="90" t="str">
        <f t="shared" si="392"/>
        <v/>
      </c>
      <c r="AG1134" s="90">
        <f t="shared" si="393"/>
        <v>2649</v>
      </c>
      <c r="AH1134" s="90">
        <f t="shared" si="394"/>
        <v>2018</v>
      </c>
      <c r="AI1134" s="90">
        <f>IF((IF(Z1134&gt;0,Z1134,IF(X1134&gt;0,X1134,IF(V1134&gt;0,V1134,T1134))))=0,AG1134,IF(Z1134&gt;0,Z1134,IF(X1134&gt;0,X1134,IF(V1134&gt;0,V1134,T1134))))</f>
        <v>2649</v>
      </c>
      <c r="AJ1134" s="90">
        <f t="shared" si="396"/>
        <v>2018</v>
      </c>
      <c r="AK1134" s="90" t="str">
        <f t="shared" si="397"/>
        <v/>
      </c>
      <c r="AL1134" s="91">
        <f>IF(AK1134="Adjust",(_xlfn.XLOOKUP(A1134,'Adj factor'!A:A,'Adj factor'!I:I,,0)*AI1134),'Master DataSheet (Rev)'!AI1134)</f>
        <v>2649</v>
      </c>
      <c r="AM1134" s="91">
        <f t="shared" si="398"/>
        <v>2649</v>
      </c>
      <c r="AN1134" s="92" t="str">
        <f t="shared" si="399"/>
        <v>No change</v>
      </c>
      <c r="AS1134" s="94">
        <f t="shared" si="400"/>
        <v>0</v>
      </c>
      <c r="AT1134" s="94">
        <f t="shared" si="401"/>
        <v>2.1099391395263569</v>
      </c>
      <c r="AU1134" s="94">
        <f t="shared" si="386"/>
        <v>1.9113463587967976</v>
      </c>
      <c r="AV1134" s="94">
        <f t="shared" si="387"/>
        <v>1.9113463587967976</v>
      </c>
    </row>
    <row r="1135" spans="1:48" x14ac:dyDescent="0.3">
      <c r="A1135" s="85" t="str">
        <f>_xlfn.XLOOKUP(B1135,'Country codes &amp; Data sources'!G:G,'Country codes &amp; Data sources'!H:H,,0)</f>
        <v>Guinea</v>
      </c>
      <c r="B1135" s="85" t="s">
        <v>173</v>
      </c>
      <c r="C1135" s="85">
        <v>10788694</v>
      </c>
      <c r="D1135" s="85" t="s">
        <v>328</v>
      </c>
      <c r="E1135" s="86">
        <v>0</v>
      </c>
      <c r="F1135" s="86">
        <v>11055430.000000004</v>
      </c>
      <c r="G1135" s="86">
        <v>0</v>
      </c>
      <c r="H1135" s="86"/>
      <c r="I1135" s="86">
        <v>0</v>
      </c>
      <c r="J1135" s="86"/>
      <c r="K1135" s="86">
        <v>0</v>
      </c>
      <c r="L1135" s="86"/>
      <c r="M1135" s="86">
        <v>0</v>
      </c>
      <c r="N1135" s="86"/>
      <c r="O1135" s="86">
        <v>0</v>
      </c>
      <c r="P1135" s="86">
        <v>12554864.499999998</v>
      </c>
      <c r="Q1135" s="86">
        <v>138</v>
      </c>
      <c r="R1135" s="87">
        <f t="shared" si="385"/>
        <v>138</v>
      </c>
      <c r="T1135" s="87">
        <v>0</v>
      </c>
      <c r="U1135" s="89"/>
      <c r="V1135" s="89">
        <v>0</v>
      </c>
      <c r="W1135" s="90"/>
      <c r="X1135" s="90">
        <v>0</v>
      </c>
      <c r="Y1135" s="90">
        <v>13859340.500000006</v>
      </c>
      <c r="Z1135" s="90">
        <v>296</v>
      </c>
      <c r="AA1135" s="90">
        <v>138</v>
      </c>
      <c r="AB1135" s="89">
        <f t="shared" si="388"/>
        <v>0</v>
      </c>
      <c r="AC1135" s="89">
        <f t="shared" si="389"/>
        <v>138</v>
      </c>
      <c r="AD1135" s="89">
        <f t="shared" si="390"/>
        <v>296</v>
      </c>
      <c r="AF1135" s="90" t="str">
        <f t="shared" si="392"/>
        <v/>
      </c>
      <c r="AG1135" s="90">
        <f t="shared" si="393"/>
        <v>138</v>
      </c>
      <c r="AH1135" s="90">
        <f t="shared" si="394"/>
        <v>2018</v>
      </c>
      <c r="AI1135" s="90">
        <f t="shared" si="395"/>
        <v>296</v>
      </c>
      <c r="AJ1135" s="90">
        <f t="shared" si="396"/>
        <v>2022</v>
      </c>
      <c r="AK1135" s="90" t="str">
        <f t="shared" si="397"/>
        <v/>
      </c>
      <c r="AL1135" s="91">
        <f>IF(AK1135="Adjust",(_xlfn.XLOOKUP(A1135,'Adj factor'!A:A,'Adj factor'!I:I,,0)*AI1135),'Master DataSheet (Rev)'!AI1135)</f>
        <v>296</v>
      </c>
      <c r="AM1135" s="91">
        <f t="shared" si="398"/>
        <v>296</v>
      </c>
      <c r="AN1135" s="92" t="str">
        <f t="shared" si="399"/>
        <v>Increasing</v>
      </c>
      <c r="AS1135" s="94">
        <f t="shared" si="400"/>
        <v>0</v>
      </c>
      <c r="AT1135" s="94">
        <f t="shared" si="401"/>
        <v>0.10991755426751122</v>
      </c>
      <c r="AU1135" s="94">
        <f t="shared" si="386"/>
        <v>0.21357437606789434</v>
      </c>
      <c r="AV1135" s="94">
        <f t="shared" si="387"/>
        <v>0.21357437606789434</v>
      </c>
    </row>
    <row r="1136" spans="1:48" x14ac:dyDescent="0.3">
      <c r="A1136" s="85" t="str">
        <f>_xlfn.XLOOKUP(B1136,'Country codes &amp; Data sources'!G:G,'Country codes &amp; Data sources'!H:H,,0)</f>
        <v>Guinea</v>
      </c>
      <c r="B1136" s="85" t="s">
        <v>173</v>
      </c>
      <c r="C1136" s="85">
        <v>10788695</v>
      </c>
      <c r="D1136" s="85" t="s">
        <v>329</v>
      </c>
      <c r="E1136" s="86">
        <v>0</v>
      </c>
      <c r="F1136" s="86">
        <v>11055430.000000004</v>
      </c>
      <c r="G1136" s="86">
        <v>0</v>
      </c>
      <c r="H1136" s="86"/>
      <c r="I1136" s="86">
        <v>5789</v>
      </c>
      <c r="J1136" s="86"/>
      <c r="K1136" s="86">
        <v>4389</v>
      </c>
      <c r="L1136" s="86"/>
      <c r="M1136" s="86">
        <v>1010</v>
      </c>
      <c r="N1136" s="86"/>
      <c r="O1136" s="86">
        <v>0</v>
      </c>
      <c r="P1136" s="86">
        <v>12554864.499999998</v>
      </c>
      <c r="Q1136" s="86">
        <v>7195</v>
      </c>
      <c r="R1136" s="87">
        <f t="shared" si="385"/>
        <v>7195</v>
      </c>
      <c r="T1136" s="87">
        <v>0</v>
      </c>
      <c r="U1136" s="89"/>
      <c r="V1136" s="89">
        <v>0</v>
      </c>
      <c r="W1136" s="90"/>
      <c r="X1136" s="90">
        <v>0</v>
      </c>
      <c r="Y1136" s="90">
        <v>13859340.500000006</v>
      </c>
      <c r="Z1136" s="90">
        <v>4367</v>
      </c>
      <c r="AA1136" s="90">
        <v>6329</v>
      </c>
      <c r="AB1136" s="89">
        <f t="shared" si="388"/>
        <v>5789</v>
      </c>
      <c r="AC1136" s="89">
        <f t="shared" si="389"/>
        <v>7195</v>
      </c>
      <c r="AD1136" s="89">
        <f t="shared" si="390"/>
        <v>4367</v>
      </c>
      <c r="AE1136" s="90">
        <f t="shared" si="391"/>
        <v>5789</v>
      </c>
      <c r="AF1136" s="90">
        <f t="shared" si="392"/>
        <v>2014</v>
      </c>
      <c r="AG1136" s="90">
        <f t="shared" si="393"/>
        <v>7195</v>
      </c>
      <c r="AH1136" s="90">
        <f t="shared" si="394"/>
        <v>2018</v>
      </c>
      <c r="AI1136" s="90">
        <f t="shared" si="395"/>
        <v>4367</v>
      </c>
      <c r="AJ1136" s="90">
        <f t="shared" si="396"/>
        <v>2022</v>
      </c>
      <c r="AK1136" s="90" t="str">
        <f t="shared" si="397"/>
        <v>Adjust</v>
      </c>
      <c r="AL1136" s="91">
        <f>IF(AK1136="Adjust",(_xlfn.XLOOKUP(A1136,'Adj factor'!A:A,'Adj factor'!I:I,,0)*AI1136),'Master DataSheet (Rev)'!AI1136)</f>
        <v>5018.9871797472533</v>
      </c>
      <c r="AM1136" s="91">
        <f t="shared" si="398"/>
        <v>7195</v>
      </c>
      <c r="AN1136" s="92" t="str">
        <f t="shared" si="399"/>
        <v>Decreasing</v>
      </c>
      <c r="AS1136" s="94">
        <f t="shared" si="400"/>
        <v>5.2363408750270208</v>
      </c>
      <c r="AT1136" s="94">
        <f t="shared" si="401"/>
        <v>5.7308463982227771</v>
      </c>
      <c r="AU1136" s="94">
        <f t="shared" si="386"/>
        <v>3.6213751871867581</v>
      </c>
      <c r="AV1136" s="94">
        <f t="shared" si="387"/>
        <v>5.191444715569256</v>
      </c>
    </row>
    <row r="1137" spans="1:48" x14ac:dyDescent="0.3">
      <c r="A1137" s="85" t="str">
        <f>_xlfn.XLOOKUP(B1137,'Country codes &amp; Data sources'!G:G,'Country codes &amp; Data sources'!H:H,,0)</f>
        <v>Guinea</v>
      </c>
      <c r="B1137" s="85" t="s">
        <v>173</v>
      </c>
      <c r="C1137" s="85">
        <v>10788696</v>
      </c>
      <c r="D1137" s="85" t="s">
        <v>330</v>
      </c>
      <c r="E1137" s="86">
        <v>0</v>
      </c>
      <c r="F1137" s="86">
        <v>11055430.000000004</v>
      </c>
      <c r="G1137" s="86">
        <v>0</v>
      </c>
      <c r="H1137" s="86"/>
      <c r="I1137" s="86">
        <v>1505</v>
      </c>
      <c r="J1137" s="86"/>
      <c r="K1137" s="86">
        <v>913</v>
      </c>
      <c r="L1137" s="86"/>
      <c r="M1137" s="86">
        <v>0</v>
      </c>
      <c r="N1137" s="86"/>
      <c r="O1137" s="86">
        <v>0</v>
      </c>
      <c r="P1137" s="86">
        <v>12554864.499999998</v>
      </c>
      <c r="Q1137" s="86">
        <v>0</v>
      </c>
      <c r="R1137" s="87">
        <f t="shared" si="385"/>
        <v>2344</v>
      </c>
      <c r="T1137" s="87">
        <v>0</v>
      </c>
      <c r="U1137" s="89"/>
      <c r="V1137" s="89">
        <v>0</v>
      </c>
      <c r="W1137" s="90"/>
      <c r="X1137" s="90">
        <v>0</v>
      </c>
      <c r="Y1137" s="90">
        <v>13859340.500000006</v>
      </c>
      <c r="Z1137" s="90">
        <v>1687</v>
      </c>
      <c r="AA1137" s="90">
        <v>2344</v>
      </c>
      <c r="AB1137" s="89">
        <f t="shared" si="388"/>
        <v>1505</v>
      </c>
      <c r="AC1137" s="89">
        <f t="shared" si="389"/>
        <v>0</v>
      </c>
      <c r="AD1137" s="89">
        <f t="shared" si="390"/>
        <v>1687</v>
      </c>
      <c r="AE1137" s="90">
        <f t="shared" si="391"/>
        <v>1505</v>
      </c>
      <c r="AF1137" s="90">
        <f t="shared" si="392"/>
        <v>2014</v>
      </c>
      <c r="AG1137" s="90">
        <f t="shared" si="393"/>
        <v>2344</v>
      </c>
      <c r="AH1137" s="90" t="str">
        <f t="shared" si="394"/>
        <v>2018 (triag)</v>
      </c>
      <c r="AI1137" s="90">
        <f t="shared" si="395"/>
        <v>1687</v>
      </c>
      <c r="AJ1137" s="90">
        <f t="shared" si="396"/>
        <v>2022</v>
      </c>
      <c r="AK1137" s="90" t="str">
        <f t="shared" si="397"/>
        <v>Adjust</v>
      </c>
      <c r="AL1137" s="91">
        <f>IF(AK1137="Adjust",(_xlfn.XLOOKUP(A1137,'Adj factor'!A:A,'Adj factor'!I:I,,0)*AI1137),'Master DataSheet (Rev)'!AI1137)</f>
        <v>1938.8668129685404</v>
      </c>
      <c r="AM1137" s="91">
        <f t="shared" si="398"/>
        <v>2344</v>
      </c>
      <c r="AN1137" s="92" t="str">
        <f t="shared" si="399"/>
        <v>Decreasing</v>
      </c>
      <c r="AS1137" s="94">
        <f t="shared" si="400"/>
        <v>1.3613219929030345</v>
      </c>
      <c r="AT1137" s="94">
        <f t="shared" si="401"/>
        <v>1.8670054145148283</v>
      </c>
      <c r="AU1137" s="94">
        <f t="shared" si="386"/>
        <v>1.3989603711435907</v>
      </c>
      <c r="AV1137" s="94">
        <f t="shared" si="387"/>
        <v>1.6912781672403525</v>
      </c>
    </row>
    <row r="1138" spans="1:48" x14ac:dyDescent="0.3">
      <c r="A1138" s="85" t="str">
        <f>_xlfn.XLOOKUP(B1138,'Country codes &amp; Data sources'!G:G,'Country codes &amp; Data sources'!H:H,,0)</f>
        <v>Guinea</v>
      </c>
      <c r="B1138" s="85" t="s">
        <v>173</v>
      </c>
      <c r="C1138" s="85">
        <v>10788697</v>
      </c>
      <c r="D1138" s="85" t="s">
        <v>331</v>
      </c>
      <c r="E1138" s="86">
        <v>0</v>
      </c>
      <c r="F1138" s="86">
        <v>11055430.000000004</v>
      </c>
      <c r="G1138" s="86">
        <v>0</v>
      </c>
      <c r="H1138" s="86"/>
      <c r="I1138" s="86">
        <v>4284</v>
      </c>
      <c r="J1138" s="86"/>
      <c r="K1138" s="86">
        <v>3476</v>
      </c>
      <c r="L1138" s="86"/>
      <c r="M1138" s="86">
        <v>0</v>
      </c>
      <c r="N1138" s="86"/>
      <c r="O1138" s="86">
        <v>0</v>
      </c>
      <c r="P1138" s="86">
        <v>12554864.499999998</v>
      </c>
      <c r="Q1138" s="86">
        <v>0</v>
      </c>
      <c r="R1138" s="87">
        <f t="shared" si="385"/>
        <v>3985</v>
      </c>
      <c r="T1138" s="87">
        <v>0</v>
      </c>
      <c r="U1138" s="89"/>
      <c r="V1138" s="89">
        <v>0</v>
      </c>
      <c r="W1138" s="90"/>
      <c r="X1138" s="90">
        <v>0</v>
      </c>
      <c r="Y1138" s="90">
        <v>13859340.500000006</v>
      </c>
      <c r="Z1138" s="90">
        <v>2680</v>
      </c>
      <c r="AA1138" s="90">
        <v>3985</v>
      </c>
      <c r="AB1138" s="89">
        <f t="shared" si="388"/>
        <v>4284</v>
      </c>
      <c r="AC1138" s="89">
        <f t="shared" si="389"/>
        <v>0</v>
      </c>
      <c r="AD1138" s="89">
        <f t="shared" si="390"/>
        <v>2680</v>
      </c>
      <c r="AE1138" s="90">
        <f t="shared" si="391"/>
        <v>4284</v>
      </c>
      <c r="AF1138" s="90">
        <f t="shared" si="392"/>
        <v>2014</v>
      </c>
      <c r="AG1138" s="90">
        <f t="shared" si="393"/>
        <v>3985</v>
      </c>
      <c r="AH1138" s="90" t="str">
        <f t="shared" si="394"/>
        <v>2018 (triag)</v>
      </c>
      <c r="AI1138" s="90">
        <f t="shared" si="395"/>
        <v>2680</v>
      </c>
      <c r="AJ1138" s="90">
        <f t="shared" si="396"/>
        <v>2022</v>
      </c>
      <c r="AK1138" s="90" t="str">
        <f t="shared" si="397"/>
        <v>Adjust</v>
      </c>
      <c r="AL1138" s="91">
        <f>IF(AK1138="Adjust",(_xlfn.XLOOKUP(A1138,'Adj factor'!A:A,'Adj factor'!I:I,,0)*AI1138),'Master DataSheet (Rev)'!AI1138)</f>
        <v>3080.1203667787127</v>
      </c>
      <c r="AM1138" s="91">
        <f t="shared" si="398"/>
        <v>3985</v>
      </c>
      <c r="AN1138" s="92" t="str">
        <f t="shared" si="399"/>
        <v>Decreasing</v>
      </c>
      <c r="AS1138" s="94">
        <f t="shared" si="400"/>
        <v>3.8750188821239866</v>
      </c>
      <c r="AT1138" s="94">
        <f t="shared" si="401"/>
        <v>3.1740685054784943</v>
      </c>
      <c r="AU1138" s="94">
        <f t="shared" si="386"/>
        <v>2.2224148160431669</v>
      </c>
      <c r="AV1138" s="94">
        <f t="shared" si="387"/>
        <v>2.8753171913194557</v>
      </c>
    </row>
    <row r="1139" spans="1:48" x14ac:dyDescent="0.3">
      <c r="A1139" s="85" t="str">
        <f>_xlfn.XLOOKUP(B1139,'Country codes &amp; Data sources'!G:G,'Country codes &amp; Data sources'!H:H,,0)</f>
        <v>Guinea</v>
      </c>
      <c r="B1139" s="85" t="s">
        <v>173</v>
      </c>
      <c r="C1139" s="85">
        <v>10788698</v>
      </c>
      <c r="D1139" s="85" t="s">
        <v>332</v>
      </c>
      <c r="E1139" s="86">
        <v>0</v>
      </c>
      <c r="F1139" s="86">
        <v>11055430.000000004</v>
      </c>
      <c r="G1139" s="86">
        <v>500</v>
      </c>
      <c r="H1139" s="86"/>
      <c r="I1139" s="86">
        <v>500</v>
      </c>
      <c r="J1139" s="86"/>
      <c r="K1139" s="86">
        <v>376</v>
      </c>
      <c r="L1139" s="86"/>
      <c r="M1139" s="86">
        <v>443</v>
      </c>
      <c r="N1139" s="86"/>
      <c r="O1139" s="86">
        <v>0</v>
      </c>
      <c r="P1139" s="86">
        <v>12554864.499999998</v>
      </c>
      <c r="Q1139" s="86">
        <v>0</v>
      </c>
      <c r="R1139" s="87">
        <f t="shared" si="385"/>
        <v>866</v>
      </c>
      <c r="T1139" s="87">
        <v>0</v>
      </c>
      <c r="U1139" s="89"/>
      <c r="V1139" s="89">
        <v>0</v>
      </c>
      <c r="W1139" s="90"/>
      <c r="X1139" s="90">
        <v>0</v>
      </c>
      <c r="Y1139" s="90">
        <v>13859340.500000006</v>
      </c>
      <c r="Z1139" s="90">
        <v>777</v>
      </c>
      <c r="AA1139" s="90">
        <v>866</v>
      </c>
      <c r="AB1139" s="89">
        <f t="shared" si="388"/>
        <v>500</v>
      </c>
      <c r="AC1139" s="89">
        <f t="shared" si="389"/>
        <v>443</v>
      </c>
      <c r="AD1139" s="89">
        <f t="shared" si="390"/>
        <v>777</v>
      </c>
      <c r="AE1139" s="90">
        <f t="shared" si="391"/>
        <v>500</v>
      </c>
      <c r="AF1139" s="90">
        <f t="shared" si="392"/>
        <v>2013</v>
      </c>
      <c r="AG1139" s="90">
        <f t="shared" si="393"/>
        <v>866</v>
      </c>
      <c r="AH1139" s="90" t="str">
        <f t="shared" si="394"/>
        <v>2018 (triag)</v>
      </c>
      <c r="AI1139" s="90">
        <f t="shared" si="395"/>
        <v>777</v>
      </c>
      <c r="AJ1139" s="90">
        <f t="shared" si="396"/>
        <v>2022</v>
      </c>
      <c r="AK1139" s="90" t="str">
        <f t="shared" si="397"/>
        <v>Adjust</v>
      </c>
      <c r="AL1139" s="91">
        <f>IF(AK1139="Adjust",(_xlfn.XLOOKUP(A1139,'Adj factor'!A:A,'Adj factor'!I:I,,0)*AI1139),'Master DataSheet (Rev)'!AI1139)</f>
        <v>893.00504663696256</v>
      </c>
      <c r="AM1139" s="91">
        <f t="shared" si="398"/>
        <v>893.00504663696256</v>
      </c>
      <c r="AN1139" s="92" t="str">
        <f t="shared" si="399"/>
        <v>Increasing</v>
      </c>
      <c r="AS1139" s="94">
        <f t="shared" si="400"/>
        <v>0.45226644282492839</v>
      </c>
      <c r="AT1139" s="94">
        <f t="shared" si="401"/>
        <v>0.68977247822945453</v>
      </c>
      <c r="AU1139" s="94">
        <f t="shared" si="386"/>
        <v>0.64433444480057489</v>
      </c>
      <c r="AV1139" s="94">
        <f t="shared" si="387"/>
        <v>0.64433444480057489</v>
      </c>
    </row>
    <row r="1140" spans="1:48" x14ac:dyDescent="0.3">
      <c r="A1140" s="85" t="str">
        <f>_xlfn.XLOOKUP(B1140,'Country codes &amp; Data sources'!G:G,'Country codes &amp; Data sources'!H:H,,0)</f>
        <v>Guinea</v>
      </c>
      <c r="B1140" s="85" t="s">
        <v>173</v>
      </c>
      <c r="C1140" s="85">
        <v>10788699</v>
      </c>
      <c r="D1140" s="85" t="s">
        <v>333</v>
      </c>
      <c r="E1140" s="86">
        <v>0</v>
      </c>
      <c r="F1140" s="86">
        <v>11055430.000000004</v>
      </c>
      <c r="G1140" s="86">
        <v>500</v>
      </c>
      <c r="H1140" s="86"/>
      <c r="I1140" s="86">
        <v>0</v>
      </c>
      <c r="J1140" s="86"/>
      <c r="K1140" s="86">
        <v>376</v>
      </c>
      <c r="L1140" s="86"/>
      <c r="M1140" s="86">
        <v>0</v>
      </c>
      <c r="N1140" s="86"/>
      <c r="O1140" s="86">
        <v>0</v>
      </c>
      <c r="P1140" s="86">
        <v>12554864.499999998</v>
      </c>
      <c r="Q1140" s="86">
        <v>0</v>
      </c>
      <c r="R1140" s="87">
        <f t="shared" si="385"/>
        <v>866</v>
      </c>
      <c r="T1140" s="87">
        <v>0</v>
      </c>
      <c r="U1140" s="89"/>
      <c r="V1140" s="89">
        <v>0</v>
      </c>
      <c r="W1140" s="90"/>
      <c r="X1140" s="90">
        <v>0</v>
      </c>
      <c r="Y1140" s="90">
        <v>13859340.500000006</v>
      </c>
      <c r="Z1140" s="90">
        <v>777</v>
      </c>
      <c r="AA1140" s="90">
        <v>866</v>
      </c>
      <c r="AB1140" s="89">
        <f t="shared" si="388"/>
        <v>500</v>
      </c>
      <c r="AC1140" s="89">
        <f t="shared" si="389"/>
        <v>0</v>
      </c>
      <c r="AD1140" s="89">
        <f t="shared" si="390"/>
        <v>777</v>
      </c>
      <c r="AE1140" s="90">
        <f t="shared" si="391"/>
        <v>500</v>
      </c>
      <c r="AF1140" s="90">
        <f t="shared" si="392"/>
        <v>2013</v>
      </c>
      <c r="AG1140" s="90">
        <f t="shared" si="393"/>
        <v>866</v>
      </c>
      <c r="AH1140" s="90" t="str">
        <f t="shared" si="394"/>
        <v>2018 (triag)</v>
      </c>
      <c r="AI1140" s="90">
        <f t="shared" si="395"/>
        <v>777</v>
      </c>
      <c r="AJ1140" s="90">
        <f t="shared" si="396"/>
        <v>2022</v>
      </c>
      <c r="AK1140" s="90" t="str">
        <f t="shared" si="397"/>
        <v>Adjust</v>
      </c>
      <c r="AL1140" s="91">
        <f>IF(AK1140="Adjust",(_xlfn.XLOOKUP(A1140,'Adj factor'!A:A,'Adj factor'!I:I,,0)*AI1140),'Master DataSheet (Rev)'!AI1140)</f>
        <v>893.00504663696256</v>
      </c>
      <c r="AM1140" s="91">
        <f t="shared" si="398"/>
        <v>893.00504663696256</v>
      </c>
      <c r="AN1140" s="92" t="str">
        <f t="shared" si="399"/>
        <v>Increasing</v>
      </c>
      <c r="AS1140" s="94">
        <f t="shared" si="400"/>
        <v>0.45226644282492839</v>
      </c>
      <c r="AT1140" s="94">
        <f t="shared" si="401"/>
        <v>0.68977247822945453</v>
      </c>
      <c r="AU1140" s="94">
        <f t="shared" si="386"/>
        <v>0.64433444480057489</v>
      </c>
      <c r="AV1140" s="94">
        <f t="shared" si="387"/>
        <v>0.64433444480057489</v>
      </c>
    </row>
    <row r="1141" spans="1:48" x14ac:dyDescent="0.3">
      <c r="A1141" s="85" t="str">
        <f>_xlfn.XLOOKUP(B1141,'Country codes &amp; Data sources'!G:G,'Country codes &amp; Data sources'!H:H,,0)</f>
        <v>Guinea</v>
      </c>
      <c r="B1141" s="85" t="s">
        <v>173</v>
      </c>
      <c r="C1141" s="85">
        <v>10788700</v>
      </c>
      <c r="D1141" s="85" t="s">
        <v>334</v>
      </c>
      <c r="E1141" s="86">
        <v>0</v>
      </c>
      <c r="F1141" s="86">
        <v>11055430.000000004</v>
      </c>
      <c r="G1141" s="86">
        <v>0</v>
      </c>
      <c r="H1141" s="86"/>
      <c r="I1141" s="86">
        <v>0</v>
      </c>
      <c r="J1141" s="86"/>
      <c r="K1141" s="86">
        <v>0</v>
      </c>
      <c r="L1141" s="86"/>
      <c r="M1141" s="86">
        <v>0</v>
      </c>
      <c r="N1141" s="86"/>
      <c r="O1141" s="86">
        <v>0</v>
      </c>
      <c r="P1141" s="86">
        <v>12554864.499999998</v>
      </c>
      <c r="Q1141" s="86">
        <v>0</v>
      </c>
      <c r="R1141" s="87">
        <f t="shared" si="385"/>
        <v>0</v>
      </c>
      <c r="T1141" s="87">
        <v>0</v>
      </c>
      <c r="U1141" s="89"/>
      <c r="V1141" s="89">
        <v>0</v>
      </c>
      <c r="W1141" s="90"/>
      <c r="X1141" s="90">
        <v>0</v>
      </c>
      <c r="Y1141" s="90">
        <v>13859340.500000006</v>
      </c>
      <c r="Z1141" s="90">
        <v>0</v>
      </c>
      <c r="AA1141" s="90">
        <v>0</v>
      </c>
      <c r="AB1141" s="89">
        <f t="shared" si="388"/>
        <v>0</v>
      </c>
      <c r="AC1141" s="89">
        <f t="shared" si="389"/>
        <v>0</v>
      </c>
      <c r="AD1141" s="89">
        <f t="shared" si="390"/>
        <v>0</v>
      </c>
      <c r="AF1141" s="90" t="str">
        <f t="shared" si="392"/>
        <v/>
      </c>
      <c r="AH1141" s="90" t="str">
        <f t="shared" si="394"/>
        <v/>
      </c>
      <c r="AI1141" s="90">
        <f t="shared" si="395"/>
        <v>0</v>
      </c>
      <c r="AJ1141" s="90" t="str">
        <f t="shared" si="396"/>
        <v/>
      </c>
      <c r="AK1141" s="90" t="str">
        <f t="shared" si="397"/>
        <v/>
      </c>
      <c r="AL1141" s="91"/>
      <c r="AM1141" s="91">
        <f t="shared" si="398"/>
        <v>0</v>
      </c>
      <c r="AN1141" s="92" t="str">
        <f t="shared" si="399"/>
        <v>No change</v>
      </c>
      <c r="AS1141" s="94">
        <f t="shared" si="400"/>
        <v>0</v>
      </c>
      <c r="AT1141" s="94">
        <f t="shared" si="401"/>
        <v>0</v>
      </c>
      <c r="AU1141" s="94">
        <f t="shared" si="386"/>
        <v>0</v>
      </c>
      <c r="AV1141" s="94">
        <f t="shared" si="387"/>
        <v>0</v>
      </c>
    </row>
    <row r="1142" spans="1:48" x14ac:dyDescent="0.3">
      <c r="A1142" s="85" t="str">
        <f>_xlfn.XLOOKUP(B1142,'Country codes &amp; Data sources'!G:G,'Country codes &amp; Data sources'!H:H,,0)</f>
        <v>Guinea</v>
      </c>
      <c r="B1142" s="85" t="s">
        <v>173</v>
      </c>
      <c r="C1142" s="85">
        <v>10788701</v>
      </c>
      <c r="D1142" s="85" t="s">
        <v>335</v>
      </c>
      <c r="E1142" s="86">
        <v>0</v>
      </c>
      <c r="F1142" s="86">
        <v>11055430.000000004</v>
      </c>
      <c r="G1142" s="86">
        <v>0</v>
      </c>
      <c r="H1142" s="86"/>
      <c r="I1142" s="86">
        <v>0</v>
      </c>
      <c r="J1142" s="86"/>
      <c r="K1142" s="86">
        <v>142</v>
      </c>
      <c r="L1142" s="86"/>
      <c r="M1142" s="86">
        <v>107</v>
      </c>
      <c r="N1142" s="86"/>
      <c r="O1142" s="86">
        <v>0</v>
      </c>
      <c r="P1142" s="86">
        <v>12554864.499999998</v>
      </c>
      <c r="Q1142" s="86">
        <v>255</v>
      </c>
      <c r="R1142" s="87">
        <f t="shared" si="385"/>
        <v>255</v>
      </c>
      <c r="T1142" s="87">
        <v>0</v>
      </c>
      <c r="U1142" s="89"/>
      <c r="V1142" s="89">
        <v>0</v>
      </c>
      <c r="W1142" s="90"/>
      <c r="X1142" s="90">
        <v>0</v>
      </c>
      <c r="Y1142" s="90">
        <v>13859340.500000006</v>
      </c>
      <c r="Z1142" s="90">
        <v>0</v>
      </c>
      <c r="AA1142" s="90">
        <v>255</v>
      </c>
      <c r="AB1142" s="89">
        <f t="shared" si="388"/>
        <v>142</v>
      </c>
      <c r="AC1142" s="89">
        <f t="shared" si="389"/>
        <v>255</v>
      </c>
      <c r="AD1142" s="89">
        <f t="shared" si="390"/>
        <v>0</v>
      </c>
      <c r="AE1142" s="90">
        <f t="shared" si="391"/>
        <v>142</v>
      </c>
      <c r="AF1142" s="90">
        <f t="shared" si="392"/>
        <v>2015</v>
      </c>
      <c r="AG1142" s="90">
        <f t="shared" si="393"/>
        <v>255</v>
      </c>
      <c r="AH1142" s="90">
        <f t="shared" si="394"/>
        <v>2018</v>
      </c>
      <c r="AI1142" s="90">
        <f t="shared" si="395"/>
        <v>255</v>
      </c>
      <c r="AJ1142" s="90">
        <f t="shared" si="396"/>
        <v>2018</v>
      </c>
      <c r="AK1142" s="90" t="str">
        <f t="shared" si="397"/>
        <v/>
      </c>
      <c r="AL1142" s="91">
        <f>IF(AK1142="Adjust",(_xlfn.XLOOKUP(A1142,'Adj factor'!A:A,'Adj factor'!I:I,,0)*AI1142),'Master DataSheet (Rev)'!AI1142)</f>
        <v>255</v>
      </c>
      <c r="AM1142" s="91">
        <f t="shared" si="398"/>
        <v>255</v>
      </c>
      <c r="AN1142" s="92" t="str">
        <f t="shared" si="399"/>
        <v>No change</v>
      </c>
      <c r="AS1142" s="94">
        <f t="shared" si="400"/>
        <v>0.12844366976227967</v>
      </c>
      <c r="AT1142" s="94">
        <f t="shared" si="401"/>
        <v>0.20310852418996639</v>
      </c>
      <c r="AU1142" s="94">
        <f t="shared" si="386"/>
        <v>0.18399143884227384</v>
      </c>
      <c r="AV1142" s="94">
        <f t="shared" si="387"/>
        <v>0.18399143884227384</v>
      </c>
    </row>
    <row r="1143" spans="1:48" x14ac:dyDescent="0.3">
      <c r="A1143" s="85" t="str">
        <f>_xlfn.XLOOKUP(B1143,'Country codes &amp; Data sources'!G:G,'Country codes &amp; Data sources'!H:H,,0)</f>
        <v>Guinea</v>
      </c>
      <c r="B1143" s="85" t="s">
        <v>173</v>
      </c>
      <c r="C1143" s="85">
        <v>10788702</v>
      </c>
      <c r="D1143" s="85" t="s">
        <v>336</v>
      </c>
      <c r="E1143" s="86">
        <v>0</v>
      </c>
      <c r="F1143" s="86">
        <v>11055430.000000004</v>
      </c>
      <c r="G1143" s="86">
        <v>0</v>
      </c>
      <c r="H1143" s="86"/>
      <c r="I1143" s="86">
        <v>0</v>
      </c>
      <c r="J1143" s="86"/>
      <c r="K1143" s="86">
        <v>0</v>
      </c>
      <c r="L1143" s="86"/>
      <c r="M1143" s="86">
        <v>0</v>
      </c>
      <c r="N1143" s="86"/>
      <c r="O1143" s="86">
        <v>0</v>
      </c>
      <c r="P1143" s="86">
        <v>12554864.499999998</v>
      </c>
      <c r="Q1143" s="86">
        <v>0</v>
      </c>
      <c r="R1143" s="87">
        <f t="shared" si="385"/>
        <v>0</v>
      </c>
      <c r="T1143" s="87">
        <v>0</v>
      </c>
      <c r="U1143" s="89"/>
      <c r="V1143" s="89">
        <v>0</v>
      </c>
      <c r="W1143" s="90"/>
      <c r="X1143" s="90">
        <v>0</v>
      </c>
      <c r="Y1143" s="90">
        <v>13859340.500000006</v>
      </c>
      <c r="Z1143" s="90">
        <v>0</v>
      </c>
      <c r="AA1143" s="90">
        <v>0</v>
      </c>
      <c r="AB1143" s="89">
        <f t="shared" si="388"/>
        <v>0</v>
      </c>
      <c r="AC1143" s="89">
        <f t="shared" si="389"/>
        <v>0</v>
      </c>
      <c r="AD1143" s="89">
        <f t="shared" si="390"/>
        <v>0</v>
      </c>
      <c r="AF1143" s="90" t="str">
        <f t="shared" si="392"/>
        <v/>
      </c>
      <c r="AH1143" s="90" t="str">
        <f t="shared" si="394"/>
        <v/>
      </c>
      <c r="AI1143" s="90">
        <f t="shared" si="395"/>
        <v>0</v>
      </c>
      <c r="AJ1143" s="90" t="str">
        <f t="shared" si="396"/>
        <v/>
      </c>
      <c r="AK1143" s="90" t="str">
        <f t="shared" si="397"/>
        <v/>
      </c>
      <c r="AL1143" s="91"/>
      <c r="AM1143" s="91">
        <f t="shared" si="398"/>
        <v>0</v>
      </c>
      <c r="AN1143" s="92" t="str">
        <f t="shared" si="399"/>
        <v>No change</v>
      </c>
      <c r="AS1143" s="94">
        <f t="shared" si="400"/>
        <v>0</v>
      </c>
      <c r="AT1143" s="94">
        <f t="shared" si="401"/>
        <v>0</v>
      </c>
      <c r="AU1143" s="94">
        <f t="shared" si="386"/>
        <v>0</v>
      </c>
      <c r="AV1143" s="94">
        <f t="shared" si="387"/>
        <v>0</v>
      </c>
    </row>
    <row r="1144" spans="1:48" x14ac:dyDescent="0.3">
      <c r="A1144" s="85" t="str">
        <f>_xlfn.XLOOKUP(B1144,'Country codes &amp; Data sources'!G:G,'Country codes &amp; Data sources'!H:H,,0)</f>
        <v>Guinea</v>
      </c>
      <c r="B1144" s="85" t="s">
        <v>173</v>
      </c>
      <c r="C1144" s="85">
        <v>10788703</v>
      </c>
      <c r="D1144" s="85" t="s">
        <v>337</v>
      </c>
      <c r="E1144" s="86">
        <v>0</v>
      </c>
      <c r="F1144" s="86">
        <v>11055430.000000004</v>
      </c>
      <c r="G1144" s="86">
        <v>0</v>
      </c>
      <c r="H1144" s="86"/>
      <c r="I1144" s="86">
        <v>0</v>
      </c>
      <c r="J1144" s="86"/>
      <c r="K1144" s="86">
        <v>0</v>
      </c>
      <c r="L1144" s="86"/>
      <c r="M1144" s="86">
        <v>50</v>
      </c>
      <c r="N1144" s="86"/>
      <c r="O1144" s="86">
        <v>0</v>
      </c>
      <c r="P1144" s="86">
        <v>12554864.499999998</v>
      </c>
      <c r="Q1144" s="86">
        <v>73</v>
      </c>
      <c r="R1144" s="87">
        <f t="shared" si="385"/>
        <v>73</v>
      </c>
      <c r="T1144" s="87">
        <v>0</v>
      </c>
      <c r="U1144" s="89"/>
      <c r="V1144" s="89">
        <v>0</v>
      </c>
      <c r="W1144" s="90"/>
      <c r="X1144" s="90">
        <v>0</v>
      </c>
      <c r="Y1144" s="90">
        <v>13859340.500000006</v>
      </c>
      <c r="Z1144" s="90">
        <v>34</v>
      </c>
      <c r="AA1144" s="90">
        <v>73</v>
      </c>
      <c r="AB1144" s="89">
        <f t="shared" si="388"/>
        <v>0</v>
      </c>
      <c r="AC1144" s="89">
        <f t="shared" si="389"/>
        <v>73</v>
      </c>
      <c r="AD1144" s="89">
        <f t="shared" si="390"/>
        <v>34</v>
      </c>
      <c r="AF1144" s="90" t="str">
        <f t="shared" si="392"/>
        <v/>
      </c>
      <c r="AG1144" s="90">
        <f t="shared" si="393"/>
        <v>73</v>
      </c>
      <c r="AH1144" s="90">
        <f t="shared" si="394"/>
        <v>2018</v>
      </c>
      <c r="AI1144" s="90">
        <f t="shared" si="395"/>
        <v>34</v>
      </c>
      <c r="AJ1144" s="90">
        <f t="shared" si="396"/>
        <v>2022</v>
      </c>
      <c r="AK1144" s="90" t="str">
        <f t="shared" si="397"/>
        <v>Adjust</v>
      </c>
      <c r="AL1144" s="91">
        <f>IF(AK1144="Adjust",(_xlfn.XLOOKUP(A1144,'Adj factor'!A:A,'Adj factor'!I:I,,0)*AI1144),'Master DataSheet (Rev)'!AI1144)</f>
        <v>39.076153906894113</v>
      </c>
      <c r="AM1144" s="91">
        <f t="shared" si="398"/>
        <v>73</v>
      </c>
      <c r="AN1144" s="92" t="str">
        <f t="shared" si="399"/>
        <v>Decreasing</v>
      </c>
      <c r="AS1144" s="94">
        <f t="shared" si="400"/>
        <v>0</v>
      </c>
      <c r="AT1144" s="94">
        <f t="shared" si="401"/>
        <v>5.8144793199480578E-2</v>
      </c>
      <c r="AU1144" s="94">
        <f t="shared" si="386"/>
        <v>2.8194814830398388E-2</v>
      </c>
      <c r="AV1144" s="94">
        <f t="shared" si="387"/>
        <v>5.2672058962690158E-2</v>
      </c>
    </row>
    <row r="1145" spans="1:48" x14ac:dyDescent="0.3">
      <c r="A1145" s="85" t="str">
        <f>_xlfn.XLOOKUP(B1145,'Country codes &amp; Data sources'!G:G,'Country codes &amp; Data sources'!H:H,,0)</f>
        <v>Guinea</v>
      </c>
      <c r="B1145" s="85" t="s">
        <v>173</v>
      </c>
      <c r="C1145" s="85">
        <v>10788704</v>
      </c>
      <c r="D1145" s="85" t="s">
        <v>338</v>
      </c>
      <c r="E1145" s="86">
        <v>0</v>
      </c>
      <c r="F1145" s="86">
        <v>11055430.000000004</v>
      </c>
      <c r="G1145" s="86">
        <v>0</v>
      </c>
      <c r="H1145" s="86"/>
      <c r="I1145" s="86">
        <v>0</v>
      </c>
      <c r="J1145" s="86"/>
      <c r="K1145" s="86">
        <v>0</v>
      </c>
      <c r="L1145" s="86"/>
      <c r="M1145" s="86">
        <v>0</v>
      </c>
      <c r="N1145" s="86"/>
      <c r="O1145" s="86">
        <v>0</v>
      </c>
      <c r="P1145" s="86">
        <v>12554864.499999998</v>
      </c>
      <c r="Q1145" s="86">
        <v>0</v>
      </c>
      <c r="R1145" s="87">
        <f t="shared" si="385"/>
        <v>0</v>
      </c>
      <c r="T1145" s="87">
        <v>0</v>
      </c>
      <c r="U1145" s="89"/>
      <c r="V1145" s="89">
        <v>0</v>
      </c>
      <c r="W1145" s="90"/>
      <c r="X1145" s="90">
        <v>0</v>
      </c>
      <c r="Y1145" s="90">
        <v>13859340.500000006</v>
      </c>
      <c r="Z1145" s="90">
        <v>50</v>
      </c>
      <c r="AA1145" s="90">
        <v>0</v>
      </c>
      <c r="AB1145" s="89">
        <f t="shared" si="388"/>
        <v>0</v>
      </c>
      <c r="AC1145" s="89">
        <f t="shared" si="389"/>
        <v>0</v>
      </c>
      <c r="AD1145" s="89">
        <f t="shared" si="390"/>
        <v>50</v>
      </c>
      <c r="AF1145" s="90" t="str">
        <f t="shared" si="392"/>
        <v/>
      </c>
      <c r="AH1145" s="90" t="str">
        <f t="shared" si="394"/>
        <v/>
      </c>
      <c r="AI1145" s="90">
        <f t="shared" si="395"/>
        <v>50</v>
      </c>
      <c r="AJ1145" s="90">
        <f t="shared" si="396"/>
        <v>2022</v>
      </c>
      <c r="AK1145" s="90" t="str">
        <f t="shared" si="397"/>
        <v/>
      </c>
      <c r="AL1145" s="91">
        <f>IF(AK1145="Adjust",(_xlfn.XLOOKUP(A1145,'Adj factor'!A:A,'Adj factor'!I:I,,0)*AI1145),'Master DataSheet (Rev)'!AI1145)</f>
        <v>50</v>
      </c>
      <c r="AM1145" s="91">
        <f t="shared" si="398"/>
        <v>50</v>
      </c>
      <c r="AN1145" s="92" t="str">
        <f t="shared" si="399"/>
        <v>Increasing</v>
      </c>
      <c r="AS1145" s="94">
        <f t="shared" si="400"/>
        <v>0</v>
      </c>
      <c r="AT1145" s="94">
        <f t="shared" si="401"/>
        <v>0</v>
      </c>
      <c r="AU1145" s="94">
        <f t="shared" si="386"/>
        <v>3.6076752714171344E-2</v>
      </c>
      <c r="AV1145" s="94">
        <f t="shared" si="387"/>
        <v>3.6076752714171344E-2</v>
      </c>
    </row>
    <row r="1146" spans="1:48" x14ac:dyDescent="0.3">
      <c r="A1146" s="85" t="str">
        <f>_xlfn.XLOOKUP(B1146,'Country codes &amp; Data sources'!G:G,'Country codes &amp; Data sources'!H:H,,0)</f>
        <v>Guinea</v>
      </c>
      <c r="B1146" s="85" t="s">
        <v>173</v>
      </c>
      <c r="C1146" s="85">
        <v>10788705</v>
      </c>
      <c r="D1146" s="85" t="s">
        <v>339</v>
      </c>
      <c r="E1146" s="86">
        <v>0</v>
      </c>
      <c r="F1146" s="86">
        <v>11055430.000000004</v>
      </c>
      <c r="G1146" s="86">
        <v>0</v>
      </c>
      <c r="H1146" s="86"/>
      <c r="I1146" s="86">
        <v>0</v>
      </c>
      <c r="J1146" s="86"/>
      <c r="K1146" s="86">
        <v>0</v>
      </c>
      <c r="L1146" s="86"/>
      <c r="M1146" s="86">
        <v>0</v>
      </c>
      <c r="N1146" s="86"/>
      <c r="O1146" s="86">
        <v>0</v>
      </c>
      <c r="P1146" s="86">
        <v>12554864.499999998</v>
      </c>
      <c r="Q1146" s="86">
        <v>0</v>
      </c>
      <c r="R1146" s="87">
        <f t="shared" si="385"/>
        <v>0</v>
      </c>
      <c r="T1146" s="87">
        <v>0</v>
      </c>
      <c r="U1146" s="89"/>
      <c r="V1146" s="89">
        <v>0</v>
      </c>
      <c r="W1146" s="90"/>
      <c r="X1146" s="90">
        <v>0</v>
      </c>
      <c r="Y1146" s="90">
        <v>13859340.500000006</v>
      </c>
      <c r="Z1146" s="90">
        <v>0</v>
      </c>
      <c r="AA1146" s="90">
        <v>0</v>
      </c>
      <c r="AB1146" s="89">
        <f t="shared" si="388"/>
        <v>0</v>
      </c>
      <c r="AC1146" s="89">
        <f t="shared" si="389"/>
        <v>0</v>
      </c>
      <c r="AD1146" s="89">
        <f t="shared" si="390"/>
        <v>0</v>
      </c>
      <c r="AF1146" s="90" t="str">
        <f t="shared" si="392"/>
        <v/>
      </c>
      <c r="AH1146" s="90" t="str">
        <f t="shared" si="394"/>
        <v/>
      </c>
      <c r="AI1146" s="90">
        <f t="shared" si="395"/>
        <v>0</v>
      </c>
      <c r="AJ1146" s="90" t="str">
        <f t="shared" si="396"/>
        <v/>
      </c>
      <c r="AK1146" s="90" t="str">
        <f t="shared" si="397"/>
        <v/>
      </c>
      <c r="AL1146" s="91"/>
      <c r="AM1146" s="91">
        <f t="shared" si="398"/>
        <v>0</v>
      </c>
      <c r="AN1146" s="92" t="str">
        <f t="shared" si="399"/>
        <v>No change</v>
      </c>
      <c r="AS1146" s="94">
        <f t="shared" si="400"/>
        <v>0</v>
      </c>
      <c r="AT1146" s="94">
        <f t="shared" si="401"/>
        <v>0</v>
      </c>
      <c r="AU1146" s="94">
        <f t="shared" si="386"/>
        <v>0</v>
      </c>
      <c r="AV1146" s="94">
        <f t="shared" si="387"/>
        <v>0</v>
      </c>
    </row>
    <row r="1147" spans="1:48" x14ac:dyDescent="0.3">
      <c r="A1147" s="85" t="str">
        <f>_xlfn.XLOOKUP(B1147,'Country codes &amp; Data sources'!G:G,'Country codes &amp; Data sources'!H:H,,0)</f>
        <v>Gambia</v>
      </c>
      <c r="B1147" s="85" t="s">
        <v>171</v>
      </c>
      <c r="C1147" s="85">
        <v>2061013.9999999993</v>
      </c>
      <c r="D1147" s="85" t="s">
        <v>326</v>
      </c>
      <c r="E1147" s="86">
        <v>0</v>
      </c>
      <c r="F1147" s="86">
        <v>2124869.5</v>
      </c>
      <c r="G1147" s="86">
        <v>0</v>
      </c>
      <c r="H1147" s="86">
        <v>2189019</v>
      </c>
      <c r="I1147" s="86">
        <v>0</v>
      </c>
      <c r="J1147" s="86">
        <v>2253133.5000000009</v>
      </c>
      <c r="K1147" s="86">
        <v>213</v>
      </c>
      <c r="L1147" s="86">
        <v>2317205.5</v>
      </c>
      <c r="M1147" s="86">
        <v>0</v>
      </c>
      <c r="N1147" s="86">
        <v>2381181.5</v>
      </c>
      <c r="O1147" s="86">
        <v>232</v>
      </c>
      <c r="P1147" s="86">
        <v>2444915.5000000014</v>
      </c>
      <c r="Q1147" s="86">
        <v>298</v>
      </c>
      <c r="R1147" s="87">
        <f t="shared" si="385"/>
        <v>298</v>
      </c>
      <c r="S1147" s="87">
        <v>2508883.5000000009</v>
      </c>
      <c r="T1147" s="87">
        <v>188</v>
      </c>
      <c r="U1147" s="89">
        <v>2573994.9999999995</v>
      </c>
      <c r="V1147" s="89">
        <v>196</v>
      </c>
      <c r="W1147" s="90">
        <v>2639915.5000000005</v>
      </c>
      <c r="X1147" s="90">
        <v>269</v>
      </c>
      <c r="Y1147" s="90">
        <v>2705991.9999999995</v>
      </c>
      <c r="Z1147" s="90">
        <v>0</v>
      </c>
      <c r="AA1147" s="90">
        <v>298</v>
      </c>
      <c r="AB1147" s="89">
        <f t="shared" si="388"/>
        <v>213</v>
      </c>
      <c r="AC1147" s="89">
        <f t="shared" si="389"/>
        <v>298</v>
      </c>
      <c r="AD1147" s="89">
        <f t="shared" si="390"/>
        <v>269</v>
      </c>
      <c r="AE1147" s="90">
        <f t="shared" si="391"/>
        <v>213</v>
      </c>
      <c r="AF1147" s="90">
        <f t="shared" si="392"/>
        <v>2015</v>
      </c>
      <c r="AG1147" s="90">
        <f t="shared" si="393"/>
        <v>298</v>
      </c>
      <c r="AH1147" s="90">
        <f t="shared" si="394"/>
        <v>2018</v>
      </c>
      <c r="AI1147" s="90">
        <f t="shared" si="395"/>
        <v>269</v>
      </c>
      <c r="AJ1147" s="90">
        <f t="shared" si="396"/>
        <v>2021</v>
      </c>
      <c r="AK1147" s="90" t="str">
        <f t="shared" si="397"/>
        <v>Adjust</v>
      </c>
      <c r="AL1147" s="91">
        <f>IF(AK1147="Adjust",(_xlfn.XLOOKUP(A1147,'Adj factor'!A:A,'Adj factor'!I:I,,0)*AI1147),'Master DataSheet (Rev)'!AI1147)</f>
        <v>273.86722731906218</v>
      </c>
      <c r="AM1147" s="91">
        <f t="shared" si="398"/>
        <v>298</v>
      </c>
      <c r="AN1147" s="92" t="str">
        <f t="shared" si="399"/>
        <v>Decreasing</v>
      </c>
      <c r="AS1147" s="94">
        <f t="shared" si="400"/>
        <v>1.0024145012199572</v>
      </c>
      <c r="AT1147" s="94">
        <f t="shared" si="401"/>
        <v>1.2188560299936739</v>
      </c>
      <c r="AU1147" s="94">
        <f t="shared" si="386"/>
        <v>1.0120770028849391</v>
      </c>
      <c r="AV1147" s="94">
        <f t="shared" si="387"/>
        <v>1.1012597228668823</v>
      </c>
    </row>
    <row r="1148" spans="1:48" x14ac:dyDescent="0.3">
      <c r="A1148" s="85" t="str">
        <f>_xlfn.XLOOKUP(B1148,'Country codes &amp; Data sources'!G:G,'Country codes &amp; Data sources'!H:H,,0)</f>
        <v>Gambia</v>
      </c>
      <c r="B1148" s="85" t="s">
        <v>171</v>
      </c>
      <c r="C1148" s="85">
        <v>2061015</v>
      </c>
      <c r="D1148" s="85" t="s">
        <v>327</v>
      </c>
      <c r="E1148" s="86">
        <v>0</v>
      </c>
      <c r="F1148" s="86">
        <v>2124869.5</v>
      </c>
      <c r="G1148" s="86">
        <v>0</v>
      </c>
      <c r="H1148" s="86"/>
      <c r="I1148" s="86">
        <v>0</v>
      </c>
      <c r="J1148" s="86"/>
      <c r="K1148" s="86">
        <v>0</v>
      </c>
      <c r="L1148" s="86"/>
      <c r="M1148" s="86">
        <v>0</v>
      </c>
      <c r="N1148" s="86"/>
      <c r="O1148" s="86">
        <v>152</v>
      </c>
      <c r="P1148" s="86">
        <v>2444915.5000000014</v>
      </c>
      <c r="Q1148" s="86">
        <v>181</v>
      </c>
      <c r="R1148" s="87">
        <f t="shared" si="385"/>
        <v>181</v>
      </c>
      <c r="T1148" s="87">
        <v>107</v>
      </c>
      <c r="U1148" s="89"/>
      <c r="V1148" s="89">
        <v>122</v>
      </c>
      <c r="W1148" s="90"/>
      <c r="X1148" s="90">
        <v>156</v>
      </c>
      <c r="Y1148" s="90">
        <v>2705991.9999999995</v>
      </c>
      <c r="Z1148" s="90">
        <v>0</v>
      </c>
      <c r="AA1148" s="90">
        <v>181</v>
      </c>
      <c r="AB1148" s="89">
        <f t="shared" si="388"/>
        <v>0</v>
      </c>
      <c r="AC1148" s="89">
        <f t="shared" si="389"/>
        <v>181</v>
      </c>
      <c r="AD1148" s="89">
        <f t="shared" si="390"/>
        <v>156</v>
      </c>
      <c r="AF1148" s="90" t="str">
        <f t="shared" si="392"/>
        <v/>
      </c>
      <c r="AG1148" s="90">
        <f t="shared" si="393"/>
        <v>181</v>
      </c>
      <c r="AH1148" s="90">
        <f t="shared" si="394"/>
        <v>2018</v>
      </c>
      <c r="AI1148" s="90">
        <f t="shared" si="395"/>
        <v>156</v>
      </c>
      <c r="AJ1148" s="90">
        <f t="shared" si="396"/>
        <v>2021</v>
      </c>
      <c r="AK1148" s="90" t="str">
        <f t="shared" si="397"/>
        <v>Adjust</v>
      </c>
      <c r="AL1148" s="91">
        <f>IF(AK1148="Adjust",(_xlfn.XLOOKUP(A1148,'Adj factor'!A:A,'Adj factor'!I:I,,0)*AI1148),'Master DataSheet (Rev)'!AI1148)</f>
        <v>158.82262996941895</v>
      </c>
      <c r="AM1148" s="91">
        <f t="shared" si="398"/>
        <v>181</v>
      </c>
      <c r="AN1148" s="92" t="str">
        <f t="shared" si="399"/>
        <v>Decreasing</v>
      </c>
      <c r="AS1148" s="94">
        <f t="shared" si="400"/>
        <v>0</v>
      </c>
      <c r="AT1148" s="94">
        <f t="shared" si="401"/>
        <v>0.74031188398944625</v>
      </c>
      <c r="AU1148" s="94">
        <f t="shared" si="386"/>
        <v>0.58692941431245538</v>
      </c>
      <c r="AV1148" s="94">
        <f t="shared" si="387"/>
        <v>0.66888593905673055</v>
      </c>
    </row>
    <row r="1149" spans="1:48" x14ac:dyDescent="0.3">
      <c r="A1149" s="85" t="str">
        <f>_xlfn.XLOOKUP(B1149,'Country codes &amp; Data sources'!G:G,'Country codes &amp; Data sources'!H:H,,0)</f>
        <v>Gambia</v>
      </c>
      <c r="B1149" s="85" t="s">
        <v>171</v>
      </c>
      <c r="C1149" s="85">
        <v>2061016</v>
      </c>
      <c r="D1149" s="85" t="s">
        <v>328</v>
      </c>
      <c r="E1149" s="86">
        <v>0</v>
      </c>
      <c r="F1149" s="86">
        <v>2124869.5</v>
      </c>
      <c r="G1149" s="86">
        <v>0</v>
      </c>
      <c r="H1149" s="86"/>
      <c r="I1149" s="86">
        <v>0</v>
      </c>
      <c r="J1149" s="86"/>
      <c r="K1149" s="86">
        <v>0</v>
      </c>
      <c r="L1149" s="86"/>
      <c r="M1149" s="86">
        <v>0</v>
      </c>
      <c r="N1149" s="86"/>
      <c r="O1149" s="86">
        <v>80</v>
      </c>
      <c r="P1149" s="86">
        <v>2444915.5000000014</v>
      </c>
      <c r="Q1149" s="86">
        <v>117</v>
      </c>
      <c r="R1149" s="87">
        <f t="shared" si="385"/>
        <v>117</v>
      </c>
      <c r="T1149" s="87">
        <v>81</v>
      </c>
      <c r="U1149" s="89"/>
      <c r="V1149" s="89">
        <v>74</v>
      </c>
      <c r="W1149" s="90"/>
      <c r="X1149" s="90">
        <v>113</v>
      </c>
      <c r="Y1149" s="90">
        <v>2705991.9999999995</v>
      </c>
      <c r="Z1149" s="90">
        <v>0</v>
      </c>
      <c r="AA1149" s="90">
        <v>117</v>
      </c>
      <c r="AB1149" s="89">
        <f t="shared" si="388"/>
        <v>0</v>
      </c>
      <c r="AC1149" s="89">
        <f t="shared" si="389"/>
        <v>117</v>
      </c>
      <c r="AD1149" s="89">
        <f t="shared" si="390"/>
        <v>113</v>
      </c>
      <c r="AF1149" s="90" t="str">
        <f t="shared" si="392"/>
        <v/>
      </c>
      <c r="AG1149" s="90">
        <f t="shared" si="393"/>
        <v>117</v>
      </c>
      <c r="AH1149" s="90">
        <f t="shared" si="394"/>
        <v>2018</v>
      </c>
      <c r="AI1149" s="90">
        <f t="shared" si="395"/>
        <v>113</v>
      </c>
      <c r="AJ1149" s="90">
        <f t="shared" si="396"/>
        <v>2021</v>
      </c>
      <c r="AK1149" s="90" t="str">
        <f t="shared" si="397"/>
        <v>Adjust</v>
      </c>
      <c r="AL1149" s="91">
        <f>IF(AK1149="Adjust",(_xlfn.XLOOKUP(A1149,'Adj factor'!A:A,'Adj factor'!I:I,,0)*AI1149),'Master DataSheet (Rev)'!AI1149)</f>
        <v>115.04459734964323</v>
      </c>
      <c r="AM1149" s="91">
        <f t="shared" si="398"/>
        <v>117</v>
      </c>
      <c r="AN1149" s="92" t="str">
        <f t="shared" si="399"/>
        <v>Decreasing</v>
      </c>
      <c r="AS1149" s="94">
        <f t="shared" si="400"/>
        <v>0</v>
      </c>
      <c r="AT1149" s="94">
        <f t="shared" si="401"/>
        <v>0.47854414600422768</v>
      </c>
      <c r="AU1149" s="94">
        <f t="shared" si="386"/>
        <v>0.42514758857248375</v>
      </c>
      <c r="AV1149" s="94">
        <f t="shared" si="387"/>
        <v>0.43237378381015179</v>
      </c>
    </row>
    <row r="1150" spans="1:48" x14ac:dyDescent="0.3">
      <c r="A1150" s="85" t="str">
        <f>_xlfn.XLOOKUP(B1150,'Country codes &amp; Data sources'!G:G,'Country codes &amp; Data sources'!H:H,,0)</f>
        <v>Gambia</v>
      </c>
      <c r="B1150" s="85" t="s">
        <v>171</v>
      </c>
      <c r="C1150" s="85">
        <v>2061017</v>
      </c>
      <c r="D1150" s="85" t="s">
        <v>329</v>
      </c>
      <c r="E1150" s="86">
        <v>2386</v>
      </c>
      <c r="F1150" s="86">
        <v>2124869.5</v>
      </c>
      <c r="G1150" s="86">
        <v>0</v>
      </c>
      <c r="H1150" s="86"/>
      <c r="I1150" s="86">
        <v>0</v>
      </c>
      <c r="J1150" s="86"/>
      <c r="K1150" s="86">
        <v>2372</v>
      </c>
      <c r="L1150" s="86"/>
      <c r="M1150" s="86">
        <v>0</v>
      </c>
      <c r="N1150" s="86"/>
      <c r="O1150" s="86">
        <v>1127</v>
      </c>
      <c r="P1150" s="86">
        <v>2444915.5000000014</v>
      </c>
      <c r="Q1150" s="86">
        <v>1498</v>
      </c>
      <c r="R1150" s="87">
        <f t="shared" si="385"/>
        <v>1498</v>
      </c>
      <c r="T1150" s="87">
        <v>749</v>
      </c>
      <c r="U1150" s="89"/>
      <c r="V1150" s="89">
        <v>1229</v>
      </c>
      <c r="W1150" s="90"/>
      <c r="X1150" s="90">
        <v>1404</v>
      </c>
      <c r="Y1150" s="90">
        <v>2705991.9999999995</v>
      </c>
      <c r="Z1150" s="90">
        <v>0</v>
      </c>
      <c r="AA1150" s="90">
        <v>1178</v>
      </c>
      <c r="AB1150" s="89">
        <f t="shared" si="388"/>
        <v>2386</v>
      </c>
      <c r="AC1150" s="89">
        <f t="shared" si="389"/>
        <v>1498</v>
      </c>
      <c r="AD1150" s="89">
        <f t="shared" si="390"/>
        <v>1404</v>
      </c>
      <c r="AE1150" s="90">
        <f t="shared" si="391"/>
        <v>2386</v>
      </c>
      <c r="AF1150" s="90">
        <f t="shared" si="392"/>
        <v>2012</v>
      </c>
      <c r="AG1150" s="90">
        <f t="shared" si="393"/>
        <v>1498</v>
      </c>
      <c r="AH1150" s="90">
        <f t="shared" si="394"/>
        <v>2018</v>
      </c>
      <c r="AI1150" s="90">
        <f t="shared" si="395"/>
        <v>1404</v>
      </c>
      <c r="AJ1150" s="90">
        <f t="shared" si="396"/>
        <v>2021</v>
      </c>
      <c r="AK1150" s="90" t="str">
        <f t="shared" si="397"/>
        <v>Adjust</v>
      </c>
      <c r="AL1150" s="91">
        <f>IF(AK1150="Adjust",(_xlfn.XLOOKUP(A1150,'Adj factor'!A:A,'Adj factor'!I:I,,0)*AI1150),'Master DataSheet (Rev)'!AI1150)</f>
        <v>1429.4036697247707</v>
      </c>
      <c r="AM1150" s="91">
        <f t="shared" si="398"/>
        <v>1498</v>
      </c>
      <c r="AN1150" s="92" t="str">
        <f t="shared" si="399"/>
        <v>Decreasing</v>
      </c>
      <c r="AS1150" s="94">
        <f t="shared" si="400"/>
        <v>11.228924882210414</v>
      </c>
      <c r="AT1150" s="94">
        <f t="shared" si="401"/>
        <v>6.1270011172165217</v>
      </c>
      <c r="AU1150" s="94">
        <f t="shared" si="386"/>
        <v>5.282364728812099</v>
      </c>
      <c r="AV1150" s="94">
        <f t="shared" si="387"/>
        <v>5.5358626337402335</v>
      </c>
    </row>
    <row r="1151" spans="1:48" x14ac:dyDescent="0.3">
      <c r="A1151" s="85" t="str">
        <f>_xlfn.XLOOKUP(B1151,'Country codes &amp; Data sources'!G:G,'Country codes &amp; Data sources'!H:H,,0)</f>
        <v>Gambia</v>
      </c>
      <c r="B1151" s="85" t="s">
        <v>171</v>
      </c>
      <c r="C1151" s="85">
        <v>2061018</v>
      </c>
      <c r="D1151" s="85" t="s">
        <v>330</v>
      </c>
      <c r="E1151" s="86">
        <v>0</v>
      </c>
      <c r="F1151" s="86">
        <v>2124869.5</v>
      </c>
      <c r="G1151" s="86">
        <v>0</v>
      </c>
      <c r="H1151" s="86"/>
      <c r="I1151" s="86">
        <v>0</v>
      </c>
      <c r="J1151" s="86"/>
      <c r="K1151" s="86">
        <v>0</v>
      </c>
      <c r="L1151" s="86"/>
      <c r="M1151" s="86">
        <v>0</v>
      </c>
      <c r="N1151" s="86"/>
      <c r="O1151" s="86">
        <v>248</v>
      </c>
      <c r="P1151" s="86">
        <v>2444915.5000000014</v>
      </c>
      <c r="Q1151" s="86">
        <v>0</v>
      </c>
      <c r="R1151" s="87">
        <f t="shared" ref="R1151:R1214" si="402">MAX(Q1151,AA1151)</f>
        <v>1178</v>
      </c>
      <c r="T1151" s="87">
        <v>320</v>
      </c>
      <c r="U1151" s="89"/>
      <c r="V1151" s="89">
        <v>703</v>
      </c>
      <c r="W1151" s="90"/>
      <c r="X1151" s="90">
        <v>908</v>
      </c>
      <c r="Y1151" s="90">
        <v>2705991.9999999995</v>
      </c>
      <c r="Z1151" s="90">
        <v>0</v>
      </c>
      <c r="AA1151" s="90">
        <v>1178</v>
      </c>
      <c r="AB1151" s="89">
        <f t="shared" si="388"/>
        <v>0</v>
      </c>
      <c r="AC1151" s="89">
        <f t="shared" si="389"/>
        <v>320</v>
      </c>
      <c r="AD1151" s="89">
        <f t="shared" si="390"/>
        <v>908</v>
      </c>
      <c r="AF1151" s="90" t="str">
        <f t="shared" si="392"/>
        <v/>
      </c>
      <c r="AG1151" s="90">
        <f t="shared" si="393"/>
        <v>1178</v>
      </c>
      <c r="AH1151" s="90" t="str">
        <f t="shared" si="394"/>
        <v>2018 (triag)</v>
      </c>
      <c r="AI1151" s="90">
        <f t="shared" si="395"/>
        <v>908</v>
      </c>
      <c r="AJ1151" s="90">
        <f t="shared" si="396"/>
        <v>2021</v>
      </c>
      <c r="AK1151" s="90" t="str">
        <f t="shared" si="397"/>
        <v>Adjust</v>
      </c>
      <c r="AL1151" s="91">
        <f>IF(AK1151="Adjust",(_xlfn.XLOOKUP(A1151,'Adj factor'!A:A,'Adj factor'!I:I,,0)*AI1151),'Master DataSheet (Rev)'!AI1151)</f>
        <v>924.42915392456678</v>
      </c>
      <c r="AM1151" s="91">
        <f t="shared" si="398"/>
        <v>1178</v>
      </c>
      <c r="AN1151" s="92" t="str">
        <f t="shared" si="399"/>
        <v>Decreasing</v>
      </c>
      <c r="AS1151" s="94">
        <f t="shared" si="400"/>
        <v>0</v>
      </c>
      <c r="AT1151" s="94">
        <f t="shared" si="401"/>
        <v>4.8181624272904289</v>
      </c>
      <c r="AU1151" s="94">
        <f t="shared" si="386"/>
        <v>3.4162301807417275</v>
      </c>
      <c r="AV1151" s="94">
        <f t="shared" si="387"/>
        <v>4.3533018575073399</v>
      </c>
    </row>
    <row r="1152" spans="1:48" x14ac:dyDescent="0.3">
      <c r="A1152" s="85" t="str">
        <f>_xlfn.XLOOKUP(B1152,'Country codes &amp; Data sources'!G:G,'Country codes &amp; Data sources'!H:H,,0)</f>
        <v>Gambia</v>
      </c>
      <c r="B1152" s="85" t="s">
        <v>171</v>
      </c>
      <c r="C1152" s="85">
        <v>2061019</v>
      </c>
      <c r="D1152" s="85" t="s">
        <v>331</v>
      </c>
      <c r="E1152" s="86">
        <v>0</v>
      </c>
      <c r="F1152" s="86">
        <v>2124869.5</v>
      </c>
      <c r="G1152" s="86">
        <v>0</v>
      </c>
      <c r="H1152" s="86"/>
      <c r="I1152" s="86">
        <v>0</v>
      </c>
      <c r="J1152" s="86"/>
      <c r="K1152" s="86">
        <v>0</v>
      </c>
      <c r="L1152" s="86"/>
      <c r="M1152" s="86">
        <v>0</v>
      </c>
      <c r="N1152" s="86"/>
      <c r="O1152" s="86">
        <v>879</v>
      </c>
      <c r="P1152" s="86">
        <v>2444915.5000000014</v>
      </c>
      <c r="Q1152" s="86">
        <v>0</v>
      </c>
      <c r="R1152" s="87">
        <f t="shared" si="402"/>
        <v>0</v>
      </c>
      <c r="T1152" s="87">
        <v>391</v>
      </c>
      <c r="U1152" s="89"/>
      <c r="V1152" s="89">
        <v>484</v>
      </c>
      <c r="W1152" s="90"/>
      <c r="X1152" s="90">
        <v>449</v>
      </c>
      <c r="Y1152" s="90">
        <v>2705991.9999999995</v>
      </c>
      <c r="Z1152" s="90">
        <v>0</v>
      </c>
      <c r="AA1152" s="90">
        <v>0</v>
      </c>
      <c r="AB1152" s="89">
        <f t="shared" si="388"/>
        <v>0</v>
      </c>
      <c r="AC1152" s="89">
        <f t="shared" si="389"/>
        <v>879</v>
      </c>
      <c r="AD1152" s="89">
        <f t="shared" si="390"/>
        <v>484</v>
      </c>
      <c r="AF1152" s="90" t="str">
        <f t="shared" si="392"/>
        <v/>
      </c>
      <c r="AG1152" s="90">
        <f t="shared" si="393"/>
        <v>879</v>
      </c>
      <c r="AH1152" s="90">
        <f t="shared" si="394"/>
        <v>2017</v>
      </c>
      <c r="AI1152" s="90">
        <f t="shared" si="395"/>
        <v>449</v>
      </c>
      <c r="AJ1152" s="90">
        <f t="shared" si="396"/>
        <v>2021</v>
      </c>
      <c r="AK1152" s="90" t="str">
        <f t="shared" si="397"/>
        <v>Adjust</v>
      </c>
      <c r="AL1152" s="91">
        <f>IF(AK1152="Adjust",(_xlfn.XLOOKUP(A1152,'Adj factor'!A:A,'Adj factor'!I:I,,0)*AI1152),'Master DataSheet (Rev)'!AI1152)</f>
        <v>457.12410805300715</v>
      </c>
      <c r="AM1152" s="91">
        <f t="shared" si="398"/>
        <v>879</v>
      </c>
      <c r="AN1152" s="92" t="str">
        <f t="shared" si="399"/>
        <v>Decreasing</v>
      </c>
      <c r="AS1152" s="94">
        <f t="shared" si="400"/>
        <v>0</v>
      </c>
      <c r="AT1152" s="94">
        <f t="shared" si="401"/>
        <v>3.5952162763907363</v>
      </c>
      <c r="AU1152" s="94">
        <f t="shared" si="386"/>
        <v>1.6893032501685417</v>
      </c>
      <c r="AV1152" s="94">
        <f t="shared" si="387"/>
        <v>3.2483466322147301</v>
      </c>
    </row>
    <row r="1153" spans="1:48" x14ac:dyDescent="0.3">
      <c r="A1153" s="85" t="str">
        <f>_xlfn.XLOOKUP(B1153,'Country codes &amp; Data sources'!G:G,'Country codes &amp; Data sources'!H:H,,0)</f>
        <v>Gambia</v>
      </c>
      <c r="B1153" s="85" t="s">
        <v>171</v>
      </c>
      <c r="C1153" s="85">
        <v>2061020</v>
      </c>
      <c r="D1153" s="85" t="s">
        <v>332</v>
      </c>
      <c r="E1153" s="86">
        <v>0</v>
      </c>
      <c r="F1153" s="86">
        <v>2124869.5</v>
      </c>
      <c r="G1153" s="86">
        <v>259</v>
      </c>
      <c r="H1153" s="86"/>
      <c r="I1153" s="86">
        <v>0</v>
      </c>
      <c r="J1153" s="86"/>
      <c r="K1153" s="86">
        <v>850</v>
      </c>
      <c r="L1153" s="86"/>
      <c r="M1153" s="86">
        <v>0</v>
      </c>
      <c r="N1153" s="86"/>
      <c r="O1153" s="86">
        <v>422</v>
      </c>
      <c r="P1153" s="86">
        <v>2444915.5000000014</v>
      </c>
      <c r="Q1153" s="86">
        <v>0</v>
      </c>
      <c r="R1153" s="87">
        <f t="shared" si="402"/>
        <v>320</v>
      </c>
      <c r="T1153" s="87">
        <v>341</v>
      </c>
      <c r="U1153" s="89"/>
      <c r="V1153" s="89">
        <v>540</v>
      </c>
      <c r="W1153" s="90"/>
      <c r="X1153" s="90">
        <v>379</v>
      </c>
      <c r="Y1153" s="90">
        <v>2705991.9999999995</v>
      </c>
      <c r="Z1153" s="90">
        <v>0</v>
      </c>
      <c r="AA1153" s="90">
        <v>320</v>
      </c>
      <c r="AB1153" s="89">
        <f t="shared" si="388"/>
        <v>850</v>
      </c>
      <c r="AC1153" s="89">
        <f t="shared" si="389"/>
        <v>422</v>
      </c>
      <c r="AD1153" s="89">
        <f t="shared" si="390"/>
        <v>540</v>
      </c>
      <c r="AE1153" s="90">
        <f t="shared" si="391"/>
        <v>259</v>
      </c>
      <c r="AF1153" s="90">
        <f t="shared" si="392"/>
        <v>2013</v>
      </c>
      <c r="AG1153" s="90">
        <f t="shared" si="393"/>
        <v>320</v>
      </c>
      <c r="AH1153" s="90" t="str">
        <f t="shared" si="394"/>
        <v>2018 (triag)</v>
      </c>
      <c r="AI1153" s="90">
        <f t="shared" si="395"/>
        <v>379</v>
      </c>
      <c r="AJ1153" s="90">
        <f t="shared" si="396"/>
        <v>2021</v>
      </c>
      <c r="AK1153" s="90" t="str">
        <f t="shared" si="397"/>
        <v/>
      </c>
      <c r="AL1153" s="91">
        <f>IF(AK1153="Adjust",(_xlfn.XLOOKUP(A1153,'Adj factor'!A:A,'Adj factor'!I:I,,0)*AI1153),'Master DataSheet (Rev)'!AI1153)</f>
        <v>379</v>
      </c>
      <c r="AM1153" s="91">
        <f t="shared" si="398"/>
        <v>379</v>
      </c>
      <c r="AN1153" s="92" t="str">
        <f t="shared" si="399"/>
        <v>Increasing</v>
      </c>
      <c r="AS1153" s="94">
        <f t="shared" si="400"/>
        <v>1.2188983841125303</v>
      </c>
      <c r="AT1153" s="94">
        <f t="shared" si="401"/>
        <v>1.3088386899260929</v>
      </c>
      <c r="AU1153" s="94">
        <f t="shared" si="386"/>
        <v>1.4005954193508334</v>
      </c>
      <c r="AV1153" s="94">
        <f t="shared" si="387"/>
        <v>1.4005954193508334</v>
      </c>
    </row>
    <row r="1154" spans="1:48" x14ac:dyDescent="0.3">
      <c r="A1154" s="85" t="str">
        <f>_xlfn.XLOOKUP(B1154,'Country codes &amp; Data sources'!G:G,'Country codes &amp; Data sources'!H:H,,0)</f>
        <v>Gambia</v>
      </c>
      <c r="B1154" s="85" t="s">
        <v>171</v>
      </c>
      <c r="C1154" s="85">
        <v>2061021</v>
      </c>
      <c r="D1154" s="85" t="s">
        <v>333</v>
      </c>
      <c r="E1154" s="86">
        <v>0</v>
      </c>
      <c r="F1154" s="86">
        <v>2124869.5</v>
      </c>
      <c r="G1154" s="86">
        <v>79</v>
      </c>
      <c r="H1154" s="86"/>
      <c r="I1154" s="86">
        <v>0</v>
      </c>
      <c r="J1154" s="86"/>
      <c r="K1154" s="86">
        <v>0</v>
      </c>
      <c r="L1154" s="86"/>
      <c r="M1154" s="86">
        <v>0</v>
      </c>
      <c r="N1154" s="86"/>
      <c r="O1154" s="86">
        <v>81</v>
      </c>
      <c r="P1154" s="86">
        <v>2444915.5000000014</v>
      </c>
      <c r="Q1154" s="86">
        <v>0</v>
      </c>
      <c r="R1154" s="87">
        <f t="shared" si="402"/>
        <v>320</v>
      </c>
      <c r="T1154" s="87">
        <v>89</v>
      </c>
      <c r="U1154" s="89"/>
      <c r="V1154" s="89">
        <v>128</v>
      </c>
      <c r="W1154" s="90"/>
      <c r="X1154" s="90">
        <v>101</v>
      </c>
      <c r="Y1154" s="90">
        <v>2705991.9999999995</v>
      </c>
      <c r="Z1154" s="90">
        <v>0</v>
      </c>
      <c r="AA1154" s="90">
        <v>320</v>
      </c>
      <c r="AB1154" s="89">
        <f t="shared" si="388"/>
        <v>79</v>
      </c>
      <c r="AC1154" s="89">
        <f t="shared" si="389"/>
        <v>89</v>
      </c>
      <c r="AD1154" s="89">
        <f t="shared" si="390"/>
        <v>128</v>
      </c>
      <c r="AE1154" s="90">
        <f t="shared" si="391"/>
        <v>79</v>
      </c>
      <c r="AF1154" s="90">
        <f t="shared" si="392"/>
        <v>2013</v>
      </c>
      <c r="AG1154" s="90">
        <f t="shared" si="393"/>
        <v>320</v>
      </c>
      <c r="AH1154" s="90" t="str">
        <f t="shared" si="394"/>
        <v>2018 (triag)</v>
      </c>
      <c r="AI1154" s="90">
        <f t="shared" si="395"/>
        <v>101</v>
      </c>
      <c r="AJ1154" s="90">
        <f t="shared" si="396"/>
        <v>2021</v>
      </c>
      <c r="AK1154" s="90" t="str">
        <f t="shared" si="397"/>
        <v>Adjust</v>
      </c>
      <c r="AL1154" s="91">
        <f>IF(AK1154="Adjust",(_xlfn.XLOOKUP(A1154,'Adj factor'!A:A,'Adj factor'!I:I,,0)*AI1154),'Master DataSheet (Rev)'!AI1154)</f>
        <v>102.82747196738023</v>
      </c>
      <c r="AM1154" s="91">
        <f t="shared" si="398"/>
        <v>320</v>
      </c>
      <c r="AN1154" s="92" t="str">
        <f t="shared" si="399"/>
        <v>Decreasing</v>
      </c>
      <c r="AS1154" s="94">
        <f t="shared" si="400"/>
        <v>0.37178753801115788</v>
      </c>
      <c r="AT1154" s="94">
        <f t="shared" si="401"/>
        <v>1.3088386899260929</v>
      </c>
      <c r="AU1154" s="94">
        <f t="shared" si="386"/>
        <v>0.37999917208691031</v>
      </c>
      <c r="AV1154" s="94">
        <f t="shared" si="387"/>
        <v>1.1825607762328938</v>
      </c>
    </row>
    <row r="1155" spans="1:48" x14ac:dyDescent="0.3">
      <c r="A1155" s="85" t="str">
        <f>_xlfn.XLOOKUP(B1155,'Country codes &amp; Data sources'!G:G,'Country codes &amp; Data sources'!H:H,,0)</f>
        <v>Gambia</v>
      </c>
      <c r="B1155" s="85" t="s">
        <v>171</v>
      </c>
      <c r="C1155" s="85">
        <v>2061022</v>
      </c>
      <c r="D1155" s="85" t="s">
        <v>334</v>
      </c>
      <c r="E1155" s="86">
        <v>0</v>
      </c>
      <c r="F1155" s="86">
        <v>2124869.5</v>
      </c>
      <c r="G1155" s="86">
        <v>180</v>
      </c>
      <c r="H1155" s="86"/>
      <c r="I1155" s="86">
        <v>0</v>
      </c>
      <c r="J1155" s="86"/>
      <c r="K1155" s="86">
        <v>0</v>
      </c>
      <c r="L1155" s="86"/>
      <c r="M1155" s="86">
        <v>0</v>
      </c>
      <c r="N1155" s="86"/>
      <c r="O1155" s="86">
        <v>341</v>
      </c>
      <c r="P1155" s="86">
        <v>2444915.5000000014</v>
      </c>
      <c r="Q1155" s="86">
        <v>0</v>
      </c>
      <c r="R1155" s="87">
        <f t="shared" si="402"/>
        <v>0</v>
      </c>
      <c r="T1155" s="87">
        <v>252</v>
      </c>
      <c r="U1155" s="89"/>
      <c r="V1155" s="89">
        <v>412</v>
      </c>
      <c r="W1155" s="90"/>
      <c r="X1155" s="90">
        <v>278</v>
      </c>
      <c r="Y1155" s="90">
        <v>2705991.9999999995</v>
      </c>
      <c r="Z1155" s="90">
        <v>0</v>
      </c>
      <c r="AA1155" s="90">
        <v>0</v>
      </c>
      <c r="AB1155" s="89">
        <f t="shared" si="388"/>
        <v>180</v>
      </c>
      <c r="AC1155" s="89">
        <f t="shared" si="389"/>
        <v>341</v>
      </c>
      <c r="AD1155" s="89">
        <f t="shared" si="390"/>
        <v>412</v>
      </c>
      <c r="AE1155" s="90">
        <f t="shared" si="391"/>
        <v>180</v>
      </c>
      <c r="AF1155" s="90">
        <f t="shared" si="392"/>
        <v>2013</v>
      </c>
      <c r="AG1155" s="90">
        <f t="shared" si="393"/>
        <v>341</v>
      </c>
      <c r="AH1155" s="90">
        <f t="shared" si="394"/>
        <v>2017</v>
      </c>
      <c r="AI1155" s="90">
        <f t="shared" si="395"/>
        <v>278</v>
      </c>
      <c r="AJ1155" s="90">
        <f t="shared" si="396"/>
        <v>2021</v>
      </c>
      <c r="AK1155" s="90" t="str">
        <f t="shared" si="397"/>
        <v>Adjust</v>
      </c>
      <c r="AL1155" s="91">
        <f>IF(AK1155="Adjust",(_xlfn.XLOOKUP(A1155,'Adj factor'!A:A,'Adj factor'!I:I,,0)*AI1155),'Master DataSheet (Rev)'!AI1155)</f>
        <v>283.03007135575945</v>
      </c>
      <c r="AM1155" s="91">
        <f t="shared" si="398"/>
        <v>341</v>
      </c>
      <c r="AN1155" s="92" t="str">
        <f t="shared" si="399"/>
        <v>Decreasing</v>
      </c>
      <c r="AS1155" s="94">
        <f t="shared" si="400"/>
        <v>0.84711084610137233</v>
      </c>
      <c r="AT1155" s="94">
        <f t="shared" si="401"/>
        <v>1.3947312289524927</v>
      </c>
      <c r="AU1155" s="94">
        <f t="shared" ref="AU1155:AU1218" si="403">(AL1155*10000)/Y1155</f>
        <v>1.0459383152491193</v>
      </c>
      <c r="AV1155" s="94">
        <f t="shared" ref="AV1155:AV1218" si="404">(AM1155*10000)/Y1155</f>
        <v>1.2601663271731773</v>
      </c>
    </row>
    <row r="1156" spans="1:48" x14ac:dyDescent="0.3">
      <c r="A1156" s="85" t="str">
        <f>_xlfn.XLOOKUP(B1156,'Country codes &amp; Data sources'!G:G,'Country codes &amp; Data sources'!H:H,,0)</f>
        <v>Gambia</v>
      </c>
      <c r="B1156" s="85" t="s">
        <v>171</v>
      </c>
      <c r="C1156" s="85">
        <v>2061023</v>
      </c>
      <c r="D1156" s="85" t="s">
        <v>335</v>
      </c>
      <c r="E1156" s="86">
        <v>0</v>
      </c>
      <c r="F1156" s="86">
        <v>2124869.5</v>
      </c>
      <c r="G1156" s="86">
        <v>0</v>
      </c>
      <c r="H1156" s="86"/>
      <c r="I1156" s="86">
        <v>0</v>
      </c>
      <c r="J1156" s="86"/>
      <c r="K1156" s="86">
        <v>5</v>
      </c>
      <c r="L1156" s="86"/>
      <c r="M1156" s="86">
        <v>0</v>
      </c>
      <c r="N1156" s="86"/>
      <c r="O1156" s="86">
        <v>0</v>
      </c>
      <c r="P1156" s="86">
        <v>2444915.5000000014</v>
      </c>
      <c r="Q1156" s="86">
        <v>2</v>
      </c>
      <c r="R1156" s="87">
        <f t="shared" si="402"/>
        <v>78</v>
      </c>
      <c r="T1156" s="87">
        <v>2</v>
      </c>
      <c r="U1156" s="89"/>
      <c r="V1156" s="89">
        <v>0</v>
      </c>
      <c r="W1156" s="90"/>
      <c r="X1156" s="90">
        <v>4</v>
      </c>
      <c r="Y1156" s="90">
        <v>2705991.9999999995</v>
      </c>
      <c r="Z1156" s="90">
        <v>0</v>
      </c>
      <c r="AA1156" s="90">
        <v>78</v>
      </c>
      <c r="AB1156" s="89">
        <f t="shared" si="388"/>
        <v>5</v>
      </c>
      <c r="AC1156" s="89">
        <f t="shared" si="389"/>
        <v>2</v>
      </c>
      <c r="AD1156" s="89">
        <f t="shared" si="390"/>
        <v>4</v>
      </c>
      <c r="AE1156" s="90">
        <f t="shared" si="391"/>
        <v>5</v>
      </c>
      <c r="AF1156" s="90">
        <f t="shared" si="392"/>
        <v>2015</v>
      </c>
      <c r="AG1156" s="90">
        <f t="shared" si="393"/>
        <v>78</v>
      </c>
      <c r="AH1156" s="90" t="str">
        <f t="shared" si="394"/>
        <v>2018 (triag)</v>
      </c>
      <c r="AI1156" s="90">
        <f t="shared" si="395"/>
        <v>4</v>
      </c>
      <c r="AJ1156" s="90">
        <f t="shared" si="396"/>
        <v>2021</v>
      </c>
      <c r="AK1156" s="90" t="str">
        <f t="shared" si="397"/>
        <v>Adjust</v>
      </c>
      <c r="AL1156" s="91">
        <f>IF(AK1156="Adjust",(_xlfn.XLOOKUP(A1156,'Adj factor'!A:A,'Adj factor'!I:I,,0)*AI1156),'Master DataSheet (Rev)'!AI1156)</f>
        <v>4.0723751274209992</v>
      </c>
      <c r="AM1156" s="91">
        <f t="shared" si="398"/>
        <v>78</v>
      </c>
      <c r="AN1156" s="92" t="str">
        <f t="shared" si="399"/>
        <v>Decreasing</v>
      </c>
      <c r="AS1156" s="94">
        <f t="shared" si="400"/>
        <v>2.3530856836149232E-2</v>
      </c>
      <c r="AT1156" s="94">
        <f t="shared" si="401"/>
        <v>0.31902943066948514</v>
      </c>
      <c r="AU1156" s="94">
        <f t="shared" si="403"/>
        <v>1.5049472161857832E-2</v>
      </c>
      <c r="AV1156" s="94">
        <f t="shared" si="404"/>
        <v>0.28824918920676784</v>
      </c>
    </row>
    <row r="1157" spans="1:48" x14ac:dyDescent="0.3">
      <c r="A1157" s="85" t="str">
        <f>_xlfn.XLOOKUP(B1157,'Country codes &amp; Data sources'!G:G,'Country codes &amp; Data sources'!H:H,,0)</f>
        <v>Gambia</v>
      </c>
      <c r="B1157" s="85" t="s">
        <v>171</v>
      </c>
      <c r="C1157" s="85">
        <v>2061024</v>
      </c>
      <c r="D1157" s="85" t="s">
        <v>336</v>
      </c>
      <c r="E1157" s="86">
        <v>0</v>
      </c>
      <c r="F1157" s="86">
        <v>2124869.5</v>
      </c>
      <c r="G1157" s="86">
        <v>0</v>
      </c>
      <c r="H1157" s="86"/>
      <c r="I1157" s="86">
        <v>0</v>
      </c>
      <c r="J1157" s="86"/>
      <c r="K1157" s="86">
        <v>99</v>
      </c>
      <c r="L1157" s="86"/>
      <c r="M1157" s="86">
        <v>0</v>
      </c>
      <c r="N1157" s="86"/>
      <c r="O1157" s="86">
        <v>74</v>
      </c>
      <c r="P1157" s="86">
        <v>2444915.5000000014</v>
      </c>
      <c r="Q1157" s="86">
        <v>76</v>
      </c>
      <c r="R1157" s="87">
        <f t="shared" si="402"/>
        <v>76</v>
      </c>
      <c r="T1157" s="87">
        <v>81</v>
      </c>
      <c r="U1157" s="89"/>
      <c r="V1157" s="89">
        <v>81</v>
      </c>
      <c r="W1157" s="90"/>
      <c r="X1157" s="90">
        <v>94</v>
      </c>
      <c r="Y1157" s="90">
        <v>2705991.9999999995</v>
      </c>
      <c r="Z1157" s="90">
        <v>0</v>
      </c>
      <c r="AA1157" s="90">
        <v>1</v>
      </c>
      <c r="AB1157" s="89">
        <f t="shared" si="388"/>
        <v>99</v>
      </c>
      <c r="AC1157" s="89">
        <f t="shared" si="389"/>
        <v>81</v>
      </c>
      <c r="AD1157" s="89">
        <f t="shared" si="390"/>
        <v>94</v>
      </c>
      <c r="AE1157" s="90">
        <f t="shared" si="391"/>
        <v>99</v>
      </c>
      <c r="AF1157" s="90">
        <f t="shared" si="392"/>
        <v>2015</v>
      </c>
      <c r="AG1157" s="90">
        <f t="shared" si="393"/>
        <v>76</v>
      </c>
      <c r="AH1157" s="90">
        <f t="shared" si="394"/>
        <v>2018</v>
      </c>
      <c r="AI1157" s="90">
        <f t="shared" si="395"/>
        <v>94</v>
      </c>
      <c r="AJ1157" s="90">
        <f t="shared" si="396"/>
        <v>2021</v>
      </c>
      <c r="AK1157" s="90" t="str">
        <f t="shared" si="397"/>
        <v/>
      </c>
      <c r="AL1157" s="91">
        <f>IF(AK1157="Adjust",(_xlfn.XLOOKUP(A1157,'Adj factor'!A:A,'Adj factor'!I:I,,0)*AI1157),'Master DataSheet (Rev)'!AI1157)</f>
        <v>94</v>
      </c>
      <c r="AM1157" s="91">
        <f t="shared" si="398"/>
        <v>94</v>
      </c>
      <c r="AN1157" s="92" t="str">
        <f t="shared" si="399"/>
        <v>Increasing</v>
      </c>
      <c r="AS1157" s="94">
        <f t="shared" si="400"/>
        <v>0.46591096535575477</v>
      </c>
      <c r="AT1157" s="94">
        <f t="shared" si="401"/>
        <v>0.31084918885744706</v>
      </c>
      <c r="AU1157" s="94">
        <f t="shared" si="403"/>
        <v>0.34737722801841253</v>
      </c>
      <c r="AV1157" s="94">
        <f t="shared" si="404"/>
        <v>0.34737722801841253</v>
      </c>
    </row>
    <row r="1158" spans="1:48" x14ac:dyDescent="0.3">
      <c r="A1158" s="85" t="str">
        <f>_xlfn.XLOOKUP(B1158,'Country codes &amp; Data sources'!G:G,'Country codes &amp; Data sources'!H:H,,0)</f>
        <v>Gambia</v>
      </c>
      <c r="B1158" s="85" t="s">
        <v>171</v>
      </c>
      <c r="C1158" s="85">
        <v>2061025</v>
      </c>
      <c r="D1158" s="85" t="s">
        <v>337</v>
      </c>
      <c r="E1158" s="86">
        <v>0</v>
      </c>
      <c r="F1158" s="86">
        <v>2124869.5</v>
      </c>
      <c r="G1158" s="86">
        <v>0</v>
      </c>
      <c r="H1158" s="86"/>
      <c r="I1158" s="86">
        <v>0</v>
      </c>
      <c r="J1158" s="86"/>
      <c r="K1158" s="86">
        <v>17</v>
      </c>
      <c r="L1158" s="86"/>
      <c r="M1158" s="86">
        <v>0</v>
      </c>
      <c r="N1158" s="86"/>
      <c r="O1158" s="86">
        <v>0</v>
      </c>
      <c r="P1158" s="86">
        <v>2444915.5000000014</v>
      </c>
      <c r="Q1158" s="86">
        <v>4</v>
      </c>
      <c r="R1158" s="87">
        <f t="shared" si="402"/>
        <v>4</v>
      </c>
      <c r="T1158" s="87">
        <v>12</v>
      </c>
      <c r="U1158" s="89"/>
      <c r="V1158" s="89">
        <v>8</v>
      </c>
      <c r="W1158" s="90"/>
      <c r="X1158" s="90">
        <v>9</v>
      </c>
      <c r="Y1158" s="90">
        <v>2705991.9999999995</v>
      </c>
      <c r="Z1158" s="90">
        <v>0</v>
      </c>
      <c r="AA1158" s="90">
        <v>0</v>
      </c>
      <c r="AB1158" s="89">
        <f t="shared" si="388"/>
        <v>17</v>
      </c>
      <c r="AC1158" s="89">
        <f t="shared" si="389"/>
        <v>12</v>
      </c>
      <c r="AD1158" s="89">
        <f t="shared" si="390"/>
        <v>9</v>
      </c>
      <c r="AE1158" s="90">
        <f t="shared" si="391"/>
        <v>17</v>
      </c>
      <c r="AF1158" s="90">
        <f t="shared" si="392"/>
        <v>2015</v>
      </c>
      <c r="AG1158" s="90">
        <f t="shared" si="393"/>
        <v>4</v>
      </c>
      <c r="AH1158" s="90">
        <f t="shared" si="394"/>
        <v>2018</v>
      </c>
      <c r="AI1158" s="90">
        <f t="shared" si="395"/>
        <v>9</v>
      </c>
      <c r="AJ1158" s="90">
        <f t="shared" si="396"/>
        <v>2021</v>
      </c>
      <c r="AK1158" s="90" t="str">
        <f t="shared" si="397"/>
        <v/>
      </c>
      <c r="AL1158" s="91">
        <f>IF(AK1158="Adjust",(_xlfn.XLOOKUP(A1158,'Adj factor'!A:A,'Adj factor'!I:I,,0)*AI1158),'Master DataSheet (Rev)'!AI1158)</f>
        <v>9</v>
      </c>
      <c r="AM1158" s="91">
        <f t="shared" si="398"/>
        <v>9</v>
      </c>
      <c r="AN1158" s="92" t="str">
        <f t="shared" si="399"/>
        <v>Increasing</v>
      </c>
      <c r="AS1158" s="94">
        <f t="shared" si="400"/>
        <v>8.0004913242907386E-2</v>
      </c>
      <c r="AT1158" s="94">
        <f t="shared" si="401"/>
        <v>1.6360483624076161E-2</v>
      </c>
      <c r="AU1158" s="94">
        <f t="shared" si="403"/>
        <v>3.3259521831550135E-2</v>
      </c>
      <c r="AV1158" s="94">
        <f t="shared" si="404"/>
        <v>3.3259521831550135E-2</v>
      </c>
    </row>
    <row r="1159" spans="1:48" x14ac:dyDescent="0.3">
      <c r="A1159" s="85" t="str">
        <f>_xlfn.XLOOKUP(B1159,'Country codes &amp; Data sources'!G:G,'Country codes &amp; Data sources'!H:H,,0)</f>
        <v>Gambia</v>
      </c>
      <c r="B1159" s="85" t="s">
        <v>171</v>
      </c>
      <c r="C1159" s="85">
        <v>2061026</v>
      </c>
      <c r="D1159" s="85" t="s">
        <v>338</v>
      </c>
      <c r="E1159" s="86">
        <v>0</v>
      </c>
      <c r="F1159" s="86">
        <v>2124869.5</v>
      </c>
      <c r="G1159" s="86">
        <v>0</v>
      </c>
      <c r="H1159" s="86"/>
      <c r="I1159" s="86">
        <v>0</v>
      </c>
      <c r="J1159" s="86"/>
      <c r="K1159" s="86">
        <v>0</v>
      </c>
      <c r="L1159" s="86"/>
      <c r="M1159" s="86">
        <v>0</v>
      </c>
      <c r="N1159" s="86"/>
      <c r="O1159" s="86">
        <v>0</v>
      </c>
      <c r="P1159" s="86">
        <v>2444915.5000000014</v>
      </c>
      <c r="Q1159" s="86">
        <v>10</v>
      </c>
      <c r="R1159" s="87">
        <f t="shared" si="402"/>
        <v>10</v>
      </c>
      <c r="T1159" s="87">
        <v>6</v>
      </c>
      <c r="U1159" s="89"/>
      <c r="V1159" s="89">
        <v>17</v>
      </c>
      <c r="W1159" s="90"/>
      <c r="X1159" s="90">
        <v>16</v>
      </c>
      <c r="Y1159" s="90">
        <v>2705991.9999999995</v>
      </c>
      <c r="Z1159" s="90">
        <v>0</v>
      </c>
      <c r="AA1159" s="90">
        <v>3</v>
      </c>
      <c r="AB1159" s="89">
        <f t="shared" si="388"/>
        <v>0</v>
      </c>
      <c r="AC1159" s="89">
        <f t="shared" si="389"/>
        <v>10</v>
      </c>
      <c r="AD1159" s="89">
        <f t="shared" si="390"/>
        <v>17</v>
      </c>
      <c r="AF1159" s="90" t="str">
        <f t="shared" si="392"/>
        <v/>
      </c>
      <c r="AG1159" s="90">
        <f t="shared" si="393"/>
        <v>10</v>
      </c>
      <c r="AH1159" s="90">
        <f t="shared" si="394"/>
        <v>2018</v>
      </c>
      <c r="AI1159" s="90">
        <f t="shared" si="395"/>
        <v>16</v>
      </c>
      <c r="AJ1159" s="90">
        <f t="shared" si="396"/>
        <v>2021</v>
      </c>
      <c r="AK1159" s="90" t="str">
        <f t="shared" si="397"/>
        <v/>
      </c>
      <c r="AL1159" s="91">
        <f>IF(AK1159="Adjust",(_xlfn.XLOOKUP(A1159,'Adj factor'!A:A,'Adj factor'!I:I,,0)*AI1159),'Master DataSheet (Rev)'!AI1159)</f>
        <v>16</v>
      </c>
      <c r="AM1159" s="91">
        <f t="shared" si="398"/>
        <v>16</v>
      </c>
      <c r="AN1159" s="92" t="str">
        <f t="shared" si="399"/>
        <v>Increasing</v>
      </c>
      <c r="AS1159" s="94">
        <f t="shared" si="400"/>
        <v>0</v>
      </c>
      <c r="AT1159" s="94">
        <f t="shared" si="401"/>
        <v>4.0901209060190402E-2</v>
      </c>
      <c r="AU1159" s="94">
        <f t="shared" si="403"/>
        <v>5.9128038811644683E-2</v>
      </c>
      <c r="AV1159" s="94">
        <f t="shared" si="404"/>
        <v>5.9128038811644683E-2</v>
      </c>
    </row>
    <row r="1160" spans="1:48" x14ac:dyDescent="0.3">
      <c r="A1160" s="85" t="str">
        <f>_xlfn.XLOOKUP(B1160,'Country codes &amp; Data sources'!G:G,'Country codes &amp; Data sources'!H:H,,0)</f>
        <v>Gambia</v>
      </c>
      <c r="B1160" s="85" t="s">
        <v>171</v>
      </c>
      <c r="C1160" s="85">
        <v>2061027</v>
      </c>
      <c r="D1160" s="85" t="s">
        <v>339</v>
      </c>
      <c r="E1160" s="86">
        <v>0</v>
      </c>
      <c r="F1160" s="86">
        <v>2124869.5</v>
      </c>
      <c r="G1160" s="86">
        <v>0</v>
      </c>
      <c r="H1160" s="86"/>
      <c r="I1160" s="86">
        <v>0</v>
      </c>
      <c r="J1160" s="86"/>
      <c r="K1160" s="86">
        <v>0</v>
      </c>
      <c r="L1160" s="86"/>
      <c r="M1160" s="86">
        <v>0</v>
      </c>
      <c r="N1160" s="86"/>
      <c r="O1160" s="86">
        <v>0</v>
      </c>
      <c r="P1160" s="86">
        <v>2444915.5000000014</v>
      </c>
      <c r="Q1160" s="86">
        <v>0</v>
      </c>
      <c r="R1160" s="87">
        <f t="shared" si="402"/>
        <v>0</v>
      </c>
      <c r="T1160" s="87">
        <v>0</v>
      </c>
      <c r="U1160" s="89"/>
      <c r="V1160" s="89">
        <v>0</v>
      </c>
      <c r="W1160" s="90"/>
      <c r="X1160" s="90">
        <v>0</v>
      </c>
      <c r="Y1160" s="90">
        <v>2705991.9999999995</v>
      </c>
      <c r="Z1160" s="90">
        <v>0</v>
      </c>
      <c r="AA1160" s="90">
        <v>0</v>
      </c>
      <c r="AB1160" s="89">
        <f t="shared" si="388"/>
        <v>0</v>
      </c>
      <c r="AC1160" s="89">
        <f t="shared" si="389"/>
        <v>0</v>
      </c>
      <c r="AD1160" s="89">
        <f t="shared" si="390"/>
        <v>0</v>
      </c>
      <c r="AF1160" s="90" t="str">
        <f t="shared" si="392"/>
        <v/>
      </c>
      <c r="AH1160" s="90" t="str">
        <f t="shared" si="394"/>
        <v/>
      </c>
      <c r="AI1160" s="90">
        <f t="shared" si="395"/>
        <v>0</v>
      </c>
      <c r="AJ1160" s="90" t="str">
        <f t="shared" si="396"/>
        <v/>
      </c>
      <c r="AK1160" s="90" t="str">
        <f t="shared" si="397"/>
        <v/>
      </c>
      <c r="AL1160" s="91"/>
      <c r="AM1160" s="91">
        <f t="shared" si="398"/>
        <v>0</v>
      </c>
      <c r="AN1160" s="92" t="str">
        <f t="shared" si="399"/>
        <v>No change</v>
      </c>
      <c r="AS1160" s="94">
        <f t="shared" si="400"/>
        <v>0</v>
      </c>
      <c r="AT1160" s="94">
        <f t="shared" si="401"/>
        <v>0</v>
      </c>
      <c r="AU1160" s="94">
        <f t="shared" si="403"/>
        <v>0</v>
      </c>
      <c r="AV1160" s="94">
        <f t="shared" si="404"/>
        <v>0</v>
      </c>
    </row>
    <row r="1161" spans="1:48" x14ac:dyDescent="0.3">
      <c r="A1161" s="85" t="str">
        <f>_xlfn.XLOOKUP(B1161,'Country codes &amp; Data sources'!G:G,'Country codes &amp; Data sources'!H:H,,0)</f>
        <v>Guinea-Bissau</v>
      </c>
      <c r="B1161" s="85" t="s">
        <v>174</v>
      </c>
      <c r="C1161" s="85">
        <v>1652717.4999999998</v>
      </c>
      <c r="D1161" s="85" t="s">
        <v>326</v>
      </c>
      <c r="E1161" s="86">
        <v>0</v>
      </c>
      <c r="F1161" s="86">
        <v>1697752.4999999995</v>
      </c>
      <c r="G1161" s="86">
        <v>0</v>
      </c>
      <c r="H1161" s="86">
        <v>1743309.0000000002</v>
      </c>
      <c r="I1161" s="86">
        <v>0</v>
      </c>
      <c r="J1161" s="86">
        <v>1788919.0000000005</v>
      </c>
      <c r="K1161" s="86">
        <v>354</v>
      </c>
      <c r="L1161" s="86">
        <v>1834551.4999999995</v>
      </c>
      <c r="M1161" s="86">
        <v>183</v>
      </c>
      <c r="N1161" s="86">
        <v>1879826.5000000005</v>
      </c>
      <c r="O1161" s="86">
        <v>0</v>
      </c>
      <c r="P1161" s="86">
        <v>1924954.4999999988</v>
      </c>
      <c r="Q1161" s="86">
        <v>578</v>
      </c>
      <c r="R1161" s="87">
        <f t="shared" si="402"/>
        <v>578</v>
      </c>
      <c r="S1161" s="87">
        <v>1970456.5</v>
      </c>
      <c r="T1161" s="87">
        <v>0</v>
      </c>
      <c r="U1161" s="89">
        <v>2015827.9999999998</v>
      </c>
      <c r="V1161" s="89">
        <v>385</v>
      </c>
      <c r="W1161" s="90">
        <v>2060720.9999999991</v>
      </c>
      <c r="X1161" s="90">
        <v>453</v>
      </c>
      <c r="Y1161" s="90">
        <v>2105565.4999999991</v>
      </c>
      <c r="Z1161" s="90">
        <v>438</v>
      </c>
      <c r="AA1161" s="90">
        <v>318</v>
      </c>
      <c r="AB1161" s="89">
        <f t="shared" si="388"/>
        <v>354</v>
      </c>
      <c r="AC1161" s="89">
        <f t="shared" si="389"/>
        <v>578</v>
      </c>
      <c r="AD1161" s="89">
        <f t="shared" si="390"/>
        <v>453</v>
      </c>
      <c r="AE1161" s="90">
        <f t="shared" si="391"/>
        <v>354</v>
      </c>
      <c r="AF1161" s="90">
        <f t="shared" si="392"/>
        <v>2015</v>
      </c>
      <c r="AG1161" s="90">
        <f t="shared" si="393"/>
        <v>578</v>
      </c>
      <c r="AH1161" s="90">
        <f t="shared" si="394"/>
        <v>2018</v>
      </c>
      <c r="AI1161" s="90">
        <f t="shared" si="395"/>
        <v>438</v>
      </c>
      <c r="AJ1161" s="90">
        <f t="shared" si="396"/>
        <v>2022</v>
      </c>
      <c r="AK1161" s="90" t="str">
        <f t="shared" si="397"/>
        <v>Adjust</v>
      </c>
      <c r="AL1161" s="91">
        <f>IF(AK1161="Adjust",(_xlfn.XLOOKUP(A1161,'Adj factor'!A:A,'Adj factor'!I:I,,0)*AI1161),'Master DataSheet (Rev)'!AI1161)</f>
        <v>530.87376425855507</v>
      </c>
      <c r="AM1161" s="91">
        <f t="shared" si="398"/>
        <v>578</v>
      </c>
      <c r="AN1161" s="92" t="str">
        <f t="shared" si="399"/>
        <v>Decreasing</v>
      </c>
      <c r="AS1161" s="94">
        <f t="shared" si="400"/>
        <v>2.0851095786930078</v>
      </c>
      <c r="AT1161" s="94">
        <f t="shared" si="401"/>
        <v>3.0026683747589895</v>
      </c>
      <c r="AU1161" s="94">
        <f t="shared" si="403"/>
        <v>2.5212882917133439</v>
      </c>
      <c r="AV1161" s="94">
        <f t="shared" si="404"/>
        <v>2.7451057684978228</v>
      </c>
    </row>
    <row r="1162" spans="1:48" x14ac:dyDescent="0.3">
      <c r="A1162" s="85" t="str">
        <f>_xlfn.XLOOKUP(B1162,'Country codes &amp; Data sources'!G:G,'Country codes &amp; Data sources'!H:H,,0)</f>
        <v>Guinea-Bissau</v>
      </c>
      <c r="B1162" s="85" t="s">
        <v>174</v>
      </c>
      <c r="C1162" s="85">
        <v>1652718.5</v>
      </c>
      <c r="D1162" s="85" t="s">
        <v>327</v>
      </c>
      <c r="E1162" s="86">
        <v>0</v>
      </c>
      <c r="F1162" s="86">
        <v>1697752.4999999995</v>
      </c>
      <c r="G1162" s="86">
        <v>0</v>
      </c>
      <c r="H1162" s="86"/>
      <c r="I1162" s="86">
        <v>0</v>
      </c>
      <c r="J1162" s="86"/>
      <c r="K1162" s="86">
        <v>0</v>
      </c>
      <c r="L1162" s="86"/>
      <c r="M1162" s="86">
        <v>169</v>
      </c>
      <c r="N1162" s="86"/>
      <c r="O1162" s="86">
        <v>0</v>
      </c>
      <c r="P1162" s="86">
        <v>1924954.4999999988</v>
      </c>
      <c r="Q1162" s="86">
        <v>544</v>
      </c>
      <c r="R1162" s="87">
        <f t="shared" si="402"/>
        <v>544</v>
      </c>
      <c r="T1162" s="87">
        <v>0</v>
      </c>
      <c r="U1162" s="89"/>
      <c r="V1162" s="89">
        <v>375</v>
      </c>
      <c r="W1162" s="90"/>
      <c r="X1162" s="90">
        <v>444</v>
      </c>
      <c r="Y1162" s="90">
        <v>2105565.4999999991</v>
      </c>
      <c r="Z1162" s="90">
        <v>428</v>
      </c>
      <c r="AA1162" s="90">
        <v>290</v>
      </c>
      <c r="AB1162" s="89">
        <f t="shared" si="388"/>
        <v>0</v>
      </c>
      <c r="AC1162" s="89">
        <f t="shared" si="389"/>
        <v>544</v>
      </c>
      <c r="AD1162" s="89">
        <f t="shared" si="390"/>
        <v>444</v>
      </c>
      <c r="AF1162" s="90" t="str">
        <f t="shared" si="392"/>
        <v/>
      </c>
      <c r="AG1162" s="90">
        <f t="shared" si="393"/>
        <v>544</v>
      </c>
      <c r="AH1162" s="90">
        <f t="shared" si="394"/>
        <v>2018</v>
      </c>
      <c r="AI1162" s="90">
        <f t="shared" si="395"/>
        <v>428</v>
      </c>
      <c r="AJ1162" s="90">
        <f t="shared" si="396"/>
        <v>2022</v>
      </c>
      <c r="AK1162" s="90" t="str">
        <f t="shared" si="397"/>
        <v>Adjust</v>
      </c>
      <c r="AL1162" s="91">
        <f>IF(AK1162="Adjust",(_xlfn.XLOOKUP(A1162,'Adj factor'!A:A,'Adj factor'!I:I,,0)*AI1162),'Master DataSheet (Rev)'!AI1162)</f>
        <v>518.75335868187574</v>
      </c>
      <c r="AM1162" s="91">
        <f t="shared" si="398"/>
        <v>544</v>
      </c>
      <c r="AN1162" s="92" t="str">
        <f t="shared" si="399"/>
        <v>Decreasing</v>
      </c>
      <c r="AS1162" s="94">
        <f t="shared" si="400"/>
        <v>0</v>
      </c>
      <c r="AT1162" s="94">
        <f t="shared" si="401"/>
        <v>2.8260408233025784</v>
      </c>
      <c r="AU1162" s="94">
        <f t="shared" si="403"/>
        <v>2.4637246320851856</v>
      </c>
      <c r="AV1162" s="94">
        <f t="shared" si="404"/>
        <v>2.583628958586186</v>
      </c>
    </row>
    <row r="1163" spans="1:48" x14ac:dyDescent="0.3">
      <c r="A1163" s="85" t="str">
        <f>_xlfn.XLOOKUP(B1163,'Country codes &amp; Data sources'!G:G,'Country codes &amp; Data sources'!H:H,,0)</f>
        <v>Guinea-Bissau</v>
      </c>
      <c r="B1163" s="85" t="s">
        <v>174</v>
      </c>
      <c r="C1163" s="85">
        <v>1652719.5</v>
      </c>
      <c r="D1163" s="85" t="s">
        <v>328</v>
      </c>
      <c r="E1163" s="86">
        <v>0</v>
      </c>
      <c r="F1163" s="86">
        <v>1697752.4999999995</v>
      </c>
      <c r="G1163" s="86">
        <v>0</v>
      </c>
      <c r="H1163" s="86"/>
      <c r="I1163" s="86">
        <v>0</v>
      </c>
      <c r="J1163" s="86"/>
      <c r="K1163" s="86">
        <v>0</v>
      </c>
      <c r="L1163" s="86"/>
      <c r="M1163" s="86">
        <v>14</v>
      </c>
      <c r="N1163" s="86"/>
      <c r="O1163" s="86">
        <v>0</v>
      </c>
      <c r="P1163" s="86">
        <v>1924954.4999999988</v>
      </c>
      <c r="Q1163" s="86">
        <v>34</v>
      </c>
      <c r="R1163" s="87">
        <f t="shared" si="402"/>
        <v>34</v>
      </c>
      <c r="T1163" s="87">
        <v>0</v>
      </c>
      <c r="U1163" s="89"/>
      <c r="V1163" s="89">
        <v>10</v>
      </c>
      <c r="W1163" s="90"/>
      <c r="X1163" s="90">
        <v>9</v>
      </c>
      <c r="Y1163" s="90">
        <v>2105565.4999999991</v>
      </c>
      <c r="Z1163" s="90">
        <v>10</v>
      </c>
      <c r="AA1163" s="90">
        <v>28</v>
      </c>
      <c r="AB1163" s="89">
        <f t="shared" si="388"/>
        <v>0</v>
      </c>
      <c r="AC1163" s="89">
        <f t="shared" si="389"/>
        <v>34</v>
      </c>
      <c r="AD1163" s="89">
        <f t="shared" si="390"/>
        <v>10</v>
      </c>
      <c r="AF1163" s="90" t="str">
        <f t="shared" si="392"/>
        <v/>
      </c>
      <c r="AG1163" s="90">
        <f t="shared" si="393"/>
        <v>34</v>
      </c>
      <c r="AH1163" s="90">
        <f t="shared" si="394"/>
        <v>2018</v>
      </c>
      <c r="AI1163" s="90">
        <f t="shared" si="395"/>
        <v>10</v>
      </c>
      <c r="AJ1163" s="90">
        <f t="shared" si="396"/>
        <v>2020</v>
      </c>
      <c r="AK1163" s="90" t="str">
        <f t="shared" si="397"/>
        <v>Adjust</v>
      </c>
      <c r="AL1163" s="91">
        <f>IF(AK1163="Adjust",(_xlfn.XLOOKUP(A1163,'Adj factor'!A:A,'Adj factor'!I:I,,0)*AI1163),'Master DataSheet (Rev)'!AI1163)</f>
        <v>12.120405576679341</v>
      </c>
      <c r="AM1163" s="91">
        <f t="shared" si="398"/>
        <v>34</v>
      </c>
      <c r="AN1163" s="92" t="str">
        <f t="shared" si="399"/>
        <v>Decreasing</v>
      </c>
      <c r="AS1163" s="94">
        <f t="shared" si="400"/>
        <v>0</v>
      </c>
      <c r="AT1163" s="94">
        <f t="shared" si="401"/>
        <v>0.17662755145641115</v>
      </c>
      <c r="AU1163" s="94">
        <f t="shared" si="403"/>
        <v>5.7563659628158542E-2</v>
      </c>
      <c r="AV1163" s="94">
        <f t="shared" si="404"/>
        <v>0.16147680991163663</v>
      </c>
    </row>
    <row r="1164" spans="1:48" x14ac:dyDescent="0.3">
      <c r="A1164" s="85" t="str">
        <f>_xlfn.XLOOKUP(B1164,'Country codes &amp; Data sources'!G:G,'Country codes &amp; Data sources'!H:H,,0)</f>
        <v>Guinea-Bissau</v>
      </c>
      <c r="B1164" s="85" t="s">
        <v>174</v>
      </c>
      <c r="C1164" s="85">
        <v>1652720.5</v>
      </c>
      <c r="D1164" s="85" t="s">
        <v>329</v>
      </c>
      <c r="E1164" s="86">
        <v>0</v>
      </c>
      <c r="F1164" s="86">
        <v>1697752.4999999995</v>
      </c>
      <c r="G1164" s="86">
        <v>727</v>
      </c>
      <c r="H1164" s="86"/>
      <c r="I1164" s="86">
        <v>885</v>
      </c>
      <c r="J1164" s="86"/>
      <c r="K1164" s="86">
        <v>964</v>
      </c>
      <c r="L1164" s="86"/>
      <c r="M1164" s="86">
        <v>918</v>
      </c>
      <c r="N1164" s="86"/>
      <c r="O1164" s="86">
        <v>0</v>
      </c>
      <c r="P1164" s="86">
        <v>1924954.4999999988</v>
      </c>
      <c r="Q1164" s="86">
        <v>744</v>
      </c>
      <c r="R1164" s="87">
        <f t="shared" si="402"/>
        <v>1264</v>
      </c>
      <c r="T1164" s="87">
        <v>0</v>
      </c>
      <c r="U1164" s="89"/>
      <c r="V1164" s="89">
        <v>1371</v>
      </c>
      <c r="W1164" s="90"/>
      <c r="X1164" s="90">
        <v>1956</v>
      </c>
      <c r="Y1164" s="90">
        <v>2105565.4999999991</v>
      </c>
      <c r="Z1164" s="90">
        <v>1879</v>
      </c>
      <c r="AA1164" s="90">
        <v>1264</v>
      </c>
      <c r="AB1164" s="89">
        <f t="shared" si="388"/>
        <v>964</v>
      </c>
      <c r="AC1164" s="89">
        <f t="shared" si="389"/>
        <v>918</v>
      </c>
      <c r="AD1164" s="89">
        <f t="shared" si="390"/>
        <v>1956</v>
      </c>
      <c r="AE1164" s="90">
        <f t="shared" si="391"/>
        <v>727</v>
      </c>
      <c r="AF1164" s="90">
        <f t="shared" si="392"/>
        <v>2013</v>
      </c>
      <c r="AG1164" s="90">
        <f t="shared" si="393"/>
        <v>1264</v>
      </c>
      <c r="AH1164" s="90" t="str">
        <f t="shared" si="394"/>
        <v>2018 (triag)</v>
      </c>
      <c r="AI1164" s="90">
        <f t="shared" si="395"/>
        <v>1879</v>
      </c>
      <c r="AJ1164" s="90">
        <f t="shared" si="396"/>
        <v>2022</v>
      </c>
      <c r="AK1164" s="90" t="str">
        <f t="shared" si="397"/>
        <v/>
      </c>
      <c r="AL1164" s="91">
        <f>IF(AK1164="Adjust",(_xlfn.XLOOKUP(A1164,'Adj factor'!A:A,'Adj factor'!I:I,,0)*AI1164),'Master DataSheet (Rev)'!AI1164)</f>
        <v>1879</v>
      </c>
      <c r="AM1164" s="91">
        <f t="shared" si="398"/>
        <v>1879</v>
      </c>
      <c r="AN1164" s="92" t="str">
        <f t="shared" si="399"/>
        <v>Increasing</v>
      </c>
      <c r="AS1164" s="94">
        <f t="shared" si="400"/>
        <v>4.2821318183893133</v>
      </c>
      <c r="AT1164" s="94">
        <f t="shared" si="401"/>
        <v>6.5663889717912856</v>
      </c>
      <c r="AU1164" s="94">
        <f t="shared" si="403"/>
        <v>8.9239684065872122</v>
      </c>
      <c r="AV1164" s="94">
        <f t="shared" si="404"/>
        <v>8.9239684065872122</v>
      </c>
    </row>
    <row r="1165" spans="1:48" x14ac:dyDescent="0.3">
      <c r="A1165" s="85" t="str">
        <f>_xlfn.XLOOKUP(B1165,'Country codes &amp; Data sources'!G:G,'Country codes &amp; Data sources'!H:H,,0)</f>
        <v>Guinea-Bissau</v>
      </c>
      <c r="B1165" s="85" t="s">
        <v>174</v>
      </c>
      <c r="C1165" s="85">
        <v>1652721.5</v>
      </c>
      <c r="D1165" s="85" t="s">
        <v>330</v>
      </c>
      <c r="E1165" s="86">
        <v>0</v>
      </c>
      <c r="F1165" s="86">
        <v>1697752.4999999995</v>
      </c>
      <c r="G1165" s="86">
        <v>474</v>
      </c>
      <c r="H1165" s="86"/>
      <c r="I1165" s="86">
        <v>707</v>
      </c>
      <c r="J1165" s="86"/>
      <c r="K1165" s="86">
        <v>852</v>
      </c>
      <c r="L1165" s="86"/>
      <c r="M1165" s="86">
        <v>865</v>
      </c>
      <c r="N1165" s="86"/>
      <c r="O1165" s="86">
        <v>0</v>
      </c>
      <c r="P1165" s="86">
        <v>1924954.4999999988</v>
      </c>
      <c r="Q1165" s="86">
        <v>744</v>
      </c>
      <c r="R1165" s="87">
        <f t="shared" si="402"/>
        <v>1210</v>
      </c>
      <c r="T1165" s="87">
        <v>0</v>
      </c>
      <c r="U1165" s="89"/>
      <c r="V1165" s="89">
        <v>341</v>
      </c>
      <c r="W1165" s="90"/>
      <c r="X1165" s="90">
        <v>1003</v>
      </c>
      <c r="Y1165" s="90">
        <v>2105565.4999999991</v>
      </c>
      <c r="Z1165" s="90">
        <v>987</v>
      </c>
      <c r="AA1165" s="90">
        <v>1210</v>
      </c>
      <c r="AB1165" s="89">
        <f t="shared" si="388"/>
        <v>852</v>
      </c>
      <c r="AC1165" s="89">
        <f t="shared" si="389"/>
        <v>865</v>
      </c>
      <c r="AD1165" s="89">
        <f t="shared" si="390"/>
        <v>1003</v>
      </c>
      <c r="AE1165" s="90">
        <f t="shared" si="391"/>
        <v>474</v>
      </c>
      <c r="AF1165" s="90">
        <f t="shared" si="392"/>
        <v>2013</v>
      </c>
      <c r="AG1165" s="90">
        <f t="shared" si="393"/>
        <v>1210</v>
      </c>
      <c r="AH1165" s="90" t="str">
        <f t="shared" si="394"/>
        <v>2018 (triag)</v>
      </c>
      <c r="AI1165" s="90">
        <f t="shared" si="395"/>
        <v>987</v>
      </c>
      <c r="AJ1165" s="90">
        <f t="shared" si="396"/>
        <v>2022</v>
      </c>
      <c r="AK1165" s="90" t="str">
        <f t="shared" si="397"/>
        <v>Adjust</v>
      </c>
      <c r="AL1165" s="91">
        <f>IF(AK1165="Adjust",(_xlfn.XLOOKUP(A1165,'Adj factor'!A:A,'Adj factor'!I:I,,0)*AI1165),'Master DataSheet (Rev)'!AI1165)</f>
        <v>1196.2840304182509</v>
      </c>
      <c r="AM1165" s="91">
        <f t="shared" si="398"/>
        <v>1210</v>
      </c>
      <c r="AN1165" s="92" t="str">
        <f t="shared" si="399"/>
        <v>Decreasing</v>
      </c>
      <c r="AS1165" s="94">
        <f t="shared" si="400"/>
        <v>2.7919263850296208</v>
      </c>
      <c r="AT1165" s="94">
        <f t="shared" si="401"/>
        <v>6.2858628606546318</v>
      </c>
      <c r="AU1165" s="94">
        <f t="shared" si="403"/>
        <v>5.6815332052992487</v>
      </c>
      <c r="AV1165" s="94">
        <f t="shared" si="404"/>
        <v>5.7466747056788332</v>
      </c>
    </row>
    <row r="1166" spans="1:48" x14ac:dyDescent="0.3">
      <c r="A1166" s="85" t="str">
        <f>_xlfn.XLOOKUP(B1166,'Country codes &amp; Data sources'!G:G,'Country codes &amp; Data sources'!H:H,,0)</f>
        <v>Guinea-Bissau</v>
      </c>
      <c r="B1166" s="85" t="s">
        <v>174</v>
      </c>
      <c r="C1166" s="85">
        <v>1652722.5</v>
      </c>
      <c r="D1166" s="85" t="s">
        <v>331</v>
      </c>
      <c r="E1166" s="86">
        <v>0</v>
      </c>
      <c r="F1166" s="86">
        <v>1697752.4999999995</v>
      </c>
      <c r="G1166" s="86">
        <v>253</v>
      </c>
      <c r="H1166" s="86"/>
      <c r="I1166" s="86">
        <v>178</v>
      </c>
      <c r="J1166" s="86"/>
      <c r="K1166" s="86">
        <v>112</v>
      </c>
      <c r="L1166" s="86"/>
      <c r="M1166" s="86">
        <v>53</v>
      </c>
      <c r="N1166" s="86"/>
      <c r="O1166" s="86">
        <v>0</v>
      </c>
      <c r="P1166" s="86">
        <v>1924954.4999999988</v>
      </c>
      <c r="Q1166" s="86">
        <v>0</v>
      </c>
      <c r="R1166" s="87">
        <f t="shared" si="402"/>
        <v>54</v>
      </c>
      <c r="T1166" s="87">
        <v>0</v>
      </c>
      <c r="U1166" s="89"/>
      <c r="V1166" s="89">
        <v>1016</v>
      </c>
      <c r="W1166" s="90"/>
      <c r="X1166" s="90">
        <v>951</v>
      </c>
      <c r="Y1166" s="90">
        <v>2105565.4999999991</v>
      </c>
      <c r="Z1166" s="90">
        <v>889</v>
      </c>
      <c r="AA1166" s="90">
        <v>54</v>
      </c>
      <c r="AB1166" s="89">
        <f t="shared" si="388"/>
        <v>253</v>
      </c>
      <c r="AC1166" s="89">
        <f t="shared" si="389"/>
        <v>53</v>
      </c>
      <c r="AD1166" s="89">
        <f t="shared" si="390"/>
        <v>1016</v>
      </c>
      <c r="AE1166" s="90">
        <f t="shared" si="391"/>
        <v>253</v>
      </c>
      <c r="AF1166" s="90">
        <f t="shared" si="392"/>
        <v>2013</v>
      </c>
      <c r="AG1166" s="90">
        <f t="shared" si="393"/>
        <v>54</v>
      </c>
      <c r="AH1166" s="90" t="str">
        <f t="shared" si="394"/>
        <v>2018 (triag)</v>
      </c>
      <c r="AI1166" s="90">
        <f t="shared" si="395"/>
        <v>889</v>
      </c>
      <c r="AJ1166" s="90">
        <f t="shared" si="396"/>
        <v>2022</v>
      </c>
      <c r="AK1166" s="90" t="str">
        <f t="shared" si="397"/>
        <v/>
      </c>
      <c r="AL1166" s="91">
        <f>IF(AK1166="Adjust",(_xlfn.XLOOKUP(A1166,'Adj factor'!A:A,'Adj factor'!I:I,,0)*AI1166),'Master DataSheet (Rev)'!AI1166)</f>
        <v>889</v>
      </c>
      <c r="AM1166" s="91">
        <f t="shared" si="398"/>
        <v>889</v>
      </c>
      <c r="AN1166" s="92" t="str">
        <f t="shared" si="399"/>
        <v>Increasing</v>
      </c>
      <c r="AS1166" s="94">
        <f t="shared" si="400"/>
        <v>1.4902054333596921</v>
      </c>
      <c r="AT1166" s="94">
        <f t="shared" si="401"/>
        <v>0.28052611113665299</v>
      </c>
      <c r="AU1166" s="94">
        <f t="shared" si="403"/>
        <v>4.2221436473954403</v>
      </c>
      <c r="AV1166" s="94">
        <f t="shared" si="404"/>
        <v>4.2221436473954403</v>
      </c>
    </row>
    <row r="1167" spans="1:48" x14ac:dyDescent="0.3">
      <c r="A1167" s="85" t="str">
        <f>_xlfn.XLOOKUP(B1167,'Country codes &amp; Data sources'!G:G,'Country codes &amp; Data sources'!H:H,,0)</f>
        <v>Guinea-Bissau</v>
      </c>
      <c r="B1167" s="85" t="s">
        <v>174</v>
      </c>
      <c r="C1167" s="85">
        <v>1652723.5</v>
      </c>
      <c r="D1167" s="85" t="s">
        <v>332</v>
      </c>
      <c r="E1167" s="86">
        <v>0</v>
      </c>
      <c r="F1167" s="86">
        <v>1697752.4999999995</v>
      </c>
      <c r="G1167" s="86">
        <v>153</v>
      </c>
      <c r="H1167" s="86"/>
      <c r="I1167" s="86">
        <v>0</v>
      </c>
      <c r="J1167" s="86"/>
      <c r="K1167" s="86">
        <v>0</v>
      </c>
      <c r="L1167" s="86"/>
      <c r="M1167" s="86">
        <v>125</v>
      </c>
      <c r="N1167" s="86"/>
      <c r="O1167" s="86">
        <v>0</v>
      </c>
      <c r="P1167" s="86">
        <v>1924954.4999999988</v>
      </c>
      <c r="Q1167" s="86">
        <v>0</v>
      </c>
      <c r="R1167" s="87">
        <f t="shared" si="402"/>
        <v>157</v>
      </c>
      <c r="T1167" s="87">
        <v>0</v>
      </c>
      <c r="U1167" s="89"/>
      <c r="V1167" s="89">
        <v>185</v>
      </c>
      <c r="W1167" s="90"/>
      <c r="X1167" s="90">
        <v>213</v>
      </c>
      <c r="Y1167" s="90">
        <v>2105565.4999999991</v>
      </c>
      <c r="Z1167" s="90">
        <v>197</v>
      </c>
      <c r="AA1167" s="90">
        <v>157</v>
      </c>
      <c r="AB1167" s="89">
        <f t="shared" si="388"/>
        <v>153</v>
      </c>
      <c r="AC1167" s="89">
        <f t="shared" si="389"/>
        <v>125</v>
      </c>
      <c r="AD1167" s="89">
        <f t="shared" si="390"/>
        <v>213</v>
      </c>
      <c r="AE1167" s="90">
        <f t="shared" si="391"/>
        <v>153</v>
      </c>
      <c r="AF1167" s="90">
        <f t="shared" si="392"/>
        <v>2013</v>
      </c>
      <c r="AG1167" s="90">
        <f t="shared" si="393"/>
        <v>157</v>
      </c>
      <c r="AH1167" s="90" t="str">
        <f t="shared" si="394"/>
        <v>2018 (triag)</v>
      </c>
      <c r="AI1167" s="90">
        <f t="shared" si="395"/>
        <v>197</v>
      </c>
      <c r="AJ1167" s="90">
        <f t="shared" si="396"/>
        <v>2022</v>
      </c>
      <c r="AK1167" s="90" t="str">
        <f t="shared" si="397"/>
        <v/>
      </c>
      <c r="AL1167" s="91">
        <f>IF(AK1167="Adjust",(_xlfn.XLOOKUP(A1167,'Adj factor'!A:A,'Adj factor'!I:I,,0)*AI1167),'Master DataSheet (Rev)'!AI1167)</f>
        <v>197</v>
      </c>
      <c r="AM1167" s="91">
        <f t="shared" si="398"/>
        <v>197</v>
      </c>
      <c r="AN1167" s="92" t="str">
        <f t="shared" si="399"/>
        <v>Increasing</v>
      </c>
      <c r="AS1167" s="94">
        <f t="shared" si="400"/>
        <v>0.9011914280791814</v>
      </c>
      <c r="AT1167" s="94">
        <f t="shared" si="401"/>
        <v>0.81560369348989858</v>
      </c>
      <c r="AU1167" s="94">
        <f t="shared" si="403"/>
        <v>0.93561563389977698</v>
      </c>
      <c r="AV1167" s="94">
        <f t="shared" si="404"/>
        <v>0.93561563389977698</v>
      </c>
    </row>
    <row r="1168" spans="1:48" x14ac:dyDescent="0.3">
      <c r="A1168" s="85" t="str">
        <f>_xlfn.XLOOKUP(B1168,'Country codes &amp; Data sources'!G:G,'Country codes &amp; Data sources'!H:H,,0)</f>
        <v>Guinea-Bissau</v>
      </c>
      <c r="B1168" s="85" t="s">
        <v>174</v>
      </c>
      <c r="C1168" s="85">
        <v>1652724.5</v>
      </c>
      <c r="D1168" s="85" t="s">
        <v>333</v>
      </c>
      <c r="E1168" s="86">
        <v>0</v>
      </c>
      <c r="F1168" s="86">
        <v>1697752.4999999995</v>
      </c>
      <c r="G1168" s="86">
        <v>148</v>
      </c>
      <c r="H1168" s="86"/>
      <c r="I1168" s="86">
        <v>0</v>
      </c>
      <c r="J1168" s="86"/>
      <c r="K1168" s="86">
        <v>0</v>
      </c>
      <c r="L1168" s="86"/>
      <c r="M1168" s="86">
        <v>125</v>
      </c>
      <c r="N1168" s="86"/>
      <c r="O1168" s="86">
        <v>0</v>
      </c>
      <c r="P1168" s="86">
        <v>1924954.4999999988</v>
      </c>
      <c r="Q1168" s="86">
        <v>0</v>
      </c>
      <c r="R1168" s="87">
        <f t="shared" si="402"/>
        <v>156</v>
      </c>
      <c r="T1168" s="87">
        <v>0</v>
      </c>
      <c r="U1168" s="89"/>
      <c r="V1168" s="89">
        <v>18</v>
      </c>
      <c r="W1168" s="90"/>
      <c r="X1168" s="90">
        <v>213</v>
      </c>
      <c r="Y1168" s="90">
        <v>2105565.4999999991</v>
      </c>
      <c r="Z1168" s="90">
        <v>26</v>
      </c>
      <c r="AA1168" s="90">
        <v>156</v>
      </c>
      <c r="AB1168" s="89">
        <f t="shared" si="388"/>
        <v>148</v>
      </c>
      <c r="AC1168" s="89">
        <f t="shared" si="389"/>
        <v>125</v>
      </c>
      <c r="AD1168" s="89">
        <f t="shared" si="390"/>
        <v>213</v>
      </c>
      <c r="AE1168" s="90">
        <f t="shared" si="391"/>
        <v>148</v>
      </c>
      <c r="AF1168" s="90">
        <f t="shared" si="392"/>
        <v>2013</v>
      </c>
      <c r="AG1168" s="90">
        <f t="shared" si="393"/>
        <v>156</v>
      </c>
      <c r="AH1168" s="90" t="str">
        <f t="shared" si="394"/>
        <v>2018 (triag)</v>
      </c>
      <c r="AI1168" s="90">
        <f t="shared" si="395"/>
        <v>26</v>
      </c>
      <c r="AJ1168" s="90">
        <f t="shared" si="396"/>
        <v>2022</v>
      </c>
      <c r="AK1168" s="90" t="str">
        <f t="shared" si="397"/>
        <v>Adjust</v>
      </c>
      <c r="AL1168" s="91">
        <f>IF(AK1168="Adjust",(_xlfn.XLOOKUP(A1168,'Adj factor'!A:A,'Adj factor'!I:I,,0)*AI1168),'Master DataSheet (Rev)'!AI1168)</f>
        <v>31.513054499366284</v>
      </c>
      <c r="AM1168" s="91">
        <f t="shared" si="398"/>
        <v>156</v>
      </c>
      <c r="AN1168" s="92" t="str">
        <f t="shared" si="399"/>
        <v>Decreasing</v>
      </c>
      <c r="AS1168" s="94">
        <f t="shared" si="400"/>
        <v>0.87174072781515588</v>
      </c>
      <c r="AT1168" s="94">
        <f t="shared" si="401"/>
        <v>0.81040876550588647</v>
      </c>
      <c r="AU1168" s="94">
        <f t="shared" si="403"/>
        <v>0.14966551503321221</v>
      </c>
      <c r="AV1168" s="94">
        <f t="shared" si="404"/>
        <v>0.74089359841809754</v>
      </c>
    </row>
    <row r="1169" spans="1:48" x14ac:dyDescent="0.3">
      <c r="A1169" s="85" t="str">
        <f>_xlfn.XLOOKUP(B1169,'Country codes &amp; Data sources'!G:G,'Country codes &amp; Data sources'!H:H,,0)</f>
        <v>Guinea-Bissau</v>
      </c>
      <c r="B1169" s="85" t="s">
        <v>174</v>
      </c>
      <c r="C1169" s="85">
        <v>1652725.5</v>
      </c>
      <c r="D1169" s="85" t="s">
        <v>334</v>
      </c>
      <c r="E1169" s="86">
        <v>0</v>
      </c>
      <c r="F1169" s="86">
        <v>1697752.4999999995</v>
      </c>
      <c r="G1169" s="86">
        <v>5</v>
      </c>
      <c r="H1169" s="86"/>
      <c r="I1169" s="86">
        <v>0</v>
      </c>
      <c r="J1169" s="86"/>
      <c r="K1169" s="86">
        <v>0</v>
      </c>
      <c r="L1169" s="86"/>
      <c r="M1169" s="86">
        <v>0</v>
      </c>
      <c r="N1169" s="86"/>
      <c r="O1169" s="86">
        <v>0</v>
      </c>
      <c r="P1169" s="86">
        <v>1924954.4999999988</v>
      </c>
      <c r="Q1169" s="86">
        <v>0</v>
      </c>
      <c r="R1169" s="87">
        <f t="shared" si="402"/>
        <v>1</v>
      </c>
      <c r="T1169" s="87">
        <v>0</v>
      </c>
      <c r="U1169" s="89"/>
      <c r="V1169" s="89">
        <v>167</v>
      </c>
      <c r="W1169" s="90"/>
      <c r="X1169" s="90">
        <v>0</v>
      </c>
      <c r="Y1169" s="90">
        <v>2105565.4999999991</v>
      </c>
      <c r="Z1169" s="90">
        <v>171</v>
      </c>
      <c r="AA1169" s="90">
        <v>1</v>
      </c>
      <c r="AB1169" s="89">
        <f t="shared" si="388"/>
        <v>5</v>
      </c>
      <c r="AC1169" s="89">
        <f t="shared" si="389"/>
        <v>0</v>
      </c>
      <c r="AD1169" s="89">
        <f t="shared" si="390"/>
        <v>171</v>
      </c>
      <c r="AE1169" s="90">
        <f t="shared" si="391"/>
        <v>5</v>
      </c>
      <c r="AF1169" s="90">
        <f t="shared" si="392"/>
        <v>2013</v>
      </c>
      <c r="AG1169" s="90">
        <f t="shared" si="393"/>
        <v>1</v>
      </c>
      <c r="AH1169" s="90" t="str">
        <f t="shared" si="394"/>
        <v>2018 (triag)</v>
      </c>
      <c r="AI1169" s="90">
        <f t="shared" si="395"/>
        <v>171</v>
      </c>
      <c r="AJ1169" s="90">
        <f t="shared" si="396"/>
        <v>2022</v>
      </c>
      <c r="AK1169" s="90" t="str">
        <f t="shared" si="397"/>
        <v/>
      </c>
      <c r="AL1169" s="91">
        <f>IF(AK1169="Adjust",(_xlfn.XLOOKUP(A1169,'Adj factor'!A:A,'Adj factor'!I:I,,0)*AI1169),'Master DataSheet (Rev)'!AI1169)</f>
        <v>171</v>
      </c>
      <c r="AM1169" s="91">
        <f t="shared" si="398"/>
        <v>171</v>
      </c>
      <c r="AN1169" s="92" t="str">
        <f t="shared" si="399"/>
        <v>Increasing</v>
      </c>
      <c r="AS1169" s="94">
        <f t="shared" si="400"/>
        <v>2.9450700264025537E-2</v>
      </c>
      <c r="AT1169" s="94">
        <f t="shared" si="401"/>
        <v>5.1949279840120925E-3</v>
      </c>
      <c r="AU1169" s="94">
        <f t="shared" si="403"/>
        <v>0.81213336749676068</v>
      </c>
      <c r="AV1169" s="94">
        <f t="shared" si="404"/>
        <v>0.81213336749676068</v>
      </c>
    </row>
    <row r="1170" spans="1:48" x14ac:dyDescent="0.3">
      <c r="A1170" s="85" t="str">
        <f>_xlfn.XLOOKUP(B1170,'Country codes &amp; Data sources'!G:G,'Country codes &amp; Data sources'!H:H,,0)</f>
        <v>Guinea-Bissau</v>
      </c>
      <c r="B1170" s="85" t="s">
        <v>174</v>
      </c>
      <c r="C1170" s="85">
        <v>1652726.5</v>
      </c>
      <c r="D1170" s="85" t="s">
        <v>335</v>
      </c>
      <c r="E1170" s="86">
        <v>0</v>
      </c>
      <c r="F1170" s="86">
        <v>1697752.4999999995</v>
      </c>
      <c r="G1170" s="86">
        <v>0</v>
      </c>
      <c r="H1170" s="86"/>
      <c r="I1170" s="86">
        <v>0</v>
      </c>
      <c r="J1170" s="86"/>
      <c r="K1170" s="86">
        <v>0</v>
      </c>
      <c r="L1170" s="86"/>
      <c r="M1170" s="86">
        <v>5</v>
      </c>
      <c r="N1170" s="86"/>
      <c r="O1170" s="86">
        <v>0</v>
      </c>
      <c r="P1170" s="86">
        <v>1924954.4999999988</v>
      </c>
      <c r="Q1170" s="86">
        <v>11</v>
      </c>
      <c r="R1170" s="87">
        <f t="shared" si="402"/>
        <v>13</v>
      </c>
      <c r="T1170" s="87">
        <v>0</v>
      </c>
      <c r="U1170" s="89"/>
      <c r="V1170" s="89">
        <v>13</v>
      </c>
      <c r="W1170" s="90"/>
      <c r="X1170" s="90">
        <v>2</v>
      </c>
      <c r="Y1170" s="90">
        <v>2105565.4999999991</v>
      </c>
      <c r="Z1170" s="90">
        <v>2</v>
      </c>
      <c r="AA1170" s="90">
        <v>13</v>
      </c>
      <c r="AB1170" s="89">
        <f t="shared" si="388"/>
        <v>0</v>
      </c>
      <c r="AC1170" s="89">
        <f t="shared" si="389"/>
        <v>11</v>
      </c>
      <c r="AD1170" s="89">
        <f t="shared" si="390"/>
        <v>13</v>
      </c>
      <c r="AF1170" s="90" t="str">
        <f t="shared" si="392"/>
        <v/>
      </c>
      <c r="AG1170" s="90">
        <f t="shared" si="393"/>
        <v>13</v>
      </c>
      <c r="AH1170" s="90" t="str">
        <f t="shared" si="394"/>
        <v>2018 (triag)</v>
      </c>
      <c r="AI1170" s="90">
        <f t="shared" si="395"/>
        <v>2</v>
      </c>
      <c r="AJ1170" s="90">
        <f t="shared" si="396"/>
        <v>2021</v>
      </c>
      <c r="AK1170" s="90" t="str">
        <f t="shared" si="397"/>
        <v>Adjust</v>
      </c>
      <c r="AL1170" s="91">
        <f>IF(AK1170="Adjust",(_xlfn.XLOOKUP(A1170,'Adj factor'!A:A,'Adj factor'!I:I,,0)*AI1170),'Master DataSheet (Rev)'!AI1170)</f>
        <v>2.4240811153358681</v>
      </c>
      <c r="AM1170" s="91">
        <f t="shared" si="398"/>
        <v>13</v>
      </c>
      <c r="AN1170" s="92" t="str">
        <f t="shared" si="399"/>
        <v>Decreasing</v>
      </c>
      <c r="AS1170" s="94">
        <f t="shared" si="400"/>
        <v>0</v>
      </c>
      <c r="AT1170" s="94">
        <f t="shared" si="401"/>
        <v>6.7534063792157206E-2</v>
      </c>
      <c r="AU1170" s="94">
        <f t="shared" si="403"/>
        <v>1.1512731925631708E-2</v>
      </c>
      <c r="AV1170" s="94">
        <f t="shared" si="404"/>
        <v>6.1741133201508126E-2</v>
      </c>
    </row>
    <row r="1171" spans="1:48" x14ac:dyDescent="0.3">
      <c r="A1171" s="85" t="str">
        <f>_xlfn.XLOOKUP(B1171,'Country codes &amp; Data sources'!G:G,'Country codes &amp; Data sources'!H:H,,0)</f>
        <v>Guinea-Bissau</v>
      </c>
      <c r="B1171" s="85" t="s">
        <v>174</v>
      </c>
      <c r="C1171" s="85">
        <v>1652727.5</v>
      </c>
      <c r="D1171" s="85" t="s">
        <v>336</v>
      </c>
      <c r="E1171" s="86">
        <v>0</v>
      </c>
      <c r="F1171" s="86">
        <v>1697752.4999999995</v>
      </c>
      <c r="G1171" s="86">
        <v>0</v>
      </c>
      <c r="H1171" s="86"/>
      <c r="I1171" s="86">
        <v>0</v>
      </c>
      <c r="J1171" s="86"/>
      <c r="K1171" s="86">
        <v>0</v>
      </c>
      <c r="L1171" s="86"/>
      <c r="M1171" s="86">
        <v>35</v>
      </c>
      <c r="N1171" s="86"/>
      <c r="O1171" s="86">
        <v>0</v>
      </c>
      <c r="P1171" s="86">
        <v>1924954.4999999988</v>
      </c>
      <c r="Q1171" s="86">
        <v>18</v>
      </c>
      <c r="R1171" s="87">
        <f t="shared" si="402"/>
        <v>69</v>
      </c>
      <c r="T1171" s="87">
        <v>0</v>
      </c>
      <c r="U1171" s="89"/>
      <c r="V1171" s="89">
        <v>73</v>
      </c>
      <c r="W1171" s="90"/>
      <c r="X1171" s="90">
        <v>76</v>
      </c>
      <c r="Y1171" s="90">
        <v>2105565.4999999991</v>
      </c>
      <c r="Z1171" s="90">
        <v>80</v>
      </c>
      <c r="AA1171" s="90">
        <v>69</v>
      </c>
      <c r="AB1171" s="89">
        <f t="shared" si="388"/>
        <v>0</v>
      </c>
      <c r="AC1171" s="89">
        <f t="shared" si="389"/>
        <v>35</v>
      </c>
      <c r="AD1171" s="89">
        <f t="shared" si="390"/>
        <v>80</v>
      </c>
      <c r="AF1171" s="90" t="str">
        <f t="shared" si="392"/>
        <v/>
      </c>
      <c r="AG1171" s="90">
        <f t="shared" si="393"/>
        <v>69</v>
      </c>
      <c r="AH1171" s="90" t="str">
        <f t="shared" si="394"/>
        <v>2018 (triag)</v>
      </c>
      <c r="AI1171" s="90">
        <f t="shared" si="395"/>
        <v>80</v>
      </c>
      <c r="AJ1171" s="90">
        <f t="shared" si="396"/>
        <v>2022</v>
      </c>
      <c r="AK1171" s="90" t="str">
        <f t="shared" si="397"/>
        <v/>
      </c>
      <c r="AL1171" s="91">
        <f>IF(AK1171="Adjust",(_xlfn.XLOOKUP(A1171,'Adj factor'!A:A,'Adj factor'!I:I,,0)*AI1171),'Master DataSheet (Rev)'!AI1171)</f>
        <v>80</v>
      </c>
      <c r="AM1171" s="91">
        <f t="shared" si="398"/>
        <v>80</v>
      </c>
      <c r="AN1171" s="92" t="str">
        <f t="shared" si="399"/>
        <v>Increasing</v>
      </c>
      <c r="AS1171" s="94">
        <f t="shared" si="400"/>
        <v>0</v>
      </c>
      <c r="AT1171" s="94">
        <f t="shared" si="401"/>
        <v>0.35845003089683442</v>
      </c>
      <c r="AU1171" s="94">
        <f t="shared" si="403"/>
        <v>0.37994543508620388</v>
      </c>
      <c r="AV1171" s="94">
        <f t="shared" si="404"/>
        <v>0.37994543508620388</v>
      </c>
    </row>
    <row r="1172" spans="1:48" x14ac:dyDescent="0.3">
      <c r="A1172" s="85" t="str">
        <f>_xlfn.XLOOKUP(B1172,'Country codes &amp; Data sources'!G:G,'Country codes &amp; Data sources'!H:H,,0)</f>
        <v>Guinea-Bissau</v>
      </c>
      <c r="B1172" s="85" t="s">
        <v>174</v>
      </c>
      <c r="C1172" s="85">
        <v>1652728.5</v>
      </c>
      <c r="D1172" s="85" t="s">
        <v>337</v>
      </c>
      <c r="E1172" s="86">
        <v>0</v>
      </c>
      <c r="F1172" s="86">
        <v>1697752.4999999995</v>
      </c>
      <c r="G1172" s="86">
        <v>0</v>
      </c>
      <c r="H1172" s="86"/>
      <c r="I1172" s="86">
        <v>0</v>
      </c>
      <c r="J1172" s="86"/>
      <c r="K1172" s="86">
        <v>0</v>
      </c>
      <c r="L1172" s="86"/>
      <c r="M1172" s="86">
        <v>7</v>
      </c>
      <c r="N1172" s="86"/>
      <c r="O1172" s="86">
        <v>0</v>
      </c>
      <c r="P1172" s="86">
        <v>1924954.4999999988</v>
      </c>
      <c r="Q1172" s="86">
        <v>0</v>
      </c>
      <c r="R1172" s="87">
        <f t="shared" si="402"/>
        <v>8</v>
      </c>
      <c r="T1172" s="87">
        <v>0</v>
      </c>
      <c r="U1172" s="89"/>
      <c r="V1172" s="89">
        <v>5</v>
      </c>
      <c r="W1172" s="90"/>
      <c r="X1172" s="90">
        <v>2</v>
      </c>
      <c r="Y1172" s="90">
        <v>2105565.4999999991</v>
      </c>
      <c r="Z1172" s="90">
        <v>20</v>
      </c>
      <c r="AA1172" s="90">
        <v>8</v>
      </c>
      <c r="AB1172" s="89">
        <f t="shared" si="388"/>
        <v>0</v>
      </c>
      <c r="AC1172" s="89">
        <f t="shared" si="389"/>
        <v>7</v>
      </c>
      <c r="AD1172" s="89">
        <f t="shared" si="390"/>
        <v>20</v>
      </c>
      <c r="AF1172" s="90" t="str">
        <f t="shared" si="392"/>
        <v/>
      </c>
      <c r="AG1172" s="90">
        <f t="shared" si="393"/>
        <v>8</v>
      </c>
      <c r="AH1172" s="90" t="str">
        <f t="shared" si="394"/>
        <v>2018 (triag)</v>
      </c>
      <c r="AI1172" s="90">
        <f t="shared" si="395"/>
        <v>20</v>
      </c>
      <c r="AJ1172" s="90">
        <f t="shared" si="396"/>
        <v>2022</v>
      </c>
      <c r="AK1172" s="90" t="str">
        <f t="shared" si="397"/>
        <v/>
      </c>
      <c r="AL1172" s="91">
        <f>IF(AK1172="Adjust",(_xlfn.XLOOKUP(A1172,'Adj factor'!A:A,'Adj factor'!I:I,,0)*AI1172),'Master DataSheet (Rev)'!AI1172)</f>
        <v>20</v>
      </c>
      <c r="AM1172" s="91">
        <f t="shared" si="398"/>
        <v>20</v>
      </c>
      <c r="AN1172" s="92" t="str">
        <f t="shared" si="399"/>
        <v>Increasing</v>
      </c>
      <c r="AS1172" s="94">
        <f t="shared" si="400"/>
        <v>0</v>
      </c>
      <c r="AT1172" s="94">
        <f t="shared" si="401"/>
        <v>4.155942387209674E-2</v>
      </c>
      <c r="AU1172" s="94">
        <f t="shared" si="403"/>
        <v>9.4986358771550969E-2</v>
      </c>
      <c r="AV1172" s="94">
        <f t="shared" si="404"/>
        <v>9.4986358771550969E-2</v>
      </c>
    </row>
    <row r="1173" spans="1:48" x14ac:dyDescent="0.3">
      <c r="A1173" s="85" t="str">
        <f>_xlfn.XLOOKUP(B1173,'Country codes &amp; Data sources'!G:G,'Country codes &amp; Data sources'!H:H,,0)</f>
        <v>Guinea-Bissau</v>
      </c>
      <c r="B1173" s="85" t="s">
        <v>174</v>
      </c>
      <c r="C1173" s="85">
        <v>1652729.5</v>
      </c>
      <c r="D1173" s="85" t="s">
        <v>338</v>
      </c>
      <c r="E1173" s="86">
        <v>0</v>
      </c>
      <c r="F1173" s="86">
        <v>1697752.4999999995</v>
      </c>
      <c r="G1173" s="86">
        <v>0</v>
      </c>
      <c r="H1173" s="86"/>
      <c r="I1173" s="86">
        <v>0</v>
      </c>
      <c r="J1173" s="86"/>
      <c r="K1173" s="86">
        <v>0</v>
      </c>
      <c r="L1173" s="86"/>
      <c r="M1173" s="86">
        <v>8</v>
      </c>
      <c r="N1173" s="86"/>
      <c r="O1173" s="86">
        <v>0</v>
      </c>
      <c r="P1173" s="86">
        <v>1924954.4999999988</v>
      </c>
      <c r="Q1173" s="86">
        <v>8</v>
      </c>
      <c r="R1173" s="87">
        <f t="shared" si="402"/>
        <v>8</v>
      </c>
      <c r="T1173" s="87">
        <v>0</v>
      </c>
      <c r="U1173" s="89"/>
      <c r="V1173" s="89">
        <v>0</v>
      </c>
      <c r="W1173" s="90"/>
      <c r="X1173" s="90">
        <v>21</v>
      </c>
      <c r="Y1173" s="90">
        <v>2105565.4999999991</v>
      </c>
      <c r="Z1173" s="90">
        <v>2</v>
      </c>
      <c r="AA1173" s="90">
        <v>8</v>
      </c>
      <c r="AB1173" s="89">
        <f t="shared" si="388"/>
        <v>0</v>
      </c>
      <c r="AC1173" s="89">
        <f t="shared" si="389"/>
        <v>8</v>
      </c>
      <c r="AD1173" s="89">
        <f t="shared" si="390"/>
        <v>21</v>
      </c>
      <c r="AF1173" s="90" t="str">
        <f t="shared" si="392"/>
        <v/>
      </c>
      <c r="AG1173" s="90">
        <f t="shared" si="393"/>
        <v>8</v>
      </c>
      <c r="AH1173" s="90">
        <f t="shared" si="394"/>
        <v>2016</v>
      </c>
      <c r="AI1173" s="90">
        <f t="shared" si="395"/>
        <v>2</v>
      </c>
      <c r="AJ1173" s="90">
        <f t="shared" si="396"/>
        <v>2022</v>
      </c>
      <c r="AK1173" s="90" t="str">
        <f t="shared" si="397"/>
        <v>Adjust</v>
      </c>
      <c r="AL1173" s="91">
        <f>IF(AK1173="Adjust",(_xlfn.XLOOKUP(A1173,'Adj factor'!A:A,'Adj factor'!I:I,,0)*AI1173),'Master DataSheet (Rev)'!AI1173)</f>
        <v>2.4240811153358681</v>
      </c>
      <c r="AM1173" s="91">
        <f t="shared" si="398"/>
        <v>8</v>
      </c>
      <c r="AN1173" s="92" t="str">
        <f t="shared" si="399"/>
        <v>Decreasing</v>
      </c>
      <c r="AS1173" s="94">
        <f t="shared" si="400"/>
        <v>0</v>
      </c>
      <c r="AT1173" s="94">
        <f t="shared" si="401"/>
        <v>4.155942387209674E-2</v>
      </c>
      <c r="AU1173" s="94">
        <f t="shared" si="403"/>
        <v>1.1512731925631708E-2</v>
      </c>
      <c r="AV1173" s="94">
        <f t="shared" si="404"/>
        <v>3.7994543508620388E-2</v>
      </c>
    </row>
    <row r="1174" spans="1:48" x14ac:dyDescent="0.3">
      <c r="A1174" s="85" t="str">
        <f>_xlfn.XLOOKUP(B1174,'Country codes &amp; Data sources'!G:G,'Country codes &amp; Data sources'!H:H,,0)</f>
        <v>Guinea-Bissau</v>
      </c>
      <c r="B1174" s="85" t="s">
        <v>174</v>
      </c>
      <c r="C1174" s="85">
        <v>1652730.5</v>
      </c>
      <c r="D1174" s="85" t="s">
        <v>339</v>
      </c>
      <c r="E1174" s="86">
        <v>0</v>
      </c>
      <c r="F1174" s="86">
        <v>1697752.4999999995</v>
      </c>
      <c r="G1174" s="86">
        <v>0</v>
      </c>
      <c r="H1174" s="86"/>
      <c r="I1174" s="86">
        <v>0</v>
      </c>
      <c r="J1174" s="86"/>
      <c r="K1174" s="86">
        <v>0</v>
      </c>
      <c r="L1174" s="86"/>
      <c r="M1174" s="86">
        <v>0</v>
      </c>
      <c r="N1174" s="86"/>
      <c r="O1174" s="86">
        <v>0</v>
      </c>
      <c r="P1174" s="86">
        <v>1924954.4999999988</v>
      </c>
      <c r="Q1174" s="86">
        <v>2</v>
      </c>
      <c r="R1174" s="87">
        <f t="shared" si="402"/>
        <v>2</v>
      </c>
      <c r="T1174" s="87">
        <v>0</v>
      </c>
      <c r="U1174" s="89"/>
      <c r="V1174" s="89">
        <v>11</v>
      </c>
      <c r="W1174" s="90"/>
      <c r="X1174" s="90">
        <v>12</v>
      </c>
      <c r="Y1174" s="90">
        <v>2105565.4999999991</v>
      </c>
      <c r="Z1174" s="90">
        <v>11</v>
      </c>
      <c r="AA1174" s="90">
        <v>0</v>
      </c>
      <c r="AB1174" s="89">
        <f t="shared" si="388"/>
        <v>0</v>
      </c>
      <c r="AC1174" s="89">
        <f t="shared" si="389"/>
        <v>2</v>
      </c>
      <c r="AD1174" s="89">
        <f t="shared" si="390"/>
        <v>12</v>
      </c>
      <c r="AF1174" s="90" t="str">
        <f t="shared" si="392"/>
        <v/>
      </c>
      <c r="AG1174" s="90">
        <f t="shared" si="393"/>
        <v>2</v>
      </c>
      <c r="AH1174" s="90">
        <f t="shared" si="394"/>
        <v>2018</v>
      </c>
      <c r="AI1174" s="90">
        <f t="shared" si="395"/>
        <v>11</v>
      </c>
      <c r="AJ1174" s="90">
        <f t="shared" si="396"/>
        <v>2020</v>
      </c>
      <c r="AK1174" s="90" t="str">
        <f t="shared" si="397"/>
        <v/>
      </c>
      <c r="AL1174" s="91">
        <f>IF(AK1174="Adjust",(_xlfn.XLOOKUP(A1174,'Adj factor'!A:A,'Adj factor'!I:I,,0)*AI1174),'Master DataSheet (Rev)'!AI1174)</f>
        <v>11</v>
      </c>
      <c r="AM1174" s="91">
        <f t="shared" si="398"/>
        <v>11</v>
      </c>
      <c r="AN1174" s="92" t="str">
        <f t="shared" si="399"/>
        <v>Increasing</v>
      </c>
      <c r="AS1174" s="94">
        <f t="shared" si="400"/>
        <v>0</v>
      </c>
      <c r="AT1174" s="94">
        <f t="shared" si="401"/>
        <v>1.0389855968024185E-2</v>
      </c>
      <c r="AU1174" s="94">
        <f t="shared" si="403"/>
        <v>5.2242497324353029E-2</v>
      </c>
      <c r="AV1174" s="94">
        <f t="shared" si="404"/>
        <v>5.2242497324353029E-2</v>
      </c>
    </row>
    <row r="1175" spans="1:48" x14ac:dyDescent="0.3">
      <c r="A1175" s="85" t="str">
        <f>_xlfn.XLOOKUP(B1175,'Country codes &amp; Data sources'!G:G,'Country codes &amp; Data sources'!H:H,,0)</f>
        <v>Equatorial Guinea</v>
      </c>
      <c r="B1175" s="85" t="s">
        <v>170</v>
      </c>
      <c r="C1175" s="85">
        <v>1193635.4999999998</v>
      </c>
      <c r="D1175" s="85" t="s">
        <v>326</v>
      </c>
      <c r="E1175" s="86">
        <v>0</v>
      </c>
      <c r="F1175" s="86">
        <v>1243941.0000000002</v>
      </c>
      <c r="G1175" s="86">
        <v>0</v>
      </c>
      <c r="H1175" s="86">
        <v>1295183.0000000005</v>
      </c>
      <c r="I1175" s="86">
        <v>0</v>
      </c>
      <c r="J1175" s="86">
        <v>1346973.0000000005</v>
      </c>
      <c r="K1175" s="86">
        <v>0</v>
      </c>
      <c r="L1175" s="86">
        <v>1398926.5</v>
      </c>
      <c r="M1175" s="86">
        <v>0</v>
      </c>
      <c r="N1175" s="86">
        <v>1450694.0000000005</v>
      </c>
      <c r="O1175" s="86">
        <v>507</v>
      </c>
      <c r="P1175" s="86">
        <v>1502091.5000000002</v>
      </c>
      <c r="Q1175" s="86">
        <v>0</v>
      </c>
      <c r="R1175" s="87">
        <f t="shared" si="402"/>
        <v>246</v>
      </c>
      <c r="S1175" s="87">
        <v>1553030.5000000002</v>
      </c>
      <c r="T1175" s="87">
        <v>0</v>
      </c>
      <c r="U1175" s="89">
        <v>1596048.5000000009</v>
      </c>
      <c r="V1175" s="89">
        <v>0</v>
      </c>
      <c r="W1175" s="90">
        <v>1634465.5000000002</v>
      </c>
      <c r="X1175" s="90">
        <v>0</v>
      </c>
      <c r="Y1175" s="90">
        <v>1674908</v>
      </c>
      <c r="Z1175" s="90">
        <v>239</v>
      </c>
      <c r="AA1175" s="90">
        <v>246</v>
      </c>
      <c r="AB1175" s="89">
        <f t="shared" si="388"/>
        <v>0</v>
      </c>
      <c r="AC1175" s="89">
        <f t="shared" si="389"/>
        <v>507</v>
      </c>
      <c r="AD1175" s="89">
        <f t="shared" si="390"/>
        <v>239</v>
      </c>
      <c r="AF1175" s="90" t="str">
        <f t="shared" si="392"/>
        <v/>
      </c>
      <c r="AG1175" s="90">
        <f t="shared" si="393"/>
        <v>246</v>
      </c>
      <c r="AH1175" s="90" t="str">
        <f t="shared" si="394"/>
        <v>2018 (triag)</v>
      </c>
      <c r="AI1175" s="90">
        <f t="shared" si="395"/>
        <v>239</v>
      </c>
      <c r="AJ1175" s="90">
        <f t="shared" si="396"/>
        <v>2022</v>
      </c>
      <c r="AK1175" s="90" t="str">
        <f t="shared" si="397"/>
        <v>Adjust</v>
      </c>
      <c r="AL1175" s="91">
        <f>IF(AK1175="Adjust",(_xlfn.XLOOKUP(A1175,'Adj factor'!A:A,'Adj factor'!I:I,,0)*AI1175),'Master DataSheet (Rev)'!AI1175)</f>
        <v>274.68237599257924</v>
      </c>
      <c r="AM1175" s="91">
        <f t="shared" si="398"/>
        <v>274.68237599257924</v>
      </c>
      <c r="AN1175" s="92" t="str">
        <f t="shared" si="399"/>
        <v>Increasing</v>
      </c>
      <c r="AS1175" s="94">
        <f t="shared" si="400"/>
        <v>0</v>
      </c>
      <c r="AT1175" s="94">
        <f t="shared" si="401"/>
        <v>1.637716477325116</v>
      </c>
      <c r="AU1175" s="94">
        <f t="shared" si="403"/>
        <v>1.6399848588255548</v>
      </c>
      <c r="AV1175" s="94">
        <f t="shared" si="404"/>
        <v>1.6399848588255548</v>
      </c>
    </row>
    <row r="1176" spans="1:48" x14ac:dyDescent="0.3">
      <c r="A1176" s="85" t="str">
        <f>_xlfn.XLOOKUP(B1176,'Country codes &amp; Data sources'!G:G,'Country codes &amp; Data sources'!H:H,,0)</f>
        <v>Equatorial Guinea</v>
      </c>
      <c r="B1176" s="85" t="s">
        <v>170</v>
      </c>
      <c r="C1176" s="85">
        <v>1193636.5</v>
      </c>
      <c r="D1176" s="85" t="s">
        <v>327</v>
      </c>
      <c r="E1176" s="86">
        <v>0</v>
      </c>
      <c r="F1176" s="86">
        <v>1243941.0000000002</v>
      </c>
      <c r="G1176" s="86">
        <v>0</v>
      </c>
      <c r="H1176" s="86"/>
      <c r="I1176" s="86">
        <v>0</v>
      </c>
      <c r="J1176" s="86"/>
      <c r="K1176" s="86">
        <v>0</v>
      </c>
      <c r="L1176" s="86"/>
      <c r="M1176" s="86">
        <v>0</v>
      </c>
      <c r="N1176" s="86"/>
      <c r="O1176" s="86">
        <v>0</v>
      </c>
      <c r="P1176" s="86">
        <v>1502091.5000000002</v>
      </c>
      <c r="Q1176" s="86">
        <v>0</v>
      </c>
      <c r="R1176" s="87">
        <f t="shared" si="402"/>
        <v>246</v>
      </c>
      <c r="T1176" s="87">
        <v>0</v>
      </c>
      <c r="U1176" s="89"/>
      <c r="V1176" s="89">
        <v>0</v>
      </c>
      <c r="W1176" s="90"/>
      <c r="X1176" s="90">
        <v>0</v>
      </c>
      <c r="Y1176" s="90">
        <v>1674908</v>
      </c>
      <c r="Z1176" s="90">
        <v>182</v>
      </c>
      <c r="AA1176" s="90">
        <v>246</v>
      </c>
      <c r="AB1176" s="89">
        <f t="shared" ref="AB1176:AB1239" si="405">MAX(G1176,E1176,I1176,K1176)</f>
        <v>0</v>
      </c>
      <c r="AC1176" s="89">
        <f t="shared" ref="AC1176:AC1239" si="406">MAX(M1176,O1176,Q1176,T1176)</f>
        <v>0</v>
      </c>
      <c r="AD1176" s="89">
        <f t="shared" ref="AD1176:AD1239" si="407">MAX(V1176,X1176,Z1176)</f>
        <v>182</v>
      </c>
      <c r="AF1176" s="90" t="str">
        <f t="shared" ref="AF1176:AF1239" si="408">IF(AE1176&gt;0,_xlfn.XLOOKUP(AE1176,$B1176:$K1176,$B$1:$K$1,,0),"")</f>
        <v/>
      </c>
      <c r="AG1176" s="90">
        <f t="shared" ref="AG1176:AG1238" si="409">IF(R1176&gt;0,R1176,IF(O1176&gt;0,O1176,T1176))</f>
        <v>246</v>
      </c>
      <c r="AH1176" s="90" t="str">
        <f t="shared" ref="AH1176:AH1239" si="410">IF(AG1176&gt;0,_xlfn.XLOOKUP(AG1176,$L1176:$T1176,$L$1:$T$1,,0),"")</f>
        <v>2018 (triag)</v>
      </c>
      <c r="AI1176" s="90">
        <f t="shared" ref="AI1176:AI1239" si="411">IF((IF(Z1176&gt;0,Z1176,IF(X1176&gt;0,X1176,IF(V1176&gt;0,V1176,T1176))))=0,AG1176,IF(Z1176&gt;0,Z1176,IF(X1176&gt;0,X1176,IF(V1176&gt;0,V1176,T1176))))</f>
        <v>182</v>
      </c>
      <c r="AJ1176" s="90">
        <f t="shared" ref="AJ1176:AJ1239" si="412">IFERROR(IF(AI1176&gt;0,_xlfn.XLOOKUP(AI1176,$V1176:$Z1176,$V$1:$Z$1,,0),""),AH1176)</f>
        <v>2022</v>
      </c>
      <c r="AK1176" s="90" t="str">
        <f t="shared" ref="AK1176:AK1239" si="413">IF(AI1176&lt;AG1176,"Adjust","")</f>
        <v>Adjust</v>
      </c>
      <c r="AL1176" s="91">
        <f>IF(AK1176="Adjust",(_xlfn.XLOOKUP(A1176,'Adj factor'!A:A,'Adj factor'!I:I,,0)*AI1176),'Master DataSheet (Rev)'!AI1176)</f>
        <v>209.17235326631555</v>
      </c>
      <c r="AM1176" s="91">
        <f t="shared" ref="AM1176:AM1239" si="414">IF(AL1176&lt;AG1176,AG1176,AL1176)</f>
        <v>246</v>
      </c>
      <c r="AN1176" s="92" t="str">
        <f t="shared" ref="AN1176:AN1239" si="415">IF(AL1176&gt;AG1176,"Increasing",IF(AL1176&lt;AG1176,"Decreasing","No change"))</f>
        <v>Decreasing</v>
      </c>
      <c r="AS1176" s="94">
        <f t="shared" ref="AS1176:AS1239" si="416">(AE1176*10000)/F1176</f>
        <v>0</v>
      </c>
      <c r="AT1176" s="94">
        <f t="shared" ref="AT1176:AT1239" si="417">(AG1176*10000)/P1176</f>
        <v>1.637716477325116</v>
      </c>
      <c r="AU1176" s="94">
        <f t="shared" si="403"/>
        <v>1.2488587627876608</v>
      </c>
      <c r="AV1176" s="94">
        <f t="shared" si="404"/>
        <v>1.4687373873669478</v>
      </c>
    </row>
    <row r="1177" spans="1:48" x14ac:dyDescent="0.3">
      <c r="A1177" s="85" t="str">
        <f>_xlfn.XLOOKUP(B1177,'Country codes &amp; Data sources'!G:G,'Country codes &amp; Data sources'!H:H,,0)</f>
        <v>Equatorial Guinea</v>
      </c>
      <c r="B1177" s="85" t="s">
        <v>170</v>
      </c>
      <c r="C1177" s="85">
        <v>1193637.5</v>
      </c>
      <c r="D1177" s="85" t="s">
        <v>328</v>
      </c>
      <c r="E1177" s="86">
        <v>0</v>
      </c>
      <c r="F1177" s="86">
        <v>1243941.0000000002</v>
      </c>
      <c r="G1177" s="86">
        <v>0</v>
      </c>
      <c r="H1177" s="86"/>
      <c r="I1177" s="86">
        <v>0</v>
      </c>
      <c r="J1177" s="86"/>
      <c r="K1177" s="86">
        <v>0</v>
      </c>
      <c r="L1177" s="86"/>
      <c r="M1177" s="86">
        <v>0</v>
      </c>
      <c r="N1177" s="86"/>
      <c r="O1177" s="86">
        <v>0</v>
      </c>
      <c r="P1177" s="86">
        <v>1502091.5000000002</v>
      </c>
      <c r="Q1177" s="86">
        <v>0</v>
      </c>
      <c r="R1177" s="87">
        <f t="shared" si="402"/>
        <v>0</v>
      </c>
      <c r="T1177" s="87">
        <v>0</v>
      </c>
      <c r="U1177" s="89"/>
      <c r="V1177" s="89">
        <v>0</v>
      </c>
      <c r="W1177" s="90"/>
      <c r="X1177" s="90">
        <v>0</v>
      </c>
      <c r="Y1177" s="90">
        <v>1674908</v>
      </c>
      <c r="Z1177" s="90">
        <v>57</v>
      </c>
      <c r="AA1177" s="90">
        <v>0</v>
      </c>
      <c r="AB1177" s="89">
        <f t="shared" si="405"/>
        <v>0</v>
      </c>
      <c r="AC1177" s="89">
        <f t="shared" si="406"/>
        <v>0</v>
      </c>
      <c r="AD1177" s="89">
        <f t="shared" si="407"/>
        <v>57</v>
      </c>
      <c r="AF1177" s="90" t="str">
        <f t="shared" si="408"/>
        <v/>
      </c>
      <c r="AH1177" s="90" t="str">
        <f t="shared" si="410"/>
        <v/>
      </c>
      <c r="AI1177" s="90">
        <f t="shared" si="411"/>
        <v>57</v>
      </c>
      <c r="AJ1177" s="90">
        <f t="shared" si="412"/>
        <v>2022</v>
      </c>
      <c r="AK1177" s="90" t="str">
        <f t="shared" si="413"/>
        <v/>
      </c>
      <c r="AL1177" s="91">
        <f>IF(AK1177="Adjust",(_xlfn.XLOOKUP(A1177,'Adj factor'!A:A,'Adj factor'!I:I,,0)*AI1177),'Master DataSheet (Rev)'!AI1177)</f>
        <v>57</v>
      </c>
      <c r="AM1177" s="91">
        <f t="shared" si="414"/>
        <v>57</v>
      </c>
      <c r="AN1177" s="92" t="str">
        <f t="shared" si="415"/>
        <v>Increasing</v>
      </c>
      <c r="AS1177" s="94">
        <f t="shared" si="416"/>
        <v>0</v>
      </c>
      <c r="AT1177" s="94">
        <f t="shared" si="417"/>
        <v>0</v>
      </c>
      <c r="AU1177" s="94">
        <f t="shared" si="403"/>
        <v>0.3403171995118538</v>
      </c>
      <c r="AV1177" s="94">
        <f t="shared" si="404"/>
        <v>0.3403171995118538</v>
      </c>
    </row>
    <row r="1178" spans="1:48" x14ac:dyDescent="0.3">
      <c r="A1178" s="85" t="str">
        <f>_xlfn.XLOOKUP(B1178,'Country codes &amp; Data sources'!G:G,'Country codes &amp; Data sources'!H:H,,0)</f>
        <v>Equatorial Guinea</v>
      </c>
      <c r="B1178" s="85" t="s">
        <v>170</v>
      </c>
      <c r="C1178" s="85">
        <v>1193638.5</v>
      </c>
      <c r="D1178" s="85" t="s">
        <v>329</v>
      </c>
      <c r="E1178" s="86">
        <v>0</v>
      </c>
      <c r="F1178" s="86">
        <v>1243941.0000000002</v>
      </c>
      <c r="G1178" s="86">
        <v>0</v>
      </c>
      <c r="H1178" s="86"/>
      <c r="I1178" s="86">
        <v>0</v>
      </c>
      <c r="J1178" s="86"/>
      <c r="K1178" s="86">
        <v>0</v>
      </c>
      <c r="L1178" s="86"/>
      <c r="M1178" s="86">
        <v>0</v>
      </c>
      <c r="N1178" s="86"/>
      <c r="O1178" s="86">
        <v>634</v>
      </c>
      <c r="P1178" s="86">
        <v>1502091.5000000002</v>
      </c>
      <c r="Q1178" s="86">
        <v>0</v>
      </c>
      <c r="R1178" s="87">
        <f t="shared" si="402"/>
        <v>355</v>
      </c>
      <c r="T1178" s="87">
        <v>0</v>
      </c>
      <c r="U1178" s="89"/>
      <c r="V1178" s="89">
        <v>0</v>
      </c>
      <c r="W1178" s="90"/>
      <c r="X1178" s="90">
        <v>0</v>
      </c>
      <c r="Y1178" s="90">
        <v>1674908</v>
      </c>
      <c r="Z1178" s="90">
        <v>1375</v>
      </c>
      <c r="AA1178" s="90">
        <v>355</v>
      </c>
      <c r="AB1178" s="89">
        <f t="shared" si="405"/>
        <v>0</v>
      </c>
      <c r="AC1178" s="89">
        <f t="shared" si="406"/>
        <v>634</v>
      </c>
      <c r="AD1178" s="89">
        <f t="shared" si="407"/>
        <v>1375</v>
      </c>
      <c r="AF1178" s="90" t="str">
        <f t="shared" si="408"/>
        <v/>
      </c>
      <c r="AG1178" s="90">
        <f t="shared" si="409"/>
        <v>355</v>
      </c>
      <c r="AH1178" s="90" t="str">
        <f t="shared" si="410"/>
        <v>2018 (triag)</v>
      </c>
      <c r="AI1178" s="90">
        <f t="shared" si="411"/>
        <v>1375</v>
      </c>
      <c r="AJ1178" s="90">
        <f t="shared" si="412"/>
        <v>2022</v>
      </c>
      <c r="AK1178" s="90" t="str">
        <f t="shared" si="413"/>
        <v/>
      </c>
      <c r="AL1178" s="91">
        <f>IF(AK1178="Adjust",(_xlfn.XLOOKUP(A1178,'Adj factor'!A:A,'Adj factor'!I:I,,0)*AI1178),'Master DataSheet (Rev)'!AI1178)</f>
        <v>1375</v>
      </c>
      <c r="AM1178" s="91">
        <f t="shared" si="414"/>
        <v>1375</v>
      </c>
      <c r="AN1178" s="92" t="str">
        <f t="shared" si="415"/>
        <v>Increasing</v>
      </c>
      <c r="AS1178" s="94">
        <f t="shared" si="416"/>
        <v>0</v>
      </c>
      <c r="AT1178" s="94">
        <f t="shared" si="417"/>
        <v>2.3633713392293343</v>
      </c>
      <c r="AU1178" s="94">
        <f t="shared" si="403"/>
        <v>8.2094061285754201</v>
      </c>
      <c r="AV1178" s="94">
        <f t="shared" si="404"/>
        <v>8.2094061285754201</v>
      </c>
    </row>
    <row r="1179" spans="1:48" x14ac:dyDescent="0.3">
      <c r="A1179" s="85" t="str">
        <f>_xlfn.XLOOKUP(B1179,'Country codes &amp; Data sources'!G:G,'Country codes &amp; Data sources'!H:H,,0)</f>
        <v>Equatorial Guinea</v>
      </c>
      <c r="B1179" s="85" t="s">
        <v>170</v>
      </c>
      <c r="C1179" s="85">
        <v>1193639.5</v>
      </c>
      <c r="D1179" s="85" t="s">
        <v>330</v>
      </c>
      <c r="E1179" s="86">
        <v>0</v>
      </c>
      <c r="F1179" s="86">
        <v>1243941.0000000002</v>
      </c>
      <c r="G1179" s="86">
        <v>0</v>
      </c>
      <c r="H1179" s="86"/>
      <c r="I1179" s="86">
        <v>0</v>
      </c>
      <c r="J1179" s="86"/>
      <c r="K1179" s="86">
        <v>0</v>
      </c>
      <c r="L1179" s="86"/>
      <c r="M1179" s="86">
        <v>0</v>
      </c>
      <c r="N1179" s="86"/>
      <c r="O1179" s="86">
        <v>0</v>
      </c>
      <c r="P1179" s="86">
        <v>1502091.5000000002</v>
      </c>
      <c r="Q1179" s="86">
        <v>0</v>
      </c>
      <c r="R1179" s="87">
        <f t="shared" si="402"/>
        <v>72</v>
      </c>
      <c r="T1179" s="87">
        <v>0</v>
      </c>
      <c r="U1179" s="89"/>
      <c r="V1179" s="89">
        <v>0</v>
      </c>
      <c r="W1179" s="90"/>
      <c r="X1179" s="90">
        <v>0</v>
      </c>
      <c r="Y1179" s="90">
        <v>1674908</v>
      </c>
      <c r="Z1179" s="90">
        <v>297</v>
      </c>
      <c r="AA1179" s="90">
        <v>72</v>
      </c>
      <c r="AB1179" s="89">
        <f t="shared" si="405"/>
        <v>0</v>
      </c>
      <c r="AC1179" s="89">
        <f t="shared" si="406"/>
        <v>0</v>
      </c>
      <c r="AD1179" s="89">
        <f t="shared" si="407"/>
        <v>297</v>
      </c>
      <c r="AF1179" s="90" t="str">
        <f t="shared" si="408"/>
        <v/>
      </c>
      <c r="AG1179" s="90">
        <f t="shared" si="409"/>
        <v>72</v>
      </c>
      <c r="AH1179" s="90" t="str">
        <f t="shared" si="410"/>
        <v>2018 (triag)</v>
      </c>
      <c r="AI1179" s="90">
        <f t="shared" si="411"/>
        <v>297</v>
      </c>
      <c r="AJ1179" s="90">
        <f t="shared" si="412"/>
        <v>2022</v>
      </c>
      <c r="AK1179" s="90" t="str">
        <f t="shared" si="413"/>
        <v/>
      </c>
      <c r="AL1179" s="91">
        <f>IF(AK1179="Adjust",(_xlfn.XLOOKUP(A1179,'Adj factor'!A:A,'Adj factor'!I:I,,0)*AI1179),'Master DataSheet (Rev)'!AI1179)</f>
        <v>297</v>
      </c>
      <c r="AM1179" s="91">
        <f t="shared" si="414"/>
        <v>297</v>
      </c>
      <c r="AN1179" s="92" t="str">
        <f t="shared" si="415"/>
        <v>Increasing</v>
      </c>
      <c r="AS1179" s="94">
        <f t="shared" si="416"/>
        <v>0</v>
      </c>
      <c r="AT1179" s="94">
        <f t="shared" si="417"/>
        <v>0.47933165190003396</v>
      </c>
      <c r="AU1179" s="94">
        <f t="shared" si="403"/>
        <v>1.7732317237722908</v>
      </c>
      <c r="AV1179" s="94">
        <f t="shared" si="404"/>
        <v>1.7732317237722908</v>
      </c>
    </row>
    <row r="1180" spans="1:48" x14ac:dyDescent="0.3">
      <c r="A1180" s="85" t="str">
        <f>_xlfn.XLOOKUP(B1180,'Country codes &amp; Data sources'!G:G,'Country codes &amp; Data sources'!H:H,,0)</f>
        <v>Equatorial Guinea</v>
      </c>
      <c r="B1180" s="85" t="s">
        <v>170</v>
      </c>
      <c r="C1180" s="85">
        <v>1193640.5</v>
      </c>
      <c r="D1180" s="85" t="s">
        <v>331</v>
      </c>
      <c r="E1180" s="86">
        <v>0</v>
      </c>
      <c r="F1180" s="86">
        <v>1243941.0000000002</v>
      </c>
      <c r="G1180" s="86">
        <v>0</v>
      </c>
      <c r="H1180" s="86"/>
      <c r="I1180" s="86">
        <v>0</v>
      </c>
      <c r="J1180" s="86"/>
      <c r="K1180" s="86">
        <v>0</v>
      </c>
      <c r="L1180" s="86"/>
      <c r="M1180" s="86">
        <v>0</v>
      </c>
      <c r="N1180" s="86"/>
      <c r="O1180" s="86">
        <v>0</v>
      </c>
      <c r="P1180" s="86">
        <v>1502091.5000000002</v>
      </c>
      <c r="Q1180" s="86">
        <v>0</v>
      </c>
      <c r="R1180" s="87">
        <f t="shared" si="402"/>
        <v>283</v>
      </c>
      <c r="T1180" s="87">
        <v>0</v>
      </c>
      <c r="U1180" s="89"/>
      <c r="V1180" s="89">
        <v>0</v>
      </c>
      <c r="W1180" s="90"/>
      <c r="X1180" s="90">
        <v>0</v>
      </c>
      <c r="Y1180" s="90">
        <v>1674908</v>
      </c>
      <c r="Z1180" s="90">
        <v>0</v>
      </c>
      <c r="AA1180" s="90">
        <v>283</v>
      </c>
      <c r="AB1180" s="89">
        <f t="shared" si="405"/>
        <v>0</v>
      </c>
      <c r="AC1180" s="89">
        <f t="shared" si="406"/>
        <v>0</v>
      </c>
      <c r="AD1180" s="89">
        <f t="shared" si="407"/>
        <v>0</v>
      </c>
      <c r="AF1180" s="90" t="str">
        <f t="shared" si="408"/>
        <v/>
      </c>
      <c r="AG1180" s="90">
        <f t="shared" si="409"/>
        <v>283</v>
      </c>
      <c r="AH1180" s="90" t="str">
        <f t="shared" si="410"/>
        <v>2018 (triag)</v>
      </c>
      <c r="AI1180" s="90">
        <f t="shared" si="411"/>
        <v>283</v>
      </c>
      <c r="AJ1180" s="90" t="str">
        <f t="shared" si="412"/>
        <v>2018 (triag)</v>
      </c>
      <c r="AK1180" s="90" t="str">
        <f t="shared" si="413"/>
        <v/>
      </c>
      <c r="AL1180" s="91">
        <f>IF(AK1180="Adjust",(_xlfn.XLOOKUP(A1180,'Adj factor'!A:A,'Adj factor'!I:I,,0)*AI1180),'Master DataSheet (Rev)'!AI1180)</f>
        <v>283</v>
      </c>
      <c r="AM1180" s="91">
        <f t="shared" si="414"/>
        <v>283</v>
      </c>
      <c r="AN1180" s="92" t="str">
        <f t="shared" si="415"/>
        <v>No change</v>
      </c>
      <c r="AS1180" s="94">
        <f t="shared" si="416"/>
        <v>0</v>
      </c>
      <c r="AT1180" s="94">
        <f t="shared" si="417"/>
        <v>1.8840396873293002</v>
      </c>
      <c r="AU1180" s="94">
        <f t="shared" si="403"/>
        <v>1.689645043190432</v>
      </c>
      <c r="AV1180" s="94">
        <f t="shared" si="404"/>
        <v>1.689645043190432</v>
      </c>
    </row>
    <row r="1181" spans="1:48" x14ac:dyDescent="0.3">
      <c r="A1181" s="85" t="str">
        <f>_xlfn.XLOOKUP(B1181,'Country codes &amp; Data sources'!G:G,'Country codes &amp; Data sources'!H:H,,0)</f>
        <v>Equatorial Guinea</v>
      </c>
      <c r="B1181" s="85" t="s">
        <v>170</v>
      </c>
      <c r="C1181" s="85">
        <v>1193641.5</v>
      </c>
      <c r="D1181" s="85" t="s">
        <v>332</v>
      </c>
      <c r="E1181" s="86">
        <v>0</v>
      </c>
      <c r="F1181" s="86">
        <v>1243941.0000000002</v>
      </c>
      <c r="G1181" s="86">
        <v>0</v>
      </c>
      <c r="H1181" s="86"/>
      <c r="I1181" s="86">
        <v>0</v>
      </c>
      <c r="J1181" s="86"/>
      <c r="K1181" s="86">
        <v>0</v>
      </c>
      <c r="L1181" s="86"/>
      <c r="M1181" s="86">
        <v>0</v>
      </c>
      <c r="N1181" s="86"/>
      <c r="O1181" s="86">
        <v>0</v>
      </c>
      <c r="P1181" s="86">
        <v>1502091.5000000002</v>
      </c>
      <c r="Q1181" s="86">
        <v>0</v>
      </c>
      <c r="R1181" s="87">
        <f t="shared" si="402"/>
        <v>51</v>
      </c>
      <c r="T1181" s="87">
        <v>0</v>
      </c>
      <c r="U1181" s="89"/>
      <c r="V1181" s="89">
        <v>0</v>
      </c>
      <c r="W1181" s="90"/>
      <c r="X1181" s="90">
        <v>0</v>
      </c>
      <c r="Y1181" s="90">
        <v>1674908</v>
      </c>
      <c r="Z1181" s="90">
        <v>23</v>
      </c>
      <c r="AA1181" s="90">
        <v>51</v>
      </c>
      <c r="AB1181" s="89">
        <f t="shared" si="405"/>
        <v>0</v>
      </c>
      <c r="AC1181" s="89">
        <f t="shared" si="406"/>
        <v>0</v>
      </c>
      <c r="AD1181" s="89">
        <f t="shared" si="407"/>
        <v>23</v>
      </c>
      <c r="AF1181" s="90" t="str">
        <f t="shared" si="408"/>
        <v/>
      </c>
      <c r="AG1181" s="90">
        <f t="shared" si="409"/>
        <v>51</v>
      </c>
      <c r="AH1181" s="90" t="str">
        <f t="shared" si="410"/>
        <v>2018 (triag)</v>
      </c>
      <c r="AI1181" s="90">
        <f t="shared" si="411"/>
        <v>23</v>
      </c>
      <c r="AJ1181" s="90">
        <f t="shared" si="412"/>
        <v>2022</v>
      </c>
      <c r="AK1181" s="90" t="str">
        <f t="shared" si="413"/>
        <v>Adjust</v>
      </c>
      <c r="AL1181" s="91">
        <f>IF(AK1181="Adjust",(_xlfn.XLOOKUP(A1181,'Adj factor'!A:A,'Adj factor'!I:I,,0)*AI1181),'Master DataSheet (Rev)'!AI1181)</f>
        <v>26.43386881936955</v>
      </c>
      <c r="AM1181" s="91">
        <f t="shared" si="414"/>
        <v>51</v>
      </c>
      <c r="AN1181" s="92" t="str">
        <f t="shared" si="415"/>
        <v>Decreasing</v>
      </c>
      <c r="AS1181" s="94">
        <f t="shared" si="416"/>
        <v>0</v>
      </c>
      <c r="AT1181" s="94">
        <f t="shared" si="417"/>
        <v>0.33952658676252406</v>
      </c>
      <c r="AU1181" s="94">
        <f t="shared" si="403"/>
        <v>0.15782281068195717</v>
      </c>
      <c r="AV1181" s="94">
        <f t="shared" si="404"/>
        <v>0.30449433640534285</v>
      </c>
    </row>
    <row r="1182" spans="1:48" x14ac:dyDescent="0.3">
      <c r="A1182" s="85" t="str">
        <f>_xlfn.XLOOKUP(B1182,'Country codes &amp; Data sources'!G:G,'Country codes &amp; Data sources'!H:H,,0)</f>
        <v>Equatorial Guinea</v>
      </c>
      <c r="B1182" s="85" t="s">
        <v>170</v>
      </c>
      <c r="C1182" s="85">
        <v>1193642.5</v>
      </c>
      <c r="D1182" s="85" t="s">
        <v>333</v>
      </c>
      <c r="E1182" s="86">
        <v>0</v>
      </c>
      <c r="F1182" s="86">
        <v>1243941.0000000002</v>
      </c>
      <c r="G1182" s="86">
        <v>0</v>
      </c>
      <c r="H1182" s="86"/>
      <c r="I1182" s="86">
        <v>0</v>
      </c>
      <c r="J1182" s="86"/>
      <c r="K1182" s="86">
        <v>0</v>
      </c>
      <c r="L1182" s="86"/>
      <c r="M1182" s="86">
        <v>0</v>
      </c>
      <c r="N1182" s="86"/>
      <c r="O1182" s="86">
        <v>0</v>
      </c>
      <c r="P1182" s="86">
        <v>1502091.5000000002</v>
      </c>
      <c r="Q1182" s="86">
        <v>0</v>
      </c>
      <c r="R1182" s="87">
        <f t="shared" si="402"/>
        <v>51</v>
      </c>
      <c r="T1182" s="87">
        <v>0</v>
      </c>
      <c r="U1182" s="89"/>
      <c r="V1182" s="89">
        <v>0</v>
      </c>
      <c r="W1182" s="90"/>
      <c r="X1182" s="90">
        <v>0</v>
      </c>
      <c r="Y1182" s="90">
        <v>1674908</v>
      </c>
      <c r="Z1182" s="90">
        <v>23</v>
      </c>
      <c r="AA1182" s="90">
        <v>51</v>
      </c>
      <c r="AB1182" s="89">
        <f t="shared" si="405"/>
        <v>0</v>
      </c>
      <c r="AC1182" s="89">
        <f t="shared" si="406"/>
        <v>0</v>
      </c>
      <c r="AD1182" s="89">
        <f t="shared" si="407"/>
        <v>23</v>
      </c>
      <c r="AF1182" s="90" t="str">
        <f t="shared" si="408"/>
        <v/>
      </c>
      <c r="AG1182" s="90">
        <f t="shared" si="409"/>
        <v>51</v>
      </c>
      <c r="AH1182" s="90" t="str">
        <f t="shared" si="410"/>
        <v>2018 (triag)</v>
      </c>
      <c r="AI1182" s="90">
        <f t="shared" si="411"/>
        <v>23</v>
      </c>
      <c r="AJ1182" s="90">
        <f t="shared" si="412"/>
        <v>2022</v>
      </c>
      <c r="AK1182" s="90" t="str">
        <f t="shared" si="413"/>
        <v>Adjust</v>
      </c>
      <c r="AL1182" s="91">
        <f>IF(AK1182="Adjust",(_xlfn.XLOOKUP(A1182,'Adj factor'!A:A,'Adj factor'!I:I,,0)*AI1182),'Master DataSheet (Rev)'!AI1182)</f>
        <v>26.43386881936955</v>
      </c>
      <c r="AM1182" s="91">
        <f t="shared" si="414"/>
        <v>51</v>
      </c>
      <c r="AN1182" s="92" t="str">
        <f t="shared" si="415"/>
        <v>Decreasing</v>
      </c>
      <c r="AS1182" s="94">
        <f t="shared" si="416"/>
        <v>0</v>
      </c>
      <c r="AT1182" s="94">
        <f t="shared" si="417"/>
        <v>0.33952658676252406</v>
      </c>
      <c r="AU1182" s="94">
        <f t="shared" si="403"/>
        <v>0.15782281068195717</v>
      </c>
      <c r="AV1182" s="94">
        <f t="shared" si="404"/>
        <v>0.30449433640534285</v>
      </c>
    </row>
    <row r="1183" spans="1:48" x14ac:dyDescent="0.3">
      <c r="A1183" s="85" t="str">
        <f>_xlfn.XLOOKUP(B1183,'Country codes &amp; Data sources'!G:G,'Country codes &amp; Data sources'!H:H,,0)</f>
        <v>Equatorial Guinea</v>
      </c>
      <c r="B1183" s="85" t="s">
        <v>170</v>
      </c>
      <c r="C1183" s="85">
        <v>1193643.5</v>
      </c>
      <c r="D1183" s="85" t="s">
        <v>334</v>
      </c>
      <c r="E1183" s="86">
        <v>0</v>
      </c>
      <c r="F1183" s="86">
        <v>1243941.0000000002</v>
      </c>
      <c r="G1183" s="86">
        <v>0</v>
      </c>
      <c r="H1183" s="86"/>
      <c r="I1183" s="86">
        <v>0</v>
      </c>
      <c r="J1183" s="86"/>
      <c r="K1183" s="86">
        <v>0</v>
      </c>
      <c r="L1183" s="86"/>
      <c r="M1183" s="86">
        <v>0</v>
      </c>
      <c r="N1183" s="86"/>
      <c r="O1183" s="86">
        <v>0</v>
      </c>
      <c r="P1183" s="86">
        <v>1502091.5000000002</v>
      </c>
      <c r="Q1183" s="86">
        <v>0</v>
      </c>
      <c r="R1183" s="87">
        <f t="shared" si="402"/>
        <v>0</v>
      </c>
      <c r="T1183" s="87">
        <v>0</v>
      </c>
      <c r="U1183" s="89"/>
      <c r="V1183" s="89">
        <v>0</v>
      </c>
      <c r="W1183" s="90"/>
      <c r="X1183" s="90">
        <v>0</v>
      </c>
      <c r="Y1183" s="90">
        <v>1674908</v>
      </c>
      <c r="Z1183" s="90">
        <v>0</v>
      </c>
      <c r="AA1183" s="90">
        <v>0</v>
      </c>
      <c r="AB1183" s="89">
        <f t="shared" si="405"/>
        <v>0</v>
      </c>
      <c r="AC1183" s="89">
        <f t="shared" si="406"/>
        <v>0</v>
      </c>
      <c r="AD1183" s="89">
        <f t="shared" si="407"/>
        <v>0</v>
      </c>
      <c r="AF1183" s="90" t="str">
        <f t="shared" si="408"/>
        <v/>
      </c>
      <c r="AH1183" s="90" t="str">
        <f t="shared" si="410"/>
        <v/>
      </c>
      <c r="AI1183" s="90">
        <f t="shared" si="411"/>
        <v>0</v>
      </c>
      <c r="AJ1183" s="90" t="str">
        <f t="shared" si="412"/>
        <v/>
      </c>
      <c r="AK1183" s="90" t="str">
        <f t="shared" si="413"/>
        <v/>
      </c>
      <c r="AL1183" s="91"/>
      <c r="AM1183" s="91">
        <f t="shared" si="414"/>
        <v>0</v>
      </c>
      <c r="AN1183" s="92" t="str">
        <f t="shared" si="415"/>
        <v>No change</v>
      </c>
      <c r="AS1183" s="94">
        <f t="shared" si="416"/>
        <v>0</v>
      </c>
      <c r="AT1183" s="94">
        <f t="shared" si="417"/>
        <v>0</v>
      </c>
      <c r="AU1183" s="94">
        <f t="shared" si="403"/>
        <v>0</v>
      </c>
      <c r="AV1183" s="94">
        <f t="shared" si="404"/>
        <v>0</v>
      </c>
    </row>
    <row r="1184" spans="1:48" x14ac:dyDescent="0.3">
      <c r="A1184" s="85" t="str">
        <f>_xlfn.XLOOKUP(B1184,'Country codes &amp; Data sources'!G:G,'Country codes &amp; Data sources'!H:H,,0)</f>
        <v>Equatorial Guinea</v>
      </c>
      <c r="B1184" s="85" t="s">
        <v>170</v>
      </c>
      <c r="C1184" s="85">
        <v>1193644.5</v>
      </c>
      <c r="D1184" s="85" t="s">
        <v>335</v>
      </c>
      <c r="E1184" s="86">
        <v>0</v>
      </c>
      <c r="F1184" s="86">
        <v>1243941.0000000002</v>
      </c>
      <c r="G1184" s="86">
        <v>0</v>
      </c>
      <c r="H1184" s="86"/>
      <c r="I1184" s="86">
        <v>0</v>
      </c>
      <c r="J1184" s="86"/>
      <c r="K1184" s="86">
        <v>0</v>
      </c>
      <c r="L1184" s="86"/>
      <c r="M1184" s="86">
        <v>0</v>
      </c>
      <c r="N1184" s="86"/>
      <c r="O1184" s="86">
        <v>0</v>
      </c>
      <c r="P1184" s="86">
        <v>1502091.5000000002</v>
      </c>
      <c r="Q1184" s="86">
        <v>10</v>
      </c>
      <c r="R1184" s="87">
        <f t="shared" si="402"/>
        <v>10</v>
      </c>
      <c r="T1184" s="87">
        <v>0</v>
      </c>
      <c r="U1184" s="89"/>
      <c r="V1184" s="89">
        <v>0</v>
      </c>
      <c r="W1184" s="90"/>
      <c r="X1184" s="90">
        <v>0</v>
      </c>
      <c r="Y1184" s="90">
        <v>1674908</v>
      </c>
      <c r="Z1184" s="90">
        <v>14</v>
      </c>
      <c r="AA1184" s="90">
        <v>10</v>
      </c>
      <c r="AB1184" s="89">
        <f t="shared" si="405"/>
        <v>0</v>
      </c>
      <c r="AC1184" s="89">
        <f t="shared" si="406"/>
        <v>10</v>
      </c>
      <c r="AD1184" s="89">
        <f t="shared" si="407"/>
        <v>14</v>
      </c>
      <c r="AF1184" s="90" t="str">
        <f t="shared" si="408"/>
        <v/>
      </c>
      <c r="AG1184" s="90">
        <f t="shared" si="409"/>
        <v>10</v>
      </c>
      <c r="AH1184" s="90">
        <f t="shared" si="410"/>
        <v>2018</v>
      </c>
      <c r="AI1184" s="90">
        <f t="shared" si="411"/>
        <v>14</v>
      </c>
      <c r="AJ1184" s="90">
        <f t="shared" si="412"/>
        <v>2022</v>
      </c>
      <c r="AK1184" s="90" t="str">
        <f t="shared" si="413"/>
        <v/>
      </c>
      <c r="AL1184" s="91">
        <f>IF(AK1184="Adjust",(_xlfn.XLOOKUP(A1184,'Adj factor'!A:A,'Adj factor'!I:I,,0)*AI1184),'Master DataSheet (Rev)'!AI1184)</f>
        <v>14</v>
      </c>
      <c r="AM1184" s="91">
        <f t="shared" si="414"/>
        <v>14</v>
      </c>
      <c r="AN1184" s="92" t="str">
        <f t="shared" si="415"/>
        <v>Increasing</v>
      </c>
      <c r="AS1184" s="94">
        <f t="shared" si="416"/>
        <v>0</v>
      </c>
      <c r="AT1184" s="94">
        <f t="shared" si="417"/>
        <v>6.6573840541671384E-2</v>
      </c>
      <c r="AU1184" s="94">
        <f t="shared" si="403"/>
        <v>8.3586680581858822E-2</v>
      </c>
      <c r="AV1184" s="94">
        <f t="shared" si="404"/>
        <v>8.3586680581858822E-2</v>
      </c>
    </row>
    <row r="1185" spans="1:48" x14ac:dyDescent="0.3">
      <c r="A1185" s="85" t="str">
        <f>_xlfn.XLOOKUP(B1185,'Country codes &amp; Data sources'!G:G,'Country codes &amp; Data sources'!H:H,,0)</f>
        <v>Equatorial Guinea</v>
      </c>
      <c r="B1185" s="85" t="s">
        <v>170</v>
      </c>
      <c r="C1185" s="85">
        <v>1193645.5</v>
      </c>
      <c r="D1185" s="85" t="s">
        <v>336</v>
      </c>
      <c r="E1185" s="86">
        <v>0</v>
      </c>
      <c r="F1185" s="86">
        <v>1243941.0000000002</v>
      </c>
      <c r="G1185" s="86">
        <v>0</v>
      </c>
      <c r="H1185" s="86"/>
      <c r="I1185" s="86">
        <v>0</v>
      </c>
      <c r="J1185" s="86"/>
      <c r="K1185" s="86">
        <v>0</v>
      </c>
      <c r="L1185" s="86"/>
      <c r="M1185" s="86">
        <v>0</v>
      </c>
      <c r="N1185" s="86"/>
      <c r="O1185" s="86">
        <v>0</v>
      </c>
      <c r="P1185" s="86">
        <v>1502091.5000000002</v>
      </c>
      <c r="Q1185" s="86">
        <v>0</v>
      </c>
      <c r="R1185" s="87">
        <f t="shared" si="402"/>
        <v>0</v>
      </c>
      <c r="T1185" s="87">
        <v>0</v>
      </c>
      <c r="U1185" s="89"/>
      <c r="V1185" s="89">
        <v>0</v>
      </c>
      <c r="W1185" s="90"/>
      <c r="X1185" s="90">
        <v>0</v>
      </c>
      <c r="Y1185" s="90">
        <v>1674908</v>
      </c>
      <c r="Z1185" s="90">
        <v>91</v>
      </c>
      <c r="AA1185" s="90">
        <v>0</v>
      </c>
      <c r="AB1185" s="89">
        <f t="shared" si="405"/>
        <v>0</v>
      </c>
      <c r="AC1185" s="89">
        <f t="shared" si="406"/>
        <v>0</v>
      </c>
      <c r="AD1185" s="89">
        <f t="shared" si="407"/>
        <v>91</v>
      </c>
      <c r="AF1185" s="90" t="str">
        <f t="shared" si="408"/>
        <v/>
      </c>
      <c r="AH1185" s="90" t="str">
        <f t="shared" si="410"/>
        <v/>
      </c>
      <c r="AI1185" s="90">
        <f t="shared" si="411"/>
        <v>91</v>
      </c>
      <c r="AJ1185" s="90">
        <f t="shared" si="412"/>
        <v>2022</v>
      </c>
      <c r="AK1185" s="90" t="str">
        <f t="shared" si="413"/>
        <v/>
      </c>
      <c r="AL1185" s="91">
        <f>IF(AK1185="Adjust",(_xlfn.XLOOKUP(A1185,'Adj factor'!A:A,'Adj factor'!I:I,,0)*AI1185),'Master DataSheet (Rev)'!AI1185)</f>
        <v>91</v>
      </c>
      <c r="AM1185" s="91">
        <f t="shared" si="414"/>
        <v>91</v>
      </c>
      <c r="AN1185" s="92" t="str">
        <f t="shared" si="415"/>
        <v>Increasing</v>
      </c>
      <c r="AS1185" s="94">
        <f t="shared" si="416"/>
        <v>0</v>
      </c>
      <c r="AT1185" s="94">
        <f t="shared" si="417"/>
        <v>0</v>
      </c>
      <c r="AU1185" s="94">
        <f t="shared" si="403"/>
        <v>0.54331342378208236</v>
      </c>
      <c r="AV1185" s="94">
        <f t="shared" si="404"/>
        <v>0.54331342378208236</v>
      </c>
    </row>
    <row r="1186" spans="1:48" x14ac:dyDescent="0.3">
      <c r="A1186" s="85" t="str">
        <f>_xlfn.XLOOKUP(B1186,'Country codes &amp; Data sources'!G:G,'Country codes &amp; Data sources'!H:H,,0)</f>
        <v>Equatorial Guinea</v>
      </c>
      <c r="B1186" s="85" t="s">
        <v>170</v>
      </c>
      <c r="C1186" s="85">
        <v>1193646.5</v>
      </c>
      <c r="D1186" s="85" t="s">
        <v>337</v>
      </c>
      <c r="E1186" s="86">
        <v>0</v>
      </c>
      <c r="F1186" s="86">
        <v>1243941.0000000002</v>
      </c>
      <c r="G1186" s="86">
        <v>0</v>
      </c>
      <c r="H1186" s="86"/>
      <c r="I1186" s="86">
        <v>0</v>
      </c>
      <c r="J1186" s="86"/>
      <c r="K1186" s="86">
        <v>0</v>
      </c>
      <c r="L1186" s="86"/>
      <c r="M1186" s="86">
        <v>0</v>
      </c>
      <c r="N1186" s="86"/>
      <c r="O1186" s="86">
        <v>0</v>
      </c>
      <c r="P1186" s="86">
        <v>1502091.5000000002</v>
      </c>
      <c r="Q1186" s="86">
        <v>0</v>
      </c>
      <c r="R1186" s="87">
        <f t="shared" si="402"/>
        <v>0</v>
      </c>
      <c r="T1186" s="87">
        <v>0</v>
      </c>
      <c r="U1186" s="89"/>
      <c r="V1186" s="89">
        <v>0</v>
      </c>
      <c r="W1186" s="90"/>
      <c r="X1186" s="90">
        <v>0</v>
      </c>
      <c r="Y1186" s="90">
        <v>1674908</v>
      </c>
      <c r="Z1186" s="90">
        <v>0</v>
      </c>
      <c r="AA1186" s="90">
        <v>0</v>
      </c>
      <c r="AB1186" s="89">
        <f t="shared" si="405"/>
        <v>0</v>
      </c>
      <c r="AC1186" s="89">
        <f t="shared" si="406"/>
        <v>0</v>
      </c>
      <c r="AD1186" s="89">
        <f t="shared" si="407"/>
        <v>0</v>
      </c>
      <c r="AF1186" s="90" t="str">
        <f t="shared" si="408"/>
        <v/>
      </c>
      <c r="AH1186" s="90" t="str">
        <f t="shared" si="410"/>
        <v/>
      </c>
      <c r="AI1186" s="90">
        <f t="shared" si="411"/>
        <v>0</v>
      </c>
      <c r="AJ1186" s="90" t="str">
        <f t="shared" si="412"/>
        <v/>
      </c>
      <c r="AK1186" s="90" t="str">
        <f t="shared" si="413"/>
        <v/>
      </c>
      <c r="AL1186" s="91"/>
      <c r="AM1186" s="91">
        <f t="shared" si="414"/>
        <v>0</v>
      </c>
      <c r="AN1186" s="92" t="str">
        <f t="shared" si="415"/>
        <v>No change</v>
      </c>
      <c r="AS1186" s="94">
        <f t="shared" si="416"/>
        <v>0</v>
      </c>
      <c r="AT1186" s="94">
        <f t="shared" si="417"/>
        <v>0</v>
      </c>
      <c r="AU1186" s="94">
        <f t="shared" si="403"/>
        <v>0</v>
      </c>
      <c r="AV1186" s="94">
        <f t="shared" si="404"/>
        <v>0</v>
      </c>
    </row>
    <row r="1187" spans="1:48" x14ac:dyDescent="0.3">
      <c r="A1187" s="85" t="str">
        <f>_xlfn.XLOOKUP(B1187,'Country codes &amp; Data sources'!G:G,'Country codes &amp; Data sources'!H:H,,0)</f>
        <v>Equatorial Guinea</v>
      </c>
      <c r="B1187" s="85" t="s">
        <v>170</v>
      </c>
      <c r="C1187" s="85">
        <v>1193647.5</v>
      </c>
      <c r="D1187" s="85" t="s">
        <v>338</v>
      </c>
      <c r="E1187" s="86">
        <v>0</v>
      </c>
      <c r="F1187" s="86">
        <v>1243941.0000000002</v>
      </c>
      <c r="G1187" s="86">
        <v>0</v>
      </c>
      <c r="H1187" s="86"/>
      <c r="I1187" s="86">
        <v>0</v>
      </c>
      <c r="J1187" s="86"/>
      <c r="K1187" s="86">
        <v>0</v>
      </c>
      <c r="L1187" s="86"/>
      <c r="M1187" s="86">
        <v>0</v>
      </c>
      <c r="N1187" s="86"/>
      <c r="O1187" s="86">
        <v>0</v>
      </c>
      <c r="P1187" s="86">
        <v>1502091.5000000002</v>
      </c>
      <c r="Q1187" s="86">
        <v>0</v>
      </c>
      <c r="R1187" s="87">
        <f t="shared" si="402"/>
        <v>0</v>
      </c>
      <c r="T1187" s="87">
        <v>0</v>
      </c>
      <c r="U1187" s="89"/>
      <c r="V1187" s="89">
        <v>0</v>
      </c>
      <c r="W1187" s="90"/>
      <c r="X1187" s="90">
        <v>0</v>
      </c>
      <c r="Y1187" s="90">
        <v>1674908</v>
      </c>
      <c r="Z1187" s="90">
        <v>0</v>
      </c>
      <c r="AA1187" s="90">
        <v>0</v>
      </c>
      <c r="AB1187" s="89">
        <f t="shared" si="405"/>
        <v>0</v>
      </c>
      <c r="AC1187" s="89">
        <f t="shared" si="406"/>
        <v>0</v>
      </c>
      <c r="AD1187" s="89">
        <f t="shared" si="407"/>
        <v>0</v>
      </c>
      <c r="AF1187" s="90" t="str">
        <f t="shared" si="408"/>
        <v/>
      </c>
      <c r="AH1187" s="90" t="str">
        <f t="shared" si="410"/>
        <v/>
      </c>
      <c r="AI1187" s="90">
        <f t="shared" si="411"/>
        <v>0</v>
      </c>
      <c r="AJ1187" s="90" t="str">
        <f t="shared" si="412"/>
        <v/>
      </c>
      <c r="AK1187" s="90" t="str">
        <f t="shared" si="413"/>
        <v/>
      </c>
      <c r="AL1187" s="91"/>
      <c r="AM1187" s="91">
        <f t="shared" si="414"/>
        <v>0</v>
      </c>
      <c r="AN1187" s="92" t="str">
        <f t="shared" si="415"/>
        <v>No change</v>
      </c>
      <c r="AS1187" s="94">
        <f t="shared" si="416"/>
        <v>0</v>
      </c>
      <c r="AT1187" s="94">
        <f t="shared" si="417"/>
        <v>0</v>
      </c>
      <c r="AU1187" s="94">
        <f t="shared" si="403"/>
        <v>0</v>
      </c>
      <c r="AV1187" s="94">
        <f t="shared" si="404"/>
        <v>0</v>
      </c>
    </row>
    <row r="1188" spans="1:48" x14ac:dyDescent="0.3">
      <c r="A1188" s="85" t="str">
        <f>_xlfn.XLOOKUP(B1188,'Country codes &amp; Data sources'!G:G,'Country codes &amp; Data sources'!H:H,,0)</f>
        <v>Equatorial Guinea</v>
      </c>
      <c r="B1188" s="85" t="s">
        <v>170</v>
      </c>
      <c r="C1188" s="85">
        <v>1193648.5</v>
      </c>
      <c r="D1188" s="85" t="s">
        <v>339</v>
      </c>
      <c r="E1188" s="86">
        <v>0</v>
      </c>
      <c r="F1188" s="86">
        <v>1243941.0000000002</v>
      </c>
      <c r="G1188" s="86">
        <v>0</v>
      </c>
      <c r="H1188" s="86"/>
      <c r="I1188" s="86">
        <v>0</v>
      </c>
      <c r="J1188" s="86"/>
      <c r="K1188" s="86">
        <v>0</v>
      </c>
      <c r="L1188" s="86"/>
      <c r="M1188" s="86">
        <v>0</v>
      </c>
      <c r="N1188" s="86"/>
      <c r="O1188" s="86">
        <v>0</v>
      </c>
      <c r="P1188" s="86">
        <v>1502091.5000000002</v>
      </c>
      <c r="Q1188" s="86">
        <v>0</v>
      </c>
      <c r="R1188" s="87">
        <f t="shared" si="402"/>
        <v>0</v>
      </c>
      <c r="T1188" s="87">
        <v>0</v>
      </c>
      <c r="U1188" s="89"/>
      <c r="V1188" s="89">
        <v>0</v>
      </c>
      <c r="W1188" s="90"/>
      <c r="X1188" s="90">
        <v>0</v>
      </c>
      <c r="Y1188" s="90">
        <v>1674908</v>
      </c>
      <c r="Z1188" s="90">
        <v>0</v>
      </c>
      <c r="AA1188" s="90">
        <v>0</v>
      </c>
      <c r="AB1188" s="89">
        <f t="shared" si="405"/>
        <v>0</v>
      </c>
      <c r="AC1188" s="89">
        <f t="shared" si="406"/>
        <v>0</v>
      </c>
      <c r="AD1188" s="89">
        <f t="shared" si="407"/>
        <v>0</v>
      </c>
      <c r="AF1188" s="90" t="str">
        <f t="shared" si="408"/>
        <v/>
      </c>
      <c r="AH1188" s="90" t="str">
        <f t="shared" si="410"/>
        <v/>
      </c>
      <c r="AI1188" s="90">
        <f t="shared" si="411"/>
        <v>0</v>
      </c>
      <c r="AJ1188" s="90" t="str">
        <f t="shared" si="412"/>
        <v/>
      </c>
      <c r="AK1188" s="90" t="str">
        <f t="shared" si="413"/>
        <v/>
      </c>
      <c r="AL1188" s="91"/>
      <c r="AM1188" s="91">
        <f t="shared" si="414"/>
        <v>0</v>
      </c>
      <c r="AN1188" s="92" t="str">
        <f t="shared" si="415"/>
        <v>No change</v>
      </c>
      <c r="AS1188" s="94">
        <f t="shared" si="416"/>
        <v>0</v>
      </c>
      <c r="AT1188" s="94">
        <f t="shared" si="417"/>
        <v>0</v>
      </c>
      <c r="AU1188" s="94">
        <f t="shared" si="403"/>
        <v>0</v>
      </c>
      <c r="AV1188" s="94">
        <f t="shared" si="404"/>
        <v>0</v>
      </c>
    </row>
    <row r="1189" spans="1:48" x14ac:dyDescent="0.3">
      <c r="A1189" s="85" t="str">
        <f>_xlfn.XLOOKUP(B1189,'Country codes &amp; Data sources'!G:G,'Country codes &amp; Data sources'!H:H,,0)</f>
        <v>Kenya</v>
      </c>
      <c r="B1189" s="85" t="s">
        <v>175</v>
      </c>
      <c r="C1189" s="85">
        <v>43725806.500000007</v>
      </c>
      <c r="D1189" s="85" t="s">
        <v>326</v>
      </c>
      <c r="E1189" s="86">
        <v>8092</v>
      </c>
      <c r="F1189" s="86">
        <v>44792368.000000007</v>
      </c>
      <c r="G1189" s="86">
        <v>8682</v>
      </c>
      <c r="H1189" s="86">
        <v>45831863.500000007</v>
      </c>
      <c r="I1189" s="86">
        <v>9149</v>
      </c>
      <c r="J1189" s="86">
        <v>46851488.499999993</v>
      </c>
      <c r="K1189" s="86">
        <v>0</v>
      </c>
      <c r="L1189" s="86">
        <v>47894670</v>
      </c>
      <c r="M1189" s="86">
        <v>0</v>
      </c>
      <c r="N1189" s="86">
        <v>48948137.000000037</v>
      </c>
      <c r="O1189" s="86">
        <v>0</v>
      </c>
      <c r="P1189" s="86">
        <v>49953303.999999993</v>
      </c>
      <c r="Q1189" s="86">
        <v>8042</v>
      </c>
      <c r="R1189" s="87">
        <f t="shared" si="402"/>
        <v>8042</v>
      </c>
      <c r="S1189" s="87">
        <v>50951450</v>
      </c>
      <c r="T1189" s="87">
        <v>0</v>
      </c>
      <c r="U1189" s="89">
        <v>51985779.999999993</v>
      </c>
      <c r="V1189" s="89">
        <v>0</v>
      </c>
      <c r="W1189" s="90">
        <v>53005614.000000022</v>
      </c>
      <c r="X1189" s="90">
        <v>5203</v>
      </c>
      <c r="Y1189" s="90">
        <v>54027486.999999985</v>
      </c>
      <c r="Z1189" s="115">
        <v>12792</v>
      </c>
      <c r="AA1189" s="90">
        <v>8042</v>
      </c>
      <c r="AB1189" s="89">
        <f t="shared" si="405"/>
        <v>9149</v>
      </c>
      <c r="AC1189" s="89">
        <f t="shared" si="406"/>
        <v>8042</v>
      </c>
      <c r="AD1189" s="89">
        <f t="shared" si="407"/>
        <v>12792</v>
      </c>
      <c r="AE1189" s="90">
        <f t="shared" ref="AE1189:AE1238" si="418">IF(G1189&gt;0,G1189,IF(E1189&gt;0,E1189,IF(I1189&gt;0,I1189,K1189)))</f>
        <v>8682</v>
      </c>
      <c r="AF1189" s="90">
        <f t="shared" si="408"/>
        <v>2013</v>
      </c>
      <c r="AG1189" s="90">
        <f t="shared" si="409"/>
        <v>8042</v>
      </c>
      <c r="AH1189" s="90">
        <f t="shared" si="410"/>
        <v>2018</v>
      </c>
      <c r="AI1189" s="90">
        <f t="shared" si="411"/>
        <v>12792</v>
      </c>
      <c r="AJ1189" s="90">
        <v>2022</v>
      </c>
      <c r="AK1189" s="90" t="str">
        <f t="shared" si="413"/>
        <v/>
      </c>
      <c r="AL1189" s="91">
        <f>IF(AK1189="Adjust",(_xlfn.XLOOKUP(A1189,'Adj factor'!A:A,'Adj factor'!I:I,,0)*AI1189),'Master DataSheet (Rev)'!AI1189)</f>
        <v>12792</v>
      </c>
      <c r="AM1189" s="91">
        <f t="shared" si="414"/>
        <v>12792</v>
      </c>
      <c r="AN1189" s="92" t="str">
        <f t="shared" si="415"/>
        <v>Increasing</v>
      </c>
      <c r="AS1189" s="94">
        <f t="shared" si="416"/>
        <v>1.9382766278398138</v>
      </c>
      <c r="AT1189" s="94">
        <f t="shared" si="417"/>
        <v>1.6099035210964225</v>
      </c>
      <c r="AU1189" s="94">
        <f t="shared" si="403"/>
        <v>2.3676836940426274</v>
      </c>
      <c r="AV1189" s="94">
        <f t="shared" si="404"/>
        <v>2.3676836940426274</v>
      </c>
    </row>
    <row r="1190" spans="1:48" x14ac:dyDescent="0.3">
      <c r="A1190" s="85" t="str">
        <f>_xlfn.XLOOKUP(B1190,'Country codes &amp; Data sources'!G:G,'Country codes &amp; Data sources'!H:H,,0)</f>
        <v>Kenya</v>
      </c>
      <c r="B1190" s="85" t="s">
        <v>175</v>
      </c>
      <c r="C1190" s="85">
        <v>43725807.5</v>
      </c>
      <c r="D1190" s="85" t="s">
        <v>327</v>
      </c>
      <c r="E1190" s="86">
        <v>0</v>
      </c>
      <c r="F1190" s="86">
        <v>44792368.000000007</v>
      </c>
      <c r="G1190" s="86">
        <v>0</v>
      </c>
      <c r="H1190" s="86"/>
      <c r="I1190" s="86">
        <v>0</v>
      </c>
      <c r="J1190" s="86"/>
      <c r="K1190" s="86">
        <v>0</v>
      </c>
      <c r="L1190" s="86"/>
      <c r="M1190" s="86">
        <v>0</v>
      </c>
      <c r="N1190" s="86"/>
      <c r="O1190" s="86">
        <v>0</v>
      </c>
      <c r="P1190" s="86">
        <v>49953303.999999993</v>
      </c>
      <c r="Q1190" s="86">
        <v>5602</v>
      </c>
      <c r="R1190" s="87">
        <f t="shared" si="402"/>
        <v>5602</v>
      </c>
      <c r="T1190" s="87">
        <v>0</v>
      </c>
      <c r="U1190" s="89"/>
      <c r="V1190" s="89">
        <v>0</v>
      </c>
      <c r="W1190" s="90"/>
      <c r="X1190" s="90">
        <v>3252</v>
      </c>
      <c r="Y1190" s="90">
        <v>54027486.999999985</v>
      </c>
      <c r="Z1190" s="90">
        <v>3544</v>
      </c>
      <c r="AA1190" s="90">
        <v>5602</v>
      </c>
      <c r="AB1190" s="89">
        <f t="shared" si="405"/>
        <v>0</v>
      </c>
      <c r="AC1190" s="89">
        <f t="shared" si="406"/>
        <v>5602</v>
      </c>
      <c r="AD1190" s="89">
        <f t="shared" si="407"/>
        <v>3544</v>
      </c>
      <c r="AF1190" s="90" t="str">
        <f t="shared" si="408"/>
        <v/>
      </c>
      <c r="AG1190" s="90">
        <f t="shared" si="409"/>
        <v>5602</v>
      </c>
      <c r="AH1190" s="90">
        <f t="shared" si="410"/>
        <v>2018</v>
      </c>
      <c r="AI1190" s="90">
        <f t="shared" si="411"/>
        <v>3544</v>
      </c>
      <c r="AJ1190" s="90">
        <f t="shared" si="412"/>
        <v>2022</v>
      </c>
      <c r="AK1190" s="90" t="str">
        <f t="shared" si="413"/>
        <v>Adjust</v>
      </c>
      <c r="AL1190" s="91">
        <f>IF(AK1190="Adjust",(_xlfn.XLOOKUP(A1190,'Adj factor'!A:A,'Adj factor'!I:I,,0)*AI1190),'Master DataSheet (Rev)'!AI1190)</f>
        <v>4073.1143954715512</v>
      </c>
      <c r="AM1190" s="91">
        <f t="shared" si="414"/>
        <v>5602</v>
      </c>
      <c r="AN1190" s="92" t="str">
        <f t="shared" si="415"/>
        <v>Decreasing</v>
      </c>
      <c r="AS1190" s="94">
        <f t="shared" si="416"/>
        <v>0</v>
      </c>
      <c r="AT1190" s="94">
        <f t="shared" si="417"/>
        <v>1.1214473421017359</v>
      </c>
      <c r="AU1190" s="94">
        <f t="shared" si="403"/>
        <v>0.75389669622641386</v>
      </c>
      <c r="AV1190" s="94">
        <f t="shared" si="404"/>
        <v>1.0368796164811445</v>
      </c>
    </row>
    <row r="1191" spans="1:48" x14ac:dyDescent="0.3">
      <c r="A1191" s="85" t="str">
        <f>_xlfn.XLOOKUP(B1191,'Country codes &amp; Data sources'!G:G,'Country codes &amp; Data sources'!H:H,,0)</f>
        <v>Kenya</v>
      </c>
      <c r="B1191" s="85" t="s">
        <v>175</v>
      </c>
      <c r="C1191" s="85">
        <v>43725808.5</v>
      </c>
      <c r="D1191" s="85" t="s">
        <v>328</v>
      </c>
      <c r="E1191" s="86">
        <v>0</v>
      </c>
      <c r="F1191" s="86">
        <v>44792368.000000007</v>
      </c>
      <c r="G1191" s="86">
        <v>0</v>
      </c>
      <c r="H1191" s="86"/>
      <c r="I1191" s="86">
        <v>0</v>
      </c>
      <c r="J1191" s="86"/>
      <c r="K1191" s="86">
        <v>0</v>
      </c>
      <c r="L1191" s="86"/>
      <c r="M1191" s="86">
        <v>0</v>
      </c>
      <c r="N1191" s="86"/>
      <c r="O1191" s="86">
        <v>0</v>
      </c>
      <c r="P1191" s="86">
        <v>49953303.999999993</v>
      </c>
      <c r="Q1191" s="86">
        <v>2440</v>
      </c>
      <c r="R1191" s="87">
        <f t="shared" si="402"/>
        <v>2440</v>
      </c>
      <c r="T1191" s="87">
        <v>0</v>
      </c>
      <c r="U1191" s="89"/>
      <c r="V1191" s="89">
        <v>0</v>
      </c>
      <c r="W1191" s="90"/>
      <c r="X1191" s="90">
        <v>1951</v>
      </c>
      <c r="Y1191" s="90">
        <v>54027486.999999985</v>
      </c>
      <c r="Z1191" s="90">
        <v>1973</v>
      </c>
      <c r="AA1191" s="90">
        <v>2440</v>
      </c>
      <c r="AB1191" s="89">
        <f t="shared" si="405"/>
        <v>0</v>
      </c>
      <c r="AC1191" s="89">
        <f t="shared" si="406"/>
        <v>2440</v>
      </c>
      <c r="AD1191" s="89">
        <f t="shared" si="407"/>
        <v>1973</v>
      </c>
      <c r="AF1191" s="90" t="str">
        <f t="shared" si="408"/>
        <v/>
      </c>
      <c r="AG1191" s="90">
        <f t="shared" si="409"/>
        <v>2440</v>
      </c>
      <c r="AH1191" s="90">
        <f t="shared" si="410"/>
        <v>2018</v>
      </c>
      <c r="AI1191" s="90">
        <f t="shared" si="411"/>
        <v>1973</v>
      </c>
      <c r="AJ1191" s="90">
        <f t="shared" si="412"/>
        <v>2022</v>
      </c>
      <c r="AK1191" s="90" t="str">
        <f t="shared" si="413"/>
        <v>Adjust</v>
      </c>
      <c r="AL1191" s="91">
        <f>IF(AK1191="Adjust",(_xlfn.XLOOKUP(A1191,'Adj factor'!A:A,'Adj factor'!I:I,,0)*AI1191),'Master DataSheet (Rev)'!AI1191)</f>
        <v>2267.5662252441793</v>
      </c>
      <c r="AM1191" s="91">
        <f t="shared" si="414"/>
        <v>2440</v>
      </c>
      <c r="AN1191" s="92" t="str">
        <f t="shared" si="415"/>
        <v>Decreasing</v>
      </c>
      <c r="AS1191" s="94">
        <f t="shared" si="416"/>
        <v>0</v>
      </c>
      <c r="AT1191" s="94">
        <f t="shared" si="417"/>
        <v>0.4884561789946868</v>
      </c>
      <c r="AU1191" s="94">
        <f t="shared" si="403"/>
        <v>0.41970603319828292</v>
      </c>
      <c r="AV1191" s="94">
        <f t="shared" si="404"/>
        <v>0.45162196790681763</v>
      </c>
    </row>
    <row r="1192" spans="1:48" x14ac:dyDescent="0.3">
      <c r="A1192" s="85" t="str">
        <f>_xlfn.XLOOKUP(B1192,'Country codes &amp; Data sources'!G:G,'Country codes &amp; Data sources'!H:H,,0)</f>
        <v>Kenya</v>
      </c>
      <c r="B1192" s="85" t="s">
        <v>175</v>
      </c>
      <c r="C1192" s="85">
        <v>43725809.5</v>
      </c>
      <c r="D1192" s="85" t="s">
        <v>329</v>
      </c>
      <c r="E1192" s="86">
        <v>61769</v>
      </c>
      <c r="F1192" s="86">
        <v>44792368.000000007</v>
      </c>
      <c r="G1192" s="86">
        <v>40292</v>
      </c>
      <c r="H1192" s="86"/>
      <c r="I1192" s="86">
        <v>43311</v>
      </c>
      <c r="J1192" s="86"/>
      <c r="K1192" s="86">
        <v>41413</v>
      </c>
      <c r="L1192" s="86"/>
      <c r="M1192" s="86">
        <v>48737</v>
      </c>
      <c r="N1192" s="86"/>
      <c r="O1192" s="86">
        <v>53168</v>
      </c>
      <c r="P1192" s="86">
        <v>49953303.999999993</v>
      </c>
      <c r="Q1192" s="86">
        <v>59901</v>
      </c>
      <c r="R1192" s="87">
        <f t="shared" si="402"/>
        <v>59901</v>
      </c>
      <c r="T1192" s="87">
        <v>0</v>
      </c>
      <c r="U1192" s="89"/>
      <c r="V1192" s="89">
        <v>0</v>
      </c>
      <c r="W1192" s="90"/>
      <c r="X1192" s="90">
        <v>34588</v>
      </c>
      <c r="Y1192" s="90">
        <v>54027486.999999985</v>
      </c>
      <c r="Z1192" s="115">
        <v>109659</v>
      </c>
      <c r="AA1192" s="90">
        <v>59901</v>
      </c>
      <c r="AB1192" s="89">
        <f t="shared" si="405"/>
        <v>61769</v>
      </c>
      <c r="AC1192" s="89">
        <f t="shared" si="406"/>
        <v>59901</v>
      </c>
      <c r="AD1192" s="89">
        <f t="shared" si="407"/>
        <v>109659</v>
      </c>
      <c r="AE1192" s="90">
        <f t="shared" si="418"/>
        <v>40292</v>
      </c>
      <c r="AF1192" s="90">
        <f t="shared" si="408"/>
        <v>2013</v>
      </c>
      <c r="AG1192" s="90">
        <f t="shared" si="409"/>
        <v>59901</v>
      </c>
      <c r="AH1192" s="90">
        <f t="shared" si="410"/>
        <v>2018</v>
      </c>
      <c r="AI1192" s="90">
        <f t="shared" si="411"/>
        <v>109659</v>
      </c>
      <c r="AJ1192" s="90">
        <f t="shared" si="412"/>
        <v>2022</v>
      </c>
      <c r="AK1192" s="90" t="str">
        <f t="shared" si="413"/>
        <v/>
      </c>
      <c r="AL1192" s="91">
        <f>IF(AK1192="Adjust",(_xlfn.XLOOKUP(A1192,'Adj factor'!A:A,'Adj factor'!I:I,,0)*AI1192),'Master DataSheet (Rev)'!AI1192)</f>
        <v>109659</v>
      </c>
      <c r="AM1192" s="91">
        <f t="shared" si="414"/>
        <v>109659</v>
      </c>
      <c r="AN1192" s="92" t="str">
        <f t="shared" si="415"/>
        <v>Increasing</v>
      </c>
      <c r="AS1192" s="94">
        <f t="shared" si="416"/>
        <v>8.9952824106106632</v>
      </c>
      <c r="AT1192" s="94">
        <f t="shared" si="417"/>
        <v>11.991399007360956</v>
      </c>
      <c r="AU1192" s="94">
        <f t="shared" si="403"/>
        <v>20.296890728972834</v>
      </c>
      <c r="AV1192" s="94">
        <f t="shared" si="404"/>
        <v>20.296890728972834</v>
      </c>
    </row>
    <row r="1193" spans="1:48" x14ac:dyDescent="0.3">
      <c r="A1193" s="85" t="str">
        <f>_xlfn.XLOOKUP(B1193,'Country codes &amp; Data sources'!G:G,'Country codes &amp; Data sources'!H:H,,0)</f>
        <v>Kenya</v>
      </c>
      <c r="B1193" s="85" t="s">
        <v>175</v>
      </c>
      <c r="C1193" s="85">
        <v>43725810.5</v>
      </c>
      <c r="D1193" s="85" t="s">
        <v>330</v>
      </c>
      <c r="E1193" s="86">
        <v>0</v>
      </c>
      <c r="F1193" s="86">
        <v>44792368.000000007</v>
      </c>
      <c r="G1193" s="86">
        <v>28300</v>
      </c>
      <c r="H1193" s="86"/>
      <c r="I1193" s="86">
        <v>31167</v>
      </c>
      <c r="J1193" s="86"/>
      <c r="K1193" s="86">
        <v>32514</v>
      </c>
      <c r="L1193" s="86"/>
      <c r="M1193" s="86">
        <v>38300</v>
      </c>
      <c r="N1193" s="86"/>
      <c r="O1193" s="86">
        <v>41583</v>
      </c>
      <c r="P1193" s="86">
        <v>49953303.999999993</v>
      </c>
      <c r="Q1193" s="86">
        <v>46703</v>
      </c>
      <c r="R1193" s="87">
        <f t="shared" si="402"/>
        <v>46703</v>
      </c>
      <c r="T1193" s="87">
        <v>0</v>
      </c>
      <c r="U1193" s="89"/>
      <c r="V1193" s="89">
        <v>0</v>
      </c>
      <c r="W1193" s="90"/>
      <c r="X1193" s="90">
        <v>34588</v>
      </c>
      <c r="Y1193" s="90">
        <v>54027486.999999985</v>
      </c>
      <c r="Z1193" s="90">
        <v>34634</v>
      </c>
      <c r="AA1193" s="90">
        <v>46703</v>
      </c>
      <c r="AB1193" s="89">
        <f t="shared" si="405"/>
        <v>32514</v>
      </c>
      <c r="AC1193" s="89">
        <f t="shared" si="406"/>
        <v>46703</v>
      </c>
      <c r="AD1193" s="89">
        <f t="shared" si="407"/>
        <v>34634</v>
      </c>
      <c r="AE1193" s="90">
        <f t="shared" si="418"/>
        <v>28300</v>
      </c>
      <c r="AF1193" s="90">
        <f t="shared" si="408"/>
        <v>2013</v>
      </c>
      <c r="AG1193" s="90">
        <f t="shared" si="409"/>
        <v>46703</v>
      </c>
      <c r="AH1193" s="90">
        <f t="shared" si="410"/>
        <v>2018</v>
      </c>
      <c r="AI1193" s="90">
        <f t="shared" si="411"/>
        <v>34634</v>
      </c>
      <c r="AJ1193" s="90">
        <f t="shared" si="412"/>
        <v>2022</v>
      </c>
      <c r="AK1193" s="90" t="str">
        <f t="shared" si="413"/>
        <v>Adjust</v>
      </c>
      <c r="AL1193" s="91">
        <f>IF(AK1193="Adjust",(_xlfn.XLOOKUP(A1193,'Adj factor'!A:A,'Adj factor'!I:I,,0)*AI1193),'Master DataSheet (Rev)'!AI1193)</f>
        <v>39804.809247393256</v>
      </c>
      <c r="AM1193" s="91">
        <f t="shared" si="414"/>
        <v>46703</v>
      </c>
      <c r="AN1193" s="92" t="str">
        <f t="shared" si="415"/>
        <v>Decreasing</v>
      </c>
      <c r="AS1193" s="94">
        <f t="shared" si="416"/>
        <v>6.3180406090608994</v>
      </c>
      <c r="AT1193" s="94">
        <f t="shared" si="417"/>
        <v>9.3493315277003521</v>
      </c>
      <c r="AU1193" s="94">
        <f t="shared" si="403"/>
        <v>7.3675107723209976</v>
      </c>
      <c r="AV1193" s="94">
        <f t="shared" si="404"/>
        <v>8.644303593095124</v>
      </c>
    </row>
    <row r="1194" spans="1:48" x14ac:dyDescent="0.3">
      <c r="A1194" s="85" t="str">
        <f>_xlfn.XLOOKUP(B1194,'Country codes &amp; Data sources'!G:G,'Country codes &amp; Data sources'!H:H,,0)</f>
        <v>Kenya</v>
      </c>
      <c r="B1194" s="85" t="s">
        <v>175</v>
      </c>
      <c r="C1194" s="85">
        <v>43725811.5</v>
      </c>
      <c r="D1194" s="85" t="s">
        <v>331</v>
      </c>
      <c r="E1194" s="86">
        <v>0</v>
      </c>
      <c r="F1194" s="86">
        <v>44792368.000000007</v>
      </c>
      <c r="G1194" s="86">
        <v>11992</v>
      </c>
      <c r="H1194" s="86"/>
      <c r="I1194" s="86">
        <v>12144</v>
      </c>
      <c r="J1194" s="86"/>
      <c r="K1194" s="86">
        <v>8899</v>
      </c>
      <c r="L1194" s="86"/>
      <c r="M1194" s="86">
        <v>10437</v>
      </c>
      <c r="N1194" s="86"/>
      <c r="O1194" s="86">
        <v>11585</v>
      </c>
      <c r="P1194" s="86">
        <v>49953303.999999993</v>
      </c>
      <c r="Q1194" s="86">
        <v>13198</v>
      </c>
      <c r="R1194" s="87">
        <f t="shared" si="402"/>
        <v>13198</v>
      </c>
      <c r="T1194" s="87">
        <v>0</v>
      </c>
      <c r="U1194" s="89"/>
      <c r="V1194" s="89">
        <v>0</v>
      </c>
      <c r="W1194" s="90"/>
      <c r="X1194" s="90">
        <v>0</v>
      </c>
      <c r="Y1194" s="90">
        <v>54027486.999999985</v>
      </c>
      <c r="Z1194" s="90">
        <v>0</v>
      </c>
      <c r="AA1194" s="90">
        <v>13198</v>
      </c>
      <c r="AB1194" s="89">
        <f t="shared" si="405"/>
        <v>12144</v>
      </c>
      <c r="AC1194" s="89">
        <f t="shared" si="406"/>
        <v>13198</v>
      </c>
      <c r="AD1194" s="89">
        <f t="shared" si="407"/>
        <v>0</v>
      </c>
      <c r="AE1194" s="90">
        <f t="shared" si="418"/>
        <v>11992</v>
      </c>
      <c r="AF1194" s="90">
        <f t="shared" si="408"/>
        <v>2013</v>
      </c>
      <c r="AG1194" s="90">
        <f t="shared" si="409"/>
        <v>13198</v>
      </c>
      <c r="AH1194" s="90">
        <f t="shared" si="410"/>
        <v>2018</v>
      </c>
      <c r="AI1194" s="90">
        <f t="shared" si="411"/>
        <v>13198</v>
      </c>
      <c r="AJ1194" s="90">
        <f t="shared" si="412"/>
        <v>2018</v>
      </c>
      <c r="AK1194" s="90" t="str">
        <f t="shared" si="413"/>
        <v/>
      </c>
      <c r="AL1194" s="91">
        <f>IF(AK1194="Adjust",(_xlfn.XLOOKUP(A1194,'Adj factor'!A:A,'Adj factor'!I:I,,0)*AI1194),'Master DataSheet (Rev)'!AI1194)</f>
        <v>13198</v>
      </c>
      <c r="AM1194" s="91">
        <f t="shared" si="414"/>
        <v>13198</v>
      </c>
      <c r="AN1194" s="92" t="str">
        <f t="shared" si="415"/>
        <v>No change</v>
      </c>
      <c r="AS1194" s="94">
        <f t="shared" si="416"/>
        <v>2.6772418015497634</v>
      </c>
      <c r="AT1194" s="94">
        <f t="shared" si="417"/>
        <v>2.642067479660605</v>
      </c>
      <c r="AU1194" s="94">
        <f t="shared" si="403"/>
        <v>2.4428306280467948</v>
      </c>
      <c r="AV1194" s="94">
        <f t="shared" si="404"/>
        <v>2.4428306280467948</v>
      </c>
    </row>
    <row r="1195" spans="1:48" x14ac:dyDescent="0.3">
      <c r="A1195" s="85" t="str">
        <f>_xlfn.XLOOKUP(B1195,'Country codes &amp; Data sources'!G:G,'Country codes &amp; Data sources'!H:H,,0)</f>
        <v>Kenya</v>
      </c>
      <c r="B1195" s="85" t="s">
        <v>175</v>
      </c>
      <c r="C1195" s="85">
        <v>43725812.5</v>
      </c>
      <c r="D1195" s="85" t="s">
        <v>332</v>
      </c>
      <c r="E1195" s="86">
        <v>0</v>
      </c>
      <c r="F1195" s="86">
        <v>44792368.000000007</v>
      </c>
      <c r="G1195" s="86">
        <v>0</v>
      </c>
      <c r="H1195" s="86"/>
      <c r="I1195" s="86">
        <v>0</v>
      </c>
      <c r="J1195" s="86"/>
      <c r="K1195" s="86">
        <v>0</v>
      </c>
      <c r="L1195" s="86"/>
      <c r="M1195" s="86">
        <v>2092</v>
      </c>
      <c r="N1195" s="86"/>
      <c r="O1195" s="86">
        <v>0</v>
      </c>
      <c r="P1195" s="86">
        <v>49953303.999999993</v>
      </c>
      <c r="Q1195" s="86">
        <v>0</v>
      </c>
      <c r="R1195" s="87">
        <f t="shared" si="402"/>
        <v>0</v>
      </c>
      <c r="T1195" s="87">
        <v>0</v>
      </c>
      <c r="U1195" s="89"/>
      <c r="V1195" s="89">
        <v>0</v>
      </c>
      <c r="W1195" s="90"/>
      <c r="X1195" s="90">
        <v>0</v>
      </c>
      <c r="Y1195" s="90">
        <v>54027486.999999985</v>
      </c>
      <c r="Z1195" s="90">
        <v>137</v>
      </c>
      <c r="AA1195" s="90">
        <v>0</v>
      </c>
      <c r="AB1195" s="89">
        <f t="shared" si="405"/>
        <v>0</v>
      </c>
      <c r="AC1195" s="89">
        <f t="shared" si="406"/>
        <v>2092</v>
      </c>
      <c r="AD1195" s="89">
        <f t="shared" si="407"/>
        <v>137</v>
      </c>
      <c r="AF1195" s="90" t="str">
        <f t="shared" si="408"/>
        <v/>
      </c>
      <c r="AH1195" s="90" t="str">
        <f t="shared" si="410"/>
        <v/>
      </c>
      <c r="AI1195" s="90">
        <f t="shared" si="411"/>
        <v>137</v>
      </c>
      <c r="AJ1195" s="90">
        <f t="shared" si="412"/>
        <v>2022</v>
      </c>
      <c r="AK1195" s="90" t="str">
        <f t="shared" si="413"/>
        <v/>
      </c>
      <c r="AL1195" s="91">
        <f>IF(AK1195="Adjust",(_xlfn.XLOOKUP(A1195,'Adj factor'!A:A,'Adj factor'!I:I,,0)*AI1195),'Master DataSheet (Rev)'!AI1195)</f>
        <v>137</v>
      </c>
      <c r="AM1195" s="91">
        <f t="shared" si="414"/>
        <v>137</v>
      </c>
      <c r="AN1195" s="92" t="str">
        <f t="shared" si="415"/>
        <v>Increasing</v>
      </c>
      <c r="AS1195" s="94">
        <f t="shared" si="416"/>
        <v>0</v>
      </c>
      <c r="AT1195" s="94">
        <f t="shared" si="417"/>
        <v>0</v>
      </c>
      <c r="AU1195" s="94">
        <f t="shared" si="403"/>
        <v>2.5357462952145089E-2</v>
      </c>
      <c r="AV1195" s="94">
        <f t="shared" si="404"/>
        <v>2.5357462952145089E-2</v>
      </c>
    </row>
    <row r="1196" spans="1:48" x14ac:dyDescent="0.3">
      <c r="A1196" s="85" t="str">
        <f>_xlfn.XLOOKUP(B1196,'Country codes &amp; Data sources'!G:G,'Country codes &amp; Data sources'!H:H,,0)</f>
        <v>Kenya</v>
      </c>
      <c r="B1196" s="85" t="s">
        <v>175</v>
      </c>
      <c r="C1196" s="85">
        <v>43725813.5</v>
      </c>
      <c r="D1196" s="85" t="s">
        <v>333</v>
      </c>
      <c r="E1196" s="86">
        <v>0</v>
      </c>
      <c r="F1196" s="86">
        <v>44792368.000000007</v>
      </c>
      <c r="G1196" s="86">
        <v>0</v>
      </c>
      <c r="H1196" s="86"/>
      <c r="I1196" s="86">
        <v>0</v>
      </c>
      <c r="J1196" s="86"/>
      <c r="K1196" s="86">
        <v>0</v>
      </c>
      <c r="L1196" s="86"/>
      <c r="M1196" s="86">
        <v>2092</v>
      </c>
      <c r="N1196" s="86"/>
      <c r="O1196" s="86">
        <v>0</v>
      </c>
      <c r="P1196" s="86">
        <v>49953303.999999993</v>
      </c>
      <c r="Q1196" s="86">
        <v>0</v>
      </c>
      <c r="R1196" s="87">
        <f t="shared" si="402"/>
        <v>0</v>
      </c>
      <c r="T1196" s="87">
        <v>0</v>
      </c>
      <c r="U1196" s="89"/>
      <c r="V1196" s="89">
        <v>0</v>
      </c>
      <c r="W1196" s="90"/>
      <c r="X1196" s="90">
        <v>0</v>
      </c>
      <c r="Y1196" s="90">
        <v>54027486.999999985</v>
      </c>
      <c r="Z1196" s="90">
        <v>137</v>
      </c>
      <c r="AA1196" s="90">
        <v>0</v>
      </c>
      <c r="AB1196" s="89">
        <f t="shared" si="405"/>
        <v>0</v>
      </c>
      <c r="AC1196" s="89">
        <f t="shared" si="406"/>
        <v>2092</v>
      </c>
      <c r="AD1196" s="89">
        <f t="shared" si="407"/>
        <v>137</v>
      </c>
      <c r="AF1196" s="90" t="str">
        <f t="shared" si="408"/>
        <v/>
      </c>
      <c r="AH1196" s="90" t="str">
        <f t="shared" si="410"/>
        <v/>
      </c>
      <c r="AI1196" s="90">
        <f t="shared" si="411"/>
        <v>137</v>
      </c>
      <c r="AJ1196" s="90">
        <f t="shared" si="412"/>
        <v>2022</v>
      </c>
      <c r="AK1196" s="90" t="str">
        <f t="shared" si="413"/>
        <v/>
      </c>
      <c r="AL1196" s="91">
        <f>IF(AK1196="Adjust",(_xlfn.XLOOKUP(A1196,'Adj factor'!A:A,'Adj factor'!I:I,,0)*AI1196),'Master DataSheet (Rev)'!AI1196)</f>
        <v>137</v>
      </c>
      <c r="AM1196" s="91">
        <f t="shared" si="414"/>
        <v>137</v>
      </c>
      <c r="AN1196" s="92" t="str">
        <f t="shared" si="415"/>
        <v>Increasing</v>
      </c>
      <c r="AS1196" s="94">
        <f t="shared" si="416"/>
        <v>0</v>
      </c>
      <c r="AT1196" s="94">
        <f t="shared" si="417"/>
        <v>0</v>
      </c>
      <c r="AU1196" s="94">
        <f t="shared" si="403"/>
        <v>2.5357462952145089E-2</v>
      </c>
      <c r="AV1196" s="94">
        <f t="shared" si="404"/>
        <v>2.5357462952145089E-2</v>
      </c>
    </row>
    <row r="1197" spans="1:48" x14ac:dyDescent="0.3">
      <c r="A1197" s="85" t="str">
        <f>_xlfn.XLOOKUP(B1197,'Country codes &amp; Data sources'!G:G,'Country codes &amp; Data sources'!H:H,,0)</f>
        <v>Kenya</v>
      </c>
      <c r="B1197" s="85" t="s">
        <v>175</v>
      </c>
      <c r="C1197" s="85">
        <v>43725814.5</v>
      </c>
      <c r="D1197" s="85" t="s">
        <v>334</v>
      </c>
      <c r="E1197" s="86">
        <v>0</v>
      </c>
      <c r="F1197" s="86">
        <v>44792368.000000007</v>
      </c>
      <c r="G1197" s="86">
        <v>0</v>
      </c>
      <c r="H1197" s="86"/>
      <c r="I1197" s="86">
        <v>0</v>
      </c>
      <c r="J1197" s="86"/>
      <c r="K1197" s="86">
        <v>0</v>
      </c>
      <c r="L1197" s="86"/>
      <c r="M1197" s="86">
        <v>0</v>
      </c>
      <c r="N1197" s="86"/>
      <c r="O1197" s="86">
        <v>0</v>
      </c>
      <c r="P1197" s="86">
        <v>49953303.999999993</v>
      </c>
      <c r="Q1197" s="86">
        <v>0</v>
      </c>
      <c r="R1197" s="87">
        <f t="shared" si="402"/>
        <v>0</v>
      </c>
      <c r="T1197" s="87">
        <v>0</v>
      </c>
      <c r="U1197" s="89"/>
      <c r="V1197" s="89">
        <v>0</v>
      </c>
      <c r="W1197" s="90"/>
      <c r="X1197" s="90">
        <v>0</v>
      </c>
      <c r="Y1197" s="90">
        <v>54027486.999999985</v>
      </c>
      <c r="Z1197" s="90">
        <v>0</v>
      </c>
      <c r="AA1197" s="90">
        <v>0</v>
      </c>
      <c r="AB1197" s="89">
        <f t="shared" si="405"/>
        <v>0</v>
      </c>
      <c r="AC1197" s="89">
        <f t="shared" si="406"/>
        <v>0</v>
      </c>
      <c r="AD1197" s="89">
        <f t="shared" si="407"/>
        <v>0</v>
      </c>
      <c r="AF1197" s="90" t="str">
        <f t="shared" si="408"/>
        <v/>
      </c>
      <c r="AH1197" s="90" t="str">
        <f t="shared" si="410"/>
        <v/>
      </c>
      <c r="AI1197" s="90">
        <f t="shared" si="411"/>
        <v>0</v>
      </c>
      <c r="AJ1197" s="90" t="str">
        <f t="shared" si="412"/>
        <v/>
      </c>
      <c r="AK1197" s="90" t="str">
        <f t="shared" si="413"/>
        <v/>
      </c>
      <c r="AL1197" s="91"/>
      <c r="AM1197" s="91">
        <f t="shared" si="414"/>
        <v>0</v>
      </c>
      <c r="AN1197" s="92" t="str">
        <f t="shared" si="415"/>
        <v>No change</v>
      </c>
      <c r="AS1197" s="94">
        <f t="shared" si="416"/>
        <v>0</v>
      </c>
      <c r="AT1197" s="94">
        <f t="shared" si="417"/>
        <v>0</v>
      </c>
      <c r="AU1197" s="94">
        <f t="shared" si="403"/>
        <v>0</v>
      </c>
      <c r="AV1197" s="94">
        <f t="shared" si="404"/>
        <v>0</v>
      </c>
    </row>
    <row r="1198" spans="1:48" x14ac:dyDescent="0.3">
      <c r="A1198" s="85" t="str">
        <f>_xlfn.XLOOKUP(B1198,'Country codes &amp; Data sources'!G:G,'Country codes &amp; Data sources'!H:H,,0)</f>
        <v>Kenya</v>
      </c>
      <c r="B1198" s="85" t="s">
        <v>175</v>
      </c>
      <c r="C1198" s="85">
        <v>43725815.5</v>
      </c>
      <c r="D1198" s="85" t="s">
        <v>335</v>
      </c>
      <c r="E1198" s="86">
        <v>2076</v>
      </c>
      <c r="F1198" s="86">
        <v>44792368.000000007</v>
      </c>
      <c r="G1198" s="86">
        <v>2202</v>
      </c>
      <c r="H1198" s="86"/>
      <c r="I1198" s="86">
        <v>2355</v>
      </c>
      <c r="J1198" s="86"/>
      <c r="K1198" s="86">
        <v>0</v>
      </c>
      <c r="L1198" s="86"/>
      <c r="M1198" s="86">
        <v>0</v>
      </c>
      <c r="N1198" s="86"/>
      <c r="O1198" s="86">
        <v>0</v>
      </c>
      <c r="P1198" s="86">
        <v>49953303.999999993</v>
      </c>
      <c r="Q1198" s="86">
        <v>964</v>
      </c>
      <c r="R1198" s="87">
        <f t="shared" si="402"/>
        <v>964</v>
      </c>
      <c r="T1198" s="87">
        <v>0</v>
      </c>
      <c r="U1198" s="89"/>
      <c r="V1198" s="89">
        <v>0</v>
      </c>
      <c r="W1198" s="90"/>
      <c r="X1198" s="90">
        <v>1137</v>
      </c>
      <c r="Y1198" s="90">
        <v>54027486.999999985</v>
      </c>
      <c r="Z1198" s="103">
        <v>1337</v>
      </c>
      <c r="AA1198" s="90">
        <v>964</v>
      </c>
      <c r="AB1198" s="89">
        <f t="shared" si="405"/>
        <v>2355</v>
      </c>
      <c r="AC1198" s="89">
        <f t="shared" si="406"/>
        <v>964</v>
      </c>
      <c r="AD1198" s="89">
        <f t="shared" si="407"/>
        <v>1337</v>
      </c>
      <c r="AE1198" s="90">
        <f t="shared" si="418"/>
        <v>2202</v>
      </c>
      <c r="AF1198" s="90">
        <f t="shared" si="408"/>
        <v>2013</v>
      </c>
      <c r="AG1198" s="90">
        <f t="shared" si="409"/>
        <v>964</v>
      </c>
      <c r="AH1198" s="90">
        <f t="shared" si="410"/>
        <v>2018</v>
      </c>
      <c r="AI1198" s="90">
        <f t="shared" si="411"/>
        <v>1337</v>
      </c>
      <c r="AJ1198" s="90">
        <v>2022</v>
      </c>
      <c r="AK1198" s="90" t="str">
        <f t="shared" si="413"/>
        <v/>
      </c>
      <c r="AL1198" s="91">
        <f>IF(AK1198="Adjust",(_xlfn.XLOOKUP(A1198,'Adj factor'!A:A,'Adj factor'!I:I,,0)*AI1198),'Master DataSheet (Rev)'!AI1198)</f>
        <v>1337</v>
      </c>
      <c r="AM1198" s="91">
        <f t="shared" si="414"/>
        <v>1337</v>
      </c>
      <c r="AN1198" s="92" t="str">
        <f t="shared" si="415"/>
        <v>Increasing</v>
      </c>
      <c r="AS1198" s="94">
        <f t="shared" si="416"/>
        <v>0.49160160498770678</v>
      </c>
      <c r="AT1198" s="94">
        <f t="shared" si="417"/>
        <v>0.19298022809462215</v>
      </c>
      <c r="AU1198" s="94">
        <f t="shared" si="403"/>
        <v>0.24746662749648163</v>
      </c>
      <c r="AV1198" s="94">
        <f t="shared" si="404"/>
        <v>0.24746662749648163</v>
      </c>
    </row>
    <row r="1199" spans="1:48" ht="14.5" x14ac:dyDescent="0.35">
      <c r="A1199" s="85" t="str">
        <f>_xlfn.XLOOKUP(B1199,'Country codes &amp; Data sources'!G:G,'Country codes &amp; Data sources'!H:H,,0)</f>
        <v>Kenya</v>
      </c>
      <c r="B1199" s="85" t="s">
        <v>175</v>
      </c>
      <c r="C1199" s="85">
        <v>43725816.5</v>
      </c>
      <c r="D1199" s="85" t="s">
        <v>336</v>
      </c>
      <c r="E1199" s="86">
        <v>0</v>
      </c>
      <c r="F1199" s="86">
        <v>44792368.000000007</v>
      </c>
      <c r="G1199" s="86">
        <v>0</v>
      </c>
      <c r="H1199" s="86"/>
      <c r="I1199" s="86">
        <v>0</v>
      </c>
      <c r="J1199" s="86"/>
      <c r="K1199" s="86">
        <v>0</v>
      </c>
      <c r="L1199" s="86"/>
      <c r="M1199" s="86">
        <v>0</v>
      </c>
      <c r="N1199" s="86"/>
      <c r="O1199" s="86">
        <v>0</v>
      </c>
      <c r="P1199" s="86">
        <v>49953303.999999993</v>
      </c>
      <c r="Q1199" s="86">
        <v>1331</v>
      </c>
      <c r="R1199" s="87">
        <f t="shared" si="402"/>
        <v>1331</v>
      </c>
      <c r="T1199" s="87">
        <v>0</v>
      </c>
      <c r="U1199" s="89"/>
      <c r="V1199" s="89">
        <v>0</v>
      </c>
      <c r="W1199" s="90"/>
      <c r="X1199" s="90">
        <v>1780</v>
      </c>
      <c r="Y1199" s="90">
        <v>54027486.999999985</v>
      </c>
      <c r="Z1199" s="114">
        <v>6240</v>
      </c>
      <c r="AA1199" s="90">
        <v>1331</v>
      </c>
      <c r="AB1199" s="89">
        <f t="shared" si="405"/>
        <v>0</v>
      </c>
      <c r="AC1199" s="89">
        <f t="shared" si="406"/>
        <v>1331</v>
      </c>
      <c r="AD1199" s="89">
        <f t="shared" si="407"/>
        <v>6240</v>
      </c>
      <c r="AF1199" s="90" t="str">
        <f t="shared" si="408"/>
        <v/>
      </c>
      <c r="AG1199" s="90">
        <f t="shared" si="409"/>
        <v>1331</v>
      </c>
      <c r="AH1199" s="90">
        <f t="shared" si="410"/>
        <v>2018</v>
      </c>
      <c r="AI1199" s="90">
        <f t="shared" si="411"/>
        <v>6240</v>
      </c>
      <c r="AJ1199" s="90">
        <v>2022</v>
      </c>
      <c r="AK1199" s="90" t="str">
        <f t="shared" si="413"/>
        <v/>
      </c>
      <c r="AL1199" s="91">
        <f>IF(AK1199="Adjust",(_xlfn.XLOOKUP(A1199,'Adj factor'!A:A,'Adj factor'!I:I,,0)*AI1199),'Master DataSheet (Rev)'!AI1199)</f>
        <v>6240</v>
      </c>
      <c r="AM1199" s="91">
        <f t="shared" si="414"/>
        <v>6240</v>
      </c>
      <c r="AN1199" s="92" t="str">
        <f t="shared" si="415"/>
        <v>Increasing</v>
      </c>
      <c r="AS1199" s="94">
        <f t="shared" si="416"/>
        <v>0</v>
      </c>
      <c r="AT1199" s="94">
        <f t="shared" si="417"/>
        <v>0.26644884190242957</v>
      </c>
      <c r="AU1199" s="94">
        <f t="shared" si="403"/>
        <v>1.1549676556305499</v>
      </c>
      <c r="AV1199" s="94">
        <f t="shared" si="404"/>
        <v>1.1549676556305499</v>
      </c>
    </row>
    <row r="1200" spans="1:48" x14ac:dyDescent="0.3">
      <c r="A1200" s="85" t="str">
        <f>_xlfn.XLOOKUP(B1200,'Country codes &amp; Data sources'!G:G,'Country codes &amp; Data sources'!H:H,,0)</f>
        <v>Kenya</v>
      </c>
      <c r="B1200" s="85" t="s">
        <v>175</v>
      </c>
      <c r="C1200" s="85">
        <v>43725817.5</v>
      </c>
      <c r="D1200" s="85" t="s">
        <v>337</v>
      </c>
      <c r="E1200" s="86">
        <v>985</v>
      </c>
      <c r="F1200" s="86">
        <v>44792368.000000007</v>
      </c>
      <c r="G1200" s="86">
        <v>1045</v>
      </c>
      <c r="H1200" s="86"/>
      <c r="I1200" s="86">
        <v>1090</v>
      </c>
      <c r="J1200" s="86"/>
      <c r="K1200" s="86">
        <v>0</v>
      </c>
      <c r="L1200" s="86"/>
      <c r="M1200" s="86">
        <v>0</v>
      </c>
      <c r="N1200" s="86"/>
      <c r="O1200" s="86">
        <v>0</v>
      </c>
      <c r="P1200" s="86">
        <v>49953303.999999993</v>
      </c>
      <c r="Q1200" s="86">
        <v>841</v>
      </c>
      <c r="R1200" s="87">
        <f t="shared" si="402"/>
        <v>1300</v>
      </c>
      <c r="T1200" s="87">
        <v>1300</v>
      </c>
      <c r="U1200" s="89"/>
      <c r="V1200" s="89">
        <v>0</v>
      </c>
      <c r="W1200" s="90"/>
      <c r="X1200" s="90">
        <v>0</v>
      </c>
      <c r="Y1200" s="90">
        <v>54027486.999999985</v>
      </c>
      <c r="Z1200" s="103">
        <v>1344</v>
      </c>
      <c r="AA1200" s="90">
        <v>1300</v>
      </c>
      <c r="AB1200" s="89">
        <f t="shared" si="405"/>
        <v>1090</v>
      </c>
      <c r="AC1200" s="89">
        <f t="shared" si="406"/>
        <v>1300</v>
      </c>
      <c r="AD1200" s="89">
        <f t="shared" si="407"/>
        <v>1344</v>
      </c>
      <c r="AE1200" s="90">
        <f t="shared" si="418"/>
        <v>1045</v>
      </c>
      <c r="AF1200" s="90">
        <f t="shared" si="408"/>
        <v>2013</v>
      </c>
      <c r="AG1200" s="90">
        <f t="shared" si="409"/>
        <v>1300</v>
      </c>
      <c r="AH1200" s="90" t="str">
        <f t="shared" si="410"/>
        <v>2018 (triag)</v>
      </c>
      <c r="AI1200" s="90">
        <f t="shared" si="411"/>
        <v>1344</v>
      </c>
      <c r="AJ1200" s="90">
        <v>2022</v>
      </c>
      <c r="AK1200" s="90" t="str">
        <f t="shared" si="413"/>
        <v/>
      </c>
      <c r="AL1200" s="91">
        <f>IF(AK1200="Adjust",(_xlfn.XLOOKUP(A1200,'Adj factor'!A:A,'Adj factor'!I:I,,0)*AI1200),'Master DataSheet (Rev)'!AI1200)</f>
        <v>1344</v>
      </c>
      <c r="AM1200" s="91">
        <f t="shared" si="414"/>
        <v>1344</v>
      </c>
      <c r="AN1200" s="92" t="str">
        <f t="shared" si="415"/>
        <v>Increasing</v>
      </c>
      <c r="AS1200" s="94">
        <f t="shared" si="416"/>
        <v>0.2332986726667364</v>
      </c>
      <c r="AT1200" s="94">
        <f t="shared" si="417"/>
        <v>0.26024304618569377</v>
      </c>
      <c r="AU1200" s="94">
        <f t="shared" si="403"/>
        <v>0.24876226428965692</v>
      </c>
      <c r="AV1200" s="94">
        <f t="shared" si="404"/>
        <v>0.24876226428965692</v>
      </c>
    </row>
    <row r="1201" spans="1:48" ht="14.5" x14ac:dyDescent="0.35">
      <c r="A1201" s="85" t="str">
        <f>_xlfn.XLOOKUP(B1201,'Country codes &amp; Data sources'!G:G,'Country codes &amp; Data sources'!H:H,,0)</f>
        <v>Kenya</v>
      </c>
      <c r="B1201" s="85" t="s">
        <v>175</v>
      </c>
      <c r="C1201" s="85">
        <v>43725818.5</v>
      </c>
      <c r="D1201" s="85" t="s">
        <v>338</v>
      </c>
      <c r="E1201" s="86">
        <v>0</v>
      </c>
      <c r="F1201" s="86">
        <v>44792368.000000007</v>
      </c>
      <c r="G1201" s="86">
        <v>0</v>
      </c>
      <c r="H1201" s="86"/>
      <c r="I1201" s="86">
        <v>0</v>
      </c>
      <c r="J1201" s="86"/>
      <c r="K1201" s="86">
        <v>0</v>
      </c>
      <c r="L1201" s="86"/>
      <c r="M1201" s="86">
        <v>0</v>
      </c>
      <c r="N1201" s="86"/>
      <c r="O1201" s="86">
        <v>0</v>
      </c>
      <c r="P1201" s="86">
        <v>49953303.999999993</v>
      </c>
      <c r="Q1201" s="86">
        <v>0</v>
      </c>
      <c r="R1201" s="87">
        <f t="shared" si="402"/>
        <v>464</v>
      </c>
      <c r="T1201" s="87">
        <v>464</v>
      </c>
      <c r="U1201" s="89"/>
      <c r="V1201" s="89">
        <v>0</v>
      </c>
      <c r="W1201" s="90"/>
      <c r="X1201" s="90">
        <v>246</v>
      </c>
      <c r="Y1201" s="90">
        <v>54027486.999999985</v>
      </c>
      <c r="Z1201" s="114">
        <v>987</v>
      </c>
      <c r="AA1201" s="90">
        <v>464</v>
      </c>
      <c r="AB1201" s="89">
        <f t="shared" si="405"/>
        <v>0</v>
      </c>
      <c r="AC1201" s="89">
        <f t="shared" si="406"/>
        <v>464</v>
      </c>
      <c r="AD1201" s="89">
        <f t="shared" si="407"/>
        <v>987</v>
      </c>
      <c r="AF1201" s="90" t="str">
        <f t="shared" si="408"/>
        <v/>
      </c>
      <c r="AG1201" s="90">
        <f t="shared" si="409"/>
        <v>464</v>
      </c>
      <c r="AH1201" s="90" t="str">
        <f t="shared" si="410"/>
        <v>2018 (triag)</v>
      </c>
      <c r="AI1201" s="90">
        <f t="shared" si="411"/>
        <v>987</v>
      </c>
      <c r="AJ1201" s="90">
        <v>2022</v>
      </c>
      <c r="AK1201" s="90" t="str">
        <f t="shared" si="413"/>
        <v/>
      </c>
      <c r="AL1201" s="91">
        <f>IF(AK1201="Adjust",(_xlfn.XLOOKUP(A1201,'Adj factor'!A:A,'Adj factor'!I:I,,0)*AI1201),'Master DataSheet (Rev)'!AI1201)</f>
        <v>987</v>
      </c>
      <c r="AM1201" s="91">
        <f t="shared" si="414"/>
        <v>987</v>
      </c>
      <c r="AN1201" s="92" t="str">
        <f t="shared" si="415"/>
        <v>Increasing</v>
      </c>
      <c r="AS1201" s="94">
        <f t="shared" si="416"/>
        <v>0</v>
      </c>
      <c r="AT1201" s="94">
        <f t="shared" si="417"/>
        <v>9.2886748792432236E-2</v>
      </c>
      <c r="AU1201" s="94">
        <f t="shared" si="403"/>
        <v>0.1826847878377168</v>
      </c>
      <c r="AV1201" s="94">
        <f t="shared" si="404"/>
        <v>0.1826847878377168</v>
      </c>
    </row>
    <row r="1202" spans="1:48" x14ac:dyDescent="0.3">
      <c r="A1202" s="85" t="str">
        <f>_xlfn.XLOOKUP(B1202,'Country codes &amp; Data sources'!G:G,'Country codes &amp; Data sources'!H:H,,0)</f>
        <v>Kenya</v>
      </c>
      <c r="B1202" s="85" t="s">
        <v>175</v>
      </c>
      <c r="C1202" s="85">
        <v>43725819.5</v>
      </c>
      <c r="D1202" s="85" t="s">
        <v>339</v>
      </c>
      <c r="E1202" s="86">
        <v>0</v>
      </c>
      <c r="F1202" s="86">
        <v>44792368.000000007</v>
      </c>
      <c r="G1202" s="86">
        <v>0</v>
      </c>
      <c r="H1202" s="86"/>
      <c r="I1202" s="86">
        <v>0</v>
      </c>
      <c r="J1202" s="86"/>
      <c r="K1202" s="86">
        <v>0</v>
      </c>
      <c r="L1202" s="86"/>
      <c r="M1202" s="86">
        <v>0</v>
      </c>
      <c r="N1202" s="86"/>
      <c r="O1202" s="86">
        <v>0</v>
      </c>
      <c r="P1202" s="86">
        <v>49953303.999999993</v>
      </c>
      <c r="Q1202" s="86">
        <v>0</v>
      </c>
      <c r="R1202" s="87">
        <f t="shared" si="402"/>
        <v>0</v>
      </c>
      <c r="T1202" s="87">
        <v>0</v>
      </c>
      <c r="U1202" s="89"/>
      <c r="V1202" s="89">
        <v>0</v>
      </c>
      <c r="W1202" s="90"/>
      <c r="X1202" s="90">
        <v>0</v>
      </c>
      <c r="Y1202" s="90">
        <v>54027486.999999985</v>
      </c>
      <c r="Z1202" s="90">
        <v>0</v>
      </c>
      <c r="AA1202" s="90">
        <v>0</v>
      </c>
      <c r="AB1202" s="89">
        <f t="shared" si="405"/>
        <v>0</v>
      </c>
      <c r="AC1202" s="89">
        <f t="shared" si="406"/>
        <v>0</v>
      </c>
      <c r="AD1202" s="89">
        <f t="shared" si="407"/>
        <v>0</v>
      </c>
      <c r="AF1202" s="90" t="str">
        <f t="shared" si="408"/>
        <v/>
      </c>
      <c r="AH1202" s="90" t="str">
        <f t="shared" si="410"/>
        <v/>
      </c>
      <c r="AI1202" s="90">
        <f t="shared" si="411"/>
        <v>0</v>
      </c>
      <c r="AJ1202" s="90" t="str">
        <f t="shared" si="412"/>
        <v/>
      </c>
      <c r="AK1202" s="90" t="str">
        <f t="shared" si="413"/>
        <v/>
      </c>
      <c r="AL1202" s="91"/>
      <c r="AM1202" s="91">
        <f t="shared" si="414"/>
        <v>0</v>
      </c>
      <c r="AN1202" s="92" t="str">
        <f t="shared" si="415"/>
        <v>No change</v>
      </c>
      <c r="AS1202" s="94">
        <f t="shared" si="416"/>
        <v>0</v>
      </c>
      <c r="AT1202" s="94">
        <f t="shared" si="417"/>
        <v>0</v>
      </c>
      <c r="AU1202" s="94">
        <f t="shared" si="403"/>
        <v>0</v>
      </c>
      <c r="AV1202" s="94">
        <f t="shared" si="404"/>
        <v>0</v>
      </c>
    </row>
    <row r="1203" spans="1:48" x14ac:dyDescent="0.3">
      <c r="A1203" s="85" t="str">
        <f>_xlfn.XLOOKUP(B1203,'Country codes &amp; Data sources'!G:G,'Country codes &amp; Data sources'!H:H,,0)</f>
        <v>Liberia</v>
      </c>
      <c r="B1203" s="85" t="s">
        <v>176</v>
      </c>
      <c r="C1203" s="85">
        <v>4331740.4999999991</v>
      </c>
      <c r="D1203" s="85" t="s">
        <v>326</v>
      </c>
      <c r="E1203" s="86">
        <v>0</v>
      </c>
      <c r="F1203" s="86">
        <v>4427312.4999999991</v>
      </c>
      <c r="G1203" s="86">
        <v>0</v>
      </c>
      <c r="H1203" s="86">
        <v>4519397.9999999981</v>
      </c>
      <c r="I1203" s="86">
        <v>0</v>
      </c>
      <c r="J1203" s="86">
        <v>4612328.9999999972</v>
      </c>
      <c r="K1203" s="86">
        <v>168</v>
      </c>
      <c r="L1203" s="86">
        <v>4706097.5000000009</v>
      </c>
      <c r="M1203" s="86">
        <v>234</v>
      </c>
      <c r="N1203" s="86">
        <v>4796630.9999999963</v>
      </c>
      <c r="O1203" s="86">
        <v>248</v>
      </c>
      <c r="P1203" s="86">
        <v>4889391</v>
      </c>
      <c r="Q1203" s="86">
        <v>693</v>
      </c>
      <c r="R1203" s="87">
        <f t="shared" si="402"/>
        <v>693</v>
      </c>
      <c r="S1203" s="87">
        <v>4985289.0000000075</v>
      </c>
      <c r="T1203" s="87">
        <v>732</v>
      </c>
      <c r="U1203" s="89">
        <v>5087584.5000000019</v>
      </c>
      <c r="V1203" s="89">
        <v>777</v>
      </c>
      <c r="W1203" s="90">
        <v>5193415.5000000019</v>
      </c>
      <c r="X1203" s="90">
        <v>887</v>
      </c>
      <c r="Y1203" s="90">
        <v>5302681.0000000028</v>
      </c>
      <c r="Z1203" s="90">
        <v>954</v>
      </c>
      <c r="AA1203" s="90">
        <v>246</v>
      </c>
      <c r="AB1203" s="89">
        <f t="shared" si="405"/>
        <v>168</v>
      </c>
      <c r="AC1203" s="89">
        <f t="shared" si="406"/>
        <v>732</v>
      </c>
      <c r="AD1203" s="89">
        <f t="shared" si="407"/>
        <v>954</v>
      </c>
      <c r="AE1203" s="90">
        <f t="shared" si="418"/>
        <v>168</v>
      </c>
      <c r="AF1203" s="90">
        <f t="shared" si="408"/>
        <v>2015</v>
      </c>
      <c r="AG1203" s="90">
        <f t="shared" si="409"/>
        <v>693</v>
      </c>
      <c r="AH1203" s="90">
        <f t="shared" si="410"/>
        <v>2018</v>
      </c>
      <c r="AI1203" s="90">
        <f t="shared" si="411"/>
        <v>954</v>
      </c>
      <c r="AJ1203" s="90">
        <f t="shared" si="412"/>
        <v>2022</v>
      </c>
      <c r="AK1203" s="90" t="str">
        <f t="shared" si="413"/>
        <v/>
      </c>
      <c r="AL1203" s="91">
        <f>IF(AK1203="Adjust",(_xlfn.XLOOKUP(A1203,'Adj factor'!A:A,'Adj factor'!I:I,,0)*AI1203),'Master DataSheet (Rev)'!AI1203)</f>
        <v>954</v>
      </c>
      <c r="AM1203" s="91">
        <f t="shared" si="414"/>
        <v>954</v>
      </c>
      <c r="AN1203" s="92" t="str">
        <f t="shared" si="415"/>
        <v>Increasing</v>
      </c>
      <c r="AS1203" s="94">
        <f t="shared" si="416"/>
        <v>0.37946271016559152</v>
      </c>
      <c r="AT1203" s="94">
        <f t="shared" si="417"/>
        <v>1.4173544312573898</v>
      </c>
      <c r="AU1203" s="94">
        <f t="shared" si="403"/>
        <v>1.7990899320551237</v>
      </c>
      <c r="AV1203" s="94">
        <f t="shared" si="404"/>
        <v>1.7990899320551237</v>
      </c>
    </row>
    <row r="1204" spans="1:48" x14ac:dyDescent="0.3">
      <c r="A1204" s="85" t="str">
        <f>_xlfn.XLOOKUP(B1204,'Country codes &amp; Data sources'!G:G,'Country codes &amp; Data sources'!H:H,,0)</f>
        <v>Liberia</v>
      </c>
      <c r="B1204" s="85" t="s">
        <v>176</v>
      </c>
      <c r="C1204" s="85">
        <v>4331741.5</v>
      </c>
      <c r="D1204" s="85" t="s">
        <v>327</v>
      </c>
      <c r="E1204" s="86">
        <v>0</v>
      </c>
      <c r="F1204" s="86">
        <v>4427312.4999999991</v>
      </c>
      <c r="G1204" s="86">
        <v>0</v>
      </c>
      <c r="H1204" s="86"/>
      <c r="I1204" s="86">
        <v>0</v>
      </c>
      <c r="J1204" s="86"/>
      <c r="K1204" s="86">
        <v>0</v>
      </c>
      <c r="L1204" s="86"/>
      <c r="M1204" s="86">
        <v>0</v>
      </c>
      <c r="N1204" s="86"/>
      <c r="O1204" s="86">
        <v>0</v>
      </c>
      <c r="P1204" s="86">
        <v>4889391</v>
      </c>
      <c r="Q1204" s="86">
        <v>672</v>
      </c>
      <c r="R1204" s="87">
        <f t="shared" si="402"/>
        <v>672</v>
      </c>
      <c r="T1204" s="87">
        <v>697</v>
      </c>
      <c r="U1204" s="89"/>
      <c r="V1204" s="89">
        <v>725</v>
      </c>
      <c r="W1204" s="90"/>
      <c r="X1204" s="90">
        <v>800</v>
      </c>
      <c r="Y1204" s="90">
        <v>5302681.0000000028</v>
      </c>
      <c r="Z1204" s="90">
        <v>840</v>
      </c>
      <c r="AA1204" s="90">
        <v>234</v>
      </c>
      <c r="AB1204" s="89">
        <f t="shared" si="405"/>
        <v>0</v>
      </c>
      <c r="AC1204" s="89">
        <f t="shared" si="406"/>
        <v>697</v>
      </c>
      <c r="AD1204" s="89">
        <f t="shared" si="407"/>
        <v>840</v>
      </c>
      <c r="AF1204" s="90" t="str">
        <f t="shared" si="408"/>
        <v/>
      </c>
      <c r="AG1204" s="90">
        <f t="shared" si="409"/>
        <v>672</v>
      </c>
      <c r="AH1204" s="90">
        <f t="shared" si="410"/>
        <v>2018</v>
      </c>
      <c r="AI1204" s="90">
        <f t="shared" si="411"/>
        <v>840</v>
      </c>
      <c r="AJ1204" s="90">
        <f t="shared" si="412"/>
        <v>2022</v>
      </c>
      <c r="AK1204" s="90" t="str">
        <f t="shared" si="413"/>
        <v/>
      </c>
      <c r="AL1204" s="91">
        <f>IF(AK1204="Adjust",(_xlfn.XLOOKUP(A1204,'Adj factor'!A:A,'Adj factor'!I:I,,0)*AI1204),'Master DataSheet (Rev)'!AI1204)</f>
        <v>840</v>
      </c>
      <c r="AM1204" s="91">
        <f t="shared" si="414"/>
        <v>840</v>
      </c>
      <c r="AN1204" s="92" t="str">
        <f t="shared" si="415"/>
        <v>Increasing</v>
      </c>
      <c r="AS1204" s="94">
        <f t="shared" si="416"/>
        <v>0</v>
      </c>
      <c r="AT1204" s="94">
        <f t="shared" si="417"/>
        <v>1.3744042969768628</v>
      </c>
      <c r="AU1204" s="94">
        <f t="shared" si="403"/>
        <v>1.5841043426900459</v>
      </c>
      <c r="AV1204" s="94">
        <f t="shared" si="404"/>
        <v>1.5841043426900459</v>
      </c>
    </row>
    <row r="1205" spans="1:48" x14ac:dyDescent="0.3">
      <c r="A1205" s="85" t="str">
        <f>_xlfn.XLOOKUP(B1205,'Country codes &amp; Data sources'!G:G,'Country codes &amp; Data sources'!H:H,,0)</f>
        <v>Liberia</v>
      </c>
      <c r="B1205" s="85" t="s">
        <v>176</v>
      </c>
      <c r="C1205" s="85">
        <v>4331742.5</v>
      </c>
      <c r="D1205" s="85" t="s">
        <v>328</v>
      </c>
      <c r="E1205" s="86">
        <v>0</v>
      </c>
      <c r="F1205" s="86">
        <v>4427312.4999999991</v>
      </c>
      <c r="G1205" s="86">
        <v>0</v>
      </c>
      <c r="H1205" s="86"/>
      <c r="I1205" s="86">
        <v>0</v>
      </c>
      <c r="J1205" s="86"/>
      <c r="K1205" s="86">
        <v>0</v>
      </c>
      <c r="L1205" s="86"/>
      <c r="M1205" s="86">
        <v>0</v>
      </c>
      <c r="N1205" s="86"/>
      <c r="O1205" s="86">
        <v>0</v>
      </c>
      <c r="P1205" s="86">
        <v>4889391</v>
      </c>
      <c r="Q1205" s="86">
        <v>21</v>
      </c>
      <c r="R1205" s="87">
        <f t="shared" si="402"/>
        <v>21</v>
      </c>
      <c r="T1205" s="87">
        <v>35</v>
      </c>
      <c r="U1205" s="89"/>
      <c r="V1205" s="89">
        <v>52</v>
      </c>
      <c r="W1205" s="90"/>
      <c r="X1205" s="90">
        <v>87</v>
      </c>
      <c r="Y1205" s="90">
        <v>5302681.0000000028</v>
      </c>
      <c r="Z1205" s="90">
        <v>114</v>
      </c>
      <c r="AA1205" s="90">
        <v>12</v>
      </c>
      <c r="AB1205" s="89">
        <f t="shared" si="405"/>
        <v>0</v>
      </c>
      <c r="AC1205" s="89">
        <f t="shared" si="406"/>
        <v>35</v>
      </c>
      <c r="AD1205" s="89">
        <f t="shared" si="407"/>
        <v>114</v>
      </c>
      <c r="AF1205" s="90" t="str">
        <f t="shared" si="408"/>
        <v/>
      </c>
      <c r="AG1205" s="90">
        <f t="shared" si="409"/>
        <v>21</v>
      </c>
      <c r="AH1205" s="90">
        <f t="shared" si="410"/>
        <v>2018</v>
      </c>
      <c r="AI1205" s="90">
        <f t="shared" si="411"/>
        <v>114</v>
      </c>
      <c r="AJ1205" s="90">
        <f t="shared" si="412"/>
        <v>2022</v>
      </c>
      <c r="AK1205" s="90" t="str">
        <f t="shared" si="413"/>
        <v/>
      </c>
      <c r="AL1205" s="91">
        <f>IF(AK1205="Adjust",(_xlfn.XLOOKUP(A1205,'Adj factor'!A:A,'Adj factor'!I:I,,0)*AI1205),'Master DataSheet (Rev)'!AI1205)</f>
        <v>114</v>
      </c>
      <c r="AM1205" s="91">
        <f t="shared" si="414"/>
        <v>114</v>
      </c>
      <c r="AN1205" s="92" t="str">
        <f t="shared" si="415"/>
        <v>Increasing</v>
      </c>
      <c r="AS1205" s="94">
        <f t="shared" si="416"/>
        <v>0</v>
      </c>
      <c r="AT1205" s="94">
        <f t="shared" si="417"/>
        <v>4.2950134280526964E-2</v>
      </c>
      <c r="AU1205" s="94">
        <f t="shared" si="403"/>
        <v>0.21498558936507767</v>
      </c>
      <c r="AV1205" s="94">
        <f t="shared" si="404"/>
        <v>0.21498558936507767</v>
      </c>
    </row>
    <row r="1206" spans="1:48" x14ac:dyDescent="0.3">
      <c r="A1206" s="85" t="str">
        <f>_xlfn.XLOOKUP(B1206,'Country codes &amp; Data sources'!G:G,'Country codes &amp; Data sources'!H:H,,0)</f>
        <v>Liberia</v>
      </c>
      <c r="B1206" s="85" t="s">
        <v>176</v>
      </c>
      <c r="C1206" s="85">
        <v>4331743.5</v>
      </c>
      <c r="D1206" s="85" t="s">
        <v>329</v>
      </c>
      <c r="E1206" s="86">
        <v>0</v>
      </c>
      <c r="F1206" s="86">
        <v>4427312.4999999991</v>
      </c>
      <c r="G1206" s="86">
        <v>0</v>
      </c>
      <c r="H1206" s="86"/>
      <c r="I1206" s="86">
        <v>0</v>
      </c>
      <c r="J1206" s="86"/>
      <c r="K1206" s="86">
        <v>0</v>
      </c>
      <c r="L1206" s="86"/>
      <c r="M1206" s="86">
        <v>0</v>
      </c>
      <c r="N1206" s="86"/>
      <c r="O1206" s="86">
        <v>0</v>
      </c>
      <c r="P1206" s="86">
        <v>4889391</v>
      </c>
      <c r="Q1206" s="86">
        <v>2263</v>
      </c>
      <c r="R1206" s="87">
        <f t="shared" si="402"/>
        <v>8488</v>
      </c>
      <c r="T1206" s="87">
        <v>1978</v>
      </c>
      <c r="U1206" s="89"/>
      <c r="V1206" s="89">
        <v>2416</v>
      </c>
      <c r="W1206" s="90"/>
      <c r="X1206" s="90">
        <v>1761</v>
      </c>
      <c r="Y1206" s="90">
        <v>5302681.0000000028</v>
      </c>
      <c r="Z1206" s="90">
        <v>3440</v>
      </c>
      <c r="AA1206" s="90">
        <v>8488</v>
      </c>
      <c r="AB1206" s="89">
        <f t="shared" si="405"/>
        <v>0</v>
      </c>
      <c r="AC1206" s="89">
        <f t="shared" si="406"/>
        <v>2263</v>
      </c>
      <c r="AD1206" s="89">
        <f t="shared" si="407"/>
        <v>3440</v>
      </c>
      <c r="AF1206" s="90" t="str">
        <f t="shared" si="408"/>
        <v/>
      </c>
      <c r="AG1206" s="90">
        <f t="shared" si="409"/>
        <v>8488</v>
      </c>
      <c r="AH1206" s="90" t="str">
        <f t="shared" si="410"/>
        <v>2018 (triag)</v>
      </c>
      <c r="AI1206" s="90">
        <f t="shared" si="411"/>
        <v>3440</v>
      </c>
      <c r="AJ1206" s="90">
        <f t="shared" si="412"/>
        <v>2022</v>
      </c>
      <c r="AK1206" s="90" t="str">
        <f t="shared" si="413"/>
        <v>Adjust</v>
      </c>
      <c r="AL1206" s="91">
        <f>IF(AK1206="Adjust",(_xlfn.XLOOKUP(A1206,'Adj factor'!A:A,'Adj factor'!I:I,,0)*AI1206),'Master DataSheet (Rev)'!AI1206)</f>
        <v>4423.7952883834278</v>
      </c>
      <c r="AM1206" s="91">
        <f t="shared" si="414"/>
        <v>8488</v>
      </c>
      <c r="AN1206" s="92" t="str">
        <f t="shared" si="415"/>
        <v>Decreasing</v>
      </c>
      <c r="AS1206" s="94">
        <f t="shared" si="416"/>
        <v>0</v>
      </c>
      <c r="AT1206" s="94">
        <f t="shared" si="417"/>
        <v>17.360035227291089</v>
      </c>
      <c r="AU1206" s="94">
        <f t="shared" si="403"/>
        <v>8.3425634851189905</v>
      </c>
      <c r="AV1206" s="94">
        <f t="shared" si="404"/>
        <v>16.006997215182274</v>
      </c>
    </row>
    <row r="1207" spans="1:48" x14ac:dyDescent="0.3">
      <c r="A1207" s="85" t="str">
        <f>_xlfn.XLOOKUP(B1207,'Country codes &amp; Data sources'!G:G,'Country codes &amp; Data sources'!H:H,,0)</f>
        <v>Liberia</v>
      </c>
      <c r="B1207" s="85" t="s">
        <v>176</v>
      </c>
      <c r="C1207" s="85">
        <v>4331744.5</v>
      </c>
      <c r="D1207" s="85" t="s">
        <v>330</v>
      </c>
      <c r="E1207" s="86">
        <v>0</v>
      </c>
      <c r="F1207" s="86">
        <v>4427312.4999999991</v>
      </c>
      <c r="G1207" s="86">
        <v>0</v>
      </c>
      <c r="H1207" s="86"/>
      <c r="I1207" s="86">
        <v>0</v>
      </c>
      <c r="J1207" s="86"/>
      <c r="K1207" s="86">
        <v>0</v>
      </c>
      <c r="L1207" s="86"/>
      <c r="M1207" s="86">
        <v>0</v>
      </c>
      <c r="N1207" s="86"/>
      <c r="O1207" s="86">
        <v>0</v>
      </c>
      <c r="P1207" s="86">
        <v>4889391</v>
      </c>
      <c r="Q1207" s="86">
        <v>2263</v>
      </c>
      <c r="R1207" s="87">
        <f t="shared" si="402"/>
        <v>4887</v>
      </c>
      <c r="T1207" s="87">
        <v>1978</v>
      </c>
      <c r="U1207" s="89"/>
      <c r="V1207" s="89">
        <v>2416</v>
      </c>
      <c r="W1207" s="90"/>
      <c r="X1207" s="90">
        <v>1761</v>
      </c>
      <c r="Y1207" s="90">
        <v>5302681.0000000028</v>
      </c>
      <c r="Z1207" s="90">
        <v>2017</v>
      </c>
      <c r="AA1207" s="90">
        <v>4887</v>
      </c>
      <c r="AB1207" s="89">
        <f t="shared" si="405"/>
        <v>0</v>
      </c>
      <c r="AC1207" s="89">
        <f t="shared" si="406"/>
        <v>2263</v>
      </c>
      <c r="AD1207" s="89">
        <f t="shared" si="407"/>
        <v>2416</v>
      </c>
      <c r="AF1207" s="90" t="str">
        <f t="shared" si="408"/>
        <v/>
      </c>
      <c r="AG1207" s="90">
        <f t="shared" si="409"/>
        <v>4887</v>
      </c>
      <c r="AH1207" s="90" t="str">
        <f t="shared" si="410"/>
        <v>2018 (triag)</v>
      </c>
      <c r="AI1207" s="90">
        <f t="shared" si="411"/>
        <v>2017</v>
      </c>
      <c r="AJ1207" s="90">
        <f t="shared" si="412"/>
        <v>2022</v>
      </c>
      <c r="AK1207" s="90" t="str">
        <f t="shared" si="413"/>
        <v>Adjust</v>
      </c>
      <c r="AL1207" s="91">
        <f>IF(AK1207="Adjust",(_xlfn.XLOOKUP(A1207,'Adj factor'!A:A,'Adj factor'!I:I,,0)*AI1207),'Master DataSheet (Rev)'!AI1207)</f>
        <v>2593.8357839155155</v>
      </c>
      <c r="AM1207" s="91">
        <f t="shared" si="414"/>
        <v>4887</v>
      </c>
      <c r="AN1207" s="92" t="str">
        <f t="shared" si="415"/>
        <v>Decreasing</v>
      </c>
      <c r="AS1207" s="94">
        <f t="shared" si="416"/>
        <v>0</v>
      </c>
      <c r="AT1207" s="94">
        <f t="shared" si="417"/>
        <v>9.9951098204254887</v>
      </c>
      <c r="AU1207" s="94">
        <f t="shared" si="403"/>
        <v>4.891555392292152</v>
      </c>
      <c r="AV1207" s="94">
        <f t="shared" si="404"/>
        <v>9.2160927651503037</v>
      </c>
    </row>
    <row r="1208" spans="1:48" x14ac:dyDescent="0.3">
      <c r="A1208" s="85" t="str">
        <f>_xlfn.XLOOKUP(B1208,'Country codes &amp; Data sources'!G:G,'Country codes &amp; Data sources'!H:H,,0)</f>
        <v>Liberia</v>
      </c>
      <c r="B1208" s="85" t="s">
        <v>176</v>
      </c>
      <c r="C1208" s="85">
        <v>4331745.5</v>
      </c>
      <c r="D1208" s="85" t="s">
        <v>331</v>
      </c>
      <c r="E1208" s="86">
        <v>0</v>
      </c>
      <c r="F1208" s="86">
        <v>4427312.4999999991</v>
      </c>
      <c r="G1208" s="86">
        <v>0</v>
      </c>
      <c r="H1208" s="86"/>
      <c r="I1208" s="86">
        <v>0</v>
      </c>
      <c r="J1208" s="86"/>
      <c r="K1208" s="86">
        <v>0</v>
      </c>
      <c r="L1208" s="86"/>
      <c r="M1208" s="86">
        <v>0</v>
      </c>
      <c r="N1208" s="86"/>
      <c r="O1208" s="86">
        <v>0</v>
      </c>
      <c r="P1208" s="86">
        <v>4889391</v>
      </c>
      <c r="Q1208" s="86">
        <v>0</v>
      </c>
      <c r="R1208" s="87">
        <f t="shared" si="402"/>
        <v>3601</v>
      </c>
      <c r="T1208" s="87">
        <v>0</v>
      </c>
      <c r="U1208" s="89"/>
      <c r="V1208" s="89">
        <v>0</v>
      </c>
      <c r="W1208" s="90"/>
      <c r="X1208" s="90">
        <v>0</v>
      </c>
      <c r="Y1208" s="90">
        <v>5302681.0000000028</v>
      </c>
      <c r="Z1208" s="90">
        <v>1423</v>
      </c>
      <c r="AA1208" s="90">
        <v>3601</v>
      </c>
      <c r="AB1208" s="89">
        <f t="shared" si="405"/>
        <v>0</v>
      </c>
      <c r="AC1208" s="89">
        <f t="shared" si="406"/>
        <v>0</v>
      </c>
      <c r="AD1208" s="89">
        <f t="shared" si="407"/>
        <v>1423</v>
      </c>
      <c r="AF1208" s="90" t="str">
        <f t="shared" si="408"/>
        <v/>
      </c>
      <c r="AG1208" s="90">
        <f t="shared" si="409"/>
        <v>3601</v>
      </c>
      <c r="AH1208" s="90" t="str">
        <f t="shared" si="410"/>
        <v>2018 (triag)</v>
      </c>
      <c r="AI1208" s="90">
        <f t="shared" si="411"/>
        <v>1423</v>
      </c>
      <c r="AJ1208" s="90">
        <f t="shared" si="412"/>
        <v>2022</v>
      </c>
      <c r="AK1208" s="90" t="str">
        <f t="shared" si="413"/>
        <v>Adjust</v>
      </c>
      <c r="AL1208" s="91">
        <f>IF(AK1208="Adjust",(_xlfn.XLOOKUP(A1208,'Adj factor'!A:A,'Adj factor'!I:I,,0)*AI1208),'Master DataSheet (Rev)'!AI1208)</f>
        <v>1829.9595044679122</v>
      </c>
      <c r="AM1208" s="91">
        <f t="shared" si="414"/>
        <v>3601</v>
      </c>
      <c r="AN1208" s="92" t="str">
        <f t="shared" si="415"/>
        <v>Decreasing</v>
      </c>
      <c r="AS1208" s="94">
        <f t="shared" si="416"/>
        <v>0</v>
      </c>
      <c r="AT1208" s="94">
        <f t="shared" si="417"/>
        <v>7.3649254068655994</v>
      </c>
      <c r="AU1208" s="94">
        <f t="shared" si="403"/>
        <v>3.451008092826839</v>
      </c>
      <c r="AV1208" s="94">
        <f t="shared" si="404"/>
        <v>6.7909044500319711</v>
      </c>
    </row>
    <row r="1209" spans="1:48" x14ac:dyDescent="0.3">
      <c r="A1209" s="85" t="str">
        <f>_xlfn.XLOOKUP(B1209,'Country codes &amp; Data sources'!G:G,'Country codes &amp; Data sources'!H:H,,0)</f>
        <v>Liberia</v>
      </c>
      <c r="B1209" s="85" t="s">
        <v>176</v>
      </c>
      <c r="C1209" s="85">
        <v>4331746.5</v>
      </c>
      <c r="D1209" s="85" t="s">
        <v>332</v>
      </c>
      <c r="E1209" s="86">
        <v>0</v>
      </c>
      <c r="F1209" s="86">
        <v>4427312.4999999991</v>
      </c>
      <c r="G1209" s="86">
        <v>806</v>
      </c>
      <c r="H1209" s="86"/>
      <c r="I1209" s="86">
        <v>0</v>
      </c>
      <c r="J1209" s="86"/>
      <c r="K1209" s="86">
        <v>0</v>
      </c>
      <c r="L1209" s="86"/>
      <c r="M1209" s="86">
        <v>0</v>
      </c>
      <c r="N1209" s="86"/>
      <c r="O1209" s="86">
        <v>0</v>
      </c>
      <c r="P1209" s="86">
        <v>4889391</v>
      </c>
      <c r="Q1209" s="86">
        <v>892</v>
      </c>
      <c r="R1209" s="87">
        <f t="shared" si="402"/>
        <v>927</v>
      </c>
      <c r="T1209" s="87">
        <v>767</v>
      </c>
      <c r="U1209" s="89"/>
      <c r="V1209" s="89">
        <v>872</v>
      </c>
      <c r="W1209" s="90"/>
      <c r="X1209" s="90">
        <v>795</v>
      </c>
      <c r="Y1209" s="90">
        <v>5302681.0000000028</v>
      </c>
      <c r="Z1209" s="90">
        <v>769</v>
      </c>
      <c r="AA1209" s="90">
        <v>927</v>
      </c>
      <c r="AB1209" s="89">
        <f t="shared" si="405"/>
        <v>806</v>
      </c>
      <c r="AC1209" s="89">
        <f t="shared" si="406"/>
        <v>892</v>
      </c>
      <c r="AD1209" s="89">
        <f t="shared" si="407"/>
        <v>872</v>
      </c>
      <c r="AE1209" s="90">
        <f t="shared" si="418"/>
        <v>806</v>
      </c>
      <c r="AF1209" s="90">
        <f t="shared" si="408"/>
        <v>2013</v>
      </c>
      <c r="AG1209" s="90">
        <f t="shared" si="409"/>
        <v>927</v>
      </c>
      <c r="AH1209" s="90" t="str">
        <f t="shared" si="410"/>
        <v>2018 (triag)</v>
      </c>
      <c r="AI1209" s="90">
        <f t="shared" si="411"/>
        <v>769</v>
      </c>
      <c r="AJ1209" s="90">
        <f t="shared" si="412"/>
        <v>2022</v>
      </c>
      <c r="AK1209" s="90" t="str">
        <f t="shared" si="413"/>
        <v>Adjust</v>
      </c>
      <c r="AL1209" s="91">
        <f>IF(AK1209="Adjust",(_xlfn.XLOOKUP(A1209,'Adj factor'!A:A,'Adj factor'!I:I,,0)*AI1209),'Master DataSheet (Rev)'!AI1209)</f>
        <v>988.92400487408611</v>
      </c>
      <c r="AM1209" s="91">
        <f t="shared" si="414"/>
        <v>988.92400487408611</v>
      </c>
      <c r="AN1209" s="92" t="str">
        <f t="shared" si="415"/>
        <v>Increasing</v>
      </c>
      <c r="AS1209" s="94">
        <f t="shared" si="416"/>
        <v>1.8205175261515878</v>
      </c>
      <c r="AT1209" s="94">
        <f t="shared" si="417"/>
        <v>1.8959416418118331</v>
      </c>
      <c r="AU1209" s="94">
        <f t="shared" si="403"/>
        <v>1.864950965132705</v>
      </c>
      <c r="AV1209" s="94">
        <f t="shared" si="404"/>
        <v>1.864950965132705</v>
      </c>
    </row>
    <row r="1210" spans="1:48" x14ac:dyDescent="0.3">
      <c r="A1210" s="85" t="str">
        <f>_xlfn.XLOOKUP(B1210,'Country codes &amp; Data sources'!G:G,'Country codes &amp; Data sources'!H:H,,0)</f>
        <v>Liberia</v>
      </c>
      <c r="B1210" s="85" t="s">
        <v>176</v>
      </c>
      <c r="C1210" s="85">
        <v>4331747.5</v>
      </c>
      <c r="D1210" s="85" t="s">
        <v>333</v>
      </c>
      <c r="E1210" s="86">
        <v>0</v>
      </c>
      <c r="F1210" s="86">
        <v>4427312.4999999991</v>
      </c>
      <c r="G1210" s="86">
        <v>806</v>
      </c>
      <c r="H1210" s="86"/>
      <c r="I1210" s="86">
        <v>0</v>
      </c>
      <c r="J1210" s="86"/>
      <c r="K1210" s="86">
        <v>0</v>
      </c>
      <c r="L1210" s="86"/>
      <c r="M1210" s="86">
        <v>0</v>
      </c>
      <c r="N1210" s="86"/>
      <c r="O1210" s="86">
        <v>0</v>
      </c>
      <c r="P1210" s="86">
        <v>4889391</v>
      </c>
      <c r="Q1210" s="86">
        <v>892</v>
      </c>
      <c r="R1210" s="87">
        <f t="shared" si="402"/>
        <v>927</v>
      </c>
      <c r="T1210" s="87">
        <v>767</v>
      </c>
      <c r="U1210" s="89"/>
      <c r="V1210" s="89">
        <v>872</v>
      </c>
      <c r="W1210" s="90"/>
      <c r="X1210" s="90">
        <v>795</v>
      </c>
      <c r="Y1210" s="90">
        <v>5302681.0000000028</v>
      </c>
      <c r="Z1210" s="90">
        <v>769</v>
      </c>
      <c r="AA1210" s="90">
        <v>927</v>
      </c>
      <c r="AB1210" s="89">
        <f t="shared" si="405"/>
        <v>806</v>
      </c>
      <c r="AC1210" s="89">
        <f t="shared" si="406"/>
        <v>892</v>
      </c>
      <c r="AD1210" s="89">
        <f t="shared" si="407"/>
        <v>872</v>
      </c>
      <c r="AE1210" s="90">
        <f t="shared" si="418"/>
        <v>806</v>
      </c>
      <c r="AF1210" s="90">
        <f t="shared" si="408"/>
        <v>2013</v>
      </c>
      <c r="AG1210" s="90">
        <f t="shared" si="409"/>
        <v>927</v>
      </c>
      <c r="AH1210" s="90" t="str">
        <f t="shared" si="410"/>
        <v>2018 (triag)</v>
      </c>
      <c r="AI1210" s="90">
        <f t="shared" si="411"/>
        <v>769</v>
      </c>
      <c r="AJ1210" s="90">
        <f t="shared" si="412"/>
        <v>2022</v>
      </c>
      <c r="AK1210" s="90" t="str">
        <f t="shared" si="413"/>
        <v>Adjust</v>
      </c>
      <c r="AL1210" s="91">
        <f>IF(AK1210="Adjust",(_xlfn.XLOOKUP(A1210,'Adj factor'!A:A,'Adj factor'!I:I,,0)*AI1210),'Master DataSheet (Rev)'!AI1210)</f>
        <v>988.92400487408611</v>
      </c>
      <c r="AM1210" s="91">
        <f t="shared" si="414"/>
        <v>988.92400487408611</v>
      </c>
      <c r="AN1210" s="92" t="str">
        <f t="shared" si="415"/>
        <v>Increasing</v>
      </c>
      <c r="AS1210" s="94">
        <f t="shared" si="416"/>
        <v>1.8205175261515878</v>
      </c>
      <c r="AT1210" s="94">
        <f t="shared" si="417"/>
        <v>1.8959416418118331</v>
      </c>
      <c r="AU1210" s="94">
        <f t="shared" si="403"/>
        <v>1.864950965132705</v>
      </c>
      <c r="AV1210" s="94">
        <f t="shared" si="404"/>
        <v>1.864950965132705</v>
      </c>
    </row>
    <row r="1211" spans="1:48" x14ac:dyDescent="0.3">
      <c r="A1211" s="85" t="str">
        <f>_xlfn.XLOOKUP(B1211,'Country codes &amp; Data sources'!G:G,'Country codes &amp; Data sources'!H:H,,0)</f>
        <v>Liberia</v>
      </c>
      <c r="B1211" s="85" t="s">
        <v>176</v>
      </c>
      <c r="C1211" s="85">
        <v>4331748.5</v>
      </c>
      <c r="D1211" s="85" t="s">
        <v>334</v>
      </c>
      <c r="E1211" s="86">
        <v>0</v>
      </c>
      <c r="F1211" s="86">
        <v>4427312.4999999991</v>
      </c>
      <c r="G1211" s="86">
        <v>0</v>
      </c>
      <c r="H1211" s="86"/>
      <c r="I1211" s="86">
        <v>0</v>
      </c>
      <c r="J1211" s="86"/>
      <c r="K1211" s="86">
        <v>0</v>
      </c>
      <c r="L1211" s="86"/>
      <c r="M1211" s="86">
        <v>0</v>
      </c>
      <c r="N1211" s="86"/>
      <c r="O1211" s="86">
        <v>0</v>
      </c>
      <c r="P1211" s="86">
        <v>4889391</v>
      </c>
      <c r="Q1211" s="86">
        <v>0</v>
      </c>
      <c r="R1211" s="87">
        <f t="shared" si="402"/>
        <v>0</v>
      </c>
      <c r="T1211" s="87">
        <v>0</v>
      </c>
      <c r="U1211" s="89"/>
      <c r="V1211" s="89">
        <v>0</v>
      </c>
      <c r="W1211" s="90"/>
      <c r="X1211" s="90">
        <v>0</v>
      </c>
      <c r="Y1211" s="90">
        <v>5302681.0000000028</v>
      </c>
      <c r="Z1211" s="90">
        <v>0</v>
      </c>
      <c r="AA1211" s="90">
        <v>0</v>
      </c>
      <c r="AB1211" s="89">
        <f t="shared" si="405"/>
        <v>0</v>
      </c>
      <c r="AC1211" s="89">
        <f t="shared" si="406"/>
        <v>0</v>
      </c>
      <c r="AD1211" s="89">
        <f t="shared" si="407"/>
        <v>0</v>
      </c>
      <c r="AF1211" s="90" t="str">
        <f t="shared" si="408"/>
        <v/>
      </c>
      <c r="AH1211" s="90" t="str">
        <f t="shared" si="410"/>
        <v/>
      </c>
      <c r="AI1211" s="90">
        <f t="shared" si="411"/>
        <v>0</v>
      </c>
      <c r="AJ1211" s="90" t="str">
        <f t="shared" si="412"/>
        <v/>
      </c>
      <c r="AK1211" s="90" t="str">
        <f t="shared" si="413"/>
        <v/>
      </c>
      <c r="AL1211" s="91"/>
      <c r="AM1211" s="91">
        <f t="shared" si="414"/>
        <v>0</v>
      </c>
      <c r="AN1211" s="92" t="str">
        <f t="shared" si="415"/>
        <v>No change</v>
      </c>
      <c r="AS1211" s="94">
        <f t="shared" si="416"/>
        <v>0</v>
      </c>
      <c r="AT1211" s="94">
        <f t="shared" si="417"/>
        <v>0</v>
      </c>
      <c r="AU1211" s="94">
        <f t="shared" si="403"/>
        <v>0</v>
      </c>
      <c r="AV1211" s="94">
        <f t="shared" si="404"/>
        <v>0</v>
      </c>
    </row>
    <row r="1212" spans="1:48" x14ac:dyDescent="0.3">
      <c r="A1212" s="85" t="str">
        <f>_xlfn.XLOOKUP(B1212,'Country codes &amp; Data sources'!G:G,'Country codes &amp; Data sources'!H:H,,0)</f>
        <v>Liberia</v>
      </c>
      <c r="B1212" s="85" t="s">
        <v>176</v>
      </c>
      <c r="C1212" s="85">
        <v>4331749.5</v>
      </c>
      <c r="D1212" s="85" t="s">
        <v>335</v>
      </c>
      <c r="E1212" s="86">
        <v>0</v>
      </c>
      <c r="F1212" s="86">
        <v>4427312.4999999991</v>
      </c>
      <c r="G1212" s="86">
        <v>0</v>
      </c>
      <c r="H1212" s="86"/>
      <c r="I1212" s="86">
        <v>0</v>
      </c>
      <c r="J1212" s="86"/>
      <c r="K1212" s="86">
        <v>0</v>
      </c>
      <c r="L1212" s="86"/>
      <c r="M1212" s="86">
        <v>0</v>
      </c>
      <c r="N1212" s="86"/>
      <c r="O1212" s="86">
        <v>0</v>
      </c>
      <c r="P1212" s="86">
        <v>4889391</v>
      </c>
      <c r="Q1212" s="86">
        <v>93</v>
      </c>
      <c r="R1212" s="87">
        <f t="shared" si="402"/>
        <v>109</v>
      </c>
      <c r="T1212" s="87">
        <v>54</v>
      </c>
      <c r="U1212" s="89"/>
      <c r="V1212" s="89">
        <v>127</v>
      </c>
      <c r="W1212" s="90"/>
      <c r="X1212" s="90">
        <v>124</v>
      </c>
      <c r="Y1212" s="90">
        <v>5302681.0000000028</v>
      </c>
      <c r="Z1212" s="90">
        <v>170</v>
      </c>
      <c r="AA1212" s="90">
        <v>109</v>
      </c>
      <c r="AB1212" s="89">
        <f t="shared" si="405"/>
        <v>0</v>
      </c>
      <c r="AC1212" s="89">
        <f t="shared" si="406"/>
        <v>93</v>
      </c>
      <c r="AD1212" s="89">
        <f t="shared" si="407"/>
        <v>170</v>
      </c>
      <c r="AF1212" s="90" t="str">
        <f t="shared" si="408"/>
        <v/>
      </c>
      <c r="AG1212" s="90">
        <f t="shared" si="409"/>
        <v>109</v>
      </c>
      <c r="AH1212" s="90" t="str">
        <f t="shared" si="410"/>
        <v>2018 (triag)</v>
      </c>
      <c r="AI1212" s="90">
        <f t="shared" si="411"/>
        <v>170</v>
      </c>
      <c r="AJ1212" s="90">
        <f t="shared" si="412"/>
        <v>2022</v>
      </c>
      <c r="AK1212" s="90" t="str">
        <f t="shared" si="413"/>
        <v/>
      </c>
      <c r="AL1212" s="91">
        <f>IF(AK1212="Adjust",(_xlfn.XLOOKUP(A1212,'Adj factor'!A:A,'Adj factor'!I:I,,0)*AI1212),'Master DataSheet (Rev)'!AI1212)</f>
        <v>170</v>
      </c>
      <c r="AM1212" s="91">
        <f t="shared" si="414"/>
        <v>170</v>
      </c>
      <c r="AN1212" s="92" t="str">
        <f t="shared" si="415"/>
        <v>Increasing</v>
      </c>
      <c r="AS1212" s="94">
        <f t="shared" si="416"/>
        <v>0</v>
      </c>
      <c r="AT1212" s="94">
        <f t="shared" si="417"/>
        <v>0.22293164936083043</v>
      </c>
      <c r="AU1212" s="94">
        <f t="shared" si="403"/>
        <v>0.32059254554441408</v>
      </c>
      <c r="AV1212" s="94">
        <f t="shared" si="404"/>
        <v>0.32059254554441408</v>
      </c>
    </row>
    <row r="1213" spans="1:48" x14ac:dyDescent="0.3">
      <c r="A1213" s="85" t="str">
        <f>_xlfn.XLOOKUP(B1213,'Country codes &amp; Data sources'!G:G,'Country codes &amp; Data sources'!H:H,,0)</f>
        <v>Liberia</v>
      </c>
      <c r="B1213" s="85" t="s">
        <v>176</v>
      </c>
      <c r="C1213" s="85">
        <v>4331750.5</v>
      </c>
      <c r="D1213" s="85" t="s">
        <v>336</v>
      </c>
      <c r="E1213" s="86">
        <v>0</v>
      </c>
      <c r="F1213" s="86">
        <v>4427312.4999999991</v>
      </c>
      <c r="G1213" s="86">
        <v>0</v>
      </c>
      <c r="H1213" s="86"/>
      <c r="I1213" s="86">
        <v>0</v>
      </c>
      <c r="J1213" s="86"/>
      <c r="K1213" s="86">
        <v>0</v>
      </c>
      <c r="L1213" s="86"/>
      <c r="M1213" s="86">
        <v>0</v>
      </c>
      <c r="N1213" s="86"/>
      <c r="O1213" s="86">
        <v>0</v>
      </c>
      <c r="P1213" s="86">
        <v>4889391</v>
      </c>
      <c r="Q1213" s="86">
        <v>0</v>
      </c>
      <c r="R1213" s="87">
        <f t="shared" si="402"/>
        <v>962</v>
      </c>
      <c r="T1213" s="87">
        <v>201</v>
      </c>
      <c r="U1213" s="89"/>
      <c r="V1213" s="89">
        <v>486</v>
      </c>
      <c r="W1213" s="90"/>
      <c r="X1213" s="90">
        <v>472</v>
      </c>
      <c r="Y1213" s="90">
        <v>5302681.0000000028</v>
      </c>
      <c r="Z1213" s="90">
        <v>447</v>
      </c>
      <c r="AA1213" s="90">
        <v>962</v>
      </c>
      <c r="AB1213" s="89">
        <f t="shared" si="405"/>
        <v>0</v>
      </c>
      <c r="AC1213" s="89">
        <f t="shared" si="406"/>
        <v>201</v>
      </c>
      <c r="AD1213" s="89">
        <f t="shared" si="407"/>
        <v>486</v>
      </c>
      <c r="AF1213" s="90" t="str">
        <f t="shared" si="408"/>
        <v/>
      </c>
      <c r="AG1213" s="90">
        <f t="shared" si="409"/>
        <v>962</v>
      </c>
      <c r="AH1213" s="90" t="str">
        <f t="shared" si="410"/>
        <v>2018 (triag)</v>
      </c>
      <c r="AI1213" s="90">
        <f t="shared" si="411"/>
        <v>447</v>
      </c>
      <c r="AJ1213" s="90">
        <f t="shared" si="412"/>
        <v>2022</v>
      </c>
      <c r="AK1213" s="90" t="str">
        <f t="shared" si="413"/>
        <v>Adjust</v>
      </c>
      <c r="AL1213" s="91">
        <f>IF(AK1213="Adjust",(_xlfn.XLOOKUP(A1213,'Adj factor'!A:A,'Adj factor'!I:I,,0)*AI1213),'Master DataSheet (Rev)'!AI1213)</f>
        <v>574.83619008935818</v>
      </c>
      <c r="AM1213" s="91">
        <f t="shared" si="414"/>
        <v>962</v>
      </c>
      <c r="AN1213" s="92" t="str">
        <f t="shared" si="415"/>
        <v>Decreasing</v>
      </c>
      <c r="AS1213" s="94">
        <f t="shared" si="416"/>
        <v>0</v>
      </c>
      <c r="AT1213" s="94">
        <f t="shared" si="417"/>
        <v>1.9675251989460447</v>
      </c>
      <c r="AU1213" s="94">
        <f t="shared" si="403"/>
        <v>1.0840482203047062</v>
      </c>
      <c r="AV1213" s="94">
        <f t="shared" si="404"/>
        <v>1.8141766400807431</v>
      </c>
    </row>
    <row r="1214" spans="1:48" x14ac:dyDescent="0.3">
      <c r="A1214" s="85" t="str">
        <f>_xlfn.XLOOKUP(B1214,'Country codes &amp; Data sources'!G:G,'Country codes &amp; Data sources'!H:H,,0)</f>
        <v>Liberia</v>
      </c>
      <c r="B1214" s="85" t="s">
        <v>176</v>
      </c>
      <c r="C1214" s="85">
        <v>4331751.5</v>
      </c>
      <c r="D1214" s="85" t="s">
        <v>337</v>
      </c>
      <c r="E1214" s="86">
        <v>0</v>
      </c>
      <c r="F1214" s="86">
        <v>4427312.4999999991</v>
      </c>
      <c r="G1214" s="86">
        <v>0</v>
      </c>
      <c r="H1214" s="86"/>
      <c r="I1214" s="86">
        <v>0</v>
      </c>
      <c r="J1214" s="86"/>
      <c r="K1214" s="86">
        <v>0</v>
      </c>
      <c r="L1214" s="86"/>
      <c r="M1214" s="86">
        <v>0</v>
      </c>
      <c r="N1214" s="86"/>
      <c r="O1214" s="86">
        <v>0</v>
      </c>
      <c r="P1214" s="86">
        <v>4889391</v>
      </c>
      <c r="Q1214" s="86">
        <v>3</v>
      </c>
      <c r="R1214" s="87">
        <f t="shared" si="402"/>
        <v>14</v>
      </c>
      <c r="T1214" s="87">
        <v>4</v>
      </c>
      <c r="U1214" s="89"/>
      <c r="V1214" s="89">
        <v>6</v>
      </c>
      <c r="W1214" s="90"/>
      <c r="X1214" s="90">
        <v>6</v>
      </c>
      <c r="Y1214" s="90">
        <v>5302681.0000000028</v>
      </c>
      <c r="Z1214" s="90">
        <v>6</v>
      </c>
      <c r="AA1214" s="90">
        <v>14</v>
      </c>
      <c r="AB1214" s="89">
        <f t="shared" si="405"/>
        <v>0</v>
      </c>
      <c r="AC1214" s="89">
        <f t="shared" si="406"/>
        <v>4</v>
      </c>
      <c r="AD1214" s="89">
        <f t="shared" si="407"/>
        <v>6</v>
      </c>
      <c r="AF1214" s="90" t="str">
        <f t="shared" si="408"/>
        <v/>
      </c>
      <c r="AG1214" s="90">
        <f t="shared" si="409"/>
        <v>14</v>
      </c>
      <c r="AH1214" s="90" t="str">
        <f t="shared" si="410"/>
        <v>2018 (triag)</v>
      </c>
      <c r="AI1214" s="90">
        <f t="shared" si="411"/>
        <v>6</v>
      </c>
      <c r="AJ1214" s="90">
        <f t="shared" si="412"/>
        <v>2020</v>
      </c>
      <c r="AK1214" s="90" t="str">
        <f t="shared" si="413"/>
        <v>Adjust</v>
      </c>
      <c r="AL1214" s="91">
        <f>IF(AK1214="Adjust",(_xlfn.XLOOKUP(A1214,'Adj factor'!A:A,'Adj factor'!I:I,,0)*AI1214),'Master DataSheet (Rev)'!AI1214)</f>
        <v>7.715922014622258</v>
      </c>
      <c r="AM1214" s="91">
        <f t="shared" si="414"/>
        <v>14</v>
      </c>
      <c r="AN1214" s="92" t="str">
        <f t="shared" si="415"/>
        <v>Decreasing</v>
      </c>
      <c r="AS1214" s="94">
        <f t="shared" si="416"/>
        <v>0</v>
      </c>
      <c r="AT1214" s="94">
        <f t="shared" si="417"/>
        <v>2.8633422853684642E-2</v>
      </c>
      <c r="AU1214" s="94">
        <f t="shared" si="403"/>
        <v>1.4550982822881961E-2</v>
      </c>
      <c r="AV1214" s="94">
        <f t="shared" si="404"/>
        <v>2.6401739044834099E-2</v>
      </c>
    </row>
    <row r="1215" spans="1:48" x14ac:dyDescent="0.3">
      <c r="A1215" s="85" t="str">
        <f>_xlfn.XLOOKUP(B1215,'Country codes &amp; Data sources'!G:G,'Country codes &amp; Data sources'!H:H,,0)</f>
        <v>Liberia</v>
      </c>
      <c r="B1215" s="85" t="s">
        <v>176</v>
      </c>
      <c r="C1215" s="85">
        <v>4331752.5</v>
      </c>
      <c r="D1215" s="85" t="s">
        <v>338</v>
      </c>
      <c r="E1215" s="86">
        <v>0</v>
      </c>
      <c r="F1215" s="86">
        <v>4427312.4999999991</v>
      </c>
      <c r="G1215" s="86">
        <v>0</v>
      </c>
      <c r="H1215" s="86"/>
      <c r="I1215" s="86">
        <v>0</v>
      </c>
      <c r="J1215" s="86"/>
      <c r="K1215" s="86">
        <v>0</v>
      </c>
      <c r="L1215" s="86"/>
      <c r="M1215" s="86">
        <v>0</v>
      </c>
      <c r="N1215" s="86"/>
      <c r="O1215" s="86">
        <v>0</v>
      </c>
      <c r="P1215" s="86">
        <v>4889391</v>
      </c>
      <c r="Q1215" s="86">
        <v>0</v>
      </c>
      <c r="R1215" s="87">
        <f t="shared" ref="R1215:R1278" si="419">MAX(Q1215,AA1215)</f>
        <v>10</v>
      </c>
      <c r="T1215" s="87">
        <v>0</v>
      </c>
      <c r="U1215" s="89"/>
      <c r="V1215" s="89">
        <v>0</v>
      </c>
      <c r="W1215" s="90"/>
      <c r="X1215" s="90">
        <v>0</v>
      </c>
      <c r="Y1215" s="90">
        <v>5302681.0000000028</v>
      </c>
      <c r="Z1215" s="90">
        <v>0</v>
      </c>
      <c r="AA1215" s="90">
        <v>10</v>
      </c>
      <c r="AB1215" s="89">
        <f t="shared" si="405"/>
        <v>0</v>
      </c>
      <c r="AC1215" s="89">
        <f t="shared" si="406"/>
        <v>0</v>
      </c>
      <c r="AD1215" s="89">
        <f t="shared" si="407"/>
        <v>0</v>
      </c>
      <c r="AF1215" s="90" t="str">
        <f t="shared" si="408"/>
        <v/>
      </c>
      <c r="AG1215" s="90">
        <f t="shared" si="409"/>
        <v>10</v>
      </c>
      <c r="AH1215" s="90" t="str">
        <f t="shared" si="410"/>
        <v>2018 (triag)</v>
      </c>
      <c r="AI1215" s="90">
        <f t="shared" si="411"/>
        <v>10</v>
      </c>
      <c r="AJ1215" s="90" t="str">
        <f t="shared" si="412"/>
        <v>2018 (triag)</v>
      </c>
      <c r="AK1215" s="90" t="str">
        <f t="shared" si="413"/>
        <v/>
      </c>
      <c r="AL1215" s="91">
        <f>IF(AK1215="Adjust",(_xlfn.XLOOKUP(A1215,'Adj factor'!A:A,'Adj factor'!I:I,,0)*AI1215),'Master DataSheet (Rev)'!AI1215)</f>
        <v>10</v>
      </c>
      <c r="AM1215" s="91">
        <f t="shared" si="414"/>
        <v>10</v>
      </c>
      <c r="AN1215" s="92" t="str">
        <f t="shared" si="415"/>
        <v>No change</v>
      </c>
      <c r="AS1215" s="94">
        <f t="shared" si="416"/>
        <v>0</v>
      </c>
      <c r="AT1215" s="94">
        <f t="shared" si="417"/>
        <v>2.045244489548903E-2</v>
      </c>
      <c r="AU1215" s="94">
        <f t="shared" si="403"/>
        <v>1.8858385032024357E-2</v>
      </c>
      <c r="AV1215" s="94">
        <f t="shared" si="404"/>
        <v>1.8858385032024357E-2</v>
      </c>
    </row>
    <row r="1216" spans="1:48" x14ac:dyDescent="0.3">
      <c r="A1216" s="85" t="str">
        <f>_xlfn.XLOOKUP(B1216,'Country codes &amp; Data sources'!G:G,'Country codes &amp; Data sources'!H:H,,0)</f>
        <v>Liberia</v>
      </c>
      <c r="B1216" s="85" t="s">
        <v>176</v>
      </c>
      <c r="C1216" s="85">
        <v>4331753.5</v>
      </c>
      <c r="D1216" s="85" t="s">
        <v>339</v>
      </c>
      <c r="E1216" s="86">
        <v>0</v>
      </c>
      <c r="F1216" s="86">
        <v>4427312.4999999991</v>
      </c>
      <c r="G1216" s="86">
        <v>0</v>
      </c>
      <c r="H1216" s="86"/>
      <c r="I1216" s="86">
        <v>0</v>
      </c>
      <c r="J1216" s="86"/>
      <c r="K1216" s="86">
        <v>0</v>
      </c>
      <c r="L1216" s="86"/>
      <c r="M1216" s="86">
        <v>0</v>
      </c>
      <c r="N1216" s="86"/>
      <c r="O1216" s="86">
        <v>0</v>
      </c>
      <c r="P1216" s="86">
        <v>4889391</v>
      </c>
      <c r="Q1216" s="86">
        <v>0</v>
      </c>
      <c r="R1216" s="87">
        <f t="shared" si="419"/>
        <v>0</v>
      </c>
      <c r="T1216" s="87">
        <v>0</v>
      </c>
      <c r="U1216" s="89"/>
      <c r="V1216" s="89">
        <v>0</v>
      </c>
      <c r="W1216" s="90"/>
      <c r="X1216" s="90">
        <v>0</v>
      </c>
      <c r="Y1216" s="90">
        <v>5302681.0000000028</v>
      </c>
      <c r="Z1216" s="90">
        <v>0</v>
      </c>
      <c r="AA1216" s="90">
        <v>0</v>
      </c>
      <c r="AB1216" s="89">
        <f t="shared" si="405"/>
        <v>0</v>
      </c>
      <c r="AC1216" s="89">
        <f t="shared" si="406"/>
        <v>0</v>
      </c>
      <c r="AD1216" s="89">
        <f t="shared" si="407"/>
        <v>0</v>
      </c>
      <c r="AF1216" s="90" t="str">
        <f t="shared" si="408"/>
        <v/>
      </c>
      <c r="AH1216" s="90" t="str">
        <f t="shared" si="410"/>
        <v/>
      </c>
      <c r="AI1216" s="90">
        <f t="shared" si="411"/>
        <v>0</v>
      </c>
      <c r="AJ1216" s="90" t="str">
        <f t="shared" si="412"/>
        <v/>
      </c>
      <c r="AK1216" s="90" t="str">
        <f t="shared" si="413"/>
        <v/>
      </c>
      <c r="AL1216" s="91"/>
      <c r="AM1216" s="91">
        <f t="shared" si="414"/>
        <v>0</v>
      </c>
      <c r="AN1216" s="92" t="str">
        <f t="shared" si="415"/>
        <v>No change</v>
      </c>
      <c r="AS1216" s="94">
        <f t="shared" si="416"/>
        <v>0</v>
      </c>
      <c r="AT1216" s="94">
        <f t="shared" si="417"/>
        <v>0</v>
      </c>
      <c r="AU1216" s="94">
        <f t="shared" si="403"/>
        <v>0</v>
      </c>
      <c r="AV1216" s="94">
        <f t="shared" si="404"/>
        <v>0</v>
      </c>
    </row>
    <row r="1217" spans="1:48" x14ac:dyDescent="0.3">
      <c r="A1217" s="85" t="str">
        <f>_xlfn.XLOOKUP(B1217,'Country codes &amp; Data sources'!G:G,'Country codes &amp; Data sources'!H:H,,0)</f>
        <v>Lesotho</v>
      </c>
      <c r="B1217" s="85" t="s">
        <v>160</v>
      </c>
      <c r="C1217" s="85">
        <v>2054717.9999999998</v>
      </c>
      <c r="D1217" s="85" t="s">
        <v>326</v>
      </c>
      <c r="E1217" s="86">
        <v>0</v>
      </c>
      <c r="F1217" s="86">
        <v>2073938.4999999998</v>
      </c>
      <c r="G1217" s="86">
        <v>0</v>
      </c>
      <c r="H1217" s="86">
        <v>2095242.4999999993</v>
      </c>
      <c r="I1217" s="86">
        <v>0</v>
      </c>
      <c r="J1217" s="86">
        <v>2118520.5000000019</v>
      </c>
      <c r="K1217" s="86">
        <v>0</v>
      </c>
      <c r="L1217" s="86">
        <v>2143872.0000000023</v>
      </c>
      <c r="M1217" s="86">
        <v>0</v>
      </c>
      <c r="N1217" s="86">
        <v>2170616.9999999995</v>
      </c>
      <c r="O1217" s="86">
        <v>0</v>
      </c>
      <c r="P1217" s="86">
        <v>2198017</v>
      </c>
      <c r="Q1217" s="86">
        <v>998</v>
      </c>
      <c r="R1217" s="87">
        <f t="shared" si="419"/>
        <v>998</v>
      </c>
      <c r="S1217" s="87">
        <v>2225701.4999999995</v>
      </c>
      <c r="T1217" s="87">
        <v>0</v>
      </c>
      <c r="U1217" s="89">
        <v>2254100.0000000005</v>
      </c>
      <c r="V1217" s="89">
        <v>0</v>
      </c>
      <c r="W1217" s="90">
        <v>2281454.5000000014</v>
      </c>
      <c r="X1217" s="103">
        <v>420</v>
      </c>
      <c r="Y1217" s="90">
        <v>2305825.5000000019</v>
      </c>
      <c r="Z1217" s="103">
        <v>420</v>
      </c>
      <c r="AA1217" s="90">
        <v>998</v>
      </c>
      <c r="AB1217" s="89">
        <f t="shared" si="405"/>
        <v>0</v>
      </c>
      <c r="AC1217" s="89">
        <f t="shared" si="406"/>
        <v>998</v>
      </c>
      <c r="AD1217" s="89">
        <f t="shared" si="407"/>
        <v>420</v>
      </c>
      <c r="AF1217" s="90" t="str">
        <f t="shared" si="408"/>
        <v/>
      </c>
      <c r="AG1217" s="90">
        <f t="shared" si="409"/>
        <v>998</v>
      </c>
      <c r="AH1217" s="90">
        <f t="shared" si="410"/>
        <v>2018</v>
      </c>
      <c r="AI1217" s="90">
        <f t="shared" si="411"/>
        <v>420</v>
      </c>
      <c r="AJ1217" s="90">
        <v>2022</v>
      </c>
      <c r="AK1217" s="90" t="str">
        <f t="shared" si="413"/>
        <v>Adjust</v>
      </c>
      <c r="AL1217" s="91">
        <f>IF(AK1217="Adjust",(_xlfn.XLOOKUP(A1217,'Adj factor'!A:A,'Adj factor'!I:I,,0)*AI1217),'Master DataSheet (Rev)'!AI1217)</f>
        <v>536.60977859778598</v>
      </c>
      <c r="AM1217" s="91">
        <f t="shared" si="414"/>
        <v>998</v>
      </c>
      <c r="AN1217" s="92" t="str">
        <f t="shared" si="415"/>
        <v>Decreasing</v>
      </c>
      <c r="AS1217" s="94">
        <f t="shared" si="416"/>
        <v>0</v>
      </c>
      <c r="AT1217" s="94">
        <f t="shared" si="417"/>
        <v>4.5404562385095293</v>
      </c>
      <c r="AU1217" s="94">
        <f t="shared" si="403"/>
        <v>2.3271916222532258</v>
      </c>
      <c r="AV1217" s="94">
        <f t="shared" si="404"/>
        <v>4.3281679381202052</v>
      </c>
    </row>
    <row r="1218" spans="1:48" x14ac:dyDescent="0.3">
      <c r="A1218" s="85" t="str">
        <f>_xlfn.XLOOKUP(B1218,'Country codes &amp; Data sources'!G:G,'Country codes &amp; Data sources'!H:H,,0)</f>
        <v>Lesotho</v>
      </c>
      <c r="B1218" s="85" t="s">
        <v>160</v>
      </c>
      <c r="C1218" s="85">
        <v>2054719</v>
      </c>
      <c r="D1218" s="85" t="s">
        <v>327</v>
      </c>
      <c r="E1218" s="86">
        <v>0</v>
      </c>
      <c r="F1218" s="86">
        <v>2073938.4999999998</v>
      </c>
      <c r="G1218" s="86">
        <v>0</v>
      </c>
      <c r="H1218" s="86"/>
      <c r="I1218" s="86">
        <v>0</v>
      </c>
      <c r="J1218" s="86"/>
      <c r="K1218" s="86">
        <v>0</v>
      </c>
      <c r="L1218" s="86"/>
      <c r="M1218" s="86">
        <v>0</v>
      </c>
      <c r="N1218" s="86"/>
      <c r="O1218" s="86">
        <v>0</v>
      </c>
      <c r="P1218" s="86">
        <v>2198017</v>
      </c>
      <c r="Q1218" s="86">
        <v>815</v>
      </c>
      <c r="R1218" s="87">
        <f t="shared" si="419"/>
        <v>815</v>
      </c>
      <c r="T1218" s="87">
        <v>0</v>
      </c>
      <c r="U1218" s="89"/>
      <c r="V1218" s="89">
        <v>0</v>
      </c>
      <c r="W1218" s="90"/>
      <c r="X1218" s="90">
        <v>0</v>
      </c>
      <c r="Y1218" s="90">
        <v>2305825.5000000019</v>
      </c>
      <c r="Z1218" s="90">
        <v>281</v>
      </c>
      <c r="AA1218" s="90">
        <v>815</v>
      </c>
      <c r="AB1218" s="89">
        <f t="shared" si="405"/>
        <v>0</v>
      </c>
      <c r="AC1218" s="89">
        <f t="shared" si="406"/>
        <v>815</v>
      </c>
      <c r="AD1218" s="89">
        <f t="shared" si="407"/>
        <v>281</v>
      </c>
      <c r="AF1218" s="90" t="str">
        <f t="shared" si="408"/>
        <v/>
      </c>
      <c r="AG1218" s="90">
        <f t="shared" si="409"/>
        <v>815</v>
      </c>
      <c r="AH1218" s="90">
        <f t="shared" si="410"/>
        <v>2018</v>
      </c>
      <c r="AI1218" s="90">
        <f t="shared" si="411"/>
        <v>281</v>
      </c>
      <c r="AJ1218" s="90">
        <f t="shared" si="412"/>
        <v>2022</v>
      </c>
      <c r="AK1218" s="90" t="str">
        <f t="shared" si="413"/>
        <v>Adjust</v>
      </c>
      <c r="AL1218" s="91">
        <f>IF(AK1218="Adjust",(_xlfn.XLOOKUP(A1218,'Adj factor'!A:A,'Adj factor'!I:I,,0)*AI1218),'Master DataSheet (Rev)'!AI1218)</f>
        <v>359.01749472851873</v>
      </c>
      <c r="AM1218" s="91">
        <f t="shared" si="414"/>
        <v>815</v>
      </c>
      <c r="AN1218" s="92" t="str">
        <f t="shared" si="415"/>
        <v>Decreasing</v>
      </c>
      <c r="AS1218" s="94">
        <f t="shared" si="416"/>
        <v>0</v>
      </c>
      <c r="AT1218" s="94">
        <f t="shared" si="417"/>
        <v>3.7078876096044753</v>
      </c>
      <c r="AU1218" s="94">
        <f t="shared" si="403"/>
        <v>1.5570020139360869</v>
      </c>
      <c r="AV1218" s="94">
        <f t="shared" si="404"/>
        <v>3.5345259214107889</v>
      </c>
    </row>
    <row r="1219" spans="1:48" x14ac:dyDescent="0.3">
      <c r="A1219" s="85" t="str">
        <f>_xlfn.XLOOKUP(B1219,'Country codes &amp; Data sources'!G:G,'Country codes &amp; Data sources'!H:H,,0)</f>
        <v>Lesotho</v>
      </c>
      <c r="B1219" s="85" t="s">
        <v>160</v>
      </c>
      <c r="C1219" s="85">
        <v>2054720</v>
      </c>
      <c r="D1219" s="85" t="s">
        <v>328</v>
      </c>
      <c r="E1219" s="86">
        <v>0</v>
      </c>
      <c r="F1219" s="86">
        <v>2073938.4999999998</v>
      </c>
      <c r="G1219" s="86">
        <v>0</v>
      </c>
      <c r="H1219" s="86"/>
      <c r="I1219" s="86">
        <v>0</v>
      </c>
      <c r="J1219" s="86"/>
      <c r="K1219" s="86">
        <v>0</v>
      </c>
      <c r="L1219" s="86"/>
      <c r="M1219" s="86">
        <v>0</v>
      </c>
      <c r="N1219" s="86"/>
      <c r="O1219" s="86">
        <v>0</v>
      </c>
      <c r="P1219" s="86">
        <v>2198017</v>
      </c>
      <c r="Q1219" s="86">
        <v>183</v>
      </c>
      <c r="R1219" s="87">
        <f t="shared" si="419"/>
        <v>183</v>
      </c>
      <c r="T1219" s="87">
        <v>0</v>
      </c>
      <c r="U1219" s="89"/>
      <c r="V1219" s="89">
        <v>0</v>
      </c>
      <c r="W1219" s="90"/>
      <c r="X1219" s="90">
        <v>0</v>
      </c>
      <c r="Y1219" s="90">
        <v>2305825.5000000019</v>
      </c>
      <c r="Z1219" s="90">
        <v>66</v>
      </c>
      <c r="AA1219" s="90">
        <v>183</v>
      </c>
      <c r="AB1219" s="89">
        <f t="shared" si="405"/>
        <v>0</v>
      </c>
      <c r="AC1219" s="89">
        <f t="shared" si="406"/>
        <v>183</v>
      </c>
      <c r="AD1219" s="89">
        <f t="shared" si="407"/>
        <v>66</v>
      </c>
      <c r="AF1219" s="90" t="str">
        <f t="shared" si="408"/>
        <v/>
      </c>
      <c r="AG1219" s="90">
        <f t="shared" si="409"/>
        <v>183</v>
      </c>
      <c r="AH1219" s="90">
        <f t="shared" si="410"/>
        <v>2018</v>
      </c>
      <c r="AI1219" s="90">
        <f t="shared" si="411"/>
        <v>66</v>
      </c>
      <c r="AJ1219" s="90">
        <f t="shared" si="412"/>
        <v>2022</v>
      </c>
      <c r="AK1219" s="90" t="str">
        <f t="shared" si="413"/>
        <v>Adjust</v>
      </c>
      <c r="AL1219" s="91">
        <f>IF(AK1219="Adjust",(_xlfn.XLOOKUP(A1219,'Adj factor'!A:A,'Adj factor'!I:I,,0)*AI1219),'Master DataSheet (Rev)'!AI1219)</f>
        <v>84.324393779652084</v>
      </c>
      <c r="AM1219" s="91">
        <f t="shared" si="414"/>
        <v>183</v>
      </c>
      <c r="AN1219" s="92" t="str">
        <f t="shared" si="415"/>
        <v>Decreasing</v>
      </c>
      <c r="AS1219" s="94">
        <f t="shared" si="416"/>
        <v>0</v>
      </c>
      <c r="AT1219" s="94">
        <f t="shared" si="417"/>
        <v>0.83256862890505401</v>
      </c>
      <c r="AU1219" s="94">
        <f t="shared" ref="AU1219:AU1282" si="420">(AL1219*10000)/Y1219</f>
        <v>0.36570154063979265</v>
      </c>
      <c r="AV1219" s="94">
        <f t="shared" ref="AV1219:AV1282" si="421">(AM1219*10000)/Y1219</f>
        <v>0.79364201670941648</v>
      </c>
    </row>
    <row r="1220" spans="1:48" x14ac:dyDescent="0.3">
      <c r="A1220" s="85" t="str">
        <f>_xlfn.XLOOKUP(B1220,'Country codes &amp; Data sources'!G:G,'Country codes &amp; Data sources'!H:H,,0)</f>
        <v>Lesotho</v>
      </c>
      <c r="B1220" s="85" t="s">
        <v>160</v>
      </c>
      <c r="C1220" s="85">
        <v>2054721</v>
      </c>
      <c r="D1220" s="85" t="s">
        <v>329</v>
      </c>
      <c r="E1220" s="86">
        <v>0</v>
      </c>
      <c r="F1220" s="86">
        <v>2073938.4999999998</v>
      </c>
      <c r="G1220" s="86">
        <v>0</v>
      </c>
      <c r="H1220" s="86"/>
      <c r="I1220" s="86">
        <v>0</v>
      </c>
      <c r="J1220" s="86"/>
      <c r="K1220" s="86">
        <v>0</v>
      </c>
      <c r="L1220" s="86"/>
      <c r="M1220" s="86">
        <v>0</v>
      </c>
      <c r="N1220" s="86"/>
      <c r="O1220" s="86">
        <v>0</v>
      </c>
      <c r="P1220" s="86">
        <v>2198017</v>
      </c>
      <c r="Q1220" s="86">
        <v>6866</v>
      </c>
      <c r="R1220" s="87">
        <f t="shared" si="419"/>
        <v>6866</v>
      </c>
      <c r="T1220" s="87">
        <v>0</v>
      </c>
      <c r="U1220" s="89"/>
      <c r="V1220" s="89">
        <v>0</v>
      </c>
      <c r="W1220" s="90"/>
      <c r="X1220" s="90">
        <v>0</v>
      </c>
      <c r="Y1220" s="90">
        <v>2305825.5000000019</v>
      </c>
      <c r="Z1220" s="90">
        <v>967</v>
      </c>
      <c r="AA1220" s="90">
        <v>967</v>
      </c>
      <c r="AB1220" s="89">
        <f t="shared" si="405"/>
        <v>0</v>
      </c>
      <c r="AC1220" s="89">
        <f t="shared" si="406"/>
        <v>6866</v>
      </c>
      <c r="AD1220" s="89">
        <f t="shared" si="407"/>
        <v>967</v>
      </c>
      <c r="AF1220" s="90" t="str">
        <f t="shared" si="408"/>
        <v/>
      </c>
      <c r="AG1220" s="90">
        <f t="shared" si="409"/>
        <v>6866</v>
      </c>
      <c r="AH1220" s="90">
        <f t="shared" si="410"/>
        <v>2018</v>
      </c>
      <c r="AI1220" s="90">
        <f t="shared" si="411"/>
        <v>967</v>
      </c>
      <c r="AJ1220" s="90">
        <f t="shared" si="412"/>
        <v>2022</v>
      </c>
      <c r="AK1220" s="90" t="str">
        <f t="shared" si="413"/>
        <v>Adjust</v>
      </c>
      <c r="AL1220" s="91">
        <f>IF(AK1220="Adjust",(_xlfn.XLOOKUP(A1220,'Adj factor'!A:A,'Adj factor'!I:I,,0)*AI1220),'Master DataSheet (Rev)'!AI1220)</f>
        <v>1235.4801331049025</v>
      </c>
      <c r="AM1220" s="91">
        <f t="shared" si="414"/>
        <v>6866</v>
      </c>
      <c r="AN1220" s="92" t="str">
        <f t="shared" si="415"/>
        <v>Decreasing</v>
      </c>
      <c r="AS1220" s="94">
        <f t="shared" si="416"/>
        <v>0</v>
      </c>
      <c r="AT1220" s="94">
        <f t="shared" si="417"/>
        <v>31.237247027661752</v>
      </c>
      <c r="AU1220" s="94">
        <f t="shared" si="420"/>
        <v>5.358081663616356</v>
      </c>
      <c r="AV1220" s="94">
        <f t="shared" si="421"/>
        <v>29.776754572277888</v>
      </c>
    </row>
    <row r="1221" spans="1:48" x14ac:dyDescent="0.3">
      <c r="A1221" s="85" t="str">
        <f>_xlfn.XLOOKUP(B1221,'Country codes &amp; Data sources'!G:G,'Country codes &amp; Data sources'!H:H,,0)</f>
        <v>Lesotho</v>
      </c>
      <c r="B1221" s="85" t="s">
        <v>160</v>
      </c>
      <c r="C1221" s="85">
        <v>2054722</v>
      </c>
      <c r="D1221" s="85" t="s">
        <v>330</v>
      </c>
      <c r="E1221" s="86">
        <v>0</v>
      </c>
      <c r="F1221" s="86">
        <v>2073938.4999999998</v>
      </c>
      <c r="G1221" s="86">
        <v>0</v>
      </c>
      <c r="H1221" s="86"/>
      <c r="I1221" s="86">
        <v>0</v>
      </c>
      <c r="J1221" s="86"/>
      <c r="K1221" s="86">
        <v>0</v>
      </c>
      <c r="L1221" s="86"/>
      <c r="M1221" s="86">
        <v>0</v>
      </c>
      <c r="N1221" s="86"/>
      <c r="O1221" s="86">
        <v>0</v>
      </c>
      <c r="P1221" s="86">
        <v>2198017</v>
      </c>
      <c r="Q1221" s="86">
        <v>4686</v>
      </c>
      <c r="R1221" s="87">
        <f t="shared" si="419"/>
        <v>4686</v>
      </c>
      <c r="T1221" s="87">
        <v>0</v>
      </c>
      <c r="U1221" s="89"/>
      <c r="V1221" s="89">
        <v>0</v>
      </c>
      <c r="W1221" s="90"/>
      <c r="X1221" s="90">
        <v>0</v>
      </c>
      <c r="Y1221" s="90">
        <v>2305825.5000000019</v>
      </c>
      <c r="Z1221" s="90">
        <v>0</v>
      </c>
      <c r="AA1221" s="90">
        <v>0</v>
      </c>
      <c r="AB1221" s="89">
        <f t="shared" si="405"/>
        <v>0</v>
      </c>
      <c r="AC1221" s="89">
        <f t="shared" si="406"/>
        <v>4686</v>
      </c>
      <c r="AD1221" s="89">
        <f t="shared" si="407"/>
        <v>0</v>
      </c>
      <c r="AF1221" s="90" t="str">
        <f t="shared" si="408"/>
        <v/>
      </c>
      <c r="AG1221" s="90">
        <f t="shared" si="409"/>
        <v>4686</v>
      </c>
      <c r="AH1221" s="90">
        <f t="shared" si="410"/>
        <v>2018</v>
      </c>
      <c r="AI1221" s="90">
        <f t="shared" si="411"/>
        <v>4686</v>
      </c>
      <c r="AJ1221" s="90">
        <f t="shared" si="412"/>
        <v>2018</v>
      </c>
      <c r="AK1221" s="90" t="str">
        <f t="shared" si="413"/>
        <v/>
      </c>
      <c r="AL1221" s="91">
        <f>IF(AK1221="Adjust",(_xlfn.XLOOKUP(A1221,'Adj factor'!A:A,'Adj factor'!I:I,,0)*AI1221),'Master DataSheet (Rev)'!AI1221)</f>
        <v>4686</v>
      </c>
      <c r="AM1221" s="91">
        <f t="shared" si="414"/>
        <v>4686</v>
      </c>
      <c r="AN1221" s="92" t="str">
        <f t="shared" si="415"/>
        <v>No change</v>
      </c>
      <c r="AS1221" s="94">
        <f t="shared" si="416"/>
        <v>0</v>
      </c>
      <c r="AT1221" s="94">
        <f t="shared" si="417"/>
        <v>21.319216366388432</v>
      </c>
      <c r="AU1221" s="94">
        <f t="shared" si="420"/>
        <v>20.322439837706696</v>
      </c>
      <c r="AV1221" s="94">
        <f t="shared" si="421"/>
        <v>20.322439837706696</v>
      </c>
    </row>
    <row r="1222" spans="1:48" x14ac:dyDescent="0.3">
      <c r="A1222" s="85" t="str">
        <f>_xlfn.XLOOKUP(B1222,'Country codes &amp; Data sources'!G:G,'Country codes &amp; Data sources'!H:H,,0)</f>
        <v>Lesotho</v>
      </c>
      <c r="B1222" s="85" t="s">
        <v>160</v>
      </c>
      <c r="C1222" s="85">
        <v>2054723</v>
      </c>
      <c r="D1222" s="85" t="s">
        <v>331</v>
      </c>
      <c r="E1222" s="86">
        <v>0</v>
      </c>
      <c r="F1222" s="86">
        <v>2073938.4999999998</v>
      </c>
      <c r="G1222" s="86">
        <v>0</v>
      </c>
      <c r="H1222" s="86"/>
      <c r="I1222" s="86">
        <v>0</v>
      </c>
      <c r="J1222" s="86"/>
      <c r="K1222" s="86">
        <v>0</v>
      </c>
      <c r="L1222" s="86"/>
      <c r="M1222" s="86">
        <v>0</v>
      </c>
      <c r="N1222" s="86"/>
      <c r="O1222" s="86">
        <v>0</v>
      </c>
      <c r="P1222" s="86">
        <v>2198017</v>
      </c>
      <c r="Q1222" s="86">
        <v>2180</v>
      </c>
      <c r="R1222" s="87">
        <f t="shared" si="419"/>
        <v>2180</v>
      </c>
      <c r="T1222" s="87">
        <v>0</v>
      </c>
      <c r="U1222" s="89"/>
      <c r="V1222" s="89">
        <v>0</v>
      </c>
      <c r="W1222" s="90"/>
      <c r="X1222" s="90">
        <v>0</v>
      </c>
      <c r="Y1222" s="90">
        <v>2305825.5000000019</v>
      </c>
      <c r="Z1222" s="90">
        <v>0</v>
      </c>
      <c r="AA1222" s="90">
        <v>967</v>
      </c>
      <c r="AB1222" s="89">
        <f t="shared" si="405"/>
        <v>0</v>
      </c>
      <c r="AC1222" s="89">
        <f t="shared" si="406"/>
        <v>2180</v>
      </c>
      <c r="AD1222" s="89">
        <f t="shared" si="407"/>
        <v>0</v>
      </c>
      <c r="AF1222" s="90" t="str">
        <f t="shared" si="408"/>
        <v/>
      </c>
      <c r="AG1222" s="90">
        <f t="shared" si="409"/>
        <v>2180</v>
      </c>
      <c r="AH1222" s="90">
        <f t="shared" si="410"/>
        <v>2018</v>
      </c>
      <c r="AI1222" s="90">
        <f t="shared" si="411"/>
        <v>2180</v>
      </c>
      <c r="AJ1222" s="90">
        <f t="shared" si="412"/>
        <v>2018</v>
      </c>
      <c r="AK1222" s="90" t="str">
        <f t="shared" si="413"/>
        <v/>
      </c>
      <c r="AL1222" s="91">
        <f>IF(AK1222="Adjust",(_xlfn.XLOOKUP(A1222,'Adj factor'!A:A,'Adj factor'!I:I,,0)*AI1222),'Master DataSheet (Rev)'!AI1222)</f>
        <v>2180</v>
      </c>
      <c r="AM1222" s="91">
        <f t="shared" si="414"/>
        <v>2180</v>
      </c>
      <c r="AN1222" s="92" t="str">
        <f t="shared" si="415"/>
        <v>No change</v>
      </c>
      <c r="AS1222" s="94">
        <f t="shared" si="416"/>
        <v>0</v>
      </c>
      <c r="AT1222" s="94">
        <f t="shared" si="417"/>
        <v>9.9180306612733204</v>
      </c>
      <c r="AU1222" s="94">
        <f t="shared" si="420"/>
        <v>9.4543147345711898</v>
      </c>
      <c r="AV1222" s="94">
        <f t="shared" si="421"/>
        <v>9.4543147345711898</v>
      </c>
    </row>
    <row r="1223" spans="1:48" x14ac:dyDescent="0.3">
      <c r="A1223" s="85" t="str">
        <f>_xlfn.XLOOKUP(B1223,'Country codes &amp; Data sources'!G:G,'Country codes &amp; Data sources'!H:H,,0)</f>
        <v>Lesotho</v>
      </c>
      <c r="B1223" s="85" t="s">
        <v>160</v>
      </c>
      <c r="C1223" s="85">
        <v>2054724</v>
      </c>
      <c r="D1223" s="85" t="s">
        <v>332</v>
      </c>
      <c r="E1223" s="86">
        <v>0</v>
      </c>
      <c r="F1223" s="86">
        <v>2073938.4999999998</v>
      </c>
      <c r="G1223" s="86">
        <v>0</v>
      </c>
      <c r="H1223" s="86"/>
      <c r="I1223" s="86">
        <v>0</v>
      </c>
      <c r="J1223" s="86"/>
      <c r="K1223" s="86">
        <v>0</v>
      </c>
      <c r="L1223" s="86"/>
      <c r="M1223" s="86">
        <v>0</v>
      </c>
      <c r="N1223" s="86"/>
      <c r="O1223" s="86">
        <v>0</v>
      </c>
      <c r="P1223" s="86">
        <v>2198017</v>
      </c>
      <c r="Q1223" s="86">
        <v>0</v>
      </c>
      <c r="R1223" s="87">
        <f t="shared" si="419"/>
        <v>2779</v>
      </c>
      <c r="T1223" s="87">
        <v>0</v>
      </c>
      <c r="U1223" s="89"/>
      <c r="V1223" s="89">
        <v>0</v>
      </c>
      <c r="W1223" s="90"/>
      <c r="X1223" s="90">
        <v>0</v>
      </c>
      <c r="Y1223" s="90">
        <v>2305825.5000000019</v>
      </c>
      <c r="Z1223" s="103">
        <v>2779</v>
      </c>
      <c r="AA1223" s="90">
        <v>2779</v>
      </c>
      <c r="AB1223" s="89">
        <f t="shared" si="405"/>
        <v>0</v>
      </c>
      <c r="AC1223" s="89">
        <f t="shared" si="406"/>
        <v>0</v>
      </c>
      <c r="AD1223" s="89">
        <f t="shared" si="407"/>
        <v>2779</v>
      </c>
      <c r="AF1223" s="90" t="str">
        <f t="shared" si="408"/>
        <v/>
      </c>
      <c r="AG1223" s="90">
        <f t="shared" si="409"/>
        <v>2779</v>
      </c>
      <c r="AH1223" s="90" t="str">
        <f t="shared" si="410"/>
        <v>2018 (triag)</v>
      </c>
      <c r="AI1223" s="90">
        <f t="shared" si="411"/>
        <v>2779</v>
      </c>
      <c r="AJ1223" s="90">
        <f t="shared" si="412"/>
        <v>2022</v>
      </c>
      <c r="AK1223" s="90" t="str">
        <f t="shared" si="413"/>
        <v/>
      </c>
      <c r="AL1223" s="91">
        <f>IF(AK1223="Adjust",(_xlfn.XLOOKUP(A1223,'Adj factor'!A:A,'Adj factor'!I:I,,0)*AI1223),'Master DataSheet (Rev)'!AI1223)</f>
        <v>2779</v>
      </c>
      <c r="AM1223" s="91">
        <f t="shared" si="414"/>
        <v>2779</v>
      </c>
      <c r="AN1223" s="92" t="str">
        <f t="shared" si="415"/>
        <v>No change</v>
      </c>
      <c r="AS1223" s="94">
        <f t="shared" si="416"/>
        <v>0</v>
      </c>
      <c r="AT1223" s="94">
        <f t="shared" si="417"/>
        <v>12.64321431544888</v>
      </c>
      <c r="AU1223" s="94">
        <f t="shared" si="420"/>
        <v>12.052082865767586</v>
      </c>
      <c r="AV1223" s="94">
        <f t="shared" si="421"/>
        <v>12.052082865767586</v>
      </c>
    </row>
    <row r="1224" spans="1:48" x14ac:dyDescent="0.3">
      <c r="A1224" s="85" t="str">
        <f>_xlfn.XLOOKUP(B1224,'Country codes &amp; Data sources'!G:G,'Country codes &amp; Data sources'!H:H,,0)</f>
        <v>Lesotho</v>
      </c>
      <c r="B1224" s="85" t="s">
        <v>160</v>
      </c>
      <c r="C1224" s="85">
        <v>2054725</v>
      </c>
      <c r="D1224" s="85" t="s">
        <v>333</v>
      </c>
      <c r="E1224" s="86">
        <v>0</v>
      </c>
      <c r="F1224" s="86">
        <v>2073938.4999999998</v>
      </c>
      <c r="G1224" s="86">
        <v>0</v>
      </c>
      <c r="H1224" s="86"/>
      <c r="I1224" s="86">
        <v>0</v>
      </c>
      <c r="J1224" s="86"/>
      <c r="K1224" s="86">
        <v>0</v>
      </c>
      <c r="L1224" s="86"/>
      <c r="M1224" s="86">
        <v>0</v>
      </c>
      <c r="N1224" s="86"/>
      <c r="O1224" s="86">
        <v>0</v>
      </c>
      <c r="P1224" s="86">
        <v>2198017</v>
      </c>
      <c r="Q1224" s="86">
        <v>0</v>
      </c>
      <c r="R1224" s="87">
        <f t="shared" si="419"/>
        <v>2779</v>
      </c>
      <c r="T1224" s="87">
        <v>0</v>
      </c>
      <c r="U1224" s="89"/>
      <c r="V1224" s="89">
        <v>0</v>
      </c>
      <c r="W1224" s="90"/>
      <c r="X1224" s="90">
        <v>0</v>
      </c>
      <c r="Y1224" s="90">
        <v>2305825.5000000019</v>
      </c>
      <c r="Z1224" s="90">
        <v>0</v>
      </c>
      <c r="AA1224" s="90">
        <v>2779</v>
      </c>
      <c r="AB1224" s="89">
        <f t="shared" si="405"/>
        <v>0</v>
      </c>
      <c r="AC1224" s="89">
        <f t="shared" si="406"/>
        <v>0</v>
      </c>
      <c r="AD1224" s="89">
        <f t="shared" si="407"/>
        <v>0</v>
      </c>
      <c r="AF1224" s="90" t="str">
        <f t="shared" si="408"/>
        <v/>
      </c>
      <c r="AG1224" s="90">
        <f t="shared" si="409"/>
        <v>2779</v>
      </c>
      <c r="AH1224" s="90" t="str">
        <f t="shared" si="410"/>
        <v>2018 (triag)</v>
      </c>
      <c r="AI1224" s="90">
        <f t="shared" si="411"/>
        <v>2779</v>
      </c>
      <c r="AJ1224" s="90" t="str">
        <f t="shared" si="412"/>
        <v>2018 (triag)</v>
      </c>
      <c r="AK1224" s="90" t="str">
        <f t="shared" si="413"/>
        <v/>
      </c>
      <c r="AL1224" s="91">
        <f>IF(AK1224="Adjust",(_xlfn.XLOOKUP(A1224,'Adj factor'!A:A,'Adj factor'!I:I,,0)*AI1224),'Master DataSheet (Rev)'!AI1224)</f>
        <v>2779</v>
      </c>
      <c r="AM1224" s="91">
        <f t="shared" si="414"/>
        <v>2779</v>
      </c>
      <c r="AN1224" s="92" t="str">
        <f t="shared" si="415"/>
        <v>No change</v>
      </c>
      <c r="AS1224" s="94">
        <f t="shared" si="416"/>
        <v>0</v>
      </c>
      <c r="AT1224" s="94">
        <f t="shared" si="417"/>
        <v>12.64321431544888</v>
      </c>
      <c r="AU1224" s="94">
        <f t="shared" si="420"/>
        <v>12.052082865767586</v>
      </c>
      <c r="AV1224" s="94">
        <f t="shared" si="421"/>
        <v>12.052082865767586</v>
      </c>
    </row>
    <row r="1225" spans="1:48" x14ac:dyDescent="0.3">
      <c r="A1225" s="85" t="str">
        <f>_xlfn.XLOOKUP(B1225,'Country codes &amp; Data sources'!G:G,'Country codes &amp; Data sources'!H:H,,0)</f>
        <v>Lesotho</v>
      </c>
      <c r="B1225" s="85" t="s">
        <v>160</v>
      </c>
      <c r="C1225" s="85">
        <v>2054726</v>
      </c>
      <c r="D1225" s="85" t="s">
        <v>334</v>
      </c>
      <c r="E1225" s="86">
        <v>0</v>
      </c>
      <c r="F1225" s="86">
        <v>2073938.4999999998</v>
      </c>
      <c r="G1225" s="86">
        <v>0</v>
      </c>
      <c r="H1225" s="86"/>
      <c r="I1225" s="86">
        <v>0</v>
      </c>
      <c r="J1225" s="86"/>
      <c r="K1225" s="86">
        <v>0</v>
      </c>
      <c r="L1225" s="86"/>
      <c r="M1225" s="86">
        <v>0</v>
      </c>
      <c r="N1225" s="86"/>
      <c r="O1225" s="86">
        <v>0</v>
      </c>
      <c r="P1225" s="86">
        <v>2198017</v>
      </c>
      <c r="Q1225" s="86">
        <v>0</v>
      </c>
      <c r="R1225" s="87">
        <f t="shared" si="419"/>
        <v>0</v>
      </c>
      <c r="T1225" s="87">
        <v>0</v>
      </c>
      <c r="U1225" s="89"/>
      <c r="V1225" s="89">
        <v>0</v>
      </c>
      <c r="W1225" s="90"/>
      <c r="X1225" s="90">
        <v>0</v>
      </c>
      <c r="Y1225" s="90">
        <v>2305825.5000000019</v>
      </c>
      <c r="Z1225" s="90">
        <v>0</v>
      </c>
      <c r="AA1225" s="90">
        <v>0</v>
      </c>
      <c r="AB1225" s="89">
        <f t="shared" si="405"/>
        <v>0</v>
      </c>
      <c r="AC1225" s="89">
        <f t="shared" si="406"/>
        <v>0</v>
      </c>
      <c r="AD1225" s="89">
        <f t="shared" si="407"/>
        <v>0</v>
      </c>
      <c r="AF1225" s="90" t="str">
        <f t="shared" si="408"/>
        <v/>
      </c>
      <c r="AH1225" s="90" t="str">
        <f t="shared" si="410"/>
        <v/>
      </c>
      <c r="AI1225" s="90">
        <f t="shared" si="411"/>
        <v>0</v>
      </c>
      <c r="AJ1225" s="90" t="str">
        <f t="shared" si="412"/>
        <v/>
      </c>
      <c r="AK1225" s="90" t="str">
        <f t="shared" si="413"/>
        <v/>
      </c>
      <c r="AL1225" s="91"/>
      <c r="AM1225" s="91">
        <f t="shared" si="414"/>
        <v>0</v>
      </c>
      <c r="AN1225" s="92" t="str">
        <f t="shared" si="415"/>
        <v>No change</v>
      </c>
      <c r="AS1225" s="94">
        <f t="shared" si="416"/>
        <v>0</v>
      </c>
      <c r="AT1225" s="94">
        <f t="shared" si="417"/>
        <v>0</v>
      </c>
      <c r="AU1225" s="94">
        <f t="shared" si="420"/>
        <v>0</v>
      </c>
      <c r="AV1225" s="94">
        <f t="shared" si="421"/>
        <v>0</v>
      </c>
    </row>
    <row r="1226" spans="1:48" x14ac:dyDescent="0.3">
      <c r="A1226" s="85" t="str">
        <f>_xlfn.XLOOKUP(B1226,'Country codes &amp; Data sources'!G:G,'Country codes &amp; Data sources'!H:H,,0)</f>
        <v>Lesotho</v>
      </c>
      <c r="B1226" s="85" t="s">
        <v>160</v>
      </c>
      <c r="C1226" s="85">
        <v>2054727</v>
      </c>
      <c r="D1226" s="85" t="s">
        <v>335</v>
      </c>
      <c r="E1226" s="86">
        <v>0</v>
      </c>
      <c r="F1226" s="86">
        <v>2073938.4999999998</v>
      </c>
      <c r="G1226" s="86">
        <v>0</v>
      </c>
      <c r="H1226" s="86"/>
      <c r="I1226" s="86">
        <v>0</v>
      </c>
      <c r="J1226" s="86"/>
      <c r="K1226" s="86">
        <v>0</v>
      </c>
      <c r="L1226" s="86"/>
      <c r="M1226" s="86">
        <v>0</v>
      </c>
      <c r="N1226" s="86"/>
      <c r="O1226" s="86">
        <v>0</v>
      </c>
      <c r="P1226" s="86">
        <v>2198017</v>
      </c>
      <c r="Q1226" s="86">
        <v>398</v>
      </c>
      <c r="R1226" s="87">
        <f t="shared" si="419"/>
        <v>398</v>
      </c>
      <c r="T1226" s="87">
        <v>0</v>
      </c>
      <c r="U1226" s="89"/>
      <c r="V1226" s="89">
        <v>0</v>
      </c>
      <c r="W1226" s="90"/>
      <c r="X1226" s="90">
        <v>0</v>
      </c>
      <c r="Y1226" s="90">
        <v>2305825.5000000019</v>
      </c>
      <c r="Z1226" s="90">
        <v>201</v>
      </c>
      <c r="AA1226" s="90">
        <v>97</v>
      </c>
      <c r="AB1226" s="89">
        <f t="shared" si="405"/>
        <v>0</v>
      </c>
      <c r="AC1226" s="89">
        <f t="shared" si="406"/>
        <v>398</v>
      </c>
      <c r="AD1226" s="89">
        <f t="shared" si="407"/>
        <v>201</v>
      </c>
      <c r="AF1226" s="90" t="str">
        <f t="shared" si="408"/>
        <v/>
      </c>
      <c r="AG1226" s="90">
        <f t="shared" si="409"/>
        <v>398</v>
      </c>
      <c r="AH1226" s="90">
        <f t="shared" si="410"/>
        <v>2018</v>
      </c>
      <c r="AI1226" s="90">
        <f t="shared" si="411"/>
        <v>201</v>
      </c>
      <c r="AJ1226" s="90">
        <f t="shared" si="412"/>
        <v>2022</v>
      </c>
      <c r="AK1226" s="90" t="str">
        <f t="shared" si="413"/>
        <v>Adjust</v>
      </c>
      <c r="AL1226" s="91">
        <f>IF(AK1226="Adjust",(_xlfn.XLOOKUP(A1226,'Adj factor'!A:A,'Adj factor'!I:I,,0)*AI1226),'Master DataSheet (Rev)'!AI1226)</f>
        <v>256.80610832894047</v>
      </c>
      <c r="AM1226" s="91">
        <f t="shared" si="414"/>
        <v>398</v>
      </c>
      <c r="AN1226" s="92" t="str">
        <f t="shared" si="415"/>
        <v>Decreasing</v>
      </c>
      <c r="AS1226" s="94">
        <f t="shared" si="416"/>
        <v>0</v>
      </c>
      <c r="AT1226" s="94">
        <f t="shared" si="417"/>
        <v>1.8107230289847622</v>
      </c>
      <c r="AU1226" s="94">
        <f t="shared" si="420"/>
        <v>1.1137274192211868</v>
      </c>
      <c r="AV1226" s="94">
        <f t="shared" si="421"/>
        <v>1.7260629653024466</v>
      </c>
    </row>
    <row r="1227" spans="1:48" x14ac:dyDescent="0.3">
      <c r="A1227" s="85" t="str">
        <f>_xlfn.XLOOKUP(B1227,'Country codes &amp; Data sources'!G:G,'Country codes &amp; Data sources'!H:H,,0)</f>
        <v>Lesotho</v>
      </c>
      <c r="B1227" s="85" t="s">
        <v>160</v>
      </c>
      <c r="C1227" s="85">
        <v>2054728</v>
      </c>
      <c r="D1227" s="85" t="s">
        <v>336</v>
      </c>
      <c r="E1227" s="86">
        <v>0</v>
      </c>
      <c r="F1227" s="86">
        <v>2073938.4999999998</v>
      </c>
      <c r="G1227" s="86">
        <v>0</v>
      </c>
      <c r="H1227" s="86"/>
      <c r="I1227" s="86">
        <v>0</v>
      </c>
      <c r="J1227" s="86"/>
      <c r="K1227" s="86">
        <v>0</v>
      </c>
      <c r="L1227" s="86"/>
      <c r="M1227" s="86">
        <v>0</v>
      </c>
      <c r="N1227" s="86"/>
      <c r="O1227" s="86">
        <v>0</v>
      </c>
      <c r="P1227" s="86">
        <v>2198017</v>
      </c>
      <c r="Q1227" s="86">
        <v>0</v>
      </c>
      <c r="R1227" s="87">
        <f t="shared" si="419"/>
        <v>301</v>
      </c>
      <c r="T1227" s="87">
        <v>0</v>
      </c>
      <c r="U1227" s="89"/>
      <c r="V1227" s="89">
        <v>0</v>
      </c>
      <c r="W1227" s="90"/>
      <c r="X1227" s="90">
        <v>0</v>
      </c>
      <c r="Y1227" s="90">
        <v>2305825.5000000019</v>
      </c>
      <c r="Z1227" s="113">
        <v>347</v>
      </c>
      <c r="AA1227" s="90">
        <v>301</v>
      </c>
      <c r="AB1227" s="89">
        <f t="shared" si="405"/>
        <v>0</v>
      </c>
      <c r="AC1227" s="89">
        <f t="shared" si="406"/>
        <v>0</v>
      </c>
      <c r="AD1227" s="89">
        <f t="shared" si="407"/>
        <v>347</v>
      </c>
      <c r="AF1227" s="90" t="str">
        <f t="shared" si="408"/>
        <v/>
      </c>
      <c r="AG1227" s="90">
        <f t="shared" si="409"/>
        <v>301</v>
      </c>
      <c r="AH1227" s="90" t="str">
        <f t="shared" si="410"/>
        <v>2018 (triag)</v>
      </c>
      <c r="AI1227" s="90">
        <f t="shared" si="411"/>
        <v>347</v>
      </c>
      <c r="AJ1227" s="90">
        <f t="shared" si="412"/>
        <v>2022</v>
      </c>
      <c r="AK1227" s="90" t="str">
        <f t="shared" si="413"/>
        <v/>
      </c>
      <c r="AL1227" s="91">
        <f>IF(AK1227="Adjust",(_xlfn.XLOOKUP(A1227,'Adj factor'!A:A,'Adj factor'!I:I,,0)*AI1227),'Master DataSheet (Rev)'!AI1227)</f>
        <v>347</v>
      </c>
      <c r="AM1227" s="91">
        <f t="shared" si="414"/>
        <v>347</v>
      </c>
      <c r="AN1227" s="92" t="str">
        <f t="shared" si="415"/>
        <v>Increasing</v>
      </c>
      <c r="AS1227" s="94">
        <f t="shared" si="416"/>
        <v>0</v>
      </c>
      <c r="AT1227" s="94">
        <f t="shared" si="417"/>
        <v>1.3694161601115915</v>
      </c>
      <c r="AU1227" s="94">
        <f t="shared" si="420"/>
        <v>1.5048840426129373</v>
      </c>
      <c r="AV1227" s="94">
        <f t="shared" si="421"/>
        <v>1.5048840426129373</v>
      </c>
    </row>
    <row r="1228" spans="1:48" ht="14.5" x14ac:dyDescent="0.35">
      <c r="A1228" s="85" t="str">
        <f>_xlfn.XLOOKUP(B1228,'Country codes &amp; Data sources'!G:G,'Country codes &amp; Data sources'!H:H,,0)</f>
        <v>Lesotho</v>
      </c>
      <c r="B1228" s="85" t="s">
        <v>160</v>
      </c>
      <c r="C1228" s="85">
        <v>2054729</v>
      </c>
      <c r="D1228" s="85" t="s">
        <v>337</v>
      </c>
      <c r="E1228" s="86">
        <v>0</v>
      </c>
      <c r="F1228" s="86">
        <v>2073938.4999999998</v>
      </c>
      <c r="G1228" s="86">
        <v>0</v>
      </c>
      <c r="H1228" s="86"/>
      <c r="I1228" s="86">
        <v>0</v>
      </c>
      <c r="J1228" s="86"/>
      <c r="K1228" s="86">
        <v>0</v>
      </c>
      <c r="L1228" s="86"/>
      <c r="M1228" s="86">
        <v>0</v>
      </c>
      <c r="N1228" s="86"/>
      <c r="O1228" s="86">
        <v>0</v>
      </c>
      <c r="P1228" s="86">
        <v>2198017</v>
      </c>
      <c r="Q1228" s="86">
        <v>159</v>
      </c>
      <c r="R1228" s="87">
        <f t="shared" si="419"/>
        <v>159</v>
      </c>
      <c r="T1228" s="87">
        <v>37</v>
      </c>
      <c r="U1228" s="89"/>
      <c r="V1228" s="89">
        <v>0</v>
      </c>
      <c r="W1228" s="90"/>
      <c r="X1228" s="90">
        <v>0</v>
      </c>
      <c r="Y1228" s="90">
        <v>2305825.5000000019</v>
      </c>
      <c r="Z1228" s="112">
        <v>66</v>
      </c>
      <c r="AA1228" s="90">
        <v>39</v>
      </c>
      <c r="AB1228" s="89">
        <f t="shared" si="405"/>
        <v>0</v>
      </c>
      <c r="AC1228" s="89">
        <f t="shared" si="406"/>
        <v>159</v>
      </c>
      <c r="AD1228" s="89">
        <f t="shared" si="407"/>
        <v>66</v>
      </c>
      <c r="AF1228" s="90" t="str">
        <f t="shared" si="408"/>
        <v/>
      </c>
      <c r="AG1228" s="90">
        <f t="shared" si="409"/>
        <v>159</v>
      </c>
      <c r="AH1228" s="90">
        <f t="shared" si="410"/>
        <v>2018</v>
      </c>
      <c r="AI1228" s="90">
        <f>IF((IF(Z1228&gt;0,Z1228,IF(X1228&gt;0,X1228,IF(V1228&gt;0,V1228,T1228))))=0,AG1228,IF(Z1228&gt;0,Z1228,IF(X1228&gt;0,X1228,IF(V1228&gt;0,V1228,T1228))))</f>
        <v>66</v>
      </c>
      <c r="AJ1228" s="90">
        <f t="shared" si="412"/>
        <v>2022</v>
      </c>
      <c r="AK1228" s="90" t="str">
        <f t="shared" si="413"/>
        <v>Adjust</v>
      </c>
      <c r="AL1228" s="91">
        <f>IF(AK1228="Adjust",(_xlfn.XLOOKUP(A1228,'Adj factor'!A:A,'Adj factor'!I:I,,0)*AI1228),'Master DataSheet (Rev)'!AI1228)</f>
        <v>84.324393779652084</v>
      </c>
      <c r="AM1228" s="91">
        <f t="shared" si="414"/>
        <v>159</v>
      </c>
      <c r="AN1228" s="92" t="str">
        <f t="shared" si="415"/>
        <v>Decreasing</v>
      </c>
      <c r="AS1228" s="94">
        <f t="shared" si="416"/>
        <v>0</v>
      </c>
      <c r="AT1228" s="94">
        <f t="shared" si="417"/>
        <v>0.7233793005240633</v>
      </c>
      <c r="AU1228" s="94">
        <f t="shared" si="420"/>
        <v>0.36570154063979265</v>
      </c>
      <c r="AV1228" s="94">
        <f t="shared" si="421"/>
        <v>0.68955781779670611</v>
      </c>
    </row>
    <row r="1229" spans="1:48" x14ac:dyDescent="0.3">
      <c r="A1229" s="85" t="str">
        <f>_xlfn.XLOOKUP(B1229,'Country codes &amp; Data sources'!G:G,'Country codes &amp; Data sources'!H:H,,0)</f>
        <v>Lesotho</v>
      </c>
      <c r="B1229" s="85" t="s">
        <v>160</v>
      </c>
      <c r="C1229" s="85">
        <v>2054730</v>
      </c>
      <c r="D1229" s="85" t="s">
        <v>338</v>
      </c>
      <c r="E1229" s="86">
        <v>0</v>
      </c>
      <c r="F1229" s="86">
        <v>2073938.4999999998</v>
      </c>
      <c r="G1229" s="86">
        <v>0</v>
      </c>
      <c r="H1229" s="86"/>
      <c r="I1229" s="86">
        <v>0</v>
      </c>
      <c r="J1229" s="86"/>
      <c r="K1229" s="86">
        <v>0</v>
      </c>
      <c r="L1229" s="86"/>
      <c r="M1229" s="86">
        <v>0</v>
      </c>
      <c r="N1229" s="86"/>
      <c r="O1229" s="86">
        <v>0</v>
      </c>
      <c r="P1229" s="86">
        <v>2198017</v>
      </c>
      <c r="Q1229" s="86">
        <v>0</v>
      </c>
      <c r="R1229" s="87">
        <f t="shared" si="419"/>
        <v>120</v>
      </c>
      <c r="T1229" s="87">
        <v>47</v>
      </c>
      <c r="U1229" s="89"/>
      <c r="V1229" s="89">
        <v>0</v>
      </c>
      <c r="W1229" s="90"/>
      <c r="X1229" s="90">
        <v>0</v>
      </c>
      <c r="Y1229" s="90">
        <v>2305825.5000000019</v>
      </c>
      <c r="Z1229" s="90">
        <v>49</v>
      </c>
      <c r="AA1229" s="90">
        <v>120</v>
      </c>
      <c r="AB1229" s="89">
        <f t="shared" si="405"/>
        <v>0</v>
      </c>
      <c r="AC1229" s="89">
        <f t="shared" si="406"/>
        <v>47</v>
      </c>
      <c r="AD1229" s="89">
        <f t="shared" si="407"/>
        <v>49</v>
      </c>
      <c r="AF1229" s="90" t="str">
        <f t="shared" si="408"/>
        <v/>
      </c>
      <c r="AG1229" s="90">
        <f t="shared" si="409"/>
        <v>120</v>
      </c>
      <c r="AH1229" s="90" t="str">
        <f t="shared" si="410"/>
        <v>2018 (triag)</v>
      </c>
      <c r="AI1229" s="90">
        <f t="shared" si="411"/>
        <v>49</v>
      </c>
      <c r="AJ1229" s="90">
        <f t="shared" si="412"/>
        <v>2022</v>
      </c>
      <c r="AK1229" s="90" t="str">
        <f t="shared" si="413"/>
        <v>Adjust</v>
      </c>
      <c r="AL1229" s="91">
        <f>IF(AK1229="Adjust",(_xlfn.XLOOKUP(A1229,'Adj factor'!A:A,'Adj factor'!I:I,,0)*AI1229),'Master DataSheet (Rev)'!AI1229)</f>
        <v>62.6044741697417</v>
      </c>
      <c r="AM1229" s="91">
        <f t="shared" si="414"/>
        <v>120</v>
      </c>
      <c r="AN1229" s="92" t="str">
        <f t="shared" si="415"/>
        <v>Decreasing</v>
      </c>
      <c r="AS1229" s="94">
        <f t="shared" si="416"/>
        <v>0</v>
      </c>
      <c r="AT1229" s="94">
        <f t="shared" si="417"/>
        <v>0.54594664190495346</v>
      </c>
      <c r="AU1229" s="94">
        <f t="shared" si="420"/>
        <v>0.27150568926287633</v>
      </c>
      <c r="AV1229" s="94">
        <f t="shared" si="421"/>
        <v>0.52042099456355173</v>
      </c>
    </row>
    <row r="1230" spans="1:48" x14ac:dyDescent="0.3">
      <c r="A1230" s="85" t="str">
        <f>_xlfn.XLOOKUP(B1230,'Country codes &amp; Data sources'!G:G,'Country codes &amp; Data sources'!H:H,,0)</f>
        <v>Lesotho</v>
      </c>
      <c r="B1230" s="85" t="s">
        <v>160</v>
      </c>
      <c r="C1230" s="85">
        <v>2054731</v>
      </c>
      <c r="D1230" s="85" t="s">
        <v>339</v>
      </c>
      <c r="E1230" s="86">
        <v>0</v>
      </c>
      <c r="F1230" s="86">
        <v>2073938.4999999998</v>
      </c>
      <c r="G1230" s="86">
        <v>0</v>
      </c>
      <c r="H1230" s="86"/>
      <c r="I1230" s="86">
        <v>0</v>
      </c>
      <c r="J1230" s="86"/>
      <c r="K1230" s="86">
        <v>0</v>
      </c>
      <c r="L1230" s="86"/>
      <c r="M1230" s="86">
        <v>0</v>
      </c>
      <c r="N1230" s="86"/>
      <c r="O1230" s="86">
        <v>0</v>
      </c>
      <c r="P1230" s="86">
        <v>2198017</v>
      </c>
      <c r="Q1230" s="86">
        <v>0</v>
      </c>
      <c r="R1230" s="87">
        <f t="shared" si="419"/>
        <v>0</v>
      </c>
      <c r="T1230" s="87">
        <v>0</v>
      </c>
      <c r="U1230" s="89"/>
      <c r="V1230" s="89">
        <v>0</v>
      </c>
      <c r="W1230" s="90"/>
      <c r="X1230" s="90">
        <v>0</v>
      </c>
      <c r="Y1230" s="90">
        <v>2305825.5000000019</v>
      </c>
      <c r="Z1230" s="90">
        <v>0</v>
      </c>
      <c r="AA1230" s="90">
        <v>0</v>
      </c>
      <c r="AB1230" s="89">
        <f t="shared" si="405"/>
        <v>0</v>
      </c>
      <c r="AC1230" s="89">
        <f t="shared" si="406"/>
        <v>0</v>
      </c>
      <c r="AD1230" s="89">
        <f t="shared" si="407"/>
        <v>0</v>
      </c>
      <c r="AF1230" s="90" t="str">
        <f t="shared" si="408"/>
        <v/>
      </c>
      <c r="AH1230" s="90" t="str">
        <f t="shared" si="410"/>
        <v/>
      </c>
      <c r="AI1230" s="90">
        <f t="shared" si="411"/>
        <v>0</v>
      </c>
      <c r="AJ1230" s="90" t="str">
        <f t="shared" si="412"/>
        <v/>
      </c>
      <c r="AK1230" s="90" t="str">
        <f t="shared" si="413"/>
        <v/>
      </c>
      <c r="AL1230" s="91"/>
      <c r="AM1230" s="91">
        <f t="shared" si="414"/>
        <v>0</v>
      </c>
      <c r="AN1230" s="92" t="str">
        <f t="shared" si="415"/>
        <v>No change</v>
      </c>
      <c r="AS1230" s="94">
        <f t="shared" si="416"/>
        <v>0</v>
      </c>
      <c r="AT1230" s="94">
        <f t="shared" si="417"/>
        <v>0</v>
      </c>
      <c r="AU1230" s="94">
        <f t="shared" si="420"/>
        <v>0</v>
      </c>
      <c r="AV1230" s="94">
        <f t="shared" si="421"/>
        <v>0</v>
      </c>
    </row>
    <row r="1231" spans="1:48" x14ac:dyDescent="0.3">
      <c r="A1231" s="85" t="str">
        <f>_xlfn.XLOOKUP(B1231,'Country codes &amp; Data sources'!G:G,'Country codes &amp; Data sources'!H:H,,0)</f>
        <v>Madagascar</v>
      </c>
      <c r="B1231" s="85" t="s">
        <v>177</v>
      </c>
      <c r="C1231" s="85">
        <v>22966240</v>
      </c>
      <c r="D1231" s="85" t="s">
        <v>326</v>
      </c>
      <c r="E1231" s="86">
        <v>3188</v>
      </c>
      <c r="F1231" s="86">
        <v>23588073.5</v>
      </c>
      <c r="G1231" s="86">
        <v>3523</v>
      </c>
      <c r="H1231" s="86">
        <v>24215975.500000019</v>
      </c>
      <c r="I1231" s="86">
        <v>4275</v>
      </c>
      <c r="J1231" s="86">
        <v>24850912.500000015</v>
      </c>
      <c r="K1231" s="86">
        <v>0</v>
      </c>
      <c r="L1231" s="86">
        <v>25501940.499999996</v>
      </c>
      <c r="M1231" s="86">
        <v>0</v>
      </c>
      <c r="N1231" s="86">
        <v>26169542.000000015</v>
      </c>
      <c r="O1231" s="86">
        <v>0</v>
      </c>
      <c r="P1231" s="86">
        <v>26846541</v>
      </c>
      <c r="Q1231" s="86">
        <v>0</v>
      </c>
      <c r="R1231" s="87">
        <f t="shared" si="419"/>
        <v>5230</v>
      </c>
      <c r="S1231" s="87">
        <v>27533134.000000015</v>
      </c>
      <c r="T1231" s="87">
        <v>0</v>
      </c>
      <c r="U1231" s="89">
        <v>28225176.500000007</v>
      </c>
      <c r="V1231" s="89">
        <v>0</v>
      </c>
      <c r="W1231" s="90">
        <v>28915652.500000004</v>
      </c>
      <c r="X1231" s="90">
        <v>0</v>
      </c>
      <c r="Y1231" s="90">
        <v>29611714.000000004</v>
      </c>
      <c r="Z1231" s="90">
        <v>0</v>
      </c>
      <c r="AA1231" s="90">
        <v>5230</v>
      </c>
      <c r="AB1231" s="89">
        <f t="shared" si="405"/>
        <v>4275</v>
      </c>
      <c r="AC1231" s="89">
        <f t="shared" si="406"/>
        <v>0</v>
      </c>
      <c r="AD1231" s="89">
        <f t="shared" si="407"/>
        <v>0</v>
      </c>
      <c r="AE1231" s="90">
        <f t="shared" si="418"/>
        <v>3523</v>
      </c>
      <c r="AF1231" s="90">
        <f t="shared" si="408"/>
        <v>2013</v>
      </c>
      <c r="AG1231" s="90">
        <f t="shared" si="409"/>
        <v>5230</v>
      </c>
      <c r="AH1231" s="90" t="str">
        <f t="shared" si="410"/>
        <v>2018 (triag)</v>
      </c>
      <c r="AI1231" s="90">
        <f t="shared" si="411"/>
        <v>5230</v>
      </c>
      <c r="AJ1231" s="90" t="str">
        <f t="shared" si="412"/>
        <v>2018 (triag)</v>
      </c>
      <c r="AK1231" s="90" t="str">
        <f t="shared" si="413"/>
        <v/>
      </c>
      <c r="AL1231" s="91">
        <f>IF(AK1231="Adjust",(_xlfn.XLOOKUP(A1231,'Adj factor'!A:A,'Adj factor'!I:I,,0)*AI1231),'Master DataSheet (Rev)'!AI1231)</f>
        <v>5230</v>
      </c>
      <c r="AM1231" s="91">
        <f t="shared" si="414"/>
        <v>5230</v>
      </c>
      <c r="AN1231" s="92" t="str">
        <f t="shared" si="415"/>
        <v>No change</v>
      </c>
      <c r="AS1231" s="94">
        <f t="shared" si="416"/>
        <v>1.4935513915538714</v>
      </c>
      <c r="AT1231" s="94">
        <f t="shared" si="417"/>
        <v>1.9481094417340394</v>
      </c>
      <c r="AU1231" s="94">
        <f t="shared" si="420"/>
        <v>1.766192932972404</v>
      </c>
      <c r="AV1231" s="94">
        <f t="shared" si="421"/>
        <v>1.766192932972404</v>
      </c>
    </row>
    <row r="1232" spans="1:48" x14ac:dyDescent="0.3">
      <c r="A1232" s="85" t="str">
        <f>_xlfn.XLOOKUP(B1232,'Country codes &amp; Data sources'!G:G,'Country codes &amp; Data sources'!H:H,,0)</f>
        <v>Madagascar</v>
      </c>
      <c r="B1232" s="85" t="s">
        <v>177</v>
      </c>
      <c r="C1232" s="85">
        <v>22966241</v>
      </c>
      <c r="D1232" s="85" t="s">
        <v>327</v>
      </c>
      <c r="E1232" s="86">
        <v>0</v>
      </c>
      <c r="F1232" s="86">
        <v>23588073.5</v>
      </c>
      <c r="G1232" s="86">
        <v>3028</v>
      </c>
      <c r="H1232" s="86"/>
      <c r="I1232" s="86">
        <v>0</v>
      </c>
      <c r="J1232" s="86"/>
      <c r="K1232" s="86">
        <v>0</v>
      </c>
      <c r="L1232" s="86"/>
      <c r="M1232" s="86">
        <v>0</v>
      </c>
      <c r="N1232" s="86"/>
      <c r="O1232" s="86">
        <v>0</v>
      </c>
      <c r="P1232" s="86">
        <v>26846541</v>
      </c>
      <c r="Q1232" s="86">
        <v>0</v>
      </c>
      <c r="R1232" s="87">
        <f t="shared" si="419"/>
        <v>4593</v>
      </c>
      <c r="T1232" s="87">
        <v>0</v>
      </c>
      <c r="U1232" s="89"/>
      <c r="V1232" s="89">
        <v>0</v>
      </c>
      <c r="W1232" s="90"/>
      <c r="X1232" s="90">
        <v>0</v>
      </c>
      <c r="Y1232" s="90">
        <v>29611714.000000004</v>
      </c>
      <c r="Z1232" s="90">
        <v>0</v>
      </c>
      <c r="AA1232" s="90">
        <v>4593</v>
      </c>
      <c r="AB1232" s="89">
        <f t="shared" si="405"/>
        <v>3028</v>
      </c>
      <c r="AC1232" s="89">
        <f t="shared" si="406"/>
        <v>0</v>
      </c>
      <c r="AD1232" s="89">
        <f t="shared" si="407"/>
        <v>0</v>
      </c>
      <c r="AE1232" s="90">
        <f t="shared" si="418"/>
        <v>3028</v>
      </c>
      <c r="AF1232" s="90">
        <f t="shared" si="408"/>
        <v>2013</v>
      </c>
      <c r="AG1232" s="90">
        <f t="shared" si="409"/>
        <v>4593</v>
      </c>
      <c r="AH1232" s="90" t="str">
        <f t="shared" si="410"/>
        <v>2018 (triag)</v>
      </c>
      <c r="AI1232" s="90">
        <f t="shared" si="411"/>
        <v>4593</v>
      </c>
      <c r="AJ1232" s="90" t="str">
        <f t="shared" si="412"/>
        <v>2018 (triag)</v>
      </c>
      <c r="AK1232" s="90" t="str">
        <f t="shared" si="413"/>
        <v/>
      </c>
      <c r="AL1232" s="91">
        <f>IF(AK1232="Adjust",(_xlfn.XLOOKUP(A1232,'Adj factor'!A:A,'Adj factor'!I:I,,0)*AI1232),'Master DataSheet (Rev)'!AI1232)</f>
        <v>4593</v>
      </c>
      <c r="AM1232" s="91">
        <f t="shared" si="414"/>
        <v>4593</v>
      </c>
      <c r="AN1232" s="92" t="str">
        <f t="shared" si="415"/>
        <v>No change</v>
      </c>
      <c r="AS1232" s="94">
        <f t="shared" si="416"/>
        <v>1.2836995780939888</v>
      </c>
      <c r="AT1232" s="94">
        <f t="shared" si="417"/>
        <v>1.7108349265553429</v>
      </c>
      <c r="AU1232" s="94">
        <f t="shared" si="420"/>
        <v>1.5510753615950768</v>
      </c>
      <c r="AV1232" s="94">
        <f t="shared" si="421"/>
        <v>1.5510753615950768</v>
      </c>
    </row>
    <row r="1233" spans="1:48" x14ac:dyDescent="0.3">
      <c r="A1233" s="85" t="str">
        <f>_xlfn.XLOOKUP(B1233,'Country codes &amp; Data sources'!G:G,'Country codes &amp; Data sources'!H:H,,0)</f>
        <v>Madagascar</v>
      </c>
      <c r="B1233" s="85" t="s">
        <v>177</v>
      </c>
      <c r="C1233" s="85">
        <v>22966242</v>
      </c>
      <c r="D1233" s="85" t="s">
        <v>328</v>
      </c>
      <c r="E1233" s="86">
        <v>0</v>
      </c>
      <c r="F1233" s="86">
        <v>23588073.5</v>
      </c>
      <c r="G1233" s="86">
        <v>495</v>
      </c>
      <c r="H1233" s="86"/>
      <c r="I1233" s="86">
        <v>0</v>
      </c>
      <c r="J1233" s="86"/>
      <c r="K1233" s="86">
        <v>0</v>
      </c>
      <c r="L1233" s="86"/>
      <c r="M1233" s="86">
        <v>0</v>
      </c>
      <c r="N1233" s="86"/>
      <c r="O1233" s="86">
        <v>0</v>
      </c>
      <c r="P1233" s="86">
        <v>26846541</v>
      </c>
      <c r="Q1233" s="86">
        <v>0</v>
      </c>
      <c r="R1233" s="87">
        <f t="shared" si="419"/>
        <v>637</v>
      </c>
      <c r="T1233" s="87">
        <v>0</v>
      </c>
      <c r="U1233" s="89"/>
      <c r="V1233" s="89">
        <v>0</v>
      </c>
      <c r="W1233" s="90"/>
      <c r="X1233" s="90">
        <v>0</v>
      </c>
      <c r="Y1233" s="90">
        <v>29611714.000000004</v>
      </c>
      <c r="Z1233" s="90">
        <v>0</v>
      </c>
      <c r="AA1233" s="90">
        <v>637</v>
      </c>
      <c r="AB1233" s="89">
        <f t="shared" si="405"/>
        <v>495</v>
      </c>
      <c r="AC1233" s="89">
        <f t="shared" si="406"/>
        <v>0</v>
      </c>
      <c r="AD1233" s="89">
        <f t="shared" si="407"/>
        <v>0</v>
      </c>
      <c r="AE1233" s="90">
        <f t="shared" si="418"/>
        <v>495</v>
      </c>
      <c r="AF1233" s="90">
        <f t="shared" si="408"/>
        <v>2013</v>
      </c>
      <c r="AG1233" s="90">
        <f t="shared" si="409"/>
        <v>637</v>
      </c>
      <c r="AH1233" s="90" t="str">
        <f t="shared" si="410"/>
        <v>2018 (triag)</v>
      </c>
      <c r="AI1233" s="90">
        <f t="shared" si="411"/>
        <v>637</v>
      </c>
      <c r="AJ1233" s="90" t="str">
        <f t="shared" si="412"/>
        <v>2018 (triag)</v>
      </c>
      <c r="AK1233" s="90" t="str">
        <f t="shared" si="413"/>
        <v/>
      </c>
      <c r="AL1233" s="91">
        <f>IF(AK1233="Adjust",(_xlfn.XLOOKUP(A1233,'Adj factor'!A:A,'Adj factor'!I:I,,0)*AI1233),'Master DataSheet (Rev)'!AI1233)</f>
        <v>637</v>
      </c>
      <c r="AM1233" s="91">
        <f t="shared" si="414"/>
        <v>637</v>
      </c>
      <c r="AN1233" s="92" t="str">
        <f t="shared" si="415"/>
        <v>No change</v>
      </c>
      <c r="AS1233" s="94">
        <f t="shared" si="416"/>
        <v>0.2098518134598826</v>
      </c>
      <c r="AT1233" s="94">
        <f t="shared" si="417"/>
        <v>0.23727451517869658</v>
      </c>
      <c r="AU1233" s="94">
        <f t="shared" si="420"/>
        <v>0.2151175713773272</v>
      </c>
      <c r="AV1233" s="94">
        <f t="shared" si="421"/>
        <v>0.2151175713773272</v>
      </c>
    </row>
    <row r="1234" spans="1:48" x14ac:dyDescent="0.3">
      <c r="A1234" s="85" t="str">
        <f>_xlfn.XLOOKUP(B1234,'Country codes &amp; Data sources'!G:G,'Country codes &amp; Data sources'!H:H,,0)</f>
        <v>Madagascar</v>
      </c>
      <c r="B1234" s="85" t="s">
        <v>177</v>
      </c>
      <c r="C1234" s="85">
        <v>22966243</v>
      </c>
      <c r="D1234" s="85" t="s">
        <v>329</v>
      </c>
      <c r="E1234" s="86">
        <v>3383</v>
      </c>
      <c r="F1234" s="86">
        <v>23588073.5</v>
      </c>
      <c r="G1234" s="86">
        <v>3438</v>
      </c>
      <c r="H1234" s="86"/>
      <c r="I1234" s="86">
        <v>0</v>
      </c>
      <c r="J1234" s="86"/>
      <c r="K1234" s="86">
        <v>0</v>
      </c>
      <c r="L1234" s="86"/>
      <c r="M1234" s="86">
        <v>0</v>
      </c>
      <c r="N1234" s="86"/>
      <c r="O1234" s="86">
        <v>0</v>
      </c>
      <c r="P1234" s="86">
        <v>26846541</v>
      </c>
      <c r="Q1234" s="86">
        <v>3833</v>
      </c>
      <c r="R1234" s="87">
        <f t="shared" si="419"/>
        <v>4560</v>
      </c>
      <c r="T1234" s="87">
        <v>0</v>
      </c>
      <c r="U1234" s="89"/>
      <c r="V1234" s="89">
        <v>0</v>
      </c>
      <c r="W1234" s="90"/>
      <c r="X1234" s="90">
        <v>0</v>
      </c>
      <c r="Y1234" s="90">
        <v>29611714.000000004</v>
      </c>
      <c r="Z1234" s="90">
        <v>0</v>
      </c>
      <c r="AA1234" s="90">
        <v>4560</v>
      </c>
      <c r="AB1234" s="89">
        <f t="shared" si="405"/>
        <v>3438</v>
      </c>
      <c r="AC1234" s="89">
        <f t="shared" si="406"/>
        <v>3833</v>
      </c>
      <c r="AD1234" s="89">
        <f t="shared" si="407"/>
        <v>0</v>
      </c>
      <c r="AE1234" s="90">
        <f t="shared" si="418"/>
        <v>3438</v>
      </c>
      <c r="AF1234" s="90">
        <f t="shared" si="408"/>
        <v>2013</v>
      </c>
      <c r="AG1234" s="90">
        <f t="shared" si="409"/>
        <v>4560</v>
      </c>
      <c r="AH1234" s="90" t="str">
        <f t="shared" si="410"/>
        <v>2018 (triag)</v>
      </c>
      <c r="AI1234" s="90">
        <f t="shared" si="411"/>
        <v>4560</v>
      </c>
      <c r="AJ1234" s="90" t="str">
        <f t="shared" si="412"/>
        <v>2018 (triag)</v>
      </c>
      <c r="AK1234" s="90" t="str">
        <f t="shared" si="413"/>
        <v/>
      </c>
      <c r="AL1234" s="91">
        <f>IF(AK1234="Adjust",(_xlfn.XLOOKUP(A1234,'Adj factor'!A:A,'Adj factor'!I:I,,0)*AI1234),'Master DataSheet (Rev)'!AI1234)</f>
        <v>4560</v>
      </c>
      <c r="AM1234" s="91">
        <f t="shared" si="414"/>
        <v>4560</v>
      </c>
      <c r="AN1234" s="92" t="str">
        <f t="shared" si="415"/>
        <v>No change</v>
      </c>
      <c r="AS1234" s="94">
        <f t="shared" si="416"/>
        <v>1.4575162316668209</v>
      </c>
      <c r="AT1234" s="94">
        <f t="shared" si="417"/>
        <v>1.6985428402117055</v>
      </c>
      <c r="AU1234" s="94">
        <f t="shared" si="420"/>
        <v>1.5399311232034727</v>
      </c>
      <c r="AV1234" s="94">
        <f t="shared" si="421"/>
        <v>1.5399311232034727</v>
      </c>
    </row>
    <row r="1235" spans="1:48" x14ac:dyDescent="0.3">
      <c r="A1235" s="85" t="str">
        <f>_xlfn.XLOOKUP(B1235,'Country codes &amp; Data sources'!G:G,'Country codes &amp; Data sources'!H:H,,0)</f>
        <v>Madagascar</v>
      </c>
      <c r="B1235" s="85" t="s">
        <v>177</v>
      </c>
      <c r="C1235" s="85">
        <v>22966244</v>
      </c>
      <c r="D1235" s="85" t="s">
        <v>330</v>
      </c>
      <c r="E1235" s="86">
        <v>0</v>
      </c>
      <c r="F1235" s="86">
        <v>23588073.5</v>
      </c>
      <c r="G1235" s="86">
        <v>0</v>
      </c>
      <c r="H1235" s="86"/>
      <c r="I1235" s="86">
        <v>0</v>
      </c>
      <c r="J1235" s="86"/>
      <c r="K1235" s="86">
        <v>0</v>
      </c>
      <c r="L1235" s="86"/>
      <c r="M1235" s="86">
        <v>0</v>
      </c>
      <c r="N1235" s="86"/>
      <c r="O1235" s="86">
        <v>0</v>
      </c>
      <c r="P1235" s="86">
        <v>26846541</v>
      </c>
      <c r="Q1235" s="86">
        <v>3833</v>
      </c>
      <c r="R1235" s="87">
        <f t="shared" si="419"/>
        <v>4560</v>
      </c>
      <c r="T1235" s="87">
        <v>0</v>
      </c>
      <c r="U1235" s="89"/>
      <c r="V1235" s="89">
        <v>0</v>
      </c>
      <c r="W1235" s="90"/>
      <c r="X1235" s="90">
        <v>0</v>
      </c>
      <c r="Y1235" s="90">
        <v>29611714.000000004</v>
      </c>
      <c r="Z1235" s="90">
        <v>0</v>
      </c>
      <c r="AA1235" s="90">
        <v>4560</v>
      </c>
      <c r="AB1235" s="89">
        <f t="shared" si="405"/>
        <v>0</v>
      </c>
      <c r="AC1235" s="89">
        <f t="shared" si="406"/>
        <v>3833</v>
      </c>
      <c r="AD1235" s="89">
        <f t="shared" si="407"/>
        <v>0</v>
      </c>
      <c r="AF1235" s="90" t="str">
        <f t="shared" si="408"/>
        <v/>
      </c>
      <c r="AG1235" s="90">
        <f t="shared" si="409"/>
        <v>4560</v>
      </c>
      <c r="AH1235" s="90" t="str">
        <f t="shared" si="410"/>
        <v>2018 (triag)</v>
      </c>
      <c r="AI1235" s="90">
        <f t="shared" si="411"/>
        <v>4560</v>
      </c>
      <c r="AJ1235" s="90" t="str">
        <f t="shared" si="412"/>
        <v>2018 (triag)</v>
      </c>
      <c r="AK1235" s="90" t="str">
        <f t="shared" si="413"/>
        <v/>
      </c>
      <c r="AL1235" s="91">
        <f>IF(AK1235="Adjust",(_xlfn.XLOOKUP(A1235,'Adj factor'!A:A,'Adj factor'!I:I,,0)*AI1235),'Master DataSheet (Rev)'!AI1235)</f>
        <v>4560</v>
      </c>
      <c r="AM1235" s="91">
        <f t="shared" si="414"/>
        <v>4560</v>
      </c>
      <c r="AN1235" s="92" t="str">
        <f t="shared" si="415"/>
        <v>No change</v>
      </c>
      <c r="AS1235" s="94">
        <f t="shared" si="416"/>
        <v>0</v>
      </c>
      <c r="AT1235" s="94">
        <f t="shared" si="417"/>
        <v>1.6985428402117055</v>
      </c>
      <c r="AU1235" s="94">
        <f t="shared" si="420"/>
        <v>1.5399311232034727</v>
      </c>
      <c r="AV1235" s="94">
        <f t="shared" si="421"/>
        <v>1.5399311232034727</v>
      </c>
    </row>
    <row r="1236" spans="1:48" x14ac:dyDescent="0.3">
      <c r="A1236" s="85" t="str">
        <f>_xlfn.XLOOKUP(B1236,'Country codes &amp; Data sources'!G:G,'Country codes &amp; Data sources'!H:H,,0)</f>
        <v>Madagascar</v>
      </c>
      <c r="B1236" s="85" t="s">
        <v>177</v>
      </c>
      <c r="C1236" s="85">
        <v>22966245</v>
      </c>
      <c r="D1236" s="85" t="s">
        <v>331</v>
      </c>
      <c r="E1236" s="86">
        <v>0</v>
      </c>
      <c r="F1236" s="86">
        <v>23588073.5</v>
      </c>
      <c r="G1236" s="86">
        <v>0</v>
      </c>
      <c r="H1236" s="86"/>
      <c r="I1236" s="86">
        <v>0</v>
      </c>
      <c r="J1236" s="86"/>
      <c r="K1236" s="86">
        <v>0</v>
      </c>
      <c r="L1236" s="86"/>
      <c r="M1236" s="86">
        <v>0</v>
      </c>
      <c r="N1236" s="86"/>
      <c r="O1236" s="86">
        <v>0</v>
      </c>
      <c r="P1236" s="86">
        <v>26846541</v>
      </c>
      <c r="Q1236" s="86">
        <v>0</v>
      </c>
      <c r="R1236" s="87">
        <f t="shared" si="419"/>
        <v>0</v>
      </c>
      <c r="T1236" s="87">
        <v>0</v>
      </c>
      <c r="U1236" s="89"/>
      <c r="V1236" s="89">
        <v>0</v>
      </c>
      <c r="W1236" s="90"/>
      <c r="X1236" s="90">
        <v>0</v>
      </c>
      <c r="Y1236" s="90">
        <v>29611714.000000004</v>
      </c>
      <c r="Z1236" s="90">
        <v>0</v>
      </c>
      <c r="AA1236" s="90">
        <v>0</v>
      </c>
      <c r="AB1236" s="89">
        <f t="shared" si="405"/>
        <v>0</v>
      </c>
      <c r="AC1236" s="89">
        <f t="shared" si="406"/>
        <v>0</v>
      </c>
      <c r="AD1236" s="89">
        <f t="shared" si="407"/>
        <v>0</v>
      </c>
      <c r="AF1236" s="90" t="str">
        <f t="shared" si="408"/>
        <v/>
      </c>
      <c r="AH1236" s="90" t="str">
        <f t="shared" si="410"/>
        <v/>
      </c>
      <c r="AI1236" s="90">
        <f t="shared" si="411"/>
        <v>0</v>
      </c>
      <c r="AJ1236" s="90" t="str">
        <f t="shared" si="412"/>
        <v/>
      </c>
      <c r="AK1236" s="90" t="str">
        <f t="shared" si="413"/>
        <v/>
      </c>
      <c r="AL1236" s="91"/>
      <c r="AM1236" s="91">
        <f t="shared" si="414"/>
        <v>0</v>
      </c>
      <c r="AN1236" s="92" t="str">
        <f t="shared" si="415"/>
        <v>No change</v>
      </c>
      <c r="AS1236" s="94">
        <f t="shared" si="416"/>
        <v>0</v>
      </c>
      <c r="AT1236" s="94">
        <f t="shared" si="417"/>
        <v>0</v>
      </c>
      <c r="AU1236" s="94">
        <f t="shared" si="420"/>
        <v>0</v>
      </c>
      <c r="AV1236" s="94">
        <f t="shared" si="421"/>
        <v>0</v>
      </c>
    </row>
    <row r="1237" spans="1:48" x14ac:dyDescent="0.3">
      <c r="A1237" s="85" t="str">
        <f>_xlfn.XLOOKUP(B1237,'Country codes &amp; Data sources'!G:G,'Country codes &amp; Data sources'!H:H,,0)</f>
        <v>Madagascar</v>
      </c>
      <c r="B1237" s="85" t="s">
        <v>177</v>
      </c>
      <c r="C1237" s="85">
        <v>22966246</v>
      </c>
      <c r="D1237" s="85" t="s">
        <v>332</v>
      </c>
      <c r="E1237" s="86">
        <v>1475</v>
      </c>
      <c r="F1237" s="86">
        <v>23588073.5</v>
      </c>
      <c r="G1237" s="86">
        <v>3400</v>
      </c>
      <c r="H1237" s="86"/>
      <c r="I1237" s="86">
        <v>0</v>
      </c>
      <c r="J1237" s="86"/>
      <c r="K1237" s="86">
        <v>0</v>
      </c>
      <c r="L1237" s="86"/>
      <c r="M1237" s="86">
        <v>1583</v>
      </c>
      <c r="N1237" s="86"/>
      <c r="O1237" s="86">
        <v>2931</v>
      </c>
      <c r="P1237" s="86">
        <v>26846541</v>
      </c>
      <c r="Q1237" s="86">
        <v>3994</v>
      </c>
      <c r="R1237" s="87">
        <f t="shared" si="419"/>
        <v>3994</v>
      </c>
      <c r="T1237" s="87">
        <v>0</v>
      </c>
      <c r="U1237" s="89"/>
      <c r="V1237" s="89">
        <v>0</v>
      </c>
      <c r="W1237" s="90"/>
      <c r="X1237" s="90">
        <v>0</v>
      </c>
      <c r="Y1237" s="90">
        <v>29611714.000000004</v>
      </c>
      <c r="Z1237" s="90">
        <v>0</v>
      </c>
      <c r="AA1237" s="90">
        <v>3164</v>
      </c>
      <c r="AB1237" s="89">
        <f t="shared" si="405"/>
        <v>3400</v>
      </c>
      <c r="AC1237" s="89">
        <f t="shared" si="406"/>
        <v>3994</v>
      </c>
      <c r="AD1237" s="89">
        <f t="shared" si="407"/>
        <v>0</v>
      </c>
      <c r="AE1237" s="90">
        <f t="shared" si="418"/>
        <v>3400</v>
      </c>
      <c r="AF1237" s="90">
        <f t="shared" si="408"/>
        <v>2013</v>
      </c>
      <c r="AG1237" s="90">
        <f t="shared" si="409"/>
        <v>3994</v>
      </c>
      <c r="AH1237" s="90">
        <f t="shared" si="410"/>
        <v>2018</v>
      </c>
      <c r="AI1237" s="90">
        <f t="shared" si="411"/>
        <v>3994</v>
      </c>
      <c r="AJ1237" s="90">
        <f t="shared" si="412"/>
        <v>2018</v>
      </c>
      <c r="AK1237" s="90" t="str">
        <f t="shared" si="413"/>
        <v/>
      </c>
      <c r="AL1237" s="91">
        <f>IF(AK1237="Adjust",(_xlfn.XLOOKUP(A1237,'Adj factor'!A:A,'Adj factor'!I:I,,0)*AI1237),'Master DataSheet (Rev)'!AI1237)</f>
        <v>3994</v>
      </c>
      <c r="AM1237" s="91">
        <f t="shared" si="414"/>
        <v>3994</v>
      </c>
      <c r="AN1237" s="92" t="str">
        <f t="shared" si="415"/>
        <v>No change</v>
      </c>
      <c r="AS1237" s="94">
        <f t="shared" si="416"/>
        <v>1.441406395482022</v>
      </c>
      <c r="AT1237" s="94">
        <f t="shared" si="417"/>
        <v>1.4877149350450771</v>
      </c>
      <c r="AU1237" s="94">
        <f t="shared" si="420"/>
        <v>1.3487905495777783</v>
      </c>
      <c r="AV1237" s="94">
        <f t="shared" si="421"/>
        <v>1.3487905495777783</v>
      </c>
    </row>
    <row r="1238" spans="1:48" x14ac:dyDescent="0.3">
      <c r="A1238" s="85" t="str">
        <f>_xlfn.XLOOKUP(B1238,'Country codes &amp; Data sources'!G:G,'Country codes &amp; Data sources'!H:H,,0)</f>
        <v>Madagascar</v>
      </c>
      <c r="B1238" s="85" t="s">
        <v>177</v>
      </c>
      <c r="C1238" s="85">
        <v>22966247</v>
      </c>
      <c r="D1238" s="85" t="s">
        <v>333</v>
      </c>
      <c r="E1238" s="86">
        <v>0</v>
      </c>
      <c r="F1238" s="86">
        <v>23588073.5</v>
      </c>
      <c r="G1238" s="86">
        <v>3400</v>
      </c>
      <c r="H1238" s="86"/>
      <c r="I1238" s="86">
        <v>0</v>
      </c>
      <c r="J1238" s="86"/>
      <c r="K1238" s="86">
        <v>0</v>
      </c>
      <c r="L1238" s="86"/>
      <c r="M1238" s="86">
        <v>1583</v>
      </c>
      <c r="N1238" s="86"/>
      <c r="O1238" s="86">
        <v>2931</v>
      </c>
      <c r="P1238" s="86">
        <v>26846541</v>
      </c>
      <c r="Q1238" s="86">
        <v>3994</v>
      </c>
      <c r="R1238" s="87">
        <f t="shared" si="419"/>
        <v>3994</v>
      </c>
      <c r="T1238" s="87">
        <v>0</v>
      </c>
      <c r="U1238" s="89"/>
      <c r="V1238" s="89">
        <v>0</v>
      </c>
      <c r="W1238" s="90"/>
      <c r="X1238" s="90">
        <v>0</v>
      </c>
      <c r="Y1238" s="90">
        <v>29611714.000000004</v>
      </c>
      <c r="Z1238" s="90">
        <v>0</v>
      </c>
      <c r="AA1238" s="90">
        <v>3164</v>
      </c>
      <c r="AB1238" s="89">
        <f t="shared" si="405"/>
        <v>3400</v>
      </c>
      <c r="AC1238" s="89">
        <f t="shared" si="406"/>
        <v>3994</v>
      </c>
      <c r="AD1238" s="89">
        <f t="shared" si="407"/>
        <v>0</v>
      </c>
      <c r="AE1238" s="90">
        <f t="shared" si="418"/>
        <v>3400</v>
      </c>
      <c r="AF1238" s="90">
        <f t="shared" si="408"/>
        <v>2013</v>
      </c>
      <c r="AG1238" s="90">
        <f t="shared" si="409"/>
        <v>3994</v>
      </c>
      <c r="AH1238" s="90">
        <f t="shared" si="410"/>
        <v>2018</v>
      </c>
      <c r="AI1238" s="90">
        <f t="shared" si="411"/>
        <v>3994</v>
      </c>
      <c r="AJ1238" s="90">
        <f t="shared" si="412"/>
        <v>2018</v>
      </c>
      <c r="AK1238" s="90" t="str">
        <f t="shared" si="413"/>
        <v/>
      </c>
      <c r="AL1238" s="91">
        <f>IF(AK1238="Adjust",(_xlfn.XLOOKUP(A1238,'Adj factor'!A:A,'Adj factor'!I:I,,0)*AI1238),'Master DataSheet (Rev)'!AI1238)</f>
        <v>3994</v>
      </c>
      <c r="AM1238" s="91">
        <f t="shared" si="414"/>
        <v>3994</v>
      </c>
      <c r="AN1238" s="92" t="str">
        <f t="shared" si="415"/>
        <v>No change</v>
      </c>
      <c r="AS1238" s="94">
        <f t="shared" si="416"/>
        <v>1.441406395482022</v>
      </c>
      <c r="AT1238" s="94">
        <f t="shared" si="417"/>
        <v>1.4877149350450771</v>
      </c>
      <c r="AU1238" s="94">
        <f t="shared" si="420"/>
        <v>1.3487905495777783</v>
      </c>
      <c r="AV1238" s="94">
        <f t="shared" si="421"/>
        <v>1.3487905495777783</v>
      </c>
    </row>
    <row r="1239" spans="1:48" x14ac:dyDescent="0.3">
      <c r="A1239" s="85" t="str">
        <f>_xlfn.XLOOKUP(B1239,'Country codes &amp; Data sources'!G:G,'Country codes &amp; Data sources'!H:H,,0)</f>
        <v>Madagascar</v>
      </c>
      <c r="B1239" s="85" t="s">
        <v>177</v>
      </c>
      <c r="C1239" s="85">
        <v>22966248</v>
      </c>
      <c r="D1239" s="85" t="s">
        <v>334</v>
      </c>
      <c r="E1239" s="86">
        <v>0</v>
      </c>
      <c r="F1239" s="86">
        <v>23588073.5</v>
      </c>
      <c r="G1239" s="86">
        <v>0</v>
      </c>
      <c r="H1239" s="86"/>
      <c r="I1239" s="86">
        <v>0</v>
      </c>
      <c r="J1239" s="86"/>
      <c r="K1239" s="86">
        <v>0</v>
      </c>
      <c r="L1239" s="86"/>
      <c r="M1239" s="86">
        <v>0</v>
      </c>
      <c r="N1239" s="86"/>
      <c r="O1239" s="86">
        <v>0</v>
      </c>
      <c r="P1239" s="86">
        <v>26846541</v>
      </c>
      <c r="Q1239" s="86">
        <v>0</v>
      </c>
      <c r="R1239" s="87">
        <f t="shared" si="419"/>
        <v>0</v>
      </c>
      <c r="T1239" s="87">
        <v>0</v>
      </c>
      <c r="U1239" s="89"/>
      <c r="V1239" s="89">
        <v>0</v>
      </c>
      <c r="W1239" s="90"/>
      <c r="X1239" s="90">
        <v>0</v>
      </c>
      <c r="Y1239" s="90">
        <v>29611714.000000004</v>
      </c>
      <c r="Z1239" s="90">
        <v>0</v>
      </c>
      <c r="AA1239" s="90">
        <v>0</v>
      </c>
      <c r="AB1239" s="89">
        <f t="shared" si="405"/>
        <v>0</v>
      </c>
      <c r="AC1239" s="89">
        <f t="shared" si="406"/>
        <v>0</v>
      </c>
      <c r="AD1239" s="89">
        <f t="shared" si="407"/>
        <v>0</v>
      </c>
      <c r="AF1239" s="90" t="str">
        <f t="shared" si="408"/>
        <v/>
      </c>
      <c r="AH1239" s="90" t="str">
        <f t="shared" si="410"/>
        <v/>
      </c>
      <c r="AI1239" s="90">
        <f t="shared" si="411"/>
        <v>0</v>
      </c>
      <c r="AJ1239" s="90" t="str">
        <f t="shared" si="412"/>
        <v/>
      </c>
      <c r="AK1239" s="90" t="str">
        <f t="shared" si="413"/>
        <v/>
      </c>
      <c r="AL1239" s="91"/>
      <c r="AM1239" s="91">
        <f t="shared" si="414"/>
        <v>0</v>
      </c>
      <c r="AN1239" s="92" t="str">
        <f t="shared" si="415"/>
        <v>No change</v>
      </c>
      <c r="AS1239" s="94">
        <f t="shared" si="416"/>
        <v>0</v>
      </c>
      <c r="AT1239" s="94">
        <f t="shared" si="417"/>
        <v>0</v>
      </c>
      <c r="AU1239" s="94">
        <f t="shared" si="420"/>
        <v>0</v>
      </c>
      <c r="AV1239" s="94">
        <f t="shared" si="421"/>
        <v>0</v>
      </c>
    </row>
    <row r="1240" spans="1:48" x14ac:dyDescent="0.3">
      <c r="A1240" s="85" t="str">
        <f>_xlfn.XLOOKUP(B1240,'Country codes &amp; Data sources'!G:G,'Country codes &amp; Data sources'!H:H,,0)</f>
        <v>Madagascar</v>
      </c>
      <c r="B1240" s="85" t="s">
        <v>177</v>
      </c>
      <c r="C1240" s="85">
        <v>22966249</v>
      </c>
      <c r="D1240" s="85" t="s">
        <v>335</v>
      </c>
      <c r="E1240" s="86">
        <v>6</v>
      </c>
      <c r="F1240" s="86">
        <v>23588073.5</v>
      </c>
      <c r="G1240" s="86">
        <v>17</v>
      </c>
      <c r="H1240" s="86"/>
      <c r="I1240" s="86">
        <v>0</v>
      </c>
      <c r="J1240" s="86"/>
      <c r="K1240" s="86">
        <v>0</v>
      </c>
      <c r="L1240" s="86"/>
      <c r="M1240" s="86">
        <v>4</v>
      </c>
      <c r="N1240" s="86"/>
      <c r="O1240" s="86">
        <v>0</v>
      </c>
      <c r="P1240" s="86">
        <v>26846541</v>
      </c>
      <c r="Q1240" s="86">
        <v>27</v>
      </c>
      <c r="R1240" s="87">
        <f t="shared" si="419"/>
        <v>319</v>
      </c>
      <c r="T1240" s="87">
        <v>0</v>
      </c>
      <c r="U1240" s="89"/>
      <c r="V1240" s="89">
        <v>0</v>
      </c>
      <c r="W1240" s="90"/>
      <c r="X1240" s="90">
        <v>0</v>
      </c>
      <c r="Y1240" s="90">
        <v>29611714.000000004</v>
      </c>
      <c r="Z1240" s="90">
        <v>27</v>
      </c>
      <c r="AA1240" s="90">
        <v>319</v>
      </c>
      <c r="AB1240" s="89">
        <f t="shared" ref="AB1240:AB1303" si="422">MAX(G1240,E1240,I1240,K1240)</f>
        <v>17</v>
      </c>
      <c r="AC1240" s="89">
        <f t="shared" ref="AC1240:AC1303" si="423">MAX(M1240,O1240,Q1240,T1240)</f>
        <v>27</v>
      </c>
      <c r="AD1240" s="89">
        <f t="shared" ref="AD1240:AD1303" si="424">MAX(V1240,X1240,Z1240)</f>
        <v>27</v>
      </c>
      <c r="AE1240" s="90">
        <f t="shared" ref="AE1240:AE1303" si="425">IF(G1240&gt;0,G1240,IF(E1240&gt;0,E1240,IF(I1240&gt;0,I1240,K1240)))</f>
        <v>17</v>
      </c>
      <c r="AF1240" s="90">
        <f t="shared" ref="AF1240:AF1303" si="426">IF(AE1240&gt;0,_xlfn.XLOOKUP(AE1240,$B1240:$K1240,$B$1:$K$1,,0),"")</f>
        <v>2013</v>
      </c>
      <c r="AG1240" s="90">
        <f t="shared" ref="AG1240:AG1303" si="427">IF(R1240&gt;0,R1240,IF(O1240&gt;0,O1240,T1240))</f>
        <v>319</v>
      </c>
      <c r="AH1240" s="90" t="str">
        <f t="shared" ref="AH1240:AH1303" si="428">IF(AG1240&gt;0,_xlfn.XLOOKUP(AG1240,$L1240:$T1240,$L$1:$T$1,,0),"")</f>
        <v>2018 (triag)</v>
      </c>
      <c r="AI1240" s="90">
        <f t="shared" ref="AI1240:AI1303" si="429">IF((IF(Z1240&gt;0,Z1240,IF(X1240&gt;0,X1240,IF(V1240&gt;0,V1240,T1240))))=0,AG1240,IF(Z1240&gt;0,Z1240,IF(X1240&gt;0,X1240,IF(V1240&gt;0,V1240,T1240))))</f>
        <v>27</v>
      </c>
      <c r="AJ1240" s="90">
        <f t="shared" ref="AJ1240:AJ1303" si="430">IFERROR(IF(AI1240&gt;0,_xlfn.XLOOKUP(AI1240,$V1240:$Z1240,$V$1:$Z$1,,0),""),AH1240)</f>
        <v>2022</v>
      </c>
      <c r="AK1240" s="90" t="str">
        <f t="shared" ref="AK1240:AK1303" si="431">IF(AI1240&lt;AG1240,"Adjust","")</f>
        <v>Adjust</v>
      </c>
      <c r="AL1240" s="91">
        <f>IF(AK1240="Adjust",(_xlfn.XLOOKUP(A1240,'Adj factor'!A:A,'Adj factor'!I:I,,0)*AI1240),'Master DataSheet (Rev)'!AI1240)</f>
        <v>30.094339949726965</v>
      </c>
      <c r="AM1240" s="91">
        <f t="shared" ref="AM1240:AM1303" si="432">IF(AL1240&lt;AG1240,AG1240,AL1240)</f>
        <v>319</v>
      </c>
      <c r="AN1240" s="92" t="str">
        <f t="shared" ref="AN1240:AN1303" si="433">IF(AL1240&gt;AG1240,"Increasing",IF(AL1240&lt;AG1240,"Decreasing","No change"))</f>
        <v>Decreasing</v>
      </c>
      <c r="AS1240" s="94">
        <f t="shared" ref="AS1240:AS1303" si="434">(AE1240*10000)/F1240</f>
        <v>7.2070319774101095E-3</v>
      </c>
      <c r="AT1240" s="94">
        <f t="shared" ref="AT1240:AT1303" si="435">(AG1240*10000)/P1240</f>
        <v>0.11882350132182765</v>
      </c>
      <c r="AU1240" s="94">
        <f t="shared" si="420"/>
        <v>1.0162984807203988E-2</v>
      </c>
      <c r="AV1240" s="94">
        <f t="shared" si="421"/>
        <v>0.10772763778550609</v>
      </c>
    </row>
    <row r="1241" spans="1:48" x14ac:dyDescent="0.3">
      <c r="A1241" s="85" t="str">
        <f>_xlfn.XLOOKUP(B1241,'Country codes &amp; Data sources'!G:G,'Country codes &amp; Data sources'!H:H,,0)</f>
        <v>Madagascar</v>
      </c>
      <c r="B1241" s="85" t="s">
        <v>177</v>
      </c>
      <c r="C1241" s="85">
        <v>22966250</v>
      </c>
      <c r="D1241" s="85" t="s">
        <v>336</v>
      </c>
      <c r="E1241" s="86">
        <v>0</v>
      </c>
      <c r="F1241" s="86">
        <v>23588073.5</v>
      </c>
      <c r="G1241" s="86">
        <v>0</v>
      </c>
      <c r="H1241" s="86"/>
      <c r="I1241" s="86">
        <v>0</v>
      </c>
      <c r="J1241" s="86"/>
      <c r="K1241" s="86">
        <v>0</v>
      </c>
      <c r="L1241" s="86"/>
      <c r="M1241" s="86">
        <v>0</v>
      </c>
      <c r="N1241" s="86"/>
      <c r="O1241" s="86">
        <v>0</v>
      </c>
      <c r="P1241" s="86">
        <v>26846541</v>
      </c>
      <c r="Q1241" s="86">
        <v>0</v>
      </c>
      <c r="R1241" s="87">
        <f t="shared" si="419"/>
        <v>10</v>
      </c>
      <c r="T1241" s="87">
        <v>0</v>
      </c>
      <c r="U1241" s="89"/>
      <c r="V1241" s="89">
        <v>0</v>
      </c>
      <c r="W1241" s="90"/>
      <c r="X1241" s="90">
        <v>0</v>
      </c>
      <c r="Y1241" s="90">
        <v>29611714.000000004</v>
      </c>
      <c r="Z1241" s="90">
        <v>0</v>
      </c>
      <c r="AA1241" s="90">
        <v>10</v>
      </c>
      <c r="AB1241" s="89">
        <f t="shared" si="422"/>
        <v>0</v>
      </c>
      <c r="AC1241" s="89">
        <f t="shared" si="423"/>
        <v>0</v>
      </c>
      <c r="AD1241" s="89">
        <f t="shared" si="424"/>
        <v>0</v>
      </c>
      <c r="AF1241" s="90" t="str">
        <f t="shared" si="426"/>
        <v/>
      </c>
      <c r="AG1241" s="90">
        <f t="shared" si="427"/>
        <v>10</v>
      </c>
      <c r="AH1241" s="90" t="str">
        <f t="shared" si="428"/>
        <v>2018 (triag)</v>
      </c>
      <c r="AI1241" s="90">
        <f t="shared" si="429"/>
        <v>10</v>
      </c>
      <c r="AJ1241" s="90" t="str">
        <f t="shared" si="430"/>
        <v>2018 (triag)</v>
      </c>
      <c r="AK1241" s="90" t="str">
        <f t="shared" si="431"/>
        <v/>
      </c>
      <c r="AL1241" s="91">
        <f>IF(AK1241="Adjust",(_xlfn.XLOOKUP(A1241,'Adj factor'!A:A,'Adj factor'!I:I,,0)*AI1241),'Master DataSheet (Rev)'!AI1241)</f>
        <v>10</v>
      </c>
      <c r="AM1241" s="91">
        <f t="shared" si="432"/>
        <v>10</v>
      </c>
      <c r="AN1241" s="92" t="str">
        <f t="shared" si="433"/>
        <v>No change</v>
      </c>
      <c r="AS1241" s="94">
        <f t="shared" si="434"/>
        <v>0</v>
      </c>
      <c r="AT1241" s="94">
        <f t="shared" si="435"/>
        <v>3.7248746495870733E-3</v>
      </c>
      <c r="AU1241" s="94">
        <f t="shared" si="420"/>
        <v>3.3770419368497205E-3</v>
      </c>
      <c r="AV1241" s="94">
        <f t="shared" si="421"/>
        <v>3.3770419368497205E-3</v>
      </c>
    </row>
    <row r="1242" spans="1:48" x14ac:dyDescent="0.3">
      <c r="A1242" s="85" t="str">
        <f>_xlfn.XLOOKUP(B1242,'Country codes &amp; Data sources'!G:G,'Country codes &amp; Data sources'!H:H,,0)</f>
        <v>Madagascar</v>
      </c>
      <c r="B1242" s="85" t="s">
        <v>177</v>
      </c>
      <c r="C1242" s="85">
        <v>22966251</v>
      </c>
      <c r="D1242" s="85" t="s">
        <v>337</v>
      </c>
      <c r="E1242" s="86">
        <v>181</v>
      </c>
      <c r="F1242" s="86">
        <v>23588073.5</v>
      </c>
      <c r="G1242" s="86">
        <v>111</v>
      </c>
      <c r="H1242" s="86"/>
      <c r="I1242" s="86">
        <v>0</v>
      </c>
      <c r="J1242" s="86"/>
      <c r="K1242" s="86">
        <v>0</v>
      </c>
      <c r="L1242" s="86"/>
      <c r="M1242" s="86">
        <v>0</v>
      </c>
      <c r="N1242" s="86"/>
      <c r="O1242" s="86">
        <v>0</v>
      </c>
      <c r="P1242" s="86">
        <v>26846541</v>
      </c>
      <c r="Q1242" s="86">
        <v>225</v>
      </c>
      <c r="R1242" s="87">
        <f t="shared" si="419"/>
        <v>372</v>
      </c>
      <c r="T1242" s="87">
        <v>0</v>
      </c>
      <c r="U1242" s="89"/>
      <c r="V1242" s="89">
        <v>0</v>
      </c>
      <c r="W1242" s="90"/>
      <c r="X1242" s="90">
        <v>0</v>
      </c>
      <c r="Y1242" s="90">
        <v>29611714.000000004</v>
      </c>
      <c r="Z1242" s="90">
        <v>225</v>
      </c>
      <c r="AA1242" s="90">
        <v>372</v>
      </c>
      <c r="AB1242" s="89">
        <f t="shared" si="422"/>
        <v>181</v>
      </c>
      <c r="AC1242" s="89">
        <f t="shared" si="423"/>
        <v>225</v>
      </c>
      <c r="AD1242" s="89">
        <f t="shared" si="424"/>
        <v>225</v>
      </c>
      <c r="AE1242" s="90">
        <f t="shared" si="425"/>
        <v>111</v>
      </c>
      <c r="AF1242" s="90">
        <f t="shared" si="426"/>
        <v>2013</v>
      </c>
      <c r="AG1242" s="90">
        <f t="shared" si="427"/>
        <v>372</v>
      </c>
      <c r="AH1242" s="90" t="str">
        <f t="shared" si="428"/>
        <v>2018 (triag)</v>
      </c>
      <c r="AI1242" s="90">
        <f t="shared" si="429"/>
        <v>225</v>
      </c>
      <c r="AJ1242" s="90">
        <f t="shared" si="430"/>
        <v>2022</v>
      </c>
      <c r="AK1242" s="90" t="str">
        <f t="shared" si="431"/>
        <v>Adjust</v>
      </c>
      <c r="AL1242" s="91">
        <f>IF(AK1242="Adjust",(_xlfn.XLOOKUP(A1242,'Adj factor'!A:A,'Adj factor'!I:I,,0)*AI1242),'Master DataSheet (Rev)'!AI1242)</f>
        <v>250.78616624772471</v>
      </c>
      <c r="AM1242" s="91">
        <f t="shared" si="432"/>
        <v>372</v>
      </c>
      <c r="AN1242" s="92" t="str">
        <f t="shared" si="433"/>
        <v>Decreasing</v>
      </c>
      <c r="AS1242" s="94">
        <f t="shared" si="434"/>
        <v>4.7057679381913069E-2</v>
      </c>
      <c r="AT1242" s="94">
        <f t="shared" si="435"/>
        <v>0.13856533696463913</v>
      </c>
      <c r="AU1242" s="94">
        <f t="shared" si="420"/>
        <v>8.4691540060033224E-2</v>
      </c>
      <c r="AV1242" s="94">
        <f t="shared" si="421"/>
        <v>0.12562596005080962</v>
      </c>
    </row>
    <row r="1243" spans="1:48" x14ac:dyDescent="0.3">
      <c r="A1243" s="85" t="str">
        <f>_xlfn.XLOOKUP(B1243,'Country codes &amp; Data sources'!G:G,'Country codes &amp; Data sources'!H:H,,0)</f>
        <v>Madagascar</v>
      </c>
      <c r="B1243" s="85" t="s">
        <v>177</v>
      </c>
      <c r="C1243" s="85">
        <v>22966252</v>
      </c>
      <c r="D1243" s="85" t="s">
        <v>338</v>
      </c>
      <c r="E1243" s="86">
        <v>0</v>
      </c>
      <c r="F1243" s="86">
        <v>23588073.5</v>
      </c>
      <c r="G1243" s="86">
        <v>0</v>
      </c>
      <c r="H1243" s="86"/>
      <c r="I1243" s="86">
        <v>0</v>
      </c>
      <c r="J1243" s="86"/>
      <c r="K1243" s="86">
        <v>0</v>
      </c>
      <c r="L1243" s="86"/>
      <c r="M1243" s="86">
        <v>0</v>
      </c>
      <c r="N1243" s="86"/>
      <c r="O1243" s="86">
        <v>0</v>
      </c>
      <c r="P1243" s="86">
        <v>26846541</v>
      </c>
      <c r="Q1243" s="86">
        <v>0</v>
      </c>
      <c r="R1243" s="87">
        <f t="shared" si="419"/>
        <v>184</v>
      </c>
      <c r="T1243" s="87">
        <v>21</v>
      </c>
      <c r="U1243" s="89"/>
      <c r="V1243" s="89">
        <v>0</v>
      </c>
      <c r="W1243" s="90"/>
      <c r="X1243" s="90">
        <v>0</v>
      </c>
      <c r="Y1243" s="90">
        <v>29611714.000000004</v>
      </c>
      <c r="Z1243" s="90">
        <v>0</v>
      </c>
      <c r="AA1243" s="90">
        <v>184</v>
      </c>
      <c r="AB1243" s="89">
        <f t="shared" si="422"/>
        <v>0</v>
      </c>
      <c r="AC1243" s="89">
        <f t="shared" si="423"/>
        <v>21</v>
      </c>
      <c r="AD1243" s="89">
        <f t="shared" si="424"/>
        <v>0</v>
      </c>
      <c r="AF1243" s="90" t="str">
        <f t="shared" si="426"/>
        <v/>
      </c>
      <c r="AG1243" s="90">
        <f t="shared" si="427"/>
        <v>184</v>
      </c>
      <c r="AH1243" s="90" t="str">
        <f t="shared" si="428"/>
        <v>2018 (triag)</v>
      </c>
      <c r="AI1243" s="90">
        <f t="shared" si="429"/>
        <v>21</v>
      </c>
      <c r="AJ1243" s="90" t="str">
        <f t="shared" si="430"/>
        <v>2018 (triag)</v>
      </c>
      <c r="AK1243" s="90" t="str">
        <f t="shared" si="431"/>
        <v>Adjust</v>
      </c>
      <c r="AL1243" s="91">
        <f>IF(AK1243="Adjust",(_xlfn.XLOOKUP(A1243,'Adj factor'!A:A,'Adj factor'!I:I,,0)*AI1243),'Master DataSheet (Rev)'!AI1243)</f>
        <v>23.406708849787638</v>
      </c>
      <c r="AM1243" s="91">
        <f t="shared" si="432"/>
        <v>184</v>
      </c>
      <c r="AN1243" s="92" t="str">
        <f t="shared" si="433"/>
        <v>Decreasing</v>
      </c>
      <c r="AS1243" s="94">
        <f t="shared" si="434"/>
        <v>0</v>
      </c>
      <c r="AT1243" s="94">
        <f t="shared" si="435"/>
        <v>6.8537693552402149E-2</v>
      </c>
      <c r="AU1243" s="94">
        <f t="shared" si="420"/>
        <v>7.9045437389364329E-3</v>
      </c>
      <c r="AV1243" s="94">
        <f t="shared" si="421"/>
        <v>6.2137571638034857E-2</v>
      </c>
    </row>
    <row r="1244" spans="1:48" x14ac:dyDescent="0.3">
      <c r="A1244" s="85" t="str">
        <f>_xlfn.XLOOKUP(B1244,'Country codes &amp; Data sources'!G:G,'Country codes &amp; Data sources'!H:H,,0)</f>
        <v>Madagascar</v>
      </c>
      <c r="B1244" s="85" t="s">
        <v>177</v>
      </c>
      <c r="C1244" s="85">
        <v>22966253</v>
      </c>
      <c r="D1244" s="85" t="s">
        <v>339</v>
      </c>
      <c r="E1244" s="86">
        <v>0</v>
      </c>
      <c r="F1244" s="86">
        <v>23588073.5</v>
      </c>
      <c r="G1244" s="86">
        <v>0</v>
      </c>
      <c r="H1244" s="86"/>
      <c r="I1244" s="86">
        <v>0</v>
      </c>
      <c r="J1244" s="86"/>
      <c r="K1244" s="86">
        <v>0</v>
      </c>
      <c r="L1244" s="86"/>
      <c r="M1244" s="86">
        <v>0</v>
      </c>
      <c r="N1244" s="86"/>
      <c r="O1244" s="86">
        <v>0</v>
      </c>
      <c r="P1244" s="86">
        <v>26846541</v>
      </c>
      <c r="Q1244" s="86">
        <v>0</v>
      </c>
      <c r="R1244" s="87">
        <f t="shared" si="419"/>
        <v>0</v>
      </c>
      <c r="T1244" s="87">
        <v>0</v>
      </c>
      <c r="U1244" s="89"/>
      <c r="V1244" s="89">
        <v>0</v>
      </c>
      <c r="W1244" s="90"/>
      <c r="X1244" s="90">
        <v>0</v>
      </c>
      <c r="Y1244" s="90">
        <v>29611714.000000004</v>
      </c>
      <c r="Z1244" s="90">
        <v>0</v>
      </c>
      <c r="AA1244" s="90">
        <v>0</v>
      </c>
      <c r="AB1244" s="89">
        <f t="shared" si="422"/>
        <v>0</v>
      </c>
      <c r="AC1244" s="89">
        <f t="shared" si="423"/>
        <v>0</v>
      </c>
      <c r="AD1244" s="89">
        <f t="shared" si="424"/>
        <v>0</v>
      </c>
      <c r="AF1244" s="90" t="str">
        <f t="shared" si="426"/>
        <v/>
      </c>
      <c r="AH1244" s="90" t="str">
        <f t="shared" si="428"/>
        <v/>
      </c>
      <c r="AI1244" s="90">
        <f t="shared" si="429"/>
        <v>0</v>
      </c>
      <c r="AJ1244" s="90" t="str">
        <f t="shared" si="430"/>
        <v/>
      </c>
      <c r="AK1244" s="90" t="str">
        <f t="shared" si="431"/>
        <v/>
      </c>
      <c r="AL1244" s="91"/>
      <c r="AM1244" s="91">
        <f t="shared" si="432"/>
        <v>0</v>
      </c>
      <c r="AN1244" s="92" t="str">
        <f t="shared" si="433"/>
        <v>No change</v>
      </c>
      <c r="AS1244" s="94">
        <f t="shared" si="434"/>
        <v>0</v>
      </c>
      <c r="AT1244" s="94">
        <f t="shared" si="435"/>
        <v>0</v>
      </c>
      <c r="AU1244" s="94">
        <f t="shared" si="420"/>
        <v>0</v>
      </c>
      <c r="AV1244" s="94">
        <f t="shared" si="421"/>
        <v>0</v>
      </c>
    </row>
    <row r="1245" spans="1:48" x14ac:dyDescent="0.3">
      <c r="A1245" s="85" t="str">
        <f>_xlfn.XLOOKUP(B1245,'Country codes &amp; Data sources'!G:G,'Country codes &amp; Data sources'!H:H,,0)</f>
        <v>Mali</v>
      </c>
      <c r="B1245" s="85" t="s">
        <v>179</v>
      </c>
      <c r="C1245" s="85">
        <v>16514686.999999991</v>
      </c>
      <c r="D1245" s="85" t="s">
        <v>326</v>
      </c>
      <c r="E1245" s="86">
        <v>1704</v>
      </c>
      <c r="F1245" s="86">
        <v>17004032.499999996</v>
      </c>
      <c r="G1245" s="86">
        <v>1971</v>
      </c>
      <c r="H1245" s="86">
        <v>17551814.000000004</v>
      </c>
      <c r="I1245" s="86">
        <v>1750</v>
      </c>
      <c r="J1245" s="86">
        <v>18112906.500000004</v>
      </c>
      <c r="K1245" s="86">
        <v>1750</v>
      </c>
      <c r="L1245" s="86">
        <v>18700106</v>
      </c>
      <c r="M1245" s="86">
        <v>2247</v>
      </c>
      <c r="N1245" s="86">
        <v>19311354.499999996</v>
      </c>
      <c r="O1245" s="86">
        <v>2247</v>
      </c>
      <c r="P1245" s="86">
        <v>19934298.000000004</v>
      </c>
      <c r="Q1245" s="86">
        <v>2454</v>
      </c>
      <c r="R1245" s="87">
        <f t="shared" si="419"/>
        <v>2866</v>
      </c>
      <c r="S1245" s="87">
        <v>20567423.999999989</v>
      </c>
      <c r="T1245" s="87">
        <v>0</v>
      </c>
      <c r="U1245" s="89">
        <v>21224040.000000004</v>
      </c>
      <c r="V1245" s="89">
        <v>0</v>
      </c>
      <c r="W1245" s="90">
        <v>21904982.999999996</v>
      </c>
      <c r="X1245" s="90">
        <v>0</v>
      </c>
      <c r="Y1245" s="90">
        <v>22593590.500000022</v>
      </c>
      <c r="Z1245" s="90">
        <v>4402</v>
      </c>
      <c r="AA1245" s="90">
        <v>2866</v>
      </c>
      <c r="AB1245" s="89">
        <f t="shared" si="422"/>
        <v>1971</v>
      </c>
      <c r="AC1245" s="89">
        <f t="shared" si="423"/>
        <v>2454</v>
      </c>
      <c r="AD1245" s="89">
        <f t="shared" si="424"/>
        <v>4402</v>
      </c>
      <c r="AE1245" s="90">
        <f t="shared" si="425"/>
        <v>1971</v>
      </c>
      <c r="AF1245" s="90">
        <f t="shared" si="426"/>
        <v>2013</v>
      </c>
      <c r="AG1245" s="90">
        <f t="shared" si="427"/>
        <v>2866</v>
      </c>
      <c r="AH1245" s="90" t="str">
        <f t="shared" si="428"/>
        <v>2018 (triag)</v>
      </c>
      <c r="AI1245" s="90">
        <f t="shared" si="429"/>
        <v>4402</v>
      </c>
      <c r="AJ1245" s="90">
        <f t="shared" si="430"/>
        <v>2022</v>
      </c>
      <c r="AK1245" s="90" t="str">
        <f t="shared" si="431"/>
        <v/>
      </c>
      <c r="AL1245" s="91">
        <f>IF(AK1245="Adjust",(_xlfn.XLOOKUP(A1245,'Adj factor'!A:A,'Adj factor'!I:I,,0)*AI1245),'Master DataSheet (Rev)'!AI1245)</f>
        <v>4402</v>
      </c>
      <c r="AM1245" s="91">
        <f t="shared" si="432"/>
        <v>4402</v>
      </c>
      <c r="AN1245" s="92" t="str">
        <f t="shared" si="433"/>
        <v>Increasing</v>
      </c>
      <c r="AS1245" s="94">
        <f t="shared" si="434"/>
        <v>1.1591368106359479</v>
      </c>
      <c r="AT1245" s="94">
        <f t="shared" si="435"/>
        <v>1.4377230640376699</v>
      </c>
      <c r="AU1245" s="94">
        <f t="shared" si="420"/>
        <v>1.9483401719615994</v>
      </c>
      <c r="AV1245" s="94">
        <f t="shared" si="421"/>
        <v>1.9483401719615994</v>
      </c>
    </row>
    <row r="1246" spans="1:48" x14ac:dyDescent="0.3">
      <c r="A1246" s="85" t="str">
        <f>_xlfn.XLOOKUP(B1246,'Country codes &amp; Data sources'!G:G,'Country codes &amp; Data sources'!H:H,,0)</f>
        <v>Mali</v>
      </c>
      <c r="B1246" s="85" t="s">
        <v>179</v>
      </c>
      <c r="C1246" s="85">
        <v>16514688</v>
      </c>
      <c r="D1246" s="85" t="s">
        <v>327</v>
      </c>
      <c r="E1246" s="86">
        <v>0</v>
      </c>
      <c r="F1246" s="86">
        <v>17004032.499999996</v>
      </c>
      <c r="G1246" s="86">
        <v>0</v>
      </c>
      <c r="H1246" s="86"/>
      <c r="I1246" s="86">
        <v>0</v>
      </c>
      <c r="J1246" s="86"/>
      <c r="K1246" s="86">
        <v>0</v>
      </c>
      <c r="L1246" s="86"/>
      <c r="M1246" s="86">
        <v>0</v>
      </c>
      <c r="N1246" s="86"/>
      <c r="O1246" s="86">
        <v>0</v>
      </c>
      <c r="P1246" s="86">
        <v>19934298.000000004</v>
      </c>
      <c r="Q1246" s="86">
        <v>1417</v>
      </c>
      <c r="R1246" s="87">
        <f t="shared" si="419"/>
        <v>2151</v>
      </c>
      <c r="T1246" s="87">
        <v>0</v>
      </c>
      <c r="U1246" s="89"/>
      <c r="V1246" s="89">
        <v>0</v>
      </c>
      <c r="W1246" s="90"/>
      <c r="X1246" s="90">
        <v>0</v>
      </c>
      <c r="Y1246" s="90">
        <v>22593590.500000022</v>
      </c>
      <c r="Z1246" s="90">
        <v>3557</v>
      </c>
      <c r="AA1246" s="90">
        <v>2151</v>
      </c>
      <c r="AB1246" s="89">
        <f t="shared" si="422"/>
        <v>0</v>
      </c>
      <c r="AC1246" s="89">
        <f t="shared" si="423"/>
        <v>1417</v>
      </c>
      <c r="AD1246" s="89">
        <f t="shared" si="424"/>
        <v>3557</v>
      </c>
      <c r="AF1246" s="90" t="str">
        <f t="shared" si="426"/>
        <v/>
      </c>
      <c r="AG1246" s="90">
        <f t="shared" si="427"/>
        <v>2151</v>
      </c>
      <c r="AH1246" s="90" t="str">
        <f t="shared" si="428"/>
        <v>2018 (triag)</v>
      </c>
      <c r="AI1246" s="90">
        <f t="shared" si="429"/>
        <v>3557</v>
      </c>
      <c r="AJ1246" s="90">
        <f t="shared" si="430"/>
        <v>2022</v>
      </c>
      <c r="AK1246" s="90" t="str">
        <f t="shared" si="431"/>
        <v/>
      </c>
      <c r="AL1246" s="91">
        <f>IF(AK1246="Adjust",(_xlfn.XLOOKUP(A1246,'Adj factor'!A:A,'Adj factor'!I:I,,0)*AI1246),'Master DataSheet (Rev)'!AI1246)</f>
        <v>3557</v>
      </c>
      <c r="AM1246" s="91">
        <f t="shared" si="432"/>
        <v>3557</v>
      </c>
      <c r="AN1246" s="92" t="str">
        <f t="shared" si="433"/>
        <v>Increasing</v>
      </c>
      <c r="AS1246" s="94">
        <f t="shared" si="434"/>
        <v>0</v>
      </c>
      <c r="AT1246" s="94">
        <f t="shared" si="435"/>
        <v>1.0790447699738408</v>
      </c>
      <c r="AU1246" s="94">
        <f t="shared" si="420"/>
        <v>1.5743402979707879</v>
      </c>
      <c r="AV1246" s="94">
        <f t="shared" si="421"/>
        <v>1.5743402979707879</v>
      </c>
    </row>
    <row r="1247" spans="1:48" x14ac:dyDescent="0.3">
      <c r="A1247" s="85" t="str">
        <f>_xlfn.XLOOKUP(B1247,'Country codes &amp; Data sources'!G:G,'Country codes &amp; Data sources'!H:H,,0)</f>
        <v>Mali</v>
      </c>
      <c r="B1247" s="85" t="s">
        <v>179</v>
      </c>
      <c r="C1247" s="85">
        <v>16514689</v>
      </c>
      <c r="D1247" s="85" t="s">
        <v>328</v>
      </c>
      <c r="E1247" s="86">
        <v>0</v>
      </c>
      <c r="F1247" s="86">
        <v>17004032.499999996</v>
      </c>
      <c r="G1247" s="86">
        <v>0</v>
      </c>
      <c r="H1247" s="86"/>
      <c r="I1247" s="86">
        <v>0</v>
      </c>
      <c r="J1247" s="86"/>
      <c r="K1247" s="86">
        <v>0</v>
      </c>
      <c r="L1247" s="86"/>
      <c r="M1247" s="86">
        <v>0</v>
      </c>
      <c r="N1247" s="86"/>
      <c r="O1247" s="86">
        <v>0</v>
      </c>
      <c r="P1247" s="86">
        <v>19934298.000000004</v>
      </c>
      <c r="Q1247" s="86">
        <v>1037</v>
      </c>
      <c r="R1247" s="87">
        <f t="shared" si="419"/>
        <v>1037</v>
      </c>
      <c r="T1247" s="87">
        <v>0</v>
      </c>
      <c r="U1247" s="89"/>
      <c r="V1247" s="89">
        <v>0</v>
      </c>
      <c r="W1247" s="90"/>
      <c r="X1247" s="90">
        <v>0</v>
      </c>
      <c r="Y1247" s="90">
        <v>22593590.500000022</v>
      </c>
      <c r="Z1247" s="90">
        <v>845</v>
      </c>
      <c r="AA1247" s="90">
        <v>715</v>
      </c>
      <c r="AB1247" s="89">
        <f t="shared" si="422"/>
        <v>0</v>
      </c>
      <c r="AC1247" s="89">
        <f t="shared" si="423"/>
        <v>1037</v>
      </c>
      <c r="AD1247" s="89">
        <f t="shared" si="424"/>
        <v>845</v>
      </c>
      <c r="AF1247" s="90" t="str">
        <f t="shared" si="426"/>
        <v/>
      </c>
      <c r="AG1247" s="90">
        <f t="shared" si="427"/>
        <v>1037</v>
      </c>
      <c r="AH1247" s="90">
        <f t="shared" si="428"/>
        <v>2018</v>
      </c>
      <c r="AI1247" s="90">
        <f t="shared" si="429"/>
        <v>845</v>
      </c>
      <c r="AJ1247" s="90">
        <f t="shared" si="430"/>
        <v>2022</v>
      </c>
      <c r="AK1247" s="90" t="str">
        <f t="shared" si="431"/>
        <v>Adjust</v>
      </c>
      <c r="AL1247" s="91">
        <f>IF(AK1247="Adjust",(_xlfn.XLOOKUP(A1247,'Adj factor'!A:A,'Adj factor'!I:I,,0)*AI1247),'Master DataSheet (Rev)'!AI1247)</f>
        <v>995.95103054567016</v>
      </c>
      <c r="AM1247" s="91">
        <f t="shared" si="432"/>
        <v>1037</v>
      </c>
      <c r="AN1247" s="92" t="str">
        <f t="shared" si="433"/>
        <v>Decreasing</v>
      </c>
      <c r="AS1247" s="94">
        <f t="shared" si="434"/>
        <v>0</v>
      </c>
      <c r="AT1247" s="94">
        <f t="shared" si="435"/>
        <v>0.52020893838348348</v>
      </c>
      <c r="AU1247" s="94">
        <f t="shared" si="420"/>
        <v>0.44081131352082759</v>
      </c>
      <c r="AV1247" s="94">
        <f t="shared" si="421"/>
        <v>0.45897972701594242</v>
      </c>
    </row>
    <row r="1248" spans="1:48" x14ac:dyDescent="0.3">
      <c r="A1248" s="85" t="str">
        <f>_xlfn.XLOOKUP(B1248,'Country codes &amp; Data sources'!G:G,'Country codes &amp; Data sources'!H:H,,0)</f>
        <v>Mali</v>
      </c>
      <c r="B1248" s="85" t="s">
        <v>179</v>
      </c>
      <c r="C1248" s="85">
        <v>16514690</v>
      </c>
      <c r="D1248" s="85" t="s">
        <v>329</v>
      </c>
      <c r="E1248" s="86">
        <v>4257</v>
      </c>
      <c r="F1248" s="86">
        <v>17004032.499999996</v>
      </c>
      <c r="G1248" s="86">
        <v>0</v>
      </c>
      <c r="H1248" s="86"/>
      <c r="I1248" s="86">
        <v>0</v>
      </c>
      <c r="J1248" s="86"/>
      <c r="K1248" s="86">
        <v>0</v>
      </c>
      <c r="L1248" s="86"/>
      <c r="M1248" s="86">
        <v>4765</v>
      </c>
      <c r="N1248" s="86"/>
      <c r="O1248" s="86">
        <v>0</v>
      </c>
      <c r="P1248" s="86">
        <v>19934298.000000004</v>
      </c>
      <c r="Q1248" s="86">
        <v>5174</v>
      </c>
      <c r="R1248" s="87">
        <f t="shared" si="419"/>
        <v>5225</v>
      </c>
      <c r="T1248" s="87">
        <v>0</v>
      </c>
      <c r="U1248" s="89"/>
      <c r="V1248" s="89">
        <v>0</v>
      </c>
      <c r="W1248" s="90"/>
      <c r="X1248" s="90">
        <v>0</v>
      </c>
      <c r="Y1248" s="90">
        <v>22593590.500000022</v>
      </c>
      <c r="Z1248" s="90">
        <v>6327</v>
      </c>
      <c r="AA1248" s="90">
        <v>5225</v>
      </c>
      <c r="AB1248" s="89">
        <f t="shared" si="422"/>
        <v>4257</v>
      </c>
      <c r="AC1248" s="89">
        <f t="shared" si="423"/>
        <v>5174</v>
      </c>
      <c r="AD1248" s="89">
        <f t="shared" si="424"/>
        <v>6327</v>
      </c>
      <c r="AE1248" s="90">
        <f t="shared" si="425"/>
        <v>4257</v>
      </c>
      <c r="AF1248" s="90">
        <f t="shared" si="426"/>
        <v>2012</v>
      </c>
      <c r="AG1248" s="90">
        <f t="shared" si="427"/>
        <v>5225</v>
      </c>
      <c r="AH1248" s="90" t="str">
        <f t="shared" si="428"/>
        <v>2018 (triag)</v>
      </c>
      <c r="AI1248" s="90">
        <f t="shared" si="429"/>
        <v>6327</v>
      </c>
      <c r="AJ1248" s="90">
        <f t="shared" si="430"/>
        <v>2022</v>
      </c>
      <c r="AK1248" s="90" t="str">
        <f t="shared" si="431"/>
        <v/>
      </c>
      <c r="AL1248" s="91">
        <f>IF(AK1248="Adjust",(_xlfn.XLOOKUP(A1248,'Adj factor'!A:A,'Adj factor'!I:I,,0)*AI1248),'Master DataSheet (Rev)'!AI1248)</f>
        <v>6327</v>
      </c>
      <c r="AM1248" s="91">
        <f t="shared" si="432"/>
        <v>6327</v>
      </c>
      <c r="AN1248" s="92" t="str">
        <f t="shared" si="433"/>
        <v>Increasing</v>
      </c>
      <c r="AS1248" s="94">
        <f t="shared" si="434"/>
        <v>2.5035237964876864</v>
      </c>
      <c r="AT1248" s="94">
        <f t="shared" si="435"/>
        <v>2.621110610466443</v>
      </c>
      <c r="AU1248" s="94">
        <f t="shared" si="420"/>
        <v>2.800351719218773</v>
      </c>
      <c r="AV1248" s="94">
        <f t="shared" si="421"/>
        <v>2.800351719218773</v>
      </c>
    </row>
    <row r="1249" spans="1:48" x14ac:dyDescent="0.3">
      <c r="A1249" s="85" t="str">
        <f>_xlfn.XLOOKUP(B1249,'Country codes &amp; Data sources'!G:G,'Country codes &amp; Data sources'!H:H,,0)</f>
        <v>Mali</v>
      </c>
      <c r="B1249" s="85" t="s">
        <v>179</v>
      </c>
      <c r="C1249" s="85">
        <v>16514691</v>
      </c>
      <c r="D1249" s="85" t="s">
        <v>330</v>
      </c>
      <c r="E1249" s="86">
        <v>0</v>
      </c>
      <c r="F1249" s="86">
        <v>17004032.499999996</v>
      </c>
      <c r="G1249" s="86">
        <v>0</v>
      </c>
      <c r="H1249" s="86"/>
      <c r="I1249" s="86">
        <v>0</v>
      </c>
      <c r="J1249" s="86"/>
      <c r="K1249" s="86">
        <v>0</v>
      </c>
      <c r="L1249" s="86"/>
      <c r="M1249" s="86">
        <v>4765</v>
      </c>
      <c r="N1249" s="86"/>
      <c r="O1249" s="86">
        <v>0</v>
      </c>
      <c r="P1249" s="86">
        <v>19934298.000000004</v>
      </c>
      <c r="Q1249" s="86">
        <v>5174</v>
      </c>
      <c r="R1249" s="87">
        <f t="shared" si="419"/>
        <v>5174</v>
      </c>
      <c r="T1249" s="87">
        <v>0</v>
      </c>
      <c r="U1249" s="89"/>
      <c r="V1249" s="89">
        <v>0</v>
      </c>
      <c r="W1249" s="90"/>
      <c r="X1249" s="90">
        <v>0</v>
      </c>
      <c r="Y1249" s="90">
        <v>22593590.500000022</v>
      </c>
      <c r="Z1249" s="90">
        <v>0</v>
      </c>
      <c r="AA1249" s="90">
        <v>2255</v>
      </c>
      <c r="AB1249" s="89">
        <f t="shared" si="422"/>
        <v>0</v>
      </c>
      <c r="AC1249" s="89">
        <f t="shared" si="423"/>
        <v>5174</v>
      </c>
      <c r="AD1249" s="89">
        <f t="shared" si="424"/>
        <v>0</v>
      </c>
      <c r="AF1249" s="90" t="str">
        <f t="shared" si="426"/>
        <v/>
      </c>
      <c r="AG1249" s="90">
        <f t="shared" si="427"/>
        <v>5174</v>
      </c>
      <c r="AH1249" s="90">
        <f t="shared" si="428"/>
        <v>2018</v>
      </c>
      <c r="AI1249" s="90">
        <f t="shared" si="429"/>
        <v>5174</v>
      </c>
      <c r="AJ1249" s="90">
        <f t="shared" si="430"/>
        <v>2018</v>
      </c>
      <c r="AK1249" s="90" t="str">
        <f t="shared" si="431"/>
        <v/>
      </c>
      <c r="AL1249" s="91">
        <f>IF(AK1249="Adjust",(_xlfn.XLOOKUP(A1249,'Adj factor'!A:A,'Adj factor'!I:I,,0)*AI1249),'Master DataSheet (Rev)'!AI1249)</f>
        <v>5174</v>
      </c>
      <c r="AM1249" s="91">
        <f t="shared" si="432"/>
        <v>5174</v>
      </c>
      <c r="AN1249" s="92" t="str">
        <f t="shared" si="433"/>
        <v>No change</v>
      </c>
      <c r="AS1249" s="94">
        <f t="shared" si="434"/>
        <v>0</v>
      </c>
      <c r="AT1249" s="94">
        <f t="shared" si="435"/>
        <v>2.5955265643164354</v>
      </c>
      <c r="AU1249" s="94">
        <f t="shared" si="420"/>
        <v>2.2900299976668137</v>
      </c>
      <c r="AV1249" s="94">
        <f t="shared" si="421"/>
        <v>2.2900299976668137</v>
      </c>
    </row>
    <row r="1250" spans="1:48" x14ac:dyDescent="0.3">
      <c r="A1250" s="85" t="str">
        <f>_xlfn.XLOOKUP(B1250,'Country codes &amp; Data sources'!G:G,'Country codes &amp; Data sources'!H:H,,0)</f>
        <v>Mali</v>
      </c>
      <c r="B1250" s="85" t="s">
        <v>179</v>
      </c>
      <c r="C1250" s="85">
        <v>16514692</v>
      </c>
      <c r="D1250" s="85" t="s">
        <v>331</v>
      </c>
      <c r="E1250" s="86">
        <v>0</v>
      </c>
      <c r="F1250" s="86">
        <v>17004032.499999996</v>
      </c>
      <c r="G1250" s="86">
        <v>0</v>
      </c>
      <c r="H1250" s="86"/>
      <c r="I1250" s="86">
        <v>0</v>
      </c>
      <c r="J1250" s="86"/>
      <c r="K1250" s="86">
        <v>0</v>
      </c>
      <c r="L1250" s="86"/>
      <c r="M1250" s="86">
        <v>0</v>
      </c>
      <c r="N1250" s="86"/>
      <c r="O1250" s="86">
        <v>0</v>
      </c>
      <c r="P1250" s="86">
        <v>19934298.000000004</v>
      </c>
      <c r="Q1250" s="86">
        <v>0</v>
      </c>
      <c r="R1250" s="87">
        <f t="shared" si="419"/>
        <v>2970</v>
      </c>
      <c r="T1250" s="87">
        <v>0</v>
      </c>
      <c r="U1250" s="89"/>
      <c r="V1250" s="89">
        <v>0</v>
      </c>
      <c r="W1250" s="90"/>
      <c r="X1250" s="90">
        <v>0</v>
      </c>
      <c r="Y1250" s="90">
        <v>22593590.500000022</v>
      </c>
      <c r="Z1250" s="90">
        <v>6327</v>
      </c>
      <c r="AA1250" s="90">
        <v>2970</v>
      </c>
      <c r="AB1250" s="89">
        <f t="shared" si="422"/>
        <v>0</v>
      </c>
      <c r="AC1250" s="89">
        <f t="shared" si="423"/>
        <v>0</v>
      </c>
      <c r="AD1250" s="89">
        <f t="shared" si="424"/>
        <v>6327</v>
      </c>
      <c r="AF1250" s="90" t="str">
        <f t="shared" si="426"/>
        <v/>
      </c>
      <c r="AG1250" s="90">
        <f t="shared" si="427"/>
        <v>2970</v>
      </c>
      <c r="AH1250" s="90" t="str">
        <f t="shared" si="428"/>
        <v>2018 (triag)</v>
      </c>
      <c r="AI1250" s="90">
        <f t="shared" si="429"/>
        <v>6327</v>
      </c>
      <c r="AJ1250" s="90">
        <f t="shared" si="430"/>
        <v>2022</v>
      </c>
      <c r="AK1250" s="90" t="str">
        <f t="shared" si="431"/>
        <v/>
      </c>
      <c r="AL1250" s="91">
        <f>IF(AK1250="Adjust",(_xlfn.XLOOKUP(A1250,'Adj factor'!A:A,'Adj factor'!I:I,,0)*AI1250),'Master DataSheet (Rev)'!AI1250)</f>
        <v>6327</v>
      </c>
      <c r="AM1250" s="91">
        <f t="shared" si="432"/>
        <v>6327</v>
      </c>
      <c r="AN1250" s="92" t="str">
        <f t="shared" si="433"/>
        <v>Increasing</v>
      </c>
      <c r="AS1250" s="94">
        <f t="shared" si="434"/>
        <v>0</v>
      </c>
      <c r="AT1250" s="94">
        <f t="shared" si="435"/>
        <v>1.4898944522651358</v>
      </c>
      <c r="AU1250" s="94">
        <f t="shared" si="420"/>
        <v>2.800351719218773</v>
      </c>
      <c r="AV1250" s="94">
        <f t="shared" si="421"/>
        <v>2.800351719218773</v>
      </c>
    </row>
    <row r="1251" spans="1:48" x14ac:dyDescent="0.3">
      <c r="A1251" s="85" t="str">
        <f>_xlfn.XLOOKUP(B1251,'Country codes &amp; Data sources'!G:G,'Country codes &amp; Data sources'!H:H,,0)</f>
        <v>Mali</v>
      </c>
      <c r="B1251" s="85" t="s">
        <v>179</v>
      </c>
      <c r="C1251" s="85">
        <v>16514693</v>
      </c>
      <c r="D1251" s="85" t="s">
        <v>332</v>
      </c>
      <c r="E1251" s="86">
        <v>1770</v>
      </c>
      <c r="F1251" s="86">
        <v>17004032.499999996</v>
      </c>
      <c r="G1251" s="86">
        <v>1961</v>
      </c>
      <c r="H1251" s="86"/>
      <c r="I1251" s="86">
        <v>0</v>
      </c>
      <c r="J1251" s="86"/>
      <c r="K1251" s="86">
        <v>0</v>
      </c>
      <c r="L1251" s="86"/>
      <c r="M1251" s="86">
        <v>2657</v>
      </c>
      <c r="N1251" s="86"/>
      <c r="O1251" s="86">
        <v>0</v>
      </c>
      <c r="P1251" s="86">
        <v>19934298.000000004</v>
      </c>
      <c r="Q1251" s="86">
        <v>3235</v>
      </c>
      <c r="R1251" s="87">
        <f t="shared" si="419"/>
        <v>3235</v>
      </c>
      <c r="T1251" s="87">
        <v>0</v>
      </c>
      <c r="U1251" s="89"/>
      <c r="V1251" s="89">
        <v>0</v>
      </c>
      <c r="W1251" s="90"/>
      <c r="X1251" s="90">
        <v>0</v>
      </c>
      <c r="Y1251" s="90">
        <v>22593590.500000022</v>
      </c>
      <c r="Z1251" s="90">
        <v>1629</v>
      </c>
      <c r="AA1251" s="90">
        <v>3169</v>
      </c>
      <c r="AB1251" s="89">
        <f t="shared" si="422"/>
        <v>1961</v>
      </c>
      <c r="AC1251" s="89">
        <f t="shared" si="423"/>
        <v>3235</v>
      </c>
      <c r="AD1251" s="89">
        <f t="shared" si="424"/>
        <v>1629</v>
      </c>
      <c r="AE1251" s="90">
        <f t="shared" si="425"/>
        <v>1961</v>
      </c>
      <c r="AF1251" s="90">
        <f t="shared" si="426"/>
        <v>2013</v>
      </c>
      <c r="AG1251" s="90">
        <f t="shared" si="427"/>
        <v>3235</v>
      </c>
      <c r="AH1251" s="90">
        <f t="shared" si="428"/>
        <v>2018</v>
      </c>
      <c r="AI1251" s="90">
        <f t="shared" si="429"/>
        <v>1629</v>
      </c>
      <c r="AJ1251" s="90">
        <f t="shared" si="430"/>
        <v>2022</v>
      </c>
      <c r="AK1251" s="90" t="str">
        <f t="shared" si="431"/>
        <v>Adjust</v>
      </c>
      <c r="AL1251" s="91">
        <f>IF(AK1251="Adjust",(_xlfn.XLOOKUP(A1251,'Adj factor'!A:A,'Adj factor'!I:I,,0)*AI1251),'Master DataSheet (Rev)'!AI1251)</f>
        <v>1920.0050044483985</v>
      </c>
      <c r="AM1251" s="91">
        <f t="shared" si="432"/>
        <v>3235</v>
      </c>
      <c r="AN1251" s="92" t="str">
        <f t="shared" si="433"/>
        <v>Decreasing</v>
      </c>
      <c r="AS1251" s="94">
        <f t="shared" si="434"/>
        <v>1.1532558526925896</v>
      </c>
      <c r="AT1251" s="94">
        <f t="shared" si="435"/>
        <v>1.6228311626524292</v>
      </c>
      <c r="AU1251" s="94">
        <f t="shared" si="420"/>
        <v>0.84980074523719307</v>
      </c>
      <c r="AV1251" s="94">
        <f t="shared" si="421"/>
        <v>1.4318220027932245</v>
      </c>
    </row>
    <row r="1252" spans="1:48" x14ac:dyDescent="0.3">
      <c r="A1252" s="85" t="str">
        <f>_xlfn.XLOOKUP(B1252,'Country codes &amp; Data sources'!G:G,'Country codes &amp; Data sources'!H:H,,0)</f>
        <v>Mali</v>
      </c>
      <c r="B1252" s="85" t="s">
        <v>179</v>
      </c>
      <c r="C1252" s="85">
        <v>16514694</v>
      </c>
      <c r="D1252" s="85" t="s">
        <v>333</v>
      </c>
      <c r="E1252" s="86">
        <v>0</v>
      </c>
      <c r="F1252" s="86">
        <v>17004032.499999996</v>
      </c>
      <c r="G1252" s="86">
        <v>686</v>
      </c>
      <c r="H1252" s="86"/>
      <c r="I1252" s="86">
        <v>0</v>
      </c>
      <c r="J1252" s="86"/>
      <c r="K1252" s="86">
        <v>0</v>
      </c>
      <c r="L1252" s="86"/>
      <c r="M1252" s="86">
        <v>2657</v>
      </c>
      <c r="N1252" s="86"/>
      <c r="O1252" s="86">
        <v>0</v>
      </c>
      <c r="P1252" s="86">
        <v>19934298.000000004</v>
      </c>
      <c r="Q1252" s="86">
        <v>3235</v>
      </c>
      <c r="R1252" s="87">
        <f t="shared" si="419"/>
        <v>3235</v>
      </c>
      <c r="T1252" s="87">
        <v>0</v>
      </c>
      <c r="U1252" s="89"/>
      <c r="V1252" s="89">
        <v>0</v>
      </c>
      <c r="W1252" s="90"/>
      <c r="X1252" s="90">
        <v>0</v>
      </c>
      <c r="Y1252" s="90">
        <v>22593590.500000022</v>
      </c>
      <c r="Z1252" s="90">
        <v>1629</v>
      </c>
      <c r="AA1252" s="90">
        <v>1527</v>
      </c>
      <c r="AB1252" s="89">
        <f t="shared" si="422"/>
        <v>686</v>
      </c>
      <c r="AC1252" s="89">
        <f t="shared" si="423"/>
        <v>3235</v>
      </c>
      <c r="AD1252" s="89">
        <f t="shared" si="424"/>
        <v>1629</v>
      </c>
      <c r="AE1252" s="90">
        <f t="shared" si="425"/>
        <v>686</v>
      </c>
      <c r="AF1252" s="90">
        <f t="shared" si="426"/>
        <v>2013</v>
      </c>
      <c r="AG1252" s="90">
        <f t="shared" si="427"/>
        <v>3235</v>
      </c>
      <c r="AH1252" s="90">
        <f t="shared" si="428"/>
        <v>2018</v>
      </c>
      <c r="AI1252" s="90">
        <f t="shared" si="429"/>
        <v>1629</v>
      </c>
      <c r="AJ1252" s="90">
        <f t="shared" si="430"/>
        <v>2022</v>
      </c>
      <c r="AK1252" s="90" t="str">
        <f t="shared" si="431"/>
        <v>Adjust</v>
      </c>
      <c r="AL1252" s="91">
        <f>IF(AK1252="Adjust",(_xlfn.XLOOKUP(A1252,'Adj factor'!A:A,'Adj factor'!I:I,,0)*AI1252),'Master DataSheet (Rev)'!AI1252)</f>
        <v>1920.0050044483985</v>
      </c>
      <c r="AM1252" s="91">
        <f t="shared" si="432"/>
        <v>3235</v>
      </c>
      <c r="AN1252" s="92" t="str">
        <f t="shared" si="433"/>
        <v>Decreasing</v>
      </c>
      <c r="AS1252" s="94">
        <f t="shared" si="434"/>
        <v>0.40343371491438879</v>
      </c>
      <c r="AT1252" s="94">
        <f t="shared" si="435"/>
        <v>1.6228311626524292</v>
      </c>
      <c r="AU1252" s="94">
        <f t="shared" si="420"/>
        <v>0.84980074523719307</v>
      </c>
      <c r="AV1252" s="94">
        <f t="shared" si="421"/>
        <v>1.4318220027932245</v>
      </c>
    </row>
    <row r="1253" spans="1:48" x14ac:dyDescent="0.3">
      <c r="A1253" s="85" t="str">
        <f>_xlfn.XLOOKUP(B1253,'Country codes &amp; Data sources'!G:G,'Country codes &amp; Data sources'!H:H,,0)</f>
        <v>Mali</v>
      </c>
      <c r="B1253" s="85" t="s">
        <v>179</v>
      </c>
      <c r="C1253" s="85">
        <v>16514695</v>
      </c>
      <c r="D1253" s="85" t="s">
        <v>334</v>
      </c>
      <c r="E1253" s="86">
        <v>0</v>
      </c>
      <c r="F1253" s="86">
        <v>17004032.499999996</v>
      </c>
      <c r="G1253" s="86">
        <v>1275</v>
      </c>
      <c r="H1253" s="86"/>
      <c r="I1253" s="86">
        <v>0</v>
      </c>
      <c r="J1253" s="86"/>
      <c r="K1253" s="86">
        <v>0</v>
      </c>
      <c r="L1253" s="86"/>
      <c r="M1253" s="86">
        <v>0</v>
      </c>
      <c r="N1253" s="86"/>
      <c r="O1253" s="86">
        <v>0</v>
      </c>
      <c r="P1253" s="86">
        <v>19934298.000000004</v>
      </c>
      <c r="Q1253" s="86">
        <v>0</v>
      </c>
      <c r="R1253" s="87">
        <f t="shared" si="419"/>
        <v>1642</v>
      </c>
      <c r="T1253" s="87">
        <v>0</v>
      </c>
      <c r="U1253" s="89"/>
      <c r="V1253" s="89">
        <v>0</v>
      </c>
      <c r="W1253" s="90"/>
      <c r="X1253" s="90">
        <v>0</v>
      </c>
      <c r="Y1253" s="90">
        <v>22593590.500000022</v>
      </c>
      <c r="Z1253" s="90">
        <v>0</v>
      </c>
      <c r="AA1253" s="90">
        <v>1642</v>
      </c>
      <c r="AB1253" s="89">
        <f t="shared" si="422"/>
        <v>1275</v>
      </c>
      <c r="AC1253" s="89">
        <f t="shared" si="423"/>
        <v>0</v>
      </c>
      <c r="AD1253" s="89">
        <f t="shared" si="424"/>
        <v>0</v>
      </c>
      <c r="AE1253" s="90">
        <f t="shared" si="425"/>
        <v>1275</v>
      </c>
      <c r="AF1253" s="90">
        <f t="shared" si="426"/>
        <v>2013</v>
      </c>
      <c r="AG1253" s="90">
        <f t="shared" si="427"/>
        <v>1642</v>
      </c>
      <c r="AH1253" s="90" t="str">
        <f t="shared" si="428"/>
        <v>2018 (triag)</v>
      </c>
      <c r="AI1253" s="90">
        <f t="shared" si="429"/>
        <v>1642</v>
      </c>
      <c r="AJ1253" s="90" t="str">
        <f t="shared" si="430"/>
        <v>2018 (triag)</v>
      </c>
      <c r="AK1253" s="90" t="str">
        <f t="shared" si="431"/>
        <v/>
      </c>
      <c r="AL1253" s="91">
        <f>IF(AK1253="Adjust",(_xlfn.XLOOKUP(A1253,'Adj factor'!A:A,'Adj factor'!I:I,,0)*AI1253),'Master DataSheet (Rev)'!AI1253)</f>
        <v>1642</v>
      </c>
      <c r="AM1253" s="91">
        <f t="shared" si="432"/>
        <v>1642</v>
      </c>
      <c r="AN1253" s="92" t="str">
        <f t="shared" si="433"/>
        <v>No change</v>
      </c>
      <c r="AS1253" s="94">
        <f t="shared" si="434"/>
        <v>0.74982213777820073</v>
      </c>
      <c r="AT1253" s="94">
        <f t="shared" si="435"/>
        <v>0.82370595643749267</v>
      </c>
      <c r="AU1253" s="94">
        <f t="shared" si="420"/>
        <v>0.72675478472533983</v>
      </c>
      <c r="AV1253" s="94">
        <f t="shared" si="421"/>
        <v>0.72675478472533983</v>
      </c>
    </row>
    <row r="1254" spans="1:48" x14ac:dyDescent="0.3">
      <c r="A1254" s="85" t="str">
        <f>_xlfn.XLOOKUP(B1254,'Country codes &amp; Data sources'!G:G,'Country codes &amp; Data sources'!H:H,,0)</f>
        <v>Mali</v>
      </c>
      <c r="B1254" s="85" t="s">
        <v>179</v>
      </c>
      <c r="C1254" s="85">
        <v>16514696</v>
      </c>
      <c r="D1254" s="85" t="s">
        <v>335</v>
      </c>
      <c r="E1254" s="86">
        <v>0</v>
      </c>
      <c r="F1254" s="86">
        <v>17004032.499999996</v>
      </c>
      <c r="G1254" s="86">
        <v>0</v>
      </c>
      <c r="H1254" s="86"/>
      <c r="I1254" s="86">
        <v>0</v>
      </c>
      <c r="J1254" s="86"/>
      <c r="K1254" s="86">
        <v>0</v>
      </c>
      <c r="L1254" s="86"/>
      <c r="M1254" s="86">
        <v>194</v>
      </c>
      <c r="N1254" s="86"/>
      <c r="O1254" s="86">
        <v>0</v>
      </c>
      <c r="P1254" s="86">
        <v>19934298.000000004</v>
      </c>
      <c r="Q1254" s="86">
        <v>182</v>
      </c>
      <c r="R1254" s="87">
        <f t="shared" si="419"/>
        <v>1340</v>
      </c>
      <c r="T1254" s="87">
        <v>0</v>
      </c>
      <c r="U1254" s="89"/>
      <c r="V1254" s="89">
        <v>0</v>
      </c>
      <c r="W1254" s="90"/>
      <c r="X1254" s="90">
        <v>0</v>
      </c>
      <c r="Y1254" s="90">
        <v>22593590.500000022</v>
      </c>
      <c r="Z1254" s="90">
        <v>1721</v>
      </c>
      <c r="AA1254" s="90">
        <v>1340</v>
      </c>
      <c r="AB1254" s="89">
        <f t="shared" si="422"/>
        <v>0</v>
      </c>
      <c r="AC1254" s="89">
        <f t="shared" si="423"/>
        <v>194</v>
      </c>
      <c r="AD1254" s="89">
        <f t="shared" si="424"/>
        <v>1721</v>
      </c>
      <c r="AF1254" s="90" t="str">
        <f t="shared" si="426"/>
        <v/>
      </c>
      <c r="AG1254" s="90">
        <f t="shared" si="427"/>
        <v>1340</v>
      </c>
      <c r="AH1254" s="90" t="str">
        <f t="shared" si="428"/>
        <v>2018 (triag)</v>
      </c>
      <c r="AI1254" s="90">
        <f t="shared" si="429"/>
        <v>1721</v>
      </c>
      <c r="AJ1254" s="90">
        <f t="shared" si="430"/>
        <v>2022</v>
      </c>
      <c r="AK1254" s="90" t="str">
        <f t="shared" si="431"/>
        <v/>
      </c>
      <c r="AL1254" s="91">
        <f>IF(AK1254="Adjust",(_xlfn.XLOOKUP(A1254,'Adj factor'!A:A,'Adj factor'!I:I,,0)*AI1254),'Master DataSheet (Rev)'!AI1254)</f>
        <v>1721</v>
      </c>
      <c r="AM1254" s="91">
        <f t="shared" si="432"/>
        <v>1721</v>
      </c>
      <c r="AN1254" s="92" t="str">
        <f t="shared" si="433"/>
        <v>Increasing</v>
      </c>
      <c r="AS1254" s="94">
        <f t="shared" si="434"/>
        <v>0</v>
      </c>
      <c r="AT1254" s="94">
        <f t="shared" si="435"/>
        <v>0.67220827139235084</v>
      </c>
      <c r="AU1254" s="94">
        <f t="shared" si="420"/>
        <v>0.7617204534179719</v>
      </c>
      <c r="AV1254" s="94">
        <f t="shared" si="421"/>
        <v>0.7617204534179719</v>
      </c>
    </row>
    <row r="1255" spans="1:48" x14ac:dyDescent="0.3">
      <c r="A1255" s="85" t="str">
        <f>_xlfn.XLOOKUP(B1255,'Country codes &amp; Data sources'!G:G,'Country codes &amp; Data sources'!H:H,,0)</f>
        <v>Mali</v>
      </c>
      <c r="B1255" s="85" t="s">
        <v>179</v>
      </c>
      <c r="C1255" s="85">
        <v>16514697</v>
      </c>
      <c r="D1255" s="85" t="s">
        <v>336</v>
      </c>
      <c r="E1255" s="86">
        <v>0</v>
      </c>
      <c r="F1255" s="86">
        <v>17004032.499999996</v>
      </c>
      <c r="G1255" s="86">
        <v>0</v>
      </c>
      <c r="H1255" s="86"/>
      <c r="I1255" s="86">
        <v>0</v>
      </c>
      <c r="J1255" s="86"/>
      <c r="K1255" s="86">
        <v>0</v>
      </c>
      <c r="L1255" s="86"/>
      <c r="M1255" s="86">
        <v>0</v>
      </c>
      <c r="N1255" s="86"/>
      <c r="O1255" s="86">
        <v>0</v>
      </c>
      <c r="P1255" s="86">
        <v>19934298.000000004</v>
      </c>
      <c r="Q1255" s="86">
        <v>0</v>
      </c>
      <c r="R1255" s="87">
        <f t="shared" si="419"/>
        <v>84</v>
      </c>
      <c r="T1255" s="87">
        <v>0</v>
      </c>
      <c r="U1255" s="89"/>
      <c r="V1255" s="89">
        <v>0</v>
      </c>
      <c r="W1255" s="90"/>
      <c r="X1255" s="90">
        <v>0</v>
      </c>
      <c r="Y1255" s="90">
        <v>22593590.500000022</v>
      </c>
      <c r="Z1255" s="90">
        <v>0</v>
      </c>
      <c r="AA1255" s="90">
        <v>84</v>
      </c>
      <c r="AB1255" s="89">
        <f t="shared" si="422"/>
        <v>0</v>
      </c>
      <c r="AC1255" s="89">
        <f t="shared" si="423"/>
        <v>0</v>
      </c>
      <c r="AD1255" s="89">
        <f t="shared" si="424"/>
        <v>0</v>
      </c>
      <c r="AF1255" s="90" t="str">
        <f t="shared" si="426"/>
        <v/>
      </c>
      <c r="AG1255" s="90">
        <f t="shared" si="427"/>
        <v>84</v>
      </c>
      <c r="AH1255" s="90" t="str">
        <f t="shared" si="428"/>
        <v>2018 (triag)</v>
      </c>
      <c r="AI1255" s="90">
        <f t="shared" si="429"/>
        <v>84</v>
      </c>
      <c r="AJ1255" s="90" t="str">
        <f t="shared" si="430"/>
        <v>2018 (triag)</v>
      </c>
      <c r="AK1255" s="90" t="str">
        <f t="shared" si="431"/>
        <v/>
      </c>
      <c r="AL1255" s="91">
        <f>IF(AK1255="Adjust",(_xlfn.XLOOKUP(A1255,'Adj factor'!A:A,'Adj factor'!I:I,,0)*AI1255),'Master DataSheet (Rev)'!AI1255)</f>
        <v>84</v>
      </c>
      <c r="AM1255" s="91">
        <f t="shared" si="432"/>
        <v>84</v>
      </c>
      <c r="AN1255" s="92" t="str">
        <f t="shared" si="433"/>
        <v>No change</v>
      </c>
      <c r="AS1255" s="94">
        <f t="shared" si="434"/>
        <v>0</v>
      </c>
      <c r="AT1255" s="94">
        <f t="shared" si="435"/>
        <v>4.213842895295334E-2</v>
      </c>
      <c r="AU1255" s="94">
        <f t="shared" si="420"/>
        <v>3.7178685698494855E-2</v>
      </c>
      <c r="AV1255" s="94">
        <f t="shared" si="421"/>
        <v>3.7178685698494855E-2</v>
      </c>
    </row>
    <row r="1256" spans="1:48" x14ac:dyDescent="0.3">
      <c r="A1256" s="85" t="str">
        <f>_xlfn.XLOOKUP(B1256,'Country codes &amp; Data sources'!G:G,'Country codes &amp; Data sources'!H:H,,0)</f>
        <v>Mali</v>
      </c>
      <c r="B1256" s="85" t="s">
        <v>179</v>
      </c>
      <c r="C1256" s="85">
        <v>16514698</v>
      </c>
      <c r="D1256" s="85" t="s">
        <v>337</v>
      </c>
      <c r="E1256" s="86">
        <v>0</v>
      </c>
      <c r="F1256" s="86">
        <v>17004032.499999996</v>
      </c>
      <c r="G1256" s="86">
        <v>0</v>
      </c>
      <c r="H1256" s="86"/>
      <c r="I1256" s="86">
        <v>0</v>
      </c>
      <c r="J1256" s="86"/>
      <c r="K1256" s="86">
        <v>0</v>
      </c>
      <c r="L1256" s="86"/>
      <c r="M1256" s="86">
        <v>107</v>
      </c>
      <c r="N1256" s="86"/>
      <c r="O1256" s="86">
        <v>0</v>
      </c>
      <c r="P1256" s="86">
        <v>19934298.000000004</v>
      </c>
      <c r="Q1256" s="86">
        <v>30</v>
      </c>
      <c r="R1256" s="87">
        <f t="shared" si="419"/>
        <v>30</v>
      </c>
      <c r="T1256" s="87">
        <v>0</v>
      </c>
      <c r="U1256" s="89"/>
      <c r="V1256" s="89">
        <v>0</v>
      </c>
      <c r="W1256" s="90"/>
      <c r="X1256" s="90">
        <v>0</v>
      </c>
      <c r="Y1256" s="90">
        <v>22593590.500000022</v>
      </c>
      <c r="Z1256" s="90">
        <v>0</v>
      </c>
      <c r="AA1256" s="90">
        <v>30</v>
      </c>
      <c r="AB1256" s="89">
        <f t="shared" si="422"/>
        <v>0</v>
      </c>
      <c r="AC1256" s="89">
        <f t="shared" si="423"/>
        <v>107</v>
      </c>
      <c r="AD1256" s="89">
        <f t="shared" si="424"/>
        <v>0</v>
      </c>
      <c r="AF1256" s="90" t="str">
        <f t="shared" si="426"/>
        <v/>
      </c>
      <c r="AG1256" s="90">
        <f t="shared" si="427"/>
        <v>30</v>
      </c>
      <c r="AH1256" s="90">
        <f t="shared" si="428"/>
        <v>2018</v>
      </c>
      <c r="AI1256" s="90">
        <f t="shared" si="429"/>
        <v>30</v>
      </c>
      <c r="AJ1256" s="90">
        <f t="shared" si="430"/>
        <v>2018</v>
      </c>
      <c r="AK1256" s="90" t="str">
        <f t="shared" si="431"/>
        <v/>
      </c>
      <c r="AL1256" s="91">
        <f>IF(AK1256="Adjust",(_xlfn.XLOOKUP(A1256,'Adj factor'!A:A,'Adj factor'!I:I,,0)*AI1256),'Master DataSheet (Rev)'!AI1256)</f>
        <v>30</v>
      </c>
      <c r="AM1256" s="91">
        <f t="shared" si="432"/>
        <v>30</v>
      </c>
      <c r="AN1256" s="92" t="str">
        <f t="shared" si="433"/>
        <v>No change</v>
      </c>
      <c r="AS1256" s="94">
        <f t="shared" si="434"/>
        <v>0</v>
      </c>
      <c r="AT1256" s="94">
        <f t="shared" si="435"/>
        <v>1.5049438911769049E-2</v>
      </c>
      <c r="AU1256" s="94">
        <f t="shared" si="420"/>
        <v>1.3278102035176733E-2</v>
      </c>
      <c r="AV1256" s="94">
        <f t="shared" si="421"/>
        <v>1.3278102035176733E-2</v>
      </c>
    </row>
    <row r="1257" spans="1:48" x14ac:dyDescent="0.3">
      <c r="A1257" s="85" t="str">
        <f>_xlfn.XLOOKUP(B1257,'Country codes &amp; Data sources'!G:G,'Country codes &amp; Data sources'!H:H,,0)</f>
        <v>Mali</v>
      </c>
      <c r="B1257" s="85" t="s">
        <v>179</v>
      </c>
      <c r="C1257" s="85">
        <v>16514699</v>
      </c>
      <c r="D1257" s="85" t="s">
        <v>338</v>
      </c>
      <c r="E1257" s="86">
        <v>0</v>
      </c>
      <c r="F1257" s="86">
        <v>17004032.499999996</v>
      </c>
      <c r="G1257" s="86">
        <v>0</v>
      </c>
      <c r="H1257" s="86"/>
      <c r="I1257" s="86">
        <v>0</v>
      </c>
      <c r="J1257" s="86"/>
      <c r="K1257" s="86">
        <v>0</v>
      </c>
      <c r="L1257" s="86"/>
      <c r="M1257" s="86">
        <v>0</v>
      </c>
      <c r="N1257" s="86"/>
      <c r="O1257" s="86">
        <v>53</v>
      </c>
      <c r="P1257" s="86">
        <v>19934298.000000004</v>
      </c>
      <c r="Q1257" s="86">
        <v>53</v>
      </c>
      <c r="R1257" s="87">
        <f t="shared" si="419"/>
        <v>53</v>
      </c>
      <c r="T1257" s="87">
        <v>0</v>
      </c>
      <c r="U1257" s="89"/>
      <c r="V1257" s="89">
        <v>0</v>
      </c>
      <c r="W1257" s="90"/>
      <c r="X1257" s="90">
        <v>0</v>
      </c>
      <c r="Y1257" s="90">
        <v>22593590.500000022</v>
      </c>
      <c r="Z1257" s="90">
        <v>0</v>
      </c>
      <c r="AA1257" s="90">
        <v>0</v>
      </c>
      <c r="AB1257" s="89">
        <f t="shared" si="422"/>
        <v>0</v>
      </c>
      <c r="AC1257" s="89">
        <f t="shared" si="423"/>
        <v>53</v>
      </c>
      <c r="AD1257" s="89">
        <f t="shared" si="424"/>
        <v>0</v>
      </c>
      <c r="AF1257" s="90" t="str">
        <f t="shared" si="426"/>
        <v/>
      </c>
      <c r="AG1257" s="90">
        <f t="shared" si="427"/>
        <v>53</v>
      </c>
      <c r="AH1257" s="90">
        <f t="shared" si="428"/>
        <v>2017</v>
      </c>
      <c r="AI1257" s="90">
        <f t="shared" si="429"/>
        <v>53</v>
      </c>
      <c r="AJ1257" s="90">
        <f t="shared" si="430"/>
        <v>2017</v>
      </c>
      <c r="AK1257" s="90" t="str">
        <f t="shared" si="431"/>
        <v/>
      </c>
      <c r="AL1257" s="91">
        <f>IF(AK1257="Adjust",(_xlfn.XLOOKUP(A1257,'Adj factor'!A:A,'Adj factor'!I:I,,0)*AI1257),'Master DataSheet (Rev)'!AI1257)</f>
        <v>53</v>
      </c>
      <c r="AM1257" s="91">
        <f t="shared" si="432"/>
        <v>53</v>
      </c>
      <c r="AN1257" s="92" t="str">
        <f t="shared" si="433"/>
        <v>No change</v>
      </c>
      <c r="AS1257" s="94">
        <f t="shared" si="434"/>
        <v>0</v>
      </c>
      <c r="AT1257" s="94">
        <f t="shared" si="435"/>
        <v>2.6587342077458654E-2</v>
      </c>
      <c r="AU1257" s="94">
        <f t="shared" si="420"/>
        <v>2.3457980262145562E-2</v>
      </c>
      <c r="AV1257" s="94">
        <f t="shared" si="421"/>
        <v>2.3457980262145562E-2</v>
      </c>
    </row>
    <row r="1258" spans="1:48" x14ac:dyDescent="0.3">
      <c r="A1258" s="85" t="str">
        <f>_xlfn.XLOOKUP(B1258,'Country codes &amp; Data sources'!G:G,'Country codes &amp; Data sources'!H:H,,0)</f>
        <v>Mali</v>
      </c>
      <c r="B1258" s="85" t="s">
        <v>179</v>
      </c>
      <c r="C1258" s="85">
        <v>16514700</v>
      </c>
      <c r="D1258" s="85" t="s">
        <v>339</v>
      </c>
      <c r="E1258" s="86">
        <v>0</v>
      </c>
      <c r="F1258" s="86">
        <v>17004032.499999996</v>
      </c>
      <c r="G1258" s="86">
        <v>0</v>
      </c>
      <c r="H1258" s="86"/>
      <c r="I1258" s="86">
        <v>0</v>
      </c>
      <c r="J1258" s="86"/>
      <c r="K1258" s="86">
        <v>0</v>
      </c>
      <c r="L1258" s="86"/>
      <c r="M1258" s="86">
        <v>0</v>
      </c>
      <c r="N1258" s="86"/>
      <c r="O1258" s="86">
        <v>0</v>
      </c>
      <c r="P1258" s="86">
        <v>19934298.000000004</v>
      </c>
      <c r="Q1258" s="86">
        <v>0</v>
      </c>
      <c r="R1258" s="87">
        <f t="shared" si="419"/>
        <v>0</v>
      </c>
      <c r="T1258" s="87">
        <v>0</v>
      </c>
      <c r="U1258" s="89"/>
      <c r="V1258" s="89">
        <v>0</v>
      </c>
      <c r="W1258" s="90"/>
      <c r="X1258" s="90">
        <v>0</v>
      </c>
      <c r="Y1258" s="90">
        <v>22593590.500000022</v>
      </c>
      <c r="Z1258" s="90">
        <v>0</v>
      </c>
      <c r="AA1258" s="90">
        <v>0</v>
      </c>
      <c r="AB1258" s="89">
        <f t="shared" si="422"/>
        <v>0</v>
      </c>
      <c r="AC1258" s="89">
        <f t="shared" si="423"/>
        <v>0</v>
      </c>
      <c r="AD1258" s="89">
        <f t="shared" si="424"/>
        <v>0</v>
      </c>
      <c r="AF1258" s="90" t="str">
        <f t="shared" si="426"/>
        <v/>
      </c>
      <c r="AH1258" s="90" t="str">
        <f t="shared" si="428"/>
        <v/>
      </c>
      <c r="AI1258" s="90">
        <f t="shared" si="429"/>
        <v>0</v>
      </c>
      <c r="AJ1258" s="90" t="str">
        <f t="shared" si="430"/>
        <v/>
      </c>
      <c r="AK1258" s="90" t="str">
        <f t="shared" si="431"/>
        <v/>
      </c>
      <c r="AL1258" s="91"/>
      <c r="AM1258" s="91">
        <f t="shared" si="432"/>
        <v>0</v>
      </c>
      <c r="AN1258" s="92" t="str">
        <f t="shared" si="433"/>
        <v>No change</v>
      </c>
      <c r="AS1258" s="94">
        <f t="shared" si="434"/>
        <v>0</v>
      </c>
      <c r="AT1258" s="94">
        <f t="shared" si="435"/>
        <v>0</v>
      </c>
      <c r="AU1258" s="94">
        <f t="shared" si="420"/>
        <v>0</v>
      </c>
      <c r="AV1258" s="94">
        <f t="shared" si="421"/>
        <v>0</v>
      </c>
    </row>
    <row r="1259" spans="1:48" ht="14.5" x14ac:dyDescent="0.35">
      <c r="A1259" s="85" t="str">
        <f>_xlfn.XLOOKUP(B1259,'Country codes &amp; Data sources'!G:G,'Country codes &amp; Data sources'!H:H,,0)</f>
        <v>Mozambique</v>
      </c>
      <c r="B1259" s="85" t="s">
        <v>181</v>
      </c>
      <c r="C1259" s="85">
        <v>24487610.999999996</v>
      </c>
      <c r="D1259" s="85" t="s">
        <v>326</v>
      </c>
      <c r="E1259" s="86">
        <v>1358</v>
      </c>
      <c r="F1259" s="86">
        <v>25251730.999999993</v>
      </c>
      <c r="G1259" s="86">
        <v>1452</v>
      </c>
      <c r="H1259" s="86">
        <v>26038704.499999993</v>
      </c>
      <c r="I1259" s="86">
        <v>0</v>
      </c>
      <c r="J1259" s="86">
        <v>26843245.5</v>
      </c>
      <c r="K1259" s="86">
        <v>0</v>
      </c>
      <c r="L1259" s="86">
        <v>27696492.499999989</v>
      </c>
      <c r="M1259" s="86">
        <v>0</v>
      </c>
      <c r="N1259" s="86">
        <v>28569441.000000015</v>
      </c>
      <c r="O1259" s="86">
        <v>2180</v>
      </c>
      <c r="P1259" s="86">
        <v>29423878.499999993</v>
      </c>
      <c r="Q1259" s="86">
        <v>2473</v>
      </c>
      <c r="R1259" s="87">
        <f t="shared" si="419"/>
        <v>2473</v>
      </c>
      <c r="S1259" s="87">
        <v>30285595.000000004</v>
      </c>
      <c r="T1259" s="87">
        <v>2570</v>
      </c>
      <c r="U1259" s="89">
        <v>31178238.999999996</v>
      </c>
      <c r="V1259" s="89">
        <v>2573</v>
      </c>
      <c r="W1259" s="90">
        <v>32077072.000000011</v>
      </c>
      <c r="X1259" s="90">
        <v>2611</v>
      </c>
      <c r="Y1259" s="90">
        <v>32969518.500000007</v>
      </c>
      <c r="Z1259" s="111">
        <v>5719</v>
      </c>
      <c r="AA1259" s="90">
        <v>2180</v>
      </c>
      <c r="AB1259" s="89">
        <f t="shared" si="422"/>
        <v>1452</v>
      </c>
      <c r="AC1259" s="89">
        <f t="shared" si="423"/>
        <v>2570</v>
      </c>
      <c r="AD1259" s="89">
        <f t="shared" si="424"/>
        <v>5719</v>
      </c>
      <c r="AE1259" s="90">
        <f t="shared" si="425"/>
        <v>1452</v>
      </c>
      <c r="AF1259" s="90">
        <f t="shared" si="426"/>
        <v>2013</v>
      </c>
      <c r="AG1259" s="90">
        <f t="shared" si="427"/>
        <v>2473</v>
      </c>
      <c r="AH1259" s="90">
        <f t="shared" si="428"/>
        <v>2018</v>
      </c>
      <c r="AI1259" s="90">
        <f t="shared" si="429"/>
        <v>5719</v>
      </c>
      <c r="AJ1259" s="90">
        <f t="shared" si="430"/>
        <v>2022</v>
      </c>
      <c r="AK1259" s="90" t="str">
        <f t="shared" si="431"/>
        <v/>
      </c>
      <c r="AL1259" s="91">
        <f>IF(AK1259="Adjust",(_xlfn.XLOOKUP(A1259,'Adj factor'!A:A,'Adj factor'!I:I,,0)*AI1259),'Master DataSheet (Rev)'!AI1259)</f>
        <v>5719</v>
      </c>
      <c r="AM1259" s="91">
        <f t="shared" si="432"/>
        <v>5719</v>
      </c>
      <c r="AN1259" s="92" t="str">
        <f t="shared" si="433"/>
        <v>Increasing</v>
      </c>
      <c r="AS1259" s="94">
        <f t="shared" si="434"/>
        <v>0.57501008544721166</v>
      </c>
      <c r="AT1259" s="94">
        <f t="shared" si="435"/>
        <v>0.84047383488210115</v>
      </c>
      <c r="AU1259" s="94">
        <f t="shared" si="420"/>
        <v>1.734632551579423</v>
      </c>
      <c r="AV1259" s="94">
        <f t="shared" si="421"/>
        <v>1.734632551579423</v>
      </c>
    </row>
    <row r="1260" spans="1:48" x14ac:dyDescent="0.3">
      <c r="A1260" s="85" t="str">
        <f>_xlfn.XLOOKUP(B1260,'Country codes &amp; Data sources'!G:G,'Country codes &amp; Data sources'!H:H,,0)</f>
        <v>Mozambique</v>
      </c>
      <c r="B1260" s="85" t="s">
        <v>181</v>
      </c>
      <c r="C1260" s="85">
        <v>24487612</v>
      </c>
      <c r="D1260" s="85" t="s">
        <v>327</v>
      </c>
      <c r="E1260" s="86">
        <v>0</v>
      </c>
      <c r="F1260" s="86">
        <v>25251730.999999993</v>
      </c>
      <c r="G1260" s="86">
        <v>0</v>
      </c>
      <c r="H1260" s="86"/>
      <c r="I1260" s="86">
        <v>0</v>
      </c>
      <c r="J1260" s="86"/>
      <c r="K1260" s="86">
        <v>0</v>
      </c>
      <c r="L1260" s="86"/>
      <c r="M1260" s="86">
        <v>0</v>
      </c>
      <c r="N1260" s="86"/>
      <c r="O1260" s="86">
        <v>1555</v>
      </c>
      <c r="P1260" s="86">
        <v>29423878.499999993</v>
      </c>
      <c r="Q1260" s="86">
        <v>1695</v>
      </c>
      <c r="R1260" s="87">
        <f t="shared" si="419"/>
        <v>1695</v>
      </c>
      <c r="T1260" s="87">
        <v>1715</v>
      </c>
      <c r="U1260" s="89"/>
      <c r="V1260" s="89">
        <v>1655</v>
      </c>
      <c r="W1260" s="90"/>
      <c r="X1260" s="90">
        <v>1807</v>
      </c>
      <c r="Y1260" s="90">
        <v>32969518.500000007</v>
      </c>
      <c r="Z1260" s="90">
        <v>1933</v>
      </c>
      <c r="AA1260" s="90">
        <v>1555</v>
      </c>
      <c r="AB1260" s="89">
        <f t="shared" si="422"/>
        <v>0</v>
      </c>
      <c r="AC1260" s="89">
        <f t="shared" si="423"/>
        <v>1715</v>
      </c>
      <c r="AD1260" s="89">
        <f t="shared" si="424"/>
        <v>1933</v>
      </c>
      <c r="AF1260" s="90" t="str">
        <f t="shared" si="426"/>
        <v/>
      </c>
      <c r="AG1260" s="90">
        <f t="shared" si="427"/>
        <v>1695</v>
      </c>
      <c r="AH1260" s="90">
        <f t="shared" si="428"/>
        <v>2018</v>
      </c>
      <c r="AI1260" s="90">
        <f t="shared" si="429"/>
        <v>1933</v>
      </c>
      <c r="AJ1260" s="90">
        <f t="shared" si="430"/>
        <v>2022</v>
      </c>
      <c r="AK1260" s="90" t="str">
        <f t="shared" si="431"/>
        <v/>
      </c>
      <c r="AL1260" s="91">
        <f>IF(AK1260="Adjust",(_xlfn.XLOOKUP(A1260,'Adj factor'!A:A,'Adj factor'!I:I,,0)*AI1260),'Master DataSheet (Rev)'!AI1260)</f>
        <v>1933</v>
      </c>
      <c r="AM1260" s="91">
        <f t="shared" si="432"/>
        <v>1933</v>
      </c>
      <c r="AN1260" s="92" t="str">
        <f t="shared" si="433"/>
        <v>Increasing</v>
      </c>
      <c r="AS1260" s="94">
        <f t="shared" si="434"/>
        <v>0</v>
      </c>
      <c r="AT1260" s="94">
        <f t="shared" si="435"/>
        <v>0.57606273761632087</v>
      </c>
      <c r="AU1260" s="94">
        <f t="shared" si="420"/>
        <v>0.58629912960360631</v>
      </c>
      <c r="AV1260" s="94">
        <f t="shared" si="421"/>
        <v>0.58629912960360631</v>
      </c>
    </row>
    <row r="1261" spans="1:48" x14ac:dyDescent="0.3">
      <c r="A1261" s="85" t="str">
        <f>_xlfn.XLOOKUP(B1261,'Country codes &amp; Data sources'!G:G,'Country codes &amp; Data sources'!H:H,,0)</f>
        <v>Mozambique</v>
      </c>
      <c r="B1261" s="85" t="s">
        <v>181</v>
      </c>
      <c r="C1261" s="85">
        <v>24487613</v>
      </c>
      <c r="D1261" s="85" t="s">
        <v>328</v>
      </c>
      <c r="E1261" s="86">
        <v>0</v>
      </c>
      <c r="F1261" s="86">
        <v>25251730.999999993</v>
      </c>
      <c r="G1261" s="86">
        <v>0</v>
      </c>
      <c r="H1261" s="86"/>
      <c r="I1261" s="86">
        <v>0</v>
      </c>
      <c r="J1261" s="86"/>
      <c r="K1261" s="86">
        <v>0</v>
      </c>
      <c r="L1261" s="86"/>
      <c r="M1261" s="86">
        <v>0</v>
      </c>
      <c r="N1261" s="86"/>
      <c r="O1261" s="86">
        <v>625</v>
      </c>
      <c r="P1261" s="86">
        <v>29423878.499999993</v>
      </c>
      <c r="Q1261" s="86">
        <v>778</v>
      </c>
      <c r="R1261" s="87">
        <f t="shared" si="419"/>
        <v>778</v>
      </c>
      <c r="T1261" s="87">
        <v>855</v>
      </c>
      <c r="U1261" s="89"/>
      <c r="V1261" s="89">
        <v>918</v>
      </c>
      <c r="W1261" s="90"/>
      <c r="X1261" s="90">
        <v>804</v>
      </c>
      <c r="Y1261" s="90">
        <v>32969518.500000007</v>
      </c>
      <c r="Z1261" s="90">
        <v>756</v>
      </c>
      <c r="AA1261" s="90">
        <v>625</v>
      </c>
      <c r="AB1261" s="89">
        <f t="shared" si="422"/>
        <v>0</v>
      </c>
      <c r="AC1261" s="89">
        <f t="shared" si="423"/>
        <v>855</v>
      </c>
      <c r="AD1261" s="89">
        <f t="shared" si="424"/>
        <v>918</v>
      </c>
      <c r="AF1261" s="90" t="str">
        <f t="shared" si="426"/>
        <v/>
      </c>
      <c r="AG1261" s="90">
        <f t="shared" si="427"/>
        <v>778</v>
      </c>
      <c r="AH1261" s="90">
        <f t="shared" si="428"/>
        <v>2018</v>
      </c>
      <c r="AI1261" s="90">
        <f t="shared" si="429"/>
        <v>756</v>
      </c>
      <c r="AJ1261" s="90">
        <f t="shared" si="430"/>
        <v>2022</v>
      </c>
      <c r="AK1261" s="90" t="str">
        <f t="shared" si="431"/>
        <v>Adjust</v>
      </c>
      <c r="AL1261" s="91">
        <f>IF(AK1261="Adjust",(_xlfn.XLOOKUP(A1261,'Adj factor'!A:A,'Adj factor'!I:I,,0)*AI1261),'Master DataSheet (Rev)'!AI1261)</f>
        <v>868.86977510623387</v>
      </c>
      <c r="AM1261" s="91">
        <f t="shared" si="432"/>
        <v>868.86977510623387</v>
      </c>
      <c r="AN1261" s="92" t="str">
        <f t="shared" si="433"/>
        <v>Increasing</v>
      </c>
      <c r="AS1261" s="94">
        <f t="shared" si="434"/>
        <v>0</v>
      </c>
      <c r="AT1261" s="94">
        <f t="shared" si="435"/>
        <v>0.26441109726578033</v>
      </c>
      <c r="AU1261" s="94">
        <f t="shared" si="420"/>
        <v>0.26353729585290536</v>
      </c>
      <c r="AV1261" s="94">
        <f t="shared" si="421"/>
        <v>0.26353729585290536</v>
      </c>
    </row>
    <row r="1262" spans="1:48" ht="14.5" x14ac:dyDescent="0.35">
      <c r="A1262" s="85" t="str">
        <f>_xlfn.XLOOKUP(B1262,'Country codes &amp; Data sources'!G:G,'Country codes &amp; Data sources'!H:H,,0)</f>
        <v>Mozambique</v>
      </c>
      <c r="B1262" s="85" t="s">
        <v>181</v>
      </c>
      <c r="C1262" s="85">
        <v>24487614</v>
      </c>
      <c r="D1262" s="85" t="s">
        <v>329</v>
      </c>
      <c r="E1262" s="86">
        <v>5826</v>
      </c>
      <c r="F1262" s="86">
        <v>25251730.999999993</v>
      </c>
      <c r="G1262" s="86">
        <v>6432</v>
      </c>
      <c r="H1262" s="86"/>
      <c r="I1262" s="86">
        <v>6348</v>
      </c>
      <c r="J1262" s="86"/>
      <c r="K1262" s="86">
        <v>6927</v>
      </c>
      <c r="L1262" s="86"/>
      <c r="M1262" s="86">
        <v>7660</v>
      </c>
      <c r="N1262" s="86"/>
      <c r="O1262" s="86">
        <v>7961</v>
      </c>
      <c r="P1262" s="86">
        <v>29423878.499999993</v>
      </c>
      <c r="Q1262" s="86">
        <v>8153</v>
      </c>
      <c r="R1262" s="87">
        <f t="shared" si="419"/>
        <v>8153</v>
      </c>
      <c r="T1262" s="87">
        <v>8179</v>
      </c>
      <c r="U1262" s="89"/>
      <c r="V1262" s="89">
        <v>8831</v>
      </c>
      <c r="W1262" s="90"/>
      <c r="X1262" s="90">
        <v>10928</v>
      </c>
      <c r="Y1262" s="90">
        <v>32969518.500000007</v>
      </c>
      <c r="Z1262" s="111">
        <f>397+2575+14120+76</f>
        <v>17168</v>
      </c>
      <c r="AA1262" s="90">
        <v>7961</v>
      </c>
      <c r="AB1262" s="89">
        <f t="shared" si="422"/>
        <v>6927</v>
      </c>
      <c r="AC1262" s="89">
        <f t="shared" si="423"/>
        <v>8179</v>
      </c>
      <c r="AD1262" s="89">
        <f t="shared" si="424"/>
        <v>17168</v>
      </c>
      <c r="AE1262" s="90">
        <f t="shared" si="425"/>
        <v>6432</v>
      </c>
      <c r="AF1262" s="90">
        <f t="shared" si="426"/>
        <v>2013</v>
      </c>
      <c r="AG1262" s="90">
        <f t="shared" si="427"/>
        <v>8153</v>
      </c>
      <c r="AH1262" s="90">
        <f t="shared" si="428"/>
        <v>2018</v>
      </c>
      <c r="AI1262" s="90">
        <f t="shared" si="429"/>
        <v>17168</v>
      </c>
      <c r="AJ1262" s="90">
        <v>2022</v>
      </c>
      <c r="AK1262" s="90" t="str">
        <f t="shared" si="431"/>
        <v/>
      </c>
      <c r="AL1262" s="91">
        <f>IF(AK1262="Adjust",(_xlfn.XLOOKUP(A1262,'Adj factor'!A:A,'Adj factor'!I:I,,0)*AI1262),'Master DataSheet (Rev)'!AI1262)</f>
        <v>17168</v>
      </c>
      <c r="AM1262" s="91">
        <f t="shared" si="432"/>
        <v>17168</v>
      </c>
      <c r="AN1262" s="92" t="str">
        <f t="shared" si="433"/>
        <v>Increasing</v>
      </c>
      <c r="AS1262" s="94">
        <f t="shared" si="434"/>
        <v>2.5471521140471527</v>
      </c>
      <c r="AT1262" s="94">
        <f t="shared" si="435"/>
        <v>2.7708787609356129</v>
      </c>
      <c r="AU1262" s="94">
        <f t="shared" si="420"/>
        <v>5.2072340698575852</v>
      </c>
      <c r="AV1262" s="94">
        <f t="shared" si="421"/>
        <v>5.2072340698575852</v>
      </c>
    </row>
    <row r="1263" spans="1:48" x14ac:dyDescent="0.3">
      <c r="A1263" s="85" t="str">
        <f>_xlfn.XLOOKUP(B1263,'Country codes &amp; Data sources'!G:G,'Country codes &amp; Data sources'!H:H,,0)</f>
        <v>Mozambique</v>
      </c>
      <c r="B1263" s="85" t="s">
        <v>181</v>
      </c>
      <c r="C1263" s="85">
        <v>24487615</v>
      </c>
      <c r="D1263" s="85" t="s">
        <v>330</v>
      </c>
      <c r="E1263" s="86">
        <v>0</v>
      </c>
      <c r="F1263" s="86">
        <v>25251730.999999993</v>
      </c>
      <c r="G1263" s="86">
        <v>0</v>
      </c>
      <c r="H1263" s="86"/>
      <c r="I1263" s="86">
        <v>0</v>
      </c>
      <c r="J1263" s="86"/>
      <c r="K1263" s="86">
        <v>0</v>
      </c>
      <c r="L1263" s="86"/>
      <c r="M1263" s="86">
        <v>0</v>
      </c>
      <c r="N1263" s="86"/>
      <c r="O1263" s="86">
        <v>0</v>
      </c>
      <c r="P1263" s="86">
        <v>29423878.499999993</v>
      </c>
      <c r="Q1263" s="86">
        <v>0</v>
      </c>
      <c r="R1263" s="87">
        <f t="shared" si="419"/>
        <v>7961</v>
      </c>
      <c r="T1263" s="87">
        <v>7802</v>
      </c>
      <c r="U1263" s="89"/>
      <c r="V1263" s="89">
        <v>7215</v>
      </c>
      <c r="W1263" s="90"/>
      <c r="X1263" s="90">
        <v>2147</v>
      </c>
      <c r="Y1263" s="90">
        <v>32969518.500000007</v>
      </c>
      <c r="Z1263" s="90">
        <v>1792</v>
      </c>
      <c r="AA1263" s="90">
        <v>7961</v>
      </c>
      <c r="AB1263" s="89">
        <f t="shared" si="422"/>
        <v>0</v>
      </c>
      <c r="AC1263" s="89">
        <f t="shared" si="423"/>
        <v>7802</v>
      </c>
      <c r="AD1263" s="89">
        <f t="shared" si="424"/>
        <v>7215</v>
      </c>
      <c r="AF1263" s="90" t="str">
        <f t="shared" si="426"/>
        <v/>
      </c>
      <c r="AG1263" s="90">
        <f t="shared" si="427"/>
        <v>7961</v>
      </c>
      <c r="AH1263" s="90" t="str">
        <f t="shared" si="428"/>
        <v>2018 (triag)</v>
      </c>
      <c r="AI1263" s="90">
        <f t="shared" si="429"/>
        <v>1792</v>
      </c>
      <c r="AJ1263" s="90">
        <f t="shared" si="430"/>
        <v>2022</v>
      </c>
      <c r="AK1263" s="90" t="str">
        <f t="shared" si="431"/>
        <v>Adjust</v>
      </c>
      <c r="AL1263" s="91">
        <f>IF(AK1263="Adjust",(_xlfn.XLOOKUP(A1263,'Adj factor'!A:A,'Adj factor'!I:I,,0)*AI1263),'Master DataSheet (Rev)'!AI1263)</f>
        <v>2059.5431706221839</v>
      </c>
      <c r="AM1263" s="91">
        <f t="shared" si="432"/>
        <v>7961</v>
      </c>
      <c r="AN1263" s="92" t="str">
        <f t="shared" si="433"/>
        <v>Decreasing</v>
      </c>
      <c r="AS1263" s="94">
        <f t="shared" si="434"/>
        <v>0</v>
      </c>
      <c r="AT1263" s="94">
        <f t="shared" si="435"/>
        <v>2.7056256366746489</v>
      </c>
      <c r="AU1263" s="94">
        <f t="shared" si="420"/>
        <v>0.62468099757725715</v>
      </c>
      <c r="AV1263" s="94">
        <f t="shared" si="421"/>
        <v>2.4146546149892965</v>
      </c>
    </row>
    <row r="1264" spans="1:48" x14ac:dyDescent="0.3">
      <c r="A1264" s="85" t="str">
        <f>_xlfn.XLOOKUP(B1264,'Country codes &amp; Data sources'!G:G,'Country codes &amp; Data sources'!H:H,,0)</f>
        <v>Mozambique</v>
      </c>
      <c r="B1264" s="85" t="s">
        <v>181</v>
      </c>
      <c r="C1264" s="85">
        <v>24487616</v>
      </c>
      <c r="D1264" s="85" t="s">
        <v>331</v>
      </c>
      <c r="E1264" s="86">
        <v>0</v>
      </c>
      <c r="F1264" s="86">
        <v>25251730.999999993</v>
      </c>
      <c r="G1264" s="86">
        <v>0</v>
      </c>
      <c r="H1264" s="86"/>
      <c r="I1264" s="86">
        <v>0</v>
      </c>
      <c r="J1264" s="86"/>
      <c r="K1264" s="86">
        <v>0</v>
      </c>
      <c r="L1264" s="86"/>
      <c r="M1264" s="86">
        <v>0</v>
      </c>
      <c r="N1264" s="86"/>
      <c r="O1264" s="86">
        <v>0</v>
      </c>
      <c r="P1264" s="86">
        <v>29423878.499999993</v>
      </c>
      <c r="Q1264" s="86">
        <v>0</v>
      </c>
      <c r="R1264" s="87">
        <f t="shared" si="419"/>
        <v>0</v>
      </c>
      <c r="T1264" s="87">
        <v>377</v>
      </c>
      <c r="U1264" s="89"/>
      <c r="V1264" s="89">
        <v>1616</v>
      </c>
      <c r="W1264" s="90"/>
      <c r="X1264" s="90">
        <v>8781</v>
      </c>
      <c r="Y1264" s="90">
        <v>32969518.500000007</v>
      </c>
      <c r="Z1264" s="90">
        <v>7983</v>
      </c>
      <c r="AA1264" s="90">
        <v>0</v>
      </c>
      <c r="AB1264" s="89">
        <f t="shared" si="422"/>
        <v>0</v>
      </c>
      <c r="AC1264" s="89">
        <f t="shared" si="423"/>
        <v>377</v>
      </c>
      <c r="AD1264" s="89">
        <f t="shared" si="424"/>
        <v>8781</v>
      </c>
      <c r="AF1264" s="90" t="str">
        <f t="shared" si="426"/>
        <v/>
      </c>
      <c r="AG1264" s="90">
        <f t="shared" si="427"/>
        <v>377</v>
      </c>
      <c r="AH1264" s="90">
        <f t="shared" si="428"/>
        <v>2019</v>
      </c>
      <c r="AI1264" s="90">
        <f t="shared" si="429"/>
        <v>7983</v>
      </c>
      <c r="AJ1264" s="90">
        <f t="shared" si="430"/>
        <v>2022</v>
      </c>
      <c r="AK1264" s="90" t="str">
        <f t="shared" si="431"/>
        <v/>
      </c>
      <c r="AL1264" s="91">
        <f>IF(AK1264="Adjust",(_xlfn.XLOOKUP(A1264,'Adj factor'!A:A,'Adj factor'!I:I,,0)*AI1264),'Master DataSheet (Rev)'!AI1264)</f>
        <v>7983</v>
      </c>
      <c r="AM1264" s="91">
        <f t="shared" si="432"/>
        <v>7983</v>
      </c>
      <c r="AN1264" s="92" t="str">
        <f t="shared" si="433"/>
        <v>Increasing</v>
      </c>
      <c r="AS1264" s="94">
        <f t="shared" si="434"/>
        <v>0</v>
      </c>
      <c r="AT1264" s="94">
        <f t="shared" si="435"/>
        <v>0.12812722836657991</v>
      </c>
      <c r="AU1264" s="94">
        <f t="shared" si="420"/>
        <v>2.4213274452279303</v>
      </c>
      <c r="AV1264" s="94">
        <f t="shared" si="421"/>
        <v>2.4213274452279303</v>
      </c>
    </row>
    <row r="1265" spans="1:48" ht="14.5" x14ac:dyDescent="0.35">
      <c r="A1265" s="85" t="str">
        <f>_xlfn.XLOOKUP(B1265,'Country codes &amp; Data sources'!G:G,'Country codes &amp; Data sources'!H:H,,0)</f>
        <v>Mozambique</v>
      </c>
      <c r="B1265" s="85" t="s">
        <v>181</v>
      </c>
      <c r="C1265" s="85">
        <v>24487617</v>
      </c>
      <c r="D1265" s="85" t="s">
        <v>332</v>
      </c>
      <c r="E1265" s="86">
        <v>4261</v>
      </c>
      <c r="F1265" s="86">
        <v>25251730.999999993</v>
      </c>
      <c r="G1265" s="86">
        <v>4265</v>
      </c>
      <c r="H1265" s="86"/>
      <c r="I1265" s="86">
        <v>4649</v>
      </c>
      <c r="J1265" s="86"/>
      <c r="K1265" s="86">
        <v>5158</v>
      </c>
      <c r="L1265" s="86"/>
      <c r="M1265" s="86">
        <v>5705</v>
      </c>
      <c r="N1265" s="86"/>
      <c r="O1265" s="86">
        <v>5820</v>
      </c>
      <c r="P1265" s="86">
        <v>29423878.499999993</v>
      </c>
      <c r="Q1265" s="86">
        <v>6021</v>
      </c>
      <c r="R1265" s="87">
        <f t="shared" si="419"/>
        <v>6021</v>
      </c>
      <c r="T1265" s="87">
        <v>6175</v>
      </c>
      <c r="U1265" s="89"/>
      <c r="V1265" s="89">
        <v>6324</v>
      </c>
      <c r="W1265" s="90"/>
      <c r="X1265" s="90">
        <v>7278</v>
      </c>
      <c r="Y1265" s="90">
        <v>32969518.500000007</v>
      </c>
      <c r="Z1265" s="111">
        <f>135+13249</f>
        <v>13384</v>
      </c>
      <c r="AA1265" s="90">
        <v>5820</v>
      </c>
      <c r="AB1265" s="89">
        <f t="shared" si="422"/>
        <v>5158</v>
      </c>
      <c r="AC1265" s="89">
        <f t="shared" si="423"/>
        <v>6175</v>
      </c>
      <c r="AD1265" s="89">
        <f t="shared" si="424"/>
        <v>13384</v>
      </c>
      <c r="AE1265" s="90">
        <f t="shared" si="425"/>
        <v>4265</v>
      </c>
      <c r="AF1265" s="90">
        <f t="shared" si="426"/>
        <v>2013</v>
      </c>
      <c r="AG1265" s="90">
        <f t="shared" si="427"/>
        <v>6021</v>
      </c>
      <c r="AH1265" s="90">
        <f t="shared" si="428"/>
        <v>2018</v>
      </c>
      <c r="AI1265" s="90">
        <f t="shared" si="429"/>
        <v>13384</v>
      </c>
      <c r="AJ1265" s="90">
        <v>2022</v>
      </c>
      <c r="AK1265" s="90" t="str">
        <f t="shared" si="431"/>
        <v/>
      </c>
      <c r="AL1265" s="91">
        <f>IF(AK1265="Adjust",(_xlfn.XLOOKUP(A1265,'Adj factor'!A:A,'Adj factor'!I:I,,0)*AI1265),'Master DataSheet (Rev)'!AI1265)</f>
        <v>13384</v>
      </c>
      <c r="AM1265" s="91">
        <f t="shared" si="432"/>
        <v>13384</v>
      </c>
      <c r="AN1265" s="92" t="str">
        <f t="shared" si="433"/>
        <v>Increasing</v>
      </c>
      <c r="AS1265" s="94">
        <f t="shared" si="434"/>
        <v>1.6889931228872987</v>
      </c>
      <c r="AT1265" s="94">
        <f t="shared" si="435"/>
        <v>2.0462971936211609</v>
      </c>
      <c r="AU1265" s="94">
        <f t="shared" si="420"/>
        <v>4.0595072688125535</v>
      </c>
      <c r="AV1265" s="94">
        <f t="shared" si="421"/>
        <v>4.0595072688125535</v>
      </c>
    </row>
    <row r="1266" spans="1:48" x14ac:dyDescent="0.3">
      <c r="A1266" s="85" t="str">
        <f>_xlfn.XLOOKUP(B1266,'Country codes &amp; Data sources'!G:G,'Country codes &amp; Data sources'!H:H,,0)</f>
        <v>Mozambique</v>
      </c>
      <c r="B1266" s="85" t="s">
        <v>181</v>
      </c>
      <c r="C1266" s="85">
        <v>24487618</v>
      </c>
      <c r="D1266" s="85" t="s">
        <v>333</v>
      </c>
      <c r="E1266" s="86">
        <v>0</v>
      </c>
      <c r="F1266" s="86">
        <v>25251730.999999993</v>
      </c>
      <c r="G1266" s="86">
        <v>3545</v>
      </c>
      <c r="H1266" s="86"/>
      <c r="I1266" s="86">
        <v>0</v>
      </c>
      <c r="J1266" s="86"/>
      <c r="K1266" s="86">
        <v>0</v>
      </c>
      <c r="L1266" s="86"/>
      <c r="M1266" s="86">
        <v>5148</v>
      </c>
      <c r="N1266" s="86"/>
      <c r="O1266" s="86">
        <v>5384</v>
      </c>
      <c r="P1266" s="86">
        <v>29423878.499999993</v>
      </c>
      <c r="Q1266" s="86">
        <v>6021</v>
      </c>
      <c r="R1266" s="87">
        <f t="shared" si="419"/>
        <v>6021</v>
      </c>
      <c r="T1266" s="87">
        <v>5889</v>
      </c>
      <c r="U1266" s="89"/>
      <c r="V1266" s="89">
        <v>5049</v>
      </c>
      <c r="W1266" s="90"/>
      <c r="X1266" s="90">
        <v>42</v>
      </c>
      <c r="Y1266" s="90">
        <v>32969518.500000007</v>
      </c>
      <c r="Z1266" s="90">
        <v>38</v>
      </c>
      <c r="AA1266" s="90">
        <v>5820</v>
      </c>
      <c r="AB1266" s="89">
        <f t="shared" si="422"/>
        <v>3545</v>
      </c>
      <c r="AC1266" s="89">
        <f t="shared" si="423"/>
        <v>6021</v>
      </c>
      <c r="AD1266" s="89">
        <f t="shared" si="424"/>
        <v>5049</v>
      </c>
      <c r="AE1266" s="90">
        <f t="shared" si="425"/>
        <v>3545</v>
      </c>
      <c r="AF1266" s="90">
        <f t="shared" si="426"/>
        <v>2013</v>
      </c>
      <c r="AG1266" s="90">
        <f t="shared" si="427"/>
        <v>6021</v>
      </c>
      <c r="AH1266" s="90">
        <f t="shared" si="428"/>
        <v>2018</v>
      </c>
      <c r="AI1266" s="90">
        <f t="shared" si="429"/>
        <v>38</v>
      </c>
      <c r="AJ1266" s="90">
        <f t="shared" si="430"/>
        <v>2022</v>
      </c>
      <c r="AK1266" s="90" t="str">
        <f t="shared" si="431"/>
        <v>Adjust</v>
      </c>
      <c r="AL1266" s="91">
        <f>IF(AK1266="Adjust",(_xlfn.XLOOKUP(A1266,'Adj factor'!A:A,'Adj factor'!I:I,,0)*AI1266),'Master DataSheet (Rev)'!AI1266)</f>
        <v>43.673348484175776</v>
      </c>
      <c r="AM1266" s="91">
        <f t="shared" si="432"/>
        <v>6021</v>
      </c>
      <c r="AN1266" s="92" t="str">
        <f t="shared" si="433"/>
        <v>Decreasing</v>
      </c>
      <c r="AS1266" s="94">
        <f t="shared" si="434"/>
        <v>1.4038641548969459</v>
      </c>
      <c r="AT1266" s="94">
        <f t="shared" si="435"/>
        <v>2.0462971936211609</v>
      </c>
      <c r="AU1266" s="94">
        <f t="shared" si="420"/>
        <v>1.3246583653982015E-2</v>
      </c>
      <c r="AV1266" s="94">
        <f t="shared" si="421"/>
        <v>1.8262323121279429</v>
      </c>
    </row>
    <row r="1267" spans="1:48" x14ac:dyDescent="0.3">
      <c r="A1267" s="85" t="str">
        <f>_xlfn.XLOOKUP(B1267,'Country codes &amp; Data sources'!G:G,'Country codes &amp; Data sources'!H:H,,0)</f>
        <v>Mozambique</v>
      </c>
      <c r="B1267" s="85" t="s">
        <v>181</v>
      </c>
      <c r="C1267" s="85">
        <v>24487619</v>
      </c>
      <c r="D1267" s="85" t="s">
        <v>334</v>
      </c>
      <c r="E1267" s="86">
        <v>0</v>
      </c>
      <c r="F1267" s="86">
        <v>25251730.999999993</v>
      </c>
      <c r="G1267" s="86">
        <v>720</v>
      </c>
      <c r="H1267" s="86"/>
      <c r="I1267" s="86">
        <v>0</v>
      </c>
      <c r="J1267" s="86"/>
      <c r="K1267" s="86">
        <v>0</v>
      </c>
      <c r="L1267" s="86"/>
      <c r="M1267" s="86">
        <v>557</v>
      </c>
      <c r="N1267" s="86"/>
      <c r="O1267" s="86">
        <v>436</v>
      </c>
      <c r="P1267" s="86">
        <v>29423878.499999993</v>
      </c>
      <c r="Q1267" s="86">
        <v>0</v>
      </c>
      <c r="R1267" s="87">
        <f t="shared" si="419"/>
        <v>0</v>
      </c>
      <c r="T1267" s="87">
        <v>286</v>
      </c>
      <c r="U1267" s="89"/>
      <c r="V1267" s="89">
        <v>1275</v>
      </c>
      <c r="W1267" s="90"/>
      <c r="X1267" s="90">
        <v>7236</v>
      </c>
      <c r="Y1267" s="90">
        <v>32969518.500000007</v>
      </c>
      <c r="Z1267" s="90">
        <v>7082</v>
      </c>
      <c r="AA1267" s="90">
        <v>0</v>
      </c>
      <c r="AB1267" s="89">
        <f t="shared" si="422"/>
        <v>720</v>
      </c>
      <c r="AC1267" s="89">
        <f t="shared" si="423"/>
        <v>557</v>
      </c>
      <c r="AD1267" s="89">
        <f t="shared" si="424"/>
        <v>7236</v>
      </c>
      <c r="AE1267" s="90">
        <f t="shared" si="425"/>
        <v>720</v>
      </c>
      <c r="AF1267" s="90">
        <f t="shared" si="426"/>
        <v>2013</v>
      </c>
      <c r="AG1267" s="90">
        <f t="shared" si="427"/>
        <v>436</v>
      </c>
      <c r="AH1267" s="90">
        <f t="shared" si="428"/>
        <v>2017</v>
      </c>
      <c r="AI1267" s="90">
        <f t="shared" si="429"/>
        <v>7082</v>
      </c>
      <c r="AJ1267" s="90">
        <f t="shared" si="430"/>
        <v>2022</v>
      </c>
      <c r="AK1267" s="90" t="str">
        <f t="shared" si="431"/>
        <v/>
      </c>
      <c r="AL1267" s="91">
        <f>IF(AK1267="Adjust",(_xlfn.XLOOKUP(A1267,'Adj factor'!A:A,'Adj factor'!I:I,,0)*AI1267),'Master DataSheet (Rev)'!AI1267)</f>
        <v>7082</v>
      </c>
      <c r="AM1267" s="91">
        <f t="shared" si="432"/>
        <v>7082</v>
      </c>
      <c r="AN1267" s="92" t="str">
        <f t="shared" si="433"/>
        <v>Increasing</v>
      </c>
      <c r="AS1267" s="94">
        <f t="shared" si="434"/>
        <v>0.28512896799035292</v>
      </c>
      <c r="AT1267" s="94">
        <f t="shared" si="435"/>
        <v>0.14817896967593858</v>
      </c>
      <c r="AU1267" s="94">
        <f t="shared" si="420"/>
        <v>2.1480447159093328</v>
      </c>
      <c r="AV1267" s="94">
        <f t="shared" si="421"/>
        <v>2.1480447159093328</v>
      </c>
    </row>
    <row r="1268" spans="1:48" x14ac:dyDescent="0.3">
      <c r="A1268" s="85" t="str">
        <f>_xlfn.XLOOKUP(B1268,'Country codes &amp; Data sources'!G:G,'Country codes &amp; Data sources'!H:H,,0)</f>
        <v>Mozambique</v>
      </c>
      <c r="B1268" s="85" t="s">
        <v>181</v>
      </c>
      <c r="C1268" s="85">
        <v>24487620</v>
      </c>
      <c r="D1268" s="85" t="s">
        <v>335</v>
      </c>
      <c r="E1268" s="86">
        <v>72</v>
      </c>
      <c r="F1268" s="86">
        <v>25251730.999999993</v>
      </c>
      <c r="G1268" s="86">
        <v>103</v>
      </c>
      <c r="H1268" s="86"/>
      <c r="I1268" s="86">
        <v>0</v>
      </c>
      <c r="J1268" s="86"/>
      <c r="K1268" s="86">
        <v>194</v>
      </c>
      <c r="L1268" s="86"/>
      <c r="M1268" s="86">
        <v>0</v>
      </c>
      <c r="N1268" s="86"/>
      <c r="O1268" s="86">
        <v>255</v>
      </c>
      <c r="P1268" s="86">
        <v>29423878.499999993</v>
      </c>
      <c r="Q1268" s="86">
        <v>305</v>
      </c>
      <c r="R1268" s="87">
        <f t="shared" si="419"/>
        <v>305</v>
      </c>
      <c r="T1268" s="87">
        <v>385</v>
      </c>
      <c r="U1268" s="89"/>
      <c r="V1268" s="89">
        <v>423</v>
      </c>
      <c r="W1268" s="90"/>
      <c r="X1268" s="90">
        <v>406</v>
      </c>
      <c r="Y1268" s="90">
        <v>32969518.500000007</v>
      </c>
      <c r="Z1268" s="90">
        <v>498</v>
      </c>
      <c r="AA1268" s="90">
        <v>259</v>
      </c>
      <c r="AB1268" s="89">
        <f t="shared" si="422"/>
        <v>194</v>
      </c>
      <c r="AC1268" s="89">
        <f t="shared" si="423"/>
        <v>385</v>
      </c>
      <c r="AD1268" s="89">
        <f t="shared" si="424"/>
        <v>498</v>
      </c>
      <c r="AE1268" s="90">
        <f t="shared" si="425"/>
        <v>103</v>
      </c>
      <c r="AF1268" s="90">
        <f t="shared" si="426"/>
        <v>2013</v>
      </c>
      <c r="AG1268" s="90">
        <f t="shared" si="427"/>
        <v>305</v>
      </c>
      <c r="AH1268" s="90">
        <f t="shared" si="428"/>
        <v>2018</v>
      </c>
      <c r="AI1268" s="90">
        <f t="shared" si="429"/>
        <v>498</v>
      </c>
      <c r="AJ1268" s="90">
        <f t="shared" si="430"/>
        <v>2022</v>
      </c>
      <c r="AK1268" s="90" t="str">
        <f t="shared" si="431"/>
        <v/>
      </c>
      <c r="AL1268" s="91">
        <f>IF(AK1268="Adjust",(_xlfn.XLOOKUP(A1268,'Adj factor'!A:A,'Adj factor'!I:I,,0)*AI1268),'Master DataSheet (Rev)'!AI1268)</f>
        <v>498</v>
      </c>
      <c r="AM1268" s="91">
        <f t="shared" si="432"/>
        <v>498</v>
      </c>
      <c r="AN1268" s="92" t="str">
        <f t="shared" si="433"/>
        <v>Increasing</v>
      </c>
      <c r="AS1268" s="94">
        <f t="shared" si="434"/>
        <v>4.0789282920842149E-2</v>
      </c>
      <c r="AT1268" s="94">
        <f t="shared" si="435"/>
        <v>0.1036573067687185</v>
      </c>
      <c r="AU1268" s="94">
        <f t="shared" si="420"/>
        <v>0.15104861176544021</v>
      </c>
      <c r="AV1268" s="94">
        <f t="shared" si="421"/>
        <v>0.15104861176544021</v>
      </c>
    </row>
    <row r="1269" spans="1:48" x14ac:dyDescent="0.3">
      <c r="A1269" s="85" t="str">
        <f>_xlfn.XLOOKUP(B1269,'Country codes &amp; Data sources'!G:G,'Country codes &amp; Data sources'!H:H,,0)</f>
        <v>Mozambique</v>
      </c>
      <c r="B1269" s="85" t="s">
        <v>181</v>
      </c>
      <c r="C1269" s="85">
        <v>24487621</v>
      </c>
      <c r="D1269" s="85" t="s">
        <v>336</v>
      </c>
      <c r="E1269" s="86">
        <v>1390</v>
      </c>
      <c r="F1269" s="86">
        <v>25251730.999999993</v>
      </c>
      <c r="G1269" s="86">
        <v>1388</v>
      </c>
      <c r="H1269" s="86"/>
      <c r="I1269" s="86">
        <v>0</v>
      </c>
      <c r="J1269" s="86"/>
      <c r="K1269" s="86">
        <v>0</v>
      </c>
      <c r="L1269" s="86"/>
      <c r="M1269" s="86">
        <v>0</v>
      </c>
      <c r="N1269" s="86"/>
      <c r="O1269" s="86">
        <v>2055</v>
      </c>
      <c r="P1269" s="86">
        <v>29423878.499999993</v>
      </c>
      <c r="Q1269" s="86">
        <v>1887</v>
      </c>
      <c r="R1269" s="87">
        <f t="shared" si="419"/>
        <v>2051</v>
      </c>
      <c r="T1269" s="87">
        <v>2261</v>
      </c>
      <c r="U1269" s="89"/>
      <c r="V1269" s="89">
        <v>2358</v>
      </c>
      <c r="W1269" s="90"/>
      <c r="X1269" s="90">
        <v>3039</v>
      </c>
      <c r="Y1269" s="90">
        <v>32969518.500000007</v>
      </c>
      <c r="Z1269" s="90">
        <v>3299</v>
      </c>
      <c r="AA1269" s="90">
        <v>2051</v>
      </c>
      <c r="AB1269" s="89">
        <f t="shared" si="422"/>
        <v>1390</v>
      </c>
      <c r="AC1269" s="89">
        <f t="shared" si="423"/>
        <v>2261</v>
      </c>
      <c r="AD1269" s="89">
        <f t="shared" si="424"/>
        <v>3299</v>
      </c>
      <c r="AE1269" s="90">
        <f t="shared" si="425"/>
        <v>1388</v>
      </c>
      <c r="AF1269" s="90">
        <f t="shared" si="426"/>
        <v>2013</v>
      </c>
      <c r="AG1269" s="90">
        <f t="shared" si="427"/>
        <v>2051</v>
      </c>
      <c r="AH1269" s="90" t="str">
        <f t="shared" si="428"/>
        <v>2018 (triag)</v>
      </c>
      <c r="AI1269" s="90">
        <f t="shared" si="429"/>
        <v>3299</v>
      </c>
      <c r="AJ1269" s="90">
        <f t="shared" si="430"/>
        <v>2022</v>
      </c>
      <c r="AK1269" s="90" t="str">
        <f t="shared" si="431"/>
        <v/>
      </c>
      <c r="AL1269" s="91">
        <f>IF(AK1269="Adjust",(_xlfn.XLOOKUP(A1269,'Adj factor'!A:A,'Adj factor'!I:I,,0)*AI1269),'Master DataSheet (Rev)'!AI1269)</f>
        <v>3299</v>
      </c>
      <c r="AM1269" s="91">
        <f t="shared" si="432"/>
        <v>3299</v>
      </c>
      <c r="AN1269" s="92" t="str">
        <f t="shared" si="433"/>
        <v>Increasing</v>
      </c>
      <c r="AS1269" s="94">
        <f t="shared" si="434"/>
        <v>0.5496652882925136</v>
      </c>
      <c r="AT1269" s="94">
        <f t="shared" si="435"/>
        <v>0.69705290551685783</v>
      </c>
      <c r="AU1269" s="94">
        <f t="shared" si="420"/>
        <v>1.0006212253296933</v>
      </c>
      <c r="AV1269" s="94">
        <f t="shared" si="421"/>
        <v>1.0006212253296933</v>
      </c>
    </row>
    <row r="1270" spans="1:48" x14ac:dyDescent="0.3">
      <c r="A1270" s="85" t="str">
        <f>_xlfn.XLOOKUP(B1270,'Country codes &amp; Data sources'!G:G,'Country codes &amp; Data sources'!H:H,,0)</f>
        <v>Mozambique</v>
      </c>
      <c r="B1270" s="85" t="s">
        <v>181</v>
      </c>
      <c r="C1270" s="85">
        <v>24487622</v>
      </c>
      <c r="D1270" s="85" t="s">
        <v>337</v>
      </c>
      <c r="E1270" s="86">
        <v>69</v>
      </c>
      <c r="F1270" s="86">
        <v>25251730.999999993</v>
      </c>
      <c r="G1270" s="86">
        <v>136</v>
      </c>
      <c r="H1270" s="86"/>
      <c r="I1270" s="86">
        <v>0</v>
      </c>
      <c r="J1270" s="86"/>
      <c r="K1270" s="86">
        <v>189</v>
      </c>
      <c r="L1270" s="86"/>
      <c r="M1270" s="86">
        <v>0</v>
      </c>
      <c r="N1270" s="86"/>
      <c r="O1270" s="86">
        <v>217</v>
      </c>
      <c r="P1270" s="86">
        <v>29423878.499999993</v>
      </c>
      <c r="Q1270" s="86">
        <v>255</v>
      </c>
      <c r="R1270" s="87">
        <f t="shared" si="419"/>
        <v>255</v>
      </c>
      <c r="T1270" s="87">
        <v>288</v>
      </c>
      <c r="U1270" s="89"/>
      <c r="V1270" s="89">
        <v>277</v>
      </c>
      <c r="W1270" s="90"/>
      <c r="X1270" s="90">
        <v>355</v>
      </c>
      <c r="Y1270" s="90">
        <v>32969518.500000007</v>
      </c>
      <c r="Z1270" s="90">
        <v>348</v>
      </c>
      <c r="AA1270" s="90">
        <v>205</v>
      </c>
      <c r="AB1270" s="89">
        <f t="shared" si="422"/>
        <v>189</v>
      </c>
      <c r="AC1270" s="89">
        <f t="shared" si="423"/>
        <v>288</v>
      </c>
      <c r="AD1270" s="89">
        <f t="shared" si="424"/>
        <v>355</v>
      </c>
      <c r="AE1270" s="90">
        <f t="shared" si="425"/>
        <v>136</v>
      </c>
      <c r="AF1270" s="90">
        <f t="shared" si="426"/>
        <v>2013</v>
      </c>
      <c r="AG1270" s="90">
        <f t="shared" si="427"/>
        <v>255</v>
      </c>
      <c r="AH1270" s="90">
        <f t="shared" si="428"/>
        <v>2018</v>
      </c>
      <c r="AI1270" s="90">
        <f t="shared" si="429"/>
        <v>348</v>
      </c>
      <c r="AJ1270" s="90">
        <f t="shared" si="430"/>
        <v>2022</v>
      </c>
      <c r="AK1270" s="90" t="str">
        <f t="shared" si="431"/>
        <v/>
      </c>
      <c r="AL1270" s="91">
        <f>IF(AK1270="Adjust",(_xlfn.XLOOKUP(A1270,'Adj factor'!A:A,'Adj factor'!I:I,,0)*AI1270),'Master DataSheet (Rev)'!AI1270)</f>
        <v>348</v>
      </c>
      <c r="AM1270" s="91">
        <f t="shared" si="432"/>
        <v>348</v>
      </c>
      <c r="AN1270" s="92" t="str">
        <f t="shared" si="433"/>
        <v>Increasing</v>
      </c>
      <c r="AS1270" s="94">
        <f t="shared" si="434"/>
        <v>5.3857693953733327E-2</v>
      </c>
      <c r="AT1270" s="94">
        <f t="shared" si="435"/>
        <v>8.6664305659092514E-2</v>
      </c>
      <c r="AU1270" s="94">
        <f t="shared" si="420"/>
        <v>0.10555204195657268</v>
      </c>
      <c r="AV1270" s="94">
        <f t="shared" si="421"/>
        <v>0.10555204195657268</v>
      </c>
    </row>
    <row r="1271" spans="1:48" x14ac:dyDescent="0.3">
      <c r="A1271" s="85" t="str">
        <f>_xlfn.XLOOKUP(B1271,'Country codes &amp; Data sources'!G:G,'Country codes &amp; Data sources'!H:H,,0)</f>
        <v>Mozambique</v>
      </c>
      <c r="B1271" s="85" t="s">
        <v>181</v>
      </c>
      <c r="C1271" s="85">
        <v>24487623</v>
      </c>
      <c r="D1271" s="85" t="s">
        <v>338</v>
      </c>
      <c r="E1271" s="86">
        <v>305</v>
      </c>
      <c r="F1271" s="86">
        <v>25251730.999999993</v>
      </c>
      <c r="G1271" s="86">
        <v>238</v>
      </c>
      <c r="H1271" s="86"/>
      <c r="I1271" s="86">
        <v>0</v>
      </c>
      <c r="J1271" s="86"/>
      <c r="K1271" s="86">
        <v>45</v>
      </c>
      <c r="L1271" s="86"/>
      <c r="M1271" s="86">
        <v>0</v>
      </c>
      <c r="N1271" s="86"/>
      <c r="O1271" s="86">
        <v>319</v>
      </c>
      <c r="P1271" s="86">
        <v>29423878.499999993</v>
      </c>
      <c r="Q1271" s="86">
        <v>39</v>
      </c>
      <c r="R1271" s="87">
        <f t="shared" si="419"/>
        <v>340</v>
      </c>
      <c r="T1271" s="87">
        <v>305</v>
      </c>
      <c r="U1271" s="89"/>
      <c r="V1271" s="89">
        <v>318</v>
      </c>
      <c r="W1271" s="90"/>
      <c r="X1271" s="90">
        <v>340</v>
      </c>
      <c r="Y1271" s="90">
        <v>32969518.500000007</v>
      </c>
      <c r="Z1271" s="90">
        <v>341</v>
      </c>
      <c r="AA1271" s="90">
        <v>340</v>
      </c>
      <c r="AB1271" s="89">
        <f t="shared" si="422"/>
        <v>305</v>
      </c>
      <c r="AC1271" s="89">
        <f t="shared" si="423"/>
        <v>319</v>
      </c>
      <c r="AD1271" s="89">
        <f t="shared" si="424"/>
        <v>341</v>
      </c>
      <c r="AE1271" s="90">
        <f t="shared" si="425"/>
        <v>238</v>
      </c>
      <c r="AF1271" s="90">
        <f t="shared" si="426"/>
        <v>2013</v>
      </c>
      <c r="AG1271" s="90">
        <f t="shared" si="427"/>
        <v>340</v>
      </c>
      <c r="AH1271" s="90" t="str">
        <f t="shared" si="428"/>
        <v>2018 (triag)</v>
      </c>
      <c r="AI1271" s="90">
        <f t="shared" si="429"/>
        <v>341</v>
      </c>
      <c r="AJ1271" s="90">
        <f t="shared" si="430"/>
        <v>2022</v>
      </c>
      <c r="AK1271" s="90" t="str">
        <f t="shared" si="431"/>
        <v/>
      </c>
      <c r="AL1271" s="91">
        <f>IF(AK1271="Adjust",(_xlfn.XLOOKUP(A1271,'Adj factor'!A:A,'Adj factor'!I:I,,0)*AI1271),'Master DataSheet (Rev)'!AI1271)</f>
        <v>341</v>
      </c>
      <c r="AM1271" s="91">
        <f t="shared" si="432"/>
        <v>341</v>
      </c>
      <c r="AN1271" s="92" t="str">
        <f t="shared" si="433"/>
        <v>Increasing</v>
      </c>
      <c r="AS1271" s="94">
        <f t="shared" si="434"/>
        <v>9.4250964419033315E-2</v>
      </c>
      <c r="AT1271" s="94">
        <f t="shared" si="435"/>
        <v>0.11555240754545669</v>
      </c>
      <c r="AU1271" s="94">
        <f t="shared" si="420"/>
        <v>0.10342886869882553</v>
      </c>
      <c r="AV1271" s="94">
        <f t="shared" si="421"/>
        <v>0.10342886869882553</v>
      </c>
    </row>
    <row r="1272" spans="1:48" x14ac:dyDescent="0.3">
      <c r="A1272" s="85" t="str">
        <f>_xlfn.XLOOKUP(B1272,'Country codes &amp; Data sources'!G:G,'Country codes &amp; Data sources'!H:H,,0)</f>
        <v>Mozambique</v>
      </c>
      <c r="B1272" s="85" t="s">
        <v>181</v>
      </c>
      <c r="C1272" s="85">
        <v>24487624</v>
      </c>
      <c r="D1272" s="85" t="s">
        <v>339</v>
      </c>
      <c r="E1272" s="86">
        <v>0</v>
      </c>
      <c r="F1272" s="86">
        <v>25251730.999999993</v>
      </c>
      <c r="G1272" s="86">
        <v>0</v>
      </c>
      <c r="H1272" s="86"/>
      <c r="I1272" s="86">
        <v>0</v>
      </c>
      <c r="J1272" s="86"/>
      <c r="K1272" s="86">
        <v>0</v>
      </c>
      <c r="L1272" s="86"/>
      <c r="M1272" s="86">
        <v>0</v>
      </c>
      <c r="N1272" s="86"/>
      <c r="O1272" s="86">
        <v>219</v>
      </c>
      <c r="P1272" s="86">
        <v>29423878.499999993</v>
      </c>
      <c r="Q1272" s="86">
        <v>608</v>
      </c>
      <c r="R1272" s="87">
        <f t="shared" si="419"/>
        <v>608</v>
      </c>
      <c r="T1272" s="87">
        <v>393</v>
      </c>
      <c r="U1272" s="89"/>
      <c r="V1272" s="89">
        <v>530</v>
      </c>
      <c r="W1272" s="90"/>
      <c r="X1272" s="90">
        <v>610</v>
      </c>
      <c r="Y1272" s="90">
        <v>32969518.500000007</v>
      </c>
      <c r="Z1272" s="90">
        <v>655</v>
      </c>
      <c r="AA1272" s="90">
        <v>0</v>
      </c>
      <c r="AB1272" s="89">
        <f t="shared" si="422"/>
        <v>0</v>
      </c>
      <c r="AC1272" s="89">
        <f t="shared" si="423"/>
        <v>608</v>
      </c>
      <c r="AD1272" s="89">
        <f t="shared" si="424"/>
        <v>655</v>
      </c>
      <c r="AF1272" s="90" t="str">
        <f t="shared" si="426"/>
        <v/>
      </c>
      <c r="AG1272" s="90">
        <f t="shared" si="427"/>
        <v>608</v>
      </c>
      <c r="AH1272" s="90">
        <f t="shared" si="428"/>
        <v>2018</v>
      </c>
      <c r="AI1272" s="90">
        <f t="shared" si="429"/>
        <v>655</v>
      </c>
      <c r="AJ1272" s="90">
        <f t="shared" si="430"/>
        <v>2022</v>
      </c>
      <c r="AK1272" s="90" t="str">
        <f t="shared" si="431"/>
        <v/>
      </c>
      <c r="AL1272" s="91">
        <f>IF(AK1272="Adjust",(_xlfn.XLOOKUP(A1272,'Adj factor'!A:A,'Adj factor'!I:I,,0)*AI1272),'Master DataSheet (Rev)'!AI1272)</f>
        <v>655</v>
      </c>
      <c r="AM1272" s="91">
        <f t="shared" si="432"/>
        <v>655</v>
      </c>
      <c r="AN1272" s="92" t="str">
        <f t="shared" si="433"/>
        <v>Increasing</v>
      </c>
      <c r="AS1272" s="94">
        <f t="shared" si="434"/>
        <v>0</v>
      </c>
      <c r="AT1272" s="94">
        <f t="shared" si="435"/>
        <v>0.20663489349305197</v>
      </c>
      <c r="AU1272" s="94">
        <f t="shared" si="420"/>
        <v>0.19866835483205492</v>
      </c>
      <c r="AV1272" s="94">
        <f t="shared" si="421"/>
        <v>0.19866835483205492</v>
      </c>
    </row>
    <row r="1273" spans="1:48" x14ac:dyDescent="0.3">
      <c r="A1273" s="85" t="str">
        <f>_xlfn.XLOOKUP(B1273,'Country codes &amp; Data sources'!G:G,'Country codes &amp; Data sources'!H:H,,0)</f>
        <v>Mauritania</v>
      </c>
      <c r="B1273" s="85" t="s">
        <v>158</v>
      </c>
      <c r="C1273" s="85">
        <v>3636113.5000000009</v>
      </c>
      <c r="D1273" s="85" t="s">
        <v>326</v>
      </c>
      <c r="E1273" s="86">
        <v>0</v>
      </c>
      <c r="F1273" s="86">
        <v>3742958.9999999981</v>
      </c>
      <c r="G1273" s="86">
        <v>0</v>
      </c>
      <c r="H1273" s="86">
        <v>3843173.9999999991</v>
      </c>
      <c r="I1273" s="86">
        <v>622</v>
      </c>
      <c r="J1273" s="86">
        <v>3946219.4999999991</v>
      </c>
      <c r="K1273" s="86">
        <v>692</v>
      </c>
      <c r="L1273" s="86">
        <v>4051890.5000000014</v>
      </c>
      <c r="M1273" s="86">
        <v>0</v>
      </c>
      <c r="N1273" s="86">
        <v>4160014.4999999995</v>
      </c>
      <c r="O1273" s="86">
        <v>791</v>
      </c>
      <c r="P1273" s="86">
        <v>4270711.4999999972</v>
      </c>
      <c r="Q1273" s="86">
        <v>850</v>
      </c>
      <c r="R1273" s="87">
        <f t="shared" si="419"/>
        <v>1626</v>
      </c>
      <c r="S1273" s="87">
        <v>4383848.5000000009</v>
      </c>
      <c r="T1273" s="87">
        <v>897</v>
      </c>
      <c r="U1273" s="89">
        <v>4498603.4999999953</v>
      </c>
      <c r="V1273" s="89">
        <v>934</v>
      </c>
      <c r="W1273" s="90">
        <v>4614974</v>
      </c>
      <c r="X1273" s="90">
        <v>1035</v>
      </c>
      <c r="Y1273" s="90">
        <v>4736138.9999999991</v>
      </c>
      <c r="Z1273" s="90">
        <v>1118</v>
      </c>
      <c r="AA1273" s="90">
        <v>1626</v>
      </c>
      <c r="AB1273" s="89">
        <f t="shared" si="422"/>
        <v>692</v>
      </c>
      <c r="AC1273" s="89">
        <f t="shared" si="423"/>
        <v>897</v>
      </c>
      <c r="AD1273" s="89">
        <f t="shared" si="424"/>
        <v>1118</v>
      </c>
      <c r="AE1273" s="90">
        <f t="shared" si="425"/>
        <v>622</v>
      </c>
      <c r="AF1273" s="90">
        <f t="shared" si="426"/>
        <v>2014</v>
      </c>
      <c r="AG1273" s="90">
        <f t="shared" si="427"/>
        <v>1626</v>
      </c>
      <c r="AH1273" s="90" t="str">
        <f t="shared" si="428"/>
        <v>2018 (triag)</v>
      </c>
      <c r="AI1273" s="90">
        <f t="shared" si="429"/>
        <v>1118</v>
      </c>
      <c r="AJ1273" s="90">
        <f t="shared" si="430"/>
        <v>2022</v>
      </c>
      <c r="AK1273" s="90" t="str">
        <f t="shared" si="431"/>
        <v>Adjust</v>
      </c>
      <c r="AL1273" s="91">
        <f>IF(AK1273="Adjust",(_xlfn.XLOOKUP(A1273,'Adj factor'!A:A,'Adj factor'!I:I,,0)*AI1273),'Master DataSheet (Rev)'!AI1273)</f>
        <v>1273.0346943092873</v>
      </c>
      <c r="AM1273" s="91">
        <f t="shared" si="432"/>
        <v>1626</v>
      </c>
      <c r="AN1273" s="92" t="str">
        <f t="shared" si="433"/>
        <v>Decreasing</v>
      </c>
      <c r="AS1273" s="94">
        <f t="shared" si="434"/>
        <v>1.6617868376330072</v>
      </c>
      <c r="AT1273" s="94">
        <f t="shared" si="435"/>
        <v>3.8073281231944631</v>
      </c>
      <c r="AU1273" s="94">
        <f t="shared" si="420"/>
        <v>2.6879166644164951</v>
      </c>
      <c r="AV1273" s="94">
        <f t="shared" si="421"/>
        <v>3.4331762644635226</v>
      </c>
    </row>
    <row r="1274" spans="1:48" x14ac:dyDescent="0.3">
      <c r="A1274" s="85" t="str">
        <f>_xlfn.XLOOKUP(B1274,'Country codes &amp; Data sources'!G:G,'Country codes &amp; Data sources'!H:H,,0)</f>
        <v>Mauritania</v>
      </c>
      <c r="B1274" s="85" t="s">
        <v>158</v>
      </c>
      <c r="C1274" s="85">
        <v>3636114.5</v>
      </c>
      <c r="D1274" s="85" t="s">
        <v>327</v>
      </c>
      <c r="E1274" s="86">
        <v>0</v>
      </c>
      <c r="F1274" s="86">
        <v>3742958.9999999981</v>
      </c>
      <c r="G1274" s="86">
        <v>0</v>
      </c>
      <c r="H1274" s="86"/>
      <c r="I1274" s="86">
        <v>0</v>
      </c>
      <c r="J1274" s="86"/>
      <c r="K1274" s="86">
        <v>0</v>
      </c>
      <c r="L1274" s="86"/>
      <c r="M1274" s="86">
        <v>0</v>
      </c>
      <c r="N1274" s="86"/>
      <c r="O1274" s="86">
        <v>0</v>
      </c>
      <c r="P1274" s="86">
        <v>4270711.4999999972</v>
      </c>
      <c r="Q1274" s="86">
        <v>487</v>
      </c>
      <c r="R1274" s="87">
        <f t="shared" si="419"/>
        <v>808</v>
      </c>
      <c r="T1274" s="87">
        <v>533</v>
      </c>
      <c r="U1274" s="89"/>
      <c r="V1274" s="89">
        <v>532</v>
      </c>
      <c r="W1274" s="90"/>
      <c r="X1274" s="90">
        <v>597</v>
      </c>
      <c r="Y1274" s="90">
        <v>4736138.9999999991</v>
      </c>
      <c r="Z1274" s="90">
        <v>616</v>
      </c>
      <c r="AA1274" s="90">
        <v>808</v>
      </c>
      <c r="AB1274" s="89">
        <f t="shared" si="422"/>
        <v>0</v>
      </c>
      <c r="AC1274" s="89">
        <f t="shared" si="423"/>
        <v>533</v>
      </c>
      <c r="AD1274" s="89">
        <f t="shared" si="424"/>
        <v>616</v>
      </c>
      <c r="AF1274" s="90" t="str">
        <f t="shared" si="426"/>
        <v/>
      </c>
      <c r="AG1274" s="90">
        <f t="shared" si="427"/>
        <v>808</v>
      </c>
      <c r="AH1274" s="90" t="str">
        <f t="shared" si="428"/>
        <v>2018 (triag)</v>
      </c>
      <c r="AI1274" s="90">
        <f t="shared" si="429"/>
        <v>616</v>
      </c>
      <c r="AJ1274" s="90">
        <f t="shared" si="430"/>
        <v>2022</v>
      </c>
      <c r="AK1274" s="90" t="str">
        <f t="shared" si="431"/>
        <v>Adjust</v>
      </c>
      <c r="AL1274" s="91">
        <f>IF(AK1274="Adjust",(_xlfn.XLOOKUP(A1274,'Adj factor'!A:A,'Adj factor'!I:I,,0)*AI1274),'Master DataSheet (Rev)'!AI1274)</f>
        <v>701.42162047810461</v>
      </c>
      <c r="AM1274" s="91">
        <f t="shared" si="432"/>
        <v>808</v>
      </c>
      <c r="AN1274" s="92" t="str">
        <f t="shared" si="433"/>
        <v>Decreasing</v>
      </c>
      <c r="AS1274" s="94">
        <f t="shared" si="434"/>
        <v>0</v>
      </c>
      <c r="AT1274" s="94">
        <f t="shared" si="435"/>
        <v>1.891956410541898</v>
      </c>
      <c r="AU1274" s="94">
        <f t="shared" si="420"/>
        <v>1.480998806154348</v>
      </c>
      <c r="AV1274" s="94">
        <f t="shared" si="421"/>
        <v>1.7060310096473101</v>
      </c>
    </row>
    <row r="1275" spans="1:48" x14ac:dyDescent="0.3">
      <c r="A1275" s="85" t="str">
        <f>_xlfn.XLOOKUP(B1275,'Country codes &amp; Data sources'!G:G,'Country codes &amp; Data sources'!H:H,,0)</f>
        <v>Mauritania</v>
      </c>
      <c r="B1275" s="85" t="s">
        <v>158</v>
      </c>
      <c r="C1275" s="85">
        <v>3636115.5</v>
      </c>
      <c r="D1275" s="85" t="s">
        <v>328</v>
      </c>
      <c r="E1275" s="86">
        <v>0</v>
      </c>
      <c r="F1275" s="86">
        <v>3742958.9999999981</v>
      </c>
      <c r="G1275" s="86">
        <v>0</v>
      </c>
      <c r="H1275" s="86"/>
      <c r="I1275" s="86">
        <v>0</v>
      </c>
      <c r="J1275" s="86"/>
      <c r="K1275" s="86">
        <v>0</v>
      </c>
      <c r="L1275" s="86"/>
      <c r="M1275" s="86">
        <v>0</v>
      </c>
      <c r="N1275" s="86"/>
      <c r="O1275" s="86">
        <v>0</v>
      </c>
      <c r="P1275" s="86">
        <v>4270711.4999999972</v>
      </c>
      <c r="Q1275" s="86">
        <v>363</v>
      </c>
      <c r="R1275" s="87">
        <f t="shared" si="419"/>
        <v>818</v>
      </c>
      <c r="T1275" s="87">
        <v>364</v>
      </c>
      <c r="U1275" s="89"/>
      <c r="V1275" s="89">
        <v>402</v>
      </c>
      <c r="W1275" s="90"/>
      <c r="X1275" s="90">
        <v>438</v>
      </c>
      <c r="Y1275" s="90">
        <v>4736138.9999999991</v>
      </c>
      <c r="Z1275" s="90">
        <v>502</v>
      </c>
      <c r="AA1275" s="90">
        <v>818</v>
      </c>
      <c r="AB1275" s="89">
        <f t="shared" si="422"/>
        <v>0</v>
      </c>
      <c r="AC1275" s="89">
        <f t="shared" si="423"/>
        <v>364</v>
      </c>
      <c r="AD1275" s="89">
        <f t="shared" si="424"/>
        <v>502</v>
      </c>
      <c r="AF1275" s="90" t="str">
        <f t="shared" si="426"/>
        <v/>
      </c>
      <c r="AG1275" s="90">
        <f t="shared" si="427"/>
        <v>818</v>
      </c>
      <c r="AH1275" s="90" t="str">
        <f t="shared" si="428"/>
        <v>2018 (triag)</v>
      </c>
      <c r="AI1275" s="90">
        <f t="shared" si="429"/>
        <v>502</v>
      </c>
      <c r="AJ1275" s="90">
        <f t="shared" si="430"/>
        <v>2022</v>
      </c>
      <c r="AK1275" s="90" t="str">
        <f t="shared" si="431"/>
        <v>Adjust</v>
      </c>
      <c r="AL1275" s="91">
        <f>IF(AK1275="Adjust",(_xlfn.XLOOKUP(A1275,'Adj factor'!A:A,'Adj factor'!I:I,,0)*AI1275),'Master DataSheet (Rev)'!AI1275)</f>
        <v>571.61307383118265</v>
      </c>
      <c r="AM1275" s="91">
        <f t="shared" si="432"/>
        <v>818</v>
      </c>
      <c r="AN1275" s="92" t="str">
        <f t="shared" si="433"/>
        <v>Decreasing</v>
      </c>
      <c r="AS1275" s="94">
        <f t="shared" si="434"/>
        <v>0</v>
      </c>
      <c r="AT1275" s="94">
        <f t="shared" si="435"/>
        <v>1.9153717126525651</v>
      </c>
      <c r="AU1275" s="94">
        <f t="shared" si="420"/>
        <v>1.2069178582621471</v>
      </c>
      <c r="AV1275" s="94">
        <f t="shared" si="421"/>
        <v>1.7271452548162125</v>
      </c>
    </row>
    <row r="1276" spans="1:48" x14ac:dyDescent="0.3">
      <c r="A1276" s="85" t="str">
        <f>_xlfn.XLOOKUP(B1276,'Country codes &amp; Data sources'!G:G,'Country codes &amp; Data sources'!H:H,,0)</f>
        <v>Mauritania</v>
      </c>
      <c r="B1276" s="85" t="s">
        <v>158</v>
      </c>
      <c r="C1276" s="85">
        <v>3636116.5</v>
      </c>
      <c r="D1276" s="85" t="s">
        <v>329</v>
      </c>
      <c r="E1276" s="86">
        <v>0</v>
      </c>
      <c r="F1276" s="86">
        <v>3742958.9999999981</v>
      </c>
      <c r="G1276" s="86">
        <v>0</v>
      </c>
      <c r="H1276" s="86"/>
      <c r="I1276" s="86">
        <v>3846</v>
      </c>
      <c r="J1276" s="86"/>
      <c r="K1276" s="86">
        <v>4137</v>
      </c>
      <c r="L1276" s="86"/>
      <c r="M1276" s="86">
        <v>0</v>
      </c>
      <c r="N1276" s="86"/>
      <c r="O1276" s="86">
        <v>4571</v>
      </c>
      <c r="P1276" s="86">
        <v>4270711.4999999972</v>
      </c>
      <c r="Q1276" s="86">
        <v>4066</v>
      </c>
      <c r="R1276" s="87">
        <f t="shared" si="419"/>
        <v>4066</v>
      </c>
      <c r="T1276" s="87">
        <v>4369</v>
      </c>
      <c r="U1276" s="89"/>
      <c r="V1276" s="89">
        <v>4290</v>
      </c>
      <c r="W1276" s="90"/>
      <c r="X1276" s="90">
        <v>6156</v>
      </c>
      <c r="Y1276" s="90">
        <v>4736138.9999999991</v>
      </c>
      <c r="Z1276" s="90">
        <v>6503</v>
      </c>
      <c r="AA1276" s="90">
        <v>4017</v>
      </c>
      <c r="AB1276" s="89">
        <f t="shared" si="422"/>
        <v>4137</v>
      </c>
      <c r="AC1276" s="89">
        <f t="shared" si="423"/>
        <v>4571</v>
      </c>
      <c r="AD1276" s="89">
        <f t="shared" si="424"/>
        <v>6503</v>
      </c>
      <c r="AE1276" s="90">
        <f t="shared" si="425"/>
        <v>3846</v>
      </c>
      <c r="AF1276" s="90">
        <f t="shared" si="426"/>
        <v>2014</v>
      </c>
      <c r="AG1276" s="90">
        <f t="shared" si="427"/>
        <v>4066</v>
      </c>
      <c r="AH1276" s="90">
        <f t="shared" si="428"/>
        <v>2018</v>
      </c>
      <c r="AI1276" s="90">
        <f t="shared" si="429"/>
        <v>6503</v>
      </c>
      <c r="AJ1276" s="90">
        <f t="shared" si="430"/>
        <v>2022</v>
      </c>
      <c r="AK1276" s="90" t="str">
        <f t="shared" si="431"/>
        <v/>
      </c>
      <c r="AL1276" s="91">
        <f>IF(AK1276="Adjust",(_xlfn.XLOOKUP(A1276,'Adj factor'!A:A,'Adj factor'!I:I,,0)*AI1276),'Master DataSheet (Rev)'!AI1276)</f>
        <v>6503</v>
      </c>
      <c r="AM1276" s="91">
        <f t="shared" si="432"/>
        <v>6503</v>
      </c>
      <c r="AN1276" s="92" t="str">
        <f t="shared" si="433"/>
        <v>Increasing</v>
      </c>
      <c r="AS1276" s="94">
        <f t="shared" si="434"/>
        <v>10.275292889930139</v>
      </c>
      <c r="AT1276" s="94">
        <f t="shared" si="435"/>
        <v>9.5206618381972241</v>
      </c>
      <c r="AU1276" s="94">
        <f t="shared" si="420"/>
        <v>13.7305936333372</v>
      </c>
      <c r="AV1276" s="94">
        <f t="shared" si="421"/>
        <v>13.7305936333372</v>
      </c>
    </row>
    <row r="1277" spans="1:48" x14ac:dyDescent="0.3">
      <c r="A1277" s="85" t="str">
        <f>_xlfn.XLOOKUP(B1277,'Country codes &amp; Data sources'!G:G,'Country codes &amp; Data sources'!H:H,,0)</f>
        <v>Mauritania</v>
      </c>
      <c r="B1277" s="85" t="s">
        <v>158</v>
      </c>
      <c r="C1277" s="85">
        <v>3636117.5</v>
      </c>
      <c r="D1277" s="85" t="s">
        <v>330</v>
      </c>
      <c r="E1277" s="86">
        <v>0</v>
      </c>
      <c r="F1277" s="86">
        <v>3742958.9999999981</v>
      </c>
      <c r="G1277" s="86">
        <v>0</v>
      </c>
      <c r="H1277" s="86"/>
      <c r="I1277" s="86">
        <v>0</v>
      </c>
      <c r="J1277" s="86"/>
      <c r="K1277" s="86">
        <v>0</v>
      </c>
      <c r="L1277" s="86"/>
      <c r="M1277" s="86">
        <v>0</v>
      </c>
      <c r="N1277" s="86"/>
      <c r="O1277" s="86">
        <v>0</v>
      </c>
      <c r="P1277" s="86">
        <v>4270711.4999999972</v>
      </c>
      <c r="Q1277" s="86">
        <v>461</v>
      </c>
      <c r="R1277" s="87">
        <f t="shared" si="419"/>
        <v>4011</v>
      </c>
      <c r="T1277" s="87">
        <v>550</v>
      </c>
      <c r="U1277" s="89"/>
      <c r="V1277" s="89">
        <v>526</v>
      </c>
      <c r="W1277" s="90"/>
      <c r="X1277" s="90">
        <v>646</v>
      </c>
      <c r="Y1277" s="90">
        <v>4736138.9999999991</v>
      </c>
      <c r="Z1277" s="90">
        <v>663</v>
      </c>
      <c r="AA1277" s="90">
        <v>4011</v>
      </c>
      <c r="AB1277" s="89">
        <f t="shared" si="422"/>
        <v>0</v>
      </c>
      <c r="AC1277" s="89">
        <f t="shared" si="423"/>
        <v>550</v>
      </c>
      <c r="AD1277" s="89">
        <f t="shared" si="424"/>
        <v>663</v>
      </c>
      <c r="AF1277" s="90" t="str">
        <f t="shared" si="426"/>
        <v/>
      </c>
      <c r="AG1277" s="90">
        <f t="shared" si="427"/>
        <v>4011</v>
      </c>
      <c r="AH1277" s="90" t="str">
        <f t="shared" si="428"/>
        <v>2018 (triag)</v>
      </c>
      <c r="AI1277" s="90">
        <f t="shared" si="429"/>
        <v>663</v>
      </c>
      <c r="AJ1277" s="90">
        <f t="shared" si="430"/>
        <v>2022</v>
      </c>
      <c r="AK1277" s="90" t="str">
        <f t="shared" si="431"/>
        <v>Adjust</v>
      </c>
      <c r="AL1277" s="91">
        <f>IF(AK1277="Adjust",(_xlfn.XLOOKUP(A1277,'Adj factor'!A:A,'Adj factor'!I:I,,0)*AI1277),'Master DataSheet (Rev)'!AI1277)</f>
        <v>754.93917918341447</v>
      </c>
      <c r="AM1277" s="91">
        <f t="shared" si="432"/>
        <v>4011</v>
      </c>
      <c r="AN1277" s="92" t="str">
        <f t="shared" si="433"/>
        <v>Decreasing</v>
      </c>
      <c r="AS1277" s="94">
        <f t="shared" si="434"/>
        <v>0</v>
      </c>
      <c r="AT1277" s="94">
        <f t="shared" si="435"/>
        <v>9.391877676588555</v>
      </c>
      <c r="AU1277" s="94">
        <f t="shared" si="420"/>
        <v>1.5939970916888517</v>
      </c>
      <c r="AV1277" s="94">
        <f t="shared" si="421"/>
        <v>8.4689237372467332</v>
      </c>
    </row>
    <row r="1278" spans="1:48" x14ac:dyDescent="0.3">
      <c r="A1278" s="85" t="str">
        <f>_xlfn.XLOOKUP(B1278,'Country codes &amp; Data sources'!G:G,'Country codes &amp; Data sources'!H:H,,0)</f>
        <v>Mauritania</v>
      </c>
      <c r="B1278" s="85" t="s">
        <v>158</v>
      </c>
      <c r="C1278" s="85">
        <v>3636118.5</v>
      </c>
      <c r="D1278" s="85" t="s">
        <v>331</v>
      </c>
      <c r="E1278" s="86">
        <v>0</v>
      </c>
      <c r="F1278" s="86">
        <v>3742958.9999999981</v>
      </c>
      <c r="G1278" s="86">
        <v>0</v>
      </c>
      <c r="H1278" s="86"/>
      <c r="I1278" s="86">
        <v>0</v>
      </c>
      <c r="J1278" s="86"/>
      <c r="K1278" s="86">
        <v>0</v>
      </c>
      <c r="L1278" s="86"/>
      <c r="M1278" s="86">
        <v>0</v>
      </c>
      <c r="N1278" s="86"/>
      <c r="O1278" s="86">
        <v>0</v>
      </c>
      <c r="P1278" s="86">
        <v>4270711.4999999972</v>
      </c>
      <c r="Q1278" s="86">
        <v>0</v>
      </c>
      <c r="R1278" s="87">
        <f t="shared" si="419"/>
        <v>6</v>
      </c>
      <c r="T1278" s="87">
        <v>0</v>
      </c>
      <c r="U1278" s="89"/>
      <c r="V1278" s="89">
        <v>0</v>
      </c>
      <c r="W1278" s="90"/>
      <c r="X1278" s="90">
        <v>0</v>
      </c>
      <c r="Y1278" s="90">
        <v>4736138.9999999991</v>
      </c>
      <c r="Z1278" s="90">
        <v>0</v>
      </c>
      <c r="AA1278" s="90">
        <v>6</v>
      </c>
      <c r="AB1278" s="89">
        <f t="shared" si="422"/>
        <v>0</v>
      </c>
      <c r="AC1278" s="89">
        <f t="shared" si="423"/>
        <v>0</v>
      </c>
      <c r="AD1278" s="89">
        <f t="shared" si="424"/>
        <v>0</v>
      </c>
      <c r="AF1278" s="90" t="str">
        <f t="shared" si="426"/>
        <v/>
      </c>
      <c r="AG1278" s="90">
        <f t="shared" si="427"/>
        <v>6</v>
      </c>
      <c r="AH1278" s="90" t="str">
        <f t="shared" si="428"/>
        <v>2018 (triag)</v>
      </c>
      <c r="AI1278" s="90">
        <f t="shared" si="429"/>
        <v>6</v>
      </c>
      <c r="AJ1278" s="90" t="str">
        <f t="shared" si="430"/>
        <v>2018 (triag)</v>
      </c>
      <c r="AK1278" s="90" t="str">
        <f t="shared" si="431"/>
        <v/>
      </c>
      <c r="AL1278" s="91">
        <f>IF(AK1278="Adjust",(_xlfn.XLOOKUP(A1278,'Adj factor'!A:A,'Adj factor'!I:I,,0)*AI1278),'Master DataSheet (Rev)'!AI1278)</f>
        <v>6</v>
      </c>
      <c r="AM1278" s="91">
        <f t="shared" si="432"/>
        <v>6</v>
      </c>
      <c r="AN1278" s="92" t="str">
        <f t="shared" si="433"/>
        <v>No change</v>
      </c>
      <c r="AS1278" s="94">
        <f t="shared" si="434"/>
        <v>0</v>
      </c>
      <c r="AT1278" s="94">
        <f t="shared" si="435"/>
        <v>1.4049181266400233E-2</v>
      </c>
      <c r="AU1278" s="94">
        <f t="shared" si="420"/>
        <v>1.2668547101341411E-2</v>
      </c>
      <c r="AV1278" s="94">
        <f t="shared" si="421"/>
        <v>1.2668547101341411E-2</v>
      </c>
    </row>
    <row r="1279" spans="1:48" x14ac:dyDescent="0.3">
      <c r="A1279" s="85" t="str">
        <f>_xlfn.XLOOKUP(B1279,'Country codes &amp; Data sources'!G:G,'Country codes &amp; Data sources'!H:H,,0)</f>
        <v>Mauritania</v>
      </c>
      <c r="B1279" s="85" t="s">
        <v>158</v>
      </c>
      <c r="C1279" s="85">
        <v>3636119.5</v>
      </c>
      <c r="D1279" s="85" t="s">
        <v>332</v>
      </c>
      <c r="E1279" s="86">
        <v>0</v>
      </c>
      <c r="F1279" s="86">
        <v>3742958.9999999981</v>
      </c>
      <c r="G1279" s="86">
        <v>368</v>
      </c>
      <c r="H1279" s="86"/>
      <c r="I1279" s="86">
        <v>0</v>
      </c>
      <c r="J1279" s="86"/>
      <c r="K1279" s="86">
        <v>0</v>
      </c>
      <c r="L1279" s="86"/>
      <c r="M1279" s="86">
        <v>0</v>
      </c>
      <c r="N1279" s="86"/>
      <c r="O1279" s="86">
        <v>0</v>
      </c>
      <c r="P1279" s="86">
        <v>4270711.4999999972</v>
      </c>
      <c r="Q1279" s="86">
        <v>671</v>
      </c>
      <c r="R1279" s="87">
        <f t="shared" ref="R1279:R1342" si="436">MAX(Q1279,AA1279)</f>
        <v>855</v>
      </c>
      <c r="T1279" s="87">
        <v>932</v>
      </c>
      <c r="U1279" s="89"/>
      <c r="V1279" s="89">
        <v>1027</v>
      </c>
      <c r="W1279" s="90"/>
      <c r="X1279" s="90">
        <v>1252</v>
      </c>
      <c r="Y1279" s="90">
        <v>4736138.9999999991</v>
      </c>
      <c r="Z1279" s="90">
        <v>1340</v>
      </c>
      <c r="AA1279" s="90">
        <v>855</v>
      </c>
      <c r="AB1279" s="89">
        <f t="shared" si="422"/>
        <v>368</v>
      </c>
      <c r="AC1279" s="89">
        <f t="shared" si="423"/>
        <v>932</v>
      </c>
      <c r="AD1279" s="89">
        <f t="shared" si="424"/>
        <v>1340</v>
      </c>
      <c r="AE1279" s="90">
        <f t="shared" si="425"/>
        <v>368</v>
      </c>
      <c r="AF1279" s="90">
        <f t="shared" si="426"/>
        <v>2013</v>
      </c>
      <c r="AG1279" s="90">
        <f t="shared" si="427"/>
        <v>855</v>
      </c>
      <c r="AH1279" s="90" t="str">
        <f t="shared" si="428"/>
        <v>2018 (triag)</v>
      </c>
      <c r="AI1279" s="90">
        <f t="shared" si="429"/>
        <v>1340</v>
      </c>
      <c r="AJ1279" s="90">
        <f t="shared" si="430"/>
        <v>2022</v>
      </c>
      <c r="AK1279" s="90" t="str">
        <f t="shared" si="431"/>
        <v/>
      </c>
      <c r="AL1279" s="91">
        <f>IF(AK1279="Adjust",(_xlfn.XLOOKUP(A1279,'Adj factor'!A:A,'Adj factor'!I:I,,0)*AI1279),'Master DataSheet (Rev)'!AI1279)</f>
        <v>1340</v>
      </c>
      <c r="AM1279" s="91">
        <f t="shared" si="432"/>
        <v>1340</v>
      </c>
      <c r="AN1279" s="92" t="str">
        <f t="shared" si="433"/>
        <v>Increasing</v>
      </c>
      <c r="AS1279" s="94">
        <f t="shared" si="434"/>
        <v>0.98317935088255093</v>
      </c>
      <c r="AT1279" s="94">
        <f t="shared" si="435"/>
        <v>2.0020083304620333</v>
      </c>
      <c r="AU1279" s="94">
        <f t="shared" si="420"/>
        <v>2.8293088526329151</v>
      </c>
      <c r="AV1279" s="94">
        <f t="shared" si="421"/>
        <v>2.8293088526329151</v>
      </c>
    </row>
    <row r="1280" spans="1:48" x14ac:dyDescent="0.3">
      <c r="A1280" s="85" t="str">
        <f>_xlfn.XLOOKUP(B1280,'Country codes &amp; Data sources'!G:G,'Country codes &amp; Data sources'!H:H,,0)</f>
        <v>Mauritania</v>
      </c>
      <c r="B1280" s="85" t="s">
        <v>158</v>
      </c>
      <c r="C1280" s="85">
        <v>3636120.5</v>
      </c>
      <c r="D1280" s="85" t="s">
        <v>333</v>
      </c>
      <c r="E1280" s="86">
        <v>0</v>
      </c>
      <c r="F1280" s="86">
        <v>3742958.9999999981</v>
      </c>
      <c r="G1280" s="86">
        <v>368</v>
      </c>
      <c r="H1280" s="86"/>
      <c r="I1280" s="86">
        <v>0</v>
      </c>
      <c r="J1280" s="86"/>
      <c r="K1280" s="86">
        <v>0</v>
      </c>
      <c r="L1280" s="86"/>
      <c r="M1280" s="86">
        <v>0</v>
      </c>
      <c r="N1280" s="86"/>
      <c r="O1280" s="86">
        <v>0</v>
      </c>
      <c r="P1280" s="86">
        <v>4270711.4999999972</v>
      </c>
      <c r="Q1280" s="86">
        <v>671</v>
      </c>
      <c r="R1280" s="87">
        <f t="shared" si="436"/>
        <v>854</v>
      </c>
      <c r="T1280" s="87">
        <v>932</v>
      </c>
      <c r="U1280" s="89"/>
      <c r="V1280" s="89">
        <v>1027</v>
      </c>
      <c r="W1280" s="90"/>
      <c r="X1280" s="90">
        <v>1252</v>
      </c>
      <c r="Y1280" s="90">
        <v>4736138.9999999991</v>
      </c>
      <c r="Z1280" s="90">
        <v>1340</v>
      </c>
      <c r="AA1280" s="90">
        <v>854</v>
      </c>
      <c r="AB1280" s="89">
        <f t="shared" si="422"/>
        <v>368</v>
      </c>
      <c r="AC1280" s="89">
        <f t="shared" si="423"/>
        <v>932</v>
      </c>
      <c r="AD1280" s="89">
        <f t="shared" si="424"/>
        <v>1340</v>
      </c>
      <c r="AE1280" s="90">
        <f t="shared" si="425"/>
        <v>368</v>
      </c>
      <c r="AF1280" s="90">
        <f t="shared" si="426"/>
        <v>2013</v>
      </c>
      <c r="AG1280" s="90">
        <f t="shared" si="427"/>
        <v>854</v>
      </c>
      <c r="AH1280" s="90" t="str">
        <f t="shared" si="428"/>
        <v>2018 (triag)</v>
      </c>
      <c r="AI1280" s="90">
        <f t="shared" si="429"/>
        <v>1340</v>
      </c>
      <c r="AJ1280" s="90">
        <f t="shared" si="430"/>
        <v>2022</v>
      </c>
      <c r="AK1280" s="90" t="str">
        <f t="shared" si="431"/>
        <v/>
      </c>
      <c r="AL1280" s="91">
        <f>IF(AK1280="Adjust",(_xlfn.XLOOKUP(A1280,'Adj factor'!A:A,'Adj factor'!I:I,,0)*AI1280),'Master DataSheet (Rev)'!AI1280)</f>
        <v>1340</v>
      </c>
      <c r="AM1280" s="91">
        <f t="shared" si="432"/>
        <v>1340</v>
      </c>
      <c r="AN1280" s="92" t="str">
        <f t="shared" si="433"/>
        <v>Increasing</v>
      </c>
      <c r="AS1280" s="94">
        <f t="shared" si="434"/>
        <v>0.98317935088255093</v>
      </c>
      <c r="AT1280" s="94">
        <f t="shared" si="435"/>
        <v>1.9996668002509665</v>
      </c>
      <c r="AU1280" s="94">
        <f t="shared" si="420"/>
        <v>2.8293088526329151</v>
      </c>
      <c r="AV1280" s="94">
        <f t="shared" si="421"/>
        <v>2.8293088526329151</v>
      </c>
    </row>
    <row r="1281" spans="1:48" x14ac:dyDescent="0.3">
      <c r="A1281" s="85" t="str">
        <f>_xlfn.XLOOKUP(B1281,'Country codes &amp; Data sources'!G:G,'Country codes &amp; Data sources'!H:H,,0)</f>
        <v>Mauritania</v>
      </c>
      <c r="B1281" s="85" t="s">
        <v>158</v>
      </c>
      <c r="C1281" s="85">
        <v>3636121.5</v>
      </c>
      <c r="D1281" s="85" t="s">
        <v>334</v>
      </c>
      <c r="E1281" s="86">
        <v>0</v>
      </c>
      <c r="F1281" s="86">
        <v>3742958.9999999981</v>
      </c>
      <c r="G1281" s="86">
        <v>0</v>
      </c>
      <c r="H1281" s="86"/>
      <c r="I1281" s="86">
        <v>0</v>
      </c>
      <c r="J1281" s="86"/>
      <c r="K1281" s="86">
        <v>0</v>
      </c>
      <c r="L1281" s="86"/>
      <c r="M1281" s="86">
        <v>0</v>
      </c>
      <c r="N1281" s="86"/>
      <c r="O1281" s="86">
        <v>0</v>
      </c>
      <c r="P1281" s="86">
        <v>4270711.4999999972</v>
      </c>
      <c r="Q1281" s="86">
        <v>0</v>
      </c>
      <c r="R1281" s="87">
        <f t="shared" si="436"/>
        <v>1</v>
      </c>
      <c r="T1281" s="87">
        <v>0</v>
      </c>
      <c r="U1281" s="89"/>
      <c r="V1281" s="89">
        <v>0</v>
      </c>
      <c r="W1281" s="90"/>
      <c r="X1281" s="90">
        <v>0</v>
      </c>
      <c r="Y1281" s="90">
        <v>4736138.9999999991</v>
      </c>
      <c r="Z1281" s="90">
        <v>0</v>
      </c>
      <c r="AA1281" s="90">
        <v>1</v>
      </c>
      <c r="AB1281" s="89">
        <f t="shared" si="422"/>
        <v>0</v>
      </c>
      <c r="AC1281" s="89">
        <f t="shared" si="423"/>
        <v>0</v>
      </c>
      <c r="AD1281" s="89">
        <f t="shared" si="424"/>
        <v>0</v>
      </c>
      <c r="AF1281" s="90" t="str">
        <f t="shared" si="426"/>
        <v/>
      </c>
      <c r="AG1281" s="90">
        <f t="shared" si="427"/>
        <v>1</v>
      </c>
      <c r="AH1281" s="90" t="str">
        <f t="shared" si="428"/>
        <v>2018 (triag)</v>
      </c>
      <c r="AI1281" s="90">
        <f t="shared" si="429"/>
        <v>1</v>
      </c>
      <c r="AJ1281" s="90" t="str">
        <f t="shared" si="430"/>
        <v>2018 (triag)</v>
      </c>
      <c r="AK1281" s="90" t="str">
        <f t="shared" si="431"/>
        <v/>
      </c>
      <c r="AL1281" s="91">
        <f>IF(AK1281="Adjust",(_xlfn.XLOOKUP(A1281,'Adj factor'!A:A,'Adj factor'!I:I,,0)*AI1281),'Master DataSheet (Rev)'!AI1281)</f>
        <v>1</v>
      </c>
      <c r="AM1281" s="91">
        <f t="shared" si="432"/>
        <v>1</v>
      </c>
      <c r="AN1281" s="92" t="str">
        <f t="shared" si="433"/>
        <v>No change</v>
      </c>
      <c r="AS1281" s="94">
        <f t="shared" si="434"/>
        <v>0</v>
      </c>
      <c r="AT1281" s="94">
        <f t="shared" si="435"/>
        <v>2.3415302110667054E-3</v>
      </c>
      <c r="AU1281" s="94">
        <f t="shared" si="420"/>
        <v>2.1114245168902352E-3</v>
      </c>
      <c r="AV1281" s="94">
        <f t="shared" si="421"/>
        <v>2.1114245168902352E-3</v>
      </c>
    </row>
    <row r="1282" spans="1:48" x14ac:dyDescent="0.3">
      <c r="A1282" s="85" t="str">
        <f>_xlfn.XLOOKUP(B1282,'Country codes &amp; Data sources'!G:G,'Country codes &amp; Data sources'!H:H,,0)</f>
        <v>Mauritania</v>
      </c>
      <c r="B1282" s="85" t="s">
        <v>158</v>
      </c>
      <c r="C1282" s="85">
        <v>3636122.5</v>
      </c>
      <c r="D1282" s="85" t="s">
        <v>335</v>
      </c>
      <c r="E1282" s="86">
        <v>0</v>
      </c>
      <c r="F1282" s="86">
        <v>3742958.9999999981</v>
      </c>
      <c r="G1282" s="86">
        <v>0</v>
      </c>
      <c r="H1282" s="86"/>
      <c r="I1282" s="86">
        <v>0</v>
      </c>
      <c r="J1282" s="86"/>
      <c r="K1282" s="86">
        <v>0</v>
      </c>
      <c r="L1282" s="86"/>
      <c r="M1282" s="86">
        <v>0</v>
      </c>
      <c r="N1282" s="86"/>
      <c r="O1282" s="86">
        <v>0</v>
      </c>
      <c r="P1282" s="86">
        <v>4270711.4999999972</v>
      </c>
      <c r="Q1282" s="86">
        <v>78</v>
      </c>
      <c r="R1282" s="87">
        <f t="shared" si="436"/>
        <v>87</v>
      </c>
      <c r="T1282" s="87">
        <v>74</v>
      </c>
      <c r="U1282" s="89"/>
      <c r="V1282" s="89">
        <v>76</v>
      </c>
      <c r="W1282" s="90"/>
      <c r="X1282" s="90">
        <v>75</v>
      </c>
      <c r="Y1282" s="90">
        <v>4736138.9999999991</v>
      </c>
      <c r="Z1282" s="90">
        <v>85</v>
      </c>
      <c r="AA1282" s="90">
        <v>87</v>
      </c>
      <c r="AB1282" s="89">
        <f t="shared" si="422"/>
        <v>0</v>
      </c>
      <c r="AC1282" s="89">
        <f t="shared" si="423"/>
        <v>78</v>
      </c>
      <c r="AD1282" s="89">
        <f t="shared" si="424"/>
        <v>85</v>
      </c>
      <c r="AF1282" s="90" t="str">
        <f t="shared" si="426"/>
        <v/>
      </c>
      <c r="AG1282" s="90">
        <f t="shared" si="427"/>
        <v>87</v>
      </c>
      <c r="AH1282" s="90" t="str">
        <f t="shared" si="428"/>
        <v>2018 (triag)</v>
      </c>
      <c r="AI1282" s="90">
        <f t="shared" si="429"/>
        <v>85</v>
      </c>
      <c r="AJ1282" s="90">
        <f t="shared" si="430"/>
        <v>2022</v>
      </c>
      <c r="AK1282" s="90" t="str">
        <f t="shared" si="431"/>
        <v>Adjust</v>
      </c>
      <c r="AL1282" s="91">
        <f>IF(AK1282="Adjust",(_xlfn.XLOOKUP(A1282,'Adj factor'!A:A,'Adj factor'!I:I,,0)*AI1282),'Master DataSheet (Rev)'!AI1282)</f>
        <v>96.787074254283908</v>
      </c>
      <c r="AM1282" s="91">
        <f t="shared" si="432"/>
        <v>96.787074254283908</v>
      </c>
      <c r="AN1282" s="92" t="str">
        <f t="shared" si="433"/>
        <v>Increasing</v>
      </c>
      <c r="AS1282" s="94">
        <f t="shared" si="434"/>
        <v>0</v>
      </c>
      <c r="AT1282" s="94">
        <f t="shared" si="435"/>
        <v>0.20371312836280339</v>
      </c>
      <c r="AU1282" s="94">
        <f t="shared" si="420"/>
        <v>0.20435860149857071</v>
      </c>
      <c r="AV1282" s="94">
        <f t="shared" si="421"/>
        <v>0.20435860149857071</v>
      </c>
    </row>
    <row r="1283" spans="1:48" x14ac:dyDescent="0.3">
      <c r="A1283" s="85" t="str">
        <f>_xlfn.XLOOKUP(B1283,'Country codes &amp; Data sources'!G:G,'Country codes &amp; Data sources'!H:H,,0)</f>
        <v>Mauritania</v>
      </c>
      <c r="B1283" s="85" t="s">
        <v>158</v>
      </c>
      <c r="C1283" s="85">
        <v>3636123.5</v>
      </c>
      <c r="D1283" s="85" t="s">
        <v>336</v>
      </c>
      <c r="E1283" s="86">
        <v>0</v>
      </c>
      <c r="F1283" s="86">
        <v>3742958.9999999981</v>
      </c>
      <c r="G1283" s="86">
        <v>0</v>
      </c>
      <c r="H1283" s="86"/>
      <c r="I1283" s="86">
        <v>0</v>
      </c>
      <c r="J1283" s="86"/>
      <c r="K1283" s="86">
        <v>0</v>
      </c>
      <c r="L1283" s="86"/>
      <c r="M1283" s="86">
        <v>0</v>
      </c>
      <c r="N1283" s="86"/>
      <c r="O1283" s="86">
        <v>0</v>
      </c>
      <c r="P1283" s="86">
        <v>4270711.4999999972</v>
      </c>
      <c r="Q1283" s="86">
        <v>0</v>
      </c>
      <c r="R1283" s="87">
        <f t="shared" si="436"/>
        <v>13</v>
      </c>
      <c r="T1283" s="87">
        <v>0</v>
      </c>
      <c r="U1283" s="89"/>
      <c r="V1283" s="89">
        <v>0</v>
      </c>
      <c r="W1283" s="90"/>
      <c r="X1283" s="90">
        <v>0</v>
      </c>
      <c r="Y1283" s="90">
        <v>4736138.9999999991</v>
      </c>
      <c r="Z1283" s="90">
        <v>0</v>
      </c>
      <c r="AA1283" s="90">
        <v>13</v>
      </c>
      <c r="AB1283" s="89">
        <f t="shared" si="422"/>
        <v>0</v>
      </c>
      <c r="AC1283" s="89">
        <f t="shared" si="423"/>
        <v>0</v>
      </c>
      <c r="AD1283" s="89">
        <f t="shared" si="424"/>
        <v>0</v>
      </c>
      <c r="AF1283" s="90" t="str">
        <f t="shared" si="426"/>
        <v/>
      </c>
      <c r="AG1283" s="90">
        <f t="shared" si="427"/>
        <v>13</v>
      </c>
      <c r="AH1283" s="90" t="str">
        <f t="shared" si="428"/>
        <v>2018 (triag)</v>
      </c>
      <c r="AI1283" s="90">
        <f t="shared" si="429"/>
        <v>13</v>
      </c>
      <c r="AJ1283" s="90" t="str">
        <f t="shared" si="430"/>
        <v>2018 (triag)</v>
      </c>
      <c r="AK1283" s="90" t="str">
        <f t="shared" si="431"/>
        <v/>
      </c>
      <c r="AL1283" s="91">
        <f>IF(AK1283="Adjust",(_xlfn.XLOOKUP(A1283,'Adj factor'!A:A,'Adj factor'!I:I,,0)*AI1283),'Master DataSheet (Rev)'!AI1283)</f>
        <v>13</v>
      </c>
      <c r="AM1283" s="91">
        <f t="shared" si="432"/>
        <v>13</v>
      </c>
      <c r="AN1283" s="92" t="str">
        <f t="shared" si="433"/>
        <v>No change</v>
      </c>
      <c r="AS1283" s="94">
        <f t="shared" si="434"/>
        <v>0</v>
      </c>
      <c r="AT1283" s="94">
        <f t="shared" si="435"/>
        <v>3.0439892743867172E-2</v>
      </c>
      <c r="AU1283" s="94">
        <f t="shared" ref="AU1283:AU1346" si="437">(AL1283*10000)/Y1283</f>
        <v>2.7448518719573059E-2</v>
      </c>
      <c r="AV1283" s="94">
        <f t="shared" ref="AV1283:AV1346" si="438">(AM1283*10000)/Y1283</f>
        <v>2.7448518719573059E-2</v>
      </c>
    </row>
    <row r="1284" spans="1:48" x14ac:dyDescent="0.3">
      <c r="A1284" s="85" t="str">
        <f>_xlfn.XLOOKUP(B1284,'Country codes &amp; Data sources'!G:G,'Country codes &amp; Data sources'!H:H,,0)</f>
        <v>Mauritania</v>
      </c>
      <c r="B1284" s="85" t="s">
        <v>158</v>
      </c>
      <c r="C1284" s="85">
        <v>3636124.5</v>
      </c>
      <c r="D1284" s="85" t="s">
        <v>337</v>
      </c>
      <c r="E1284" s="86">
        <v>0</v>
      </c>
      <c r="F1284" s="86">
        <v>3742958.9999999981</v>
      </c>
      <c r="G1284" s="86">
        <v>0</v>
      </c>
      <c r="H1284" s="86"/>
      <c r="I1284" s="86">
        <v>0</v>
      </c>
      <c r="J1284" s="86"/>
      <c r="K1284" s="86">
        <v>0</v>
      </c>
      <c r="L1284" s="86"/>
      <c r="M1284" s="86">
        <v>0</v>
      </c>
      <c r="N1284" s="86"/>
      <c r="O1284" s="86">
        <v>0</v>
      </c>
      <c r="P1284" s="86">
        <v>4270711.4999999972</v>
      </c>
      <c r="Q1284" s="86">
        <v>112</v>
      </c>
      <c r="R1284" s="87">
        <f t="shared" si="436"/>
        <v>151</v>
      </c>
      <c r="T1284" s="87">
        <v>118</v>
      </c>
      <c r="U1284" s="89"/>
      <c r="V1284" s="89">
        <v>117</v>
      </c>
      <c r="W1284" s="90"/>
      <c r="X1284" s="90">
        <v>121</v>
      </c>
      <c r="Y1284" s="90">
        <v>4736138.9999999991</v>
      </c>
      <c r="Z1284" s="90">
        <v>131</v>
      </c>
      <c r="AA1284" s="90">
        <v>151</v>
      </c>
      <c r="AB1284" s="89">
        <f t="shared" si="422"/>
        <v>0</v>
      </c>
      <c r="AC1284" s="89">
        <f t="shared" si="423"/>
        <v>118</v>
      </c>
      <c r="AD1284" s="89">
        <f t="shared" si="424"/>
        <v>131</v>
      </c>
      <c r="AF1284" s="90" t="str">
        <f t="shared" si="426"/>
        <v/>
      </c>
      <c r="AG1284" s="90">
        <f t="shared" si="427"/>
        <v>151</v>
      </c>
      <c r="AH1284" s="90" t="str">
        <f t="shared" si="428"/>
        <v>2018 (triag)</v>
      </c>
      <c r="AI1284" s="90">
        <f t="shared" si="429"/>
        <v>131</v>
      </c>
      <c r="AJ1284" s="90">
        <f t="shared" si="430"/>
        <v>2022</v>
      </c>
      <c r="AK1284" s="90" t="str">
        <f t="shared" si="431"/>
        <v>Adjust</v>
      </c>
      <c r="AL1284" s="91">
        <f>IF(AK1284="Adjust",(_xlfn.XLOOKUP(A1284,'Adj factor'!A:A,'Adj factor'!I:I,,0)*AI1284),'Master DataSheet (Rev)'!AI1284)</f>
        <v>149.16596149777874</v>
      </c>
      <c r="AM1284" s="91">
        <f t="shared" si="432"/>
        <v>151</v>
      </c>
      <c r="AN1284" s="92" t="str">
        <f t="shared" si="433"/>
        <v>Decreasing</v>
      </c>
      <c r="AS1284" s="94">
        <f t="shared" si="434"/>
        <v>0</v>
      </c>
      <c r="AT1284" s="94">
        <f t="shared" si="435"/>
        <v>0.35357106187107251</v>
      </c>
      <c r="AU1284" s="94">
        <f t="shared" si="437"/>
        <v>0.31495266819191492</v>
      </c>
      <c r="AV1284" s="94">
        <f t="shared" si="438"/>
        <v>0.31882510205042552</v>
      </c>
    </row>
    <row r="1285" spans="1:48" x14ac:dyDescent="0.3">
      <c r="A1285" s="85" t="str">
        <f>_xlfn.XLOOKUP(B1285,'Country codes &amp; Data sources'!G:G,'Country codes &amp; Data sources'!H:H,,0)</f>
        <v>Mauritania</v>
      </c>
      <c r="B1285" s="85" t="s">
        <v>158</v>
      </c>
      <c r="C1285" s="85">
        <v>3636125.5</v>
      </c>
      <c r="D1285" s="85" t="s">
        <v>338</v>
      </c>
      <c r="E1285" s="86">
        <v>0</v>
      </c>
      <c r="F1285" s="86">
        <v>3742958.9999999981</v>
      </c>
      <c r="G1285" s="86">
        <v>0</v>
      </c>
      <c r="H1285" s="86"/>
      <c r="I1285" s="86">
        <v>0</v>
      </c>
      <c r="J1285" s="86"/>
      <c r="K1285" s="86">
        <v>0</v>
      </c>
      <c r="L1285" s="86"/>
      <c r="M1285" s="86">
        <v>0</v>
      </c>
      <c r="N1285" s="86"/>
      <c r="O1285" s="86">
        <v>0</v>
      </c>
      <c r="P1285" s="86">
        <v>4270711.4999999972</v>
      </c>
      <c r="Q1285" s="86">
        <v>0</v>
      </c>
      <c r="R1285" s="87">
        <f t="shared" si="436"/>
        <v>0</v>
      </c>
      <c r="T1285" s="87">
        <v>0</v>
      </c>
      <c r="U1285" s="89"/>
      <c r="V1285" s="89">
        <v>0</v>
      </c>
      <c r="W1285" s="90"/>
      <c r="X1285" s="90">
        <v>0</v>
      </c>
      <c r="Y1285" s="90">
        <v>4736138.9999999991</v>
      </c>
      <c r="Z1285" s="90">
        <v>0</v>
      </c>
      <c r="AA1285" s="90">
        <v>0</v>
      </c>
      <c r="AB1285" s="89">
        <f t="shared" si="422"/>
        <v>0</v>
      </c>
      <c r="AC1285" s="89">
        <f t="shared" si="423"/>
        <v>0</v>
      </c>
      <c r="AD1285" s="89">
        <f t="shared" si="424"/>
        <v>0</v>
      </c>
      <c r="AF1285" s="90" t="str">
        <f t="shared" si="426"/>
        <v/>
      </c>
      <c r="AH1285" s="90" t="str">
        <f t="shared" si="428"/>
        <v/>
      </c>
      <c r="AI1285" s="90">
        <f t="shared" si="429"/>
        <v>0</v>
      </c>
      <c r="AJ1285" s="90" t="str">
        <f t="shared" si="430"/>
        <v/>
      </c>
      <c r="AK1285" s="90" t="str">
        <f t="shared" si="431"/>
        <v/>
      </c>
      <c r="AL1285" s="91"/>
      <c r="AM1285" s="91">
        <f t="shared" si="432"/>
        <v>0</v>
      </c>
      <c r="AN1285" s="92" t="str">
        <f t="shared" si="433"/>
        <v>No change</v>
      </c>
      <c r="AS1285" s="94">
        <f t="shared" si="434"/>
        <v>0</v>
      </c>
      <c r="AT1285" s="94">
        <f t="shared" si="435"/>
        <v>0</v>
      </c>
      <c r="AU1285" s="94">
        <f t="shared" si="437"/>
        <v>0</v>
      </c>
      <c r="AV1285" s="94">
        <f t="shared" si="438"/>
        <v>0</v>
      </c>
    </row>
    <row r="1286" spans="1:48" x14ac:dyDescent="0.3">
      <c r="A1286" s="85" t="str">
        <f>_xlfn.XLOOKUP(B1286,'Country codes &amp; Data sources'!G:G,'Country codes &amp; Data sources'!H:H,,0)</f>
        <v>Mauritania</v>
      </c>
      <c r="B1286" s="85" t="s">
        <v>158</v>
      </c>
      <c r="C1286" s="85">
        <v>3636126.5</v>
      </c>
      <c r="D1286" s="85" t="s">
        <v>339</v>
      </c>
      <c r="E1286" s="86">
        <v>0</v>
      </c>
      <c r="F1286" s="86">
        <v>3742958.9999999981</v>
      </c>
      <c r="G1286" s="86">
        <v>0</v>
      </c>
      <c r="H1286" s="86"/>
      <c r="I1286" s="86">
        <v>0</v>
      </c>
      <c r="J1286" s="86"/>
      <c r="K1286" s="86">
        <v>0</v>
      </c>
      <c r="L1286" s="86"/>
      <c r="M1286" s="86">
        <v>0</v>
      </c>
      <c r="N1286" s="86"/>
      <c r="O1286" s="86">
        <v>0</v>
      </c>
      <c r="P1286" s="86">
        <v>4270711.4999999972</v>
      </c>
      <c r="Q1286" s="86">
        <v>0</v>
      </c>
      <c r="R1286" s="87">
        <f t="shared" si="436"/>
        <v>0</v>
      </c>
      <c r="T1286" s="87">
        <v>0</v>
      </c>
      <c r="U1286" s="89"/>
      <c r="V1286" s="89">
        <v>0</v>
      </c>
      <c r="W1286" s="90"/>
      <c r="X1286" s="90">
        <v>0</v>
      </c>
      <c r="Y1286" s="90">
        <v>4736138.9999999991</v>
      </c>
      <c r="Z1286" s="90">
        <v>0</v>
      </c>
      <c r="AA1286" s="90">
        <v>0</v>
      </c>
      <c r="AB1286" s="89">
        <f t="shared" si="422"/>
        <v>0</v>
      </c>
      <c r="AC1286" s="89">
        <f t="shared" si="423"/>
        <v>0</v>
      </c>
      <c r="AD1286" s="89">
        <f t="shared" si="424"/>
        <v>0</v>
      </c>
      <c r="AF1286" s="90" t="str">
        <f t="shared" si="426"/>
        <v/>
      </c>
      <c r="AH1286" s="90" t="str">
        <f t="shared" si="428"/>
        <v/>
      </c>
      <c r="AI1286" s="90">
        <f t="shared" si="429"/>
        <v>0</v>
      </c>
      <c r="AJ1286" s="90" t="str">
        <f t="shared" si="430"/>
        <v/>
      </c>
      <c r="AK1286" s="90" t="str">
        <f t="shared" si="431"/>
        <v/>
      </c>
      <c r="AL1286" s="91"/>
      <c r="AM1286" s="91">
        <f t="shared" si="432"/>
        <v>0</v>
      </c>
      <c r="AN1286" s="92" t="str">
        <f t="shared" si="433"/>
        <v>No change</v>
      </c>
      <c r="AS1286" s="94">
        <f t="shared" si="434"/>
        <v>0</v>
      </c>
      <c r="AT1286" s="94">
        <f t="shared" si="435"/>
        <v>0</v>
      </c>
      <c r="AU1286" s="94">
        <f t="shared" si="437"/>
        <v>0</v>
      </c>
      <c r="AV1286" s="94">
        <f t="shared" si="438"/>
        <v>0</v>
      </c>
    </row>
    <row r="1287" spans="1:48" x14ac:dyDescent="0.3">
      <c r="A1287" s="85" t="str">
        <f>_xlfn.XLOOKUP(B1287,'Country codes &amp; Data sources'!G:G,'Country codes &amp; Data sources'!H:H,,0)</f>
        <v>Mauritius</v>
      </c>
      <c r="B1287" s="85" t="s">
        <v>180</v>
      </c>
      <c r="C1287" s="85">
        <v>1288744.5000000005</v>
      </c>
      <c r="D1287" s="85" t="s">
        <v>326</v>
      </c>
      <c r="E1287" s="86">
        <v>1722</v>
      </c>
      <c r="F1287" s="86">
        <v>1290691.4999999998</v>
      </c>
      <c r="G1287" s="86">
        <v>2046</v>
      </c>
      <c r="H1287" s="86">
        <v>1292113.5000000002</v>
      </c>
      <c r="I1287" s="86">
        <v>2429</v>
      </c>
      <c r="J1287" s="86">
        <v>1293153</v>
      </c>
      <c r="K1287" s="86">
        <v>2550</v>
      </c>
      <c r="L1287" s="86">
        <v>1293911.0000000005</v>
      </c>
      <c r="M1287" s="86">
        <v>2769</v>
      </c>
      <c r="N1287" s="86">
        <v>1294740.5000000002</v>
      </c>
      <c r="O1287" s="86">
        <v>2927</v>
      </c>
      <c r="P1287" s="86">
        <v>1295381.5000000005</v>
      </c>
      <c r="Q1287" s="86">
        <v>2395</v>
      </c>
      <c r="R1287" s="87">
        <f t="shared" si="436"/>
        <v>2395</v>
      </c>
      <c r="S1287" s="87">
        <v>1296279.0000000002</v>
      </c>
      <c r="T1287" s="87">
        <v>3290</v>
      </c>
      <c r="U1287" s="89">
        <v>1297827.5</v>
      </c>
      <c r="V1287" s="89">
        <v>3450</v>
      </c>
      <c r="W1287" s="90">
        <v>1298914.4999999995</v>
      </c>
      <c r="X1287" s="90">
        <v>0</v>
      </c>
      <c r="Y1287" s="90">
        <v>1299468.9999999986</v>
      </c>
      <c r="Z1287" s="90">
        <v>1555</v>
      </c>
      <c r="AA1287" s="90">
        <v>2395</v>
      </c>
      <c r="AB1287" s="89">
        <f t="shared" si="422"/>
        <v>2550</v>
      </c>
      <c r="AC1287" s="89">
        <f t="shared" si="423"/>
        <v>3290</v>
      </c>
      <c r="AD1287" s="89">
        <f t="shared" si="424"/>
        <v>3450</v>
      </c>
      <c r="AE1287" s="90">
        <f t="shared" si="425"/>
        <v>2046</v>
      </c>
      <c r="AF1287" s="90">
        <f t="shared" si="426"/>
        <v>2013</v>
      </c>
      <c r="AG1287" s="90">
        <f t="shared" si="427"/>
        <v>2395</v>
      </c>
      <c r="AH1287" s="90">
        <f t="shared" si="428"/>
        <v>2018</v>
      </c>
      <c r="AI1287" s="90">
        <f t="shared" si="429"/>
        <v>1555</v>
      </c>
      <c r="AJ1287" s="90">
        <f t="shared" si="430"/>
        <v>2022</v>
      </c>
      <c r="AK1287" s="90" t="str">
        <f t="shared" si="431"/>
        <v>Adjust</v>
      </c>
      <c r="AL1287" s="91">
        <f>IF(AK1287="Adjust",(_xlfn.XLOOKUP(A1287,'Adj factor'!A:A,'Adj factor'!I:I,,0)*AI1287),'Master DataSheet (Rev)'!AI1287)</f>
        <v>1833.6554988586008</v>
      </c>
      <c r="AM1287" s="91">
        <f t="shared" si="432"/>
        <v>2395</v>
      </c>
      <c r="AN1287" s="92" t="str">
        <f t="shared" si="433"/>
        <v>Decreasing</v>
      </c>
      <c r="AS1287" s="94">
        <f t="shared" si="434"/>
        <v>15.851967724278035</v>
      </c>
      <c r="AT1287" s="94">
        <f t="shared" si="435"/>
        <v>18.48876180492001</v>
      </c>
      <c r="AU1287" s="94">
        <f t="shared" si="437"/>
        <v>14.110806020448374</v>
      </c>
      <c r="AV1287" s="94">
        <f t="shared" si="438"/>
        <v>18.430605116397565</v>
      </c>
    </row>
    <row r="1288" spans="1:48" x14ac:dyDescent="0.3">
      <c r="A1288" s="85" t="str">
        <f>_xlfn.XLOOKUP(B1288,'Country codes &amp; Data sources'!G:G,'Country codes &amp; Data sources'!H:H,,0)</f>
        <v>Mauritius</v>
      </c>
      <c r="B1288" s="85" t="s">
        <v>180</v>
      </c>
      <c r="C1288" s="85">
        <v>1288745.5</v>
      </c>
      <c r="D1288" s="85" t="s">
        <v>327</v>
      </c>
      <c r="E1288" s="86">
        <v>0</v>
      </c>
      <c r="F1288" s="86">
        <v>1290691.4999999998</v>
      </c>
      <c r="G1288" s="86">
        <v>0</v>
      </c>
      <c r="H1288" s="86"/>
      <c r="I1288" s="86">
        <v>0</v>
      </c>
      <c r="J1288" s="86"/>
      <c r="K1288" s="86">
        <v>0</v>
      </c>
      <c r="L1288" s="86"/>
      <c r="M1288" s="86">
        <v>0</v>
      </c>
      <c r="N1288" s="86"/>
      <c r="O1288" s="86">
        <v>0</v>
      </c>
      <c r="P1288" s="86">
        <v>1295381.5000000005</v>
      </c>
      <c r="Q1288" s="86">
        <v>1188</v>
      </c>
      <c r="R1288" s="87">
        <f t="shared" si="436"/>
        <v>1188</v>
      </c>
      <c r="T1288" s="87">
        <v>0</v>
      </c>
      <c r="U1288" s="89"/>
      <c r="V1288" s="89">
        <v>0</v>
      </c>
      <c r="W1288" s="90"/>
      <c r="X1288" s="90">
        <v>0</v>
      </c>
      <c r="Y1288" s="90">
        <v>1299468.9999999986</v>
      </c>
      <c r="Z1288" s="90">
        <v>1207</v>
      </c>
      <c r="AA1288" s="90">
        <v>1188</v>
      </c>
      <c r="AB1288" s="89">
        <f t="shared" si="422"/>
        <v>0</v>
      </c>
      <c r="AC1288" s="89">
        <f t="shared" si="423"/>
        <v>1188</v>
      </c>
      <c r="AD1288" s="89">
        <f t="shared" si="424"/>
        <v>1207</v>
      </c>
      <c r="AF1288" s="90" t="str">
        <f t="shared" si="426"/>
        <v/>
      </c>
      <c r="AG1288" s="90">
        <f t="shared" si="427"/>
        <v>1188</v>
      </c>
      <c r="AH1288" s="90">
        <f t="shared" si="428"/>
        <v>2018</v>
      </c>
      <c r="AI1288" s="90">
        <f t="shared" si="429"/>
        <v>1207</v>
      </c>
      <c r="AJ1288" s="90">
        <f t="shared" si="430"/>
        <v>2022</v>
      </c>
      <c r="AK1288" s="90" t="str">
        <f t="shared" si="431"/>
        <v/>
      </c>
      <c r="AL1288" s="91">
        <f>IF(AK1288="Adjust",(_xlfn.XLOOKUP(A1288,'Adj factor'!A:A,'Adj factor'!I:I,,0)*AI1288),'Master DataSheet (Rev)'!AI1288)</f>
        <v>1207</v>
      </c>
      <c r="AM1288" s="91">
        <f t="shared" si="432"/>
        <v>1207</v>
      </c>
      <c r="AN1288" s="92" t="str">
        <f t="shared" si="433"/>
        <v>Increasing</v>
      </c>
      <c r="AS1288" s="94">
        <f t="shared" si="434"/>
        <v>0</v>
      </c>
      <c r="AT1288" s="94">
        <f t="shared" si="435"/>
        <v>9.171043433922744</v>
      </c>
      <c r="AU1288" s="94">
        <f t="shared" si="437"/>
        <v>9.2884093425853269</v>
      </c>
      <c r="AV1288" s="94">
        <f t="shared" si="438"/>
        <v>9.2884093425853269</v>
      </c>
    </row>
    <row r="1289" spans="1:48" x14ac:dyDescent="0.3">
      <c r="A1289" s="85" t="str">
        <f>_xlfn.XLOOKUP(B1289,'Country codes &amp; Data sources'!G:G,'Country codes &amp; Data sources'!H:H,,0)</f>
        <v>Mauritius</v>
      </c>
      <c r="B1289" s="85" t="s">
        <v>180</v>
      </c>
      <c r="C1289" s="85">
        <v>1288746.5</v>
      </c>
      <c r="D1289" s="85" t="s">
        <v>328</v>
      </c>
      <c r="E1289" s="86">
        <v>0</v>
      </c>
      <c r="F1289" s="86">
        <v>1290691.4999999998</v>
      </c>
      <c r="G1289" s="86">
        <v>0</v>
      </c>
      <c r="H1289" s="86"/>
      <c r="I1289" s="86">
        <v>0</v>
      </c>
      <c r="J1289" s="86"/>
      <c r="K1289" s="86">
        <v>0</v>
      </c>
      <c r="L1289" s="86"/>
      <c r="M1289" s="86">
        <v>0</v>
      </c>
      <c r="N1289" s="86"/>
      <c r="O1289" s="86">
        <v>0</v>
      </c>
      <c r="P1289" s="86">
        <v>1295381.5000000005</v>
      </c>
      <c r="Q1289" s="86">
        <v>1207</v>
      </c>
      <c r="R1289" s="87">
        <f t="shared" si="436"/>
        <v>1207</v>
      </c>
      <c r="T1289" s="87">
        <v>0</v>
      </c>
      <c r="U1289" s="89"/>
      <c r="V1289" s="89">
        <v>0</v>
      </c>
      <c r="W1289" s="90"/>
      <c r="X1289" s="90">
        <v>0</v>
      </c>
      <c r="Y1289" s="90">
        <v>1299468.9999999986</v>
      </c>
      <c r="Z1289" s="90">
        <v>348</v>
      </c>
      <c r="AA1289" s="90">
        <v>1207</v>
      </c>
      <c r="AB1289" s="89">
        <f t="shared" si="422"/>
        <v>0</v>
      </c>
      <c r="AC1289" s="89">
        <f t="shared" si="423"/>
        <v>1207</v>
      </c>
      <c r="AD1289" s="89">
        <f t="shared" si="424"/>
        <v>348</v>
      </c>
      <c r="AF1289" s="90" t="str">
        <f t="shared" si="426"/>
        <v/>
      </c>
      <c r="AG1289" s="90">
        <f t="shared" si="427"/>
        <v>1207</v>
      </c>
      <c r="AH1289" s="90">
        <f t="shared" si="428"/>
        <v>2018</v>
      </c>
      <c r="AI1289" s="90">
        <f t="shared" si="429"/>
        <v>348</v>
      </c>
      <c r="AJ1289" s="90">
        <f t="shared" si="430"/>
        <v>2022</v>
      </c>
      <c r="AK1289" s="90" t="str">
        <f t="shared" si="431"/>
        <v>Adjust</v>
      </c>
      <c r="AL1289" s="91">
        <f>IF(AK1289="Adjust",(_xlfn.XLOOKUP(A1289,'Adj factor'!A:A,'Adj factor'!I:I,,0)*AI1289),'Master DataSheet (Rev)'!AI1289)</f>
        <v>410.36148784745535</v>
      </c>
      <c r="AM1289" s="91">
        <f t="shared" si="432"/>
        <v>1207</v>
      </c>
      <c r="AN1289" s="92" t="str">
        <f t="shared" si="433"/>
        <v>Decreasing</v>
      </c>
      <c r="AS1289" s="94">
        <f t="shared" si="434"/>
        <v>0</v>
      </c>
      <c r="AT1289" s="94">
        <f t="shared" si="435"/>
        <v>9.317718370997266</v>
      </c>
      <c r="AU1289" s="94">
        <f t="shared" si="437"/>
        <v>3.1579167171164206</v>
      </c>
      <c r="AV1289" s="94">
        <f t="shared" si="438"/>
        <v>9.2884093425853269</v>
      </c>
    </row>
    <row r="1290" spans="1:48" x14ac:dyDescent="0.3">
      <c r="A1290" s="85" t="str">
        <f>_xlfn.XLOOKUP(B1290,'Country codes &amp; Data sources'!G:G,'Country codes &amp; Data sources'!H:H,,0)</f>
        <v>Mauritius</v>
      </c>
      <c r="B1290" s="85" t="s">
        <v>180</v>
      </c>
      <c r="C1290" s="85">
        <v>1288747.5</v>
      </c>
      <c r="D1290" s="85" t="s">
        <v>329</v>
      </c>
      <c r="E1290" s="86">
        <v>3737</v>
      </c>
      <c r="F1290" s="86">
        <v>1290691.4999999998</v>
      </c>
      <c r="G1290" s="86">
        <v>3963</v>
      </c>
      <c r="H1290" s="86"/>
      <c r="I1290" s="86">
        <v>4125</v>
      </c>
      <c r="J1290" s="86"/>
      <c r="K1290" s="86">
        <v>4261</v>
      </c>
      <c r="L1290" s="86"/>
      <c r="M1290" s="86">
        <v>4134</v>
      </c>
      <c r="N1290" s="86"/>
      <c r="O1290" s="86">
        <v>4445</v>
      </c>
      <c r="P1290" s="86">
        <v>1295381.5000000005</v>
      </c>
      <c r="Q1290" s="86">
        <v>4986</v>
      </c>
      <c r="R1290" s="87">
        <f t="shared" si="436"/>
        <v>4986</v>
      </c>
      <c r="T1290" s="87">
        <v>0</v>
      </c>
      <c r="U1290" s="89"/>
      <c r="V1290" s="89">
        <v>0</v>
      </c>
      <c r="W1290" s="90"/>
      <c r="X1290" s="90">
        <v>0</v>
      </c>
      <c r="Y1290" s="90">
        <v>1299468.9999999986</v>
      </c>
      <c r="Z1290" s="90">
        <v>3900</v>
      </c>
      <c r="AA1290" s="90">
        <v>4419</v>
      </c>
      <c r="AB1290" s="89">
        <f t="shared" si="422"/>
        <v>4261</v>
      </c>
      <c r="AC1290" s="89">
        <f t="shared" si="423"/>
        <v>4986</v>
      </c>
      <c r="AD1290" s="89">
        <f t="shared" si="424"/>
        <v>3900</v>
      </c>
      <c r="AE1290" s="90">
        <f t="shared" si="425"/>
        <v>3963</v>
      </c>
      <c r="AF1290" s="90">
        <f t="shared" si="426"/>
        <v>2013</v>
      </c>
      <c r="AG1290" s="90">
        <f t="shared" si="427"/>
        <v>4986</v>
      </c>
      <c r="AH1290" s="90">
        <f t="shared" si="428"/>
        <v>2018</v>
      </c>
      <c r="AI1290" s="90">
        <f t="shared" si="429"/>
        <v>3900</v>
      </c>
      <c r="AJ1290" s="90">
        <f t="shared" si="430"/>
        <v>2022</v>
      </c>
      <c r="AK1290" s="90" t="str">
        <f t="shared" si="431"/>
        <v>Adjust</v>
      </c>
      <c r="AL1290" s="91">
        <f>IF(AK1290="Adjust",(_xlfn.XLOOKUP(A1290,'Adj factor'!A:A,'Adj factor'!I:I,,0)*AI1290),'Master DataSheet (Rev)'!AI1290)</f>
        <v>4598.8787431180344</v>
      </c>
      <c r="AM1290" s="91">
        <f t="shared" si="432"/>
        <v>4986</v>
      </c>
      <c r="AN1290" s="92" t="str">
        <f t="shared" si="433"/>
        <v>Decreasing</v>
      </c>
      <c r="AS1290" s="94">
        <f t="shared" si="434"/>
        <v>30.704471207875784</v>
      </c>
      <c r="AT1290" s="94">
        <f t="shared" si="435"/>
        <v>38.49059138176667</v>
      </c>
      <c r="AU1290" s="94">
        <f t="shared" si="437"/>
        <v>35.390445967684023</v>
      </c>
      <c r="AV1290" s="94">
        <f t="shared" si="438"/>
        <v>38.369518626454386</v>
      </c>
    </row>
    <row r="1291" spans="1:48" x14ac:dyDescent="0.3">
      <c r="A1291" s="85" t="str">
        <f>_xlfn.XLOOKUP(B1291,'Country codes &amp; Data sources'!G:G,'Country codes &amp; Data sources'!H:H,,0)</f>
        <v>Mauritius</v>
      </c>
      <c r="B1291" s="85" t="s">
        <v>180</v>
      </c>
      <c r="C1291" s="85">
        <v>1288748.5</v>
      </c>
      <c r="D1291" s="85" t="s">
        <v>330</v>
      </c>
      <c r="E1291" s="86">
        <v>0</v>
      </c>
      <c r="F1291" s="86">
        <v>1290691.4999999998</v>
      </c>
      <c r="G1291" s="86">
        <v>0</v>
      </c>
      <c r="H1291" s="86"/>
      <c r="I1291" s="86">
        <v>0</v>
      </c>
      <c r="J1291" s="86"/>
      <c r="K1291" s="86">
        <v>0</v>
      </c>
      <c r="L1291" s="86"/>
      <c r="M1291" s="86">
        <v>0</v>
      </c>
      <c r="N1291" s="86"/>
      <c r="O1291" s="86">
        <v>0</v>
      </c>
      <c r="P1291" s="86">
        <v>1295381.5000000005</v>
      </c>
      <c r="Q1291" s="86">
        <v>0</v>
      </c>
      <c r="R1291" s="87">
        <f t="shared" si="436"/>
        <v>4419</v>
      </c>
      <c r="T1291" s="87">
        <v>0</v>
      </c>
      <c r="U1291" s="89"/>
      <c r="V1291" s="89">
        <v>0</v>
      </c>
      <c r="W1291" s="90"/>
      <c r="X1291" s="90">
        <v>0</v>
      </c>
      <c r="Y1291" s="90">
        <v>1299468.9999999986</v>
      </c>
      <c r="Z1291" s="90">
        <v>3715</v>
      </c>
      <c r="AA1291" s="90">
        <v>4419</v>
      </c>
      <c r="AB1291" s="89">
        <f t="shared" si="422"/>
        <v>0</v>
      </c>
      <c r="AC1291" s="89">
        <f t="shared" si="423"/>
        <v>0</v>
      </c>
      <c r="AD1291" s="89">
        <f t="shared" si="424"/>
        <v>3715</v>
      </c>
      <c r="AF1291" s="90" t="str">
        <f t="shared" si="426"/>
        <v/>
      </c>
      <c r="AG1291" s="90">
        <f t="shared" si="427"/>
        <v>4419</v>
      </c>
      <c r="AH1291" s="90" t="str">
        <f t="shared" si="428"/>
        <v>2018 (triag)</v>
      </c>
      <c r="AI1291" s="90">
        <f t="shared" si="429"/>
        <v>3715</v>
      </c>
      <c r="AJ1291" s="90">
        <f t="shared" si="430"/>
        <v>2022</v>
      </c>
      <c r="AK1291" s="90" t="str">
        <f t="shared" si="431"/>
        <v>Adjust</v>
      </c>
      <c r="AL1291" s="91">
        <f>IF(AK1291="Adjust",(_xlfn.XLOOKUP(A1291,'Adj factor'!A:A,'Adj factor'!I:I,,0)*AI1291),'Master DataSheet (Rev)'!AI1291)</f>
        <v>4380.7268027393584</v>
      </c>
      <c r="AM1291" s="91">
        <f t="shared" si="432"/>
        <v>4419</v>
      </c>
      <c r="AN1291" s="92" t="str">
        <f t="shared" si="433"/>
        <v>Decreasing</v>
      </c>
      <c r="AS1291" s="94">
        <f t="shared" si="434"/>
        <v>0</v>
      </c>
      <c r="AT1291" s="94">
        <f t="shared" si="435"/>
        <v>34.113502470121723</v>
      </c>
      <c r="AU1291" s="94">
        <f t="shared" si="437"/>
        <v>33.711668402550302</v>
      </c>
      <c r="AV1291" s="94">
        <f t="shared" si="438"/>
        <v>34.006197916225815</v>
      </c>
    </row>
    <row r="1292" spans="1:48" x14ac:dyDescent="0.3">
      <c r="A1292" s="85" t="str">
        <f>_xlfn.XLOOKUP(B1292,'Country codes &amp; Data sources'!G:G,'Country codes &amp; Data sources'!H:H,,0)</f>
        <v>Mauritius</v>
      </c>
      <c r="B1292" s="85" t="s">
        <v>180</v>
      </c>
      <c r="C1292" s="85">
        <v>1288749.5</v>
      </c>
      <c r="D1292" s="85" t="s">
        <v>331</v>
      </c>
      <c r="E1292" s="86">
        <v>0</v>
      </c>
      <c r="F1292" s="86">
        <v>1290691.4999999998</v>
      </c>
      <c r="G1292" s="86">
        <v>0</v>
      </c>
      <c r="H1292" s="86"/>
      <c r="I1292" s="86">
        <v>0</v>
      </c>
      <c r="J1292" s="86"/>
      <c r="K1292" s="86">
        <v>0</v>
      </c>
      <c r="L1292" s="86"/>
      <c r="M1292" s="86">
        <v>0</v>
      </c>
      <c r="N1292" s="86"/>
      <c r="O1292" s="86">
        <v>0</v>
      </c>
      <c r="P1292" s="86">
        <v>1295381.5000000005</v>
      </c>
      <c r="Q1292" s="86">
        <v>0</v>
      </c>
      <c r="R1292" s="87">
        <f t="shared" si="436"/>
        <v>0</v>
      </c>
      <c r="T1292" s="87">
        <v>0</v>
      </c>
      <c r="U1292" s="89"/>
      <c r="V1292" s="89">
        <v>0</v>
      </c>
      <c r="W1292" s="90"/>
      <c r="X1292" s="90">
        <v>0</v>
      </c>
      <c r="Y1292" s="90">
        <v>1299468.9999999986</v>
      </c>
      <c r="Z1292" s="90">
        <v>185</v>
      </c>
      <c r="AA1292" s="90">
        <v>0</v>
      </c>
      <c r="AB1292" s="89">
        <f t="shared" si="422"/>
        <v>0</v>
      </c>
      <c r="AC1292" s="89">
        <f t="shared" si="423"/>
        <v>0</v>
      </c>
      <c r="AD1292" s="89">
        <f t="shared" si="424"/>
        <v>185</v>
      </c>
      <c r="AF1292" s="90" t="str">
        <f t="shared" si="426"/>
        <v/>
      </c>
      <c r="AH1292" s="90" t="str">
        <f t="shared" si="428"/>
        <v/>
      </c>
      <c r="AI1292" s="90">
        <f t="shared" si="429"/>
        <v>185</v>
      </c>
      <c r="AJ1292" s="90">
        <f t="shared" si="430"/>
        <v>2022</v>
      </c>
      <c r="AK1292" s="90" t="str">
        <f t="shared" si="431"/>
        <v/>
      </c>
      <c r="AL1292" s="91">
        <f>IF(AK1292="Adjust",(_xlfn.XLOOKUP(A1292,'Adj factor'!A:A,'Adj factor'!I:I,,0)*AI1292),'Master DataSheet (Rev)'!AI1292)</f>
        <v>185</v>
      </c>
      <c r="AM1292" s="91">
        <f t="shared" si="432"/>
        <v>185</v>
      </c>
      <c r="AN1292" s="92" t="str">
        <f t="shared" si="433"/>
        <v>Increasing</v>
      </c>
      <c r="AS1292" s="94">
        <f t="shared" si="434"/>
        <v>0</v>
      </c>
      <c r="AT1292" s="94">
        <f t="shared" si="435"/>
        <v>0</v>
      </c>
      <c r="AU1292" s="94">
        <f t="shared" si="437"/>
        <v>1.4236584327906261</v>
      </c>
      <c r="AV1292" s="94">
        <f t="shared" si="438"/>
        <v>1.4236584327906261</v>
      </c>
    </row>
    <row r="1293" spans="1:48" x14ac:dyDescent="0.3">
      <c r="A1293" s="85" t="str">
        <f>_xlfn.XLOOKUP(B1293,'Country codes &amp; Data sources'!G:G,'Country codes &amp; Data sources'!H:H,,0)</f>
        <v>Mauritius</v>
      </c>
      <c r="B1293" s="85" t="s">
        <v>180</v>
      </c>
      <c r="C1293" s="85">
        <v>1288750.5</v>
      </c>
      <c r="D1293" s="85" t="s">
        <v>332</v>
      </c>
      <c r="E1293" s="86">
        <v>0</v>
      </c>
      <c r="F1293" s="86">
        <v>1290691.4999999998</v>
      </c>
      <c r="G1293" s="86">
        <v>0</v>
      </c>
      <c r="H1293" s="86"/>
      <c r="I1293" s="86">
        <v>0</v>
      </c>
      <c r="J1293" s="86"/>
      <c r="K1293" s="86">
        <v>0</v>
      </c>
      <c r="L1293" s="86"/>
      <c r="M1293" s="86">
        <v>0</v>
      </c>
      <c r="N1293" s="86"/>
      <c r="O1293" s="86">
        <v>0</v>
      </c>
      <c r="P1293" s="86">
        <v>1295381.5000000005</v>
      </c>
      <c r="Q1293" s="86">
        <v>0</v>
      </c>
      <c r="R1293" s="87">
        <f t="shared" si="436"/>
        <v>567</v>
      </c>
      <c r="T1293" s="87">
        <v>0</v>
      </c>
      <c r="U1293" s="89"/>
      <c r="V1293" s="89">
        <v>0</v>
      </c>
      <c r="W1293" s="90"/>
      <c r="X1293" s="90">
        <v>0</v>
      </c>
      <c r="Y1293" s="90">
        <v>1299468.9999999986</v>
      </c>
      <c r="Z1293" s="90">
        <v>0</v>
      </c>
      <c r="AA1293" s="90">
        <v>567</v>
      </c>
      <c r="AB1293" s="89">
        <f t="shared" si="422"/>
        <v>0</v>
      </c>
      <c r="AC1293" s="89">
        <f t="shared" si="423"/>
        <v>0</v>
      </c>
      <c r="AD1293" s="89">
        <f t="shared" si="424"/>
        <v>0</v>
      </c>
      <c r="AF1293" s="90" t="str">
        <f t="shared" si="426"/>
        <v/>
      </c>
      <c r="AG1293" s="90">
        <f t="shared" si="427"/>
        <v>567</v>
      </c>
      <c r="AH1293" s="90" t="str">
        <f t="shared" si="428"/>
        <v>2018 (triag)</v>
      </c>
      <c r="AI1293" s="90">
        <f t="shared" si="429"/>
        <v>567</v>
      </c>
      <c r="AJ1293" s="90" t="str">
        <f t="shared" si="430"/>
        <v>2018 (triag)</v>
      </c>
      <c r="AK1293" s="90" t="str">
        <f t="shared" si="431"/>
        <v/>
      </c>
      <c r="AL1293" s="91">
        <f>IF(AK1293="Adjust",(_xlfn.XLOOKUP(A1293,'Adj factor'!A:A,'Adj factor'!I:I,,0)*AI1293),'Master DataSheet (Rev)'!AI1293)</f>
        <v>567</v>
      </c>
      <c r="AM1293" s="91">
        <f t="shared" si="432"/>
        <v>567</v>
      </c>
      <c r="AN1293" s="92" t="str">
        <f t="shared" si="433"/>
        <v>No change</v>
      </c>
      <c r="AS1293" s="94">
        <f t="shared" si="434"/>
        <v>0</v>
      </c>
      <c r="AT1293" s="94">
        <f t="shared" si="435"/>
        <v>4.3770889116449458</v>
      </c>
      <c r="AU1293" s="94">
        <f t="shared" si="437"/>
        <v>4.3633207102285674</v>
      </c>
      <c r="AV1293" s="94">
        <f t="shared" si="438"/>
        <v>4.3633207102285674</v>
      </c>
    </row>
    <row r="1294" spans="1:48" x14ac:dyDescent="0.3">
      <c r="A1294" s="85" t="str">
        <f>_xlfn.XLOOKUP(B1294,'Country codes &amp; Data sources'!G:G,'Country codes &amp; Data sources'!H:H,,0)</f>
        <v>Mauritius</v>
      </c>
      <c r="B1294" s="85" t="s">
        <v>180</v>
      </c>
      <c r="C1294" s="85">
        <v>1288751.5</v>
      </c>
      <c r="D1294" s="85" t="s">
        <v>333</v>
      </c>
      <c r="E1294" s="86">
        <v>0</v>
      </c>
      <c r="F1294" s="86">
        <v>1290691.4999999998</v>
      </c>
      <c r="G1294" s="86">
        <v>0</v>
      </c>
      <c r="H1294" s="86"/>
      <c r="I1294" s="86">
        <v>0</v>
      </c>
      <c r="J1294" s="86"/>
      <c r="K1294" s="86">
        <v>0</v>
      </c>
      <c r="L1294" s="86"/>
      <c r="M1294" s="86">
        <v>0</v>
      </c>
      <c r="N1294" s="86"/>
      <c r="O1294" s="86">
        <v>0</v>
      </c>
      <c r="P1294" s="86">
        <v>1295381.5000000005</v>
      </c>
      <c r="Q1294" s="86">
        <v>0</v>
      </c>
      <c r="R1294" s="87">
        <f t="shared" si="436"/>
        <v>567</v>
      </c>
      <c r="T1294" s="87">
        <v>0</v>
      </c>
      <c r="U1294" s="89"/>
      <c r="V1294" s="89">
        <v>0</v>
      </c>
      <c r="W1294" s="90"/>
      <c r="X1294" s="90">
        <v>0</v>
      </c>
      <c r="Y1294" s="90">
        <v>1299468.9999999986</v>
      </c>
      <c r="Z1294" s="90">
        <v>0</v>
      </c>
      <c r="AA1294" s="90">
        <v>567</v>
      </c>
      <c r="AB1294" s="89">
        <f t="shared" si="422"/>
        <v>0</v>
      </c>
      <c r="AC1294" s="89">
        <f t="shared" si="423"/>
        <v>0</v>
      </c>
      <c r="AD1294" s="89">
        <f t="shared" si="424"/>
        <v>0</v>
      </c>
      <c r="AF1294" s="90" t="str">
        <f t="shared" si="426"/>
        <v/>
      </c>
      <c r="AG1294" s="90">
        <f t="shared" si="427"/>
        <v>567</v>
      </c>
      <c r="AH1294" s="90" t="str">
        <f t="shared" si="428"/>
        <v>2018 (triag)</v>
      </c>
      <c r="AI1294" s="90">
        <f t="shared" si="429"/>
        <v>567</v>
      </c>
      <c r="AJ1294" s="90" t="str">
        <f t="shared" si="430"/>
        <v>2018 (triag)</v>
      </c>
      <c r="AK1294" s="90" t="str">
        <f t="shared" si="431"/>
        <v/>
      </c>
      <c r="AL1294" s="91">
        <f>IF(AK1294="Adjust",(_xlfn.XLOOKUP(A1294,'Adj factor'!A:A,'Adj factor'!I:I,,0)*AI1294),'Master DataSheet (Rev)'!AI1294)</f>
        <v>567</v>
      </c>
      <c r="AM1294" s="91">
        <f t="shared" si="432"/>
        <v>567</v>
      </c>
      <c r="AN1294" s="92" t="str">
        <f t="shared" si="433"/>
        <v>No change</v>
      </c>
      <c r="AS1294" s="94">
        <f t="shared" si="434"/>
        <v>0</v>
      </c>
      <c r="AT1294" s="94">
        <f t="shared" si="435"/>
        <v>4.3770889116449458</v>
      </c>
      <c r="AU1294" s="94">
        <f t="shared" si="437"/>
        <v>4.3633207102285674</v>
      </c>
      <c r="AV1294" s="94">
        <f t="shared" si="438"/>
        <v>4.3633207102285674</v>
      </c>
    </row>
    <row r="1295" spans="1:48" x14ac:dyDescent="0.3">
      <c r="A1295" s="85" t="str">
        <f>_xlfn.XLOOKUP(B1295,'Country codes &amp; Data sources'!G:G,'Country codes &amp; Data sources'!H:H,,0)</f>
        <v>Mauritius</v>
      </c>
      <c r="B1295" s="85" t="s">
        <v>180</v>
      </c>
      <c r="C1295" s="85">
        <v>1288752.5</v>
      </c>
      <c r="D1295" s="85" t="s">
        <v>334</v>
      </c>
      <c r="E1295" s="86">
        <v>0</v>
      </c>
      <c r="F1295" s="86">
        <v>1290691.4999999998</v>
      </c>
      <c r="G1295" s="86">
        <v>0</v>
      </c>
      <c r="H1295" s="86"/>
      <c r="I1295" s="86">
        <v>0</v>
      </c>
      <c r="J1295" s="86"/>
      <c r="K1295" s="86">
        <v>0</v>
      </c>
      <c r="L1295" s="86"/>
      <c r="M1295" s="86">
        <v>0</v>
      </c>
      <c r="N1295" s="86"/>
      <c r="O1295" s="86">
        <v>0</v>
      </c>
      <c r="P1295" s="86">
        <v>1295381.5000000005</v>
      </c>
      <c r="Q1295" s="86">
        <v>0</v>
      </c>
      <c r="R1295" s="87">
        <f t="shared" si="436"/>
        <v>0</v>
      </c>
      <c r="T1295" s="87">
        <v>0</v>
      </c>
      <c r="U1295" s="89"/>
      <c r="V1295" s="89">
        <v>0</v>
      </c>
      <c r="W1295" s="90"/>
      <c r="X1295" s="90">
        <v>0</v>
      </c>
      <c r="Y1295" s="90">
        <v>1299468.9999999986</v>
      </c>
      <c r="Z1295" s="90">
        <v>0</v>
      </c>
      <c r="AA1295" s="90">
        <v>0</v>
      </c>
      <c r="AB1295" s="89">
        <f t="shared" si="422"/>
        <v>0</v>
      </c>
      <c r="AC1295" s="89">
        <f t="shared" si="423"/>
        <v>0</v>
      </c>
      <c r="AD1295" s="89">
        <f t="shared" si="424"/>
        <v>0</v>
      </c>
      <c r="AF1295" s="90" t="str">
        <f t="shared" si="426"/>
        <v/>
      </c>
      <c r="AH1295" s="90" t="str">
        <f t="shared" si="428"/>
        <v/>
      </c>
      <c r="AI1295" s="90">
        <f t="shared" si="429"/>
        <v>0</v>
      </c>
      <c r="AJ1295" s="90" t="str">
        <f t="shared" si="430"/>
        <v/>
      </c>
      <c r="AK1295" s="90" t="str">
        <f t="shared" si="431"/>
        <v/>
      </c>
      <c r="AL1295" s="91"/>
      <c r="AM1295" s="91">
        <f t="shared" si="432"/>
        <v>0</v>
      </c>
      <c r="AN1295" s="92" t="str">
        <f t="shared" si="433"/>
        <v>No change</v>
      </c>
      <c r="AS1295" s="94">
        <f t="shared" si="434"/>
        <v>0</v>
      </c>
      <c r="AT1295" s="94">
        <f t="shared" si="435"/>
        <v>0</v>
      </c>
      <c r="AU1295" s="94">
        <f t="shared" si="437"/>
        <v>0</v>
      </c>
      <c r="AV1295" s="94">
        <f t="shared" si="438"/>
        <v>0</v>
      </c>
    </row>
    <row r="1296" spans="1:48" x14ac:dyDescent="0.3">
      <c r="A1296" s="85" t="str">
        <f>_xlfn.XLOOKUP(B1296,'Country codes &amp; Data sources'!G:G,'Country codes &amp; Data sources'!H:H,,0)</f>
        <v>Mauritius</v>
      </c>
      <c r="B1296" s="85" t="s">
        <v>180</v>
      </c>
      <c r="C1296" s="85">
        <v>1288753.5</v>
      </c>
      <c r="D1296" s="85" t="s">
        <v>335</v>
      </c>
      <c r="E1296" s="86">
        <v>432</v>
      </c>
      <c r="F1296" s="86">
        <v>1290691.4999999998</v>
      </c>
      <c r="G1296" s="86">
        <v>460</v>
      </c>
      <c r="H1296" s="86"/>
      <c r="I1296" s="86">
        <v>494</v>
      </c>
      <c r="J1296" s="86"/>
      <c r="K1296" s="86">
        <v>497</v>
      </c>
      <c r="L1296" s="86"/>
      <c r="M1296" s="86">
        <v>514</v>
      </c>
      <c r="N1296" s="86"/>
      <c r="O1296" s="86">
        <v>531</v>
      </c>
      <c r="P1296" s="86">
        <v>1295381.5000000005</v>
      </c>
      <c r="Q1296" s="86">
        <v>748</v>
      </c>
      <c r="R1296" s="87">
        <f t="shared" si="436"/>
        <v>748</v>
      </c>
      <c r="T1296" s="87">
        <v>0</v>
      </c>
      <c r="U1296" s="89"/>
      <c r="V1296" s="89">
        <v>0</v>
      </c>
      <c r="W1296" s="90"/>
      <c r="X1296" s="90">
        <v>0</v>
      </c>
      <c r="Y1296" s="90">
        <v>1299468.9999999986</v>
      </c>
      <c r="Z1296" s="90">
        <v>35</v>
      </c>
      <c r="AA1296" s="90">
        <v>531</v>
      </c>
      <c r="AB1296" s="89">
        <f t="shared" si="422"/>
        <v>497</v>
      </c>
      <c r="AC1296" s="89">
        <f t="shared" si="423"/>
        <v>748</v>
      </c>
      <c r="AD1296" s="89">
        <f t="shared" si="424"/>
        <v>35</v>
      </c>
      <c r="AE1296" s="90">
        <f t="shared" si="425"/>
        <v>460</v>
      </c>
      <c r="AF1296" s="90">
        <f t="shared" si="426"/>
        <v>2013</v>
      </c>
      <c r="AG1296" s="90">
        <f t="shared" si="427"/>
        <v>748</v>
      </c>
      <c r="AH1296" s="90">
        <f t="shared" si="428"/>
        <v>2018</v>
      </c>
      <c r="AI1296" s="90">
        <f t="shared" si="429"/>
        <v>35</v>
      </c>
      <c r="AJ1296" s="90">
        <f t="shared" si="430"/>
        <v>2022</v>
      </c>
      <c r="AK1296" s="90" t="str">
        <f t="shared" si="431"/>
        <v>Adjust</v>
      </c>
      <c r="AL1296" s="91">
        <f>IF(AK1296="Adjust",(_xlfn.XLOOKUP(A1296,'Adj factor'!A:A,'Adj factor'!I:I,,0)*AI1296),'Master DataSheet (Rev)'!AI1296)</f>
        <v>41.271988720290047</v>
      </c>
      <c r="AM1296" s="91">
        <f t="shared" si="432"/>
        <v>748</v>
      </c>
      <c r="AN1296" s="92" t="str">
        <f t="shared" si="433"/>
        <v>Decreasing</v>
      </c>
      <c r="AS1296" s="94">
        <f t="shared" si="434"/>
        <v>3.5639810132785414</v>
      </c>
      <c r="AT1296" s="94">
        <f t="shared" si="435"/>
        <v>5.7743606806180248</v>
      </c>
      <c r="AU1296" s="94">
        <f t="shared" si="437"/>
        <v>0.31760656637665147</v>
      </c>
      <c r="AV1296" s="94">
        <f t="shared" si="438"/>
        <v>5.7561973390669632</v>
      </c>
    </row>
    <row r="1297" spans="1:48" x14ac:dyDescent="0.3">
      <c r="A1297" s="85" t="str">
        <f>_xlfn.XLOOKUP(B1297,'Country codes &amp; Data sources'!G:G,'Country codes &amp; Data sources'!H:H,,0)</f>
        <v>Mauritius</v>
      </c>
      <c r="B1297" s="85" t="s">
        <v>180</v>
      </c>
      <c r="C1297" s="85">
        <v>1288754.5</v>
      </c>
      <c r="D1297" s="85" t="s">
        <v>336</v>
      </c>
      <c r="E1297" s="86">
        <v>0</v>
      </c>
      <c r="F1297" s="86">
        <v>1290691.4999999998</v>
      </c>
      <c r="G1297" s="86">
        <v>0</v>
      </c>
      <c r="H1297" s="86"/>
      <c r="I1297" s="86">
        <v>0</v>
      </c>
      <c r="J1297" s="86"/>
      <c r="K1297" s="86">
        <v>0</v>
      </c>
      <c r="L1297" s="86"/>
      <c r="M1297" s="86">
        <v>0</v>
      </c>
      <c r="N1297" s="86"/>
      <c r="O1297" s="86">
        <v>0</v>
      </c>
      <c r="P1297" s="86">
        <v>1295381.5000000005</v>
      </c>
      <c r="Q1297" s="86">
        <v>0</v>
      </c>
      <c r="R1297" s="87">
        <f t="shared" si="436"/>
        <v>217</v>
      </c>
      <c r="T1297" s="87">
        <v>0</v>
      </c>
      <c r="U1297" s="89"/>
      <c r="V1297" s="89">
        <v>0</v>
      </c>
      <c r="W1297" s="90"/>
      <c r="X1297" s="90">
        <v>0</v>
      </c>
      <c r="Y1297" s="90">
        <v>1299468.9999999986</v>
      </c>
      <c r="Z1297" s="90">
        <v>314</v>
      </c>
      <c r="AA1297" s="90">
        <v>217</v>
      </c>
      <c r="AB1297" s="89">
        <f t="shared" si="422"/>
        <v>0</v>
      </c>
      <c r="AC1297" s="89">
        <f t="shared" si="423"/>
        <v>0</v>
      </c>
      <c r="AD1297" s="89">
        <f t="shared" si="424"/>
        <v>314</v>
      </c>
      <c r="AF1297" s="90" t="str">
        <f t="shared" si="426"/>
        <v/>
      </c>
      <c r="AG1297" s="90">
        <f t="shared" si="427"/>
        <v>217</v>
      </c>
      <c r="AH1297" s="90" t="str">
        <f t="shared" si="428"/>
        <v>2018 (triag)</v>
      </c>
      <c r="AI1297" s="90">
        <f t="shared" si="429"/>
        <v>314</v>
      </c>
      <c r="AJ1297" s="90">
        <f t="shared" si="430"/>
        <v>2022</v>
      </c>
      <c r="AK1297" s="90" t="str">
        <f t="shared" si="431"/>
        <v/>
      </c>
      <c r="AL1297" s="91">
        <f>IF(AK1297="Adjust",(_xlfn.XLOOKUP(A1297,'Adj factor'!A:A,'Adj factor'!I:I,,0)*AI1297),'Master DataSheet (Rev)'!AI1297)</f>
        <v>314</v>
      </c>
      <c r="AM1297" s="91">
        <f t="shared" si="432"/>
        <v>314</v>
      </c>
      <c r="AN1297" s="92" t="str">
        <f t="shared" si="433"/>
        <v>Increasing</v>
      </c>
      <c r="AS1297" s="94">
        <f t="shared" si="434"/>
        <v>0</v>
      </c>
      <c r="AT1297" s="94">
        <f t="shared" si="435"/>
        <v>1.6751821760616461</v>
      </c>
      <c r="AU1297" s="94">
        <f t="shared" si="437"/>
        <v>2.4163716102500357</v>
      </c>
      <c r="AV1297" s="94">
        <f t="shared" si="438"/>
        <v>2.4163716102500357</v>
      </c>
    </row>
    <row r="1298" spans="1:48" x14ac:dyDescent="0.3">
      <c r="A1298" s="85" t="str">
        <f>_xlfn.XLOOKUP(B1298,'Country codes &amp; Data sources'!G:G,'Country codes &amp; Data sources'!H:H,,0)</f>
        <v>Mauritius</v>
      </c>
      <c r="B1298" s="85" t="s">
        <v>180</v>
      </c>
      <c r="C1298" s="85">
        <v>1288755.5</v>
      </c>
      <c r="D1298" s="85" t="s">
        <v>337</v>
      </c>
      <c r="E1298" s="86">
        <v>301</v>
      </c>
      <c r="F1298" s="86">
        <v>1290691.4999999998</v>
      </c>
      <c r="G1298" s="86">
        <v>351</v>
      </c>
      <c r="H1298" s="86"/>
      <c r="I1298" s="86">
        <v>366</v>
      </c>
      <c r="J1298" s="86"/>
      <c r="K1298" s="86">
        <v>380</v>
      </c>
      <c r="L1298" s="86"/>
      <c r="M1298" s="86">
        <v>385</v>
      </c>
      <c r="N1298" s="86"/>
      <c r="O1298" s="86">
        <v>401</v>
      </c>
      <c r="P1298" s="86">
        <v>1295381.5000000005</v>
      </c>
      <c r="Q1298" s="86">
        <v>466</v>
      </c>
      <c r="R1298" s="87">
        <f t="shared" si="436"/>
        <v>466</v>
      </c>
      <c r="T1298" s="87">
        <v>351</v>
      </c>
      <c r="U1298" s="89"/>
      <c r="V1298" s="89">
        <v>0</v>
      </c>
      <c r="W1298" s="90"/>
      <c r="X1298" s="90">
        <v>0</v>
      </c>
      <c r="Y1298" s="90">
        <v>1299468.9999999986</v>
      </c>
      <c r="Z1298" s="90">
        <v>0</v>
      </c>
      <c r="AA1298" s="90">
        <v>401</v>
      </c>
      <c r="AB1298" s="89">
        <f t="shared" si="422"/>
        <v>380</v>
      </c>
      <c r="AC1298" s="89">
        <f t="shared" si="423"/>
        <v>466</v>
      </c>
      <c r="AD1298" s="89">
        <f t="shared" si="424"/>
        <v>0</v>
      </c>
      <c r="AE1298" s="90">
        <f t="shared" si="425"/>
        <v>351</v>
      </c>
      <c r="AF1298" s="90">
        <f t="shared" si="426"/>
        <v>2013</v>
      </c>
      <c r="AG1298" s="90">
        <f t="shared" si="427"/>
        <v>466</v>
      </c>
      <c r="AH1298" s="90">
        <f t="shared" si="428"/>
        <v>2018</v>
      </c>
      <c r="AI1298" s="90">
        <f t="shared" si="429"/>
        <v>351</v>
      </c>
      <c r="AJ1298" s="90">
        <f t="shared" si="430"/>
        <v>2018</v>
      </c>
      <c r="AK1298" s="90" t="str">
        <f t="shared" si="431"/>
        <v>Adjust</v>
      </c>
      <c r="AL1298" s="91">
        <f>IF(AK1298="Adjust",(_xlfn.XLOOKUP(A1298,'Adj factor'!A:A,'Adj factor'!I:I,,0)*AI1298),'Master DataSheet (Rev)'!AI1298)</f>
        <v>413.89908688062309</v>
      </c>
      <c r="AM1298" s="91">
        <f t="shared" si="432"/>
        <v>466</v>
      </c>
      <c r="AN1298" s="92" t="str">
        <f t="shared" si="433"/>
        <v>Decreasing</v>
      </c>
      <c r="AS1298" s="94">
        <f t="shared" si="434"/>
        <v>2.7194724688277567</v>
      </c>
      <c r="AT1298" s="94">
        <f t="shared" si="435"/>
        <v>3.5973958250909082</v>
      </c>
      <c r="AU1298" s="94">
        <f t="shared" si="437"/>
        <v>3.1851401370915622</v>
      </c>
      <c r="AV1298" s="94">
        <f t="shared" si="438"/>
        <v>3.5860801604347659</v>
      </c>
    </row>
    <row r="1299" spans="1:48" x14ac:dyDescent="0.3">
      <c r="A1299" s="85" t="str">
        <f>_xlfn.XLOOKUP(B1299,'Country codes &amp; Data sources'!G:G,'Country codes &amp; Data sources'!H:H,,0)</f>
        <v>Mauritius</v>
      </c>
      <c r="B1299" s="85" t="s">
        <v>180</v>
      </c>
      <c r="C1299" s="85">
        <v>1288756.5</v>
      </c>
      <c r="D1299" s="85" t="s">
        <v>338</v>
      </c>
      <c r="E1299" s="86">
        <v>0</v>
      </c>
      <c r="F1299" s="86">
        <v>1290691.4999999998</v>
      </c>
      <c r="G1299" s="86">
        <v>0</v>
      </c>
      <c r="H1299" s="86"/>
      <c r="I1299" s="86">
        <v>0</v>
      </c>
      <c r="J1299" s="86"/>
      <c r="K1299" s="86">
        <v>0</v>
      </c>
      <c r="L1299" s="86"/>
      <c r="M1299" s="86">
        <v>0</v>
      </c>
      <c r="N1299" s="86"/>
      <c r="O1299" s="86">
        <v>0</v>
      </c>
      <c r="P1299" s="86">
        <v>1295381.5000000005</v>
      </c>
      <c r="Q1299" s="86">
        <v>0</v>
      </c>
      <c r="R1299" s="87">
        <f t="shared" si="436"/>
        <v>65</v>
      </c>
      <c r="T1299" s="87">
        <v>0</v>
      </c>
      <c r="U1299" s="89"/>
      <c r="V1299" s="89">
        <v>0</v>
      </c>
      <c r="W1299" s="90"/>
      <c r="X1299" s="90">
        <v>0</v>
      </c>
      <c r="Y1299" s="90">
        <v>1299468.9999999986</v>
      </c>
      <c r="Z1299" s="90">
        <v>78</v>
      </c>
      <c r="AA1299" s="90">
        <v>65</v>
      </c>
      <c r="AB1299" s="89">
        <f t="shared" si="422"/>
        <v>0</v>
      </c>
      <c r="AC1299" s="89">
        <f t="shared" si="423"/>
        <v>0</v>
      </c>
      <c r="AD1299" s="89">
        <f t="shared" si="424"/>
        <v>78</v>
      </c>
      <c r="AF1299" s="90" t="str">
        <f t="shared" si="426"/>
        <v/>
      </c>
      <c r="AG1299" s="90">
        <f t="shared" si="427"/>
        <v>65</v>
      </c>
      <c r="AH1299" s="90" t="str">
        <f t="shared" si="428"/>
        <v>2018 (triag)</v>
      </c>
      <c r="AI1299" s="90">
        <f t="shared" si="429"/>
        <v>78</v>
      </c>
      <c r="AJ1299" s="90">
        <f t="shared" si="430"/>
        <v>2022</v>
      </c>
      <c r="AK1299" s="90" t="str">
        <f t="shared" si="431"/>
        <v/>
      </c>
      <c r="AL1299" s="91">
        <f>IF(AK1299="Adjust",(_xlfn.XLOOKUP(A1299,'Adj factor'!A:A,'Adj factor'!I:I,,0)*AI1299),'Master DataSheet (Rev)'!AI1299)</f>
        <v>78</v>
      </c>
      <c r="AM1299" s="91">
        <f t="shared" si="432"/>
        <v>78</v>
      </c>
      <c r="AN1299" s="92" t="str">
        <f t="shared" si="433"/>
        <v>Increasing</v>
      </c>
      <c r="AS1299" s="94">
        <f t="shared" si="434"/>
        <v>0</v>
      </c>
      <c r="AT1299" s="94">
        <f t="shared" si="435"/>
        <v>0.50178267946547006</v>
      </c>
      <c r="AU1299" s="94">
        <f t="shared" si="437"/>
        <v>0.60024517706848013</v>
      </c>
      <c r="AV1299" s="94">
        <f t="shared" si="438"/>
        <v>0.60024517706848013</v>
      </c>
    </row>
    <row r="1300" spans="1:48" x14ac:dyDescent="0.3">
      <c r="A1300" s="85" t="str">
        <f>_xlfn.XLOOKUP(B1300,'Country codes &amp; Data sources'!G:G,'Country codes &amp; Data sources'!H:H,,0)</f>
        <v>Mauritius</v>
      </c>
      <c r="B1300" s="85" t="s">
        <v>180</v>
      </c>
      <c r="C1300" s="85">
        <v>1288757.5</v>
      </c>
      <c r="D1300" s="85" t="s">
        <v>339</v>
      </c>
      <c r="E1300" s="86">
        <v>0</v>
      </c>
      <c r="F1300" s="86">
        <v>1290691.4999999998</v>
      </c>
      <c r="G1300" s="86">
        <v>0</v>
      </c>
      <c r="H1300" s="86"/>
      <c r="I1300" s="86">
        <v>0</v>
      </c>
      <c r="J1300" s="86"/>
      <c r="K1300" s="86">
        <v>0</v>
      </c>
      <c r="L1300" s="86"/>
      <c r="M1300" s="86">
        <v>0</v>
      </c>
      <c r="N1300" s="86"/>
      <c r="O1300" s="86">
        <v>0</v>
      </c>
      <c r="P1300" s="86">
        <v>1295381.5000000005</v>
      </c>
      <c r="Q1300" s="86">
        <v>0</v>
      </c>
      <c r="R1300" s="87">
        <f t="shared" si="436"/>
        <v>0</v>
      </c>
      <c r="T1300" s="87">
        <v>0</v>
      </c>
      <c r="U1300" s="89"/>
      <c r="V1300" s="89">
        <v>0</v>
      </c>
      <c r="W1300" s="90"/>
      <c r="X1300" s="90">
        <v>0</v>
      </c>
      <c r="Y1300" s="90">
        <v>1299468.9999999986</v>
      </c>
      <c r="Z1300" s="90">
        <v>16</v>
      </c>
      <c r="AA1300" s="90">
        <v>0</v>
      </c>
      <c r="AB1300" s="89">
        <f t="shared" si="422"/>
        <v>0</v>
      </c>
      <c r="AC1300" s="89">
        <f t="shared" si="423"/>
        <v>0</v>
      </c>
      <c r="AD1300" s="89">
        <f t="shared" si="424"/>
        <v>16</v>
      </c>
      <c r="AF1300" s="90" t="str">
        <f t="shared" si="426"/>
        <v/>
      </c>
      <c r="AH1300" s="90" t="str">
        <f t="shared" si="428"/>
        <v/>
      </c>
      <c r="AI1300" s="90">
        <f t="shared" si="429"/>
        <v>16</v>
      </c>
      <c r="AJ1300" s="90">
        <f t="shared" si="430"/>
        <v>2022</v>
      </c>
      <c r="AK1300" s="90" t="str">
        <f t="shared" si="431"/>
        <v/>
      </c>
      <c r="AL1300" s="91">
        <f>IF(AK1300="Adjust",(_xlfn.XLOOKUP(A1300,'Adj factor'!A:A,'Adj factor'!I:I,,0)*AI1300),'Master DataSheet (Rev)'!AI1300)</f>
        <v>16</v>
      </c>
      <c r="AM1300" s="91">
        <f t="shared" si="432"/>
        <v>16</v>
      </c>
      <c r="AN1300" s="92" t="str">
        <f t="shared" si="433"/>
        <v>Increasing</v>
      </c>
      <c r="AS1300" s="94">
        <f t="shared" si="434"/>
        <v>0</v>
      </c>
      <c r="AT1300" s="94">
        <f t="shared" si="435"/>
        <v>0</v>
      </c>
      <c r="AU1300" s="94">
        <f t="shared" si="437"/>
        <v>0.123127215808919</v>
      </c>
      <c r="AV1300" s="94">
        <f t="shared" si="438"/>
        <v>0.123127215808919</v>
      </c>
    </row>
    <row r="1301" spans="1:48" x14ac:dyDescent="0.3">
      <c r="A1301" s="85" t="str">
        <f>_xlfn.XLOOKUP(B1301,'Country codes &amp; Data sources'!G:G,'Country codes &amp; Data sources'!H:H,,0)</f>
        <v>Malawi</v>
      </c>
      <c r="B1301" s="85" t="s">
        <v>178</v>
      </c>
      <c r="C1301" s="85">
        <v>15581250.5</v>
      </c>
      <c r="D1301" s="85" t="s">
        <v>326</v>
      </c>
      <c r="E1301" s="86">
        <v>0</v>
      </c>
      <c r="F1301" s="86">
        <v>16024775.499999996</v>
      </c>
      <c r="G1301" s="86">
        <v>200</v>
      </c>
      <c r="H1301" s="86">
        <v>16477966.500000002</v>
      </c>
      <c r="I1301" s="86">
        <v>0</v>
      </c>
      <c r="J1301" s="86">
        <v>16938941.500000004</v>
      </c>
      <c r="K1301" s="86">
        <v>0</v>
      </c>
      <c r="L1301" s="86">
        <v>17405623.5</v>
      </c>
      <c r="M1301" s="86">
        <v>539</v>
      </c>
      <c r="N1301" s="86">
        <v>17881167.000000004</v>
      </c>
      <c r="O1301" s="86">
        <v>0</v>
      </c>
      <c r="P1301" s="86">
        <v>18367882.999999985</v>
      </c>
      <c r="Q1301" s="86">
        <v>2760</v>
      </c>
      <c r="R1301" s="87">
        <f t="shared" si="436"/>
        <v>2760</v>
      </c>
      <c r="S1301" s="87">
        <v>18867336.499999993</v>
      </c>
      <c r="T1301" s="87">
        <v>0</v>
      </c>
      <c r="U1301" s="89">
        <v>19377061.499999985</v>
      </c>
      <c r="V1301" s="89">
        <v>958</v>
      </c>
      <c r="W1301" s="90">
        <v>19889742.000000011</v>
      </c>
      <c r="X1301" s="90">
        <v>0</v>
      </c>
      <c r="Y1301" s="90">
        <v>20405316.500000019</v>
      </c>
      <c r="Z1301" s="90">
        <v>996</v>
      </c>
      <c r="AA1301" s="90">
        <v>2760</v>
      </c>
      <c r="AB1301" s="89">
        <f t="shared" si="422"/>
        <v>200</v>
      </c>
      <c r="AC1301" s="89">
        <f t="shared" si="423"/>
        <v>2760</v>
      </c>
      <c r="AD1301" s="89">
        <f t="shared" si="424"/>
        <v>996</v>
      </c>
      <c r="AE1301" s="90">
        <f t="shared" si="425"/>
        <v>200</v>
      </c>
      <c r="AF1301" s="90">
        <f t="shared" si="426"/>
        <v>2013</v>
      </c>
      <c r="AG1301" s="90">
        <f t="shared" si="427"/>
        <v>2760</v>
      </c>
      <c r="AH1301" s="90">
        <f t="shared" si="428"/>
        <v>2018</v>
      </c>
      <c r="AI1301" s="90">
        <f t="shared" si="429"/>
        <v>996</v>
      </c>
      <c r="AJ1301" s="90">
        <f t="shared" si="430"/>
        <v>2022</v>
      </c>
      <c r="AK1301" s="90" t="str">
        <f t="shared" si="431"/>
        <v>Adjust</v>
      </c>
      <c r="AL1301" s="91">
        <f>IF(AK1301="Adjust",(_xlfn.XLOOKUP(A1301,'Adj factor'!A:A,'Adj factor'!I:I,,0)*AI1301),'Master DataSheet (Rev)'!AI1301)</f>
        <v>1103.5637751855782</v>
      </c>
      <c r="AM1301" s="91">
        <f t="shared" si="432"/>
        <v>2760</v>
      </c>
      <c r="AN1301" s="92" t="str">
        <f t="shared" si="433"/>
        <v>Decreasing</v>
      </c>
      <c r="AS1301" s="94">
        <f t="shared" si="434"/>
        <v>0.12480674066229511</v>
      </c>
      <c r="AT1301" s="94">
        <f t="shared" si="435"/>
        <v>1.5026228117851155</v>
      </c>
      <c r="AU1301" s="94">
        <f t="shared" si="437"/>
        <v>0.54082168986968526</v>
      </c>
      <c r="AV1301" s="94">
        <f t="shared" si="438"/>
        <v>1.3525886746231051</v>
      </c>
    </row>
    <row r="1302" spans="1:48" x14ac:dyDescent="0.3">
      <c r="A1302" s="85" t="str">
        <f>_xlfn.XLOOKUP(B1302,'Country codes &amp; Data sources'!G:G,'Country codes &amp; Data sources'!H:H,,0)</f>
        <v>Malawi</v>
      </c>
      <c r="B1302" s="85" t="s">
        <v>178</v>
      </c>
      <c r="C1302" s="85">
        <v>15581251.5</v>
      </c>
      <c r="D1302" s="85" t="s">
        <v>327</v>
      </c>
      <c r="E1302" s="86">
        <v>0</v>
      </c>
      <c r="F1302" s="86">
        <v>16024775.499999996</v>
      </c>
      <c r="G1302" s="86">
        <v>0</v>
      </c>
      <c r="H1302" s="86"/>
      <c r="I1302" s="86">
        <v>0</v>
      </c>
      <c r="J1302" s="86"/>
      <c r="K1302" s="86">
        <v>0</v>
      </c>
      <c r="L1302" s="86"/>
      <c r="M1302" s="86">
        <v>255</v>
      </c>
      <c r="N1302" s="86"/>
      <c r="O1302" s="86">
        <v>0</v>
      </c>
      <c r="P1302" s="86">
        <v>18367882.999999985</v>
      </c>
      <c r="Q1302" s="86">
        <v>2582</v>
      </c>
      <c r="R1302" s="87">
        <f t="shared" si="436"/>
        <v>2582</v>
      </c>
      <c r="T1302" s="87">
        <v>0</v>
      </c>
      <c r="U1302" s="89"/>
      <c r="V1302" s="89">
        <v>639</v>
      </c>
      <c r="W1302" s="90"/>
      <c r="X1302" s="90">
        <v>0</v>
      </c>
      <c r="Y1302" s="90">
        <v>20405316.500000019</v>
      </c>
      <c r="Z1302" s="90">
        <v>843</v>
      </c>
      <c r="AA1302" s="90">
        <v>2582</v>
      </c>
      <c r="AB1302" s="89">
        <f t="shared" si="422"/>
        <v>0</v>
      </c>
      <c r="AC1302" s="89">
        <f t="shared" si="423"/>
        <v>2582</v>
      </c>
      <c r="AD1302" s="89">
        <f t="shared" si="424"/>
        <v>843</v>
      </c>
      <c r="AF1302" s="90" t="str">
        <f t="shared" si="426"/>
        <v/>
      </c>
      <c r="AG1302" s="90">
        <f t="shared" si="427"/>
        <v>2582</v>
      </c>
      <c r="AH1302" s="90">
        <f t="shared" si="428"/>
        <v>2018</v>
      </c>
      <c r="AI1302" s="90">
        <f t="shared" si="429"/>
        <v>843</v>
      </c>
      <c r="AJ1302" s="90">
        <f t="shared" si="430"/>
        <v>2022</v>
      </c>
      <c r="AK1302" s="90" t="str">
        <f t="shared" si="431"/>
        <v>Adjust</v>
      </c>
      <c r="AL1302" s="91">
        <f>IF(AK1302="Adjust",(_xlfn.XLOOKUP(A1302,'Adj factor'!A:A,'Adj factor'!I:I,,0)*AI1302),'Master DataSheet (Rev)'!AI1302)</f>
        <v>934.04042417815492</v>
      </c>
      <c r="AM1302" s="91">
        <f t="shared" si="432"/>
        <v>2582</v>
      </c>
      <c r="AN1302" s="92" t="str">
        <f t="shared" si="433"/>
        <v>Decreasing</v>
      </c>
      <c r="AS1302" s="94">
        <f t="shared" si="434"/>
        <v>0</v>
      </c>
      <c r="AT1302" s="94">
        <f t="shared" si="435"/>
        <v>1.4057145289960755</v>
      </c>
      <c r="AU1302" s="94">
        <f t="shared" si="437"/>
        <v>0.45774365919693238</v>
      </c>
      <c r="AV1302" s="94">
        <f t="shared" si="438"/>
        <v>1.2653565064771222</v>
      </c>
    </row>
    <row r="1303" spans="1:48" x14ac:dyDescent="0.3">
      <c r="A1303" s="85" t="str">
        <f>_xlfn.XLOOKUP(B1303,'Country codes &amp; Data sources'!G:G,'Country codes &amp; Data sources'!H:H,,0)</f>
        <v>Malawi</v>
      </c>
      <c r="B1303" s="85" t="s">
        <v>178</v>
      </c>
      <c r="C1303" s="85">
        <v>15581252.5</v>
      </c>
      <c r="D1303" s="85" t="s">
        <v>328</v>
      </c>
      <c r="E1303" s="86">
        <v>0</v>
      </c>
      <c r="F1303" s="86">
        <v>16024775.499999996</v>
      </c>
      <c r="G1303" s="86">
        <v>32</v>
      </c>
      <c r="H1303" s="86"/>
      <c r="I1303" s="86">
        <v>0</v>
      </c>
      <c r="J1303" s="86"/>
      <c r="K1303" s="86">
        <v>0</v>
      </c>
      <c r="L1303" s="86"/>
      <c r="M1303" s="86">
        <v>0</v>
      </c>
      <c r="N1303" s="86"/>
      <c r="O1303" s="86">
        <v>0</v>
      </c>
      <c r="P1303" s="86">
        <v>18367882.999999985</v>
      </c>
      <c r="Q1303" s="86">
        <v>178</v>
      </c>
      <c r="R1303" s="87">
        <f t="shared" si="436"/>
        <v>178</v>
      </c>
      <c r="T1303" s="87">
        <v>0</v>
      </c>
      <c r="U1303" s="89"/>
      <c r="V1303" s="89">
        <v>319</v>
      </c>
      <c r="W1303" s="90"/>
      <c r="X1303" s="90">
        <v>0</v>
      </c>
      <c r="Y1303" s="90">
        <v>20405316.500000019</v>
      </c>
      <c r="Z1303" s="90">
        <v>141</v>
      </c>
      <c r="AA1303" s="90">
        <v>178</v>
      </c>
      <c r="AB1303" s="89">
        <f t="shared" si="422"/>
        <v>32</v>
      </c>
      <c r="AC1303" s="89">
        <f t="shared" si="423"/>
        <v>178</v>
      </c>
      <c r="AD1303" s="89">
        <f t="shared" si="424"/>
        <v>319</v>
      </c>
      <c r="AE1303" s="90">
        <f t="shared" si="425"/>
        <v>32</v>
      </c>
      <c r="AF1303" s="90">
        <f t="shared" si="426"/>
        <v>2013</v>
      </c>
      <c r="AG1303" s="90">
        <f t="shared" si="427"/>
        <v>178</v>
      </c>
      <c r="AH1303" s="90">
        <f t="shared" si="428"/>
        <v>2018</v>
      </c>
      <c r="AI1303" s="90">
        <f t="shared" si="429"/>
        <v>141</v>
      </c>
      <c r="AJ1303" s="90">
        <f t="shared" si="430"/>
        <v>2022</v>
      </c>
      <c r="AK1303" s="90" t="str">
        <f t="shared" si="431"/>
        <v>Adjust</v>
      </c>
      <c r="AL1303" s="91">
        <f>IF(AK1303="Adjust",(_xlfn.XLOOKUP(A1303,'Adj factor'!A:A,'Adj factor'!I:I,,0)*AI1303),'Master DataSheet (Rev)'!AI1303)</f>
        <v>156.22740190880171</v>
      </c>
      <c r="AM1303" s="91">
        <f t="shared" si="432"/>
        <v>178</v>
      </c>
      <c r="AN1303" s="92" t="str">
        <f t="shared" si="433"/>
        <v>Decreasing</v>
      </c>
      <c r="AS1303" s="94">
        <f t="shared" si="434"/>
        <v>1.9969078505967217E-2</v>
      </c>
      <c r="AT1303" s="94">
        <f t="shared" si="435"/>
        <v>9.6908282789040054E-2</v>
      </c>
      <c r="AU1303" s="94">
        <f t="shared" si="437"/>
        <v>7.6562106698419286E-2</v>
      </c>
      <c r="AV1303" s="94">
        <f t="shared" si="438"/>
        <v>8.723216814598285E-2</v>
      </c>
    </row>
    <row r="1304" spans="1:48" x14ac:dyDescent="0.3">
      <c r="A1304" s="85" t="str">
        <f>_xlfn.XLOOKUP(B1304,'Country codes &amp; Data sources'!G:G,'Country codes &amp; Data sources'!H:H,,0)</f>
        <v>Malawi</v>
      </c>
      <c r="B1304" s="85" t="s">
        <v>178</v>
      </c>
      <c r="C1304" s="85">
        <v>15581253.5</v>
      </c>
      <c r="D1304" s="85" t="s">
        <v>329</v>
      </c>
      <c r="E1304" s="86">
        <v>0</v>
      </c>
      <c r="F1304" s="86">
        <v>16024775.499999996</v>
      </c>
      <c r="G1304" s="86">
        <v>3545</v>
      </c>
      <c r="H1304" s="86"/>
      <c r="I1304" s="86">
        <v>0</v>
      </c>
      <c r="J1304" s="86"/>
      <c r="K1304" s="86">
        <v>0</v>
      </c>
      <c r="L1304" s="86"/>
      <c r="M1304" s="86">
        <v>4573</v>
      </c>
      <c r="N1304" s="86"/>
      <c r="O1304" s="86">
        <v>0</v>
      </c>
      <c r="P1304" s="86">
        <v>18367882.999999985</v>
      </c>
      <c r="Q1304" s="86">
        <v>7957</v>
      </c>
      <c r="R1304" s="87">
        <f t="shared" si="436"/>
        <v>7957</v>
      </c>
      <c r="T1304" s="87">
        <v>0</v>
      </c>
      <c r="U1304" s="89"/>
      <c r="V1304" s="89">
        <v>13564</v>
      </c>
      <c r="W1304" s="90"/>
      <c r="X1304" s="90">
        <v>0</v>
      </c>
      <c r="Y1304" s="90">
        <v>20405316.500000019</v>
      </c>
      <c r="Z1304" s="90">
        <v>9592</v>
      </c>
      <c r="AA1304" s="90">
        <v>6025</v>
      </c>
      <c r="AB1304" s="89">
        <f t="shared" ref="AB1304:AB1367" si="439">MAX(G1304,E1304,I1304,K1304)</f>
        <v>3545</v>
      </c>
      <c r="AC1304" s="89">
        <f t="shared" ref="AC1304:AC1367" si="440">MAX(M1304,O1304,Q1304,T1304)</f>
        <v>7957</v>
      </c>
      <c r="AD1304" s="89">
        <f t="shared" ref="AD1304:AD1367" si="441">MAX(V1304,X1304,Z1304)</f>
        <v>13564</v>
      </c>
      <c r="AE1304" s="90">
        <f t="shared" ref="AE1304:AE1366" si="442">IF(G1304&gt;0,G1304,IF(E1304&gt;0,E1304,IF(I1304&gt;0,I1304,K1304)))</f>
        <v>3545</v>
      </c>
      <c r="AF1304" s="90">
        <f t="shared" ref="AF1304:AF1367" si="443">IF(AE1304&gt;0,_xlfn.XLOOKUP(AE1304,$B1304:$K1304,$B$1:$K$1,,0),"")</f>
        <v>2013</v>
      </c>
      <c r="AG1304" s="90">
        <f t="shared" ref="AG1304:AG1367" si="444">IF(R1304&gt;0,R1304,IF(O1304&gt;0,O1304,T1304))</f>
        <v>7957</v>
      </c>
      <c r="AH1304" s="90">
        <f t="shared" ref="AH1304:AH1367" si="445">IF(AG1304&gt;0,_xlfn.XLOOKUP(AG1304,$L1304:$T1304,$L$1:$T$1,,0),"")</f>
        <v>2018</v>
      </c>
      <c r="AI1304" s="90">
        <f t="shared" ref="AI1304:AI1367" si="446">IF((IF(Z1304&gt;0,Z1304,IF(X1304&gt;0,X1304,IF(V1304&gt;0,V1304,T1304))))=0,AG1304,IF(Z1304&gt;0,Z1304,IF(X1304&gt;0,X1304,IF(V1304&gt;0,V1304,T1304))))</f>
        <v>9592</v>
      </c>
      <c r="AJ1304" s="90">
        <f t="shared" ref="AJ1304:AJ1367" si="447">IFERROR(IF(AI1304&gt;0,_xlfn.XLOOKUP(AI1304,$V1304:$Z1304,$V$1:$Z$1,,0),""),AH1304)</f>
        <v>2022</v>
      </c>
      <c r="AK1304" s="90" t="str">
        <f t="shared" ref="AK1304:AK1367" si="448">IF(AI1304&lt;AG1304,"Adjust","")</f>
        <v/>
      </c>
      <c r="AL1304" s="91">
        <f>IF(AK1304="Adjust",(_xlfn.XLOOKUP(A1304,'Adj factor'!A:A,'Adj factor'!I:I,,0)*AI1304),'Master DataSheet (Rev)'!AI1304)</f>
        <v>9592</v>
      </c>
      <c r="AM1304" s="91">
        <f t="shared" ref="AM1304:AM1367" si="449">IF(AL1304&lt;AG1304,AG1304,AL1304)</f>
        <v>9592</v>
      </c>
      <c r="AN1304" s="92" t="str">
        <f t="shared" ref="AN1304:AN1367" si="450">IF(AL1304&gt;AG1304,"Increasing",IF(AL1304&lt;AG1304,"Decreasing","No change"))</f>
        <v>Increasing</v>
      </c>
      <c r="AS1304" s="94">
        <f t="shared" ref="AS1304:AS1367" si="451">(AE1304*10000)/F1304</f>
        <v>2.2121994782391807</v>
      </c>
      <c r="AT1304" s="94">
        <f t="shared" ref="AT1304:AT1367" si="452">(AG1304*10000)/P1304</f>
        <v>4.3320180120920888</v>
      </c>
      <c r="AU1304" s="94">
        <f t="shared" si="437"/>
        <v>4.7007357126756606</v>
      </c>
      <c r="AV1304" s="94">
        <f t="shared" si="438"/>
        <v>4.7007357126756606</v>
      </c>
    </row>
    <row r="1305" spans="1:48" x14ac:dyDescent="0.3">
      <c r="A1305" s="85" t="str">
        <f>_xlfn.XLOOKUP(B1305,'Country codes &amp; Data sources'!G:G,'Country codes &amp; Data sources'!H:H,,0)</f>
        <v>Malawi</v>
      </c>
      <c r="B1305" s="85" t="s">
        <v>178</v>
      </c>
      <c r="C1305" s="85">
        <v>15581254.5</v>
      </c>
      <c r="D1305" s="85" t="s">
        <v>330</v>
      </c>
      <c r="E1305" s="86">
        <v>0</v>
      </c>
      <c r="F1305" s="86">
        <v>16024775.499999996</v>
      </c>
      <c r="G1305" s="86">
        <v>0</v>
      </c>
      <c r="H1305" s="86"/>
      <c r="I1305" s="86">
        <v>0</v>
      </c>
      <c r="J1305" s="86"/>
      <c r="K1305" s="86">
        <v>0</v>
      </c>
      <c r="L1305" s="86"/>
      <c r="M1305" s="86">
        <v>0</v>
      </c>
      <c r="N1305" s="86"/>
      <c r="O1305" s="86">
        <v>0</v>
      </c>
      <c r="P1305" s="86">
        <v>18367882.999999985</v>
      </c>
      <c r="Q1305" s="86">
        <v>1633</v>
      </c>
      <c r="R1305" s="87">
        <f t="shared" si="436"/>
        <v>1633</v>
      </c>
      <c r="T1305" s="87">
        <v>0</v>
      </c>
      <c r="U1305" s="89"/>
      <c r="V1305" s="89">
        <v>7483</v>
      </c>
      <c r="W1305" s="90"/>
      <c r="X1305" s="90">
        <v>0</v>
      </c>
      <c r="Y1305" s="90">
        <v>20405316.500000019</v>
      </c>
      <c r="Z1305" s="90">
        <v>2891</v>
      </c>
      <c r="AA1305" s="90">
        <v>1549</v>
      </c>
      <c r="AB1305" s="89">
        <f t="shared" si="439"/>
        <v>0</v>
      </c>
      <c r="AC1305" s="89">
        <f t="shared" si="440"/>
        <v>1633</v>
      </c>
      <c r="AD1305" s="89">
        <f t="shared" si="441"/>
        <v>7483</v>
      </c>
      <c r="AF1305" s="90" t="str">
        <f t="shared" si="443"/>
        <v/>
      </c>
      <c r="AG1305" s="90">
        <f t="shared" si="444"/>
        <v>1633</v>
      </c>
      <c r="AH1305" s="90">
        <f t="shared" si="445"/>
        <v>2018</v>
      </c>
      <c r="AI1305" s="90">
        <f t="shared" si="446"/>
        <v>2891</v>
      </c>
      <c r="AJ1305" s="90">
        <f t="shared" si="447"/>
        <v>2022</v>
      </c>
      <c r="AK1305" s="90" t="str">
        <f t="shared" si="448"/>
        <v/>
      </c>
      <c r="AL1305" s="91">
        <f>IF(AK1305="Adjust",(_xlfn.XLOOKUP(A1305,'Adj factor'!A:A,'Adj factor'!I:I,,0)*AI1305),'Master DataSheet (Rev)'!AI1305)</f>
        <v>2891</v>
      </c>
      <c r="AM1305" s="91">
        <f t="shared" si="449"/>
        <v>2891</v>
      </c>
      <c r="AN1305" s="92" t="str">
        <f t="shared" si="450"/>
        <v>Increasing</v>
      </c>
      <c r="AS1305" s="94">
        <f t="shared" si="451"/>
        <v>0</v>
      </c>
      <c r="AT1305" s="94">
        <f t="shared" si="452"/>
        <v>0.88905183030619328</v>
      </c>
      <c r="AU1305" s="94">
        <f t="shared" si="437"/>
        <v>1.4167876298316653</v>
      </c>
      <c r="AV1305" s="94">
        <f t="shared" si="438"/>
        <v>1.4167876298316653</v>
      </c>
    </row>
    <row r="1306" spans="1:48" x14ac:dyDescent="0.3">
      <c r="A1306" s="85" t="str">
        <f>_xlfn.XLOOKUP(B1306,'Country codes &amp; Data sources'!G:G,'Country codes &amp; Data sources'!H:H,,0)</f>
        <v>Malawi</v>
      </c>
      <c r="B1306" s="85" t="s">
        <v>178</v>
      </c>
      <c r="C1306" s="85">
        <v>15581255.5</v>
      </c>
      <c r="D1306" s="85" t="s">
        <v>331</v>
      </c>
      <c r="E1306" s="86">
        <v>0</v>
      </c>
      <c r="F1306" s="86">
        <v>16024775.499999996</v>
      </c>
      <c r="G1306" s="86">
        <v>0</v>
      </c>
      <c r="H1306" s="86"/>
      <c r="I1306" s="86">
        <v>0</v>
      </c>
      <c r="J1306" s="86"/>
      <c r="K1306" s="86">
        <v>0</v>
      </c>
      <c r="L1306" s="86"/>
      <c r="M1306" s="86">
        <v>0</v>
      </c>
      <c r="N1306" s="86"/>
      <c r="O1306" s="86">
        <v>0</v>
      </c>
      <c r="P1306" s="86">
        <v>18367882.999999985</v>
      </c>
      <c r="Q1306" s="86">
        <v>6324</v>
      </c>
      <c r="R1306" s="87">
        <f t="shared" si="436"/>
        <v>6324</v>
      </c>
      <c r="T1306" s="87">
        <v>0</v>
      </c>
      <c r="U1306" s="89"/>
      <c r="V1306" s="89">
        <v>6004</v>
      </c>
      <c r="W1306" s="90"/>
      <c r="X1306" s="90">
        <v>0</v>
      </c>
      <c r="Y1306" s="90">
        <v>20405316.500000019</v>
      </c>
      <c r="Z1306" s="90">
        <v>6474</v>
      </c>
      <c r="AA1306" s="90">
        <v>4476</v>
      </c>
      <c r="AB1306" s="89">
        <f t="shared" si="439"/>
        <v>0</v>
      </c>
      <c r="AC1306" s="89">
        <f t="shared" si="440"/>
        <v>6324</v>
      </c>
      <c r="AD1306" s="89">
        <f t="shared" si="441"/>
        <v>6474</v>
      </c>
      <c r="AF1306" s="90" t="str">
        <f t="shared" si="443"/>
        <v/>
      </c>
      <c r="AG1306" s="90">
        <f t="shared" si="444"/>
        <v>6324</v>
      </c>
      <c r="AH1306" s="90">
        <f t="shared" si="445"/>
        <v>2018</v>
      </c>
      <c r="AI1306" s="90">
        <f t="shared" si="446"/>
        <v>6474</v>
      </c>
      <c r="AJ1306" s="90">
        <f t="shared" si="447"/>
        <v>2022</v>
      </c>
      <c r="AK1306" s="90" t="str">
        <f t="shared" si="448"/>
        <v/>
      </c>
      <c r="AL1306" s="91">
        <f>IF(AK1306="Adjust",(_xlfn.XLOOKUP(A1306,'Adj factor'!A:A,'Adj factor'!I:I,,0)*AI1306),'Master DataSheet (Rev)'!AI1306)</f>
        <v>6474</v>
      </c>
      <c r="AM1306" s="91">
        <f t="shared" si="449"/>
        <v>6474</v>
      </c>
      <c r="AN1306" s="92" t="str">
        <f t="shared" si="450"/>
        <v>Increasing</v>
      </c>
      <c r="AS1306" s="94">
        <f t="shared" si="451"/>
        <v>0</v>
      </c>
      <c r="AT1306" s="94">
        <f t="shared" si="452"/>
        <v>3.442966181785895</v>
      </c>
      <c r="AU1306" s="94">
        <f t="shared" si="437"/>
        <v>3.1727025650398484</v>
      </c>
      <c r="AV1306" s="94">
        <f t="shared" si="438"/>
        <v>3.1727025650398484</v>
      </c>
    </row>
    <row r="1307" spans="1:48" x14ac:dyDescent="0.3">
      <c r="A1307" s="85" t="str">
        <f>_xlfn.XLOOKUP(B1307,'Country codes &amp; Data sources'!G:G,'Country codes &amp; Data sources'!H:H,,0)</f>
        <v>Malawi</v>
      </c>
      <c r="B1307" s="85" t="s">
        <v>178</v>
      </c>
      <c r="C1307" s="85">
        <v>15581256.5</v>
      </c>
      <c r="D1307" s="85" t="s">
        <v>332</v>
      </c>
      <c r="E1307" s="86">
        <v>0</v>
      </c>
      <c r="F1307" s="86">
        <v>16024775.499999996</v>
      </c>
      <c r="G1307" s="86">
        <v>48</v>
      </c>
      <c r="H1307" s="86"/>
      <c r="I1307" s="86">
        <v>0</v>
      </c>
      <c r="J1307" s="86"/>
      <c r="K1307" s="86">
        <v>0</v>
      </c>
      <c r="L1307" s="86"/>
      <c r="M1307" s="86">
        <v>568</v>
      </c>
      <c r="N1307" s="86"/>
      <c r="O1307" s="86">
        <v>0</v>
      </c>
      <c r="P1307" s="86">
        <v>18367882.999999985</v>
      </c>
      <c r="Q1307" s="86">
        <v>0</v>
      </c>
      <c r="R1307" s="87">
        <f t="shared" si="436"/>
        <v>0</v>
      </c>
      <c r="T1307" s="87">
        <v>0</v>
      </c>
      <c r="U1307" s="89"/>
      <c r="V1307" s="89">
        <v>0</v>
      </c>
      <c r="W1307" s="90"/>
      <c r="X1307" s="90">
        <v>0</v>
      </c>
      <c r="Y1307" s="90">
        <v>20405316.500000019</v>
      </c>
      <c r="Z1307" s="90">
        <v>616</v>
      </c>
      <c r="AA1307" s="90">
        <v>0</v>
      </c>
      <c r="AB1307" s="89">
        <f t="shared" si="439"/>
        <v>48</v>
      </c>
      <c r="AC1307" s="89">
        <f t="shared" si="440"/>
        <v>568</v>
      </c>
      <c r="AD1307" s="89">
        <f t="shared" si="441"/>
        <v>616</v>
      </c>
      <c r="AE1307" s="90">
        <f t="shared" si="442"/>
        <v>48</v>
      </c>
      <c r="AF1307" s="90">
        <f t="shared" si="443"/>
        <v>2013</v>
      </c>
      <c r="AH1307" s="90" t="str">
        <f t="shared" si="445"/>
        <v/>
      </c>
      <c r="AI1307" s="90">
        <f t="shared" si="446"/>
        <v>616</v>
      </c>
      <c r="AJ1307" s="90">
        <f t="shared" si="447"/>
        <v>2022</v>
      </c>
      <c r="AK1307" s="90" t="str">
        <f t="shared" si="448"/>
        <v/>
      </c>
      <c r="AL1307" s="91">
        <f>IF(AK1307="Adjust",(_xlfn.XLOOKUP(A1307,'Adj factor'!A:A,'Adj factor'!I:I,,0)*AI1307),'Master DataSheet (Rev)'!AI1307)</f>
        <v>616</v>
      </c>
      <c r="AM1307" s="91">
        <f t="shared" si="449"/>
        <v>616</v>
      </c>
      <c r="AN1307" s="92" t="str">
        <f t="shared" si="450"/>
        <v>Increasing</v>
      </c>
      <c r="AS1307" s="94">
        <f t="shared" si="451"/>
        <v>2.9953617758950828E-2</v>
      </c>
      <c r="AT1307" s="94">
        <f t="shared" si="452"/>
        <v>0</v>
      </c>
      <c r="AU1307" s="94">
        <f t="shared" si="437"/>
        <v>0.30188210998834514</v>
      </c>
      <c r="AV1307" s="94">
        <f t="shared" si="438"/>
        <v>0.30188210998834514</v>
      </c>
    </row>
    <row r="1308" spans="1:48" x14ac:dyDescent="0.3">
      <c r="A1308" s="85" t="str">
        <f>_xlfn.XLOOKUP(B1308,'Country codes &amp; Data sources'!G:G,'Country codes &amp; Data sources'!H:H,,0)</f>
        <v>Malawi</v>
      </c>
      <c r="B1308" s="85" t="s">
        <v>178</v>
      </c>
      <c r="C1308" s="85">
        <v>15581257.5</v>
      </c>
      <c r="D1308" s="85" t="s">
        <v>333</v>
      </c>
      <c r="E1308" s="86">
        <v>0</v>
      </c>
      <c r="F1308" s="86">
        <v>16024775.499999996</v>
      </c>
      <c r="G1308" s="86">
        <v>0</v>
      </c>
      <c r="H1308" s="86"/>
      <c r="I1308" s="86">
        <v>0</v>
      </c>
      <c r="J1308" s="86"/>
      <c r="K1308" s="86">
        <v>0</v>
      </c>
      <c r="L1308" s="86"/>
      <c r="M1308" s="86">
        <v>0</v>
      </c>
      <c r="N1308" s="86"/>
      <c r="O1308" s="86">
        <v>0</v>
      </c>
      <c r="P1308" s="86">
        <v>18367882.999999985</v>
      </c>
      <c r="Q1308" s="86">
        <v>0</v>
      </c>
      <c r="R1308" s="87">
        <f t="shared" si="436"/>
        <v>0</v>
      </c>
      <c r="T1308" s="87">
        <v>0</v>
      </c>
      <c r="U1308" s="89"/>
      <c r="V1308" s="89">
        <v>0</v>
      </c>
      <c r="W1308" s="90"/>
      <c r="X1308" s="90">
        <v>0</v>
      </c>
      <c r="Y1308" s="90">
        <v>20405316.500000019</v>
      </c>
      <c r="Z1308" s="90">
        <v>0</v>
      </c>
      <c r="AA1308" s="90">
        <v>0</v>
      </c>
      <c r="AB1308" s="89">
        <f t="shared" si="439"/>
        <v>0</v>
      </c>
      <c r="AC1308" s="89">
        <f t="shared" si="440"/>
        <v>0</v>
      </c>
      <c r="AD1308" s="89">
        <f t="shared" si="441"/>
        <v>0</v>
      </c>
      <c r="AF1308" s="90" t="str">
        <f t="shared" si="443"/>
        <v/>
      </c>
      <c r="AH1308" s="90" t="str">
        <f t="shared" si="445"/>
        <v/>
      </c>
      <c r="AI1308" s="90">
        <f t="shared" si="446"/>
        <v>0</v>
      </c>
      <c r="AJ1308" s="90" t="str">
        <f t="shared" si="447"/>
        <v/>
      </c>
      <c r="AK1308" s="90" t="str">
        <f t="shared" si="448"/>
        <v/>
      </c>
      <c r="AL1308" s="91"/>
      <c r="AM1308" s="91">
        <f t="shared" si="449"/>
        <v>0</v>
      </c>
      <c r="AN1308" s="92" t="str">
        <f t="shared" si="450"/>
        <v>No change</v>
      </c>
      <c r="AS1308" s="94">
        <f t="shared" si="451"/>
        <v>0</v>
      </c>
      <c r="AT1308" s="94">
        <f t="shared" si="452"/>
        <v>0</v>
      </c>
      <c r="AU1308" s="94">
        <f t="shared" si="437"/>
        <v>0</v>
      </c>
      <c r="AV1308" s="94">
        <f t="shared" si="438"/>
        <v>0</v>
      </c>
    </row>
    <row r="1309" spans="1:48" x14ac:dyDescent="0.3">
      <c r="A1309" s="85" t="str">
        <f>_xlfn.XLOOKUP(B1309,'Country codes &amp; Data sources'!G:G,'Country codes &amp; Data sources'!H:H,,0)</f>
        <v>Malawi</v>
      </c>
      <c r="B1309" s="85" t="s">
        <v>178</v>
      </c>
      <c r="C1309" s="85">
        <v>15581258.5</v>
      </c>
      <c r="D1309" s="85" t="s">
        <v>334</v>
      </c>
      <c r="E1309" s="86">
        <v>0</v>
      </c>
      <c r="F1309" s="86">
        <v>16024775.499999996</v>
      </c>
      <c r="G1309" s="86">
        <v>48</v>
      </c>
      <c r="H1309" s="86"/>
      <c r="I1309" s="86">
        <v>0</v>
      </c>
      <c r="J1309" s="86"/>
      <c r="K1309" s="86">
        <v>0</v>
      </c>
      <c r="L1309" s="86"/>
      <c r="M1309" s="86">
        <v>568</v>
      </c>
      <c r="N1309" s="86"/>
      <c r="O1309" s="86">
        <v>0</v>
      </c>
      <c r="P1309" s="86">
        <v>18367882.999999985</v>
      </c>
      <c r="Q1309" s="86">
        <v>0</v>
      </c>
      <c r="R1309" s="87">
        <f t="shared" si="436"/>
        <v>0</v>
      </c>
      <c r="T1309" s="87">
        <v>0</v>
      </c>
      <c r="U1309" s="89"/>
      <c r="V1309" s="89">
        <v>0</v>
      </c>
      <c r="W1309" s="90"/>
      <c r="X1309" s="90">
        <v>0</v>
      </c>
      <c r="Y1309" s="90">
        <v>20405316.500000019</v>
      </c>
      <c r="Z1309" s="90">
        <v>0</v>
      </c>
      <c r="AA1309" s="90">
        <v>0</v>
      </c>
      <c r="AB1309" s="89">
        <f t="shared" si="439"/>
        <v>48</v>
      </c>
      <c r="AC1309" s="89">
        <f t="shared" si="440"/>
        <v>568</v>
      </c>
      <c r="AD1309" s="89">
        <f t="shared" si="441"/>
        <v>0</v>
      </c>
      <c r="AE1309" s="90">
        <f t="shared" si="442"/>
        <v>48</v>
      </c>
      <c r="AF1309" s="90">
        <f t="shared" si="443"/>
        <v>2013</v>
      </c>
      <c r="AH1309" s="90" t="str">
        <f t="shared" si="445"/>
        <v/>
      </c>
      <c r="AI1309" s="90">
        <f t="shared" si="446"/>
        <v>0</v>
      </c>
      <c r="AJ1309" s="90" t="str">
        <f t="shared" si="447"/>
        <v/>
      </c>
      <c r="AK1309" s="90" t="str">
        <f t="shared" si="448"/>
        <v/>
      </c>
      <c r="AL1309" s="91"/>
      <c r="AM1309" s="91">
        <f t="shared" si="449"/>
        <v>0</v>
      </c>
      <c r="AN1309" s="92" t="str">
        <f t="shared" si="450"/>
        <v>No change</v>
      </c>
      <c r="AS1309" s="94">
        <f t="shared" si="451"/>
        <v>2.9953617758950828E-2</v>
      </c>
      <c r="AT1309" s="94">
        <f t="shared" si="452"/>
        <v>0</v>
      </c>
      <c r="AU1309" s="94">
        <f t="shared" si="437"/>
        <v>0</v>
      </c>
      <c r="AV1309" s="94">
        <f t="shared" si="438"/>
        <v>0</v>
      </c>
    </row>
    <row r="1310" spans="1:48" x14ac:dyDescent="0.3">
      <c r="A1310" s="85" t="str">
        <f>_xlfn.XLOOKUP(B1310,'Country codes &amp; Data sources'!G:G,'Country codes &amp; Data sources'!H:H,,0)</f>
        <v>Malawi</v>
      </c>
      <c r="B1310" s="85" t="s">
        <v>178</v>
      </c>
      <c r="C1310" s="85">
        <v>15581259.5</v>
      </c>
      <c r="D1310" s="85" t="s">
        <v>335</v>
      </c>
      <c r="E1310" s="86">
        <v>0</v>
      </c>
      <c r="F1310" s="86">
        <v>16024775.499999996</v>
      </c>
      <c r="G1310" s="86">
        <v>170</v>
      </c>
      <c r="H1310" s="86"/>
      <c r="I1310" s="86">
        <v>0</v>
      </c>
      <c r="J1310" s="86"/>
      <c r="K1310" s="86">
        <v>0</v>
      </c>
      <c r="L1310" s="86"/>
      <c r="M1310" s="86">
        <v>0</v>
      </c>
      <c r="N1310" s="86"/>
      <c r="O1310" s="86">
        <v>0</v>
      </c>
      <c r="P1310" s="86">
        <v>18367882.999999985</v>
      </c>
      <c r="Q1310" s="86">
        <v>387</v>
      </c>
      <c r="R1310" s="87">
        <f t="shared" si="436"/>
        <v>387</v>
      </c>
      <c r="T1310" s="87">
        <v>0</v>
      </c>
      <c r="U1310" s="89"/>
      <c r="V1310" s="89">
        <v>151</v>
      </c>
      <c r="W1310" s="90"/>
      <c r="X1310" s="90">
        <v>0</v>
      </c>
      <c r="Y1310" s="90">
        <v>20405316.500000019</v>
      </c>
      <c r="Z1310" s="90">
        <v>111</v>
      </c>
      <c r="AA1310" s="90">
        <v>111</v>
      </c>
      <c r="AB1310" s="89">
        <f t="shared" si="439"/>
        <v>170</v>
      </c>
      <c r="AC1310" s="89">
        <f t="shared" si="440"/>
        <v>387</v>
      </c>
      <c r="AD1310" s="89">
        <f t="shared" si="441"/>
        <v>151</v>
      </c>
      <c r="AE1310" s="90">
        <f t="shared" si="442"/>
        <v>170</v>
      </c>
      <c r="AF1310" s="90">
        <f t="shared" si="443"/>
        <v>2013</v>
      </c>
      <c r="AG1310" s="90">
        <f t="shared" si="444"/>
        <v>387</v>
      </c>
      <c r="AH1310" s="90">
        <f t="shared" si="445"/>
        <v>2018</v>
      </c>
      <c r="AI1310" s="90">
        <f t="shared" si="446"/>
        <v>111</v>
      </c>
      <c r="AJ1310" s="90">
        <f t="shared" si="447"/>
        <v>2022</v>
      </c>
      <c r="AK1310" s="90" t="str">
        <f t="shared" si="448"/>
        <v>Adjust</v>
      </c>
      <c r="AL1310" s="91">
        <f>IF(AK1310="Adjust",(_xlfn.XLOOKUP(A1310,'Adj factor'!A:A,'Adj factor'!I:I,,0)*AI1310),'Master DataSheet (Rev)'!AI1310)</f>
        <v>122.98752916224815</v>
      </c>
      <c r="AM1310" s="91">
        <f t="shared" si="449"/>
        <v>387</v>
      </c>
      <c r="AN1310" s="92" t="str">
        <f t="shared" si="450"/>
        <v>Decreasing</v>
      </c>
      <c r="AS1310" s="94">
        <f t="shared" si="451"/>
        <v>0.10608572956295084</v>
      </c>
      <c r="AT1310" s="94">
        <f t="shared" si="452"/>
        <v>0.21069385078291294</v>
      </c>
      <c r="AU1310" s="94">
        <f t="shared" si="437"/>
        <v>6.0272296762585401E-2</v>
      </c>
      <c r="AV1310" s="94">
        <f t="shared" si="438"/>
        <v>0.18965645546345711</v>
      </c>
    </row>
    <row r="1311" spans="1:48" x14ac:dyDescent="0.3">
      <c r="A1311" s="85" t="str">
        <f>_xlfn.XLOOKUP(B1311,'Country codes &amp; Data sources'!G:G,'Country codes &amp; Data sources'!H:H,,0)</f>
        <v>Malawi</v>
      </c>
      <c r="B1311" s="85" t="s">
        <v>178</v>
      </c>
      <c r="C1311" s="85">
        <v>15581260.5</v>
      </c>
      <c r="D1311" s="85" t="s">
        <v>336</v>
      </c>
      <c r="E1311" s="86">
        <v>0</v>
      </c>
      <c r="F1311" s="86">
        <v>16024775.499999996</v>
      </c>
      <c r="G1311" s="86">
        <v>0</v>
      </c>
      <c r="H1311" s="86"/>
      <c r="I1311" s="86">
        <v>0</v>
      </c>
      <c r="J1311" s="86"/>
      <c r="K1311" s="86">
        <v>0</v>
      </c>
      <c r="L1311" s="86"/>
      <c r="M1311" s="86">
        <v>218</v>
      </c>
      <c r="N1311" s="86"/>
      <c r="O1311" s="86">
        <v>0</v>
      </c>
      <c r="P1311" s="86">
        <v>18367882.999999985</v>
      </c>
      <c r="Q1311" s="86">
        <v>234</v>
      </c>
      <c r="R1311" s="87">
        <f t="shared" si="436"/>
        <v>276</v>
      </c>
      <c r="T1311" s="87">
        <v>0</v>
      </c>
      <c r="U1311" s="89"/>
      <c r="V1311" s="89">
        <v>600</v>
      </c>
      <c r="W1311" s="90"/>
      <c r="X1311" s="90">
        <v>0</v>
      </c>
      <c r="Y1311" s="90">
        <v>20405316.500000019</v>
      </c>
      <c r="Z1311" s="90">
        <v>710</v>
      </c>
      <c r="AA1311" s="90">
        <v>276</v>
      </c>
      <c r="AB1311" s="89">
        <f t="shared" si="439"/>
        <v>0</v>
      </c>
      <c r="AC1311" s="89">
        <f t="shared" si="440"/>
        <v>234</v>
      </c>
      <c r="AD1311" s="89">
        <f t="shared" si="441"/>
        <v>710</v>
      </c>
      <c r="AF1311" s="90" t="str">
        <f t="shared" si="443"/>
        <v/>
      </c>
      <c r="AG1311" s="90">
        <f t="shared" si="444"/>
        <v>276</v>
      </c>
      <c r="AH1311" s="90" t="str">
        <f t="shared" si="445"/>
        <v>2018 (triag)</v>
      </c>
      <c r="AI1311" s="90">
        <f t="shared" si="446"/>
        <v>710</v>
      </c>
      <c r="AJ1311" s="90">
        <f t="shared" si="447"/>
        <v>2022</v>
      </c>
      <c r="AK1311" s="90" t="str">
        <f t="shared" si="448"/>
        <v/>
      </c>
      <c r="AL1311" s="91">
        <f>IF(AK1311="Adjust",(_xlfn.XLOOKUP(A1311,'Adj factor'!A:A,'Adj factor'!I:I,,0)*AI1311),'Master DataSheet (Rev)'!AI1311)</f>
        <v>710</v>
      </c>
      <c r="AM1311" s="91">
        <f t="shared" si="449"/>
        <v>710</v>
      </c>
      <c r="AN1311" s="92" t="str">
        <f t="shared" si="450"/>
        <v>Increasing</v>
      </c>
      <c r="AS1311" s="94">
        <f t="shared" si="451"/>
        <v>0</v>
      </c>
      <c r="AT1311" s="94">
        <f t="shared" si="452"/>
        <v>0.15026228117851154</v>
      </c>
      <c r="AU1311" s="94">
        <f t="shared" si="437"/>
        <v>0.34794853586319002</v>
      </c>
      <c r="AV1311" s="94">
        <f t="shared" si="438"/>
        <v>0.34794853586319002</v>
      </c>
    </row>
    <row r="1312" spans="1:48" x14ac:dyDescent="0.3">
      <c r="A1312" s="85" t="str">
        <f>_xlfn.XLOOKUP(B1312,'Country codes &amp; Data sources'!G:G,'Country codes &amp; Data sources'!H:H,,0)</f>
        <v>Malawi</v>
      </c>
      <c r="B1312" s="85" t="s">
        <v>178</v>
      </c>
      <c r="C1312" s="85">
        <v>15581261.5</v>
      </c>
      <c r="D1312" s="85" t="s">
        <v>337</v>
      </c>
      <c r="E1312" s="86">
        <v>0</v>
      </c>
      <c r="F1312" s="86">
        <v>16024775.499999996</v>
      </c>
      <c r="G1312" s="86">
        <v>0</v>
      </c>
      <c r="H1312" s="86"/>
      <c r="I1312" s="86">
        <v>0</v>
      </c>
      <c r="J1312" s="86"/>
      <c r="K1312" s="86">
        <v>0</v>
      </c>
      <c r="L1312" s="86"/>
      <c r="M1312" s="86">
        <v>0</v>
      </c>
      <c r="N1312" s="86"/>
      <c r="O1312" s="86">
        <v>0</v>
      </c>
      <c r="P1312" s="86">
        <v>18367882.999999985</v>
      </c>
      <c r="Q1312" s="86">
        <v>112</v>
      </c>
      <c r="R1312" s="87">
        <f t="shared" si="436"/>
        <v>112</v>
      </c>
      <c r="T1312" s="87">
        <v>0</v>
      </c>
      <c r="U1312" s="89"/>
      <c r="V1312" s="89">
        <v>149</v>
      </c>
      <c r="W1312" s="90"/>
      <c r="X1312" s="90">
        <v>0</v>
      </c>
      <c r="Y1312" s="90">
        <v>20405316.500000019</v>
      </c>
      <c r="Z1312" s="90">
        <v>91</v>
      </c>
      <c r="AA1312" s="90">
        <v>36</v>
      </c>
      <c r="AB1312" s="89">
        <f t="shared" si="439"/>
        <v>0</v>
      </c>
      <c r="AC1312" s="89">
        <f t="shared" si="440"/>
        <v>112</v>
      </c>
      <c r="AD1312" s="89">
        <f t="shared" si="441"/>
        <v>149</v>
      </c>
      <c r="AF1312" s="90" t="str">
        <f t="shared" si="443"/>
        <v/>
      </c>
      <c r="AG1312" s="90">
        <f t="shared" si="444"/>
        <v>112</v>
      </c>
      <c r="AH1312" s="90">
        <f t="shared" si="445"/>
        <v>2018</v>
      </c>
      <c r="AI1312" s="90">
        <f t="shared" si="446"/>
        <v>91</v>
      </c>
      <c r="AJ1312" s="90">
        <f t="shared" si="447"/>
        <v>2022</v>
      </c>
      <c r="AK1312" s="90" t="str">
        <f t="shared" si="448"/>
        <v>Adjust</v>
      </c>
      <c r="AL1312" s="91">
        <f>IF(AK1312="Adjust",(_xlfn.XLOOKUP(A1312,'Adj factor'!A:A,'Adj factor'!I:I,,0)*AI1312),'Master DataSheet (Rev)'!AI1312)</f>
        <v>100.82761399787913</v>
      </c>
      <c r="AM1312" s="91">
        <f t="shared" si="449"/>
        <v>112</v>
      </c>
      <c r="AN1312" s="92" t="str">
        <f t="shared" si="450"/>
        <v>Decreasing</v>
      </c>
      <c r="AS1312" s="94">
        <f t="shared" si="451"/>
        <v>0</v>
      </c>
      <c r="AT1312" s="94">
        <f t="shared" si="452"/>
        <v>6.0975998159395993E-2</v>
      </c>
      <c r="AU1312" s="94">
        <f t="shared" si="437"/>
        <v>4.9412423472029475E-2</v>
      </c>
      <c r="AV1312" s="94">
        <f t="shared" si="438"/>
        <v>5.4887656361517302E-2</v>
      </c>
    </row>
    <row r="1313" spans="1:48" x14ac:dyDescent="0.3">
      <c r="A1313" s="85" t="str">
        <f>_xlfn.XLOOKUP(B1313,'Country codes &amp; Data sources'!G:G,'Country codes &amp; Data sources'!H:H,,0)</f>
        <v>Malawi</v>
      </c>
      <c r="B1313" s="85" t="s">
        <v>178</v>
      </c>
      <c r="C1313" s="85">
        <v>15581262.5</v>
      </c>
      <c r="D1313" s="85" t="s">
        <v>338</v>
      </c>
      <c r="E1313" s="86">
        <v>0</v>
      </c>
      <c r="F1313" s="86">
        <v>16024775.499999996</v>
      </c>
      <c r="G1313" s="86">
        <v>0</v>
      </c>
      <c r="H1313" s="86"/>
      <c r="I1313" s="86">
        <v>0</v>
      </c>
      <c r="J1313" s="86"/>
      <c r="K1313" s="86">
        <v>0</v>
      </c>
      <c r="L1313" s="86"/>
      <c r="M1313" s="86">
        <v>0</v>
      </c>
      <c r="N1313" s="86"/>
      <c r="O1313" s="86">
        <v>0</v>
      </c>
      <c r="P1313" s="86">
        <v>18367882.999999985</v>
      </c>
      <c r="Q1313" s="86">
        <v>0</v>
      </c>
      <c r="R1313" s="87">
        <f t="shared" si="436"/>
        <v>76</v>
      </c>
      <c r="T1313" s="87">
        <v>0</v>
      </c>
      <c r="U1313" s="89"/>
      <c r="V1313" s="89">
        <v>204</v>
      </c>
      <c r="W1313" s="90"/>
      <c r="X1313" s="90">
        <v>0</v>
      </c>
      <c r="Y1313" s="90">
        <v>20405316.500000019</v>
      </c>
      <c r="Z1313" s="90">
        <v>173</v>
      </c>
      <c r="AA1313" s="90">
        <v>76</v>
      </c>
      <c r="AB1313" s="89">
        <f t="shared" si="439"/>
        <v>0</v>
      </c>
      <c r="AC1313" s="89">
        <f t="shared" si="440"/>
        <v>0</v>
      </c>
      <c r="AD1313" s="89">
        <f t="shared" si="441"/>
        <v>204</v>
      </c>
      <c r="AF1313" s="90" t="str">
        <f t="shared" si="443"/>
        <v/>
      </c>
      <c r="AG1313" s="90">
        <f t="shared" si="444"/>
        <v>76</v>
      </c>
      <c r="AH1313" s="90" t="str">
        <f t="shared" si="445"/>
        <v>2018 (triag)</v>
      </c>
      <c r="AI1313" s="90">
        <f t="shared" si="446"/>
        <v>173</v>
      </c>
      <c r="AJ1313" s="90">
        <f t="shared" si="447"/>
        <v>2022</v>
      </c>
      <c r="AK1313" s="90" t="str">
        <f t="shared" si="448"/>
        <v/>
      </c>
      <c r="AL1313" s="91">
        <f>IF(AK1313="Adjust",(_xlfn.XLOOKUP(A1313,'Adj factor'!A:A,'Adj factor'!I:I,,0)*AI1313),'Master DataSheet (Rev)'!AI1313)</f>
        <v>173</v>
      </c>
      <c r="AM1313" s="91">
        <f t="shared" si="449"/>
        <v>173</v>
      </c>
      <c r="AN1313" s="92" t="str">
        <f t="shared" si="450"/>
        <v>Increasing</v>
      </c>
      <c r="AS1313" s="94">
        <f t="shared" si="451"/>
        <v>0</v>
      </c>
      <c r="AT1313" s="94">
        <f t="shared" si="452"/>
        <v>4.1376570179590136E-2</v>
      </c>
      <c r="AU1313" s="94">
        <f t="shared" si="437"/>
        <v>8.478182634412941E-2</v>
      </c>
      <c r="AV1313" s="94">
        <f t="shared" si="438"/>
        <v>8.478182634412941E-2</v>
      </c>
    </row>
    <row r="1314" spans="1:48" x14ac:dyDescent="0.3">
      <c r="A1314" s="85" t="str">
        <f>_xlfn.XLOOKUP(B1314,'Country codes &amp; Data sources'!G:G,'Country codes &amp; Data sources'!H:H,,0)</f>
        <v>Malawi</v>
      </c>
      <c r="B1314" s="85" t="s">
        <v>178</v>
      </c>
      <c r="C1314" s="85">
        <v>15581263.5</v>
      </c>
      <c r="D1314" s="85" t="s">
        <v>339</v>
      </c>
      <c r="E1314" s="86">
        <v>0</v>
      </c>
      <c r="F1314" s="86">
        <v>16024775.499999996</v>
      </c>
      <c r="G1314" s="86">
        <v>0</v>
      </c>
      <c r="H1314" s="86"/>
      <c r="I1314" s="86">
        <v>0</v>
      </c>
      <c r="J1314" s="86"/>
      <c r="K1314" s="86">
        <v>0</v>
      </c>
      <c r="L1314" s="86"/>
      <c r="M1314" s="86">
        <v>0</v>
      </c>
      <c r="N1314" s="86"/>
      <c r="O1314" s="86">
        <v>0</v>
      </c>
      <c r="P1314" s="86">
        <v>18367882.999999985</v>
      </c>
      <c r="Q1314" s="86">
        <v>0</v>
      </c>
      <c r="R1314" s="87">
        <f t="shared" si="436"/>
        <v>0</v>
      </c>
      <c r="T1314" s="87">
        <v>0</v>
      </c>
      <c r="U1314" s="89"/>
      <c r="V1314" s="89">
        <v>0</v>
      </c>
      <c r="W1314" s="90"/>
      <c r="X1314" s="90">
        <v>0</v>
      </c>
      <c r="Y1314" s="90">
        <v>20405316.500000019</v>
      </c>
      <c r="Z1314" s="90">
        <v>11</v>
      </c>
      <c r="AA1314" s="90">
        <v>0</v>
      </c>
      <c r="AB1314" s="89">
        <f t="shared" si="439"/>
        <v>0</v>
      </c>
      <c r="AC1314" s="89">
        <f t="shared" si="440"/>
        <v>0</v>
      </c>
      <c r="AD1314" s="89">
        <f t="shared" si="441"/>
        <v>11</v>
      </c>
      <c r="AF1314" s="90" t="str">
        <f t="shared" si="443"/>
        <v/>
      </c>
      <c r="AH1314" s="90" t="str">
        <f t="shared" si="445"/>
        <v/>
      </c>
      <c r="AI1314" s="90">
        <f t="shared" si="446"/>
        <v>11</v>
      </c>
      <c r="AJ1314" s="90">
        <f t="shared" si="447"/>
        <v>2022</v>
      </c>
      <c r="AK1314" s="90" t="str">
        <f t="shared" si="448"/>
        <v/>
      </c>
      <c r="AL1314" s="91">
        <f>IF(AK1314="Adjust",(_xlfn.XLOOKUP(A1314,'Adj factor'!A:A,'Adj factor'!I:I,,0)*AI1314),'Master DataSheet (Rev)'!AI1314)</f>
        <v>11</v>
      </c>
      <c r="AM1314" s="91">
        <f t="shared" si="449"/>
        <v>11</v>
      </c>
      <c r="AN1314" s="92" t="str">
        <f t="shared" si="450"/>
        <v>Increasing</v>
      </c>
      <c r="AS1314" s="94">
        <f t="shared" si="451"/>
        <v>0</v>
      </c>
      <c r="AT1314" s="94">
        <f t="shared" si="452"/>
        <v>0</v>
      </c>
      <c r="AU1314" s="94">
        <f t="shared" si="437"/>
        <v>5.3907519640775921E-3</v>
      </c>
      <c r="AV1314" s="94">
        <f t="shared" si="438"/>
        <v>5.3907519640775921E-3</v>
      </c>
    </row>
    <row r="1315" spans="1:48" ht="14.5" x14ac:dyDescent="0.35">
      <c r="A1315" s="85" t="str">
        <f>_xlfn.XLOOKUP(B1315,'Country codes &amp; Data sources'!G:G,'Country codes &amp; Data sources'!H:H,,0)</f>
        <v>Namibia</v>
      </c>
      <c r="B1315" s="85" t="s">
        <v>182</v>
      </c>
      <c r="C1315" s="85">
        <v>2167470.0000000023</v>
      </c>
      <c r="D1315" s="85" t="s">
        <v>326</v>
      </c>
      <c r="E1315" s="86">
        <v>0</v>
      </c>
      <c r="F1315" s="86">
        <v>2204510.0000000005</v>
      </c>
      <c r="G1315" s="86">
        <v>0</v>
      </c>
      <c r="H1315" s="86">
        <v>2243000.9999999991</v>
      </c>
      <c r="I1315" s="86">
        <v>0</v>
      </c>
      <c r="J1315" s="86">
        <v>2282703.9999999995</v>
      </c>
      <c r="K1315" s="86">
        <v>0</v>
      </c>
      <c r="L1315" s="86">
        <v>2323352</v>
      </c>
      <c r="M1315" s="86">
        <v>0</v>
      </c>
      <c r="N1315" s="86">
        <v>2364533.5000000009</v>
      </c>
      <c r="O1315" s="86">
        <v>1421</v>
      </c>
      <c r="P1315" s="86">
        <v>2405680.5000000005</v>
      </c>
      <c r="Q1315" s="86">
        <v>806</v>
      </c>
      <c r="R1315" s="87">
        <f t="shared" si="436"/>
        <v>1445</v>
      </c>
      <c r="S1315" s="87">
        <v>2446644.4999999977</v>
      </c>
      <c r="T1315" s="87">
        <v>900</v>
      </c>
      <c r="U1315" s="89">
        <v>2489097.9999999991</v>
      </c>
      <c r="V1315" s="89">
        <v>1036</v>
      </c>
      <c r="W1315" s="90">
        <v>2530150.5000000014</v>
      </c>
      <c r="X1315" s="90">
        <v>1181</v>
      </c>
      <c r="Y1315" s="90">
        <v>2567012.4999999995</v>
      </c>
      <c r="Z1315" s="111">
        <f>1098+499</f>
        <v>1597</v>
      </c>
      <c r="AA1315" s="90">
        <v>1445</v>
      </c>
      <c r="AB1315" s="89">
        <f t="shared" si="439"/>
        <v>0</v>
      </c>
      <c r="AC1315" s="89">
        <f t="shared" si="440"/>
        <v>1421</v>
      </c>
      <c r="AD1315" s="89">
        <f t="shared" si="441"/>
        <v>1597</v>
      </c>
      <c r="AF1315" s="90" t="str">
        <f t="shared" si="443"/>
        <v/>
      </c>
      <c r="AG1315" s="90">
        <f t="shared" si="444"/>
        <v>1445</v>
      </c>
      <c r="AH1315" s="90" t="str">
        <f t="shared" si="445"/>
        <v>2018 (triag)</v>
      </c>
      <c r="AI1315" s="90">
        <f t="shared" si="446"/>
        <v>1597</v>
      </c>
      <c r="AJ1315" s="90">
        <f t="shared" si="447"/>
        <v>2022</v>
      </c>
      <c r="AK1315" s="90" t="str">
        <f t="shared" si="448"/>
        <v/>
      </c>
      <c r="AL1315" s="91">
        <f>IF(AK1315="Adjust",(_xlfn.XLOOKUP(A1315,'Adj factor'!A:A,'Adj factor'!I:I,,0)*AI1315),'Master DataSheet (Rev)'!AI1315)</f>
        <v>1597</v>
      </c>
      <c r="AM1315" s="91">
        <f t="shared" si="449"/>
        <v>1597</v>
      </c>
      <c r="AN1315" s="92" t="str">
        <f t="shared" si="450"/>
        <v>Increasing</v>
      </c>
      <c r="AS1315" s="94">
        <f t="shared" si="451"/>
        <v>0</v>
      </c>
      <c r="AT1315" s="94">
        <f t="shared" si="452"/>
        <v>6.0066164230869381</v>
      </c>
      <c r="AU1315" s="94">
        <f t="shared" si="437"/>
        <v>6.2212396706287967</v>
      </c>
      <c r="AV1315" s="94">
        <f t="shared" si="438"/>
        <v>6.2212396706287967</v>
      </c>
    </row>
    <row r="1316" spans="1:48" x14ac:dyDescent="0.3">
      <c r="A1316" s="85" t="str">
        <f>_xlfn.XLOOKUP(B1316,'Country codes &amp; Data sources'!G:G,'Country codes &amp; Data sources'!H:H,,0)</f>
        <v>Namibia</v>
      </c>
      <c r="B1316" s="85" t="s">
        <v>182</v>
      </c>
      <c r="C1316" s="85">
        <v>2167471</v>
      </c>
      <c r="D1316" s="85" t="s">
        <v>327</v>
      </c>
      <c r="E1316" s="86">
        <v>0</v>
      </c>
      <c r="F1316" s="86">
        <v>2204510.0000000005</v>
      </c>
      <c r="G1316" s="86">
        <v>0</v>
      </c>
      <c r="H1316" s="86"/>
      <c r="I1316" s="86">
        <v>0</v>
      </c>
      <c r="J1316" s="86"/>
      <c r="K1316" s="86">
        <v>0</v>
      </c>
      <c r="L1316" s="86"/>
      <c r="M1316" s="86">
        <v>0</v>
      </c>
      <c r="N1316" s="86"/>
      <c r="O1316" s="86">
        <v>0</v>
      </c>
      <c r="P1316" s="86">
        <v>2405680.5000000005</v>
      </c>
      <c r="Q1316" s="86">
        <v>806</v>
      </c>
      <c r="R1316" s="87">
        <f t="shared" si="436"/>
        <v>1044</v>
      </c>
      <c r="T1316" s="87">
        <v>900</v>
      </c>
      <c r="U1316" s="89"/>
      <c r="V1316" s="89">
        <v>1036</v>
      </c>
      <c r="W1316" s="90"/>
      <c r="X1316" s="90">
        <v>1181</v>
      </c>
      <c r="Y1316" s="90">
        <v>2567012.4999999995</v>
      </c>
      <c r="Z1316" s="90">
        <v>1336</v>
      </c>
      <c r="AA1316" s="90">
        <v>1044</v>
      </c>
      <c r="AB1316" s="89">
        <f t="shared" si="439"/>
        <v>0</v>
      </c>
      <c r="AC1316" s="89">
        <f t="shared" si="440"/>
        <v>900</v>
      </c>
      <c r="AD1316" s="89">
        <f t="shared" si="441"/>
        <v>1336</v>
      </c>
      <c r="AF1316" s="90" t="str">
        <f t="shared" si="443"/>
        <v/>
      </c>
      <c r="AG1316" s="90">
        <f t="shared" si="444"/>
        <v>1044</v>
      </c>
      <c r="AH1316" s="90" t="str">
        <f t="shared" si="445"/>
        <v>2018 (triag)</v>
      </c>
      <c r="AI1316" s="90">
        <f t="shared" si="446"/>
        <v>1336</v>
      </c>
      <c r="AJ1316" s="90">
        <f t="shared" si="447"/>
        <v>2022</v>
      </c>
      <c r="AK1316" s="90" t="str">
        <f t="shared" si="448"/>
        <v/>
      </c>
      <c r="AL1316" s="91">
        <f>IF(AK1316="Adjust",(_xlfn.XLOOKUP(A1316,'Adj factor'!A:A,'Adj factor'!I:I,,0)*AI1316),'Master DataSheet (Rev)'!AI1316)</f>
        <v>1336</v>
      </c>
      <c r="AM1316" s="91">
        <f t="shared" si="449"/>
        <v>1336</v>
      </c>
      <c r="AN1316" s="92" t="str">
        <f t="shared" si="450"/>
        <v>Increasing</v>
      </c>
      <c r="AS1316" s="94">
        <f t="shared" si="451"/>
        <v>0</v>
      </c>
      <c r="AT1316" s="94">
        <f t="shared" si="452"/>
        <v>4.3397284053306322</v>
      </c>
      <c r="AU1316" s="94">
        <f t="shared" si="437"/>
        <v>5.2044935503820113</v>
      </c>
      <c r="AV1316" s="94">
        <f t="shared" si="438"/>
        <v>5.2044935503820113</v>
      </c>
    </row>
    <row r="1317" spans="1:48" x14ac:dyDescent="0.3">
      <c r="A1317" s="85" t="str">
        <f>_xlfn.XLOOKUP(B1317,'Country codes &amp; Data sources'!G:G,'Country codes &amp; Data sources'!H:H,,0)</f>
        <v>Namibia</v>
      </c>
      <c r="B1317" s="85" t="s">
        <v>182</v>
      </c>
      <c r="C1317" s="85">
        <v>2167472</v>
      </c>
      <c r="D1317" s="85" t="s">
        <v>328</v>
      </c>
      <c r="E1317" s="86">
        <v>0</v>
      </c>
      <c r="F1317" s="86">
        <v>2204510.0000000005</v>
      </c>
      <c r="G1317" s="86">
        <v>0</v>
      </c>
      <c r="H1317" s="86"/>
      <c r="I1317" s="86">
        <v>0</v>
      </c>
      <c r="J1317" s="86"/>
      <c r="K1317" s="86">
        <v>0</v>
      </c>
      <c r="L1317" s="86"/>
      <c r="M1317" s="86">
        <v>0</v>
      </c>
      <c r="N1317" s="86"/>
      <c r="O1317" s="86">
        <v>0</v>
      </c>
      <c r="P1317" s="86">
        <v>2405680.5000000005</v>
      </c>
      <c r="Q1317" s="86">
        <v>0</v>
      </c>
      <c r="R1317" s="87">
        <f t="shared" si="436"/>
        <v>401</v>
      </c>
      <c r="T1317" s="87">
        <v>0</v>
      </c>
      <c r="U1317" s="89"/>
      <c r="V1317" s="89">
        <v>0</v>
      </c>
      <c r="W1317" s="90"/>
      <c r="X1317" s="90">
        <v>0</v>
      </c>
      <c r="Y1317" s="90">
        <v>2567012.4999999995</v>
      </c>
      <c r="Z1317" s="90">
        <v>58</v>
      </c>
      <c r="AA1317" s="90">
        <v>401</v>
      </c>
      <c r="AB1317" s="89">
        <f t="shared" si="439"/>
        <v>0</v>
      </c>
      <c r="AC1317" s="89">
        <f t="shared" si="440"/>
        <v>0</v>
      </c>
      <c r="AD1317" s="89">
        <f t="shared" si="441"/>
        <v>58</v>
      </c>
      <c r="AF1317" s="90" t="str">
        <f t="shared" si="443"/>
        <v/>
      </c>
      <c r="AG1317" s="90">
        <f t="shared" si="444"/>
        <v>401</v>
      </c>
      <c r="AH1317" s="90" t="str">
        <f t="shared" si="445"/>
        <v>2018 (triag)</v>
      </c>
      <c r="AI1317" s="90">
        <f t="shared" si="446"/>
        <v>58</v>
      </c>
      <c r="AJ1317" s="90">
        <f t="shared" si="447"/>
        <v>2022</v>
      </c>
      <c r="AK1317" s="90" t="str">
        <f t="shared" si="448"/>
        <v>Adjust</v>
      </c>
      <c r="AL1317" s="91">
        <f>IF(AK1317="Adjust",(_xlfn.XLOOKUP(A1317,'Adj factor'!A:A,'Adj factor'!I:I,,0)*AI1317),'Master DataSheet (Rev)'!AI1317)</f>
        <v>87.857332293291734</v>
      </c>
      <c r="AM1317" s="91">
        <f t="shared" si="449"/>
        <v>401</v>
      </c>
      <c r="AN1317" s="92" t="str">
        <f t="shared" si="450"/>
        <v>Decreasing</v>
      </c>
      <c r="AS1317" s="94">
        <f t="shared" si="451"/>
        <v>0</v>
      </c>
      <c r="AT1317" s="94">
        <f t="shared" si="452"/>
        <v>1.6668880177563061</v>
      </c>
      <c r="AU1317" s="94">
        <f t="shared" si="437"/>
        <v>0.34225517909745962</v>
      </c>
      <c r="AV1317" s="94">
        <f t="shared" si="438"/>
        <v>1.5621271809155588</v>
      </c>
    </row>
    <row r="1318" spans="1:48" ht="14.5" x14ac:dyDescent="0.35">
      <c r="A1318" s="85" t="str">
        <f>_xlfn.XLOOKUP(B1318,'Country codes &amp; Data sources'!G:G,'Country codes &amp; Data sources'!H:H,,0)</f>
        <v>Namibia</v>
      </c>
      <c r="B1318" s="85" t="s">
        <v>182</v>
      </c>
      <c r="C1318" s="85">
        <v>2167473</v>
      </c>
      <c r="D1318" s="85" t="s">
        <v>329</v>
      </c>
      <c r="E1318" s="86">
        <v>0</v>
      </c>
      <c r="F1318" s="86">
        <v>2204510.0000000005</v>
      </c>
      <c r="G1318" s="86">
        <v>4110</v>
      </c>
      <c r="H1318" s="86"/>
      <c r="I1318" s="86">
        <v>4212</v>
      </c>
      <c r="J1318" s="86"/>
      <c r="K1318" s="86">
        <v>4365</v>
      </c>
      <c r="L1318" s="86"/>
      <c r="M1318" s="86">
        <v>4816</v>
      </c>
      <c r="N1318" s="86"/>
      <c r="O1318" s="86">
        <v>4853</v>
      </c>
      <c r="P1318" s="86">
        <v>2405680.5000000005</v>
      </c>
      <c r="Q1318" s="86">
        <v>5307</v>
      </c>
      <c r="R1318" s="87">
        <f t="shared" si="436"/>
        <v>12956</v>
      </c>
      <c r="T1318" s="87">
        <v>5903</v>
      </c>
      <c r="U1318" s="89"/>
      <c r="V1318" s="89">
        <v>6440</v>
      </c>
      <c r="W1318" s="90"/>
      <c r="X1318" s="90">
        <v>7166</v>
      </c>
      <c r="Y1318" s="90">
        <v>2567012.4999999995</v>
      </c>
      <c r="Z1318" s="111">
        <f>405+640+2749+114+180+535+758+741+4148+1</f>
        <v>10271</v>
      </c>
      <c r="AA1318" s="90">
        <v>12956</v>
      </c>
      <c r="AB1318" s="89">
        <f t="shared" si="439"/>
        <v>4365</v>
      </c>
      <c r="AC1318" s="89">
        <f t="shared" si="440"/>
        <v>5903</v>
      </c>
      <c r="AD1318" s="89">
        <f t="shared" si="441"/>
        <v>10271</v>
      </c>
      <c r="AE1318" s="90">
        <f t="shared" si="442"/>
        <v>4110</v>
      </c>
      <c r="AF1318" s="90">
        <f t="shared" si="443"/>
        <v>2013</v>
      </c>
      <c r="AG1318" s="90">
        <f t="shared" si="444"/>
        <v>12956</v>
      </c>
      <c r="AH1318" s="90" t="str">
        <f t="shared" si="445"/>
        <v>2018 (triag)</v>
      </c>
      <c r="AI1318" s="90">
        <f t="shared" si="446"/>
        <v>10271</v>
      </c>
      <c r="AJ1318" s="90">
        <f t="shared" si="447"/>
        <v>2022</v>
      </c>
      <c r="AK1318" s="90" t="str">
        <f t="shared" si="448"/>
        <v>Adjust</v>
      </c>
      <c r="AL1318" s="91">
        <f>IF(AK1318="Adjust",(_xlfn.XLOOKUP(A1318,'Adj factor'!A:A,'Adj factor'!I:I,,0)*AI1318),'Master DataSheet (Rev)'!AI1318)</f>
        <v>15558.321723868956</v>
      </c>
      <c r="AM1318" s="91">
        <f t="shared" si="449"/>
        <v>15558.321723868956</v>
      </c>
      <c r="AN1318" s="92" t="str">
        <f t="shared" si="450"/>
        <v>Increasing</v>
      </c>
      <c r="AS1318" s="94">
        <f t="shared" si="451"/>
        <v>18.643598804269427</v>
      </c>
      <c r="AT1318" s="94">
        <f t="shared" si="452"/>
        <v>53.855863237034164</v>
      </c>
      <c r="AU1318" s="94">
        <f t="shared" si="437"/>
        <v>60.6086714570691</v>
      </c>
      <c r="AV1318" s="94">
        <f t="shared" si="438"/>
        <v>60.6086714570691</v>
      </c>
    </row>
    <row r="1319" spans="1:48" x14ac:dyDescent="0.3">
      <c r="A1319" s="85" t="str">
        <f>_xlfn.XLOOKUP(B1319,'Country codes &amp; Data sources'!G:G,'Country codes &amp; Data sources'!H:H,,0)</f>
        <v>Namibia</v>
      </c>
      <c r="B1319" s="85" t="s">
        <v>182</v>
      </c>
      <c r="C1319" s="85">
        <v>2167474</v>
      </c>
      <c r="D1319" s="85" t="s">
        <v>330</v>
      </c>
      <c r="E1319" s="86">
        <v>0</v>
      </c>
      <c r="F1319" s="86">
        <v>2204510.0000000005</v>
      </c>
      <c r="G1319" s="86">
        <v>2042</v>
      </c>
      <c r="H1319" s="86"/>
      <c r="I1319" s="86">
        <v>2094</v>
      </c>
      <c r="J1319" s="86"/>
      <c r="K1319" s="86">
        <v>2176</v>
      </c>
      <c r="L1319" s="86"/>
      <c r="M1319" s="86">
        <v>2358</v>
      </c>
      <c r="N1319" s="86"/>
      <c r="O1319" s="86">
        <v>2314</v>
      </c>
      <c r="P1319" s="86">
        <v>2405680.5000000005</v>
      </c>
      <c r="Q1319" s="86">
        <v>5263</v>
      </c>
      <c r="R1319" s="87">
        <f t="shared" si="436"/>
        <v>8719</v>
      </c>
      <c r="T1319" s="87">
        <v>5859</v>
      </c>
      <c r="U1319" s="89"/>
      <c r="V1319" s="89">
        <v>6396</v>
      </c>
      <c r="W1319" s="90"/>
      <c r="X1319" s="90">
        <v>7121</v>
      </c>
      <c r="Y1319" s="90">
        <v>2567012.4999999995</v>
      </c>
      <c r="Z1319" s="90">
        <v>8560</v>
      </c>
      <c r="AA1319" s="90">
        <v>8719</v>
      </c>
      <c r="AB1319" s="89">
        <f t="shared" si="439"/>
        <v>2176</v>
      </c>
      <c r="AC1319" s="89">
        <f t="shared" si="440"/>
        <v>5859</v>
      </c>
      <c r="AD1319" s="89">
        <f t="shared" si="441"/>
        <v>8560</v>
      </c>
      <c r="AE1319" s="90">
        <f t="shared" si="442"/>
        <v>2042</v>
      </c>
      <c r="AF1319" s="90">
        <f t="shared" si="443"/>
        <v>2013</v>
      </c>
      <c r="AG1319" s="90">
        <f t="shared" si="444"/>
        <v>8719</v>
      </c>
      <c r="AH1319" s="90" t="str">
        <f t="shared" si="445"/>
        <v>2018 (triag)</v>
      </c>
      <c r="AI1319" s="90">
        <f t="shared" si="446"/>
        <v>8560</v>
      </c>
      <c r="AJ1319" s="90">
        <f t="shared" si="447"/>
        <v>2022</v>
      </c>
      <c r="AK1319" s="90" t="str">
        <f t="shared" si="448"/>
        <v>Adjust</v>
      </c>
      <c r="AL1319" s="91">
        <f>IF(AK1319="Adjust",(_xlfn.XLOOKUP(A1319,'Adj factor'!A:A,'Adj factor'!I:I,,0)*AI1319),'Master DataSheet (Rev)'!AI1319)</f>
        <v>12966.53042121685</v>
      </c>
      <c r="AM1319" s="91">
        <f t="shared" si="449"/>
        <v>12966.53042121685</v>
      </c>
      <c r="AN1319" s="92" t="str">
        <f t="shared" si="450"/>
        <v>Increasing</v>
      </c>
      <c r="AS1319" s="94">
        <f t="shared" si="451"/>
        <v>9.2628293815859291</v>
      </c>
      <c r="AT1319" s="94">
        <f t="shared" si="452"/>
        <v>36.243383109269907</v>
      </c>
      <c r="AU1319" s="94">
        <f t="shared" si="437"/>
        <v>50.512143673694041</v>
      </c>
      <c r="AV1319" s="94">
        <f t="shared" si="438"/>
        <v>50.512143673694041</v>
      </c>
    </row>
    <row r="1320" spans="1:48" x14ac:dyDescent="0.3">
      <c r="A1320" s="85" t="str">
        <f>_xlfn.XLOOKUP(B1320,'Country codes &amp; Data sources'!G:G,'Country codes &amp; Data sources'!H:H,,0)</f>
        <v>Namibia</v>
      </c>
      <c r="B1320" s="85" t="s">
        <v>182</v>
      </c>
      <c r="C1320" s="85">
        <v>2167475</v>
      </c>
      <c r="D1320" s="85" t="s">
        <v>331</v>
      </c>
      <c r="E1320" s="86">
        <v>0</v>
      </c>
      <c r="F1320" s="86">
        <v>2204510.0000000005</v>
      </c>
      <c r="G1320" s="86">
        <v>2068</v>
      </c>
      <c r="H1320" s="86"/>
      <c r="I1320" s="86">
        <v>2118</v>
      </c>
      <c r="J1320" s="86"/>
      <c r="K1320" s="86">
        <v>2189</v>
      </c>
      <c r="L1320" s="86"/>
      <c r="M1320" s="86">
        <v>2458</v>
      </c>
      <c r="N1320" s="86"/>
      <c r="O1320" s="86">
        <v>2539</v>
      </c>
      <c r="P1320" s="86">
        <v>2405680.5000000005</v>
      </c>
      <c r="Q1320" s="86">
        <v>44</v>
      </c>
      <c r="R1320" s="87">
        <f t="shared" si="436"/>
        <v>4237</v>
      </c>
      <c r="T1320" s="87">
        <v>44</v>
      </c>
      <c r="U1320" s="89"/>
      <c r="V1320" s="89">
        <v>44</v>
      </c>
      <c r="W1320" s="90"/>
      <c r="X1320" s="90">
        <v>45</v>
      </c>
      <c r="Y1320" s="90">
        <v>2567012.4999999995</v>
      </c>
      <c r="Z1320" s="90">
        <v>45</v>
      </c>
      <c r="AA1320" s="90">
        <v>4237</v>
      </c>
      <c r="AB1320" s="89">
        <f t="shared" si="439"/>
        <v>2189</v>
      </c>
      <c r="AC1320" s="89">
        <f t="shared" si="440"/>
        <v>2539</v>
      </c>
      <c r="AD1320" s="89">
        <f t="shared" si="441"/>
        <v>45</v>
      </c>
      <c r="AE1320" s="90">
        <f t="shared" si="442"/>
        <v>2068</v>
      </c>
      <c r="AF1320" s="90">
        <f t="shared" si="443"/>
        <v>2013</v>
      </c>
      <c r="AG1320" s="90">
        <f t="shared" si="444"/>
        <v>4237</v>
      </c>
      <c r="AH1320" s="90" t="str">
        <f t="shared" si="445"/>
        <v>2018 (triag)</v>
      </c>
      <c r="AI1320" s="90">
        <f t="shared" si="446"/>
        <v>45</v>
      </c>
      <c r="AJ1320" s="90">
        <f t="shared" si="447"/>
        <v>2021</v>
      </c>
      <c r="AK1320" s="90" t="str">
        <f t="shared" si="448"/>
        <v>Adjust</v>
      </c>
      <c r="AL1320" s="91">
        <f>IF(AK1320="Adjust",(_xlfn.XLOOKUP(A1320,'Adj factor'!A:A,'Adj factor'!I:I,,0)*AI1320),'Master DataSheet (Rev)'!AI1320)</f>
        <v>68.165171606864277</v>
      </c>
      <c r="AM1320" s="91">
        <f t="shared" si="449"/>
        <v>4237</v>
      </c>
      <c r="AN1320" s="92" t="str">
        <f t="shared" si="450"/>
        <v>Decreasing</v>
      </c>
      <c r="AS1320" s="94">
        <f t="shared" si="451"/>
        <v>9.3807694226834961</v>
      </c>
      <c r="AT1320" s="94">
        <f t="shared" si="452"/>
        <v>17.612480127764261</v>
      </c>
      <c r="AU1320" s="94">
        <f t="shared" si="437"/>
        <v>0.26554281136871866</v>
      </c>
      <c r="AV1320" s="94">
        <f t="shared" si="438"/>
        <v>16.505568243239956</v>
      </c>
    </row>
    <row r="1321" spans="1:48" ht="14.5" x14ac:dyDescent="0.35">
      <c r="A1321" s="85" t="str">
        <f>_xlfn.XLOOKUP(B1321,'Country codes &amp; Data sources'!G:G,'Country codes &amp; Data sources'!H:H,,0)</f>
        <v>Namibia</v>
      </c>
      <c r="B1321" s="85" t="s">
        <v>182</v>
      </c>
      <c r="C1321" s="85">
        <v>2167476</v>
      </c>
      <c r="D1321" s="85" t="s">
        <v>332</v>
      </c>
      <c r="E1321" s="86">
        <v>0</v>
      </c>
      <c r="F1321" s="86">
        <v>2204510.0000000005</v>
      </c>
      <c r="G1321" s="86">
        <v>0</v>
      </c>
      <c r="H1321" s="86"/>
      <c r="I1321" s="86">
        <v>0</v>
      </c>
      <c r="J1321" s="86"/>
      <c r="K1321" s="86">
        <v>0</v>
      </c>
      <c r="L1321" s="86"/>
      <c r="M1321" s="86">
        <v>0</v>
      </c>
      <c r="N1321" s="86"/>
      <c r="O1321" s="86">
        <v>0</v>
      </c>
      <c r="P1321" s="86">
        <v>2405680.5000000005</v>
      </c>
      <c r="Q1321" s="86">
        <v>5</v>
      </c>
      <c r="R1321" s="87">
        <f t="shared" si="436"/>
        <v>5</v>
      </c>
      <c r="T1321" s="87">
        <v>5</v>
      </c>
      <c r="U1321" s="89"/>
      <c r="V1321" s="89">
        <v>5</v>
      </c>
      <c r="W1321" s="90"/>
      <c r="X1321" s="90">
        <v>6</v>
      </c>
      <c r="Y1321" s="90">
        <v>2567012.4999999995</v>
      </c>
      <c r="Z1321" s="111">
        <v>17</v>
      </c>
      <c r="AA1321" s="90">
        <v>0</v>
      </c>
      <c r="AB1321" s="89">
        <f t="shared" si="439"/>
        <v>0</v>
      </c>
      <c r="AC1321" s="89">
        <f t="shared" si="440"/>
        <v>5</v>
      </c>
      <c r="AD1321" s="89">
        <f t="shared" si="441"/>
        <v>17</v>
      </c>
      <c r="AF1321" s="90" t="str">
        <f t="shared" si="443"/>
        <v/>
      </c>
      <c r="AG1321" s="90">
        <f t="shared" si="444"/>
        <v>5</v>
      </c>
      <c r="AH1321" s="90">
        <f t="shared" si="445"/>
        <v>2018</v>
      </c>
      <c r="AI1321" s="90">
        <f t="shared" si="446"/>
        <v>17</v>
      </c>
      <c r="AJ1321" s="90">
        <f t="shared" si="447"/>
        <v>2022</v>
      </c>
      <c r="AK1321" s="90" t="str">
        <f t="shared" si="448"/>
        <v/>
      </c>
      <c r="AL1321" s="91">
        <f>IF(AK1321="Adjust",(_xlfn.XLOOKUP(A1321,'Adj factor'!A:A,'Adj factor'!I:I,,0)*AI1321),'Master DataSheet (Rev)'!AI1321)</f>
        <v>17</v>
      </c>
      <c r="AM1321" s="91">
        <f t="shared" si="449"/>
        <v>17</v>
      </c>
      <c r="AN1321" s="92" t="str">
        <f t="shared" si="450"/>
        <v>Increasing</v>
      </c>
      <c r="AS1321" s="94">
        <f t="shared" si="451"/>
        <v>0</v>
      </c>
      <c r="AT1321" s="94">
        <f t="shared" si="452"/>
        <v>2.0784139872273143E-2</v>
      </c>
      <c r="AU1321" s="94">
        <f t="shared" si="437"/>
        <v>6.6224843081208226E-2</v>
      </c>
      <c r="AV1321" s="94">
        <f t="shared" si="438"/>
        <v>6.6224843081208226E-2</v>
      </c>
    </row>
    <row r="1322" spans="1:48" x14ac:dyDescent="0.3">
      <c r="A1322" s="85" t="str">
        <f>_xlfn.XLOOKUP(B1322,'Country codes &amp; Data sources'!G:G,'Country codes &amp; Data sources'!H:H,,0)</f>
        <v>Namibia</v>
      </c>
      <c r="B1322" s="85" t="s">
        <v>182</v>
      </c>
      <c r="C1322" s="85">
        <v>2167477</v>
      </c>
      <c r="D1322" s="85" t="s">
        <v>333</v>
      </c>
      <c r="E1322" s="86">
        <v>0</v>
      </c>
      <c r="F1322" s="86">
        <v>2204510.0000000005</v>
      </c>
      <c r="G1322" s="86">
        <v>0</v>
      </c>
      <c r="H1322" s="86"/>
      <c r="I1322" s="86">
        <v>0</v>
      </c>
      <c r="J1322" s="86"/>
      <c r="K1322" s="86">
        <v>0</v>
      </c>
      <c r="L1322" s="86"/>
      <c r="M1322" s="86">
        <v>0</v>
      </c>
      <c r="N1322" s="86"/>
      <c r="O1322" s="86">
        <v>0</v>
      </c>
      <c r="P1322" s="86">
        <v>2405680.5000000005</v>
      </c>
      <c r="Q1322" s="86">
        <v>5</v>
      </c>
      <c r="R1322" s="87">
        <f t="shared" si="436"/>
        <v>5</v>
      </c>
      <c r="T1322" s="87">
        <v>5</v>
      </c>
      <c r="U1322" s="89"/>
      <c r="V1322" s="89">
        <v>5</v>
      </c>
      <c r="W1322" s="90"/>
      <c r="X1322" s="90">
        <v>6</v>
      </c>
      <c r="Y1322" s="90">
        <v>2567012.4999999995</v>
      </c>
      <c r="Z1322" s="90">
        <v>7</v>
      </c>
      <c r="AA1322" s="90">
        <v>0</v>
      </c>
      <c r="AB1322" s="89">
        <f t="shared" si="439"/>
        <v>0</v>
      </c>
      <c r="AC1322" s="89">
        <f t="shared" si="440"/>
        <v>5</v>
      </c>
      <c r="AD1322" s="89">
        <f t="shared" si="441"/>
        <v>7</v>
      </c>
      <c r="AF1322" s="90" t="str">
        <f t="shared" si="443"/>
        <v/>
      </c>
      <c r="AG1322" s="90">
        <f t="shared" si="444"/>
        <v>5</v>
      </c>
      <c r="AH1322" s="90">
        <f t="shared" si="445"/>
        <v>2018</v>
      </c>
      <c r="AI1322" s="90">
        <f t="shared" si="446"/>
        <v>7</v>
      </c>
      <c r="AJ1322" s="90">
        <f t="shared" si="447"/>
        <v>2022</v>
      </c>
      <c r="AK1322" s="90" t="str">
        <f t="shared" si="448"/>
        <v/>
      </c>
      <c r="AL1322" s="91">
        <f>IF(AK1322="Adjust",(_xlfn.XLOOKUP(A1322,'Adj factor'!A:A,'Adj factor'!I:I,,0)*AI1322),'Master DataSheet (Rev)'!AI1322)</f>
        <v>7</v>
      </c>
      <c r="AM1322" s="91">
        <f t="shared" si="449"/>
        <v>7</v>
      </c>
      <c r="AN1322" s="92" t="str">
        <f t="shared" si="450"/>
        <v>Increasing</v>
      </c>
      <c r="AS1322" s="94">
        <f t="shared" si="451"/>
        <v>0</v>
      </c>
      <c r="AT1322" s="94">
        <f t="shared" si="452"/>
        <v>2.0784139872273143E-2</v>
      </c>
      <c r="AU1322" s="94">
        <f t="shared" si="437"/>
        <v>2.726905303343868E-2</v>
      </c>
      <c r="AV1322" s="94">
        <f t="shared" si="438"/>
        <v>2.726905303343868E-2</v>
      </c>
    </row>
    <row r="1323" spans="1:48" x14ac:dyDescent="0.3">
      <c r="A1323" s="85" t="str">
        <f>_xlfn.XLOOKUP(B1323,'Country codes &amp; Data sources'!G:G,'Country codes &amp; Data sources'!H:H,,0)</f>
        <v>Namibia</v>
      </c>
      <c r="B1323" s="85" t="s">
        <v>182</v>
      </c>
      <c r="C1323" s="85">
        <v>2167478</v>
      </c>
      <c r="D1323" s="85" t="s">
        <v>334</v>
      </c>
      <c r="E1323" s="86">
        <v>0</v>
      </c>
      <c r="F1323" s="86">
        <v>2204510.0000000005</v>
      </c>
      <c r="G1323" s="86">
        <v>0</v>
      </c>
      <c r="H1323" s="86"/>
      <c r="I1323" s="86">
        <v>0</v>
      </c>
      <c r="J1323" s="86"/>
      <c r="K1323" s="86">
        <v>0</v>
      </c>
      <c r="L1323" s="86"/>
      <c r="M1323" s="86">
        <v>0</v>
      </c>
      <c r="N1323" s="86"/>
      <c r="O1323" s="86">
        <v>0</v>
      </c>
      <c r="P1323" s="86">
        <v>2405680.5000000005</v>
      </c>
      <c r="Q1323" s="86">
        <v>0</v>
      </c>
      <c r="R1323" s="87">
        <f t="shared" si="436"/>
        <v>0</v>
      </c>
      <c r="T1323" s="87">
        <v>0</v>
      </c>
      <c r="U1323" s="89"/>
      <c r="V1323" s="89">
        <v>0</v>
      </c>
      <c r="W1323" s="90"/>
      <c r="X1323" s="90">
        <v>0</v>
      </c>
      <c r="Y1323" s="90">
        <v>2567012.4999999995</v>
      </c>
      <c r="Z1323" s="90">
        <v>0</v>
      </c>
      <c r="AA1323" s="90">
        <v>0</v>
      </c>
      <c r="AB1323" s="89">
        <f t="shared" si="439"/>
        <v>0</v>
      </c>
      <c r="AC1323" s="89">
        <f t="shared" si="440"/>
        <v>0</v>
      </c>
      <c r="AD1323" s="89">
        <f t="shared" si="441"/>
        <v>0</v>
      </c>
      <c r="AF1323" s="90" t="str">
        <f t="shared" si="443"/>
        <v/>
      </c>
      <c r="AH1323" s="90" t="str">
        <f t="shared" si="445"/>
        <v/>
      </c>
      <c r="AI1323" s="90">
        <f t="shared" si="446"/>
        <v>0</v>
      </c>
      <c r="AJ1323" s="90" t="str">
        <f t="shared" si="447"/>
        <v/>
      </c>
      <c r="AK1323" s="90" t="str">
        <f t="shared" si="448"/>
        <v/>
      </c>
      <c r="AL1323" s="91"/>
      <c r="AM1323" s="91">
        <f t="shared" si="449"/>
        <v>0</v>
      </c>
      <c r="AN1323" s="92" t="str">
        <f t="shared" si="450"/>
        <v>No change</v>
      </c>
      <c r="AS1323" s="94">
        <f t="shared" si="451"/>
        <v>0</v>
      </c>
      <c r="AT1323" s="94">
        <f t="shared" si="452"/>
        <v>0</v>
      </c>
      <c r="AU1323" s="94">
        <f t="shared" si="437"/>
        <v>0</v>
      </c>
      <c r="AV1323" s="94">
        <f t="shared" si="438"/>
        <v>0</v>
      </c>
    </row>
    <row r="1324" spans="1:48" x14ac:dyDescent="0.3">
      <c r="A1324" s="85" t="str">
        <f>_xlfn.XLOOKUP(B1324,'Country codes &amp; Data sources'!G:G,'Country codes &amp; Data sources'!H:H,,0)</f>
        <v>Namibia</v>
      </c>
      <c r="B1324" s="85" t="s">
        <v>182</v>
      </c>
      <c r="C1324" s="85">
        <v>2167479</v>
      </c>
      <c r="D1324" s="85" t="s">
        <v>335</v>
      </c>
      <c r="E1324" s="86">
        <v>0</v>
      </c>
      <c r="F1324" s="86">
        <v>2204510.0000000005</v>
      </c>
      <c r="G1324" s="86">
        <v>0</v>
      </c>
      <c r="H1324" s="86"/>
      <c r="I1324" s="86">
        <v>0</v>
      </c>
      <c r="J1324" s="86"/>
      <c r="K1324" s="86">
        <v>0</v>
      </c>
      <c r="L1324" s="86"/>
      <c r="M1324" s="86">
        <v>0</v>
      </c>
      <c r="N1324" s="86"/>
      <c r="O1324" s="86">
        <v>0</v>
      </c>
      <c r="P1324" s="86">
        <v>2405680.5000000005</v>
      </c>
      <c r="Q1324" s="86">
        <v>464</v>
      </c>
      <c r="R1324" s="87">
        <f t="shared" si="436"/>
        <v>598</v>
      </c>
      <c r="T1324" s="87">
        <v>514</v>
      </c>
      <c r="U1324" s="89"/>
      <c r="V1324" s="89">
        <v>546</v>
      </c>
      <c r="W1324" s="90"/>
      <c r="X1324" s="90">
        <v>603</v>
      </c>
      <c r="Y1324" s="90">
        <v>2567012.4999999995</v>
      </c>
      <c r="Z1324" s="90">
        <v>655</v>
      </c>
      <c r="AA1324" s="90">
        <v>598</v>
      </c>
      <c r="AB1324" s="89">
        <f t="shared" si="439"/>
        <v>0</v>
      </c>
      <c r="AC1324" s="89">
        <f t="shared" si="440"/>
        <v>514</v>
      </c>
      <c r="AD1324" s="89">
        <f t="shared" si="441"/>
        <v>655</v>
      </c>
      <c r="AF1324" s="90" t="str">
        <f t="shared" si="443"/>
        <v/>
      </c>
      <c r="AG1324" s="90">
        <f t="shared" si="444"/>
        <v>598</v>
      </c>
      <c r="AH1324" s="90" t="str">
        <f t="shared" si="445"/>
        <v>2018 (triag)</v>
      </c>
      <c r="AI1324" s="90">
        <f t="shared" si="446"/>
        <v>655</v>
      </c>
      <c r="AJ1324" s="90">
        <f t="shared" si="447"/>
        <v>2022</v>
      </c>
      <c r="AK1324" s="90" t="str">
        <f t="shared" si="448"/>
        <v/>
      </c>
      <c r="AL1324" s="91">
        <f>IF(AK1324="Adjust",(_xlfn.XLOOKUP(A1324,'Adj factor'!A:A,'Adj factor'!I:I,,0)*AI1324),'Master DataSheet (Rev)'!AI1324)</f>
        <v>655</v>
      </c>
      <c r="AM1324" s="91">
        <f t="shared" si="449"/>
        <v>655</v>
      </c>
      <c r="AN1324" s="92" t="str">
        <f t="shared" si="450"/>
        <v>Increasing</v>
      </c>
      <c r="AS1324" s="94">
        <f t="shared" si="451"/>
        <v>0</v>
      </c>
      <c r="AT1324" s="94">
        <f t="shared" si="452"/>
        <v>2.4857831287238681</v>
      </c>
      <c r="AU1324" s="94">
        <f t="shared" si="437"/>
        <v>2.5516042481289052</v>
      </c>
      <c r="AV1324" s="94">
        <f t="shared" si="438"/>
        <v>2.5516042481289052</v>
      </c>
    </row>
    <row r="1325" spans="1:48" x14ac:dyDescent="0.3">
      <c r="A1325" s="85" t="str">
        <f>_xlfn.XLOOKUP(B1325,'Country codes &amp; Data sources'!G:G,'Country codes &amp; Data sources'!H:H,,0)</f>
        <v>Namibia</v>
      </c>
      <c r="B1325" s="85" t="s">
        <v>182</v>
      </c>
      <c r="C1325" s="85">
        <v>2167480</v>
      </c>
      <c r="D1325" s="85" t="s">
        <v>336</v>
      </c>
      <c r="E1325" s="86">
        <v>0</v>
      </c>
      <c r="F1325" s="86">
        <v>2204510.0000000005</v>
      </c>
      <c r="G1325" s="86">
        <v>0</v>
      </c>
      <c r="H1325" s="86"/>
      <c r="I1325" s="86">
        <v>0</v>
      </c>
      <c r="J1325" s="86"/>
      <c r="K1325" s="86">
        <v>0</v>
      </c>
      <c r="L1325" s="86"/>
      <c r="M1325" s="86">
        <v>0</v>
      </c>
      <c r="N1325" s="86"/>
      <c r="O1325" s="86">
        <v>0</v>
      </c>
      <c r="P1325" s="86">
        <v>2405680.5000000005</v>
      </c>
      <c r="Q1325" s="86">
        <v>226</v>
      </c>
      <c r="R1325" s="87">
        <f t="shared" si="436"/>
        <v>309</v>
      </c>
      <c r="T1325" s="87">
        <v>300</v>
      </c>
      <c r="U1325" s="89"/>
      <c r="V1325" s="89">
        <v>338</v>
      </c>
      <c r="W1325" s="90"/>
      <c r="X1325" s="90">
        <v>372</v>
      </c>
      <c r="Y1325" s="90">
        <v>2567012.4999999995</v>
      </c>
      <c r="Z1325" s="90">
        <v>402</v>
      </c>
      <c r="AA1325" s="90">
        <v>309</v>
      </c>
      <c r="AB1325" s="89">
        <f t="shared" si="439"/>
        <v>0</v>
      </c>
      <c r="AC1325" s="89">
        <f t="shared" si="440"/>
        <v>300</v>
      </c>
      <c r="AD1325" s="89">
        <f t="shared" si="441"/>
        <v>402</v>
      </c>
      <c r="AF1325" s="90" t="str">
        <f t="shared" si="443"/>
        <v/>
      </c>
      <c r="AG1325" s="90">
        <f t="shared" si="444"/>
        <v>309</v>
      </c>
      <c r="AH1325" s="90" t="str">
        <f t="shared" si="445"/>
        <v>2018 (triag)</v>
      </c>
      <c r="AI1325" s="90">
        <f t="shared" si="446"/>
        <v>402</v>
      </c>
      <c r="AJ1325" s="90">
        <f t="shared" si="447"/>
        <v>2022</v>
      </c>
      <c r="AK1325" s="90" t="str">
        <f t="shared" si="448"/>
        <v/>
      </c>
      <c r="AL1325" s="91">
        <f>IF(AK1325="Adjust",(_xlfn.XLOOKUP(A1325,'Adj factor'!A:A,'Adj factor'!I:I,,0)*AI1325),'Master DataSheet (Rev)'!AI1325)</f>
        <v>402</v>
      </c>
      <c r="AM1325" s="91">
        <f t="shared" si="449"/>
        <v>402</v>
      </c>
      <c r="AN1325" s="92" t="str">
        <f t="shared" si="450"/>
        <v>Increasing</v>
      </c>
      <c r="AS1325" s="94">
        <f t="shared" si="451"/>
        <v>0</v>
      </c>
      <c r="AT1325" s="94">
        <f t="shared" si="452"/>
        <v>1.2844598441064803</v>
      </c>
      <c r="AU1325" s="94">
        <f t="shared" si="437"/>
        <v>1.5660227599203358</v>
      </c>
      <c r="AV1325" s="94">
        <f t="shared" si="438"/>
        <v>1.5660227599203358</v>
      </c>
    </row>
    <row r="1326" spans="1:48" ht="14.5" x14ac:dyDescent="0.35">
      <c r="A1326" s="85" t="str">
        <f>_xlfn.XLOOKUP(B1326,'Country codes &amp; Data sources'!G:G,'Country codes &amp; Data sources'!H:H,,0)</f>
        <v>Namibia</v>
      </c>
      <c r="B1326" s="85" t="s">
        <v>182</v>
      </c>
      <c r="C1326" s="85">
        <v>2167481</v>
      </c>
      <c r="D1326" s="85" t="s">
        <v>337</v>
      </c>
      <c r="E1326" s="86">
        <v>0</v>
      </c>
      <c r="F1326" s="86">
        <v>2204510.0000000005</v>
      </c>
      <c r="G1326" s="86">
        <v>0</v>
      </c>
      <c r="H1326" s="86"/>
      <c r="I1326" s="86">
        <v>68</v>
      </c>
      <c r="J1326" s="86"/>
      <c r="K1326" s="86">
        <v>0</v>
      </c>
      <c r="L1326" s="86"/>
      <c r="M1326" s="86">
        <v>0</v>
      </c>
      <c r="N1326" s="86"/>
      <c r="O1326" s="86">
        <v>0</v>
      </c>
      <c r="P1326" s="86">
        <v>2405680.5000000005</v>
      </c>
      <c r="Q1326" s="86">
        <v>87</v>
      </c>
      <c r="R1326" s="87">
        <f t="shared" si="436"/>
        <v>181</v>
      </c>
      <c r="T1326" s="87">
        <v>117</v>
      </c>
      <c r="U1326" s="89"/>
      <c r="V1326" s="89">
        <v>138</v>
      </c>
      <c r="W1326" s="90"/>
      <c r="X1326" s="90">
        <v>161</v>
      </c>
      <c r="Y1326" s="90">
        <v>2567012.4999999995</v>
      </c>
      <c r="Z1326" s="111">
        <f>178+6+40</f>
        <v>224</v>
      </c>
      <c r="AA1326" s="90">
        <v>181</v>
      </c>
      <c r="AB1326" s="89">
        <f t="shared" si="439"/>
        <v>68</v>
      </c>
      <c r="AC1326" s="89">
        <f t="shared" si="440"/>
        <v>117</v>
      </c>
      <c r="AD1326" s="89">
        <f t="shared" si="441"/>
        <v>224</v>
      </c>
      <c r="AE1326" s="90">
        <f t="shared" si="442"/>
        <v>68</v>
      </c>
      <c r="AF1326" s="90">
        <f t="shared" si="443"/>
        <v>2014</v>
      </c>
      <c r="AG1326" s="90">
        <f t="shared" si="444"/>
        <v>181</v>
      </c>
      <c r="AH1326" s="90" t="str">
        <f t="shared" si="445"/>
        <v>2018 (triag)</v>
      </c>
      <c r="AI1326" s="90">
        <f t="shared" si="446"/>
        <v>224</v>
      </c>
      <c r="AJ1326" s="90">
        <f t="shared" si="447"/>
        <v>2022</v>
      </c>
      <c r="AK1326" s="90" t="str">
        <f t="shared" si="448"/>
        <v/>
      </c>
      <c r="AL1326" s="91">
        <f>IF(AK1326="Adjust",(_xlfn.XLOOKUP(A1326,'Adj factor'!A:A,'Adj factor'!I:I,,0)*AI1326),'Master DataSheet (Rev)'!AI1326)</f>
        <v>224</v>
      </c>
      <c r="AM1326" s="91">
        <f t="shared" si="449"/>
        <v>224</v>
      </c>
      <c r="AN1326" s="92" t="str">
        <f t="shared" si="450"/>
        <v>Increasing</v>
      </c>
      <c r="AS1326" s="94">
        <f t="shared" si="451"/>
        <v>0.30845856902440899</v>
      </c>
      <c r="AT1326" s="94">
        <f t="shared" si="452"/>
        <v>0.75238586337628777</v>
      </c>
      <c r="AU1326" s="94">
        <f t="shared" si="437"/>
        <v>0.87260969707003777</v>
      </c>
      <c r="AV1326" s="94">
        <f t="shared" si="438"/>
        <v>0.87260969707003777</v>
      </c>
    </row>
    <row r="1327" spans="1:48" ht="14.5" x14ac:dyDescent="0.35">
      <c r="A1327" s="85" t="str">
        <f>_xlfn.XLOOKUP(B1327,'Country codes &amp; Data sources'!G:G,'Country codes &amp; Data sources'!H:H,,0)</f>
        <v>Namibia</v>
      </c>
      <c r="B1327" s="85" t="s">
        <v>182</v>
      </c>
      <c r="C1327" s="85">
        <v>2167482</v>
      </c>
      <c r="D1327" s="85" t="s">
        <v>338</v>
      </c>
      <c r="E1327" s="86">
        <v>0</v>
      </c>
      <c r="F1327" s="86">
        <v>2204510.0000000005</v>
      </c>
      <c r="G1327" s="86">
        <v>0</v>
      </c>
      <c r="H1327" s="86"/>
      <c r="I1327" s="86">
        <v>0</v>
      </c>
      <c r="J1327" s="86"/>
      <c r="K1327" s="86">
        <v>0</v>
      </c>
      <c r="L1327" s="86"/>
      <c r="M1327" s="86">
        <v>0</v>
      </c>
      <c r="N1327" s="86"/>
      <c r="O1327" s="86">
        <v>0</v>
      </c>
      <c r="P1327" s="86">
        <v>2405680.5000000005</v>
      </c>
      <c r="Q1327" s="86">
        <v>41</v>
      </c>
      <c r="R1327" s="87">
        <f t="shared" si="436"/>
        <v>108</v>
      </c>
      <c r="T1327" s="87">
        <v>43</v>
      </c>
      <c r="U1327" s="89"/>
      <c r="V1327" s="89">
        <v>43</v>
      </c>
      <c r="W1327" s="90"/>
      <c r="X1327" s="90">
        <v>48</v>
      </c>
      <c r="Y1327" s="90">
        <v>2567012.4999999995</v>
      </c>
      <c r="Z1327" s="111">
        <f>37+9+58</f>
        <v>104</v>
      </c>
      <c r="AA1327" s="90">
        <v>108</v>
      </c>
      <c r="AB1327" s="89">
        <f t="shared" si="439"/>
        <v>0</v>
      </c>
      <c r="AC1327" s="89">
        <f t="shared" si="440"/>
        <v>43</v>
      </c>
      <c r="AD1327" s="89">
        <f t="shared" si="441"/>
        <v>104</v>
      </c>
      <c r="AF1327" s="90" t="str">
        <f t="shared" si="443"/>
        <v/>
      </c>
      <c r="AG1327" s="90">
        <f t="shared" si="444"/>
        <v>108</v>
      </c>
      <c r="AH1327" s="90" t="str">
        <f t="shared" si="445"/>
        <v>2018 (triag)</v>
      </c>
      <c r="AI1327" s="90">
        <f t="shared" si="446"/>
        <v>104</v>
      </c>
      <c r="AJ1327" s="90">
        <f t="shared" si="447"/>
        <v>2022</v>
      </c>
      <c r="AK1327" s="90" t="str">
        <f t="shared" si="448"/>
        <v>Adjust</v>
      </c>
      <c r="AL1327" s="91">
        <f>IF(AK1327="Adjust",(_xlfn.XLOOKUP(A1327,'Adj factor'!A:A,'Adj factor'!I:I,,0)*AI1327),'Master DataSheet (Rev)'!AI1327)</f>
        <v>157.53728549141965</v>
      </c>
      <c r="AM1327" s="91">
        <f t="shared" si="449"/>
        <v>157.53728549141965</v>
      </c>
      <c r="AN1327" s="92" t="str">
        <f t="shared" si="450"/>
        <v>Increasing</v>
      </c>
      <c r="AS1327" s="94">
        <f t="shared" si="451"/>
        <v>0</v>
      </c>
      <c r="AT1327" s="94">
        <f t="shared" si="452"/>
        <v>0.44893742124109987</v>
      </c>
      <c r="AU1327" s="94">
        <f t="shared" si="437"/>
        <v>0.61369894182992757</v>
      </c>
      <c r="AV1327" s="94">
        <f t="shared" si="438"/>
        <v>0.61369894182992757</v>
      </c>
    </row>
    <row r="1328" spans="1:48" ht="14.5" x14ac:dyDescent="0.35">
      <c r="A1328" s="85" t="str">
        <f>_xlfn.XLOOKUP(B1328,'Country codes &amp; Data sources'!G:G,'Country codes &amp; Data sources'!H:H,,0)</f>
        <v>Namibia</v>
      </c>
      <c r="B1328" s="85" t="s">
        <v>182</v>
      </c>
      <c r="C1328" s="85">
        <v>2167483</v>
      </c>
      <c r="D1328" s="85" t="s">
        <v>339</v>
      </c>
      <c r="E1328" s="86">
        <v>0</v>
      </c>
      <c r="F1328" s="86">
        <v>2204510.0000000005</v>
      </c>
      <c r="G1328" s="86">
        <v>0</v>
      </c>
      <c r="H1328" s="86"/>
      <c r="I1328" s="86">
        <v>0</v>
      </c>
      <c r="J1328" s="86"/>
      <c r="K1328" s="86">
        <v>0</v>
      </c>
      <c r="L1328" s="86"/>
      <c r="M1328" s="86">
        <v>0</v>
      </c>
      <c r="N1328" s="86"/>
      <c r="O1328" s="86">
        <v>0</v>
      </c>
      <c r="P1328" s="86">
        <v>2405680.5000000005</v>
      </c>
      <c r="Q1328" s="86">
        <v>0</v>
      </c>
      <c r="R1328" s="87">
        <f t="shared" si="436"/>
        <v>0</v>
      </c>
      <c r="T1328" s="87">
        <v>0</v>
      </c>
      <c r="U1328" s="89"/>
      <c r="V1328" s="89">
        <v>0</v>
      </c>
      <c r="W1328" s="90"/>
      <c r="X1328" s="90">
        <v>0</v>
      </c>
      <c r="Y1328" s="90">
        <v>2567012.4999999995</v>
      </c>
      <c r="Z1328" s="111">
        <v>13</v>
      </c>
      <c r="AA1328" s="90">
        <v>0</v>
      </c>
      <c r="AB1328" s="89">
        <f t="shared" si="439"/>
        <v>0</v>
      </c>
      <c r="AC1328" s="89">
        <f t="shared" si="440"/>
        <v>0</v>
      </c>
      <c r="AD1328" s="89">
        <f t="shared" si="441"/>
        <v>13</v>
      </c>
      <c r="AF1328" s="90" t="str">
        <f t="shared" si="443"/>
        <v/>
      </c>
      <c r="AH1328" s="90" t="str">
        <f t="shared" si="445"/>
        <v/>
      </c>
      <c r="AI1328" s="90">
        <f t="shared" si="446"/>
        <v>13</v>
      </c>
      <c r="AJ1328" s="90">
        <f t="shared" si="447"/>
        <v>2022</v>
      </c>
      <c r="AK1328" s="90" t="str">
        <f t="shared" si="448"/>
        <v/>
      </c>
      <c r="AL1328" s="91">
        <f>IF(AK1328="Adjust",(_xlfn.XLOOKUP(A1328,'Adj factor'!A:A,'Adj factor'!I:I,,0)*AI1328),'Master DataSheet (Rev)'!AI1328)</f>
        <v>13</v>
      </c>
      <c r="AM1328" s="91">
        <f t="shared" si="449"/>
        <v>13</v>
      </c>
      <c r="AN1328" s="92" t="str">
        <f t="shared" si="450"/>
        <v>Increasing</v>
      </c>
      <c r="AS1328" s="94">
        <f t="shared" si="451"/>
        <v>0</v>
      </c>
      <c r="AT1328" s="94">
        <f t="shared" si="452"/>
        <v>0</v>
      </c>
      <c r="AU1328" s="94">
        <f t="shared" si="437"/>
        <v>5.0642527062100408E-2</v>
      </c>
      <c r="AV1328" s="94">
        <f t="shared" si="438"/>
        <v>5.0642527062100408E-2</v>
      </c>
    </row>
    <row r="1329" spans="1:48" x14ac:dyDescent="0.3">
      <c r="A1329" s="85" t="str">
        <f>_xlfn.XLOOKUP(B1329,'Country codes &amp; Data sources'!G:G,'Country codes &amp; Data sources'!H:H,,0)</f>
        <v>Niger</v>
      </c>
      <c r="B1329" s="85" t="s">
        <v>190</v>
      </c>
      <c r="C1329" s="85">
        <v>17954407.000000004</v>
      </c>
      <c r="D1329" s="85" t="s">
        <v>326</v>
      </c>
      <c r="E1329" s="86">
        <v>952</v>
      </c>
      <c r="F1329" s="86">
        <v>18653199</v>
      </c>
      <c r="G1329" s="86">
        <v>946</v>
      </c>
      <c r="H1329" s="86">
        <v>19372013.999999993</v>
      </c>
      <c r="I1329" s="86">
        <v>523</v>
      </c>
      <c r="J1329" s="86">
        <v>20128123.999999989</v>
      </c>
      <c r="K1329" s="86">
        <v>634</v>
      </c>
      <c r="L1329" s="86">
        <v>20921743.000000011</v>
      </c>
      <c r="M1329" s="86">
        <v>681</v>
      </c>
      <c r="N1329" s="86">
        <v>21737922.000000011</v>
      </c>
      <c r="O1329" s="86">
        <v>472</v>
      </c>
      <c r="P1329" s="86">
        <v>22577057.999999996</v>
      </c>
      <c r="Q1329" s="86">
        <v>818</v>
      </c>
      <c r="R1329" s="87">
        <f t="shared" si="436"/>
        <v>1065</v>
      </c>
      <c r="S1329" s="87">
        <v>23443392.999999978</v>
      </c>
      <c r="T1329" s="87">
        <v>888</v>
      </c>
      <c r="U1329" s="89">
        <v>24333638.499999985</v>
      </c>
      <c r="V1329" s="89">
        <v>835</v>
      </c>
      <c r="W1329" s="90">
        <v>25252721.999999989</v>
      </c>
      <c r="X1329" s="90">
        <v>0</v>
      </c>
      <c r="Y1329" s="90">
        <v>26207976.5</v>
      </c>
      <c r="Z1329" s="90">
        <v>614</v>
      </c>
      <c r="AA1329" s="90">
        <v>1065</v>
      </c>
      <c r="AB1329" s="89">
        <f t="shared" si="439"/>
        <v>952</v>
      </c>
      <c r="AC1329" s="89">
        <f t="shared" si="440"/>
        <v>888</v>
      </c>
      <c r="AD1329" s="89">
        <f t="shared" si="441"/>
        <v>835</v>
      </c>
      <c r="AE1329" s="90">
        <f t="shared" si="442"/>
        <v>946</v>
      </c>
      <c r="AF1329" s="90">
        <f t="shared" si="443"/>
        <v>2013</v>
      </c>
      <c r="AG1329" s="90">
        <f t="shared" si="444"/>
        <v>1065</v>
      </c>
      <c r="AH1329" s="90" t="str">
        <f t="shared" si="445"/>
        <v>2018 (triag)</v>
      </c>
      <c r="AI1329" s="90">
        <f t="shared" si="446"/>
        <v>614</v>
      </c>
      <c r="AJ1329" s="90">
        <f t="shared" si="447"/>
        <v>2022</v>
      </c>
      <c r="AK1329" s="90" t="str">
        <f t="shared" si="448"/>
        <v>Adjust</v>
      </c>
      <c r="AL1329" s="91">
        <f>IF(AK1329="Adjust",(_xlfn.XLOOKUP(A1329,'Adj factor'!A:A,'Adj factor'!I:I,,0)*AI1329),'Master DataSheet (Rev)'!AI1329)</f>
        <v>705.66936761273496</v>
      </c>
      <c r="AM1329" s="91">
        <f t="shared" si="449"/>
        <v>1065</v>
      </c>
      <c r="AN1329" s="92" t="str">
        <f t="shared" si="450"/>
        <v>Decreasing</v>
      </c>
      <c r="AS1329" s="94">
        <f t="shared" si="451"/>
        <v>0.50715161511974438</v>
      </c>
      <c r="AT1329" s="94">
        <f t="shared" si="452"/>
        <v>0.47171779423164883</v>
      </c>
      <c r="AU1329" s="94">
        <f t="shared" si="437"/>
        <v>0.2692574787728213</v>
      </c>
      <c r="AV1329" s="94">
        <f t="shared" si="438"/>
        <v>0.40636483324075018</v>
      </c>
    </row>
    <row r="1330" spans="1:48" x14ac:dyDescent="0.3">
      <c r="A1330" s="85" t="str">
        <f>_xlfn.XLOOKUP(B1330,'Country codes &amp; Data sources'!G:G,'Country codes &amp; Data sources'!H:H,,0)</f>
        <v>Niger</v>
      </c>
      <c r="B1330" s="85" t="s">
        <v>190</v>
      </c>
      <c r="C1330" s="85">
        <v>17954408</v>
      </c>
      <c r="D1330" s="85" t="s">
        <v>327</v>
      </c>
      <c r="E1330" s="86">
        <v>0</v>
      </c>
      <c r="F1330" s="86">
        <v>18653199</v>
      </c>
      <c r="G1330" s="86">
        <v>0</v>
      </c>
      <c r="H1330" s="86"/>
      <c r="I1330" s="86">
        <v>0</v>
      </c>
      <c r="J1330" s="86"/>
      <c r="K1330" s="86">
        <v>0</v>
      </c>
      <c r="L1330" s="86"/>
      <c r="M1330" s="86">
        <v>0</v>
      </c>
      <c r="N1330" s="86"/>
      <c r="O1330" s="86">
        <v>0</v>
      </c>
      <c r="P1330" s="86">
        <v>22577057.999999996</v>
      </c>
      <c r="Q1330" s="86">
        <v>0</v>
      </c>
      <c r="R1330" s="87">
        <f t="shared" si="436"/>
        <v>1065</v>
      </c>
      <c r="T1330" s="87">
        <v>0</v>
      </c>
      <c r="U1330" s="89"/>
      <c r="V1330" s="89">
        <v>0</v>
      </c>
      <c r="W1330" s="90"/>
      <c r="X1330" s="90">
        <v>0</v>
      </c>
      <c r="Y1330" s="90">
        <v>26207976.5</v>
      </c>
      <c r="Z1330" s="90">
        <v>316</v>
      </c>
      <c r="AA1330" s="90">
        <v>1065</v>
      </c>
      <c r="AB1330" s="89">
        <f t="shared" si="439"/>
        <v>0</v>
      </c>
      <c r="AC1330" s="89">
        <f t="shared" si="440"/>
        <v>0</v>
      </c>
      <c r="AD1330" s="89">
        <f t="shared" si="441"/>
        <v>316</v>
      </c>
      <c r="AF1330" s="90" t="str">
        <f t="shared" si="443"/>
        <v/>
      </c>
      <c r="AG1330" s="90">
        <f t="shared" si="444"/>
        <v>1065</v>
      </c>
      <c r="AH1330" s="90" t="str">
        <f t="shared" si="445"/>
        <v>2018 (triag)</v>
      </c>
      <c r="AI1330" s="90">
        <f t="shared" si="446"/>
        <v>316</v>
      </c>
      <c r="AJ1330" s="90">
        <f t="shared" si="447"/>
        <v>2022</v>
      </c>
      <c r="AK1330" s="90" t="str">
        <f t="shared" si="448"/>
        <v>Adjust</v>
      </c>
      <c r="AL1330" s="91">
        <f>IF(AK1330="Adjust",(_xlfn.XLOOKUP(A1330,'Adj factor'!A:A,'Adj factor'!I:I,,0)*AI1330),'Master DataSheet (Rev)'!AI1330)</f>
        <v>363.17837160525119</v>
      </c>
      <c r="AM1330" s="91">
        <f t="shared" si="449"/>
        <v>1065</v>
      </c>
      <c r="AN1330" s="92" t="str">
        <f t="shared" si="450"/>
        <v>Decreasing</v>
      </c>
      <c r="AS1330" s="94">
        <f t="shared" si="451"/>
        <v>0</v>
      </c>
      <c r="AT1330" s="94">
        <f t="shared" si="452"/>
        <v>0.47171779423164883</v>
      </c>
      <c r="AU1330" s="94">
        <f t="shared" si="437"/>
        <v>0.13857551024790149</v>
      </c>
      <c r="AV1330" s="94">
        <f t="shared" si="438"/>
        <v>0.40636483324075018</v>
      </c>
    </row>
    <row r="1331" spans="1:48" x14ac:dyDescent="0.3">
      <c r="A1331" s="85" t="str">
        <f>_xlfn.XLOOKUP(B1331,'Country codes &amp; Data sources'!G:G,'Country codes &amp; Data sources'!H:H,,0)</f>
        <v>Niger</v>
      </c>
      <c r="B1331" s="85" t="s">
        <v>190</v>
      </c>
      <c r="C1331" s="85">
        <v>17954409</v>
      </c>
      <c r="D1331" s="85" t="s">
        <v>328</v>
      </c>
      <c r="E1331" s="86">
        <v>0</v>
      </c>
      <c r="F1331" s="86">
        <v>18653199</v>
      </c>
      <c r="G1331" s="86">
        <v>0</v>
      </c>
      <c r="H1331" s="86"/>
      <c r="I1331" s="86">
        <v>0</v>
      </c>
      <c r="J1331" s="86"/>
      <c r="K1331" s="86">
        <v>0</v>
      </c>
      <c r="L1331" s="86"/>
      <c r="M1331" s="86">
        <v>0</v>
      </c>
      <c r="N1331" s="86"/>
      <c r="O1331" s="86">
        <v>0</v>
      </c>
      <c r="P1331" s="86">
        <v>22577057.999999996</v>
      </c>
      <c r="Q1331" s="86">
        <v>0</v>
      </c>
      <c r="R1331" s="87">
        <f t="shared" si="436"/>
        <v>0</v>
      </c>
      <c r="T1331" s="87">
        <v>0</v>
      </c>
      <c r="U1331" s="89"/>
      <c r="V1331" s="89">
        <v>0</v>
      </c>
      <c r="W1331" s="90"/>
      <c r="X1331" s="90">
        <v>0</v>
      </c>
      <c r="Y1331" s="90">
        <v>26207976.5</v>
      </c>
      <c r="Z1331" s="90">
        <v>298</v>
      </c>
      <c r="AA1331" s="90">
        <v>0</v>
      </c>
      <c r="AB1331" s="89">
        <f t="shared" si="439"/>
        <v>0</v>
      </c>
      <c r="AC1331" s="89">
        <f t="shared" si="440"/>
        <v>0</v>
      </c>
      <c r="AD1331" s="89">
        <f t="shared" si="441"/>
        <v>298</v>
      </c>
      <c r="AF1331" s="90" t="str">
        <f t="shared" si="443"/>
        <v/>
      </c>
      <c r="AH1331" s="90" t="str">
        <f t="shared" si="445"/>
        <v/>
      </c>
      <c r="AI1331" s="90">
        <f t="shared" si="446"/>
        <v>298</v>
      </c>
      <c r="AJ1331" s="90">
        <f t="shared" si="447"/>
        <v>2022</v>
      </c>
      <c r="AK1331" s="90" t="str">
        <f t="shared" si="448"/>
        <v/>
      </c>
      <c r="AL1331" s="91">
        <f>IF(AK1331="Adjust",(_xlfn.XLOOKUP(A1331,'Adj factor'!A:A,'Adj factor'!I:I,,0)*AI1331),'Master DataSheet (Rev)'!AI1331)</f>
        <v>298</v>
      </c>
      <c r="AM1331" s="91">
        <f t="shared" si="449"/>
        <v>298</v>
      </c>
      <c r="AN1331" s="92" t="str">
        <f t="shared" si="450"/>
        <v>Increasing</v>
      </c>
      <c r="AS1331" s="94">
        <f t="shared" si="451"/>
        <v>0</v>
      </c>
      <c r="AT1331" s="94">
        <f t="shared" si="452"/>
        <v>0</v>
      </c>
      <c r="AU1331" s="94">
        <f t="shared" si="437"/>
        <v>0.11370584066267</v>
      </c>
      <c r="AV1331" s="94">
        <f t="shared" si="438"/>
        <v>0.11370584066267</v>
      </c>
    </row>
    <row r="1332" spans="1:48" x14ac:dyDescent="0.3">
      <c r="A1332" s="85" t="str">
        <f>_xlfn.XLOOKUP(B1332,'Country codes &amp; Data sources'!G:G,'Country codes &amp; Data sources'!H:H,,0)</f>
        <v>Niger</v>
      </c>
      <c r="B1332" s="85" t="s">
        <v>190</v>
      </c>
      <c r="C1332" s="85">
        <v>17954410</v>
      </c>
      <c r="D1332" s="85" t="s">
        <v>329</v>
      </c>
      <c r="E1332" s="86">
        <v>0</v>
      </c>
      <c r="F1332" s="86">
        <v>18653199</v>
      </c>
      <c r="G1332" s="113">
        <v>3533</v>
      </c>
      <c r="H1332" s="86"/>
      <c r="I1332" s="86">
        <v>4940</v>
      </c>
      <c r="J1332" s="86"/>
      <c r="K1332" s="86">
        <v>3253</v>
      </c>
      <c r="L1332" s="86"/>
      <c r="M1332" s="86">
        <v>4746</v>
      </c>
      <c r="N1332" s="86"/>
      <c r="O1332" s="86">
        <v>0</v>
      </c>
      <c r="P1332" s="86">
        <v>22577057.999999996</v>
      </c>
      <c r="Q1332" s="86">
        <v>4107</v>
      </c>
      <c r="R1332" s="87">
        <f t="shared" si="436"/>
        <v>4107</v>
      </c>
      <c r="T1332" s="87">
        <v>0</v>
      </c>
      <c r="U1332" s="89"/>
      <c r="V1332" s="89">
        <v>0</v>
      </c>
      <c r="W1332" s="90"/>
      <c r="X1332" s="90">
        <v>0</v>
      </c>
      <c r="Y1332" s="90">
        <v>26207976.5</v>
      </c>
      <c r="Z1332" s="90">
        <v>4565</v>
      </c>
      <c r="AA1332" s="90">
        <v>3581</v>
      </c>
      <c r="AB1332" s="89">
        <f t="shared" si="439"/>
        <v>4940</v>
      </c>
      <c r="AC1332" s="89">
        <f t="shared" si="440"/>
        <v>4746</v>
      </c>
      <c r="AD1332" s="89">
        <f t="shared" si="441"/>
        <v>4565</v>
      </c>
      <c r="AE1332" s="90">
        <f t="shared" si="442"/>
        <v>3533</v>
      </c>
      <c r="AF1332" s="90">
        <v>2013</v>
      </c>
      <c r="AG1332" s="90">
        <f t="shared" si="444"/>
        <v>4107</v>
      </c>
      <c r="AH1332" s="90">
        <f t="shared" si="445"/>
        <v>2018</v>
      </c>
      <c r="AI1332" s="90">
        <f t="shared" si="446"/>
        <v>4565</v>
      </c>
      <c r="AJ1332" s="90">
        <f t="shared" si="447"/>
        <v>2022</v>
      </c>
      <c r="AK1332" s="90" t="str">
        <f t="shared" si="448"/>
        <v/>
      </c>
      <c r="AL1332" s="91">
        <f>IF(AK1332="Adjust",(_xlfn.XLOOKUP(A1332,'Adj factor'!A:A,'Adj factor'!I:I,,0)*AI1332),'Master DataSheet (Rev)'!AI1332)</f>
        <v>4565</v>
      </c>
      <c r="AM1332" s="91">
        <f t="shared" si="449"/>
        <v>4565</v>
      </c>
      <c r="AN1332" s="92" t="str">
        <f t="shared" si="450"/>
        <v>Increasing</v>
      </c>
      <c r="AS1332" s="94">
        <f t="shared" si="451"/>
        <v>1.894045091139595</v>
      </c>
      <c r="AT1332" s="94">
        <f t="shared" si="452"/>
        <v>1.8191032684595134</v>
      </c>
      <c r="AU1332" s="94">
        <f t="shared" si="437"/>
        <v>1.7418361161915725</v>
      </c>
      <c r="AV1332" s="94">
        <f t="shared" si="438"/>
        <v>1.7418361161915725</v>
      </c>
    </row>
    <row r="1333" spans="1:48" x14ac:dyDescent="0.3">
      <c r="A1333" s="85" t="str">
        <f>_xlfn.XLOOKUP(B1333,'Country codes &amp; Data sources'!G:G,'Country codes &amp; Data sources'!H:H,,0)</f>
        <v>Niger</v>
      </c>
      <c r="B1333" s="85" t="s">
        <v>190</v>
      </c>
      <c r="C1333" s="85">
        <v>17954411</v>
      </c>
      <c r="D1333" s="85" t="s">
        <v>330</v>
      </c>
      <c r="E1333" s="86">
        <v>0</v>
      </c>
      <c r="F1333" s="86">
        <v>18653199</v>
      </c>
      <c r="G1333" s="86">
        <v>0</v>
      </c>
      <c r="H1333" s="86"/>
      <c r="I1333" s="86">
        <v>0</v>
      </c>
      <c r="J1333" s="86"/>
      <c r="K1333" s="86">
        <v>0</v>
      </c>
      <c r="L1333" s="86"/>
      <c r="M1333" s="86">
        <v>0</v>
      </c>
      <c r="N1333" s="86"/>
      <c r="O1333" s="86">
        <v>0</v>
      </c>
      <c r="P1333" s="86">
        <v>22577057.999999996</v>
      </c>
      <c r="Q1333" s="86">
        <v>2398</v>
      </c>
      <c r="R1333" s="87">
        <f t="shared" si="436"/>
        <v>2398</v>
      </c>
      <c r="T1333" s="87">
        <v>0</v>
      </c>
      <c r="U1333" s="89"/>
      <c r="V1333" s="89">
        <v>0</v>
      </c>
      <c r="W1333" s="90"/>
      <c r="X1333" s="90">
        <v>0</v>
      </c>
      <c r="Y1333" s="90">
        <v>26207976.5</v>
      </c>
      <c r="Z1333" s="90">
        <v>4565</v>
      </c>
      <c r="AA1333" s="90">
        <v>2118</v>
      </c>
      <c r="AB1333" s="89">
        <f t="shared" si="439"/>
        <v>0</v>
      </c>
      <c r="AC1333" s="89">
        <f t="shared" si="440"/>
        <v>2398</v>
      </c>
      <c r="AD1333" s="89">
        <f t="shared" si="441"/>
        <v>4565</v>
      </c>
      <c r="AF1333" s="90" t="str">
        <f t="shared" si="443"/>
        <v/>
      </c>
      <c r="AG1333" s="90">
        <f t="shared" si="444"/>
        <v>2398</v>
      </c>
      <c r="AH1333" s="90">
        <f t="shared" si="445"/>
        <v>2018</v>
      </c>
      <c r="AI1333" s="90">
        <f t="shared" si="446"/>
        <v>4565</v>
      </c>
      <c r="AJ1333" s="90">
        <f t="shared" si="447"/>
        <v>2022</v>
      </c>
      <c r="AK1333" s="90" t="str">
        <f t="shared" si="448"/>
        <v/>
      </c>
      <c r="AL1333" s="91">
        <f>IF(AK1333="Adjust",(_xlfn.XLOOKUP(A1333,'Adj factor'!A:A,'Adj factor'!I:I,,0)*AI1333),'Master DataSheet (Rev)'!AI1333)</f>
        <v>4565</v>
      </c>
      <c r="AM1333" s="91">
        <f t="shared" si="449"/>
        <v>4565</v>
      </c>
      <c r="AN1333" s="92" t="str">
        <f t="shared" si="450"/>
        <v>Increasing</v>
      </c>
      <c r="AS1333" s="94">
        <f t="shared" si="451"/>
        <v>0</v>
      </c>
      <c r="AT1333" s="94">
        <f t="shared" si="452"/>
        <v>1.0621401601572713</v>
      </c>
      <c r="AU1333" s="94">
        <f t="shared" si="437"/>
        <v>1.7418361161915725</v>
      </c>
      <c r="AV1333" s="94">
        <f t="shared" si="438"/>
        <v>1.7418361161915725</v>
      </c>
    </row>
    <row r="1334" spans="1:48" x14ac:dyDescent="0.3">
      <c r="A1334" s="85" t="str">
        <f>_xlfn.XLOOKUP(B1334,'Country codes &amp; Data sources'!G:G,'Country codes &amp; Data sources'!H:H,,0)</f>
        <v>Niger</v>
      </c>
      <c r="B1334" s="85" t="s">
        <v>190</v>
      </c>
      <c r="C1334" s="85">
        <v>17954412</v>
      </c>
      <c r="D1334" s="85" t="s">
        <v>331</v>
      </c>
      <c r="E1334" s="86">
        <v>0</v>
      </c>
      <c r="F1334" s="86">
        <v>18653199</v>
      </c>
      <c r="G1334" s="86">
        <v>0</v>
      </c>
      <c r="H1334" s="86"/>
      <c r="I1334" s="86">
        <v>0</v>
      </c>
      <c r="J1334" s="86"/>
      <c r="K1334" s="86">
        <v>0</v>
      </c>
      <c r="L1334" s="86"/>
      <c r="M1334" s="86">
        <v>0</v>
      </c>
      <c r="N1334" s="86"/>
      <c r="O1334" s="86">
        <v>0</v>
      </c>
      <c r="P1334" s="86">
        <v>22577057.999999996</v>
      </c>
      <c r="Q1334" s="86">
        <v>1709</v>
      </c>
      <c r="R1334" s="87">
        <f t="shared" si="436"/>
        <v>1709</v>
      </c>
      <c r="T1334" s="87">
        <v>0</v>
      </c>
      <c r="U1334" s="89"/>
      <c r="V1334" s="89">
        <v>0</v>
      </c>
      <c r="W1334" s="90"/>
      <c r="X1334" s="90">
        <v>0</v>
      </c>
      <c r="Y1334" s="90">
        <v>26207976.5</v>
      </c>
      <c r="Z1334" s="90">
        <v>0</v>
      </c>
      <c r="AA1334" s="90">
        <v>1463</v>
      </c>
      <c r="AB1334" s="89">
        <f t="shared" si="439"/>
        <v>0</v>
      </c>
      <c r="AC1334" s="89">
        <f t="shared" si="440"/>
        <v>1709</v>
      </c>
      <c r="AD1334" s="89">
        <f t="shared" si="441"/>
        <v>0</v>
      </c>
      <c r="AF1334" s="90" t="str">
        <f t="shared" si="443"/>
        <v/>
      </c>
      <c r="AG1334" s="90">
        <f t="shared" si="444"/>
        <v>1709</v>
      </c>
      <c r="AH1334" s="90">
        <f t="shared" si="445"/>
        <v>2018</v>
      </c>
      <c r="AI1334" s="90">
        <f t="shared" si="446"/>
        <v>1709</v>
      </c>
      <c r="AJ1334" s="90">
        <f t="shared" si="447"/>
        <v>2018</v>
      </c>
      <c r="AK1334" s="90" t="str">
        <f t="shared" si="448"/>
        <v/>
      </c>
      <c r="AL1334" s="91">
        <f>IF(AK1334="Adjust",(_xlfn.XLOOKUP(A1334,'Adj factor'!A:A,'Adj factor'!I:I,,0)*AI1334),'Master DataSheet (Rev)'!AI1334)</f>
        <v>1709</v>
      </c>
      <c r="AM1334" s="91">
        <f t="shared" si="449"/>
        <v>1709</v>
      </c>
      <c r="AN1334" s="92" t="str">
        <f t="shared" si="450"/>
        <v>No change</v>
      </c>
      <c r="AS1334" s="94">
        <f t="shared" si="451"/>
        <v>0</v>
      </c>
      <c r="AT1334" s="94">
        <f t="shared" si="452"/>
        <v>0.75696310830224212</v>
      </c>
      <c r="AU1334" s="94">
        <f t="shared" si="437"/>
        <v>0.6520915493037015</v>
      </c>
      <c r="AV1334" s="94">
        <f t="shared" si="438"/>
        <v>0.6520915493037015</v>
      </c>
    </row>
    <row r="1335" spans="1:48" x14ac:dyDescent="0.3">
      <c r="A1335" s="85" t="str">
        <f>_xlfn.XLOOKUP(B1335,'Country codes &amp; Data sources'!G:G,'Country codes &amp; Data sources'!H:H,,0)</f>
        <v>Niger</v>
      </c>
      <c r="B1335" s="85" t="s">
        <v>190</v>
      </c>
      <c r="C1335" s="85">
        <v>17954413</v>
      </c>
      <c r="D1335" s="85" t="s">
        <v>332</v>
      </c>
      <c r="E1335" s="86">
        <v>894</v>
      </c>
      <c r="F1335" s="86">
        <v>18653199</v>
      </c>
      <c r="G1335" s="113">
        <v>917</v>
      </c>
      <c r="H1335" s="86"/>
      <c r="I1335" s="86">
        <v>959</v>
      </c>
      <c r="J1335" s="86"/>
      <c r="K1335" s="86">
        <v>824</v>
      </c>
      <c r="L1335" s="86"/>
      <c r="M1335" s="86">
        <v>856</v>
      </c>
      <c r="N1335" s="86"/>
      <c r="O1335" s="86">
        <v>0</v>
      </c>
      <c r="P1335" s="86">
        <v>22577057.999999996</v>
      </c>
      <c r="Q1335" s="86">
        <v>906</v>
      </c>
      <c r="R1335" s="87">
        <f t="shared" si="436"/>
        <v>906</v>
      </c>
      <c r="T1335" s="87">
        <v>0</v>
      </c>
      <c r="U1335" s="89"/>
      <c r="V1335" s="89">
        <v>0</v>
      </c>
      <c r="W1335" s="90"/>
      <c r="X1335" s="90">
        <v>0</v>
      </c>
      <c r="Y1335" s="90">
        <v>26207976.5</v>
      </c>
      <c r="Z1335" s="90">
        <v>718</v>
      </c>
      <c r="AA1335" s="90">
        <v>902</v>
      </c>
      <c r="AB1335" s="89">
        <f t="shared" si="439"/>
        <v>959</v>
      </c>
      <c r="AC1335" s="89">
        <f t="shared" si="440"/>
        <v>906</v>
      </c>
      <c r="AD1335" s="89">
        <f t="shared" si="441"/>
        <v>718</v>
      </c>
      <c r="AE1335" s="90">
        <f t="shared" si="442"/>
        <v>917</v>
      </c>
      <c r="AF1335" s="90">
        <v>2013</v>
      </c>
      <c r="AG1335" s="90">
        <f t="shared" si="444"/>
        <v>906</v>
      </c>
      <c r="AH1335" s="90">
        <f t="shared" si="445"/>
        <v>2018</v>
      </c>
      <c r="AI1335" s="90">
        <f t="shared" si="446"/>
        <v>718</v>
      </c>
      <c r="AJ1335" s="90">
        <f t="shared" si="447"/>
        <v>2022</v>
      </c>
      <c r="AK1335" s="90" t="str">
        <f t="shared" si="448"/>
        <v>Adjust</v>
      </c>
      <c r="AL1335" s="91">
        <f>IF(AK1335="Adjust",(_xlfn.XLOOKUP(A1335,'Adj factor'!A:A,'Adj factor'!I:I,,0)*AI1335),'Master DataSheet (Rev)'!AI1335)</f>
        <v>825.19642662205808</v>
      </c>
      <c r="AM1335" s="91">
        <f t="shared" si="449"/>
        <v>906</v>
      </c>
      <c r="AN1335" s="92" t="str">
        <f t="shared" si="450"/>
        <v>Decreasing</v>
      </c>
      <c r="AS1335" s="94">
        <f t="shared" si="451"/>
        <v>0.49160468400085156</v>
      </c>
      <c r="AT1335" s="94">
        <f t="shared" si="452"/>
        <v>0.40129232072664212</v>
      </c>
      <c r="AU1335" s="94">
        <f t="shared" si="437"/>
        <v>0.31486460872782684</v>
      </c>
      <c r="AV1335" s="94">
        <f t="shared" si="438"/>
        <v>0.34569628067241287</v>
      </c>
    </row>
    <row r="1336" spans="1:48" x14ac:dyDescent="0.3">
      <c r="A1336" s="85" t="str">
        <f>_xlfn.XLOOKUP(B1336,'Country codes &amp; Data sources'!G:G,'Country codes &amp; Data sources'!H:H,,0)</f>
        <v>Niger</v>
      </c>
      <c r="B1336" s="85" t="s">
        <v>190</v>
      </c>
      <c r="C1336" s="85">
        <v>17954414</v>
      </c>
      <c r="D1336" s="85" t="s">
        <v>333</v>
      </c>
      <c r="E1336" s="86">
        <v>0</v>
      </c>
      <c r="F1336" s="86">
        <v>18653199</v>
      </c>
      <c r="G1336" s="86">
        <v>829</v>
      </c>
      <c r="H1336" s="86"/>
      <c r="I1336" s="86">
        <v>947</v>
      </c>
      <c r="J1336" s="86"/>
      <c r="K1336" s="86">
        <v>817</v>
      </c>
      <c r="L1336" s="86"/>
      <c r="M1336" s="86">
        <v>851</v>
      </c>
      <c r="N1336" s="86"/>
      <c r="O1336" s="86">
        <v>0</v>
      </c>
      <c r="P1336" s="86">
        <v>22577057.999999996</v>
      </c>
      <c r="Q1336" s="86">
        <v>903</v>
      </c>
      <c r="R1336" s="87">
        <f t="shared" si="436"/>
        <v>903</v>
      </c>
      <c r="T1336" s="87">
        <v>0</v>
      </c>
      <c r="U1336" s="89"/>
      <c r="V1336" s="89">
        <v>0</v>
      </c>
      <c r="W1336" s="90"/>
      <c r="X1336" s="90">
        <v>0</v>
      </c>
      <c r="Y1336" s="90">
        <v>26207976.5</v>
      </c>
      <c r="Z1336" s="90">
        <v>718</v>
      </c>
      <c r="AA1336" s="90">
        <v>896</v>
      </c>
      <c r="AB1336" s="89">
        <f t="shared" si="439"/>
        <v>947</v>
      </c>
      <c r="AC1336" s="89">
        <f t="shared" si="440"/>
        <v>903</v>
      </c>
      <c r="AD1336" s="89">
        <f t="shared" si="441"/>
        <v>718</v>
      </c>
      <c r="AE1336" s="90">
        <f t="shared" si="442"/>
        <v>829</v>
      </c>
      <c r="AF1336" s="90">
        <f t="shared" si="443"/>
        <v>2013</v>
      </c>
      <c r="AG1336" s="90">
        <f t="shared" si="444"/>
        <v>903</v>
      </c>
      <c r="AH1336" s="90">
        <f t="shared" si="445"/>
        <v>2018</v>
      </c>
      <c r="AI1336" s="90">
        <f t="shared" si="446"/>
        <v>718</v>
      </c>
      <c r="AJ1336" s="90">
        <f t="shared" si="447"/>
        <v>2022</v>
      </c>
      <c r="AK1336" s="90" t="str">
        <f t="shared" si="448"/>
        <v>Adjust</v>
      </c>
      <c r="AL1336" s="91">
        <f>IF(AK1336="Adjust",(_xlfn.XLOOKUP(A1336,'Adj factor'!A:A,'Adj factor'!I:I,,0)*AI1336),'Master DataSheet (Rev)'!AI1336)</f>
        <v>825.19642662205808</v>
      </c>
      <c r="AM1336" s="91">
        <f t="shared" si="449"/>
        <v>903</v>
      </c>
      <c r="AN1336" s="92" t="str">
        <f t="shared" si="450"/>
        <v>Decreasing</v>
      </c>
      <c r="AS1336" s="94">
        <f t="shared" si="451"/>
        <v>0.4444277895711079</v>
      </c>
      <c r="AT1336" s="94">
        <f t="shared" si="452"/>
        <v>0.39996353820767971</v>
      </c>
      <c r="AU1336" s="94">
        <f t="shared" si="437"/>
        <v>0.31486460872782684</v>
      </c>
      <c r="AV1336" s="94">
        <f t="shared" si="438"/>
        <v>0.34455159100131216</v>
      </c>
    </row>
    <row r="1337" spans="1:48" x14ac:dyDescent="0.3">
      <c r="A1337" s="85" t="str">
        <f>_xlfn.XLOOKUP(B1337,'Country codes &amp; Data sources'!G:G,'Country codes &amp; Data sources'!H:H,,0)</f>
        <v>Niger</v>
      </c>
      <c r="B1337" s="85" t="s">
        <v>190</v>
      </c>
      <c r="C1337" s="85">
        <v>17954415</v>
      </c>
      <c r="D1337" s="85" t="s">
        <v>334</v>
      </c>
      <c r="E1337" s="86">
        <v>0</v>
      </c>
      <c r="F1337" s="86">
        <v>18653199</v>
      </c>
      <c r="G1337" s="86">
        <v>0</v>
      </c>
      <c r="H1337" s="86"/>
      <c r="I1337" s="86">
        <v>12</v>
      </c>
      <c r="J1337" s="86"/>
      <c r="K1337" s="86">
        <v>7</v>
      </c>
      <c r="L1337" s="86"/>
      <c r="M1337" s="86">
        <v>5</v>
      </c>
      <c r="N1337" s="86"/>
      <c r="O1337" s="86">
        <v>0</v>
      </c>
      <c r="P1337" s="86">
        <v>22577057.999999996</v>
      </c>
      <c r="Q1337" s="86">
        <v>3</v>
      </c>
      <c r="R1337" s="87">
        <f t="shared" si="436"/>
        <v>6</v>
      </c>
      <c r="T1337" s="87">
        <v>0</v>
      </c>
      <c r="U1337" s="89"/>
      <c r="V1337" s="89">
        <v>0</v>
      </c>
      <c r="W1337" s="90"/>
      <c r="X1337" s="90">
        <v>0</v>
      </c>
      <c r="Y1337" s="90">
        <v>26207976.5</v>
      </c>
      <c r="Z1337" s="90">
        <v>0</v>
      </c>
      <c r="AA1337" s="90">
        <v>6</v>
      </c>
      <c r="AB1337" s="89">
        <f t="shared" si="439"/>
        <v>12</v>
      </c>
      <c r="AC1337" s="89">
        <f t="shared" si="440"/>
        <v>5</v>
      </c>
      <c r="AD1337" s="89">
        <f t="shared" si="441"/>
        <v>0</v>
      </c>
      <c r="AE1337" s="90">
        <f t="shared" si="442"/>
        <v>12</v>
      </c>
      <c r="AF1337" s="90">
        <f t="shared" si="443"/>
        <v>2014</v>
      </c>
      <c r="AG1337" s="90">
        <f t="shared" si="444"/>
        <v>6</v>
      </c>
      <c r="AH1337" s="90" t="str">
        <f t="shared" si="445"/>
        <v>2018 (triag)</v>
      </c>
      <c r="AI1337" s="90">
        <f t="shared" si="446"/>
        <v>6</v>
      </c>
      <c r="AJ1337" s="90" t="str">
        <f t="shared" si="447"/>
        <v>2018 (triag)</v>
      </c>
      <c r="AK1337" s="90" t="str">
        <f t="shared" si="448"/>
        <v/>
      </c>
      <c r="AL1337" s="91">
        <f>IF(AK1337="Adjust",(_xlfn.XLOOKUP(A1337,'Adj factor'!A:A,'Adj factor'!I:I,,0)*AI1337),'Master DataSheet (Rev)'!AI1337)</f>
        <v>6</v>
      </c>
      <c r="AM1337" s="91">
        <f t="shared" si="449"/>
        <v>6</v>
      </c>
      <c r="AN1337" s="92" t="str">
        <f t="shared" si="450"/>
        <v>No change</v>
      </c>
      <c r="AS1337" s="94">
        <f t="shared" si="451"/>
        <v>6.4332128767832265E-3</v>
      </c>
      <c r="AT1337" s="94">
        <f t="shared" si="452"/>
        <v>2.6575650379247824E-3</v>
      </c>
      <c r="AU1337" s="94">
        <f t="shared" si="437"/>
        <v>2.2893793422014094E-3</v>
      </c>
      <c r="AV1337" s="94">
        <f t="shared" si="438"/>
        <v>2.2893793422014094E-3</v>
      </c>
    </row>
    <row r="1338" spans="1:48" x14ac:dyDescent="0.3">
      <c r="A1338" s="85" t="str">
        <f>_xlfn.XLOOKUP(B1338,'Country codes &amp; Data sources'!G:G,'Country codes &amp; Data sources'!H:H,,0)</f>
        <v>Niger</v>
      </c>
      <c r="B1338" s="85" t="s">
        <v>190</v>
      </c>
      <c r="C1338" s="85">
        <v>17954416</v>
      </c>
      <c r="D1338" s="85" t="s">
        <v>335</v>
      </c>
      <c r="E1338" s="86">
        <v>53</v>
      </c>
      <c r="F1338" s="86">
        <v>18653199</v>
      </c>
      <c r="G1338" s="86">
        <v>51</v>
      </c>
      <c r="H1338" s="86"/>
      <c r="I1338" s="86">
        <v>0</v>
      </c>
      <c r="J1338" s="86"/>
      <c r="K1338" s="86">
        <v>50</v>
      </c>
      <c r="L1338" s="86"/>
      <c r="M1338" s="86">
        <v>24</v>
      </c>
      <c r="N1338" s="86"/>
      <c r="O1338" s="86">
        <v>0</v>
      </c>
      <c r="P1338" s="86">
        <v>22577057.999999996</v>
      </c>
      <c r="Q1338" s="86">
        <v>60</v>
      </c>
      <c r="R1338" s="87">
        <f t="shared" si="436"/>
        <v>60</v>
      </c>
      <c r="T1338" s="87">
        <v>0</v>
      </c>
      <c r="U1338" s="89"/>
      <c r="V1338" s="89">
        <v>0</v>
      </c>
      <c r="W1338" s="90"/>
      <c r="X1338" s="90">
        <v>0</v>
      </c>
      <c r="Y1338" s="90">
        <v>26207976.5</v>
      </c>
      <c r="Z1338" s="90">
        <v>43</v>
      </c>
      <c r="AA1338" s="90">
        <v>60</v>
      </c>
      <c r="AB1338" s="89">
        <f t="shared" si="439"/>
        <v>53</v>
      </c>
      <c r="AC1338" s="89">
        <f t="shared" si="440"/>
        <v>60</v>
      </c>
      <c r="AD1338" s="89">
        <f t="shared" si="441"/>
        <v>43</v>
      </c>
      <c r="AE1338" s="90">
        <f t="shared" si="442"/>
        <v>51</v>
      </c>
      <c r="AF1338" s="90">
        <f t="shared" si="443"/>
        <v>2013</v>
      </c>
      <c r="AG1338" s="90">
        <f t="shared" si="444"/>
        <v>60</v>
      </c>
      <c r="AH1338" s="90">
        <f t="shared" si="445"/>
        <v>2018</v>
      </c>
      <c r="AI1338" s="90">
        <f t="shared" si="446"/>
        <v>43</v>
      </c>
      <c r="AJ1338" s="90">
        <f t="shared" si="447"/>
        <v>2022</v>
      </c>
      <c r="AK1338" s="90" t="str">
        <f t="shared" si="448"/>
        <v>Adjust</v>
      </c>
      <c r="AL1338" s="91">
        <f>IF(AK1338="Adjust",(_xlfn.XLOOKUP(A1338,'Adj factor'!A:A,'Adj factor'!I:I,,0)*AI1338),'Master DataSheet (Rev)'!AI1338)</f>
        <v>49.419841705777856</v>
      </c>
      <c r="AM1338" s="91">
        <f t="shared" si="449"/>
        <v>60</v>
      </c>
      <c r="AN1338" s="92" t="str">
        <f t="shared" si="450"/>
        <v>Decreasing</v>
      </c>
      <c r="AS1338" s="94">
        <f t="shared" si="451"/>
        <v>2.7341154726328712E-2</v>
      </c>
      <c r="AT1338" s="94">
        <f t="shared" si="452"/>
        <v>2.6575650379247823E-2</v>
      </c>
      <c r="AU1338" s="94">
        <f t="shared" si="437"/>
        <v>1.8856794116011915E-2</v>
      </c>
      <c r="AV1338" s="94">
        <f t="shared" si="438"/>
        <v>2.2893793422014096E-2</v>
      </c>
    </row>
    <row r="1339" spans="1:48" x14ac:dyDescent="0.3">
      <c r="A1339" s="85" t="str">
        <f>_xlfn.XLOOKUP(B1339,'Country codes &amp; Data sources'!G:G,'Country codes &amp; Data sources'!H:H,,0)</f>
        <v>Niger</v>
      </c>
      <c r="B1339" s="85" t="s">
        <v>190</v>
      </c>
      <c r="C1339" s="85">
        <v>17954417</v>
      </c>
      <c r="D1339" s="85" t="s">
        <v>336</v>
      </c>
      <c r="E1339" s="86">
        <v>0</v>
      </c>
      <c r="F1339" s="86">
        <v>18653199</v>
      </c>
      <c r="G1339" s="86">
        <v>0</v>
      </c>
      <c r="H1339" s="86"/>
      <c r="I1339" s="86">
        <v>0</v>
      </c>
      <c r="J1339" s="86"/>
      <c r="K1339" s="86">
        <v>0</v>
      </c>
      <c r="L1339" s="86"/>
      <c r="M1339" s="86">
        <v>0</v>
      </c>
      <c r="N1339" s="86"/>
      <c r="O1339" s="86">
        <v>0</v>
      </c>
      <c r="P1339" s="86">
        <v>22577057.999999996</v>
      </c>
      <c r="Q1339" s="86">
        <v>0</v>
      </c>
      <c r="R1339" s="87">
        <f t="shared" si="436"/>
        <v>0</v>
      </c>
      <c r="T1339" s="87">
        <v>0</v>
      </c>
      <c r="U1339" s="89"/>
      <c r="V1339" s="89">
        <v>0</v>
      </c>
      <c r="W1339" s="90"/>
      <c r="X1339" s="90">
        <v>0</v>
      </c>
      <c r="Y1339" s="90">
        <v>26207976.5</v>
      </c>
      <c r="Z1339" s="90">
        <v>4</v>
      </c>
      <c r="AA1339" s="90">
        <v>0</v>
      </c>
      <c r="AB1339" s="89">
        <f t="shared" si="439"/>
        <v>0</v>
      </c>
      <c r="AC1339" s="89">
        <f t="shared" si="440"/>
        <v>0</v>
      </c>
      <c r="AD1339" s="89">
        <f t="shared" si="441"/>
        <v>4</v>
      </c>
      <c r="AF1339" s="90" t="str">
        <f t="shared" si="443"/>
        <v/>
      </c>
      <c r="AH1339" s="90" t="str">
        <f t="shared" si="445"/>
        <v/>
      </c>
      <c r="AI1339" s="90">
        <f t="shared" si="446"/>
        <v>4</v>
      </c>
      <c r="AJ1339" s="90">
        <f t="shared" si="447"/>
        <v>2022</v>
      </c>
      <c r="AK1339" s="90" t="str">
        <f t="shared" si="448"/>
        <v/>
      </c>
      <c r="AL1339" s="91">
        <f>IF(AK1339="Adjust",(_xlfn.XLOOKUP(A1339,'Adj factor'!A:A,'Adj factor'!I:I,,0)*AI1339),'Master DataSheet (Rev)'!AI1339)</f>
        <v>4</v>
      </c>
      <c r="AM1339" s="91">
        <f t="shared" si="449"/>
        <v>4</v>
      </c>
      <c r="AN1339" s="92" t="str">
        <f t="shared" si="450"/>
        <v>Increasing</v>
      </c>
      <c r="AS1339" s="94">
        <f t="shared" si="451"/>
        <v>0</v>
      </c>
      <c r="AT1339" s="94">
        <f t="shared" si="452"/>
        <v>0</v>
      </c>
      <c r="AU1339" s="94">
        <f t="shared" si="437"/>
        <v>1.5262528948009398E-3</v>
      </c>
      <c r="AV1339" s="94">
        <f t="shared" si="438"/>
        <v>1.5262528948009398E-3</v>
      </c>
    </row>
    <row r="1340" spans="1:48" x14ac:dyDescent="0.3">
      <c r="A1340" s="85" t="str">
        <f>_xlfn.XLOOKUP(B1340,'Country codes &amp; Data sources'!G:G,'Country codes &amp; Data sources'!H:H,,0)</f>
        <v>Niger</v>
      </c>
      <c r="B1340" s="85" t="s">
        <v>190</v>
      </c>
      <c r="C1340" s="85">
        <v>17954418</v>
      </c>
      <c r="D1340" s="85" t="s">
        <v>337</v>
      </c>
      <c r="E1340" s="86">
        <v>0</v>
      </c>
      <c r="F1340" s="86">
        <v>18653199</v>
      </c>
      <c r="G1340" s="86">
        <v>30</v>
      </c>
      <c r="H1340" s="86"/>
      <c r="I1340" s="86">
        <v>21</v>
      </c>
      <c r="J1340" s="86"/>
      <c r="K1340" s="86">
        <v>30</v>
      </c>
      <c r="L1340" s="86"/>
      <c r="M1340" s="86">
        <v>18</v>
      </c>
      <c r="N1340" s="86"/>
      <c r="O1340" s="86">
        <v>0</v>
      </c>
      <c r="P1340" s="86">
        <v>22577057.999999996</v>
      </c>
      <c r="Q1340" s="86">
        <v>30</v>
      </c>
      <c r="R1340" s="87">
        <f t="shared" si="436"/>
        <v>30</v>
      </c>
      <c r="T1340" s="87">
        <v>0</v>
      </c>
      <c r="U1340" s="89"/>
      <c r="V1340" s="89">
        <v>0</v>
      </c>
      <c r="W1340" s="90"/>
      <c r="X1340" s="90">
        <v>0</v>
      </c>
      <c r="Y1340" s="90">
        <v>26207976.5</v>
      </c>
      <c r="Z1340" s="90">
        <v>24</v>
      </c>
      <c r="AA1340" s="90">
        <v>30</v>
      </c>
      <c r="AB1340" s="89">
        <f t="shared" si="439"/>
        <v>30</v>
      </c>
      <c r="AC1340" s="89">
        <f t="shared" si="440"/>
        <v>30</v>
      </c>
      <c r="AD1340" s="89">
        <f t="shared" si="441"/>
        <v>24</v>
      </c>
      <c r="AE1340" s="90">
        <f t="shared" si="442"/>
        <v>30</v>
      </c>
      <c r="AF1340" s="90">
        <f t="shared" si="443"/>
        <v>2013</v>
      </c>
      <c r="AG1340" s="90">
        <f t="shared" si="444"/>
        <v>30</v>
      </c>
      <c r="AH1340" s="90">
        <f t="shared" si="445"/>
        <v>2018</v>
      </c>
      <c r="AI1340" s="90">
        <f t="shared" si="446"/>
        <v>24</v>
      </c>
      <c r="AJ1340" s="90">
        <f t="shared" si="447"/>
        <v>2022</v>
      </c>
      <c r="AK1340" s="90" t="str">
        <f t="shared" si="448"/>
        <v>Adjust</v>
      </c>
      <c r="AL1340" s="91">
        <f>IF(AK1340="Adjust",(_xlfn.XLOOKUP(A1340,'Adj factor'!A:A,'Adj factor'!I:I,,0)*AI1340),'Master DataSheet (Rev)'!AI1340)</f>
        <v>27.583167463689964</v>
      </c>
      <c r="AM1340" s="91">
        <f t="shared" si="449"/>
        <v>30</v>
      </c>
      <c r="AN1340" s="92" t="str">
        <f t="shared" si="450"/>
        <v>Decreasing</v>
      </c>
      <c r="AS1340" s="94">
        <f t="shared" si="451"/>
        <v>1.6083032191958065E-2</v>
      </c>
      <c r="AT1340" s="94">
        <f t="shared" si="452"/>
        <v>1.3287825189623912E-2</v>
      </c>
      <c r="AU1340" s="94">
        <f t="shared" si="437"/>
        <v>1.0524722297308976E-2</v>
      </c>
      <c r="AV1340" s="94">
        <f t="shared" si="438"/>
        <v>1.1446896711007048E-2</v>
      </c>
    </row>
    <row r="1341" spans="1:48" x14ac:dyDescent="0.3">
      <c r="A1341" s="85" t="str">
        <f>_xlfn.XLOOKUP(B1341,'Country codes &amp; Data sources'!G:G,'Country codes &amp; Data sources'!H:H,,0)</f>
        <v>Niger</v>
      </c>
      <c r="B1341" s="85" t="s">
        <v>190</v>
      </c>
      <c r="C1341" s="85">
        <v>17954419</v>
      </c>
      <c r="D1341" s="85" t="s">
        <v>338</v>
      </c>
      <c r="E1341" s="86">
        <v>0</v>
      </c>
      <c r="F1341" s="86">
        <v>18653199</v>
      </c>
      <c r="G1341" s="86">
        <v>0</v>
      </c>
      <c r="H1341" s="86"/>
      <c r="I1341" s="86">
        <v>0</v>
      </c>
      <c r="J1341" s="86"/>
      <c r="K1341" s="86">
        <v>0</v>
      </c>
      <c r="L1341" s="86"/>
      <c r="M1341" s="86">
        <v>0</v>
      </c>
      <c r="N1341" s="86"/>
      <c r="O1341" s="86">
        <v>0</v>
      </c>
      <c r="P1341" s="86">
        <v>22577057.999999996</v>
      </c>
      <c r="Q1341" s="86">
        <v>0</v>
      </c>
      <c r="R1341" s="87">
        <f t="shared" si="436"/>
        <v>0</v>
      </c>
      <c r="T1341" s="87">
        <v>0</v>
      </c>
      <c r="U1341" s="89"/>
      <c r="V1341" s="89">
        <v>0</v>
      </c>
      <c r="W1341" s="90"/>
      <c r="X1341" s="90">
        <v>0</v>
      </c>
      <c r="Y1341" s="90">
        <v>26207976.5</v>
      </c>
      <c r="Z1341" s="90">
        <v>0</v>
      </c>
      <c r="AA1341" s="90">
        <v>0</v>
      </c>
      <c r="AB1341" s="89">
        <f t="shared" si="439"/>
        <v>0</v>
      </c>
      <c r="AC1341" s="89">
        <f t="shared" si="440"/>
        <v>0</v>
      </c>
      <c r="AD1341" s="89">
        <f t="shared" si="441"/>
        <v>0</v>
      </c>
      <c r="AF1341" s="90" t="str">
        <f t="shared" si="443"/>
        <v/>
      </c>
      <c r="AH1341" s="90" t="str">
        <f t="shared" si="445"/>
        <v/>
      </c>
      <c r="AI1341" s="90">
        <f t="shared" si="446"/>
        <v>0</v>
      </c>
      <c r="AJ1341" s="90" t="str">
        <f t="shared" si="447"/>
        <v/>
      </c>
      <c r="AK1341" s="90" t="str">
        <f t="shared" si="448"/>
        <v/>
      </c>
      <c r="AL1341" s="91"/>
      <c r="AM1341" s="91">
        <f t="shared" si="449"/>
        <v>0</v>
      </c>
      <c r="AN1341" s="92" t="str">
        <f t="shared" si="450"/>
        <v>No change</v>
      </c>
      <c r="AS1341" s="94">
        <f t="shared" si="451"/>
        <v>0</v>
      </c>
      <c r="AT1341" s="94">
        <f t="shared" si="452"/>
        <v>0</v>
      </c>
      <c r="AU1341" s="94">
        <f t="shared" si="437"/>
        <v>0</v>
      </c>
      <c r="AV1341" s="94">
        <f t="shared" si="438"/>
        <v>0</v>
      </c>
    </row>
    <row r="1342" spans="1:48" x14ac:dyDescent="0.3">
      <c r="A1342" s="85" t="str">
        <f>_xlfn.XLOOKUP(B1342,'Country codes &amp; Data sources'!G:G,'Country codes &amp; Data sources'!H:H,,0)</f>
        <v>Niger</v>
      </c>
      <c r="B1342" s="85" t="s">
        <v>190</v>
      </c>
      <c r="C1342" s="85">
        <v>17954420</v>
      </c>
      <c r="D1342" s="85" t="s">
        <v>339</v>
      </c>
      <c r="E1342" s="86">
        <v>0</v>
      </c>
      <c r="F1342" s="86">
        <v>18653199</v>
      </c>
      <c r="G1342" s="86">
        <v>0</v>
      </c>
      <c r="H1342" s="86"/>
      <c r="I1342" s="86">
        <v>0</v>
      </c>
      <c r="J1342" s="86"/>
      <c r="K1342" s="86">
        <v>0</v>
      </c>
      <c r="L1342" s="86"/>
      <c r="M1342" s="86">
        <v>0</v>
      </c>
      <c r="N1342" s="86"/>
      <c r="O1342" s="86">
        <v>0</v>
      </c>
      <c r="P1342" s="86">
        <v>22577057.999999996</v>
      </c>
      <c r="Q1342" s="86">
        <v>0</v>
      </c>
      <c r="R1342" s="87">
        <f t="shared" si="436"/>
        <v>0</v>
      </c>
      <c r="T1342" s="87">
        <v>0</v>
      </c>
      <c r="U1342" s="89"/>
      <c r="V1342" s="89">
        <v>0</v>
      </c>
      <c r="W1342" s="90"/>
      <c r="X1342" s="90">
        <v>0</v>
      </c>
      <c r="Y1342" s="90">
        <v>26207976.5</v>
      </c>
      <c r="Z1342" s="90">
        <v>0</v>
      </c>
      <c r="AA1342" s="90">
        <v>0</v>
      </c>
      <c r="AB1342" s="89">
        <f t="shared" si="439"/>
        <v>0</v>
      </c>
      <c r="AC1342" s="89">
        <f t="shared" si="440"/>
        <v>0</v>
      </c>
      <c r="AD1342" s="89">
        <f t="shared" si="441"/>
        <v>0</v>
      </c>
      <c r="AF1342" s="90" t="str">
        <f t="shared" si="443"/>
        <v/>
      </c>
      <c r="AH1342" s="90" t="str">
        <f t="shared" si="445"/>
        <v/>
      </c>
      <c r="AI1342" s="90">
        <f t="shared" si="446"/>
        <v>0</v>
      </c>
      <c r="AJ1342" s="90" t="str">
        <f t="shared" si="447"/>
        <v/>
      </c>
      <c r="AK1342" s="90" t="str">
        <f t="shared" si="448"/>
        <v/>
      </c>
      <c r="AL1342" s="91"/>
      <c r="AM1342" s="91">
        <f t="shared" si="449"/>
        <v>0</v>
      </c>
      <c r="AN1342" s="92" t="str">
        <f t="shared" si="450"/>
        <v>No change</v>
      </c>
      <c r="AS1342" s="94">
        <f t="shared" si="451"/>
        <v>0</v>
      </c>
      <c r="AT1342" s="94">
        <f t="shared" si="452"/>
        <v>0</v>
      </c>
      <c r="AU1342" s="94">
        <f t="shared" si="437"/>
        <v>0</v>
      </c>
      <c r="AV1342" s="94">
        <f t="shared" si="438"/>
        <v>0</v>
      </c>
    </row>
    <row r="1343" spans="1:48" x14ac:dyDescent="0.3">
      <c r="A1343" s="85" t="str">
        <f>_xlfn.XLOOKUP(B1343,'Country codes &amp; Data sources'!G:G,'Country codes &amp; Data sources'!H:H,,0)</f>
        <v>Nigeria</v>
      </c>
      <c r="B1343" s="85" t="s">
        <v>156</v>
      </c>
      <c r="C1343" s="85">
        <v>170075931.5</v>
      </c>
      <c r="D1343" s="85" t="s">
        <v>326</v>
      </c>
      <c r="E1343" s="86">
        <v>0</v>
      </c>
      <c r="F1343" s="86">
        <v>174726123.50000006</v>
      </c>
      <c r="G1343" s="86">
        <v>65759</v>
      </c>
      <c r="H1343" s="86">
        <v>179379016.5</v>
      </c>
      <c r="I1343" s="86">
        <v>0</v>
      </c>
      <c r="J1343" s="86">
        <v>183995784.49999991</v>
      </c>
      <c r="K1343" s="86">
        <v>0</v>
      </c>
      <c r="L1343" s="86">
        <v>188666930.99999988</v>
      </c>
      <c r="M1343" s="86">
        <v>83565</v>
      </c>
      <c r="N1343" s="86">
        <v>193495906.50000003</v>
      </c>
      <c r="O1343" s="86">
        <v>0</v>
      </c>
      <c r="P1343" s="86">
        <v>198387623.50000006</v>
      </c>
      <c r="Q1343" s="86">
        <v>74543</v>
      </c>
      <c r="R1343" s="87">
        <f t="shared" ref="R1343:R1406" si="453">MAX(Q1343,AA1343)</f>
        <v>83907</v>
      </c>
      <c r="S1343" s="87">
        <v>203304491.50000006</v>
      </c>
      <c r="T1343" s="87">
        <v>74543</v>
      </c>
      <c r="U1343" s="89">
        <v>208327404.49999994</v>
      </c>
      <c r="V1343" s="89">
        <v>0</v>
      </c>
      <c r="W1343" s="90">
        <v>213401322.49999997</v>
      </c>
      <c r="X1343" s="90">
        <v>84277</v>
      </c>
      <c r="Y1343" s="90">
        <v>218541211.50000003</v>
      </c>
      <c r="Z1343" s="90">
        <v>86181</v>
      </c>
      <c r="AA1343" s="90">
        <v>83907</v>
      </c>
      <c r="AB1343" s="89">
        <f t="shared" si="439"/>
        <v>65759</v>
      </c>
      <c r="AC1343" s="89">
        <f t="shared" si="440"/>
        <v>83565</v>
      </c>
      <c r="AD1343" s="89">
        <f t="shared" si="441"/>
        <v>86181</v>
      </c>
      <c r="AE1343" s="90">
        <f t="shared" si="442"/>
        <v>65759</v>
      </c>
      <c r="AF1343" s="90">
        <f t="shared" si="443"/>
        <v>2013</v>
      </c>
      <c r="AG1343" s="90">
        <f t="shared" si="444"/>
        <v>83907</v>
      </c>
      <c r="AH1343" s="90" t="str">
        <f t="shared" si="445"/>
        <v>2018 (triag)</v>
      </c>
      <c r="AI1343" s="90">
        <f t="shared" si="446"/>
        <v>86181</v>
      </c>
      <c r="AJ1343" s="90">
        <f t="shared" si="447"/>
        <v>2022</v>
      </c>
      <c r="AK1343" s="90" t="str">
        <f t="shared" si="448"/>
        <v/>
      </c>
      <c r="AL1343" s="91">
        <f>IF(AK1343="Adjust",(_xlfn.XLOOKUP(A1343,'Adj factor'!A:A,'Adj factor'!I:I,,0)*AI1343),'Master DataSheet (Rev)'!AI1343)</f>
        <v>86181</v>
      </c>
      <c r="AM1343" s="91">
        <f t="shared" si="449"/>
        <v>86181</v>
      </c>
      <c r="AN1343" s="92" t="str">
        <f t="shared" si="450"/>
        <v>Increasing</v>
      </c>
      <c r="AS1343" s="94">
        <f t="shared" si="451"/>
        <v>3.7635471263688842</v>
      </c>
      <c r="AT1343" s="94">
        <f t="shared" si="452"/>
        <v>4.229447307230835</v>
      </c>
      <c r="AU1343" s="94">
        <f t="shared" si="437"/>
        <v>3.943466745172683</v>
      </c>
      <c r="AV1343" s="94">
        <f t="shared" si="438"/>
        <v>3.943466745172683</v>
      </c>
    </row>
    <row r="1344" spans="1:48" x14ac:dyDescent="0.3">
      <c r="A1344" s="85" t="str">
        <f>_xlfn.XLOOKUP(B1344,'Country codes &amp; Data sources'!G:G,'Country codes &amp; Data sources'!H:H,,0)</f>
        <v>Nigeria</v>
      </c>
      <c r="B1344" s="85" t="s">
        <v>156</v>
      </c>
      <c r="C1344" s="85">
        <v>170075932.5</v>
      </c>
      <c r="D1344" s="85" t="s">
        <v>327</v>
      </c>
      <c r="E1344" s="86">
        <v>0</v>
      </c>
      <c r="F1344" s="86">
        <v>174726123.50000006</v>
      </c>
      <c r="G1344" s="86">
        <v>0</v>
      </c>
      <c r="H1344" s="86"/>
      <c r="I1344" s="86">
        <v>0</v>
      </c>
      <c r="J1344" s="86"/>
      <c r="K1344" s="86">
        <v>0</v>
      </c>
      <c r="L1344" s="86"/>
      <c r="M1344" s="86">
        <v>0</v>
      </c>
      <c r="N1344" s="86"/>
      <c r="O1344" s="86">
        <v>0</v>
      </c>
      <c r="P1344" s="86">
        <v>198387623.50000006</v>
      </c>
      <c r="Q1344" s="86">
        <v>71508</v>
      </c>
      <c r="R1344" s="87">
        <f t="shared" si="453"/>
        <v>74543</v>
      </c>
      <c r="T1344" s="87">
        <v>0</v>
      </c>
      <c r="U1344" s="89"/>
      <c r="V1344" s="89">
        <v>0</v>
      </c>
      <c r="W1344" s="90"/>
      <c r="X1344" s="90">
        <v>84277</v>
      </c>
      <c r="Y1344" s="90">
        <v>218541211.50000003</v>
      </c>
      <c r="Z1344" s="90">
        <v>85719</v>
      </c>
      <c r="AA1344" s="90">
        <v>74543</v>
      </c>
      <c r="AB1344" s="89">
        <f t="shared" si="439"/>
        <v>0</v>
      </c>
      <c r="AC1344" s="89">
        <f t="shared" si="440"/>
        <v>71508</v>
      </c>
      <c r="AD1344" s="89">
        <f t="shared" si="441"/>
        <v>85719</v>
      </c>
      <c r="AF1344" s="90" t="str">
        <f t="shared" si="443"/>
        <v/>
      </c>
      <c r="AG1344" s="90">
        <f t="shared" si="444"/>
        <v>74543</v>
      </c>
      <c r="AH1344" s="90" t="str">
        <f t="shared" si="445"/>
        <v>2018 (triag)</v>
      </c>
      <c r="AI1344" s="90">
        <f t="shared" si="446"/>
        <v>85719</v>
      </c>
      <c r="AJ1344" s="90">
        <f t="shared" si="447"/>
        <v>2022</v>
      </c>
      <c r="AK1344" s="90" t="str">
        <f t="shared" si="448"/>
        <v/>
      </c>
      <c r="AL1344" s="91">
        <f>IF(AK1344="Adjust",(_xlfn.XLOOKUP(A1344,'Adj factor'!A:A,'Adj factor'!I:I,,0)*AI1344),'Master DataSheet (Rev)'!AI1344)</f>
        <v>85719</v>
      </c>
      <c r="AM1344" s="91">
        <f t="shared" si="449"/>
        <v>85719</v>
      </c>
      <c r="AN1344" s="92" t="str">
        <f t="shared" si="450"/>
        <v>Increasing</v>
      </c>
      <c r="AS1344" s="94">
        <f t="shared" si="451"/>
        <v>0</v>
      </c>
      <c r="AT1344" s="94">
        <f t="shared" si="452"/>
        <v>3.757442056358923</v>
      </c>
      <c r="AU1344" s="94">
        <f t="shared" si="437"/>
        <v>3.9223265676826355</v>
      </c>
      <c r="AV1344" s="94">
        <f t="shared" si="438"/>
        <v>3.9223265676826355</v>
      </c>
    </row>
    <row r="1345" spans="1:48" x14ac:dyDescent="0.3">
      <c r="A1345" s="85" t="str">
        <f>_xlfn.XLOOKUP(B1345,'Country codes &amp; Data sources'!G:G,'Country codes &amp; Data sources'!H:H,,0)</f>
        <v>Nigeria</v>
      </c>
      <c r="B1345" s="85" t="s">
        <v>156</v>
      </c>
      <c r="C1345" s="85">
        <v>170075933.5</v>
      </c>
      <c r="D1345" s="85" t="s">
        <v>328</v>
      </c>
      <c r="E1345" s="86">
        <v>0</v>
      </c>
      <c r="F1345" s="86">
        <v>174726123.50000006</v>
      </c>
      <c r="G1345" s="86">
        <v>0</v>
      </c>
      <c r="H1345" s="86"/>
      <c r="I1345" s="86">
        <v>0</v>
      </c>
      <c r="J1345" s="86"/>
      <c r="K1345" s="86">
        <v>0</v>
      </c>
      <c r="L1345" s="86"/>
      <c r="M1345" s="86">
        <v>0</v>
      </c>
      <c r="N1345" s="86"/>
      <c r="O1345" s="86">
        <v>0</v>
      </c>
      <c r="P1345" s="86">
        <v>198387623.50000006</v>
      </c>
      <c r="Q1345" s="86">
        <v>3035</v>
      </c>
      <c r="R1345" s="87">
        <f t="shared" si="453"/>
        <v>9364</v>
      </c>
      <c r="T1345" s="87">
        <v>0</v>
      </c>
      <c r="U1345" s="89"/>
      <c r="V1345" s="89">
        <v>0</v>
      </c>
      <c r="W1345" s="90"/>
      <c r="X1345" s="90">
        <v>0</v>
      </c>
      <c r="Y1345" s="90">
        <v>218541211.50000003</v>
      </c>
      <c r="Z1345" s="90">
        <v>462</v>
      </c>
      <c r="AA1345" s="90">
        <v>9364</v>
      </c>
      <c r="AB1345" s="89">
        <f t="shared" si="439"/>
        <v>0</v>
      </c>
      <c r="AC1345" s="89">
        <f t="shared" si="440"/>
        <v>3035</v>
      </c>
      <c r="AD1345" s="89">
        <f t="shared" si="441"/>
        <v>462</v>
      </c>
      <c r="AF1345" s="90" t="str">
        <f t="shared" si="443"/>
        <v/>
      </c>
      <c r="AG1345" s="90">
        <f t="shared" si="444"/>
        <v>9364</v>
      </c>
      <c r="AH1345" s="90" t="str">
        <f t="shared" si="445"/>
        <v>2018 (triag)</v>
      </c>
      <c r="AI1345" s="90">
        <f t="shared" si="446"/>
        <v>462</v>
      </c>
      <c r="AJ1345" s="90">
        <f t="shared" si="447"/>
        <v>2022</v>
      </c>
      <c r="AK1345" s="90" t="str">
        <f t="shared" si="448"/>
        <v>Adjust</v>
      </c>
      <c r="AL1345" s="91">
        <f>IF(AK1345="Adjust",(_xlfn.XLOOKUP(A1345,'Adj factor'!A:A,'Adj factor'!I:I,,0)*AI1345),'Master DataSheet (Rev)'!AI1345)</f>
        <v>530.9759736760318</v>
      </c>
      <c r="AM1345" s="91">
        <f t="shared" si="449"/>
        <v>9364</v>
      </c>
      <c r="AN1345" s="92" t="str">
        <f t="shared" si="450"/>
        <v>Decreasing</v>
      </c>
      <c r="AS1345" s="94">
        <f t="shared" si="451"/>
        <v>0</v>
      </c>
      <c r="AT1345" s="94">
        <f t="shared" si="452"/>
        <v>0.47200525087191225</v>
      </c>
      <c r="AU1345" s="94">
        <f t="shared" si="437"/>
        <v>2.4296377330004493E-2</v>
      </c>
      <c r="AV1345" s="94">
        <f t="shared" si="438"/>
        <v>0.42847753683290984</v>
      </c>
    </row>
    <row r="1346" spans="1:48" x14ac:dyDescent="0.3">
      <c r="A1346" s="85" t="str">
        <f>_xlfn.XLOOKUP(B1346,'Country codes &amp; Data sources'!G:G,'Country codes &amp; Data sources'!H:H,,0)</f>
        <v>Nigeria</v>
      </c>
      <c r="B1346" s="85" t="s">
        <v>156</v>
      </c>
      <c r="C1346" s="85">
        <v>170075934.5</v>
      </c>
      <c r="D1346" s="85" t="s">
        <v>329</v>
      </c>
      <c r="E1346" s="86">
        <v>0</v>
      </c>
      <c r="F1346" s="86">
        <v>174726123.50000006</v>
      </c>
      <c r="G1346" s="86">
        <v>74920</v>
      </c>
      <c r="H1346" s="86"/>
      <c r="I1346" s="86">
        <v>0</v>
      </c>
      <c r="J1346" s="86"/>
      <c r="K1346" s="86">
        <v>0</v>
      </c>
      <c r="L1346" s="86"/>
      <c r="M1346" s="86">
        <v>185101</v>
      </c>
      <c r="N1346" s="86"/>
      <c r="O1346" s="86">
        <v>0</v>
      </c>
      <c r="P1346" s="86">
        <v>198387623.50000006</v>
      </c>
      <c r="Q1346" s="86">
        <v>110105</v>
      </c>
      <c r="R1346" s="87">
        <f t="shared" si="453"/>
        <v>180709</v>
      </c>
      <c r="T1346" s="87">
        <v>180709</v>
      </c>
      <c r="U1346" s="89"/>
      <c r="V1346" s="89">
        <v>0</v>
      </c>
      <c r="W1346" s="90"/>
      <c r="X1346" s="90">
        <v>201735</v>
      </c>
      <c r="Y1346" s="90">
        <v>218541211.50000003</v>
      </c>
      <c r="Z1346" s="90">
        <v>220681</v>
      </c>
      <c r="AA1346" s="90">
        <v>180709</v>
      </c>
      <c r="AB1346" s="89">
        <f t="shared" si="439"/>
        <v>74920</v>
      </c>
      <c r="AC1346" s="89">
        <f t="shared" si="440"/>
        <v>185101</v>
      </c>
      <c r="AD1346" s="89">
        <f t="shared" si="441"/>
        <v>220681</v>
      </c>
      <c r="AE1346" s="90">
        <f t="shared" si="442"/>
        <v>74920</v>
      </c>
      <c r="AF1346" s="90">
        <f t="shared" si="443"/>
        <v>2013</v>
      </c>
      <c r="AG1346" s="90">
        <f t="shared" si="444"/>
        <v>180709</v>
      </c>
      <c r="AH1346" s="90" t="str">
        <f t="shared" si="445"/>
        <v>2018 (triag)</v>
      </c>
      <c r="AI1346" s="90">
        <f t="shared" si="446"/>
        <v>220681</v>
      </c>
      <c r="AJ1346" s="90">
        <f t="shared" si="447"/>
        <v>2022</v>
      </c>
      <c r="AK1346" s="90" t="str">
        <f t="shared" si="448"/>
        <v/>
      </c>
      <c r="AL1346" s="91">
        <f>IF(AK1346="Adjust",(_xlfn.XLOOKUP(A1346,'Adj factor'!A:A,'Adj factor'!I:I,,0)*AI1346),'Master DataSheet (Rev)'!AI1346)</f>
        <v>220681</v>
      </c>
      <c r="AM1346" s="91">
        <f t="shared" si="449"/>
        <v>220681</v>
      </c>
      <c r="AN1346" s="92" t="str">
        <f t="shared" si="450"/>
        <v>Increasing</v>
      </c>
      <c r="AS1346" s="94">
        <f t="shared" si="451"/>
        <v>4.2878533844425375</v>
      </c>
      <c r="AT1346" s="94">
        <f t="shared" si="452"/>
        <v>9.1088847586301149</v>
      </c>
      <c r="AU1346" s="94">
        <f t="shared" si="437"/>
        <v>10.097912356452731</v>
      </c>
      <c r="AV1346" s="94">
        <f t="shared" si="438"/>
        <v>10.097912356452731</v>
      </c>
    </row>
    <row r="1347" spans="1:48" x14ac:dyDescent="0.3">
      <c r="A1347" s="85" t="str">
        <f>_xlfn.XLOOKUP(B1347,'Country codes &amp; Data sources'!G:G,'Country codes &amp; Data sources'!H:H,,0)</f>
        <v>Nigeria</v>
      </c>
      <c r="B1347" s="85" t="s">
        <v>156</v>
      </c>
      <c r="C1347" s="85">
        <v>170075935.5</v>
      </c>
      <c r="D1347" s="85" t="s">
        <v>330</v>
      </c>
      <c r="E1347" s="86">
        <v>0</v>
      </c>
      <c r="F1347" s="86">
        <v>174726123.50000006</v>
      </c>
      <c r="G1347" s="86">
        <v>0</v>
      </c>
      <c r="H1347" s="86"/>
      <c r="I1347" s="86">
        <v>0</v>
      </c>
      <c r="J1347" s="86"/>
      <c r="K1347" s="86">
        <v>0</v>
      </c>
      <c r="L1347" s="86"/>
      <c r="M1347" s="86">
        <v>0</v>
      </c>
      <c r="N1347" s="86"/>
      <c r="O1347" s="86">
        <v>0</v>
      </c>
      <c r="P1347" s="86">
        <v>198387623.50000006</v>
      </c>
      <c r="Q1347" s="86">
        <v>110105</v>
      </c>
      <c r="R1347" s="87">
        <f t="shared" si="453"/>
        <v>180709</v>
      </c>
      <c r="T1347" s="87">
        <v>180709</v>
      </c>
      <c r="U1347" s="89"/>
      <c r="V1347" s="89">
        <v>0</v>
      </c>
      <c r="W1347" s="90"/>
      <c r="X1347" s="90">
        <v>201735</v>
      </c>
      <c r="Y1347" s="90">
        <v>218541211.50000003</v>
      </c>
      <c r="Z1347" s="90">
        <v>220681</v>
      </c>
      <c r="AA1347" s="90">
        <v>180709</v>
      </c>
      <c r="AB1347" s="89">
        <f t="shared" si="439"/>
        <v>0</v>
      </c>
      <c r="AC1347" s="89">
        <f t="shared" si="440"/>
        <v>180709</v>
      </c>
      <c r="AD1347" s="89">
        <f t="shared" si="441"/>
        <v>220681</v>
      </c>
      <c r="AF1347" s="90" t="str">
        <f t="shared" si="443"/>
        <v/>
      </c>
      <c r="AG1347" s="90">
        <f t="shared" si="444"/>
        <v>180709</v>
      </c>
      <c r="AH1347" s="90" t="str">
        <f t="shared" si="445"/>
        <v>2018 (triag)</v>
      </c>
      <c r="AI1347" s="90">
        <f t="shared" si="446"/>
        <v>220681</v>
      </c>
      <c r="AJ1347" s="90">
        <f t="shared" si="447"/>
        <v>2022</v>
      </c>
      <c r="AK1347" s="90" t="str">
        <f t="shared" si="448"/>
        <v/>
      </c>
      <c r="AL1347" s="91">
        <f>IF(AK1347="Adjust",(_xlfn.XLOOKUP(A1347,'Adj factor'!A:A,'Adj factor'!I:I,,0)*AI1347),'Master DataSheet (Rev)'!AI1347)</f>
        <v>220681</v>
      </c>
      <c r="AM1347" s="91">
        <f t="shared" si="449"/>
        <v>220681</v>
      </c>
      <c r="AN1347" s="92" t="str">
        <f t="shared" si="450"/>
        <v>Increasing</v>
      </c>
      <c r="AS1347" s="94">
        <f t="shared" si="451"/>
        <v>0</v>
      </c>
      <c r="AT1347" s="94">
        <f t="shared" si="452"/>
        <v>9.1088847586301149</v>
      </c>
      <c r="AU1347" s="94">
        <f t="shared" ref="AU1347:AU1410" si="454">(AL1347*10000)/Y1347</f>
        <v>10.097912356452731</v>
      </c>
      <c r="AV1347" s="94">
        <f t="shared" ref="AV1347:AV1410" si="455">(AM1347*10000)/Y1347</f>
        <v>10.097912356452731</v>
      </c>
    </row>
    <row r="1348" spans="1:48" x14ac:dyDescent="0.3">
      <c r="A1348" s="85" t="str">
        <f>_xlfn.XLOOKUP(B1348,'Country codes &amp; Data sources'!G:G,'Country codes &amp; Data sources'!H:H,,0)</f>
        <v>Nigeria</v>
      </c>
      <c r="B1348" s="85" t="s">
        <v>156</v>
      </c>
      <c r="C1348" s="85">
        <v>170075936.5</v>
      </c>
      <c r="D1348" s="85" t="s">
        <v>331</v>
      </c>
      <c r="E1348" s="86">
        <v>0</v>
      </c>
      <c r="F1348" s="86">
        <v>174726123.50000006</v>
      </c>
      <c r="G1348" s="86">
        <v>0</v>
      </c>
      <c r="H1348" s="86"/>
      <c r="I1348" s="86">
        <v>0</v>
      </c>
      <c r="J1348" s="86"/>
      <c r="K1348" s="86">
        <v>0</v>
      </c>
      <c r="L1348" s="86"/>
      <c r="M1348" s="86">
        <v>0</v>
      </c>
      <c r="N1348" s="86"/>
      <c r="O1348" s="86">
        <v>0</v>
      </c>
      <c r="P1348" s="86">
        <v>198387623.50000006</v>
      </c>
      <c r="Q1348" s="86">
        <v>0</v>
      </c>
      <c r="R1348" s="87">
        <f t="shared" si="453"/>
        <v>0</v>
      </c>
      <c r="T1348" s="87">
        <v>0</v>
      </c>
      <c r="U1348" s="89"/>
      <c r="V1348" s="89">
        <v>0</v>
      </c>
      <c r="W1348" s="90"/>
      <c r="X1348" s="90">
        <v>0</v>
      </c>
      <c r="Y1348" s="90">
        <v>218541211.50000003</v>
      </c>
      <c r="Z1348" s="90">
        <v>0</v>
      </c>
      <c r="AA1348" s="90">
        <v>0</v>
      </c>
      <c r="AB1348" s="89">
        <f t="shared" si="439"/>
        <v>0</v>
      </c>
      <c r="AC1348" s="89">
        <f t="shared" si="440"/>
        <v>0</v>
      </c>
      <c r="AD1348" s="89">
        <f t="shared" si="441"/>
        <v>0</v>
      </c>
      <c r="AF1348" s="90" t="str">
        <f t="shared" si="443"/>
        <v/>
      </c>
      <c r="AH1348" s="90" t="str">
        <f t="shared" si="445"/>
        <v/>
      </c>
      <c r="AI1348" s="90">
        <f t="shared" si="446"/>
        <v>0</v>
      </c>
      <c r="AJ1348" s="90" t="str">
        <f t="shared" si="447"/>
        <v/>
      </c>
      <c r="AK1348" s="90" t="str">
        <f t="shared" si="448"/>
        <v/>
      </c>
      <c r="AL1348" s="91"/>
      <c r="AM1348" s="91">
        <f t="shared" si="449"/>
        <v>0</v>
      </c>
      <c r="AN1348" s="92" t="str">
        <f t="shared" si="450"/>
        <v>No change</v>
      </c>
      <c r="AS1348" s="94">
        <f t="shared" si="451"/>
        <v>0</v>
      </c>
      <c r="AT1348" s="94">
        <f t="shared" si="452"/>
        <v>0</v>
      </c>
      <c r="AU1348" s="94">
        <f t="shared" si="454"/>
        <v>0</v>
      </c>
      <c r="AV1348" s="94">
        <f t="shared" si="455"/>
        <v>0</v>
      </c>
    </row>
    <row r="1349" spans="1:48" x14ac:dyDescent="0.3">
      <c r="A1349" s="85" t="str">
        <f>_xlfn.XLOOKUP(B1349,'Country codes &amp; Data sources'!G:G,'Country codes &amp; Data sources'!H:H,,0)</f>
        <v>Nigeria</v>
      </c>
      <c r="B1349" s="85" t="s">
        <v>156</v>
      </c>
      <c r="C1349" s="85">
        <v>170075937.5</v>
      </c>
      <c r="D1349" s="85" t="s">
        <v>332</v>
      </c>
      <c r="E1349" s="86">
        <v>0</v>
      </c>
      <c r="F1349" s="86">
        <v>174726123.50000006</v>
      </c>
      <c r="G1349" s="86">
        <v>101275</v>
      </c>
      <c r="H1349" s="86"/>
      <c r="I1349" s="86">
        <v>0</v>
      </c>
      <c r="J1349" s="86"/>
      <c r="K1349" s="86">
        <v>0</v>
      </c>
      <c r="L1349" s="86"/>
      <c r="M1349" s="86">
        <v>141275</v>
      </c>
      <c r="N1349" s="86"/>
      <c r="O1349" s="86">
        <v>0</v>
      </c>
      <c r="P1349" s="86">
        <v>198387623.50000006</v>
      </c>
      <c r="Q1349" s="86">
        <v>71237</v>
      </c>
      <c r="R1349" s="87">
        <f t="shared" si="453"/>
        <v>120870</v>
      </c>
      <c r="T1349" s="87">
        <v>120870</v>
      </c>
      <c r="U1349" s="89"/>
      <c r="V1349" s="89">
        <v>0</v>
      </c>
      <c r="W1349" s="90"/>
      <c r="X1349" s="90">
        <v>131922</v>
      </c>
      <c r="Y1349" s="90">
        <v>218541211.50000003</v>
      </c>
      <c r="Z1349" s="90">
        <v>146787</v>
      </c>
      <c r="AA1349" s="90">
        <v>120870</v>
      </c>
      <c r="AB1349" s="89">
        <f t="shared" si="439"/>
        <v>101275</v>
      </c>
      <c r="AC1349" s="89">
        <f t="shared" si="440"/>
        <v>141275</v>
      </c>
      <c r="AD1349" s="89">
        <f t="shared" si="441"/>
        <v>146787</v>
      </c>
      <c r="AE1349" s="90">
        <f t="shared" si="442"/>
        <v>101275</v>
      </c>
      <c r="AF1349" s="90">
        <f t="shared" si="443"/>
        <v>2013</v>
      </c>
      <c r="AG1349" s="90">
        <f t="shared" si="444"/>
        <v>120870</v>
      </c>
      <c r="AH1349" s="90" t="str">
        <f t="shared" si="445"/>
        <v>2018 (triag)</v>
      </c>
      <c r="AI1349" s="90">
        <f t="shared" si="446"/>
        <v>146787</v>
      </c>
      <c r="AJ1349" s="90">
        <f t="shared" si="447"/>
        <v>2022</v>
      </c>
      <c r="AK1349" s="90" t="str">
        <f t="shared" si="448"/>
        <v/>
      </c>
      <c r="AL1349" s="91">
        <f>IF(AK1349="Adjust",(_xlfn.XLOOKUP(A1349,'Adj factor'!A:A,'Adj factor'!I:I,,0)*AI1349),'Master DataSheet (Rev)'!AI1349)</f>
        <v>146787</v>
      </c>
      <c r="AM1349" s="91">
        <f t="shared" si="449"/>
        <v>146787</v>
      </c>
      <c r="AN1349" s="92" t="str">
        <f t="shared" si="450"/>
        <v>Increasing</v>
      </c>
      <c r="AS1349" s="94">
        <f t="shared" si="451"/>
        <v>5.7962139817060594</v>
      </c>
      <c r="AT1349" s="94">
        <f t="shared" si="452"/>
        <v>6.0926179701930829</v>
      </c>
      <c r="AU1349" s="94">
        <f t="shared" si="454"/>
        <v>6.7166736650034533</v>
      </c>
      <c r="AV1349" s="94">
        <f t="shared" si="455"/>
        <v>6.7166736650034533</v>
      </c>
    </row>
    <row r="1350" spans="1:48" x14ac:dyDescent="0.3">
      <c r="A1350" s="85" t="str">
        <f>_xlfn.XLOOKUP(B1350,'Country codes &amp; Data sources'!G:G,'Country codes &amp; Data sources'!H:H,,0)</f>
        <v>Nigeria</v>
      </c>
      <c r="B1350" s="85" t="s">
        <v>156</v>
      </c>
      <c r="C1350" s="85">
        <v>170075938.5</v>
      </c>
      <c r="D1350" s="85" t="s">
        <v>333</v>
      </c>
      <c r="E1350" s="86">
        <v>0</v>
      </c>
      <c r="F1350" s="86">
        <v>174726123.50000006</v>
      </c>
      <c r="G1350" s="86">
        <v>101275</v>
      </c>
      <c r="H1350" s="86"/>
      <c r="I1350" s="86">
        <v>0</v>
      </c>
      <c r="J1350" s="86"/>
      <c r="K1350" s="86">
        <v>0</v>
      </c>
      <c r="L1350" s="86"/>
      <c r="M1350" s="86">
        <v>0</v>
      </c>
      <c r="N1350" s="86"/>
      <c r="O1350" s="86">
        <v>0</v>
      </c>
      <c r="P1350" s="86">
        <v>198387623.50000006</v>
      </c>
      <c r="Q1350" s="86">
        <v>71237</v>
      </c>
      <c r="R1350" s="87">
        <f t="shared" si="453"/>
        <v>120870</v>
      </c>
      <c r="T1350" s="87">
        <v>120870</v>
      </c>
      <c r="U1350" s="89"/>
      <c r="V1350" s="89">
        <v>0</v>
      </c>
      <c r="W1350" s="90"/>
      <c r="X1350" s="90">
        <v>131922</v>
      </c>
      <c r="Y1350" s="90">
        <v>218541211.50000003</v>
      </c>
      <c r="Z1350" s="90">
        <v>146787</v>
      </c>
      <c r="AA1350" s="90">
        <v>120870</v>
      </c>
      <c r="AB1350" s="89">
        <f t="shared" si="439"/>
        <v>101275</v>
      </c>
      <c r="AC1350" s="89">
        <f t="shared" si="440"/>
        <v>120870</v>
      </c>
      <c r="AD1350" s="89">
        <f t="shared" si="441"/>
        <v>146787</v>
      </c>
      <c r="AE1350" s="90">
        <f t="shared" si="442"/>
        <v>101275</v>
      </c>
      <c r="AF1350" s="90">
        <f t="shared" si="443"/>
        <v>2013</v>
      </c>
      <c r="AG1350" s="90">
        <f t="shared" si="444"/>
        <v>120870</v>
      </c>
      <c r="AH1350" s="90" t="str">
        <f t="shared" si="445"/>
        <v>2018 (triag)</v>
      </c>
      <c r="AI1350" s="90">
        <f t="shared" si="446"/>
        <v>146787</v>
      </c>
      <c r="AJ1350" s="90">
        <f t="shared" si="447"/>
        <v>2022</v>
      </c>
      <c r="AK1350" s="90" t="str">
        <f t="shared" si="448"/>
        <v/>
      </c>
      <c r="AL1350" s="91">
        <f>IF(AK1350="Adjust",(_xlfn.XLOOKUP(A1350,'Adj factor'!A:A,'Adj factor'!I:I,,0)*AI1350),'Master DataSheet (Rev)'!AI1350)</f>
        <v>146787</v>
      </c>
      <c r="AM1350" s="91">
        <f t="shared" si="449"/>
        <v>146787</v>
      </c>
      <c r="AN1350" s="92" t="str">
        <f t="shared" si="450"/>
        <v>Increasing</v>
      </c>
      <c r="AS1350" s="94">
        <f t="shared" si="451"/>
        <v>5.7962139817060594</v>
      </c>
      <c r="AT1350" s="94">
        <f t="shared" si="452"/>
        <v>6.0926179701930829</v>
      </c>
      <c r="AU1350" s="94">
        <f t="shared" si="454"/>
        <v>6.7166736650034533</v>
      </c>
      <c r="AV1350" s="94">
        <f t="shared" si="455"/>
        <v>6.7166736650034533</v>
      </c>
    </row>
    <row r="1351" spans="1:48" x14ac:dyDescent="0.3">
      <c r="A1351" s="85" t="str">
        <f>_xlfn.XLOOKUP(B1351,'Country codes &amp; Data sources'!G:G,'Country codes &amp; Data sources'!H:H,,0)</f>
        <v>Nigeria</v>
      </c>
      <c r="B1351" s="85" t="s">
        <v>156</v>
      </c>
      <c r="C1351" s="85">
        <v>170075939.5</v>
      </c>
      <c r="D1351" s="85" t="s">
        <v>334</v>
      </c>
      <c r="E1351" s="86">
        <v>0</v>
      </c>
      <c r="F1351" s="86">
        <v>174726123.50000006</v>
      </c>
      <c r="G1351" s="86">
        <v>0</v>
      </c>
      <c r="H1351" s="86"/>
      <c r="I1351" s="86">
        <v>0</v>
      </c>
      <c r="J1351" s="86"/>
      <c r="K1351" s="86">
        <v>0</v>
      </c>
      <c r="L1351" s="86"/>
      <c r="M1351" s="86">
        <v>0</v>
      </c>
      <c r="N1351" s="86"/>
      <c r="O1351" s="86">
        <v>0</v>
      </c>
      <c r="P1351" s="86">
        <v>198387623.50000006</v>
      </c>
      <c r="Q1351" s="86">
        <v>0</v>
      </c>
      <c r="R1351" s="87">
        <f t="shared" si="453"/>
        <v>0</v>
      </c>
      <c r="T1351" s="87">
        <v>0</v>
      </c>
      <c r="U1351" s="89"/>
      <c r="V1351" s="89">
        <v>0</v>
      </c>
      <c r="W1351" s="90"/>
      <c r="X1351" s="90">
        <v>0</v>
      </c>
      <c r="Y1351" s="90">
        <v>218541211.50000003</v>
      </c>
      <c r="Z1351" s="90">
        <v>0</v>
      </c>
      <c r="AA1351" s="90">
        <v>0</v>
      </c>
      <c r="AB1351" s="89">
        <f t="shared" si="439"/>
        <v>0</v>
      </c>
      <c r="AC1351" s="89">
        <f t="shared" si="440"/>
        <v>0</v>
      </c>
      <c r="AD1351" s="89">
        <f t="shared" si="441"/>
        <v>0</v>
      </c>
      <c r="AF1351" s="90" t="str">
        <f t="shared" si="443"/>
        <v/>
      </c>
      <c r="AH1351" s="90" t="str">
        <f t="shared" si="445"/>
        <v/>
      </c>
      <c r="AI1351" s="90">
        <f t="shared" si="446"/>
        <v>0</v>
      </c>
      <c r="AJ1351" s="90" t="str">
        <f t="shared" si="447"/>
        <v/>
      </c>
      <c r="AK1351" s="90" t="str">
        <f t="shared" si="448"/>
        <v/>
      </c>
      <c r="AL1351" s="91"/>
      <c r="AM1351" s="91">
        <f t="shared" si="449"/>
        <v>0</v>
      </c>
      <c r="AN1351" s="92" t="str">
        <f t="shared" si="450"/>
        <v>No change</v>
      </c>
      <c r="AS1351" s="94">
        <f t="shared" si="451"/>
        <v>0</v>
      </c>
      <c r="AT1351" s="94">
        <f t="shared" si="452"/>
        <v>0</v>
      </c>
      <c r="AU1351" s="94">
        <f t="shared" si="454"/>
        <v>0</v>
      </c>
      <c r="AV1351" s="94">
        <f t="shared" si="455"/>
        <v>0</v>
      </c>
    </row>
    <row r="1352" spans="1:48" x14ac:dyDescent="0.3">
      <c r="A1352" s="85" t="str">
        <f>_xlfn.XLOOKUP(B1352,'Country codes &amp; Data sources'!G:G,'Country codes &amp; Data sources'!H:H,,0)</f>
        <v>Nigeria</v>
      </c>
      <c r="B1352" s="85" t="s">
        <v>156</v>
      </c>
      <c r="C1352" s="85">
        <v>170075940.5</v>
      </c>
      <c r="D1352" s="85" t="s">
        <v>335</v>
      </c>
      <c r="E1352" s="86">
        <v>0</v>
      </c>
      <c r="F1352" s="86">
        <v>174726123.50000006</v>
      </c>
      <c r="G1352" s="86">
        <v>0</v>
      </c>
      <c r="H1352" s="86"/>
      <c r="I1352" s="86">
        <v>0</v>
      </c>
      <c r="J1352" s="86"/>
      <c r="K1352" s="86">
        <v>20035</v>
      </c>
      <c r="L1352" s="86"/>
      <c r="M1352" s="86">
        <v>0</v>
      </c>
      <c r="N1352" s="86"/>
      <c r="O1352" s="86">
        <v>0</v>
      </c>
      <c r="P1352" s="86">
        <v>198387623.50000006</v>
      </c>
      <c r="Q1352" s="86">
        <v>24668</v>
      </c>
      <c r="R1352" s="87">
        <f t="shared" si="453"/>
        <v>24668</v>
      </c>
      <c r="T1352" s="87">
        <v>24668</v>
      </c>
      <c r="U1352" s="89"/>
      <c r="V1352" s="89">
        <v>0</v>
      </c>
      <c r="W1352" s="90"/>
      <c r="X1352" s="90">
        <v>17331</v>
      </c>
      <c r="Y1352" s="90">
        <v>218541211.50000003</v>
      </c>
      <c r="Z1352" s="90">
        <v>18277</v>
      </c>
      <c r="AA1352" s="90">
        <v>24668</v>
      </c>
      <c r="AB1352" s="89">
        <f t="shared" si="439"/>
        <v>20035</v>
      </c>
      <c r="AC1352" s="89">
        <f t="shared" si="440"/>
        <v>24668</v>
      </c>
      <c r="AD1352" s="89">
        <f t="shared" si="441"/>
        <v>18277</v>
      </c>
      <c r="AE1352" s="90">
        <f t="shared" si="442"/>
        <v>20035</v>
      </c>
      <c r="AF1352" s="90">
        <f t="shared" si="443"/>
        <v>2015</v>
      </c>
      <c r="AG1352" s="90">
        <f t="shared" si="444"/>
        <v>24668</v>
      </c>
      <c r="AH1352" s="90">
        <f t="shared" si="445"/>
        <v>2018</v>
      </c>
      <c r="AI1352" s="90">
        <f t="shared" si="446"/>
        <v>18277</v>
      </c>
      <c r="AJ1352" s="90">
        <f t="shared" si="447"/>
        <v>2022</v>
      </c>
      <c r="AK1352" s="90" t="str">
        <f t="shared" si="448"/>
        <v>Adjust</v>
      </c>
      <c r="AL1352" s="91">
        <f>IF(AK1352="Adjust",(_xlfn.XLOOKUP(A1352,'Adj factor'!A:A,'Adj factor'!I:I,,0)*AI1352),'Master DataSheet (Rev)'!AI1352)</f>
        <v>21005.731322244228</v>
      </c>
      <c r="AM1352" s="91">
        <f t="shared" si="449"/>
        <v>24668</v>
      </c>
      <c r="AN1352" s="92" t="str">
        <f t="shared" si="450"/>
        <v>Decreasing</v>
      </c>
      <c r="AS1352" s="94">
        <f t="shared" si="451"/>
        <v>1.1466516625374563</v>
      </c>
      <c r="AT1352" s="94">
        <f t="shared" si="452"/>
        <v>1.2434243409342516</v>
      </c>
      <c r="AU1352" s="94">
        <f t="shared" si="454"/>
        <v>0.96117941225214742</v>
      </c>
      <c r="AV1352" s="94">
        <f t="shared" si="455"/>
        <v>1.1287573556807156</v>
      </c>
    </row>
    <row r="1353" spans="1:48" x14ac:dyDescent="0.3">
      <c r="A1353" s="85" t="str">
        <f>_xlfn.XLOOKUP(B1353,'Country codes &amp; Data sources'!G:G,'Country codes &amp; Data sources'!H:H,,0)</f>
        <v>Nigeria</v>
      </c>
      <c r="B1353" s="85" t="s">
        <v>156</v>
      </c>
      <c r="C1353" s="85">
        <v>170075941.5</v>
      </c>
      <c r="D1353" s="85" t="s">
        <v>336</v>
      </c>
      <c r="E1353" s="86">
        <v>0</v>
      </c>
      <c r="F1353" s="86">
        <v>174726123.50000006</v>
      </c>
      <c r="G1353" s="86">
        <v>0</v>
      </c>
      <c r="H1353" s="86"/>
      <c r="I1353" s="86">
        <v>0</v>
      </c>
      <c r="J1353" s="86"/>
      <c r="K1353" s="86">
        <v>0</v>
      </c>
      <c r="L1353" s="86"/>
      <c r="M1353" s="86">
        <v>0</v>
      </c>
      <c r="N1353" s="86"/>
      <c r="O1353" s="86">
        <v>0</v>
      </c>
      <c r="P1353" s="86">
        <v>198387623.50000006</v>
      </c>
      <c r="Q1353" s="86">
        <v>5793</v>
      </c>
      <c r="R1353" s="87">
        <f t="shared" si="453"/>
        <v>5793</v>
      </c>
      <c r="T1353" s="87">
        <v>5793</v>
      </c>
      <c r="U1353" s="89"/>
      <c r="V1353" s="89">
        <v>0</v>
      </c>
      <c r="W1353" s="90"/>
      <c r="X1353" s="90">
        <v>0</v>
      </c>
      <c r="Y1353" s="90">
        <v>218541211.50000003</v>
      </c>
      <c r="Z1353" s="90">
        <v>2326</v>
      </c>
      <c r="AA1353" s="90">
        <v>0</v>
      </c>
      <c r="AB1353" s="89">
        <f t="shared" si="439"/>
        <v>0</v>
      </c>
      <c r="AC1353" s="89">
        <f t="shared" si="440"/>
        <v>5793</v>
      </c>
      <c r="AD1353" s="89">
        <f t="shared" si="441"/>
        <v>2326</v>
      </c>
      <c r="AF1353" s="90" t="str">
        <f t="shared" si="443"/>
        <v/>
      </c>
      <c r="AG1353" s="90">
        <f t="shared" si="444"/>
        <v>5793</v>
      </c>
      <c r="AH1353" s="90">
        <f t="shared" si="445"/>
        <v>2018</v>
      </c>
      <c r="AI1353" s="90">
        <f t="shared" si="446"/>
        <v>2326</v>
      </c>
      <c r="AJ1353" s="90">
        <f t="shared" si="447"/>
        <v>2022</v>
      </c>
      <c r="AK1353" s="90" t="str">
        <f t="shared" si="448"/>
        <v>Adjust</v>
      </c>
      <c r="AL1353" s="91">
        <f>IF(AK1353="Adjust",(_xlfn.XLOOKUP(A1353,'Adj factor'!A:A,'Adj factor'!I:I,,0)*AI1353),'Master DataSheet (Rev)'!AI1353)</f>
        <v>2673.2686466892856</v>
      </c>
      <c r="AM1353" s="91">
        <f t="shared" si="449"/>
        <v>5793</v>
      </c>
      <c r="AN1353" s="92" t="str">
        <f t="shared" si="450"/>
        <v>Decreasing</v>
      </c>
      <c r="AS1353" s="94">
        <f t="shared" si="451"/>
        <v>0</v>
      </c>
      <c r="AT1353" s="94">
        <f t="shared" si="452"/>
        <v>0.29200410276601746</v>
      </c>
      <c r="AU1353" s="94">
        <f t="shared" si="454"/>
        <v>0.12232331963114816</v>
      </c>
      <c r="AV1353" s="94">
        <f t="shared" si="455"/>
        <v>0.26507586190442617</v>
      </c>
    </row>
    <row r="1354" spans="1:48" x14ac:dyDescent="0.3">
      <c r="A1354" s="85" t="str">
        <f>_xlfn.XLOOKUP(B1354,'Country codes &amp; Data sources'!G:G,'Country codes &amp; Data sources'!H:H,,0)</f>
        <v>Nigeria</v>
      </c>
      <c r="B1354" s="85" t="s">
        <v>156</v>
      </c>
      <c r="C1354" s="85">
        <v>170075942.5</v>
      </c>
      <c r="D1354" s="85" t="s">
        <v>337</v>
      </c>
      <c r="E1354" s="86">
        <v>0</v>
      </c>
      <c r="F1354" s="86">
        <v>174726123.50000006</v>
      </c>
      <c r="G1354" s="86">
        <v>0</v>
      </c>
      <c r="H1354" s="86"/>
      <c r="I1354" s="86">
        <v>0</v>
      </c>
      <c r="J1354" s="86"/>
      <c r="K1354" s="86">
        <v>0</v>
      </c>
      <c r="L1354" s="86"/>
      <c r="M1354" s="86">
        <v>4081</v>
      </c>
      <c r="N1354" s="86"/>
      <c r="O1354" s="86">
        <v>0</v>
      </c>
      <c r="P1354" s="86">
        <v>198387623.50000006</v>
      </c>
      <c r="Q1354" s="86">
        <v>4358</v>
      </c>
      <c r="R1354" s="87">
        <f t="shared" si="453"/>
        <v>4358</v>
      </c>
      <c r="T1354" s="87">
        <v>4358</v>
      </c>
      <c r="U1354" s="89"/>
      <c r="V1354" s="89">
        <v>0</v>
      </c>
      <c r="W1354" s="90"/>
      <c r="X1354" s="90">
        <v>4358</v>
      </c>
      <c r="Y1354" s="90">
        <v>218541211.50000003</v>
      </c>
      <c r="Z1354" s="90">
        <v>5048</v>
      </c>
      <c r="AA1354" s="90">
        <v>4358</v>
      </c>
      <c r="AB1354" s="89">
        <f t="shared" si="439"/>
        <v>0</v>
      </c>
      <c r="AC1354" s="89">
        <f t="shared" si="440"/>
        <v>4358</v>
      </c>
      <c r="AD1354" s="89">
        <f t="shared" si="441"/>
        <v>5048</v>
      </c>
      <c r="AF1354" s="90" t="str">
        <f t="shared" si="443"/>
        <v/>
      </c>
      <c r="AG1354" s="90">
        <f t="shared" si="444"/>
        <v>4358</v>
      </c>
      <c r="AH1354" s="90">
        <f t="shared" si="445"/>
        <v>2018</v>
      </c>
      <c r="AI1354" s="90">
        <f t="shared" si="446"/>
        <v>5048</v>
      </c>
      <c r="AJ1354" s="90">
        <f t="shared" si="447"/>
        <v>2022</v>
      </c>
      <c r="AK1354" s="90" t="str">
        <f t="shared" si="448"/>
        <v/>
      </c>
      <c r="AL1354" s="91">
        <f>IF(AK1354="Adjust",(_xlfn.XLOOKUP(A1354,'Adj factor'!A:A,'Adj factor'!I:I,,0)*AI1354),'Master DataSheet (Rev)'!AI1354)</f>
        <v>5048</v>
      </c>
      <c r="AM1354" s="91">
        <f t="shared" si="449"/>
        <v>5048</v>
      </c>
      <c r="AN1354" s="92" t="str">
        <f t="shared" si="450"/>
        <v>Increasing</v>
      </c>
      <c r="AS1354" s="94">
        <f t="shared" si="451"/>
        <v>0</v>
      </c>
      <c r="AT1354" s="94">
        <f t="shared" si="452"/>
        <v>0.21967096148011464</v>
      </c>
      <c r="AU1354" s="94">
        <f t="shared" si="454"/>
        <v>0.23098618175272628</v>
      </c>
      <c r="AV1354" s="94">
        <f t="shared" si="455"/>
        <v>0.23098618175272628</v>
      </c>
    </row>
    <row r="1355" spans="1:48" x14ac:dyDescent="0.3">
      <c r="A1355" s="85" t="str">
        <f>_xlfn.XLOOKUP(B1355,'Country codes &amp; Data sources'!G:G,'Country codes &amp; Data sources'!H:H,,0)</f>
        <v>Nigeria</v>
      </c>
      <c r="B1355" s="85" t="s">
        <v>156</v>
      </c>
      <c r="C1355" s="85">
        <v>170075943.5</v>
      </c>
      <c r="D1355" s="85" t="s">
        <v>338</v>
      </c>
      <c r="E1355" s="86">
        <v>0</v>
      </c>
      <c r="F1355" s="86">
        <v>174726123.50000006</v>
      </c>
      <c r="G1355" s="86">
        <v>0</v>
      </c>
      <c r="H1355" s="86"/>
      <c r="I1355" s="86">
        <v>0</v>
      </c>
      <c r="J1355" s="86"/>
      <c r="K1355" s="86">
        <v>0</v>
      </c>
      <c r="L1355" s="86"/>
      <c r="M1355" s="86">
        <v>0</v>
      </c>
      <c r="N1355" s="86"/>
      <c r="O1355" s="86">
        <v>0</v>
      </c>
      <c r="P1355" s="86">
        <v>198387623.50000006</v>
      </c>
      <c r="Q1355" s="86">
        <v>19269</v>
      </c>
      <c r="R1355" s="87">
        <f t="shared" si="453"/>
        <v>21129</v>
      </c>
      <c r="T1355" s="87">
        <v>6165</v>
      </c>
      <c r="U1355" s="89"/>
      <c r="V1355" s="89">
        <v>0</v>
      </c>
      <c r="W1355" s="90"/>
      <c r="X1355" s="90">
        <v>11781</v>
      </c>
      <c r="Y1355" s="90">
        <v>218541211.50000003</v>
      </c>
      <c r="Z1355" s="90">
        <v>0</v>
      </c>
      <c r="AA1355" s="90">
        <v>21129</v>
      </c>
      <c r="AB1355" s="89">
        <f t="shared" si="439"/>
        <v>0</v>
      </c>
      <c r="AC1355" s="89">
        <f t="shared" si="440"/>
        <v>19269</v>
      </c>
      <c r="AD1355" s="89">
        <f t="shared" si="441"/>
        <v>11781</v>
      </c>
      <c r="AF1355" s="90" t="str">
        <f t="shared" si="443"/>
        <v/>
      </c>
      <c r="AG1355" s="90">
        <f t="shared" si="444"/>
        <v>21129</v>
      </c>
      <c r="AH1355" s="90" t="str">
        <f t="shared" si="445"/>
        <v>2018 (triag)</v>
      </c>
      <c r="AI1355" s="90">
        <f t="shared" si="446"/>
        <v>11781</v>
      </c>
      <c r="AJ1355" s="90">
        <f t="shared" si="447"/>
        <v>2021</v>
      </c>
      <c r="AK1355" s="90" t="str">
        <f t="shared" si="448"/>
        <v>Adjust</v>
      </c>
      <c r="AL1355" s="91">
        <f>IF(AK1355="Adjust",(_xlfn.XLOOKUP(A1355,'Adj factor'!A:A,'Adj factor'!I:I,,0)*AI1355),'Master DataSheet (Rev)'!AI1355)</f>
        <v>13539.887328738811</v>
      </c>
      <c r="AM1355" s="91">
        <f t="shared" si="449"/>
        <v>21129</v>
      </c>
      <c r="AN1355" s="92" t="str">
        <f t="shared" si="450"/>
        <v>Decreasing</v>
      </c>
      <c r="AS1355" s="94">
        <f t="shared" si="451"/>
        <v>0</v>
      </c>
      <c r="AT1355" s="94">
        <f t="shared" si="452"/>
        <v>1.0650361966758473</v>
      </c>
      <c r="AU1355" s="94">
        <f t="shared" si="454"/>
        <v>0.61955762191511465</v>
      </c>
      <c r="AV1355" s="94">
        <f t="shared" si="455"/>
        <v>0.96681993547015721</v>
      </c>
    </row>
    <row r="1356" spans="1:48" x14ac:dyDescent="0.3">
      <c r="A1356" s="85" t="str">
        <f>_xlfn.XLOOKUP(B1356,'Country codes &amp; Data sources'!G:G,'Country codes &amp; Data sources'!H:H,,0)</f>
        <v>Nigeria</v>
      </c>
      <c r="B1356" s="85" t="s">
        <v>156</v>
      </c>
      <c r="C1356" s="85">
        <v>170075944.5</v>
      </c>
      <c r="D1356" s="85" t="s">
        <v>339</v>
      </c>
      <c r="E1356" s="86">
        <v>0</v>
      </c>
      <c r="F1356" s="86">
        <v>174726123.50000006</v>
      </c>
      <c r="G1356" s="86">
        <v>0</v>
      </c>
      <c r="H1356" s="86"/>
      <c r="I1356" s="86">
        <v>0</v>
      </c>
      <c r="J1356" s="86"/>
      <c r="K1356" s="86">
        <v>0</v>
      </c>
      <c r="L1356" s="86"/>
      <c r="M1356" s="86">
        <v>0</v>
      </c>
      <c r="N1356" s="86"/>
      <c r="O1356" s="86">
        <v>0</v>
      </c>
      <c r="P1356" s="86">
        <v>198387623.50000006</v>
      </c>
      <c r="Q1356" s="86">
        <v>0</v>
      </c>
      <c r="R1356" s="87">
        <f t="shared" si="453"/>
        <v>0</v>
      </c>
      <c r="T1356" s="87">
        <v>267</v>
      </c>
      <c r="U1356" s="89"/>
      <c r="V1356" s="89">
        <v>0</v>
      </c>
      <c r="W1356" s="90"/>
      <c r="X1356" s="90">
        <v>0</v>
      </c>
      <c r="Y1356" s="90">
        <v>218541211.50000003</v>
      </c>
      <c r="Z1356" s="90">
        <v>0</v>
      </c>
      <c r="AA1356" s="90">
        <v>0</v>
      </c>
      <c r="AB1356" s="89">
        <f t="shared" si="439"/>
        <v>0</v>
      </c>
      <c r="AC1356" s="89">
        <f t="shared" si="440"/>
        <v>267</v>
      </c>
      <c r="AD1356" s="89">
        <f t="shared" si="441"/>
        <v>0</v>
      </c>
      <c r="AF1356" s="90" t="str">
        <f t="shared" si="443"/>
        <v/>
      </c>
      <c r="AG1356" s="90">
        <f t="shared" si="444"/>
        <v>267</v>
      </c>
      <c r="AH1356" s="90">
        <f t="shared" si="445"/>
        <v>2019</v>
      </c>
      <c r="AI1356" s="90">
        <f t="shared" si="446"/>
        <v>267</v>
      </c>
      <c r="AJ1356" s="90">
        <f t="shared" si="447"/>
        <v>2019</v>
      </c>
      <c r="AK1356" s="90" t="str">
        <f t="shared" si="448"/>
        <v/>
      </c>
      <c r="AL1356" s="91">
        <f>IF(AK1356="Adjust",(_xlfn.XLOOKUP(A1356,'Adj factor'!A:A,'Adj factor'!I:I,,0)*AI1356),'Master DataSheet (Rev)'!AI1356)</f>
        <v>267</v>
      </c>
      <c r="AM1356" s="91">
        <f t="shared" si="449"/>
        <v>267</v>
      </c>
      <c r="AN1356" s="92" t="str">
        <f t="shared" si="450"/>
        <v>No change</v>
      </c>
      <c r="AS1356" s="94">
        <f t="shared" si="451"/>
        <v>0</v>
      </c>
      <c r="AT1356" s="94">
        <f t="shared" si="452"/>
        <v>1.3458500852498993E-2</v>
      </c>
      <c r="AU1356" s="94">
        <f t="shared" si="454"/>
        <v>1.2217375302689761E-2</v>
      </c>
      <c r="AV1356" s="94">
        <f t="shared" si="455"/>
        <v>1.2217375302689761E-2</v>
      </c>
    </row>
    <row r="1357" spans="1:48" x14ac:dyDescent="0.3">
      <c r="A1357" s="85" t="str">
        <f>_xlfn.XLOOKUP(B1357,'Country codes &amp; Data sources'!G:G,'Country codes &amp; Data sources'!H:H,,0)</f>
        <v>Rwanda</v>
      </c>
      <c r="B1357" s="85" t="s">
        <v>183</v>
      </c>
      <c r="C1357" s="85">
        <v>10840333.999999994</v>
      </c>
      <c r="D1357" s="85" t="s">
        <v>326</v>
      </c>
      <c r="E1357" s="86">
        <v>0</v>
      </c>
      <c r="F1357" s="86">
        <v>11101349.499999996</v>
      </c>
      <c r="G1357" s="86">
        <v>1104</v>
      </c>
      <c r="H1357" s="86">
        <v>11368451.500000004</v>
      </c>
      <c r="I1357" s="86">
        <v>1008</v>
      </c>
      <c r="J1357" s="86">
        <v>11642959</v>
      </c>
      <c r="K1357" s="86">
        <v>1284</v>
      </c>
      <c r="L1357" s="86">
        <v>11930899.500000007</v>
      </c>
      <c r="M1357" s="86">
        <v>1431</v>
      </c>
      <c r="N1357" s="86">
        <v>12230339</v>
      </c>
      <c r="O1357" s="86">
        <v>1648</v>
      </c>
      <c r="P1357" s="86">
        <v>12531807.499999998</v>
      </c>
      <c r="Q1357" s="86">
        <v>1648</v>
      </c>
      <c r="R1357" s="87">
        <f t="shared" si="453"/>
        <v>1648</v>
      </c>
      <c r="S1357" s="87">
        <v>12835028</v>
      </c>
      <c r="T1357" s="87">
        <v>1492</v>
      </c>
      <c r="U1357" s="89">
        <v>13146361.500000002</v>
      </c>
      <c r="V1357" s="89">
        <v>0</v>
      </c>
      <c r="W1357" s="90">
        <v>13461887.499999998</v>
      </c>
      <c r="X1357" s="90">
        <v>0</v>
      </c>
      <c r="Y1357" s="90">
        <v>13776697.499999994</v>
      </c>
      <c r="Z1357" s="113">
        <f>1114+534</f>
        <v>1648</v>
      </c>
      <c r="AA1357" s="90">
        <v>1350</v>
      </c>
      <c r="AB1357" s="89">
        <f t="shared" si="439"/>
        <v>1284</v>
      </c>
      <c r="AC1357" s="89">
        <f t="shared" si="440"/>
        <v>1648</v>
      </c>
      <c r="AD1357" s="89">
        <f t="shared" si="441"/>
        <v>1648</v>
      </c>
      <c r="AE1357" s="90">
        <f t="shared" si="442"/>
        <v>1104</v>
      </c>
      <c r="AF1357" s="90">
        <f t="shared" si="443"/>
        <v>2013</v>
      </c>
      <c r="AG1357" s="90">
        <f t="shared" si="444"/>
        <v>1648</v>
      </c>
      <c r="AH1357" s="90">
        <f t="shared" si="445"/>
        <v>2017</v>
      </c>
      <c r="AI1357" s="90">
        <f t="shared" si="446"/>
        <v>1648</v>
      </c>
      <c r="AJ1357" s="90">
        <v>2022</v>
      </c>
      <c r="AK1357" s="90" t="str">
        <f t="shared" si="448"/>
        <v/>
      </c>
      <c r="AL1357" s="91">
        <f>IF(AK1357="Adjust",(_xlfn.XLOOKUP(A1357,'Adj factor'!A:A,'Adj factor'!I:I,,0)*AI1357),'Master DataSheet (Rev)'!AI1357)</f>
        <v>1648</v>
      </c>
      <c r="AM1357" s="91">
        <f t="shared" si="449"/>
        <v>1648</v>
      </c>
      <c r="AN1357" s="92" t="str">
        <f t="shared" si="450"/>
        <v>No change</v>
      </c>
      <c r="AS1357" s="94">
        <f t="shared" si="451"/>
        <v>0.99447368988788287</v>
      </c>
      <c r="AT1357" s="94">
        <f t="shared" si="452"/>
        <v>1.3150537143185452</v>
      </c>
      <c r="AU1357" s="94">
        <f t="shared" si="454"/>
        <v>1.1962228248097926</v>
      </c>
      <c r="AV1357" s="94">
        <f t="shared" si="455"/>
        <v>1.1962228248097926</v>
      </c>
    </row>
    <row r="1358" spans="1:48" x14ac:dyDescent="0.3">
      <c r="A1358" s="85" t="str">
        <f>_xlfn.XLOOKUP(B1358,'Country codes &amp; Data sources'!G:G,'Country codes &amp; Data sources'!H:H,,0)</f>
        <v>Rwanda</v>
      </c>
      <c r="B1358" s="85" t="s">
        <v>183</v>
      </c>
      <c r="C1358" s="85">
        <v>10840335</v>
      </c>
      <c r="D1358" s="85" t="s">
        <v>327</v>
      </c>
      <c r="E1358" s="86">
        <v>0</v>
      </c>
      <c r="F1358" s="86">
        <v>11101349.499999996</v>
      </c>
      <c r="G1358" s="86">
        <v>609</v>
      </c>
      <c r="H1358" s="86"/>
      <c r="I1358" s="86">
        <v>834</v>
      </c>
      <c r="J1358" s="86"/>
      <c r="K1358" s="86">
        <v>1042</v>
      </c>
      <c r="L1358" s="86"/>
      <c r="M1358" s="86">
        <v>1107</v>
      </c>
      <c r="N1358" s="86"/>
      <c r="O1358" s="86">
        <v>1114</v>
      </c>
      <c r="P1358" s="86">
        <v>12531807.499999998</v>
      </c>
      <c r="Q1358" s="86">
        <v>1114</v>
      </c>
      <c r="R1358" s="87">
        <f t="shared" si="453"/>
        <v>1114</v>
      </c>
      <c r="T1358" s="87">
        <v>0</v>
      </c>
      <c r="U1358" s="89"/>
      <c r="V1358" s="89">
        <v>0</v>
      </c>
      <c r="W1358" s="90"/>
      <c r="X1358" s="90">
        <v>0</v>
      </c>
      <c r="Y1358" s="90">
        <v>13776697.499999994</v>
      </c>
      <c r="Z1358" s="90">
        <v>0</v>
      </c>
      <c r="AA1358" s="90">
        <v>783</v>
      </c>
      <c r="AB1358" s="89">
        <f t="shared" si="439"/>
        <v>1042</v>
      </c>
      <c r="AC1358" s="89">
        <f t="shared" si="440"/>
        <v>1114</v>
      </c>
      <c r="AD1358" s="89">
        <f t="shared" si="441"/>
        <v>0</v>
      </c>
      <c r="AE1358" s="90">
        <f t="shared" si="442"/>
        <v>609</v>
      </c>
      <c r="AF1358" s="90">
        <f t="shared" si="443"/>
        <v>2013</v>
      </c>
      <c r="AG1358" s="90">
        <f t="shared" si="444"/>
        <v>1114</v>
      </c>
      <c r="AH1358" s="90">
        <f t="shared" si="445"/>
        <v>2017</v>
      </c>
      <c r="AI1358" s="90">
        <f t="shared" si="446"/>
        <v>1114</v>
      </c>
      <c r="AJ1358" s="90">
        <f t="shared" si="447"/>
        <v>2017</v>
      </c>
      <c r="AK1358" s="90" t="str">
        <f t="shared" si="448"/>
        <v/>
      </c>
      <c r="AL1358" s="91">
        <f>IF(AK1358="Adjust",(_xlfn.XLOOKUP(A1358,'Adj factor'!A:A,'Adj factor'!I:I,,0)*AI1358),'Master DataSheet (Rev)'!AI1358)</f>
        <v>1114</v>
      </c>
      <c r="AM1358" s="91">
        <f t="shared" si="449"/>
        <v>1114</v>
      </c>
      <c r="AN1358" s="92" t="str">
        <f t="shared" si="450"/>
        <v>No change</v>
      </c>
      <c r="AS1358" s="94">
        <f t="shared" si="451"/>
        <v>0.54858195393271802</v>
      </c>
      <c r="AT1358" s="94">
        <f t="shared" si="452"/>
        <v>0.88893800834396808</v>
      </c>
      <c r="AU1358" s="94">
        <f t="shared" si="454"/>
        <v>0.80861178812992041</v>
      </c>
      <c r="AV1358" s="94">
        <f t="shared" si="455"/>
        <v>0.80861178812992041</v>
      </c>
    </row>
    <row r="1359" spans="1:48" x14ac:dyDescent="0.3">
      <c r="A1359" s="85" t="str">
        <f>_xlfn.XLOOKUP(B1359,'Country codes &amp; Data sources'!G:G,'Country codes &amp; Data sources'!H:H,,0)</f>
        <v>Rwanda</v>
      </c>
      <c r="B1359" s="85" t="s">
        <v>183</v>
      </c>
      <c r="C1359" s="85">
        <v>10840336</v>
      </c>
      <c r="D1359" s="85" t="s">
        <v>328</v>
      </c>
      <c r="E1359" s="86">
        <v>0</v>
      </c>
      <c r="F1359" s="86">
        <v>11101349.499999996</v>
      </c>
      <c r="G1359" s="86">
        <v>495</v>
      </c>
      <c r="H1359" s="86"/>
      <c r="I1359" s="86">
        <v>174</v>
      </c>
      <c r="J1359" s="86"/>
      <c r="K1359" s="86">
        <v>242</v>
      </c>
      <c r="L1359" s="86"/>
      <c r="M1359" s="86">
        <v>324</v>
      </c>
      <c r="N1359" s="86"/>
      <c r="O1359" s="86">
        <v>534</v>
      </c>
      <c r="P1359" s="86">
        <v>12531807.499999998</v>
      </c>
      <c r="Q1359" s="86">
        <v>534</v>
      </c>
      <c r="R1359" s="87">
        <f t="shared" si="453"/>
        <v>567</v>
      </c>
      <c r="T1359" s="87">
        <v>0</v>
      </c>
      <c r="U1359" s="89"/>
      <c r="V1359" s="89">
        <v>0</v>
      </c>
      <c r="W1359" s="90"/>
      <c r="X1359" s="90">
        <v>0</v>
      </c>
      <c r="Y1359" s="90">
        <v>13776697.499999994</v>
      </c>
      <c r="Z1359" s="90">
        <v>0</v>
      </c>
      <c r="AA1359" s="90">
        <v>567</v>
      </c>
      <c r="AB1359" s="89">
        <f t="shared" si="439"/>
        <v>495</v>
      </c>
      <c r="AC1359" s="89">
        <f t="shared" si="440"/>
        <v>534</v>
      </c>
      <c r="AD1359" s="89">
        <f t="shared" si="441"/>
        <v>0</v>
      </c>
      <c r="AE1359" s="90">
        <f t="shared" si="442"/>
        <v>495</v>
      </c>
      <c r="AF1359" s="90">
        <f t="shared" si="443"/>
        <v>2013</v>
      </c>
      <c r="AG1359" s="90">
        <f t="shared" si="444"/>
        <v>567</v>
      </c>
      <c r="AH1359" s="90" t="str">
        <f t="shared" si="445"/>
        <v>2018 (triag)</v>
      </c>
      <c r="AI1359" s="90">
        <f t="shared" si="446"/>
        <v>567</v>
      </c>
      <c r="AJ1359" s="90" t="str">
        <f t="shared" si="447"/>
        <v>2018 (triag)</v>
      </c>
      <c r="AK1359" s="90" t="str">
        <f t="shared" si="448"/>
        <v/>
      </c>
      <c r="AL1359" s="91">
        <f>IF(AK1359="Adjust",(_xlfn.XLOOKUP(A1359,'Adj factor'!A:A,'Adj factor'!I:I,,0)*AI1359),'Master DataSheet (Rev)'!AI1359)</f>
        <v>567</v>
      </c>
      <c r="AM1359" s="91">
        <f t="shared" si="449"/>
        <v>567</v>
      </c>
      <c r="AN1359" s="92" t="str">
        <f t="shared" si="450"/>
        <v>No change</v>
      </c>
      <c r="AS1359" s="94">
        <f t="shared" si="451"/>
        <v>0.4458917359551649</v>
      </c>
      <c r="AT1359" s="94">
        <f t="shared" si="452"/>
        <v>0.45244869904042179</v>
      </c>
      <c r="AU1359" s="94">
        <f t="shared" si="454"/>
        <v>0.41156452771065072</v>
      </c>
      <c r="AV1359" s="94">
        <f t="shared" si="455"/>
        <v>0.41156452771065072</v>
      </c>
    </row>
    <row r="1360" spans="1:48" x14ac:dyDescent="0.3">
      <c r="A1360" s="85" t="str">
        <f>_xlfn.XLOOKUP(B1360,'Country codes &amp; Data sources'!G:G,'Country codes &amp; Data sources'!H:H,,0)</f>
        <v>Rwanda</v>
      </c>
      <c r="B1360" s="85" t="s">
        <v>183</v>
      </c>
      <c r="C1360" s="85">
        <v>10840337</v>
      </c>
      <c r="D1360" s="85" t="s">
        <v>329</v>
      </c>
      <c r="E1360" s="86">
        <v>0</v>
      </c>
      <c r="F1360" s="86">
        <v>11101349.499999996</v>
      </c>
      <c r="G1360" s="86">
        <v>0</v>
      </c>
      <c r="H1360" s="86"/>
      <c r="I1360" s="86">
        <v>9625</v>
      </c>
      <c r="J1360" s="86"/>
      <c r="K1360" s="86">
        <v>10367</v>
      </c>
      <c r="L1360" s="86"/>
      <c r="M1360" s="86">
        <v>11281</v>
      </c>
      <c r="N1360" s="86"/>
      <c r="O1360" s="86">
        <v>0</v>
      </c>
      <c r="P1360" s="86">
        <v>12531807.499999998</v>
      </c>
      <c r="Q1360" s="86">
        <v>13345</v>
      </c>
      <c r="R1360" s="87">
        <f t="shared" si="453"/>
        <v>13345</v>
      </c>
      <c r="T1360" s="87">
        <v>10409</v>
      </c>
      <c r="U1360" s="89"/>
      <c r="V1360" s="89">
        <v>0</v>
      </c>
      <c r="W1360" s="90"/>
      <c r="X1360" s="90">
        <v>0</v>
      </c>
      <c r="Y1360" s="90">
        <v>13776697.499999994</v>
      </c>
      <c r="Z1360" s="113">
        <f>7200+5592+268</f>
        <v>13060</v>
      </c>
      <c r="AA1360" s="90">
        <v>9551</v>
      </c>
      <c r="AB1360" s="89">
        <f t="shared" si="439"/>
        <v>10367</v>
      </c>
      <c r="AC1360" s="89">
        <f t="shared" si="440"/>
        <v>13345</v>
      </c>
      <c r="AD1360" s="89">
        <f t="shared" si="441"/>
        <v>13060</v>
      </c>
      <c r="AE1360" s="90">
        <f t="shared" si="442"/>
        <v>9625</v>
      </c>
      <c r="AF1360" s="90">
        <f t="shared" si="443"/>
        <v>2014</v>
      </c>
      <c r="AG1360" s="90">
        <f t="shared" si="444"/>
        <v>13345</v>
      </c>
      <c r="AH1360" s="90">
        <f t="shared" si="445"/>
        <v>2018</v>
      </c>
      <c r="AI1360" s="90">
        <f t="shared" si="446"/>
        <v>13060</v>
      </c>
      <c r="AJ1360" s="90">
        <f t="shared" si="447"/>
        <v>2022</v>
      </c>
      <c r="AK1360" s="90" t="str">
        <f t="shared" si="448"/>
        <v>Adjust</v>
      </c>
      <c r="AL1360" s="91">
        <f>IF(AK1360="Adjust",(_xlfn.XLOOKUP(A1360,'Adj factor'!A:A,'Adj factor'!I:I,,0)*AI1360),'Master DataSheet (Rev)'!AI1360)</f>
        <v>13501.239749316621</v>
      </c>
      <c r="AM1360" s="91">
        <f t="shared" si="449"/>
        <v>13501.239749316621</v>
      </c>
      <c r="AN1360" s="92" t="str">
        <f t="shared" si="450"/>
        <v>Increasing</v>
      </c>
      <c r="AS1360" s="94">
        <f t="shared" si="451"/>
        <v>8.6701170880170952</v>
      </c>
      <c r="AT1360" s="94">
        <f t="shared" si="452"/>
        <v>10.648902801930211</v>
      </c>
      <c r="AU1360" s="94">
        <f t="shared" si="454"/>
        <v>9.8000553102923451</v>
      </c>
      <c r="AV1360" s="94">
        <f t="shared" si="455"/>
        <v>9.8000553102923451</v>
      </c>
    </row>
    <row r="1361" spans="1:48" x14ac:dyDescent="0.3">
      <c r="A1361" s="85" t="str">
        <f>_xlfn.XLOOKUP(B1361,'Country codes &amp; Data sources'!G:G,'Country codes &amp; Data sources'!H:H,,0)</f>
        <v>Rwanda</v>
      </c>
      <c r="B1361" s="85" t="s">
        <v>183</v>
      </c>
      <c r="C1361" s="85">
        <v>10840338</v>
      </c>
      <c r="D1361" s="85" t="s">
        <v>330</v>
      </c>
      <c r="E1361" s="86">
        <v>0</v>
      </c>
      <c r="F1361" s="86">
        <v>11101349.499999996</v>
      </c>
      <c r="G1361" s="86">
        <v>0</v>
      </c>
      <c r="H1361" s="86"/>
      <c r="I1361" s="86">
        <v>0</v>
      </c>
      <c r="J1361" s="86"/>
      <c r="K1361" s="86">
        <v>0</v>
      </c>
      <c r="L1361" s="86"/>
      <c r="M1361" s="86">
        <v>0</v>
      </c>
      <c r="N1361" s="86"/>
      <c r="O1361" s="86">
        <v>0</v>
      </c>
      <c r="P1361" s="86">
        <v>12531807.499999998</v>
      </c>
      <c r="Q1361" s="86">
        <v>0</v>
      </c>
      <c r="R1361" s="87">
        <f t="shared" si="453"/>
        <v>9551</v>
      </c>
      <c r="T1361" s="87">
        <v>0</v>
      </c>
      <c r="U1361" s="89"/>
      <c r="V1361" s="89">
        <v>0</v>
      </c>
      <c r="W1361" s="90"/>
      <c r="X1361" s="90">
        <v>0</v>
      </c>
      <c r="Y1361" s="90">
        <v>13776697.499999994</v>
      </c>
      <c r="Z1361" s="90">
        <v>0</v>
      </c>
      <c r="AA1361" s="90">
        <v>9551</v>
      </c>
      <c r="AB1361" s="89">
        <f t="shared" si="439"/>
        <v>0</v>
      </c>
      <c r="AC1361" s="89">
        <f t="shared" si="440"/>
        <v>0</v>
      </c>
      <c r="AD1361" s="89">
        <f t="shared" si="441"/>
        <v>0</v>
      </c>
      <c r="AF1361" s="90" t="str">
        <f t="shared" si="443"/>
        <v/>
      </c>
      <c r="AG1361" s="90">
        <f t="shared" si="444"/>
        <v>9551</v>
      </c>
      <c r="AH1361" s="90" t="str">
        <f t="shared" si="445"/>
        <v>2018 (triag)</v>
      </c>
      <c r="AI1361" s="90">
        <f t="shared" si="446"/>
        <v>9551</v>
      </c>
      <c r="AJ1361" s="90" t="str">
        <f t="shared" si="447"/>
        <v>2018 (triag)</v>
      </c>
      <c r="AK1361" s="90" t="str">
        <f t="shared" si="448"/>
        <v/>
      </c>
      <c r="AL1361" s="91">
        <f>IF(AK1361="Adjust",(_xlfn.XLOOKUP(A1361,'Adj factor'!A:A,'Adj factor'!I:I,,0)*AI1361),'Master DataSheet (Rev)'!AI1361)</f>
        <v>9551</v>
      </c>
      <c r="AM1361" s="91">
        <f t="shared" si="449"/>
        <v>9551</v>
      </c>
      <c r="AN1361" s="92" t="str">
        <f t="shared" si="450"/>
        <v>No change</v>
      </c>
      <c r="AS1361" s="94">
        <f t="shared" si="451"/>
        <v>0</v>
      </c>
      <c r="AT1361" s="94">
        <f t="shared" si="452"/>
        <v>7.6214065688449182</v>
      </c>
      <c r="AU1361" s="94">
        <f t="shared" si="454"/>
        <v>6.9327209949989861</v>
      </c>
      <c r="AV1361" s="94">
        <f t="shared" si="455"/>
        <v>6.9327209949989861</v>
      </c>
    </row>
    <row r="1362" spans="1:48" x14ac:dyDescent="0.3">
      <c r="A1362" s="85" t="str">
        <f>_xlfn.XLOOKUP(B1362,'Country codes &amp; Data sources'!G:G,'Country codes &amp; Data sources'!H:H,,0)</f>
        <v>Rwanda</v>
      </c>
      <c r="B1362" s="85" t="s">
        <v>183</v>
      </c>
      <c r="C1362" s="85">
        <v>10840339</v>
      </c>
      <c r="D1362" s="85" t="s">
        <v>331</v>
      </c>
      <c r="E1362" s="86">
        <v>0</v>
      </c>
      <c r="F1362" s="86">
        <v>11101349.499999996</v>
      </c>
      <c r="G1362" s="86">
        <v>0</v>
      </c>
      <c r="H1362" s="86"/>
      <c r="I1362" s="86">
        <v>0</v>
      </c>
      <c r="J1362" s="86"/>
      <c r="K1362" s="86">
        <v>0</v>
      </c>
      <c r="L1362" s="86"/>
      <c r="M1362" s="86">
        <v>0</v>
      </c>
      <c r="N1362" s="86"/>
      <c r="O1362" s="86">
        <v>0</v>
      </c>
      <c r="P1362" s="86">
        <v>12531807.499999998</v>
      </c>
      <c r="Q1362" s="86">
        <v>0</v>
      </c>
      <c r="R1362" s="87">
        <f t="shared" si="453"/>
        <v>0</v>
      </c>
      <c r="T1362" s="87">
        <v>0</v>
      </c>
      <c r="U1362" s="89"/>
      <c r="V1362" s="89">
        <v>0</v>
      </c>
      <c r="W1362" s="90"/>
      <c r="X1362" s="90">
        <v>0</v>
      </c>
      <c r="Y1362" s="90">
        <v>13776697.499999994</v>
      </c>
      <c r="Z1362" s="90">
        <v>0</v>
      </c>
      <c r="AA1362" s="90">
        <v>0</v>
      </c>
      <c r="AB1362" s="89">
        <f t="shared" si="439"/>
        <v>0</v>
      </c>
      <c r="AC1362" s="89">
        <f t="shared" si="440"/>
        <v>0</v>
      </c>
      <c r="AD1362" s="89">
        <f t="shared" si="441"/>
        <v>0</v>
      </c>
      <c r="AF1362" s="90" t="str">
        <f t="shared" si="443"/>
        <v/>
      </c>
      <c r="AH1362" s="90" t="str">
        <f t="shared" si="445"/>
        <v/>
      </c>
      <c r="AI1362" s="90">
        <f t="shared" si="446"/>
        <v>0</v>
      </c>
      <c r="AJ1362" s="90" t="str">
        <f t="shared" si="447"/>
        <v/>
      </c>
      <c r="AK1362" s="90" t="str">
        <f t="shared" si="448"/>
        <v/>
      </c>
      <c r="AL1362" s="91"/>
      <c r="AM1362" s="91">
        <f t="shared" si="449"/>
        <v>0</v>
      </c>
      <c r="AN1362" s="92" t="str">
        <f t="shared" si="450"/>
        <v>No change</v>
      </c>
      <c r="AS1362" s="94">
        <f t="shared" si="451"/>
        <v>0</v>
      </c>
      <c r="AT1362" s="94">
        <f t="shared" si="452"/>
        <v>0</v>
      </c>
      <c r="AU1362" s="94">
        <f t="shared" si="454"/>
        <v>0</v>
      </c>
      <c r="AV1362" s="94">
        <f t="shared" si="455"/>
        <v>0</v>
      </c>
    </row>
    <row r="1363" spans="1:48" x14ac:dyDescent="0.3">
      <c r="A1363" s="85" t="str">
        <f>_xlfn.XLOOKUP(B1363,'Country codes &amp; Data sources'!G:G,'Country codes &amp; Data sources'!H:H,,0)</f>
        <v>Rwanda</v>
      </c>
      <c r="B1363" s="85" t="s">
        <v>183</v>
      </c>
      <c r="C1363" s="85">
        <v>10840340</v>
      </c>
      <c r="D1363" s="85" t="s">
        <v>332</v>
      </c>
      <c r="E1363" s="86">
        <v>0</v>
      </c>
      <c r="F1363" s="86">
        <v>11101349.499999996</v>
      </c>
      <c r="G1363" s="86">
        <v>622</v>
      </c>
      <c r="H1363" s="86"/>
      <c r="I1363" s="86">
        <v>692</v>
      </c>
      <c r="J1363" s="86"/>
      <c r="K1363" s="86">
        <v>868</v>
      </c>
      <c r="L1363" s="86"/>
      <c r="M1363" s="86">
        <v>1070</v>
      </c>
      <c r="N1363" s="86"/>
      <c r="O1363" s="86">
        <v>2144</v>
      </c>
      <c r="P1363" s="86">
        <v>12531807.499999998</v>
      </c>
      <c r="Q1363" s="86">
        <v>1471</v>
      </c>
      <c r="R1363" s="87">
        <f t="shared" si="453"/>
        <v>1471</v>
      </c>
      <c r="T1363" s="87">
        <v>1561</v>
      </c>
      <c r="U1363" s="89"/>
      <c r="V1363" s="89">
        <v>0</v>
      </c>
      <c r="W1363" s="90"/>
      <c r="X1363" s="90">
        <v>0</v>
      </c>
      <c r="Y1363" s="90">
        <v>13776697.499999994</v>
      </c>
      <c r="Z1363" s="113">
        <v>1990</v>
      </c>
      <c r="AA1363" s="90">
        <v>1207</v>
      </c>
      <c r="AB1363" s="89">
        <f t="shared" si="439"/>
        <v>868</v>
      </c>
      <c r="AC1363" s="89">
        <f t="shared" si="440"/>
        <v>2144</v>
      </c>
      <c r="AD1363" s="89">
        <f t="shared" si="441"/>
        <v>1990</v>
      </c>
      <c r="AE1363" s="90">
        <f t="shared" si="442"/>
        <v>622</v>
      </c>
      <c r="AF1363" s="90">
        <f t="shared" si="443"/>
        <v>2013</v>
      </c>
      <c r="AG1363" s="90">
        <f t="shared" si="444"/>
        <v>1471</v>
      </c>
      <c r="AH1363" s="90">
        <f t="shared" si="445"/>
        <v>2018</v>
      </c>
      <c r="AI1363" s="90">
        <f t="shared" si="446"/>
        <v>1990</v>
      </c>
      <c r="AJ1363" s="90">
        <f t="shared" si="447"/>
        <v>2022</v>
      </c>
      <c r="AK1363" s="90" t="str">
        <f t="shared" si="448"/>
        <v/>
      </c>
      <c r="AL1363" s="91">
        <f>IF(AK1363="Adjust",(_xlfn.XLOOKUP(A1363,'Adj factor'!A:A,'Adj factor'!I:I,,0)*AI1363),'Master DataSheet (Rev)'!AI1363)</f>
        <v>1990</v>
      </c>
      <c r="AM1363" s="91">
        <f t="shared" si="449"/>
        <v>1990</v>
      </c>
      <c r="AN1363" s="92" t="str">
        <f t="shared" si="450"/>
        <v>Increasing</v>
      </c>
      <c r="AS1363" s="94">
        <f t="shared" si="451"/>
        <v>0.56029224194770211</v>
      </c>
      <c r="AT1363" s="94">
        <f t="shared" si="452"/>
        <v>1.1738131151471967</v>
      </c>
      <c r="AU1363" s="94">
        <f t="shared" si="454"/>
        <v>1.4444680954924072</v>
      </c>
      <c r="AV1363" s="94">
        <f t="shared" si="455"/>
        <v>1.4444680954924072</v>
      </c>
    </row>
    <row r="1364" spans="1:48" x14ac:dyDescent="0.3">
      <c r="A1364" s="85" t="str">
        <f>_xlfn.XLOOKUP(B1364,'Country codes &amp; Data sources'!G:G,'Country codes &amp; Data sources'!H:H,,0)</f>
        <v>Rwanda</v>
      </c>
      <c r="B1364" s="85" t="s">
        <v>183</v>
      </c>
      <c r="C1364" s="85">
        <v>10840341</v>
      </c>
      <c r="D1364" s="85" t="s">
        <v>333</v>
      </c>
      <c r="E1364" s="86">
        <v>0</v>
      </c>
      <c r="F1364" s="86">
        <v>11101349.499999996</v>
      </c>
      <c r="G1364" s="86">
        <v>622</v>
      </c>
      <c r="H1364" s="86"/>
      <c r="I1364" s="86">
        <v>0</v>
      </c>
      <c r="J1364" s="86"/>
      <c r="K1364" s="86">
        <v>0</v>
      </c>
      <c r="L1364" s="86"/>
      <c r="M1364" s="86">
        <v>0</v>
      </c>
      <c r="N1364" s="86"/>
      <c r="O1364" s="86">
        <v>0</v>
      </c>
      <c r="P1364" s="86">
        <v>12531807.499999998</v>
      </c>
      <c r="Q1364" s="86">
        <v>0</v>
      </c>
      <c r="R1364" s="87">
        <f t="shared" si="453"/>
        <v>1207</v>
      </c>
      <c r="T1364" s="87">
        <v>0</v>
      </c>
      <c r="U1364" s="89"/>
      <c r="V1364" s="89">
        <v>0</v>
      </c>
      <c r="W1364" s="90"/>
      <c r="X1364" s="90">
        <v>0</v>
      </c>
      <c r="Y1364" s="90">
        <v>13776697.499999994</v>
      </c>
      <c r="Z1364" s="90">
        <v>0</v>
      </c>
      <c r="AA1364" s="90">
        <v>1207</v>
      </c>
      <c r="AB1364" s="89">
        <f t="shared" si="439"/>
        <v>622</v>
      </c>
      <c r="AC1364" s="89">
        <f t="shared" si="440"/>
        <v>0</v>
      </c>
      <c r="AD1364" s="89">
        <f t="shared" si="441"/>
        <v>0</v>
      </c>
      <c r="AE1364" s="90">
        <f t="shared" si="442"/>
        <v>622</v>
      </c>
      <c r="AF1364" s="90">
        <f t="shared" si="443"/>
        <v>2013</v>
      </c>
      <c r="AG1364" s="90">
        <f t="shared" si="444"/>
        <v>1207</v>
      </c>
      <c r="AH1364" s="90" t="str">
        <f t="shared" si="445"/>
        <v>2018 (triag)</v>
      </c>
      <c r="AI1364" s="90">
        <f t="shared" si="446"/>
        <v>1207</v>
      </c>
      <c r="AJ1364" s="90" t="str">
        <f t="shared" si="447"/>
        <v>2018 (triag)</v>
      </c>
      <c r="AK1364" s="90" t="str">
        <f t="shared" si="448"/>
        <v/>
      </c>
      <c r="AL1364" s="91">
        <f>IF(AK1364="Adjust",(_xlfn.XLOOKUP(A1364,'Adj factor'!A:A,'Adj factor'!I:I,,0)*AI1364),'Master DataSheet (Rev)'!AI1364)</f>
        <v>1207</v>
      </c>
      <c r="AM1364" s="91">
        <f t="shared" si="449"/>
        <v>1207</v>
      </c>
      <c r="AN1364" s="92" t="str">
        <f t="shared" si="450"/>
        <v>No change</v>
      </c>
      <c r="AS1364" s="94">
        <f t="shared" si="451"/>
        <v>0.56029224194770211</v>
      </c>
      <c r="AT1364" s="94">
        <f t="shared" si="452"/>
        <v>0.96314917062043937</v>
      </c>
      <c r="AU1364" s="94">
        <f t="shared" si="454"/>
        <v>0.87611708103484198</v>
      </c>
      <c r="AV1364" s="94">
        <f t="shared" si="455"/>
        <v>0.87611708103484198</v>
      </c>
    </row>
    <row r="1365" spans="1:48" x14ac:dyDescent="0.3">
      <c r="A1365" s="85" t="str">
        <f>_xlfn.XLOOKUP(B1365,'Country codes &amp; Data sources'!G:G,'Country codes &amp; Data sources'!H:H,,0)</f>
        <v>Rwanda</v>
      </c>
      <c r="B1365" s="85" t="s">
        <v>183</v>
      </c>
      <c r="C1365" s="85">
        <v>10840342</v>
      </c>
      <c r="D1365" s="85" t="s">
        <v>334</v>
      </c>
      <c r="E1365" s="86">
        <v>0</v>
      </c>
      <c r="F1365" s="86">
        <v>11101349.499999996</v>
      </c>
      <c r="G1365" s="86">
        <v>0</v>
      </c>
      <c r="H1365" s="86"/>
      <c r="I1365" s="86">
        <v>0</v>
      </c>
      <c r="J1365" s="86"/>
      <c r="K1365" s="86">
        <v>0</v>
      </c>
      <c r="L1365" s="86"/>
      <c r="M1365" s="86">
        <v>0</v>
      </c>
      <c r="N1365" s="86"/>
      <c r="O1365" s="86">
        <v>879</v>
      </c>
      <c r="P1365" s="86">
        <v>12531807.499999998</v>
      </c>
      <c r="Q1365" s="86">
        <v>0</v>
      </c>
      <c r="R1365" s="87">
        <f t="shared" si="453"/>
        <v>0</v>
      </c>
      <c r="T1365" s="87">
        <v>0</v>
      </c>
      <c r="U1365" s="89"/>
      <c r="V1365" s="89">
        <v>0</v>
      </c>
      <c r="W1365" s="90"/>
      <c r="X1365" s="90">
        <v>0</v>
      </c>
      <c r="Y1365" s="90">
        <v>13776697.499999994</v>
      </c>
      <c r="Z1365" s="90">
        <v>0</v>
      </c>
      <c r="AA1365" s="90">
        <v>0</v>
      </c>
      <c r="AB1365" s="89">
        <f t="shared" si="439"/>
        <v>0</v>
      </c>
      <c r="AC1365" s="89">
        <f t="shared" si="440"/>
        <v>879</v>
      </c>
      <c r="AD1365" s="89">
        <f t="shared" si="441"/>
        <v>0</v>
      </c>
      <c r="AF1365" s="90" t="str">
        <f t="shared" si="443"/>
        <v/>
      </c>
      <c r="AG1365" s="90">
        <f t="shared" si="444"/>
        <v>879</v>
      </c>
      <c r="AH1365" s="90">
        <f t="shared" si="445"/>
        <v>2017</v>
      </c>
      <c r="AI1365" s="90">
        <f t="shared" si="446"/>
        <v>879</v>
      </c>
      <c r="AJ1365" s="90">
        <f t="shared" si="447"/>
        <v>2017</v>
      </c>
      <c r="AK1365" s="90" t="str">
        <f t="shared" si="448"/>
        <v/>
      </c>
      <c r="AL1365" s="91">
        <f>IF(AK1365="Adjust",(_xlfn.XLOOKUP(A1365,'Adj factor'!A:A,'Adj factor'!I:I,,0)*AI1365),'Master DataSheet (Rev)'!AI1365)</f>
        <v>879</v>
      </c>
      <c r="AM1365" s="91">
        <f t="shared" si="449"/>
        <v>879</v>
      </c>
      <c r="AN1365" s="92" t="str">
        <f t="shared" si="450"/>
        <v>No change</v>
      </c>
      <c r="AS1365" s="94">
        <f t="shared" si="451"/>
        <v>0</v>
      </c>
      <c r="AT1365" s="94">
        <f t="shared" si="452"/>
        <v>0.70141517893568039</v>
      </c>
      <c r="AU1365" s="94">
        <f t="shared" si="454"/>
        <v>0.63803389745619399</v>
      </c>
      <c r="AV1365" s="94">
        <f t="shared" si="455"/>
        <v>0.63803389745619399</v>
      </c>
    </row>
    <row r="1366" spans="1:48" x14ac:dyDescent="0.3">
      <c r="A1366" s="85" t="str">
        <f>_xlfn.XLOOKUP(B1366,'Country codes &amp; Data sources'!G:G,'Country codes &amp; Data sources'!H:H,,0)</f>
        <v>Rwanda</v>
      </c>
      <c r="B1366" s="85" t="s">
        <v>183</v>
      </c>
      <c r="C1366" s="85">
        <v>10840343</v>
      </c>
      <c r="D1366" s="85" t="s">
        <v>335</v>
      </c>
      <c r="E1366" s="86">
        <v>0</v>
      </c>
      <c r="F1366" s="86">
        <v>11101349.499999996</v>
      </c>
      <c r="G1366" s="86">
        <v>0</v>
      </c>
      <c r="H1366" s="86"/>
      <c r="I1366" s="86">
        <v>0</v>
      </c>
      <c r="J1366" s="86"/>
      <c r="K1366" s="86">
        <v>114</v>
      </c>
      <c r="L1366" s="86"/>
      <c r="M1366" s="86">
        <v>0</v>
      </c>
      <c r="N1366" s="86"/>
      <c r="O1366" s="86">
        <v>879</v>
      </c>
      <c r="P1366" s="86">
        <v>12531807.499999998</v>
      </c>
      <c r="Q1366" s="86">
        <v>886</v>
      </c>
      <c r="R1366" s="87">
        <f t="shared" si="453"/>
        <v>886</v>
      </c>
      <c r="T1366" s="87">
        <v>0</v>
      </c>
      <c r="U1366" s="89"/>
      <c r="V1366" s="89">
        <v>0</v>
      </c>
      <c r="W1366" s="90"/>
      <c r="X1366" s="90">
        <v>0</v>
      </c>
      <c r="Y1366" s="90">
        <v>13776697.499999994</v>
      </c>
      <c r="Z1366" s="90">
        <v>0</v>
      </c>
      <c r="AA1366" s="90">
        <v>167</v>
      </c>
      <c r="AB1366" s="89">
        <f t="shared" si="439"/>
        <v>114</v>
      </c>
      <c r="AC1366" s="89">
        <f t="shared" si="440"/>
        <v>886</v>
      </c>
      <c r="AD1366" s="89">
        <f t="shared" si="441"/>
        <v>0</v>
      </c>
      <c r="AE1366" s="90">
        <f t="shared" si="442"/>
        <v>114</v>
      </c>
      <c r="AF1366" s="90">
        <f t="shared" si="443"/>
        <v>2015</v>
      </c>
      <c r="AG1366" s="90">
        <f t="shared" si="444"/>
        <v>886</v>
      </c>
      <c r="AH1366" s="90">
        <f t="shared" si="445"/>
        <v>2018</v>
      </c>
      <c r="AI1366" s="90">
        <f t="shared" si="446"/>
        <v>886</v>
      </c>
      <c r="AJ1366" s="90">
        <f t="shared" si="447"/>
        <v>2018</v>
      </c>
      <c r="AK1366" s="90" t="str">
        <f t="shared" si="448"/>
        <v/>
      </c>
      <c r="AL1366" s="91">
        <f>IF(AK1366="Adjust",(_xlfn.XLOOKUP(A1366,'Adj factor'!A:A,'Adj factor'!I:I,,0)*AI1366),'Master DataSheet (Rev)'!AI1366)</f>
        <v>886</v>
      </c>
      <c r="AM1366" s="91">
        <f t="shared" si="449"/>
        <v>886</v>
      </c>
      <c r="AN1366" s="92" t="str">
        <f t="shared" si="450"/>
        <v>No change</v>
      </c>
      <c r="AS1366" s="94">
        <f t="shared" si="451"/>
        <v>0.10269021797755312</v>
      </c>
      <c r="AT1366" s="94">
        <f t="shared" si="452"/>
        <v>0.70700096534358681</v>
      </c>
      <c r="AU1366" s="94">
        <f t="shared" si="454"/>
        <v>0.64311494100817734</v>
      </c>
      <c r="AV1366" s="94">
        <f t="shared" si="455"/>
        <v>0.64311494100817734</v>
      </c>
    </row>
    <row r="1367" spans="1:48" x14ac:dyDescent="0.3">
      <c r="A1367" s="85" t="str">
        <f>_xlfn.XLOOKUP(B1367,'Country codes &amp; Data sources'!G:G,'Country codes &amp; Data sources'!H:H,,0)</f>
        <v>Rwanda</v>
      </c>
      <c r="B1367" s="85" t="s">
        <v>183</v>
      </c>
      <c r="C1367" s="85">
        <v>10840344</v>
      </c>
      <c r="D1367" s="85" t="s">
        <v>336</v>
      </c>
      <c r="E1367" s="86">
        <v>0</v>
      </c>
      <c r="F1367" s="86">
        <v>11101349.499999996</v>
      </c>
      <c r="G1367" s="86">
        <v>0</v>
      </c>
      <c r="H1367" s="86"/>
      <c r="I1367" s="86">
        <v>0</v>
      </c>
      <c r="J1367" s="86"/>
      <c r="K1367" s="86">
        <v>0</v>
      </c>
      <c r="L1367" s="86"/>
      <c r="M1367" s="86">
        <v>0</v>
      </c>
      <c r="N1367" s="86"/>
      <c r="O1367" s="86">
        <v>201</v>
      </c>
      <c r="P1367" s="86">
        <v>12531807.499999998</v>
      </c>
      <c r="Q1367" s="86">
        <v>0</v>
      </c>
      <c r="R1367" s="87">
        <f t="shared" si="453"/>
        <v>0</v>
      </c>
      <c r="T1367" s="87">
        <v>0</v>
      </c>
      <c r="U1367" s="89"/>
      <c r="V1367" s="89">
        <v>0</v>
      </c>
      <c r="W1367" s="90"/>
      <c r="X1367" s="90">
        <v>0</v>
      </c>
      <c r="Y1367" s="90">
        <v>13776697.499999994</v>
      </c>
      <c r="Z1367" s="90">
        <v>0</v>
      </c>
      <c r="AA1367" s="90">
        <v>0</v>
      </c>
      <c r="AB1367" s="89">
        <f t="shared" si="439"/>
        <v>0</v>
      </c>
      <c r="AC1367" s="89">
        <f t="shared" si="440"/>
        <v>201</v>
      </c>
      <c r="AD1367" s="89">
        <f t="shared" si="441"/>
        <v>0</v>
      </c>
      <c r="AF1367" s="90" t="str">
        <f t="shared" si="443"/>
        <v/>
      </c>
      <c r="AG1367" s="90">
        <f t="shared" si="444"/>
        <v>201</v>
      </c>
      <c r="AH1367" s="90">
        <f t="shared" si="445"/>
        <v>2017</v>
      </c>
      <c r="AI1367" s="90">
        <f t="shared" si="446"/>
        <v>201</v>
      </c>
      <c r="AJ1367" s="90">
        <f t="shared" si="447"/>
        <v>2017</v>
      </c>
      <c r="AK1367" s="90" t="str">
        <f t="shared" si="448"/>
        <v/>
      </c>
      <c r="AL1367" s="91">
        <f>IF(AK1367="Adjust",(_xlfn.XLOOKUP(A1367,'Adj factor'!A:A,'Adj factor'!I:I,,0)*AI1367),'Master DataSheet (Rev)'!AI1367)</f>
        <v>201</v>
      </c>
      <c r="AM1367" s="91">
        <f t="shared" si="449"/>
        <v>201</v>
      </c>
      <c r="AN1367" s="92" t="str">
        <f t="shared" si="450"/>
        <v>No change</v>
      </c>
      <c r="AS1367" s="94">
        <f t="shared" si="451"/>
        <v>0</v>
      </c>
      <c r="AT1367" s="94">
        <f t="shared" si="452"/>
        <v>0.16039186685559925</v>
      </c>
      <c r="AU1367" s="94">
        <f t="shared" si="454"/>
        <v>0.14589853627837882</v>
      </c>
      <c r="AV1367" s="94">
        <f t="shared" si="455"/>
        <v>0.14589853627837882</v>
      </c>
    </row>
    <row r="1368" spans="1:48" x14ac:dyDescent="0.3">
      <c r="A1368" s="85" t="str">
        <f>_xlfn.XLOOKUP(B1368,'Country codes &amp; Data sources'!G:G,'Country codes &amp; Data sources'!H:H,,0)</f>
        <v>Rwanda</v>
      </c>
      <c r="B1368" s="85" t="s">
        <v>183</v>
      </c>
      <c r="C1368" s="85">
        <v>10840345</v>
      </c>
      <c r="D1368" s="85" t="s">
        <v>337</v>
      </c>
      <c r="E1368" s="86">
        <v>0</v>
      </c>
      <c r="F1368" s="86">
        <v>11101349.499999996</v>
      </c>
      <c r="G1368" s="86">
        <v>0</v>
      </c>
      <c r="H1368" s="86"/>
      <c r="I1368" s="86">
        <v>0</v>
      </c>
      <c r="J1368" s="86"/>
      <c r="K1368" s="86">
        <v>127</v>
      </c>
      <c r="L1368" s="86"/>
      <c r="M1368" s="86">
        <v>0</v>
      </c>
      <c r="N1368" s="86"/>
      <c r="O1368" s="86">
        <v>236</v>
      </c>
      <c r="P1368" s="86">
        <v>12531807.499999998</v>
      </c>
      <c r="Q1368" s="86">
        <v>228</v>
      </c>
      <c r="R1368" s="87">
        <f t="shared" si="453"/>
        <v>228</v>
      </c>
      <c r="T1368" s="87">
        <v>0</v>
      </c>
      <c r="U1368" s="89"/>
      <c r="V1368" s="89">
        <v>0</v>
      </c>
      <c r="W1368" s="90"/>
      <c r="X1368" s="90">
        <v>0</v>
      </c>
      <c r="Y1368" s="90">
        <v>13776697.499999994</v>
      </c>
      <c r="Z1368" s="113">
        <v>236</v>
      </c>
      <c r="AA1368" s="90">
        <v>228</v>
      </c>
      <c r="AB1368" s="89">
        <f t="shared" ref="AB1368:AB1431" si="456">MAX(G1368,E1368,I1368,K1368)</f>
        <v>127</v>
      </c>
      <c r="AC1368" s="89">
        <f t="shared" ref="AC1368:AC1431" si="457">MAX(M1368,O1368,Q1368,T1368)</f>
        <v>236</v>
      </c>
      <c r="AD1368" s="89">
        <f t="shared" ref="AD1368:AD1431" si="458">MAX(V1368,X1368,Z1368)</f>
        <v>236</v>
      </c>
      <c r="AE1368" s="90">
        <f t="shared" ref="AE1368:AE1431" si="459">IF(G1368&gt;0,G1368,IF(E1368&gt;0,E1368,IF(I1368&gt;0,I1368,K1368)))</f>
        <v>127</v>
      </c>
      <c r="AF1368" s="90">
        <f t="shared" ref="AF1368:AF1431" si="460">IF(AE1368&gt;0,_xlfn.XLOOKUP(AE1368,$B1368:$K1368,$B$1:$K$1,,0),"")</f>
        <v>2015</v>
      </c>
      <c r="AG1368" s="90">
        <f t="shared" ref="AG1368:AG1431" si="461">IF(R1368&gt;0,R1368,IF(O1368&gt;0,O1368,T1368))</f>
        <v>228</v>
      </c>
      <c r="AH1368" s="90">
        <f t="shared" ref="AH1368:AH1431" si="462">IF(AG1368&gt;0,_xlfn.XLOOKUP(AG1368,$L1368:$T1368,$L$1:$T$1,,0),"")</f>
        <v>2018</v>
      </c>
      <c r="AI1368" s="90">
        <f t="shared" ref="AI1368:AI1431" si="463">IF((IF(Z1368&gt;0,Z1368,IF(X1368&gt;0,X1368,IF(V1368&gt;0,V1368,T1368))))=0,AG1368,IF(Z1368&gt;0,Z1368,IF(X1368&gt;0,X1368,IF(V1368&gt;0,V1368,T1368))))</f>
        <v>236</v>
      </c>
      <c r="AJ1368" s="90">
        <f t="shared" ref="AJ1368:AJ1431" si="464">IFERROR(IF(AI1368&gt;0,_xlfn.XLOOKUP(AI1368,$V1368:$Z1368,$V$1:$Z$1,,0),""),AH1368)</f>
        <v>2022</v>
      </c>
      <c r="AK1368" s="90" t="str">
        <f t="shared" ref="AK1368:AK1431" si="465">IF(AI1368&lt;AG1368,"Adjust","")</f>
        <v/>
      </c>
      <c r="AL1368" s="91">
        <f>IF(AK1368="Adjust",(_xlfn.XLOOKUP(A1368,'Adj factor'!A:A,'Adj factor'!I:I,,0)*AI1368),'Master DataSheet (Rev)'!AI1368)</f>
        <v>236</v>
      </c>
      <c r="AM1368" s="91">
        <f t="shared" ref="AM1368:AM1431" si="466">IF(AL1368&lt;AG1368,AG1368,AL1368)</f>
        <v>236</v>
      </c>
      <c r="AN1368" s="92" t="str">
        <f t="shared" ref="AN1368:AN1431" si="467">IF(AL1368&gt;AG1368,"Increasing",IF(AL1368&lt;AG1368,"Decreasing","No change"))</f>
        <v>Increasing</v>
      </c>
      <c r="AS1368" s="94">
        <f t="shared" ref="AS1368:AS1431" si="468">(AE1368*10000)/F1368</f>
        <v>0.11440050599253725</v>
      </c>
      <c r="AT1368" s="94">
        <f t="shared" ref="AT1368:AT1431" si="469">(AG1368*10000)/P1368</f>
        <v>0.18193704300038124</v>
      </c>
      <c r="AU1368" s="94">
        <f t="shared" si="454"/>
        <v>0.17130375403829554</v>
      </c>
      <c r="AV1368" s="94">
        <f t="shared" si="455"/>
        <v>0.17130375403829554</v>
      </c>
    </row>
    <row r="1369" spans="1:48" x14ac:dyDescent="0.3">
      <c r="A1369" s="85" t="str">
        <f>_xlfn.XLOOKUP(B1369,'Country codes &amp; Data sources'!G:G,'Country codes &amp; Data sources'!H:H,,0)</f>
        <v>Rwanda</v>
      </c>
      <c r="B1369" s="85" t="s">
        <v>183</v>
      </c>
      <c r="C1369" s="85">
        <v>10840346</v>
      </c>
      <c r="D1369" s="85" t="s">
        <v>338</v>
      </c>
      <c r="E1369" s="86">
        <v>0</v>
      </c>
      <c r="F1369" s="86">
        <v>11101349.499999996</v>
      </c>
      <c r="G1369" s="86">
        <v>0</v>
      </c>
      <c r="H1369" s="86"/>
      <c r="I1369" s="86">
        <v>0</v>
      </c>
      <c r="J1369" s="86"/>
      <c r="K1369" s="86">
        <v>0</v>
      </c>
      <c r="L1369" s="86"/>
      <c r="M1369" s="86">
        <v>0</v>
      </c>
      <c r="N1369" s="86"/>
      <c r="O1369" s="86">
        <v>0</v>
      </c>
      <c r="P1369" s="86">
        <v>12531807.499999998</v>
      </c>
      <c r="Q1369" s="86">
        <v>0</v>
      </c>
      <c r="R1369" s="87">
        <f t="shared" si="453"/>
        <v>0</v>
      </c>
      <c r="T1369" s="87">
        <v>0</v>
      </c>
      <c r="U1369" s="89"/>
      <c r="V1369" s="89">
        <v>0</v>
      </c>
      <c r="W1369" s="90"/>
      <c r="X1369" s="90">
        <v>0</v>
      </c>
      <c r="Y1369" s="90">
        <v>13776697.499999994</v>
      </c>
      <c r="Z1369" s="90">
        <v>0</v>
      </c>
      <c r="AA1369" s="90">
        <v>0</v>
      </c>
      <c r="AB1369" s="89">
        <f t="shared" si="456"/>
        <v>0</v>
      </c>
      <c r="AC1369" s="89">
        <f t="shared" si="457"/>
        <v>0</v>
      </c>
      <c r="AD1369" s="89">
        <f t="shared" si="458"/>
        <v>0</v>
      </c>
      <c r="AF1369" s="90" t="str">
        <f t="shared" si="460"/>
        <v/>
      </c>
      <c r="AH1369" s="90" t="str">
        <f t="shared" si="462"/>
        <v/>
      </c>
      <c r="AI1369" s="90">
        <f t="shared" si="463"/>
        <v>0</v>
      </c>
      <c r="AJ1369" s="90" t="str">
        <f t="shared" si="464"/>
        <v/>
      </c>
      <c r="AK1369" s="90" t="str">
        <f t="shared" si="465"/>
        <v/>
      </c>
      <c r="AL1369" s="91"/>
      <c r="AM1369" s="91">
        <f t="shared" si="466"/>
        <v>0</v>
      </c>
      <c r="AN1369" s="92" t="str">
        <f t="shared" si="467"/>
        <v>No change</v>
      </c>
      <c r="AS1369" s="94">
        <f t="shared" si="468"/>
        <v>0</v>
      </c>
      <c r="AT1369" s="94">
        <f t="shared" si="469"/>
        <v>0</v>
      </c>
      <c r="AU1369" s="94">
        <f t="shared" si="454"/>
        <v>0</v>
      </c>
      <c r="AV1369" s="94">
        <f t="shared" si="455"/>
        <v>0</v>
      </c>
    </row>
    <row r="1370" spans="1:48" x14ac:dyDescent="0.3">
      <c r="A1370" s="85" t="str">
        <f>_xlfn.XLOOKUP(B1370,'Country codes &amp; Data sources'!G:G,'Country codes &amp; Data sources'!H:H,,0)</f>
        <v>Rwanda</v>
      </c>
      <c r="B1370" s="85" t="s">
        <v>183</v>
      </c>
      <c r="C1370" s="85">
        <v>10840347</v>
      </c>
      <c r="D1370" s="85" t="s">
        <v>339</v>
      </c>
      <c r="E1370" s="86">
        <v>0</v>
      </c>
      <c r="F1370" s="86">
        <v>11101349.499999996</v>
      </c>
      <c r="G1370" s="86">
        <v>0</v>
      </c>
      <c r="H1370" s="86"/>
      <c r="I1370" s="86">
        <v>0</v>
      </c>
      <c r="J1370" s="86"/>
      <c r="K1370" s="86">
        <v>0</v>
      </c>
      <c r="L1370" s="86"/>
      <c r="M1370" s="86">
        <v>0</v>
      </c>
      <c r="N1370" s="86"/>
      <c r="O1370" s="86">
        <v>0</v>
      </c>
      <c r="P1370" s="86">
        <v>12531807.499999998</v>
      </c>
      <c r="Q1370" s="86">
        <v>310</v>
      </c>
      <c r="R1370" s="87">
        <f t="shared" si="453"/>
        <v>310</v>
      </c>
      <c r="T1370" s="87">
        <v>0</v>
      </c>
      <c r="U1370" s="89"/>
      <c r="V1370" s="89">
        <v>0</v>
      </c>
      <c r="W1370" s="90"/>
      <c r="X1370" s="90">
        <v>0</v>
      </c>
      <c r="Y1370" s="90">
        <v>13776697.499999994</v>
      </c>
      <c r="Z1370" s="90">
        <v>0</v>
      </c>
      <c r="AA1370" s="90">
        <v>0</v>
      </c>
      <c r="AB1370" s="89">
        <f t="shared" si="456"/>
        <v>0</v>
      </c>
      <c r="AC1370" s="89">
        <f t="shared" si="457"/>
        <v>310</v>
      </c>
      <c r="AD1370" s="89">
        <f t="shared" si="458"/>
        <v>0</v>
      </c>
      <c r="AF1370" s="90" t="str">
        <f t="shared" si="460"/>
        <v/>
      </c>
      <c r="AG1370" s="90">
        <f t="shared" si="461"/>
        <v>310</v>
      </c>
      <c r="AH1370" s="90">
        <f t="shared" si="462"/>
        <v>2018</v>
      </c>
      <c r="AI1370" s="90">
        <f t="shared" si="463"/>
        <v>310</v>
      </c>
      <c r="AJ1370" s="90">
        <f t="shared" si="464"/>
        <v>2018</v>
      </c>
      <c r="AK1370" s="90" t="str">
        <f t="shared" si="465"/>
        <v/>
      </c>
      <c r="AL1370" s="91">
        <f>IF(AK1370="Adjust",(_xlfn.XLOOKUP(A1370,'Adj factor'!A:A,'Adj factor'!I:I,,0)*AI1370),'Master DataSheet (Rev)'!AI1370)</f>
        <v>310</v>
      </c>
      <c r="AM1370" s="91">
        <f t="shared" si="466"/>
        <v>310</v>
      </c>
      <c r="AN1370" s="92" t="str">
        <f t="shared" si="467"/>
        <v>No change</v>
      </c>
      <c r="AS1370" s="94">
        <f t="shared" si="468"/>
        <v>0</v>
      </c>
      <c r="AT1370" s="94">
        <f t="shared" si="469"/>
        <v>0.24737054092157101</v>
      </c>
      <c r="AU1370" s="94">
        <f t="shared" si="454"/>
        <v>0.22501764301640514</v>
      </c>
      <c r="AV1370" s="94">
        <f t="shared" si="455"/>
        <v>0.22501764301640514</v>
      </c>
    </row>
    <row r="1371" spans="1:48" x14ac:dyDescent="0.3">
      <c r="A1371" s="85" t="str">
        <f>_xlfn.XLOOKUP(B1371,'Country codes &amp; Data sources'!G:G,'Country codes &amp; Data sources'!H:H,,0)</f>
        <v>Senegal</v>
      </c>
      <c r="B1371" s="85" t="s">
        <v>184</v>
      </c>
      <c r="C1371" s="85">
        <v>13231833.000000002</v>
      </c>
      <c r="D1371" s="85" t="s">
        <v>326</v>
      </c>
      <c r="E1371" s="86">
        <v>0</v>
      </c>
      <c r="F1371" s="86">
        <v>13595565.499999993</v>
      </c>
      <c r="G1371" s="86">
        <v>0</v>
      </c>
      <c r="H1371" s="86">
        <v>13970307.499999993</v>
      </c>
      <c r="I1371" s="86">
        <v>0</v>
      </c>
      <c r="J1371" s="86">
        <v>14356180.500000004</v>
      </c>
      <c r="K1371" s="86">
        <v>0</v>
      </c>
      <c r="L1371" s="86">
        <v>14751356.499999994</v>
      </c>
      <c r="M1371" s="86">
        <v>1154</v>
      </c>
      <c r="N1371" s="86">
        <v>15157793.000000006</v>
      </c>
      <c r="O1371" s="86">
        <v>1066</v>
      </c>
      <c r="P1371" s="86">
        <v>15574908.999999998</v>
      </c>
      <c r="Q1371" s="86">
        <v>0</v>
      </c>
      <c r="R1371" s="87">
        <f t="shared" si="453"/>
        <v>2883</v>
      </c>
      <c r="S1371" s="87">
        <v>16000781.500000006</v>
      </c>
      <c r="T1371" s="87">
        <v>1435</v>
      </c>
      <c r="U1371" s="89">
        <v>16436119.999999993</v>
      </c>
      <c r="V1371" s="89">
        <v>1384</v>
      </c>
      <c r="W1371" s="90">
        <v>16876719.999999996</v>
      </c>
      <c r="X1371" s="90">
        <v>1707</v>
      </c>
      <c r="Y1371" s="90">
        <v>17316449</v>
      </c>
      <c r="Z1371" s="90">
        <v>2188</v>
      </c>
      <c r="AA1371" s="90">
        <v>2883</v>
      </c>
      <c r="AB1371" s="89">
        <f t="shared" si="456"/>
        <v>0</v>
      </c>
      <c r="AC1371" s="89">
        <f t="shared" si="457"/>
        <v>1435</v>
      </c>
      <c r="AD1371" s="89">
        <f t="shared" si="458"/>
        <v>2188</v>
      </c>
      <c r="AF1371" s="90" t="str">
        <f t="shared" si="460"/>
        <v/>
      </c>
      <c r="AG1371" s="90">
        <f t="shared" si="461"/>
        <v>2883</v>
      </c>
      <c r="AH1371" s="90" t="str">
        <f t="shared" si="462"/>
        <v>2018 (triag)</v>
      </c>
      <c r="AI1371" s="90">
        <f t="shared" si="463"/>
        <v>2188</v>
      </c>
      <c r="AJ1371" s="90">
        <f t="shared" si="464"/>
        <v>2022</v>
      </c>
      <c r="AK1371" s="90" t="str">
        <f t="shared" si="465"/>
        <v>Adjust</v>
      </c>
      <c r="AL1371" s="91">
        <f>IF(AK1371="Adjust",(_xlfn.XLOOKUP(A1371,'Adj factor'!A:A,'Adj factor'!I:I,,0)*AI1371),'Master DataSheet (Rev)'!AI1371)</f>
        <v>2560.8623058327948</v>
      </c>
      <c r="AM1371" s="91">
        <f t="shared" si="466"/>
        <v>2883</v>
      </c>
      <c r="AN1371" s="92" t="str">
        <f t="shared" si="467"/>
        <v>Decreasing</v>
      </c>
      <c r="AS1371" s="94">
        <f t="shared" si="468"/>
        <v>0</v>
      </c>
      <c r="AT1371" s="94">
        <f t="shared" si="469"/>
        <v>1.8510541538316534</v>
      </c>
      <c r="AU1371" s="94">
        <f t="shared" si="454"/>
        <v>1.4788611139805827</v>
      </c>
      <c r="AV1371" s="94">
        <f t="shared" si="455"/>
        <v>1.6648909946837254</v>
      </c>
    </row>
    <row r="1372" spans="1:48" x14ac:dyDescent="0.3">
      <c r="A1372" s="85" t="str">
        <f>_xlfn.XLOOKUP(B1372,'Country codes &amp; Data sources'!G:G,'Country codes &amp; Data sources'!H:H,,0)</f>
        <v>Senegal</v>
      </c>
      <c r="B1372" s="85" t="s">
        <v>184</v>
      </c>
      <c r="C1372" s="85">
        <v>13231834</v>
      </c>
      <c r="D1372" s="85" t="s">
        <v>327</v>
      </c>
      <c r="E1372" s="86">
        <v>0</v>
      </c>
      <c r="F1372" s="86">
        <v>13595565.499999993</v>
      </c>
      <c r="G1372" s="86">
        <v>0</v>
      </c>
      <c r="H1372" s="86"/>
      <c r="I1372" s="86">
        <v>0</v>
      </c>
      <c r="J1372" s="86"/>
      <c r="K1372" s="86">
        <v>0</v>
      </c>
      <c r="L1372" s="86"/>
      <c r="M1372" s="86">
        <v>267</v>
      </c>
      <c r="N1372" s="86"/>
      <c r="O1372" s="86">
        <v>0</v>
      </c>
      <c r="P1372" s="86">
        <v>15574908.999999998</v>
      </c>
      <c r="Q1372" s="86">
        <v>0</v>
      </c>
      <c r="R1372" s="87">
        <f t="shared" si="453"/>
        <v>676</v>
      </c>
      <c r="T1372" s="87">
        <v>353</v>
      </c>
      <c r="U1372" s="89"/>
      <c r="V1372" s="89">
        <v>308</v>
      </c>
      <c r="W1372" s="90"/>
      <c r="X1372" s="90">
        <v>487</v>
      </c>
      <c r="Y1372" s="90">
        <v>17316449</v>
      </c>
      <c r="Z1372" s="90">
        <v>703</v>
      </c>
      <c r="AA1372" s="90">
        <v>676</v>
      </c>
      <c r="AB1372" s="89">
        <f t="shared" si="456"/>
        <v>0</v>
      </c>
      <c r="AC1372" s="89">
        <f t="shared" si="457"/>
        <v>353</v>
      </c>
      <c r="AD1372" s="89">
        <f t="shared" si="458"/>
        <v>703</v>
      </c>
      <c r="AF1372" s="90" t="str">
        <f t="shared" si="460"/>
        <v/>
      </c>
      <c r="AG1372" s="90">
        <f t="shared" si="461"/>
        <v>676</v>
      </c>
      <c r="AH1372" s="90" t="str">
        <f t="shared" si="462"/>
        <v>2018 (triag)</v>
      </c>
      <c r="AI1372" s="90">
        <f t="shared" si="463"/>
        <v>703</v>
      </c>
      <c r="AJ1372" s="90">
        <f t="shared" si="464"/>
        <v>2022</v>
      </c>
      <c r="AK1372" s="90" t="str">
        <f t="shared" si="465"/>
        <v/>
      </c>
      <c r="AL1372" s="91">
        <f>IF(AK1372="Adjust",(_xlfn.XLOOKUP(A1372,'Adj factor'!A:A,'Adj factor'!I:I,,0)*AI1372),'Master DataSheet (Rev)'!AI1372)</f>
        <v>703</v>
      </c>
      <c r="AM1372" s="91">
        <f t="shared" si="466"/>
        <v>703</v>
      </c>
      <c r="AN1372" s="92" t="str">
        <f t="shared" si="467"/>
        <v>Increasing</v>
      </c>
      <c r="AS1372" s="94">
        <f t="shared" si="468"/>
        <v>0</v>
      </c>
      <c r="AT1372" s="94">
        <f t="shared" si="469"/>
        <v>0.43403142836982234</v>
      </c>
      <c r="AU1372" s="94">
        <f t="shared" si="454"/>
        <v>0.40597237921007939</v>
      </c>
      <c r="AV1372" s="94">
        <f t="shared" si="455"/>
        <v>0.40597237921007939</v>
      </c>
    </row>
    <row r="1373" spans="1:48" x14ac:dyDescent="0.3">
      <c r="A1373" s="85" t="str">
        <f>_xlfn.XLOOKUP(B1373,'Country codes &amp; Data sources'!G:G,'Country codes &amp; Data sources'!H:H,,0)</f>
        <v>Senegal</v>
      </c>
      <c r="B1373" s="85" t="s">
        <v>184</v>
      </c>
      <c r="C1373" s="85">
        <v>13231835</v>
      </c>
      <c r="D1373" s="85" t="s">
        <v>328</v>
      </c>
      <c r="E1373" s="86">
        <v>0</v>
      </c>
      <c r="F1373" s="86">
        <v>13595565.499999993</v>
      </c>
      <c r="G1373" s="86">
        <v>0</v>
      </c>
      <c r="H1373" s="86"/>
      <c r="I1373" s="86">
        <v>0</v>
      </c>
      <c r="J1373" s="86"/>
      <c r="K1373" s="86">
        <v>0</v>
      </c>
      <c r="L1373" s="86"/>
      <c r="M1373" s="86">
        <v>887</v>
      </c>
      <c r="N1373" s="86"/>
      <c r="O1373" s="86">
        <v>0</v>
      </c>
      <c r="P1373" s="86">
        <v>15574908.999999998</v>
      </c>
      <c r="Q1373" s="86">
        <v>0</v>
      </c>
      <c r="R1373" s="87">
        <f t="shared" si="453"/>
        <v>2207</v>
      </c>
      <c r="T1373" s="87">
        <v>1082</v>
      </c>
      <c r="U1373" s="89"/>
      <c r="V1373" s="89">
        <v>1076</v>
      </c>
      <c r="W1373" s="90"/>
      <c r="X1373" s="90">
        <v>1220</v>
      </c>
      <c r="Y1373" s="90">
        <v>17316449</v>
      </c>
      <c r="Z1373" s="90">
        <v>1485</v>
      </c>
      <c r="AA1373" s="90">
        <v>2207</v>
      </c>
      <c r="AB1373" s="89">
        <f t="shared" si="456"/>
        <v>0</v>
      </c>
      <c r="AC1373" s="89">
        <f t="shared" si="457"/>
        <v>1082</v>
      </c>
      <c r="AD1373" s="89">
        <f t="shared" si="458"/>
        <v>1485</v>
      </c>
      <c r="AF1373" s="90" t="str">
        <f t="shared" si="460"/>
        <v/>
      </c>
      <c r="AG1373" s="90">
        <f t="shared" si="461"/>
        <v>2207</v>
      </c>
      <c r="AH1373" s="90" t="str">
        <f t="shared" si="462"/>
        <v>2018 (triag)</v>
      </c>
      <c r="AI1373" s="90">
        <f t="shared" si="463"/>
        <v>1485</v>
      </c>
      <c r="AJ1373" s="90">
        <f t="shared" si="464"/>
        <v>2022</v>
      </c>
      <c r="AK1373" s="90" t="str">
        <f t="shared" si="465"/>
        <v>Adjust</v>
      </c>
      <c r="AL1373" s="91">
        <f>IF(AK1373="Adjust",(_xlfn.XLOOKUP(A1373,'Adj factor'!A:A,'Adj factor'!I:I,,0)*AI1373),'Master DataSheet (Rev)'!AI1373)</f>
        <v>1738.0623967832269</v>
      </c>
      <c r="AM1373" s="91">
        <f t="shared" si="466"/>
        <v>2207</v>
      </c>
      <c r="AN1373" s="92" t="str">
        <f t="shared" si="467"/>
        <v>Decreasing</v>
      </c>
      <c r="AS1373" s="94">
        <f t="shared" si="468"/>
        <v>0</v>
      </c>
      <c r="AT1373" s="94">
        <f t="shared" si="469"/>
        <v>1.4170227254618311</v>
      </c>
      <c r="AU1373" s="94">
        <f t="shared" si="454"/>
        <v>1.0037060120023606</v>
      </c>
      <c r="AV1373" s="94">
        <f t="shared" si="455"/>
        <v>1.2745107267662095</v>
      </c>
    </row>
    <row r="1374" spans="1:48" x14ac:dyDescent="0.3">
      <c r="A1374" s="85" t="str">
        <f>_xlfn.XLOOKUP(B1374,'Country codes &amp; Data sources'!G:G,'Country codes &amp; Data sources'!H:H,,0)</f>
        <v>Senegal</v>
      </c>
      <c r="B1374" s="85" t="s">
        <v>184</v>
      </c>
      <c r="C1374" s="85">
        <v>13231836</v>
      </c>
      <c r="D1374" s="85" t="s">
        <v>329</v>
      </c>
      <c r="E1374" s="86">
        <v>0</v>
      </c>
      <c r="F1374" s="86">
        <v>13595565.499999993</v>
      </c>
      <c r="G1374" s="86">
        <v>0</v>
      </c>
      <c r="H1374" s="86"/>
      <c r="I1374" s="86">
        <v>0</v>
      </c>
      <c r="J1374" s="86"/>
      <c r="K1374" s="86">
        <v>1682</v>
      </c>
      <c r="L1374" s="86"/>
      <c r="M1374" s="86">
        <v>2490</v>
      </c>
      <c r="N1374" s="86"/>
      <c r="O1374" s="86">
        <v>2820</v>
      </c>
      <c r="P1374" s="86">
        <v>15574908.999999998</v>
      </c>
      <c r="Q1374" s="86">
        <v>0</v>
      </c>
      <c r="R1374" s="87">
        <f t="shared" si="453"/>
        <v>4577</v>
      </c>
      <c r="T1374" s="87">
        <v>6151</v>
      </c>
      <c r="U1374" s="89"/>
      <c r="V1374" s="89">
        <v>3800</v>
      </c>
      <c r="W1374" s="90"/>
      <c r="X1374" s="90">
        <v>6477</v>
      </c>
      <c r="Y1374" s="90">
        <v>17316449</v>
      </c>
      <c r="Z1374" s="90">
        <v>4737</v>
      </c>
      <c r="AA1374" s="90">
        <v>4577</v>
      </c>
      <c r="AB1374" s="89">
        <f t="shared" si="456"/>
        <v>1682</v>
      </c>
      <c r="AC1374" s="89">
        <f t="shared" si="457"/>
        <v>6151</v>
      </c>
      <c r="AD1374" s="89">
        <f t="shared" si="458"/>
        <v>6477</v>
      </c>
      <c r="AE1374" s="90">
        <f t="shared" si="459"/>
        <v>1682</v>
      </c>
      <c r="AF1374" s="90">
        <f t="shared" si="460"/>
        <v>2015</v>
      </c>
      <c r="AG1374" s="90">
        <f t="shared" si="461"/>
        <v>4577</v>
      </c>
      <c r="AH1374" s="90" t="str">
        <f t="shared" si="462"/>
        <v>2018 (triag)</v>
      </c>
      <c r="AI1374" s="90">
        <f t="shared" si="463"/>
        <v>4737</v>
      </c>
      <c r="AJ1374" s="90">
        <f t="shared" si="464"/>
        <v>2022</v>
      </c>
      <c r="AK1374" s="90" t="str">
        <f t="shared" si="465"/>
        <v/>
      </c>
      <c r="AL1374" s="91">
        <f>IF(AK1374="Adjust",(_xlfn.XLOOKUP(A1374,'Adj factor'!A:A,'Adj factor'!I:I,,0)*AI1374),'Master DataSheet (Rev)'!AI1374)</f>
        <v>4737</v>
      </c>
      <c r="AM1374" s="91">
        <f t="shared" si="466"/>
        <v>4737</v>
      </c>
      <c r="AN1374" s="92" t="str">
        <f t="shared" si="467"/>
        <v>Increasing</v>
      </c>
      <c r="AS1374" s="94">
        <f t="shared" si="468"/>
        <v>1.2371681045558576</v>
      </c>
      <c r="AT1374" s="94">
        <f t="shared" si="469"/>
        <v>2.9387009580601728</v>
      </c>
      <c r="AU1374" s="94">
        <f t="shared" si="454"/>
        <v>2.7355493034397527</v>
      </c>
      <c r="AV1374" s="94">
        <f t="shared" si="455"/>
        <v>2.7355493034397527</v>
      </c>
    </row>
    <row r="1375" spans="1:48" x14ac:dyDescent="0.3">
      <c r="A1375" s="85" t="str">
        <f>_xlfn.XLOOKUP(B1375,'Country codes &amp; Data sources'!G:G,'Country codes &amp; Data sources'!H:H,,0)</f>
        <v>Senegal</v>
      </c>
      <c r="B1375" s="85" t="s">
        <v>184</v>
      </c>
      <c r="C1375" s="85">
        <v>13231837</v>
      </c>
      <c r="D1375" s="85" t="s">
        <v>330</v>
      </c>
      <c r="E1375" s="86">
        <v>0</v>
      </c>
      <c r="F1375" s="86">
        <v>13595565.499999993</v>
      </c>
      <c r="G1375" s="86">
        <v>0</v>
      </c>
      <c r="H1375" s="86"/>
      <c r="I1375" s="86">
        <v>0</v>
      </c>
      <c r="J1375" s="86"/>
      <c r="K1375" s="86">
        <v>1020</v>
      </c>
      <c r="L1375" s="86"/>
      <c r="M1375" s="86">
        <v>1445</v>
      </c>
      <c r="N1375" s="86"/>
      <c r="O1375" s="86">
        <v>1727</v>
      </c>
      <c r="P1375" s="86">
        <v>15574908.999999998</v>
      </c>
      <c r="Q1375" s="86">
        <v>0</v>
      </c>
      <c r="R1375" s="87">
        <f t="shared" si="453"/>
        <v>3231</v>
      </c>
      <c r="T1375" s="87">
        <v>3093</v>
      </c>
      <c r="U1375" s="89"/>
      <c r="V1375" s="89">
        <v>3295</v>
      </c>
      <c r="W1375" s="90"/>
      <c r="X1375" s="90">
        <v>2523</v>
      </c>
      <c r="Y1375" s="90">
        <v>17316449</v>
      </c>
      <c r="Z1375" s="90">
        <v>2769</v>
      </c>
      <c r="AA1375" s="90">
        <v>3231</v>
      </c>
      <c r="AB1375" s="89">
        <f t="shared" si="456"/>
        <v>1020</v>
      </c>
      <c r="AC1375" s="89">
        <f t="shared" si="457"/>
        <v>3093</v>
      </c>
      <c r="AD1375" s="89">
        <f t="shared" si="458"/>
        <v>3295</v>
      </c>
      <c r="AE1375" s="90">
        <f t="shared" si="459"/>
        <v>1020</v>
      </c>
      <c r="AF1375" s="90">
        <f t="shared" si="460"/>
        <v>2015</v>
      </c>
      <c r="AG1375" s="90">
        <f t="shared" si="461"/>
        <v>3231</v>
      </c>
      <c r="AH1375" s="90" t="str">
        <f t="shared" si="462"/>
        <v>2018 (triag)</v>
      </c>
      <c r="AI1375" s="90">
        <f t="shared" si="463"/>
        <v>2769</v>
      </c>
      <c r="AJ1375" s="90">
        <f t="shared" si="464"/>
        <v>2022</v>
      </c>
      <c r="AK1375" s="90" t="str">
        <f t="shared" si="465"/>
        <v>Adjust</v>
      </c>
      <c r="AL1375" s="91">
        <f>IF(AK1375="Adjust",(_xlfn.XLOOKUP(A1375,'Adj factor'!A:A,'Adj factor'!I:I,,0)*AI1375),'Master DataSheet (Rev)'!AI1375)</f>
        <v>3240.8719034968049</v>
      </c>
      <c r="AM1375" s="91">
        <f t="shared" si="466"/>
        <v>3240.8719034968049</v>
      </c>
      <c r="AN1375" s="92" t="str">
        <f t="shared" si="467"/>
        <v>Increasing</v>
      </c>
      <c r="AS1375" s="94">
        <f t="shared" si="468"/>
        <v>0.75024462939772574</v>
      </c>
      <c r="AT1375" s="94">
        <f t="shared" si="469"/>
        <v>2.074490451276473</v>
      </c>
      <c r="AU1375" s="94">
        <f t="shared" si="454"/>
        <v>1.8715568668246041</v>
      </c>
      <c r="AV1375" s="94">
        <f t="shared" si="455"/>
        <v>1.8715568668246041</v>
      </c>
    </row>
    <row r="1376" spans="1:48" x14ac:dyDescent="0.3">
      <c r="A1376" s="85" t="str">
        <f>_xlfn.XLOOKUP(B1376,'Country codes &amp; Data sources'!G:G,'Country codes &amp; Data sources'!H:H,,0)</f>
        <v>Senegal</v>
      </c>
      <c r="B1376" s="85" t="s">
        <v>184</v>
      </c>
      <c r="C1376" s="85">
        <v>13231838</v>
      </c>
      <c r="D1376" s="85" t="s">
        <v>331</v>
      </c>
      <c r="E1376" s="86">
        <v>0</v>
      </c>
      <c r="F1376" s="86">
        <v>13595565.499999993</v>
      </c>
      <c r="G1376" s="86">
        <v>0</v>
      </c>
      <c r="H1376" s="86"/>
      <c r="I1376" s="86">
        <v>0</v>
      </c>
      <c r="J1376" s="86"/>
      <c r="K1376" s="86">
        <v>662</v>
      </c>
      <c r="L1376" s="86"/>
      <c r="M1376" s="86">
        <v>1045</v>
      </c>
      <c r="N1376" s="86"/>
      <c r="O1376" s="86">
        <v>1093</v>
      </c>
      <c r="P1376" s="86">
        <v>15574908.999999998</v>
      </c>
      <c r="Q1376" s="86">
        <v>0</v>
      </c>
      <c r="R1376" s="87">
        <f t="shared" si="453"/>
        <v>1346</v>
      </c>
      <c r="T1376" s="87">
        <v>3058</v>
      </c>
      <c r="U1376" s="89"/>
      <c r="V1376" s="89">
        <v>483</v>
      </c>
      <c r="W1376" s="90"/>
      <c r="X1376" s="90">
        <v>2173</v>
      </c>
      <c r="Y1376" s="90">
        <v>17316449</v>
      </c>
      <c r="Z1376" s="90">
        <v>1968</v>
      </c>
      <c r="AA1376" s="90">
        <v>1346</v>
      </c>
      <c r="AB1376" s="89">
        <f t="shared" si="456"/>
        <v>662</v>
      </c>
      <c r="AC1376" s="89">
        <f t="shared" si="457"/>
        <v>3058</v>
      </c>
      <c r="AD1376" s="89">
        <f t="shared" si="458"/>
        <v>2173</v>
      </c>
      <c r="AE1376" s="90">
        <f t="shared" si="459"/>
        <v>662</v>
      </c>
      <c r="AF1376" s="90">
        <f t="shared" si="460"/>
        <v>2015</v>
      </c>
      <c r="AG1376" s="90">
        <f t="shared" si="461"/>
        <v>1346</v>
      </c>
      <c r="AH1376" s="90" t="str">
        <f t="shared" si="462"/>
        <v>2018 (triag)</v>
      </c>
      <c r="AI1376" s="90">
        <f t="shared" si="463"/>
        <v>1968</v>
      </c>
      <c r="AJ1376" s="90">
        <f t="shared" si="464"/>
        <v>2022</v>
      </c>
      <c r="AK1376" s="90" t="str">
        <f t="shared" si="465"/>
        <v/>
      </c>
      <c r="AL1376" s="91">
        <f>IF(AK1376="Adjust",(_xlfn.XLOOKUP(A1376,'Adj factor'!A:A,'Adj factor'!I:I,,0)*AI1376),'Master DataSheet (Rev)'!AI1376)</f>
        <v>1968</v>
      </c>
      <c r="AM1376" s="91">
        <f t="shared" si="466"/>
        <v>1968</v>
      </c>
      <c r="AN1376" s="92" t="str">
        <f t="shared" si="467"/>
        <v>Increasing</v>
      </c>
      <c r="AS1376" s="94">
        <f t="shared" si="468"/>
        <v>0.48692347515813178</v>
      </c>
      <c r="AT1376" s="94">
        <f t="shared" si="469"/>
        <v>0.86421050678369948</v>
      </c>
      <c r="AU1376" s="94">
        <f t="shared" si="454"/>
        <v>1.136491667546851</v>
      </c>
      <c r="AV1376" s="94">
        <f t="shared" si="455"/>
        <v>1.136491667546851</v>
      </c>
    </row>
    <row r="1377" spans="1:48" x14ac:dyDescent="0.3">
      <c r="A1377" s="85" t="str">
        <f>_xlfn.XLOOKUP(B1377,'Country codes &amp; Data sources'!G:G,'Country codes &amp; Data sources'!H:H,,0)</f>
        <v>Senegal</v>
      </c>
      <c r="B1377" s="85" t="s">
        <v>184</v>
      </c>
      <c r="C1377" s="85">
        <v>13231839</v>
      </c>
      <c r="D1377" s="85" t="s">
        <v>332</v>
      </c>
      <c r="E1377" s="86">
        <v>0</v>
      </c>
      <c r="F1377" s="86">
        <v>13595565.499999993</v>
      </c>
      <c r="G1377" s="86">
        <v>3946</v>
      </c>
      <c r="H1377" s="86"/>
      <c r="I1377" s="86">
        <v>0</v>
      </c>
      <c r="J1377" s="86"/>
      <c r="K1377" s="86">
        <v>1116</v>
      </c>
      <c r="L1377" s="86"/>
      <c r="M1377" s="86">
        <v>2002</v>
      </c>
      <c r="N1377" s="86"/>
      <c r="O1377" s="86">
        <v>2002</v>
      </c>
      <c r="P1377" s="86">
        <v>15574908.999999998</v>
      </c>
      <c r="Q1377" s="86">
        <v>0</v>
      </c>
      <c r="R1377" s="87">
        <f t="shared" si="453"/>
        <v>3015</v>
      </c>
      <c r="T1377" s="87">
        <v>2656</v>
      </c>
      <c r="U1377" s="89"/>
      <c r="V1377" s="89">
        <v>2061</v>
      </c>
      <c r="W1377" s="90"/>
      <c r="X1377" s="90">
        <v>2739</v>
      </c>
      <c r="Y1377" s="90">
        <v>17316449</v>
      </c>
      <c r="Z1377" s="90">
        <v>2803</v>
      </c>
      <c r="AA1377" s="90">
        <v>3015</v>
      </c>
      <c r="AB1377" s="89">
        <f t="shared" si="456"/>
        <v>3946</v>
      </c>
      <c r="AC1377" s="89">
        <f t="shared" si="457"/>
        <v>2656</v>
      </c>
      <c r="AD1377" s="89">
        <f t="shared" si="458"/>
        <v>2803</v>
      </c>
      <c r="AE1377" s="90">
        <f t="shared" si="459"/>
        <v>3946</v>
      </c>
      <c r="AF1377" s="90">
        <f t="shared" si="460"/>
        <v>2013</v>
      </c>
      <c r="AG1377" s="90">
        <f t="shared" si="461"/>
        <v>3015</v>
      </c>
      <c r="AH1377" s="90" t="str">
        <f t="shared" si="462"/>
        <v>2018 (triag)</v>
      </c>
      <c r="AI1377" s="90">
        <f t="shared" si="463"/>
        <v>2803</v>
      </c>
      <c r="AJ1377" s="90">
        <f t="shared" si="464"/>
        <v>2022</v>
      </c>
      <c r="AK1377" s="90" t="str">
        <f t="shared" si="465"/>
        <v>Adjust</v>
      </c>
      <c r="AL1377" s="91">
        <f>IF(AK1377="Adjust",(_xlfn.XLOOKUP(A1377,'Adj factor'!A:A,'Adj factor'!I:I,,0)*AI1377),'Master DataSheet (Rev)'!AI1377)</f>
        <v>3280.6659247026164</v>
      </c>
      <c r="AM1377" s="91">
        <f t="shared" si="466"/>
        <v>3280.6659247026164</v>
      </c>
      <c r="AN1377" s="92" t="str">
        <f t="shared" si="467"/>
        <v>Increasing</v>
      </c>
      <c r="AS1377" s="94">
        <f t="shared" si="468"/>
        <v>2.9024169682386525</v>
      </c>
      <c r="AT1377" s="94">
        <f t="shared" si="469"/>
        <v>1.9358058528624471</v>
      </c>
      <c r="AU1377" s="94">
        <f t="shared" si="454"/>
        <v>1.8945373411734798</v>
      </c>
      <c r="AV1377" s="94">
        <f t="shared" si="455"/>
        <v>1.8945373411734798</v>
      </c>
    </row>
    <row r="1378" spans="1:48" x14ac:dyDescent="0.3">
      <c r="A1378" s="85" t="str">
        <f>_xlfn.XLOOKUP(B1378,'Country codes &amp; Data sources'!G:G,'Country codes &amp; Data sources'!H:H,,0)</f>
        <v>Senegal</v>
      </c>
      <c r="B1378" s="85" t="s">
        <v>184</v>
      </c>
      <c r="C1378" s="85">
        <v>13231840</v>
      </c>
      <c r="D1378" s="85" t="s">
        <v>333</v>
      </c>
      <c r="E1378" s="86">
        <v>0</v>
      </c>
      <c r="F1378" s="86">
        <v>13595565.499999993</v>
      </c>
      <c r="G1378" s="86">
        <v>3946</v>
      </c>
      <c r="H1378" s="86"/>
      <c r="I1378" s="86">
        <v>0</v>
      </c>
      <c r="J1378" s="86"/>
      <c r="K1378" s="86">
        <v>0</v>
      </c>
      <c r="L1378" s="86"/>
      <c r="M1378" s="86">
        <v>0</v>
      </c>
      <c r="N1378" s="86"/>
      <c r="O1378" s="86">
        <v>0</v>
      </c>
      <c r="P1378" s="86">
        <v>15574908.999999998</v>
      </c>
      <c r="Q1378" s="86">
        <v>0</v>
      </c>
      <c r="R1378" s="87">
        <f t="shared" si="453"/>
        <v>3015</v>
      </c>
      <c r="T1378" s="87">
        <v>2196</v>
      </c>
      <c r="U1378" s="89"/>
      <c r="V1378" s="89">
        <v>1969</v>
      </c>
      <c r="W1378" s="90"/>
      <c r="X1378" s="90">
        <v>2710</v>
      </c>
      <c r="Y1378" s="90">
        <v>17316449</v>
      </c>
      <c r="Z1378" s="90">
        <v>2803</v>
      </c>
      <c r="AA1378" s="90">
        <v>3015</v>
      </c>
      <c r="AB1378" s="89">
        <f t="shared" si="456"/>
        <v>3946</v>
      </c>
      <c r="AC1378" s="89">
        <f t="shared" si="457"/>
        <v>2196</v>
      </c>
      <c r="AD1378" s="89">
        <f t="shared" si="458"/>
        <v>2803</v>
      </c>
      <c r="AE1378" s="90">
        <f t="shared" si="459"/>
        <v>3946</v>
      </c>
      <c r="AF1378" s="90">
        <f t="shared" si="460"/>
        <v>2013</v>
      </c>
      <c r="AG1378" s="90">
        <f t="shared" si="461"/>
        <v>3015</v>
      </c>
      <c r="AH1378" s="90" t="str">
        <f t="shared" si="462"/>
        <v>2018 (triag)</v>
      </c>
      <c r="AI1378" s="90">
        <f t="shared" si="463"/>
        <v>2803</v>
      </c>
      <c r="AJ1378" s="90">
        <f t="shared" si="464"/>
        <v>2022</v>
      </c>
      <c r="AK1378" s="90" t="str">
        <f t="shared" si="465"/>
        <v>Adjust</v>
      </c>
      <c r="AL1378" s="91">
        <f>IF(AK1378="Adjust",(_xlfn.XLOOKUP(A1378,'Adj factor'!A:A,'Adj factor'!I:I,,0)*AI1378),'Master DataSheet (Rev)'!AI1378)</f>
        <v>3280.6659247026164</v>
      </c>
      <c r="AM1378" s="91">
        <f t="shared" si="466"/>
        <v>3280.6659247026164</v>
      </c>
      <c r="AN1378" s="92" t="str">
        <f t="shared" si="467"/>
        <v>Increasing</v>
      </c>
      <c r="AS1378" s="94">
        <f t="shared" si="468"/>
        <v>2.9024169682386525</v>
      </c>
      <c r="AT1378" s="94">
        <f t="shared" si="469"/>
        <v>1.9358058528624471</v>
      </c>
      <c r="AU1378" s="94">
        <f t="shared" si="454"/>
        <v>1.8945373411734798</v>
      </c>
      <c r="AV1378" s="94">
        <f t="shared" si="455"/>
        <v>1.8945373411734798</v>
      </c>
    </row>
    <row r="1379" spans="1:48" x14ac:dyDescent="0.3">
      <c r="A1379" s="85" t="str">
        <f>_xlfn.XLOOKUP(B1379,'Country codes &amp; Data sources'!G:G,'Country codes &amp; Data sources'!H:H,,0)</f>
        <v>Senegal</v>
      </c>
      <c r="B1379" s="85" t="s">
        <v>184</v>
      </c>
      <c r="C1379" s="85">
        <v>13231841</v>
      </c>
      <c r="D1379" s="85" t="s">
        <v>334</v>
      </c>
      <c r="E1379" s="86">
        <v>0</v>
      </c>
      <c r="F1379" s="86">
        <v>13595565.499999993</v>
      </c>
      <c r="G1379" s="86">
        <v>0</v>
      </c>
      <c r="H1379" s="86"/>
      <c r="I1379" s="86">
        <v>0</v>
      </c>
      <c r="J1379" s="86"/>
      <c r="K1379" s="86">
        <v>0</v>
      </c>
      <c r="L1379" s="86"/>
      <c r="M1379" s="86">
        <v>0</v>
      </c>
      <c r="N1379" s="86"/>
      <c r="O1379" s="86">
        <v>0</v>
      </c>
      <c r="P1379" s="86">
        <v>15574908.999999998</v>
      </c>
      <c r="Q1379" s="86">
        <v>0</v>
      </c>
      <c r="R1379" s="87">
        <f t="shared" si="453"/>
        <v>0</v>
      </c>
      <c r="T1379" s="87">
        <v>460</v>
      </c>
      <c r="U1379" s="89"/>
      <c r="V1379" s="89">
        <v>92</v>
      </c>
      <c r="W1379" s="90"/>
      <c r="X1379" s="90">
        <v>29</v>
      </c>
      <c r="Y1379" s="90">
        <v>17316449</v>
      </c>
      <c r="Z1379" s="90">
        <v>0</v>
      </c>
      <c r="AA1379" s="90">
        <v>0</v>
      </c>
      <c r="AB1379" s="89">
        <f t="shared" si="456"/>
        <v>0</v>
      </c>
      <c r="AC1379" s="89">
        <f t="shared" si="457"/>
        <v>460</v>
      </c>
      <c r="AD1379" s="89">
        <f t="shared" si="458"/>
        <v>92</v>
      </c>
      <c r="AF1379" s="90" t="str">
        <f t="shared" si="460"/>
        <v/>
      </c>
      <c r="AG1379" s="90">
        <f t="shared" si="461"/>
        <v>460</v>
      </c>
      <c r="AH1379" s="90">
        <f t="shared" si="462"/>
        <v>2019</v>
      </c>
      <c r="AI1379" s="90">
        <f t="shared" si="463"/>
        <v>29</v>
      </c>
      <c r="AJ1379" s="90">
        <f t="shared" si="464"/>
        <v>2021</v>
      </c>
      <c r="AK1379" s="90" t="str">
        <f t="shared" si="465"/>
        <v>Adjust</v>
      </c>
      <c r="AL1379" s="91">
        <f>IF(AK1379="Adjust",(_xlfn.XLOOKUP(A1379,'Adj factor'!A:A,'Adj factor'!I:I,,0)*AI1379),'Master DataSheet (Rev)'!AI1379)</f>
        <v>33.941959263780191</v>
      </c>
      <c r="AM1379" s="91">
        <f t="shared" si="466"/>
        <v>460</v>
      </c>
      <c r="AN1379" s="92" t="str">
        <f t="shared" si="467"/>
        <v>Decreasing</v>
      </c>
      <c r="AS1379" s="94">
        <f t="shared" si="468"/>
        <v>0</v>
      </c>
      <c r="AT1379" s="94">
        <f t="shared" si="469"/>
        <v>0.29534682995579625</v>
      </c>
      <c r="AU1379" s="94">
        <f t="shared" si="454"/>
        <v>1.960099282698213E-2</v>
      </c>
      <c r="AV1379" s="94">
        <f t="shared" si="455"/>
        <v>0.26564337757700784</v>
      </c>
    </row>
    <row r="1380" spans="1:48" x14ac:dyDescent="0.3">
      <c r="A1380" s="85" t="str">
        <f>_xlfn.XLOOKUP(B1380,'Country codes &amp; Data sources'!G:G,'Country codes &amp; Data sources'!H:H,,0)</f>
        <v>Senegal</v>
      </c>
      <c r="B1380" s="85" t="s">
        <v>184</v>
      </c>
      <c r="C1380" s="85">
        <v>13231842</v>
      </c>
      <c r="D1380" s="85" t="s">
        <v>335</v>
      </c>
      <c r="E1380" s="86">
        <v>0</v>
      </c>
      <c r="F1380" s="86">
        <v>13595565.499999993</v>
      </c>
      <c r="G1380" s="86">
        <v>0</v>
      </c>
      <c r="H1380" s="86"/>
      <c r="I1380" s="86">
        <v>0</v>
      </c>
      <c r="J1380" s="86"/>
      <c r="K1380" s="86">
        <v>143</v>
      </c>
      <c r="L1380" s="86"/>
      <c r="M1380" s="86">
        <v>170</v>
      </c>
      <c r="N1380" s="86"/>
      <c r="O1380" s="86">
        <v>170</v>
      </c>
      <c r="P1380" s="86">
        <v>15574908.999999998</v>
      </c>
      <c r="Q1380" s="86">
        <v>0</v>
      </c>
      <c r="R1380" s="87">
        <f t="shared" si="453"/>
        <v>162</v>
      </c>
      <c r="T1380" s="87">
        <v>188</v>
      </c>
      <c r="U1380" s="89"/>
      <c r="V1380" s="89">
        <v>212</v>
      </c>
      <c r="W1380" s="90"/>
      <c r="X1380" s="90">
        <v>293</v>
      </c>
      <c r="Y1380" s="90">
        <v>17316449</v>
      </c>
      <c r="Z1380" s="90">
        <v>352</v>
      </c>
      <c r="AA1380" s="90">
        <v>162</v>
      </c>
      <c r="AB1380" s="89">
        <f t="shared" si="456"/>
        <v>143</v>
      </c>
      <c r="AC1380" s="89">
        <f t="shared" si="457"/>
        <v>188</v>
      </c>
      <c r="AD1380" s="89">
        <f t="shared" si="458"/>
        <v>352</v>
      </c>
      <c r="AE1380" s="90">
        <f t="shared" si="459"/>
        <v>143</v>
      </c>
      <c r="AF1380" s="90">
        <f t="shared" si="460"/>
        <v>2015</v>
      </c>
      <c r="AG1380" s="90">
        <f t="shared" si="461"/>
        <v>162</v>
      </c>
      <c r="AH1380" s="90" t="str">
        <f t="shared" si="462"/>
        <v>2018 (triag)</v>
      </c>
      <c r="AI1380" s="90">
        <f t="shared" si="463"/>
        <v>352</v>
      </c>
      <c r="AJ1380" s="90">
        <f t="shared" si="464"/>
        <v>2022</v>
      </c>
      <c r="AK1380" s="90" t="str">
        <f t="shared" si="465"/>
        <v/>
      </c>
      <c r="AL1380" s="91">
        <f>IF(AK1380="Adjust",(_xlfn.XLOOKUP(A1380,'Adj factor'!A:A,'Adj factor'!I:I,,0)*AI1380),'Master DataSheet (Rev)'!AI1380)</f>
        <v>352</v>
      </c>
      <c r="AM1380" s="91">
        <f t="shared" si="466"/>
        <v>352</v>
      </c>
      <c r="AN1380" s="92" t="str">
        <f t="shared" si="467"/>
        <v>Increasing</v>
      </c>
      <c r="AS1380" s="94">
        <f t="shared" si="468"/>
        <v>0.10518135490575958</v>
      </c>
      <c r="AT1380" s="94">
        <f t="shared" si="469"/>
        <v>0.10401344881051955</v>
      </c>
      <c r="AU1380" s="94">
        <f t="shared" si="454"/>
        <v>0.20327493240675384</v>
      </c>
      <c r="AV1380" s="94">
        <f t="shared" si="455"/>
        <v>0.20327493240675384</v>
      </c>
    </row>
    <row r="1381" spans="1:48" x14ac:dyDescent="0.3">
      <c r="A1381" s="85" t="str">
        <f>_xlfn.XLOOKUP(B1381,'Country codes &amp; Data sources'!G:G,'Country codes &amp; Data sources'!H:H,,0)</f>
        <v>Senegal</v>
      </c>
      <c r="B1381" s="85" t="s">
        <v>184</v>
      </c>
      <c r="C1381" s="85">
        <v>13231843</v>
      </c>
      <c r="D1381" s="85" t="s">
        <v>336</v>
      </c>
      <c r="E1381" s="86">
        <v>0</v>
      </c>
      <c r="F1381" s="86">
        <v>13595565.499999993</v>
      </c>
      <c r="G1381" s="86">
        <v>371</v>
      </c>
      <c r="H1381" s="86"/>
      <c r="I1381" s="86">
        <v>0</v>
      </c>
      <c r="J1381" s="86"/>
      <c r="K1381" s="86">
        <v>0</v>
      </c>
      <c r="L1381" s="86"/>
      <c r="M1381" s="86">
        <v>0</v>
      </c>
      <c r="N1381" s="86"/>
      <c r="O1381" s="86">
        <v>0</v>
      </c>
      <c r="P1381" s="86">
        <v>15574908.999999998</v>
      </c>
      <c r="Q1381" s="86">
        <v>0</v>
      </c>
      <c r="R1381" s="87">
        <f t="shared" si="453"/>
        <v>53</v>
      </c>
      <c r="T1381" s="87">
        <v>45</v>
      </c>
      <c r="U1381" s="89"/>
      <c r="V1381" s="89">
        <v>48</v>
      </c>
      <c r="W1381" s="90"/>
      <c r="X1381" s="90">
        <v>40</v>
      </c>
      <c r="Y1381" s="90">
        <v>17316449</v>
      </c>
      <c r="Z1381" s="90">
        <v>57</v>
      </c>
      <c r="AA1381" s="90">
        <v>53</v>
      </c>
      <c r="AB1381" s="89">
        <f t="shared" si="456"/>
        <v>371</v>
      </c>
      <c r="AC1381" s="89">
        <f t="shared" si="457"/>
        <v>45</v>
      </c>
      <c r="AD1381" s="89">
        <f t="shared" si="458"/>
        <v>57</v>
      </c>
      <c r="AE1381" s="90">
        <f t="shared" si="459"/>
        <v>371</v>
      </c>
      <c r="AF1381" s="90">
        <f t="shared" si="460"/>
        <v>2013</v>
      </c>
      <c r="AG1381" s="90">
        <f t="shared" si="461"/>
        <v>53</v>
      </c>
      <c r="AH1381" s="90" t="str">
        <f t="shared" si="462"/>
        <v>2018 (triag)</v>
      </c>
      <c r="AI1381" s="90">
        <f t="shared" si="463"/>
        <v>57</v>
      </c>
      <c r="AJ1381" s="90">
        <f t="shared" si="464"/>
        <v>2022</v>
      </c>
      <c r="AK1381" s="90" t="str">
        <f t="shared" si="465"/>
        <v/>
      </c>
      <c r="AL1381" s="91">
        <f>IF(AK1381="Adjust",(_xlfn.XLOOKUP(A1381,'Adj factor'!A:A,'Adj factor'!I:I,,0)*AI1381),'Master DataSheet (Rev)'!AI1381)</f>
        <v>57</v>
      </c>
      <c r="AM1381" s="91">
        <f t="shared" si="466"/>
        <v>57</v>
      </c>
      <c r="AN1381" s="92" t="str">
        <f t="shared" si="467"/>
        <v>Increasing</v>
      </c>
      <c r="AS1381" s="94">
        <f t="shared" si="468"/>
        <v>0.27288309559466301</v>
      </c>
      <c r="AT1381" s="94">
        <f t="shared" si="469"/>
        <v>3.4029091277515654E-2</v>
      </c>
      <c r="AU1381" s="94">
        <f t="shared" si="454"/>
        <v>3.2916679395411839E-2</v>
      </c>
      <c r="AV1381" s="94">
        <f t="shared" si="455"/>
        <v>3.2916679395411839E-2</v>
      </c>
    </row>
    <row r="1382" spans="1:48" x14ac:dyDescent="0.3">
      <c r="A1382" s="85" t="str">
        <f>_xlfn.XLOOKUP(B1382,'Country codes &amp; Data sources'!G:G,'Country codes &amp; Data sources'!H:H,,0)</f>
        <v>Senegal</v>
      </c>
      <c r="B1382" s="85" t="s">
        <v>184</v>
      </c>
      <c r="C1382" s="85">
        <v>13231844</v>
      </c>
      <c r="D1382" s="85" t="s">
        <v>337</v>
      </c>
      <c r="E1382" s="86">
        <v>0</v>
      </c>
      <c r="F1382" s="86">
        <v>13595565.499999993</v>
      </c>
      <c r="G1382" s="86">
        <v>54</v>
      </c>
      <c r="H1382" s="86"/>
      <c r="I1382" s="86">
        <v>0</v>
      </c>
      <c r="J1382" s="86"/>
      <c r="K1382" s="86">
        <v>0</v>
      </c>
      <c r="L1382" s="86"/>
      <c r="M1382" s="86">
        <v>121</v>
      </c>
      <c r="N1382" s="86"/>
      <c r="O1382" s="86">
        <v>121</v>
      </c>
      <c r="P1382" s="86">
        <v>15574908.999999998</v>
      </c>
      <c r="Q1382" s="86">
        <v>0</v>
      </c>
      <c r="R1382" s="87">
        <f t="shared" si="453"/>
        <v>136</v>
      </c>
      <c r="T1382" s="87">
        <v>219</v>
      </c>
      <c r="U1382" s="89"/>
      <c r="V1382" s="89">
        <v>134</v>
      </c>
      <c r="W1382" s="90"/>
      <c r="X1382" s="90">
        <v>176</v>
      </c>
      <c r="Y1382" s="90">
        <v>17316449</v>
      </c>
      <c r="Z1382" s="90">
        <v>223</v>
      </c>
      <c r="AA1382" s="90">
        <v>136</v>
      </c>
      <c r="AB1382" s="89">
        <f t="shared" si="456"/>
        <v>54</v>
      </c>
      <c r="AC1382" s="89">
        <f t="shared" si="457"/>
        <v>219</v>
      </c>
      <c r="AD1382" s="89">
        <f t="shared" si="458"/>
        <v>223</v>
      </c>
      <c r="AE1382" s="90">
        <f t="shared" si="459"/>
        <v>54</v>
      </c>
      <c r="AF1382" s="90">
        <f t="shared" si="460"/>
        <v>2013</v>
      </c>
      <c r="AG1382" s="90">
        <f t="shared" si="461"/>
        <v>136</v>
      </c>
      <c r="AH1382" s="90" t="str">
        <f t="shared" si="462"/>
        <v>2018 (triag)</v>
      </c>
      <c r="AI1382" s="90">
        <f t="shared" si="463"/>
        <v>223</v>
      </c>
      <c r="AJ1382" s="90">
        <f t="shared" si="464"/>
        <v>2022</v>
      </c>
      <c r="AK1382" s="90" t="str">
        <f t="shared" si="465"/>
        <v/>
      </c>
      <c r="AL1382" s="91">
        <f>IF(AK1382="Adjust",(_xlfn.XLOOKUP(A1382,'Adj factor'!A:A,'Adj factor'!I:I,,0)*AI1382),'Master DataSheet (Rev)'!AI1382)</f>
        <v>223</v>
      </c>
      <c r="AM1382" s="91">
        <f t="shared" si="466"/>
        <v>223</v>
      </c>
      <c r="AN1382" s="92" t="str">
        <f t="shared" si="467"/>
        <v>Increasing</v>
      </c>
      <c r="AS1382" s="94">
        <f t="shared" si="468"/>
        <v>3.9718833321056066E-2</v>
      </c>
      <c r="AT1382" s="94">
        <f t="shared" si="469"/>
        <v>8.7319932334757155E-2</v>
      </c>
      <c r="AU1382" s="94">
        <f t="shared" si="454"/>
        <v>0.12877928956450599</v>
      </c>
      <c r="AV1382" s="94">
        <f t="shared" si="455"/>
        <v>0.12877928956450599</v>
      </c>
    </row>
    <row r="1383" spans="1:48" x14ac:dyDescent="0.3">
      <c r="A1383" s="85" t="str">
        <f>_xlfn.XLOOKUP(B1383,'Country codes &amp; Data sources'!G:G,'Country codes &amp; Data sources'!H:H,,0)</f>
        <v>Senegal</v>
      </c>
      <c r="B1383" s="85" t="s">
        <v>184</v>
      </c>
      <c r="C1383" s="85">
        <v>13231845</v>
      </c>
      <c r="D1383" s="85" t="s">
        <v>338</v>
      </c>
      <c r="E1383" s="86">
        <v>0</v>
      </c>
      <c r="F1383" s="86">
        <v>13595565.499999993</v>
      </c>
      <c r="G1383" s="86">
        <v>0</v>
      </c>
      <c r="H1383" s="86"/>
      <c r="I1383" s="86">
        <v>0</v>
      </c>
      <c r="J1383" s="86"/>
      <c r="K1383" s="86">
        <v>0</v>
      </c>
      <c r="L1383" s="86"/>
      <c r="M1383" s="86">
        <v>0</v>
      </c>
      <c r="N1383" s="86"/>
      <c r="O1383" s="86">
        <v>57</v>
      </c>
      <c r="P1383" s="86">
        <v>15574908.999999998</v>
      </c>
      <c r="Q1383" s="86">
        <v>0</v>
      </c>
      <c r="R1383" s="87">
        <f t="shared" si="453"/>
        <v>100</v>
      </c>
      <c r="T1383" s="87">
        <v>0</v>
      </c>
      <c r="U1383" s="89"/>
      <c r="V1383" s="89">
        <v>0</v>
      </c>
      <c r="W1383" s="90"/>
      <c r="X1383" s="90">
        <v>28</v>
      </c>
      <c r="Y1383" s="90">
        <v>17316449</v>
      </c>
      <c r="Z1383" s="90">
        <v>64</v>
      </c>
      <c r="AA1383" s="90">
        <v>100</v>
      </c>
      <c r="AB1383" s="89">
        <f t="shared" si="456"/>
        <v>0</v>
      </c>
      <c r="AC1383" s="89">
        <f t="shared" si="457"/>
        <v>57</v>
      </c>
      <c r="AD1383" s="89">
        <f t="shared" si="458"/>
        <v>64</v>
      </c>
      <c r="AF1383" s="90" t="str">
        <f t="shared" si="460"/>
        <v/>
      </c>
      <c r="AG1383" s="90">
        <f t="shared" si="461"/>
        <v>100</v>
      </c>
      <c r="AH1383" s="90" t="str">
        <f t="shared" si="462"/>
        <v>2018 (triag)</v>
      </c>
      <c r="AI1383" s="90">
        <f t="shared" si="463"/>
        <v>64</v>
      </c>
      <c r="AJ1383" s="90">
        <f t="shared" si="464"/>
        <v>2022</v>
      </c>
      <c r="AK1383" s="90" t="str">
        <f t="shared" si="465"/>
        <v>Adjust</v>
      </c>
      <c r="AL1383" s="91">
        <f>IF(AK1383="Adjust",(_xlfn.XLOOKUP(A1383,'Adj factor'!A:A,'Adj factor'!I:I,,0)*AI1383),'Master DataSheet (Rev)'!AI1383)</f>
        <v>74.906392857997659</v>
      </c>
      <c r="AM1383" s="91">
        <f t="shared" si="466"/>
        <v>100</v>
      </c>
      <c r="AN1383" s="92" t="str">
        <f t="shared" si="467"/>
        <v>Decreasing</v>
      </c>
      <c r="AS1383" s="94">
        <f t="shared" si="468"/>
        <v>0</v>
      </c>
      <c r="AT1383" s="94">
        <f t="shared" si="469"/>
        <v>6.4205832599086146E-2</v>
      </c>
      <c r="AU1383" s="94">
        <f t="shared" si="454"/>
        <v>4.3257363480236427E-2</v>
      </c>
      <c r="AV1383" s="94">
        <f t="shared" si="455"/>
        <v>5.7748560342827791E-2</v>
      </c>
    </row>
    <row r="1384" spans="1:48" x14ac:dyDescent="0.3">
      <c r="A1384" s="85" t="str">
        <f>_xlfn.XLOOKUP(B1384,'Country codes &amp; Data sources'!G:G,'Country codes &amp; Data sources'!H:H,,0)</f>
        <v>Senegal</v>
      </c>
      <c r="B1384" s="85" t="s">
        <v>184</v>
      </c>
      <c r="C1384" s="85">
        <v>13231846</v>
      </c>
      <c r="D1384" s="85" t="s">
        <v>339</v>
      </c>
      <c r="E1384" s="86">
        <v>0</v>
      </c>
      <c r="F1384" s="86">
        <v>13595565.499999993</v>
      </c>
      <c r="G1384" s="86">
        <v>0</v>
      </c>
      <c r="H1384" s="86"/>
      <c r="I1384" s="86">
        <v>0</v>
      </c>
      <c r="J1384" s="86"/>
      <c r="K1384" s="86">
        <v>0</v>
      </c>
      <c r="L1384" s="86"/>
      <c r="M1384" s="86">
        <v>0</v>
      </c>
      <c r="N1384" s="86"/>
      <c r="O1384" s="86">
        <v>0</v>
      </c>
      <c r="P1384" s="86">
        <v>15574908.999999998</v>
      </c>
      <c r="Q1384" s="86">
        <v>0</v>
      </c>
      <c r="R1384" s="87">
        <f t="shared" si="453"/>
        <v>0</v>
      </c>
      <c r="T1384" s="87">
        <v>16</v>
      </c>
      <c r="U1384" s="89"/>
      <c r="V1384" s="89">
        <v>2</v>
      </c>
      <c r="W1384" s="90"/>
      <c r="X1384" s="90">
        <v>0</v>
      </c>
      <c r="Y1384" s="90">
        <v>17316449</v>
      </c>
      <c r="Z1384" s="90">
        <v>14</v>
      </c>
      <c r="AA1384" s="90">
        <v>0</v>
      </c>
      <c r="AB1384" s="89">
        <f t="shared" si="456"/>
        <v>0</v>
      </c>
      <c r="AC1384" s="89">
        <f t="shared" si="457"/>
        <v>16</v>
      </c>
      <c r="AD1384" s="89">
        <f t="shared" si="458"/>
        <v>14</v>
      </c>
      <c r="AF1384" s="90" t="str">
        <f t="shared" si="460"/>
        <v/>
      </c>
      <c r="AG1384" s="90">
        <f t="shared" si="461"/>
        <v>16</v>
      </c>
      <c r="AH1384" s="90">
        <f t="shared" si="462"/>
        <v>2019</v>
      </c>
      <c r="AI1384" s="90">
        <f t="shared" si="463"/>
        <v>14</v>
      </c>
      <c r="AJ1384" s="90">
        <f t="shared" si="464"/>
        <v>2022</v>
      </c>
      <c r="AK1384" s="90" t="str">
        <f t="shared" si="465"/>
        <v>Adjust</v>
      </c>
      <c r="AL1384" s="91">
        <f>IF(AK1384="Adjust",(_xlfn.XLOOKUP(A1384,'Adj factor'!A:A,'Adj factor'!I:I,,0)*AI1384),'Master DataSheet (Rev)'!AI1384)</f>
        <v>16.385773437686989</v>
      </c>
      <c r="AM1384" s="91">
        <f t="shared" si="466"/>
        <v>16.385773437686989</v>
      </c>
      <c r="AN1384" s="92" t="str">
        <f t="shared" si="467"/>
        <v>Increasing</v>
      </c>
      <c r="AS1384" s="94">
        <f t="shared" si="468"/>
        <v>0</v>
      </c>
      <c r="AT1384" s="94">
        <f t="shared" si="469"/>
        <v>1.0272933215853782E-2</v>
      </c>
      <c r="AU1384" s="94">
        <f t="shared" si="454"/>
        <v>9.4625482613017193E-3</v>
      </c>
      <c r="AV1384" s="94">
        <f t="shared" si="455"/>
        <v>9.4625482613017193E-3</v>
      </c>
    </row>
    <row r="1385" spans="1:48" ht="14.5" x14ac:dyDescent="0.35">
      <c r="A1385" s="85" t="str">
        <f>_xlfn.XLOOKUP(B1385,'Country codes &amp; Data sources'!G:G,'Country codes &amp; Data sources'!H:H,,0)</f>
        <v>Sierra Leone</v>
      </c>
      <c r="B1385" s="85" t="s">
        <v>186</v>
      </c>
      <c r="C1385" s="85">
        <v>6788587.5000000037</v>
      </c>
      <c r="D1385" s="85" t="s">
        <v>326</v>
      </c>
      <c r="E1385" s="86">
        <v>0</v>
      </c>
      <c r="F1385" s="86">
        <v>6964858.4999999972</v>
      </c>
      <c r="G1385" s="86">
        <v>0</v>
      </c>
      <c r="H1385" s="86">
        <v>7140688.0000000028</v>
      </c>
      <c r="I1385" s="86">
        <v>0</v>
      </c>
      <c r="J1385" s="86">
        <v>7314773</v>
      </c>
      <c r="K1385" s="86">
        <v>0</v>
      </c>
      <c r="L1385" s="86">
        <v>7493912.9999999981</v>
      </c>
      <c r="M1385" s="86">
        <v>0</v>
      </c>
      <c r="N1385" s="86">
        <v>7677565.5000000019</v>
      </c>
      <c r="O1385" s="86">
        <v>0</v>
      </c>
      <c r="P1385" s="86">
        <v>7861281</v>
      </c>
      <c r="Q1385" s="86">
        <v>566</v>
      </c>
      <c r="R1385" s="87">
        <f t="shared" si="453"/>
        <v>566</v>
      </c>
      <c r="S1385" s="87">
        <v>8046828.5</v>
      </c>
      <c r="T1385" s="87">
        <v>256</v>
      </c>
      <c r="U1385" s="89">
        <v>8233970.4999999991</v>
      </c>
      <c r="V1385" s="89">
        <v>576</v>
      </c>
      <c r="W1385" s="90">
        <v>8420641.0000000037</v>
      </c>
      <c r="X1385" s="90">
        <v>0</v>
      </c>
      <c r="Y1385" s="90">
        <v>8605718.0000000056</v>
      </c>
      <c r="Z1385" s="111">
        <f>530+515+61</f>
        <v>1106</v>
      </c>
      <c r="AA1385" s="90">
        <v>281</v>
      </c>
      <c r="AB1385" s="89">
        <f t="shared" si="456"/>
        <v>0</v>
      </c>
      <c r="AC1385" s="89">
        <f t="shared" si="457"/>
        <v>566</v>
      </c>
      <c r="AD1385" s="89">
        <f t="shared" si="458"/>
        <v>1106</v>
      </c>
      <c r="AF1385" s="90" t="str">
        <f t="shared" si="460"/>
        <v/>
      </c>
      <c r="AG1385" s="90">
        <f t="shared" si="461"/>
        <v>566</v>
      </c>
      <c r="AH1385" s="90">
        <f t="shared" si="462"/>
        <v>2018</v>
      </c>
      <c r="AI1385" s="90">
        <f t="shared" si="463"/>
        <v>1106</v>
      </c>
      <c r="AJ1385" s="90">
        <f t="shared" si="464"/>
        <v>2022</v>
      </c>
      <c r="AK1385" s="90" t="str">
        <f t="shared" si="465"/>
        <v/>
      </c>
      <c r="AL1385" s="91">
        <f>IF(AK1385="Adjust",(_xlfn.XLOOKUP(A1385,'Adj factor'!A:A,'Adj factor'!I:I,,0)*AI1385),'Master DataSheet (Rev)'!AI1385)</f>
        <v>1106</v>
      </c>
      <c r="AM1385" s="91">
        <f t="shared" si="466"/>
        <v>1106</v>
      </c>
      <c r="AN1385" s="92" t="str">
        <f t="shared" si="467"/>
        <v>Increasing</v>
      </c>
      <c r="AS1385" s="94">
        <f t="shared" si="468"/>
        <v>0</v>
      </c>
      <c r="AT1385" s="94">
        <f t="shared" si="469"/>
        <v>0.71998444019492502</v>
      </c>
      <c r="AU1385" s="94">
        <f t="shared" si="454"/>
        <v>1.2851920083832624</v>
      </c>
      <c r="AV1385" s="94">
        <f t="shared" si="455"/>
        <v>1.2851920083832624</v>
      </c>
    </row>
    <row r="1386" spans="1:48" x14ac:dyDescent="0.3">
      <c r="A1386" s="85" t="str">
        <f>_xlfn.XLOOKUP(B1386,'Country codes &amp; Data sources'!G:G,'Country codes &amp; Data sources'!H:H,,0)</f>
        <v>Sierra Leone</v>
      </c>
      <c r="B1386" s="85" t="s">
        <v>186</v>
      </c>
      <c r="C1386" s="85">
        <v>6788588.5</v>
      </c>
      <c r="D1386" s="85" t="s">
        <v>327</v>
      </c>
      <c r="E1386" s="86">
        <v>0</v>
      </c>
      <c r="F1386" s="86">
        <v>6964858.4999999972</v>
      </c>
      <c r="G1386" s="86">
        <v>0</v>
      </c>
      <c r="H1386" s="86"/>
      <c r="I1386" s="86">
        <v>0</v>
      </c>
      <c r="J1386" s="86"/>
      <c r="K1386" s="86">
        <v>0</v>
      </c>
      <c r="L1386" s="86"/>
      <c r="M1386" s="86">
        <v>0</v>
      </c>
      <c r="N1386" s="86"/>
      <c r="O1386" s="86">
        <v>0</v>
      </c>
      <c r="P1386" s="86">
        <v>7861281</v>
      </c>
      <c r="Q1386" s="86">
        <v>500</v>
      </c>
      <c r="R1386" s="87">
        <f t="shared" si="453"/>
        <v>500</v>
      </c>
      <c r="T1386" s="87">
        <v>231</v>
      </c>
      <c r="U1386" s="89"/>
      <c r="V1386" s="89">
        <v>515</v>
      </c>
      <c r="W1386" s="90"/>
      <c r="X1386" s="90">
        <v>0</v>
      </c>
      <c r="Y1386" s="90">
        <v>8605718.0000000056</v>
      </c>
      <c r="Z1386" s="90">
        <v>338</v>
      </c>
      <c r="AA1386" s="90">
        <v>234</v>
      </c>
      <c r="AB1386" s="89">
        <f t="shared" si="456"/>
        <v>0</v>
      </c>
      <c r="AC1386" s="89">
        <f t="shared" si="457"/>
        <v>500</v>
      </c>
      <c r="AD1386" s="89">
        <f t="shared" si="458"/>
        <v>515</v>
      </c>
      <c r="AF1386" s="90" t="str">
        <f t="shared" si="460"/>
        <v/>
      </c>
      <c r="AG1386" s="90">
        <f t="shared" si="461"/>
        <v>500</v>
      </c>
      <c r="AH1386" s="90">
        <f t="shared" si="462"/>
        <v>2018</v>
      </c>
      <c r="AI1386" s="90">
        <f t="shared" si="463"/>
        <v>338</v>
      </c>
      <c r="AJ1386" s="90">
        <f t="shared" si="464"/>
        <v>2022</v>
      </c>
      <c r="AK1386" s="90" t="str">
        <f t="shared" si="465"/>
        <v>Adjust</v>
      </c>
      <c r="AL1386" s="91">
        <f>IF(AK1386="Adjust",(_xlfn.XLOOKUP(A1386,'Adj factor'!A:A,'Adj factor'!I:I,,0)*AI1386),'Master DataSheet (Rev)'!AI1386)</f>
        <v>388.46294178030035</v>
      </c>
      <c r="AM1386" s="91">
        <f t="shared" si="466"/>
        <v>500</v>
      </c>
      <c r="AN1386" s="92" t="str">
        <f t="shared" si="467"/>
        <v>Decreasing</v>
      </c>
      <c r="AS1386" s="94">
        <f t="shared" si="468"/>
        <v>0</v>
      </c>
      <c r="AT1386" s="94">
        <f t="shared" si="469"/>
        <v>0.63602865741601144</v>
      </c>
      <c r="AU1386" s="94">
        <f t="shared" si="454"/>
        <v>0.45140096593950685</v>
      </c>
      <c r="AV1386" s="94">
        <f t="shared" si="455"/>
        <v>0.58100904538122178</v>
      </c>
    </row>
    <row r="1387" spans="1:48" x14ac:dyDescent="0.3">
      <c r="A1387" s="85" t="str">
        <f>_xlfn.XLOOKUP(B1387,'Country codes &amp; Data sources'!G:G,'Country codes &amp; Data sources'!H:H,,0)</f>
        <v>Sierra Leone</v>
      </c>
      <c r="B1387" s="85" t="s">
        <v>186</v>
      </c>
      <c r="C1387" s="85">
        <v>6788589.5</v>
      </c>
      <c r="D1387" s="85" t="s">
        <v>328</v>
      </c>
      <c r="E1387" s="86">
        <v>0</v>
      </c>
      <c r="F1387" s="86">
        <v>6964858.4999999972</v>
      </c>
      <c r="G1387" s="86">
        <v>0</v>
      </c>
      <c r="H1387" s="86"/>
      <c r="I1387" s="86">
        <v>0</v>
      </c>
      <c r="J1387" s="86"/>
      <c r="K1387" s="86">
        <v>0</v>
      </c>
      <c r="L1387" s="86"/>
      <c r="M1387" s="86">
        <v>0</v>
      </c>
      <c r="N1387" s="86"/>
      <c r="O1387" s="86">
        <v>0</v>
      </c>
      <c r="P1387" s="86">
        <v>7861281</v>
      </c>
      <c r="Q1387" s="86">
        <v>66</v>
      </c>
      <c r="R1387" s="87">
        <f t="shared" si="453"/>
        <v>66</v>
      </c>
      <c r="T1387" s="87">
        <v>25</v>
      </c>
      <c r="U1387" s="89"/>
      <c r="V1387" s="89">
        <v>61</v>
      </c>
      <c r="W1387" s="90"/>
      <c r="X1387" s="90">
        <v>0</v>
      </c>
      <c r="Y1387" s="90">
        <v>8605718.0000000056</v>
      </c>
      <c r="Z1387" s="90">
        <v>28</v>
      </c>
      <c r="AA1387" s="90">
        <v>47</v>
      </c>
      <c r="AB1387" s="89">
        <f t="shared" si="456"/>
        <v>0</v>
      </c>
      <c r="AC1387" s="89">
        <f t="shared" si="457"/>
        <v>66</v>
      </c>
      <c r="AD1387" s="89">
        <f t="shared" si="458"/>
        <v>61</v>
      </c>
      <c r="AF1387" s="90" t="str">
        <f t="shared" si="460"/>
        <v/>
      </c>
      <c r="AG1387" s="90">
        <f t="shared" si="461"/>
        <v>66</v>
      </c>
      <c r="AH1387" s="90">
        <f t="shared" si="462"/>
        <v>2018</v>
      </c>
      <c r="AI1387" s="90">
        <f t="shared" si="463"/>
        <v>28</v>
      </c>
      <c r="AJ1387" s="90">
        <f t="shared" si="464"/>
        <v>2022</v>
      </c>
      <c r="AK1387" s="90" t="str">
        <f t="shared" si="465"/>
        <v>Adjust</v>
      </c>
      <c r="AL1387" s="91">
        <f>IF(AK1387="Adjust",(_xlfn.XLOOKUP(A1387,'Adj factor'!A:A,'Adj factor'!I:I,,0)*AI1387),'Master DataSheet (Rev)'!AI1387)</f>
        <v>32.180362040971623</v>
      </c>
      <c r="AM1387" s="91">
        <f t="shared" si="466"/>
        <v>66</v>
      </c>
      <c r="AN1387" s="92" t="str">
        <f t="shared" si="467"/>
        <v>Decreasing</v>
      </c>
      <c r="AS1387" s="94">
        <f t="shared" si="468"/>
        <v>0</v>
      </c>
      <c r="AT1387" s="94">
        <f t="shared" si="469"/>
        <v>8.395578277891351E-2</v>
      </c>
      <c r="AU1387" s="94">
        <f t="shared" si="454"/>
        <v>3.7394162858894055E-2</v>
      </c>
      <c r="AV1387" s="94">
        <f t="shared" si="455"/>
        <v>7.6693193990321262E-2</v>
      </c>
    </row>
    <row r="1388" spans="1:48" ht="14.5" x14ac:dyDescent="0.35">
      <c r="A1388" s="85" t="str">
        <f>_xlfn.XLOOKUP(B1388,'Country codes &amp; Data sources'!G:G,'Country codes &amp; Data sources'!H:H,,0)</f>
        <v>Sierra Leone</v>
      </c>
      <c r="B1388" s="85" t="s">
        <v>186</v>
      </c>
      <c r="C1388" s="85">
        <v>6788590.5</v>
      </c>
      <c r="D1388" s="85" t="s">
        <v>329</v>
      </c>
      <c r="E1388" s="86">
        <v>0</v>
      </c>
      <c r="F1388" s="86">
        <v>6964858.4999999972</v>
      </c>
      <c r="G1388" s="86">
        <v>6106</v>
      </c>
      <c r="H1388" s="86"/>
      <c r="I1388" s="86">
        <v>6108</v>
      </c>
      <c r="J1388" s="86"/>
      <c r="K1388" s="86">
        <v>5873</v>
      </c>
      <c r="L1388" s="86"/>
      <c r="M1388" s="86">
        <v>5160</v>
      </c>
      <c r="N1388" s="86"/>
      <c r="O1388" s="86">
        <v>5980</v>
      </c>
      <c r="P1388" s="86">
        <v>7861281</v>
      </c>
      <c r="Q1388" s="86">
        <v>5757</v>
      </c>
      <c r="R1388" s="87">
        <f t="shared" si="453"/>
        <v>5757</v>
      </c>
      <c r="T1388" s="87">
        <v>4311</v>
      </c>
      <c r="U1388" s="89"/>
      <c r="V1388" s="89">
        <v>1040</v>
      </c>
      <c r="W1388" s="90"/>
      <c r="X1388" s="90">
        <v>0</v>
      </c>
      <c r="Y1388" s="90">
        <v>8605718.0000000056</v>
      </c>
      <c r="Z1388" s="111">
        <f>9491+5026+1040+109</f>
        <v>15666</v>
      </c>
      <c r="AA1388" s="90">
        <v>5302</v>
      </c>
      <c r="AB1388" s="89">
        <f t="shared" si="456"/>
        <v>6108</v>
      </c>
      <c r="AC1388" s="89">
        <f t="shared" si="457"/>
        <v>5980</v>
      </c>
      <c r="AD1388" s="89">
        <f t="shared" si="458"/>
        <v>15666</v>
      </c>
      <c r="AE1388" s="90">
        <f t="shared" si="459"/>
        <v>6106</v>
      </c>
      <c r="AF1388" s="90">
        <f t="shared" si="460"/>
        <v>2013</v>
      </c>
      <c r="AG1388" s="90">
        <f t="shared" si="461"/>
        <v>5757</v>
      </c>
      <c r="AH1388" s="90">
        <f t="shared" si="462"/>
        <v>2018</v>
      </c>
      <c r="AI1388" s="90">
        <f t="shared" si="463"/>
        <v>15666</v>
      </c>
      <c r="AJ1388" s="90">
        <f t="shared" si="464"/>
        <v>2022</v>
      </c>
      <c r="AK1388" s="90" t="str">
        <f t="shared" si="465"/>
        <v/>
      </c>
      <c r="AL1388" s="91">
        <f>IF(AK1388="Adjust",(_xlfn.XLOOKUP(A1388,'Adj factor'!A:A,'Adj factor'!I:I,,0)*AI1388),'Master DataSheet (Rev)'!AI1388)</f>
        <v>15666</v>
      </c>
      <c r="AM1388" s="91">
        <f t="shared" si="466"/>
        <v>15666</v>
      </c>
      <c r="AN1388" s="92" t="str">
        <f t="shared" si="467"/>
        <v>Increasing</v>
      </c>
      <c r="AS1388" s="94">
        <f t="shared" si="468"/>
        <v>8.7668687023577032</v>
      </c>
      <c r="AT1388" s="94">
        <f t="shared" si="469"/>
        <v>7.323233961487956</v>
      </c>
      <c r="AU1388" s="94">
        <f t="shared" si="454"/>
        <v>18.204175409884439</v>
      </c>
      <c r="AV1388" s="94">
        <f t="shared" si="455"/>
        <v>18.204175409884439</v>
      </c>
    </row>
    <row r="1389" spans="1:48" x14ac:dyDescent="0.3">
      <c r="A1389" s="85" t="str">
        <f>_xlfn.XLOOKUP(B1389,'Country codes &amp; Data sources'!G:G,'Country codes &amp; Data sources'!H:H,,0)</f>
        <v>Sierra Leone</v>
      </c>
      <c r="B1389" s="85" t="s">
        <v>186</v>
      </c>
      <c r="C1389" s="85">
        <v>6788591.5</v>
      </c>
      <c r="D1389" s="85" t="s">
        <v>330</v>
      </c>
      <c r="E1389" s="86">
        <v>0</v>
      </c>
      <c r="F1389" s="86">
        <v>6964858.4999999972</v>
      </c>
      <c r="G1389" s="86">
        <v>634</v>
      </c>
      <c r="H1389" s="86"/>
      <c r="I1389" s="86">
        <v>634</v>
      </c>
      <c r="J1389" s="86"/>
      <c r="K1389" s="86">
        <v>766</v>
      </c>
      <c r="L1389" s="86"/>
      <c r="M1389" s="86">
        <v>755</v>
      </c>
      <c r="N1389" s="86"/>
      <c r="O1389" s="86">
        <v>964</v>
      </c>
      <c r="P1389" s="86">
        <v>7861281</v>
      </c>
      <c r="Q1389" s="86">
        <v>868</v>
      </c>
      <c r="R1389" s="87">
        <f t="shared" si="453"/>
        <v>868</v>
      </c>
      <c r="T1389" s="87">
        <v>819</v>
      </c>
      <c r="U1389" s="89"/>
      <c r="V1389" s="89">
        <v>1040</v>
      </c>
      <c r="W1389" s="90"/>
      <c r="X1389" s="90">
        <v>0</v>
      </c>
      <c r="Y1389" s="90">
        <v>8605718.0000000056</v>
      </c>
      <c r="Z1389" s="90">
        <v>1449</v>
      </c>
      <c r="AA1389" s="90">
        <v>580</v>
      </c>
      <c r="AB1389" s="89">
        <f t="shared" si="456"/>
        <v>766</v>
      </c>
      <c r="AC1389" s="89">
        <f t="shared" si="457"/>
        <v>964</v>
      </c>
      <c r="AD1389" s="89">
        <f t="shared" si="458"/>
        <v>1449</v>
      </c>
      <c r="AE1389" s="90">
        <f t="shared" si="459"/>
        <v>634</v>
      </c>
      <c r="AF1389" s="90">
        <f t="shared" si="460"/>
        <v>2013</v>
      </c>
      <c r="AG1389" s="90">
        <f t="shared" si="461"/>
        <v>868</v>
      </c>
      <c r="AH1389" s="90">
        <f t="shared" si="462"/>
        <v>2018</v>
      </c>
      <c r="AI1389" s="90">
        <f t="shared" si="463"/>
        <v>1449</v>
      </c>
      <c r="AJ1389" s="90">
        <f t="shared" si="464"/>
        <v>2022</v>
      </c>
      <c r="AK1389" s="90" t="str">
        <f t="shared" si="465"/>
        <v/>
      </c>
      <c r="AL1389" s="91">
        <f>IF(AK1389="Adjust",(_xlfn.XLOOKUP(A1389,'Adj factor'!A:A,'Adj factor'!I:I,,0)*AI1389),'Master DataSheet (Rev)'!AI1389)</f>
        <v>1449</v>
      </c>
      <c r="AM1389" s="91">
        <f t="shared" si="466"/>
        <v>1449</v>
      </c>
      <c r="AN1389" s="92" t="str">
        <f t="shared" si="467"/>
        <v>Increasing</v>
      </c>
      <c r="AS1389" s="94">
        <f t="shared" si="468"/>
        <v>0.91028410699226736</v>
      </c>
      <c r="AT1389" s="94">
        <f t="shared" si="469"/>
        <v>1.104145749274196</v>
      </c>
      <c r="AU1389" s="94">
        <f t="shared" si="454"/>
        <v>1.6837642135147806</v>
      </c>
      <c r="AV1389" s="94">
        <f t="shared" si="455"/>
        <v>1.6837642135147806</v>
      </c>
    </row>
    <row r="1390" spans="1:48" x14ac:dyDescent="0.3">
      <c r="A1390" s="85" t="str">
        <f>_xlfn.XLOOKUP(B1390,'Country codes &amp; Data sources'!G:G,'Country codes &amp; Data sources'!H:H,,0)</f>
        <v>Sierra Leone</v>
      </c>
      <c r="B1390" s="85" t="s">
        <v>186</v>
      </c>
      <c r="C1390" s="85">
        <v>6788592.5</v>
      </c>
      <c r="D1390" s="85" t="s">
        <v>331</v>
      </c>
      <c r="E1390" s="86">
        <v>0</v>
      </c>
      <c r="F1390" s="86">
        <v>6964858.4999999972</v>
      </c>
      <c r="G1390" s="86">
        <v>2707</v>
      </c>
      <c r="H1390" s="86"/>
      <c r="I1390" s="86">
        <v>2707</v>
      </c>
      <c r="J1390" s="86"/>
      <c r="K1390" s="86">
        <v>2605</v>
      </c>
      <c r="L1390" s="86"/>
      <c r="M1390" s="86">
        <v>2090</v>
      </c>
      <c r="N1390" s="86"/>
      <c r="O1390" s="86">
        <v>2690</v>
      </c>
      <c r="P1390" s="86">
        <v>7861281</v>
      </c>
      <c r="Q1390" s="86">
        <v>2545</v>
      </c>
      <c r="R1390" s="87">
        <f t="shared" si="453"/>
        <v>4722</v>
      </c>
      <c r="T1390" s="87">
        <v>3492</v>
      </c>
      <c r="U1390" s="89"/>
      <c r="V1390" s="89">
        <v>0</v>
      </c>
      <c r="W1390" s="90"/>
      <c r="X1390" s="90">
        <v>0</v>
      </c>
      <c r="Y1390" s="90">
        <v>8605718.0000000056</v>
      </c>
      <c r="Z1390" s="90">
        <v>5907</v>
      </c>
      <c r="AA1390" s="90">
        <v>4722</v>
      </c>
      <c r="AB1390" s="89">
        <f t="shared" si="456"/>
        <v>2707</v>
      </c>
      <c r="AC1390" s="89">
        <f t="shared" si="457"/>
        <v>3492</v>
      </c>
      <c r="AD1390" s="89">
        <f t="shared" si="458"/>
        <v>5907</v>
      </c>
      <c r="AE1390" s="90">
        <f t="shared" si="459"/>
        <v>2707</v>
      </c>
      <c r="AF1390" s="90">
        <f t="shared" si="460"/>
        <v>2013</v>
      </c>
      <c r="AG1390" s="90">
        <f t="shared" si="461"/>
        <v>4722</v>
      </c>
      <c r="AH1390" s="90" t="str">
        <f t="shared" si="462"/>
        <v>2018 (triag)</v>
      </c>
      <c r="AI1390" s="90">
        <f t="shared" si="463"/>
        <v>5907</v>
      </c>
      <c r="AJ1390" s="90">
        <f t="shared" si="464"/>
        <v>2022</v>
      </c>
      <c r="AK1390" s="90" t="str">
        <f t="shared" si="465"/>
        <v/>
      </c>
      <c r="AL1390" s="91">
        <f>IF(AK1390="Adjust",(_xlfn.XLOOKUP(A1390,'Adj factor'!A:A,'Adj factor'!I:I,,0)*AI1390),'Master DataSheet (Rev)'!AI1390)</f>
        <v>5907</v>
      </c>
      <c r="AM1390" s="91">
        <f t="shared" si="466"/>
        <v>5907</v>
      </c>
      <c r="AN1390" s="92" t="str">
        <f t="shared" si="467"/>
        <v>Increasing</v>
      </c>
      <c r="AS1390" s="94">
        <f t="shared" si="468"/>
        <v>3.8866546965742392</v>
      </c>
      <c r="AT1390" s="94">
        <f t="shared" si="469"/>
        <v>6.0066546406368122</v>
      </c>
      <c r="AU1390" s="94">
        <f t="shared" si="454"/>
        <v>6.8640408621337539</v>
      </c>
      <c r="AV1390" s="94">
        <f t="shared" si="455"/>
        <v>6.8640408621337539</v>
      </c>
    </row>
    <row r="1391" spans="1:48" x14ac:dyDescent="0.3">
      <c r="A1391" s="85" t="str">
        <f>_xlfn.XLOOKUP(B1391,'Country codes &amp; Data sources'!G:G,'Country codes &amp; Data sources'!H:H,,0)</f>
        <v>Sierra Leone</v>
      </c>
      <c r="B1391" s="85" t="s">
        <v>186</v>
      </c>
      <c r="C1391" s="85">
        <v>6788593.5</v>
      </c>
      <c r="D1391" s="85" t="s">
        <v>332</v>
      </c>
      <c r="E1391" s="86">
        <v>0</v>
      </c>
      <c r="F1391" s="86">
        <v>6964858.4999999972</v>
      </c>
      <c r="G1391" s="86">
        <v>2187</v>
      </c>
      <c r="H1391" s="86"/>
      <c r="I1391" s="86">
        <v>585</v>
      </c>
      <c r="J1391" s="86"/>
      <c r="K1391" s="86">
        <v>0</v>
      </c>
      <c r="L1391" s="86"/>
      <c r="M1391" s="86">
        <v>313</v>
      </c>
      <c r="N1391" s="86"/>
      <c r="O1391" s="86">
        <v>0</v>
      </c>
      <c r="P1391" s="86">
        <v>7861281</v>
      </c>
      <c r="Q1391" s="86">
        <v>0</v>
      </c>
      <c r="R1391" s="87">
        <f t="shared" si="453"/>
        <v>391</v>
      </c>
      <c r="T1391" s="87">
        <v>2373</v>
      </c>
      <c r="U1391" s="89"/>
      <c r="V1391" s="89">
        <v>639</v>
      </c>
      <c r="W1391" s="90"/>
      <c r="X1391" s="90">
        <v>0</v>
      </c>
      <c r="Y1391" s="90">
        <v>8605718.0000000056</v>
      </c>
      <c r="Z1391" s="90">
        <v>2271</v>
      </c>
      <c r="AA1391" s="90">
        <v>391</v>
      </c>
      <c r="AB1391" s="89">
        <f t="shared" si="456"/>
        <v>2187</v>
      </c>
      <c r="AC1391" s="89">
        <f t="shared" si="457"/>
        <v>2373</v>
      </c>
      <c r="AD1391" s="89">
        <f t="shared" si="458"/>
        <v>2271</v>
      </c>
      <c r="AE1391" s="90">
        <f t="shared" si="459"/>
        <v>2187</v>
      </c>
      <c r="AF1391" s="90">
        <f t="shared" si="460"/>
        <v>2013</v>
      </c>
      <c r="AG1391" s="90">
        <f t="shared" si="461"/>
        <v>391</v>
      </c>
      <c r="AH1391" s="90" t="str">
        <f t="shared" si="462"/>
        <v>2018 (triag)</v>
      </c>
      <c r="AI1391" s="90">
        <f t="shared" si="463"/>
        <v>2271</v>
      </c>
      <c r="AJ1391" s="90">
        <f t="shared" si="464"/>
        <v>2022</v>
      </c>
      <c r="AK1391" s="90" t="str">
        <f t="shared" si="465"/>
        <v/>
      </c>
      <c r="AL1391" s="91">
        <f>IF(AK1391="Adjust",(_xlfn.XLOOKUP(A1391,'Adj factor'!A:A,'Adj factor'!I:I,,0)*AI1391),'Master DataSheet (Rev)'!AI1391)</f>
        <v>2271</v>
      </c>
      <c r="AM1391" s="91">
        <f t="shared" si="466"/>
        <v>2271</v>
      </c>
      <c r="AN1391" s="92" t="str">
        <f t="shared" si="467"/>
        <v>Increasing</v>
      </c>
      <c r="AS1391" s="94">
        <f t="shared" si="468"/>
        <v>3.140049435318752</v>
      </c>
      <c r="AT1391" s="94">
        <f t="shared" si="469"/>
        <v>0.49737441009932098</v>
      </c>
      <c r="AU1391" s="94">
        <f t="shared" si="454"/>
        <v>2.6389430841215091</v>
      </c>
      <c r="AV1391" s="94">
        <f t="shared" si="455"/>
        <v>2.6389430841215091</v>
      </c>
    </row>
    <row r="1392" spans="1:48" x14ac:dyDescent="0.3">
      <c r="A1392" s="85" t="str">
        <f>_xlfn.XLOOKUP(B1392,'Country codes &amp; Data sources'!G:G,'Country codes &amp; Data sources'!H:H,,0)</f>
        <v>Sierra Leone</v>
      </c>
      <c r="B1392" s="85" t="s">
        <v>186</v>
      </c>
      <c r="C1392" s="85">
        <v>6788594.5</v>
      </c>
      <c r="D1392" s="85" t="s">
        <v>333</v>
      </c>
      <c r="E1392" s="86">
        <v>0</v>
      </c>
      <c r="F1392" s="86">
        <v>6964858.4999999972</v>
      </c>
      <c r="G1392" s="86">
        <v>286</v>
      </c>
      <c r="H1392" s="86"/>
      <c r="I1392" s="86">
        <v>0</v>
      </c>
      <c r="J1392" s="86"/>
      <c r="K1392" s="86">
        <v>0</v>
      </c>
      <c r="L1392" s="86"/>
      <c r="M1392" s="86">
        <v>0</v>
      </c>
      <c r="N1392" s="86"/>
      <c r="O1392" s="86">
        <v>0</v>
      </c>
      <c r="P1392" s="86">
        <v>7861281</v>
      </c>
      <c r="Q1392" s="86">
        <v>0</v>
      </c>
      <c r="R1392" s="87">
        <f t="shared" si="453"/>
        <v>287</v>
      </c>
      <c r="T1392" s="87">
        <v>422</v>
      </c>
      <c r="U1392" s="89"/>
      <c r="V1392" s="89">
        <v>530</v>
      </c>
      <c r="W1392" s="90"/>
      <c r="X1392" s="90">
        <v>0</v>
      </c>
      <c r="Y1392" s="90">
        <v>8605718.0000000056</v>
      </c>
      <c r="Z1392" s="90">
        <v>184</v>
      </c>
      <c r="AA1392" s="90">
        <v>287</v>
      </c>
      <c r="AB1392" s="89">
        <f t="shared" si="456"/>
        <v>286</v>
      </c>
      <c r="AC1392" s="89">
        <f t="shared" si="457"/>
        <v>422</v>
      </c>
      <c r="AD1392" s="89">
        <f t="shared" si="458"/>
        <v>530</v>
      </c>
      <c r="AE1392" s="90">
        <f t="shared" si="459"/>
        <v>286</v>
      </c>
      <c r="AF1392" s="90">
        <f t="shared" si="460"/>
        <v>2013</v>
      </c>
      <c r="AG1392" s="90">
        <f t="shared" si="461"/>
        <v>287</v>
      </c>
      <c r="AH1392" s="90" t="str">
        <f t="shared" si="462"/>
        <v>2018 (triag)</v>
      </c>
      <c r="AI1392" s="90">
        <f t="shared" si="463"/>
        <v>184</v>
      </c>
      <c r="AJ1392" s="90">
        <f t="shared" si="464"/>
        <v>2022</v>
      </c>
      <c r="AK1392" s="90" t="str">
        <f t="shared" si="465"/>
        <v>Adjust</v>
      </c>
      <c r="AL1392" s="91">
        <f>IF(AK1392="Adjust",(_xlfn.XLOOKUP(A1392,'Adj factor'!A:A,'Adj factor'!I:I,,0)*AI1392),'Master DataSheet (Rev)'!AI1392)</f>
        <v>211.4709505549564</v>
      </c>
      <c r="AM1392" s="91">
        <f t="shared" si="466"/>
        <v>287</v>
      </c>
      <c r="AN1392" s="92" t="str">
        <f t="shared" si="467"/>
        <v>Decreasing</v>
      </c>
      <c r="AS1392" s="94">
        <f t="shared" si="468"/>
        <v>0.41063289369051809</v>
      </c>
      <c r="AT1392" s="94">
        <f t="shared" si="469"/>
        <v>0.36508044935679057</v>
      </c>
      <c r="AU1392" s="94">
        <f t="shared" si="454"/>
        <v>0.24573307021558952</v>
      </c>
      <c r="AV1392" s="94">
        <f t="shared" si="455"/>
        <v>0.33349919204882128</v>
      </c>
    </row>
    <row r="1393" spans="1:48" x14ac:dyDescent="0.3">
      <c r="A1393" s="85" t="str">
        <f>_xlfn.XLOOKUP(B1393,'Country codes &amp; Data sources'!G:G,'Country codes &amp; Data sources'!H:H,,0)</f>
        <v>Sierra Leone</v>
      </c>
      <c r="B1393" s="85" t="s">
        <v>186</v>
      </c>
      <c r="C1393" s="85">
        <v>6788595.5</v>
      </c>
      <c r="D1393" s="85" t="s">
        <v>334</v>
      </c>
      <c r="E1393" s="86">
        <v>0</v>
      </c>
      <c r="F1393" s="86">
        <v>6964858.4999999972</v>
      </c>
      <c r="G1393" s="86">
        <v>1901</v>
      </c>
      <c r="H1393" s="86"/>
      <c r="I1393" s="86">
        <v>0</v>
      </c>
      <c r="J1393" s="86"/>
      <c r="K1393" s="86">
        <v>0</v>
      </c>
      <c r="L1393" s="86"/>
      <c r="M1393" s="86">
        <v>0</v>
      </c>
      <c r="N1393" s="86"/>
      <c r="O1393" s="86">
        <v>0</v>
      </c>
      <c r="P1393" s="86">
        <v>7861281</v>
      </c>
      <c r="Q1393" s="86">
        <v>0</v>
      </c>
      <c r="R1393" s="87">
        <f t="shared" si="453"/>
        <v>104</v>
      </c>
      <c r="T1393" s="87">
        <v>1951</v>
      </c>
      <c r="U1393" s="89"/>
      <c r="V1393" s="89">
        <v>109</v>
      </c>
      <c r="W1393" s="90"/>
      <c r="X1393" s="90">
        <v>0</v>
      </c>
      <c r="Y1393" s="90">
        <v>8605718.0000000056</v>
      </c>
      <c r="Z1393" s="90">
        <v>2087</v>
      </c>
      <c r="AA1393" s="90">
        <v>104</v>
      </c>
      <c r="AB1393" s="89">
        <f t="shared" si="456"/>
        <v>1901</v>
      </c>
      <c r="AC1393" s="89">
        <f t="shared" si="457"/>
        <v>1951</v>
      </c>
      <c r="AD1393" s="89">
        <f t="shared" si="458"/>
        <v>2087</v>
      </c>
      <c r="AE1393" s="90">
        <f t="shared" si="459"/>
        <v>1901</v>
      </c>
      <c r="AF1393" s="90">
        <f t="shared" si="460"/>
        <v>2013</v>
      </c>
      <c r="AG1393" s="90">
        <f t="shared" si="461"/>
        <v>104</v>
      </c>
      <c r="AH1393" s="90" t="str">
        <f t="shared" si="462"/>
        <v>2018 (triag)</v>
      </c>
      <c r="AI1393" s="90">
        <f t="shared" si="463"/>
        <v>2087</v>
      </c>
      <c r="AJ1393" s="90">
        <f t="shared" si="464"/>
        <v>2022</v>
      </c>
      <c r="AK1393" s="90" t="str">
        <f t="shared" si="465"/>
        <v/>
      </c>
      <c r="AL1393" s="91">
        <f>IF(AK1393="Adjust",(_xlfn.XLOOKUP(A1393,'Adj factor'!A:A,'Adj factor'!I:I,,0)*AI1393),'Master DataSheet (Rev)'!AI1393)</f>
        <v>2087</v>
      </c>
      <c r="AM1393" s="91">
        <f t="shared" si="466"/>
        <v>2087</v>
      </c>
      <c r="AN1393" s="92" t="str">
        <f t="shared" si="467"/>
        <v>Increasing</v>
      </c>
      <c r="AS1393" s="94">
        <f t="shared" si="468"/>
        <v>2.7294165416282339</v>
      </c>
      <c r="AT1393" s="94">
        <f t="shared" si="469"/>
        <v>0.13229396074253039</v>
      </c>
      <c r="AU1393" s="94">
        <f t="shared" si="454"/>
        <v>2.4251317554212197</v>
      </c>
      <c r="AV1393" s="94">
        <f t="shared" si="455"/>
        <v>2.4251317554212197</v>
      </c>
    </row>
    <row r="1394" spans="1:48" ht="14.5" x14ac:dyDescent="0.35">
      <c r="A1394" s="85" t="str">
        <f>_xlfn.XLOOKUP(B1394,'Country codes &amp; Data sources'!G:G,'Country codes &amp; Data sources'!H:H,,0)</f>
        <v>Sierra Leone</v>
      </c>
      <c r="B1394" s="85" t="s">
        <v>186</v>
      </c>
      <c r="C1394" s="85">
        <v>6788596.5</v>
      </c>
      <c r="D1394" s="85" t="s">
        <v>335</v>
      </c>
      <c r="E1394" s="86">
        <v>0</v>
      </c>
      <c r="F1394" s="86">
        <v>6964858.4999999972</v>
      </c>
      <c r="G1394" s="86">
        <v>0</v>
      </c>
      <c r="H1394" s="86"/>
      <c r="I1394" s="86">
        <v>0</v>
      </c>
      <c r="J1394" s="86"/>
      <c r="K1394" s="86">
        <v>0</v>
      </c>
      <c r="L1394" s="86"/>
      <c r="M1394" s="86">
        <v>82</v>
      </c>
      <c r="N1394" s="86"/>
      <c r="O1394" s="86">
        <v>0</v>
      </c>
      <c r="P1394" s="86">
        <v>7861281</v>
      </c>
      <c r="Q1394" s="86">
        <v>156</v>
      </c>
      <c r="R1394" s="87">
        <f t="shared" si="453"/>
        <v>156</v>
      </c>
      <c r="T1394" s="87">
        <v>164</v>
      </c>
      <c r="U1394" s="89"/>
      <c r="V1394" s="89">
        <v>193</v>
      </c>
      <c r="W1394" s="90"/>
      <c r="X1394" s="90">
        <v>0</v>
      </c>
      <c r="Y1394" s="90">
        <v>8605718.0000000056</v>
      </c>
      <c r="Z1394" s="111">
        <v>193</v>
      </c>
      <c r="AA1394" s="90">
        <v>135</v>
      </c>
      <c r="AB1394" s="89">
        <f t="shared" si="456"/>
        <v>0</v>
      </c>
      <c r="AC1394" s="89">
        <f t="shared" si="457"/>
        <v>164</v>
      </c>
      <c r="AD1394" s="89">
        <f t="shared" si="458"/>
        <v>193</v>
      </c>
      <c r="AF1394" s="90" t="str">
        <f t="shared" si="460"/>
        <v/>
      </c>
      <c r="AG1394" s="90">
        <f t="shared" si="461"/>
        <v>156</v>
      </c>
      <c r="AH1394" s="90">
        <f t="shared" si="462"/>
        <v>2018</v>
      </c>
      <c r="AI1394" s="90">
        <f t="shared" si="463"/>
        <v>193</v>
      </c>
      <c r="AJ1394" s="90">
        <f t="shared" si="464"/>
        <v>2020</v>
      </c>
      <c r="AK1394" s="90" t="str">
        <f t="shared" si="465"/>
        <v/>
      </c>
      <c r="AL1394" s="91">
        <f>IF(AK1394="Adjust",(_xlfn.XLOOKUP(A1394,'Adj factor'!A:A,'Adj factor'!I:I,,0)*AI1394),'Master DataSheet (Rev)'!AI1394)</f>
        <v>193</v>
      </c>
      <c r="AM1394" s="91">
        <f t="shared" si="466"/>
        <v>193</v>
      </c>
      <c r="AN1394" s="92" t="str">
        <f t="shared" si="467"/>
        <v>Increasing</v>
      </c>
      <c r="AS1394" s="94">
        <f t="shared" si="468"/>
        <v>0</v>
      </c>
      <c r="AT1394" s="94">
        <f t="shared" si="469"/>
        <v>0.19844094111379557</v>
      </c>
      <c r="AU1394" s="94">
        <f t="shared" si="454"/>
        <v>0.22426949151715159</v>
      </c>
      <c r="AV1394" s="94">
        <f t="shared" si="455"/>
        <v>0.22426949151715159</v>
      </c>
    </row>
    <row r="1395" spans="1:48" ht="14.5" x14ac:dyDescent="0.35">
      <c r="A1395" s="85" t="str">
        <f>_xlfn.XLOOKUP(B1395,'Country codes &amp; Data sources'!G:G,'Country codes &amp; Data sources'!H:H,,0)</f>
        <v>Sierra Leone</v>
      </c>
      <c r="B1395" s="85" t="s">
        <v>186</v>
      </c>
      <c r="C1395" s="85">
        <v>6788597.5</v>
      </c>
      <c r="D1395" s="85" t="s">
        <v>336</v>
      </c>
      <c r="E1395" s="86">
        <v>0</v>
      </c>
      <c r="F1395" s="86">
        <v>6964858.4999999972</v>
      </c>
      <c r="G1395" s="86">
        <v>0</v>
      </c>
      <c r="H1395" s="86"/>
      <c r="I1395" s="86">
        <v>0</v>
      </c>
      <c r="J1395" s="86"/>
      <c r="K1395" s="86">
        <v>0</v>
      </c>
      <c r="L1395" s="86"/>
      <c r="M1395" s="86">
        <v>0</v>
      </c>
      <c r="N1395" s="86"/>
      <c r="O1395" s="86">
        <v>0</v>
      </c>
      <c r="P1395" s="86">
        <v>7861281</v>
      </c>
      <c r="Q1395" s="86">
        <v>0</v>
      </c>
      <c r="R1395" s="87">
        <f t="shared" si="453"/>
        <v>21</v>
      </c>
      <c r="T1395" s="87">
        <v>213</v>
      </c>
      <c r="U1395" s="89"/>
      <c r="V1395" s="89">
        <v>332</v>
      </c>
      <c r="W1395" s="90"/>
      <c r="X1395" s="90">
        <v>0</v>
      </c>
      <c r="Y1395" s="90">
        <v>8605718.0000000056</v>
      </c>
      <c r="Z1395" s="111">
        <f>525+332</f>
        <v>857</v>
      </c>
      <c r="AA1395" s="90">
        <v>21</v>
      </c>
      <c r="AB1395" s="89">
        <f t="shared" si="456"/>
        <v>0</v>
      </c>
      <c r="AC1395" s="89">
        <f t="shared" si="457"/>
        <v>213</v>
      </c>
      <c r="AD1395" s="89">
        <f t="shared" si="458"/>
        <v>857</v>
      </c>
      <c r="AF1395" s="90" t="str">
        <f t="shared" si="460"/>
        <v/>
      </c>
      <c r="AG1395" s="90">
        <f t="shared" si="461"/>
        <v>21</v>
      </c>
      <c r="AH1395" s="90" t="str">
        <f t="shared" si="462"/>
        <v>2018 (triag)</v>
      </c>
      <c r="AI1395" s="90">
        <f t="shared" si="463"/>
        <v>857</v>
      </c>
      <c r="AJ1395" s="90">
        <f t="shared" si="464"/>
        <v>2022</v>
      </c>
      <c r="AK1395" s="90" t="str">
        <f t="shared" si="465"/>
        <v/>
      </c>
      <c r="AL1395" s="91">
        <f>IF(AK1395="Adjust",(_xlfn.XLOOKUP(A1395,'Adj factor'!A:A,'Adj factor'!I:I,,0)*AI1395),'Master DataSheet (Rev)'!AI1395)</f>
        <v>857</v>
      </c>
      <c r="AM1395" s="91">
        <f t="shared" si="466"/>
        <v>857</v>
      </c>
      <c r="AN1395" s="92" t="str">
        <f t="shared" si="467"/>
        <v>Increasing</v>
      </c>
      <c r="AS1395" s="94">
        <f t="shared" si="468"/>
        <v>0</v>
      </c>
      <c r="AT1395" s="94">
        <f t="shared" si="469"/>
        <v>2.6713203611472482E-2</v>
      </c>
      <c r="AU1395" s="94">
        <f t="shared" si="454"/>
        <v>0.99584950378341408</v>
      </c>
      <c r="AV1395" s="94">
        <f t="shared" si="455"/>
        <v>0.99584950378341408</v>
      </c>
    </row>
    <row r="1396" spans="1:48" ht="14.5" x14ac:dyDescent="0.35">
      <c r="A1396" s="85" t="str">
        <f>_xlfn.XLOOKUP(B1396,'Country codes &amp; Data sources'!G:G,'Country codes &amp; Data sources'!H:H,,0)</f>
        <v>Sierra Leone</v>
      </c>
      <c r="B1396" s="85" t="s">
        <v>186</v>
      </c>
      <c r="C1396" s="85">
        <v>6788598.5</v>
      </c>
      <c r="D1396" s="85" t="s">
        <v>337</v>
      </c>
      <c r="E1396" s="86">
        <v>0</v>
      </c>
      <c r="F1396" s="86">
        <v>6964858.4999999972</v>
      </c>
      <c r="G1396" s="86">
        <v>0</v>
      </c>
      <c r="H1396" s="86"/>
      <c r="I1396" s="86">
        <v>0</v>
      </c>
      <c r="J1396" s="86"/>
      <c r="K1396" s="86">
        <v>0</v>
      </c>
      <c r="L1396" s="86"/>
      <c r="M1396" s="86">
        <v>53</v>
      </c>
      <c r="N1396" s="86"/>
      <c r="O1396" s="86">
        <v>0</v>
      </c>
      <c r="P1396" s="86">
        <v>7861281</v>
      </c>
      <c r="Q1396" s="86">
        <v>15</v>
      </c>
      <c r="R1396" s="87">
        <f t="shared" si="453"/>
        <v>15</v>
      </c>
      <c r="T1396" s="87">
        <v>7</v>
      </c>
      <c r="U1396" s="89"/>
      <c r="V1396" s="89">
        <v>15</v>
      </c>
      <c r="W1396" s="90"/>
      <c r="X1396" s="90">
        <v>0</v>
      </c>
      <c r="Y1396" s="90">
        <v>8605718.0000000056</v>
      </c>
      <c r="Z1396" s="111">
        <v>15</v>
      </c>
      <c r="AA1396" s="90">
        <v>9</v>
      </c>
      <c r="AB1396" s="89">
        <f t="shared" si="456"/>
        <v>0</v>
      </c>
      <c r="AC1396" s="89">
        <f t="shared" si="457"/>
        <v>53</v>
      </c>
      <c r="AD1396" s="89">
        <f t="shared" si="458"/>
        <v>15</v>
      </c>
      <c r="AF1396" s="90" t="str">
        <f t="shared" si="460"/>
        <v/>
      </c>
      <c r="AG1396" s="90">
        <f t="shared" si="461"/>
        <v>15</v>
      </c>
      <c r="AH1396" s="90">
        <f t="shared" si="462"/>
        <v>2018</v>
      </c>
      <c r="AI1396" s="90">
        <f t="shared" si="463"/>
        <v>15</v>
      </c>
      <c r="AJ1396" s="90">
        <f t="shared" si="464"/>
        <v>2020</v>
      </c>
      <c r="AK1396" s="90" t="str">
        <f t="shared" si="465"/>
        <v/>
      </c>
      <c r="AL1396" s="91">
        <f>IF(AK1396="Adjust",(_xlfn.XLOOKUP(A1396,'Adj factor'!A:A,'Adj factor'!I:I,,0)*AI1396),'Master DataSheet (Rev)'!AI1396)</f>
        <v>15</v>
      </c>
      <c r="AM1396" s="91">
        <f t="shared" si="466"/>
        <v>15</v>
      </c>
      <c r="AN1396" s="92" t="str">
        <f t="shared" si="467"/>
        <v>No change</v>
      </c>
      <c r="AS1396" s="94">
        <f t="shared" si="468"/>
        <v>0</v>
      </c>
      <c r="AT1396" s="94">
        <f t="shared" si="469"/>
        <v>1.9080859722480345E-2</v>
      </c>
      <c r="AU1396" s="94">
        <f t="shared" si="454"/>
        <v>1.7430271361436652E-2</v>
      </c>
      <c r="AV1396" s="94">
        <f t="shared" si="455"/>
        <v>1.7430271361436652E-2</v>
      </c>
    </row>
    <row r="1397" spans="1:48" x14ac:dyDescent="0.3">
      <c r="A1397" s="85" t="str">
        <f>_xlfn.XLOOKUP(B1397,'Country codes &amp; Data sources'!G:G,'Country codes &amp; Data sources'!H:H,,0)</f>
        <v>Sierra Leone</v>
      </c>
      <c r="B1397" s="85" t="s">
        <v>186</v>
      </c>
      <c r="C1397" s="85">
        <v>6788599.5</v>
      </c>
      <c r="D1397" s="85" t="s">
        <v>338</v>
      </c>
      <c r="E1397" s="86">
        <v>0</v>
      </c>
      <c r="F1397" s="86">
        <v>6964858.4999999972</v>
      </c>
      <c r="G1397" s="86">
        <v>0</v>
      </c>
      <c r="H1397" s="86"/>
      <c r="I1397" s="86">
        <v>0</v>
      </c>
      <c r="J1397" s="86"/>
      <c r="K1397" s="86">
        <v>0</v>
      </c>
      <c r="L1397" s="86"/>
      <c r="M1397" s="86">
        <v>0</v>
      </c>
      <c r="N1397" s="86"/>
      <c r="O1397" s="86">
        <v>0</v>
      </c>
      <c r="P1397" s="86">
        <v>7861281</v>
      </c>
      <c r="Q1397" s="86">
        <v>0</v>
      </c>
      <c r="R1397" s="87">
        <f t="shared" si="453"/>
        <v>414</v>
      </c>
      <c r="T1397" s="87">
        <v>140</v>
      </c>
      <c r="U1397" s="89"/>
      <c r="V1397" s="89">
        <v>66</v>
      </c>
      <c r="W1397" s="90"/>
      <c r="X1397" s="90">
        <v>0</v>
      </c>
      <c r="Y1397" s="90">
        <v>8605718.0000000056</v>
      </c>
      <c r="Z1397" s="90">
        <v>126</v>
      </c>
      <c r="AA1397" s="90">
        <v>414</v>
      </c>
      <c r="AB1397" s="89">
        <f t="shared" si="456"/>
        <v>0</v>
      </c>
      <c r="AC1397" s="89">
        <f t="shared" si="457"/>
        <v>140</v>
      </c>
      <c r="AD1397" s="89">
        <f t="shared" si="458"/>
        <v>126</v>
      </c>
      <c r="AF1397" s="90" t="str">
        <f t="shared" si="460"/>
        <v/>
      </c>
      <c r="AG1397" s="90">
        <f t="shared" si="461"/>
        <v>414</v>
      </c>
      <c r="AH1397" s="90" t="str">
        <f t="shared" si="462"/>
        <v>2018 (triag)</v>
      </c>
      <c r="AI1397" s="90">
        <f t="shared" si="463"/>
        <v>126</v>
      </c>
      <c r="AJ1397" s="90">
        <f t="shared" si="464"/>
        <v>2022</v>
      </c>
      <c r="AK1397" s="90" t="str">
        <f t="shared" si="465"/>
        <v>Adjust</v>
      </c>
      <c r="AL1397" s="91">
        <f>IF(AK1397="Adjust",(_xlfn.XLOOKUP(A1397,'Adj factor'!A:A,'Adj factor'!I:I,,0)*AI1397),'Master DataSheet (Rev)'!AI1397)</f>
        <v>144.81162918437232</v>
      </c>
      <c r="AM1397" s="91">
        <f t="shared" si="466"/>
        <v>414</v>
      </c>
      <c r="AN1397" s="92" t="str">
        <f t="shared" si="467"/>
        <v>Decreasing</v>
      </c>
      <c r="AS1397" s="94">
        <f t="shared" si="468"/>
        <v>0</v>
      </c>
      <c r="AT1397" s="94">
        <f t="shared" si="469"/>
        <v>0.52663172834045746</v>
      </c>
      <c r="AU1397" s="94">
        <f t="shared" si="454"/>
        <v>0.16827373286502328</v>
      </c>
      <c r="AV1397" s="94">
        <f t="shared" si="455"/>
        <v>0.4810754895756516</v>
      </c>
    </row>
    <row r="1398" spans="1:48" x14ac:dyDescent="0.3">
      <c r="A1398" s="85" t="str">
        <f>_xlfn.XLOOKUP(B1398,'Country codes &amp; Data sources'!G:G,'Country codes &amp; Data sources'!H:H,,0)</f>
        <v>Sierra Leone</v>
      </c>
      <c r="B1398" s="85" t="s">
        <v>186</v>
      </c>
      <c r="C1398" s="85">
        <v>6788600.5</v>
      </c>
      <c r="D1398" s="85" t="s">
        <v>339</v>
      </c>
      <c r="E1398" s="86">
        <v>0</v>
      </c>
      <c r="F1398" s="86">
        <v>6964858.4999999972</v>
      </c>
      <c r="G1398" s="86">
        <v>0</v>
      </c>
      <c r="H1398" s="86"/>
      <c r="I1398" s="86">
        <v>0</v>
      </c>
      <c r="J1398" s="86"/>
      <c r="K1398" s="86">
        <v>0</v>
      </c>
      <c r="L1398" s="86"/>
      <c r="M1398" s="86">
        <v>0</v>
      </c>
      <c r="N1398" s="86"/>
      <c r="O1398" s="86">
        <v>0</v>
      </c>
      <c r="P1398" s="86">
        <v>7861281</v>
      </c>
      <c r="Q1398" s="86">
        <v>0</v>
      </c>
      <c r="R1398" s="87">
        <f t="shared" si="453"/>
        <v>0</v>
      </c>
      <c r="T1398" s="87">
        <v>0</v>
      </c>
      <c r="U1398" s="89"/>
      <c r="V1398" s="89">
        <v>0</v>
      </c>
      <c r="W1398" s="90"/>
      <c r="X1398" s="90">
        <v>0</v>
      </c>
      <c r="Y1398" s="90">
        <v>8605718.0000000056</v>
      </c>
      <c r="Z1398" s="90">
        <v>0</v>
      </c>
      <c r="AA1398" s="90">
        <v>0</v>
      </c>
      <c r="AB1398" s="89">
        <f t="shared" si="456"/>
        <v>0</v>
      </c>
      <c r="AC1398" s="89">
        <f t="shared" si="457"/>
        <v>0</v>
      </c>
      <c r="AD1398" s="89">
        <f t="shared" si="458"/>
        <v>0</v>
      </c>
      <c r="AF1398" s="90" t="str">
        <f t="shared" si="460"/>
        <v/>
      </c>
      <c r="AH1398" s="90" t="str">
        <f t="shared" si="462"/>
        <v/>
      </c>
      <c r="AI1398" s="90">
        <f t="shared" si="463"/>
        <v>0</v>
      </c>
      <c r="AJ1398" s="90" t="str">
        <f t="shared" si="464"/>
        <v/>
      </c>
      <c r="AK1398" s="90" t="str">
        <f t="shared" si="465"/>
        <v/>
      </c>
      <c r="AL1398" s="91"/>
      <c r="AM1398" s="91">
        <f t="shared" si="466"/>
        <v>0</v>
      </c>
      <c r="AN1398" s="92" t="str">
        <f t="shared" si="467"/>
        <v>No change</v>
      </c>
      <c r="AS1398" s="94">
        <f t="shared" si="468"/>
        <v>0</v>
      </c>
      <c r="AT1398" s="94">
        <f t="shared" si="469"/>
        <v>0</v>
      </c>
      <c r="AU1398" s="94">
        <f t="shared" si="454"/>
        <v>0</v>
      </c>
      <c r="AV1398" s="94">
        <f t="shared" si="455"/>
        <v>0</v>
      </c>
    </row>
    <row r="1399" spans="1:48" x14ac:dyDescent="0.3">
      <c r="A1399" s="85" t="str">
        <f>_xlfn.XLOOKUP(B1399,'Country codes &amp; Data sources'!G:G,'Country codes &amp; Data sources'!H:H,,0)</f>
        <v>South Sudan</v>
      </c>
      <c r="B1399" s="85" t="s">
        <v>188</v>
      </c>
      <c r="C1399" s="85">
        <v>10701604.500000004</v>
      </c>
      <c r="D1399" s="85" t="s">
        <v>326</v>
      </c>
      <c r="E1399" s="86">
        <v>0</v>
      </c>
      <c r="F1399" s="86">
        <v>11106031.000000004</v>
      </c>
      <c r="G1399" s="86">
        <v>0</v>
      </c>
      <c r="H1399" s="86">
        <v>11213284.499999998</v>
      </c>
      <c r="I1399" s="86">
        <v>0</v>
      </c>
      <c r="J1399" s="86">
        <v>11194299.499999998</v>
      </c>
      <c r="K1399" s="86">
        <v>0</v>
      </c>
      <c r="L1399" s="86">
        <v>11066105</v>
      </c>
      <c r="M1399" s="86">
        <v>0</v>
      </c>
      <c r="N1399" s="86">
        <v>10658225.499999994</v>
      </c>
      <c r="O1399" s="86">
        <v>0</v>
      </c>
      <c r="P1399" s="86">
        <v>10395329.5</v>
      </c>
      <c r="Q1399" s="86">
        <v>411</v>
      </c>
      <c r="R1399" s="87">
        <f t="shared" si="453"/>
        <v>411</v>
      </c>
      <c r="S1399" s="87">
        <v>10447665.999999998</v>
      </c>
      <c r="T1399" s="87">
        <v>342</v>
      </c>
      <c r="U1399" s="89">
        <v>10606227.000000002</v>
      </c>
      <c r="V1399" s="89">
        <v>456</v>
      </c>
      <c r="W1399" s="90">
        <v>10748272.499999998</v>
      </c>
      <c r="X1399" s="90">
        <v>0</v>
      </c>
      <c r="Y1399" s="90">
        <v>10913163.5</v>
      </c>
      <c r="Z1399" s="90">
        <v>0</v>
      </c>
      <c r="AA1399" s="90">
        <v>411</v>
      </c>
      <c r="AB1399" s="89">
        <f t="shared" si="456"/>
        <v>0</v>
      </c>
      <c r="AC1399" s="89">
        <f t="shared" si="457"/>
        <v>411</v>
      </c>
      <c r="AD1399" s="89">
        <f t="shared" si="458"/>
        <v>456</v>
      </c>
      <c r="AF1399" s="90" t="str">
        <f t="shared" si="460"/>
        <v/>
      </c>
      <c r="AG1399" s="90">
        <f t="shared" si="461"/>
        <v>411</v>
      </c>
      <c r="AH1399" s="90">
        <f t="shared" si="462"/>
        <v>2018</v>
      </c>
      <c r="AI1399" s="90">
        <f t="shared" si="463"/>
        <v>456</v>
      </c>
      <c r="AJ1399" s="90">
        <f t="shared" si="464"/>
        <v>2020</v>
      </c>
      <c r="AK1399" s="90" t="str">
        <f t="shared" si="465"/>
        <v/>
      </c>
      <c r="AL1399" s="91">
        <f>IF(AK1399="Adjust",(_xlfn.XLOOKUP(A1399,'Adj factor'!A:A,'Adj factor'!I:I,,0)*AI1399),'Master DataSheet (Rev)'!AI1399)</f>
        <v>456</v>
      </c>
      <c r="AM1399" s="91">
        <f t="shared" si="466"/>
        <v>456</v>
      </c>
      <c r="AN1399" s="92" t="str">
        <f t="shared" si="467"/>
        <v>Increasing</v>
      </c>
      <c r="AS1399" s="94">
        <f t="shared" si="468"/>
        <v>0</v>
      </c>
      <c r="AT1399" s="94">
        <f t="shared" si="469"/>
        <v>0.39536986297548338</v>
      </c>
      <c r="AU1399" s="94">
        <f t="shared" si="454"/>
        <v>0.41784401012593642</v>
      </c>
      <c r="AV1399" s="94">
        <f t="shared" si="455"/>
        <v>0.41784401012593642</v>
      </c>
    </row>
    <row r="1400" spans="1:48" x14ac:dyDescent="0.3">
      <c r="A1400" s="85" t="str">
        <f>_xlfn.XLOOKUP(B1400,'Country codes &amp; Data sources'!G:G,'Country codes &amp; Data sources'!H:H,,0)</f>
        <v>South Sudan</v>
      </c>
      <c r="B1400" s="85" t="s">
        <v>188</v>
      </c>
      <c r="C1400" s="85">
        <v>10701605.5</v>
      </c>
      <c r="D1400" s="85" t="s">
        <v>327</v>
      </c>
      <c r="E1400" s="86">
        <v>0</v>
      </c>
      <c r="F1400" s="86">
        <v>11106031.000000004</v>
      </c>
      <c r="G1400" s="86">
        <v>0</v>
      </c>
      <c r="H1400" s="86"/>
      <c r="I1400" s="86">
        <v>0</v>
      </c>
      <c r="J1400" s="86"/>
      <c r="K1400" s="86">
        <v>0</v>
      </c>
      <c r="L1400" s="86"/>
      <c r="M1400" s="86">
        <v>0</v>
      </c>
      <c r="N1400" s="86"/>
      <c r="O1400" s="86">
        <v>0</v>
      </c>
      <c r="P1400" s="86">
        <v>10395329.5</v>
      </c>
      <c r="Q1400" s="86">
        <v>338</v>
      </c>
      <c r="R1400" s="87">
        <f t="shared" si="453"/>
        <v>338</v>
      </c>
      <c r="T1400" s="87">
        <v>274</v>
      </c>
      <c r="U1400" s="89"/>
      <c r="V1400" s="89">
        <v>383</v>
      </c>
      <c r="W1400" s="90"/>
      <c r="X1400" s="90">
        <v>0</v>
      </c>
      <c r="Y1400" s="90">
        <v>10913163.5</v>
      </c>
      <c r="Z1400" s="90">
        <v>0</v>
      </c>
      <c r="AA1400" s="90">
        <v>338</v>
      </c>
      <c r="AB1400" s="89">
        <f t="shared" si="456"/>
        <v>0</v>
      </c>
      <c r="AC1400" s="89">
        <f t="shared" si="457"/>
        <v>338</v>
      </c>
      <c r="AD1400" s="89">
        <f t="shared" si="458"/>
        <v>383</v>
      </c>
      <c r="AF1400" s="90" t="str">
        <f t="shared" si="460"/>
        <v/>
      </c>
      <c r="AG1400" s="90">
        <f t="shared" si="461"/>
        <v>338</v>
      </c>
      <c r="AH1400" s="90">
        <f t="shared" si="462"/>
        <v>2018</v>
      </c>
      <c r="AI1400" s="90">
        <f t="shared" si="463"/>
        <v>383</v>
      </c>
      <c r="AJ1400" s="90">
        <f t="shared" si="464"/>
        <v>2020</v>
      </c>
      <c r="AK1400" s="90" t="str">
        <f t="shared" si="465"/>
        <v/>
      </c>
      <c r="AL1400" s="91">
        <f>IF(AK1400="Adjust",(_xlfn.XLOOKUP(A1400,'Adj factor'!A:A,'Adj factor'!I:I,,0)*AI1400),'Master DataSheet (Rev)'!AI1400)</f>
        <v>383</v>
      </c>
      <c r="AM1400" s="91">
        <f t="shared" si="466"/>
        <v>383</v>
      </c>
      <c r="AN1400" s="92" t="str">
        <f t="shared" si="467"/>
        <v>Increasing</v>
      </c>
      <c r="AS1400" s="94">
        <f t="shared" si="468"/>
        <v>0</v>
      </c>
      <c r="AT1400" s="94">
        <f t="shared" si="469"/>
        <v>0.32514601870003257</v>
      </c>
      <c r="AU1400" s="94">
        <f t="shared" si="454"/>
        <v>0.35095231552244222</v>
      </c>
      <c r="AV1400" s="94">
        <f t="shared" si="455"/>
        <v>0.35095231552244222</v>
      </c>
    </row>
    <row r="1401" spans="1:48" x14ac:dyDescent="0.3">
      <c r="A1401" s="85" t="str">
        <f>_xlfn.XLOOKUP(B1401,'Country codes &amp; Data sources'!G:G,'Country codes &amp; Data sources'!H:H,,0)</f>
        <v>South Sudan</v>
      </c>
      <c r="B1401" s="85" t="s">
        <v>188</v>
      </c>
      <c r="C1401" s="85">
        <v>10701606.5</v>
      </c>
      <c r="D1401" s="85" t="s">
        <v>328</v>
      </c>
      <c r="E1401" s="86">
        <v>0</v>
      </c>
      <c r="F1401" s="86">
        <v>11106031.000000004</v>
      </c>
      <c r="G1401" s="86">
        <v>0</v>
      </c>
      <c r="H1401" s="86"/>
      <c r="I1401" s="86">
        <v>0</v>
      </c>
      <c r="J1401" s="86"/>
      <c r="K1401" s="86">
        <v>0</v>
      </c>
      <c r="L1401" s="86"/>
      <c r="M1401" s="86">
        <v>0</v>
      </c>
      <c r="N1401" s="86"/>
      <c r="O1401" s="86">
        <v>0</v>
      </c>
      <c r="P1401" s="86">
        <v>10395329.5</v>
      </c>
      <c r="Q1401" s="86">
        <v>73</v>
      </c>
      <c r="R1401" s="87">
        <f t="shared" si="453"/>
        <v>73</v>
      </c>
      <c r="T1401" s="87">
        <v>68</v>
      </c>
      <c r="U1401" s="89"/>
      <c r="V1401" s="89">
        <v>73</v>
      </c>
      <c r="W1401" s="90"/>
      <c r="X1401" s="90">
        <v>0</v>
      </c>
      <c r="Y1401" s="90">
        <v>10913163.5</v>
      </c>
      <c r="Z1401" s="90">
        <v>0</v>
      </c>
      <c r="AA1401" s="90">
        <v>73</v>
      </c>
      <c r="AB1401" s="89">
        <f t="shared" si="456"/>
        <v>0</v>
      </c>
      <c r="AC1401" s="89">
        <f t="shared" si="457"/>
        <v>73</v>
      </c>
      <c r="AD1401" s="89">
        <f t="shared" si="458"/>
        <v>73</v>
      </c>
      <c r="AF1401" s="90" t="str">
        <f t="shared" si="460"/>
        <v/>
      </c>
      <c r="AG1401" s="90">
        <f t="shared" si="461"/>
        <v>73</v>
      </c>
      <c r="AH1401" s="90">
        <f t="shared" si="462"/>
        <v>2018</v>
      </c>
      <c r="AI1401" s="90">
        <f t="shared" si="463"/>
        <v>73</v>
      </c>
      <c r="AJ1401" s="90">
        <f t="shared" si="464"/>
        <v>2020</v>
      </c>
      <c r="AK1401" s="90" t="str">
        <f t="shared" si="465"/>
        <v/>
      </c>
      <c r="AL1401" s="91">
        <f>IF(AK1401="Adjust",(_xlfn.XLOOKUP(A1401,'Adj factor'!A:A,'Adj factor'!I:I,,0)*AI1401),'Master DataSheet (Rev)'!AI1401)</f>
        <v>73</v>
      </c>
      <c r="AM1401" s="91">
        <f t="shared" si="466"/>
        <v>73</v>
      </c>
      <c r="AN1401" s="92" t="str">
        <f t="shared" si="467"/>
        <v>No change</v>
      </c>
      <c r="AS1401" s="94">
        <f t="shared" si="468"/>
        <v>0</v>
      </c>
      <c r="AT1401" s="94">
        <f t="shared" si="469"/>
        <v>7.0223844275450822E-2</v>
      </c>
      <c r="AU1401" s="94">
        <f t="shared" si="454"/>
        <v>6.6891694603494214E-2</v>
      </c>
      <c r="AV1401" s="94">
        <f t="shared" si="455"/>
        <v>6.6891694603494214E-2</v>
      </c>
    </row>
    <row r="1402" spans="1:48" x14ac:dyDescent="0.3">
      <c r="A1402" s="85" t="str">
        <f>_xlfn.XLOOKUP(B1402,'Country codes &amp; Data sources'!G:G,'Country codes &amp; Data sources'!H:H,,0)</f>
        <v>South Sudan</v>
      </c>
      <c r="B1402" s="85" t="s">
        <v>188</v>
      </c>
      <c r="C1402" s="85">
        <v>10701607.5</v>
      </c>
      <c r="D1402" s="85" t="s">
        <v>329</v>
      </c>
      <c r="E1402" s="86">
        <v>0</v>
      </c>
      <c r="F1402" s="86">
        <v>11106031.000000004</v>
      </c>
      <c r="G1402" s="86">
        <v>0</v>
      </c>
      <c r="H1402" s="86"/>
      <c r="I1402" s="86">
        <v>0</v>
      </c>
      <c r="J1402" s="86"/>
      <c r="K1402" s="86">
        <v>0</v>
      </c>
      <c r="L1402" s="86"/>
      <c r="M1402" s="86">
        <v>0</v>
      </c>
      <c r="N1402" s="86"/>
      <c r="O1402" s="86">
        <v>0</v>
      </c>
      <c r="P1402" s="86">
        <v>10395329.5</v>
      </c>
      <c r="Q1402" s="86">
        <v>3726</v>
      </c>
      <c r="R1402" s="87">
        <f t="shared" si="453"/>
        <v>3726</v>
      </c>
      <c r="T1402" s="87">
        <v>3714</v>
      </c>
      <c r="U1402" s="89"/>
      <c r="V1402" s="89">
        <v>4530</v>
      </c>
      <c r="W1402" s="90"/>
      <c r="X1402" s="90">
        <v>0</v>
      </c>
      <c r="Y1402" s="90">
        <v>10913163.5</v>
      </c>
      <c r="Z1402" s="90">
        <v>0</v>
      </c>
      <c r="AA1402" s="90">
        <v>2014</v>
      </c>
      <c r="AB1402" s="89">
        <f t="shared" si="456"/>
        <v>0</v>
      </c>
      <c r="AC1402" s="89">
        <f t="shared" si="457"/>
        <v>3726</v>
      </c>
      <c r="AD1402" s="89">
        <f t="shared" si="458"/>
        <v>4530</v>
      </c>
      <c r="AF1402" s="90" t="str">
        <f t="shared" si="460"/>
        <v/>
      </c>
      <c r="AG1402" s="90">
        <f t="shared" si="461"/>
        <v>3726</v>
      </c>
      <c r="AH1402" s="90">
        <f t="shared" si="462"/>
        <v>2018</v>
      </c>
      <c r="AI1402" s="90">
        <f t="shared" si="463"/>
        <v>4530</v>
      </c>
      <c r="AJ1402" s="90">
        <f t="shared" si="464"/>
        <v>2020</v>
      </c>
      <c r="AK1402" s="90" t="str">
        <f t="shared" si="465"/>
        <v/>
      </c>
      <c r="AL1402" s="91">
        <f>IF(AK1402="Adjust",(_xlfn.XLOOKUP(A1402,'Adj factor'!A:A,'Adj factor'!I:I,,0)*AI1402),'Master DataSheet (Rev)'!AI1402)</f>
        <v>4530</v>
      </c>
      <c r="AM1402" s="91">
        <f t="shared" si="466"/>
        <v>4530</v>
      </c>
      <c r="AN1402" s="92" t="str">
        <f t="shared" si="467"/>
        <v>Increasing</v>
      </c>
      <c r="AS1402" s="94">
        <f t="shared" si="468"/>
        <v>0</v>
      </c>
      <c r="AT1402" s="94">
        <f t="shared" si="469"/>
        <v>3.5843019694565719</v>
      </c>
      <c r="AU1402" s="94">
        <f t="shared" si="454"/>
        <v>4.150950363751079</v>
      </c>
      <c r="AV1402" s="94">
        <f t="shared" si="455"/>
        <v>4.150950363751079</v>
      </c>
    </row>
    <row r="1403" spans="1:48" x14ac:dyDescent="0.3">
      <c r="A1403" s="85" t="str">
        <f>_xlfn.XLOOKUP(B1403,'Country codes &amp; Data sources'!G:G,'Country codes &amp; Data sources'!H:H,,0)</f>
        <v>South Sudan</v>
      </c>
      <c r="B1403" s="85" t="s">
        <v>188</v>
      </c>
      <c r="C1403" s="85">
        <v>10701608.5</v>
      </c>
      <c r="D1403" s="85" t="s">
        <v>330</v>
      </c>
      <c r="E1403" s="86">
        <v>0</v>
      </c>
      <c r="F1403" s="86">
        <v>11106031.000000004</v>
      </c>
      <c r="G1403" s="86">
        <v>0</v>
      </c>
      <c r="H1403" s="86"/>
      <c r="I1403" s="86">
        <v>0</v>
      </c>
      <c r="J1403" s="86"/>
      <c r="K1403" s="86">
        <v>0</v>
      </c>
      <c r="L1403" s="86"/>
      <c r="M1403" s="86">
        <v>0</v>
      </c>
      <c r="N1403" s="86"/>
      <c r="O1403" s="86">
        <v>0</v>
      </c>
      <c r="P1403" s="86">
        <v>10395329.5</v>
      </c>
      <c r="Q1403" s="86">
        <v>0</v>
      </c>
      <c r="R1403" s="87">
        <f t="shared" si="453"/>
        <v>2014</v>
      </c>
      <c r="T1403" s="87">
        <v>502</v>
      </c>
      <c r="U1403" s="89"/>
      <c r="V1403" s="89">
        <v>596</v>
      </c>
      <c r="W1403" s="90"/>
      <c r="X1403" s="90">
        <v>0</v>
      </c>
      <c r="Y1403" s="90">
        <v>10913163.5</v>
      </c>
      <c r="Z1403" s="90">
        <v>0</v>
      </c>
      <c r="AA1403" s="90">
        <v>2014</v>
      </c>
      <c r="AB1403" s="89">
        <f t="shared" si="456"/>
        <v>0</v>
      </c>
      <c r="AC1403" s="89">
        <f t="shared" si="457"/>
        <v>502</v>
      </c>
      <c r="AD1403" s="89">
        <f t="shared" si="458"/>
        <v>596</v>
      </c>
      <c r="AF1403" s="90" t="str">
        <f t="shared" si="460"/>
        <v/>
      </c>
      <c r="AG1403" s="90">
        <f t="shared" si="461"/>
        <v>2014</v>
      </c>
      <c r="AH1403" s="90" t="str">
        <f t="shared" si="462"/>
        <v>2018 (triag)</v>
      </c>
      <c r="AI1403" s="90">
        <f t="shared" si="463"/>
        <v>596</v>
      </c>
      <c r="AJ1403" s="90">
        <f t="shared" si="464"/>
        <v>2020</v>
      </c>
      <c r="AK1403" s="90" t="str">
        <f t="shared" si="465"/>
        <v>Adjust</v>
      </c>
      <c r="AL1403" s="91">
        <f>IF(AK1403="Adjust",(_xlfn.XLOOKUP(A1403,'Adj factor'!A:A,'Adj factor'!I:I,,0)*AI1403),'Master DataSheet (Rev)'!AI1403)</f>
        <v>684.98199201496743</v>
      </c>
      <c r="AM1403" s="91">
        <f t="shared" si="466"/>
        <v>2014</v>
      </c>
      <c r="AN1403" s="92" t="str">
        <f t="shared" si="467"/>
        <v>Decreasing</v>
      </c>
      <c r="AS1403" s="94">
        <f t="shared" si="468"/>
        <v>0</v>
      </c>
      <c r="AT1403" s="94">
        <f t="shared" si="469"/>
        <v>1.9374085256268212</v>
      </c>
      <c r="AU1403" s="94">
        <f t="shared" si="454"/>
        <v>0.62766583861312764</v>
      </c>
      <c r="AV1403" s="94">
        <f t="shared" si="455"/>
        <v>1.8454777113895526</v>
      </c>
    </row>
    <row r="1404" spans="1:48" x14ac:dyDescent="0.3">
      <c r="A1404" s="85" t="str">
        <f>_xlfn.XLOOKUP(B1404,'Country codes &amp; Data sources'!G:G,'Country codes &amp; Data sources'!H:H,,0)</f>
        <v>South Sudan</v>
      </c>
      <c r="B1404" s="85" t="s">
        <v>188</v>
      </c>
      <c r="C1404" s="85">
        <v>10701609.5</v>
      </c>
      <c r="D1404" s="85" t="s">
        <v>331</v>
      </c>
      <c r="E1404" s="86">
        <v>0</v>
      </c>
      <c r="F1404" s="86">
        <v>11106031.000000004</v>
      </c>
      <c r="G1404" s="86">
        <v>0</v>
      </c>
      <c r="H1404" s="86"/>
      <c r="I1404" s="86">
        <v>0</v>
      </c>
      <c r="J1404" s="86"/>
      <c r="K1404" s="86">
        <v>0</v>
      </c>
      <c r="L1404" s="86"/>
      <c r="M1404" s="86">
        <v>0</v>
      </c>
      <c r="N1404" s="86"/>
      <c r="O1404" s="86">
        <v>0</v>
      </c>
      <c r="P1404" s="86">
        <v>10395329.5</v>
      </c>
      <c r="Q1404" s="86">
        <v>0</v>
      </c>
      <c r="R1404" s="87">
        <f t="shared" si="453"/>
        <v>0</v>
      </c>
      <c r="T1404" s="87">
        <v>3212</v>
      </c>
      <c r="U1404" s="89"/>
      <c r="V1404" s="89">
        <v>3934</v>
      </c>
      <c r="W1404" s="90"/>
      <c r="X1404" s="90">
        <v>0</v>
      </c>
      <c r="Y1404" s="90">
        <v>10913163.5</v>
      </c>
      <c r="Z1404" s="90">
        <v>0</v>
      </c>
      <c r="AA1404" s="90">
        <v>0</v>
      </c>
      <c r="AB1404" s="89">
        <f t="shared" si="456"/>
        <v>0</v>
      </c>
      <c r="AC1404" s="89">
        <f t="shared" si="457"/>
        <v>3212</v>
      </c>
      <c r="AD1404" s="89">
        <f t="shared" si="458"/>
        <v>3934</v>
      </c>
      <c r="AF1404" s="90" t="str">
        <f t="shared" si="460"/>
        <v/>
      </c>
      <c r="AG1404" s="90">
        <f t="shared" si="461"/>
        <v>3212</v>
      </c>
      <c r="AH1404" s="90">
        <f t="shared" si="462"/>
        <v>2019</v>
      </c>
      <c r="AI1404" s="90">
        <f t="shared" si="463"/>
        <v>3934</v>
      </c>
      <c r="AJ1404" s="90">
        <f t="shared" si="464"/>
        <v>2020</v>
      </c>
      <c r="AK1404" s="90" t="str">
        <f t="shared" si="465"/>
        <v/>
      </c>
      <c r="AL1404" s="91">
        <f>IF(AK1404="Adjust",(_xlfn.XLOOKUP(A1404,'Adj factor'!A:A,'Adj factor'!I:I,,0)*AI1404),'Master DataSheet (Rev)'!AI1404)</f>
        <v>3934</v>
      </c>
      <c r="AM1404" s="91">
        <f t="shared" si="466"/>
        <v>3934</v>
      </c>
      <c r="AN1404" s="92" t="str">
        <f t="shared" si="467"/>
        <v>Increasing</v>
      </c>
      <c r="AS1404" s="94">
        <f t="shared" si="468"/>
        <v>0</v>
      </c>
      <c r="AT1404" s="94">
        <f t="shared" si="469"/>
        <v>3.089849148119836</v>
      </c>
      <c r="AU1404" s="94">
        <f t="shared" si="454"/>
        <v>3.6048209119198114</v>
      </c>
      <c r="AV1404" s="94">
        <f t="shared" si="455"/>
        <v>3.6048209119198114</v>
      </c>
    </row>
    <row r="1405" spans="1:48" x14ac:dyDescent="0.3">
      <c r="A1405" s="85" t="str">
        <f>_xlfn.XLOOKUP(B1405,'Country codes &amp; Data sources'!G:G,'Country codes &amp; Data sources'!H:H,,0)</f>
        <v>South Sudan</v>
      </c>
      <c r="B1405" s="85" t="s">
        <v>188</v>
      </c>
      <c r="C1405" s="85">
        <v>10701610.5</v>
      </c>
      <c r="D1405" s="85" t="s">
        <v>332</v>
      </c>
      <c r="E1405" s="86">
        <v>0</v>
      </c>
      <c r="F1405" s="86">
        <v>11106031.000000004</v>
      </c>
      <c r="G1405" s="86">
        <v>0</v>
      </c>
      <c r="H1405" s="86"/>
      <c r="I1405" s="86">
        <v>0</v>
      </c>
      <c r="J1405" s="86"/>
      <c r="K1405" s="86">
        <v>0</v>
      </c>
      <c r="L1405" s="86"/>
      <c r="M1405" s="86">
        <v>0</v>
      </c>
      <c r="N1405" s="86"/>
      <c r="O1405" s="86">
        <v>0</v>
      </c>
      <c r="P1405" s="86">
        <v>10395329.5</v>
      </c>
      <c r="Q1405" s="86">
        <v>0</v>
      </c>
      <c r="R1405" s="87">
        <f t="shared" si="453"/>
        <v>1712</v>
      </c>
      <c r="T1405" s="87">
        <v>2380</v>
      </c>
      <c r="U1405" s="89"/>
      <c r="V1405" s="89">
        <v>3020</v>
      </c>
      <c r="W1405" s="90"/>
      <c r="X1405" s="90">
        <v>0</v>
      </c>
      <c r="Y1405" s="90">
        <v>10913163.5</v>
      </c>
      <c r="Z1405" s="90">
        <v>0</v>
      </c>
      <c r="AA1405" s="90">
        <v>1712</v>
      </c>
      <c r="AB1405" s="89">
        <f t="shared" si="456"/>
        <v>0</v>
      </c>
      <c r="AC1405" s="89">
        <f t="shared" si="457"/>
        <v>2380</v>
      </c>
      <c r="AD1405" s="89">
        <f t="shared" si="458"/>
        <v>3020</v>
      </c>
      <c r="AF1405" s="90" t="str">
        <f t="shared" si="460"/>
        <v/>
      </c>
      <c r="AG1405" s="90">
        <f t="shared" si="461"/>
        <v>1712</v>
      </c>
      <c r="AH1405" s="90" t="str">
        <f t="shared" si="462"/>
        <v>2018 (triag)</v>
      </c>
      <c r="AI1405" s="90">
        <f t="shared" si="463"/>
        <v>3020</v>
      </c>
      <c r="AJ1405" s="90">
        <f t="shared" si="464"/>
        <v>2020</v>
      </c>
      <c r="AK1405" s="90" t="str">
        <f t="shared" si="465"/>
        <v/>
      </c>
      <c r="AL1405" s="91">
        <f>IF(AK1405="Adjust",(_xlfn.XLOOKUP(A1405,'Adj factor'!A:A,'Adj factor'!I:I,,0)*AI1405),'Master DataSheet (Rev)'!AI1405)</f>
        <v>3020</v>
      </c>
      <c r="AM1405" s="91">
        <f t="shared" si="466"/>
        <v>3020</v>
      </c>
      <c r="AN1405" s="92" t="str">
        <f t="shared" si="467"/>
        <v>Increasing</v>
      </c>
      <c r="AS1405" s="94">
        <f t="shared" si="468"/>
        <v>0</v>
      </c>
      <c r="AT1405" s="94">
        <f t="shared" si="469"/>
        <v>1.6468934438297507</v>
      </c>
      <c r="AU1405" s="94">
        <f t="shared" si="454"/>
        <v>2.7673002425007196</v>
      </c>
      <c r="AV1405" s="94">
        <f t="shared" si="455"/>
        <v>2.7673002425007196</v>
      </c>
    </row>
    <row r="1406" spans="1:48" x14ac:dyDescent="0.3">
      <c r="A1406" s="85" t="str">
        <f>_xlfn.XLOOKUP(B1406,'Country codes &amp; Data sources'!G:G,'Country codes &amp; Data sources'!H:H,,0)</f>
        <v>South Sudan</v>
      </c>
      <c r="B1406" s="85" t="s">
        <v>188</v>
      </c>
      <c r="C1406" s="85">
        <v>10701611.5</v>
      </c>
      <c r="D1406" s="85" t="s">
        <v>333</v>
      </c>
      <c r="E1406" s="86">
        <v>0</v>
      </c>
      <c r="F1406" s="86">
        <v>11106031.000000004</v>
      </c>
      <c r="G1406" s="86">
        <v>0</v>
      </c>
      <c r="H1406" s="86"/>
      <c r="I1406" s="86">
        <v>0</v>
      </c>
      <c r="J1406" s="86"/>
      <c r="K1406" s="86">
        <v>0</v>
      </c>
      <c r="L1406" s="86"/>
      <c r="M1406" s="86">
        <v>0</v>
      </c>
      <c r="N1406" s="86"/>
      <c r="O1406" s="86">
        <v>0</v>
      </c>
      <c r="P1406" s="86">
        <v>10395329.5</v>
      </c>
      <c r="Q1406" s="86">
        <v>0</v>
      </c>
      <c r="R1406" s="87">
        <f t="shared" si="453"/>
        <v>1112</v>
      </c>
      <c r="T1406" s="87">
        <v>380</v>
      </c>
      <c r="U1406" s="89"/>
      <c r="V1406" s="89">
        <v>456</v>
      </c>
      <c r="W1406" s="90"/>
      <c r="X1406" s="90">
        <v>0</v>
      </c>
      <c r="Y1406" s="90">
        <v>10913163.5</v>
      </c>
      <c r="Z1406" s="90">
        <v>0</v>
      </c>
      <c r="AA1406" s="90">
        <v>1112</v>
      </c>
      <c r="AB1406" s="89">
        <f t="shared" si="456"/>
        <v>0</v>
      </c>
      <c r="AC1406" s="89">
        <f t="shared" si="457"/>
        <v>380</v>
      </c>
      <c r="AD1406" s="89">
        <f t="shared" si="458"/>
        <v>456</v>
      </c>
      <c r="AF1406" s="90" t="str">
        <f t="shared" si="460"/>
        <v/>
      </c>
      <c r="AG1406" s="90">
        <f t="shared" si="461"/>
        <v>1112</v>
      </c>
      <c r="AH1406" s="90" t="str">
        <f t="shared" si="462"/>
        <v>2018 (triag)</v>
      </c>
      <c r="AI1406" s="90">
        <f t="shared" si="463"/>
        <v>456</v>
      </c>
      <c r="AJ1406" s="90">
        <f t="shared" si="464"/>
        <v>2020</v>
      </c>
      <c r="AK1406" s="90" t="str">
        <f t="shared" si="465"/>
        <v>Adjust</v>
      </c>
      <c r="AL1406" s="91">
        <f>IF(AK1406="Adjust",(_xlfn.XLOOKUP(A1406,'Adj factor'!A:A,'Adj factor'!I:I,,0)*AI1406),'Master DataSheet (Rev)'!AI1406)</f>
        <v>524.08018181010937</v>
      </c>
      <c r="AM1406" s="91">
        <f t="shared" si="466"/>
        <v>1112</v>
      </c>
      <c r="AN1406" s="92" t="str">
        <f t="shared" si="467"/>
        <v>Decreasing</v>
      </c>
      <c r="AS1406" s="94">
        <f t="shared" si="468"/>
        <v>0</v>
      </c>
      <c r="AT1406" s="94">
        <f t="shared" si="469"/>
        <v>1.0697111621137165</v>
      </c>
      <c r="AU1406" s="94">
        <f t="shared" si="454"/>
        <v>0.48022755437514469</v>
      </c>
      <c r="AV1406" s="94">
        <f t="shared" si="455"/>
        <v>1.0189529369737749</v>
      </c>
    </row>
    <row r="1407" spans="1:48" x14ac:dyDescent="0.3">
      <c r="A1407" s="85" t="str">
        <f>_xlfn.XLOOKUP(B1407,'Country codes &amp; Data sources'!G:G,'Country codes &amp; Data sources'!H:H,,0)</f>
        <v>South Sudan</v>
      </c>
      <c r="B1407" s="85" t="s">
        <v>188</v>
      </c>
      <c r="C1407" s="85">
        <v>10701612.5</v>
      </c>
      <c r="D1407" s="85" t="s">
        <v>334</v>
      </c>
      <c r="E1407" s="86">
        <v>0</v>
      </c>
      <c r="F1407" s="86">
        <v>11106031.000000004</v>
      </c>
      <c r="G1407" s="86">
        <v>0</v>
      </c>
      <c r="H1407" s="86"/>
      <c r="I1407" s="86">
        <v>0</v>
      </c>
      <c r="J1407" s="86"/>
      <c r="K1407" s="86">
        <v>0</v>
      </c>
      <c r="L1407" s="86"/>
      <c r="M1407" s="86">
        <v>0</v>
      </c>
      <c r="N1407" s="86"/>
      <c r="O1407" s="86">
        <v>0</v>
      </c>
      <c r="P1407" s="86">
        <v>10395329.5</v>
      </c>
      <c r="Q1407" s="86">
        <v>0</v>
      </c>
      <c r="R1407" s="87">
        <f t="shared" ref="R1407:R1470" si="470">MAX(Q1407,AA1407)</f>
        <v>600</v>
      </c>
      <c r="T1407" s="87">
        <v>2000</v>
      </c>
      <c r="U1407" s="89"/>
      <c r="V1407" s="89">
        <v>2564</v>
      </c>
      <c r="W1407" s="90"/>
      <c r="X1407" s="90">
        <v>0</v>
      </c>
      <c r="Y1407" s="90">
        <v>10913163.5</v>
      </c>
      <c r="Z1407" s="90">
        <v>0</v>
      </c>
      <c r="AA1407" s="90">
        <v>600</v>
      </c>
      <c r="AB1407" s="89">
        <f t="shared" si="456"/>
        <v>0</v>
      </c>
      <c r="AC1407" s="89">
        <f t="shared" si="457"/>
        <v>2000</v>
      </c>
      <c r="AD1407" s="89">
        <f t="shared" si="458"/>
        <v>2564</v>
      </c>
      <c r="AF1407" s="90" t="str">
        <f t="shared" si="460"/>
        <v/>
      </c>
      <c r="AG1407" s="90">
        <f t="shared" si="461"/>
        <v>600</v>
      </c>
      <c r="AH1407" s="90" t="str">
        <f t="shared" si="462"/>
        <v>2018 (triag)</v>
      </c>
      <c r="AI1407" s="90">
        <f t="shared" si="463"/>
        <v>2564</v>
      </c>
      <c r="AJ1407" s="90">
        <f t="shared" si="464"/>
        <v>2020</v>
      </c>
      <c r="AK1407" s="90" t="str">
        <f t="shared" si="465"/>
        <v/>
      </c>
      <c r="AL1407" s="91">
        <f>IF(AK1407="Adjust",(_xlfn.XLOOKUP(A1407,'Adj factor'!A:A,'Adj factor'!I:I,,0)*AI1407),'Master DataSheet (Rev)'!AI1407)</f>
        <v>2564</v>
      </c>
      <c r="AM1407" s="91">
        <f t="shared" si="466"/>
        <v>2564</v>
      </c>
      <c r="AN1407" s="92" t="str">
        <f t="shared" si="467"/>
        <v>Increasing</v>
      </c>
      <c r="AS1407" s="94">
        <f t="shared" si="468"/>
        <v>0</v>
      </c>
      <c r="AT1407" s="94">
        <f t="shared" si="469"/>
        <v>0.57718228171603414</v>
      </c>
      <c r="AU1407" s="94">
        <f t="shared" si="454"/>
        <v>2.349456232374783</v>
      </c>
      <c r="AV1407" s="94">
        <f t="shared" si="455"/>
        <v>2.349456232374783</v>
      </c>
    </row>
    <row r="1408" spans="1:48" x14ac:dyDescent="0.3">
      <c r="A1408" s="85" t="str">
        <f>_xlfn.XLOOKUP(B1408,'Country codes &amp; Data sources'!G:G,'Country codes &amp; Data sources'!H:H,,0)</f>
        <v>South Sudan</v>
      </c>
      <c r="B1408" s="85" t="s">
        <v>188</v>
      </c>
      <c r="C1408" s="85">
        <v>10701613.5</v>
      </c>
      <c r="D1408" s="85" t="s">
        <v>335</v>
      </c>
      <c r="E1408" s="86">
        <v>0</v>
      </c>
      <c r="F1408" s="86">
        <v>11106031.000000004</v>
      </c>
      <c r="G1408" s="86">
        <v>0</v>
      </c>
      <c r="H1408" s="86"/>
      <c r="I1408" s="86">
        <v>0</v>
      </c>
      <c r="J1408" s="86"/>
      <c r="K1408" s="86">
        <v>0</v>
      </c>
      <c r="L1408" s="86"/>
      <c r="M1408" s="86">
        <v>0</v>
      </c>
      <c r="N1408" s="86"/>
      <c r="O1408" s="86">
        <v>0</v>
      </c>
      <c r="P1408" s="86">
        <v>10395329.5</v>
      </c>
      <c r="Q1408" s="86">
        <v>360</v>
      </c>
      <c r="R1408" s="87">
        <f t="shared" si="470"/>
        <v>360</v>
      </c>
      <c r="T1408" s="87">
        <v>98</v>
      </c>
      <c r="U1408" s="89"/>
      <c r="V1408" s="89">
        <v>139</v>
      </c>
      <c r="W1408" s="90"/>
      <c r="X1408" s="90">
        <v>0</v>
      </c>
      <c r="Y1408" s="90">
        <v>10913163.5</v>
      </c>
      <c r="Z1408" s="90">
        <v>0</v>
      </c>
      <c r="AA1408" s="90">
        <v>210</v>
      </c>
      <c r="AB1408" s="89">
        <f t="shared" si="456"/>
        <v>0</v>
      </c>
      <c r="AC1408" s="89">
        <f t="shared" si="457"/>
        <v>360</v>
      </c>
      <c r="AD1408" s="89">
        <f t="shared" si="458"/>
        <v>139</v>
      </c>
      <c r="AF1408" s="90" t="str">
        <f t="shared" si="460"/>
        <v/>
      </c>
      <c r="AG1408" s="90">
        <f t="shared" si="461"/>
        <v>360</v>
      </c>
      <c r="AH1408" s="90">
        <f t="shared" si="462"/>
        <v>2018</v>
      </c>
      <c r="AI1408" s="90">
        <f t="shared" si="463"/>
        <v>139</v>
      </c>
      <c r="AJ1408" s="90">
        <f t="shared" si="464"/>
        <v>2020</v>
      </c>
      <c r="AK1408" s="90" t="str">
        <f t="shared" si="465"/>
        <v>Adjust</v>
      </c>
      <c r="AL1408" s="91">
        <f>IF(AK1408="Adjust",(_xlfn.XLOOKUP(A1408,'Adj factor'!A:A,'Adj factor'!I:I,,0)*AI1408),'Master DataSheet (Rev)'!AI1408)</f>
        <v>159.7525115605377</v>
      </c>
      <c r="AM1408" s="91">
        <f t="shared" si="466"/>
        <v>360</v>
      </c>
      <c r="AN1408" s="92" t="str">
        <f t="shared" si="467"/>
        <v>Decreasing</v>
      </c>
      <c r="AS1408" s="94">
        <f t="shared" si="468"/>
        <v>0</v>
      </c>
      <c r="AT1408" s="94">
        <f t="shared" si="469"/>
        <v>0.34630936902962045</v>
      </c>
      <c r="AU1408" s="94">
        <f t="shared" si="454"/>
        <v>0.1463851536362831</v>
      </c>
      <c r="AV1408" s="94">
        <f t="shared" si="455"/>
        <v>0.32987685009942352</v>
      </c>
    </row>
    <row r="1409" spans="1:48" x14ac:dyDescent="0.3">
      <c r="A1409" s="85" t="str">
        <f>_xlfn.XLOOKUP(B1409,'Country codes &amp; Data sources'!G:G,'Country codes &amp; Data sources'!H:H,,0)</f>
        <v>South Sudan</v>
      </c>
      <c r="B1409" s="85" t="s">
        <v>188</v>
      </c>
      <c r="C1409" s="85">
        <v>10701614.5</v>
      </c>
      <c r="D1409" s="85" t="s">
        <v>336</v>
      </c>
      <c r="E1409" s="86">
        <v>0</v>
      </c>
      <c r="F1409" s="86">
        <v>11106031.000000004</v>
      </c>
      <c r="G1409" s="86">
        <v>0</v>
      </c>
      <c r="H1409" s="86"/>
      <c r="I1409" s="86">
        <v>0</v>
      </c>
      <c r="J1409" s="86"/>
      <c r="K1409" s="86">
        <v>0</v>
      </c>
      <c r="L1409" s="86"/>
      <c r="M1409" s="86">
        <v>0</v>
      </c>
      <c r="N1409" s="86"/>
      <c r="O1409" s="86">
        <v>0</v>
      </c>
      <c r="P1409" s="86">
        <v>10395329.5</v>
      </c>
      <c r="Q1409" s="86">
        <v>0</v>
      </c>
      <c r="R1409" s="87">
        <f t="shared" si="470"/>
        <v>150</v>
      </c>
      <c r="T1409" s="87">
        <v>253</v>
      </c>
      <c r="U1409" s="89"/>
      <c r="V1409" s="89">
        <v>291</v>
      </c>
      <c r="W1409" s="90"/>
      <c r="X1409" s="90">
        <v>0</v>
      </c>
      <c r="Y1409" s="90">
        <v>10913163.5</v>
      </c>
      <c r="Z1409" s="90">
        <v>0</v>
      </c>
      <c r="AA1409" s="90">
        <v>150</v>
      </c>
      <c r="AB1409" s="89">
        <f t="shared" si="456"/>
        <v>0</v>
      </c>
      <c r="AC1409" s="89">
        <f t="shared" si="457"/>
        <v>253</v>
      </c>
      <c r="AD1409" s="89">
        <f t="shared" si="458"/>
        <v>291</v>
      </c>
      <c r="AF1409" s="90" t="str">
        <f t="shared" si="460"/>
        <v/>
      </c>
      <c r="AG1409" s="90">
        <f t="shared" si="461"/>
        <v>150</v>
      </c>
      <c r="AH1409" s="90" t="str">
        <f t="shared" si="462"/>
        <v>2018 (triag)</v>
      </c>
      <c r="AI1409" s="90">
        <f t="shared" si="463"/>
        <v>291</v>
      </c>
      <c r="AJ1409" s="90">
        <f t="shared" si="464"/>
        <v>2020</v>
      </c>
      <c r="AK1409" s="90" t="str">
        <f t="shared" si="465"/>
        <v/>
      </c>
      <c r="AL1409" s="91">
        <f>IF(AK1409="Adjust",(_xlfn.XLOOKUP(A1409,'Adj factor'!A:A,'Adj factor'!I:I,,0)*AI1409),'Master DataSheet (Rev)'!AI1409)</f>
        <v>291</v>
      </c>
      <c r="AM1409" s="91">
        <f t="shared" si="466"/>
        <v>291</v>
      </c>
      <c r="AN1409" s="92" t="str">
        <f t="shared" si="467"/>
        <v>Increasing</v>
      </c>
      <c r="AS1409" s="94">
        <f t="shared" si="468"/>
        <v>0</v>
      </c>
      <c r="AT1409" s="94">
        <f t="shared" si="469"/>
        <v>0.14429557042900854</v>
      </c>
      <c r="AU1409" s="94">
        <f t="shared" si="454"/>
        <v>0.26665045383036734</v>
      </c>
      <c r="AV1409" s="94">
        <f t="shared" si="455"/>
        <v>0.26665045383036734</v>
      </c>
    </row>
    <row r="1410" spans="1:48" x14ac:dyDescent="0.3">
      <c r="A1410" s="85" t="str">
        <f>_xlfn.XLOOKUP(B1410,'Country codes &amp; Data sources'!G:G,'Country codes &amp; Data sources'!H:H,,0)</f>
        <v>South Sudan</v>
      </c>
      <c r="B1410" s="85" t="s">
        <v>188</v>
      </c>
      <c r="C1410" s="85">
        <v>10701615.5</v>
      </c>
      <c r="D1410" s="85" t="s">
        <v>337</v>
      </c>
      <c r="E1410" s="86">
        <v>0</v>
      </c>
      <c r="F1410" s="86">
        <v>11106031.000000004</v>
      </c>
      <c r="G1410" s="86">
        <v>0</v>
      </c>
      <c r="H1410" s="86"/>
      <c r="I1410" s="86">
        <v>0</v>
      </c>
      <c r="J1410" s="86"/>
      <c r="K1410" s="86">
        <v>0</v>
      </c>
      <c r="L1410" s="86"/>
      <c r="M1410" s="86">
        <v>0</v>
      </c>
      <c r="N1410" s="86"/>
      <c r="O1410" s="86">
        <v>0</v>
      </c>
      <c r="P1410" s="86">
        <v>10395329.5</v>
      </c>
      <c r="Q1410" s="86">
        <v>32</v>
      </c>
      <c r="R1410" s="87">
        <f t="shared" si="470"/>
        <v>32</v>
      </c>
      <c r="T1410" s="87">
        <v>20</v>
      </c>
      <c r="U1410" s="89"/>
      <c r="V1410" s="89">
        <v>28</v>
      </c>
      <c r="W1410" s="90"/>
      <c r="X1410" s="90">
        <v>0</v>
      </c>
      <c r="Y1410" s="90">
        <v>10913163.5</v>
      </c>
      <c r="Z1410" s="90">
        <v>0</v>
      </c>
      <c r="AA1410" s="90">
        <v>20</v>
      </c>
      <c r="AB1410" s="89">
        <f t="shared" si="456"/>
        <v>0</v>
      </c>
      <c r="AC1410" s="89">
        <f t="shared" si="457"/>
        <v>32</v>
      </c>
      <c r="AD1410" s="89">
        <f t="shared" si="458"/>
        <v>28</v>
      </c>
      <c r="AF1410" s="90" t="str">
        <f t="shared" si="460"/>
        <v/>
      </c>
      <c r="AG1410" s="90">
        <f t="shared" si="461"/>
        <v>32</v>
      </c>
      <c r="AH1410" s="90">
        <f t="shared" si="462"/>
        <v>2018</v>
      </c>
      <c r="AI1410" s="90">
        <f t="shared" si="463"/>
        <v>28</v>
      </c>
      <c r="AJ1410" s="90">
        <f t="shared" si="464"/>
        <v>2020</v>
      </c>
      <c r="AK1410" s="90" t="str">
        <f t="shared" si="465"/>
        <v>Adjust</v>
      </c>
      <c r="AL1410" s="91">
        <f>IF(AK1410="Adjust",(_xlfn.XLOOKUP(A1410,'Adj factor'!A:A,'Adj factor'!I:I,,0)*AI1410),'Master DataSheet (Rev)'!AI1410)</f>
        <v>32.180362040971623</v>
      </c>
      <c r="AM1410" s="91">
        <f t="shared" si="466"/>
        <v>32.180362040971623</v>
      </c>
      <c r="AN1410" s="92" t="str">
        <f t="shared" si="467"/>
        <v>Increasing</v>
      </c>
      <c r="AS1410" s="94">
        <f t="shared" si="468"/>
        <v>0</v>
      </c>
      <c r="AT1410" s="94">
        <f t="shared" si="469"/>
        <v>3.0783055024855153E-2</v>
      </c>
      <c r="AU1410" s="94">
        <f t="shared" si="454"/>
        <v>2.9487656847596595E-2</v>
      </c>
      <c r="AV1410" s="94">
        <f t="shared" si="455"/>
        <v>2.9487656847596595E-2</v>
      </c>
    </row>
    <row r="1411" spans="1:48" x14ac:dyDescent="0.3">
      <c r="A1411" s="85" t="str">
        <f>_xlfn.XLOOKUP(B1411,'Country codes &amp; Data sources'!G:G,'Country codes &amp; Data sources'!H:H,,0)</f>
        <v>South Sudan</v>
      </c>
      <c r="B1411" s="85" t="s">
        <v>188</v>
      </c>
      <c r="C1411" s="85">
        <v>10701616.5</v>
      </c>
      <c r="D1411" s="85" t="s">
        <v>338</v>
      </c>
      <c r="E1411" s="86">
        <v>0</v>
      </c>
      <c r="F1411" s="86">
        <v>11106031.000000004</v>
      </c>
      <c r="G1411" s="86">
        <v>0</v>
      </c>
      <c r="H1411" s="86"/>
      <c r="I1411" s="86">
        <v>0</v>
      </c>
      <c r="J1411" s="86"/>
      <c r="K1411" s="86">
        <v>0</v>
      </c>
      <c r="L1411" s="86"/>
      <c r="M1411" s="86">
        <v>0</v>
      </c>
      <c r="N1411" s="86"/>
      <c r="O1411" s="86">
        <v>0</v>
      </c>
      <c r="P1411" s="86">
        <v>10395329.5</v>
      </c>
      <c r="Q1411" s="86">
        <v>22</v>
      </c>
      <c r="R1411" s="87">
        <f t="shared" si="470"/>
        <v>22</v>
      </c>
      <c r="T1411" s="87">
        <v>96</v>
      </c>
      <c r="U1411" s="89"/>
      <c r="V1411" s="89">
        <v>128</v>
      </c>
      <c r="W1411" s="90"/>
      <c r="X1411" s="90">
        <v>0</v>
      </c>
      <c r="Y1411" s="90">
        <v>10913163.5</v>
      </c>
      <c r="Z1411" s="90">
        <v>0</v>
      </c>
      <c r="AA1411" s="90">
        <v>12</v>
      </c>
      <c r="AB1411" s="89">
        <f t="shared" si="456"/>
        <v>0</v>
      </c>
      <c r="AC1411" s="89">
        <f t="shared" si="457"/>
        <v>96</v>
      </c>
      <c r="AD1411" s="89">
        <f t="shared" si="458"/>
        <v>128</v>
      </c>
      <c r="AF1411" s="90" t="str">
        <f t="shared" si="460"/>
        <v/>
      </c>
      <c r="AG1411" s="90">
        <f t="shared" si="461"/>
        <v>22</v>
      </c>
      <c r="AH1411" s="90">
        <f t="shared" si="462"/>
        <v>2018</v>
      </c>
      <c r="AI1411" s="90">
        <f t="shared" si="463"/>
        <v>128</v>
      </c>
      <c r="AJ1411" s="90">
        <f t="shared" si="464"/>
        <v>2020</v>
      </c>
      <c r="AK1411" s="90" t="str">
        <f t="shared" si="465"/>
        <v/>
      </c>
      <c r="AL1411" s="91">
        <f>IF(AK1411="Adjust",(_xlfn.XLOOKUP(A1411,'Adj factor'!A:A,'Adj factor'!I:I,,0)*AI1411),'Master DataSheet (Rev)'!AI1411)</f>
        <v>128</v>
      </c>
      <c r="AM1411" s="91">
        <f t="shared" si="466"/>
        <v>128</v>
      </c>
      <c r="AN1411" s="92" t="str">
        <f t="shared" si="467"/>
        <v>Increasing</v>
      </c>
      <c r="AS1411" s="94">
        <f t="shared" si="468"/>
        <v>0</v>
      </c>
      <c r="AT1411" s="94">
        <f t="shared" si="469"/>
        <v>2.1163350329587917E-2</v>
      </c>
      <c r="AU1411" s="94">
        <f t="shared" ref="AU1411:AU1474" si="471">(AL1411*10000)/Y1411</f>
        <v>0.11728954670201724</v>
      </c>
      <c r="AV1411" s="94">
        <f t="shared" ref="AV1411:AV1474" si="472">(AM1411*10000)/Y1411</f>
        <v>0.11728954670201724</v>
      </c>
    </row>
    <row r="1412" spans="1:48" x14ac:dyDescent="0.3">
      <c r="A1412" s="85" t="str">
        <f>_xlfn.XLOOKUP(B1412,'Country codes &amp; Data sources'!G:G,'Country codes &amp; Data sources'!H:H,,0)</f>
        <v>South Sudan</v>
      </c>
      <c r="B1412" s="85" t="s">
        <v>188</v>
      </c>
      <c r="C1412" s="85">
        <v>10701617.5</v>
      </c>
      <c r="D1412" s="85" t="s">
        <v>339</v>
      </c>
      <c r="E1412" s="86">
        <v>0</v>
      </c>
      <c r="F1412" s="86">
        <v>11106031.000000004</v>
      </c>
      <c r="G1412" s="86">
        <v>0</v>
      </c>
      <c r="H1412" s="86"/>
      <c r="I1412" s="86">
        <v>0</v>
      </c>
      <c r="J1412" s="86"/>
      <c r="K1412" s="86">
        <v>0</v>
      </c>
      <c r="L1412" s="86"/>
      <c r="M1412" s="86">
        <v>0</v>
      </c>
      <c r="N1412" s="86"/>
      <c r="O1412" s="86">
        <v>0</v>
      </c>
      <c r="P1412" s="86">
        <v>10395329.5</v>
      </c>
      <c r="Q1412" s="86">
        <v>0</v>
      </c>
      <c r="R1412" s="87">
        <f t="shared" si="470"/>
        <v>0</v>
      </c>
      <c r="T1412" s="87">
        <v>0</v>
      </c>
      <c r="U1412" s="89"/>
      <c r="V1412" s="89">
        <v>0</v>
      </c>
      <c r="W1412" s="90"/>
      <c r="X1412" s="90">
        <v>0</v>
      </c>
      <c r="Y1412" s="90">
        <v>10913163.5</v>
      </c>
      <c r="Z1412" s="90">
        <v>0</v>
      </c>
      <c r="AA1412" s="90">
        <v>0</v>
      </c>
      <c r="AB1412" s="89">
        <f t="shared" si="456"/>
        <v>0</v>
      </c>
      <c r="AC1412" s="89">
        <f t="shared" si="457"/>
        <v>0</v>
      </c>
      <c r="AD1412" s="89">
        <f t="shared" si="458"/>
        <v>0</v>
      </c>
      <c r="AF1412" s="90" t="str">
        <f t="shared" si="460"/>
        <v/>
      </c>
      <c r="AH1412" s="90" t="str">
        <f t="shared" si="462"/>
        <v/>
      </c>
      <c r="AI1412" s="90">
        <f t="shared" si="463"/>
        <v>0</v>
      </c>
      <c r="AJ1412" s="90" t="str">
        <f t="shared" si="464"/>
        <v/>
      </c>
      <c r="AK1412" s="90" t="str">
        <f t="shared" si="465"/>
        <v/>
      </c>
      <c r="AL1412" s="91"/>
      <c r="AM1412" s="91">
        <f t="shared" si="466"/>
        <v>0</v>
      </c>
      <c r="AN1412" s="92" t="str">
        <f t="shared" si="467"/>
        <v>No change</v>
      </c>
      <c r="AS1412" s="94">
        <f t="shared" si="468"/>
        <v>0</v>
      </c>
      <c r="AT1412" s="94">
        <f t="shared" si="469"/>
        <v>0</v>
      </c>
      <c r="AU1412" s="94">
        <f t="shared" si="471"/>
        <v>0</v>
      </c>
      <c r="AV1412" s="94">
        <f t="shared" si="472"/>
        <v>0</v>
      </c>
    </row>
    <row r="1413" spans="1:48" x14ac:dyDescent="0.3">
      <c r="A1413" s="85" t="str">
        <f>_xlfn.XLOOKUP(B1413,'Country codes &amp; Data sources'!G:G,'Country codes &amp; Data sources'!H:H,,0)</f>
        <v>Sao Tome and Principe</v>
      </c>
      <c r="B1413" s="85" t="s">
        <v>153</v>
      </c>
      <c r="C1413" s="85">
        <v>189924.5</v>
      </c>
      <c r="D1413" s="85" t="s">
        <v>326</v>
      </c>
      <c r="E1413" s="86">
        <v>0</v>
      </c>
      <c r="F1413" s="86">
        <v>193756.99999999997</v>
      </c>
      <c r="G1413" s="86">
        <v>0</v>
      </c>
      <c r="H1413" s="86">
        <v>197496.99999999994</v>
      </c>
      <c r="I1413" s="86">
        <v>0</v>
      </c>
      <c r="J1413" s="86">
        <v>201123.50000000012</v>
      </c>
      <c r="K1413" s="86">
        <v>63</v>
      </c>
      <c r="L1413" s="86">
        <v>204632.49999999985</v>
      </c>
      <c r="M1413" s="86">
        <v>0</v>
      </c>
      <c r="N1413" s="86">
        <v>208036.50000000012</v>
      </c>
      <c r="O1413" s="86">
        <v>0</v>
      </c>
      <c r="P1413" s="86">
        <v>211344</v>
      </c>
      <c r="Q1413" s="86">
        <v>0</v>
      </c>
      <c r="R1413" s="87">
        <f t="shared" si="470"/>
        <v>60</v>
      </c>
      <c r="S1413" s="87">
        <v>214599.00000000006</v>
      </c>
      <c r="T1413" s="87">
        <v>105</v>
      </c>
      <c r="U1413" s="89">
        <v>218640.99999999997</v>
      </c>
      <c r="V1413" s="89">
        <v>0</v>
      </c>
      <c r="W1413" s="90">
        <v>223107.49999999991</v>
      </c>
      <c r="X1413" s="90">
        <v>0</v>
      </c>
      <c r="Y1413" s="90">
        <v>227379.5</v>
      </c>
      <c r="Z1413" s="90">
        <v>0</v>
      </c>
      <c r="AA1413" s="90">
        <v>60</v>
      </c>
      <c r="AB1413" s="89">
        <f t="shared" si="456"/>
        <v>63</v>
      </c>
      <c r="AC1413" s="89">
        <f t="shared" si="457"/>
        <v>105</v>
      </c>
      <c r="AD1413" s="89">
        <f t="shared" si="458"/>
        <v>0</v>
      </c>
      <c r="AE1413" s="90">
        <f t="shared" si="459"/>
        <v>63</v>
      </c>
      <c r="AF1413" s="90">
        <f t="shared" si="460"/>
        <v>2015</v>
      </c>
      <c r="AG1413" s="90">
        <f t="shared" si="461"/>
        <v>60</v>
      </c>
      <c r="AH1413" s="90" t="str">
        <f t="shared" si="462"/>
        <v>2018 (triag)</v>
      </c>
      <c r="AI1413" s="90">
        <f t="shared" si="463"/>
        <v>105</v>
      </c>
      <c r="AJ1413" s="90" t="str">
        <f t="shared" si="464"/>
        <v>2018 (triag)</v>
      </c>
      <c r="AK1413" s="90" t="str">
        <f t="shared" si="465"/>
        <v/>
      </c>
      <c r="AL1413" s="91">
        <f>IF(AK1413="Adjust",(_xlfn.XLOOKUP(A1413,'Adj factor'!A:A,'Adj factor'!I:I,,0)*AI1413),'Master DataSheet (Rev)'!AI1413)</f>
        <v>105</v>
      </c>
      <c r="AM1413" s="91">
        <f t="shared" si="466"/>
        <v>105</v>
      </c>
      <c r="AN1413" s="92" t="str">
        <f t="shared" si="467"/>
        <v>Increasing</v>
      </c>
      <c r="AS1413" s="94">
        <f t="shared" si="468"/>
        <v>3.2514954298425351</v>
      </c>
      <c r="AT1413" s="94">
        <f t="shared" si="469"/>
        <v>2.8389734272087215</v>
      </c>
      <c r="AU1413" s="94">
        <f t="shared" si="471"/>
        <v>4.6178305432107996</v>
      </c>
      <c r="AV1413" s="94">
        <f t="shared" si="472"/>
        <v>4.6178305432107996</v>
      </c>
    </row>
    <row r="1414" spans="1:48" x14ac:dyDescent="0.3">
      <c r="A1414" s="85" t="str">
        <f>_xlfn.XLOOKUP(B1414,'Country codes &amp; Data sources'!G:G,'Country codes &amp; Data sources'!H:H,,0)</f>
        <v>Sao Tome and Principe</v>
      </c>
      <c r="B1414" s="85" t="s">
        <v>153</v>
      </c>
      <c r="C1414" s="85">
        <v>189925.5</v>
      </c>
      <c r="D1414" s="85" t="s">
        <v>327</v>
      </c>
      <c r="E1414" s="86">
        <v>0</v>
      </c>
      <c r="F1414" s="86">
        <v>193756.99999999997</v>
      </c>
      <c r="G1414" s="86">
        <v>0</v>
      </c>
      <c r="H1414" s="86"/>
      <c r="I1414" s="86">
        <v>0</v>
      </c>
      <c r="J1414" s="86"/>
      <c r="K1414" s="86">
        <v>0</v>
      </c>
      <c r="L1414" s="86"/>
      <c r="M1414" s="86">
        <v>0</v>
      </c>
      <c r="N1414" s="86"/>
      <c r="O1414" s="86">
        <v>0</v>
      </c>
      <c r="P1414" s="86">
        <v>211344</v>
      </c>
      <c r="Q1414" s="86">
        <v>0</v>
      </c>
      <c r="R1414" s="87">
        <f t="shared" si="470"/>
        <v>40</v>
      </c>
      <c r="T1414" s="87">
        <v>0</v>
      </c>
      <c r="U1414" s="89"/>
      <c r="V1414" s="89">
        <v>0</v>
      </c>
      <c r="W1414" s="90"/>
      <c r="X1414" s="90">
        <v>0</v>
      </c>
      <c r="Y1414" s="90">
        <v>227379.5</v>
      </c>
      <c r="Z1414" s="90">
        <v>0</v>
      </c>
      <c r="AA1414" s="90">
        <v>40</v>
      </c>
      <c r="AB1414" s="89">
        <f t="shared" si="456"/>
        <v>0</v>
      </c>
      <c r="AC1414" s="89">
        <f t="shared" si="457"/>
        <v>0</v>
      </c>
      <c r="AD1414" s="89">
        <f t="shared" si="458"/>
        <v>0</v>
      </c>
      <c r="AF1414" s="90" t="str">
        <f t="shared" si="460"/>
        <v/>
      </c>
      <c r="AG1414" s="90">
        <f t="shared" si="461"/>
        <v>40</v>
      </c>
      <c r="AH1414" s="90" t="str">
        <f t="shared" si="462"/>
        <v>2018 (triag)</v>
      </c>
      <c r="AI1414" s="90">
        <f t="shared" si="463"/>
        <v>40</v>
      </c>
      <c r="AJ1414" s="90" t="str">
        <f t="shared" si="464"/>
        <v>2018 (triag)</v>
      </c>
      <c r="AK1414" s="90" t="str">
        <f t="shared" si="465"/>
        <v/>
      </c>
      <c r="AL1414" s="91">
        <f>IF(AK1414="Adjust",(_xlfn.XLOOKUP(A1414,'Adj factor'!A:A,'Adj factor'!I:I,,0)*AI1414),'Master DataSheet (Rev)'!AI1414)</f>
        <v>40</v>
      </c>
      <c r="AM1414" s="91">
        <f t="shared" si="466"/>
        <v>40</v>
      </c>
      <c r="AN1414" s="92" t="str">
        <f t="shared" si="467"/>
        <v>No change</v>
      </c>
      <c r="AS1414" s="94">
        <f t="shared" si="468"/>
        <v>0</v>
      </c>
      <c r="AT1414" s="94">
        <f t="shared" si="469"/>
        <v>1.8926489514724809</v>
      </c>
      <c r="AU1414" s="94">
        <f t="shared" si="471"/>
        <v>1.7591735402707809</v>
      </c>
      <c r="AV1414" s="94">
        <f t="shared" si="472"/>
        <v>1.7591735402707809</v>
      </c>
    </row>
    <row r="1415" spans="1:48" x14ac:dyDescent="0.3">
      <c r="A1415" s="85" t="str">
        <f>_xlfn.XLOOKUP(B1415,'Country codes &amp; Data sources'!G:G,'Country codes &amp; Data sources'!H:H,,0)</f>
        <v>Sao Tome and Principe</v>
      </c>
      <c r="B1415" s="85" t="s">
        <v>153</v>
      </c>
      <c r="C1415" s="85">
        <v>189926.5</v>
      </c>
      <c r="D1415" s="85" t="s">
        <v>328</v>
      </c>
      <c r="E1415" s="86">
        <v>0</v>
      </c>
      <c r="F1415" s="86">
        <v>193756.99999999997</v>
      </c>
      <c r="G1415" s="86">
        <v>0</v>
      </c>
      <c r="H1415" s="86"/>
      <c r="I1415" s="86">
        <v>0</v>
      </c>
      <c r="J1415" s="86"/>
      <c r="K1415" s="86">
        <v>0</v>
      </c>
      <c r="L1415" s="86"/>
      <c r="M1415" s="86">
        <v>0</v>
      </c>
      <c r="N1415" s="86"/>
      <c r="O1415" s="86">
        <v>0</v>
      </c>
      <c r="P1415" s="86">
        <v>211344</v>
      </c>
      <c r="Q1415" s="86">
        <v>0</v>
      </c>
      <c r="R1415" s="87">
        <f t="shared" si="470"/>
        <v>20</v>
      </c>
      <c r="T1415" s="87">
        <v>0</v>
      </c>
      <c r="U1415" s="89"/>
      <c r="V1415" s="89">
        <v>0</v>
      </c>
      <c r="W1415" s="90"/>
      <c r="X1415" s="90">
        <v>0</v>
      </c>
      <c r="Y1415" s="90">
        <v>227379.5</v>
      </c>
      <c r="Z1415" s="90">
        <v>0</v>
      </c>
      <c r="AA1415" s="90">
        <v>20</v>
      </c>
      <c r="AB1415" s="89">
        <f t="shared" si="456"/>
        <v>0</v>
      </c>
      <c r="AC1415" s="89">
        <f t="shared" si="457"/>
        <v>0</v>
      </c>
      <c r="AD1415" s="89">
        <f t="shared" si="458"/>
        <v>0</v>
      </c>
      <c r="AF1415" s="90" t="str">
        <f t="shared" si="460"/>
        <v/>
      </c>
      <c r="AG1415" s="90">
        <f t="shared" si="461"/>
        <v>20</v>
      </c>
      <c r="AH1415" s="90" t="str">
        <f t="shared" si="462"/>
        <v>2018 (triag)</v>
      </c>
      <c r="AI1415" s="90">
        <f t="shared" si="463"/>
        <v>20</v>
      </c>
      <c r="AJ1415" s="90" t="str">
        <f t="shared" si="464"/>
        <v>2018 (triag)</v>
      </c>
      <c r="AK1415" s="90" t="str">
        <f t="shared" si="465"/>
        <v/>
      </c>
      <c r="AL1415" s="91">
        <f>IF(AK1415="Adjust",(_xlfn.XLOOKUP(A1415,'Adj factor'!A:A,'Adj factor'!I:I,,0)*AI1415),'Master DataSheet (Rev)'!AI1415)</f>
        <v>20</v>
      </c>
      <c r="AM1415" s="91">
        <f t="shared" si="466"/>
        <v>20</v>
      </c>
      <c r="AN1415" s="92" t="str">
        <f t="shared" si="467"/>
        <v>No change</v>
      </c>
      <c r="AS1415" s="94">
        <f t="shared" si="468"/>
        <v>0</v>
      </c>
      <c r="AT1415" s="94">
        <f t="shared" si="469"/>
        <v>0.94632447573624046</v>
      </c>
      <c r="AU1415" s="94">
        <f t="shared" si="471"/>
        <v>0.87958677013539044</v>
      </c>
      <c r="AV1415" s="94">
        <f t="shared" si="472"/>
        <v>0.87958677013539044</v>
      </c>
    </row>
    <row r="1416" spans="1:48" x14ac:dyDescent="0.3">
      <c r="A1416" s="85" t="str">
        <f>_xlfn.XLOOKUP(B1416,'Country codes &amp; Data sources'!G:G,'Country codes &amp; Data sources'!H:H,,0)</f>
        <v>Sao Tome and Principe</v>
      </c>
      <c r="B1416" s="85" t="s">
        <v>153</v>
      </c>
      <c r="C1416" s="85">
        <v>189927.5</v>
      </c>
      <c r="D1416" s="85" t="s">
        <v>329</v>
      </c>
      <c r="E1416" s="86">
        <v>0</v>
      </c>
      <c r="F1416" s="86">
        <v>193756.99999999997</v>
      </c>
      <c r="G1416" s="86">
        <v>0</v>
      </c>
      <c r="H1416" s="86"/>
      <c r="I1416" s="86">
        <v>0</v>
      </c>
      <c r="J1416" s="86"/>
      <c r="K1416" s="86">
        <v>442</v>
      </c>
      <c r="L1416" s="86"/>
      <c r="M1416" s="86">
        <v>0</v>
      </c>
      <c r="N1416" s="86"/>
      <c r="O1416" s="86">
        <v>0</v>
      </c>
      <c r="P1416" s="86">
        <v>211344</v>
      </c>
      <c r="Q1416" s="86">
        <v>406</v>
      </c>
      <c r="R1416" s="87">
        <f t="shared" si="470"/>
        <v>406</v>
      </c>
      <c r="T1416" s="87">
        <v>440</v>
      </c>
      <c r="U1416" s="89"/>
      <c r="V1416" s="89">
        <v>0</v>
      </c>
      <c r="W1416" s="90"/>
      <c r="X1416" s="90">
        <v>0</v>
      </c>
      <c r="Y1416" s="90">
        <v>227379.5</v>
      </c>
      <c r="Z1416" s="90">
        <v>0</v>
      </c>
      <c r="AA1416" s="90">
        <v>206</v>
      </c>
      <c r="AB1416" s="89">
        <f t="shared" si="456"/>
        <v>442</v>
      </c>
      <c r="AC1416" s="89">
        <f t="shared" si="457"/>
        <v>440</v>
      </c>
      <c r="AD1416" s="89">
        <f t="shared" si="458"/>
        <v>0</v>
      </c>
      <c r="AE1416" s="90">
        <f t="shared" si="459"/>
        <v>442</v>
      </c>
      <c r="AF1416" s="90">
        <f t="shared" si="460"/>
        <v>2015</v>
      </c>
      <c r="AG1416" s="90">
        <f t="shared" si="461"/>
        <v>406</v>
      </c>
      <c r="AH1416" s="90">
        <f t="shared" si="462"/>
        <v>2018</v>
      </c>
      <c r="AI1416" s="90">
        <f t="shared" si="463"/>
        <v>440</v>
      </c>
      <c r="AJ1416" s="90">
        <f t="shared" si="464"/>
        <v>2018</v>
      </c>
      <c r="AK1416" s="90" t="str">
        <f t="shared" si="465"/>
        <v/>
      </c>
      <c r="AL1416" s="91">
        <f>IF(AK1416="Adjust",(_xlfn.XLOOKUP(A1416,'Adj factor'!A:A,'Adj factor'!I:I,,0)*AI1416),'Master DataSheet (Rev)'!AI1416)</f>
        <v>440</v>
      </c>
      <c r="AM1416" s="91">
        <f t="shared" si="466"/>
        <v>440</v>
      </c>
      <c r="AN1416" s="92" t="str">
        <f t="shared" si="467"/>
        <v>Increasing</v>
      </c>
      <c r="AS1416" s="94">
        <f t="shared" si="468"/>
        <v>22.812079047466675</v>
      </c>
      <c r="AT1416" s="94">
        <f t="shared" si="469"/>
        <v>19.21038685744568</v>
      </c>
      <c r="AU1416" s="94">
        <f t="shared" si="471"/>
        <v>19.350908942978588</v>
      </c>
      <c r="AV1416" s="94">
        <f t="shared" si="472"/>
        <v>19.350908942978588</v>
      </c>
    </row>
    <row r="1417" spans="1:48" x14ac:dyDescent="0.3">
      <c r="A1417" s="85" t="str">
        <f>_xlfn.XLOOKUP(B1417,'Country codes &amp; Data sources'!G:G,'Country codes &amp; Data sources'!H:H,,0)</f>
        <v>Sao Tome and Principe</v>
      </c>
      <c r="B1417" s="85" t="s">
        <v>153</v>
      </c>
      <c r="C1417" s="85">
        <v>189928.5</v>
      </c>
      <c r="D1417" s="85" t="s">
        <v>330</v>
      </c>
      <c r="E1417" s="86">
        <v>0</v>
      </c>
      <c r="F1417" s="86">
        <v>193756.99999999997</v>
      </c>
      <c r="G1417" s="86">
        <v>0</v>
      </c>
      <c r="H1417" s="86"/>
      <c r="I1417" s="86">
        <v>0</v>
      </c>
      <c r="J1417" s="86"/>
      <c r="K1417" s="86">
        <v>0</v>
      </c>
      <c r="L1417" s="86"/>
      <c r="M1417" s="86">
        <v>0</v>
      </c>
      <c r="N1417" s="86"/>
      <c r="O1417" s="86">
        <v>0</v>
      </c>
      <c r="P1417" s="86">
        <v>211344</v>
      </c>
      <c r="Q1417" s="86">
        <v>0</v>
      </c>
      <c r="R1417" s="87">
        <f t="shared" si="470"/>
        <v>206</v>
      </c>
      <c r="T1417" s="87">
        <v>0</v>
      </c>
      <c r="U1417" s="89"/>
      <c r="V1417" s="89">
        <v>0</v>
      </c>
      <c r="W1417" s="90"/>
      <c r="X1417" s="90">
        <v>0</v>
      </c>
      <c r="Y1417" s="90">
        <v>227379.5</v>
      </c>
      <c r="Z1417" s="90">
        <v>0</v>
      </c>
      <c r="AA1417" s="90">
        <v>206</v>
      </c>
      <c r="AB1417" s="89">
        <f t="shared" si="456"/>
        <v>0</v>
      </c>
      <c r="AC1417" s="89">
        <f t="shared" si="457"/>
        <v>0</v>
      </c>
      <c r="AD1417" s="89">
        <f t="shared" si="458"/>
        <v>0</v>
      </c>
      <c r="AF1417" s="90" t="str">
        <f t="shared" si="460"/>
        <v/>
      </c>
      <c r="AG1417" s="90">
        <f t="shared" si="461"/>
        <v>206</v>
      </c>
      <c r="AH1417" s="90" t="str">
        <f t="shared" si="462"/>
        <v>2018 (triag)</v>
      </c>
      <c r="AI1417" s="90">
        <f t="shared" si="463"/>
        <v>206</v>
      </c>
      <c r="AJ1417" s="90" t="str">
        <f t="shared" si="464"/>
        <v>2018 (triag)</v>
      </c>
      <c r="AK1417" s="90" t="str">
        <f t="shared" si="465"/>
        <v/>
      </c>
      <c r="AL1417" s="91">
        <f>IF(AK1417="Adjust",(_xlfn.XLOOKUP(A1417,'Adj factor'!A:A,'Adj factor'!I:I,,0)*AI1417),'Master DataSheet (Rev)'!AI1417)</f>
        <v>206</v>
      </c>
      <c r="AM1417" s="91">
        <f t="shared" si="466"/>
        <v>206</v>
      </c>
      <c r="AN1417" s="92" t="str">
        <f t="shared" si="467"/>
        <v>No change</v>
      </c>
      <c r="AS1417" s="94">
        <f t="shared" si="468"/>
        <v>0</v>
      </c>
      <c r="AT1417" s="94">
        <f t="shared" si="469"/>
        <v>9.747142100083277</v>
      </c>
      <c r="AU1417" s="94">
        <f t="shared" si="471"/>
        <v>9.0597437323945211</v>
      </c>
      <c r="AV1417" s="94">
        <f t="shared" si="472"/>
        <v>9.0597437323945211</v>
      </c>
    </row>
    <row r="1418" spans="1:48" x14ac:dyDescent="0.3">
      <c r="A1418" s="85" t="str">
        <f>_xlfn.XLOOKUP(B1418,'Country codes &amp; Data sources'!G:G,'Country codes &amp; Data sources'!H:H,,0)</f>
        <v>Sao Tome and Principe</v>
      </c>
      <c r="B1418" s="85" t="s">
        <v>153</v>
      </c>
      <c r="C1418" s="85">
        <v>189929.5</v>
      </c>
      <c r="D1418" s="85" t="s">
        <v>331</v>
      </c>
      <c r="E1418" s="86">
        <v>0</v>
      </c>
      <c r="F1418" s="86">
        <v>193756.99999999997</v>
      </c>
      <c r="G1418" s="86">
        <v>0</v>
      </c>
      <c r="H1418" s="86"/>
      <c r="I1418" s="86">
        <v>0</v>
      </c>
      <c r="J1418" s="86"/>
      <c r="K1418" s="86">
        <v>0</v>
      </c>
      <c r="L1418" s="86"/>
      <c r="M1418" s="86">
        <v>0</v>
      </c>
      <c r="N1418" s="86"/>
      <c r="O1418" s="86">
        <v>0</v>
      </c>
      <c r="P1418" s="86">
        <v>211344</v>
      </c>
      <c r="Q1418" s="86">
        <v>0</v>
      </c>
      <c r="R1418" s="87">
        <f t="shared" si="470"/>
        <v>0</v>
      </c>
      <c r="T1418" s="87">
        <v>0</v>
      </c>
      <c r="U1418" s="89"/>
      <c r="V1418" s="89">
        <v>0</v>
      </c>
      <c r="W1418" s="90"/>
      <c r="X1418" s="90">
        <v>0</v>
      </c>
      <c r="Y1418" s="90">
        <v>227379.5</v>
      </c>
      <c r="Z1418" s="90">
        <v>0</v>
      </c>
      <c r="AA1418" s="90">
        <v>0</v>
      </c>
      <c r="AB1418" s="89">
        <f t="shared" si="456"/>
        <v>0</v>
      </c>
      <c r="AC1418" s="89">
        <f t="shared" si="457"/>
        <v>0</v>
      </c>
      <c r="AD1418" s="89">
        <f t="shared" si="458"/>
        <v>0</v>
      </c>
      <c r="AF1418" s="90" t="str">
        <f t="shared" si="460"/>
        <v/>
      </c>
      <c r="AH1418" s="90" t="str">
        <f t="shared" si="462"/>
        <v/>
      </c>
      <c r="AI1418" s="90">
        <f t="shared" si="463"/>
        <v>0</v>
      </c>
      <c r="AJ1418" s="90" t="str">
        <f t="shared" si="464"/>
        <v/>
      </c>
      <c r="AK1418" s="90" t="str">
        <f t="shared" si="465"/>
        <v/>
      </c>
      <c r="AL1418" s="91"/>
      <c r="AM1418" s="91">
        <f t="shared" si="466"/>
        <v>0</v>
      </c>
      <c r="AN1418" s="92" t="str">
        <f t="shared" si="467"/>
        <v>No change</v>
      </c>
      <c r="AS1418" s="94">
        <f t="shared" si="468"/>
        <v>0</v>
      </c>
      <c r="AT1418" s="94">
        <f t="shared" si="469"/>
        <v>0</v>
      </c>
      <c r="AU1418" s="94">
        <f t="shared" si="471"/>
        <v>0</v>
      </c>
      <c r="AV1418" s="94">
        <f t="shared" si="472"/>
        <v>0</v>
      </c>
    </row>
    <row r="1419" spans="1:48" x14ac:dyDescent="0.3">
      <c r="A1419" s="85" t="str">
        <f>_xlfn.XLOOKUP(B1419,'Country codes &amp; Data sources'!G:G,'Country codes &amp; Data sources'!H:H,,0)</f>
        <v>Sao Tome and Principe</v>
      </c>
      <c r="B1419" s="85" t="s">
        <v>153</v>
      </c>
      <c r="C1419" s="85">
        <v>189930.5</v>
      </c>
      <c r="D1419" s="85" t="s">
        <v>332</v>
      </c>
      <c r="E1419" s="86">
        <v>0</v>
      </c>
      <c r="F1419" s="86">
        <v>193756.99999999997</v>
      </c>
      <c r="G1419" s="86">
        <v>31</v>
      </c>
      <c r="H1419" s="86"/>
      <c r="I1419" s="86">
        <v>0</v>
      </c>
      <c r="J1419" s="86"/>
      <c r="K1419" s="86">
        <v>0</v>
      </c>
      <c r="L1419" s="86"/>
      <c r="M1419" s="86">
        <v>0</v>
      </c>
      <c r="N1419" s="86"/>
      <c r="O1419" s="86">
        <v>0</v>
      </c>
      <c r="P1419" s="86">
        <v>211344</v>
      </c>
      <c r="Q1419" s="86">
        <v>0</v>
      </c>
      <c r="R1419" s="87">
        <f t="shared" si="470"/>
        <v>50</v>
      </c>
      <c r="T1419" s="87">
        <v>22</v>
      </c>
      <c r="U1419" s="89"/>
      <c r="V1419" s="89">
        <v>0</v>
      </c>
      <c r="W1419" s="90"/>
      <c r="X1419" s="90">
        <v>0</v>
      </c>
      <c r="Y1419" s="90">
        <v>227379.5</v>
      </c>
      <c r="Z1419" s="90">
        <v>0</v>
      </c>
      <c r="AA1419" s="90">
        <v>50</v>
      </c>
      <c r="AB1419" s="89">
        <f t="shared" si="456"/>
        <v>31</v>
      </c>
      <c r="AC1419" s="89">
        <f t="shared" si="457"/>
        <v>22</v>
      </c>
      <c r="AD1419" s="89">
        <f t="shared" si="458"/>
        <v>0</v>
      </c>
      <c r="AE1419" s="90">
        <f t="shared" si="459"/>
        <v>31</v>
      </c>
      <c r="AF1419" s="90">
        <f t="shared" si="460"/>
        <v>2013</v>
      </c>
      <c r="AG1419" s="90">
        <f t="shared" si="461"/>
        <v>50</v>
      </c>
      <c r="AH1419" s="90" t="str">
        <f t="shared" si="462"/>
        <v>2018 (triag)</v>
      </c>
      <c r="AI1419" s="90">
        <f t="shared" si="463"/>
        <v>22</v>
      </c>
      <c r="AJ1419" s="90" t="str">
        <f t="shared" si="464"/>
        <v>2018 (triag)</v>
      </c>
      <c r="AK1419" s="90" t="str">
        <f t="shared" si="465"/>
        <v>Adjust</v>
      </c>
      <c r="AL1419" s="91">
        <f>IF(AK1419="Adjust",(_xlfn.XLOOKUP(A1419,'Adj factor'!A:A,'Adj factor'!I:I,,0)*AI1419),'Master DataSheet (Rev)'!AI1419)</f>
        <v>25.284570175049133</v>
      </c>
      <c r="AM1419" s="91">
        <f t="shared" si="466"/>
        <v>50</v>
      </c>
      <c r="AN1419" s="92" t="str">
        <f t="shared" si="467"/>
        <v>Decreasing</v>
      </c>
      <c r="AS1419" s="94">
        <f t="shared" si="468"/>
        <v>1.599942195636803</v>
      </c>
      <c r="AT1419" s="94">
        <f t="shared" si="469"/>
        <v>2.3658111893406013</v>
      </c>
      <c r="AU1419" s="94">
        <f t="shared" si="471"/>
        <v>1.1119986707266545</v>
      </c>
      <c r="AV1419" s="94">
        <f t="shared" si="472"/>
        <v>2.198966925338476</v>
      </c>
    </row>
    <row r="1420" spans="1:48" x14ac:dyDescent="0.3">
      <c r="A1420" s="85" t="str">
        <f>_xlfn.XLOOKUP(B1420,'Country codes &amp; Data sources'!G:G,'Country codes &amp; Data sources'!H:H,,0)</f>
        <v>Sao Tome and Principe</v>
      </c>
      <c r="B1420" s="85" t="s">
        <v>153</v>
      </c>
      <c r="C1420" s="85">
        <v>189931.5</v>
      </c>
      <c r="D1420" s="85" t="s">
        <v>333</v>
      </c>
      <c r="E1420" s="86">
        <v>0</v>
      </c>
      <c r="F1420" s="86">
        <v>193756.99999999997</v>
      </c>
      <c r="G1420" s="86">
        <v>31</v>
      </c>
      <c r="H1420" s="86"/>
      <c r="I1420" s="86">
        <v>0</v>
      </c>
      <c r="J1420" s="86"/>
      <c r="K1420" s="86">
        <v>0</v>
      </c>
      <c r="L1420" s="86"/>
      <c r="M1420" s="86">
        <v>0</v>
      </c>
      <c r="N1420" s="86"/>
      <c r="O1420" s="86">
        <v>0</v>
      </c>
      <c r="P1420" s="86">
        <v>211344</v>
      </c>
      <c r="Q1420" s="86">
        <v>0</v>
      </c>
      <c r="R1420" s="87">
        <f t="shared" si="470"/>
        <v>50</v>
      </c>
      <c r="T1420" s="87">
        <v>0</v>
      </c>
      <c r="U1420" s="89"/>
      <c r="V1420" s="89">
        <v>0</v>
      </c>
      <c r="W1420" s="90"/>
      <c r="X1420" s="90">
        <v>0</v>
      </c>
      <c r="Y1420" s="90">
        <v>227379.5</v>
      </c>
      <c r="Z1420" s="90">
        <v>0</v>
      </c>
      <c r="AA1420" s="90">
        <v>50</v>
      </c>
      <c r="AB1420" s="89">
        <f t="shared" si="456"/>
        <v>31</v>
      </c>
      <c r="AC1420" s="89">
        <f t="shared" si="457"/>
        <v>0</v>
      </c>
      <c r="AD1420" s="89">
        <f t="shared" si="458"/>
        <v>0</v>
      </c>
      <c r="AE1420" s="90">
        <f t="shared" si="459"/>
        <v>31</v>
      </c>
      <c r="AF1420" s="90">
        <f t="shared" si="460"/>
        <v>2013</v>
      </c>
      <c r="AG1420" s="90">
        <f t="shared" si="461"/>
        <v>50</v>
      </c>
      <c r="AH1420" s="90" t="str">
        <f t="shared" si="462"/>
        <v>2018 (triag)</v>
      </c>
      <c r="AI1420" s="90">
        <f t="shared" si="463"/>
        <v>50</v>
      </c>
      <c r="AJ1420" s="90" t="str">
        <f t="shared" si="464"/>
        <v>2018 (triag)</v>
      </c>
      <c r="AK1420" s="90" t="str">
        <f t="shared" si="465"/>
        <v/>
      </c>
      <c r="AL1420" s="91">
        <f>IF(AK1420="Adjust",(_xlfn.XLOOKUP(A1420,'Adj factor'!A:A,'Adj factor'!I:I,,0)*AI1420),'Master DataSheet (Rev)'!AI1420)</f>
        <v>50</v>
      </c>
      <c r="AM1420" s="91">
        <f t="shared" si="466"/>
        <v>50</v>
      </c>
      <c r="AN1420" s="92" t="str">
        <f t="shared" si="467"/>
        <v>No change</v>
      </c>
      <c r="AS1420" s="94">
        <f t="shared" si="468"/>
        <v>1.599942195636803</v>
      </c>
      <c r="AT1420" s="94">
        <f t="shared" si="469"/>
        <v>2.3658111893406013</v>
      </c>
      <c r="AU1420" s="94">
        <f t="shared" si="471"/>
        <v>2.198966925338476</v>
      </c>
      <c r="AV1420" s="94">
        <f t="shared" si="472"/>
        <v>2.198966925338476</v>
      </c>
    </row>
    <row r="1421" spans="1:48" x14ac:dyDescent="0.3">
      <c r="A1421" s="85" t="str">
        <f>_xlfn.XLOOKUP(B1421,'Country codes &amp; Data sources'!G:G,'Country codes &amp; Data sources'!H:H,,0)</f>
        <v>Sao Tome and Principe</v>
      </c>
      <c r="B1421" s="85" t="s">
        <v>153</v>
      </c>
      <c r="C1421" s="85">
        <v>189932.5</v>
      </c>
      <c r="D1421" s="85" t="s">
        <v>334</v>
      </c>
      <c r="E1421" s="86">
        <v>0</v>
      </c>
      <c r="F1421" s="86">
        <v>193756.99999999997</v>
      </c>
      <c r="G1421" s="86">
        <v>0</v>
      </c>
      <c r="H1421" s="86"/>
      <c r="I1421" s="86">
        <v>0</v>
      </c>
      <c r="J1421" s="86"/>
      <c r="K1421" s="86">
        <v>0</v>
      </c>
      <c r="L1421" s="86"/>
      <c r="M1421" s="86">
        <v>0</v>
      </c>
      <c r="N1421" s="86"/>
      <c r="O1421" s="86">
        <v>0</v>
      </c>
      <c r="P1421" s="86">
        <v>211344</v>
      </c>
      <c r="Q1421" s="86">
        <v>0</v>
      </c>
      <c r="R1421" s="87">
        <f t="shared" si="470"/>
        <v>0</v>
      </c>
      <c r="T1421" s="87">
        <v>0</v>
      </c>
      <c r="U1421" s="89"/>
      <c r="V1421" s="89">
        <v>0</v>
      </c>
      <c r="W1421" s="90"/>
      <c r="X1421" s="90">
        <v>0</v>
      </c>
      <c r="Y1421" s="90">
        <v>227379.5</v>
      </c>
      <c r="Z1421" s="90">
        <v>0</v>
      </c>
      <c r="AA1421" s="90">
        <v>0</v>
      </c>
      <c r="AB1421" s="89">
        <f t="shared" si="456"/>
        <v>0</v>
      </c>
      <c r="AC1421" s="89">
        <f t="shared" si="457"/>
        <v>0</v>
      </c>
      <c r="AD1421" s="89">
        <f t="shared" si="458"/>
        <v>0</v>
      </c>
      <c r="AF1421" s="90" t="str">
        <f t="shared" si="460"/>
        <v/>
      </c>
      <c r="AH1421" s="90" t="str">
        <f t="shared" si="462"/>
        <v/>
      </c>
      <c r="AI1421" s="90">
        <f t="shared" si="463"/>
        <v>0</v>
      </c>
      <c r="AJ1421" s="90" t="str">
        <f t="shared" si="464"/>
        <v/>
      </c>
      <c r="AK1421" s="90" t="str">
        <f t="shared" si="465"/>
        <v/>
      </c>
      <c r="AL1421" s="91"/>
      <c r="AM1421" s="91">
        <f t="shared" si="466"/>
        <v>0</v>
      </c>
      <c r="AN1421" s="92" t="str">
        <f t="shared" si="467"/>
        <v>No change</v>
      </c>
      <c r="AS1421" s="94">
        <f t="shared" si="468"/>
        <v>0</v>
      </c>
      <c r="AT1421" s="94">
        <f t="shared" si="469"/>
        <v>0</v>
      </c>
      <c r="AU1421" s="94">
        <f t="shared" si="471"/>
        <v>0</v>
      </c>
      <c r="AV1421" s="94">
        <f t="shared" si="472"/>
        <v>0</v>
      </c>
    </row>
    <row r="1422" spans="1:48" x14ac:dyDescent="0.3">
      <c r="A1422" s="85" t="str">
        <f>_xlfn.XLOOKUP(B1422,'Country codes &amp; Data sources'!G:G,'Country codes &amp; Data sources'!H:H,,0)</f>
        <v>Sao Tome and Principe</v>
      </c>
      <c r="B1422" s="85" t="s">
        <v>153</v>
      </c>
      <c r="C1422" s="85">
        <v>189933.5</v>
      </c>
      <c r="D1422" s="85" t="s">
        <v>335</v>
      </c>
      <c r="E1422" s="86">
        <v>0</v>
      </c>
      <c r="F1422" s="86">
        <v>193756.99999999997</v>
      </c>
      <c r="G1422" s="86">
        <v>0</v>
      </c>
      <c r="H1422" s="86"/>
      <c r="I1422" s="86">
        <v>0</v>
      </c>
      <c r="J1422" s="86"/>
      <c r="K1422" s="86">
        <v>0</v>
      </c>
      <c r="L1422" s="86"/>
      <c r="M1422" s="86">
        <v>0</v>
      </c>
      <c r="N1422" s="86"/>
      <c r="O1422" s="86">
        <v>0</v>
      </c>
      <c r="P1422" s="86">
        <v>211344</v>
      </c>
      <c r="Q1422" s="86">
        <v>0</v>
      </c>
      <c r="R1422" s="87">
        <f t="shared" si="470"/>
        <v>0</v>
      </c>
      <c r="T1422" s="87">
        <v>37</v>
      </c>
      <c r="U1422" s="89"/>
      <c r="V1422" s="89">
        <v>0</v>
      </c>
      <c r="W1422" s="90"/>
      <c r="X1422" s="90">
        <v>0</v>
      </c>
      <c r="Y1422" s="90">
        <v>227379.5</v>
      </c>
      <c r="Z1422" s="90">
        <v>0</v>
      </c>
      <c r="AA1422" s="90">
        <v>0</v>
      </c>
      <c r="AB1422" s="89">
        <f t="shared" si="456"/>
        <v>0</v>
      </c>
      <c r="AC1422" s="89">
        <f t="shared" si="457"/>
        <v>37</v>
      </c>
      <c r="AD1422" s="89">
        <f t="shared" si="458"/>
        <v>0</v>
      </c>
      <c r="AF1422" s="90" t="str">
        <f t="shared" si="460"/>
        <v/>
      </c>
      <c r="AG1422" s="90">
        <f t="shared" si="461"/>
        <v>37</v>
      </c>
      <c r="AH1422" s="90">
        <f t="shared" si="462"/>
        <v>2019</v>
      </c>
      <c r="AI1422" s="90">
        <f t="shared" si="463"/>
        <v>37</v>
      </c>
      <c r="AJ1422" s="90">
        <f t="shared" si="464"/>
        <v>2019</v>
      </c>
      <c r="AK1422" s="90" t="str">
        <f t="shared" si="465"/>
        <v/>
      </c>
      <c r="AL1422" s="91">
        <f>IF(AK1422="Adjust",(_xlfn.XLOOKUP(A1422,'Adj factor'!A:A,'Adj factor'!I:I,,0)*AI1422),'Master DataSheet (Rev)'!AI1422)</f>
        <v>37</v>
      </c>
      <c r="AM1422" s="91">
        <f t="shared" si="466"/>
        <v>37</v>
      </c>
      <c r="AN1422" s="92" t="str">
        <f t="shared" si="467"/>
        <v>No change</v>
      </c>
      <c r="AS1422" s="94">
        <f t="shared" si="468"/>
        <v>0</v>
      </c>
      <c r="AT1422" s="94">
        <f t="shared" si="469"/>
        <v>1.7507002801120448</v>
      </c>
      <c r="AU1422" s="94">
        <f t="shared" si="471"/>
        <v>1.6272355247504722</v>
      </c>
      <c r="AV1422" s="94">
        <f t="shared" si="472"/>
        <v>1.6272355247504722</v>
      </c>
    </row>
    <row r="1423" spans="1:48" x14ac:dyDescent="0.3">
      <c r="A1423" s="85" t="str">
        <f>_xlfn.XLOOKUP(B1423,'Country codes &amp; Data sources'!G:G,'Country codes &amp; Data sources'!H:H,,0)</f>
        <v>Sao Tome and Principe</v>
      </c>
      <c r="B1423" s="85" t="s">
        <v>153</v>
      </c>
      <c r="C1423" s="85">
        <v>189934.5</v>
      </c>
      <c r="D1423" s="85" t="s">
        <v>336</v>
      </c>
      <c r="E1423" s="86">
        <v>0</v>
      </c>
      <c r="F1423" s="86">
        <v>193756.99999999997</v>
      </c>
      <c r="G1423" s="86">
        <v>0</v>
      </c>
      <c r="H1423" s="86"/>
      <c r="I1423" s="86">
        <v>0</v>
      </c>
      <c r="J1423" s="86"/>
      <c r="K1423" s="86">
        <v>0</v>
      </c>
      <c r="L1423" s="86"/>
      <c r="M1423" s="86">
        <v>0</v>
      </c>
      <c r="N1423" s="86"/>
      <c r="O1423" s="86">
        <v>0</v>
      </c>
      <c r="P1423" s="86">
        <v>211344</v>
      </c>
      <c r="Q1423" s="86">
        <v>0</v>
      </c>
      <c r="R1423" s="87">
        <f t="shared" si="470"/>
        <v>0</v>
      </c>
      <c r="T1423" s="87">
        <v>0</v>
      </c>
      <c r="U1423" s="89"/>
      <c r="V1423" s="89">
        <v>0</v>
      </c>
      <c r="W1423" s="90"/>
      <c r="X1423" s="90">
        <v>0</v>
      </c>
      <c r="Y1423" s="90">
        <v>227379.5</v>
      </c>
      <c r="Z1423" s="90">
        <v>0</v>
      </c>
      <c r="AA1423" s="90">
        <v>0</v>
      </c>
      <c r="AB1423" s="89">
        <f t="shared" si="456"/>
        <v>0</v>
      </c>
      <c r="AC1423" s="89">
        <f t="shared" si="457"/>
        <v>0</v>
      </c>
      <c r="AD1423" s="89">
        <f t="shared" si="458"/>
        <v>0</v>
      </c>
      <c r="AF1423" s="90" t="str">
        <f t="shared" si="460"/>
        <v/>
      </c>
      <c r="AH1423" s="90" t="str">
        <f t="shared" si="462"/>
        <v/>
      </c>
      <c r="AI1423" s="90">
        <f t="shared" si="463"/>
        <v>0</v>
      </c>
      <c r="AJ1423" s="90" t="str">
        <f t="shared" si="464"/>
        <v/>
      </c>
      <c r="AK1423" s="90" t="str">
        <f t="shared" si="465"/>
        <v/>
      </c>
      <c r="AL1423" s="91"/>
      <c r="AM1423" s="91">
        <f t="shared" si="466"/>
        <v>0</v>
      </c>
      <c r="AN1423" s="92" t="str">
        <f t="shared" si="467"/>
        <v>No change</v>
      </c>
      <c r="AS1423" s="94">
        <f t="shared" si="468"/>
        <v>0</v>
      </c>
      <c r="AT1423" s="94">
        <f t="shared" si="469"/>
        <v>0</v>
      </c>
      <c r="AU1423" s="94">
        <f t="shared" si="471"/>
        <v>0</v>
      </c>
      <c r="AV1423" s="94">
        <f t="shared" si="472"/>
        <v>0</v>
      </c>
    </row>
    <row r="1424" spans="1:48" x14ac:dyDescent="0.3">
      <c r="A1424" s="85" t="str">
        <f>_xlfn.XLOOKUP(B1424,'Country codes &amp; Data sources'!G:G,'Country codes &amp; Data sources'!H:H,,0)</f>
        <v>Sao Tome and Principe</v>
      </c>
      <c r="B1424" s="85" t="s">
        <v>153</v>
      </c>
      <c r="C1424" s="85">
        <v>189935.5</v>
      </c>
      <c r="D1424" s="85" t="s">
        <v>337</v>
      </c>
      <c r="E1424" s="86">
        <v>0</v>
      </c>
      <c r="F1424" s="86">
        <v>193756.99999999997</v>
      </c>
      <c r="G1424" s="86">
        <v>0</v>
      </c>
      <c r="H1424" s="86"/>
      <c r="I1424" s="86">
        <v>0</v>
      </c>
      <c r="J1424" s="86"/>
      <c r="K1424" s="86">
        <v>0</v>
      </c>
      <c r="L1424" s="86"/>
      <c r="M1424" s="86">
        <v>0</v>
      </c>
      <c r="N1424" s="86"/>
      <c r="O1424" s="86">
        <v>0</v>
      </c>
      <c r="P1424" s="86">
        <v>211344</v>
      </c>
      <c r="Q1424" s="86">
        <v>0</v>
      </c>
      <c r="R1424" s="87">
        <f t="shared" si="470"/>
        <v>0</v>
      </c>
      <c r="T1424" s="87">
        <v>6</v>
      </c>
      <c r="U1424" s="89"/>
      <c r="V1424" s="89">
        <v>0</v>
      </c>
      <c r="W1424" s="90"/>
      <c r="X1424" s="90">
        <v>0</v>
      </c>
      <c r="Y1424" s="90">
        <v>227379.5</v>
      </c>
      <c r="Z1424" s="90">
        <v>0</v>
      </c>
      <c r="AA1424" s="90">
        <v>0</v>
      </c>
      <c r="AB1424" s="89">
        <f t="shared" si="456"/>
        <v>0</v>
      </c>
      <c r="AC1424" s="89">
        <f t="shared" si="457"/>
        <v>6</v>
      </c>
      <c r="AD1424" s="89">
        <f t="shared" si="458"/>
        <v>0</v>
      </c>
      <c r="AF1424" s="90" t="str">
        <f t="shared" si="460"/>
        <v/>
      </c>
      <c r="AG1424" s="90">
        <f t="shared" si="461"/>
        <v>6</v>
      </c>
      <c r="AH1424" s="90">
        <f t="shared" si="462"/>
        <v>2019</v>
      </c>
      <c r="AI1424" s="90">
        <f t="shared" si="463"/>
        <v>6</v>
      </c>
      <c r="AJ1424" s="90">
        <f t="shared" si="464"/>
        <v>2019</v>
      </c>
      <c r="AK1424" s="90" t="str">
        <f t="shared" si="465"/>
        <v/>
      </c>
      <c r="AL1424" s="91">
        <f>IF(AK1424="Adjust",(_xlfn.XLOOKUP(A1424,'Adj factor'!A:A,'Adj factor'!I:I,,0)*AI1424),'Master DataSheet (Rev)'!AI1424)</f>
        <v>6</v>
      </c>
      <c r="AM1424" s="91">
        <f t="shared" si="466"/>
        <v>6</v>
      </c>
      <c r="AN1424" s="92" t="str">
        <f t="shared" si="467"/>
        <v>No change</v>
      </c>
      <c r="AS1424" s="94">
        <f t="shared" si="468"/>
        <v>0</v>
      </c>
      <c r="AT1424" s="94">
        <f t="shared" si="469"/>
        <v>0.28389734272087214</v>
      </c>
      <c r="AU1424" s="94">
        <f t="shared" si="471"/>
        <v>0.26387603104061713</v>
      </c>
      <c r="AV1424" s="94">
        <f t="shared" si="472"/>
        <v>0.26387603104061713</v>
      </c>
    </row>
    <row r="1425" spans="1:48" x14ac:dyDescent="0.3">
      <c r="A1425" s="85" t="str">
        <f>_xlfn.XLOOKUP(B1425,'Country codes &amp; Data sources'!G:G,'Country codes &amp; Data sources'!H:H,,0)</f>
        <v>Sao Tome and Principe</v>
      </c>
      <c r="B1425" s="85" t="s">
        <v>153</v>
      </c>
      <c r="C1425" s="85">
        <v>189936.5</v>
      </c>
      <c r="D1425" s="85" t="s">
        <v>338</v>
      </c>
      <c r="E1425" s="86">
        <v>0</v>
      </c>
      <c r="F1425" s="86">
        <v>193756.99999999997</v>
      </c>
      <c r="G1425" s="86">
        <v>0</v>
      </c>
      <c r="H1425" s="86"/>
      <c r="I1425" s="86">
        <v>0</v>
      </c>
      <c r="J1425" s="86"/>
      <c r="K1425" s="86">
        <v>0</v>
      </c>
      <c r="L1425" s="86"/>
      <c r="M1425" s="86">
        <v>0</v>
      </c>
      <c r="N1425" s="86"/>
      <c r="O1425" s="86">
        <v>0</v>
      </c>
      <c r="P1425" s="86">
        <v>211344</v>
      </c>
      <c r="Q1425" s="86">
        <v>0</v>
      </c>
      <c r="R1425" s="87">
        <f t="shared" si="470"/>
        <v>0</v>
      </c>
      <c r="T1425" s="87">
        <v>0</v>
      </c>
      <c r="U1425" s="89"/>
      <c r="V1425" s="89">
        <v>0</v>
      </c>
      <c r="W1425" s="90"/>
      <c r="X1425" s="90">
        <v>0</v>
      </c>
      <c r="Y1425" s="90">
        <v>227379.5</v>
      </c>
      <c r="Z1425" s="90">
        <v>0</v>
      </c>
      <c r="AA1425" s="90">
        <v>0</v>
      </c>
      <c r="AB1425" s="89">
        <f t="shared" si="456"/>
        <v>0</v>
      </c>
      <c r="AC1425" s="89">
        <f t="shared" si="457"/>
        <v>0</v>
      </c>
      <c r="AD1425" s="89">
        <f t="shared" si="458"/>
        <v>0</v>
      </c>
      <c r="AF1425" s="90" t="str">
        <f t="shared" si="460"/>
        <v/>
      </c>
      <c r="AH1425" s="90" t="str">
        <f t="shared" si="462"/>
        <v/>
      </c>
      <c r="AI1425" s="90">
        <f t="shared" si="463"/>
        <v>0</v>
      </c>
      <c r="AJ1425" s="90" t="str">
        <f t="shared" si="464"/>
        <v/>
      </c>
      <c r="AK1425" s="90" t="str">
        <f t="shared" si="465"/>
        <v/>
      </c>
      <c r="AL1425" s="91"/>
      <c r="AM1425" s="91">
        <f t="shared" si="466"/>
        <v>0</v>
      </c>
      <c r="AN1425" s="92" t="str">
        <f t="shared" si="467"/>
        <v>No change</v>
      </c>
      <c r="AS1425" s="94">
        <f t="shared" si="468"/>
        <v>0</v>
      </c>
      <c r="AT1425" s="94">
        <f t="shared" si="469"/>
        <v>0</v>
      </c>
      <c r="AU1425" s="94">
        <f t="shared" si="471"/>
        <v>0</v>
      </c>
      <c r="AV1425" s="94">
        <f t="shared" si="472"/>
        <v>0</v>
      </c>
    </row>
    <row r="1426" spans="1:48" x14ac:dyDescent="0.3">
      <c r="A1426" s="85" t="str">
        <f>_xlfn.XLOOKUP(B1426,'Country codes &amp; Data sources'!G:G,'Country codes &amp; Data sources'!H:H,,0)</f>
        <v>Sao Tome and Principe</v>
      </c>
      <c r="B1426" s="85" t="s">
        <v>153</v>
      </c>
      <c r="C1426" s="85">
        <v>189937.5</v>
      </c>
      <c r="D1426" s="85" t="s">
        <v>339</v>
      </c>
      <c r="E1426" s="86">
        <v>0</v>
      </c>
      <c r="F1426" s="86">
        <v>193756.99999999997</v>
      </c>
      <c r="G1426" s="86">
        <v>0</v>
      </c>
      <c r="H1426" s="86"/>
      <c r="I1426" s="86">
        <v>0</v>
      </c>
      <c r="J1426" s="86"/>
      <c r="K1426" s="86">
        <v>0</v>
      </c>
      <c r="L1426" s="86"/>
      <c r="M1426" s="86">
        <v>0</v>
      </c>
      <c r="N1426" s="86"/>
      <c r="O1426" s="86">
        <v>0</v>
      </c>
      <c r="P1426" s="86">
        <v>211344</v>
      </c>
      <c r="Q1426" s="86">
        <v>0</v>
      </c>
      <c r="R1426" s="87">
        <f t="shared" si="470"/>
        <v>0</v>
      </c>
      <c r="T1426" s="87">
        <v>0</v>
      </c>
      <c r="U1426" s="89"/>
      <c r="V1426" s="89">
        <v>0</v>
      </c>
      <c r="W1426" s="90"/>
      <c r="X1426" s="90">
        <v>0</v>
      </c>
      <c r="Y1426" s="90">
        <v>227379.5</v>
      </c>
      <c r="Z1426" s="90">
        <v>0</v>
      </c>
      <c r="AA1426" s="90">
        <v>0</v>
      </c>
      <c r="AB1426" s="89">
        <f t="shared" si="456"/>
        <v>0</v>
      </c>
      <c r="AC1426" s="89">
        <f t="shared" si="457"/>
        <v>0</v>
      </c>
      <c r="AD1426" s="89">
        <f t="shared" si="458"/>
        <v>0</v>
      </c>
      <c r="AF1426" s="90" t="str">
        <f t="shared" si="460"/>
        <v/>
      </c>
      <c r="AH1426" s="90" t="str">
        <f t="shared" si="462"/>
        <v/>
      </c>
      <c r="AI1426" s="90">
        <f t="shared" si="463"/>
        <v>0</v>
      </c>
      <c r="AJ1426" s="90" t="str">
        <f t="shared" si="464"/>
        <v/>
      </c>
      <c r="AK1426" s="90" t="str">
        <f t="shared" si="465"/>
        <v/>
      </c>
      <c r="AL1426" s="91"/>
      <c r="AM1426" s="91">
        <f t="shared" si="466"/>
        <v>0</v>
      </c>
      <c r="AN1426" s="92" t="str">
        <f t="shared" si="467"/>
        <v>No change</v>
      </c>
      <c r="AS1426" s="94">
        <f t="shared" si="468"/>
        <v>0</v>
      </c>
      <c r="AT1426" s="94">
        <f t="shared" si="469"/>
        <v>0</v>
      </c>
      <c r="AU1426" s="94">
        <f t="shared" si="471"/>
        <v>0</v>
      </c>
      <c r="AV1426" s="94">
        <f t="shared" si="472"/>
        <v>0</v>
      </c>
    </row>
    <row r="1427" spans="1:48" x14ac:dyDescent="0.3">
      <c r="A1427" s="85" t="str">
        <f>_xlfn.XLOOKUP(B1427,'Country codes &amp; Data sources'!G:G,'Country codes &amp; Data sources'!H:H,,0)</f>
        <v>Eswatini</v>
      </c>
      <c r="B1427" s="85" t="s">
        <v>159</v>
      </c>
      <c r="C1427" s="85">
        <v>1111443.9999999998</v>
      </c>
      <c r="D1427" s="85" t="s">
        <v>326</v>
      </c>
      <c r="E1427" s="86">
        <v>0</v>
      </c>
      <c r="F1427" s="86">
        <v>1118318.9999999998</v>
      </c>
      <c r="G1427" s="86">
        <v>0</v>
      </c>
      <c r="H1427" s="86">
        <v>1125865.0000000005</v>
      </c>
      <c r="I1427" s="86">
        <v>0</v>
      </c>
      <c r="J1427" s="86">
        <v>1133935.9999999998</v>
      </c>
      <c r="K1427" s="86">
        <v>0</v>
      </c>
      <c r="L1427" s="86">
        <v>1142524</v>
      </c>
      <c r="M1427" s="86">
        <v>107</v>
      </c>
      <c r="N1427" s="86">
        <v>1151390.5000000002</v>
      </c>
      <c r="O1427" s="86">
        <v>208</v>
      </c>
      <c r="P1427" s="86">
        <v>1160427.5</v>
      </c>
      <c r="Q1427" s="86">
        <v>278</v>
      </c>
      <c r="R1427" s="87">
        <f t="shared" si="470"/>
        <v>278</v>
      </c>
      <c r="S1427" s="87">
        <v>1169612.9999999998</v>
      </c>
      <c r="T1427" s="87">
        <v>0</v>
      </c>
      <c r="U1427" s="89">
        <v>1180654.9999999998</v>
      </c>
      <c r="V1427" s="89">
        <v>165</v>
      </c>
      <c r="W1427" s="90">
        <v>1192271.0000000002</v>
      </c>
      <c r="X1427" s="90">
        <v>0</v>
      </c>
      <c r="Y1427" s="90">
        <v>1201670.4999999995</v>
      </c>
      <c r="Z1427" s="103">
        <v>687</v>
      </c>
      <c r="AA1427" s="90">
        <v>278</v>
      </c>
      <c r="AB1427" s="89">
        <f t="shared" si="456"/>
        <v>0</v>
      </c>
      <c r="AC1427" s="89">
        <f t="shared" si="457"/>
        <v>278</v>
      </c>
      <c r="AD1427" s="89">
        <f t="shared" si="458"/>
        <v>687</v>
      </c>
      <c r="AF1427" s="90" t="str">
        <f t="shared" si="460"/>
        <v/>
      </c>
      <c r="AG1427" s="90">
        <f t="shared" si="461"/>
        <v>278</v>
      </c>
      <c r="AH1427" s="90">
        <f t="shared" si="462"/>
        <v>2018</v>
      </c>
      <c r="AI1427" s="90">
        <f t="shared" si="463"/>
        <v>687</v>
      </c>
      <c r="AJ1427" s="90">
        <f t="shared" si="464"/>
        <v>2022</v>
      </c>
      <c r="AK1427" s="90" t="str">
        <f t="shared" si="465"/>
        <v/>
      </c>
      <c r="AL1427" s="91">
        <f>IF(AK1427="Adjust",(_xlfn.XLOOKUP(A1427,'Adj factor'!A:A,'Adj factor'!I:I,,0)*AI1427),'Master DataSheet (Rev)'!AI1427)</f>
        <v>687</v>
      </c>
      <c r="AM1427" s="91">
        <f t="shared" si="466"/>
        <v>687</v>
      </c>
      <c r="AN1427" s="92" t="str">
        <f t="shared" si="467"/>
        <v>Increasing</v>
      </c>
      <c r="AS1427" s="94">
        <f t="shared" si="468"/>
        <v>0</v>
      </c>
      <c r="AT1427" s="94">
        <f t="shared" si="469"/>
        <v>2.395668837562019</v>
      </c>
      <c r="AU1427" s="94">
        <f t="shared" si="471"/>
        <v>5.7170414019483733</v>
      </c>
      <c r="AV1427" s="94">
        <f t="shared" si="472"/>
        <v>5.7170414019483733</v>
      </c>
    </row>
    <row r="1428" spans="1:48" x14ac:dyDescent="0.3">
      <c r="A1428" s="85" t="str">
        <f>_xlfn.XLOOKUP(B1428,'Country codes &amp; Data sources'!G:G,'Country codes &amp; Data sources'!H:H,,0)</f>
        <v>Eswatini</v>
      </c>
      <c r="B1428" s="85" t="s">
        <v>159</v>
      </c>
      <c r="C1428" s="85">
        <v>1111445</v>
      </c>
      <c r="D1428" s="85" t="s">
        <v>327</v>
      </c>
      <c r="E1428" s="86">
        <v>0</v>
      </c>
      <c r="F1428" s="86">
        <v>1118318.9999999998</v>
      </c>
      <c r="G1428" s="86">
        <v>0</v>
      </c>
      <c r="H1428" s="86"/>
      <c r="I1428" s="86">
        <v>0</v>
      </c>
      <c r="J1428" s="86"/>
      <c r="K1428" s="86">
        <v>0</v>
      </c>
      <c r="L1428" s="86"/>
      <c r="M1428" s="86">
        <v>0</v>
      </c>
      <c r="N1428" s="86"/>
      <c r="O1428" s="86">
        <v>0</v>
      </c>
      <c r="P1428" s="86">
        <v>1160427.5</v>
      </c>
      <c r="Q1428" s="86">
        <v>211</v>
      </c>
      <c r="R1428" s="87">
        <f t="shared" si="470"/>
        <v>211</v>
      </c>
      <c r="T1428" s="87">
        <v>0</v>
      </c>
      <c r="U1428" s="89"/>
      <c r="V1428" s="89">
        <v>136</v>
      </c>
      <c r="W1428" s="90"/>
      <c r="X1428" s="90">
        <v>0</v>
      </c>
      <c r="Y1428" s="90">
        <v>1201670.4999999995</v>
      </c>
      <c r="Z1428" s="90">
        <v>623</v>
      </c>
      <c r="AA1428" s="90">
        <v>211</v>
      </c>
      <c r="AB1428" s="89">
        <f t="shared" si="456"/>
        <v>0</v>
      </c>
      <c r="AC1428" s="89">
        <f t="shared" si="457"/>
        <v>211</v>
      </c>
      <c r="AD1428" s="89">
        <f t="shared" si="458"/>
        <v>623</v>
      </c>
      <c r="AF1428" s="90" t="str">
        <f t="shared" si="460"/>
        <v/>
      </c>
      <c r="AG1428" s="90">
        <f t="shared" si="461"/>
        <v>211</v>
      </c>
      <c r="AH1428" s="90">
        <f t="shared" si="462"/>
        <v>2018</v>
      </c>
      <c r="AI1428" s="90">
        <f t="shared" si="463"/>
        <v>623</v>
      </c>
      <c r="AJ1428" s="90">
        <f t="shared" si="464"/>
        <v>2022</v>
      </c>
      <c r="AK1428" s="90" t="str">
        <f t="shared" si="465"/>
        <v/>
      </c>
      <c r="AL1428" s="91">
        <f>IF(AK1428="Adjust",(_xlfn.XLOOKUP(A1428,'Adj factor'!A:A,'Adj factor'!I:I,,0)*AI1428),'Master DataSheet (Rev)'!AI1428)</f>
        <v>623</v>
      </c>
      <c r="AM1428" s="91">
        <f t="shared" si="466"/>
        <v>623</v>
      </c>
      <c r="AN1428" s="92" t="str">
        <f t="shared" si="467"/>
        <v>Increasing</v>
      </c>
      <c r="AS1428" s="94">
        <f t="shared" si="468"/>
        <v>0</v>
      </c>
      <c r="AT1428" s="94">
        <f t="shared" si="469"/>
        <v>1.8182954126819642</v>
      </c>
      <c r="AU1428" s="94">
        <f t="shared" si="471"/>
        <v>5.1844494809517272</v>
      </c>
      <c r="AV1428" s="94">
        <f t="shared" si="472"/>
        <v>5.1844494809517272</v>
      </c>
    </row>
    <row r="1429" spans="1:48" x14ac:dyDescent="0.3">
      <c r="A1429" s="85" t="str">
        <f>_xlfn.XLOOKUP(B1429,'Country codes &amp; Data sources'!G:G,'Country codes &amp; Data sources'!H:H,,0)</f>
        <v>Eswatini</v>
      </c>
      <c r="B1429" s="85" t="s">
        <v>159</v>
      </c>
      <c r="C1429" s="85">
        <v>1111446</v>
      </c>
      <c r="D1429" s="85" t="s">
        <v>328</v>
      </c>
      <c r="E1429" s="86">
        <v>0</v>
      </c>
      <c r="F1429" s="86">
        <v>1118318.9999999998</v>
      </c>
      <c r="G1429" s="86">
        <v>0</v>
      </c>
      <c r="H1429" s="86"/>
      <c r="I1429" s="86">
        <v>0</v>
      </c>
      <c r="J1429" s="86"/>
      <c r="K1429" s="86">
        <v>0</v>
      </c>
      <c r="L1429" s="86"/>
      <c r="M1429" s="86">
        <v>0</v>
      </c>
      <c r="N1429" s="86"/>
      <c r="O1429" s="86">
        <v>0</v>
      </c>
      <c r="P1429" s="86">
        <v>1160427.5</v>
      </c>
      <c r="Q1429" s="86">
        <v>67</v>
      </c>
      <c r="R1429" s="87">
        <f t="shared" si="470"/>
        <v>67</v>
      </c>
      <c r="T1429" s="87">
        <v>0</v>
      </c>
      <c r="U1429" s="89"/>
      <c r="V1429" s="89">
        <v>29</v>
      </c>
      <c r="W1429" s="90"/>
      <c r="X1429" s="90">
        <v>0</v>
      </c>
      <c r="Y1429" s="90">
        <v>1201670.4999999995</v>
      </c>
      <c r="Z1429" s="90"/>
      <c r="AA1429" s="90">
        <v>67</v>
      </c>
      <c r="AB1429" s="89">
        <f t="shared" si="456"/>
        <v>0</v>
      </c>
      <c r="AC1429" s="89">
        <f t="shared" si="457"/>
        <v>67</v>
      </c>
      <c r="AD1429" s="89">
        <f t="shared" si="458"/>
        <v>29</v>
      </c>
      <c r="AF1429" s="90" t="str">
        <f t="shared" si="460"/>
        <v/>
      </c>
      <c r="AG1429" s="90">
        <f t="shared" si="461"/>
        <v>67</v>
      </c>
      <c r="AH1429" s="90">
        <f t="shared" si="462"/>
        <v>2018</v>
      </c>
      <c r="AI1429" s="90">
        <f t="shared" si="463"/>
        <v>29</v>
      </c>
      <c r="AJ1429" s="90">
        <f t="shared" si="464"/>
        <v>2020</v>
      </c>
      <c r="AK1429" s="90" t="str">
        <f t="shared" si="465"/>
        <v>Adjust</v>
      </c>
      <c r="AL1429" s="91">
        <f>IF(AK1429="Adjust",(_xlfn.XLOOKUP(A1429,'Adj factor'!A:A,'Adj factor'!I:I,,0)*AI1429),'Master DataSheet (Rev)'!AI1429)</f>
        <v>41.564529501174519</v>
      </c>
      <c r="AM1429" s="91">
        <f t="shared" si="466"/>
        <v>67</v>
      </c>
      <c r="AN1429" s="92" t="str">
        <f t="shared" si="467"/>
        <v>Decreasing</v>
      </c>
      <c r="AS1429" s="94">
        <f t="shared" si="468"/>
        <v>0</v>
      </c>
      <c r="AT1429" s="94">
        <f t="shared" si="469"/>
        <v>0.57737342488005494</v>
      </c>
      <c r="AU1429" s="94">
        <f t="shared" si="471"/>
        <v>0.3458895720680048</v>
      </c>
      <c r="AV1429" s="94">
        <f t="shared" si="472"/>
        <v>0.55755716729336391</v>
      </c>
    </row>
    <row r="1430" spans="1:48" x14ac:dyDescent="0.3">
      <c r="A1430" s="85" t="str">
        <f>_xlfn.XLOOKUP(B1430,'Country codes &amp; Data sources'!G:G,'Country codes &amp; Data sources'!H:H,,0)</f>
        <v>Eswatini</v>
      </c>
      <c r="B1430" s="85" t="s">
        <v>159</v>
      </c>
      <c r="C1430" s="85">
        <v>1111447</v>
      </c>
      <c r="D1430" s="85" t="s">
        <v>329</v>
      </c>
      <c r="E1430" s="86">
        <v>0</v>
      </c>
      <c r="F1430" s="86">
        <v>1118318.9999999998</v>
      </c>
      <c r="G1430" s="86">
        <v>3735</v>
      </c>
      <c r="H1430" s="86"/>
      <c r="I1430" s="86">
        <v>3847</v>
      </c>
      <c r="J1430" s="86"/>
      <c r="K1430" s="86">
        <v>3976</v>
      </c>
      <c r="L1430" s="86"/>
      <c r="M1430" s="86">
        <v>4200</v>
      </c>
      <c r="N1430" s="86"/>
      <c r="O1430" s="86">
        <v>4431</v>
      </c>
      <c r="P1430" s="86">
        <v>1160427.5</v>
      </c>
      <c r="Q1430" s="86">
        <v>4706</v>
      </c>
      <c r="R1430" s="87">
        <f t="shared" si="470"/>
        <v>4706</v>
      </c>
      <c r="T1430" s="87">
        <v>0</v>
      </c>
      <c r="U1430" s="89"/>
      <c r="V1430" s="89">
        <v>2917</v>
      </c>
      <c r="W1430" s="90"/>
      <c r="X1430" s="90">
        <v>0</v>
      </c>
      <c r="Y1430" s="90">
        <v>1201670.4999999995</v>
      </c>
      <c r="Z1430" s="103">
        <v>5242</v>
      </c>
      <c r="AA1430" s="90">
        <v>2204</v>
      </c>
      <c r="AB1430" s="89">
        <f t="shared" si="456"/>
        <v>3976</v>
      </c>
      <c r="AC1430" s="89">
        <f t="shared" si="457"/>
        <v>4706</v>
      </c>
      <c r="AD1430" s="89">
        <f t="shared" si="458"/>
        <v>5242</v>
      </c>
      <c r="AE1430" s="90">
        <f t="shared" si="459"/>
        <v>3735</v>
      </c>
      <c r="AF1430" s="90">
        <f t="shared" si="460"/>
        <v>2013</v>
      </c>
      <c r="AG1430" s="90">
        <f t="shared" si="461"/>
        <v>4706</v>
      </c>
      <c r="AH1430" s="90">
        <f t="shared" si="462"/>
        <v>2018</v>
      </c>
      <c r="AI1430" s="90">
        <f t="shared" si="463"/>
        <v>5242</v>
      </c>
      <c r="AJ1430" s="90">
        <f t="shared" si="464"/>
        <v>2022</v>
      </c>
      <c r="AK1430" s="90" t="str">
        <f t="shared" si="465"/>
        <v/>
      </c>
      <c r="AL1430" s="91">
        <f>IF(AK1430="Adjust",(_xlfn.XLOOKUP(A1430,'Adj factor'!A:A,'Adj factor'!I:I,,0)*AI1430),'Master DataSheet (Rev)'!AI1430)</f>
        <v>5242</v>
      </c>
      <c r="AM1430" s="91">
        <f t="shared" si="466"/>
        <v>5242</v>
      </c>
      <c r="AN1430" s="92" t="str">
        <f t="shared" si="467"/>
        <v>Increasing</v>
      </c>
      <c r="AS1430" s="94">
        <f t="shared" si="468"/>
        <v>33.398341618089297</v>
      </c>
      <c r="AT1430" s="94">
        <f t="shared" si="469"/>
        <v>40.554019962470726</v>
      </c>
      <c r="AU1430" s="94">
        <f t="shared" si="471"/>
        <v>43.622607029131544</v>
      </c>
      <c r="AV1430" s="94">
        <f t="shared" si="472"/>
        <v>43.622607029131544</v>
      </c>
    </row>
    <row r="1431" spans="1:48" x14ac:dyDescent="0.3">
      <c r="A1431" s="85" t="str">
        <f>_xlfn.XLOOKUP(B1431,'Country codes &amp; Data sources'!G:G,'Country codes &amp; Data sources'!H:H,,0)</f>
        <v>Eswatini</v>
      </c>
      <c r="B1431" s="85" t="s">
        <v>159</v>
      </c>
      <c r="C1431" s="85">
        <v>1111448</v>
      </c>
      <c r="D1431" s="85" t="s">
        <v>330</v>
      </c>
      <c r="E1431" s="86">
        <v>0</v>
      </c>
      <c r="F1431" s="86">
        <v>1118318.9999999998</v>
      </c>
      <c r="G1431" s="86">
        <v>2926</v>
      </c>
      <c r="H1431" s="86"/>
      <c r="I1431" s="86">
        <v>3002</v>
      </c>
      <c r="J1431" s="86"/>
      <c r="K1431" s="86">
        <v>3081</v>
      </c>
      <c r="L1431" s="86"/>
      <c r="M1431" s="86">
        <v>3257</v>
      </c>
      <c r="N1431" s="86"/>
      <c r="O1431" s="86">
        <v>3438</v>
      </c>
      <c r="P1431" s="86">
        <v>1160427.5</v>
      </c>
      <c r="Q1431" s="86">
        <v>3677</v>
      </c>
      <c r="R1431" s="87">
        <f t="shared" si="470"/>
        <v>3677</v>
      </c>
      <c r="T1431" s="87">
        <v>0</v>
      </c>
      <c r="U1431" s="89"/>
      <c r="V1431" s="89">
        <v>2523</v>
      </c>
      <c r="W1431" s="90"/>
      <c r="X1431" s="90">
        <v>0</v>
      </c>
      <c r="Y1431" s="90">
        <v>1201670.4999999995</v>
      </c>
      <c r="Z1431" s="90">
        <v>3144</v>
      </c>
      <c r="AA1431" s="90">
        <v>1749</v>
      </c>
      <c r="AB1431" s="89">
        <f t="shared" si="456"/>
        <v>3081</v>
      </c>
      <c r="AC1431" s="89">
        <f t="shared" si="457"/>
        <v>3677</v>
      </c>
      <c r="AD1431" s="89">
        <f t="shared" si="458"/>
        <v>3144</v>
      </c>
      <c r="AE1431" s="90">
        <f t="shared" si="459"/>
        <v>2926</v>
      </c>
      <c r="AF1431" s="90">
        <f t="shared" si="460"/>
        <v>2013</v>
      </c>
      <c r="AG1431" s="90">
        <f t="shared" si="461"/>
        <v>3677</v>
      </c>
      <c r="AH1431" s="90">
        <f t="shared" si="462"/>
        <v>2018</v>
      </c>
      <c r="AI1431" s="90">
        <f t="shared" si="463"/>
        <v>3144</v>
      </c>
      <c r="AJ1431" s="90">
        <f t="shared" si="464"/>
        <v>2022</v>
      </c>
      <c r="AK1431" s="90" t="str">
        <f t="shared" si="465"/>
        <v>Adjust</v>
      </c>
      <c r="AL1431" s="91">
        <f>IF(AK1431="Adjust",(_xlfn.XLOOKUP(A1431,'Adj factor'!A:A,'Adj factor'!I:I,,0)*AI1431),'Master DataSheet (Rev)'!AI1431)</f>
        <v>4506.1683017825071</v>
      </c>
      <c r="AM1431" s="91">
        <f t="shared" si="466"/>
        <v>4506.1683017825071</v>
      </c>
      <c r="AN1431" s="92" t="str">
        <f t="shared" si="467"/>
        <v>Increasing</v>
      </c>
      <c r="AS1431" s="94">
        <f t="shared" si="468"/>
        <v>26.16426976560356</v>
      </c>
      <c r="AT1431" s="94">
        <f t="shared" si="469"/>
        <v>31.686598257969585</v>
      </c>
      <c r="AU1431" s="94">
        <f t="shared" si="471"/>
        <v>37.499200502820941</v>
      </c>
      <c r="AV1431" s="94">
        <f t="shared" si="472"/>
        <v>37.499200502820941</v>
      </c>
    </row>
    <row r="1432" spans="1:48" x14ac:dyDescent="0.3">
      <c r="A1432" s="85" t="str">
        <f>_xlfn.XLOOKUP(B1432,'Country codes &amp; Data sources'!G:G,'Country codes &amp; Data sources'!H:H,,0)</f>
        <v>Eswatini</v>
      </c>
      <c r="B1432" s="85" t="s">
        <v>159</v>
      </c>
      <c r="C1432" s="85">
        <v>1111449</v>
      </c>
      <c r="D1432" s="85" t="s">
        <v>331</v>
      </c>
      <c r="E1432" s="86">
        <v>0</v>
      </c>
      <c r="F1432" s="86">
        <v>1118318.9999999998</v>
      </c>
      <c r="G1432" s="86">
        <v>809</v>
      </c>
      <c r="H1432" s="86"/>
      <c r="I1432" s="86">
        <v>845</v>
      </c>
      <c r="J1432" s="86"/>
      <c r="K1432" s="86">
        <v>895</v>
      </c>
      <c r="L1432" s="86"/>
      <c r="M1432" s="86">
        <v>943</v>
      </c>
      <c r="N1432" s="86"/>
      <c r="O1432" s="86">
        <v>993</v>
      </c>
      <c r="P1432" s="86">
        <v>1160427.5</v>
      </c>
      <c r="Q1432" s="86">
        <v>1029</v>
      </c>
      <c r="R1432" s="87">
        <f t="shared" si="470"/>
        <v>1029</v>
      </c>
      <c r="T1432" s="87">
        <v>0</v>
      </c>
      <c r="U1432" s="89"/>
      <c r="V1432" s="89">
        <v>394</v>
      </c>
      <c r="W1432" s="90"/>
      <c r="X1432" s="90">
        <v>0</v>
      </c>
      <c r="Y1432" s="90">
        <v>1201670.4999999995</v>
      </c>
      <c r="Z1432" s="90">
        <v>680</v>
      </c>
      <c r="AA1432" s="90">
        <v>455</v>
      </c>
      <c r="AB1432" s="89">
        <f t="shared" ref="AB1432:AB1495" si="473">MAX(G1432,E1432,I1432,K1432)</f>
        <v>895</v>
      </c>
      <c r="AC1432" s="89">
        <f t="shared" ref="AC1432:AC1495" si="474">MAX(M1432,O1432,Q1432,T1432)</f>
        <v>1029</v>
      </c>
      <c r="AD1432" s="89">
        <f t="shared" ref="AD1432:AD1495" si="475">MAX(V1432,X1432,Z1432)</f>
        <v>680</v>
      </c>
      <c r="AE1432" s="90">
        <f t="shared" ref="AE1432:AE1495" si="476">IF(G1432&gt;0,G1432,IF(E1432&gt;0,E1432,IF(I1432&gt;0,I1432,K1432)))</f>
        <v>809</v>
      </c>
      <c r="AF1432" s="90">
        <f t="shared" ref="AF1432:AF1495" si="477">IF(AE1432&gt;0,_xlfn.XLOOKUP(AE1432,$B1432:$K1432,$B$1:$K$1,,0),"")</f>
        <v>2013</v>
      </c>
      <c r="AG1432" s="90">
        <f t="shared" ref="AG1432:AG1494" si="478">IF(R1432&gt;0,R1432,IF(O1432&gt;0,O1432,T1432))</f>
        <v>1029</v>
      </c>
      <c r="AH1432" s="90">
        <f t="shared" ref="AH1432:AH1495" si="479">IF(AG1432&gt;0,_xlfn.XLOOKUP(AG1432,$L1432:$T1432,$L$1:$T$1,,0),"")</f>
        <v>2018</v>
      </c>
      <c r="AI1432" s="90">
        <f t="shared" ref="AI1432:AI1495" si="480">IF((IF(Z1432&gt;0,Z1432,IF(X1432&gt;0,X1432,IF(V1432&gt;0,V1432,T1432))))=0,AG1432,IF(Z1432&gt;0,Z1432,IF(X1432&gt;0,X1432,IF(V1432&gt;0,V1432,T1432))))</f>
        <v>680</v>
      </c>
      <c r="AJ1432" s="90">
        <f t="shared" ref="AJ1432:AJ1495" si="481">IFERROR(IF(AI1432&gt;0,_xlfn.XLOOKUP(AI1432,$V1432:$Z1432,$V$1:$Z$1,,0),""),AH1432)</f>
        <v>2022</v>
      </c>
      <c r="AK1432" s="90" t="str">
        <f t="shared" ref="AK1432:AK1495" si="482">IF(AI1432&lt;AG1432,"Adjust","")</f>
        <v>Adjust</v>
      </c>
      <c r="AL1432" s="91">
        <f>IF(AK1432="Adjust",(_xlfn.XLOOKUP(A1432,'Adj factor'!A:A,'Adj factor'!I:I,,0)*AI1432),'Master DataSheet (Rev)'!AI1432)</f>
        <v>974.61655382064396</v>
      </c>
      <c r="AM1432" s="91">
        <f t="shared" ref="AM1432:AM1495" si="483">IF(AL1432&lt;AG1432,AG1432,AL1432)</f>
        <v>1029</v>
      </c>
      <c r="AN1432" s="92" t="str">
        <f t="shared" ref="AN1432:AN1495" si="484">IF(AL1432&gt;AG1432,"Increasing",IF(AL1432&lt;AG1432,"Decreasing","No change"))</f>
        <v>Decreasing</v>
      </c>
      <c r="AS1432" s="94">
        <f t="shared" ref="AS1432:AS1495" si="485">(AE1432*10000)/F1432</f>
        <v>7.2340718524857417</v>
      </c>
      <c r="AT1432" s="94">
        <f t="shared" ref="AT1432:AT1495" si="486">(AG1432*10000)/P1432</f>
        <v>8.8674217045011421</v>
      </c>
      <c r="AU1432" s="94">
        <f t="shared" si="471"/>
        <v>8.1105141036635615</v>
      </c>
      <c r="AV1432" s="94">
        <f t="shared" si="472"/>
        <v>8.5630794797742009</v>
      </c>
    </row>
    <row r="1433" spans="1:48" x14ac:dyDescent="0.3">
      <c r="A1433" s="85" t="str">
        <f>_xlfn.XLOOKUP(B1433,'Country codes &amp; Data sources'!G:G,'Country codes &amp; Data sources'!H:H,,0)</f>
        <v>Eswatini</v>
      </c>
      <c r="B1433" s="85" t="s">
        <v>159</v>
      </c>
      <c r="C1433" s="85">
        <v>1111450</v>
      </c>
      <c r="D1433" s="85" t="s">
        <v>332</v>
      </c>
      <c r="E1433" s="86">
        <v>0</v>
      </c>
      <c r="F1433" s="86">
        <v>1118318.9999999998</v>
      </c>
      <c r="G1433" s="86">
        <v>0</v>
      </c>
      <c r="H1433" s="86"/>
      <c r="I1433" s="86">
        <v>0</v>
      </c>
      <c r="J1433" s="86"/>
      <c r="K1433" s="86">
        <v>0</v>
      </c>
      <c r="L1433" s="86"/>
      <c r="M1433" s="86">
        <v>0</v>
      </c>
      <c r="N1433" s="86"/>
      <c r="O1433" s="86">
        <v>0</v>
      </c>
      <c r="P1433" s="86">
        <v>1160427.5</v>
      </c>
      <c r="Q1433" s="86">
        <v>0</v>
      </c>
      <c r="R1433" s="87">
        <f t="shared" si="470"/>
        <v>14</v>
      </c>
      <c r="T1433" s="87">
        <v>0</v>
      </c>
      <c r="U1433" s="89"/>
      <c r="V1433" s="89">
        <v>0</v>
      </c>
      <c r="W1433" s="90"/>
      <c r="X1433" s="90">
        <v>0</v>
      </c>
      <c r="Y1433" s="90">
        <v>1201670.4999999995</v>
      </c>
      <c r="Z1433" s="90">
        <v>0</v>
      </c>
      <c r="AA1433" s="90">
        <v>14</v>
      </c>
      <c r="AB1433" s="89">
        <f t="shared" si="473"/>
        <v>0</v>
      </c>
      <c r="AC1433" s="89">
        <f t="shared" si="474"/>
        <v>0</v>
      </c>
      <c r="AD1433" s="89">
        <f t="shared" si="475"/>
        <v>0</v>
      </c>
      <c r="AF1433" s="90" t="str">
        <f t="shared" si="477"/>
        <v/>
      </c>
      <c r="AG1433" s="90">
        <f t="shared" si="478"/>
        <v>14</v>
      </c>
      <c r="AH1433" s="90" t="str">
        <f t="shared" si="479"/>
        <v>2018 (triag)</v>
      </c>
      <c r="AI1433" s="90">
        <f t="shared" si="480"/>
        <v>14</v>
      </c>
      <c r="AJ1433" s="90" t="str">
        <f t="shared" si="481"/>
        <v>2018 (triag)</v>
      </c>
      <c r="AK1433" s="90" t="str">
        <f t="shared" si="482"/>
        <v/>
      </c>
      <c r="AL1433" s="91">
        <f>IF(AK1433="Adjust",(_xlfn.XLOOKUP(A1433,'Adj factor'!A:A,'Adj factor'!I:I,,0)*AI1433),'Master DataSheet (Rev)'!AI1433)</f>
        <v>14</v>
      </c>
      <c r="AM1433" s="91">
        <f t="shared" si="483"/>
        <v>14</v>
      </c>
      <c r="AN1433" s="92" t="str">
        <f t="shared" si="484"/>
        <v>No change</v>
      </c>
      <c r="AS1433" s="94">
        <f t="shared" si="485"/>
        <v>0</v>
      </c>
      <c r="AT1433" s="94">
        <f t="shared" si="486"/>
        <v>0.12064519325851895</v>
      </c>
      <c r="AU1433" s="94">
        <f t="shared" si="471"/>
        <v>0.11650448271801633</v>
      </c>
      <c r="AV1433" s="94">
        <f t="shared" si="472"/>
        <v>0.11650448271801633</v>
      </c>
    </row>
    <row r="1434" spans="1:48" x14ac:dyDescent="0.3">
      <c r="A1434" s="85" t="str">
        <f>_xlfn.XLOOKUP(B1434,'Country codes &amp; Data sources'!G:G,'Country codes &amp; Data sources'!H:H,,0)</f>
        <v>Eswatini</v>
      </c>
      <c r="B1434" s="85" t="s">
        <v>159</v>
      </c>
      <c r="C1434" s="85">
        <v>1111451</v>
      </c>
      <c r="D1434" s="85" t="s">
        <v>333</v>
      </c>
      <c r="E1434" s="86">
        <v>0</v>
      </c>
      <c r="F1434" s="86">
        <v>1118318.9999999998</v>
      </c>
      <c r="G1434" s="86">
        <v>0</v>
      </c>
      <c r="H1434" s="86"/>
      <c r="I1434" s="86">
        <v>0</v>
      </c>
      <c r="J1434" s="86"/>
      <c r="K1434" s="86">
        <v>0</v>
      </c>
      <c r="L1434" s="86"/>
      <c r="M1434" s="86">
        <v>0</v>
      </c>
      <c r="N1434" s="86"/>
      <c r="O1434" s="86">
        <v>0</v>
      </c>
      <c r="P1434" s="86">
        <v>1160427.5</v>
      </c>
      <c r="Q1434" s="86">
        <v>0</v>
      </c>
      <c r="R1434" s="87">
        <f t="shared" si="470"/>
        <v>14</v>
      </c>
      <c r="T1434" s="87">
        <v>0</v>
      </c>
      <c r="U1434" s="89"/>
      <c r="V1434" s="89">
        <v>0</v>
      </c>
      <c r="W1434" s="90"/>
      <c r="X1434" s="90">
        <v>0</v>
      </c>
      <c r="Y1434" s="90">
        <v>1201670.4999999995</v>
      </c>
      <c r="Z1434" s="90">
        <v>0</v>
      </c>
      <c r="AA1434" s="90">
        <v>14</v>
      </c>
      <c r="AB1434" s="89">
        <f t="shared" si="473"/>
        <v>0</v>
      </c>
      <c r="AC1434" s="89">
        <f t="shared" si="474"/>
        <v>0</v>
      </c>
      <c r="AD1434" s="89">
        <f t="shared" si="475"/>
        <v>0</v>
      </c>
      <c r="AF1434" s="90" t="str">
        <f t="shared" si="477"/>
        <v/>
      </c>
      <c r="AG1434" s="90">
        <f t="shared" si="478"/>
        <v>14</v>
      </c>
      <c r="AH1434" s="90" t="str">
        <f t="shared" si="479"/>
        <v>2018 (triag)</v>
      </c>
      <c r="AI1434" s="90">
        <f t="shared" si="480"/>
        <v>14</v>
      </c>
      <c r="AJ1434" s="90" t="str">
        <f t="shared" si="481"/>
        <v>2018 (triag)</v>
      </c>
      <c r="AK1434" s="90" t="str">
        <f t="shared" si="482"/>
        <v/>
      </c>
      <c r="AL1434" s="91">
        <f>IF(AK1434="Adjust",(_xlfn.XLOOKUP(A1434,'Adj factor'!A:A,'Adj factor'!I:I,,0)*AI1434),'Master DataSheet (Rev)'!AI1434)</f>
        <v>14</v>
      </c>
      <c r="AM1434" s="91">
        <f t="shared" si="483"/>
        <v>14</v>
      </c>
      <c r="AN1434" s="92" t="str">
        <f t="shared" si="484"/>
        <v>No change</v>
      </c>
      <c r="AS1434" s="94">
        <f t="shared" si="485"/>
        <v>0</v>
      </c>
      <c r="AT1434" s="94">
        <f t="shared" si="486"/>
        <v>0.12064519325851895</v>
      </c>
      <c r="AU1434" s="94">
        <f t="shared" si="471"/>
        <v>0.11650448271801633</v>
      </c>
      <c r="AV1434" s="94">
        <f t="shared" si="472"/>
        <v>0.11650448271801633</v>
      </c>
    </row>
    <row r="1435" spans="1:48" x14ac:dyDescent="0.3">
      <c r="A1435" s="85" t="str">
        <f>_xlfn.XLOOKUP(B1435,'Country codes &amp; Data sources'!G:G,'Country codes &amp; Data sources'!H:H,,0)</f>
        <v>Eswatini</v>
      </c>
      <c r="B1435" s="85" t="s">
        <v>159</v>
      </c>
      <c r="C1435" s="85">
        <v>1111452</v>
      </c>
      <c r="D1435" s="85" t="s">
        <v>334</v>
      </c>
      <c r="E1435" s="86">
        <v>0</v>
      </c>
      <c r="F1435" s="86">
        <v>1118318.9999999998</v>
      </c>
      <c r="G1435" s="86">
        <v>0</v>
      </c>
      <c r="H1435" s="86"/>
      <c r="I1435" s="86">
        <v>0</v>
      </c>
      <c r="J1435" s="86"/>
      <c r="K1435" s="86">
        <v>0</v>
      </c>
      <c r="L1435" s="86"/>
      <c r="M1435" s="86">
        <v>0</v>
      </c>
      <c r="N1435" s="86"/>
      <c r="O1435" s="86">
        <v>0</v>
      </c>
      <c r="P1435" s="86">
        <v>1160427.5</v>
      </c>
      <c r="Q1435" s="86">
        <v>0</v>
      </c>
      <c r="R1435" s="87">
        <f t="shared" si="470"/>
        <v>0</v>
      </c>
      <c r="T1435" s="87">
        <v>0</v>
      </c>
      <c r="U1435" s="89"/>
      <c r="V1435" s="89">
        <v>0</v>
      </c>
      <c r="W1435" s="90"/>
      <c r="X1435" s="90">
        <v>0</v>
      </c>
      <c r="Y1435" s="90">
        <v>1201670.4999999995</v>
      </c>
      <c r="Z1435" s="90">
        <v>0</v>
      </c>
      <c r="AA1435" s="90">
        <v>0</v>
      </c>
      <c r="AB1435" s="89">
        <f t="shared" si="473"/>
        <v>0</v>
      </c>
      <c r="AC1435" s="89">
        <f t="shared" si="474"/>
        <v>0</v>
      </c>
      <c r="AD1435" s="89">
        <f t="shared" si="475"/>
        <v>0</v>
      </c>
      <c r="AF1435" s="90" t="str">
        <f t="shared" si="477"/>
        <v/>
      </c>
      <c r="AH1435" s="90" t="str">
        <f t="shared" si="479"/>
        <v/>
      </c>
      <c r="AI1435" s="90">
        <f t="shared" si="480"/>
        <v>0</v>
      </c>
      <c r="AJ1435" s="90" t="str">
        <f t="shared" si="481"/>
        <v/>
      </c>
      <c r="AK1435" s="90" t="str">
        <f t="shared" si="482"/>
        <v/>
      </c>
      <c r="AL1435" s="91"/>
      <c r="AM1435" s="91">
        <f t="shared" si="483"/>
        <v>0</v>
      </c>
      <c r="AN1435" s="92" t="str">
        <f t="shared" si="484"/>
        <v>No change</v>
      </c>
      <c r="AS1435" s="94">
        <f t="shared" si="485"/>
        <v>0</v>
      </c>
      <c r="AT1435" s="94">
        <f t="shared" si="486"/>
        <v>0</v>
      </c>
      <c r="AU1435" s="94">
        <f t="shared" si="471"/>
        <v>0</v>
      </c>
      <c r="AV1435" s="94">
        <f t="shared" si="472"/>
        <v>0</v>
      </c>
    </row>
    <row r="1436" spans="1:48" x14ac:dyDescent="0.3">
      <c r="A1436" s="85" t="str">
        <f>_xlfn.XLOOKUP(B1436,'Country codes &amp; Data sources'!G:G,'Country codes &amp; Data sources'!H:H,,0)</f>
        <v>Eswatini</v>
      </c>
      <c r="B1436" s="85" t="s">
        <v>159</v>
      </c>
      <c r="C1436" s="85">
        <v>1111453</v>
      </c>
      <c r="D1436" s="85" t="s">
        <v>335</v>
      </c>
      <c r="E1436" s="86">
        <v>0</v>
      </c>
      <c r="F1436" s="86">
        <v>1118318.9999999998</v>
      </c>
      <c r="G1436" s="86">
        <v>0</v>
      </c>
      <c r="H1436" s="86"/>
      <c r="I1436" s="86">
        <v>0</v>
      </c>
      <c r="J1436" s="86"/>
      <c r="K1436" s="86">
        <v>0</v>
      </c>
      <c r="L1436" s="86"/>
      <c r="M1436" s="86">
        <v>0</v>
      </c>
      <c r="N1436" s="86"/>
      <c r="O1436" s="86">
        <v>0</v>
      </c>
      <c r="P1436" s="86">
        <v>1160427.5</v>
      </c>
      <c r="Q1436" s="86">
        <v>281</v>
      </c>
      <c r="R1436" s="87">
        <f t="shared" si="470"/>
        <v>281</v>
      </c>
      <c r="T1436" s="87">
        <v>0</v>
      </c>
      <c r="U1436" s="89"/>
      <c r="V1436" s="89">
        <v>48</v>
      </c>
      <c r="W1436" s="90"/>
      <c r="X1436" s="90">
        <v>0</v>
      </c>
      <c r="Y1436" s="90">
        <v>1201670.4999999995</v>
      </c>
      <c r="Z1436" s="105">
        <v>42</v>
      </c>
      <c r="AA1436" s="90">
        <v>110</v>
      </c>
      <c r="AB1436" s="89">
        <f t="shared" si="473"/>
        <v>0</v>
      </c>
      <c r="AC1436" s="89">
        <f t="shared" si="474"/>
        <v>281</v>
      </c>
      <c r="AD1436" s="89">
        <f t="shared" si="475"/>
        <v>48</v>
      </c>
      <c r="AF1436" s="90" t="str">
        <f t="shared" si="477"/>
        <v/>
      </c>
      <c r="AG1436" s="90">
        <f t="shared" si="478"/>
        <v>281</v>
      </c>
      <c r="AH1436" s="90">
        <f t="shared" si="479"/>
        <v>2018</v>
      </c>
      <c r="AI1436" s="90">
        <f t="shared" si="480"/>
        <v>42</v>
      </c>
      <c r="AJ1436" s="90">
        <f t="shared" si="481"/>
        <v>2022</v>
      </c>
      <c r="AK1436" s="90" t="str">
        <f t="shared" si="482"/>
        <v>Adjust</v>
      </c>
      <c r="AL1436" s="91">
        <f>IF(AK1436="Adjust",(_xlfn.XLOOKUP(A1436,'Adj factor'!A:A,'Adj factor'!I:I,,0)*AI1436),'Master DataSheet (Rev)'!AI1436)</f>
        <v>60.196904794804482</v>
      </c>
      <c r="AM1436" s="91">
        <f t="shared" si="483"/>
        <v>281</v>
      </c>
      <c r="AN1436" s="92" t="str">
        <f t="shared" si="484"/>
        <v>Decreasing</v>
      </c>
      <c r="AS1436" s="94">
        <f t="shared" si="485"/>
        <v>0</v>
      </c>
      <c r="AT1436" s="94">
        <f t="shared" si="486"/>
        <v>2.4215213789745591</v>
      </c>
      <c r="AU1436" s="94">
        <f t="shared" si="471"/>
        <v>0.5009435181674553</v>
      </c>
      <c r="AV1436" s="94">
        <f t="shared" si="472"/>
        <v>2.3384114031258996</v>
      </c>
    </row>
    <row r="1437" spans="1:48" x14ac:dyDescent="0.3">
      <c r="A1437" s="85" t="str">
        <f>_xlfn.XLOOKUP(B1437,'Country codes &amp; Data sources'!G:G,'Country codes &amp; Data sources'!H:H,,0)</f>
        <v>Eswatini</v>
      </c>
      <c r="B1437" s="85" t="s">
        <v>159</v>
      </c>
      <c r="C1437" s="85">
        <v>1111454</v>
      </c>
      <c r="D1437" s="85" t="s">
        <v>336</v>
      </c>
      <c r="E1437" s="86">
        <v>0</v>
      </c>
      <c r="F1437" s="86">
        <v>1118318.9999999998</v>
      </c>
      <c r="G1437" s="86">
        <v>0</v>
      </c>
      <c r="H1437" s="86"/>
      <c r="I1437" s="86">
        <v>0</v>
      </c>
      <c r="J1437" s="86"/>
      <c r="K1437" s="86">
        <v>0</v>
      </c>
      <c r="L1437" s="86"/>
      <c r="M1437" s="86">
        <v>0</v>
      </c>
      <c r="N1437" s="86"/>
      <c r="O1437" s="86">
        <v>0</v>
      </c>
      <c r="P1437" s="86">
        <v>1160427.5</v>
      </c>
      <c r="Q1437" s="86">
        <v>0</v>
      </c>
      <c r="R1437" s="87">
        <f t="shared" si="470"/>
        <v>171</v>
      </c>
      <c r="T1437" s="87">
        <v>0</v>
      </c>
      <c r="U1437" s="89"/>
      <c r="V1437" s="89">
        <v>80</v>
      </c>
      <c r="W1437" s="90"/>
      <c r="X1437" s="90">
        <v>0</v>
      </c>
      <c r="Y1437" s="90">
        <v>1201670.4999999995</v>
      </c>
      <c r="Z1437" s="90">
        <v>0</v>
      </c>
      <c r="AA1437" s="90">
        <v>171</v>
      </c>
      <c r="AB1437" s="89">
        <f t="shared" si="473"/>
        <v>0</v>
      </c>
      <c r="AC1437" s="89">
        <f t="shared" si="474"/>
        <v>0</v>
      </c>
      <c r="AD1437" s="89">
        <f t="shared" si="475"/>
        <v>80</v>
      </c>
      <c r="AF1437" s="90" t="str">
        <f t="shared" si="477"/>
        <v/>
      </c>
      <c r="AG1437" s="90">
        <f t="shared" si="478"/>
        <v>171</v>
      </c>
      <c r="AH1437" s="90" t="str">
        <f t="shared" si="479"/>
        <v>2018 (triag)</v>
      </c>
      <c r="AI1437" s="90">
        <f t="shared" si="480"/>
        <v>80</v>
      </c>
      <c r="AJ1437" s="90">
        <f t="shared" si="481"/>
        <v>2020</v>
      </c>
      <c r="AK1437" s="90" t="str">
        <f t="shared" si="482"/>
        <v>Adjust</v>
      </c>
      <c r="AL1437" s="91">
        <f>IF(AK1437="Adjust",(_xlfn.XLOOKUP(A1437,'Adj factor'!A:A,'Adj factor'!I:I,,0)*AI1437),'Master DataSheet (Rev)'!AI1437)</f>
        <v>114.66077103772281</v>
      </c>
      <c r="AM1437" s="91">
        <f t="shared" si="483"/>
        <v>171</v>
      </c>
      <c r="AN1437" s="92" t="str">
        <f t="shared" si="484"/>
        <v>Decreasing</v>
      </c>
      <c r="AS1437" s="94">
        <f t="shared" si="485"/>
        <v>0</v>
      </c>
      <c r="AT1437" s="94">
        <f t="shared" si="486"/>
        <v>1.4735948605147673</v>
      </c>
      <c r="AU1437" s="94">
        <f t="shared" si="471"/>
        <v>0.95417812984277195</v>
      </c>
      <c r="AV1437" s="94">
        <f t="shared" si="472"/>
        <v>1.4230190389129138</v>
      </c>
    </row>
    <row r="1438" spans="1:48" x14ac:dyDescent="0.3">
      <c r="A1438" s="85" t="str">
        <f>_xlfn.XLOOKUP(B1438,'Country codes &amp; Data sources'!G:G,'Country codes &amp; Data sources'!H:H,,0)</f>
        <v>Eswatini</v>
      </c>
      <c r="B1438" s="85" t="s">
        <v>159</v>
      </c>
      <c r="C1438" s="85">
        <v>1111455</v>
      </c>
      <c r="D1438" s="85" t="s">
        <v>337</v>
      </c>
      <c r="E1438" s="86">
        <v>0</v>
      </c>
      <c r="F1438" s="86">
        <v>1118318.9999999998</v>
      </c>
      <c r="G1438" s="86">
        <v>0</v>
      </c>
      <c r="H1438" s="86"/>
      <c r="I1438" s="86">
        <v>0</v>
      </c>
      <c r="J1438" s="86"/>
      <c r="K1438" s="86">
        <v>0</v>
      </c>
      <c r="L1438" s="86"/>
      <c r="M1438" s="86">
        <v>0</v>
      </c>
      <c r="N1438" s="86"/>
      <c r="O1438" s="86">
        <v>0</v>
      </c>
      <c r="P1438" s="86">
        <v>1160427.5</v>
      </c>
      <c r="Q1438" s="86">
        <v>74</v>
      </c>
      <c r="R1438" s="87">
        <f t="shared" si="470"/>
        <v>74</v>
      </c>
      <c r="T1438" s="87">
        <v>14</v>
      </c>
      <c r="U1438" s="89"/>
      <c r="V1438" s="89">
        <v>22</v>
      </c>
      <c r="W1438" s="90"/>
      <c r="X1438" s="90">
        <v>0</v>
      </c>
      <c r="Y1438" s="90">
        <v>1201670.4999999995</v>
      </c>
      <c r="Z1438" s="105">
        <v>35</v>
      </c>
      <c r="AA1438" s="90">
        <v>28</v>
      </c>
      <c r="AB1438" s="89">
        <f t="shared" si="473"/>
        <v>0</v>
      </c>
      <c r="AC1438" s="89">
        <f t="shared" si="474"/>
        <v>74</v>
      </c>
      <c r="AD1438" s="89">
        <f t="shared" si="475"/>
        <v>35</v>
      </c>
      <c r="AF1438" s="90" t="str">
        <f t="shared" si="477"/>
        <v/>
      </c>
      <c r="AG1438" s="90">
        <f t="shared" si="478"/>
        <v>74</v>
      </c>
      <c r="AH1438" s="90">
        <f t="shared" si="479"/>
        <v>2018</v>
      </c>
      <c r="AI1438" s="90">
        <f t="shared" si="480"/>
        <v>35</v>
      </c>
      <c r="AJ1438" s="90">
        <f t="shared" si="481"/>
        <v>2022</v>
      </c>
      <c r="AK1438" s="90" t="str">
        <f t="shared" si="482"/>
        <v>Adjust</v>
      </c>
      <c r="AL1438" s="91">
        <f>IF(AK1438="Adjust",(_xlfn.XLOOKUP(A1438,'Adj factor'!A:A,'Adj factor'!I:I,,0)*AI1438),'Master DataSheet (Rev)'!AI1438)</f>
        <v>50.164087329003735</v>
      </c>
      <c r="AM1438" s="91">
        <f t="shared" si="483"/>
        <v>74</v>
      </c>
      <c r="AN1438" s="92" t="str">
        <f t="shared" si="484"/>
        <v>Decreasing</v>
      </c>
      <c r="AS1438" s="94">
        <f t="shared" si="485"/>
        <v>0</v>
      </c>
      <c r="AT1438" s="94">
        <f t="shared" si="486"/>
        <v>0.63769602150931448</v>
      </c>
      <c r="AU1438" s="94">
        <f t="shared" si="471"/>
        <v>0.41745293180621268</v>
      </c>
      <c r="AV1438" s="94">
        <f t="shared" si="472"/>
        <v>0.6158094086523721</v>
      </c>
    </row>
    <row r="1439" spans="1:48" x14ac:dyDescent="0.3">
      <c r="A1439" s="85" t="str">
        <f>_xlfn.XLOOKUP(B1439,'Country codes &amp; Data sources'!G:G,'Country codes &amp; Data sources'!H:H,,0)</f>
        <v>Eswatini</v>
      </c>
      <c r="B1439" s="85" t="s">
        <v>159</v>
      </c>
      <c r="C1439" s="85">
        <v>1111456</v>
      </c>
      <c r="D1439" s="85" t="s">
        <v>338</v>
      </c>
      <c r="E1439" s="86">
        <v>0</v>
      </c>
      <c r="F1439" s="86">
        <v>1118318.9999999998</v>
      </c>
      <c r="G1439" s="86">
        <v>0</v>
      </c>
      <c r="H1439" s="86"/>
      <c r="I1439" s="86">
        <v>0</v>
      </c>
      <c r="J1439" s="86"/>
      <c r="K1439" s="86">
        <v>0</v>
      </c>
      <c r="L1439" s="86"/>
      <c r="M1439" s="86">
        <v>0</v>
      </c>
      <c r="N1439" s="86"/>
      <c r="O1439" s="86">
        <v>0</v>
      </c>
      <c r="P1439" s="86">
        <v>1160427.5</v>
      </c>
      <c r="Q1439" s="86">
        <v>0</v>
      </c>
      <c r="R1439" s="87">
        <f t="shared" si="470"/>
        <v>46</v>
      </c>
      <c r="T1439" s="87">
        <v>19</v>
      </c>
      <c r="U1439" s="89"/>
      <c r="V1439" s="89">
        <v>28</v>
      </c>
      <c r="W1439" s="90"/>
      <c r="X1439" s="90">
        <v>0</v>
      </c>
      <c r="Y1439" s="90">
        <v>1201670.4999999995</v>
      </c>
      <c r="Z1439" s="90">
        <v>0</v>
      </c>
      <c r="AA1439" s="90">
        <v>46</v>
      </c>
      <c r="AB1439" s="89">
        <f t="shared" si="473"/>
        <v>0</v>
      </c>
      <c r="AC1439" s="89">
        <f t="shared" si="474"/>
        <v>19</v>
      </c>
      <c r="AD1439" s="89">
        <f t="shared" si="475"/>
        <v>28</v>
      </c>
      <c r="AF1439" s="90" t="str">
        <f t="shared" si="477"/>
        <v/>
      </c>
      <c r="AG1439" s="90">
        <f t="shared" si="478"/>
        <v>46</v>
      </c>
      <c r="AH1439" s="90" t="str">
        <f t="shared" si="479"/>
        <v>2018 (triag)</v>
      </c>
      <c r="AI1439" s="90">
        <f t="shared" si="480"/>
        <v>28</v>
      </c>
      <c r="AJ1439" s="90">
        <f t="shared" si="481"/>
        <v>2020</v>
      </c>
      <c r="AK1439" s="90" t="str">
        <f t="shared" si="482"/>
        <v>Adjust</v>
      </c>
      <c r="AL1439" s="91">
        <f>IF(AK1439="Adjust",(_xlfn.XLOOKUP(A1439,'Adj factor'!A:A,'Adj factor'!I:I,,0)*AI1439),'Master DataSheet (Rev)'!AI1439)</f>
        <v>40.131269863202988</v>
      </c>
      <c r="AM1439" s="91">
        <f t="shared" si="483"/>
        <v>46</v>
      </c>
      <c r="AN1439" s="92" t="str">
        <f t="shared" si="484"/>
        <v>Decreasing</v>
      </c>
      <c r="AS1439" s="94">
        <f t="shared" si="485"/>
        <v>0</v>
      </c>
      <c r="AT1439" s="94">
        <f t="shared" si="486"/>
        <v>0.39640563499227655</v>
      </c>
      <c r="AU1439" s="94">
        <f t="shared" si="471"/>
        <v>0.33396234544497017</v>
      </c>
      <c r="AV1439" s="94">
        <f t="shared" si="472"/>
        <v>0.38280044321633938</v>
      </c>
    </row>
    <row r="1440" spans="1:48" x14ac:dyDescent="0.3">
      <c r="A1440" s="85" t="str">
        <f>_xlfn.XLOOKUP(B1440,'Country codes &amp; Data sources'!G:G,'Country codes &amp; Data sources'!H:H,,0)</f>
        <v>Eswatini</v>
      </c>
      <c r="B1440" s="85" t="s">
        <v>159</v>
      </c>
      <c r="C1440" s="85">
        <v>1111457</v>
      </c>
      <c r="D1440" s="85" t="s">
        <v>339</v>
      </c>
      <c r="E1440" s="86">
        <v>0</v>
      </c>
      <c r="F1440" s="86">
        <v>1118318.9999999998</v>
      </c>
      <c r="G1440" s="86">
        <v>0</v>
      </c>
      <c r="H1440" s="86"/>
      <c r="I1440" s="86">
        <v>0</v>
      </c>
      <c r="J1440" s="86"/>
      <c r="K1440" s="86">
        <v>0</v>
      </c>
      <c r="L1440" s="86"/>
      <c r="M1440" s="86">
        <v>0</v>
      </c>
      <c r="N1440" s="86"/>
      <c r="O1440" s="86">
        <v>0</v>
      </c>
      <c r="P1440" s="86">
        <v>1160427.5</v>
      </c>
      <c r="Q1440" s="86">
        <v>0</v>
      </c>
      <c r="R1440" s="87">
        <f t="shared" si="470"/>
        <v>0</v>
      </c>
      <c r="T1440" s="87">
        <v>0</v>
      </c>
      <c r="U1440" s="89"/>
      <c r="V1440" s="89">
        <v>12</v>
      </c>
      <c r="W1440" s="90"/>
      <c r="X1440" s="90">
        <v>0</v>
      </c>
      <c r="Y1440" s="90">
        <v>1201670.4999999995</v>
      </c>
      <c r="Z1440" s="90">
        <v>0</v>
      </c>
      <c r="AA1440" s="90">
        <v>0</v>
      </c>
      <c r="AB1440" s="89">
        <f t="shared" si="473"/>
        <v>0</v>
      </c>
      <c r="AC1440" s="89">
        <f t="shared" si="474"/>
        <v>0</v>
      </c>
      <c r="AD1440" s="89">
        <f t="shared" si="475"/>
        <v>12</v>
      </c>
      <c r="AF1440" s="90" t="str">
        <f t="shared" si="477"/>
        <v/>
      </c>
      <c r="AH1440" s="90" t="str">
        <f t="shared" si="479"/>
        <v/>
      </c>
      <c r="AI1440" s="90">
        <f t="shared" si="480"/>
        <v>12</v>
      </c>
      <c r="AJ1440" s="90">
        <f t="shared" si="481"/>
        <v>2020</v>
      </c>
      <c r="AK1440" s="90" t="str">
        <f t="shared" si="482"/>
        <v/>
      </c>
      <c r="AL1440" s="91">
        <f>IF(AK1440="Adjust",(_xlfn.XLOOKUP(A1440,'Adj factor'!A:A,'Adj factor'!I:I,,0)*AI1440),'Master DataSheet (Rev)'!AI1440)</f>
        <v>12</v>
      </c>
      <c r="AM1440" s="91">
        <f t="shared" si="483"/>
        <v>12</v>
      </c>
      <c r="AN1440" s="92" t="str">
        <f t="shared" si="484"/>
        <v>Increasing</v>
      </c>
      <c r="AS1440" s="94">
        <f t="shared" si="485"/>
        <v>0</v>
      </c>
      <c r="AT1440" s="94">
        <f t="shared" si="486"/>
        <v>0</v>
      </c>
      <c r="AU1440" s="94">
        <f t="shared" si="471"/>
        <v>9.9860985186871143E-2</v>
      </c>
      <c r="AV1440" s="94">
        <f t="shared" si="472"/>
        <v>9.9860985186871143E-2</v>
      </c>
    </row>
    <row r="1441" spans="1:48" x14ac:dyDescent="0.3">
      <c r="A1441" s="85" t="str">
        <f>_xlfn.XLOOKUP(B1441,'Country codes &amp; Data sources'!G:G,'Country codes &amp; Data sources'!H:H,,0)</f>
        <v>Seychelles</v>
      </c>
      <c r="B1441" s="85" t="s">
        <v>185</v>
      </c>
      <c r="C1441" s="85">
        <v>95308.999999999985</v>
      </c>
      <c r="D1441" s="85" t="s">
        <v>326</v>
      </c>
      <c r="E1441" s="86">
        <v>93</v>
      </c>
      <c r="F1441" s="86">
        <v>96714</v>
      </c>
      <c r="G1441" s="86">
        <v>0</v>
      </c>
      <c r="H1441" s="86">
        <v>98000.999999999927</v>
      </c>
      <c r="I1441" s="86">
        <v>0</v>
      </c>
      <c r="J1441" s="86">
        <v>99239.999999999971</v>
      </c>
      <c r="K1441" s="86">
        <v>0</v>
      </c>
      <c r="L1441" s="86">
        <v>100508.49999999997</v>
      </c>
      <c r="M1441" s="86">
        <v>203</v>
      </c>
      <c r="N1441" s="86">
        <v>101810.50000000001</v>
      </c>
      <c r="O1441" s="86">
        <v>0</v>
      </c>
      <c r="P1441" s="86">
        <v>103101.00000000003</v>
      </c>
      <c r="Q1441" s="86">
        <v>240</v>
      </c>
      <c r="R1441" s="87">
        <f t="shared" si="470"/>
        <v>240</v>
      </c>
      <c r="S1441" s="87">
        <v>104372.49999999997</v>
      </c>
      <c r="T1441" s="87">
        <v>220</v>
      </c>
      <c r="U1441" s="89">
        <v>105529.99999999997</v>
      </c>
      <c r="V1441" s="89">
        <v>0</v>
      </c>
      <c r="W1441" s="90">
        <v>106470.49999999996</v>
      </c>
      <c r="X1441" s="90">
        <v>0</v>
      </c>
      <c r="Y1441" s="90">
        <v>107118.5</v>
      </c>
      <c r="Z1441" s="113">
        <f>477+125+115+61+7+11+32</f>
        <v>828</v>
      </c>
      <c r="AA1441" s="90">
        <v>240</v>
      </c>
      <c r="AB1441" s="89">
        <f t="shared" si="473"/>
        <v>93</v>
      </c>
      <c r="AC1441" s="89">
        <f t="shared" si="474"/>
        <v>240</v>
      </c>
      <c r="AD1441" s="89">
        <f t="shared" si="475"/>
        <v>828</v>
      </c>
      <c r="AE1441" s="90">
        <f t="shared" si="476"/>
        <v>93</v>
      </c>
      <c r="AF1441" s="90">
        <f t="shared" si="477"/>
        <v>2012</v>
      </c>
      <c r="AG1441" s="90">
        <f t="shared" si="478"/>
        <v>240</v>
      </c>
      <c r="AH1441" s="90">
        <f t="shared" si="479"/>
        <v>2018</v>
      </c>
      <c r="AI1441" s="90">
        <f t="shared" si="480"/>
        <v>828</v>
      </c>
      <c r="AJ1441" s="90">
        <f t="shared" si="481"/>
        <v>2022</v>
      </c>
      <c r="AK1441" s="90" t="str">
        <f t="shared" si="482"/>
        <v/>
      </c>
      <c r="AL1441" s="91">
        <f>IF(AK1441="Adjust",(_xlfn.XLOOKUP(A1441,'Adj factor'!A:A,'Adj factor'!I:I,,0)*AI1441),'Master DataSheet (Rev)'!AI1441)</f>
        <v>828</v>
      </c>
      <c r="AM1441" s="91">
        <f t="shared" si="483"/>
        <v>828</v>
      </c>
      <c r="AN1441" s="92" t="str">
        <f t="shared" si="484"/>
        <v>Increasing</v>
      </c>
      <c r="AS1441" s="94">
        <f t="shared" si="485"/>
        <v>9.6159811402692483</v>
      </c>
      <c r="AT1441" s="94">
        <f t="shared" si="486"/>
        <v>23.278144731864863</v>
      </c>
      <c r="AU1441" s="94">
        <f t="shared" si="471"/>
        <v>77.297572314772893</v>
      </c>
      <c r="AV1441" s="94">
        <f t="shared" si="472"/>
        <v>77.297572314772893</v>
      </c>
    </row>
    <row r="1442" spans="1:48" x14ac:dyDescent="0.3">
      <c r="A1442" s="85" t="str">
        <f>_xlfn.XLOOKUP(B1442,'Country codes &amp; Data sources'!G:G,'Country codes &amp; Data sources'!H:H,,0)</f>
        <v>Seychelles</v>
      </c>
      <c r="B1442" s="85" t="s">
        <v>185</v>
      </c>
      <c r="C1442" s="85">
        <v>95310</v>
      </c>
      <c r="D1442" s="85" t="s">
        <v>327</v>
      </c>
      <c r="E1442" s="86">
        <v>0</v>
      </c>
      <c r="F1442" s="86">
        <v>96714</v>
      </c>
      <c r="G1442" s="86">
        <v>0</v>
      </c>
      <c r="H1442" s="86"/>
      <c r="I1442" s="86">
        <v>0</v>
      </c>
      <c r="J1442" s="86"/>
      <c r="K1442" s="86">
        <v>0</v>
      </c>
      <c r="L1442" s="86"/>
      <c r="M1442" s="86">
        <v>82</v>
      </c>
      <c r="N1442" s="86"/>
      <c r="O1442" s="86">
        <v>0</v>
      </c>
      <c r="P1442" s="86">
        <v>103101.00000000003</v>
      </c>
      <c r="Q1442" s="86">
        <v>125</v>
      </c>
      <c r="R1442" s="87">
        <f t="shared" si="470"/>
        <v>125</v>
      </c>
      <c r="T1442" s="87">
        <v>0</v>
      </c>
      <c r="U1442" s="89"/>
      <c r="V1442" s="89">
        <v>0</v>
      </c>
      <c r="W1442" s="90"/>
      <c r="X1442" s="90">
        <v>0</v>
      </c>
      <c r="Y1442" s="90">
        <v>107118.5</v>
      </c>
      <c r="Z1442" s="95">
        <v>125</v>
      </c>
      <c r="AA1442" s="90">
        <v>125</v>
      </c>
      <c r="AB1442" s="89">
        <f t="shared" si="473"/>
        <v>0</v>
      </c>
      <c r="AC1442" s="89">
        <f t="shared" si="474"/>
        <v>125</v>
      </c>
      <c r="AD1442" s="89">
        <f t="shared" si="475"/>
        <v>125</v>
      </c>
      <c r="AF1442" s="90" t="str">
        <f t="shared" si="477"/>
        <v/>
      </c>
      <c r="AG1442" s="90">
        <f t="shared" si="478"/>
        <v>125</v>
      </c>
      <c r="AH1442" s="90">
        <f t="shared" si="479"/>
        <v>2018</v>
      </c>
      <c r="AI1442" s="90">
        <f t="shared" si="480"/>
        <v>125</v>
      </c>
      <c r="AJ1442" s="90">
        <f t="shared" si="481"/>
        <v>2022</v>
      </c>
      <c r="AK1442" s="90" t="str">
        <f t="shared" si="482"/>
        <v/>
      </c>
      <c r="AL1442" s="91">
        <f>IF(AK1442="Adjust",(_xlfn.XLOOKUP(A1442,'Adj factor'!A:A,'Adj factor'!I:I,,0)*AI1442),'Master DataSheet (Rev)'!AI1442)</f>
        <v>125</v>
      </c>
      <c r="AM1442" s="91">
        <f t="shared" si="483"/>
        <v>125</v>
      </c>
      <c r="AN1442" s="92" t="str">
        <f t="shared" si="484"/>
        <v>No change</v>
      </c>
      <c r="AS1442" s="94">
        <f t="shared" si="485"/>
        <v>0</v>
      </c>
      <c r="AT1442" s="94">
        <f t="shared" si="486"/>
        <v>12.124033714512949</v>
      </c>
      <c r="AU1442" s="94">
        <f t="shared" si="471"/>
        <v>11.669319491964506</v>
      </c>
      <c r="AV1442" s="94">
        <f t="shared" si="472"/>
        <v>11.669319491964506</v>
      </c>
    </row>
    <row r="1443" spans="1:48" x14ac:dyDescent="0.3">
      <c r="A1443" s="85" t="str">
        <f>_xlfn.XLOOKUP(B1443,'Country codes &amp; Data sources'!G:G,'Country codes &amp; Data sources'!H:H,,0)</f>
        <v>Seychelles</v>
      </c>
      <c r="B1443" s="85" t="s">
        <v>185</v>
      </c>
      <c r="C1443" s="85">
        <v>95311</v>
      </c>
      <c r="D1443" s="85" t="s">
        <v>328</v>
      </c>
      <c r="E1443" s="86">
        <v>0</v>
      </c>
      <c r="F1443" s="86">
        <v>96714</v>
      </c>
      <c r="G1443" s="86">
        <v>0</v>
      </c>
      <c r="H1443" s="86"/>
      <c r="I1443" s="86">
        <v>0</v>
      </c>
      <c r="J1443" s="86"/>
      <c r="K1443" s="86">
        <v>0</v>
      </c>
      <c r="L1443" s="86"/>
      <c r="M1443" s="86">
        <v>121</v>
      </c>
      <c r="N1443" s="86"/>
      <c r="O1443" s="86">
        <v>0</v>
      </c>
      <c r="P1443" s="86">
        <v>103101.00000000003</v>
      </c>
      <c r="Q1443" s="86">
        <v>115</v>
      </c>
      <c r="R1443" s="87">
        <f t="shared" si="470"/>
        <v>115</v>
      </c>
      <c r="T1443" s="87">
        <v>0</v>
      </c>
      <c r="U1443" s="89"/>
      <c r="V1443" s="89">
        <v>0</v>
      </c>
      <c r="W1443" s="90"/>
      <c r="X1443" s="90">
        <v>0</v>
      </c>
      <c r="Y1443" s="90">
        <v>107118.5</v>
      </c>
      <c r="Z1443" s="90">
        <v>346</v>
      </c>
      <c r="AA1443" s="90">
        <v>115</v>
      </c>
      <c r="AB1443" s="89">
        <f t="shared" si="473"/>
        <v>0</v>
      </c>
      <c r="AC1443" s="89">
        <f t="shared" si="474"/>
        <v>121</v>
      </c>
      <c r="AD1443" s="89">
        <f t="shared" si="475"/>
        <v>346</v>
      </c>
      <c r="AF1443" s="90" t="str">
        <f t="shared" si="477"/>
        <v/>
      </c>
      <c r="AG1443" s="90">
        <f t="shared" si="478"/>
        <v>115</v>
      </c>
      <c r="AH1443" s="90">
        <f t="shared" si="479"/>
        <v>2018</v>
      </c>
      <c r="AI1443" s="90">
        <f t="shared" si="480"/>
        <v>346</v>
      </c>
      <c r="AJ1443" s="90">
        <f t="shared" si="481"/>
        <v>2022</v>
      </c>
      <c r="AK1443" s="90" t="str">
        <f t="shared" si="482"/>
        <v/>
      </c>
      <c r="AL1443" s="91">
        <f>IF(AK1443="Adjust",(_xlfn.XLOOKUP(A1443,'Adj factor'!A:A,'Adj factor'!I:I,,0)*AI1443),'Master DataSheet (Rev)'!AI1443)</f>
        <v>346</v>
      </c>
      <c r="AM1443" s="91">
        <f t="shared" si="483"/>
        <v>346</v>
      </c>
      <c r="AN1443" s="92" t="str">
        <f t="shared" si="484"/>
        <v>Increasing</v>
      </c>
      <c r="AS1443" s="94">
        <f t="shared" si="485"/>
        <v>0</v>
      </c>
      <c r="AT1443" s="94">
        <f t="shared" si="486"/>
        <v>11.154111017351914</v>
      </c>
      <c r="AU1443" s="94">
        <f t="shared" si="471"/>
        <v>32.300676353757751</v>
      </c>
      <c r="AV1443" s="94">
        <f t="shared" si="472"/>
        <v>32.300676353757751</v>
      </c>
    </row>
    <row r="1444" spans="1:48" x14ac:dyDescent="0.3">
      <c r="A1444" s="85" t="str">
        <f>_xlfn.XLOOKUP(B1444,'Country codes &amp; Data sources'!G:G,'Country codes &amp; Data sources'!H:H,,0)</f>
        <v>Seychelles</v>
      </c>
      <c r="B1444" s="85" t="s">
        <v>185</v>
      </c>
      <c r="C1444" s="85">
        <v>95312</v>
      </c>
      <c r="D1444" s="85" t="s">
        <v>329</v>
      </c>
      <c r="E1444" s="86">
        <v>419</v>
      </c>
      <c r="F1444" s="86">
        <v>96714</v>
      </c>
      <c r="G1444" s="86">
        <v>0</v>
      </c>
      <c r="H1444" s="86"/>
      <c r="I1444" s="86">
        <v>0</v>
      </c>
      <c r="J1444" s="86"/>
      <c r="K1444" s="86">
        <v>0</v>
      </c>
      <c r="L1444" s="86"/>
      <c r="M1444" s="86">
        <v>684</v>
      </c>
      <c r="N1444" s="86"/>
      <c r="O1444" s="86">
        <v>0</v>
      </c>
      <c r="P1444" s="86">
        <v>103101.00000000003</v>
      </c>
      <c r="Q1444" s="86">
        <v>951</v>
      </c>
      <c r="R1444" s="87">
        <f t="shared" si="470"/>
        <v>1272</v>
      </c>
      <c r="T1444" s="87">
        <v>0</v>
      </c>
      <c r="U1444" s="89"/>
      <c r="V1444" s="89">
        <v>0</v>
      </c>
      <c r="W1444" s="90"/>
      <c r="X1444" s="90">
        <v>0</v>
      </c>
      <c r="Y1444" s="90">
        <v>107118.5</v>
      </c>
      <c r="Z1444" s="95">
        <v>1277</v>
      </c>
      <c r="AA1444" s="90">
        <v>1272</v>
      </c>
      <c r="AB1444" s="89">
        <f t="shared" si="473"/>
        <v>419</v>
      </c>
      <c r="AC1444" s="89">
        <f t="shared" si="474"/>
        <v>951</v>
      </c>
      <c r="AD1444" s="89">
        <f t="shared" si="475"/>
        <v>1277</v>
      </c>
      <c r="AE1444" s="90">
        <f t="shared" si="476"/>
        <v>419</v>
      </c>
      <c r="AF1444" s="90">
        <f t="shared" si="477"/>
        <v>2012</v>
      </c>
      <c r="AG1444" s="90">
        <f t="shared" si="478"/>
        <v>1272</v>
      </c>
      <c r="AH1444" s="90" t="str">
        <f t="shared" si="479"/>
        <v>2018 (triag)</v>
      </c>
      <c r="AI1444" s="90">
        <f t="shared" si="480"/>
        <v>1277</v>
      </c>
      <c r="AJ1444" s="90">
        <f t="shared" si="481"/>
        <v>2022</v>
      </c>
      <c r="AK1444" s="90" t="str">
        <f t="shared" si="482"/>
        <v/>
      </c>
      <c r="AL1444" s="91">
        <f>IF(AK1444="Adjust",(_xlfn.XLOOKUP(A1444,'Adj factor'!A:A,'Adj factor'!I:I,,0)*AI1444),'Master DataSheet (Rev)'!AI1444)</f>
        <v>1277</v>
      </c>
      <c r="AM1444" s="91">
        <f t="shared" si="483"/>
        <v>1277</v>
      </c>
      <c r="AN1444" s="92" t="str">
        <f t="shared" si="484"/>
        <v>Increasing</v>
      </c>
      <c r="AS1444" s="94">
        <f t="shared" si="485"/>
        <v>43.323613954546396</v>
      </c>
      <c r="AT1444" s="94">
        <f t="shared" si="486"/>
        <v>123.37416707888377</v>
      </c>
      <c r="AU1444" s="94">
        <f t="shared" si="471"/>
        <v>119.21376792990939</v>
      </c>
      <c r="AV1444" s="94">
        <f t="shared" si="472"/>
        <v>119.21376792990939</v>
      </c>
    </row>
    <row r="1445" spans="1:48" x14ac:dyDescent="0.3">
      <c r="A1445" s="85" t="str">
        <f>_xlfn.XLOOKUP(B1445,'Country codes &amp; Data sources'!G:G,'Country codes &amp; Data sources'!H:H,,0)</f>
        <v>Seychelles</v>
      </c>
      <c r="B1445" s="85" t="s">
        <v>185</v>
      </c>
      <c r="C1445" s="85">
        <v>95313</v>
      </c>
      <c r="D1445" s="85" t="s">
        <v>330</v>
      </c>
      <c r="E1445" s="86">
        <v>0</v>
      </c>
      <c r="F1445" s="86">
        <v>96714</v>
      </c>
      <c r="G1445" s="86">
        <v>0</v>
      </c>
      <c r="H1445" s="86"/>
      <c r="I1445" s="86">
        <v>0</v>
      </c>
      <c r="J1445" s="86"/>
      <c r="K1445" s="86">
        <v>0</v>
      </c>
      <c r="L1445" s="86"/>
      <c r="M1445" s="86">
        <v>0</v>
      </c>
      <c r="N1445" s="86"/>
      <c r="O1445" s="86">
        <v>0</v>
      </c>
      <c r="P1445" s="86">
        <v>103101.00000000003</v>
      </c>
      <c r="Q1445" s="86">
        <v>951</v>
      </c>
      <c r="R1445" s="87">
        <f t="shared" si="470"/>
        <v>1272</v>
      </c>
      <c r="T1445" s="87">
        <v>0</v>
      </c>
      <c r="U1445" s="89"/>
      <c r="V1445" s="89">
        <v>0</v>
      </c>
      <c r="W1445" s="90"/>
      <c r="X1445" s="90">
        <v>0</v>
      </c>
      <c r="Y1445" s="90">
        <v>107118.5</v>
      </c>
      <c r="Z1445" s="90">
        <v>623</v>
      </c>
      <c r="AA1445" s="90">
        <v>1272</v>
      </c>
      <c r="AB1445" s="89">
        <f t="shared" si="473"/>
        <v>0</v>
      </c>
      <c r="AC1445" s="89">
        <f t="shared" si="474"/>
        <v>951</v>
      </c>
      <c r="AD1445" s="89">
        <f t="shared" si="475"/>
        <v>623</v>
      </c>
      <c r="AF1445" s="90" t="str">
        <f t="shared" si="477"/>
        <v/>
      </c>
      <c r="AG1445" s="90">
        <f t="shared" si="478"/>
        <v>1272</v>
      </c>
      <c r="AH1445" s="90" t="str">
        <f t="shared" si="479"/>
        <v>2018 (triag)</v>
      </c>
      <c r="AI1445" s="90">
        <f t="shared" si="480"/>
        <v>623</v>
      </c>
      <c r="AJ1445" s="90">
        <f t="shared" si="481"/>
        <v>2022</v>
      </c>
      <c r="AK1445" s="90" t="str">
        <f t="shared" si="482"/>
        <v>Adjust</v>
      </c>
      <c r="AL1445" s="91">
        <f>IF(AK1445="Adjust",(_xlfn.XLOOKUP(A1445,'Adj factor'!A:A,'Adj factor'!I:I,,0)*AI1445),'Master DataSheet (Rev)'!AI1445)</f>
        <v>716.01305541161867</v>
      </c>
      <c r="AM1445" s="91">
        <f t="shared" si="483"/>
        <v>1272</v>
      </c>
      <c r="AN1445" s="92" t="str">
        <f t="shared" si="484"/>
        <v>Decreasing</v>
      </c>
      <c r="AS1445" s="94">
        <f t="shared" si="485"/>
        <v>0</v>
      </c>
      <c r="AT1445" s="94">
        <f t="shared" si="486"/>
        <v>123.37416707888377</v>
      </c>
      <c r="AU1445" s="94">
        <f t="shared" si="471"/>
        <v>66.843080832126915</v>
      </c>
      <c r="AV1445" s="94">
        <f t="shared" si="472"/>
        <v>118.74699515023082</v>
      </c>
    </row>
    <row r="1446" spans="1:48" x14ac:dyDescent="0.3">
      <c r="A1446" s="85" t="str">
        <f>_xlfn.XLOOKUP(B1446,'Country codes &amp; Data sources'!G:G,'Country codes &amp; Data sources'!H:H,,0)</f>
        <v>Seychelles</v>
      </c>
      <c r="B1446" s="85" t="s">
        <v>185</v>
      </c>
      <c r="C1446" s="85">
        <v>95314</v>
      </c>
      <c r="D1446" s="85" t="s">
        <v>331</v>
      </c>
      <c r="E1446" s="86">
        <v>0</v>
      </c>
      <c r="F1446" s="86">
        <v>96714</v>
      </c>
      <c r="G1446" s="86">
        <v>0</v>
      </c>
      <c r="H1446" s="86"/>
      <c r="I1446" s="86">
        <v>0</v>
      </c>
      <c r="J1446" s="86"/>
      <c r="K1446" s="86">
        <v>0</v>
      </c>
      <c r="L1446" s="86"/>
      <c r="M1446" s="86">
        <v>0</v>
      </c>
      <c r="N1446" s="86"/>
      <c r="O1446" s="86">
        <v>0</v>
      </c>
      <c r="P1446" s="86">
        <v>103101.00000000003</v>
      </c>
      <c r="Q1446" s="86">
        <v>0</v>
      </c>
      <c r="R1446" s="87">
        <f t="shared" si="470"/>
        <v>0</v>
      </c>
      <c r="T1446" s="87">
        <v>0</v>
      </c>
      <c r="U1446" s="89"/>
      <c r="V1446" s="89">
        <v>0</v>
      </c>
      <c r="W1446" s="90"/>
      <c r="X1446" s="90">
        <v>0</v>
      </c>
      <c r="Y1446" s="90">
        <v>107118.5</v>
      </c>
      <c r="Z1446" s="90">
        <v>0</v>
      </c>
      <c r="AA1446" s="90">
        <v>0</v>
      </c>
      <c r="AB1446" s="89">
        <f t="shared" si="473"/>
        <v>0</v>
      </c>
      <c r="AC1446" s="89">
        <f t="shared" si="474"/>
        <v>0</v>
      </c>
      <c r="AD1446" s="89">
        <f t="shared" si="475"/>
        <v>0</v>
      </c>
      <c r="AF1446" s="90" t="str">
        <f t="shared" si="477"/>
        <v/>
      </c>
      <c r="AH1446" s="90" t="str">
        <f t="shared" si="479"/>
        <v/>
      </c>
      <c r="AI1446" s="90">
        <f t="shared" si="480"/>
        <v>0</v>
      </c>
      <c r="AJ1446" s="90" t="str">
        <f t="shared" si="481"/>
        <v/>
      </c>
      <c r="AK1446" s="90" t="str">
        <f t="shared" si="482"/>
        <v/>
      </c>
      <c r="AL1446" s="91"/>
      <c r="AM1446" s="91">
        <f t="shared" si="483"/>
        <v>0</v>
      </c>
      <c r="AN1446" s="92" t="str">
        <f t="shared" si="484"/>
        <v>No change</v>
      </c>
      <c r="AS1446" s="94">
        <f t="shared" si="485"/>
        <v>0</v>
      </c>
      <c r="AT1446" s="94">
        <f t="shared" si="486"/>
        <v>0</v>
      </c>
      <c r="AU1446" s="94">
        <f t="shared" si="471"/>
        <v>0</v>
      </c>
      <c r="AV1446" s="94">
        <f t="shared" si="472"/>
        <v>0</v>
      </c>
    </row>
    <row r="1447" spans="1:48" x14ac:dyDescent="0.3">
      <c r="A1447" s="85" t="str">
        <f>_xlfn.XLOOKUP(B1447,'Country codes &amp; Data sources'!G:G,'Country codes &amp; Data sources'!H:H,,0)</f>
        <v>Seychelles</v>
      </c>
      <c r="B1447" s="85" t="s">
        <v>185</v>
      </c>
      <c r="C1447" s="85">
        <v>95315</v>
      </c>
      <c r="D1447" s="85" t="s">
        <v>332</v>
      </c>
      <c r="E1447" s="86">
        <v>0</v>
      </c>
      <c r="F1447" s="86">
        <v>96714</v>
      </c>
      <c r="G1447" s="86">
        <v>0</v>
      </c>
      <c r="H1447" s="86"/>
      <c r="I1447" s="86">
        <v>0</v>
      </c>
      <c r="J1447" s="86"/>
      <c r="K1447" s="86">
        <v>0</v>
      </c>
      <c r="L1447" s="86"/>
      <c r="M1447" s="86">
        <v>89</v>
      </c>
      <c r="N1447" s="86"/>
      <c r="O1447" s="86">
        <v>0</v>
      </c>
      <c r="P1447" s="86">
        <v>103101.00000000003</v>
      </c>
      <c r="Q1447" s="86">
        <v>158</v>
      </c>
      <c r="R1447" s="87">
        <f t="shared" si="470"/>
        <v>158</v>
      </c>
      <c r="T1447" s="87">
        <v>0</v>
      </c>
      <c r="U1447" s="89"/>
      <c r="V1447" s="89">
        <v>0</v>
      </c>
      <c r="W1447" s="90"/>
      <c r="X1447" s="90">
        <v>0</v>
      </c>
      <c r="Y1447" s="90">
        <v>107118.5</v>
      </c>
      <c r="Z1447" s="90">
        <v>156</v>
      </c>
      <c r="AA1447" s="90">
        <v>5</v>
      </c>
      <c r="AB1447" s="89">
        <f t="shared" si="473"/>
        <v>0</v>
      </c>
      <c r="AC1447" s="89">
        <f t="shared" si="474"/>
        <v>158</v>
      </c>
      <c r="AD1447" s="89">
        <f t="shared" si="475"/>
        <v>156</v>
      </c>
      <c r="AF1447" s="90" t="str">
        <f t="shared" si="477"/>
        <v/>
      </c>
      <c r="AG1447" s="90">
        <f t="shared" si="478"/>
        <v>158</v>
      </c>
      <c r="AH1447" s="90">
        <f t="shared" si="479"/>
        <v>2018</v>
      </c>
      <c r="AI1447" s="90">
        <f t="shared" si="480"/>
        <v>156</v>
      </c>
      <c r="AJ1447" s="90">
        <f t="shared" si="481"/>
        <v>2022</v>
      </c>
      <c r="AK1447" s="90" t="str">
        <f t="shared" si="482"/>
        <v>Adjust</v>
      </c>
      <c r="AL1447" s="91">
        <f>IF(AK1447="Adjust",(_xlfn.XLOOKUP(A1447,'Adj factor'!A:A,'Adj factor'!I:I,,0)*AI1447),'Master DataSheet (Rev)'!AI1447)</f>
        <v>179.29058851398477</v>
      </c>
      <c r="AM1447" s="91">
        <f t="shared" si="483"/>
        <v>179.29058851398477</v>
      </c>
      <c r="AN1447" s="92" t="str">
        <f t="shared" si="484"/>
        <v>Increasing</v>
      </c>
      <c r="AS1447" s="94">
        <f t="shared" si="485"/>
        <v>0</v>
      </c>
      <c r="AT1447" s="94">
        <f t="shared" si="486"/>
        <v>15.324778615144369</v>
      </c>
      <c r="AU1447" s="94">
        <f t="shared" si="471"/>
        <v>16.737593274176241</v>
      </c>
      <c r="AV1447" s="94">
        <f t="shared" si="472"/>
        <v>16.737593274176241</v>
      </c>
    </row>
    <row r="1448" spans="1:48" x14ac:dyDescent="0.3">
      <c r="A1448" s="85" t="str">
        <f>_xlfn.XLOOKUP(B1448,'Country codes &amp; Data sources'!G:G,'Country codes &amp; Data sources'!H:H,,0)</f>
        <v>Seychelles</v>
      </c>
      <c r="B1448" s="85" t="s">
        <v>185</v>
      </c>
      <c r="C1448" s="85">
        <v>95316</v>
      </c>
      <c r="D1448" s="85" t="s">
        <v>333</v>
      </c>
      <c r="E1448" s="86">
        <v>0</v>
      </c>
      <c r="F1448" s="86">
        <v>96714</v>
      </c>
      <c r="G1448" s="86">
        <v>0</v>
      </c>
      <c r="H1448" s="86"/>
      <c r="I1448" s="86">
        <v>0</v>
      </c>
      <c r="J1448" s="86"/>
      <c r="K1448" s="86">
        <v>0</v>
      </c>
      <c r="L1448" s="86"/>
      <c r="M1448" s="86">
        <v>0</v>
      </c>
      <c r="N1448" s="86"/>
      <c r="O1448" s="86">
        <v>0</v>
      </c>
      <c r="P1448" s="86">
        <v>103101.00000000003</v>
      </c>
      <c r="Q1448" s="86">
        <v>158</v>
      </c>
      <c r="R1448" s="87">
        <f t="shared" si="470"/>
        <v>158</v>
      </c>
      <c r="T1448" s="87">
        <v>0</v>
      </c>
      <c r="U1448" s="89"/>
      <c r="V1448" s="89">
        <v>0</v>
      </c>
      <c r="W1448" s="90"/>
      <c r="X1448" s="90">
        <v>0</v>
      </c>
      <c r="Y1448" s="90">
        <v>107118.5</v>
      </c>
      <c r="Z1448" s="90">
        <v>156</v>
      </c>
      <c r="AA1448" s="90">
        <v>5</v>
      </c>
      <c r="AB1448" s="89">
        <f t="shared" si="473"/>
        <v>0</v>
      </c>
      <c r="AC1448" s="89">
        <f t="shared" si="474"/>
        <v>158</v>
      </c>
      <c r="AD1448" s="89">
        <f t="shared" si="475"/>
        <v>156</v>
      </c>
      <c r="AF1448" s="90" t="str">
        <f t="shared" si="477"/>
        <v/>
      </c>
      <c r="AG1448" s="90">
        <f t="shared" si="478"/>
        <v>158</v>
      </c>
      <c r="AH1448" s="90">
        <f t="shared" si="479"/>
        <v>2018</v>
      </c>
      <c r="AI1448" s="90">
        <f t="shared" si="480"/>
        <v>156</v>
      </c>
      <c r="AJ1448" s="90">
        <f t="shared" si="481"/>
        <v>2022</v>
      </c>
      <c r="AK1448" s="90" t="str">
        <f t="shared" si="482"/>
        <v>Adjust</v>
      </c>
      <c r="AL1448" s="91">
        <f>IF(AK1448="Adjust",(_xlfn.XLOOKUP(A1448,'Adj factor'!A:A,'Adj factor'!I:I,,0)*AI1448),'Master DataSheet (Rev)'!AI1448)</f>
        <v>179.29058851398477</v>
      </c>
      <c r="AM1448" s="91">
        <f t="shared" si="483"/>
        <v>179.29058851398477</v>
      </c>
      <c r="AN1448" s="92" t="str">
        <f t="shared" si="484"/>
        <v>Increasing</v>
      </c>
      <c r="AS1448" s="94">
        <f t="shared" si="485"/>
        <v>0</v>
      </c>
      <c r="AT1448" s="94">
        <f t="shared" si="486"/>
        <v>15.324778615144369</v>
      </c>
      <c r="AU1448" s="94">
        <f t="shared" si="471"/>
        <v>16.737593274176241</v>
      </c>
      <c r="AV1448" s="94">
        <f t="shared" si="472"/>
        <v>16.737593274176241</v>
      </c>
    </row>
    <row r="1449" spans="1:48" x14ac:dyDescent="0.3">
      <c r="A1449" s="85" t="str">
        <f>_xlfn.XLOOKUP(B1449,'Country codes &amp; Data sources'!G:G,'Country codes &amp; Data sources'!H:H,,0)</f>
        <v>Seychelles</v>
      </c>
      <c r="B1449" s="85" t="s">
        <v>185</v>
      </c>
      <c r="C1449" s="85">
        <v>95317</v>
      </c>
      <c r="D1449" s="85" t="s">
        <v>334</v>
      </c>
      <c r="E1449" s="86">
        <v>0</v>
      </c>
      <c r="F1449" s="86">
        <v>96714</v>
      </c>
      <c r="G1449" s="86">
        <v>0</v>
      </c>
      <c r="H1449" s="86"/>
      <c r="I1449" s="86">
        <v>0</v>
      </c>
      <c r="J1449" s="86"/>
      <c r="K1449" s="86">
        <v>0</v>
      </c>
      <c r="L1449" s="86"/>
      <c r="M1449" s="86">
        <v>0</v>
      </c>
      <c r="N1449" s="86"/>
      <c r="O1449" s="86">
        <v>0</v>
      </c>
      <c r="P1449" s="86">
        <v>103101.00000000003</v>
      </c>
      <c r="Q1449" s="86">
        <v>0</v>
      </c>
      <c r="R1449" s="87">
        <f t="shared" si="470"/>
        <v>0</v>
      </c>
      <c r="T1449" s="87">
        <v>0</v>
      </c>
      <c r="U1449" s="89"/>
      <c r="V1449" s="89">
        <v>0</v>
      </c>
      <c r="W1449" s="90"/>
      <c r="X1449" s="90">
        <v>0</v>
      </c>
      <c r="Y1449" s="90">
        <v>107118.5</v>
      </c>
      <c r="Z1449" s="90">
        <v>0</v>
      </c>
      <c r="AA1449" s="90">
        <v>0</v>
      </c>
      <c r="AB1449" s="89">
        <f t="shared" si="473"/>
        <v>0</v>
      </c>
      <c r="AC1449" s="89">
        <f t="shared" si="474"/>
        <v>0</v>
      </c>
      <c r="AD1449" s="89">
        <f t="shared" si="475"/>
        <v>0</v>
      </c>
      <c r="AF1449" s="90" t="str">
        <f t="shared" si="477"/>
        <v/>
      </c>
      <c r="AH1449" s="90" t="str">
        <f t="shared" si="479"/>
        <v/>
      </c>
      <c r="AI1449" s="90">
        <f t="shared" si="480"/>
        <v>0</v>
      </c>
      <c r="AJ1449" s="90" t="str">
        <f t="shared" si="481"/>
        <v/>
      </c>
      <c r="AK1449" s="90" t="str">
        <f t="shared" si="482"/>
        <v/>
      </c>
      <c r="AL1449" s="91"/>
      <c r="AM1449" s="91">
        <f t="shared" si="483"/>
        <v>0</v>
      </c>
      <c r="AN1449" s="92" t="str">
        <f t="shared" si="484"/>
        <v>No change</v>
      </c>
      <c r="AS1449" s="94">
        <f t="shared" si="485"/>
        <v>0</v>
      </c>
      <c r="AT1449" s="94">
        <f t="shared" si="486"/>
        <v>0</v>
      </c>
      <c r="AU1449" s="94">
        <f t="shared" si="471"/>
        <v>0</v>
      </c>
      <c r="AV1449" s="94">
        <f t="shared" si="472"/>
        <v>0</v>
      </c>
    </row>
    <row r="1450" spans="1:48" x14ac:dyDescent="0.3">
      <c r="A1450" s="85" t="str">
        <f>_xlfn.XLOOKUP(B1450,'Country codes &amp; Data sources'!G:G,'Country codes &amp; Data sources'!H:H,,0)</f>
        <v>Seychelles</v>
      </c>
      <c r="B1450" s="85" t="s">
        <v>185</v>
      </c>
      <c r="C1450" s="85">
        <v>95318</v>
      </c>
      <c r="D1450" s="85" t="s">
        <v>335</v>
      </c>
      <c r="E1450" s="86">
        <v>4</v>
      </c>
      <c r="F1450" s="86">
        <v>96714</v>
      </c>
      <c r="G1450" s="86">
        <v>0</v>
      </c>
      <c r="H1450" s="86"/>
      <c r="I1450" s="86">
        <v>0</v>
      </c>
      <c r="J1450" s="86"/>
      <c r="K1450" s="86">
        <v>0</v>
      </c>
      <c r="L1450" s="86"/>
      <c r="M1450" s="86">
        <v>45</v>
      </c>
      <c r="N1450" s="86"/>
      <c r="O1450" s="86">
        <v>0</v>
      </c>
      <c r="P1450" s="86">
        <v>103101.00000000003</v>
      </c>
      <c r="Q1450" s="86">
        <v>124</v>
      </c>
      <c r="R1450" s="87">
        <f t="shared" si="470"/>
        <v>124</v>
      </c>
      <c r="T1450" s="87">
        <v>0</v>
      </c>
      <c r="U1450" s="89"/>
      <c r="V1450" s="89">
        <v>0</v>
      </c>
      <c r="W1450" s="90"/>
      <c r="X1450" s="90">
        <v>0</v>
      </c>
      <c r="Y1450" s="90">
        <v>107118.5</v>
      </c>
      <c r="Z1450" s="90">
        <v>61</v>
      </c>
      <c r="AA1450" s="90">
        <v>61</v>
      </c>
      <c r="AB1450" s="89">
        <f t="shared" si="473"/>
        <v>4</v>
      </c>
      <c r="AC1450" s="89">
        <f t="shared" si="474"/>
        <v>124</v>
      </c>
      <c r="AD1450" s="89">
        <f t="shared" si="475"/>
        <v>61</v>
      </c>
      <c r="AE1450" s="90">
        <f t="shared" si="476"/>
        <v>4</v>
      </c>
      <c r="AF1450" s="90">
        <f t="shared" si="477"/>
        <v>2012</v>
      </c>
      <c r="AG1450" s="90">
        <f t="shared" si="478"/>
        <v>124</v>
      </c>
      <c r="AH1450" s="90">
        <f t="shared" si="479"/>
        <v>2018</v>
      </c>
      <c r="AI1450" s="90">
        <f t="shared" si="480"/>
        <v>61</v>
      </c>
      <c r="AJ1450" s="90">
        <f t="shared" si="481"/>
        <v>2022</v>
      </c>
      <c r="AK1450" s="90" t="str">
        <f t="shared" si="482"/>
        <v>Adjust</v>
      </c>
      <c r="AL1450" s="91">
        <f>IF(AK1450="Adjust",(_xlfn.XLOOKUP(A1450,'Adj factor'!A:A,'Adj factor'!I:I,,0)*AI1450),'Master DataSheet (Rev)'!AI1450)</f>
        <v>70.107217303545326</v>
      </c>
      <c r="AM1450" s="91">
        <f t="shared" si="483"/>
        <v>124</v>
      </c>
      <c r="AN1450" s="92" t="str">
        <f t="shared" si="484"/>
        <v>Decreasing</v>
      </c>
      <c r="AS1450" s="94">
        <f t="shared" si="485"/>
        <v>0.41359058667824722</v>
      </c>
      <c r="AT1450" s="94">
        <f t="shared" si="486"/>
        <v>12.027041444796847</v>
      </c>
      <c r="AU1450" s="94">
        <f t="shared" si="471"/>
        <v>6.5448281392612229</v>
      </c>
      <c r="AV1450" s="94">
        <f t="shared" si="472"/>
        <v>11.575964936028791</v>
      </c>
    </row>
    <row r="1451" spans="1:48" x14ac:dyDescent="0.3">
      <c r="A1451" s="85" t="str">
        <f>_xlfn.XLOOKUP(B1451,'Country codes &amp; Data sources'!G:G,'Country codes &amp; Data sources'!H:H,,0)</f>
        <v>Seychelles</v>
      </c>
      <c r="B1451" s="85" t="s">
        <v>185</v>
      </c>
      <c r="C1451" s="85">
        <v>95319</v>
      </c>
      <c r="D1451" s="85" t="s">
        <v>336</v>
      </c>
      <c r="E1451" s="86">
        <v>0</v>
      </c>
      <c r="F1451" s="86">
        <v>96714</v>
      </c>
      <c r="G1451" s="86">
        <v>0</v>
      </c>
      <c r="H1451" s="86"/>
      <c r="I1451" s="86">
        <v>0</v>
      </c>
      <c r="J1451" s="86"/>
      <c r="K1451" s="86">
        <v>0</v>
      </c>
      <c r="L1451" s="86"/>
      <c r="M1451" s="86">
        <v>64</v>
      </c>
      <c r="N1451" s="86"/>
      <c r="O1451" s="86">
        <v>0</v>
      </c>
      <c r="P1451" s="86">
        <v>103101.00000000003</v>
      </c>
      <c r="Q1451" s="86">
        <v>0</v>
      </c>
      <c r="R1451" s="87">
        <f t="shared" si="470"/>
        <v>63</v>
      </c>
      <c r="T1451" s="87">
        <v>0</v>
      </c>
      <c r="U1451" s="89"/>
      <c r="V1451" s="89">
        <v>0</v>
      </c>
      <c r="W1451" s="90"/>
      <c r="X1451" s="90">
        <v>0</v>
      </c>
      <c r="Y1451" s="90">
        <v>107118.5</v>
      </c>
      <c r="Z1451" s="90">
        <v>0</v>
      </c>
      <c r="AA1451" s="90">
        <v>63</v>
      </c>
      <c r="AB1451" s="89">
        <f t="shared" si="473"/>
        <v>0</v>
      </c>
      <c r="AC1451" s="89">
        <f t="shared" si="474"/>
        <v>64</v>
      </c>
      <c r="AD1451" s="89">
        <f t="shared" si="475"/>
        <v>0</v>
      </c>
      <c r="AF1451" s="90" t="str">
        <f t="shared" si="477"/>
        <v/>
      </c>
      <c r="AG1451" s="90">
        <f t="shared" si="478"/>
        <v>63</v>
      </c>
      <c r="AH1451" s="90" t="str">
        <f t="shared" si="479"/>
        <v>2018 (triag)</v>
      </c>
      <c r="AI1451" s="90">
        <f t="shared" si="480"/>
        <v>63</v>
      </c>
      <c r="AJ1451" s="90" t="str">
        <f t="shared" si="481"/>
        <v>2018 (triag)</v>
      </c>
      <c r="AK1451" s="90" t="str">
        <f t="shared" si="482"/>
        <v/>
      </c>
      <c r="AL1451" s="91">
        <f>IF(AK1451="Adjust",(_xlfn.XLOOKUP(A1451,'Adj factor'!A:A,'Adj factor'!I:I,,0)*AI1451),'Master DataSheet (Rev)'!AI1451)</f>
        <v>63</v>
      </c>
      <c r="AM1451" s="91">
        <f t="shared" si="483"/>
        <v>63</v>
      </c>
      <c r="AN1451" s="92" t="str">
        <f t="shared" si="484"/>
        <v>No change</v>
      </c>
      <c r="AS1451" s="94">
        <f t="shared" si="485"/>
        <v>0</v>
      </c>
      <c r="AT1451" s="94">
        <f t="shared" si="486"/>
        <v>6.1105129921145265</v>
      </c>
      <c r="AU1451" s="94">
        <f t="shared" si="471"/>
        <v>5.8813370239501115</v>
      </c>
      <c r="AV1451" s="94">
        <f t="shared" si="472"/>
        <v>5.8813370239501115</v>
      </c>
    </row>
    <row r="1452" spans="1:48" x14ac:dyDescent="0.3">
      <c r="A1452" s="85" t="str">
        <f>_xlfn.XLOOKUP(B1452,'Country codes &amp; Data sources'!G:G,'Country codes &amp; Data sources'!H:H,,0)</f>
        <v>Seychelles</v>
      </c>
      <c r="B1452" s="85" t="s">
        <v>185</v>
      </c>
      <c r="C1452" s="85">
        <v>95320</v>
      </c>
      <c r="D1452" s="85" t="s">
        <v>337</v>
      </c>
      <c r="E1452" s="86">
        <v>14</v>
      </c>
      <c r="F1452" s="86">
        <v>96714</v>
      </c>
      <c r="G1452" s="86">
        <v>0</v>
      </c>
      <c r="H1452" s="86"/>
      <c r="I1452" s="86">
        <v>0</v>
      </c>
      <c r="J1452" s="86"/>
      <c r="K1452" s="86">
        <v>0</v>
      </c>
      <c r="L1452" s="86"/>
      <c r="M1452" s="86">
        <v>34</v>
      </c>
      <c r="N1452" s="86"/>
      <c r="O1452" s="86">
        <v>0</v>
      </c>
      <c r="P1452" s="86">
        <v>103101.00000000003</v>
      </c>
      <c r="Q1452" s="86">
        <v>0</v>
      </c>
      <c r="R1452" s="87">
        <f t="shared" si="470"/>
        <v>38</v>
      </c>
      <c r="T1452" s="87">
        <v>42</v>
      </c>
      <c r="U1452" s="89"/>
      <c r="V1452" s="89">
        <v>0</v>
      </c>
      <c r="W1452" s="90"/>
      <c r="X1452" s="90">
        <v>0</v>
      </c>
      <c r="Y1452" s="90">
        <v>107118.5</v>
      </c>
      <c r="Z1452" s="90">
        <v>44</v>
      </c>
      <c r="AA1452" s="90">
        <v>38</v>
      </c>
      <c r="AB1452" s="89">
        <f t="shared" si="473"/>
        <v>14</v>
      </c>
      <c r="AC1452" s="89">
        <f t="shared" si="474"/>
        <v>42</v>
      </c>
      <c r="AD1452" s="89">
        <f t="shared" si="475"/>
        <v>44</v>
      </c>
      <c r="AE1452" s="90">
        <f t="shared" si="476"/>
        <v>14</v>
      </c>
      <c r="AF1452" s="90">
        <f t="shared" si="477"/>
        <v>2012</v>
      </c>
      <c r="AG1452" s="90">
        <f t="shared" si="478"/>
        <v>38</v>
      </c>
      <c r="AH1452" s="90" t="str">
        <f t="shared" si="479"/>
        <v>2018 (triag)</v>
      </c>
      <c r="AI1452" s="90">
        <f t="shared" si="480"/>
        <v>44</v>
      </c>
      <c r="AJ1452" s="90">
        <f t="shared" si="481"/>
        <v>2022</v>
      </c>
      <c r="AK1452" s="90" t="str">
        <f t="shared" si="482"/>
        <v/>
      </c>
      <c r="AL1452" s="91">
        <f>IF(AK1452="Adjust",(_xlfn.XLOOKUP(A1452,'Adj factor'!A:A,'Adj factor'!I:I,,0)*AI1452),'Master DataSheet (Rev)'!AI1452)</f>
        <v>44</v>
      </c>
      <c r="AM1452" s="91">
        <f t="shared" si="483"/>
        <v>44</v>
      </c>
      <c r="AN1452" s="92" t="str">
        <f t="shared" si="484"/>
        <v>Increasing</v>
      </c>
      <c r="AS1452" s="94">
        <f t="shared" si="485"/>
        <v>1.4475670533738652</v>
      </c>
      <c r="AT1452" s="94">
        <f t="shared" si="486"/>
        <v>3.6857062492119366</v>
      </c>
      <c r="AU1452" s="94">
        <f t="shared" si="471"/>
        <v>4.107600461171506</v>
      </c>
      <c r="AV1452" s="94">
        <f t="shared" si="472"/>
        <v>4.107600461171506</v>
      </c>
    </row>
    <row r="1453" spans="1:48" x14ac:dyDescent="0.3">
      <c r="A1453" s="85" t="str">
        <f>_xlfn.XLOOKUP(B1453,'Country codes &amp; Data sources'!G:G,'Country codes &amp; Data sources'!H:H,,0)</f>
        <v>Seychelles</v>
      </c>
      <c r="B1453" s="85" t="s">
        <v>185</v>
      </c>
      <c r="C1453" s="85">
        <v>95321</v>
      </c>
      <c r="D1453" s="85" t="s">
        <v>338</v>
      </c>
      <c r="E1453" s="86">
        <v>0</v>
      </c>
      <c r="F1453" s="86">
        <v>96714</v>
      </c>
      <c r="G1453" s="86">
        <v>0</v>
      </c>
      <c r="H1453" s="86"/>
      <c r="I1453" s="86">
        <v>0</v>
      </c>
      <c r="J1453" s="86"/>
      <c r="K1453" s="86">
        <v>0</v>
      </c>
      <c r="L1453" s="86"/>
      <c r="M1453" s="86">
        <v>0</v>
      </c>
      <c r="N1453" s="86"/>
      <c r="O1453" s="86">
        <v>0</v>
      </c>
      <c r="P1453" s="86">
        <v>103101.00000000003</v>
      </c>
      <c r="Q1453" s="86">
        <v>0</v>
      </c>
      <c r="R1453" s="87">
        <f t="shared" si="470"/>
        <v>125</v>
      </c>
      <c r="T1453" s="87">
        <v>37</v>
      </c>
      <c r="U1453" s="89"/>
      <c r="V1453" s="89">
        <v>0</v>
      </c>
      <c r="W1453" s="90"/>
      <c r="X1453" s="90">
        <v>0</v>
      </c>
      <c r="Y1453" s="90">
        <v>107118.5</v>
      </c>
      <c r="Z1453" s="95">
        <v>114</v>
      </c>
      <c r="AA1453" s="90">
        <v>125</v>
      </c>
      <c r="AB1453" s="89">
        <f t="shared" si="473"/>
        <v>0</v>
      </c>
      <c r="AC1453" s="89">
        <f t="shared" si="474"/>
        <v>37</v>
      </c>
      <c r="AD1453" s="89">
        <f t="shared" si="475"/>
        <v>114</v>
      </c>
      <c r="AF1453" s="90" t="str">
        <f t="shared" si="477"/>
        <v/>
      </c>
      <c r="AG1453" s="90">
        <f t="shared" si="478"/>
        <v>125</v>
      </c>
      <c r="AH1453" s="90" t="str">
        <f t="shared" si="479"/>
        <v>2018 (triag)</v>
      </c>
      <c r="AI1453" s="90">
        <f t="shared" si="480"/>
        <v>114</v>
      </c>
      <c r="AJ1453" s="90">
        <f t="shared" si="481"/>
        <v>2022</v>
      </c>
      <c r="AK1453" s="90" t="str">
        <f t="shared" si="482"/>
        <v>Adjust</v>
      </c>
      <c r="AL1453" s="91">
        <f>IF(AK1453="Adjust",(_xlfn.XLOOKUP(A1453,'Adj factor'!A:A,'Adj factor'!I:I,,0)*AI1453),'Master DataSheet (Rev)'!AI1453)</f>
        <v>131.02004545252734</v>
      </c>
      <c r="AM1453" s="91">
        <f t="shared" si="483"/>
        <v>131.02004545252734</v>
      </c>
      <c r="AN1453" s="92" t="str">
        <f t="shared" si="484"/>
        <v>Increasing</v>
      </c>
      <c r="AS1453" s="94">
        <f t="shared" si="485"/>
        <v>0</v>
      </c>
      <c r="AT1453" s="94">
        <f t="shared" si="486"/>
        <v>12.124033714512949</v>
      </c>
      <c r="AU1453" s="94">
        <f t="shared" si="471"/>
        <v>12.231318161898024</v>
      </c>
      <c r="AV1453" s="94">
        <f t="shared" si="472"/>
        <v>12.231318161898024</v>
      </c>
    </row>
    <row r="1454" spans="1:48" x14ac:dyDescent="0.3">
      <c r="A1454" s="85" t="str">
        <f>_xlfn.XLOOKUP(B1454,'Country codes &amp; Data sources'!G:G,'Country codes &amp; Data sources'!H:H,,0)</f>
        <v>Seychelles</v>
      </c>
      <c r="B1454" s="85" t="s">
        <v>185</v>
      </c>
      <c r="C1454" s="85">
        <v>95322</v>
      </c>
      <c r="D1454" s="85" t="s">
        <v>339</v>
      </c>
      <c r="E1454" s="86">
        <v>0</v>
      </c>
      <c r="F1454" s="86">
        <v>96714</v>
      </c>
      <c r="G1454" s="86">
        <v>0</v>
      </c>
      <c r="H1454" s="86"/>
      <c r="I1454" s="86">
        <v>0</v>
      </c>
      <c r="J1454" s="86"/>
      <c r="K1454" s="86">
        <v>0</v>
      </c>
      <c r="L1454" s="86"/>
      <c r="M1454" s="86">
        <v>0</v>
      </c>
      <c r="N1454" s="86"/>
      <c r="O1454" s="86">
        <v>0</v>
      </c>
      <c r="P1454" s="86">
        <v>103101.00000000003</v>
      </c>
      <c r="Q1454" s="86">
        <v>0</v>
      </c>
      <c r="R1454" s="87">
        <f t="shared" si="470"/>
        <v>0</v>
      </c>
      <c r="T1454" s="87">
        <v>0</v>
      </c>
      <c r="U1454" s="89"/>
      <c r="V1454" s="89">
        <v>0</v>
      </c>
      <c r="W1454" s="90"/>
      <c r="X1454" s="90">
        <v>6</v>
      </c>
      <c r="Y1454" s="90">
        <v>107118.5</v>
      </c>
      <c r="Z1454" s="113">
        <v>27</v>
      </c>
      <c r="AA1454" s="90">
        <v>0</v>
      </c>
      <c r="AB1454" s="89">
        <f t="shared" si="473"/>
        <v>0</v>
      </c>
      <c r="AC1454" s="89">
        <f t="shared" si="474"/>
        <v>0</v>
      </c>
      <c r="AD1454" s="89">
        <f t="shared" si="475"/>
        <v>27</v>
      </c>
      <c r="AF1454" s="90" t="str">
        <f t="shared" si="477"/>
        <v/>
      </c>
      <c r="AH1454" s="90" t="str">
        <f t="shared" si="479"/>
        <v/>
      </c>
      <c r="AI1454" s="90">
        <f t="shared" si="480"/>
        <v>27</v>
      </c>
      <c r="AJ1454" s="90">
        <f t="shared" si="481"/>
        <v>2022</v>
      </c>
      <c r="AK1454" s="90" t="str">
        <f t="shared" si="482"/>
        <v/>
      </c>
      <c r="AL1454" s="91">
        <f>IF(AK1454="Adjust",(_xlfn.XLOOKUP(A1454,'Adj factor'!A:A,'Adj factor'!I:I,,0)*AI1454),'Master DataSheet (Rev)'!AI1454)</f>
        <v>27</v>
      </c>
      <c r="AM1454" s="91">
        <f t="shared" si="483"/>
        <v>27</v>
      </c>
      <c r="AN1454" s="92" t="str">
        <f t="shared" si="484"/>
        <v>Increasing</v>
      </c>
      <c r="AS1454" s="94">
        <f t="shared" si="485"/>
        <v>0</v>
      </c>
      <c r="AT1454" s="94">
        <f t="shared" si="486"/>
        <v>0</v>
      </c>
      <c r="AU1454" s="94">
        <f t="shared" si="471"/>
        <v>2.5205730102643336</v>
      </c>
      <c r="AV1454" s="94">
        <f t="shared" si="472"/>
        <v>2.5205730102643336</v>
      </c>
    </row>
    <row r="1455" spans="1:48" x14ac:dyDescent="0.3">
      <c r="A1455" s="85" t="str">
        <f>_xlfn.XLOOKUP(B1455,'Country codes &amp; Data sources'!G:G,'Country codes &amp; Data sources'!H:H,,0)</f>
        <v>Chad</v>
      </c>
      <c r="B1455" s="85" t="s">
        <v>169</v>
      </c>
      <c r="C1455" s="85">
        <v>12754906</v>
      </c>
      <c r="D1455" s="85" t="s">
        <v>326</v>
      </c>
      <c r="E1455" s="86">
        <v>528</v>
      </c>
      <c r="F1455" s="86">
        <v>13216766.5</v>
      </c>
      <c r="G1455" s="86">
        <v>573</v>
      </c>
      <c r="H1455" s="86">
        <v>13697125.5</v>
      </c>
      <c r="I1455" s="86">
        <v>608</v>
      </c>
      <c r="J1455" s="86">
        <v>14140274</v>
      </c>
      <c r="K1455" s="86">
        <v>696</v>
      </c>
      <c r="L1455" s="86">
        <v>14592585.000000004</v>
      </c>
      <c r="M1455" s="86">
        <v>540</v>
      </c>
      <c r="N1455" s="86">
        <v>15085884.000000006</v>
      </c>
      <c r="O1455" s="86">
        <v>651</v>
      </c>
      <c r="P1455" s="86">
        <v>15604210</v>
      </c>
      <c r="Q1455" s="86">
        <v>803</v>
      </c>
      <c r="R1455" s="87">
        <f t="shared" si="470"/>
        <v>803</v>
      </c>
      <c r="S1455" s="87">
        <v>16126866</v>
      </c>
      <c r="T1455" s="87">
        <v>859</v>
      </c>
      <c r="U1455" s="89">
        <v>16644701.499999996</v>
      </c>
      <c r="V1455" s="89">
        <v>1003</v>
      </c>
      <c r="W1455" s="90">
        <v>17179739.999999996</v>
      </c>
      <c r="X1455" s="90">
        <v>1000</v>
      </c>
      <c r="Y1455" s="90">
        <v>17723314.500000004</v>
      </c>
      <c r="Z1455" s="90">
        <v>1507</v>
      </c>
      <c r="AA1455" s="90">
        <v>803</v>
      </c>
      <c r="AB1455" s="89">
        <f t="shared" si="473"/>
        <v>696</v>
      </c>
      <c r="AC1455" s="89">
        <f t="shared" si="474"/>
        <v>859</v>
      </c>
      <c r="AD1455" s="89">
        <f t="shared" si="475"/>
        <v>1507</v>
      </c>
      <c r="AE1455" s="90">
        <f t="shared" si="476"/>
        <v>573</v>
      </c>
      <c r="AF1455" s="90">
        <f t="shared" si="477"/>
        <v>2013</v>
      </c>
      <c r="AG1455" s="90">
        <f t="shared" si="478"/>
        <v>803</v>
      </c>
      <c r="AH1455" s="90">
        <f t="shared" si="479"/>
        <v>2018</v>
      </c>
      <c r="AI1455" s="90">
        <f t="shared" si="480"/>
        <v>1507</v>
      </c>
      <c r="AJ1455" s="90">
        <f t="shared" si="481"/>
        <v>2022</v>
      </c>
      <c r="AK1455" s="90" t="str">
        <f t="shared" si="482"/>
        <v/>
      </c>
      <c r="AL1455" s="91">
        <f>IF(AK1455="Adjust",(_xlfn.XLOOKUP(A1455,'Adj factor'!A:A,'Adj factor'!I:I,,0)*AI1455),'Master DataSheet (Rev)'!AI1455)</f>
        <v>1507</v>
      </c>
      <c r="AM1455" s="91">
        <f t="shared" si="483"/>
        <v>1507</v>
      </c>
      <c r="AN1455" s="92" t="str">
        <f t="shared" si="484"/>
        <v>Increasing</v>
      </c>
      <c r="AS1455" s="94">
        <f t="shared" si="485"/>
        <v>0.43354023088778937</v>
      </c>
      <c r="AT1455" s="94">
        <f t="shared" si="486"/>
        <v>0.51460471244619244</v>
      </c>
      <c r="AU1455" s="94">
        <f t="shared" si="471"/>
        <v>0.85029242131882254</v>
      </c>
      <c r="AV1455" s="94">
        <f t="shared" si="472"/>
        <v>0.85029242131882254</v>
      </c>
    </row>
    <row r="1456" spans="1:48" x14ac:dyDescent="0.3">
      <c r="A1456" s="85" t="str">
        <f>_xlfn.XLOOKUP(B1456,'Country codes &amp; Data sources'!G:G,'Country codes &amp; Data sources'!H:H,,0)</f>
        <v>Chad</v>
      </c>
      <c r="B1456" s="85" t="s">
        <v>169</v>
      </c>
      <c r="C1456" s="85">
        <v>12754907</v>
      </c>
      <c r="D1456" s="85" t="s">
        <v>327</v>
      </c>
      <c r="E1456" s="86">
        <v>0</v>
      </c>
      <c r="F1456" s="86">
        <v>13216766.5</v>
      </c>
      <c r="G1456" s="86">
        <v>0</v>
      </c>
      <c r="H1456" s="86"/>
      <c r="I1456" s="86">
        <v>0</v>
      </c>
      <c r="J1456" s="86"/>
      <c r="K1456" s="86">
        <v>0</v>
      </c>
      <c r="L1456" s="86"/>
      <c r="M1456" s="86">
        <v>0</v>
      </c>
      <c r="N1456" s="86"/>
      <c r="O1456" s="86">
        <v>0</v>
      </c>
      <c r="P1456" s="86">
        <v>15604210</v>
      </c>
      <c r="Q1456" s="86">
        <v>646</v>
      </c>
      <c r="R1456" s="87">
        <f t="shared" si="470"/>
        <v>646</v>
      </c>
      <c r="T1456" s="87">
        <v>642</v>
      </c>
      <c r="U1456" s="89"/>
      <c r="V1456" s="89">
        <v>784</v>
      </c>
      <c r="W1456" s="90"/>
      <c r="X1456" s="90">
        <v>740</v>
      </c>
      <c r="Y1456" s="90">
        <v>17723314.500000004</v>
      </c>
      <c r="Z1456" s="90">
        <v>1197</v>
      </c>
      <c r="AA1456" s="90">
        <v>646</v>
      </c>
      <c r="AB1456" s="89">
        <f t="shared" si="473"/>
        <v>0</v>
      </c>
      <c r="AC1456" s="89">
        <f t="shared" si="474"/>
        <v>646</v>
      </c>
      <c r="AD1456" s="89">
        <f t="shared" si="475"/>
        <v>1197</v>
      </c>
      <c r="AF1456" s="90" t="str">
        <f t="shared" si="477"/>
        <v/>
      </c>
      <c r="AG1456" s="90">
        <f t="shared" si="478"/>
        <v>646</v>
      </c>
      <c r="AH1456" s="90">
        <f t="shared" si="479"/>
        <v>2018</v>
      </c>
      <c r="AI1456" s="90">
        <f t="shared" si="480"/>
        <v>1197</v>
      </c>
      <c r="AJ1456" s="90">
        <f t="shared" si="481"/>
        <v>2022</v>
      </c>
      <c r="AK1456" s="90" t="str">
        <f t="shared" si="482"/>
        <v/>
      </c>
      <c r="AL1456" s="91">
        <f>IF(AK1456="Adjust",(_xlfn.XLOOKUP(A1456,'Adj factor'!A:A,'Adj factor'!I:I,,0)*AI1456),'Master DataSheet (Rev)'!AI1456)</f>
        <v>1197</v>
      </c>
      <c r="AM1456" s="91">
        <f t="shared" si="483"/>
        <v>1197</v>
      </c>
      <c r="AN1456" s="92" t="str">
        <f t="shared" si="484"/>
        <v>Increasing</v>
      </c>
      <c r="AS1456" s="94">
        <f t="shared" si="485"/>
        <v>0</v>
      </c>
      <c r="AT1456" s="94">
        <f t="shared" si="486"/>
        <v>0.41399083965160682</v>
      </c>
      <c r="AU1456" s="94">
        <f t="shared" si="471"/>
        <v>0.67538157154520939</v>
      </c>
      <c r="AV1456" s="94">
        <f t="shared" si="472"/>
        <v>0.67538157154520939</v>
      </c>
    </row>
    <row r="1457" spans="1:48" x14ac:dyDescent="0.3">
      <c r="A1457" s="85" t="str">
        <f>_xlfn.XLOOKUP(B1457,'Country codes &amp; Data sources'!G:G,'Country codes &amp; Data sources'!H:H,,0)</f>
        <v>Chad</v>
      </c>
      <c r="B1457" s="85" t="s">
        <v>169</v>
      </c>
      <c r="C1457" s="85">
        <v>12754908</v>
      </c>
      <c r="D1457" s="85" t="s">
        <v>328</v>
      </c>
      <c r="E1457" s="86">
        <v>0</v>
      </c>
      <c r="F1457" s="86">
        <v>13216766.5</v>
      </c>
      <c r="G1457" s="86">
        <v>0</v>
      </c>
      <c r="H1457" s="86"/>
      <c r="I1457" s="86">
        <v>0</v>
      </c>
      <c r="J1457" s="86"/>
      <c r="K1457" s="86">
        <v>0</v>
      </c>
      <c r="L1457" s="86"/>
      <c r="M1457" s="86">
        <v>0</v>
      </c>
      <c r="N1457" s="86"/>
      <c r="O1457" s="86">
        <v>0</v>
      </c>
      <c r="P1457" s="86">
        <v>15604210</v>
      </c>
      <c r="Q1457" s="86">
        <v>157</v>
      </c>
      <c r="R1457" s="87">
        <f t="shared" si="470"/>
        <v>157</v>
      </c>
      <c r="T1457" s="87">
        <v>202</v>
      </c>
      <c r="U1457" s="89"/>
      <c r="V1457" s="89">
        <v>219</v>
      </c>
      <c r="W1457" s="90"/>
      <c r="X1457" s="90">
        <v>260</v>
      </c>
      <c r="Y1457" s="90">
        <v>17723314.500000004</v>
      </c>
      <c r="Z1457" s="90">
        <v>310</v>
      </c>
      <c r="AA1457" s="90">
        <v>157</v>
      </c>
      <c r="AB1457" s="89">
        <f t="shared" si="473"/>
        <v>0</v>
      </c>
      <c r="AC1457" s="89">
        <f t="shared" si="474"/>
        <v>202</v>
      </c>
      <c r="AD1457" s="89">
        <f t="shared" si="475"/>
        <v>310</v>
      </c>
      <c r="AF1457" s="90" t="str">
        <f t="shared" si="477"/>
        <v/>
      </c>
      <c r="AG1457" s="90">
        <f t="shared" si="478"/>
        <v>157</v>
      </c>
      <c r="AH1457" s="90">
        <f t="shared" si="479"/>
        <v>2018</v>
      </c>
      <c r="AI1457" s="90">
        <f t="shared" si="480"/>
        <v>310</v>
      </c>
      <c r="AJ1457" s="90">
        <f t="shared" si="481"/>
        <v>2022</v>
      </c>
      <c r="AK1457" s="90" t="str">
        <f t="shared" si="482"/>
        <v/>
      </c>
      <c r="AL1457" s="91">
        <f>IF(AK1457="Adjust",(_xlfn.XLOOKUP(A1457,'Adj factor'!A:A,'Adj factor'!I:I,,0)*AI1457),'Master DataSheet (Rev)'!AI1457)</f>
        <v>310</v>
      </c>
      <c r="AM1457" s="91">
        <f t="shared" si="483"/>
        <v>310</v>
      </c>
      <c r="AN1457" s="92" t="str">
        <f t="shared" si="484"/>
        <v>Increasing</v>
      </c>
      <c r="AS1457" s="94">
        <f t="shared" si="485"/>
        <v>0</v>
      </c>
      <c r="AT1457" s="94">
        <f t="shared" si="486"/>
        <v>0.10061387279458556</v>
      </c>
      <c r="AU1457" s="94">
        <f t="shared" si="471"/>
        <v>0.17491084977361313</v>
      </c>
      <c r="AV1457" s="94">
        <f t="shared" si="472"/>
        <v>0.17491084977361313</v>
      </c>
    </row>
    <row r="1458" spans="1:48" x14ac:dyDescent="0.3">
      <c r="A1458" s="85" t="str">
        <f>_xlfn.XLOOKUP(B1458,'Country codes &amp; Data sources'!G:G,'Country codes &amp; Data sources'!H:H,,0)</f>
        <v>Chad</v>
      </c>
      <c r="B1458" s="85" t="s">
        <v>169</v>
      </c>
      <c r="C1458" s="85">
        <v>12754909</v>
      </c>
      <c r="D1458" s="85" t="s">
        <v>329</v>
      </c>
      <c r="E1458" s="86">
        <v>3141</v>
      </c>
      <c r="F1458" s="86">
        <v>13216766.5</v>
      </c>
      <c r="G1458" s="86">
        <v>3606</v>
      </c>
      <c r="H1458" s="86"/>
      <c r="I1458" s="86">
        <v>3606</v>
      </c>
      <c r="J1458" s="86"/>
      <c r="K1458" s="86">
        <v>3563</v>
      </c>
      <c r="L1458" s="86"/>
      <c r="M1458" s="86">
        <v>3106</v>
      </c>
      <c r="N1458" s="86"/>
      <c r="O1458" s="86">
        <v>3487</v>
      </c>
      <c r="P1458" s="86">
        <v>15604210</v>
      </c>
      <c r="Q1458" s="86">
        <v>4799</v>
      </c>
      <c r="R1458" s="87">
        <f t="shared" si="470"/>
        <v>4799</v>
      </c>
      <c r="T1458" s="87">
        <v>0</v>
      </c>
      <c r="U1458" s="89"/>
      <c r="V1458" s="89">
        <v>2623</v>
      </c>
      <c r="W1458" s="90"/>
      <c r="X1458" s="90">
        <v>2677</v>
      </c>
      <c r="Y1458" s="90">
        <v>17723314.500000004</v>
      </c>
      <c r="Z1458" s="90">
        <v>2933</v>
      </c>
      <c r="AA1458" s="90">
        <v>3863</v>
      </c>
      <c r="AB1458" s="89">
        <f t="shared" si="473"/>
        <v>3606</v>
      </c>
      <c r="AC1458" s="89">
        <f t="shared" si="474"/>
        <v>4799</v>
      </c>
      <c r="AD1458" s="89">
        <f t="shared" si="475"/>
        <v>2933</v>
      </c>
      <c r="AE1458" s="90">
        <f t="shared" si="476"/>
        <v>3606</v>
      </c>
      <c r="AF1458" s="90">
        <f t="shared" si="477"/>
        <v>2013</v>
      </c>
      <c r="AG1458" s="90">
        <f t="shared" si="478"/>
        <v>4799</v>
      </c>
      <c r="AH1458" s="90">
        <f t="shared" si="479"/>
        <v>2018</v>
      </c>
      <c r="AI1458" s="90">
        <f t="shared" si="480"/>
        <v>2933</v>
      </c>
      <c r="AJ1458" s="90">
        <f t="shared" si="481"/>
        <v>2022</v>
      </c>
      <c r="AK1458" s="90" t="str">
        <f t="shared" si="482"/>
        <v>Adjust</v>
      </c>
      <c r="AL1458" s="91">
        <f>IF(AK1458="Adjust",(_xlfn.XLOOKUP(A1458,'Adj factor'!A:A,'Adj factor'!I:I,,0)*AI1458),'Master DataSheet (Rev)'!AI1458)</f>
        <v>3387.151734852408</v>
      </c>
      <c r="AM1458" s="91">
        <f t="shared" si="483"/>
        <v>4799</v>
      </c>
      <c r="AN1458" s="92" t="str">
        <f t="shared" si="484"/>
        <v>Decreasing</v>
      </c>
      <c r="AS1458" s="94">
        <f t="shared" si="485"/>
        <v>2.7283526572100674</v>
      </c>
      <c r="AT1458" s="94">
        <f t="shared" si="486"/>
        <v>3.0754520735109305</v>
      </c>
      <c r="AU1458" s="94">
        <f t="shared" si="471"/>
        <v>1.9111277040490406</v>
      </c>
      <c r="AV1458" s="94">
        <f t="shared" si="472"/>
        <v>2.7077328002050627</v>
      </c>
    </row>
    <row r="1459" spans="1:48" x14ac:dyDescent="0.3">
      <c r="A1459" s="85" t="str">
        <f>_xlfn.XLOOKUP(B1459,'Country codes &amp; Data sources'!G:G,'Country codes &amp; Data sources'!H:H,,0)</f>
        <v>Chad</v>
      </c>
      <c r="B1459" s="85" t="s">
        <v>169</v>
      </c>
      <c r="C1459" s="85">
        <v>12754910</v>
      </c>
      <c r="D1459" s="85" t="s">
        <v>330</v>
      </c>
      <c r="E1459" s="86">
        <v>0</v>
      </c>
      <c r="F1459" s="86">
        <v>13216766.5</v>
      </c>
      <c r="G1459" s="86">
        <v>0</v>
      </c>
      <c r="H1459" s="86"/>
      <c r="I1459" s="86">
        <v>0</v>
      </c>
      <c r="J1459" s="86"/>
      <c r="K1459" s="86">
        <v>0</v>
      </c>
      <c r="L1459" s="86"/>
      <c r="M1459" s="86">
        <v>0</v>
      </c>
      <c r="N1459" s="86"/>
      <c r="O1459" s="86">
        <v>0</v>
      </c>
      <c r="P1459" s="86">
        <v>15604210</v>
      </c>
      <c r="Q1459" s="86">
        <v>0</v>
      </c>
      <c r="R1459" s="87">
        <f t="shared" si="470"/>
        <v>1787</v>
      </c>
      <c r="T1459" s="87">
        <v>0</v>
      </c>
      <c r="U1459" s="89"/>
      <c r="V1459" s="89">
        <v>1528</v>
      </c>
      <c r="W1459" s="90"/>
      <c r="X1459" s="90">
        <v>1537</v>
      </c>
      <c r="Y1459" s="90">
        <v>17723314.500000004</v>
      </c>
      <c r="Z1459" s="90">
        <v>1668</v>
      </c>
      <c r="AA1459" s="90">
        <v>1787</v>
      </c>
      <c r="AB1459" s="89">
        <f t="shared" si="473"/>
        <v>0</v>
      </c>
      <c r="AC1459" s="89">
        <f t="shared" si="474"/>
        <v>0</v>
      </c>
      <c r="AD1459" s="89">
        <f t="shared" si="475"/>
        <v>1668</v>
      </c>
      <c r="AF1459" s="90" t="str">
        <f t="shared" si="477"/>
        <v/>
      </c>
      <c r="AG1459" s="90">
        <f t="shared" si="478"/>
        <v>1787</v>
      </c>
      <c r="AH1459" s="90" t="str">
        <f t="shared" si="479"/>
        <v>2018 (triag)</v>
      </c>
      <c r="AI1459" s="90">
        <f t="shared" si="480"/>
        <v>1668</v>
      </c>
      <c r="AJ1459" s="90">
        <f t="shared" si="481"/>
        <v>2022</v>
      </c>
      <c r="AK1459" s="90" t="str">
        <f t="shared" si="482"/>
        <v>Adjust</v>
      </c>
      <c r="AL1459" s="91">
        <f>IF(AK1459="Adjust",(_xlfn.XLOOKUP(A1459,'Adj factor'!A:A,'Adj factor'!I:I,,0)*AI1459),'Master DataSheet (Rev)'!AI1459)</f>
        <v>1926.2765406525116</v>
      </c>
      <c r="AM1459" s="91">
        <f t="shared" si="483"/>
        <v>1926.2765406525116</v>
      </c>
      <c r="AN1459" s="92" t="str">
        <f t="shared" si="484"/>
        <v>Increasing</v>
      </c>
      <c r="AS1459" s="94">
        <f t="shared" si="485"/>
        <v>0</v>
      </c>
      <c r="AT1459" s="94">
        <f t="shared" si="486"/>
        <v>1.1452037623179898</v>
      </c>
      <c r="AU1459" s="94">
        <f t="shared" si="471"/>
        <v>1.0868602149177633</v>
      </c>
      <c r="AV1459" s="94">
        <f t="shared" si="472"/>
        <v>1.0868602149177633</v>
      </c>
    </row>
    <row r="1460" spans="1:48" x14ac:dyDescent="0.3">
      <c r="A1460" s="85" t="str">
        <f>_xlfn.XLOOKUP(B1460,'Country codes &amp; Data sources'!G:G,'Country codes &amp; Data sources'!H:H,,0)</f>
        <v>Chad</v>
      </c>
      <c r="B1460" s="85" t="s">
        <v>169</v>
      </c>
      <c r="C1460" s="85">
        <v>12754911</v>
      </c>
      <c r="D1460" s="85" t="s">
        <v>331</v>
      </c>
      <c r="E1460" s="86">
        <v>0</v>
      </c>
      <c r="F1460" s="86">
        <v>13216766.5</v>
      </c>
      <c r="G1460" s="86">
        <v>0</v>
      </c>
      <c r="H1460" s="86"/>
      <c r="I1460" s="86">
        <v>0</v>
      </c>
      <c r="J1460" s="86"/>
      <c r="K1460" s="86">
        <v>0</v>
      </c>
      <c r="L1460" s="86"/>
      <c r="M1460" s="86">
        <v>0</v>
      </c>
      <c r="N1460" s="86"/>
      <c r="O1460" s="86">
        <v>0</v>
      </c>
      <c r="P1460" s="86">
        <v>15604210</v>
      </c>
      <c r="Q1460" s="86">
        <v>0</v>
      </c>
      <c r="R1460" s="87">
        <f t="shared" si="470"/>
        <v>2076</v>
      </c>
      <c r="T1460" s="87">
        <v>0</v>
      </c>
      <c r="U1460" s="89"/>
      <c r="V1460" s="89">
        <v>827</v>
      </c>
      <c r="W1460" s="90"/>
      <c r="X1460" s="90">
        <v>1140</v>
      </c>
      <c r="Y1460" s="90">
        <v>17723314.500000004</v>
      </c>
      <c r="Z1460" s="90">
        <v>1265</v>
      </c>
      <c r="AA1460" s="90">
        <v>2076</v>
      </c>
      <c r="AB1460" s="89">
        <f t="shared" si="473"/>
        <v>0</v>
      </c>
      <c r="AC1460" s="89">
        <f t="shared" si="474"/>
        <v>0</v>
      </c>
      <c r="AD1460" s="89">
        <f t="shared" si="475"/>
        <v>1265</v>
      </c>
      <c r="AF1460" s="90" t="str">
        <f t="shared" si="477"/>
        <v/>
      </c>
      <c r="AG1460" s="90">
        <f t="shared" si="478"/>
        <v>2076</v>
      </c>
      <c r="AH1460" s="90" t="str">
        <f t="shared" si="479"/>
        <v>2018 (triag)</v>
      </c>
      <c r="AI1460" s="90">
        <f t="shared" si="480"/>
        <v>1265</v>
      </c>
      <c r="AJ1460" s="90">
        <f t="shared" si="481"/>
        <v>2022</v>
      </c>
      <c r="AK1460" s="90" t="str">
        <f t="shared" si="482"/>
        <v>Adjust</v>
      </c>
      <c r="AL1460" s="91">
        <f>IF(AK1460="Adjust",(_xlfn.XLOOKUP(A1460,'Adj factor'!A:A,'Adj factor'!I:I,,0)*AI1460),'Master DataSheet (Rev)'!AI1460)</f>
        <v>1460.8751941998964</v>
      </c>
      <c r="AM1460" s="91">
        <f t="shared" si="483"/>
        <v>2076</v>
      </c>
      <c r="AN1460" s="92" t="str">
        <f t="shared" si="484"/>
        <v>Decreasing</v>
      </c>
      <c r="AS1460" s="94">
        <f t="shared" si="485"/>
        <v>0</v>
      </c>
      <c r="AT1460" s="94">
        <f t="shared" si="486"/>
        <v>1.3304101905831824</v>
      </c>
      <c r="AU1460" s="94">
        <f t="shared" si="471"/>
        <v>0.82426748913127734</v>
      </c>
      <c r="AV1460" s="94">
        <f t="shared" si="472"/>
        <v>1.1713384649355512</v>
      </c>
    </row>
    <row r="1461" spans="1:48" x14ac:dyDescent="0.3">
      <c r="A1461" s="85" t="str">
        <f>_xlfn.XLOOKUP(B1461,'Country codes &amp; Data sources'!G:G,'Country codes &amp; Data sources'!H:H,,0)</f>
        <v>Chad</v>
      </c>
      <c r="B1461" s="85" t="s">
        <v>169</v>
      </c>
      <c r="C1461" s="85">
        <v>12754912</v>
      </c>
      <c r="D1461" s="85" t="s">
        <v>332</v>
      </c>
      <c r="E1461" s="86">
        <v>416</v>
      </c>
      <c r="F1461" s="86">
        <v>13216766.5</v>
      </c>
      <c r="G1461" s="86">
        <v>451</v>
      </c>
      <c r="H1461" s="86"/>
      <c r="I1461" s="86">
        <v>0</v>
      </c>
      <c r="J1461" s="86"/>
      <c r="K1461" s="86">
        <v>0</v>
      </c>
      <c r="L1461" s="86"/>
      <c r="M1461" s="86">
        <v>0</v>
      </c>
      <c r="N1461" s="86"/>
      <c r="O1461" s="86">
        <v>0</v>
      </c>
      <c r="P1461" s="86">
        <v>15604210</v>
      </c>
      <c r="Q1461" s="86">
        <v>0</v>
      </c>
      <c r="R1461" s="87">
        <f t="shared" si="470"/>
        <v>936</v>
      </c>
      <c r="T1461" s="87">
        <v>589</v>
      </c>
      <c r="U1461" s="89"/>
      <c r="V1461" s="89">
        <v>710</v>
      </c>
      <c r="W1461" s="90"/>
      <c r="X1461" s="90">
        <v>721</v>
      </c>
      <c r="Y1461" s="90">
        <v>17723314.500000004</v>
      </c>
      <c r="Z1461" s="90">
        <v>783</v>
      </c>
      <c r="AA1461" s="90">
        <v>936</v>
      </c>
      <c r="AB1461" s="89">
        <f t="shared" si="473"/>
        <v>451</v>
      </c>
      <c r="AC1461" s="89">
        <f t="shared" si="474"/>
        <v>589</v>
      </c>
      <c r="AD1461" s="89">
        <f t="shared" si="475"/>
        <v>783</v>
      </c>
      <c r="AE1461" s="90">
        <f t="shared" si="476"/>
        <v>451</v>
      </c>
      <c r="AF1461" s="90">
        <f t="shared" si="477"/>
        <v>2013</v>
      </c>
      <c r="AG1461" s="90">
        <f t="shared" si="478"/>
        <v>936</v>
      </c>
      <c r="AH1461" s="90" t="str">
        <f t="shared" si="479"/>
        <v>2018 (triag)</v>
      </c>
      <c r="AI1461" s="90">
        <f t="shared" si="480"/>
        <v>783</v>
      </c>
      <c r="AJ1461" s="90">
        <f t="shared" si="481"/>
        <v>2022</v>
      </c>
      <c r="AK1461" s="90" t="str">
        <f t="shared" si="482"/>
        <v>Adjust</v>
      </c>
      <c r="AL1461" s="91">
        <f>IF(AK1461="Adjust",(_xlfn.XLOOKUP(A1461,'Adj factor'!A:A,'Adj factor'!I:I,,0)*AI1461),'Master DataSheet (Rev)'!AI1461)</f>
        <v>904.24132573795964</v>
      </c>
      <c r="AM1461" s="91">
        <f t="shared" si="483"/>
        <v>936</v>
      </c>
      <c r="AN1461" s="92" t="str">
        <f t="shared" si="484"/>
        <v>Decreasing</v>
      </c>
      <c r="AS1461" s="94">
        <f t="shared" si="485"/>
        <v>0.3412332358296562</v>
      </c>
      <c r="AT1461" s="94">
        <f t="shared" si="486"/>
        <v>0.5998381206097585</v>
      </c>
      <c r="AU1461" s="94">
        <f t="shared" si="471"/>
        <v>0.51019876995240343</v>
      </c>
      <c r="AV1461" s="94">
        <f t="shared" si="472"/>
        <v>0.52811792060678031</v>
      </c>
    </row>
    <row r="1462" spans="1:48" x14ac:dyDescent="0.3">
      <c r="A1462" s="85" t="str">
        <f>_xlfn.XLOOKUP(B1462,'Country codes &amp; Data sources'!G:G,'Country codes &amp; Data sources'!H:H,,0)</f>
        <v>Chad</v>
      </c>
      <c r="B1462" s="85" t="s">
        <v>169</v>
      </c>
      <c r="C1462" s="85">
        <v>12754913</v>
      </c>
      <c r="D1462" s="85" t="s">
        <v>333</v>
      </c>
      <c r="E1462" s="86">
        <v>0</v>
      </c>
      <c r="F1462" s="86">
        <v>13216766.5</v>
      </c>
      <c r="G1462" s="86">
        <v>0</v>
      </c>
      <c r="H1462" s="86"/>
      <c r="I1462" s="86">
        <v>0</v>
      </c>
      <c r="J1462" s="86"/>
      <c r="K1462" s="86">
        <v>0</v>
      </c>
      <c r="L1462" s="86"/>
      <c r="M1462" s="86">
        <v>0</v>
      </c>
      <c r="N1462" s="86"/>
      <c r="O1462" s="86">
        <v>0</v>
      </c>
      <c r="P1462" s="86">
        <v>15604210</v>
      </c>
      <c r="Q1462" s="86">
        <v>0</v>
      </c>
      <c r="R1462" s="87">
        <f t="shared" si="470"/>
        <v>744</v>
      </c>
      <c r="T1462" s="87">
        <v>0</v>
      </c>
      <c r="U1462" s="89"/>
      <c r="V1462" s="89">
        <v>710</v>
      </c>
      <c r="W1462" s="90"/>
      <c r="X1462" s="90">
        <v>617</v>
      </c>
      <c r="Y1462" s="90">
        <v>17723314.500000004</v>
      </c>
      <c r="Z1462" s="90">
        <v>657</v>
      </c>
      <c r="AA1462" s="90">
        <v>744</v>
      </c>
      <c r="AB1462" s="89">
        <f t="shared" si="473"/>
        <v>0</v>
      </c>
      <c r="AC1462" s="89">
        <f t="shared" si="474"/>
        <v>0</v>
      </c>
      <c r="AD1462" s="89">
        <f t="shared" si="475"/>
        <v>710</v>
      </c>
      <c r="AF1462" s="90" t="str">
        <f t="shared" si="477"/>
        <v/>
      </c>
      <c r="AG1462" s="90">
        <f t="shared" si="478"/>
        <v>744</v>
      </c>
      <c r="AH1462" s="90" t="str">
        <f t="shared" si="479"/>
        <v>2018 (triag)</v>
      </c>
      <c r="AI1462" s="90">
        <f t="shared" si="480"/>
        <v>657</v>
      </c>
      <c r="AJ1462" s="90">
        <f t="shared" si="481"/>
        <v>2022</v>
      </c>
      <c r="AK1462" s="90" t="str">
        <f t="shared" si="482"/>
        <v>Adjust</v>
      </c>
      <c r="AL1462" s="91">
        <f>IF(AK1462="Adjust",(_xlfn.XLOOKUP(A1462,'Adj factor'!A:A,'Adj factor'!I:I,,0)*AI1462),'Master DataSheet (Rev)'!AI1462)</f>
        <v>758.73122734334538</v>
      </c>
      <c r="AM1462" s="91">
        <f t="shared" si="483"/>
        <v>758.73122734334538</v>
      </c>
      <c r="AN1462" s="92" t="str">
        <f t="shared" si="484"/>
        <v>Increasing</v>
      </c>
      <c r="AS1462" s="94">
        <f t="shared" si="485"/>
        <v>0</v>
      </c>
      <c r="AT1462" s="94">
        <f t="shared" si="486"/>
        <v>0.47679440356160291</v>
      </c>
      <c r="AU1462" s="94">
        <f t="shared" si="471"/>
        <v>0.42809781846580963</v>
      </c>
      <c r="AV1462" s="94">
        <f t="shared" si="472"/>
        <v>0.42809781846580963</v>
      </c>
    </row>
    <row r="1463" spans="1:48" x14ac:dyDescent="0.3">
      <c r="A1463" s="85" t="str">
        <f>_xlfn.XLOOKUP(B1463,'Country codes &amp; Data sources'!G:G,'Country codes &amp; Data sources'!H:H,,0)</f>
        <v>Chad</v>
      </c>
      <c r="B1463" s="85" t="s">
        <v>169</v>
      </c>
      <c r="C1463" s="85">
        <v>12754914</v>
      </c>
      <c r="D1463" s="85" t="s">
        <v>334</v>
      </c>
      <c r="E1463" s="86">
        <v>0</v>
      </c>
      <c r="F1463" s="86">
        <v>13216766.5</v>
      </c>
      <c r="G1463" s="86">
        <v>0</v>
      </c>
      <c r="H1463" s="86"/>
      <c r="I1463" s="86">
        <v>0</v>
      </c>
      <c r="J1463" s="86"/>
      <c r="K1463" s="86">
        <v>0</v>
      </c>
      <c r="L1463" s="86"/>
      <c r="M1463" s="86">
        <v>0</v>
      </c>
      <c r="N1463" s="86"/>
      <c r="O1463" s="86">
        <v>0</v>
      </c>
      <c r="P1463" s="86">
        <v>15604210</v>
      </c>
      <c r="Q1463" s="86">
        <v>0</v>
      </c>
      <c r="R1463" s="87">
        <f t="shared" si="470"/>
        <v>192</v>
      </c>
      <c r="T1463" s="87">
        <v>0</v>
      </c>
      <c r="U1463" s="89"/>
      <c r="V1463" s="89">
        <v>0</v>
      </c>
      <c r="W1463" s="90"/>
      <c r="X1463" s="90">
        <v>104</v>
      </c>
      <c r="Y1463" s="90">
        <v>17723314.500000004</v>
      </c>
      <c r="Z1463" s="90">
        <v>126</v>
      </c>
      <c r="AA1463" s="90">
        <v>192</v>
      </c>
      <c r="AB1463" s="89">
        <f t="shared" si="473"/>
        <v>0</v>
      </c>
      <c r="AC1463" s="89">
        <f t="shared" si="474"/>
        <v>0</v>
      </c>
      <c r="AD1463" s="89">
        <f t="shared" si="475"/>
        <v>126</v>
      </c>
      <c r="AF1463" s="90" t="str">
        <f t="shared" si="477"/>
        <v/>
      </c>
      <c r="AG1463" s="90">
        <f t="shared" si="478"/>
        <v>192</v>
      </c>
      <c r="AH1463" s="90" t="str">
        <f t="shared" si="479"/>
        <v>2018 (triag)</v>
      </c>
      <c r="AI1463" s="90">
        <f t="shared" si="480"/>
        <v>126</v>
      </c>
      <c r="AJ1463" s="90">
        <f t="shared" si="481"/>
        <v>2022</v>
      </c>
      <c r="AK1463" s="90" t="str">
        <f t="shared" si="482"/>
        <v>Adjust</v>
      </c>
      <c r="AL1463" s="91">
        <f>IF(AK1463="Adjust",(_xlfn.XLOOKUP(A1463,'Adj factor'!A:A,'Adj factor'!I:I,,0)*AI1463),'Master DataSheet (Rev)'!AI1463)</f>
        <v>145.5100983946142</v>
      </c>
      <c r="AM1463" s="91">
        <f t="shared" si="483"/>
        <v>192</v>
      </c>
      <c r="AN1463" s="92" t="str">
        <f t="shared" si="484"/>
        <v>Decreasing</v>
      </c>
      <c r="AS1463" s="94">
        <f t="shared" si="485"/>
        <v>0</v>
      </c>
      <c r="AT1463" s="94">
        <f t="shared" si="486"/>
        <v>0.12304371704815559</v>
      </c>
      <c r="AU1463" s="94">
        <f t="shared" si="471"/>
        <v>8.2100951486593646E-2</v>
      </c>
      <c r="AV1463" s="94">
        <f t="shared" si="472"/>
        <v>0.10833188115010878</v>
      </c>
    </row>
    <row r="1464" spans="1:48" x14ac:dyDescent="0.3">
      <c r="A1464" s="85" t="str">
        <f>_xlfn.XLOOKUP(B1464,'Country codes &amp; Data sources'!G:G,'Country codes &amp; Data sources'!H:H,,0)</f>
        <v>Chad</v>
      </c>
      <c r="B1464" s="85" t="s">
        <v>169</v>
      </c>
      <c r="C1464" s="85">
        <v>12754915</v>
      </c>
      <c r="D1464" s="85" t="s">
        <v>335</v>
      </c>
      <c r="E1464" s="86">
        <v>68</v>
      </c>
      <c r="F1464" s="86">
        <v>13216766.5</v>
      </c>
      <c r="G1464" s="86">
        <v>72</v>
      </c>
      <c r="H1464" s="86"/>
      <c r="I1464" s="86">
        <v>78</v>
      </c>
      <c r="J1464" s="86"/>
      <c r="K1464" s="86">
        <v>79</v>
      </c>
      <c r="L1464" s="86"/>
      <c r="M1464" s="86">
        <v>0</v>
      </c>
      <c r="N1464" s="86"/>
      <c r="O1464" s="86">
        <v>71</v>
      </c>
      <c r="P1464" s="86">
        <v>15604210</v>
      </c>
      <c r="Q1464" s="86">
        <v>269</v>
      </c>
      <c r="R1464" s="87">
        <f t="shared" si="470"/>
        <v>269</v>
      </c>
      <c r="T1464" s="87">
        <v>52</v>
      </c>
      <c r="U1464" s="89"/>
      <c r="V1464" s="89">
        <v>54</v>
      </c>
      <c r="W1464" s="90"/>
      <c r="X1464" s="90">
        <v>142</v>
      </c>
      <c r="Y1464" s="90">
        <v>17723314.500000004</v>
      </c>
      <c r="Z1464" s="90">
        <v>163</v>
      </c>
      <c r="AA1464" s="90">
        <v>98</v>
      </c>
      <c r="AB1464" s="89">
        <f t="shared" si="473"/>
        <v>79</v>
      </c>
      <c r="AC1464" s="89">
        <f t="shared" si="474"/>
        <v>269</v>
      </c>
      <c r="AD1464" s="89">
        <f t="shared" si="475"/>
        <v>163</v>
      </c>
      <c r="AE1464" s="90">
        <f t="shared" si="476"/>
        <v>72</v>
      </c>
      <c r="AF1464" s="90">
        <f t="shared" si="477"/>
        <v>2013</v>
      </c>
      <c r="AG1464" s="90">
        <f t="shared" si="478"/>
        <v>269</v>
      </c>
      <c r="AH1464" s="90">
        <f t="shared" si="479"/>
        <v>2018</v>
      </c>
      <c r="AI1464" s="90">
        <f t="shared" si="480"/>
        <v>163</v>
      </c>
      <c r="AJ1464" s="90">
        <f t="shared" si="481"/>
        <v>2022</v>
      </c>
      <c r="AK1464" s="90" t="str">
        <f t="shared" si="482"/>
        <v>Adjust</v>
      </c>
      <c r="AL1464" s="91">
        <f>IF(AK1464="Adjust",(_xlfn.XLOOKUP(A1464,'Adj factor'!A:A,'Adj factor'!I:I,,0)*AI1464),'Master DataSheet (Rev)'!AI1464)</f>
        <v>188.23925427239772</v>
      </c>
      <c r="AM1464" s="91">
        <f t="shared" si="483"/>
        <v>269</v>
      </c>
      <c r="AN1464" s="92" t="str">
        <f t="shared" si="484"/>
        <v>Decreasing</v>
      </c>
      <c r="AS1464" s="94">
        <f t="shared" si="485"/>
        <v>5.4476259378570396E-2</v>
      </c>
      <c r="AT1464" s="94">
        <f t="shared" si="486"/>
        <v>0.17238937440600965</v>
      </c>
      <c r="AU1464" s="94">
        <f t="shared" si="471"/>
        <v>0.10620996105011717</v>
      </c>
      <c r="AV1464" s="94">
        <f t="shared" si="472"/>
        <v>0.15177747931968366</v>
      </c>
    </row>
    <row r="1465" spans="1:48" x14ac:dyDescent="0.3">
      <c r="A1465" s="85" t="str">
        <f>_xlfn.XLOOKUP(B1465,'Country codes &amp; Data sources'!G:G,'Country codes &amp; Data sources'!H:H,,0)</f>
        <v>Chad</v>
      </c>
      <c r="B1465" s="85" t="s">
        <v>169</v>
      </c>
      <c r="C1465" s="85">
        <v>12754916</v>
      </c>
      <c r="D1465" s="85" t="s">
        <v>336</v>
      </c>
      <c r="E1465" s="86">
        <v>0</v>
      </c>
      <c r="F1465" s="86">
        <v>13216766.5</v>
      </c>
      <c r="G1465" s="86">
        <v>0</v>
      </c>
      <c r="H1465" s="86"/>
      <c r="I1465" s="86">
        <v>0</v>
      </c>
      <c r="J1465" s="86"/>
      <c r="K1465" s="86">
        <v>0</v>
      </c>
      <c r="L1465" s="86"/>
      <c r="M1465" s="86">
        <v>0</v>
      </c>
      <c r="N1465" s="86"/>
      <c r="O1465" s="86">
        <v>0</v>
      </c>
      <c r="P1465" s="86">
        <v>15604210</v>
      </c>
      <c r="Q1465" s="86">
        <v>0</v>
      </c>
      <c r="R1465" s="87">
        <f t="shared" si="470"/>
        <v>171</v>
      </c>
      <c r="T1465" s="87">
        <v>136</v>
      </c>
      <c r="U1465" s="89"/>
      <c r="V1465" s="89">
        <v>0</v>
      </c>
      <c r="W1465" s="90"/>
      <c r="X1465" s="90">
        <v>277</v>
      </c>
      <c r="Y1465" s="90">
        <v>17723314.500000004</v>
      </c>
      <c r="Z1465" s="90">
        <v>320</v>
      </c>
      <c r="AA1465" s="90">
        <v>171</v>
      </c>
      <c r="AB1465" s="89">
        <f t="shared" si="473"/>
        <v>0</v>
      </c>
      <c r="AC1465" s="89">
        <f t="shared" si="474"/>
        <v>136</v>
      </c>
      <c r="AD1465" s="89">
        <f t="shared" si="475"/>
        <v>320</v>
      </c>
      <c r="AF1465" s="90" t="str">
        <f t="shared" si="477"/>
        <v/>
      </c>
      <c r="AG1465" s="90">
        <f t="shared" si="478"/>
        <v>171</v>
      </c>
      <c r="AH1465" s="90" t="str">
        <f t="shared" si="479"/>
        <v>2018 (triag)</v>
      </c>
      <c r="AI1465" s="90">
        <f t="shared" si="480"/>
        <v>320</v>
      </c>
      <c r="AJ1465" s="90">
        <f t="shared" si="481"/>
        <v>2022</v>
      </c>
      <c r="AK1465" s="90" t="str">
        <f t="shared" si="482"/>
        <v/>
      </c>
      <c r="AL1465" s="91">
        <f>IF(AK1465="Adjust",(_xlfn.XLOOKUP(A1465,'Adj factor'!A:A,'Adj factor'!I:I,,0)*AI1465),'Master DataSheet (Rev)'!AI1465)</f>
        <v>320</v>
      </c>
      <c r="AM1465" s="91">
        <f t="shared" si="483"/>
        <v>320</v>
      </c>
      <c r="AN1465" s="92" t="str">
        <f t="shared" si="484"/>
        <v>Increasing</v>
      </c>
      <c r="AS1465" s="94">
        <f t="shared" si="485"/>
        <v>0</v>
      </c>
      <c r="AT1465" s="94">
        <f t="shared" si="486"/>
        <v>0.10958581049601357</v>
      </c>
      <c r="AU1465" s="94">
        <f t="shared" si="471"/>
        <v>0.1805531352501813</v>
      </c>
      <c r="AV1465" s="94">
        <f t="shared" si="472"/>
        <v>0.1805531352501813</v>
      </c>
    </row>
    <row r="1466" spans="1:48" x14ac:dyDescent="0.3">
      <c r="A1466" s="85" t="str">
        <f>_xlfn.XLOOKUP(B1466,'Country codes &amp; Data sources'!G:G,'Country codes &amp; Data sources'!H:H,,0)</f>
        <v>Chad</v>
      </c>
      <c r="B1466" s="85" t="s">
        <v>169</v>
      </c>
      <c r="C1466" s="85">
        <v>12754917</v>
      </c>
      <c r="D1466" s="85" t="s">
        <v>337</v>
      </c>
      <c r="E1466" s="86">
        <v>0</v>
      </c>
      <c r="F1466" s="86">
        <v>13216766.5</v>
      </c>
      <c r="G1466" s="86">
        <v>0</v>
      </c>
      <c r="H1466" s="86"/>
      <c r="I1466" s="86">
        <v>0</v>
      </c>
      <c r="J1466" s="86"/>
      <c r="K1466" s="86">
        <v>0</v>
      </c>
      <c r="L1466" s="86"/>
      <c r="M1466" s="86">
        <v>0</v>
      </c>
      <c r="N1466" s="86"/>
      <c r="O1466" s="86">
        <v>0</v>
      </c>
      <c r="P1466" s="86">
        <v>15604210</v>
      </c>
      <c r="Q1466" s="86">
        <v>3</v>
      </c>
      <c r="R1466" s="87">
        <f t="shared" si="470"/>
        <v>3</v>
      </c>
      <c r="T1466" s="87">
        <v>0</v>
      </c>
      <c r="U1466" s="89"/>
      <c r="V1466" s="89">
        <v>0</v>
      </c>
      <c r="W1466" s="90"/>
      <c r="X1466" s="90">
        <v>19</v>
      </c>
      <c r="Y1466" s="90">
        <v>17723314.500000004</v>
      </c>
      <c r="Z1466" s="90">
        <v>21</v>
      </c>
      <c r="AA1466" s="90">
        <v>3</v>
      </c>
      <c r="AB1466" s="89">
        <f t="shared" si="473"/>
        <v>0</v>
      </c>
      <c r="AC1466" s="89">
        <f t="shared" si="474"/>
        <v>3</v>
      </c>
      <c r="AD1466" s="89">
        <f t="shared" si="475"/>
        <v>21</v>
      </c>
      <c r="AF1466" s="90" t="str">
        <f t="shared" si="477"/>
        <v/>
      </c>
      <c r="AG1466" s="90">
        <f t="shared" si="478"/>
        <v>3</v>
      </c>
      <c r="AH1466" s="90">
        <f t="shared" si="479"/>
        <v>2018</v>
      </c>
      <c r="AI1466" s="90">
        <f t="shared" si="480"/>
        <v>21</v>
      </c>
      <c r="AJ1466" s="90">
        <f t="shared" si="481"/>
        <v>2022</v>
      </c>
      <c r="AK1466" s="90" t="str">
        <f t="shared" si="482"/>
        <v/>
      </c>
      <c r="AL1466" s="91">
        <f>IF(AK1466="Adjust",(_xlfn.XLOOKUP(A1466,'Adj factor'!A:A,'Adj factor'!I:I,,0)*AI1466),'Master DataSheet (Rev)'!AI1466)</f>
        <v>21</v>
      </c>
      <c r="AM1466" s="91">
        <f t="shared" si="483"/>
        <v>21</v>
      </c>
      <c r="AN1466" s="92" t="str">
        <f t="shared" si="484"/>
        <v>Increasing</v>
      </c>
      <c r="AS1466" s="94">
        <f t="shared" si="485"/>
        <v>0</v>
      </c>
      <c r="AT1466" s="94">
        <f t="shared" si="486"/>
        <v>1.9225580788774311E-3</v>
      </c>
      <c r="AU1466" s="94">
        <f t="shared" si="471"/>
        <v>1.1848799500793148E-2</v>
      </c>
      <c r="AV1466" s="94">
        <f t="shared" si="472"/>
        <v>1.1848799500793148E-2</v>
      </c>
    </row>
    <row r="1467" spans="1:48" x14ac:dyDescent="0.3">
      <c r="A1467" s="85" t="str">
        <f>_xlfn.XLOOKUP(B1467,'Country codes &amp; Data sources'!G:G,'Country codes &amp; Data sources'!H:H,,0)</f>
        <v>Chad</v>
      </c>
      <c r="B1467" s="85" t="s">
        <v>169</v>
      </c>
      <c r="C1467" s="85">
        <v>12754918</v>
      </c>
      <c r="D1467" s="85" t="s">
        <v>338</v>
      </c>
      <c r="E1467" s="86">
        <v>0</v>
      </c>
      <c r="F1467" s="86">
        <v>13216766.5</v>
      </c>
      <c r="G1467" s="86">
        <v>0</v>
      </c>
      <c r="H1467" s="86"/>
      <c r="I1467" s="86">
        <v>0</v>
      </c>
      <c r="J1467" s="86"/>
      <c r="K1467" s="86">
        <v>0</v>
      </c>
      <c r="L1467" s="86"/>
      <c r="M1467" s="86">
        <v>0</v>
      </c>
      <c r="N1467" s="86"/>
      <c r="O1467" s="86">
        <v>0</v>
      </c>
      <c r="P1467" s="86">
        <v>15604210</v>
      </c>
      <c r="Q1467" s="86">
        <v>0</v>
      </c>
      <c r="R1467" s="87">
        <f t="shared" si="470"/>
        <v>0</v>
      </c>
      <c r="T1467" s="87">
        <v>11</v>
      </c>
      <c r="U1467" s="89"/>
      <c r="V1467" s="89">
        <v>0</v>
      </c>
      <c r="W1467" s="90"/>
      <c r="X1467" s="90">
        <v>11</v>
      </c>
      <c r="Y1467" s="90">
        <v>17723314.500000004</v>
      </c>
      <c r="Z1467" s="90">
        <v>0</v>
      </c>
      <c r="AA1467" s="90">
        <v>0</v>
      </c>
      <c r="AB1467" s="89">
        <f t="shared" si="473"/>
        <v>0</v>
      </c>
      <c r="AC1467" s="89">
        <f t="shared" si="474"/>
        <v>11</v>
      </c>
      <c r="AD1467" s="89">
        <f t="shared" si="475"/>
        <v>11</v>
      </c>
      <c r="AF1467" s="90" t="str">
        <f t="shared" si="477"/>
        <v/>
      </c>
      <c r="AG1467" s="90">
        <f t="shared" si="478"/>
        <v>11</v>
      </c>
      <c r="AH1467" s="90">
        <f t="shared" si="479"/>
        <v>2019</v>
      </c>
      <c r="AI1467" s="90">
        <f t="shared" si="480"/>
        <v>11</v>
      </c>
      <c r="AJ1467" s="90">
        <f t="shared" si="481"/>
        <v>2021</v>
      </c>
      <c r="AK1467" s="90" t="str">
        <f t="shared" si="482"/>
        <v/>
      </c>
      <c r="AL1467" s="91">
        <f>IF(AK1467="Adjust",(_xlfn.XLOOKUP(A1467,'Adj factor'!A:A,'Adj factor'!I:I,,0)*AI1467),'Master DataSheet (Rev)'!AI1467)</f>
        <v>11</v>
      </c>
      <c r="AM1467" s="91">
        <f t="shared" si="483"/>
        <v>11</v>
      </c>
      <c r="AN1467" s="92" t="str">
        <f t="shared" si="484"/>
        <v>No change</v>
      </c>
      <c r="AS1467" s="94">
        <f t="shared" si="485"/>
        <v>0</v>
      </c>
      <c r="AT1467" s="94">
        <f t="shared" si="486"/>
        <v>7.0493796225505811E-3</v>
      </c>
      <c r="AU1467" s="94">
        <f t="shared" si="471"/>
        <v>6.206514024224982E-3</v>
      </c>
      <c r="AV1467" s="94">
        <f t="shared" si="472"/>
        <v>6.206514024224982E-3</v>
      </c>
    </row>
    <row r="1468" spans="1:48" x14ac:dyDescent="0.3">
      <c r="A1468" s="85" t="str">
        <f>_xlfn.XLOOKUP(B1468,'Country codes &amp; Data sources'!G:G,'Country codes &amp; Data sources'!H:H,,0)</f>
        <v>Chad</v>
      </c>
      <c r="B1468" s="85" t="s">
        <v>169</v>
      </c>
      <c r="C1468" s="85">
        <v>12754919</v>
      </c>
      <c r="D1468" s="85" t="s">
        <v>339</v>
      </c>
      <c r="E1468" s="86">
        <v>0</v>
      </c>
      <c r="F1468" s="86">
        <v>13216766.5</v>
      </c>
      <c r="G1468" s="86">
        <v>0</v>
      </c>
      <c r="H1468" s="86"/>
      <c r="I1468" s="86">
        <v>0</v>
      </c>
      <c r="J1468" s="86"/>
      <c r="K1468" s="86">
        <v>0</v>
      </c>
      <c r="L1468" s="86"/>
      <c r="M1468" s="86">
        <v>0</v>
      </c>
      <c r="N1468" s="86"/>
      <c r="O1468" s="86">
        <v>0</v>
      </c>
      <c r="P1468" s="86">
        <v>15604210</v>
      </c>
      <c r="Q1468" s="86">
        <v>0</v>
      </c>
      <c r="R1468" s="87">
        <f t="shared" si="470"/>
        <v>0</v>
      </c>
      <c r="T1468" s="87">
        <v>0</v>
      </c>
      <c r="U1468" s="89"/>
      <c r="V1468" s="89">
        <v>0</v>
      </c>
      <c r="W1468" s="90"/>
      <c r="X1468" s="90">
        <v>0</v>
      </c>
      <c r="Y1468" s="90">
        <v>17723314.500000004</v>
      </c>
      <c r="Z1468" s="90">
        <v>0</v>
      </c>
      <c r="AA1468" s="90">
        <v>0</v>
      </c>
      <c r="AB1468" s="89">
        <f t="shared" si="473"/>
        <v>0</v>
      </c>
      <c r="AC1468" s="89">
        <f t="shared" si="474"/>
        <v>0</v>
      </c>
      <c r="AD1468" s="89">
        <f t="shared" si="475"/>
        <v>0</v>
      </c>
      <c r="AF1468" s="90" t="str">
        <f t="shared" si="477"/>
        <v/>
      </c>
      <c r="AH1468" s="90" t="str">
        <f t="shared" si="479"/>
        <v/>
      </c>
      <c r="AI1468" s="90">
        <f t="shared" si="480"/>
        <v>0</v>
      </c>
      <c r="AJ1468" s="90" t="str">
        <f t="shared" si="481"/>
        <v/>
      </c>
      <c r="AK1468" s="90" t="str">
        <f t="shared" si="482"/>
        <v/>
      </c>
      <c r="AL1468" s="91"/>
      <c r="AM1468" s="91">
        <f t="shared" si="483"/>
        <v>0</v>
      </c>
      <c r="AN1468" s="92" t="str">
        <f t="shared" si="484"/>
        <v>No change</v>
      </c>
      <c r="AS1468" s="94">
        <f t="shared" si="485"/>
        <v>0</v>
      </c>
      <c r="AT1468" s="94">
        <f t="shared" si="486"/>
        <v>0</v>
      </c>
      <c r="AU1468" s="94">
        <f t="shared" si="471"/>
        <v>0</v>
      </c>
      <c r="AV1468" s="94">
        <f t="shared" si="472"/>
        <v>0</v>
      </c>
    </row>
    <row r="1469" spans="1:48" x14ac:dyDescent="0.3">
      <c r="A1469" s="85" t="str">
        <f>_xlfn.XLOOKUP(B1469,'Country codes &amp; Data sources'!G:G,'Country codes &amp; Data sources'!H:H,,0)</f>
        <v>Togo</v>
      </c>
      <c r="B1469" s="85" t="s">
        <v>195</v>
      </c>
      <c r="C1469" s="85">
        <v>6926634.5000000009</v>
      </c>
      <c r="D1469" s="85" t="s">
        <v>326</v>
      </c>
      <c r="E1469" s="86">
        <v>0</v>
      </c>
      <c r="F1469" s="86">
        <v>7106229</v>
      </c>
      <c r="G1469" s="86">
        <v>0</v>
      </c>
      <c r="H1469" s="86">
        <v>7288383.0000000009</v>
      </c>
      <c r="I1469" s="86">
        <v>0</v>
      </c>
      <c r="J1469" s="86">
        <v>7473228.5</v>
      </c>
      <c r="K1469" s="86">
        <v>361</v>
      </c>
      <c r="L1469" s="86">
        <v>7661353.5000000019</v>
      </c>
      <c r="M1469" s="86">
        <v>347</v>
      </c>
      <c r="N1469" s="86">
        <v>7852795.0000000037</v>
      </c>
      <c r="O1469" s="86">
        <v>583</v>
      </c>
      <c r="P1469" s="86">
        <v>8046679</v>
      </c>
      <c r="Q1469" s="86">
        <v>611</v>
      </c>
      <c r="R1469" s="87">
        <f t="shared" si="470"/>
        <v>611</v>
      </c>
      <c r="S1469" s="87">
        <v>8243094.5000000047</v>
      </c>
      <c r="T1469" s="87">
        <v>627</v>
      </c>
      <c r="U1469" s="89">
        <v>8442580</v>
      </c>
      <c r="V1469" s="89">
        <v>685</v>
      </c>
      <c r="W1469" s="90">
        <v>8644828.9999999981</v>
      </c>
      <c r="X1469" s="90">
        <v>506</v>
      </c>
      <c r="Y1469" s="90">
        <v>8848698.5000000019</v>
      </c>
      <c r="Z1469" s="90">
        <v>730</v>
      </c>
      <c r="AA1469" s="90">
        <v>584</v>
      </c>
      <c r="AB1469" s="89">
        <f t="shared" si="473"/>
        <v>361</v>
      </c>
      <c r="AC1469" s="89">
        <f t="shared" si="474"/>
        <v>627</v>
      </c>
      <c r="AD1469" s="89">
        <f t="shared" si="475"/>
        <v>730</v>
      </c>
      <c r="AE1469" s="90">
        <f t="shared" si="476"/>
        <v>361</v>
      </c>
      <c r="AF1469" s="90">
        <f t="shared" si="477"/>
        <v>2015</v>
      </c>
      <c r="AG1469" s="90">
        <f t="shared" si="478"/>
        <v>611</v>
      </c>
      <c r="AH1469" s="90">
        <f t="shared" si="479"/>
        <v>2018</v>
      </c>
      <c r="AI1469" s="90">
        <f t="shared" si="480"/>
        <v>730</v>
      </c>
      <c r="AJ1469" s="90">
        <f t="shared" si="481"/>
        <v>2022</v>
      </c>
      <c r="AK1469" s="90" t="str">
        <f t="shared" si="482"/>
        <v/>
      </c>
      <c r="AL1469" s="91">
        <f>IF(AK1469="Adjust",(_xlfn.XLOOKUP(A1469,'Adj factor'!A:A,'Adj factor'!I:I,,0)*AI1469),'Master DataSheet (Rev)'!AI1469)</f>
        <v>730</v>
      </c>
      <c r="AM1469" s="91">
        <f t="shared" si="483"/>
        <v>730</v>
      </c>
      <c r="AN1469" s="92" t="str">
        <f t="shared" si="484"/>
        <v>Increasing</v>
      </c>
      <c r="AS1469" s="94">
        <f t="shared" si="485"/>
        <v>0.5080050192584562</v>
      </c>
      <c r="AT1469" s="94">
        <f t="shared" si="486"/>
        <v>0.75931946583180465</v>
      </c>
      <c r="AU1469" s="94">
        <f t="shared" si="471"/>
        <v>0.82498008040391457</v>
      </c>
      <c r="AV1469" s="94">
        <f t="shared" si="472"/>
        <v>0.82498008040391457</v>
      </c>
    </row>
    <row r="1470" spans="1:48" x14ac:dyDescent="0.3">
      <c r="A1470" s="85" t="str">
        <f>_xlfn.XLOOKUP(B1470,'Country codes &amp; Data sources'!G:G,'Country codes &amp; Data sources'!H:H,,0)</f>
        <v>Togo</v>
      </c>
      <c r="B1470" s="85" t="s">
        <v>195</v>
      </c>
      <c r="C1470" s="85">
        <v>6926635.5</v>
      </c>
      <c r="D1470" s="85" t="s">
        <v>327</v>
      </c>
      <c r="E1470" s="86">
        <v>0</v>
      </c>
      <c r="F1470" s="86">
        <v>7106229</v>
      </c>
      <c r="G1470" s="86">
        <v>0</v>
      </c>
      <c r="H1470" s="86"/>
      <c r="I1470" s="86">
        <v>0</v>
      </c>
      <c r="J1470" s="86"/>
      <c r="K1470" s="86">
        <v>97</v>
      </c>
      <c r="L1470" s="86"/>
      <c r="M1470" s="86">
        <v>0</v>
      </c>
      <c r="N1470" s="86"/>
      <c r="O1470" s="86">
        <v>230</v>
      </c>
      <c r="P1470" s="86">
        <v>8046679</v>
      </c>
      <c r="Q1470" s="86">
        <v>219</v>
      </c>
      <c r="R1470" s="87">
        <f t="shared" si="470"/>
        <v>230</v>
      </c>
      <c r="T1470" s="87">
        <v>230</v>
      </c>
      <c r="U1470" s="89"/>
      <c r="V1470" s="89">
        <v>354</v>
      </c>
      <c r="W1470" s="90"/>
      <c r="X1470" s="90">
        <v>149</v>
      </c>
      <c r="Y1470" s="90">
        <v>8848698.5000000019</v>
      </c>
      <c r="Z1470" s="90">
        <v>331</v>
      </c>
      <c r="AA1470" s="90">
        <v>230</v>
      </c>
      <c r="AB1470" s="89">
        <f t="shared" si="473"/>
        <v>97</v>
      </c>
      <c r="AC1470" s="89">
        <f t="shared" si="474"/>
        <v>230</v>
      </c>
      <c r="AD1470" s="89">
        <f t="shared" si="475"/>
        <v>354</v>
      </c>
      <c r="AE1470" s="90">
        <f t="shared" si="476"/>
        <v>97</v>
      </c>
      <c r="AF1470" s="90">
        <f t="shared" si="477"/>
        <v>2015</v>
      </c>
      <c r="AG1470" s="90">
        <f t="shared" si="478"/>
        <v>230</v>
      </c>
      <c r="AH1470" s="90">
        <f t="shared" si="479"/>
        <v>2017</v>
      </c>
      <c r="AI1470" s="90">
        <f t="shared" si="480"/>
        <v>331</v>
      </c>
      <c r="AJ1470" s="90">
        <f t="shared" si="481"/>
        <v>2022</v>
      </c>
      <c r="AK1470" s="90" t="str">
        <f t="shared" si="482"/>
        <v/>
      </c>
      <c r="AL1470" s="91">
        <f>IF(AK1470="Adjust",(_xlfn.XLOOKUP(A1470,'Adj factor'!A:A,'Adj factor'!I:I,,0)*AI1470),'Master DataSheet (Rev)'!AI1470)</f>
        <v>331</v>
      </c>
      <c r="AM1470" s="91">
        <f t="shared" si="483"/>
        <v>331</v>
      </c>
      <c r="AN1470" s="92" t="str">
        <f t="shared" si="484"/>
        <v>Increasing</v>
      </c>
      <c r="AS1470" s="94">
        <f t="shared" si="485"/>
        <v>0.13649996362346331</v>
      </c>
      <c r="AT1470" s="94">
        <f t="shared" si="486"/>
        <v>0.28583220481393629</v>
      </c>
      <c r="AU1470" s="94">
        <f t="shared" si="471"/>
        <v>0.37406631042972016</v>
      </c>
      <c r="AV1470" s="94">
        <f t="shared" si="472"/>
        <v>0.37406631042972016</v>
      </c>
    </row>
    <row r="1471" spans="1:48" x14ac:dyDescent="0.3">
      <c r="A1471" s="85" t="str">
        <f>_xlfn.XLOOKUP(B1471,'Country codes &amp; Data sources'!G:G,'Country codes &amp; Data sources'!H:H,,0)</f>
        <v>Togo</v>
      </c>
      <c r="B1471" s="85" t="s">
        <v>195</v>
      </c>
      <c r="C1471" s="85">
        <v>6926636.5</v>
      </c>
      <c r="D1471" s="85" t="s">
        <v>328</v>
      </c>
      <c r="E1471" s="86">
        <v>0</v>
      </c>
      <c r="F1471" s="86">
        <v>7106229</v>
      </c>
      <c r="G1471" s="86">
        <v>0</v>
      </c>
      <c r="H1471" s="86"/>
      <c r="I1471" s="86">
        <v>0</v>
      </c>
      <c r="J1471" s="86"/>
      <c r="K1471" s="86">
        <v>264</v>
      </c>
      <c r="L1471" s="86"/>
      <c r="M1471" s="86">
        <v>0</v>
      </c>
      <c r="N1471" s="86"/>
      <c r="O1471" s="86">
        <v>353</v>
      </c>
      <c r="P1471" s="86">
        <v>8046679</v>
      </c>
      <c r="Q1471" s="86">
        <v>392</v>
      </c>
      <c r="R1471" s="87">
        <f t="shared" ref="R1471:R1534" si="487">MAX(Q1471,AA1471)</f>
        <v>392</v>
      </c>
      <c r="T1471" s="87">
        <v>397</v>
      </c>
      <c r="U1471" s="89"/>
      <c r="V1471" s="89">
        <v>331</v>
      </c>
      <c r="W1471" s="90"/>
      <c r="X1471" s="90">
        <v>357</v>
      </c>
      <c r="Y1471" s="90">
        <v>8848698.5000000019</v>
      </c>
      <c r="Z1471" s="90">
        <v>399</v>
      </c>
      <c r="AA1471" s="90">
        <v>354</v>
      </c>
      <c r="AB1471" s="89">
        <f t="shared" si="473"/>
        <v>264</v>
      </c>
      <c r="AC1471" s="89">
        <f t="shared" si="474"/>
        <v>397</v>
      </c>
      <c r="AD1471" s="89">
        <f t="shared" si="475"/>
        <v>399</v>
      </c>
      <c r="AE1471" s="90">
        <f t="shared" si="476"/>
        <v>264</v>
      </c>
      <c r="AF1471" s="90">
        <f t="shared" si="477"/>
        <v>2015</v>
      </c>
      <c r="AG1471" s="90">
        <f t="shared" si="478"/>
        <v>392</v>
      </c>
      <c r="AH1471" s="90">
        <f t="shared" si="479"/>
        <v>2018</v>
      </c>
      <c r="AI1471" s="90">
        <f t="shared" si="480"/>
        <v>399</v>
      </c>
      <c r="AJ1471" s="90">
        <f t="shared" si="481"/>
        <v>2022</v>
      </c>
      <c r="AK1471" s="90" t="str">
        <f t="shared" si="482"/>
        <v/>
      </c>
      <c r="AL1471" s="91">
        <f>IF(AK1471="Adjust",(_xlfn.XLOOKUP(A1471,'Adj factor'!A:A,'Adj factor'!I:I,,0)*AI1471),'Master DataSheet (Rev)'!AI1471)</f>
        <v>399</v>
      </c>
      <c r="AM1471" s="91">
        <f t="shared" si="483"/>
        <v>399</v>
      </c>
      <c r="AN1471" s="92" t="str">
        <f t="shared" si="484"/>
        <v>Increasing</v>
      </c>
      <c r="AS1471" s="94">
        <f t="shared" si="485"/>
        <v>0.37150505563499292</v>
      </c>
      <c r="AT1471" s="94">
        <f t="shared" si="486"/>
        <v>0.48715749690027399</v>
      </c>
      <c r="AU1471" s="94">
        <f t="shared" si="471"/>
        <v>0.45091376997419441</v>
      </c>
      <c r="AV1471" s="94">
        <f t="shared" si="472"/>
        <v>0.45091376997419441</v>
      </c>
    </row>
    <row r="1472" spans="1:48" x14ac:dyDescent="0.3">
      <c r="A1472" s="85" t="str">
        <f>_xlfn.XLOOKUP(B1472,'Country codes &amp; Data sources'!G:G,'Country codes &amp; Data sources'!H:H,,0)</f>
        <v>Togo</v>
      </c>
      <c r="B1472" s="85" t="s">
        <v>195</v>
      </c>
      <c r="C1472" s="85">
        <v>6926637.5</v>
      </c>
      <c r="D1472" s="85" t="s">
        <v>329</v>
      </c>
      <c r="E1472" s="86">
        <v>0</v>
      </c>
      <c r="F1472" s="86">
        <v>7106229</v>
      </c>
      <c r="G1472" s="86">
        <v>0</v>
      </c>
      <c r="H1472" s="86"/>
      <c r="I1472" s="86">
        <v>0</v>
      </c>
      <c r="J1472" s="86"/>
      <c r="K1472" s="86">
        <v>1341</v>
      </c>
      <c r="L1472" s="86"/>
      <c r="M1472" s="86">
        <v>1419</v>
      </c>
      <c r="N1472" s="86"/>
      <c r="O1472" s="86">
        <v>1966</v>
      </c>
      <c r="P1472" s="86">
        <v>8046679</v>
      </c>
      <c r="Q1472" s="86">
        <v>1951</v>
      </c>
      <c r="R1472" s="87">
        <f t="shared" si="487"/>
        <v>1966</v>
      </c>
      <c r="T1472" s="87">
        <v>2134</v>
      </c>
      <c r="U1472" s="89"/>
      <c r="V1472" s="89">
        <v>2455</v>
      </c>
      <c r="W1472" s="90"/>
      <c r="X1472" s="90">
        <v>1946</v>
      </c>
      <c r="Y1472" s="90">
        <v>8848698.5000000019</v>
      </c>
      <c r="Z1472" s="90">
        <v>2630</v>
      </c>
      <c r="AA1472" s="90">
        <v>1966</v>
      </c>
      <c r="AB1472" s="89">
        <f t="shared" si="473"/>
        <v>1341</v>
      </c>
      <c r="AC1472" s="89">
        <f t="shared" si="474"/>
        <v>2134</v>
      </c>
      <c r="AD1472" s="89">
        <f t="shared" si="475"/>
        <v>2630</v>
      </c>
      <c r="AE1472" s="90">
        <f t="shared" si="476"/>
        <v>1341</v>
      </c>
      <c r="AF1472" s="90">
        <f t="shared" si="477"/>
        <v>2015</v>
      </c>
      <c r="AG1472" s="90">
        <f t="shared" si="478"/>
        <v>1966</v>
      </c>
      <c r="AH1472" s="90">
        <f t="shared" si="479"/>
        <v>2017</v>
      </c>
      <c r="AI1472" s="90">
        <f t="shared" si="480"/>
        <v>2630</v>
      </c>
      <c r="AJ1472" s="90">
        <f t="shared" si="481"/>
        <v>2022</v>
      </c>
      <c r="AK1472" s="90" t="str">
        <f t="shared" si="482"/>
        <v/>
      </c>
      <c r="AL1472" s="91">
        <f>IF(AK1472="Adjust",(_xlfn.XLOOKUP(A1472,'Adj factor'!A:A,'Adj factor'!I:I,,0)*AI1472),'Master DataSheet (Rev)'!AI1472)</f>
        <v>2630</v>
      </c>
      <c r="AM1472" s="91">
        <f t="shared" si="483"/>
        <v>2630</v>
      </c>
      <c r="AN1472" s="92" t="str">
        <f t="shared" si="484"/>
        <v>Increasing</v>
      </c>
      <c r="AS1472" s="94">
        <f t="shared" si="485"/>
        <v>1.8870768166913845</v>
      </c>
      <c r="AT1472" s="94">
        <f t="shared" si="486"/>
        <v>2.443243976800864</v>
      </c>
      <c r="AU1472" s="94">
        <f t="shared" si="471"/>
        <v>2.9721885088524593</v>
      </c>
      <c r="AV1472" s="94">
        <f t="shared" si="472"/>
        <v>2.9721885088524593</v>
      </c>
    </row>
    <row r="1473" spans="1:48" x14ac:dyDescent="0.3">
      <c r="A1473" s="85" t="str">
        <f>_xlfn.XLOOKUP(B1473,'Country codes &amp; Data sources'!G:G,'Country codes &amp; Data sources'!H:H,,0)</f>
        <v>Togo</v>
      </c>
      <c r="B1473" s="85" t="s">
        <v>195</v>
      </c>
      <c r="C1473" s="85">
        <v>6926638.5</v>
      </c>
      <c r="D1473" s="85" t="s">
        <v>330</v>
      </c>
      <c r="E1473" s="86">
        <v>0</v>
      </c>
      <c r="F1473" s="86">
        <v>7106229</v>
      </c>
      <c r="G1473" s="86">
        <v>0</v>
      </c>
      <c r="H1473" s="86"/>
      <c r="I1473" s="86">
        <v>0</v>
      </c>
      <c r="J1473" s="86"/>
      <c r="K1473" s="86">
        <v>0</v>
      </c>
      <c r="L1473" s="86"/>
      <c r="M1473" s="86">
        <v>920</v>
      </c>
      <c r="N1473" s="86"/>
      <c r="O1473" s="86">
        <v>1204</v>
      </c>
      <c r="P1473" s="86">
        <v>8046679</v>
      </c>
      <c r="Q1473" s="86">
        <v>1026</v>
      </c>
      <c r="R1473" s="87">
        <f t="shared" si="487"/>
        <v>1204</v>
      </c>
      <c r="T1473" s="87">
        <v>1235</v>
      </c>
      <c r="U1473" s="89"/>
      <c r="V1473" s="89">
        <v>1553</v>
      </c>
      <c r="W1473" s="90"/>
      <c r="X1473" s="90">
        <v>1187</v>
      </c>
      <c r="Y1473" s="90">
        <v>8848698.5000000019</v>
      </c>
      <c r="Z1473" s="90">
        <v>1699</v>
      </c>
      <c r="AA1473" s="90">
        <v>1204</v>
      </c>
      <c r="AB1473" s="89">
        <f t="shared" si="473"/>
        <v>0</v>
      </c>
      <c r="AC1473" s="89">
        <f t="shared" si="474"/>
        <v>1235</v>
      </c>
      <c r="AD1473" s="89">
        <f t="shared" si="475"/>
        <v>1699</v>
      </c>
      <c r="AF1473" s="90" t="str">
        <f t="shared" si="477"/>
        <v/>
      </c>
      <c r="AG1473" s="90">
        <f t="shared" si="478"/>
        <v>1204</v>
      </c>
      <c r="AH1473" s="90">
        <f t="shared" si="479"/>
        <v>2017</v>
      </c>
      <c r="AI1473" s="90">
        <f t="shared" si="480"/>
        <v>1699</v>
      </c>
      <c r="AJ1473" s="90">
        <f t="shared" si="481"/>
        <v>2022</v>
      </c>
      <c r="AK1473" s="90" t="str">
        <f t="shared" si="482"/>
        <v/>
      </c>
      <c r="AL1473" s="91">
        <f>IF(AK1473="Adjust",(_xlfn.XLOOKUP(A1473,'Adj factor'!A:A,'Adj factor'!I:I,,0)*AI1473),'Master DataSheet (Rev)'!AI1473)</f>
        <v>1699</v>
      </c>
      <c r="AM1473" s="91">
        <f t="shared" si="483"/>
        <v>1699</v>
      </c>
      <c r="AN1473" s="92" t="str">
        <f t="shared" si="484"/>
        <v>Increasing</v>
      </c>
      <c r="AS1473" s="94">
        <f t="shared" si="485"/>
        <v>0</v>
      </c>
      <c r="AT1473" s="94">
        <f t="shared" si="486"/>
        <v>1.4962694547651274</v>
      </c>
      <c r="AU1473" s="94">
        <f t="shared" si="471"/>
        <v>1.9200563789126726</v>
      </c>
      <c r="AV1473" s="94">
        <f t="shared" si="472"/>
        <v>1.9200563789126726</v>
      </c>
    </row>
    <row r="1474" spans="1:48" x14ac:dyDescent="0.3">
      <c r="A1474" s="85" t="str">
        <f>_xlfn.XLOOKUP(B1474,'Country codes &amp; Data sources'!G:G,'Country codes &amp; Data sources'!H:H,,0)</f>
        <v>Togo</v>
      </c>
      <c r="B1474" s="85" t="s">
        <v>195</v>
      </c>
      <c r="C1474" s="85">
        <v>6926639.5</v>
      </c>
      <c r="D1474" s="85" t="s">
        <v>331</v>
      </c>
      <c r="E1474" s="86">
        <v>0</v>
      </c>
      <c r="F1474" s="86">
        <v>7106229</v>
      </c>
      <c r="G1474" s="86">
        <v>0</v>
      </c>
      <c r="H1474" s="86"/>
      <c r="I1474" s="86">
        <v>0</v>
      </c>
      <c r="J1474" s="86"/>
      <c r="K1474" s="86">
        <v>0</v>
      </c>
      <c r="L1474" s="86"/>
      <c r="M1474" s="86">
        <v>499</v>
      </c>
      <c r="N1474" s="86"/>
      <c r="O1474" s="86">
        <v>762</v>
      </c>
      <c r="P1474" s="86">
        <v>8046679</v>
      </c>
      <c r="Q1474" s="86">
        <v>925</v>
      </c>
      <c r="R1474" s="87">
        <f t="shared" si="487"/>
        <v>925</v>
      </c>
      <c r="T1474" s="87">
        <v>899</v>
      </c>
      <c r="U1474" s="89"/>
      <c r="V1474" s="89">
        <v>902</v>
      </c>
      <c r="W1474" s="90"/>
      <c r="X1474" s="90">
        <v>759</v>
      </c>
      <c r="Y1474" s="90">
        <v>8848698.5000000019</v>
      </c>
      <c r="Z1474" s="90">
        <v>931</v>
      </c>
      <c r="AA1474" s="90">
        <v>762</v>
      </c>
      <c r="AB1474" s="89">
        <f t="shared" si="473"/>
        <v>0</v>
      </c>
      <c r="AC1474" s="89">
        <f t="shared" si="474"/>
        <v>925</v>
      </c>
      <c r="AD1474" s="89">
        <f t="shared" si="475"/>
        <v>931</v>
      </c>
      <c r="AF1474" s="90" t="str">
        <f t="shared" si="477"/>
        <v/>
      </c>
      <c r="AG1474" s="90">
        <f t="shared" si="478"/>
        <v>925</v>
      </c>
      <c r="AH1474" s="90">
        <f t="shared" si="479"/>
        <v>2018</v>
      </c>
      <c r="AI1474" s="90">
        <f t="shared" si="480"/>
        <v>931</v>
      </c>
      <c r="AJ1474" s="90">
        <f t="shared" si="481"/>
        <v>2022</v>
      </c>
      <c r="AK1474" s="90" t="str">
        <f t="shared" si="482"/>
        <v/>
      </c>
      <c r="AL1474" s="91">
        <f>IF(AK1474="Adjust",(_xlfn.XLOOKUP(A1474,'Adj factor'!A:A,'Adj factor'!I:I,,0)*AI1474),'Master DataSheet (Rev)'!AI1474)</f>
        <v>931</v>
      </c>
      <c r="AM1474" s="91">
        <f t="shared" si="483"/>
        <v>931</v>
      </c>
      <c r="AN1474" s="92" t="str">
        <f t="shared" si="484"/>
        <v>Increasing</v>
      </c>
      <c r="AS1474" s="94">
        <f t="shared" si="485"/>
        <v>0</v>
      </c>
      <c r="AT1474" s="94">
        <f t="shared" si="486"/>
        <v>1.1495425628386569</v>
      </c>
      <c r="AU1474" s="94">
        <f t="shared" si="471"/>
        <v>1.052132129939787</v>
      </c>
      <c r="AV1474" s="94">
        <f t="shared" si="472"/>
        <v>1.052132129939787</v>
      </c>
    </row>
    <row r="1475" spans="1:48" x14ac:dyDescent="0.3">
      <c r="A1475" s="85" t="str">
        <f>_xlfn.XLOOKUP(B1475,'Country codes &amp; Data sources'!G:G,'Country codes &amp; Data sources'!H:H,,0)</f>
        <v>Togo</v>
      </c>
      <c r="B1475" s="85" t="s">
        <v>195</v>
      </c>
      <c r="C1475" s="85">
        <v>6926640.5</v>
      </c>
      <c r="D1475" s="85" t="s">
        <v>332</v>
      </c>
      <c r="E1475" s="86">
        <v>0</v>
      </c>
      <c r="F1475" s="86">
        <v>7106229</v>
      </c>
      <c r="G1475" s="86">
        <v>795</v>
      </c>
      <c r="H1475" s="86"/>
      <c r="I1475" s="86">
        <v>0</v>
      </c>
      <c r="J1475" s="86"/>
      <c r="K1475" s="86">
        <v>869</v>
      </c>
      <c r="L1475" s="86"/>
      <c r="M1475" s="86">
        <v>961</v>
      </c>
      <c r="N1475" s="86"/>
      <c r="O1475" s="86">
        <v>1268</v>
      </c>
      <c r="P1475" s="86">
        <v>8046679</v>
      </c>
      <c r="Q1475" s="86">
        <v>1285</v>
      </c>
      <c r="R1475" s="87">
        <f t="shared" si="487"/>
        <v>1285</v>
      </c>
      <c r="T1475" s="87">
        <v>1619</v>
      </c>
      <c r="U1475" s="89"/>
      <c r="V1475" s="89">
        <v>1743</v>
      </c>
      <c r="W1475" s="90"/>
      <c r="X1475" s="90">
        <v>1482</v>
      </c>
      <c r="Y1475" s="90">
        <v>8848698.5000000019</v>
      </c>
      <c r="Z1475" s="90">
        <v>1864</v>
      </c>
      <c r="AA1475" s="90">
        <v>1268</v>
      </c>
      <c r="AB1475" s="89">
        <f t="shared" si="473"/>
        <v>869</v>
      </c>
      <c r="AC1475" s="89">
        <f t="shared" si="474"/>
        <v>1619</v>
      </c>
      <c r="AD1475" s="89">
        <f t="shared" si="475"/>
        <v>1864</v>
      </c>
      <c r="AE1475" s="90">
        <f t="shared" si="476"/>
        <v>795</v>
      </c>
      <c r="AF1475" s="90">
        <f t="shared" si="477"/>
        <v>2013</v>
      </c>
      <c r="AG1475" s="90">
        <f t="shared" si="478"/>
        <v>1285</v>
      </c>
      <c r="AH1475" s="90">
        <f t="shared" si="479"/>
        <v>2018</v>
      </c>
      <c r="AI1475" s="90">
        <f t="shared" si="480"/>
        <v>1864</v>
      </c>
      <c r="AJ1475" s="90">
        <f t="shared" si="481"/>
        <v>2022</v>
      </c>
      <c r="AK1475" s="90" t="str">
        <f t="shared" si="482"/>
        <v/>
      </c>
      <c r="AL1475" s="91">
        <f>IF(AK1475="Adjust",(_xlfn.XLOOKUP(A1475,'Adj factor'!A:A,'Adj factor'!I:I,,0)*AI1475),'Master DataSheet (Rev)'!AI1475)</f>
        <v>1864</v>
      </c>
      <c r="AM1475" s="91">
        <f t="shared" si="483"/>
        <v>1864</v>
      </c>
      <c r="AN1475" s="92" t="str">
        <f t="shared" si="484"/>
        <v>Increasing</v>
      </c>
      <c r="AS1475" s="94">
        <f t="shared" si="485"/>
        <v>1.1187368152644672</v>
      </c>
      <c r="AT1475" s="94">
        <f t="shared" si="486"/>
        <v>1.5969321008082962</v>
      </c>
      <c r="AU1475" s="94">
        <f t="shared" ref="AU1475:AU1538" si="488">(AL1475*10000)/Y1475</f>
        <v>2.1065244792779407</v>
      </c>
      <c r="AV1475" s="94">
        <f t="shared" ref="AV1475:AV1538" si="489">(AM1475*10000)/Y1475</f>
        <v>2.1065244792779407</v>
      </c>
    </row>
    <row r="1476" spans="1:48" x14ac:dyDescent="0.3">
      <c r="A1476" s="85" t="str">
        <f>_xlfn.XLOOKUP(B1476,'Country codes &amp; Data sources'!G:G,'Country codes &amp; Data sources'!H:H,,0)</f>
        <v>Togo</v>
      </c>
      <c r="B1476" s="85" t="s">
        <v>195</v>
      </c>
      <c r="C1476" s="85">
        <v>6926641.5</v>
      </c>
      <c r="D1476" s="85" t="s">
        <v>333</v>
      </c>
      <c r="E1476" s="86">
        <v>0</v>
      </c>
      <c r="F1476" s="86">
        <v>7106229</v>
      </c>
      <c r="G1476" s="86">
        <v>396</v>
      </c>
      <c r="H1476" s="86"/>
      <c r="I1476" s="86">
        <v>0</v>
      </c>
      <c r="J1476" s="86"/>
      <c r="K1476" s="86">
        <v>0</v>
      </c>
      <c r="L1476" s="86"/>
      <c r="M1476" s="86">
        <v>459</v>
      </c>
      <c r="N1476" s="86"/>
      <c r="O1476" s="86">
        <v>654</v>
      </c>
      <c r="P1476" s="86">
        <v>8046679</v>
      </c>
      <c r="Q1476" s="86">
        <v>655</v>
      </c>
      <c r="R1476" s="87">
        <f t="shared" si="487"/>
        <v>655</v>
      </c>
      <c r="T1476" s="87">
        <v>785</v>
      </c>
      <c r="U1476" s="89"/>
      <c r="V1476" s="89">
        <v>934</v>
      </c>
      <c r="W1476" s="90"/>
      <c r="X1476" s="90">
        <v>773</v>
      </c>
      <c r="Y1476" s="90">
        <v>8848698.5000000019</v>
      </c>
      <c r="Z1476" s="90">
        <v>1043</v>
      </c>
      <c r="AA1476" s="90">
        <v>654</v>
      </c>
      <c r="AB1476" s="89">
        <f t="shared" si="473"/>
        <v>396</v>
      </c>
      <c r="AC1476" s="89">
        <f t="shared" si="474"/>
        <v>785</v>
      </c>
      <c r="AD1476" s="89">
        <f t="shared" si="475"/>
        <v>1043</v>
      </c>
      <c r="AE1476" s="90">
        <f t="shared" si="476"/>
        <v>396</v>
      </c>
      <c r="AF1476" s="90">
        <f t="shared" si="477"/>
        <v>2013</v>
      </c>
      <c r="AG1476" s="90">
        <f t="shared" si="478"/>
        <v>655</v>
      </c>
      <c r="AH1476" s="90">
        <f t="shared" si="479"/>
        <v>2018</v>
      </c>
      <c r="AI1476" s="90">
        <f t="shared" si="480"/>
        <v>1043</v>
      </c>
      <c r="AJ1476" s="90">
        <f t="shared" si="481"/>
        <v>2022</v>
      </c>
      <c r="AK1476" s="90" t="str">
        <f t="shared" si="482"/>
        <v/>
      </c>
      <c r="AL1476" s="91">
        <f>IF(AK1476="Adjust",(_xlfn.XLOOKUP(A1476,'Adj factor'!A:A,'Adj factor'!I:I,,0)*AI1476),'Master DataSheet (Rev)'!AI1476)</f>
        <v>1043</v>
      </c>
      <c r="AM1476" s="91">
        <f t="shared" si="483"/>
        <v>1043</v>
      </c>
      <c r="AN1476" s="92" t="str">
        <f t="shared" si="484"/>
        <v>Increasing</v>
      </c>
      <c r="AS1476" s="94">
        <f t="shared" si="485"/>
        <v>0.55725758345248932</v>
      </c>
      <c r="AT1476" s="94">
        <f t="shared" si="486"/>
        <v>0.81400040936142726</v>
      </c>
      <c r="AU1476" s="94">
        <f t="shared" si="488"/>
        <v>1.1787044162483327</v>
      </c>
      <c r="AV1476" s="94">
        <f t="shared" si="489"/>
        <v>1.1787044162483327</v>
      </c>
    </row>
    <row r="1477" spans="1:48" x14ac:dyDescent="0.3">
      <c r="A1477" s="85" t="str">
        <f>_xlfn.XLOOKUP(B1477,'Country codes &amp; Data sources'!G:G,'Country codes &amp; Data sources'!H:H,,0)</f>
        <v>Togo</v>
      </c>
      <c r="B1477" s="85" t="s">
        <v>195</v>
      </c>
      <c r="C1477" s="85">
        <v>6926642.5</v>
      </c>
      <c r="D1477" s="85" t="s">
        <v>334</v>
      </c>
      <c r="E1477" s="86">
        <v>0</v>
      </c>
      <c r="F1477" s="86">
        <v>7106229</v>
      </c>
      <c r="G1477" s="86">
        <v>399</v>
      </c>
      <c r="H1477" s="86"/>
      <c r="I1477" s="86">
        <v>0</v>
      </c>
      <c r="J1477" s="86"/>
      <c r="K1477" s="86">
        <v>0</v>
      </c>
      <c r="L1477" s="86"/>
      <c r="M1477" s="86">
        <v>502</v>
      </c>
      <c r="N1477" s="86"/>
      <c r="O1477" s="86">
        <v>614</v>
      </c>
      <c r="P1477" s="86">
        <v>8046679</v>
      </c>
      <c r="Q1477" s="86">
        <v>630</v>
      </c>
      <c r="R1477" s="87">
        <f t="shared" si="487"/>
        <v>630</v>
      </c>
      <c r="T1477" s="87">
        <v>834</v>
      </c>
      <c r="U1477" s="89"/>
      <c r="V1477" s="89">
        <v>809</v>
      </c>
      <c r="W1477" s="90"/>
      <c r="X1477" s="90">
        <v>709</v>
      </c>
      <c r="Y1477" s="90">
        <v>8848698.5000000019</v>
      </c>
      <c r="Z1477" s="90">
        <v>821</v>
      </c>
      <c r="AA1477" s="90">
        <v>614</v>
      </c>
      <c r="AB1477" s="89">
        <f t="shared" si="473"/>
        <v>399</v>
      </c>
      <c r="AC1477" s="89">
        <f t="shared" si="474"/>
        <v>834</v>
      </c>
      <c r="AD1477" s="89">
        <f t="shared" si="475"/>
        <v>821</v>
      </c>
      <c r="AE1477" s="90">
        <f t="shared" si="476"/>
        <v>399</v>
      </c>
      <c r="AF1477" s="90">
        <f t="shared" si="477"/>
        <v>2013</v>
      </c>
      <c r="AG1477" s="90">
        <f t="shared" si="478"/>
        <v>630</v>
      </c>
      <c r="AH1477" s="90">
        <f t="shared" si="479"/>
        <v>2018</v>
      </c>
      <c r="AI1477" s="90">
        <f t="shared" si="480"/>
        <v>821</v>
      </c>
      <c r="AJ1477" s="90">
        <f t="shared" si="481"/>
        <v>2022</v>
      </c>
      <c r="AK1477" s="90" t="str">
        <f t="shared" si="482"/>
        <v/>
      </c>
      <c r="AL1477" s="91">
        <f>IF(AK1477="Adjust",(_xlfn.XLOOKUP(A1477,'Adj factor'!A:A,'Adj factor'!I:I,,0)*AI1477),'Master DataSheet (Rev)'!AI1477)</f>
        <v>821</v>
      </c>
      <c r="AM1477" s="91">
        <f t="shared" si="483"/>
        <v>821</v>
      </c>
      <c r="AN1477" s="92" t="str">
        <f t="shared" si="484"/>
        <v>Increasing</v>
      </c>
      <c r="AS1477" s="94">
        <f t="shared" si="485"/>
        <v>0.5614792318119779</v>
      </c>
      <c r="AT1477" s="94">
        <f t="shared" si="486"/>
        <v>0.78293169144686892</v>
      </c>
      <c r="AU1477" s="94">
        <f t="shared" si="488"/>
        <v>0.92782006302960807</v>
      </c>
      <c r="AV1477" s="94">
        <f t="shared" si="489"/>
        <v>0.92782006302960807</v>
      </c>
    </row>
    <row r="1478" spans="1:48" x14ac:dyDescent="0.3">
      <c r="A1478" s="85" t="str">
        <f>_xlfn.XLOOKUP(B1478,'Country codes &amp; Data sources'!G:G,'Country codes &amp; Data sources'!H:H,,0)</f>
        <v>Togo</v>
      </c>
      <c r="B1478" s="85" t="s">
        <v>195</v>
      </c>
      <c r="C1478" s="85">
        <v>6926643.5</v>
      </c>
      <c r="D1478" s="85" t="s">
        <v>335</v>
      </c>
      <c r="E1478" s="86">
        <v>0</v>
      </c>
      <c r="F1478" s="86">
        <v>7106229</v>
      </c>
      <c r="G1478" s="86">
        <v>0</v>
      </c>
      <c r="H1478" s="86"/>
      <c r="I1478" s="86">
        <v>0</v>
      </c>
      <c r="J1478" s="86"/>
      <c r="K1478" s="86">
        <v>17</v>
      </c>
      <c r="L1478" s="86"/>
      <c r="M1478" s="86">
        <v>13</v>
      </c>
      <c r="N1478" s="86"/>
      <c r="O1478" s="86">
        <v>218</v>
      </c>
      <c r="P1478" s="86">
        <v>8046679</v>
      </c>
      <c r="Q1478" s="86">
        <v>213</v>
      </c>
      <c r="R1478" s="87">
        <f t="shared" si="487"/>
        <v>226</v>
      </c>
      <c r="T1478" s="87">
        <v>222</v>
      </c>
      <c r="U1478" s="89"/>
      <c r="V1478" s="89">
        <v>232</v>
      </c>
      <c r="W1478" s="90"/>
      <c r="X1478" s="90">
        <v>21</v>
      </c>
      <c r="Y1478" s="90">
        <v>8848698.5000000019</v>
      </c>
      <c r="Z1478" s="90">
        <v>255</v>
      </c>
      <c r="AA1478" s="90">
        <v>226</v>
      </c>
      <c r="AB1478" s="89">
        <f t="shared" si="473"/>
        <v>17</v>
      </c>
      <c r="AC1478" s="89">
        <f t="shared" si="474"/>
        <v>222</v>
      </c>
      <c r="AD1478" s="89">
        <f t="shared" si="475"/>
        <v>255</v>
      </c>
      <c r="AE1478" s="90">
        <f t="shared" si="476"/>
        <v>17</v>
      </c>
      <c r="AF1478" s="90">
        <f t="shared" si="477"/>
        <v>2015</v>
      </c>
      <c r="AG1478" s="90">
        <f t="shared" si="478"/>
        <v>226</v>
      </c>
      <c r="AH1478" s="90" t="str">
        <f t="shared" si="479"/>
        <v>2018 (triag)</v>
      </c>
      <c r="AI1478" s="90">
        <f t="shared" si="480"/>
        <v>255</v>
      </c>
      <c r="AJ1478" s="90">
        <f t="shared" si="481"/>
        <v>2022</v>
      </c>
      <c r="AK1478" s="90" t="str">
        <f t="shared" si="482"/>
        <v/>
      </c>
      <c r="AL1478" s="91">
        <f>IF(AK1478="Adjust",(_xlfn.XLOOKUP(A1478,'Adj factor'!A:A,'Adj factor'!I:I,,0)*AI1478),'Master DataSheet (Rev)'!AI1478)</f>
        <v>255</v>
      </c>
      <c r="AM1478" s="91">
        <f t="shared" si="483"/>
        <v>255</v>
      </c>
      <c r="AN1478" s="92" t="str">
        <f t="shared" si="484"/>
        <v>Increasing</v>
      </c>
      <c r="AS1478" s="94">
        <f t="shared" si="485"/>
        <v>2.3922674037101816E-2</v>
      </c>
      <c r="AT1478" s="94">
        <f t="shared" si="486"/>
        <v>0.28086120994760694</v>
      </c>
      <c r="AU1478" s="94">
        <f t="shared" si="488"/>
        <v>0.28817797329177841</v>
      </c>
      <c r="AV1478" s="94">
        <f t="shared" si="489"/>
        <v>0.28817797329177841</v>
      </c>
    </row>
    <row r="1479" spans="1:48" x14ac:dyDescent="0.3">
      <c r="A1479" s="85" t="str">
        <f>_xlfn.XLOOKUP(B1479,'Country codes &amp; Data sources'!G:G,'Country codes &amp; Data sources'!H:H,,0)</f>
        <v>Togo</v>
      </c>
      <c r="B1479" s="85" t="s">
        <v>195</v>
      </c>
      <c r="C1479" s="85">
        <v>6926644.5</v>
      </c>
      <c r="D1479" s="85" t="s">
        <v>336</v>
      </c>
      <c r="E1479" s="86">
        <v>0</v>
      </c>
      <c r="F1479" s="86">
        <v>7106229</v>
      </c>
      <c r="G1479" s="86">
        <v>0</v>
      </c>
      <c r="H1479" s="86"/>
      <c r="I1479" s="86">
        <v>0</v>
      </c>
      <c r="J1479" s="86"/>
      <c r="K1479" s="86">
        <v>0</v>
      </c>
      <c r="L1479" s="86"/>
      <c r="M1479" s="86">
        <v>1</v>
      </c>
      <c r="N1479" s="86"/>
      <c r="O1479" s="86">
        <v>3</v>
      </c>
      <c r="P1479" s="86">
        <v>8046679</v>
      </c>
      <c r="Q1479" s="86">
        <v>3</v>
      </c>
      <c r="R1479" s="87">
        <f t="shared" si="487"/>
        <v>3</v>
      </c>
      <c r="T1479" s="87">
        <v>32</v>
      </c>
      <c r="U1479" s="89"/>
      <c r="V1479" s="89">
        <v>49</v>
      </c>
      <c r="W1479" s="90"/>
      <c r="X1479" s="90">
        <v>44</v>
      </c>
      <c r="Y1479" s="90">
        <v>8848698.5000000019</v>
      </c>
      <c r="Z1479" s="90">
        <v>73</v>
      </c>
      <c r="AA1479" s="90">
        <v>0</v>
      </c>
      <c r="AB1479" s="89">
        <f t="shared" si="473"/>
        <v>0</v>
      </c>
      <c r="AC1479" s="89">
        <f t="shared" si="474"/>
        <v>32</v>
      </c>
      <c r="AD1479" s="89">
        <f t="shared" si="475"/>
        <v>73</v>
      </c>
      <c r="AF1479" s="90" t="str">
        <f t="shared" si="477"/>
        <v/>
      </c>
      <c r="AG1479" s="90">
        <f t="shared" si="478"/>
        <v>3</v>
      </c>
      <c r="AH1479" s="90">
        <f t="shared" si="479"/>
        <v>2017</v>
      </c>
      <c r="AI1479" s="90">
        <f t="shared" si="480"/>
        <v>73</v>
      </c>
      <c r="AJ1479" s="90">
        <f t="shared" si="481"/>
        <v>2022</v>
      </c>
      <c r="AK1479" s="90" t="str">
        <f t="shared" si="482"/>
        <v/>
      </c>
      <c r="AL1479" s="91">
        <f>IF(AK1479="Adjust",(_xlfn.XLOOKUP(A1479,'Adj factor'!A:A,'Adj factor'!I:I,,0)*AI1479),'Master DataSheet (Rev)'!AI1479)</f>
        <v>73</v>
      </c>
      <c r="AM1479" s="91">
        <f t="shared" si="483"/>
        <v>73</v>
      </c>
      <c r="AN1479" s="92" t="str">
        <f t="shared" si="484"/>
        <v>Increasing</v>
      </c>
      <c r="AS1479" s="94">
        <f t="shared" si="485"/>
        <v>0</v>
      </c>
      <c r="AT1479" s="94">
        <f t="shared" si="486"/>
        <v>3.7282461497469949E-3</v>
      </c>
      <c r="AU1479" s="94">
        <f t="shared" si="488"/>
        <v>8.2498008040391466E-2</v>
      </c>
      <c r="AV1479" s="94">
        <f t="shared" si="489"/>
        <v>8.2498008040391466E-2</v>
      </c>
    </row>
    <row r="1480" spans="1:48" x14ac:dyDescent="0.3">
      <c r="A1480" s="85" t="str">
        <f>_xlfn.XLOOKUP(B1480,'Country codes &amp; Data sources'!G:G,'Country codes &amp; Data sources'!H:H,,0)</f>
        <v>Togo</v>
      </c>
      <c r="B1480" s="85" t="s">
        <v>195</v>
      </c>
      <c r="C1480" s="85">
        <v>6926645.5</v>
      </c>
      <c r="D1480" s="85" t="s">
        <v>337</v>
      </c>
      <c r="E1480" s="86">
        <v>0</v>
      </c>
      <c r="F1480" s="86">
        <v>7106229</v>
      </c>
      <c r="G1480" s="86">
        <v>0</v>
      </c>
      <c r="H1480" s="86"/>
      <c r="I1480" s="86">
        <v>0</v>
      </c>
      <c r="J1480" s="86"/>
      <c r="K1480" s="86">
        <v>18</v>
      </c>
      <c r="L1480" s="86"/>
      <c r="M1480" s="86">
        <v>0</v>
      </c>
      <c r="N1480" s="86"/>
      <c r="O1480" s="86">
        <v>57</v>
      </c>
      <c r="P1480" s="86">
        <v>8046679</v>
      </c>
      <c r="Q1480" s="86">
        <v>21</v>
      </c>
      <c r="R1480" s="87">
        <f t="shared" si="487"/>
        <v>21</v>
      </c>
      <c r="T1480" s="87">
        <v>0</v>
      </c>
      <c r="U1480" s="89"/>
      <c r="V1480" s="89">
        <v>0</v>
      </c>
      <c r="W1480" s="90"/>
      <c r="X1480" s="90">
        <v>13</v>
      </c>
      <c r="Y1480" s="90">
        <v>8848698.5000000019</v>
      </c>
      <c r="Z1480" s="90">
        <v>18</v>
      </c>
      <c r="AA1480" s="90">
        <v>21</v>
      </c>
      <c r="AB1480" s="89">
        <f t="shared" si="473"/>
        <v>18</v>
      </c>
      <c r="AC1480" s="89">
        <f t="shared" si="474"/>
        <v>57</v>
      </c>
      <c r="AD1480" s="89">
        <f t="shared" si="475"/>
        <v>18</v>
      </c>
      <c r="AE1480" s="90">
        <f t="shared" si="476"/>
        <v>18</v>
      </c>
      <c r="AF1480" s="90">
        <f t="shared" si="477"/>
        <v>2015</v>
      </c>
      <c r="AG1480" s="90">
        <f t="shared" si="478"/>
        <v>21</v>
      </c>
      <c r="AH1480" s="90">
        <f t="shared" si="479"/>
        <v>2018</v>
      </c>
      <c r="AI1480" s="90">
        <f t="shared" si="480"/>
        <v>18</v>
      </c>
      <c r="AJ1480" s="90">
        <f t="shared" si="481"/>
        <v>2022</v>
      </c>
      <c r="AK1480" s="90" t="str">
        <f t="shared" si="482"/>
        <v>Adjust</v>
      </c>
      <c r="AL1480" s="91">
        <f>IF(AK1480="Adjust",(_xlfn.XLOOKUP(A1480,'Adj factor'!A:A,'Adj factor'!I:I,,0)*AI1480),'Master DataSheet (Rev)'!AI1480)</f>
        <v>21.759416355615883</v>
      </c>
      <c r="AM1480" s="91">
        <f t="shared" si="483"/>
        <v>21.759416355615883</v>
      </c>
      <c r="AN1480" s="92" t="str">
        <f t="shared" si="484"/>
        <v>Increasing</v>
      </c>
      <c r="AS1480" s="94">
        <f t="shared" si="485"/>
        <v>2.5329890156931333E-2</v>
      </c>
      <c r="AT1480" s="94">
        <f t="shared" si="486"/>
        <v>2.6097723048228966E-2</v>
      </c>
      <c r="AU1480" s="94">
        <f t="shared" si="488"/>
        <v>2.4590527472052391E-2</v>
      </c>
      <c r="AV1480" s="94">
        <f t="shared" si="489"/>
        <v>2.4590527472052391E-2</v>
      </c>
    </row>
    <row r="1481" spans="1:48" x14ac:dyDescent="0.3">
      <c r="A1481" s="85" t="str">
        <f>_xlfn.XLOOKUP(B1481,'Country codes &amp; Data sources'!G:G,'Country codes &amp; Data sources'!H:H,,0)</f>
        <v>Togo</v>
      </c>
      <c r="B1481" s="85" t="s">
        <v>195</v>
      </c>
      <c r="C1481" s="85">
        <v>6926646.5</v>
      </c>
      <c r="D1481" s="85" t="s">
        <v>338</v>
      </c>
      <c r="E1481" s="86">
        <v>0</v>
      </c>
      <c r="F1481" s="86">
        <v>7106229</v>
      </c>
      <c r="G1481" s="86">
        <v>0</v>
      </c>
      <c r="H1481" s="86"/>
      <c r="I1481" s="86">
        <v>0</v>
      </c>
      <c r="J1481" s="86"/>
      <c r="K1481" s="86">
        <v>0</v>
      </c>
      <c r="L1481" s="86"/>
      <c r="M1481" s="86">
        <v>0</v>
      </c>
      <c r="N1481" s="86"/>
      <c r="O1481" s="86">
        <v>0</v>
      </c>
      <c r="P1481" s="86">
        <v>8046679</v>
      </c>
      <c r="Q1481" s="86">
        <v>0</v>
      </c>
      <c r="R1481" s="87">
        <f t="shared" si="487"/>
        <v>0</v>
      </c>
      <c r="T1481" s="87">
        <v>25</v>
      </c>
      <c r="U1481" s="89"/>
      <c r="V1481" s="89">
        <v>0</v>
      </c>
      <c r="W1481" s="90"/>
      <c r="X1481" s="90">
        <v>0</v>
      </c>
      <c r="Y1481" s="90">
        <v>8848698.5000000019</v>
      </c>
      <c r="Z1481" s="90">
        <v>1</v>
      </c>
      <c r="AA1481" s="90">
        <v>0</v>
      </c>
      <c r="AB1481" s="89">
        <f t="shared" si="473"/>
        <v>0</v>
      </c>
      <c r="AC1481" s="89">
        <f t="shared" si="474"/>
        <v>25</v>
      </c>
      <c r="AD1481" s="89">
        <f t="shared" si="475"/>
        <v>1</v>
      </c>
      <c r="AF1481" s="90" t="str">
        <f t="shared" si="477"/>
        <v/>
      </c>
      <c r="AG1481" s="90">
        <f t="shared" si="478"/>
        <v>25</v>
      </c>
      <c r="AH1481" s="90">
        <f t="shared" si="479"/>
        <v>2019</v>
      </c>
      <c r="AI1481" s="90">
        <f t="shared" si="480"/>
        <v>1</v>
      </c>
      <c r="AJ1481" s="90">
        <f t="shared" si="481"/>
        <v>2022</v>
      </c>
      <c r="AK1481" s="90" t="str">
        <f t="shared" si="482"/>
        <v>Adjust</v>
      </c>
      <c r="AL1481" s="91">
        <f>IF(AK1481="Adjust",(_xlfn.XLOOKUP(A1481,'Adj factor'!A:A,'Adj factor'!I:I,,0)*AI1481),'Master DataSheet (Rev)'!AI1481)</f>
        <v>1.2088564642008823</v>
      </c>
      <c r="AM1481" s="91">
        <f t="shared" si="483"/>
        <v>25</v>
      </c>
      <c r="AN1481" s="92" t="str">
        <f t="shared" si="484"/>
        <v>Decreasing</v>
      </c>
      <c r="AS1481" s="94">
        <f t="shared" si="485"/>
        <v>0</v>
      </c>
      <c r="AT1481" s="94">
        <f t="shared" si="486"/>
        <v>3.1068717914558293E-2</v>
      </c>
      <c r="AU1481" s="94">
        <f t="shared" si="488"/>
        <v>1.3661404151140216E-3</v>
      </c>
      <c r="AV1481" s="94">
        <f t="shared" si="489"/>
        <v>2.8252742479586115E-2</v>
      </c>
    </row>
    <row r="1482" spans="1:48" x14ac:dyDescent="0.3">
      <c r="A1482" s="85" t="str">
        <f>_xlfn.XLOOKUP(B1482,'Country codes &amp; Data sources'!G:G,'Country codes &amp; Data sources'!H:H,,0)</f>
        <v>Togo</v>
      </c>
      <c r="B1482" s="85" t="s">
        <v>195</v>
      </c>
      <c r="C1482" s="85">
        <v>6926647.5</v>
      </c>
      <c r="D1482" s="85" t="s">
        <v>339</v>
      </c>
      <c r="E1482" s="86">
        <v>0</v>
      </c>
      <c r="F1482" s="86">
        <v>7106229</v>
      </c>
      <c r="G1482" s="86">
        <v>0</v>
      </c>
      <c r="H1482" s="86"/>
      <c r="I1482" s="86">
        <v>0</v>
      </c>
      <c r="J1482" s="86"/>
      <c r="K1482" s="86">
        <v>0</v>
      </c>
      <c r="L1482" s="86"/>
      <c r="M1482" s="86">
        <v>33</v>
      </c>
      <c r="N1482" s="86"/>
      <c r="O1482" s="86">
        <v>57</v>
      </c>
      <c r="P1482" s="86">
        <v>8046679</v>
      </c>
      <c r="Q1482" s="86">
        <v>62</v>
      </c>
      <c r="R1482" s="87">
        <f t="shared" si="487"/>
        <v>62</v>
      </c>
      <c r="T1482" s="87">
        <v>61</v>
      </c>
      <c r="U1482" s="89"/>
      <c r="V1482" s="89">
        <v>65</v>
      </c>
      <c r="W1482" s="90"/>
      <c r="X1482" s="90">
        <v>69</v>
      </c>
      <c r="Y1482" s="90">
        <v>8848698.5000000019</v>
      </c>
      <c r="Z1482" s="90">
        <v>0</v>
      </c>
      <c r="AA1482" s="90">
        <v>0</v>
      </c>
      <c r="AB1482" s="89">
        <f t="shared" si="473"/>
        <v>0</v>
      </c>
      <c r="AC1482" s="89">
        <f t="shared" si="474"/>
        <v>62</v>
      </c>
      <c r="AD1482" s="89">
        <f t="shared" si="475"/>
        <v>69</v>
      </c>
      <c r="AF1482" s="90" t="str">
        <f t="shared" si="477"/>
        <v/>
      </c>
      <c r="AG1482" s="90">
        <f t="shared" si="478"/>
        <v>62</v>
      </c>
      <c r="AH1482" s="90">
        <f t="shared" si="479"/>
        <v>2018</v>
      </c>
      <c r="AI1482" s="90">
        <f t="shared" si="480"/>
        <v>69</v>
      </c>
      <c r="AJ1482" s="90">
        <f t="shared" si="481"/>
        <v>2021</v>
      </c>
      <c r="AK1482" s="90" t="str">
        <f t="shared" si="482"/>
        <v/>
      </c>
      <c r="AL1482" s="91">
        <f>IF(AK1482="Adjust",(_xlfn.XLOOKUP(A1482,'Adj factor'!A:A,'Adj factor'!I:I,,0)*AI1482),'Master DataSheet (Rev)'!AI1482)</f>
        <v>69</v>
      </c>
      <c r="AM1482" s="91">
        <f t="shared" si="483"/>
        <v>69</v>
      </c>
      <c r="AN1482" s="92" t="str">
        <f t="shared" si="484"/>
        <v>Increasing</v>
      </c>
      <c r="AS1482" s="94">
        <f t="shared" si="485"/>
        <v>0</v>
      </c>
      <c r="AT1482" s="94">
        <f t="shared" si="486"/>
        <v>7.705042042810456E-2</v>
      </c>
      <c r="AU1482" s="94">
        <f t="shared" si="488"/>
        <v>7.7977569243657674E-2</v>
      </c>
      <c r="AV1482" s="94">
        <f t="shared" si="489"/>
        <v>7.7977569243657674E-2</v>
      </c>
    </row>
    <row r="1483" spans="1:48" x14ac:dyDescent="0.3">
      <c r="A1483" s="85" t="str">
        <f>_xlfn.XLOOKUP(B1483,'Country codes &amp; Data sources'!G:G,'Country codes &amp; Data sources'!H:H,,0)</f>
        <v>Tanzania</v>
      </c>
      <c r="B1483" s="85" t="s">
        <v>197</v>
      </c>
      <c r="C1483" s="85">
        <v>47786137.499999993</v>
      </c>
      <c r="D1483" s="85" t="s">
        <v>326</v>
      </c>
      <c r="E1483" s="86">
        <v>1481</v>
      </c>
      <c r="F1483" s="86">
        <v>49253643.5</v>
      </c>
      <c r="G1483" s="86">
        <v>0</v>
      </c>
      <c r="H1483" s="86">
        <v>50814551.500000022</v>
      </c>
      <c r="I1483" s="86">
        <v>3015</v>
      </c>
      <c r="J1483" s="86">
        <v>52542823.5</v>
      </c>
      <c r="K1483" s="86">
        <v>0</v>
      </c>
      <c r="L1483" s="86">
        <v>54401801.500000007</v>
      </c>
      <c r="M1483" s="86">
        <v>0</v>
      </c>
      <c r="N1483" s="86">
        <v>56267032.000000007</v>
      </c>
      <c r="O1483" s="86">
        <v>0</v>
      </c>
      <c r="P1483" s="86">
        <v>58090443.000000007</v>
      </c>
      <c r="Q1483" s="86">
        <v>2885</v>
      </c>
      <c r="R1483" s="87">
        <f t="shared" si="487"/>
        <v>2885</v>
      </c>
      <c r="S1483" s="87">
        <v>59872579</v>
      </c>
      <c r="T1483" s="87">
        <v>0</v>
      </c>
      <c r="U1483" s="89">
        <v>61704517.99999997</v>
      </c>
      <c r="V1483" s="89">
        <v>0</v>
      </c>
      <c r="W1483" s="90">
        <v>63588333.999999993</v>
      </c>
      <c r="X1483" s="90">
        <v>0</v>
      </c>
      <c r="Y1483" s="90">
        <v>65497748.000000045</v>
      </c>
      <c r="Z1483" s="90">
        <v>8693</v>
      </c>
      <c r="AA1483" s="90">
        <v>2885</v>
      </c>
      <c r="AB1483" s="89">
        <f t="shared" si="473"/>
        <v>3015</v>
      </c>
      <c r="AC1483" s="89">
        <f t="shared" si="474"/>
        <v>2885</v>
      </c>
      <c r="AD1483" s="89">
        <f t="shared" si="475"/>
        <v>8693</v>
      </c>
      <c r="AE1483" s="90">
        <f t="shared" si="476"/>
        <v>1481</v>
      </c>
      <c r="AF1483" s="90">
        <f t="shared" si="477"/>
        <v>2012</v>
      </c>
      <c r="AG1483" s="90">
        <f t="shared" si="478"/>
        <v>2885</v>
      </c>
      <c r="AH1483" s="90">
        <f t="shared" si="479"/>
        <v>2018</v>
      </c>
      <c r="AI1483" s="90">
        <f t="shared" si="480"/>
        <v>8693</v>
      </c>
      <c r="AJ1483" s="90">
        <f t="shared" si="481"/>
        <v>2022</v>
      </c>
      <c r="AK1483" s="90" t="str">
        <f t="shared" si="482"/>
        <v/>
      </c>
      <c r="AL1483" s="91">
        <f>IF(AK1483="Adjust",(_xlfn.XLOOKUP(A1483,'Adj factor'!A:A,'Adj factor'!I:I,,0)*AI1483),'Master DataSheet (Rev)'!AI1483)</f>
        <v>8693</v>
      </c>
      <c r="AM1483" s="91">
        <f t="shared" si="483"/>
        <v>8693</v>
      </c>
      <c r="AN1483" s="92" t="str">
        <f t="shared" si="484"/>
        <v>Increasing</v>
      </c>
      <c r="AS1483" s="94">
        <f t="shared" si="485"/>
        <v>0.30068841506111116</v>
      </c>
      <c r="AT1483" s="94">
        <f t="shared" si="486"/>
        <v>0.49663935253514929</v>
      </c>
      <c r="AU1483" s="94">
        <f t="shared" si="488"/>
        <v>1.3272212046130187</v>
      </c>
      <c r="AV1483" s="94">
        <f t="shared" si="489"/>
        <v>1.3272212046130187</v>
      </c>
    </row>
    <row r="1484" spans="1:48" x14ac:dyDescent="0.3">
      <c r="A1484" s="85" t="str">
        <f>_xlfn.XLOOKUP(B1484,'Country codes &amp; Data sources'!G:G,'Country codes &amp; Data sources'!H:H,,0)</f>
        <v>Tanzania</v>
      </c>
      <c r="B1484" s="85" t="s">
        <v>197</v>
      </c>
      <c r="C1484" s="85">
        <v>47786138.5</v>
      </c>
      <c r="D1484" s="85" t="s">
        <v>327</v>
      </c>
      <c r="E1484" s="86">
        <v>0</v>
      </c>
      <c r="F1484" s="86">
        <v>49253643.5</v>
      </c>
      <c r="G1484" s="86">
        <v>0</v>
      </c>
      <c r="H1484" s="86"/>
      <c r="I1484" s="86">
        <v>0</v>
      </c>
      <c r="J1484" s="86"/>
      <c r="K1484" s="86">
        <v>0</v>
      </c>
      <c r="L1484" s="86"/>
      <c r="M1484" s="86">
        <v>0</v>
      </c>
      <c r="N1484" s="86"/>
      <c r="O1484" s="86">
        <v>0</v>
      </c>
      <c r="P1484" s="86">
        <v>58090443.000000007</v>
      </c>
      <c r="Q1484" s="86">
        <v>2434</v>
      </c>
      <c r="R1484" s="87">
        <f t="shared" si="487"/>
        <v>2434</v>
      </c>
      <c r="T1484" s="87">
        <v>0</v>
      </c>
      <c r="U1484" s="89"/>
      <c r="V1484" s="89">
        <v>0</v>
      </c>
      <c r="W1484" s="90"/>
      <c r="X1484" s="90">
        <v>0</v>
      </c>
      <c r="Y1484" s="90">
        <v>65497748.000000045</v>
      </c>
      <c r="Z1484" s="90">
        <v>6701</v>
      </c>
      <c r="AA1484" s="90">
        <v>2434</v>
      </c>
      <c r="AB1484" s="89">
        <f t="shared" si="473"/>
        <v>0</v>
      </c>
      <c r="AC1484" s="89">
        <f t="shared" si="474"/>
        <v>2434</v>
      </c>
      <c r="AD1484" s="89">
        <f t="shared" si="475"/>
        <v>6701</v>
      </c>
      <c r="AF1484" s="90" t="str">
        <f t="shared" si="477"/>
        <v/>
      </c>
      <c r="AG1484" s="90">
        <f t="shared" si="478"/>
        <v>2434</v>
      </c>
      <c r="AH1484" s="90">
        <f t="shared" si="479"/>
        <v>2018</v>
      </c>
      <c r="AI1484" s="90">
        <f t="shared" si="480"/>
        <v>6701</v>
      </c>
      <c r="AJ1484" s="90">
        <f t="shared" si="481"/>
        <v>2022</v>
      </c>
      <c r="AK1484" s="90" t="str">
        <f t="shared" si="482"/>
        <v/>
      </c>
      <c r="AL1484" s="91">
        <f>IF(AK1484="Adjust",(_xlfn.XLOOKUP(A1484,'Adj factor'!A:A,'Adj factor'!I:I,,0)*AI1484),'Master DataSheet (Rev)'!AI1484)</f>
        <v>6701</v>
      </c>
      <c r="AM1484" s="91">
        <f t="shared" si="483"/>
        <v>6701</v>
      </c>
      <c r="AN1484" s="92" t="str">
        <f t="shared" si="484"/>
        <v>Increasing</v>
      </c>
      <c r="AS1484" s="94">
        <f t="shared" si="485"/>
        <v>0</v>
      </c>
      <c r="AT1484" s="94">
        <f t="shared" si="486"/>
        <v>0.41900179690487122</v>
      </c>
      <c r="AU1484" s="94">
        <f t="shared" si="488"/>
        <v>1.0230886106191004</v>
      </c>
      <c r="AV1484" s="94">
        <f t="shared" si="489"/>
        <v>1.0230886106191004</v>
      </c>
    </row>
    <row r="1485" spans="1:48" x14ac:dyDescent="0.3">
      <c r="A1485" s="85" t="str">
        <f>_xlfn.XLOOKUP(B1485,'Country codes &amp; Data sources'!G:G,'Country codes &amp; Data sources'!H:H,,0)</f>
        <v>Tanzania</v>
      </c>
      <c r="B1485" s="85" t="s">
        <v>197</v>
      </c>
      <c r="C1485" s="85">
        <v>47786139.5</v>
      </c>
      <c r="D1485" s="85" t="s">
        <v>328</v>
      </c>
      <c r="E1485" s="86">
        <v>0</v>
      </c>
      <c r="F1485" s="86">
        <v>49253643.5</v>
      </c>
      <c r="G1485" s="86">
        <v>0</v>
      </c>
      <c r="H1485" s="86"/>
      <c r="I1485" s="86">
        <v>929</v>
      </c>
      <c r="J1485" s="86"/>
      <c r="K1485" s="86">
        <v>0</v>
      </c>
      <c r="L1485" s="86"/>
      <c r="M1485" s="86">
        <v>0</v>
      </c>
      <c r="N1485" s="86"/>
      <c r="O1485" s="86">
        <v>0</v>
      </c>
      <c r="P1485" s="86">
        <v>58090443.000000007</v>
      </c>
      <c r="Q1485" s="86">
        <v>451</v>
      </c>
      <c r="R1485" s="87">
        <f t="shared" si="487"/>
        <v>451</v>
      </c>
      <c r="T1485" s="87">
        <v>0</v>
      </c>
      <c r="U1485" s="89"/>
      <c r="V1485" s="89">
        <v>0</v>
      </c>
      <c r="W1485" s="90"/>
      <c r="X1485" s="90">
        <v>0</v>
      </c>
      <c r="Y1485" s="90">
        <v>65497748.000000045</v>
      </c>
      <c r="Z1485" s="90">
        <v>1992</v>
      </c>
      <c r="AA1485" s="90">
        <v>451</v>
      </c>
      <c r="AB1485" s="89">
        <f t="shared" si="473"/>
        <v>929</v>
      </c>
      <c r="AC1485" s="89">
        <f t="shared" si="474"/>
        <v>451</v>
      </c>
      <c r="AD1485" s="89">
        <f t="shared" si="475"/>
        <v>1992</v>
      </c>
      <c r="AE1485" s="90">
        <f t="shared" si="476"/>
        <v>929</v>
      </c>
      <c r="AF1485" s="90">
        <f t="shared" si="477"/>
        <v>2014</v>
      </c>
      <c r="AG1485" s="90">
        <f t="shared" si="478"/>
        <v>451</v>
      </c>
      <c r="AH1485" s="90">
        <f t="shared" si="479"/>
        <v>2018</v>
      </c>
      <c r="AI1485" s="90">
        <f t="shared" si="480"/>
        <v>1992</v>
      </c>
      <c r="AJ1485" s="90">
        <f t="shared" si="481"/>
        <v>2022</v>
      </c>
      <c r="AK1485" s="90" t="str">
        <f t="shared" si="482"/>
        <v/>
      </c>
      <c r="AL1485" s="91">
        <f>IF(AK1485="Adjust",(_xlfn.XLOOKUP(A1485,'Adj factor'!A:A,'Adj factor'!I:I,,0)*AI1485),'Master DataSheet (Rev)'!AI1485)</f>
        <v>1992</v>
      </c>
      <c r="AM1485" s="91">
        <f t="shared" si="483"/>
        <v>1992</v>
      </c>
      <c r="AN1485" s="92" t="str">
        <f t="shared" si="484"/>
        <v>Increasing</v>
      </c>
      <c r="AS1485" s="94">
        <f t="shared" si="485"/>
        <v>0.18861548790801638</v>
      </c>
      <c r="AT1485" s="94">
        <f t="shared" si="486"/>
        <v>7.7637555630278104E-2</v>
      </c>
      <c r="AU1485" s="94">
        <f t="shared" si="488"/>
        <v>0.30413259399391851</v>
      </c>
      <c r="AV1485" s="94">
        <f t="shared" si="489"/>
        <v>0.30413259399391851</v>
      </c>
    </row>
    <row r="1486" spans="1:48" x14ac:dyDescent="0.3">
      <c r="A1486" s="85" t="str">
        <f>_xlfn.XLOOKUP(B1486,'Country codes &amp; Data sources'!G:G,'Country codes &amp; Data sources'!H:H,,0)</f>
        <v>Tanzania</v>
      </c>
      <c r="B1486" s="85" t="s">
        <v>197</v>
      </c>
      <c r="C1486" s="85">
        <v>47786140.5</v>
      </c>
      <c r="D1486" s="85" t="s">
        <v>329</v>
      </c>
      <c r="E1486" s="86">
        <v>20800</v>
      </c>
      <c r="F1486" s="86">
        <v>49253643.5</v>
      </c>
      <c r="G1486" s="86">
        <v>0</v>
      </c>
      <c r="H1486" s="86"/>
      <c r="I1486" s="86">
        <v>21552</v>
      </c>
      <c r="J1486" s="86"/>
      <c r="K1486" s="86">
        <v>0</v>
      </c>
      <c r="L1486" s="86"/>
      <c r="M1486" s="86">
        <v>0</v>
      </c>
      <c r="N1486" s="86"/>
      <c r="O1486" s="86">
        <v>31940</v>
      </c>
      <c r="P1486" s="86">
        <v>58090443.000000007</v>
      </c>
      <c r="Q1486" s="86">
        <v>31940</v>
      </c>
      <c r="R1486" s="87">
        <f t="shared" si="487"/>
        <v>31940</v>
      </c>
      <c r="T1486" s="87">
        <v>0</v>
      </c>
      <c r="U1486" s="89"/>
      <c r="V1486" s="89">
        <v>0</v>
      </c>
      <c r="W1486" s="90"/>
      <c r="X1486" s="90">
        <v>0</v>
      </c>
      <c r="Y1486" s="90">
        <v>65497748.000000045</v>
      </c>
      <c r="Z1486" s="90">
        <v>0</v>
      </c>
      <c r="AA1486" s="90">
        <v>31940</v>
      </c>
      <c r="AB1486" s="89">
        <f t="shared" si="473"/>
        <v>21552</v>
      </c>
      <c r="AC1486" s="89">
        <f t="shared" si="474"/>
        <v>31940</v>
      </c>
      <c r="AD1486" s="89">
        <f t="shared" si="475"/>
        <v>0</v>
      </c>
      <c r="AE1486" s="90">
        <f t="shared" si="476"/>
        <v>20800</v>
      </c>
      <c r="AF1486" s="90">
        <f t="shared" si="477"/>
        <v>2012</v>
      </c>
      <c r="AG1486" s="90">
        <f t="shared" si="478"/>
        <v>31940</v>
      </c>
      <c r="AH1486" s="90">
        <f t="shared" si="479"/>
        <v>2017</v>
      </c>
      <c r="AI1486" s="90">
        <f t="shared" si="480"/>
        <v>31940</v>
      </c>
      <c r="AJ1486" s="90">
        <f t="shared" si="481"/>
        <v>2017</v>
      </c>
      <c r="AK1486" s="90" t="str">
        <f t="shared" si="482"/>
        <v/>
      </c>
      <c r="AL1486" s="91">
        <f>IF(AK1486="Adjust",(_xlfn.XLOOKUP(A1486,'Adj factor'!A:A,'Adj factor'!I:I,,0)*AI1486),'Master DataSheet (Rev)'!AI1486)</f>
        <v>31940</v>
      </c>
      <c r="AM1486" s="91">
        <f t="shared" si="483"/>
        <v>31940</v>
      </c>
      <c r="AN1486" s="92" t="str">
        <f t="shared" si="484"/>
        <v>No change</v>
      </c>
      <c r="AS1486" s="94">
        <f>(AE1486*10000)/F1486</f>
        <v>4.2230378347542956</v>
      </c>
      <c r="AT1486" s="94">
        <f>(AG1486*10000)/P1486</f>
        <v>5.4983226759004049</v>
      </c>
      <c r="AU1486" s="94">
        <f t="shared" si="488"/>
        <v>4.8765035402438537</v>
      </c>
      <c r="AV1486" s="94">
        <f t="shared" si="489"/>
        <v>4.8765035402438537</v>
      </c>
    </row>
    <row r="1487" spans="1:48" x14ac:dyDescent="0.3">
      <c r="A1487" s="85" t="str">
        <f>_xlfn.XLOOKUP(B1487,'Country codes &amp; Data sources'!G:G,'Country codes &amp; Data sources'!H:H,,0)</f>
        <v>Tanzania</v>
      </c>
      <c r="B1487" s="85" t="s">
        <v>197</v>
      </c>
      <c r="C1487" s="85">
        <v>47786141.5</v>
      </c>
      <c r="D1487" s="85" t="s">
        <v>330</v>
      </c>
      <c r="E1487" s="86">
        <v>0</v>
      </c>
      <c r="F1487" s="86">
        <v>49253643.5</v>
      </c>
      <c r="G1487" s="86">
        <v>0</v>
      </c>
      <c r="H1487" s="86"/>
      <c r="I1487" s="86">
        <v>0</v>
      </c>
      <c r="J1487" s="86"/>
      <c r="K1487" s="86">
        <v>0</v>
      </c>
      <c r="L1487" s="86"/>
      <c r="M1487" s="86">
        <v>0</v>
      </c>
      <c r="N1487" s="86"/>
      <c r="O1487" s="86">
        <v>10589</v>
      </c>
      <c r="P1487" s="86">
        <v>58090443.000000007</v>
      </c>
      <c r="Q1487" s="86">
        <v>0</v>
      </c>
      <c r="R1487" s="87">
        <f t="shared" si="487"/>
        <v>10589</v>
      </c>
      <c r="T1487" s="87">
        <v>0</v>
      </c>
      <c r="U1487" s="89"/>
      <c r="V1487" s="89">
        <v>0</v>
      </c>
      <c r="W1487" s="90"/>
      <c r="X1487" s="90">
        <v>0</v>
      </c>
      <c r="Y1487" s="90">
        <v>65497748.000000045</v>
      </c>
      <c r="Z1487" s="90">
        <v>0</v>
      </c>
      <c r="AA1487" s="90">
        <v>10589</v>
      </c>
      <c r="AB1487" s="89">
        <f t="shared" si="473"/>
        <v>0</v>
      </c>
      <c r="AC1487" s="89">
        <f t="shared" si="474"/>
        <v>10589</v>
      </c>
      <c r="AD1487" s="89">
        <f t="shared" si="475"/>
        <v>0</v>
      </c>
      <c r="AF1487" s="90" t="str">
        <f t="shared" si="477"/>
        <v/>
      </c>
      <c r="AG1487" s="90">
        <f t="shared" si="478"/>
        <v>10589</v>
      </c>
      <c r="AH1487" s="90">
        <f t="shared" si="479"/>
        <v>2017</v>
      </c>
      <c r="AI1487" s="90">
        <f t="shared" si="480"/>
        <v>10589</v>
      </c>
      <c r="AJ1487" s="90">
        <f t="shared" si="481"/>
        <v>2017</v>
      </c>
      <c r="AK1487" s="90" t="str">
        <f t="shared" si="482"/>
        <v/>
      </c>
      <c r="AL1487" s="91">
        <f>IF(AK1487="Adjust",(_xlfn.XLOOKUP(A1487,'Adj factor'!A:A,'Adj factor'!I:I,,0)*AI1487),'Master DataSheet (Rev)'!AI1487)</f>
        <v>10589</v>
      </c>
      <c r="AM1487" s="91">
        <f t="shared" si="483"/>
        <v>10589</v>
      </c>
      <c r="AN1487" s="92" t="str">
        <f t="shared" si="484"/>
        <v>No change</v>
      </c>
      <c r="AS1487" s="94">
        <f t="shared" si="485"/>
        <v>0</v>
      </c>
      <c r="AT1487" s="94">
        <f t="shared" si="486"/>
        <v>1.8228471764279708</v>
      </c>
      <c r="AU1487" s="94">
        <f t="shared" si="488"/>
        <v>1.6166968061253026</v>
      </c>
      <c r="AV1487" s="94">
        <f t="shared" si="489"/>
        <v>1.6166968061253026</v>
      </c>
    </row>
    <row r="1488" spans="1:48" x14ac:dyDescent="0.3">
      <c r="A1488" s="85" t="str">
        <f>_xlfn.XLOOKUP(B1488,'Country codes &amp; Data sources'!G:G,'Country codes &amp; Data sources'!H:H,,0)</f>
        <v>Tanzania</v>
      </c>
      <c r="B1488" s="85" t="s">
        <v>197</v>
      </c>
      <c r="C1488" s="85">
        <v>47786142.5</v>
      </c>
      <c r="D1488" s="85" t="s">
        <v>331</v>
      </c>
      <c r="E1488" s="86">
        <v>0</v>
      </c>
      <c r="F1488" s="86">
        <v>49253643.5</v>
      </c>
      <c r="G1488" s="86">
        <v>0</v>
      </c>
      <c r="H1488" s="86"/>
      <c r="I1488" s="86">
        <v>0</v>
      </c>
      <c r="J1488" s="86"/>
      <c r="K1488" s="86">
        <v>0</v>
      </c>
      <c r="L1488" s="86"/>
      <c r="M1488" s="86">
        <v>0</v>
      </c>
      <c r="N1488" s="86"/>
      <c r="O1488" s="86">
        <v>21351</v>
      </c>
      <c r="P1488" s="86">
        <v>58090443.000000007</v>
      </c>
      <c r="Q1488" s="86">
        <v>0</v>
      </c>
      <c r="R1488" s="87">
        <f t="shared" si="487"/>
        <v>21351</v>
      </c>
      <c r="T1488" s="87">
        <v>0</v>
      </c>
      <c r="U1488" s="89"/>
      <c r="V1488" s="89">
        <v>0</v>
      </c>
      <c r="W1488" s="90"/>
      <c r="X1488" s="90">
        <v>0</v>
      </c>
      <c r="Y1488" s="90">
        <v>65497748.000000045</v>
      </c>
      <c r="Z1488" s="90">
        <v>0</v>
      </c>
      <c r="AA1488" s="90">
        <v>21351</v>
      </c>
      <c r="AB1488" s="89">
        <f t="shared" si="473"/>
        <v>0</v>
      </c>
      <c r="AC1488" s="89">
        <f t="shared" si="474"/>
        <v>21351</v>
      </c>
      <c r="AD1488" s="89">
        <f t="shared" si="475"/>
        <v>0</v>
      </c>
      <c r="AF1488" s="90" t="str">
        <f t="shared" si="477"/>
        <v/>
      </c>
      <c r="AG1488" s="90">
        <f t="shared" si="478"/>
        <v>21351</v>
      </c>
      <c r="AH1488" s="90">
        <f t="shared" si="479"/>
        <v>2017</v>
      </c>
      <c r="AI1488" s="90">
        <f t="shared" si="480"/>
        <v>21351</v>
      </c>
      <c r="AJ1488" s="90">
        <f t="shared" si="481"/>
        <v>2017</v>
      </c>
      <c r="AK1488" s="90" t="str">
        <f t="shared" si="482"/>
        <v/>
      </c>
      <c r="AL1488" s="91">
        <f>IF(AK1488="Adjust",(_xlfn.XLOOKUP(A1488,'Adj factor'!A:A,'Adj factor'!I:I,,0)*AI1488),'Master DataSheet (Rev)'!AI1488)</f>
        <v>21351</v>
      </c>
      <c r="AM1488" s="91">
        <f t="shared" si="483"/>
        <v>21351</v>
      </c>
      <c r="AN1488" s="92" t="str">
        <f t="shared" si="484"/>
        <v>No change</v>
      </c>
      <c r="AS1488" s="94">
        <f t="shared" si="485"/>
        <v>0</v>
      </c>
      <c r="AT1488" s="94">
        <f t="shared" si="486"/>
        <v>3.6754754994724341</v>
      </c>
      <c r="AU1488" s="94">
        <f t="shared" si="488"/>
        <v>3.259806734118551</v>
      </c>
      <c r="AV1488" s="94">
        <f t="shared" si="489"/>
        <v>3.259806734118551</v>
      </c>
    </row>
    <row r="1489" spans="1:48" x14ac:dyDescent="0.3">
      <c r="A1489" s="85" t="str">
        <f>_xlfn.XLOOKUP(B1489,'Country codes &amp; Data sources'!G:G,'Country codes &amp; Data sources'!H:H,,0)</f>
        <v>Tanzania</v>
      </c>
      <c r="B1489" s="85" t="s">
        <v>197</v>
      </c>
      <c r="C1489" s="85">
        <v>47786143.5</v>
      </c>
      <c r="D1489" s="85" t="s">
        <v>332</v>
      </c>
      <c r="E1489" s="86">
        <v>0</v>
      </c>
      <c r="F1489" s="86">
        <v>49253643.5</v>
      </c>
      <c r="G1489" s="86">
        <v>0</v>
      </c>
      <c r="H1489" s="86"/>
      <c r="I1489" s="86">
        <v>0</v>
      </c>
      <c r="J1489" s="86"/>
      <c r="K1489" s="86">
        <v>0</v>
      </c>
      <c r="L1489" s="86"/>
      <c r="M1489" s="86">
        <v>0</v>
      </c>
      <c r="N1489" s="86"/>
      <c r="O1489" s="86">
        <v>0</v>
      </c>
      <c r="P1489" s="86">
        <v>58090443.000000007</v>
      </c>
      <c r="Q1489" s="86">
        <v>0</v>
      </c>
      <c r="R1489" s="87">
        <f t="shared" si="487"/>
        <v>0</v>
      </c>
      <c r="T1489" s="87">
        <v>0</v>
      </c>
      <c r="U1489" s="89"/>
      <c r="V1489" s="89">
        <v>0</v>
      </c>
      <c r="W1489" s="90"/>
      <c r="X1489" s="90">
        <v>0</v>
      </c>
      <c r="Y1489" s="90">
        <v>65497748.000000045</v>
      </c>
      <c r="Z1489" s="90">
        <v>0</v>
      </c>
      <c r="AA1489" s="90">
        <v>0</v>
      </c>
      <c r="AB1489" s="89">
        <f t="shared" si="473"/>
        <v>0</v>
      </c>
      <c r="AC1489" s="89">
        <f t="shared" si="474"/>
        <v>0</v>
      </c>
      <c r="AD1489" s="89">
        <f t="shared" si="475"/>
        <v>0</v>
      </c>
      <c r="AF1489" s="90" t="str">
        <f t="shared" si="477"/>
        <v/>
      </c>
      <c r="AH1489" s="90" t="str">
        <f t="shared" si="479"/>
        <v/>
      </c>
      <c r="AI1489" s="90">
        <f t="shared" si="480"/>
        <v>0</v>
      </c>
      <c r="AJ1489" s="90" t="str">
        <f t="shared" si="481"/>
        <v/>
      </c>
      <c r="AK1489" s="90" t="str">
        <f t="shared" si="482"/>
        <v/>
      </c>
      <c r="AL1489" s="91"/>
      <c r="AM1489" s="91">
        <f t="shared" si="483"/>
        <v>0</v>
      </c>
      <c r="AN1489" s="92" t="str">
        <f t="shared" si="484"/>
        <v>No change</v>
      </c>
      <c r="AS1489" s="94">
        <f t="shared" si="485"/>
        <v>0</v>
      </c>
      <c r="AT1489" s="94">
        <f t="shared" si="486"/>
        <v>0</v>
      </c>
      <c r="AU1489" s="94">
        <f t="shared" si="488"/>
        <v>0</v>
      </c>
      <c r="AV1489" s="94">
        <f t="shared" si="489"/>
        <v>0</v>
      </c>
    </row>
    <row r="1490" spans="1:48" x14ac:dyDescent="0.3">
      <c r="A1490" s="85" t="str">
        <f>_xlfn.XLOOKUP(B1490,'Country codes &amp; Data sources'!G:G,'Country codes &amp; Data sources'!H:H,,0)</f>
        <v>Tanzania</v>
      </c>
      <c r="B1490" s="85" t="s">
        <v>197</v>
      </c>
      <c r="C1490" s="85">
        <v>47786144.5</v>
      </c>
      <c r="D1490" s="85" t="s">
        <v>333</v>
      </c>
      <c r="E1490" s="86">
        <v>0</v>
      </c>
      <c r="F1490" s="86">
        <v>49253643.5</v>
      </c>
      <c r="G1490" s="86">
        <v>0</v>
      </c>
      <c r="H1490" s="86"/>
      <c r="I1490" s="86">
        <v>0</v>
      </c>
      <c r="J1490" s="86"/>
      <c r="K1490" s="86">
        <v>0</v>
      </c>
      <c r="L1490" s="86"/>
      <c r="M1490" s="86">
        <v>0</v>
      </c>
      <c r="N1490" s="86"/>
      <c r="O1490" s="86">
        <v>0</v>
      </c>
      <c r="P1490" s="86">
        <v>58090443.000000007</v>
      </c>
      <c r="Q1490" s="86">
        <v>0</v>
      </c>
      <c r="R1490" s="87">
        <f t="shared" si="487"/>
        <v>0</v>
      </c>
      <c r="T1490" s="87">
        <v>0</v>
      </c>
      <c r="U1490" s="89"/>
      <c r="V1490" s="89">
        <v>0</v>
      </c>
      <c r="W1490" s="90"/>
      <c r="X1490" s="90">
        <v>0</v>
      </c>
      <c r="Y1490" s="90">
        <v>65497748.000000045</v>
      </c>
      <c r="Z1490" s="90">
        <v>0</v>
      </c>
      <c r="AA1490" s="90">
        <v>0</v>
      </c>
      <c r="AB1490" s="89">
        <f t="shared" si="473"/>
        <v>0</v>
      </c>
      <c r="AC1490" s="89">
        <f t="shared" si="474"/>
        <v>0</v>
      </c>
      <c r="AD1490" s="89">
        <f t="shared" si="475"/>
        <v>0</v>
      </c>
      <c r="AF1490" s="90" t="str">
        <f t="shared" si="477"/>
        <v/>
      </c>
      <c r="AH1490" s="90" t="str">
        <f t="shared" si="479"/>
        <v/>
      </c>
      <c r="AI1490" s="90">
        <f t="shared" si="480"/>
        <v>0</v>
      </c>
      <c r="AJ1490" s="90" t="str">
        <f t="shared" si="481"/>
        <v/>
      </c>
      <c r="AK1490" s="90" t="str">
        <f t="shared" si="482"/>
        <v/>
      </c>
      <c r="AL1490" s="91"/>
      <c r="AM1490" s="91">
        <f t="shared" si="483"/>
        <v>0</v>
      </c>
      <c r="AN1490" s="92" t="str">
        <f t="shared" si="484"/>
        <v>No change</v>
      </c>
      <c r="AS1490" s="94">
        <f t="shared" si="485"/>
        <v>0</v>
      </c>
      <c r="AT1490" s="94">
        <f t="shared" si="486"/>
        <v>0</v>
      </c>
      <c r="AU1490" s="94">
        <f t="shared" si="488"/>
        <v>0</v>
      </c>
      <c r="AV1490" s="94">
        <f t="shared" si="489"/>
        <v>0</v>
      </c>
    </row>
    <row r="1491" spans="1:48" x14ac:dyDescent="0.3">
      <c r="A1491" s="85" t="str">
        <f>_xlfn.XLOOKUP(B1491,'Country codes &amp; Data sources'!G:G,'Country codes &amp; Data sources'!H:H,,0)</f>
        <v>Tanzania</v>
      </c>
      <c r="B1491" s="85" t="s">
        <v>197</v>
      </c>
      <c r="C1491" s="85">
        <v>47786145.5</v>
      </c>
      <c r="D1491" s="85" t="s">
        <v>334</v>
      </c>
      <c r="E1491" s="86">
        <v>0</v>
      </c>
      <c r="F1491" s="86">
        <v>49253643.5</v>
      </c>
      <c r="G1491" s="86">
        <v>0</v>
      </c>
      <c r="H1491" s="86"/>
      <c r="I1491" s="86">
        <v>0</v>
      </c>
      <c r="J1491" s="86"/>
      <c r="K1491" s="86">
        <v>0</v>
      </c>
      <c r="L1491" s="86"/>
      <c r="M1491" s="86">
        <v>0</v>
      </c>
      <c r="N1491" s="86"/>
      <c r="O1491" s="86">
        <v>0</v>
      </c>
      <c r="P1491" s="86">
        <v>58090443.000000007</v>
      </c>
      <c r="Q1491" s="86">
        <v>0</v>
      </c>
      <c r="R1491" s="87">
        <f t="shared" si="487"/>
        <v>0</v>
      </c>
      <c r="T1491" s="87">
        <v>0</v>
      </c>
      <c r="U1491" s="89"/>
      <c r="V1491" s="89">
        <v>0</v>
      </c>
      <c r="W1491" s="90"/>
      <c r="X1491" s="90">
        <v>0</v>
      </c>
      <c r="Y1491" s="90">
        <v>65497748.000000045</v>
      </c>
      <c r="Z1491" s="90">
        <v>0</v>
      </c>
      <c r="AA1491" s="90">
        <v>0</v>
      </c>
      <c r="AB1491" s="89">
        <f t="shared" si="473"/>
        <v>0</v>
      </c>
      <c r="AC1491" s="89">
        <f t="shared" si="474"/>
        <v>0</v>
      </c>
      <c r="AD1491" s="89">
        <f t="shared" si="475"/>
        <v>0</v>
      </c>
      <c r="AF1491" s="90" t="str">
        <f t="shared" si="477"/>
        <v/>
      </c>
      <c r="AH1491" s="90" t="str">
        <f t="shared" si="479"/>
        <v/>
      </c>
      <c r="AI1491" s="90">
        <f t="shared" si="480"/>
        <v>0</v>
      </c>
      <c r="AJ1491" s="90" t="str">
        <f t="shared" si="481"/>
        <v/>
      </c>
      <c r="AK1491" s="90" t="str">
        <f t="shared" si="482"/>
        <v/>
      </c>
      <c r="AL1491" s="91"/>
      <c r="AM1491" s="91">
        <f t="shared" si="483"/>
        <v>0</v>
      </c>
      <c r="AN1491" s="92" t="str">
        <f t="shared" si="484"/>
        <v>No change</v>
      </c>
      <c r="AS1491" s="94">
        <f t="shared" si="485"/>
        <v>0</v>
      </c>
      <c r="AT1491" s="94">
        <f t="shared" si="486"/>
        <v>0</v>
      </c>
      <c r="AU1491" s="94">
        <f t="shared" si="488"/>
        <v>0</v>
      </c>
      <c r="AV1491" s="94">
        <f t="shared" si="489"/>
        <v>0</v>
      </c>
    </row>
    <row r="1492" spans="1:48" x14ac:dyDescent="0.3">
      <c r="A1492" s="85" t="str">
        <f>_xlfn.XLOOKUP(B1492,'Country codes &amp; Data sources'!G:G,'Country codes &amp; Data sources'!H:H,,0)</f>
        <v>Tanzania</v>
      </c>
      <c r="B1492" s="85" t="s">
        <v>197</v>
      </c>
      <c r="C1492" s="85">
        <v>47786146.5</v>
      </c>
      <c r="D1492" s="85" t="s">
        <v>335</v>
      </c>
      <c r="E1492" s="86">
        <v>339</v>
      </c>
      <c r="F1492" s="86">
        <v>49253643.5</v>
      </c>
      <c r="G1492" s="86">
        <v>0</v>
      </c>
      <c r="H1492" s="86"/>
      <c r="I1492" s="86">
        <v>707</v>
      </c>
      <c r="J1492" s="86"/>
      <c r="K1492" s="86">
        <v>0</v>
      </c>
      <c r="L1492" s="86"/>
      <c r="M1492" s="86">
        <v>0</v>
      </c>
      <c r="N1492" s="86"/>
      <c r="O1492" s="86">
        <v>0</v>
      </c>
      <c r="P1492" s="86">
        <v>58090443.000000007</v>
      </c>
      <c r="Q1492" s="86">
        <v>1845</v>
      </c>
      <c r="R1492" s="87">
        <f t="shared" si="487"/>
        <v>1845</v>
      </c>
      <c r="T1492" s="87">
        <v>0</v>
      </c>
      <c r="U1492" s="89"/>
      <c r="V1492" s="89">
        <v>0</v>
      </c>
      <c r="W1492" s="90"/>
      <c r="X1492" s="90">
        <v>0</v>
      </c>
      <c r="Y1492" s="90">
        <v>65497748.000000045</v>
      </c>
      <c r="Z1492" s="90">
        <v>1746</v>
      </c>
      <c r="AA1492" s="90">
        <v>599</v>
      </c>
      <c r="AB1492" s="89">
        <f t="shared" si="473"/>
        <v>707</v>
      </c>
      <c r="AC1492" s="89">
        <f t="shared" si="474"/>
        <v>1845</v>
      </c>
      <c r="AD1492" s="89">
        <f t="shared" si="475"/>
        <v>1746</v>
      </c>
      <c r="AE1492" s="90">
        <f t="shared" si="476"/>
        <v>339</v>
      </c>
      <c r="AF1492" s="90">
        <f t="shared" si="477"/>
        <v>2012</v>
      </c>
      <c r="AG1492" s="90">
        <f t="shared" si="478"/>
        <v>1845</v>
      </c>
      <c r="AH1492" s="90">
        <f t="shared" si="479"/>
        <v>2018</v>
      </c>
      <c r="AI1492" s="90">
        <f t="shared" si="480"/>
        <v>1746</v>
      </c>
      <c r="AJ1492" s="90">
        <f t="shared" si="481"/>
        <v>2022</v>
      </c>
      <c r="AK1492" s="90" t="str">
        <f t="shared" si="482"/>
        <v>Adjust</v>
      </c>
      <c r="AL1492" s="91">
        <f>IF(AK1492="Adjust",(_xlfn.XLOOKUP(A1492,'Adj factor'!A:A,'Adj factor'!I:I,,0)*AI1492),'Master DataSheet (Rev)'!AI1492)</f>
        <v>2261.9470224210058</v>
      </c>
      <c r="AM1492" s="91">
        <f t="shared" si="483"/>
        <v>2261.9470224210058</v>
      </c>
      <c r="AN1492" s="92" t="str">
        <f t="shared" si="484"/>
        <v>Increasing</v>
      </c>
      <c r="AS1492" s="94">
        <f t="shared" si="485"/>
        <v>6.8827395479889725E-2</v>
      </c>
      <c r="AT1492" s="94">
        <f t="shared" si="486"/>
        <v>0.31760818212386499</v>
      </c>
      <c r="AU1492" s="94">
        <f t="shared" si="488"/>
        <v>0.34534729689042198</v>
      </c>
      <c r="AV1492" s="94">
        <f t="shared" si="489"/>
        <v>0.34534729689042198</v>
      </c>
    </row>
    <row r="1493" spans="1:48" x14ac:dyDescent="0.3">
      <c r="A1493" s="85" t="str">
        <f>_xlfn.XLOOKUP(B1493,'Country codes &amp; Data sources'!G:G,'Country codes &amp; Data sources'!H:H,,0)</f>
        <v>Tanzania</v>
      </c>
      <c r="B1493" s="85" t="s">
        <v>197</v>
      </c>
      <c r="C1493" s="85">
        <v>47786147.5</v>
      </c>
      <c r="D1493" s="85" t="s">
        <v>336</v>
      </c>
      <c r="E1493" s="86">
        <v>317</v>
      </c>
      <c r="F1493" s="86">
        <v>49253643.5</v>
      </c>
      <c r="G1493" s="86">
        <v>0</v>
      </c>
      <c r="H1493" s="86"/>
      <c r="I1493" s="86">
        <v>1132</v>
      </c>
      <c r="J1493" s="86"/>
      <c r="K1493" s="86">
        <v>0</v>
      </c>
      <c r="L1493" s="86"/>
      <c r="M1493" s="86">
        <v>0</v>
      </c>
      <c r="N1493" s="86"/>
      <c r="O1493" s="86">
        <v>0</v>
      </c>
      <c r="P1493" s="86">
        <v>58090443.000000007</v>
      </c>
      <c r="Q1493" s="86">
        <v>0</v>
      </c>
      <c r="R1493" s="87">
        <f t="shared" si="487"/>
        <v>1246</v>
      </c>
      <c r="T1493" s="87">
        <v>0</v>
      </c>
      <c r="U1493" s="89"/>
      <c r="V1493" s="89">
        <v>0</v>
      </c>
      <c r="W1493" s="90"/>
      <c r="X1493" s="90">
        <v>0</v>
      </c>
      <c r="Y1493" s="90">
        <v>65497748.000000045</v>
      </c>
      <c r="Z1493" s="90">
        <v>5583</v>
      </c>
      <c r="AA1493" s="90">
        <v>1246</v>
      </c>
      <c r="AB1493" s="89">
        <f t="shared" si="473"/>
        <v>1132</v>
      </c>
      <c r="AC1493" s="89">
        <f t="shared" si="474"/>
        <v>0</v>
      </c>
      <c r="AD1493" s="89">
        <f t="shared" si="475"/>
        <v>5583</v>
      </c>
      <c r="AE1493" s="90">
        <f t="shared" si="476"/>
        <v>317</v>
      </c>
      <c r="AF1493" s="90">
        <f t="shared" si="477"/>
        <v>2012</v>
      </c>
      <c r="AG1493" s="90">
        <f t="shared" si="478"/>
        <v>1246</v>
      </c>
      <c r="AH1493" s="90" t="str">
        <f t="shared" si="479"/>
        <v>2018 (triag)</v>
      </c>
      <c r="AI1493" s="90">
        <f t="shared" si="480"/>
        <v>5583</v>
      </c>
      <c r="AJ1493" s="90">
        <f t="shared" si="481"/>
        <v>2022</v>
      </c>
      <c r="AK1493" s="90" t="str">
        <f t="shared" si="482"/>
        <v/>
      </c>
      <c r="AL1493" s="91">
        <f>IF(AK1493="Adjust",(_xlfn.XLOOKUP(A1493,'Adj factor'!A:A,'Adj factor'!I:I,,0)*AI1493),'Master DataSheet (Rev)'!AI1493)</f>
        <v>5583</v>
      </c>
      <c r="AM1493" s="91">
        <f t="shared" si="483"/>
        <v>5583</v>
      </c>
      <c r="AN1493" s="92" t="str">
        <f t="shared" si="484"/>
        <v>Increasing</v>
      </c>
      <c r="AS1493" s="94">
        <f t="shared" si="485"/>
        <v>6.4360720846976527E-2</v>
      </c>
      <c r="AT1493" s="94">
        <f t="shared" si="486"/>
        <v>0.2144931137812118</v>
      </c>
      <c r="AU1493" s="94">
        <f t="shared" si="488"/>
        <v>0.85239571901006372</v>
      </c>
      <c r="AV1493" s="94">
        <f t="shared" si="489"/>
        <v>0.85239571901006372</v>
      </c>
    </row>
    <row r="1494" spans="1:48" x14ac:dyDescent="0.3">
      <c r="A1494" s="85" t="str">
        <f>_xlfn.XLOOKUP(B1494,'Country codes &amp; Data sources'!G:G,'Country codes &amp; Data sources'!H:H,,0)</f>
        <v>Tanzania</v>
      </c>
      <c r="B1494" s="85" t="s">
        <v>197</v>
      </c>
      <c r="C1494" s="85">
        <v>47786148.5</v>
      </c>
      <c r="D1494" s="85" t="s">
        <v>337</v>
      </c>
      <c r="E1494" s="86">
        <v>99</v>
      </c>
      <c r="F1494" s="86">
        <v>49253643.5</v>
      </c>
      <c r="G1494" s="86">
        <v>0</v>
      </c>
      <c r="H1494" s="86"/>
      <c r="I1494" s="86">
        <v>104</v>
      </c>
      <c r="J1494" s="86"/>
      <c r="K1494" s="86">
        <v>0</v>
      </c>
      <c r="L1494" s="86"/>
      <c r="M1494" s="86">
        <v>0</v>
      </c>
      <c r="N1494" s="86"/>
      <c r="O1494" s="86">
        <v>0</v>
      </c>
      <c r="P1494" s="86">
        <v>58090443.000000007</v>
      </c>
      <c r="Q1494" s="86">
        <v>682</v>
      </c>
      <c r="R1494" s="87">
        <f t="shared" si="487"/>
        <v>682</v>
      </c>
      <c r="T1494" s="87">
        <v>0</v>
      </c>
      <c r="U1494" s="89"/>
      <c r="V1494" s="89">
        <v>0</v>
      </c>
      <c r="W1494" s="90"/>
      <c r="X1494" s="90">
        <v>0</v>
      </c>
      <c r="Y1494" s="90">
        <v>65497748.000000045</v>
      </c>
      <c r="Z1494" s="90">
        <v>583</v>
      </c>
      <c r="AA1494" s="90">
        <v>94</v>
      </c>
      <c r="AB1494" s="89">
        <f t="shared" si="473"/>
        <v>104</v>
      </c>
      <c r="AC1494" s="89">
        <f t="shared" si="474"/>
        <v>682</v>
      </c>
      <c r="AD1494" s="89">
        <f t="shared" si="475"/>
        <v>583</v>
      </c>
      <c r="AE1494" s="90">
        <f t="shared" si="476"/>
        <v>99</v>
      </c>
      <c r="AF1494" s="90">
        <f t="shared" si="477"/>
        <v>2012</v>
      </c>
      <c r="AG1494" s="90">
        <f t="shared" si="478"/>
        <v>682</v>
      </c>
      <c r="AH1494" s="90">
        <f t="shared" si="479"/>
        <v>2018</v>
      </c>
      <c r="AI1494" s="90">
        <f t="shared" si="480"/>
        <v>583</v>
      </c>
      <c r="AJ1494" s="90">
        <f t="shared" si="481"/>
        <v>2022</v>
      </c>
      <c r="AK1494" s="90" t="str">
        <f t="shared" si="482"/>
        <v>Adjust</v>
      </c>
      <c r="AL1494" s="91">
        <f>IF(AK1494="Adjust",(_xlfn.XLOOKUP(A1494,'Adj factor'!A:A,'Adj factor'!I:I,,0)*AI1494),'Master DataSheet (Rev)'!AI1494)</f>
        <v>755.27784311079404</v>
      </c>
      <c r="AM1494" s="91">
        <f t="shared" si="483"/>
        <v>755.27784311079404</v>
      </c>
      <c r="AN1494" s="92" t="str">
        <f t="shared" si="484"/>
        <v>Increasing</v>
      </c>
      <c r="AS1494" s="94">
        <f t="shared" si="485"/>
        <v>2.010003584810939E-2</v>
      </c>
      <c r="AT1494" s="94">
        <f t="shared" si="486"/>
        <v>0.11740313290432298</v>
      </c>
      <c r="AU1494" s="94">
        <f t="shared" si="488"/>
        <v>0.11531355904187629</v>
      </c>
      <c r="AV1494" s="94">
        <f t="shared" si="489"/>
        <v>0.11531355904187629</v>
      </c>
    </row>
    <row r="1495" spans="1:48" x14ac:dyDescent="0.3">
      <c r="A1495" s="85" t="str">
        <f>_xlfn.XLOOKUP(B1495,'Country codes &amp; Data sources'!G:G,'Country codes &amp; Data sources'!H:H,,0)</f>
        <v>Tanzania</v>
      </c>
      <c r="B1495" s="85" t="s">
        <v>197</v>
      </c>
      <c r="C1495" s="85">
        <v>47786149.5</v>
      </c>
      <c r="D1495" s="85" t="s">
        <v>338</v>
      </c>
      <c r="E1495" s="86">
        <v>366</v>
      </c>
      <c r="F1495" s="86">
        <v>49253643.5</v>
      </c>
      <c r="G1495" s="86">
        <v>0</v>
      </c>
      <c r="H1495" s="86"/>
      <c r="I1495" s="86">
        <v>933</v>
      </c>
      <c r="J1495" s="86"/>
      <c r="K1495" s="86">
        <v>0</v>
      </c>
      <c r="L1495" s="86"/>
      <c r="M1495" s="86">
        <v>0</v>
      </c>
      <c r="N1495" s="86"/>
      <c r="O1495" s="86">
        <v>0</v>
      </c>
      <c r="P1495" s="86">
        <v>58090443.000000007</v>
      </c>
      <c r="Q1495" s="86">
        <v>768</v>
      </c>
      <c r="R1495" s="87">
        <f t="shared" si="487"/>
        <v>768</v>
      </c>
      <c r="T1495" s="87">
        <v>0</v>
      </c>
      <c r="U1495" s="89"/>
      <c r="V1495" s="89">
        <v>0</v>
      </c>
      <c r="W1495" s="90"/>
      <c r="X1495" s="90">
        <v>0</v>
      </c>
      <c r="Y1495" s="90">
        <v>65497748.000000045</v>
      </c>
      <c r="Z1495" s="90">
        <v>449</v>
      </c>
      <c r="AA1495" s="90">
        <v>588</v>
      </c>
      <c r="AB1495" s="89">
        <f t="shared" si="473"/>
        <v>933</v>
      </c>
      <c r="AC1495" s="89">
        <f t="shared" si="474"/>
        <v>768</v>
      </c>
      <c r="AD1495" s="89">
        <f t="shared" si="475"/>
        <v>449</v>
      </c>
      <c r="AE1495" s="90">
        <f t="shared" si="476"/>
        <v>366</v>
      </c>
      <c r="AF1495" s="90">
        <f t="shared" si="477"/>
        <v>2012</v>
      </c>
      <c r="AG1495" s="90">
        <f>IF(R1495&gt;0,R1495,IF(O1495&gt;0,O1495,T1495))</f>
        <v>768</v>
      </c>
      <c r="AH1495" s="90">
        <f t="shared" si="479"/>
        <v>2018</v>
      </c>
      <c r="AI1495" s="90">
        <f t="shared" si="480"/>
        <v>449</v>
      </c>
      <c r="AJ1495" s="90">
        <f t="shared" si="481"/>
        <v>2022</v>
      </c>
      <c r="AK1495" s="90" t="str">
        <f t="shared" si="482"/>
        <v>Adjust</v>
      </c>
      <c r="AL1495" s="91">
        <f>IF(AK1495="Adjust",(_xlfn.XLOOKUP(A1495,'Adj factor'!A:A,'Adj factor'!I:I,,0)*AI1495),'Master DataSheet (Rev)'!AI1495)</f>
        <v>581.68053440265271</v>
      </c>
      <c r="AM1495" s="91">
        <f t="shared" si="483"/>
        <v>768</v>
      </c>
      <c r="AN1495" s="92" t="str">
        <f t="shared" si="484"/>
        <v>Decreasing</v>
      </c>
      <c r="AS1495" s="94">
        <f t="shared" si="485"/>
        <v>7.4309223438465008E-2</v>
      </c>
      <c r="AT1495" s="94">
        <f t="shared" si="486"/>
        <v>0.13220763353448689</v>
      </c>
      <c r="AU1495" s="94">
        <f>(AL1495*10000)/Y1495</f>
        <v>8.8809241869300962E-2</v>
      </c>
      <c r="AV1495" s="94">
        <f t="shared" si="489"/>
        <v>0.117255939853077</v>
      </c>
    </row>
    <row r="1496" spans="1:48" x14ac:dyDescent="0.3">
      <c r="A1496" s="85" t="str">
        <f>_xlfn.XLOOKUP(B1496,'Country codes &amp; Data sources'!G:G,'Country codes &amp; Data sources'!H:H,,0)</f>
        <v>Tanzania</v>
      </c>
      <c r="B1496" s="85" t="s">
        <v>197</v>
      </c>
      <c r="C1496" s="85">
        <v>47786150.5</v>
      </c>
      <c r="D1496" s="85" t="s">
        <v>339</v>
      </c>
      <c r="E1496" s="86">
        <v>0</v>
      </c>
      <c r="F1496" s="86">
        <v>49253643.5</v>
      </c>
      <c r="G1496" s="86">
        <v>0</v>
      </c>
      <c r="H1496" s="86"/>
      <c r="I1496" s="86">
        <v>0</v>
      </c>
      <c r="J1496" s="86"/>
      <c r="K1496" s="86">
        <v>0</v>
      </c>
      <c r="L1496" s="86"/>
      <c r="M1496" s="86">
        <v>0</v>
      </c>
      <c r="N1496" s="86"/>
      <c r="O1496" s="86">
        <v>0</v>
      </c>
      <c r="P1496" s="86">
        <v>58090443.000000007</v>
      </c>
      <c r="Q1496" s="86">
        <v>0</v>
      </c>
      <c r="R1496" s="87">
        <f t="shared" si="487"/>
        <v>0</v>
      </c>
      <c r="T1496" s="87">
        <v>0</v>
      </c>
      <c r="U1496" s="89"/>
      <c r="V1496" s="89">
        <v>0</v>
      </c>
      <c r="W1496" s="90"/>
      <c r="X1496" s="90">
        <v>0</v>
      </c>
      <c r="Y1496" s="90">
        <v>65497748.000000045</v>
      </c>
      <c r="Z1496" s="90">
        <v>0</v>
      </c>
      <c r="AA1496" s="90">
        <v>0</v>
      </c>
      <c r="AB1496" s="89">
        <f t="shared" ref="AB1496:AB1552" si="490">MAX(G1496,E1496,I1496,K1496)</f>
        <v>0</v>
      </c>
      <c r="AC1496" s="89">
        <f t="shared" ref="AC1496:AC1552" si="491">MAX(M1496,O1496,Q1496,T1496)</f>
        <v>0</v>
      </c>
      <c r="AD1496" s="89">
        <f t="shared" ref="AD1496:AD1552" si="492">MAX(V1496,X1496,Z1496)</f>
        <v>0</v>
      </c>
      <c r="AF1496" s="90" t="str">
        <f t="shared" ref="AF1496:AF1552" si="493">IF(AE1496&gt;0,_xlfn.XLOOKUP(AE1496,$B1496:$K1496,$B$1:$K$1,,0),"")</f>
        <v/>
      </c>
      <c r="AH1496" s="90" t="str">
        <f t="shared" ref="AH1496:AH1552" si="494">IF(AG1496&gt;0,_xlfn.XLOOKUP(AG1496,$L1496:$T1496,$L$1:$T$1,,0),"")</f>
        <v/>
      </c>
      <c r="AI1496" s="90">
        <f t="shared" ref="AI1496:AI1552" si="495">IF((IF(Z1496&gt;0,Z1496,IF(X1496&gt;0,X1496,IF(V1496&gt;0,V1496,T1496))))=0,AG1496,IF(Z1496&gt;0,Z1496,IF(X1496&gt;0,X1496,IF(V1496&gt;0,V1496,T1496))))</f>
        <v>0</v>
      </c>
      <c r="AJ1496" s="90" t="str">
        <f t="shared" ref="AJ1496:AJ1552" si="496">IFERROR(IF(AI1496&gt;0,_xlfn.XLOOKUP(AI1496,$V1496:$Z1496,$V$1:$Z$1,,0),""),AH1496)</f>
        <v/>
      </c>
      <c r="AK1496" s="90" t="str">
        <f t="shared" ref="AK1496:AK1552" si="497">IF(AI1496&lt;AG1496,"Adjust","")</f>
        <v/>
      </c>
      <c r="AL1496" s="91"/>
      <c r="AM1496" s="91">
        <f t="shared" ref="AM1496:AM1552" si="498">IF(AL1496&lt;AG1496,AG1496,AL1496)</f>
        <v>0</v>
      </c>
      <c r="AN1496" s="92" t="str">
        <f t="shared" ref="AN1496:AN1552" si="499">IF(AL1496&gt;AG1496,"Increasing",IF(AL1496&lt;AG1496,"Decreasing","No change"))</f>
        <v>No change</v>
      </c>
      <c r="AS1496" s="94">
        <f t="shared" ref="AS1496:AS1552" si="500">(AE1496*10000)/F1496</f>
        <v>0</v>
      </c>
      <c r="AT1496" s="94">
        <f t="shared" ref="AT1496:AT1552" si="501">(AG1496*10000)/P1496</f>
        <v>0</v>
      </c>
      <c r="AU1496" s="94">
        <f t="shared" si="488"/>
        <v>0</v>
      </c>
      <c r="AV1496" s="94">
        <f t="shared" si="489"/>
        <v>0</v>
      </c>
    </row>
    <row r="1497" spans="1:48" x14ac:dyDescent="0.3">
      <c r="A1497" s="85" t="str">
        <f>_xlfn.XLOOKUP(B1497,'Country codes &amp; Data sources'!G:G,'Country codes &amp; Data sources'!H:H,,0)</f>
        <v>Uganda</v>
      </c>
      <c r="B1497" s="85" t="s">
        <v>191</v>
      </c>
      <c r="C1497" s="85">
        <v>34273295.000000015</v>
      </c>
      <c r="D1497" s="85" t="s">
        <v>326</v>
      </c>
      <c r="E1497" s="86">
        <v>3370</v>
      </c>
      <c r="F1497" s="86">
        <v>35273569.999999993</v>
      </c>
      <c r="G1497" s="86">
        <v>0</v>
      </c>
      <c r="H1497" s="86">
        <v>36336539.50000003</v>
      </c>
      <c r="I1497" s="86">
        <v>0</v>
      </c>
      <c r="J1497" s="86">
        <v>37477355.999999978</v>
      </c>
      <c r="K1497" s="86">
        <v>3645</v>
      </c>
      <c r="L1497" s="86">
        <v>38748298.999999978</v>
      </c>
      <c r="M1497" s="86">
        <v>0</v>
      </c>
      <c r="N1497" s="86">
        <v>40127084.999999978</v>
      </c>
      <c r="O1497" s="86">
        <v>6918</v>
      </c>
      <c r="P1497" s="86">
        <v>41515395.000000015</v>
      </c>
      <c r="Q1497" s="86">
        <v>0</v>
      </c>
      <c r="R1497" s="87">
        <f t="shared" si="487"/>
        <v>17186</v>
      </c>
      <c r="S1497" s="87">
        <v>42949080.000000015</v>
      </c>
      <c r="T1497" s="87">
        <v>0</v>
      </c>
      <c r="U1497" s="89">
        <v>44404611.000000007</v>
      </c>
      <c r="V1497" s="89">
        <v>7031</v>
      </c>
      <c r="W1497" s="90">
        <v>45853778.000000022</v>
      </c>
      <c r="X1497" s="90">
        <v>0</v>
      </c>
      <c r="Y1497" s="90">
        <v>47249584.999999978</v>
      </c>
      <c r="Z1497" s="90">
        <v>7941</v>
      </c>
      <c r="AA1497" s="90">
        <v>17186</v>
      </c>
      <c r="AB1497" s="89">
        <f t="shared" si="490"/>
        <v>3645</v>
      </c>
      <c r="AC1497" s="89">
        <f t="shared" si="491"/>
        <v>6918</v>
      </c>
      <c r="AD1497" s="89">
        <f t="shared" si="492"/>
        <v>7941</v>
      </c>
      <c r="AE1497" s="90">
        <f t="shared" ref="AE1497:AE1551" si="502">IF(G1497&gt;0,G1497,IF(E1497&gt;0,E1497,IF(I1497&gt;0,I1497,K1497)))</f>
        <v>3370</v>
      </c>
      <c r="AF1497" s="90">
        <f t="shared" si="493"/>
        <v>2012</v>
      </c>
      <c r="AG1497" s="90">
        <f t="shared" ref="AG1497:AG1551" si="503">IF(R1497&gt;0,R1497,IF(O1497&gt;0,O1497,T1497))</f>
        <v>17186</v>
      </c>
      <c r="AH1497" s="90" t="str">
        <f t="shared" si="494"/>
        <v>2018 (triag)</v>
      </c>
      <c r="AI1497" s="90">
        <f t="shared" si="495"/>
        <v>7941</v>
      </c>
      <c r="AJ1497" s="90">
        <f t="shared" si="496"/>
        <v>2022</v>
      </c>
      <c r="AK1497" s="90" t="str">
        <f t="shared" si="497"/>
        <v>Adjust</v>
      </c>
      <c r="AL1497" s="91">
        <f>IF(AK1497="Adjust",(_xlfn.XLOOKUP(A1497,'Adj factor'!A:A,'Adj factor'!I:I,,0)*AI1497),'Master DataSheet (Rev)'!AI1497)</f>
        <v>9051.7813279678066</v>
      </c>
      <c r="AM1497" s="91">
        <f t="shared" si="498"/>
        <v>17186</v>
      </c>
      <c r="AN1497" s="92" t="str">
        <f t="shared" si="499"/>
        <v>Decreasing</v>
      </c>
      <c r="AS1497" s="94">
        <f t="shared" si="500"/>
        <v>0.95538954520339181</v>
      </c>
      <c r="AT1497" s="94">
        <f t="shared" si="501"/>
        <v>4.139669151648441</v>
      </c>
      <c r="AU1497" s="94">
        <f t="shared" si="488"/>
        <v>1.9157377420283819</v>
      </c>
      <c r="AV1497" s="94">
        <f t="shared" si="489"/>
        <v>3.6372806237345805</v>
      </c>
    </row>
    <row r="1498" spans="1:48" x14ac:dyDescent="0.3">
      <c r="A1498" s="85" t="str">
        <f>_xlfn.XLOOKUP(B1498,'Country codes &amp; Data sources'!G:G,'Country codes &amp; Data sources'!H:H,,0)</f>
        <v>Uganda</v>
      </c>
      <c r="B1498" s="85" t="s">
        <v>191</v>
      </c>
      <c r="C1498" s="85">
        <v>34273296</v>
      </c>
      <c r="D1498" s="85" t="s">
        <v>327</v>
      </c>
      <c r="E1498" s="86">
        <v>0</v>
      </c>
      <c r="F1498" s="86">
        <v>35273569.999999993</v>
      </c>
      <c r="G1498" s="86">
        <v>0</v>
      </c>
      <c r="H1498" s="86"/>
      <c r="I1498" s="86">
        <v>0</v>
      </c>
      <c r="J1498" s="86"/>
      <c r="K1498" s="86">
        <v>0</v>
      </c>
      <c r="L1498" s="86"/>
      <c r="M1498" s="86">
        <v>0</v>
      </c>
      <c r="N1498" s="86"/>
      <c r="O1498" s="86">
        <v>0</v>
      </c>
      <c r="P1498" s="86">
        <v>41515395.000000015</v>
      </c>
      <c r="Q1498" s="86">
        <v>0</v>
      </c>
      <c r="R1498" s="87">
        <f t="shared" si="487"/>
        <v>17007</v>
      </c>
      <c r="T1498" s="87">
        <v>0</v>
      </c>
      <c r="U1498" s="89"/>
      <c r="V1498" s="89">
        <v>0</v>
      </c>
      <c r="W1498" s="90"/>
      <c r="X1498" s="90">
        <v>0</v>
      </c>
      <c r="Y1498" s="90">
        <v>47249584.999999978</v>
      </c>
      <c r="Z1498" s="90">
        <v>6369</v>
      </c>
      <c r="AA1498" s="90">
        <v>17007</v>
      </c>
      <c r="AB1498" s="89">
        <f t="shared" si="490"/>
        <v>0</v>
      </c>
      <c r="AC1498" s="89">
        <f t="shared" si="491"/>
        <v>0</v>
      </c>
      <c r="AD1498" s="89">
        <f t="shared" si="492"/>
        <v>6369</v>
      </c>
      <c r="AF1498" s="90" t="str">
        <f t="shared" si="493"/>
        <v/>
      </c>
      <c r="AG1498" s="90">
        <f t="shared" si="503"/>
        <v>17007</v>
      </c>
      <c r="AH1498" s="90" t="str">
        <f t="shared" si="494"/>
        <v>2018 (triag)</v>
      </c>
      <c r="AI1498" s="90">
        <f t="shared" si="495"/>
        <v>6369</v>
      </c>
      <c r="AJ1498" s="90">
        <f t="shared" si="496"/>
        <v>2022</v>
      </c>
      <c r="AK1498" s="90" t="str">
        <f t="shared" si="497"/>
        <v>Adjust</v>
      </c>
      <c r="AL1498" s="91">
        <f>IF(AK1498="Adjust",(_xlfn.XLOOKUP(A1498,'Adj factor'!A:A,'Adj factor'!I:I,,0)*AI1498),'Master DataSheet (Rev)'!AI1498)</f>
        <v>7259.8911066398387</v>
      </c>
      <c r="AM1498" s="91">
        <f t="shared" si="498"/>
        <v>17007</v>
      </c>
      <c r="AN1498" s="92" t="str">
        <f t="shared" si="499"/>
        <v>Decreasing</v>
      </c>
      <c r="AS1498" s="94">
        <f t="shared" si="500"/>
        <v>0</v>
      </c>
      <c r="AT1498" s="94">
        <f t="shared" si="501"/>
        <v>4.0965526162041801</v>
      </c>
      <c r="AU1498" s="94">
        <f t="shared" si="488"/>
        <v>1.5364983854651511</v>
      </c>
      <c r="AV1498" s="94">
        <f t="shared" si="489"/>
        <v>3.5993966931138144</v>
      </c>
    </row>
    <row r="1499" spans="1:48" x14ac:dyDescent="0.3">
      <c r="A1499" s="85" t="str">
        <f>_xlfn.XLOOKUP(B1499,'Country codes &amp; Data sources'!G:G,'Country codes &amp; Data sources'!H:H,,0)</f>
        <v>Uganda</v>
      </c>
      <c r="B1499" s="85" t="s">
        <v>191</v>
      </c>
      <c r="C1499" s="85">
        <v>34273297</v>
      </c>
      <c r="D1499" s="85" t="s">
        <v>328</v>
      </c>
      <c r="E1499" s="86">
        <v>0</v>
      </c>
      <c r="F1499" s="86">
        <v>35273569.999999993</v>
      </c>
      <c r="G1499" s="86">
        <v>0</v>
      </c>
      <c r="H1499" s="86"/>
      <c r="I1499" s="86">
        <v>0</v>
      </c>
      <c r="J1499" s="86"/>
      <c r="K1499" s="86">
        <v>0</v>
      </c>
      <c r="L1499" s="86"/>
      <c r="M1499" s="86">
        <v>0</v>
      </c>
      <c r="N1499" s="86"/>
      <c r="O1499" s="86">
        <v>0</v>
      </c>
      <c r="P1499" s="86">
        <v>41515395.000000015</v>
      </c>
      <c r="Q1499" s="86">
        <v>0</v>
      </c>
      <c r="R1499" s="87">
        <f t="shared" si="487"/>
        <v>179</v>
      </c>
      <c r="T1499" s="87">
        <v>0</v>
      </c>
      <c r="U1499" s="89"/>
      <c r="V1499" s="89">
        <v>0</v>
      </c>
      <c r="W1499" s="90"/>
      <c r="X1499" s="90">
        <v>0</v>
      </c>
      <c r="Y1499" s="90">
        <v>47249584.999999978</v>
      </c>
      <c r="Z1499" s="90">
        <v>1572</v>
      </c>
      <c r="AA1499" s="90">
        <v>179</v>
      </c>
      <c r="AB1499" s="89">
        <f t="shared" si="490"/>
        <v>0</v>
      </c>
      <c r="AC1499" s="89">
        <f t="shared" si="491"/>
        <v>0</v>
      </c>
      <c r="AD1499" s="89">
        <f t="shared" si="492"/>
        <v>1572</v>
      </c>
      <c r="AF1499" s="90" t="str">
        <f t="shared" si="493"/>
        <v/>
      </c>
      <c r="AG1499" s="90">
        <f t="shared" si="503"/>
        <v>179</v>
      </c>
      <c r="AH1499" s="90" t="str">
        <f t="shared" si="494"/>
        <v>2018 (triag)</v>
      </c>
      <c r="AI1499" s="90">
        <f t="shared" si="495"/>
        <v>1572</v>
      </c>
      <c r="AJ1499" s="90">
        <f t="shared" si="496"/>
        <v>2022</v>
      </c>
      <c r="AK1499" s="90" t="str">
        <f t="shared" si="497"/>
        <v/>
      </c>
      <c r="AL1499" s="91">
        <f>IF(AK1499="Adjust",(_xlfn.XLOOKUP(A1499,'Adj factor'!A:A,'Adj factor'!I:I,,0)*AI1499),'Master DataSheet (Rev)'!AI1499)</f>
        <v>1572</v>
      </c>
      <c r="AM1499" s="91">
        <f t="shared" si="498"/>
        <v>1572</v>
      </c>
      <c r="AN1499" s="92" t="str">
        <f t="shared" si="499"/>
        <v>Increasing</v>
      </c>
      <c r="AS1499" s="94">
        <f t="shared" si="500"/>
        <v>0</v>
      </c>
      <c r="AT1499" s="94">
        <f t="shared" si="501"/>
        <v>4.3116535444261084E-2</v>
      </c>
      <c r="AU1499" s="94">
        <f t="shared" si="488"/>
        <v>0.33270133483712094</v>
      </c>
      <c r="AV1499" s="94">
        <f t="shared" si="489"/>
        <v>0.33270133483712094</v>
      </c>
    </row>
    <row r="1500" spans="1:48" x14ac:dyDescent="0.3">
      <c r="A1500" s="85" t="str">
        <f>_xlfn.XLOOKUP(B1500,'Country codes &amp; Data sources'!G:G,'Country codes &amp; Data sources'!H:H,,0)</f>
        <v>Uganda</v>
      </c>
      <c r="B1500" s="85" t="s">
        <v>191</v>
      </c>
      <c r="C1500" s="85">
        <v>34273298</v>
      </c>
      <c r="D1500" s="85" t="s">
        <v>329</v>
      </c>
      <c r="E1500" s="86">
        <v>40816</v>
      </c>
      <c r="F1500" s="86">
        <v>35273569.999999993</v>
      </c>
      <c r="G1500" s="86">
        <v>40149</v>
      </c>
      <c r="H1500" s="86"/>
      <c r="I1500" s="86">
        <v>45388</v>
      </c>
      <c r="J1500" s="86"/>
      <c r="K1500" s="86">
        <v>50681</v>
      </c>
      <c r="L1500" s="86"/>
      <c r="M1500" s="86">
        <v>55228</v>
      </c>
      <c r="N1500" s="86"/>
      <c r="O1500" s="86">
        <v>60456</v>
      </c>
      <c r="P1500" s="86">
        <v>41515395.000000015</v>
      </c>
      <c r="Q1500" s="86">
        <v>52907</v>
      </c>
      <c r="R1500" s="87">
        <f t="shared" si="487"/>
        <v>52907</v>
      </c>
      <c r="T1500" s="87">
        <v>0</v>
      </c>
      <c r="U1500" s="89"/>
      <c r="V1500" s="89">
        <v>51327</v>
      </c>
      <c r="W1500" s="90"/>
      <c r="X1500" s="90">
        <v>0</v>
      </c>
      <c r="Y1500" s="90">
        <v>47249584.999999978</v>
      </c>
      <c r="Z1500" s="90">
        <v>74197</v>
      </c>
      <c r="AA1500" s="90">
        <v>16407</v>
      </c>
      <c r="AB1500" s="89">
        <f t="shared" si="490"/>
        <v>50681</v>
      </c>
      <c r="AC1500" s="89">
        <f t="shared" si="491"/>
        <v>60456</v>
      </c>
      <c r="AD1500" s="89">
        <f t="shared" si="492"/>
        <v>74197</v>
      </c>
      <c r="AE1500" s="90">
        <f t="shared" si="502"/>
        <v>40149</v>
      </c>
      <c r="AF1500" s="90">
        <f t="shared" si="493"/>
        <v>2013</v>
      </c>
      <c r="AG1500" s="90">
        <f t="shared" si="503"/>
        <v>52907</v>
      </c>
      <c r="AH1500" s="90">
        <f t="shared" si="494"/>
        <v>2018</v>
      </c>
      <c r="AI1500" s="90">
        <f t="shared" si="495"/>
        <v>74197</v>
      </c>
      <c r="AJ1500" s="90">
        <f t="shared" si="496"/>
        <v>2022</v>
      </c>
      <c r="AK1500" s="90" t="str">
        <f t="shared" si="497"/>
        <v/>
      </c>
      <c r="AL1500" s="91">
        <f>IF(AK1500="Adjust",(_xlfn.XLOOKUP(A1500,'Adj factor'!A:A,'Adj factor'!I:I,,0)*AI1500),'Master DataSheet (Rev)'!AI1500)</f>
        <v>74197</v>
      </c>
      <c r="AM1500" s="91">
        <f t="shared" si="498"/>
        <v>74197</v>
      </c>
      <c r="AN1500" s="92" t="str">
        <f t="shared" si="499"/>
        <v>Increasing</v>
      </c>
      <c r="AS1500" s="94">
        <f t="shared" si="500"/>
        <v>11.382176513463198</v>
      </c>
      <c r="AT1500" s="94">
        <f t="shared" si="501"/>
        <v>12.743947155025257</v>
      </c>
      <c r="AU1500" s="94">
        <f t="shared" si="488"/>
        <v>15.703206705413399</v>
      </c>
      <c r="AV1500" s="94">
        <f t="shared" si="489"/>
        <v>15.703206705413399</v>
      </c>
    </row>
    <row r="1501" spans="1:48" x14ac:dyDescent="0.3">
      <c r="A1501" s="85" t="str">
        <f>_xlfn.XLOOKUP(B1501,'Country codes &amp; Data sources'!G:G,'Country codes &amp; Data sources'!H:H,,0)</f>
        <v>Uganda</v>
      </c>
      <c r="B1501" s="85" t="s">
        <v>191</v>
      </c>
      <c r="C1501" s="85">
        <v>34273299</v>
      </c>
      <c r="D1501" s="85" t="s">
        <v>330</v>
      </c>
      <c r="E1501" s="86">
        <v>0</v>
      </c>
      <c r="F1501" s="86">
        <v>35273569.999999993</v>
      </c>
      <c r="G1501" s="86">
        <v>14303</v>
      </c>
      <c r="H1501" s="86"/>
      <c r="I1501" s="86">
        <v>15406</v>
      </c>
      <c r="J1501" s="86"/>
      <c r="K1501" s="86">
        <v>16701</v>
      </c>
      <c r="L1501" s="86"/>
      <c r="M1501" s="86">
        <v>15597</v>
      </c>
      <c r="N1501" s="86"/>
      <c r="O1501" s="86">
        <v>15448</v>
      </c>
      <c r="P1501" s="86">
        <v>41515395.000000015</v>
      </c>
      <c r="Q1501" s="86">
        <v>5026</v>
      </c>
      <c r="R1501" s="87">
        <f t="shared" si="487"/>
        <v>5026</v>
      </c>
      <c r="T1501" s="87">
        <v>0</v>
      </c>
      <c r="U1501" s="89"/>
      <c r="V1501" s="89">
        <v>0</v>
      </c>
      <c r="W1501" s="90"/>
      <c r="X1501" s="90">
        <v>0</v>
      </c>
      <c r="Y1501" s="90">
        <v>47249584.999999978</v>
      </c>
      <c r="Z1501" s="90">
        <v>0</v>
      </c>
      <c r="AA1501" s="90">
        <v>0</v>
      </c>
      <c r="AB1501" s="89">
        <f t="shared" si="490"/>
        <v>16701</v>
      </c>
      <c r="AC1501" s="89">
        <f t="shared" si="491"/>
        <v>15597</v>
      </c>
      <c r="AD1501" s="89">
        <f t="shared" si="492"/>
        <v>0</v>
      </c>
      <c r="AE1501" s="90">
        <f t="shared" si="502"/>
        <v>14303</v>
      </c>
      <c r="AF1501" s="90">
        <f t="shared" si="493"/>
        <v>2013</v>
      </c>
      <c r="AG1501" s="90">
        <f t="shared" si="503"/>
        <v>5026</v>
      </c>
      <c r="AH1501" s="90">
        <f t="shared" si="494"/>
        <v>2018</v>
      </c>
      <c r="AI1501" s="90">
        <f t="shared" si="495"/>
        <v>5026</v>
      </c>
      <c r="AJ1501" s="90">
        <f t="shared" si="496"/>
        <v>2018</v>
      </c>
      <c r="AK1501" s="90" t="str">
        <f t="shared" si="497"/>
        <v/>
      </c>
      <c r="AL1501" s="91">
        <f>IF(AK1501="Adjust",(_xlfn.XLOOKUP(A1501,'Adj factor'!A:A,'Adj factor'!I:I,,0)*AI1501),'Master DataSheet (Rev)'!AI1501)</f>
        <v>5026</v>
      </c>
      <c r="AM1501" s="91">
        <f t="shared" si="498"/>
        <v>5026</v>
      </c>
      <c r="AN1501" s="92" t="str">
        <f t="shared" si="499"/>
        <v>No change</v>
      </c>
      <c r="AS1501" s="94">
        <f t="shared" si="500"/>
        <v>4.0548773486777785</v>
      </c>
      <c r="AT1501" s="94">
        <f t="shared" si="501"/>
        <v>1.2106352354349508</v>
      </c>
      <c r="AU1501" s="94">
        <f t="shared" si="488"/>
        <v>1.063713046368556</v>
      </c>
      <c r="AV1501" s="94">
        <f t="shared" si="489"/>
        <v>1.063713046368556</v>
      </c>
    </row>
    <row r="1502" spans="1:48" x14ac:dyDescent="0.3">
      <c r="A1502" s="85" t="str">
        <f>_xlfn.XLOOKUP(B1502,'Country codes &amp; Data sources'!G:G,'Country codes &amp; Data sources'!H:H,,0)</f>
        <v>Uganda</v>
      </c>
      <c r="B1502" s="85" t="s">
        <v>191</v>
      </c>
      <c r="C1502" s="85">
        <v>34273300</v>
      </c>
      <c r="D1502" s="85" t="s">
        <v>331</v>
      </c>
      <c r="E1502" s="86">
        <v>0</v>
      </c>
      <c r="F1502" s="86">
        <v>35273569.999999993</v>
      </c>
      <c r="G1502" s="86">
        <v>25846</v>
      </c>
      <c r="H1502" s="86"/>
      <c r="I1502" s="86">
        <v>29982</v>
      </c>
      <c r="J1502" s="86"/>
      <c r="K1502" s="86">
        <v>33980</v>
      </c>
      <c r="L1502" s="86"/>
      <c r="M1502" s="86">
        <v>39631</v>
      </c>
      <c r="N1502" s="86"/>
      <c r="O1502" s="86">
        <v>45008</v>
      </c>
      <c r="P1502" s="86">
        <v>41515395.000000015</v>
      </c>
      <c r="Q1502" s="86">
        <v>47881</v>
      </c>
      <c r="R1502" s="87">
        <f t="shared" si="487"/>
        <v>47881</v>
      </c>
      <c r="T1502" s="87">
        <v>0</v>
      </c>
      <c r="U1502" s="89"/>
      <c r="V1502" s="89">
        <v>0</v>
      </c>
      <c r="W1502" s="90"/>
      <c r="X1502" s="90">
        <v>0</v>
      </c>
      <c r="Y1502" s="90">
        <v>47249584.999999978</v>
      </c>
      <c r="Z1502" s="90">
        <v>21425</v>
      </c>
      <c r="AA1502" s="90">
        <v>16407</v>
      </c>
      <c r="AB1502" s="89">
        <f t="shared" si="490"/>
        <v>33980</v>
      </c>
      <c r="AC1502" s="89">
        <f t="shared" si="491"/>
        <v>47881</v>
      </c>
      <c r="AD1502" s="89">
        <f t="shared" si="492"/>
        <v>21425</v>
      </c>
      <c r="AE1502" s="90">
        <f t="shared" si="502"/>
        <v>25846</v>
      </c>
      <c r="AF1502" s="90">
        <f t="shared" si="493"/>
        <v>2013</v>
      </c>
      <c r="AG1502" s="90">
        <f t="shared" si="503"/>
        <v>47881</v>
      </c>
      <c r="AH1502" s="90">
        <f t="shared" si="494"/>
        <v>2018</v>
      </c>
      <c r="AI1502" s="90">
        <f t="shared" si="495"/>
        <v>21425</v>
      </c>
      <c r="AJ1502" s="90">
        <f t="shared" si="496"/>
        <v>2022</v>
      </c>
      <c r="AK1502" s="90" t="str">
        <f t="shared" si="497"/>
        <v>Adjust</v>
      </c>
      <c r="AL1502" s="91">
        <f>IF(AK1502="Adjust",(_xlfn.XLOOKUP(A1502,'Adj factor'!A:A,'Adj factor'!I:I,,0)*AI1502),'Master DataSheet (Rev)'!AI1502)</f>
        <v>24421.913480885312</v>
      </c>
      <c r="AM1502" s="91">
        <f t="shared" si="498"/>
        <v>47881</v>
      </c>
      <c r="AN1502" s="92" t="str">
        <f t="shared" si="499"/>
        <v>Decreasing</v>
      </c>
      <c r="AS1502" s="94">
        <f t="shared" si="500"/>
        <v>7.32729916478542</v>
      </c>
      <c r="AT1502" s="94">
        <f t="shared" si="501"/>
        <v>11.533311919590307</v>
      </c>
      <c r="AU1502" s="94">
        <f t="shared" si="488"/>
        <v>5.1687043348391999</v>
      </c>
      <c r="AV1502" s="94">
        <f t="shared" si="489"/>
        <v>10.133633977949229</v>
      </c>
    </row>
    <row r="1503" spans="1:48" x14ac:dyDescent="0.3">
      <c r="A1503" s="85" t="str">
        <f>_xlfn.XLOOKUP(B1503,'Country codes &amp; Data sources'!G:G,'Country codes &amp; Data sources'!H:H,,0)</f>
        <v>Uganda</v>
      </c>
      <c r="B1503" s="85" t="s">
        <v>191</v>
      </c>
      <c r="C1503" s="85">
        <v>34273301</v>
      </c>
      <c r="D1503" s="85" t="s">
        <v>332</v>
      </c>
      <c r="E1503" s="86">
        <v>0</v>
      </c>
      <c r="F1503" s="86">
        <v>35273569.999999993</v>
      </c>
      <c r="G1503" s="86">
        <v>7000</v>
      </c>
      <c r="H1503" s="86"/>
      <c r="I1503" s="86">
        <v>0</v>
      </c>
      <c r="J1503" s="86"/>
      <c r="K1503" s="86">
        <v>8815</v>
      </c>
      <c r="L1503" s="86"/>
      <c r="M1503" s="86">
        <v>9802</v>
      </c>
      <c r="N1503" s="86"/>
      <c r="O1503" s="86">
        <v>0</v>
      </c>
      <c r="P1503" s="86">
        <v>41515395.000000015</v>
      </c>
      <c r="Q1503" s="86">
        <v>0</v>
      </c>
      <c r="R1503" s="87">
        <f t="shared" si="487"/>
        <v>7237</v>
      </c>
      <c r="T1503" s="87">
        <v>0</v>
      </c>
      <c r="U1503" s="89"/>
      <c r="V1503" s="89">
        <v>23546</v>
      </c>
      <c r="W1503" s="90"/>
      <c r="X1503" s="90">
        <v>0</v>
      </c>
      <c r="Y1503" s="90">
        <v>47249584.999999978</v>
      </c>
      <c r="Z1503" s="90">
        <v>32957</v>
      </c>
      <c r="AA1503" s="90">
        <v>7237</v>
      </c>
      <c r="AB1503" s="89">
        <f t="shared" si="490"/>
        <v>8815</v>
      </c>
      <c r="AC1503" s="89">
        <f t="shared" si="491"/>
        <v>9802</v>
      </c>
      <c r="AD1503" s="89">
        <f t="shared" si="492"/>
        <v>32957</v>
      </c>
      <c r="AE1503" s="90">
        <f t="shared" si="502"/>
        <v>7000</v>
      </c>
      <c r="AF1503" s="90">
        <f t="shared" si="493"/>
        <v>2013</v>
      </c>
      <c r="AG1503" s="90">
        <f t="shared" si="503"/>
        <v>7237</v>
      </c>
      <c r="AH1503" s="90" t="str">
        <f t="shared" si="494"/>
        <v>2018 (triag)</v>
      </c>
      <c r="AI1503" s="90">
        <f t="shared" si="495"/>
        <v>32957</v>
      </c>
      <c r="AJ1503" s="90">
        <f t="shared" si="496"/>
        <v>2022</v>
      </c>
      <c r="AK1503" s="90" t="str">
        <f t="shared" si="497"/>
        <v/>
      </c>
      <c r="AL1503" s="91">
        <f>IF(AK1503="Adjust",(_xlfn.XLOOKUP(A1503,'Adj factor'!A:A,'Adj factor'!I:I,,0)*AI1503),'Master DataSheet (Rev)'!AI1503)</f>
        <v>32957</v>
      </c>
      <c r="AM1503" s="91">
        <f t="shared" si="498"/>
        <v>32957</v>
      </c>
      <c r="AN1503" s="92" t="str">
        <f t="shared" si="499"/>
        <v>Increasing</v>
      </c>
      <c r="AS1503" s="94">
        <f t="shared" si="500"/>
        <v>1.9844886695619415</v>
      </c>
      <c r="AT1503" s="94">
        <f t="shared" si="501"/>
        <v>1.7432087542464663</v>
      </c>
      <c r="AU1503" s="94">
        <f t="shared" si="488"/>
        <v>6.9750877177016513</v>
      </c>
      <c r="AV1503" s="94">
        <f t="shared" si="489"/>
        <v>6.9750877177016513</v>
      </c>
    </row>
    <row r="1504" spans="1:48" x14ac:dyDescent="0.3">
      <c r="A1504" s="85" t="str">
        <f>_xlfn.XLOOKUP(B1504,'Country codes &amp; Data sources'!G:G,'Country codes &amp; Data sources'!H:H,,0)</f>
        <v>Uganda</v>
      </c>
      <c r="B1504" s="85" t="s">
        <v>191</v>
      </c>
      <c r="C1504" s="85">
        <v>34273302</v>
      </c>
      <c r="D1504" s="85" t="s">
        <v>333</v>
      </c>
      <c r="E1504" s="86">
        <v>0</v>
      </c>
      <c r="F1504" s="86">
        <v>35273569.999999993</v>
      </c>
      <c r="G1504" s="86">
        <v>7000</v>
      </c>
      <c r="H1504" s="86"/>
      <c r="I1504" s="86">
        <v>0</v>
      </c>
      <c r="J1504" s="86"/>
      <c r="K1504" s="86">
        <v>0</v>
      </c>
      <c r="L1504" s="86"/>
      <c r="M1504" s="86">
        <v>9802</v>
      </c>
      <c r="N1504" s="86"/>
      <c r="O1504" s="86">
        <v>0</v>
      </c>
      <c r="P1504" s="86">
        <v>41515395.000000015</v>
      </c>
      <c r="Q1504" s="86">
        <v>0</v>
      </c>
      <c r="R1504" s="87">
        <f t="shared" si="487"/>
        <v>0</v>
      </c>
      <c r="T1504" s="87">
        <v>0</v>
      </c>
      <c r="U1504" s="89"/>
      <c r="V1504" s="89">
        <v>0</v>
      </c>
      <c r="W1504" s="90"/>
      <c r="X1504" s="90">
        <v>0</v>
      </c>
      <c r="Y1504" s="90">
        <v>47249584.999999978</v>
      </c>
      <c r="Z1504" s="90">
        <v>0</v>
      </c>
      <c r="AA1504" s="90">
        <v>0</v>
      </c>
      <c r="AB1504" s="89">
        <f t="shared" si="490"/>
        <v>7000</v>
      </c>
      <c r="AC1504" s="89">
        <f t="shared" si="491"/>
        <v>9802</v>
      </c>
      <c r="AD1504" s="89">
        <f t="shared" si="492"/>
        <v>0</v>
      </c>
      <c r="AE1504" s="90">
        <f t="shared" si="502"/>
        <v>7000</v>
      </c>
      <c r="AF1504" s="90">
        <f t="shared" si="493"/>
        <v>2013</v>
      </c>
      <c r="AH1504" s="90" t="str">
        <f t="shared" si="494"/>
        <v/>
      </c>
      <c r="AI1504" s="90">
        <f t="shared" si="495"/>
        <v>0</v>
      </c>
      <c r="AJ1504" s="90" t="str">
        <f t="shared" si="496"/>
        <v/>
      </c>
      <c r="AK1504" s="90" t="str">
        <f t="shared" si="497"/>
        <v/>
      </c>
      <c r="AL1504" s="91"/>
      <c r="AM1504" s="91">
        <f t="shared" si="498"/>
        <v>0</v>
      </c>
      <c r="AN1504" s="92" t="str">
        <f t="shared" si="499"/>
        <v>No change</v>
      </c>
      <c r="AS1504" s="94">
        <f t="shared" si="500"/>
        <v>1.9844886695619415</v>
      </c>
      <c r="AT1504" s="94">
        <f t="shared" si="501"/>
        <v>0</v>
      </c>
      <c r="AU1504" s="94">
        <f t="shared" si="488"/>
        <v>0</v>
      </c>
      <c r="AV1504" s="94">
        <f t="shared" si="489"/>
        <v>0</v>
      </c>
    </row>
    <row r="1505" spans="1:48" x14ac:dyDescent="0.3">
      <c r="A1505" s="85" t="str">
        <f>_xlfn.XLOOKUP(B1505,'Country codes &amp; Data sources'!G:G,'Country codes &amp; Data sources'!H:H,,0)</f>
        <v>Uganda</v>
      </c>
      <c r="B1505" s="85" t="s">
        <v>191</v>
      </c>
      <c r="C1505" s="85">
        <v>34273303</v>
      </c>
      <c r="D1505" s="85" t="s">
        <v>334</v>
      </c>
      <c r="E1505" s="86">
        <v>0</v>
      </c>
      <c r="F1505" s="86">
        <v>35273569.999999993</v>
      </c>
      <c r="G1505" s="86">
        <v>0</v>
      </c>
      <c r="H1505" s="86"/>
      <c r="I1505" s="86">
        <v>0</v>
      </c>
      <c r="J1505" s="86"/>
      <c r="K1505" s="86">
        <v>0</v>
      </c>
      <c r="L1505" s="86"/>
      <c r="M1505" s="86">
        <v>0</v>
      </c>
      <c r="N1505" s="86"/>
      <c r="O1505" s="86">
        <v>0</v>
      </c>
      <c r="P1505" s="86">
        <v>41515395.000000015</v>
      </c>
      <c r="Q1505" s="86">
        <v>0</v>
      </c>
      <c r="R1505" s="87">
        <f t="shared" si="487"/>
        <v>7237</v>
      </c>
      <c r="T1505" s="87">
        <v>0</v>
      </c>
      <c r="U1505" s="89"/>
      <c r="V1505" s="89">
        <v>0</v>
      </c>
      <c r="W1505" s="90"/>
      <c r="X1505" s="90">
        <v>0</v>
      </c>
      <c r="Y1505" s="90">
        <v>47249584.999999978</v>
      </c>
      <c r="Z1505" s="90">
        <v>8698</v>
      </c>
      <c r="AA1505" s="90">
        <v>7237</v>
      </c>
      <c r="AB1505" s="89">
        <f t="shared" si="490"/>
        <v>0</v>
      </c>
      <c r="AC1505" s="89">
        <f t="shared" si="491"/>
        <v>0</v>
      </c>
      <c r="AD1505" s="89">
        <f t="shared" si="492"/>
        <v>8698</v>
      </c>
      <c r="AF1505" s="90" t="str">
        <f t="shared" si="493"/>
        <v/>
      </c>
      <c r="AG1505" s="90">
        <f t="shared" si="503"/>
        <v>7237</v>
      </c>
      <c r="AH1505" s="90" t="str">
        <f t="shared" si="494"/>
        <v>2018 (triag)</v>
      </c>
      <c r="AI1505" s="90">
        <f t="shared" si="495"/>
        <v>8698</v>
      </c>
      <c r="AJ1505" s="90">
        <f t="shared" si="496"/>
        <v>2022</v>
      </c>
      <c r="AK1505" s="90" t="str">
        <f t="shared" si="497"/>
        <v/>
      </c>
      <c r="AL1505" s="91">
        <f>IF(AK1505="Adjust",(_xlfn.XLOOKUP(A1505,'Adj factor'!A:A,'Adj factor'!I:I,,0)*AI1505),'Master DataSheet (Rev)'!AI1505)</f>
        <v>8698</v>
      </c>
      <c r="AM1505" s="91">
        <f t="shared" si="498"/>
        <v>8698</v>
      </c>
      <c r="AN1505" s="92" t="str">
        <f t="shared" si="499"/>
        <v>Increasing</v>
      </c>
      <c r="AS1505" s="94">
        <f t="shared" si="500"/>
        <v>0</v>
      </c>
      <c r="AT1505" s="94">
        <f t="shared" si="501"/>
        <v>1.7432087542464663</v>
      </c>
      <c r="AU1505" s="94">
        <f t="shared" si="488"/>
        <v>1.8408627292705331</v>
      </c>
      <c r="AV1505" s="94">
        <f t="shared" si="489"/>
        <v>1.8408627292705331</v>
      </c>
    </row>
    <row r="1506" spans="1:48" x14ac:dyDescent="0.3">
      <c r="A1506" s="85" t="str">
        <f>_xlfn.XLOOKUP(B1506,'Country codes &amp; Data sources'!G:G,'Country codes &amp; Data sources'!H:H,,0)</f>
        <v>Uganda</v>
      </c>
      <c r="B1506" s="85" t="s">
        <v>191</v>
      </c>
      <c r="C1506" s="85">
        <v>34273304</v>
      </c>
      <c r="D1506" s="85" t="s">
        <v>335</v>
      </c>
      <c r="E1506" s="86">
        <v>550</v>
      </c>
      <c r="F1506" s="86">
        <v>35273569.999999993</v>
      </c>
      <c r="G1506" s="86">
        <v>0</v>
      </c>
      <c r="H1506" s="86"/>
      <c r="I1506" s="86">
        <v>0</v>
      </c>
      <c r="J1506" s="86"/>
      <c r="K1506" s="86">
        <v>45</v>
      </c>
      <c r="L1506" s="86"/>
      <c r="M1506" s="86">
        <v>0</v>
      </c>
      <c r="N1506" s="86"/>
      <c r="O1506" s="86">
        <v>0</v>
      </c>
      <c r="P1506" s="86">
        <v>41515395.000000015</v>
      </c>
      <c r="Q1506" s="86">
        <v>324</v>
      </c>
      <c r="R1506" s="87">
        <f t="shared" si="487"/>
        <v>324</v>
      </c>
      <c r="T1506" s="87">
        <v>0</v>
      </c>
      <c r="U1506" s="89"/>
      <c r="V1506" s="89">
        <v>1717</v>
      </c>
      <c r="W1506" s="90"/>
      <c r="X1506" s="90">
        <v>0</v>
      </c>
      <c r="Y1506" s="90">
        <v>47249584.999999978</v>
      </c>
      <c r="Z1506" s="90">
        <v>1712</v>
      </c>
      <c r="AA1506" s="90">
        <v>90</v>
      </c>
      <c r="AB1506" s="89">
        <f t="shared" si="490"/>
        <v>550</v>
      </c>
      <c r="AC1506" s="89">
        <f t="shared" si="491"/>
        <v>324</v>
      </c>
      <c r="AD1506" s="89">
        <f t="shared" si="492"/>
        <v>1717</v>
      </c>
      <c r="AE1506" s="90">
        <f t="shared" si="502"/>
        <v>550</v>
      </c>
      <c r="AF1506" s="90">
        <f t="shared" si="493"/>
        <v>2012</v>
      </c>
      <c r="AG1506" s="90">
        <f t="shared" si="503"/>
        <v>324</v>
      </c>
      <c r="AH1506" s="90">
        <f t="shared" si="494"/>
        <v>2018</v>
      </c>
      <c r="AI1506" s="90">
        <f t="shared" si="495"/>
        <v>1712</v>
      </c>
      <c r="AJ1506" s="90">
        <f t="shared" si="496"/>
        <v>2022</v>
      </c>
      <c r="AK1506" s="90" t="str">
        <f t="shared" si="497"/>
        <v/>
      </c>
      <c r="AL1506" s="91">
        <f>IF(AK1506="Adjust",(_xlfn.XLOOKUP(A1506,'Adj factor'!A:A,'Adj factor'!I:I,,0)*AI1506),'Master DataSheet (Rev)'!AI1506)</f>
        <v>1712</v>
      </c>
      <c r="AM1506" s="91">
        <f t="shared" si="498"/>
        <v>1712</v>
      </c>
      <c r="AN1506" s="92" t="str">
        <f t="shared" si="499"/>
        <v>Increasing</v>
      </c>
      <c r="AS1506" s="94">
        <f t="shared" si="500"/>
        <v>0.15592410975129542</v>
      </c>
      <c r="AT1506" s="94">
        <f t="shared" si="501"/>
        <v>7.8043337899109444E-2</v>
      </c>
      <c r="AU1506" s="94">
        <f t="shared" si="488"/>
        <v>0.36233122470811135</v>
      </c>
      <c r="AV1506" s="94">
        <f t="shared" si="489"/>
        <v>0.36233122470811135</v>
      </c>
    </row>
    <row r="1507" spans="1:48" x14ac:dyDescent="0.3">
      <c r="A1507" s="85" t="str">
        <f>_xlfn.XLOOKUP(B1507,'Country codes &amp; Data sources'!G:G,'Country codes &amp; Data sources'!H:H,,0)</f>
        <v>Uganda</v>
      </c>
      <c r="B1507" s="85" t="s">
        <v>191</v>
      </c>
      <c r="C1507" s="85">
        <v>34273305</v>
      </c>
      <c r="D1507" s="85" t="s">
        <v>336</v>
      </c>
      <c r="E1507" s="86">
        <v>650</v>
      </c>
      <c r="F1507" s="86">
        <v>35273569.999999993</v>
      </c>
      <c r="G1507" s="86">
        <v>0</v>
      </c>
      <c r="H1507" s="86"/>
      <c r="I1507" s="86">
        <v>0</v>
      </c>
      <c r="J1507" s="86"/>
      <c r="K1507" s="86">
        <v>0</v>
      </c>
      <c r="L1507" s="86"/>
      <c r="M1507" s="86">
        <v>0</v>
      </c>
      <c r="N1507" s="86"/>
      <c r="O1507" s="86">
        <v>0</v>
      </c>
      <c r="P1507" s="86">
        <v>41515395.000000015</v>
      </c>
      <c r="Q1507" s="86">
        <v>0</v>
      </c>
      <c r="R1507" s="87">
        <f t="shared" si="487"/>
        <v>234</v>
      </c>
      <c r="T1507" s="87">
        <v>0</v>
      </c>
      <c r="U1507" s="89"/>
      <c r="V1507" s="89">
        <v>0</v>
      </c>
      <c r="W1507" s="90"/>
      <c r="X1507" s="90">
        <v>0</v>
      </c>
      <c r="Y1507" s="90">
        <v>47249584.999999978</v>
      </c>
      <c r="Z1507" s="90">
        <v>1820</v>
      </c>
      <c r="AA1507" s="90">
        <v>234</v>
      </c>
      <c r="AB1507" s="89">
        <f t="shared" si="490"/>
        <v>650</v>
      </c>
      <c r="AC1507" s="89">
        <f t="shared" si="491"/>
        <v>0</v>
      </c>
      <c r="AD1507" s="89">
        <f t="shared" si="492"/>
        <v>1820</v>
      </c>
      <c r="AE1507" s="90">
        <f t="shared" si="502"/>
        <v>650</v>
      </c>
      <c r="AF1507" s="90">
        <f t="shared" si="493"/>
        <v>2012</v>
      </c>
      <c r="AG1507" s="90">
        <f t="shared" si="503"/>
        <v>234</v>
      </c>
      <c r="AH1507" s="90" t="str">
        <f t="shared" si="494"/>
        <v>2018 (triag)</v>
      </c>
      <c r="AI1507" s="90">
        <f t="shared" si="495"/>
        <v>1820</v>
      </c>
      <c r="AJ1507" s="90">
        <f t="shared" si="496"/>
        <v>2022</v>
      </c>
      <c r="AK1507" s="90" t="str">
        <f t="shared" si="497"/>
        <v/>
      </c>
      <c r="AL1507" s="91">
        <f>IF(AK1507="Adjust",(_xlfn.XLOOKUP(A1507,'Adj factor'!A:A,'Adj factor'!I:I,,0)*AI1507),'Master DataSheet (Rev)'!AI1507)</f>
        <v>1820</v>
      </c>
      <c r="AM1507" s="91">
        <f t="shared" si="498"/>
        <v>1820</v>
      </c>
      <c r="AN1507" s="92" t="str">
        <f t="shared" si="499"/>
        <v>Increasing</v>
      </c>
      <c r="AS1507" s="94">
        <f t="shared" si="500"/>
        <v>0.18427394788789458</v>
      </c>
      <c r="AT1507" s="94">
        <f t="shared" si="501"/>
        <v>5.6364632927134603E-2</v>
      </c>
      <c r="AU1507" s="94">
        <f t="shared" si="488"/>
        <v>0.3851885683228754</v>
      </c>
      <c r="AV1507" s="94">
        <f t="shared" si="489"/>
        <v>0.3851885683228754</v>
      </c>
    </row>
    <row r="1508" spans="1:48" ht="14.5" x14ac:dyDescent="0.35">
      <c r="A1508" s="85" t="str">
        <f>_xlfn.XLOOKUP(B1508,'Country codes &amp; Data sources'!G:G,'Country codes &amp; Data sources'!H:H,,0)</f>
        <v>Uganda</v>
      </c>
      <c r="B1508" s="85" t="s">
        <v>191</v>
      </c>
      <c r="C1508" s="85">
        <v>34273306</v>
      </c>
      <c r="D1508" s="85" t="s">
        <v>337</v>
      </c>
      <c r="E1508" s="86">
        <v>0</v>
      </c>
      <c r="F1508" s="86">
        <v>35273569.999999993</v>
      </c>
      <c r="G1508" s="86">
        <v>0</v>
      </c>
      <c r="H1508" s="86"/>
      <c r="I1508" s="86">
        <v>0</v>
      </c>
      <c r="J1508" s="86"/>
      <c r="K1508" s="86">
        <v>276</v>
      </c>
      <c r="L1508" s="86"/>
      <c r="M1508" s="86">
        <v>0</v>
      </c>
      <c r="N1508" s="86"/>
      <c r="O1508" s="86">
        <v>0</v>
      </c>
      <c r="P1508" s="86">
        <v>41515395.000000015</v>
      </c>
      <c r="Q1508" s="86">
        <v>26</v>
      </c>
      <c r="R1508" s="87">
        <f t="shared" si="487"/>
        <v>26</v>
      </c>
      <c r="T1508" s="87">
        <v>310</v>
      </c>
      <c r="U1508" s="89"/>
      <c r="V1508" s="89">
        <v>255</v>
      </c>
      <c r="W1508" s="90"/>
      <c r="X1508" s="90">
        <v>0</v>
      </c>
      <c r="Y1508" s="90">
        <v>47249584.999999978</v>
      </c>
      <c r="Z1508" s="111">
        <v>504</v>
      </c>
      <c r="AA1508" s="90">
        <v>0</v>
      </c>
      <c r="AB1508" s="89">
        <f t="shared" si="490"/>
        <v>276</v>
      </c>
      <c r="AC1508" s="89">
        <f t="shared" si="491"/>
        <v>310</v>
      </c>
      <c r="AD1508" s="89">
        <f t="shared" si="492"/>
        <v>504</v>
      </c>
      <c r="AE1508" s="90">
        <f t="shared" si="502"/>
        <v>276</v>
      </c>
      <c r="AF1508" s="90">
        <f t="shared" si="493"/>
        <v>2015</v>
      </c>
      <c r="AG1508" s="90">
        <f t="shared" si="503"/>
        <v>26</v>
      </c>
      <c r="AH1508" s="90">
        <f t="shared" si="494"/>
        <v>2018</v>
      </c>
      <c r="AI1508" s="90">
        <f t="shared" si="495"/>
        <v>504</v>
      </c>
      <c r="AJ1508" s="90">
        <f t="shared" si="496"/>
        <v>2022</v>
      </c>
      <c r="AK1508" s="90" t="str">
        <f t="shared" si="497"/>
        <v/>
      </c>
      <c r="AL1508" s="91">
        <f>IF(AK1508="Adjust",(_xlfn.XLOOKUP(A1508,'Adj factor'!A:A,'Adj factor'!I:I,,0)*AI1508),'Master DataSheet (Rev)'!AI1508)</f>
        <v>504</v>
      </c>
      <c r="AM1508" s="91">
        <f t="shared" si="498"/>
        <v>504</v>
      </c>
      <c r="AN1508" s="92" t="str">
        <f t="shared" si="499"/>
        <v>Increasing</v>
      </c>
      <c r="AS1508" s="94">
        <f t="shared" si="500"/>
        <v>7.8245553257013697E-2</v>
      </c>
      <c r="AT1508" s="94">
        <f t="shared" si="501"/>
        <v>6.2627369919038443E-3</v>
      </c>
      <c r="AU1508" s="94">
        <f t="shared" si="488"/>
        <v>0.10666760353556549</v>
      </c>
      <c r="AV1508" s="94">
        <f t="shared" si="489"/>
        <v>0.10666760353556549</v>
      </c>
    </row>
    <row r="1509" spans="1:48" ht="14.5" x14ac:dyDescent="0.35">
      <c r="A1509" s="85" t="str">
        <f>_xlfn.XLOOKUP(B1509,'Country codes &amp; Data sources'!G:G,'Country codes &amp; Data sources'!H:H,,0)</f>
        <v>Uganda</v>
      </c>
      <c r="B1509" s="85" t="s">
        <v>191</v>
      </c>
      <c r="C1509" s="85">
        <v>34273307</v>
      </c>
      <c r="D1509" s="85" t="s">
        <v>338</v>
      </c>
      <c r="E1509" s="86">
        <v>0</v>
      </c>
      <c r="F1509" s="86">
        <v>35273569.999999993</v>
      </c>
      <c r="G1509" s="86">
        <v>0</v>
      </c>
      <c r="H1509" s="86"/>
      <c r="I1509" s="86">
        <v>0</v>
      </c>
      <c r="J1509" s="86"/>
      <c r="K1509" s="86">
        <v>0</v>
      </c>
      <c r="L1509" s="86"/>
      <c r="M1509" s="86">
        <v>0</v>
      </c>
      <c r="N1509" s="86"/>
      <c r="O1509" s="86">
        <v>0</v>
      </c>
      <c r="P1509" s="86">
        <v>41515395.000000015</v>
      </c>
      <c r="Q1509" s="86">
        <v>0</v>
      </c>
      <c r="R1509" s="87">
        <f t="shared" si="487"/>
        <v>26</v>
      </c>
      <c r="T1509" s="87">
        <v>900</v>
      </c>
      <c r="U1509" s="89"/>
      <c r="V1509" s="89">
        <v>0</v>
      </c>
      <c r="W1509" s="90"/>
      <c r="X1509" s="90">
        <v>0</v>
      </c>
      <c r="Y1509" s="90">
        <v>47249584.999999978</v>
      </c>
      <c r="Z1509" s="111">
        <v>1084</v>
      </c>
      <c r="AA1509" s="90">
        <v>26</v>
      </c>
      <c r="AB1509" s="89">
        <f t="shared" si="490"/>
        <v>0</v>
      </c>
      <c r="AC1509" s="89">
        <f t="shared" si="491"/>
        <v>900</v>
      </c>
      <c r="AD1509" s="89">
        <f t="shared" si="492"/>
        <v>1084</v>
      </c>
      <c r="AF1509" s="90" t="str">
        <f t="shared" si="493"/>
        <v/>
      </c>
      <c r="AG1509" s="90">
        <f t="shared" si="503"/>
        <v>26</v>
      </c>
      <c r="AH1509" s="90" t="str">
        <f t="shared" si="494"/>
        <v>2018 (triag)</v>
      </c>
      <c r="AI1509" s="111">
        <v>1084</v>
      </c>
      <c r="AJ1509" s="90">
        <f t="shared" si="496"/>
        <v>2022</v>
      </c>
      <c r="AK1509" s="90" t="str">
        <f t="shared" si="497"/>
        <v/>
      </c>
      <c r="AL1509" s="91">
        <f>IF(AK1509="Adjust",(_xlfn.XLOOKUP(A1509,'Adj factor'!A:A,'Adj factor'!I:I,,0)*AI1509),'Master DataSheet (Rev)'!AI1509)</f>
        <v>1084</v>
      </c>
      <c r="AM1509" s="91">
        <f t="shared" si="498"/>
        <v>1084</v>
      </c>
      <c r="AN1509" s="92" t="str">
        <f t="shared" si="499"/>
        <v>Increasing</v>
      </c>
      <c r="AS1509" s="94">
        <f t="shared" si="500"/>
        <v>0</v>
      </c>
      <c r="AT1509" s="94">
        <f t="shared" si="501"/>
        <v>6.2627369919038443E-3</v>
      </c>
      <c r="AU1509" s="94">
        <f t="shared" si="488"/>
        <v>0.22942000442966864</v>
      </c>
      <c r="AV1509" s="94">
        <f t="shared" si="489"/>
        <v>0.22942000442966864</v>
      </c>
    </row>
    <row r="1510" spans="1:48" x14ac:dyDescent="0.3">
      <c r="A1510" s="85" t="str">
        <f>_xlfn.XLOOKUP(B1510,'Country codes &amp; Data sources'!G:G,'Country codes &amp; Data sources'!H:H,,0)</f>
        <v>Uganda</v>
      </c>
      <c r="B1510" s="85" t="s">
        <v>191</v>
      </c>
      <c r="C1510" s="85">
        <v>34273308</v>
      </c>
      <c r="D1510" s="85" t="s">
        <v>339</v>
      </c>
      <c r="E1510" s="86">
        <v>0</v>
      </c>
      <c r="F1510" s="86">
        <v>35273569.999999993</v>
      </c>
      <c r="G1510" s="86">
        <v>0</v>
      </c>
      <c r="H1510" s="86"/>
      <c r="I1510" s="86">
        <v>0</v>
      </c>
      <c r="J1510" s="86"/>
      <c r="K1510" s="86">
        <v>0</v>
      </c>
      <c r="L1510" s="86"/>
      <c r="M1510" s="86">
        <v>0</v>
      </c>
      <c r="N1510" s="86"/>
      <c r="O1510" s="86">
        <v>0</v>
      </c>
      <c r="P1510" s="86">
        <v>41515395.000000015</v>
      </c>
      <c r="Q1510" s="86">
        <v>0</v>
      </c>
      <c r="R1510" s="87">
        <f t="shared" si="487"/>
        <v>0</v>
      </c>
      <c r="T1510" s="87">
        <v>0</v>
      </c>
      <c r="U1510" s="89"/>
      <c r="V1510" s="89">
        <v>0</v>
      </c>
      <c r="W1510" s="90"/>
      <c r="X1510" s="90">
        <v>0</v>
      </c>
      <c r="Y1510" s="90">
        <v>47249584.999999978</v>
      </c>
      <c r="Z1510" s="90">
        <v>0</v>
      </c>
      <c r="AA1510" s="90">
        <v>0</v>
      </c>
      <c r="AB1510" s="89">
        <f t="shared" si="490"/>
        <v>0</v>
      </c>
      <c r="AC1510" s="89">
        <f t="shared" si="491"/>
        <v>0</v>
      </c>
      <c r="AD1510" s="89">
        <f t="shared" si="492"/>
        <v>0</v>
      </c>
      <c r="AF1510" s="90" t="str">
        <f t="shared" si="493"/>
        <v/>
      </c>
      <c r="AH1510" s="90" t="str">
        <f t="shared" si="494"/>
        <v/>
      </c>
      <c r="AI1510" s="90">
        <f t="shared" si="495"/>
        <v>0</v>
      </c>
      <c r="AJ1510" s="90" t="str">
        <f t="shared" si="496"/>
        <v/>
      </c>
      <c r="AK1510" s="90" t="str">
        <f t="shared" si="497"/>
        <v/>
      </c>
      <c r="AL1510" s="91"/>
      <c r="AM1510" s="91">
        <f t="shared" si="498"/>
        <v>0</v>
      </c>
      <c r="AN1510" s="92" t="str">
        <f t="shared" si="499"/>
        <v>No change</v>
      </c>
      <c r="AS1510" s="94">
        <f t="shared" si="500"/>
        <v>0</v>
      </c>
      <c r="AT1510" s="94">
        <f t="shared" si="501"/>
        <v>0</v>
      </c>
      <c r="AU1510" s="94">
        <f t="shared" si="488"/>
        <v>0</v>
      </c>
      <c r="AV1510" s="94">
        <f t="shared" si="489"/>
        <v>0</v>
      </c>
    </row>
    <row r="1511" spans="1:48" x14ac:dyDescent="0.3">
      <c r="A1511" s="85" t="str">
        <f>_xlfn.XLOOKUP(B1511,'Country codes &amp; Data sources'!G:G,'Country codes &amp; Data sources'!H:H,,0)</f>
        <v>South Africa</v>
      </c>
      <c r="B1511" s="85" t="s">
        <v>187</v>
      </c>
      <c r="C1511" s="85">
        <v>53145033.000000007</v>
      </c>
      <c r="D1511" s="85" t="s">
        <v>326</v>
      </c>
      <c r="E1511" s="86">
        <v>0</v>
      </c>
      <c r="F1511" s="86">
        <v>53873616</v>
      </c>
      <c r="G1511" s="86">
        <v>0</v>
      </c>
      <c r="H1511" s="86">
        <v>54729550.99999997</v>
      </c>
      <c r="I1511" s="86">
        <v>0</v>
      </c>
      <c r="J1511" s="86">
        <v>55876503.999999993</v>
      </c>
      <c r="K1511" s="86">
        <v>0</v>
      </c>
      <c r="L1511" s="86">
        <v>56422273.499999985</v>
      </c>
      <c r="M1511" s="86">
        <v>43141</v>
      </c>
      <c r="N1511" s="86">
        <v>56641209.500000007</v>
      </c>
      <c r="O1511" s="86">
        <v>44653</v>
      </c>
      <c r="P1511" s="86">
        <v>57339635.000000015</v>
      </c>
      <c r="Q1511" s="86">
        <v>43503</v>
      </c>
      <c r="R1511" s="87">
        <f t="shared" si="487"/>
        <v>43503</v>
      </c>
      <c r="S1511" s="87">
        <v>58087054.999999985</v>
      </c>
      <c r="T1511" s="87">
        <v>46393</v>
      </c>
      <c r="U1511" s="89">
        <v>58801926.500000022</v>
      </c>
      <c r="V1511" s="89">
        <v>0</v>
      </c>
      <c r="W1511" s="90">
        <v>59392255</v>
      </c>
      <c r="X1511" s="90">
        <v>48021</v>
      </c>
      <c r="Y1511" s="90">
        <v>59893885.5</v>
      </c>
      <c r="Z1511" s="90">
        <v>0</v>
      </c>
      <c r="AA1511" s="90">
        <v>43503</v>
      </c>
      <c r="AB1511" s="89">
        <f t="shared" si="490"/>
        <v>0</v>
      </c>
      <c r="AC1511" s="89">
        <f t="shared" si="491"/>
        <v>46393</v>
      </c>
      <c r="AD1511" s="89">
        <f t="shared" si="492"/>
        <v>48021</v>
      </c>
      <c r="AF1511" s="90" t="str">
        <f t="shared" si="493"/>
        <v/>
      </c>
      <c r="AG1511" s="90">
        <f t="shared" si="503"/>
        <v>43503</v>
      </c>
      <c r="AH1511" s="90">
        <f t="shared" si="494"/>
        <v>2018</v>
      </c>
      <c r="AI1511" s="90">
        <f t="shared" si="495"/>
        <v>48021</v>
      </c>
      <c r="AJ1511" s="90">
        <f t="shared" si="496"/>
        <v>2021</v>
      </c>
      <c r="AK1511" s="90" t="str">
        <f t="shared" si="497"/>
        <v/>
      </c>
      <c r="AL1511" s="91">
        <f>IF(AK1511="Adjust",(_xlfn.XLOOKUP(A1511,'Adj factor'!A:A,'Adj factor'!I:I,,0)*AI1511),'Master DataSheet (Rev)'!AI1511)</f>
        <v>48021</v>
      </c>
      <c r="AM1511" s="91">
        <f t="shared" si="498"/>
        <v>48021</v>
      </c>
      <c r="AN1511" s="92" t="str">
        <f t="shared" si="499"/>
        <v>Increasing</v>
      </c>
      <c r="AS1511" s="94">
        <f t="shared" si="500"/>
        <v>0</v>
      </c>
      <c r="AT1511" s="94">
        <f t="shared" si="501"/>
        <v>7.5868986609349687</v>
      </c>
      <c r="AU1511" s="94">
        <f t="shared" si="488"/>
        <v>8.0176798681728538</v>
      </c>
      <c r="AV1511" s="94">
        <f t="shared" si="489"/>
        <v>8.0176798681728538</v>
      </c>
    </row>
    <row r="1512" spans="1:48" x14ac:dyDescent="0.3">
      <c r="A1512" s="85" t="str">
        <f>_xlfn.XLOOKUP(B1512,'Country codes &amp; Data sources'!G:G,'Country codes &amp; Data sources'!H:H,,0)</f>
        <v>South Africa</v>
      </c>
      <c r="B1512" s="85" t="s">
        <v>187</v>
      </c>
      <c r="C1512" s="85">
        <v>53145034</v>
      </c>
      <c r="D1512" s="85" t="s">
        <v>327</v>
      </c>
      <c r="E1512" s="86">
        <v>0</v>
      </c>
      <c r="F1512" s="86">
        <v>53873616</v>
      </c>
      <c r="G1512" s="86">
        <v>0</v>
      </c>
      <c r="H1512" s="86"/>
      <c r="I1512" s="86">
        <v>0</v>
      </c>
      <c r="J1512" s="86"/>
      <c r="K1512" s="86">
        <v>0</v>
      </c>
      <c r="L1512" s="86"/>
      <c r="M1512" s="86">
        <v>0</v>
      </c>
      <c r="N1512" s="86"/>
      <c r="O1512" s="86">
        <v>0</v>
      </c>
      <c r="P1512" s="86">
        <v>57339635.000000015</v>
      </c>
      <c r="Q1512" s="86">
        <v>29311</v>
      </c>
      <c r="R1512" s="87">
        <f t="shared" si="487"/>
        <v>29311</v>
      </c>
      <c r="T1512" s="87">
        <v>0</v>
      </c>
      <c r="U1512" s="89"/>
      <c r="V1512" s="89">
        <v>0</v>
      </c>
      <c r="W1512" s="90"/>
      <c r="X1512" s="90">
        <v>0</v>
      </c>
      <c r="Y1512" s="90">
        <v>59893885.5</v>
      </c>
      <c r="Z1512" s="90">
        <v>0</v>
      </c>
      <c r="AA1512" s="90">
        <v>29311</v>
      </c>
      <c r="AB1512" s="89">
        <f t="shared" si="490"/>
        <v>0</v>
      </c>
      <c r="AC1512" s="89">
        <f t="shared" si="491"/>
        <v>29311</v>
      </c>
      <c r="AD1512" s="89">
        <f t="shared" si="492"/>
        <v>0</v>
      </c>
      <c r="AF1512" s="90" t="str">
        <f t="shared" si="493"/>
        <v/>
      </c>
      <c r="AG1512" s="90">
        <f t="shared" si="503"/>
        <v>29311</v>
      </c>
      <c r="AH1512" s="90">
        <f t="shared" si="494"/>
        <v>2018</v>
      </c>
      <c r="AI1512" s="90">
        <f t="shared" si="495"/>
        <v>29311</v>
      </c>
      <c r="AJ1512" s="90">
        <f t="shared" si="496"/>
        <v>2018</v>
      </c>
      <c r="AK1512" s="90" t="str">
        <f t="shared" si="497"/>
        <v/>
      </c>
      <c r="AL1512" s="91">
        <f>IF(AK1512="Adjust",(_xlfn.XLOOKUP(A1512,'Adj factor'!A:A,'Adj factor'!I:I,,0)*AI1512),'Master DataSheet (Rev)'!AI1512)</f>
        <v>29311</v>
      </c>
      <c r="AM1512" s="91">
        <f t="shared" si="498"/>
        <v>29311</v>
      </c>
      <c r="AN1512" s="92" t="str">
        <f t="shared" si="499"/>
        <v>No change</v>
      </c>
      <c r="AS1512" s="94">
        <f t="shared" si="500"/>
        <v>0</v>
      </c>
      <c r="AT1512" s="94">
        <f t="shared" si="501"/>
        <v>5.1118218663233543</v>
      </c>
      <c r="AU1512" s="94">
        <f t="shared" si="488"/>
        <v>4.8938217574814047</v>
      </c>
      <c r="AV1512" s="94">
        <f t="shared" si="489"/>
        <v>4.8938217574814047</v>
      </c>
    </row>
    <row r="1513" spans="1:48" x14ac:dyDescent="0.3">
      <c r="A1513" s="85" t="str">
        <f>_xlfn.XLOOKUP(B1513,'Country codes &amp; Data sources'!G:G,'Country codes &amp; Data sources'!H:H,,0)</f>
        <v>South Africa</v>
      </c>
      <c r="B1513" s="85" t="s">
        <v>187</v>
      </c>
      <c r="C1513" s="85">
        <v>53145035</v>
      </c>
      <c r="D1513" s="85" t="s">
        <v>328</v>
      </c>
      <c r="E1513" s="86">
        <v>0</v>
      </c>
      <c r="F1513" s="86">
        <v>53873616</v>
      </c>
      <c r="G1513" s="86">
        <v>0</v>
      </c>
      <c r="H1513" s="86"/>
      <c r="I1513" s="86">
        <v>0</v>
      </c>
      <c r="J1513" s="86"/>
      <c r="K1513" s="86">
        <v>0</v>
      </c>
      <c r="L1513" s="86"/>
      <c r="M1513" s="86">
        <v>0</v>
      </c>
      <c r="N1513" s="86"/>
      <c r="O1513" s="86">
        <v>0</v>
      </c>
      <c r="P1513" s="86">
        <v>57339635.000000015</v>
      </c>
      <c r="Q1513" s="86">
        <v>14192</v>
      </c>
      <c r="R1513" s="87">
        <f t="shared" si="487"/>
        <v>14192</v>
      </c>
      <c r="T1513" s="87">
        <v>0</v>
      </c>
      <c r="U1513" s="89"/>
      <c r="V1513" s="89">
        <v>0</v>
      </c>
      <c r="W1513" s="90"/>
      <c r="X1513" s="90">
        <v>0</v>
      </c>
      <c r="Y1513" s="90">
        <v>59893885.5</v>
      </c>
      <c r="Z1513" s="90">
        <v>0</v>
      </c>
      <c r="AA1513" s="90">
        <v>14192</v>
      </c>
      <c r="AB1513" s="89">
        <f t="shared" si="490"/>
        <v>0</v>
      </c>
      <c r="AC1513" s="89">
        <f t="shared" si="491"/>
        <v>14192</v>
      </c>
      <c r="AD1513" s="89">
        <f t="shared" si="492"/>
        <v>0</v>
      </c>
      <c r="AF1513" s="90" t="str">
        <f t="shared" si="493"/>
        <v/>
      </c>
      <c r="AG1513" s="90">
        <f t="shared" si="503"/>
        <v>14192</v>
      </c>
      <c r="AH1513" s="90">
        <f t="shared" si="494"/>
        <v>2018</v>
      </c>
      <c r="AI1513" s="90">
        <f t="shared" si="495"/>
        <v>14192</v>
      </c>
      <c r="AJ1513" s="90">
        <f t="shared" si="496"/>
        <v>2018</v>
      </c>
      <c r="AK1513" s="90" t="str">
        <f t="shared" si="497"/>
        <v/>
      </c>
      <c r="AL1513" s="91">
        <f>IF(AK1513="Adjust",(_xlfn.XLOOKUP(A1513,'Adj factor'!A:A,'Adj factor'!I:I,,0)*AI1513),'Master DataSheet (Rev)'!AI1513)</f>
        <v>14192</v>
      </c>
      <c r="AM1513" s="91">
        <f t="shared" si="498"/>
        <v>14192</v>
      </c>
      <c r="AN1513" s="92" t="str">
        <f t="shared" si="499"/>
        <v>No change</v>
      </c>
      <c r="AS1513" s="94">
        <f t="shared" si="500"/>
        <v>0</v>
      </c>
      <c r="AT1513" s="94">
        <f t="shared" si="501"/>
        <v>2.4750767946116148</v>
      </c>
      <c r="AU1513" s="94">
        <f t="shared" si="488"/>
        <v>2.3695240142668652</v>
      </c>
      <c r="AV1513" s="94">
        <f t="shared" si="489"/>
        <v>2.3695240142668652</v>
      </c>
    </row>
    <row r="1514" spans="1:48" x14ac:dyDescent="0.3">
      <c r="A1514" s="85" t="str">
        <f>_xlfn.XLOOKUP(B1514,'Country codes &amp; Data sources'!G:G,'Country codes &amp; Data sources'!H:H,,0)</f>
        <v>South Africa</v>
      </c>
      <c r="B1514" s="85" t="s">
        <v>187</v>
      </c>
      <c r="C1514" s="85">
        <v>53145036</v>
      </c>
      <c r="D1514" s="85" t="s">
        <v>329</v>
      </c>
      <c r="E1514" s="86">
        <v>58722</v>
      </c>
      <c r="F1514" s="86">
        <v>53873616</v>
      </c>
      <c r="G1514" s="86">
        <v>0</v>
      </c>
      <c r="H1514" s="86"/>
      <c r="I1514" s="86">
        <v>0</v>
      </c>
      <c r="J1514" s="86"/>
      <c r="K1514" s="86">
        <v>0</v>
      </c>
      <c r="L1514" s="86"/>
      <c r="M1514" s="86">
        <v>0</v>
      </c>
      <c r="N1514" s="86"/>
      <c r="O1514" s="86">
        <v>0</v>
      </c>
      <c r="P1514" s="86">
        <v>57339635.000000015</v>
      </c>
      <c r="Q1514" s="86">
        <v>70552</v>
      </c>
      <c r="R1514" s="87">
        <f t="shared" si="487"/>
        <v>287458</v>
      </c>
      <c r="T1514" s="87">
        <v>64638</v>
      </c>
      <c r="U1514" s="89"/>
      <c r="V1514" s="89">
        <v>61028</v>
      </c>
      <c r="W1514" s="90"/>
      <c r="X1514" s="90">
        <v>0</v>
      </c>
      <c r="Y1514" s="90">
        <v>59893885.5</v>
      </c>
      <c r="Z1514" s="103">
        <v>271047</v>
      </c>
      <c r="AA1514" s="90">
        <v>287458</v>
      </c>
      <c r="AB1514" s="89">
        <f t="shared" si="490"/>
        <v>58722</v>
      </c>
      <c r="AC1514" s="89">
        <f t="shared" si="491"/>
        <v>70552</v>
      </c>
      <c r="AD1514" s="89">
        <f t="shared" si="492"/>
        <v>271047</v>
      </c>
      <c r="AE1514" s="90">
        <f t="shared" si="502"/>
        <v>58722</v>
      </c>
      <c r="AF1514" s="90">
        <f t="shared" si="493"/>
        <v>2012</v>
      </c>
      <c r="AG1514" s="90">
        <f t="shared" si="503"/>
        <v>287458</v>
      </c>
      <c r="AH1514" s="90" t="str">
        <f t="shared" si="494"/>
        <v>2018 (triag)</v>
      </c>
      <c r="AI1514" s="90">
        <f t="shared" si="495"/>
        <v>271047</v>
      </c>
      <c r="AJ1514" s="90">
        <f t="shared" si="496"/>
        <v>2022</v>
      </c>
      <c r="AK1514" s="90" t="str">
        <f t="shared" si="497"/>
        <v>Adjust</v>
      </c>
      <c r="AL1514" s="91">
        <f>IF(AK1514="Adjust",(_xlfn.XLOOKUP(A1514,'Adj factor'!A:A,'Adj factor'!I:I,,0)*AI1514),'Master DataSheet (Rev)'!AI1514)</f>
        <v>397261.24962174537</v>
      </c>
      <c r="AM1514" s="91">
        <f t="shared" si="498"/>
        <v>397261.24962174537</v>
      </c>
      <c r="AN1514" s="92" t="str">
        <f t="shared" si="499"/>
        <v>Increasing</v>
      </c>
      <c r="AS1514" s="94">
        <f t="shared" si="500"/>
        <v>10.899955183999529</v>
      </c>
      <c r="AT1514" s="94">
        <f t="shared" si="501"/>
        <v>50.132513051399776</v>
      </c>
      <c r="AU1514" s="94">
        <f t="shared" si="488"/>
        <v>66.327513452394967</v>
      </c>
      <c r="AV1514" s="94">
        <f t="shared" si="489"/>
        <v>66.327513452394967</v>
      </c>
    </row>
    <row r="1515" spans="1:48" x14ac:dyDescent="0.3">
      <c r="A1515" s="85" t="str">
        <f>_xlfn.XLOOKUP(B1515,'Country codes &amp; Data sources'!G:G,'Country codes &amp; Data sources'!H:H,,0)</f>
        <v>South Africa</v>
      </c>
      <c r="B1515" s="85" t="s">
        <v>187</v>
      </c>
      <c r="C1515" s="85">
        <v>53145037</v>
      </c>
      <c r="D1515" s="85" t="s">
        <v>330</v>
      </c>
      <c r="E1515" s="86">
        <v>0</v>
      </c>
      <c r="F1515" s="86">
        <v>53873616</v>
      </c>
      <c r="G1515" s="86">
        <v>0</v>
      </c>
      <c r="H1515" s="86"/>
      <c r="I1515" s="86">
        <v>0</v>
      </c>
      <c r="J1515" s="86"/>
      <c r="K1515" s="86">
        <v>0</v>
      </c>
      <c r="L1515" s="86"/>
      <c r="M1515" s="86">
        <v>0</v>
      </c>
      <c r="N1515" s="86"/>
      <c r="O1515" s="86">
        <v>0</v>
      </c>
      <c r="P1515" s="86">
        <v>57339635.000000015</v>
      </c>
      <c r="Q1515" s="86">
        <v>0</v>
      </c>
      <c r="R1515" s="87">
        <f t="shared" si="487"/>
        <v>140598</v>
      </c>
      <c r="T1515" s="87">
        <v>0</v>
      </c>
      <c r="U1515" s="89"/>
      <c r="V1515" s="89">
        <v>0</v>
      </c>
      <c r="W1515" s="90"/>
      <c r="X1515" s="90">
        <v>0</v>
      </c>
      <c r="Y1515" s="90">
        <v>59893885.5</v>
      </c>
      <c r="Z1515" s="90">
        <v>0</v>
      </c>
      <c r="AA1515" s="90">
        <v>140598</v>
      </c>
      <c r="AB1515" s="89">
        <f t="shared" si="490"/>
        <v>0</v>
      </c>
      <c r="AC1515" s="89">
        <f t="shared" si="491"/>
        <v>0</v>
      </c>
      <c r="AD1515" s="89">
        <f t="shared" si="492"/>
        <v>0</v>
      </c>
      <c r="AF1515" s="90" t="str">
        <f t="shared" si="493"/>
        <v/>
      </c>
      <c r="AG1515" s="90">
        <f t="shared" si="503"/>
        <v>140598</v>
      </c>
      <c r="AH1515" s="90" t="str">
        <f t="shared" si="494"/>
        <v>2018 (triag)</v>
      </c>
      <c r="AI1515" s="90">
        <f t="shared" si="495"/>
        <v>140598</v>
      </c>
      <c r="AJ1515" s="90" t="str">
        <f t="shared" si="496"/>
        <v>2018 (triag)</v>
      </c>
      <c r="AK1515" s="90" t="str">
        <f t="shared" si="497"/>
        <v/>
      </c>
      <c r="AL1515" s="91">
        <f>IF(AK1515="Adjust",(_xlfn.XLOOKUP(A1515,'Adj factor'!A:A,'Adj factor'!I:I,,0)*AI1515),'Master DataSheet (Rev)'!AI1515)</f>
        <v>140598</v>
      </c>
      <c r="AM1515" s="91">
        <f t="shared" si="498"/>
        <v>140598</v>
      </c>
      <c r="AN1515" s="92" t="str">
        <f t="shared" si="499"/>
        <v>No change</v>
      </c>
      <c r="AS1515" s="94">
        <f t="shared" si="500"/>
        <v>0</v>
      </c>
      <c r="AT1515" s="94">
        <f t="shared" si="501"/>
        <v>24.520211891826651</v>
      </c>
      <c r="AU1515" s="94">
        <f t="shared" si="488"/>
        <v>23.474516442918034</v>
      </c>
      <c r="AV1515" s="94">
        <f t="shared" si="489"/>
        <v>23.474516442918034</v>
      </c>
    </row>
    <row r="1516" spans="1:48" x14ac:dyDescent="0.3">
      <c r="A1516" s="85" t="str">
        <f>_xlfn.XLOOKUP(B1516,'Country codes &amp; Data sources'!G:G,'Country codes &amp; Data sources'!H:H,,0)</f>
        <v>South Africa</v>
      </c>
      <c r="B1516" s="85" t="s">
        <v>187</v>
      </c>
      <c r="C1516" s="85">
        <v>53145038</v>
      </c>
      <c r="D1516" s="85" t="s">
        <v>331</v>
      </c>
      <c r="E1516" s="86">
        <v>0</v>
      </c>
      <c r="F1516" s="86">
        <v>53873616</v>
      </c>
      <c r="G1516" s="86">
        <v>0</v>
      </c>
      <c r="H1516" s="86"/>
      <c r="I1516" s="86">
        <v>0</v>
      </c>
      <c r="J1516" s="86"/>
      <c r="K1516" s="86">
        <v>0</v>
      </c>
      <c r="L1516" s="86"/>
      <c r="M1516" s="86">
        <v>0</v>
      </c>
      <c r="N1516" s="86"/>
      <c r="O1516" s="86">
        <v>0</v>
      </c>
      <c r="P1516" s="86">
        <v>57339635.000000015</v>
      </c>
      <c r="Q1516" s="86">
        <v>0</v>
      </c>
      <c r="R1516" s="87">
        <f t="shared" si="487"/>
        <v>146860</v>
      </c>
      <c r="T1516" s="87">
        <v>0</v>
      </c>
      <c r="U1516" s="89"/>
      <c r="V1516" s="89">
        <v>0</v>
      </c>
      <c r="W1516" s="90"/>
      <c r="X1516" s="90">
        <v>0</v>
      </c>
      <c r="Y1516" s="90">
        <v>59893885.5</v>
      </c>
      <c r="Z1516" s="90">
        <v>0</v>
      </c>
      <c r="AA1516" s="90">
        <v>146860</v>
      </c>
      <c r="AB1516" s="89">
        <f t="shared" si="490"/>
        <v>0</v>
      </c>
      <c r="AC1516" s="89">
        <f t="shared" si="491"/>
        <v>0</v>
      </c>
      <c r="AD1516" s="89">
        <f t="shared" si="492"/>
        <v>0</v>
      </c>
      <c r="AF1516" s="90" t="str">
        <f t="shared" si="493"/>
        <v/>
      </c>
      <c r="AG1516" s="90">
        <f t="shared" si="503"/>
        <v>146860</v>
      </c>
      <c r="AH1516" s="90" t="str">
        <f t="shared" si="494"/>
        <v>2018 (triag)</v>
      </c>
      <c r="AI1516" s="90">
        <f t="shared" si="495"/>
        <v>146860</v>
      </c>
      <c r="AJ1516" s="90" t="str">
        <f t="shared" si="496"/>
        <v>2018 (triag)</v>
      </c>
      <c r="AK1516" s="90" t="str">
        <f t="shared" si="497"/>
        <v/>
      </c>
      <c r="AL1516" s="91">
        <f>IF(AK1516="Adjust",(_xlfn.XLOOKUP(A1516,'Adj factor'!A:A,'Adj factor'!I:I,,0)*AI1516),'Master DataSheet (Rev)'!AI1516)</f>
        <v>146860</v>
      </c>
      <c r="AM1516" s="91">
        <f t="shared" si="498"/>
        <v>146860</v>
      </c>
      <c r="AN1516" s="92" t="str">
        <f t="shared" si="499"/>
        <v>No change</v>
      </c>
      <c r="AS1516" s="94">
        <f t="shared" si="500"/>
        <v>0</v>
      </c>
      <c r="AT1516" s="94">
        <f t="shared" si="501"/>
        <v>25.612301159573121</v>
      </c>
      <c r="AU1516" s="94">
        <f t="shared" si="488"/>
        <v>24.520032182583979</v>
      </c>
      <c r="AV1516" s="94">
        <f t="shared" si="489"/>
        <v>24.520032182583979</v>
      </c>
    </row>
    <row r="1517" spans="1:48" x14ac:dyDescent="0.3">
      <c r="A1517" s="85" t="str">
        <f>_xlfn.XLOOKUP(B1517,'Country codes &amp; Data sources'!G:G,'Country codes &amp; Data sources'!H:H,,0)</f>
        <v>South Africa</v>
      </c>
      <c r="B1517" s="85" t="s">
        <v>187</v>
      </c>
      <c r="C1517" s="85">
        <v>53145039</v>
      </c>
      <c r="D1517" s="85" t="s">
        <v>332</v>
      </c>
      <c r="E1517" s="86">
        <v>0</v>
      </c>
      <c r="F1517" s="86">
        <v>53873616</v>
      </c>
      <c r="G1517" s="86">
        <v>0</v>
      </c>
      <c r="H1517" s="86"/>
      <c r="I1517" s="86">
        <v>0</v>
      </c>
      <c r="J1517" s="86"/>
      <c r="K1517" s="86">
        <v>0</v>
      </c>
      <c r="L1517" s="86"/>
      <c r="M1517" s="86">
        <v>1284</v>
      </c>
      <c r="N1517" s="86"/>
      <c r="O1517" s="86">
        <v>0</v>
      </c>
      <c r="P1517" s="86">
        <v>57339635.000000015</v>
      </c>
      <c r="Q1517" s="86">
        <v>0</v>
      </c>
      <c r="R1517" s="87">
        <f t="shared" si="487"/>
        <v>0</v>
      </c>
      <c r="T1517" s="87">
        <v>0</v>
      </c>
      <c r="U1517" s="89"/>
      <c r="V1517" s="89">
        <v>0</v>
      </c>
      <c r="W1517" s="90"/>
      <c r="X1517" s="90">
        <v>0</v>
      </c>
      <c r="Y1517" s="90">
        <v>59893885.5</v>
      </c>
      <c r="Z1517" s="90">
        <v>0</v>
      </c>
      <c r="AA1517" s="90">
        <v>0</v>
      </c>
      <c r="AB1517" s="89">
        <f t="shared" si="490"/>
        <v>0</v>
      </c>
      <c r="AC1517" s="89">
        <f t="shared" si="491"/>
        <v>1284</v>
      </c>
      <c r="AD1517" s="89">
        <f t="shared" si="492"/>
        <v>0</v>
      </c>
      <c r="AF1517" s="90" t="str">
        <f t="shared" si="493"/>
        <v/>
      </c>
      <c r="AH1517" s="90" t="str">
        <f t="shared" si="494"/>
        <v/>
      </c>
      <c r="AI1517" s="90">
        <f t="shared" si="495"/>
        <v>0</v>
      </c>
      <c r="AJ1517" s="90" t="str">
        <f t="shared" si="496"/>
        <v/>
      </c>
      <c r="AK1517" s="90" t="str">
        <f t="shared" si="497"/>
        <v/>
      </c>
      <c r="AL1517" s="91"/>
      <c r="AM1517" s="91">
        <f t="shared" si="498"/>
        <v>0</v>
      </c>
      <c r="AN1517" s="92" t="str">
        <f t="shared" si="499"/>
        <v>No change</v>
      </c>
      <c r="AS1517" s="94">
        <f t="shared" si="500"/>
        <v>0</v>
      </c>
      <c r="AT1517" s="94">
        <f t="shared" si="501"/>
        <v>0</v>
      </c>
      <c r="AU1517" s="94">
        <f t="shared" si="488"/>
        <v>0</v>
      </c>
      <c r="AV1517" s="94">
        <f t="shared" si="489"/>
        <v>0</v>
      </c>
    </row>
    <row r="1518" spans="1:48" x14ac:dyDescent="0.3">
      <c r="A1518" s="85" t="str">
        <f>_xlfn.XLOOKUP(B1518,'Country codes &amp; Data sources'!G:G,'Country codes &amp; Data sources'!H:H,,0)</f>
        <v>South Africa</v>
      </c>
      <c r="B1518" s="85" t="s">
        <v>187</v>
      </c>
      <c r="C1518" s="85">
        <v>53145040</v>
      </c>
      <c r="D1518" s="85" t="s">
        <v>333</v>
      </c>
      <c r="E1518" s="86">
        <v>0</v>
      </c>
      <c r="F1518" s="86">
        <v>53873616</v>
      </c>
      <c r="G1518" s="86">
        <v>0</v>
      </c>
      <c r="H1518" s="86"/>
      <c r="I1518" s="86">
        <v>0</v>
      </c>
      <c r="J1518" s="86"/>
      <c r="K1518" s="86">
        <v>0</v>
      </c>
      <c r="L1518" s="86"/>
      <c r="M1518" s="86">
        <v>1284</v>
      </c>
      <c r="N1518" s="86"/>
      <c r="O1518" s="86">
        <v>0</v>
      </c>
      <c r="P1518" s="86">
        <v>57339635.000000015</v>
      </c>
      <c r="Q1518" s="86">
        <v>0</v>
      </c>
      <c r="R1518" s="87">
        <f t="shared" si="487"/>
        <v>0</v>
      </c>
      <c r="T1518" s="87">
        <v>0</v>
      </c>
      <c r="U1518" s="89"/>
      <c r="V1518" s="89">
        <v>0</v>
      </c>
      <c r="W1518" s="90"/>
      <c r="X1518" s="90">
        <v>0</v>
      </c>
      <c r="Y1518" s="90">
        <v>59893885.5</v>
      </c>
      <c r="Z1518" s="90">
        <v>0</v>
      </c>
      <c r="AA1518" s="90">
        <v>0</v>
      </c>
      <c r="AB1518" s="89">
        <f t="shared" si="490"/>
        <v>0</v>
      </c>
      <c r="AC1518" s="89">
        <f t="shared" si="491"/>
        <v>1284</v>
      </c>
      <c r="AD1518" s="89">
        <f t="shared" si="492"/>
        <v>0</v>
      </c>
      <c r="AF1518" s="90" t="str">
        <f t="shared" si="493"/>
        <v/>
      </c>
      <c r="AH1518" s="90" t="str">
        <f t="shared" si="494"/>
        <v/>
      </c>
      <c r="AI1518" s="90">
        <f t="shared" si="495"/>
        <v>0</v>
      </c>
      <c r="AJ1518" s="90" t="str">
        <f t="shared" si="496"/>
        <v/>
      </c>
      <c r="AK1518" s="90" t="str">
        <f t="shared" si="497"/>
        <v/>
      </c>
      <c r="AL1518" s="91"/>
      <c r="AM1518" s="91">
        <f t="shared" si="498"/>
        <v>0</v>
      </c>
      <c r="AN1518" s="92" t="str">
        <f t="shared" si="499"/>
        <v>No change</v>
      </c>
      <c r="AS1518" s="94">
        <f t="shared" si="500"/>
        <v>0</v>
      </c>
      <c r="AT1518" s="94">
        <f t="shared" si="501"/>
        <v>0</v>
      </c>
      <c r="AU1518" s="94">
        <f t="shared" si="488"/>
        <v>0</v>
      </c>
      <c r="AV1518" s="94">
        <f t="shared" si="489"/>
        <v>0</v>
      </c>
    </row>
    <row r="1519" spans="1:48" x14ac:dyDescent="0.3">
      <c r="A1519" s="85" t="str">
        <f>_xlfn.XLOOKUP(B1519,'Country codes &amp; Data sources'!G:G,'Country codes &amp; Data sources'!H:H,,0)</f>
        <v>South Africa</v>
      </c>
      <c r="B1519" s="85" t="s">
        <v>187</v>
      </c>
      <c r="C1519" s="85">
        <v>53145041</v>
      </c>
      <c r="D1519" s="85" t="s">
        <v>334</v>
      </c>
      <c r="E1519" s="86">
        <v>0</v>
      </c>
      <c r="F1519" s="86">
        <v>53873616</v>
      </c>
      <c r="G1519" s="86">
        <v>0</v>
      </c>
      <c r="H1519" s="86"/>
      <c r="I1519" s="86">
        <v>0</v>
      </c>
      <c r="J1519" s="86"/>
      <c r="K1519" s="86">
        <v>0</v>
      </c>
      <c r="L1519" s="86"/>
      <c r="M1519" s="86">
        <v>0</v>
      </c>
      <c r="N1519" s="86"/>
      <c r="O1519" s="86">
        <v>0</v>
      </c>
      <c r="P1519" s="86">
        <v>57339635.000000015</v>
      </c>
      <c r="Q1519" s="86">
        <v>0</v>
      </c>
      <c r="R1519" s="87">
        <f t="shared" si="487"/>
        <v>0</v>
      </c>
      <c r="T1519" s="87">
        <v>0</v>
      </c>
      <c r="U1519" s="89"/>
      <c r="V1519" s="89">
        <v>0</v>
      </c>
      <c r="W1519" s="90"/>
      <c r="X1519" s="90">
        <v>0</v>
      </c>
      <c r="Y1519" s="90">
        <v>59893885.5</v>
      </c>
      <c r="Z1519" s="90">
        <v>0</v>
      </c>
      <c r="AA1519" s="90">
        <v>0</v>
      </c>
      <c r="AB1519" s="89">
        <f t="shared" si="490"/>
        <v>0</v>
      </c>
      <c r="AC1519" s="89">
        <f t="shared" si="491"/>
        <v>0</v>
      </c>
      <c r="AD1519" s="89">
        <f t="shared" si="492"/>
        <v>0</v>
      </c>
      <c r="AF1519" s="90" t="str">
        <f t="shared" si="493"/>
        <v/>
      </c>
      <c r="AH1519" s="90" t="str">
        <f t="shared" si="494"/>
        <v/>
      </c>
      <c r="AI1519" s="90">
        <f t="shared" si="495"/>
        <v>0</v>
      </c>
      <c r="AJ1519" s="90" t="str">
        <f t="shared" si="496"/>
        <v/>
      </c>
      <c r="AK1519" s="90" t="str">
        <f t="shared" si="497"/>
        <v/>
      </c>
      <c r="AL1519" s="91"/>
      <c r="AM1519" s="91">
        <f t="shared" si="498"/>
        <v>0</v>
      </c>
      <c r="AN1519" s="92" t="str">
        <f t="shared" si="499"/>
        <v>No change</v>
      </c>
      <c r="AS1519" s="94">
        <f t="shared" si="500"/>
        <v>0</v>
      </c>
      <c r="AT1519" s="94">
        <f t="shared" si="501"/>
        <v>0</v>
      </c>
      <c r="AU1519" s="94">
        <f t="shared" si="488"/>
        <v>0</v>
      </c>
      <c r="AV1519" s="94">
        <f t="shared" si="489"/>
        <v>0</v>
      </c>
    </row>
    <row r="1520" spans="1:48" x14ac:dyDescent="0.3">
      <c r="A1520" s="85" t="str">
        <f>_xlfn.XLOOKUP(B1520,'Country codes &amp; Data sources'!G:G,'Country codes &amp; Data sources'!H:H,,0)</f>
        <v>South Africa</v>
      </c>
      <c r="B1520" s="85" t="s">
        <v>187</v>
      </c>
      <c r="C1520" s="85">
        <v>53145042</v>
      </c>
      <c r="D1520" s="85" t="s">
        <v>335</v>
      </c>
      <c r="E1520" s="86">
        <v>13642</v>
      </c>
      <c r="F1520" s="86">
        <v>53873616</v>
      </c>
      <c r="G1520" s="86">
        <v>0</v>
      </c>
      <c r="H1520" s="86"/>
      <c r="I1520" s="86">
        <v>14994</v>
      </c>
      <c r="J1520" s="86"/>
      <c r="K1520" s="86">
        <v>15784</v>
      </c>
      <c r="L1520" s="86"/>
      <c r="M1520" s="86">
        <v>15267</v>
      </c>
      <c r="N1520" s="86"/>
      <c r="O1520" s="86">
        <v>0</v>
      </c>
      <c r="P1520" s="86">
        <v>57339635.000000015</v>
      </c>
      <c r="Q1520" s="86">
        <v>0</v>
      </c>
      <c r="R1520" s="87">
        <f t="shared" si="487"/>
        <v>14412</v>
      </c>
      <c r="T1520" s="87">
        <v>0</v>
      </c>
      <c r="U1520" s="89"/>
      <c r="V1520" s="89">
        <v>0</v>
      </c>
      <c r="W1520" s="90"/>
      <c r="X1520" s="90">
        <v>0</v>
      </c>
      <c r="Y1520" s="90">
        <v>59893885.5</v>
      </c>
      <c r="Z1520" s="103">
        <v>17703</v>
      </c>
      <c r="AA1520" s="90">
        <v>14412</v>
      </c>
      <c r="AB1520" s="89">
        <f t="shared" si="490"/>
        <v>15784</v>
      </c>
      <c r="AC1520" s="89">
        <f t="shared" si="491"/>
        <v>15267</v>
      </c>
      <c r="AD1520" s="89">
        <f t="shared" si="492"/>
        <v>17703</v>
      </c>
      <c r="AE1520" s="90">
        <f t="shared" si="502"/>
        <v>13642</v>
      </c>
      <c r="AF1520" s="90">
        <f t="shared" si="493"/>
        <v>2012</v>
      </c>
      <c r="AG1520" s="90">
        <f t="shared" si="503"/>
        <v>14412</v>
      </c>
      <c r="AH1520" s="90" t="str">
        <f t="shared" si="494"/>
        <v>2018 (triag)</v>
      </c>
      <c r="AI1520" s="90">
        <f t="shared" si="495"/>
        <v>17703</v>
      </c>
      <c r="AJ1520" s="90">
        <f t="shared" si="496"/>
        <v>2022</v>
      </c>
      <c r="AK1520" s="90" t="str">
        <f t="shared" si="497"/>
        <v/>
      </c>
      <c r="AL1520" s="91">
        <f>IF(AK1520="Adjust",(_xlfn.XLOOKUP(A1520,'Adj factor'!A:A,'Adj factor'!I:I,,0)*AI1520),'Master DataSheet (Rev)'!AI1520)</f>
        <v>17703</v>
      </c>
      <c r="AM1520" s="91">
        <f t="shared" si="498"/>
        <v>17703</v>
      </c>
      <c r="AN1520" s="92" t="str">
        <f t="shared" si="499"/>
        <v>Increasing</v>
      </c>
      <c r="AS1520" s="94">
        <f t="shared" si="500"/>
        <v>2.5322228231347976</v>
      </c>
      <c r="AT1520" s="94">
        <f t="shared" si="501"/>
        <v>2.513444670514557</v>
      </c>
      <c r="AU1520" s="94">
        <f t="shared" si="488"/>
        <v>2.9557274256317867</v>
      </c>
      <c r="AV1520" s="94">
        <f t="shared" si="489"/>
        <v>2.9557274256317867</v>
      </c>
    </row>
    <row r="1521" spans="1:48" x14ac:dyDescent="0.3">
      <c r="A1521" s="85" t="str">
        <f>_xlfn.XLOOKUP(B1521,'Country codes &amp; Data sources'!G:G,'Country codes &amp; Data sources'!H:H,,0)</f>
        <v>South Africa</v>
      </c>
      <c r="B1521" s="85" t="s">
        <v>187</v>
      </c>
      <c r="C1521" s="85">
        <v>53145043</v>
      </c>
      <c r="D1521" s="85" t="s">
        <v>336</v>
      </c>
      <c r="E1521" s="86">
        <v>7320</v>
      </c>
      <c r="F1521" s="86">
        <v>53873616</v>
      </c>
      <c r="G1521" s="86">
        <v>0</v>
      </c>
      <c r="H1521" s="86"/>
      <c r="I1521" s="86">
        <v>17491</v>
      </c>
      <c r="J1521" s="86"/>
      <c r="K1521" s="86">
        <v>18477</v>
      </c>
      <c r="L1521" s="86"/>
      <c r="M1521" s="86">
        <v>21713</v>
      </c>
      <c r="N1521" s="86"/>
      <c r="O1521" s="86">
        <v>11741</v>
      </c>
      <c r="P1521" s="86">
        <v>57339635.000000015</v>
      </c>
      <c r="Q1521" s="86">
        <v>0</v>
      </c>
      <c r="R1521" s="87">
        <f t="shared" si="487"/>
        <v>1783</v>
      </c>
      <c r="T1521" s="87">
        <v>0</v>
      </c>
      <c r="U1521" s="89"/>
      <c r="V1521" s="89">
        <v>0</v>
      </c>
      <c r="W1521" s="90"/>
      <c r="X1521" s="90">
        <v>0</v>
      </c>
      <c r="Y1521" s="90">
        <v>59893885.5</v>
      </c>
      <c r="Z1521" s="90">
        <v>0</v>
      </c>
      <c r="AA1521" s="90">
        <v>1783</v>
      </c>
      <c r="AB1521" s="89">
        <f t="shared" si="490"/>
        <v>18477</v>
      </c>
      <c r="AC1521" s="89">
        <f t="shared" si="491"/>
        <v>21713</v>
      </c>
      <c r="AD1521" s="89">
        <f t="shared" si="492"/>
        <v>0</v>
      </c>
      <c r="AE1521" s="90">
        <f t="shared" si="502"/>
        <v>7320</v>
      </c>
      <c r="AF1521" s="90">
        <f t="shared" si="493"/>
        <v>2012</v>
      </c>
      <c r="AG1521" s="90">
        <f t="shared" si="503"/>
        <v>1783</v>
      </c>
      <c r="AH1521" s="90" t="str">
        <f t="shared" si="494"/>
        <v>2018 (triag)</v>
      </c>
      <c r="AI1521" s="90">
        <f t="shared" si="495"/>
        <v>1783</v>
      </c>
      <c r="AJ1521" s="90" t="str">
        <f t="shared" si="496"/>
        <v>2018 (triag)</v>
      </c>
      <c r="AK1521" s="90" t="str">
        <f t="shared" si="497"/>
        <v/>
      </c>
      <c r="AL1521" s="91">
        <f>IF(AK1521="Adjust",(_xlfn.XLOOKUP(A1521,'Adj factor'!A:A,'Adj factor'!I:I,,0)*AI1521),'Master DataSheet (Rev)'!AI1521)</f>
        <v>1783</v>
      </c>
      <c r="AM1521" s="91">
        <f t="shared" si="498"/>
        <v>1783</v>
      </c>
      <c r="AN1521" s="92" t="str">
        <f t="shared" si="499"/>
        <v>No change</v>
      </c>
      <c r="AS1521" s="94">
        <f t="shared" si="500"/>
        <v>1.3587356007437852</v>
      </c>
      <c r="AT1521" s="94">
        <f t="shared" si="501"/>
        <v>0.31095419424975401</v>
      </c>
      <c r="AU1521" s="94">
        <f t="shared" si="488"/>
        <v>0.29769315934595691</v>
      </c>
      <c r="AV1521" s="94">
        <f t="shared" si="489"/>
        <v>0.29769315934595691</v>
      </c>
    </row>
    <row r="1522" spans="1:48" x14ac:dyDescent="0.3">
      <c r="A1522" s="85" t="str">
        <f>_xlfn.XLOOKUP(B1522,'Country codes &amp; Data sources'!G:G,'Country codes &amp; Data sources'!H:H,,0)</f>
        <v>South Africa</v>
      </c>
      <c r="B1522" s="85" t="s">
        <v>187</v>
      </c>
      <c r="C1522" s="85">
        <v>53145044</v>
      </c>
      <c r="D1522" s="85" t="s">
        <v>337</v>
      </c>
      <c r="E1522" s="86">
        <v>5554</v>
      </c>
      <c r="F1522" s="86">
        <v>53873616</v>
      </c>
      <c r="G1522" s="86">
        <v>5770</v>
      </c>
      <c r="H1522" s="86"/>
      <c r="I1522" s="86">
        <v>5817</v>
      </c>
      <c r="J1522" s="86"/>
      <c r="K1522" s="86">
        <v>5985</v>
      </c>
      <c r="L1522" s="86"/>
      <c r="M1522" s="86">
        <v>6158</v>
      </c>
      <c r="N1522" s="86"/>
      <c r="O1522" s="86">
        <v>6314</v>
      </c>
      <c r="P1522" s="86">
        <v>57339635.000000015</v>
      </c>
      <c r="Q1522" s="86">
        <v>6433</v>
      </c>
      <c r="R1522" s="87">
        <f t="shared" si="487"/>
        <v>6433</v>
      </c>
      <c r="T1522" s="87">
        <v>6365</v>
      </c>
      <c r="U1522" s="89"/>
      <c r="V1522" s="89">
        <v>0</v>
      </c>
      <c r="W1522" s="90"/>
      <c r="X1522" s="90">
        <v>6586</v>
      </c>
      <c r="Y1522" s="90">
        <v>59893885.5</v>
      </c>
      <c r="Z1522" s="90">
        <v>1348</v>
      </c>
      <c r="AA1522" s="90">
        <v>6155</v>
      </c>
      <c r="AB1522" s="89">
        <f t="shared" si="490"/>
        <v>5985</v>
      </c>
      <c r="AC1522" s="89">
        <f t="shared" si="491"/>
        <v>6433</v>
      </c>
      <c r="AD1522" s="89">
        <f t="shared" si="492"/>
        <v>6586</v>
      </c>
      <c r="AE1522" s="90">
        <f t="shared" si="502"/>
        <v>5770</v>
      </c>
      <c r="AF1522" s="90">
        <f t="shared" si="493"/>
        <v>2013</v>
      </c>
      <c r="AG1522" s="90">
        <f t="shared" si="503"/>
        <v>6433</v>
      </c>
      <c r="AH1522" s="90">
        <f t="shared" si="494"/>
        <v>2018</v>
      </c>
      <c r="AI1522" s="90">
        <f t="shared" si="495"/>
        <v>1348</v>
      </c>
      <c r="AJ1522" s="90">
        <f t="shared" si="496"/>
        <v>2022</v>
      </c>
      <c r="AK1522" s="90" t="str">
        <f t="shared" si="497"/>
        <v>Adjust</v>
      </c>
      <c r="AL1522" s="91">
        <f>IF(AK1522="Adjust",(_xlfn.XLOOKUP(A1522,'Adj factor'!A:A,'Adj factor'!I:I,,0)*AI1522),'Master DataSheet (Rev)'!AI1522)</f>
        <v>1975.7022379517678</v>
      </c>
      <c r="AM1522" s="91">
        <f t="shared" si="498"/>
        <v>6433</v>
      </c>
      <c r="AN1522" s="92" t="str">
        <f t="shared" si="499"/>
        <v>Decreasing</v>
      </c>
      <c r="AS1522" s="94">
        <f t="shared" si="500"/>
        <v>1.0710251934824646</v>
      </c>
      <c r="AT1522" s="94">
        <f t="shared" si="501"/>
        <v>1.1219115712892136</v>
      </c>
      <c r="AU1522" s="94">
        <f t="shared" si="488"/>
        <v>0.32986710103350497</v>
      </c>
      <c r="AV1522" s="94">
        <f t="shared" si="489"/>
        <v>1.074066233355323</v>
      </c>
    </row>
    <row r="1523" spans="1:48" x14ac:dyDescent="0.3">
      <c r="A1523" s="85" t="str">
        <f>_xlfn.XLOOKUP(B1523,'Country codes &amp; Data sources'!G:G,'Country codes &amp; Data sources'!H:H,,0)</f>
        <v>South Africa</v>
      </c>
      <c r="B1523" s="85" t="s">
        <v>187</v>
      </c>
      <c r="C1523" s="85">
        <v>53145045</v>
      </c>
      <c r="D1523" s="85" t="s">
        <v>338</v>
      </c>
      <c r="E1523" s="86">
        <v>4104</v>
      </c>
      <c r="F1523" s="86">
        <v>53873616</v>
      </c>
      <c r="G1523" s="86">
        <v>4625</v>
      </c>
      <c r="H1523" s="86"/>
      <c r="I1523" s="86">
        <v>4687</v>
      </c>
      <c r="J1523" s="86"/>
      <c r="K1523" s="86">
        <v>4785</v>
      </c>
      <c r="L1523" s="86"/>
      <c r="M1523" s="86">
        <v>5484</v>
      </c>
      <c r="N1523" s="86"/>
      <c r="O1523" s="86">
        <v>6948</v>
      </c>
      <c r="P1523" s="86">
        <v>57339635.000000015</v>
      </c>
      <c r="Q1523" s="86">
        <v>0</v>
      </c>
      <c r="R1523" s="87">
        <f t="shared" si="487"/>
        <v>661</v>
      </c>
      <c r="T1523" s="87">
        <v>0</v>
      </c>
      <c r="U1523" s="89"/>
      <c r="V1523" s="89">
        <v>0</v>
      </c>
      <c r="W1523" s="90"/>
      <c r="X1523" s="90">
        <v>6165</v>
      </c>
      <c r="Y1523" s="90">
        <v>59893885.5</v>
      </c>
      <c r="Z1523" s="90">
        <v>1550</v>
      </c>
      <c r="AA1523" s="90">
        <v>661</v>
      </c>
      <c r="AB1523" s="89">
        <f t="shared" si="490"/>
        <v>4785</v>
      </c>
      <c r="AC1523" s="89">
        <f t="shared" si="491"/>
        <v>6948</v>
      </c>
      <c r="AD1523" s="89">
        <f t="shared" si="492"/>
        <v>6165</v>
      </c>
      <c r="AE1523" s="90">
        <f t="shared" si="502"/>
        <v>4625</v>
      </c>
      <c r="AF1523" s="90">
        <f t="shared" si="493"/>
        <v>2013</v>
      </c>
      <c r="AG1523" s="90">
        <f t="shared" si="503"/>
        <v>661</v>
      </c>
      <c r="AH1523" s="90" t="str">
        <f t="shared" si="494"/>
        <v>2018 (triag)</v>
      </c>
      <c r="AI1523" s="90">
        <f t="shared" si="495"/>
        <v>1550</v>
      </c>
      <c r="AJ1523" s="90">
        <f t="shared" si="496"/>
        <v>2022</v>
      </c>
      <c r="AK1523" s="90" t="str">
        <f t="shared" si="497"/>
        <v/>
      </c>
      <c r="AL1523" s="91">
        <f>IF(AK1523="Adjust",(_xlfn.XLOOKUP(A1523,'Adj factor'!A:A,'Adj factor'!I:I,,0)*AI1523),'Master DataSheet (Rev)'!AI1523)</f>
        <v>1550</v>
      </c>
      <c r="AM1523" s="91">
        <f t="shared" si="498"/>
        <v>1550</v>
      </c>
      <c r="AN1523" s="92" t="str">
        <f t="shared" si="499"/>
        <v>Increasing</v>
      </c>
      <c r="AS1523" s="94">
        <f t="shared" si="500"/>
        <v>0.85849073134426324</v>
      </c>
      <c r="AT1523" s="94">
        <f t="shared" si="501"/>
        <v>0.11527802714474897</v>
      </c>
      <c r="AU1523" s="94">
        <f t="shared" si="488"/>
        <v>0.25879102466978871</v>
      </c>
      <c r="AV1523" s="94">
        <f t="shared" si="489"/>
        <v>0.25879102466978871</v>
      </c>
    </row>
    <row r="1524" spans="1:48" x14ac:dyDescent="0.3">
      <c r="A1524" s="85" t="str">
        <f>_xlfn.XLOOKUP(B1524,'Country codes &amp; Data sources'!G:G,'Country codes &amp; Data sources'!H:H,,0)</f>
        <v>South Africa</v>
      </c>
      <c r="B1524" s="85" t="s">
        <v>187</v>
      </c>
      <c r="C1524" s="85">
        <v>53145046</v>
      </c>
      <c r="D1524" s="85" t="s">
        <v>339</v>
      </c>
      <c r="E1524" s="86">
        <v>0</v>
      </c>
      <c r="F1524" s="86">
        <v>53873616</v>
      </c>
      <c r="G1524" s="86">
        <v>0</v>
      </c>
      <c r="H1524" s="86"/>
      <c r="I1524" s="86">
        <v>0</v>
      </c>
      <c r="J1524" s="86"/>
      <c r="K1524" s="86">
        <v>0</v>
      </c>
      <c r="L1524" s="86"/>
      <c r="M1524" s="86">
        <v>8190</v>
      </c>
      <c r="N1524" s="86"/>
      <c r="O1524" s="86">
        <v>8453</v>
      </c>
      <c r="P1524" s="86">
        <v>57339635.000000015</v>
      </c>
      <c r="Q1524" s="86">
        <v>8565</v>
      </c>
      <c r="R1524" s="87">
        <f t="shared" si="487"/>
        <v>8565</v>
      </c>
      <c r="T1524" s="87">
        <v>8742</v>
      </c>
      <c r="U1524" s="89"/>
      <c r="V1524" s="89">
        <v>0</v>
      </c>
      <c r="W1524" s="90"/>
      <c r="X1524" s="90">
        <v>9125</v>
      </c>
      <c r="Y1524" s="90">
        <v>59893885.5</v>
      </c>
      <c r="Z1524" s="90">
        <v>723</v>
      </c>
      <c r="AA1524" s="90">
        <v>0</v>
      </c>
      <c r="AB1524" s="89">
        <f t="shared" si="490"/>
        <v>0</v>
      </c>
      <c r="AC1524" s="89">
        <f t="shared" si="491"/>
        <v>8742</v>
      </c>
      <c r="AD1524" s="89">
        <f t="shared" si="492"/>
        <v>9125</v>
      </c>
      <c r="AF1524" s="90" t="str">
        <f t="shared" si="493"/>
        <v/>
      </c>
      <c r="AG1524" s="90">
        <f t="shared" si="503"/>
        <v>8565</v>
      </c>
      <c r="AH1524" s="90">
        <f t="shared" si="494"/>
        <v>2018</v>
      </c>
      <c r="AI1524" s="90">
        <f t="shared" si="495"/>
        <v>723</v>
      </c>
      <c r="AJ1524" s="90">
        <f t="shared" si="496"/>
        <v>2022</v>
      </c>
      <c r="AK1524" s="90" t="str">
        <f t="shared" si="497"/>
        <v>Adjust</v>
      </c>
      <c r="AL1524" s="91">
        <f>IF(AK1524="Adjust",(_xlfn.XLOOKUP(A1524,'Adj factor'!A:A,'Adj factor'!I:I,,0)*AI1524),'Master DataSheet (Rev)'!AI1524)</f>
        <v>1059.6681884563263</v>
      </c>
      <c r="AM1524" s="91">
        <f t="shared" si="498"/>
        <v>8565</v>
      </c>
      <c r="AN1524" s="92" t="str">
        <f t="shared" si="499"/>
        <v>Decreasing</v>
      </c>
      <c r="AS1524" s="94">
        <f t="shared" si="500"/>
        <v>0</v>
      </c>
      <c r="AT1524" s="94">
        <f t="shared" si="501"/>
        <v>1.4937311686759076</v>
      </c>
      <c r="AU1524" s="94">
        <f t="shared" si="488"/>
        <v>0.17692426858102675</v>
      </c>
      <c r="AV1524" s="94">
        <f t="shared" si="489"/>
        <v>1.4300291137398324</v>
      </c>
    </row>
    <row r="1525" spans="1:48" ht="14.5" x14ac:dyDescent="0.35">
      <c r="A1525" s="85" t="str">
        <f>_xlfn.XLOOKUP(B1525,'Country codes &amp; Data sources'!G:G,'Country codes &amp; Data sources'!H:H,,0)</f>
        <v>Zambia</v>
      </c>
      <c r="B1525" s="85" t="s">
        <v>192</v>
      </c>
      <c r="C1525" s="85">
        <v>14744657.999999998</v>
      </c>
      <c r="D1525" s="85" t="s">
        <v>326</v>
      </c>
      <c r="E1525" s="86">
        <v>0</v>
      </c>
      <c r="F1525" s="86">
        <v>15234975.999999991</v>
      </c>
      <c r="G1525" s="86">
        <v>0</v>
      </c>
      <c r="H1525" s="86">
        <v>15737792.999999998</v>
      </c>
      <c r="I1525" s="86">
        <v>0</v>
      </c>
      <c r="J1525" s="86">
        <v>16248229.999999996</v>
      </c>
      <c r="K1525" s="86">
        <v>0</v>
      </c>
      <c r="L1525" s="86">
        <v>16767760.499999996</v>
      </c>
      <c r="M1525" s="86">
        <v>1514</v>
      </c>
      <c r="N1525" s="86">
        <v>17298053.500000004</v>
      </c>
      <c r="O1525" s="86">
        <v>0</v>
      </c>
      <c r="P1525" s="86">
        <v>17835892.999999981</v>
      </c>
      <c r="Q1525" s="86">
        <v>4021</v>
      </c>
      <c r="R1525" s="87">
        <f t="shared" si="487"/>
        <v>4021</v>
      </c>
      <c r="S1525" s="87">
        <v>18380476.500000004</v>
      </c>
      <c r="T1525" s="87">
        <v>4386</v>
      </c>
      <c r="U1525" s="89">
        <v>18927715.000000022</v>
      </c>
      <c r="V1525" s="89">
        <v>4818</v>
      </c>
      <c r="W1525" s="90">
        <v>19473124.999999996</v>
      </c>
      <c r="X1525" s="90">
        <v>5773</v>
      </c>
      <c r="Y1525" s="90">
        <v>20017675.000000004</v>
      </c>
      <c r="Z1525" s="111">
        <v>6531</v>
      </c>
      <c r="AA1525" s="90">
        <v>2026</v>
      </c>
      <c r="AB1525" s="89">
        <f t="shared" si="490"/>
        <v>0</v>
      </c>
      <c r="AC1525" s="89">
        <f t="shared" si="491"/>
        <v>4386</v>
      </c>
      <c r="AD1525" s="89">
        <f t="shared" si="492"/>
        <v>6531</v>
      </c>
      <c r="AF1525" s="90" t="str">
        <f t="shared" si="493"/>
        <v/>
      </c>
      <c r="AG1525" s="90">
        <f t="shared" si="503"/>
        <v>4021</v>
      </c>
      <c r="AH1525" s="90">
        <f t="shared" si="494"/>
        <v>2018</v>
      </c>
      <c r="AI1525" s="90">
        <f t="shared" si="495"/>
        <v>6531</v>
      </c>
      <c r="AJ1525" s="90">
        <f t="shared" si="496"/>
        <v>2022</v>
      </c>
      <c r="AK1525" s="90" t="str">
        <f t="shared" si="497"/>
        <v/>
      </c>
      <c r="AL1525" s="91">
        <f>IF(AK1525="Adjust",(_xlfn.XLOOKUP(A1525,'Adj factor'!A:A,'Adj factor'!I:I,,0)*AI1525),'Master DataSheet (Rev)'!AI1525)</f>
        <v>6531</v>
      </c>
      <c r="AM1525" s="91">
        <f t="shared" si="498"/>
        <v>6531</v>
      </c>
      <c r="AN1525" s="92" t="str">
        <f t="shared" si="499"/>
        <v>Increasing</v>
      </c>
      <c r="AS1525" s="94">
        <f t="shared" si="500"/>
        <v>0</v>
      </c>
      <c r="AT1525" s="94">
        <f t="shared" si="501"/>
        <v>2.2544427688594029</v>
      </c>
      <c r="AU1525" s="94">
        <f t="shared" si="488"/>
        <v>3.2626166625244934</v>
      </c>
      <c r="AV1525" s="94">
        <f t="shared" si="489"/>
        <v>3.2626166625244934</v>
      </c>
    </row>
    <row r="1526" spans="1:48" x14ac:dyDescent="0.3">
      <c r="A1526" s="85" t="str">
        <f>_xlfn.XLOOKUP(B1526,'Country codes &amp; Data sources'!G:G,'Country codes &amp; Data sources'!H:H,,0)</f>
        <v>Zambia</v>
      </c>
      <c r="B1526" s="85" t="s">
        <v>192</v>
      </c>
      <c r="C1526" s="85">
        <v>14744659</v>
      </c>
      <c r="D1526" s="85" t="s">
        <v>327</v>
      </c>
      <c r="E1526" s="86">
        <v>0</v>
      </c>
      <c r="F1526" s="86">
        <v>15234975.999999991</v>
      </c>
      <c r="G1526" s="86">
        <v>0</v>
      </c>
      <c r="H1526" s="86"/>
      <c r="I1526" s="86">
        <v>0</v>
      </c>
      <c r="J1526" s="86"/>
      <c r="K1526" s="86">
        <v>0</v>
      </c>
      <c r="L1526" s="86"/>
      <c r="M1526" s="86">
        <v>0</v>
      </c>
      <c r="N1526" s="86"/>
      <c r="O1526" s="86">
        <v>0</v>
      </c>
      <c r="P1526" s="86">
        <v>17835892.999999981</v>
      </c>
      <c r="Q1526" s="86">
        <v>0</v>
      </c>
      <c r="R1526" s="87">
        <f t="shared" si="487"/>
        <v>1701</v>
      </c>
      <c r="T1526" s="87">
        <v>0</v>
      </c>
      <c r="U1526" s="89"/>
      <c r="V1526" s="89">
        <v>0</v>
      </c>
      <c r="W1526" s="90"/>
      <c r="X1526" s="90">
        <v>0</v>
      </c>
      <c r="Y1526" s="90">
        <v>20017675.000000004</v>
      </c>
      <c r="Z1526" s="90">
        <v>4709</v>
      </c>
      <c r="AA1526" s="90">
        <v>1701</v>
      </c>
      <c r="AB1526" s="89">
        <f t="shared" si="490"/>
        <v>0</v>
      </c>
      <c r="AC1526" s="89">
        <f t="shared" si="491"/>
        <v>0</v>
      </c>
      <c r="AD1526" s="89">
        <f t="shared" si="492"/>
        <v>4709</v>
      </c>
      <c r="AF1526" s="90" t="str">
        <f t="shared" si="493"/>
        <v/>
      </c>
      <c r="AG1526" s="90">
        <f t="shared" si="503"/>
        <v>1701</v>
      </c>
      <c r="AH1526" s="90" t="str">
        <f t="shared" si="494"/>
        <v>2018 (triag)</v>
      </c>
      <c r="AI1526" s="90">
        <f t="shared" si="495"/>
        <v>4709</v>
      </c>
      <c r="AJ1526" s="90">
        <f t="shared" si="496"/>
        <v>2022</v>
      </c>
      <c r="AK1526" s="90" t="str">
        <f t="shared" si="497"/>
        <v/>
      </c>
      <c r="AL1526" s="91">
        <f>IF(AK1526="Adjust",(_xlfn.XLOOKUP(A1526,'Adj factor'!A:A,'Adj factor'!I:I,,0)*AI1526),'Master DataSheet (Rev)'!AI1526)</f>
        <v>4709</v>
      </c>
      <c r="AM1526" s="91">
        <f t="shared" si="498"/>
        <v>4709</v>
      </c>
      <c r="AN1526" s="92" t="str">
        <f t="shared" si="499"/>
        <v>Increasing</v>
      </c>
      <c r="AS1526" s="94">
        <f t="shared" si="500"/>
        <v>0</v>
      </c>
      <c r="AT1526" s="94">
        <f t="shared" si="501"/>
        <v>0.95369488928869539</v>
      </c>
      <c r="AU1526" s="94">
        <f t="shared" si="488"/>
        <v>2.3524210478989187</v>
      </c>
      <c r="AV1526" s="94">
        <f t="shared" si="489"/>
        <v>2.3524210478989187</v>
      </c>
    </row>
    <row r="1527" spans="1:48" x14ac:dyDescent="0.3">
      <c r="A1527" s="85" t="str">
        <f>_xlfn.XLOOKUP(B1527,'Country codes &amp; Data sources'!G:G,'Country codes &amp; Data sources'!H:H,,0)</f>
        <v>Zambia</v>
      </c>
      <c r="B1527" s="85" t="s">
        <v>192</v>
      </c>
      <c r="C1527" s="85">
        <v>14744660</v>
      </c>
      <c r="D1527" s="85" t="s">
        <v>328</v>
      </c>
      <c r="E1527" s="86">
        <v>0</v>
      </c>
      <c r="F1527" s="86">
        <v>15234975.999999991</v>
      </c>
      <c r="G1527" s="86">
        <v>0</v>
      </c>
      <c r="H1527" s="86"/>
      <c r="I1527" s="86">
        <v>0</v>
      </c>
      <c r="J1527" s="86"/>
      <c r="K1527" s="86">
        <v>0</v>
      </c>
      <c r="L1527" s="86"/>
      <c r="M1527" s="86">
        <v>0</v>
      </c>
      <c r="N1527" s="86"/>
      <c r="O1527" s="86">
        <v>0</v>
      </c>
      <c r="P1527" s="86">
        <v>17835892.999999981</v>
      </c>
      <c r="Q1527" s="86">
        <v>0</v>
      </c>
      <c r="R1527" s="87">
        <f t="shared" si="487"/>
        <v>325</v>
      </c>
      <c r="T1527" s="87">
        <v>0</v>
      </c>
      <c r="U1527" s="89"/>
      <c r="V1527" s="89">
        <v>0</v>
      </c>
      <c r="W1527" s="90"/>
      <c r="X1527" s="90">
        <v>0</v>
      </c>
      <c r="Y1527" s="90">
        <v>20017675.000000004</v>
      </c>
      <c r="Z1527" s="90">
        <v>534</v>
      </c>
      <c r="AA1527" s="90">
        <v>325</v>
      </c>
      <c r="AB1527" s="89">
        <f t="shared" si="490"/>
        <v>0</v>
      </c>
      <c r="AC1527" s="89">
        <f t="shared" si="491"/>
        <v>0</v>
      </c>
      <c r="AD1527" s="89">
        <f t="shared" si="492"/>
        <v>534</v>
      </c>
      <c r="AF1527" s="90" t="str">
        <f t="shared" si="493"/>
        <v/>
      </c>
      <c r="AG1527" s="90">
        <f t="shared" si="503"/>
        <v>325</v>
      </c>
      <c r="AH1527" s="90" t="str">
        <f t="shared" si="494"/>
        <v>2018 (triag)</v>
      </c>
      <c r="AI1527" s="90">
        <f t="shared" si="495"/>
        <v>534</v>
      </c>
      <c r="AJ1527" s="90">
        <f t="shared" si="496"/>
        <v>2022</v>
      </c>
      <c r="AK1527" s="90" t="str">
        <f t="shared" si="497"/>
        <v/>
      </c>
      <c r="AL1527" s="91">
        <f>IF(AK1527="Adjust",(_xlfn.XLOOKUP(A1527,'Adj factor'!A:A,'Adj factor'!I:I,,0)*AI1527),'Master DataSheet (Rev)'!AI1527)</f>
        <v>534</v>
      </c>
      <c r="AM1527" s="91">
        <f t="shared" si="498"/>
        <v>534</v>
      </c>
      <c r="AN1527" s="92" t="str">
        <f t="shared" si="499"/>
        <v>Increasing</v>
      </c>
      <c r="AS1527" s="94">
        <f t="shared" si="500"/>
        <v>0</v>
      </c>
      <c r="AT1527" s="94">
        <f t="shared" si="501"/>
        <v>0.18221683657779308</v>
      </c>
      <c r="AU1527" s="94">
        <f t="shared" si="488"/>
        <v>0.26676424709662833</v>
      </c>
      <c r="AV1527" s="94">
        <f t="shared" si="489"/>
        <v>0.26676424709662833</v>
      </c>
    </row>
    <row r="1528" spans="1:48" ht="14.5" x14ac:dyDescent="0.35">
      <c r="A1528" s="85" t="str">
        <f>_xlfn.XLOOKUP(B1528,'Country codes &amp; Data sources'!G:G,'Country codes &amp; Data sources'!H:H,,0)</f>
        <v>Zambia</v>
      </c>
      <c r="B1528" s="85" t="s">
        <v>192</v>
      </c>
      <c r="C1528" s="85">
        <v>14744661</v>
      </c>
      <c r="D1528" s="85" t="s">
        <v>329</v>
      </c>
      <c r="E1528" s="86">
        <v>0</v>
      </c>
      <c r="F1528" s="86">
        <v>15234975.999999991</v>
      </c>
      <c r="G1528" s="86">
        <v>0</v>
      </c>
      <c r="H1528" s="86"/>
      <c r="I1528" s="86">
        <v>0</v>
      </c>
      <c r="J1528" s="86"/>
      <c r="K1528" s="86">
        <v>0</v>
      </c>
      <c r="L1528" s="86"/>
      <c r="M1528" s="86">
        <v>0</v>
      </c>
      <c r="N1528" s="86"/>
      <c r="O1528" s="86">
        <v>15691</v>
      </c>
      <c r="P1528" s="86">
        <v>17835892.999999981</v>
      </c>
      <c r="Q1528" s="86">
        <v>20746</v>
      </c>
      <c r="R1528" s="87">
        <f t="shared" si="487"/>
        <v>20746</v>
      </c>
      <c r="T1528" s="87">
        <v>23035</v>
      </c>
      <c r="U1528" s="89"/>
      <c r="V1528" s="89">
        <v>27674</v>
      </c>
      <c r="W1528" s="90"/>
      <c r="X1528" s="90">
        <v>32542</v>
      </c>
      <c r="Y1528" s="90">
        <v>20017675.000000004</v>
      </c>
      <c r="Z1528" s="111">
        <v>49975</v>
      </c>
      <c r="AA1528" s="90">
        <v>14516</v>
      </c>
      <c r="AB1528" s="89">
        <f t="shared" si="490"/>
        <v>0</v>
      </c>
      <c r="AC1528" s="89">
        <f t="shared" si="491"/>
        <v>23035</v>
      </c>
      <c r="AD1528" s="89">
        <f t="shared" si="492"/>
        <v>49975</v>
      </c>
      <c r="AF1528" s="90" t="str">
        <f t="shared" si="493"/>
        <v/>
      </c>
      <c r="AG1528" s="90">
        <f t="shared" si="503"/>
        <v>20746</v>
      </c>
      <c r="AH1528" s="90">
        <f t="shared" si="494"/>
        <v>2018</v>
      </c>
      <c r="AI1528" s="90">
        <f t="shared" si="495"/>
        <v>49975</v>
      </c>
      <c r="AJ1528" s="90">
        <f t="shared" si="496"/>
        <v>2022</v>
      </c>
      <c r="AK1528" s="90" t="str">
        <f t="shared" si="497"/>
        <v/>
      </c>
      <c r="AL1528" s="91">
        <f>IF(AK1528="Adjust",(_xlfn.XLOOKUP(A1528,'Adj factor'!A:A,'Adj factor'!I:I,,0)*AI1528),'Master DataSheet (Rev)'!AI1528)</f>
        <v>49975</v>
      </c>
      <c r="AM1528" s="91">
        <f t="shared" si="498"/>
        <v>49975</v>
      </c>
      <c r="AN1528" s="92" t="str">
        <f t="shared" si="499"/>
        <v>Increasing</v>
      </c>
      <c r="AS1528" s="94">
        <f t="shared" si="500"/>
        <v>0</v>
      </c>
      <c r="AT1528" s="94">
        <f t="shared" si="501"/>
        <v>11.63160151274737</v>
      </c>
      <c r="AU1528" s="94">
        <f t="shared" si="488"/>
        <v>24.965436795232208</v>
      </c>
      <c r="AV1528" s="94">
        <f t="shared" si="489"/>
        <v>24.965436795232208</v>
      </c>
    </row>
    <row r="1529" spans="1:48" x14ac:dyDescent="0.3">
      <c r="A1529" s="85" t="str">
        <f>_xlfn.XLOOKUP(B1529,'Country codes &amp; Data sources'!G:G,'Country codes &amp; Data sources'!H:H,,0)</f>
        <v>Zambia</v>
      </c>
      <c r="B1529" s="85" t="s">
        <v>192</v>
      </c>
      <c r="C1529" s="85">
        <v>14744662</v>
      </c>
      <c r="D1529" s="85" t="s">
        <v>330</v>
      </c>
      <c r="E1529" s="86">
        <v>0</v>
      </c>
      <c r="F1529" s="86">
        <v>15234975.999999991</v>
      </c>
      <c r="G1529" s="86">
        <v>0</v>
      </c>
      <c r="H1529" s="86"/>
      <c r="I1529" s="86">
        <v>0</v>
      </c>
      <c r="J1529" s="86"/>
      <c r="K1529" s="86">
        <v>0</v>
      </c>
      <c r="L1529" s="86"/>
      <c r="M1529" s="86">
        <v>0</v>
      </c>
      <c r="N1529" s="86"/>
      <c r="O1529" s="86">
        <v>15691</v>
      </c>
      <c r="P1529" s="86">
        <v>17835892.999999981</v>
      </c>
      <c r="Q1529" s="86">
        <v>20746</v>
      </c>
      <c r="R1529" s="87">
        <f t="shared" si="487"/>
        <v>20746</v>
      </c>
      <c r="T1529" s="87">
        <v>23035</v>
      </c>
      <c r="U1529" s="89"/>
      <c r="V1529" s="89">
        <v>27674</v>
      </c>
      <c r="W1529" s="90"/>
      <c r="X1529" s="90">
        <v>32542</v>
      </c>
      <c r="Y1529" s="90">
        <v>20017675.000000004</v>
      </c>
      <c r="Z1529" s="90">
        <v>33779</v>
      </c>
      <c r="AA1529" s="90">
        <v>14516</v>
      </c>
      <c r="AB1529" s="89">
        <f t="shared" si="490"/>
        <v>0</v>
      </c>
      <c r="AC1529" s="89">
        <f t="shared" si="491"/>
        <v>23035</v>
      </c>
      <c r="AD1529" s="89">
        <f t="shared" si="492"/>
        <v>33779</v>
      </c>
      <c r="AF1529" s="90" t="str">
        <f t="shared" si="493"/>
        <v/>
      </c>
      <c r="AG1529" s="90">
        <f t="shared" si="503"/>
        <v>20746</v>
      </c>
      <c r="AH1529" s="90">
        <f t="shared" si="494"/>
        <v>2018</v>
      </c>
      <c r="AI1529" s="90">
        <f t="shared" si="495"/>
        <v>33779</v>
      </c>
      <c r="AJ1529" s="90">
        <f t="shared" si="496"/>
        <v>2022</v>
      </c>
      <c r="AK1529" s="90" t="str">
        <f t="shared" si="497"/>
        <v/>
      </c>
      <c r="AL1529" s="91">
        <f>IF(AK1529="Adjust",(_xlfn.XLOOKUP(A1529,'Adj factor'!A:A,'Adj factor'!I:I,,0)*AI1529),'Master DataSheet (Rev)'!AI1529)</f>
        <v>33779</v>
      </c>
      <c r="AM1529" s="91">
        <f t="shared" si="498"/>
        <v>33779</v>
      </c>
      <c r="AN1529" s="92" t="str">
        <f t="shared" si="499"/>
        <v>Increasing</v>
      </c>
      <c r="AS1529" s="94">
        <f t="shared" si="500"/>
        <v>0</v>
      </c>
      <c r="AT1529" s="94">
        <f t="shared" si="501"/>
        <v>11.63160151274737</v>
      </c>
      <c r="AU1529" s="94">
        <f t="shared" si="488"/>
        <v>16.874587083664807</v>
      </c>
      <c r="AV1529" s="94">
        <f t="shared" si="489"/>
        <v>16.874587083664807</v>
      </c>
    </row>
    <row r="1530" spans="1:48" x14ac:dyDescent="0.3">
      <c r="A1530" s="85" t="str">
        <f>_xlfn.XLOOKUP(B1530,'Country codes &amp; Data sources'!G:G,'Country codes &amp; Data sources'!H:H,,0)</f>
        <v>Zambia</v>
      </c>
      <c r="B1530" s="85" t="s">
        <v>192</v>
      </c>
      <c r="C1530" s="85">
        <v>14744663</v>
      </c>
      <c r="D1530" s="85" t="s">
        <v>331</v>
      </c>
      <c r="E1530" s="86">
        <v>0</v>
      </c>
      <c r="F1530" s="86">
        <v>15234975.999999991</v>
      </c>
      <c r="G1530" s="86">
        <v>0</v>
      </c>
      <c r="H1530" s="86"/>
      <c r="I1530" s="86">
        <v>0</v>
      </c>
      <c r="J1530" s="86"/>
      <c r="K1530" s="86">
        <v>0</v>
      </c>
      <c r="L1530" s="86"/>
      <c r="M1530" s="86">
        <v>0</v>
      </c>
      <c r="N1530" s="86"/>
      <c r="O1530" s="86">
        <v>0</v>
      </c>
      <c r="P1530" s="86">
        <v>17835892.999999981</v>
      </c>
      <c r="Q1530" s="86">
        <v>0</v>
      </c>
      <c r="R1530" s="87">
        <f t="shared" si="487"/>
        <v>0</v>
      </c>
      <c r="T1530" s="87">
        <v>0</v>
      </c>
      <c r="U1530" s="89"/>
      <c r="V1530" s="89">
        <v>0</v>
      </c>
      <c r="W1530" s="90"/>
      <c r="X1530" s="90">
        <v>0</v>
      </c>
      <c r="Y1530" s="90">
        <v>20017675.000000004</v>
      </c>
      <c r="Z1530" s="90">
        <v>0</v>
      </c>
      <c r="AA1530" s="90">
        <v>0</v>
      </c>
      <c r="AB1530" s="89">
        <f t="shared" si="490"/>
        <v>0</v>
      </c>
      <c r="AC1530" s="89">
        <f t="shared" si="491"/>
        <v>0</v>
      </c>
      <c r="AD1530" s="89">
        <f t="shared" si="492"/>
        <v>0</v>
      </c>
      <c r="AF1530" s="90" t="str">
        <f t="shared" si="493"/>
        <v/>
      </c>
      <c r="AH1530" s="90" t="str">
        <f t="shared" si="494"/>
        <v/>
      </c>
      <c r="AI1530" s="90">
        <f t="shared" si="495"/>
        <v>0</v>
      </c>
      <c r="AJ1530" s="90" t="str">
        <f t="shared" si="496"/>
        <v/>
      </c>
      <c r="AK1530" s="90" t="str">
        <f t="shared" si="497"/>
        <v/>
      </c>
      <c r="AL1530" s="91"/>
      <c r="AM1530" s="91">
        <f t="shared" si="498"/>
        <v>0</v>
      </c>
      <c r="AN1530" s="92" t="str">
        <f t="shared" si="499"/>
        <v>No change</v>
      </c>
      <c r="AS1530" s="94">
        <f t="shared" si="500"/>
        <v>0</v>
      </c>
      <c r="AT1530" s="94">
        <f t="shared" si="501"/>
        <v>0</v>
      </c>
      <c r="AU1530" s="94">
        <f t="shared" si="488"/>
        <v>0</v>
      </c>
      <c r="AV1530" s="94">
        <f t="shared" si="489"/>
        <v>0</v>
      </c>
    </row>
    <row r="1531" spans="1:48" x14ac:dyDescent="0.3">
      <c r="A1531" s="85" t="str">
        <f>_xlfn.XLOOKUP(B1531,'Country codes &amp; Data sources'!G:G,'Country codes &amp; Data sources'!H:H,,0)</f>
        <v>Zambia</v>
      </c>
      <c r="B1531" s="85" t="s">
        <v>192</v>
      </c>
      <c r="C1531" s="85">
        <v>14744664</v>
      </c>
      <c r="D1531" s="85" t="s">
        <v>332</v>
      </c>
      <c r="E1531" s="86">
        <v>0</v>
      </c>
      <c r="F1531" s="86">
        <v>15234975.999999991</v>
      </c>
      <c r="G1531" s="86">
        <v>2773</v>
      </c>
      <c r="H1531" s="86"/>
      <c r="I1531" s="86">
        <v>0</v>
      </c>
      <c r="J1531" s="86"/>
      <c r="K1531" s="86">
        <v>0</v>
      </c>
      <c r="L1531" s="86"/>
      <c r="M1531" s="86">
        <v>3333</v>
      </c>
      <c r="N1531" s="86"/>
      <c r="O1531" s="86">
        <v>0</v>
      </c>
      <c r="P1531" s="86">
        <v>17835892.999999981</v>
      </c>
      <c r="Q1531" s="86">
        <v>2137</v>
      </c>
      <c r="R1531" s="87">
        <f t="shared" si="487"/>
        <v>3432</v>
      </c>
      <c r="T1531" s="87">
        <v>3223</v>
      </c>
      <c r="U1531" s="89"/>
      <c r="V1531" s="89">
        <v>3312</v>
      </c>
      <c r="W1531" s="90"/>
      <c r="X1531" s="90">
        <v>3746</v>
      </c>
      <c r="Y1531" s="90">
        <v>20017675.000000004</v>
      </c>
      <c r="Z1531" s="90">
        <v>9202</v>
      </c>
      <c r="AA1531" s="90">
        <v>3432</v>
      </c>
      <c r="AB1531" s="89">
        <f t="shared" si="490"/>
        <v>2773</v>
      </c>
      <c r="AC1531" s="89">
        <f t="shared" si="491"/>
        <v>3333</v>
      </c>
      <c r="AD1531" s="89">
        <f t="shared" si="492"/>
        <v>9202</v>
      </c>
      <c r="AE1531" s="90">
        <f t="shared" si="502"/>
        <v>2773</v>
      </c>
      <c r="AF1531" s="90">
        <f t="shared" si="493"/>
        <v>2013</v>
      </c>
      <c r="AG1531" s="90">
        <f t="shared" si="503"/>
        <v>3432</v>
      </c>
      <c r="AH1531" s="90" t="str">
        <f t="shared" si="494"/>
        <v>2018 (triag)</v>
      </c>
      <c r="AI1531" s="90">
        <f t="shared" si="495"/>
        <v>9202</v>
      </c>
      <c r="AJ1531" s="90">
        <f t="shared" si="496"/>
        <v>2022</v>
      </c>
      <c r="AK1531" s="90" t="str">
        <f t="shared" si="497"/>
        <v/>
      </c>
      <c r="AL1531" s="91">
        <f>IF(AK1531="Adjust",(_xlfn.XLOOKUP(A1531,'Adj factor'!A:A,'Adj factor'!I:I,,0)*AI1531),'Master DataSheet (Rev)'!AI1531)</f>
        <v>9202</v>
      </c>
      <c r="AM1531" s="91">
        <f t="shared" si="498"/>
        <v>9202</v>
      </c>
      <c r="AN1531" s="92" t="str">
        <f t="shared" si="499"/>
        <v>Increasing</v>
      </c>
      <c r="AS1531" s="94">
        <f t="shared" si="500"/>
        <v>1.8201538354901259</v>
      </c>
      <c r="AT1531" s="94">
        <f t="shared" si="501"/>
        <v>1.9242097942614949</v>
      </c>
      <c r="AU1531" s="94">
        <f t="shared" si="488"/>
        <v>4.5969374565227969</v>
      </c>
      <c r="AV1531" s="94">
        <f t="shared" si="489"/>
        <v>4.5969374565227969</v>
      </c>
    </row>
    <row r="1532" spans="1:48" x14ac:dyDescent="0.3">
      <c r="A1532" s="85" t="str">
        <f>_xlfn.XLOOKUP(B1532,'Country codes &amp; Data sources'!G:G,'Country codes &amp; Data sources'!H:H,,0)</f>
        <v>Zambia</v>
      </c>
      <c r="B1532" s="85" t="s">
        <v>192</v>
      </c>
      <c r="C1532" s="85">
        <v>14744665</v>
      </c>
      <c r="D1532" s="85" t="s">
        <v>333</v>
      </c>
      <c r="E1532" s="86">
        <v>0</v>
      </c>
      <c r="F1532" s="86">
        <v>15234975.999999991</v>
      </c>
      <c r="G1532" s="86">
        <v>2773</v>
      </c>
      <c r="H1532" s="86"/>
      <c r="I1532" s="86">
        <v>0</v>
      </c>
      <c r="J1532" s="86"/>
      <c r="K1532" s="86">
        <v>0</v>
      </c>
      <c r="L1532" s="86"/>
      <c r="M1532" s="86">
        <v>192</v>
      </c>
      <c r="N1532" s="86"/>
      <c r="O1532" s="86">
        <v>0</v>
      </c>
      <c r="P1532" s="86">
        <v>17835892.999999981</v>
      </c>
      <c r="Q1532" s="86">
        <v>2137</v>
      </c>
      <c r="R1532" s="87">
        <f t="shared" si="487"/>
        <v>3432</v>
      </c>
      <c r="T1532" s="87">
        <v>3223</v>
      </c>
      <c r="U1532" s="89"/>
      <c r="V1532" s="89">
        <v>3312</v>
      </c>
      <c r="W1532" s="90"/>
      <c r="X1532" s="90">
        <v>3746</v>
      </c>
      <c r="Y1532" s="90">
        <v>20017675.000000004</v>
      </c>
      <c r="Z1532" s="90">
        <v>9202</v>
      </c>
      <c r="AA1532" s="90">
        <v>3432</v>
      </c>
      <c r="AB1532" s="89">
        <f t="shared" si="490"/>
        <v>2773</v>
      </c>
      <c r="AC1532" s="89">
        <f t="shared" si="491"/>
        <v>3223</v>
      </c>
      <c r="AD1532" s="89">
        <f t="shared" si="492"/>
        <v>9202</v>
      </c>
      <c r="AE1532" s="90">
        <f t="shared" si="502"/>
        <v>2773</v>
      </c>
      <c r="AF1532" s="90">
        <f t="shared" si="493"/>
        <v>2013</v>
      </c>
      <c r="AG1532" s="90">
        <f t="shared" si="503"/>
        <v>3432</v>
      </c>
      <c r="AH1532" s="90" t="str">
        <f t="shared" si="494"/>
        <v>2018 (triag)</v>
      </c>
      <c r="AI1532" s="90">
        <f t="shared" si="495"/>
        <v>9202</v>
      </c>
      <c r="AJ1532" s="90">
        <f t="shared" si="496"/>
        <v>2022</v>
      </c>
      <c r="AK1532" s="90" t="str">
        <f t="shared" si="497"/>
        <v/>
      </c>
      <c r="AL1532" s="91">
        <f>IF(AK1532="Adjust",(_xlfn.XLOOKUP(A1532,'Adj factor'!A:A,'Adj factor'!I:I,,0)*AI1532),'Master DataSheet (Rev)'!AI1532)</f>
        <v>9202</v>
      </c>
      <c r="AM1532" s="91">
        <f t="shared" si="498"/>
        <v>9202</v>
      </c>
      <c r="AN1532" s="92" t="str">
        <f t="shared" si="499"/>
        <v>Increasing</v>
      </c>
      <c r="AS1532" s="94">
        <f t="shared" si="500"/>
        <v>1.8201538354901259</v>
      </c>
      <c r="AT1532" s="94">
        <f t="shared" si="501"/>
        <v>1.9242097942614949</v>
      </c>
      <c r="AU1532" s="94">
        <f t="shared" si="488"/>
        <v>4.5969374565227969</v>
      </c>
      <c r="AV1532" s="94">
        <f t="shared" si="489"/>
        <v>4.5969374565227969</v>
      </c>
    </row>
    <row r="1533" spans="1:48" x14ac:dyDescent="0.3">
      <c r="A1533" s="85" t="str">
        <f>_xlfn.XLOOKUP(B1533,'Country codes &amp; Data sources'!G:G,'Country codes &amp; Data sources'!H:H,,0)</f>
        <v>Zambia</v>
      </c>
      <c r="B1533" s="85" t="s">
        <v>192</v>
      </c>
      <c r="C1533" s="85">
        <v>14744666</v>
      </c>
      <c r="D1533" s="85" t="s">
        <v>334</v>
      </c>
      <c r="E1533" s="86">
        <v>0</v>
      </c>
      <c r="F1533" s="86">
        <v>15234975.999999991</v>
      </c>
      <c r="G1533" s="86">
        <v>0</v>
      </c>
      <c r="H1533" s="86"/>
      <c r="I1533" s="86">
        <v>0</v>
      </c>
      <c r="J1533" s="86"/>
      <c r="K1533" s="86">
        <v>0</v>
      </c>
      <c r="L1533" s="86"/>
      <c r="M1533" s="86">
        <v>0</v>
      </c>
      <c r="N1533" s="86"/>
      <c r="O1533" s="86">
        <v>0</v>
      </c>
      <c r="P1533" s="86">
        <v>17835892.999999981</v>
      </c>
      <c r="Q1533" s="86">
        <v>0</v>
      </c>
      <c r="R1533" s="87">
        <f t="shared" si="487"/>
        <v>0</v>
      </c>
      <c r="T1533" s="87">
        <v>0</v>
      </c>
      <c r="U1533" s="89"/>
      <c r="V1533" s="89">
        <v>0</v>
      </c>
      <c r="W1533" s="90"/>
      <c r="X1533" s="90">
        <v>0</v>
      </c>
      <c r="Y1533" s="90">
        <v>20017675.000000004</v>
      </c>
      <c r="Z1533" s="90">
        <v>0</v>
      </c>
      <c r="AA1533" s="90">
        <v>0</v>
      </c>
      <c r="AB1533" s="89">
        <f t="shared" si="490"/>
        <v>0</v>
      </c>
      <c r="AC1533" s="89">
        <f t="shared" si="491"/>
        <v>0</v>
      </c>
      <c r="AD1533" s="89">
        <f t="shared" si="492"/>
        <v>0</v>
      </c>
      <c r="AF1533" s="90" t="str">
        <f t="shared" si="493"/>
        <v/>
      </c>
      <c r="AH1533" s="90" t="str">
        <f t="shared" si="494"/>
        <v/>
      </c>
      <c r="AI1533" s="90">
        <f t="shared" si="495"/>
        <v>0</v>
      </c>
      <c r="AJ1533" s="90" t="str">
        <f t="shared" si="496"/>
        <v/>
      </c>
      <c r="AK1533" s="90" t="str">
        <f t="shared" si="497"/>
        <v/>
      </c>
      <c r="AL1533" s="91"/>
      <c r="AM1533" s="91">
        <f t="shared" si="498"/>
        <v>0</v>
      </c>
      <c r="AN1533" s="92" t="str">
        <f t="shared" si="499"/>
        <v>No change</v>
      </c>
      <c r="AS1533" s="94">
        <f t="shared" si="500"/>
        <v>0</v>
      </c>
      <c r="AT1533" s="94">
        <f t="shared" si="501"/>
        <v>0</v>
      </c>
      <c r="AU1533" s="94">
        <f t="shared" si="488"/>
        <v>0</v>
      </c>
      <c r="AV1533" s="94">
        <f t="shared" si="489"/>
        <v>0</v>
      </c>
    </row>
    <row r="1534" spans="1:48" ht="14.5" x14ac:dyDescent="0.35">
      <c r="A1534" s="85" t="str">
        <f>_xlfn.XLOOKUP(B1534,'Country codes &amp; Data sources'!G:G,'Country codes &amp; Data sources'!H:H,,0)</f>
        <v>Zambia</v>
      </c>
      <c r="B1534" s="85" t="s">
        <v>192</v>
      </c>
      <c r="C1534" s="85">
        <v>14744667</v>
      </c>
      <c r="D1534" s="85" t="s">
        <v>335</v>
      </c>
      <c r="E1534" s="86">
        <v>409</v>
      </c>
      <c r="F1534" s="86">
        <v>15234975.999999991</v>
      </c>
      <c r="G1534" s="86">
        <v>0</v>
      </c>
      <c r="H1534" s="86"/>
      <c r="I1534" s="86">
        <v>0</v>
      </c>
      <c r="J1534" s="86"/>
      <c r="K1534" s="86">
        <v>0</v>
      </c>
      <c r="L1534" s="86"/>
      <c r="M1534" s="86">
        <v>1159</v>
      </c>
      <c r="N1534" s="86"/>
      <c r="O1534" s="86">
        <v>0</v>
      </c>
      <c r="P1534" s="86">
        <v>17835892.999999981</v>
      </c>
      <c r="Q1534" s="86">
        <v>727</v>
      </c>
      <c r="R1534" s="87">
        <f t="shared" si="487"/>
        <v>727</v>
      </c>
      <c r="T1534" s="87">
        <v>856</v>
      </c>
      <c r="U1534" s="89"/>
      <c r="V1534" s="89">
        <v>1082</v>
      </c>
      <c r="W1534" s="90"/>
      <c r="X1534" s="90">
        <v>1376</v>
      </c>
      <c r="Y1534" s="90">
        <v>20017675.000000004</v>
      </c>
      <c r="Z1534" s="111">
        <v>1425</v>
      </c>
      <c r="AA1534" s="90">
        <v>424</v>
      </c>
      <c r="AB1534" s="89">
        <f t="shared" si="490"/>
        <v>409</v>
      </c>
      <c r="AC1534" s="89">
        <f t="shared" si="491"/>
        <v>1159</v>
      </c>
      <c r="AD1534" s="89">
        <f t="shared" si="492"/>
        <v>1425</v>
      </c>
      <c r="AE1534" s="90">
        <f t="shared" si="502"/>
        <v>409</v>
      </c>
      <c r="AF1534" s="90">
        <f t="shared" si="493"/>
        <v>2012</v>
      </c>
      <c r="AG1534" s="90">
        <f t="shared" si="503"/>
        <v>727</v>
      </c>
      <c r="AH1534" s="90">
        <f t="shared" si="494"/>
        <v>2018</v>
      </c>
      <c r="AI1534" s="90">
        <f t="shared" si="495"/>
        <v>1425</v>
      </c>
      <c r="AJ1534" s="90">
        <f t="shared" si="496"/>
        <v>2022</v>
      </c>
      <c r="AK1534" s="90" t="str">
        <f t="shared" si="497"/>
        <v/>
      </c>
      <c r="AL1534" s="91">
        <f>IF(AK1534="Adjust",(_xlfn.XLOOKUP(A1534,'Adj factor'!A:A,'Adj factor'!I:I,,0)*AI1534),'Master DataSheet (Rev)'!AI1534)</f>
        <v>1425</v>
      </c>
      <c r="AM1534" s="91">
        <f t="shared" si="498"/>
        <v>1425</v>
      </c>
      <c r="AN1534" s="92" t="str">
        <f t="shared" si="499"/>
        <v>Increasing</v>
      </c>
      <c r="AS1534" s="94">
        <f t="shared" si="500"/>
        <v>0.26846120400846069</v>
      </c>
      <c r="AT1534" s="94">
        <f t="shared" si="501"/>
        <v>0.40760504674478637</v>
      </c>
      <c r="AU1534" s="94">
        <f t="shared" si="488"/>
        <v>0.71187088410617105</v>
      </c>
      <c r="AV1534" s="94">
        <f t="shared" si="489"/>
        <v>0.71187088410617105</v>
      </c>
    </row>
    <row r="1535" spans="1:48" x14ac:dyDescent="0.3">
      <c r="A1535" s="85" t="str">
        <f>_xlfn.XLOOKUP(B1535,'Country codes &amp; Data sources'!G:G,'Country codes &amp; Data sources'!H:H,,0)</f>
        <v>Zambia</v>
      </c>
      <c r="B1535" s="85" t="s">
        <v>192</v>
      </c>
      <c r="C1535" s="85">
        <v>14744668</v>
      </c>
      <c r="D1535" s="85" t="s">
        <v>336</v>
      </c>
      <c r="E1535" s="86">
        <v>814</v>
      </c>
      <c r="F1535" s="86">
        <v>15234975.999999991</v>
      </c>
      <c r="G1535" s="86">
        <v>0</v>
      </c>
      <c r="H1535" s="86"/>
      <c r="I1535" s="86">
        <v>0</v>
      </c>
      <c r="J1535" s="86"/>
      <c r="K1535" s="86">
        <v>0</v>
      </c>
      <c r="L1535" s="86"/>
      <c r="M1535" s="86">
        <v>0</v>
      </c>
      <c r="N1535" s="86"/>
      <c r="O1535" s="86">
        <v>0</v>
      </c>
      <c r="P1535" s="86">
        <v>17835892.999999981</v>
      </c>
      <c r="Q1535" s="86">
        <v>1132</v>
      </c>
      <c r="R1535" s="87">
        <f t="shared" ref="R1535:R1552" si="504">MAX(Q1535,AA1535)</f>
        <v>1284</v>
      </c>
      <c r="T1535" s="87">
        <v>1312</v>
      </c>
      <c r="U1535" s="89"/>
      <c r="V1535" s="89">
        <v>1544</v>
      </c>
      <c r="W1535" s="90"/>
      <c r="X1535" s="90">
        <v>1944</v>
      </c>
      <c r="Y1535" s="90">
        <v>20017675.000000004</v>
      </c>
      <c r="Z1535" s="90">
        <v>1800</v>
      </c>
      <c r="AA1535" s="90">
        <v>1284</v>
      </c>
      <c r="AB1535" s="89">
        <f t="shared" si="490"/>
        <v>814</v>
      </c>
      <c r="AC1535" s="89">
        <f t="shared" si="491"/>
        <v>1312</v>
      </c>
      <c r="AD1535" s="89">
        <f t="shared" si="492"/>
        <v>1944</v>
      </c>
      <c r="AE1535" s="90">
        <f t="shared" si="502"/>
        <v>814</v>
      </c>
      <c r="AF1535" s="90">
        <f t="shared" si="493"/>
        <v>2012</v>
      </c>
      <c r="AG1535" s="90">
        <f t="shared" si="503"/>
        <v>1284</v>
      </c>
      <c r="AH1535" s="90" t="str">
        <f t="shared" si="494"/>
        <v>2018 (triag)</v>
      </c>
      <c r="AI1535" s="90">
        <f t="shared" si="495"/>
        <v>1800</v>
      </c>
      <c r="AJ1535" s="90">
        <f t="shared" si="496"/>
        <v>2022</v>
      </c>
      <c r="AK1535" s="90" t="str">
        <f t="shared" si="497"/>
        <v/>
      </c>
      <c r="AL1535" s="91">
        <f>IF(AK1535="Adjust",(_xlfn.XLOOKUP(A1535,'Adj factor'!A:A,'Adj factor'!I:I,,0)*AI1535),'Master DataSheet (Rev)'!AI1535)</f>
        <v>1800</v>
      </c>
      <c r="AM1535" s="91">
        <f t="shared" si="498"/>
        <v>1800</v>
      </c>
      <c r="AN1535" s="92" t="str">
        <f t="shared" si="499"/>
        <v>Increasing</v>
      </c>
      <c r="AS1535" s="94">
        <f t="shared" si="500"/>
        <v>0.53429687056940589</v>
      </c>
      <c r="AT1535" s="94">
        <f t="shared" si="501"/>
        <v>0.71989667127965018</v>
      </c>
      <c r="AU1535" s="94">
        <f t="shared" si="488"/>
        <v>0.89920532729200553</v>
      </c>
      <c r="AV1535" s="94">
        <f t="shared" si="489"/>
        <v>0.89920532729200553</v>
      </c>
    </row>
    <row r="1536" spans="1:48" ht="14.5" x14ac:dyDescent="0.35">
      <c r="A1536" s="85" t="str">
        <f>_xlfn.XLOOKUP(B1536,'Country codes &amp; Data sources'!G:G,'Country codes &amp; Data sources'!H:H,,0)</f>
        <v>Zambia</v>
      </c>
      <c r="B1536" s="85" t="s">
        <v>192</v>
      </c>
      <c r="C1536" s="85">
        <v>14744669</v>
      </c>
      <c r="D1536" s="85" t="s">
        <v>337</v>
      </c>
      <c r="E1536" s="86">
        <v>0</v>
      </c>
      <c r="F1536" s="86">
        <v>15234975.999999991</v>
      </c>
      <c r="G1536" s="86">
        <v>0</v>
      </c>
      <c r="H1536" s="86"/>
      <c r="I1536" s="86">
        <v>0</v>
      </c>
      <c r="J1536" s="86"/>
      <c r="K1536" s="86">
        <v>0</v>
      </c>
      <c r="L1536" s="86"/>
      <c r="M1536" s="86">
        <v>312</v>
      </c>
      <c r="N1536" s="86"/>
      <c r="O1536" s="86">
        <v>0</v>
      </c>
      <c r="P1536" s="86">
        <v>17835892.999999981</v>
      </c>
      <c r="Q1536" s="86">
        <v>160</v>
      </c>
      <c r="R1536" s="87">
        <f t="shared" si="504"/>
        <v>160</v>
      </c>
      <c r="T1536" s="87">
        <v>180</v>
      </c>
      <c r="U1536" s="89"/>
      <c r="V1536" s="89">
        <v>205</v>
      </c>
      <c r="W1536" s="90"/>
      <c r="X1536" s="90">
        <v>269</v>
      </c>
      <c r="Y1536" s="90">
        <v>20017675.000000004</v>
      </c>
      <c r="Z1536" s="111">
        <v>306</v>
      </c>
      <c r="AA1536" s="90">
        <v>43</v>
      </c>
      <c r="AB1536" s="89">
        <f t="shared" si="490"/>
        <v>0</v>
      </c>
      <c r="AC1536" s="89">
        <f t="shared" si="491"/>
        <v>312</v>
      </c>
      <c r="AD1536" s="89">
        <f t="shared" si="492"/>
        <v>306</v>
      </c>
      <c r="AF1536" s="90" t="str">
        <f t="shared" si="493"/>
        <v/>
      </c>
      <c r="AG1536" s="90">
        <f t="shared" si="503"/>
        <v>160</v>
      </c>
      <c r="AH1536" s="90">
        <f t="shared" si="494"/>
        <v>2018</v>
      </c>
      <c r="AI1536" s="90">
        <f t="shared" si="495"/>
        <v>306</v>
      </c>
      <c r="AJ1536" s="90">
        <f t="shared" si="496"/>
        <v>2022</v>
      </c>
      <c r="AK1536" s="90" t="str">
        <f t="shared" si="497"/>
        <v/>
      </c>
      <c r="AL1536" s="91">
        <f>IF(AK1536="Adjust",(_xlfn.XLOOKUP(A1536,'Adj factor'!A:A,'Adj factor'!I:I,,0)*AI1536),'Master DataSheet (Rev)'!AI1536)</f>
        <v>306</v>
      </c>
      <c r="AM1536" s="91">
        <f t="shared" si="498"/>
        <v>306</v>
      </c>
      <c r="AN1536" s="92" t="str">
        <f t="shared" si="499"/>
        <v>Increasing</v>
      </c>
      <c r="AS1536" s="94">
        <f t="shared" si="500"/>
        <v>0</v>
      </c>
      <c r="AT1536" s="94">
        <f t="shared" si="501"/>
        <v>8.9706750315221198E-2</v>
      </c>
      <c r="AU1536" s="94">
        <f t="shared" si="488"/>
        <v>0.15286490563964095</v>
      </c>
      <c r="AV1536" s="94">
        <f t="shared" si="489"/>
        <v>0.15286490563964095</v>
      </c>
    </row>
    <row r="1537" spans="1:48" x14ac:dyDescent="0.3">
      <c r="A1537" s="85" t="str">
        <f>_xlfn.XLOOKUP(B1537,'Country codes &amp; Data sources'!G:G,'Country codes &amp; Data sources'!H:H,,0)</f>
        <v>Zambia</v>
      </c>
      <c r="B1537" s="85" t="s">
        <v>192</v>
      </c>
      <c r="C1537" s="85">
        <v>14744670</v>
      </c>
      <c r="D1537" s="85" t="s">
        <v>338</v>
      </c>
      <c r="E1537" s="86">
        <v>282</v>
      </c>
      <c r="F1537" s="86">
        <v>15234975.999999991</v>
      </c>
      <c r="G1537" s="86">
        <v>0</v>
      </c>
      <c r="H1537" s="86"/>
      <c r="I1537" s="86">
        <v>0</v>
      </c>
      <c r="J1537" s="86"/>
      <c r="K1537" s="86">
        <v>0</v>
      </c>
      <c r="L1537" s="86"/>
      <c r="M1537" s="86">
        <v>0</v>
      </c>
      <c r="N1537" s="86"/>
      <c r="O1537" s="86">
        <v>0</v>
      </c>
      <c r="P1537" s="86">
        <v>17835892.999999981</v>
      </c>
      <c r="Q1537" s="86">
        <v>353</v>
      </c>
      <c r="R1537" s="87">
        <f t="shared" si="504"/>
        <v>412</v>
      </c>
      <c r="T1537" s="87">
        <v>390</v>
      </c>
      <c r="U1537" s="89"/>
      <c r="V1537" s="89">
        <v>453</v>
      </c>
      <c r="W1537" s="90"/>
      <c r="X1537" s="90">
        <v>499</v>
      </c>
      <c r="Y1537" s="90">
        <v>20017675.000000004</v>
      </c>
      <c r="Z1537" s="90">
        <v>743</v>
      </c>
      <c r="AA1537" s="90">
        <v>412</v>
      </c>
      <c r="AB1537" s="89">
        <f t="shared" si="490"/>
        <v>282</v>
      </c>
      <c r="AC1537" s="89">
        <f t="shared" si="491"/>
        <v>390</v>
      </c>
      <c r="AD1537" s="89">
        <f t="shared" si="492"/>
        <v>743</v>
      </c>
      <c r="AE1537" s="90">
        <f t="shared" si="502"/>
        <v>282</v>
      </c>
      <c r="AF1537" s="90">
        <f t="shared" si="493"/>
        <v>2012</v>
      </c>
      <c r="AG1537" s="90">
        <f t="shared" si="503"/>
        <v>412</v>
      </c>
      <c r="AH1537" s="90" t="str">
        <f t="shared" si="494"/>
        <v>2018 (triag)</v>
      </c>
      <c r="AI1537" s="90">
        <f t="shared" si="495"/>
        <v>743</v>
      </c>
      <c r="AJ1537" s="90">
        <f t="shared" si="496"/>
        <v>2022</v>
      </c>
      <c r="AK1537" s="90" t="str">
        <f t="shared" si="497"/>
        <v/>
      </c>
      <c r="AL1537" s="91">
        <f>IF(AK1537="Adjust",(_xlfn.XLOOKUP(A1537,'Adj factor'!A:A,'Adj factor'!I:I,,0)*AI1537),'Master DataSheet (Rev)'!AI1537)</f>
        <v>743</v>
      </c>
      <c r="AM1537" s="91">
        <f t="shared" si="498"/>
        <v>743</v>
      </c>
      <c r="AN1537" s="92" t="str">
        <f t="shared" si="499"/>
        <v>Increasing</v>
      </c>
      <c r="AS1537" s="94">
        <f t="shared" si="500"/>
        <v>0.18510039004984333</v>
      </c>
      <c r="AT1537" s="94">
        <f t="shared" si="501"/>
        <v>0.23099488206169461</v>
      </c>
      <c r="AU1537" s="94">
        <f t="shared" si="488"/>
        <v>0.37117197676553337</v>
      </c>
      <c r="AV1537" s="94">
        <f t="shared" si="489"/>
        <v>0.37117197676553337</v>
      </c>
    </row>
    <row r="1538" spans="1:48" x14ac:dyDescent="0.3">
      <c r="A1538" s="85" t="str">
        <f>_xlfn.XLOOKUP(B1538,'Country codes &amp; Data sources'!G:G,'Country codes &amp; Data sources'!H:H,,0)</f>
        <v>Zambia</v>
      </c>
      <c r="B1538" s="85" t="s">
        <v>192</v>
      </c>
      <c r="C1538" s="85">
        <v>14744671</v>
      </c>
      <c r="D1538" s="85" t="s">
        <v>339</v>
      </c>
      <c r="E1538" s="86">
        <v>0</v>
      </c>
      <c r="F1538" s="86">
        <v>15234975.999999991</v>
      </c>
      <c r="G1538" s="86">
        <v>0</v>
      </c>
      <c r="H1538" s="86"/>
      <c r="I1538" s="86">
        <v>0</v>
      </c>
      <c r="J1538" s="86"/>
      <c r="K1538" s="86">
        <v>0</v>
      </c>
      <c r="L1538" s="86"/>
      <c r="M1538" s="86">
        <v>0</v>
      </c>
      <c r="N1538" s="86"/>
      <c r="O1538" s="86">
        <v>0</v>
      </c>
      <c r="P1538" s="86">
        <v>17835892.999999981</v>
      </c>
      <c r="Q1538" s="86">
        <v>0</v>
      </c>
      <c r="R1538" s="87">
        <f t="shared" si="504"/>
        <v>0</v>
      </c>
      <c r="T1538" s="87">
        <v>0</v>
      </c>
      <c r="U1538" s="89"/>
      <c r="V1538" s="89">
        <v>0</v>
      </c>
      <c r="W1538" s="90"/>
      <c r="X1538" s="90">
        <v>0</v>
      </c>
      <c r="Y1538" s="90">
        <v>20017675.000000004</v>
      </c>
      <c r="Z1538" s="90">
        <v>4</v>
      </c>
      <c r="AA1538" s="90">
        <v>0</v>
      </c>
      <c r="AB1538" s="89">
        <f t="shared" si="490"/>
        <v>0</v>
      </c>
      <c r="AC1538" s="89">
        <f t="shared" si="491"/>
        <v>0</v>
      </c>
      <c r="AD1538" s="89">
        <f t="shared" si="492"/>
        <v>4</v>
      </c>
      <c r="AF1538" s="90" t="str">
        <f t="shared" si="493"/>
        <v/>
      </c>
      <c r="AH1538" s="90" t="str">
        <f t="shared" si="494"/>
        <v/>
      </c>
      <c r="AI1538" s="90">
        <f t="shared" si="495"/>
        <v>4</v>
      </c>
      <c r="AJ1538" s="90">
        <f t="shared" si="496"/>
        <v>2022</v>
      </c>
      <c r="AK1538" s="90" t="str">
        <f t="shared" si="497"/>
        <v/>
      </c>
      <c r="AL1538" s="91">
        <f>IF(AK1538="Adjust",(_xlfn.XLOOKUP(A1538,'Adj factor'!A:A,'Adj factor'!I:I,,0)*AI1538),'Master DataSheet (Rev)'!AI1538)</f>
        <v>4</v>
      </c>
      <c r="AM1538" s="91">
        <f t="shared" si="498"/>
        <v>4</v>
      </c>
      <c r="AN1538" s="92" t="str">
        <f t="shared" si="499"/>
        <v>Increasing</v>
      </c>
      <c r="AS1538" s="94">
        <f t="shared" si="500"/>
        <v>0</v>
      </c>
      <c r="AT1538" s="94">
        <f t="shared" si="501"/>
        <v>0</v>
      </c>
      <c r="AU1538" s="94">
        <f t="shared" si="488"/>
        <v>1.998234060648901E-3</v>
      </c>
      <c r="AV1538" s="94">
        <f t="shared" si="489"/>
        <v>1.998234060648901E-3</v>
      </c>
    </row>
    <row r="1539" spans="1:48" x14ac:dyDescent="0.3">
      <c r="A1539" s="85" t="str">
        <f>_xlfn.XLOOKUP(B1539,'Country codes &amp; Data sources'!G:G,'Country codes &amp; Data sources'!H:H,,0)</f>
        <v>Zimbabwe</v>
      </c>
      <c r="B1539" s="85" t="s">
        <v>193</v>
      </c>
      <c r="C1539" s="85">
        <v>13265331.000000002</v>
      </c>
      <c r="D1539" s="85" t="s">
        <v>326</v>
      </c>
      <c r="E1539" s="86">
        <v>1059</v>
      </c>
      <c r="F1539" s="86">
        <v>13555421.500000011</v>
      </c>
      <c r="G1539" s="86">
        <v>1114</v>
      </c>
      <c r="H1539" s="86">
        <v>13855753.000000004</v>
      </c>
      <c r="I1539" s="86">
        <v>1685</v>
      </c>
      <c r="J1539" s="86">
        <v>14154937</v>
      </c>
      <c r="K1539" s="86">
        <v>2508</v>
      </c>
      <c r="L1539" s="86">
        <v>14452704.499999994</v>
      </c>
      <c r="M1539" s="86">
        <v>2508</v>
      </c>
      <c r="N1539" s="86">
        <v>14751100.999999998</v>
      </c>
      <c r="O1539" s="86">
        <v>2646</v>
      </c>
      <c r="P1539" s="86">
        <v>15052184.000000007</v>
      </c>
      <c r="Q1539" s="86">
        <v>3026</v>
      </c>
      <c r="R1539" s="87">
        <f t="shared" si="504"/>
        <v>3026</v>
      </c>
      <c r="S1539" s="87">
        <v>15354607.5</v>
      </c>
      <c r="T1539" s="87">
        <v>0</v>
      </c>
      <c r="U1539" s="89">
        <v>15669665.999999998</v>
      </c>
      <c r="V1539" s="89">
        <v>2957</v>
      </c>
      <c r="W1539" s="90">
        <v>15993524.000000002</v>
      </c>
      <c r="X1539" s="90">
        <v>0</v>
      </c>
      <c r="Y1539" s="90">
        <v>16320536.999999996</v>
      </c>
      <c r="Z1539" s="90">
        <v>2708</v>
      </c>
      <c r="AA1539" s="90">
        <v>1959</v>
      </c>
      <c r="AB1539" s="89">
        <f t="shared" si="490"/>
        <v>2508</v>
      </c>
      <c r="AC1539" s="89">
        <f t="shared" si="491"/>
        <v>3026</v>
      </c>
      <c r="AD1539" s="89">
        <f t="shared" si="492"/>
        <v>2957</v>
      </c>
      <c r="AE1539" s="90">
        <f t="shared" si="502"/>
        <v>1114</v>
      </c>
      <c r="AF1539" s="90">
        <f t="shared" si="493"/>
        <v>2013</v>
      </c>
      <c r="AG1539" s="90">
        <f t="shared" si="503"/>
        <v>3026</v>
      </c>
      <c r="AH1539" s="90">
        <f t="shared" si="494"/>
        <v>2018</v>
      </c>
      <c r="AI1539" s="90">
        <f t="shared" si="495"/>
        <v>2708</v>
      </c>
      <c r="AJ1539" s="90">
        <f t="shared" si="496"/>
        <v>2022</v>
      </c>
      <c r="AK1539" s="90" t="str">
        <f t="shared" si="497"/>
        <v>Adjust</v>
      </c>
      <c r="AL1539" s="91">
        <f>IF(AK1539="Adjust",(_xlfn.XLOOKUP(A1539,'Adj factor'!A:A,'Adj factor'!I:I,,0)*AI1539),'Master DataSheet (Rev)'!AI1539)</f>
        <v>3131.5983655333839</v>
      </c>
      <c r="AM1539" s="91">
        <f t="shared" si="498"/>
        <v>3131.5983655333839</v>
      </c>
      <c r="AN1539" s="92" t="str">
        <f t="shared" si="499"/>
        <v>Increasing</v>
      </c>
      <c r="AS1539" s="94">
        <f t="shared" si="500"/>
        <v>0.82181140586443524</v>
      </c>
      <c r="AT1539" s="94">
        <f t="shared" si="501"/>
        <v>2.010339496248517</v>
      </c>
      <c r="AU1539" s="94">
        <f t="shared" ref="AU1539:AU1552" si="505">(AL1539*10000)/Y1539</f>
        <v>1.9188084102461731</v>
      </c>
      <c r="AV1539" s="94">
        <f t="shared" ref="AV1539:AV1552" si="506">(AM1539*10000)/Y1539</f>
        <v>1.9188084102461731</v>
      </c>
    </row>
    <row r="1540" spans="1:48" x14ac:dyDescent="0.3">
      <c r="A1540" s="85" t="str">
        <f>_xlfn.XLOOKUP(B1540,'Country codes &amp; Data sources'!G:G,'Country codes &amp; Data sources'!H:H,,0)</f>
        <v>Zimbabwe</v>
      </c>
      <c r="B1540" s="85" t="s">
        <v>193</v>
      </c>
      <c r="C1540" s="85">
        <v>13265332</v>
      </c>
      <c r="D1540" s="85" t="s">
        <v>327</v>
      </c>
      <c r="E1540" s="86">
        <v>0</v>
      </c>
      <c r="F1540" s="86">
        <v>13555421.500000011</v>
      </c>
      <c r="G1540" s="86">
        <v>0</v>
      </c>
      <c r="H1540" s="86"/>
      <c r="I1540" s="86">
        <v>1458</v>
      </c>
      <c r="J1540" s="86"/>
      <c r="K1540" s="86">
        <v>1754</v>
      </c>
      <c r="L1540" s="86"/>
      <c r="M1540" s="86">
        <v>1754</v>
      </c>
      <c r="N1540" s="86"/>
      <c r="O1540" s="86">
        <v>1754</v>
      </c>
      <c r="P1540" s="86">
        <v>15052184.000000007</v>
      </c>
      <c r="Q1540" s="86">
        <v>1863</v>
      </c>
      <c r="R1540" s="87">
        <f t="shared" si="504"/>
        <v>1863</v>
      </c>
      <c r="T1540" s="87">
        <v>0</v>
      </c>
      <c r="U1540" s="89"/>
      <c r="V1540" s="89">
        <v>0</v>
      </c>
      <c r="W1540" s="90"/>
      <c r="X1540" s="90">
        <v>0</v>
      </c>
      <c r="Y1540" s="90">
        <v>16320536.999999996</v>
      </c>
      <c r="Z1540" s="90">
        <v>2032</v>
      </c>
      <c r="AA1540" s="90">
        <v>1715</v>
      </c>
      <c r="AB1540" s="89">
        <f t="shared" si="490"/>
        <v>1754</v>
      </c>
      <c r="AC1540" s="89">
        <f t="shared" si="491"/>
        <v>1863</v>
      </c>
      <c r="AD1540" s="89">
        <f t="shared" si="492"/>
        <v>2032</v>
      </c>
      <c r="AE1540" s="90">
        <f t="shared" si="502"/>
        <v>1458</v>
      </c>
      <c r="AF1540" s="90">
        <f t="shared" si="493"/>
        <v>2014</v>
      </c>
      <c r="AG1540" s="90">
        <f t="shared" si="503"/>
        <v>1863</v>
      </c>
      <c r="AH1540" s="90">
        <f t="shared" si="494"/>
        <v>2018</v>
      </c>
      <c r="AI1540" s="90">
        <f t="shared" si="495"/>
        <v>2032</v>
      </c>
      <c r="AJ1540" s="90">
        <f t="shared" si="496"/>
        <v>2022</v>
      </c>
      <c r="AK1540" s="90" t="str">
        <f t="shared" si="497"/>
        <v/>
      </c>
      <c r="AL1540" s="91">
        <f>IF(AK1540="Adjust",(_xlfn.XLOOKUP(A1540,'Adj factor'!A:A,'Adj factor'!I:I,,0)*AI1540),'Master DataSheet (Rev)'!AI1540)</f>
        <v>2032</v>
      </c>
      <c r="AM1540" s="91">
        <f t="shared" si="498"/>
        <v>2032</v>
      </c>
      <c r="AN1540" s="92" t="str">
        <f t="shared" si="499"/>
        <v>Increasing</v>
      </c>
      <c r="AS1540" s="94">
        <f t="shared" si="500"/>
        <v>1.0755844073162895</v>
      </c>
      <c r="AT1540" s="94">
        <f t="shared" si="501"/>
        <v>1.2376941445839349</v>
      </c>
      <c r="AU1540" s="94">
        <f t="shared" si="505"/>
        <v>1.2450570713451405</v>
      </c>
      <c r="AV1540" s="94">
        <f t="shared" si="506"/>
        <v>1.2450570713451405</v>
      </c>
    </row>
    <row r="1541" spans="1:48" x14ac:dyDescent="0.3">
      <c r="A1541" s="85" t="str">
        <f>_xlfn.XLOOKUP(B1541,'Country codes &amp; Data sources'!G:G,'Country codes &amp; Data sources'!H:H,,0)</f>
        <v>Zimbabwe</v>
      </c>
      <c r="B1541" s="85" t="s">
        <v>193</v>
      </c>
      <c r="C1541" s="85">
        <v>13265333</v>
      </c>
      <c r="D1541" s="85" t="s">
        <v>328</v>
      </c>
      <c r="E1541" s="86">
        <v>0</v>
      </c>
      <c r="F1541" s="86">
        <v>13555421.500000011</v>
      </c>
      <c r="G1541" s="86">
        <v>0</v>
      </c>
      <c r="H1541" s="86"/>
      <c r="I1541" s="86">
        <v>227</v>
      </c>
      <c r="J1541" s="86"/>
      <c r="K1541" s="86">
        <v>446</v>
      </c>
      <c r="L1541" s="86"/>
      <c r="M1541" s="86">
        <v>446</v>
      </c>
      <c r="N1541" s="86"/>
      <c r="O1541" s="86">
        <v>446</v>
      </c>
      <c r="P1541" s="86">
        <v>15052184.000000007</v>
      </c>
      <c r="Q1541" s="86">
        <v>619</v>
      </c>
      <c r="R1541" s="87">
        <f t="shared" si="504"/>
        <v>619</v>
      </c>
      <c r="T1541" s="87">
        <v>0</v>
      </c>
      <c r="U1541" s="89"/>
      <c r="V1541" s="89">
        <v>0</v>
      </c>
      <c r="W1541" s="90"/>
      <c r="X1541" s="90">
        <v>0</v>
      </c>
      <c r="Y1541" s="90">
        <v>16320536.999999996</v>
      </c>
      <c r="Z1541" s="90">
        <v>676</v>
      </c>
      <c r="AA1541" s="90">
        <v>244</v>
      </c>
      <c r="AB1541" s="89">
        <f t="shared" si="490"/>
        <v>446</v>
      </c>
      <c r="AC1541" s="89">
        <f t="shared" si="491"/>
        <v>619</v>
      </c>
      <c r="AD1541" s="89">
        <f t="shared" si="492"/>
        <v>676</v>
      </c>
      <c r="AE1541" s="90">
        <f t="shared" si="502"/>
        <v>227</v>
      </c>
      <c r="AF1541" s="90">
        <f t="shared" si="493"/>
        <v>2014</v>
      </c>
      <c r="AG1541" s="90">
        <f t="shared" si="503"/>
        <v>619</v>
      </c>
      <c r="AH1541" s="90">
        <f t="shared" si="494"/>
        <v>2018</v>
      </c>
      <c r="AI1541" s="90">
        <f t="shared" si="495"/>
        <v>676</v>
      </c>
      <c r="AJ1541" s="90">
        <f t="shared" si="496"/>
        <v>2022</v>
      </c>
      <c r="AK1541" s="90" t="str">
        <f t="shared" si="497"/>
        <v/>
      </c>
      <c r="AL1541" s="91">
        <f>IF(AK1541="Adjust",(_xlfn.XLOOKUP(A1541,'Adj factor'!A:A,'Adj factor'!I:I,,0)*AI1541),'Master DataSheet (Rev)'!AI1541)</f>
        <v>676</v>
      </c>
      <c r="AM1541" s="91">
        <f t="shared" si="498"/>
        <v>676</v>
      </c>
      <c r="AN1541" s="92" t="str">
        <f t="shared" si="499"/>
        <v>Increasing</v>
      </c>
      <c r="AS1541" s="94">
        <f t="shared" si="500"/>
        <v>0.16746067246968294</v>
      </c>
      <c r="AT1541" s="94">
        <f t="shared" si="501"/>
        <v>0.41123600402439919</v>
      </c>
      <c r="AU1541" s="94">
        <f t="shared" si="505"/>
        <v>0.41420205719946601</v>
      </c>
      <c r="AV1541" s="94">
        <f t="shared" si="506"/>
        <v>0.41420205719946601</v>
      </c>
    </row>
    <row r="1542" spans="1:48" x14ac:dyDescent="0.3">
      <c r="A1542" s="85" t="str">
        <f>_xlfn.XLOOKUP(B1542,'Country codes &amp; Data sources'!G:G,'Country codes &amp; Data sources'!H:H,,0)</f>
        <v>Zimbabwe</v>
      </c>
      <c r="B1542" s="85" t="s">
        <v>193</v>
      </c>
      <c r="C1542" s="85">
        <v>13265334</v>
      </c>
      <c r="D1542" s="85" t="s">
        <v>329</v>
      </c>
      <c r="E1542" s="86">
        <v>15536</v>
      </c>
      <c r="F1542" s="86">
        <v>13555421.500000011</v>
      </c>
      <c r="G1542" s="86">
        <v>18722</v>
      </c>
      <c r="H1542" s="86"/>
      <c r="I1542" s="86">
        <v>20885</v>
      </c>
      <c r="J1542" s="86"/>
      <c r="K1542" s="86">
        <v>19099</v>
      </c>
      <c r="L1542" s="86"/>
      <c r="M1542" s="86">
        <v>19642</v>
      </c>
      <c r="N1542" s="86"/>
      <c r="O1542" s="86">
        <v>28170</v>
      </c>
      <c r="P1542" s="86">
        <v>15052184.000000007</v>
      </c>
      <c r="Q1542" s="86">
        <v>27874</v>
      </c>
      <c r="R1542" s="87">
        <f t="shared" si="504"/>
        <v>27874</v>
      </c>
      <c r="T1542" s="87">
        <v>0</v>
      </c>
      <c r="U1542" s="89"/>
      <c r="V1542" s="89">
        <v>22499</v>
      </c>
      <c r="W1542" s="90"/>
      <c r="X1542" s="90">
        <v>0</v>
      </c>
      <c r="Y1542" s="90">
        <v>16320536.999999996</v>
      </c>
      <c r="Z1542" s="103">
        <v>46537</v>
      </c>
      <c r="AA1542" s="90">
        <v>25835</v>
      </c>
      <c r="AB1542" s="89">
        <f t="shared" si="490"/>
        <v>20885</v>
      </c>
      <c r="AC1542" s="89">
        <f t="shared" si="491"/>
        <v>28170</v>
      </c>
      <c r="AD1542" s="89">
        <f t="shared" si="492"/>
        <v>46537</v>
      </c>
      <c r="AE1542" s="90">
        <f t="shared" si="502"/>
        <v>18722</v>
      </c>
      <c r="AF1542" s="90">
        <f t="shared" si="493"/>
        <v>2013</v>
      </c>
      <c r="AG1542" s="90">
        <f t="shared" si="503"/>
        <v>27874</v>
      </c>
      <c r="AH1542" s="90">
        <f t="shared" si="494"/>
        <v>2018</v>
      </c>
      <c r="AI1542" s="90">
        <f t="shared" si="495"/>
        <v>46537</v>
      </c>
      <c r="AJ1542" s="90">
        <f t="shared" si="496"/>
        <v>2022</v>
      </c>
      <c r="AK1542" s="90" t="str">
        <f t="shared" si="497"/>
        <v/>
      </c>
      <c r="AL1542" s="91">
        <f>IF(AK1542="Adjust",(_xlfn.XLOOKUP(A1542,'Adj factor'!A:A,'Adj factor'!I:I,,0)*AI1542),'Master DataSheet (Rev)'!AI1542)</f>
        <v>46537</v>
      </c>
      <c r="AM1542" s="91">
        <f t="shared" si="498"/>
        <v>46537</v>
      </c>
      <c r="AN1542" s="92" t="str">
        <f t="shared" si="499"/>
        <v>Increasing</v>
      </c>
      <c r="AS1542" s="94">
        <f t="shared" si="500"/>
        <v>13.811448061574467</v>
      </c>
      <c r="AT1542" s="94">
        <f t="shared" si="501"/>
        <v>18.518242934048633</v>
      </c>
      <c r="AU1542" s="94">
        <f t="shared" si="505"/>
        <v>28.514380378537798</v>
      </c>
      <c r="AV1542" s="94">
        <f t="shared" si="506"/>
        <v>28.514380378537798</v>
      </c>
    </row>
    <row r="1543" spans="1:48" x14ac:dyDescent="0.3">
      <c r="A1543" s="85" t="str">
        <f>_xlfn.XLOOKUP(B1543,'Country codes &amp; Data sources'!G:G,'Country codes &amp; Data sources'!H:H,,0)</f>
        <v>Zimbabwe</v>
      </c>
      <c r="B1543" s="85" t="s">
        <v>193</v>
      </c>
      <c r="C1543" s="85">
        <v>13265335</v>
      </c>
      <c r="D1543" s="85" t="s">
        <v>330</v>
      </c>
      <c r="E1543" s="86">
        <v>0</v>
      </c>
      <c r="F1543" s="86">
        <v>13555421.500000011</v>
      </c>
      <c r="G1543" s="86">
        <v>0</v>
      </c>
      <c r="H1543" s="86"/>
      <c r="I1543" s="86">
        <v>18315</v>
      </c>
      <c r="J1543" s="86"/>
      <c r="K1543" s="86">
        <v>16781</v>
      </c>
      <c r="L1543" s="86"/>
      <c r="M1543" s="86">
        <v>17054</v>
      </c>
      <c r="N1543" s="86"/>
      <c r="O1543" s="86">
        <v>18810</v>
      </c>
      <c r="P1543" s="86">
        <v>15052184.000000007</v>
      </c>
      <c r="Q1543" s="86">
        <v>14822</v>
      </c>
      <c r="R1543" s="87">
        <f t="shared" si="504"/>
        <v>19171</v>
      </c>
      <c r="T1543" s="87">
        <v>0</v>
      </c>
      <c r="U1543" s="89"/>
      <c r="V1543" s="89">
        <v>0</v>
      </c>
      <c r="W1543" s="90"/>
      <c r="X1543" s="90">
        <v>0</v>
      </c>
      <c r="Y1543" s="90">
        <v>16320536.999999996</v>
      </c>
      <c r="Z1543" s="90">
        <v>32182</v>
      </c>
      <c r="AA1543" s="90">
        <v>19171</v>
      </c>
      <c r="AB1543" s="89">
        <f t="shared" si="490"/>
        <v>18315</v>
      </c>
      <c r="AC1543" s="89">
        <f t="shared" si="491"/>
        <v>18810</v>
      </c>
      <c r="AD1543" s="89">
        <f t="shared" si="492"/>
        <v>32182</v>
      </c>
      <c r="AE1543" s="90">
        <f t="shared" si="502"/>
        <v>18315</v>
      </c>
      <c r="AF1543" s="90">
        <f t="shared" si="493"/>
        <v>2014</v>
      </c>
      <c r="AG1543" s="90">
        <f t="shared" si="503"/>
        <v>19171</v>
      </c>
      <c r="AH1543" s="90" t="str">
        <f t="shared" si="494"/>
        <v>2018 (triag)</v>
      </c>
      <c r="AI1543" s="90">
        <f t="shared" si="495"/>
        <v>32182</v>
      </c>
      <c r="AJ1543" s="90">
        <f t="shared" si="496"/>
        <v>2022</v>
      </c>
      <c r="AK1543" s="90" t="str">
        <f t="shared" si="497"/>
        <v/>
      </c>
      <c r="AL1543" s="91">
        <f>IF(AK1543="Adjust",(_xlfn.XLOOKUP(A1543,'Adj factor'!A:A,'Adj factor'!I:I,,0)*AI1543),'Master DataSheet (Rev)'!AI1543)</f>
        <v>32182</v>
      </c>
      <c r="AM1543" s="91">
        <f t="shared" si="498"/>
        <v>32182</v>
      </c>
      <c r="AN1543" s="92" t="str">
        <f t="shared" si="499"/>
        <v>Increasing</v>
      </c>
      <c r="AS1543" s="94">
        <f t="shared" si="500"/>
        <v>13.511199190670673</v>
      </c>
      <c r="AT1543" s="94">
        <f t="shared" si="501"/>
        <v>12.736357727224163</v>
      </c>
      <c r="AU1543" s="94">
        <f t="shared" si="505"/>
        <v>19.718713912416</v>
      </c>
      <c r="AV1543" s="94">
        <f t="shared" si="506"/>
        <v>19.718713912416</v>
      </c>
    </row>
    <row r="1544" spans="1:48" x14ac:dyDescent="0.3">
      <c r="A1544" s="85" t="str">
        <f>_xlfn.XLOOKUP(B1544,'Country codes &amp; Data sources'!G:G,'Country codes &amp; Data sources'!H:H,,0)</f>
        <v>Zimbabwe</v>
      </c>
      <c r="B1544" s="85" t="s">
        <v>193</v>
      </c>
      <c r="C1544" s="85">
        <v>13265336</v>
      </c>
      <c r="D1544" s="85" t="s">
        <v>331</v>
      </c>
      <c r="E1544" s="86">
        <v>0</v>
      </c>
      <c r="F1544" s="86">
        <v>13555421.500000011</v>
      </c>
      <c r="G1544" s="86">
        <v>0</v>
      </c>
      <c r="H1544" s="86"/>
      <c r="I1544" s="86">
        <v>2570</v>
      </c>
      <c r="J1544" s="86"/>
      <c r="K1544" s="86">
        <v>2318</v>
      </c>
      <c r="L1544" s="86"/>
      <c r="M1544" s="86">
        <v>2588</v>
      </c>
      <c r="N1544" s="86"/>
      <c r="O1544" s="86">
        <v>9360</v>
      </c>
      <c r="P1544" s="86">
        <v>15052184.000000007</v>
      </c>
      <c r="Q1544" s="86">
        <v>13052</v>
      </c>
      <c r="R1544" s="87">
        <f t="shared" si="504"/>
        <v>13052</v>
      </c>
      <c r="T1544" s="87">
        <v>0</v>
      </c>
      <c r="U1544" s="89"/>
      <c r="V1544" s="89">
        <v>0</v>
      </c>
      <c r="W1544" s="90"/>
      <c r="X1544" s="90">
        <v>0</v>
      </c>
      <c r="Y1544" s="90">
        <v>16320536.999999996</v>
      </c>
      <c r="Z1544" s="90">
        <v>0</v>
      </c>
      <c r="AA1544" s="90">
        <v>6664</v>
      </c>
      <c r="AB1544" s="89">
        <f t="shared" si="490"/>
        <v>2570</v>
      </c>
      <c r="AC1544" s="89">
        <f t="shared" si="491"/>
        <v>13052</v>
      </c>
      <c r="AD1544" s="89">
        <f t="shared" si="492"/>
        <v>0</v>
      </c>
      <c r="AE1544" s="90">
        <f t="shared" si="502"/>
        <v>2570</v>
      </c>
      <c r="AF1544" s="90">
        <f t="shared" si="493"/>
        <v>2014</v>
      </c>
      <c r="AG1544" s="90">
        <f t="shared" si="503"/>
        <v>13052</v>
      </c>
      <c r="AH1544" s="90">
        <f t="shared" si="494"/>
        <v>2018</v>
      </c>
      <c r="AI1544" s="90">
        <f t="shared" si="495"/>
        <v>13052</v>
      </c>
      <c r="AJ1544" s="90">
        <f t="shared" si="496"/>
        <v>2018</v>
      </c>
      <c r="AK1544" s="90" t="str">
        <f t="shared" si="497"/>
        <v/>
      </c>
      <c r="AL1544" s="91">
        <f>IF(AK1544="Adjust",(_xlfn.XLOOKUP(A1544,'Adj factor'!A:A,'Adj factor'!I:I,,0)*AI1544),'Master DataSheet (Rev)'!AI1544)</f>
        <v>13052</v>
      </c>
      <c r="AM1544" s="91">
        <f t="shared" si="498"/>
        <v>13052</v>
      </c>
      <c r="AN1544" s="92" t="str">
        <f t="shared" si="499"/>
        <v>No change</v>
      </c>
      <c r="AS1544" s="94">
        <f t="shared" si="500"/>
        <v>1.8959203887536791</v>
      </c>
      <c r="AT1544" s="94">
        <f t="shared" si="501"/>
        <v>8.6711669216905616</v>
      </c>
      <c r="AU1544" s="94">
        <f t="shared" si="505"/>
        <v>7.9972858736204593</v>
      </c>
      <c r="AV1544" s="94">
        <f t="shared" si="506"/>
        <v>7.9972858736204593</v>
      </c>
    </row>
    <row r="1545" spans="1:48" x14ac:dyDescent="0.3">
      <c r="A1545" s="85" t="str">
        <f>_xlfn.XLOOKUP(B1545,'Country codes &amp; Data sources'!G:G,'Country codes &amp; Data sources'!H:H,,0)</f>
        <v>Zimbabwe</v>
      </c>
      <c r="B1545" s="85" t="s">
        <v>193</v>
      </c>
      <c r="C1545" s="85">
        <v>13265337</v>
      </c>
      <c r="D1545" s="85" t="s">
        <v>332</v>
      </c>
      <c r="E1545" s="86">
        <v>0</v>
      </c>
      <c r="F1545" s="86">
        <v>13555421.500000011</v>
      </c>
      <c r="G1545" s="86">
        <v>0</v>
      </c>
      <c r="H1545" s="86"/>
      <c r="I1545" s="86">
        <v>0</v>
      </c>
      <c r="J1545" s="86"/>
      <c r="K1545" s="86">
        <v>0</v>
      </c>
      <c r="L1545" s="86"/>
      <c r="M1545" s="86">
        <v>0</v>
      </c>
      <c r="N1545" s="86"/>
      <c r="O1545" s="86">
        <v>8806</v>
      </c>
      <c r="P1545" s="86">
        <v>15052184.000000007</v>
      </c>
      <c r="Q1545" s="86">
        <v>0</v>
      </c>
      <c r="R1545" s="87">
        <f t="shared" si="504"/>
        <v>854</v>
      </c>
      <c r="T1545" s="87">
        <v>0</v>
      </c>
      <c r="U1545" s="89"/>
      <c r="V1545" s="89">
        <v>9293</v>
      </c>
      <c r="W1545" s="90"/>
      <c r="X1545" s="90">
        <v>0</v>
      </c>
      <c r="Y1545" s="90">
        <v>16320536.999999996</v>
      </c>
      <c r="Z1545" s="103">
        <v>9601</v>
      </c>
      <c r="AA1545" s="90">
        <v>854</v>
      </c>
      <c r="AB1545" s="89">
        <f t="shared" si="490"/>
        <v>0</v>
      </c>
      <c r="AC1545" s="89">
        <f t="shared" si="491"/>
        <v>8806</v>
      </c>
      <c r="AD1545" s="89">
        <f t="shared" si="492"/>
        <v>9601</v>
      </c>
      <c r="AF1545" s="90" t="str">
        <f t="shared" si="493"/>
        <v/>
      </c>
      <c r="AG1545" s="90">
        <f t="shared" si="503"/>
        <v>854</v>
      </c>
      <c r="AH1545" s="90" t="str">
        <f t="shared" si="494"/>
        <v>2018 (triag)</v>
      </c>
      <c r="AI1545" s="90">
        <f t="shared" si="495"/>
        <v>9601</v>
      </c>
      <c r="AJ1545" s="90">
        <f t="shared" si="496"/>
        <v>2022</v>
      </c>
      <c r="AK1545" s="90" t="str">
        <f t="shared" si="497"/>
        <v/>
      </c>
      <c r="AL1545" s="91">
        <f>IF(AK1545="Adjust",(_xlfn.XLOOKUP(A1545,'Adj factor'!A:A,'Adj factor'!I:I,,0)*AI1545),'Master DataSheet (Rev)'!AI1545)</f>
        <v>9601</v>
      </c>
      <c r="AM1545" s="91">
        <f t="shared" si="498"/>
        <v>9601</v>
      </c>
      <c r="AN1545" s="92" t="str">
        <f t="shared" si="499"/>
        <v>Increasing</v>
      </c>
      <c r="AS1545" s="94">
        <f t="shared" si="500"/>
        <v>0</v>
      </c>
      <c r="AT1545" s="94">
        <f t="shared" si="501"/>
        <v>0.56735952736161055</v>
      </c>
      <c r="AU1545" s="94">
        <f t="shared" si="505"/>
        <v>5.8827721171184519</v>
      </c>
      <c r="AV1545" s="94">
        <f t="shared" si="506"/>
        <v>5.8827721171184519</v>
      </c>
    </row>
    <row r="1546" spans="1:48" x14ac:dyDescent="0.3">
      <c r="A1546" s="85" t="str">
        <f>_xlfn.XLOOKUP(B1546,'Country codes &amp; Data sources'!G:G,'Country codes &amp; Data sources'!H:H,,0)</f>
        <v>Zimbabwe</v>
      </c>
      <c r="B1546" s="85" t="s">
        <v>193</v>
      </c>
      <c r="C1546" s="85">
        <v>13265338</v>
      </c>
      <c r="D1546" s="85" t="s">
        <v>333</v>
      </c>
      <c r="E1546" s="86">
        <v>0</v>
      </c>
      <c r="F1546" s="86">
        <v>13555421.500000011</v>
      </c>
      <c r="G1546" s="86">
        <v>0</v>
      </c>
      <c r="H1546" s="86"/>
      <c r="I1546" s="86">
        <v>0</v>
      </c>
      <c r="J1546" s="86"/>
      <c r="K1546" s="86">
        <v>0</v>
      </c>
      <c r="L1546" s="86"/>
      <c r="M1546" s="86">
        <v>0</v>
      </c>
      <c r="N1546" s="86"/>
      <c r="O1546" s="86">
        <v>0</v>
      </c>
      <c r="P1546" s="86">
        <v>15052184.000000007</v>
      </c>
      <c r="Q1546" s="86">
        <v>0</v>
      </c>
      <c r="R1546" s="87">
        <f t="shared" si="504"/>
        <v>845</v>
      </c>
      <c r="T1546" s="87">
        <v>0</v>
      </c>
      <c r="U1546" s="89"/>
      <c r="V1546" s="89">
        <v>0</v>
      </c>
      <c r="W1546" s="90"/>
      <c r="X1546" s="90">
        <v>0</v>
      </c>
      <c r="Y1546" s="90">
        <v>16320536.999999996</v>
      </c>
      <c r="Z1546" s="90">
        <v>2796</v>
      </c>
      <c r="AA1546" s="90">
        <v>845</v>
      </c>
      <c r="AB1546" s="89">
        <f t="shared" si="490"/>
        <v>0</v>
      </c>
      <c r="AC1546" s="89">
        <f t="shared" si="491"/>
        <v>0</v>
      </c>
      <c r="AD1546" s="89">
        <f t="shared" si="492"/>
        <v>2796</v>
      </c>
      <c r="AF1546" s="90" t="str">
        <f t="shared" si="493"/>
        <v/>
      </c>
      <c r="AG1546" s="90">
        <f t="shared" si="503"/>
        <v>845</v>
      </c>
      <c r="AH1546" s="90" t="str">
        <f t="shared" si="494"/>
        <v>2018 (triag)</v>
      </c>
      <c r="AI1546" s="90">
        <f t="shared" si="495"/>
        <v>2796</v>
      </c>
      <c r="AJ1546" s="90">
        <f t="shared" si="496"/>
        <v>2022</v>
      </c>
      <c r="AK1546" s="90" t="str">
        <f t="shared" si="497"/>
        <v/>
      </c>
      <c r="AL1546" s="91">
        <f>IF(AK1546="Adjust",(_xlfn.XLOOKUP(A1546,'Adj factor'!A:A,'Adj factor'!I:I,,0)*AI1546),'Master DataSheet (Rev)'!AI1546)</f>
        <v>2796</v>
      </c>
      <c r="AM1546" s="91">
        <f t="shared" si="498"/>
        <v>2796</v>
      </c>
      <c r="AN1546" s="92" t="str">
        <f t="shared" si="499"/>
        <v>Increasing</v>
      </c>
      <c r="AS1546" s="94">
        <f t="shared" si="500"/>
        <v>0</v>
      </c>
      <c r="AT1546" s="94">
        <f t="shared" si="501"/>
        <v>0.56138032859550457</v>
      </c>
      <c r="AU1546" s="94">
        <f t="shared" si="505"/>
        <v>1.7131789229729393</v>
      </c>
      <c r="AV1546" s="94">
        <f t="shared" si="506"/>
        <v>1.7131789229729393</v>
      </c>
    </row>
    <row r="1547" spans="1:48" x14ac:dyDescent="0.3">
      <c r="A1547" s="85" t="str">
        <f>_xlfn.XLOOKUP(B1547,'Country codes &amp; Data sources'!G:G,'Country codes &amp; Data sources'!H:H,,0)</f>
        <v>Zimbabwe</v>
      </c>
      <c r="B1547" s="85" t="s">
        <v>193</v>
      </c>
      <c r="C1547" s="85">
        <v>13265339</v>
      </c>
      <c r="D1547" s="85" t="s">
        <v>334</v>
      </c>
      <c r="E1547" s="86">
        <v>0</v>
      </c>
      <c r="F1547" s="86">
        <v>13555421.500000011</v>
      </c>
      <c r="G1547" s="86">
        <v>0</v>
      </c>
      <c r="H1547" s="86"/>
      <c r="I1547" s="86">
        <v>0</v>
      </c>
      <c r="J1547" s="86"/>
      <c r="K1547" s="86">
        <v>0</v>
      </c>
      <c r="L1547" s="86"/>
      <c r="M1547" s="86">
        <v>0</v>
      </c>
      <c r="N1547" s="86"/>
      <c r="O1547" s="86">
        <v>0</v>
      </c>
      <c r="P1547" s="86">
        <v>15052184.000000007</v>
      </c>
      <c r="Q1547" s="86">
        <v>0</v>
      </c>
      <c r="R1547" s="87">
        <f t="shared" si="504"/>
        <v>9</v>
      </c>
      <c r="T1547" s="87">
        <v>0</v>
      </c>
      <c r="U1547" s="89"/>
      <c r="V1547" s="89">
        <v>0</v>
      </c>
      <c r="W1547" s="90"/>
      <c r="X1547" s="90">
        <v>0</v>
      </c>
      <c r="Y1547" s="90">
        <v>16320536.999999996</v>
      </c>
      <c r="Z1547" s="90">
        <v>0</v>
      </c>
      <c r="AA1547" s="90">
        <v>9</v>
      </c>
      <c r="AB1547" s="89">
        <f t="shared" si="490"/>
        <v>0</v>
      </c>
      <c r="AC1547" s="89">
        <f t="shared" si="491"/>
        <v>0</v>
      </c>
      <c r="AD1547" s="89">
        <f t="shared" si="492"/>
        <v>0</v>
      </c>
      <c r="AF1547" s="90" t="str">
        <f t="shared" si="493"/>
        <v/>
      </c>
      <c r="AG1547" s="90">
        <f t="shared" si="503"/>
        <v>9</v>
      </c>
      <c r="AH1547" s="90" t="str">
        <f t="shared" si="494"/>
        <v>2018 (triag)</v>
      </c>
      <c r="AI1547" s="90">
        <f t="shared" si="495"/>
        <v>9</v>
      </c>
      <c r="AJ1547" s="90" t="str">
        <f t="shared" si="496"/>
        <v>2018 (triag)</v>
      </c>
      <c r="AK1547" s="90" t="str">
        <f t="shared" si="497"/>
        <v/>
      </c>
      <c r="AL1547" s="91">
        <f>IF(AK1547="Adjust",(_xlfn.XLOOKUP(A1547,'Adj factor'!A:A,'Adj factor'!I:I,,0)*AI1547),'Master DataSheet (Rev)'!AI1547)</f>
        <v>9</v>
      </c>
      <c r="AM1547" s="91">
        <f t="shared" si="498"/>
        <v>9</v>
      </c>
      <c r="AN1547" s="92" t="str">
        <f t="shared" si="499"/>
        <v>No change</v>
      </c>
      <c r="AS1547" s="94">
        <f t="shared" si="500"/>
        <v>0</v>
      </c>
      <c r="AT1547" s="94">
        <f t="shared" si="501"/>
        <v>5.9791987661059658E-3</v>
      </c>
      <c r="AU1547" s="94">
        <f t="shared" si="505"/>
        <v>5.5145244301704052E-3</v>
      </c>
      <c r="AV1547" s="94">
        <f t="shared" si="506"/>
        <v>5.5145244301704052E-3</v>
      </c>
    </row>
    <row r="1548" spans="1:48" x14ac:dyDescent="0.3">
      <c r="A1548" s="85" t="str">
        <f>_xlfn.XLOOKUP(B1548,'Country codes &amp; Data sources'!G:G,'Country codes &amp; Data sources'!H:H,,0)</f>
        <v>Zimbabwe</v>
      </c>
      <c r="B1548" s="85" t="s">
        <v>193</v>
      </c>
      <c r="C1548" s="85">
        <v>13265340</v>
      </c>
      <c r="D1548" s="85" t="s">
        <v>335</v>
      </c>
      <c r="E1548" s="86">
        <v>378</v>
      </c>
      <c r="F1548" s="86">
        <v>13555421.500000011</v>
      </c>
      <c r="G1548" s="86">
        <v>394</v>
      </c>
      <c r="H1548" s="86"/>
      <c r="I1548" s="86">
        <v>193</v>
      </c>
      <c r="J1548" s="86"/>
      <c r="K1548" s="86">
        <v>141</v>
      </c>
      <c r="L1548" s="86"/>
      <c r="M1548" s="86">
        <v>219</v>
      </c>
      <c r="N1548" s="86"/>
      <c r="O1548" s="86">
        <v>272</v>
      </c>
      <c r="P1548" s="86">
        <v>15052184.000000007</v>
      </c>
      <c r="Q1548" s="86">
        <v>1397</v>
      </c>
      <c r="R1548" s="87">
        <f t="shared" si="504"/>
        <v>1397</v>
      </c>
      <c r="T1548" s="87">
        <v>0</v>
      </c>
      <c r="U1548" s="89"/>
      <c r="V1548" s="89">
        <v>1600</v>
      </c>
      <c r="W1548" s="90"/>
      <c r="X1548" s="90">
        <v>0</v>
      </c>
      <c r="Y1548" s="90">
        <v>16320536.999999996</v>
      </c>
      <c r="Z1548" s="90">
        <v>1902</v>
      </c>
      <c r="AA1548" s="90">
        <v>223</v>
      </c>
      <c r="AB1548" s="89">
        <f t="shared" si="490"/>
        <v>394</v>
      </c>
      <c r="AC1548" s="89">
        <f t="shared" si="491"/>
        <v>1397</v>
      </c>
      <c r="AD1548" s="89">
        <f t="shared" si="492"/>
        <v>1902</v>
      </c>
      <c r="AE1548" s="90">
        <f t="shared" si="502"/>
        <v>394</v>
      </c>
      <c r="AF1548" s="90">
        <f t="shared" si="493"/>
        <v>2013</v>
      </c>
      <c r="AG1548" s="90">
        <f t="shared" si="503"/>
        <v>1397</v>
      </c>
      <c r="AH1548" s="90">
        <f t="shared" si="494"/>
        <v>2018</v>
      </c>
      <c r="AI1548" s="90">
        <f t="shared" si="495"/>
        <v>1902</v>
      </c>
      <c r="AJ1548" s="90">
        <f t="shared" si="496"/>
        <v>2022</v>
      </c>
      <c r="AK1548" s="90" t="str">
        <f t="shared" si="497"/>
        <v/>
      </c>
      <c r="AL1548" s="91">
        <f>IF(AK1548="Adjust",(_xlfn.XLOOKUP(A1548,'Adj factor'!A:A,'Adj factor'!I:I,,0)*AI1548),'Master DataSheet (Rev)'!AI1548)</f>
        <v>1902</v>
      </c>
      <c r="AM1548" s="91">
        <f t="shared" si="498"/>
        <v>1902</v>
      </c>
      <c r="AN1548" s="92" t="str">
        <f t="shared" si="499"/>
        <v>Increasing</v>
      </c>
      <c r="AS1548" s="94">
        <f t="shared" si="500"/>
        <v>0.29065861212799593</v>
      </c>
      <c r="AT1548" s="94">
        <f t="shared" si="501"/>
        <v>0.92810451958333706</v>
      </c>
      <c r="AU1548" s="94">
        <f t="shared" si="505"/>
        <v>1.1654028295760124</v>
      </c>
      <c r="AV1548" s="94">
        <f t="shared" si="506"/>
        <v>1.1654028295760124</v>
      </c>
    </row>
    <row r="1549" spans="1:48" x14ac:dyDescent="0.3">
      <c r="A1549" s="85" t="str">
        <f>_xlfn.XLOOKUP(B1549,'Country codes &amp; Data sources'!G:G,'Country codes &amp; Data sources'!H:H,,0)</f>
        <v>Zimbabwe</v>
      </c>
      <c r="B1549" s="85" t="s">
        <v>193</v>
      </c>
      <c r="C1549" s="85">
        <v>13265341</v>
      </c>
      <c r="D1549" s="85" t="s">
        <v>336</v>
      </c>
      <c r="E1549" s="86">
        <v>0</v>
      </c>
      <c r="F1549" s="86">
        <v>13555421.500000011</v>
      </c>
      <c r="G1549" s="86">
        <v>0</v>
      </c>
      <c r="H1549" s="86"/>
      <c r="I1549" s="86">
        <v>511</v>
      </c>
      <c r="J1549" s="86"/>
      <c r="K1549" s="86">
        <v>443</v>
      </c>
      <c r="L1549" s="86"/>
      <c r="M1549" s="86">
        <v>540</v>
      </c>
      <c r="N1549" s="86"/>
      <c r="O1549" s="86">
        <v>726</v>
      </c>
      <c r="P1549" s="86">
        <v>15052184.000000007</v>
      </c>
      <c r="Q1549" s="86">
        <v>1827</v>
      </c>
      <c r="R1549" s="87">
        <f>MAX(Q1549,AA1549)</f>
        <v>1827</v>
      </c>
      <c r="T1549" s="87">
        <v>0</v>
      </c>
      <c r="U1549" s="89"/>
      <c r="V1549" s="89">
        <v>0</v>
      </c>
      <c r="W1549" s="90"/>
      <c r="X1549" s="90">
        <v>0</v>
      </c>
      <c r="Y1549" s="90">
        <v>16320536.999999996</v>
      </c>
      <c r="Z1549" s="90">
        <v>588</v>
      </c>
      <c r="AA1549" s="90">
        <v>553</v>
      </c>
      <c r="AB1549" s="89">
        <f t="shared" si="490"/>
        <v>511</v>
      </c>
      <c r="AC1549" s="89">
        <f t="shared" si="491"/>
        <v>1827</v>
      </c>
      <c r="AD1549" s="89">
        <f t="shared" si="492"/>
        <v>588</v>
      </c>
      <c r="AE1549" s="90">
        <f t="shared" si="502"/>
        <v>511</v>
      </c>
      <c r="AF1549" s="90">
        <f t="shared" si="493"/>
        <v>2014</v>
      </c>
      <c r="AG1549" s="90">
        <f t="shared" si="503"/>
        <v>1827</v>
      </c>
      <c r="AH1549" s="90">
        <f t="shared" si="494"/>
        <v>2018</v>
      </c>
      <c r="AI1549" s="90">
        <f t="shared" si="495"/>
        <v>588</v>
      </c>
      <c r="AJ1549" s="90">
        <f t="shared" si="496"/>
        <v>2022</v>
      </c>
      <c r="AK1549" s="90" t="str">
        <f t="shared" si="497"/>
        <v>Adjust</v>
      </c>
      <c r="AL1549" s="91">
        <f>IF(AK1549="Adjust",(_xlfn.XLOOKUP(A1549,'Adj factor'!A:A,'Adj factor'!I:I,,0)*AI1549),'Master DataSheet (Rev)'!AI1549)</f>
        <v>679.97778394890315</v>
      </c>
      <c r="AM1549" s="91">
        <f t="shared" si="498"/>
        <v>1827</v>
      </c>
      <c r="AN1549" s="92" t="str">
        <f t="shared" si="499"/>
        <v>Decreasing</v>
      </c>
      <c r="AS1549" s="94">
        <f t="shared" si="500"/>
        <v>0.37697094111016732</v>
      </c>
      <c r="AT1549" s="94">
        <f t="shared" si="501"/>
        <v>1.213777349519511</v>
      </c>
      <c r="AU1549" s="94">
        <f t="shared" si="505"/>
        <v>0.41663934461770669</v>
      </c>
      <c r="AV1549" s="94">
        <f t="shared" si="506"/>
        <v>1.1194484593245924</v>
      </c>
    </row>
    <row r="1550" spans="1:48" x14ac:dyDescent="0.3">
      <c r="A1550" s="85" t="str">
        <f>_xlfn.XLOOKUP(B1550,'Country codes &amp; Data sources'!G:G,'Country codes &amp; Data sources'!H:H,,0)</f>
        <v>Zimbabwe</v>
      </c>
      <c r="B1550" s="85" t="s">
        <v>193</v>
      </c>
      <c r="C1550" s="85">
        <v>13265342</v>
      </c>
      <c r="D1550" s="85" t="s">
        <v>337</v>
      </c>
      <c r="E1550" s="86">
        <v>233</v>
      </c>
      <c r="F1550" s="86">
        <v>13555421.500000011</v>
      </c>
      <c r="G1550" s="86">
        <v>236</v>
      </c>
      <c r="H1550" s="86"/>
      <c r="I1550" s="86">
        <v>107</v>
      </c>
      <c r="J1550" s="86"/>
      <c r="K1550" s="86">
        <v>66</v>
      </c>
      <c r="L1550" s="86"/>
      <c r="M1550" s="86">
        <v>136</v>
      </c>
      <c r="N1550" s="86"/>
      <c r="O1550" s="86">
        <v>109</v>
      </c>
      <c r="P1550" s="86">
        <v>15052184.000000007</v>
      </c>
      <c r="Q1550" s="86">
        <v>104</v>
      </c>
      <c r="R1550" s="87">
        <f t="shared" si="504"/>
        <v>142</v>
      </c>
      <c r="T1550" s="87">
        <v>248</v>
      </c>
      <c r="U1550" s="89"/>
      <c r="V1550" s="89">
        <v>234</v>
      </c>
      <c r="W1550" s="90"/>
      <c r="X1550" s="90">
        <v>0</v>
      </c>
      <c r="Y1550" s="90">
        <v>16320536.999999996</v>
      </c>
      <c r="Z1550" s="103">
        <v>201</v>
      </c>
      <c r="AA1550" s="90">
        <v>142</v>
      </c>
      <c r="AB1550" s="89">
        <f t="shared" si="490"/>
        <v>236</v>
      </c>
      <c r="AC1550" s="89">
        <f t="shared" si="491"/>
        <v>248</v>
      </c>
      <c r="AD1550" s="89">
        <f t="shared" si="492"/>
        <v>234</v>
      </c>
      <c r="AE1550" s="90">
        <f t="shared" si="502"/>
        <v>236</v>
      </c>
      <c r="AF1550" s="90">
        <f t="shared" si="493"/>
        <v>2013</v>
      </c>
      <c r="AG1550" s="90">
        <f t="shared" si="503"/>
        <v>142</v>
      </c>
      <c r="AH1550" s="90" t="str">
        <f t="shared" si="494"/>
        <v>2018 (triag)</v>
      </c>
      <c r="AI1550" s="90">
        <f t="shared" si="495"/>
        <v>201</v>
      </c>
      <c r="AJ1550" s="90">
        <f t="shared" si="496"/>
        <v>2022</v>
      </c>
      <c r="AK1550" s="90" t="str">
        <f t="shared" si="497"/>
        <v/>
      </c>
      <c r="AL1550" s="91">
        <f>IF(AK1550="Adjust",(_xlfn.XLOOKUP(A1550,'Adj factor'!A:A,'Adj factor'!I:I,,0)*AI1550),'Master DataSheet (Rev)'!AI1550)</f>
        <v>201</v>
      </c>
      <c r="AM1550" s="91">
        <f t="shared" si="498"/>
        <v>201</v>
      </c>
      <c r="AN1550" s="92" t="str">
        <f t="shared" si="499"/>
        <v>Increasing</v>
      </c>
      <c r="AS1550" s="94">
        <f t="shared" si="500"/>
        <v>0.17410008239138841</v>
      </c>
      <c r="AT1550" s="94">
        <f t="shared" si="501"/>
        <v>9.4338469420783014E-2</v>
      </c>
      <c r="AU1550" s="94">
        <f t="shared" si="505"/>
        <v>0.12315771227380573</v>
      </c>
      <c r="AV1550" s="94">
        <f t="shared" si="506"/>
        <v>0.12315771227380573</v>
      </c>
    </row>
    <row r="1551" spans="1:48" x14ac:dyDescent="0.3">
      <c r="A1551" s="85" t="str">
        <f>_xlfn.XLOOKUP(B1551,'Country codes &amp; Data sources'!G:G,'Country codes &amp; Data sources'!H:H,,0)</f>
        <v>Zimbabwe</v>
      </c>
      <c r="B1551" s="85" t="s">
        <v>193</v>
      </c>
      <c r="C1551" s="85">
        <v>13265343</v>
      </c>
      <c r="D1551" s="85" t="s">
        <v>338</v>
      </c>
      <c r="E1551" s="86">
        <v>0</v>
      </c>
      <c r="F1551" s="86">
        <v>13555421.500000011</v>
      </c>
      <c r="G1551" s="86">
        <v>0</v>
      </c>
      <c r="H1551" s="86"/>
      <c r="I1551" s="86">
        <v>171</v>
      </c>
      <c r="J1551" s="86"/>
      <c r="K1551" s="86">
        <v>261</v>
      </c>
      <c r="L1551" s="86"/>
      <c r="M1551" s="86">
        <v>157</v>
      </c>
      <c r="N1551" s="86"/>
      <c r="O1551" s="86">
        <v>276</v>
      </c>
      <c r="P1551" s="86">
        <v>15052184.000000007</v>
      </c>
      <c r="Q1551" s="86">
        <v>508</v>
      </c>
      <c r="R1551" s="87">
        <f t="shared" si="504"/>
        <v>508</v>
      </c>
      <c r="T1551" s="87">
        <v>329</v>
      </c>
      <c r="U1551" s="89"/>
      <c r="V1551" s="89">
        <v>0</v>
      </c>
      <c r="W1551" s="90"/>
      <c r="X1551" s="90">
        <v>0</v>
      </c>
      <c r="Y1551" s="90">
        <v>16320536.999999996</v>
      </c>
      <c r="Z1551" s="90">
        <v>178</v>
      </c>
      <c r="AA1551" s="90">
        <v>205</v>
      </c>
      <c r="AB1551" s="89">
        <f t="shared" si="490"/>
        <v>261</v>
      </c>
      <c r="AC1551" s="89">
        <f t="shared" si="491"/>
        <v>508</v>
      </c>
      <c r="AD1551" s="89">
        <f t="shared" si="492"/>
        <v>178</v>
      </c>
      <c r="AE1551" s="90">
        <f t="shared" si="502"/>
        <v>171</v>
      </c>
      <c r="AF1551" s="90">
        <f t="shared" si="493"/>
        <v>2014</v>
      </c>
      <c r="AG1551" s="90">
        <f t="shared" si="503"/>
        <v>508</v>
      </c>
      <c r="AH1551" s="90">
        <f t="shared" si="494"/>
        <v>2018</v>
      </c>
      <c r="AI1551" s="90">
        <f t="shared" si="495"/>
        <v>178</v>
      </c>
      <c r="AJ1551" s="90">
        <f t="shared" si="496"/>
        <v>2022</v>
      </c>
      <c r="AK1551" s="90" t="str">
        <f t="shared" si="497"/>
        <v>Adjust</v>
      </c>
      <c r="AL1551" s="91">
        <f>IF(AK1551="Adjust",(_xlfn.XLOOKUP(A1551,'Adj factor'!A:A,'Adj factor'!I:I,,0)*AI1551),'Master DataSheet (Rev)'!AI1551)</f>
        <v>205.84361486888565</v>
      </c>
      <c r="AM1551" s="91">
        <f t="shared" si="498"/>
        <v>508</v>
      </c>
      <c r="AN1551" s="92" t="str">
        <f t="shared" si="499"/>
        <v>Decreasing</v>
      </c>
      <c r="AS1551" s="94">
        <f t="shared" si="500"/>
        <v>0.12614878851240433</v>
      </c>
      <c r="AT1551" s="94">
        <f t="shared" si="501"/>
        <v>0.33749255257575894</v>
      </c>
      <c r="AU1551" s="94">
        <f t="shared" si="505"/>
        <v>0.12612551588767312</v>
      </c>
      <c r="AV1551" s="94">
        <f t="shared" si="506"/>
        <v>0.31126426783628514</v>
      </c>
    </row>
    <row r="1552" spans="1:48" x14ac:dyDescent="0.3">
      <c r="A1552" s="85" t="str">
        <f>_xlfn.XLOOKUP(B1552,'Country codes &amp; Data sources'!G:G,'Country codes &amp; Data sources'!H:H,,0)</f>
        <v>Zimbabwe</v>
      </c>
      <c r="B1552" s="85" t="s">
        <v>193</v>
      </c>
      <c r="C1552" s="85">
        <v>13265344</v>
      </c>
      <c r="D1552" s="85" t="s">
        <v>339</v>
      </c>
      <c r="E1552" s="86">
        <v>0</v>
      </c>
      <c r="F1552" s="86">
        <v>13555421.500000011</v>
      </c>
      <c r="G1552" s="86">
        <v>0</v>
      </c>
      <c r="H1552" s="86"/>
      <c r="I1552" s="86">
        <v>0</v>
      </c>
      <c r="J1552" s="86"/>
      <c r="K1552" s="86">
        <v>0</v>
      </c>
      <c r="L1552" s="86"/>
      <c r="M1552" s="86">
        <v>0</v>
      </c>
      <c r="N1552" s="86"/>
      <c r="O1552" s="86">
        <v>0</v>
      </c>
      <c r="P1552" s="86">
        <v>15052184.000000007</v>
      </c>
      <c r="Q1552" s="86">
        <v>0</v>
      </c>
      <c r="R1552" s="87">
        <f t="shared" si="504"/>
        <v>0</v>
      </c>
      <c r="T1552" s="87">
        <v>0</v>
      </c>
      <c r="U1552" s="89"/>
      <c r="V1552" s="89">
        <v>0</v>
      </c>
      <c r="W1552" s="90"/>
      <c r="X1552" s="90">
        <v>0</v>
      </c>
      <c r="Y1552" s="90">
        <v>16320536.999999996</v>
      </c>
      <c r="Z1552" s="90">
        <v>39</v>
      </c>
      <c r="AA1552" s="90">
        <v>0</v>
      </c>
      <c r="AB1552" s="89">
        <f t="shared" si="490"/>
        <v>0</v>
      </c>
      <c r="AC1552" s="89">
        <f t="shared" si="491"/>
        <v>0</v>
      </c>
      <c r="AD1552" s="89">
        <f t="shared" si="492"/>
        <v>39</v>
      </c>
      <c r="AF1552" s="90" t="str">
        <f t="shared" si="493"/>
        <v/>
      </c>
      <c r="AH1552" s="90" t="str">
        <f t="shared" si="494"/>
        <v/>
      </c>
      <c r="AI1552" s="90">
        <f t="shared" si="495"/>
        <v>39</v>
      </c>
      <c r="AJ1552" s="90">
        <f t="shared" si="496"/>
        <v>2022</v>
      </c>
      <c r="AK1552" s="90" t="str">
        <f t="shared" si="497"/>
        <v/>
      </c>
      <c r="AL1552" s="91">
        <f>IF(AK1552="Adjust",(_xlfn.XLOOKUP(A1552,'Adj factor'!A:A,'Adj factor'!I:I,,0)*AI1552),'Master DataSheet (Rev)'!AI1552)</f>
        <v>39</v>
      </c>
      <c r="AM1552" s="91">
        <f t="shared" si="498"/>
        <v>39</v>
      </c>
      <c r="AN1552" s="92" t="str">
        <f t="shared" si="499"/>
        <v>Increasing</v>
      </c>
      <c r="AS1552" s="94">
        <f t="shared" si="500"/>
        <v>0</v>
      </c>
      <c r="AT1552" s="94">
        <f t="shared" si="501"/>
        <v>0</v>
      </c>
      <c r="AU1552" s="94">
        <f t="shared" si="505"/>
        <v>2.3896272530738425E-2</v>
      </c>
      <c r="AV1552" s="94">
        <f t="shared" si="506"/>
        <v>2.3896272530738425E-2</v>
      </c>
    </row>
    <row r="1559" spans="40:40" x14ac:dyDescent="0.3">
      <c r="AN1559" s="94"/>
    </row>
  </sheetData>
  <autoFilter ref="A1:AV1552" xr:uid="{0D193B54-89ED-4975-B897-C4AF2A19C791}"/>
  <conditionalFormatting sqref="AN1:AN1048576">
    <cfRule type="containsText" dxfId="3" priority="1" operator="containsText" text="Increasing">
      <formula>NOT(ISERROR(SEARCH("Increasing",AN1)))</formula>
    </cfRule>
    <cfRule type="containsText" dxfId="2" priority="2" operator="containsText" text="Increasing">
      <formula>NOT(ISERROR(SEARCH("Increasing",AN1)))</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3" operator="containsText" id="{50DBC528-65FD-4F17-82B2-96399C88A221}">
            <xm:f>NOT(ISERROR(SEARCH($AN$3,AN1)))</xm:f>
            <xm:f>$AN$3</xm:f>
            <x14:dxf>
              <font>
                <color rgb="FF9C0006"/>
              </font>
              <fill>
                <patternFill>
                  <bgColor rgb="FFFFC7CE"/>
                </patternFill>
              </fill>
            </x14:dxf>
          </x14:cfRule>
          <xm:sqref>AN1</xm:sqref>
        </x14:conditionalFormatting>
        <x14:conditionalFormatting xmlns:xm="http://schemas.microsoft.com/office/excel/2006/main">
          <x14:cfRule type="containsText" priority="5" operator="containsText" id="{FF86BC05-E37E-4555-B685-4E175D66B587}">
            <xm:f>NOT(ISERROR(SEARCH(#REF!,AN1)))</xm:f>
            <xm:f>#REF!</xm:f>
            <x14:dxf>
              <font>
                <color rgb="FF9C0006"/>
              </font>
              <fill>
                <patternFill>
                  <bgColor rgb="FFFFC7CE"/>
                </patternFill>
              </fill>
            </x14:dxf>
          </x14:cfRule>
          <xm:sqref>AN1:AN1048576</xm:sqref>
        </x14:conditionalFormatting>
      </x14:conditionalFormatting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337E-9233-4B7D-89A0-F9D9F73EB140}">
  <sheetPr>
    <tabColor rgb="FF00B050"/>
  </sheetPr>
  <dimension ref="A1:AW1787"/>
  <sheetViews>
    <sheetView zoomScale="80" zoomScaleNormal="80" workbookViewId="0">
      <pane xSplit="4" ySplit="1" topLeftCell="E4" activePane="bottomRight" state="frozen"/>
      <selection pane="topRight" activeCell="E1" sqref="E1"/>
      <selection pane="bottomLeft" activeCell="A2" sqref="A2"/>
      <selection pane="bottomRight" activeCell="D2" sqref="D2:D25"/>
    </sheetView>
  </sheetViews>
  <sheetFormatPr defaultColWidth="9.1796875" defaultRowHeight="14" x14ac:dyDescent="0.3"/>
  <cols>
    <col min="1" max="1" width="16.453125" style="85" customWidth="1"/>
    <col min="2" max="2" width="8.1796875" style="85" customWidth="1"/>
    <col min="3" max="3" width="13.36328125" style="85" customWidth="1"/>
    <col min="4" max="4" width="46.6328125" style="85" customWidth="1"/>
    <col min="5" max="5" width="10.26953125" style="87" bestFit="1" customWidth="1"/>
    <col min="6" max="6" width="14.90625" style="87" bestFit="1" customWidth="1"/>
    <col min="7" max="7" width="11.26953125" style="87" bestFit="1" customWidth="1"/>
    <col min="8" max="8" width="14.90625" style="87" bestFit="1" customWidth="1"/>
    <col min="9" max="9" width="10.26953125" style="87" bestFit="1" customWidth="1"/>
    <col min="10" max="10" width="14.90625" style="87" bestFit="1" customWidth="1"/>
    <col min="11" max="11" width="10.26953125" style="87" bestFit="1" customWidth="1"/>
    <col min="12" max="12" width="14.90625" style="87" bestFit="1" customWidth="1"/>
    <col min="13" max="13" width="11.26953125" style="87" bestFit="1" customWidth="1"/>
    <col min="14" max="14" width="14.90625" style="87" bestFit="1" customWidth="1"/>
    <col min="15" max="15" width="10.26953125" style="87" bestFit="1" customWidth="1"/>
    <col min="16" max="16" width="14.90625" style="87" bestFit="1" customWidth="1"/>
    <col min="17" max="17" width="11.26953125" style="87" bestFit="1" customWidth="1"/>
    <col min="18" max="18" width="9.90625" style="87" bestFit="1" customWidth="1"/>
    <col min="19" max="19" width="13.7265625" style="87" bestFit="1" customWidth="1"/>
    <col min="20" max="20" width="9.90625" style="87" bestFit="1" customWidth="1"/>
    <col min="21" max="21" width="13.7265625" style="87" bestFit="1" customWidth="1"/>
    <col min="22" max="22" width="8.453125" style="87" bestFit="1" customWidth="1"/>
    <col min="23" max="23" width="13.7265625" style="87" bestFit="1" customWidth="1"/>
    <col min="24" max="24" width="9.90625" style="87" bestFit="1" customWidth="1"/>
    <col min="25" max="25" width="13.7265625" style="87" bestFit="1" customWidth="1"/>
    <col min="26" max="26" width="9.90625" style="87" bestFit="1" customWidth="1"/>
    <col min="27" max="27" width="11.7265625" style="87" bestFit="1" customWidth="1"/>
    <col min="28" max="28" width="8.7265625" style="89" bestFit="1" customWidth="1"/>
    <col min="29" max="30" width="8.90625" style="89" bestFit="1" customWidth="1"/>
    <col min="31" max="31" width="8.453125" style="90" bestFit="1" customWidth="1"/>
    <col min="32" max="32" width="9.453125" style="90" bestFit="1" customWidth="1"/>
    <col min="33" max="33" width="8.90625" style="90" bestFit="1" customWidth="1"/>
    <col min="34" max="34" width="11.453125" style="90" bestFit="1" customWidth="1"/>
    <col min="35" max="35" width="8.90625" style="90" bestFit="1" customWidth="1"/>
    <col min="36" max="36" width="11.453125" style="90" bestFit="1" customWidth="1"/>
    <col min="37" max="37" width="12.81640625" style="90" customWidth="1"/>
    <col min="38" max="38" width="11.26953125" style="90" bestFit="1" customWidth="1"/>
    <col min="39" max="39" width="14.6328125" style="90" hidden="1" customWidth="1"/>
    <col min="40" max="40" width="12.1796875" style="85" bestFit="1" customWidth="1"/>
    <col min="41" max="42" width="11.26953125" style="85" bestFit="1" customWidth="1"/>
    <col min="43" max="43" width="9.7265625" style="85" bestFit="1" customWidth="1"/>
    <col min="44" max="44" width="11.26953125" style="85" bestFit="1" customWidth="1"/>
    <col min="45" max="46" width="8.453125" style="85" bestFit="1" customWidth="1"/>
    <col min="47" max="47" width="11.26953125" style="85" bestFit="1" customWidth="1"/>
    <col min="48" max="16384" width="9.1796875" style="85"/>
  </cols>
  <sheetData>
    <row r="1" spans="1:47" s="108" customFormat="1" ht="56" x14ac:dyDescent="0.35">
      <c r="A1" s="106" t="s">
        <v>233</v>
      </c>
      <c r="B1" s="106" t="s">
        <v>0</v>
      </c>
      <c r="C1" s="106" t="s">
        <v>210</v>
      </c>
      <c r="D1" s="106" t="s">
        <v>211</v>
      </c>
      <c r="E1" s="107">
        <v>2012</v>
      </c>
      <c r="F1" s="107" t="s">
        <v>212</v>
      </c>
      <c r="G1" s="107">
        <v>2013</v>
      </c>
      <c r="H1" s="107" t="s">
        <v>213</v>
      </c>
      <c r="I1" s="107">
        <v>2014</v>
      </c>
      <c r="J1" s="107" t="s">
        <v>214</v>
      </c>
      <c r="K1" s="107">
        <v>2015</v>
      </c>
      <c r="L1" s="107" t="s">
        <v>215</v>
      </c>
      <c r="M1" s="107">
        <v>2016</v>
      </c>
      <c r="N1" s="107" t="s">
        <v>216</v>
      </c>
      <c r="O1" s="107">
        <v>2017</v>
      </c>
      <c r="P1" s="107" t="s">
        <v>217</v>
      </c>
      <c r="Q1" s="107">
        <v>2018</v>
      </c>
      <c r="R1" s="107" t="s">
        <v>258</v>
      </c>
      <c r="S1" s="107" t="s">
        <v>218</v>
      </c>
      <c r="T1" s="107">
        <v>2019</v>
      </c>
      <c r="U1" s="107" t="s">
        <v>219</v>
      </c>
      <c r="V1" s="107">
        <v>2020</v>
      </c>
      <c r="W1" s="107" t="s">
        <v>220</v>
      </c>
      <c r="X1" s="107">
        <v>2021</v>
      </c>
      <c r="Y1" s="107" t="s">
        <v>221</v>
      </c>
      <c r="Z1" s="107">
        <v>2022</v>
      </c>
      <c r="AA1" s="107" t="s">
        <v>222</v>
      </c>
      <c r="AB1" s="106" t="s">
        <v>224</v>
      </c>
      <c r="AC1" s="106" t="s">
        <v>225</v>
      </c>
      <c r="AD1" s="106" t="s">
        <v>226</v>
      </c>
      <c r="AE1" s="106" t="s">
        <v>254</v>
      </c>
      <c r="AF1" s="106" t="s">
        <v>255</v>
      </c>
      <c r="AG1" s="106" t="s">
        <v>256</v>
      </c>
      <c r="AH1" s="106" t="s">
        <v>257</v>
      </c>
      <c r="AI1" s="106" t="s">
        <v>259</v>
      </c>
      <c r="AJ1" s="106" t="s">
        <v>260</v>
      </c>
      <c r="AK1" s="106" t="s">
        <v>261</v>
      </c>
      <c r="AL1" s="106" t="s">
        <v>271</v>
      </c>
      <c r="AM1" s="106" t="s">
        <v>274</v>
      </c>
      <c r="AN1" s="106" t="s">
        <v>272</v>
      </c>
      <c r="AO1" s="106" t="s">
        <v>248</v>
      </c>
      <c r="AP1" s="106" t="s">
        <v>234</v>
      </c>
      <c r="AQ1" s="106" t="s">
        <v>251</v>
      </c>
      <c r="AR1" s="106" t="s">
        <v>273</v>
      </c>
      <c r="AS1" s="106" t="s">
        <v>252</v>
      </c>
      <c r="AT1" s="106" t="s">
        <v>253</v>
      </c>
      <c r="AU1" s="106" t="s">
        <v>287</v>
      </c>
    </row>
    <row r="2" spans="1:47" x14ac:dyDescent="0.3">
      <c r="A2" s="85" t="str">
        <f>_xlfn.XLOOKUP(B2,'Country codes &amp; Data sources'!G:G,'Country codes &amp; Data sources'!H:H,,0)</f>
        <v>Angola</v>
      </c>
      <c r="B2" s="85" t="s">
        <v>162</v>
      </c>
      <c r="C2" s="86">
        <v>25188292.499999996</v>
      </c>
      <c r="D2" s="85" t="s">
        <v>321</v>
      </c>
      <c r="E2" s="87">
        <v>0</v>
      </c>
      <c r="F2" s="88">
        <v>26147002.000000011</v>
      </c>
      <c r="G2" s="87">
        <v>0</v>
      </c>
      <c r="H2" s="87">
        <v>27128336.499999981</v>
      </c>
      <c r="I2" s="87">
        <v>0</v>
      </c>
      <c r="J2" s="87">
        <v>28127721.000000004</v>
      </c>
      <c r="K2" s="87">
        <v>0</v>
      </c>
      <c r="L2" s="87">
        <v>29154745.500000007</v>
      </c>
      <c r="M2" s="87">
        <v>0</v>
      </c>
      <c r="N2" s="87">
        <v>30208628.000000015</v>
      </c>
      <c r="O2" s="87">
        <v>12800</v>
      </c>
      <c r="P2" s="88">
        <v>31273533.000000004</v>
      </c>
      <c r="Q2" s="87">
        <v>13186</v>
      </c>
      <c r="R2" s="87">
        <f>MAX(Q2,AA2)</f>
        <v>13186</v>
      </c>
      <c r="S2" s="87">
        <v>32353587.999999993</v>
      </c>
      <c r="T2" s="87">
        <v>0</v>
      </c>
      <c r="U2" s="87">
        <v>33428485.999999974</v>
      </c>
      <c r="V2" s="87">
        <v>0</v>
      </c>
      <c r="W2" s="87">
        <v>34503773.49999997</v>
      </c>
      <c r="X2" s="87">
        <v>0</v>
      </c>
      <c r="Y2" s="88">
        <v>35588987.00000003</v>
      </c>
      <c r="Z2" s="87">
        <v>21301</v>
      </c>
      <c r="AA2" s="103">
        <v>6593</v>
      </c>
      <c r="AB2" s="89">
        <f>MAX(G2,E2,I2,K2)</f>
        <v>0</v>
      </c>
      <c r="AC2" s="109">
        <f>MAX(M2,O2,Q2,T2)</f>
        <v>13186</v>
      </c>
      <c r="AD2" s="89">
        <f>MAX(V2,X2,Z2)</f>
        <v>21301</v>
      </c>
      <c r="AE2" s="90">
        <f>IF(G2&gt;0,G2,IF(E2&gt;0,E2,IF(I2&gt;0,I2,K2)))</f>
        <v>0</v>
      </c>
      <c r="AF2" s="90" t="str">
        <f>IF(AE2&gt;0,_xlfn.XLOOKUP(AE2,$B2:$K2,$B$1:$K$1,,0),"")</f>
        <v/>
      </c>
      <c r="AG2" s="90">
        <f>IF(R2&gt;0,R2,IF(O2&gt;0,O2,T2))</f>
        <v>13186</v>
      </c>
      <c r="AH2" s="90">
        <f>IF(AG2&gt;0,_xlfn.XLOOKUP(AG2,$L2:$T2,$L$1:$T$1,,0),"")</f>
        <v>2018</v>
      </c>
      <c r="AI2" s="90">
        <f>IF((IF(Z2&gt;0,Z2,IF(X2&gt;0,X2,IF(V2&gt;0,V2,T2))))=0,AG2,IF(Z2&gt;0,Z2,IF(X2&gt;0,X2,IF(V2&gt;0,V2,T2))))</f>
        <v>21301</v>
      </c>
      <c r="AJ2" s="90">
        <f>IFERROR(IF(AI2&gt;0,_xlfn.XLOOKUP(AI2,$V2:$Z2,$V$1:$Z$1,,0),""),AH2)</f>
        <v>2022</v>
      </c>
      <c r="AK2" s="90" t="str">
        <f>IF(AI2&lt;AG2,"Adjust","")</f>
        <v/>
      </c>
      <c r="AL2" s="91">
        <f>IF(AK2="Adjust",(_xlfn.XLOOKUP(A2,'Adj factor'!A:A,'Adj factor'!I:I,,0)*AI2),'Master DataSheet'!AI2)</f>
        <v>21301</v>
      </c>
      <c r="AM2" s="91">
        <f>IF(AL2&lt;AG2,AG2,AL2)</f>
        <v>21301</v>
      </c>
      <c r="AN2" s="92" t="str">
        <f>IF(AL2&gt;AG2,"Increasing",IF(AL2&lt;AG2,"Decreasing","No change"))</f>
        <v>Increasing</v>
      </c>
      <c r="AO2" s="93">
        <f>VLOOKUP(B2,'Growthrates source'!A$2:H$49,8,FALSE)</f>
        <v>0.3113441654036182</v>
      </c>
      <c r="AP2" s="93">
        <f>VLOOKUP(B2,'Growthrates source'!A$2:I$49,9,FALSE)</f>
        <v>5.4673730437993617E-2</v>
      </c>
      <c r="AQ2" s="86">
        <f>AA2/(EXP(AO2*5))</f>
        <v>1389.9776294789715</v>
      </c>
      <c r="AR2" s="86">
        <f>AA2*EXP(AP2*3)</f>
        <v>7768.1315945777715</v>
      </c>
      <c r="AS2" s="94">
        <f>(AE2*10000)/F2</f>
        <v>0</v>
      </c>
      <c r="AT2" s="94">
        <f>(AG2*10000)/P2</f>
        <v>4.2163448562079626</v>
      </c>
      <c r="AU2" s="94">
        <f>(AM2*10000)/Y2</f>
        <v>5.9852785357447749</v>
      </c>
    </row>
    <row r="3" spans="1:47" x14ac:dyDescent="0.3">
      <c r="A3" s="85" t="str">
        <f>_xlfn.XLOOKUP(B3,'Country codes &amp; Data sources'!G:G,'Country codes &amp; Data sources'!H:H,,0)</f>
        <v>Angola</v>
      </c>
      <c r="B3" s="85" t="s">
        <v>162</v>
      </c>
      <c r="C3" s="86">
        <v>25188292.499999996</v>
      </c>
      <c r="D3" s="85" t="s">
        <v>322</v>
      </c>
      <c r="E3" s="87">
        <v>0</v>
      </c>
      <c r="F3" s="88">
        <v>26147002.000000011</v>
      </c>
      <c r="G3" s="87">
        <v>0</v>
      </c>
      <c r="I3" s="87">
        <v>0</v>
      </c>
      <c r="K3" s="87">
        <v>0</v>
      </c>
      <c r="M3" s="87">
        <v>0</v>
      </c>
      <c r="O3" s="87">
        <v>0</v>
      </c>
      <c r="P3" s="88">
        <v>31273533.000000004</v>
      </c>
      <c r="Q3" s="87">
        <v>25108</v>
      </c>
      <c r="R3" s="87">
        <f t="shared" ref="R3:R66" si="0">MAX(Q3,AA3)</f>
        <v>46082</v>
      </c>
      <c r="T3" s="87">
        <v>0</v>
      </c>
      <c r="V3" s="87">
        <v>0</v>
      </c>
      <c r="X3" s="87">
        <v>0</v>
      </c>
      <c r="Y3" s="88">
        <v>35588987.00000003</v>
      </c>
      <c r="Z3" s="87">
        <v>89978</v>
      </c>
      <c r="AA3" s="87">
        <v>46082</v>
      </c>
      <c r="AB3" s="89">
        <f t="shared" ref="AB3:AB66" si="1">MAX(G3,E3,I3,K3)</f>
        <v>0</v>
      </c>
      <c r="AC3" s="89">
        <f t="shared" ref="AC3:AC66" si="2">MAX(M3,O3,Q3,T3)</f>
        <v>25108</v>
      </c>
      <c r="AD3" s="89">
        <f t="shared" ref="AD3:AD66" si="3">MAX(V3,X3,Z3)</f>
        <v>89978</v>
      </c>
      <c r="AE3" s="90">
        <f t="shared" ref="AE3:AE66" si="4">IF(G3&gt;0,G3,IF(E3&gt;0,E3,IF(I3&gt;0,I3,K3)))</f>
        <v>0</v>
      </c>
      <c r="AF3" s="90" t="str">
        <f t="shared" ref="AF3:AF66" si="5">IF(AE3&gt;0,_xlfn.XLOOKUP(AE3,$B3:$K3,$B$1:$K$1,,0),"")</f>
        <v/>
      </c>
      <c r="AG3" s="90">
        <f t="shared" ref="AG3:AG66" si="6">IF(R3&gt;0,R3,IF(O3&gt;0,O3,T3))</f>
        <v>46082</v>
      </c>
      <c r="AH3" s="90" t="str">
        <f t="shared" ref="AH3:AH66" si="7">IF(AG3&gt;0,_xlfn.XLOOKUP(AG3,$L3:$T3,$L$1:$T$1,,0),"")</f>
        <v>2018 (triag)</v>
      </c>
      <c r="AI3" s="90">
        <f t="shared" ref="AI3:AI66" si="8">IF((IF(Z3&gt;0,Z3,IF(X3&gt;0,X3,IF(V3&gt;0,V3,T3))))=0,AG3,IF(Z3&gt;0,Z3,IF(X3&gt;0,X3,IF(V3&gt;0,V3,T3))))</f>
        <v>89978</v>
      </c>
      <c r="AJ3" s="90">
        <f t="shared" ref="AJ3:AJ66" si="9">IFERROR(IF(AI3&gt;0,_xlfn.XLOOKUP(AI3,$V3:$Z3,$V$1:$Z$1,,0),""),AH3)</f>
        <v>2022</v>
      </c>
      <c r="AK3" s="90" t="str">
        <f t="shared" ref="AK3:AK66" si="10">IF(AI3&lt;AG3,"Adjust","")</f>
        <v/>
      </c>
      <c r="AL3" s="91">
        <f>IF(AK3="Adjust",(_xlfn.XLOOKUP(A3,'Adj factor'!A:A,'Adj factor'!I:I,,0)*AI3),'Master DataSheet'!AI3)</f>
        <v>89978</v>
      </c>
      <c r="AM3" s="91">
        <f t="shared" ref="AM3:AM66" si="11">IF(AL3&lt;AG3,AG3,AL3)</f>
        <v>89978</v>
      </c>
      <c r="AN3" s="92" t="str">
        <f t="shared" ref="AN3:AN66" si="12">IF(AL3&gt;AG3,"Increasing",IF(AL3&lt;AG3,"Decreasing","No change"))</f>
        <v>Increasing</v>
      </c>
      <c r="AO3" s="93">
        <f>VLOOKUP(B3,'Growthrates source'!A$2:H$49,8,FALSE)</f>
        <v>0.3113441654036182</v>
      </c>
      <c r="AP3" s="93">
        <f>VLOOKUP(B3,'Growthrates source'!A$2:I$49,9,FALSE)</f>
        <v>5.4673730437993617E-2</v>
      </c>
      <c r="AQ3" s="86">
        <f t="shared" ref="AQ3:AQ66" si="13">AA3/(EXP(AO3*5))</f>
        <v>9715.296393394503</v>
      </c>
      <c r="AR3" s="86">
        <f t="shared" ref="AR3:AR66" si="14">AA3*EXP(AP3*3)</f>
        <v>54295.62265149899</v>
      </c>
      <c r="AS3" s="94">
        <f t="shared" ref="AS3:AS66" si="15">(AE3*10000)/F3</f>
        <v>0</v>
      </c>
      <c r="AT3" s="94">
        <f t="shared" ref="AT3:AT66" si="16">(AG3*10000)/P3</f>
        <v>14.735143611692351</v>
      </c>
      <c r="AU3" s="94">
        <f t="shared" ref="AU3:AU66" si="17">(AM3*10000)/Y3</f>
        <v>25.282540354407931</v>
      </c>
    </row>
    <row r="4" spans="1:47" x14ac:dyDescent="0.3">
      <c r="A4" s="85" t="str">
        <f>_xlfn.XLOOKUP(B4,'Country codes &amp; Data sources'!G:G,'Country codes &amp; Data sources'!H:H,,0)</f>
        <v>Angola</v>
      </c>
      <c r="B4" s="85" t="s">
        <v>162</v>
      </c>
      <c r="C4" s="86">
        <v>25188292.499999996</v>
      </c>
      <c r="D4" s="85" t="s">
        <v>323</v>
      </c>
      <c r="E4" s="87">
        <v>0</v>
      </c>
      <c r="F4" s="88">
        <v>26147002.000000011</v>
      </c>
      <c r="G4" s="87">
        <v>60</v>
      </c>
      <c r="I4" s="87">
        <v>0</v>
      </c>
      <c r="K4" s="87">
        <v>0</v>
      </c>
      <c r="M4" s="87">
        <v>0</v>
      </c>
      <c r="O4" s="87">
        <v>0</v>
      </c>
      <c r="P4" s="88">
        <v>31273533.000000004</v>
      </c>
      <c r="Q4" s="87">
        <v>0</v>
      </c>
      <c r="R4" s="87">
        <f t="shared" si="0"/>
        <v>1438</v>
      </c>
      <c r="T4" s="87">
        <v>0</v>
      </c>
      <c r="V4" s="87">
        <v>0</v>
      </c>
      <c r="X4" s="87">
        <v>0</v>
      </c>
      <c r="Y4" s="88">
        <v>35588987.00000003</v>
      </c>
      <c r="Z4" s="87">
        <v>44</v>
      </c>
      <c r="AA4" s="87">
        <v>1438</v>
      </c>
      <c r="AB4" s="89">
        <f t="shared" si="1"/>
        <v>60</v>
      </c>
      <c r="AC4" s="89">
        <f t="shared" si="2"/>
        <v>0</v>
      </c>
      <c r="AD4" s="89">
        <f t="shared" si="3"/>
        <v>44</v>
      </c>
      <c r="AE4" s="90">
        <f t="shared" si="4"/>
        <v>60</v>
      </c>
      <c r="AF4" s="90">
        <f t="shared" si="5"/>
        <v>2013</v>
      </c>
      <c r="AG4" s="90">
        <f>IF(R4&gt;0,R4,IF(O4&gt;0,O4,T4))</f>
        <v>1438</v>
      </c>
      <c r="AH4" s="90" t="str">
        <f t="shared" si="7"/>
        <v>2018 (triag)</v>
      </c>
      <c r="AI4" s="90">
        <f t="shared" si="8"/>
        <v>44</v>
      </c>
      <c r="AJ4" s="90">
        <f t="shared" si="9"/>
        <v>2022</v>
      </c>
      <c r="AK4" s="90" t="str">
        <f t="shared" si="10"/>
        <v>Adjust</v>
      </c>
      <c r="AL4" s="91">
        <f>IF(AK4="Adjust",(_xlfn.XLOOKUP(A4,'Adj factor'!A:A,'Adj factor'!I:I,,0)*AI4),'Master DataSheet'!AI4)</f>
        <v>65.250696122001145</v>
      </c>
      <c r="AM4" s="91">
        <f t="shared" si="11"/>
        <v>1438</v>
      </c>
      <c r="AN4" s="92" t="str">
        <f t="shared" si="12"/>
        <v>Decreasing</v>
      </c>
      <c r="AO4" s="93">
        <f>VLOOKUP(B4,'Growthrates source'!A$2:H$49,8,FALSE)</f>
        <v>0.3113441654036182</v>
      </c>
      <c r="AP4" s="93">
        <f>VLOOKUP(B4,'Growthrates source'!A$2:I$49,9,FALSE)</f>
        <v>5.4673730437993617E-2</v>
      </c>
      <c r="AQ4" s="86">
        <f t="shared" si="13"/>
        <v>303.16818310189001</v>
      </c>
      <c r="AR4" s="86">
        <f t="shared" si="14"/>
        <v>1694.3080893376057</v>
      </c>
      <c r="AS4" s="94">
        <f t="shared" si="15"/>
        <v>2.2947181478014181E-2</v>
      </c>
      <c r="AT4" s="94">
        <f t="shared" si="16"/>
        <v>0.45981373450834601</v>
      </c>
      <c r="AU4" s="94">
        <f t="shared" si="17"/>
        <v>0.40405758107135747</v>
      </c>
    </row>
    <row r="5" spans="1:47" x14ac:dyDescent="0.3">
      <c r="A5" s="85" t="str">
        <f>_xlfn.XLOOKUP(B5,'Country codes &amp; Data sources'!G:G,'Country codes &amp; Data sources'!H:H,,0)</f>
        <v>Angola</v>
      </c>
      <c r="B5" s="85" t="s">
        <v>162</v>
      </c>
      <c r="C5" s="86">
        <v>25188292.499999996</v>
      </c>
      <c r="D5" s="85" t="s">
        <v>324</v>
      </c>
      <c r="E5" s="87">
        <v>751</v>
      </c>
      <c r="F5" s="88">
        <v>26147002.000000011</v>
      </c>
      <c r="G5" s="87">
        <v>0</v>
      </c>
      <c r="I5" s="87">
        <v>0</v>
      </c>
      <c r="K5" s="87">
        <v>2781</v>
      </c>
      <c r="M5" s="87">
        <v>884</v>
      </c>
      <c r="O5" s="87">
        <v>0</v>
      </c>
      <c r="P5" s="88">
        <v>31273533.000000004</v>
      </c>
      <c r="Q5" s="87">
        <v>260</v>
      </c>
      <c r="R5" s="87">
        <f t="shared" si="0"/>
        <v>2302</v>
      </c>
      <c r="T5" s="87">
        <v>0</v>
      </c>
      <c r="V5" s="87">
        <v>525</v>
      </c>
      <c r="X5" s="87">
        <v>0</v>
      </c>
      <c r="Y5" s="88">
        <v>35588987.00000003</v>
      </c>
      <c r="Z5" s="87">
        <v>430</v>
      </c>
      <c r="AA5" s="87">
        <v>2302</v>
      </c>
      <c r="AB5" s="89">
        <f t="shared" si="1"/>
        <v>2781</v>
      </c>
      <c r="AC5" s="89">
        <f t="shared" si="2"/>
        <v>884</v>
      </c>
      <c r="AD5" s="89">
        <f t="shared" si="3"/>
        <v>525</v>
      </c>
      <c r="AE5" s="90">
        <f t="shared" si="4"/>
        <v>751</v>
      </c>
      <c r="AF5" s="90">
        <f t="shared" si="5"/>
        <v>2012</v>
      </c>
      <c r="AG5" s="90">
        <f t="shared" si="6"/>
        <v>2302</v>
      </c>
      <c r="AH5" s="90" t="str">
        <f t="shared" si="7"/>
        <v>2018 (triag)</v>
      </c>
      <c r="AI5" s="90">
        <f t="shared" si="8"/>
        <v>430</v>
      </c>
      <c r="AJ5" s="90">
        <f t="shared" si="9"/>
        <v>2022</v>
      </c>
      <c r="AK5" s="90" t="str">
        <f t="shared" si="10"/>
        <v>Adjust</v>
      </c>
      <c r="AL5" s="91">
        <f>IF(AK5="Adjust",(_xlfn.XLOOKUP(A5,'Adj factor'!A:A,'Adj factor'!I:I,,0)*AI5),'Master DataSheet'!AI5)</f>
        <v>637.67725755592028</v>
      </c>
      <c r="AM5" s="91">
        <f t="shared" si="11"/>
        <v>2302</v>
      </c>
      <c r="AN5" s="92" t="str">
        <f t="shared" si="12"/>
        <v>Decreasing</v>
      </c>
      <c r="AO5" s="93">
        <f>VLOOKUP(B5,'Growthrates source'!A$2:H$49,8,FALSE)</f>
        <v>0.3113441654036182</v>
      </c>
      <c r="AP5" s="93">
        <f>VLOOKUP(B5,'Growthrates source'!A$2:I$49,9,FALSE)</f>
        <v>5.4673730437993617E-2</v>
      </c>
      <c r="AQ5" s="86">
        <f t="shared" si="13"/>
        <v>485.32208449273355</v>
      </c>
      <c r="AR5" s="86">
        <f t="shared" si="14"/>
        <v>2712.3068300800892</v>
      </c>
      <c r="AS5" s="94">
        <f t="shared" si="15"/>
        <v>0.2872222214998108</v>
      </c>
      <c r="AT5" s="94">
        <f t="shared" si="16"/>
        <v>0.73608568625744963</v>
      </c>
      <c r="AU5" s="94">
        <f t="shared" si="17"/>
        <v>0.6468293126747322</v>
      </c>
    </row>
    <row r="6" spans="1:47" x14ac:dyDescent="0.3">
      <c r="A6" s="85" t="str">
        <f>_xlfn.XLOOKUP(B6,'Country codes &amp; Data sources'!G:G,'Country codes &amp; Data sources'!H:H,,0)</f>
        <v>Angola</v>
      </c>
      <c r="B6" s="85" t="s">
        <v>162</v>
      </c>
      <c r="C6" s="86">
        <v>25188292.499999996</v>
      </c>
      <c r="D6" s="85" t="s">
        <v>325</v>
      </c>
      <c r="E6" s="87">
        <v>353</v>
      </c>
      <c r="F6" s="88">
        <v>26147002.000000011</v>
      </c>
      <c r="G6" s="87">
        <v>0</v>
      </c>
      <c r="I6" s="87">
        <v>0</v>
      </c>
      <c r="K6" s="87">
        <v>595</v>
      </c>
      <c r="M6" s="87">
        <v>181</v>
      </c>
      <c r="O6" s="87">
        <v>0</v>
      </c>
      <c r="P6" s="88">
        <v>31273533.000000004</v>
      </c>
      <c r="Q6" s="87">
        <v>134</v>
      </c>
      <c r="R6" s="87">
        <f t="shared" si="0"/>
        <v>1652</v>
      </c>
      <c r="T6" s="87">
        <v>0</v>
      </c>
      <c r="V6" s="87">
        <v>81</v>
      </c>
      <c r="X6" s="87">
        <v>0</v>
      </c>
      <c r="Y6" s="88">
        <v>35588987.00000003</v>
      </c>
      <c r="Z6" s="87">
        <v>156</v>
      </c>
      <c r="AA6" s="87">
        <v>1652</v>
      </c>
      <c r="AB6" s="89">
        <f t="shared" si="1"/>
        <v>595</v>
      </c>
      <c r="AC6" s="89">
        <f t="shared" si="2"/>
        <v>181</v>
      </c>
      <c r="AD6" s="89">
        <f t="shared" si="3"/>
        <v>156</v>
      </c>
      <c r="AE6" s="90">
        <f t="shared" si="4"/>
        <v>353</v>
      </c>
      <c r="AF6" s="90">
        <f t="shared" si="5"/>
        <v>2012</v>
      </c>
      <c r="AG6" s="90">
        <f t="shared" si="6"/>
        <v>1652</v>
      </c>
      <c r="AH6" s="90" t="str">
        <f t="shared" si="7"/>
        <v>2018 (triag)</v>
      </c>
      <c r="AI6" s="90">
        <f t="shared" si="8"/>
        <v>156</v>
      </c>
      <c r="AJ6" s="90">
        <f t="shared" si="9"/>
        <v>2022</v>
      </c>
      <c r="AK6" s="90" t="str">
        <f t="shared" si="10"/>
        <v>Adjust</v>
      </c>
      <c r="AL6" s="91">
        <f>IF(AK6="Adjust",(_xlfn.XLOOKUP(A6,'Adj factor'!A:A,'Adj factor'!I:I,,0)*AI6),'Master DataSheet'!AI6)</f>
        <v>231.34337715982224</v>
      </c>
      <c r="AM6" s="91">
        <f t="shared" si="11"/>
        <v>1652</v>
      </c>
      <c r="AN6" s="92" t="str">
        <f t="shared" si="12"/>
        <v>Decreasing</v>
      </c>
      <c r="AO6" s="93">
        <f>VLOOKUP(B6,'Growthrates source'!A$2:H$49,8,FALSE)</f>
        <v>0.3113441654036182</v>
      </c>
      <c r="AP6" s="93">
        <f>VLOOKUP(B6,'Growthrates source'!A$2:I$49,9,FALSE)</f>
        <v>5.4673730437993617E-2</v>
      </c>
      <c r="AQ6" s="86">
        <f t="shared" si="13"/>
        <v>348.28500590008508</v>
      </c>
      <c r="AR6" s="86">
        <f t="shared" si="14"/>
        <v>1946.4512959566932</v>
      </c>
      <c r="AS6" s="94">
        <f t="shared" si="15"/>
        <v>0.1350059176956501</v>
      </c>
      <c r="AT6" s="94">
        <f t="shared" si="16"/>
        <v>0.52824220403879529</v>
      </c>
      <c r="AU6" s="94">
        <f t="shared" si="17"/>
        <v>0.46418854237126744</v>
      </c>
    </row>
    <row r="7" spans="1:47" x14ac:dyDescent="0.3">
      <c r="A7" s="85" t="str">
        <f>_xlfn.XLOOKUP(B7,'Country codes &amp; Data sources'!G:G,'Country codes &amp; Data sources'!H:H,,0)</f>
        <v>Angola</v>
      </c>
      <c r="B7" s="85" t="s">
        <v>162</v>
      </c>
      <c r="C7" s="86">
        <v>25188292.499999996</v>
      </c>
      <c r="D7" s="85" t="s">
        <v>127</v>
      </c>
      <c r="E7" s="87">
        <v>0</v>
      </c>
      <c r="F7" s="88">
        <v>26147002.000000011</v>
      </c>
      <c r="G7" s="87">
        <v>0</v>
      </c>
      <c r="I7" s="87">
        <v>0</v>
      </c>
      <c r="K7" s="87">
        <v>0</v>
      </c>
      <c r="M7" s="87">
        <v>0</v>
      </c>
      <c r="O7" s="87">
        <v>0</v>
      </c>
      <c r="P7" s="88">
        <v>31273533.000000004</v>
      </c>
      <c r="Q7" s="87">
        <v>1680</v>
      </c>
      <c r="R7" s="87">
        <f t="shared" si="0"/>
        <v>1680</v>
      </c>
      <c r="T7" s="87">
        <v>0</v>
      </c>
      <c r="V7" s="87">
        <v>2652</v>
      </c>
      <c r="X7" s="87">
        <v>0</v>
      </c>
      <c r="Y7" s="88">
        <v>35588987.00000003</v>
      </c>
      <c r="Z7" s="87">
        <v>5</v>
      </c>
      <c r="AA7" s="87">
        <v>1680</v>
      </c>
      <c r="AB7" s="89">
        <f t="shared" si="1"/>
        <v>0</v>
      </c>
      <c r="AC7" s="89">
        <f t="shared" si="2"/>
        <v>1680</v>
      </c>
      <c r="AD7" s="89">
        <f t="shared" si="3"/>
        <v>2652</v>
      </c>
      <c r="AE7" s="90">
        <f t="shared" si="4"/>
        <v>0</v>
      </c>
      <c r="AF7" s="90" t="str">
        <f t="shared" si="5"/>
        <v/>
      </c>
      <c r="AG7" s="90">
        <f t="shared" si="6"/>
        <v>1680</v>
      </c>
      <c r="AH7" s="90">
        <f t="shared" si="7"/>
        <v>2018</v>
      </c>
      <c r="AI7" s="90">
        <f t="shared" si="8"/>
        <v>5</v>
      </c>
      <c r="AJ7" s="90">
        <f t="shared" si="9"/>
        <v>2022</v>
      </c>
      <c r="AK7" s="90" t="str">
        <f t="shared" si="10"/>
        <v>Adjust</v>
      </c>
      <c r="AL7" s="91">
        <f>IF(AK7="Adjust",(_xlfn.XLOOKUP(A7,'Adj factor'!A:A,'Adj factor'!I:I,,0)*AI7),'Master DataSheet'!AI7)</f>
        <v>7.414851832045585</v>
      </c>
      <c r="AM7" s="91">
        <f t="shared" si="11"/>
        <v>1680</v>
      </c>
      <c r="AN7" s="92" t="str">
        <f t="shared" si="12"/>
        <v>Decreasing</v>
      </c>
      <c r="AO7" s="93">
        <f>VLOOKUP(B7,'Growthrates source'!A$2:H$49,8,FALSE)</f>
        <v>0.3113441654036182</v>
      </c>
      <c r="AP7" s="93">
        <f>VLOOKUP(B7,'Growthrates source'!A$2:I$49,9,FALSE)</f>
        <v>5.4673730437993617E-2</v>
      </c>
      <c r="AQ7" s="86">
        <f t="shared" si="13"/>
        <v>354.18814159330685</v>
      </c>
      <c r="AR7" s="86">
        <f t="shared" si="14"/>
        <v>1979.4419958881626</v>
      </c>
      <c r="AS7" s="94">
        <f t="shared" si="15"/>
        <v>0</v>
      </c>
      <c r="AT7" s="94">
        <f t="shared" si="16"/>
        <v>0.53719546173436805</v>
      </c>
      <c r="AU7" s="94">
        <f t="shared" si="17"/>
        <v>0.47205614478433977</v>
      </c>
    </row>
    <row r="8" spans="1:47" x14ac:dyDescent="0.3">
      <c r="A8" s="85" t="str">
        <f>_xlfn.XLOOKUP(B8,'Country codes &amp; Data sources'!G:G,'Country codes &amp; Data sources'!H:H,,0)</f>
        <v>Angola</v>
      </c>
      <c r="B8" s="85" t="s">
        <v>162</v>
      </c>
      <c r="C8" s="86">
        <v>25188292.499999996</v>
      </c>
      <c r="D8" s="85" t="s">
        <v>61</v>
      </c>
      <c r="E8" s="87">
        <v>85</v>
      </c>
      <c r="F8" s="88">
        <v>26147002.000000011</v>
      </c>
      <c r="G8" s="87">
        <v>0</v>
      </c>
      <c r="I8" s="87">
        <v>0</v>
      </c>
      <c r="K8" s="87">
        <v>870</v>
      </c>
      <c r="M8" s="87">
        <v>32</v>
      </c>
      <c r="O8" s="87">
        <v>0</v>
      </c>
      <c r="P8" s="88">
        <v>31273533.000000004</v>
      </c>
      <c r="Q8" s="87">
        <v>4</v>
      </c>
      <c r="R8" s="87">
        <f t="shared" si="0"/>
        <v>4</v>
      </c>
      <c r="T8" s="87">
        <v>0</v>
      </c>
      <c r="V8" s="87">
        <v>57</v>
      </c>
      <c r="X8" s="87">
        <v>0</v>
      </c>
      <c r="Y8" s="88">
        <v>35588987.00000003</v>
      </c>
      <c r="Z8" s="87">
        <v>197</v>
      </c>
      <c r="AA8" s="87">
        <v>0</v>
      </c>
      <c r="AB8" s="89">
        <f t="shared" si="1"/>
        <v>870</v>
      </c>
      <c r="AC8" s="89">
        <f t="shared" si="2"/>
        <v>32</v>
      </c>
      <c r="AD8" s="89">
        <f t="shared" si="3"/>
        <v>197</v>
      </c>
      <c r="AE8" s="90">
        <f t="shared" si="4"/>
        <v>85</v>
      </c>
      <c r="AF8" s="90">
        <f t="shared" si="5"/>
        <v>2012</v>
      </c>
      <c r="AG8" s="90">
        <f t="shared" si="6"/>
        <v>4</v>
      </c>
      <c r="AH8" s="90">
        <f t="shared" si="7"/>
        <v>2018</v>
      </c>
      <c r="AI8" s="90">
        <f t="shared" si="8"/>
        <v>197</v>
      </c>
      <c r="AJ8" s="90">
        <f t="shared" si="9"/>
        <v>2022</v>
      </c>
      <c r="AK8" s="90" t="str">
        <f t="shared" si="10"/>
        <v/>
      </c>
      <c r="AL8" s="91">
        <f>IF(AK8="Adjust",(_xlfn.XLOOKUP(A8,'Adj factor'!A:A,'Adj factor'!I:I,,0)*AI8),'Master DataSheet'!AI8)</f>
        <v>197</v>
      </c>
      <c r="AM8" s="91">
        <f t="shared" si="11"/>
        <v>197</v>
      </c>
      <c r="AN8" s="92" t="str">
        <f t="shared" si="12"/>
        <v>Increasing</v>
      </c>
      <c r="AO8" s="93">
        <f>VLOOKUP(B8,'Growthrates source'!A$2:H$49,8,FALSE)</f>
        <v>0.3113441654036182</v>
      </c>
      <c r="AP8" s="93">
        <f>VLOOKUP(B8,'Growthrates source'!A$2:I$49,9,FALSE)</f>
        <v>5.4673730437993617E-2</v>
      </c>
      <c r="AQ8" s="86">
        <f t="shared" si="13"/>
        <v>0</v>
      </c>
      <c r="AR8" s="86">
        <f t="shared" si="14"/>
        <v>0</v>
      </c>
      <c r="AS8" s="94">
        <f t="shared" si="15"/>
        <v>3.2508507093853424E-2</v>
      </c>
      <c r="AT8" s="94">
        <f t="shared" si="16"/>
        <v>1.2790368136532573E-3</v>
      </c>
      <c r="AU8" s="94">
        <f t="shared" si="17"/>
        <v>5.5354202691973178E-2</v>
      </c>
    </row>
    <row r="9" spans="1:47" x14ac:dyDescent="0.3">
      <c r="A9" s="85" t="str">
        <f>_xlfn.XLOOKUP(B9,'Country codes &amp; Data sources'!G:G,'Country codes &amp; Data sources'!H:H,,0)</f>
        <v>Angola</v>
      </c>
      <c r="B9" s="85" t="s">
        <v>162</v>
      </c>
      <c r="C9" s="86">
        <v>25188292.499999996</v>
      </c>
      <c r="D9" s="85" t="s">
        <v>62</v>
      </c>
      <c r="E9" s="87">
        <v>517</v>
      </c>
      <c r="F9" s="88">
        <v>26147002.000000011</v>
      </c>
      <c r="G9" s="87">
        <v>0</v>
      </c>
      <c r="I9" s="87">
        <v>0</v>
      </c>
      <c r="K9" s="87">
        <v>0</v>
      </c>
      <c r="M9" s="87">
        <v>177</v>
      </c>
      <c r="O9" s="87">
        <v>0</v>
      </c>
      <c r="P9" s="88">
        <v>31273533.000000004</v>
      </c>
      <c r="Q9" s="87">
        <v>411</v>
      </c>
      <c r="R9" s="87">
        <f t="shared" si="0"/>
        <v>657</v>
      </c>
      <c r="T9" s="87">
        <v>0</v>
      </c>
      <c r="V9" s="87">
        <v>236</v>
      </c>
      <c r="X9" s="87">
        <v>0</v>
      </c>
      <c r="Y9" s="88">
        <v>35588987.00000003</v>
      </c>
      <c r="Z9" s="87">
        <v>10</v>
      </c>
      <c r="AA9" s="87">
        <v>657</v>
      </c>
      <c r="AB9" s="89">
        <f t="shared" si="1"/>
        <v>517</v>
      </c>
      <c r="AC9" s="89">
        <f t="shared" si="2"/>
        <v>411</v>
      </c>
      <c r="AD9" s="89">
        <f t="shared" si="3"/>
        <v>236</v>
      </c>
      <c r="AE9" s="90">
        <f t="shared" si="4"/>
        <v>517</v>
      </c>
      <c r="AF9" s="90">
        <f t="shared" si="5"/>
        <v>2012</v>
      </c>
      <c r="AG9" s="90">
        <f t="shared" si="6"/>
        <v>657</v>
      </c>
      <c r="AH9" s="90" t="str">
        <f t="shared" si="7"/>
        <v>2018 (triag)</v>
      </c>
      <c r="AI9" s="90">
        <f t="shared" si="8"/>
        <v>10</v>
      </c>
      <c r="AJ9" s="90">
        <f t="shared" si="9"/>
        <v>2022</v>
      </c>
      <c r="AK9" s="90" t="str">
        <f t="shared" si="10"/>
        <v>Adjust</v>
      </c>
      <c r="AL9" s="91">
        <f>IF(AK9="Adjust",(_xlfn.XLOOKUP(A9,'Adj factor'!A:A,'Adj factor'!I:I,,0)*AI9),'Master DataSheet'!AI9)</f>
        <v>14.82970366409117</v>
      </c>
      <c r="AM9" s="91">
        <f t="shared" si="11"/>
        <v>657</v>
      </c>
      <c r="AN9" s="92" t="str">
        <f t="shared" si="12"/>
        <v>Decreasing</v>
      </c>
      <c r="AO9" s="93">
        <f>VLOOKUP(B9,'Growthrates source'!A$2:H$49,8,FALSE)</f>
        <v>0.3113441654036182</v>
      </c>
      <c r="AP9" s="93">
        <f>VLOOKUP(B9,'Growthrates source'!A$2:I$49,9,FALSE)</f>
        <v>5.4673730437993617E-2</v>
      </c>
      <c r="AQ9" s="86">
        <f t="shared" si="13"/>
        <v>138.51286251595391</v>
      </c>
      <c r="AR9" s="86">
        <f t="shared" si="14"/>
        <v>774.10320910626353</v>
      </c>
      <c r="AS9" s="94">
        <f t="shared" si="15"/>
        <v>0.19772821373555552</v>
      </c>
      <c r="AT9" s="94">
        <f t="shared" si="16"/>
        <v>0.21008179664254753</v>
      </c>
      <c r="AU9" s="94">
        <f t="shared" si="17"/>
        <v>0.18460767090673288</v>
      </c>
    </row>
    <row r="10" spans="1:47" x14ac:dyDescent="0.3">
      <c r="A10" s="85" t="str">
        <f>_xlfn.XLOOKUP(B10,'Country codes &amp; Data sources'!G:G,'Country codes &amp; Data sources'!H:H,,0)</f>
        <v>Angola</v>
      </c>
      <c r="B10" s="85" t="s">
        <v>162</v>
      </c>
      <c r="C10" s="86">
        <v>25188292.499999996</v>
      </c>
      <c r="D10" s="85" t="s">
        <v>203</v>
      </c>
      <c r="E10" s="87">
        <v>0</v>
      </c>
      <c r="F10" s="88">
        <v>26147002.000000011</v>
      </c>
      <c r="G10" s="87">
        <v>0</v>
      </c>
      <c r="I10" s="87">
        <v>0</v>
      </c>
      <c r="K10" s="87">
        <v>0</v>
      </c>
      <c r="M10" s="87">
        <v>0</v>
      </c>
      <c r="O10" s="87">
        <v>0</v>
      </c>
      <c r="P10" s="88">
        <v>31273533.000000004</v>
      </c>
      <c r="Q10" s="87">
        <v>0</v>
      </c>
      <c r="R10" s="87">
        <f t="shared" si="0"/>
        <v>0</v>
      </c>
      <c r="T10" s="87">
        <v>0</v>
      </c>
      <c r="V10" s="87">
        <v>0</v>
      </c>
      <c r="X10" s="87">
        <v>0</v>
      </c>
      <c r="Y10" s="88">
        <v>35588987.00000003</v>
      </c>
      <c r="Z10" s="87">
        <v>0</v>
      </c>
      <c r="AA10" s="87">
        <v>0</v>
      </c>
      <c r="AB10" s="89">
        <f t="shared" si="1"/>
        <v>0</v>
      </c>
      <c r="AC10" s="89">
        <f t="shared" si="2"/>
        <v>0</v>
      </c>
      <c r="AD10" s="89">
        <f t="shared" si="3"/>
        <v>0</v>
      </c>
      <c r="AE10" s="90">
        <f t="shared" si="4"/>
        <v>0</v>
      </c>
      <c r="AF10" s="90" t="str">
        <f t="shared" si="5"/>
        <v/>
      </c>
      <c r="AG10" s="90">
        <f t="shared" si="6"/>
        <v>0</v>
      </c>
      <c r="AH10" s="90" t="str">
        <f t="shared" si="7"/>
        <v/>
      </c>
      <c r="AI10" s="90">
        <f t="shared" si="8"/>
        <v>0</v>
      </c>
      <c r="AJ10" s="90" t="str">
        <f t="shared" si="9"/>
        <v/>
      </c>
      <c r="AK10" s="90" t="str">
        <f t="shared" si="10"/>
        <v/>
      </c>
      <c r="AL10" s="91">
        <f>IF(AK10="Adjust",(_xlfn.XLOOKUP(A10,'Adj factor'!A:A,'Adj factor'!I:I,,0)*AI10),'Master DataSheet'!AI10)</f>
        <v>0</v>
      </c>
      <c r="AM10" s="91">
        <f t="shared" si="11"/>
        <v>0</v>
      </c>
      <c r="AN10" s="92" t="str">
        <f t="shared" si="12"/>
        <v>No change</v>
      </c>
      <c r="AO10" s="93">
        <f>VLOOKUP(B10,'Growthrates source'!A$2:H$49,8,FALSE)</f>
        <v>0.3113441654036182</v>
      </c>
      <c r="AP10" s="93">
        <f>VLOOKUP(B10,'Growthrates source'!A$2:I$49,9,FALSE)</f>
        <v>5.4673730437993617E-2</v>
      </c>
      <c r="AQ10" s="86">
        <f t="shared" si="13"/>
        <v>0</v>
      </c>
      <c r="AR10" s="86">
        <f t="shared" si="14"/>
        <v>0</v>
      </c>
      <c r="AS10" s="94">
        <f t="shared" si="15"/>
        <v>0</v>
      </c>
      <c r="AT10" s="94">
        <f t="shared" si="16"/>
        <v>0</v>
      </c>
      <c r="AU10" s="94">
        <f t="shared" si="17"/>
        <v>0</v>
      </c>
    </row>
    <row r="11" spans="1:47" x14ac:dyDescent="0.3">
      <c r="A11" s="85" t="str">
        <f>_xlfn.XLOOKUP(B11,'Country codes &amp; Data sources'!G:G,'Country codes &amp; Data sources'!H:H,,0)</f>
        <v>Angola</v>
      </c>
      <c r="B11" s="85" t="s">
        <v>162</v>
      </c>
      <c r="C11" s="86">
        <v>25188292.499999996</v>
      </c>
      <c r="D11" s="85" t="s">
        <v>204</v>
      </c>
      <c r="E11" s="87">
        <v>0</v>
      </c>
      <c r="F11" s="88">
        <v>26147002.000000011</v>
      </c>
      <c r="G11" s="87">
        <v>0</v>
      </c>
      <c r="I11" s="87">
        <v>0</v>
      </c>
      <c r="K11" s="87">
        <v>0</v>
      </c>
      <c r="M11" s="87">
        <v>0</v>
      </c>
      <c r="O11" s="87">
        <v>0</v>
      </c>
      <c r="P11" s="88">
        <v>31273533.000000004</v>
      </c>
      <c r="Q11" s="87">
        <v>0</v>
      </c>
      <c r="R11" s="87">
        <f t="shared" si="0"/>
        <v>328</v>
      </c>
      <c r="T11" s="87">
        <v>0</v>
      </c>
      <c r="V11" s="87">
        <v>0</v>
      </c>
      <c r="X11" s="87">
        <v>0</v>
      </c>
      <c r="Y11" s="88">
        <v>35588987.00000003</v>
      </c>
      <c r="Z11" s="87">
        <v>2072</v>
      </c>
      <c r="AA11" s="87">
        <v>328</v>
      </c>
      <c r="AB11" s="89">
        <f t="shared" si="1"/>
        <v>0</v>
      </c>
      <c r="AC11" s="89">
        <f t="shared" si="2"/>
        <v>0</v>
      </c>
      <c r="AD11" s="89">
        <f t="shared" si="3"/>
        <v>2072</v>
      </c>
      <c r="AE11" s="90">
        <f t="shared" si="4"/>
        <v>0</v>
      </c>
      <c r="AF11" s="90" t="str">
        <f t="shared" si="5"/>
        <v/>
      </c>
      <c r="AG11" s="90">
        <f t="shared" si="6"/>
        <v>328</v>
      </c>
      <c r="AH11" s="90" t="str">
        <f t="shared" si="7"/>
        <v>2018 (triag)</v>
      </c>
      <c r="AI11" s="90">
        <f t="shared" si="8"/>
        <v>2072</v>
      </c>
      <c r="AJ11" s="90">
        <f t="shared" si="9"/>
        <v>2022</v>
      </c>
      <c r="AK11" s="90" t="str">
        <f t="shared" si="10"/>
        <v/>
      </c>
      <c r="AL11" s="91">
        <f>IF(AK11="Adjust",(_xlfn.XLOOKUP(A11,'Adj factor'!A:A,'Adj factor'!I:I,,0)*AI11),'Master DataSheet'!AI11)</f>
        <v>2072</v>
      </c>
      <c r="AM11" s="91">
        <f t="shared" si="11"/>
        <v>2072</v>
      </c>
      <c r="AN11" s="92" t="str">
        <f t="shared" si="12"/>
        <v>Increasing</v>
      </c>
      <c r="AO11" s="93">
        <f>VLOOKUP(B11,'Growthrates source'!A$2:H$49,8,FALSE)</f>
        <v>0.3113441654036182</v>
      </c>
      <c r="AP11" s="93">
        <f>VLOOKUP(B11,'Growthrates source'!A$2:I$49,9,FALSE)</f>
        <v>5.4673730437993617E-2</v>
      </c>
      <c r="AQ11" s="86">
        <f t="shared" si="13"/>
        <v>69.151018120597996</v>
      </c>
      <c r="AR11" s="86">
        <f t="shared" si="14"/>
        <v>386.46248491149839</v>
      </c>
      <c r="AS11" s="94">
        <f t="shared" si="15"/>
        <v>0</v>
      </c>
      <c r="AT11" s="94">
        <f t="shared" si="16"/>
        <v>0.10488101871956711</v>
      </c>
      <c r="AU11" s="94">
        <f t="shared" si="17"/>
        <v>0.58220257856735236</v>
      </c>
    </row>
    <row r="12" spans="1:47" x14ac:dyDescent="0.3">
      <c r="A12" s="85" t="str">
        <f>_xlfn.XLOOKUP(B12,'Country codes &amp; Data sources'!G:G,'Country codes &amp; Data sources'!H:H,,0)</f>
        <v>Angola</v>
      </c>
      <c r="B12" s="85" t="s">
        <v>162</v>
      </c>
      <c r="C12" s="86">
        <v>25188292.499999996</v>
      </c>
      <c r="D12" s="85" t="s">
        <v>205</v>
      </c>
      <c r="E12" s="87">
        <v>0</v>
      </c>
      <c r="F12" s="88">
        <v>26147002.000000011</v>
      </c>
      <c r="G12" s="87">
        <v>0</v>
      </c>
      <c r="I12" s="87">
        <v>0</v>
      </c>
      <c r="K12" s="87">
        <v>0</v>
      </c>
      <c r="M12" s="87">
        <v>0</v>
      </c>
      <c r="O12" s="87">
        <v>0</v>
      </c>
      <c r="P12" s="88">
        <v>31273533.000000004</v>
      </c>
      <c r="Q12" s="87">
        <v>0</v>
      </c>
      <c r="R12" s="87">
        <f t="shared" si="0"/>
        <v>75</v>
      </c>
      <c r="T12" s="87">
        <v>0</v>
      </c>
      <c r="V12" s="87">
        <v>0</v>
      </c>
      <c r="X12" s="87">
        <v>0</v>
      </c>
      <c r="Y12" s="88">
        <v>35588987.00000003</v>
      </c>
      <c r="Z12" s="87">
        <v>0</v>
      </c>
      <c r="AA12" s="87">
        <v>75</v>
      </c>
      <c r="AB12" s="89">
        <f t="shared" si="1"/>
        <v>0</v>
      </c>
      <c r="AC12" s="89">
        <f t="shared" si="2"/>
        <v>0</v>
      </c>
      <c r="AD12" s="89">
        <f t="shared" si="3"/>
        <v>0</v>
      </c>
      <c r="AE12" s="90">
        <f t="shared" si="4"/>
        <v>0</v>
      </c>
      <c r="AF12" s="90" t="str">
        <f t="shared" si="5"/>
        <v/>
      </c>
      <c r="AG12" s="90">
        <f t="shared" si="6"/>
        <v>75</v>
      </c>
      <c r="AH12" s="90" t="str">
        <f t="shared" si="7"/>
        <v>2018 (triag)</v>
      </c>
      <c r="AI12" s="90">
        <f t="shared" si="8"/>
        <v>75</v>
      </c>
      <c r="AJ12" s="90" t="str">
        <f t="shared" si="9"/>
        <v>2018 (triag)</v>
      </c>
      <c r="AK12" s="90" t="str">
        <f t="shared" si="10"/>
        <v/>
      </c>
      <c r="AL12" s="91">
        <f>IF(AK12="Adjust",(_xlfn.XLOOKUP(A12,'Adj factor'!A:A,'Adj factor'!I:I,,0)*AI12),'Master DataSheet'!AI12)</f>
        <v>75</v>
      </c>
      <c r="AM12" s="91">
        <f t="shared" si="11"/>
        <v>75</v>
      </c>
      <c r="AN12" s="92" t="str">
        <f t="shared" si="12"/>
        <v>No change</v>
      </c>
      <c r="AO12" s="93">
        <f>VLOOKUP(B12,'Growthrates source'!A$2:H$49,8,FALSE)</f>
        <v>0.3113441654036182</v>
      </c>
      <c r="AP12" s="93">
        <f>VLOOKUP(B12,'Growthrates source'!A$2:I$49,9,FALSE)</f>
        <v>5.4673730437993617E-2</v>
      </c>
      <c r="AQ12" s="86">
        <f t="shared" si="13"/>
        <v>15.811970606844055</v>
      </c>
      <c r="AR12" s="86">
        <f t="shared" si="14"/>
        <v>88.367946245007261</v>
      </c>
      <c r="AS12" s="94">
        <f t="shared" si="15"/>
        <v>0</v>
      </c>
      <c r="AT12" s="94">
        <f t="shared" si="16"/>
        <v>2.3981940255998577E-2</v>
      </c>
      <c r="AU12" s="94">
        <f t="shared" si="17"/>
        <v>2.107393503501517E-2</v>
      </c>
    </row>
    <row r="13" spans="1:47" x14ac:dyDescent="0.3">
      <c r="A13" s="85" t="str">
        <f>_xlfn.XLOOKUP(B13,'Country codes &amp; Data sources'!G:G,'Country codes &amp; Data sources'!H:H,,0)</f>
        <v>Angola</v>
      </c>
      <c r="B13" s="85" t="s">
        <v>162</v>
      </c>
      <c r="C13" s="86">
        <v>25188292.499999996</v>
      </c>
      <c r="D13" s="85" t="s">
        <v>133</v>
      </c>
      <c r="E13" s="87">
        <v>0</v>
      </c>
      <c r="F13" s="88">
        <v>26147002.000000011</v>
      </c>
      <c r="G13" s="87">
        <v>0</v>
      </c>
      <c r="I13" s="87">
        <v>0</v>
      </c>
      <c r="K13" s="87">
        <v>0</v>
      </c>
      <c r="M13" s="87">
        <v>0</v>
      </c>
      <c r="O13" s="87">
        <v>0</v>
      </c>
      <c r="P13" s="88">
        <v>31273533.000000004</v>
      </c>
      <c r="Q13" s="87">
        <v>98</v>
      </c>
      <c r="R13" s="87">
        <f t="shared" si="0"/>
        <v>468</v>
      </c>
      <c r="T13" s="87">
        <v>0</v>
      </c>
      <c r="V13" s="87">
        <v>0</v>
      </c>
      <c r="X13" s="87">
        <v>0</v>
      </c>
      <c r="Y13" s="88">
        <v>35588987.00000003</v>
      </c>
      <c r="Z13" s="87">
        <v>9</v>
      </c>
      <c r="AA13" s="87">
        <v>468</v>
      </c>
      <c r="AB13" s="89">
        <f t="shared" si="1"/>
        <v>0</v>
      </c>
      <c r="AC13" s="89">
        <f t="shared" si="2"/>
        <v>98</v>
      </c>
      <c r="AD13" s="89">
        <f t="shared" si="3"/>
        <v>9</v>
      </c>
      <c r="AE13" s="90">
        <f t="shared" si="4"/>
        <v>0</v>
      </c>
      <c r="AF13" s="90" t="str">
        <f t="shared" si="5"/>
        <v/>
      </c>
      <c r="AG13" s="90">
        <f t="shared" si="6"/>
        <v>468</v>
      </c>
      <c r="AH13" s="90" t="str">
        <f t="shared" si="7"/>
        <v>2018 (triag)</v>
      </c>
      <c r="AI13" s="90">
        <f t="shared" si="8"/>
        <v>9</v>
      </c>
      <c r="AJ13" s="90">
        <f t="shared" si="9"/>
        <v>2022</v>
      </c>
      <c r="AK13" s="90" t="str">
        <f t="shared" si="10"/>
        <v>Adjust</v>
      </c>
      <c r="AL13" s="91">
        <f>IF(AK13="Adjust",(_xlfn.XLOOKUP(A13,'Adj factor'!A:A,'Adj factor'!I:I,,0)*AI13),'Master DataSheet'!AI13)</f>
        <v>13.346733297682052</v>
      </c>
      <c r="AM13" s="91">
        <f t="shared" si="11"/>
        <v>468</v>
      </c>
      <c r="AN13" s="92" t="str">
        <f t="shared" si="12"/>
        <v>Decreasing</v>
      </c>
      <c r="AO13" s="93">
        <f>VLOOKUP(B13,'Growthrates source'!A$2:H$49,8,FALSE)</f>
        <v>0.3113441654036182</v>
      </c>
      <c r="AP13" s="93">
        <f>VLOOKUP(B13,'Growthrates source'!A$2:I$49,9,FALSE)</f>
        <v>5.4673730437993617E-2</v>
      </c>
      <c r="AQ13" s="86">
        <f t="shared" si="13"/>
        <v>98.666696586706905</v>
      </c>
      <c r="AR13" s="86">
        <f t="shared" si="14"/>
        <v>551.41598456884526</v>
      </c>
      <c r="AS13" s="94">
        <f t="shared" si="15"/>
        <v>0</v>
      </c>
      <c r="AT13" s="94">
        <f t="shared" si="16"/>
        <v>0.14964730719743111</v>
      </c>
      <c r="AU13" s="94">
        <f t="shared" si="17"/>
        <v>0.13150135461849466</v>
      </c>
    </row>
    <row r="14" spans="1:47" x14ac:dyDescent="0.3">
      <c r="A14" s="85" t="str">
        <f>_xlfn.XLOOKUP(B14,'Country codes &amp; Data sources'!G:G,'Country codes &amp; Data sources'!H:H,,0)</f>
        <v>Angola</v>
      </c>
      <c r="B14" s="85" t="s">
        <v>162</v>
      </c>
      <c r="C14" s="86">
        <v>25188292.499999996</v>
      </c>
      <c r="D14" s="85" t="s">
        <v>206</v>
      </c>
      <c r="E14" s="87">
        <v>0</v>
      </c>
      <c r="F14" s="88">
        <v>26147002.000000011</v>
      </c>
      <c r="G14" s="87">
        <v>0</v>
      </c>
      <c r="I14" s="87">
        <v>0</v>
      </c>
      <c r="J14" s="87" t="s">
        <v>262</v>
      </c>
      <c r="K14" s="87">
        <v>0</v>
      </c>
      <c r="M14" s="87">
        <v>0</v>
      </c>
      <c r="O14" s="87">
        <v>0</v>
      </c>
      <c r="P14" s="88">
        <v>31273533.000000004</v>
      </c>
      <c r="Q14" s="87">
        <v>0</v>
      </c>
      <c r="R14" s="87">
        <f t="shared" si="0"/>
        <v>134</v>
      </c>
      <c r="T14" s="87">
        <v>0</v>
      </c>
      <c r="V14" s="87">
        <v>0</v>
      </c>
      <c r="X14" s="87">
        <v>0</v>
      </c>
      <c r="Y14" s="88">
        <v>35588987.00000003</v>
      </c>
      <c r="Z14" s="87">
        <v>0</v>
      </c>
      <c r="AA14" s="87">
        <v>134</v>
      </c>
      <c r="AB14" s="89">
        <f t="shared" si="1"/>
        <v>0</v>
      </c>
      <c r="AC14" s="89">
        <f t="shared" si="2"/>
        <v>0</v>
      </c>
      <c r="AD14" s="89">
        <f t="shared" si="3"/>
        <v>0</v>
      </c>
      <c r="AE14" s="90">
        <f t="shared" si="4"/>
        <v>0</v>
      </c>
      <c r="AF14" s="90" t="str">
        <f t="shared" si="5"/>
        <v/>
      </c>
      <c r="AG14" s="90">
        <f t="shared" si="6"/>
        <v>134</v>
      </c>
      <c r="AH14" s="90" t="str">
        <f t="shared" si="7"/>
        <v>2018 (triag)</v>
      </c>
      <c r="AI14" s="90">
        <f t="shared" si="8"/>
        <v>134</v>
      </c>
      <c r="AJ14" s="90" t="str">
        <f t="shared" si="9"/>
        <v>2018 (triag)</v>
      </c>
      <c r="AK14" s="90" t="str">
        <f t="shared" si="10"/>
        <v/>
      </c>
      <c r="AL14" s="91">
        <f>IF(AK14="Adjust",(_xlfn.XLOOKUP(A14,'Adj factor'!A:A,'Adj factor'!I:I,,0)*AI14),'Master DataSheet'!AI14)</f>
        <v>134</v>
      </c>
      <c r="AM14" s="91">
        <f t="shared" si="11"/>
        <v>134</v>
      </c>
      <c r="AN14" s="92" t="str">
        <f t="shared" si="12"/>
        <v>No change</v>
      </c>
      <c r="AO14" s="93">
        <f>VLOOKUP(B14,'Growthrates source'!A$2:H$49,8,FALSE)</f>
        <v>0.3113441654036182</v>
      </c>
      <c r="AP14" s="93">
        <f>VLOOKUP(B14,'Growthrates source'!A$2:I$49,9,FALSE)</f>
        <v>5.4673730437993617E-2</v>
      </c>
      <c r="AQ14" s="86">
        <f t="shared" si="13"/>
        <v>28.25072081756138</v>
      </c>
      <c r="AR14" s="86">
        <f t="shared" si="14"/>
        <v>157.88406395774629</v>
      </c>
      <c r="AS14" s="94">
        <f t="shared" si="15"/>
        <v>0</v>
      </c>
      <c r="AT14" s="94">
        <f t="shared" si="16"/>
        <v>4.284773325738412E-2</v>
      </c>
      <c r="AU14" s="94">
        <f t="shared" si="17"/>
        <v>3.7652097262560434E-2</v>
      </c>
    </row>
    <row r="15" spans="1:47" x14ac:dyDescent="0.3">
      <c r="A15" s="85" t="str">
        <f>_xlfn.XLOOKUP(B15,'Country codes &amp; Data sources'!G:G,'Country codes &amp; Data sources'!H:H,,0)</f>
        <v>Angola</v>
      </c>
      <c r="B15" s="85" t="s">
        <v>162</v>
      </c>
      <c r="C15" s="86">
        <v>25188292.499999996</v>
      </c>
      <c r="D15" s="85" t="s">
        <v>136</v>
      </c>
      <c r="E15" s="87">
        <v>0</v>
      </c>
      <c r="F15" s="88">
        <v>26147002.000000011</v>
      </c>
      <c r="G15" s="87">
        <v>0</v>
      </c>
      <c r="I15" s="87">
        <v>0</v>
      </c>
      <c r="K15" s="87">
        <v>0</v>
      </c>
      <c r="M15" s="87">
        <v>0</v>
      </c>
      <c r="O15" s="87">
        <v>0</v>
      </c>
      <c r="P15" s="88">
        <v>31273533.000000004</v>
      </c>
      <c r="Q15" s="87">
        <v>0</v>
      </c>
      <c r="R15" s="87">
        <f t="shared" si="0"/>
        <v>789</v>
      </c>
      <c r="T15" s="87">
        <v>0</v>
      </c>
      <c r="V15" s="87">
        <v>0</v>
      </c>
      <c r="X15" s="87">
        <v>0</v>
      </c>
      <c r="Y15" s="88">
        <v>35588987.00000003</v>
      </c>
      <c r="Z15" s="87">
        <v>107</v>
      </c>
      <c r="AA15" s="87">
        <v>789</v>
      </c>
      <c r="AB15" s="89">
        <f t="shared" si="1"/>
        <v>0</v>
      </c>
      <c r="AC15" s="89">
        <f t="shared" si="2"/>
        <v>0</v>
      </c>
      <c r="AD15" s="89">
        <f t="shared" si="3"/>
        <v>107</v>
      </c>
      <c r="AE15" s="90">
        <f t="shared" si="4"/>
        <v>0</v>
      </c>
      <c r="AF15" s="90" t="str">
        <f t="shared" si="5"/>
        <v/>
      </c>
      <c r="AG15" s="90">
        <f t="shared" si="6"/>
        <v>789</v>
      </c>
      <c r="AH15" s="90" t="str">
        <f t="shared" si="7"/>
        <v>2018 (triag)</v>
      </c>
      <c r="AI15" s="90">
        <f t="shared" si="8"/>
        <v>107</v>
      </c>
      <c r="AJ15" s="90">
        <f t="shared" si="9"/>
        <v>2022</v>
      </c>
      <c r="AK15" s="90" t="str">
        <f t="shared" si="10"/>
        <v>Adjust</v>
      </c>
      <c r="AL15" s="91">
        <f>IF(AK15="Adjust",(_xlfn.XLOOKUP(A15,'Adj factor'!A:A,'Adj factor'!I:I,,0)*AI15),'Master DataSheet'!AI15)</f>
        <v>158.67782920577551</v>
      </c>
      <c r="AM15" s="91">
        <f t="shared" si="11"/>
        <v>789</v>
      </c>
      <c r="AN15" s="92" t="str">
        <f t="shared" si="12"/>
        <v>Decreasing</v>
      </c>
      <c r="AO15" s="93">
        <f>VLOOKUP(B15,'Growthrates source'!A$2:H$49,8,FALSE)</f>
        <v>0.3113441654036182</v>
      </c>
      <c r="AP15" s="93">
        <f>VLOOKUP(B15,'Growthrates source'!A$2:I$49,9,FALSE)</f>
        <v>5.4673730437993617E-2</v>
      </c>
      <c r="AQ15" s="86">
        <f t="shared" si="13"/>
        <v>166.34193078399946</v>
      </c>
      <c r="AR15" s="86">
        <f t="shared" si="14"/>
        <v>929.63079449747636</v>
      </c>
      <c r="AS15" s="94">
        <f t="shared" si="15"/>
        <v>0</v>
      </c>
      <c r="AT15" s="94">
        <f t="shared" si="16"/>
        <v>0.25229001149310504</v>
      </c>
      <c r="AU15" s="94">
        <f t="shared" si="17"/>
        <v>0.22169779656835958</v>
      </c>
    </row>
    <row r="16" spans="1:47" x14ac:dyDescent="0.3">
      <c r="A16" s="85" t="str">
        <f>_xlfn.XLOOKUP(B16,'Country codes &amp; Data sources'!G:G,'Country codes &amp; Data sources'!H:H,,0)</f>
        <v>Angola</v>
      </c>
      <c r="B16" s="85" t="s">
        <v>162</v>
      </c>
      <c r="C16" s="86">
        <v>25188292.499999996</v>
      </c>
      <c r="D16" s="85" t="s">
        <v>207</v>
      </c>
      <c r="E16" s="87">
        <v>0</v>
      </c>
      <c r="F16" s="88">
        <v>26147002.000000011</v>
      </c>
      <c r="G16" s="87">
        <v>0</v>
      </c>
      <c r="I16" s="87">
        <v>0</v>
      </c>
      <c r="K16" s="87">
        <v>0</v>
      </c>
      <c r="M16" s="87">
        <v>0</v>
      </c>
      <c r="O16" s="87">
        <v>0</v>
      </c>
      <c r="P16" s="88">
        <v>31273533.000000004</v>
      </c>
      <c r="Q16" s="87">
        <v>0</v>
      </c>
      <c r="R16" s="87">
        <f t="shared" si="0"/>
        <v>190</v>
      </c>
      <c r="T16" s="87">
        <v>0</v>
      </c>
      <c r="V16" s="87">
        <v>0</v>
      </c>
      <c r="X16" s="87">
        <v>0</v>
      </c>
      <c r="Y16" s="88">
        <v>35588987.00000003</v>
      </c>
      <c r="Z16" s="87">
        <v>117</v>
      </c>
      <c r="AA16" s="87">
        <v>190</v>
      </c>
      <c r="AB16" s="89">
        <f t="shared" si="1"/>
        <v>0</v>
      </c>
      <c r="AC16" s="89">
        <f t="shared" si="2"/>
        <v>0</v>
      </c>
      <c r="AD16" s="89">
        <f t="shared" si="3"/>
        <v>117</v>
      </c>
      <c r="AE16" s="90">
        <f t="shared" si="4"/>
        <v>0</v>
      </c>
      <c r="AF16" s="90" t="str">
        <f t="shared" si="5"/>
        <v/>
      </c>
      <c r="AG16" s="90">
        <f t="shared" si="6"/>
        <v>190</v>
      </c>
      <c r="AH16" s="90" t="str">
        <f t="shared" si="7"/>
        <v>2018 (triag)</v>
      </c>
      <c r="AI16" s="90">
        <f t="shared" si="8"/>
        <v>117</v>
      </c>
      <c r="AJ16" s="90">
        <f t="shared" si="9"/>
        <v>2022</v>
      </c>
      <c r="AK16" s="90" t="str">
        <f t="shared" si="10"/>
        <v>Adjust</v>
      </c>
      <c r="AL16" s="91">
        <f>IF(AK16="Adjust",(_xlfn.XLOOKUP(A16,'Adj factor'!A:A,'Adj factor'!I:I,,0)*AI16),'Master DataSheet'!AI16)</f>
        <v>173.50753286986668</v>
      </c>
      <c r="AM16" s="91">
        <f t="shared" si="11"/>
        <v>190</v>
      </c>
      <c r="AN16" s="92" t="str">
        <f t="shared" si="12"/>
        <v>Decreasing</v>
      </c>
      <c r="AO16" s="93">
        <f>VLOOKUP(B16,'Growthrates source'!A$2:H$49,8,FALSE)</f>
        <v>0.3113441654036182</v>
      </c>
      <c r="AP16" s="93">
        <f>VLOOKUP(B16,'Growthrates source'!A$2:I$49,9,FALSE)</f>
        <v>5.4673730437993617E-2</v>
      </c>
      <c r="AQ16" s="86">
        <f t="shared" si="13"/>
        <v>40.056992204004942</v>
      </c>
      <c r="AR16" s="86">
        <f t="shared" si="14"/>
        <v>223.86546382068505</v>
      </c>
      <c r="AS16" s="94">
        <f t="shared" si="15"/>
        <v>0</v>
      </c>
      <c r="AT16" s="94">
        <f t="shared" si="16"/>
        <v>6.0754248648529727E-2</v>
      </c>
      <c r="AU16" s="94">
        <f t="shared" si="17"/>
        <v>5.3387302088705096E-2</v>
      </c>
    </row>
    <row r="17" spans="1:47" x14ac:dyDescent="0.3">
      <c r="A17" s="85" t="str">
        <f>_xlfn.XLOOKUP(B17,'Country codes &amp; Data sources'!G:G,'Country codes &amp; Data sources'!H:H,,0)</f>
        <v>Angola</v>
      </c>
      <c r="B17" s="85" t="s">
        <v>162</v>
      </c>
      <c r="C17" s="86">
        <v>25188292.499999996</v>
      </c>
      <c r="D17" s="85" t="s">
        <v>141</v>
      </c>
      <c r="E17" s="87">
        <v>0</v>
      </c>
      <c r="F17" s="88">
        <v>26147002.000000011</v>
      </c>
      <c r="G17" s="87">
        <v>0</v>
      </c>
      <c r="I17" s="87">
        <v>0</v>
      </c>
      <c r="K17" s="87">
        <v>0</v>
      </c>
      <c r="M17" s="87">
        <v>0</v>
      </c>
      <c r="O17" s="87">
        <v>0</v>
      </c>
      <c r="P17" s="88">
        <v>31273533.000000004</v>
      </c>
      <c r="Q17" s="87">
        <v>0</v>
      </c>
      <c r="R17" s="87">
        <f t="shared" si="0"/>
        <v>56</v>
      </c>
      <c r="T17" s="87">
        <v>0</v>
      </c>
      <c r="V17" s="87">
        <v>0</v>
      </c>
      <c r="X17" s="87">
        <v>0</v>
      </c>
      <c r="Y17" s="88">
        <v>35588987.00000003</v>
      </c>
      <c r="Z17" s="87">
        <v>6</v>
      </c>
      <c r="AA17" s="87">
        <v>56</v>
      </c>
      <c r="AB17" s="89">
        <f t="shared" si="1"/>
        <v>0</v>
      </c>
      <c r="AC17" s="89">
        <f t="shared" si="2"/>
        <v>0</v>
      </c>
      <c r="AD17" s="89">
        <f t="shared" si="3"/>
        <v>6</v>
      </c>
      <c r="AE17" s="90">
        <f t="shared" si="4"/>
        <v>0</v>
      </c>
      <c r="AF17" s="90" t="str">
        <f t="shared" si="5"/>
        <v/>
      </c>
      <c r="AG17" s="90">
        <f t="shared" si="6"/>
        <v>56</v>
      </c>
      <c r="AH17" s="90" t="str">
        <f t="shared" si="7"/>
        <v>2018 (triag)</v>
      </c>
      <c r="AI17" s="90">
        <f t="shared" si="8"/>
        <v>6</v>
      </c>
      <c r="AJ17" s="90">
        <f t="shared" si="9"/>
        <v>2022</v>
      </c>
      <c r="AK17" s="90" t="str">
        <f t="shared" si="10"/>
        <v>Adjust</v>
      </c>
      <c r="AL17" s="91">
        <f>IF(AK17="Adjust",(_xlfn.XLOOKUP(A17,'Adj factor'!A:A,'Adj factor'!I:I,,0)*AI17),'Master DataSheet'!AI17)</f>
        <v>8.8978221984547012</v>
      </c>
      <c r="AM17" s="91">
        <f t="shared" si="11"/>
        <v>56</v>
      </c>
      <c r="AN17" s="92" t="str">
        <f t="shared" si="12"/>
        <v>Decreasing</v>
      </c>
      <c r="AO17" s="93">
        <f>VLOOKUP(B17,'Growthrates source'!A$2:H$49,8,FALSE)</f>
        <v>0.3113441654036182</v>
      </c>
      <c r="AP17" s="93">
        <f>VLOOKUP(B17,'Growthrates source'!A$2:I$49,9,FALSE)</f>
        <v>5.4673730437993617E-2</v>
      </c>
      <c r="AQ17" s="86">
        <f t="shared" si="13"/>
        <v>11.80627138644356</v>
      </c>
      <c r="AR17" s="86">
        <f t="shared" si="14"/>
        <v>65.981399862938758</v>
      </c>
      <c r="AS17" s="94">
        <f t="shared" si="15"/>
        <v>0</v>
      </c>
      <c r="AT17" s="94">
        <f t="shared" si="16"/>
        <v>1.7906515391145603E-2</v>
      </c>
      <c r="AU17" s="94">
        <f t="shared" si="17"/>
        <v>1.5735204826144659E-2</v>
      </c>
    </row>
    <row r="18" spans="1:47" x14ac:dyDescent="0.3">
      <c r="A18" s="85" t="str">
        <f>_xlfn.XLOOKUP(B18,'Country codes &amp; Data sources'!G:G,'Country codes &amp; Data sources'!H:H,,0)</f>
        <v>Angola</v>
      </c>
      <c r="B18" s="85" t="s">
        <v>162</v>
      </c>
      <c r="C18" s="86">
        <v>25188292.499999996</v>
      </c>
      <c r="D18" s="85" t="s">
        <v>208</v>
      </c>
      <c r="E18" s="87">
        <v>0</v>
      </c>
      <c r="F18" s="88">
        <v>26147002.000000011</v>
      </c>
      <c r="G18" s="87">
        <v>0</v>
      </c>
      <c r="I18" s="87">
        <v>0</v>
      </c>
      <c r="K18" s="87">
        <v>0</v>
      </c>
      <c r="M18" s="87">
        <v>0</v>
      </c>
      <c r="O18" s="87">
        <v>0</v>
      </c>
      <c r="P18" s="88">
        <v>31273533.000000004</v>
      </c>
      <c r="Q18" s="87">
        <v>0</v>
      </c>
      <c r="R18" s="87">
        <f t="shared" si="0"/>
        <v>28324</v>
      </c>
      <c r="T18" s="87">
        <v>0</v>
      </c>
      <c r="V18" s="87">
        <v>0</v>
      </c>
      <c r="X18" s="87">
        <v>0</v>
      </c>
      <c r="Y18" s="88">
        <v>35588987.00000003</v>
      </c>
      <c r="Z18" s="87">
        <v>0</v>
      </c>
      <c r="AA18" s="87">
        <v>28324</v>
      </c>
      <c r="AB18" s="89">
        <f t="shared" si="1"/>
        <v>0</v>
      </c>
      <c r="AC18" s="89">
        <f t="shared" si="2"/>
        <v>0</v>
      </c>
      <c r="AD18" s="89">
        <f t="shared" si="3"/>
        <v>0</v>
      </c>
      <c r="AE18" s="90">
        <f t="shared" si="4"/>
        <v>0</v>
      </c>
      <c r="AF18" s="90" t="str">
        <f t="shared" si="5"/>
        <v/>
      </c>
      <c r="AG18" s="90">
        <f t="shared" si="6"/>
        <v>28324</v>
      </c>
      <c r="AH18" s="90" t="str">
        <f t="shared" si="7"/>
        <v>2018 (triag)</v>
      </c>
      <c r="AI18" s="90">
        <f t="shared" si="8"/>
        <v>28324</v>
      </c>
      <c r="AJ18" s="90" t="str">
        <f t="shared" si="9"/>
        <v>2018 (triag)</v>
      </c>
      <c r="AK18" s="90" t="str">
        <f t="shared" si="10"/>
        <v/>
      </c>
      <c r="AL18" s="91">
        <f>IF(AK18="Adjust",(_xlfn.XLOOKUP(A18,'Adj factor'!A:A,'Adj factor'!I:I,,0)*AI18),'Master DataSheet'!AI18)</f>
        <v>28324</v>
      </c>
      <c r="AM18" s="91">
        <f t="shared" si="11"/>
        <v>28324</v>
      </c>
      <c r="AN18" s="92" t="str">
        <f t="shared" si="12"/>
        <v>No change</v>
      </c>
      <c r="AO18" s="93">
        <f>VLOOKUP(B18,'Growthrates source'!A$2:H$49,8,FALSE)</f>
        <v>0.3113441654036182</v>
      </c>
      <c r="AP18" s="93">
        <f>VLOOKUP(B18,'Growthrates source'!A$2:I$49,9,FALSE)</f>
        <v>5.4673730437993617E-2</v>
      </c>
      <c r="AQ18" s="86">
        <f t="shared" si="13"/>
        <v>5971.4434062433465</v>
      </c>
      <c r="AR18" s="86">
        <f t="shared" si="14"/>
        <v>33372.449459247808</v>
      </c>
      <c r="AS18" s="94">
        <f t="shared" si="15"/>
        <v>0</v>
      </c>
      <c r="AT18" s="94">
        <f t="shared" si="16"/>
        <v>9.056859677478716</v>
      </c>
      <c r="AU18" s="94">
        <f t="shared" si="17"/>
        <v>7.9586418124235951</v>
      </c>
    </row>
    <row r="19" spans="1:47" x14ac:dyDescent="0.3">
      <c r="A19" s="85" t="str">
        <f>_xlfn.XLOOKUP(B19,'Country codes &amp; Data sources'!G:G,'Country codes &amp; Data sources'!H:H,,0)</f>
        <v>Angola</v>
      </c>
      <c r="B19" s="85" t="s">
        <v>162</v>
      </c>
      <c r="C19" s="86">
        <v>25188292.499999996</v>
      </c>
      <c r="D19" s="85" t="s">
        <v>209</v>
      </c>
      <c r="E19" s="87">
        <v>0</v>
      </c>
      <c r="F19" s="88">
        <v>26147002.000000011</v>
      </c>
      <c r="G19" s="87">
        <v>0</v>
      </c>
      <c r="I19" s="87">
        <v>0</v>
      </c>
      <c r="K19" s="87">
        <v>0</v>
      </c>
      <c r="M19" s="87">
        <v>0</v>
      </c>
      <c r="O19" s="87">
        <v>0</v>
      </c>
      <c r="P19" s="88">
        <v>31273533.000000004</v>
      </c>
      <c r="Q19" s="87">
        <v>0</v>
      </c>
      <c r="R19" s="87">
        <f t="shared" si="0"/>
        <v>0</v>
      </c>
      <c r="T19" s="87">
        <v>0</v>
      </c>
      <c r="V19" s="87">
        <v>0</v>
      </c>
      <c r="X19" s="87">
        <v>0</v>
      </c>
      <c r="Y19" s="88">
        <v>35588987.00000003</v>
      </c>
      <c r="Z19" s="87">
        <v>8431</v>
      </c>
      <c r="AA19" s="87">
        <v>0</v>
      </c>
      <c r="AB19" s="89">
        <f t="shared" si="1"/>
        <v>0</v>
      </c>
      <c r="AC19" s="89">
        <f t="shared" si="2"/>
        <v>0</v>
      </c>
      <c r="AD19" s="89">
        <f t="shared" si="3"/>
        <v>8431</v>
      </c>
      <c r="AE19" s="90">
        <f t="shared" si="4"/>
        <v>0</v>
      </c>
      <c r="AF19" s="90" t="str">
        <f t="shared" si="5"/>
        <v/>
      </c>
      <c r="AG19" s="90">
        <f t="shared" si="6"/>
        <v>0</v>
      </c>
      <c r="AH19" s="90" t="str">
        <f t="shared" si="7"/>
        <v/>
      </c>
      <c r="AI19" s="90">
        <f t="shared" si="8"/>
        <v>8431</v>
      </c>
      <c r="AJ19" s="90">
        <f t="shared" si="9"/>
        <v>2022</v>
      </c>
      <c r="AK19" s="90" t="str">
        <f t="shared" si="10"/>
        <v/>
      </c>
      <c r="AL19" s="91">
        <f>IF(AK19="Adjust",(_xlfn.XLOOKUP(A19,'Adj factor'!A:A,'Adj factor'!I:I,,0)*AI19),'Master DataSheet'!AI19)</f>
        <v>8431</v>
      </c>
      <c r="AM19" s="91">
        <f t="shared" si="11"/>
        <v>8431</v>
      </c>
      <c r="AN19" s="92" t="str">
        <f t="shared" si="12"/>
        <v>Increasing</v>
      </c>
      <c r="AO19" s="93">
        <f>VLOOKUP(B19,'Growthrates source'!A$2:H$49,8,FALSE)</f>
        <v>0.3113441654036182</v>
      </c>
      <c r="AP19" s="93">
        <f>VLOOKUP(B19,'Growthrates source'!A$2:I$49,9,FALSE)</f>
        <v>5.4673730437993617E-2</v>
      </c>
      <c r="AQ19" s="86">
        <f t="shared" si="13"/>
        <v>0</v>
      </c>
      <c r="AR19" s="86">
        <f t="shared" si="14"/>
        <v>0</v>
      </c>
      <c r="AS19" s="94">
        <f t="shared" si="15"/>
        <v>0</v>
      </c>
      <c r="AT19" s="94">
        <f t="shared" si="16"/>
        <v>0</v>
      </c>
      <c r="AU19" s="94">
        <f t="shared" si="17"/>
        <v>2.3689912837361717</v>
      </c>
    </row>
    <row r="20" spans="1:47" x14ac:dyDescent="0.3">
      <c r="A20" s="85" t="str">
        <f>_xlfn.XLOOKUP(B20,'Country codes &amp; Data sources'!G:G,'Country codes &amp; Data sources'!H:H,,0)</f>
        <v>Angola</v>
      </c>
      <c r="B20" s="85" t="s">
        <v>162</v>
      </c>
      <c r="C20" s="86">
        <v>25188292.499999996</v>
      </c>
      <c r="D20" s="85" t="s">
        <v>134</v>
      </c>
      <c r="E20" s="87">
        <v>0</v>
      </c>
      <c r="F20" s="88">
        <v>26147002.000000011</v>
      </c>
      <c r="G20" s="87">
        <v>0</v>
      </c>
      <c r="I20" s="87">
        <v>0</v>
      </c>
      <c r="K20" s="87">
        <v>0</v>
      </c>
      <c r="M20" s="87">
        <v>0</v>
      </c>
      <c r="O20" s="87">
        <v>0</v>
      </c>
      <c r="P20" s="88">
        <v>31273533.000000004</v>
      </c>
      <c r="Q20" s="87">
        <v>0</v>
      </c>
      <c r="R20" s="87">
        <f t="shared" si="0"/>
        <v>98</v>
      </c>
      <c r="T20" s="87">
        <v>0</v>
      </c>
      <c r="V20" s="87">
        <v>0</v>
      </c>
      <c r="X20" s="87">
        <v>0</v>
      </c>
      <c r="Y20" s="88">
        <v>35588987.00000003</v>
      </c>
      <c r="Z20" s="87">
        <v>12</v>
      </c>
      <c r="AA20" s="87">
        <v>98</v>
      </c>
      <c r="AB20" s="89">
        <f t="shared" si="1"/>
        <v>0</v>
      </c>
      <c r="AC20" s="89">
        <f t="shared" si="2"/>
        <v>0</v>
      </c>
      <c r="AD20" s="89">
        <f t="shared" si="3"/>
        <v>12</v>
      </c>
      <c r="AE20" s="90">
        <f t="shared" si="4"/>
        <v>0</v>
      </c>
      <c r="AF20" s="90" t="str">
        <f t="shared" si="5"/>
        <v/>
      </c>
      <c r="AG20" s="90">
        <f t="shared" si="6"/>
        <v>98</v>
      </c>
      <c r="AH20" s="90" t="str">
        <f t="shared" si="7"/>
        <v>2018 (triag)</v>
      </c>
      <c r="AI20" s="90">
        <f t="shared" si="8"/>
        <v>12</v>
      </c>
      <c r="AJ20" s="90">
        <f t="shared" si="9"/>
        <v>2022</v>
      </c>
      <c r="AK20" s="90" t="str">
        <f t="shared" si="10"/>
        <v>Adjust</v>
      </c>
      <c r="AL20" s="91">
        <f>IF(AK20="Adjust",(_xlfn.XLOOKUP(A20,'Adj factor'!A:A,'Adj factor'!I:I,,0)*AI20),'Master DataSheet'!AI20)</f>
        <v>17.795644396909402</v>
      </c>
      <c r="AM20" s="91">
        <f t="shared" si="11"/>
        <v>98</v>
      </c>
      <c r="AN20" s="92" t="str">
        <f t="shared" si="12"/>
        <v>Decreasing</v>
      </c>
      <c r="AO20" s="93">
        <f>VLOOKUP(B20,'Growthrates source'!A$2:H$49,8,FALSE)</f>
        <v>0.3113441654036182</v>
      </c>
      <c r="AP20" s="93">
        <f>VLOOKUP(B20,'Growthrates source'!A$2:I$49,9,FALSE)</f>
        <v>5.4673730437993617E-2</v>
      </c>
      <c r="AQ20" s="86">
        <f t="shared" si="13"/>
        <v>20.660974926276232</v>
      </c>
      <c r="AR20" s="86">
        <f t="shared" si="14"/>
        <v>115.46744976014281</v>
      </c>
      <c r="AS20" s="94">
        <f t="shared" si="15"/>
        <v>0</v>
      </c>
      <c r="AT20" s="94">
        <f t="shared" si="16"/>
        <v>3.1336401934504807E-2</v>
      </c>
      <c r="AU20" s="94">
        <f t="shared" si="17"/>
        <v>2.7536608445753154E-2</v>
      </c>
    </row>
    <row r="21" spans="1:47" x14ac:dyDescent="0.3">
      <c r="A21" s="85" t="str">
        <f>_xlfn.XLOOKUP(B21,'Country codes &amp; Data sources'!G:G,'Country codes &amp; Data sources'!H:H,,0)</f>
        <v>Angola</v>
      </c>
      <c r="B21" s="85" t="s">
        <v>162</v>
      </c>
      <c r="C21" s="86">
        <v>25188292.499999996</v>
      </c>
      <c r="D21" s="85" t="s">
        <v>142</v>
      </c>
      <c r="E21" s="87">
        <v>0</v>
      </c>
      <c r="F21" s="88">
        <v>26147002.000000011</v>
      </c>
      <c r="G21" s="87">
        <v>0</v>
      </c>
      <c r="I21" s="87">
        <v>0</v>
      </c>
      <c r="K21" s="87">
        <v>0</v>
      </c>
      <c r="M21" s="87">
        <v>0</v>
      </c>
      <c r="O21" s="87">
        <v>0</v>
      </c>
      <c r="P21" s="88">
        <v>31273533.000000004</v>
      </c>
      <c r="Q21" s="87">
        <v>0</v>
      </c>
      <c r="R21" s="87">
        <f t="shared" si="0"/>
        <v>56</v>
      </c>
      <c r="T21" s="87">
        <v>0</v>
      </c>
      <c r="V21" s="87">
        <v>0</v>
      </c>
      <c r="X21" s="87">
        <v>0</v>
      </c>
      <c r="Y21" s="88">
        <v>35588987.00000003</v>
      </c>
      <c r="Z21" s="87">
        <v>0</v>
      </c>
      <c r="AA21" s="87">
        <v>56</v>
      </c>
      <c r="AB21" s="89">
        <f t="shared" si="1"/>
        <v>0</v>
      </c>
      <c r="AC21" s="89">
        <f t="shared" si="2"/>
        <v>0</v>
      </c>
      <c r="AD21" s="89">
        <f t="shared" si="3"/>
        <v>0</v>
      </c>
      <c r="AE21" s="90">
        <f t="shared" si="4"/>
        <v>0</v>
      </c>
      <c r="AF21" s="90" t="str">
        <f t="shared" si="5"/>
        <v/>
      </c>
      <c r="AG21" s="90">
        <f t="shared" si="6"/>
        <v>56</v>
      </c>
      <c r="AH21" s="90" t="str">
        <f t="shared" si="7"/>
        <v>2018 (triag)</v>
      </c>
      <c r="AI21" s="90">
        <f t="shared" si="8"/>
        <v>56</v>
      </c>
      <c r="AJ21" s="90" t="str">
        <f t="shared" si="9"/>
        <v>2018 (triag)</v>
      </c>
      <c r="AK21" s="90" t="str">
        <f t="shared" si="10"/>
        <v/>
      </c>
      <c r="AL21" s="91">
        <f>IF(AK21="Adjust",(_xlfn.XLOOKUP(A21,'Adj factor'!A:A,'Adj factor'!I:I,,0)*AI21),'Master DataSheet'!AI21)</f>
        <v>56</v>
      </c>
      <c r="AM21" s="91">
        <f t="shared" si="11"/>
        <v>56</v>
      </c>
      <c r="AN21" s="92" t="str">
        <f t="shared" si="12"/>
        <v>No change</v>
      </c>
      <c r="AO21" s="93">
        <f>VLOOKUP(B21,'Growthrates source'!A$2:H$49,8,FALSE)</f>
        <v>0.3113441654036182</v>
      </c>
      <c r="AP21" s="93">
        <f>VLOOKUP(B21,'Growthrates source'!A$2:I$49,9,FALSE)</f>
        <v>5.4673730437993617E-2</v>
      </c>
      <c r="AQ21" s="86">
        <f t="shared" si="13"/>
        <v>11.80627138644356</v>
      </c>
      <c r="AR21" s="86">
        <f t="shared" si="14"/>
        <v>65.981399862938758</v>
      </c>
      <c r="AS21" s="94">
        <f t="shared" si="15"/>
        <v>0</v>
      </c>
      <c r="AT21" s="94">
        <f t="shared" si="16"/>
        <v>1.7906515391145603E-2</v>
      </c>
      <c r="AU21" s="94">
        <f t="shared" si="17"/>
        <v>1.5735204826144659E-2</v>
      </c>
    </row>
    <row r="22" spans="1:47" x14ac:dyDescent="0.3">
      <c r="A22" s="85" t="str">
        <f>_xlfn.XLOOKUP(B22,'Country codes &amp; Data sources'!G:G,'Country codes &amp; Data sources'!H:H,,0)</f>
        <v>Angola</v>
      </c>
      <c r="B22" s="85" t="s">
        <v>162</v>
      </c>
      <c r="C22" s="86">
        <v>25188292.499999996</v>
      </c>
      <c r="D22" s="85" t="s">
        <v>83</v>
      </c>
      <c r="E22" s="87">
        <v>0</v>
      </c>
      <c r="F22" s="88">
        <v>26147002.000000011</v>
      </c>
      <c r="G22" s="87">
        <v>0</v>
      </c>
      <c r="I22" s="87">
        <v>0</v>
      </c>
      <c r="K22" s="87">
        <v>0</v>
      </c>
      <c r="M22" s="87">
        <v>0</v>
      </c>
      <c r="O22" s="87">
        <v>0</v>
      </c>
      <c r="P22" s="88">
        <v>31273533.000000004</v>
      </c>
      <c r="Q22" s="87">
        <v>0</v>
      </c>
      <c r="R22" s="87">
        <f t="shared" si="0"/>
        <v>1156</v>
      </c>
      <c r="T22" s="87">
        <v>0</v>
      </c>
      <c r="V22" s="87">
        <v>0</v>
      </c>
      <c r="X22" s="87">
        <v>0</v>
      </c>
      <c r="Y22" s="88">
        <v>35588987.00000003</v>
      </c>
      <c r="Z22" s="87">
        <v>1195</v>
      </c>
      <c r="AA22" s="87">
        <v>1156</v>
      </c>
      <c r="AB22" s="89">
        <f t="shared" si="1"/>
        <v>0</v>
      </c>
      <c r="AC22" s="89">
        <f t="shared" si="2"/>
        <v>0</v>
      </c>
      <c r="AD22" s="89">
        <f t="shared" si="3"/>
        <v>1195</v>
      </c>
      <c r="AE22" s="90">
        <f t="shared" si="4"/>
        <v>0</v>
      </c>
      <c r="AF22" s="90" t="str">
        <f t="shared" si="5"/>
        <v/>
      </c>
      <c r="AG22" s="90">
        <f t="shared" si="6"/>
        <v>1156</v>
      </c>
      <c r="AH22" s="90" t="str">
        <f t="shared" si="7"/>
        <v>2018 (triag)</v>
      </c>
      <c r="AI22" s="90">
        <f t="shared" si="8"/>
        <v>1195</v>
      </c>
      <c r="AJ22" s="90">
        <f t="shared" si="9"/>
        <v>2022</v>
      </c>
      <c r="AK22" s="90" t="str">
        <f t="shared" si="10"/>
        <v/>
      </c>
      <c r="AL22" s="91">
        <f>IF(AK22="Adjust",(_xlfn.XLOOKUP(A22,'Adj factor'!A:A,'Adj factor'!I:I,,0)*AI22),'Master DataSheet'!AI22)</f>
        <v>1195</v>
      </c>
      <c r="AM22" s="91">
        <f t="shared" si="11"/>
        <v>1195</v>
      </c>
      <c r="AN22" s="92" t="str">
        <f t="shared" si="12"/>
        <v>Increasing</v>
      </c>
      <c r="AO22" s="93">
        <f>VLOOKUP(B22,'Growthrates source'!A$2:H$49,8,FALSE)</f>
        <v>0.3113441654036182</v>
      </c>
      <c r="AP22" s="93">
        <f>VLOOKUP(B22,'Growthrates source'!A$2:I$49,9,FALSE)</f>
        <v>5.4673730437993617E-2</v>
      </c>
      <c r="AQ22" s="86">
        <f t="shared" si="13"/>
        <v>243.71517362015638</v>
      </c>
      <c r="AR22" s="86">
        <f t="shared" si="14"/>
        <v>1362.0446114563786</v>
      </c>
      <c r="AS22" s="94">
        <f t="shared" si="15"/>
        <v>0</v>
      </c>
      <c r="AT22" s="94">
        <f t="shared" si="16"/>
        <v>0.3696416391457914</v>
      </c>
      <c r="AU22" s="94">
        <f t="shared" si="17"/>
        <v>0.33577803155790836</v>
      </c>
    </row>
    <row r="23" spans="1:47" x14ac:dyDescent="0.3">
      <c r="A23" s="85" t="str">
        <f>_xlfn.XLOOKUP(B23,'Country codes &amp; Data sources'!G:G,'Country codes &amp; Data sources'!H:H,,0)</f>
        <v>Angola</v>
      </c>
      <c r="B23" s="85" t="s">
        <v>162</v>
      </c>
      <c r="C23" s="86">
        <v>25188292.499999996</v>
      </c>
      <c r="D23" s="85" t="s">
        <v>84</v>
      </c>
      <c r="E23" s="87">
        <v>0</v>
      </c>
      <c r="F23" s="88">
        <v>26147002.000000011</v>
      </c>
      <c r="G23" s="87">
        <v>0</v>
      </c>
      <c r="I23" s="87">
        <v>0</v>
      </c>
      <c r="K23" s="87">
        <v>0</v>
      </c>
      <c r="M23" s="87">
        <v>0</v>
      </c>
      <c r="O23" s="87">
        <v>0</v>
      </c>
      <c r="P23" s="88">
        <v>31273533.000000004</v>
      </c>
      <c r="Q23" s="87">
        <v>0</v>
      </c>
      <c r="R23" s="87">
        <f t="shared" si="0"/>
        <v>0</v>
      </c>
      <c r="T23" s="87">
        <v>0</v>
      </c>
      <c r="V23" s="87">
        <v>0</v>
      </c>
      <c r="X23" s="87">
        <v>0</v>
      </c>
      <c r="Y23" s="88">
        <v>35588987.00000003</v>
      </c>
      <c r="Z23" s="87">
        <v>41</v>
      </c>
      <c r="AA23" s="87">
        <v>0</v>
      </c>
      <c r="AB23" s="89">
        <f t="shared" si="1"/>
        <v>0</v>
      </c>
      <c r="AC23" s="89">
        <f t="shared" si="2"/>
        <v>0</v>
      </c>
      <c r="AD23" s="89">
        <f t="shared" si="3"/>
        <v>41</v>
      </c>
      <c r="AE23" s="90">
        <f t="shared" si="4"/>
        <v>0</v>
      </c>
      <c r="AF23" s="90" t="str">
        <f t="shared" si="5"/>
        <v/>
      </c>
      <c r="AG23" s="90">
        <f t="shared" si="6"/>
        <v>0</v>
      </c>
      <c r="AH23" s="90" t="str">
        <f t="shared" si="7"/>
        <v/>
      </c>
      <c r="AI23" s="90">
        <f t="shared" si="8"/>
        <v>41</v>
      </c>
      <c r="AJ23" s="90">
        <f t="shared" si="9"/>
        <v>2022</v>
      </c>
      <c r="AK23" s="90" t="str">
        <f t="shared" si="10"/>
        <v/>
      </c>
      <c r="AL23" s="91">
        <f>IF(AK23="Adjust",(_xlfn.XLOOKUP(A23,'Adj factor'!A:A,'Adj factor'!I:I,,0)*AI23),'Master DataSheet'!AI23)</f>
        <v>41</v>
      </c>
      <c r="AM23" s="91">
        <f t="shared" si="11"/>
        <v>41</v>
      </c>
      <c r="AN23" s="92" t="str">
        <f t="shared" si="12"/>
        <v>Increasing</v>
      </c>
      <c r="AO23" s="93">
        <f>VLOOKUP(B23,'Growthrates source'!A$2:H$49,8,FALSE)</f>
        <v>0.3113441654036182</v>
      </c>
      <c r="AP23" s="93">
        <f>VLOOKUP(B23,'Growthrates source'!A$2:I$49,9,FALSE)</f>
        <v>5.4673730437993617E-2</v>
      </c>
      <c r="AQ23" s="86">
        <f t="shared" si="13"/>
        <v>0</v>
      </c>
      <c r="AR23" s="86">
        <f t="shared" si="14"/>
        <v>0</v>
      </c>
      <c r="AS23" s="94">
        <f t="shared" si="15"/>
        <v>0</v>
      </c>
      <c r="AT23" s="94">
        <f t="shared" si="16"/>
        <v>0</v>
      </c>
      <c r="AU23" s="94">
        <f t="shared" si="17"/>
        <v>1.1520417819141626E-2</v>
      </c>
    </row>
    <row r="24" spans="1:47" x14ac:dyDescent="0.3">
      <c r="A24" s="85" t="str">
        <f>_xlfn.XLOOKUP(B24,'Country codes &amp; Data sources'!G:G,'Country codes &amp; Data sources'!H:H,,0)</f>
        <v>Angola</v>
      </c>
      <c r="B24" s="85" t="s">
        <v>162</v>
      </c>
      <c r="C24" s="86">
        <v>25188292.499999996</v>
      </c>
      <c r="D24" s="85" t="s">
        <v>126</v>
      </c>
      <c r="E24" s="87">
        <v>0</v>
      </c>
      <c r="F24" s="88">
        <v>26147002.000000011</v>
      </c>
      <c r="G24" s="87">
        <v>0</v>
      </c>
      <c r="I24" s="87">
        <v>0</v>
      </c>
      <c r="K24" s="87">
        <v>0</v>
      </c>
      <c r="M24" s="87">
        <v>0</v>
      </c>
      <c r="O24" s="87">
        <v>0</v>
      </c>
      <c r="P24" s="88">
        <v>31273533.000000004</v>
      </c>
      <c r="Q24" s="87">
        <v>0</v>
      </c>
      <c r="R24" s="87">
        <f t="shared" si="0"/>
        <v>0</v>
      </c>
      <c r="T24" s="87">
        <v>0</v>
      </c>
      <c r="V24" s="87">
        <v>0</v>
      </c>
      <c r="X24" s="87">
        <v>0</v>
      </c>
      <c r="Y24" s="88">
        <v>35588987.00000003</v>
      </c>
      <c r="Z24" s="87">
        <v>1</v>
      </c>
      <c r="AA24" s="87">
        <v>0</v>
      </c>
      <c r="AB24" s="89">
        <f t="shared" si="1"/>
        <v>0</v>
      </c>
      <c r="AC24" s="89">
        <f t="shared" si="2"/>
        <v>0</v>
      </c>
      <c r="AD24" s="89">
        <f t="shared" si="3"/>
        <v>1</v>
      </c>
      <c r="AE24" s="90">
        <f t="shared" si="4"/>
        <v>0</v>
      </c>
      <c r="AF24" s="90" t="str">
        <f t="shared" si="5"/>
        <v/>
      </c>
      <c r="AG24" s="90">
        <f t="shared" si="6"/>
        <v>0</v>
      </c>
      <c r="AH24" s="90" t="str">
        <f t="shared" si="7"/>
        <v/>
      </c>
      <c r="AI24" s="90">
        <f t="shared" si="8"/>
        <v>1</v>
      </c>
      <c r="AJ24" s="90">
        <f t="shared" si="9"/>
        <v>2022</v>
      </c>
      <c r="AK24" s="90" t="str">
        <f t="shared" si="10"/>
        <v/>
      </c>
      <c r="AL24" s="91">
        <f>IF(AK24="Adjust",(_xlfn.XLOOKUP(A24,'Adj factor'!A:A,'Adj factor'!I:I,,0)*AI24),'Master DataSheet'!AI24)</f>
        <v>1</v>
      </c>
      <c r="AM24" s="91">
        <f t="shared" si="11"/>
        <v>1</v>
      </c>
      <c r="AN24" s="92" t="str">
        <f t="shared" si="12"/>
        <v>Increasing</v>
      </c>
      <c r="AO24" s="93">
        <f>VLOOKUP(B24,'Growthrates source'!A$2:H$49,8,FALSE)</f>
        <v>0.3113441654036182</v>
      </c>
      <c r="AP24" s="93">
        <f>VLOOKUP(B24,'Growthrates source'!A$2:I$49,9,FALSE)</f>
        <v>5.4673730437993617E-2</v>
      </c>
      <c r="AQ24" s="86">
        <f t="shared" si="13"/>
        <v>0</v>
      </c>
      <c r="AR24" s="86">
        <f t="shared" si="14"/>
        <v>0</v>
      </c>
      <c r="AS24" s="94">
        <f t="shared" si="15"/>
        <v>0</v>
      </c>
      <c r="AT24" s="94">
        <f t="shared" si="16"/>
        <v>0</v>
      </c>
      <c r="AU24" s="94">
        <f t="shared" si="17"/>
        <v>2.8098580046686893E-4</v>
      </c>
    </row>
    <row r="25" spans="1:47" x14ac:dyDescent="0.3">
      <c r="A25" s="85" t="str">
        <f>_xlfn.XLOOKUP(B25,'Country codes &amp; Data sources'!G:G,'Country codes &amp; Data sources'!H:H,,0)</f>
        <v>Angola</v>
      </c>
      <c r="B25" s="85" t="s">
        <v>162</v>
      </c>
      <c r="C25" s="86">
        <v>25188292.499999996</v>
      </c>
      <c r="D25" s="85" t="s">
        <v>87</v>
      </c>
      <c r="E25" s="87">
        <v>0</v>
      </c>
      <c r="F25" s="88">
        <v>26147002.000000011</v>
      </c>
      <c r="G25" s="87">
        <v>0</v>
      </c>
      <c r="I25" s="87">
        <v>0</v>
      </c>
      <c r="K25" s="87">
        <v>0</v>
      </c>
      <c r="M25" s="87">
        <v>0</v>
      </c>
      <c r="O25" s="87">
        <v>0</v>
      </c>
      <c r="P25" s="88">
        <v>31273533.000000004</v>
      </c>
      <c r="Q25" s="87">
        <v>0</v>
      </c>
      <c r="R25" s="87">
        <f t="shared" si="0"/>
        <v>16380</v>
      </c>
      <c r="T25" s="87">
        <v>0</v>
      </c>
      <c r="V25" s="87">
        <v>0</v>
      </c>
      <c r="X25" s="87">
        <v>0</v>
      </c>
      <c r="Y25" s="88">
        <v>35588987.00000003</v>
      </c>
      <c r="Z25" s="87">
        <v>0</v>
      </c>
      <c r="AA25" s="87">
        <v>16380</v>
      </c>
      <c r="AB25" s="89">
        <f t="shared" si="1"/>
        <v>0</v>
      </c>
      <c r="AC25" s="89">
        <f t="shared" si="2"/>
        <v>0</v>
      </c>
      <c r="AD25" s="89">
        <f t="shared" si="3"/>
        <v>0</v>
      </c>
      <c r="AE25" s="90">
        <f t="shared" si="4"/>
        <v>0</v>
      </c>
      <c r="AF25" s="90" t="str">
        <f t="shared" si="5"/>
        <v/>
      </c>
      <c r="AG25" s="90">
        <f t="shared" si="6"/>
        <v>16380</v>
      </c>
      <c r="AH25" s="90" t="str">
        <f t="shared" si="7"/>
        <v>2018 (triag)</v>
      </c>
      <c r="AI25" s="90">
        <f t="shared" si="8"/>
        <v>16380</v>
      </c>
      <c r="AJ25" s="90" t="str">
        <f t="shared" si="9"/>
        <v>2018 (triag)</v>
      </c>
      <c r="AK25" s="90" t="str">
        <f t="shared" si="10"/>
        <v/>
      </c>
      <c r="AL25" s="91">
        <f>IF(AK25="Adjust",(_xlfn.XLOOKUP(A25,'Adj factor'!A:A,'Adj factor'!I:I,,0)*AI25),'Master DataSheet'!AI25)</f>
        <v>16380</v>
      </c>
      <c r="AM25" s="91">
        <f t="shared" si="11"/>
        <v>16380</v>
      </c>
      <c r="AN25" s="92" t="str">
        <f t="shared" si="12"/>
        <v>No change</v>
      </c>
      <c r="AO25" s="93">
        <f>VLOOKUP(B25,'Growthrates source'!A$2:H$49,8,FALSE)</f>
        <v>0.3113441654036182</v>
      </c>
      <c r="AP25" s="93">
        <f>VLOOKUP(B25,'Growthrates source'!A$2:I$49,9,FALSE)</f>
        <v>5.4673730437993617E-2</v>
      </c>
      <c r="AQ25" s="86">
        <f t="shared" si="13"/>
        <v>3453.3343805347417</v>
      </c>
      <c r="AR25" s="86">
        <f t="shared" si="14"/>
        <v>19299.559459909586</v>
      </c>
      <c r="AS25" s="94">
        <f t="shared" si="15"/>
        <v>0</v>
      </c>
      <c r="AT25" s="94">
        <f t="shared" si="16"/>
        <v>5.237655751910089</v>
      </c>
      <c r="AU25" s="94">
        <f t="shared" si="17"/>
        <v>4.6025474116473131</v>
      </c>
    </row>
    <row r="26" spans="1:47" x14ac:dyDescent="0.3">
      <c r="A26" s="85" t="str">
        <f>_xlfn.XLOOKUP(B26,'Country codes &amp; Data sources'!G:G,'Country codes &amp; Data sources'!H:H,,0)</f>
        <v>Burundi</v>
      </c>
      <c r="B26" s="85" t="s">
        <v>165</v>
      </c>
      <c r="C26" s="86">
        <v>9795479.0000000019</v>
      </c>
      <c r="D26" s="85" t="s">
        <v>321</v>
      </c>
      <c r="E26" s="87">
        <v>996</v>
      </c>
      <c r="F26" s="88">
        <v>10149577.500000002</v>
      </c>
      <c r="G26" s="87">
        <v>1108</v>
      </c>
      <c r="H26" s="87">
        <v>10494912.499999989</v>
      </c>
      <c r="I26" s="87">
        <v>1218</v>
      </c>
      <c r="J26" s="87">
        <v>10727148.499999996</v>
      </c>
      <c r="K26" s="87">
        <v>1016</v>
      </c>
      <c r="L26" s="87">
        <v>10903327.500000004</v>
      </c>
      <c r="M26" s="87">
        <v>0</v>
      </c>
      <c r="N26" s="87">
        <v>11155593.000000002</v>
      </c>
      <c r="O26" s="87">
        <v>0</v>
      </c>
      <c r="P26" s="88">
        <v>11493472.499999993</v>
      </c>
      <c r="Q26" s="87">
        <v>45</v>
      </c>
      <c r="R26" s="87">
        <f t="shared" si="0"/>
        <v>1084</v>
      </c>
      <c r="S26" s="87">
        <v>11874838</v>
      </c>
      <c r="T26" s="87">
        <v>0</v>
      </c>
      <c r="U26" s="87">
        <v>12220226.500000007</v>
      </c>
      <c r="V26" s="87">
        <v>1704</v>
      </c>
      <c r="W26" s="87">
        <v>12551212.999999998</v>
      </c>
      <c r="X26" s="87">
        <v>1816</v>
      </c>
      <c r="Y26" s="88">
        <v>12889576.499999994</v>
      </c>
      <c r="Z26" s="87">
        <v>0</v>
      </c>
      <c r="AA26" s="87">
        <v>1084</v>
      </c>
      <c r="AB26" s="89">
        <f t="shared" si="1"/>
        <v>1218</v>
      </c>
      <c r="AC26" s="89">
        <f t="shared" si="2"/>
        <v>45</v>
      </c>
      <c r="AD26" s="89">
        <f t="shared" si="3"/>
        <v>1816</v>
      </c>
      <c r="AE26" s="90">
        <f t="shared" si="4"/>
        <v>1108</v>
      </c>
      <c r="AF26" s="90">
        <f t="shared" si="5"/>
        <v>2013</v>
      </c>
      <c r="AG26" s="90">
        <f t="shared" si="6"/>
        <v>1084</v>
      </c>
      <c r="AH26" s="90" t="str">
        <f t="shared" si="7"/>
        <v>2018 (triag)</v>
      </c>
      <c r="AI26" s="90">
        <f t="shared" si="8"/>
        <v>1816</v>
      </c>
      <c r="AJ26" s="90">
        <f t="shared" si="9"/>
        <v>2021</v>
      </c>
      <c r="AK26" s="90" t="str">
        <f t="shared" si="10"/>
        <v/>
      </c>
      <c r="AL26" s="91">
        <f>IF(AK26="Adjust",(_xlfn.XLOOKUP(A26,'Adj factor'!A:A,'Adj factor'!I:I,,0)*AI26),'Master DataSheet'!AI26)</f>
        <v>1816</v>
      </c>
      <c r="AM26" s="91">
        <f t="shared" si="11"/>
        <v>1816</v>
      </c>
      <c r="AN26" s="92" t="str">
        <f t="shared" si="12"/>
        <v>Increasing</v>
      </c>
      <c r="AO26" s="93">
        <f>VLOOKUP(B26,'Growthrates source'!A$2:H$49,8,FALSE)</f>
        <v>0.1019276516404819</v>
      </c>
      <c r="AP26" s="93">
        <f>VLOOKUP(B26,'Growthrates source'!A$2:I$49,9,FALSE)</f>
        <v>4.0873218672115019E-3</v>
      </c>
      <c r="AQ26" s="86">
        <f t="shared" si="13"/>
        <v>651.17272122305417</v>
      </c>
      <c r="AR26" s="86">
        <f t="shared" si="14"/>
        <v>1097.3737976670657</v>
      </c>
      <c r="AS26" s="94">
        <f t="shared" si="15"/>
        <v>1.0916710572435155</v>
      </c>
      <c r="AT26" s="94">
        <f t="shared" si="16"/>
        <v>0.9431440324062208</v>
      </c>
      <c r="AU26" s="94">
        <f t="shared" si="17"/>
        <v>1.4088903541555464</v>
      </c>
    </row>
    <row r="27" spans="1:47" x14ac:dyDescent="0.3">
      <c r="A27" s="85" t="str">
        <f>_xlfn.XLOOKUP(B27,'Country codes &amp; Data sources'!G:G,'Country codes &amp; Data sources'!H:H,,0)</f>
        <v>Burundi</v>
      </c>
      <c r="B27" s="85" t="s">
        <v>165</v>
      </c>
      <c r="C27" s="86">
        <v>9795479.0000000019</v>
      </c>
      <c r="D27" s="85" t="s">
        <v>322</v>
      </c>
      <c r="E27" s="87">
        <v>12972</v>
      </c>
      <c r="F27" s="88">
        <v>10149577.500000002</v>
      </c>
      <c r="G27" s="87">
        <v>13146</v>
      </c>
      <c r="I27" s="87">
        <v>13638</v>
      </c>
      <c r="K27" s="87">
        <v>13376</v>
      </c>
      <c r="M27" s="87">
        <v>0</v>
      </c>
      <c r="O27" s="87">
        <v>18142</v>
      </c>
      <c r="P27" s="88">
        <v>11493472.499999993</v>
      </c>
      <c r="Q27" s="87">
        <v>18312</v>
      </c>
      <c r="R27" s="87">
        <f t="shared" si="0"/>
        <v>18312</v>
      </c>
      <c r="T27" s="87">
        <v>15036</v>
      </c>
      <c r="V27" s="87">
        <v>15426</v>
      </c>
      <c r="X27" s="87">
        <v>18744</v>
      </c>
      <c r="Y27" s="88">
        <v>12889576.499999994</v>
      </c>
      <c r="Z27" s="87">
        <v>0</v>
      </c>
      <c r="AA27" s="87">
        <v>8996</v>
      </c>
      <c r="AB27" s="89">
        <f t="shared" si="1"/>
        <v>13638</v>
      </c>
      <c r="AC27" s="89">
        <f t="shared" si="2"/>
        <v>18312</v>
      </c>
      <c r="AD27" s="89">
        <f t="shared" si="3"/>
        <v>18744</v>
      </c>
      <c r="AE27" s="90">
        <f t="shared" si="4"/>
        <v>13146</v>
      </c>
      <c r="AF27" s="90">
        <f t="shared" si="5"/>
        <v>2013</v>
      </c>
      <c r="AG27" s="90">
        <f t="shared" si="6"/>
        <v>18312</v>
      </c>
      <c r="AH27" s="90">
        <f t="shared" si="7"/>
        <v>2018</v>
      </c>
      <c r="AI27" s="90">
        <f t="shared" si="8"/>
        <v>18744</v>
      </c>
      <c r="AJ27" s="90">
        <f t="shared" si="9"/>
        <v>2021</v>
      </c>
      <c r="AK27" s="90" t="str">
        <f t="shared" si="10"/>
        <v/>
      </c>
      <c r="AL27" s="91">
        <f>IF(AK27="Adjust",(_xlfn.XLOOKUP(A27,'Adj factor'!A:A,'Adj factor'!I:I,,0)*AI27),'Master DataSheet'!AI27)</f>
        <v>18744</v>
      </c>
      <c r="AM27" s="91">
        <f t="shared" si="11"/>
        <v>18744</v>
      </c>
      <c r="AN27" s="92" t="str">
        <f t="shared" si="12"/>
        <v>Increasing</v>
      </c>
      <c r="AO27" s="93">
        <f>VLOOKUP(B27,'Growthrates source'!A$2:H$49,8,FALSE)</f>
        <v>0.1019276516404819</v>
      </c>
      <c r="AP27" s="93">
        <f>VLOOKUP(B27,'Growthrates source'!A$2:I$49,9,FALSE)</f>
        <v>4.0873218672115019E-3</v>
      </c>
      <c r="AQ27" s="86">
        <f t="shared" si="13"/>
        <v>5404.0127307404018</v>
      </c>
      <c r="AR27" s="86">
        <f t="shared" si="14"/>
        <v>9106.9877156945786</v>
      </c>
      <c r="AS27" s="94">
        <f t="shared" si="15"/>
        <v>12.952263283865754</v>
      </c>
      <c r="AT27" s="94">
        <f t="shared" si="16"/>
        <v>15.932521698729442</v>
      </c>
      <c r="AU27" s="94">
        <f t="shared" si="17"/>
        <v>14.54198281844249</v>
      </c>
    </row>
    <row r="28" spans="1:47" x14ac:dyDescent="0.3">
      <c r="A28" s="85" t="str">
        <f>_xlfn.XLOOKUP(B28,'Country codes &amp; Data sources'!G:G,'Country codes &amp; Data sources'!H:H,,0)</f>
        <v>Burundi</v>
      </c>
      <c r="B28" s="85" t="s">
        <v>165</v>
      </c>
      <c r="C28" s="86">
        <v>9795479.0000000019</v>
      </c>
      <c r="D28" s="85" t="s">
        <v>323</v>
      </c>
      <c r="E28" s="87">
        <v>32</v>
      </c>
      <c r="F28" s="88">
        <v>10149577.500000002</v>
      </c>
      <c r="G28" s="87">
        <v>70</v>
      </c>
      <c r="I28" s="87">
        <v>48</v>
      </c>
      <c r="K28" s="87">
        <v>158</v>
      </c>
      <c r="M28" s="87">
        <v>0</v>
      </c>
      <c r="O28" s="87">
        <v>320</v>
      </c>
      <c r="P28" s="88">
        <v>11493472.499999993</v>
      </c>
      <c r="Q28" s="87">
        <v>0</v>
      </c>
      <c r="R28" s="87">
        <f t="shared" si="0"/>
        <v>160</v>
      </c>
      <c r="T28" s="87">
        <v>248</v>
      </c>
      <c r="V28" s="87">
        <v>0</v>
      </c>
      <c r="X28" s="87">
        <v>286</v>
      </c>
      <c r="Y28" s="88">
        <v>12889576.499999994</v>
      </c>
      <c r="Z28" s="87">
        <v>0</v>
      </c>
      <c r="AA28" s="87">
        <v>160</v>
      </c>
      <c r="AB28" s="89">
        <f t="shared" si="1"/>
        <v>158</v>
      </c>
      <c r="AC28" s="89">
        <f t="shared" si="2"/>
        <v>320</v>
      </c>
      <c r="AD28" s="89">
        <f t="shared" si="3"/>
        <v>286</v>
      </c>
      <c r="AE28" s="90">
        <f t="shared" si="4"/>
        <v>70</v>
      </c>
      <c r="AF28" s="90">
        <f t="shared" si="5"/>
        <v>2013</v>
      </c>
      <c r="AG28" s="90">
        <f t="shared" si="6"/>
        <v>160</v>
      </c>
      <c r="AH28" s="90" t="str">
        <f t="shared" si="7"/>
        <v>2018 (triag)</v>
      </c>
      <c r="AI28" s="90">
        <f t="shared" si="8"/>
        <v>286</v>
      </c>
      <c r="AJ28" s="90">
        <f t="shared" si="9"/>
        <v>2021</v>
      </c>
      <c r="AK28" s="90" t="str">
        <f t="shared" si="10"/>
        <v/>
      </c>
      <c r="AL28" s="91">
        <f>IF(AK28="Adjust",(_xlfn.XLOOKUP(A28,'Adj factor'!A:A,'Adj factor'!I:I,,0)*AI28),'Master DataSheet'!AI28)</f>
        <v>286</v>
      </c>
      <c r="AM28" s="91">
        <f t="shared" si="11"/>
        <v>286</v>
      </c>
      <c r="AN28" s="92" t="str">
        <f t="shared" si="12"/>
        <v>Increasing</v>
      </c>
      <c r="AO28" s="93">
        <f>VLOOKUP(B28,'Growthrates source'!A$2:H$49,8,FALSE)</f>
        <v>0.1019276516404819</v>
      </c>
      <c r="AP28" s="93">
        <f>VLOOKUP(B28,'Growthrates source'!A$2:I$49,9,FALSE)</f>
        <v>4.0873218672115019E-3</v>
      </c>
      <c r="AQ28" s="86">
        <f t="shared" si="13"/>
        <v>96.114054793070721</v>
      </c>
      <c r="AR28" s="86">
        <f t="shared" si="14"/>
        <v>161.97399227558165</v>
      </c>
      <c r="AS28" s="94">
        <f t="shared" si="15"/>
        <v>6.8968388093001889E-2</v>
      </c>
      <c r="AT28" s="94">
        <f t="shared" si="16"/>
        <v>0.13920945127767095</v>
      </c>
      <c r="AU28" s="94">
        <f t="shared" si="17"/>
        <v>0.22188471436590654</v>
      </c>
    </row>
    <row r="29" spans="1:47" x14ac:dyDescent="0.3">
      <c r="A29" s="85" t="str">
        <f>_xlfn.XLOOKUP(B29,'Country codes &amp; Data sources'!G:G,'Country codes &amp; Data sources'!H:H,,0)</f>
        <v>Burundi</v>
      </c>
      <c r="B29" s="85" t="s">
        <v>165</v>
      </c>
      <c r="C29" s="86">
        <v>9795479.0000000019</v>
      </c>
      <c r="D29" s="85" t="s">
        <v>324</v>
      </c>
      <c r="E29" s="87">
        <v>546</v>
      </c>
      <c r="F29" s="88">
        <v>10149577.500000002</v>
      </c>
      <c r="G29" s="87">
        <v>0</v>
      </c>
      <c r="I29" s="87">
        <v>0</v>
      </c>
      <c r="K29" s="87">
        <v>0</v>
      </c>
      <c r="M29" s="87">
        <v>188</v>
      </c>
      <c r="O29" s="87">
        <v>944</v>
      </c>
      <c r="P29" s="88">
        <v>11493472.499999993</v>
      </c>
      <c r="Q29" s="87">
        <v>0</v>
      </c>
      <c r="R29" s="87">
        <f t="shared" si="0"/>
        <v>119</v>
      </c>
      <c r="T29" s="87">
        <v>83</v>
      </c>
      <c r="V29" s="87">
        <v>1138</v>
      </c>
      <c r="X29" s="87">
        <v>0</v>
      </c>
      <c r="Y29" s="88">
        <v>12889576.499999994</v>
      </c>
      <c r="Z29" s="87">
        <v>0</v>
      </c>
      <c r="AA29" s="87">
        <v>119</v>
      </c>
      <c r="AB29" s="89">
        <f t="shared" si="1"/>
        <v>546</v>
      </c>
      <c r="AC29" s="89">
        <f t="shared" si="2"/>
        <v>944</v>
      </c>
      <c r="AD29" s="89">
        <f t="shared" si="3"/>
        <v>1138</v>
      </c>
      <c r="AE29" s="90">
        <f t="shared" si="4"/>
        <v>546</v>
      </c>
      <c r="AF29" s="90">
        <f t="shared" si="5"/>
        <v>2012</v>
      </c>
      <c r="AG29" s="90">
        <f t="shared" si="6"/>
        <v>119</v>
      </c>
      <c r="AH29" s="90" t="str">
        <f t="shared" si="7"/>
        <v>2018 (triag)</v>
      </c>
      <c r="AI29" s="90">
        <f t="shared" si="8"/>
        <v>1138</v>
      </c>
      <c r="AJ29" s="90">
        <f t="shared" si="9"/>
        <v>2020</v>
      </c>
      <c r="AK29" s="90" t="str">
        <f t="shared" si="10"/>
        <v/>
      </c>
      <c r="AL29" s="91">
        <f>IF(AK29="Adjust",(_xlfn.XLOOKUP(A29,'Adj factor'!A:A,'Adj factor'!I:I,,0)*AI29),'Master DataSheet'!AI29)</f>
        <v>1138</v>
      </c>
      <c r="AM29" s="91">
        <f t="shared" si="11"/>
        <v>1138</v>
      </c>
      <c r="AN29" s="92" t="str">
        <f t="shared" si="12"/>
        <v>Increasing</v>
      </c>
      <c r="AO29" s="93">
        <f>VLOOKUP(B29,'Growthrates source'!A$2:H$49,8,FALSE)</f>
        <v>0.1019276516404819</v>
      </c>
      <c r="AP29" s="93">
        <f>VLOOKUP(B29,'Growthrates source'!A$2:I$49,9,FALSE)</f>
        <v>4.0873218672115019E-3</v>
      </c>
      <c r="AQ29" s="86">
        <f t="shared" si="13"/>
        <v>71.484828252346347</v>
      </c>
      <c r="AR29" s="86">
        <f t="shared" si="14"/>
        <v>120.46815675496386</v>
      </c>
      <c r="AS29" s="94">
        <f t="shared" si="15"/>
        <v>0.53795342712541472</v>
      </c>
      <c r="AT29" s="94">
        <f t="shared" si="16"/>
        <v>0.10353702938776778</v>
      </c>
      <c r="AU29" s="94">
        <f t="shared" si="17"/>
        <v>0.88288393338601967</v>
      </c>
    </row>
    <row r="30" spans="1:47" x14ac:dyDescent="0.3">
      <c r="A30" s="85" t="str">
        <f>_xlfn.XLOOKUP(B30,'Country codes &amp; Data sources'!G:G,'Country codes &amp; Data sources'!H:H,,0)</f>
        <v>Burundi</v>
      </c>
      <c r="B30" s="85" t="s">
        <v>165</v>
      </c>
      <c r="C30" s="86">
        <v>9795479.0000000019</v>
      </c>
      <c r="D30" s="85" t="s">
        <v>325</v>
      </c>
      <c r="E30" s="87">
        <v>115</v>
      </c>
      <c r="F30" s="88">
        <v>10149577.500000002</v>
      </c>
      <c r="G30" s="87">
        <v>0</v>
      </c>
      <c r="I30" s="87">
        <v>194</v>
      </c>
      <c r="K30" s="87">
        <v>300</v>
      </c>
      <c r="M30" s="87">
        <v>11</v>
      </c>
      <c r="O30" s="87">
        <v>373</v>
      </c>
      <c r="P30" s="88">
        <v>11493472.499999993</v>
      </c>
      <c r="Q30" s="87">
        <v>0</v>
      </c>
      <c r="R30" s="87">
        <f t="shared" si="0"/>
        <v>14</v>
      </c>
      <c r="T30" s="87">
        <v>18</v>
      </c>
      <c r="V30" s="87">
        <v>0</v>
      </c>
      <c r="X30" s="87">
        <v>0</v>
      </c>
      <c r="Y30" s="88">
        <v>12889576.499999994</v>
      </c>
      <c r="Z30" s="87">
        <v>0</v>
      </c>
      <c r="AA30" s="87">
        <v>14</v>
      </c>
      <c r="AB30" s="89">
        <f t="shared" si="1"/>
        <v>300</v>
      </c>
      <c r="AC30" s="89">
        <f t="shared" si="2"/>
        <v>373</v>
      </c>
      <c r="AD30" s="89">
        <f t="shared" si="3"/>
        <v>0</v>
      </c>
      <c r="AE30" s="90">
        <f t="shared" si="4"/>
        <v>115</v>
      </c>
      <c r="AF30" s="90">
        <f t="shared" si="5"/>
        <v>2012</v>
      </c>
      <c r="AG30" s="90">
        <f t="shared" si="6"/>
        <v>14</v>
      </c>
      <c r="AH30" s="90" t="str">
        <f t="shared" si="7"/>
        <v>2018 (triag)</v>
      </c>
      <c r="AI30" s="90">
        <f t="shared" si="8"/>
        <v>18</v>
      </c>
      <c r="AJ30" s="90" t="str">
        <f t="shared" si="9"/>
        <v>2018 (triag)</v>
      </c>
      <c r="AK30" s="90" t="str">
        <f t="shared" si="10"/>
        <v/>
      </c>
      <c r="AL30" s="91">
        <f>IF(AK30="Adjust",(_xlfn.XLOOKUP(A30,'Adj factor'!A:A,'Adj factor'!I:I,,0)*AI30),'Master DataSheet'!AI30)</f>
        <v>18</v>
      </c>
      <c r="AM30" s="91">
        <f t="shared" si="11"/>
        <v>18</v>
      </c>
      <c r="AN30" s="92" t="str">
        <f t="shared" si="12"/>
        <v>Increasing</v>
      </c>
      <c r="AO30" s="93">
        <f>VLOOKUP(B30,'Growthrates source'!A$2:H$49,8,FALSE)</f>
        <v>0.1019276516404819</v>
      </c>
      <c r="AP30" s="93">
        <f>VLOOKUP(B30,'Growthrates source'!A$2:I$49,9,FALSE)</f>
        <v>4.0873218672115019E-3</v>
      </c>
      <c r="AQ30" s="86">
        <f t="shared" si="13"/>
        <v>8.4099797943936885</v>
      </c>
      <c r="AR30" s="86">
        <f t="shared" si="14"/>
        <v>14.172724324113394</v>
      </c>
      <c r="AS30" s="94">
        <f t="shared" si="15"/>
        <v>0.11330520900993167</v>
      </c>
      <c r="AT30" s="94">
        <f t="shared" si="16"/>
        <v>1.2180826986796209E-2</v>
      </c>
      <c r="AU30" s="94">
        <f t="shared" si="17"/>
        <v>1.3964772232819292E-2</v>
      </c>
    </row>
    <row r="31" spans="1:47" x14ac:dyDescent="0.3">
      <c r="A31" s="85" t="str">
        <f>_xlfn.XLOOKUP(B31,'Country codes &amp; Data sources'!G:G,'Country codes &amp; Data sources'!H:H,,0)</f>
        <v>Burundi</v>
      </c>
      <c r="B31" s="85" t="s">
        <v>165</v>
      </c>
      <c r="C31" s="86">
        <v>9795479.0000000019</v>
      </c>
      <c r="D31" s="85" t="s">
        <v>127</v>
      </c>
      <c r="E31" s="87">
        <v>0</v>
      </c>
      <c r="F31" s="88">
        <v>10149577.500000002</v>
      </c>
      <c r="G31" s="87">
        <v>0</v>
      </c>
      <c r="I31" s="87">
        <v>0</v>
      </c>
      <c r="K31" s="87">
        <v>0</v>
      </c>
      <c r="M31" s="87">
        <v>0</v>
      </c>
      <c r="O31" s="87">
        <v>0</v>
      </c>
      <c r="P31" s="88">
        <v>11493472.499999993</v>
      </c>
      <c r="Q31" s="87">
        <v>11845</v>
      </c>
      <c r="R31" s="87">
        <f t="shared" si="0"/>
        <v>11845</v>
      </c>
      <c r="T31" s="87">
        <v>0</v>
      </c>
      <c r="V31" s="87">
        <v>11845</v>
      </c>
      <c r="X31" s="87">
        <v>0</v>
      </c>
      <c r="Y31" s="88">
        <v>12889576.499999994</v>
      </c>
      <c r="Z31" s="87">
        <v>0</v>
      </c>
      <c r="AA31" s="87">
        <v>11845</v>
      </c>
      <c r="AB31" s="89">
        <f t="shared" si="1"/>
        <v>0</v>
      </c>
      <c r="AC31" s="89">
        <f t="shared" si="2"/>
        <v>11845</v>
      </c>
      <c r="AD31" s="89">
        <f t="shared" si="3"/>
        <v>11845</v>
      </c>
      <c r="AE31" s="90">
        <f t="shared" si="4"/>
        <v>0</v>
      </c>
      <c r="AF31" s="90" t="str">
        <f t="shared" si="5"/>
        <v/>
      </c>
      <c r="AG31" s="90">
        <f t="shared" si="6"/>
        <v>11845</v>
      </c>
      <c r="AH31" s="90">
        <f t="shared" si="7"/>
        <v>2018</v>
      </c>
      <c r="AI31" s="90">
        <f t="shared" si="8"/>
        <v>11845</v>
      </c>
      <c r="AJ31" s="90">
        <f t="shared" si="9"/>
        <v>2020</v>
      </c>
      <c r="AK31" s="90" t="str">
        <f t="shared" si="10"/>
        <v/>
      </c>
      <c r="AL31" s="91">
        <f>IF(AK31="Adjust",(_xlfn.XLOOKUP(A31,'Adj factor'!A:A,'Adj factor'!I:I,,0)*AI31),'Master DataSheet'!AI31)</f>
        <v>11845</v>
      </c>
      <c r="AM31" s="91">
        <f t="shared" si="11"/>
        <v>11845</v>
      </c>
      <c r="AN31" s="92" t="str">
        <f t="shared" si="12"/>
        <v>No change</v>
      </c>
      <c r="AO31" s="93">
        <f>VLOOKUP(B31,'Growthrates source'!A$2:H$49,8,FALSE)</f>
        <v>0.1019276516404819</v>
      </c>
      <c r="AP31" s="93">
        <f>VLOOKUP(B31,'Growthrates source'!A$2:I$49,9,FALSE)</f>
        <v>4.0873218672115019E-3</v>
      </c>
      <c r="AQ31" s="86">
        <f t="shared" si="13"/>
        <v>7115.4436188995169</v>
      </c>
      <c r="AR31" s="86">
        <f t="shared" si="14"/>
        <v>11991.137115651654</v>
      </c>
      <c r="AS31" s="94">
        <f t="shared" si="15"/>
        <v>0</v>
      </c>
      <c r="AT31" s="94">
        <f t="shared" si="16"/>
        <v>10.305849689900079</v>
      </c>
      <c r="AU31" s="94">
        <f t="shared" si="17"/>
        <v>9.1895959498746951</v>
      </c>
    </row>
    <row r="32" spans="1:47" x14ac:dyDescent="0.3">
      <c r="A32" s="85" t="str">
        <f>_xlfn.XLOOKUP(B32,'Country codes &amp; Data sources'!G:G,'Country codes &amp; Data sources'!H:H,,0)</f>
        <v>Burundi</v>
      </c>
      <c r="B32" s="85" t="s">
        <v>165</v>
      </c>
      <c r="C32" s="86">
        <v>9795479.0000000019</v>
      </c>
      <c r="D32" s="85" t="s">
        <v>61</v>
      </c>
      <c r="E32" s="87">
        <v>44</v>
      </c>
      <c r="F32" s="88">
        <v>10149577.500000002</v>
      </c>
      <c r="G32" s="87">
        <v>0</v>
      </c>
      <c r="I32" s="87">
        <v>0</v>
      </c>
      <c r="K32" s="87">
        <v>0</v>
      </c>
      <c r="M32" s="87">
        <v>42</v>
      </c>
      <c r="O32" s="87">
        <v>0</v>
      </c>
      <c r="P32" s="88">
        <v>11493472.499999993</v>
      </c>
      <c r="Q32" s="87">
        <v>0</v>
      </c>
      <c r="R32" s="87">
        <f t="shared" si="0"/>
        <v>10</v>
      </c>
      <c r="T32" s="87">
        <v>0</v>
      </c>
      <c r="V32" s="87">
        <v>0</v>
      </c>
      <c r="X32" s="87">
        <v>0</v>
      </c>
      <c r="Y32" s="88">
        <v>12889576.499999994</v>
      </c>
      <c r="Z32" s="87">
        <v>0</v>
      </c>
      <c r="AA32" s="87">
        <v>10</v>
      </c>
      <c r="AB32" s="89">
        <f t="shared" si="1"/>
        <v>44</v>
      </c>
      <c r="AC32" s="89">
        <f t="shared" si="2"/>
        <v>42</v>
      </c>
      <c r="AD32" s="89">
        <f t="shared" si="3"/>
        <v>0</v>
      </c>
      <c r="AE32" s="90">
        <f t="shared" si="4"/>
        <v>44</v>
      </c>
      <c r="AF32" s="90">
        <f t="shared" si="5"/>
        <v>2012</v>
      </c>
      <c r="AG32" s="90">
        <f t="shared" si="6"/>
        <v>10</v>
      </c>
      <c r="AH32" s="90" t="str">
        <f t="shared" si="7"/>
        <v>2018 (triag)</v>
      </c>
      <c r="AI32" s="90">
        <f t="shared" si="8"/>
        <v>10</v>
      </c>
      <c r="AJ32" s="90" t="str">
        <f t="shared" si="9"/>
        <v>2018 (triag)</v>
      </c>
      <c r="AK32" s="90" t="str">
        <f t="shared" si="10"/>
        <v/>
      </c>
      <c r="AL32" s="91">
        <f>IF(AK32="Adjust",(_xlfn.XLOOKUP(A32,'Adj factor'!A:A,'Adj factor'!I:I,,0)*AI32),'Master DataSheet'!AI32)</f>
        <v>10</v>
      </c>
      <c r="AM32" s="91">
        <f t="shared" si="11"/>
        <v>10</v>
      </c>
      <c r="AN32" s="92" t="str">
        <f t="shared" si="12"/>
        <v>No change</v>
      </c>
      <c r="AO32" s="93">
        <f>VLOOKUP(B32,'Growthrates source'!A$2:H$49,8,FALSE)</f>
        <v>0.1019276516404819</v>
      </c>
      <c r="AP32" s="93">
        <f>VLOOKUP(B32,'Growthrates source'!A$2:I$49,9,FALSE)</f>
        <v>4.0873218672115019E-3</v>
      </c>
      <c r="AQ32" s="86">
        <f t="shared" si="13"/>
        <v>6.0071284245669201</v>
      </c>
      <c r="AR32" s="86">
        <f t="shared" si="14"/>
        <v>10.123374517223853</v>
      </c>
      <c r="AS32" s="94">
        <f t="shared" si="15"/>
        <v>4.33515582298869E-2</v>
      </c>
      <c r="AT32" s="94">
        <f t="shared" si="16"/>
        <v>8.7005907048544346E-3</v>
      </c>
      <c r="AU32" s="94">
        <f t="shared" si="17"/>
        <v>7.7582067960107175E-3</v>
      </c>
    </row>
    <row r="33" spans="1:47" x14ac:dyDescent="0.3">
      <c r="A33" s="85" t="str">
        <f>_xlfn.XLOOKUP(B33,'Country codes &amp; Data sources'!G:G,'Country codes &amp; Data sources'!H:H,,0)</f>
        <v>Burundi</v>
      </c>
      <c r="B33" s="85" t="s">
        <v>165</v>
      </c>
      <c r="C33" s="86">
        <v>9795479.0000000019</v>
      </c>
      <c r="D33" s="85" t="s">
        <v>62</v>
      </c>
      <c r="E33" s="87">
        <v>0</v>
      </c>
      <c r="F33" s="88">
        <v>10149577.500000002</v>
      </c>
      <c r="G33" s="87">
        <v>0</v>
      </c>
      <c r="I33" s="87">
        <v>0</v>
      </c>
      <c r="K33" s="87">
        <v>0</v>
      </c>
      <c r="M33" s="87">
        <v>96</v>
      </c>
      <c r="O33" s="87">
        <v>0</v>
      </c>
      <c r="P33" s="88">
        <v>11493472.499999993</v>
      </c>
      <c r="Q33" s="87">
        <v>0</v>
      </c>
      <c r="R33" s="87">
        <f t="shared" si="0"/>
        <v>372</v>
      </c>
      <c r="T33" s="87">
        <v>149</v>
      </c>
      <c r="V33" s="87">
        <v>0</v>
      </c>
      <c r="X33" s="87">
        <v>0</v>
      </c>
      <c r="Y33" s="88">
        <v>12889576.499999994</v>
      </c>
      <c r="Z33" s="87">
        <v>0</v>
      </c>
      <c r="AA33" s="87">
        <v>372</v>
      </c>
      <c r="AB33" s="89">
        <f t="shared" si="1"/>
        <v>0</v>
      </c>
      <c r="AC33" s="89">
        <f t="shared" si="2"/>
        <v>149</v>
      </c>
      <c r="AD33" s="89">
        <f t="shared" si="3"/>
        <v>0</v>
      </c>
      <c r="AE33" s="90">
        <f t="shared" si="4"/>
        <v>0</v>
      </c>
      <c r="AF33" s="90" t="str">
        <f t="shared" si="5"/>
        <v/>
      </c>
      <c r="AG33" s="90">
        <f t="shared" si="6"/>
        <v>372</v>
      </c>
      <c r="AH33" s="90" t="str">
        <f t="shared" si="7"/>
        <v>2018 (triag)</v>
      </c>
      <c r="AI33" s="90">
        <f t="shared" si="8"/>
        <v>149</v>
      </c>
      <c r="AJ33" s="90" t="str">
        <f t="shared" si="9"/>
        <v>2018 (triag)</v>
      </c>
      <c r="AK33" s="90" t="str">
        <f t="shared" si="10"/>
        <v>Adjust</v>
      </c>
      <c r="AL33" s="91">
        <f>IF(AK33="Adjust",(_xlfn.XLOOKUP(A33,'Adj factor'!A:A,'Adj factor'!I:I,,0)*AI33),'Master DataSheet'!AI33)</f>
        <v>186.22450107945869</v>
      </c>
      <c r="AM33" s="91">
        <f t="shared" si="11"/>
        <v>372</v>
      </c>
      <c r="AN33" s="92" t="str">
        <f t="shared" si="12"/>
        <v>Decreasing</v>
      </c>
      <c r="AO33" s="93">
        <f>VLOOKUP(B33,'Growthrates source'!A$2:H$49,8,FALSE)</f>
        <v>0.1019276516404819</v>
      </c>
      <c r="AP33" s="93">
        <f>VLOOKUP(B33,'Growthrates source'!A$2:I$49,9,FALSE)</f>
        <v>4.0873218672115019E-3</v>
      </c>
      <c r="AQ33" s="86">
        <f t="shared" si="13"/>
        <v>223.46517739388943</v>
      </c>
      <c r="AR33" s="86">
        <f t="shared" si="14"/>
        <v>376.58953204072736</v>
      </c>
      <c r="AS33" s="94">
        <f t="shared" si="15"/>
        <v>0</v>
      </c>
      <c r="AT33" s="94">
        <f t="shared" si="16"/>
        <v>0.32366197422058496</v>
      </c>
      <c r="AU33" s="94">
        <f t="shared" si="17"/>
        <v>0.28860529281159869</v>
      </c>
    </row>
    <row r="34" spans="1:47" x14ac:dyDescent="0.3">
      <c r="A34" s="85" t="str">
        <f>_xlfn.XLOOKUP(B34,'Country codes &amp; Data sources'!G:G,'Country codes &amp; Data sources'!H:H,,0)</f>
        <v>Burundi</v>
      </c>
      <c r="B34" s="85" t="s">
        <v>165</v>
      </c>
      <c r="C34" s="86">
        <v>9795479.0000000019</v>
      </c>
      <c r="D34" s="85" t="s">
        <v>203</v>
      </c>
      <c r="E34" s="87">
        <v>0</v>
      </c>
      <c r="F34" s="88">
        <v>10149577.500000002</v>
      </c>
      <c r="G34" s="87">
        <v>0</v>
      </c>
      <c r="I34" s="87">
        <v>0</v>
      </c>
      <c r="K34" s="87">
        <v>0</v>
      </c>
      <c r="M34" s="87">
        <v>0</v>
      </c>
      <c r="O34" s="87">
        <v>0</v>
      </c>
      <c r="P34" s="88">
        <v>11493472.499999993</v>
      </c>
      <c r="Q34" s="87">
        <v>0</v>
      </c>
      <c r="R34" s="87">
        <f t="shared" si="0"/>
        <v>8664</v>
      </c>
      <c r="T34" s="87">
        <v>0</v>
      </c>
      <c r="V34" s="87">
        <v>0</v>
      </c>
      <c r="X34" s="87">
        <v>0</v>
      </c>
      <c r="Y34" s="88">
        <v>12889576.499999994</v>
      </c>
      <c r="Z34" s="87">
        <v>0</v>
      </c>
      <c r="AA34" s="87">
        <v>8664</v>
      </c>
      <c r="AB34" s="89">
        <f t="shared" si="1"/>
        <v>0</v>
      </c>
      <c r="AC34" s="89">
        <f t="shared" si="2"/>
        <v>0</v>
      </c>
      <c r="AD34" s="89">
        <f t="shared" si="3"/>
        <v>0</v>
      </c>
      <c r="AE34" s="90">
        <f t="shared" si="4"/>
        <v>0</v>
      </c>
      <c r="AF34" s="90" t="str">
        <f t="shared" si="5"/>
        <v/>
      </c>
      <c r="AG34" s="90">
        <f t="shared" si="6"/>
        <v>8664</v>
      </c>
      <c r="AH34" s="90" t="str">
        <f t="shared" si="7"/>
        <v>2018 (triag)</v>
      </c>
      <c r="AI34" s="90">
        <f t="shared" si="8"/>
        <v>8664</v>
      </c>
      <c r="AJ34" s="90" t="str">
        <f t="shared" si="9"/>
        <v>2018 (triag)</v>
      </c>
      <c r="AK34" s="90" t="str">
        <f t="shared" si="10"/>
        <v/>
      </c>
      <c r="AL34" s="91">
        <f>IF(AK34="Adjust",(_xlfn.XLOOKUP(A34,'Adj factor'!A:A,'Adj factor'!I:I,,0)*AI34),'Master DataSheet'!AI34)</f>
        <v>8664</v>
      </c>
      <c r="AM34" s="91">
        <f t="shared" si="11"/>
        <v>8664</v>
      </c>
      <c r="AN34" s="92" t="str">
        <f t="shared" si="12"/>
        <v>No change</v>
      </c>
      <c r="AO34" s="93">
        <f>VLOOKUP(B34,'Growthrates source'!A$2:H$49,8,FALSE)</f>
        <v>0.1019276516404819</v>
      </c>
      <c r="AP34" s="93">
        <f>VLOOKUP(B34,'Growthrates source'!A$2:I$49,9,FALSE)</f>
        <v>4.0873218672115019E-3</v>
      </c>
      <c r="AQ34" s="86">
        <f t="shared" si="13"/>
        <v>5204.5760670447798</v>
      </c>
      <c r="AR34" s="86">
        <f t="shared" si="14"/>
        <v>8770.8916817227455</v>
      </c>
      <c r="AS34" s="94">
        <f t="shared" si="15"/>
        <v>0</v>
      </c>
      <c r="AT34" s="94">
        <f t="shared" si="16"/>
        <v>7.5381917866858821</v>
      </c>
      <c r="AU34" s="94">
        <f t="shared" si="17"/>
        <v>6.721710368063686</v>
      </c>
    </row>
    <row r="35" spans="1:47" x14ac:dyDescent="0.3">
      <c r="A35" s="85" t="str">
        <f>_xlfn.XLOOKUP(B35,'Country codes &amp; Data sources'!G:G,'Country codes &amp; Data sources'!H:H,,0)</f>
        <v>Burundi</v>
      </c>
      <c r="B35" s="85" t="s">
        <v>165</v>
      </c>
      <c r="C35" s="86">
        <v>9795479.0000000019</v>
      </c>
      <c r="D35" s="85" t="s">
        <v>204</v>
      </c>
      <c r="E35" s="87">
        <v>0</v>
      </c>
      <c r="F35" s="88">
        <v>10149577.500000002</v>
      </c>
      <c r="G35" s="87">
        <v>0</v>
      </c>
      <c r="I35" s="87">
        <v>0</v>
      </c>
      <c r="K35" s="87">
        <v>0</v>
      </c>
      <c r="M35" s="87">
        <v>0</v>
      </c>
      <c r="O35" s="87">
        <v>0</v>
      </c>
      <c r="P35" s="88">
        <v>11493472.499999993</v>
      </c>
      <c r="Q35" s="87">
        <v>0</v>
      </c>
      <c r="R35" s="87">
        <f t="shared" si="0"/>
        <v>1383</v>
      </c>
      <c r="T35" s="87">
        <v>0</v>
      </c>
      <c r="V35" s="87">
        <v>0</v>
      </c>
      <c r="X35" s="87">
        <v>0</v>
      </c>
      <c r="Y35" s="88">
        <v>12889576.499999994</v>
      </c>
      <c r="Z35" s="87">
        <v>0</v>
      </c>
      <c r="AA35" s="87">
        <v>1383</v>
      </c>
      <c r="AB35" s="89">
        <f t="shared" si="1"/>
        <v>0</v>
      </c>
      <c r="AC35" s="89">
        <f t="shared" si="2"/>
        <v>0</v>
      </c>
      <c r="AD35" s="89">
        <f t="shared" si="3"/>
        <v>0</v>
      </c>
      <c r="AE35" s="90">
        <f t="shared" si="4"/>
        <v>0</v>
      </c>
      <c r="AF35" s="90" t="str">
        <f t="shared" si="5"/>
        <v/>
      </c>
      <c r="AG35" s="90">
        <f t="shared" si="6"/>
        <v>1383</v>
      </c>
      <c r="AH35" s="90" t="str">
        <f t="shared" si="7"/>
        <v>2018 (triag)</v>
      </c>
      <c r="AI35" s="90">
        <f t="shared" si="8"/>
        <v>1383</v>
      </c>
      <c r="AJ35" s="90" t="str">
        <f t="shared" si="9"/>
        <v>2018 (triag)</v>
      </c>
      <c r="AK35" s="90" t="str">
        <f t="shared" si="10"/>
        <v/>
      </c>
      <c r="AL35" s="91">
        <f>IF(AK35="Adjust",(_xlfn.XLOOKUP(A35,'Adj factor'!A:A,'Adj factor'!I:I,,0)*AI35),'Master DataSheet'!AI35)</f>
        <v>1383</v>
      </c>
      <c r="AM35" s="91">
        <f t="shared" si="11"/>
        <v>1383</v>
      </c>
      <c r="AN35" s="92" t="str">
        <f t="shared" si="12"/>
        <v>No change</v>
      </c>
      <c r="AO35" s="93">
        <f>VLOOKUP(B35,'Growthrates source'!A$2:H$49,8,FALSE)</f>
        <v>0.1019276516404819</v>
      </c>
      <c r="AP35" s="93">
        <f>VLOOKUP(B35,'Growthrates source'!A$2:I$49,9,FALSE)</f>
        <v>4.0873218672115019E-3</v>
      </c>
      <c r="AQ35" s="86">
        <f t="shared" si="13"/>
        <v>830.78586111760512</v>
      </c>
      <c r="AR35" s="86">
        <f t="shared" si="14"/>
        <v>1400.062695732059</v>
      </c>
      <c r="AS35" s="94">
        <f t="shared" si="15"/>
        <v>0</v>
      </c>
      <c r="AT35" s="94">
        <f t="shared" si="16"/>
        <v>1.2032916944813683</v>
      </c>
      <c r="AU35" s="94">
        <f t="shared" si="17"/>
        <v>1.0729599998882824</v>
      </c>
    </row>
    <row r="36" spans="1:47" x14ac:dyDescent="0.3">
      <c r="A36" s="85" t="str">
        <f>_xlfn.XLOOKUP(B36,'Country codes &amp; Data sources'!G:G,'Country codes &amp; Data sources'!H:H,,0)</f>
        <v>Burundi</v>
      </c>
      <c r="B36" s="85" t="s">
        <v>165</v>
      </c>
      <c r="C36" s="86">
        <v>9795479.0000000019</v>
      </c>
      <c r="D36" s="85" t="s">
        <v>205</v>
      </c>
      <c r="E36" s="87">
        <v>0</v>
      </c>
      <c r="F36" s="88">
        <v>10149577.500000002</v>
      </c>
      <c r="G36" s="87">
        <v>0</v>
      </c>
      <c r="I36" s="87">
        <v>0</v>
      </c>
      <c r="K36" s="87">
        <v>0</v>
      </c>
      <c r="M36" s="87">
        <v>0</v>
      </c>
      <c r="O36" s="87">
        <v>0</v>
      </c>
      <c r="P36" s="88">
        <v>11493472.499999993</v>
      </c>
      <c r="Q36" s="87">
        <v>0</v>
      </c>
      <c r="R36" s="87">
        <f t="shared" si="0"/>
        <v>0</v>
      </c>
      <c r="T36" s="87">
        <v>0</v>
      </c>
      <c r="V36" s="87">
        <v>0</v>
      </c>
      <c r="X36" s="87">
        <v>0</v>
      </c>
      <c r="Y36" s="88">
        <v>12889576.499999994</v>
      </c>
      <c r="Z36" s="87">
        <v>0</v>
      </c>
      <c r="AA36" s="87">
        <v>0</v>
      </c>
      <c r="AB36" s="89">
        <f t="shared" si="1"/>
        <v>0</v>
      </c>
      <c r="AC36" s="89">
        <f t="shared" si="2"/>
        <v>0</v>
      </c>
      <c r="AD36" s="89">
        <f t="shared" si="3"/>
        <v>0</v>
      </c>
      <c r="AE36" s="90">
        <f t="shared" si="4"/>
        <v>0</v>
      </c>
      <c r="AF36" s="90" t="str">
        <f t="shared" si="5"/>
        <v/>
      </c>
      <c r="AG36" s="90">
        <f t="shared" si="6"/>
        <v>0</v>
      </c>
      <c r="AH36" s="90" t="str">
        <f t="shared" si="7"/>
        <v/>
      </c>
      <c r="AI36" s="90">
        <f t="shared" si="8"/>
        <v>0</v>
      </c>
      <c r="AJ36" s="90" t="str">
        <f t="shared" si="9"/>
        <v/>
      </c>
      <c r="AK36" s="90" t="str">
        <f t="shared" si="10"/>
        <v/>
      </c>
      <c r="AL36" s="91">
        <f>IF(AK36="Adjust",(_xlfn.XLOOKUP(A36,'Adj factor'!A:A,'Adj factor'!I:I,,0)*AI36),'Master DataSheet'!AI36)</f>
        <v>0</v>
      </c>
      <c r="AM36" s="91">
        <f t="shared" si="11"/>
        <v>0</v>
      </c>
      <c r="AN36" s="92" t="str">
        <f t="shared" si="12"/>
        <v>No change</v>
      </c>
      <c r="AO36" s="93">
        <f>VLOOKUP(B36,'Growthrates source'!A$2:H$49,8,FALSE)</f>
        <v>0.1019276516404819</v>
      </c>
      <c r="AP36" s="93">
        <f>VLOOKUP(B36,'Growthrates source'!A$2:I$49,9,FALSE)</f>
        <v>4.0873218672115019E-3</v>
      </c>
      <c r="AQ36" s="86">
        <f t="shared" si="13"/>
        <v>0</v>
      </c>
      <c r="AR36" s="86">
        <f t="shared" si="14"/>
        <v>0</v>
      </c>
      <c r="AS36" s="94">
        <f t="shared" si="15"/>
        <v>0</v>
      </c>
      <c r="AT36" s="94">
        <f t="shared" si="16"/>
        <v>0</v>
      </c>
      <c r="AU36" s="94">
        <f t="shared" si="17"/>
        <v>0</v>
      </c>
    </row>
    <row r="37" spans="1:47" x14ac:dyDescent="0.3">
      <c r="A37" s="85" t="str">
        <f>_xlfn.XLOOKUP(B37,'Country codes &amp; Data sources'!G:G,'Country codes &amp; Data sources'!H:H,,0)</f>
        <v>Burundi</v>
      </c>
      <c r="B37" s="85" t="s">
        <v>165</v>
      </c>
      <c r="C37" s="86">
        <v>9795479.0000000019</v>
      </c>
      <c r="D37" s="85" t="s">
        <v>133</v>
      </c>
      <c r="E37" s="87">
        <v>0</v>
      </c>
      <c r="F37" s="88">
        <v>10149577.500000002</v>
      </c>
      <c r="G37" s="87">
        <v>0</v>
      </c>
      <c r="I37" s="87">
        <v>0</v>
      </c>
      <c r="K37" s="87">
        <v>0</v>
      </c>
      <c r="M37" s="87">
        <v>0</v>
      </c>
      <c r="O37" s="87">
        <v>1073</v>
      </c>
      <c r="P37" s="88">
        <v>11493472.499999993</v>
      </c>
      <c r="Q37" s="87">
        <v>1071</v>
      </c>
      <c r="R37" s="87">
        <f t="shared" si="0"/>
        <v>1071</v>
      </c>
      <c r="T37" s="87">
        <v>0</v>
      </c>
      <c r="V37" s="87">
        <v>0</v>
      </c>
      <c r="X37" s="87">
        <v>0</v>
      </c>
      <c r="Y37" s="88">
        <v>12889576.499999994</v>
      </c>
      <c r="Z37" s="87">
        <v>0</v>
      </c>
      <c r="AA37" s="87">
        <v>155</v>
      </c>
      <c r="AB37" s="89">
        <f t="shared" si="1"/>
        <v>0</v>
      </c>
      <c r="AC37" s="89">
        <f t="shared" si="2"/>
        <v>1073</v>
      </c>
      <c r="AD37" s="89">
        <f t="shared" si="3"/>
        <v>0</v>
      </c>
      <c r="AE37" s="90">
        <f t="shared" si="4"/>
        <v>0</v>
      </c>
      <c r="AF37" s="90" t="str">
        <f t="shared" si="5"/>
        <v/>
      </c>
      <c r="AG37" s="90">
        <f t="shared" si="6"/>
        <v>1071</v>
      </c>
      <c r="AH37" s="90">
        <f t="shared" si="7"/>
        <v>2018</v>
      </c>
      <c r="AI37" s="90">
        <f t="shared" si="8"/>
        <v>1071</v>
      </c>
      <c r="AJ37" s="90">
        <f t="shared" si="9"/>
        <v>2018</v>
      </c>
      <c r="AK37" s="90" t="str">
        <f t="shared" si="10"/>
        <v/>
      </c>
      <c r="AL37" s="91">
        <f>IF(AK37="Adjust",(_xlfn.XLOOKUP(A37,'Adj factor'!A:A,'Adj factor'!I:I,,0)*AI37),'Master DataSheet'!AI37)</f>
        <v>1071</v>
      </c>
      <c r="AM37" s="91">
        <f t="shared" si="11"/>
        <v>1071</v>
      </c>
      <c r="AN37" s="92" t="str">
        <f t="shared" si="12"/>
        <v>No change</v>
      </c>
      <c r="AO37" s="93">
        <f>VLOOKUP(B37,'Growthrates source'!A$2:H$49,8,FALSE)</f>
        <v>0.1019276516404819</v>
      </c>
      <c r="AP37" s="93">
        <f>VLOOKUP(B37,'Growthrates source'!A$2:I$49,9,FALSE)</f>
        <v>4.0873218672115019E-3</v>
      </c>
      <c r="AQ37" s="86">
        <f t="shared" si="13"/>
        <v>93.110490580787271</v>
      </c>
      <c r="AR37" s="86">
        <f t="shared" si="14"/>
        <v>156.91230501696973</v>
      </c>
      <c r="AS37" s="94">
        <f t="shared" si="15"/>
        <v>0</v>
      </c>
      <c r="AT37" s="94">
        <f t="shared" si="16"/>
        <v>0.93183326448991</v>
      </c>
      <c r="AU37" s="94">
        <f t="shared" si="17"/>
        <v>0.8309039478527479</v>
      </c>
    </row>
    <row r="38" spans="1:47" x14ac:dyDescent="0.3">
      <c r="A38" s="85" t="str">
        <f>_xlfn.XLOOKUP(B38,'Country codes &amp; Data sources'!G:G,'Country codes &amp; Data sources'!H:H,,0)</f>
        <v>Burundi</v>
      </c>
      <c r="B38" s="85" t="s">
        <v>165</v>
      </c>
      <c r="C38" s="86">
        <v>9795479.0000000019</v>
      </c>
      <c r="D38" s="85" t="s">
        <v>206</v>
      </c>
      <c r="E38" s="87">
        <v>0</v>
      </c>
      <c r="F38" s="88">
        <v>10149577.500000002</v>
      </c>
      <c r="G38" s="87">
        <v>0</v>
      </c>
      <c r="I38" s="87">
        <v>0</v>
      </c>
      <c r="K38" s="87">
        <v>0</v>
      </c>
      <c r="M38" s="87">
        <v>0</v>
      </c>
      <c r="O38" s="87">
        <v>0</v>
      </c>
      <c r="P38" s="88">
        <v>11493472.499999993</v>
      </c>
      <c r="Q38" s="87">
        <v>0</v>
      </c>
      <c r="R38" s="87">
        <f t="shared" si="0"/>
        <v>0</v>
      </c>
      <c r="T38" s="87">
        <v>0</v>
      </c>
      <c r="V38" s="87">
        <v>0</v>
      </c>
      <c r="X38" s="87">
        <v>0</v>
      </c>
      <c r="Y38" s="88">
        <v>12889576.499999994</v>
      </c>
      <c r="Z38" s="87">
        <v>0</v>
      </c>
      <c r="AA38" s="87">
        <v>0</v>
      </c>
      <c r="AB38" s="89">
        <f t="shared" si="1"/>
        <v>0</v>
      </c>
      <c r="AC38" s="89">
        <f t="shared" si="2"/>
        <v>0</v>
      </c>
      <c r="AD38" s="89">
        <f t="shared" si="3"/>
        <v>0</v>
      </c>
      <c r="AE38" s="90">
        <f t="shared" si="4"/>
        <v>0</v>
      </c>
      <c r="AF38" s="90" t="str">
        <f t="shared" si="5"/>
        <v/>
      </c>
      <c r="AG38" s="90">
        <f t="shared" si="6"/>
        <v>0</v>
      </c>
      <c r="AH38" s="90" t="str">
        <f t="shared" si="7"/>
        <v/>
      </c>
      <c r="AI38" s="90">
        <f t="shared" si="8"/>
        <v>0</v>
      </c>
      <c r="AJ38" s="90" t="str">
        <f t="shared" si="9"/>
        <v/>
      </c>
      <c r="AK38" s="90" t="str">
        <f t="shared" si="10"/>
        <v/>
      </c>
      <c r="AL38" s="91">
        <f>IF(AK38="Adjust",(_xlfn.XLOOKUP(A38,'Adj factor'!A:A,'Adj factor'!I:I,,0)*AI38),'Master DataSheet'!AI38)</f>
        <v>0</v>
      </c>
      <c r="AM38" s="91">
        <f t="shared" si="11"/>
        <v>0</v>
      </c>
      <c r="AN38" s="92" t="str">
        <f t="shared" si="12"/>
        <v>No change</v>
      </c>
      <c r="AO38" s="93">
        <f>VLOOKUP(B38,'Growthrates source'!A$2:H$49,8,FALSE)</f>
        <v>0.1019276516404819</v>
      </c>
      <c r="AP38" s="93">
        <f>VLOOKUP(B38,'Growthrates source'!A$2:I$49,9,FALSE)</f>
        <v>4.0873218672115019E-3</v>
      </c>
      <c r="AQ38" s="86">
        <f t="shared" si="13"/>
        <v>0</v>
      </c>
      <c r="AR38" s="86">
        <f t="shared" si="14"/>
        <v>0</v>
      </c>
      <c r="AS38" s="94">
        <f t="shared" si="15"/>
        <v>0</v>
      </c>
      <c r="AT38" s="94">
        <f t="shared" si="16"/>
        <v>0</v>
      </c>
      <c r="AU38" s="94">
        <f t="shared" si="17"/>
        <v>0</v>
      </c>
    </row>
    <row r="39" spans="1:47" x14ac:dyDescent="0.3">
      <c r="A39" s="85" t="str">
        <f>_xlfn.XLOOKUP(B39,'Country codes &amp; Data sources'!G:G,'Country codes &amp; Data sources'!H:H,,0)</f>
        <v>Burundi</v>
      </c>
      <c r="B39" s="85" t="s">
        <v>165</v>
      </c>
      <c r="C39" s="86">
        <v>9795479.0000000019</v>
      </c>
      <c r="D39" s="85" t="s">
        <v>136</v>
      </c>
      <c r="E39" s="87">
        <v>0</v>
      </c>
      <c r="F39" s="88">
        <v>10149577.500000002</v>
      </c>
      <c r="G39" s="87">
        <v>0</v>
      </c>
      <c r="I39" s="87">
        <v>0</v>
      </c>
      <c r="K39" s="87">
        <v>0</v>
      </c>
      <c r="M39" s="87">
        <v>0</v>
      </c>
      <c r="O39" s="87">
        <v>0</v>
      </c>
      <c r="P39" s="88">
        <v>11493472.499999993</v>
      </c>
      <c r="Q39" s="87">
        <v>0</v>
      </c>
      <c r="R39" s="87">
        <f t="shared" si="0"/>
        <v>86</v>
      </c>
      <c r="T39" s="87">
        <v>0</v>
      </c>
      <c r="V39" s="87">
        <v>0</v>
      </c>
      <c r="X39" s="87">
        <v>81</v>
      </c>
      <c r="Y39" s="88">
        <v>12889576.499999994</v>
      </c>
      <c r="Z39" s="87">
        <v>0</v>
      </c>
      <c r="AA39" s="87">
        <v>86</v>
      </c>
      <c r="AB39" s="89">
        <f t="shared" si="1"/>
        <v>0</v>
      </c>
      <c r="AC39" s="89">
        <f t="shared" si="2"/>
        <v>0</v>
      </c>
      <c r="AD39" s="89">
        <f t="shared" si="3"/>
        <v>81</v>
      </c>
      <c r="AE39" s="90">
        <f t="shared" si="4"/>
        <v>0</v>
      </c>
      <c r="AF39" s="90" t="str">
        <f t="shared" si="5"/>
        <v/>
      </c>
      <c r="AG39" s="90">
        <f t="shared" si="6"/>
        <v>86</v>
      </c>
      <c r="AH39" s="90" t="str">
        <f t="shared" si="7"/>
        <v>2018 (triag)</v>
      </c>
      <c r="AI39" s="90">
        <f t="shared" si="8"/>
        <v>81</v>
      </c>
      <c r="AJ39" s="90">
        <f t="shared" si="9"/>
        <v>2021</v>
      </c>
      <c r="AK39" s="90" t="str">
        <f t="shared" si="10"/>
        <v>Adjust</v>
      </c>
      <c r="AL39" s="91">
        <f>IF(AK39="Adjust",(_xlfn.XLOOKUP(A39,'Adj factor'!A:A,'Adj factor'!I:I,,0)*AI39),'Master DataSheet'!AI39)</f>
        <v>101.23613817071244</v>
      </c>
      <c r="AM39" s="91">
        <f t="shared" si="11"/>
        <v>101.23613817071244</v>
      </c>
      <c r="AN39" s="92" t="str">
        <f t="shared" si="12"/>
        <v>Increasing</v>
      </c>
      <c r="AO39" s="93">
        <f>VLOOKUP(B39,'Growthrates source'!A$2:H$49,8,FALSE)</f>
        <v>0.1019276516404819</v>
      </c>
      <c r="AP39" s="93">
        <f>VLOOKUP(B39,'Growthrates source'!A$2:I$49,9,FALSE)</f>
        <v>4.0873218672115019E-3</v>
      </c>
      <c r="AQ39" s="86">
        <f t="shared" si="13"/>
        <v>51.661304451275512</v>
      </c>
      <c r="AR39" s="86">
        <f t="shared" si="14"/>
        <v>87.061020848125139</v>
      </c>
      <c r="AS39" s="94">
        <f t="shared" si="15"/>
        <v>0</v>
      </c>
      <c r="AT39" s="94">
        <f t="shared" si="16"/>
        <v>7.4825080061748137E-2</v>
      </c>
      <c r="AU39" s="94">
        <f t="shared" si="17"/>
        <v>7.8541089515790127E-2</v>
      </c>
    </row>
    <row r="40" spans="1:47" x14ac:dyDescent="0.3">
      <c r="A40" s="85" t="str">
        <f>_xlfn.XLOOKUP(B40,'Country codes &amp; Data sources'!G:G,'Country codes &amp; Data sources'!H:H,,0)</f>
        <v>Burundi</v>
      </c>
      <c r="B40" s="85" t="s">
        <v>165</v>
      </c>
      <c r="C40" s="86">
        <v>9795479.0000000019</v>
      </c>
      <c r="D40" s="85" t="s">
        <v>207</v>
      </c>
      <c r="E40" s="87">
        <v>0</v>
      </c>
      <c r="F40" s="88">
        <v>10149577.500000002</v>
      </c>
      <c r="G40" s="87">
        <v>0</v>
      </c>
      <c r="I40" s="87">
        <v>0</v>
      </c>
      <c r="K40" s="87">
        <v>0</v>
      </c>
      <c r="M40" s="87">
        <v>0</v>
      </c>
      <c r="O40" s="87">
        <v>0</v>
      </c>
      <c r="P40" s="88">
        <v>11493472.499999993</v>
      </c>
      <c r="Q40" s="87">
        <v>0</v>
      </c>
      <c r="R40" s="87">
        <f t="shared" si="0"/>
        <v>108</v>
      </c>
      <c r="T40" s="87">
        <v>0</v>
      </c>
      <c r="V40" s="87">
        <v>0</v>
      </c>
      <c r="X40" s="87">
        <v>0</v>
      </c>
      <c r="Y40" s="88">
        <v>12889576.499999994</v>
      </c>
      <c r="Z40" s="87">
        <v>0</v>
      </c>
      <c r="AA40" s="87">
        <v>108</v>
      </c>
      <c r="AB40" s="89">
        <f t="shared" si="1"/>
        <v>0</v>
      </c>
      <c r="AC40" s="89">
        <f t="shared" si="2"/>
        <v>0</v>
      </c>
      <c r="AD40" s="89">
        <f t="shared" si="3"/>
        <v>0</v>
      </c>
      <c r="AE40" s="90">
        <f t="shared" si="4"/>
        <v>0</v>
      </c>
      <c r="AF40" s="90" t="str">
        <f t="shared" si="5"/>
        <v/>
      </c>
      <c r="AG40" s="90">
        <f t="shared" si="6"/>
        <v>108</v>
      </c>
      <c r="AH40" s="90" t="str">
        <f t="shared" si="7"/>
        <v>2018 (triag)</v>
      </c>
      <c r="AI40" s="90">
        <f t="shared" si="8"/>
        <v>108</v>
      </c>
      <c r="AJ40" s="90" t="str">
        <f t="shared" si="9"/>
        <v>2018 (triag)</v>
      </c>
      <c r="AK40" s="90" t="str">
        <f t="shared" si="10"/>
        <v/>
      </c>
      <c r="AL40" s="91">
        <f>IF(AK40="Adjust",(_xlfn.XLOOKUP(A40,'Adj factor'!A:A,'Adj factor'!I:I,,0)*AI40),'Master DataSheet'!AI40)</f>
        <v>108</v>
      </c>
      <c r="AM40" s="91">
        <f t="shared" si="11"/>
        <v>108</v>
      </c>
      <c r="AN40" s="92" t="str">
        <f t="shared" si="12"/>
        <v>No change</v>
      </c>
      <c r="AO40" s="93">
        <f>VLOOKUP(B40,'Growthrates source'!A$2:H$49,8,FALSE)</f>
        <v>0.1019276516404819</v>
      </c>
      <c r="AP40" s="93">
        <f>VLOOKUP(B40,'Growthrates source'!A$2:I$49,9,FALSE)</f>
        <v>4.0873218672115019E-3</v>
      </c>
      <c r="AQ40" s="86">
        <f t="shared" si="13"/>
        <v>64.876986985322745</v>
      </c>
      <c r="AR40" s="86">
        <f t="shared" si="14"/>
        <v>109.33244478601762</v>
      </c>
      <c r="AS40" s="94">
        <f t="shared" si="15"/>
        <v>0</v>
      </c>
      <c r="AT40" s="94">
        <f t="shared" si="16"/>
        <v>9.3966379612427903E-2</v>
      </c>
      <c r="AU40" s="94">
        <f t="shared" si="17"/>
        <v>8.3788633396915752E-2</v>
      </c>
    </row>
    <row r="41" spans="1:47" x14ac:dyDescent="0.3">
      <c r="A41" s="85" t="str">
        <f>_xlfn.XLOOKUP(B41,'Country codes &amp; Data sources'!G:G,'Country codes &amp; Data sources'!H:H,,0)</f>
        <v>Burundi</v>
      </c>
      <c r="B41" s="85" t="s">
        <v>165</v>
      </c>
      <c r="C41" s="86">
        <v>9795479.0000000019</v>
      </c>
      <c r="D41" s="85" t="s">
        <v>141</v>
      </c>
      <c r="E41" s="87">
        <v>0</v>
      </c>
      <c r="F41" s="88">
        <v>10149577.500000002</v>
      </c>
      <c r="G41" s="87">
        <v>0</v>
      </c>
      <c r="I41" s="87">
        <v>0</v>
      </c>
      <c r="K41" s="87">
        <v>0</v>
      </c>
      <c r="M41" s="87">
        <v>0</v>
      </c>
      <c r="O41" s="87">
        <v>0</v>
      </c>
      <c r="P41" s="88">
        <v>11493472.499999993</v>
      </c>
      <c r="Q41" s="87">
        <v>0</v>
      </c>
      <c r="R41" s="87">
        <f t="shared" si="0"/>
        <v>0</v>
      </c>
      <c r="T41" s="87">
        <v>0</v>
      </c>
      <c r="V41" s="87">
        <v>0</v>
      </c>
      <c r="X41" s="87">
        <v>0</v>
      </c>
      <c r="Y41" s="88">
        <v>12889576.499999994</v>
      </c>
      <c r="Z41" s="87">
        <v>0</v>
      </c>
      <c r="AA41" s="87">
        <v>0</v>
      </c>
      <c r="AB41" s="89">
        <f t="shared" si="1"/>
        <v>0</v>
      </c>
      <c r="AC41" s="89">
        <f t="shared" si="2"/>
        <v>0</v>
      </c>
      <c r="AD41" s="89">
        <f t="shared" si="3"/>
        <v>0</v>
      </c>
      <c r="AE41" s="90">
        <f t="shared" si="4"/>
        <v>0</v>
      </c>
      <c r="AF41" s="90" t="str">
        <f t="shared" si="5"/>
        <v/>
      </c>
      <c r="AG41" s="90">
        <f t="shared" si="6"/>
        <v>0</v>
      </c>
      <c r="AH41" s="90" t="str">
        <f t="shared" si="7"/>
        <v/>
      </c>
      <c r="AI41" s="90">
        <f t="shared" si="8"/>
        <v>0</v>
      </c>
      <c r="AJ41" s="90" t="str">
        <f t="shared" si="9"/>
        <v/>
      </c>
      <c r="AK41" s="90" t="str">
        <f t="shared" si="10"/>
        <v/>
      </c>
      <c r="AL41" s="91">
        <f>IF(AK41="Adjust",(_xlfn.XLOOKUP(A41,'Adj factor'!A:A,'Adj factor'!I:I,,0)*AI41),'Master DataSheet'!AI41)</f>
        <v>0</v>
      </c>
      <c r="AM41" s="91">
        <f t="shared" si="11"/>
        <v>0</v>
      </c>
      <c r="AN41" s="92" t="str">
        <f t="shared" si="12"/>
        <v>No change</v>
      </c>
      <c r="AO41" s="93">
        <f>VLOOKUP(B41,'Growthrates source'!A$2:H$49,8,FALSE)</f>
        <v>0.1019276516404819</v>
      </c>
      <c r="AP41" s="93">
        <f>VLOOKUP(B41,'Growthrates source'!A$2:I$49,9,FALSE)</f>
        <v>4.0873218672115019E-3</v>
      </c>
      <c r="AQ41" s="86">
        <f t="shared" si="13"/>
        <v>0</v>
      </c>
      <c r="AR41" s="86">
        <f t="shared" si="14"/>
        <v>0</v>
      </c>
      <c r="AS41" s="94">
        <f t="shared" si="15"/>
        <v>0</v>
      </c>
      <c r="AT41" s="94">
        <f t="shared" si="16"/>
        <v>0</v>
      </c>
      <c r="AU41" s="94">
        <f t="shared" si="17"/>
        <v>0</v>
      </c>
    </row>
    <row r="42" spans="1:47" x14ac:dyDescent="0.3">
      <c r="A42" s="85" t="str">
        <f>_xlfn.XLOOKUP(B42,'Country codes &amp; Data sources'!G:G,'Country codes &amp; Data sources'!H:H,,0)</f>
        <v>Burundi</v>
      </c>
      <c r="B42" s="85" t="s">
        <v>165</v>
      </c>
      <c r="C42" s="86">
        <v>9795479.0000000019</v>
      </c>
      <c r="D42" s="85" t="s">
        <v>208</v>
      </c>
      <c r="E42" s="87">
        <v>0</v>
      </c>
      <c r="F42" s="88">
        <v>10149577.500000002</v>
      </c>
      <c r="G42" s="87">
        <v>0</v>
      </c>
      <c r="I42" s="87">
        <v>0</v>
      </c>
      <c r="K42" s="87">
        <v>0</v>
      </c>
      <c r="M42" s="87">
        <v>0</v>
      </c>
      <c r="O42" s="87">
        <v>2946</v>
      </c>
      <c r="P42" s="88">
        <v>11493472.499999993</v>
      </c>
      <c r="Q42" s="87">
        <v>0</v>
      </c>
      <c r="R42" s="87">
        <f t="shared" si="0"/>
        <v>2906</v>
      </c>
      <c r="T42" s="87">
        <v>0</v>
      </c>
      <c r="V42" s="87">
        <v>0</v>
      </c>
      <c r="X42" s="87">
        <v>7805</v>
      </c>
      <c r="Y42" s="88">
        <v>12889576.499999994</v>
      </c>
      <c r="Z42" s="87">
        <v>0</v>
      </c>
      <c r="AA42" s="87">
        <v>2906</v>
      </c>
      <c r="AB42" s="89">
        <f t="shared" si="1"/>
        <v>0</v>
      </c>
      <c r="AC42" s="89">
        <f t="shared" si="2"/>
        <v>2946</v>
      </c>
      <c r="AD42" s="89">
        <f t="shared" si="3"/>
        <v>7805</v>
      </c>
      <c r="AE42" s="90">
        <f t="shared" si="4"/>
        <v>0</v>
      </c>
      <c r="AF42" s="90" t="str">
        <f t="shared" si="5"/>
        <v/>
      </c>
      <c r="AG42" s="90">
        <f t="shared" si="6"/>
        <v>2906</v>
      </c>
      <c r="AH42" s="90" t="str">
        <f t="shared" si="7"/>
        <v>2018 (triag)</v>
      </c>
      <c r="AI42" s="90">
        <f t="shared" si="8"/>
        <v>7805</v>
      </c>
      <c r="AJ42" s="90">
        <f t="shared" si="9"/>
        <v>2021</v>
      </c>
      <c r="AK42" s="90" t="str">
        <f t="shared" si="10"/>
        <v/>
      </c>
      <c r="AL42" s="91">
        <f>IF(AK42="Adjust",(_xlfn.XLOOKUP(A42,'Adj factor'!A:A,'Adj factor'!I:I,,0)*AI42),'Master DataSheet'!AI42)</f>
        <v>7805</v>
      </c>
      <c r="AM42" s="91">
        <f t="shared" si="11"/>
        <v>7805</v>
      </c>
      <c r="AN42" s="92" t="str">
        <f t="shared" si="12"/>
        <v>Increasing</v>
      </c>
      <c r="AO42" s="93">
        <f>VLOOKUP(B42,'Growthrates source'!A$2:H$49,8,FALSE)</f>
        <v>0.1019276516404819</v>
      </c>
      <c r="AP42" s="93">
        <f>VLOOKUP(B42,'Growthrates source'!A$2:I$49,9,FALSE)</f>
        <v>4.0873218672115019E-3</v>
      </c>
      <c r="AQ42" s="86">
        <f t="shared" si="13"/>
        <v>1745.6715201791471</v>
      </c>
      <c r="AR42" s="86">
        <f t="shared" si="14"/>
        <v>2941.8526347052516</v>
      </c>
      <c r="AS42" s="94">
        <f t="shared" si="15"/>
        <v>0</v>
      </c>
      <c r="AT42" s="94">
        <f t="shared" si="16"/>
        <v>2.5283916588306989</v>
      </c>
      <c r="AU42" s="94">
        <f t="shared" si="17"/>
        <v>6.055280404286365</v>
      </c>
    </row>
    <row r="43" spans="1:47" x14ac:dyDescent="0.3">
      <c r="A43" s="85" t="str">
        <f>_xlfn.XLOOKUP(B43,'Country codes &amp; Data sources'!G:G,'Country codes &amp; Data sources'!H:H,,0)</f>
        <v>Burundi</v>
      </c>
      <c r="B43" s="85" t="s">
        <v>165</v>
      </c>
      <c r="C43" s="86">
        <v>9795479.0000000019</v>
      </c>
      <c r="D43" s="85" t="s">
        <v>209</v>
      </c>
      <c r="E43" s="87">
        <v>0</v>
      </c>
      <c r="F43" s="88">
        <v>10149577.500000002</v>
      </c>
      <c r="G43" s="87">
        <v>0</v>
      </c>
      <c r="I43" s="87">
        <v>0</v>
      </c>
      <c r="K43" s="87">
        <v>0</v>
      </c>
      <c r="M43" s="87">
        <v>0</v>
      </c>
      <c r="O43" s="87">
        <v>9003</v>
      </c>
      <c r="P43" s="88">
        <v>11493472.499999993</v>
      </c>
      <c r="Q43" s="87">
        <v>0</v>
      </c>
      <c r="R43" s="87">
        <f t="shared" si="0"/>
        <v>0</v>
      </c>
      <c r="T43" s="87">
        <v>0</v>
      </c>
      <c r="V43" s="87">
        <v>0</v>
      </c>
      <c r="X43" s="87">
        <v>0</v>
      </c>
      <c r="Y43" s="88">
        <v>12889576.499999994</v>
      </c>
      <c r="Z43" s="87">
        <v>0</v>
      </c>
      <c r="AA43" s="87">
        <v>0</v>
      </c>
      <c r="AB43" s="89">
        <f t="shared" si="1"/>
        <v>0</v>
      </c>
      <c r="AC43" s="89">
        <f t="shared" si="2"/>
        <v>9003</v>
      </c>
      <c r="AD43" s="89">
        <f t="shared" si="3"/>
        <v>0</v>
      </c>
      <c r="AE43" s="90">
        <f t="shared" si="4"/>
        <v>0</v>
      </c>
      <c r="AF43" s="90" t="str">
        <f t="shared" si="5"/>
        <v/>
      </c>
      <c r="AG43" s="90">
        <f t="shared" si="6"/>
        <v>9003</v>
      </c>
      <c r="AH43" s="90">
        <f t="shared" si="7"/>
        <v>2017</v>
      </c>
      <c r="AI43" s="90">
        <f t="shared" si="8"/>
        <v>9003</v>
      </c>
      <c r="AJ43" s="90">
        <f t="shared" si="9"/>
        <v>2017</v>
      </c>
      <c r="AK43" s="90" t="str">
        <f t="shared" si="10"/>
        <v/>
      </c>
      <c r="AL43" s="91">
        <f>IF(AK43="Adjust",(_xlfn.XLOOKUP(A43,'Adj factor'!A:A,'Adj factor'!I:I,,0)*AI43),'Master DataSheet'!AI43)</f>
        <v>9003</v>
      </c>
      <c r="AM43" s="91">
        <f t="shared" si="11"/>
        <v>9003</v>
      </c>
      <c r="AN43" s="92" t="str">
        <f t="shared" si="12"/>
        <v>No change</v>
      </c>
      <c r="AO43" s="93">
        <f>VLOOKUP(B43,'Growthrates source'!A$2:H$49,8,FALSE)</f>
        <v>0.1019276516404819</v>
      </c>
      <c r="AP43" s="93">
        <f>VLOOKUP(B43,'Growthrates source'!A$2:I$49,9,FALSE)</f>
        <v>4.0873218672115019E-3</v>
      </c>
      <c r="AQ43" s="86">
        <f t="shared" si="13"/>
        <v>0</v>
      </c>
      <c r="AR43" s="86">
        <f t="shared" si="14"/>
        <v>0</v>
      </c>
      <c r="AS43" s="94">
        <f t="shared" si="15"/>
        <v>0</v>
      </c>
      <c r="AT43" s="94">
        <f t="shared" si="16"/>
        <v>7.8331418115804476</v>
      </c>
      <c r="AU43" s="94">
        <f t="shared" si="17"/>
        <v>6.9847135784484493</v>
      </c>
    </row>
    <row r="44" spans="1:47" x14ac:dyDescent="0.3">
      <c r="A44" s="85" t="str">
        <f>_xlfn.XLOOKUP(B44,'Country codes &amp; Data sources'!G:G,'Country codes &amp; Data sources'!H:H,,0)</f>
        <v>Burundi</v>
      </c>
      <c r="B44" s="85" t="s">
        <v>165</v>
      </c>
      <c r="C44" s="86">
        <v>9795479.0000000019</v>
      </c>
      <c r="D44" s="85" t="s">
        <v>134</v>
      </c>
      <c r="E44" s="87">
        <v>0</v>
      </c>
      <c r="F44" s="88">
        <v>10149577.500000002</v>
      </c>
      <c r="G44" s="87">
        <v>0</v>
      </c>
      <c r="I44" s="87">
        <v>0</v>
      </c>
      <c r="K44" s="87">
        <v>0</v>
      </c>
      <c r="M44" s="87">
        <v>0</v>
      </c>
      <c r="O44" s="87">
        <v>0</v>
      </c>
      <c r="P44" s="88">
        <v>11493472.499999993</v>
      </c>
      <c r="Q44" s="87">
        <v>0</v>
      </c>
      <c r="R44" s="87">
        <f t="shared" si="0"/>
        <v>1071</v>
      </c>
      <c r="T44" s="87">
        <v>0</v>
      </c>
      <c r="V44" s="87">
        <v>0</v>
      </c>
      <c r="X44" s="87">
        <v>729</v>
      </c>
      <c r="Y44" s="88">
        <v>12889576.499999994</v>
      </c>
      <c r="Z44" s="87">
        <v>0</v>
      </c>
      <c r="AA44" s="87">
        <v>1071</v>
      </c>
      <c r="AB44" s="89">
        <f t="shared" si="1"/>
        <v>0</v>
      </c>
      <c r="AC44" s="89">
        <f t="shared" si="2"/>
        <v>0</v>
      </c>
      <c r="AD44" s="89">
        <f t="shared" si="3"/>
        <v>729</v>
      </c>
      <c r="AE44" s="90">
        <f t="shared" si="4"/>
        <v>0</v>
      </c>
      <c r="AF44" s="90" t="str">
        <f t="shared" si="5"/>
        <v/>
      </c>
      <c r="AG44" s="90">
        <f t="shared" si="6"/>
        <v>1071</v>
      </c>
      <c r="AH44" s="90" t="str">
        <f t="shared" si="7"/>
        <v>2018 (triag)</v>
      </c>
      <c r="AI44" s="90">
        <f t="shared" si="8"/>
        <v>729</v>
      </c>
      <c r="AJ44" s="90">
        <f t="shared" si="9"/>
        <v>2021</v>
      </c>
      <c r="AK44" s="90" t="str">
        <f t="shared" si="10"/>
        <v>Adjust</v>
      </c>
      <c r="AL44" s="91">
        <f>IF(AK44="Adjust",(_xlfn.XLOOKUP(A44,'Adj factor'!A:A,'Adj factor'!I:I,,0)*AI44),'Master DataSheet'!AI44)</f>
        <v>911.12524353641197</v>
      </c>
      <c r="AM44" s="91">
        <f t="shared" si="11"/>
        <v>1071</v>
      </c>
      <c r="AN44" s="92" t="str">
        <f t="shared" si="12"/>
        <v>Decreasing</v>
      </c>
      <c r="AO44" s="93">
        <f>VLOOKUP(B44,'Growthrates source'!A$2:H$49,8,FALSE)</f>
        <v>0.1019276516404819</v>
      </c>
      <c r="AP44" s="93">
        <f>VLOOKUP(B44,'Growthrates source'!A$2:I$49,9,FALSE)</f>
        <v>4.0873218672115019E-3</v>
      </c>
      <c r="AQ44" s="86">
        <f t="shared" si="13"/>
        <v>643.36345427111712</v>
      </c>
      <c r="AR44" s="86">
        <f t="shared" si="14"/>
        <v>1084.2134107946747</v>
      </c>
      <c r="AS44" s="94">
        <f t="shared" si="15"/>
        <v>0</v>
      </c>
      <c r="AT44" s="94">
        <f t="shared" si="16"/>
        <v>0.93183326448991</v>
      </c>
      <c r="AU44" s="94">
        <f t="shared" si="17"/>
        <v>0.8309039478527479</v>
      </c>
    </row>
    <row r="45" spans="1:47" x14ac:dyDescent="0.3">
      <c r="A45" s="85" t="str">
        <f>_xlfn.XLOOKUP(B45,'Country codes &amp; Data sources'!G:G,'Country codes &amp; Data sources'!H:H,,0)</f>
        <v>Burundi</v>
      </c>
      <c r="B45" s="85" t="s">
        <v>165</v>
      </c>
      <c r="C45" s="86">
        <v>9795479.0000000019</v>
      </c>
      <c r="D45" s="85" t="s">
        <v>142</v>
      </c>
      <c r="E45" s="87">
        <v>0</v>
      </c>
      <c r="F45" s="88">
        <v>10149577.500000002</v>
      </c>
      <c r="G45" s="87">
        <v>0</v>
      </c>
      <c r="I45" s="87">
        <v>0</v>
      </c>
      <c r="K45" s="87">
        <v>0</v>
      </c>
      <c r="M45" s="87">
        <v>0</v>
      </c>
      <c r="O45" s="87">
        <v>0</v>
      </c>
      <c r="P45" s="88">
        <v>11493472.499999993</v>
      </c>
      <c r="Q45" s="87">
        <v>0</v>
      </c>
      <c r="R45" s="87">
        <f t="shared" si="0"/>
        <v>0</v>
      </c>
      <c r="T45" s="87">
        <v>0</v>
      </c>
      <c r="V45" s="87">
        <v>0</v>
      </c>
      <c r="X45" s="87">
        <v>0</v>
      </c>
      <c r="Y45" s="88">
        <v>12889576.499999994</v>
      </c>
      <c r="Z45" s="87">
        <v>0</v>
      </c>
      <c r="AA45" s="87">
        <v>0</v>
      </c>
      <c r="AB45" s="89">
        <f t="shared" si="1"/>
        <v>0</v>
      </c>
      <c r="AC45" s="89">
        <f t="shared" si="2"/>
        <v>0</v>
      </c>
      <c r="AD45" s="89">
        <f t="shared" si="3"/>
        <v>0</v>
      </c>
      <c r="AE45" s="90">
        <f t="shared" si="4"/>
        <v>0</v>
      </c>
      <c r="AF45" s="90" t="str">
        <f t="shared" si="5"/>
        <v/>
      </c>
      <c r="AG45" s="90">
        <f t="shared" si="6"/>
        <v>0</v>
      </c>
      <c r="AH45" s="90" t="str">
        <f t="shared" si="7"/>
        <v/>
      </c>
      <c r="AI45" s="90">
        <f t="shared" si="8"/>
        <v>0</v>
      </c>
      <c r="AJ45" s="90" t="str">
        <f t="shared" si="9"/>
        <v/>
      </c>
      <c r="AK45" s="90" t="str">
        <f t="shared" si="10"/>
        <v/>
      </c>
      <c r="AL45" s="91">
        <f>IF(AK45="Adjust",(_xlfn.XLOOKUP(A45,'Adj factor'!A:A,'Adj factor'!I:I,,0)*AI45),'Master DataSheet'!AI45)</f>
        <v>0</v>
      </c>
      <c r="AM45" s="91">
        <f t="shared" si="11"/>
        <v>0</v>
      </c>
      <c r="AN45" s="92" t="str">
        <f t="shared" si="12"/>
        <v>No change</v>
      </c>
      <c r="AO45" s="93">
        <f>VLOOKUP(B45,'Growthrates source'!A$2:H$49,8,FALSE)</f>
        <v>0.1019276516404819</v>
      </c>
      <c r="AP45" s="93">
        <f>VLOOKUP(B45,'Growthrates source'!A$2:I$49,9,FALSE)</f>
        <v>4.0873218672115019E-3</v>
      </c>
      <c r="AQ45" s="86">
        <f t="shared" si="13"/>
        <v>0</v>
      </c>
      <c r="AR45" s="86">
        <f t="shared" si="14"/>
        <v>0</v>
      </c>
      <c r="AS45" s="94">
        <f t="shared" si="15"/>
        <v>0</v>
      </c>
      <c r="AT45" s="94">
        <f t="shared" si="16"/>
        <v>0</v>
      </c>
      <c r="AU45" s="94">
        <f t="shared" si="17"/>
        <v>0</v>
      </c>
    </row>
    <row r="46" spans="1:47" x14ac:dyDescent="0.3">
      <c r="A46" s="85" t="str">
        <f>_xlfn.XLOOKUP(B46,'Country codes &amp; Data sources'!G:G,'Country codes &amp; Data sources'!H:H,,0)</f>
        <v>Burundi</v>
      </c>
      <c r="B46" s="85" t="s">
        <v>165</v>
      </c>
      <c r="C46" s="86">
        <v>9795479.0000000019</v>
      </c>
      <c r="D46" s="85" t="s">
        <v>83</v>
      </c>
      <c r="E46" s="87">
        <v>0</v>
      </c>
      <c r="F46" s="88">
        <v>10149577.500000002</v>
      </c>
      <c r="G46" s="87">
        <v>0</v>
      </c>
      <c r="I46" s="87">
        <v>0</v>
      </c>
      <c r="K46" s="87">
        <v>0</v>
      </c>
      <c r="M46" s="87">
        <v>0</v>
      </c>
      <c r="O46" s="87">
        <v>0</v>
      </c>
      <c r="P46" s="88">
        <v>11493472.499999993</v>
      </c>
      <c r="Q46" s="87">
        <v>0</v>
      </c>
      <c r="R46" s="87">
        <f t="shared" si="0"/>
        <v>9</v>
      </c>
      <c r="T46" s="87">
        <v>0</v>
      </c>
      <c r="V46" s="87">
        <v>0</v>
      </c>
      <c r="X46" s="87">
        <v>0</v>
      </c>
      <c r="Y46" s="88">
        <v>12889576.499999994</v>
      </c>
      <c r="Z46" s="87">
        <v>0</v>
      </c>
      <c r="AA46" s="87">
        <v>9</v>
      </c>
      <c r="AB46" s="89">
        <f t="shared" si="1"/>
        <v>0</v>
      </c>
      <c r="AC46" s="89">
        <f t="shared" si="2"/>
        <v>0</v>
      </c>
      <c r="AD46" s="89">
        <f t="shared" si="3"/>
        <v>0</v>
      </c>
      <c r="AE46" s="90">
        <f t="shared" si="4"/>
        <v>0</v>
      </c>
      <c r="AF46" s="90" t="str">
        <f t="shared" si="5"/>
        <v/>
      </c>
      <c r="AG46" s="90">
        <f t="shared" si="6"/>
        <v>9</v>
      </c>
      <c r="AH46" s="90" t="str">
        <f t="shared" si="7"/>
        <v>2018 (triag)</v>
      </c>
      <c r="AI46" s="90">
        <f t="shared" si="8"/>
        <v>9</v>
      </c>
      <c r="AJ46" s="90" t="str">
        <f t="shared" si="9"/>
        <v>2018 (triag)</v>
      </c>
      <c r="AK46" s="90" t="str">
        <f t="shared" si="10"/>
        <v/>
      </c>
      <c r="AL46" s="91">
        <f>IF(AK46="Adjust",(_xlfn.XLOOKUP(A46,'Adj factor'!A:A,'Adj factor'!I:I,,0)*AI46),'Master DataSheet'!AI46)</f>
        <v>9</v>
      </c>
      <c r="AM46" s="91">
        <f t="shared" si="11"/>
        <v>9</v>
      </c>
      <c r="AN46" s="92" t="str">
        <f t="shared" si="12"/>
        <v>No change</v>
      </c>
      <c r="AO46" s="93">
        <f>VLOOKUP(B46,'Growthrates source'!A$2:H$49,8,FALSE)</f>
        <v>0.1019276516404819</v>
      </c>
      <c r="AP46" s="93">
        <f>VLOOKUP(B46,'Growthrates source'!A$2:I$49,9,FALSE)</f>
        <v>4.0873218672115019E-3</v>
      </c>
      <c r="AQ46" s="86">
        <f t="shared" si="13"/>
        <v>5.4064155821102284</v>
      </c>
      <c r="AR46" s="86">
        <f t="shared" si="14"/>
        <v>9.111037065501467</v>
      </c>
      <c r="AS46" s="94">
        <f t="shared" si="15"/>
        <v>0</v>
      </c>
      <c r="AT46" s="94">
        <f t="shared" si="16"/>
        <v>7.8305316343689913E-3</v>
      </c>
      <c r="AU46" s="94">
        <f t="shared" si="17"/>
        <v>6.982386116409646E-3</v>
      </c>
    </row>
    <row r="47" spans="1:47" x14ac:dyDescent="0.3">
      <c r="A47" s="85" t="str">
        <f>_xlfn.XLOOKUP(B47,'Country codes &amp; Data sources'!G:G,'Country codes &amp; Data sources'!H:H,,0)</f>
        <v>Burundi</v>
      </c>
      <c r="B47" s="85" t="s">
        <v>165</v>
      </c>
      <c r="C47" s="86">
        <v>9795479.0000000019</v>
      </c>
      <c r="D47" s="85" t="s">
        <v>84</v>
      </c>
      <c r="E47" s="87">
        <v>0</v>
      </c>
      <c r="F47" s="88">
        <v>10149577.500000002</v>
      </c>
      <c r="G47" s="87">
        <v>0</v>
      </c>
      <c r="I47" s="87">
        <v>0</v>
      </c>
      <c r="K47" s="87">
        <v>0</v>
      </c>
      <c r="M47" s="87">
        <v>0</v>
      </c>
      <c r="O47" s="87">
        <v>0</v>
      </c>
      <c r="P47" s="88">
        <v>11493472.499999993</v>
      </c>
      <c r="Q47" s="87">
        <v>0</v>
      </c>
      <c r="R47" s="87">
        <f t="shared" si="0"/>
        <v>0</v>
      </c>
      <c r="T47" s="87">
        <v>0</v>
      </c>
      <c r="V47" s="87">
        <v>0</v>
      </c>
      <c r="X47" s="87">
        <v>0</v>
      </c>
      <c r="Y47" s="88">
        <v>12889576.499999994</v>
      </c>
      <c r="Z47" s="87">
        <v>0</v>
      </c>
      <c r="AA47" s="87">
        <v>0</v>
      </c>
      <c r="AB47" s="89">
        <f t="shared" si="1"/>
        <v>0</v>
      </c>
      <c r="AC47" s="89">
        <f t="shared" si="2"/>
        <v>0</v>
      </c>
      <c r="AD47" s="89">
        <f t="shared" si="3"/>
        <v>0</v>
      </c>
      <c r="AE47" s="90">
        <f t="shared" si="4"/>
        <v>0</v>
      </c>
      <c r="AF47" s="90" t="str">
        <f t="shared" si="5"/>
        <v/>
      </c>
      <c r="AG47" s="90">
        <f t="shared" si="6"/>
        <v>0</v>
      </c>
      <c r="AH47" s="90" t="str">
        <f t="shared" si="7"/>
        <v/>
      </c>
      <c r="AI47" s="90">
        <f t="shared" si="8"/>
        <v>0</v>
      </c>
      <c r="AJ47" s="90" t="str">
        <f t="shared" si="9"/>
        <v/>
      </c>
      <c r="AK47" s="90" t="str">
        <f t="shared" si="10"/>
        <v/>
      </c>
      <c r="AL47" s="91">
        <f>IF(AK47="Adjust",(_xlfn.XLOOKUP(A47,'Adj factor'!A:A,'Adj factor'!I:I,,0)*AI47),'Master DataSheet'!AI47)</f>
        <v>0</v>
      </c>
      <c r="AM47" s="91">
        <f t="shared" si="11"/>
        <v>0</v>
      </c>
      <c r="AN47" s="92" t="str">
        <f t="shared" si="12"/>
        <v>No change</v>
      </c>
      <c r="AO47" s="93">
        <f>VLOOKUP(B47,'Growthrates source'!A$2:H$49,8,FALSE)</f>
        <v>0.1019276516404819</v>
      </c>
      <c r="AP47" s="93">
        <f>VLOOKUP(B47,'Growthrates source'!A$2:I$49,9,FALSE)</f>
        <v>4.0873218672115019E-3</v>
      </c>
      <c r="AQ47" s="86">
        <f t="shared" si="13"/>
        <v>0</v>
      </c>
      <c r="AR47" s="86">
        <f t="shared" si="14"/>
        <v>0</v>
      </c>
      <c r="AS47" s="94">
        <f t="shared" si="15"/>
        <v>0</v>
      </c>
      <c r="AT47" s="94">
        <f t="shared" si="16"/>
        <v>0</v>
      </c>
      <c r="AU47" s="94">
        <f t="shared" si="17"/>
        <v>0</v>
      </c>
    </row>
    <row r="48" spans="1:47" x14ac:dyDescent="0.3">
      <c r="A48" s="85" t="str">
        <f>_xlfn.XLOOKUP(B48,'Country codes &amp; Data sources'!G:G,'Country codes &amp; Data sources'!H:H,,0)</f>
        <v>Burundi</v>
      </c>
      <c r="B48" s="85" t="s">
        <v>165</v>
      </c>
      <c r="C48" s="86">
        <v>9795479.0000000019</v>
      </c>
      <c r="D48" s="85" t="s">
        <v>126</v>
      </c>
      <c r="E48" s="87">
        <v>0</v>
      </c>
      <c r="F48" s="88">
        <v>10149577.500000002</v>
      </c>
      <c r="G48" s="87">
        <v>0</v>
      </c>
      <c r="I48" s="87">
        <v>0</v>
      </c>
      <c r="K48" s="87">
        <v>0</v>
      </c>
      <c r="M48" s="87">
        <v>0</v>
      </c>
      <c r="O48" s="87">
        <v>0</v>
      </c>
      <c r="P48" s="88">
        <v>11493472.499999993</v>
      </c>
      <c r="Q48" s="87">
        <v>0</v>
      </c>
      <c r="R48" s="87">
        <f t="shared" si="0"/>
        <v>0</v>
      </c>
      <c r="T48" s="87">
        <v>0</v>
      </c>
      <c r="V48" s="87">
        <v>0</v>
      </c>
      <c r="X48" s="87">
        <v>5</v>
      </c>
      <c r="Y48" s="88">
        <v>12889576.499999994</v>
      </c>
      <c r="Z48" s="87">
        <v>0</v>
      </c>
      <c r="AA48" s="87">
        <v>0</v>
      </c>
      <c r="AB48" s="89">
        <f t="shared" si="1"/>
        <v>0</v>
      </c>
      <c r="AC48" s="89">
        <f t="shared" si="2"/>
        <v>0</v>
      </c>
      <c r="AD48" s="89">
        <f t="shared" si="3"/>
        <v>5</v>
      </c>
      <c r="AE48" s="90">
        <f t="shared" si="4"/>
        <v>0</v>
      </c>
      <c r="AF48" s="90" t="str">
        <f t="shared" si="5"/>
        <v/>
      </c>
      <c r="AG48" s="90">
        <f t="shared" si="6"/>
        <v>0</v>
      </c>
      <c r="AH48" s="90" t="str">
        <f t="shared" si="7"/>
        <v/>
      </c>
      <c r="AI48" s="90">
        <f t="shared" si="8"/>
        <v>5</v>
      </c>
      <c r="AJ48" s="90">
        <f t="shared" si="9"/>
        <v>2021</v>
      </c>
      <c r="AK48" s="90" t="str">
        <f t="shared" si="10"/>
        <v/>
      </c>
      <c r="AL48" s="91">
        <f>IF(AK48="Adjust",(_xlfn.XLOOKUP(A48,'Adj factor'!A:A,'Adj factor'!I:I,,0)*AI48),'Master DataSheet'!AI48)</f>
        <v>5</v>
      </c>
      <c r="AM48" s="91">
        <f t="shared" si="11"/>
        <v>5</v>
      </c>
      <c r="AN48" s="92" t="str">
        <f t="shared" si="12"/>
        <v>Increasing</v>
      </c>
      <c r="AO48" s="93">
        <f>VLOOKUP(B48,'Growthrates source'!A$2:H$49,8,FALSE)</f>
        <v>0.1019276516404819</v>
      </c>
      <c r="AP48" s="93">
        <f>VLOOKUP(B48,'Growthrates source'!A$2:I$49,9,FALSE)</f>
        <v>4.0873218672115019E-3</v>
      </c>
      <c r="AQ48" s="86">
        <f t="shared" si="13"/>
        <v>0</v>
      </c>
      <c r="AR48" s="86">
        <f t="shared" si="14"/>
        <v>0</v>
      </c>
      <c r="AS48" s="94">
        <f t="shared" si="15"/>
        <v>0</v>
      </c>
      <c r="AT48" s="94">
        <f t="shared" si="16"/>
        <v>0</v>
      </c>
      <c r="AU48" s="94">
        <f t="shared" si="17"/>
        <v>3.8791033980053588E-3</v>
      </c>
    </row>
    <row r="49" spans="1:47" x14ac:dyDescent="0.3">
      <c r="A49" s="85" t="str">
        <f>_xlfn.XLOOKUP(B49,'Country codes &amp; Data sources'!G:G,'Country codes &amp; Data sources'!H:H,,0)</f>
        <v>Burundi</v>
      </c>
      <c r="B49" s="85" t="s">
        <v>165</v>
      </c>
      <c r="C49" s="86">
        <v>9795479.0000000019</v>
      </c>
      <c r="D49" s="85" t="s">
        <v>87</v>
      </c>
      <c r="E49" s="87">
        <v>0</v>
      </c>
      <c r="F49" s="88">
        <v>10149577.500000002</v>
      </c>
      <c r="G49" s="87">
        <v>0</v>
      </c>
      <c r="I49" s="87">
        <v>0</v>
      </c>
      <c r="K49" s="87">
        <v>0</v>
      </c>
      <c r="M49" s="87">
        <v>0</v>
      </c>
      <c r="O49" s="87">
        <v>0</v>
      </c>
      <c r="P49" s="88">
        <v>11493472.499999993</v>
      </c>
      <c r="Q49" s="87">
        <v>0</v>
      </c>
      <c r="R49" s="87">
        <f t="shared" si="0"/>
        <v>1000</v>
      </c>
      <c r="T49" s="87">
        <v>0</v>
      </c>
      <c r="V49" s="87">
        <v>0</v>
      </c>
      <c r="X49" s="87">
        <v>0</v>
      </c>
      <c r="Y49" s="88">
        <v>12889576.499999994</v>
      </c>
      <c r="Z49" s="87">
        <v>0</v>
      </c>
      <c r="AA49" s="87">
        <v>1000</v>
      </c>
      <c r="AB49" s="89">
        <f t="shared" si="1"/>
        <v>0</v>
      </c>
      <c r="AC49" s="89">
        <f t="shared" si="2"/>
        <v>0</v>
      </c>
      <c r="AD49" s="89">
        <f t="shared" si="3"/>
        <v>0</v>
      </c>
      <c r="AE49" s="90">
        <f t="shared" si="4"/>
        <v>0</v>
      </c>
      <c r="AF49" s="90" t="str">
        <f t="shared" si="5"/>
        <v/>
      </c>
      <c r="AG49" s="90">
        <f t="shared" si="6"/>
        <v>1000</v>
      </c>
      <c r="AH49" s="90" t="str">
        <f t="shared" si="7"/>
        <v>2018 (triag)</v>
      </c>
      <c r="AI49" s="90">
        <f t="shared" si="8"/>
        <v>1000</v>
      </c>
      <c r="AJ49" s="90" t="str">
        <f t="shared" si="9"/>
        <v>2018 (triag)</v>
      </c>
      <c r="AK49" s="90" t="str">
        <f t="shared" si="10"/>
        <v/>
      </c>
      <c r="AL49" s="91">
        <f>IF(AK49="Adjust",(_xlfn.XLOOKUP(A49,'Adj factor'!A:A,'Adj factor'!I:I,,0)*AI49),'Master DataSheet'!AI49)</f>
        <v>1000</v>
      </c>
      <c r="AM49" s="91">
        <f t="shared" si="11"/>
        <v>1000</v>
      </c>
      <c r="AN49" s="92" t="str">
        <f t="shared" si="12"/>
        <v>No change</v>
      </c>
      <c r="AO49" s="93">
        <f>VLOOKUP(B49,'Growthrates source'!A$2:H$49,8,FALSE)</f>
        <v>0.1019276516404819</v>
      </c>
      <c r="AP49" s="93">
        <f>VLOOKUP(B49,'Growthrates source'!A$2:I$49,9,FALSE)</f>
        <v>4.0873218672115019E-3</v>
      </c>
      <c r="AQ49" s="86">
        <f t="shared" si="13"/>
        <v>600.71284245669199</v>
      </c>
      <c r="AR49" s="86">
        <f t="shared" si="14"/>
        <v>1012.3374517223854</v>
      </c>
      <c r="AS49" s="94">
        <f t="shared" si="15"/>
        <v>0</v>
      </c>
      <c r="AT49" s="94">
        <f t="shared" si="16"/>
        <v>0.87005907048544351</v>
      </c>
      <c r="AU49" s="94">
        <f t="shared" si="17"/>
        <v>0.77582067960107182</v>
      </c>
    </row>
    <row r="50" spans="1:47" x14ac:dyDescent="0.3">
      <c r="A50" s="85" t="str">
        <f>_xlfn.XLOOKUP(B50,'Country codes &amp; Data sources'!G:G,'Country codes &amp; Data sources'!H:H,,0)</f>
        <v>Benin</v>
      </c>
      <c r="B50" s="85" t="s">
        <v>163</v>
      </c>
      <c r="C50" s="86">
        <v>10014078.499999996</v>
      </c>
      <c r="D50" s="85" t="s">
        <v>321</v>
      </c>
      <c r="E50" s="87">
        <v>26</v>
      </c>
      <c r="F50" s="88">
        <v>10308730.499999994</v>
      </c>
      <c r="G50" s="87">
        <v>0</v>
      </c>
      <c r="H50" s="87">
        <v>10614844.000000013</v>
      </c>
      <c r="I50" s="87">
        <v>191</v>
      </c>
      <c r="J50" s="87">
        <v>10932783.499999994</v>
      </c>
      <c r="K50" s="87">
        <v>0</v>
      </c>
      <c r="L50" s="87">
        <v>11260084.499999996</v>
      </c>
      <c r="M50" s="87">
        <v>1046</v>
      </c>
      <c r="N50" s="87">
        <v>11596778.499999991</v>
      </c>
      <c r="O50" s="87">
        <v>0</v>
      </c>
      <c r="P50" s="88">
        <v>11940683.499999996</v>
      </c>
      <c r="Q50" s="87">
        <v>2300</v>
      </c>
      <c r="R50" s="87">
        <f t="shared" si="0"/>
        <v>2300</v>
      </c>
      <c r="S50" s="87">
        <v>12290444.000000004</v>
      </c>
      <c r="T50" s="87">
        <v>1842</v>
      </c>
      <c r="U50" s="87">
        <v>12643123.000000002</v>
      </c>
      <c r="V50" s="87">
        <v>0</v>
      </c>
      <c r="W50" s="87">
        <v>12996895</v>
      </c>
      <c r="X50" s="87">
        <v>5861</v>
      </c>
      <c r="Y50" s="88">
        <v>13352864</v>
      </c>
      <c r="Z50" s="87">
        <v>5567</v>
      </c>
      <c r="AA50" s="87">
        <v>710</v>
      </c>
      <c r="AB50" s="89">
        <f t="shared" si="1"/>
        <v>191</v>
      </c>
      <c r="AC50" s="89">
        <f t="shared" si="2"/>
        <v>2300</v>
      </c>
      <c r="AD50" s="89">
        <f t="shared" si="3"/>
        <v>5861</v>
      </c>
      <c r="AE50" s="90">
        <f t="shared" si="4"/>
        <v>26</v>
      </c>
      <c r="AF50" s="90">
        <f t="shared" si="5"/>
        <v>2012</v>
      </c>
      <c r="AG50" s="90">
        <f t="shared" si="6"/>
        <v>2300</v>
      </c>
      <c r="AH50" s="90">
        <f t="shared" si="7"/>
        <v>2018</v>
      </c>
      <c r="AI50" s="90">
        <f t="shared" si="8"/>
        <v>5567</v>
      </c>
      <c r="AJ50" s="90">
        <f t="shared" si="9"/>
        <v>2022</v>
      </c>
      <c r="AK50" s="90" t="str">
        <f t="shared" si="10"/>
        <v/>
      </c>
      <c r="AL50" s="91">
        <f>IF(AK50="Adjust",(_xlfn.XLOOKUP(A50,'Adj factor'!A:A,'Adj factor'!I:I,,0)*AI50),'Master DataSheet'!AI50)</f>
        <v>5567</v>
      </c>
      <c r="AM50" s="91">
        <f t="shared" si="11"/>
        <v>5567</v>
      </c>
      <c r="AN50" s="92" t="str">
        <f t="shared" si="12"/>
        <v>Increasing</v>
      </c>
      <c r="AO50" s="93">
        <f>VLOOKUP(B50,'Growthrates source'!A$2:H$49,8,FALSE)</f>
        <v>5.0912180313375632E-2</v>
      </c>
      <c r="AP50" s="93">
        <f>VLOOKUP(B50,'Growthrates source'!A$2:I$49,9,FALSE)</f>
        <v>-3.8361793441239245E-2</v>
      </c>
      <c r="AQ50" s="86">
        <f t="shared" si="13"/>
        <v>550.43235448080054</v>
      </c>
      <c r="AR50" s="86">
        <f t="shared" si="14"/>
        <v>632.81592983829069</v>
      </c>
      <c r="AS50" s="94">
        <f t="shared" si="15"/>
        <v>2.5221340299855559E-2</v>
      </c>
      <c r="AT50" s="94">
        <f t="shared" si="16"/>
        <v>1.9261878936829711</v>
      </c>
      <c r="AU50" s="94">
        <f t="shared" si="17"/>
        <v>4.1691430392760687</v>
      </c>
    </row>
    <row r="51" spans="1:47" x14ac:dyDescent="0.3">
      <c r="A51" s="85" t="str">
        <f>_xlfn.XLOOKUP(B51,'Country codes &amp; Data sources'!G:G,'Country codes &amp; Data sources'!H:H,,0)</f>
        <v>Benin</v>
      </c>
      <c r="B51" s="85" t="s">
        <v>163</v>
      </c>
      <c r="C51" s="86">
        <v>10014078.499999996</v>
      </c>
      <c r="D51" s="85" t="s">
        <v>322</v>
      </c>
      <c r="E51" s="87">
        <v>10276</v>
      </c>
      <c r="F51" s="88">
        <v>10308730.499999994</v>
      </c>
      <c r="G51" s="87">
        <v>9760</v>
      </c>
      <c r="I51" s="87">
        <v>0</v>
      </c>
      <c r="K51" s="87">
        <v>0</v>
      </c>
      <c r="M51" s="87">
        <v>14448</v>
      </c>
      <c r="O51" s="87">
        <v>0</v>
      </c>
      <c r="P51" s="88">
        <v>11940683.499999996</v>
      </c>
      <c r="Q51" s="87">
        <v>6820</v>
      </c>
      <c r="R51" s="87">
        <f t="shared" si="0"/>
        <v>6820</v>
      </c>
      <c r="T51" s="87">
        <v>5340</v>
      </c>
      <c r="V51" s="87">
        <v>0</v>
      </c>
      <c r="X51" s="87">
        <v>10968</v>
      </c>
      <c r="Y51" s="88">
        <v>13352864</v>
      </c>
      <c r="Z51" s="87">
        <v>11786</v>
      </c>
      <c r="AA51" s="87">
        <v>3260</v>
      </c>
      <c r="AB51" s="89">
        <f t="shared" si="1"/>
        <v>10276</v>
      </c>
      <c r="AC51" s="89">
        <f t="shared" si="2"/>
        <v>14448</v>
      </c>
      <c r="AD51" s="89">
        <f t="shared" si="3"/>
        <v>11786</v>
      </c>
      <c r="AE51" s="90">
        <f t="shared" si="4"/>
        <v>9760</v>
      </c>
      <c r="AF51" s="90">
        <f t="shared" si="5"/>
        <v>2013</v>
      </c>
      <c r="AG51" s="90">
        <f t="shared" si="6"/>
        <v>6820</v>
      </c>
      <c r="AH51" s="90">
        <f t="shared" si="7"/>
        <v>2018</v>
      </c>
      <c r="AI51" s="90">
        <f t="shared" si="8"/>
        <v>11786</v>
      </c>
      <c r="AJ51" s="90">
        <f t="shared" si="9"/>
        <v>2022</v>
      </c>
      <c r="AK51" s="90" t="str">
        <f t="shared" si="10"/>
        <v/>
      </c>
      <c r="AL51" s="91">
        <f>IF(AK51="Adjust",(_xlfn.XLOOKUP(A51,'Adj factor'!A:A,'Adj factor'!I:I,,0)*AI51),'Master DataSheet'!AI51)</f>
        <v>11786</v>
      </c>
      <c r="AM51" s="91">
        <f t="shared" si="11"/>
        <v>11786</v>
      </c>
      <c r="AN51" s="92" t="str">
        <f t="shared" si="12"/>
        <v>Increasing</v>
      </c>
      <c r="AO51" s="93">
        <f>VLOOKUP(B51,'Growthrates source'!A$2:H$49,8,FALSE)</f>
        <v>5.0912180313375632E-2</v>
      </c>
      <c r="AP51" s="93">
        <f>VLOOKUP(B51,'Growthrates source'!A$2:I$49,9,FALSE)</f>
        <v>-3.8361793441239245E-2</v>
      </c>
      <c r="AQ51" s="86">
        <f t="shared" si="13"/>
        <v>2527.3372895879011</v>
      </c>
      <c r="AR51" s="86">
        <f t="shared" si="14"/>
        <v>2905.6055370039821</v>
      </c>
      <c r="AS51" s="94">
        <f t="shared" si="15"/>
        <v>9.4677031279457786</v>
      </c>
      <c r="AT51" s="94">
        <f t="shared" si="16"/>
        <v>5.7115658412686363</v>
      </c>
      <c r="AU51" s="94">
        <f t="shared" si="17"/>
        <v>8.8265708390349822</v>
      </c>
    </row>
    <row r="52" spans="1:47" x14ac:dyDescent="0.3">
      <c r="A52" s="85" t="str">
        <f>_xlfn.XLOOKUP(B52,'Country codes &amp; Data sources'!G:G,'Country codes &amp; Data sources'!H:H,,0)</f>
        <v>Benin</v>
      </c>
      <c r="B52" s="85" t="s">
        <v>163</v>
      </c>
      <c r="C52" s="86">
        <v>10014078.499999996</v>
      </c>
      <c r="D52" s="85" t="s">
        <v>323</v>
      </c>
      <c r="E52" s="87">
        <v>2960</v>
      </c>
      <c r="F52" s="88">
        <v>10308730.499999994</v>
      </c>
      <c r="G52" s="87">
        <v>1886</v>
      </c>
      <c r="I52" s="87">
        <v>0</v>
      </c>
      <c r="K52" s="87">
        <v>0</v>
      </c>
      <c r="M52" s="87">
        <v>2068</v>
      </c>
      <c r="O52" s="87">
        <v>0</v>
      </c>
      <c r="P52" s="88">
        <v>11940683.499999996</v>
      </c>
      <c r="Q52" s="87">
        <v>2110</v>
      </c>
      <c r="R52" s="87">
        <f t="shared" si="0"/>
        <v>2110</v>
      </c>
      <c r="T52" s="87">
        <v>1810</v>
      </c>
      <c r="V52" s="87">
        <v>0</v>
      </c>
      <c r="X52" s="87">
        <v>4172</v>
      </c>
      <c r="Y52" s="88">
        <v>13352864</v>
      </c>
      <c r="Z52" s="87">
        <v>4110</v>
      </c>
      <c r="AA52" s="87">
        <v>813</v>
      </c>
      <c r="AB52" s="89">
        <f t="shared" si="1"/>
        <v>2960</v>
      </c>
      <c r="AC52" s="89">
        <f t="shared" si="2"/>
        <v>2110</v>
      </c>
      <c r="AD52" s="89">
        <f t="shared" si="3"/>
        <v>4172</v>
      </c>
      <c r="AE52" s="90">
        <f t="shared" si="4"/>
        <v>1886</v>
      </c>
      <c r="AF52" s="90">
        <f t="shared" si="5"/>
        <v>2013</v>
      </c>
      <c r="AG52" s="90">
        <f t="shared" si="6"/>
        <v>2110</v>
      </c>
      <c r="AH52" s="90">
        <f t="shared" si="7"/>
        <v>2018</v>
      </c>
      <c r="AI52" s="90">
        <f t="shared" si="8"/>
        <v>4110</v>
      </c>
      <c r="AJ52" s="90">
        <f t="shared" si="9"/>
        <v>2022</v>
      </c>
      <c r="AK52" s="90" t="str">
        <f t="shared" si="10"/>
        <v/>
      </c>
      <c r="AL52" s="91">
        <f>IF(AK52="Adjust",(_xlfn.XLOOKUP(A52,'Adj factor'!A:A,'Adj factor'!I:I,,0)*AI52),'Master DataSheet'!AI52)</f>
        <v>4110</v>
      </c>
      <c r="AM52" s="91">
        <f t="shared" si="11"/>
        <v>4110</v>
      </c>
      <c r="AN52" s="92" t="str">
        <f t="shared" si="12"/>
        <v>Increasing</v>
      </c>
      <c r="AO52" s="93">
        <f>VLOOKUP(B52,'Growthrates source'!A$2:H$49,8,FALSE)</f>
        <v>5.0912180313375632E-2</v>
      </c>
      <c r="AP52" s="93">
        <f>VLOOKUP(B52,'Growthrates source'!A$2:I$49,9,FALSE)</f>
        <v>-3.8361793441239245E-2</v>
      </c>
      <c r="AQ52" s="86">
        <f t="shared" si="13"/>
        <v>630.28380872238142</v>
      </c>
      <c r="AR52" s="86">
        <f t="shared" si="14"/>
        <v>724.61880416694407</v>
      </c>
      <c r="AS52" s="94">
        <f t="shared" si="15"/>
        <v>1.8295172232895225</v>
      </c>
      <c r="AT52" s="94">
        <f t="shared" si="16"/>
        <v>1.7670680242048127</v>
      </c>
      <c r="AU52" s="94">
        <f t="shared" si="17"/>
        <v>3.0779913582584228</v>
      </c>
    </row>
    <row r="53" spans="1:47" x14ac:dyDescent="0.3">
      <c r="A53" s="85" t="str">
        <f>_xlfn.XLOOKUP(B53,'Country codes &amp; Data sources'!G:G,'Country codes &amp; Data sources'!H:H,,0)</f>
        <v>Benin</v>
      </c>
      <c r="B53" s="85" t="s">
        <v>163</v>
      </c>
      <c r="C53" s="86">
        <v>10014078.499999996</v>
      </c>
      <c r="D53" s="85" t="s">
        <v>324</v>
      </c>
      <c r="E53" s="87">
        <v>0</v>
      </c>
      <c r="F53" s="88">
        <v>10308730.499999994</v>
      </c>
      <c r="G53" s="87">
        <v>0</v>
      </c>
      <c r="I53" s="87">
        <v>1717</v>
      </c>
      <c r="K53" s="87">
        <v>2626</v>
      </c>
      <c r="M53" s="87">
        <v>1600</v>
      </c>
      <c r="O53" s="87">
        <v>0</v>
      </c>
      <c r="P53" s="88">
        <v>11940683.499999996</v>
      </c>
      <c r="Q53" s="87">
        <v>281</v>
      </c>
      <c r="R53" s="87">
        <f t="shared" si="0"/>
        <v>281</v>
      </c>
      <c r="T53" s="87">
        <v>106</v>
      </c>
      <c r="V53" s="87">
        <v>0</v>
      </c>
      <c r="X53" s="87">
        <v>505</v>
      </c>
      <c r="Y53" s="88">
        <v>13352864</v>
      </c>
      <c r="Z53" s="87">
        <v>0</v>
      </c>
      <c r="AA53" s="87">
        <v>14</v>
      </c>
      <c r="AB53" s="89">
        <f t="shared" si="1"/>
        <v>2626</v>
      </c>
      <c r="AC53" s="89">
        <f t="shared" si="2"/>
        <v>1600</v>
      </c>
      <c r="AD53" s="89">
        <f t="shared" si="3"/>
        <v>505</v>
      </c>
      <c r="AE53" s="90">
        <f t="shared" si="4"/>
        <v>1717</v>
      </c>
      <c r="AF53" s="90">
        <f t="shared" si="5"/>
        <v>2014</v>
      </c>
      <c r="AG53" s="90">
        <f t="shared" si="6"/>
        <v>281</v>
      </c>
      <c r="AH53" s="90">
        <f t="shared" si="7"/>
        <v>2018</v>
      </c>
      <c r="AI53" s="90">
        <f t="shared" si="8"/>
        <v>505</v>
      </c>
      <c r="AJ53" s="90">
        <f t="shared" si="9"/>
        <v>2021</v>
      </c>
      <c r="AK53" s="90" t="str">
        <f t="shared" si="10"/>
        <v/>
      </c>
      <c r="AL53" s="91">
        <f>IF(AK53="Adjust",(_xlfn.XLOOKUP(A53,'Adj factor'!A:A,'Adj factor'!I:I,,0)*AI53),'Master DataSheet'!AI53)</f>
        <v>505</v>
      </c>
      <c r="AM53" s="91">
        <f t="shared" si="11"/>
        <v>505</v>
      </c>
      <c r="AN53" s="92" t="str">
        <f t="shared" si="12"/>
        <v>Increasing</v>
      </c>
      <c r="AO53" s="93">
        <f>VLOOKUP(B53,'Growthrates source'!A$2:H$49,8,FALSE)</f>
        <v>5.0912180313375632E-2</v>
      </c>
      <c r="AP53" s="93">
        <f>VLOOKUP(B53,'Growthrates source'!A$2:I$49,9,FALSE)</f>
        <v>-3.8361793441239245E-2</v>
      </c>
      <c r="AQ53" s="86">
        <f t="shared" si="13"/>
        <v>10.85359572215663</v>
      </c>
      <c r="AR53" s="86">
        <f t="shared" si="14"/>
        <v>12.478060588360661</v>
      </c>
      <c r="AS53" s="94">
        <f t="shared" si="15"/>
        <v>1.6655785113404613</v>
      </c>
      <c r="AT53" s="94">
        <f t="shared" si="16"/>
        <v>0.23532991222822386</v>
      </c>
      <c r="AU53" s="94">
        <f t="shared" si="17"/>
        <v>0.37819601847214201</v>
      </c>
    </row>
    <row r="54" spans="1:47" x14ac:dyDescent="0.3">
      <c r="A54" s="85" t="str">
        <f>_xlfn.XLOOKUP(B54,'Country codes &amp; Data sources'!G:G,'Country codes &amp; Data sources'!H:H,,0)</f>
        <v>Benin</v>
      </c>
      <c r="B54" s="85" t="s">
        <v>163</v>
      </c>
      <c r="C54" s="86">
        <v>10014078.499999996</v>
      </c>
      <c r="D54" s="85" t="s">
        <v>325</v>
      </c>
      <c r="E54" s="87">
        <v>0</v>
      </c>
      <c r="F54" s="88">
        <v>10308730.499999994</v>
      </c>
      <c r="G54" s="87">
        <v>0</v>
      </c>
      <c r="I54" s="87">
        <v>255</v>
      </c>
      <c r="K54" s="87">
        <v>658</v>
      </c>
      <c r="M54" s="87">
        <v>234</v>
      </c>
      <c r="O54" s="87">
        <v>0</v>
      </c>
      <c r="P54" s="88">
        <v>11940683.499999996</v>
      </c>
      <c r="Q54" s="87">
        <v>0</v>
      </c>
      <c r="R54" s="87">
        <f t="shared" si="0"/>
        <v>0</v>
      </c>
      <c r="T54" s="87">
        <v>32</v>
      </c>
      <c r="V54" s="87">
        <v>0</v>
      </c>
      <c r="X54" s="87">
        <v>195</v>
      </c>
      <c r="Y54" s="88">
        <v>13352864</v>
      </c>
      <c r="Z54" s="87">
        <v>0</v>
      </c>
      <c r="AA54" s="87">
        <v>0</v>
      </c>
      <c r="AB54" s="89">
        <f t="shared" si="1"/>
        <v>658</v>
      </c>
      <c r="AC54" s="89">
        <f t="shared" si="2"/>
        <v>234</v>
      </c>
      <c r="AD54" s="89">
        <f t="shared" si="3"/>
        <v>195</v>
      </c>
      <c r="AE54" s="90">
        <f t="shared" si="4"/>
        <v>255</v>
      </c>
      <c r="AF54" s="90">
        <f t="shared" si="5"/>
        <v>2014</v>
      </c>
      <c r="AG54" s="90">
        <f t="shared" si="6"/>
        <v>32</v>
      </c>
      <c r="AH54" s="90">
        <f t="shared" si="7"/>
        <v>2019</v>
      </c>
      <c r="AI54" s="90">
        <f t="shared" si="8"/>
        <v>195</v>
      </c>
      <c r="AJ54" s="90">
        <f t="shared" si="9"/>
        <v>2021</v>
      </c>
      <c r="AK54" s="90" t="str">
        <f t="shared" si="10"/>
        <v/>
      </c>
      <c r="AL54" s="91">
        <f>IF(AK54="Adjust",(_xlfn.XLOOKUP(A54,'Adj factor'!A:A,'Adj factor'!I:I,,0)*AI54),'Master DataSheet'!AI54)</f>
        <v>195</v>
      </c>
      <c r="AM54" s="91">
        <f t="shared" si="11"/>
        <v>195</v>
      </c>
      <c r="AN54" s="92" t="str">
        <f t="shared" si="12"/>
        <v>Increasing</v>
      </c>
      <c r="AO54" s="93">
        <f>VLOOKUP(B54,'Growthrates source'!A$2:H$49,8,FALSE)</f>
        <v>5.0912180313375632E-2</v>
      </c>
      <c r="AP54" s="93">
        <f>VLOOKUP(B54,'Growthrates source'!A$2:I$49,9,FALSE)</f>
        <v>-3.8361793441239245E-2</v>
      </c>
      <c r="AQ54" s="86">
        <f t="shared" si="13"/>
        <v>0</v>
      </c>
      <c r="AR54" s="86">
        <f t="shared" si="14"/>
        <v>0</v>
      </c>
      <c r="AS54" s="94">
        <f t="shared" si="15"/>
        <v>0.24736314524858335</v>
      </c>
      <c r="AT54" s="94">
        <f t="shared" si="16"/>
        <v>2.6799135912110902E-2</v>
      </c>
      <c r="AU54" s="94">
        <f t="shared" si="17"/>
        <v>0.14603608634072809</v>
      </c>
    </row>
    <row r="55" spans="1:47" x14ac:dyDescent="0.3">
      <c r="A55" s="85" t="str">
        <f>_xlfn.XLOOKUP(B55,'Country codes &amp; Data sources'!G:G,'Country codes &amp; Data sources'!H:H,,0)</f>
        <v>Benin</v>
      </c>
      <c r="B55" s="85" t="s">
        <v>163</v>
      </c>
      <c r="C55" s="86">
        <v>10014078.499999996</v>
      </c>
      <c r="D55" s="85" t="s">
        <v>127</v>
      </c>
      <c r="E55" s="87">
        <v>0</v>
      </c>
      <c r="F55" s="88">
        <v>10308730.499999994</v>
      </c>
      <c r="G55" s="87">
        <v>0</v>
      </c>
      <c r="I55" s="87">
        <v>0</v>
      </c>
      <c r="K55" s="87">
        <v>0</v>
      </c>
      <c r="M55" s="87">
        <v>0</v>
      </c>
      <c r="O55" s="87">
        <v>0</v>
      </c>
      <c r="P55" s="88">
        <v>11940683.499999996</v>
      </c>
      <c r="Q55" s="87">
        <v>0</v>
      </c>
      <c r="R55" s="87">
        <f t="shared" si="0"/>
        <v>0</v>
      </c>
      <c r="T55" s="87">
        <v>0</v>
      </c>
      <c r="V55" s="87">
        <v>0</v>
      </c>
      <c r="X55" s="87">
        <v>21</v>
      </c>
      <c r="Y55" s="88">
        <v>13352864</v>
      </c>
      <c r="Z55" s="87">
        <v>21</v>
      </c>
      <c r="AA55" s="87">
        <v>0</v>
      </c>
      <c r="AB55" s="89">
        <f t="shared" si="1"/>
        <v>0</v>
      </c>
      <c r="AC55" s="89">
        <f t="shared" si="2"/>
        <v>0</v>
      </c>
      <c r="AD55" s="89">
        <f t="shared" si="3"/>
        <v>21</v>
      </c>
      <c r="AE55" s="90">
        <f t="shared" si="4"/>
        <v>0</v>
      </c>
      <c r="AF55" s="90" t="str">
        <f t="shared" si="5"/>
        <v/>
      </c>
      <c r="AG55" s="90">
        <f t="shared" si="6"/>
        <v>0</v>
      </c>
      <c r="AH55" s="90" t="str">
        <f t="shared" si="7"/>
        <v/>
      </c>
      <c r="AI55" s="90">
        <f t="shared" si="8"/>
        <v>21</v>
      </c>
      <c r="AJ55" s="90">
        <f t="shared" si="9"/>
        <v>2021</v>
      </c>
      <c r="AK55" s="90" t="str">
        <f t="shared" si="10"/>
        <v/>
      </c>
      <c r="AL55" s="91">
        <f>IF(AK55="Adjust",(_xlfn.XLOOKUP(A55,'Adj factor'!A:A,'Adj factor'!I:I,,0)*AI55),'Master DataSheet'!AI55)</f>
        <v>21</v>
      </c>
      <c r="AM55" s="91">
        <f t="shared" si="11"/>
        <v>21</v>
      </c>
      <c r="AN55" s="92" t="str">
        <f t="shared" si="12"/>
        <v>Increasing</v>
      </c>
      <c r="AO55" s="93">
        <f>VLOOKUP(B55,'Growthrates source'!A$2:H$49,8,FALSE)</f>
        <v>5.0912180313375632E-2</v>
      </c>
      <c r="AP55" s="93">
        <f>VLOOKUP(B55,'Growthrates source'!A$2:I$49,9,FALSE)</f>
        <v>-3.8361793441239245E-2</v>
      </c>
      <c r="AQ55" s="86">
        <f t="shared" si="13"/>
        <v>0</v>
      </c>
      <c r="AR55" s="86">
        <f t="shared" si="14"/>
        <v>0</v>
      </c>
      <c r="AS55" s="94">
        <f t="shared" si="15"/>
        <v>0</v>
      </c>
      <c r="AT55" s="94">
        <f t="shared" si="16"/>
        <v>0</v>
      </c>
      <c r="AU55" s="94">
        <f t="shared" si="17"/>
        <v>1.5726963144386104E-2</v>
      </c>
    </row>
    <row r="56" spans="1:47" x14ac:dyDescent="0.3">
      <c r="A56" s="85" t="str">
        <f>_xlfn.XLOOKUP(B56,'Country codes &amp; Data sources'!G:G,'Country codes &amp; Data sources'!H:H,,0)</f>
        <v>Benin</v>
      </c>
      <c r="B56" s="85" t="s">
        <v>163</v>
      </c>
      <c r="C56" s="86">
        <v>10014078.499999996</v>
      </c>
      <c r="D56" s="85" t="s">
        <v>61</v>
      </c>
      <c r="E56" s="87">
        <v>0</v>
      </c>
      <c r="F56" s="88">
        <v>10308730.499999994</v>
      </c>
      <c r="G56" s="87">
        <v>0</v>
      </c>
      <c r="I56" s="87">
        <v>0</v>
      </c>
      <c r="K56" s="87">
        <v>0</v>
      </c>
      <c r="M56" s="87">
        <v>0</v>
      </c>
      <c r="O56" s="87">
        <v>0</v>
      </c>
      <c r="P56" s="88">
        <v>11940683.499999996</v>
      </c>
      <c r="Q56" s="87">
        <v>8</v>
      </c>
      <c r="R56" s="87">
        <f t="shared" si="0"/>
        <v>8</v>
      </c>
      <c r="T56" s="87">
        <v>0</v>
      </c>
      <c r="V56" s="87">
        <v>0</v>
      </c>
      <c r="X56" s="87">
        <v>21</v>
      </c>
      <c r="Y56" s="88">
        <v>13352864</v>
      </c>
      <c r="Z56" s="87">
        <v>0</v>
      </c>
      <c r="AA56" s="87">
        <v>0</v>
      </c>
      <c r="AB56" s="89">
        <f t="shared" si="1"/>
        <v>0</v>
      </c>
      <c r="AC56" s="89">
        <f t="shared" si="2"/>
        <v>8</v>
      </c>
      <c r="AD56" s="89">
        <f t="shared" si="3"/>
        <v>21</v>
      </c>
      <c r="AE56" s="90">
        <f t="shared" si="4"/>
        <v>0</v>
      </c>
      <c r="AF56" s="90" t="str">
        <f t="shared" si="5"/>
        <v/>
      </c>
      <c r="AG56" s="90">
        <f t="shared" si="6"/>
        <v>8</v>
      </c>
      <c r="AH56" s="90">
        <f t="shared" si="7"/>
        <v>2018</v>
      </c>
      <c r="AI56" s="90">
        <f t="shared" si="8"/>
        <v>21</v>
      </c>
      <c r="AJ56" s="90">
        <f t="shared" si="9"/>
        <v>2021</v>
      </c>
      <c r="AK56" s="90" t="str">
        <f t="shared" si="10"/>
        <v/>
      </c>
      <c r="AL56" s="91">
        <f>IF(AK56="Adjust",(_xlfn.XLOOKUP(A56,'Adj factor'!A:A,'Adj factor'!I:I,,0)*AI56),'Master DataSheet'!AI56)</f>
        <v>21</v>
      </c>
      <c r="AM56" s="91">
        <f t="shared" si="11"/>
        <v>21</v>
      </c>
      <c r="AN56" s="92" t="str">
        <f t="shared" si="12"/>
        <v>Increasing</v>
      </c>
      <c r="AO56" s="93">
        <f>VLOOKUP(B56,'Growthrates source'!A$2:H$49,8,FALSE)</f>
        <v>5.0912180313375632E-2</v>
      </c>
      <c r="AP56" s="93">
        <f>VLOOKUP(B56,'Growthrates source'!A$2:I$49,9,FALSE)</f>
        <v>-3.8361793441239245E-2</v>
      </c>
      <c r="AQ56" s="86">
        <f t="shared" si="13"/>
        <v>0</v>
      </c>
      <c r="AR56" s="86">
        <f t="shared" si="14"/>
        <v>0</v>
      </c>
      <c r="AS56" s="94">
        <f t="shared" si="15"/>
        <v>0</v>
      </c>
      <c r="AT56" s="94">
        <f t="shared" si="16"/>
        <v>6.6997839780277256E-3</v>
      </c>
      <c r="AU56" s="94">
        <f t="shared" si="17"/>
        <v>1.5726963144386104E-2</v>
      </c>
    </row>
    <row r="57" spans="1:47" s="95" customFormat="1" x14ac:dyDescent="0.3">
      <c r="A57" s="95" t="str">
        <f>_xlfn.XLOOKUP(B57,'Country codes &amp; Data sources'!G:G,'Country codes &amp; Data sources'!H:H,,0)</f>
        <v>Benin</v>
      </c>
      <c r="B57" s="95" t="s">
        <v>163</v>
      </c>
      <c r="C57" s="60">
        <v>10014078.499999996</v>
      </c>
      <c r="D57" s="95" t="s">
        <v>62</v>
      </c>
      <c r="E57" s="96">
        <v>0</v>
      </c>
      <c r="F57" s="97">
        <v>10308730.499999994</v>
      </c>
      <c r="G57" s="96">
        <v>0</v>
      </c>
      <c r="H57" s="96"/>
      <c r="I57" s="96">
        <v>0</v>
      </c>
      <c r="J57" s="96"/>
      <c r="K57" s="96">
        <v>3830</v>
      </c>
      <c r="L57" s="96"/>
      <c r="M57" s="96">
        <v>0</v>
      </c>
      <c r="N57" s="96"/>
      <c r="O57" s="96">
        <v>0</v>
      </c>
      <c r="P57" s="97">
        <v>11940683.499999996</v>
      </c>
      <c r="Q57" s="96">
        <v>429</v>
      </c>
      <c r="R57" s="96">
        <f t="shared" si="0"/>
        <v>619</v>
      </c>
      <c r="S57" s="96"/>
      <c r="T57" s="96">
        <v>0</v>
      </c>
      <c r="U57" s="96"/>
      <c r="V57" s="96">
        <v>0</v>
      </c>
      <c r="W57" s="96"/>
      <c r="X57" s="96">
        <v>1570</v>
      </c>
      <c r="Y57" s="97">
        <v>13352864</v>
      </c>
      <c r="Z57" s="96">
        <v>0</v>
      </c>
      <c r="AA57" s="96">
        <v>619</v>
      </c>
      <c r="AB57" s="98">
        <f t="shared" si="1"/>
        <v>3830</v>
      </c>
      <c r="AC57" s="98">
        <f t="shared" si="2"/>
        <v>429</v>
      </c>
      <c r="AD57" s="98">
        <f t="shared" si="3"/>
        <v>1570</v>
      </c>
      <c r="AE57" s="99">
        <f t="shared" si="4"/>
        <v>3830</v>
      </c>
      <c r="AF57" s="99">
        <f t="shared" si="5"/>
        <v>2015</v>
      </c>
      <c r="AG57" s="99">
        <f t="shared" si="6"/>
        <v>619</v>
      </c>
      <c r="AH57" s="99" t="str">
        <f t="shared" si="7"/>
        <v>2018 (triag)</v>
      </c>
      <c r="AI57" s="99">
        <f t="shared" si="8"/>
        <v>1570</v>
      </c>
      <c r="AJ57" s="99">
        <f t="shared" si="9"/>
        <v>2021</v>
      </c>
      <c r="AK57" s="99" t="str">
        <f t="shared" si="10"/>
        <v/>
      </c>
      <c r="AL57" s="61">
        <f>IF(AK57="Adjust",(_xlfn.XLOOKUP(A57,'Adj factor'!A:A,'Adj factor'!I:I,,0)*AI57),'Master DataSheet'!AI57)</f>
        <v>1570</v>
      </c>
      <c r="AM57" s="61">
        <f t="shared" si="11"/>
        <v>1570</v>
      </c>
      <c r="AN57" s="62" t="str">
        <f t="shared" si="12"/>
        <v>Increasing</v>
      </c>
      <c r="AO57" s="100">
        <f>VLOOKUP(B57,'Growthrates source'!A$2:H$49,8,FALSE)</f>
        <v>5.0912180313375632E-2</v>
      </c>
      <c r="AP57" s="100">
        <f>VLOOKUP(B57,'Growthrates source'!A$2:I$49,9,FALSE)</f>
        <v>-3.8361793441239245E-2</v>
      </c>
      <c r="AQ57" s="60">
        <f t="shared" si="13"/>
        <v>479.88398228678244</v>
      </c>
      <c r="AR57" s="60">
        <f t="shared" si="14"/>
        <v>551.70853601394629</v>
      </c>
      <c r="AS57" s="101">
        <f t="shared" si="15"/>
        <v>3.7152974364787226</v>
      </c>
      <c r="AT57" s="102">
        <f t="shared" si="16"/>
        <v>0.51839578529989527</v>
      </c>
      <c r="AU57" s="102">
        <f>(AM57*10000)/Y57</f>
        <v>1.1757777207945801</v>
      </c>
    </row>
    <row r="58" spans="1:47" x14ac:dyDescent="0.3">
      <c r="A58" s="85" t="str">
        <f>_xlfn.XLOOKUP(B58,'Country codes &amp; Data sources'!G:G,'Country codes &amp; Data sources'!H:H,,0)</f>
        <v>Benin</v>
      </c>
      <c r="B58" s="85" t="s">
        <v>163</v>
      </c>
      <c r="C58" s="86">
        <v>10014078.499999996</v>
      </c>
      <c r="D58" s="85" t="s">
        <v>203</v>
      </c>
      <c r="E58" s="87">
        <v>0</v>
      </c>
      <c r="F58" s="88">
        <v>10308730.499999994</v>
      </c>
      <c r="G58" s="87">
        <v>0</v>
      </c>
      <c r="I58" s="87">
        <v>0</v>
      </c>
      <c r="K58" s="87">
        <v>0</v>
      </c>
      <c r="M58" s="87">
        <v>0</v>
      </c>
      <c r="O58" s="87">
        <v>0</v>
      </c>
      <c r="P58" s="88">
        <v>11940683.499999996</v>
      </c>
      <c r="Q58" s="87">
        <v>0</v>
      </c>
      <c r="R58" s="87">
        <f t="shared" si="0"/>
        <v>2623</v>
      </c>
      <c r="T58" s="87">
        <v>0</v>
      </c>
      <c r="V58" s="87">
        <v>0</v>
      </c>
      <c r="X58" s="87">
        <v>6809</v>
      </c>
      <c r="Y58" s="88">
        <v>13352864</v>
      </c>
      <c r="Z58" s="87">
        <v>0</v>
      </c>
      <c r="AA58" s="87">
        <v>2623</v>
      </c>
      <c r="AB58" s="89">
        <f t="shared" si="1"/>
        <v>0</v>
      </c>
      <c r="AC58" s="89">
        <f t="shared" si="2"/>
        <v>0</v>
      </c>
      <c r="AD58" s="89">
        <f t="shared" si="3"/>
        <v>6809</v>
      </c>
      <c r="AE58" s="90">
        <f t="shared" si="4"/>
        <v>0</v>
      </c>
      <c r="AF58" s="90" t="str">
        <f t="shared" si="5"/>
        <v/>
      </c>
      <c r="AG58" s="90">
        <f t="shared" si="6"/>
        <v>2623</v>
      </c>
      <c r="AH58" s="90" t="str">
        <f t="shared" si="7"/>
        <v>2018 (triag)</v>
      </c>
      <c r="AI58" s="90">
        <f t="shared" si="8"/>
        <v>6809</v>
      </c>
      <c r="AJ58" s="90">
        <f t="shared" si="9"/>
        <v>2021</v>
      </c>
      <c r="AK58" s="90" t="str">
        <f t="shared" si="10"/>
        <v/>
      </c>
      <c r="AL58" s="91">
        <f>IF(AK58="Adjust",(_xlfn.XLOOKUP(A58,'Adj factor'!A:A,'Adj factor'!I:I,,0)*AI58),'Master DataSheet'!AI58)</f>
        <v>6809</v>
      </c>
      <c r="AM58" s="91">
        <f t="shared" si="11"/>
        <v>6809</v>
      </c>
      <c r="AN58" s="92" t="str">
        <f t="shared" si="12"/>
        <v>Increasing</v>
      </c>
      <c r="AO58" s="93">
        <f>VLOOKUP(B58,'Growthrates source'!A$2:H$49,8,FALSE)</f>
        <v>5.0912180313375632E-2</v>
      </c>
      <c r="AP58" s="93">
        <f>VLOOKUP(B58,'Growthrates source'!A$2:I$49,9,FALSE)</f>
        <v>-3.8361793441239245E-2</v>
      </c>
      <c r="AQ58" s="86">
        <f t="shared" si="13"/>
        <v>2033.4986842297742</v>
      </c>
      <c r="AR58" s="86">
        <f t="shared" si="14"/>
        <v>2337.8537802335723</v>
      </c>
      <c r="AS58" s="94">
        <f t="shared" si="15"/>
        <v>0</v>
      </c>
      <c r="AT58" s="94">
        <f t="shared" si="16"/>
        <v>2.1966916717958407</v>
      </c>
      <c r="AU58" s="94">
        <f t="shared" si="17"/>
        <v>5.0992805738154754</v>
      </c>
    </row>
    <row r="59" spans="1:47" x14ac:dyDescent="0.3">
      <c r="A59" s="85" t="str">
        <f>_xlfn.XLOOKUP(B59,'Country codes &amp; Data sources'!G:G,'Country codes &amp; Data sources'!H:H,,0)</f>
        <v>Benin</v>
      </c>
      <c r="B59" s="85" t="s">
        <v>163</v>
      </c>
      <c r="C59" s="86">
        <v>10014078.499999996</v>
      </c>
      <c r="D59" s="85" t="s">
        <v>204</v>
      </c>
      <c r="E59" s="87">
        <v>0</v>
      </c>
      <c r="F59" s="88">
        <v>10308730.499999994</v>
      </c>
      <c r="G59" s="87">
        <v>0</v>
      </c>
      <c r="I59" s="87">
        <v>0</v>
      </c>
      <c r="K59" s="87">
        <v>0</v>
      </c>
      <c r="M59" s="87">
        <v>0</v>
      </c>
      <c r="O59" s="87">
        <v>0</v>
      </c>
      <c r="P59" s="88">
        <v>11940683.499999996</v>
      </c>
      <c r="Q59" s="87">
        <v>0</v>
      </c>
      <c r="R59" s="87">
        <f t="shared" si="0"/>
        <v>0</v>
      </c>
      <c r="T59" s="87">
        <v>0</v>
      </c>
      <c r="V59" s="87">
        <v>0</v>
      </c>
      <c r="X59" s="87">
        <v>0</v>
      </c>
      <c r="Y59" s="88">
        <v>13352864</v>
      </c>
      <c r="Z59" s="87">
        <v>0</v>
      </c>
      <c r="AA59" s="87">
        <v>0</v>
      </c>
      <c r="AB59" s="89">
        <f t="shared" si="1"/>
        <v>0</v>
      </c>
      <c r="AC59" s="89">
        <f t="shared" si="2"/>
        <v>0</v>
      </c>
      <c r="AD59" s="89">
        <f t="shared" si="3"/>
        <v>0</v>
      </c>
      <c r="AE59" s="90">
        <f t="shared" si="4"/>
        <v>0</v>
      </c>
      <c r="AF59" s="90" t="str">
        <f t="shared" si="5"/>
        <v/>
      </c>
      <c r="AG59" s="90">
        <f t="shared" si="6"/>
        <v>0</v>
      </c>
      <c r="AH59" s="90" t="str">
        <f t="shared" si="7"/>
        <v/>
      </c>
      <c r="AI59" s="90">
        <f t="shared" si="8"/>
        <v>0</v>
      </c>
      <c r="AJ59" s="90" t="str">
        <f t="shared" si="9"/>
        <v/>
      </c>
      <c r="AK59" s="90" t="str">
        <f t="shared" si="10"/>
        <v/>
      </c>
      <c r="AL59" s="91">
        <f>IF(AK59="Adjust",(_xlfn.XLOOKUP(A59,'Adj factor'!A:A,'Adj factor'!I:I,,0)*AI59),'Master DataSheet'!AI59)</f>
        <v>0</v>
      </c>
      <c r="AM59" s="91">
        <f t="shared" si="11"/>
        <v>0</v>
      </c>
      <c r="AN59" s="92" t="str">
        <f t="shared" si="12"/>
        <v>No change</v>
      </c>
      <c r="AO59" s="93">
        <f>VLOOKUP(B59,'Growthrates source'!A$2:H$49,8,FALSE)</f>
        <v>5.0912180313375632E-2</v>
      </c>
      <c r="AP59" s="93">
        <f>VLOOKUP(B59,'Growthrates source'!A$2:I$49,9,FALSE)</f>
        <v>-3.8361793441239245E-2</v>
      </c>
      <c r="AQ59" s="86">
        <f t="shared" si="13"/>
        <v>0</v>
      </c>
      <c r="AR59" s="86">
        <f t="shared" si="14"/>
        <v>0</v>
      </c>
      <c r="AS59" s="94">
        <f t="shared" si="15"/>
        <v>0</v>
      </c>
      <c r="AT59" s="94">
        <f t="shared" si="16"/>
        <v>0</v>
      </c>
      <c r="AU59" s="94">
        <f t="shared" si="17"/>
        <v>0</v>
      </c>
    </row>
    <row r="60" spans="1:47" x14ac:dyDescent="0.3">
      <c r="A60" s="85" t="str">
        <f>_xlfn.XLOOKUP(B60,'Country codes &amp; Data sources'!G:G,'Country codes &amp; Data sources'!H:H,,0)</f>
        <v>Benin</v>
      </c>
      <c r="B60" s="85" t="s">
        <v>163</v>
      </c>
      <c r="C60" s="86">
        <v>10014078.499999996</v>
      </c>
      <c r="D60" s="85" t="s">
        <v>205</v>
      </c>
      <c r="E60" s="87">
        <v>0</v>
      </c>
      <c r="F60" s="88">
        <v>10308730.499999994</v>
      </c>
      <c r="G60" s="87">
        <v>0</v>
      </c>
      <c r="I60" s="87">
        <v>0</v>
      </c>
      <c r="K60" s="87">
        <v>0</v>
      </c>
      <c r="M60" s="87">
        <v>0</v>
      </c>
      <c r="O60" s="87">
        <v>15</v>
      </c>
      <c r="P60" s="88">
        <v>11940683.499999996</v>
      </c>
      <c r="Q60" s="87">
        <v>0</v>
      </c>
      <c r="R60" s="87">
        <f t="shared" si="0"/>
        <v>0</v>
      </c>
      <c r="T60" s="87">
        <v>0</v>
      </c>
      <c r="V60" s="87">
        <v>0</v>
      </c>
      <c r="X60" s="87">
        <v>0</v>
      </c>
      <c r="Y60" s="88">
        <v>13352864</v>
      </c>
      <c r="Z60" s="87">
        <v>0</v>
      </c>
      <c r="AA60" s="87">
        <v>0</v>
      </c>
      <c r="AB60" s="89">
        <f t="shared" si="1"/>
        <v>0</v>
      </c>
      <c r="AC60" s="89">
        <f t="shared" si="2"/>
        <v>15</v>
      </c>
      <c r="AD60" s="89">
        <f t="shared" si="3"/>
        <v>0</v>
      </c>
      <c r="AE60" s="90">
        <f t="shared" si="4"/>
        <v>0</v>
      </c>
      <c r="AF60" s="90" t="str">
        <f t="shared" si="5"/>
        <v/>
      </c>
      <c r="AG60" s="90">
        <f t="shared" si="6"/>
        <v>15</v>
      </c>
      <c r="AH60" s="90">
        <f t="shared" si="7"/>
        <v>2017</v>
      </c>
      <c r="AI60" s="90">
        <f t="shared" si="8"/>
        <v>15</v>
      </c>
      <c r="AJ60" s="90">
        <f t="shared" si="9"/>
        <v>2017</v>
      </c>
      <c r="AK60" s="90" t="str">
        <f t="shared" si="10"/>
        <v/>
      </c>
      <c r="AL60" s="91">
        <f>IF(AK60="Adjust",(_xlfn.XLOOKUP(A60,'Adj factor'!A:A,'Adj factor'!I:I,,0)*AI60),'Master DataSheet'!AI60)</f>
        <v>15</v>
      </c>
      <c r="AM60" s="91">
        <f t="shared" si="11"/>
        <v>15</v>
      </c>
      <c r="AN60" s="92" t="str">
        <f t="shared" si="12"/>
        <v>No change</v>
      </c>
      <c r="AO60" s="93">
        <f>VLOOKUP(B60,'Growthrates source'!A$2:H$49,8,FALSE)</f>
        <v>5.0912180313375632E-2</v>
      </c>
      <c r="AP60" s="93">
        <f>VLOOKUP(B60,'Growthrates source'!A$2:I$49,9,FALSE)</f>
        <v>-3.8361793441239245E-2</v>
      </c>
      <c r="AQ60" s="86">
        <f t="shared" si="13"/>
        <v>0</v>
      </c>
      <c r="AR60" s="86">
        <f t="shared" si="14"/>
        <v>0</v>
      </c>
      <c r="AS60" s="94">
        <f t="shared" si="15"/>
        <v>0</v>
      </c>
      <c r="AT60" s="94">
        <f t="shared" si="16"/>
        <v>1.2562094958801985E-2</v>
      </c>
      <c r="AU60" s="94">
        <f t="shared" si="17"/>
        <v>1.123354510313293E-2</v>
      </c>
    </row>
    <row r="61" spans="1:47" x14ac:dyDescent="0.3">
      <c r="A61" s="85" t="str">
        <f>_xlfn.XLOOKUP(B61,'Country codes &amp; Data sources'!G:G,'Country codes &amp; Data sources'!H:H,,0)</f>
        <v>Benin</v>
      </c>
      <c r="B61" s="85" t="s">
        <v>163</v>
      </c>
      <c r="C61" s="86">
        <v>10014078.499999996</v>
      </c>
      <c r="D61" s="85" t="s">
        <v>133</v>
      </c>
      <c r="E61" s="87">
        <v>0</v>
      </c>
      <c r="F61" s="88">
        <v>10308730.499999994</v>
      </c>
      <c r="G61" s="87">
        <v>0</v>
      </c>
      <c r="I61" s="87">
        <v>0</v>
      </c>
      <c r="K61" s="87">
        <v>0</v>
      </c>
      <c r="M61" s="87">
        <v>0</v>
      </c>
      <c r="O61" s="87">
        <v>0</v>
      </c>
      <c r="P61" s="88">
        <v>11940683.499999996</v>
      </c>
      <c r="Q61" s="87">
        <v>668</v>
      </c>
      <c r="R61" s="87">
        <f t="shared" si="0"/>
        <v>668</v>
      </c>
      <c r="T61" s="87">
        <v>0</v>
      </c>
      <c r="V61" s="87">
        <v>0</v>
      </c>
      <c r="X61" s="87">
        <v>0</v>
      </c>
      <c r="Y61" s="88">
        <v>13352864</v>
      </c>
      <c r="Z61" s="87">
        <v>0</v>
      </c>
      <c r="AA61" s="87">
        <v>0</v>
      </c>
      <c r="AB61" s="89">
        <f t="shared" si="1"/>
        <v>0</v>
      </c>
      <c r="AC61" s="89">
        <f t="shared" si="2"/>
        <v>668</v>
      </c>
      <c r="AD61" s="89">
        <f t="shared" si="3"/>
        <v>0</v>
      </c>
      <c r="AE61" s="90">
        <f t="shared" si="4"/>
        <v>0</v>
      </c>
      <c r="AF61" s="90" t="str">
        <f t="shared" si="5"/>
        <v/>
      </c>
      <c r="AG61" s="90">
        <f t="shared" si="6"/>
        <v>668</v>
      </c>
      <c r="AH61" s="90">
        <f t="shared" si="7"/>
        <v>2018</v>
      </c>
      <c r="AI61" s="90">
        <f t="shared" si="8"/>
        <v>668</v>
      </c>
      <c r="AJ61" s="90">
        <f t="shared" si="9"/>
        <v>2018</v>
      </c>
      <c r="AK61" s="90" t="str">
        <f t="shared" si="10"/>
        <v/>
      </c>
      <c r="AL61" s="91">
        <f>IF(AK61="Adjust",(_xlfn.XLOOKUP(A61,'Adj factor'!A:A,'Adj factor'!I:I,,0)*AI61),'Master DataSheet'!AI61)</f>
        <v>668</v>
      </c>
      <c r="AM61" s="91">
        <f t="shared" si="11"/>
        <v>668</v>
      </c>
      <c r="AN61" s="92" t="str">
        <f t="shared" si="12"/>
        <v>No change</v>
      </c>
      <c r="AO61" s="93">
        <f>VLOOKUP(B61,'Growthrates source'!A$2:H$49,8,FALSE)</f>
        <v>5.0912180313375632E-2</v>
      </c>
      <c r="AP61" s="93">
        <f>VLOOKUP(B61,'Growthrates source'!A$2:I$49,9,FALSE)</f>
        <v>-3.8361793441239245E-2</v>
      </c>
      <c r="AQ61" s="86">
        <f t="shared" si="13"/>
        <v>0</v>
      </c>
      <c r="AR61" s="86">
        <f t="shared" si="14"/>
        <v>0</v>
      </c>
      <c r="AS61" s="94">
        <f t="shared" si="15"/>
        <v>0</v>
      </c>
      <c r="AT61" s="94">
        <f t="shared" si="16"/>
        <v>0.5594319621653151</v>
      </c>
      <c r="AU61" s="94">
        <f t="shared" si="17"/>
        <v>0.50026720859285323</v>
      </c>
    </row>
    <row r="62" spans="1:47" x14ac:dyDescent="0.3">
      <c r="A62" s="85" t="str">
        <f>_xlfn.XLOOKUP(B62,'Country codes &amp; Data sources'!G:G,'Country codes &amp; Data sources'!H:H,,0)</f>
        <v>Benin</v>
      </c>
      <c r="B62" s="85" t="s">
        <v>163</v>
      </c>
      <c r="C62" s="86">
        <v>10014078.499999996</v>
      </c>
      <c r="D62" s="85" t="s">
        <v>206</v>
      </c>
      <c r="E62" s="87">
        <v>0</v>
      </c>
      <c r="F62" s="88">
        <v>10308730.499999994</v>
      </c>
      <c r="G62" s="87">
        <v>0</v>
      </c>
      <c r="I62" s="87">
        <v>0</v>
      </c>
      <c r="K62" s="87">
        <v>0</v>
      </c>
      <c r="M62" s="87">
        <v>0</v>
      </c>
      <c r="O62" s="87">
        <v>0</v>
      </c>
      <c r="P62" s="88">
        <v>11940683.499999996</v>
      </c>
      <c r="Q62" s="87">
        <v>0</v>
      </c>
      <c r="R62" s="87">
        <f t="shared" si="0"/>
        <v>0</v>
      </c>
      <c r="T62" s="87">
        <v>0</v>
      </c>
      <c r="V62" s="87">
        <v>0</v>
      </c>
      <c r="X62" s="87">
        <v>0</v>
      </c>
      <c r="Y62" s="88">
        <v>13352864</v>
      </c>
      <c r="Z62" s="87">
        <v>0</v>
      </c>
      <c r="AA62" s="87">
        <v>0</v>
      </c>
      <c r="AB62" s="89">
        <f t="shared" si="1"/>
        <v>0</v>
      </c>
      <c r="AC62" s="89">
        <f t="shared" si="2"/>
        <v>0</v>
      </c>
      <c r="AD62" s="89">
        <f t="shared" si="3"/>
        <v>0</v>
      </c>
      <c r="AE62" s="90">
        <f t="shared" si="4"/>
        <v>0</v>
      </c>
      <c r="AF62" s="90" t="str">
        <f t="shared" si="5"/>
        <v/>
      </c>
      <c r="AG62" s="90">
        <f t="shared" si="6"/>
        <v>0</v>
      </c>
      <c r="AH62" s="90" t="str">
        <f t="shared" si="7"/>
        <v/>
      </c>
      <c r="AI62" s="90">
        <f t="shared" si="8"/>
        <v>0</v>
      </c>
      <c r="AJ62" s="90" t="str">
        <f t="shared" si="9"/>
        <v/>
      </c>
      <c r="AK62" s="90" t="str">
        <f t="shared" si="10"/>
        <v/>
      </c>
      <c r="AL62" s="91">
        <f>IF(AK62="Adjust",(_xlfn.XLOOKUP(A62,'Adj factor'!A:A,'Adj factor'!I:I,,0)*AI62),'Master DataSheet'!AI62)</f>
        <v>0</v>
      </c>
      <c r="AM62" s="91">
        <f t="shared" si="11"/>
        <v>0</v>
      </c>
      <c r="AN62" s="92" t="str">
        <f t="shared" si="12"/>
        <v>No change</v>
      </c>
      <c r="AO62" s="93">
        <f>VLOOKUP(B62,'Growthrates source'!A$2:H$49,8,FALSE)</f>
        <v>5.0912180313375632E-2</v>
      </c>
      <c r="AP62" s="93">
        <f>VLOOKUP(B62,'Growthrates source'!A$2:I$49,9,FALSE)</f>
        <v>-3.8361793441239245E-2</v>
      </c>
      <c r="AQ62" s="86">
        <f t="shared" si="13"/>
        <v>0</v>
      </c>
      <c r="AR62" s="86">
        <f t="shared" si="14"/>
        <v>0</v>
      </c>
      <c r="AS62" s="94">
        <f t="shared" si="15"/>
        <v>0</v>
      </c>
      <c r="AT62" s="94">
        <f t="shared" si="16"/>
        <v>0</v>
      </c>
      <c r="AU62" s="94">
        <f t="shared" si="17"/>
        <v>0</v>
      </c>
    </row>
    <row r="63" spans="1:47" x14ac:dyDescent="0.3">
      <c r="A63" s="85" t="str">
        <f>_xlfn.XLOOKUP(B63,'Country codes &amp; Data sources'!G:G,'Country codes &amp; Data sources'!H:H,,0)</f>
        <v>Benin</v>
      </c>
      <c r="B63" s="85" t="s">
        <v>163</v>
      </c>
      <c r="C63" s="86">
        <v>10014078.499999996</v>
      </c>
      <c r="D63" s="85" t="s">
        <v>136</v>
      </c>
      <c r="E63" s="87">
        <v>241</v>
      </c>
      <c r="F63" s="88">
        <v>10308730.499999994</v>
      </c>
      <c r="G63" s="87">
        <v>206</v>
      </c>
      <c r="I63" s="87">
        <v>0</v>
      </c>
      <c r="K63" s="87">
        <v>0</v>
      </c>
      <c r="M63" s="87">
        <v>234</v>
      </c>
      <c r="O63" s="87">
        <v>0</v>
      </c>
      <c r="P63" s="88">
        <v>11940683.499999996</v>
      </c>
      <c r="Q63" s="87">
        <v>137</v>
      </c>
      <c r="R63" s="87">
        <f t="shared" si="0"/>
        <v>137</v>
      </c>
      <c r="T63" s="87">
        <v>92</v>
      </c>
      <c r="V63" s="87">
        <v>0</v>
      </c>
      <c r="X63" s="87">
        <v>352</v>
      </c>
      <c r="Y63" s="88">
        <v>13352864</v>
      </c>
      <c r="Z63" s="87">
        <v>0</v>
      </c>
      <c r="AA63" s="87">
        <v>54</v>
      </c>
      <c r="AB63" s="89">
        <f t="shared" si="1"/>
        <v>241</v>
      </c>
      <c r="AC63" s="89">
        <f t="shared" si="2"/>
        <v>234</v>
      </c>
      <c r="AD63" s="89">
        <f t="shared" si="3"/>
        <v>352</v>
      </c>
      <c r="AE63" s="90">
        <f t="shared" si="4"/>
        <v>206</v>
      </c>
      <c r="AF63" s="90">
        <f t="shared" si="5"/>
        <v>2013</v>
      </c>
      <c r="AG63" s="90">
        <f t="shared" si="6"/>
        <v>137</v>
      </c>
      <c r="AH63" s="90">
        <f t="shared" si="7"/>
        <v>2018</v>
      </c>
      <c r="AI63" s="90">
        <f t="shared" si="8"/>
        <v>352</v>
      </c>
      <c r="AJ63" s="90">
        <f t="shared" si="9"/>
        <v>2021</v>
      </c>
      <c r="AK63" s="90" t="str">
        <f t="shared" si="10"/>
        <v/>
      </c>
      <c r="AL63" s="91">
        <f>IF(AK63="Adjust",(_xlfn.XLOOKUP(A63,'Adj factor'!A:A,'Adj factor'!I:I,,0)*AI63),'Master DataSheet'!AI63)</f>
        <v>352</v>
      </c>
      <c r="AM63" s="91">
        <f t="shared" si="11"/>
        <v>352</v>
      </c>
      <c r="AN63" s="92" t="str">
        <f t="shared" si="12"/>
        <v>Increasing</v>
      </c>
      <c r="AO63" s="93">
        <f>VLOOKUP(B63,'Growthrates source'!A$2:H$49,8,FALSE)</f>
        <v>5.0912180313375632E-2</v>
      </c>
      <c r="AP63" s="93">
        <f>VLOOKUP(B63,'Growthrates source'!A$2:I$49,9,FALSE)</f>
        <v>-3.8361793441239245E-2</v>
      </c>
      <c r="AQ63" s="86">
        <f t="shared" si="13"/>
        <v>41.863869214032718</v>
      </c>
      <c r="AR63" s="86">
        <f t="shared" si="14"/>
        <v>48.129662269391119</v>
      </c>
      <c r="AS63" s="94">
        <f t="shared" si="15"/>
        <v>0.19983061929885557</v>
      </c>
      <c r="AT63" s="94">
        <f t="shared" si="16"/>
        <v>0.1147338006237248</v>
      </c>
      <c r="AU63" s="94">
        <f t="shared" si="17"/>
        <v>0.26361385842018609</v>
      </c>
    </row>
    <row r="64" spans="1:47" x14ac:dyDescent="0.3">
      <c r="A64" s="85" t="str">
        <f>_xlfn.XLOOKUP(B64,'Country codes &amp; Data sources'!G:G,'Country codes &amp; Data sources'!H:H,,0)</f>
        <v>Benin</v>
      </c>
      <c r="B64" s="85" t="s">
        <v>163</v>
      </c>
      <c r="C64" s="86">
        <v>10014078.499999996</v>
      </c>
      <c r="D64" s="85" t="s">
        <v>207</v>
      </c>
      <c r="E64" s="87">
        <v>0</v>
      </c>
      <c r="F64" s="88">
        <v>10308730.499999994</v>
      </c>
      <c r="G64" s="87">
        <v>0</v>
      </c>
      <c r="I64" s="87">
        <v>0</v>
      </c>
      <c r="K64" s="87">
        <v>0</v>
      </c>
      <c r="M64" s="87">
        <v>0</v>
      </c>
      <c r="O64" s="87">
        <v>0</v>
      </c>
      <c r="P64" s="88">
        <v>11940683.499999996</v>
      </c>
      <c r="Q64" s="87">
        <v>0</v>
      </c>
      <c r="R64" s="87">
        <f t="shared" si="0"/>
        <v>0</v>
      </c>
      <c r="T64" s="87">
        <v>0</v>
      </c>
      <c r="V64" s="87">
        <v>0</v>
      </c>
      <c r="X64" s="87">
        <v>0</v>
      </c>
      <c r="Y64" s="88">
        <v>13352864</v>
      </c>
      <c r="Z64" s="87">
        <v>0</v>
      </c>
      <c r="AA64" s="87">
        <v>0</v>
      </c>
      <c r="AB64" s="89">
        <f t="shared" si="1"/>
        <v>0</v>
      </c>
      <c r="AC64" s="89">
        <f t="shared" si="2"/>
        <v>0</v>
      </c>
      <c r="AD64" s="89">
        <f t="shared" si="3"/>
        <v>0</v>
      </c>
      <c r="AE64" s="90">
        <f t="shared" si="4"/>
        <v>0</v>
      </c>
      <c r="AF64" s="90" t="str">
        <f t="shared" si="5"/>
        <v/>
      </c>
      <c r="AG64" s="90">
        <f t="shared" si="6"/>
        <v>0</v>
      </c>
      <c r="AH64" s="90" t="str">
        <f t="shared" si="7"/>
        <v/>
      </c>
      <c r="AI64" s="90">
        <f t="shared" si="8"/>
        <v>0</v>
      </c>
      <c r="AJ64" s="90" t="str">
        <f t="shared" si="9"/>
        <v/>
      </c>
      <c r="AK64" s="90" t="str">
        <f t="shared" si="10"/>
        <v/>
      </c>
      <c r="AL64" s="91">
        <f>IF(AK64="Adjust",(_xlfn.XLOOKUP(A64,'Adj factor'!A:A,'Adj factor'!I:I,,0)*AI64),'Master DataSheet'!AI64)</f>
        <v>0</v>
      </c>
      <c r="AM64" s="91">
        <f t="shared" si="11"/>
        <v>0</v>
      </c>
      <c r="AN64" s="92" t="str">
        <f t="shared" si="12"/>
        <v>No change</v>
      </c>
      <c r="AO64" s="93">
        <f>VLOOKUP(B64,'Growthrates source'!A$2:H$49,8,FALSE)</f>
        <v>5.0912180313375632E-2</v>
      </c>
      <c r="AP64" s="93">
        <f>VLOOKUP(B64,'Growthrates source'!A$2:I$49,9,FALSE)</f>
        <v>-3.8361793441239245E-2</v>
      </c>
      <c r="AQ64" s="86">
        <f t="shared" si="13"/>
        <v>0</v>
      </c>
      <c r="AR64" s="86">
        <f t="shared" si="14"/>
        <v>0</v>
      </c>
      <c r="AS64" s="94">
        <f t="shared" si="15"/>
        <v>0</v>
      </c>
      <c r="AT64" s="94">
        <f t="shared" si="16"/>
        <v>0</v>
      </c>
      <c r="AU64" s="94">
        <f t="shared" si="17"/>
        <v>0</v>
      </c>
    </row>
    <row r="65" spans="1:47" x14ac:dyDescent="0.3">
      <c r="A65" s="85" t="str">
        <f>_xlfn.XLOOKUP(B65,'Country codes &amp; Data sources'!G:G,'Country codes &amp; Data sources'!H:H,,0)</f>
        <v>Benin</v>
      </c>
      <c r="B65" s="85" t="s">
        <v>163</v>
      </c>
      <c r="C65" s="86">
        <v>10014078.499999996</v>
      </c>
      <c r="D65" s="85" t="s">
        <v>141</v>
      </c>
      <c r="E65" s="87">
        <v>0</v>
      </c>
      <c r="F65" s="88">
        <v>10308730.499999994</v>
      </c>
      <c r="G65" s="87">
        <v>0</v>
      </c>
      <c r="I65" s="87">
        <v>0</v>
      </c>
      <c r="K65" s="87">
        <v>0</v>
      </c>
      <c r="M65" s="87">
        <v>0</v>
      </c>
      <c r="O65" s="87">
        <v>0</v>
      </c>
      <c r="P65" s="88">
        <v>11940683.499999996</v>
      </c>
      <c r="Q65" s="87">
        <v>0</v>
      </c>
      <c r="R65" s="87">
        <f t="shared" si="0"/>
        <v>0</v>
      </c>
      <c r="T65" s="87">
        <v>0</v>
      </c>
      <c r="V65" s="87">
        <v>0</v>
      </c>
      <c r="X65" s="87">
        <v>0</v>
      </c>
      <c r="Y65" s="88">
        <v>13352864</v>
      </c>
      <c r="Z65" s="87">
        <v>0</v>
      </c>
      <c r="AA65" s="87">
        <v>0</v>
      </c>
      <c r="AB65" s="89">
        <f t="shared" si="1"/>
        <v>0</v>
      </c>
      <c r="AC65" s="89">
        <f t="shared" si="2"/>
        <v>0</v>
      </c>
      <c r="AD65" s="89">
        <f t="shared" si="3"/>
        <v>0</v>
      </c>
      <c r="AE65" s="90">
        <f t="shared" si="4"/>
        <v>0</v>
      </c>
      <c r="AF65" s="90" t="str">
        <f t="shared" si="5"/>
        <v/>
      </c>
      <c r="AG65" s="90">
        <f t="shared" si="6"/>
        <v>0</v>
      </c>
      <c r="AH65" s="90" t="str">
        <f t="shared" si="7"/>
        <v/>
      </c>
      <c r="AI65" s="90">
        <f t="shared" si="8"/>
        <v>0</v>
      </c>
      <c r="AJ65" s="90" t="str">
        <f t="shared" si="9"/>
        <v/>
      </c>
      <c r="AK65" s="90" t="str">
        <f t="shared" si="10"/>
        <v/>
      </c>
      <c r="AL65" s="91">
        <f>IF(AK65="Adjust",(_xlfn.XLOOKUP(A65,'Adj factor'!A:A,'Adj factor'!I:I,,0)*AI65),'Master DataSheet'!AI65)</f>
        <v>0</v>
      </c>
      <c r="AM65" s="91">
        <f t="shared" si="11"/>
        <v>0</v>
      </c>
      <c r="AN65" s="92" t="str">
        <f t="shared" si="12"/>
        <v>No change</v>
      </c>
      <c r="AO65" s="93">
        <f>VLOOKUP(B65,'Growthrates source'!A$2:H$49,8,FALSE)</f>
        <v>5.0912180313375632E-2</v>
      </c>
      <c r="AP65" s="93">
        <f>VLOOKUP(B65,'Growthrates source'!A$2:I$49,9,FALSE)</f>
        <v>-3.8361793441239245E-2</v>
      </c>
      <c r="AQ65" s="86">
        <f t="shared" si="13"/>
        <v>0</v>
      </c>
      <c r="AR65" s="86">
        <f t="shared" si="14"/>
        <v>0</v>
      </c>
      <c r="AS65" s="94">
        <f t="shared" si="15"/>
        <v>0</v>
      </c>
      <c r="AT65" s="94">
        <f t="shared" si="16"/>
        <v>0</v>
      </c>
      <c r="AU65" s="94">
        <f t="shared" si="17"/>
        <v>0</v>
      </c>
    </row>
    <row r="66" spans="1:47" x14ac:dyDescent="0.3">
      <c r="A66" s="85" t="str">
        <f>_xlfn.XLOOKUP(B66,'Country codes &amp; Data sources'!G:G,'Country codes &amp; Data sources'!H:H,,0)</f>
        <v>Benin</v>
      </c>
      <c r="B66" s="85" t="s">
        <v>163</v>
      </c>
      <c r="C66" s="86">
        <v>10014078.499999996</v>
      </c>
      <c r="D66" s="85" t="s">
        <v>208</v>
      </c>
      <c r="E66" s="87">
        <v>0</v>
      </c>
      <c r="F66" s="88">
        <v>10308730.499999994</v>
      </c>
      <c r="G66" s="87">
        <v>0</v>
      </c>
      <c r="I66" s="87">
        <v>0</v>
      </c>
      <c r="K66" s="87">
        <v>0</v>
      </c>
      <c r="M66" s="87">
        <v>0</v>
      </c>
      <c r="O66" s="87">
        <v>0</v>
      </c>
      <c r="P66" s="88">
        <v>11940683.499999996</v>
      </c>
      <c r="Q66" s="87">
        <v>0</v>
      </c>
      <c r="R66" s="87">
        <f t="shared" si="0"/>
        <v>156</v>
      </c>
      <c r="T66" s="87">
        <v>0</v>
      </c>
      <c r="V66" s="87">
        <v>0</v>
      </c>
      <c r="X66" s="87">
        <v>0</v>
      </c>
      <c r="Y66" s="88">
        <v>13352864</v>
      </c>
      <c r="Z66" s="87">
        <v>0</v>
      </c>
      <c r="AA66" s="87">
        <v>156</v>
      </c>
      <c r="AB66" s="89">
        <f t="shared" si="1"/>
        <v>0</v>
      </c>
      <c r="AC66" s="89">
        <f t="shared" si="2"/>
        <v>0</v>
      </c>
      <c r="AD66" s="89">
        <f t="shared" si="3"/>
        <v>0</v>
      </c>
      <c r="AE66" s="90">
        <f t="shared" si="4"/>
        <v>0</v>
      </c>
      <c r="AF66" s="90" t="str">
        <f t="shared" si="5"/>
        <v/>
      </c>
      <c r="AG66" s="90">
        <f t="shared" si="6"/>
        <v>156</v>
      </c>
      <c r="AH66" s="90" t="str">
        <f t="shared" si="7"/>
        <v>2018 (triag)</v>
      </c>
      <c r="AI66" s="90">
        <f t="shared" si="8"/>
        <v>156</v>
      </c>
      <c r="AJ66" s="90" t="str">
        <f t="shared" si="9"/>
        <v>2018 (triag)</v>
      </c>
      <c r="AK66" s="90" t="str">
        <f t="shared" si="10"/>
        <v/>
      </c>
      <c r="AL66" s="91">
        <f>IF(AK66="Adjust",(_xlfn.XLOOKUP(A66,'Adj factor'!A:A,'Adj factor'!I:I,,0)*AI66),'Master DataSheet'!AI66)</f>
        <v>156</v>
      </c>
      <c r="AM66" s="91">
        <f t="shared" si="11"/>
        <v>156</v>
      </c>
      <c r="AN66" s="92" t="str">
        <f t="shared" si="12"/>
        <v>No change</v>
      </c>
      <c r="AO66" s="93">
        <f>VLOOKUP(B66,'Growthrates source'!A$2:H$49,8,FALSE)</f>
        <v>5.0912180313375632E-2</v>
      </c>
      <c r="AP66" s="93">
        <f>VLOOKUP(B66,'Growthrates source'!A$2:I$49,9,FALSE)</f>
        <v>-3.8361793441239245E-2</v>
      </c>
      <c r="AQ66" s="86">
        <f t="shared" si="13"/>
        <v>120.94006661831673</v>
      </c>
      <c r="AR66" s="86">
        <f t="shared" si="14"/>
        <v>139.04124655601879</v>
      </c>
      <c r="AS66" s="94">
        <f t="shared" si="15"/>
        <v>0</v>
      </c>
      <c r="AT66" s="94">
        <f t="shared" si="16"/>
        <v>0.13064578757154066</v>
      </c>
      <c r="AU66" s="94">
        <f t="shared" si="17"/>
        <v>0.11682886907258248</v>
      </c>
    </row>
    <row r="67" spans="1:47" x14ac:dyDescent="0.3">
      <c r="A67" s="85" t="str">
        <f>_xlfn.XLOOKUP(B67,'Country codes &amp; Data sources'!G:G,'Country codes &amp; Data sources'!H:H,,0)</f>
        <v>Benin</v>
      </c>
      <c r="B67" s="85" t="s">
        <v>163</v>
      </c>
      <c r="C67" s="86">
        <v>10014078.499999996</v>
      </c>
      <c r="D67" s="85" t="s">
        <v>209</v>
      </c>
      <c r="E67" s="87">
        <v>0</v>
      </c>
      <c r="F67" s="88">
        <v>10308730.499999994</v>
      </c>
      <c r="G67" s="87">
        <v>0</v>
      </c>
      <c r="I67" s="87">
        <v>0</v>
      </c>
      <c r="K67" s="87">
        <v>0</v>
      </c>
      <c r="M67" s="87">
        <v>0</v>
      </c>
      <c r="O67" s="87">
        <v>0</v>
      </c>
      <c r="P67" s="88">
        <v>11940683.499999996</v>
      </c>
      <c r="Q67" s="87">
        <v>0</v>
      </c>
      <c r="R67" s="87">
        <f t="shared" ref="R67:R130" si="18">MAX(Q67,AA67)</f>
        <v>1994</v>
      </c>
      <c r="T67" s="87">
        <v>0</v>
      </c>
      <c r="V67" s="87">
        <v>0</v>
      </c>
      <c r="X67" s="87">
        <v>0</v>
      </c>
      <c r="Y67" s="88">
        <v>13352864</v>
      </c>
      <c r="Z67" s="87">
        <v>0</v>
      </c>
      <c r="AA67" s="87">
        <v>1994</v>
      </c>
      <c r="AB67" s="89">
        <f t="shared" ref="AB67:AB130" si="19">MAX(G67,E67,I67,K67)</f>
        <v>0</v>
      </c>
      <c r="AC67" s="89">
        <f t="shared" ref="AC67:AC130" si="20">MAX(M67,O67,Q67,T67)</f>
        <v>0</v>
      </c>
      <c r="AD67" s="89">
        <f t="shared" ref="AD67:AD130" si="21">MAX(V67,X67,Z67)</f>
        <v>0</v>
      </c>
      <c r="AE67" s="90">
        <f t="shared" ref="AE67:AE130" si="22">IF(G67&gt;0,G67,IF(E67&gt;0,E67,IF(I67&gt;0,I67,K67)))</f>
        <v>0</v>
      </c>
      <c r="AF67" s="90" t="str">
        <f t="shared" ref="AF67:AF130" si="23">IF(AE67&gt;0,_xlfn.XLOOKUP(AE67,$B67:$K67,$B$1:$K$1,,0),"")</f>
        <v/>
      </c>
      <c r="AG67" s="90">
        <f t="shared" ref="AG67:AG130" si="24">IF(R67&gt;0,R67,IF(O67&gt;0,O67,T67))</f>
        <v>1994</v>
      </c>
      <c r="AH67" s="90" t="str">
        <f t="shared" ref="AH67:AH130" si="25">IF(AG67&gt;0,_xlfn.XLOOKUP(AG67,$L67:$T67,$L$1:$T$1,,0),"")</f>
        <v>2018 (triag)</v>
      </c>
      <c r="AI67" s="90">
        <f t="shared" ref="AI67:AI130" si="26">IF((IF(Z67&gt;0,Z67,IF(X67&gt;0,X67,IF(V67&gt;0,V67,T67))))=0,AG67,IF(Z67&gt;0,Z67,IF(X67&gt;0,X67,IF(V67&gt;0,V67,T67))))</f>
        <v>1994</v>
      </c>
      <c r="AJ67" s="90" t="str">
        <f t="shared" ref="AJ67:AJ130" si="27">IFERROR(IF(AI67&gt;0,_xlfn.XLOOKUP(AI67,$V67:$Z67,$V$1:$Z$1,,0),""),AH67)</f>
        <v>2018 (triag)</v>
      </c>
      <c r="AK67" s="90" t="str">
        <f t="shared" ref="AK67:AK130" si="28">IF(AI67&lt;AG67,"Adjust","")</f>
        <v/>
      </c>
      <c r="AL67" s="91">
        <f>IF(AK67="Adjust",(_xlfn.XLOOKUP(A67,'Adj factor'!A:A,'Adj factor'!I:I,,0)*AI67),'Master DataSheet'!AI67)</f>
        <v>1994</v>
      </c>
      <c r="AM67" s="91">
        <f t="shared" ref="AM67:AM130" si="29">IF(AL67&lt;AG67,AG67,AL67)</f>
        <v>1994</v>
      </c>
      <c r="AN67" s="92" t="str">
        <f t="shared" ref="AN67:AN130" si="30">IF(AL67&gt;AG67,"Increasing",IF(AL67&lt;AG67,"Decreasing","No change"))</f>
        <v>No change</v>
      </c>
      <c r="AO67" s="93">
        <f>VLOOKUP(B67,'Growthrates source'!A$2:H$49,8,FALSE)</f>
        <v>5.0912180313375632E-2</v>
      </c>
      <c r="AP67" s="93">
        <f>VLOOKUP(B67,'Growthrates source'!A$2:I$49,9,FALSE)</f>
        <v>-3.8361793441239245E-2</v>
      </c>
      <c r="AQ67" s="86">
        <f t="shared" ref="AQ67:AQ130" si="31">AA67/(EXP(AO67*5))</f>
        <v>1545.8621335700229</v>
      </c>
      <c r="AR67" s="86">
        <f t="shared" ref="AR67:AR130" si="32">AA67*EXP(AP67*3)</f>
        <v>1777.2323437993684</v>
      </c>
      <c r="AS67" s="94">
        <f t="shared" ref="AS67:AS130" si="33">(AE67*10000)/F67</f>
        <v>0</v>
      </c>
      <c r="AT67" s="94">
        <f t="shared" ref="AT67:AT130" si="34">(AG67*10000)/P67</f>
        <v>1.6699211565234107</v>
      </c>
      <c r="AU67" s="94">
        <f t="shared" ref="AU67:AU130" si="35">(AM67*10000)/Y67</f>
        <v>1.4933125957098043</v>
      </c>
    </row>
    <row r="68" spans="1:47" x14ac:dyDescent="0.3">
      <c r="A68" s="85" t="str">
        <f>_xlfn.XLOOKUP(B68,'Country codes &amp; Data sources'!G:G,'Country codes &amp; Data sources'!H:H,,0)</f>
        <v>Benin</v>
      </c>
      <c r="B68" s="85" t="s">
        <v>163</v>
      </c>
      <c r="C68" s="86">
        <v>10014078.499999996</v>
      </c>
      <c r="D68" s="85" t="s">
        <v>134</v>
      </c>
      <c r="E68" s="87">
        <v>845</v>
      </c>
      <c r="F68" s="88">
        <v>10308730.499999994</v>
      </c>
      <c r="G68" s="87">
        <v>830</v>
      </c>
      <c r="I68" s="87">
        <v>0</v>
      </c>
      <c r="K68" s="87">
        <v>0</v>
      </c>
      <c r="M68" s="87">
        <v>1166</v>
      </c>
      <c r="O68" s="87">
        <v>0</v>
      </c>
      <c r="P68" s="88">
        <v>11940683.499999996</v>
      </c>
      <c r="Q68" s="87">
        <v>0</v>
      </c>
      <c r="R68" s="87">
        <f t="shared" si="18"/>
        <v>241</v>
      </c>
      <c r="T68" s="87">
        <v>0</v>
      </c>
      <c r="V68" s="87">
        <v>0</v>
      </c>
      <c r="X68" s="87">
        <v>1744</v>
      </c>
      <c r="Y68" s="88">
        <v>13352864</v>
      </c>
      <c r="Z68" s="87">
        <v>1602</v>
      </c>
      <c r="AA68" s="87">
        <v>241</v>
      </c>
      <c r="AB68" s="89">
        <f t="shared" si="19"/>
        <v>845</v>
      </c>
      <c r="AC68" s="89">
        <f t="shared" si="20"/>
        <v>1166</v>
      </c>
      <c r="AD68" s="89">
        <f t="shared" si="21"/>
        <v>1744</v>
      </c>
      <c r="AE68" s="90">
        <f t="shared" si="22"/>
        <v>830</v>
      </c>
      <c r="AF68" s="90">
        <f t="shared" si="23"/>
        <v>2013</v>
      </c>
      <c r="AG68" s="90">
        <f t="shared" si="24"/>
        <v>241</v>
      </c>
      <c r="AH68" s="90" t="str">
        <f t="shared" si="25"/>
        <v>2018 (triag)</v>
      </c>
      <c r="AI68" s="90">
        <f t="shared" si="26"/>
        <v>1602</v>
      </c>
      <c r="AJ68" s="90">
        <f t="shared" si="27"/>
        <v>2022</v>
      </c>
      <c r="AK68" s="90" t="str">
        <f t="shared" si="28"/>
        <v/>
      </c>
      <c r="AL68" s="91">
        <f>IF(AK68="Adjust",(_xlfn.XLOOKUP(A68,'Adj factor'!A:A,'Adj factor'!I:I,,0)*AI68),'Master DataSheet'!AI68)</f>
        <v>1602</v>
      </c>
      <c r="AM68" s="91">
        <f t="shared" si="29"/>
        <v>1602</v>
      </c>
      <c r="AN68" s="92" t="str">
        <f t="shared" si="30"/>
        <v>Increasing</v>
      </c>
      <c r="AO68" s="93">
        <f>VLOOKUP(B68,'Growthrates source'!A$2:H$49,8,FALSE)</f>
        <v>5.0912180313375632E-2</v>
      </c>
      <c r="AP68" s="93">
        <f>VLOOKUP(B68,'Growthrates source'!A$2:I$49,9,FALSE)</f>
        <v>-3.8361793441239245E-2</v>
      </c>
      <c r="AQ68" s="86">
        <f t="shared" si="31"/>
        <v>186.83689778855342</v>
      </c>
      <c r="AR68" s="86">
        <f t="shared" si="32"/>
        <v>214.8009001282085</v>
      </c>
      <c r="AS68" s="94">
        <f t="shared" si="33"/>
        <v>0.80514278649538895</v>
      </c>
      <c r="AT68" s="94">
        <f t="shared" si="34"/>
        <v>0.20183099233808524</v>
      </c>
      <c r="AU68" s="94">
        <f t="shared" si="35"/>
        <v>1.1997426170145971</v>
      </c>
    </row>
    <row r="69" spans="1:47" x14ac:dyDescent="0.3">
      <c r="A69" s="85" t="str">
        <f>_xlfn.XLOOKUP(B69,'Country codes &amp; Data sources'!G:G,'Country codes &amp; Data sources'!H:H,,0)</f>
        <v>Benin</v>
      </c>
      <c r="B69" s="85" t="s">
        <v>163</v>
      </c>
      <c r="C69" s="86">
        <v>10014078.499999996</v>
      </c>
      <c r="D69" s="85" t="s">
        <v>142</v>
      </c>
      <c r="E69" s="87">
        <v>0</v>
      </c>
      <c r="F69" s="88">
        <v>10308730.499999994</v>
      </c>
      <c r="G69" s="87">
        <v>0</v>
      </c>
      <c r="I69" s="87">
        <v>0</v>
      </c>
      <c r="K69" s="87">
        <v>0</v>
      </c>
      <c r="M69" s="87">
        <v>0</v>
      </c>
      <c r="O69" s="87">
        <v>0</v>
      </c>
      <c r="P69" s="88">
        <v>11940683.499999996</v>
      </c>
      <c r="Q69" s="87">
        <v>5086</v>
      </c>
      <c r="R69" s="87">
        <f t="shared" si="18"/>
        <v>5086</v>
      </c>
      <c r="T69" s="87">
        <v>0</v>
      </c>
      <c r="V69" s="87">
        <v>0</v>
      </c>
      <c r="X69" s="87">
        <v>382</v>
      </c>
      <c r="Y69" s="88">
        <v>13352864</v>
      </c>
      <c r="Z69" s="87">
        <v>382</v>
      </c>
      <c r="AA69" s="87">
        <v>146</v>
      </c>
      <c r="AB69" s="89">
        <f t="shared" si="19"/>
        <v>0</v>
      </c>
      <c r="AC69" s="89">
        <f t="shared" si="20"/>
        <v>5086</v>
      </c>
      <c r="AD69" s="89">
        <f t="shared" si="21"/>
        <v>382</v>
      </c>
      <c r="AE69" s="90">
        <f t="shared" si="22"/>
        <v>0</v>
      </c>
      <c r="AF69" s="90" t="str">
        <f t="shared" si="23"/>
        <v/>
      </c>
      <c r="AG69" s="90">
        <f t="shared" si="24"/>
        <v>5086</v>
      </c>
      <c r="AH69" s="90">
        <f t="shared" si="25"/>
        <v>2018</v>
      </c>
      <c r="AI69" s="90">
        <f t="shared" si="26"/>
        <v>382</v>
      </c>
      <c r="AJ69" s="90">
        <f t="shared" si="27"/>
        <v>2021</v>
      </c>
      <c r="AK69" s="90" t="str">
        <f t="shared" si="28"/>
        <v>Adjust</v>
      </c>
      <c r="AL69" s="91">
        <f>IF(AK69="Adjust",(_xlfn.XLOOKUP(A69,'Adj factor'!A:A,'Adj factor'!I:I,,0)*AI69),'Master DataSheet'!AI69)</f>
        <v>475.9367826904986</v>
      </c>
      <c r="AM69" s="91">
        <f t="shared" si="29"/>
        <v>5086</v>
      </c>
      <c r="AN69" s="92" t="str">
        <f t="shared" si="30"/>
        <v>Decreasing</v>
      </c>
      <c r="AO69" s="93">
        <f>VLOOKUP(B69,'Growthrates source'!A$2:H$49,8,FALSE)</f>
        <v>5.0912180313375632E-2</v>
      </c>
      <c r="AP69" s="93">
        <f>VLOOKUP(B69,'Growthrates source'!A$2:I$49,9,FALSE)</f>
        <v>-3.8361793441239245E-2</v>
      </c>
      <c r="AQ69" s="86">
        <f t="shared" si="31"/>
        <v>113.18749824534771</v>
      </c>
      <c r="AR69" s="86">
        <f t="shared" si="32"/>
        <v>130.12834613576118</v>
      </c>
      <c r="AS69" s="94">
        <f t="shared" si="33"/>
        <v>0</v>
      </c>
      <c r="AT69" s="94">
        <f t="shared" si="34"/>
        <v>4.2593876640311263</v>
      </c>
      <c r="AU69" s="94">
        <f t="shared" si="35"/>
        <v>3.8089206929689392</v>
      </c>
    </row>
    <row r="70" spans="1:47" x14ac:dyDescent="0.3">
      <c r="A70" s="85" t="str">
        <f>_xlfn.XLOOKUP(B70,'Country codes &amp; Data sources'!G:G,'Country codes &amp; Data sources'!H:H,,0)</f>
        <v>Benin</v>
      </c>
      <c r="B70" s="85" t="s">
        <v>163</v>
      </c>
      <c r="C70" s="86">
        <v>10014078.499999996</v>
      </c>
      <c r="D70" s="85" t="s">
        <v>83</v>
      </c>
      <c r="E70" s="87">
        <v>0</v>
      </c>
      <c r="F70" s="88">
        <v>10308730.499999994</v>
      </c>
      <c r="G70" s="87">
        <v>0</v>
      </c>
      <c r="I70" s="87">
        <v>0</v>
      </c>
      <c r="K70" s="87">
        <v>0</v>
      </c>
      <c r="M70" s="87">
        <v>0</v>
      </c>
      <c r="O70" s="87">
        <v>0</v>
      </c>
      <c r="P70" s="88">
        <v>11940683.499999996</v>
      </c>
      <c r="Q70" s="87">
        <v>58</v>
      </c>
      <c r="R70" s="87">
        <f t="shared" si="18"/>
        <v>58</v>
      </c>
      <c r="T70" s="87">
        <v>0</v>
      </c>
      <c r="V70" s="87">
        <v>0</v>
      </c>
      <c r="X70" s="87">
        <v>187</v>
      </c>
      <c r="Y70" s="88">
        <v>13352864</v>
      </c>
      <c r="Z70" s="87">
        <v>187</v>
      </c>
      <c r="AA70" s="87">
        <v>0</v>
      </c>
      <c r="AB70" s="89">
        <f t="shared" si="19"/>
        <v>0</v>
      </c>
      <c r="AC70" s="89">
        <f t="shared" si="20"/>
        <v>58</v>
      </c>
      <c r="AD70" s="89">
        <f t="shared" si="21"/>
        <v>187</v>
      </c>
      <c r="AE70" s="90">
        <f t="shared" si="22"/>
        <v>0</v>
      </c>
      <c r="AF70" s="90" t="str">
        <f t="shared" si="23"/>
        <v/>
      </c>
      <c r="AG70" s="90">
        <f t="shared" si="24"/>
        <v>58</v>
      </c>
      <c r="AH70" s="90">
        <f t="shared" si="25"/>
        <v>2018</v>
      </c>
      <c r="AI70" s="90">
        <f t="shared" si="26"/>
        <v>187</v>
      </c>
      <c r="AJ70" s="90">
        <f t="shared" si="27"/>
        <v>2021</v>
      </c>
      <c r="AK70" s="90" t="str">
        <f t="shared" si="28"/>
        <v/>
      </c>
      <c r="AL70" s="91">
        <f>IF(AK70="Adjust",(_xlfn.XLOOKUP(A70,'Adj factor'!A:A,'Adj factor'!I:I,,0)*AI70),'Master DataSheet'!AI70)</f>
        <v>187</v>
      </c>
      <c r="AM70" s="91">
        <f t="shared" si="29"/>
        <v>187</v>
      </c>
      <c r="AN70" s="92" t="str">
        <f t="shared" si="30"/>
        <v>Increasing</v>
      </c>
      <c r="AO70" s="93">
        <f>VLOOKUP(B70,'Growthrates source'!A$2:H$49,8,FALSE)</f>
        <v>5.0912180313375632E-2</v>
      </c>
      <c r="AP70" s="93">
        <f>VLOOKUP(B70,'Growthrates source'!A$2:I$49,9,FALSE)</f>
        <v>-3.8361793441239245E-2</v>
      </c>
      <c r="AQ70" s="86">
        <f t="shared" si="31"/>
        <v>0</v>
      </c>
      <c r="AR70" s="86">
        <f t="shared" si="32"/>
        <v>0</v>
      </c>
      <c r="AS70" s="94">
        <f t="shared" si="33"/>
        <v>0</v>
      </c>
      <c r="AT70" s="94">
        <f t="shared" si="34"/>
        <v>4.8573433840701008E-2</v>
      </c>
      <c r="AU70" s="94">
        <f t="shared" si="35"/>
        <v>0.14004486228572388</v>
      </c>
    </row>
    <row r="71" spans="1:47" x14ac:dyDescent="0.3">
      <c r="A71" s="85" t="str">
        <f>_xlfn.XLOOKUP(B71,'Country codes &amp; Data sources'!G:G,'Country codes &amp; Data sources'!H:H,,0)</f>
        <v>Benin</v>
      </c>
      <c r="B71" s="85" t="s">
        <v>163</v>
      </c>
      <c r="C71" s="86">
        <v>10014078.499999996</v>
      </c>
      <c r="D71" s="85" t="s">
        <v>84</v>
      </c>
      <c r="E71" s="87">
        <v>0</v>
      </c>
      <c r="F71" s="88">
        <v>10308730.499999994</v>
      </c>
      <c r="G71" s="87">
        <v>0</v>
      </c>
      <c r="I71" s="87">
        <v>0</v>
      </c>
      <c r="K71" s="87">
        <v>0</v>
      </c>
      <c r="M71" s="87">
        <v>0</v>
      </c>
      <c r="O71" s="87">
        <v>0</v>
      </c>
      <c r="P71" s="88">
        <v>11940683.499999996</v>
      </c>
      <c r="Q71" s="87">
        <v>102</v>
      </c>
      <c r="R71" s="87">
        <f t="shared" si="18"/>
        <v>102</v>
      </c>
      <c r="T71" s="87">
        <v>0</v>
      </c>
      <c r="V71" s="87">
        <v>0</v>
      </c>
      <c r="X71" s="87">
        <v>0</v>
      </c>
      <c r="Y71" s="88">
        <v>13352864</v>
      </c>
      <c r="Z71" s="87">
        <v>0</v>
      </c>
      <c r="AA71" s="87">
        <v>0</v>
      </c>
      <c r="AB71" s="89">
        <f t="shared" si="19"/>
        <v>0</v>
      </c>
      <c r="AC71" s="89">
        <f t="shared" si="20"/>
        <v>102</v>
      </c>
      <c r="AD71" s="89">
        <f t="shared" si="21"/>
        <v>0</v>
      </c>
      <c r="AE71" s="90">
        <f t="shared" si="22"/>
        <v>0</v>
      </c>
      <c r="AF71" s="90" t="str">
        <f t="shared" si="23"/>
        <v/>
      </c>
      <c r="AG71" s="90">
        <f t="shared" si="24"/>
        <v>102</v>
      </c>
      <c r="AH71" s="90">
        <f t="shared" si="25"/>
        <v>2018</v>
      </c>
      <c r="AI71" s="90">
        <f t="shared" si="26"/>
        <v>102</v>
      </c>
      <c r="AJ71" s="90">
        <f t="shared" si="27"/>
        <v>2018</v>
      </c>
      <c r="AK71" s="90" t="str">
        <f t="shared" si="28"/>
        <v/>
      </c>
      <c r="AL71" s="91">
        <f>IF(AK71="Adjust",(_xlfn.XLOOKUP(A71,'Adj factor'!A:A,'Adj factor'!I:I,,0)*AI71),'Master DataSheet'!AI71)</f>
        <v>102</v>
      </c>
      <c r="AM71" s="91">
        <f t="shared" si="29"/>
        <v>102</v>
      </c>
      <c r="AN71" s="92" t="str">
        <f t="shared" si="30"/>
        <v>No change</v>
      </c>
      <c r="AO71" s="93">
        <f>VLOOKUP(B71,'Growthrates source'!A$2:H$49,8,FALSE)</f>
        <v>5.0912180313375632E-2</v>
      </c>
      <c r="AP71" s="93">
        <f>VLOOKUP(B71,'Growthrates source'!A$2:I$49,9,FALSE)</f>
        <v>-3.8361793441239245E-2</v>
      </c>
      <c r="AQ71" s="86">
        <f t="shared" si="31"/>
        <v>0</v>
      </c>
      <c r="AR71" s="86">
        <f t="shared" si="32"/>
        <v>0</v>
      </c>
      <c r="AS71" s="94">
        <f t="shared" si="33"/>
        <v>0</v>
      </c>
      <c r="AT71" s="94">
        <f t="shared" si="34"/>
        <v>8.5422245719853504E-2</v>
      </c>
      <c r="AU71" s="94">
        <f t="shared" si="35"/>
        <v>7.6388106701303929E-2</v>
      </c>
    </row>
    <row r="72" spans="1:47" x14ac:dyDescent="0.3">
      <c r="A72" s="85" t="str">
        <f>_xlfn.XLOOKUP(B72,'Country codes &amp; Data sources'!G:G,'Country codes &amp; Data sources'!H:H,,0)</f>
        <v>Benin</v>
      </c>
      <c r="B72" s="85" t="s">
        <v>163</v>
      </c>
      <c r="C72" s="86">
        <v>10014078.499999996</v>
      </c>
      <c r="D72" s="85" t="s">
        <v>126</v>
      </c>
      <c r="E72" s="87">
        <v>0</v>
      </c>
      <c r="F72" s="88">
        <v>10308730.499999994</v>
      </c>
      <c r="G72" s="87">
        <v>0</v>
      </c>
      <c r="I72" s="87">
        <v>0</v>
      </c>
      <c r="K72" s="87">
        <v>0</v>
      </c>
      <c r="M72" s="87">
        <v>0</v>
      </c>
      <c r="O72" s="87">
        <v>0</v>
      </c>
      <c r="P72" s="88">
        <v>11940683.499999996</v>
      </c>
      <c r="Q72" s="87">
        <v>0</v>
      </c>
      <c r="R72" s="87">
        <f t="shared" si="18"/>
        <v>0</v>
      </c>
      <c r="T72" s="87">
        <v>0</v>
      </c>
      <c r="V72" s="87">
        <v>0</v>
      </c>
      <c r="X72" s="87">
        <v>0</v>
      </c>
      <c r="Y72" s="88">
        <v>13352864</v>
      </c>
      <c r="Z72" s="87">
        <v>0</v>
      </c>
      <c r="AA72" s="87">
        <v>0</v>
      </c>
      <c r="AB72" s="89">
        <f t="shared" si="19"/>
        <v>0</v>
      </c>
      <c r="AC72" s="89">
        <f t="shared" si="20"/>
        <v>0</v>
      </c>
      <c r="AD72" s="89">
        <f t="shared" si="21"/>
        <v>0</v>
      </c>
      <c r="AE72" s="90">
        <f t="shared" si="22"/>
        <v>0</v>
      </c>
      <c r="AF72" s="90" t="str">
        <f t="shared" si="23"/>
        <v/>
      </c>
      <c r="AG72" s="90">
        <f t="shared" si="24"/>
        <v>0</v>
      </c>
      <c r="AH72" s="90" t="str">
        <f t="shared" si="25"/>
        <v/>
      </c>
      <c r="AI72" s="90">
        <f t="shared" si="26"/>
        <v>0</v>
      </c>
      <c r="AJ72" s="90" t="str">
        <f t="shared" si="27"/>
        <v/>
      </c>
      <c r="AK72" s="90" t="str">
        <f t="shared" si="28"/>
        <v/>
      </c>
      <c r="AL72" s="91">
        <f>IF(AK72="Adjust",(_xlfn.XLOOKUP(A72,'Adj factor'!A:A,'Adj factor'!I:I,,0)*AI72),'Master DataSheet'!AI72)</f>
        <v>0</v>
      </c>
      <c r="AM72" s="91">
        <f t="shared" si="29"/>
        <v>0</v>
      </c>
      <c r="AN72" s="92" t="str">
        <f t="shared" si="30"/>
        <v>No change</v>
      </c>
      <c r="AO72" s="93">
        <f>VLOOKUP(B72,'Growthrates source'!A$2:H$49,8,FALSE)</f>
        <v>5.0912180313375632E-2</v>
      </c>
      <c r="AP72" s="93">
        <f>VLOOKUP(B72,'Growthrates source'!A$2:I$49,9,FALSE)</f>
        <v>-3.8361793441239245E-2</v>
      </c>
      <c r="AQ72" s="86">
        <f t="shared" si="31"/>
        <v>0</v>
      </c>
      <c r="AR72" s="86">
        <f t="shared" si="32"/>
        <v>0</v>
      </c>
      <c r="AS72" s="94">
        <f t="shared" si="33"/>
        <v>0</v>
      </c>
      <c r="AT72" s="94">
        <f t="shared" si="34"/>
        <v>0</v>
      </c>
      <c r="AU72" s="94">
        <f t="shared" si="35"/>
        <v>0</v>
      </c>
    </row>
    <row r="73" spans="1:47" x14ac:dyDescent="0.3">
      <c r="A73" s="85" t="str">
        <f>_xlfn.XLOOKUP(B73,'Country codes &amp; Data sources'!G:G,'Country codes &amp; Data sources'!H:H,,0)</f>
        <v>Benin</v>
      </c>
      <c r="B73" s="85" t="s">
        <v>163</v>
      </c>
      <c r="C73" s="86">
        <v>10014078.499999996</v>
      </c>
      <c r="D73" s="85" t="s">
        <v>87</v>
      </c>
      <c r="E73" s="87">
        <v>0</v>
      </c>
      <c r="F73" s="88">
        <v>10308730.499999994</v>
      </c>
      <c r="G73" s="87">
        <v>10200</v>
      </c>
      <c r="I73" s="87">
        <v>0</v>
      </c>
      <c r="K73" s="87">
        <v>0</v>
      </c>
      <c r="M73" s="87">
        <v>0</v>
      </c>
      <c r="O73" s="87">
        <v>0</v>
      </c>
      <c r="P73" s="88">
        <v>11940683.499999996</v>
      </c>
      <c r="Q73" s="87">
        <v>0</v>
      </c>
      <c r="R73" s="87">
        <f t="shared" si="18"/>
        <v>0</v>
      </c>
      <c r="T73" s="87">
        <v>0</v>
      </c>
      <c r="V73" s="87">
        <v>0</v>
      </c>
      <c r="X73" s="87">
        <v>0</v>
      </c>
      <c r="Y73" s="88">
        <v>13352864</v>
      </c>
      <c r="Z73" s="87">
        <v>0</v>
      </c>
      <c r="AA73" s="87">
        <v>0</v>
      </c>
      <c r="AB73" s="89">
        <f t="shared" si="19"/>
        <v>10200</v>
      </c>
      <c r="AC73" s="89">
        <f t="shared" si="20"/>
        <v>0</v>
      </c>
      <c r="AD73" s="89">
        <f t="shared" si="21"/>
        <v>0</v>
      </c>
      <c r="AE73" s="90">
        <f t="shared" si="22"/>
        <v>10200</v>
      </c>
      <c r="AF73" s="90">
        <f t="shared" si="23"/>
        <v>2013</v>
      </c>
      <c r="AG73" s="90">
        <f t="shared" si="24"/>
        <v>0</v>
      </c>
      <c r="AH73" s="90" t="str">
        <f t="shared" si="25"/>
        <v/>
      </c>
      <c r="AI73" s="90">
        <f t="shared" si="26"/>
        <v>0</v>
      </c>
      <c r="AJ73" s="90" t="str">
        <f t="shared" si="27"/>
        <v/>
      </c>
      <c r="AK73" s="90" t="str">
        <f t="shared" si="28"/>
        <v/>
      </c>
      <c r="AL73" s="91">
        <f>IF(AK73="Adjust",(_xlfn.XLOOKUP(A73,'Adj factor'!A:A,'Adj factor'!I:I,,0)*AI73),'Master DataSheet'!AI73)</f>
        <v>0</v>
      </c>
      <c r="AM73" s="91">
        <f t="shared" si="29"/>
        <v>0</v>
      </c>
      <c r="AN73" s="92" t="str">
        <f t="shared" si="30"/>
        <v>No change</v>
      </c>
      <c r="AO73" s="93">
        <f>VLOOKUP(B73,'Growthrates source'!A$2:H$49,8,FALSE)</f>
        <v>5.0912180313375632E-2</v>
      </c>
      <c r="AP73" s="93">
        <f>VLOOKUP(B73,'Growthrates source'!A$2:I$49,9,FALSE)</f>
        <v>-3.8361793441239245E-2</v>
      </c>
      <c r="AQ73" s="86">
        <f t="shared" si="31"/>
        <v>0</v>
      </c>
      <c r="AR73" s="86">
        <f t="shared" si="32"/>
        <v>0</v>
      </c>
      <c r="AS73" s="94">
        <f t="shared" si="33"/>
        <v>9.8945258099433353</v>
      </c>
      <c r="AT73" s="94">
        <f t="shared" si="34"/>
        <v>0</v>
      </c>
      <c r="AU73" s="94">
        <f t="shared" si="35"/>
        <v>0</v>
      </c>
    </row>
    <row r="74" spans="1:47" x14ac:dyDescent="0.3">
      <c r="A74" s="85" t="str">
        <f>_xlfn.XLOOKUP(B74,'Country codes &amp; Data sources'!G:G,'Country codes &amp; Data sources'!H:H,,0)</f>
        <v>Burkina Faso</v>
      </c>
      <c r="B74" s="85" t="s">
        <v>151</v>
      </c>
      <c r="C74" s="86">
        <v>17113732.499999996</v>
      </c>
      <c r="D74" s="85" t="s">
        <v>321</v>
      </c>
      <c r="E74" s="87">
        <v>1574</v>
      </c>
      <c r="F74" s="88">
        <v>17636407.5</v>
      </c>
      <c r="G74" s="87">
        <v>1606</v>
      </c>
      <c r="H74" s="87">
        <v>18169842.499999996</v>
      </c>
      <c r="I74" s="87">
        <v>1818</v>
      </c>
      <c r="J74" s="87">
        <v>18718019.499999996</v>
      </c>
      <c r="K74" s="87">
        <v>2378</v>
      </c>
      <c r="L74" s="87">
        <v>19275497.999999981</v>
      </c>
      <c r="M74" s="87">
        <v>2404</v>
      </c>
      <c r="N74" s="87">
        <v>19835858.500000007</v>
      </c>
      <c r="O74" s="87">
        <v>3990</v>
      </c>
      <c r="P74" s="88">
        <v>20392723</v>
      </c>
      <c r="Q74" s="87">
        <v>3368</v>
      </c>
      <c r="R74" s="87">
        <f t="shared" si="18"/>
        <v>3368</v>
      </c>
      <c r="S74" s="87">
        <v>20951638.999999996</v>
      </c>
      <c r="T74" s="87">
        <v>5397</v>
      </c>
      <c r="U74" s="87">
        <v>21522625.999999993</v>
      </c>
      <c r="V74" s="87">
        <v>4360</v>
      </c>
      <c r="W74" s="87">
        <v>22100683.499999989</v>
      </c>
      <c r="X74" s="87">
        <v>4684</v>
      </c>
      <c r="Y74" s="88">
        <v>22673762.000000007</v>
      </c>
      <c r="Z74" s="87">
        <v>7587</v>
      </c>
      <c r="AA74" s="87">
        <v>1626</v>
      </c>
      <c r="AB74" s="89">
        <f t="shared" si="19"/>
        <v>2378</v>
      </c>
      <c r="AC74" s="89">
        <f t="shared" si="20"/>
        <v>5397</v>
      </c>
      <c r="AD74" s="89">
        <f t="shared" si="21"/>
        <v>7587</v>
      </c>
      <c r="AE74" s="90">
        <f t="shared" si="22"/>
        <v>1606</v>
      </c>
      <c r="AF74" s="90">
        <f t="shared" si="23"/>
        <v>2013</v>
      </c>
      <c r="AG74" s="90">
        <f t="shared" si="24"/>
        <v>3368</v>
      </c>
      <c r="AH74" s="90">
        <f t="shared" si="25"/>
        <v>2018</v>
      </c>
      <c r="AI74" s="90">
        <f t="shared" si="26"/>
        <v>7587</v>
      </c>
      <c r="AJ74" s="90">
        <f t="shared" si="27"/>
        <v>2022</v>
      </c>
      <c r="AK74" s="90" t="str">
        <f t="shared" si="28"/>
        <v/>
      </c>
      <c r="AL74" s="91">
        <f>IF(AK74="Adjust",(_xlfn.XLOOKUP(A74,'Adj factor'!A:A,'Adj factor'!I:I,,0)*AI74),'Master DataSheet'!AI74)</f>
        <v>7587</v>
      </c>
      <c r="AM74" s="91">
        <f t="shared" si="29"/>
        <v>7587</v>
      </c>
      <c r="AN74" s="92" t="str">
        <f t="shared" si="30"/>
        <v>Increasing</v>
      </c>
      <c r="AO74" s="93">
        <f>VLOOKUP(B74,'Growthrates source'!A$2:H$49,8,FALSE)</f>
        <v>0.11672257510323925</v>
      </c>
      <c r="AP74" s="93">
        <f>VLOOKUP(B74,'Growthrates source'!A$2:I$49,9,FALSE)</f>
        <v>5.6053037042871567E-2</v>
      </c>
      <c r="AQ74" s="86">
        <f t="shared" si="31"/>
        <v>907.11153563743585</v>
      </c>
      <c r="AR74" s="86">
        <f t="shared" si="32"/>
        <v>1923.7609963466409</v>
      </c>
      <c r="AS74" s="94">
        <f t="shared" si="33"/>
        <v>0.91061629189504723</v>
      </c>
      <c r="AT74" s="94">
        <f t="shared" si="34"/>
        <v>1.651569532916227</v>
      </c>
      <c r="AU74" s="94">
        <f t="shared" si="35"/>
        <v>3.3461584363459393</v>
      </c>
    </row>
    <row r="75" spans="1:47" x14ac:dyDescent="0.3">
      <c r="A75" s="85" t="str">
        <f>_xlfn.XLOOKUP(B75,'Country codes &amp; Data sources'!G:G,'Country codes &amp; Data sources'!H:H,,0)</f>
        <v>Burkina Faso</v>
      </c>
      <c r="B75" s="85" t="s">
        <v>151</v>
      </c>
      <c r="C75" s="86">
        <v>17113732.499999996</v>
      </c>
      <c r="D75" s="85" t="s">
        <v>322</v>
      </c>
      <c r="E75" s="87">
        <v>12016</v>
      </c>
      <c r="F75" s="88">
        <v>17636407.5</v>
      </c>
      <c r="G75" s="87">
        <v>12392</v>
      </c>
      <c r="I75" s="87">
        <v>12716</v>
      </c>
      <c r="K75" s="87">
        <v>19496</v>
      </c>
      <c r="M75" s="87">
        <v>19402</v>
      </c>
      <c r="O75" s="87">
        <v>20752</v>
      </c>
      <c r="P75" s="88">
        <v>20392723</v>
      </c>
      <c r="Q75" s="87">
        <v>0</v>
      </c>
      <c r="R75" s="87">
        <f t="shared" si="18"/>
        <v>10325</v>
      </c>
      <c r="T75" s="87">
        <v>22728</v>
      </c>
      <c r="V75" s="87">
        <v>23748</v>
      </c>
      <c r="X75" s="87">
        <v>24378</v>
      </c>
      <c r="Y75" s="88">
        <v>22673762.000000007</v>
      </c>
      <c r="Z75" s="87">
        <v>27922</v>
      </c>
      <c r="AA75" s="87">
        <v>10325</v>
      </c>
      <c r="AB75" s="89">
        <f t="shared" si="19"/>
        <v>19496</v>
      </c>
      <c r="AC75" s="89">
        <f t="shared" si="20"/>
        <v>22728</v>
      </c>
      <c r="AD75" s="89">
        <f t="shared" si="21"/>
        <v>27922</v>
      </c>
      <c r="AE75" s="90">
        <f t="shared" si="22"/>
        <v>12392</v>
      </c>
      <c r="AF75" s="90">
        <f t="shared" si="23"/>
        <v>2013</v>
      </c>
      <c r="AG75" s="90">
        <f t="shared" si="24"/>
        <v>10325</v>
      </c>
      <c r="AH75" s="90" t="str">
        <f t="shared" si="25"/>
        <v>2018 (triag)</v>
      </c>
      <c r="AI75" s="90">
        <f t="shared" si="26"/>
        <v>27922</v>
      </c>
      <c r="AJ75" s="90">
        <f t="shared" si="27"/>
        <v>2022</v>
      </c>
      <c r="AK75" s="90" t="str">
        <f t="shared" si="28"/>
        <v/>
      </c>
      <c r="AL75" s="91">
        <f>IF(AK75="Adjust",(_xlfn.XLOOKUP(A75,'Adj factor'!A:A,'Adj factor'!I:I,,0)*AI75),'Master DataSheet'!AI75)</f>
        <v>27922</v>
      </c>
      <c r="AM75" s="91">
        <f t="shared" si="29"/>
        <v>27922</v>
      </c>
      <c r="AN75" s="92" t="str">
        <f t="shared" si="30"/>
        <v>Increasing</v>
      </c>
      <c r="AO75" s="93">
        <f>VLOOKUP(B75,'Growthrates source'!A$2:H$49,8,FALSE)</f>
        <v>0.11672257510323925</v>
      </c>
      <c r="AP75" s="93">
        <f>VLOOKUP(B75,'Growthrates source'!A$2:I$49,9,FALSE)</f>
        <v>5.6053037042871567E-2</v>
      </c>
      <c r="AQ75" s="86">
        <f t="shared" si="31"/>
        <v>5760.1024633803963</v>
      </c>
      <c r="AR75" s="86">
        <f t="shared" si="32"/>
        <v>12215.76401431677</v>
      </c>
      <c r="AS75" s="94">
        <f t="shared" si="33"/>
        <v>7.0263742771876867</v>
      </c>
      <c r="AT75" s="94">
        <f t="shared" si="34"/>
        <v>5.0630805900712721</v>
      </c>
      <c r="AU75" s="94">
        <f t="shared" si="35"/>
        <v>12.314674556432228</v>
      </c>
    </row>
    <row r="76" spans="1:47" x14ac:dyDescent="0.3">
      <c r="A76" s="85" t="str">
        <f>_xlfn.XLOOKUP(B76,'Country codes &amp; Data sources'!G:G,'Country codes &amp; Data sources'!H:H,,0)</f>
        <v>Burkina Faso</v>
      </c>
      <c r="B76" s="85" t="s">
        <v>151</v>
      </c>
      <c r="C76" s="86">
        <v>17113732.499999996</v>
      </c>
      <c r="D76" s="85" t="s">
        <v>323</v>
      </c>
      <c r="E76" s="87">
        <v>8902</v>
      </c>
      <c r="F76" s="88">
        <v>17636407.5</v>
      </c>
      <c r="G76" s="87">
        <v>3182</v>
      </c>
      <c r="I76" s="87">
        <v>3488</v>
      </c>
      <c r="K76" s="87">
        <v>4766</v>
      </c>
      <c r="M76" s="87">
        <v>5160</v>
      </c>
      <c r="O76" s="87">
        <v>13138</v>
      </c>
      <c r="P76" s="88">
        <v>20392723</v>
      </c>
      <c r="Q76" s="87">
        <v>0</v>
      </c>
      <c r="R76" s="87">
        <f t="shared" si="18"/>
        <v>6569</v>
      </c>
      <c r="T76" s="87">
        <v>14954</v>
      </c>
      <c r="V76" s="87">
        <v>15608</v>
      </c>
      <c r="X76" s="87">
        <v>16104</v>
      </c>
      <c r="Y76" s="88">
        <v>22673762.000000007</v>
      </c>
      <c r="Z76" s="87">
        <v>18588</v>
      </c>
      <c r="AA76" s="87">
        <v>6569</v>
      </c>
      <c r="AB76" s="89">
        <f t="shared" si="19"/>
        <v>8902</v>
      </c>
      <c r="AC76" s="89">
        <f t="shared" si="20"/>
        <v>14954</v>
      </c>
      <c r="AD76" s="89">
        <f t="shared" si="21"/>
        <v>18588</v>
      </c>
      <c r="AE76" s="90">
        <f t="shared" si="22"/>
        <v>3182</v>
      </c>
      <c r="AF76" s="90">
        <f t="shared" si="23"/>
        <v>2013</v>
      </c>
      <c r="AG76" s="90">
        <f t="shared" si="24"/>
        <v>6569</v>
      </c>
      <c r="AH76" s="90" t="str">
        <f t="shared" si="25"/>
        <v>2018 (triag)</v>
      </c>
      <c r="AI76" s="90">
        <f t="shared" si="26"/>
        <v>18588</v>
      </c>
      <c r="AJ76" s="90">
        <f t="shared" si="27"/>
        <v>2022</v>
      </c>
      <c r="AK76" s="90" t="str">
        <f t="shared" si="28"/>
        <v/>
      </c>
      <c r="AL76" s="91">
        <f>IF(AK76="Adjust",(_xlfn.XLOOKUP(A76,'Adj factor'!A:A,'Adj factor'!I:I,,0)*AI76),'Master DataSheet'!AI76)</f>
        <v>18588</v>
      </c>
      <c r="AM76" s="91">
        <f t="shared" si="29"/>
        <v>18588</v>
      </c>
      <c r="AN76" s="92" t="str">
        <f t="shared" si="30"/>
        <v>Increasing</v>
      </c>
      <c r="AO76" s="93">
        <f>VLOOKUP(B76,'Growthrates source'!A$2:H$49,8,FALSE)</f>
        <v>0.11672257510323925</v>
      </c>
      <c r="AP76" s="93">
        <f>VLOOKUP(B76,'Growthrates source'!A$2:I$49,9,FALSE)</f>
        <v>5.6053037042871567E-2</v>
      </c>
      <c r="AQ76" s="86">
        <f t="shared" si="31"/>
        <v>3664.7082888083123</v>
      </c>
      <c r="AR76" s="86">
        <f t="shared" si="32"/>
        <v>7771.9471002466698</v>
      </c>
      <c r="AS76" s="94">
        <f t="shared" si="33"/>
        <v>1.8042223168182068</v>
      </c>
      <c r="AT76" s="94">
        <f t="shared" si="34"/>
        <v>3.2212471085886865</v>
      </c>
      <c r="AU76" s="94">
        <f t="shared" si="35"/>
        <v>8.1980220132856623</v>
      </c>
    </row>
    <row r="77" spans="1:47" x14ac:dyDescent="0.3">
      <c r="A77" s="85" t="str">
        <f>_xlfn.XLOOKUP(B77,'Country codes &amp; Data sources'!G:G,'Country codes &amp; Data sources'!H:H,,0)</f>
        <v>Burkina Faso</v>
      </c>
      <c r="B77" s="85" t="s">
        <v>151</v>
      </c>
      <c r="C77" s="86">
        <v>17113732.499999996</v>
      </c>
      <c r="D77" s="85" t="s">
        <v>324</v>
      </c>
      <c r="E77" s="87">
        <v>785</v>
      </c>
      <c r="F77" s="88">
        <v>17636407.5</v>
      </c>
      <c r="G77" s="87">
        <v>0</v>
      </c>
      <c r="I77" s="87">
        <v>0</v>
      </c>
      <c r="K77" s="87">
        <v>1184</v>
      </c>
      <c r="M77" s="87">
        <v>17091</v>
      </c>
      <c r="O77" s="87">
        <v>20603</v>
      </c>
      <c r="P77" s="88">
        <v>20392723</v>
      </c>
      <c r="Q77" s="87">
        <v>401</v>
      </c>
      <c r="R77" s="87">
        <f t="shared" si="18"/>
        <v>792</v>
      </c>
      <c r="T77" s="87">
        <v>85</v>
      </c>
      <c r="V77" s="87">
        <v>0</v>
      </c>
      <c r="X77" s="87">
        <v>232</v>
      </c>
      <c r="Y77" s="88">
        <v>22673762.000000007</v>
      </c>
      <c r="Z77" s="87">
        <v>0</v>
      </c>
      <c r="AA77" s="87">
        <v>792</v>
      </c>
      <c r="AB77" s="89">
        <f t="shared" si="19"/>
        <v>1184</v>
      </c>
      <c r="AC77" s="89">
        <f t="shared" si="20"/>
        <v>20603</v>
      </c>
      <c r="AD77" s="89">
        <f t="shared" si="21"/>
        <v>232</v>
      </c>
      <c r="AE77" s="90">
        <f t="shared" si="22"/>
        <v>785</v>
      </c>
      <c r="AF77" s="90">
        <f t="shared" si="23"/>
        <v>2012</v>
      </c>
      <c r="AG77" s="90">
        <f t="shared" si="24"/>
        <v>792</v>
      </c>
      <c r="AH77" s="90" t="str">
        <f t="shared" si="25"/>
        <v>2018 (triag)</v>
      </c>
      <c r="AI77" s="90">
        <f t="shared" si="26"/>
        <v>232</v>
      </c>
      <c r="AJ77" s="90">
        <f t="shared" si="27"/>
        <v>2021</v>
      </c>
      <c r="AK77" s="90" t="str">
        <f t="shared" si="28"/>
        <v>Adjust</v>
      </c>
      <c r="AL77" s="91">
        <f>IF(AK77="Adjust",(_xlfn.XLOOKUP(A77,'Adj factor'!A:A,'Adj factor'!I:I,,0)*AI77),'Master DataSheet'!AI77)</f>
        <v>238.34130393461319</v>
      </c>
      <c r="AM77" s="91">
        <f t="shared" si="29"/>
        <v>792</v>
      </c>
      <c r="AN77" s="92" t="str">
        <f t="shared" si="30"/>
        <v>Decreasing</v>
      </c>
      <c r="AO77" s="93">
        <f>VLOOKUP(B77,'Growthrates source'!A$2:H$49,8,FALSE)</f>
        <v>0.11672257510323925</v>
      </c>
      <c r="AP77" s="93">
        <f>VLOOKUP(B77,'Growthrates source'!A$2:I$49,9,FALSE)</f>
        <v>5.6053037042871567E-2</v>
      </c>
      <c r="AQ77" s="86">
        <f t="shared" si="31"/>
        <v>441.84030518133403</v>
      </c>
      <c r="AR77" s="86">
        <f t="shared" si="32"/>
        <v>937.03487644928634</v>
      </c>
      <c r="AS77" s="94">
        <f t="shared" si="33"/>
        <v>0.44510198576439108</v>
      </c>
      <c r="AT77" s="94">
        <f t="shared" si="34"/>
        <v>0.38837383315607238</v>
      </c>
      <c r="AU77" s="94">
        <f t="shared" si="35"/>
        <v>0.34930242277395335</v>
      </c>
    </row>
    <row r="78" spans="1:47" x14ac:dyDescent="0.3">
      <c r="A78" s="85" t="str">
        <f>_xlfn.XLOOKUP(B78,'Country codes &amp; Data sources'!G:G,'Country codes &amp; Data sources'!H:H,,0)</f>
        <v>Burkina Faso</v>
      </c>
      <c r="B78" s="85" t="s">
        <v>151</v>
      </c>
      <c r="C78" s="86">
        <v>17113732.499999996</v>
      </c>
      <c r="D78" s="85" t="s">
        <v>325</v>
      </c>
      <c r="E78" s="87">
        <v>39</v>
      </c>
      <c r="F78" s="88">
        <v>17636407.5</v>
      </c>
      <c r="G78" s="87">
        <v>0</v>
      </c>
      <c r="I78" s="87">
        <v>0</v>
      </c>
      <c r="K78" s="87">
        <v>392</v>
      </c>
      <c r="M78" s="87">
        <v>466</v>
      </c>
      <c r="O78" s="87">
        <v>5048</v>
      </c>
      <c r="P78" s="88">
        <v>20392723</v>
      </c>
      <c r="Q78" s="87">
        <v>111</v>
      </c>
      <c r="R78" s="87">
        <f t="shared" si="18"/>
        <v>111</v>
      </c>
      <c r="T78" s="87">
        <v>131</v>
      </c>
      <c r="V78" s="87">
        <v>0</v>
      </c>
      <c r="X78" s="87">
        <v>80</v>
      </c>
      <c r="Y78" s="88">
        <v>22673762.000000007</v>
      </c>
      <c r="Z78" s="87">
        <v>0</v>
      </c>
      <c r="AA78" s="87">
        <v>80</v>
      </c>
      <c r="AB78" s="89">
        <f t="shared" si="19"/>
        <v>392</v>
      </c>
      <c r="AC78" s="89">
        <f t="shared" si="20"/>
        <v>5048</v>
      </c>
      <c r="AD78" s="89">
        <f t="shared" si="21"/>
        <v>80</v>
      </c>
      <c r="AE78" s="90">
        <f t="shared" si="22"/>
        <v>39</v>
      </c>
      <c r="AF78" s="90">
        <f t="shared" si="23"/>
        <v>2012</v>
      </c>
      <c r="AG78" s="90">
        <f t="shared" si="24"/>
        <v>111</v>
      </c>
      <c r="AH78" s="90">
        <f t="shared" si="25"/>
        <v>2018</v>
      </c>
      <c r="AI78" s="90">
        <f t="shared" si="26"/>
        <v>80</v>
      </c>
      <c r="AJ78" s="90">
        <f t="shared" si="27"/>
        <v>2021</v>
      </c>
      <c r="AK78" s="90" t="str">
        <f t="shared" si="28"/>
        <v>Adjust</v>
      </c>
      <c r="AL78" s="91">
        <f>IF(AK78="Adjust",(_xlfn.XLOOKUP(A78,'Adj factor'!A:A,'Adj factor'!I:I,,0)*AI78),'Master DataSheet'!AI78)</f>
        <v>82.186656529176958</v>
      </c>
      <c r="AM78" s="91">
        <f t="shared" si="29"/>
        <v>111</v>
      </c>
      <c r="AN78" s="92" t="str">
        <f t="shared" si="30"/>
        <v>Decreasing</v>
      </c>
      <c r="AO78" s="93">
        <f>VLOOKUP(B78,'Growthrates source'!A$2:H$49,8,FALSE)</f>
        <v>0.11672257510323925</v>
      </c>
      <c r="AP78" s="93">
        <f>VLOOKUP(B78,'Growthrates source'!A$2:I$49,9,FALSE)</f>
        <v>5.6053037042871567E-2</v>
      </c>
      <c r="AQ78" s="86">
        <f t="shared" si="31"/>
        <v>44.63033385670041</v>
      </c>
      <c r="AR78" s="86">
        <f t="shared" si="32"/>
        <v>94.64998752012994</v>
      </c>
      <c r="AS78" s="94">
        <f t="shared" si="33"/>
        <v>2.2113347063453824E-2</v>
      </c>
      <c r="AT78" s="94">
        <f t="shared" si="34"/>
        <v>5.4431181162025298E-2</v>
      </c>
      <c r="AU78" s="94">
        <f t="shared" si="35"/>
        <v>4.8955263797864669E-2</v>
      </c>
    </row>
    <row r="79" spans="1:47" x14ac:dyDescent="0.3">
      <c r="A79" s="85" t="str">
        <f>_xlfn.XLOOKUP(B79,'Country codes &amp; Data sources'!G:G,'Country codes &amp; Data sources'!H:H,,0)</f>
        <v>Burkina Faso</v>
      </c>
      <c r="B79" s="85" t="s">
        <v>151</v>
      </c>
      <c r="C79" s="86">
        <v>17113732.499999996</v>
      </c>
      <c r="D79" s="85" t="s">
        <v>127</v>
      </c>
      <c r="E79" s="87">
        <v>2099</v>
      </c>
      <c r="F79" s="88">
        <v>17636407.5</v>
      </c>
      <c r="G79" s="87">
        <v>0</v>
      </c>
      <c r="I79" s="87">
        <v>0</v>
      </c>
      <c r="K79" s="87">
        <v>0</v>
      </c>
      <c r="M79" s="87">
        <v>0</v>
      </c>
      <c r="O79" s="87">
        <v>2749</v>
      </c>
      <c r="P79" s="88">
        <v>20392723</v>
      </c>
      <c r="Q79" s="87">
        <v>0</v>
      </c>
      <c r="R79" s="87">
        <f t="shared" si="18"/>
        <v>2749</v>
      </c>
      <c r="T79" s="87">
        <v>2979</v>
      </c>
      <c r="V79" s="87">
        <v>2923</v>
      </c>
      <c r="X79" s="87">
        <v>2947</v>
      </c>
      <c r="Y79" s="88">
        <v>22673762.000000007</v>
      </c>
      <c r="Z79" s="87">
        <v>3145</v>
      </c>
      <c r="AA79" s="87">
        <v>2749</v>
      </c>
      <c r="AB79" s="89">
        <f t="shared" si="19"/>
        <v>2099</v>
      </c>
      <c r="AC79" s="89">
        <f t="shared" si="20"/>
        <v>2979</v>
      </c>
      <c r="AD79" s="89">
        <f t="shared" si="21"/>
        <v>3145</v>
      </c>
      <c r="AE79" s="90">
        <f t="shared" si="22"/>
        <v>2099</v>
      </c>
      <c r="AF79" s="90">
        <f t="shared" si="23"/>
        <v>2012</v>
      </c>
      <c r="AG79" s="90">
        <f t="shared" si="24"/>
        <v>2749</v>
      </c>
      <c r="AH79" s="90">
        <f t="shared" si="25"/>
        <v>2017</v>
      </c>
      <c r="AI79" s="90">
        <f t="shared" si="26"/>
        <v>3145</v>
      </c>
      <c r="AJ79" s="90">
        <f t="shared" si="27"/>
        <v>2022</v>
      </c>
      <c r="AK79" s="90" t="str">
        <f t="shared" si="28"/>
        <v/>
      </c>
      <c r="AL79" s="91">
        <f>IF(AK79="Adjust",(_xlfn.XLOOKUP(A79,'Adj factor'!A:A,'Adj factor'!I:I,,0)*AI79),'Master DataSheet'!AI79)</f>
        <v>3145</v>
      </c>
      <c r="AM79" s="91">
        <f t="shared" si="29"/>
        <v>3145</v>
      </c>
      <c r="AN79" s="92" t="str">
        <f t="shared" si="30"/>
        <v>Increasing</v>
      </c>
      <c r="AO79" s="93">
        <f>VLOOKUP(B79,'Growthrates source'!A$2:H$49,8,FALSE)</f>
        <v>0.11672257510323925</v>
      </c>
      <c r="AP79" s="93">
        <f>VLOOKUP(B79,'Growthrates source'!A$2:I$49,9,FALSE)</f>
        <v>5.6053037042871567E-2</v>
      </c>
      <c r="AQ79" s="86">
        <f t="shared" si="31"/>
        <v>1533.6098471508678</v>
      </c>
      <c r="AR79" s="86">
        <f t="shared" si="32"/>
        <v>3252.4101961604651</v>
      </c>
      <c r="AS79" s="94">
        <f t="shared" si="33"/>
        <v>1.190151679133066</v>
      </c>
      <c r="AT79" s="94">
        <f t="shared" si="34"/>
        <v>1.3480298830126805</v>
      </c>
      <c r="AU79" s="94">
        <f t="shared" si="35"/>
        <v>1.3870658076061657</v>
      </c>
    </row>
    <row r="80" spans="1:47" x14ac:dyDescent="0.3">
      <c r="A80" s="85" t="str">
        <f>_xlfn.XLOOKUP(B80,'Country codes &amp; Data sources'!G:G,'Country codes &amp; Data sources'!H:H,,0)</f>
        <v>Burkina Faso</v>
      </c>
      <c r="B80" s="85" t="s">
        <v>151</v>
      </c>
      <c r="C80" s="86">
        <v>17113732.499999996</v>
      </c>
      <c r="D80" s="85" t="s">
        <v>61</v>
      </c>
      <c r="E80" s="87">
        <v>128</v>
      </c>
      <c r="F80" s="88">
        <v>17636407.5</v>
      </c>
      <c r="G80" s="87">
        <v>0</v>
      </c>
      <c r="I80" s="87">
        <v>0</v>
      </c>
      <c r="K80" s="87">
        <v>1688</v>
      </c>
      <c r="M80" s="87">
        <v>940</v>
      </c>
      <c r="O80" s="87">
        <v>0</v>
      </c>
      <c r="P80" s="88">
        <v>20392723</v>
      </c>
      <c r="Q80" s="87">
        <v>0</v>
      </c>
      <c r="R80" s="87">
        <f t="shared" si="18"/>
        <v>19</v>
      </c>
      <c r="T80" s="87">
        <v>0</v>
      </c>
      <c r="V80" s="87">
        <v>0</v>
      </c>
      <c r="X80" s="87">
        <v>15</v>
      </c>
      <c r="Y80" s="88">
        <v>22673762.000000007</v>
      </c>
      <c r="Z80" s="87">
        <v>0</v>
      </c>
      <c r="AA80" s="87">
        <v>19</v>
      </c>
      <c r="AB80" s="89">
        <f t="shared" si="19"/>
        <v>1688</v>
      </c>
      <c r="AC80" s="89">
        <f t="shared" si="20"/>
        <v>940</v>
      </c>
      <c r="AD80" s="89">
        <f t="shared" si="21"/>
        <v>15</v>
      </c>
      <c r="AE80" s="90">
        <f t="shared" si="22"/>
        <v>128</v>
      </c>
      <c r="AF80" s="90">
        <f t="shared" si="23"/>
        <v>2012</v>
      </c>
      <c r="AG80" s="90">
        <f t="shared" si="24"/>
        <v>19</v>
      </c>
      <c r="AH80" s="90" t="str">
        <f t="shared" si="25"/>
        <v>2018 (triag)</v>
      </c>
      <c r="AI80" s="90">
        <f t="shared" si="26"/>
        <v>15</v>
      </c>
      <c r="AJ80" s="90">
        <f t="shared" si="27"/>
        <v>2021</v>
      </c>
      <c r="AK80" s="90" t="str">
        <f t="shared" si="28"/>
        <v>Adjust</v>
      </c>
      <c r="AL80" s="91">
        <f>IF(AK80="Adjust",(_xlfn.XLOOKUP(A80,'Adj factor'!A:A,'Adj factor'!I:I,,0)*AI80),'Master DataSheet'!AI80)</f>
        <v>15.409998099220681</v>
      </c>
      <c r="AM80" s="91">
        <f t="shared" si="29"/>
        <v>19</v>
      </c>
      <c r="AN80" s="92" t="str">
        <f t="shared" si="30"/>
        <v>Decreasing</v>
      </c>
      <c r="AO80" s="93">
        <f>VLOOKUP(B80,'Growthrates source'!A$2:H$49,8,FALSE)</f>
        <v>0.11672257510323925</v>
      </c>
      <c r="AP80" s="93">
        <f>VLOOKUP(B80,'Growthrates source'!A$2:I$49,9,FALSE)</f>
        <v>5.6053037042871567E-2</v>
      </c>
      <c r="AQ80" s="86">
        <f t="shared" si="31"/>
        <v>10.599704290966347</v>
      </c>
      <c r="AR80" s="86">
        <f t="shared" si="32"/>
        <v>22.47937203603086</v>
      </c>
      <c r="AS80" s="94">
        <f t="shared" si="33"/>
        <v>7.2577139080053574E-2</v>
      </c>
      <c r="AT80" s="94">
        <f t="shared" si="34"/>
        <v>9.3170490277340607E-3</v>
      </c>
      <c r="AU80" s="94">
        <f t="shared" si="35"/>
        <v>8.3797298392741335E-3</v>
      </c>
    </row>
    <row r="81" spans="1:47" x14ac:dyDescent="0.3">
      <c r="A81" s="85" t="str">
        <f>_xlfn.XLOOKUP(B81,'Country codes &amp; Data sources'!G:G,'Country codes &amp; Data sources'!H:H,,0)</f>
        <v>Burkina Faso</v>
      </c>
      <c r="B81" s="85" t="s">
        <v>151</v>
      </c>
      <c r="C81" s="86">
        <v>17113732.499999996</v>
      </c>
      <c r="D81" s="85" t="s">
        <v>62</v>
      </c>
      <c r="E81" s="87">
        <v>1791</v>
      </c>
      <c r="F81" s="88">
        <v>17636407.5</v>
      </c>
      <c r="G81" s="87">
        <v>0</v>
      </c>
      <c r="I81" s="87">
        <v>0</v>
      </c>
      <c r="K81" s="87">
        <v>718</v>
      </c>
      <c r="M81" s="87">
        <v>2367</v>
      </c>
      <c r="O81" s="87">
        <v>20392</v>
      </c>
      <c r="P81" s="88">
        <v>20392723</v>
      </c>
      <c r="Q81" s="87">
        <v>157</v>
      </c>
      <c r="R81" s="87">
        <f t="shared" si="18"/>
        <v>160</v>
      </c>
      <c r="T81" s="87">
        <v>0</v>
      </c>
      <c r="V81" s="87">
        <v>0</v>
      </c>
      <c r="X81" s="87">
        <v>31</v>
      </c>
      <c r="Y81" s="88">
        <v>22673762.000000007</v>
      </c>
      <c r="Z81" s="87">
        <v>0</v>
      </c>
      <c r="AA81" s="87">
        <v>160</v>
      </c>
      <c r="AB81" s="89">
        <f t="shared" si="19"/>
        <v>1791</v>
      </c>
      <c r="AC81" s="89">
        <f t="shared" si="20"/>
        <v>20392</v>
      </c>
      <c r="AD81" s="89">
        <f t="shared" si="21"/>
        <v>31</v>
      </c>
      <c r="AE81" s="90">
        <f t="shared" si="22"/>
        <v>1791</v>
      </c>
      <c r="AF81" s="90">
        <f t="shared" si="23"/>
        <v>2012</v>
      </c>
      <c r="AG81" s="90">
        <f t="shared" si="24"/>
        <v>160</v>
      </c>
      <c r="AH81" s="90" t="str">
        <f t="shared" si="25"/>
        <v>2018 (triag)</v>
      </c>
      <c r="AI81" s="90">
        <f t="shared" si="26"/>
        <v>31</v>
      </c>
      <c r="AJ81" s="90">
        <f t="shared" si="27"/>
        <v>2021</v>
      </c>
      <c r="AK81" s="90" t="str">
        <f t="shared" si="28"/>
        <v>Adjust</v>
      </c>
      <c r="AL81" s="91">
        <f>IF(AK81="Adjust",(_xlfn.XLOOKUP(A81,'Adj factor'!A:A,'Adj factor'!I:I,,0)*AI81),'Master DataSheet'!AI81)</f>
        <v>31.847329405056072</v>
      </c>
      <c r="AM81" s="91">
        <f t="shared" si="29"/>
        <v>160</v>
      </c>
      <c r="AN81" s="92" t="str">
        <f t="shared" si="30"/>
        <v>Decreasing</v>
      </c>
      <c r="AO81" s="93">
        <f>VLOOKUP(B81,'Growthrates source'!A$2:H$49,8,FALSE)</f>
        <v>0.11672257510323925</v>
      </c>
      <c r="AP81" s="93">
        <f>VLOOKUP(B81,'Growthrates source'!A$2:I$49,9,FALSE)</f>
        <v>5.6053037042871567E-2</v>
      </c>
      <c r="AQ81" s="86">
        <f t="shared" si="31"/>
        <v>89.260667713400821</v>
      </c>
      <c r="AR81" s="86">
        <f t="shared" si="32"/>
        <v>189.29997504025988</v>
      </c>
      <c r="AS81" s="94">
        <f t="shared" si="33"/>
        <v>1.0155129382216872</v>
      </c>
      <c r="AT81" s="94">
        <f t="shared" si="34"/>
        <v>7.8459360233549977E-2</v>
      </c>
      <c r="AU81" s="94">
        <f t="shared" si="35"/>
        <v>7.0566146014940059E-2</v>
      </c>
    </row>
    <row r="82" spans="1:47" x14ac:dyDescent="0.3">
      <c r="A82" s="85" t="str">
        <f>_xlfn.XLOOKUP(B82,'Country codes &amp; Data sources'!G:G,'Country codes &amp; Data sources'!H:H,,0)</f>
        <v>Burkina Faso</v>
      </c>
      <c r="B82" s="85" t="s">
        <v>151</v>
      </c>
      <c r="C82" s="86">
        <v>17113732.499999996</v>
      </c>
      <c r="D82" s="85" t="s">
        <v>203</v>
      </c>
      <c r="E82" s="87">
        <v>0</v>
      </c>
      <c r="F82" s="88">
        <v>17636407.5</v>
      </c>
      <c r="G82" s="87">
        <v>0</v>
      </c>
      <c r="I82" s="87">
        <v>0</v>
      </c>
      <c r="K82" s="87">
        <v>0</v>
      </c>
      <c r="M82" s="87">
        <v>0</v>
      </c>
      <c r="O82" s="87">
        <v>0</v>
      </c>
      <c r="P82" s="88">
        <v>20392723</v>
      </c>
      <c r="Q82" s="87">
        <v>0</v>
      </c>
      <c r="R82" s="87">
        <f t="shared" si="18"/>
        <v>1224</v>
      </c>
      <c r="T82" s="87">
        <v>0</v>
      </c>
      <c r="V82" s="87">
        <v>68</v>
      </c>
      <c r="X82" s="87">
        <v>0</v>
      </c>
      <c r="Y82" s="88">
        <v>22673762.000000007</v>
      </c>
      <c r="Z82" s="87">
        <v>886</v>
      </c>
      <c r="AA82" s="87">
        <v>1224</v>
      </c>
      <c r="AB82" s="89">
        <f t="shared" si="19"/>
        <v>0</v>
      </c>
      <c r="AC82" s="89">
        <f t="shared" si="20"/>
        <v>0</v>
      </c>
      <c r="AD82" s="89">
        <f t="shared" si="21"/>
        <v>886</v>
      </c>
      <c r="AE82" s="90">
        <f t="shared" si="22"/>
        <v>0</v>
      </c>
      <c r="AF82" s="90" t="str">
        <f t="shared" si="23"/>
        <v/>
      </c>
      <c r="AG82" s="90">
        <f t="shared" si="24"/>
        <v>1224</v>
      </c>
      <c r="AH82" s="90" t="str">
        <f t="shared" si="25"/>
        <v>2018 (triag)</v>
      </c>
      <c r="AI82" s="90">
        <f t="shared" si="26"/>
        <v>886</v>
      </c>
      <c r="AJ82" s="90">
        <f t="shared" si="27"/>
        <v>2022</v>
      </c>
      <c r="AK82" s="90" t="str">
        <f t="shared" si="28"/>
        <v>Adjust</v>
      </c>
      <c r="AL82" s="91">
        <f>IF(AK82="Adjust",(_xlfn.XLOOKUP(A82,'Adj factor'!A:A,'Adj factor'!I:I,,0)*AI82),'Master DataSheet'!AI82)</f>
        <v>910.21722106063487</v>
      </c>
      <c r="AM82" s="91">
        <f t="shared" si="29"/>
        <v>1224</v>
      </c>
      <c r="AN82" s="92" t="str">
        <f t="shared" si="30"/>
        <v>Decreasing</v>
      </c>
      <c r="AO82" s="93">
        <f>VLOOKUP(B82,'Growthrates source'!A$2:H$49,8,FALSE)</f>
        <v>0.11672257510323925</v>
      </c>
      <c r="AP82" s="93">
        <f>VLOOKUP(B82,'Growthrates source'!A$2:I$49,9,FALSE)</f>
        <v>5.6053037042871567E-2</v>
      </c>
      <c r="AQ82" s="86">
        <f t="shared" si="31"/>
        <v>682.8441080075163</v>
      </c>
      <c r="AR82" s="86">
        <f t="shared" si="32"/>
        <v>1448.1448090579881</v>
      </c>
      <c r="AS82" s="94">
        <f t="shared" si="33"/>
        <v>0</v>
      </c>
      <c r="AT82" s="94">
        <f t="shared" si="34"/>
        <v>0.60021410578665735</v>
      </c>
      <c r="AU82" s="94">
        <f t="shared" si="35"/>
        <v>0.53983101701429148</v>
      </c>
    </row>
    <row r="83" spans="1:47" x14ac:dyDescent="0.3">
      <c r="A83" s="85" t="str">
        <f>_xlfn.XLOOKUP(B83,'Country codes &amp; Data sources'!G:G,'Country codes &amp; Data sources'!H:H,,0)</f>
        <v>Burkina Faso</v>
      </c>
      <c r="B83" s="85" t="s">
        <v>151</v>
      </c>
      <c r="C83" s="86">
        <v>17113732.499999996</v>
      </c>
      <c r="D83" s="85" t="s">
        <v>204</v>
      </c>
      <c r="E83" s="87">
        <v>0</v>
      </c>
      <c r="F83" s="88">
        <v>17636407.5</v>
      </c>
      <c r="G83" s="87">
        <v>0</v>
      </c>
      <c r="I83" s="87">
        <v>0</v>
      </c>
      <c r="K83" s="87">
        <v>0</v>
      </c>
      <c r="M83" s="87">
        <v>0</v>
      </c>
      <c r="O83" s="87">
        <v>0</v>
      </c>
      <c r="P83" s="88">
        <v>20392723</v>
      </c>
      <c r="Q83" s="87">
        <v>0</v>
      </c>
      <c r="R83" s="87">
        <f t="shared" si="18"/>
        <v>653</v>
      </c>
      <c r="T83" s="87">
        <v>0</v>
      </c>
      <c r="V83" s="87">
        <v>0</v>
      </c>
      <c r="X83" s="87">
        <v>0</v>
      </c>
      <c r="Y83" s="88">
        <v>22673762.000000007</v>
      </c>
      <c r="Z83" s="87">
        <v>0</v>
      </c>
      <c r="AA83" s="87">
        <v>653</v>
      </c>
      <c r="AB83" s="89">
        <f t="shared" si="19"/>
        <v>0</v>
      </c>
      <c r="AC83" s="89">
        <f t="shared" si="20"/>
        <v>0</v>
      </c>
      <c r="AD83" s="89">
        <f t="shared" si="21"/>
        <v>0</v>
      </c>
      <c r="AE83" s="90">
        <f t="shared" si="22"/>
        <v>0</v>
      </c>
      <c r="AF83" s="90" t="str">
        <f t="shared" si="23"/>
        <v/>
      </c>
      <c r="AG83" s="90">
        <f t="shared" si="24"/>
        <v>653</v>
      </c>
      <c r="AH83" s="90" t="str">
        <f t="shared" si="25"/>
        <v>2018 (triag)</v>
      </c>
      <c r="AI83" s="90">
        <f t="shared" si="26"/>
        <v>653</v>
      </c>
      <c r="AJ83" s="90" t="str">
        <f t="shared" si="27"/>
        <v>2018 (triag)</v>
      </c>
      <c r="AK83" s="90" t="str">
        <f t="shared" si="28"/>
        <v/>
      </c>
      <c r="AL83" s="91">
        <f>IF(AK83="Adjust",(_xlfn.XLOOKUP(A83,'Adj factor'!A:A,'Adj factor'!I:I,,0)*AI83),'Master DataSheet'!AI83)</f>
        <v>653</v>
      </c>
      <c r="AM83" s="91">
        <f t="shared" si="29"/>
        <v>653</v>
      </c>
      <c r="AN83" s="92" t="str">
        <f t="shared" si="30"/>
        <v>No change</v>
      </c>
      <c r="AO83" s="93">
        <f>VLOOKUP(B83,'Growthrates source'!A$2:H$49,8,FALSE)</f>
        <v>0.11672257510323925</v>
      </c>
      <c r="AP83" s="93">
        <f>VLOOKUP(B83,'Growthrates source'!A$2:I$49,9,FALSE)</f>
        <v>5.6053037042871567E-2</v>
      </c>
      <c r="AQ83" s="86">
        <f t="shared" si="31"/>
        <v>364.29510010531709</v>
      </c>
      <c r="AR83" s="86">
        <f t="shared" si="32"/>
        <v>772.58052313306064</v>
      </c>
      <c r="AS83" s="94">
        <f t="shared" si="33"/>
        <v>0</v>
      </c>
      <c r="AT83" s="94">
        <f t="shared" si="34"/>
        <v>0.32021226395317587</v>
      </c>
      <c r="AU83" s="94">
        <f t="shared" si="35"/>
        <v>0.28799808342347416</v>
      </c>
    </row>
    <row r="84" spans="1:47" x14ac:dyDescent="0.3">
      <c r="A84" s="85" t="str">
        <f>_xlfn.XLOOKUP(B84,'Country codes &amp; Data sources'!G:G,'Country codes &amp; Data sources'!H:H,,0)</f>
        <v>Burkina Faso</v>
      </c>
      <c r="B84" s="85" t="s">
        <v>151</v>
      </c>
      <c r="C84" s="86">
        <v>17113732.499999996</v>
      </c>
      <c r="D84" s="85" t="s">
        <v>205</v>
      </c>
      <c r="E84" s="87">
        <v>0</v>
      </c>
      <c r="F84" s="88">
        <v>17636407.5</v>
      </c>
      <c r="G84" s="87">
        <v>0</v>
      </c>
      <c r="I84" s="87">
        <v>0</v>
      </c>
      <c r="K84" s="87">
        <v>0</v>
      </c>
      <c r="M84" s="87">
        <v>0</v>
      </c>
      <c r="O84" s="87">
        <v>3</v>
      </c>
      <c r="P84" s="88">
        <v>20392723</v>
      </c>
      <c r="Q84" s="87">
        <v>2</v>
      </c>
      <c r="R84" s="87">
        <f t="shared" si="18"/>
        <v>3</v>
      </c>
      <c r="T84" s="87">
        <v>143</v>
      </c>
      <c r="V84" s="87">
        <v>0</v>
      </c>
      <c r="X84" s="87">
        <v>0</v>
      </c>
      <c r="Y84" s="88">
        <v>22673762.000000007</v>
      </c>
      <c r="Z84" s="87">
        <v>14</v>
      </c>
      <c r="AA84" s="87">
        <v>3</v>
      </c>
      <c r="AB84" s="89">
        <f t="shared" si="19"/>
        <v>0</v>
      </c>
      <c r="AC84" s="89">
        <f t="shared" si="20"/>
        <v>143</v>
      </c>
      <c r="AD84" s="89">
        <f t="shared" si="21"/>
        <v>14</v>
      </c>
      <c r="AE84" s="90">
        <f t="shared" si="22"/>
        <v>0</v>
      </c>
      <c r="AF84" s="90" t="str">
        <f t="shared" si="23"/>
        <v/>
      </c>
      <c r="AG84" s="90">
        <f t="shared" si="24"/>
        <v>3</v>
      </c>
      <c r="AH84" s="90">
        <f t="shared" si="25"/>
        <v>2017</v>
      </c>
      <c r="AI84" s="90">
        <f t="shared" si="26"/>
        <v>14</v>
      </c>
      <c r="AJ84" s="90">
        <f t="shared" si="27"/>
        <v>2022</v>
      </c>
      <c r="AK84" s="90" t="str">
        <f t="shared" si="28"/>
        <v/>
      </c>
      <c r="AL84" s="91">
        <f>IF(AK84="Adjust",(_xlfn.XLOOKUP(A84,'Adj factor'!A:A,'Adj factor'!I:I,,0)*AI84),'Master DataSheet'!AI84)</f>
        <v>14</v>
      </c>
      <c r="AM84" s="91">
        <f t="shared" si="29"/>
        <v>14</v>
      </c>
      <c r="AN84" s="92" t="str">
        <f t="shared" si="30"/>
        <v>Increasing</v>
      </c>
      <c r="AO84" s="93">
        <f>VLOOKUP(B84,'Growthrates source'!A$2:H$49,8,FALSE)</f>
        <v>0.11672257510323925</v>
      </c>
      <c r="AP84" s="93">
        <f>VLOOKUP(B84,'Growthrates source'!A$2:I$49,9,FALSE)</f>
        <v>5.6053037042871567E-2</v>
      </c>
      <c r="AQ84" s="86">
        <f t="shared" si="31"/>
        <v>1.6736375196262654</v>
      </c>
      <c r="AR84" s="86">
        <f t="shared" si="32"/>
        <v>3.5493745320048724</v>
      </c>
      <c r="AS84" s="94">
        <f t="shared" si="33"/>
        <v>0</v>
      </c>
      <c r="AT84" s="94">
        <f t="shared" si="34"/>
        <v>1.471113004379062E-3</v>
      </c>
      <c r="AU84" s="94">
        <f t="shared" si="35"/>
        <v>6.1745377763072554E-3</v>
      </c>
    </row>
    <row r="85" spans="1:47" x14ac:dyDescent="0.3">
      <c r="A85" s="85" t="str">
        <f>_xlfn.XLOOKUP(B85,'Country codes &amp; Data sources'!G:G,'Country codes &amp; Data sources'!H:H,,0)</f>
        <v>Burkina Faso</v>
      </c>
      <c r="B85" s="85" t="s">
        <v>151</v>
      </c>
      <c r="C85" s="86">
        <v>17113732.499999996</v>
      </c>
      <c r="D85" s="85" t="s">
        <v>133</v>
      </c>
      <c r="E85" s="87">
        <v>0</v>
      </c>
      <c r="F85" s="88">
        <v>17636407.5</v>
      </c>
      <c r="G85" s="87">
        <v>0</v>
      </c>
      <c r="I85" s="87">
        <v>0</v>
      </c>
      <c r="K85" s="87">
        <v>0</v>
      </c>
      <c r="M85" s="87">
        <v>0</v>
      </c>
      <c r="O85" s="87">
        <v>699</v>
      </c>
      <c r="P85" s="88">
        <v>20392723</v>
      </c>
      <c r="Q85" s="87">
        <v>648</v>
      </c>
      <c r="R85" s="87">
        <f t="shared" si="18"/>
        <v>648</v>
      </c>
      <c r="T85" s="87">
        <v>800</v>
      </c>
      <c r="V85" s="87">
        <v>906</v>
      </c>
      <c r="X85" s="87">
        <v>899</v>
      </c>
      <c r="Y85" s="88">
        <v>22673762.000000007</v>
      </c>
      <c r="Z85" s="87">
        <v>0</v>
      </c>
      <c r="AA85" s="87">
        <v>2</v>
      </c>
      <c r="AB85" s="89">
        <f t="shared" si="19"/>
        <v>0</v>
      </c>
      <c r="AC85" s="89">
        <f t="shared" si="20"/>
        <v>800</v>
      </c>
      <c r="AD85" s="89">
        <f t="shared" si="21"/>
        <v>906</v>
      </c>
      <c r="AE85" s="90">
        <f t="shared" si="22"/>
        <v>0</v>
      </c>
      <c r="AF85" s="90" t="str">
        <f t="shared" si="23"/>
        <v/>
      </c>
      <c r="AG85" s="90">
        <f t="shared" si="24"/>
        <v>648</v>
      </c>
      <c r="AH85" s="90">
        <f t="shared" si="25"/>
        <v>2018</v>
      </c>
      <c r="AI85" s="90">
        <f t="shared" si="26"/>
        <v>899</v>
      </c>
      <c r="AJ85" s="90">
        <f t="shared" si="27"/>
        <v>2021</v>
      </c>
      <c r="AK85" s="90" t="str">
        <f t="shared" si="28"/>
        <v/>
      </c>
      <c r="AL85" s="91">
        <f>IF(AK85="Adjust",(_xlfn.XLOOKUP(A85,'Adj factor'!A:A,'Adj factor'!I:I,,0)*AI85),'Master DataSheet'!AI85)</f>
        <v>899</v>
      </c>
      <c r="AM85" s="91">
        <f t="shared" si="29"/>
        <v>899</v>
      </c>
      <c r="AN85" s="92" t="str">
        <f t="shared" si="30"/>
        <v>Increasing</v>
      </c>
      <c r="AO85" s="93">
        <f>VLOOKUP(B85,'Growthrates source'!A$2:H$49,8,FALSE)</f>
        <v>0.11672257510323925</v>
      </c>
      <c r="AP85" s="93">
        <f>VLOOKUP(B85,'Growthrates source'!A$2:I$49,9,FALSE)</f>
        <v>5.6053037042871567E-2</v>
      </c>
      <c r="AQ85" s="86">
        <f t="shared" si="31"/>
        <v>1.1157583464175103</v>
      </c>
      <c r="AR85" s="86">
        <f t="shared" si="32"/>
        <v>2.3662496880032484</v>
      </c>
      <c r="AS85" s="94">
        <f t="shared" si="33"/>
        <v>0</v>
      </c>
      <c r="AT85" s="94">
        <f t="shared" si="34"/>
        <v>0.31776040894587743</v>
      </c>
      <c r="AU85" s="94">
        <f t="shared" si="35"/>
        <v>0.39649353292144451</v>
      </c>
    </row>
    <row r="86" spans="1:47" x14ac:dyDescent="0.3">
      <c r="A86" s="85" t="str">
        <f>_xlfn.XLOOKUP(B86,'Country codes &amp; Data sources'!G:G,'Country codes &amp; Data sources'!H:H,,0)</f>
        <v>Burkina Faso</v>
      </c>
      <c r="B86" s="85" t="s">
        <v>151</v>
      </c>
      <c r="C86" s="86">
        <v>17113732.499999996</v>
      </c>
      <c r="D86" s="85" t="s">
        <v>206</v>
      </c>
      <c r="E86" s="87">
        <v>0</v>
      </c>
      <c r="F86" s="88">
        <v>17636407.5</v>
      </c>
      <c r="G86" s="87">
        <v>0</v>
      </c>
      <c r="I86" s="87">
        <v>0</v>
      </c>
      <c r="K86" s="87">
        <v>0</v>
      </c>
      <c r="M86" s="87">
        <v>0</v>
      </c>
      <c r="O86" s="87">
        <v>0</v>
      </c>
      <c r="P86" s="88">
        <v>20392723</v>
      </c>
      <c r="Q86" s="87">
        <v>0</v>
      </c>
      <c r="R86" s="87">
        <f t="shared" si="18"/>
        <v>0</v>
      </c>
      <c r="T86" s="87">
        <v>0</v>
      </c>
      <c r="V86" s="87">
        <v>0</v>
      </c>
      <c r="X86" s="87">
        <v>8</v>
      </c>
      <c r="Y86" s="88">
        <v>22673762.000000007</v>
      </c>
      <c r="Z86" s="87">
        <v>0</v>
      </c>
      <c r="AA86" s="87">
        <v>0</v>
      </c>
      <c r="AB86" s="89">
        <f t="shared" si="19"/>
        <v>0</v>
      </c>
      <c r="AC86" s="89">
        <f t="shared" si="20"/>
        <v>0</v>
      </c>
      <c r="AD86" s="89">
        <f t="shared" si="21"/>
        <v>8</v>
      </c>
      <c r="AE86" s="90">
        <f t="shared" si="22"/>
        <v>0</v>
      </c>
      <c r="AF86" s="90" t="str">
        <f t="shared" si="23"/>
        <v/>
      </c>
      <c r="AG86" s="90">
        <f t="shared" si="24"/>
        <v>0</v>
      </c>
      <c r="AH86" s="90" t="str">
        <f t="shared" si="25"/>
        <v/>
      </c>
      <c r="AI86" s="90">
        <f t="shared" si="26"/>
        <v>8</v>
      </c>
      <c r="AJ86" s="90">
        <f t="shared" si="27"/>
        <v>2021</v>
      </c>
      <c r="AK86" s="90" t="str">
        <f t="shared" si="28"/>
        <v/>
      </c>
      <c r="AL86" s="91">
        <f>IF(AK86="Adjust",(_xlfn.XLOOKUP(A86,'Adj factor'!A:A,'Adj factor'!I:I,,0)*AI86),'Master DataSheet'!AI86)</f>
        <v>8</v>
      </c>
      <c r="AM86" s="91">
        <f t="shared" si="29"/>
        <v>8</v>
      </c>
      <c r="AN86" s="92" t="str">
        <f t="shared" si="30"/>
        <v>Increasing</v>
      </c>
      <c r="AO86" s="93">
        <f>VLOOKUP(B86,'Growthrates source'!A$2:H$49,8,FALSE)</f>
        <v>0.11672257510323925</v>
      </c>
      <c r="AP86" s="93">
        <f>VLOOKUP(B86,'Growthrates source'!A$2:I$49,9,FALSE)</f>
        <v>5.6053037042871567E-2</v>
      </c>
      <c r="AQ86" s="86">
        <f t="shared" si="31"/>
        <v>0</v>
      </c>
      <c r="AR86" s="86">
        <f t="shared" si="32"/>
        <v>0</v>
      </c>
      <c r="AS86" s="94">
        <f t="shared" si="33"/>
        <v>0</v>
      </c>
      <c r="AT86" s="94">
        <f t="shared" si="34"/>
        <v>0</v>
      </c>
      <c r="AU86" s="94">
        <f t="shared" si="35"/>
        <v>3.5283073007470033E-3</v>
      </c>
    </row>
    <row r="87" spans="1:47" x14ac:dyDescent="0.3">
      <c r="A87" s="85" t="str">
        <f>_xlfn.XLOOKUP(B87,'Country codes &amp; Data sources'!G:G,'Country codes &amp; Data sources'!H:H,,0)</f>
        <v>Burkina Faso</v>
      </c>
      <c r="B87" s="85" t="s">
        <v>151</v>
      </c>
      <c r="C87" s="86">
        <v>17113732.499999996</v>
      </c>
      <c r="D87" s="85" t="s">
        <v>136</v>
      </c>
      <c r="E87" s="87">
        <v>109</v>
      </c>
      <c r="F87" s="88">
        <v>17636407.5</v>
      </c>
      <c r="G87" s="87">
        <v>0</v>
      </c>
      <c r="I87" s="87">
        <v>0</v>
      </c>
      <c r="K87" s="87">
        <v>0</v>
      </c>
      <c r="M87" s="87">
        <v>0</v>
      </c>
      <c r="O87" s="87">
        <v>0</v>
      </c>
      <c r="P87" s="88">
        <v>20392723</v>
      </c>
      <c r="Q87" s="87">
        <v>0</v>
      </c>
      <c r="R87" s="87">
        <f t="shared" si="18"/>
        <v>128</v>
      </c>
      <c r="T87" s="87">
        <v>191</v>
      </c>
      <c r="V87" s="87">
        <v>274</v>
      </c>
      <c r="X87" s="87">
        <v>209</v>
      </c>
      <c r="Y87" s="88">
        <v>22673762.000000007</v>
      </c>
      <c r="Z87" s="87">
        <v>0</v>
      </c>
      <c r="AA87" s="87">
        <v>128</v>
      </c>
      <c r="AB87" s="89">
        <f t="shared" si="19"/>
        <v>109</v>
      </c>
      <c r="AC87" s="89">
        <f t="shared" si="20"/>
        <v>191</v>
      </c>
      <c r="AD87" s="89">
        <f t="shared" si="21"/>
        <v>274</v>
      </c>
      <c r="AE87" s="90">
        <f t="shared" si="22"/>
        <v>109</v>
      </c>
      <c r="AF87" s="90">
        <f t="shared" si="23"/>
        <v>2012</v>
      </c>
      <c r="AG87" s="90">
        <f t="shared" si="24"/>
        <v>128</v>
      </c>
      <c r="AH87" s="90" t="str">
        <f t="shared" si="25"/>
        <v>2018 (triag)</v>
      </c>
      <c r="AI87" s="90">
        <f t="shared" si="26"/>
        <v>209</v>
      </c>
      <c r="AJ87" s="90">
        <f t="shared" si="27"/>
        <v>2021</v>
      </c>
      <c r="AK87" s="90" t="str">
        <f t="shared" si="28"/>
        <v/>
      </c>
      <c r="AL87" s="91">
        <f>IF(AK87="Adjust",(_xlfn.XLOOKUP(A87,'Adj factor'!A:A,'Adj factor'!I:I,,0)*AI87),'Master DataSheet'!AI87)</f>
        <v>209</v>
      </c>
      <c r="AM87" s="91">
        <f t="shared" si="29"/>
        <v>209</v>
      </c>
      <c r="AN87" s="92" t="str">
        <f t="shared" si="30"/>
        <v>Increasing</v>
      </c>
      <c r="AO87" s="93">
        <f>VLOOKUP(B87,'Growthrates source'!A$2:H$49,8,FALSE)</f>
        <v>0.11672257510323925</v>
      </c>
      <c r="AP87" s="93">
        <f>VLOOKUP(B87,'Growthrates source'!A$2:I$49,9,FALSE)</f>
        <v>5.6053037042871567E-2</v>
      </c>
      <c r="AQ87" s="86">
        <f t="shared" si="31"/>
        <v>71.408534170720657</v>
      </c>
      <c r="AR87" s="86">
        <f t="shared" si="32"/>
        <v>151.4399800322079</v>
      </c>
      <c r="AS87" s="94">
        <f t="shared" si="33"/>
        <v>6.1803969997858123E-2</v>
      </c>
      <c r="AT87" s="94">
        <f t="shared" si="34"/>
        <v>6.2767488186839984E-2</v>
      </c>
      <c r="AU87" s="94">
        <f t="shared" si="35"/>
        <v>9.2177028232015457E-2</v>
      </c>
    </row>
    <row r="88" spans="1:47" x14ac:dyDescent="0.3">
      <c r="A88" s="85" t="str">
        <f>_xlfn.XLOOKUP(B88,'Country codes &amp; Data sources'!G:G,'Country codes &amp; Data sources'!H:H,,0)</f>
        <v>Burkina Faso</v>
      </c>
      <c r="B88" s="85" t="s">
        <v>151</v>
      </c>
      <c r="C88" s="86">
        <v>17113732.499999996</v>
      </c>
      <c r="D88" s="85" t="s">
        <v>207</v>
      </c>
      <c r="E88" s="87">
        <v>0</v>
      </c>
      <c r="F88" s="88">
        <v>17636407.5</v>
      </c>
      <c r="G88" s="87">
        <v>0</v>
      </c>
      <c r="I88" s="87">
        <v>0</v>
      </c>
      <c r="K88" s="87">
        <v>0</v>
      </c>
      <c r="M88" s="87">
        <v>0</v>
      </c>
      <c r="O88" s="87">
        <v>0</v>
      </c>
      <c r="P88" s="88">
        <v>20392723</v>
      </c>
      <c r="Q88" s="87">
        <v>0</v>
      </c>
      <c r="R88" s="87">
        <f t="shared" si="18"/>
        <v>4</v>
      </c>
      <c r="T88" s="87">
        <v>0</v>
      </c>
      <c r="V88" s="87">
        <v>0</v>
      </c>
      <c r="X88" s="87">
        <v>0</v>
      </c>
      <c r="Y88" s="88">
        <v>22673762.000000007</v>
      </c>
      <c r="Z88" s="87">
        <v>44</v>
      </c>
      <c r="AA88" s="87">
        <v>4</v>
      </c>
      <c r="AB88" s="89">
        <f t="shared" si="19"/>
        <v>0</v>
      </c>
      <c r="AC88" s="89">
        <f t="shared" si="20"/>
        <v>0</v>
      </c>
      <c r="AD88" s="89">
        <f t="shared" si="21"/>
        <v>44</v>
      </c>
      <c r="AE88" s="90">
        <f t="shared" si="22"/>
        <v>0</v>
      </c>
      <c r="AF88" s="90" t="str">
        <f t="shared" si="23"/>
        <v/>
      </c>
      <c r="AG88" s="90">
        <f t="shared" si="24"/>
        <v>4</v>
      </c>
      <c r="AH88" s="90" t="str">
        <f t="shared" si="25"/>
        <v>2018 (triag)</v>
      </c>
      <c r="AI88" s="90">
        <f t="shared" si="26"/>
        <v>44</v>
      </c>
      <c r="AJ88" s="90">
        <f t="shared" si="27"/>
        <v>2022</v>
      </c>
      <c r="AK88" s="90" t="str">
        <f t="shared" si="28"/>
        <v/>
      </c>
      <c r="AL88" s="91">
        <f>IF(AK88="Adjust",(_xlfn.XLOOKUP(A88,'Adj factor'!A:A,'Adj factor'!I:I,,0)*AI88),'Master DataSheet'!AI88)</f>
        <v>44</v>
      </c>
      <c r="AM88" s="91">
        <f t="shared" si="29"/>
        <v>44</v>
      </c>
      <c r="AN88" s="92" t="str">
        <f t="shared" si="30"/>
        <v>Increasing</v>
      </c>
      <c r="AO88" s="93">
        <f>VLOOKUP(B88,'Growthrates source'!A$2:H$49,8,FALSE)</f>
        <v>0.11672257510323925</v>
      </c>
      <c r="AP88" s="93">
        <f>VLOOKUP(B88,'Growthrates source'!A$2:I$49,9,FALSE)</f>
        <v>5.6053037042871567E-2</v>
      </c>
      <c r="AQ88" s="86">
        <f t="shared" si="31"/>
        <v>2.2315166928350205</v>
      </c>
      <c r="AR88" s="86">
        <f t="shared" si="32"/>
        <v>4.7324993760064968</v>
      </c>
      <c r="AS88" s="94">
        <f t="shared" si="33"/>
        <v>0</v>
      </c>
      <c r="AT88" s="94">
        <f t="shared" si="34"/>
        <v>1.9614840058387495E-3</v>
      </c>
      <c r="AU88" s="94">
        <f t="shared" si="35"/>
        <v>1.9405690154108517E-2</v>
      </c>
    </row>
    <row r="89" spans="1:47" x14ac:dyDescent="0.3">
      <c r="A89" s="85" t="str">
        <f>_xlfn.XLOOKUP(B89,'Country codes &amp; Data sources'!G:G,'Country codes &amp; Data sources'!H:H,,0)</f>
        <v>Burkina Faso</v>
      </c>
      <c r="B89" s="85" t="s">
        <v>151</v>
      </c>
      <c r="C89" s="86">
        <v>17113732.499999996</v>
      </c>
      <c r="D89" s="85" t="s">
        <v>141</v>
      </c>
      <c r="E89" s="87">
        <v>0</v>
      </c>
      <c r="F89" s="88">
        <v>17636407.5</v>
      </c>
      <c r="G89" s="87">
        <v>0</v>
      </c>
      <c r="I89" s="87">
        <v>0</v>
      </c>
      <c r="K89" s="87">
        <v>0</v>
      </c>
      <c r="M89" s="87">
        <v>0</v>
      </c>
      <c r="O89" s="87">
        <v>3</v>
      </c>
      <c r="P89" s="88">
        <v>20392723</v>
      </c>
      <c r="Q89" s="87">
        <v>0</v>
      </c>
      <c r="R89" s="87">
        <f t="shared" si="18"/>
        <v>3</v>
      </c>
      <c r="T89" s="87">
        <v>0</v>
      </c>
      <c r="V89" s="87">
        <v>3</v>
      </c>
      <c r="X89" s="87">
        <v>3</v>
      </c>
      <c r="Y89" s="88">
        <v>22673762.000000007</v>
      </c>
      <c r="Z89" s="87">
        <v>2</v>
      </c>
      <c r="AA89" s="87">
        <v>3</v>
      </c>
      <c r="AB89" s="89">
        <f t="shared" si="19"/>
        <v>0</v>
      </c>
      <c r="AC89" s="89">
        <f t="shared" si="20"/>
        <v>3</v>
      </c>
      <c r="AD89" s="89">
        <f t="shared" si="21"/>
        <v>3</v>
      </c>
      <c r="AE89" s="90">
        <f t="shared" si="22"/>
        <v>0</v>
      </c>
      <c r="AF89" s="90" t="str">
        <f t="shared" si="23"/>
        <v/>
      </c>
      <c r="AG89" s="90">
        <f t="shared" si="24"/>
        <v>3</v>
      </c>
      <c r="AH89" s="90">
        <f t="shared" si="25"/>
        <v>2017</v>
      </c>
      <c r="AI89" s="90">
        <f t="shared" si="26"/>
        <v>2</v>
      </c>
      <c r="AJ89" s="90">
        <f t="shared" si="27"/>
        <v>2022</v>
      </c>
      <c r="AK89" s="90" t="str">
        <f t="shared" si="28"/>
        <v>Adjust</v>
      </c>
      <c r="AL89" s="91">
        <f>IF(AK89="Adjust",(_xlfn.XLOOKUP(A89,'Adj factor'!A:A,'Adj factor'!I:I,,0)*AI89),'Master DataSheet'!AI89)</f>
        <v>2.0546664132294241</v>
      </c>
      <c r="AM89" s="91">
        <f t="shared" si="29"/>
        <v>3</v>
      </c>
      <c r="AN89" s="92" t="str">
        <f t="shared" si="30"/>
        <v>Decreasing</v>
      </c>
      <c r="AO89" s="93">
        <f>VLOOKUP(B89,'Growthrates source'!A$2:H$49,8,FALSE)</f>
        <v>0.11672257510323925</v>
      </c>
      <c r="AP89" s="93">
        <f>VLOOKUP(B89,'Growthrates source'!A$2:I$49,9,FALSE)</f>
        <v>5.6053037042871567E-2</v>
      </c>
      <c r="AQ89" s="86">
        <f t="shared" si="31"/>
        <v>1.6736375196262654</v>
      </c>
      <c r="AR89" s="86">
        <f t="shared" si="32"/>
        <v>3.5493745320048724</v>
      </c>
      <c r="AS89" s="94">
        <f t="shared" si="33"/>
        <v>0</v>
      </c>
      <c r="AT89" s="94">
        <f t="shared" si="34"/>
        <v>1.471113004379062E-3</v>
      </c>
      <c r="AU89" s="94">
        <f t="shared" si="35"/>
        <v>1.3231152377801262E-3</v>
      </c>
    </row>
    <row r="90" spans="1:47" x14ac:dyDescent="0.3">
      <c r="A90" s="85" t="str">
        <f>_xlfn.XLOOKUP(B90,'Country codes &amp; Data sources'!G:G,'Country codes &amp; Data sources'!H:H,,0)</f>
        <v>Burkina Faso</v>
      </c>
      <c r="B90" s="85" t="s">
        <v>151</v>
      </c>
      <c r="C90" s="86">
        <v>17113732.499999996</v>
      </c>
      <c r="D90" s="85" t="s">
        <v>208</v>
      </c>
      <c r="E90" s="87">
        <v>0</v>
      </c>
      <c r="F90" s="88">
        <v>17636407.5</v>
      </c>
      <c r="G90" s="87">
        <v>0</v>
      </c>
      <c r="I90" s="87">
        <v>0</v>
      </c>
      <c r="K90" s="87">
        <v>0</v>
      </c>
      <c r="M90" s="87">
        <v>0</v>
      </c>
      <c r="O90" s="87">
        <v>0</v>
      </c>
      <c r="P90" s="88">
        <v>20392723</v>
      </c>
      <c r="Q90" s="87">
        <v>0</v>
      </c>
      <c r="R90" s="87">
        <f t="shared" si="18"/>
        <v>871</v>
      </c>
      <c r="T90" s="87">
        <v>22</v>
      </c>
      <c r="V90" s="87">
        <v>0</v>
      </c>
      <c r="X90" s="87">
        <v>0</v>
      </c>
      <c r="Y90" s="88">
        <v>22673762.000000007</v>
      </c>
      <c r="Z90" s="87">
        <v>0</v>
      </c>
      <c r="AA90" s="87">
        <v>871</v>
      </c>
      <c r="AB90" s="89">
        <f t="shared" si="19"/>
        <v>0</v>
      </c>
      <c r="AC90" s="89">
        <f t="shared" si="20"/>
        <v>22</v>
      </c>
      <c r="AD90" s="89">
        <f t="shared" si="21"/>
        <v>0</v>
      </c>
      <c r="AE90" s="90">
        <f t="shared" si="22"/>
        <v>0</v>
      </c>
      <c r="AF90" s="90" t="str">
        <f t="shared" si="23"/>
        <v/>
      </c>
      <c r="AG90" s="90">
        <f t="shared" si="24"/>
        <v>871</v>
      </c>
      <c r="AH90" s="90" t="str">
        <f t="shared" si="25"/>
        <v>2018 (triag)</v>
      </c>
      <c r="AI90" s="90">
        <f t="shared" si="26"/>
        <v>22</v>
      </c>
      <c r="AJ90" s="90" t="str">
        <f t="shared" si="27"/>
        <v>2018 (triag)</v>
      </c>
      <c r="AK90" s="90" t="str">
        <f t="shared" si="28"/>
        <v>Adjust</v>
      </c>
      <c r="AL90" s="91">
        <f>IF(AK90="Adjust",(_xlfn.XLOOKUP(A90,'Adj factor'!A:A,'Adj factor'!I:I,,0)*AI90),'Master DataSheet'!AI90)</f>
        <v>22.601330545523666</v>
      </c>
      <c r="AM90" s="91">
        <f t="shared" si="29"/>
        <v>871</v>
      </c>
      <c r="AN90" s="92" t="str">
        <f t="shared" si="30"/>
        <v>Decreasing</v>
      </c>
      <c r="AO90" s="93">
        <f>VLOOKUP(B90,'Growthrates source'!A$2:H$49,8,FALSE)</f>
        <v>0.11672257510323925</v>
      </c>
      <c r="AP90" s="93">
        <f>VLOOKUP(B90,'Growthrates source'!A$2:I$49,9,FALSE)</f>
        <v>5.6053037042871567E-2</v>
      </c>
      <c r="AQ90" s="86">
        <f t="shared" si="31"/>
        <v>485.91275986482572</v>
      </c>
      <c r="AR90" s="86">
        <f t="shared" si="32"/>
        <v>1030.5017391254146</v>
      </c>
      <c r="AS90" s="94">
        <f t="shared" si="33"/>
        <v>0</v>
      </c>
      <c r="AT90" s="94">
        <f t="shared" si="34"/>
        <v>0.42711314227138769</v>
      </c>
      <c r="AU90" s="94">
        <f t="shared" si="35"/>
        <v>0.38414445736882996</v>
      </c>
    </row>
    <row r="91" spans="1:47" x14ac:dyDescent="0.3">
      <c r="A91" s="85" t="str">
        <f>_xlfn.XLOOKUP(B91,'Country codes &amp; Data sources'!G:G,'Country codes &amp; Data sources'!H:H,,0)</f>
        <v>Burkina Faso</v>
      </c>
      <c r="B91" s="85" t="s">
        <v>151</v>
      </c>
      <c r="C91" s="86">
        <v>17113732.499999996</v>
      </c>
      <c r="D91" s="85" t="s">
        <v>209</v>
      </c>
      <c r="E91" s="87">
        <v>0</v>
      </c>
      <c r="F91" s="88">
        <v>17636407.5</v>
      </c>
      <c r="G91" s="87">
        <v>0</v>
      </c>
      <c r="I91" s="87">
        <v>0</v>
      </c>
      <c r="K91" s="87">
        <v>0</v>
      </c>
      <c r="M91" s="87">
        <v>0</v>
      </c>
      <c r="O91" s="87">
        <v>0</v>
      </c>
      <c r="P91" s="88">
        <v>20392723</v>
      </c>
      <c r="Q91" s="87">
        <v>0</v>
      </c>
      <c r="R91" s="87">
        <f t="shared" si="18"/>
        <v>44</v>
      </c>
      <c r="T91" s="87">
        <v>2079</v>
      </c>
      <c r="V91" s="87">
        <v>0</v>
      </c>
      <c r="X91" s="87">
        <v>0</v>
      </c>
      <c r="Y91" s="88">
        <v>22673762.000000007</v>
      </c>
      <c r="Z91" s="87">
        <v>0</v>
      </c>
      <c r="AA91" s="87">
        <v>44</v>
      </c>
      <c r="AB91" s="89">
        <f t="shared" si="19"/>
        <v>0</v>
      </c>
      <c r="AC91" s="89">
        <f t="shared" si="20"/>
        <v>2079</v>
      </c>
      <c r="AD91" s="89">
        <f t="shared" si="21"/>
        <v>0</v>
      </c>
      <c r="AE91" s="90">
        <f t="shared" si="22"/>
        <v>0</v>
      </c>
      <c r="AF91" s="90" t="str">
        <f t="shared" si="23"/>
        <v/>
      </c>
      <c r="AG91" s="90">
        <f t="shared" si="24"/>
        <v>44</v>
      </c>
      <c r="AH91" s="90" t="str">
        <f t="shared" si="25"/>
        <v>2018 (triag)</v>
      </c>
      <c r="AI91" s="90">
        <f t="shared" si="26"/>
        <v>2079</v>
      </c>
      <c r="AJ91" s="90" t="str">
        <f t="shared" si="27"/>
        <v>2018 (triag)</v>
      </c>
      <c r="AK91" s="90" t="str">
        <f t="shared" si="28"/>
        <v/>
      </c>
      <c r="AL91" s="91">
        <f>IF(AK91="Adjust",(_xlfn.XLOOKUP(A91,'Adj factor'!A:A,'Adj factor'!I:I,,0)*AI91),'Master DataSheet'!AI91)</f>
        <v>2079</v>
      </c>
      <c r="AM91" s="91">
        <f t="shared" si="29"/>
        <v>2079</v>
      </c>
      <c r="AN91" s="92" t="str">
        <f t="shared" si="30"/>
        <v>Increasing</v>
      </c>
      <c r="AO91" s="93">
        <f>VLOOKUP(B91,'Growthrates source'!A$2:H$49,8,FALSE)</f>
        <v>0.11672257510323925</v>
      </c>
      <c r="AP91" s="93">
        <f>VLOOKUP(B91,'Growthrates source'!A$2:I$49,9,FALSE)</f>
        <v>5.6053037042871567E-2</v>
      </c>
      <c r="AQ91" s="86">
        <f t="shared" si="31"/>
        <v>24.546683621185224</v>
      </c>
      <c r="AR91" s="86">
        <f t="shared" si="32"/>
        <v>52.057493136071464</v>
      </c>
      <c r="AS91" s="94">
        <f t="shared" si="33"/>
        <v>0</v>
      </c>
      <c r="AT91" s="94">
        <f t="shared" si="34"/>
        <v>2.1576324064226243E-2</v>
      </c>
      <c r="AU91" s="94">
        <f t="shared" si="35"/>
        <v>0.91691885978162746</v>
      </c>
    </row>
    <row r="92" spans="1:47" x14ac:dyDescent="0.3">
      <c r="A92" s="85" t="str">
        <f>_xlfn.XLOOKUP(B92,'Country codes &amp; Data sources'!G:G,'Country codes &amp; Data sources'!H:H,,0)</f>
        <v>Burkina Faso</v>
      </c>
      <c r="B92" s="85" t="s">
        <v>151</v>
      </c>
      <c r="C92" s="86">
        <v>17113732.499999996</v>
      </c>
      <c r="D92" s="85" t="s">
        <v>134</v>
      </c>
      <c r="E92" s="87">
        <v>458</v>
      </c>
      <c r="F92" s="88">
        <v>17636407.5</v>
      </c>
      <c r="G92" s="87">
        <v>0</v>
      </c>
      <c r="I92" s="87">
        <v>0</v>
      </c>
      <c r="K92" s="87">
        <v>0</v>
      </c>
      <c r="M92" s="87">
        <v>0</v>
      </c>
      <c r="O92" s="87">
        <v>0</v>
      </c>
      <c r="P92" s="88">
        <v>20392723</v>
      </c>
      <c r="Q92" s="87">
        <v>0</v>
      </c>
      <c r="R92" s="87">
        <f t="shared" si="18"/>
        <v>699</v>
      </c>
      <c r="T92" s="87">
        <v>0</v>
      </c>
      <c r="V92" s="87">
        <v>0</v>
      </c>
      <c r="X92" s="87">
        <v>0</v>
      </c>
      <c r="Y92" s="88">
        <v>22673762.000000007</v>
      </c>
      <c r="Z92" s="87">
        <v>0</v>
      </c>
      <c r="AA92" s="87">
        <v>699</v>
      </c>
      <c r="AB92" s="89">
        <f t="shared" si="19"/>
        <v>458</v>
      </c>
      <c r="AC92" s="89">
        <f t="shared" si="20"/>
        <v>0</v>
      </c>
      <c r="AD92" s="89">
        <f t="shared" si="21"/>
        <v>0</v>
      </c>
      <c r="AE92" s="90">
        <f t="shared" si="22"/>
        <v>458</v>
      </c>
      <c r="AF92" s="90">
        <f t="shared" si="23"/>
        <v>2012</v>
      </c>
      <c r="AG92" s="90">
        <f t="shared" si="24"/>
        <v>699</v>
      </c>
      <c r="AH92" s="90" t="str">
        <f t="shared" si="25"/>
        <v>2018 (triag)</v>
      </c>
      <c r="AI92" s="90">
        <f t="shared" si="26"/>
        <v>699</v>
      </c>
      <c r="AJ92" s="90" t="str">
        <f t="shared" si="27"/>
        <v>2018 (triag)</v>
      </c>
      <c r="AK92" s="90" t="str">
        <f t="shared" si="28"/>
        <v/>
      </c>
      <c r="AL92" s="91">
        <f>IF(AK92="Adjust",(_xlfn.XLOOKUP(A92,'Adj factor'!A:A,'Adj factor'!I:I,,0)*AI92),'Master DataSheet'!AI92)</f>
        <v>699</v>
      </c>
      <c r="AM92" s="91">
        <f t="shared" si="29"/>
        <v>699</v>
      </c>
      <c r="AN92" s="92" t="str">
        <f t="shared" si="30"/>
        <v>No change</v>
      </c>
      <c r="AO92" s="93">
        <f>VLOOKUP(B92,'Growthrates source'!A$2:H$49,8,FALSE)</f>
        <v>0.11672257510323925</v>
      </c>
      <c r="AP92" s="93">
        <f>VLOOKUP(B92,'Growthrates source'!A$2:I$49,9,FALSE)</f>
        <v>5.6053037042871567E-2</v>
      </c>
      <c r="AQ92" s="86">
        <f t="shared" si="31"/>
        <v>389.95754207291981</v>
      </c>
      <c r="AR92" s="86">
        <f t="shared" si="32"/>
        <v>827.00426595713532</v>
      </c>
      <c r="AS92" s="94">
        <f t="shared" si="33"/>
        <v>0.25969007577081671</v>
      </c>
      <c r="AT92" s="94">
        <f t="shared" si="34"/>
        <v>0.34276933002032145</v>
      </c>
      <c r="AU92" s="94">
        <f t="shared" si="35"/>
        <v>0.3082858504027694</v>
      </c>
    </row>
    <row r="93" spans="1:47" x14ac:dyDescent="0.3">
      <c r="A93" s="85" t="str">
        <f>_xlfn.XLOOKUP(B93,'Country codes &amp; Data sources'!G:G,'Country codes &amp; Data sources'!H:H,,0)</f>
        <v>Burkina Faso</v>
      </c>
      <c r="B93" s="85" t="s">
        <v>151</v>
      </c>
      <c r="C93" s="86">
        <v>17113732.499999996</v>
      </c>
      <c r="D93" s="85" t="s">
        <v>142</v>
      </c>
      <c r="E93" s="87">
        <v>0</v>
      </c>
      <c r="F93" s="88">
        <v>17636407.5</v>
      </c>
      <c r="G93" s="87">
        <v>0</v>
      </c>
      <c r="I93" s="87">
        <v>0</v>
      </c>
      <c r="K93" s="87">
        <v>0</v>
      </c>
      <c r="M93" s="87">
        <v>0</v>
      </c>
      <c r="O93" s="87">
        <v>0</v>
      </c>
      <c r="P93" s="88">
        <v>20392723</v>
      </c>
      <c r="Q93" s="87">
        <v>0</v>
      </c>
      <c r="R93" s="87">
        <f t="shared" si="18"/>
        <v>0</v>
      </c>
      <c r="T93" s="87">
        <v>0</v>
      </c>
      <c r="V93" s="87">
        <v>0</v>
      </c>
      <c r="X93" s="87">
        <v>0</v>
      </c>
      <c r="Y93" s="88">
        <v>22673762.000000007</v>
      </c>
      <c r="Z93" s="87">
        <v>1698</v>
      </c>
      <c r="AA93" s="87">
        <v>0</v>
      </c>
      <c r="AB93" s="89">
        <f t="shared" si="19"/>
        <v>0</v>
      </c>
      <c r="AC93" s="89">
        <f t="shared" si="20"/>
        <v>0</v>
      </c>
      <c r="AD93" s="89">
        <f t="shared" si="21"/>
        <v>1698</v>
      </c>
      <c r="AE93" s="90">
        <f t="shared" si="22"/>
        <v>0</v>
      </c>
      <c r="AF93" s="90" t="str">
        <f t="shared" si="23"/>
        <v/>
      </c>
      <c r="AG93" s="90">
        <f t="shared" si="24"/>
        <v>0</v>
      </c>
      <c r="AH93" s="90" t="str">
        <f t="shared" si="25"/>
        <v/>
      </c>
      <c r="AI93" s="90">
        <f t="shared" si="26"/>
        <v>1698</v>
      </c>
      <c r="AJ93" s="90">
        <f t="shared" si="27"/>
        <v>2022</v>
      </c>
      <c r="AK93" s="90" t="str">
        <f t="shared" si="28"/>
        <v/>
      </c>
      <c r="AL93" s="91">
        <f>IF(AK93="Adjust",(_xlfn.XLOOKUP(A93,'Adj factor'!A:A,'Adj factor'!I:I,,0)*AI93),'Master DataSheet'!AI93)</f>
        <v>1698</v>
      </c>
      <c r="AM93" s="91">
        <f t="shared" si="29"/>
        <v>1698</v>
      </c>
      <c r="AN93" s="92" t="str">
        <f t="shared" si="30"/>
        <v>Increasing</v>
      </c>
      <c r="AO93" s="93">
        <f>VLOOKUP(B93,'Growthrates source'!A$2:H$49,8,FALSE)</f>
        <v>0.11672257510323925</v>
      </c>
      <c r="AP93" s="93">
        <f>VLOOKUP(B93,'Growthrates source'!A$2:I$49,9,FALSE)</f>
        <v>5.6053037042871567E-2</v>
      </c>
      <c r="AQ93" s="86">
        <f t="shared" si="31"/>
        <v>0</v>
      </c>
      <c r="AR93" s="86">
        <f t="shared" si="32"/>
        <v>0</v>
      </c>
      <c r="AS93" s="94">
        <f t="shared" si="33"/>
        <v>0</v>
      </c>
      <c r="AT93" s="94">
        <f t="shared" si="34"/>
        <v>0</v>
      </c>
      <c r="AU93" s="94">
        <f t="shared" si="35"/>
        <v>0.74888322458355139</v>
      </c>
    </row>
    <row r="94" spans="1:47" x14ac:dyDescent="0.3">
      <c r="A94" s="85" t="str">
        <f>_xlfn.XLOOKUP(B94,'Country codes &amp; Data sources'!G:G,'Country codes &amp; Data sources'!H:H,,0)</f>
        <v>Burkina Faso</v>
      </c>
      <c r="B94" s="85" t="s">
        <v>151</v>
      </c>
      <c r="C94" s="86">
        <v>17113732.499999996</v>
      </c>
      <c r="D94" s="85" t="s">
        <v>83</v>
      </c>
      <c r="E94" s="87">
        <v>0</v>
      </c>
      <c r="F94" s="88">
        <v>17636407.5</v>
      </c>
      <c r="G94" s="87">
        <v>0</v>
      </c>
      <c r="I94" s="87">
        <v>0</v>
      </c>
      <c r="K94" s="87">
        <v>0</v>
      </c>
      <c r="M94" s="87">
        <v>0</v>
      </c>
      <c r="O94" s="87">
        <v>18</v>
      </c>
      <c r="P94" s="88">
        <v>20392723</v>
      </c>
      <c r="Q94" s="87">
        <v>0</v>
      </c>
      <c r="R94" s="87">
        <f t="shared" si="18"/>
        <v>18</v>
      </c>
      <c r="T94" s="87">
        <v>0</v>
      </c>
      <c r="V94" s="87">
        <v>22</v>
      </c>
      <c r="X94" s="87">
        <v>47</v>
      </c>
      <c r="Y94" s="88">
        <v>22673762.000000007</v>
      </c>
      <c r="Z94" s="87">
        <v>0</v>
      </c>
      <c r="AA94" s="87">
        <v>18</v>
      </c>
      <c r="AB94" s="89">
        <f t="shared" si="19"/>
        <v>0</v>
      </c>
      <c r="AC94" s="89">
        <f t="shared" si="20"/>
        <v>18</v>
      </c>
      <c r="AD94" s="89">
        <f t="shared" si="21"/>
        <v>47</v>
      </c>
      <c r="AE94" s="90">
        <f t="shared" si="22"/>
        <v>0</v>
      </c>
      <c r="AF94" s="90" t="str">
        <f t="shared" si="23"/>
        <v/>
      </c>
      <c r="AG94" s="90">
        <f t="shared" si="24"/>
        <v>18</v>
      </c>
      <c r="AH94" s="90">
        <f t="shared" si="25"/>
        <v>2017</v>
      </c>
      <c r="AI94" s="90">
        <f t="shared" si="26"/>
        <v>47</v>
      </c>
      <c r="AJ94" s="90">
        <f t="shared" si="27"/>
        <v>2021</v>
      </c>
      <c r="AK94" s="90" t="str">
        <f t="shared" si="28"/>
        <v/>
      </c>
      <c r="AL94" s="91">
        <f>IF(AK94="Adjust",(_xlfn.XLOOKUP(A94,'Adj factor'!A:A,'Adj factor'!I:I,,0)*AI94),'Master DataSheet'!AI94)</f>
        <v>47</v>
      </c>
      <c r="AM94" s="91">
        <f t="shared" si="29"/>
        <v>47</v>
      </c>
      <c r="AN94" s="92" t="str">
        <f t="shared" si="30"/>
        <v>Increasing</v>
      </c>
      <c r="AO94" s="93">
        <f>VLOOKUP(B94,'Growthrates source'!A$2:H$49,8,FALSE)</f>
        <v>0.11672257510323925</v>
      </c>
      <c r="AP94" s="93">
        <f>VLOOKUP(B94,'Growthrates source'!A$2:I$49,9,FALSE)</f>
        <v>5.6053037042871567E-2</v>
      </c>
      <c r="AQ94" s="86">
        <f t="shared" si="31"/>
        <v>10.041825117757591</v>
      </c>
      <c r="AR94" s="86">
        <f t="shared" si="32"/>
        <v>21.296247192029234</v>
      </c>
      <c r="AS94" s="94">
        <f t="shared" si="33"/>
        <v>0</v>
      </c>
      <c r="AT94" s="94">
        <f t="shared" si="34"/>
        <v>8.8266780262743726E-3</v>
      </c>
      <c r="AU94" s="94">
        <f t="shared" si="35"/>
        <v>2.0728805391888643E-2</v>
      </c>
    </row>
    <row r="95" spans="1:47" x14ac:dyDescent="0.3">
      <c r="A95" s="85" t="str">
        <f>_xlfn.XLOOKUP(B95,'Country codes &amp; Data sources'!G:G,'Country codes &amp; Data sources'!H:H,,0)</f>
        <v>Burkina Faso</v>
      </c>
      <c r="B95" s="85" t="s">
        <v>151</v>
      </c>
      <c r="C95" s="86">
        <v>17113732.499999996</v>
      </c>
      <c r="D95" s="85" t="s">
        <v>84</v>
      </c>
      <c r="E95" s="87">
        <v>0</v>
      </c>
      <c r="F95" s="88">
        <v>17636407.5</v>
      </c>
      <c r="G95" s="87">
        <v>0</v>
      </c>
      <c r="I95" s="87">
        <v>0</v>
      </c>
      <c r="K95" s="87">
        <v>0</v>
      </c>
      <c r="M95" s="87">
        <v>0</v>
      </c>
      <c r="O95" s="87">
        <v>0</v>
      </c>
      <c r="P95" s="88">
        <v>20392723</v>
      </c>
      <c r="Q95" s="87">
        <v>0</v>
      </c>
      <c r="R95" s="87">
        <f t="shared" si="18"/>
        <v>0</v>
      </c>
      <c r="T95" s="87">
        <v>34</v>
      </c>
      <c r="V95" s="87">
        <v>0</v>
      </c>
      <c r="X95" s="87">
        <v>0</v>
      </c>
      <c r="Y95" s="88">
        <v>22673762.000000007</v>
      </c>
      <c r="Z95" s="87">
        <v>39</v>
      </c>
      <c r="AA95" s="87">
        <v>0</v>
      </c>
      <c r="AB95" s="89">
        <f t="shared" si="19"/>
        <v>0</v>
      </c>
      <c r="AC95" s="89">
        <f t="shared" si="20"/>
        <v>34</v>
      </c>
      <c r="AD95" s="89">
        <f t="shared" si="21"/>
        <v>39</v>
      </c>
      <c r="AE95" s="90">
        <f t="shared" si="22"/>
        <v>0</v>
      </c>
      <c r="AF95" s="90" t="str">
        <f t="shared" si="23"/>
        <v/>
      </c>
      <c r="AG95" s="90">
        <f t="shared" si="24"/>
        <v>34</v>
      </c>
      <c r="AH95" s="90">
        <f t="shared" si="25"/>
        <v>2019</v>
      </c>
      <c r="AI95" s="90">
        <f t="shared" si="26"/>
        <v>39</v>
      </c>
      <c r="AJ95" s="90">
        <f t="shared" si="27"/>
        <v>2022</v>
      </c>
      <c r="AK95" s="90" t="str">
        <f t="shared" si="28"/>
        <v/>
      </c>
      <c r="AL95" s="91">
        <f>IF(AK95="Adjust",(_xlfn.XLOOKUP(A95,'Adj factor'!A:A,'Adj factor'!I:I,,0)*AI95),'Master DataSheet'!AI95)</f>
        <v>39</v>
      </c>
      <c r="AM95" s="91">
        <f t="shared" si="29"/>
        <v>39</v>
      </c>
      <c r="AN95" s="92" t="str">
        <f t="shared" si="30"/>
        <v>Increasing</v>
      </c>
      <c r="AO95" s="93">
        <f>VLOOKUP(B95,'Growthrates source'!A$2:H$49,8,FALSE)</f>
        <v>0.11672257510323925</v>
      </c>
      <c r="AP95" s="93">
        <f>VLOOKUP(B95,'Growthrates source'!A$2:I$49,9,FALSE)</f>
        <v>5.6053037042871567E-2</v>
      </c>
      <c r="AQ95" s="86">
        <f t="shared" si="31"/>
        <v>0</v>
      </c>
      <c r="AR95" s="86">
        <f t="shared" si="32"/>
        <v>0</v>
      </c>
      <c r="AS95" s="94">
        <f t="shared" si="33"/>
        <v>0</v>
      </c>
      <c r="AT95" s="94">
        <f t="shared" si="34"/>
        <v>1.6672614049629369E-2</v>
      </c>
      <c r="AU95" s="94">
        <f t="shared" si="35"/>
        <v>1.7200498091141641E-2</v>
      </c>
    </row>
    <row r="96" spans="1:47" x14ac:dyDescent="0.3">
      <c r="A96" s="85" t="str">
        <f>_xlfn.XLOOKUP(B96,'Country codes &amp; Data sources'!G:G,'Country codes &amp; Data sources'!H:H,,0)</f>
        <v>Burkina Faso</v>
      </c>
      <c r="B96" s="85" t="s">
        <v>151</v>
      </c>
      <c r="C96" s="86">
        <v>17113732.499999996</v>
      </c>
      <c r="D96" s="85" t="s">
        <v>126</v>
      </c>
      <c r="E96" s="87">
        <v>0</v>
      </c>
      <c r="F96" s="88">
        <v>17636407.5</v>
      </c>
      <c r="G96" s="87">
        <v>0</v>
      </c>
      <c r="I96" s="87">
        <v>0</v>
      </c>
      <c r="K96" s="87">
        <v>0</v>
      </c>
      <c r="M96" s="87">
        <v>0</v>
      </c>
      <c r="O96" s="87">
        <v>0</v>
      </c>
      <c r="P96" s="88">
        <v>20392723</v>
      </c>
      <c r="Q96" s="87">
        <v>0</v>
      </c>
      <c r="R96" s="87">
        <f t="shared" si="18"/>
        <v>0</v>
      </c>
      <c r="T96" s="87">
        <v>0</v>
      </c>
      <c r="V96" s="87">
        <v>0</v>
      </c>
      <c r="X96" s="87">
        <v>0</v>
      </c>
      <c r="Y96" s="88">
        <v>22673762.000000007</v>
      </c>
      <c r="Z96" s="87">
        <v>0</v>
      </c>
      <c r="AA96" s="87">
        <v>0</v>
      </c>
      <c r="AB96" s="89">
        <f t="shared" si="19"/>
        <v>0</v>
      </c>
      <c r="AC96" s="89">
        <f t="shared" si="20"/>
        <v>0</v>
      </c>
      <c r="AD96" s="89">
        <f t="shared" si="21"/>
        <v>0</v>
      </c>
      <c r="AE96" s="90">
        <f t="shared" si="22"/>
        <v>0</v>
      </c>
      <c r="AF96" s="90" t="str">
        <f t="shared" si="23"/>
        <v/>
      </c>
      <c r="AG96" s="90">
        <f t="shared" si="24"/>
        <v>0</v>
      </c>
      <c r="AH96" s="90" t="str">
        <f t="shared" si="25"/>
        <v/>
      </c>
      <c r="AI96" s="90">
        <f t="shared" si="26"/>
        <v>0</v>
      </c>
      <c r="AJ96" s="90" t="str">
        <f t="shared" si="27"/>
        <v/>
      </c>
      <c r="AK96" s="90" t="str">
        <f t="shared" si="28"/>
        <v/>
      </c>
      <c r="AL96" s="91">
        <f>IF(AK96="Adjust",(_xlfn.XLOOKUP(A96,'Adj factor'!A:A,'Adj factor'!I:I,,0)*AI96),'Master DataSheet'!AI96)</f>
        <v>0</v>
      </c>
      <c r="AM96" s="91">
        <f t="shared" si="29"/>
        <v>0</v>
      </c>
      <c r="AN96" s="92" t="str">
        <f t="shared" si="30"/>
        <v>No change</v>
      </c>
      <c r="AO96" s="93">
        <f>VLOOKUP(B96,'Growthrates source'!A$2:H$49,8,FALSE)</f>
        <v>0.11672257510323925</v>
      </c>
      <c r="AP96" s="93">
        <f>VLOOKUP(B96,'Growthrates source'!A$2:I$49,9,FALSE)</f>
        <v>5.6053037042871567E-2</v>
      </c>
      <c r="AQ96" s="86">
        <f t="shared" si="31"/>
        <v>0</v>
      </c>
      <c r="AR96" s="86">
        <f t="shared" si="32"/>
        <v>0</v>
      </c>
      <c r="AS96" s="94">
        <f t="shared" si="33"/>
        <v>0</v>
      </c>
      <c r="AT96" s="94">
        <f t="shared" si="34"/>
        <v>0</v>
      </c>
      <c r="AU96" s="94">
        <f t="shared" si="35"/>
        <v>0</v>
      </c>
    </row>
    <row r="97" spans="1:48" x14ac:dyDescent="0.3">
      <c r="A97" s="85" t="str">
        <f>_xlfn.XLOOKUP(B97,'Country codes &amp; Data sources'!G:G,'Country codes &amp; Data sources'!H:H,,0)</f>
        <v>Burkina Faso</v>
      </c>
      <c r="B97" s="85" t="s">
        <v>151</v>
      </c>
      <c r="C97" s="86">
        <v>17113732.499999996</v>
      </c>
      <c r="D97" s="85" t="s">
        <v>87</v>
      </c>
      <c r="E97" s="87">
        <v>0</v>
      </c>
      <c r="F97" s="88">
        <v>17636407.5</v>
      </c>
      <c r="G97" s="87">
        <v>0</v>
      </c>
      <c r="I97" s="87">
        <v>0</v>
      </c>
      <c r="K97" s="87">
        <v>0</v>
      </c>
      <c r="M97" s="87">
        <v>0</v>
      </c>
      <c r="O97" s="87">
        <v>336</v>
      </c>
      <c r="P97" s="88">
        <v>20392723</v>
      </c>
      <c r="Q97" s="87">
        <v>0</v>
      </c>
      <c r="R97" s="87">
        <f t="shared" si="18"/>
        <v>336</v>
      </c>
      <c r="T97" s="87">
        <v>336</v>
      </c>
      <c r="V97" s="87">
        <v>0</v>
      </c>
      <c r="X97" s="87">
        <v>50</v>
      </c>
      <c r="Y97" s="88">
        <v>22673762.000000007</v>
      </c>
      <c r="Z97" s="87">
        <v>0</v>
      </c>
      <c r="AA97" s="87">
        <v>336</v>
      </c>
      <c r="AB97" s="89">
        <f t="shared" si="19"/>
        <v>0</v>
      </c>
      <c r="AC97" s="89">
        <f t="shared" si="20"/>
        <v>336</v>
      </c>
      <c r="AD97" s="89">
        <f t="shared" si="21"/>
        <v>50</v>
      </c>
      <c r="AE97" s="90">
        <f t="shared" si="22"/>
        <v>0</v>
      </c>
      <c r="AF97" s="90" t="str">
        <f t="shared" si="23"/>
        <v/>
      </c>
      <c r="AG97" s="90">
        <f t="shared" si="24"/>
        <v>336</v>
      </c>
      <c r="AH97" s="90">
        <f t="shared" si="25"/>
        <v>2017</v>
      </c>
      <c r="AI97" s="90">
        <f t="shared" si="26"/>
        <v>50</v>
      </c>
      <c r="AJ97" s="90">
        <f t="shared" si="27"/>
        <v>2021</v>
      </c>
      <c r="AK97" s="90" t="str">
        <f t="shared" si="28"/>
        <v>Adjust</v>
      </c>
      <c r="AL97" s="91">
        <f>IF(AK97="Adjust",(_xlfn.XLOOKUP(A97,'Adj factor'!A:A,'Adj factor'!I:I,,0)*AI97),'Master DataSheet'!AI97)</f>
        <v>51.366660330735606</v>
      </c>
      <c r="AM97" s="91">
        <f t="shared" si="29"/>
        <v>336</v>
      </c>
      <c r="AN97" s="92" t="str">
        <f t="shared" si="30"/>
        <v>Decreasing</v>
      </c>
      <c r="AO97" s="93">
        <f>VLOOKUP(B97,'Growthrates source'!A$2:H$49,8,FALSE)</f>
        <v>0.11672257510323925</v>
      </c>
      <c r="AP97" s="93">
        <f>VLOOKUP(B97,'Growthrates source'!A$2:I$49,9,FALSE)</f>
        <v>5.6053037042871567E-2</v>
      </c>
      <c r="AQ97" s="86">
        <f t="shared" si="31"/>
        <v>187.4474021981417</v>
      </c>
      <c r="AR97" s="86">
        <f t="shared" si="32"/>
        <v>397.52994758454571</v>
      </c>
      <c r="AS97" s="94">
        <f t="shared" si="33"/>
        <v>0</v>
      </c>
      <c r="AT97" s="94">
        <f t="shared" si="34"/>
        <v>0.16476465649045496</v>
      </c>
      <c r="AU97" s="94">
        <f t="shared" si="35"/>
        <v>0.14818890663137413</v>
      </c>
    </row>
    <row r="98" spans="1:48" x14ac:dyDescent="0.3">
      <c r="A98" s="85" t="str">
        <f>_xlfn.XLOOKUP(B98,'Country codes &amp; Data sources'!G:G,'Country codes &amp; Data sources'!H:H,,0)</f>
        <v>Botswana</v>
      </c>
      <c r="B98" s="85" t="s">
        <v>164</v>
      </c>
      <c r="C98" s="86">
        <v>2175425.5000000005</v>
      </c>
      <c r="D98" s="85" t="s">
        <v>321</v>
      </c>
      <c r="E98" s="87">
        <v>1638</v>
      </c>
      <c r="F98" s="88">
        <v>2217278.0000000009</v>
      </c>
      <c r="G98" s="87">
        <v>0</v>
      </c>
      <c r="H98" s="87">
        <v>2260375.5000000019</v>
      </c>
      <c r="I98" s="87">
        <v>76</v>
      </c>
      <c r="J98" s="87">
        <v>2305171.5000000005</v>
      </c>
      <c r="K98" s="87">
        <v>0</v>
      </c>
      <c r="L98" s="87">
        <v>2352415.5000000005</v>
      </c>
      <c r="M98" s="87">
        <v>1671</v>
      </c>
      <c r="N98" s="87">
        <v>2401839.9999999986</v>
      </c>
      <c r="O98" s="87">
        <v>0</v>
      </c>
      <c r="P98" s="88">
        <v>2451408.4999999995</v>
      </c>
      <c r="Q98" s="87">
        <v>1850</v>
      </c>
      <c r="R98" s="87">
        <f t="shared" si="18"/>
        <v>1850</v>
      </c>
      <c r="S98" s="87">
        <v>2499701.5</v>
      </c>
      <c r="T98" s="87">
        <v>1840</v>
      </c>
      <c r="U98" s="87">
        <v>2546401.9999999986</v>
      </c>
      <c r="V98" s="87">
        <v>2048</v>
      </c>
      <c r="W98" s="87">
        <v>2588422.9999999981</v>
      </c>
      <c r="X98" s="87">
        <v>2028</v>
      </c>
      <c r="Y98" s="88">
        <v>2630296.0000000019</v>
      </c>
      <c r="Z98" s="87">
        <v>1984</v>
      </c>
      <c r="AA98" s="87">
        <v>853</v>
      </c>
      <c r="AB98" s="89">
        <f t="shared" si="19"/>
        <v>1638</v>
      </c>
      <c r="AC98" s="89">
        <f t="shared" si="20"/>
        <v>1850</v>
      </c>
      <c r="AD98" s="89">
        <f t="shared" si="21"/>
        <v>2048</v>
      </c>
      <c r="AE98" s="90">
        <f t="shared" si="22"/>
        <v>1638</v>
      </c>
      <c r="AF98" s="90">
        <f t="shared" si="23"/>
        <v>2012</v>
      </c>
      <c r="AG98" s="90">
        <f t="shared" si="24"/>
        <v>1850</v>
      </c>
      <c r="AH98" s="90">
        <f t="shared" si="25"/>
        <v>2018</v>
      </c>
      <c r="AI98" s="90">
        <f t="shared" si="26"/>
        <v>1984</v>
      </c>
      <c r="AJ98" s="90">
        <f t="shared" si="27"/>
        <v>2022</v>
      </c>
      <c r="AK98" s="90" t="str">
        <f t="shared" si="28"/>
        <v/>
      </c>
      <c r="AL98" s="91">
        <f>IF(AK98="Adjust",(_xlfn.XLOOKUP(A98,'Adj factor'!A:A,'Adj factor'!I:I,,0)*AI98),'Master DataSheet'!AI98)</f>
        <v>1984</v>
      </c>
      <c r="AM98" s="91">
        <f t="shared" si="29"/>
        <v>1984</v>
      </c>
      <c r="AN98" s="92" t="str">
        <f t="shared" si="30"/>
        <v>Increasing</v>
      </c>
      <c r="AO98" s="93">
        <f>VLOOKUP(B98,'Growthrates source'!A$2:H$49,8,FALSE)</f>
        <v>6.0410507639565125E-2</v>
      </c>
      <c r="AP98" s="93">
        <f>VLOOKUP(B98,'Growthrates source'!A$2:I$49,9,FALSE)</f>
        <v>0.33177029268299996</v>
      </c>
      <c r="AQ98" s="86">
        <f t="shared" si="31"/>
        <v>630.62223672458776</v>
      </c>
      <c r="AR98" s="86">
        <f t="shared" si="32"/>
        <v>2307.8472106400291</v>
      </c>
      <c r="AS98" s="94">
        <f t="shared" si="33"/>
        <v>7.387436307039529</v>
      </c>
      <c r="AT98" s="94">
        <f t="shared" si="34"/>
        <v>7.54668183617704</v>
      </c>
      <c r="AU98" s="94">
        <f t="shared" si="35"/>
        <v>7.5428773035430181</v>
      </c>
    </row>
    <row r="99" spans="1:48" x14ac:dyDescent="0.3">
      <c r="A99" s="85" t="str">
        <f>_xlfn.XLOOKUP(B99,'Country codes &amp; Data sources'!G:G,'Country codes &amp; Data sources'!H:H,,0)</f>
        <v>Botswana</v>
      </c>
      <c r="B99" s="85" t="s">
        <v>164</v>
      </c>
      <c r="C99" s="86">
        <v>2175426.5</v>
      </c>
      <c r="D99" s="85" t="s">
        <v>322</v>
      </c>
      <c r="E99" s="87">
        <v>11632</v>
      </c>
      <c r="F99" s="88">
        <v>2217278.0000000009</v>
      </c>
      <c r="G99" s="87">
        <v>0</v>
      </c>
      <c r="I99" s="87">
        <v>0</v>
      </c>
      <c r="K99" s="87">
        <v>0</v>
      </c>
      <c r="M99" s="87">
        <v>14854</v>
      </c>
      <c r="O99" s="87">
        <v>0</v>
      </c>
      <c r="P99" s="88">
        <v>2451408.4999999995</v>
      </c>
      <c r="Q99" s="87">
        <v>15290</v>
      </c>
      <c r="R99" s="87">
        <f t="shared" si="18"/>
        <v>15290</v>
      </c>
      <c r="T99" s="87">
        <v>15526</v>
      </c>
      <c r="V99" s="87">
        <v>15542</v>
      </c>
      <c r="X99" s="87">
        <v>15772</v>
      </c>
      <c r="Y99" s="88">
        <v>2630296.0000000019</v>
      </c>
      <c r="Z99" s="87">
        <v>16056</v>
      </c>
      <c r="AA99" s="87">
        <v>6935</v>
      </c>
      <c r="AB99" s="89">
        <f t="shared" si="19"/>
        <v>11632</v>
      </c>
      <c r="AC99" s="89">
        <f t="shared" si="20"/>
        <v>15526</v>
      </c>
      <c r="AD99" s="89">
        <f t="shared" si="21"/>
        <v>16056</v>
      </c>
      <c r="AE99" s="90">
        <f t="shared" si="22"/>
        <v>11632</v>
      </c>
      <c r="AF99" s="90">
        <f t="shared" si="23"/>
        <v>2012</v>
      </c>
      <c r="AG99" s="90">
        <f t="shared" si="24"/>
        <v>15290</v>
      </c>
      <c r="AH99" s="90">
        <f t="shared" si="25"/>
        <v>2018</v>
      </c>
      <c r="AI99" s="90">
        <f t="shared" si="26"/>
        <v>16056</v>
      </c>
      <c r="AJ99" s="90">
        <f t="shared" si="27"/>
        <v>2022</v>
      </c>
      <c r="AK99" s="90" t="str">
        <f t="shared" si="28"/>
        <v/>
      </c>
      <c r="AL99" s="91">
        <f>IF(AK99="Adjust",(_xlfn.XLOOKUP(A99,'Adj factor'!A:A,'Adj factor'!I:I,,0)*AI99),'Master DataSheet'!AI99)</f>
        <v>16056</v>
      </c>
      <c r="AM99" s="91">
        <f t="shared" si="29"/>
        <v>16056</v>
      </c>
      <c r="AN99" s="92" t="str">
        <f t="shared" si="30"/>
        <v>Increasing</v>
      </c>
      <c r="AO99" s="93">
        <f>VLOOKUP(B99,'Growthrates source'!A$2:H$49,8,FALSE)</f>
        <v>6.0410507639565125E-2</v>
      </c>
      <c r="AP99" s="93">
        <f>VLOOKUP(B99,'Growthrates source'!A$2:I$49,9,FALSE)</f>
        <v>0.33177029268299996</v>
      </c>
      <c r="AQ99" s="86">
        <f t="shared" si="31"/>
        <v>5127.0401074853644</v>
      </c>
      <c r="AR99" s="86">
        <f t="shared" si="32"/>
        <v>18763.09543468769</v>
      </c>
      <c r="AS99" s="94">
        <f t="shared" si="33"/>
        <v>52.460719855606719</v>
      </c>
      <c r="AT99" s="94">
        <f t="shared" si="34"/>
        <v>62.372305554133483</v>
      </c>
      <c r="AU99" s="94">
        <f t="shared" si="35"/>
        <v>61.042559468592081</v>
      </c>
    </row>
    <row r="100" spans="1:48" x14ac:dyDescent="0.3">
      <c r="A100" s="85" t="str">
        <f>_xlfn.XLOOKUP(B100,'Country codes &amp; Data sources'!G:G,'Country codes &amp; Data sources'!H:H,,0)</f>
        <v>Botswana</v>
      </c>
      <c r="B100" s="85" t="s">
        <v>164</v>
      </c>
      <c r="C100" s="86">
        <v>2175427.5</v>
      </c>
      <c r="D100" s="85" t="s">
        <v>323</v>
      </c>
      <c r="E100" s="87">
        <v>0</v>
      </c>
      <c r="F100" s="88">
        <v>2217278.0000000009</v>
      </c>
      <c r="G100" s="87">
        <v>3002</v>
      </c>
      <c r="I100" s="87">
        <v>0</v>
      </c>
      <c r="K100" s="87">
        <v>0</v>
      </c>
      <c r="M100" s="87">
        <v>2922</v>
      </c>
      <c r="O100" s="87">
        <v>0</v>
      </c>
      <c r="P100" s="88">
        <v>2451408.4999999995</v>
      </c>
      <c r="Q100" s="87">
        <v>0</v>
      </c>
      <c r="R100" s="87">
        <f t="shared" si="18"/>
        <v>0</v>
      </c>
      <c r="T100" s="87">
        <v>0</v>
      </c>
      <c r="V100" s="87">
        <v>0</v>
      </c>
      <c r="X100" s="87">
        <v>0</v>
      </c>
      <c r="Y100" s="88">
        <v>2630296.0000000019</v>
      </c>
      <c r="Z100" s="87">
        <v>0</v>
      </c>
      <c r="AA100" s="87">
        <v>0</v>
      </c>
      <c r="AB100" s="89">
        <f t="shared" si="19"/>
        <v>3002</v>
      </c>
      <c r="AC100" s="89">
        <f t="shared" si="20"/>
        <v>2922</v>
      </c>
      <c r="AD100" s="89">
        <f t="shared" si="21"/>
        <v>0</v>
      </c>
      <c r="AE100" s="90">
        <f t="shared" si="22"/>
        <v>3002</v>
      </c>
      <c r="AF100" s="90">
        <f t="shared" si="23"/>
        <v>2013</v>
      </c>
      <c r="AG100" s="90">
        <f t="shared" si="24"/>
        <v>0</v>
      </c>
      <c r="AH100" s="90" t="str">
        <f t="shared" si="25"/>
        <v/>
      </c>
      <c r="AI100" s="90">
        <f t="shared" si="26"/>
        <v>0</v>
      </c>
      <c r="AJ100" s="90" t="str">
        <f t="shared" si="27"/>
        <v/>
      </c>
      <c r="AK100" s="90" t="str">
        <f t="shared" si="28"/>
        <v/>
      </c>
      <c r="AL100" s="91">
        <f>IF(AK100="Adjust",(_xlfn.XLOOKUP(A100,'Adj factor'!A:A,'Adj factor'!I:I,,0)*AI100),'Master DataSheet'!AI100)</f>
        <v>0</v>
      </c>
      <c r="AM100" s="91">
        <f t="shared" si="29"/>
        <v>0</v>
      </c>
      <c r="AN100" s="92" t="str">
        <f t="shared" si="30"/>
        <v>No change</v>
      </c>
      <c r="AO100" s="93">
        <f>VLOOKUP(B100,'Growthrates source'!A$2:H$49,8,FALSE)</f>
        <v>6.0410507639565125E-2</v>
      </c>
      <c r="AP100" s="93">
        <f>VLOOKUP(B100,'Growthrates source'!A$2:I$49,9,FALSE)</f>
        <v>0.33177029268299996</v>
      </c>
      <c r="AQ100" s="86">
        <f t="shared" si="31"/>
        <v>0</v>
      </c>
      <c r="AR100" s="86">
        <f t="shared" si="32"/>
        <v>0</v>
      </c>
      <c r="AS100" s="94">
        <f t="shared" si="33"/>
        <v>13.539123195196987</v>
      </c>
      <c r="AT100" s="94">
        <f t="shared" si="34"/>
        <v>0</v>
      </c>
      <c r="AU100" s="94">
        <f t="shared" si="35"/>
        <v>0</v>
      </c>
    </row>
    <row r="101" spans="1:48" x14ac:dyDescent="0.3">
      <c r="A101" s="85" t="str">
        <f>_xlfn.XLOOKUP(B101,'Country codes &amp; Data sources'!G:G,'Country codes &amp; Data sources'!H:H,,0)</f>
        <v>Botswana</v>
      </c>
      <c r="B101" s="85" t="s">
        <v>164</v>
      </c>
      <c r="C101" s="86">
        <v>2175428.5</v>
      </c>
      <c r="D101" s="85" t="s">
        <v>324</v>
      </c>
      <c r="E101" s="87">
        <v>37</v>
      </c>
      <c r="F101" s="88">
        <v>2217278.0000000009</v>
      </c>
      <c r="G101" s="87">
        <v>772</v>
      </c>
      <c r="I101" s="87">
        <v>0</v>
      </c>
      <c r="K101" s="87">
        <v>30461</v>
      </c>
      <c r="M101" s="87">
        <v>319</v>
      </c>
      <c r="O101" s="87">
        <v>74</v>
      </c>
      <c r="P101" s="88">
        <v>2451408.4999999995</v>
      </c>
      <c r="Q101" s="87">
        <v>0</v>
      </c>
      <c r="R101" s="87">
        <f t="shared" si="18"/>
        <v>487</v>
      </c>
      <c r="T101" s="87">
        <v>0</v>
      </c>
      <c r="V101" s="87">
        <v>2156</v>
      </c>
      <c r="X101" s="87">
        <v>0</v>
      </c>
      <c r="Y101" s="88">
        <v>2630296.0000000019</v>
      </c>
      <c r="Z101" s="87">
        <v>0</v>
      </c>
      <c r="AA101" s="87">
        <v>487</v>
      </c>
      <c r="AB101" s="89">
        <f t="shared" si="19"/>
        <v>30461</v>
      </c>
      <c r="AC101" s="89">
        <f t="shared" si="20"/>
        <v>319</v>
      </c>
      <c r="AD101" s="89">
        <f t="shared" si="21"/>
        <v>2156</v>
      </c>
      <c r="AE101" s="90">
        <f t="shared" si="22"/>
        <v>772</v>
      </c>
      <c r="AF101" s="90">
        <f t="shared" si="23"/>
        <v>2013</v>
      </c>
      <c r="AG101" s="90">
        <f t="shared" si="24"/>
        <v>487</v>
      </c>
      <c r="AH101" s="90" t="str">
        <f t="shared" si="25"/>
        <v>2018 (triag)</v>
      </c>
      <c r="AI101" s="90">
        <f t="shared" si="26"/>
        <v>2156</v>
      </c>
      <c r="AJ101" s="90">
        <f t="shared" si="27"/>
        <v>2020</v>
      </c>
      <c r="AK101" s="90" t="str">
        <f t="shared" si="28"/>
        <v/>
      </c>
      <c r="AL101" s="91">
        <f>IF(AK101="Adjust",(_xlfn.XLOOKUP(A101,'Adj factor'!A:A,'Adj factor'!I:I,,0)*AI101),'Master DataSheet'!AI101)</f>
        <v>2156</v>
      </c>
      <c r="AM101" s="91">
        <f t="shared" si="29"/>
        <v>2156</v>
      </c>
      <c r="AN101" s="92" t="str">
        <f t="shared" si="30"/>
        <v>Increasing</v>
      </c>
      <c r="AO101" s="93">
        <f>VLOOKUP(B101,'Growthrates source'!A$2:H$49,8,FALSE)</f>
        <v>6.0410507639565125E-2</v>
      </c>
      <c r="AP101" s="93">
        <f>VLOOKUP(B101,'Growthrates source'!A$2:I$49,9,FALSE)</f>
        <v>0.33177029268299996</v>
      </c>
      <c r="AQ101" s="86">
        <f t="shared" si="31"/>
        <v>360.03872131872714</v>
      </c>
      <c r="AR101" s="86">
        <f t="shared" si="32"/>
        <v>1317.6103066608371</v>
      </c>
      <c r="AS101" s="94">
        <f t="shared" si="33"/>
        <v>3.4817465378721102</v>
      </c>
      <c r="AT101" s="94">
        <f t="shared" si="34"/>
        <v>1.9866130022801181</v>
      </c>
      <c r="AU101" s="94">
        <f t="shared" si="35"/>
        <v>8.196796102035659</v>
      </c>
    </row>
    <row r="102" spans="1:48" s="95" customFormat="1" x14ac:dyDescent="0.3">
      <c r="A102" s="95" t="str">
        <f>_xlfn.XLOOKUP(B102,'Country codes &amp; Data sources'!G:G,'Country codes &amp; Data sources'!H:H,,0)</f>
        <v>Botswana</v>
      </c>
      <c r="B102" s="95" t="s">
        <v>164</v>
      </c>
      <c r="C102" s="60">
        <v>2175429.5</v>
      </c>
      <c r="D102" s="95" t="s">
        <v>325</v>
      </c>
      <c r="E102" s="96">
        <v>6</v>
      </c>
      <c r="F102" s="97">
        <v>2217278.0000000009</v>
      </c>
      <c r="G102" s="96">
        <v>422</v>
      </c>
      <c r="H102" s="96"/>
      <c r="I102" s="96">
        <v>52</v>
      </c>
      <c r="J102" s="96"/>
      <c r="K102" s="96">
        <v>10523</v>
      </c>
      <c r="L102" s="96"/>
      <c r="M102" s="96">
        <v>66</v>
      </c>
      <c r="N102" s="96"/>
      <c r="O102" s="96">
        <v>118</v>
      </c>
      <c r="P102" s="97">
        <v>2451408.4999999995</v>
      </c>
      <c r="Q102" s="96">
        <v>33</v>
      </c>
      <c r="R102" s="96">
        <f t="shared" si="18"/>
        <v>94</v>
      </c>
      <c r="S102" s="96"/>
      <c r="T102" s="96">
        <v>84</v>
      </c>
      <c r="U102" s="96"/>
      <c r="V102" s="96">
        <v>7018</v>
      </c>
      <c r="W102" s="96"/>
      <c r="X102" s="96">
        <v>0</v>
      </c>
      <c r="Y102" s="97">
        <v>2630296.0000000019</v>
      </c>
      <c r="Z102" s="96">
        <v>0</v>
      </c>
      <c r="AA102" s="96">
        <v>94</v>
      </c>
      <c r="AB102" s="98">
        <f t="shared" si="19"/>
        <v>10523</v>
      </c>
      <c r="AC102" s="98">
        <f t="shared" si="20"/>
        <v>118</v>
      </c>
      <c r="AD102" s="98">
        <f t="shared" si="21"/>
        <v>7018</v>
      </c>
      <c r="AE102" s="99">
        <f t="shared" si="22"/>
        <v>422</v>
      </c>
      <c r="AF102" s="99">
        <f t="shared" si="23"/>
        <v>2013</v>
      </c>
      <c r="AG102" s="99">
        <f t="shared" si="24"/>
        <v>94</v>
      </c>
      <c r="AH102" s="99" t="str">
        <f t="shared" si="25"/>
        <v>2018 (triag)</v>
      </c>
      <c r="AI102" s="99">
        <f t="shared" si="26"/>
        <v>7018</v>
      </c>
      <c r="AJ102" s="99">
        <f t="shared" si="27"/>
        <v>2020</v>
      </c>
      <c r="AK102" s="99" t="str">
        <f t="shared" si="28"/>
        <v/>
      </c>
      <c r="AL102" s="61">
        <f>IF(AK102="Adjust",(_xlfn.XLOOKUP(A102,'Adj factor'!A:A,'Adj factor'!I:I,,0)*AI102),'Master DataSheet'!AI102)</f>
        <v>7018</v>
      </c>
      <c r="AM102" s="61">
        <f t="shared" si="29"/>
        <v>7018</v>
      </c>
      <c r="AN102" s="62" t="str">
        <f t="shared" si="30"/>
        <v>Increasing</v>
      </c>
      <c r="AO102" s="100">
        <f>VLOOKUP(B102,'Growthrates source'!A$2:H$49,8,FALSE)</f>
        <v>6.0410507639565125E-2</v>
      </c>
      <c r="AP102" s="100">
        <f>VLOOKUP(B102,'Growthrates source'!A$2:I$49,9,FALSE)</f>
        <v>0.33177029268299996</v>
      </c>
      <c r="AQ102" s="60">
        <f t="shared" si="31"/>
        <v>69.494126907516119</v>
      </c>
      <c r="AR102" s="60">
        <f t="shared" si="32"/>
        <v>254.32313927334434</v>
      </c>
      <c r="AS102" s="102">
        <f t="shared" si="33"/>
        <v>1.9032345064534073</v>
      </c>
      <c r="AT102" s="102">
        <f t="shared" si="34"/>
        <v>0.38345302302737394</v>
      </c>
      <c r="AU102" s="101">
        <f t="shared" si="35"/>
        <v>26.681407719891581</v>
      </c>
      <c r="AV102" s="117"/>
    </row>
    <row r="103" spans="1:48" x14ac:dyDescent="0.3">
      <c r="A103" s="85" t="str">
        <f>_xlfn.XLOOKUP(B103,'Country codes &amp; Data sources'!G:G,'Country codes &amp; Data sources'!H:H,,0)</f>
        <v>Botswana</v>
      </c>
      <c r="B103" s="85" t="s">
        <v>164</v>
      </c>
      <c r="C103" s="86">
        <v>2175430.5</v>
      </c>
      <c r="D103" s="85" t="s">
        <v>127</v>
      </c>
      <c r="E103" s="87">
        <v>166</v>
      </c>
      <c r="F103" s="88">
        <v>2217278.0000000009</v>
      </c>
      <c r="G103" s="87">
        <v>0</v>
      </c>
      <c r="I103" s="87">
        <v>0</v>
      </c>
      <c r="K103" s="87">
        <v>0</v>
      </c>
      <c r="M103" s="87">
        <v>0</v>
      </c>
      <c r="O103" s="87">
        <v>0</v>
      </c>
      <c r="P103" s="88">
        <v>2451408.4999999995</v>
      </c>
      <c r="Q103" s="87">
        <v>0</v>
      </c>
      <c r="R103" s="87">
        <f t="shared" si="18"/>
        <v>0</v>
      </c>
      <c r="T103" s="87">
        <v>0</v>
      </c>
      <c r="V103" s="87">
        <v>0</v>
      </c>
      <c r="X103" s="87">
        <v>0</v>
      </c>
      <c r="Y103" s="88">
        <v>2630296.0000000019</v>
      </c>
      <c r="Z103" s="87">
        <v>0</v>
      </c>
      <c r="AA103" s="87">
        <v>0</v>
      </c>
      <c r="AB103" s="89">
        <f t="shared" si="19"/>
        <v>166</v>
      </c>
      <c r="AC103" s="89">
        <f t="shared" si="20"/>
        <v>0</v>
      </c>
      <c r="AD103" s="89">
        <f t="shared" si="21"/>
        <v>0</v>
      </c>
      <c r="AE103" s="90">
        <f t="shared" si="22"/>
        <v>166</v>
      </c>
      <c r="AF103" s="90">
        <f t="shared" si="23"/>
        <v>2012</v>
      </c>
      <c r="AG103" s="90">
        <f t="shared" si="24"/>
        <v>0</v>
      </c>
      <c r="AH103" s="90" t="str">
        <f t="shared" si="25"/>
        <v/>
      </c>
      <c r="AI103" s="90">
        <f t="shared" si="26"/>
        <v>0</v>
      </c>
      <c r="AJ103" s="90" t="str">
        <f t="shared" si="27"/>
        <v/>
      </c>
      <c r="AK103" s="90" t="str">
        <f t="shared" si="28"/>
        <v/>
      </c>
      <c r="AL103" s="91">
        <f>IF(AK103="Adjust",(_xlfn.XLOOKUP(A103,'Adj factor'!A:A,'Adj factor'!I:I,,0)*AI103),'Master DataSheet'!AI103)</f>
        <v>0</v>
      </c>
      <c r="AM103" s="91">
        <f t="shared" si="29"/>
        <v>0</v>
      </c>
      <c r="AN103" s="92" t="str">
        <f t="shared" si="30"/>
        <v>No change</v>
      </c>
      <c r="AO103" s="93">
        <f>VLOOKUP(B103,'Growthrates source'!A$2:H$49,8,FALSE)</f>
        <v>6.0410507639565125E-2</v>
      </c>
      <c r="AP103" s="93">
        <f>VLOOKUP(B103,'Growthrates source'!A$2:I$49,9,FALSE)</f>
        <v>0.33177029268299996</v>
      </c>
      <c r="AQ103" s="86">
        <f t="shared" si="31"/>
        <v>0</v>
      </c>
      <c r="AR103" s="86">
        <f t="shared" si="32"/>
        <v>0</v>
      </c>
      <c r="AS103" s="94">
        <f t="shared" si="33"/>
        <v>0.74866570633001328</v>
      </c>
      <c r="AT103" s="94">
        <f t="shared" si="34"/>
        <v>0</v>
      </c>
      <c r="AU103" s="94">
        <f t="shared" si="35"/>
        <v>0</v>
      </c>
    </row>
    <row r="104" spans="1:48" x14ac:dyDescent="0.3">
      <c r="A104" s="85" t="str">
        <f>_xlfn.XLOOKUP(B104,'Country codes &amp; Data sources'!G:G,'Country codes &amp; Data sources'!H:H,,0)</f>
        <v>Botswana</v>
      </c>
      <c r="B104" s="85" t="s">
        <v>164</v>
      </c>
      <c r="C104" s="86">
        <v>2175431.5</v>
      </c>
      <c r="D104" s="85" t="s">
        <v>61</v>
      </c>
      <c r="E104" s="87">
        <v>0</v>
      </c>
      <c r="F104" s="88">
        <v>2217278.0000000009</v>
      </c>
      <c r="G104" s="87">
        <v>668</v>
      </c>
      <c r="I104" s="87">
        <v>0</v>
      </c>
      <c r="K104" s="87">
        <v>0</v>
      </c>
      <c r="M104" s="87">
        <v>13</v>
      </c>
      <c r="O104" s="87">
        <v>0</v>
      </c>
      <c r="P104" s="88">
        <v>2451408.4999999995</v>
      </c>
      <c r="Q104" s="87">
        <v>0</v>
      </c>
      <c r="R104" s="87">
        <f t="shared" si="18"/>
        <v>0</v>
      </c>
      <c r="T104" s="87">
        <v>0</v>
      </c>
      <c r="V104" s="87">
        <v>0</v>
      </c>
      <c r="X104" s="87">
        <v>0</v>
      </c>
      <c r="Y104" s="88">
        <v>2630296.0000000019</v>
      </c>
      <c r="Z104" s="87">
        <v>0</v>
      </c>
      <c r="AA104" s="87">
        <v>0</v>
      </c>
      <c r="AB104" s="89">
        <f t="shared" si="19"/>
        <v>668</v>
      </c>
      <c r="AC104" s="89">
        <f t="shared" si="20"/>
        <v>13</v>
      </c>
      <c r="AD104" s="89">
        <f t="shared" si="21"/>
        <v>0</v>
      </c>
      <c r="AE104" s="90">
        <f t="shared" si="22"/>
        <v>668</v>
      </c>
      <c r="AF104" s="90">
        <f t="shared" si="23"/>
        <v>2013</v>
      </c>
      <c r="AG104" s="90">
        <f t="shared" si="24"/>
        <v>0</v>
      </c>
      <c r="AH104" s="90" t="str">
        <f t="shared" si="25"/>
        <v/>
      </c>
      <c r="AI104" s="90">
        <f t="shared" si="26"/>
        <v>0</v>
      </c>
      <c r="AJ104" s="90" t="str">
        <f t="shared" si="27"/>
        <v/>
      </c>
      <c r="AK104" s="90" t="str">
        <f t="shared" si="28"/>
        <v/>
      </c>
      <c r="AL104" s="91">
        <f>IF(AK104="Adjust",(_xlfn.XLOOKUP(A104,'Adj factor'!A:A,'Adj factor'!I:I,,0)*AI104),'Master DataSheet'!AI104)</f>
        <v>0</v>
      </c>
      <c r="AM104" s="91">
        <f t="shared" si="29"/>
        <v>0</v>
      </c>
      <c r="AN104" s="92" t="str">
        <f t="shared" si="30"/>
        <v>No change</v>
      </c>
      <c r="AO104" s="93">
        <f>VLOOKUP(B104,'Growthrates source'!A$2:H$49,8,FALSE)</f>
        <v>6.0410507639565125E-2</v>
      </c>
      <c r="AP104" s="93">
        <f>VLOOKUP(B104,'Growthrates source'!A$2:I$49,9,FALSE)</f>
        <v>0.33177029268299996</v>
      </c>
      <c r="AQ104" s="86">
        <f t="shared" si="31"/>
        <v>0</v>
      </c>
      <c r="AR104" s="86">
        <f t="shared" si="32"/>
        <v>0</v>
      </c>
      <c r="AS104" s="94">
        <f t="shared" si="33"/>
        <v>3.0127029628219812</v>
      </c>
      <c r="AT104" s="94">
        <f t="shared" si="34"/>
        <v>0</v>
      </c>
      <c r="AU104" s="94">
        <f t="shared" si="35"/>
        <v>0</v>
      </c>
    </row>
    <row r="105" spans="1:48" x14ac:dyDescent="0.3">
      <c r="A105" s="85" t="str">
        <f>_xlfn.XLOOKUP(B105,'Country codes &amp; Data sources'!G:G,'Country codes &amp; Data sources'!H:H,,0)</f>
        <v>Botswana</v>
      </c>
      <c r="B105" s="85" t="s">
        <v>164</v>
      </c>
      <c r="C105" s="86">
        <v>2175432.5</v>
      </c>
      <c r="D105" s="85" t="s">
        <v>62</v>
      </c>
      <c r="E105" s="87">
        <v>0</v>
      </c>
      <c r="F105" s="88">
        <v>2217278.0000000009</v>
      </c>
      <c r="G105" s="87">
        <v>166</v>
      </c>
      <c r="I105" s="87">
        <v>0</v>
      </c>
      <c r="K105" s="87">
        <v>14743</v>
      </c>
      <c r="M105" s="87">
        <v>208</v>
      </c>
      <c r="O105" s="87">
        <v>0</v>
      </c>
      <c r="P105" s="88">
        <v>2451408.4999999995</v>
      </c>
      <c r="Q105" s="87">
        <v>0</v>
      </c>
      <c r="R105" s="87">
        <f t="shared" si="18"/>
        <v>99</v>
      </c>
      <c r="T105" s="87">
        <v>0</v>
      </c>
      <c r="V105" s="87">
        <v>0</v>
      </c>
      <c r="X105" s="87">
        <v>0</v>
      </c>
      <c r="Y105" s="88">
        <v>2630296.0000000019</v>
      </c>
      <c r="Z105" s="87">
        <v>0</v>
      </c>
      <c r="AA105" s="87">
        <v>99</v>
      </c>
      <c r="AB105" s="89">
        <f t="shared" si="19"/>
        <v>14743</v>
      </c>
      <c r="AC105" s="89">
        <f t="shared" si="20"/>
        <v>208</v>
      </c>
      <c r="AD105" s="89">
        <f t="shared" si="21"/>
        <v>0</v>
      </c>
      <c r="AE105" s="90">
        <f t="shared" si="22"/>
        <v>166</v>
      </c>
      <c r="AF105" s="90">
        <f t="shared" si="23"/>
        <v>2013</v>
      </c>
      <c r="AG105" s="90">
        <f t="shared" si="24"/>
        <v>99</v>
      </c>
      <c r="AH105" s="90" t="str">
        <f t="shared" si="25"/>
        <v>2018 (triag)</v>
      </c>
      <c r="AI105" s="90">
        <f t="shared" si="26"/>
        <v>99</v>
      </c>
      <c r="AJ105" s="90" t="str">
        <f t="shared" si="27"/>
        <v>2018 (triag)</v>
      </c>
      <c r="AK105" s="90" t="str">
        <f t="shared" si="28"/>
        <v/>
      </c>
      <c r="AL105" s="91">
        <f>IF(AK105="Adjust",(_xlfn.XLOOKUP(A105,'Adj factor'!A:A,'Adj factor'!I:I,,0)*AI105),'Master DataSheet'!AI105)</f>
        <v>99</v>
      </c>
      <c r="AM105" s="91">
        <f t="shared" si="29"/>
        <v>99</v>
      </c>
      <c r="AN105" s="92" t="str">
        <f t="shared" si="30"/>
        <v>No change</v>
      </c>
      <c r="AO105" s="93">
        <f>VLOOKUP(B105,'Growthrates source'!A$2:H$49,8,FALSE)</f>
        <v>6.0410507639565125E-2</v>
      </c>
      <c r="AP105" s="93">
        <f>VLOOKUP(B105,'Growthrates source'!A$2:I$49,9,FALSE)</f>
        <v>0.33177029268299996</v>
      </c>
      <c r="AQ105" s="86">
        <f t="shared" si="31"/>
        <v>73.190623019618045</v>
      </c>
      <c r="AR105" s="86">
        <f t="shared" si="32"/>
        <v>267.85096583043713</v>
      </c>
      <c r="AS105" s="94">
        <f t="shared" si="33"/>
        <v>0.74866570633001328</v>
      </c>
      <c r="AT105" s="94">
        <f t="shared" si="34"/>
        <v>0.40384946042244702</v>
      </c>
      <c r="AU105" s="94">
        <f t="shared" si="35"/>
        <v>0.37638349448122921</v>
      </c>
    </row>
    <row r="106" spans="1:48" x14ac:dyDescent="0.3">
      <c r="A106" s="85" t="str">
        <f>_xlfn.XLOOKUP(B106,'Country codes &amp; Data sources'!G:G,'Country codes &amp; Data sources'!H:H,,0)</f>
        <v>Botswana</v>
      </c>
      <c r="B106" s="85" t="s">
        <v>164</v>
      </c>
      <c r="C106" s="86">
        <v>2175433.5</v>
      </c>
      <c r="D106" s="85" t="s">
        <v>203</v>
      </c>
      <c r="E106" s="87">
        <v>0</v>
      </c>
      <c r="F106" s="88">
        <v>2217278.0000000009</v>
      </c>
      <c r="G106" s="87">
        <v>0</v>
      </c>
      <c r="I106" s="87">
        <v>0</v>
      </c>
      <c r="K106" s="87">
        <v>0</v>
      </c>
      <c r="M106" s="87">
        <v>0</v>
      </c>
      <c r="O106" s="87">
        <v>0</v>
      </c>
      <c r="P106" s="88">
        <v>2451408.4999999995</v>
      </c>
      <c r="Q106" s="87">
        <v>1563</v>
      </c>
      <c r="R106" s="87">
        <f t="shared" si="18"/>
        <v>1622</v>
      </c>
      <c r="T106" s="87">
        <v>1421</v>
      </c>
      <c r="V106" s="87">
        <v>1423</v>
      </c>
      <c r="X106" s="87">
        <v>1519</v>
      </c>
      <c r="Y106" s="88">
        <v>2630296.0000000019</v>
      </c>
      <c r="Z106" s="87">
        <v>1563</v>
      </c>
      <c r="AA106" s="87">
        <v>1622</v>
      </c>
      <c r="AB106" s="89">
        <f t="shared" si="19"/>
        <v>0</v>
      </c>
      <c r="AC106" s="89">
        <f t="shared" si="20"/>
        <v>1563</v>
      </c>
      <c r="AD106" s="89">
        <f t="shared" si="21"/>
        <v>1563</v>
      </c>
      <c r="AE106" s="90">
        <f t="shared" si="22"/>
        <v>0</v>
      </c>
      <c r="AF106" s="90" t="str">
        <f t="shared" si="23"/>
        <v/>
      </c>
      <c r="AG106" s="90">
        <f t="shared" si="24"/>
        <v>1622</v>
      </c>
      <c r="AH106" s="90" t="str">
        <f t="shared" si="25"/>
        <v>2018 (triag)</v>
      </c>
      <c r="AI106" s="90">
        <f t="shared" si="26"/>
        <v>1563</v>
      </c>
      <c r="AJ106" s="90">
        <f t="shared" si="27"/>
        <v>2022</v>
      </c>
      <c r="AK106" s="90" t="str">
        <f t="shared" si="28"/>
        <v>Adjust</v>
      </c>
      <c r="AL106" s="91">
        <f>IF(AK106="Adjust",(_xlfn.XLOOKUP(A106,'Adj factor'!A:A,'Adj factor'!I:I,,0)*AI106),'Master DataSheet'!AI106)</f>
        <v>1796.3537810728089</v>
      </c>
      <c r="AM106" s="91">
        <f t="shared" si="29"/>
        <v>1796.3537810728089</v>
      </c>
      <c r="AN106" s="92" t="str">
        <f t="shared" si="30"/>
        <v>Increasing</v>
      </c>
      <c r="AO106" s="93">
        <f>VLOOKUP(B106,'Growthrates source'!A$2:H$49,8,FALSE)</f>
        <v>6.0410507639565125E-2</v>
      </c>
      <c r="AP106" s="93">
        <f>VLOOKUP(B106,'Growthrates source'!A$2:I$49,9,FALSE)</f>
        <v>0.33177029268299996</v>
      </c>
      <c r="AQ106" s="86">
        <f t="shared" si="31"/>
        <v>1199.1433387658633</v>
      </c>
      <c r="AR106" s="86">
        <f t="shared" si="32"/>
        <v>4388.4269351208986</v>
      </c>
      <c r="AS106" s="94">
        <f t="shared" si="33"/>
        <v>0</v>
      </c>
      <c r="AT106" s="94">
        <f t="shared" si="34"/>
        <v>6.6166042909617078</v>
      </c>
      <c r="AU106" s="94">
        <f t="shared" si="35"/>
        <v>6.829473873179321</v>
      </c>
    </row>
    <row r="107" spans="1:48" x14ac:dyDescent="0.3">
      <c r="A107" s="85" t="str">
        <f>_xlfn.XLOOKUP(B107,'Country codes &amp; Data sources'!G:G,'Country codes &amp; Data sources'!H:H,,0)</f>
        <v>Botswana</v>
      </c>
      <c r="B107" s="85" t="s">
        <v>164</v>
      </c>
      <c r="C107" s="86">
        <v>2175434.5</v>
      </c>
      <c r="D107" s="85" t="s">
        <v>204</v>
      </c>
      <c r="E107" s="87">
        <v>0</v>
      </c>
      <c r="F107" s="88">
        <v>2217278.0000000009</v>
      </c>
      <c r="G107" s="87">
        <v>0</v>
      </c>
      <c r="I107" s="87">
        <v>0</v>
      </c>
      <c r="K107" s="87">
        <v>0</v>
      </c>
      <c r="M107" s="87">
        <v>0</v>
      </c>
      <c r="O107" s="87">
        <v>0</v>
      </c>
      <c r="P107" s="88">
        <v>2451408.4999999995</v>
      </c>
      <c r="Q107" s="87">
        <v>156</v>
      </c>
      <c r="R107" s="87">
        <f t="shared" si="18"/>
        <v>156</v>
      </c>
      <c r="T107" s="87">
        <v>131</v>
      </c>
      <c r="V107" s="87">
        <v>125</v>
      </c>
      <c r="X107" s="87">
        <v>147</v>
      </c>
      <c r="Y107" s="88">
        <v>2630296.0000000019</v>
      </c>
      <c r="Z107" s="87">
        <v>159</v>
      </c>
      <c r="AA107" s="87">
        <v>0</v>
      </c>
      <c r="AB107" s="89">
        <f t="shared" si="19"/>
        <v>0</v>
      </c>
      <c r="AC107" s="89">
        <f t="shared" si="20"/>
        <v>156</v>
      </c>
      <c r="AD107" s="89">
        <f t="shared" si="21"/>
        <v>159</v>
      </c>
      <c r="AE107" s="90">
        <f t="shared" si="22"/>
        <v>0</v>
      </c>
      <c r="AF107" s="90" t="str">
        <f t="shared" si="23"/>
        <v/>
      </c>
      <c r="AG107" s="90">
        <f t="shared" si="24"/>
        <v>156</v>
      </c>
      <c r="AH107" s="90">
        <f t="shared" si="25"/>
        <v>2018</v>
      </c>
      <c r="AI107" s="90">
        <f t="shared" si="26"/>
        <v>159</v>
      </c>
      <c r="AJ107" s="90">
        <f t="shared" si="27"/>
        <v>2022</v>
      </c>
      <c r="AK107" s="90" t="str">
        <f t="shared" si="28"/>
        <v/>
      </c>
      <c r="AL107" s="91">
        <f>IF(AK107="Adjust",(_xlfn.XLOOKUP(A107,'Adj factor'!A:A,'Adj factor'!I:I,,0)*AI107),'Master DataSheet'!AI107)</f>
        <v>159</v>
      </c>
      <c r="AM107" s="91">
        <f t="shared" si="29"/>
        <v>159</v>
      </c>
      <c r="AN107" s="92" t="str">
        <f t="shared" si="30"/>
        <v>Increasing</v>
      </c>
      <c r="AO107" s="93">
        <f>VLOOKUP(B107,'Growthrates source'!A$2:H$49,8,FALSE)</f>
        <v>6.0410507639565125E-2</v>
      </c>
      <c r="AP107" s="93">
        <f>VLOOKUP(B107,'Growthrates source'!A$2:I$49,9,FALSE)</f>
        <v>0.33177029268299996</v>
      </c>
      <c r="AQ107" s="86">
        <f t="shared" si="31"/>
        <v>0</v>
      </c>
      <c r="AR107" s="86">
        <f t="shared" si="32"/>
        <v>0</v>
      </c>
      <c r="AS107" s="94">
        <f t="shared" si="33"/>
        <v>0</v>
      </c>
      <c r="AT107" s="94">
        <f t="shared" si="34"/>
        <v>0.63636884672628014</v>
      </c>
      <c r="AU107" s="94">
        <f t="shared" si="35"/>
        <v>0.6044947032577318</v>
      </c>
    </row>
    <row r="108" spans="1:48" x14ac:dyDescent="0.3">
      <c r="A108" s="85" t="str">
        <f>_xlfn.XLOOKUP(B108,'Country codes &amp; Data sources'!G:G,'Country codes &amp; Data sources'!H:H,,0)</f>
        <v>Botswana</v>
      </c>
      <c r="B108" s="85" t="s">
        <v>164</v>
      </c>
      <c r="C108" s="86">
        <v>2175435.5</v>
      </c>
      <c r="D108" s="85" t="s">
        <v>205</v>
      </c>
      <c r="E108" s="87">
        <v>0</v>
      </c>
      <c r="F108" s="88">
        <v>2217278.0000000009</v>
      </c>
      <c r="G108" s="87">
        <v>0</v>
      </c>
      <c r="I108" s="87">
        <v>0</v>
      </c>
      <c r="K108" s="87">
        <v>0</v>
      </c>
      <c r="M108" s="87">
        <v>0</v>
      </c>
      <c r="O108" s="87">
        <v>0</v>
      </c>
      <c r="P108" s="88">
        <v>2451408.4999999995</v>
      </c>
      <c r="Q108" s="87">
        <v>27</v>
      </c>
      <c r="R108" s="87">
        <f t="shared" si="18"/>
        <v>27</v>
      </c>
      <c r="T108" s="87">
        <v>33</v>
      </c>
      <c r="V108" s="87">
        <v>33</v>
      </c>
      <c r="X108" s="87">
        <v>35</v>
      </c>
      <c r="Y108" s="88">
        <v>2630296.0000000019</v>
      </c>
      <c r="Z108" s="87">
        <v>33</v>
      </c>
      <c r="AA108" s="87">
        <v>0</v>
      </c>
      <c r="AB108" s="89">
        <f t="shared" si="19"/>
        <v>0</v>
      </c>
      <c r="AC108" s="89">
        <f t="shared" si="20"/>
        <v>33</v>
      </c>
      <c r="AD108" s="89">
        <f t="shared" si="21"/>
        <v>35</v>
      </c>
      <c r="AE108" s="90">
        <f t="shared" si="22"/>
        <v>0</v>
      </c>
      <c r="AF108" s="90" t="str">
        <f t="shared" si="23"/>
        <v/>
      </c>
      <c r="AG108" s="90">
        <f t="shared" si="24"/>
        <v>27</v>
      </c>
      <c r="AH108" s="90">
        <f t="shared" si="25"/>
        <v>2018</v>
      </c>
      <c r="AI108" s="90">
        <f t="shared" si="26"/>
        <v>33</v>
      </c>
      <c r="AJ108" s="90">
        <f t="shared" si="27"/>
        <v>2020</v>
      </c>
      <c r="AK108" s="90" t="str">
        <f t="shared" si="28"/>
        <v/>
      </c>
      <c r="AL108" s="91">
        <f>IF(AK108="Adjust",(_xlfn.XLOOKUP(A108,'Adj factor'!A:A,'Adj factor'!I:I,,0)*AI108),'Master DataSheet'!AI108)</f>
        <v>33</v>
      </c>
      <c r="AM108" s="91">
        <f t="shared" si="29"/>
        <v>33</v>
      </c>
      <c r="AN108" s="92" t="str">
        <f t="shared" si="30"/>
        <v>Increasing</v>
      </c>
      <c r="AO108" s="93">
        <f>VLOOKUP(B108,'Growthrates source'!A$2:H$49,8,FALSE)</f>
        <v>6.0410507639565125E-2</v>
      </c>
      <c r="AP108" s="93">
        <f>VLOOKUP(B108,'Growthrates source'!A$2:I$49,9,FALSE)</f>
        <v>0.33177029268299996</v>
      </c>
      <c r="AQ108" s="86">
        <f t="shared" si="31"/>
        <v>0</v>
      </c>
      <c r="AR108" s="86">
        <f t="shared" si="32"/>
        <v>0</v>
      </c>
      <c r="AS108" s="94">
        <f t="shared" si="33"/>
        <v>0</v>
      </c>
      <c r="AT108" s="94">
        <f t="shared" si="34"/>
        <v>0.11014076193339464</v>
      </c>
      <c r="AU108" s="94">
        <f t="shared" si="35"/>
        <v>0.12546116482707642</v>
      </c>
    </row>
    <row r="109" spans="1:48" x14ac:dyDescent="0.3">
      <c r="A109" s="85" t="str">
        <f>_xlfn.XLOOKUP(B109,'Country codes &amp; Data sources'!G:G,'Country codes &amp; Data sources'!H:H,,0)</f>
        <v>Botswana</v>
      </c>
      <c r="B109" s="85" t="s">
        <v>164</v>
      </c>
      <c r="C109" s="86">
        <v>2175436.5</v>
      </c>
      <c r="D109" s="85" t="s">
        <v>133</v>
      </c>
      <c r="E109" s="87">
        <v>0</v>
      </c>
      <c r="F109" s="88">
        <v>2217278.0000000009</v>
      </c>
      <c r="G109" s="87">
        <v>0</v>
      </c>
      <c r="I109" s="87">
        <v>0</v>
      </c>
      <c r="K109" s="87">
        <v>0</v>
      </c>
      <c r="M109" s="87">
        <v>0</v>
      </c>
      <c r="O109" s="87">
        <v>0</v>
      </c>
      <c r="P109" s="88">
        <v>2451408.4999999995</v>
      </c>
      <c r="Q109" s="87">
        <v>160</v>
      </c>
      <c r="R109" s="87">
        <f t="shared" si="18"/>
        <v>160</v>
      </c>
      <c r="T109" s="87">
        <v>156</v>
      </c>
      <c r="V109" s="87">
        <v>167</v>
      </c>
      <c r="X109" s="87">
        <v>161</v>
      </c>
      <c r="Y109" s="88">
        <v>2630296.0000000019</v>
      </c>
      <c r="Z109" s="87">
        <v>191</v>
      </c>
      <c r="AA109" s="87">
        <v>0</v>
      </c>
      <c r="AB109" s="89">
        <f t="shared" si="19"/>
        <v>0</v>
      </c>
      <c r="AC109" s="89">
        <f t="shared" si="20"/>
        <v>160</v>
      </c>
      <c r="AD109" s="89">
        <f t="shared" si="21"/>
        <v>191</v>
      </c>
      <c r="AE109" s="90">
        <f t="shared" si="22"/>
        <v>0</v>
      </c>
      <c r="AF109" s="90" t="str">
        <f t="shared" si="23"/>
        <v/>
      </c>
      <c r="AG109" s="90">
        <f t="shared" si="24"/>
        <v>160</v>
      </c>
      <c r="AH109" s="90">
        <f t="shared" si="25"/>
        <v>2018</v>
      </c>
      <c r="AI109" s="90">
        <f t="shared" si="26"/>
        <v>191</v>
      </c>
      <c r="AJ109" s="90">
        <f t="shared" si="27"/>
        <v>2022</v>
      </c>
      <c r="AK109" s="90" t="str">
        <f t="shared" si="28"/>
        <v/>
      </c>
      <c r="AL109" s="91">
        <f>IF(AK109="Adjust",(_xlfn.XLOOKUP(A109,'Adj factor'!A:A,'Adj factor'!I:I,,0)*AI109),'Master DataSheet'!AI109)</f>
        <v>191</v>
      </c>
      <c r="AM109" s="91">
        <f t="shared" si="29"/>
        <v>191</v>
      </c>
      <c r="AN109" s="92" t="str">
        <f t="shared" si="30"/>
        <v>Increasing</v>
      </c>
      <c r="AO109" s="93">
        <f>VLOOKUP(B109,'Growthrates source'!A$2:H$49,8,FALSE)</f>
        <v>6.0410507639565125E-2</v>
      </c>
      <c r="AP109" s="93">
        <f>VLOOKUP(B109,'Growthrates source'!A$2:I$49,9,FALSE)</f>
        <v>0.33177029268299996</v>
      </c>
      <c r="AQ109" s="86">
        <f t="shared" si="31"/>
        <v>0</v>
      </c>
      <c r="AR109" s="86">
        <f t="shared" si="32"/>
        <v>0</v>
      </c>
      <c r="AS109" s="94">
        <f t="shared" si="33"/>
        <v>0</v>
      </c>
      <c r="AT109" s="94">
        <f t="shared" si="34"/>
        <v>0.65268599664233862</v>
      </c>
      <c r="AU109" s="94">
        <f t="shared" si="35"/>
        <v>0.72615401460519979</v>
      </c>
    </row>
    <row r="110" spans="1:48" x14ac:dyDescent="0.3">
      <c r="A110" s="85" t="str">
        <f>_xlfn.XLOOKUP(B110,'Country codes &amp; Data sources'!G:G,'Country codes &amp; Data sources'!H:H,,0)</f>
        <v>Botswana</v>
      </c>
      <c r="B110" s="85" t="s">
        <v>164</v>
      </c>
      <c r="C110" s="86">
        <v>2175437.5</v>
      </c>
      <c r="D110" s="85" t="s">
        <v>206</v>
      </c>
      <c r="E110" s="87">
        <v>0</v>
      </c>
      <c r="F110" s="88">
        <v>2217278.0000000009</v>
      </c>
      <c r="G110" s="87">
        <v>0</v>
      </c>
      <c r="I110" s="87">
        <v>0</v>
      </c>
      <c r="K110" s="87">
        <v>0</v>
      </c>
      <c r="M110" s="87">
        <v>0</v>
      </c>
      <c r="O110" s="87">
        <v>0</v>
      </c>
      <c r="P110" s="88">
        <v>2451408.4999999995</v>
      </c>
      <c r="Q110" s="87">
        <v>63</v>
      </c>
      <c r="R110" s="87">
        <f t="shared" si="18"/>
        <v>63</v>
      </c>
      <c r="T110" s="87">
        <v>64</v>
      </c>
      <c r="V110" s="87">
        <v>67</v>
      </c>
      <c r="X110" s="87">
        <v>66</v>
      </c>
      <c r="Y110" s="88">
        <v>2630296.0000000019</v>
      </c>
      <c r="Z110" s="87">
        <v>63</v>
      </c>
      <c r="AA110" s="87">
        <v>0</v>
      </c>
      <c r="AB110" s="89">
        <f t="shared" si="19"/>
        <v>0</v>
      </c>
      <c r="AC110" s="89">
        <f t="shared" si="20"/>
        <v>64</v>
      </c>
      <c r="AD110" s="89">
        <f t="shared" si="21"/>
        <v>67</v>
      </c>
      <c r="AE110" s="90">
        <f t="shared" si="22"/>
        <v>0</v>
      </c>
      <c r="AF110" s="90" t="str">
        <f t="shared" si="23"/>
        <v/>
      </c>
      <c r="AG110" s="90">
        <f t="shared" si="24"/>
        <v>63</v>
      </c>
      <c r="AH110" s="90">
        <f t="shared" si="25"/>
        <v>2018</v>
      </c>
      <c r="AI110" s="90">
        <f t="shared" si="26"/>
        <v>63</v>
      </c>
      <c r="AJ110" s="90">
        <f t="shared" si="27"/>
        <v>2022</v>
      </c>
      <c r="AK110" s="90" t="str">
        <f t="shared" si="28"/>
        <v/>
      </c>
      <c r="AL110" s="91">
        <f>IF(AK110="Adjust",(_xlfn.XLOOKUP(A110,'Adj factor'!A:A,'Adj factor'!I:I,,0)*AI110),'Master DataSheet'!AI110)</f>
        <v>63</v>
      </c>
      <c r="AM110" s="91">
        <f t="shared" si="29"/>
        <v>63</v>
      </c>
      <c r="AN110" s="92" t="str">
        <f t="shared" si="30"/>
        <v>No change</v>
      </c>
      <c r="AO110" s="93">
        <f>VLOOKUP(B110,'Growthrates source'!A$2:H$49,8,FALSE)</f>
        <v>6.0410507639565125E-2</v>
      </c>
      <c r="AP110" s="93">
        <f>VLOOKUP(B110,'Growthrates source'!A$2:I$49,9,FALSE)</f>
        <v>0.33177029268299996</v>
      </c>
      <c r="AQ110" s="86">
        <f t="shared" si="31"/>
        <v>0</v>
      </c>
      <c r="AR110" s="86">
        <f t="shared" si="32"/>
        <v>0</v>
      </c>
      <c r="AS110" s="94">
        <f t="shared" si="33"/>
        <v>0</v>
      </c>
      <c r="AT110" s="94">
        <f t="shared" si="34"/>
        <v>0.25699511117792084</v>
      </c>
      <c r="AU110" s="94">
        <f t="shared" si="35"/>
        <v>0.23951676921532769</v>
      </c>
    </row>
    <row r="111" spans="1:48" x14ac:dyDescent="0.3">
      <c r="A111" s="85" t="str">
        <f>_xlfn.XLOOKUP(B111,'Country codes &amp; Data sources'!G:G,'Country codes &amp; Data sources'!H:H,,0)</f>
        <v>Botswana</v>
      </c>
      <c r="B111" s="85" t="s">
        <v>164</v>
      </c>
      <c r="C111" s="86">
        <v>2175438.5</v>
      </c>
      <c r="D111" s="85" t="s">
        <v>136</v>
      </c>
      <c r="E111" s="87">
        <v>0</v>
      </c>
      <c r="F111" s="88">
        <v>2217278.0000000009</v>
      </c>
      <c r="G111" s="87">
        <v>0</v>
      </c>
      <c r="I111" s="87">
        <v>0</v>
      </c>
      <c r="K111" s="87">
        <v>0</v>
      </c>
      <c r="M111" s="87">
        <v>0</v>
      </c>
      <c r="O111" s="87">
        <v>0</v>
      </c>
      <c r="P111" s="88">
        <v>2451408.4999999995</v>
      </c>
      <c r="Q111" s="87">
        <v>134</v>
      </c>
      <c r="R111" s="87">
        <f t="shared" si="18"/>
        <v>134</v>
      </c>
      <c r="T111" s="87">
        <v>116</v>
      </c>
      <c r="V111" s="87">
        <v>117</v>
      </c>
      <c r="X111" s="87">
        <v>123</v>
      </c>
      <c r="Y111" s="88">
        <v>2630296.0000000019</v>
      </c>
      <c r="Z111" s="87">
        <v>82</v>
      </c>
      <c r="AA111" s="87">
        <v>78</v>
      </c>
      <c r="AB111" s="89">
        <f t="shared" si="19"/>
        <v>0</v>
      </c>
      <c r="AC111" s="89">
        <f t="shared" si="20"/>
        <v>134</v>
      </c>
      <c r="AD111" s="89">
        <f t="shared" si="21"/>
        <v>123</v>
      </c>
      <c r="AE111" s="90">
        <f t="shared" si="22"/>
        <v>0</v>
      </c>
      <c r="AF111" s="90" t="str">
        <f t="shared" si="23"/>
        <v/>
      </c>
      <c r="AG111" s="90">
        <f t="shared" si="24"/>
        <v>134</v>
      </c>
      <c r="AH111" s="90">
        <f t="shared" si="25"/>
        <v>2018</v>
      </c>
      <c r="AI111" s="90">
        <f t="shared" si="26"/>
        <v>82</v>
      </c>
      <c r="AJ111" s="90">
        <f t="shared" si="27"/>
        <v>2022</v>
      </c>
      <c r="AK111" s="90" t="str">
        <f t="shared" si="28"/>
        <v>Adjust</v>
      </c>
      <c r="AL111" s="91">
        <f>IF(AK111="Adjust",(_xlfn.XLOOKUP(A111,'Adj factor'!A:A,'Adj factor'!I:I,,0)*AI111),'Master DataSheet'!AI111)</f>
        <v>94.242488834274042</v>
      </c>
      <c r="AM111" s="91">
        <f t="shared" si="29"/>
        <v>134</v>
      </c>
      <c r="AN111" s="92" t="str">
        <f t="shared" si="30"/>
        <v>Decreasing</v>
      </c>
      <c r="AO111" s="93">
        <f>VLOOKUP(B111,'Growthrates source'!A$2:H$49,8,FALSE)</f>
        <v>6.0410507639565125E-2</v>
      </c>
      <c r="AP111" s="93">
        <f>VLOOKUP(B111,'Growthrates source'!A$2:I$49,9,FALSE)</f>
        <v>0.33177029268299996</v>
      </c>
      <c r="AQ111" s="86">
        <f t="shared" si="31"/>
        <v>57.665339348789971</v>
      </c>
      <c r="AR111" s="86">
        <f t="shared" si="32"/>
        <v>211.03409429064743</v>
      </c>
      <c r="AS111" s="94">
        <f t="shared" si="33"/>
        <v>0</v>
      </c>
      <c r="AT111" s="94">
        <f t="shared" si="34"/>
        <v>0.54662452218795854</v>
      </c>
      <c r="AU111" s="94">
        <f t="shared" si="35"/>
        <v>0.50944836626752243</v>
      </c>
    </row>
    <row r="112" spans="1:48" x14ac:dyDescent="0.3">
      <c r="A112" s="85" t="str">
        <f>_xlfn.XLOOKUP(B112,'Country codes &amp; Data sources'!G:G,'Country codes &amp; Data sources'!H:H,,0)</f>
        <v>Botswana</v>
      </c>
      <c r="B112" s="85" t="s">
        <v>164</v>
      </c>
      <c r="C112" s="86">
        <v>2175439.5</v>
      </c>
      <c r="D112" s="85" t="s">
        <v>207</v>
      </c>
      <c r="E112" s="87">
        <v>0</v>
      </c>
      <c r="F112" s="88">
        <v>2217278.0000000009</v>
      </c>
      <c r="G112" s="87">
        <v>0</v>
      </c>
      <c r="I112" s="87">
        <v>0</v>
      </c>
      <c r="K112" s="87">
        <v>0</v>
      </c>
      <c r="M112" s="87">
        <v>0</v>
      </c>
      <c r="O112" s="87">
        <v>0</v>
      </c>
      <c r="P112" s="88">
        <v>2451408.4999999995</v>
      </c>
      <c r="Q112" s="87">
        <v>73</v>
      </c>
      <c r="R112" s="87">
        <f t="shared" si="18"/>
        <v>73</v>
      </c>
      <c r="T112" s="87">
        <v>110</v>
      </c>
      <c r="V112" s="87">
        <v>63</v>
      </c>
      <c r="X112" s="87">
        <v>62</v>
      </c>
      <c r="Y112" s="88">
        <v>2630296.0000000019</v>
      </c>
      <c r="Z112" s="87">
        <v>74</v>
      </c>
      <c r="AA112" s="87">
        <v>62</v>
      </c>
      <c r="AB112" s="89">
        <f t="shared" si="19"/>
        <v>0</v>
      </c>
      <c r="AC112" s="89">
        <f t="shared" si="20"/>
        <v>110</v>
      </c>
      <c r="AD112" s="89">
        <f t="shared" si="21"/>
        <v>74</v>
      </c>
      <c r="AE112" s="90">
        <f t="shared" si="22"/>
        <v>0</v>
      </c>
      <c r="AF112" s="90" t="str">
        <f t="shared" si="23"/>
        <v/>
      </c>
      <c r="AG112" s="90">
        <f t="shared" si="24"/>
        <v>73</v>
      </c>
      <c r="AH112" s="90">
        <f t="shared" si="25"/>
        <v>2018</v>
      </c>
      <c r="AI112" s="90">
        <f t="shared" si="26"/>
        <v>74</v>
      </c>
      <c r="AJ112" s="90">
        <f t="shared" si="27"/>
        <v>2022</v>
      </c>
      <c r="AK112" s="90" t="str">
        <f t="shared" si="28"/>
        <v/>
      </c>
      <c r="AL112" s="91">
        <f>IF(AK112="Adjust",(_xlfn.XLOOKUP(A112,'Adj factor'!A:A,'Adj factor'!I:I,,0)*AI112),'Master DataSheet'!AI112)</f>
        <v>74</v>
      </c>
      <c r="AM112" s="91">
        <f t="shared" si="29"/>
        <v>74</v>
      </c>
      <c r="AN112" s="92" t="str">
        <f t="shared" si="30"/>
        <v>Increasing</v>
      </c>
      <c r="AO112" s="93">
        <f>VLOOKUP(B112,'Growthrates source'!A$2:H$49,8,FALSE)</f>
        <v>6.0410507639565125E-2</v>
      </c>
      <c r="AP112" s="93">
        <f>VLOOKUP(B112,'Growthrates source'!A$2:I$49,9,FALSE)</f>
        <v>0.33177029268299996</v>
      </c>
      <c r="AQ112" s="86">
        <f t="shared" si="31"/>
        <v>45.836551790063822</v>
      </c>
      <c r="AR112" s="86">
        <f t="shared" si="32"/>
        <v>167.74504930795052</v>
      </c>
      <c r="AS112" s="94">
        <f t="shared" si="33"/>
        <v>0</v>
      </c>
      <c r="AT112" s="94">
        <f t="shared" si="34"/>
        <v>0.29778798596806699</v>
      </c>
      <c r="AU112" s="94">
        <f t="shared" si="35"/>
        <v>0.28133715749101984</v>
      </c>
    </row>
    <row r="113" spans="1:47" x14ac:dyDescent="0.3">
      <c r="A113" s="85" t="str">
        <f>_xlfn.XLOOKUP(B113,'Country codes &amp; Data sources'!G:G,'Country codes &amp; Data sources'!H:H,,0)</f>
        <v>Botswana</v>
      </c>
      <c r="B113" s="85" t="s">
        <v>164</v>
      </c>
      <c r="C113" s="86">
        <v>2175440.5</v>
      </c>
      <c r="D113" s="85" t="s">
        <v>141</v>
      </c>
      <c r="E113" s="87">
        <v>0</v>
      </c>
      <c r="F113" s="88">
        <v>2217278.0000000009</v>
      </c>
      <c r="G113" s="87">
        <v>0</v>
      </c>
      <c r="I113" s="87">
        <v>0</v>
      </c>
      <c r="K113" s="87">
        <v>0</v>
      </c>
      <c r="M113" s="87">
        <v>0</v>
      </c>
      <c r="O113" s="87">
        <v>0</v>
      </c>
      <c r="P113" s="88">
        <v>2451408.4999999995</v>
      </c>
      <c r="Q113" s="87">
        <v>5</v>
      </c>
      <c r="R113" s="87">
        <f t="shared" si="18"/>
        <v>5</v>
      </c>
      <c r="T113" s="87">
        <v>3</v>
      </c>
      <c r="V113" s="87">
        <v>3</v>
      </c>
      <c r="X113" s="87">
        <v>6</v>
      </c>
      <c r="Y113" s="88">
        <v>2630296.0000000019</v>
      </c>
      <c r="Z113" s="87">
        <v>4</v>
      </c>
      <c r="AA113" s="87">
        <v>1</v>
      </c>
      <c r="AB113" s="89">
        <f t="shared" si="19"/>
        <v>0</v>
      </c>
      <c r="AC113" s="89">
        <f t="shared" si="20"/>
        <v>5</v>
      </c>
      <c r="AD113" s="89">
        <f t="shared" si="21"/>
        <v>6</v>
      </c>
      <c r="AE113" s="90">
        <f t="shared" si="22"/>
        <v>0</v>
      </c>
      <c r="AF113" s="90" t="str">
        <f t="shared" si="23"/>
        <v/>
      </c>
      <c r="AG113" s="90">
        <f t="shared" si="24"/>
        <v>5</v>
      </c>
      <c r="AH113" s="90">
        <f t="shared" si="25"/>
        <v>2018</v>
      </c>
      <c r="AI113" s="90">
        <f t="shared" si="26"/>
        <v>4</v>
      </c>
      <c r="AJ113" s="90">
        <f t="shared" si="27"/>
        <v>2022</v>
      </c>
      <c r="AK113" s="90" t="str">
        <f t="shared" si="28"/>
        <v>Adjust</v>
      </c>
      <c r="AL113" s="91">
        <f>IF(AK113="Adjust",(_xlfn.XLOOKUP(A113,'Adj factor'!A:A,'Adj factor'!I:I,,0)*AI113),'Master DataSheet'!AI113)</f>
        <v>4.5971945772816607</v>
      </c>
      <c r="AM113" s="91">
        <f t="shared" si="29"/>
        <v>5</v>
      </c>
      <c r="AN113" s="92" t="str">
        <f t="shared" si="30"/>
        <v>Decreasing</v>
      </c>
      <c r="AO113" s="93">
        <f>VLOOKUP(B113,'Growthrates source'!A$2:H$49,8,FALSE)</f>
        <v>6.0410507639565125E-2</v>
      </c>
      <c r="AP113" s="93">
        <f>VLOOKUP(B113,'Growthrates source'!A$2:I$49,9,FALSE)</f>
        <v>0.33177029268299996</v>
      </c>
      <c r="AQ113" s="86">
        <f t="shared" si="31"/>
        <v>0.73929922242038426</v>
      </c>
      <c r="AR113" s="86">
        <f t="shared" si="32"/>
        <v>2.7055653114185567</v>
      </c>
      <c r="AS113" s="94">
        <f t="shared" si="33"/>
        <v>0</v>
      </c>
      <c r="AT113" s="94">
        <f t="shared" si="34"/>
        <v>2.0396437395073082E-2</v>
      </c>
      <c r="AU113" s="94">
        <f t="shared" si="35"/>
        <v>1.9009267398041881E-2</v>
      </c>
    </row>
    <row r="114" spans="1:47" x14ac:dyDescent="0.3">
      <c r="A114" s="85" t="str">
        <f>_xlfn.XLOOKUP(B114,'Country codes &amp; Data sources'!G:G,'Country codes &amp; Data sources'!H:H,,0)</f>
        <v>Botswana</v>
      </c>
      <c r="B114" s="85" t="s">
        <v>164</v>
      </c>
      <c r="C114" s="86">
        <v>2175441.5</v>
      </c>
      <c r="D114" s="85" t="s">
        <v>208</v>
      </c>
      <c r="E114" s="87">
        <v>0</v>
      </c>
      <c r="F114" s="88">
        <v>2217278.0000000009</v>
      </c>
      <c r="G114" s="87">
        <v>0</v>
      </c>
      <c r="I114" s="87">
        <v>0</v>
      </c>
      <c r="K114" s="87">
        <v>0</v>
      </c>
      <c r="M114" s="87">
        <v>0</v>
      </c>
      <c r="O114" s="87">
        <v>0</v>
      </c>
      <c r="P114" s="88">
        <v>2451408.4999999995</v>
      </c>
      <c r="Q114" s="87">
        <v>1248</v>
      </c>
      <c r="R114" s="87">
        <f t="shared" si="18"/>
        <v>1248</v>
      </c>
      <c r="T114" s="87">
        <v>1376</v>
      </c>
      <c r="V114" s="87">
        <v>1221</v>
      </c>
      <c r="X114" s="87">
        <v>1355</v>
      </c>
      <c r="Y114" s="88">
        <v>2630296.0000000019</v>
      </c>
      <c r="Z114" s="87">
        <v>1579</v>
      </c>
      <c r="AA114" s="87">
        <v>0</v>
      </c>
      <c r="AB114" s="89">
        <f t="shared" si="19"/>
        <v>0</v>
      </c>
      <c r="AC114" s="89">
        <f t="shared" si="20"/>
        <v>1376</v>
      </c>
      <c r="AD114" s="89">
        <f t="shared" si="21"/>
        <v>1579</v>
      </c>
      <c r="AE114" s="90">
        <f t="shared" si="22"/>
        <v>0</v>
      </c>
      <c r="AF114" s="90" t="str">
        <f t="shared" si="23"/>
        <v/>
      </c>
      <c r="AG114" s="90">
        <f t="shared" si="24"/>
        <v>1248</v>
      </c>
      <c r="AH114" s="90">
        <f t="shared" si="25"/>
        <v>2018</v>
      </c>
      <c r="AI114" s="90">
        <f t="shared" si="26"/>
        <v>1579</v>
      </c>
      <c r="AJ114" s="90">
        <f t="shared" si="27"/>
        <v>2022</v>
      </c>
      <c r="AK114" s="90" t="str">
        <f t="shared" si="28"/>
        <v/>
      </c>
      <c r="AL114" s="91">
        <f>IF(AK114="Adjust",(_xlfn.XLOOKUP(A114,'Adj factor'!A:A,'Adj factor'!I:I,,0)*AI114),'Master DataSheet'!AI114)</f>
        <v>1579</v>
      </c>
      <c r="AM114" s="91">
        <f t="shared" si="29"/>
        <v>1579</v>
      </c>
      <c r="AN114" s="92" t="str">
        <f t="shared" si="30"/>
        <v>Increasing</v>
      </c>
      <c r="AO114" s="93">
        <f>VLOOKUP(B114,'Growthrates source'!A$2:H$49,8,FALSE)</f>
        <v>6.0410507639565125E-2</v>
      </c>
      <c r="AP114" s="93">
        <f>VLOOKUP(B114,'Growthrates source'!A$2:I$49,9,FALSE)</f>
        <v>0.33177029268299996</v>
      </c>
      <c r="AQ114" s="86">
        <f t="shared" si="31"/>
        <v>0</v>
      </c>
      <c r="AR114" s="86">
        <f t="shared" si="32"/>
        <v>0</v>
      </c>
      <c r="AS114" s="94">
        <f t="shared" si="33"/>
        <v>0</v>
      </c>
      <c r="AT114" s="94">
        <f t="shared" si="34"/>
        <v>5.0909507738102411</v>
      </c>
      <c r="AU114" s="94">
        <f t="shared" si="35"/>
        <v>6.0031266443016253</v>
      </c>
    </row>
    <row r="115" spans="1:47" x14ac:dyDescent="0.3">
      <c r="A115" s="85" t="str">
        <f>_xlfn.XLOOKUP(B115,'Country codes &amp; Data sources'!G:G,'Country codes &amp; Data sources'!H:H,,0)</f>
        <v>Botswana</v>
      </c>
      <c r="B115" s="85" t="s">
        <v>164</v>
      </c>
      <c r="C115" s="86">
        <v>2175442.5</v>
      </c>
      <c r="D115" s="85" t="s">
        <v>209</v>
      </c>
      <c r="E115" s="87">
        <v>0</v>
      </c>
      <c r="F115" s="88">
        <v>2217278.0000000009</v>
      </c>
      <c r="G115" s="87">
        <v>0</v>
      </c>
      <c r="I115" s="87">
        <v>0</v>
      </c>
      <c r="K115" s="87">
        <v>0</v>
      </c>
      <c r="M115" s="87">
        <v>0</v>
      </c>
      <c r="O115" s="87">
        <v>0</v>
      </c>
      <c r="P115" s="88">
        <v>2451408.4999999995</v>
      </c>
      <c r="Q115" s="87">
        <v>3342</v>
      </c>
      <c r="R115" s="87">
        <f t="shared" si="18"/>
        <v>3342</v>
      </c>
      <c r="T115" s="87">
        <v>3956</v>
      </c>
      <c r="V115" s="87">
        <v>3691</v>
      </c>
      <c r="X115" s="87">
        <v>3629</v>
      </c>
      <c r="Y115" s="88">
        <v>2630296.0000000019</v>
      </c>
      <c r="Z115" s="87">
        <v>3204</v>
      </c>
      <c r="AA115" s="87">
        <v>20</v>
      </c>
      <c r="AB115" s="89">
        <f t="shared" si="19"/>
        <v>0</v>
      </c>
      <c r="AC115" s="89">
        <f t="shared" si="20"/>
        <v>3956</v>
      </c>
      <c r="AD115" s="89">
        <f t="shared" si="21"/>
        <v>3691</v>
      </c>
      <c r="AE115" s="90">
        <f t="shared" si="22"/>
        <v>0</v>
      </c>
      <c r="AF115" s="90" t="str">
        <f t="shared" si="23"/>
        <v/>
      </c>
      <c r="AG115" s="90">
        <f t="shared" si="24"/>
        <v>3342</v>
      </c>
      <c r="AH115" s="90">
        <f t="shared" si="25"/>
        <v>2018</v>
      </c>
      <c r="AI115" s="90">
        <f t="shared" si="26"/>
        <v>3204</v>
      </c>
      <c r="AJ115" s="90">
        <f t="shared" si="27"/>
        <v>2022</v>
      </c>
      <c r="AK115" s="90" t="str">
        <f t="shared" si="28"/>
        <v>Adjust</v>
      </c>
      <c r="AL115" s="91">
        <f>IF(AK115="Adjust",(_xlfn.XLOOKUP(A115,'Adj factor'!A:A,'Adj factor'!I:I,,0)*AI115),'Master DataSheet'!AI115)</f>
        <v>3682.3528564026101</v>
      </c>
      <c r="AM115" s="91">
        <f t="shared" si="29"/>
        <v>3682.3528564026101</v>
      </c>
      <c r="AN115" s="92" t="str">
        <f t="shared" si="30"/>
        <v>Increasing</v>
      </c>
      <c r="AO115" s="93">
        <f>VLOOKUP(B115,'Growthrates source'!A$2:H$49,8,FALSE)</f>
        <v>6.0410507639565125E-2</v>
      </c>
      <c r="AP115" s="93">
        <f>VLOOKUP(B115,'Growthrates source'!A$2:I$49,9,FALSE)</f>
        <v>0.33177029268299996</v>
      </c>
      <c r="AQ115" s="86">
        <f t="shared" si="31"/>
        <v>14.785984448407685</v>
      </c>
      <c r="AR115" s="86">
        <f t="shared" si="32"/>
        <v>54.111306228371134</v>
      </c>
      <c r="AS115" s="94">
        <f t="shared" si="33"/>
        <v>0</v>
      </c>
      <c r="AT115" s="94">
        <f t="shared" si="34"/>
        <v>13.632978754866848</v>
      </c>
      <c r="AU115" s="94">
        <f t="shared" si="35"/>
        <v>13.999766020260106</v>
      </c>
    </row>
    <row r="116" spans="1:47" x14ac:dyDescent="0.3">
      <c r="A116" s="85" t="str">
        <f>_xlfn.XLOOKUP(B116,'Country codes &amp; Data sources'!G:G,'Country codes &amp; Data sources'!H:H,,0)</f>
        <v>Botswana</v>
      </c>
      <c r="B116" s="85" t="s">
        <v>164</v>
      </c>
      <c r="C116" s="86">
        <v>2175443.5</v>
      </c>
      <c r="D116" s="85" t="s">
        <v>134</v>
      </c>
      <c r="E116" s="87">
        <v>0</v>
      </c>
      <c r="F116" s="88">
        <v>2217278.0000000009</v>
      </c>
      <c r="G116" s="87">
        <v>0</v>
      </c>
      <c r="I116" s="87">
        <v>0</v>
      </c>
      <c r="K116" s="87">
        <v>0</v>
      </c>
      <c r="M116" s="87">
        <v>0</v>
      </c>
      <c r="O116" s="87">
        <v>0</v>
      </c>
      <c r="P116" s="88">
        <v>2451408.4999999995</v>
      </c>
      <c r="Q116" s="87">
        <v>318</v>
      </c>
      <c r="R116" s="87">
        <f t="shared" si="18"/>
        <v>460</v>
      </c>
      <c r="T116" s="87">
        <v>330</v>
      </c>
      <c r="V116" s="87">
        <v>338</v>
      </c>
      <c r="X116" s="87">
        <v>337</v>
      </c>
      <c r="Y116" s="88">
        <v>2630296.0000000019</v>
      </c>
      <c r="Z116" s="87">
        <v>318</v>
      </c>
      <c r="AA116" s="87">
        <v>460</v>
      </c>
      <c r="AB116" s="89">
        <f t="shared" si="19"/>
        <v>0</v>
      </c>
      <c r="AC116" s="89">
        <f t="shared" si="20"/>
        <v>330</v>
      </c>
      <c r="AD116" s="89">
        <f t="shared" si="21"/>
        <v>338</v>
      </c>
      <c r="AE116" s="90">
        <f t="shared" si="22"/>
        <v>0</v>
      </c>
      <c r="AF116" s="90" t="str">
        <f t="shared" si="23"/>
        <v/>
      </c>
      <c r="AG116" s="90">
        <f t="shared" si="24"/>
        <v>460</v>
      </c>
      <c r="AH116" s="90" t="str">
        <f t="shared" si="25"/>
        <v>2018 (triag)</v>
      </c>
      <c r="AI116" s="90">
        <f t="shared" si="26"/>
        <v>318</v>
      </c>
      <c r="AJ116" s="90">
        <f t="shared" si="27"/>
        <v>2022</v>
      </c>
      <c r="AK116" s="90" t="str">
        <f t="shared" si="28"/>
        <v>Adjust</v>
      </c>
      <c r="AL116" s="91">
        <f>IF(AK116="Adjust",(_xlfn.XLOOKUP(A116,'Adj factor'!A:A,'Adj factor'!I:I,,0)*AI116),'Master DataSheet'!AI116)</f>
        <v>365.47696889389204</v>
      </c>
      <c r="AM116" s="91">
        <f t="shared" si="29"/>
        <v>460</v>
      </c>
      <c r="AN116" s="92" t="str">
        <f t="shared" si="30"/>
        <v>Decreasing</v>
      </c>
      <c r="AO116" s="93">
        <f>VLOOKUP(B116,'Growthrates source'!A$2:H$49,8,FALSE)</f>
        <v>6.0410507639565125E-2</v>
      </c>
      <c r="AP116" s="93">
        <f>VLOOKUP(B116,'Growthrates source'!A$2:I$49,9,FALSE)</f>
        <v>0.33177029268299996</v>
      </c>
      <c r="AQ116" s="86">
        <f t="shared" si="31"/>
        <v>340.07764231337677</v>
      </c>
      <c r="AR116" s="86">
        <f t="shared" si="32"/>
        <v>1244.5600432525362</v>
      </c>
      <c r="AS116" s="94">
        <f t="shared" si="33"/>
        <v>0</v>
      </c>
      <c r="AT116" s="94">
        <f t="shared" si="34"/>
        <v>1.8764722403467236</v>
      </c>
      <c r="AU116" s="94">
        <f t="shared" si="35"/>
        <v>1.748852600619853</v>
      </c>
    </row>
    <row r="117" spans="1:47" x14ac:dyDescent="0.3">
      <c r="A117" s="85" t="str">
        <f>_xlfn.XLOOKUP(B117,'Country codes &amp; Data sources'!G:G,'Country codes &amp; Data sources'!H:H,,0)</f>
        <v>Botswana</v>
      </c>
      <c r="B117" s="85" t="s">
        <v>164</v>
      </c>
      <c r="C117" s="86">
        <v>2175444.5</v>
      </c>
      <c r="D117" s="85" t="s">
        <v>142</v>
      </c>
      <c r="E117" s="87">
        <v>0</v>
      </c>
      <c r="F117" s="88">
        <v>2217278.0000000009</v>
      </c>
      <c r="G117" s="87">
        <v>0</v>
      </c>
      <c r="I117" s="87">
        <v>0</v>
      </c>
      <c r="K117" s="87">
        <v>0</v>
      </c>
      <c r="M117" s="87">
        <v>0</v>
      </c>
      <c r="O117" s="87">
        <v>0</v>
      </c>
      <c r="P117" s="88">
        <v>2451408.4999999995</v>
      </c>
      <c r="Q117" s="87">
        <v>10</v>
      </c>
      <c r="R117" s="87">
        <f t="shared" si="18"/>
        <v>58</v>
      </c>
      <c r="T117" s="87">
        <v>10</v>
      </c>
      <c r="V117" s="87">
        <v>10</v>
      </c>
      <c r="X117" s="87">
        <v>11</v>
      </c>
      <c r="Y117" s="88">
        <v>2630296.0000000019</v>
      </c>
      <c r="Z117" s="87">
        <v>6</v>
      </c>
      <c r="AA117" s="87">
        <v>58</v>
      </c>
      <c r="AB117" s="89">
        <f t="shared" si="19"/>
        <v>0</v>
      </c>
      <c r="AC117" s="89">
        <f t="shared" si="20"/>
        <v>10</v>
      </c>
      <c r="AD117" s="89">
        <f t="shared" si="21"/>
        <v>11</v>
      </c>
      <c r="AE117" s="90">
        <f t="shared" si="22"/>
        <v>0</v>
      </c>
      <c r="AF117" s="90" t="str">
        <f t="shared" si="23"/>
        <v/>
      </c>
      <c r="AG117" s="90">
        <f t="shared" si="24"/>
        <v>58</v>
      </c>
      <c r="AH117" s="90" t="str">
        <f t="shared" si="25"/>
        <v>2018 (triag)</v>
      </c>
      <c r="AI117" s="90">
        <f t="shared" si="26"/>
        <v>6</v>
      </c>
      <c r="AJ117" s="90">
        <f t="shared" si="27"/>
        <v>2022</v>
      </c>
      <c r="AK117" s="90" t="str">
        <f t="shared" si="28"/>
        <v>Adjust</v>
      </c>
      <c r="AL117" s="91">
        <f>IF(AK117="Adjust",(_xlfn.XLOOKUP(A117,'Adj factor'!A:A,'Adj factor'!I:I,,0)*AI117),'Master DataSheet'!AI117)</f>
        <v>6.895791865922491</v>
      </c>
      <c r="AM117" s="91">
        <f t="shared" si="29"/>
        <v>58</v>
      </c>
      <c r="AN117" s="92" t="str">
        <f t="shared" si="30"/>
        <v>Decreasing</v>
      </c>
      <c r="AO117" s="93">
        <f>VLOOKUP(B117,'Growthrates source'!A$2:H$49,8,FALSE)</f>
        <v>6.0410507639565125E-2</v>
      </c>
      <c r="AP117" s="93">
        <f>VLOOKUP(B117,'Growthrates source'!A$2:I$49,9,FALSE)</f>
        <v>0.33177029268299996</v>
      </c>
      <c r="AQ117" s="86">
        <f t="shared" si="31"/>
        <v>42.879354900382289</v>
      </c>
      <c r="AR117" s="86">
        <f t="shared" si="32"/>
        <v>156.92278806227628</v>
      </c>
      <c r="AS117" s="94">
        <f t="shared" si="33"/>
        <v>0</v>
      </c>
      <c r="AT117" s="94">
        <f t="shared" si="34"/>
        <v>0.23659867378284774</v>
      </c>
      <c r="AU117" s="94">
        <f t="shared" si="35"/>
        <v>0.22050750181728582</v>
      </c>
    </row>
    <row r="118" spans="1:47" x14ac:dyDescent="0.3">
      <c r="A118" s="85" t="str">
        <f>_xlfn.XLOOKUP(B118,'Country codes &amp; Data sources'!G:G,'Country codes &amp; Data sources'!H:H,,0)</f>
        <v>Botswana</v>
      </c>
      <c r="B118" s="85" t="s">
        <v>164</v>
      </c>
      <c r="C118" s="86">
        <v>2175445.5</v>
      </c>
      <c r="D118" s="85" t="s">
        <v>83</v>
      </c>
      <c r="E118" s="87">
        <v>0</v>
      </c>
      <c r="F118" s="88">
        <v>2217278.0000000009</v>
      </c>
      <c r="G118" s="87">
        <v>0</v>
      </c>
      <c r="I118" s="87">
        <v>0</v>
      </c>
      <c r="K118" s="87">
        <v>0</v>
      </c>
      <c r="M118" s="87">
        <v>0</v>
      </c>
      <c r="O118" s="87">
        <v>0</v>
      </c>
      <c r="P118" s="88">
        <v>2451408.4999999995</v>
      </c>
      <c r="Q118" s="87">
        <v>42</v>
      </c>
      <c r="R118" s="87">
        <f t="shared" si="18"/>
        <v>42</v>
      </c>
      <c r="T118" s="87">
        <v>38</v>
      </c>
      <c r="V118" s="87">
        <v>66</v>
      </c>
      <c r="X118" s="87">
        <v>42</v>
      </c>
      <c r="Y118" s="88">
        <v>2630296.0000000019</v>
      </c>
      <c r="Z118" s="87">
        <v>30</v>
      </c>
      <c r="AA118" s="87">
        <v>38</v>
      </c>
      <c r="AB118" s="89">
        <f t="shared" si="19"/>
        <v>0</v>
      </c>
      <c r="AC118" s="89">
        <f t="shared" si="20"/>
        <v>42</v>
      </c>
      <c r="AD118" s="89">
        <f t="shared" si="21"/>
        <v>66</v>
      </c>
      <c r="AE118" s="90">
        <f t="shared" si="22"/>
        <v>0</v>
      </c>
      <c r="AF118" s="90" t="str">
        <f t="shared" si="23"/>
        <v/>
      </c>
      <c r="AG118" s="90">
        <f t="shared" si="24"/>
        <v>42</v>
      </c>
      <c r="AH118" s="90">
        <f t="shared" si="25"/>
        <v>2018</v>
      </c>
      <c r="AI118" s="90">
        <f t="shared" si="26"/>
        <v>30</v>
      </c>
      <c r="AJ118" s="90">
        <f t="shared" si="27"/>
        <v>2022</v>
      </c>
      <c r="AK118" s="90" t="str">
        <f t="shared" si="28"/>
        <v>Adjust</v>
      </c>
      <c r="AL118" s="91">
        <f>IF(AK118="Adjust",(_xlfn.XLOOKUP(A118,'Adj factor'!A:A,'Adj factor'!I:I,,0)*AI118),'Master DataSheet'!AI118)</f>
        <v>34.478959329612458</v>
      </c>
      <c r="AM118" s="91">
        <f t="shared" si="29"/>
        <v>42</v>
      </c>
      <c r="AN118" s="92" t="str">
        <f t="shared" si="30"/>
        <v>Decreasing</v>
      </c>
      <c r="AO118" s="93">
        <f>VLOOKUP(B118,'Growthrates source'!A$2:H$49,8,FALSE)</f>
        <v>6.0410507639565125E-2</v>
      </c>
      <c r="AP118" s="93">
        <f>VLOOKUP(B118,'Growthrates source'!A$2:I$49,9,FALSE)</f>
        <v>0.33177029268299996</v>
      </c>
      <c r="AQ118" s="86">
        <f t="shared" si="31"/>
        <v>28.0933704519746</v>
      </c>
      <c r="AR118" s="86">
        <f t="shared" si="32"/>
        <v>102.81148183390516</v>
      </c>
      <c r="AS118" s="94">
        <f t="shared" si="33"/>
        <v>0</v>
      </c>
      <c r="AT118" s="94">
        <f t="shared" si="34"/>
        <v>0.1713300741186139</v>
      </c>
      <c r="AU118" s="94">
        <f t="shared" si="35"/>
        <v>0.15967784614355179</v>
      </c>
    </row>
    <row r="119" spans="1:47" x14ac:dyDescent="0.3">
      <c r="A119" s="85" t="str">
        <f>_xlfn.XLOOKUP(B119,'Country codes &amp; Data sources'!G:G,'Country codes &amp; Data sources'!H:H,,0)</f>
        <v>Botswana</v>
      </c>
      <c r="B119" s="85" t="s">
        <v>164</v>
      </c>
      <c r="C119" s="86">
        <v>2175446.5</v>
      </c>
      <c r="D119" s="85" t="s">
        <v>84</v>
      </c>
      <c r="E119" s="87">
        <v>0</v>
      </c>
      <c r="F119" s="88">
        <v>2217278.0000000009</v>
      </c>
      <c r="G119" s="87">
        <v>0</v>
      </c>
      <c r="I119" s="87">
        <v>0</v>
      </c>
      <c r="K119" s="87">
        <v>0</v>
      </c>
      <c r="M119" s="87">
        <v>0</v>
      </c>
      <c r="O119" s="87">
        <v>0</v>
      </c>
      <c r="P119" s="88">
        <v>2451408.4999999995</v>
      </c>
      <c r="Q119" s="87">
        <v>0</v>
      </c>
      <c r="R119" s="87">
        <f t="shared" si="18"/>
        <v>0</v>
      </c>
      <c r="T119" s="87">
        <v>0</v>
      </c>
      <c r="V119" s="87">
        <v>0</v>
      </c>
      <c r="X119" s="87">
        <v>0</v>
      </c>
      <c r="Y119" s="88">
        <v>2630296.0000000019</v>
      </c>
      <c r="Z119" s="87">
        <v>0</v>
      </c>
      <c r="AA119" s="87">
        <v>0</v>
      </c>
      <c r="AB119" s="89">
        <f t="shared" si="19"/>
        <v>0</v>
      </c>
      <c r="AC119" s="89">
        <f t="shared" si="20"/>
        <v>0</v>
      </c>
      <c r="AD119" s="89">
        <f t="shared" si="21"/>
        <v>0</v>
      </c>
      <c r="AE119" s="90">
        <f t="shared" si="22"/>
        <v>0</v>
      </c>
      <c r="AF119" s="90" t="str">
        <f t="shared" si="23"/>
        <v/>
      </c>
      <c r="AG119" s="90">
        <f t="shared" si="24"/>
        <v>0</v>
      </c>
      <c r="AH119" s="90" t="str">
        <f t="shared" si="25"/>
        <v/>
      </c>
      <c r="AI119" s="90">
        <f t="shared" si="26"/>
        <v>0</v>
      </c>
      <c r="AJ119" s="90" t="str">
        <f t="shared" si="27"/>
        <v/>
      </c>
      <c r="AK119" s="90" t="str">
        <f t="shared" si="28"/>
        <v/>
      </c>
      <c r="AL119" s="91">
        <f>IF(AK119="Adjust",(_xlfn.XLOOKUP(A119,'Adj factor'!A:A,'Adj factor'!I:I,,0)*AI119),'Master DataSheet'!AI119)</f>
        <v>0</v>
      </c>
      <c r="AM119" s="91">
        <f t="shared" si="29"/>
        <v>0</v>
      </c>
      <c r="AN119" s="92" t="str">
        <f t="shared" si="30"/>
        <v>No change</v>
      </c>
      <c r="AO119" s="93">
        <f>VLOOKUP(B119,'Growthrates source'!A$2:H$49,8,FALSE)</f>
        <v>6.0410507639565125E-2</v>
      </c>
      <c r="AP119" s="93">
        <f>VLOOKUP(B119,'Growthrates source'!A$2:I$49,9,FALSE)</f>
        <v>0.33177029268299996</v>
      </c>
      <c r="AQ119" s="86">
        <f t="shared" si="31"/>
        <v>0</v>
      </c>
      <c r="AR119" s="86">
        <f t="shared" si="32"/>
        <v>0</v>
      </c>
      <c r="AS119" s="94">
        <f t="shared" si="33"/>
        <v>0</v>
      </c>
      <c r="AT119" s="94">
        <f t="shared" si="34"/>
        <v>0</v>
      </c>
      <c r="AU119" s="94">
        <f t="shared" si="35"/>
        <v>0</v>
      </c>
    </row>
    <row r="120" spans="1:47" x14ac:dyDescent="0.3">
      <c r="A120" s="85" t="str">
        <f>_xlfn.XLOOKUP(B120,'Country codes &amp; Data sources'!G:G,'Country codes &amp; Data sources'!H:H,,0)</f>
        <v>Botswana</v>
      </c>
      <c r="B120" s="85" t="s">
        <v>164</v>
      </c>
      <c r="C120" s="86">
        <v>2175447.5</v>
      </c>
      <c r="D120" s="85" t="s">
        <v>126</v>
      </c>
      <c r="E120" s="87">
        <v>0</v>
      </c>
      <c r="F120" s="88">
        <v>2217278.0000000009</v>
      </c>
      <c r="G120" s="87">
        <v>0</v>
      </c>
      <c r="I120" s="87">
        <v>0</v>
      </c>
      <c r="K120" s="87">
        <v>0</v>
      </c>
      <c r="M120" s="87">
        <v>0</v>
      </c>
      <c r="O120" s="87">
        <v>0</v>
      </c>
      <c r="P120" s="88">
        <v>2451408.4999999995</v>
      </c>
      <c r="Q120" s="87">
        <v>9</v>
      </c>
      <c r="R120" s="87">
        <f t="shared" si="18"/>
        <v>9</v>
      </c>
      <c r="T120" s="87">
        <v>8</v>
      </c>
      <c r="V120" s="87">
        <v>7</v>
      </c>
      <c r="X120" s="87">
        <v>8</v>
      </c>
      <c r="Y120" s="88">
        <v>2630296.0000000019</v>
      </c>
      <c r="Z120" s="87">
        <v>11</v>
      </c>
      <c r="AA120" s="87">
        <v>0</v>
      </c>
      <c r="AB120" s="89">
        <f t="shared" si="19"/>
        <v>0</v>
      </c>
      <c r="AC120" s="89">
        <f t="shared" si="20"/>
        <v>9</v>
      </c>
      <c r="AD120" s="89">
        <f t="shared" si="21"/>
        <v>11</v>
      </c>
      <c r="AE120" s="90">
        <f t="shared" si="22"/>
        <v>0</v>
      </c>
      <c r="AF120" s="90" t="str">
        <f t="shared" si="23"/>
        <v/>
      </c>
      <c r="AG120" s="90">
        <f t="shared" si="24"/>
        <v>9</v>
      </c>
      <c r="AH120" s="90">
        <f t="shared" si="25"/>
        <v>2018</v>
      </c>
      <c r="AI120" s="90">
        <f t="shared" si="26"/>
        <v>11</v>
      </c>
      <c r="AJ120" s="90">
        <f t="shared" si="27"/>
        <v>2022</v>
      </c>
      <c r="AK120" s="90" t="str">
        <f t="shared" si="28"/>
        <v/>
      </c>
      <c r="AL120" s="91">
        <f>IF(AK120="Adjust",(_xlfn.XLOOKUP(A120,'Adj factor'!A:A,'Adj factor'!I:I,,0)*AI120),'Master DataSheet'!AI120)</f>
        <v>11</v>
      </c>
      <c r="AM120" s="91">
        <f t="shared" si="29"/>
        <v>11</v>
      </c>
      <c r="AN120" s="92" t="str">
        <f t="shared" si="30"/>
        <v>Increasing</v>
      </c>
      <c r="AO120" s="93">
        <f>VLOOKUP(B120,'Growthrates source'!A$2:H$49,8,FALSE)</f>
        <v>6.0410507639565125E-2</v>
      </c>
      <c r="AP120" s="93">
        <f>VLOOKUP(B120,'Growthrates source'!A$2:I$49,9,FALSE)</f>
        <v>0.33177029268299996</v>
      </c>
      <c r="AQ120" s="86">
        <f t="shared" si="31"/>
        <v>0</v>
      </c>
      <c r="AR120" s="86">
        <f t="shared" si="32"/>
        <v>0</v>
      </c>
      <c r="AS120" s="94">
        <f t="shared" si="33"/>
        <v>0</v>
      </c>
      <c r="AT120" s="94">
        <f t="shared" si="34"/>
        <v>3.6713587311131543E-2</v>
      </c>
      <c r="AU120" s="94">
        <f t="shared" si="35"/>
        <v>4.1820388275692136E-2</v>
      </c>
    </row>
    <row r="121" spans="1:47" x14ac:dyDescent="0.3">
      <c r="A121" s="85" t="str">
        <f>_xlfn.XLOOKUP(B121,'Country codes &amp; Data sources'!G:G,'Country codes &amp; Data sources'!H:H,,0)</f>
        <v>Botswana</v>
      </c>
      <c r="B121" s="85" t="s">
        <v>164</v>
      </c>
      <c r="C121" s="86">
        <v>2175448.5</v>
      </c>
      <c r="D121" s="85" t="s">
        <v>87</v>
      </c>
      <c r="E121" s="87">
        <v>0</v>
      </c>
      <c r="F121" s="88">
        <v>2217278.0000000009</v>
      </c>
      <c r="G121" s="87">
        <v>0</v>
      </c>
      <c r="I121" s="87">
        <v>0</v>
      </c>
      <c r="K121" s="87">
        <v>0</v>
      </c>
      <c r="M121" s="87">
        <v>0</v>
      </c>
      <c r="O121" s="87">
        <v>0</v>
      </c>
      <c r="P121" s="88">
        <v>2451408.4999999995</v>
      </c>
      <c r="Q121" s="87">
        <v>0</v>
      </c>
      <c r="R121" s="87">
        <f t="shared" si="18"/>
        <v>0</v>
      </c>
      <c r="T121" s="87">
        <v>0</v>
      </c>
      <c r="V121" s="87">
        <v>0</v>
      </c>
      <c r="X121" s="87">
        <v>0</v>
      </c>
      <c r="Y121" s="88">
        <v>2630296.0000000019</v>
      </c>
      <c r="Z121" s="87">
        <v>0</v>
      </c>
      <c r="AA121" s="87">
        <v>0</v>
      </c>
      <c r="AB121" s="89">
        <f t="shared" si="19"/>
        <v>0</v>
      </c>
      <c r="AC121" s="89">
        <f t="shared" si="20"/>
        <v>0</v>
      </c>
      <c r="AD121" s="89">
        <f t="shared" si="21"/>
        <v>0</v>
      </c>
      <c r="AE121" s="90">
        <f t="shared" si="22"/>
        <v>0</v>
      </c>
      <c r="AF121" s="90" t="str">
        <f t="shared" si="23"/>
        <v/>
      </c>
      <c r="AG121" s="90">
        <f t="shared" si="24"/>
        <v>0</v>
      </c>
      <c r="AH121" s="90" t="str">
        <f t="shared" si="25"/>
        <v/>
      </c>
      <c r="AI121" s="90">
        <f t="shared" si="26"/>
        <v>0</v>
      </c>
      <c r="AJ121" s="90" t="str">
        <f t="shared" si="27"/>
        <v/>
      </c>
      <c r="AK121" s="90" t="str">
        <f t="shared" si="28"/>
        <v/>
      </c>
      <c r="AL121" s="91">
        <f>IF(AK121="Adjust",(_xlfn.XLOOKUP(A121,'Adj factor'!A:A,'Adj factor'!I:I,,0)*AI121),'Master DataSheet'!AI121)</f>
        <v>0</v>
      </c>
      <c r="AM121" s="91">
        <f t="shared" si="29"/>
        <v>0</v>
      </c>
      <c r="AN121" s="92" t="str">
        <f t="shared" si="30"/>
        <v>No change</v>
      </c>
      <c r="AO121" s="93">
        <f>VLOOKUP(B121,'Growthrates source'!A$2:H$49,8,FALSE)</f>
        <v>6.0410507639565125E-2</v>
      </c>
      <c r="AP121" s="93">
        <f>VLOOKUP(B121,'Growthrates source'!A$2:I$49,9,FALSE)</f>
        <v>0.33177029268299996</v>
      </c>
      <c r="AQ121" s="86">
        <f t="shared" si="31"/>
        <v>0</v>
      </c>
      <c r="AR121" s="86">
        <f t="shared" si="32"/>
        <v>0</v>
      </c>
      <c r="AS121" s="94">
        <f t="shared" si="33"/>
        <v>0</v>
      </c>
      <c r="AT121" s="94">
        <f t="shared" si="34"/>
        <v>0</v>
      </c>
      <c r="AU121" s="94">
        <f t="shared" si="35"/>
        <v>0</v>
      </c>
    </row>
    <row r="122" spans="1:47" x14ac:dyDescent="0.3">
      <c r="A122" s="85" t="str">
        <f>_xlfn.XLOOKUP(B122,'Country codes &amp; Data sources'!G:G,'Country codes &amp; Data sources'!H:H,,0)</f>
        <v>Central African Republic</v>
      </c>
      <c r="B122" s="85" t="s">
        <v>152</v>
      </c>
      <c r="C122" s="86">
        <v>4773305.4999999991</v>
      </c>
      <c r="D122" s="85" t="s">
        <v>321</v>
      </c>
      <c r="E122" s="87">
        <v>0</v>
      </c>
      <c r="F122" s="88">
        <v>4802428.5000000065</v>
      </c>
      <c r="G122" s="87">
        <v>0</v>
      </c>
      <c r="H122" s="87">
        <v>4798734.5</v>
      </c>
      <c r="I122" s="87">
        <v>17</v>
      </c>
      <c r="J122" s="87">
        <v>4819332.9999999991</v>
      </c>
      <c r="K122" s="87">
        <v>648</v>
      </c>
      <c r="L122" s="87">
        <v>4904177.5000000019</v>
      </c>
      <c r="M122" s="87">
        <v>0</v>
      </c>
      <c r="N122" s="87">
        <v>4996741.0000000009</v>
      </c>
      <c r="O122" s="87">
        <v>0</v>
      </c>
      <c r="P122" s="88">
        <v>5094779.9999999991</v>
      </c>
      <c r="Q122" s="87">
        <v>670</v>
      </c>
      <c r="R122" s="87">
        <f t="shared" si="18"/>
        <v>670</v>
      </c>
      <c r="S122" s="87">
        <v>5209324.4999999963</v>
      </c>
      <c r="T122" s="87">
        <v>0</v>
      </c>
      <c r="U122" s="87">
        <v>5343019.9999999991</v>
      </c>
      <c r="V122" s="87">
        <v>0</v>
      </c>
      <c r="W122" s="87">
        <v>5457154.4999999991</v>
      </c>
      <c r="X122" s="87">
        <v>561</v>
      </c>
      <c r="Y122" s="88">
        <v>5579143.5000000047</v>
      </c>
      <c r="Z122" s="87">
        <v>0</v>
      </c>
      <c r="AA122" s="87">
        <v>335</v>
      </c>
      <c r="AB122" s="89">
        <f t="shared" si="19"/>
        <v>648</v>
      </c>
      <c r="AC122" s="89">
        <f t="shared" si="20"/>
        <v>670</v>
      </c>
      <c r="AD122" s="89">
        <f t="shared" si="21"/>
        <v>561</v>
      </c>
      <c r="AE122" s="90">
        <f t="shared" si="22"/>
        <v>17</v>
      </c>
      <c r="AF122" s="90">
        <f t="shared" si="23"/>
        <v>2014</v>
      </c>
      <c r="AG122" s="90">
        <f t="shared" si="24"/>
        <v>670</v>
      </c>
      <c r="AH122" s="90">
        <f t="shared" si="25"/>
        <v>2018</v>
      </c>
      <c r="AI122" s="90">
        <f t="shared" si="26"/>
        <v>561</v>
      </c>
      <c r="AJ122" s="90">
        <f t="shared" si="27"/>
        <v>2021</v>
      </c>
      <c r="AK122" s="90" t="str">
        <f t="shared" si="28"/>
        <v>Adjust</v>
      </c>
      <c r="AL122" s="91">
        <f>IF(AK122="Adjust",(_xlfn.XLOOKUP(A122,'Adj factor'!A:A,'Adj factor'!I:I,,0)*AI122),'Master DataSheet'!AI122)</f>
        <v>720.39081885856081</v>
      </c>
      <c r="AM122" s="91">
        <f t="shared" si="29"/>
        <v>720.39081885856081</v>
      </c>
      <c r="AN122" s="92" t="str">
        <f t="shared" si="30"/>
        <v>Increasing</v>
      </c>
      <c r="AO122" s="93">
        <f>VLOOKUP(B122,'Growthrates source'!A$2:H$49,8,FALSE)</f>
        <v>1.405403127486049E-2</v>
      </c>
      <c r="AP122" s="93">
        <f>VLOOKUP(B122,'Growthrates source'!A$2:I$49,9,FALSE)</f>
        <v>5.4673730437993617E-2</v>
      </c>
      <c r="AQ122" s="86">
        <f t="shared" si="31"/>
        <v>312.26755720106013</v>
      </c>
      <c r="AR122" s="86">
        <f t="shared" si="32"/>
        <v>394.71015989436575</v>
      </c>
      <c r="AS122" s="94">
        <f t="shared" si="33"/>
        <v>3.5398757107992292E-2</v>
      </c>
      <c r="AT122" s="94">
        <f t="shared" si="34"/>
        <v>1.3150715045595691</v>
      </c>
      <c r="AU122" s="94">
        <f t="shared" si="35"/>
        <v>1.2912211683720991</v>
      </c>
    </row>
    <row r="123" spans="1:47" x14ac:dyDescent="0.3">
      <c r="A123" s="85" t="str">
        <f>_xlfn.XLOOKUP(B123,'Country codes &amp; Data sources'!G:G,'Country codes &amp; Data sources'!H:H,,0)</f>
        <v>Central African Republic</v>
      </c>
      <c r="B123" s="85" t="s">
        <v>152</v>
      </c>
      <c r="C123" s="86">
        <v>4773306.5</v>
      </c>
      <c r="D123" s="85" t="s">
        <v>322</v>
      </c>
      <c r="E123" s="87">
        <v>0</v>
      </c>
      <c r="F123" s="88">
        <v>4802428.5000000065</v>
      </c>
      <c r="G123" s="87">
        <v>0</v>
      </c>
      <c r="I123" s="87">
        <v>0</v>
      </c>
      <c r="K123" s="87">
        <v>644</v>
      </c>
      <c r="M123" s="87">
        <v>0</v>
      </c>
      <c r="O123" s="87">
        <v>0</v>
      </c>
      <c r="P123" s="88">
        <v>5094779.9999999991</v>
      </c>
      <c r="Q123" s="87">
        <v>2390</v>
      </c>
      <c r="R123" s="87">
        <f t="shared" si="18"/>
        <v>2390</v>
      </c>
      <c r="T123" s="87">
        <v>0</v>
      </c>
      <c r="V123" s="87">
        <v>0</v>
      </c>
      <c r="X123" s="87">
        <v>1010</v>
      </c>
      <c r="Y123" s="88">
        <v>5579143.5000000047</v>
      </c>
      <c r="Z123" s="87">
        <v>0</v>
      </c>
      <c r="AA123" s="87">
        <v>751</v>
      </c>
      <c r="AB123" s="89">
        <f t="shared" si="19"/>
        <v>644</v>
      </c>
      <c r="AC123" s="89">
        <f t="shared" si="20"/>
        <v>2390</v>
      </c>
      <c r="AD123" s="89">
        <f t="shared" si="21"/>
        <v>1010</v>
      </c>
      <c r="AE123" s="90">
        <f t="shared" si="22"/>
        <v>644</v>
      </c>
      <c r="AF123" s="90">
        <f t="shared" si="23"/>
        <v>2015</v>
      </c>
      <c r="AG123" s="90">
        <f t="shared" si="24"/>
        <v>2390</v>
      </c>
      <c r="AH123" s="90">
        <f t="shared" si="25"/>
        <v>2018</v>
      </c>
      <c r="AI123" s="90">
        <f t="shared" si="26"/>
        <v>1010</v>
      </c>
      <c r="AJ123" s="90">
        <f t="shared" si="27"/>
        <v>2021</v>
      </c>
      <c r="AK123" s="90" t="str">
        <f t="shared" si="28"/>
        <v>Adjust</v>
      </c>
      <c r="AL123" s="91">
        <f>IF(AK123="Adjust",(_xlfn.XLOOKUP(A123,'Adj factor'!A:A,'Adj factor'!I:I,,0)*AI123),'Master DataSheet'!AI123)</f>
        <v>1296.9602977667494</v>
      </c>
      <c r="AM123" s="91">
        <f t="shared" si="29"/>
        <v>2390</v>
      </c>
      <c r="AN123" s="92" t="str">
        <f t="shared" si="30"/>
        <v>Decreasing</v>
      </c>
      <c r="AO123" s="93">
        <f>VLOOKUP(B123,'Growthrates source'!A$2:H$49,8,FALSE)</f>
        <v>1.405403127486049E-2</v>
      </c>
      <c r="AP123" s="93">
        <f>VLOOKUP(B123,'Growthrates source'!A$2:I$49,9,FALSE)</f>
        <v>5.4673730437993617E-2</v>
      </c>
      <c r="AQ123" s="86">
        <f t="shared" si="31"/>
        <v>700.03861330745121</v>
      </c>
      <c r="AR123" s="86">
        <f t="shared" si="32"/>
        <v>884.85770173333935</v>
      </c>
      <c r="AS123" s="94">
        <f t="shared" si="33"/>
        <v>1.3409882104439435</v>
      </c>
      <c r="AT123" s="94">
        <f t="shared" si="34"/>
        <v>4.6910759640259254</v>
      </c>
      <c r="AU123" s="94">
        <f t="shared" si="35"/>
        <v>4.283811663922962</v>
      </c>
    </row>
    <row r="124" spans="1:47" x14ac:dyDescent="0.3">
      <c r="A124" s="85" t="str">
        <f>_xlfn.XLOOKUP(B124,'Country codes &amp; Data sources'!G:G,'Country codes &amp; Data sources'!H:H,,0)</f>
        <v>Central African Republic</v>
      </c>
      <c r="B124" s="85" t="s">
        <v>152</v>
      </c>
      <c r="C124" s="86">
        <v>4773307.5</v>
      </c>
      <c r="D124" s="85" t="s">
        <v>323</v>
      </c>
      <c r="E124" s="87">
        <v>0</v>
      </c>
      <c r="F124" s="88">
        <v>4802428.5000000065</v>
      </c>
      <c r="G124" s="87">
        <v>1028</v>
      </c>
      <c r="I124" s="87">
        <v>0</v>
      </c>
      <c r="K124" s="87">
        <v>1210</v>
      </c>
      <c r="M124" s="87">
        <v>0</v>
      </c>
      <c r="O124" s="87">
        <v>0</v>
      </c>
      <c r="P124" s="88">
        <v>5094779.9999999991</v>
      </c>
      <c r="Q124" s="87">
        <v>0</v>
      </c>
      <c r="R124" s="87">
        <f t="shared" si="18"/>
        <v>444</v>
      </c>
      <c r="T124" s="87">
        <v>0</v>
      </c>
      <c r="V124" s="87">
        <v>0</v>
      </c>
      <c r="X124" s="87">
        <v>1074</v>
      </c>
      <c r="Y124" s="88">
        <v>5579143.5000000047</v>
      </c>
      <c r="Z124" s="87">
        <v>0</v>
      </c>
      <c r="AA124" s="87">
        <v>444</v>
      </c>
      <c r="AB124" s="89">
        <f t="shared" si="19"/>
        <v>1210</v>
      </c>
      <c r="AC124" s="89">
        <f t="shared" si="20"/>
        <v>0</v>
      </c>
      <c r="AD124" s="89">
        <f t="shared" si="21"/>
        <v>1074</v>
      </c>
      <c r="AE124" s="90">
        <f t="shared" si="22"/>
        <v>1028</v>
      </c>
      <c r="AF124" s="90">
        <f t="shared" si="23"/>
        <v>2013</v>
      </c>
      <c r="AG124" s="90">
        <f t="shared" si="24"/>
        <v>444</v>
      </c>
      <c r="AH124" s="90" t="str">
        <f t="shared" si="25"/>
        <v>2018 (triag)</v>
      </c>
      <c r="AI124" s="90">
        <f t="shared" si="26"/>
        <v>1074</v>
      </c>
      <c r="AJ124" s="90">
        <f t="shared" si="27"/>
        <v>2021</v>
      </c>
      <c r="AK124" s="90" t="str">
        <f t="shared" si="28"/>
        <v/>
      </c>
      <c r="AL124" s="91">
        <f>IF(AK124="Adjust",(_xlfn.XLOOKUP(A124,'Adj factor'!A:A,'Adj factor'!I:I,,0)*AI124),'Master DataSheet'!AI124)</f>
        <v>1074</v>
      </c>
      <c r="AM124" s="91">
        <f t="shared" si="29"/>
        <v>1074</v>
      </c>
      <c r="AN124" s="92" t="str">
        <f t="shared" si="30"/>
        <v>Increasing</v>
      </c>
      <c r="AO124" s="93">
        <f>VLOOKUP(B124,'Growthrates source'!A$2:H$49,8,FALSE)</f>
        <v>1.405403127486049E-2</v>
      </c>
      <c r="AP124" s="93">
        <f>VLOOKUP(B124,'Growthrates source'!A$2:I$49,9,FALSE)</f>
        <v>5.4673730437993617E-2</v>
      </c>
      <c r="AQ124" s="86">
        <f t="shared" si="31"/>
        <v>413.87103103662895</v>
      </c>
      <c r="AR124" s="86">
        <f t="shared" si="32"/>
        <v>523.13824177044296</v>
      </c>
      <c r="AS124" s="94">
        <f t="shared" si="33"/>
        <v>2.140583665118593</v>
      </c>
      <c r="AT124" s="94">
        <f t="shared" si="34"/>
        <v>0.87148022093201294</v>
      </c>
      <c r="AU124" s="94">
        <f t="shared" si="35"/>
        <v>1.9250266640390217</v>
      </c>
    </row>
    <row r="125" spans="1:47" x14ac:dyDescent="0.3">
      <c r="A125" s="85" t="str">
        <f>_xlfn.XLOOKUP(B125,'Country codes &amp; Data sources'!G:G,'Country codes &amp; Data sources'!H:H,,0)</f>
        <v>Central African Republic</v>
      </c>
      <c r="B125" s="85" t="s">
        <v>152</v>
      </c>
      <c r="C125" s="86">
        <v>4773308.5</v>
      </c>
      <c r="D125" s="85" t="s">
        <v>324</v>
      </c>
      <c r="E125" s="87">
        <v>1603</v>
      </c>
      <c r="F125" s="88">
        <v>4802428.5000000065</v>
      </c>
      <c r="G125" s="87">
        <v>382</v>
      </c>
      <c r="I125" s="87">
        <v>574</v>
      </c>
      <c r="K125" s="87">
        <v>0</v>
      </c>
      <c r="M125" s="87">
        <v>29</v>
      </c>
      <c r="O125" s="87">
        <v>971</v>
      </c>
      <c r="P125" s="88">
        <v>5094779.9999999991</v>
      </c>
      <c r="Q125" s="87">
        <v>483</v>
      </c>
      <c r="R125" s="87">
        <f t="shared" si="18"/>
        <v>483</v>
      </c>
      <c r="T125" s="87">
        <v>1362</v>
      </c>
      <c r="V125" s="87">
        <v>105</v>
      </c>
      <c r="X125" s="87">
        <v>0</v>
      </c>
      <c r="Y125" s="88">
        <v>5579143.5000000047</v>
      </c>
      <c r="Z125" s="87">
        <v>2695</v>
      </c>
      <c r="AA125" s="87">
        <v>36</v>
      </c>
      <c r="AB125" s="89">
        <f t="shared" si="19"/>
        <v>1603</v>
      </c>
      <c r="AC125" s="89">
        <f t="shared" si="20"/>
        <v>1362</v>
      </c>
      <c r="AD125" s="89">
        <f t="shared" si="21"/>
        <v>2695</v>
      </c>
      <c r="AE125" s="90">
        <f t="shared" si="22"/>
        <v>382</v>
      </c>
      <c r="AF125" s="90">
        <f t="shared" si="23"/>
        <v>2013</v>
      </c>
      <c r="AG125" s="90">
        <f t="shared" si="24"/>
        <v>483</v>
      </c>
      <c r="AH125" s="90">
        <f t="shared" si="25"/>
        <v>2018</v>
      </c>
      <c r="AI125" s="90">
        <f t="shared" si="26"/>
        <v>2695</v>
      </c>
      <c r="AJ125" s="90">
        <f t="shared" si="27"/>
        <v>2022</v>
      </c>
      <c r="AK125" s="90" t="str">
        <f t="shared" si="28"/>
        <v/>
      </c>
      <c r="AL125" s="91">
        <f>IF(AK125="Adjust",(_xlfn.XLOOKUP(A125,'Adj factor'!A:A,'Adj factor'!I:I,,0)*AI125),'Master DataSheet'!AI125)</f>
        <v>2695</v>
      </c>
      <c r="AM125" s="91">
        <f t="shared" si="29"/>
        <v>2695</v>
      </c>
      <c r="AN125" s="92" t="str">
        <f t="shared" si="30"/>
        <v>Increasing</v>
      </c>
      <c r="AO125" s="93">
        <f>VLOOKUP(B125,'Growthrates source'!A$2:H$49,8,FALSE)</f>
        <v>1.405403127486049E-2</v>
      </c>
      <c r="AP125" s="93">
        <f>VLOOKUP(B125,'Growthrates source'!A$2:I$49,9,FALSE)</f>
        <v>5.4673730437993617E-2</v>
      </c>
      <c r="AQ125" s="86">
        <f t="shared" si="31"/>
        <v>33.557110624591537</v>
      </c>
      <c r="AR125" s="86">
        <f t="shared" si="32"/>
        <v>42.416614197603479</v>
      </c>
      <c r="AS125" s="94">
        <f t="shared" si="33"/>
        <v>0.79543089501488562</v>
      </c>
      <c r="AT125" s="94">
        <f t="shared" si="34"/>
        <v>0.94802915925712217</v>
      </c>
      <c r="AU125" s="94">
        <f t="shared" si="35"/>
        <v>4.830490558272964</v>
      </c>
    </row>
    <row r="126" spans="1:47" x14ac:dyDescent="0.3">
      <c r="A126" s="85" t="str">
        <f>_xlfn.XLOOKUP(B126,'Country codes &amp; Data sources'!G:G,'Country codes &amp; Data sources'!H:H,,0)</f>
        <v>Central African Republic</v>
      </c>
      <c r="B126" s="85" t="s">
        <v>152</v>
      </c>
      <c r="C126" s="86">
        <v>4773309.5</v>
      </c>
      <c r="D126" s="85" t="s">
        <v>325</v>
      </c>
      <c r="E126" s="87">
        <v>171</v>
      </c>
      <c r="F126" s="88">
        <v>4802428.5000000065</v>
      </c>
      <c r="G126" s="87">
        <v>50</v>
      </c>
      <c r="I126" s="87">
        <v>110</v>
      </c>
      <c r="K126" s="87">
        <v>0</v>
      </c>
      <c r="M126" s="87">
        <v>10</v>
      </c>
      <c r="O126" s="87">
        <v>405</v>
      </c>
      <c r="P126" s="88">
        <v>5094779.9999999991</v>
      </c>
      <c r="Q126" s="87">
        <v>21</v>
      </c>
      <c r="R126" s="87">
        <f t="shared" si="18"/>
        <v>21</v>
      </c>
      <c r="T126" s="87">
        <v>446</v>
      </c>
      <c r="V126" s="87">
        <v>0</v>
      </c>
      <c r="X126" s="87">
        <v>0</v>
      </c>
      <c r="Y126" s="88">
        <v>5579143.5000000047</v>
      </c>
      <c r="Z126" s="87">
        <v>488</v>
      </c>
      <c r="AA126" s="87">
        <v>10</v>
      </c>
      <c r="AB126" s="89">
        <f t="shared" si="19"/>
        <v>171</v>
      </c>
      <c r="AC126" s="89">
        <f t="shared" si="20"/>
        <v>446</v>
      </c>
      <c r="AD126" s="89">
        <f t="shared" si="21"/>
        <v>488</v>
      </c>
      <c r="AE126" s="90">
        <f t="shared" si="22"/>
        <v>50</v>
      </c>
      <c r="AF126" s="90">
        <f t="shared" si="23"/>
        <v>2013</v>
      </c>
      <c r="AG126" s="90">
        <f t="shared" si="24"/>
        <v>21</v>
      </c>
      <c r="AH126" s="90">
        <f t="shared" si="25"/>
        <v>2018</v>
      </c>
      <c r="AI126" s="90">
        <f t="shared" si="26"/>
        <v>488</v>
      </c>
      <c r="AJ126" s="90">
        <f t="shared" si="27"/>
        <v>2022</v>
      </c>
      <c r="AK126" s="90" t="str">
        <f t="shared" si="28"/>
        <v/>
      </c>
      <c r="AL126" s="91">
        <f>IF(AK126="Adjust",(_xlfn.XLOOKUP(A126,'Adj factor'!A:A,'Adj factor'!I:I,,0)*AI126),'Master DataSheet'!AI126)</f>
        <v>488</v>
      </c>
      <c r="AM126" s="91">
        <f t="shared" si="29"/>
        <v>488</v>
      </c>
      <c r="AN126" s="92" t="str">
        <f t="shared" si="30"/>
        <v>Increasing</v>
      </c>
      <c r="AO126" s="93">
        <f>VLOOKUP(B126,'Growthrates source'!A$2:H$49,8,FALSE)</f>
        <v>1.405403127486049E-2</v>
      </c>
      <c r="AP126" s="93">
        <f>VLOOKUP(B126,'Growthrates source'!A$2:I$49,9,FALSE)</f>
        <v>5.4673730437993617E-2</v>
      </c>
      <c r="AQ126" s="86">
        <f t="shared" si="31"/>
        <v>9.3214196179420927</v>
      </c>
      <c r="AR126" s="86">
        <f t="shared" si="32"/>
        <v>11.782392832667634</v>
      </c>
      <c r="AS126" s="94">
        <f t="shared" si="33"/>
        <v>0.10411399149409498</v>
      </c>
      <c r="AT126" s="94">
        <f t="shared" si="34"/>
        <v>4.1218659098135747E-2</v>
      </c>
      <c r="AU126" s="94">
        <f t="shared" si="35"/>
        <v>0.87468623096000231</v>
      </c>
    </row>
    <row r="127" spans="1:47" x14ac:dyDescent="0.3">
      <c r="A127" s="85" t="str">
        <f>_xlfn.XLOOKUP(B127,'Country codes &amp; Data sources'!G:G,'Country codes &amp; Data sources'!H:H,,0)</f>
        <v>Central African Republic</v>
      </c>
      <c r="B127" s="85" t="s">
        <v>152</v>
      </c>
      <c r="C127" s="86">
        <v>4773310.5</v>
      </c>
      <c r="D127" s="85" t="s">
        <v>127</v>
      </c>
      <c r="E127" s="87">
        <v>0</v>
      </c>
      <c r="F127" s="88">
        <v>4802428.5000000065</v>
      </c>
      <c r="G127" s="87">
        <v>0</v>
      </c>
      <c r="I127" s="87">
        <v>0</v>
      </c>
      <c r="K127" s="87">
        <v>0</v>
      </c>
      <c r="M127" s="87">
        <v>0</v>
      </c>
      <c r="O127" s="87">
        <v>0</v>
      </c>
      <c r="P127" s="88">
        <v>5094779.9999999991</v>
      </c>
      <c r="Q127" s="87">
        <v>115</v>
      </c>
      <c r="R127" s="87">
        <f t="shared" si="18"/>
        <v>115</v>
      </c>
      <c r="T127" s="87">
        <v>0</v>
      </c>
      <c r="V127" s="87">
        <v>0</v>
      </c>
      <c r="X127" s="87">
        <v>1595</v>
      </c>
      <c r="Y127" s="88">
        <v>5579143.5000000047</v>
      </c>
      <c r="Z127" s="87">
        <v>0</v>
      </c>
      <c r="AA127" s="87">
        <v>115</v>
      </c>
      <c r="AB127" s="89">
        <f t="shared" si="19"/>
        <v>0</v>
      </c>
      <c r="AC127" s="89">
        <f t="shared" si="20"/>
        <v>115</v>
      </c>
      <c r="AD127" s="89">
        <f t="shared" si="21"/>
        <v>1595</v>
      </c>
      <c r="AE127" s="90">
        <f t="shared" si="22"/>
        <v>0</v>
      </c>
      <c r="AF127" s="90" t="str">
        <f t="shared" si="23"/>
        <v/>
      </c>
      <c r="AG127" s="90">
        <f t="shared" si="24"/>
        <v>115</v>
      </c>
      <c r="AH127" s="90">
        <f t="shared" si="25"/>
        <v>2018</v>
      </c>
      <c r="AI127" s="90">
        <f t="shared" si="26"/>
        <v>1595</v>
      </c>
      <c r="AJ127" s="90">
        <f t="shared" si="27"/>
        <v>2021</v>
      </c>
      <c r="AK127" s="90" t="str">
        <f t="shared" si="28"/>
        <v/>
      </c>
      <c r="AL127" s="91">
        <f>IF(AK127="Adjust",(_xlfn.XLOOKUP(A127,'Adj factor'!A:A,'Adj factor'!I:I,,0)*AI127),'Master DataSheet'!AI127)</f>
        <v>1595</v>
      </c>
      <c r="AM127" s="91">
        <f t="shared" si="29"/>
        <v>1595</v>
      </c>
      <c r="AN127" s="92" t="str">
        <f t="shared" si="30"/>
        <v>Increasing</v>
      </c>
      <c r="AO127" s="93">
        <f>VLOOKUP(B127,'Growthrates source'!A$2:H$49,8,FALSE)</f>
        <v>1.405403127486049E-2</v>
      </c>
      <c r="AP127" s="93">
        <f>VLOOKUP(B127,'Growthrates source'!A$2:I$49,9,FALSE)</f>
        <v>5.4673730437993617E-2</v>
      </c>
      <c r="AQ127" s="86">
        <f t="shared" si="31"/>
        <v>107.19632560633407</v>
      </c>
      <c r="AR127" s="86">
        <f t="shared" si="32"/>
        <v>135.49751757567779</v>
      </c>
      <c r="AS127" s="94">
        <f t="shared" si="33"/>
        <v>0</v>
      </c>
      <c r="AT127" s="94">
        <f t="shared" si="34"/>
        <v>0.22572122839455289</v>
      </c>
      <c r="AU127" s="94">
        <f t="shared" si="35"/>
        <v>2.8588617589778766</v>
      </c>
    </row>
    <row r="128" spans="1:47" x14ac:dyDescent="0.3">
      <c r="A128" s="85" t="str">
        <f>_xlfn.XLOOKUP(B128,'Country codes &amp; Data sources'!G:G,'Country codes &amp; Data sources'!H:H,,0)</f>
        <v>Central African Republic</v>
      </c>
      <c r="B128" s="85" t="s">
        <v>152</v>
      </c>
      <c r="C128" s="86">
        <v>4773311.5</v>
      </c>
      <c r="D128" s="85" t="s">
        <v>61</v>
      </c>
      <c r="E128" s="87">
        <v>15</v>
      </c>
      <c r="F128" s="88">
        <v>4802428.5000000065</v>
      </c>
      <c r="G128" s="87">
        <v>44</v>
      </c>
      <c r="I128" s="87">
        <v>44</v>
      </c>
      <c r="K128" s="87">
        <v>0</v>
      </c>
      <c r="M128" s="87">
        <v>11</v>
      </c>
      <c r="O128" s="87">
        <v>55</v>
      </c>
      <c r="P128" s="88">
        <v>5094779.9999999991</v>
      </c>
      <c r="Q128" s="87">
        <v>77</v>
      </c>
      <c r="R128" s="87">
        <f t="shared" si="18"/>
        <v>77</v>
      </c>
      <c r="T128" s="87">
        <v>0</v>
      </c>
      <c r="V128" s="87">
        <v>0</v>
      </c>
      <c r="X128" s="87">
        <v>0</v>
      </c>
      <c r="Y128" s="88">
        <v>5579143.5000000047</v>
      </c>
      <c r="Z128" s="87">
        <v>1634</v>
      </c>
      <c r="AA128" s="87">
        <v>0</v>
      </c>
      <c r="AB128" s="89">
        <f t="shared" si="19"/>
        <v>44</v>
      </c>
      <c r="AC128" s="89">
        <f t="shared" si="20"/>
        <v>77</v>
      </c>
      <c r="AD128" s="89">
        <f t="shared" si="21"/>
        <v>1634</v>
      </c>
      <c r="AE128" s="90">
        <f t="shared" si="22"/>
        <v>44</v>
      </c>
      <c r="AF128" s="90">
        <f t="shared" si="23"/>
        <v>2013</v>
      </c>
      <c r="AG128" s="90">
        <f t="shared" si="24"/>
        <v>77</v>
      </c>
      <c r="AH128" s="90">
        <f t="shared" si="25"/>
        <v>2018</v>
      </c>
      <c r="AI128" s="90">
        <f t="shared" si="26"/>
        <v>1634</v>
      </c>
      <c r="AJ128" s="90">
        <f t="shared" si="27"/>
        <v>2022</v>
      </c>
      <c r="AK128" s="90" t="str">
        <f t="shared" si="28"/>
        <v/>
      </c>
      <c r="AL128" s="91">
        <f>IF(AK128="Adjust",(_xlfn.XLOOKUP(A128,'Adj factor'!A:A,'Adj factor'!I:I,,0)*AI128),'Master DataSheet'!AI128)</f>
        <v>1634</v>
      </c>
      <c r="AM128" s="91">
        <f t="shared" si="29"/>
        <v>1634</v>
      </c>
      <c r="AN128" s="92" t="str">
        <f t="shared" si="30"/>
        <v>Increasing</v>
      </c>
      <c r="AO128" s="93">
        <f>VLOOKUP(B128,'Growthrates source'!A$2:H$49,8,FALSE)</f>
        <v>1.405403127486049E-2</v>
      </c>
      <c r="AP128" s="93">
        <f>VLOOKUP(B128,'Growthrates source'!A$2:I$49,9,FALSE)</f>
        <v>5.4673730437993617E-2</v>
      </c>
      <c r="AQ128" s="86">
        <f t="shared" si="31"/>
        <v>0</v>
      </c>
      <c r="AR128" s="86">
        <f t="shared" si="32"/>
        <v>0</v>
      </c>
      <c r="AS128" s="94">
        <f t="shared" si="33"/>
        <v>9.1620312514803584E-2</v>
      </c>
      <c r="AT128" s="94">
        <f t="shared" si="34"/>
        <v>0.15113508335983106</v>
      </c>
      <c r="AU128" s="94">
        <f t="shared" si="35"/>
        <v>2.9287649618619751</v>
      </c>
    </row>
    <row r="129" spans="1:47" x14ac:dyDescent="0.3">
      <c r="A129" s="85" t="str">
        <f>_xlfn.XLOOKUP(B129,'Country codes &amp; Data sources'!G:G,'Country codes &amp; Data sources'!H:H,,0)</f>
        <v>Central African Republic</v>
      </c>
      <c r="B129" s="85" t="s">
        <v>152</v>
      </c>
      <c r="C129" s="86">
        <v>4773312.5</v>
      </c>
      <c r="D129" s="85" t="s">
        <v>62</v>
      </c>
      <c r="E129" s="87">
        <v>11</v>
      </c>
      <c r="F129" s="88">
        <v>4802428.5000000065</v>
      </c>
      <c r="G129" s="87">
        <v>257</v>
      </c>
      <c r="I129" s="87">
        <v>0</v>
      </c>
      <c r="K129" s="87">
        <v>0</v>
      </c>
      <c r="M129" s="87">
        <v>0</v>
      </c>
      <c r="O129" s="87">
        <v>669</v>
      </c>
      <c r="P129" s="88">
        <v>5094779.9999999991</v>
      </c>
      <c r="Q129" s="87">
        <v>0</v>
      </c>
      <c r="R129" s="87">
        <f t="shared" si="18"/>
        <v>105</v>
      </c>
      <c r="T129" s="87">
        <v>0</v>
      </c>
      <c r="V129" s="87">
        <v>0</v>
      </c>
      <c r="X129" s="87">
        <v>0</v>
      </c>
      <c r="Y129" s="88">
        <v>5579143.5000000047</v>
      </c>
      <c r="Z129" s="87">
        <v>47</v>
      </c>
      <c r="AA129" s="87">
        <v>105</v>
      </c>
      <c r="AB129" s="89">
        <f t="shared" si="19"/>
        <v>257</v>
      </c>
      <c r="AC129" s="89">
        <f t="shared" si="20"/>
        <v>669</v>
      </c>
      <c r="AD129" s="89">
        <f t="shared" si="21"/>
        <v>47</v>
      </c>
      <c r="AE129" s="90">
        <f t="shared" si="22"/>
        <v>257</v>
      </c>
      <c r="AF129" s="90">
        <f t="shared" si="23"/>
        <v>2013</v>
      </c>
      <c r="AG129" s="90">
        <f t="shared" si="24"/>
        <v>105</v>
      </c>
      <c r="AH129" s="90" t="str">
        <f t="shared" si="25"/>
        <v>2018 (triag)</v>
      </c>
      <c r="AI129" s="90">
        <f t="shared" si="26"/>
        <v>47</v>
      </c>
      <c r="AJ129" s="90">
        <f t="shared" si="27"/>
        <v>2022</v>
      </c>
      <c r="AK129" s="90" t="str">
        <f t="shared" si="28"/>
        <v>Adjust</v>
      </c>
      <c r="AL129" s="91">
        <f>IF(AK129="Adjust",(_xlfn.XLOOKUP(A129,'Adj factor'!A:A,'Adj factor'!I:I,,0)*AI129),'Master DataSheet'!AI129)</f>
        <v>60.353598014888341</v>
      </c>
      <c r="AM129" s="91">
        <f t="shared" si="29"/>
        <v>105</v>
      </c>
      <c r="AN129" s="92" t="str">
        <f t="shared" si="30"/>
        <v>Decreasing</v>
      </c>
      <c r="AO129" s="93">
        <f>VLOOKUP(B129,'Growthrates source'!A$2:H$49,8,FALSE)</f>
        <v>1.405403127486049E-2</v>
      </c>
      <c r="AP129" s="93">
        <f>VLOOKUP(B129,'Growthrates source'!A$2:I$49,9,FALSE)</f>
        <v>5.4673730437993617E-2</v>
      </c>
      <c r="AQ129" s="86">
        <f t="shared" si="31"/>
        <v>97.874905988391973</v>
      </c>
      <c r="AR129" s="86">
        <f t="shared" si="32"/>
        <v>123.71512474301016</v>
      </c>
      <c r="AS129" s="94">
        <f t="shared" si="33"/>
        <v>0.53514591627964825</v>
      </c>
      <c r="AT129" s="94">
        <f t="shared" si="34"/>
        <v>0.20609329549067873</v>
      </c>
      <c r="AU129" s="94">
        <f t="shared" si="35"/>
        <v>0.18820093084180378</v>
      </c>
    </row>
    <row r="130" spans="1:47" x14ac:dyDescent="0.3">
      <c r="A130" s="85" t="str">
        <f>_xlfn.XLOOKUP(B130,'Country codes &amp; Data sources'!G:G,'Country codes &amp; Data sources'!H:H,,0)</f>
        <v>Central African Republic</v>
      </c>
      <c r="B130" s="85" t="s">
        <v>152</v>
      </c>
      <c r="C130" s="86">
        <v>4773313.5</v>
      </c>
      <c r="D130" s="85" t="s">
        <v>203</v>
      </c>
      <c r="E130" s="87">
        <v>0</v>
      </c>
      <c r="F130" s="88">
        <v>4802428.5000000065</v>
      </c>
      <c r="G130" s="87">
        <v>0</v>
      </c>
      <c r="I130" s="87">
        <v>0</v>
      </c>
      <c r="K130" s="87">
        <v>0</v>
      </c>
      <c r="M130" s="87">
        <v>0</v>
      </c>
      <c r="O130" s="87">
        <v>0</v>
      </c>
      <c r="P130" s="88">
        <v>5094779.9999999991</v>
      </c>
      <c r="Q130" s="87">
        <v>0</v>
      </c>
      <c r="R130" s="87">
        <f t="shared" si="18"/>
        <v>79</v>
      </c>
      <c r="T130" s="87">
        <v>0</v>
      </c>
      <c r="V130" s="87">
        <v>0</v>
      </c>
      <c r="X130" s="87">
        <v>308</v>
      </c>
      <c r="Y130" s="88">
        <v>5579143.5000000047</v>
      </c>
      <c r="Z130" s="87">
        <v>0</v>
      </c>
      <c r="AA130" s="87">
        <v>79</v>
      </c>
      <c r="AB130" s="89">
        <f t="shared" si="19"/>
        <v>0</v>
      </c>
      <c r="AC130" s="89">
        <f t="shared" si="20"/>
        <v>0</v>
      </c>
      <c r="AD130" s="89">
        <f t="shared" si="21"/>
        <v>308</v>
      </c>
      <c r="AE130" s="90">
        <f t="shared" si="22"/>
        <v>0</v>
      </c>
      <c r="AF130" s="90" t="str">
        <f t="shared" si="23"/>
        <v/>
      </c>
      <c r="AG130" s="90">
        <f t="shared" si="24"/>
        <v>79</v>
      </c>
      <c r="AH130" s="90" t="str">
        <f t="shared" si="25"/>
        <v>2018 (triag)</v>
      </c>
      <c r="AI130" s="90">
        <f t="shared" si="26"/>
        <v>308</v>
      </c>
      <c r="AJ130" s="90">
        <f t="shared" si="27"/>
        <v>2021</v>
      </c>
      <c r="AK130" s="90" t="str">
        <f t="shared" si="28"/>
        <v/>
      </c>
      <c r="AL130" s="91">
        <f>IF(AK130="Adjust",(_xlfn.XLOOKUP(A130,'Adj factor'!A:A,'Adj factor'!I:I,,0)*AI130),'Master DataSheet'!AI130)</f>
        <v>308</v>
      </c>
      <c r="AM130" s="91">
        <f t="shared" si="29"/>
        <v>308</v>
      </c>
      <c r="AN130" s="92" t="str">
        <f t="shared" si="30"/>
        <v>Increasing</v>
      </c>
      <c r="AO130" s="93">
        <f>VLOOKUP(B130,'Growthrates source'!A$2:H$49,8,FALSE)</f>
        <v>1.405403127486049E-2</v>
      </c>
      <c r="AP130" s="93">
        <f>VLOOKUP(B130,'Growthrates source'!A$2:I$49,9,FALSE)</f>
        <v>5.4673730437993617E-2</v>
      </c>
      <c r="AQ130" s="86">
        <f t="shared" si="31"/>
        <v>73.639214981742541</v>
      </c>
      <c r="AR130" s="86">
        <f t="shared" si="32"/>
        <v>93.080903378074311</v>
      </c>
      <c r="AS130" s="94">
        <f t="shared" si="33"/>
        <v>0</v>
      </c>
      <c r="AT130" s="94">
        <f t="shared" si="34"/>
        <v>0.15506066994060591</v>
      </c>
      <c r="AU130" s="94">
        <f t="shared" si="35"/>
        <v>0.5520560638026244</v>
      </c>
    </row>
    <row r="131" spans="1:47" x14ac:dyDescent="0.3">
      <c r="A131" s="85" t="str">
        <f>_xlfn.XLOOKUP(B131,'Country codes &amp; Data sources'!G:G,'Country codes &amp; Data sources'!H:H,,0)</f>
        <v>Central African Republic</v>
      </c>
      <c r="B131" s="85" t="s">
        <v>152</v>
      </c>
      <c r="C131" s="86">
        <v>4773314.5</v>
      </c>
      <c r="D131" s="85" t="s">
        <v>204</v>
      </c>
      <c r="E131" s="87">
        <v>0</v>
      </c>
      <c r="F131" s="88">
        <v>4802428.5000000065</v>
      </c>
      <c r="G131" s="87">
        <v>0</v>
      </c>
      <c r="I131" s="87">
        <v>0</v>
      </c>
      <c r="K131" s="87">
        <v>0</v>
      </c>
      <c r="M131" s="87">
        <v>0</v>
      </c>
      <c r="O131" s="87">
        <v>0</v>
      </c>
      <c r="P131" s="88">
        <v>5094779.9999999991</v>
      </c>
      <c r="Q131" s="87">
        <v>0</v>
      </c>
      <c r="R131" s="87">
        <f t="shared" ref="R131:R194" si="36">MAX(Q131,AA131)</f>
        <v>22</v>
      </c>
      <c r="T131" s="87">
        <v>0</v>
      </c>
      <c r="V131" s="87">
        <v>0</v>
      </c>
      <c r="X131" s="87">
        <v>0</v>
      </c>
      <c r="Y131" s="88">
        <v>5579143.5000000047</v>
      </c>
      <c r="Z131" s="87">
        <v>0</v>
      </c>
      <c r="AA131" s="87">
        <v>22</v>
      </c>
      <c r="AB131" s="89">
        <f t="shared" ref="AB131:AB194" si="37">MAX(G131,E131,I131,K131)</f>
        <v>0</v>
      </c>
      <c r="AC131" s="89">
        <f t="shared" ref="AC131:AC194" si="38">MAX(M131,O131,Q131,T131)</f>
        <v>0</v>
      </c>
      <c r="AD131" s="89">
        <f t="shared" ref="AD131:AD194" si="39">MAX(V131,X131,Z131)</f>
        <v>0</v>
      </c>
      <c r="AE131" s="90">
        <f t="shared" ref="AE131:AE194" si="40">IF(G131&gt;0,G131,IF(E131&gt;0,E131,IF(I131&gt;0,I131,K131)))</f>
        <v>0</v>
      </c>
      <c r="AF131" s="90" t="str">
        <f t="shared" ref="AF131:AF194" si="41">IF(AE131&gt;0,_xlfn.XLOOKUP(AE131,$B131:$K131,$B$1:$K$1,,0),"")</f>
        <v/>
      </c>
      <c r="AG131" s="90">
        <f t="shared" ref="AG131:AG194" si="42">IF(R131&gt;0,R131,IF(O131&gt;0,O131,T131))</f>
        <v>22</v>
      </c>
      <c r="AH131" s="90" t="str">
        <f t="shared" ref="AH131:AH194" si="43">IF(AG131&gt;0,_xlfn.XLOOKUP(AG131,$L131:$T131,$L$1:$T$1,,0),"")</f>
        <v>2018 (triag)</v>
      </c>
      <c r="AI131" s="90">
        <f t="shared" ref="AI131:AI194" si="44">IF((IF(Z131&gt;0,Z131,IF(X131&gt;0,X131,IF(V131&gt;0,V131,T131))))=0,AG131,IF(Z131&gt;0,Z131,IF(X131&gt;0,X131,IF(V131&gt;0,V131,T131))))</f>
        <v>22</v>
      </c>
      <c r="AJ131" s="90" t="str">
        <f t="shared" ref="AJ131:AJ194" si="45">IFERROR(IF(AI131&gt;0,_xlfn.XLOOKUP(AI131,$V131:$Z131,$V$1:$Z$1,,0),""),AH131)</f>
        <v>2018 (triag)</v>
      </c>
      <c r="AK131" s="90" t="str">
        <f t="shared" ref="AK131:AK194" si="46">IF(AI131&lt;AG131,"Adjust","")</f>
        <v/>
      </c>
      <c r="AL131" s="91">
        <f>IF(AK131="Adjust",(_xlfn.XLOOKUP(A131,'Adj factor'!A:A,'Adj factor'!I:I,,0)*AI131),'Master DataSheet'!AI131)</f>
        <v>22</v>
      </c>
      <c r="AM131" s="91">
        <f t="shared" ref="AM131:AM194" si="47">IF(AL131&lt;AG131,AG131,AL131)</f>
        <v>22</v>
      </c>
      <c r="AN131" s="92" t="str">
        <f t="shared" ref="AN131:AN194" si="48">IF(AL131&gt;AG131,"Increasing",IF(AL131&lt;AG131,"Decreasing","No change"))</f>
        <v>No change</v>
      </c>
      <c r="AO131" s="93">
        <f>VLOOKUP(B131,'Growthrates source'!A$2:H$49,8,FALSE)</f>
        <v>1.405403127486049E-2</v>
      </c>
      <c r="AP131" s="93">
        <f>VLOOKUP(B131,'Growthrates source'!A$2:I$49,9,FALSE)</f>
        <v>5.4673730437993617E-2</v>
      </c>
      <c r="AQ131" s="86">
        <f t="shared" ref="AQ131:AQ194" si="49">AA131/(EXP(AO131*5))</f>
        <v>20.507123159472606</v>
      </c>
      <c r="AR131" s="86">
        <f t="shared" ref="AR131:AR194" si="50">AA131*EXP(AP131*3)</f>
        <v>25.921264231868797</v>
      </c>
      <c r="AS131" s="94">
        <f t="shared" ref="AS131:AS194" si="51">(AE131*10000)/F131</f>
        <v>0</v>
      </c>
      <c r="AT131" s="94">
        <f t="shared" ref="AT131:AT194" si="52">(AG131*10000)/P131</f>
        <v>4.318145238852316E-2</v>
      </c>
      <c r="AU131" s="94">
        <f t="shared" ref="AU131:AU194" si="53">(AM131*10000)/Y131</f>
        <v>3.9432575985901747E-2</v>
      </c>
    </row>
    <row r="132" spans="1:47" x14ac:dyDescent="0.3">
      <c r="A132" s="85" t="str">
        <f>_xlfn.XLOOKUP(B132,'Country codes &amp; Data sources'!G:G,'Country codes &amp; Data sources'!H:H,,0)</f>
        <v>Central African Republic</v>
      </c>
      <c r="B132" s="85" t="s">
        <v>152</v>
      </c>
      <c r="C132" s="86">
        <v>4773315.5</v>
      </c>
      <c r="D132" s="85" t="s">
        <v>205</v>
      </c>
      <c r="E132" s="87">
        <v>0</v>
      </c>
      <c r="F132" s="88">
        <v>4802428.5000000065</v>
      </c>
      <c r="G132" s="87">
        <v>0</v>
      </c>
      <c r="I132" s="87">
        <v>0</v>
      </c>
      <c r="K132" s="87">
        <v>0</v>
      </c>
      <c r="M132" s="87">
        <v>0</v>
      </c>
      <c r="O132" s="87">
        <v>0</v>
      </c>
      <c r="P132" s="88">
        <v>5094779.9999999991</v>
      </c>
      <c r="Q132" s="87">
        <v>1</v>
      </c>
      <c r="R132" s="87">
        <f t="shared" si="36"/>
        <v>1</v>
      </c>
      <c r="T132" s="87">
        <v>0</v>
      </c>
      <c r="V132" s="87">
        <v>0</v>
      </c>
      <c r="X132" s="87">
        <v>0</v>
      </c>
      <c r="Y132" s="88">
        <v>5579143.5000000047</v>
      </c>
      <c r="Z132" s="87">
        <v>0</v>
      </c>
      <c r="AA132" s="87">
        <v>0</v>
      </c>
      <c r="AB132" s="89">
        <f t="shared" si="37"/>
        <v>0</v>
      </c>
      <c r="AC132" s="89">
        <f t="shared" si="38"/>
        <v>1</v>
      </c>
      <c r="AD132" s="89">
        <f t="shared" si="39"/>
        <v>0</v>
      </c>
      <c r="AE132" s="90">
        <f t="shared" si="40"/>
        <v>0</v>
      </c>
      <c r="AF132" s="90" t="str">
        <f t="shared" si="41"/>
        <v/>
      </c>
      <c r="AG132" s="90">
        <f t="shared" si="42"/>
        <v>1</v>
      </c>
      <c r="AH132" s="90">
        <f t="shared" si="43"/>
        <v>2018</v>
      </c>
      <c r="AI132" s="90">
        <f t="shared" si="44"/>
        <v>1</v>
      </c>
      <c r="AJ132" s="90">
        <f t="shared" si="45"/>
        <v>2018</v>
      </c>
      <c r="AK132" s="90" t="str">
        <f t="shared" si="46"/>
        <v/>
      </c>
      <c r="AL132" s="91">
        <f>IF(AK132="Adjust",(_xlfn.XLOOKUP(A132,'Adj factor'!A:A,'Adj factor'!I:I,,0)*AI132),'Master DataSheet'!AI132)</f>
        <v>1</v>
      </c>
      <c r="AM132" s="91">
        <f t="shared" si="47"/>
        <v>1</v>
      </c>
      <c r="AN132" s="92" t="str">
        <f t="shared" si="48"/>
        <v>No change</v>
      </c>
      <c r="AO132" s="93">
        <f>VLOOKUP(B132,'Growthrates source'!A$2:H$49,8,FALSE)</f>
        <v>1.405403127486049E-2</v>
      </c>
      <c r="AP132" s="93">
        <f>VLOOKUP(B132,'Growthrates source'!A$2:I$49,9,FALSE)</f>
        <v>5.4673730437993617E-2</v>
      </c>
      <c r="AQ132" s="86">
        <f t="shared" si="49"/>
        <v>0</v>
      </c>
      <c r="AR132" s="86">
        <f t="shared" si="50"/>
        <v>0</v>
      </c>
      <c r="AS132" s="94">
        <f t="shared" si="51"/>
        <v>0</v>
      </c>
      <c r="AT132" s="94">
        <f t="shared" si="52"/>
        <v>1.9627932903874164E-3</v>
      </c>
      <c r="AU132" s="94">
        <f t="shared" si="53"/>
        <v>1.7923898175409884E-3</v>
      </c>
    </row>
    <row r="133" spans="1:47" x14ac:dyDescent="0.3">
      <c r="A133" s="85" t="str">
        <f>_xlfn.XLOOKUP(B133,'Country codes &amp; Data sources'!G:G,'Country codes &amp; Data sources'!H:H,,0)</f>
        <v>Central African Republic</v>
      </c>
      <c r="B133" s="85" t="s">
        <v>152</v>
      </c>
      <c r="C133" s="86">
        <v>4773316.5</v>
      </c>
      <c r="D133" s="85" t="s">
        <v>133</v>
      </c>
      <c r="E133" s="87">
        <v>0</v>
      </c>
      <c r="F133" s="88">
        <v>4802428.5000000065</v>
      </c>
      <c r="G133" s="87">
        <v>0</v>
      </c>
      <c r="I133" s="87">
        <v>0</v>
      </c>
      <c r="K133" s="87">
        <v>0</v>
      </c>
      <c r="M133" s="87">
        <v>0</v>
      </c>
      <c r="O133" s="87">
        <v>0</v>
      </c>
      <c r="P133" s="88">
        <v>5094779.9999999991</v>
      </c>
      <c r="Q133" s="87">
        <v>112</v>
      </c>
      <c r="R133" s="87">
        <f t="shared" si="36"/>
        <v>112</v>
      </c>
      <c r="T133" s="87">
        <v>0</v>
      </c>
      <c r="V133" s="87">
        <v>0</v>
      </c>
      <c r="X133" s="87">
        <v>0</v>
      </c>
      <c r="Y133" s="88">
        <v>5579143.5000000047</v>
      </c>
      <c r="Z133" s="87">
        <v>0</v>
      </c>
      <c r="AA133" s="87">
        <v>3</v>
      </c>
      <c r="AB133" s="89">
        <f t="shared" si="37"/>
        <v>0</v>
      </c>
      <c r="AC133" s="89">
        <f t="shared" si="38"/>
        <v>112</v>
      </c>
      <c r="AD133" s="89">
        <f t="shared" si="39"/>
        <v>0</v>
      </c>
      <c r="AE133" s="90">
        <f t="shared" si="40"/>
        <v>0</v>
      </c>
      <c r="AF133" s="90" t="str">
        <f t="shared" si="41"/>
        <v/>
      </c>
      <c r="AG133" s="90">
        <f t="shared" si="42"/>
        <v>112</v>
      </c>
      <c r="AH133" s="90">
        <f t="shared" si="43"/>
        <v>2018</v>
      </c>
      <c r="AI133" s="90">
        <f t="shared" si="44"/>
        <v>112</v>
      </c>
      <c r="AJ133" s="90">
        <f t="shared" si="45"/>
        <v>2018</v>
      </c>
      <c r="AK133" s="90" t="str">
        <f t="shared" si="46"/>
        <v/>
      </c>
      <c r="AL133" s="91">
        <f>IF(AK133="Adjust",(_xlfn.XLOOKUP(A133,'Adj factor'!A:A,'Adj factor'!I:I,,0)*AI133),'Master DataSheet'!AI133)</f>
        <v>112</v>
      </c>
      <c r="AM133" s="91">
        <f t="shared" si="47"/>
        <v>112</v>
      </c>
      <c r="AN133" s="92" t="str">
        <f t="shared" si="48"/>
        <v>No change</v>
      </c>
      <c r="AO133" s="93">
        <f>VLOOKUP(B133,'Growthrates source'!A$2:H$49,8,FALSE)</f>
        <v>1.405403127486049E-2</v>
      </c>
      <c r="AP133" s="93">
        <f>VLOOKUP(B133,'Growthrates source'!A$2:I$49,9,FALSE)</f>
        <v>5.4673730437993617E-2</v>
      </c>
      <c r="AQ133" s="86">
        <f t="shared" si="49"/>
        <v>2.7964258853826278</v>
      </c>
      <c r="AR133" s="86">
        <f t="shared" si="50"/>
        <v>3.5347178498002902</v>
      </c>
      <c r="AS133" s="94">
        <f t="shared" si="51"/>
        <v>0</v>
      </c>
      <c r="AT133" s="94">
        <f t="shared" si="52"/>
        <v>0.21983284852339066</v>
      </c>
      <c r="AU133" s="94">
        <f t="shared" si="53"/>
        <v>0.2007476595645907</v>
      </c>
    </row>
    <row r="134" spans="1:47" x14ac:dyDescent="0.3">
      <c r="A134" s="85" t="str">
        <f>_xlfn.XLOOKUP(B134,'Country codes &amp; Data sources'!G:G,'Country codes &amp; Data sources'!H:H,,0)</f>
        <v>Central African Republic</v>
      </c>
      <c r="B134" s="85" t="s">
        <v>152</v>
      </c>
      <c r="C134" s="86">
        <v>4773317.5</v>
      </c>
      <c r="D134" s="85" t="s">
        <v>206</v>
      </c>
      <c r="E134" s="87">
        <v>0</v>
      </c>
      <c r="F134" s="88">
        <v>4802428.5000000065</v>
      </c>
      <c r="G134" s="87">
        <v>0</v>
      </c>
      <c r="I134" s="87">
        <v>0</v>
      </c>
      <c r="K134" s="87">
        <v>0</v>
      </c>
      <c r="M134" s="87">
        <v>0</v>
      </c>
      <c r="O134" s="87">
        <v>0</v>
      </c>
      <c r="P134" s="88">
        <v>5094779.9999999991</v>
      </c>
      <c r="Q134" s="87">
        <v>0</v>
      </c>
      <c r="R134" s="87">
        <f t="shared" si="36"/>
        <v>104</v>
      </c>
      <c r="T134" s="87">
        <v>0</v>
      </c>
      <c r="V134" s="87">
        <v>0</v>
      </c>
      <c r="X134" s="87">
        <v>0</v>
      </c>
      <c r="Y134" s="88">
        <v>5579143.5000000047</v>
      </c>
      <c r="Z134" s="87">
        <v>0</v>
      </c>
      <c r="AA134" s="87">
        <v>104</v>
      </c>
      <c r="AB134" s="89">
        <f t="shared" si="37"/>
        <v>0</v>
      </c>
      <c r="AC134" s="89">
        <f t="shared" si="38"/>
        <v>0</v>
      </c>
      <c r="AD134" s="89">
        <f t="shared" si="39"/>
        <v>0</v>
      </c>
      <c r="AE134" s="90">
        <f t="shared" si="40"/>
        <v>0</v>
      </c>
      <c r="AF134" s="90" t="str">
        <f t="shared" si="41"/>
        <v/>
      </c>
      <c r="AG134" s="90">
        <f t="shared" si="42"/>
        <v>104</v>
      </c>
      <c r="AH134" s="90" t="str">
        <f t="shared" si="43"/>
        <v>2018 (triag)</v>
      </c>
      <c r="AI134" s="90">
        <f t="shared" si="44"/>
        <v>104</v>
      </c>
      <c r="AJ134" s="90" t="str">
        <f t="shared" si="45"/>
        <v>2018 (triag)</v>
      </c>
      <c r="AK134" s="90" t="str">
        <f t="shared" si="46"/>
        <v/>
      </c>
      <c r="AL134" s="91">
        <f>IF(AK134="Adjust",(_xlfn.XLOOKUP(A134,'Adj factor'!A:A,'Adj factor'!I:I,,0)*AI134),'Master DataSheet'!AI134)</f>
        <v>104</v>
      </c>
      <c r="AM134" s="91">
        <f t="shared" si="47"/>
        <v>104</v>
      </c>
      <c r="AN134" s="92" t="str">
        <f t="shared" si="48"/>
        <v>No change</v>
      </c>
      <c r="AO134" s="93">
        <f>VLOOKUP(B134,'Growthrates source'!A$2:H$49,8,FALSE)</f>
        <v>1.405403127486049E-2</v>
      </c>
      <c r="AP134" s="93">
        <f>VLOOKUP(B134,'Growthrates source'!A$2:I$49,9,FALSE)</f>
        <v>5.4673730437993617E-2</v>
      </c>
      <c r="AQ134" s="86">
        <f t="shared" si="49"/>
        <v>96.942764026597771</v>
      </c>
      <c r="AR134" s="86">
        <f t="shared" si="50"/>
        <v>122.53688545974339</v>
      </c>
      <c r="AS134" s="94">
        <f t="shared" si="51"/>
        <v>0</v>
      </c>
      <c r="AT134" s="94">
        <f t="shared" si="52"/>
        <v>0.2041305022002913</v>
      </c>
      <c r="AU134" s="94">
        <f t="shared" si="53"/>
        <v>0.1864085410242628</v>
      </c>
    </row>
    <row r="135" spans="1:47" x14ac:dyDescent="0.3">
      <c r="A135" s="85" t="str">
        <f>_xlfn.XLOOKUP(B135,'Country codes &amp; Data sources'!G:G,'Country codes &amp; Data sources'!H:H,,0)</f>
        <v>Central African Republic</v>
      </c>
      <c r="B135" s="85" t="s">
        <v>152</v>
      </c>
      <c r="C135" s="86">
        <v>4773318.5</v>
      </c>
      <c r="D135" s="85" t="s">
        <v>136</v>
      </c>
      <c r="E135" s="87">
        <v>0</v>
      </c>
      <c r="F135" s="88">
        <v>4802428.5000000065</v>
      </c>
      <c r="G135" s="87">
        <v>0</v>
      </c>
      <c r="I135" s="87">
        <v>0</v>
      </c>
      <c r="K135" s="87">
        <v>0</v>
      </c>
      <c r="M135" s="87">
        <v>0</v>
      </c>
      <c r="O135" s="87">
        <v>0</v>
      </c>
      <c r="P135" s="88">
        <v>5094779.9999999991</v>
      </c>
      <c r="Q135" s="87">
        <v>0</v>
      </c>
      <c r="R135" s="87">
        <f t="shared" si="36"/>
        <v>3</v>
      </c>
      <c r="T135" s="87">
        <v>0</v>
      </c>
      <c r="V135" s="87">
        <v>0</v>
      </c>
      <c r="X135" s="87">
        <v>0</v>
      </c>
      <c r="Y135" s="88">
        <v>5579143.5000000047</v>
      </c>
      <c r="Z135" s="87">
        <v>0</v>
      </c>
      <c r="AA135" s="87">
        <v>3</v>
      </c>
      <c r="AB135" s="89">
        <f t="shared" si="37"/>
        <v>0</v>
      </c>
      <c r="AC135" s="89">
        <f t="shared" si="38"/>
        <v>0</v>
      </c>
      <c r="AD135" s="89">
        <f t="shared" si="39"/>
        <v>0</v>
      </c>
      <c r="AE135" s="90">
        <f t="shared" si="40"/>
        <v>0</v>
      </c>
      <c r="AF135" s="90" t="str">
        <f t="shared" si="41"/>
        <v/>
      </c>
      <c r="AG135" s="90">
        <f t="shared" si="42"/>
        <v>3</v>
      </c>
      <c r="AH135" s="90" t="str">
        <f t="shared" si="43"/>
        <v>2018 (triag)</v>
      </c>
      <c r="AI135" s="90">
        <f t="shared" si="44"/>
        <v>3</v>
      </c>
      <c r="AJ135" s="90" t="str">
        <f t="shared" si="45"/>
        <v>2018 (triag)</v>
      </c>
      <c r="AK135" s="90" t="str">
        <f t="shared" si="46"/>
        <v/>
      </c>
      <c r="AL135" s="91">
        <f>IF(AK135="Adjust",(_xlfn.XLOOKUP(A135,'Adj factor'!A:A,'Adj factor'!I:I,,0)*AI135),'Master DataSheet'!AI135)</f>
        <v>3</v>
      </c>
      <c r="AM135" s="91">
        <f t="shared" si="47"/>
        <v>3</v>
      </c>
      <c r="AN135" s="92" t="str">
        <f t="shared" si="48"/>
        <v>No change</v>
      </c>
      <c r="AO135" s="93">
        <f>VLOOKUP(B135,'Growthrates source'!A$2:H$49,8,FALSE)</f>
        <v>1.405403127486049E-2</v>
      </c>
      <c r="AP135" s="93">
        <f>VLOOKUP(B135,'Growthrates source'!A$2:I$49,9,FALSE)</f>
        <v>5.4673730437993617E-2</v>
      </c>
      <c r="AQ135" s="86">
        <f t="shared" si="49"/>
        <v>2.7964258853826278</v>
      </c>
      <c r="AR135" s="86">
        <f t="shared" si="50"/>
        <v>3.5347178498002902</v>
      </c>
      <c r="AS135" s="94">
        <f t="shared" si="51"/>
        <v>0</v>
      </c>
      <c r="AT135" s="94">
        <f t="shared" si="52"/>
        <v>5.8883798711622491E-3</v>
      </c>
      <c r="AU135" s="94">
        <f t="shared" si="53"/>
        <v>5.3771694526229654E-3</v>
      </c>
    </row>
    <row r="136" spans="1:47" x14ac:dyDescent="0.3">
      <c r="A136" s="85" t="str">
        <f>_xlfn.XLOOKUP(B136,'Country codes &amp; Data sources'!G:G,'Country codes &amp; Data sources'!H:H,,0)</f>
        <v>Central African Republic</v>
      </c>
      <c r="B136" s="85" t="s">
        <v>152</v>
      </c>
      <c r="C136" s="86">
        <v>4773319.5</v>
      </c>
      <c r="D136" s="85" t="s">
        <v>207</v>
      </c>
      <c r="E136" s="87">
        <v>0</v>
      </c>
      <c r="F136" s="88">
        <v>4802428.5000000065</v>
      </c>
      <c r="G136" s="87">
        <v>0</v>
      </c>
      <c r="I136" s="87">
        <v>0</v>
      </c>
      <c r="K136" s="87">
        <v>0</v>
      </c>
      <c r="M136" s="87">
        <v>0</v>
      </c>
      <c r="O136" s="87">
        <v>0</v>
      </c>
      <c r="P136" s="88">
        <v>5094779.9999999991</v>
      </c>
      <c r="Q136" s="87">
        <v>0</v>
      </c>
      <c r="R136" s="87">
        <f t="shared" si="36"/>
        <v>20</v>
      </c>
      <c r="T136" s="87">
        <v>0</v>
      </c>
      <c r="V136" s="87">
        <v>0</v>
      </c>
      <c r="X136" s="87">
        <v>0</v>
      </c>
      <c r="Y136" s="88">
        <v>5579143.5000000047</v>
      </c>
      <c r="Z136" s="87">
        <v>0</v>
      </c>
      <c r="AA136" s="87">
        <v>20</v>
      </c>
      <c r="AB136" s="89">
        <f t="shared" si="37"/>
        <v>0</v>
      </c>
      <c r="AC136" s="89">
        <f t="shared" si="38"/>
        <v>0</v>
      </c>
      <c r="AD136" s="89">
        <f t="shared" si="39"/>
        <v>0</v>
      </c>
      <c r="AE136" s="90">
        <f t="shared" si="40"/>
        <v>0</v>
      </c>
      <c r="AF136" s="90" t="str">
        <f t="shared" si="41"/>
        <v/>
      </c>
      <c r="AG136" s="90">
        <f t="shared" si="42"/>
        <v>20</v>
      </c>
      <c r="AH136" s="90" t="str">
        <f t="shared" si="43"/>
        <v>2018 (triag)</v>
      </c>
      <c r="AI136" s="90">
        <f t="shared" si="44"/>
        <v>20</v>
      </c>
      <c r="AJ136" s="90" t="str">
        <f t="shared" si="45"/>
        <v>2018 (triag)</v>
      </c>
      <c r="AK136" s="90" t="str">
        <f t="shared" si="46"/>
        <v/>
      </c>
      <c r="AL136" s="91">
        <f>IF(AK136="Adjust",(_xlfn.XLOOKUP(A136,'Adj factor'!A:A,'Adj factor'!I:I,,0)*AI136),'Master DataSheet'!AI136)</f>
        <v>20</v>
      </c>
      <c r="AM136" s="91">
        <f t="shared" si="47"/>
        <v>20</v>
      </c>
      <c r="AN136" s="92" t="str">
        <f t="shared" si="48"/>
        <v>No change</v>
      </c>
      <c r="AO136" s="93">
        <f>VLOOKUP(B136,'Growthrates source'!A$2:H$49,8,FALSE)</f>
        <v>1.405403127486049E-2</v>
      </c>
      <c r="AP136" s="93">
        <f>VLOOKUP(B136,'Growthrates source'!A$2:I$49,9,FALSE)</f>
        <v>5.4673730437993617E-2</v>
      </c>
      <c r="AQ136" s="86">
        <f t="shared" si="49"/>
        <v>18.642839235884185</v>
      </c>
      <c r="AR136" s="86">
        <f t="shared" si="50"/>
        <v>23.564785665335268</v>
      </c>
      <c r="AS136" s="94">
        <f t="shared" si="51"/>
        <v>0</v>
      </c>
      <c r="AT136" s="94">
        <f t="shared" si="52"/>
        <v>3.9255865807748327E-2</v>
      </c>
      <c r="AU136" s="94">
        <f t="shared" si="53"/>
        <v>3.584779635081977E-2</v>
      </c>
    </row>
    <row r="137" spans="1:47" x14ac:dyDescent="0.3">
      <c r="A137" s="85" t="str">
        <f>_xlfn.XLOOKUP(B137,'Country codes &amp; Data sources'!G:G,'Country codes &amp; Data sources'!H:H,,0)</f>
        <v>Central African Republic</v>
      </c>
      <c r="B137" s="85" t="s">
        <v>152</v>
      </c>
      <c r="C137" s="86">
        <v>4773320.5</v>
      </c>
      <c r="D137" s="85" t="s">
        <v>141</v>
      </c>
      <c r="E137" s="87">
        <v>0</v>
      </c>
      <c r="F137" s="88">
        <v>4802428.5000000065</v>
      </c>
      <c r="G137" s="87">
        <v>0</v>
      </c>
      <c r="I137" s="87">
        <v>0</v>
      </c>
      <c r="K137" s="87">
        <v>0</v>
      </c>
      <c r="M137" s="87">
        <v>0</v>
      </c>
      <c r="O137" s="87">
        <v>0</v>
      </c>
      <c r="P137" s="88">
        <v>5094779.9999999991</v>
      </c>
      <c r="Q137" s="87">
        <v>0</v>
      </c>
      <c r="R137" s="87">
        <f t="shared" si="36"/>
        <v>0</v>
      </c>
      <c r="T137" s="87">
        <v>0</v>
      </c>
      <c r="V137" s="87">
        <v>0</v>
      </c>
      <c r="X137" s="87">
        <v>0</v>
      </c>
      <c r="Y137" s="88">
        <v>5579143.5000000047</v>
      </c>
      <c r="Z137" s="87">
        <v>0</v>
      </c>
      <c r="AA137" s="87">
        <v>0</v>
      </c>
      <c r="AB137" s="89">
        <f t="shared" si="37"/>
        <v>0</v>
      </c>
      <c r="AC137" s="89">
        <f t="shared" si="38"/>
        <v>0</v>
      </c>
      <c r="AD137" s="89">
        <f t="shared" si="39"/>
        <v>0</v>
      </c>
      <c r="AE137" s="90">
        <f t="shared" si="40"/>
        <v>0</v>
      </c>
      <c r="AF137" s="90" t="str">
        <f t="shared" si="41"/>
        <v/>
      </c>
      <c r="AG137" s="90">
        <f t="shared" si="42"/>
        <v>0</v>
      </c>
      <c r="AH137" s="90" t="str">
        <f t="shared" si="43"/>
        <v/>
      </c>
      <c r="AI137" s="90">
        <f t="shared" si="44"/>
        <v>0</v>
      </c>
      <c r="AJ137" s="90" t="str">
        <f t="shared" si="45"/>
        <v/>
      </c>
      <c r="AK137" s="90" t="str">
        <f t="shared" si="46"/>
        <v/>
      </c>
      <c r="AL137" s="91">
        <f>IF(AK137="Adjust",(_xlfn.XLOOKUP(A137,'Adj factor'!A:A,'Adj factor'!I:I,,0)*AI137),'Master DataSheet'!AI137)</f>
        <v>0</v>
      </c>
      <c r="AM137" s="91">
        <f t="shared" si="47"/>
        <v>0</v>
      </c>
      <c r="AN137" s="92" t="str">
        <f t="shared" si="48"/>
        <v>No change</v>
      </c>
      <c r="AO137" s="93">
        <f>VLOOKUP(B137,'Growthrates source'!A$2:H$49,8,FALSE)</f>
        <v>1.405403127486049E-2</v>
      </c>
      <c r="AP137" s="93">
        <f>VLOOKUP(B137,'Growthrates source'!A$2:I$49,9,FALSE)</f>
        <v>5.4673730437993617E-2</v>
      </c>
      <c r="AQ137" s="86">
        <f t="shared" si="49"/>
        <v>0</v>
      </c>
      <c r="AR137" s="86">
        <f t="shared" si="50"/>
        <v>0</v>
      </c>
      <c r="AS137" s="94">
        <f t="shared" si="51"/>
        <v>0</v>
      </c>
      <c r="AT137" s="94">
        <f t="shared" si="52"/>
        <v>0</v>
      </c>
      <c r="AU137" s="94">
        <f t="shared" si="53"/>
        <v>0</v>
      </c>
    </row>
    <row r="138" spans="1:47" x14ac:dyDescent="0.3">
      <c r="A138" s="85" t="str">
        <f>_xlfn.XLOOKUP(B138,'Country codes &amp; Data sources'!G:G,'Country codes &amp; Data sources'!H:H,,0)</f>
        <v>Central African Republic</v>
      </c>
      <c r="B138" s="85" t="s">
        <v>152</v>
      </c>
      <c r="C138" s="86">
        <v>4773321.5</v>
      </c>
      <c r="D138" s="85" t="s">
        <v>208</v>
      </c>
      <c r="E138" s="87">
        <v>0</v>
      </c>
      <c r="F138" s="88">
        <v>4802428.5000000065</v>
      </c>
      <c r="G138" s="87">
        <v>0</v>
      </c>
      <c r="I138" s="87">
        <v>0</v>
      </c>
      <c r="K138" s="87">
        <v>0</v>
      </c>
      <c r="M138" s="87">
        <v>0</v>
      </c>
      <c r="O138" s="87">
        <v>0</v>
      </c>
      <c r="P138" s="88">
        <v>5094779.9999999991</v>
      </c>
      <c r="Q138" s="87">
        <v>0</v>
      </c>
      <c r="R138" s="87">
        <f t="shared" si="36"/>
        <v>65</v>
      </c>
      <c r="T138" s="87">
        <v>0</v>
      </c>
      <c r="V138" s="87">
        <v>0</v>
      </c>
      <c r="X138" s="87">
        <v>0</v>
      </c>
      <c r="Y138" s="88">
        <v>5579143.5000000047</v>
      </c>
      <c r="Z138" s="87">
        <v>0</v>
      </c>
      <c r="AA138" s="87">
        <v>65</v>
      </c>
      <c r="AB138" s="89">
        <f t="shared" si="37"/>
        <v>0</v>
      </c>
      <c r="AC138" s="89">
        <f t="shared" si="38"/>
        <v>0</v>
      </c>
      <c r="AD138" s="89">
        <f t="shared" si="39"/>
        <v>0</v>
      </c>
      <c r="AE138" s="90">
        <f t="shared" si="40"/>
        <v>0</v>
      </c>
      <c r="AF138" s="90" t="str">
        <f t="shared" si="41"/>
        <v/>
      </c>
      <c r="AG138" s="90">
        <f t="shared" si="42"/>
        <v>65</v>
      </c>
      <c r="AH138" s="90" t="str">
        <f t="shared" si="43"/>
        <v>2018 (triag)</v>
      </c>
      <c r="AI138" s="90">
        <f t="shared" si="44"/>
        <v>65</v>
      </c>
      <c r="AJ138" s="90" t="str">
        <f t="shared" si="45"/>
        <v>2018 (triag)</v>
      </c>
      <c r="AK138" s="90" t="str">
        <f t="shared" si="46"/>
        <v/>
      </c>
      <c r="AL138" s="91">
        <f>IF(AK138="Adjust",(_xlfn.XLOOKUP(A138,'Adj factor'!A:A,'Adj factor'!I:I,,0)*AI138),'Master DataSheet'!AI138)</f>
        <v>65</v>
      </c>
      <c r="AM138" s="91">
        <f t="shared" si="47"/>
        <v>65</v>
      </c>
      <c r="AN138" s="92" t="str">
        <f t="shared" si="48"/>
        <v>No change</v>
      </c>
      <c r="AO138" s="93">
        <f>VLOOKUP(B138,'Growthrates source'!A$2:H$49,8,FALSE)</f>
        <v>1.405403127486049E-2</v>
      </c>
      <c r="AP138" s="93">
        <f>VLOOKUP(B138,'Growthrates source'!A$2:I$49,9,FALSE)</f>
        <v>5.4673730437993617E-2</v>
      </c>
      <c r="AQ138" s="86">
        <f t="shared" si="49"/>
        <v>60.589227516623602</v>
      </c>
      <c r="AR138" s="86">
        <f t="shared" si="50"/>
        <v>76.585553412339621</v>
      </c>
      <c r="AS138" s="94">
        <f t="shared" si="51"/>
        <v>0</v>
      </c>
      <c r="AT138" s="94">
        <f t="shared" si="52"/>
        <v>0.12758156387518207</v>
      </c>
      <c r="AU138" s="94">
        <f t="shared" si="53"/>
        <v>0.11650533814016426</v>
      </c>
    </row>
    <row r="139" spans="1:47" x14ac:dyDescent="0.3">
      <c r="A139" s="85" t="str">
        <f>_xlfn.XLOOKUP(B139,'Country codes &amp; Data sources'!G:G,'Country codes &amp; Data sources'!H:H,,0)</f>
        <v>Central African Republic</v>
      </c>
      <c r="B139" s="85" t="s">
        <v>152</v>
      </c>
      <c r="C139" s="86">
        <v>4773322.5</v>
      </c>
      <c r="D139" s="85" t="s">
        <v>209</v>
      </c>
      <c r="E139" s="87">
        <v>0</v>
      </c>
      <c r="F139" s="88">
        <v>4802428.5000000065</v>
      </c>
      <c r="G139" s="87">
        <v>0</v>
      </c>
      <c r="I139" s="87">
        <v>0</v>
      </c>
      <c r="K139" s="87">
        <v>0</v>
      </c>
      <c r="M139" s="87">
        <v>0</v>
      </c>
      <c r="O139" s="87">
        <v>0</v>
      </c>
      <c r="P139" s="88">
        <v>5094779.9999999991</v>
      </c>
      <c r="Q139" s="87">
        <v>0</v>
      </c>
      <c r="R139" s="87">
        <f t="shared" si="36"/>
        <v>14</v>
      </c>
      <c r="T139" s="87">
        <v>0</v>
      </c>
      <c r="V139" s="87">
        <v>0</v>
      </c>
      <c r="X139" s="87">
        <v>0</v>
      </c>
      <c r="Y139" s="88">
        <v>5579143.5000000047</v>
      </c>
      <c r="Z139" s="87">
        <v>0</v>
      </c>
      <c r="AA139" s="87">
        <v>14</v>
      </c>
      <c r="AB139" s="89">
        <f t="shared" si="37"/>
        <v>0</v>
      </c>
      <c r="AC139" s="89">
        <f t="shared" si="38"/>
        <v>0</v>
      </c>
      <c r="AD139" s="89">
        <f t="shared" si="39"/>
        <v>0</v>
      </c>
      <c r="AE139" s="90">
        <f t="shared" si="40"/>
        <v>0</v>
      </c>
      <c r="AF139" s="90" t="str">
        <f t="shared" si="41"/>
        <v/>
      </c>
      <c r="AG139" s="90">
        <f t="shared" si="42"/>
        <v>14</v>
      </c>
      <c r="AH139" s="90" t="str">
        <f t="shared" si="43"/>
        <v>2018 (triag)</v>
      </c>
      <c r="AI139" s="90">
        <f t="shared" si="44"/>
        <v>14</v>
      </c>
      <c r="AJ139" s="90" t="str">
        <f t="shared" si="45"/>
        <v>2018 (triag)</v>
      </c>
      <c r="AK139" s="90" t="str">
        <f t="shared" si="46"/>
        <v/>
      </c>
      <c r="AL139" s="91">
        <f>IF(AK139="Adjust",(_xlfn.XLOOKUP(A139,'Adj factor'!A:A,'Adj factor'!I:I,,0)*AI139),'Master DataSheet'!AI139)</f>
        <v>14</v>
      </c>
      <c r="AM139" s="91">
        <f t="shared" si="47"/>
        <v>14</v>
      </c>
      <c r="AN139" s="92" t="str">
        <f t="shared" si="48"/>
        <v>No change</v>
      </c>
      <c r="AO139" s="93">
        <f>VLOOKUP(B139,'Growthrates source'!A$2:H$49,8,FALSE)</f>
        <v>1.405403127486049E-2</v>
      </c>
      <c r="AP139" s="93">
        <f>VLOOKUP(B139,'Growthrates source'!A$2:I$49,9,FALSE)</f>
        <v>5.4673730437993617E-2</v>
      </c>
      <c r="AQ139" s="86">
        <f t="shared" si="49"/>
        <v>13.04998746511893</v>
      </c>
      <c r="AR139" s="86">
        <f t="shared" si="50"/>
        <v>16.49534996573469</v>
      </c>
      <c r="AS139" s="94">
        <f t="shared" si="51"/>
        <v>0</v>
      </c>
      <c r="AT139" s="94">
        <f t="shared" si="52"/>
        <v>2.7479106065423833E-2</v>
      </c>
      <c r="AU139" s="94">
        <f t="shared" si="53"/>
        <v>2.5093457445573838E-2</v>
      </c>
    </row>
    <row r="140" spans="1:47" x14ac:dyDescent="0.3">
      <c r="A140" s="85" t="str">
        <f>_xlfn.XLOOKUP(B140,'Country codes &amp; Data sources'!G:G,'Country codes &amp; Data sources'!H:H,,0)</f>
        <v>Central African Republic</v>
      </c>
      <c r="B140" s="85" t="s">
        <v>152</v>
      </c>
      <c r="C140" s="86">
        <v>4773323.5</v>
      </c>
      <c r="D140" s="85" t="s">
        <v>134</v>
      </c>
      <c r="E140" s="87">
        <v>0</v>
      </c>
      <c r="F140" s="88">
        <v>4802428.5000000065</v>
      </c>
      <c r="G140" s="87">
        <v>0</v>
      </c>
      <c r="I140" s="87">
        <v>0</v>
      </c>
      <c r="K140" s="87">
        <v>0</v>
      </c>
      <c r="M140" s="87">
        <v>0</v>
      </c>
      <c r="O140" s="87">
        <v>0</v>
      </c>
      <c r="P140" s="88">
        <v>5094779.9999999991</v>
      </c>
      <c r="Q140" s="87">
        <v>0</v>
      </c>
      <c r="R140" s="87">
        <f t="shared" si="36"/>
        <v>112</v>
      </c>
      <c r="T140" s="87">
        <v>0</v>
      </c>
      <c r="V140" s="87">
        <v>0</v>
      </c>
      <c r="X140" s="87">
        <v>47</v>
      </c>
      <c r="Y140" s="88">
        <v>5579143.5000000047</v>
      </c>
      <c r="Z140" s="87">
        <v>0</v>
      </c>
      <c r="AA140" s="87">
        <v>112</v>
      </c>
      <c r="AB140" s="89">
        <f t="shared" si="37"/>
        <v>0</v>
      </c>
      <c r="AC140" s="89">
        <f t="shared" si="38"/>
        <v>0</v>
      </c>
      <c r="AD140" s="89">
        <f t="shared" si="39"/>
        <v>47</v>
      </c>
      <c r="AE140" s="90">
        <f t="shared" si="40"/>
        <v>0</v>
      </c>
      <c r="AF140" s="90" t="str">
        <f t="shared" si="41"/>
        <v/>
      </c>
      <c r="AG140" s="90">
        <f t="shared" si="42"/>
        <v>112</v>
      </c>
      <c r="AH140" s="90" t="str">
        <f t="shared" si="43"/>
        <v>2018 (triag)</v>
      </c>
      <c r="AI140" s="90">
        <f t="shared" si="44"/>
        <v>47</v>
      </c>
      <c r="AJ140" s="90">
        <f t="shared" si="45"/>
        <v>2021</v>
      </c>
      <c r="AK140" s="90" t="str">
        <f t="shared" si="46"/>
        <v>Adjust</v>
      </c>
      <c r="AL140" s="91">
        <f>IF(AK140="Adjust",(_xlfn.XLOOKUP(A140,'Adj factor'!A:A,'Adj factor'!I:I,,0)*AI140),'Master DataSheet'!AI140)</f>
        <v>60.353598014888341</v>
      </c>
      <c r="AM140" s="91">
        <f t="shared" si="47"/>
        <v>112</v>
      </c>
      <c r="AN140" s="92" t="str">
        <f t="shared" si="48"/>
        <v>Decreasing</v>
      </c>
      <c r="AO140" s="93">
        <f>VLOOKUP(B140,'Growthrates source'!A$2:H$49,8,FALSE)</f>
        <v>1.405403127486049E-2</v>
      </c>
      <c r="AP140" s="93">
        <f>VLOOKUP(B140,'Growthrates source'!A$2:I$49,9,FALSE)</f>
        <v>5.4673730437993617E-2</v>
      </c>
      <c r="AQ140" s="86">
        <f t="shared" si="49"/>
        <v>104.39989972095144</v>
      </c>
      <c r="AR140" s="86">
        <f t="shared" si="50"/>
        <v>131.96279972587752</v>
      </c>
      <c r="AS140" s="94">
        <f t="shared" si="51"/>
        <v>0</v>
      </c>
      <c r="AT140" s="94">
        <f t="shared" si="52"/>
        <v>0.21983284852339066</v>
      </c>
      <c r="AU140" s="94">
        <f t="shared" si="53"/>
        <v>0.2007476595645907</v>
      </c>
    </row>
    <row r="141" spans="1:47" x14ac:dyDescent="0.3">
      <c r="A141" s="85" t="str">
        <f>_xlfn.XLOOKUP(B141,'Country codes &amp; Data sources'!G:G,'Country codes &amp; Data sources'!H:H,,0)</f>
        <v>Central African Republic</v>
      </c>
      <c r="B141" s="85" t="s">
        <v>152</v>
      </c>
      <c r="C141" s="86">
        <v>4773324.5</v>
      </c>
      <c r="D141" s="85" t="s">
        <v>142</v>
      </c>
      <c r="E141" s="87">
        <v>0</v>
      </c>
      <c r="F141" s="88">
        <v>4802428.5000000065</v>
      </c>
      <c r="G141" s="87">
        <v>0</v>
      </c>
      <c r="I141" s="87">
        <v>0</v>
      </c>
      <c r="K141" s="87">
        <v>0</v>
      </c>
      <c r="M141" s="87">
        <v>0</v>
      </c>
      <c r="O141" s="87">
        <v>0</v>
      </c>
      <c r="P141" s="88">
        <v>5094779.9999999991</v>
      </c>
      <c r="Q141" s="87">
        <v>0</v>
      </c>
      <c r="R141" s="87">
        <f t="shared" si="36"/>
        <v>200</v>
      </c>
      <c r="T141" s="87">
        <v>0</v>
      </c>
      <c r="V141" s="87">
        <v>0</v>
      </c>
      <c r="X141" s="87">
        <v>0</v>
      </c>
      <c r="Y141" s="88">
        <v>5579143.5000000047</v>
      </c>
      <c r="Z141" s="87">
        <v>0</v>
      </c>
      <c r="AA141" s="87">
        <v>200</v>
      </c>
      <c r="AB141" s="89">
        <f t="shared" si="37"/>
        <v>0</v>
      </c>
      <c r="AC141" s="89">
        <f t="shared" si="38"/>
        <v>0</v>
      </c>
      <c r="AD141" s="89">
        <f t="shared" si="39"/>
        <v>0</v>
      </c>
      <c r="AE141" s="90">
        <f t="shared" si="40"/>
        <v>0</v>
      </c>
      <c r="AF141" s="90" t="str">
        <f t="shared" si="41"/>
        <v/>
      </c>
      <c r="AG141" s="90">
        <f t="shared" si="42"/>
        <v>200</v>
      </c>
      <c r="AH141" s="90" t="str">
        <f t="shared" si="43"/>
        <v>2018 (triag)</v>
      </c>
      <c r="AI141" s="90">
        <f t="shared" si="44"/>
        <v>200</v>
      </c>
      <c r="AJ141" s="90" t="str">
        <f t="shared" si="45"/>
        <v>2018 (triag)</v>
      </c>
      <c r="AK141" s="90" t="str">
        <f t="shared" si="46"/>
        <v/>
      </c>
      <c r="AL141" s="91">
        <f>IF(AK141="Adjust",(_xlfn.XLOOKUP(A141,'Adj factor'!A:A,'Adj factor'!I:I,,0)*AI141),'Master DataSheet'!AI141)</f>
        <v>200</v>
      </c>
      <c r="AM141" s="91">
        <f t="shared" si="47"/>
        <v>200</v>
      </c>
      <c r="AN141" s="92" t="str">
        <f t="shared" si="48"/>
        <v>No change</v>
      </c>
      <c r="AO141" s="93">
        <f>VLOOKUP(B141,'Growthrates source'!A$2:H$49,8,FALSE)</f>
        <v>1.405403127486049E-2</v>
      </c>
      <c r="AP141" s="93">
        <f>VLOOKUP(B141,'Growthrates source'!A$2:I$49,9,FALSE)</f>
        <v>5.4673730437993617E-2</v>
      </c>
      <c r="AQ141" s="86">
        <f t="shared" si="49"/>
        <v>186.42839235884188</v>
      </c>
      <c r="AR141" s="86">
        <f t="shared" si="50"/>
        <v>235.64785665335268</v>
      </c>
      <c r="AS141" s="94">
        <f t="shared" si="51"/>
        <v>0</v>
      </c>
      <c r="AT141" s="94">
        <f t="shared" si="52"/>
        <v>0.3925586580774833</v>
      </c>
      <c r="AU141" s="94">
        <f t="shared" si="53"/>
        <v>0.35847796350819766</v>
      </c>
    </row>
    <row r="142" spans="1:47" x14ac:dyDescent="0.3">
      <c r="A142" s="85" t="str">
        <f>_xlfn.XLOOKUP(B142,'Country codes &amp; Data sources'!G:G,'Country codes &amp; Data sources'!H:H,,0)</f>
        <v>Central African Republic</v>
      </c>
      <c r="B142" s="85" t="s">
        <v>152</v>
      </c>
      <c r="C142" s="86">
        <v>4773325.5</v>
      </c>
      <c r="D142" s="85" t="s">
        <v>83</v>
      </c>
      <c r="E142" s="87">
        <v>0</v>
      </c>
      <c r="F142" s="88">
        <v>4802428.5000000065</v>
      </c>
      <c r="G142" s="87">
        <v>0</v>
      </c>
      <c r="I142" s="87">
        <v>0</v>
      </c>
      <c r="K142" s="87">
        <v>0</v>
      </c>
      <c r="M142" s="87">
        <v>0</v>
      </c>
      <c r="O142" s="87">
        <v>0</v>
      </c>
      <c r="P142" s="88">
        <v>5094779.9999999991</v>
      </c>
      <c r="Q142" s="87">
        <v>0</v>
      </c>
      <c r="R142" s="87">
        <f t="shared" si="36"/>
        <v>0</v>
      </c>
      <c r="T142" s="87">
        <v>0</v>
      </c>
      <c r="V142" s="87">
        <v>0</v>
      </c>
      <c r="X142" s="87">
        <v>155</v>
      </c>
      <c r="Y142" s="88">
        <v>5579143.5000000047</v>
      </c>
      <c r="Z142" s="87">
        <v>0</v>
      </c>
      <c r="AA142" s="87">
        <v>0</v>
      </c>
      <c r="AB142" s="89">
        <f t="shared" si="37"/>
        <v>0</v>
      </c>
      <c r="AC142" s="89">
        <f t="shared" si="38"/>
        <v>0</v>
      </c>
      <c r="AD142" s="89">
        <f t="shared" si="39"/>
        <v>155</v>
      </c>
      <c r="AE142" s="90">
        <f t="shared" si="40"/>
        <v>0</v>
      </c>
      <c r="AF142" s="90" t="str">
        <f t="shared" si="41"/>
        <v/>
      </c>
      <c r="AG142" s="90">
        <f t="shared" si="42"/>
        <v>0</v>
      </c>
      <c r="AH142" s="90" t="str">
        <f t="shared" si="43"/>
        <v/>
      </c>
      <c r="AI142" s="90">
        <f t="shared" si="44"/>
        <v>155</v>
      </c>
      <c r="AJ142" s="90">
        <f t="shared" si="45"/>
        <v>2021</v>
      </c>
      <c r="AK142" s="90" t="str">
        <f t="shared" si="46"/>
        <v/>
      </c>
      <c r="AL142" s="91">
        <f>IF(AK142="Adjust",(_xlfn.XLOOKUP(A142,'Adj factor'!A:A,'Adj factor'!I:I,,0)*AI142),'Master DataSheet'!AI142)</f>
        <v>155</v>
      </c>
      <c r="AM142" s="91">
        <f t="shared" si="47"/>
        <v>155</v>
      </c>
      <c r="AN142" s="92" t="str">
        <f t="shared" si="48"/>
        <v>Increasing</v>
      </c>
      <c r="AO142" s="93">
        <f>VLOOKUP(B142,'Growthrates source'!A$2:H$49,8,FALSE)</f>
        <v>1.405403127486049E-2</v>
      </c>
      <c r="AP142" s="93">
        <f>VLOOKUP(B142,'Growthrates source'!A$2:I$49,9,FALSE)</f>
        <v>5.4673730437993617E-2</v>
      </c>
      <c r="AQ142" s="86">
        <f t="shared" si="49"/>
        <v>0</v>
      </c>
      <c r="AR142" s="86">
        <f t="shared" si="50"/>
        <v>0</v>
      </c>
      <c r="AS142" s="94">
        <f t="shared" si="51"/>
        <v>0</v>
      </c>
      <c r="AT142" s="94">
        <f t="shared" si="52"/>
        <v>0</v>
      </c>
      <c r="AU142" s="94">
        <f t="shared" si="53"/>
        <v>0.27782042171885318</v>
      </c>
    </row>
    <row r="143" spans="1:47" x14ac:dyDescent="0.3">
      <c r="A143" s="85" t="str">
        <f>_xlfn.XLOOKUP(B143,'Country codes &amp; Data sources'!G:G,'Country codes &amp; Data sources'!H:H,,0)</f>
        <v>Central African Republic</v>
      </c>
      <c r="B143" s="85" t="s">
        <v>152</v>
      </c>
      <c r="C143" s="86">
        <v>4773326.5</v>
      </c>
      <c r="D143" s="85" t="s">
        <v>84</v>
      </c>
      <c r="E143" s="87">
        <v>0</v>
      </c>
      <c r="F143" s="88">
        <v>4802428.5000000065</v>
      </c>
      <c r="G143" s="87">
        <v>0</v>
      </c>
      <c r="I143" s="87">
        <v>0</v>
      </c>
      <c r="K143" s="87">
        <v>83</v>
      </c>
      <c r="M143" s="87">
        <v>0</v>
      </c>
      <c r="O143" s="87">
        <v>0</v>
      </c>
      <c r="P143" s="88">
        <v>5094779.9999999991</v>
      </c>
      <c r="Q143" s="87">
        <v>0</v>
      </c>
      <c r="R143" s="87">
        <f t="shared" si="36"/>
        <v>0</v>
      </c>
      <c r="T143" s="87">
        <v>0</v>
      </c>
      <c r="V143" s="87">
        <v>0</v>
      </c>
      <c r="X143" s="87">
        <v>0</v>
      </c>
      <c r="Y143" s="88">
        <v>5579143.5000000047</v>
      </c>
      <c r="Z143" s="87">
        <v>0</v>
      </c>
      <c r="AA143" s="87">
        <v>0</v>
      </c>
      <c r="AB143" s="89">
        <f t="shared" si="37"/>
        <v>83</v>
      </c>
      <c r="AC143" s="89">
        <f t="shared" si="38"/>
        <v>0</v>
      </c>
      <c r="AD143" s="89">
        <f t="shared" si="39"/>
        <v>0</v>
      </c>
      <c r="AE143" s="90">
        <f t="shared" si="40"/>
        <v>83</v>
      </c>
      <c r="AF143" s="90">
        <f t="shared" si="41"/>
        <v>2015</v>
      </c>
      <c r="AG143" s="90">
        <f t="shared" si="42"/>
        <v>0</v>
      </c>
      <c r="AH143" s="90" t="str">
        <f t="shared" si="43"/>
        <v/>
      </c>
      <c r="AI143" s="90">
        <f t="shared" si="44"/>
        <v>0</v>
      </c>
      <c r="AJ143" s="90" t="str">
        <f t="shared" si="45"/>
        <v/>
      </c>
      <c r="AK143" s="90" t="str">
        <f t="shared" si="46"/>
        <v/>
      </c>
      <c r="AL143" s="91">
        <f>IF(AK143="Adjust",(_xlfn.XLOOKUP(A143,'Adj factor'!A:A,'Adj factor'!I:I,,0)*AI143),'Master DataSheet'!AI143)</f>
        <v>0</v>
      </c>
      <c r="AM143" s="91">
        <f t="shared" si="47"/>
        <v>0</v>
      </c>
      <c r="AN143" s="92" t="str">
        <f t="shared" si="48"/>
        <v>No change</v>
      </c>
      <c r="AO143" s="93">
        <f>VLOOKUP(B143,'Growthrates source'!A$2:H$49,8,FALSE)</f>
        <v>1.405403127486049E-2</v>
      </c>
      <c r="AP143" s="93">
        <f>VLOOKUP(B143,'Growthrates source'!A$2:I$49,9,FALSE)</f>
        <v>5.4673730437993617E-2</v>
      </c>
      <c r="AQ143" s="86">
        <f t="shared" si="49"/>
        <v>0</v>
      </c>
      <c r="AR143" s="86">
        <f t="shared" si="50"/>
        <v>0</v>
      </c>
      <c r="AS143" s="94">
        <f t="shared" si="51"/>
        <v>0.17282922588019767</v>
      </c>
      <c r="AT143" s="94">
        <f t="shared" si="52"/>
        <v>0</v>
      </c>
      <c r="AU143" s="94">
        <f t="shared" si="53"/>
        <v>0</v>
      </c>
    </row>
    <row r="144" spans="1:47" x14ac:dyDescent="0.3">
      <c r="A144" s="85" t="str">
        <f>_xlfn.XLOOKUP(B144,'Country codes &amp; Data sources'!G:G,'Country codes &amp; Data sources'!H:H,,0)</f>
        <v>Central African Republic</v>
      </c>
      <c r="B144" s="85" t="s">
        <v>152</v>
      </c>
      <c r="C144" s="86">
        <v>4773327.5</v>
      </c>
      <c r="D144" s="85" t="s">
        <v>126</v>
      </c>
      <c r="E144" s="87">
        <v>0</v>
      </c>
      <c r="F144" s="88">
        <v>4802428.5000000065</v>
      </c>
      <c r="G144" s="87">
        <v>0</v>
      </c>
      <c r="I144" s="87">
        <v>0</v>
      </c>
      <c r="K144" s="87">
        <v>0</v>
      </c>
      <c r="M144" s="87">
        <v>0</v>
      </c>
      <c r="O144" s="87">
        <v>0</v>
      </c>
      <c r="P144" s="88">
        <v>5094779.9999999991</v>
      </c>
      <c r="Q144" s="87">
        <v>0</v>
      </c>
      <c r="R144" s="87">
        <f t="shared" si="36"/>
        <v>0</v>
      </c>
      <c r="T144" s="87">
        <v>0</v>
      </c>
      <c r="V144" s="87">
        <v>0</v>
      </c>
      <c r="X144" s="87">
        <v>0</v>
      </c>
      <c r="Y144" s="88">
        <v>5579143.5000000047</v>
      </c>
      <c r="Z144" s="87">
        <v>0</v>
      </c>
      <c r="AA144" s="87">
        <v>0</v>
      </c>
      <c r="AB144" s="89">
        <f t="shared" si="37"/>
        <v>0</v>
      </c>
      <c r="AC144" s="89">
        <f t="shared" si="38"/>
        <v>0</v>
      </c>
      <c r="AD144" s="89">
        <f t="shared" si="39"/>
        <v>0</v>
      </c>
      <c r="AE144" s="90">
        <f t="shared" si="40"/>
        <v>0</v>
      </c>
      <c r="AF144" s="90" t="str">
        <f t="shared" si="41"/>
        <v/>
      </c>
      <c r="AG144" s="90">
        <f t="shared" si="42"/>
        <v>0</v>
      </c>
      <c r="AH144" s="90" t="str">
        <f t="shared" si="43"/>
        <v/>
      </c>
      <c r="AI144" s="90">
        <f t="shared" si="44"/>
        <v>0</v>
      </c>
      <c r="AJ144" s="90" t="str">
        <f t="shared" si="45"/>
        <v/>
      </c>
      <c r="AK144" s="90" t="str">
        <f t="shared" si="46"/>
        <v/>
      </c>
      <c r="AL144" s="91">
        <f>IF(AK144="Adjust",(_xlfn.XLOOKUP(A144,'Adj factor'!A:A,'Adj factor'!I:I,,0)*AI144),'Master DataSheet'!AI144)</f>
        <v>0</v>
      </c>
      <c r="AM144" s="91">
        <f t="shared" si="47"/>
        <v>0</v>
      </c>
      <c r="AN144" s="92" t="str">
        <f t="shared" si="48"/>
        <v>No change</v>
      </c>
      <c r="AO144" s="93">
        <f>VLOOKUP(B144,'Growthrates source'!A$2:H$49,8,FALSE)</f>
        <v>1.405403127486049E-2</v>
      </c>
      <c r="AP144" s="93">
        <f>VLOOKUP(B144,'Growthrates source'!A$2:I$49,9,FALSE)</f>
        <v>5.4673730437993617E-2</v>
      </c>
      <c r="AQ144" s="86">
        <f t="shared" si="49"/>
        <v>0</v>
      </c>
      <c r="AR144" s="86">
        <f t="shared" si="50"/>
        <v>0</v>
      </c>
      <c r="AS144" s="94">
        <f t="shared" si="51"/>
        <v>0</v>
      </c>
      <c r="AT144" s="94">
        <f t="shared" si="52"/>
        <v>0</v>
      </c>
      <c r="AU144" s="94">
        <f t="shared" si="53"/>
        <v>0</v>
      </c>
    </row>
    <row r="145" spans="1:47" x14ac:dyDescent="0.3">
      <c r="A145" s="85" t="str">
        <f>_xlfn.XLOOKUP(B145,'Country codes &amp; Data sources'!G:G,'Country codes &amp; Data sources'!H:H,,0)</f>
        <v>Central African Republic</v>
      </c>
      <c r="B145" s="85" t="s">
        <v>152</v>
      </c>
      <c r="C145" s="86">
        <v>4773328.5</v>
      </c>
      <c r="D145" s="85" t="s">
        <v>87</v>
      </c>
      <c r="E145" s="87">
        <v>0</v>
      </c>
      <c r="F145" s="88">
        <v>4802428.5000000065</v>
      </c>
      <c r="G145" s="87">
        <v>0</v>
      </c>
      <c r="I145" s="87">
        <v>0</v>
      </c>
      <c r="K145" s="87">
        <v>0</v>
      </c>
      <c r="M145" s="87">
        <v>0</v>
      </c>
      <c r="O145" s="87">
        <v>0</v>
      </c>
      <c r="P145" s="88">
        <v>5094779.9999999991</v>
      </c>
      <c r="Q145" s="87">
        <v>0</v>
      </c>
      <c r="R145" s="87">
        <f t="shared" si="36"/>
        <v>0</v>
      </c>
      <c r="T145" s="87">
        <v>0</v>
      </c>
      <c r="V145" s="87">
        <v>0</v>
      </c>
      <c r="X145" s="87">
        <v>0</v>
      </c>
      <c r="Y145" s="88">
        <v>5579143.5000000047</v>
      </c>
      <c r="Z145" s="87">
        <v>0</v>
      </c>
      <c r="AA145" s="87">
        <v>0</v>
      </c>
      <c r="AB145" s="89">
        <f t="shared" si="37"/>
        <v>0</v>
      </c>
      <c r="AC145" s="89">
        <f t="shared" si="38"/>
        <v>0</v>
      </c>
      <c r="AD145" s="89">
        <f t="shared" si="39"/>
        <v>0</v>
      </c>
      <c r="AE145" s="90">
        <f t="shared" si="40"/>
        <v>0</v>
      </c>
      <c r="AF145" s="90" t="str">
        <f t="shared" si="41"/>
        <v/>
      </c>
      <c r="AG145" s="90">
        <f t="shared" si="42"/>
        <v>0</v>
      </c>
      <c r="AH145" s="90" t="str">
        <f t="shared" si="43"/>
        <v/>
      </c>
      <c r="AI145" s="90">
        <f t="shared" si="44"/>
        <v>0</v>
      </c>
      <c r="AJ145" s="90" t="str">
        <f t="shared" si="45"/>
        <v/>
      </c>
      <c r="AK145" s="90" t="str">
        <f t="shared" si="46"/>
        <v/>
      </c>
      <c r="AL145" s="91">
        <f>IF(AK145="Adjust",(_xlfn.XLOOKUP(A145,'Adj factor'!A:A,'Adj factor'!I:I,,0)*AI145),'Master DataSheet'!AI145)</f>
        <v>0</v>
      </c>
      <c r="AM145" s="91">
        <f t="shared" si="47"/>
        <v>0</v>
      </c>
      <c r="AN145" s="92" t="str">
        <f t="shared" si="48"/>
        <v>No change</v>
      </c>
      <c r="AO145" s="93">
        <f>VLOOKUP(B145,'Growthrates source'!A$2:H$49,8,FALSE)</f>
        <v>1.405403127486049E-2</v>
      </c>
      <c r="AP145" s="93">
        <f>VLOOKUP(B145,'Growthrates source'!A$2:I$49,9,FALSE)</f>
        <v>5.4673730437993617E-2</v>
      </c>
      <c r="AQ145" s="86">
        <f t="shared" si="49"/>
        <v>0</v>
      </c>
      <c r="AR145" s="86">
        <f t="shared" si="50"/>
        <v>0</v>
      </c>
      <c r="AS145" s="94">
        <f t="shared" si="51"/>
        <v>0</v>
      </c>
      <c r="AT145" s="94">
        <f t="shared" si="52"/>
        <v>0</v>
      </c>
      <c r="AU145" s="94">
        <f t="shared" si="53"/>
        <v>0</v>
      </c>
    </row>
    <row r="146" spans="1:47" x14ac:dyDescent="0.3">
      <c r="A146" s="85" t="str">
        <f>_xlfn.XLOOKUP(B146,'Country codes &amp; Data sources'!G:G,'Country codes &amp; Data sources'!H:H,,0)</f>
        <v>Cote d'Ivoire</v>
      </c>
      <c r="B146" s="85" t="s">
        <v>166</v>
      </c>
      <c r="C146" s="86">
        <v>22010711.499999996</v>
      </c>
      <c r="D146" s="85" t="s">
        <v>321</v>
      </c>
      <c r="E146" s="87">
        <v>0</v>
      </c>
      <c r="F146" s="88">
        <v>22469267.5</v>
      </c>
      <c r="G146" s="87">
        <v>0</v>
      </c>
      <c r="H146" s="87">
        <v>22995555.5</v>
      </c>
      <c r="I146" s="87">
        <v>11036</v>
      </c>
      <c r="J146" s="87">
        <v>23596741</v>
      </c>
      <c r="K146" s="87">
        <v>0</v>
      </c>
      <c r="L146" s="87">
        <v>24213621.500000015</v>
      </c>
      <c r="M146" s="87">
        <v>0</v>
      </c>
      <c r="N146" s="87">
        <v>24848015.5</v>
      </c>
      <c r="O146" s="87">
        <v>0</v>
      </c>
      <c r="P146" s="88">
        <v>25493988.499999996</v>
      </c>
      <c r="Q146" s="87">
        <v>11204</v>
      </c>
      <c r="R146" s="87">
        <f t="shared" si="36"/>
        <v>11204</v>
      </c>
      <c r="S146" s="87">
        <v>26147550.999999996</v>
      </c>
      <c r="T146" s="87">
        <v>8346</v>
      </c>
      <c r="U146" s="87">
        <v>26811790.500000004</v>
      </c>
      <c r="V146" s="87">
        <v>8870</v>
      </c>
      <c r="W146" s="87">
        <v>27478249.000000004</v>
      </c>
      <c r="X146" s="87">
        <v>9902</v>
      </c>
      <c r="Y146" s="88">
        <v>28160542.500000004</v>
      </c>
      <c r="Z146" s="87">
        <v>9860</v>
      </c>
      <c r="AA146" s="87">
        <v>5602</v>
      </c>
      <c r="AB146" s="89">
        <f t="shared" si="37"/>
        <v>11036</v>
      </c>
      <c r="AC146" s="89">
        <f t="shared" si="38"/>
        <v>11204</v>
      </c>
      <c r="AD146" s="89">
        <f t="shared" si="39"/>
        <v>9902</v>
      </c>
      <c r="AE146" s="90">
        <f t="shared" si="40"/>
        <v>11036</v>
      </c>
      <c r="AF146" s="90">
        <f t="shared" si="41"/>
        <v>2014</v>
      </c>
      <c r="AG146" s="90">
        <f t="shared" si="42"/>
        <v>11204</v>
      </c>
      <c r="AH146" s="90">
        <f t="shared" si="43"/>
        <v>2018</v>
      </c>
      <c r="AI146" s="90">
        <f t="shared" si="44"/>
        <v>9860</v>
      </c>
      <c r="AJ146" s="90">
        <f t="shared" si="45"/>
        <v>2022</v>
      </c>
      <c r="AK146" s="90" t="str">
        <f t="shared" si="46"/>
        <v>Adjust</v>
      </c>
      <c r="AL146" s="91">
        <f>IF(AK146="Adjust",(_xlfn.XLOOKUP(A146,'Adj factor'!A:A,'Adj factor'!I:I,,0)*AI146),'Master DataSheet'!AI146)</f>
        <v>12655.103959358961</v>
      </c>
      <c r="AM146" s="91">
        <f t="shared" si="47"/>
        <v>12655.103959358961</v>
      </c>
      <c r="AN146" s="92" t="str">
        <f t="shared" si="48"/>
        <v>Increasing</v>
      </c>
      <c r="AO146" s="93">
        <f>VLOOKUP(B146,'Growthrates source'!A$2:H$49,8,FALSE)</f>
        <v>6.6569375282258259E-2</v>
      </c>
      <c r="AP146" s="93">
        <f>VLOOKUP(B146,'Growthrates source'!A$2:I$49,9,FALSE)</f>
        <v>5.4673730437993617E-2</v>
      </c>
      <c r="AQ146" s="86">
        <f t="shared" si="49"/>
        <v>4015.9615190217469</v>
      </c>
      <c r="AR146" s="86">
        <f t="shared" si="50"/>
        <v>6600.4964648604091</v>
      </c>
      <c r="AS146" s="94">
        <f t="shared" si="51"/>
        <v>4.9115975854575584</v>
      </c>
      <c r="AT146" s="94">
        <f t="shared" si="52"/>
        <v>4.3947615336846964</v>
      </c>
      <c r="AU146" s="94">
        <f t="shared" si="53"/>
        <v>4.4939134107089593</v>
      </c>
    </row>
    <row r="147" spans="1:47" x14ac:dyDescent="0.3">
      <c r="A147" s="85" t="str">
        <f>_xlfn.XLOOKUP(B147,'Country codes &amp; Data sources'!G:G,'Country codes &amp; Data sources'!H:H,,0)</f>
        <v>Cote d'Ivoire</v>
      </c>
      <c r="B147" s="85" t="s">
        <v>166</v>
      </c>
      <c r="C147" s="86">
        <v>22010712.5</v>
      </c>
      <c r="D147" s="85" t="s">
        <v>322</v>
      </c>
      <c r="E147" s="87">
        <v>0</v>
      </c>
      <c r="F147" s="88">
        <v>22469267.5</v>
      </c>
      <c r="G147" s="87">
        <v>17560</v>
      </c>
      <c r="I147" s="87">
        <v>17736</v>
      </c>
      <c r="K147" s="87">
        <v>21782</v>
      </c>
      <c r="M147" s="87">
        <v>24264</v>
      </c>
      <c r="O147" s="87">
        <v>27166</v>
      </c>
      <c r="P147" s="88">
        <v>25493988.499999996</v>
      </c>
      <c r="Q147" s="87">
        <v>30326</v>
      </c>
      <c r="R147" s="87">
        <f t="shared" si="36"/>
        <v>30326</v>
      </c>
      <c r="T147" s="87">
        <v>22518</v>
      </c>
      <c r="V147" s="87">
        <v>26792</v>
      </c>
      <c r="X147" s="87">
        <v>25774</v>
      </c>
      <c r="Y147" s="88">
        <v>28160542.500000004</v>
      </c>
      <c r="Z147" s="87">
        <v>29958</v>
      </c>
      <c r="AA147" s="87">
        <v>11730</v>
      </c>
      <c r="AB147" s="89">
        <f t="shared" si="37"/>
        <v>21782</v>
      </c>
      <c r="AC147" s="89">
        <f t="shared" si="38"/>
        <v>30326</v>
      </c>
      <c r="AD147" s="89">
        <f t="shared" si="39"/>
        <v>29958</v>
      </c>
      <c r="AE147" s="90">
        <f t="shared" si="40"/>
        <v>17560</v>
      </c>
      <c r="AF147" s="90">
        <f t="shared" si="41"/>
        <v>2013</v>
      </c>
      <c r="AG147" s="90">
        <f t="shared" si="42"/>
        <v>30326</v>
      </c>
      <c r="AH147" s="90">
        <f t="shared" si="43"/>
        <v>2018</v>
      </c>
      <c r="AI147" s="90">
        <f t="shared" si="44"/>
        <v>29958</v>
      </c>
      <c r="AJ147" s="90">
        <f t="shared" si="45"/>
        <v>2022</v>
      </c>
      <c r="AK147" s="90" t="str">
        <f t="shared" si="46"/>
        <v>Adjust</v>
      </c>
      <c r="AL147" s="91">
        <f>IF(AK147="Adjust",(_xlfn.XLOOKUP(A147,'Adj factor'!A:A,'Adj factor'!I:I,,0)*AI147),'Master DataSheet'!AI147)</f>
        <v>38450.466979155754</v>
      </c>
      <c r="AM147" s="91">
        <f t="shared" si="47"/>
        <v>38450.466979155754</v>
      </c>
      <c r="AN147" s="92" t="str">
        <f t="shared" si="48"/>
        <v>Increasing</v>
      </c>
      <c r="AO147" s="93">
        <f>VLOOKUP(B147,'Growthrates source'!A$2:H$49,8,FALSE)</f>
        <v>6.6569375282258259E-2</v>
      </c>
      <c r="AP147" s="93">
        <f>VLOOKUP(B147,'Growthrates source'!A$2:I$49,9,FALSE)</f>
        <v>5.4673730437993617E-2</v>
      </c>
      <c r="AQ147" s="86">
        <f t="shared" si="49"/>
        <v>8409.0018954168318</v>
      </c>
      <c r="AR147" s="86">
        <f t="shared" si="50"/>
        <v>13820.746792719136</v>
      </c>
      <c r="AS147" s="94">
        <f t="shared" si="51"/>
        <v>7.8151190286910781</v>
      </c>
      <c r="AT147" s="94">
        <f t="shared" si="52"/>
        <v>11.895353290835605</v>
      </c>
      <c r="AU147" s="94">
        <f t="shared" si="53"/>
        <v>13.654022105275759</v>
      </c>
    </row>
    <row r="148" spans="1:47" x14ac:dyDescent="0.3">
      <c r="A148" s="85" t="str">
        <f>_xlfn.XLOOKUP(B148,'Country codes &amp; Data sources'!G:G,'Country codes &amp; Data sources'!H:H,,0)</f>
        <v>Cote d'Ivoire</v>
      </c>
      <c r="B148" s="85" t="s">
        <v>166</v>
      </c>
      <c r="C148" s="86">
        <v>22010713.5</v>
      </c>
      <c r="D148" s="85" t="s">
        <v>323</v>
      </c>
      <c r="E148" s="87">
        <v>0</v>
      </c>
      <c r="F148" s="88">
        <v>22469267.5</v>
      </c>
      <c r="G148" s="87">
        <v>7702</v>
      </c>
      <c r="I148" s="87">
        <v>10600</v>
      </c>
      <c r="K148" s="87">
        <v>0</v>
      </c>
      <c r="M148" s="87">
        <v>0</v>
      </c>
      <c r="O148" s="87">
        <v>0</v>
      </c>
      <c r="P148" s="88">
        <v>25493988.499999996</v>
      </c>
      <c r="Q148" s="87">
        <v>0</v>
      </c>
      <c r="R148" s="87">
        <f t="shared" si="36"/>
        <v>5460</v>
      </c>
      <c r="T148" s="87">
        <v>11202</v>
      </c>
      <c r="V148" s="87">
        <v>12690</v>
      </c>
      <c r="X148" s="87">
        <v>14148</v>
      </c>
      <c r="Y148" s="88">
        <v>28160542.500000004</v>
      </c>
      <c r="Z148" s="87">
        <v>14850</v>
      </c>
      <c r="AA148" s="87">
        <v>5460</v>
      </c>
      <c r="AB148" s="89">
        <f t="shared" si="37"/>
        <v>10600</v>
      </c>
      <c r="AC148" s="89">
        <f t="shared" si="38"/>
        <v>11202</v>
      </c>
      <c r="AD148" s="89">
        <f t="shared" si="39"/>
        <v>14850</v>
      </c>
      <c r="AE148" s="90">
        <f t="shared" si="40"/>
        <v>7702</v>
      </c>
      <c r="AF148" s="90">
        <f t="shared" si="41"/>
        <v>2013</v>
      </c>
      <c r="AG148" s="90">
        <f t="shared" si="42"/>
        <v>5460</v>
      </c>
      <c r="AH148" s="90" t="str">
        <f t="shared" si="43"/>
        <v>2018 (triag)</v>
      </c>
      <c r="AI148" s="90">
        <f t="shared" si="44"/>
        <v>14850</v>
      </c>
      <c r="AJ148" s="90">
        <f t="shared" si="45"/>
        <v>2022</v>
      </c>
      <c r="AK148" s="90" t="str">
        <f t="shared" si="46"/>
        <v/>
      </c>
      <c r="AL148" s="91">
        <f>IF(AK148="Adjust",(_xlfn.XLOOKUP(A148,'Adj factor'!A:A,'Adj factor'!I:I,,0)*AI148),'Master DataSheet'!AI148)</f>
        <v>14850</v>
      </c>
      <c r="AM148" s="91">
        <f t="shared" si="47"/>
        <v>14850</v>
      </c>
      <c r="AN148" s="92" t="str">
        <f t="shared" si="48"/>
        <v>Increasing</v>
      </c>
      <c r="AO148" s="93">
        <f>VLOOKUP(B148,'Growthrates source'!A$2:H$49,8,FALSE)</f>
        <v>6.6569375282258259E-2</v>
      </c>
      <c r="AP148" s="93">
        <f>VLOOKUP(B148,'Growthrates source'!A$2:I$49,9,FALSE)</f>
        <v>5.4673730437993617E-2</v>
      </c>
      <c r="AQ148" s="86">
        <f t="shared" si="49"/>
        <v>3914.1645651300851</v>
      </c>
      <c r="AR148" s="86">
        <f t="shared" si="50"/>
        <v>6433.1864866365286</v>
      </c>
      <c r="AS148" s="94">
        <f t="shared" si="51"/>
        <v>3.4277930956138203</v>
      </c>
      <c r="AT148" s="94">
        <f t="shared" si="52"/>
        <v>2.1416813614707642</v>
      </c>
      <c r="AU148" s="94">
        <f t="shared" si="53"/>
        <v>5.2733359096331327</v>
      </c>
    </row>
    <row r="149" spans="1:47" x14ac:dyDescent="0.3">
      <c r="A149" s="85" t="str">
        <f>_xlfn.XLOOKUP(B149,'Country codes &amp; Data sources'!G:G,'Country codes &amp; Data sources'!H:H,,0)</f>
        <v>Cote d'Ivoire</v>
      </c>
      <c r="B149" s="85" t="s">
        <v>166</v>
      </c>
      <c r="C149" s="86">
        <v>22010714.5</v>
      </c>
      <c r="D149" s="85" t="s">
        <v>324</v>
      </c>
      <c r="E149" s="87">
        <v>0</v>
      </c>
      <c r="F149" s="88">
        <v>22469267.5</v>
      </c>
      <c r="G149" s="87">
        <v>255</v>
      </c>
      <c r="I149" s="87">
        <v>0</v>
      </c>
      <c r="K149" s="87">
        <v>0</v>
      </c>
      <c r="M149" s="87">
        <v>0</v>
      </c>
      <c r="O149" s="87">
        <v>0</v>
      </c>
      <c r="P149" s="88">
        <v>25493988.499999996</v>
      </c>
      <c r="Q149" s="87">
        <v>2646</v>
      </c>
      <c r="R149" s="87">
        <f t="shared" si="36"/>
        <v>2646</v>
      </c>
      <c r="T149" s="87">
        <v>814</v>
      </c>
      <c r="V149" s="87">
        <v>0</v>
      </c>
      <c r="X149" s="87">
        <v>233</v>
      </c>
      <c r="Y149" s="88">
        <v>28160542.500000004</v>
      </c>
      <c r="Z149" s="87">
        <v>0</v>
      </c>
      <c r="AA149" s="87">
        <v>2495</v>
      </c>
      <c r="AB149" s="89">
        <f t="shared" si="37"/>
        <v>255</v>
      </c>
      <c r="AC149" s="89">
        <f t="shared" si="38"/>
        <v>2646</v>
      </c>
      <c r="AD149" s="89">
        <f t="shared" si="39"/>
        <v>233</v>
      </c>
      <c r="AE149" s="90">
        <f t="shared" si="40"/>
        <v>255</v>
      </c>
      <c r="AF149" s="90">
        <f t="shared" si="41"/>
        <v>2013</v>
      </c>
      <c r="AG149" s="90">
        <f t="shared" si="42"/>
        <v>2646</v>
      </c>
      <c r="AH149" s="90">
        <f t="shared" si="43"/>
        <v>2018</v>
      </c>
      <c r="AI149" s="90">
        <f t="shared" si="44"/>
        <v>233</v>
      </c>
      <c r="AJ149" s="90">
        <f t="shared" si="45"/>
        <v>2021</v>
      </c>
      <c r="AK149" s="90" t="str">
        <f t="shared" si="46"/>
        <v>Adjust</v>
      </c>
      <c r="AL149" s="91">
        <f>IF(AK149="Adjust",(_xlfn.XLOOKUP(A149,'Adj factor'!A:A,'Adj factor'!I:I,,0)*AI149),'Master DataSheet'!AI149)</f>
        <v>299.05063108830001</v>
      </c>
      <c r="AM149" s="91">
        <f t="shared" si="47"/>
        <v>2646</v>
      </c>
      <c r="AN149" s="92" t="str">
        <f t="shared" si="48"/>
        <v>Decreasing</v>
      </c>
      <c r="AO149" s="93">
        <f>VLOOKUP(B149,'Growthrates source'!A$2:H$49,8,FALSE)</f>
        <v>6.6569375282258259E-2</v>
      </c>
      <c r="AP149" s="93">
        <f>VLOOKUP(B149,'Growthrates source'!A$2:I$49,9,FALSE)</f>
        <v>5.4673730437993617E-2</v>
      </c>
      <c r="AQ149" s="86">
        <f t="shared" si="49"/>
        <v>1788.6154926739125</v>
      </c>
      <c r="AR149" s="86">
        <f t="shared" si="50"/>
        <v>2939.7070117505746</v>
      </c>
      <c r="AS149" s="94">
        <f t="shared" si="51"/>
        <v>0.11348834580388524</v>
      </c>
      <c r="AT149" s="94">
        <f t="shared" si="52"/>
        <v>1.0378917367127549</v>
      </c>
      <c r="AU149" s="94">
        <f t="shared" si="53"/>
        <v>0.93961258026190353</v>
      </c>
    </row>
    <row r="150" spans="1:47" x14ac:dyDescent="0.3">
      <c r="A150" s="85" t="str">
        <f>_xlfn.XLOOKUP(B150,'Country codes &amp; Data sources'!G:G,'Country codes &amp; Data sources'!H:H,,0)</f>
        <v>Cote d'Ivoire</v>
      </c>
      <c r="B150" s="85" t="s">
        <v>166</v>
      </c>
      <c r="C150" s="86">
        <v>22010715.5</v>
      </c>
      <c r="D150" s="85" t="s">
        <v>325</v>
      </c>
      <c r="E150" s="87">
        <v>1764</v>
      </c>
      <c r="F150" s="88">
        <v>22469267.5</v>
      </c>
      <c r="G150" s="87">
        <v>4</v>
      </c>
      <c r="I150" s="87">
        <v>21</v>
      </c>
      <c r="K150" s="87">
        <v>0</v>
      </c>
      <c r="M150" s="87">
        <v>0</v>
      </c>
      <c r="O150" s="87">
        <v>351</v>
      </c>
      <c r="P150" s="88">
        <v>25493988.499999996</v>
      </c>
      <c r="Q150" s="87">
        <v>593</v>
      </c>
      <c r="R150" s="87">
        <f t="shared" si="36"/>
        <v>593</v>
      </c>
      <c r="T150" s="87">
        <v>160</v>
      </c>
      <c r="V150" s="87">
        <v>0</v>
      </c>
      <c r="X150" s="87">
        <v>219</v>
      </c>
      <c r="Y150" s="88">
        <v>28160542.500000004</v>
      </c>
      <c r="Z150" s="87">
        <v>79</v>
      </c>
      <c r="AA150" s="87">
        <v>506</v>
      </c>
      <c r="AB150" s="89">
        <f t="shared" si="37"/>
        <v>1764</v>
      </c>
      <c r="AC150" s="89">
        <f t="shared" si="38"/>
        <v>593</v>
      </c>
      <c r="AD150" s="89">
        <f t="shared" si="39"/>
        <v>219</v>
      </c>
      <c r="AE150" s="90">
        <f t="shared" si="40"/>
        <v>4</v>
      </c>
      <c r="AF150" s="90">
        <f t="shared" si="41"/>
        <v>2013</v>
      </c>
      <c r="AG150" s="90">
        <f t="shared" si="42"/>
        <v>593</v>
      </c>
      <c r="AH150" s="90">
        <f t="shared" si="43"/>
        <v>2018</v>
      </c>
      <c r="AI150" s="90">
        <f t="shared" si="44"/>
        <v>79</v>
      </c>
      <c r="AJ150" s="90">
        <f t="shared" si="45"/>
        <v>2022</v>
      </c>
      <c r="AK150" s="90" t="str">
        <f t="shared" si="46"/>
        <v>Adjust</v>
      </c>
      <c r="AL150" s="91">
        <f>IF(AK150="Adjust",(_xlfn.XLOOKUP(A150,'Adj factor'!A:A,'Adj factor'!I:I,,0)*AI150),'Master DataSheet'!AI150)</f>
        <v>101.39484916727768</v>
      </c>
      <c r="AM150" s="91">
        <f t="shared" si="47"/>
        <v>593</v>
      </c>
      <c r="AN150" s="92" t="str">
        <f t="shared" si="48"/>
        <v>Decreasing</v>
      </c>
      <c r="AO150" s="93">
        <f>VLOOKUP(B150,'Growthrates source'!A$2:H$49,8,FALSE)</f>
        <v>6.6569375282258259E-2</v>
      </c>
      <c r="AP150" s="93">
        <f>VLOOKUP(B150,'Growthrates source'!A$2:I$49,9,FALSE)</f>
        <v>5.4673730437993617E-2</v>
      </c>
      <c r="AQ150" s="86">
        <f t="shared" si="49"/>
        <v>362.74125823366722</v>
      </c>
      <c r="AR150" s="86">
        <f t="shared" si="50"/>
        <v>596.18907733298227</v>
      </c>
      <c r="AS150" s="94">
        <f t="shared" si="51"/>
        <v>1.7802093459432979E-3</v>
      </c>
      <c r="AT150" s="94">
        <f t="shared" si="52"/>
        <v>0.23260385482640353</v>
      </c>
      <c r="AU150" s="94">
        <f t="shared" si="53"/>
        <v>0.21057832959006381</v>
      </c>
    </row>
    <row r="151" spans="1:47" x14ac:dyDescent="0.3">
      <c r="A151" s="85" t="str">
        <f>_xlfn.XLOOKUP(B151,'Country codes &amp; Data sources'!G:G,'Country codes &amp; Data sources'!H:H,,0)</f>
        <v>Cote d'Ivoire</v>
      </c>
      <c r="B151" s="85" t="s">
        <v>166</v>
      </c>
      <c r="C151" s="86">
        <v>22010716.5</v>
      </c>
      <c r="D151" s="85" t="s">
        <v>127</v>
      </c>
      <c r="E151" s="87">
        <v>0</v>
      </c>
      <c r="F151" s="88">
        <v>22469267.5</v>
      </c>
      <c r="G151" s="87">
        <v>0</v>
      </c>
      <c r="I151" s="87">
        <v>0</v>
      </c>
      <c r="K151" s="87">
        <v>0</v>
      </c>
      <c r="M151" s="87">
        <v>0</v>
      </c>
      <c r="O151" s="87">
        <v>0</v>
      </c>
      <c r="P151" s="88">
        <v>25493988.499999996</v>
      </c>
      <c r="Q151" s="87">
        <v>14556</v>
      </c>
      <c r="R151" s="87">
        <f t="shared" si="36"/>
        <v>14556</v>
      </c>
      <c r="T151" s="87">
        <v>0</v>
      </c>
      <c r="V151" s="87">
        <v>0</v>
      </c>
      <c r="X151" s="87">
        <v>0</v>
      </c>
      <c r="Y151" s="88">
        <v>28160542.500000004</v>
      </c>
      <c r="Z151" s="87">
        <v>0</v>
      </c>
      <c r="AA151" s="87">
        <v>14556</v>
      </c>
      <c r="AB151" s="89">
        <f t="shared" si="37"/>
        <v>0</v>
      </c>
      <c r="AC151" s="89">
        <f t="shared" si="38"/>
        <v>14556</v>
      </c>
      <c r="AD151" s="89">
        <f t="shared" si="39"/>
        <v>0</v>
      </c>
      <c r="AE151" s="90">
        <f t="shared" si="40"/>
        <v>0</v>
      </c>
      <c r="AF151" s="90" t="str">
        <f t="shared" si="41"/>
        <v/>
      </c>
      <c r="AG151" s="90">
        <f t="shared" si="42"/>
        <v>14556</v>
      </c>
      <c r="AH151" s="90">
        <f t="shared" si="43"/>
        <v>2018</v>
      </c>
      <c r="AI151" s="90">
        <f t="shared" si="44"/>
        <v>14556</v>
      </c>
      <c r="AJ151" s="90">
        <f t="shared" si="45"/>
        <v>2018</v>
      </c>
      <c r="AK151" s="90" t="str">
        <f t="shared" si="46"/>
        <v/>
      </c>
      <c r="AL151" s="91">
        <f>IF(AK151="Adjust",(_xlfn.XLOOKUP(A151,'Adj factor'!A:A,'Adj factor'!I:I,,0)*AI151),'Master DataSheet'!AI151)</f>
        <v>14556</v>
      </c>
      <c r="AM151" s="91">
        <f t="shared" si="47"/>
        <v>14556</v>
      </c>
      <c r="AN151" s="92" t="str">
        <f t="shared" si="48"/>
        <v>No change</v>
      </c>
      <c r="AO151" s="93">
        <f>VLOOKUP(B151,'Growthrates source'!A$2:H$49,8,FALSE)</f>
        <v>6.6569375282258259E-2</v>
      </c>
      <c r="AP151" s="93">
        <f>VLOOKUP(B151,'Growthrates source'!A$2:I$49,9,FALSE)</f>
        <v>5.4673730437993617E-2</v>
      </c>
      <c r="AQ151" s="86">
        <f t="shared" si="49"/>
        <v>10434.904653852293</v>
      </c>
      <c r="AR151" s="86">
        <f t="shared" si="50"/>
        <v>17150.451007231008</v>
      </c>
      <c r="AS151" s="94">
        <f t="shared" si="51"/>
        <v>0</v>
      </c>
      <c r="AT151" s="94">
        <f t="shared" si="52"/>
        <v>5.709581299920961</v>
      </c>
      <c r="AU151" s="94">
        <f t="shared" si="53"/>
        <v>5.1689345118262544</v>
      </c>
    </row>
    <row r="152" spans="1:47" x14ac:dyDescent="0.3">
      <c r="A152" s="85" t="str">
        <f>_xlfn.XLOOKUP(B152,'Country codes &amp; Data sources'!G:G,'Country codes &amp; Data sources'!H:H,,0)</f>
        <v>Cote d'Ivoire</v>
      </c>
      <c r="B152" s="85" t="s">
        <v>166</v>
      </c>
      <c r="C152" s="86">
        <v>22010717.5</v>
      </c>
      <c r="D152" s="85" t="s">
        <v>61</v>
      </c>
      <c r="E152" s="87">
        <v>0</v>
      </c>
      <c r="F152" s="88">
        <v>22469267.5</v>
      </c>
      <c r="G152" s="87">
        <v>0</v>
      </c>
      <c r="I152" s="87">
        <v>0</v>
      </c>
      <c r="K152" s="87">
        <v>0</v>
      </c>
      <c r="M152" s="87">
        <v>0</v>
      </c>
      <c r="O152" s="87">
        <v>0</v>
      </c>
      <c r="P152" s="88">
        <v>25493988.499999996</v>
      </c>
      <c r="Q152" s="87">
        <v>745</v>
      </c>
      <c r="R152" s="87">
        <f t="shared" si="36"/>
        <v>745</v>
      </c>
      <c r="T152" s="87">
        <v>29</v>
      </c>
      <c r="V152" s="87">
        <v>0</v>
      </c>
      <c r="X152" s="87">
        <v>7</v>
      </c>
      <c r="Y152" s="88">
        <v>28160542.500000004</v>
      </c>
      <c r="Z152" s="87">
        <v>0</v>
      </c>
      <c r="AA152" s="87">
        <v>25</v>
      </c>
      <c r="AB152" s="89">
        <f t="shared" si="37"/>
        <v>0</v>
      </c>
      <c r="AC152" s="89">
        <f t="shared" si="38"/>
        <v>745</v>
      </c>
      <c r="AD152" s="89">
        <f t="shared" si="39"/>
        <v>7</v>
      </c>
      <c r="AE152" s="90">
        <f t="shared" si="40"/>
        <v>0</v>
      </c>
      <c r="AF152" s="90" t="str">
        <f t="shared" si="41"/>
        <v/>
      </c>
      <c r="AG152" s="90">
        <f t="shared" si="42"/>
        <v>745</v>
      </c>
      <c r="AH152" s="90">
        <f t="shared" si="43"/>
        <v>2018</v>
      </c>
      <c r="AI152" s="90">
        <f t="shared" si="44"/>
        <v>7</v>
      </c>
      <c r="AJ152" s="90">
        <f t="shared" si="45"/>
        <v>2021</v>
      </c>
      <c r="AK152" s="90" t="str">
        <f t="shared" si="46"/>
        <v>Adjust</v>
      </c>
      <c r="AL152" s="91">
        <f>IF(AK152="Adjust",(_xlfn.XLOOKUP(A152,'Adj factor'!A:A,'Adj factor'!I:I,,0)*AI152),'Master DataSheet'!AI152)</f>
        <v>8.9843537236828332</v>
      </c>
      <c r="AM152" s="91">
        <f t="shared" si="47"/>
        <v>745</v>
      </c>
      <c r="AN152" s="92" t="str">
        <f t="shared" si="48"/>
        <v>Decreasing</v>
      </c>
      <c r="AO152" s="93">
        <f>VLOOKUP(B152,'Growthrates source'!A$2:H$49,8,FALSE)</f>
        <v>6.6569375282258259E-2</v>
      </c>
      <c r="AP152" s="93">
        <f>VLOOKUP(B152,'Growthrates source'!A$2:I$49,9,FALSE)</f>
        <v>5.4673730437993617E-2</v>
      </c>
      <c r="AQ152" s="86">
        <f t="shared" si="49"/>
        <v>17.921998924588301</v>
      </c>
      <c r="AR152" s="86">
        <f t="shared" si="50"/>
        <v>29.455982081669084</v>
      </c>
      <c r="AS152" s="94">
        <f t="shared" si="51"/>
        <v>0</v>
      </c>
      <c r="AT152" s="94">
        <f t="shared" si="52"/>
        <v>0.29222575353401453</v>
      </c>
      <c r="AU152" s="94">
        <f t="shared" si="53"/>
        <v>0.26455456246981035</v>
      </c>
    </row>
    <row r="153" spans="1:47" x14ac:dyDescent="0.3">
      <c r="A153" s="85" t="str">
        <f>_xlfn.XLOOKUP(B153,'Country codes &amp; Data sources'!G:G,'Country codes &amp; Data sources'!H:H,,0)</f>
        <v>Cote d'Ivoire</v>
      </c>
      <c r="B153" s="85" t="s">
        <v>166</v>
      </c>
      <c r="C153" s="86">
        <v>22010718.5</v>
      </c>
      <c r="D153" s="85" t="s">
        <v>62</v>
      </c>
      <c r="E153" s="87">
        <v>0</v>
      </c>
      <c r="F153" s="88">
        <v>22469267.5</v>
      </c>
      <c r="G153" s="87">
        <v>0</v>
      </c>
      <c r="I153" s="87">
        <v>0</v>
      </c>
      <c r="K153" s="87">
        <v>0</v>
      </c>
      <c r="M153" s="87">
        <v>0</v>
      </c>
      <c r="O153" s="87">
        <v>0</v>
      </c>
      <c r="P153" s="88">
        <v>25493988.499999996</v>
      </c>
      <c r="Q153" s="87">
        <v>0</v>
      </c>
      <c r="R153" s="87">
        <f t="shared" si="36"/>
        <v>1425</v>
      </c>
      <c r="T153" s="87">
        <v>148</v>
      </c>
      <c r="V153" s="87">
        <v>0</v>
      </c>
      <c r="X153" s="87">
        <v>835</v>
      </c>
      <c r="Y153" s="88">
        <v>28160542.500000004</v>
      </c>
      <c r="Z153" s="87">
        <v>0</v>
      </c>
      <c r="AA153" s="87">
        <v>1425</v>
      </c>
      <c r="AB153" s="89">
        <f t="shared" si="37"/>
        <v>0</v>
      </c>
      <c r="AC153" s="89">
        <f t="shared" si="38"/>
        <v>148</v>
      </c>
      <c r="AD153" s="89">
        <f t="shared" si="39"/>
        <v>835</v>
      </c>
      <c r="AE153" s="90">
        <f t="shared" si="40"/>
        <v>0</v>
      </c>
      <c r="AF153" s="90" t="str">
        <f t="shared" si="41"/>
        <v/>
      </c>
      <c r="AG153" s="90">
        <f t="shared" si="42"/>
        <v>1425</v>
      </c>
      <c r="AH153" s="90" t="str">
        <f t="shared" si="43"/>
        <v>2018 (triag)</v>
      </c>
      <c r="AI153" s="90">
        <f t="shared" si="44"/>
        <v>835</v>
      </c>
      <c r="AJ153" s="90">
        <f t="shared" si="45"/>
        <v>2021</v>
      </c>
      <c r="AK153" s="90" t="str">
        <f t="shared" si="46"/>
        <v>Adjust</v>
      </c>
      <c r="AL153" s="91">
        <f>IF(AK153="Adjust",(_xlfn.XLOOKUP(A153,'Adj factor'!A:A,'Adj factor'!I:I,,0)*AI153),'Master DataSheet'!AI153)</f>
        <v>1071.7050513250235</v>
      </c>
      <c r="AM153" s="91">
        <f t="shared" si="47"/>
        <v>1425</v>
      </c>
      <c r="AN153" s="92" t="str">
        <f t="shared" si="48"/>
        <v>Decreasing</v>
      </c>
      <c r="AO153" s="93">
        <f>VLOOKUP(B153,'Growthrates source'!A$2:H$49,8,FALSE)</f>
        <v>6.6569375282258259E-2</v>
      </c>
      <c r="AP153" s="93">
        <f>VLOOKUP(B153,'Growthrates source'!A$2:I$49,9,FALSE)</f>
        <v>5.4673730437993617E-2</v>
      </c>
      <c r="AQ153" s="86">
        <f t="shared" si="49"/>
        <v>1021.5539387015332</v>
      </c>
      <c r="AR153" s="86">
        <f t="shared" si="50"/>
        <v>1678.990978655138</v>
      </c>
      <c r="AS153" s="94">
        <f t="shared" si="51"/>
        <v>0</v>
      </c>
      <c r="AT153" s="94">
        <f t="shared" si="52"/>
        <v>0.55895530038385333</v>
      </c>
      <c r="AU153" s="94">
        <f t="shared" si="53"/>
        <v>0.50602718324762386</v>
      </c>
    </row>
    <row r="154" spans="1:47" x14ac:dyDescent="0.3">
      <c r="A154" s="85" t="str">
        <f>_xlfn.XLOOKUP(B154,'Country codes &amp; Data sources'!G:G,'Country codes &amp; Data sources'!H:H,,0)</f>
        <v>Cote d'Ivoire</v>
      </c>
      <c r="B154" s="85" t="s">
        <v>166</v>
      </c>
      <c r="C154" s="86">
        <v>22010719.5</v>
      </c>
      <c r="D154" s="85" t="s">
        <v>203</v>
      </c>
      <c r="E154" s="87">
        <v>0</v>
      </c>
      <c r="F154" s="88">
        <v>22469267.5</v>
      </c>
      <c r="G154" s="87">
        <v>0</v>
      </c>
      <c r="I154" s="87">
        <v>0</v>
      </c>
      <c r="K154" s="87">
        <v>0</v>
      </c>
      <c r="M154" s="87">
        <v>0</v>
      </c>
      <c r="O154" s="87">
        <v>0</v>
      </c>
      <c r="P154" s="88">
        <v>25493988.499999996</v>
      </c>
      <c r="Q154" s="87">
        <v>0</v>
      </c>
      <c r="R154" s="87">
        <f t="shared" si="36"/>
        <v>3640</v>
      </c>
      <c r="T154" s="87">
        <v>4168</v>
      </c>
      <c r="V154" s="87">
        <v>0</v>
      </c>
      <c r="X154" s="87">
        <v>4221</v>
      </c>
      <c r="Y154" s="88">
        <v>28160542.500000004</v>
      </c>
      <c r="Z154" s="87">
        <v>4140</v>
      </c>
      <c r="AA154" s="87">
        <v>3640</v>
      </c>
      <c r="AB154" s="89">
        <f t="shared" si="37"/>
        <v>0</v>
      </c>
      <c r="AC154" s="89">
        <f t="shared" si="38"/>
        <v>4168</v>
      </c>
      <c r="AD154" s="89">
        <f t="shared" si="39"/>
        <v>4221</v>
      </c>
      <c r="AE154" s="90">
        <f t="shared" si="40"/>
        <v>0</v>
      </c>
      <c r="AF154" s="90" t="str">
        <f t="shared" si="41"/>
        <v/>
      </c>
      <c r="AG154" s="90">
        <f t="shared" si="42"/>
        <v>3640</v>
      </c>
      <c r="AH154" s="90" t="str">
        <f t="shared" si="43"/>
        <v>2018 (triag)</v>
      </c>
      <c r="AI154" s="90">
        <f t="shared" si="44"/>
        <v>4140</v>
      </c>
      <c r="AJ154" s="90">
        <f t="shared" si="45"/>
        <v>2022</v>
      </c>
      <c r="AK154" s="90" t="str">
        <f t="shared" si="46"/>
        <v/>
      </c>
      <c r="AL154" s="91">
        <f>IF(AK154="Adjust",(_xlfn.XLOOKUP(A154,'Adj factor'!A:A,'Adj factor'!I:I,,0)*AI154),'Master DataSheet'!AI154)</f>
        <v>4140</v>
      </c>
      <c r="AM154" s="91">
        <f t="shared" si="47"/>
        <v>4140</v>
      </c>
      <c r="AN154" s="92" t="str">
        <f t="shared" si="48"/>
        <v>Increasing</v>
      </c>
      <c r="AO154" s="93">
        <f>VLOOKUP(B154,'Growthrates source'!A$2:H$49,8,FALSE)</f>
        <v>6.6569375282258259E-2</v>
      </c>
      <c r="AP154" s="93">
        <f>VLOOKUP(B154,'Growthrates source'!A$2:I$49,9,FALSE)</f>
        <v>5.4673730437993617E-2</v>
      </c>
      <c r="AQ154" s="86">
        <f t="shared" si="49"/>
        <v>2609.4430434200567</v>
      </c>
      <c r="AR154" s="86">
        <f t="shared" si="50"/>
        <v>4288.7909910910184</v>
      </c>
      <c r="AS154" s="94">
        <f t="shared" si="51"/>
        <v>0</v>
      </c>
      <c r="AT154" s="94">
        <f t="shared" si="52"/>
        <v>1.4277875743138428</v>
      </c>
      <c r="AU154" s="94">
        <f t="shared" si="53"/>
        <v>1.4701421323825703</v>
      </c>
    </row>
    <row r="155" spans="1:47" x14ac:dyDescent="0.3">
      <c r="A155" s="85" t="str">
        <f>_xlfn.XLOOKUP(B155,'Country codes &amp; Data sources'!G:G,'Country codes &amp; Data sources'!H:H,,0)</f>
        <v>Cote d'Ivoire</v>
      </c>
      <c r="B155" s="85" t="s">
        <v>166</v>
      </c>
      <c r="C155" s="86">
        <v>22010720.5</v>
      </c>
      <c r="D155" s="85" t="s">
        <v>204</v>
      </c>
      <c r="E155" s="87">
        <v>0</v>
      </c>
      <c r="F155" s="88">
        <v>22469267.5</v>
      </c>
      <c r="G155" s="87">
        <v>0</v>
      </c>
      <c r="I155" s="87">
        <v>0</v>
      </c>
      <c r="K155" s="87">
        <v>0</v>
      </c>
      <c r="M155" s="87">
        <v>0</v>
      </c>
      <c r="O155" s="87">
        <v>0</v>
      </c>
      <c r="P155" s="88">
        <v>25493988.499999996</v>
      </c>
      <c r="Q155" s="87">
        <v>0</v>
      </c>
      <c r="R155" s="87">
        <f t="shared" si="36"/>
        <v>91</v>
      </c>
      <c r="T155" s="87">
        <v>0</v>
      </c>
      <c r="V155" s="87">
        <v>0</v>
      </c>
      <c r="X155" s="87">
        <v>0</v>
      </c>
      <c r="Y155" s="88">
        <v>28160542.500000004</v>
      </c>
      <c r="Z155" s="87">
        <v>0</v>
      </c>
      <c r="AA155" s="87">
        <v>91</v>
      </c>
      <c r="AB155" s="89">
        <f t="shared" si="37"/>
        <v>0</v>
      </c>
      <c r="AC155" s="89">
        <f t="shared" si="38"/>
        <v>0</v>
      </c>
      <c r="AD155" s="89">
        <f t="shared" si="39"/>
        <v>0</v>
      </c>
      <c r="AE155" s="90">
        <f t="shared" si="40"/>
        <v>0</v>
      </c>
      <c r="AF155" s="90" t="str">
        <f t="shared" si="41"/>
        <v/>
      </c>
      <c r="AG155" s="90">
        <f t="shared" si="42"/>
        <v>91</v>
      </c>
      <c r="AH155" s="90" t="str">
        <f t="shared" si="43"/>
        <v>2018 (triag)</v>
      </c>
      <c r="AI155" s="90">
        <f t="shared" si="44"/>
        <v>91</v>
      </c>
      <c r="AJ155" s="90" t="str">
        <f t="shared" si="45"/>
        <v>2018 (triag)</v>
      </c>
      <c r="AK155" s="90" t="str">
        <f t="shared" si="46"/>
        <v/>
      </c>
      <c r="AL155" s="91">
        <f>IF(AK155="Adjust",(_xlfn.XLOOKUP(A155,'Adj factor'!A:A,'Adj factor'!I:I,,0)*AI155),'Master DataSheet'!AI155)</f>
        <v>91</v>
      </c>
      <c r="AM155" s="91">
        <f t="shared" si="47"/>
        <v>91</v>
      </c>
      <c r="AN155" s="92" t="str">
        <f t="shared" si="48"/>
        <v>No change</v>
      </c>
      <c r="AO155" s="93">
        <f>VLOOKUP(B155,'Growthrates source'!A$2:H$49,8,FALSE)</f>
        <v>6.6569375282258259E-2</v>
      </c>
      <c r="AP155" s="93">
        <f>VLOOKUP(B155,'Growthrates source'!A$2:I$49,9,FALSE)</f>
        <v>5.4673730437993617E-2</v>
      </c>
      <c r="AQ155" s="86">
        <f t="shared" si="49"/>
        <v>65.236076085501423</v>
      </c>
      <c r="AR155" s="86">
        <f t="shared" si="50"/>
        <v>107.21977477727548</v>
      </c>
      <c r="AS155" s="94">
        <f t="shared" si="51"/>
        <v>0</v>
      </c>
      <c r="AT155" s="94">
        <f t="shared" si="52"/>
        <v>3.5694689357846074E-2</v>
      </c>
      <c r="AU155" s="94">
        <f t="shared" si="53"/>
        <v>3.2314718368795625E-2</v>
      </c>
    </row>
    <row r="156" spans="1:47" x14ac:dyDescent="0.3">
      <c r="A156" s="85" t="str">
        <f>_xlfn.XLOOKUP(B156,'Country codes &amp; Data sources'!G:G,'Country codes &amp; Data sources'!H:H,,0)</f>
        <v>Cote d'Ivoire</v>
      </c>
      <c r="B156" s="85" t="s">
        <v>166</v>
      </c>
      <c r="C156" s="86">
        <v>22010721.5</v>
      </c>
      <c r="D156" s="85" t="s">
        <v>205</v>
      </c>
      <c r="E156" s="87">
        <v>0</v>
      </c>
      <c r="F156" s="88">
        <v>22469267.5</v>
      </c>
      <c r="G156" s="87">
        <v>0</v>
      </c>
      <c r="I156" s="87">
        <v>190</v>
      </c>
      <c r="K156" s="87">
        <v>0</v>
      </c>
      <c r="M156" s="87">
        <v>0</v>
      </c>
      <c r="O156" s="87">
        <v>0</v>
      </c>
      <c r="P156" s="88">
        <v>25493988.499999996</v>
      </c>
      <c r="Q156" s="87">
        <v>0</v>
      </c>
      <c r="R156" s="87">
        <f t="shared" si="36"/>
        <v>0</v>
      </c>
      <c r="T156" s="87">
        <v>40</v>
      </c>
      <c r="V156" s="87">
        <v>0</v>
      </c>
      <c r="X156" s="87">
        <v>0</v>
      </c>
      <c r="Y156" s="88">
        <v>28160542.500000004</v>
      </c>
      <c r="Z156" s="87">
        <v>0</v>
      </c>
      <c r="AA156" s="87">
        <v>0</v>
      </c>
      <c r="AB156" s="89">
        <f t="shared" si="37"/>
        <v>190</v>
      </c>
      <c r="AC156" s="89">
        <f t="shared" si="38"/>
        <v>40</v>
      </c>
      <c r="AD156" s="89">
        <f t="shared" si="39"/>
        <v>0</v>
      </c>
      <c r="AE156" s="90">
        <f t="shared" si="40"/>
        <v>190</v>
      </c>
      <c r="AF156" s="90">
        <f t="shared" si="41"/>
        <v>2014</v>
      </c>
      <c r="AG156" s="90">
        <f t="shared" si="42"/>
        <v>40</v>
      </c>
      <c r="AH156" s="90">
        <f t="shared" si="43"/>
        <v>2019</v>
      </c>
      <c r="AI156" s="90">
        <f t="shared" si="44"/>
        <v>40</v>
      </c>
      <c r="AJ156" s="90">
        <f t="shared" si="45"/>
        <v>2019</v>
      </c>
      <c r="AK156" s="90" t="str">
        <f t="shared" si="46"/>
        <v/>
      </c>
      <c r="AL156" s="91">
        <f>IF(AK156="Adjust",(_xlfn.XLOOKUP(A156,'Adj factor'!A:A,'Adj factor'!I:I,,0)*AI156),'Master DataSheet'!AI156)</f>
        <v>40</v>
      </c>
      <c r="AM156" s="91">
        <f t="shared" si="47"/>
        <v>40</v>
      </c>
      <c r="AN156" s="92" t="str">
        <f t="shared" si="48"/>
        <v>No change</v>
      </c>
      <c r="AO156" s="93">
        <f>VLOOKUP(B156,'Growthrates source'!A$2:H$49,8,FALSE)</f>
        <v>6.6569375282258259E-2</v>
      </c>
      <c r="AP156" s="93">
        <f>VLOOKUP(B156,'Growthrates source'!A$2:I$49,9,FALSE)</f>
        <v>5.4673730437993617E-2</v>
      </c>
      <c r="AQ156" s="86">
        <f t="shared" si="49"/>
        <v>0</v>
      </c>
      <c r="AR156" s="86">
        <f t="shared" si="50"/>
        <v>0</v>
      </c>
      <c r="AS156" s="94">
        <f t="shared" si="51"/>
        <v>8.4559943932306647E-2</v>
      </c>
      <c r="AT156" s="94">
        <f t="shared" si="52"/>
        <v>1.5689973344108165E-2</v>
      </c>
      <c r="AU156" s="94">
        <f t="shared" si="53"/>
        <v>1.4204271810459615E-2</v>
      </c>
    </row>
    <row r="157" spans="1:47" x14ac:dyDescent="0.3">
      <c r="A157" s="85" t="str">
        <f>_xlfn.XLOOKUP(B157,'Country codes &amp; Data sources'!G:G,'Country codes &amp; Data sources'!H:H,,0)</f>
        <v>Cote d'Ivoire</v>
      </c>
      <c r="B157" s="85" t="s">
        <v>166</v>
      </c>
      <c r="C157" s="86">
        <v>22010722.5</v>
      </c>
      <c r="D157" s="85" t="s">
        <v>133</v>
      </c>
      <c r="E157" s="87">
        <v>0</v>
      </c>
      <c r="F157" s="88">
        <v>22469267.5</v>
      </c>
      <c r="G157" s="87">
        <v>0</v>
      </c>
      <c r="I157" s="87">
        <v>2380</v>
      </c>
      <c r="K157" s="87">
        <v>0</v>
      </c>
      <c r="M157" s="87">
        <v>0</v>
      </c>
      <c r="O157" s="87">
        <v>0</v>
      </c>
      <c r="P157" s="88">
        <v>25493988.499999996</v>
      </c>
      <c r="Q157" s="87">
        <v>0</v>
      </c>
      <c r="R157" s="87">
        <f t="shared" si="36"/>
        <v>497</v>
      </c>
      <c r="T157" s="87">
        <v>0</v>
      </c>
      <c r="V157" s="87">
        <v>0</v>
      </c>
      <c r="X157" s="87">
        <v>0</v>
      </c>
      <c r="Y157" s="88">
        <v>28160542.500000004</v>
      </c>
      <c r="Z157" s="87">
        <v>0</v>
      </c>
      <c r="AA157" s="87">
        <v>497</v>
      </c>
      <c r="AB157" s="89">
        <f t="shared" si="37"/>
        <v>2380</v>
      </c>
      <c r="AC157" s="89">
        <f t="shared" si="38"/>
        <v>0</v>
      </c>
      <c r="AD157" s="89">
        <f t="shared" si="39"/>
        <v>0</v>
      </c>
      <c r="AE157" s="90">
        <f t="shared" si="40"/>
        <v>2380</v>
      </c>
      <c r="AF157" s="90">
        <f t="shared" si="41"/>
        <v>2014</v>
      </c>
      <c r="AG157" s="90">
        <f t="shared" si="42"/>
        <v>497</v>
      </c>
      <c r="AH157" s="90" t="str">
        <f t="shared" si="43"/>
        <v>2018 (triag)</v>
      </c>
      <c r="AI157" s="90">
        <f t="shared" si="44"/>
        <v>497</v>
      </c>
      <c r="AJ157" s="90" t="str">
        <f t="shared" si="45"/>
        <v>2018 (triag)</v>
      </c>
      <c r="AK157" s="90" t="str">
        <f t="shared" si="46"/>
        <v/>
      </c>
      <c r="AL157" s="91">
        <f>IF(AK157="Adjust",(_xlfn.XLOOKUP(A157,'Adj factor'!A:A,'Adj factor'!I:I,,0)*AI157),'Master DataSheet'!AI157)</f>
        <v>497</v>
      </c>
      <c r="AM157" s="91">
        <f t="shared" si="47"/>
        <v>497</v>
      </c>
      <c r="AN157" s="92" t="str">
        <f t="shared" si="48"/>
        <v>No change</v>
      </c>
      <c r="AO157" s="93">
        <f>VLOOKUP(B157,'Growthrates source'!A$2:H$49,8,FALSE)</f>
        <v>6.6569375282258259E-2</v>
      </c>
      <c r="AP157" s="93">
        <f>VLOOKUP(B157,'Growthrates source'!A$2:I$49,9,FALSE)</f>
        <v>5.4673730437993617E-2</v>
      </c>
      <c r="AQ157" s="86">
        <f t="shared" si="49"/>
        <v>356.28933862081544</v>
      </c>
      <c r="AR157" s="86">
        <f t="shared" si="50"/>
        <v>585.58492378358142</v>
      </c>
      <c r="AS157" s="94">
        <f t="shared" si="51"/>
        <v>1.0592245608362623</v>
      </c>
      <c r="AT157" s="94">
        <f t="shared" si="52"/>
        <v>0.19494791880054393</v>
      </c>
      <c r="AU157" s="94">
        <f t="shared" si="53"/>
        <v>0.17648807724496071</v>
      </c>
    </row>
    <row r="158" spans="1:47" x14ac:dyDescent="0.3">
      <c r="A158" s="85" t="str">
        <f>_xlfn.XLOOKUP(B158,'Country codes &amp; Data sources'!G:G,'Country codes &amp; Data sources'!H:H,,0)</f>
        <v>Cote d'Ivoire</v>
      </c>
      <c r="B158" s="85" t="s">
        <v>166</v>
      </c>
      <c r="C158" s="86">
        <v>22010723.5</v>
      </c>
      <c r="D158" s="85" t="s">
        <v>206</v>
      </c>
      <c r="E158" s="87">
        <v>0</v>
      </c>
      <c r="F158" s="88">
        <v>22469267.5</v>
      </c>
      <c r="G158" s="87">
        <v>0</v>
      </c>
      <c r="I158" s="87">
        <v>0</v>
      </c>
      <c r="K158" s="87">
        <v>0</v>
      </c>
      <c r="M158" s="87">
        <v>0</v>
      </c>
      <c r="O158" s="87">
        <v>0</v>
      </c>
      <c r="P158" s="88">
        <v>25493988.499999996</v>
      </c>
      <c r="Q158" s="87">
        <v>0</v>
      </c>
      <c r="R158" s="87">
        <f t="shared" si="36"/>
        <v>242</v>
      </c>
      <c r="T158" s="87">
        <v>0</v>
      </c>
      <c r="V158" s="87">
        <v>0</v>
      </c>
      <c r="X158" s="87">
        <v>0</v>
      </c>
      <c r="Y158" s="88">
        <v>28160542.500000004</v>
      </c>
      <c r="Z158" s="87">
        <v>0</v>
      </c>
      <c r="AA158" s="87">
        <v>242</v>
      </c>
      <c r="AB158" s="89">
        <f t="shared" si="37"/>
        <v>0</v>
      </c>
      <c r="AC158" s="89">
        <f t="shared" si="38"/>
        <v>0</v>
      </c>
      <c r="AD158" s="89">
        <f t="shared" si="39"/>
        <v>0</v>
      </c>
      <c r="AE158" s="90">
        <f t="shared" si="40"/>
        <v>0</v>
      </c>
      <c r="AF158" s="90" t="str">
        <f t="shared" si="41"/>
        <v/>
      </c>
      <c r="AG158" s="90">
        <f t="shared" si="42"/>
        <v>242</v>
      </c>
      <c r="AH158" s="90" t="str">
        <f t="shared" si="43"/>
        <v>2018 (triag)</v>
      </c>
      <c r="AI158" s="90">
        <f t="shared" si="44"/>
        <v>242</v>
      </c>
      <c r="AJ158" s="90" t="str">
        <f t="shared" si="45"/>
        <v>2018 (triag)</v>
      </c>
      <c r="AK158" s="90" t="str">
        <f t="shared" si="46"/>
        <v/>
      </c>
      <c r="AL158" s="91">
        <f>IF(AK158="Adjust",(_xlfn.XLOOKUP(A158,'Adj factor'!A:A,'Adj factor'!I:I,,0)*AI158),'Master DataSheet'!AI158)</f>
        <v>242</v>
      </c>
      <c r="AM158" s="91">
        <f t="shared" si="47"/>
        <v>242</v>
      </c>
      <c r="AN158" s="92" t="str">
        <f t="shared" si="48"/>
        <v>No change</v>
      </c>
      <c r="AO158" s="93">
        <f>VLOOKUP(B158,'Growthrates source'!A$2:H$49,8,FALSE)</f>
        <v>6.6569375282258259E-2</v>
      </c>
      <c r="AP158" s="93">
        <f>VLOOKUP(B158,'Growthrates source'!A$2:I$49,9,FALSE)</f>
        <v>5.4673730437993617E-2</v>
      </c>
      <c r="AQ158" s="86">
        <f t="shared" si="49"/>
        <v>173.48494959001476</v>
      </c>
      <c r="AR158" s="86">
        <f t="shared" si="50"/>
        <v>285.13390655055673</v>
      </c>
      <c r="AS158" s="94">
        <f t="shared" si="51"/>
        <v>0</v>
      </c>
      <c r="AT158" s="94">
        <f t="shared" si="52"/>
        <v>9.4924338731854394E-2</v>
      </c>
      <c r="AU158" s="94">
        <f t="shared" si="53"/>
        <v>8.5935844453280674E-2</v>
      </c>
    </row>
    <row r="159" spans="1:47" x14ac:dyDescent="0.3">
      <c r="A159" s="85" t="str">
        <f>_xlfn.XLOOKUP(B159,'Country codes &amp; Data sources'!G:G,'Country codes &amp; Data sources'!H:H,,0)</f>
        <v>Cote d'Ivoire</v>
      </c>
      <c r="B159" s="85" t="s">
        <v>166</v>
      </c>
      <c r="C159" s="86">
        <v>22010724.5</v>
      </c>
      <c r="D159" s="85" t="s">
        <v>136</v>
      </c>
      <c r="E159" s="87">
        <v>0</v>
      </c>
      <c r="F159" s="88">
        <v>22469267.5</v>
      </c>
      <c r="G159" s="87">
        <v>0</v>
      </c>
      <c r="I159" s="87">
        <v>820</v>
      </c>
      <c r="K159" s="87">
        <v>0</v>
      </c>
      <c r="M159" s="87">
        <v>0</v>
      </c>
      <c r="O159" s="87">
        <v>0</v>
      </c>
      <c r="P159" s="88">
        <v>25493988.499999996</v>
      </c>
      <c r="Q159" s="87">
        <v>0</v>
      </c>
      <c r="R159" s="87">
        <f t="shared" si="36"/>
        <v>3103</v>
      </c>
      <c r="T159" s="87">
        <v>0</v>
      </c>
      <c r="V159" s="87">
        <v>0</v>
      </c>
      <c r="X159" s="87">
        <v>0</v>
      </c>
      <c r="Y159" s="88">
        <v>28160542.500000004</v>
      </c>
      <c r="Z159" s="87">
        <v>0</v>
      </c>
      <c r="AA159" s="87">
        <v>3103</v>
      </c>
      <c r="AB159" s="89">
        <f t="shared" si="37"/>
        <v>820</v>
      </c>
      <c r="AC159" s="89">
        <f t="shared" si="38"/>
        <v>0</v>
      </c>
      <c r="AD159" s="89">
        <f t="shared" si="39"/>
        <v>0</v>
      </c>
      <c r="AE159" s="90">
        <f t="shared" si="40"/>
        <v>820</v>
      </c>
      <c r="AF159" s="90">
        <f t="shared" si="41"/>
        <v>2014</v>
      </c>
      <c r="AG159" s="90">
        <f t="shared" si="42"/>
        <v>3103</v>
      </c>
      <c r="AH159" s="90" t="str">
        <f t="shared" si="43"/>
        <v>2018 (triag)</v>
      </c>
      <c r="AI159" s="90">
        <f t="shared" si="44"/>
        <v>3103</v>
      </c>
      <c r="AJ159" s="90" t="str">
        <f t="shared" si="45"/>
        <v>2018 (triag)</v>
      </c>
      <c r="AK159" s="90" t="str">
        <f t="shared" si="46"/>
        <v/>
      </c>
      <c r="AL159" s="91">
        <f>IF(AK159="Adjust",(_xlfn.XLOOKUP(A159,'Adj factor'!A:A,'Adj factor'!I:I,,0)*AI159),'Master DataSheet'!AI159)</f>
        <v>3103</v>
      </c>
      <c r="AM159" s="91">
        <f t="shared" si="47"/>
        <v>3103</v>
      </c>
      <c r="AN159" s="92" t="str">
        <f t="shared" si="48"/>
        <v>No change</v>
      </c>
      <c r="AO159" s="93">
        <f>VLOOKUP(B159,'Growthrates source'!A$2:H$49,8,FALSE)</f>
        <v>6.6569375282258259E-2</v>
      </c>
      <c r="AP159" s="93">
        <f>VLOOKUP(B159,'Growthrates source'!A$2:I$49,9,FALSE)</f>
        <v>5.4673730437993617E-2</v>
      </c>
      <c r="AQ159" s="86">
        <f t="shared" si="49"/>
        <v>2224.4785065198998</v>
      </c>
      <c r="AR159" s="86">
        <f t="shared" si="50"/>
        <v>3656.0764959767671</v>
      </c>
      <c r="AS159" s="94">
        <f t="shared" si="51"/>
        <v>0.36494291591837608</v>
      </c>
      <c r="AT159" s="94">
        <f t="shared" si="52"/>
        <v>1.2171496821691907</v>
      </c>
      <c r="AU159" s="94">
        <f t="shared" si="53"/>
        <v>1.1018963856964046</v>
      </c>
    </row>
    <row r="160" spans="1:47" x14ac:dyDescent="0.3">
      <c r="A160" s="85" t="str">
        <f>_xlfn.XLOOKUP(B160,'Country codes &amp; Data sources'!G:G,'Country codes &amp; Data sources'!H:H,,0)</f>
        <v>Cote d'Ivoire</v>
      </c>
      <c r="B160" s="85" t="s">
        <v>166</v>
      </c>
      <c r="C160" s="86">
        <v>22010725.5</v>
      </c>
      <c r="D160" s="85" t="s">
        <v>207</v>
      </c>
      <c r="E160" s="87">
        <v>0</v>
      </c>
      <c r="F160" s="88">
        <v>22469267.5</v>
      </c>
      <c r="G160" s="87">
        <v>0</v>
      </c>
      <c r="I160" s="87">
        <v>0</v>
      </c>
      <c r="K160" s="87">
        <v>0</v>
      </c>
      <c r="M160" s="87">
        <v>0</v>
      </c>
      <c r="O160" s="87">
        <v>0</v>
      </c>
      <c r="P160" s="88">
        <v>25493988.499999996</v>
      </c>
      <c r="Q160" s="87">
        <v>0</v>
      </c>
      <c r="R160" s="87">
        <f t="shared" si="36"/>
        <v>123</v>
      </c>
      <c r="T160" s="87">
        <v>0</v>
      </c>
      <c r="V160" s="87">
        <v>0</v>
      </c>
      <c r="X160" s="87">
        <v>0</v>
      </c>
      <c r="Y160" s="88">
        <v>28160542.500000004</v>
      </c>
      <c r="Z160" s="87">
        <v>0</v>
      </c>
      <c r="AA160" s="87">
        <v>123</v>
      </c>
      <c r="AB160" s="89">
        <f t="shared" si="37"/>
        <v>0</v>
      </c>
      <c r="AC160" s="89">
        <f t="shared" si="38"/>
        <v>0</v>
      </c>
      <c r="AD160" s="89">
        <f t="shared" si="39"/>
        <v>0</v>
      </c>
      <c r="AE160" s="90">
        <f t="shared" si="40"/>
        <v>0</v>
      </c>
      <c r="AF160" s="90" t="str">
        <f t="shared" si="41"/>
        <v/>
      </c>
      <c r="AG160" s="90">
        <f t="shared" si="42"/>
        <v>123</v>
      </c>
      <c r="AH160" s="90" t="str">
        <f t="shared" si="43"/>
        <v>2018 (triag)</v>
      </c>
      <c r="AI160" s="90">
        <f t="shared" si="44"/>
        <v>123</v>
      </c>
      <c r="AJ160" s="90" t="str">
        <f t="shared" si="45"/>
        <v>2018 (triag)</v>
      </c>
      <c r="AK160" s="90" t="str">
        <f t="shared" si="46"/>
        <v/>
      </c>
      <c r="AL160" s="91">
        <f>IF(AK160="Adjust",(_xlfn.XLOOKUP(A160,'Adj factor'!A:A,'Adj factor'!I:I,,0)*AI160),'Master DataSheet'!AI160)</f>
        <v>123</v>
      </c>
      <c r="AM160" s="91">
        <f t="shared" si="47"/>
        <v>123</v>
      </c>
      <c r="AN160" s="92" t="str">
        <f t="shared" si="48"/>
        <v>No change</v>
      </c>
      <c r="AO160" s="93">
        <f>VLOOKUP(B160,'Growthrates source'!A$2:H$49,8,FALSE)</f>
        <v>6.6569375282258259E-2</v>
      </c>
      <c r="AP160" s="93">
        <f>VLOOKUP(B160,'Growthrates source'!A$2:I$49,9,FALSE)</f>
        <v>5.4673730437993617E-2</v>
      </c>
      <c r="AQ160" s="86">
        <f t="shared" si="49"/>
        <v>88.176234708974448</v>
      </c>
      <c r="AR160" s="86">
        <f t="shared" si="50"/>
        <v>144.92343184181189</v>
      </c>
      <c r="AS160" s="94">
        <f t="shared" si="51"/>
        <v>0</v>
      </c>
      <c r="AT160" s="94">
        <f t="shared" si="52"/>
        <v>4.82466680331326E-2</v>
      </c>
      <c r="AU160" s="94">
        <f t="shared" si="53"/>
        <v>4.3678135817163316E-2</v>
      </c>
    </row>
    <row r="161" spans="1:47" x14ac:dyDescent="0.3">
      <c r="A161" s="85" t="str">
        <f>_xlfn.XLOOKUP(B161,'Country codes &amp; Data sources'!G:G,'Country codes &amp; Data sources'!H:H,,0)</f>
        <v>Cote d'Ivoire</v>
      </c>
      <c r="B161" s="85" t="s">
        <v>166</v>
      </c>
      <c r="C161" s="86">
        <v>22010726.5</v>
      </c>
      <c r="D161" s="85" t="s">
        <v>141</v>
      </c>
      <c r="E161" s="87">
        <v>0</v>
      </c>
      <c r="F161" s="88">
        <v>22469267.5</v>
      </c>
      <c r="G161" s="87">
        <v>0</v>
      </c>
      <c r="I161" s="87">
        <v>70</v>
      </c>
      <c r="K161" s="87">
        <v>0</v>
      </c>
      <c r="M161" s="87">
        <v>0</v>
      </c>
      <c r="O161" s="87">
        <v>0</v>
      </c>
      <c r="P161" s="88">
        <v>25493988.499999996</v>
      </c>
      <c r="Q161" s="87">
        <v>0</v>
      </c>
      <c r="R161" s="87">
        <f t="shared" si="36"/>
        <v>700</v>
      </c>
      <c r="T161" s="87">
        <v>0</v>
      </c>
      <c r="V161" s="87">
        <v>0</v>
      </c>
      <c r="X161" s="87">
        <v>0</v>
      </c>
      <c r="Y161" s="88">
        <v>28160542.500000004</v>
      </c>
      <c r="Z161" s="87">
        <v>0</v>
      </c>
      <c r="AA161" s="87">
        <v>700</v>
      </c>
      <c r="AB161" s="89">
        <f t="shared" si="37"/>
        <v>70</v>
      </c>
      <c r="AC161" s="89">
        <f t="shared" si="38"/>
        <v>0</v>
      </c>
      <c r="AD161" s="89">
        <f t="shared" si="39"/>
        <v>0</v>
      </c>
      <c r="AE161" s="90">
        <f t="shared" si="40"/>
        <v>70</v>
      </c>
      <c r="AF161" s="90">
        <f t="shared" si="41"/>
        <v>2014</v>
      </c>
      <c r="AG161" s="90">
        <f t="shared" si="42"/>
        <v>700</v>
      </c>
      <c r="AH161" s="90" t="str">
        <f t="shared" si="43"/>
        <v>2018 (triag)</v>
      </c>
      <c r="AI161" s="90">
        <f t="shared" si="44"/>
        <v>700</v>
      </c>
      <c r="AJ161" s="90" t="str">
        <f t="shared" si="45"/>
        <v>2018 (triag)</v>
      </c>
      <c r="AK161" s="90" t="str">
        <f t="shared" si="46"/>
        <v/>
      </c>
      <c r="AL161" s="91">
        <f>IF(AK161="Adjust",(_xlfn.XLOOKUP(A161,'Adj factor'!A:A,'Adj factor'!I:I,,0)*AI161),'Master DataSheet'!AI161)</f>
        <v>700</v>
      </c>
      <c r="AM161" s="91">
        <f t="shared" si="47"/>
        <v>700</v>
      </c>
      <c r="AN161" s="92" t="str">
        <f t="shared" si="48"/>
        <v>No change</v>
      </c>
      <c r="AO161" s="93">
        <f>VLOOKUP(B161,'Growthrates source'!A$2:H$49,8,FALSE)</f>
        <v>6.6569375282258259E-2</v>
      </c>
      <c r="AP161" s="93">
        <f>VLOOKUP(B161,'Growthrates source'!A$2:I$49,9,FALSE)</f>
        <v>5.4673730437993617E-2</v>
      </c>
      <c r="AQ161" s="86">
        <f t="shared" si="49"/>
        <v>501.81596988847247</v>
      </c>
      <c r="AR161" s="86">
        <f t="shared" si="50"/>
        <v>824.76749828673439</v>
      </c>
      <c r="AS161" s="94">
        <f t="shared" si="51"/>
        <v>3.1153663554007713E-2</v>
      </c>
      <c r="AT161" s="94">
        <f t="shared" si="52"/>
        <v>0.27457453352189287</v>
      </c>
      <c r="AU161" s="94">
        <f t="shared" si="53"/>
        <v>0.24857475668304327</v>
      </c>
    </row>
    <row r="162" spans="1:47" x14ac:dyDescent="0.3">
      <c r="A162" s="85" t="str">
        <f>_xlfn.XLOOKUP(B162,'Country codes &amp; Data sources'!G:G,'Country codes &amp; Data sources'!H:H,,0)</f>
        <v>Cote d'Ivoire</v>
      </c>
      <c r="B162" s="85" t="s">
        <v>166</v>
      </c>
      <c r="C162" s="86">
        <v>22010727.5</v>
      </c>
      <c r="D162" s="85" t="s">
        <v>208</v>
      </c>
      <c r="E162" s="87">
        <v>0</v>
      </c>
      <c r="F162" s="88">
        <v>22469267.5</v>
      </c>
      <c r="G162" s="87">
        <v>0</v>
      </c>
      <c r="I162" s="87">
        <v>0</v>
      </c>
      <c r="K162" s="87">
        <v>0</v>
      </c>
      <c r="M162" s="87">
        <v>0</v>
      </c>
      <c r="O162" s="87">
        <v>0</v>
      </c>
      <c r="P162" s="88">
        <v>25493988.499999996</v>
      </c>
      <c r="Q162" s="87">
        <v>0</v>
      </c>
      <c r="R162" s="87">
        <f t="shared" si="36"/>
        <v>139</v>
      </c>
      <c r="T162" s="87">
        <v>0</v>
      </c>
      <c r="V162" s="87">
        <v>0</v>
      </c>
      <c r="X162" s="87">
        <v>0</v>
      </c>
      <c r="Y162" s="88">
        <v>28160542.500000004</v>
      </c>
      <c r="Z162" s="87">
        <v>0</v>
      </c>
      <c r="AA162" s="87">
        <v>139</v>
      </c>
      <c r="AB162" s="89">
        <f t="shared" si="37"/>
        <v>0</v>
      </c>
      <c r="AC162" s="89">
        <f t="shared" si="38"/>
        <v>0</v>
      </c>
      <c r="AD162" s="89">
        <f t="shared" si="39"/>
        <v>0</v>
      </c>
      <c r="AE162" s="90">
        <f t="shared" si="40"/>
        <v>0</v>
      </c>
      <c r="AF162" s="90" t="str">
        <f t="shared" si="41"/>
        <v/>
      </c>
      <c r="AG162" s="90">
        <f t="shared" si="42"/>
        <v>139</v>
      </c>
      <c r="AH162" s="90" t="str">
        <f t="shared" si="43"/>
        <v>2018 (triag)</v>
      </c>
      <c r="AI162" s="90">
        <f t="shared" si="44"/>
        <v>139</v>
      </c>
      <c r="AJ162" s="90" t="str">
        <f t="shared" si="45"/>
        <v>2018 (triag)</v>
      </c>
      <c r="AK162" s="90" t="str">
        <f t="shared" si="46"/>
        <v/>
      </c>
      <c r="AL162" s="91">
        <f>IF(AK162="Adjust",(_xlfn.XLOOKUP(A162,'Adj factor'!A:A,'Adj factor'!I:I,,0)*AI162),'Master DataSheet'!AI162)</f>
        <v>139</v>
      </c>
      <c r="AM162" s="91">
        <f t="shared" si="47"/>
        <v>139</v>
      </c>
      <c r="AN162" s="92" t="str">
        <f t="shared" si="48"/>
        <v>No change</v>
      </c>
      <c r="AO162" s="93">
        <f>VLOOKUP(B162,'Growthrates source'!A$2:H$49,8,FALSE)</f>
        <v>6.6569375282258259E-2</v>
      </c>
      <c r="AP162" s="93">
        <f>VLOOKUP(B162,'Growthrates source'!A$2:I$49,9,FALSE)</f>
        <v>5.4673730437993617E-2</v>
      </c>
      <c r="AQ162" s="86">
        <f t="shared" si="49"/>
        <v>99.64631402071096</v>
      </c>
      <c r="AR162" s="86">
        <f t="shared" si="50"/>
        <v>163.77526037408012</v>
      </c>
      <c r="AS162" s="94">
        <f t="shared" si="51"/>
        <v>0</v>
      </c>
      <c r="AT162" s="94">
        <f t="shared" si="52"/>
        <v>5.452265737077587E-2</v>
      </c>
      <c r="AU162" s="94">
        <f t="shared" si="53"/>
        <v>4.9359844541347161E-2</v>
      </c>
    </row>
    <row r="163" spans="1:47" x14ac:dyDescent="0.3">
      <c r="A163" s="85" t="str">
        <f>_xlfn.XLOOKUP(B163,'Country codes &amp; Data sources'!G:G,'Country codes &amp; Data sources'!H:H,,0)</f>
        <v>Cote d'Ivoire</v>
      </c>
      <c r="B163" s="85" t="s">
        <v>166</v>
      </c>
      <c r="C163" s="86">
        <v>22010728.5</v>
      </c>
      <c r="D163" s="85" t="s">
        <v>209</v>
      </c>
      <c r="E163" s="87">
        <v>0</v>
      </c>
      <c r="F163" s="88">
        <v>22469267.5</v>
      </c>
      <c r="G163" s="87">
        <v>0</v>
      </c>
      <c r="I163" s="87">
        <v>0</v>
      </c>
      <c r="K163" s="87">
        <v>0</v>
      </c>
      <c r="M163" s="87">
        <v>0</v>
      </c>
      <c r="O163" s="87">
        <v>0</v>
      </c>
      <c r="P163" s="88">
        <v>25493988.499999996</v>
      </c>
      <c r="Q163" s="87">
        <v>0</v>
      </c>
      <c r="R163" s="87">
        <f t="shared" si="36"/>
        <v>14</v>
      </c>
      <c r="T163" s="87">
        <v>3470</v>
      </c>
      <c r="V163" s="87">
        <v>0</v>
      </c>
      <c r="X163" s="87">
        <v>0</v>
      </c>
      <c r="Y163" s="88">
        <v>28160542.500000004</v>
      </c>
      <c r="Z163" s="87">
        <v>0</v>
      </c>
      <c r="AA163" s="87">
        <v>14</v>
      </c>
      <c r="AB163" s="89">
        <f t="shared" si="37"/>
        <v>0</v>
      </c>
      <c r="AC163" s="89">
        <f t="shared" si="38"/>
        <v>3470</v>
      </c>
      <c r="AD163" s="89">
        <f t="shared" si="39"/>
        <v>0</v>
      </c>
      <c r="AE163" s="90">
        <f t="shared" si="40"/>
        <v>0</v>
      </c>
      <c r="AF163" s="90" t="str">
        <f t="shared" si="41"/>
        <v/>
      </c>
      <c r="AG163" s="90">
        <f t="shared" si="42"/>
        <v>14</v>
      </c>
      <c r="AH163" s="90" t="str">
        <f t="shared" si="43"/>
        <v>2018 (triag)</v>
      </c>
      <c r="AI163" s="90">
        <f t="shared" si="44"/>
        <v>3470</v>
      </c>
      <c r="AJ163" s="90" t="str">
        <f t="shared" si="45"/>
        <v>2018 (triag)</v>
      </c>
      <c r="AK163" s="90" t="str">
        <f t="shared" si="46"/>
        <v/>
      </c>
      <c r="AL163" s="91">
        <f>IF(AK163="Adjust",(_xlfn.XLOOKUP(A163,'Adj factor'!A:A,'Adj factor'!I:I,,0)*AI163),'Master DataSheet'!AI163)</f>
        <v>3470</v>
      </c>
      <c r="AM163" s="91">
        <f t="shared" si="47"/>
        <v>3470</v>
      </c>
      <c r="AN163" s="92" t="str">
        <f t="shared" si="48"/>
        <v>Increasing</v>
      </c>
      <c r="AO163" s="93">
        <f>VLOOKUP(B163,'Growthrates source'!A$2:H$49,8,FALSE)</f>
        <v>6.6569375282258259E-2</v>
      </c>
      <c r="AP163" s="93">
        <f>VLOOKUP(B163,'Growthrates source'!A$2:I$49,9,FALSE)</f>
        <v>5.4673730437993617E-2</v>
      </c>
      <c r="AQ163" s="86">
        <f t="shared" si="49"/>
        <v>10.03631939776945</v>
      </c>
      <c r="AR163" s="86">
        <f t="shared" si="50"/>
        <v>16.49534996573469</v>
      </c>
      <c r="AS163" s="94">
        <f t="shared" si="51"/>
        <v>0</v>
      </c>
      <c r="AT163" s="94">
        <f t="shared" si="52"/>
        <v>5.4914906704378571E-3</v>
      </c>
      <c r="AU163" s="94">
        <f t="shared" si="53"/>
        <v>1.2322205795573717</v>
      </c>
    </row>
    <row r="164" spans="1:47" x14ac:dyDescent="0.3">
      <c r="A164" s="85" t="str">
        <f>_xlfn.XLOOKUP(B164,'Country codes &amp; Data sources'!G:G,'Country codes &amp; Data sources'!H:H,,0)</f>
        <v>Cote d'Ivoire</v>
      </c>
      <c r="B164" s="85" t="s">
        <v>166</v>
      </c>
      <c r="C164" s="86">
        <v>22010729.5</v>
      </c>
      <c r="D164" s="85" t="s">
        <v>134</v>
      </c>
      <c r="E164" s="87">
        <v>0</v>
      </c>
      <c r="F164" s="88">
        <v>22469267.5</v>
      </c>
      <c r="G164" s="87">
        <v>0</v>
      </c>
      <c r="I164" s="87">
        <v>1600</v>
      </c>
      <c r="K164" s="87">
        <v>0</v>
      </c>
      <c r="M164" s="87">
        <v>0</v>
      </c>
      <c r="O164" s="87">
        <v>0</v>
      </c>
      <c r="P164" s="88">
        <v>25493988.499999996</v>
      </c>
      <c r="Q164" s="87">
        <v>0</v>
      </c>
      <c r="R164" s="87">
        <f t="shared" si="36"/>
        <v>0</v>
      </c>
      <c r="T164" s="87">
        <v>0</v>
      </c>
      <c r="V164" s="87">
        <v>0</v>
      </c>
      <c r="X164" s="87">
        <v>0</v>
      </c>
      <c r="Y164" s="88">
        <v>28160542.500000004</v>
      </c>
      <c r="Z164" s="87">
        <v>0</v>
      </c>
      <c r="AA164" s="87">
        <v>0</v>
      </c>
      <c r="AB164" s="89">
        <f t="shared" si="37"/>
        <v>1600</v>
      </c>
      <c r="AC164" s="89">
        <f t="shared" si="38"/>
        <v>0</v>
      </c>
      <c r="AD164" s="89">
        <f t="shared" si="39"/>
        <v>0</v>
      </c>
      <c r="AE164" s="90">
        <f t="shared" si="40"/>
        <v>1600</v>
      </c>
      <c r="AF164" s="90">
        <f t="shared" si="41"/>
        <v>2014</v>
      </c>
      <c r="AG164" s="90">
        <f t="shared" si="42"/>
        <v>0</v>
      </c>
      <c r="AH164" s="90" t="str">
        <f t="shared" si="43"/>
        <v/>
      </c>
      <c r="AI164" s="90">
        <f t="shared" si="44"/>
        <v>0</v>
      </c>
      <c r="AJ164" s="90" t="str">
        <f t="shared" si="45"/>
        <v/>
      </c>
      <c r="AK164" s="90" t="str">
        <f t="shared" si="46"/>
        <v/>
      </c>
      <c r="AL164" s="91">
        <f>IF(AK164="Adjust",(_xlfn.XLOOKUP(A164,'Adj factor'!A:A,'Adj factor'!I:I,,0)*AI164),'Master DataSheet'!AI164)</f>
        <v>0</v>
      </c>
      <c r="AM164" s="91">
        <f t="shared" si="47"/>
        <v>0</v>
      </c>
      <c r="AN164" s="92" t="str">
        <f t="shared" si="48"/>
        <v>No change</v>
      </c>
      <c r="AO164" s="93">
        <f>VLOOKUP(B164,'Growthrates source'!A$2:H$49,8,FALSE)</f>
        <v>6.6569375282258259E-2</v>
      </c>
      <c r="AP164" s="93">
        <f>VLOOKUP(B164,'Growthrates source'!A$2:I$49,9,FALSE)</f>
        <v>5.4673730437993617E-2</v>
      </c>
      <c r="AQ164" s="86">
        <f t="shared" si="49"/>
        <v>0</v>
      </c>
      <c r="AR164" s="86">
        <f t="shared" si="50"/>
        <v>0</v>
      </c>
      <c r="AS164" s="94">
        <f t="shared" si="51"/>
        <v>0.7120837383773192</v>
      </c>
      <c r="AT164" s="94">
        <f t="shared" si="52"/>
        <v>0</v>
      </c>
      <c r="AU164" s="94">
        <f t="shared" si="53"/>
        <v>0</v>
      </c>
    </row>
    <row r="165" spans="1:47" x14ac:dyDescent="0.3">
      <c r="A165" s="85" t="str">
        <f>_xlfn.XLOOKUP(B165,'Country codes &amp; Data sources'!G:G,'Country codes &amp; Data sources'!H:H,,0)</f>
        <v>Cote d'Ivoire</v>
      </c>
      <c r="B165" s="85" t="s">
        <v>166</v>
      </c>
      <c r="C165" s="86">
        <v>22010730.5</v>
      </c>
      <c r="D165" s="85" t="s">
        <v>142</v>
      </c>
      <c r="E165" s="87">
        <v>0</v>
      </c>
      <c r="F165" s="88">
        <v>22469267.5</v>
      </c>
      <c r="G165" s="87">
        <v>0</v>
      </c>
      <c r="I165" s="87">
        <v>0</v>
      </c>
      <c r="K165" s="87">
        <v>0</v>
      </c>
      <c r="M165" s="87">
        <v>0</v>
      </c>
      <c r="O165" s="87">
        <v>0</v>
      </c>
      <c r="P165" s="88">
        <v>25493988.499999996</v>
      </c>
      <c r="Q165" s="87">
        <v>0</v>
      </c>
      <c r="R165" s="87">
        <f t="shared" si="36"/>
        <v>21440</v>
      </c>
      <c r="T165" s="87">
        <v>0</v>
      </c>
      <c r="V165" s="87">
        <v>3734</v>
      </c>
      <c r="X165" s="87">
        <v>3480</v>
      </c>
      <c r="Y165" s="88">
        <v>28160542.500000004</v>
      </c>
      <c r="Z165" s="87">
        <v>3896</v>
      </c>
      <c r="AA165" s="87">
        <v>21440</v>
      </c>
      <c r="AB165" s="89">
        <f t="shared" si="37"/>
        <v>0</v>
      </c>
      <c r="AC165" s="89">
        <f t="shared" si="38"/>
        <v>0</v>
      </c>
      <c r="AD165" s="89">
        <f t="shared" si="39"/>
        <v>3896</v>
      </c>
      <c r="AE165" s="90">
        <f t="shared" si="40"/>
        <v>0</v>
      </c>
      <c r="AF165" s="90" t="str">
        <f t="shared" si="41"/>
        <v/>
      </c>
      <c r="AG165" s="90">
        <f t="shared" si="42"/>
        <v>21440</v>
      </c>
      <c r="AH165" s="90" t="str">
        <f t="shared" si="43"/>
        <v>2018 (triag)</v>
      </c>
      <c r="AI165" s="90">
        <f t="shared" si="44"/>
        <v>3896</v>
      </c>
      <c r="AJ165" s="90">
        <f t="shared" si="45"/>
        <v>2022</v>
      </c>
      <c r="AK165" s="90" t="str">
        <f t="shared" si="46"/>
        <v>Adjust</v>
      </c>
      <c r="AL165" s="91">
        <f>IF(AK165="Adjust",(_xlfn.XLOOKUP(A165,'Adj factor'!A:A,'Adj factor'!I:I,,0)*AI165),'Master DataSheet'!AI165)</f>
        <v>5000.434586781188</v>
      </c>
      <c r="AM165" s="91">
        <f t="shared" si="47"/>
        <v>21440</v>
      </c>
      <c r="AN165" s="92" t="str">
        <f t="shared" si="48"/>
        <v>Decreasing</v>
      </c>
      <c r="AO165" s="93">
        <f>VLOOKUP(B165,'Growthrates source'!A$2:H$49,8,FALSE)</f>
        <v>6.6569375282258259E-2</v>
      </c>
      <c r="AP165" s="93">
        <f>VLOOKUP(B165,'Growthrates source'!A$2:I$49,9,FALSE)</f>
        <v>5.4673730437993617E-2</v>
      </c>
      <c r="AQ165" s="86">
        <f t="shared" si="49"/>
        <v>15369.906277726928</v>
      </c>
      <c r="AR165" s="86">
        <f t="shared" si="50"/>
        <v>25261.450233239408</v>
      </c>
      <c r="AS165" s="94">
        <f t="shared" si="51"/>
        <v>0</v>
      </c>
      <c r="AT165" s="94">
        <f t="shared" si="52"/>
        <v>8.4098257124419753</v>
      </c>
      <c r="AU165" s="94">
        <f t="shared" si="53"/>
        <v>7.6134896904063538</v>
      </c>
    </row>
    <row r="166" spans="1:47" x14ac:dyDescent="0.3">
      <c r="A166" s="85" t="str">
        <f>_xlfn.XLOOKUP(B166,'Country codes &amp; Data sources'!G:G,'Country codes &amp; Data sources'!H:H,,0)</f>
        <v>Cote d'Ivoire</v>
      </c>
      <c r="B166" s="85" t="s">
        <v>166</v>
      </c>
      <c r="C166" s="86">
        <v>22010731.5</v>
      </c>
      <c r="D166" s="85" t="s">
        <v>83</v>
      </c>
      <c r="E166" s="87">
        <v>0</v>
      </c>
      <c r="F166" s="88">
        <v>22469267.5</v>
      </c>
      <c r="G166" s="87">
        <v>0</v>
      </c>
      <c r="I166" s="87">
        <v>60</v>
      </c>
      <c r="K166" s="87">
        <v>0</v>
      </c>
      <c r="M166" s="87">
        <v>0</v>
      </c>
      <c r="O166" s="87">
        <v>0</v>
      </c>
      <c r="P166" s="88">
        <v>25493988.499999996</v>
      </c>
      <c r="Q166" s="87">
        <v>0</v>
      </c>
      <c r="R166" s="87">
        <f t="shared" si="36"/>
        <v>151</v>
      </c>
      <c r="T166" s="87">
        <v>0</v>
      </c>
      <c r="V166" s="87">
        <v>0</v>
      </c>
      <c r="X166" s="87">
        <v>97</v>
      </c>
      <c r="Y166" s="88">
        <v>28160542.500000004</v>
      </c>
      <c r="Z166" s="87">
        <v>95</v>
      </c>
      <c r="AA166" s="87">
        <v>151</v>
      </c>
      <c r="AB166" s="89">
        <f t="shared" si="37"/>
        <v>60</v>
      </c>
      <c r="AC166" s="89">
        <f t="shared" si="38"/>
        <v>0</v>
      </c>
      <c r="AD166" s="89">
        <f t="shared" si="39"/>
        <v>97</v>
      </c>
      <c r="AE166" s="90">
        <f t="shared" si="40"/>
        <v>60</v>
      </c>
      <c r="AF166" s="90">
        <f t="shared" si="41"/>
        <v>2014</v>
      </c>
      <c r="AG166" s="90">
        <f t="shared" si="42"/>
        <v>151</v>
      </c>
      <c r="AH166" s="90" t="str">
        <f t="shared" si="43"/>
        <v>2018 (triag)</v>
      </c>
      <c r="AI166" s="90">
        <f t="shared" si="44"/>
        <v>95</v>
      </c>
      <c r="AJ166" s="90">
        <f t="shared" si="45"/>
        <v>2022</v>
      </c>
      <c r="AK166" s="90" t="str">
        <f t="shared" si="46"/>
        <v>Adjust</v>
      </c>
      <c r="AL166" s="91">
        <f>IF(AK166="Adjust",(_xlfn.XLOOKUP(A166,'Adj factor'!A:A,'Adj factor'!I:I,,0)*AI166),'Master DataSheet'!AI166)</f>
        <v>121.93051482140987</v>
      </c>
      <c r="AM166" s="91">
        <f t="shared" si="47"/>
        <v>151</v>
      </c>
      <c r="AN166" s="92" t="str">
        <f t="shared" si="48"/>
        <v>Decreasing</v>
      </c>
      <c r="AO166" s="93">
        <f>VLOOKUP(B166,'Growthrates source'!A$2:H$49,8,FALSE)</f>
        <v>6.6569375282258259E-2</v>
      </c>
      <c r="AP166" s="93">
        <f>VLOOKUP(B166,'Growthrates source'!A$2:I$49,9,FALSE)</f>
        <v>5.4673730437993617E-2</v>
      </c>
      <c r="AQ166" s="86">
        <f t="shared" si="49"/>
        <v>108.24887350451334</v>
      </c>
      <c r="AR166" s="86">
        <f t="shared" si="50"/>
        <v>177.91413177328127</v>
      </c>
      <c r="AS166" s="94">
        <f t="shared" si="51"/>
        <v>2.6703140189149467E-2</v>
      </c>
      <c r="AT166" s="94">
        <f t="shared" si="52"/>
        <v>5.922964937400832E-2</v>
      </c>
      <c r="AU166" s="94">
        <f t="shared" si="53"/>
        <v>5.3621126084485049E-2</v>
      </c>
    </row>
    <row r="167" spans="1:47" x14ac:dyDescent="0.3">
      <c r="A167" s="85" t="str">
        <f>_xlfn.XLOOKUP(B167,'Country codes &amp; Data sources'!G:G,'Country codes &amp; Data sources'!H:H,,0)</f>
        <v>Cote d'Ivoire</v>
      </c>
      <c r="B167" s="85" t="s">
        <v>166</v>
      </c>
      <c r="C167" s="86">
        <v>22010732.5</v>
      </c>
      <c r="D167" s="85" t="s">
        <v>84</v>
      </c>
      <c r="E167" s="87">
        <v>0</v>
      </c>
      <c r="F167" s="88">
        <v>22469267.5</v>
      </c>
      <c r="G167" s="87">
        <v>0</v>
      </c>
      <c r="I167" s="87">
        <v>0</v>
      </c>
      <c r="K167" s="87">
        <v>0</v>
      </c>
      <c r="M167" s="87">
        <v>0</v>
      </c>
      <c r="O167" s="87">
        <v>0</v>
      </c>
      <c r="P167" s="88">
        <v>25493988.499999996</v>
      </c>
      <c r="Q167" s="87">
        <v>0</v>
      </c>
      <c r="R167" s="87">
        <f t="shared" si="36"/>
        <v>0</v>
      </c>
      <c r="T167" s="87">
        <v>0</v>
      </c>
      <c r="V167" s="87">
        <v>0</v>
      </c>
      <c r="X167" s="87">
        <v>0</v>
      </c>
      <c r="Y167" s="88">
        <v>28160542.500000004</v>
      </c>
      <c r="Z167" s="87">
        <v>0</v>
      </c>
      <c r="AA167" s="87">
        <v>0</v>
      </c>
      <c r="AB167" s="89">
        <f t="shared" si="37"/>
        <v>0</v>
      </c>
      <c r="AC167" s="89">
        <f t="shared" si="38"/>
        <v>0</v>
      </c>
      <c r="AD167" s="89">
        <f t="shared" si="39"/>
        <v>0</v>
      </c>
      <c r="AE167" s="90">
        <f t="shared" si="40"/>
        <v>0</v>
      </c>
      <c r="AF167" s="90" t="str">
        <f t="shared" si="41"/>
        <v/>
      </c>
      <c r="AG167" s="90">
        <f t="shared" si="42"/>
        <v>0</v>
      </c>
      <c r="AH167" s="90" t="str">
        <f t="shared" si="43"/>
        <v/>
      </c>
      <c r="AI167" s="90">
        <f t="shared" si="44"/>
        <v>0</v>
      </c>
      <c r="AJ167" s="90" t="str">
        <f t="shared" si="45"/>
        <v/>
      </c>
      <c r="AK167" s="90" t="str">
        <f t="shared" si="46"/>
        <v/>
      </c>
      <c r="AL167" s="91">
        <f>IF(AK167="Adjust",(_xlfn.XLOOKUP(A167,'Adj factor'!A:A,'Adj factor'!I:I,,0)*AI167),'Master DataSheet'!AI167)</f>
        <v>0</v>
      </c>
      <c r="AM167" s="91">
        <f t="shared" si="47"/>
        <v>0</v>
      </c>
      <c r="AN167" s="92" t="str">
        <f t="shared" si="48"/>
        <v>No change</v>
      </c>
      <c r="AO167" s="93">
        <f>VLOOKUP(B167,'Growthrates source'!A$2:H$49,8,FALSE)</f>
        <v>6.6569375282258259E-2</v>
      </c>
      <c r="AP167" s="93">
        <f>VLOOKUP(B167,'Growthrates source'!A$2:I$49,9,FALSE)</f>
        <v>5.4673730437993617E-2</v>
      </c>
      <c r="AQ167" s="86">
        <f t="shared" si="49"/>
        <v>0</v>
      </c>
      <c r="AR167" s="86">
        <f t="shared" si="50"/>
        <v>0</v>
      </c>
      <c r="AS167" s="94">
        <f t="shared" si="51"/>
        <v>0</v>
      </c>
      <c r="AT167" s="94">
        <f t="shared" si="52"/>
        <v>0</v>
      </c>
      <c r="AU167" s="94">
        <f t="shared" si="53"/>
        <v>0</v>
      </c>
    </row>
    <row r="168" spans="1:47" x14ac:dyDescent="0.3">
      <c r="A168" s="85" t="str">
        <f>_xlfn.XLOOKUP(B168,'Country codes &amp; Data sources'!G:G,'Country codes &amp; Data sources'!H:H,,0)</f>
        <v>Cote d'Ivoire</v>
      </c>
      <c r="B168" s="85" t="s">
        <v>166</v>
      </c>
      <c r="C168" s="86">
        <v>22010733.5</v>
      </c>
      <c r="D168" s="85" t="s">
        <v>126</v>
      </c>
      <c r="E168" s="87">
        <v>0</v>
      </c>
      <c r="F168" s="88">
        <v>22469267.5</v>
      </c>
      <c r="G168" s="87">
        <v>0</v>
      </c>
      <c r="I168" s="87">
        <v>0</v>
      </c>
      <c r="K168" s="87">
        <v>0</v>
      </c>
      <c r="M168" s="87">
        <v>0</v>
      </c>
      <c r="O168" s="87">
        <v>0</v>
      </c>
      <c r="P168" s="88">
        <v>25493988.499999996</v>
      </c>
      <c r="Q168" s="87">
        <v>0</v>
      </c>
      <c r="R168" s="87">
        <f t="shared" si="36"/>
        <v>0</v>
      </c>
      <c r="T168" s="87">
        <v>0</v>
      </c>
      <c r="V168" s="87">
        <v>0</v>
      </c>
      <c r="X168" s="87">
        <v>0</v>
      </c>
      <c r="Y168" s="88">
        <v>28160542.500000004</v>
      </c>
      <c r="Z168" s="87">
        <v>0</v>
      </c>
      <c r="AA168" s="87">
        <v>0</v>
      </c>
      <c r="AB168" s="89">
        <f t="shared" si="37"/>
        <v>0</v>
      </c>
      <c r="AC168" s="89">
        <f t="shared" si="38"/>
        <v>0</v>
      </c>
      <c r="AD168" s="89">
        <f t="shared" si="39"/>
        <v>0</v>
      </c>
      <c r="AE168" s="90">
        <f t="shared" si="40"/>
        <v>0</v>
      </c>
      <c r="AF168" s="90" t="str">
        <f t="shared" si="41"/>
        <v/>
      </c>
      <c r="AG168" s="90">
        <f t="shared" si="42"/>
        <v>0</v>
      </c>
      <c r="AH168" s="90" t="str">
        <f t="shared" si="43"/>
        <v/>
      </c>
      <c r="AI168" s="90">
        <f t="shared" si="44"/>
        <v>0</v>
      </c>
      <c r="AJ168" s="90" t="str">
        <f t="shared" si="45"/>
        <v/>
      </c>
      <c r="AK168" s="90" t="str">
        <f t="shared" si="46"/>
        <v/>
      </c>
      <c r="AL168" s="91">
        <f>IF(AK168="Adjust",(_xlfn.XLOOKUP(A168,'Adj factor'!A:A,'Adj factor'!I:I,,0)*AI168),'Master DataSheet'!AI168)</f>
        <v>0</v>
      </c>
      <c r="AM168" s="91">
        <f t="shared" si="47"/>
        <v>0</v>
      </c>
      <c r="AN168" s="92" t="str">
        <f t="shared" si="48"/>
        <v>No change</v>
      </c>
      <c r="AO168" s="93">
        <f>VLOOKUP(B168,'Growthrates source'!A$2:H$49,8,FALSE)</f>
        <v>6.6569375282258259E-2</v>
      </c>
      <c r="AP168" s="93">
        <f>VLOOKUP(B168,'Growthrates source'!A$2:I$49,9,FALSE)</f>
        <v>5.4673730437993617E-2</v>
      </c>
      <c r="AQ168" s="86">
        <f t="shared" si="49"/>
        <v>0</v>
      </c>
      <c r="AR168" s="86">
        <f t="shared" si="50"/>
        <v>0</v>
      </c>
      <c r="AS168" s="94">
        <f t="shared" si="51"/>
        <v>0</v>
      </c>
      <c r="AT168" s="94">
        <f t="shared" si="52"/>
        <v>0</v>
      </c>
      <c r="AU168" s="94">
        <f t="shared" si="53"/>
        <v>0</v>
      </c>
    </row>
    <row r="169" spans="1:47" x14ac:dyDescent="0.3">
      <c r="A169" s="85" t="str">
        <f>_xlfn.XLOOKUP(B169,'Country codes &amp; Data sources'!G:G,'Country codes &amp; Data sources'!H:H,,0)</f>
        <v>Cote d'Ivoire</v>
      </c>
      <c r="B169" s="85" t="s">
        <v>166</v>
      </c>
      <c r="C169" s="86">
        <v>22010734.5</v>
      </c>
      <c r="D169" s="85" t="s">
        <v>87</v>
      </c>
      <c r="E169" s="87">
        <v>0</v>
      </c>
      <c r="F169" s="88">
        <v>22469267.5</v>
      </c>
      <c r="G169" s="87">
        <v>0</v>
      </c>
      <c r="I169" s="87">
        <v>0</v>
      </c>
      <c r="K169" s="87">
        <v>0</v>
      </c>
      <c r="M169" s="87">
        <v>0</v>
      </c>
      <c r="O169" s="87">
        <v>0</v>
      </c>
      <c r="P169" s="88">
        <v>25493988.499999996</v>
      </c>
      <c r="Q169" s="87">
        <v>0</v>
      </c>
      <c r="R169" s="87">
        <f t="shared" si="36"/>
        <v>4437</v>
      </c>
      <c r="T169" s="87">
        <v>0</v>
      </c>
      <c r="V169" s="87">
        <v>0</v>
      </c>
      <c r="X169" s="87">
        <v>0</v>
      </c>
      <c r="Y169" s="88">
        <v>28160542.500000004</v>
      </c>
      <c r="Z169" s="87">
        <v>0</v>
      </c>
      <c r="AA169" s="87">
        <v>4437</v>
      </c>
      <c r="AB169" s="89">
        <f t="shared" si="37"/>
        <v>0</v>
      </c>
      <c r="AC169" s="89">
        <f t="shared" si="38"/>
        <v>0</v>
      </c>
      <c r="AD169" s="89">
        <f t="shared" si="39"/>
        <v>0</v>
      </c>
      <c r="AE169" s="90">
        <f t="shared" si="40"/>
        <v>0</v>
      </c>
      <c r="AF169" s="90" t="str">
        <f t="shared" si="41"/>
        <v/>
      </c>
      <c r="AG169" s="90">
        <f t="shared" si="42"/>
        <v>4437</v>
      </c>
      <c r="AH169" s="90" t="str">
        <f t="shared" si="43"/>
        <v>2018 (triag)</v>
      </c>
      <c r="AI169" s="90">
        <f t="shared" si="44"/>
        <v>4437</v>
      </c>
      <c r="AJ169" s="90" t="str">
        <f t="shared" si="45"/>
        <v>2018 (triag)</v>
      </c>
      <c r="AK169" s="90" t="str">
        <f t="shared" si="46"/>
        <v/>
      </c>
      <c r="AL169" s="91">
        <f>IF(AK169="Adjust",(_xlfn.XLOOKUP(A169,'Adj factor'!A:A,'Adj factor'!I:I,,0)*AI169),'Master DataSheet'!AI169)</f>
        <v>4437</v>
      </c>
      <c r="AM169" s="91">
        <f t="shared" si="47"/>
        <v>4437</v>
      </c>
      <c r="AN169" s="92" t="str">
        <f t="shared" si="48"/>
        <v>No change</v>
      </c>
      <c r="AO169" s="93">
        <f>VLOOKUP(B169,'Growthrates source'!A$2:H$49,8,FALSE)</f>
        <v>6.6569375282258259E-2</v>
      </c>
      <c r="AP169" s="93">
        <f>VLOOKUP(B169,'Growthrates source'!A$2:I$49,9,FALSE)</f>
        <v>5.4673730437993617E-2</v>
      </c>
      <c r="AQ169" s="86">
        <f t="shared" si="49"/>
        <v>3180.7963691359319</v>
      </c>
      <c r="AR169" s="86">
        <f t="shared" si="50"/>
        <v>5227.8476998546294</v>
      </c>
      <c r="AS169" s="94">
        <f t="shared" si="51"/>
        <v>0</v>
      </c>
      <c r="AT169" s="94">
        <f t="shared" si="52"/>
        <v>1.7404102931951979</v>
      </c>
      <c r="AU169" s="94">
        <f t="shared" si="53"/>
        <v>1.5756088505752328</v>
      </c>
    </row>
    <row r="170" spans="1:47" x14ac:dyDescent="0.3">
      <c r="A170" s="85" t="str">
        <f>_xlfn.XLOOKUP(B170,'Country codes &amp; Data sources'!G:G,'Country codes &amp; Data sources'!H:H,,0)</f>
        <v>Cameroon</v>
      </c>
      <c r="B170" s="85" t="s">
        <v>168</v>
      </c>
      <c r="C170" s="86">
        <v>21032684.000000004</v>
      </c>
      <c r="D170" s="85" t="s">
        <v>321</v>
      </c>
      <c r="E170" s="87">
        <v>0</v>
      </c>
      <c r="F170" s="88">
        <v>21632850.000000004</v>
      </c>
      <c r="G170" s="87">
        <v>0</v>
      </c>
      <c r="H170" s="87">
        <v>22299584.999999989</v>
      </c>
      <c r="I170" s="87">
        <v>0</v>
      </c>
      <c r="J170" s="87">
        <v>23012646.5</v>
      </c>
      <c r="K170" s="87">
        <v>0</v>
      </c>
      <c r="L170" s="87">
        <v>23711630.000000004</v>
      </c>
      <c r="M170" s="87">
        <v>0</v>
      </c>
      <c r="N170" s="87">
        <v>24393181.5</v>
      </c>
      <c r="O170" s="87">
        <v>0</v>
      </c>
      <c r="P170" s="88">
        <v>25076746.500000015</v>
      </c>
      <c r="Q170" s="87">
        <v>6518</v>
      </c>
      <c r="R170" s="87">
        <f t="shared" si="36"/>
        <v>6518</v>
      </c>
      <c r="S170" s="87">
        <v>25782340.999999996</v>
      </c>
      <c r="T170" s="87">
        <v>0</v>
      </c>
      <c r="U170" s="87">
        <v>26491086.500000011</v>
      </c>
      <c r="V170" s="87">
        <v>5930</v>
      </c>
      <c r="W170" s="87">
        <v>27198627.999999985</v>
      </c>
      <c r="X170" s="87">
        <v>7653</v>
      </c>
      <c r="Y170" s="88">
        <v>27914536.499999989</v>
      </c>
      <c r="Z170" s="87">
        <v>8865</v>
      </c>
      <c r="AA170" s="87">
        <v>3259</v>
      </c>
      <c r="AB170" s="89">
        <f t="shared" si="37"/>
        <v>0</v>
      </c>
      <c r="AC170" s="89">
        <f t="shared" si="38"/>
        <v>6518</v>
      </c>
      <c r="AD170" s="89">
        <f t="shared" si="39"/>
        <v>8865</v>
      </c>
      <c r="AE170" s="60">
        <v>1842</v>
      </c>
      <c r="AF170" s="90">
        <v>2013</v>
      </c>
      <c r="AG170" s="90">
        <f t="shared" si="42"/>
        <v>6518</v>
      </c>
      <c r="AH170" s="90">
        <f t="shared" si="43"/>
        <v>2018</v>
      </c>
      <c r="AI170" s="90">
        <f t="shared" si="44"/>
        <v>8865</v>
      </c>
      <c r="AJ170" s="90">
        <f t="shared" si="45"/>
        <v>2022</v>
      </c>
      <c r="AK170" s="90" t="str">
        <f t="shared" si="46"/>
        <v/>
      </c>
      <c r="AL170" s="91">
        <f>IF(AK170="Adjust",(_xlfn.XLOOKUP(A170,'Adj factor'!A:A,'Adj factor'!I:I,,0)*AI170),'Master DataSheet'!AI170)</f>
        <v>8865</v>
      </c>
      <c r="AM170" s="91">
        <f t="shared" si="47"/>
        <v>8865</v>
      </c>
      <c r="AN170" s="92" t="str">
        <f t="shared" si="48"/>
        <v>Increasing</v>
      </c>
      <c r="AO170" s="93">
        <f>VLOOKUP(B170,'Growthrates source'!A$2:H$49,8,FALSE)</f>
        <v>-1.4958984742070136E-2</v>
      </c>
      <c r="AP170" s="93">
        <f>VLOOKUP(B170,'Growthrates source'!A$2:I$49,9,FALSE)</f>
        <v>0.1904674530041961</v>
      </c>
      <c r="AQ170" s="86">
        <f t="shared" si="49"/>
        <v>3512.1041245922065</v>
      </c>
      <c r="AR170" s="86">
        <f t="shared" si="50"/>
        <v>5770.869479572214</v>
      </c>
      <c r="AS170" s="94">
        <f t="shared" si="51"/>
        <v>0.85148281433098261</v>
      </c>
      <c r="AT170" s="94">
        <f t="shared" si="52"/>
        <v>2.5992207561694642</v>
      </c>
      <c r="AU170" s="94">
        <f t="shared" si="53"/>
        <v>3.1757647131271565</v>
      </c>
    </row>
    <row r="171" spans="1:47" x14ac:dyDescent="0.3">
      <c r="A171" s="85" t="str">
        <f>_xlfn.XLOOKUP(B171,'Country codes &amp; Data sources'!G:G,'Country codes &amp; Data sources'!H:H,,0)</f>
        <v>Cameroon</v>
      </c>
      <c r="B171" s="85" t="s">
        <v>168</v>
      </c>
      <c r="C171" s="86">
        <v>21032685</v>
      </c>
      <c r="D171" s="85" t="s">
        <v>322</v>
      </c>
      <c r="E171" s="87">
        <v>0</v>
      </c>
      <c r="F171" s="88">
        <v>21632850.000000004</v>
      </c>
      <c r="G171" s="87">
        <v>0</v>
      </c>
      <c r="I171" s="87">
        <v>0</v>
      </c>
      <c r="K171" s="87">
        <v>0</v>
      </c>
      <c r="M171" s="87">
        <v>0</v>
      </c>
      <c r="O171" s="87">
        <v>0</v>
      </c>
      <c r="P171" s="88">
        <v>25076746.500000015</v>
      </c>
      <c r="Q171" s="87">
        <v>18312</v>
      </c>
      <c r="R171" s="87">
        <f t="shared" si="36"/>
        <v>18312</v>
      </c>
      <c r="T171" s="87">
        <v>0</v>
      </c>
      <c r="V171" s="87">
        <v>23436</v>
      </c>
      <c r="X171" s="87">
        <v>9254</v>
      </c>
      <c r="Y171" s="88">
        <v>27914536.499999989</v>
      </c>
      <c r="Z171" s="87">
        <v>32946</v>
      </c>
      <c r="AA171" s="87">
        <v>9925</v>
      </c>
      <c r="AB171" s="89">
        <f t="shared" si="37"/>
        <v>0</v>
      </c>
      <c r="AC171" s="89">
        <f t="shared" si="38"/>
        <v>18312</v>
      </c>
      <c r="AD171" s="89">
        <f t="shared" si="39"/>
        <v>32946</v>
      </c>
      <c r="AE171" s="60">
        <v>18954</v>
      </c>
      <c r="AF171" s="90">
        <v>2013</v>
      </c>
      <c r="AG171" s="90">
        <f t="shared" si="42"/>
        <v>18312</v>
      </c>
      <c r="AH171" s="90">
        <f t="shared" si="43"/>
        <v>2018</v>
      </c>
      <c r="AI171" s="90">
        <f t="shared" si="44"/>
        <v>32946</v>
      </c>
      <c r="AJ171" s="90">
        <f t="shared" si="45"/>
        <v>2022</v>
      </c>
      <c r="AK171" s="90" t="str">
        <f t="shared" si="46"/>
        <v/>
      </c>
      <c r="AL171" s="91">
        <f>IF(AK171="Adjust",(_xlfn.XLOOKUP(A171,'Adj factor'!A:A,'Adj factor'!I:I,,0)*AI171),'Master DataSheet'!AI171)</f>
        <v>32946</v>
      </c>
      <c r="AM171" s="91">
        <f t="shared" si="47"/>
        <v>32946</v>
      </c>
      <c r="AN171" s="92" t="str">
        <f t="shared" si="48"/>
        <v>Increasing</v>
      </c>
      <c r="AO171" s="93">
        <f>VLOOKUP(B171,'Growthrates source'!A$2:H$49,8,FALSE)</f>
        <v>-1.4958984742070136E-2</v>
      </c>
      <c r="AP171" s="93">
        <f>VLOOKUP(B171,'Growthrates source'!A$2:I$49,9,FALSE)</f>
        <v>0.1904674530041961</v>
      </c>
      <c r="AQ171" s="86">
        <f t="shared" si="49"/>
        <v>10695.806516286484</v>
      </c>
      <c r="AR171" s="86">
        <f t="shared" si="50"/>
        <v>17574.679222078623</v>
      </c>
      <c r="AS171" s="94">
        <f t="shared" si="51"/>
        <v>8.7616749526761364</v>
      </c>
      <c r="AT171" s="94">
        <f t="shared" si="52"/>
        <v>7.3023827074217902</v>
      </c>
      <c r="AU171" s="94">
        <f t="shared" si="53"/>
        <v>11.802452818802854</v>
      </c>
    </row>
    <row r="172" spans="1:47" x14ac:dyDescent="0.3">
      <c r="A172" s="85" t="str">
        <f>_xlfn.XLOOKUP(B172,'Country codes &amp; Data sources'!G:G,'Country codes &amp; Data sources'!H:H,,0)</f>
        <v>Cameroon</v>
      </c>
      <c r="B172" s="85" t="s">
        <v>168</v>
      </c>
      <c r="C172" s="86">
        <v>21032686</v>
      </c>
      <c r="D172" s="85" t="s">
        <v>323</v>
      </c>
      <c r="E172" s="87">
        <v>0</v>
      </c>
      <c r="F172" s="88">
        <v>21632850.000000004</v>
      </c>
      <c r="G172" s="87">
        <v>254</v>
      </c>
      <c r="I172" s="87">
        <v>0</v>
      </c>
      <c r="K172" s="87">
        <v>0</v>
      </c>
      <c r="M172" s="87">
        <v>0</v>
      </c>
      <c r="O172" s="87">
        <v>0</v>
      </c>
      <c r="P172" s="88">
        <v>25076746.500000015</v>
      </c>
      <c r="Q172" s="87">
        <v>0</v>
      </c>
      <c r="R172" s="87">
        <f t="shared" si="36"/>
        <v>690</v>
      </c>
      <c r="T172" s="87">
        <v>0</v>
      </c>
      <c r="V172" s="87">
        <v>2516</v>
      </c>
      <c r="X172" s="87">
        <v>1408</v>
      </c>
      <c r="Y172" s="88">
        <v>27914536.499999989</v>
      </c>
      <c r="Z172" s="87">
        <v>3348</v>
      </c>
      <c r="AA172" s="87">
        <v>690</v>
      </c>
      <c r="AB172" s="89">
        <f t="shared" si="37"/>
        <v>254</v>
      </c>
      <c r="AC172" s="89">
        <f t="shared" si="38"/>
        <v>0</v>
      </c>
      <c r="AD172" s="89">
        <f t="shared" si="39"/>
        <v>3348</v>
      </c>
      <c r="AE172" s="90">
        <f t="shared" si="40"/>
        <v>254</v>
      </c>
      <c r="AF172" s="90">
        <f t="shared" si="41"/>
        <v>2013</v>
      </c>
      <c r="AG172" s="90">
        <f t="shared" si="42"/>
        <v>690</v>
      </c>
      <c r="AH172" s="90" t="str">
        <f t="shared" si="43"/>
        <v>2018 (triag)</v>
      </c>
      <c r="AI172" s="90">
        <f t="shared" si="44"/>
        <v>3348</v>
      </c>
      <c r="AJ172" s="90">
        <f t="shared" si="45"/>
        <v>2022</v>
      </c>
      <c r="AK172" s="90" t="str">
        <f t="shared" si="46"/>
        <v/>
      </c>
      <c r="AL172" s="91">
        <f>IF(AK172="Adjust",(_xlfn.XLOOKUP(A172,'Adj factor'!A:A,'Adj factor'!I:I,,0)*AI172),'Master DataSheet'!AI172)</f>
        <v>3348</v>
      </c>
      <c r="AM172" s="91">
        <f t="shared" si="47"/>
        <v>3348</v>
      </c>
      <c r="AN172" s="92" t="str">
        <f t="shared" si="48"/>
        <v>Increasing</v>
      </c>
      <c r="AO172" s="93">
        <f>VLOOKUP(B172,'Growthrates source'!A$2:H$49,8,FALSE)</f>
        <v>-1.4958984742070136E-2</v>
      </c>
      <c r="AP172" s="93">
        <f>VLOOKUP(B172,'Growthrates source'!A$2:I$49,9,FALSE)</f>
        <v>0.1904674530041961</v>
      </c>
      <c r="AQ172" s="86">
        <f t="shared" si="49"/>
        <v>743.58755629598727</v>
      </c>
      <c r="AR172" s="86">
        <f t="shared" si="50"/>
        <v>1221.8164899984131</v>
      </c>
      <c r="AS172" s="94">
        <f t="shared" si="51"/>
        <v>0.11741402542891942</v>
      </c>
      <c r="AT172" s="94">
        <f t="shared" si="52"/>
        <v>0.27515531171477908</v>
      </c>
      <c r="AU172" s="94">
        <f t="shared" si="53"/>
        <v>1.1993750997800021</v>
      </c>
    </row>
    <row r="173" spans="1:47" x14ac:dyDescent="0.3">
      <c r="A173" s="85" t="str">
        <f>_xlfn.XLOOKUP(B173,'Country codes &amp; Data sources'!G:G,'Country codes &amp; Data sources'!H:H,,0)</f>
        <v>Cameroon</v>
      </c>
      <c r="B173" s="85" t="s">
        <v>168</v>
      </c>
      <c r="C173" s="86">
        <v>21032687</v>
      </c>
      <c r="D173" s="85" t="s">
        <v>324</v>
      </c>
      <c r="E173" s="87">
        <v>0</v>
      </c>
      <c r="F173" s="88">
        <v>21632850.000000004</v>
      </c>
      <c r="G173" s="87">
        <v>239</v>
      </c>
      <c r="I173" s="87">
        <v>36</v>
      </c>
      <c r="K173" s="87">
        <v>0</v>
      </c>
      <c r="M173" s="87">
        <v>1687</v>
      </c>
      <c r="O173" s="87">
        <v>10752</v>
      </c>
      <c r="P173" s="88">
        <v>25076746.500000015</v>
      </c>
      <c r="Q173" s="87">
        <v>30461</v>
      </c>
      <c r="R173" s="87">
        <f t="shared" si="36"/>
        <v>30461</v>
      </c>
      <c r="T173" s="87">
        <v>227</v>
      </c>
      <c r="V173" s="87">
        <v>78</v>
      </c>
      <c r="X173" s="87">
        <v>281</v>
      </c>
      <c r="Y173" s="88">
        <v>27914536.499999989</v>
      </c>
      <c r="Z173" s="87">
        <v>398</v>
      </c>
      <c r="AA173" s="87">
        <v>350</v>
      </c>
      <c r="AB173" s="89">
        <f t="shared" si="37"/>
        <v>239</v>
      </c>
      <c r="AC173" s="89">
        <f t="shared" si="38"/>
        <v>30461</v>
      </c>
      <c r="AD173" s="89">
        <f t="shared" si="39"/>
        <v>398</v>
      </c>
      <c r="AE173" s="60">
        <v>1340</v>
      </c>
      <c r="AF173" s="90">
        <v>2013</v>
      </c>
      <c r="AG173" s="90">
        <f t="shared" si="42"/>
        <v>30461</v>
      </c>
      <c r="AH173" s="90">
        <f t="shared" si="43"/>
        <v>2018</v>
      </c>
      <c r="AI173" s="90">
        <f t="shared" si="44"/>
        <v>398</v>
      </c>
      <c r="AJ173" s="90">
        <f t="shared" si="45"/>
        <v>2022</v>
      </c>
      <c r="AK173" s="90" t="str">
        <f t="shared" si="46"/>
        <v>Adjust</v>
      </c>
      <c r="AL173" s="91">
        <f>IF(AK173="Adjust",(_xlfn.XLOOKUP(A173,'Adj factor'!A:A,'Adj factor'!I:I,,0)*AI173),'Master DataSheet'!AI173)</f>
        <v>589.64951499967879</v>
      </c>
      <c r="AM173" s="91">
        <f t="shared" si="47"/>
        <v>30461</v>
      </c>
      <c r="AN173" s="92" t="str">
        <f t="shared" si="48"/>
        <v>Decreasing</v>
      </c>
      <c r="AO173" s="93">
        <f>VLOOKUP(B173,'Growthrates source'!A$2:H$49,8,FALSE)</f>
        <v>-1.4958984742070136E-2</v>
      </c>
      <c r="AP173" s="93">
        <f>VLOOKUP(B173,'Growthrates source'!A$2:I$49,9,FALSE)</f>
        <v>0.1904674530041961</v>
      </c>
      <c r="AQ173" s="86">
        <f t="shared" si="49"/>
        <v>377.18209377332687</v>
      </c>
      <c r="AR173" s="86">
        <f t="shared" si="50"/>
        <v>619.76198768035442</v>
      </c>
      <c r="AS173" s="94">
        <f t="shared" si="51"/>
        <v>0.61942832312894502</v>
      </c>
      <c r="AT173" s="94">
        <f t="shared" si="52"/>
        <v>12.1471100726723</v>
      </c>
      <c r="AU173" s="94">
        <f t="shared" si="53"/>
        <v>10.912235637514531</v>
      </c>
    </row>
    <row r="174" spans="1:47" x14ac:dyDescent="0.3">
      <c r="A174" s="85" t="str">
        <f>_xlfn.XLOOKUP(B174,'Country codes &amp; Data sources'!G:G,'Country codes &amp; Data sources'!H:H,,0)</f>
        <v>Cameroon</v>
      </c>
      <c r="B174" s="85" t="s">
        <v>168</v>
      </c>
      <c r="C174" s="86">
        <v>21032688</v>
      </c>
      <c r="D174" s="85" t="s">
        <v>325</v>
      </c>
      <c r="E174" s="87">
        <v>0</v>
      </c>
      <c r="F174" s="88">
        <v>21632850.000000004</v>
      </c>
      <c r="G174" s="87">
        <v>276</v>
      </c>
      <c r="I174" s="87">
        <v>10</v>
      </c>
      <c r="K174" s="87">
        <v>0</v>
      </c>
      <c r="M174" s="87">
        <v>404</v>
      </c>
      <c r="O174" s="87">
        <v>1889</v>
      </c>
      <c r="P174" s="88">
        <v>25076746.500000015</v>
      </c>
      <c r="Q174" s="87">
        <v>23627</v>
      </c>
      <c r="R174" s="87">
        <f t="shared" si="36"/>
        <v>23627</v>
      </c>
      <c r="T174" s="87">
        <v>40</v>
      </c>
      <c r="V174" s="87">
        <v>112</v>
      </c>
      <c r="X174" s="87">
        <v>74</v>
      </c>
      <c r="Y174" s="88">
        <v>27914536.499999989</v>
      </c>
      <c r="Z174" s="87">
        <v>159</v>
      </c>
      <c r="AA174" s="87">
        <v>308</v>
      </c>
      <c r="AB174" s="89">
        <f t="shared" si="37"/>
        <v>276</v>
      </c>
      <c r="AC174" s="89">
        <f t="shared" si="38"/>
        <v>23627</v>
      </c>
      <c r="AD174" s="89">
        <f t="shared" si="39"/>
        <v>159</v>
      </c>
      <c r="AE174" s="90">
        <f t="shared" si="40"/>
        <v>276</v>
      </c>
      <c r="AF174" s="90">
        <f t="shared" si="41"/>
        <v>2013</v>
      </c>
      <c r="AG174" s="90">
        <f t="shared" si="42"/>
        <v>23627</v>
      </c>
      <c r="AH174" s="90">
        <f t="shared" si="43"/>
        <v>2018</v>
      </c>
      <c r="AI174" s="90">
        <f t="shared" si="44"/>
        <v>159</v>
      </c>
      <c r="AJ174" s="90">
        <f t="shared" si="45"/>
        <v>2022</v>
      </c>
      <c r="AK174" s="90" t="str">
        <f t="shared" si="46"/>
        <v>Adjust</v>
      </c>
      <c r="AL174" s="91">
        <f>IF(AK174="Adjust",(_xlfn.XLOOKUP(A174,'Adj factor'!A:A,'Adj factor'!I:I,,0)*AI174),'Master DataSheet'!AI174)</f>
        <v>235.56349971092695</v>
      </c>
      <c r="AM174" s="91">
        <f t="shared" si="47"/>
        <v>23627</v>
      </c>
      <c r="AN174" s="92" t="str">
        <f t="shared" si="48"/>
        <v>Decreasing</v>
      </c>
      <c r="AO174" s="93">
        <f>VLOOKUP(B174,'Growthrates source'!A$2:H$49,8,FALSE)</f>
        <v>-1.4958984742070136E-2</v>
      </c>
      <c r="AP174" s="93">
        <f>VLOOKUP(B174,'Growthrates source'!A$2:I$49,9,FALSE)</f>
        <v>0.1904674530041961</v>
      </c>
      <c r="AQ174" s="86">
        <f t="shared" si="49"/>
        <v>331.92024252052767</v>
      </c>
      <c r="AR174" s="86">
        <f t="shared" si="50"/>
        <v>545.39054915871191</v>
      </c>
      <c r="AS174" s="94">
        <f t="shared" si="51"/>
        <v>0.12758374416685733</v>
      </c>
      <c r="AT174" s="94">
        <f t="shared" si="52"/>
        <v>9.4218761592537472</v>
      </c>
      <c r="AU174" s="94">
        <f t="shared" si="53"/>
        <v>8.4640488298990775</v>
      </c>
    </row>
    <row r="175" spans="1:47" x14ac:dyDescent="0.3">
      <c r="A175" s="85" t="str">
        <f>_xlfn.XLOOKUP(B175,'Country codes &amp; Data sources'!G:G,'Country codes &amp; Data sources'!H:H,,0)</f>
        <v>Cameroon</v>
      </c>
      <c r="B175" s="85" t="s">
        <v>168</v>
      </c>
      <c r="C175" s="86">
        <v>21032689</v>
      </c>
      <c r="D175" s="85" t="s">
        <v>127</v>
      </c>
      <c r="E175" s="87">
        <v>0</v>
      </c>
      <c r="F175" s="88">
        <v>21632850.000000004</v>
      </c>
      <c r="G175" s="87">
        <v>0</v>
      </c>
      <c r="I175" s="87">
        <v>0</v>
      </c>
      <c r="K175" s="87">
        <v>0</v>
      </c>
      <c r="M175" s="87">
        <v>0</v>
      </c>
      <c r="O175" s="87">
        <v>0</v>
      </c>
      <c r="P175" s="88">
        <v>25076746.500000015</v>
      </c>
      <c r="Q175" s="87">
        <v>0</v>
      </c>
      <c r="R175" s="87">
        <f t="shared" si="36"/>
        <v>0</v>
      </c>
      <c r="T175" s="87">
        <v>0</v>
      </c>
      <c r="V175" s="87">
        <v>154</v>
      </c>
      <c r="X175" s="87">
        <v>0</v>
      </c>
      <c r="Y175" s="88">
        <v>27914536.499999989</v>
      </c>
      <c r="Z175" s="87">
        <v>310</v>
      </c>
      <c r="AA175" s="87">
        <v>0</v>
      </c>
      <c r="AB175" s="89">
        <f t="shared" si="37"/>
        <v>0</v>
      </c>
      <c r="AC175" s="89">
        <f t="shared" si="38"/>
        <v>0</v>
      </c>
      <c r="AD175" s="89">
        <f t="shared" si="39"/>
        <v>310</v>
      </c>
      <c r="AE175" s="90">
        <f t="shared" si="40"/>
        <v>0</v>
      </c>
      <c r="AF175" s="90" t="str">
        <f t="shared" si="41"/>
        <v/>
      </c>
      <c r="AG175" s="90">
        <f t="shared" si="42"/>
        <v>0</v>
      </c>
      <c r="AH175" s="90" t="str">
        <f t="shared" si="43"/>
        <v/>
      </c>
      <c r="AI175" s="90">
        <f t="shared" si="44"/>
        <v>310</v>
      </c>
      <c r="AJ175" s="90">
        <f t="shared" si="45"/>
        <v>2022</v>
      </c>
      <c r="AK175" s="90" t="str">
        <f t="shared" si="46"/>
        <v/>
      </c>
      <c r="AL175" s="91">
        <f>IF(AK175="Adjust",(_xlfn.XLOOKUP(A175,'Adj factor'!A:A,'Adj factor'!I:I,,0)*AI175),'Master DataSheet'!AI175)</f>
        <v>310</v>
      </c>
      <c r="AM175" s="91">
        <f t="shared" si="47"/>
        <v>310</v>
      </c>
      <c r="AN175" s="92" t="str">
        <f t="shared" si="48"/>
        <v>Increasing</v>
      </c>
      <c r="AO175" s="93">
        <f>VLOOKUP(B175,'Growthrates source'!A$2:H$49,8,FALSE)</f>
        <v>-1.4958984742070136E-2</v>
      </c>
      <c r="AP175" s="93">
        <f>VLOOKUP(B175,'Growthrates source'!A$2:I$49,9,FALSE)</f>
        <v>0.1904674530041961</v>
      </c>
      <c r="AQ175" s="86">
        <f t="shared" si="49"/>
        <v>0</v>
      </c>
      <c r="AR175" s="86">
        <f t="shared" si="50"/>
        <v>0</v>
      </c>
      <c r="AS175" s="94">
        <f t="shared" si="51"/>
        <v>0</v>
      </c>
      <c r="AT175" s="94">
        <f t="shared" si="52"/>
        <v>0</v>
      </c>
      <c r="AU175" s="94">
        <f t="shared" si="53"/>
        <v>0.11105324997962983</v>
      </c>
    </row>
    <row r="176" spans="1:47" x14ac:dyDescent="0.3">
      <c r="A176" s="85" t="str">
        <f>_xlfn.XLOOKUP(B176,'Country codes &amp; Data sources'!G:G,'Country codes &amp; Data sources'!H:H,,0)</f>
        <v>Cameroon</v>
      </c>
      <c r="B176" s="85" t="s">
        <v>168</v>
      </c>
      <c r="C176" s="86">
        <v>21032690</v>
      </c>
      <c r="D176" s="85" t="s">
        <v>61</v>
      </c>
      <c r="E176" s="87">
        <v>0</v>
      </c>
      <c r="F176" s="88">
        <v>21632850.000000004</v>
      </c>
      <c r="G176" s="87">
        <v>0</v>
      </c>
      <c r="I176" s="87">
        <v>0</v>
      </c>
      <c r="K176" s="87">
        <v>0</v>
      </c>
      <c r="M176" s="87">
        <v>0</v>
      </c>
      <c r="O176" s="87">
        <v>0</v>
      </c>
      <c r="P176" s="88">
        <v>25076746.500000015</v>
      </c>
      <c r="Q176" s="87">
        <v>0</v>
      </c>
      <c r="R176" s="87">
        <f t="shared" si="36"/>
        <v>38</v>
      </c>
      <c r="T176" s="87">
        <v>0</v>
      </c>
      <c r="V176" s="87">
        <v>0</v>
      </c>
      <c r="X176" s="87">
        <v>0</v>
      </c>
      <c r="Y176" s="88">
        <v>27914536.499999989</v>
      </c>
      <c r="Z176" s="87">
        <v>0</v>
      </c>
      <c r="AA176" s="87">
        <v>38</v>
      </c>
      <c r="AB176" s="89">
        <f t="shared" si="37"/>
        <v>0</v>
      </c>
      <c r="AC176" s="89">
        <f t="shared" si="38"/>
        <v>0</v>
      </c>
      <c r="AD176" s="89">
        <f t="shared" si="39"/>
        <v>0</v>
      </c>
      <c r="AE176" s="90">
        <f t="shared" si="40"/>
        <v>0</v>
      </c>
      <c r="AF176" s="90" t="str">
        <f t="shared" si="41"/>
        <v/>
      </c>
      <c r="AG176" s="90">
        <f t="shared" si="42"/>
        <v>38</v>
      </c>
      <c r="AH176" s="90" t="str">
        <f t="shared" si="43"/>
        <v>2018 (triag)</v>
      </c>
      <c r="AI176" s="90">
        <f t="shared" si="44"/>
        <v>38</v>
      </c>
      <c r="AJ176" s="90" t="str">
        <f t="shared" si="45"/>
        <v>2018 (triag)</v>
      </c>
      <c r="AK176" s="90" t="str">
        <f t="shared" si="46"/>
        <v/>
      </c>
      <c r="AL176" s="91">
        <f>IF(AK176="Adjust",(_xlfn.XLOOKUP(A176,'Adj factor'!A:A,'Adj factor'!I:I,,0)*AI176),'Master DataSheet'!AI176)</f>
        <v>38</v>
      </c>
      <c r="AM176" s="91">
        <f t="shared" si="47"/>
        <v>38</v>
      </c>
      <c r="AN176" s="92" t="str">
        <f t="shared" si="48"/>
        <v>No change</v>
      </c>
      <c r="AO176" s="93">
        <f>VLOOKUP(B176,'Growthrates source'!A$2:H$49,8,FALSE)</f>
        <v>-1.4958984742070136E-2</v>
      </c>
      <c r="AP176" s="93">
        <f>VLOOKUP(B176,'Growthrates source'!A$2:I$49,9,FALSE)</f>
        <v>0.1904674530041961</v>
      </c>
      <c r="AQ176" s="86">
        <f t="shared" si="49"/>
        <v>40.951198752532633</v>
      </c>
      <c r="AR176" s="86">
        <f t="shared" si="50"/>
        <v>67.2884443767242</v>
      </c>
      <c r="AS176" s="94">
        <f t="shared" si="51"/>
        <v>0</v>
      </c>
      <c r="AT176" s="94">
        <f t="shared" si="52"/>
        <v>1.515348093501682E-2</v>
      </c>
      <c r="AU176" s="94">
        <f t="shared" si="53"/>
        <v>1.3612979029761076E-2</v>
      </c>
    </row>
    <row r="177" spans="1:47" x14ac:dyDescent="0.3">
      <c r="A177" s="85" t="str">
        <f>_xlfn.XLOOKUP(B177,'Country codes &amp; Data sources'!G:G,'Country codes &amp; Data sources'!H:H,,0)</f>
        <v>Cameroon</v>
      </c>
      <c r="B177" s="85" t="s">
        <v>168</v>
      </c>
      <c r="C177" s="86">
        <v>21032691</v>
      </c>
      <c r="D177" s="85" t="s">
        <v>62</v>
      </c>
      <c r="E177" s="87">
        <v>0</v>
      </c>
      <c r="F177" s="88">
        <v>21632850.000000004</v>
      </c>
      <c r="G177" s="87">
        <v>0</v>
      </c>
      <c r="I177" s="87">
        <v>0</v>
      </c>
      <c r="K177" s="87">
        <v>0</v>
      </c>
      <c r="M177" s="87">
        <v>0</v>
      </c>
      <c r="O177" s="87">
        <v>0</v>
      </c>
      <c r="P177" s="88">
        <v>25076746.500000015</v>
      </c>
      <c r="Q177" s="87">
        <v>0</v>
      </c>
      <c r="R177" s="87">
        <f t="shared" si="36"/>
        <v>238</v>
      </c>
      <c r="T177" s="87">
        <v>0</v>
      </c>
      <c r="V177" s="87">
        <v>5</v>
      </c>
      <c r="X177" s="87">
        <v>0</v>
      </c>
      <c r="Y177" s="88">
        <v>27914536.499999989</v>
      </c>
      <c r="Z177" s="87">
        <v>0</v>
      </c>
      <c r="AA177" s="87">
        <v>238</v>
      </c>
      <c r="AB177" s="89">
        <f t="shared" si="37"/>
        <v>0</v>
      </c>
      <c r="AC177" s="89">
        <f t="shared" si="38"/>
        <v>0</v>
      </c>
      <c r="AD177" s="89">
        <f t="shared" si="39"/>
        <v>5</v>
      </c>
      <c r="AE177" s="90">
        <f t="shared" si="40"/>
        <v>0</v>
      </c>
      <c r="AF177" s="90" t="str">
        <f t="shared" si="41"/>
        <v/>
      </c>
      <c r="AG177" s="90">
        <f t="shared" si="42"/>
        <v>238</v>
      </c>
      <c r="AH177" s="90" t="str">
        <f t="shared" si="43"/>
        <v>2018 (triag)</v>
      </c>
      <c r="AI177" s="90">
        <f t="shared" si="44"/>
        <v>5</v>
      </c>
      <c r="AJ177" s="90">
        <f t="shared" si="45"/>
        <v>2020</v>
      </c>
      <c r="AK177" s="90" t="str">
        <f t="shared" si="46"/>
        <v>Adjust</v>
      </c>
      <c r="AL177" s="91">
        <f>IF(AK177="Adjust",(_xlfn.XLOOKUP(A177,'Adj factor'!A:A,'Adj factor'!I:I,,0)*AI177),'Master DataSheet'!AI177)</f>
        <v>7.4076572236140548</v>
      </c>
      <c r="AM177" s="91">
        <f t="shared" si="47"/>
        <v>238</v>
      </c>
      <c r="AN177" s="92" t="str">
        <f t="shared" si="48"/>
        <v>Decreasing</v>
      </c>
      <c r="AO177" s="93">
        <f>VLOOKUP(B177,'Growthrates source'!A$2:H$49,8,FALSE)</f>
        <v>-1.4958984742070136E-2</v>
      </c>
      <c r="AP177" s="93">
        <f>VLOOKUP(B177,'Growthrates source'!A$2:I$49,9,FALSE)</f>
        <v>0.1904674530041961</v>
      </c>
      <c r="AQ177" s="86">
        <f t="shared" si="49"/>
        <v>256.48382376586227</v>
      </c>
      <c r="AR177" s="86">
        <f t="shared" si="50"/>
        <v>421.43815162264099</v>
      </c>
      <c r="AS177" s="94">
        <f t="shared" si="51"/>
        <v>0</v>
      </c>
      <c r="AT177" s="94">
        <f t="shared" si="52"/>
        <v>9.4908643750894819E-2</v>
      </c>
      <c r="AU177" s="94">
        <f t="shared" si="53"/>
        <v>8.5260237081135157E-2</v>
      </c>
    </row>
    <row r="178" spans="1:47" x14ac:dyDescent="0.3">
      <c r="A178" s="85" t="str">
        <f>_xlfn.XLOOKUP(B178,'Country codes &amp; Data sources'!G:G,'Country codes &amp; Data sources'!H:H,,0)</f>
        <v>Cameroon</v>
      </c>
      <c r="B178" s="85" t="s">
        <v>168</v>
      </c>
      <c r="C178" s="86">
        <v>21032692</v>
      </c>
      <c r="D178" s="85" t="s">
        <v>203</v>
      </c>
      <c r="E178" s="87">
        <v>0</v>
      </c>
      <c r="F178" s="88">
        <v>21632850.000000004</v>
      </c>
      <c r="G178" s="87">
        <v>0</v>
      </c>
      <c r="I178" s="87">
        <v>0</v>
      </c>
      <c r="K178" s="87">
        <v>0</v>
      </c>
      <c r="M178" s="87">
        <v>0</v>
      </c>
      <c r="O178" s="87">
        <v>0</v>
      </c>
      <c r="P178" s="88">
        <v>25076746.500000015</v>
      </c>
      <c r="Q178" s="87">
        <v>0</v>
      </c>
      <c r="R178" s="87">
        <f t="shared" si="36"/>
        <v>10717</v>
      </c>
      <c r="T178" s="87">
        <v>0</v>
      </c>
      <c r="V178" s="87">
        <v>5390</v>
      </c>
      <c r="X178" s="87">
        <v>0</v>
      </c>
      <c r="Y178" s="88">
        <v>27914536.499999989</v>
      </c>
      <c r="Z178" s="87">
        <v>146</v>
      </c>
      <c r="AA178" s="87">
        <v>10717</v>
      </c>
      <c r="AB178" s="89">
        <f t="shared" si="37"/>
        <v>0</v>
      </c>
      <c r="AC178" s="89">
        <f t="shared" si="38"/>
        <v>0</v>
      </c>
      <c r="AD178" s="89">
        <f t="shared" si="39"/>
        <v>5390</v>
      </c>
      <c r="AE178" s="90">
        <f t="shared" si="40"/>
        <v>0</v>
      </c>
      <c r="AF178" s="90" t="str">
        <f t="shared" si="41"/>
        <v/>
      </c>
      <c r="AG178" s="90">
        <f t="shared" si="42"/>
        <v>10717</v>
      </c>
      <c r="AH178" s="90" t="str">
        <f t="shared" si="43"/>
        <v>2018 (triag)</v>
      </c>
      <c r="AI178" s="90">
        <f t="shared" si="44"/>
        <v>146</v>
      </c>
      <c r="AJ178" s="90">
        <f t="shared" si="45"/>
        <v>2022</v>
      </c>
      <c r="AK178" s="90" t="str">
        <f t="shared" si="46"/>
        <v>Adjust</v>
      </c>
      <c r="AL178" s="91">
        <f>IF(AK178="Adjust",(_xlfn.XLOOKUP(A178,'Adj factor'!A:A,'Adj factor'!I:I,,0)*AI178),'Master DataSheet'!AI178)</f>
        <v>216.3035909295304</v>
      </c>
      <c r="AM178" s="91">
        <f t="shared" si="47"/>
        <v>10717</v>
      </c>
      <c r="AN178" s="92" t="str">
        <f t="shared" si="48"/>
        <v>Decreasing</v>
      </c>
      <c r="AO178" s="93">
        <f>VLOOKUP(B178,'Growthrates source'!A$2:H$49,8,FALSE)</f>
        <v>-1.4958984742070136E-2</v>
      </c>
      <c r="AP178" s="93">
        <f>VLOOKUP(B178,'Growthrates source'!A$2:I$49,9,FALSE)</f>
        <v>0.1904674530041961</v>
      </c>
      <c r="AQ178" s="86">
        <f t="shared" si="49"/>
        <v>11549.31571133927</v>
      </c>
      <c r="AR178" s="86">
        <f t="shared" si="50"/>
        <v>18977.112062772452</v>
      </c>
      <c r="AS178" s="94">
        <f t="shared" si="51"/>
        <v>0</v>
      </c>
      <c r="AT178" s="94">
        <f t="shared" si="52"/>
        <v>4.2736803994888231</v>
      </c>
      <c r="AU178" s="94">
        <f t="shared" si="53"/>
        <v>3.8392183226828802</v>
      </c>
    </row>
    <row r="179" spans="1:47" x14ac:dyDescent="0.3">
      <c r="A179" s="85" t="str">
        <f>_xlfn.XLOOKUP(B179,'Country codes &amp; Data sources'!G:G,'Country codes &amp; Data sources'!H:H,,0)</f>
        <v>Cameroon</v>
      </c>
      <c r="B179" s="85" t="s">
        <v>168</v>
      </c>
      <c r="C179" s="86">
        <v>21032693</v>
      </c>
      <c r="D179" s="85" t="s">
        <v>204</v>
      </c>
      <c r="E179" s="87">
        <v>0</v>
      </c>
      <c r="F179" s="88">
        <v>21632850.000000004</v>
      </c>
      <c r="G179" s="87">
        <v>0</v>
      </c>
      <c r="I179" s="87">
        <v>0</v>
      </c>
      <c r="K179" s="87">
        <v>0</v>
      </c>
      <c r="M179" s="87">
        <v>0</v>
      </c>
      <c r="O179" s="87">
        <v>0</v>
      </c>
      <c r="P179" s="88">
        <v>25076746.500000015</v>
      </c>
      <c r="Q179" s="87">
        <v>0</v>
      </c>
      <c r="R179" s="87">
        <f t="shared" si="36"/>
        <v>250</v>
      </c>
      <c r="T179" s="87">
        <v>0</v>
      </c>
      <c r="V179" s="87">
        <v>21</v>
      </c>
      <c r="X179" s="87">
        <v>4216</v>
      </c>
      <c r="Y179" s="88">
        <v>27914536.499999989</v>
      </c>
      <c r="Z179" s="87">
        <v>1195</v>
      </c>
      <c r="AA179" s="87">
        <v>250</v>
      </c>
      <c r="AB179" s="89">
        <f t="shared" si="37"/>
        <v>0</v>
      </c>
      <c r="AC179" s="89">
        <f t="shared" si="38"/>
        <v>0</v>
      </c>
      <c r="AD179" s="89">
        <f t="shared" si="39"/>
        <v>4216</v>
      </c>
      <c r="AE179" s="90">
        <f t="shared" si="40"/>
        <v>0</v>
      </c>
      <c r="AF179" s="90" t="str">
        <f t="shared" si="41"/>
        <v/>
      </c>
      <c r="AG179" s="90">
        <f t="shared" si="42"/>
        <v>250</v>
      </c>
      <c r="AH179" s="90" t="str">
        <f t="shared" si="43"/>
        <v>2018 (triag)</v>
      </c>
      <c r="AI179" s="90">
        <f t="shared" si="44"/>
        <v>1195</v>
      </c>
      <c r="AJ179" s="90">
        <f t="shared" si="45"/>
        <v>2022</v>
      </c>
      <c r="AK179" s="90" t="str">
        <f t="shared" si="46"/>
        <v/>
      </c>
      <c r="AL179" s="91">
        <f>IF(AK179="Adjust",(_xlfn.XLOOKUP(A179,'Adj factor'!A:A,'Adj factor'!I:I,,0)*AI179),'Master DataSheet'!AI179)</f>
        <v>1195</v>
      </c>
      <c r="AM179" s="91">
        <f t="shared" si="47"/>
        <v>1195</v>
      </c>
      <c r="AN179" s="92" t="str">
        <f t="shared" si="48"/>
        <v>Increasing</v>
      </c>
      <c r="AO179" s="93">
        <f>VLOOKUP(B179,'Growthrates source'!A$2:H$49,8,FALSE)</f>
        <v>-1.4958984742070136E-2</v>
      </c>
      <c r="AP179" s="93">
        <f>VLOOKUP(B179,'Growthrates source'!A$2:I$49,9,FALSE)</f>
        <v>0.1904674530041961</v>
      </c>
      <c r="AQ179" s="86">
        <f t="shared" si="49"/>
        <v>269.41578126666207</v>
      </c>
      <c r="AR179" s="86">
        <f t="shared" si="50"/>
        <v>442.68713405739601</v>
      </c>
      <c r="AS179" s="94">
        <f t="shared" si="51"/>
        <v>0</v>
      </c>
      <c r="AT179" s="94">
        <f t="shared" si="52"/>
        <v>9.96939535198475E-2</v>
      </c>
      <c r="AU179" s="94">
        <f t="shared" si="53"/>
        <v>0.42809236685696017</v>
      </c>
    </row>
    <row r="180" spans="1:47" x14ac:dyDescent="0.3">
      <c r="A180" s="85" t="str">
        <f>_xlfn.XLOOKUP(B180,'Country codes &amp; Data sources'!G:G,'Country codes &amp; Data sources'!H:H,,0)</f>
        <v>Cameroon</v>
      </c>
      <c r="B180" s="85" t="s">
        <v>168</v>
      </c>
      <c r="C180" s="86">
        <v>21032694</v>
      </c>
      <c r="D180" s="85" t="s">
        <v>205</v>
      </c>
      <c r="E180" s="87">
        <v>0</v>
      </c>
      <c r="F180" s="88">
        <v>21632850.000000004</v>
      </c>
      <c r="G180" s="87">
        <v>0</v>
      </c>
      <c r="I180" s="87">
        <v>0</v>
      </c>
      <c r="K180" s="87">
        <v>0</v>
      </c>
      <c r="M180" s="87">
        <v>0</v>
      </c>
      <c r="O180" s="87">
        <v>0</v>
      </c>
      <c r="P180" s="88">
        <v>25076746.500000015</v>
      </c>
      <c r="Q180" s="87">
        <v>0</v>
      </c>
      <c r="R180" s="87">
        <f t="shared" si="36"/>
        <v>0</v>
      </c>
      <c r="T180" s="87">
        <v>0</v>
      </c>
      <c r="V180" s="87">
        <v>31</v>
      </c>
      <c r="X180" s="87">
        <v>3</v>
      </c>
      <c r="Y180" s="88">
        <v>27914536.499999989</v>
      </c>
      <c r="Z180" s="87">
        <v>19</v>
      </c>
      <c r="AA180" s="87">
        <v>0</v>
      </c>
      <c r="AB180" s="89">
        <f t="shared" si="37"/>
        <v>0</v>
      </c>
      <c r="AC180" s="89">
        <f t="shared" si="38"/>
        <v>0</v>
      </c>
      <c r="AD180" s="89">
        <f t="shared" si="39"/>
        <v>31</v>
      </c>
      <c r="AE180" s="90">
        <f t="shared" si="40"/>
        <v>0</v>
      </c>
      <c r="AF180" s="90" t="str">
        <f t="shared" si="41"/>
        <v/>
      </c>
      <c r="AG180" s="90">
        <f t="shared" si="42"/>
        <v>0</v>
      </c>
      <c r="AH180" s="90" t="str">
        <f t="shared" si="43"/>
        <v/>
      </c>
      <c r="AI180" s="90">
        <f t="shared" si="44"/>
        <v>19</v>
      </c>
      <c r="AJ180" s="90">
        <f t="shared" si="45"/>
        <v>2022</v>
      </c>
      <c r="AK180" s="90" t="str">
        <f t="shared" si="46"/>
        <v/>
      </c>
      <c r="AL180" s="91">
        <f>IF(AK180="Adjust",(_xlfn.XLOOKUP(A180,'Adj factor'!A:A,'Adj factor'!I:I,,0)*AI180),'Master DataSheet'!AI180)</f>
        <v>19</v>
      </c>
      <c r="AM180" s="91">
        <f t="shared" si="47"/>
        <v>19</v>
      </c>
      <c r="AN180" s="92" t="str">
        <f t="shared" si="48"/>
        <v>Increasing</v>
      </c>
      <c r="AO180" s="93">
        <f>VLOOKUP(B180,'Growthrates source'!A$2:H$49,8,FALSE)</f>
        <v>-1.4958984742070136E-2</v>
      </c>
      <c r="AP180" s="93">
        <f>VLOOKUP(B180,'Growthrates source'!A$2:I$49,9,FALSE)</f>
        <v>0.1904674530041961</v>
      </c>
      <c r="AQ180" s="86">
        <f t="shared" si="49"/>
        <v>0</v>
      </c>
      <c r="AR180" s="86">
        <f t="shared" si="50"/>
        <v>0</v>
      </c>
      <c r="AS180" s="94">
        <f t="shared" si="51"/>
        <v>0</v>
      </c>
      <c r="AT180" s="94">
        <f t="shared" si="52"/>
        <v>0</v>
      </c>
      <c r="AU180" s="94">
        <f t="shared" si="53"/>
        <v>6.8064895148805381E-3</v>
      </c>
    </row>
    <row r="181" spans="1:47" x14ac:dyDescent="0.3">
      <c r="A181" s="85" t="str">
        <f>_xlfn.XLOOKUP(B181,'Country codes &amp; Data sources'!G:G,'Country codes &amp; Data sources'!H:H,,0)</f>
        <v>Cameroon</v>
      </c>
      <c r="B181" s="85" t="s">
        <v>168</v>
      </c>
      <c r="C181" s="86">
        <v>21032695</v>
      </c>
      <c r="D181" s="85" t="s">
        <v>133</v>
      </c>
      <c r="E181" s="87">
        <v>0</v>
      </c>
      <c r="F181" s="88">
        <v>21632850.000000004</v>
      </c>
      <c r="G181" s="87">
        <v>0</v>
      </c>
      <c r="I181" s="87">
        <v>0</v>
      </c>
      <c r="K181" s="87">
        <v>0</v>
      </c>
      <c r="M181" s="87">
        <v>0</v>
      </c>
      <c r="O181" s="87">
        <v>0</v>
      </c>
      <c r="P181" s="88">
        <v>25076746.500000015</v>
      </c>
      <c r="Q181" s="87">
        <v>241</v>
      </c>
      <c r="R181" s="87">
        <f t="shared" si="36"/>
        <v>241</v>
      </c>
      <c r="T181" s="87">
        <v>0</v>
      </c>
      <c r="V181" s="87">
        <v>112</v>
      </c>
      <c r="X181" s="87">
        <v>2247</v>
      </c>
      <c r="Y181" s="88">
        <v>27914536.499999989</v>
      </c>
      <c r="Z181" s="87">
        <v>293</v>
      </c>
      <c r="AA181" s="87">
        <v>0</v>
      </c>
      <c r="AB181" s="89">
        <f t="shared" si="37"/>
        <v>0</v>
      </c>
      <c r="AC181" s="89">
        <f t="shared" si="38"/>
        <v>241</v>
      </c>
      <c r="AD181" s="89">
        <f t="shared" si="39"/>
        <v>2247</v>
      </c>
      <c r="AE181" s="90">
        <f t="shared" si="40"/>
        <v>0</v>
      </c>
      <c r="AF181" s="90" t="str">
        <f t="shared" si="41"/>
        <v/>
      </c>
      <c r="AG181" s="90">
        <f t="shared" si="42"/>
        <v>241</v>
      </c>
      <c r="AH181" s="90">
        <f t="shared" si="43"/>
        <v>2018</v>
      </c>
      <c r="AI181" s="90">
        <f t="shared" si="44"/>
        <v>293</v>
      </c>
      <c r="AJ181" s="90">
        <f t="shared" si="45"/>
        <v>2022</v>
      </c>
      <c r="AK181" s="90" t="str">
        <f t="shared" si="46"/>
        <v/>
      </c>
      <c r="AL181" s="91">
        <f>IF(AK181="Adjust",(_xlfn.XLOOKUP(A181,'Adj factor'!A:A,'Adj factor'!I:I,,0)*AI181),'Master DataSheet'!AI181)</f>
        <v>293</v>
      </c>
      <c r="AM181" s="91">
        <f t="shared" si="47"/>
        <v>293</v>
      </c>
      <c r="AN181" s="92" t="str">
        <f t="shared" si="48"/>
        <v>Increasing</v>
      </c>
      <c r="AO181" s="93">
        <f>VLOOKUP(B181,'Growthrates source'!A$2:H$49,8,FALSE)</f>
        <v>-1.4958984742070136E-2</v>
      </c>
      <c r="AP181" s="93">
        <f>VLOOKUP(B181,'Growthrates source'!A$2:I$49,9,FALSE)</f>
        <v>0.1904674530041961</v>
      </c>
      <c r="AQ181" s="86">
        <f t="shared" si="49"/>
        <v>0</v>
      </c>
      <c r="AR181" s="86">
        <f t="shared" si="50"/>
        <v>0</v>
      </c>
      <c r="AS181" s="94">
        <f t="shared" si="51"/>
        <v>0</v>
      </c>
      <c r="AT181" s="94">
        <f t="shared" si="52"/>
        <v>9.6104971193132993E-2</v>
      </c>
      <c r="AU181" s="94">
        <f t="shared" si="53"/>
        <v>0.10496323304526303</v>
      </c>
    </row>
    <row r="182" spans="1:47" x14ac:dyDescent="0.3">
      <c r="A182" s="85" t="str">
        <f>_xlfn.XLOOKUP(B182,'Country codes &amp; Data sources'!G:G,'Country codes &amp; Data sources'!H:H,,0)</f>
        <v>Cameroon</v>
      </c>
      <c r="B182" s="85" t="s">
        <v>168</v>
      </c>
      <c r="C182" s="86">
        <v>21032696</v>
      </c>
      <c r="D182" s="85" t="s">
        <v>206</v>
      </c>
      <c r="E182" s="87">
        <v>0</v>
      </c>
      <c r="F182" s="88">
        <v>21632850.000000004</v>
      </c>
      <c r="G182" s="87">
        <v>0</v>
      </c>
      <c r="I182" s="87">
        <v>0</v>
      </c>
      <c r="K182" s="87">
        <v>0</v>
      </c>
      <c r="M182" s="87">
        <v>0</v>
      </c>
      <c r="O182" s="87">
        <v>0</v>
      </c>
      <c r="P182" s="88">
        <v>25076746.500000015</v>
      </c>
      <c r="Q182" s="87">
        <v>0</v>
      </c>
      <c r="R182" s="87">
        <f t="shared" si="36"/>
        <v>0</v>
      </c>
      <c r="T182" s="87">
        <v>0</v>
      </c>
      <c r="V182" s="87">
        <v>6</v>
      </c>
      <c r="X182" s="87">
        <v>0</v>
      </c>
      <c r="Y182" s="88">
        <v>27914536.499999989</v>
      </c>
      <c r="Z182" s="87">
        <v>118</v>
      </c>
      <c r="AA182" s="87">
        <v>0</v>
      </c>
      <c r="AB182" s="89">
        <f t="shared" si="37"/>
        <v>0</v>
      </c>
      <c r="AC182" s="89">
        <f t="shared" si="38"/>
        <v>0</v>
      </c>
      <c r="AD182" s="89">
        <f t="shared" si="39"/>
        <v>118</v>
      </c>
      <c r="AE182" s="90">
        <f t="shared" si="40"/>
        <v>0</v>
      </c>
      <c r="AF182" s="90" t="str">
        <f t="shared" si="41"/>
        <v/>
      </c>
      <c r="AG182" s="90">
        <f t="shared" si="42"/>
        <v>0</v>
      </c>
      <c r="AH182" s="90" t="str">
        <f t="shared" si="43"/>
        <v/>
      </c>
      <c r="AI182" s="90">
        <f t="shared" si="44"/>
        <v>118</v>
      </c>
      <c r="AJ182" s="90">
        <f t="shared" si="45"/>
        <v>2022</v>
      </c>
      <c r="AK182" s="90" t="str">
        <f t="shared" si="46"/>
        <v/>
      </c>
      <c r="AL182" s="91">
        <f>IF(AK182="Adjust",(_xlfn.XLOOKUP(A182,'Adj factor'!A:A,'Adj factor'!I:I,,0)*AI182),'Master DataSheet'!AI182)</f>
        <v>118</v>
      </c>
      <c r="AM182" s="91">
        <f t="shared" si="47"/>
        <v>118</v>
      </c>
      <c r="AN182" s="92" t="str">
        <f t="shared" si="48"/>
        <v>Increasing</v>
      </c>
      <c r="AO182" s="93">
        <f>VLOOKUP(B182,'Growthrates source'!A$2:H$49,8,FALSE)</f>
        <v>-1.4958984742070136E-2</v>
      </c>
      <c r="AP182" s="93">
        <f>VLOOKUP(B182,'Growthrates source'!A$2:I$49,9,FALSE)</f>
        <v>0.1904674530041961</v>
      </c>
      <c r="AQ182" s="86">
        <f t="shared" si="49"/>
        <v>0</v>
      </c>
      <c r="AR182" s="86">
        <f t="shared" si="50"/>
        <v>0</v>
      </c>
      <c r="AS182" s="94">
        <f t="shared" si="51"/>
        <v>0</v>
      </c>
      <c r="AT182" s="94">
        <f t="shared" si="52"/>
        <v>0</v>
      </c>
      <c r="AU182" s="94">
        <f t="shared" si="53"/>
        <v>4.2271882250310713E-2</v>
      </c>
    </row>
    <row r="183" spans="1:47" x14ac:dyDescent="0.3">
      <c r="A183" s="85" t="str">
        <f>_xlfn.XLOOKUP(B183,'Country codes &amp; Data sources'!G:G,'Country codes &amp; Data sources'!H:H,,0)</f>
        <v>Cameroon</v>
      </c>
      <c r="B183" s="85" t="s">
        <v>168</v>
      </c>
      <c r="C183" s="86">
        <v>21032697</v>
      </c>
      <c r="D183" s="85" t="s">
        <v>136</v>
      </c>
      <c r="E183" s="87">
        <v>0</v>
      </c>
      <c r="F183" s="88">
        <v>21632850.000000004</v>
      </c>
      <c r="G183" s="87">
        <v>0</v>
      </c>
      <c r="I183" s="87">
        <v>0</v>
      </c>
      <c r="K183" s="87">
        <v>0</v>
      </c>
      <c r="M183" s="87">
        <v>0</v>
      </c>
      <c r="O183" s="87">
        <v>0</v>
      </c>
      <c r="P183" s="88">
        <v>25076746.500000015</v>
      </c>
      <c r="Q183" s="87">
        <v>0</v>
      </c>
      <c r="R183" s="87">
        <f t="shared" si="36"/>
        <v>124</v>
      </c>
      <c r="T183" s="87">
        <v>0</v>
      </c>
      <c r="V183" s="87">
        <v>73</v>
      </c>
      <c r="X183" s="87">
        <v>267</v>
      </c>
      <c r="Y183" s="88">
        <v>27914536.499999989</v>
      </c>
      <c r="Z183" s="87">
        <v>4864</v>
      </c>
      <c r="AA183" s="87">
        <v>124</v>
      </c>
      <c r="AB183" s="89">
        <f t="shared" si="37"/>
        <v>0</v>
      </c>
      <c r="AC183" s="89">
        <f t="shared" si="38"/>
        <v>0</v>
      </c>
      <c r="AD183" s="89">
        <f t="shared" si="39"/>
        <v>4864</v>
      </c>
      <c r="AE183" s="90">
        <f t="shared" si="40"/>
        <v>0</v>
      </c>
      <c r="AF183" s="90" t="str">
        <f t="shared" si="41"/>
        <v/>
      </c>
      <c r="AG183" s="90">
        <f t="shared" si="42"/>
        <v>124</v>
      </c>
      <c r="AH183" s="90" t="str">
        <f t="shared" si="43"/>
        <v>2018 (triag)</v>
      </c>
      <c r="AI183" s="90">
        <f t="shared" si="44"/>
        <v>4864</v>
      </c>
      <c r="AJ183" s="90">
        <f t="shared" si="45"/>
        <v>2022</v>
      </c>
      <c r="AK183" s="90" t="str">
        <f t="shared" si="46"/>
        <v/>
      </c>
      <c r="AL183" s="91">
        <f>IF(AK183="Adjust",(_xlfn.XLOOKUP(A183,'Adj factor'!A:A,'Adj factor'!I:I,,0)*AI183),'Master DataSheet'!AI183)</f>
        <v>4864</v>
      </c>
      <c r="AM183" s="91">
        <f t="shared" si="47"/>
        <v>4864</v>
      </c>
      <c r="AN183" s="92" t="str">
        <f t="shared" si="48"/>
        <v>Increasing</v>
      </c>
      <c r="AO183" s="93">
        <f>VLOOKUP(B183,'Growthrates source'!A$2:H$49,8,FALSE)</f>
        <v>-1.4958984742070136E-2</v>
      </c>
      <c r="AP183" s="93">
        <f>VLOOKUP(B183,'Growthrates source'!A$2:I$49,9,FALSE)</f>
        <v>0.1904674530041961</v>
      </c>
      <c r="AQ183" s="86">
        <f t="shared" si="49"/>
        <v>133.6302275082644</v>
      </c>
      <c r="AR183" s="86">
        <f t="shared" si="50"/>
        <v>219.57281849246843</v>
      </c>
      <c r="AS183" s="94">
        <f t="shared" si="51"/>
        <v>0</v>
      </c>
      <c r="AT183" s="94">
        <f t="shared" si="52"/>
        <v>4.9448200945844359E-2</v>
      </c>
      <c r="AU183" s="94">
        <f t="shared" si="53"/>
        <v>1.7424613158094178</v>
      </c>
    </row>
    <row r="184" spans="1:47" x14ac:dyDescent="0.3">
      <c r="A184" s="85" t="str">
        <f>_xlfn.XLOOKUP(B184,'Country codes &amp; Data sources'!G:G,'Country codes &amp; Data sources'!H:H,,0)</f>
        <v>Cameroon</v>
      </c>
      <c r="B184" s="85" t="s">
        <v>168</v>
      </c>
      <c r="C184" s="86">
        <v>21032698</v>
      </c>
      <c r="D184" s="85" t="s">
        <v>207</v>
      </c>
      <c r="E184" s="87">
        <v>0</v>
      </c>
      <c r="F184" s="88">
        <v>21632850.000000004</v>
      </c>
      <c r="G184" s="87">
        <v>0</v>
      </c>
      <c r="I184" s="87">
        <v>0</v>
      </c>
      <c r="K184" s="87">
        <v>0</v>
      </c>
      <c r="M184" s="87">
        <v>0</v>
      </c>
      <c r="O184" s="87">
        <v>0</v>
      </c>
      <c r="P184" s="88">
        <v>25076746.500000015</v>
      </c>
      <c r="Q184" s="87">
        <v>0</v>
      </c>
      <c r="R184" s="87">
        <f t="shared" si="36"/>
        <v>0</v>
      </c>
      <c r="T184" s="87">
        <v>0</v>
      </c>
      <c r="V184" s="87">
        <v>4</v>
      </c>
      <c r="X184" s="87">
        <v>0</v>
      </c>
      <c r="Y184" s="88">
        <v>27914536.499999989</v>
      </c>
      <c r="Z184" s="87">
        <v>85</v>
      </c>
      <c r="AA184" s="87">
        <v>0</v>
      </c>
      <c r="AB184" s="89">
        <f t="shared" si="37"/>
        <v>0</v>
      </c>
      <c r="AC184" s="89">
        <f t="shared" si="38"/>
        <v>0</v>
      </c>
      <c r="AD184" s="89">
        <f t="shared" si="39"/>
        <v>85</v>
      </c>
      <c r="AE184" s="90">
        <f t="shared" si="40"/>
        <v>0</v>
      </c>
      <c r="AF184" s="90" t="str">
        <f t="shared" si="41"/>
        <v/>
      </c>
      <c r="AG184" s="90">
        <f t="shared" si="42"/>
        <v>0</v>
      </c>
      <c r="AH184" s="90" t="str">
        <f t="shared" si="43"/>
        <v/>
      </c>
      <c r="AI184" s="90">
        <f t="shared" si="44"/>
        <v>85</v>
      </c>
      <c r="AJ184" s="90">
        <f t="shared" si="45"/>
        <v>2022</v>
      </c>
      <c r="AK184" s="90" t="str">
        <f t="shared" si="46"/>
        <v/>
      </c>
      <c r="AL184" s="91">
        <f>IF(AK184="Adjust",(_xlfn.XLOOKUP(A184,'Adj factor'!A:A,'Adj factor'!I:I,,0)*AI184),'Master DataSheet'!AI184)</f>
        <v>85</v>
      </c>
      <c r="AM184" s="91">
        <f t="shared" si="47"/>
        <v>85</v>
      </c>
      <c r="AN184" s="92" t="str">
        <f t="shared" si="48"/>
        <v>Increasing</v>
      </c>
      <c r="AO184" s="93">
        <f>VLOOKUP(B184,'Growthrates source'!A$2:H$49,8,FALSE)</f>
        <v>-1.4958984742070136E-2</v>
      </c>
      <c r="AP184" s="93">
        <f>VLOOKUP(B184,'Growthrates source'!A$2:I$49,9,FALSE)</f>
        <v>0.1904674530041961</v>
      </c>
      <c r="AQ184" s="86">
        <f t="shared" si="49"/>
        <v>0</v>
      </c>
      <c r="AR184" s="86">
        <f t="shared" si="50"/>
        <v>0</v>
      </c>
      <c r="AS184" s="94">
        <f t="shared" si="51"/>
        <v>0</v>
      </c>
      <c r="AT184" s="94">
        <f t="shared" si="52"/>
        <v>0</v>
      </c>
      <c r="AU184" s="94">
        <f t="shared" si="53"/>
        <v>3.0450084671833987E-2</v>
      </c>
    </row>
    <row r="185" spans="1:47" x14ac:dyDescent="0.3">
      <c r="A185" s="85" t="str">
        <f>_xlfn.XLOOKUP(B185,'Country codes &amp; Data sources'!G:G,'Country codes &amp; Data sources'!H:H,,0)</f>
        <v>Cameroon</v>
      </c>
      <c r="B185" s="85" t="s">
        <v>168</v>
      </c>
      <c r="C185" s="86">
        <v>21032699</v>
      </c>
      <c r="D185" s="85" t="s">
        <v>141</v>
      </c>
      <c r="E185" s="87">
        <v>0</v>
      </c>
      <c r="F185" s="88">
        <v>21632850.000000004</v>
      </c>
      <c r="G185" s="87">
        <v>0</v>
      </c>
      <c r="I185" s="87">
        <v>0</v>
      </c>
      <c r="K185" s="87">
        <v>0</v>
      </c>
      <c r="M185" s="87">
        <v>0</v>
      </c>
      <c r="O185" s="87">
        <v>0</v>
      </c>
      <c r="P185" s="88">
        <v>25076746.500000015</v>
      </c>
      <c r="Q185" s="87">
        <v>0</v>
      </c>
      <c r="R185" s="87">
        <f t="shared" si="36"/>
        <v>0</v>
      </c>
      <c r="T185" s="87">
        <v>0</v>
      </c>
      <c r="V185" s="87">
        <v>207</v>
      </c>
      <c r="X185" s="87">
        <v>0</v>
      </c>
      <c r="Y185" s="88">
        <v>27914536.499999989</v>
      </c>
      <c r="Z185" s="87">
        <v>10</v>
      </c>
      <c r="AA185" s="87">
        <v>0</v>
      </c>
      <c r="AB185" s="89">
        <f t="shared" si="37"/>
        <v>0</v>
      </c>
      <c r="AC185" s="89">
        <f t="shared" si="38"/>
        <v>0</v>
      </c>
      <c r="AD185" s="89">
        <f t="shared" si="39"/>
        <v>207</v>
      </c>
      <c r="AE185" s="90">
        <f t="shared" si="40"/>
        <v>0</v>
      </c>
      <c r="AF185" s="90" t="str">
        <f t="shared" si="41"/>
        <v/>
      </c>
      <c r="AG185" s="90">
        <f t="shared" si="42"/>
        <v>0</v>
      </c>
      <c r="AH185" s="90" t="str">
        <f t="shared" si="43"/>
        <v/>
      </c>
      <c r="AI185" s="90">
        <f t="shared" si="44"/>
        <v>10</v>
      </c>
      <c r="AJ185" s="90">
        <f t="shared" si="45"/>
        <v>2022</v>
      </c>
      <c r="AK185" s="90" t="str">
        <f t="shared" si="46"/>
        <v/>
      </c>
      <c r="AL185" s="91">
        <f>IF(AK185="Adjust",(_xlfn.XLOOKUP(A185,'Adj factor'!A:A,'Adj factor'!I:I,,0)*AI185),'Master DataSheet'!AI185)</f>
        <v>10</v>
      </c>
      <c r="AM185" s="91">
        <f t="shared" si="47"/>
        <v>10</v>
      </c>
      <c r="AN185" s="92" t="str">
        <f t="shared" si="48"/>
        <v>Increasing</v>
      </c>
      <c r="AO185" s="93">
        <f>VLOOKUP(B185,'Growthrates source'!A$2:H$49,8,FALSE)</f>
        <v>-1.4958984742070136E-2</v>
      </c>
      <c r="AP185" s="93">
        <f>VLOOKUP(B185,'Growthrates source'!A$2:I$49,9,FALSE)</f>
        <v>0.1904674530041961</v>
      </c>
      <c r="AQ185" s="86">
        <f t="shared" si="49"/>
        <v>0</v>
      </c>
      <c r="AR185" s="86">
        <f t="shared" si="50"/>
        <v>0</v>
      </c>
      <c r="AS185" s="94">
        <f t="shared" si="51"/>
        <v>0</v>
      </c>
      <c r="AT185" s="94">
        <f t="shared" si="52"/>
        <v>0</v>
      </c>
      <c r="AU185" s="94">
        <f t="shared" si="53"/>
        <v>3.5823629025687042E-3</v>
      </c>
    </row>
    <row r="186" spans="1:47" x14ac:dyDescent="0.3">
      <c r="A186" s="85" t="str">
        <f>_xlfn.XLOOKUP(B186,'Country codes &amp; Data sources'!G:G,'Country codes &amp; Data sources'!H:H,,0)</f>
        <v>Cameroon</v>
      </c>
      <c r="B186" s="85" t="s">
        <v>168</v>
      </c>
      <c r="C186" s="86">
        <v>21032700</v>
      </c>
      <c r="D186" s="85" t="s">
        <v>208</v>
      </c>
      <c r="E186" s="87">
        <v>0</v>
      </c>
      <c r="F186" s="88">
        <v>21632850.000000004</v>
      </c>
      <c r="G186" s="87">
        <v>0</v>
      </c>
      <c r="I186" s="87">
        <v>0</v>
      </c>
      <c r="K186" s="87">
        <v>0</v>
      </c>
      <c r="M186" s="87">
        <v>0</v>
      </c>
      <c r="O186" s="87">
        <v>0</v>
      </c>
      <c r="P186" s="88">
        <v>25076746.500000015</v>
      </c>
      <c r="Q186" s="87">
        <v>0</v>
      </c>
      <c r="R186" s="87">
        <f t="shared" si="36"/>
        <v>0</v>
      </c>
      <c r="T186" s="87">
        <v>0</v>
      </c>
      <c r="V186" s="87">
        <v>1406</v>
      </c>
      <c r="X186" s="87">
        <v>0</v>
      </c>
      <c r="Y186" s="88">
        <v>27914536.499999989</v>
      </c>
      <c r="Z186" s="87">
        <v>5</v>
      </c>
      <c r="AA186" s="87">
        <v>0</v>
      </c>
      <c r="AB186" s="89">
        <f t="shared" si="37"/>
        <v>0</v>
      </c>
      <c r="AC186" s="89">
        <f t="shared" si="38"/>
        <v>0</v>
      </c>
      <c r="AD186" s="89">
        <f t="shared" si="39"/>
        <v>1406</v>
      </c>
      <c r="AE186" s="90">
        <f t="shared" si="40"/>
        <v>0</v>
      </c>
      <c r="AF186" s="90" t="str">
        <f t="shared" si="41"/>
        <v/>
      </c>
      <c r="AG186" s="90">
        <f t="shared" si="42"/>
        <v>0</v>
      </c>
      <c r="AH186" s="90" t="str">
        <f t="shared" si="43"/>
        <v/>
      </c>
      <c r="AI186" s="90">
        <f t="shared" si="44"/>
        <v>5</v>
      </c>
      <c r="AJ186" s="90">
        <f t="shared" si="45"/>
        <v>2022</v>
      </c>
      <c r="AK186" s="90" t="str">
        <f t="shared" si="46"/>
        <v/>
      </c>
      <c r="AL186" s="91">
        <f>IF(AK186="Adjust",(_xlfn.XLOOKUP(A186,'Adj factor'!A:A,'Adj factor'!I:I,,0)*AI186),'Master DataSheet'!AI186)</f>
        <v>5</v>
      </c>
      <c r="AM186" s="91">
        <f t="shared" si="47"/>
        <v>5</v>
      </c>
      <c r="AN186" s="92" t="str">
        <f t="shared" si="48"/>
        <v>Increasing</v>
      </c>
      <c r="AO186" s="93">
        <f>VLOOKUP(B186,'Growthrates source'!A$2:H$49,8,FALSE)</f>
        <v>-1.4958984742070136E-2</v>
      </c>
      <c r="AP186" s="93">
        <f>VLOOKUP(B186,'Growthrates source'!A$2:I$49,9,FALSE)</f>
        <v>0.1904674530041961</v>
      </c>
      <c r="AQ186" s="86">
        <f t="shared" si="49"/>
        <v>0</v>
      </c>
      <c r="AR186" s="86">
        <f t="shared" si="50"/>
        <v>0</v>
      </c>
      <c r="AS186" s="94">
        <f t="shared" si="51"/>
        <v>0</v>
      </c>
      <c r="AT186" s="94">
        <f t="shared" si="52"/>
        <v>0</v>
      </c>
      <c r="AU186" s="94">
        <f t="shared" si="53"/>
        <v>1.7911814512843521E-3</v>
      </c>
    </row>
    <row r="187" spans="1:47" x14ac:dyDescent="0.3">
      <c r="A187" s="85" t="str">
        <f>_xlfn.XLOOKUP(B187,'Country codes &amp; Data sources'!G:G,'Country codes &amp; Data sources'!H:H,,0)</f>
        <v>Cameroon</v>
      </c>
      <c r="B187" s="85" t="s">
        <v>168</v>
      </c>
      <c r="C187" s="86">
        <v>21032701</v>
      </c>
      <c r="D187" s="85" t="s">
        <v>209</v>
      </c>
      <c r="E187" s="87">
        <v>0</v>
      </c>
      <c r="F187" s="88">
        <v>21632850.000000004</v>
      </c>
      <c r="G187" s="87">
        <v>0</v>
      </c>
      <c r="I187" s="87">
        <v>0</v>
      </c>
      <c r="K187" s="87">
        <v>0</v>
      </c>
      <c r="M187" s="87">
        <v>0</v>
      </c>
      <c r="O187" s="87">
        <v>0</v>
      </c>
      <c r="P187" s="88">
        <v>25076746.500000015</v>
      </c>
      <c r="Q187" s="87">
        <v>0</v>
      </c>
      <c r="R187" s="87">
        <f t="shared" si="36"/>
        <v>0</v>
      </c>
      <c r="T187" s="87">
        <v>0</v>
      </c>
      <c r="V187" s="87">
        <v>152</v>
      </c>
      <c r="X187" s="87">
        <v>0</v>
      </c>
      <c r="Y187" s="88">
        <v>27914536.499999989</v>
      </c>
      <c r="Z187" s="87">
        <v>74</v>
      </c>
      <c r="AA187" s="87">
        <v>0</v>
      </c>
      <c r="AB187" s="89">
        <f t="shared" si="37"/>
        <v>0</v>
      </c>
      <c r="AC187" s="89">
        <f t="shared" si="38"/>
        <v>0</v>
      </c>
      <c r="AD187" s="89">
        <f t="shared" si="39"/>
        <v>152</v>
      </c>
      <c r="AE187" s="90">
        <f t="shared" si="40"/>
        <v>0</v>
      </c>
      <c r="AF187" s="90" t="str">
        <f t="shared" si="41"/>
        <v/>
      </c>
      <c r="AG187" s="90">
        <f t="shared" si="42"/>
        <v>0</v>
      </c>
      <c r="AH187" s="90" t="str">
        <f t="shared" si="43"/>
        <v/>
      </c>
      <c r="AI187" s="90">
        <f t="shared" si="44"/>
        <v>74</v>
      </c>
      <c r="AJ187" s="90">
        <f t="shared" si="45"/>
        <v>2022</v>
      </c>
      <c r="AK187" s="90" t="str">
        <f t="shared" si="46"/>
        <v/>
      </c>
      <c r="AL187" s="91">
        <f>IF(AK187="Adjust",(_xlfn.XLOOKUP(A187,'Adj factor'!A:A,'Adj factor'!I:I,,0)*AI187),'Master DataSheet'!AI187)</f>
        <v>74</v>
      </c>
      <c r="AM187" s="91">
        <f t="shared" si="47"/>
        <v>74</v>
      </c>
      <c r="AN187" s="92" t="str">
        <f t="shared" si="48"/>
        <v>Increasing</v>
      </c>
      <c r="AO187" s="93">
        <f>VLOOKUP(B187,'Growthrates source'!A$2:H$49,8,FALSE)</f>
        <v>-1.4958984742070136E-2</v>
      </c>
      <c r="AP187" s="93">
        <f>VLOOKUP(B187,'Growthrates source'!A$2:I$49,9,FALSE)</f>
        <v>0.1904674530041961</v>
      </c>
      <c r="AQ187" s="86">
        <f t="shared" si="49"/>
        <v>0</v>
      </c>
      <c r="AR187" s="86">
        <f t="shared" si="50"/>
        <v>0</v>
      </c>
      <c r="AS187" s="94">
        <f t="shared" si="51"/>
        <v>0</v>
      </c>
      <c r="AT187" s="94">
        <f t="shared" si="52"/>
        <v>0</v>
      </c>
      <c r="AU187" s="94">
        <f t="shared" si="53"/>
        <v>2.6509485479008412E-2</v>
      </c>
    </row>
    <row r="188" spans="1:47" x14ac:dyDescent="0.3">
      <c r="A188" s="85" t="str">
        <f>_xlfn.XLOOKUP(B188,'Country codes &amp; Data sources'!G:G,'Country codes &amp; Data sources'!H:H,,0)</f>
        <v>Cameroon</v>
      </c>
      <c r="B188" s="85" t="s">
        <v>168</v>
      </c>
      <c r="C188" s="86">
        <v>21032702</v>
      </c>
      <c r="D188" s="85" t="s">
        <v>134</v>
      </c>
      <c r="E188" s="87">
        <v>0</v>
      </c>
      <c r="F188" s="88">
        <v>21632850.000000004</v>
      </c>
      <c r="G188" s="87">
        <v>0</v>
      </c>
      <c r="I188" s="87">
        <v>0</v>
      </c>
      <c r="K188" s="87">
        <v>0</v>
      </c>
      <c r="M188" s="87">
        <v>0</v>
      </c>
      <c r="O188" s="87">
        <v>0</v>
      </c>
      <c r="P188" s="88">
        <v>25076746.500000015</v>
      </c>
      <c r="Q188" s="87">
        <v>0</v>
      </c>
      <c r="R188" s="87">
        <f t="shared" si="36"/>
        <v>5235</v>
      </c>
      <c r="T188" s="87">
        <v>0</v>
      </c>
      <c r="V188" s="87">
        <v>48</v>
      </c>
      <c r="X188" s="87">
        <v>249</v>
      </c>
      <c r="Y188" s="88">
        <v>27914536.499999989</v>
      </c>
      <c r="Z188" s="87">
        <v>161</v>
      </c>
      <c r="AA188" s="87">
        <v>5235</v>
      </c>
      <c r="AB188" s="89">
        <f t="shared" si="37"/>
        <v>0</v>
      </c>
      <c r="AC188" s="89">
        <f t="shared" si="38"/>
        <v>0</v>
      </c>
      <c r="AD188" s="89">
        <f t="shared" si="39"/>
        <v>249</v>
      </c>
      <c r="AE188" s="90">
        <f t="shared" si="40"/>
        <v>0</v>
      </c>
      <c r="AF188" s="90" t="str">
        <f t="shared" si="41"/>
        <v/>
      </c>
      <c r="AG188" s="90">
        <f t="shared" si="42"/>
        <v>5235</v>
      </c>
      <c r="AH188" s="90" t="str">
        <f t="shared" si="43"/>
        <v>2018 (triag)</v>
      </c>
      <c r="AI188" s="90">
        <f t="shared" si="44"/>
        <v>161</v>
      </c>
      <c r="AJ188" s="90">
        <f t="shared" si="45"/>
        <v>2022</v>
      </c>
      <c r="AK188" s="90" t="str">
        <f t="shared" si="46"/>
        <v>Adjust</v>
      </c>
      <c r="AL188" s="91">
        <f>IF(AK188="Adjust",(_xlfn.XLOOKUP(A188,'Adj factor'!A:A,'Adj factor'!I:I,,0)*AI188),'Master DataSheet'!AI188)</f>
        <v>238.52656260037256</v>
      </c>
      <c r="AM188" s="91">
        <f t="shared" si="47"/>
        <v>5235</v>
      </c>
      <c r="AN188" s="92" t="str">
        <f t="shared" si="48"/>
        <v>Decreasing</v>
      </c>
      <c r="AO188" s="93">
        <f>VLOOKUP(B188,'Growthrates source'!A$2:H$49,8,FALSE)</f>
        <v>-1.4958984742070136E-2</v>
      </c>
      <c r="AP188" s="93">
        <f>VLOOKUP(B188,'Growthrates source'!A$2:I$49,9,FALSE)</f>
        <v>0.1904674530041961</v>
      </c>
      <c r="AQ188" s="86">
        <f t="shared" si="49"/>
        <v>5641.5664597239038</v>
      </c>
      <c r="AR188" s="86">
        <f t="shared" si="50"/>
        <v>9269.8685871618727</v>
      </c>
      <c r="AS188" s="94">
        <f t="shared" si="51"/>
        <v>0</v>
      </c>
      <c r="AT188" s="94">
        <f t="shared" si="52"/>
        <v>2.0875913867056068</v>
      </c>
      <c r="AU188" s="94">
        <f t="shared" si="53"/>
        <v>1.8753669794947168</v>
      </c>
    </row>
    <row r="189" spans="1:47" x14ac:dyDescent="0.3">
      <c r="A189" s="85" t="str">
        <f>_xlfn.XLOOKUP(B189,'Country codes &amp; Data sources'!G:G,'Country codes &amp; Data sources'!H:H,,0)</f>
        <v>Cameroon</v>
      </c>
      <c r="B189" s="85" t="s">
        <v>168</v>
      </c>
      <c r="C189" s="86">
        <v>21032703</v>
      </c>
      <c r="D189" s="85" t="s">
        <v>142</v>
      </c>
      <c r="E189" s="87">
        <v>0</v>
      </c>
      <c r="F189" s="88">
        <v>21632850.000000004</v>
      </c>
      <c r="G189" s="87">
        <v>0</v>
      </c>
      <c r="I189" s="87">
        <v>0</v>
      </c>
      <c r="K189" s="87">
        <v>0</v>
      </c>
      <c r="M189" s="87">
        <v>0</v>
      </c>
      <c r="O189" s="87">
        <v>0</v>
      </c>
      <c r="P189" s="88">
        <v>25076746.500000015</v>
      </c>
      <c r="Q189" s="87">
        <v>0</v>
      </c>
      <c r="R189" s="87">
        <f t="shared" si="36"/>
        <v>0</v>
      </c>
      <c r="T189" s="87">
        <v>0</v>
      </c>
      <c r="V189" s="87">
        <v>2098</v>
      </c>
      <c r="X189" s="87">
        <v>0</v>
      </c>
      <c r="Y189" s="88">
        <v>27914536.499999989</v>
      </c>
      <c r="Z189" s="87">
        <v>34</v>
      </c>
      <c r="AA189" s="87">
        <v>0</v>
      </c>
      <c r="AB189" s="89">
        <f t="shared" si="37"/>
        <v>0</v>
      </c>
      <c r="AC189" s="89">
        <f t="shared" si="38"/>
        <v>0</v>
      </c>
      <c r="AD189" s="89">
        <f t="shared" si="39"/>
        <v>2098</v>
      </c>
      <c r="AE189" s="90">
        <f t="shared" si="40"/>
        <v>0</v>
      </c>
      <c r="AF189" s="90" t="str">
        <f t="shared" si="41"/>
        <v/>
      </c>
      <c r="AG189" s="90">
        <f t="shared" si="42"/>
        <v>0</v>
      </c>
      <c r="AH189" s="90" t="str">
        <f t="shared" si="43"/>
        <v/>
      </c>
      <c r="AI189" s="90">
        <f t="shared" si="44"/>
        <v>34</v>
      </c>
      <c r="AJ189" s="90">
        <f t="shared" si="45"/>
        <v>2022</v>
      </c>
      <c r="AK189" s="90" t="str">
        <f t="shared" si="46"/>
        <v/>
      </c>
      <c r="AL189" s="91">
        <f>IF(AK189="Adjust",(_xlfn.XLOOKUP(A189,'Adj factor'!A:A,'Adj factor'!I:I,,0)*AI189),'Master DataSheet'!AI189)</f>
        <v>34</v>
      </c>
      <c r="AM189" s="91">
        <f t="shared" si="47"/>
        <v>34</v>
      </c>
      <c r="AN189" s="92" t="str">
        <f t="shared" si="48"/>
        <v>Increasing</v>
      </c>
      <c r="AO189" s="93">
        <f>VLOOKUP(B189,'Growthrates source'!A$2:H$49,8,FALSE)</f>
        <v>-1.4958984742070136E-2</v>
      </c>
      <c r="AP189" s="93">
        <f>VLOOKUP(B189,'Growthrates source'!A$2:I$49,9,FALSE)</f>
        <v>0.1904674530041961</v>
      </c>
      <c r="AQ189" s="86">
        <f t="shared" si="49"/>
        <v>0</v>
      </c>
      <c r="AR189" s="86">
        <f t="shared" si="50"/>
        <v>0</v>
      </c>
      <c r="AS189" s="94">
        <f t="shared" si="51"/>
        <v>0</v>
      </c>
      <c r="AT189" s="94">
        <f t="shared" si="52"/>
        <v>0</v>
      </c>
      <c r="AU189" s="94">
        <f t="shared" si="53"/>
        <v>1.2180033868733595E-2</v>
      </c>
    </row>
    <row r="190" spans="1:47" x14ac:dyDescent="0.3">
      <c r="A190" s="85" t="str">
        <f>_xlfn.XLOOKUP(B190,'Country codes &amp; Data sources'!G:G,'Country codes &amp; Data sources'!H:H,,0)</f>
        <v>Cameroon</v>
      </c>
      <c r="B190" s="85" t="s">
        <v>168</v>
      </c>
      <c r="C190" s="86">
        <v>21032704</v>
      </c>
      <c r="D190" s="85" t="s">
        <v>83</v>
      </c>
      <c r="E190" s="87">
        <v>0</v>
      </c>
      <c r="F190" s="88">
        <v>21632850.000000004</v>
      </c>
      <c r="G190" s="87">
        <v>0</v>
      </c>
      <c r="I190" s="87">
        <v>0</v>
      </c>
      <c r="K190" s="87">
        <v>0</v>
      </c>
      <c r="M190" s="87">
        <v>0</v>
      </c>
      <c r="O190" s="87">
        <v>0</v>
      </c>
      <c r="P190" s="88">
        <v>25076746.500000015</v>
      </c>
      <c r="Q190" s="87">
        <v>0</v>
      </c>
      <c r="R190" s="87">
        <f t="shared" si="36"/>
        <v>0</v>
      </c>
      <c r="T190" s="87">
        <v>0</v>
      </c>
      <c r="V190" s="87">
        <v>69</v>
      </c>
      <c r="X190" s="87">
        <v>21</v>
      </c>
      <c r="Y190" s="88">
        <v>27914536.499999989</v>
      </c>
      <c r="Z190" s="87">
        <v>191</v>
      </c>
      <c r="AA190" s="87">
        <v>0</v>
      </c>
      <c r="AB190" s="89">
        <f t="shared" si="37"/>
        <v>0</v>
      </c>
      <c r="AC190" s="89">
        <f t="shared" si="38"/>
        <v>0</v>
      </c>
      <c r="AD190" s="89">
        <f t="shared" si="39"/>
        <v>191</v>
      </c>
      <c r="AE190" s="90">
        <f t="shared" si="40"/>
        <v>0</v>
      </c>
      <c r="AF190" s="90" t="str">
        <f t="shared" si="41"/>
        <v/>
      </c>
      <c r="AG190" s="90">
        <f t="shared" si="42"/>
        <v>0</v>
      </c>
      <c r="AH190" s="90" t="str">
        <f t="shared" si="43"/>
        <v/>
      </c>
      <c r="AI190" s="90">
        <f t="shared" si="44"/>
        <v>191</v>
      </c>
      <c r="AJ190" s="90">
        <f t="shared" si="45"/>
        <v>2022</v>
      </c>
      <c r="AK190" s="90" t="str">
        <f t="shared" si="46"/>
        <v/>
      </c>
      <c r="AL190" s="91">
        <f>IF(AK190="Adjust",(_xlfn.XLOOKUP(A190,'Adj factor'!A:A,'Adj factor'!I:I,,0)*AI190),'Master DataSheet'!AI190)</f>
        <v>191</v>
      </c>
      <c r="AM190" s="91">
        <f t="shared" si="47"/>
        <v>191</v>
      </c>
      <c r="AN190" s="92" t="str">
        <f t="shared" si="48"/>
        <v>Increasing</v>
      </c>
      <c r="AO190" s="93">
        <f>VLOOKUP(B190,'Growthrates source'!A$2:H$49,8,FALSE)</f>
        <v>-1.4958984742070136E-2</v>
      </c>
      <c r="AP190" s="93">
        <f>VLOOKUP(B190,'Growthrates source'!A$2:I$49,9,FALSE)</f>
        <v>0.1904674530041961</v>
      </c>
      <c r="AQ190" s="86">
        <f t="shared" si="49"/>
        <v>0</v>
      </c>
      <c r="AR190" s="86">
        <f t="shared" si="50"/>
        <v>0</v>
      </c>
      <c r="AS190" s="94">
        <f t="shared" si="51"/>
        <v>0</v>
      </c>
      <c r="AT190" s="94">
        <f t="shared" si="52"/>
        <v>0</v>
      </c>
      <c r="AU190" s="94">
        <f t="shared" si="53"/>
        <v>6.8423131439062257E-2</v>
      </c>
    </row>
    <row r="191" spans="1:47" x14ac:dyDescent="0.3">
      <c r="A191" s="85" t="str">
        <f>_xlfn.XLOOKUP(B191,'Country codes &amp; Data sources'!G:G,'Country codes &amp; Data sources'!H:H,,0)</f>
        <v>Cameroon</v>
      </c>
      <c r="B191" s="85" t="s">
        <v>168</v>
      </c>
      <c r="C191" s="86">
        <v>21032705</v>
      </c>
      <c r="D191" s="85" t="s">
        <v>84</v>
      </c>
      <c r="E191" s="87">
        <v>0</v>
      </c>
      <c r="F191" s="88">
        <v>21632850.000000004</v>
      </c>
      <c r="G191" s="87">
        <v>0</v>
      </c>
      <c r="I191" s="87">
        <v>0</v>
      </c>
      <c r="K191" s="87">
        <v>0</v>
      </c>
      <c r="M191" s="87">
        <v>0</v>
      </c>
      <c r="O191" s="87">
        <v>0</v>
      </c>
      <c r="P191" s="88">
        <v>25076746.500000015</v>
      </c>
      <c r="Q191" s="87">
        <v>0</v>
      </c>
      <c r="R191" s="87">
        <f t="shared" si="36"/>
        <v>0</v>
      </c>
      <c r="T191" s="87">
        <v>0</v>
      </c>
      <c r="V191" s="87">
        <v>64</v>
      </c>
      <c r="X191" s="87">
        <v>584</v>
      </c>
      <c r="Y191" s="88">
        <v>27914536.499999989</v>
      </c>
      <c r="Z191" s="87">
        <v>606</v>
      </c>
      <c r="AA191" s="87">
        <v>0</v>
      </c>
      <c r="AB191" s="89">
        <f t="shared" si="37"/>
        <v>0</v>
      </c>
      <c r="AC191" s="89">
        <f t="shared" si="38"/>
        <v>0</v>
      </c>
      <c r="AD191" s="89">
        <f t="shared" si="39"/>
        <v>606</v>
      </c>
      <c r="AE191" s="90">
        <f t="shared" si="40"/>
        <v>0</v>
      </c>
      <c r="AF191" s="90" t="str">
        <f t="shared" si="41"/>
        <v/>
      </c>
      <c r="AG191" s="90">
        <f t="shared" si="42"/>
        <v>0</v>
      </c>
      <c r="AH191" s="90" t="str">
        <f t="shared" si="43"/>
        <v/>
      </c>
      <c r="AI191" s="90">
        <f t="shared" si="44"/>
        <v>606</v>
      </c>
      <c r="AJ191" s="90">
        <f t="shared" si="45"/>
        <v>2022</v>
      </c>
      <c r="AK191" s="90" t="str">
        <f t="shared" si="46"/>
        <v/>
      </c>
      <c r="AL191" s="91">
        <f>IF(AK191="Adjust",(_xlfn.XLOOKUP(A191,'Adj factor'!A:A,'Adj factor'!I:I,,0)*AI191),'Master DataSheet'!AI191)</f>
        <v>606</v>
      </c>
      <c r="AM191" s="91">
        <f t="shared" si="47"/>
        <v>606</v>
      </c>
      <c r="AN191" s="92" t="str">
        <f t="shared" si="48"/>
        <v>Increasing</v>
      </c>
      <c r="AO191" s="93">
        <f>VLOOKUP(B191,'Growthrates source'!A$2:H$49,8,FALSE)</f>
        <v>-1.4958984742070136E-2</v>
      </c>
      <c r="AP191" s="93">
        <f>VLOOKUP(B191,'Growthrates source'!A$2:I$49,9,FALSE)</f>
        <v>0.1904674530041961</v>
      </c>
      <c r="AQ191" s="86">
        <f t="shared" si="49"/>
        <v>0</v>
      </c>
      <c r="AR191" s="86">
        <f t="shared" si="50"/>
        <v>0</v>
      </c>
      <c r="AS191" s="94">
        <f t="shared" si="51"/>
        <v>0</v>
      </c>
      <c r="AT191" s="94">
        <f t="shared" si="52"/>
        <v>0</v>
      </c>
      <c r="AU191" s="94">
        <f t="shared" si="53"/>
        <v>0.21709119189566348</v>
      </c>
    </row>
    <row r="192" spans="1:47" x14ac:dyDescent="0.3">
      <c r="A192" s="85" t="str">
        <f>_xlfn.XLOOKUP(B192,'Country codes &amp; Data sources'!G:G,'Country codes &amp; Data sources'!H:H,,0)</f>
        <v>Cameroon</v>
      </c>
      <c r="B192" s="85" t="s">
        <v>168</v>
      </c>
      <c r="C192" s="86">
        <v>21032706</v>
      </c>
      <c r="D192" s="85" t="s">
        <v>126</v>
      </c>
      <c r="E192" s="87">
        <v>0</v>
      </c>
      <c r="F192" s="88">
        <v>21632850.000000004</v>
      </c>
      <c r="G192" s="87">
        <v>0</v>
      </c>
      <c r="I192" s="87">
        <v>0</v>
      </c>
      <c r="K192" s="87">
        <v>0</v>
      </c>
      <c r="M192" s="87">
        <v>0</v>
      </c>
      <c r="O192" s="87">
        <v>0</v>
      </c>
      <c r="P192" s="88">
        <v>25076746.500000015</v>
      </c>
      <c r="Q192" s="87">
        <v>0</v>
      </c>
      <c r="R192" s="87">
        <f t="shared" si="36"/>
        <v>0</v>
      </c>
      <c r="T192" s="87">
        <v>0</v>
      </c>
      <c r="V192" s="87">
        <v>2</v>
      </c>
      <c r="X192" s="87">
        <v>0</v>
      </c>
      <c r="Y192" s="88">
        <v>27914536.499999989</v>
      </c>
      <c r="Z192" s="87">
        <v>0</v>
      </c>
      <c r="AA192" s="87">
        <v>0</v>
      </c>
      <c r="AB192" s="89">
        <f t="shared" si="37"/>
        <v>0</v>
      </c>
      <c r="AC192" s="89">
        <f t="shared" si="38"/>
        <v>0</v>
      </c>
      <c r="AD192" s="89">
        <f t="shared" si="39"/>
        <v>2</v>
      </c>
      <c r="AE192" s="90">
        <f t="shared" si="40"/>
        <v>0</v>
      </c>
      <c r="AF192" s="90" t="str">
        <f t="shared" si="41"/>
        <v/>
      </c>
      <c r="AG192" s="90">
        <f t="shared" si="42"/>
        <v>0</v>
      </c>
      <c r="AH192" s="90" t="str">
        <f t="shared" si="43"/>
        <v/>
      </c>
      <c r="AI192" s="90">
        <f t="shared" si="44"/>
        <v>2</v>
      </c>
      <c r="AJ192" s="90">
        <f t="shared" si="45"/>
        <v>2020</v>
      </c>
      <c r="AK192" s="90" t="str">
        <f t="shared" si="46"/>
        <v/>
      </c>
      <c r="AL192" s="91">
        <f>IF(AK192="Adjust",(_xlfn.XLOOKUP(A192,'Adj factor'!A:A,'Adj factor'!I:I,,0)*AI192),'Master DataSheet'!AI192)</f>
        <v>2</v>
      </c>
      <c r="AM192" s="91">
        <f t="shared" si="47"/>
        <v>2</v>
      </c>
      <c r="AN192" s="92" t="str">
        <f t="shared" si="48"/>
        <v>Increasing</v>
      </c>
      <c r="AO192" s="93">
        <f>VLOOKUP(B192,'Growthrates source'!A$2:H$49,8,FALSE)</f>
        <v>-1.4958984742070136E-2</v>
      </c>
      <c r="AP192" s="93">
        <f>VLOOKUP(B192,'Growthrates source'!A$2:I$49,9,FALSE)</f>
        <v>0.1904674530041961</v>
      </c>
      <c r="AQ192" s="86">
        <f t="shared" si="49"/>
        <v>0</v>
      </c>
      <c r="AR192" s="86">
        <f t="shared" si="50"/>
        <v>0</v>
      </c>
      <c r="AS192" s="94">
        <f t="shared" si="51"/>
        <v>0</v>
      </c>
      <c r="AT192" s="94">
        <f t="shared" si="52"/>
        <v>0</v>
      </c>
      <c r="AU192" s="94">
        <f t="shared" si="53"/>
        <v>7.1647258051374082E-4</v>
      </c>
    </row>
    <row r="193" spans="1:47" x14ac:dyDescent="0.3">
      <c r="A193" s="85" t="str">
        <f>_xlfn.XLOOKUP(B193,'Country codes &amp; Data sources'!G:G,'Country codes &amp; Data sources'!H:H,,0)</f>
        <v>Cameroon</v>
      </c>
      <c r="B193" s="85" t="s">
        <v>168</v>
      </c>
      <c r="C193" s="86">
        <v>21032707</v>
      </c>
      <c r="D193" s="85" t="s">
        <v>87</v>
      </c>
      <c r="E193" s="87">
        <v>0</v>
      </c>
      <c r="F193" s="88">
        <v>21632850.000000004</v>
      </c>
      <c r="G193" s="87">
        <v>0</v>
      </c>
      <c r="I193" s="87">
        <v>0</v>
      </c>
      <c r="K193" s="87">
        <v>0</v>
      </c>
      <c r="M193" s="87">
        <v>0</v>
      </c>
      <c r="O193" s="87">
        <v>0</v>
      </c>
      <c r="P193" s="88">
        <v>25076746.500000015</v>
      </c>
      <c r="Q193" s="87">
        <v>0</v>
      </c>
      <c r="R193" s="87">
        <f t="shared" si="36"/>
        <v>0</v>
      </c>
      <c r="T193" s="87">
        <v>0</v>
      </c>
      <c r="V193" s="87">
        <v>7</v>
      </c>
      <c r="X193" s="87">
        <v>0</v>
      </c>
      <c r="Y193" s="88">
        <v>27914536.499999989</v>
      </c>
      <c r="Z193" s="87">
        <v>16</v>
      </c>
      <c r="AA193" s="87">
        <v>0</v>
      </c>
      <c r="AB193" s="89">
        <f t="shared" si="37"/>
        <v>0</v>
      </c>
      <c r="AC193" s="89">
        <f t="shared" si="38"/>
        <v>0</v>
      </c>
      <c r="AD193" s="89">
        <f t="shared" si="39"/>
        <v>16</v>
      </c>
      <c r="AE193" s="90">
        <f t="shared" si="40"/>
        <v>0</v>
      </c>
      <c r="AF193" s="90" t="str">
        <f t="shared" si="41"/>
        <v/>
      </c>
      <c r="AG193" s="90">
        <f t="shared" si="42"/>
        <v>0</v>
      </c>
      <c r="AH193" s="90" t="str">
        <f t="shared" si="43"/>
        <v/>
      </c>
      <c r="AI193" s="90">
        <f t="shared" si="44"/>
        <v>16</v>
      </c>
      <c r="AJ193" s="90">
        <f t="shared" si="45"/>
        <v>2022</v>
      </c>
      <c r="AK193" s="90" t="str">
        <f t="shared" si="46"/>
        <v/>
      </c>
      <c r="AL193" s="91">
        <f>IF(AK193="Adjust",(_xlfn.XLOOKUP(A193,'Adj factor'!A:A,'Adj factor'!I:I,,0)*AI193),'Master DataSheet'!AI193)</f>
        <v>16</v>
      </c>
      <c r="AM193" s="91">
        <f t="shared" si="47"/>
        <v>16</v>
      </c>
      <c r="AN193" s="92" t="str">
        <f t="shared" si="48"/>
        <v>Increasing</v>
      </c>
      <c r="AO193" s="93">
        <f>VLOOKUP(B193,'Growthrates source'!A$2:H$49,8,FALSE)</f>
        <v>-1.4958984742070136E-2</v>
      </c>
      <c r="AP193" s="93">
        <f>VLOOKUP(B193,'Growthrates source'!A$2:I$49,9,FALSE)</f>
        <v>0.1904674530041961</v>
      </c>
      <c r="AQ193" s="86">
        <f t="shared" si="49"/>
        <v>0</v>
      </c>
      <c r="AR193" s="86">
        <f t="shared" si="50"/>
        <v>0</v>
      </c>
      <c r="AS193" s="94">
        <f t="shared" si="51"/>
        <v>0</v>
      </c>
      <c r="AT193" s="94">
        <f t="shared" si="52"/>
        <v>0</v>
      </c>
      <c r="AU193" s="94">
        <f t="shared" si="53"/>
        <v>5.7317806441099265E-3</v>
      </c>
    </row>
    <row r="194" spans="1:47" x14ac:dyDescent="0.3">
      <c r="A194" s="85" t="str">
        <f>_xlfn.XLOOKUP(B194,'Country codes &amp; Data sources'!G:G,'Country codes &amp; Data sources'!H:H,,0)</f>
        <v>DRC</v>
      </c>
      <c r="B194" s="85" t="s">
        <v>154</v>
      </c>
      <c r="C194" s="86">
        <v>70997869.50000006</v>
      </c>
      <c r="D194" s="85" t="s">
        <v>321</v>
      </c>
      <c r="E194" s="87">
        <v>0</v>
      </c>
      <c r="F194" s="88">
        <v>73460021</v>
      </c>
      <c r="G194" s="87">
        <v>12836</v>
      </c>
      <c r="H194" s="87">
        <v>76035588.49999994</v>
      </c>
      <c r="I194" s="87">
        <v>0</v>
      </c>
      <c r="J194" s="87">
        <v>78656903.50000006</v>
      </c>
      <c r="K194" s="87">
        <v>0</v>
      </c>
      <c r="L194" s="87">
        <v>81430976.499999985</v>
      </c>
      <c r="M194" s="87">
        <v>200</v>
      </c>
      <c r="N194" s="87">
        <v>84283273.000000045</v>
      </c>
      <c r="O194" s="87">
        <v>0</v>
      </c>
      <c r="P194" s="88">
        <v>87087354.999999985</v>
      </c>
      <c r="Q194" s="87">
        <v>0</v>
      </c>
      <c r="R194" s="87">
        <f t="shared" si="36"/>
        <v>31546</v>
      </c>
      <c r="S194" s="87">
        <v>89906890.500000015</v>
      </c>
      <c r="T194" s="87">
        <v>30032</v>
      </c>
      <c r="U194" s="87">
        <v>92853164.500000015</v>
      </c>
      <c r="V194" s="87">
        <v>0</v>
      </c>
      <c r="W194" s="87">
        <v>95894118.499999985</v>
      </c>
      <c r="X194" s="87">
        <v>33978</v>
      </c>
      <c r="Y194" s="88">
        <v>99010212</v>
      </c>
      <c r="Z194" s="87">
        <v>36986</v>
      </c>
      <c r="AA194" s="87">
        <v>31546</v>
      </c>
      <c r="AB194" s="89">
        <f t="shared" si="37"/>
        <v>12836</v>
      </c>
      <c r="AC194" s="89">
        <f t="shared" si="38"/>
        <v>30032</v>
      </c>
      <c r="AD194" s="89">
        <f t="shared" si="39"/>
        <v>36986</v>
      </c>
      <c r="AE194" s="90">
        <f t="shared" si="40"/>
        <v>12836</v>
      </c>
      <c r="AF194" s="90">
        <f t="shared" si="41"/>
        <v>2013</v>
      </c>
      <c r="AG194" s="90">
        <f t="shared" si="42"/>
        <v>31546</v>
      </c>
      <c r="AH194" s="90" t="str">
        <f t="shared" si="43"/>
        <v>2018 (triag)</v>
      </c>
      <c r="AI194" s="90">
        <f t="shared" si="44"/>
        <v>36986</v>
      </c>
      <c r="AJ194" s="90">
        <f t="shared" si="45"/>
        <v>2022</v>
      </c>
      <c r="AK194" s="90" t="str">
        <f t="shared" si="46"/>
        <v/>
      </c>
      <c r="AL194" s="91">
        <f>IF(AK194="Adjust",(_xlfn.XLOOKUP(A194,'Adj factor'!A:A,'Adj factor'!I:I,,0)*AI194),'Master DataSheet'!AI194)</f>
        <v>36986</v>
      </c>
      <c r="AM194" s="91">
        <f t="shared" si="47"/>
        <v>36986</v>
      </c>
      <c r="AN194" s="92" t="str">
        <f t="shared" si="48"/>
        <v>Increasing</v>
      </c>
      <c r="AO194" s="93">
        <f>VLOOKUP(B194,'Growthrates source'!A$2:H$49,8,FALSE)</f>
        <v>0.14126140610967886</v>
      </c>
      <c r="AP194" s="93">
        <f>VLOOKUP(B194,'Growthrates source'!A$2:I$49,9,FALSE)</f>
        <v>5.4673730437993617E-2</v>
      </c>
      <c r="AQ194" s="86">
        <f t="shared" si="49"/>
        <v>15566.789511659323</v>
      </c>
      <c r="AR194" s="86">
        <f t="shared" si="50"/>
        <v>37168.73642993332</v>
      </c>
      <c r="AS194" s="94">
        <f t="shared" si="51"/>
        <v>1.7473449946332034</v>
      </c>
      <c r="AT194" s="94">
        <f t="shared" si="52"/>
        <v>3.6223398907912641</v>
      </c>
      <c r="AU194" s="94">
        <f t="shared" si="53"/>
        <v>3.7355742658141162</v>
      </c>
    </row>
    <row r="195" spans="1:47" x14ac:dyDescent="0.3">
      <c r="A195" s="85" t="str">
        <f>_xlfn.XLOOKUP(B195,'Country codes &amp; Data sources'!G:G,'Country codes &amp; Data sources'!H:H,,0)</f>
        <v>DRC</v>
      </c>
      <c r="B195" s="85" t="s">
        <v>154</v>
      </c>
      <c r="C195" s="86">
        <v>70997870.500000104</v>
      </c>
      <c r="D195" s="85" t="s">
        <v>322</v>
      </c>
      <c r="E195" s="87">
        <v>0</v>
      </c>
      <c r="F195" s="88">
        <v>73460021</v>
      </c>
      <c r="G195" s="87">
        <v>119626</v>
      </c>
      <c r="I195" s="87">
        <v>0</v>
      </c>
      <c r="K195" s="87">
        <v>144540</v>
      </c>
      <c r="M195" s="87">
        <v>89794</v>
      </c>
      <c r="O195" s="87">
        <v>146092</v>
      </c>
      <c r="P195" s="88">
        <v>87087354.999999985</v>
      </c>
      <c r="Q195" s="87">
        <v>186652</v>
      </c>
      <c r="R195" s="87">
        <f t="shared" ref="R195:R258" si="54">MAX(Q195,AA195)</f>
        <v>186652</v>
      </c>
      <c r="T195" s="87">
        <v>187928</v>
      </c>
      <c r="V195" s="87">
        <v>0</v>
      </c>
      <c r="X195" s="87">
        <v>203504</v>
      </c>
      <c r="Y195" s="88">
        <v>99010212</v>
      </c>
      <c r="Z195" s="87">
        <v>230632</v>
      </c>
      <c r="AA195" s="87">
        <v>103785</v>
      </c>
      <c r="AB195" s="89">
        <f t="shared" ref="AB195:AB258" si="55">MAX(G195,E195,I195,K195)</f>
        <v>144540</v>
      </c>
      <c r="AC195" s="89">
        <f t="shared" ref="AC195:AC258" si="56">MAX(M195,O195,Q195,T195)</f>
        <v>187928</v>
      </c>
      <c r="AD195" s="89">
        <f t="shared" ref="AD195:AD258" si="57">MAX(V195,X195,Z195)</f>
        <v>230632</v>
      </c>
      <c r="AE195" s="90">
        <f t="shared" ref="AE195:AE258" si="58">IF(G195&gt;0,G195,IF(E195&gt;0,E195,IF(I195&gt;0,I195,K195)))</f>
        <v>119626</v>
      </c>
      <c r="AF195" s="90">
        <f t="shared" ref="AF195:AF258" si="59">IF(AE195&gt;0,_xlfn.XLOOKUP(AE195,$B195:$K195,$B$1:$K$1,,0),"")</f>
        <v>2013</v>
      </c>
      <c r="AG195" s="90">
        <f t="shared" ref="AG195:AG258" si="60">IF(R195&gt;0,R195,IF(O195&gt;0,O195,T195))</f>
        <v>186652</v>
      </c>
      <c r="AH195" s="90">
        <f t="shared" ref="AH195:AH258" si="61">IF(AG195&gt;0,_xlfn.XLOOKUP(AG195,$L195:$T195,$L$1:$T$1,,0),"")</f>
        <v>2018</v>
      </c>
      <c r="AI195" s="90">
        <f t="shared" ref="AI195:AI258" si="62">IF((IF(Z195&gt;0,Z195,IF(X195&gt;0,X195,IF(V195&gt;0,V195,T195))))=0,AG195,IF(Z195&gt;0,Z195,IF(X195&gt;0,X195,IF(V195&gt;0,V195,T195))))</f>
        <v>230632</v>
      </c>
      <c r="AJ195" s="90">
        <f t="shared" ref="AJ195:AJ258" si="63">IFERROR(IF(AI195&gt;0,_xlfn.XLOOKUP(AI195,$V195:$Z195,$V$1:$Z$1,,0),""),AH195)</f>
        <v>2022</v>
      </c>
      <c r="AK195" s="90" t="str">
        <f t="shared" ref="AK195:AK258" si="64">IF(AI195&lt;AG195,"Adjust","")</f>
        <v/>
      </c>
      <c r="AL195" s="91">
        <f>IF(AK195="Adjust",(_xlfn.XLOOKUP(A195,'Adj factor'!A:A,'Adj factor'!I:I,,0)*AI195),'Master DataSheet'!AI195)</f>
        <v>230632</v>
      </c>
      <c r="AM195" s="91">
        <f t="shared" ref="AM195:AM258" si="65">IF(AL195&lt;AG195,AG195,AL195)</f>
        <v>230632</v>
      </c>
      <c r="AN195" s="92" t="str">
        <f t="shared" ref="AN195:AN258" si="66">IF(AL195&gt;AG195,"Increasing",IF(AL195&lt;AG195,"Decreasing","No change"))</f>
        <v>Increasing</v>
      </c>
      <c r="AO195" s="93">
        <f>VLOOKUP(B195,'Growthrates source'!A$2:H$49,8,FALSE)</f>
        <v>0.14126140610967886</v>
      </c>
      <c r="AP195" s="93">
        <f>VLOOKUP(B195,'Growthrates source'!A$2:I$49,9,FALSE)</f>
        <v>5.4673730437993617E-2</v>
      </c>
      <c r="AQ195" s="86">
        <f t="shared" ref="AQ195:AQ258" si="67">AA195/(EXP(AO195*5))</f>
        <v>51214.076252696468</v>
      </c>
      <c r="AR195" s="86">
        <f t="shared" ref="AR195:AR258" si="68">AA195*EXP(AP195*3)</f>
        <v>122283.56401384104</v>
      </c>
      <c r="AS195" s="94">
        <f t="shared" ref="AS195:AS258" si="69">(AE195*10000)/F195</f>
        <v>16.284503920846959</v>
      </c>
      <c r="AT195" s="94">
        <f t="shared" ref="AT195:AT258" si="70">(AG195*10000)/P195</f>
        <v>21.43273268547426</v>
      </c>
      <c r="AU195" s="94">
        <f t="shared" ref="AU195:AU258" si="71">(AM195*10000)/Y195</f>
        <v>23.293758829644766</v>
      </c>
    </row>
    <row r="196" spans="1:47" x14ac:dyDescent="0.3">
      <c r="A196" s="85" t="str">
        <f>_xlfn.XLOOKUP(B196,'Country codes &amp; Data sources'!G:G,'Country codes &amp; Data sources'!H:H,,0)</f>
        <v>DRC</v>
      </c>
      <c r="B196" s="85" t="s">
        <v>154</v>
      </c>
      <c r="C196" s="86">
        <v>70997871.500000104</v>
      </c>
      <c r="D196" s="85" t="s">
        <v>323</v>
      </c>
      <c r="E196" s="87">
        <v>0</v>
      </c>
      <c r="F196" s="88">
        <v>73460021</v>
      </c>
      <c r="G196" s="87">
        <v>3110</v>
      </c>
      <c r="I196" s="87">
        <v>0</v>
      </c>
      <c r="K196" s="87">
        <v>0</v>
      </c>
      <c r="M196" s="87">
        <v>3586</v>
      </c>
      <c r="O196" s="87">
        <v>0</v>
      </c>
      <c r="P196" s="88">
        <v>87087354.999999985</v>
      </c>
      <c r="Q196" s="87">
        <v>0</v>
      </c>
      <c r="R196" s="87">
        <f t="shared" si="54"/>
        <v>3642</v>
      </c>
      <c r="T196" s="87">
        <v>6298</v>
      </c>
      <c r="V196" s="87">
        <v>0</v>
      </c>
      <c r="X196" s="87">
        <v>4186</v>
      </c>
      <c r="Y196" s="88">
        <v>99010212</v>
      </c>
      <c r="Z196" s="87">
        <v>5280</v>
      </c>
      <c r="AA196" s="87">
        <v>3642</v>
      </c>
      <c r="AB196" s="89">
        <f t="shared" si="55"/>
        <v>3110</v>
      </c>
      <c r="AC196" s="89">
        <f t="shared" si="56"/>
        <v>6298</v>
      </c>
      <c r="AD196" s="89">
        <f t="shared" si="57"/>
        <v>5280</v>
      </c>
      <c r="AE196" s="90">
        <f t="shared" si="58"/>
        <v>3110</v>
      </c>
      <c r="AF196" s="90">
        <f t="shared" si="59"/>
        <v>2013</v>
      </c>
      <c r="AG196" s="90">
        <f t="shared" si="60"/>
        <v>3642</v>
      </c>
      <c r="AH196" s="90" t="str">
        <f t="shared" si="61"/>
        <v>2018 (triag)</v>
      </c>
      <c r="AI196" s="90">
        <f t="shared" si="62"/>
        <v>5280</v>
      </c>
      <c r="AJ196" s="90">
        <f t="shared" si="63"/>
        <v>2022</v>
      </c>
      <c r="AK196" s="90" t="str">
        <f t="shared" si="64"/>
        <v/>
      </c>
      <c r="AL196" s="91">
        <f>IF(AK196="Adjust",(_xlfn.XLOOKUP(A196,'Adj factor'!A:A,'Adj factor'!I:I,,0)*AI196),'Master DataSheet'!AI196)</f>
        <v>5280</v>
      </c>
      <c r="AM196" s="91">
        <f t="shared" si="65"/>
        <v>5280</v>
      </c>
      <c r="AN196" s="92" t="str">
        <f t="shared" si="66"/>
        <v>Increasing</v>
      </c>
      <c r="AO196" s="93">
        <f>VLOOKUP(B196,'Growthrates source'!A$2:H$49,8,FALSE)</f>
        <v>0.14126140610967886</v>
      </c>
      <c r="AP196" s="93">
        <f>VLOOKUP(B196,'Growthrates source'!A$2:I$49,9,FALSE)</f>
        <v>5.4673730437993617E-2</v>
      </c>
      <c r="AQ196" s="86">
        <f t="shared" si="67"/>
        <v>1797.1929056445588</v>
      </c>
      <c r="AR196" s="86">
        <f t="shared" si="68"/>
        <v>4291.1474696575524</v>
      </c>
      <c r="AS196" s="94">
        <f t="shared" si="69"/>
        <v>0.42335953048529623</v>
      </c>
      <c r="AT196" s="94">
        <f t="shared" si="70"/>
        <v>0.41820078242128272</v>
      </c>
      <c r="AU196" s="94">
        <f t="shared" si="71"/>
        <v>0.53327832486612592</v>
      </c>
    </row>
    <row r="197" spans="1:47" x14ac:dyDescent="0.3">
      <c r="A197" s="85" t="str">
        <f>_xlfn.XLOOKUP(B197,'Country codes &amp; Data sources'!G:G,'Country codes &amp; Data sources'!H:H,,0)</f>
        <v>DRC</v>
      </c>
      <c r="B197" s="85" t="s">
        <v>154</v>
      </c>
      <c r="C197" s="86">
        <v>70997872.500000104</v>
      </c>
      <c r="D197" s="85" t="s">
        <v>324</v>
      </c>
      <c r="E197" s="87">
        <v>409</v>
      </c>
      <c r="F197" s="88">
        <v>73460021</v>
      </c>
      <c r="G197" s="87">
        <v>35</v>
      </c>
      <c r="I197" s="87">
        <v>177</v>
      </c>
      <c r="K197" s="87">
        <v>3609</v>
      </c>
      <c r="M197" s="87">
        <v>0</v>
      </c>
      <c r="O197" s="87">
        <v>108</v>
      </c>
      <c r="P197" s="88">
        <v>87087354.999999985</v>
      </c>
      <c r="Q197" s="87">
        <v>47</v>
      </c>
      <c r="R197" s="87">
        <f t="shared" si="54"/>
        <v>1687</v>
      </c>
      <c r="T197" s="87">
        <v>3532</v>
      </c>
      <c r="V197" s="87">
        <v>2439</v>
      </c>
      <c r="X197" s="87">
        <v>2490</v>
      </c>
      <c r="Y197" s="88">
        <v>99010212</v>
      </c>
      <c r="Z197" s="87">
        <v>487</v>
      </c>
      <c r="AA197" s="87">
        <v>1687</v>
      </c>
      <c r="AB197" s="89">
        <f t="shared" si="55"/>
        <v>3609</v>
      </c>
      <c r="AC197" s="89">
        <f t="shared" si="56"/>
        <v>3532</v>
      </c>
      <c r="AD197" s="89">
        <f t="shared" si="57"/>
        <v>2490</v>
      </c>
      <c r="AE197" s="90">
        <f t="shared" si="58"/>
        <v>35</v>
      </c>
      <c r="AF197" s="90">
        <f t="shared" si="59"/>
        <v>2013</v>
      </c>
      <c r="AG197" s="90">
        <f t="shared" si="60"/>
        <v>1687</v>
      </c>
      <c r="AH197" s="90" t="str">
        <f t="shared" si="61"/>
        <v>2018 (triag)</v>
      </c>
      <c r="AI197" s="90">
        <f t="shared" si="62"/>
        <v>487</v>
      </c>
      <c r="AJ197" s="90">
        <f t="shared" si="63"/>
        <v>2022</v>
      </c>
      <c r="AK197" s="90" t="str">
        <f t="shared" si="64"/>
        <v>Adjust</v>
      </c>
      <c r="AL197" s="91">
        <f>IF(AK197="Adjust",(_xlfn.XLOOKUP(A197,'Adj factor'!A:A,'Adj factor'!I:I,,0)*AI197),'Master DataSheet'!AI197)</f>
        <v>560.65591825072988</v>
      </c>
      <c r="AM197" s="91">
        <f t="shared" si="65"/>
        <v>1687</v>
      </c>
      <c r="AN197" s="92" t="str">
        <f t="shared" si="66"/>
        <v>Decreasing</v>
      </c>
      <c r="AO197" s="93">
        <f>VLOOKUP(B197,'Growthrates source'!A$2:H$49,8,FALSE)</f>
        <v>0.14126140610967886</v>
      </c>
      <c r="AP197" s="93">
        <f>VLOOKUP(B197,'Growthrates source'!A$2:I$49,9,FALSE)</f>
        <v>5.4673730437993617E-2</v>
      </c>
      <c r="AQ197" s="86">
        <f t="shared" si="67"/>
        <v>832.47238655199635</v>
      </c>
      <c r="AR197" s="86">
        <f t="shared" si="68"/>
        <v>1987.6896708710299</v>
      </c>
      <c r="AS197" s="94">
        <f t="shared" si="69"/>
        <v>4.7644963237895074E-3</v>
      </c>
      <c r="AT197" s="94">
        <f t="shared" si="70"/>
        <v>0.19371354199470178</v>
      </c>
      <c r="AU197" s="94">
        <f t="shared" si="71"/>
        <v>0.17038646478203684</v>
      </c>
    </row>
    <row r="198" spans="1:47" x14ac:dyDescent="0.3">
      <c r="A198" s="85" t="str">
        <f>_xlfn.XLOOKUP(B198,'Country codes &amp; Data sources'!G:G,'Country codes &amp; Data sources'!H:H,,0)</f>
        <v>DRC</v>
      </c>
      <c r="B198" s="85" t="s">
        <v>154</v>
      </c>
      <c r="C198" s="86">
        <v>70997873.500000104</v>
      </c>
      <c r="D198" s="85" t="s">
        <v>325</v>
      </c>
      <c r="E198" s="87">
        <v>287</v>
      </c>
      <c r="F198" s="88">
        <v>73460021</v>
      </c>
      <c r="G198" s="87">
        <v>44</v>
      </c>
      <c r="I198" s="87">
        <v>132</v>
      </c>
      <c r="K198" s="87">
        <v>2898</v>
      </c>
      <c r="M198" s="87">
        <v>0</v>
      </c>
      <c r="O198" s="87">
        <v>9</v>
      </c>
      <c r="P198" s="88">
        <v>87087354.999999985</v>
      </c>
      <c r="Q198" s="87">
        <v>24</v>
      </c>
      <c r="R198" s="87">
        <f t="shared" si="54"/>
        <v>404</v>
      </c>
      <c r="T198" s="87">
        <v>1440</v>
      </c>
      <c r="V198" s="87">
        <v>1004</v>
      </c>
      <c r="X198" s="87">
        <v>2881</v>
      </c>
      <c r="Y198" s="88">
        <v>99010212</v>
      </c>
      <c r="Z198" s="87">
        <v>215</v>
      </c>
      <c r="AA198" s="87">
        <v>404</v>
      </c>
      <c r="AB198" s="89">
        <f t="shared" si="55"/>
        <v>2898</v>
      </c>
      <c r="AC198" s="89">
        <f t="shared" si="56"/>
        <v>1440</v>
      </c>
      <c r="AD198" s="89">
        <f t="shared" si="57"/>
        <v>2881</v>
      </c>
      <c r="AE198" s="90">
        <f t="shared" si="58"/>
        <v>44</v>
      </c>
      <c r="AF198" s="90">
        <f t="shared" si="59"/>
        <v>2013</v>
      </c>
      <c r="AG198" s="90">
        <f t="shared" si="60"/>
        <v>404</v>
      </c>
      <c r="AH198" s="90" t="str">
        <f t="shared" si="61"/>
        <v>2018 (triag)</v>
      </c>
      <c r="AI198" s="90">
        <f t="shared" si="62"/>
        <v>215</v>
      </c>
      <c r="AJ198" s="90">
        <f t="shared" si="63"/>
        <v>2022</v>
      </c>
      <c r="AK198" s="90" t="str">
        <f t="shared" si="64"/>
        <v>Adjust</v>
      </c>
      <c r="AL198" s="91">
        <f>IF(AK198="Adjust",(_xlfn.XLOOKUP(A198,'Adj factor'!A:A,'Adj factor'!I:I,,0)*AI198),'Master DataSheet'!AI198)</f>
        <v>247.51749984375138</v>
      </c>
      <c r="AM198" s="91">
        <f t="shared" si="65"/>
        <v>404</v>
      </c>
      <c r="AN198" s="92" t="str">
        <f t="shared" si="66"/>
        <v>Decreasing</v>
      </c>
      <c r="AO198" s="93">
        <f>VLOOKUP(B198,'Growthrates source'!A$2:H$49,8,FALSE)</f>
        <v>0.14126140610967886</v>
      </c>
      <c r="AP198" s="93">
        <f>VLOOKUP(B198,'Growthrates source'!A$2:I$49,9,FALSE)</f>
        <v>5.4673730437993617E-2</v>
      </c>
      <c r="AQ198" s="86">
        <f t="shared" si="67"/>
        <v>199.3591251730922</v>
      </c>
      <c r="AR198" s="86">
        <f t="shared" si="68"/>
        <v>476.0086704397724</v>
      </c>
      <c r="AS198" s="94">
        <f t="shared" si="69"/>
        <v>5.9896525213353809E-3</v>
      </c>
      <c r="AT198" s="94">
        <f t="shared" si="70"/>
        <v>4.6390202113728227E-2</v>
      </c>
      <c r="AU198" s="94">
        <f t="shared" si="71"/>
        <v>4.0803871826877815E-2</v>
      </c>
    </row>
    <row r="199" spans="1:47" x14ac:dyDescent="0.3">
      <c r="A199" s="85" t="str">
        <f>_xlfn.XLOOKUP(B199,'Country codes &amp; Data sources'!G:G,'Country codes &amp; Data sources'!H:H,,0)</f>
        <v>DRC</v>
      </c>
      <c r="B199" s="85" t="s">
        <v>154</v>
      </c>
      <c r="C199" s="86">
        <v>70997874.500000104</v>
      </c>
      <c r="D199" s="85" t="s">
        <v>127</v>
      </c>
      <c r="E199" s="87">
        <v>0</v>
      </c>
      <c r="F199" s="88">
        <v>73460021</v>
      </c>
      <c r="G199" s="87">
        <v>0</v>
      </c>
      <c r="I199" s="87">
        <v>0</v>
      </c>
      <c r="K199" s="87">
        <v>0</v>
      </c>
      <c r="M199" s="87">
        <v>0</v>
      </c>
      <c r="O199" s="87">
        <v>0</v>
      </c>
      <c r="P199" s="88">
        <v>87087354.999999985</v>
      </c>
      <c r="Q199" s="87">
        <v>0</v>
      </c>
      <c r="R199" s="87">
        <f t="shared" si="54"/>
        <v>0</v>
      </c>
      <c r="T199" s="87">
        <v>0</v>
      </c>
      <c r="V199" s="87">
        <v>0</v>
      </c>
      <c r="X199" s="87">
        <v>0</v>
      </c>
      <c r="Y199" s="88">
        <v>99010212</v>
      </c>
      <c r="Z199" s="87">
        <v>0</v>
      </c>
      <c r="AA199" s="87">
        <v>0</v>
      </c>
      <c r="AB199" s="89">
        <f t="shared" si="55"/>
        <v>0</v>
      </c>
      <c r="AC199" s="89">
        <f t="shared" si="56"/>
        <v>0</v>
      </c>
      <c r="AD199" s="89">
        <f t="shared" si="57"/>
        <v>0</v>
      </c>
      <c r="AE199" s="90">
        <f t="shared" si="58"/>
        <v>0</v>
      </c>
      <c r="AF199" s="90" t="str">
        <f t="shared" si="59"/>
        <v/>
      </c>
      <c r="AG199" s="90">
        <f t="shared" si="60"/>
        <v>0</v>
      </c>
      <c r="AH199" s="90" t="str">
        <f t="shared" si="61"/>
        <v/>
      </c>
      <c r="AI199" s="90">
        <f t="shared" si="62"/>
        <v>0</v>
      </c>
      <c r="AJ199" s="90" t="str">
        <f t="shared" si="63"/>
        <v/>
      </c>
      <c r="AK199" s="90" t="str">
        <f t="shared" si="64"/>
        <v/>
      </c>
      <c r="AL199" s="91">
        <f>IF(AK199="Adjust",(_xlfn.XLOOKUP(A199,'Adj factor'!A:A,'Adj factor'!I:I,,0)*AI199),'Master DataSheet'!AI199)</f>
        <v>0</v>
      </c>
      <c r="AM199" s="91">
        <f t="shared" si="65"/>
        <v>0</v>
      </c>
      <c r="AN199" s="92" t="str">
        <f t="shared" si="66"/>
        <v>No change</v>
      </c>
      <c r="AO199" s="93">
        <f>VLOOKUP(B199,'Growthrates source'!A$2:H$49,8,FALSE)</f>
        <v>0.14126140610967886</v>
      </c>
      <c r="AP199" s="93">
        <f>VLOOKUP(B199,'Growthrates source'!A$2:I$49,9,FALSE)</f>
        <v>5.4673730437993617E-2</v>
      </c>
      <c r="AQ199" s="86">
        <f t="shared" si="67"/>
        <v>0</v>
      </c>
      <c r="AR199" s="86">
        <f t="shared" si="68"/>
        <v>0</v>
      </c>
      <c r="AS199" s="94">
        <f t="shared" si="69"/>
        <v>0</v>
      </c>
      <c r="AT199" s="94">
        <f t="shared" si="70"/>
        <v>0</v>
      </c>
      <c r="AU199" s="94">
        <f t="shared" si="71"/>
        <v>0</v>
      </c>
    </row>
    <row r="200" spans="1:47" x14ac:dyDescent="0.3">
      <c r="A200" s="85" t="str">
        <f>_xlfn.XLOOKUP(B200,'Country codes &amp; Data sources'!G:G,'Country codes &amp; Data sources'!H:H,,0)</f>
        <v>DRC</v>
      </c>
      <c r="B200" s="85" t="s">
        <v>154</v>
      </c>
      <c r="C200" s="86">
        <v>70997875.500000104</v>
      </c>
      <c r="D200" s="85" t="s">
        <v>61</v>
      </c>
      <c r="E200" s="87">
        <v>19</v>
      </c>
      <c r="F200" s="88">
        <v>73460021</v>
      </c>
      <c r="G200" s="87">
        <v>0</v>
      </c>
      <c r="I200" s="87">
        <v>361</v>
      </c>
      <c r="K200" s="87">
        <v>2192</v>
      </c>
      <c r="M200" s="87">
        <v>0</v>
      </c>
      <c r="O200" s="87">
        <v>0</v>
      </c>
      <c r="P200" s="88">
        <v>87087354.999999985</v>
      </c>
      <c r="Q200" s="87">
        <v>119</v>
      </c>
      <c r="R200" s="87">
        <f t="shared" si="54"/>
        <v>535</v>
      </c>
      <c r="T200" s="87">
        <v>0</v>
      </c>
      <c r="V200" s="87">
        <v>776</v>
      </c>
      <c r="X200" s="87">
        <v>91</v>
      </c>
      <c r="Y200" s="88">
        <v>99010212</v>
      </c>
      <c r="Z200" s="87">
        <v>0</v>
      </c>
      <c r="AA200" s="87">
        <v>535</v>
      </c>
      <c r="AB200" s="89">
        <f t="shared" si="55"/>
        <v>2192</v>
      </c>
      <c r="AC200" s="89">
        <f t="shared" si="56"/>
        <v>119</v>
      </c>
      <c r="AD200" s="89">
        <f t="shared" si="57"/>
        <v>776</v>
      </c>
      <c r="AE200" s="90">
        <f t="shared" si="58"/>
        <v>19</v>
      </c>
      <c r="AF200" s="90">
        <f t="shared" si="59"/>
        <v>2012</v>
      </c>
      <c r="AG200" s="90">
        <f t="shared" si="60"/>
        <v>535</v>
      </c>
      <c r="AH200" s="90" t="str">
        <f t="shared" si="61"/>
        <v>2018 (triag)</v>
      </c>
      <c r="AI200" s="90">
        <f t="shared" si="62"/>
        <v>91</v>
      </c>
      <c r="AJ200" s="90">
        <f t="shared" si="63"/>
        <v>2021</v>
      </c>
      <c r="AK200" s="90" t="str">
        <f t="shared" si="64"/>
        <v>Adjust</v>
      </c>
      <c r="AL200" s="91">
        <f>IF(AK200="Adjust",(_xlfn.XLOOKUP(A200,'Adj factor'!A:A,'Adj factor'!I:I,,0)*AI200),'Master DataSheet'!AI200)</f>
        <v>104.76322086409942</v>
      </c>
      <c r="AM200" s="91">
        <f t="shared" si="65"/>
        <v>535</v>
      </c>
      <c r="AN200" s="92" t="str">
        <f t="shared" si="66"/>
        <v>Decreasing</v>
      </c>
      <c r="AO200" s="93">
        <f>VLOOKUP(B200,'Growthrates source'!A$2:H$49,8,FALSE)</f>
        <v>0.14126140610967886</v>
      </c>
      <c r="AP200" s="93">
        <f>VLOOKUP(B200,'Growthrates source'!A$2:I$49,9,FALSE)</f>
        <v>5.4673730437993617E-2</v>
      </c>
      <c r="AQ200" s="86">
        <f t="shared" si="67"/>
        <v>264.0028019000107</v>
      </c>
      <c r="AR200" s="86">
        <f t="shared" si="68"/>
        <v>630.35801654771842</v>
      </c>
      <c r="AS200" s="94">
        <f t="shared" si="69"/>
        <v>2.5864408614857323E-3</v>
      </c>
      <c r="AT200" s="94">
        <f t="shared" si="70"/>
        <v>6.1432569630803471E-2</v>
      </c>
      <c r="AU200" s="94">
        <f t="shared" si="71"/>
        <v>5.4034830265791166E-2</v>
      </c>
    </row>
    <row r="201" spans="1:47" x14ac:dyDescent="0.3">
      <c r="A201" s="85" t="str">
        <f>_xlfn.XLOOKUP(B201,'Country codes &amp; Data sources'!G:G,'Country codes &amp; Data sources'!H:H,,0)</f>
        <v>DRC</v>
      </c>
      <c r="B201" s="85" t="s">
        <v>154</v>
      </c>
      <c r="C201" s="86">
        <v>70997876.500000104</v>
      </c>
      <c r="D201" s="85" t="s">
        <v>62</v>
      </c>
      <c r="E201" s="87">
        <v>634</v>
      </c>
      <c r="F201" s="88">
        <v>73460021</v>
      </c>
      <c r="G201" s="87">
        <v>0</v>
      </c>
      <c r="I201" s="87">
        <v>163</v>
      </c>
      <c r="K201" s="87">
        <v>1168</v>
      </c>
      <c r="M201" s="87">
        <v>0</v>
      </c>
      <c r="O201" s="87">
        <v>0</v>
      </c>
      <c r="P201" s="88">
        <v>87087354.999999985</v>
      </c>
      <c r="Q201" s="87">
        <v>136</v>
      </c>
      <c r="R201" s="87">
        <f t="shared" si="54"/>
        <v>167</v>
      </c>
      <c r="T201" s="87">
        <v>4362</v>
      </c>
      <c r="V201" s="87">
        <v>3788</v>
      </c>
      <c r="X201" s="87">
        <v>2684</v>
      </c>
      <c r="Y201" s="88">
        <v>99010212</v>
      </c>
      <c r="Z201" s="87">
        <v>233</v>
      </c>
      <c r="AA201" s="87">
        <v>167</v>
      </c>
      <c r="AB201" s="89">
        <f t="shared" si="55"/>
        <v>1168</v>
      </c>
      <c r="AC201" s="89">
        <f t="shared" si="56"/>
        <v>4362</v>
      </c>
      <c r="AD201" s="89">
        <f t="shared" si="57"/>
        <v>3788</v>
      </c>
      <c r="AE201" s="90">
        <f t="shared" si="58"/>
        <v>634</v>
      </c>
      <c r="AF201" s="90">
        <f t="shared" si="59"/>
        <v>2012</v>
      </c>
      <c r="AG201" s="90">
        <f t="shared" si="60"/>
        <v>167</v>
      </c>
      <c r="AH201" s="90" t="str">
        <f t="shared" si="61"/>
        <v>2018 (triag)</v>
      </c>
      <c r="AI201" s="90">
        <f t="shared" si="62"/>
        <v>233</v>
      </c>
      <c r="AJ201" s="90">
        <f t="shared" si="63"/>
        <v>2022</v>
      </c>
      <c r="AK201" s="90" t="str">
        <f t="shared" si="64"/>
        <v/>
      </c>
      <c r="AL201" s="91">
        <f>IF(AK201="Adjust",(_xlfn.XLOOKUP(A201,'Adj factor'!A:A,'Adj factor'!I:I,,0)*AI201),'Master DataSheet'!AI201)</f>
        <v>233</v>
      </c>
      <c r="AM201" s="91">
        <f t="shared" si="65"/>
        <v>233</v>
      </c>
      <c r="AN201" s="92" t="str">
        <f t="shared" si="66"/>
        <v>Increasing</v>
      </c>
      <c r="AO201" s="93">
        <f>VLOOKUP(B201,'Growthrates source'!A$2:H$49,8,FALSE)</f>
        <v>0.14126140610967886</v>
      </c>
      <c r="AP201" s="93">
        <f>VLOOKUP(B201,'Growthrates source'!A$2:I$49,9,FALSE)</f>
        <v>5.4673730437993617E-2</v>
      </c>
      <c r="AQ201" s="86">
        <f t="shared" si="67"/>
        <v>82.408351247293055</v>
      </c>
      <c r="AR201" s="86">
        <f t="shared" si="68"/>
        <v>196.7659603055495</v>
      </c>
      <c r="AS201" s="94">
        <f t="shared" si="69"/>
        <v>8.6305447693787077E-2</v>
      </c>
      <c r="AT201" s="94">
        <f t="shared" si="70"/>
        <v>1.9176147903447065E-2</v>
      </c>
      <c r="AU201" s="94">
        <f t="shared" si="71"/>
        <v>2.3532926078372603E-2</v>
      </c>
    </row>
    <row r="202" spans="1:47" x14ac:dyDescent="0.3">
      <c r="A202" s="85" t="str">
        <f>_xlfn.XLOOKUP(B202,'Country codes &amp; Data sources'!G:G,'Country codes &amp; Data sources'!H:H,,0)</f>
        <v>DRC</v>
      </c>
      <c r="B202" s="85" t="s">
        <v>154</v>
      </c>
      <c r="C202" s="86">
        <v>70997877.500000104</v>
      </c>
      <c r="D202" s="85" t="s">
        <v>203</v>
      </c>
      <c r="E202" s="87">
        <v>0</v>
      </c>
      <c r="F202" s="88">
        <v>73460021</v>
      </c>
      <c r="G202" s="87">
        <v>0</v>
      </c>
      <c r="I202" s="87">
        <v>0</v>
      </c>
      <c r="K202" s="87">
        <v>0</v>
      </c>
      <c r="M202" s="87">
        <v>0</v>
      </c>
      <c r="O202" s="87">
        <v>0</v>
      </c>
      <c r="P202" s="88">
        <v>87087354.999999985</v>
      </c>
      <c r="Q202" s="87">
        <v>0</v>
      </c>
      <c r="R202" s="87">
        <f t="shared" si="54"/>
        <v>0</v>
      </c>
      <c r="T202" s="87">
        <v>0</v>
      </c>
      <c r="V202" s="87">
        <v>0</v>
      </c>
      <c r="X202" s="87">
        <v>0</v>
      </c>
      <c r="Y202" s="88">
        <v>99010212</v>
      </c>
      <c r="Z202" s="87">
        <v>0</v>
      </c>
      <c r="AA202" s="87">
        <v>0</v>
      </c>
      <c r="AB202" s="89">
        <f t="shared" si="55"/>
        <v>0</v>
      </c>
      <c r="AC202" s="89">
        <f t="shared" si="56"/>
        <v>0</v>
      </c>
      <c r="AD202" s="89">
        <f t="shared" si="57"/>
        <v>0</v>
      </c>
      <c r="AE202" s="90">
        <f t="shared" si="58"/>
        <v>0</v>
      </c>
      <c r="AF202" s="90" t="str">
        <f t="shared" si="59"/>
        <v/>
      </c>
      <c r="AG202" s="90">
        <f t="shared" si="60"/>
        <v>0</v>
      </c>
      <c r="AH202" s="90" t="str">
        <f t="shared" si="61"/>
        <v/>
      </c>
      <c r="AI202" s="90">
        <f t="shared" si="62"/>
        <v>0</v>
      </c>
      <c r="AJ202" s="90" t="str">
        <f t="shared" si="63"/>
        <v/>
      </c>
      <c r="AK202" s="90" t="str">
        <f t="shared" si="64"/>
        <v/>
      </c>
      <c r="AL202" s="91">
        <f>IF(AK202="Adjust",(_xlfn.XLOOKUP(A202,'Adj factor'!A:A,'Adj factor'!I:I,,0)*AI202),'Master DataSheet'!AI202)</f>
        <v>0</v>
      </c>
      <c r="AM202" s="91">
        <f t="shared" si="65"/>
        <v>0</v>
      </c>
      <c r="AN202" s="92" t="str">
        <f t="shared" si="66"/>
        <v>No change</v>
      </c>
      <c r="AO202" s="93">
        <f>VLOOKUP(B202,'Growthrates source'!A$2:H$49,8,FALSE)</f>
        <v>0.14126140610967886</v>
      </c>
      <c r="AP202" s="93">
        <f>VLOOKUP(B202,'Growthrates source'!A$2:I$49,9,FALSE)</f>
        <v>5.4673730437993617E-2</v>
      </c>
      <c r="AQ202" s="86">
        <f t="shared" si="67"/>
        <v>0</v>
      </c>
      <c r="AR202" s="86">
        <f t="shared" si="68"/>
        <v>0</v>
      </c>
      <c r="AS202" s="94">
        <f t="shared" si="69"/>
        <v>0</v>
      </c>
      <c r="AT202" s="94">
        <f t="shared" si="70"/>
        <v>0</v>
      </c>
      <c r="AU202" s="94">
        <f t="shared" si="71"/>
        <v>0</v>
      </c>
    </row>
    <row r="203" spans="1:47" x14ac:dyDescent="0.3">
      <c r="A203" s="85" t="str">
        <f>_xlfn.XLOOKUP(B203,'Country codes &amp; Data sources'!G:G,'Country codes &amp; Data sources'!H:H,,0)</f>
        <v>DRC</v>
      </c>
      <c r="B203" s="85" t="s">
        <v>154</v>
      </c>
      <c r="C203" s="86">
        <v>70997878.500000104</v>
      </c>
      <c r="D203" s="85" t="s">
        <v>204</v>
      </c>
      <c r="E203" s="87">
        <v>0</v>
      </c>
      <c r="F203" s="88">
        <v>73460021</v>
      </c>
      <c r="G203" s="87">
        <v>0</v>
      </c>
      <c r="I203" s="87">
        <v>0</v>
      </c>
      <c r="K203" s="87">
        <v>0</v>
      </c>
      <c r="M203" s="87">
        <v>0</v>
      </c>
      <c r="O203" s="87">
        <v>0</v>
      </c>
      <c r="P203" s="88">
        <v>87087354.999999985</v>
      </c>
      <c r="Q203" s="87">
        <v>0</v>
      </c>
      <c r="R203" s="87">
        <f t="shared" si="54"/>
        <v>2651</v>
      </c>
      <c r="T203" s="87">
        <v>3342</v>
      </c>
      <c r="V203" s="87">
        <v>0</v>
      </c>
      <c r="X203" s="87">
        <v>3724</v>
      </c>
      <c r="Y203" s="88">
        <v>99010212</v>
      </c>
      <c r="Z203" s="87">
        <v>4695</v>
      </c>
      <c r="AA203" s="87">
        <v>2651</v>
      </c>
      <c r="AB203" s="89">
        <f t="shared" si="55"/>
        <v>0</v>
      </c>
      <c r="AC203" s="89">
        <f t="shared" si="56"/>
        <v>3342</v>
      </c>
      <c r="AD203" s="89">
        <f t="shared" si="57"/>
        <v>4695</v>
      </c>
      <c r="AE203" s="90">
        <f t="shared" si="58"/>
        <v>0</v>
      </c>
      <c r="AF203" s="90" t="str">
        <f t="shared" si="59"/>
        <v/>
      </c>
      <c r="AG203" s="90">
        <f t="shared" si="60"/>
        <v>2651</v>
      </c>
      <c r="AH203" s="90" t="str">
        <f t="shared" si="61"/>
        <v>2018 (triag)</v>
      </c>
      <c r="AI203" s="90">
        <f t="shared" si="62"/>
        <v>4695</v>
      </c>
      <c r="AJ203" s="90">
        <f t="shared" si="63"/>
        <v>2022</v>
      </c>
      <c r="AK203" s="90" t="str">
        <f t="shared" si="64"/>
        <v/>
      </c>
      <c r="AL203" s="91">
        <f>IF(AK203="Adjust",(_xlfn.XLOOKUP(A203,'Adj factor'!A:A,'Adj factor'!I:I,,0)*AI203),'Master DataSheet'!AI203)</f>
        <v>4695</v>
      </c>
      <c r="AM203" s="91">
        <f t="shared" si="65"/>
        <v>4695</v>
      </c>
      <c r="AN203" s="92" t="str">
        <f t="shared" si="66"/>
        <v>Increasing</v>
      </c>
      <c r="AO203" s="93">
        <f>VLOOKUP(B203,'Growthrates source'!A$2:H$49,8,FALSE)</f>
        <v>0.14126140610967886</v>
      </c>
      <c r="AP203" s="93">
        <f>VLOOKUP(B203,'Growthrates source'!A$2:I$49,9,FALSE)</f>
        <v>5.4673730437993617E-2</v>
      </c>
      <c r="AQ203" s="86">
        <f t="shared" si="67"/>
        <v>1308.1708931531371</v>
      </c>
      <c r="AR203" s="86">
        <f t="shared" si="68"/>
        <v>3123.51233994019</v>
      </c>
      <c r="AS203" s="94">
        <f t="shared" si="69"/>
        <v>0</v>
      </c>
      <c r="AT203" s="94">
        <f t="shared" si="70"/>
        <v>0.30440699456310283</v>
      </c>
      <c r="AU203" s="94">
        <f t="shared" si="71"/>
        <v>0.47419351046334496</v>
      </c>
    </row>
    <row r="204" spans="1:47" x14ac:dyDescent="0.3">
      <c r="A204" s="85" t="str">
        <f>_xlfn.XLOOKUP(B204,'Country codes &amp; Data sources'!G:G,'Country codes &amp; Data sources'!H:H,,0)</f>
        <v>DRC</v>
      </c>
      <c r="B204" s="85" t="s">
        <v>154</v>
      </c>
      <c r="C204" s="86">
        <v>70997879.500000104</v>
      </c>
      <c r="D204" s="85" t="s">
        <v>205</v>
      </c>
      <c r="E204" s="87">
        <v>0</v>
      </c>
      <c r="F204" s="88">
        <v>73460021</v>
      </c>
      <c r="G204" s="87">
        <v>0</v>
      </c>
      <c r="I204" s="87">
        <v>0</v>
      </c>
      <c r="K204" s="87">
        <v>0</v>
      </c>
      <c r="M204" s="87">
        <v>0</v>
      </c>
      <c r="O204" s="87">
        <v>0</v>
      </c>
      <c r="P204" s="88">
        <v>87087354.999999985</v>
      </c>
      <c r="Q204" s="87">
        <v>0</v>
      </c>
      <c r="R204" s="87">
        <f t="shared" si="54"/>
        <v>0</v>
      </c>
      <c r="T204" s="87">
        <v>0</v>
      </c>
      <c r="V204" s="87">
        <v>0</v>
      </c>
      <c r="X204" s="87">
        <v>0</v>
      </c>
      <c r="Y204" s="88">
        <v>99010212</v>
      </c>
      <c r="Z204" s="87">
        <v>0</v>
      </c>
      <c r="AA204" s="87">
        <v>0</v>
      </c>
      <c r="AB204" s="89">
        <f t="shared" si="55"/>
        <v>0</v>
      </c>
      <c r="AC204" s="89">
        <f t="shared" si="56"/>
        <v>0</v>
      </c>
      <c r="AD204" s="89">
        <f t="shared" si="57"/>
        <v>0</v>
      </c>
      <c r="AE204" s="90">
        <f t="shared" si="58"/>
        <v>0</v>
      </c>
      <c r="AF204" s="90" t="str">
        <f t="shared" si="59"/>
        <v/>
      </c>
      <c r="AG204" s="90">
        <f t="shared" si="60"/>
        <v>0</v>
      </c>
      <c r="AH204" s="90" t="str">
        <f t="shared" si="61"/>
        <v/>
      </c>
      <c r="AI204" s="90">
        <f t="shared" si="62"/>
        <v>0</v>
      </c>
      <c r="AJ204" s="90" t="str">
        <f t="shared" si="63"/>
        <v/>
      </c>
      <c r="AK204" s="90" t="str">
        <f t="shared" si="64"/>
        <v/>
      </c>
      <c r="AL204" s="91">
        <f>IF(AK204="Adjust",(_xlfn.XLOOKUP(A204,'Adj factor'!A:A,'Adj factor'!I:I,,0)*AI204),'Master DataSheet'!AI204)</f>
        <v>0</v>
      </c>
      <c r="AM204" s="91">
        <f t="shared" si="65"/>
        <v>0</v>
      </c>
      <c r="AN204" s="92" t="str">
        <f t="shared" si="66"/>
        <v>No change</v>
      </c>
      <c r="AO204" s="93">
        <f>VLOOKUP(B204,'Growthrates source'!A$2:H$49,8,FALSE)</f>
        <v>0.14126140610967886</v>
      </c>
      <c r="AP204" s="93">
        <f>VLOOKUP(B204,'Growthrates source'!A$2:I$49,9,FALSE)</f>
        <v>5.4673730437993617E-2</v>
      </c>
      <c r="AQ204" s="86">
        <f t="shared" si="67"/>
        <v>0</v>
      </c>
      <c r="AR204" s="86">
        <f t="shared" si="68"/>
        <v>0</v>
      </c>
      <c r="AS204" s="94">
        <f t="shared" si="69"/>
        <v>0</v>
      </c>
      <c r="AT204" s="94">
        <f t="shared" si="70"/>
        <v>0</v>
      </c>
      <c r="AU204" s="94">
        <f t="shared" si="71"/>
        <v>0</v>
      </c>
    </row>
    <row r="205" spans="1:47" x14ac:dyDescent="0.3">
      <c r="A205" s="85" t="str">
        <f>_xlfn.XLOOKUP(B205,'Country codes &amp; Data sources'!G:G,'Country codes &amp; Data sources'!H:H,,0)</f>
        <v>DRC</v>
      </c>
      <c r="B205" s="85" t="s">
        <v>154</v>
      </c>
      <c r="C205" s="86">
        <v>70997880.500000104</v>
      </c>
      <c r="D205" s="85" t="s">
        <v>133</v>
      </c>
      <c r="E205" s="87">
        <v>0</v>
      </c>
      <c r="F205" s="88">
        <v>73460021</v>
      </c>
      <c r="G205" s="87">
        <v>2126</v>
      </c>
      <c r="I205" s="87">
        <v>0</v>
      </c>
      <c r="K205" s="87">
        <v>0</v>
      </c>
      <c r="M205" s="87">
        <v>0</v>
      </c>
      <c r="O205" s="87">
        <v>0</v>
      </c>
      <c r="P205" s="88">
        <v>87087354.999999985</v>
      </c>
      <c r="Q205" s="87">
        <v>2934</v>
      </c>
      <c r="R205" s="87">
        <f t="shared" si="54"/>
        <v>2934</v>
      </c>
      <c r="T205" s="87">
        <v>0</v>
      </c>
      <c r="V205" s="87">
        <v>0</v>
      </c>
      <c r="X205" s="87">
        <v>0</v>
      </c>
      <c r="Y205" s="88">
        <v>99010212</v>
      </c>
      <c r="Z205" s="87">
        <v>0</v>
      </c>
      <c r="AA205" s="87">
        <v>0</v>
      </c>
      <c r="AB205" s="89">
        <f t="shared" si="55"/>
        <v>2126</v>
      </c>
      <c r="AC205" s="89">
        <f t="shared" si="56"/>
        <v>2934</v>
      </c>
      <c r="AD205" s="89">
        <f t="shared" si="57"/>
        <v>0</v>
      </c>
      <c r="AE205" s="90">
        <f t="shared" si="58"/>
        <v>2126</v>
      </c>
      <c r="AF205" s="90">
        <f t="shared" si="59"/>
        <v>2013</v>
      </c>
      <c r="AG205" s="90">
        <f t="shared" si="60"/>
        <v>2934</v>
      </c>
      <c r="AH205" s="90">
        <f t="shared" si="61"/>
        <v>2018</v>
      </c>
      <c r="AI205" s="90">
        <f t="shared" si="62"/>
        <v>2934</v>
      </c>
      <c r="AJ205" s="90">
        <f t="shared" si="63"/>
        <v>2018</v>
      </c>
      <c r="AK205" s="90" t="str">
        <f t="shared" si="64"/>
        <v/>
      </c>
      <c r="AL205" s="91">
        <f>IF(AK205="Adjust",(_xlfn.XLOOKUP(A205,'Adj factor'!A:A,'Adj factor'!I:I,,0)*AI205),'Master DataSheet'!AI205)</f>
        <v>2934</v>
      </c>
      <c r="AM205" s="91">
        <f t="shared" si="65"/>
        <v>2934</v>
      </c>
      <c r="AN205" s="92" t="str">
        <f t="shared" si="66"/>
        <v>No change</v>
      </c>
      <c r="AO205" s="93">
        <f>VLOOKUP(B205,'Growthrates source'!A$2:H$49,8,FALSE)</f>
        <v>0.14126140610967886</v>
      </c>
      <c r="AP205" s="93">
        <f>VLOOKUP(B205,'Growthrates source'!A$2:I$49,9,FALSE)</f>
        <v>5.4673730437993617E-2</v>
      </c>
      <c r="AQ205" s="86">
        <f t="shared" si="67"/>
        <v>0</v>
      </c>
      <c r="AR205" s="86">
        <f t="shared" si="68"/>
        <v>0</v>
      </c>
      <c r="AS205" s="94">
        <f t="shared" si="69"/>
        <v>0.28940911955361409</v>
      </c>
      <c r="AT205" s="94">
        <f t="shared" si="70"/>
        <v>0.33690310148930352</v>
      </c>
      <c r="AU205" s="94">
        <f t="shared" si="71"/>
        <v>0.29633306915856317</v>
      </c>
    </row>
    <row r="206" spans="1:47" x14ac:dyDescent="0.3">
      <c r="A206" s="85" t="str">
        <f>_xlfn.XLOOKUP(B206,'Country codes &amp; Data sources'!G:G,'Country codes &amp; Data sources'!H:H,,0)</f>
        <v>DRC</v>
      </c>
      <c r="B206" s="85" t="s">
        <v>154</v>
      </c>
      <c r="C206" s="86">
        <v>70997881.500000104</v>
      </c>
      <c r="D206" s="85" t="s">
        <v>206</v>
      </c>
      <c r="E206" s="87">
        <v>0</v>
      </c>
      <c r="F206" s="88">
        <v>73460021</v>
      </c>
      <c r="G206" s="87">
        <v>0</v>
      </c>
      <c r="I206" s="87">
        <v>0</v>
      </c>
      <c r="K206" s="87">
        <v>0</v>
      </c>
      <c r="M206" s="87">
        <v>0</v>
      </c>
      <c r="O206" s="87">
        <v>0</v>
      </c>
      <c r="P206" s="88">
        <v>87087354.999999985</v>
      </c>
      <c r="Q206" s="87">
        <v>0</v>
      </c>
      <c r="R206" s="87">
        <f t="shared" si="54"/>
        <v>0</v>
      </c>
      <c r="T206" s="87">
        <v>0</v>
      </c>
      <c r="V206" s="87">
        <v>0</v>
      </c>
      <c r="X206" s="87">
        <v>0</v>
      </c>
      <c r="Y206" s="88">
        <v>99010212</v>
      </c>
      <c r="Z206" s="87">
        <v>0</v>
      </c>
      <c r="AA206" s="87">
        <v>0</v>
      </c>
      <c r="AB206" s="89">
        <f t="shared" si="55"/>
        <v>0</v>
      </c>
      <c r="AC206" s="89">
        <f t="shared" si="56"/>
        <v>0</v>
      </c>
      <c r="AD206" s="89">
        <f t="shared" si="57"/>
        <v>0</v>
      </c>
      <c r="AE206" s="90">
        <f t="shared" si="58"/>
        <v>0</v>
      </c>
      <c r="AF206" s="90" t="str">
        <f t="shared" si="59"/>
        <v/>
      </c>
      <c r="AG206" s="90">
        <f t="shared" si="60"/>
        <v>0</v>
      </c>
      <c r="AH206" s="90" t="str">
        <f t="shared" si="61"/>
        <v/>
      </c>
      <c r="AI206" s="90">
        <f t="shared" si="62"/>
        <v>0</v>
      </c>
      <c r="AJ206" s="90" t="str">
        <f t="shared" si="63"/>
        <v/>
      </c>
      <c r="AK206" s="90" t="str">
        <f t="shared" si="64"/>
        <v/>
      </c>
      <c r="AL206" s="91">
        <f>IF(AK206="Adjust",(_xlfn.XLOOKUP(A206,'Adj factor'!A:A,'Adj factor'!I:I,,0)*AI206),'Master DataSheet'!AI206)</f>
        <v>0</v>
      </c>
      <c r="AM206" s="91">
        <f t="shared" si="65"/>
        <v>0</v>
      </c>
      <c r="AN206" s="92" t="str">
        <f t="shared" si="66"/>
        <v>No change</v>
      </c>
      <c r="AO206" s="93">
        <f>VLOOKUP(B206,'Growthrates source'!A$2:H$49,8,FALSE)</f>
        <v>0.14126140610967886</v>
      </c>
      <c r="AP206" s="93">
        <f>VLOOKUP(B206,'Growthrates source'!A$2:I$49,9,FALSE)</f>
        <v>5.4673730437993617E-2</v>
      </c>
      <c r="AQ206" s="86">
        <f t="shared" si="67"/>
        <v>0</v>
      </c>
      <c r="AR206" s="86">
        <f t="shared" si="68"/>
        <v>0</v>
      </c>
      <c r="AS206" s="94">
        <f t="shared" si="69"/>
        <v>0</v>
      </c>
      <c r="AT206" s="94">
        <f t="shared" si="70"/>
        <v>0</v>
      </c>
      <c r="AU206" s="94">
        <f t="shared" si="71"/>
        <v>0</v>
      </c>
    </row>
    <row r="207" spans="1:47" x14ac:dyDescent="0.3">
      <c r="A207" s="85" t="str">
        <f>_xlfn.XLOOKUP(B207,'Country codes &amp; Data sources'!G:G,'Country codes &amp; Data sources'!H:H,,0)</f>
        <v>DRC</v>
      </c>
      <c r="B207" s="85" t="s">
        <v>154</v>
      </c>
      <c r="C207" s="86">
        <v>70997882.500000104</v>
      </c>
      <c r="D207" s="85" t="s">
        <v>136</v>
      </c>
      <c r="E207" s="87">
        <v>0</v>
      </c>
      <c r="F207" s="88">
        <v>73460021</v>
      </c>
      <c r="G207" s="87">
        <v>287</v>
      </c>
      <c r="I207" s="87">
        <v>0</v>
      </c>
      <c r="K207" s="87">
        <v>0</v>
      </c>
      <c r="M207" s="87">
        <v>0</v>
      </c>
      <c r="O207" s="87">
        <v>0</v>
      </c>
      <c r="P207" s="88">
        <v>87087354.999999985</v>
      </c>
      <c r="Q207" s="87">
        <v>0</v>
      </c>
      <c r="R207" s="87">
        <f t="shared" si="54"/>
        <v>338</v>
      </c>
      <c r="T207" s="87">
        <v>0</v>
      </c>
      <c r="V207" s="87">
        <v>0</v>
      </c>
      <c r="X207" s="87">
        <v>439</v>
      </c>
      <c r="Y207" s="88">
        <v>99010212</v>
      </c>
      <c r="Z207" s="87">
        <v>528</v>
      </c>
      <c r="AA207" s="87">
        <v>338</v>
      </c>
      <c r="AB207" s="89">
        <f t="shared" si="55"/>
        <v>287</v>
      </c>
      <c r="AC207" s="89">
        <f t="shared" si="56"/>
        <v>0</v>
      </c>
      <c r="AD207" s="89">
        <f t="shared" si="57"/>
        <v>528</v>
      </c>
      <c r="AE207" s="90">
        <f t="shared" si="58"/>
        <v>287</v>
      </c>
      <c r="AF207" s="90">
        <f t="shared" si="59"/>
        <v>2013</v>
      </c>
      <c r="AG207" s="90">
        <f t="shared" si="60"/>
        <v>338</v>
      </c>
      <c r="AH207" s="90" t="str">
        <f t="shared" si="61"/>
        <v>2018 (triag)</v>
      </c>
      <c r="AI207" s="90">
        <f t="shared" si="62"/>
        <v>528</v>
      </c>
      <c r="AJ207" s="90">
        <f t="shared" si="63"/>
        <v>2022</v>
      </c>
      <c r="AK207" s="90" t="str">
        <f t="shared" si="64"/>
        <v/>
      </c>
      <c r="AL207" s="91">
        <f>IF(AK207="Adjust",(_xlfn.XLOOKUP(A207,'Adj factor'!A:A,'Adj factor'!I:I,,0)*AI207),'Master DataSheet'!AI207)</f>
        <v>528</v>
      </c>
      <c r="AM207" s="91">
        <f t="shared" si="65"/>
        <v>528</v>
      </c>
      <c r="AN207" s="92" t="str">
        <f t="shared" si="66"/>
        <v>Increasing</v>
      </c>
      <c r="AO207" s="93">
        <f>VLOOKUP(B207,'Growthrates source'!A$2:H$49,8,FALSE)</f>
        <v>0.14126140610967886</v>
      </c>
      <c r="AP207" s="93">
        <f>VLOOKUP(B207,'Growthrates source'!A$2:I$49,9,FALSE)</f>
        <v>5.4673730437993617E-2</v>
      </c>
      <c r="AQ207" s="86">
        <f t="shared" si="67"/>
        <v>166.79055521907219</v>
      </c>
      <c r="AR207" s="86">
        <f t="shared" si="68"/>
        <v>398.24487774416605</v>
      </c>
      <c r="AS207" s="94">
        <f t="shared" si="69"/>
        <v>3.9068869855073962E-2</v>
      </c>
      <c r="AT207" s="94">
        <f t="shared" si="70"/>
        <v>3.8811604738713222E-2</v>
      </c>
      <c r="AU207" s="94">
        <f t="shared" si="71"/>
        <v>5.3327832486612596E-2</v>
      </c>
    </row>
    <row r="208" spans="1:47" x14ac:dyDescent="0.3">
      <c r="A208" s="85" t="str">
        <f>_xlfn.XLOOKUP(B208,'Country codes &amp; Data sources'!G:G,'Country codes &amp; Data sources'!H:H,,0)</f>
        <v>DRC</v>
      </c>
      <c r="B208" s="85" t="s">
        <v>154</v>
      </c>
      <c r="C208" s="86">
        <v>70997883.500000104</v>
      </c>
      <c r="D208" s="85" t="s">
        <v>207</v>
      </c>
      <c r="E208" s="87">
        <v>0</v>
      </c>
      <c r="F208" s="88">
        <v>73460021</v>
      </c>
      <c r="G208" s="87">
        <v>0</v>
      </c>
      <c r="I208" s="87">
        <v>0</v>
      </c>
      <c r="K208" s="87">
        <v>0</v>
      </c>
      <c r="M208" s="87">
        <v>0</v>
      </c>
      <c r="O208" s="87">
        <v>0</v>
      </c>
      <c r="P208" s="88">
        <v>87087354.999999985</v>
      </c>
      <c r="Q208" s="87">
        <v>0</v>
      </c>
      <c r="R208" s="87">
        <f t="shared" si="54"/>
        <v>0</v>
      </c>
      <c r="T208" s="87">
        <v>0</v>
      </c>
      <c r="V208" s="87">
        <v>0</v>
      </c>
      <c r="X208" s="87">
        <v>0</v>
      </c>
      <c r="Y208" s="88">
        <v>99010212</v>
      </c>
      <c r="Z208" s="87">
        <v>0</v>
      </c>
      <c r="AA208" s="87">
        <v>0</v>
      </c>
      <c r="AB208" s="89">
        <f t="shared" si="55"/>
        <v>0</v>
      </c>
      <c r="AC208" s="89">
        <f t="shared" si="56"/>
        <v>0</v>
      </c>
      <c r="AD208" s="89">
        <f t="shared" si="57"/>
        <v>0</v>
      </c>
      <c r="AE208" s="90">
        <f t="shared" si="58"/>
        <v>0</v>
      </c>
      <c r="AF208" s="90" t="str">
        <f t="shared" si="59"/>
        <v/>
      </c>
      <c r="AG208" s="90">
        <f t="shared" si="60"/>
        <v>0</v>
      </c>
      <c r="AH208" s="90" t="str">
        <f t="shared" si="61"/>
        <v/>
      </c>
      <c r="AI208" s="90">
        <f t="shared" si="62"/>
        <v>0</v>
      </c>
      <c r="AJ208" s="90" t="str">
        <f t="shared" si="63"/>
        <v/>
      </c>
      <c r="AK208" s="90" t="str">
        <f t="shared" si="64"/>
        <v/>
      </c>
      <c r="AL208" s="91">
        <f>IF(AK208="Adjust",(_xlfn.XLOOKUP(A208,'Adj factor'!A:A,'Adj factor'!I:I,,0)*AI208),'Master DataSheet'!AI208)</f>
        <v>0</v>
      </c>
      <c r="AM208" s="91">
        <f t="shared" si="65"/>
        <v>0</v>
      </c>
      <c r="AN208" s="92" t="str">
        <f t="shared" si="66"/>
        <v>No change</v>
      </c>
      <c r="AO208" s="93">
        <f>VLOOKUP(B208,'Growthrates source'!A$2:H$49,8,FALSE)</f>
        <v>0.14126140610967886</v>
      </c>
      <c r="AP208" s="93">
        <f>VLOOKUP(B208,'Growthrates source'!A$2:I$49,9,FALSE)</f>
        <v>5.4673730437993617E-2</v>
      </c>
      <c r="AQ208" s="86">
        <f t="shared" si="67"/>
        <v>0</v>
      </c>
      <c r="AR208" s="86">
        <f t="shared" si="68"/>
        <v>0</v>
      </c>
      <c r="AS208" s="94">
        <f t="shared" si="69"/>
        <v>0</v>
      </c>
      <c r="AT208" s="94">
        <f t="shared" si="70"/>
        <v>0</v>
      </c>
      <c r="AU208" s="94">
        <f t="shared" si="71"/>
        <v>0</v>
      </c>
    </row>
    <row r="209" spans="1:47" x14ac:dyDescent="0.3">
      <c r="A209" s="85" t="str">
        <f>_xlfn.XLOOKUP(B209,'Country codes &amp; Data sources'!G:G,'Country codes &amp; Data sources'!H:H,,0)</f>
        <v>DRC</v>
      </c>
      <c r="B209" s="85" t="s">
        <v>154</v>
      </c>
      <c r="C209" s="86">
        <v>70997884.500000104</v>
      </c>
      <c r="D209" s="85" t="s">
        <v>141</v>
      </c>
      <c r="E209" s="87">
        <v>0</v>
      </c>
      <c r="F209" s="88">
        <v>73460021</v>
      </c>
      <c r="G209" s="87">
        <v>0</v>
      </c>
      <c r="I209" s="87">
        <v>0</v>
      </c>
      <c r="K209" s="87">
        <v>0</v>
      </c>
      <c r="M209" s="87">
        <v>0</v>
      </c>
      <c r="O209" s="87">
        <v>0</v>
      </c>
      <c r="P209" s="88">
        <v>87087354.999999985</v>
      </c>
      <c r="Q209" s="87">
        <v>0</v>
      </c>
      <c r="R209" s="87">
        <f t="shared" si="54"/>
        <v>0</v>
      </c>
      <c r="T209" s="87">
        <v>0</v>
      </c>
      <c r="V209" s="87">
        <v>0</v>
      </c>
      <c r="X209" s="87">
        <v>0</v>
      </c>
      <c r="Y209" s="88">
        <v>99010212</v>
      </c>
      <c r="Z209" s="87">
        <v>0</v>
      </c>
      <c r="AA209" s="87">
        <v>0</v>
      </c>
      <c r="AB209" s="89">
        <f t="shared" si="55"/>
        <v>0</v>
      </c>
      <c r="AC209" s="89">
        <f t="shared" si="56"/>
        <v>0</v>
      </c>
      <c r="AD209" s="89">
        <f t="shared" si="57"/>
        <v>0</v>
      </c>
      <c r="AE209" s="90">
        <f t="shared" si="58"/>
        <v>0</v>
      </c>
      <c r="AF209" s="90" t="str">
        <f t="shared" si="59"/>
        <v/>
      </c>
      <c r="AG209" s="90">
        <f t="shared" si="60"/>
        <v>0</v>
      </c>
      <c r="AH209" s="90" t="str">
        <f t="shared" si="61"/>
        <v/>
      </c>
      <c r="AI209" s="90">
        <f t="shared" si="62"/>
        <v>0</v>
      </c>
      <c r="AJ209" s="90" t="str">
        <f t="shared" si="63"/>
        <v/>
      </c>
      <c r="AK209" s="90" t="str">
        <f t="shared" si="64"/>
        <v/>
      </c>
      <c r="AL209" s="91">
        <f>IF(AK209="Adjust",(_xlfn.XLOOKUP(A209,'Adj factor'!A:A,'Adj factor'!I:I,,0)*AI209),'Master DataSheet'!AI209)</f>
        <v>0</v>
      </c>
      <c r="AM209" s="91">
        <f t="shared" si="65"/>
        <v>0</v>
      </c>
      <c r="AN209" s="92" t="str">
        <f t="shared" si="66"/>
        <v>No change</v>
      </c>
      <c r="AO209" s="93">
        <f>VLOOKUP(B209,'Growthrates source'!A$2:H$49,8,FALSE)</f>
        <v>0.14126140610967886</v>
      </c>
      <c r="AP209" s="93">
        <f>VLOOKUP(B209,'Growthrates source'!A$2:I$49,9,FALSE)</f>
        <v>5.4673730437993617E-2</v>
      </c>
      <c r="AQ209" s="86">
        <f t="shared" si="67"/>
        <v>0</v>
      </c>
      <c r="AR209" s="86">
        <f t="shared" si="68"/>
        <v>0</v>
      </c>
      <c r="AS209" s="94">
        <f t="shared" si="69"/>
        <v>0</v>
      </c>
      <c r="AT209" s="94">
        <f t="shared" si="70"/>
        <v>0</v>
      </c>
      <c r="AU209" s="94">
        <f t="shared" si="71"/>
        <v>0</v>
      </c>
    </row>
    <row r="210" spans="1:47" x14ac:dyDescent="0.3">
      <c r="A210" s="85" t="str">
        <f>_xlfn.XLOOKUP(B210,'Country codes &amp; Data sources'!G:G,'Country codes &amp; Data sources'!H:H,,0)</f>
        <v>DRC</v>
      </c>
      <c r="B210" s="85" t="s">
        <v>154</v>
      </c>
      <c r="C210" s="86">
        <v>70997885.500000104</v>
      </c>
      <c r="D210" s="85" t="s">
        <v>208</v>
      </c>
      <c r="E210" s="87">
        <v>0</v>
      </c>
      <c r="F210" s="88">
        <v>73460021</v>
      </c>
      <c r="G210" s="87">
        <v>0</v>
      </c>
      <c r="I210" s="87">
        <v>0</v>
      </c>
      <c r="K210" s="87">
        <v>0</v>
      </c>
      <c r="M210" s="87">
        <v>0</v>
      </c>
      <c r="O210" s="87">
        <v>0</v>
      </c>
      <c r="P210" s="88">
        <v>87087354.999999985</v>
      </c>
      <c r="Q210" s="87">
        <v>0</v>
      </c>
      <c r="R210" s="87">
        <f t="shared" si="54"/>
        <v>74310</v>
      </c>
      <c r="T210" s="87">
        <v>1939</v>
      </c>
      <c r="V210" s="87">
        <v>0</v>
      </c>
      <c r="X210" s="87">
        <v>1785</v>
      </c>
      <c r="Y210" s="88">
        <v>99010212</v>
      </c>
      <c r="Z210" s="87">
        <v>1803</v>
      </c>
      <c r="AA210" s="87">
        <v>74310</v>
      </c>
      <c r="AB210" s="89">
        <f t="shared" si="55"/>
        <v>0</v>
      </c>
      <c r="AC210" s="89">
        <f t="shared" si="56"/>
        <v>1939</v>
      </c>
      <c r="AD210" s="89">
        <f t="shared" si="57"/>
        <v>1803</v>
      </c>
      <c r="AE210" s="90">
        <f t="shared" si="58"/>
        <v>0</v>
      </c>
      <c r="AF210" s="90" t="str">
        <f t="shared" si="59"/>
        <v/>
      </c>
      <c r="AG210" s="90">
        <f t="shared" si="60"/>
        <v>74310</v>
      </c>
      <c r="AH210" s="90" t="str">
        <f t="shared" si="61"/>
        <v>2018 (triag)</v>
      </c>
      <c r="AI210" s="90">
        <f t="shared" si="62"/>
        <v>1803</v>
      </c>
      <c r="AJ210" s="90">
        <f t="shared" si="63"/>
        <v>2022</v>
      </c>
      <c r="AK210" s="90" t="str">
        <f t="shared" si="64"/>
        <v>Adjust</v>
      </c>
      <c r="AL210" s="91">
        <f>IF(AK210="Adjust",(_xlfn.XLOOKUP(A210,'Adj factor'!A:A,'Adj factor'!I:I,,0)*AI210),'Master DataSheet'!AI210)</f>
        <v>2075.6932661315523</v>
      </c>
      <c r="AM210" s="91">
        <f t="shared" si="65"/>
        <v>74310</v>
      </c>
      <c r="AN210" s="92" t="str">
        <f t="shared" si="66"/>
        <v>Decreasing</v>
      </c>
      <c r="AO210" s="93">
        <f>VLOOKUP(B210,'Growthrates source'!A$2:H$49,8,FALSE)</f>
        <v>0.14126140610967886</v>
      </c>
      <c r="AP210" s="93">
        <f>VLOOKUP(B210,'Growthrates source'!A$2:I$49,9,FALSE)</f>
        <v>5.4673730437993617E-2</v>
      </c>
      <c r="AQ210" s="86">
        <f t="shared" si="67"/>
        <v>36669.248989139807</v>
      </c>
      <c r="AR210" s="86">
        <f t="shared" si="68"/>
        <v>87554.961139553183</v>
      </c>
      <c r="AS210" s="94">
        <f t="shared" si="69"/>
        <v>0</v>
      </c>
      <c r="AT210" s="94">
        <f t="shared" si="70"/>
        <v>8.5328116808691696</v>
      </c>
      <c r="AU210" s="94">
        <f t="shared" si="71"/>
        <v>7.5052864243942841</v>
      </c>
    </row>
    <row r="211" spans="1:47" x14ac:dyDescent="0.3">
      <c r="A211" s="85" t="str">
        <f>_xlfn.XLOOKUP(B211,'Country codes &amp; Data sources'!G:G,'Country codes &amp; Data sources'!H:H,,0)</f>
        <v>DRC</v>
      </c>
      <c r="B211" s="85" t="s">
        <v>154</v>
      </c>
      <c r="C211" s="86">
        <v>70997886.500000104</v>
      </c>
      <c r="D211" s="85" t="s">
        <v>209</v>
      </c>
      <c r="E211" s="87">
        <v>0</v>
      </c>
      <c r="F211" s="88">
        <v>73460021</v>
      </c>
      <c r="G211" s="87">
        <v>0</v>
      </c>
      <c r="I211" s="87">
        <v>0</v>
      </c>
      <c r="K211" s="87">
        <v>0</v>
      </c>
      <c r="M211" s="87">
        <v>0</v>
      </c>
      <c r="O211" s="87">
        <v>0</v>
      </c>
      <c r="P211" s="88">
        <v>87087354.999999985</v>
      </c>
      <c r="Q211" s="87">
        <v>0</v>
      </c>
      <c r="R211" s="87">
        <f t="shared" si="54"/>
        <v>1608</v>
      </c>
      <c r="T211" s="87">
        <v>0</v>
      </c>
      <c r="V211" s="87">
        <v>0</v>
      </c>
      <c r="X211" s="87">
        <v>0</v>
      </c>
      <c r="Y211" s="88">
        <v>99010212</v>
      </c>
      <c r="Z211" s="87">
        <v>0</v>
      </c>
      <c r="AA211" s="87">
        <v>1608</v>
      </c>
      <c r="AB211" s="89">
        <f t="shared" si="55"/>
        <v>0</v>
      </c>
      <c r="AC211" s="89">
        <f t="shared" si="56"/>
        <v>0</v>
      </c>
      <c r="AD211" s="89">
        <f t="shared" si="57"/>
        <v>0</v>
      </c>
      <c r="AE211" s="90">
        <f t="shared" si="58"/>
        <v>0</v>
      </c>
      <c r="AF211" s="90" t="str">
        <f t="shared" si="59"/>
        <v/>
      </c>
      <c r="AG211" s="90">
        <f t="shared" si="60"/>
        <v>1608</v>
      </c>
      <c r="AH211" s="90" t="str">
        <f t="shared" si="61"/>
        <v>2018 (triag)</v>
      </c>
      <c r="AI211" s="90">
        <f t="shared" si="62"/>
        <v>1608</v>
      </c>
      <c r="AJ211" s="90" t="str">
        <f t="shared" si="63"/>
        <v>2018 (triag)</v>
      </c>
      <c r="AK211" s="90" t="str">
        <f t="shared" si="64"/>
        <v/>
      </c>
      <c r="AL211" s="91">
        <f>IF(AK211="Adjust",(_xlfn.XLOOKUP(A211,'Adj factor'!A:A,'Adj factor'!I:I,,0)*AI211),'Master DataSheet'!AI211)</f>
        <v>1608</v>
      </c>
      <c r="AM211" s="91">
        <f t="shared" si="65"/>
        <v>1608</v>
      </c>
      <c r="AN211" s="92" t="str">
        <f t="shared" si="66"/>
        <v>No change</v>
      </c>
      <c r="AO211" s="93">
        <f>VLOOKUP(B211,'Growthrates source'!A$2:H$49,8,FALSE)</f>
        <v>0.14126140610967886</v>
      </c>
      <c r="AP211" s="93">
        <f>VLOOKUP(B211,'Growthrates source'!A$2:I$49,9,FALSE)</f>
        <v>5.4673730437993617E-2</v>
      </c>
      <c r="AQ211" s="86">
        <f t="shared" si="67"/>
        <v>793.48879524339668</v>
      </c>
      <c r="AR211" s="86">
        <f t="shared" si="68"/>
        <v>1894.6087674929556</v>
      </c>
      <c r="AS211" s="94">
        <f t="shared" si="69"/>
        <v>0</v>
      </c>
      <c r="AT211" s="94">
        <f t="shared" si="70"/>
        <v>0.18464219059127474</v>
      </c>
      <c r="AU211" s="94">
        <f t="shared" si="71"/>
        <v>0.16240748984559289</v>
      </c>
    </row>
    <row r="212" spans="1:47" x14ac:dyDescent="0.3">
      <c r="A212" s="85" t="str">
        <f>_xlfn.XLOOKUP(B212,'Country codes &amp; Data sources'!G:G,'Country codes &amp; Data sources'!H:H,,0)</f>
        <v>DRC</v>
      </c>
      <c r="B212" s="85" t="s">
        <v>154</v>
      </c>
      <c r="C212" s="86">
        <v>70997887.500000104</v>
      </c>
      <c r="D212" s="85" t="s">
        <v>134</v>
      </c>
      <c r="E212" s="87">
        <v>0</v>
      </c>
      <c r="F212" s="88">
        <v>73460021</v>
      </c>
      <c r="G212" s="87">
        <v>0</v>
      </c>
      <c r="I212" s="87">
        <v>0</v>
      </c>
      <c r="K212" s="87">
        <v>0</v>
      </c>
      <c r="M212" s="87">
        <v>0</v>
      </c>
      <c r="O212" s="87">
        <v>0</v>
      </c>
      <c r="P212" s="88">
        <v>87087354.999999985</v>
      </c>
      <c r="Q212" s="87">
        <v>0</v>
      </c>
      <c r="R212" s="87">
        <f t="shared" si="54"/>
        <v>2934</v>
      </c>
      <c r="T212" s="87">
        <v>0</v>
      </c>
      <c r="V212" s="87">
        <v>0</v>
      </c>
      <c r="X212" s="87">
        <v>0</v>
      </c>
      <c r="Y212" s="88">
        <v>99010212</v>
      </c>
      <c r="Z212" s="87">
        <v>0</v>
      </c>
      <c r="AA212" s="87">
        <v>2934</v>
      </c>
      <c r="AB212" s="89">
        <f t="shared" si="55"/>
        <v>0</v>
      </c>
      <c r="AC212" s="89">
        <f t="shared" si="56"/>
        <v>0</v>
      </c>
      <c r="AD212" s="89">
        <f t="shared" si="57"/>
        <v>0</v>
      </c>
      <c r="AE212" s="90">
        <f t="shared" si="58"/>
        <v>0</v>
      </c>
      <c r="AF212" s="90" t="str">
        <f t="shared" si="59"/>
        <v/>
      </c>
      <c r="AG212" s="90">
        <f t="shared" si="60"/>
        <v>2934</v>
      </c>
      <c r="AH212" s="90" t="str">
        <f t="shared" si="61"/>
        <v>2018 (triag)</v>
      </c>
      <c r="AI212" s="90">
        <f t="shared" si="62"/>
        <v>2934</v>
      </c>
      <c r="AJ212" s="90" t="str">
        <f t="shared" si="63"/>
        <v>2018 (triag)</v>
      </c>
      <c r="AK212" s="90" t="str">
        <f t="shared" si="64"/>
        <v/>
      </c>
      <c r="AL212" s="91">
        <f>IF(AK212="Adjust",(_xlfn.XLOOKUP(A212,'Adj factor'!A:A,'Adj factor'!I:I,,0)*AI212),'Master DataSheet'!AI212)</f>
        <v>2934</v>
      </c>
      <c r="AM212" s="91">
        <f t="shared" si="65"/>
        <v>2934</v>
      </c>
      <c r="AN212" s="92" t="str">
        <f t="shared" si="66"/>
        <v>No change</v>
      </c>
      <c r="AO212" s="93">
        <f>VLOOKUP(B212,'Growthrates source'!A$2:H$49,8,FALSE)</f>
        <v>0.14126140610967886</v>
      </c>
      <c r="AP212" s="93">
        <f>VLOOKUP(B212,'Growthrates source'!A$2:I$49,9,FALSE)</f>
        <v>5.4673730437993617E-2</v>
      </c>
      <c r="AQ212" s="86">
        <f t="shared" si="67"/>
        <v>1447.820973410526</v>
      </c>
      <c r="AR212" s="86">
        <f t="shared" si="68"/>
        <v>3456.9540571046837</v>
      </c>
      <c r="AS212" s="94">
        <f t="shared" si="69"/>
        <v>0</v>
      </c>
      <c r="AT212" s="94">
        <f t="shared" si="70"/>
        <v>0.33690310148930352</v>
      </c>
      <c r="AU212" s="94">
        <f t="shared" si="71"/>
        <v>0.29633306915856317</v>
      </c>
    </row>
    <row r="213" spans="1:47" x14ac:dyDescent="0.3">
      <c r="A213" s="85" t="str">
        <f>_xlfn.XLOOKUP(B213,'Country codes &amp; Data sources'!G:G,'Country codes &amp; Data sources'!H:H,,0)</f>
        <v>DRC</v>
      </c>
      <c r="B213" s="85" t="s">
        <v>154</v>
      </c>
      <c r="C213" s="86">
        <v>70997888.500000104</v>
      </c>
      <c r="D213" s="85" t="s">
        <v>142</v>
      </c>
      <c r="E213" s="87">
        <v>0</v>
      </c>
      <c r="F213" s="88">
        <v>73460021</v>
      </c>
      <c r="G213" s="87">
        <v>0</v>
      </c>
      <c r="I213" s="87">
        <v>0</v>
      </c>
      <c r="K213" s="87">
        <v>0</v>
      </c>
      <c r="M213" s="87">
        <v>0</v>
      </c>
      <c r="O213" s="87">
        <v>0</v>
      </c>
      <c r="P213" s="88">
        <v>87087354.999999985</v>
      </c>
      <c r="Q213" s="87">
        <v>0</v>
      </c>
      <c r="R213" s="87">
        <f t="shared" si="54"/>
        <v>0</v>
      </c>
      <c r="T213" s="87">
        <v>0</v>
      </c>
      <c r="V213" s="87">
        <v>0</v>
      </c>
      <c r="X213" s="87">
        <v>0</v>
      </c>
      <c r="Y213" s="88">
        <v>99010212</v>
      </c>
      <c r="Z213" s="87">
        <v>0</v>
      </c>
      <c r="AA213" s="87">
        <v>0</v>
      </c>
      <c r="AB213" s="89">
        <f t="shared" si="55"/>
        <v>0</v>
      </c>
      <c r="AC213" s="89">
        <f t="shared" si="56"/>
        <v>0</v>
      </c>
      <c r="AD213" s="89">
        <f t="shared" si="57"/>
        <v>0</v>
      </c>
      <c r="AE213" s="90">
        <f t="shared" si="58"/>
        <v>0</v>
      </c>
      <c r="AF213" s="90" t="str">
        <f t="shared" si="59"/>
        <v/>
      </c>
      <c r="AG213" s="90">
        <f t="shared" si="60"/>
        <v>0</v>
      </c>
      <c r="AH213" s="90" t="str">
        <f t="shared" si="61"/>
        <v/>
      </c>
      <c r="AI213" s="90">
        <f t="shared" si="62"/>
        <v>0</v>
      </c>
      <c r="AJ213" s="90" t="str">
        <f t="shared" si="63"/>
        <v/>
      </c>
      <c r="AK213" s="90" t="str">
        <f t="shared" si="64"/>
        <v/>
      </c>
      <c r="AL213" s="91">
        <f>IF(AK213="Adjust",(_xlfn.XLOOKUP(A213,'Adj factor'!A:A,'Adj factor'!I:I,,0)*AI213),'Master DataSheet'!AI213)</f>
        <v>0</v>
      </c>
      <c r="AM213" s="91">
        <f t="shared" si="65"/>
        <v>0</v>
      </c>
      <c r="AN213" s="92" t="str">
        <f t="shared" si="66"/>
        <v>No change</v>
      </c>
      <c r="AO213" s="93">
        <f>VLOOKUP(B213,'Growthrates source'!A$2:H$49,8,FALSE)</f>
        <v>0.14126140610967886</v>
      </c>
      <c r="AP213" s="93">
        <f>VLOOKUP(B213,'Growthrates source'!A$2:I$49,9,FALSE)</f>
        <v>5.4673730437993617E-2</v>
      </c>
      <c r="AQ213" s="86">
        <f t="shared" si="67"/>
        <v>0</v>
      </c>
      <c r="AR213" s="86">
        <f t="shared" si="68"/>
        <v>0</v>
      </c>
      <c r="AS213" s="94">
        <f t="shared" si="69"/>
        <v>0</v>
      </c>
      <c r="AT213" s="94">
        <f t="shared" si="70"/>
        <v>0</v>
      </c>
      <c r="AU213" s="94">
        <f t="shared" si="71"/>
        <v>0</v>
      </c>
    </row>
    <row r="214" spans="1:47" x14ac:dyDescent="0.3">
      <c r="A214" s="85" t="str">
        <f>_xlfn.XLOOKUP(B214,'Country codes &amp; Data sources'!G:G,'Country codes &amp; Data sources'!H:H,,0)</f>
        <v>DRC</v>
      </c>
      <c r="B214" s="85" t="s">
        <v>154</v>
      </c>
      <c r="C214" s="86">
        <v>70997889.500000104</v>
      </c>
      <c r="D214" s="85" t="s">
        <v>83</v>
      </c>
      <c r="E214" s="87">
        <v>0</v>
      </c>
      <c r="F214" s="88">
        <v>73460021</v>
      </c>
      <c r="G214" s="87">
        <v>0</v>
      </c>
      <c r="I214" s="87">
        <v>0</v>
      </c>
      <c r="K214" s="87">
        <v>0</v>
      </c>
      <c r="M214" s="87">
        <v>0</v>
      </c>
      <c r="O214" s="87">
        <v>0</v>
      </c>
      <c r="P214" s="88">
        <v>87087354.999999985</v>
      </c>
      <c r="Q214" s="87">
        <v>0</v>
      </c>
      <c r="R214" s="87">
        <f t="shared" si="54"/>
        <v>395</v>
      </c>
      <c r="T214" s="87">
        <v>496</v>
      </c>
      <c r="V214" s="87">
        <v>0</v>
      </c>
      <c r="X214" s="87">
        <v>680</v>
      </c>
      <c r="Y214" s="88">
        <v>99010212</v>
      </c>
      <c r="Z214" s="87">
        <v>793</v>
      </c>
      <c r="AA214" s="87">
        <v>395</v>
      </c>
      <c r="AB214" s="89">
        <f t="shared" si="55"/>
        <v>0</v>
      </c>
      <c r="AC214" s="89">
        <f t="shared" si="56"/>
        <v>496</v>
      </c>
      <c r="AD214" s="89">
        <f t="shared" si="57"/>
        <v>793</v>
      </c>
      <c r="AE214" s="90">
        <f t="shared" si="58"/>
        <v>0</v>
      </c>
      <c r="AF214" s="90" t="str">
        <f t="shared" si="59"/>
        <v/>
      </c>
      <c r="AG214" s="90">
        <f t="shared" si="60"/>
        <v>395</v>
      </c>
      <c r="AH214" s="90" t="str">
        <f t="shared" si="61"/>
        <v>2018 (triag)</v>
      </c>
      <c r="AI214" s="90">
        <f t="shared" si="62"/>
        <v>793</v>
      </c>
      <c r="AJ214" s="90">
        <f t="shared" si="63"/>
        <v>2022</v>
      </c>
      <c r="AK214" s="90" t="str">
        <f t="shared" si="64"/>
        <v/>
      </c>
      <c r="AL214" s="91">
        <f>IF(AK214="Adjust",(_xlfn.XLOOKUP(A214,'Adj factor'!A:A,'Adj factor'!I:I,,0)*AI214),'Master DataSheet'!AI214)</f>
        <v>793</v>
      </c>
      <c r="AM214" s="91">
        <f t="shared" si="65"/>
        <v>793</v>
      </c>
      <c r="AN214" s="92" t="str">
        <f t="shared" si="66"/>
        <v>Increasing</v>
      </c>
      <c r="AO214" s="93">
        <f>VLOOKUP(B214,'Growthrates source'!A$2:H$49,8,FALSE)</f>
        <v>0.14126140610967886</v>
      </c>
      <c r="AP214" s="93">
        <f>VLOOKUP(B214,'Growthrates source'!A$2:I$49,9,FALSE)</f>
        <v>5.4673730437993617E-2</v>
      </c>
      <c r="AQ214" s="86">
        <f t="shared" si="67"/>
        <v>194.91795654299855</v>
      </c>
      <c r="AR214" s="86">
        <f t="shared" si="68"/>
        <v>465.40451689037155</v>
      </c>
      <c r="AS214" s="94">
        <f t="shared" si="69"/>
        <v>0</v>
      </c>
      <c r="AT214" s="94">
        <f t="shared" si="70"/>
        <v>4.5356757017135277E-2</v>
      </c>
      <c r="AU214" s="94">
        <f t="shared" si="71"/>
        <v>8.009274841265869E-2</v>
      </c>
    </row>
    <row r="215" spans="1:47" x14ac:dyDescent="0.3">
      <c r="A215" s="85" t="str">
        <f>_xlfn.XLOOKUP(B215,'Country codes &amp; Data sources'!G:G,'Country codes &amp; Data sources'!H:H,,0)</f>
        <v>DRC</v>
      </c>
      <c r="B215" s="85" t="s">
        <v>154</v>
      </c>
      <c r="C215" s="86">
        <v>70997890.500000104</v>
      </c>
      <c r="D215" s="85" t="s">
        <v>84</v>
      </c>
      <c r="E215" s="87">
        <v>0</v>
      </c>
      <c r="F215" s="88">
        <v>73460021</v>
      </c>
      <c r="G215" s="87">
        <v>0</v>
      </c>
      <c r="I215" s="87">
        <v>0</v>
      </c>
      <c r="K215" s="87">
        <v>0</v>
      </c>
      <c r="M215" s="87">
        <v>0</v>
      </c>
      <c r="O215" s="87">
        <v>0</v>
      </c>
      <c r="P215" s="88">
        <v>87087354.999999985</v>
      </c>
      <c r="Q215" s="87">
        <v>0</v>
      </c>
      <c r="R215" s="87">
        <f t="shared" si="54"/>
        <v>0</v>
      </c>
      <c r="T215" s="87">
        <v>0</v>
      </c>
      <c r="V215" s="87">
        <v>0</v>
      </c>
      <c r="X215" s="87">
        <v>0</v>
      </c>
      <c r="Y215" s="88">
        <v>99010212</v>
      </c>
      <c r="Z215" s="87">
        <v>0</v>
      </c>
      <c r="AA215" s="87">
        <v>0</v>
      </c>
      <c r="AB215" s="89">
        <f t="shared" si="55"/>
        <v>0</v>
      </c>
      <c r="AC215" s="89">
        <f t="shared" si="56"/>
        <v>0</v>
      </c>
      <c r="AD215" s="89">
        <f t="shared" si="57"/>
        <v>0</v>
      </c>
      <c r="AE215" s="90">
        <f t="shared" si="58"/>
        <v>0</v>
      </c>
      <c r="AF215" s="90" t="str">
        <f t="shared" si="59"/>
        <v/>
      </c>
      <c r="AG215" s="90">
        <f t="shared" si="60"/>
        <v>0</v>
      </c>
      <c r="AH215" s="90" t="str">
        <f t="shared" si="61"/>
        <v/>
      </c>
      <c r="AI215" s="90">
        <f t="shared" si="62"/>
        <v>0</v>
      </c>
      <c r="AJ215" s="90" t="str">
        <f t="shared" si="63"/>
        <v/>
      </c>
      <c r="AK215" s="90" t="str">
        <f t="shared" si="64"/>
        <v/>
      </c>
      <c r="AL215" s="91">
        <f>IF(AK215="Adjust",(_xlfn.XLOOKUP(A215,'Adj factor'!A:A,'Adj factor'!I:I,,0)*AI215),'Master DataSheet'!AI215)</f>
        <v>0</v>
      </c>
      <c r="AM215" s="91">
        <f t="shared" si="65"/>
        <v>0</v>
      </c>
      <c r="AN215" s="92" t="str">
        <f t="shared" si="66"/>
        <v>No change</v>
      </c>
      <c r="AO215" s="93">
        <f>VLOOKUP(B215,'Growthrates source'!A$2:H$49,8,FALSE)</f>
        <v>0.14126140610967886</v>
      </c>
      <c r="AP215" s="93">
        <f>VLOOKUP(B215,'Growthrates source'!A$2:I$49,9,FALSE)</f>
        <v>5.4673730437993617E-2</v>
      </c>
      <c r="AQ215" s="86">
        <f t="shared" si="67"/>
        <v>0</v>
      </c>
      <c r="AR215" s="86">
        <f t="shared" si="68"/>
        <v>0</v>
      </c>
      <c r="AS215" s="94">
        <f t="shared" si="69"/>
        <v>0</v>
      </c>
      <c r="AT215" s="94">
        <f t="shared" si="70"/>
        <v>0</v>
      </c>
      <c r="AU215" s="94">
        <f t="shared" si="71"/>
        <v>0</v>
      </c>
    </row>
    <row r="216" spans="1:47" x14ac:dyDescent="0.3">
      <c r="A216" s="85" t="str">
        <f>_xlfn.XLOOKUP(B216,'Country codes &amp; Data sources'!G:G,'Country codes &amp; Data sources'!H:H,,0)</f>
        <v>DRC</v>
      </c>
      <c r="B216" s="85" t="s">
        <v>154</v>
      </c>
      <c r="C216" s="86">
        <v>70997891.500000104</v>
      </c>
      <c r="D216" s="85" t="s">
        <v>126</v>
      </c>
      <c r="E216" s="87">
        <v>0</v>
      </c>
      <c r="F216" s="88">
        <v>73460021</v>
      </c>
      <c r="G216" s="87">
        <v>0</v>
      </c>
      <c r="I216" s="87">
        <v>0</v>
      </c>
      <c r="K216" s="87">
        <v>0</v>
      </c>
      <c r="M216" s="87">
        <v>0</v>
      </c>
      <c r="O216" s="87">
        <v>0</v>
      </c>
      <c r="P216" s="88">
        <v>87087354.999999985</v>
      </c>
      <c r="Q216" s="87">
        <v>0</v>
      </c>
      <c r="R216" s="87">
        <f t="shared" si="54"/>
        <v>0</v>
      </c>
      <c r="T216" s="87">
        <v>0</v>
      </c>
      <c r="V216" s="87">
        <v>0</v>
      </c>
      <c r="X216" s="87">
        <v>0</v>
      </c>
      <c r="Y216" s="88">
        <v>99010212</v>
      </c>
      <c r="Z216" s="87">
        <v>0</v>
      </c>
      <c r="AA216" s="87">
        <v>0</v>
      </c>
      <c r="AB216" s="89">
        <f t="shared" si="55"/>
        <v>0</v>
      </c>
      <c r="AC216" s="89">
        <f t="shared" si="56"/>
        <v>0</v>
      </c>
      <c r="AD216" s="89">
        <f t="shared" si="57"/>
        <v>0</v>
      </c>
      <c r="AE216" s="90">
        <f t="shared" si="58"/>
        <v>0</v>
      </c>
      <c r="AF216" s="90" t="str">
        <f t="shared" si="59"/>
        <v/>
      </c>
      <c r="AG216" s="90">
        <f t="shared" si="60"/>
        <v>0</v>
      </c>
      <c r="AH216" s="90" t="str">
        <f t="shared" si="61"/>
        <v/>
      </c>
      <c r="AI216" s="90">
        <f t="shared" si="62"/>
        <v>0</v>
      </c>
      <c r="AJ216" s="90" t="str">
        <f t="shared" si="63"/>
        <v/>
      </c>
      <c r="AK216" s="90" t="str">
        <f t="shared" si="64"/>
        <v/>
      </c>
      <c r="AL216" s="91">
        <f>IF(AK216="Adjust",(_xlfn.XLOOKUP(A216,'Adj factor'!A:A,'Adj factor'!I:I,,0)*AI216),'Master DataSheet'!AI216)</f>
        <v>0</v>
      </c>
      <c r="AM216" s="91">
        <f t="shared" si="65"/>
        <v>0</v>
      </c>
      <c r="AN216" s="92" t="str">
        <f t="shared" si="66"/>
        <v>No change</v>
      </c>
      <c r="AO216" s="93">
        <f>VLOOKUP(B216,'Growthrates source'!A$2:H$49,8,FALSE)</f>
        <v>0.14126140610967886</v>
      </c>
      <c r="AP216" s="93">
        <f>VLOOKUP(B216,'Growthrates source'!A$2:I$49,9,FALSE)</f>
        <v>5.4673730437993617E-2</v>
      </c>
      <c r="AQ216" s="86">
        <f t="shared" si="67"/>
        <v>0</v>
      </c>
      <c r="AR216" s="86">
        <f t="shared" si="68"/>
        <v>0</v>
      </c>
      <c r="AS216" s="94">
        <f t="shared" si="69"/>
        <v>0</v>
      </c>
      <c r="AT216" s="94">
        <f t="shared" si="70"/>
        <v>0</v>
      </c>
      <c r="AU216" s="94">
        <f t="shared" si="71"/>
        <v>0</v>
      </c>
    </row>
    <row r="217" spans="1:47" x14ac:dyDescent="0.3">
      <c r="A217" s="85" t="str">
        <f>_xlfn.XLOOKUP(B217,'Country codes &amp; Data sources'!G:G,'Country codes &amp; Data sources'!H:H,,0)</f>
        <v>DRC</v>
      </c>
      <c r="B217" s="85" t="s">
        <v>154</v>
      </c>
      <c r="C217" s="86">
        <v>70997892.500000104</v>
      </c>
      <c r="D217" s="85" t="s">
        <v>87</v>
      </c>
      <c r="E217" s="87">
        <v>0</v>
      </c>
      <c r="F217" s="88">
        <v>73460021</v>
      </c>
      <c r="G217" s="87">
        <v>0</v>
      </c>
      <c r="I217" s="87">
        <v>0</v>
      </c>
      <c r="K217" s="87">
        <v>0</v>
      </c>
      <c r="M217" s="87">
        <v>0</v>
      </c>
      <c r="O217" s="87">
        <v>0</v>
      </c>
      <c r="P217" s="88">
        <v>87087354.999999985</v>
      </c>
      <c r="Q217" s="87">
        <v>0</v>
      </c>
      <c r="R217" s="87">
        <f t="shared" si="54"/>
        <v>0</v>
      </c>
      <c r="T217" s="87">
        <v>0</v>
      </c>
      <c r="V217" s="87">
        <v>0</v>
      </c>
      <c r="X217" s="87">
        <v>0</v>
      </c>
      <c r="Y217" s="88">
        <v>99010212</v>
      </c>
      <c r="Z217" s="87">
        <v>0</v>
      </c>
      <c r="AA217" s="87">
        <v>0</v>
      </c>
      <c r="AB217" s="89">
        <f t="shared" si="55"/>
        <v>0</v>
      </c>
      <c r="AC217" s="89">
        <f t="shared" si="56"/>
        <v>0</v>
      </c>
      <c r="AD217" s="89">
        <f t="shared" si="57"/>
        <v>0</v>
      </c>
      <c r="AE217" s="90">
        <f t="shared" si="58"/>
        <v>0</v>
      </c>
      <c r="AF217" s="90" t="str">
        <f t="shared" si="59"/>
        <v/>
      </c>
      <c r="AG217" s="90">
        <f t="shared" si="60"/>
        <v>0</v>
      </c>
      <c r="AH217" s="90" t="str">
        <f t="shared" si="61"/>
        <v/>
      </c>
      <c r="AI217" s="90">
        <f t="shared" si="62"/>
        <v>0</v>
      </c>
      <c r="AJ217" s="90" t="str">
        <f t="shared" si="63"/>
        <v/>
      </c>
      <c r="AK217" s="90" t="str">
        <f t="shared" si="64"/>
        <v/>
      </c>
      <c r="AL217" s="91">
        <f>IF(AK217="Adjust",(_xlfn.XLOOKUP(A217,'Adj factor'!A:A,'Adj factor'!I:I,,0)*AI217),'Master DataSheet'!AI217)</f>
        <v>0</v>
      </c>
      <c r="AM217" s="91">
        <f t="shared" si="65"/>
        <v>0</v>
      </c>
      <c r="AN217" s="92" t="str">
        <f t="shared" si="66"/>
        <v>No change</v>
      </c>
      <c r="AO217" s="93">
        <f>VLOOKUP(B217,'Growthrates source'!A$2:H$49,8,FALSE)</f>
        <v>0.14126140610967886</v>
      </c>
      <c r="AP217" s="93">
        <f>VLOOKUP(B217,'Growthrates source'!A$2:I$49,9,FALSE)</f>
        <v>5.4673730437993617E-2</v>
      </c>
      <c r="AQ217" s="86">
        <f t="shared" si="67"/>
        <v>0</v>
      </c>
      <c r="AR217" s="86">
        <f t="shared" si="68"/>
        <v>0</v>
      </c>
      <c r="AS217" s="94">
        <f t="shared" si="69"/>
        <v>0</v>
      </c>
      <c r="AT217" s="94">
        <f t="shared" si="70"/>
        <v>0</v>
      </c>
      <c r="AU217" s="94">
        <f t="shared" si="71"/>
        <v>0</v>
      </c>
    </row>
    <row r="218" spans="1:47" x14ac:dyDescent="0.3">
      <c r="A218" s="85" t="str">
        <f>_xlfn.XLOOKUP(B218,'Country codes &amp; Data sources'!G:G,'Country codes &amp; Data sources'!H:H,,0)</f>
        <v>Congo</v>
      </c>
      <c r="B218" s="85" t="s">
        <v>189</v>
      </c>
      <c r="C218" s="86">
        <v>4713256.5000000028</v>
      </c>
      <c r="D218" s="85" t="s">
        <v>321</v>
      </c>
      <c r="E218" s="87">
        <v>0</v>
      </c>
      <c r="F218" s="88">
        <v>4828066.5000000028</v>
      </c>
      <c r="G218" s="87">
        <v>0</v>
      </c>
      <c r="H218" s="87">
        <v>4944861.5000000019</v>
      </c>
      <c r="I218" s="87">
        <v>0</v>
      </c>
      <c r="J218" s="87">
        <v>5064386.0000000019</v>
      </c>
      <c r="K218" s="87">
        <v>0</v>
      </c>
      <c r="L218" s="87">
        <v>5186823.4999999981</v>
      </c>
      <c r="M218" s="87">
        <v>1060</v>
      </c>
      <c r="N218" s="87">
        <v>5312339.5000000009</v>
      </c>
      <c r="O218" s="87">
        <v>0</v>
      </c>
      <c r="P218" s="88">
        <v>5441061.9999999972</v>
      </c>
      <c r="Q218" s="87">
        <v>1088</v>
      </c>
      <c r="R218" s="87">
        <f t="shared" si="54"/>
        <v>1088</v>
      </c>
      <c r="S218" s="87">
        <v>5570732.4999999953</v>
      </c>
      <c r="T218" s="87">
        <v>0</v>
      </c>
      <c r="U218" s="87">
        <v>5702174</v>
      </c>
      <c r="V218" s="87">
        <v>0</v>
      </c>
      <c r="W218" s="87">
        <v>5835806.0000000009</v>
      </c>
      <c r="X218" s="87">
        <v>0</v>
      </c>
      <c r="Y218" s="88">
        <v>5970424.0000000009</v>
      </c>
      <c r="Z218" s="87">
        <v>2339</v>
      </c>
      <c r="AA218" s="87">
        <v>544</v>
      </c>
      <c r="AB218" s="89">
        <f t="shared" si="55"/>
        <v>0</v>
      </c>
      <c r="AC218" s="89">
        <f t="shared" si="56"/>
        <v>1088</v>
      </c>
      <c r="AD218" s="89">
        <f t="shared" si="57"/>
        <v>2339</v>
      </c>
      <c r="AE218" s="90">
        <f t="shared" si="58"/>
        <v>0</v>
      </c>
      <c r="AF218" s="90" t="str">
        <f t="shared" si="59"/>
        <v/>
      </c>
      <c r="AG218" s="90">
        <f t="shared" si="60"/>
        <v>1088</v>
      </c>
      <c r="AH218" s="90">
        <f t="shared" si="61"/>
        <v>2018</v>
      </c>
      <c r="AI218" s="90">
        <f t="shared" si="62"/>
        <v>2339</v>
      </c>
      <c r="AJ218" s="90">
        <f t="shared" si="63"/>
        <v>2022</v>
      </c>
      <c r="AK218" s="90" t="str">
        <f t="shared" si="64"/>
        <v/>
      </c>
      <c r="AL218" s="91">
        <f>IF(AK218="Adjust",(_xlfn.XLOOKUP(A218,'Adj factor'!A:A,'Adj factor'!I:I,,0)*AI218),'Master DataSheet'!AI218)</f>
        <v>2339</v>
      </c>
      <c r="AM218" s="91">
        <f t="shared" si="65"/>
        <v>2339</v>
      </c>
      <c r="AN218" s="92" t="str">
        <f t="shared" si="66"/>
        <v>Increasing</v>
      </c>
      <c r="AO218" s="93">
        <f>VLOOKUP(B218,'Growthrates source'!A$2:H$49,8,FALSE)</f>
        <v>9.0847270748923847E-3</v>
      </c>
      <c r="AP218" s="93">
        <f>VLOOKUP(B218,'Growthrates source'!A$2:I$49,9,FALSE)</f>
        <v>5.4673730437993617E-2</v>
      </c>
      <c r="AQ218" s="86">
        <f t="shared" si="67"/>
        <v>519.84235985058569</v>
      </c>
      <c r="AR218" s="86">
        <f t="shared" si="68"/>
        <v>640.96217009711927</v>
      </c>
      <c r="AS218" s="94">
        <f t="shared" si="69"/>
        <v>0</v>
      </c>
      <c r="AT218" s="94">
        <f t="shared" si="70"/>
        <v>1.9996096350308092</v>
      </c>
      <c r="AU218" s="94">
        <f t="shared" si="71"/>
        <v>3.9176447099904457</v>
      </c>
    </row>
    <row r="219" spans="1:47" x14ac:dyDescent="0.3">
      <c r="A219" s="85" t="str">
        <f>_xlfn.XLOOKUP(B219,'Country codes &amp; Data sources'!G:G,'Country codes &amp; Data sources'!H:H,,0)</f>
        <v>Congo</v>
      </c>
      <c r="B219" s="85" t="s">
        <v>189</v>
      </c>
      <c r="C219" s="86">
        <v>4713257.5</v>
      </c>
      <c r="D219" s="85" t="s">
        <v>322</v>
      </c>
      <c r="E219" s="87">
        <v>0</v>
      </c>
      <c r="F219" s="88">
        <v>4828066.5000000028</v>
      </c>
      <c r="G219" s="87">
        <v>6578</v>
      </c>
      <c r="I219" s="87">
        <v>6916</v>
      </c>
      <c r="K219" s="87">
        <v>7704</v>
      </c>
      <c r="M219" s="87">
        <v>7434</v>
      </c>
      <c r="O219" s="87">
        <v>0</v>
      </c>
      <c r="P219" s="88">
        <v>5441061.9999999972</v>
      </c>
      <c r="Q219" s="87">
        <v>10162</v>
      </c>
      <c r="R219" s="87">
        <f t="shared" si="54"/>
        <v>10162</v>
      </c>
      <c r="T219" s="87">
        <v>0</v>
      </c>
      <c r="V219" s="87">
        <v>0</v>
      </c>
      <c r="X219" s="87">
        <v>0</v>
      </c>
      <c r="Y219" s="88">
        <v>5970424.0000000009</v>
      </c>
      <c r="Z219" s="87">
        <v>11146</v>
      </c>
      <c r="AA219" s="87">
        <v>4012</v>
      </c>
      <c r="AB219" s="89">
        <f t="shared" si="55"/>
        <v>7704</v>
      </c>
      <c r="AC219" s="89">
        <f t="shared" si="56"/>
        <v>10162</v>
      </c>
      <c r="AD219" s="89">
        <f t="shared" si="57"/>
        <v>11146</v>
      </c>
      <c r="AE219" s="90">
        <f t="shared" si="58"/>
        <v>6578</v>
      </c>
      <c r="AF219" s="90">
        <f t="shared" si="59"/>
        <v>2013</v>
      </c>
      <c r="AG219" s="90">
        <f t="shared" si="60"/>
        <v>10162</v>
      </c>
      <c r="AH219" s="90">
        <f t="shared" si="61"/>
        <v>2018</v>
      </c>
      <c r="AI219" s="90">
        <f t="shared" si="62"/>
        <v>11146</v>
      </c>
      <c r="AJ219" s="90">
        <f t="shared" si="63"/>
        <v>2022</v>
      </c>
      <c r="AK219" s="90" t="str">
        <f t="shared" si="64"/>
        <v/>
      </c>
      <c r="AL219" s="91">
        <f>IF(AK219="Adjust",(_xlfn.XLOOKUP(A219,'Adj factor'!A:A,'Adj factor'!I:I,,0)*AI219),'Master DataSheet'!AI219)</f>
        <v>11146</v>
      </c>
      <c r="AM219" s="91">
        <f t="shared" si="65"/>
        <v>11146</v>
      </c>
      <c r="AN219" s="92" t="str">
        <f t="shared" si="66"/>
        <v>Increasing</v>
      </c>
      <c r="AO219" s="93">
        <f>VLOOKUP(B219,'Growthrates source'!A$2:H$49,8,FALSE)</f>
        <v>9.0847270748923847E-3</v>
      </c>
      <c r="AP219" s="93">
        <f>VLOOKUP(B219,'Growthrates source'!A$2:I$49,9,FALSE)</f>
        <v>5.4673730437993617E-2</v>
      </c>
      <c r="AQ219" s="86">
        <f t="shared" si="67"/>
        <v>3833.8374038980696</v>
      </c>
      <c r="AR219" s="86">
        <f t="shared" si="68"/>
        <v>4727.0960044662552</v>
      </c>
      <c r="AS219" s="94">
        <f t="shared" si="69"/>
        <v>13.624501650919672</v>
      </c>
      <c r="AT219" s="94">
        <f t="shared" si="70"/>
        <v>18.676501021307981</v>
      </c>
      <c r="AU219" s="94">
        <f t="shared" si="71"/>
        <v>18.668690866846305</v>
      </c>
    </row>
    <row r="220" spans="1:47" x14ac:dyDescent="0.3">
      <c r="A220" s="85" t="str">
        <f>_xlfn.XLOOKUP(B220,'Country codes &amp; Data sources'!G:G,'Country codes &amp; Data sources'!H:H,,0)</f>
        <v>Congo</v>
      </c>
      <c r="B220" s="85" t="s">
        <v>189</v>
      </c>
      <c r="C220" s="86">
        <v>4713258.5</v>
      </c>
      <c r="D220" s="85" t="s">
        <v>323</v>
      </c>
      <c r="E220" s="87">
        <v>0</v>
      </c>
      <c r="F220" s="88">
        <v>4828066.5000000028</v>
      </c>
      <c r="G220" s="87">
        <v>2564</v>
      </c>
      <c r="I220" s="87">
        <v>0</v>
      </c>
      <c r="K220" s="87">
        <v>0</v>
      </c>
      <c r="M220" s="87">
        <v>1842</v>
      </c>
      <c r="O220" s="87">
        <v>0</v>
      </c>
      <c r="P220" s="88">
        <v>5441061.9999999972</v>
      </c>
      <c r="Q220" s="87">
        <v>0</v>
      </c>
      <c r="R220" s="87">
        <f t="shared" si="54"/>
        <v>1069</v>
      </c>
      <c r="T220" s="87">
        <v>0</v>
      </c>
      <c r="V220" s="87">
        <v>0</v>
      </c>
      <c r="X220" s="87">
        <v>0</v>
      </c>
      <c r="Y220" s="88">
        <v>5970424.0000000009</v>
      </c>
      <c r="Z220" s="87">
        <v>1814</v>
      </c>
      <c r="AA220" s="87">
        <v>1069</v>
      </c>
      <c r="AB220" s="89">
        <f t="shared" si="55"/>
        <v>2564</v>
      </c>
      <c r="AC220" s="89">
        <f t="shared" si="56"/>
        <v>1842</v>
      </c>
      <c r="AD220" s="89">
        <f t="shared" si="57"/>
        <v>1814</v>
      </c>
      <c r="AE220" s="90">
        <f t="shared" si="58"/>
        <v>2564</v>
      </c>
      <c r="AF220" s="90">
        <f t="shared" si="59"/>
        <v>2013</v>
      </c>
      <c r="AG220" s="90">
        <f t="shared" si="60"/>
        <v>1069</v>
      </c>
      <c r="AH220" s="90" t="str">
        <f t="shared" si="61"/>
        <v>2018 (triag)</v>
      </c>
      <c r="AI220" s="90">
        <f t="shared" si="62"/>
        <v>1814</v>
      </c>
      <c r="AJ220" s="90">
        <f t="shared" si="63"/>
        <v>2022</v>
      </c>
      <c r="AK220" s="90" t="str">
        <f t="shared" si="64"/>
        <v/>
      </c>
      <c r="AL220" s="91">
        <f>IF(AK220="Adjust",(_xlfn.XLOOKUP(A220,'Adj factor'!A:A,'Adj factor'!I:I,,0)*AI220),'Master DataSheet'!AI220)</f>
        <v>1814</v>
      </c>
      <c r="AM220" s="91">
        <f t="shared" si="65"/>
        <v>1814</v>
      </c>
      <c r="AN220" s="92" t="str">
        <f t="shared" si="66"/>
        <v>Increasing</v>
      </c>
      <c r="AO220" s="93">
        <f>VLOOKUP(B220,'Growthrates source'!A$2:H$49,8,FALSE)</f>
        <v>9.0847270748923847E-3</v>
      </c>
      <c r="AP220" s="93">
        <f>VLOOKUP(B220,'Growthrates source'!A$2:I$49,9,FALSE)</f>
        <v>5.4673730437993617E-2</v>
      </c>
      <c r="AQ220" s="86">
        <f t="shared" si="67"/>
        <v>1021.5284608093311</v>
      </c>
      <c r="AR220" s="86">
        <f t="shared" si="68"/>
        <v>1259.5377938121701</v>
      </c>
      <c r="AS220" s="94">
        <f t="shared" si="69"/>
        <v>5.3106145078987597</v>
      </c>
      <c r="AT220" s="94">
        <f t="shared" si="70"/>
        <v>1.9646899814778815</v>
      </c>
      <c r="AU220" s="94">
        <f t="shared" si="71"/>
        <v>3.0383101769656555</v>
      </c>
    </row>
    <row r="221" spans="1:47" x14ac:dyDescent="0.3">
      <c r="A221" s="85" t="str">
        <f>_xlfn.XLOOKUP(B221,'Country codes &amp; Data sources'!G:G,'Country codes &amp; Data sources'!H:H,,0)</f>
        <v>Congo</v>
      </c>
      <c r="B221" s="85" t="s">
        <v>189</v>
      </c>
      <c r="C221" s="86">
        <v>4713259.5</v>
      </c>
      <c r="D221" s="85" t="s">
        <v>324</v>
      </c>
      <c r="E221" s="87">
        <v>704</v>
      </c>
      <c r="F221" s="88">
        <v>4828066.5000000028</v>
      </c>
      <c r="G221" s="87">
        <v>0</v>
      </c>
      <c r="I221" s="87">
        <v>0</v>
      </c>
      <c r="K221" s="87">
        <v>0</v>
      </c>
      <c r="M221" s="87">
        <v>1839</v>
      </c>
      <c r="O221" s="87">
        <v>207</v>
      </c>
      <c r="P221" s="88">
        <v>5441061.9999999972</v>
      </c>
      <c r="Q221" s="87">
        <v>0</v>
      </c>
      <c r="R221" s="87">
        <f t="shared" si="54"/>
        <v>157</v>
      </c>
      <c r="T221" s="87">
        <v>0</v>
      </c>
      <c r="V221" s="87">
        <v>283</v>
      </c>
      <c r="X221" s="87">
        <v>0</v>
      </c>
      <c r="Y221" s="88">
        <v>5970424.0000000009</v>
      </c>
      <c r="Z221" s="87">
        <v>0</v>
      </c>
      <c r="AA221" s="87">
        <v>157</v>
      </c>
      <c r="AB221" s="89">
        <f t="shared" si="55"/>
        <v>704</v>
      </c>
      <c r="AC221" s="89">
        <f t="shared" si="56"/>
        <v>1839</v>
      </c>
      <c r="AD221" s="89">
        <f t="shared" si="57"/>
        <v>283</v>
      </c>
      <c r="AE221" s="90">
        <f t="shared" si="58"/>
        <v>704</v>
      </c>
      <c r="AF221" s="90">
        <f t="shared" si="59"/>
        <v>2012</v>
      </c>
      <c r="AG221" s="90">
        <f t="shared" si="60"/>
        <v>157</v>
      </c>
      <c r="AH221" s="90" t="str">
        <f t="shared" si="61"/>
        <v>2018 (triag)</v>
      </c>
      <c r="AI221" s="90">
        <f t="shared" si="62"/>
        <v>283</v>
      </c>
      <c r="AJ221" s="90">
        <f t="shared" si="63"/>
        <v>2020</v>
      </c>
      <c r="AK221" s="90" t="str">
        <f t="shared" si="64"/>
        <v/>
      </c>
      <c r="AL221" s="91">
        <f>IF(AK221="Adjust",(_xlfn.XLOOKUP(A221,'Adj factor'!A:A,'Adj factor'!I:I,,0)*AI221),'Master DataSheet'!AI221)</f>
        <v>283</v>
      </c>
      <c r="AM221" s="91">
        <f t="shared" si="65"/>
        <v>283</v>
      </c>
      <c r="AN221" s="92" t="str">
        <f t="shared" si="66"/>
        <v>Increasing</v>
      </c>
      <c r="AO221" s="93">
        <f>VLOOKUP(B221,'Growthrates source'!A$2:H$49,8,FALSE)</f>
        <v>9.0847270748923847E-3</v>
      </c>
      <c r="AP221" s="93">
        <f>VLOOKUP(B221,'Growthrates source'!A$2:I$49,9,FALSE)</f>
        <v>5.4673730437993617E-2</v>
      </c>
      <c r="AQ221" s="86">
        <f t="shared" si="67"/>
        <v>150.02803400099626</v>
      </c>
      <c r="AR221" s="86">
        <f t="shared" si="68"/>
        <v>184.98356747288184</v>
      </c>
      <c r="AS221" s="94">
        <f t="shared" si="69"/>
        <v>1.45814064491448</v>
      </c>
      <c r="AT221" s="94">
        <f t="shared" si="70"/>
        <v>0.28854661093735023</v>
      </c>
      <c r="AU221" s="94">
        <f t="shared" si="71"/>
        <v>0.47400318637336303</v>
      </c>
    </row>
    <row r="222" spans="1:47" x14ac:dyDescent="0.3">
      <c r="A222" s="85" t="str">
        <f>_xlfn.XLOOKUP(B222,'Country codes &amp; Data sources'!G:G,'Country codes &amp; Data sources'!H:H,,0)</f>
        <v>Congo</v>
      </c>
      <c r="B222" s="85" t="s">
        <v>189</v>
      </c>
      <c r="C222" s="86">
        <v>4713260.5</v>
      </c>
      <c r="D222" s="85" t="s">
        <v>325</v>
      </c>
      <c r="E222" s="87">
        <v>278</v>
      </c>
      <c r="F222" s="88">
        <v>4828066.5000000028</v>
      </c>
      <c r="G222" s="87">
        <v>0</v>
      </c>
      <c r="I222" s="87">
        <v>0</v>
      </c>
      <c r="K222" s="87">
        <v>0</v>
      </c>
      <c r="M222" s="87">
        <v>1037</v>
      </c>
      <c r="O222" s="87">
        <v>0</v>
      </c>
      <c r="P222" s="88">
        <v>5441061.9999999972</v>
      </c>
      <c r="Q222" s="87">
        <v>0</v>
      </c>
      <c r="R222" s="87">
        <f t="shared" si="54"/>
        <v>27</v>
      </c>
      <c r="T222" s="87">
        <v>0</v>
      </c>
      <c r="V222" s="87">
        <v>0</v>
      </c>
      <c r="X222" s="87">
        <v>0</v>
      </c>
      <c r="Y222" s="88">
        <v>5970424.0000000009</v>
      </c>
      <c r="Z222" s="87">
        <v>0</v>
      </c>
      <c r="AA222" s="87">
        <v>27</v>
      </c>
      <c r="AB222" s="89">
        <f t="shared" si="55"/>
        <v>278</v>
      </c>
      <c r="AC222" s="89">
        <f t="shared" si="56"/>
        <v>1037</v>
      </c>
      <c r="AD222" s="89">
        <f t="shared" si="57"/>
        <v>0</v>
      </c>
      <c r="AE222" s="90">
        <f t="shared" si="58"/>
        <v>278</v>
      </c>
      <c r="AF222" s="90">
        <f t="shared" si="59"/>
        <v>2012</v>
      </c>
      <c r="AG222" s="90">
        <f t="shared" si="60"/>
        <v>27</v>
      </c>
      <c r="AH222" s="90" t="str">
        <f t="shared" si="61"/>
        <v>2018 (triag)</v>
      </c>
      <c r="AI222" s="90">
        <f t="shared" si="62"/>
        <v>27</v>
      </c>
      <c r="AJ222" s="90" t="str">
        <f t="shared" si="63"/>
        <v>2018 (triag)</v>
      </c>
      <c r="AK222" s="90" t="str">
        <f t="shared" si="64"/>
        <v/>
      </c>
      <c r="AL222" s="91">
        <f>IF(AK222="Adjust",(_xlfn.XLOOKUP(A222,'Adj factor'!A:A,'Adj factor'!I:I,,0)*AI222),'Master DataSheet'!AI222)</f>
        <v>27</v>
      </c>
      <c r="AM222" s="91">
        <f t="shared" si="65"/>
        <v>27</v>
      </c>
      <c r="AN222" s="92" t="str">
        <f t="shared" si="66"/>
        <v>No change</v>
      </c>
      <c r="AO222" s="93">
        <f>VLOOKUP(B222,'Growthrates source'!A$2:H$49,8,FALSE)</f>
        <v>9.0847270748923847E-3</v>
      </c>
      <c r="AP222" s="93">
        <f>VLOOKUP(B222,'Growthrates source'!A$2:I$49,9,FALSE)</f>
        <v>5.4673730437993617E-2</v>
      </c>
      <c r="AQ222" s="86">
        <f t="shared" si="67"/>
        <v>25.800999477878335</v>
      </c>
      <c r="AR222" s="86">
        <f t="shared" si="68"/>
        <v>31.812460648202613</v>
      </c>
      <c r="AS222" s="94">
        <f t="shared" si="69"/>
        <v>0.57579985694066116</v>
      </c>
      <c r="AT222" s="94">
        <f t="shared" si="70"/>
        <v>4.9622665575213103E-2</v>
      </c>
      <c r="AU222" s="94">
        <f t="shared" si="71"/>
        <v>4.5222918841274919E-2</v>
      </c>
    </row>
    <row r="223" spans="1:47" x14ac:dyDescent="0.3">
      <c r="A223" s="85" t="str">
        <f>_xlfn.XLOOKUP(B223,'Country codes &amp; Data sources'!G:G,'Country codes &amp; Data sources'!H:H,,0)</f>
        <v>Congo</v>
      </c>
      <c r="B223" s="85" t="s">
        <v>189</v>
      </c>
      <c r="C223" s="86">
        <v>4713261.5</v>
      </c>
      <c r="D223" s="85" t="s">
        <v>127</v>
      </c>
      <c r="E223" s="87">
        <v>0</v>
      </c>
      <c r="F223" s="88">
        <v>4828066.5000000028</v>
      </c>
      <c r="G223" s="87">
        <v>0</v>
      </c>
      <c r="I223" s="87">
        <v>0</v>
      </c>
      <c r="K223" s="87">
        <v>0</v>
      </c>
      <c r="M223" s="87">
        <v>0</v>
      </c>
      <c r="O223" s="87">
        <v>0</v>
      </c>
      <c r="P223" s="88">
        <v>5441061.9999999972</v>
      </c>
      <c r="Q223" s="87">
        <v>0</v>
      </c>
      <c r="R223" s="87">
        <f t="shared" si="54"/>
        <v>0</v>
      </c>
      <c r="T223" s="87">
        <v>0</v>
      </c>
      <c r="V223" s="87">
        <v>0</v>
      </c>
      <c r="X223" s="87">
        <v>0</v>
      </c>
      <c r="Y223" s="88">
        <v>5970424.0000000009</v>
      </c>
      <c r="Z223" s="87">
        <v>0</v>
      </c>
      <c r="AA223" s="87">
        <v>0</v>
      </c>
      <c r="AB223" s="89">
        <f t="shared" si="55"/>
        <v>0</v>
      </c>
      <c r="AC223" s="89">
        <f t="shared" si="56"/>
        <v>0</v>
      </c>
      <c r="AD223" s="89">
        <f t="shared" si="57"/>
        <v>0</v>
      </c>
      <c r="AE223" s="90">
        <f t="shared" si="58"/>
        <v>0</v>
      </c>
      <c r="AF223" s="90" t="str">
        <f t="shared" si="59"/>
        <v/>
      </c>
      <c r="AG223" s="90">
        <f t="shared" si="60"/>
        <v>0</v>
      </c>
      <c r="AH223" s="90" t="str">
        <f t="shared" si="61"/>
        <v/>
      </c>
      <c r="AI223" s="90">
        <f t="shared" si="62"/>
        <v>0</v>
      </c>
      <c r="AJ223" s="90" t="str">
        <f t="shared" si="63"/>
        <v/>
      </c>
      <c r="AK223" s="90" t="str">
        <f t="shared" si="64"/>
        <v/>
      </c>
      <c r="AL223" s="91">
        <f>IF(AK223="Adjust",(_xlfn.XLOOKUP(A223,'Adj factor'!A:A,'Adj factor'!I:I,,0)*AI223),'Master DataSheet'!AI223)</f>
        <v>0</v>
      </c>
      <c r="AM223" s="91">
        <f t="shared" si="65"/>
        <v>0</v>
      </c>
      <c r="AN223" s="92" t="str">
        <f t="shared" si="66"/>
        <v>No change</v>
      </c>
      <c r="AO223" s="93">
        <f>VLOOKUP(B223,'Growthrates source'!A$2:H$49,8,FALSE)</f>
        <v>9.0847270748923847E-3</v>
      </c>
      <c r="AP223" s="93">
        <f>VLOOKUP(B223,'Growthrates source'!A$2:I$49,9,FALSE)</f>
        <v>5.4673730437993617E-2</v>
      </c>
      <c r="AQ223" s="86">
        <f t="shared" si="67"/>
        <v>0</v>
      </c>
      <c r="AR223" s="86">
        <f t="shared" si="68"/>
        <v>0</v>
      </c>
      <c r="AS223" s="94">
        <f t="shared" si="69"/>
        <v>0</v>
      </c>
      <c r="AT223" s="94">
        <f t="shared" si="70"/>
        <v>0</v>
      </c>
      <c r="AU223" s="94">
        <f t="shared" si="71"/>
        <v>0</v>
      </c>
    </row>
    <row r="224" spans="1:47" x14ac:dyDescent="0.3">
      <c r="A224" s="85" t="str">
        <f>_xlfn.XLOOKUP(B224,'Country codes &amp; Data sources'!G:G,'Country codes &amp; Data sources'!H:H,,0)</f>
        <v>Congo</v>
      </c>
      <c r="B224" s="85" t="s">
        <v>189</v>
      </c>
      <c r="C224" s="86">
        <v>4713262.5</v>
      </c>
      <c r="D224" s="85" t="s">
        <v>61</v>
      </c>
      <c r="E224" s="87">
        <v>819</v>
      </c>
      <c r="F224" s="88">
        <v>4828066.5000000028</v>
      </c>
      <c r="G224" s="87">
        <v>0</v>
      </c>
      <c r="I224" s="87">
        <v>0</v>
      </c>
      <c r="K224" s="87">
        <v>0</v>
      </c>
      <c r="M224" s="87">
        <v>0</v>
      </c>
      <c r="O224" s="87">
        <v>0</v>
      </c>
      <c r="P224" s="88">
        <v>5441061.9999999972</v>
      </c>
      <c r="Q224" s="87">
        <v>0</v>
      </c>
      <c r="R224" s="87">
        <f t="shared" si="54"/>
        <v>0</v>
      </c>
      <c r="T224" s="87">
        <v>0</v>
      </c>
      <c r="V224" s="87">
        <v>582</v>
      </c>
      <c r="X224" s="87">
        <v>0</v>
      </c>
      <c r="Y224" s="88">
        <v>5970424.0000000009</v>
      </c>
      <c r="Z224" s="87">
        <v>0</v>
      </c>
      <c r="AA224" s="87">
        <v>0</v>
      </c>
      <c r="AB224" s="89">
        <f t="shared" si="55"/>
        <v>819</v>
      </c>
      <c r="AC224" s="89">
        <f t="shared" si="56"/>
        <v>0</v>
      </c>
      <c r="AD224" s="89">
        <f t="shared" si="57"/>
        <v>582</v>
      </c>
      <c r="AE224" s="90">
        <f t="shared" si="58"/>
        <v>819</v>
      </c>
      <c r="AF224" s="90">
        <f t="shared" si="59"/>
        <v>2012</v>
      </c>
      <c r="AG224" s="90">
        <f t="shared" si="60"/>
        <v>0</v>
      </c>
      <c r="AH224" s="90" t="str">
        <f t="shared" si="61"/>
        <v/>
      </c>
      <c r="AI224" s="90">
        <f t="shared" si="62"/>
        <v>582</v>
      </c>
      <c r="AJ224" s="90">
        <f t="shared" si="63"/>
        <v>2020</v>
      </c>
      <c r="AK224" s="90" t="str">
        <f t="shared" si="64"/>
        <v/>
      </c>
      <c r="AL224" s="91">
        <f>IF(AK224="Adjust",(_xlfn.XLOOKUP(A224,'Adj factor'!A:A,'Adj factor'!I:I,,0)*AI224),'Master DataSheet'!AI224)</f>
        <v>582</v>
      </c>
      <c r="AM224" s="91">
        <f t="shared" si="65"/>
        <v>582</v>
      </c>
      <c r="AN224" s="92" t="str">
        <f t="shared" si="66"/>
        <v>Increasing</v>
      </c>
      <c r="AO224" s="93">
        <f>VLOOKUP(B224,'Growthrates source'!A$2:H$49,8,FALSE)</f>
        <v>9.0847270748923847E-3</v>
      </c>
      <c r="AP224" s="93">
        <f>VLOOKUP(B224,'Growthrates source'!A$2:I$49,9,FALSE)</f>
        <v>5.4673730437993617E-2</v>
      </c>
      <c r="AQ224" s="86">
        <f t="shared" si="67"/>
        <v>0</v>
      </c>
      <c r="AR224" s="86">
        <f t="shared" si="68"/>
        <v>0</v>
      </c>
      <c r="AS224" s="94">
        <f t="shared" si="69"/>
        <v>1.6963312332172713</v>
      </c>
      <c r="AT224" s="94">
        <f t="shared" si="70"/>
        <v>0</v>
      </c>
      <c r="AU224" s="94">
        <f t="shared" si="71"/>
        <v>0.9748051394674816</v>
      </c>
    </row>
    <row r="225" spans="1:47" s="95" customFormat="1" x14ac:dyDescent="0.3">
      <c r="A225" s="95" t="str">
        <f>_xlfn.XLOOKUP(B225,'Country codes &amp; Data sources'!G:G,'Country codes &amp; Data sources'!H:H,,0)</f>
        <v>Congo</v>
      </c>
      <c r="B225" s="95" t="s">
        <v>189</v>
      </c>
      <c r="C225" s="60">
        <v>4713263.5</v>
      </c>
      <c r="D225" s="95" t="s">
        <v>62</v>
      </c>
      <c r="E225" s="96">
        <v>4104</v>
      </c>
      <c r="F225" s="97">
        <v>4828066.5000000028</v>
      </c>
      <c r="G225" s="96">
        <v>0</v>
      </c>
      <c r="H225" s="96"/>
      <c r="I225" s="96">
        <v>0</v>
      </c>
      <c r="J225" s="96"/>
      <c r="K225" s="96">
        <v>0</v>
      </c>
      <c r="L225" s="96"/>
      <c r="M225" s="96">
        <v>2324</v>
      </c>
      <c r="N225" s="96"/>
      <c r="O225" s="96">
        <v>0</v>
      </c>
      <c r="P225" s="97">
        <v>5441061.9999999972</v>
      </c>
      <c r="Q225" s="96">
        <v>0</v>
      </c>
      <c r="R225" s="96">
        <f t="shared" si="54"/>
        <v>374</v>
      </c>
      <c r="S225" s="96"/>
      <c r="T225" s="96">
        <v>0</v>
      </c>
      <c r="U225" s="96"/>
      <c r="V225" s="96">
        <v>0</v>
      </c>
      <c r="W225" s="96"/>
      <c r="X225" s="96">
        <v>0</v>
      </c>
      <c r="Y225" s="97">
        <v>5970424.0000000009</v>
      </c>
      <c r="Z225" s="96">
        <v>0</v>
      </c>
      <c r="AA225" s="96">
        <v>374</v>
      </c>
      <c r="AB225" s="98">
        <f t="shared" si="55"/>
        <v>4104</v>
      </c>
      <c r="AC225" s="98">
        <f t="shared" si="56"/>
        <v>2324</v>
      </c>
      <c r="AD225" s="98">
        <f t="shared" si="57"/>
        <v>0</v>
      </c>
      <c r="AE225" s="99">
        <f t="shared" si="58"/>
        <v>4104</v>
      </c>
      <c r="AF225" s="99">
        <f t="shared" si="59"/>
        <v>2012</v>
      </c>
      <c r="AG225" s="99">
        <f t="shared" si="60"/>
        <v>374</v>
      </c>
      <c r="AH225" s="99" t="str">
        <f t="shared" si="61"/>
        <v>2018 (triag)</v>
      </c>
      <c r="AI225" s="99">
        <f t="shared" si="62"/>
        <v>374</v>
      </c>
      <c r="AJ225" s="99" t="str">
        <f t="shared" si="63"/>
        <v>2018 (triag)</v>
      </c>
      <c r="AK225" s="99" t="str">
        <f t="shared" si="64"/>
        <v/>
      </c>
      <c r="AL225" s="61">
        <f>IF(AK225="Adjust",(_xlfn.XLOOKUP(A225,'Adj factor'!A:A,'Adj factor'!I:I,,0)*AI225),'Master DataSheet'!AI225)</f>
        <v>374</v>
      </c>
      <c r="AM225" s="61">
        <f t="shared" si="65"/>
        <v>374</v>
      </c>
      <c r="AN225" s="62" t="str">
        <f t="shared" si="66"/>
        <v>No change</v>
      </c>
      <c r="AO225" s="100">
        <f>VLOOKUP(B225,'Growthrates source'!A$2:H$49,8,FALSE)</f>
        <v>9.0847270748923847E-3</v>
      </c>
      <c r="AP225" s="100">
        <f>VLOOKUP(B225,'Growthrates source'!A$2:I$49,9,FALSE)</f>
        <v>5.4673730437993617E-2</v>
      </c>
      <c r="AQ225" s="60">
        <f t="shared" si="67"/>
        <v>357.39162239727767</v>
      </c>
      <c r="AR225" s="60">
        <f t="shared" si="68"/>
        <v>440.6614919417695</v>
      </c>
      <c r="AS225" s="101">
        <f t="shared" si="69"/>
        <v>8.5002971686491833</v>
      </c>
      <c r="AT225" s="102">
        <f t="shared" si="70"/>
        <v>0.68736581204184066</v>
      </c>
      <c r="AU225" s="102">
        <f t="shared" si="71"/>
        <v>0.62642117209766002</v>
      </c>
    </row>
    <row r="226" spans="1:47" x14ac:dyDescent="0.3">
      <c r="A226" s="85" t="str">
        <f>_xlfn.XLOOKUP(B226,'Country codes &amp; Data sources'!G:G,'Country codes &amp; Data sources'!H:H,,0)</f>
        <v>Congo</v>
      </c>
      <c r="B226" s="85" t="s">
        <v>189</v>
      </c>
      <c r="C226" s="86">
        <v>4713264.5</v>
      </c>
      <c r="D226" s="85" t="s">
        <v>203</v>
      </c>
      <c r="E226" s="87">
        <v>0</v>
      </c>
      <c r="F226" s="88">
        <v>4828066.5000000028</v>
      </c>
      <c r="G226" s="87">
        <v>0</v>
      </c>
      <c r="I226" s="87">
        <v>0</v>
      </c>
      <c r="K226" s="87">
        <v>0</v>
      </c>
      <c r="M226" s="87">
        <v>565</v>
      </c>
      <c r="O226" s="87">
        <v>0</v>
      </c>
      <c r="P226" s="88">
        <v>5441061.9999999972</v>
      </c>
      <c r="Q226" s="87">
        <v>0</v>
      </c>
      <c r="R226" s="87">
        <f t="shared" si="54"/>
        <v>850</v>
      </c>
      <c r="T226" s="87">
        <v>0</v>
      </c>
      <c r="V226" s="87">
        <v>0</v>
      </c>
      <c r="X226" s="87">
        <v>0</v>
      </c>
      <c r="Y226" s="88">
        <v>5970424.0000000009</v>
      </c>
      <c r="Z226" s="87">
        <v>0</v>
      </c>
      <c r="AA226" s="87">
        <v>850</v>
      </c>
      <c r="AB226" s="89">
        <f t="shared" si="55"/>
        <v>0</v>
      </c>
      <c r="AC226" s="89">
        <f t="shared" si="56"/>
        <v>565</v>
      </c>
      <c r="AD226" s="89">
        <f t="shared" si="57"/>
        <v>0</v>
      </c>
      <c r="AE226" s="90">
        <f t="shared" si="58"/>
        <v>0</v>
      </c>
      <c r="AF226" s="90" t="str">
        <f t="shared" si="59"/>
        <v/>
      </c>
      <c r="AG226" s="90">
        <f t="shared" si="60"/>
        <v>850</v>
      </c>
      <c r="AH226" s="90" t="str">
        <f t="shared" si="61"/>
        <v>2018 (triag)</v>
      </c>
      <c r="AI226" s="90">
        <f t="shared" si="62"/>
        <v>850</v>
      </c>
      <c r="AJ226" s="90" t="str">
        <f t="shared" si="63"/>
        <v>2018 (triag)</v>
      </c>
      <c r="AK226" s="90" t="str">
        <f t="shared" si="64"/>
        <v/>
      </c>
      <c r="AL226" s="91">
        <f>IF(AK226="Adjust",(_xlfn.XLOOKUP(A226,'Adj factor'!A:A,'Adj factor'!I:I,,0)*AI226),'Master DataSheet'!AI226)</f>
        <v>850</v>
      </c>
      <c r="AM226" s="91">
        <f t="shared" si="65"/>
        <v>850</v>
      </c>
      <c r="AN226" s="92" t="str">
        <f t="shared" si="66"/>
        <v>No change</v>
      </c>
      <c r="AO226" s="93">
        <f>VLOOKUP(B226,'Growthrates source'!A$2:H$49,8,FALSE)</f>
        <v>9.0847270748923847E-3</v>
      </c>
      <c r="AP226" s="93">
        <f>VLOOKUP(B226,'Growthrates source'!A$2:I$49,9,FALSE)</f>
        <v>5.4673730437993617E-2</v>
      </c>
      <c r="AQ226" s="86">
        <f t="shared" si="67"/>
        <v>812.25368726654017</v>
      </c>
      <c r="AR226" s="86">
        <f t="shared" si="68"/>
        <v>1001.5033907767489</v>
      </c>
      <c r="AS226" s="94">
        <f t="shared" si="69"/>
        <v>0</v>
      </c>
      <c r="AT226" s="94">
        <f t="shared" si="70"/>
        <v>1.5621950273678198</v>
      </c>
      <c r="AU226" s="94">
        <f t="shared" si="71"/>
        <v>1.4236844820401362</v>
      </c>
    </row>
    <row r="227" spans="1:47" x14ac:dyDescent="0.3">
      <c r="A227" s="85" t="str">
        <f>_xlfn.XLOOKUP(B227,'Country codes &amp; Data sources'!G:G,'Country codes &amp; Data sources'!H:H,,0)</f>
        <v>Congo</v>
      </c>
      <c r="B227" s="85" t="s">
        <v>189</v>
      </c>
      <c r="C227" s="86">
        <v>4713265.5</v>
      </c>
      <c r="D227" s="85" t="s">
        <v>204</v>
      </c>
      <c r="E227" s="87">
        <v>0</v>
      </c>
      <c r="F227" s="88">
        <v>4828066.5000000028</v>
      </c>
      <c r="G227" s="87">
        <v>0</v>
      </c>
      <c r="I227" s="87">
        <v>0</v>
      </c>
      <c r="K227" s="87">
        <v>0</v>
      </c>
      <c r="M227" s="87">
        <v>0</v>
      </c>
      <c r="O227" s="87">
        <v>0</v>
      </c>
      <c r="P227" s="88">
        <v>5441061.9999999972</v>
      </c>
      <c r="Q227" s="87">
        <v>0</v>
      </c>
      <c r="R227" s="87">
        <f t="shared" si="54"/>
        <v>790</v>
      </c>
      <c r="T227" s="87">
        <v>0</v>
      </c>
      <c r="V227" s="87">
        <v>0</v>
      </c>
      <c r="X227" s="87">
        <v>0</v>
      </c>
      <c r="Y227" s="88">
        <v>5970424.0000000009</v>
      </c>
      <c r="Z227" s="87">
        <v>0</v>
      </c>
      <c r="AA227" s="87">
        <v>790</v>
      </c>
      <c r="AB227" s="89">
        <f t="shared" si="55"/>
        <v>0</v>
      </c>
      <c r="AC227" s="89">
        <f t="shared" si="56"/>
        <v>0</v>
      </c>
      <c r="AD227" s="89">
        <f t="shared" si="57"/>
        <v>0</v>
      </c>
      <c r="AE227" s="90">
        <f t="shared" si="58"/>
        <v>0</v>
      </c>
      <c r="AF227" s="90" t="str">
        <f t="shared" si="59"/>
        <v/>
      </c>
      <c r="AG227" s="90">
        <f t="shared" si="60"/>
        <v>790</v>
      </c>
      <c r="AH227" s="90" t="str">
        <f t="shared" si="61"/>
        <v>2018 (triag)</v>
      </c>
      <c r="AI227" s="90">
        <f t="shared" si="62"/>
        <v>790</v>
      </c>
      <c r="AJ227" s="90" t="str">
        <f t="shared" si="63"/>
        <v>2018 (triag)</v>
      </c>
      <c r="AK227" s="90" t="str">
        <f t="shared" si="64"/>
        <v/>
      </c>
      <c r="AL227" s="91">
        <f>IF(AK227="Adjust",(_xlfn.XLOOKUP(A227,'Adj factor'!A:A,'Adj factor'!I:I,,0)*AI227),'Master DataSheet'!AI227)</f>
        <v>790</v>
      </c>
      <c r="AM227" s="91">
        <f t="shared" si="65"/>
        <v>790</v>
      </c>
      <c r="AN227" s="92" t="str">
        <f t="shared" si="66"/>
        <v>No change</v>
      </c>
      <c r="AO227" s="93">
        <f>VLOOKUP(B227,'Growthrates source'!A$2:H$49,8,FALSE)</f>
        <v>9.0847270748923847E-3</v>
      </c>
      <c r="AP227" s="93">
        <f>VLOOKUP(B227,'Growthrates source'!A$2:I$49,9,FALSE)</f>
        <v>5.4673730437993617E-2</v>
      </c>
      <c r="AQ227" s="86">
        <f t="shared" si="67"/>
        <v>754.91813287125501</v>
      </c>
      <c r="AR227" s="86">
        <f t="shared" si="68"/>
        <v>930.80903378074311</v>
      </c>
      <c r="AS227" s="94">
        <f t="shared" si="69"/>
        <v>0</v>
      </c>
      <c r="AT227" s="94">
        <f t="shared" si="70"/>
        <v>1.4519224372006796</v>
      </c>
      <c r="AU227" s="94">
        <f t="shared" si="71"/>
        <v>1.3231891068373032</v>
      </c>
    </row>
    <row r="228" spans="1:47" x14ac:dyDescent="0.3">
      <c r="A228" s="85" t="str">
        <f>_xlfn.XLOOKUP(B228,'Country codes &amp; Data sources'!G:G,'Country codes &amp; Data sources'!H:H,,0)</f>
        <v>Congo</v>
      </c>
      <c r="B228" s="85" t="s">
        <v>189</v>
      </c>
      <c r="C228" s="86">
        <v>4713266.5</v>
      </c>
      <c r="D228" s="85" t="s">
        <v>205</v>
      </c>
      <c r="E228" s="87">
        <v>0</v>
      </c>
      <c r="F228" s="88">
        <v>4828066.5000000028</v>
      </c>
      <c r="G228" s="87">
        <v>0</v>
      </c>
      <c r="I228" s="87">
        <v>0</v>
      </c>
      <c r="K228" s="87">
        <v>0</v>
      </c>
      <c r="M228" s="87">
        <v>0</v>
      </c>
      <c r="O228" s="87">
        <v>0</v>
      </c>
      <c r="P228" s="88">
        <v>5441061.9999999972</v>
      </c>
      <c r="Q228" s="87">
        <v>0</v>
      </c>
      <c r="R228" s="87">
        <f t="shared" si="54"/>
        <v>0</v>
      </c>
      <c r="T228" s="87">
        <v>0</v>
      </c>
      <c r="V228" s="87">
        <v>0</v>
      </c>
      <c r="X228" s="87">
        <v>0</v>
      </c>
      <c r="Y228" s="88">
        <v>5970424.0000000009</v>
      </c>
      <c r="Z228" s="87">
        <v>0</v>
      </c>
      <c r="AA228" s="87">
        <v>0</v>
      </c>
      <c r="AB228" s="89">
        <f t="shared" si="55"/>
        <v>0</v>
      </c>
      <c r="AC228" s="89">
        <f t="shared" si="56"/>
        <v>0</v>
      </c>
      <c r="AD228" s="89">
        <f t="shared" si="57"/>
        <v>0</v>
      </c>
      <c r="AE228" s="90">
        <f t="shared" si="58"/>
        <v>0</v>
      </c>
      <c r="AF228" s="90" t="str">
        <f t="shared" si="59"/>
        <v/>
      </c>
      <c r="AG228" s="90">
        <f t="shared" si="60"/>
        <v>0</v>
      </c>
      <c r="AH228" s="90" t="str">
        <f t="shared" si="61"/>
        <v/>
      </c>
      <c r="AI228" s="90">
        <f t="shared" si="62"/>
        <v>0</v>
      </c>
      <c r="AJ228" s="90" t="str">
        <f t="shared" si="63"/>
        <v/>
      </c>
      <c r="AK228" s="90" t="str">
        <f t="shared" si="64"/>
        <v/>
      </c>
      <c r="AL228" s="91">
        <f>IF(AK228="Adjust",(_xlfn.XLOOKUP(A228,'Adj factor'!A:A,'Adj factor'!I:I,,0)*AI228),'Master DataSheet'!AI228)</f>
        <v>0</v>
      </c>
      <c r="AM228" s="91">
        <f t="shared" si="65"/>
        <v>0</v>
      </c>
      <c r="AN228" s="92" t="str">
        <f t="shared" si="66"/>
        <v>No change</v>
      </c>
      <c r="AO228" s="93">
        <f>VLOOKUP(B228,'Growthrates source'!A$2:H$49,8,FALSE)</f>
        <v>9.0847270748923847E-3</v>
      </c>
      <c r="AP228" s="93">
        <f>VLOOKUP(B228,'Growthrates source'!A$2:I$49,9,FALSE)</f>
        <v>5.4673730437993617E-2</v>
      </c>
      <c r="AQ228" s="86">
        <f t="shared" si="67"/>
        <v>0</v>
      </c>
      <c r="AR228" s="86">
        <f t="shared" si="68"/>
        <v>0</v>
      </c>
      <c r="AS228" s="94">
        <f t="shared" si="69"/>
        <v>0</v>
      </c>
      <c r="AT228" s="94">
        <f t="shared" si="70"/>
        <v>0</v>
      </c>
      <c r="AU228" s="94">
        <f t="shared" si="71"/>
        <v>0</v>
      </c>
    </row>
    <row r="229" spans="1:47" x14ac:dyDescent="0.3">
      <c r="A229" s="85" t="str">
        <f>_xlfn.XLOOKUP(B229,'Country codes &amp; Data sources'!G:G,'Country codes &amp; Data sources'!H:H,,0)</f>
        <v>Congo</v>
      </c>
      <c r="B229" s="85" t="s">
        <v>189</v>
      </c>
      <c r="C229" s="86">
        <v>4713267.5</v>
      </c>
      <c r="D229" s="85" t="s">
        <v>133</v>
      </c>
      <c r="E229" s="87">
        <v>0</v>
      </c>
      <c r="F229" s="88">
        <v>4828066.5000000028</v>
      </c>
      <c r="G229" s="87">
        <v>0</v>
      </c>
      <c r="I229" s="87">
        <v>0</v>
      </c>
      <c r="K229" s="87">
        <v>0</v>
      </c>
      <c r="M229" s="87">
        <v>0</v>
      </c>
      <c r="O229" s="87">
        <v>0</v>
      </c>
      <c r="P229" s="88">
        <v>5441061.9999999972</v>
      </c>
      <c r="Q229" s="87">
        <v>320</v>
      </c>
      <c r="R229" s="87">
        <f t="shared" si="54"/>
        <v>320</v>
      </c>
      <c r="T229" s="87">
        <v>0</v>
      </c>
      <c r="V229" s="87">
        <v>0</v>
      </c>
      <c r="X229" s="87">
        <v>0</v>
      </c>
      <c r="Y229" s="88">
        <v>5970424.0000000009</v>
      </c>
      <c r="Z229" s="87">
        <v>0</v>
      </c>
      <c r="AA229" s="87">
        <v>216</v>
      </c>
      <c r="AB229" s="89">
        <f t="shared" si="55"/>
        <v>0</v>
      </c>
      <c r="AC229" s="89">
        <f t="shared" si="56"/>
        <v>320</v>
      </c>
      <c r="AD229" s="89">
        <f t="shared" si="57"/>
        <v>0</v>
      </c>
      <c r="AE229" s="90">
        <f t="shared" si="58"/>
        <v>0</v>
      </c>
      <c r="AF229" s="90" t="str">
        <f t="shared" si="59"/>
        <v/>
      </c>
      <c r="AG229" s="90">
        <f t="shared" si="60"/>
        <v>320</v>
      </c>
      <c r="AH229" s="90">
        <f t="shared" si="61"/>
        <v>2018</v>
      </c>
      <c r="AI229" s="90">
        <f t="shared" si="62"/>
        <v>320</v>
      </c>
      <c r="AJ229" s="90">
        <f t="shared" si="63"/>
        <v>2018</v>
      </c>
      <c r="AK229" s="90" t="str">
        <f t="shared" si="64"/>
        <v/>
      </c>
      <c r="AL229" s="91">
        <f>IF(AK229="Adjust",(_xlfn.XLOOKUP(A229,'Adj factor'!A:A,'Adj factor'!I:I,,0)*AI229),'Master DataSheet'!AI229)</f>
        <v>320</v>
      </c>
      <c r="AM229" s="91">
        <f t="shared" si="65"/>
        <v>320</v>
      </c>
      <c r="AN229" s="92" t="str">
        <f t="shared" si="66"/>
        <v>No change</v>
      </c>
      <c r="AO229" s="93">
        <f>VLOOKUP(B229,'Growthrates source'!A$2:H$49,8,FALSE)</f>
        <v>9.0847270748923847E-3</v>
      </c>
      <c r="AP229" s="93">
        <f>VLOOKUP(B229,'Growthrates source'!A$2:I$49,9,FALSE)</f>
        <v>5.4673730437993617E-2</v>
      </c>
      <c r="AQ229" s="86">
        <f t="shared" si="67"/>
        <v>206.40799582302668</v>
      </c>
      <c r="AR229" s="86">
        <f t="shared" si="68"/>
        <v>254.4996851856209</v>
      </c>
      <c r="AS229" s="94">
        <f t="shared" si="69"/>
        <v>0</v>
      </c>
      <c r="AT229" s="94">
        <f t="shared" si="70"/>
        <v>0.58812048089141455</v>
      </c>
      <c r="AU229" s="94">
        <f t="shared" si="71"/>
        <v>0.53597533441511014</v>
      </c>
    </row>
    <row r="230" spans="1:47" x14ac:dyDescent="0.3">
      <c r="A230" s="85" t="str">
        <f>_xlfn.XLOOKUP(B230,'Country codes &amp; Data sources'!G:G,'Country codes &amp; Data sources'!H:H,,0)</f>
        <v>Congo</v>
      </c>
      <c r="B230" s="85" t="s">
        <v>189</v>
      </c>
      <c r="C230" s="86">
        <v>4713268.5</v>
      </c>
      <c r="D230" s="85" t="s">
        <v>206</v>
      </c>
      <c r="E230" s="87">
        <v>0</v>
      </c>
      <c r="F230" s="88">
        <v>4828066.5000000028</v>
      </c>
      <c r="G230" s="87">
        <v>0</v>
      </c>
      <c r="I230" s="87">
        <v>0</v>
      </c>
      <c r="K230" s="87">
        <v>0</v>
      </c>
      <c r="M230" s="87">
        <v>0</v>
      </c>
      <c r="O230" s="87">
        <v>0</v>
      </c>
      <c r="P230" s="88">
        <v>5441061.9999999972</v>
      </c>
      <c r="Q230" s="87">
        <v>0</v>
      </c>
      <c r="R230" s="87">
        <f t="shared" si="54"/>
        <v>0</v>
      </c>
      <c r="T230" s="87">
        <v>0</v>
      </c>
      <c r="V230" s="87">
        <v>0</v>
      </c>
      <c r="X230" s="87">
        <v>0</v>
      </c>
      <c r="Y230" s="88">
        <v>5970424.0000000009</v>
      </c>
      <c r="Z230" s="87">
        <v>0</v>
      </c>
      <c r="AA230" s="87">
        <v>0</v>
      </c>
      <c r="AB230" s="89">
        <f t="shared" si="55"/>
        <v>0</v>
      </c>
      <c r="AC230" s="89">
        <f t="shared" si="56"/>
        <v>0</v>
      </c>
      <c r="AD230" s="89">
        <f t="shared" si="57"/>
        <v>0</v>
      </c>
      <c r="AE230" s="90">
        <f t="shared" si="58"/>
        <v>0</v>
      </c>
      <c r="AF230" s="90" t="str">
        <f t="shared" si="59"/>
        <v/>
      </c>
      <c r="AG230" s="90">
        <f t="shared" si="60"/>
        <v>0</v>
      </c>
      <c r="AH230" s="90" t="str">
        <f t="shared" si="61"/>
        <v/>
      </c>
      <c r="AI230" s="90">
        <f t="shared" si="62"/>
        <v>0</v>
      </c>
      <c r="AJ230" s="90" t="str">
        <f t="shared" si="63"/>
        <v/>
      </c>
      <c r="AK230" s="90" t="str">
        <f t="shared" si="64"/>
        <v/>
      </c>
      <c r="AL230" s="91">
        <f>IF(AK230="Adjust",(_xlfn.XLOOKUP(A230,'Adj factor'!A:A,'Adj factor'!I:I,,0)*AI230),'Master DataSheet'!AI230)</f>
        <v>0</v>
      </c>
      <c r="AM230" s="91">
        <f t="shared" si="65"/>
        <v>0</v>
      </c>
      <c r="AN230" s="92" t="str">
        <f t="shared" si="66"/>
        <v>No change</v>
      </c>
      <c r="AO230" s="93">
        <f>VLOOKUP(B230,'Growthrates source'!A$2:H$49,8,FALSE)</f>
        <v>9.0847270748923847E-3</v>
      </c>
      <c r="AP230" s="93">
        <f>VLOOKUP(B230,'Growthrates source'!A$2:I$49,9,FALSE)</f>
        <v>5.4673730437993617E-2</v>
      </c>
      <c r="AQ230" s="86">
        <f t="shared" si="67"/>
        <v>0</v>
      </c>
      <c r="AR230" s="86">
        <f t="shared" si="68"/>
        <v>0</v>
      </c>
      <c r="AS230" s="94">
        <f t="shared" si="69"/>
        <v>0</v>
      </c>
      <c r="AT230" s="94">
        <f t="shared" si="70"/>
        <v>0</v>
      </c>
      <c r="AU230" s="94">
        <f t="shared" si="71"/>
        <v>0</v>
      </c>
    </row>
    <row r="231" spans="1:47" x14ac:dyDescent="0.3">
      <c r="A231" s="85" t="str">
        <f>_xlfn.XLOOKUP(B231,'Country codes &amp; Data sources'!G:G,'Country codes &amp; Data sources'!H:H,,0)</f>
        <v>Congo</v>
      </c>
      <c r="B231" s="85" t="s">
        <v>189</v>
      </c>
      <c r="C231" s="86">
        <v>4713269.5</v>
      </c>
      <c r="D231" s="85" t="s">
        <v>136</v>
      </c>
      <c r="E231" s="87">
        <v>0</v>
      </c>
      <c r="F231" s="88">
        <v>4828066.5000000028</v>
      </c>
      <c r="G231" s="87">
        <v>0</v>
      </c>
      <c r="I231" s="87">
        <v>0</v>
      </c>
      <c r="K231" s="87">
        <v>0</v>
      </c>
      <c r="M231" s="87">
        <v>0</v>
      </c>
      <c r="O231" s="87">
        <v>0</v>
      </c>
      <c r="P231" s="88">
        <v>5441061.9999999972</v>
      </c>
      <c r="Q231" s="87">
        <v>0</v>
      </c>
      <c r="R231" s="87">
        <f t="shared" si="54"/>
        <v>97</v>
      </c>
      <c r="T231" s="87">
        <v>0</v>
      </c>
      <c r="V231" s="87">
        <v>0</v>
      </c>
      <c r="X231" s="87">
        <v>0</v>
      </c>
      <c r="Y231" s="88">
        <v>5970424.0000000009</v>
      </c>
      <c r="Z231" s="87">
        <v>0</v>
      </c>
      <c r="AA231" s="87">
        <v>97</v>
      </c>
      <c r="AB231" s="89">
        <f t="shared" si="55"/>
        <v>0</v>
      </c>
      <c r="AC231" s="89">
        <f t="shared" si="56"/>
        <v>0</v>
      </c>
      <c r="AD231" s="89">
        <f t="shared" si="57"/>
        <v>0</v>
      </c>
      <c r="AE231" s="90">
        <f t="shared" si="58"/>
        <v>0</v>
      </c>
      <c r="AF231" s="90" t="str">
        <f t="shared" si="59"/>
        <v/>
      </c>
      <c r="AG231" s="90">
        <f t="shared" si="60"/>
        <v>97</v>
      </c>
      <c r="AH231" s="90" t="str">
        <f t="shared" si="61"/>
        <v>2018 (triag)</v>
      </c>
      <c r="AI231" s="90">
        <f t="shared" si="62"/>
        <v>97</v>
      </c>
      <c r="AJ231" s="90" t="str">
        <f t="shared" si="63"/>
        <v>2018 (triag)</v>
      </c>
      <c r="AK231" s="90" t="str">
        <f t="shared" si="64"/>
        <v/>
      </c>
      <c r="AL231" s="91">
        <f>IF(AK231="Adjust",(_xlfn.XLOOKUP(A231,'Adj factor'!A:A,'Adj factor'!I:I,,0)*AI231),'Master DataSheet'!AI231)</f>
        <v>97</v>
      </c>
      <c r="AM231" s="91">
        <f t="shared" si="65"/>
        <v>97</v>
      </c>
      <c r="AN231" s="92" t="str">
        <f t="shared" si="66"/>
        <v>No change</v>
      </c>
      <c r="AO231" s="93">
        <f>VLOOKUP(B231,'Growthrates source'!A$2:H$49,8,FALSE)</f>
        <v>9.0847270748923847E-3</v>
      </c>
      <c r="AP231" s="93">
        <f>VLOOKUP(B231,'Growthrates source'!A$2:I$49,9,FALSE)</f>
        <v>5.4673730437993617E-2</v>
      </c>
      <c r="AQ231" s="86">
        <f t="shared" si="67"/>
        <v>92.692479605711057</v>
      </c>
      <c r="AR231" s="86">
        <f t="shared" si="68"/>
        <v>114.28921047687605</v>
      </c>
      <c r="AS231" s="94">
        <f t="shared" si="69"/>
        <v>0</v>
      </c>
      <c r="AT231" s="94">
        <f t="shared" si="70"/>
        <v>0.17827402077021001</v>
      </c>
      <c r="AU231" s="94">
        <f t="shared" si="71"/>
        <v>0.16246752324458025</v>
      </c>
    </row>
    <row r="232" spans="1:47" x14ac:dyDescent="0.3">
      <c r="A232" s="85" t="str">
        <f>_xlfn.XLOOKUP(B232,'Country codes &amp; Data sources'!G:G,'Country codes &amp; Data sources'!H:H,,0)</f>
        <v>Congo</v>
      </c>
      <c r="B232" s="85" t="s">
        <v>189</v>
      </c>
      <c r="C232" s="86">
        <v>4713270.5</v>
      </c>
      <c r="D232" s="85" t="s">
        <v>207</v>
      </c>
      <c r="E232" s="87">
        <v>0</v>
      </c>
      <c r="F232" s="88">
        <v>4828066.5000000028</v>
      </c>
      <c r="G232" s="87">
        <v>0</v>
      </c>
      <c r="I232" s="87">
        <v>0</v>
      </c>
      <c r="K232" s="87">
        <v>0</v>
      </c>
      <c r="M232" s="87">
        <v>0</v>
      </c>
      <c r="O232" s="87">
        <v>0</v>
      </c>
      <c r="P232" s="88">
        <v>5441061.9999999972</v>
      </c>
      <c r="Q232" s="87">
        <v>0</v>
      </c>
      <c r="R232" s="87">
        <f t="shared" si="54"/>
        <v>0</v>
      </c>
      <c r="T232" s="87">
        <v>0</v>
      </c>
      <c r="V232" s="87">
        <v>0</v>
      </c>
      <c r="X232" s="87">
        <v>0</v>
      </c>
      <c r="Y232" s="88">
        <v>5970424.0000000009</v>
      </c>
      <c r="Z232" s="87">
        <v>0</v>
      </c>
      <c r="AA232" s="87">
        <v>0</v>
      </c>
      <c r="AB232" s="89">
        <f t="shared" si="55"/>
        <v>0</v>
      </c>
      <c r="AC232" s="89">
        <f t="shared" si="56"/>
        <v>0</v>
      </c>
      <c r="AD232" s="89">
        <f t="shared" si="57"/>
        <v>0</v>
      </c>
      <c r="AE232" s="90">
        <f t="shared" si="58"/>
        <v>0</v>
      </c>
      <c r="AF232" s="90" t="str">
        <f t="shared" si="59"/>
        <v/>
      </c>
      <c r="AG232" s="90">
        <f t="shared" si="60"/>
        <v>0</v>
      </c>
      <c r="AH232" s="90" t="str">
        <f t="shared" si="61"/>
        <v/>
      </c>
      <c r="AI232" s="90">
        <f t="shared" si="62"/>
        <v>0</v>
      </c>
      <c r="AJ232" s="90" t="str">
        <f t="shared" si="63"/>
        <v/>
      </c>
      <c r="AK232" s="90" t="str">
        <f t="shared" si="64"/>
        <v/>
      </c>
      <c r="AL232" s="91">
        <f>IF(AK232="Adjust",(_xlfn.XLOOKUP(A232,'Adj factor'!A:A,'Adj factor'!I:I,,0)*AI232),'Master DataSheet'!AI232)</f>
        <v>0</v>
      </c>
      <c r="AM232" s="91">
        <f t="shared" si="65"/>
        <v>0</v>
      </c>
      <c r="AN232" s="92" t="str">
        <f t="shared" si="66"/>
        <v>No change</v>
      </c>
      <c r="AO232" s="93">
        <f>VLOOKUP(B232,'Growthrates source'!A$2:H$49,8,FALSE)</f>
        <v>9.0847270748923847E-3</v>
      </c>
      <c r="AP232" s="93">
        <f>VLOOKUP(B232,'Growthrates source'!A$2:I$49,9,FALSE)</f>
        <v>5.4673730437993617E-2</v>
      </c>
      <c r="AQ232" s="86">
        <f t="shared" si="67"/>
        <v>0</v>
      </c>
      <c r="AR232" s="86">
        <f t="shared" si="68"/>
        <v>0</v>
      </c>
      <c r="AS232" s="94">
        <f t="shared" si="69"/>
        <v>0</v>
      </c>
      <c r="AT232" s="94">
        <f t="shared" si="70"/>
        <v>0</v>
      </c>
      <c r="AU232" s="94">
        <f t="shared" si="71"/>
        <v>0</v>
      </c>
    </row>
    <row r="233" spans="1:47" x14ac:dyDescent="0.3">
      <c r="A233" s="85" t="str">
        <f>_xlfn.XLOOKUP(B233,'Country codes &amp; Data sources'!G:G,'Country codes &amp; Data sources'!H:H,,0)</f>
        <v>Congo</v>
      </c>
      <c r="B233" s="85" t="s">
        <v>189</v>
      </c>
      <c r="C233" s="86">
        <v>4713271.5</v>
      </c>
      <c r="D233" s="85" t="s">
        <v>141</v>
      </c>
      <c r="E233" s="87">
        <v>0</v>
      </c>
      <c r="F233" s="88">
        <v>4828066.5000000028</v>
      </c>
      <c r="G233" s="87">
        <v>0</v>
      </c>
      <c r="I233" s="87">
        <v>0</v>
      </c>
      <c r="K233" s="87">
        <v>0</v>
      </c>
      <c r="M233" s="87">
        <v>0</v>
      </c>
      <c r="O233" s="87">
        <v>0</v>
      </c>
      <c r="P233" s="88">
        <v>5441061.9999999972</v>
      </c>
      <c r="Q233" s="87">
        <v>0</v>
      </c>
      <c r="R233" s="87">
        <f t="shared" si="54"/>
        <v>0</v>
      </c>
      <c r="T233" s="87">
        <v>0</v>
      </c>
      <c r="V233" s="87">
        <v>0</v>
      </c>
      <c r="X233" s="87">
        <v>0</v>
      </c>
      <c r="Y233" s="88">
        <v>5970424.0000000009</v>
      </c>
      <c r="Z233" s="87">
        <v>0</v>
      </c>
      <c r="AA233" s="87">
        <v>0</v>
      </c>
      <c r="AB233" s="89">
        <f t="shared" si="55"/>
        <v>0</v>
      </c>
      <c r="AC233" s="89">
        <f t="shared" si="56"/>
        <v>0</v>
      </c>
      <c r="AD233" s="89">
        <f t="shared" si="57"/>
        <v>0</v>
      </c>
      <c r="AE233" s="90">
        <f t="shared" si="58"/>
        <v>0</v>
      </c>
      <c r="AF233" s="90" t="str">
        <f t="shared" si="59"/>
        <v/>
      </c>
      <c r="AG233" s="90">
        <f t="shared" si="60"/>
        <v>0</v>
      </c>
      <c r="AH233" s="90" t="str">
        <f t="shared" si="61"/>
        <v/>
      </c>
      <c r="AI233" s="90">
        <f t="shared" si="62"/>
        <v>0</v>
      </c>
      <c r="AJ233" s="90" t="str">
        <f t="shared" si="63"/>
        <v/>
      </c>
      <c r="AK233" s="90" t="str">
        <f t="shared" si="64"/>
        <v/>
      </c>
      <c r="AL233" s="91">
        <f>IF(AK233="Adjust",(_xlfn.XLOOKUP(A233,'Adj factor'!A:A,'Adj factor'!I:I,,0)*AI233),'Master DataSheet'!AI233)</f>
        <v>0</v>
      </c>
      <c r="AM233" s="91">
        <f t="shared" si="65"/>
        <v>0</v>
      </c>
      <c r="AN233" s="92" t="str">
        <f t="shared" si="66"/>
        <v>No change</v>
      </c>
      <c r="AO233" s="93">
        <f>VLOOKUP(B233,'Growthrates source'!A$2:H$49,8,FALSE)</f>
        <v>9.0847270748923847E-3</v>
      </c>
      <c r="AP233" s="93">
        <f>VLOOKUP(B233,'Growthrates source'!A$2:I$49,9,FALSE)</f>
        <v>5.4673730437993617E-2</v>
      </c>
      <c r="AQ233" s="86">
        <f t="shared" si="67"/>
        <v>0</v>
      </c>
      <c r="AR233" s="86">
        <f t="shared" si="68"/>
        <v>0</v>
      </c>
      <c r="AS233" s="94">
        <f t="shared" si="69"/>
        <v>0</v>
      </c>
      <c r="AT233" s="94">
        <f t="shared" si="70"/>
        <v>0</v>
      </c>
      <c r="AU233" s="94">
        <f t="shared" si="71"/>
        <v>0</v>
      </c>
    </row>
    <row r="234" spans="1:47" x14ac:dyDescent="0.3">
      <c r="A234" s="85" t="str">
        <f>_xlfn.XLOOKUP(B234,'Country codes &amp; Data sources'!G:G,'Country codes &amp; Data sources'!H:H,,0)</f>
        <v>Congo</v>
      </c>
      <c r="B234" s="85" t="s">
        <v>189</v>
      </c>
      <c r="C234" s="86">
        <v>4713272.5</v>
      </c>
      <c r="D234" s="85" t="s">
        <v>208</v>
      </c>
      <c r="E234" s="87">
        <v>0</v>
      </c>
      <c r="F234" s="88">
        <v>4828066.5000000028</v>
      </c>
      <c r="G234" s="87">
        <v>0</v>
      </c>
      <c r="I234" s="87">
        <v>0</v>
      </c>
      <c r="K234" s="87">
        <v>0</v>
      </c>
      <c r="M234" s="87">
        <v>0</v>
      </c>
      <c r="O234" s="87">
        <v>0</v>
      </c>
      <c r="P234" s="88">
        <v>5441061.9999999972</v>
      </c>
      <c r="Q234" s="87">
        <v>0</v>
      </c>
      <c r="R234" s="87">
        <f t="shared" si="54"/>
        <v>111</v>
      </c>
      <c r="T234" s="87">
        <v>0</v>
      </c>
      <c r="V234" s="87">
        <v>0</v>
      </c>
      <c r="X234" s="87">
        <v>0</v>
      </c>
      <c r="Y234" s="88">
        <v>5970424.0000000009</v>
      </c>
      <c r="Z234" s="87">
        <v>0</v>
      </c>
      <c r="AA234" s="87">
        <v>111</v>
      </c>
      <c r="AB234" s="89">
        <f t="shared" si="55"/>
        <v>0</v>
      </c>
      <c r="AC234" s="89">
        <f t="shared" si="56"/>
        <v>0</v>
      </c>
      <c r="AD234" s="89">
        <f t="shared" si="57"/>
        <v>0</v>
      </c>
      <c r="AE234" s="90">
        <f t="shared" si="58"/>
        <v>0</v>
      </c>
      <c r="AF234" s="90" t="str">
        <f t="shared" si="59"/>
        <v/>
      </c>
      <c r="AG234" s="90">
        <f t="shared" si="60"/>
        <v>111</v>
      </c>
      <c r="AH234" s="90" t="str">
        <f t="shared" si="61"/>
        <v>2018 (triag)</v>
      </c>
      <c r="AI234" s="90">
        <f t="shared" si="62"/>
        <v>111</v>
      </c>
      <c r="AJ234" s="90" t="str">
        <f t="shared" si="63"/>
        <v>2018 (triag)</v>
      </c>
      <c r="AK234" s="90" t="str">
        <f t="shared" si="64"/>
        <v/>
      </c>
      <c r="AL234" s="91">
        <f>IF(AK234="Adjust",(_xlfn.XLOOKUP(A234,'Adj factor'!A:A,'Adj factor'!I:I,,0)*AI234),'Master DataSheet'!AI234)</f>
        <v>111</v>
      </c>
      <c r="AM234" s="91">
        <f t="shared" si="65"/>
        <v>111</v>
      </c>
      <c r="AN234" s="92" t="str">
        <f t="shared" si="66"/>
        <v>No change</v>
      </c>
      <c r="AO234" s="93">
        <f>VLOOKUP(B234,'Growthrates source'!A$2:H$49,8,FALSE)</f>
        <v>9.0847270748923847E-3</v>
      </c>
      <c r="AP234" s="93">
        <f>VLOOKUP(B234,'Growthrates source'!A$2:I$49,9,FALSE)</f>
        <v>5.4673730437993617E-2</v>
      </c>
      <c r="AQ234" s="86">
        <f t="shared" si="67"/>
        <v>106.0707756312776</v>
      </c>
      <c r="AR234" s="86">
        <f t="shared" si="68"/>
        <v>130.78456044261074</v>
      </c>
      <c r="AS234" s="94">
        <f t="shared" si="69"/>
        <v>0</v>
      </c>
      <c r="AT234" s="94">
        <f t="shared" si="70"/>
        <v>0.2040042918092094</v>
      </c>
      <c r="AU234" s="94">
        <f t="shared" si="71"/>
        <v>0.18591644412524133</v>
      </c>
    </row>
    <row r="235" spans="1:47" x14ac:dyDescent="0.3">
      <c r="A235" s="85" t="str">
        <f>_xlfn.XLOOKUP(B235,'Country codes &amp; Data sources'!G:G,'Country codes &amp; Data sources'!H:H,,0)</f>
        <v>Congo</v>
      </c>
      <c r="B235" s="85" t="s">
        <v>189</v>
      </c>
      <c r="C235" s="86">
        <v>4713273.5</v>
      </c>
      <c r="D235" s="85" t="s">
        <v>209</v>
      </c>
      <c r="E235" s="87">
        <v>0</v>
      </c>
      <c r="F235" s="88">
        <v>4828066.5000000028</v>
      </c>
      <c r="G235" s="87">
        <v>0</v>
      </c>
      <c r="I235" s="87">
        <v>0</v>
      </c>
      <c r="K235" s="87">
        <v>0</v>
      </c>
      <c r="M235" s="87">
        <v>0</v>
      </c>
      <c r="O235" s="87">
        <v>0</v>
      </c>
      <c r="P235" s="88">
        <v>5441061.9999999972</v>
      </c>
      <c r="Q235" s="87">
        <v>0</v>
      </c>
      <c r="R235" s="87">
        <f t="shared" si="54"/>
        <v>445</v>
      </c>
      <c r="T235" s="87">
        <v>0</v>
      </c>
      <c r="V235" s="87">
        <v>0</v>
      </c>
      <c r="X235" s="87">
        <v>0</v>
      </c>
      <c r="Y235" s="88">
        <v>5970424.0000000009</v>
      </c>
      <c r="Z235" s="87">
        <v>0</v>
      </c>
      <c r="AA235" s="87">
        <v>445</v>
      </c>
      <c r="AB235" s="89">
        <f t="shared" si="55"/>
        <v>0</v>
      </c>
      <c r="AC235" s="89">
        <f t="shared" si="56"/>
        <v>0</v>
      </c>
      <c r="AD235" s="89">
        <f t="shared" si="57"/>
        <v>0</v>
      </c>
      <c r="AE235" s="90">
        <f t="shared" si="58"/>
        <v>0</v>
      </c>
      <c r="AF235" s="90" t="str">
        <f t="shared" si="59"/>
        <v/>
      </c>
      <c r="AG235" s="90">
        <f t="shared" si="60"/>
        <v>445</v>
      </c>
      <c r="AH235" s="90" t="str">
        <f t="shared" si="61"/>
        <v>2018 (triag)</v>
      </c>
      <c r="AI235" s="90">
        <f t="shared" si="62"/>
        <v>445</v>
      </c>
      <c r="AJ235" s="90" t="str">
        <f t="shared" si="63"/>
        <v>2018 (triag)</v>
      </c>
      <c r="AK235" s="90" t="str">
        <f t="shared" si="64"/>
        <v/>
      </c>
      <c r="AL235" s="91">
        <f>IF(AK235="Adjust",(_xlfn.XLOOKUP(A235,'Adj factor'!A:A,'Adj factor'!I:I,,0)*AI235),'Master DataSheet'!AI235)</f>
        <v>445</v>
      </c>
      <c r="AM235" s="91">
        <f t="shared" si="65"/>
        <v>445</v>
      </c>
      <c r="AN235" s="92" t="str">
        <f t="shared" si="66"/>
        <v>No change</v>
      </c>
      <c r="AO235" s="93">
        <f>VLOOKUP(B235,'Growthrates source'!A$2:H$49,8,FALSE)</f>
        <v>9.0847270748923847E-3</v>
      </c>
      <c r="AP235" s="93">
        <f>VLOOKUP(B235,'Growthrates source'!A$2:I$49,9,FALSE)</f>
        <v>5.4673730437993617E-2</v>
      </c>
      <c r="AQ235" s="86">
        <f t="shared" si="67"/>
        <v>425.23869509836516</v>
      </c>
      <c r="AR235" s="86">
        <f t="shared" si="68"/>
        <v>524.31648105370971</v>
      </c>
      <c r="AS235" s="94">
        <f t="shared" si="69"/>
        <v>0</v>
      </c>
      <c r="AT235" s="94">
        <f t="shared" si="70"/>
        <v>0.81785504373962326</v>
      </c>
      <c r="AU235" s="94">
        <f t="shared" si="71"/>
        <v>0.74534069942101255</v>
      </c>
    </row>
    <row r="236" spans="1:47" x14ac:dyDescent="0.3">
      <c r="A236" s="85" t="str">
        <f>_xlfn.XLOOKUP(B236,'Country codes &amp; Data sources'!G:G,'Country codes &amp; Data sources'!H:H,,0)</f>
        <v>Congo</v>
      </c>
      <c r="B236" s="85" t="s">
        <v>189</v>
      </c>
      <c r="C236" s="86">
        <v>4713274.5</v>
      </c>
      <c r="D236" s="85" t="s">
        <v>134</v>
      </c>
      <c r="E236" s="87">
        <v>0</v>
      </c>
      <c r="F236" s="88">
        <v>4828066.5000000028</v>
      </c>
      <c r="G236" s="87">
        <v>0</v>
      </c>
      <c r="I236" s="87">
        <v>0</v>
      </c>
      <c r="K236" s="87">
        <v>0</v>
      </c>
      <c r="M236" s="87">
        <v>0</v>
      </c>
      <c r="O236" s="87">
        <v>0</v>
      </c>
      <c r="P236" s="88">
        <v>5441061.9999999972</v>
      </c>
      <c r="Q236" s="87">
        <v>0</v>
      </c>
      <c r="R236" s="87">
        <f t="shared" si="54"/>
        <v>320</v>
      </c>
      <c r="T236" s="87">
        <v>0</v>
      </c>
      <c r="V236" s="87">
        <v>0</v>
      </c>
      <c r="X236" s="87">
        <v>0</v>
      </c>
      <c r="Y236" s="88">
        <v>5970424.0000000009</v>
      </c>
      <c r="Z236" s="87">
        <v>777</v>
      </c>
      <c r="AA236" s="87">
        <v>320</v>
      </c>
      <c r="AB236" s="89">
        <f t="shared" si="55"/>
        <v>0</v>
      </c>
      <c r="AC236" s="89">
        <f t="shared" si="56"/>
        <v>0</v>
      </c>
      <c r="AD236" s="89">
        <f t="shared" si="57"/>
        <v>777</v>
      </c>
      <c r="AE236" s="90">
        <f t="shared" si="58"/>
        <v>0</v>
      </c>
      <c r="AF236" s="90" t="str">
        <f t="shared" si="59"/>
        <v/>
      </c>
      <c r="AG236" s="90">
        <f t="shared" si="60"/>
        <v>320</v>
      </c>
      <c r="AH236" s="90" t="str">
        <f t="shared" si="61"/>
        <v>2018 (triag)</v>
      </c>
      <c r="AI236" s="90">
        <f t="shared" si="62"/>
        <v>777</v>
      </c>
      <c r="AJ236" s="90">
        <f t="shared" si="63"/>
        <v>2022</v>
      </c>
      <c r="AK236" s="90" t="str">
        <f t="shared" si="64"/>
        <v/>
      </c>
      <c r="AL236" s="91">
        <f>IF(AK236="Adjust",(_xlfn.XLOOKUP(A236,'Adj factor'!A:A,'Adj factor'!I:I,,0)*AI236),'Master DataSheet'!AI236)</f>
        <v>777</v>
      </c>
      <c r="AM236" s="91">
        <f t="shared" si="65"/>
        <v>777</v>
      </c>
      <c r="AN236" s="92" t="str">
        <f t="shared" si="66"/>
        <v>Increasing</v>
      </c>
      <c r="AO236" s="93">
        <f>VLOOKUP(B236,'Growthrates source'!A$2:H$49,8,FALSE)</f>
        <v>9.0847270748923847E-3</v>
      </c>
      <c r="AP236" s="93">
        <f>VLOOKUP(B236,'Growthrates source'!A$2:I$49,9,FALSE)</f>
        <v>5.4673730437993617E-2</v>
      </c>
      <c r="AQ236" s="86">
        <f t="shared" si="67"/>
        <v>305.78962344152103</v>
      </c>
      <c r="AR236" s="86">
        <f t="shared" si="68"/>
        <v>377.03657064536429</v>
      </c>
      <c r="AS236" s="94">
        <f t="shared" si="69"/>
        <v>0</v>
      </c>
      <c r="AT236" s="94">
        <f t="shared" si="70"/>
        <v>0.58812048089141455</v>
      </c>
      <c r="AU236" s="94">
        <f t="shared" si="71"/>
        <v>1.3014151088766892</v>
      </c>
    </row>
    <row r="237" spans="1:47" x14ac:dyDescent="0.3">
      <c r="A237" s="85" t="str">
        <f>_xlfn.XLOOKUP(B237,'Country codes &amp; Data sources'!G:G,'Country codes &amp; Data sources'!H:H,,0)</f>
        <v>Congo</v>
      </c>
      <c r="B237" s="85" t="s">
        <v>189</v>
      </c>
      <c r="C237" s="86">
        <v>4713275.5</v>
      </c>
      <c r="D237" s="85" t="s">
        <v>142</v>
      </c>
      <c r="E237" s="87">
        <v>0</v>
      </c>
      <c r="F237" s="88">
        <v>4828066.5000000028</v>
      </c>
      <c r="G237" s="87">
        <v>0</v>
      </c>
      <c r="I237" s="87">
        <v>0</v>
      </c>
      <c r="K237" s="87">
        <v>0</v>
      </c>
      <c r="M237" s="87">
        <v>0</v>
      </c>
      <c r="O237" s="87">
        <v>0</v>
      </c>
      <c r="P237" s="88">
        <v>5441061.9999999972</v>
      </c>
      <c r="Q237" s="87">
        <v>0</v>
      </c>
      <c r="R237" s="87">
        <f t="shared" si="54"/>
        <v>0</v>
      </c>
      <c r="T237" s="87">
        <v>0</v>
      </c>
      <c r="V237" s="87">
        <v>0</v>
      </c>
      <c r="X237" s="87">
        <v>0</v>
      </c>
      <c r="Y237" s="88">
        <v>5970424.0000000009</v>
      </c>
      <c r="Z237" s="87">
        <v>0</v>
      </c>
      <c r="AA237" s="87">
        <v>0</v>
      </c>
      <c r="AB237" s="89">
        <f t="shared" si="55"/>
        <v>0</v>
      </c>
      <c r="AC237" s="89">
        <f t="shared" si="56"/>
        <v>0</v>
      </c>
      <c r="AD237" s="89">
        <f t="shared" si="57"/>
        <v>0</v>
      </c>
      <c r="AE237" s="90">
        <f t="shared" si="58"/>
        <v>0</v>
      </c>
      <c r="AF237" s="90" t="str">
        <f t="shared" si="59"/>
        <v/>
      </c>
      <c r="AG237" s="90">
        <f t="shared" si="60"/>
        <v>0</v>
      </c>
      <c r="AH237" s="90" t="str">
        <f t="shared" si="61"/>
        <v/>
      </c>
      <c r="AI237" s="90">
        <f t="shared" si="62"/>
        <v>0</v>
      </c>
      <c r="AJ237" s="90" t="str">
        <f t="shared" si="63"/>
        <v/>
      </c>
      <c r="AK237" s="90" t="str">
        <f t="shared" si="64"/>
        <v/>
      </c>
      <c r="AL237" s="91">
        <f>IF(AK237="Adjust",(_xlfn.XLOOKUP(A237,'Adj factor'!A:A,'Adj factor'!I:I,,0)*AI237),'Master DataSheet'!AI237)</f>
        <v>0</v>
      </c>
      <c r="AM237" s="91">
        <f t="shared" si="65"/>
        <v>0</v>
      </c>
      <c r="AN237" s="92" t="str">
        <f t="shared" si="66"/>
        <v>No change</v>
      </c>
      <c r="AO237" s="93">
        <f>VLOOKUP(B237,'Growthrates source'!A$2:H$49,8,FALSE)</f>
        <v>9.0847270748923847E-3</v>
      </c>
      <c r="AP237" s="93">
        <f>VLOOKUP(B237,'Growthrates source'!A$2:I$49,9,FALSE)</f>
        <v>5.4673730437993617E-2</v>
      </c>
      <c r="AQ237" s="86">
        <f t="shared" si="67"/>
        <v>0</v>
      </c>
      <c r="AR237" s="86">
        <f t="shared" si="68"/>
        <v>0</v>
      </c>
      <c r="AS237" s="94">
        <f t="shared" si="69"/>
        <v>0</v>
      </c>
      <c r="AT237" s="94">
        <f t="shared" si="70"/>
        <v>0</v>
      </c>
      <c r="AU237" s="94">
        <f t="shared" si="71"/>
        <v>0</v>
      </c>
    </row>
    <row r="238" spans="1:47" x14ac:dyDescent="0.3">
      <c r="A238" s="85" t="str">
        <f>_xlfn.XLOOKUP(B238,'Country codes &amp; Data sources'!G:G,'Country codes &amp; Data sources'!H:H,,0)</f>
        <v>Congo</v>
      </c>
      <c r="B238" s="85" t="s">
        <v>189</v>
      </c>
      <c r="C238" s="86">
        <v>4713276.5</v>
      </c>
      <c r="D238" s="85" t="s">
        <v>83</v>
      </c>
      <c r="E238" s="87">
        <v>0</v>
      </c>
      <c r="F238" s="88">
        <v>4828066.5000000028</v>
      </c>
      <c r="G238" s="87">
        <v>0</v>
      </c>
      <c r="I238" s="87">
        <v>0</v>
      </c>
      <c r="K238" s="87">
        <v>0</v>
      </c>
      <c r="M238" s="87">
        <v>0</v>
      </c>
      <c r="O238" s="87">
        <v>0</v>
      </c>
      <c r="P238" s="88">
        <v>5441061.9999999972</v>
      </c>
      <c r="Q238" s="87">
        <v>0</v>
      </c>
      <c r="R238" s="87">
        <f t="shared" si="54"/>
        <v>0</v>
      </c>
      <c r="T238" s="87">
        <v>0</v>
      </c>
      <c r="V238" s="87">
        <v>0</v>
      </c>
      <c r="X238" s="87">
        <v>0</v>
      </c>
      <c r="Y238" s="88">
        <v>5970424.0000000009</v>
      </c>
      <c r="Z238" s="87">
        <v>0</v>
      </c>
      <c r="AA238" s="87">
        <v>0</v>
      </c>
      <c r="AB238" s="89">
        <f t="shared" si="55"/>
        <v>0</v>
      </c>
      <c r="AC238" s="89">
        <f t="shared" si="56"/>
        <v>0</v>
      </c>
      <c r="AD238" s="89">
        <f t="shared" si="57"/>
        <v>0</v>
      </c>
      <c r="AE238" s="90">
        <f t="shared" si="58"/>
        <v>0</v>
      </c>
      <c r="AF238" s="90" t="str">
        <f t="shared" si="59"/>
        <v/>
      </c>
      <c r="AG238" s="90">
        <f t="shared" si="60"/>
        <v>0</v>
      </c>
      <c r="AH238" s="90" t="str">
        <f t="shared" si="61"/>
        <v/>
      </c>
      <c r="AI238" s="90">
        <f t="shared" si="62"/>
        <v>0</v>
      </c>
      <c r="AJ238" s="90" t="str">
        <f t="shared" si="63"/>
        <v/>
      </c>
      <c r="AK238" s="90" t="str">
        <f t="shared" si="64"/>
        <v/>
      </c>
      <c r="AL238" s="91">
        <f>IF(AK238="Adjust",(_xlfn.XLOOKUP(A238,'Adj factor'!A:A,'Adj factor'!I:I,,0)*AI238),'Master DataSheet'!AI238)</f>
        <v>0</v>
      </c>
      <c r="AM238" s="91">
        <f t="shared" si="65"/>
        <v>0</v>
      </c>
      <c r="AN238" s="92" t="str">
        <f t="shared" si="66"/>
        <v>No change</v>
      </c>
      <c r="AO238" s="93">
        <f>VLOOKUP(B238,'Growthrates source'!A$2:H$49,8,FALSE)</f>
        <v>9.0847270748923847E-3</v>
      </c>
      <c r="AP238" s="93">
        <f>VLOOKUP(B238,'Growthrates source'!A$2:I$49,9,FALSE)</f>
        <v>5.4673730437993617E-2</v>
      </c>
      <c r="AQ238" s="86">
        <f t="shared" si="67"/>
        <v>0</v>
      </c>
      <c r="AR238" s="86">
        <f t="shared" si="68"/>
        <v>0</v>
      </c>
      <c r="AS238" s="94">
        <f t="shared" si="69"/>
        <v>0</v>
      </c>
      <c r="AT238" s="94">
        <f t="shared" si="70"/>
        <v>0</v>
      </c>
      <c r="AU238" s="94">
        <f t="shared" si="71"/>
        <v>0</v>
      </c>
    </row>
    <row r="239" spans="1:47" x14ac:dyDescent="0.3">
      <c r="A239" s="85" t="str">
        <f>_xlfn.XLOOKUP(B239,'Country codes &amp; Data sources'!G:G,'Country codes &amp; Data sources'!H:H,,0)</f>
        <v>Congo</v>
      </c>
      <c r="B239" s="85" t="s">
        <v>189</v>
      </c>
      <c r="C239" s="86">
        <v>4713277.5</v>
      </c>
      <c r="D239" s="85" t="s">
        <v>84</v>
      </c>
      <c r="E239" s="87">
        <v>0</v>
      </c>
      <c r="F239" s="88">
        <v>4828066.5000000028</v>
      </c>
      <c r="G239" s="87">
        <v>0</v>
      </c>
      <c r="I239" s="87">
        <v>0</v>
      </c>
      <c r="K239" s="87">
        <v>0</v>
      </c>
      <c r="M239" s="87">
        <v>0</v>
      </c>
      <c r="O239" s="87">
        <v>0</v>
      </c>
      <c r="P239" s="88">
        <v>5441061.9999999972</v>
      </c>
      <c r="Q239" s="87">
        <v>0</v>
      </c>
      <c r="R239" s="87">
        <f t="shared" si="54"/>
        <v>0</v>
      </c>
      <c r="T239" s="87">
        <v>0</v>
      </c>
      <c r="V239" s="87">
        <v>0</v>
      </c>
      <c r="X239" s="87">
        <v>0</v>
      </c>
      <c r="Y239" s="88">
        <v>5970424.0000000009</v>
      </c>
      <c r="Z239" s="87">
        <v>0</v>
      </c>
      <c r="AA239" s="87">
        <v>0</v>
      </c>
      <c r="AB239" s="89">
        <f t="shared" si="55"/>
        <v>0</v>
      </c>
      <c r="AC239" s="89">
        <f t="shared" si="56"/>
        <v>0</v>
      </c>
      <c r="AD239" s="89">
        <f t="shared" si="57"/>
        <v>0</v>
      </c>
      <c r="AE239" s="90">
        <f t="shared" si="58"/>
        <v>0</v>
      </c>
      <c r="AF239" s="90" t="str">
        <f t="shared" si="59"/>
        <v/>
      </c>
      <c r="AG239" s="90">
        <f t="shared" si="60"/>
        <v>0</v>
      </c>
      <c r="AH239" s="90" t="str">
        <f t="shared" si="61"/>
        <v/>
      </c>
      <c r="AI239" s="90">
        <f t="shared" si="62"/>
        <v>0</v>
      </c>
      <c r="AJ239" s="90" t="str">
        <f t="shared" si="63"/>
        <v/>
      </c>
      <c r="AK239" s="90" t="str">
        <f t="shared" si="64"/>
        <v/>
      </c>
      <c r="AL239" s="91">
        <f>IF(AK239="Adjust",(_xlfn.XLOOKUP(A239,'Adj factor'!A:A,'Adj factor'!I:I,,0)*AI239),'Master DataSheet'!AI239)</f>
        <v>0</v>
      </c>
      <c r="AM239" s="91">
        <f t="shared" si="65"/>
        <v>0</v>
      </c>
      <c r="AN239" s="92" t="str">
        <f t="shared" si="66"/>
        <v>No change</v>
      </c>
      <c r="AO239" s="93">
        <f>VLOOKUP(B239,'Growthrates source'!A$2:H$49,8,FALSE)</f>
        <v>9.0847270748923847E-3</v>
      </c>
      <c r="AP239" s="93">
        <f>VLOOKUP(B239,'Growthrates source'!A$2:I$49,9,FALSE)</f>
        <v>5.4673730437993617E-2</v>
      </c>
      <c r="AQ239" s="86">
        <f t="shared" si="67"/>
        <v>0</v>
      </c>
      <c r="AR239" s="86">
        <f t="shared" si="68"/>
        <v>0</v>
      </c>
      <c r="AS239" s="94">
        <f t="shared" si="69"/>
        <v>0</v>
      </c>
      <c r="AT239" s="94">
        <f t="shared" si="70"/>
        <v>0</v>
      </c>
      <c r="AU239" s="94">
        <f t="shared" si="71"/>
        <v>0</v>
      </c>
    </row>
    <row r="240" spans="1:47" x14ac:dyDescent="0.3">
      <c r="A240" s="85" t="str">
        <f>_xlfn.XLOOKUP(B240,'Country codes &amp; Data sources'!G:G,'Country codes &amp; Data sources'!H:H,,0)</f>
        <v>Congo</v>
      </c>
      <c r="B240" s="85" t="s">
        <v>189</v>
      </c>
      <c r="C240" s="86">
        <v>4713278.5</v>
      </c>
      <c r="D240" s="85" t="s">
        <v>126</v>
      </c>
      <c r="E240" s="87">
        <v>0</v>
      </c>
      <c r="F240" s="88">
        <v>4828066.5000000028</v>
      </c>
      <c r="G240" s="87">
        <v>0</v>
      </c>
      <c r="I240" s="87">
        <v>0</v>
      </c>
      <c r="K240" s="87">
        <v>0</v>
      </c>
      <c r="M240" s="87">
        <v>0</v>
      </c>
      <c r="O240" s="87">
        <v>0</v>
      </c>
      <c r="P240" s="88">
        <v>5441061.9999999972</v>
      </c>
      <c r="Q240" s="87">
        <v>0</v>
      </c>
      <c r="R240" s="87">
        <f t="shared" si="54"/>
        <v>0</v>
      </c>
      <c r="T240" s="87">
        <v>0</v>
      </c>
      <c r="V240" s="87">
        <v>0</v>
      </c>
      <c r="X240" s="87">
        <v>0</v>
      </c>
      <c r="Y240" s="88">
        <v>5970424.0000000009</v>
      </c>
      <c r="Z240" s="87">
        <v>0</v>
      </c>
      <c r="AA240" s="87">
        <v>0</v>
      </c>
      <c r="AB240" s="89">
        <f t="shared" si="55"/>
        <v>0</v>
      </c>
      <c r="AC240" s="89">
        <f t="shared" si="56"/>
        <v>0</v>
      </c>
      <c r="AD240" s="89">
        <f t="shared" si="57"/>
        <v>0</v>
      </c>
      <c r="AE240" s="90">
        <f t="shared" si="58"/>
        <v>0</v>
      </c>
      <c r="AF240" s="90" t="str">
        <f t="shared" si="59"/>
        <v/>
      </c>
      <c r="AG240" s="90">
        <f t="shared" si="60"/>
        <v>0</v>
      </c>
      <c r="AH240" s="90" t="str">
        <f t="shared" si="61"/>
        <v/>
      </c>
      <c r="AI240" s="90">
        <f t="shared" si="62"/>
        <v>0</v>
      </c>
      <c r="AJ240" s="90" t="str">
        <f t="shared" si="63"/>
        <v/>
      </c>
      <c r="AK240" s="90" t="str">
        <f t="shared" si="64"/>
        <v/>
      </c>
      <c r="AL240" s="91">
        <f>IF(AK240="Adjust",(_xlfn.XLOOKUP(A240,'Adj factor'!A:A,'Adj factor'!I:I,,0)*AI240),'Master DataSheet'!AI240)</f>
        <v>0</v>
      </c>
      <c r="AM240" s="91">
        <f t="shared" si="65"/>
        <v>0</v>
      </c>
      <c r="AN240" s="92" t="str">
        <f t="shared" si="66"/>
        <v>No change</v>
      </c>
      <c r="AO240" s="93">
        <f>VLOOKUP(B240,'Growthrates source'!A$2:H$49,8,FALSE)</f>
        <v>9.0847270748923847E-3</v>
      </c>
      <c r="AP240" s="93">
        <f>VLOOKUP(B240,'Growthrates source'!A$2:I$49,9,FALSE)</f>
        <v>5.4673730437993617E-2</v>
      </c>
      <c r="AQ240" s="86">
        <f t="shared" si="67"/>
        <v>0</v>
      </c>
      <c r="AR240" s="86">
        <f t="shared" si="68"/>
        <v>0</v>
      </c>
      <c r="AS240" s="94">
        <f t="shared" si="69"/>
        <v>0</v>
      </c>
      <c r="AT240" s="94">
        <f t="shared" si="70"/>
        <v>0</v>
      </c>
      <c r="AU240" s="94">
        <f t="shared" si="71"/>
        <v>0</v>
      </c>
    </row>
    <row r="241" spans="1:47" x14ac:dyDescent="0.3">
      <c r="A241" s="85" t="str">
        <f>_xlfn.XLOOKUP(B241,'Country codes &amp; Data sources'!G:G,'Country codes &amp; Data sources'!H:H,,0)</f>
        <v>Congo</v>
      </c>
      <c r="B241" s="85" t="s">
        <v>189</v>
      </c>
      <c r="C241" s="86">
        <v>4713279.5</v>
      </c>
      <c r="D241" s="85" t="s">
        <v>87</v>
      </c>
      <c r="E241" s="87">
        <v>0</v>
      </c>
      <c r="F241" s="88">
        <v>4828066.5000000028</v>
      </c>
      <c r="G241" s="87">
        <v>0</v>
      </c>
      <c r="I241" s="87">
        <v>0</v>
      </c>
      <c r="K241" s="87">
        <v>0</v>
      </c>
      <c r="M241" s="87">
        <v>0</v>
      </c>
      <c r="O241" s="87">
        <v>0</v>
      </c>
      <c r="P241" s="88">
        <v>5441061.9999999972</v>
      </c>
      <c r="Q241" s="87">
        <v>0</v>
      </c>
      <c r="R241" s="87">
        <f t="shared" si="54"/>
        <v>0</v>
      </c>
      <c r="T241" s="87">
        <v>0</v>
      </c>
      <c r="V241" s="87">
        <v>0</v>
      </c>
      <c r="X241" s="87">
        <v>0</v>
      </c>
      <c r="Y241" s="88">
        <v>5970424.0000000009</v>
      </c>
      <c r="Z241" s="87">
        <v>0</v>
      </c>
      <c r="AA241" s="87">
        <v>0</v>
      </c>
      <c r="AB241" s="89">
        <f t="shared" si="55"/>
        <v>0</v>
      </c>
      <c r="AC241" s="89">
        <f t="shared" si="56"/>
        <v>0</v>
      </c>
      <c r="AD241" s="89">
        <f t="shared" si="57"/>
        <v>0</v>
      </c>
      <c r="AE241" s="90">
        <f t="shared" si="58"/>
        <v>0</v>
      </c>
      <c r="AF241" s="90" t="str">
        <f t="shared" si="59"/>
        <v/>
      </c>
      <c r="AG241" s="90">
        <f t="shared" si="60"/>
        <v>0</v>
      </c>
      <c r="AH241" s="90" t="str">
        <f t="shared" si="61"/>
        <v/>
      </c>
      <c r="AI241" s="90">
        <f t="shared" si="62"/>
        <v>0</v>
      </c>
      <c r="AJ241" s="90" t="str">
        <f t="shared" si="63"/>
        <v/>
      </c>
      <c r="AK241" s="90" t="str">
        <f t="shared" si="64"/>
        <v/>
      </c>
      <c r="AL241" s="91">
        <f>IF(AK241="Adjust",(_xlfn.XLOOKUP(A241,'Adj factor'!A:A,'Adj factor'!I:I,,0)*AI241),'Master DataSheet'!AI241)</f>
        <v>0</v>
      </c>
      <c r="AM241" s="91">
        <f t="shared" si="65"/>
        <v>0</v>
      </c>
      <c r="AN241" s="92" t="str">
        <f t="shared" si="66"/>
        <v>No change</v>
      </c>
      <c r="AO241" s="93">
        <f>VLOOKUP(B241,'Growthrates source'!A$2:H$49,8,FALSE)</f>
        <v>9.0847270748923847E-3</v>
      </c>
      <c r="AP241" s="93">
        <f>VLOOKUP(B241,'Growthrates source'!A$2:I$49,9,FALSE)</f>
        <v>5.4673730437993617E-2</v>
      </c>
      <c r="AQ241" s="86">
        <f t="shared" si="67"/>
        <v>0</v>
      </c>
      <c r="AR241" s="86">
        <f t="shared" si="68"/>
        <v>0</v>
      </c>
      <c r="AS241" s="94">
        <f t="shared" si="69"/>
        <v>0</v>
      </c>
      <c r="AT241" s="94">
        <f t="shared" si="70"/>
        <v>0</v>
      </c>
      <c r="AU241" s="94">
        <f t="shared" si="71"/>
        <v>0</v>
      </c>
    </row>
    <row r="242" spans="1:47" x14ac:dyDescent="0.3">
      <c r="A242" s="85" t="str">
        <f>_xlfn.XLOOKUP(B242,'Country codes &amp; Data sources'!G:G,'Country codes &amp; Data sources'!H:H,,0)</f>
        <v>Comoros</v>
      </c>
      <c r="B242" s="85" t="s">
        <v>196</v>
      </c>
      <c r="C242" s="86">
        <v>684552.49999999988</v>
      </c>
      <c r="D242" s="85" t="s">
        <v>321</v>
      </c>
      <c r="E242" s="87">
        <v>246</v>
      </c>
      <c r="F242" s="88">
        <v>699392.50000000035</v>
      </c>
      <c r="G242" s="87">
        <v>0</v>
      </c>
      <c r="H242" s="87">
        <v>714612.00000000012</v>
      </c>
      <c r="I242" s="87">
        <v>0</v>
      </c>
      <c r="J242" s="87">
        <v>730215.49999999953</v>
      </c>
      <c r="K242" s="87">
        <v>0</v>
      </c>
      <c r="L242" s="87">
        <v>746232.00000000012</v>
      </c>
      <c r="M242" s="87">
        <v>440</v>
      </c>
      <c r="N242" s="87">
        <v>761663.99999999977</v>
      </c>
      <c r="O242" s="87">
        <v>0</v>
      </c>
      <c r="P242" s="88">
        <v>776313.5000000007</v>
      </c>
      <c r="Q242" s="87">
        <v>440</v>
      </c>
      <c r="R242" s="87">
        <f t="shared" si="54"/>
        <v>440</v>
      </c>
      <c r="S242" s="87">
        <v>790986.00000000023</v>
      </c>
      <c r="T242" s="87">
        <v>0</v>
      </c>
      <c r="U242" s="87">
        <v>806166.00000000023</v>
      </c>
      <c r="V242" s="87">
        <v>708</v>
      </c>
      <c r="W242" s="87">
        <v>821625.49999999988</v>
      </c>
      <c r="X242" s="87">
        <v>0</v>
      </c>
      <c r="Y242" s="88">
        <v>836773.49999999977</v>
      </c>
      <c r="Z242" s="87">
        <v>0</v>
      </c>
      <c r="AA242" s="87">
        <v>220</v>
      </c>
      <c r="AB242" s="89">
        <f t="shared" si="55"/>
        <v>246</v>
      </c>
      <c r="AC242" s="89">
        <f t="shared" si="56"/>
        <v>440</v>
      </c>
      <c r="AD242" s="89">
        <f t="shared" si="57"/>
        <v>708</v>
      </c>
      <c r="AE242" s="90">
        <f t="shared" si="58"/>
        <v>246</v>
      </c>
      <c r="AF242" s="90">
        <f t="shared" si="59"/>
        <v>2012</v>
      </c>
      <c r="AG242" s="90">
        <f t="shared" si="60"/>
        <v>440</v>
      </c>
      <c r="AH242" s="90">
        <f t="shared" si="61"/>
        <v>2016</v>
      </c>
      <c r="AI242" s="90">
        <f t="shared" si="62"/>
        <v>708</v>
      </c>
      <c r="AJ242" s="90">
        <f t="shared" si="63"/>
        <v>2020</v>
      </c>
      <c r="AK242" s="90" t="str">
        <f t="shared" si="64"/>
        <v/>
      </c>
      <c r="AL242" s="91">
        <f>IF(AK242="Adjust",(_xlfn.XLOOKUP(A242,'Adj factor'!A:A,'Adj factor'!I:I,,0)*AI242),'Master DataSheet'!AI242)</f>
        <v>708</v>
      </c>
      <c r="AM242" s="91">
        <f t="shared" si="65"/>
        <v>708</v>
      </c>
      <c r="AN242" s="92" t="str">
        <f t="shared" si="66"/>
        <v>Increasing</v>
      </c>
      <c r="AO242" s="93">
        <f>VLOOKUP(B242,'Growthrates source'!A$2:H$49,8,FALSE)</f>
        <v>0.22761760688079957</v>
      </c>
      <c r="AP242" s="93">
        <f>VLOOKUP(B242,'Growthrates source'!A$2:I$49,9,FALSE)</f>
        <v>5.4673730437993617E-2</v>
      </c>
      <c r="AQ242" s="86">
        <f t="shared" si="67"/>
        <v>70.494839739037275</v>
      </c>
      <c r="AR242" s="86">
        <f t="shared" si="68"/>
        <v>259.21264231868793</v>
      </c>
      <c r="AS242" s="94">
        <f t="shared" si="69"/>
        <v>3.5173382614197304</v>
      </c>
      <c r="AT242" s="94">
        <f t="shared" si="70"/>
        <v>5.6678133254155645</v>
      </c>
      <c r="AU242" s="94">
        <f t="shared" si="71"/>
        <v>8.4610710066702666</v>
      </c>
    </row>
    <row r="243" spans="1:47" x14ac:dyDescent="0.3">
      <c r="A243" s="85" t="str">
        <f>_xlfn.XLOOKUP(B243,'Country codes &amp; Data sources'!G:G,'Country codes &amp; Data sources'!H:H,,0)</f>
        <v>Comoros</v>
      </c>
      <c r="B243" s="85" t="s">
        <v>196</v>
      </c>
      <c r="C243" s="86">
        <v>684553.5</v>
      </c>
      <c r="D243" s="85" t="s">
        <v>322</v>
      </c>
      <c r="E243" s="87">
        <v>0</v>
      </c>
      <c r="F243" s="88">
        <v>699392.50000000035</v>
      </c>
      <c r="G243" s="87">
        <v>0</v>
      </c>
      <c r="I243" s="87">
        <v>0</v>
      </c>
      <c r="K243" s="87">
        <v>0</v>
      </c>
      <c r="M243" s="87">
        <v>0</v>
      </c>
      <c r="O243" s="87">
        <v>0</v>
      </c>
      <c r="P243" s="88">
        <v>776313.5000000007</v>
      </c>
      <c r="Q243" s="87">
        <v>1358</v>
      </c>
      <c r="R243" s="87">
        <f t="shared" si="54"/>
        <v>1358</v>
      </c>
      <c r="T243" s="87">
        <v>0</v>
      </c>
      <c r="V243" s="87">
        <v>1366</v>
      </c>
      <c r="X243" s="87">
        <v>0</v>
      </c>
      <c r="Y243" s="88">
        <v>836773.49999999977</v>
      </c>
      <c r="Z243" s="87">
        <v>0</v>
      </c>
      <c r="AA243" s="87">
        <v>747</v>
      </c>
      <c r="AB243" s="89">
        <f t="shared" si="55"/>
        <v>0</v>
      </c>
      <c r="AC243" s="89">
        <f t="shared" si="56"/>
        <v>1358</v>
      </c>
      <c r="AD243" s="89">
        <f t="shared" si="57"/>
        <v>1366</v>
      </c>
      <c r="AE243" s="90">
        <f t="shared" si="58"/>
        <v>0</v>
      </c>
      <c r="AF243" s="90" t="str">
        <f t="shared" si="59"/>
        <v/>
      </c>
      <c r="AG243" s="90">
        <f t="shared" si="60"/>
        <v>1358</v>
      </c>
      <c r="AH243" s="90">
        <f t="shared" si="61"/>
        <v>2018</v>
      </c>
      <c r="AI243" s="90">
        <f t="shared" si="62"/>
        <v>1366</v>
      </c>
      <c r="AJ243" s="90">
        <f t="shared" si="63"/>
        <v>2020</v>
      </c>
      <c r="AK243" s="90" t="str">
        <f t="shared" si="64"/>
        <v/>
      </c>
      <c r="AL243" s="91">
        <f>IF(AK243="Adjust",(_xlfn.XLOOKUP(A243,'Adj factor'!A:A,'Adj factor'!I:I,,0)*AI243),'Master DataSheet'!AI243)</f>
        <v>1366</v>
      </c>
      <c r="AM243" s="91">
        <f t="shared" si="65"/>
        <v>1366</v>
      </c>
      <c r="AN243" s="92" t="str">
        <f t="shared" si="66"/>
        <v>Increasing</v>
      </c>
      <c r="AO243" s="93">
        <f>VLOOKUP(B243,'Growthrates source'!A$2:H$49,8,FALSE)</f>
        <v>0.22761760688079957</v>
      </c>
      <c r="AP243" s="93">
        <f>VLOOKUP(B243,'Growthrates source'!A$2:I$49,9,FALSE)</f>
        <v>5.4673730437993617E-2</v>
      </c>
      <c r="AQ243" s="86">
        <f t="shared" si="67"/>
        <v>239.36202402300387</v>
      </c>
      <c r="AR243" s="86">
        <f t="shared" si="68"/>
        <v>880.14474460027225</v>
      </c>
      <c r="AS243" s="94">
        <f t="shared" si="69"/>
        <v>0</v>
      </c>
      <c r="AT243" s="94">
        <f t="shared" si="70"/>
        <v>17.492932945259856</v>
      </c>
      <c r="AU243" s="94">
        <f t="shared" si="71"/>
        <v>16.324608750157605</v>
      </c>
    </row>
    <row r="244" spans="1:47" x14ac:dyDescent="0.3">
      <c r="A244" s="85" t="str">
        <f>_xlfn.XLOOKUP(B244,'Country codes &amp; Data sources'!G:G,'Country codes &amp; Data sources'!H:H,,0)</f>
        <v>Comoros</v>
      </c>
      <c r="B244" s="85" t="s">
        <v>196</v>
      </c>
      <c r="C244" s="86">
        <v>684554.5</v>
      </c>
      <c r="D244" s="85" t="s">
        <v>323</v>
      </c>
      <c r="E244" s="87">
        <v>1334</v>
      </c>
      <c r="F244" s="88">
        <v>699392.50000000035</v>
      </c>
      <c r="G244" s="87">
        <v>590</v>
      </c>
      <c r="I244" s="87">
        <v>0</v>
      </c>
      <c r="K244" s="87">
        <v>0</v>
      </c>
      <c r="M244" s="87">
        <v>1000</v>
      </c>
      <c r="O244" s="87">
        <v>0</v>
      </c>
      <c r="P244" s="88">
        <v>776313.5000000007</v>
      </c>
      <c r="Q244" s="87">
        <v>968</v>
      </c>
      <c r="R244" s="87">
        <f t="shared" si="54"/>
        <v>968</v>
      </c>
      <c r="T244" s="87">
        <v>0</v>
      </c>
      <c r="V244" s="87">
        <v>1172</v>
      </c>
      <c r="X244" s="87">
        <v>0</v>
      </c>
      <c r="Y244" s="88">
        <v>836773.49999999977</v>
      </c>
      <c r="Z244" s="87">
        <v>0</v>
      </c>
      <c r="AA244" s="87">
        <v>487</v>
      </c>
      <c r="AB244" s="89">
        <f t="shared" si="55"/>
        <v>1334</v>
      </c>
      <c r="AC244" s="89">
        <f t="shared" si="56"/>
        <v>1000</v>
      </c>
      <c r="AD244" s="89">
        <f t="shared" si="57"/>
        <v>1172</v>
      </c>
      <c r="AE244" s="90">
        <f t="shared" si="58"/>
        <v>590</v>
      </c>
      <c r="AF244" s="90">
        <f t="shared" si="59"/>
        <v>2013</v>
      </c>
      <c r="AG244" s="90">
        <f t="shared" si="60"/>
        <v>968</v>
      </c>
      <c r="AH244" s="90">
        <f t="shared" si="61"/>
        <v>2018</v>
      </c>
      <c r="AI244" s="90">
        <f t="shared" si="62"/>
        <v>1172</v>
      </c>
      <c r="AJ244" s="90">
        <f t="shared" si="63"/>
        <v>2020</v>
      </c>
      <c r="AK244" s="90" t="str">
        <f t="shared" si="64"/>
        <v/>
      </c>
      <c r="AL244" s="91">
        <f>IF(AK244="Adjust",(_xlfn.XLOOKUP(A244,'Adj factor'!A:A,'Adj factor'!I:I,,0)*AI244),'Master DataSheet'!AI244)</f>
        <v>1172</v>
      </c>
      <c r="AM244" s="91">
        <f t="shared" si="65"/>
        <v>1172</v>
      </c>
      <c r="AN244" s="92" t="str">
        <f t="shared" si="66"/>
        <v>Increasing</v>
      </c>
      <c r="AO244" s="93">
        <f>VLOOKUP(B244,'Growthrates source'!A$2:H$49,8,FALSE)</f>
        <v>0.22761760688079957</v>
      </c>
      <c r="AP244" s="93">
        <f>VLOOKUP(B244,'Growthrates source'!A$2:I$49,9,FALSE)</f>
        <v>5.4673730437993617E-2</v>
      </c>
      <c r="AQ244" s="86">
        <f t="shared" si="67"/>
        <v>156.04994069505071</v>
      </c>
      <c r="AR244" s="86">
        <f t="shared" si="68"/>
        <v>573.80253095091382</v>
      </c>
      <c r="AS244" s="94">
        <f t="shared" si="69"/>
        <v>8.4358925782017931</v>
      </c>
      <c r="AT244" s="94">
        <f t="shared" si="70"/>
        <v>12.469189315914242</v>
      </c>
      <c r="AU244" s="94">
        <f t="shared" si="71"/>
        <v>14.006179689007842</v>
      </c>
    </row>
    <row r="245" spans="1:47" x14ac:dyDescent="0.3">
      <c r="A245" s="85" t="str">
        <f>_xlfn.XLOOKUP(B245,'Country codes &amp; Data sources'!G:G,'Country codes &amp; Data sources'!H:H,,0)</f>
        <v>Comoros</v>
      </c>
      <c r="B245" s="85" t="s">
        <v>196</v>
      </c>
      <c r="C245" s="86">
        <v>684555.5</v>
      </c>
      <c r="D245" s="85" t="s">
        <v>324</v>
      </c>
      <c r="E245" s="87">
        <v>0</v>
      </c>
      <c r="F245" s="88">
        <v>699392.50000000035</v>
      </c>
      <c r="G245" s="87">
        <v>6</v>
      </c>
      <c r="I245" s="87">
        <v>0</v>
      </c>
      <c r="K245" s="87">
        <v>0</v>
      </c>
      <c r="M245" s="87">
        <v>432</v>
      </c>
      <c r="O245" s="87">
        <v>1462</v>
      </c>
      <c r="P245" s="88">
        <v>776313.5000000007</v>
      </c>
      <c r="Q245" s="87">
        <v>0</v>
      </c>
      <c r="R245" s="87">
        <f t="shared" si="54"/>
        <v>55</v>
      </c>
      <c r="T245" s="87">
        <v>0</v>
      </c>
      <c r="V245" s="87">
        <v>0</v>
      </c>
      <c r="X245" s="87">
        <v>4</v>
      </c>
      <c r="Y245" s="88">
        <v>836773.49999999977</v>
      </c>
      <c r="Z245" s="87">
        <v>0</v>
      </c>
      <c r="AA245" s="87">
        <v>55</v>
      </c>
      <c r="AB245" s="89">
        <f t="shared" si="55"/>
        <v>6</v>
      </c>
      <c r="AC245" s="89">
        <f t="shared" si="56"/>
        <v>1462</v>
      </c>
      <c r="AD245" s="89">
        <f t="shared" si="57"/>
        <v>4</v>
      </c>
      <c r="AE245" s="90">
        <f t="shared" si="58"/>
        <v>6</v>
      </c>
      <c r="AF245" s="90">
        <f t="shared" si="59"/>
        <v>2013</v>
      </c>
      <c r="AG245" s="90">
        <f t="shared" si="60"/>
        <v>55</v>
      </c>
      <c r="AH245" s="90" t="str">
        <f t="shared" si="61"/>
        <v>2018 (triag)</v>
      </c>
      <c r="AI245" s="90">
        <f t="shared" si="62"/>
        <v>4</v>
      </c>
      <c r="AJ245" s="90">
        <f t="shared" si="63"/>
        <v>2021</v>
      </c>
      <c r="AK245" s="90" t="str">
        <f t="shared" si="64"/>
        <v>Adjust</v>
      </c>
      <c r="AL245" s="91">
        <f>IF(AK245="Adjust",(_xlfn.XLOOKUP(A245,'Adj factor'!A:A,'Adj factor'!I:I,,0)*AI245),'Master DataSheet'!AI245)</f>
        <v>4.5971945772816607</v>
      </c>
      <c r="AM245" s="91">
        <f t="shared" si="65"/>
        <v>55</v>
      </c>
      <c r="AN245" s="92" t="str">
        <f t="shared" si="66"/>
        <v>Decreasing</v>
      </c>
      <c r="AO245" s="93">
        <f>VLOOKUP(B245,'Growthrates source'!A$2:H$49,8,FALSE)</f>
        <v>0.22761760688079957</v>
      </c>
      <c r="AP245" s="93">
        <f>VLOOKUP(B245,'Growthrates source'!A$2:I$49,9,FALSE)</f>
        <v>5.4673730437993617E-2</v>
      </c>
      <c r="AQ245" s="86">
        <f t="shared" si="67"/>
        <v>17.623709934759319</v>
      </c>
      <c r="AR245" s="86">
        <f t="shared" si="68"/>
        <v>64.803160579671982</v>
      </c>
      <c r="AS245" s="94">
        <f t="shared" si="69"/>
        <v>8.5788738083408062E-2</v>
      </c>
      <c r="AT245" s="94">
        <f t="shared" si="70"/>
        <v>0.70847666567694556</v>
      </c>
      <c r="AU245" s="94">
        <f t="shared" si="71"/>
        <v>0.65728658950122121</v>
      </c>
    </row>
    <row r="246" spans="1:47" x14ac:dyDescent="0.3">
      <c r="A246" s="85" t="str">
        <f>_xlfn.XLOOKUP(B246,'Country codes &amp; Data sources'!G:G,'Country codes &amp; Data sources'!H:H,,0)</f>
        <v>Comoros</v>
      </c>
      <c r="B246" s="85" t="s">
        <v>196</v>
      </c>
      <c r="C246" s="86">
        <v>684556.5</v>
      </c>
      <c r="D246" s="85" t="s">
        <v>325</v>
      </c>
      <c r="E246" s="87">
        <v>0</v>
      </c>
      <c r="F246" s="88">
        <v>699392.50000000035</v>
      </c>
      <c r="G246" s="87">
        <v>181</v>
      </c>
      <c r="I246" s="87">
        <v>0</v>
      </c>
      <c r="K246" s="87">
        <v>0</v>
      </c>
      <c r="M246" s="87">
        <v>301</v>
      </c>
      <c r="O246" s="87">
        <v>374</v>
      </c>
      <c r="P246" s="88">
        <v>776313.5000000007</v>
      </c>
      <c r="Q246" s="87">
        <v>0</v>
      </c>
      <c r="R246" s="87">
        <f t="shared" si="54"/>
        <v>32</v>
      </c>
      <c r="T246" s="87">
        <v>0</v>
      </c>
      <c r="V246" s="87">
        <v>0</v>
      </c>
      <c r="X246" s="87">
        <v>14</v>
      </c>
      <c r="Y246" s="88">
        <v>836773.49999999977</v>
      </c>
      <c r="Z246" s="87">
        <v>0</v>
      </c>
      <c r="AA246" s="87">
        <v>32</v>
      </c>
      <c r="AB246" s="89">
        <f t="shared" si="55"/>
        <v>181</v>
      </c>
      <c r="AC246" s="89">
        <f t="shared" si="56"/>
        <v>374</v>
      </c>
      <c r="AD246" s="89">
        <f t="shared" si="57"/>
        <v>14</v>
      </c>
      <c r="AE246" s="90">
        <f t="shared" si="58"/>
        <v>181</v>
      </c>
      <c r="AF246" s="90">
        <f t="shared" si="59"/>
        <v>2013</v>
      </c>
      <c r="AG246" s="90">
        <f t="shared" si="60"/>
        <v>32</v>
      </c>
      <c r="AH246" s="90" t="str">
        <f t="shared" si="61"/>
        <v>2018 (triag)</v>
      </c>
      <c r="AI246" s="90">
        <f t="shared" si="62"/>
        <v>14</v>
      </c>
      <c r="AJ246" s="90">
        <f t="shared" si="63"/>
        <v>2021</v>
      </c>
      <c r="AK246" s="90" t="str">
        <f t="shared" si="64"/>
        <v>Adjust</v>
      </c>
      <c r="AL246" s="91">
        <f>IF(AK246="Adjust",(_xlfn.XLOOKUP(A246,'Adj factor'!A:A,'Adj factor'!I:I,,0)*AI246),'Master DataSheet'!AI246)</f>
        <v>16.090181020485812</v>
      </c>
      <c r="AM246" s="91">
        <f t="shared" si="65"/>
        <v>32</v>
      </c>
      <c r="AN246" s="92" t="str">
        <f t="shared" si="66"/>
        <v>Decreasing</v>
      </c>
      <c r="AO246" s="93">
        <f>VLOOKUP(B246,'Growthrates source'!A$2:H$49,8,FALSE)</f>
        <v>0.22761760688079957</v>
      </c>
      <c r="AP246" s="93">
        <f>VLOOKUP(B246,'Growthrates source'!A$2:I$49,9,FALSE)</f>
        <v>5.4673730437993617E-2</v>
      </c>
      <c r="AQ246" s="86">
        <f t="shared" si="67"/>
        <v>10.253794871132696</v>
      </c>
      <c r="AR246" s="86">
        <f t="shared" si="68"/>
        <v>37.703657064536429</v>
      </c>
      <c r="AS246" s="94">
        <f t="shared" si="69"/>
        <v>2.5879602655161431</v>
      </c>
      <c r="AT246" s="94">
        <f t="shared" si="70"/>
        <v>0.41220460548476834</v>
      </c>
      <c r="AU246" s="94">
        <f t="shared" si="71"/>
        <v>0.38242128843707418</v>
      </c>
    </row>
    <row r="247" spans="1:47" x14ac:dyDescent="0.3">
      <c r="A247" s="85" t="str">
        <f>_xlfn.XLOOKUP(B247,'Country codes &amp; Data sources'!G:G,'Country codes &amp; Data sources'!H:H,,0)</f>
        <v>Comoros</v>
      </c>
      <c r="B247" s="85" t="s">
        <v>196</v>
      </c>
      <c r="C247" s="86">
        <v>684557.5</v>
      </c>
      <c r="D247" s="85" t="s">
        <v>127</v>
      </c>
      <c r="E247" s="87">
        <v>0</v>
      </c>
      <c r="F247" s="88">
        <v>699392.50000000035</v>
      </c>
      <c r="G247" s="87">
        <v>0</v>
      </c>
      <c r="I247" s="87">
        <v>0</v>
      </c>
      <c r="K247" s="87">
        <v>0</v>
      </c>
      <c r="M247" s="87">
        <v>0</v>
      </c>
      <c r="O247" s="87">
        <v>0</v>
      </c>
      <c r="P247" s="88">
        <v>776313.5000000007</v>
      </c>
      <c r="Q247" s="87">
        <v>0</v>
      </c>
      <c r="R247" s="87">
        <f t="shared" si="54"/>
        <v>0</v>
      </c>
      <c r="T247" s="87">
        <v>0</v>
      </c>
      <c r="V247" s="87">
        <v>0</v>
      </c>
      <c r="X247" s="87">
        <v>0</v>
      </c>
      <c r="Y247" s="88">
        <v>836773.49999999977</v>
      </c>
      <c r="Z247" s="87">
        <v>0</v>
      </c>
      <c r="AA247" s="87">
        <v>0</v>
      </c>
      <c r="AB247" s="89">
        <f t="shared" si="55"/>
        <v>0</v>
      </c>
      <c r="AC247" s="89">
        <f t="shared" si="56"/>
        <v>0</v>
      </c>
      <c r="AD247" s="89">
        <f t="shared" si="57"/>
        <v>0</v>
      </c>
      <c r="AE247" s="90">
        <f t="shared" si="58"/>
        <v>0</v>
      </c>
      <c r="AF247" s="90" t="str">
        <f t="shared" si="59"/>
        <v/>
      </c>
      <c r="AG247" s="90">
        <f t="shared" si="60"/>
        <v>0</v>
      </c>
      <c r="AH247" s="90" t="str">
        <f t="shared" si="61"/>
        <v/>
      </c>
      <c r="AI247" s="90">
        <f t="shared" si="62"/>
        <v>0</v>
      </c>
      <c r="AJ247" s="90" t="str">
        <f t="shared" si="63"/>
        <v/>
      </c>
      <c r="AK247" s="90" t="str">
        <f t="shared" si="64"/>
        <v/>
      </c>
      <c r="AL247" s="91">
        <f>IF(AK247="Adjust",(_xlfn.XLOOKUP(A247,'Adj factor'!A:A,'Adj factor'!I:I,,0)*AI247),'Master DataSheet'!AI247)</f>
        <v>0</v>
      </c>
      <c r="AM247" s="91">
        <f t="shared" si="65"/>
        <v>0</v>
      </c>
      <c r="AN247" s="92" t="str">
        <f t="shared" si="66"/>
        <v>No change</v>
      </c>
      <c r="AO247" s="93">
        <f>VLOOKUP(B247,'Growthrates source'!A$2:H$49,8,FALSE)</f>
        <v>0.22761760688079957</v>
      </c>
      <c r="AP247" s="93">
        <f>VLOOKUP(B247,'Growthrates source'!A$2:I$49,9,FALSE)</f>
        <v>5.4673730437993617E-2</v>
      </c>
      <c r="AQ247" s="86">
        <f t="shared" si="67"/>
        <v>0</v>
      </c>
      <c r="AR247" s="86">
        <f t="shared" si="68"/>
        <v>0</v>
      </c>
      <c r="AS247" s="94">
        <f t="shared" si="69"/>
        <v>0</v>
      </c>
      <c r="AT247" s="94">
        <f t="shared" si="70"/>
        <v>0</v>
      </c>
      <c r="AU247" s="94">
        <f t="shared" si="71"/>
        <v>0</v>
      </c>
    </row>
    <row r="248" spans="1:47" x14ac:dyDescent="0.3">
      <c r="A248" s="85" t="str">
        <f>_xlfn.XLOOKUP(B248,'Country codes &amp; Data sources'!G:G,'Country codes &amp; Data sources'!H:H,,0)</f>
        <v>Comoros</v>
      </c>
      <c r="B248" s="85" t="s">
        <v>196</v>
      </c>
      <c r="C248" s="86">
        <v>684558.5</v>
      </c>
      <c r="D248" s="85" t="s">
        <v>61</v>
      </c>
      <c r="E248" s="87">
        <v>0</v>
      </c>
      <c r="F248" s="88">
        <v>699392.50000000035</v>
      </c>
      <c r="G248" s="87">
        <v>0</v>
      </c>
      <c r="I248" s="87">
        <v>0</v>
      </c>
      <c r="K248" s="87">
        <v>0</v>
      </c>
      <c r="M248" s="87">
        <v>0</v>
      </c>
      <c r="O248" s="87">
        <v>0</v>
      </c>
      <c r="P248" s="88">
        <v>776313.5000000007</v>
      </c>
      <c r="Q248" s="87">
        <v>0</v>
      </c>
      <c r="R248" s="87">
        <f t="shared" si="54"/>
        <v>0</v>
      </c>
      <c r="T248" s="87">
        <v>0</v>
      </c>
      <c r="V248" s="87">
        <v>0</v>
      </c>
      <c r="X248" s="87">
        <v>0</v>
      </c>
      <c r="Y248" s="88">
        <v>836773.49999999977</v>
      </c>
      <c r="Z248" s="87">
        <v>0</v>
      </c>
      <c r="AA248" s="87">
        <v>0</v>
      </c>
      <c r="AB248" s="89">
        <f t="shared" si="55"/>
        <v>0</v>
      </c>
      <c r="AC248" s="89">
        <f t="shared" si="56"/>
        <v>0</v>
      </c>
      <c r="AD248" s="89">
        <f t="shared" si="57"/>
        <v>0</v>
      </c>
      <c r="AE248" s="90">
        <f t="shared" si="58"/>
        <v>0</v>
      </c>
      <c r="AF248" s="90" t="str">
        <f t="shared" si="59"/>
        <v/>
      </c>
      <c r="AG248" s="90">
        <f t="shared" si="60"/>
        <v>0</v>
      </c>
      <c r="AH248" s="90" t="str">
        <f t="shared" si="61"/>
        <v/>
      </c>
      <c r="AI248" s="90">
        <f t="shared" si="62"/>
        <v>0</v>
      </c>
      <c r="AJ248" s="90" t="str">
        <f t="shared" si="63"/>
        <v/>
      </c>
      <c r="AK248" s="90" t="str">
        <f t="shared" si="64"/>
        <v/>
      </c>
      <c r="AL248" s="91">
        <f>IF(AK248="Adjust",(_xlfn.XLOOKUP(A248,'Adj factor'!A:A,'Adj factor'!I:I,,0)*AI248),'Master DataSheet'!AI248)</f>
        <v>0</v>
      </c>
      <c r="AM248" s="91">
        <f t="shared" si="65"/>
        <v>0</v>
      </c>
      <c r="AN248" s="92" t="str">
        <f t="shared" si="66"/>
        <v>No change</v>
      </c>
      <c r="AO248" s="93">
        <f>VLOOKUP(B248,'Growthrates source'!A$2:H$49,8,FALSE)</f>
        <v>0.22761760688079957</v>
      </c>
      <c r="AP248" s="93">
        <f>VLOOKUP(B248,'Growthrates source'!A$2:I$49,9,FALSE)</f>
        <v>5.4673730437993617E-2</v>
      </c>
      <c r="AQ248" s="86">
        <f t="shared" si="67"/>
        <v>0</v>
      </c>
      <c r="AR248" s="86">
        <f t="shared" si="68"/>
        <v>0</v>
      </c>
      <c r="AS248" s="94">
        <f t="shared" si="69"/>
        <v>0</v>
      </c>
      <c r="AT248" s="94">
        <f t="shared" si="70"/>
        <v>0</v>
      </c>
      <c r="AU248" s="94">
        <f t="shared" si="71"/>
        <v>0</v>
      </c>
    </row>
    <row r="249" spans="1:47" s="95" customFormat="1" x14ac:dyDescent="0.3">
      <c r="A249" s="95" t="str">
        <f>_xlfn.XLOOKUP(B249,'Country codes &amp; Data sources'!G:G,'Country codes &amp; Data sources'!H:H,,0)</f>
        <v>Comoros</v>
      </c>
      <c r="B249" s="95" t="s">
        <v>196</v>
      </c>
      <c r="C249" s="60">
        <v>684559.5</v>
      </c>
      <c r="D249" s="95" t="s">
        <v>62</v>
      </c>
      <c r="E249" s="96">
        <v>0</v>
      </c>
      <c r="F249" s="97">
        <v>699392.50000000035</v>
      </c>
      <c r="G249" s="96">
        <v>755</v>
      </c>
      <c r="H249" s="96"/>
      <c r="I249" s="96">
        <v>0</v>
      </c>
      <c r="J249" s="96"/>
      <c r="K249" s="96">
        <v>0</v>
      </c>
      <c r="L249" s="96"/>
      <c r="M249" s="96">
        <v>0</v>
      </c>
      <c r="N249" s="96"/>
      <c r="O249" s="96">
        <v>0</v>
      </c>
      <c r="P249" s="97">
        <v>776313.5000000007</v>
      </c>
      <c r="Q249" s="96">
        <v>0</v>
      </c>
      <c r="R249" s="96">
        <f t="shared" si="54"/>
        <v>389</v>
      </c>
      <c r="S249" s="96"/>
      <c r="T249" s="96">
        <v>0</v>
      </c>
      <c r="U249" s="96"/>
      <c r="V249" s="96">
        <v>0</v>
      </c>
      <c r="W249" s="96"/>
      <c r="X249" s="96">
        <v>0</v>
      </c>
      <c r="Y249" s="97">
        <v>836773.49999999977</v>
      </c>
      <c r="Z249" s="96">
        <v>0</v>
      </c>
      <c r="AA249" s="96">
        <v>389</v>
      </c>
      <c r="AB249" s="98">
        <f t="shared" si="55"/>
        <v>755</v>
      </c>
      <c r="AC249" s="98">
        <f t="shared" si="56"/>
        <v>0</v>
      </c>
      <c r="AD249" s="98">
        <f t="shared" si="57"/>
        <v>0</v>
      </c>
      <c r="AE249" s="99">
        <f t="shared" si="58"/>
        <v>755</v>
      </c>
      <c r="AF249" s="99">
        <f t="shared" si="59"/>
        <v>2013</v>
      </c>
      <c r="AG249" s="99">
        <f t="shared" si="60"/>
        <v>389</v>
      </c>
      <c r="AH249" s="99" t="str">
        <f t="shared" si="61"/>
        <v>2018 (triag)</v>
      </c>
      <c r="AI249" s="99">
        <f t="shared" si="62"/>
        <v>389</v>
      </c>
      <c r="AJ249" s="99" t="str">
        <f t="shared" si="63"/>
        <v>2018 (triag)</v>
      </c>
      <c r="AK249" s="99" t="str">
        <f t="shared" si="64"/>
        <v/>
      </c>
      <c r="AL249" s="61">
        <f>IF(AK249="Adjust",(_xlfn.XLOOKUP(A249,'Adj factor'!A:A,'Adj factor'!I:I,,0)*AI249),'Master DataSheet'!AI249)</f>
        <v>389</v>
      </c>
      <c r="AM249" s="61">
        <f t="shared" si="65"/>
        <v>389</v>
      </c>
      <c r="AN249" s="62" t="str">
        <f t="shared" si="66"/>
        <v>No change</v>
      </c>
      <c r="AO249" s="100">
        <f>VLOOKUP(B249,'Growthrates source'!A$2:H$49,8,FALSE)</f>
        <v>0.22761760688079957</v>
      </c>
      <c r="AP249" s="100">
        <f>VLOOKUP(B249,'Growthrates source'!A$2:I$49,9,FALSE)</f>
        <v>5.4673730437993617E-2</v>
      </c>
      <c r="AQ249" s="60">
        <f t="shared" si="67"/>
        <v>124.64769390220683</v>
      </c>
      <c r="AR249" s="60">
        <f t="shared" si="68"/>
        <v>458.33508119077095</v>
      </c>
      <c r="AS249" s="101">
        <f t="shared" si="69"/>
        <v>10.795082875495513</v>
      </c>
      <c r="AT249" s="102">
        <f t="shared" si="70"/>
        <v>5.0108622354242156</v>
      </c>
      <c r="AU249" s="102">
        <f t="shared" si="71"/>
        <v>4.6488087875631834</v>
      </c>
    </row>
    <row r="250" spans="1:47" x14ac:dyDescent="0.3">
      <c r="A250" s="85" t="str">
        <f>_xlfn.XLOOKUP(B250,'Country codes &amp; Data sources'!G:G,'Country codes &amp; Data sources'!H:H,,0)</f>
        <v>Comoros</v>
      </c>
      <c r="B250" s="85" t="s">
        <v>196</v>
      </c>
      <c r="C250" s="86">
        <v>684560.5</v>
      </c>
      <c r="D250" s="85" t="s">
        <v>203</v>
      </c>
      <c r="E250" s="87">
        <v>0</v>
      </c>
      <c r="F250" s="88">
        <v>699392.50000000035</v>
      </c>
      <c r="G250" s="87">
        <v>0</v>
      </c>
      <c r="I250" s="87">
        <v>0</v>
      </c>
      <c r="K250" s="87">
        <v>0</v>
      </c>
      <c r="M250" s="87">
        <v>0</v>
      </c>
      <c r="O250" s="87">
        <v>0</v>
      </c>
      <c r="P250" s="88">
        <v>776313.5000000007</v>
      </c>
      <c r="Q250" s="87">
        <v>0</v>
      </c>
      <c r="R250" s="87">
        <f t="shared" si="54"/>
        <v>0</v>
      </c>
      <c r="T250" s="87">
        <v>0</v>
      </c>
      <c r="V250" s="87">
        <v>0</v>
      </c>
      <c r="X250" s="87">
        <v>0</v>
      </c>
      <c r="Y250" s="88">
        <v>836773.49999999977</v>
      </c>
      <c r="Z250" s="87">
        <v>0</v>
      </c>
      <c r="AA250" s="87">
        <v>0</v>
      </c>
      <c r="AB250" s="89">
        <f t="shared" si="55"/>
        <v>0</v>
      </c>
      <c r="AC250" s="89">
        <f t="shared" si="56"/>
        <v>0</v>
      </c>
      <c r="AD250" s="89">
        <f t="shared" si="57"/>
        <v>0</v>
      </c>
      <c r="AE250" s="90">
        <f t="shared" si="58"/>
        <v>0</v>
      </c>
      <c r="AF250" s="90" t="str">
        <f t="shared" si="59"/>
        <v/>
      </c>
      <c r="AG250" s="90">
        <f t="shared" si="60"/>
        <v>0</v>
      </c>
      <c r="AH250" s="90" t="str">
        <f t="shared" si="61"/>
        <v/>
      </c>
      <c r="AI250" s="90">
        <f t="shared" si="62"/>
        <v>0</v>
      </c>
      <c r="AJ250" s="90" t="str">
        <f t="shared" si="63"/>
        <v/>
      </c>
      <c r="AK250" s="90" t="str">
        <f t="shared" si="64"/>
        <v/>
      </c>
      <c r="AL250" s="91">
        <f>IF(AK250="Adjust",(_xlfn.XLOOKUP(A250,'Adj factor'!A:A,'Adj factor'!I:I,,0)*AI250),'Master DataSheet'!AI250)</f>
        <v>0</v>
      </c>
      <c r="AM250" s="91">
        <f t="shared" si="65"/>
        <v>0</v>
      </c>
      <c r="AN250" s="92" t="str">
        <f t="shared" si="66"/>
        <v>No change</v>
      </c>
      <c r="AO250" s="93">
        <f>VLOOKUP(B250,'Growthrates source'!A$2:H$49,8,FALSE)</f>
        <v>0.22761760688079957</v>
      </c>
      <c r="AP250" s="93">
        <f>VLOOKUP(B250,'Growthrates source'!A$2:I$49,9,FALSE)</f>
        <v>5.4673730437993617E-2</v>
      </c>
      <c r="AQ250" s="86">
        <f t="shared" si="67"/>
        <v>0</v>
      </c>
      <c r="AR250" s="86">
        <f t="shared" si="68"/>
        <v>0</v>
      </c>
      <c r="AS250" s="94">
        <f t="shared" si="69"/>
        <v>0</v>
      </c>
      <c r="AT250" s="94">
        <f t="shared" si="70"/>
        <v>0</v>
      </c>
      <c r="AU250" s="94">
        <f t="shared" si="71"/>
        <v>0</v>
      </c>
    </row>
    <row r="251" spans="1:47" x14ac:dyDescent="0.3">
      <c r="A251" s="85" t="str">
        <f>_xlfn.XLOOKUP(B251,'Country codes &amp; Data sources'!G:G,'Country codes &amp; Data sources'!H:H,,0)</f>
        <v>Comoros</v>
      </c>
      <c r="B251" s="85" t="s">
        <v>196</v>
      </c>
      <c r="C251" s="86">
        <v>684561.5</v>
      </c>
      <c r="D251" s="85" t="s">
        <v>204</v>
      </c>
      <c r="E251" s="87">
        <v>0</v>
      </c>
      <c r="F251" s="88">
        <v>699392.50000000035</v>
      </c>
      <c r="G251" s="87">
        <v>0</v>
      </c>
      <c r="I251" s="87">
        <v>0</v>
      </c>
      <c r="K251" s="87">
        <v>0</v>
      </c>
      <c r="M251" s="87">
        <v>0</v>
      </c>
      <c r="O251" s="87">
        <v>0</v>
      </c>
      <c r="P251" s="88">
        <v>776313.5000000007</v>
      </c>
      <c r="Q251" s="87">
        <v>0</v>
      </c>
      <c r="R251" s="87">
        <f t="shared" si="54"/>
        <v>0</v>
      </c>
      <c r="T251" s="87">
        <v>0</v>
      </c>
      <c r="V251" s="87">
        <v>0</v>
      </c>
      <c r="X251" s="87">
        <v>0</v>
      </c>
      <c r="Y251" s="88">
        <v>836773.49999999977</v>
      </c>
      <c r="Z251" s="87">
        <v>0</v>
      </c>
      <c r="AA251" s="87">
        <v>0</v>
      </c>
      <c r="AB251" s="89">
        <f t="shared" si="55"/>
        <v>0</v>
      </c>
      <c r="AC251" s="89">
        <f t="shared" si="56"/>
        <v>0</v>
      </c>
      <c r="AD251" s="89">
        <f t="shared" si="57"/>
        <v>0</v>
      </c>
      <c r="AE251" s="90">
        <f t="shared" si="58"/>
        <v>0</v>
      </c>
      <c r="AF251" s="90" t="str">
        <f t="shared" si="59"/>
        <v/>
      </c>
      <c r="AG251" s="90">
        <f t="shared" si="60"/>
        <v>0</v>
      </c>
      <c r="AH251" s="90" t="str">
        <f t="shared" si="61"/>
        <v/>
      </c>
      <c r="AI251" s="90">
        <f t="shared" si="62"/>
        <v>0</v>
      </c>
      <c r="AJ251" s="90" t="str">
        <f t="shared" si="63"/>
        <v/>
      </c>
      <c r="AK251" s="90" t="str">
        <f t="shared" si="64"/>
        <v/>
      </c>
      <c r="AL251" s="91">
        <f>IF(AK251="Adjust",(_xlfn.XLOOKUP(A251,'Adj factor'!A:A,'Adj factor'!I:I,,0)*AI251),'Master DataSheet'!AI251)</f>
        <v>0</v>
      </c>
      <c r="AM251" s="91">
        <f t="shared" si="65"/>
        <v>0</v>
      </c>
      <c r="AN251" s="92" t="str">
        <f t="shared" si="66"/>
        <v>No change</v>
      </c>
      <c r="AO251" s="93">
        <f>VLOOKUP(B251,'Growthrates source'!A$2:H$49,8,FALSE)</f>
        <v>0.22761760688079957</v>
      </c>
      <c r="AP251" s="93">
        <f>VLOOKUP(B251,'Growthrates source'!A$2:I$49,9,FALSE)</f>
        <v>5.4673730437993617E-2</v>
      </c>
      <c r="AQ251" s="86">
        <f t="shared" si="67"/>
        <v>0</v>
      </c>
      <c r="AR251" s="86">
        <f t="shared" si="68"/>
        <v>0</v>
      </c>
      <c r="AS251" s="94">
        <f t="shared" si="69"/>
        <v>0</v>
      </c>
      <c r="AT251" s="94">
        <f t="shared" si="70"/>
        <v>0</v>
      </c>
      <c r="AU251" s="94">
        <f t="shared" si="71"/>
        <v>0</v>
      </c>
    </row>
    <row r="252" spans="1:47" x14ac:dyDescent="0.3">
      <c r="A252" s="85" t="str">
        <f>_xlfn.XLOOKUP(B252,'Country codes &amp; Data sources'!G:G,'Country codes &amp; Data sources'!H:H,,0)</f>
        <v>Comoros</v>
      </c>
      <c r="B252" s="85" t="s">
        <v>196</v>
      </c>
      <c r="C252" s="86">
        <v>684562.5</v>
      </c>
      <c r="D252" s="85" t="s">
        <v>205</v>
      </c>
      <c r="E252" s="87">
        <v>0</v>
      </c>
      <c r="F252" s="88">
        <v>699392.50000000035</v>
      </c>
      <c r="G252" s="87">
        <v>0</v>
      </c>
      <c r="I252" s="87">
        <v>0</v>
      </c>
      <c r="K252" s="87">
        <v>0</v>
      </c>
      <c r="M252" s="87">
        <v>0</v>
      </c>
      <c r="O252" s="87">
        <v>0</v>
      </c>
      <c r="P252" s="88">
        <v>776313.5000000007</v>
      </c>
      <c r="Q252" s="87">
        <v>0</v>
      </c>
      <c r="R252" s="87">
        <f t="shared" si="54"/>
        <v>0</v>
      </c>
      <c r="T252" s="87">
        <v>0</v>
      </c>
      <c r="V252" s="87">
        <v>0</v>
      </c>
      <c r="X252" s="87">
        <v>0</v>
      </c>
      <c r="Y252" s="88">
        <v>836773.49999999977</v>
      </c>
      <c r="Z252" s="87">
        <v>0</v>
      </c>
      <c r="AA252" s="87">
        <v>0</v>
      </c>
      <c r="AB252" s="89">
        <f t="shared" si="55"/>
        <v>0</v>
      </c>
      <c r="AC252" s="89">
        <f t="shared" si="56"/>
        <v>0</v>
      </c>
      <c r="AD252" s="89">
        <f t="shared" si="57"/>
        <v>0</v>
      </c>
      <c r="AE252" s="90">
        <f t="shared" si="58"/>
        <v>0</v>
      </c>
      <c r="AF252" s="90" t="str">
        <f t="shared" si="59"/>
        <v/>
      </c>
      <c r="AG252" s="90">
        <f t="shared" si="60"/>
        <v>0</v>
      </c>
      <c r="AH252" s="90" t="str">
        <f t="shared" si="61"/>
        <v/>
      </c>
      <c r="AI252" s="90">
        <f t="shared" si="62"/>
        <v>0</v>
      </c>
      <c r="AJ252" s="90" t="str">
        <f t="shared" si="63"/>
        <v/>
      </c>
      <c r="AK252" s="90" t="str">
        <f t="shared" si="64"/>
        <v/>
      </c>
      <c r="AL252" s="91">
        <f>IF(AK252="Adjust",(_xlfn.XLOOKUP(A252,'Adj factor'!A:A,'Adj factor'!I:I,,0)*AI252),'Master DataSheet'!AI252)</f>
        <v>0</v>
      </c>
      <c r="AM252" s="91">
        <f t="shared" si="65"/>
        <v>0</v>
      </c>
      <c r="AN252" s="92" t="str">
        <f t="shared" si="66"/>
        <v>No change</v>
      </c>
      <c r="AO252" s="93">
        <f>VLOOKUP(B252,'Growthrates source'!A$2:H$49,8,FALSE)</f>
        <v>0.22761760688079957</v>
      </c>
      <c r="AP252" s="93">
        <f>VLOOKUP(B252,'Growthrates source'!A$2:I$49,9,FALSE)</f>
        <v>5.4673730437993617E-2</v>
      </c>
      <c r="AQ252" s="86">
        <f t="shared" si="67"/>
        <v>0</v>
      </c>
      <c r="AR252" s="86">
        <f t="shared" si="68"/>
        <v>0</v>
      </c>
      <c r="AS252" s="94">
        <f t="shared" si="69"/>
        <v>0</v>
      </c>
      <c r="AT252" s="94">
        <f t="shared" si="70"/>
        <v>0</v>
      </c>
      <c r="AU252" s="94">
        <f t="shared" si="71"/>
        <v>0</v>
      </c>
    </row>
    <row r="253" spans="1:47" x14ac:dyDescent="0.3">
      <c r="A253" s="85" t="str">
        <f>_xlfn.XLOOKUP(B253,'Country codes &amp; Data sources'!G:G,'Country codes &amp; Data sources'!H:H,,0)</f>
        <v>Comoros</v>
      </c>
      <c r="B253" s="85" t="s">
        <v>196</v>
      </c>
      <c r="C253" s="86">
        <v>684563.5</v>
      </c>
      <c r="D253" s="85" t="s">
        <v>133</v>
      </c>
      <c r="E253" s="87">
        <v>0</v>
      </c>
      <c r="F253" s="88">
        <v>699392.50000000035</v>
      </c>
      <c r="G253" s="87">
        <v>0</v>
      </c>
      <c r="I253" s="87">
        <v>0</v>
      </c>
      <c r="K253" s="87">
        <v>0</v>
      </c>
      <c r="M253" s="87">
        <v>0</v>
      </c>
      <c r="O253" s="87">
        <v>0</v>
      </c>
      <c r="P253" s="88">
        <v>776313.5000000007</v>
      </c>
      <c r="Q253" s="87">
        <v>0</v>
      </c>
      <c r="R253" s="87">
        <f t="shared" si="54"/>
        <v>161</v>
      </c>
      <c r="T253" s="87">
        <v>0</v>
      </c>
      <c r="V253" s="87">
        <v>0</v>
      </c>
      <c r="X253" s="87">
        <v>0</v>
      </c>
      <c r="Y253" s="88">
        <v>836773.49999999977</v>
      </c>
      <c r="Z253" s="87">
        <v>0</v>
      </c>
      <c r="AA253" s="87">
        <v>161</v>
      </c>
      <c r="AB253" s="89">
        <f t="shared" si="55"/>
        <v>0</v>
      </c>
      <c r="AC253" s="89">
        <f t="shared" si="56"/>
        <v>0</v>
      </c>
      <c r="AD253" s="89">
        <f t="shared" si="57"/>
        <v>0</v>
      </c>
      <c r="AE253" s="90">
        <f t="shared" si="58"/>
        <v>0</v>
      </c>
      <c r="AF253" s="90" t="str">
        <f t="shared" si="59"/>
        <v/>
      </c>
      <c r="AG253" s="90">
        <f t="shared" si="60"/>
        <v>161</v>
      </c>
      <c r="AH253" s="90" t="str">
        <f t="shared" si="61"/>
        <v>2018 (triag)</v>
      </c>
      <c r="AI253" s="90">
        <f t="shared" si="62"/>
        <v>161</v>
      </c>
      <c r="AJ253" s="90" t="str">
        <f t="shared" si="63"/>
        <v>2018 (triag)</v>
      </c>
      <c r="AK253" s="90" t="str">
        <f t="shared" si="64"/>
        <v/>
      </c>
      <c r="AL253" s="91">
        <f>IF(AK253="Adjust",(_xlfn.XLOOKUP(A253,'Adj factor'!A:A,'Adj factor'!I:I,,0)*AI253),'Master DataSheet'!AI253)</f>
        <v>161</v>
      </c>
      <c r="AM253" s="91">
        <f t="shared" si="65"/>
        <v>161</v>
      </c>
      <c r="AN253" s="92" t="str">
        <f t="shared" si="66"/>
        <v>No change</v>
      </c>
      <c r="AO253" s="93">
        <f>VLOOKUP(B253,'Growthrates source'!A$2:H$49,8,FALSE)</f>
        <v>0.22761760688079957</v>
      </c>
      <c r="AP253" s="93">
        <f>VLOOKUP(B253,'Growthrates source'!A$2:I$49,9,FALSE)</f>
        <v>5.4673730437993617E-2</v>
      </c>
      <c r="AQ253" s="86">
        <f t="shared" si="67"/>
        <v>51.589405445386376</v>
      </c>
      <c r="AR253" s="86">
        <f t="shared" si="68"/>
        <v>189.69652460594892</v>
      </c>
      <c r="AS253" s="94">
        <f t="shared" si="69"/>
        <v>0</v>
      </c>
      <c r="AT253" s="94">
        <f t="shared" si="70"/>
        <v>2.0739044213452407</v>
      </c>
      <c r="AU253" s="94">
        <f t="shared" si="71"/>
        <v>1.9240571074490294</v>
      </c>
    </row>
    <row r="254" spans="1:47" x14ac:dyDescent="0.3">
      <c r="A254" s="85" t="str">
        <f>_xlfn.XLOOKUP(B254,'Country codes &amp; Data sources'!G:G,'Country codes &amp; Data sources'!H:H,,0)</f>
        <v>Comoros</v>
      </c>
      <c r="B254" s="85" t="s">
        <v>196</v>
      </c>
      <c r="C254" s="86">
        <v>684564.5</v>
      </c>
      <c r="D254" s="85" t="s">
        <v>206</v>
      </c>
      <c r="E254" s="87">
        <v>0</v>
      </c>
      <c r="F254" s="88">
        <v>699392.50000000035</v>
      </c>
      <c r="G254" s="87">
        <v>0</v>
      </c>
      <c r="I254" s="87">
        <v>0</v>
      </c>
      <c r="K254" s="87">
        <v>0</v>
      </c>
      <c r="M254" s="87">
        <v>0</v>
      </c>
      <c r="O254" s="87">
        <v>0</v>
      </c>
      <c r="P254" s="88">
        <v>776313.5000000007</v>
      </c>
      <c r="Q254" s="87">
        <v>0</v>
      </c>
      <c r="R254" s="87">
        <f t="shared" si="54"/>
        <v>0</v>
      </c>
      <c r="T254" s="87">
        <v>0</v>
      </c>
      <c r="V254" s="87">
        <v>0</v>
      </c>
      <c r="X254" s="87">
        <v>0</v>
      </c>
      <c r="Y254" s="88">
        <v>836773.49999999977</v>
      </c>
      <c r="Z254" s="87">
        <v>0</v>
      </c>
      <c r="AA254" s="87">
        <v>0</v>
      </c>
      <c r="AB254" s="89">
        <f t="shared" si="55"/>
        <v>0</v>
      </c>
      <c r="AC254" s="89">
        <f t="shared" si="56"/>
        <v>0</v>
      </c>
      <c r="AD254" s="89">
        <f t="shared" si="57"/>
        <v>0</v>
      </c>
      <c r="AE254" s="90">
        <f t="shared" si="58"/>
        <v>0</v>
      </c>
      <c r="AF254" s="90" t="str">
        <f t="shared" si="59"/>
        <v/>
      </c>
      <c r="AG254" s="90">
        <f t="shared" si="60"/>
        <v>0</v>
      </c>
      <c r="AH254" s="90" t="str">
        <f t="shared" si="61"/>
        <v/>
      </c>
      <c r="AI254" s="90">
        <f t="shared" si="62"/>
        <v>0</v>
      </c>
      <c r="AJ254" s="90" t="str">
        <f t="shared" si="63"/>
        <v/>
      </c>
      <c r="AK254" s="90" t="str">
        <f t="shared" si="64"/>
        <v/>
      </c>
      <c r="AL254" s="91">
        <f>IF(AK254="Adjust",(_xlfn.XLOOKUP(A254,'Adj factor'!A:A,'Adj factor'!I:I,,0)*AI254),'Master DataSheet'!AI254)</f>
        <v>0</v>
      </c>
      <c r="AM254" s="91">
        <f t="shared" si="65"/>
        <v>0</v>
      </c>
      <c r="AN254" s="92" t="str">
        <f t="shared" si="66"/>
        <v>No change</v>
      </c>
      <c r="AO254" s="93">
        <f>VLOOKUP(B254,'Growthrates source'!A$2:H$49,8,FALSE)</f>
        <v>0.22761760688079957</v>
      </c>
      <c r="AP254" s="93">
        <f>VLOOKUP(B254,'Growthrates source'!A$2:I$49,9,FALSE)</f>
        <v>5.4673730437993617E-2</v>
      </c>
      <c r="AQ254" s="86">
        <f t="shared" si="67"/>
        <v>0</v>
      </c>
      <c r="AR254" s="86">
        <f t="shared" si="68"/>
        <v>0</v>
      </c>
      <c r="AS254" s="94">
        <f t="shared" si="69"/>
        <v>0</v>
      </c>
      <c r="AT254" s="94">
        <f t="shared" si="70"/>
        <v>0</v>
      </c>
      <c r="AU254" s="94">
        <f t="shared" si="71"/>
        <v>0</v>
      </c>
    </row>
    <row r="255" spans="1:47" x14ac:dyDescent="0.3">
      <c r="A255" s="85" t="str">
        <f>_xlfn.XLOOKUP(B255,'Country codes &amp; Data sources'!G:G,'Country codes &amp; Data sources'!H:H,,0)</f>
        <v>Comoros</v>
      </c>
      <c r="B255" s="85" t="s">
        <v>196</v>
      </c>
      <c r="C255" s="86">
        <v>684565.5</v>
      </c>
      <c r="D255" s="85" t="s">
        <v>136</v>
      </c>
      <c r="E255" s="87">
        <v>0</v>
      </c>
      <c r="F255" s="88">
        <v>699392.50000000035</v>
      </c>
      <c r="G255" s="87">
        <v>0</v>
      </c>
      <c r="I255" s="87">
        <v>0</v>
      </c>
      <c r="K255" s="87">
        <v>0</v>
      </c>
      <c r="M255" s="87">
        <v>0</v>
      </c>
      <c r="O255" s="87">
        <v>0</v>
      </c>
      <c r="P255" s="88">
        <v>776313.5000000007</v>
      </c>
      <c r="Q255" s="87">
        <v>0</v>
      </c>
      <c r="R255" s="87">
        <f t="shared" si="54"/>
        <v>498</v>
      </c>
      <c r="T255" s="87">
        <v>0</v>
      </c>
      <c r="V255" s="87">
        <v>25</v>
      </c>
      <c r="X255" s="87">
        <v>0</v>
      </c>
      <c r="Y255" s="88">
        <v>836773.49999999977</v>
      </c>
      <c r="Z255" s="87">
        <v>0</v>
      </c>
      <c r="AA255" s="87">
        <v>498</v>
      </c>
      <c r="AB255" s="89">
        <f t="shared" si="55"/>
        <v>0</v>
      </c>
      <c r="AC255" s="89">
        <f t="shared" si="56"/>
        <v>0</v>
      </c>
      <c r="AD255" s="89">
        <f t="shared" si="57"/>
        <v>25</v>
      </c>
      <c r="AE255" s="90">
        <f t="shared" si="58"/>
        <v>0</v>
      </c>
      <c r="AF255" s="90" t="str">
        <f t="shared" si="59"/>
        <v/>
      </c>
      <c r="AG255" s="90">
        <f t="shared" si="60"/>
        <v>498</v>
      </c>
      <c r="AH255" s="90" t="str">
        <f t="shared" si="61"/>
        <v>2018 (triag)</v>
      </c>
      <c r="AI255" s="90">
        <f t="shared" si="62"/>
        <v>25</v>
      </c>
      <c r="AJ255" s="90">
        <f t="shared" si="63"/>
        <v>2020</v>
      </c>
      <c r="AK255" s="90" t="str">
        <f t="shared" si="64"/>
        <v>Adjust</v>
      </c>
      <c r="AL255" s="91">
        <f>IF(AK255="Adjust",(_xlfn.XLOOKUP(A255,'Adj factor'!A:A,'Adj factor'!I:I,,0)*AI255),'Master DataSheet'!AI255)</f>
        <v>28.732466108010378</v>
      </c>
      <c r="AM255" s="91">
        <f t="shared" si="65"/>
        <v>498</v>
      </c>
      <c r="AN255" s="92" t="str">
        <f t="shared" si="66"/>
        <v>Decreasing</v>
      </c>
      <c r="AO255" s="93">
        <f>VLOOKUP(B255,'Growthrates source'!A$2:H$49,8,FALSE)</f>
        <v>0.22761760688079957</v>
      </c>
      <c r="AP255" s="93">
        <f>VLOOKUP(B255,'Growthrates source'!A$2:I$49,9,FALSE)</f>
        <v>5.4673730437993617E-2</v>
      </c>
      <c r="AQ255" s="86">
        <f t="shared" si="67"/>
        <v>159.57468268200256</v>
      </c>
      <c r="AR255" s="86">
        <f t="shared" si="68"/>
        <v>586.76316306684816</v>
      </c>
      <c r="AS255" s="94">
        <f t="shared" si="69"/>
        <v>0</v>
      </c>
      <c r="AT255" s="94">
        <f t="shared" si="70"/>
        <v>6.4149341728567073</v>
      </c>
      <c r="AU255" s="94">
        <f t="shared" si="71"/>
        <v>5.9514313013019668</v>
      </c>
    </row>
    <row r="256" spans="1:47" x14ac:dyDescent="0.3">
      <c r="A256" s="85" t="str">
        <f>_xlfn.XLOOKUP(B256,'Country codes &amp; Data sources'!G:G,'Country codes &amp; Data sources'!H:H,,0)</f>
        <v>Comoros</v>
      </c>
      <c r="B256" s="85" t="s">
        <v>196</v>
      </c>
      <c r="C256" s="86">
        <v>684566.5</v>
      </c>
      <c r="D256" s="85" t="s">
        <v>207</v>
      </c>
      <c r="E256" s="87">
        <v>0</v>
      </c>
      <c r="F256" s="88">
        <v>699392.50000000035</v>
      </c>
      <c r="G256" s="87">
        <v>0</v>
      </c>
      <c r="I256" s="87">
        <v>0</v>
      </c>
      <c r="K256" s="87">
        <v>0</v>
      </c>
      <c r="M256" s="87">
        <v>0</v>
      </c>
      <c r="O256" s="87">
        <v>0</v>
      </c>
      <c r="P256" s="88">
        <v>776313.5000000007</v>
      </c>
      <c r="Q256" s="87">
        <v>0</v>
      </c>
      <c r="R256" s="87">
        <f t="shared" si="54"/>
        <v>0</v>
      </c>
      <c r="T256" s="87">
        <v>0</v>
      </c>
      <c r="V256" s="87">
        <v>0</v>
      </c>
      <c r="X256" s="87">
        <v>0</v>
      </c>
      <c r="Y256" s="88">
        <v>836773.49999999977</v>
      </c>
      <c r="Z256" s="87">
        <v>0</v>
      </c>
      <c r="AA256" s="87">
        <v>0</v>
      </c>
      <c r="AB256" s="89">
        <f t="shared" si="55"/>
        <v>0</v>
      </c>
      <c r="AC256" s="89">
        <f t="shared" si="56"/>
        <v>0</v>
      </c>
      <c r="AD256" s="89">
        <f t="shared" si="57"/>
        <v>0</v>
      </c>
      <c r="AE256" s="90">
        <f t="shared" si="58"/>
        <v>0</v>
      </c>
      <c r="AF256" s="90" t="str">
        <f t="shared" si="59"/>
        <v/>
      </c>
      <c r="AG256" s="90">
        <f t="shared" si="60"/>
        <v>0</v>
      </c>
      <c r="AH256" s="90" t="str">
        <f t="shared" si="61"/>
        <v/>
      </c>
      <c r="AI256" s="90">
        <f t="shared" si="62"/>
        <v>0</v>
      </c>
      <c r="AJ256" s="90" t="str">
        <f t="shared" si="63"/>
        <v/>
      </c>
      <c r="AK256" s="90" t="str">
        <f t="shared" si="64"/>
        <v/>
      </c>
      <c r="AL256" s="91">
        <f>IF(AK256="Adjust",(_xlfn.XLOOKUP(A256,'Adj factor'!A:A,'Adj factor'!I:I,,0)*AI256),'Master DataSheet'!AI256)</f>
        <v>0</v>
      </c>
      <c r="AM256" s="91">
        <f t="shared" si="65"/>
        <v>0</v>
      </c>
      <c r="AN256" s="92" t="str">
        <f t="shared" si="66"/>
        <v>No change</v>
      </c>
      <c r="AO256" s="93">
        <f>VLOOKUP(B256,'Growthrates source'!A$2:H$49,8,FALSE)</f>
        <v>0.22761760688079957</v>
      </c>
      <c r="AP256" s="93">
        <f>VLOOKUP(B256,'Growthrates source'!A$2:I$49,9,FALSE)</f>
        <v>5.4673730437993617E-2</v>
      </c>
      <c r="AQ256" s="86">
        <f t="shared" si="67"/>
        <v>0</v>
      </c>
      <c r="AR256" s="86">
        <f t="shared" si="68"/>
        <v>0</v>
      </c>
      <c r="AS256" s="94">
        <f t="shared" si="69"/>
        <v>0</v>
      </c>
      <c r="AT256" s="94">
        <f t="shared" si="70"/>
        <v>0</v>
      </c>
      <c r="AU256" s="94">
        <f t="shared" si="71"/>
        <v>0</v>
      </c>
    </row>
    <row r="257" spans="1:48" x14ac:dyDescent="0.3">
      <c r="A257" s="85" t="str">
        <f>_xlfn.XLOOKUP(B257,'Country codes &amp; Data sources'!G:G,'Country codes &amp; Data sources'!H:H,,0)</f>
        <v>Comoros</v>
      </c>
      <c r="B257" s="85" t="s">
        <v>196</v>
      </c>
      <c r="C257" s="86">
        <v>684567.5</v>
      </c>
      <c r="D257" s="85" t="s">
        <v>141</v>
      </c>
      <c r="E257" s="87">
        <v>0</v>
      </c>
      <c r="F257" s="88">
        <v>699392.50000000035</v>
      </c>
      <c r="G257" s="87">
        <v>0</v>
      </c>
      <c r="I257" s="87">
        <v>0</v>
      </c>
      <c r="K257" s="87">
        <v>0</v>
      </c>
      <c r="M257" s="87">
        <v>0</v>
      </c>
      <c r="O257" s="87">
        <v>0</v>
      </c>
      <c r="P257" s="88">
        <v>776313.5000000007</v>
      </c>
      <c r="Q257" s="87">
        <v>0</v>
      </c>
      <c r="R257" s="87">
        <f t="shared" si="54"/>
        <v>0</v>
      </c>
      <c r="T257" s="87">
        <v>0</v>
      </c>
      <c r="V257" s="87">
        <v>0</v>
      </c>
      <c r="X257" s="87">
        <v>0</v>
      </c>
      <c r="Y257" s="88">
        <v>836773.49999999977</v>
      </c>
      <c r="Z257" s="87">
        <v>0</v>
      </c>
      <c r="AA257" s="87">
        <v>0</v>
      </c>
      <c r="AB257" s="89">
        <f t="shared" si="55"/>
        <v>0</v>
      </c>
      <c r="AC257" s="89">
        <f t="shared" si="56"/>
        <v>0</v>
      </c>
      <c r="AD257" s="89">
        <f t="shared" si="57"/>
        <v>0</v>
      </c>
      <c r="AE257" s="90">
        <f t="shared" si="58"/>
        <v>0</v>
      </c>
      <c r="AF257" s="90" t="str">
        <f t="shared" si="59"/>
        <v/>
      </c>
      <c r="AG257" s="90">
        <f t="shared" si="60"/>
        <v>0</v>
      </c>
      <c r="AH257" s="90" t="str">
        <f t="shared" si="61"/>
        <v/>
      </c>
      <c r="AI257" s="90">
        <f t="shared" si="62"/>
        <v>0</v>
      </c>
      <c r="AJ257" s="90" t="str">
        <f t="shared" si="63"/>
        <v/>
      </c>
      <c r="AK257" s="90" t="str">
        <f t="shared" si="64"/>
        <v/>
      </c>
      <c r="AL257" s="91">
        <f>IF(AK257="Adjust",(_xlfn.XLOOKUP(A257,'Adj factor'!A:A,'Adj factor'!I:I,,0)*AI257),'Master DataSheet'!AI257)</f>
        <v>0</v>
      </c>
      <c r="AM257" s="91">
        <f t="shared" si="65"/>
        <v>0</v>
      </c>
      <c r="AN257" s="92" t="str">
        <f t="shared" si="66"/>
        <v>No change</v>
      </c>
      <c r="AO257" s="93">
        <f>VLOOKUP(B257,'Growthrates source'!A$2:H$49,8,FALSE)</f>
        <v>0.22761760688079957</v>
      </c>
      <c r="AP257" s="93">
        <f>VLOOKUP(B257,'Growthrates source'!A$2:I$49,9,FALSE)</f>
        <v>5.4673730437993617E-2</v>
      </c>
      <c r="AQ257" s="86">
        <f t="shared" si="67"/>
        <v>0</v>
      </c>
      <c r="AR257" s="86">
        <f t="shared" si="68"/>
        <v>0</v>
      </c>
      <c r="AS257" s="94">
        <f t="shared" si="69"/>
        <v>0</v>
      </c>
      <c r="AT257" s="94">
        <f t="shared" si="70"/>
        <v>0</v>
      </c>
      <c r="AU257" s="94">
        <f t="shared" si="71"/>
        <v>0</v>
      </c>
    </row>
    <row r="258" spans="1:48" x14ac:dyDescent="0.3">
      <c r="A258" s="85" t="str">
        <f>_xlfn.XLOOKUP(B258,'Country codes &amp; Data sources'!G:G,'Country codes &amp; Data sources'!H:H,,0)</f>
        <v>Comoros</v>
      </c>
      <c r="B258" s="85" t="s">
        <v>196</v>
      </c>
      <c r="C258" s="86">
        <v>684568.5</v>
      </c>
      <c r="D258" s="85" t="s">
        <v>208</v>
      </c>
      <c r="E258" s="87">
        <v>0</v>
      </c>
      <c r="F258" s="88">
        <v>699392.50000000035</v>
      </c>
      <c r="G258" s="87">
        <v>0</v>
      </c>
      <c r="I258" s="87">
        <v>0</v>
      </c>
      <c r="K258" s="87">
        <v>0</v>
      </c>
      <c r="M258" s="87">
        <v>0</v>
      </c>
      <c r="O258" s="87">
        <v>0</v>
      </c>
      <c r="P258" s="88">
        <v>776313.5000000007</v>
      </c>
      <c r="Q258" s="87">
        <v>0</v>
      </c>
      <c r="R258" s="87">
        <f t="shared" si="54"/>
        <v>44</v>
      </c>
      <c r="T258" s="87">
        <v>0</v>
      </c>
      <c r="V258" s="87">
        <v>0</v>
      </c>
      <c r="X258" s="87">
        <v>0</v>
      </c>
      <c r="Y258" s="88">
        <v>836773.49999999977</v>
      </c>
      <c r="Z258" s="87">
        <v>0</v>
      </c>
      <c r="AA258" s="87">
        <v>44</v>
      </c>
      <c r="AB258" s="89">
        <f t="shared" si="55"/>
        <v>0</v>
      </c>
      <c r="AC258" s="89">
        <f t="shared" si="56"/>
        <v>0</v>
      </c>
      <c r="AD258" s="89">
        <f t="shared" si="57"/>
        <v>0</v>
      </c>
      <c r="AE258" s="90">
        <f t="shared" si="58"/>
        <v>0</v>
      </c>
      <c r="AF258" s="90" t="str">
        <f t="shared" si="59"/>
        <v/>
      </c>
      <c r="AG258" s="90">
        <f t="shared" si="60"/>
        <v>44</v>
      </c>
      <c r="AH258" s="90" t="str">
        <f t="shared" si="61"/>
        <v>2018 (triag)</v>
      </c>
      <c r="AI258" s="90">
        <f t="shared" si="62"/>
        <v>44</v>
      </c>
      <c r="AJ258" s="90" t="str">
        <f t="shared" si="63"/>
        <v>2018 (triag)</v>
      </c>
      <c r="AK258" s="90" t="str">
        <f t="shared" si="64"/>
        <v/>
      </c>
      <c r="AL258" s="91">
        <f>IF(AK258="Adjust",(_xlfn.XLOOKUP(A258,'Adj factor'!A:A,'Adj factor'!I:I,,0)*AI258),'Master DataSheet'!AI258)</f>
        <v>44</v>
      </c>
      <c r="AM258" s="91">
        <f t="shared" si="65"/>
        <v>44</v>
      </c>
      <c r="AN258" s="92" t="str">
        <f t="shared" si="66"/>
        <v>No change</v>
      </c>
      <c r="AO258" s="93">
        <f>VLOOKUP(B258,'Growthrates source'!A$2:H$49,8,FALSE)</f>
        <v>0.22761760688079957</v>
      </c>
      <c r="AP258" s="93">
        <f>VLOOKUP(B258,'Growthrates source'!A$2:I$49,9,FALSE)</f>
        <v>5.4673730437993617E-2</v>
      </c>
      <c r="AQ258" s="86">
        <f t="shared" si="67"/>
        <v>14.098967947807456</v>
      </c>
      <c r="AR258" s="86">
        <f t="shared" si="68"/>
        <v>51.842528463737594</v>
      </c>
      <c r="AS258" s="94">
        <f t="shared" si="69"/>
        <v>0</v>
      </c>
      <c r="AT258" s="94">
        <f t="shared" si="70"/>
        <v>0.56678133254155649</v>
      </c>
      <c r="AU258" s="94">
        <f t="shared" si="71"/>
        <v>0.52582927160097703</v>
      </c>
    </row>
    <row r="259" spans="1:48" x14ac:dyDescent="0.3">
      <c r="A259" s="85" t="str">
        <f>_xlfn.XLOOKUP(B259,'Country codes &amp; Data sources'!G:G,'Country codes &amp; Data sources'!H:H,,0)</f>
        <v>Comoros</v>
      </c>
      <c r="B259" s="85" t="s">
        <v>196</v>
      </c>
      <c r="C259" s="86">
        <v>684569.5</v>
      </c>
      <c r="D259" s="85" t="s">
        <v>209</v>
      </c>
      <c r="E259" s="87">
        <v>0</v>
      </c>
      <c r="F259" s="88">
        <v>699392.50000000035</v>
      </c>
      <c r="G259" s="87">
        <v>0</v>
      </c>
      <c r="I259" s="87">
        <v>0</v>
      </c>
      <c r="K259" s="87">
        <v>0</v>
      </c>
      <c r="M259" s="87">
        <v>0</v>
      </c>
      <c r="O259" s="87">
        <v>0</v>
      </c>
      <c r="P259" s="88">
        <v>776313.5000000007</v>
      </c>
      <c r="Q259" s="87">
        <v>0</v>
      </c>
      <c r="R259" s="87">
        <f t="shared" ref="R259:R322" si="72">MAX(Q259,AA259)</f>
        <v>115</v>
      </c>
      <c r="T259" s="87">
        <v>0</v>
      </c>
      <c r="V259" s="87">
        <v>0</v>
      </c>
      <c r="X259" s="87">
        <v>0</v>
      </c>
      <c r="Y259" s="88">
        <v>836773.49999999977</v>
      </c>
      <c r="Z259" s="87">
        <v>0</v>
      </c>
      <c r="AA259" s="87">
        <v>115</v>
      </c>
      <c r="AB259" s="89">
        <f t="shared" ref="AB259:AB322" si="73">MAX(G259,E259,I259,K259)</f>
        <v>0</v>
      </c>
      <c r="AC259" s="89">
        <f t="shared" ref="AC259:AC322" si="74">MAX(M259,O259,Q259,T259)</f>
        <v>0</v>
      </c>
      <c r="AD259" s="89">
        <f t="shared" ref="AD259:AD322" si="75">MAX(V259,X259,Z259)</f>
        <v>0</v>
      </c>
      <c r="AE259" s="90">
        <f t="shared" ref="AE259:AE322" si="76">IF(G259&gt;0,G259,IF(E259&gt;0,E259,IF(I259&gt;0,I259,K259)))</f>
        <v>0</v>
      </c>
      <c r="AF259" s="90" t="str">
        <f t="shared" ref="AF259:AF322" si="77">IF(AE259&gt;0,_xlfn.XLOOKUP(AE259,$B259:$K259,$B$1:$K$1,,0),"")</f>
        <v/>
      </c>
      <c r="AG259" s="90">
        <f t="shared" ref="AG259:AG322" si="78">IF(R259&gt;0,R259,IF(O259&gt;0,O259,T259))</f>
        <v>115</v>
      </c>
      <c r="AH259" s="90" t="str">
        <f t="shared" ref="AH259:AH322" si="79">IF(AG259&gt;0,_xlfn.XLOOKUP(AG259,$L259:$T259,$L$1:$T$1,,0),"")</f>
        <v>2018 (triag)</v>
      </c>
      <c r="AI259" s="90">
        <f t="shared" ref="AI259:AI322" si="80">IF((IF(Z259&gt;0,Z259,IF(X259&gt;0,X259,IF(V259&gt;0,V259,T259))))=0,AG259,IF(Z259&gt;0,Z259,IF(X259&gt;0,X259,IF(V259&gt;0,V259,T259))))</f>
        <v>115</v>
      </c>
      <c r="AJ259" s="90" t="str">
        <f t="shared" ref="AJ259:AJ322" si="81">IFERROR(IF(AI259&gt;0,_xlfn.XLOOKUP(AI259,$V259:$Z259,$V$1:$Z$1,,0),""),AH259)</f>
        <v>2018 (triag)</v>
      </c>
      <c r="AK259" s="90" t="str">
        <f t="shared" ref="AK259:AK322" si="82">IF(AI259&lt;AG259,"Adjust","")</f>
        <v/>
      </c>
      <c r="AL259" s="91">
        <f>IF(AK259="Adjust",(_xlfn.XLOOKUP(A259,'Adj factor'!A:A,'Adj factor'!I:I,,0)*AI259),'Master DataSheet'!AI259)</f>
        <v>115</v>
      </c>
      <c r="AM259" s="91">
        <f t="shared" ref="AM259:AM322" si="83">IF(AL259&lt;AG259,AG259,AL259)</f>
        <v>115</v>
      </c>
      <c r="AN259" s="92" t="str">
        <f t="shared" ref="AN259:AN322" si="84">IF(AL259&gt;AG259,"Increasing",IF(AL259&lt;AG259,"Decreasing","No change"))</f>
        <v>No change</v>
      </c>
      <c r="AO259" s="93">
        <f>VLOOKUP(B259,'Growthrates source'!A$2:H$49,8,FALSE)</f>
        <v>0.22761760688079957</v>
      </c>
      <c r="AP259" s="93">
        <f>VLOOKUP(B259,'Growthrates source'!A$2:I$49,9,FALSE)</f>
        <v>5.4673730437993617E-2</v>
      </c>
      <c r="AQ259" s="86">
        <f t="shared" ref="AQ259:AQ322" si="85">AA259/(EXP(AO259*5))</f>
        <v>36.849575318133127</v>
      </c>
      <c r="AR259" s="86">
        <f t="shared" ref="AR259:AR322" si="86">AA259*EXP(AP259*3)</f>
        <v>135.49751757567779</v>
      </c>
      <c r="AS259" s="94">
        <f t="shared" ref="AS259:AS322" si="87">(AE259*10000)/F259</f>
        <v>0</v>
      </c>
      <c r="AT259" s="94">
        <f t="shared" ref="AT259:AT322" si="88">(AG259*10000)/P259</f>
        <v>1.4813603009608862</v>
      </c>
      <c r="AU259" s="94">
        <f t="shared" ref="AU259:AU322" si="89">(AM259*10000)/Y259</f>
        <v>1.3743265053207354</v>
      </c>
    </row>
    <row r="260" spans="1:48" x14ac:dyDescent="0.3">
      <c r="A260" s="85" t="str">
        <f>_xlfn.XLOOKUP(B260,'Country codes &amp; Data sources'!G:G,'Country codes &amp; Data sources'!H:H,,0)</f>
        <v>Comoros</v>
      </c>
      <c r="B260" s="85" t="s">
        <v>196</v>
      </c>
      <c r="C260" s="86">
        <v>684570.5</v>
      </c>
      <c r="D260" s="85" t="s">
        <v>134</v>
      </c>
      <c r="E260" s="87">
        <v>86</v>
      </c>
      <c r="F260" s="88">
        <v>699392.50000000035</v>
      </c>
      <c r="G260" s="87">
        <v>0</v>
      </c>
      <c r="I260" s="87">
        <v>0</v>
      </c>
      <c r="K260" s="87">
        <v>0</v>
      </c>
      <c r="M260" s="87">
        <v>0</v>
      </c>
      <c r="O260" s="87">
        <v>0</v>
      </c>
      <c r="P260" s="88">
        <v>776313.5000000007</v>
      </c>
      <c r="Q260" s="87">
        <v>8</v>
      </c>
      <c r="R260" s="87">
        <f t="shared" si="72"/>
        <v>8</v>
      </c>
      <c r="T260" s="87">
        <v>0</v>
      </c>
      <c r="V260" s="87">
        <v>16</v>
      </c>
      <c r="X260" s="87">
        <v>0</v>
      </c>
      <c r="Y260" s="88">
        <v>836773.49999999977</v>
      </c>
      <c r="Z260" s="87">
        <v>0</v>
      </c>
      <c r="AA260" s="87">
        <v>8</v>
      </c>
      <c r="AB260" s="89">
        <f t="shared" si="73"/>
        <v>86</v>
      </c>
      <c r="AC260" s="89">
        <f t="shared" si="74"/>
        <v>8</v>
      </c>
      <c r="AD260" s="89">
        <f t="shared" si="75"/>
        <v>16</v>
      </c>
      <c r="AE260" s="90">
        <f t="shared" si="76"/>
        <v>86</v>
      </c>
      <c r="AF260" s="90">
        <f t="shared" si="77"/>
        <v>2012</v>
      </c>
      <c r="AG260" s="90">
        <f t="shared" si="78"/>
        <v>8</v>
      </c>
      <c r="AH260" s="90">
        <f t="shared" si="79"/>
        <v>2018</v>
      </c>
      <c r="AI260" s="90">
        <f t="shared" si="80"/>
        <v>16</v>
      </c>
      <c r="AJ260" s="90">
        <f t="shared" si="81"/>
        <v>2020</v>
      </c>
      <c r="AK260" s="90" t="str">
        <f t="shared" si="82"/>
        <v/>
      </c>
      <c r="AL260" s="91">
        <f>IF(AK260="Adjust",(_xlfn.XLOOKUP(A260,'Adj factor'!A:A,'Adj factor'!I:I,,0)*AI260),'Master DataSheet'!AI260)</f>
        <v>16</v>
      </c>
      <c r="AM260" s="91">
        <f t="shared" si="83"/>
        <v>16</v>
      </c>
      <c r="AN260" s="92" t="str">
        <f t="shared" si="84"/>
        <v>Increasing</v>
      </c>
      <c r="AO260" s="93">
        <f>VLOOKUP(B260,'Growthrates source'!A$2:H$49,8,FALSE)</f>
        <v>0.22761760688079957</v>
      </c>
      <c r="AP260" s="93">
        <f>VLOOKUP(B260,'Growthrates source'!A$2:I$49,9,FALSE)</f>
        <v>5.4673730437993617E-2</v>
      </c>
      <c r="AQ260" s="86">
        <f t="shared" si="85"/>
        <v>2.563448717783174</v>
      </c>
      <c r="AR260" s="86">
        <f t="shared" si="86"/>
        <v>9.4259142661341073</v>
      </c>
      <c r="AS260" s="94">
        <f t="shared" si="87"/>
        <v>1.2296385791955156</v>
      </c>
      <c r="AT260" s="94">
        <f t="shared" si="88"/>
        <v>0.10305115137119208</v>
      </c>
      <c r="AU260" s="94">
        <f t="shared" si="89"/>
        <v>0.19121064421853709</v>
      </c>
    </row>
    <row r="261" spans="1:48" x14ac:dyDescent="0.3">
      <c r="A261" s="85" t="str">
        <f>_xlfn.XLOOKUP(B261,'Country codes &amp; Data sources'!G:G,'Country codes &amp; Data sources'!H:H,,0)</f>
        <v>Comoros</v>
      </c>
      <c r="B261" s="85" t="s">
        <v>196</v>
      </c>
      <c r="C261" s="86">
        <v>684571.5</v>
      </c>
      <c r="D261" s="85" t="s">
        <v>142</v>
      </c>
      <c r="E261" s="87">
        <v>0</v>
      </c>
      <c r="F261" s="88">
        <v>699392.50000000035</v>
      </c>
      <c r="G261" s="87">
        <v>0</v>
      </c>
      <c r="I261" s="87">
        <v>0</v>
      </c>
      <c r="K261" s="87">
        <v>0</v>
      </c>
      <c r="M261" s="87">
        <v>0</v>
      </c>
      <c r="O261" s="87">
        <v>0</v>
      </c>
      <c r="P261" s="88">
        <v>776313.5000000007</v>
      </c>
      <c r="Q261" s="87">
        <v>0</v>
      </c>
      <c r="R261" s="87">
        <f t="shared" si="72"/>
        <v>0</v>
      </c>
      <c r="T261" s="87">
        <v>0</v>
      </c>
      <c r="V261" s="87">
        <v>0</v>
      </c>
      <c r="X261" s="87">
        <v>0</v>
      </c>
      <c r="Y261" s="88">
        <v>836773.49999999977</v>
      </c>
      <c r="Z261" s="87">
        <v>0</v>
      </c>
      <c r="AA261" s="87">
        <v>0</v>
      </c>
      <c r="AB261" s="89">
        <f t="shared" si="73"/>
        <v>0</v>
      </c>
      <c r="AC261" s="89">
        <f t="shared" si="74"/>
        <v>0</v>
      </c>
      <c r="AD261" s="89">
        <f t="shared" si="75"/>
        <v>0</v>
      </c>
      <c r="AE261" s="90">
        <f t="shared" si="76"/>
        <v>0</v>
      </c>
      <c r="AF261" s="90" t="str">
        <f t="shared" si="77"/>
        <v/>
      </c>
      <c r="AG261" s="90">
        <f t="shared" si="78"/>
        <v>0</v>
      </c>
      <c r="AH261" s="90" t="str">
        <f t="shared" si="79"/>
        <v/>
      </c>
      <c r="AI261" s="90">
        <f t="shared" si="80"/>
        <v>0</v>
      </c>
      <c r="AJ261" s="90" t="str">
        <f t="shared" si="81"/>
        <v/>
      </c>
      <c r="AK261" s="90" t="str">
        <f t="shared" si="82"/>
        <v/>
      </c>
      <c r="AL261" s="91">
        <f>IF(AK261="Adjust",(_xlfn.XLOOKUP(A261,'Adj factor'!A:A,'Adj factor'!I:I,,0)*AI261),'Master DataSheet'!AI261)</f>
        <v>0</v>
      </c>
      <c r="AM261" s="91">
        <f t="shared" si="83"/>
        <v>0</v>
      </c>
      <c r="AN261" s="92" t="str">
        <f t="shared" si="84"/>
        <v>No change</v>
      </c>
      <c r="AO261" s="93">
        <f>VLOOKUP(B261,'Growthrates source'!A$2:H$49,8,FALSE)</f>
        <v>0.22761760688079957</v>
      </c>
      <c r="AP261" s="93">
        <f>VLOOKUP(B261,'Growthrates source'!A$2:I$49,9,FALSE)</f>
        <v>5.4673730437993617E-2</v>
      </c>
      <c r="AQ261" s="86">
        <f t="shared" si="85"/>
        <v>0</v>
      </c>
      <c r="AR261" s="86">
        <f t="shared" si="86"/>
        <v>0</v>
      </c>
      <c r="AS261" s="94">
        <f t="shared" si="87"/>
        <v>0</v>
      </c>
      <c r="AT261" s="94">
        <f t="shared" si="88"/>
        <v>0</v>
      </c>
      <c r="AU261" s="94">
        <f t="shared" si="89"/>
        <v>0</v>
      </c>
    </row>
    <row r="262" spans="1:48" x14ac:dyDescent="0.3">
      <c r="A262" s="85" t="str">
        <f>_xlfn.XLOOKUP(B262,'Country codes &amp; Data sources'!G:G,'Country codes &amp; Data sources'!H:H,,0)</f>
        <v>Comoros</v>
      </c>
      <c r="B262" s="85" t="s">
        <v>196</v>
      </c>
      <c r="C262" s="86">
        <v>684572.5</v>
      </c>
      <c r="D262" s="85" t="s">
        <v>83</v>
      </c>
      <c r="E262" s="87">
        <v>0</v>
      </c>
      <c r="F262" s="88">
        <v>699392.50000000035</v>
      </c>
      <c r="G262" s="87">
        <v>0</v>
      </c>
      <c r="I262" s="87">
        <v>0</v>
      </c>
      <c r="K262" s="87">
        <v>0</v>
      </c>
      <c r="M262" s="87">
        <v>0</v>
      </c>
      <c r="O262" s="87">
        <v>0</v>
      </c>
      <c r="P262" s="88">
        <v>776313.5000000007</v>
      </c>
      <c r="Q262" s="87">
        <v>0</v>
      </c>
      <c r="R262" s="87">
        <f t="shared" si="72"/>
        <v>0</v>
      </c>
      <c r="T262" s="87">
        <v>0</v>
      </c>
      <c r="V262" s="87">
        <v>0</v>
      </c>
      <c r="X262" s="87">
        <v>0</v>
      </c>
      <c r="Y262" s="88">
        <v>836773.49999999977</v>
      </c>
      <c r="Z262" s="87">
        <v>0</v>
      </c>
      <c r="AA262" s="87">
        <v>0</v>
      </c>
      <c r="AB262" s="89">
        <f t="shared" si="73"/>
        <v>0</v>
      </c>
      <c r="AC262" s="89">
        <f t="shared" si="74"/>
        <v>0</v>
      </c>
      <c r="AD262" s="89">
        <f t="shared" si="75"/>
        <v>0</v>
      </c>
      <c r="AE262" s="90">
        <f t="shared" si="76"/>
        <v>0</v>
      </c>
      <c r="AF262" s="90" t="str">
        <f t="shared" si="77"/>
        <v/>
      </c>
      <c r="AG262" s="90">
        <f t="shared" si="78"/>
        <v>0</v>
      </c>
      <c r="AH262" s="90" t="str">
        <f t="shared" si="79"/>
        <v/>
      </c>
      <c r="AI262" s="90">
        <f t="shared" si="80"/>
        <v>0</v>
      </c>
      <c r="AJ262" s="90" t="str">
        <f t="shared" si="81"/>
        <v/>
      </c>
      <c r="AK262" s="90" t="str">
        <f t="shared" si="82"/>
        <v/>
      </c>
      <c r="AL262" s="91">
        <f>IF(AK262="Adjust",(_xlfn.XLOOKUP(A262,'Adj factor'!A:A,'Adj factor'!I:I,,0)*AI262),'Master DataSheet'!AI262)</f>
        <v>0</v>
      </c>
      <c r="AM262" s="91">
        <f t="shared" si="83"/>
        <v>0</v>
      </c>
      <c r="AN262" s="92" t="str">
        <f t="shared" si="84"/>
        <v>No change</v>
      </c>
      <c r="AO262" s="93">
        <f>VLOOKUP(B262,'Growthrates source'!A$2:H$49,8,FALSE)</f>
        <v>0.22761760688079957</v>
      </c>
      <c r="AP262" s="93">
        <f>VLOOKUP(B262,'Growthrates source'!A$2:I$49,9,FALSE)</f>
        <v>5.4673730437993617E-2</v>
      </c>
      <c r="AQ262" s="86">
        <f t="shared" si="85"/>
        <v>0</v>
      </c>
      <c r="AR262" s="86">
        <f t="shared" si="86"/>
        <v>0</v>
      </c>
      <c r="AS262" s="94">
        <f t="shared" si="87"/>
        <v>0</v>
      </c>
      <c r="AT262" s="94">
        <f t="shared" si="88"/>
        <v>0</v>
      </c>
      <c r="AU262" s="94">
        <f t="shared" si="89"/>
        <v>0</v>
      </c>
    </row>
    <row r="263" spans="1:48" x14ac:dyDescent="0.3">
      <c r="A263" s="85" t="str">
        <f>_xlfn.XLOOKUP(B263,'Country codes &amp; Data sources'!G:G,'Country codes &amp; Data sources'!H:H,,0)</f>
        <v>Comoros</v>
      </c>
      <c r="B263" s="85" t="s">
        <v>196</v>
      </c>
      <c r="C263" s="86">
        <v>684573.5</v>
      </c>
      <c r="D263" s="85" t="s">
        <v>84</v>
      </c>
      <c r="E263" s="87">
        <v>0</v>
      </c>
      <c r="F263" s="88">
        <v>699392.50000000035</v>
      </c>
      <c r="G263" s="87">
        <v>0</v>
      </c>
      <c r="I263" s="87">
        <v>0</v>
      </c>
      <c r="K263" s="87">
        <v>0</v>
      </c>
      <c r="M263" s="87">
        <v>0</v>
      </c>
      <c r="O263" s="87">
        <v>0</v>
      </c>
      <c r="P263" s="88">
        <v>776313.5000000007</v>
      </c>
      <c r="Q263" s="87">
        <v>0</v>
      </c>
      <c r="R263" s="87">
        <f t="shared" si="72"/>
        <v>0</v>
      </c>
      <c r="T263" s="87">
        <v>0</v>
      </c>
      <c r="V263" s="87">
        <v>0</v>
      </c>
      <c r="X263" s="87">
        <v>0</v>
      </c>
      <c r="Y263" s="88">
        <v>836773.49999999977</v>
      </c>
      <c r="Z263" s="87">
        <v>0</v>
      </c>
      <c r="AA263" s="87">
        <v>0</v>
      </c>
      <c r="AB263" s="89">
        <f t="shared" si="73"/>
        <v>0</v>
      </c>
      <c r="AC263" s="89">
        <f t="shared" si="74"/>
        <v>0</v>
      </c>
      <c r="AD263" s="89">
        <f t="shared" si="75"/>
        <v>0</v>
      </c>
      <c r="AE263" s="90">
        <f t="shared" si="76"/>
        <v>0</v>
      </c>
      <c r="AF263" s="90" t="str">
        <f t="shared" si="77"/>
        <v/>
      </c>
      <c r="AG263" s="90">
        <f t="shared" si="78"/>
        <v>0</v>
      </c>
      <c r="AH263" s="90" t="str">
        <f t="shared" si="79"/>
        <v/>
      </c>
      <c r="AI263" s="90">
        <f t="shared" si="80"/>
        <v>0</v>
      </c>
      <c r="AJ263" s="90" t="str">
        <f t="shared" si="81"/>
        <v/>
      </c>
      <c r="AK263" s="90" t="str">
        <f t="shared" si="82"/>
        <v/>
      </c>
      <c r="AL263" s="91">
        <f>IF(AK263="Adjust",(_xlfn.XLOOKUP(A263,'Adj factor'!A:A,'Adj factor'!I:I,,0)*AI263),'Master DataSheet'!AI263)</f>
        <v>0</v>
      </c>
      <c r="AM263" s="91">
        <f t="shared" si="83"/>
        <v>0</v>
      </c>
      <c r="AN263" s="92" t="str">
        <f t="shared" si="84"/>
        <v>No change</v>
      </c>
      <c r="AO263" s="93">
        <f>VLOOKUP(B263,'Growthrates source'!A$2:H$49,8,FALSE)</f>
        <v>0.22761760688079957</v>
      </c>
      <c r="AP263" s="93">
        <f>VLOOKUP(B263,'Growthrates source'!A$2:I$49,9,FALSE)</f>
        <v>5.4673730437993617E-2</v>
      </c>
      <c r="AQ263" s="86">
        <f t="shared" si="85"/>
        <v>0</v>
      </c>
      <c r="AR263" s="86">
        <f t="shared" si="86"/>
        <v>0</v>
      </c>
      <c r="AS263" s="94">
        <f t="shared" si="87"/>
        <v>0</v>
      </c>
      <c r="AT263" s="94">
        <f t="shared" si="88"/>
        <v>0</v>
      </c>
      <c r="AU263" s="94">
        <f t="shared" si="89"/>
        <v>0</v>
      </c>
    </row>
    <row r="264" spans="1:48" x14ac:dyDescent="0.3">
      <c r="A264" s="85" t="str">
        <f>_xlfn.XLOOKUP(B264,'Country codes &amp; Data sources'!G:G,'Country codes &amp; Data sources'!H:H,,0)</f>
        <v>Comoros</v>
      </c>
      <c r="B264" s="85" t="s">
        <v>196</v>
      </c>
      <c r="C264" s="86">
        <v>684574.5</v>
      </c>
      <c r="D264" s="85" t="s">
        <v>126</v>
      </c>
      <c r="E264" s="87">
        <v>0</v>
      </c>
      <c r="F264" s="88">
        <v>699392.50000000035</v>
      </c>
      <c r="G264" s="87">
        <v>0</v>
      </c>
      <c r="I264" s="87">
        <v>0</v>
      </c>
      <c r="K264" s="87">
        <v>0</v>
      </c>
      <c r="M264" s="87">
        <v>0</v>
      </c>
      <c r="O264" s="87">
        <v>0</v>
      </c>
      <c r="P264" s="88">
        <v>776313.5000000007</v>
      </c>
      <c r="Q264" s="87">
        <v>0</v>
      </c>
      <c r="R264" s="87">
        <f t="shared" si="72"/>
        <v>0</v>
      </c>
      <c r="T264" s="87">
        <v>0</v>
      </c>
      <c r="V264" s="87">
        <v>0</v>
      </c>
      <c r="X264" s="87">
        <v>0</v>
      </c>
      <c r="Y264" s="88">
        <v>836773.49999999977</v>
      </c>
      <c r="Z264" s="87">
        <v>0</v>
      </c>
      <c r="AA264" s="87">
        <v>0</v>
      </c>
      <c r="AB264" s="89">
        <f t="shared" si="73"/>
        <v>0</v>
      </c>
      <c r="AC264" s="89">
        <f t="shared" si="74"/>
        <v>0</v>
      </c>
      <c r="AD264" s="89">
        <f t="shared" si="75"/>
        <v>0</v>
      </c>
      <c r="AE264" s="90">
        <f t="shared" si="76"/>
        <v>0</v>
      </c>
      <c r="AF264" s="90" t="str">
        <f t="shared" si="77"/>
        <v/>
      </c>
      <c r="AG264" s="90">
        <f t="shared" si="78"/>
        <v>0</v>
      </c>
      <c r="AH264" s="90" t="str">
        <f t="shared" si="79"/>
        <v/>
      </c>
      <c r="AI264" s="90">
        <f t="shared" si="80"/>
        <v>0</v>
      </c>
      <c r="AJ264" s="90" t="str">
        <f t="shared" si="81"/>
        <v/>
      </c>
      <c r="AK264" s="90" t="str">
        <f t="shared" si="82"/>
        <v/>
      </c>
      <c r="AL264" s="91">
        <f>IF(AK264="Adjust",(_xlfn.XLOOKUP(A264,'Adj factor'!A:A,'Adj factor'!I:I,,0)*AI264),'Master DataSheet'!AI264)</f>
        <v>0</v>
      </c>
      <c r="AM264" s="91">
        <f t="shared" si="83"/>
        <v>0</v>
      </c>
      <c r="AN264" s="92" t="str">
        <f t="shared" si="84"/>
        <v>No change</v>
      </c>
      <c r="AO264" s="93">
        <f>VLOOKUP(B264,'Growthrates source'!A$2:H$49,8,FALSE)</f>
        <v>0.22761760688079957</v>
      </c>
      <c r="AP264" s="93">
        <f>VLOOKUP(B264,'Growthrates source'!A$2:I$49,9,FALSE)</f>
        <v>5.4673730437993617E-2</v>
      </c>
      <c r="AQ264" s="86">
        <f t="shared" si="85"/>
        <v>0</v>
      </c>
      <c r="AR264" s="86">
        <f t="shared" si="86"/>
        <v>0</v>
      </c>
      <c r="AS264" s="94">
        <f t="shared" si="87"/>
        <v>0</v>
      </c>
      <c r="AT264" s="94">
        <f t="shared" si="88"/>
        <v>0</v>
      </c>
      <c r="AU264" s="94">
        <f t="shared" si="89"/>
        <v>0</v>
      </c>
    </row>
    <row r="265" spans="1:48" x14ac:dyDescent="0.3">
      <c r="A265" s="85" t="str">
        <f>_xlfn.XLOOKUP(B265,'Country codes &amp; Data sources'!G:G,'Country codes &amp; Data sources'!H:H,,0)</f>
        <v>Comoros</v>
      </c>
      <c r="B265" s="85" t="s">
        <v>196</v>
      </c>
      <c r="C265" s="86">
        <v>684575.5</v>
      </c>
      <c r="D265" s="85" t="s">
        <v>87</v>
      </c>
      <c r="E265" s="87">
        <v>0</v>
      </c>
      <c r="F265" s="88">
        <v>699392.50000000035</v>
      </c>
      <c r="G265" s="87">
        <v>0</v>
      </c>
      <c r="I265" s="87">
        <v>0</v>
      </c>
      <c r="K265" s="87">
        <v>0</v>
      </c>
      <c r="M265" s="87">
        <v>0</v>
      </c>
      <c r="O265" s="87">
        <v>0</v>
      </c>
      <c r="P265" s="88">
        <v>776313.5000000007</v>
      </c>
      <c r="Q265" s="87">
        <v>0</v>
      </c>
      <c r="R265" s="87">
        <f t="shared" si="72"/>
        <v>0</v>
      </c>
      <c r="T265" s="87">
        <v>0</v>
      </c>
      <c r="V265" s="87">
        <v>0</v>
      </c>
      <c r="X265" s="87">
        <v>0</v>
      </c>
      <c r="Y265" s="88">
        <v>836773.49999999977</v>
      </c>
      <c r="Z265" s="87">
        <v>0</v>
      </c>
      <c r="AA265" s="87">
        <v>0</v>
      </c>
      <c r="AB265" s="89">
        <f t="shared" si="73"/>
        <v>0</v>
      </c>
      <c r="AC265" s="89">
        <f t="shared" si="74"/>
        <v>0</v>
      </c>
      <c r="AD265" s="89">
        <f t="shared" si="75"/>
        <v>0</v>
      </c>
      <c r="AE265" s="90">
        <f t="shared" si="76"/>
        <v>0</v>
      </c>
      <c r="AF265" s="90" t="str">
        <f t="shared" si="77"/>
        <v/>
      </c>
      <c r="AG265" s="90">
        <f t="shared" si="78"/>
        <v>0</v>
      </c>
      <c r="AH265" s="90" t="str">
        <f t="shared" si="79"/>
        <v/>
      </c>
      <c r="AI265" s="90">
        <f t="shared" si="80"/>
        <v>0</v>
      </c>
      <c r="AJ265" s="90" t="str">
        <f t="shared" si="81"/>
        <v/>
      </c>
      <c r="AK265" s="90" t="str">
        <f t="shared" si="82"/>
        <v/>
      </c>
      <c r="AL265" s="91">
        <f>IF(AK265="Adjust",(_xlfn.XLOOKUP(A265,'Adj factor'!A:A,'Adj factor'!I:I,,0)*AI265),'Master DataSheet'!AI265)</f>
        <v>0</v>
      </c>
      <c r="AM265" s="91">
        <f t="shared" si="83"/>
        <v>0</v>
      </c>
      <c r="AN265" s="92" t="str">
        <f t="shared" si="84"/>
        <v>No change</v>
      </c>
      <c r="AO265" s="93">
        <f>VLOOKUP(B265,'Growthrates source'!A$2:H$49,8,FALSE)</f>
        <v>0.22761760688079957</v>
      </c>
      <c r="AP265" s="93">
        <f>VLOOKUP(B265,'Growthrates source'!A$2:I$49,9,FALSE)</f>
        <v>5.4673730437993617E-2</v>
      </c>
      <c r="AQ265" s="86">
        <f t="shared" si="85"/>
        <v>0</v>
      </c>
      <c r="AR265" s="86">
        <f t="shared" si="86"/>
        <v>0</v>
      </c>
      <c r="AS265" s="94">
        <f t="shared" si="87"/>
        <v>0</v>
      </c>
      <c r="AT265" s="94">
        <f t="shared" si="88"/>
        <v>0</v>
      </c>
      <c r="AU265" s="94">
        <f t="shared" si="89"/>
        <v>0</v>
      </c>
    </row>
    <row r="266" spans="1:48" s="95" customFormat="1" x14ac:dyDescent="0.3">
      <c r="A266" s="95" t="str">
        <f>_xlfn.XLOOKUP(B266,'Country codes &amp; Data sources'!G:G,'Country codes &amp; Data sources'!H:H,,0)</f>
        <v>Cape-Verde</v>
      </c>
      <c r="B266" s="95" t="s">
        <v>167</v>
      </c>
      <c r="C266" s="60">
        <v>533864.00000000012</v>
      </c>
      <c r="D266" s="95" t="s">
        <v>321</v>
      </c>
      <c r="E266" s="96">
        <v>520</v>
      </c>
      <c r="F266" s="97">
        <v>539939.99999999988</v>
      </c>
      <c r="G266" s="96">
        <v>616</v>
      </c>
      <c r="H266" s="96">
        <v>546076</v>
      </c>
      <c r="I266" s="96">
        <v>0</v>
      </c>
      <c r="J266" s="96">
        <v>552166.00000000012</v>
      </c>
      <c r="K266" s="96">
        <v>820</v>
      </c>
      <c r="L266" s="96">
        <v>558394.50000000035</v>
      </c>
      <c r="M266" s="96">
        <v>816</v>
      </c>
      <c r="N266" s="96">
        <v>564954.00000000035</v>
      </c>
      <c r="O266" s="96">
        <v>0</v>
      </c>
      <c r="P266" s="97">
        <v>571201.5</v>
      </c>
      <c r="Q266" s="96">
        <v>916</v>
      </c>
      <c r="R266" s="96">
        <f t="shared" si="72"/>
        <v>916</v>
      </c>
      <c r="S266" s="96">
        <v>577030.49999999965</v>
      </c>
      <c r="T266" s="96">
        <v>0</v>
      </c>
      <c r="U266" s="96">
        <v>582640.00000000023</v>
      </c>
      <c r="V266" s="96">
        <v>0</v>
      </c>
      <c r="W266" s="96">
        <v>587925</v>
      </c>
      <c r="X266" s="96">
        <v>0</v>
      </c>
      <c r="Y266" s="97">
        <v>593149.50000000012</v>
      </c>
      <c r="Z266" s="96">
        <v>5532</v>
      </c>
      <c r="AA266" s="96">
        <v>452</v>
      </c>
      <c r="AB266" s="98">
        <f t="shared" si="73"/>
        <v>820</v>
      </c>
      <c r="AC266" s="98">
        <f t="shared" si="74"/>
        <v>916</v>
      </c>
      <c r="AD266" s="98">
        <f t="shared" si="75"/>
        <v>5532</v>
      </c>
      <c r="AE266" s="99">
        <f t="shared" si="76"/>
        <v>616</v>
      </c>
      <c r="AF266" s="99">
        <f t="shared" si="77"/>
        <v>2013</v>
      </c>
      <c r="AG266" s="99">
        <f t="shared" si="78"/>
        <v>916</v>
      </c>
      <c r="AH266" s="99">
        <f t="shared" si="79"/>
        <v>2018</v>
      </c>
      <c r="AI266" s="99">
        <f t="shared" si="80"/>
        <v>5532</v>
      </c>
      <c r="AJ266" s="99">
        <f t="shared" si="81"/>
        <v>2022</v>
      </c>
      <c r="AK266" s="99" t="str">
        <f t="shared" si="82"/>
        <v/>
      </c>
      <c r="AL266" s="61">
        <f>IF(AK266="Adjust",(_xlfn.XLOOKUP(A266,'Adj factor'!A:A,'Adj factor'!I:I,,0)*AI266),'Master DataSheet'!AI266)</f>
        <v>5532</v>
      </c>
      <c r="AM266" s="61">
        <f t="shared" si="83"/>
        <v>5532</v>
      </c>
      <c r="AN266" s="62" t="str">
        <f t="shared" si="84"/>
        <v>Increasing</v>
      </c>
      <c r="AO266" s="100">
        <f>VLOOKUP(B266,'Growthrates source'!A$2:H$49,8,FALSE)</f>
        <v>0.12998282689096063</v>
      </c>
      <c r="AP266" s="100">
        <f>VLOOKUP(B266,'Growthrates source'!A$2:I$49,9,FALSE)</f>
        <v>5.4673730437993617E-2</v>
      </c>
      <c r="AQ266" s="60">
        <f t="shared" si="85"/>
        <v>235.98495320272337</v>
      </c>
      <c r="AR266" s="60">
        <f t="shared" si="86"/>
        <v>532.56415603657706</v>
      </c>
      <c r="AS266" s="102">
        <f t="shared" si="87"/>
        <v>11.408675037967184</v>
      </c>
      <c r="AT266" s="102">
        <f t="shared" si="88"/>
        <v>16.036372453503709</v>
      </c>
      <c r="AU266" s="101">
        <f t="shared" si="89"/>
        <v>93.264851441331388</v>
      </c>
      <c r="AV266" s="117"/>
    </row>
    <row r="267" spans="1:48" x14ac:dyDescent="0.3">
      <c r="A267" s="85" t="str">
        <f>_xlfn.XLOOKUP(B267,'Country codes &amp; Data sources'!G:G,'Country codes &amp; Data sources'!H:H,,0)</f>
        <v>Cape-Verde</v>
      </c>
      <c r="B267" s="85" t="s">
        <v>167</v>
      </c>
      <c r="C267" s="86">
        <v>533865</v>
      </c>
      <c r="D267" s="85" t="s">
        <v>322</v>
      </c>
      <c r="E267" s="87">
        <v>1102</v>
      </c>
      <c r="F267" s="88">
        <v>539939.99999999988</v>
      </c>
      <c r="G267" s="87">
        <v>806</v>
      </c>
      <c r="I267" s="87">
        <v>952</v>
      </c>
      <c r="K267" s="87">
        <v>996</v>
      </c>
      <c r="M267" s="87">
        <v>1224</v>
      </c>
      <c r="O267" s="87">
        <v>1376</v>
      </c>
      <c r="P267" s="88">
        <v>571201.5</v>
      </c>
      <c r="Q267" s="87">
        <v>1412</v>
      </c>
      <c r="R267" s="87">
        <f t="shared" si="72"/>
        <v>1412</v>
      </c>
      <c r="T267" s="87">
        <v>0</v>
      </c>
      <c r="V267" s="87">
        <v>0</v>
      </c>
      <c r="X267" s="87">
        <v>0</v>
      </c>
      <c r="Y267" s="88">
        <v>593149.50000000012</v>
      </c>
      <c r="Z267" s="87">
        <v>1882</v>
      </c>
      <c r="AA267" s="87">
        <v>768</v>
      </c>
      <c r="AB267" s="89">
        <f t="shared" si="73"/>
        <v>1102</v>
      </c>
      <c r="AC267" s="89">
        <f t="shared" si="74"/>
        <v>1412</v>
      </c>
      <c r="AD267" s="89">
        <f t="shared" si="75"/>
        <v>1882</v>
      </c>
      <c r="AE267" s="90">
        <f t="shared" si="76"/>
        <v>806</v>
      </c>
      <c r="AF267" s="90">
        <f t="shared" si="77"/>
        <v>2013</v>
      </c>
      <c r="AG267" s="90">
        <f t="shared" si="78"/>
        <v>1412</v>
      </c>
      <c r="AH267" s="90">
        <f t="shared" si="79"/>
        <v>2018</v>
      </c>
      <c r="AI267" s="90">
        <f t="shared" si="80"/>
        <v>1882</v>
      </c>
      <c r="AJ267" s="90">
        <f t="shared" si="81"/>
        <v>2022</v>
      </c>
      <c r="AK267" s="90" t="str">
        <f t="shared" si="82"/>
        <v/>
      </c>
      <c r="AL267" s="91">
        <f>IF(AK267="Adjust",(_xlfn.XLOOKUP(A267,'Adj factor'!A:A,'Adj factor'!I:I,,0)*AI267),'Master DataSheet'!AI267)</f>
        <v>1882</v>
      </c>
      <c r="AM267" s="91">
        <f t="shared" si="83"/>
        <v>1882</v>
      </c>
      <c r="AN267" s="92" t="str">
        <f t="shared" si="84"/>
        <v>Increasing</v>
      </c>
      <c r="AO267" s="93">
        <f>VLOOKUP(B267,'Growthrates source'!A$2:H$49,8,FALSE)</f>
        <v>0.12998282689096063</v>
      </c>
      <c r="AP267" s="93">
        <f>VLOOKUP(B267,'Growthrates source'!A$2:I$49,9,FALSE)</f>
        <v>5.4673730437993617E-2</v>
      </c>
      <c r="AQ267" s="86">
        <f t="shared" si="85"/>
        <v>400.96558420285743</v>
      </c>
      <c r="AR267" s="86">
        <f t="shared" si="86"/>
        <v>904.8877695488743</v>
      </c>
      <c r="AS267" s="94">
        <f t="shared" si="87"/>
        <v>14.927584546431088</v>
      </c>
      <c r="AT267" s="94">
        <f t="shared" si="88"/>
        <v>24.719823039680392</v>
      </c>
      <c r="AU267" s="94">
        <f t="shared" si="89"/>
        <v>31.72893174486364</v>
      </c>
    </row>
    <row r="268" spans="1:48" x14ac:dyDescent="0.3">
      <c r="A268" s="85" t="str">
        <f>_xlfn.XLOOKUP(B268,'Country codes &amp; Data sources'!G:G,'Country codes &amp; Data sources'!H:H,,0)</f>
        <v>Cape-Verde</v>
      </c>
      <c r="B268" s="85" t="s">
        <v>167</v>
      </c>
      <c r="C268" s="86">
        <v>533866</v>
      </c>
      <c r="D268" s="85" t="s">
        <v>323</v>
      </c>
      <c r="E268" s="87">
        <v>0</v>
      </c>
      <c r="F268" s="88">
        <v>539939.99999999988</v>
      </c>
      <c r="G268" s="87">
        <v>0</v>
      </c>
      <c r="I268" s="87">
        <v>0</v>
      </c>
      <c r="K268" s="87">
        <v>0</v>
      </c>
      <c r="M268" s="87">
        <v>0</v>
      </c>
      <c r="O268" s="87">
        <v>0</v>
      </c>
      <c r="P268" s="88">
        <v>571201.5</v>
      </c>
      <c r="Q268" s="87">
        <v>0</v>
      </c>
      <c r="R268" s="87">
        <f t="shared" si="72"/>
        <v>27</v>
      </c>
      <c r="T268" s="87">
        <v>0</v>
      </c>
      <c r="V268" s="87">
        <v>0</v>
      </c>
      <c r="X268" s="87">
        <v>0</v>
      </c>
      <c r="Y268" s="88">
        <v>593149.50000000012</v>
      </c>
      <c r="Z268" s="87">
        <v>0</v>
      </c>
      <c r="AA268" s="87">
        <v>27</v>
      </c>
      <c r="AB268" s="89">
        <f t="shared" si="73"/>
        <v>0</v>
      </c>
      <c r="AC268" s="89">
        <f t="shared" si="74"/>
        <v>0</v>
      </c>
      <c r="AD268" s="89">
        <f t="shared" si="75"/>
        <v>0</v>
      </c>
      <c r="AE268" s="90">
        <f t="shared" si="76"/>
        <v>0</v>
      </c>
      <c r="AF268" s="90" t="str">
        <f t="shared" si="77"/>
        <v/>
      </c>
      <c r="AG268" s="90">
        <f t="shared" si="78"/>
        <v>27</v>
      </c>
      <c r="AH268" s="90" t="str">
        <f t="shared" si="79"/>
        <v>2018 (triag)</v>
      </c>
      <c r="AI268" s="90">
        <f t="shared" si="80"/>
        <v>27</v>
      </c>
      <c r="AJ268" s="90" t="str">
        <f t="shared" si="81"/>
        <v>2018 (triag)</v>
      </c>
      <c r="AK268" s="90" t="str">
        <f t="shared" si="82"/>
        <v/>
      </c>
      <c r="AL268" s="91">
        <f>IF(AK268="Adjust",(_xlfn.XLOOKUP(A268,'Adj factor'!A:A,'Adj factor'!I:I,,0)*AI268),'Master DataSheet'!AI268)</f>
        <v>27</v>
      </c>
      <c r="AM268" s="91">
        <f t="shared" si="83"/>
        <v>27</v>
      </c>
      <c r="AN268" s="92" t="str">
        <f t="shared" si="84"/>
        <v>No change</v>
      </c>
      <c r="AO268" s="93">
        <f>VLOOKUP(B268,'Growthrates source'!A$2:H$49,8,FALSE)</f>
        <v>0.12998282689096063</v>
      </c>
      <c r="AP268" s="93">
        <f>VLOOKUP(B268,'Growthrates source'!A$2:I$49,9,FALSE)</f>
        <v>5.4673730437993617E-2</v>
      </c>
      <c r="AQ268" s="86">
        <f t="shared" si="85"/>
        <v>14.096446319631706</v>
      </c>
      <c r="AR268" s="86">
        <f t="shared" si="86"/>
        <v>31.812460648202613</v>
      </c>
      <c r="AS268" s="94">
        <f t="shared" si="87"/>
        <v>0</v>
      </c>
      <c r="AT268" s="94">
        <f t="shared" si="88"/>
        <v>0.47268783432816613</v>
      </c>
      <c r="AU268" s="94">
        <f t="shared" si="89"/>
        <v>0.45519721419304904</v>
      </c>
    </row>
    <row r="269" spans="1:48" x14ac:dyDescent="0.3">
      <c r="A269" s="85" t="str">
        <f>_xlfn.XLOOKUP(B269,'Country codes &amp; Data sources'!G:G,'Country codes &amp; Data sources'!H:H,,0)</f>
        <v>Cape-Verde</v>
      </c>
      <c r="B269" s="85" t="s">
        <v>167</v>
      </c>
      <c r="C269" s="86">
        <v>533867</v>
      </c>
      <c r="D269" s="85" t="s">
        <v>324</v>
      </c>
      <c r="E269" s="87">
        <v>377</v>
      </c>
      <c r="F269" s="88">
        <v>539939.99999999988</v>
      </c>
      <c r="G269" s="87">
        <v>0</v>
      </c>
      <c r="I269" s="87">
        <v>351</v>
      </c>
      <c r="K269" s="87">
        <v>0</v>
      </c>
      <c r="M269" s="87">
        <v>0</v>
      </c>
      <c r="O269" s="87">
        <v>0</v>
      </c>
      <c r="P269" s="88">
        <v>571201.5</v>
      </c>
      <c r="Q269" s="87">
        <v>2168</v>
      </c>
      <c r="R269" s="87">
        <f t="shared" si="72"/>
        <v>2168</v>
      </c>
      <c r="T269" s="87">
        <v>0</v>
      </c>
      <c r="V269" s="87">
        <v>0</v>
      </c>
      <c r="X269" s="87">
        <v>254</v>
      </c>
      <c r="Y269" s="88">
        <v>593149.50000000012</v>
      </c>
      <c r="Z269" s="87">
        <v>0</v>
      </c>
      <c r="AA269" s="87">
        <v>172</v>
      </c>
      <c r="AB269" s="89">
        <f t="shared" si="73"/>
        <v>377</v>
      </c>
      <c r="AC269" s="89">
        <f t="shared" si="74"/>
        <v>2168</v>
      </c>
      <c r="AD269" s="89">
        <f t="shared" si="75"/>
        <v>254</v>
      </c>
      <c r="AE269" s="90">
        <f t="shared" si="76"/>
        <v>377</v>
      </c>
      <c r="AF269" s="90">
        <f t="shared" si="77"/>
        <v>2012</v>
      </c>
      <c r="AG269" s="90">
        <f t="shared" si="78"/>
        <v>2168</v>
      </c>
      <c r="AH269" s="90">
        <f t="shared" si="79"/>
        <v>2018</v>
      </c>
      <c r="AI269" s="90">
        <f t="shared" si="80"/>
        <v>254</v>
      </c>
      <c r="AJ269" s="90">
        <f t="shared" si="81"/>
        <v>2021</v>
      </c>
      <c r="AK269" s="90" t="str">
        <f t="shared" si="82"/>
        <v>Adjust</v>
      </c>
      <c r="AL269" s="91">
        <f>IF(AK269="Adjust",(_xlfn.XLOOKUP(A269,'Adj factor'!A:A,'Adj factor'!I:I,,0)*AI269),'Master DataSheet'!AI269)</f>
        <v>315.83036471586092</v>
      </c>
      <c r="AM269" s="91">
        <f t="shared" si="83"/>
        <v>2168</v>
      </c>
      <c r="AN269" s="92" t="str">
        <f t="shared" si="84"/>
        <v>Decreasing</v>
      </c>
      <c r="AO269" s="93">
        <f>VLOOKUP(B269,'Growthrates source'!A$2:H$49,8,FALSE)</f>
        <v>0.12998282689096063</v>
      </c>
      <c r="AP269" s="93">
        <f>VLOOKUP(B269,'Growthrates source'!A$2:I$49,9,FALSE)</f>
        <v>5.4673730437993617E-2</v>
      </c>
      <c r="AQ269" s="86">
        <f t="shared" si="85"/>
        <v>89.799583962098268</v>
      </c>
      <c r="AR269" s="86">
        <f t="shared" si="86"/>
        <v>202.6571567218833</v>
      </c>
      <c r="AS269" s="94">
        <f t="shared" si="87"/>
        <v>6.9822572878467994</v>
      </c>
      <c r="AT269" s="94">
        <f t="shared" si="88"/>
        <v>37.955082400869046</v>
      </c>
      <c r="AU269" s="94">
        <f t="shared" si="89"/>
        <v>36.550650384093714</v>
      </c>
    </row>
    <row r="270" spans="1:48" s="95" customFormat="1" x14ac:dyDescent="0.3">
      <c r="A270" s="95" t="str">
        <f>_xlfn.XLOOKUP(B270,'Country codes &amp; Data sources'!G:G,'Country codes &amp; Data sources'!H:H,,0)</f>
        <v>Cape-Verde</v>
      </c>
      <c r="B270" s="95" t="s">
        <v>167</v>
      </c>
      <c r="C270" s="60">
        <v>533868</v>
      </c>
      <c r="D270" s="95" t="s">
        <v>325</v>
      </c>
      <c r="E270" s="96">
        <v>147</v>
      </c>
      <c r="F270" s="97">
        <v>539939.99999999988</v>
      </c>
      <c r="G270" s="96">
        <v>6365</v>
      </c>
      <c r="H270" s="96"/>
      <c r="I270" s="96">
        <v>116</v>
      </c>
      <c r="J270" s="96"/>
      <c r="K270" s="96">
        <v>0</v>
      </c>
      <c r="L270" s="96"/>
      <c r="M270" s="96">
        <v>0</v>
      </c>
      <c r="N270" s="96"/>
      <c r="O270" s="96">
        <v>1210</v>
      </c>
      <c r="P270" s="97">
        <v>571201.5</v>
      </c>
      <c r="Q270" s="96">
        <v>570</v>
      </c>
      <c r="R270" s="96">
        <f t="shared" si="72"/>
        <v>570</v>
      </c>
      <c r="S270" s="96"/>
      <c r="T270" s="96">
        <v>577</v>
      </c>
      <c r="U270" s="96"/>
      <c r="V270" s="96">
        <v>0</v>
      </c>
      <c r="W270" s="96"/>
      <c r="X270" s="96">
        <v>25</v>
      </c>
      <c r="Y270" s="97">
        <v>593149.50000000012</v>
      </c>
      <c r="Z270" s="96">
        <v>0</v>
      </c>
      <c r="AA270" s="96">
        <v>81</v>
      </c>
      <c r="AB270" s="98">
        <f t="shared" si="73"/>
        <v>6365</v>
      </c>
      <c r="AC270" s="98">
        <f t="shared" si="74"/>
        <v>1210</v>
      </c>
      <c r="AD270" s="98">
        <f t="shared" si="75"/>
        <v>25</v>
      </c>
      <c r="AE270" s="99">
        <f t="shared" si="76"/>
        <v>6365</v>
      </c>
      <c r="AF270" s="99">
        <f t="shared" si="77"/>
        <v>2013</v>
      </c>
      <c r="AG270" s="99">
        <f t="shared" si="78"/>
        <v>570</v>
      </c>
      <c r="AH270" s="99">
        <f t="shared" si="79"/>
        <v>2018</v>
      </c>
      <c r="AI270" s="99">
        <f t="shared" si="80"/>
        <v>25</v>
      </c>
      <c r="AJ270" s="99">
        <f t="shared" si="81"/>
        <v>2021</v>
      </c>
      <c r="AK270" s="99" t="str">
        <f t="shared" si="82"/>
        <v>Adjust</v>
      </c>
      <c r="AL270" s="61">
        <f>IF(AK270="Adjust",(_xlfn.XLOOKUP(A270,'Adj factor'!A:A,'Adj factor'!I:I,,0)*AI270),'Master DataSheet'!AI270)</f>
        <v>31.085665818490249</v>
      </c>
      <c r="AM270" s="61">
        <f t="shared" si="83"/>
        <v>570</v>
      </c>
      <c r="AN270" s="62" t="str">
        <f t="shared" si="84"/>
        <v>Decreasing</v>
      </c>
      <c r="AO270" s="100">
        <f>VLOOKUP(B270,'Growthrates source'!A$2:H$49,8,FALSE)</f>
        <v>0.12998282689096063</v>
      </c>
      <c r="AP270" s="100">
        <f>VLOOKUP(B270,'Growthrates source'!A$2:I$49,9,FALSE)</f>
        <v>5.4673730437993617E-2</v>
      </c>
      <c r="AQ270" s="60">
        <f t="shared" si="85"/>
        <v>42.289338958895115</v>
      </c>
      <c r="AR270" s="60">
        <f t="shared" si="86"/>
        <v>95.437381944607836</v>
      </c>
      <c r="AS270" s="101">
        <f t="shared" si="87"/>
        <v>117.88346853354079</v>
      </c>
      <c r="AT270" s="102">
        <f t="shared" si="88"/>
        <v>9.9789653913723964</v>
      </c>
      <c r="AU270" s="102">
        <f t="shared" si="89"/>
        <v>9.6097189662977023</v>
      </c>
      <c r="AV270" s="117"/>
    </row>
    <row r="271" spans="1:48" x14ac:dyDescent="0.3">
      <c r="A271" s="85" t="str">
        <f>_xlfn.XLOOKUP(B271,'Country codes &amp; Data sources'!G:G,'Country codes &amp; Data sources'!H:H,,0)</f>
        <v>Cape-Verde</v>
      </c>
      <c r="B271" s="85" t="s">
        <v>167</v>
      </c>
      <c r="C271" s="86">
        <v>533869</v>
      </c>
      <c r="D271" s="85" t="s">
        <v>127</v>
      </c>
      <c r="E271" s="87">
        <v>0</v>
      </c>
      <c r="F271" s="88">
        <v>539939.99999999988</v>
      </c>
      <c r="G271" s="87">
        <v>0</v>
      </c>
      <c r="I271" s="87">
        <v>0</v>
      </c>
      <c r="K271" s="87">
        <v>0</v>
      </c>
      <c r="M271" s="87">
        <v>0</v>
      </c>
      <c r="O271" s="87">
        <v>0</v>
      </c>
      <c r="P271" s="88">
        <v>571201.5</v>
      </c>
      <c r="Q271" s="87">
        <v>117</v>
      </c>
      <c r="R271" s="87">
        <f t="shared" si="72"/>
        <v>117</v>
      </c>
      <c r="T271" s="87">
        <v>0</v>
      </c>
      <c r="V271" s="87">
        <v>0</v>
      </c>
      <c r="X271" s="87">
        <v>0</v>
      </c>
      <c r="Y271" s="88">
        <v>593149.50000000012</v>
      </c>
      <c r="Z271" s="87">
        <v>155</v>
      </c>
      <c r="AA271" s="87">
        <v>117</v>
      </c>
      <c r="AB271" s="89">
        <f t="shared" si="73"/>
        <v>0</v>
      </c>
      <c r="AC271" s="89">
        <f t="shared" si="74"/>
        <v>117</v>
      </c>
      <c r="AD271" s="89">
        <f t="shared" si="75"/>
        <v>155</v>
      </c>
      <c r="AE271" s="90">
        <f t="shared" si="76"/>
        <v>0</v>
      </c>
      <c r="AF271" s="90" t="str">
        <f t="shared" si="77"/>
        <v/>
      </c>
      <c r="AG271" s="90">
        <f t="shared" si="78"/>
        <v>117</v>
      </c>
      <c r="AH271" s="90">
        <f t="shared" si="79"/>
        <v>2018</v>
      </c>
      <c r="AI271" s="90">
        <f t="shared" si="80"/>
        <v>155</v>
      </c>
      <c r="AJ271" s="90">
        <f t="shared" si="81"/>
        <v>2022</v>
      </c>
      <c r="AK271" s="90" t="str">
        <f t="shared" si="82"/>
        <v/>
      </c>
      <c r="AL271" s="91">
        <f>IF(AK271="Adjust",(_xlfn.XLOOKUP(A271,'Adj factor'!A:A,'Adj factor'!I:I,,0)*AI271),'Master DataSheet'!AI271)</f>
        <v>155</v>
      </c>
      <c r="AM271" s="91">
        <f t="shared" si="83"/>
        <v>155</v>
      </c>
      <c r="AN271" s="92" t="str">
        <f t="shared" si="84"/>
        <v>Increasing</v>
      </c>
      <c r="AO271" s="93">
        <f>VLOOKUP(B271,'Growthrates source'!A$2:H$49,8,FALSE)</f>
        <v>0.12998282689096063</v>
      </c>
      <c r="AP271" s="93">
        <f>VLOOKUP(B271,'Growthrates source'!A$2:I$49,9,FALSE)</f>
        <v>5.4673730437993617E-2</v>
      </c>
      <c r="AQ271" s="86">
        <f t="shared" si="85"/>
        <v>61.084600718404062</v>
      </c>
      <c r="AR271" s="86">
        <f t="shared" si="86"/>
        <v>137.85399614221132</v>
      </c>
      <c r="AS271" s="94">
        <f t="shared" si="87"/>
        <v>0</v>
      </c>
      <c r="AT271" s="94">
        <f t="shared" si="88"/>
        <v>2.0483139487553865</v>
      </c>
      <c r="AU271" s="94">
        <f t="shared" si="89"/>
        <v>2.613169192589726</v>
      </c>
    </row>
    <row r="272" spans="1:48" x14ac:dyDescent="0.3">
      <c r="A272" s="85" t="str">
        <f>_xlfn.XLOOKUP(B272,'Country codes &amp; Data sources'!G:G,'Country codes &amp; Data sources'!H:H,,0)</f>
        <v>Cape-Verde</v>
      </c>
      <c r="B272" s="85" t="s">
        <v>167</v>
      </c>
      <c r="C272" s="86">
        <v>533870</v>
      </c>
      <c r="D272" s="85" t="s">
        <v>61</v>
      </c>
      <c r="E272" s="87">
        <v>130</v>
      </c>
      <c r="F272" s="88">
        <v>539939.99999999988</v>
      </c>
      <c r="G272" s="87">
        <v>3781</v>
      </c>
      <c r="I272" s="87">
        <v>168</v>
      </c>
      <c r="K272" s="87">
        <v>0</v>
      </c>
      <c r="M272" s="87">
        <v>0</v>
      </c>
      <c r="O272" s="87">
        <v>0</v>
      </c>
      <c r="P272" s="88">
        <v>571201.5</v>
      </c>
      <c r="Q272" s="87">
        <v>0</v>
      </c>
      <c r="R272" s="87">
        <f t="shared" si="72"/>
        <v>18</v>
      </c>
      <c r="T272" s="87">
        <v>0</v>
      </c>
      <c r="V272" s="87">
        <v>0</v>
      </c>
      <c r="X272" s="87">
        <v>6</v>
      </c>
      <c r="Y272" s="88">
        <v>593149.50000000012</v>
      </c>
      <c r="Z272" s="87">
        <v>0</v>
      </c>
      <c r="AA272" s="87">
        <v>18</v>
      </c>
      <c r="AB272" s="89">
        <f t="shared" si="73"/>
        <v>3781</v>
      </c>
      <c r="AC272" s="89">
        <f t="shared" si="74"/>
        <v>0</v>
      </c>
      <c r="AD272" s="89">
        <f t="shared" si="75"/>
        <v>6</v>
      </c>
      <c r="AE272" s="90">
        <f t="shared" si="76"/>
        <v>3781</v>
      </c>
      <c r="AF272" s="90">
        <f t="shared" si="77"/>
        <v>2013</v>
      </c>
      <c r="AG272" s="90">
        <f t="shared" si="78"/>
        <v>18</v>
      </c>
      <c r="AH272" s="90" t="str">
        <f t="shared" si="79"/>
        <v>2018 (triag)</v>
      </c>
      <c r="AI272" s="90">
        <f t="shared" si="80"/>
        <v>6</v>
      </c>
      <c r="AJ272" s="90">
        <f t="shared" si="81"/>
        <v>2021</v>
      </c>
      <c r="AK272" s="90" t="str">
        <f t="shared" si="82"/>
        <v>Adjust</v>
      </c>
      <c r="AL272" s="91">
        <f>IF(AK272="Adjust",(_xlfn.XLOOKUP(A272,'Adj factor'!A:A,'Adj factor'!I:I,,0)*AI272),'Master DataSheet'!AI272)</f>
        <v>7.4605597964376598</v>
      </c>
      <c r="AM272" s="91">
        <f t="shared" si="83"/>
        <v>18</v>
      </c>
      <c r="AN272" s="92" t="str">
        <f t="shared" si="84"/>
        <v>Decreasing</v>
      </c>
      <c r="AO272" s="93">
        <f>VLOOKUP(B272,'Growthrates source'!A$2:H$49,8,FALSE)</f>
        <v>0.12998282689096063</v>
      </c>
      <c r="AP272" s="93">
        <f>VLOOKUP(B272,'Growthrates source'!A$2:I$49,9,FALSE)</f>
        <v>5.4673730437993617E-2</v>
      </c>
      <c r="AQ272" s="86">
        <f t="shared" si="85"/>
        <v>9.3976308797544696</v>
      </c>
      <c r="AR272" s="86">
        <f t="shared" si="86"/>
        <v>21.20830709880174</v>
      </c>
      <c r="AS272" s="94">
        <f t="shared" si="87"/>
        <v>70.026299218431689</v>
      </c>
      <c r="AT272" s="94">
        <f t="shared" si="88"/>
        <v>0.31512522288544409</v>
      </c>
      <c r="AU272" s="94">
        <f t="shared" si="89"/>
        <v>0.30346480946203269</v>
      </c>
    </row>
    <row r="273" spans="1:47" x14ac:dyDescent="0.3">
      <c r="A273" s="85" t="str">
        <f>_xlfn.XLOOKUP(B273,'Country codes &amp; Data sources'!G:G,'Country codes &amp; Data sources'!H:H,,0)</f>
        <v>Cape-Verde</v>
      </c>
      <c r="B273" s="85" t="s">
        <v>167</v>
      </c>
      <c r="C273" s="86">
        <v>533871</v>
      </c>
      <c r="D273" s="85" t="s">
        <v>62</v>
      </c>
      <c r="E273" s="87">
        <v>121</v>
      </c>
      <c r="F273" s="88">
        <v>539939.99999999988</v>
      </c>
      <c r="G273" s="87">
        <v>3881</v>
      </c>
      <c r="I273" s="87">
        <v>8</v>
      </c>
      <c r="K273" s="87">
        <v>0</v>
      </c>
      <c r="M273" s="87">
        <v>0</v>
      </c>
      <c r="O273" s="87">
        <v>0</v>
      </c>
      <c r="P273" s="88">
        <v>571201.5</v>
      </c>
      <c r="Q273" s="87">
        <v>3207</v>
      </c>
      <c r="R273" s="87">
        <f t="shared" si="72"/>
        <v>3207</v>
      </c>
      <c r="T273" s="87">
        <v>0</v>
      </c>
      <c r="V273" s="87">
        <v>0</v>
      </c>
      <c r="X273" s="87">
        <v>353</v>
      </c>
      <c r="Y273" s="88">
        <v>593149.50000000012</v>
      </c>
      <c r="Z273" s="87">
        <v>0</v>
      </c>
      <c r="AA273" s="87">
        <v>1</v>
      </c>
      <c r="AB273" s="89">
        <f t="shared" si="73"/>
        <v>3881</v>
      </c>
      <c r="AC273" s="89">
        <f t="shared" si="74"/>
        <v>3207</v>
      </c>
      <c r="AD273" s="89">
        <f t="shared" si="75"/>
        <v>353</v>
      </c>
      <c r="AE273" s="90">
        <f t="shared" si="76"/>
        <v>3881</v>
      </c>
      <c r="AF273" s="90">
        <f t="shared" si="77"/>
        <v>2013</v>
      </c>
      <c r="AG273" s="90">
        <f t="shared" si="78"/>
        <v>3207</v>
      </c>
      <c r="AH273" s="90">
        <f t="shared" si="79"/>
        <v>2018</v>
      </c>
      <c r="AI273" s="90">
        <f t="shared" si="80"/>
        <v>353</v>
      </c>
      <c r="AJ273" s="90">
        <f t="shared" si="81"/>
        <v>2021</v>
      </c>
      <c r="AK273" s="90" t="str">
        <f t="shared" si="82"/>
        <v>Adjust</v>
      </c>
      <c r="AL273" s="91">
        <f>IF(AK273="Adjust",(_xlfn.XLOOKUP(A273,'Adj factor'!A:A,'Adj factor'!I:I,,0)*AI273),'Master DataSheet'!AI273)</f>
        <v>438.92960135708233</v>
      </c>
      <c r="AM273" s="91">
        <f t="shared" si="83"/>
        <v>3207</v>
      </c>
      <c r="AN273" s="92" t="str">
        <f t="shared" si="84"/>
        <v>Decreasing</v>
      </c>
      <c r="AO273" s="93">
        <f>VLOOKUP(B273,'Growthrates source'!A$2:H$49,8,FALSE)</f>
        <v>0.12998282689096063</v>
      </c>
      <c r="AP273" s="93">
        <f>VLOOKUP(B273,'Growthrates source'!A$2:I$49,9,FALSE)</f>
        <v>5.4673730437993617E-2</v>
      </c>
      <c r="AQ273" s="86">
        <f t="shared" si="85"/>
        <v>0.52209060443080391</v>
      </c>
      <c r="AR273" s="86">
        <f t="shared" si="86"/>
        <v>1.1782392832667634</v>
      </c>
      <c r="AS273" s="94">
        <f t="shared" si="87"/>
        <v>71.878356854465324</v>
      </c>
      <c r="AT273" s="94">
        <f t="shared" si="88"/>
        <v>56.144810544089957</v>
      </c>
      <c r="AU273" s="94">
        <f t="shared" si="89"/>
        <v>54.067313552485494</v>
      </c>
    </row>
    <row r="274" spans="1:47" x14ac:dyDescent="0.3">
      <c r="A274" s="85" t="str">
        <f>_xlfn.XLOOKUP(B274,'Country codes &amp; Data sources'!G:G,'Country codes &amp; Data sources'!H:H,,0)</f>
        <v>Cape-Verde</v>
      </c>
      <c r="B274" s="85" t="s">
        <v>167</v>
      </c>
      <c r="C274" s="86">
        <v>533872</v>
      </c>
      <c r="D274" s="85" t="s">
        <v>203</v>
      </c>
      <c r="E274" s="87">
        <v>0</v>
      </c>
      <c r="F274" s="88">
        <v>539939.99999999988</v>
      </c>
      <c r="G274" s="87">
        <v>0</v>
      </c>
      <c r="I274" s="87">
        <v>0</v>
      </c>
      <c r="K274" s="87">
        <v>0</v>
      </c>
      <c r="M274" s="87">
        <v>0</v>
      </c>
      <c r="O274" s="87">
        <v>0</v>
      </c>
      <c r="P274" s="88">
        <v>571201.5</v>
      </c>
      <c r="Q274" s="87">
        <v>0</v>
      </c>
      <c r="R274" s="87">
        <f t="shared" si="72"/>
        <v>149</v>
      </c>
      <c r="T274" s="87">
        <v>0</v>
      </c>
      <c r="V274" s="87">
        <v>0</v>
      </c>
      <c r="X274" s="87">
        <v>0</v>
      </c>
      <c r="Y274" s="88">
        <v>593149.50000000012</v>
      </c>
      <c r="Z274" s="87">
        <v>0</v>
      </c>
      <c r="AA274" s="87">
        <v>149</v>
      </c>
      <c r="AB274" s="89">
        <f t="shared" si="73"/>
        <v>0</v>
      </c>
      <c r="AC274" s="89">
        <f t="shared" si="74"/>
        <v>0</v>
      </c>
      <c r="AD274" s="89">
        <f t="shared" si="75"/>
        <v>0</v>
      </c>
      <c r="AE274" s="90">
        <f t="shared" si="76"/>
        <v>0</v>
      </c>
      <c r="AF274" s="90" t="str">
        <f t="shared" si="77"/>
        <v/>
      </c>
      <c r="AG274" s="90">
        <f t="shared" si="78"/>
        <v>149</v>
      </c>
      <c r="AH274" s="90" t="str">
        <f t="shared" si="79"/>
        <v>2018 (triag)</v>
      </c>
      <c r="AI274" s="90">
        <f t="shared" si="80"/>
        <v>149</v>
      </c>
      <c r="AJ274" s="90" t="str">
        <f t="shared" si="81"/>
        <v>2018 (triag)</v>
      </c>
      <c r="AK274" s="90" t="str">
        <f t="shared" si="82"/>
        <v/>
      </c>
      <c r="AL274" s="91">
        <f>IF(AK274="Adjust",(_xlfn.XLOOKUP(A274,'Adj factor'!A:A,'Adj factor'!I:I,,0)*AI274),'Master DataSheet'!AI274)</f>
        <v>149</v>
      </c>
      <c r="AM274" s="91">
        <f t="shared" si="83"/>
        <v>149</v>
      </c>
      <c r="AN274" s="92" t="str">
        <f t="shared" si="84"/>
        <v>No change</v>
      </c>
      <c r="AO274" s="93">
        <f>VLOOKUP(B274,'Growthrates source'!A$2:H$49,8,FALSE)</f>
        <v>0.12998282689096063</v>
      </c>
      <c r="AP274" s="93">
        <f>VLOOKUP(B274,'Growthrates source'!A$2:I$49,9,FALSE)</f>
        <v>5.4673730437993617E-2</v>
      </c>
      <c r="AQ274" s="86">
        <f t="shared" si="85"/>
        <v>77.79150006018979</v>
      </c>
      <c r="AR274" s="86">
        <f t="shared" si="86"/>
        <v>175.55765320674774</v>
      </c>
      <c r="AS274" s="94">
        <f t="shared" si="87"/>
        <v>0</v>
      </c>
      <c r="AT274" s="94">
        <f t="shared" si="88"/>
        <v>2.6085365672183984</v>
      </c>
      <c r="AU274" s="94">
        <f t="shared" si="89"/>
        <v>2.5120142561023817</v>
      </c>
    </row>
    <row r="275" spans="1:47" x14ac:dyDescent="0.3">
      <c r="A275" s="85" t="str">
        <f>_xlfn.XLOOKUP(B275,'Country codes &amp; Data sources'!G:G,'Country codes &amp; Data sources'!H:H,,0)</f>
        <v>Cape-Verde</v>
      </c>
      <c r="B275" s="85" t="s">
        <v>167</v>
      </c>
      <c r="C275" s="86">
        <v>533873</v>
      </c>
      <c r="D275" s="85" t="s">
        <v>204</v>
      </c>
      <c r="E275" s="87">
        <v>0</v>
      </c>
      <c r="F275" s="88">
        <v>539939.99999999988</v>
      </c>
      <c r="G275" s="87">
        <v>0</v>
      </c>
      <c r="I275" s="87">
        <v>0</v>
      </c>
      <c r="K275" s="87">
        <v>0</v>
      </c>
      <c r="M275" s="87">
        <v>0</v>
      </c>
      <c r="O275" s="87">
        <v>0</v>
      </c>
      <c r="P275" s="88">
        <v>571201.5</v>
      </c>
      <c r="Q275" s="87">
        <v>0</v>
      </c>
      <c r="R275" s="87">
        <f t="shared" si="72"/>
        <v>61</v>
      </c>
      <c r="T275" s="87">
        <v>0</v>
      </c>
      <c r="V275" s="87">
        <v>0</v>
      </c>
      <c r="X275" s="87">
        <v>0</v>
      </c>
      <c r="Y275" s="88">
        <v>593149.50000000012</v>
      </c>
      <c r="Z275" s="87">
        <v>0</v>
      </c>
      <c r="AA275" s="87">
        <v>61</v>
      </c>
      <c r="AB275" s="89">
        <f t="shared" si="73"/>
        <v>0</v>
      </c>
      <c r="AC275" s="89">
        <f t="shared" si="74"/>
        <v>0</v>
      </c>
      <c r="AD275" s="89">
        <f t="shared" si="75"/>
        <v>0</v>
      </c>
      <c r="AE275" s="90">
        <f t="shared" si="76"/>
        <v>0</v>
      </c>
      <c r="AF275" s="90" t="str">
        <f t="shared" si="77"/>
        <v/>
      </c>
      <c r="AG275" s="90">
        <f t="shared" si="78"/>
        <v>61</v>
      </c>
      <c r="AH275" s="90" t="str">
        <f t="shared" si="79"/>
        <v>2018 (triag)</v>
      </c>
      <c r="AI275" s="90">
        <f t="shared" si="80"/>
        <v>61</v>
      </c>
      <c r="AJ275" s="90" t="str">
        <f t="shared" si="81"/>
        <v>2018 (triag)</v>
      </c>
      <c r="AK275" s="90" t="str">
        <f t="shared" si="82"/>
        <v/>
      </c>
      <c r="AL275" s="91">
        <f>IF(AK275="Adjust",(_xlfn.XLOOKUP(A275,'Adj factor'!A:A,'Adj factor'!I:I,,0)*AI275),'Master DataSheet'!AI275)</f>
        <v>61</v>
      </c>
      <c r="AM275" s="91">
        <f t="shared" si="83"/>
        <v>61</v>
      </c>
      <c r="AN275" s="92" t="str">
        <f t="shared" si="84"/>
        <v>No change</v>
      </c>
      <c r="AO275" s="93">
        <f>VLOOKUP(B275,'Growthrates source'!A$2:H$49,8,FALSE)</f>
        <v>0.12998282689096063</v>
      </c>
      <c r="AP275" s="93">
        <f>VLOOKUP(B275,'Growthrates source'!A$2:I$49,9,FALSE)</f>
        <v>5.4673730437993617E-2</v>
      </c>
      <c r="AQ275" s="86">
        <f t="shared" si="85"/>
        <v>31.84752687027904</v>
      </c>
      <c r="AR275" s="86">
        <f t="shared" si="86"/>
        <v>71.872596279272571</v>
      </c>
      <c r="AS275" s="94">
        <f t="shared" si="87"/>
        <v>0</v>
      </c>
      <c r="AT275" s="94">
        <f t="shared" si="88"/>
        <v>1.0679243664451161</v>
      </c>
      <c r="AU275" s="94">
        <f t="shared" si="89"/>
        <v>1.0284085209546663</v>
      </c>
    </row>
    <row r="276" spans="1:47" x14ac:dyDescent="0.3">
      <c r="A276" s="85" t="str">
        <f>_xlfn.XLOOKUP(B276,'Country codes &amp; Data sources'!G:G,'Country codes &amp; Data sources'!H:H,,0)</f>
        <v>Cape-Verde</v>
      </c>
      <c r="B276" s="85" t="s">
        <v>167</v>
      </c>
      <c r="C276" s="86">
        <v>533874</v>
      </c>
      <c r="D276" s="85" t="s">
        <v>205</v>
      </c>
      <c r="E276" s="87">
        <v>0</v>
      </c>
      <c r="F276" s="88">
        <v>539939.99999999988</v>
      </c>
      <c r="G276" s="87">
        <v>0</v>
      </c>
      <c r="I276" s="87">
        <v>0</v>
      </c>
      <c r="K276" s="87">
        <v>0</v>
      </c>
      <c r="M276" s="87">
        <v>0</v>
      </c>
      <c r="O276" s="87">
        <v>0</v>
      </c>
      <c r="P276" s="88">
        <v>571201.5</v>
      </c>
      <c r="Q276" s="87">
        <v>0</v>
      </c>
      <c r="R276" s="87">
        <f t="shared" si="72"/>
        <v>20</v>
      </c>
      <c r="T276" s="87">
        <v>20</v>
      </c>
      <c r="V276" s="87">
        <v>0</v>
      </c>
      <c r="X276" s="87">
        <v>0</v>
      </c>
      <c r="Y276" s="88">
        <v>593149.50000000012</v>
      </c>
      <c r="Z276" s="87">
        <v>0</v>
      </c>
      <c r="AA276" s="87">
        <v>20</v>
      </c>
      <c r="AB276" s="89">
        <f t="shared" si="73"/>
        <v>0</v>
      </c>
      <c r="AC276" s="89">
        <f t="shared" si="74"/>
        <v>20</v>
      </c>
      <c r="AD276" s="89">
        <f t="shared" si="75"/>
        <v>0</v>
      </c>
      <c r="AE276" s="90">
        <f t="shared" si="76"/>
        <v>0</v>
      </c>
      <c r="AF276" s="90" t="str">
        <f t="shared" si="77"/>
        <v/>
      </c>
      <c r="AG276" s="90">
        <f t="shared" si="78"/>
        <v>20</v>
      </c>
      <c r="AH276" s="90" t="str">
        <f t="shared" si="79"/>
        <v>2018 (triag)</v>
      </c>
      <c r="AI276" s="90">
        <f t="shared" si="80"/>
        <v>20</v>
      </c>
      <c r="AJ276" s="90" t="str">
        <f t="shared" si="81"/>
        <v>2018 (triag)</v>
      </c>
      <c r="AK276" s="90" t="str">
        <f t="shared" si="82"/>
        <v/>
      </c>
      <c r="AL276" s="91">
        <f>IF(AK276="Adjust",(_xlfn.XLOOKUP(A276,'Adj factor'!A:A,'Adj factor'!I:I,,0)*AI276),'Master DataSheet'!AI276)</f>
        <v>20</v>
      </c>
      <c r="AM276" s="91">
        <f t="shared" si="83"/>
        <v>20</v>
      </c>
      <c r="AN276" s="92" t="str">
        <f t="shared" si="84"/>
        <v>No change</v>
      </c>
      <c r="AO276" s="93">
        <f>VLOOKUP(B276,'Growthrates source'!A$2:H$49,8,FALSE)</f>
        <v>0.12998282689096063</v>
      </c>
      <c r="AP276" s="93">
        <f>VLOOKUP(B276,'Growthrates source'!A$2:I$49,9,FALSE)</f>
        <v>5.4673730437993617E-2</v>
      </c>
      <c r="AQ276" s="86">
        <f t="shared" si="85"/>
        <v>10.441812088616079</v>
      </c>
      <c r="AR276" s="86">
        <f t="shared" si="86"/>
        <v>23.564785665335268</v>
      </c>
      <c r="AS276" s="94">
        <f t="shared" si="87"/>
        <v>0</v>
      </c>
      <c r="AT276" s="94">
        <f t="shared" si="88"/>
        <v>0.35013913653938233</v>
      </c>
      <c r="AU276" s="94">
        <f t="shared" si="89"/>
        <v>0.33718312162448077</v>
      </c>
    </row>
    <row r="277" spans="1:47" x14ac:dyDescent="0.3">
      <c r="A277" s="85" t="str">
        <f>_xlfn.XLOOKUP(B277,'Country codes &amp; Data sources'!G:G,'Country codes &amp; Data sources'!H:H,,0)</f>
        <v>Cape-Verde</v>
      </c>
      <c r="B277" s="85" t="s">
        <v>167</v>
      </c>
      <c r="C277" s="86">
        <v>533875</v>
      </c>
      <c r="D277" s="85" t="s">
        <v>133</v>
      </c>
      <c r="E277" s="87">
        <v>0</v>
      </c>
      <c r="F277" s="88">
        <v>539939.99999999988</v>
      </c>
      <c r="G277" s="87">
        <v>0</v>
      </c>
      <c r="I277" s="87">
        <v>0</v>
      </c>
      <c r="K277" s="87">
        <v>0</v>
      </c>
      <c r="M277" s="87">
        <v>0</v>
      </c>
      <c r="O277" s="87">
        <v>0</v>
      </c>
      <c r="P277" s="88">
        <v>571201.5</v>
      </c>
      <c r="Q277" s="87">
        <v>65</v>
      </c>
      <c r="R277" s="87">
        <f t="shared" si="72"/>
        <v>65</v>
      </c>
      <c r="T277" s="87">
        <v>0</v>
      </c>
      <c r="V277" s="87">
        <v>0</v>
      </c>
      <c r="X277" s="87">
        <v>0</v>
      </c>
      <c r="Y277" s="88">
        <v>593149.50000000012</v>
      </c>
      <c r="Z277" s="87">
        <v>0</v>
      </c>
      <c r="AA277" s="87">
        <v>11</v>
      </c>
      <c r="AB277" s="89">
        <f t="shared" si="73"/>
        <v>0</v>
      </c>
      <c r="AC277" s="89">
        <f t="shared" si="74"/>
        <v>65</v>
      </c>
      <c r="AD277" s="89">
        <f t="shared" si="75"/>
        <v>0</v>
      </c>
      <c r="AE277" s="90">
        <f t="shared" si="76"/>
        <v>0</v>
      </c>
      <c r="AF277" s="90" t="str">
        <f t="shared" si="77"/>
        <v/>
      </c>
      <c r="AG277" s="90">
        <f t="shared" si="78"/>
        <v>65</v>
      </c>
      <c r="AH277" s="90">
        <f t="shared" si="79"/>
        <v>2018</v>
      </c>
      <c r="AI277" s="90">
        <f t="shared" si="80"/>
        <v>65</v>
      </c>
      <c r="AJ277" s="90">
        <f t="shared" si="81"/>
        <v>2018</v>
      </c>
      <c r="AK277" s="90" t="str">
        <f t="shared" si="82"/>
        <v/>
      </c>
      <c r="AL277" s="91">
        <f>IF(AK277="Adjust",(_xlfn.XLOOKUP(A277,'Adj factor'!A:A,'Adj factor'!I:I,,0)*AI277),'Master DataSheet'!AI277)</f>
        <v>65</v>
      </c>
      <c r="AM277" s="91">
        <f t="shared" si="83"/>
        <v>65</v>
      </c>
      <c r="AN277" s="92" t="str">
        <f t="shared" si="84"/>
        <v>No change</v>
      </c>
      <c r="AO277" s="93">
        <f>VLOOKUP(B277,'Growthrates source'!A$2:H$49,8,FALSE)</f>
        <v>0.12998282689096063</v>
      </c>
      <c r="AP277" s="93">
        <f>VLOOKUP(B277,'Growthrates source'!A$2:I$49,9,FALSE)</f>
        <v>5.4673730437993617E-2</v>
      </c>
      <c r="AQ277" s="86">
        <f t="shared" si="85"/>
        <v>5.7429966487388429</v>
      </c>
      <c r="AR277" s="86">
        <f t="shared" si="86"/>
        <v>12.960632115934398</v>
      </c>
      <c r="AS277" s="94">
        <f t="shared" si="87"/>
        <v>0</v>
      </c>
      <c r="AT277" s="94">
        <f t="shared" si="88"/>
        <v>1.1379521937529926</v>
      </c>
      <c r="AU277" s="94">
        <f t="shared" si="89"/>
        <v>1.0958451452795626</v>
      </c>
    </row>
    <row r="278" spans="1:47" x14ac:dyDescent="0.3">
      <c r="A278" s="85" t="str">
        <f>_xlfn.XLOOKUP(B278,'Country codes &amp; Data sources'!G:G,'Country codes &amp; Data sources'!H:H,,0)</f>
        <v>Cape-Verde</v>
      </c>
      <c r="B278" s="85" t="s">
        <v>167</v>
      </c>
      <c r="C278" s="86">
        <v>533876</v>
      </c>
      <c r="D278" s="85" t="s">
        <v>206</v>
      </c>
      <c r="E278" s="87">
        <v>0</v>
      </c>
      <c r="F278" s="88">
        <v>539939.99999999988</v>
      </c>
      <c r="G278" s="87">
        <v>0</v>
      </c>
      <c r="I278" s="87">
        <v>0</v>
      </c>
      <c r="K278" s="87">
        <v>0</v>
      </c>
      <c r="M278" s="87">
        <v>0</v>
      </c>
      <c r="O278" s="87">
        <v>0</v>
      </c>
      <c r="P278" s="88">
        <v>571201.5</v>
      </c>
      <c r="Q278" s="87">
        <v>0</v>
      </c>
      <c r="R278" s="87">
        <f t="shared" si="72"/>
        <v>3</v>
      </c>
      <c r="T278" s="87">
        <v>0</v>
      </c>
      <c r="V278" s="87">
        <v>0</v>
      </c>
      <c r="X278" s="87">
        <v>0</v>
      </c>
      <c r="Y278" s="88">
        <v>593149.50000000012</v>
      </c>
      <c r="Z278" s="87">
        <v>0</v>
      </c>
      <c r="AA278" s="87">
        <v>3</v>
      </c>
      <c r="AB278" s="89">
        <f t="shared" si="73"/>
        <v>0</v>
      </c>
      <c r="AC278" s="89">
        <f t="shared" si="74"/>
        <v>0</v>
      </c>
      <c r="AD278" s="89">
        <f t="shared" si="75"/>
        <v>0</v>
      </c>
      <c r="AE278" s="90">
        <f t="shared" si="76"/>
        <v>0</v>
      </c>
      <c r="AF278" s="90" t="str">
        <f t="shared" si="77"/>
        <v/>
      </c>
      <c r="AG278" s="90">
        <f t="shared" si="78"/>
        <v>3</v>
      </c>
      <c r="AH278" s="90" t="str">
        <f t="shared" si="79"/>
        <v>2018 (triag)</v>
      </c>
      <c r="AI278" s="90">
        <f t="shared" si="80"/>
        <v>3</v>
      </c>
      <c r="AJ278" s="90" t="str">
        <f t="shared" si="81"/>
        <v>2018 (triag)</v>
      </c>
      <c r="AK278" s="90" t="str">
        <f t="shared" si="82"/>
        <v/>
      </c>
      <c r="AL278" s="91">
        <f>IF(AK278="Adjust",(_xlfn.XLOOKUP(A278,'Adj factor'!A:A,'Adj factor'!I:I,,0)*AI278),'Master DataSheet'!AI278)</f>
        <v>3</v>
      </c>
      <c r="AM278" s="91">
        <f t="shared" si="83"/>
        <v>3</v>
      </c>
      <c r="AN278" s="92" t="str">
        <f t="shared" si="84"/>
        <v>No change</v>
      </c>
      <c r="AO278" s="93">
        <f>VLOOKUP(B278,'Growthrates source'!A$2:H$49,8,FALSE)</f>
        <v>0.12998282689096063</v>
      </c>
      <c r="AP278" s="93">
        <f>VLOOKUP(B278,'Growthrates source'!A$2:I$49,9,FALSE)</f>
        <v>5.4673730437993617E-2</v>
      </c>
      <c r="AQ278" s="86">
        <f t="shared" si="85"/>
        <v>1.5662718132924118</v>
      </c>
      <c r="AR278" s="86">
        <f t="shared" si="86"/>
        <v>3.5347178498002902</v>
      </c>
      <c r="AS278" s="94">
        <f t="shared" si="87"/>
        <v>0</v>
      </c>
      <c r="AT278" s="94">
        <f t="shared" si="88"/>
        <v>5.2520870480907353E-2</v>
      </c>
      <c r="AU278" s="94">
        <f t="shared" si="89"/>
        <v>5.0577468243672118E-2</v>
      </c>
    </row>
    <row r="279" spans="1:47" x14ac:dyDescent="0.3">
      <c r="A279" s="85" t="str">
        <f>_xlfn.XLOOKUP(B279,'Country codes &amp; Data sources'!G:G,'Country codes &amp; Data sources'!H:H,,0)</f>
        <v>Cape-Verde</v>
      </c>
      <c r="B279" s="85" t="s">
        <v>167</v>
      </c>
      <c r="C279" s="86">
        <v>533877</v>
      </c>
      <c r="D279" s="85" t="s">
        <v>136</v>
      </c>
      <c r="E279" s="87">
        <v>0</v>
      </c>
      <c r="F279" s="88">
        <v>539939.99999999988</v>
      </c>
      <c r="G279" s="87">
        <v>0</v>
      </c>
      <c r="I279" s="87">
        <v>0</v>
      </c>
      <c r="K279" s="87">
        <v>0</v>
      </c>
      <c r="M279" s="87">
        <v>0</v>
      </c>
      <c r="O279" s="87">
        <v>0</v>
      </c>
      <c r="P279" s="88">
        <v>571201.5</v>
      </c>
      <c r="Q279" s="87">
        <v>0</v>
      </c>
      <c r="R279" s="87">
        <f t="shared" si="72"/>
        <v>27</v>
      </c>
      <c r="T279" s="87">
        <v>0</v>
      </c>
      <c r="V279" s="87">
        <v>0</v>
      </c>
      <c r="X279" s="87">
        <v>0</v>
      </c>
      <c r="Y279" s="88">
        <v>593149.50000000012</v>
      </c>
      <c r="Z279" s="87">
        <v>0</v>
      </c>
      <c r="AA279" s="87">
        <v>27</v>
      </c>
      <c r="AB279" s="89">
        <f t="shared" si="73"/>
        <v>0</v>
      </c>
      <c r="AC279" s="89">
        <f t="shared" si="74"/>
        <v>0</v>
      </c>
      <c r="AD279" s="89">
        <f t="shared" si="75"/>
        <v>0</v>
      </c>
      <c r="AE279" s="90">
        <f t="shared" si="76"/>
        <v>0</v>
      </c>
      <c r="AF279" s="90" t="str">
        <f t="shared" si="77"/>
        <v/>
      </c>
      <c r="AG279" s="90">
        <f t="shared" si="78"/>
        <v>27</v>
      </c>
      <c r="AH279" s="90" t="str">
        <f t="shared" si="79"/>
        <v>2018 (triag)</v>
      </c>
      <c r="AI279" s="90">
        <f t="shared" si="80"/>
        <v>27</v>
      </c>
      <c r="AJ279" s="90" t="str">
        <f t="shared" si="81"/>
        <v>2018 (triag)</v>
      </c>
      <c r="AK279" s="90" t="str">
        <f t="shared" si="82"/>
        <v/>
      </c>
      <c r="AL279" s="91">
        <f>IF(AK279="Adjust",(_xlfn.XLOOKUP(A279,'Adj factor'!A:A,'Adj factor'!I:I,,0)*AI279),'Master DataSheet'!AI279)</f>
        <v>27</v>
      </c>
      <c r="AM279" s="91">
        <f t="shared" si="83"/>
        <v>27</v>
      </c>
      <c r="AN279" s="92" t="str">
        <f t="shared" si="84"/>
        <v>No change</v>
      </c>
      <c r="AO279" s="93">
        <f>VLOOKUP(B279,'Growthrates source'!A$2:H$49,8,FALSE)</f>
        <v>0.12998282689096063</v>
      </c>
      <c r="AP279" s="93">
        <f>VLOOKUP(B279,'Growthrates source'!A$2:I$49,9,FALSE)</f>
        <v>5.4673730437993617E-2</v>
      </c>
      <c r="AQ279" s="86">
        <f t="shared" si="85"/>
        <v>14.096446319631706</v>
      </c>
      <c r="AR279" s="86">
        <f t="shared" si="86"/>
        <v>31.812460648202613</v>
      </c>
      <c r="AS279" s="94">
        <f t="shared" si="87"/>
        <v>0</v>
      </c>
      <c r="AT279" s="94">
        <f t="shared" si="88"/>
        <v>0.47268783432816613</v>
      </c>
      <c r="AU279" s="94">
        <f t="shared" si="89"/>
        <v>0.45519721419304904</v>
      </c>
    </row>
    <row r="280" spans="1:47" x14ac:dyDescent="0.3">
      <c r="A280" s="85" t="str">
        <f>_xlfn.XLOOKUP(B280,'Country codes &amp; Data sources'!G:G,'Country codes &amp; Data sources'!H:H,,0)</f>
        <v>Cape-Verde</v>
      </c>
      <c r="B280" s="85" t="s">
        <v>167</v>
      </c>
      <c r="C280" s="86">
        <v>533878</v>
      </c>
      <c r="D280" s="85" t="s">
        <v>207</v>
      </c>
      <c r="E280" s="87">
        <v>0</v>
      </c>
      <c r="F280" s="88">
        <v>539939.99999999988</v>
      </c>
      <c r="G280" s="87">
        <v>0</v>
      </c>
      <c r="I280" s="87">
        <v>0</v>
      </c>
      <c r="K280" s="87">
        <v>0</v>
      </c>
      <c r="M280" s="87">
        <v>0</v>
      </c>
      <c r="O280" s="87">
        <v>0</v>
      </c>
      <c r="P280" s="88">
        <v>571201.5</v>
      </c>
      <c r="Q280" s="87">
        <v>0</v>
      </c>
      <c r="R280" s="87">
        <f t="shared" si="72"/>
        <v>14</v>
      </c>
      <c r="T280" s="87">
        <v>0</v>
      </c>
      <c r="V280" s="87">
        <v>0</v>
      </c>
      <c r="X280" s="87">
        <v>0</v>
      </c>
      <c r="Y280" s="88">
        <v>593149.50000000012</v>
      </c>
      <c r="Z280" s="87">
        <v>0</v>
      </c>
      <c r="AA280" s="87">
        <v>14</v>
      </c>
      <c r="AB280" s="89">
        <f t="shared" si="73"/>
        <v>0</v>
      </c>
      <c r="AC280" s="89">
        <f t="shared" si="74"/>
        <v>0</v>
      </c>
      <c r="AD280" s="89">
        <f t="shared" si="75"/>
        <v>0</v>
      </c>
      <c r="AE280" s="90">
        <f t="shared" si="76"/>
        <v>0</v>
      </c>
      <c r="AF280" s="90" t="str">
        <f t="shared" si="77"/>
        <v/>
      </c>
      <c r="AG280" s="90">
        <f t="shared" si="78"/>
        <v>14</v>
      </c>
      <c r="AH280" s="90" t="str">
        <f t="shared" si="79"/>
        <v>2018 (triag)</v>
      </c>
      <c r="AI280" s="90">
        <f t="shared" si="80"/>
        <v>14</v>
      </c>
      <c r="AJ280" s="90" t="str">
        <f t="shared" si="81"/>
        <v>2018 (triag)</v>
      </c>
      <c r="AK280" s="90" t="str">
        <f t="shared" si="82"/>
        <v/>
      </c>
      <c r="AL280" s="91">
        <f>IF(AK280="Adjust",(_xlfn.XLOOKUP(A280,'Adj factor'!A:A,'Adj factor'!I:I,,0)*AI280),'Master DataSheet'!AI280)</f>
        <v>14</v>
      </c>
      <c r="AM280" s="91">
        <f t="shared" si="83"/>
        <v>14</v>
      </c>
      <c r="AN280" s="92" t="str">
        <f t="shared" si="84"/>
        <v>No change</v>
      </c>
      <c r="AO280" s="93">
        <f>VLOOKUP(B280,'Growthrates source'!A$2:H$49,8,FALSE)</f>
        <v>0.12998282689096063</v>
      </c>
      <c r="AP280" s="93">
        <f>VLOOKUP(B280,'Growthrates source'!A$2:I$49,9,FALSE)</f>
        <v>5.4673730437993617E-2</v>
      </c>
      <c r="AQ280" s="86">
        <f t="shared" si="85"/>
        <v>7.3092684620312545</v>
      </c>
      <c r="AR280" s="86">
        <f t="shared" si="86"/>
        <v>16.49534996573469</v>
      </c>
      <c r="AS280" s="94">
        <f t="shared" si="87"/>
        <v>0</v>
      </c>
      <c r="AT280" s="94">
        <f t="shared" si="88"/>
        <v>0.24509739557756763</v>
      </c>
      <c r="AU280" s="94">
        <f t="shared" si="89"/>
        <v>0.23602818513713655</v>
      </c>
    </row>
    <row r="281" spans="1:47" x14ac:dyDescent="0.3">
      <c r="A281" s="85" t="str">
        <f>_xlfn.XLOOKUP(B281,'Country codes &amp; Data sources'!G:G,'Country codes &amp; Data sources'!H:H,,0)</f>
        <v>Cape-Verde</v>
      </c>
      <c r="B281" s="85" t="s">
        <v>167</v>
      </c>
      <c r="C281" s="86">
        <v>533879</v>
      </c>
      <c r="D281" s="85" t="s">
        <v>141</v>
      </c>
      <c r="E281" s="87">
        <v>0</v>
      </c>
      <c r="F281" s="88">
        <v>539939.99999999988</v>
      </c>
      <c r="G281" s="87">
        <v>0</v>
      </c>
      <c r="I281" s="87">
        <v>0</v>
      </c>
      <c r="K281" s="87">
        <v>0</v>
      </c>
      <c r="M281" s="87">
        <v>0</v>
      </c>
      <c r="O281" s="87">
        <v>0</v>
      </c>
      <c r="P281" s="88">
        <v>571201.5</v>
      </c>
      <c r="Q281" s="87">
        <v>0</v>
      </c>
      <c r="R281" s="87">
        <f t="shared" si="72"/>
        <v>40</v>
      </c>
      <c r="T281" s="87">
        <v>0</v>
      </c>
      <c r="V281" s="87">
        <v>0</v>
      </c>
      <c r="X281" s="87">
        <v>0</v>
      </c>
      <c r="Y281" s="88">
        <v>593149.50000000012</v>
      </c>
      <c r="Z281" s="87">
        <v>4</v>
      </c>
      <c r="AA281" s="87">
        <v>40</v>
      </c>
      <c r="AB281" s="89">
        <f t="shared" si="73"/>
        <v>0</v>
      </c>
      <c r="AC281" s="89">
        <f t="shared" si="74"/>
        <v>0</v>
      </c>
      <c r="AD281" s="89">
        <f t="shared" si="75"/>
        <v>4</v>
      </c>
      <c r="AE281" s="90">
        <f t="shared" si="76"/>
        <v>0</v>
      </c>
      <c r="AF281" s="90" t="str">
        <f t="shared" si="77"/>
        <v/>
      </c>
      <c r="AG281" s="90">
        <f t="shared" si="78"/>
        <v>40</v>
      </c>
      <c r="AH281" s="90" t="str">
        <f t="shared" si="79"/>
        <v>2018 (triag)</v>
      </c>
      <c r="AI281" s="90">
        <f t="shared" si="80"/>
        <v>4</v>
      </c>
      <c r="AJ281" s="90">
        <f t="shared" si="81"/>
        <v>2022</v>
      </c>
      <c r="AK281" s="90" t="str">
        <f t="shared" si="82"/>
        <v>Adjust</v>
      </c>
      <c r="AL281" s="91">
        <f>IF(AK281="Adjust",(_xlfn.XLOOKUP(A281,'Adj factor'!A:A,'Adj factor'!I:I,,0)*AI281),'Master DataSheet'!AI281)</f>
        <v>4.9737065309584398</v>
      </c>
      <c r="AM281" s="91">
        <f t="shared" si="83"/>
        <v>40</v>
      </c>
      <c r="AN281" s="92" t="str">
        <f t="shared" si="84"/>
        <v>Decreasing</v>
      </c>
      <c r="AO281" s="93">
        <f>VLOOKUP(B281,'Growthrates source'!A$2:H$49,8,FALSE)</f>
        <v>0.12998282689096063</v>
      </c>
      <c r="AP281" s="93">
        <f>VLOOKUP(B281,'Growthrates source'!A$2:I$49,9,FALSE)</f>
        <v>5.4673730437993617E-2</v>
      </c>
      <c r="AQ281" s="86">
        <f t="shared" si="85"/>
        <v>20.883624177232157</v>
      </c>
      <c r="AR281" s="86">
        <f t="shared" si="86"/>
        <v>47.129571330670537</v>
      </c>
      <c r="AS281" s="94">
        <f t="shared" si="87"/>
        <v>0</v>
      </c>
      <c r="AT281" s="94">
        <f t="shared" si="88"/>
        <v>0.70027827307876467</v>
      </c>
      <c r="AU281" s="94">
        <f t="shared" si="89"/>
        <v>0.67436624324896155</v>
      </c>
    </row>
    <row r="282" spans="1:47" x14ac:dyDescent="0.3">
      <c r="A282" s="85" t="str">
        <f>_xlfn.XLOOKUP(B282,'Country codes &amp; Data sources'!G:G,'Country codes &amp; Data sources'!H:H,,0)</f>
        <v>Cape-Verde</v>
      </c>
      <c r="B282" s="85" t="s">
        <v>167</v>
      </c>
      <c r="C282" s="86">
        <v>533880</v>
      </c>
      <c r="D282" s="85" t="s">
        <v>208</v>
      </c>
      <c r="E282" s="87">
        <v>0</v>
      </c>
      <c r="F282" s="88">
        <v>539939.99999999988</v>
      </c>
      <c r="G282" s="87">
        <v>0</v>
      </c>
      <c r="I282" s="87">
        <v>0</v>
      </c>
      <c r="K282" s="87">
        <v>0</v>
      </c>
      <c r="M282" s="87">
        <v>0</v>
      </c>
      <c r="O282" s="87">
        <v>0</v>
      </c>
      <c r="P282" s="88">
        <v>571201.5</v>
      </c>
      <c r="Q282" s="87">
        <v>0</v>
      </c>
      <c r="R282" s="87">
        <f t="shared" si="72"/>
        <v>1357</v>
      </c>
      <c r="T282" s="87">
        <v>0</v>
      </c>
      <c r="V282" s="87">
        <v>0</v>
      </c>
      <c r="X282" s="87">
        <v>0</v>
      </c>
      <c r="Y282" s="88">
        <v>593149.50000000012</v>
      </c>
      <c r="Z282" s="87">
        <v>0</v>
      </c>
      <c r="AA282" s="87">
        <v>1357</v>
      </c>
      <c r="AB282" s="89">
        <f t="shared" si="73"/>
        <v>0</v>
      </c>
      <c r="AC282" s="89">
        <f t="shared" si="74"/>
        <v>0</v>
      </c>
      <c r="AD282" s="89">
        <f t="shared" si="75"/>
        <v>0</v>
      </c>
      <c r="AE282" s="90">
        <f t="shared" si="76"/>
        <v>0</v>
      </c>
      <c r="AF282" s="90" t="str">
        <f t="shared" si="77"/>
        <v/>
      </c>
      <c r="AG282" s="90">
        <f t="shared" si="78"/>
        <v>1357</v>
      </c>
      <c r="AH282" s="90" t="str">
        <f t="shared" si="79"/>
        <v>2018 (triag)</v>
      </c>
      <c r="AI282" s="90">
        <f t="shared" si="80"/>
        <v>1357</v>
      </c>
      <c r="AJ282" s="90" t="str">
        <f t="shared" si="81"/>
        <v>2018 (triag)</v>
      </c>
      <c r="AK282" s="90" t="str">
        <f t="shared" si="82"/>
        <v/>
      </c>
      <c r="AL282" s="91">
        <f>IF(AK282="Adjust",(_xlfn.XLOOKUP(A282,'Adj factor'!A:A,'Adj factor'!I:I,,0)*AI282),'Master DataSheet'!AI282)</f>
        <v>1357</v>
      </c>
      <c r="AM282" s="91">
        <f t="shared" si="83"/>
        <v>1357</v>
      </c>
      <c r="AN282" s="92" t="str">
        <f t="shared" si="84"/>
        <v>No change</v>
      </c>
      <c r="AO282" s="93">
        <f>VLOOKUP(B282,'Growthrates source'!A$2:H$49,8,FALSE)</f>
        <v>0.12998282689096063</v>
      </c>
      <c r="AP282" s="93">
        <f>VLOOKUP(B282,'Growthrates source'!A$2:I$49,9,FALSE)</f>
        <v>5.4673730437993617E-2</v>
      </c>
      <c r="AQ282" s="86">
        <f t="shared" si="85"/>
        <v>708.47695021260097</v>
      </c>
      <c r="AR282" s="86">
        <f t="shared" si="86"/>
        <v>1598.8707073929979</v>
      </c>
      <c r="AS282" s="94">
        <f t="shared" si="87"/>
        <v>0</v>
      </c>
      <c r="AT282" s="94">
        <f t="shared" si="88"/>
        <v>23.756940414197093</v>
      </c>
      <c r="AU282" s="94">
        <f t="shared" si="89"/>
        <v>22.877874802221022</v>
      </c>
    </row>
    <row r="283" spans="1:47" x14ac:dyDescent="0.3">
      <c r="A283" s="85" t="str">
        <f>_xlfn.XLOOKUP(B283,'Country codes &amp; Data sources'!G:G,'Country codes &amp; Data sources'!H:H,,0)</f>
        <v>Cape-Verde</v>
      </c>
      <c r="B283" s="85" t="s">
        <v>167</v>
      </c>
      <c r="C283" s="86">
        <v>533881</v>
      </c>
      <c r="D283" s="85" t="s">
        <v>209</v>
      </c>
      <c r="E283" s="87">
        <v>0</v>
      </c>
      <c r="F283" s="88">
        <v>539939.99999999988</v>
      </c>
      <c r="G283" s="87">
        <v>0</v>
      </c>
      <c r="I283" s="87">
        <v>0</v>
      </c>
      <c r="K283" s="87">
        <v>0</v>
      </c>
      <c r="M283" s="87">
        <v>0</v>
      </c>
      <c r="O283" s="87">
        <v>0</v>
      </c>
      <c r="P283" s="88">
        <v>571201.5</v>
      </c>
      <c r="Q283" s="87">
        <v>0</v>
      </c>
      <c r="R283" s="87">
        <f t="shared" si="72"/>
        <v>95</v>
      </c>
      <c r="T283" s="87">
        <v>0</v>
      </c>
      <c r="V283" s="87">
        <v>0</v>
      </c>
      <c r="X283" s="87">
        <v>0</v>
      </c>
      <c r="Y283" s="88">
        <v>593149.50000000012</v>
      </c>
      <c r="Z283" s="87">
        <v>0</v>
      </c>
      <c r="AA283" s="87">
        <v>95</v>
      </c>
      <c r="AB283" s="89">
        <f t="shared" si="73"/>
        <v>0</v>
      </c>
      <c r="AC283" s="89">
        <f t="shared" si="74"/>
        <v>0</v>
      </c>
      <c r="AD283" s="89">
        <f t="shared" si="75"/>
        <v>0</v>
      </c>
      <c r="AE283" s="90">
        <f t="shared" si="76"/>
        <v>0</v>
      </c>
      <c r="AF283" s="90" t="str">
        <f t="shared" si="77"/>
        <v/>
      </c>
      <c r="AG283" s="90">
        <f t="shared" si="78"/>
        <v>95</v>
      </c>
      <c r="AH283" s="90" t="str">
        <f t="shared" si="79"/>
        <v>2018 (triag)</v>
      </c>
      <c r="AI283" s="90">
        <f t="shared" si="80"/>
        <v>95</v>
      </c>
      <c r="AJ283" s="90" t="str">
        <f t="shared" si="81"/>
        <v>2018 (triag)</v>
      </c>
      <c r="AK283" s="90" t="str">
        <f t="shared" si="82"/>
        <v/>
      </c>
      <c r="AL283" s="91">
        <f>IF(AK283="Adjust",(_xlfn.XLOOKUP(A283,'Adj factor'!A:A,'Adj factor'!I:I,,0)*AI283),'Master DataSheet'!AI283)</f>
        <v>95</v>
      </c>
      <c r="AM283" s="91">
        <f t="shared" si="83"/>
        <v>95</v>
      </c>
      <c r="AN283" s="92" t="str">
        <f t="shared" si="84"/>
        <v>No change</v>
      </c>
      <c r="AO283" s="93">
        <f>VLOOKUP(B283,'Growthrates source'!A$2:H$49,8,FALSE)</f>
        <v>0.12998282689096063</v>
      </c>
      <c r="AP283" s="93">
        <f>VLOOKUP(B283,'Growthrates source'!A$2:I$49,9,FALSE)</f>
        <v>5.4673730437993617E-2</v>
      </c>
      <c r="AQ283" s="86">
        <f t="shared" si="85"/>
        <v>49.598607420926371</v>
      </c>
      <c r="AR283" s="86">
        <f t="shared" si="86"/>
        <v>111.93273191034253</v>
      </c>
      <c r="AS283" s="94">
        <f t="shared" si="87"/>
        <v>0</v>
      </c>
      <c r="AT283" s="94">
        <f t="shared" si="88"/>
        <v>1.6631608985620661</v>
      </c>
      <c r="AU283" s="94">
        <f t="shared" si="89"/>
        <v>1.6016198277162836</v>
      </c>
    </row>
    <row r="284" spans="1:47" x14ac:dyDescent="0.3">
      <c r="A284" s="85" t="str">
        <f>_xlfn.XLOOKUP(B284,'Country codes &amp; Data sources'!G:G,'Country codes &amp; Data sources'!H:H,,0)</f>
        <v>Cape-Verde</v>
      </c>
      <c r="B284" s="85" t="s">
        <v>167</v>
      </c>
      <c r="C284" s="86">
        <v>533882</v>
      </c>
      <c r="D284" s="85" t="s">
        <v>134</v>
      </c>
      <c r="E284" s="87">
        <v>0</v>
      </c>
      <c r="F284" s="88">
        <v>539939.99999999988</v>
      </c>
      <c r="G284" s="87">
        <v>0</v>
      </c>
      <c r="I284" s="87">
        <v>0</v>
      </c>
      <c r="K284" s="87">
        <v>0</v>
      </c>
      <c r="M284" s="87">
        <v>0</v>
      </c>
      <c r="O284" s="87">
        <v>0</v>
      </c>
      <c r="P284" s="88">
        <v>571201.5</v>
      </c>
      <c r="Q284" s="87">
        <v>0</v>
      </c>
      <c r="R284" s="87">
        <f t="shared" si="72"/>
        <v>65</v>
      </c>
      <c r="T284" s="87">
        <v>0</v>
      </c>
      <c r="V284" s="87">
        <v>0</v>
      </c>
      <c r="X284" s="87">
        <v>0</v>
      </c>
      <c r="Y284" s="88">
        <v>593149.50000000012</v>
      </c>
      <c r="Z284" s="87">
        <v>0</v>
      </c>
      <c r="AA284" s="87">
        <v>65</v>
      </c>
      <c r="AB284" s="89">
        <f t="shared" si="73"/>
        <v>0</v>
      </c>
      <c r="AC284" s="89">
        <f t="shared" si="74"/>
        <v>0</v>
      </c>
      <c r="AD284" s="89">
        <f t="shared" si="75"/>
        <v>0</v>
      </c>
      <c r="AE284" s="90">
        <f t="shared" si="76"/>
        <v>0</v>
      </c>
      <c r="AF284" s="90" t="str">
        <f t="shared" si="77"/>
        <v/>
      </c>
      <c r="AG284" s="90">
        <f t="shared" si="78"/>
        <v>65</v>
      </c>
      <c r="AH284" s="90" t="str">
        <f t="shared" si="79"/>
        <v>2018 (triag)</v>
      </c>
      <c r="AI284" s="90">
        <f t="shared" si="80"/>
        <v>65</v>
      </c>
      <c r="AJ284" s="90" t="str">
        <f t="shared" si="81"/>
        <v>2018 (triag)</v>
      </c>
      <c r="AK284" s="90" t="str">
        <f t="shared" si="82"/>
        <v/>
      </c>
      <c r="AL284" s="91">
        <f>IF(AK284="Adjust",(_xlfn.XLOOKUP(A284,'Adj factor'!A:A,'Adj factor'!I:I,,0)*AI284),'Master DataSheet'!AI284)</f>
        <v>65</v>
      </c>
      <c r="AM284" s="91">
        <f t="shared" si="83"/>
        <v>65</v>
      </c>
      <c r="AN284" s="92" t="str">
        <f t="shared" si="84"/>
        <v>No change</v>
      </c>
      <c r="AO284" s="93">
        <f>VLOOKUP(B284,'Growthrates source'!A$2:H$49,8,FALSE)</f>
        <v>0.12998282689096063</v>
      </c>
      <c r="AP284" s="93">
        <f>VLOOKUP(B284,'Growthrates source'!A$2:I$49,9,FALSE)</f>
        <v>5.4673730437993617E-2</v>
      </c>
      <c r="AQ284" s="86">
        <f t="shared" si="85"/>
        <v>33.935889288002258</v>
      </c>
      <c r="AR284" s="86">
        <f t="shared" si="86"/>
        <v>76.585553412339621</v>
      </c>
      <c r="AS284" s="94">
        <f t="shared" si="87"/>
        <v>0</v>
      </c>
      <c r="AT284" s="94">
        <f t="shared" si="88"/>
        <v>1.1379521937529926</v>
      </c>
      <c r="AU284" s="94">
        <f t="shared" si="89"/>
        <v>1.0958451452795626</v>
      </c>
    </row>
    <row r="285" spans="1:47" x14ac:dyDescent="0.3">
      <c r="A285" s="85" t="str">
        <f>_xlfn.XLOOKUP(B285,'Country codes &amp; Data sources'!G:G,'Country codes &amp; Data sources'!H:H,,0)</f>
        <v>Cape-Verde</v>
      </c>
      <c r="B285" s="85" t="s">
        <v>167</v>
      </c>
      <c r="C285" s="86">
        <v>533883</v>
      </c>
      <c r="D285" s="85" t="s">
        <v>142</v>
      </c>
      <c r="E285" s="87">
        <v>0</v>
      </c>
      <c r="F285" s="88">
        <v>539939.99999999988</v>
      </c>
      <c r="G285" s="87">
        <v>0</v>
      </c>
      <c r="I285" s="87">
        <v>0</v>
      </c>
      <c r="K285" s="87">
        <v>0</v>
      </c>
      <c r="M285" s="87">
        <v>0</v>
      </c>
      <c r="O285" s="87">
        <v>0</v>
      </c>
      <c r="P285" s="88">
        <v>571201.5</v>
      </c>
      <c r="Q285" s="87">
        <v>0</v>
      </c>
      <c r="R285" s="87">
        <f t="shared" si="72"/>
        <v>0</v>
      </c>
      <c r="T285" s="87">
        <v>0</v>
      </c>
      <c r="V285" s="87">
        <v>0</v>
      </c>
      <c r="X285" s="87">
        <v>0</v>
      </c>
      <c r="Y285" s="88">
        <v>593149.50000000012</v>
      </c>
      <c r="Z285" s="87">
        <v>0</v>
      </c>
      <c r="AA285" s="87">
        <v>0</v>
      </c>
      <c r="AB285" s="89">
        <f t="shared" si="73"/>
        <v>0</v>
      </c>
      <c r="AC285" s="89">
        <f t="shared" si="74"/>
        <v>0</v>
      </c>
      <c r="AD285" s="89">
        <f t="shared" si="75"/>
        <v>0</v>
      </c>
      <c r="AE285" s="90">
        <f t="shared" si="76"/>
        <v>0</v>
      </c>
      <c r="AF285" s="90" t="str">
        <f t="shared" si="77"/>
        <v/>
      </c>
      <c r="AG285" s="90">
        <f t="shared" si="78"/>
        <v>0</v>
      </c>
      <c r="AH285" s="90" t="str">
        <f t="shared" si="79"/>
        <v/>
      </c>
      <c r="AI285" s="90">
        <f t="shared" si="80"/>
        <v>0</v>
      </c>
      <c r="AJ285" s="90" t="str">
        <f t="shared" si="81"/>
        <v/>
      </c>
      <c r="AK285" s="90" t="str">
        <f t="shared" si="82"/>
        <v/>
      </c>
      <c r="AL285" s="91">
        <f>IF(AK285="Adjust",(_xlfn.XLOOKUP(A285,'Adj factor'!A:A,'Adj factor'!I:I,,0)*AI285),'Master DataSheet'!AI285)</f>
        <v>0</v>
      </c>
      <c r="AM285" s="91">
        <f t="shared" si="83"/>
        <v>0</v>
      </c>
      <c r="AN285" s="92" t="str">
        <f t="shared" si="84"/>
        <v>No change</v>
      </c>
      <c r="AO285" s="93">
        <f>VLOOKUP(B285,'Growthrates source'!A$2:H$49,8,FALSE)</f>
        <v>0.12998282689096063</v>
      </c>
      <c r="AP285" s="93">
        <f>VLOOKUP(B285,'Growthrates source'!A$2:I$49,9,FALSE)</f>
        <v>5.4673730437993617E-2</v>
      </c>
      <c r="AQ285" s="86">
        <f t="shared" si="85"/>
        <v>0</v>
      </c>
      <c r="AR285" s="86">
        <f t="shared" si="86"/>
        <v>0</v>
      </c>
      <c r="AS285" s="94">
        <f t="shared" si="87"/>
        <v>0</v>
      </c>
      <c r="AT285" s="94">
        <f t="shared" si="88"/>
        <v>0</v>
      </c>
      <c r="AU285" s="94">
        <f t="shared" si="89"/>
        <v>0</v>
      </c>
    </row>
    <row r="286" spans="1:47" x14ac:dyDescent="0.3">
      <c r="A286" s="85" t="str">
        <f>_xlfn.XLOOKUP(B286,'Country codes &amp; Data sources'!G:G,'Country codes &amp; Data sources'!H:H,,0)</f>
        <v>Cape-Verde</v>
      </c>
      <c r="B286" s="85" t="s">
        <v>167</v>
      </c>
      <c r="C286" s="86">
        <v>533884</v>
      </c>
      <c r="D286" s="85" t="s">
        <v>83</v>
      </c>
      <c r="E286" s="87">
        <v>0</v>
      </c>
      <c r="F286" s="88">
        <v>539939.99999999988</v>
      </c>
      <c r="G286" s="87">
        <v>0</v>
      </c>
      <c r="I286" s="87">
        <v>0</v>
      </c>
      <c r="K286" s="87">
        <v>0</v>
      </c>
      <c r="M286" s="87">
        <v>0</v>
      </c>
      <c r="O286" s="87">
        <v>0</v>
      </c>
      <c r="P286" s="88">
        <v>571201.5</v>
      </c>
      <c r="Q286" s="87">
        <v>0</v>
      </c>
      <c r="R286" s="87">
        <f t="shared" si="72"/>
        <v>58</v>
      </c>
      <c r="T286" s="87">
        <v>0</v>
      </c>
      <c r="V286" s="87">
        <v>0</v>
      </c>
      <c r="X286" s="87">
        <v>0</v>
      </c>
      <c r="Y286" s="88">
        <v>593149.50000000012</v>
      </c>
      <c r="Z286" s="87">
        <v>10</v>
      </c>
      <c r="AA286" s="87">
        <v>58</v>
      </c>
      <c r="AB286" s="89">
        <f t="shared" si="73"/>
        <v>0</v>
      </c>
      <c r="AC286" s="89">
        <f t="shared" si="74"/>
        <v>0</v>
      </c>
      <c r="AD286" s="89">
        <f t="shared" si="75"/>
        <v>10</v>
      </c>
      <c r="AE286" s="90">
        <f t="shared" si="76"/>
        <v>0</v>
      </c>
      <c r="AF286" s="90" t="str">
        <f t="shared" si="77"/>
        <v/>
      </c>
      <c r="AG286" s="90">
        <f t="shared" si="78"/>
        <v>58</v>
      </c>
      <c r="AH286" s="90" t="str">
        <f t="shared" si="79"/>
        <v>2018 (triag)</v>
      </c>
      <c r="AI286" s="90">
        <f t="shared" si="80"/>
        <v>10</v>
      </c>
      <c r="AJ286" s="90">
        <f t="shared" si="81"/>
        <v>2022</v>
      </c>
      <c r="AK286" s="90" t="str">
        <f t="shared" si="82"/>
        <v>Adjust</v>
      </c>
      <c r="AL286" s="91">
        <f>IF(AK286="Adjust",(_xlfn.XLOOKUP(A286,'Adj factor'!A:A,'Adj factor'!I:I,,0)*AI286),'Master DataSheet'!AI286)</f>
        <v>12.434266327396099</v>
      </c>
      <c r="AM286" s="91">
        <f t="shared" si="83"/>
        <v>58</v>
      </c>
      <c r="AN286" s="92" t="str">
        <f t="shared" si="84"/>
        <v>Decreasing</v>
      </c>
      <c r="AO286" s="93">
        <f>VLOOKUP(B286,'Growthrates source'!A$2:H$49,8,FALSE)</f>
        <v>0.12998282689096063</v>
      </c>
      <c r="AP286" s="93">
        <f>VLOOKUP(B286,'Growthrates source'!A$2:I$49,9,FALSE)</f>
        <v>5.4673730437993617E-2</v>
      </c>
      <c r="AQ286" s="86">
        <f t="shared" si="85"/>
        <v>30.281255056986627</v>
      </c>
      <c r="AR286" s="86">
        <f t="shared" si="86"/>
        <v>68.337878429472283</v>
      </c>
      <c r="AS286" s="94">
        <f t="shared" si="87"/>
        <v>0</v>
      </c>
      <c r="AT286" s="94">
        <f t="shared" si="88"/>
        <v>1.0154034959642089</v>
      </c>
      <c r="AU286" s="94">
        <f t="shared" si="89"/>
        <v>0.97783105271099424</v>
      </c>
    </row>
    <row r="287" spans="1:47" x14ac:dyDescent="0.3">
      <c r="A287" s="85" t="str">
        <f>_xlfn.XLOOKUP(B287,'Country codes &amp; Data sources'!G:G,'Country codes &amp; Data sources'!H:H,,0)</f>
        <v>Cape-Verde</v>
      </c>
      <c r="B287" s="85" t="s">
        <v>167</v>
      </c>
      <c r="C287" s="86">
        <v>533885</v>
      </c>
      <c r="D287" s="85" t="s">
        <v>84</v>
      </c>
      <c r="E287" s="87">
        <v>0</v>
      </c>
      <c r="F287" s="88">
        <v>539939.99999999988</v>
      </c>
      <c r="G287" s="87">
        <v>0</v>
      </c>
      <c r="I287" s="87">
        <v>0</v>
      </c>
      <c r="K287" s="87">
        <v>0</v>
      </c>
      <c r="M287" s="87">
        <v>0</v>
      </c>
      <c r="O287" s="87">
        <v>0</v>
      </c>
      <c r="P287" s="88">
        <v>571201.5</v>
      </c>
      <c r="Q287" s="87">
        <v>0</v>
      </c>
      <c r="R287" s="87">
        <f t="shared" si="72"/>
        <v>0</v>
      </c>
      <c r="T287" s="87">
        <v>0</v>
      </c>
      <c r="V287" s="87">
        <v>0</v>
      </c>
      <c r="X287" s="87">
        <v>0</v>
      </c>
      <c r="Y287" s="88">
        <v>593149.50000000012</v>
      </c>
      <c r="Z287" s="87">
        <v>0</v>
      </c>
      <c r="AA287" s="87">
        <v>0</v>
      </c>
      <c r="AB287" s="89">
        <f t="shared" si="73"/>
        <v>0</v>
      </c>
      <c r="AC287" s="89">
        <f t="shared" si="74"/>
        <v>0</v>
      </c>
      <c r="AD287" s="89">
        <f t="shared" si="75"/>
        <v>0</v>
      </c>
      <c r="AE287" s="90">
        <f t="shared" si="76"/>
        <v>0</v>
      </c>
      <c r="AF287" s="90" t="str">
        <f t="shared" si="77"/>
        <v/>
      </c>
      <c r="AG287" s="90">
        <f t="shared" si="78"/>
        <v>0</v>
      </c>
      <c r="AH287" s="90" t="str">
        <f t="shared" si="79"/>
        <v/>
      </c>
      <c r="AI287" s="90">
        <f t="shared" si="80"/>
        <v>0</v>
      </c>
      <c r="AJ287" s="90" t="str">
        <f t="shared" si="81"/>
        <v/>
      </c>
      <c r="AK287" s="90" t="str">
        <f t="shared" si="82"/>
        <v/>
      </c>
      <c r="AL287" s="91">
        <f>IF(AK287="Adjust",(_xlfn.XLOOKUP(A287,'Adj factor'!A:A,'Adj factor'!I:I,,0)*AI287),'Master DataSheet'!AI287)</f>
        <v>0</v>
      </c>
      <c r="AM287" s="91">
        <f t="shared" si="83"/>
        <v>0</v>
      </c>
      <c r="AN287" s="92" t="str">
        <f t="shared" si="84"/>
        <v>No change</v>
      </c>
      <c r="AO287" s="93">
        <f>VLOOKUP(B287,'Growthrates source'!A$2:H$49,8,FALSE)</f>
        <v>0.12998282689096063</v>
      </c>
      <c r="AP287" s="93">
        <f>VLOOKUP(B287,'Growthrates source'!A$2:I$49,9,FALSE)</f>
        <v>5.4673730437993617E-2</v>
      </c>
      <c r="AQ287" s="86">
        <f t="shared" si="85"/>
        <v>0</v>
      </c>
      <c r="AR287" s="86">
        <f t="shared" si="86"/>
        <v>0</v>
      </c>
      <c r="AS287" s="94">
        <f t="shared" si="87"/>
        <v>0</v>
      </c>
      <c r="AT287" s="94">
        <f t="shared" si="88"/>
        <v>0</v>
      </c>
      <c r="AU287" s="94">
        <f t="shared" si="89"/>
        <v>0</v>
      </c>
    </row>
    <row r="288" spans="1:47" x14ac:dyDescent="0.3">
      <c r="A288" s="85" t="str">
        <f>_xlfn.XLOOKUP(B288,'Country codes &amp; Data sources'!G:G,'Country codes &amp; Data sources'!H:H,,0)</f>
        <v>Cape-Verde</v>
      </c>
      <c r="B288" s="85" t="s">
        <v>167</v>
      </c>
      <c r="C288" s="86">
        <v>533886</v>
      </c>
      <c r="D288" s="85" t="s">
        <v>126</v>
      </c>
      <c r="E288" s="87">
        <v>0</v>
      </c>
      <c r="F288" s="88">
        <v>539939.99999999988</v>
      </c>
      <c r="G288" s="87">
        <v>0</v>
      </c>
      <c r="I288" s="87">
        <v>0</v>
      </c>
      <c r="K288" s="87">
        <v>0</v>
      </c>
      <c r="M288" s="87">
        <v>0</v>
      </c>
      <c r="O288" s="87">
        <v>0</v>
      </c>
      <c r="P288" s="88">
        <v>571201.5</v>
      </c>
      <c r="Q288" s="87">
        <v>0</v>
      </c>
      <c r="R288" s="87">
        <f t="shared" si="72"/>
        <v>0</v>
      </c>
      <c r="T288" s="87">
        <v>0</v>
      </c>
      <c r="V288" s="87">
        <v>0</v>
      </c>
      <c r="X288" s="87">
        <v>0</v>
      </c>
      <c r="Y288" s="88">
        <v>593149.50000000012</v>
      </c>
      <c r="Z288" s="87">
        <v>0</v>
      </c>
      <c r="AA288" s="87">
        <v>0</v>
      </c>
      <c r="AB288" s="89">
        <f t="shared" si="73"/>
        <v>0</v>
      </c>
      <c r="AC288" s="89">
        <f t="shared" si="74"/>
        <v>0</v>
      </c>
      <c r="AD288" s="89">
        <f t="shared" si="75"/>
        <v>0</v>
      </c>
      <c r="AE288" s="90">
        <f t="shared" si="76"/>
        <v>0</v>
      </c>
      <c r="AF288" s="90" t="str">
        <f t="shared" si="77"/>
        <v/>
      </c>
      <c r="AG288" s="90">
        <f t="shared" si="78"/>
        <v>0</v>
      </c>
      <c r="AH288" s="90" t="str">
        <f t="shared" si="79"/>
        <v/>
      </c>
      <c r="AI288" s="90">
        <f t="shared" si="80"/>
        <v>0</v>
      </c>
      <c r="AJ288" s="90" t="str">
        <f t="shared" si="81"/>
        <v/>
      </c>
      <c r="AK288" s="90" t="str">
        <f t="shared" si="82"/>
        <v/>
      </c>
      <c r="AL288" s="91">
        <f>IF(AK288="Adjust",(_xlfn.XLOOKUP(A288,'Adj factor'!A:A,'Adj factor'!I:I,,0)*AI288),'Master DataSheet'!AI288)</f>
        <v>0</v>
      </c>
      <c r="AM288" s="91">
        <f t="shared" si="83"/>
        <v>0</v>
      </c>
      <c r="AN288" s="92" t="str">
        <f t="shared" si="84"/>
        <v>No change</v>
      </c>
      <c r="AO288" s="93">
        <f>VLOOKUP(B288,'Growthrates source'!A$2:H$49,8,FALSE)</f>
        <v>0.12998282689096063</v>
      </c>
      <c r="AP288" s="93">
        <f>VLOOKUP(B288,'Growthrates source'!A$2:I$49,9,FALSE)</f>
        <v>5.4673730437993617E-2</v>
      </c>
      <c r="AQ288" s="86">
        <f t="shared" si="85"/>
        <v>0</v>
      </c>
      <c r="AR288" s="86">
        <f t="shared" si="86"/>
        <v>0</v>
      </c>
      <c r="AS288" s="94">
        <f t="shared" si="87"/>
        <v>0</v>
      </c>
      <c r="AT288" s="94">
        <f t="shared" si="88"/>
        <v>0</v>
      </c>
      <c r="AU288" s="94">
        <f t="shared" si="89"/>
        <v>0</v>
      </c>
    </row>
    <row r="289" spans="1:47" x14ac:dyDescent="0.3">
      <c r="A289" s="85" t="str">
        <f>_xlfn.XLOOKUP(B289,'Country codes &amp; Data sources'!G:G,'Country codes &amp; Data sources'!H:H,,0)</f>
        <v>Cape-Verde</v>
      </c>
      <c r="B289" s="85" t="s">
        <v>167</v>
      </c>
      <c r="C289" s="86">
        <v>533887</v>
      </c>
      <c r="D289" s="85" t="s">
        <v>87</v>
      </c>
      <c r="E289" s="87">
        <v>0</v>
      </c>
      <c r="F289" s="88">
        <v>539939.99999999988</v>
      </c>
      <c r="G289" s="87">
        <v>0</v>
      </c>
      <c r="I289" s="87">
        <v>0</v>
      </c>
      <c r="K289" s="87">
        <v>0</v>
      </c>
      <c r="M289" s="87">
        <v>0</v>
      </c>
      <c r="O289" s="87">
        <v>0</v>
      </c>
      <c r="P289" s="88">
        <v>571201.5</v>
      </c>
      <c r="Q289" s="87">
        <v>0</v>
      </c>
      <c r="R289" s="87">
        <f t="shared" si="72"/>
        <v>1</v>
      </c>
      <c r="T289" s="87">
        <v>0</v>
      </c>
      <c r="V289" s="87">
        <v>0</v>
      </c>
      <c r="X289" s="87">
        <v>0</v>
      </c>
      <c r="Y289" s="88">
        <v>593149.50000000012</v>
      </c>
      <c r="Z289" s="87">
        <v>0</v>
      </c>
      <c r="AA289" s="87">
        <v>1</v>
      </c>
      <c r="AB289" s="89">
        <f t="shared" si="73"/>
        <v>0</v>
      </c>
      <c r="AC289" s="89">
        <f t="shared" si="74"/>
        <v>0</v>
      </c>
      <c r="AD289" s="89">
        <f t="shared" si="75"/>
        <v>0</v>
      </c>
      <c r="AE289" s="90">
        <f t="shared" si="76"/>
        <v>0</v>
      </c>
      <c r="AF289" s="90" t="str">
        <f t="shared" si="77"/>
        <v/>
      </c>
      <c r="AG289" s="90">
        <f t="shared" si="78"/>
        <v>1</v>
      </c>
      <c r="AH289" s="90" t="str">
        <f t="shared" si="79"/>
        <v>2018 (triag)</v>
      </c>
      <c r="AI289" s="90">
        <f t="shared" si="80"/>
        <v>1</v>
      </c>
      <c r="AJ289" s="90" t="str">
        <f t="shared" si="81"/>
        <v>2018 (triag)</v>
      </c>
      <c r="AK289" s="90" t="str">
        <f t="shared" si="82"/>
        <v/>
      </c>
      <c r="AL289" s="91">
        <f>IF(AK289="Adjust",(_xlfn.XLOOKUP(A289,'Adj factor'!A:A,'Adj factor'!I:I,,0)*AI289),'Master DataSheet'!AI289)</f>
        <v>1</v>
      </c>
      <c r="AM289" s="91">
        <f t="shared" si="83"/>
        <v>1</v>
      </c>
      <c r="AN289" s="92" t="str">
        <f t="shared" si="84"/>
        <v>No change</v>
      </c>
      <c r="AO289" s="93">
        <f>VLOOKUP(B289,'Growthrates source'!A$2:H$49,8,FALSE)</f>
        <v>0.12998282689096063</v>
      </c>
      <c r="AP289" s="93">
        <f>VLOOKUP(B289,'Growthrates source'!A$2:I$49,9,FALSE)</f>
        <v>5.4673730437993617E-2</v>
      </c>
      <c r="AQ289" s="86">
        <f t="shared" si="85"/>
        <v>0.52209060443080391</v>
      </c>
      <c r="AR289" s="86">
        <f t="shared" si="86"/>
        <v>1.1782392832667634</v>
      </c>
      <c r="AS289" s="94">
        <f t="shared" si="87"/>
        <v>0</v>
      </c>
      <c r="AT289" s="94">
        <f t="shared" si="88"/>
        <v>1.7506956826969115E-2</v>
      </c>
      <c r="AU289" s="94">
        <f t="shared" si="89"/>
        <v>1.6859156081224038E-2</v>
      </c>
    </row>
    <row r="290" spans="1:47" x14ac:dyDescent="0.3">
      <c r="A290" s="85" t="str">
        <f>_xlfn.XLOOKUP(B290,'Country codes &amp; Data sources'!G:G,'Country codes &amp; Data sources'!H:H,,0)</f>
        <v>Algeria</v>
      </c>
      <c r="B290" s="85" t="s">
        <v>161</v>
      </c>
      <c r="C290" s="86">
        <v>37260562.50000003</v>
      </c>
      <c r="D290" s="85" t="s">
        <v>321</v>
      </c>
      <c r="E290" s="87">
        <v>0</v>
      </c>
      <c r="F290" s="88">
        <v>38000626.500000022</v>
      </c>
      <c r="G290" s="87">
        <v>4628</v>
      </c>
      <c r="H290" s="87">
        <v>38760167.5</v>
      </c>
      <c r="I290" s="87">
        <v>612</v>
      </c>
      <c r="J290" s="87">
        <v>39543154.499999985</v>
      </c>
      <c r="K290" s="87">
        <v>0</v>
      </c>
      <c r="L290" s="87">
        <v>40339328.5</v>
      </c>
      <c r="M290" s="87">
        <v>148618</v>
      </c>
      <c r="N290" s="87">
        <v>41136545.999999985</v>
      </c>
      <c r="O290" s="87">
        <v>0</v>
      </c>
      <c r="P290" s="88">
        <v>41927007.000000007</v>
      </c>
      <c r="Q290" s="87">
        <v>185038</v>
      </c>
      <c r="R290" s="87">
        <f t="shared" si="72"/>
        <v>185038</v>
      </c>
      <c r="S290" s="87">
        <v>42705368.50000003</v>
      </c>
      <c r="T290" s="87">
        <v>84280</v>
      </c>
      <c r="U290" s="87">
        <v>43451665.999999985</v>
      </c>
      <c r="V290" s="87">
        <v>0</v>
      </c>
      <c r="W290" s="87">
        <v>44177968.500000007</v>
      </c>
      <c r="X290" s="87">
        <v>0</v>
      </c>
      <c r="Y290" s="88">
        <v>44903225.000000007</v>
      </c>
      <c r="Z290" s="87">
        <v>0</v>
      </c>
      <c r="AA290" s="87">
        <v>73168</v>
      </c>
      <c r="AB290" s="89">
        <f t="shared" si="73"/>
        <v>4628</v>
      </c>
      <c r="AC290" s="89">
        <f t="shared" si="74"/>
        <v>185038</v>
      </c>
      <c r="AD290" s="89">
        <f t="shared" si="75"/>
        <v>0</v>
      </c>
      <c r="AE290" s="90">
        <f t="shared" si="76"/>
        <v>4628</v>
      </c>
      <c r="AF290" s="90">
        <f t="shared" si="77"/>
        <v>2013</v>
      </c>
      <c r="AG290" s="90">
        <f t="shared" si="78"/>
        <v>185038</v>
      </c>
      <c r="AH290" s="90">
        <f t="shared" si="79"/>
        <v>2018</v>
      </c>
      <c r="AI290" s="90">
        <f t="shared" si="80"/>
        <v>84280</v>
      </c>
      <c r="AJ290" s="90">
        <f t="shared" si="81"/>
        <v>2018</v>
      </c>
      <c r="AK290" s="90" t="str">
        <f t="shared" si="82"/>
        <v>Adjust</v>
      </c>
      <c r="AL290" s="91">
        <f>IF(AK290="Adjust",(_xlfn.XLOOKUP(A290,'Adj factor'!A:A,'Adj factor'!I:I,,0)*AI290),'Master DataSheet'!AI290)</f>
        <v>96067.648697700104</v>
      </c>
      <c r="AM290" s="91">
        <f t="shared" si="83"/>
        <v>185038</v>
      </c>
      <c r="AN290" s="92" t="str">
        <f t="shared" si="84"/>
        <v>Decreasing</v>
      </c>
      <c r="AO290" s="93">
        <f>VLOOKUP(B290,'Growthrates source'!A$2:H$49,8,FALSE)</f>
        <v>-5.6467842638671772E-2</v>
      </c>
      <c r="AP290" s="93">
        <f>VLOOKUP(B290,'Growthrates source'!A$2:I$49,9,FALSE)</f>
        <v>0.17775588866414749</v>
      </c>
      <c r="AQ290" s="86">
        <f t="shared" si="85"/>
        <v>97037.488198034029</v>
      </c>
      <c r="AR290" s="86">
        <f t="shared" si="86"/>
        <v>124714.33885802898</v>
      </c>
      <c r="AS290" s="94">
        <f t="shared" si="87"/>
        <v>1.2178746579349151</v>
      </c>
      <c r="AT290" s="94">
        <f t="shared" si="88"/>
        <v>44.133367306662258</v>
      </c>
      <c r="AU290" s="94">
        <f t="shared" si="89"/>
        <v>41.208176027445681</v>
      </c>
    </row>
    <row r="291" spans="1:47" x14ac:dyDescent="0.3">
      <c r="A291" s="85" t="str">
        <f>_xlfn.XLOOKUP(B291,'Country codes &amp; Data sources'!G:G,'Country codes &amp; Data sources'!H:H,,0)</f>
        <v>Algeria</v>
      </c>
      <c r="B291" s="85" t="s">
        <v>161</v>
      </c>
      <c r="C291" s="86">
        <v>37260563.5</v>
      </c>
      <c r="D291" s="85" t="s">
        <v>322</v>
      </c>
      <c r="E291" s="87">
        <v>0</v>
      </c>
      <c r="F291" s="88">
        <v>38000626.500000022</v>
      </c>
      <c r="G291" s="87">
        <v>0</v>
      </c>
      <c r="I291" s="87">
        <v>0</v>
      </c>
      <c r="K291" s="87">
        <v>0</v>
      </c>
      <c r="M291" s="87">
        <v>181916</v>
      </c>
      <c r="O291" s="87">
        <v>184000</v>
      </c>
      <c r="P291" s="88">
        <v>41927007.000000007</v>
      </c>
      <c r="Q291" s="87">
        <v>112822</v>
      </c>
      <c r="R291" s="87">
        <f t="shared" si="72"/>
        <v>112822</v>
      </c>
      <c r="T291" s="87">
        <v>8850</v>
      </c>
      <c r="V291" s="87">
        <v>0</v>
      </c>
      <c r="X291" s="87">
        <v>0</v>
      </c>
      <c r="Y291" s="88">
        <v>44903225.000000007</v>
      </c>
      <c r="Z291" s="87">
        <v>0</v>
      </c>
      <c r="AA291" s="87">
        <v>57705</v>
      </c>
      <c r="AB291" s="89">
        <f t="shared" si="73"/>
        <v>0</v>
      </c>
      <c r="AC291" s="89">
        <f t="shared" si="74"/>
        <v>184000</v>
      </c>
      <c r="AD291" s="89">
        <f t="shared" si="75"/>
        <v>0</v>
      </c>
      <c r="AE291" s="90">
        <f t="shared" si="76"/>
        <v>0</v>
      </c>
      <c r="AF291" s="90" t="str">
        <f t="shared" si="77"/>
        <v/>
      </c>
      <c r="AG291" s="90">
        <f t="shared" si="78"/>
        <v>112822</v>
      </c>
      <c r="AH291" s="90">
        <f t="shared" si="79"/>
        <v>2018</v>
      </c>
      <c r="AI291" s="90">
        <f t="shared" si="80"/>
        <v>8850</v>
      </c>
      <c r="AJ291" s="90">
        <f t="shared" si="81"/>
        <v>2018</v>
      </c>
      <c r="AK291" s="90" t="str">
        <f t="shared" si="82"/>
        <v>Adjust</v>
      </c>
      <c r="AL291" s="91">
        <f>IF(AK291="Adjust",(_xlfn.XLOOKUP(A291,'Adj factor'!A:A,'Adj factor'!I:I,,0)*AI291),'Master DataSheet'!AI291)</f>
        <v>10087.787031023327</v>
      </c>
      <c r="AM291" s="91">
        <f t="shared" si="83"/>
        <v>112822</v>
      </c>
      <c r="AN291" s="92" t="str">
        <f t="shared" si="84"/>
        <v>Decreasing</v>
      </c>
      <c r="AO291" s="93">
        <f>VLOOKUP(B291,'Growthrates source'!A$2:H$49,8,FALSE)</f>
        <v>-5.6467842638671772E-2</v>
      </c>
      <c r="AP291" s="93">
        <f>VLOOKUP(B291,'Growthrates source'!A$2:I$49,9,FALSE)</f>
        <v>0.17775588866414749</v>
      </c>
      <c r="AQ291" s="86">
        <f t="shared" si="85"/>
        <v>76530.016625677265</v>
      </c>
      <c r="AR291" s="86">
        <f t="shared" si="86"/>
        <v>98357.764648515222</v>
      </c>
      <c r="AS291" s="94">
        <f t="shared" si="87"/>
        <v>0</v>
      </c>
      <c r="AT291" s="94">
        <f t="shared" si="88"/>
        <v>26.909147128007486</v>
      </c>
      <c r="AU291" s="94">
        <f t="shared" si="89"/>
        <v>25.125589531709579</v>
      </c>
    </row>
    <row r="292" spans="1:47" x14ac:dyDescent="0.3">
      <c r="A292" s="85" t="str">
        <f>_xlfn.XLOOKUP(B292,'Country codes &amp; Data sources'!G:G,'Country codes &amp; Data sources'!H:H,,0)</f>
        <v>Algeria</v>
      </c>
      <c r="B292" s="85" t="s">
        <v>161</v>
      </c>
      <c r="C292" s="86">
        <v>37260564.5</v>
      </c>
      <c r="D292" s="85" t="s">
        <v>323</v>
      </c>
      <c r="E292" s="87">
        <v>0</v>
      </c>
      <c r="F292" s="88">
        <v>38000626.500000022</v>
      </c>
      <c r="G292" s="87">
        <v>0</v>
      </c>
      <c r="I292" s="87">
        <v>22278</v>
      </c>
      <c r="K292" s="87">
        <v>0</v>
      </c>
      <c r="M292" s="87">
        <v>0</v>
      </c>
      <c r="O292" s="87">
        <v>0</v>
      </c>
      <c r="P292" s="88">
        <v>41927007.000000007</v>
      </c>
      <c r="Q292" s="87">
        <v>17896</v>
      </c>
      <c r="R292" s="87">
        <f t="shared" si="72"/>
        <v>17896</v>
      </c>
      <c r="T292" s="87">
        <v>18140</v>
      </c>
      <c r="V292" s="87">
        <v>0</v>
      </c>
      <c r="X292" s="87">
        <v>0</v>
      </c>
      <c r="Y292" s="88">
        <v>44903225.000000007</v>
      </c>
      <c r="Z292" s="87">
        <v>0</v>
      </c>
      <c r="AA292" s="87">
        <v>8620</v>
      </c>
      <c r="AB292" s="89">
        <f t="shared" si="73"/>
        <v>22278</v>
      </c>
      <c r="AC292" s="89">
        <f t="shared" si="74"/>
        <v>18140</v>
      </c>
      <c r="AD292" s="89">
        <f t="shared" si="75"/>
        <v>0</v>
      </c>
      <c r="AE292" s="90">
        <f t="shared" si="76"/>
        <v>22278</v>
      </c>
      <c r="AF292" s="90">
        <f t="shared" si="77"/>
        <v>2014</v>
      </c>
      <c r="AG292" s="90">
        <f t="shared" si="78"/>
        <v>17896</v>
      </c>
      <c r="AH292" s="90">
        <f t="shared" si="79"/>
        <v>2018</v>
      </c>
      <c r="AI292" s="90">
        <f t="shared" si="80"/>
        <v>18140</v>
      </c>
      <c r="AJ292" s="90">
        <f t="shared" si="81"/>
        <v>2018</v>
      </c>
      <c r="AK292" s="90" t="str">
        <f t="shared" si="82"/>
        <v/>
      </c>
      <c r="AL292" s="91">
        <f>IF(AK292="Adjust",(_xlfn.XLOOKUP(A292,'Adj factor'!A:A,'Adj factor'!I:I,,0)*AI292),'Master DataSheet'!AI292)</f>
        <v>18140</v>
      </c>
      <c r="AM292" s="91">
        <f t="shared" si="83"/>
        <v>18140</v>
      </c>
      <c r="AN292" s="92" t="str">
        <f t="shared" si="84"/>
        <v>Increasing</v>
      </c>
      <c r="AO292" s="93">
        <f>VLOOKUP(B292,'Growthrates source'!A$2:H$49,8,FALSE)</f>
        <v>-5.6467842638671772E-2</v>
      </c>
      <c r="AP292" s="93">
        <f>VLOOKUP(B292,'Growthrates source'!A$2:I$49,9,FALSE)</f>
        <v>0.17775588866414749</v>
      </c>
      <c r="AQ292" s="86">
        <f t="shared" si="85"/>
        <v>11432.089824336505</v>
      </c>
      <c r="AR292" s="86">
        <f t="shared" si="86"/>
        <v>14692.729074953666</v>
      </c>
      <c r="AS292" s="94">
        <f t="shared" si="87"/>
        <v>5.862534924259732</v>
      </c>
      <c r="AT292" s="94">
        <f t="shared" si="88"/>
        <v>4.2683705040047331</v>
      </c>
      <c r="AU292" s="94">
        <f t="shared" si="89"/>
        <v>4.039798923128572</v>
      </c>
    </row>
    <row r="293" spans="1:47" x14ac:dyDescent="0.3">
      <c r="A293" s="85" t="str">
        <f>_xlfn.XLOOKUP(B293,'Country codes &amp; Data sources'!G:G,'Country codes &amp; Data sources'!H:H,,0)</f>
        <v>Algeria</v>
      </c>
      <c r="B293" s="85" t="s">
        <v>161</v>
      </c>
      <c r="C293" s="86">
        <v>37260565.5</v>
      </c>
      <c r="D293" s="85" t="s">
        <v>324</v>
      </c>
      <c r="E293" s="87">
        <v>391</v>
      </c>
      <c r="F293" s="88">
        <v>38000626.500000022</v>
      </c>
      <c r="G293" s="87">
        <v>54</v>
      </c>
      <c r="I293" s="87">
        <v>1029</v>
      </c>
      <c r="K293" s="87">
        <v>0</v>
      </c>
      <c r="M293" s="87">
        <v>81</v>
      </c>
      <c r="O293" s="87">
        <v>1388</v>
      </c>
      <c r="P293" s="88">
        <v>41927007.000000007</v>
      </c>
      <c r="Q293" s="87">
        <v>0</v>
      </c>
      <c r="R293" s="87">
        <f t="shared" si="72"/>
        <v>14106</v>
      </c>
      <c r="T293" s="87">
        <v>86</v>
      </c>
      <c r="V293" s="87">
        <v>0</v>
      </c>
      <c r="X293" s="87">
        <v>613</v>
      </c>
      <c r="Y293" s="88">
        <v>44903225.000000007</v>
      </c>
      <c r="Z293" s="87">
        <v>0</v>
      </c>
      <c r="AA293" s="87">
        <v>14106</v>
      </c>
      <c r="AB293" s="89">
        <f t="shared" si="73"/>
        <v>1029</v>
      </c>
      <c r="AC293" s="89">
        <f t="shared" si="74"/>
        <v>1388</v>
      </c>
      <c r="AD293" s="89">
        <f t="shared" si="75"/>
        <v>613</v>
      </c>
      <c r="AE293" s="90">
        <f t="shared" si="76"/>
        <v>54</v>
      </c>
      <c r="AF293" s="90">
        <f t="shared" si="77"/>
        <v>2013</v>
      </c>
      <c r="AG293" s="90">
        <f t="shared" si="78"/>
        <v>14106</v>
      </c>
      <c r="AH293" s="90" t="str">
        <f t="shared" si="79"/>
        <v>2018 (triag)</v>
      </c>
      <c r="AI293" s="90">
        <f t="shared" si="80"/>
        <v>613</v>
      </c>
      <c r="AJ293" s="90">
        <f t="shared" si="81"/>
        <v>2021</v>
      </c>
      <c r="AK293" s="90" t="str">
        <f t="shared" si="82"/>
        <v>Adjust</v>
      </c>
      <c r="AL293" s="91">
        <f>IF(AK293="Adjust",(_xlfn.XLOOKUP(A293,'Adj factor'!A:A,'Adj factor'!I:I,,0)*AI293),'Master DataSheet'!AI293)</f>
        <v>698.73598305280211</v>
      </c>
      <c r="AM293" s="91">
        <f t="shared" si="83"/>
        <v>14106</v>
      </c>
      <c r="AN293" s="92" t="str">
        <f t="shared" si="84"/>
        <v>Decreasing</v>
      </c>
      <c r="AO293" s="93">
        <f>VLOOKUP(B293,'Growthrates source'!A$2:H$49,8,FALSE)</f>
        <v>-5.6467842638671772E-2</v>
      </c>
      <c r="AP293" s="93">
        <f>VLOOKUP(B293,'Growthrates source'!A$2:I$49,9,FALSE)</f>
        <v>0.17775588866414749</v>
      </c>
      <c r="AQ293" s="86">
        <f t="shared" si="85"/>
        <v>18707.779473560411</v>
      </c>
      <c r="AR293" s="86">
        <f t="shared" si="86"/>
        <v>24043.57730061443</v>
      </c>
      <c r="AS293" s="94">
        <f t="shared" si="87"/>
        <v>1.4210292032948449E-2</v>
      </c>
      <c r="AT293" s="94">
        <f t="shared" si="88"/>
        <v>3.3644185476917055</v>
      </c>
      <c r="AU293" s="94">
        <f t="shared" si="89"/>
        <v>3.1414224702123281</v>
      </c>
    </row>
    <row r="294" spans="1:47" x14ac:dyDescent="0.3">
      <c r="A294" s="85" t="str">
        <f>_xlfn.XLOOKUP(B294,'Country codes &amp; Data sources'!G:G,'Country codes &amp; Data sources'!H:H,,0)</f>
        <v>Algeria</v>
      </c>
      <c r="B294" s="85" t="s">
        <v>161</v>
      </c>
      <c r="C294" s="86">
        <v>37260566.5</v>
      </c>
      <c r="D294" s="85" t="s">
        <v>325</v>
      </c>
      <c r="E294" s="87">
        <v>224</v>
      </c>
      <c r="F294" s="88">
        <v>38000626.500000022</v>
      </c>
      <c r="G294" s="87">
        <v>0</v>
      </c>
      <c r="I294" s="87">
        <v>397</v>
      </c>
      <c r="K294" s="87">
        <v>0</v>
      </c>
      <c r="M294" s="87">
        <v>25</v>
      </c>
      <c r="O294" s="87">
        <v>0</v>
      </c>
      <c r="P294" s="88">
        <v>41927007.000000007</v>
      </c>
      <c r="Q294" s="87">
        <v>0</v>
      </c>
      <c r="R294" s="87">
        <f t="shared" si="72"/>
        <v>12781</v>
      </c>
      <c r="T294" s="87">
        <v>5</v>
      </c>
      <c r="V294" s="87">
        <v>0</v>
      </c>
      <c r="X294" s="87">
        <v>6</v>
      </c>
      <c r="Y294" s="88">
        <v>44903225.000000007</v>
      </c>
      <c r="Z294" s="87">
        <v>0</v>
      </c>
      <c r="AA294" s="87">
        <v>12781</v>
      </c>
      <c r="AB294" s="89">
        <f t="shared" si="73"/>
        <v>397</v>
      </c>
      <c r="AC294" s="89">
        <f t="shared" si="74"/>
        <v>25</v>
      </c>
      <c r="AD294" s="89">
        <f t="shared" si="75"/>
        <v>6</v>
      </c>
      <c r="AE294" s="90">
        <f t="shared" si="76"/>
        <v>224</v>
      </c>
      <c r="AF294" s="90">
        <f t="shared" si="77"/>
        <v>2012</v>
      </c>
      <c r="AG294" s="90">
        <f t="shared" si="78"/>
        <v>12781</v>
      </c>
      <c r="AH294" s="90" t="str">
        <f t="shared" si="79"/>
        <v>2018 (triag)</v>
      </c>
      <c r="AI294" s="90">
        <f t="shared" si="80"/>
        <v>6</v>
      </c>
      <c r="AJ294" s="90">
        <f t="shared" si="81"/>
        <v>2021</v>
      </c>
      <c r="AK294" s="90" t="str">
        <f t="shared" si="82"/>
        <v>Adjust</v>
      </c>
      <c r="AL294" s="91">
        <f>IF(AK294="Adjust",(_xlfn.XLOOKUP(A294,'Adj factor'!A:A,'Adj factor'!I:I,,0)*AI294),'Master DataSheet'!AI294)</f>
        <v>6.8391776481514075</v>
      </c>
      <c r="AM294" s="91">
        <f t="shared" si="83"/>
        <v>12781</v>
      </c>
      <c r="AN294" s="92" t="str">
        <f t="shared" si="84"/>
        <v>Decreasing</v>
      </c>
      <c r="AO294" s="93">
        <f>VLOOKUP(B294,'Growthrates source'!A$2:H$49,8,FALSE)</f>
        <v>-5.6467842638671772E-2</v>
      </c>
      <c r="AP294" s="93">
        <f>VLOOKUP(B294,'Growthrates source'!A$2:I$49,9,FALSE)</f>
        <v>0.17775588866414749</v>
      </c>
      <c r="AQ294" s="86">
        <f t="shared" si="85"/>
        <v>16950.526687336991</v>
      </c>
      <c r="AR294" s="86">
        <f t="shared" si="86"/>
        <v>21785.12416554325</v>
      </c>
      <c r="AS294" s="94">
        <f t="shared" si="87"/>
        <v>5.8946396581119491E-2</v>
      </c>
      <c r="AT294" s="94">
        <f t="shared" si="88"/>
        <v>3.0483931276086551</v>
      </c>
      <c r="AU294" s="94">
        <f t="shared" si="89"/>
        <v>2.846343441924271</v>
      </c>
    </row>
    <row r="295" spans="1:47" x14ac:dyDescent="0.3">
      <c r="A295" s="85" t="str">
        <f>_xlfn.XLOOKUP(B295,'Country codes &amp; Data sources'!G:G,'Country codes &amp; Data sources'!H:H,,0)</f>
        <v>Algeria</v>
      </c>
      <c r="B295" s="85" t="s">
        <v>161</v>
      </c>
      <c r="C295" s="86">
        <v>37260567.5</v>
      </c>
      <c r="D295" s="85" t="s">
        <v>127</v>
      </c>
      <c r="E295" s="87">
        <v>0</v>
      </c>
      <c r="F295" s="88">
        <v>38000626.500000022</v>
      </c>
      <c r="G295" s="87">
        <v>0</v>
      </c>
      <c r="I295" s="87">
        <v>0</v>
      </c>
      <c r="K295" s="87">
        <v>0</v>
      </c>
      <c r="M295" s="87">
        <v>0</v>
      </c>
      <c r="O295" s="87">
        <v>0</v>
      </c>
      <c r="P295" s="88">
        <v>41927007.000000007</v>
      </c>
      <c r="Q295" s="87">
        <v>0</v>
      </c>
      <c r="R295" s="87">
        <f t="shared" si="72"/>
        <v>0</v>
      </c>
      <c r="T295" s="87">
        <v>0</v>
      </c>
      <c r="V295" s="87">
        <v>0</v>
      </c>
      <c r="X295" s="87">
        <v>0</v>
      </c>
      <c r="Y295" s="88">
        <v>44903225.000000007</v>
      </c>
      <c r="Z295" s="87">
        <v>0</v>
      </c>
      <c r="AA295" s="87">
        <v>0</v>
      </c>
      <c r="AB295" s="89">
        <f t="shared" si="73"/>
        <v>0</v>
      </c>
      <c r="AC295" s="89">
        <f t="shared" si="74"/>
        <v>0</v>
      </c>
      <c r="AD295" s="89">
        <f t="shared" si="75"/>
        <v>0</v>
      </c>
      <c r="AE295" s="90">
        <f t="shared" si="76"/>
        <v>0</v>
      </c>
      <c r="AF295" s="90" t="str">
        <f t="shared" si="77"/>
        <v/>
      </c>
      <c r="AG295" s="90">
        <f t="shared" si="78"/>
        <v>0</v>
      </c>
      <c r="AH295" s="90" t="str">
        <f t="shared" si="79"/>
        <v/>
      </c>
      <c r="AI295" s="90">
        <f t="shared" si="80"/>
        <v>0</v>
      </c>
      <c r="AJ295" s="90" t="str">
        <f t="shared" si="81"/>
        <v/>
      </c>
      <c r="AK295" s="90" t="str">
        <f t="shared" si="82"/>
        <v/>
      </c>
      <c r="AL295" s="91">
        <f>IF(AK295="Adjust",(_xlfn.XLOOKUP(A295,'Adj factor'!A:A,'Adj factor'!I:I,,0)*AI295),'Master DataSheet'!AI295)</f>
        <v>0</v>
      </c>
      <c r="AM295" s="91">
        <f t="shared" si="83"/>
        <v>0</v>
      </c>
      <c r="AN295" s="92" t="str">
        <f t="shared" si="84"/>
        <v>No change</v>
      </c>
      <c r="AO295" s="93">
        <f>VLOOKUP(B295,'Growthrates source'!A$2:H$49,8,FALSE)</f>
        <v>-5.6467842638671772E-2</v>
      </c>
      <c r="AP295" s="93">
        <f>VLOOKUP(B295,'Growthrates source'!A$2:I$49,9,FALSE)</f>
        <v>0.17775588866414749</v>
      </c>
      <c r="AQ295" s="86">
        <f t="shared" si="85"/>
        <v>0</v>
      </c>
      <c r="AR295" s="86">
        <f t="shared" si="86"/>
        <v>0</v>
      </c>
      <c r="AS295" s="94">
        <f t="shared" si="87"/>
        <v>0</v>
      </c>
      <c r="AT295" s="94">
        <f t="shared" si="88"/>
        <v>0</v>
      </c>
      <c r="AU295" s="94">
        <f t="shared" si="89"/>
        <v>0</v>
      </c>
    </row>
    <row r="296" spans="1:47" x14ac:dyDescent="0.3">
      <c r="A296" s="85" t="str">
        <f>_xlfn.XLOOKUP(B296,'Country codes &amp; Data sources'!G:G,'Country codes &amp; Data sources'!H:H,,0)</f>
        <v>Algeria</v>
      </c>
      <c r="B296" s="85" t="s">
        <v>161</v>
      </c>
      <c r="C296" s="86">
        <v>37260568.5</v>
      </c>
      <c r="D296" s="85" t="s">
        <v>61</v>
      </c>
      <c r="E296" s="87">
        <v>20</v>
      </c>
      <c r="F296" s="88">
        <v>38000626.500000022</v>
      </c>
      <c r="G296" s="87">
        <v>1</v>
      </c>
      <c r="I296" s="87">
        <v>0</v>
      </c>
      <c r="K296" s="87">
        <v>0</v>
      </c>
      <c r="M296" s="87">
        <v>0</v>
      </c>
      <c r="O296" s="87">
        <v>0</v>
      </c>
      <c r="P296" s="88">
        <v>41927007.000000007</v>
      </c>
      <c r="Q296" s="87">
        <v>0</v>
      </c>
      <c r="R296" s="87">
        <f t="shared" si="72"/>
        <v>381</v>
      </c>
      <c r="T296" s="87">
        <v>7</v>
      </c>
      <c r="V296" s="87">
        <v>0</v>
      </c>
      <c r="X296" s="87">
        <v>0</v>
      </c>
      <c r="Y296" s="88">
        <v>44903225.000000007</v>
      </c>
      <c r="Z296" s="87">
        <v>0</v>
      </c>
      <c r="AA296" s="87">
        <v>381</v>
      </c>
      <c r="AB296" s="89">
        <f t="shared" si="73"/>
        <v>20</v>
      </c>
      <c r="AC296" s="89">
        <f t="shared" si="74"/>
        <v>7</v>
      </c>
      <c r="AD296" s="89">
        <f t="shared" si="75"/>
        <v>0</v>
      </c>
      <c r="AE296" s="90">
        <f t="shared" si="76"/>
        <v>1</v>
      </c>
      <c r="AF296" s="90">
        <f t="shared" si="77"/>
        <v>2013</v>
      </c>
      <c r="AG296" s="90">
        <f t="shared" si="78"/>
        <v>381</v>
      </c>
      <c r="AH296" s="90" t="str">
        <f t="shared" si="79"/>
        <v>2018 (triag)</v>
      </c>
      <c r="AI296" s="90">
        <f t="shared" si="80"/>
        <v>7</v>
      </c>
      <c r="AJ296" s="90" t="str">
        <f t="shared" si="81"/>
        <v>2018 (triag)</v>
      </c>
      <c r="AK296" s="90" t="str">
        <f t="shared" si="82"/>
        <v>Adjust</v>
      </c>
      <c r="AL296" s="91">
        <f>IF(AK296="Adjust",(_xlfn.XLOOKUP(A296,'Adj factor'!A:A,'Adj factor'!I:I,,0)*AI296),'Master DataSheet'!AI296)</f>
        <v>7.9790405895099754</v>
      </c>
      <c r="AM296" s="91">
        <f t="shared" si="83"/>
        <v>381</v>
      </c>
      <c r="AN296" s="92" t="str">
        <f t="shared" si="84"/>
        <v>Decreasing</v>
      </c>
      <c r="AO296" s="93">
        <f>VLOOKUP(B296,'Growthrates source'!A$2:H$49,8,FALSE)</f>
        <v>-5.6467842638671772E-2</v>
      </c>
      <c r="AP296" s="93">
        <f>VLOOKUP(B296,'Growthrates source'!A$2:I$49,9,FALSE)</f>
        <v>0.17775588866414749</v>
      </c>
      <c r="AQ296" s="86">
        <f t="shared" si="85"/>
        <v>505.29306532160189</v>
      </c>
      <c r="AR296" s="86">
        <f t="shared" si="86"/>
        <v>649.41180714122345</v>
      </c>
      <c r="AS296" s="94">
        <f t="shared" si="87"/>
        <v>2.6315355616571203E-4</v>
      </c>
      <c r="AT296" s="94">
        <f t="shared" si="88"/>
        <v>9.0872215133314893E-2</v>
      </c>
      <c r="AU296" s="94">
        <f t="shared" si="89"/>
        <v>8.4849139454905506E-2</v>
      </c>
    </row>
    <row r="297" spans="1:47" x14ac:dyDescent="0.3">
      <c r="A297" s="85" t="str">
        <f>_xlfn.XLOOKUP(B297,'Country codes &amp; Data sources'!G:G,'Country codes &amp; Data sources'!H:H,,0)</f>
        <v>Algeria</v>
      </c>
      <c r="B297" s="85" t="s">
        <v>161</v>
      </c>
      <c r="C297" s="86">
        <v>37260569.5</v>
      </c>
      <c r="D297" s="85" t="s">
        <v>62</v>
      </c>
      <c r="E297" s="87">
        <v>199</v>
      </c>
      <c r="F297" s="88">
        <v>38000626.500000022</v>
      </c>
      <c r="G297" s="87">
        <v>0</v>
      </c>
      <c r="I297" s="87">
        <v>0</v>
      </c>
      <c r="K297" s="87">
        <v>0</v>
      </c>
      <c r="M297" s="87">
        <v>304</v>
      </c>
      <c r="O297" s="87">
        <v>0</v>
      </c>
      <c r="P297" s="88">
        <v>41927007.000000007</v>
      </c>
      <c r="Q297" s="87">
        <v>0</v>
      </c>
      <c r="R297" s="87">
        <f t="shared" si="72"/>
        <v>1249</v>
      </c>
      <c r="T297" s="87">
        <v>20</v>
      </c>
      <c r="V297" s="87">
        <v>0</v>
      </c>
      <c r="X297" s="87">
        <v>0</v>
      </c>
      <c r="Y297" s="88">
        <v>44903225.000000007</v>
      </c>
      <c r="Z297" s="87">
        <v>0</v>
      </c>
      <c r="AA297" s="87">
        <v>1249</v>
      </c>
      <c r="AB297" s="89">
        <f t="shared" si="73"/>
        <v>199</v>
      </c>
      <c r="AC297" s="89">
        <f t="shared" si="74"/>
        <v>304</v>
      </c>
      <c r="AD297" s="89">
        <f t="shared" si="75"/>
        <v>0</v>
      </c>
      <c r="AE297" s="90">
        <f t="shared" si="76"/>
        <v>199</v>
      </c>
      <c r="AF297" s="90">
        <f t="shared" si="77"/>
        <v>2012</v>
      </c>
      <c r="AG297" s="90">
        <f t="shared" si="78"/>
        <v>1249</v>
      </c>
      <c r="AH297" s="90" t="str">
        <f t="shared" si="79"/>
        <v>2018 (triag)</v>
      </c>
      <c r="AI297" s="90">
        <f t="shared" si="80"/>
        <v>20</v>
      </c>
      <c r="AJ297" s="90" t="str">
        <f t="shared" si="81"/>
        <v>2018 (triag)</v>
      </c>
      <c r="AK297" s="90" t="str">
        <f t="shared" si="82"/>
        <v>Adjust</v>
      </c>
      <c r="AL297" s="91">
        <f>IF(AK297="Adjust",(_xlfn.XLOOKUP(A297,'Adj factor'!A:A,'Adj factor'!I:I,,0)*AI297),'Master DataSheet'!AI297)</f>
        <v>22.797258827171358</v>
      </c>
      <c r="AM297" s="91">
        <f t="shared" si="83"/>
        <v>1249</v>
      </c>
      <c r="AN297" s="92" t="str">
        <f t="shared" si="84"/>
        <v>Decreasing</v>
      </c>
      <c r="AO297" s="93">
        <f>VLOOKUP(B297,'Growthrates source'!A$2:H$49,8,FALSE)</f>
        <v>-5.6467842638671772E-2</v>
      </c>
      <c r="AP297" s="93">
        <f>VLOOKUP(B297,'Growthrates source'!A$2:I$49,9,FALSE)</f>
        <v>0.17775588866414749</v>
      </c>
      <c r="AQ297" s="86">
        <f t="shared" si="85"/>
        <v>1656.4594188626791</v>
      </c>
      <c r="AR297" s="86">
        <f t="shared" si="86"/>
        <v>2128.9116722293652</v>
      </c>
      <c r="AS297" s="94">
        <f t="shared" si="87"/>
        <v>5.2367557676976692E-2</v>
      </c>
      <c r="AT297" s="94">
        <f t="shared" si="88"/>
        <v>0.29789867900658873</v>
      </c>
      <c r="AU297" s="94">
        <f t="shared" si="89"/>
        <v>0.2781537406277611</v>
      </c>
    </row>
    <row r="298" spans="1:47" x14ac:dyDescent="0.3">
      <c r="A298" s="85" t="str">
        <f>_xlfn.XLOOKUP(B298,'Country codes &amp; Data sources'!G:G,'Country codes &amp; Data sources'!H:H,,0)</f>
        <v>Algeria</v>
      </c>
      <c r="B298" s="85" t="s">
        <v>161</v>
      </c>
      <c r="C298" s="86">
        <v>37260570.5</v>
      </c>
      <c r="D298" s="85" t="s">
        <v>203</v>
      </c>
      <c r="E298" s="87">
        <v>0</v>
      </c>
      <c r="F298" s="88">
        <v>38000626.500000022</v>
      </c>
      <c r="G298" s="87">
        <v>0</v>
      </c>
      <c r="I298" s="87">
        <v>0</v>
      </c>
      <c r="K298" s="87">
        <v>0</v>
      </c>
      <c r="M298" s="87">
        <v>0</v>
      </c>
      <c r="O298" s="87">
        <v>0</v>
      </c>
      <c r="P298" s="88">
        <v>41927007.000000007</v>
      </c>
      <c r="Q298" s="87">
        <v>42507</v>
      </c>
      <c r="R298" s="87">
        <f t="shared" si="72"/>
        <v>42507</v>
      </c>
      <c r="T298" s="87">
        <v>0</v>
      </c>
      <c r="V298" s="87">
        <v>0</v>
      </c>
      <c r="X298" s="87">
        <v>0</v>
      </c>
      <c r="Y298" s="88">
        <v>44903225.000000007</v>
      </c>
      <c r="Z298" s="87">
        <v>0</v>
      </c>
      <c r="AA298" s="87">
        <v>41461</v>
      </c>
      <c r="AB298" s="89">
        <f t="shared" si="73"/>
        <v>0</v>
      </c>
      <c r="AC298" s="89">
        <f t="shared" si="74"/>
        <v>42507</v>
      </c>
      <c r="AD298" s="89">
        <f t="shared" si="75"/>
        <v>0</v>
      </c>
      <c r="AE298" s="90">
        <f t="shared" si="76"/>
        <v>0</v>
      </c>
      <c r="AF298" s="90" t="str">
        <f t="shared" si="77"/>
        <v/>
      </c>
      <c r="AG298" s="90">
        <f t="shared" si="78"/>
        <v>42507</v>
      </c>
      <c r="AH298" s="90">
        <f t="shared" si="79"/>
        <v>2018</v>
      </c>
      <c r="AI298" s="90">
        <f t="shared" si="80"/>
        <v>42507</v>
      </c>
      <c r="AJ298" s="90">
        <f t="shared" si="81"/>
        <v>2018</v>
      </c>
      <c r="AK298" s="90" t="str">
        <f t="shared" si="82"/>
        <v/>
      </c>
      <c r="AL298" s="91">
        <f>IF(AK298="Adjust",(_xlfn.XLOOKUP(A298,'Adj factor'!A:A,'Adj factor'!I:I,,0)*AI298),'Master DataSheet'!AI298)</f>
        <v>42507</v>
      </c>
      <c r="AM298" s="91">
        <f t="shared" si="83"/>
        <v>42507</v>
      </c>
      <c r="AN298" s="92" t="str">
        <f t="shared" si="84"/>
        <v>No change</v>
      </c>
      <c r="AO298" s="93">
        <f>VLOOKUP(B298,'Growthrates source'!A$2:H$49,8,FALSE)</f>
        <v>-5.6467842638671772E-2</v>
      </c>
      <c r="AP298" s="93">
        <f>VLOOKUP(B298,'Growthrates source'!A$2:I$49,9,FALSE)</f>
        <v>0.17775588866414749</v>
      </c>
      <c r="AQ298" s="86">
        <f t="shared" si="85"/>
        <v>54986.760580837101</v>
      </c>
      <c r="AR298" s="86">
        <f t="shared" si="86"/>
        <v>70669.981459008573</v>
      </c>
      <c r="AS298" s="94">
        <f t="shared" si="87"/>
        <v>0</v>
      </c>
      <c r="AT298" s="94">
        <f t="shared" si="88"/>
        <v>10.138333986015265</v>
      </c>
      <c r="AU298" s="94">
        <f t="shared" si="89"/>
        <v>9.4663579286343005</v>
      </c>
    </row>
    <row r="299" spans="1:47" x14ac:dyDescent="0.3">
      <c r="A299" s="85" t="str">
        <f>_xlfn.XLOOKUP(B299,'Country codes &amp; Data sources'!G:G,'Country codes &amp; Data sources'!H:H,,0)</f>
        <v>Algeria</v>
      </c>
      <c r="B299" s="85" t="s">
        <v>161</v>
      </c>
      <c r="C299" s="86">
        <v>37260571.5</v>
      </c>
      <c r="D299" s="85" t="s">
        <v>204</v>
      </c>
      <c r="E299" s="87">
        <v>0</v>
      </c>
      <c r="F299" s="88">
        <v>38000626.500000022</v>
      </c>
      <c r="G299" s="87">
        <v>0</v>
      </c>
      <c r="I299" s="87">
        <v>0</v>
      </c>
      <c r="K299" s="87">
        <v>0</v>
      </c>
      <c r="M299" s="87">
        <v>0</v>
      </c>
      <c r="O299" s="87">
        <v>0</v>
      </c>
      <c r="P299" s="88">
        <v>41927007.000000007</v>
      </c>
      <c r="Q299" s="87">
        <v>900</v>
      </c>
      <c r="R299" s="87">
        <f t="shared" si="72"/>
        <v>10838</v>
      </c>
      <c r="T299" s="87">
        <v>0</v>
      </c>
      <c r="V299" s="87">
        <v>0</v>
      </c>
      <c r="X299" s="87">
        <v>0</v>
      </c>
      <c r="Y299" s="88">
        <v>44903225.000000007</v>
      </c>
      <c r="Z299" s="87">
        <v>0</v>
      </c>
      <c r="AA299" s="87">
        <v>10838</v>
      </c>
      <c r="AB299" s="89">
        <f t="shared" si="73"/>
        <v>0</v>
      </c>
      <c r="AC299" s="89">
        <f t="shared" si="74"/>
        <v>900</v>
      </c>
      <c r="AD299" s="89">
        <f t="shared" si="75"/>
        <v>0</v>
      </c>
      <c r="AE299" s="90">
        <f t="shared" si="76"/>
        <v>0</v>
      </c>
      <c r="AF299" s="90" t="str">
        <f t="shared" si="77"/>
        <v/>
      </c>
      <c r="AG299" s="90">
        <f t="shared" si="78"/>
        <v>10838</v>
      </c>
      <c r="AH299" s="90" t="str">
        <f t="shared" si="79"/>
        <v>2018 (triag)</v>
      </c>
      <c r="AI299" s="90">
        <f t="shared" si="80"/>
        <v>10838</v>
      </c>
      <c r="AJ299" s="90" t="str">
        <f t="shared" si="81"/>
        <v>2018 (triag)</v>
      </c>
      <c r="AK299" s="90" t="str">
        <f t="shared" si="82"/>
        <v/>
      </c>
      <c r="AL299" s="91">
        <f>IF(AK299="Adjust",(_xlfn.XLOOKUP(A299,'Adj factor'!A:A,'Adj factor'!I:I,,0)*AI299),'Master DataSheet'!AI299)</f>
        <v>10838</v>
      </c>
      <c r="AM299" s="91">
        <f t="shared" si="83"/>
        <v>10838</v>
      </c>
      <c r="AN299" s="92" t="str">
        <f t="shared" si="84"/>
        <v>No change</v>
      </c>
      <c r="AO299" s="93">
        <f>VLOOKUP(B299,'Growthrates source'!A$2:H$49,8,FALSE)</f>
        <v>-5.6467842638671772E-2</v>
      </c>
      <c r="AP299" s="93">
        <f>VLOOKUP(B299,'Growthrates source'!A$2:I$49,9,FALSE)</f>
        <v>0.17775588866414749</v>
      </c>
      <c r="AQ299" s="86">
        <f t="shared" si="85"/>
        <v>14373.664677048611</v>
      </c>
      <c r="AR299" s="86">
        <f t="shared" si="86"/>
        <v>18473.294398416219</v>
      </c>
      <c r="AS299" s="94">
        <f t="shared" si="87"/>
        <v>0</v>
      </c>
      <c r="AT299" s="94">
        <f t="shared" si="88"/>
        <v>2.5849686814038497</v>
      </c>
      <c r="AU299" s="94">
        <f t="shared" si="89"/>
        <v>2.4136351008195955</v>
      </c>
    </row>
    <row r="300" spans="1:47" x14ac:dyDescent="0.3">
      <c r="A300" s="85" t="str">
        <f>_xlfn.XLOOKUP(B300,'Country codes &amp; Data sources'!G:G,'Country codes &amp; Data sources'!H:H,,0)</f>
        <v>Algeria</v>
      </c>
      <c r="B300" s="85" t="s">
        <v>161</v>
      </c>
      <c r="C300" s="86">
        <v>37260572.5</v>
      </c>
      <c r="D300" s="85" t="s">
        <v>205</v>
      </c>
      <c r="E300" s="87">
        <v>0</v>
      </c>
      <c r="F300" s="88">
        <v>38000626.500000022</v>
      </c>
      <c r="G300" s="87">
        <v>0</v>
      </c>
      <c r="I300" s="87">
        <v>0</v>
      </c>
      <c r="K300" s="87">
        <v>0</v>
      </c>
      <c r="M300" s="87">
        <v>0</v>
      </c>
      <c r="O300" s="87">
        <v>521</v>
      </c>
      <c r="P300" s="88">
        <v>41927007.000000007</v>
      </c>
      <c r="Q300" s="87">
        <v>836</v>
      </c>
      <c r="R300" s="87">
        <f t="shared" si="72"/>
        <v>836</v>
      </c>
      <c r="T300" s="87">
        <v>0</v>
      </c>
      <c r="V300" s="87">
        <v>0</v>
      </c>
      <c r="X300" s="87">
        <v>0</v>
      </c>
      <c r="Y300" s="88">
        <v>44903225.000000007</v>
      </c>
      <c r="Z300" s="87">
        <v>0</v>
      </c>
      <c r="AA300" s="87">
        <v>663</v>
      </c>
      <c r="AB300" s="89">
        <f t="shared" si="73"/>
        <v>0</v>
      </c>
      <c r="AC300" s="89">
        <f t="shared" si="74"/>
        <v>836</v>
      </c>
      <c r="AD300" s="89">
        <f t="shared" si="75"/>
        <v>0</v>
      </c>
      <c r="AE300" s="90">
        <f t="shared" si="76"/>
        <v>0</v>
      </c>
      <c r="AF300" s="90" t="str">
        <f t="shared" si="77"/>
        <v/>
      </c>
      <c r="AG300" s="90">
        <f t="shared" si="78"/>
        <v>836</v>
      </c>
      <c r="AH300" s="90">
        <f t="shared" si="79"/>
        <v>2018</v>
      </c>
      <c r="AI300" s="90">
        <f t="shared" si="80"/>
        <v>836</v>
      </c>
      <c r="AJ300" s="90">
        <f t="shared" si="81"/>
        <v>2018</v>
      </c>
      <c r="AK300" s="90" t="str">
        <f t="shared" si="82"/>
        <v/>
      </c>
      <c r="AL300" s="91">
        <f>IF(AK300="Adjust",(_xlfn.XLOOKUP(A300,'Adj factor'!A:A,'Adj factor'!I:I,,0)*AI300),'Master DataSheet'!AI300)</f>
        <v>836</v>
      </c>
      <c r="AM300" s="91">
        <f t="shared" si="83"/>
        <v>836</v>
      </c>
      <c r="AN300" s="92" t="str">
        <f t="shared" si="84"/>
        <v>No change</v>
      </c>
      <c r="AO300" s="93">
        <f>VLOOKUP(B300,'Growthrates source'!A$2:H$49,8,FALSE)</f>
        <v>-5.6467842638671772E-2</v>
      </c>
      <c r="AP300" s="93">
        <f>VLOOKUP(B300,'Growthrates source'!A$2:I$49,9,FALSE)</f>
        <v>0.17775588866414749</v>
      </c>
      <c r="AQ300" s="86">
        <f t="shared" si="85"/>
        <v>879.28950737066157</v>
      </c>
      <c r="AR300" s="86">
        <f t="shared" si="86"/>
        <v>1130.0788140016566</v>
      </c>
      <c r="AS300" s="94">
        <f t="shared" si="87"/>
        <v>0</v>
      </c>
      <c r="AT300" s="94">
        <f t="shared" si="88"/>
        <v>0.19939415184107939</v>
      </c>
      <c r="AU300" s="94">
        <f t="shared" si="89"/>
        <v>0.18617816426325723</v>
      </c>
    </row>
    <row r="301" spans="1:47" x14ac:dyDescent="0.3">
      <c r="A301" s="85" t="str">
        <f>_xlfn.XLOOKUP(B301,'Country codes &amp; Data sources'!G:G,'Country codes &amp; Data sources'!H:H,,0)</f>
        <v>Algeria</v>
      </c>
      <c r="B301" s="85" t="s">
        <v>161</v>
      </c>
      <c r="C301" s="86">
        <v>37260573.5</v>
      </c>
      <c r="D301" s="85" t="s">
        <v>133</v>
      </c>
      <c r="E301" s="87">
        <v>0</v>
      </c>
      <c r="F301" s="88">
        <v>38000626.500000022</v>
      </c>
      <c r="G301" s="87">
        <v>0</v>
      </c>
      <c r="I301" s="87">
        <v>0</v>
      </c>
      <c r="K301" s="87">
        <v>0</v>
      </c>
      <c r="M301" s="87">
        <v>0</v>
      </c>
      <c r="O301" s="87">
        <v>0</v>
      </c>
      <c r="P301" s="88">
        <v>41927007.000000007</v>
      </c>
      <c r="Q301" s="87">
        <v>136</v>
      </c>
      <c r="R301" s="87">
        <f t="shared" si="72"/>
        <v>136</v>
      </c>
      <c r="T301" s="87">
        <v>0</v>
      </c>
      <c r="V301" s="87">
        <v>0</v>
      </c>
      <c r="X301" s="87">
        <v>0</v>
      </c>
      <c r="Y301" s="88">
        <v>44903225.000000007</v>
      </c>
      <c r="Z301" s="87">
        <v>0</v>
      </c>
      <c r="AA301" s="87">
        <v>0</v>
      </c>
      <c r="AB301" s="89">
        <f t="shared" si="73"/>
        <v>0</v>
      </c>
      <c r="AC301" s="89">
        <f t="shared" si="74"/>
        <v>136</v>
      </c>
      <c r="AD301" s="89">
        <f t="shared" si="75"/>
        <v>0</v>
      </c>
      <c r="AE301" s="90">
        <f t="shared" si="76"/>
        <v>0</v>
      </c>
      <c r="AF301" s="90" t="str">
        <f t="shared" si="77"/>
        <v/>
      </c>
      <c r="AG301" s="90">
        <f t="shared" si="78"/>
        <v>136</v>
      </c>
      <c r="AH301" s="90">
        <f t="shared" si="79"/>
        <v>2018</v>
      </c>
      <c r="AI301" s="90">
        <f t="shared" si="80"/>
        <v>136</v>
      </c>
      <c r="AJ301" s="90">
        <f t="shared" si="81"/>
        <v>2018</v>
      </c>
      <c r="AK301" s="90" t="str">
        <f t="shared" si="82"/>
        <v/>
      </c>
      <c r="AL301" s="91">
        <f>IF(AK301="Adjust",(_xlfn.XLOOKUP(A301,'Adj factor'!A:A,'Adj factor'!I:I,,0)*AI301),'Master DataSheet'!AI301)</f>
        <v>136</v>
      </c>
      <c r="AM301" s="91">
        <f t="shared" si="83"/>
        <v>136</v>
      </c>
      <c r="AN301" s="92" t="str">
        <f t="shared" si="84"/>
        <v>No change</v>
      </c>
      <c r="AO301" s="93">
        <f>VLOOKUP(B301,'Growthrates source'!A$2:H$49,8,FALSE)</f>
        <v>-5.6467842638671772E-2</v>
      </c>
      <c r="AP301" s="93">
        <f>VLOOKUP(B301,'Growthrates source'!A$2:I$49,9,FALSE)</f>
        <v>0.17775588866414749</v>
      </c>
      <c r="AQ301" s="86">
        <f t="shared" si="85"/>
        <v>0</v>
      </c>
      <c r="AR301" s="86">
        <f t="shared" si="86"/>
        <v>0</v>
      </c>
      <c r="AS301" s="94">
        <f t="shared" si="87"/>
        <v>0</v>
      </c>
      <c r="AT301" s="94">
        <f t="shared" si="88"/>
        <v>3.243732613682631E-2</v>
      </c>
      <c r="AU301" s="94">
        <f t="shared" si="89"/>
        <v>3.0287356865793043E-2</v>
      </c>
    </row>
    <row r="302" spans="1:47" x14ac:dyDescent="0.3">
      <c r="A302" s="85" t="str">
        <f>_xlfn.XLOOKUP(B302,'Country codes &amp; Data sources'!G:G,'Country codes &amp; Data sources'!H:H,,0)</f>
        <v>Algeria</v>
      </c>
      <c r="B302" s="85" t="s">
        <v>161</v>
      </c>
      <c r="C302" s="86">
        <v>37260574.5</v>
      </c>
      <c r="D302" s="85" t="s">
        <v>206</v>
      </c>
      <c r="E302" s="87">
        <v>0</v>
      </c>
      <c r="F302" s="88">
        <v>38000626.500000022</v>
      </c>
      <c r="G302" s="87">
        <v>0</v>
      </c>
      <c r="I302" s="87">
        <v>0</v>
      </c>
      <c r="K302" s="87">
        <v>0</v>
      </c>
      <c r="M302" s="87">
        <v>0</v>
      </c>
      <c r="O302" s="87">
        <v>0</v>
      </c>
      <c r="P302" s="88">
        <v>41927007.000000007</v>
      </c>
      <c r="Q302" s="87">
        <v>2148</v>
      </c>
      <c r="R302" s="87">
        <f t="shared" si="72"/>
        <v>2227</v>
      </c>
      <c r="T302" s="87">
        <v>0</v>
      </c>
      <c r="V302" s="87">
        <v>0</v>
      </c>
      <c r="X302" s="87">
        <v>0</v>
      </c>
      <c r="Y302" s="88">
        <v>44903225.000000007</v>
      </c>
      <c r="Z302" s="87">
        <v>0</v>
      </c>
      <c r="AA302" s="87">
        <v>2227</v>
      </c>
      <c r="AB302" s="89">
        <f t="shared" si="73"/>
        <v>0</v>
      </c>
      <c r="AC302" s="89">
        <f t="shared" si="74"/>
        <v>2148</v>
      </c>
      <c r="AD302" s="89">
        <f t="shared" si="75"/>
        <v>0</v>
      </c>
      <c r="AE302" s="90">
        <f t="shared" si="76"/>
        <v>0</v>
      </c>
      <c r="AF302" s="90" t="str">
        <f t="shared" si="77"/>
        <v/>
      </c>
      <c r="AG302" s="90">
        <f t="shared" si="78"/>
        <v>2227</v>
      </c>
      <c r="AH302" s="90" t="str">
        <f t="shared" si="79"/>
        <v>2018 (triag)</v>
      </c>
      <c r="AI302" s="90">
        <f t="shared" si="80"/>
        <v>2227</v>
      </c>
      <c r="AJ302" s="90" t="str">
        <f t="shared" si="81"/>
        <v>2018 (triag)</v>
      </c>
      <c r="AK302" s="90" t="str">
        <f t="shared" si="82"/>
        <v/>
      </c>
      <c r="AL302" s="91">
        <f>IF(AK302="Adjust",(_xlfn.XLOOKUP(A302,'Adj factor'!A:A,'Adj factor'!I:I,,0)*AI302),'Master DataSheet'!AI302)</f>
        <v>2227</v>
      </c>
      <c r="AM302" s="91">
        <f t="shared" si="83"/>
        <v>2227</v>
      </c>
      <c r="AN302" s="92" t="str">
        <f t="shared" si="84"/>
        <v>No change</v>
      </c>
      <c r="AO302" s="93">
        <f>VLOOKUP(B302,'Growthrates source'!A$2:H$49,8,FALSE)</f>
        <v>-5.6467842638671772E-2</v>
      </c>
      <c r="AP302" s="93">
        <f>VLOOKUP(B302,'Growthrates source'!A$2:I$49,9,FALSE)</f>
        <v>0.17775588866414749</v>
      </c>
      <c r="AQ302" s="86">
        <f t="shared" si="85"/>
        <v>2953.5109093732476</v>
      </c>
      <c r="AR302" s="86">
        <f t="shared" si="86"/>
        <v>3795.9057598517184</v>
      </c>
      <c r="AS302" s="94">
        <f t="shared" si="87"/>
        <v>0</v>
      </c>
      <c r="AT302" s="94">
        <f t="shared" si="88"/>
        <v>0.53116121549053086</v>
      </c>
      <c r="AU302" s="94">
        <f t="shared" si="89"/>
        <v>0.49595546867736107</v>
      </c>
    </row>
    <row r="303" spans="1:47" x14ac:dyDescent="0.3">
      <c r="A303" s="85" t="str">
        <f>_xlfn.XLOOKUP(B303,'Country codes &amp; Data sources'!G:G,'Country codes &amp; Data sources'!H:H,,0)</f>
        <v>Algeria</v>
      </c>
      <c r="B303" s="85" t="s">
        <v>161</v>
      </c>
      <c r="C303" s="86">
        <v>37260575.5</v>
      </c>
      <c r="D303" s="85" t="s">
        <v>136</v>
      </c>
      <c r="E303" s="87">
        <v>0</v>
      </c>
      <c r="F303" s="88">
        <v>38000626.500000022</v>
      </c>
      <c r="G303" s="87">
        <v>0</v>
      </c>
      <c r="I303" s="87">
        <v>0</v>
      </c>
      <c r="K303" s="87">
        <v>0</v>
      </c>
      <c r="M303" s="87">
        <v>0</v>
      </c>
      <c r="O303" s="87">
        <v>0</v>
      </c>
      <c r="P303" s="88">
        <v>41927007.000000007</v>
      </c>
      <c r="Q303" s="87">
        <v>6245</v>
      </c>
      <c r="R303" s="87">
        <f t="shared" si="72"/>
        <v>6245</v>
      </c>
      <c r="T303" s="87">
        <v>0</v>
      </c>
      <c r="V303" s="87">
        <v>0</v>
      </c>
      <c r="X303" s="87">
        <v>0</v>
      </c>
      <c r="Y303" s="88">
        <v>44903225.000000007</v>
      </c>
      <c r="Z303" s="87">
        <v>0</v>
      </c>
      <c r="AA303" s="87">
        <v>6176</v>
      </c>
      <c r="AB303" s="89">
        <f t="shared" si="73"/>
        <v>0</v>
      </c>
      <c r="AC303" s="89">
        <f t="shared" si="74"/>
        <v>6245</v>
      </c>
      <c r="AD303" s="89">
        <f t="shared" si="75"/>
        <v>0</v>
      </c>
      <c r="AE303" s="90">
        <f t="shared" si="76"/>
        <v>0</v>
      </c>
      <c r="AF303" s="90" t="str">
        <f t="shared" si="77"/>
        <v/>
      </c>
      <c r="AG303" s="90">
        <f t="shared" si="78"/>
        <v>6245</v>
      </c>
      <c r="AH303" s="90">
        <f t="shared" si="79"/>
        <v>2018</v>
      </c>
      <c r="AI303" s="90">
        <f t="shared" si="80"/>
        <v>6245</v>
      </c>
      <c r="AJ303" s="90">
        <f t="shared" si="81"/>
        <v>2018</v>
      </c>
      <c r="AK303" s="90" t="str">
        <f t="shared" si="82"/>
        <v/>
      </c>
      <c r="AL303" s="91">
        <f>IF(AK303="Adjust",(_xlfn.XLOOKUP(A303,'Adj factor'!A:A,'Adj factor'!I:I,,0)*AI303),'Master DataSheet'!AI303)</f>
        <v>6245</v>
      </c>
      <c r="AM303" s="91">
        <f t="shared" si="83"/>
        <v>6245</v>
      </c>
      <c r="AN303" s="92" t="str">
        <f t="shared" si="84"/>
        <v>No change</v>
      </c>
      <c r="AO303" s="93">
        <f>VLOOKUP(B303,'Growthrates source'!A$2:H$49,8,FALSE)</f>
        <v>-5.6467842638671772E-2</v>
      </c>
      <c r="AP303" s="93">
        <f>VLOOKUP(B303,'Growthrates source'!A$2:I$49,9,FALSE)</f>
        <v>0.17775588866414749</v>
      </c>
      <c r="AQ303" s="86">
        <f t="shared" si="85"/>
        <v>8190.7873265779872</v>
      </c>
      <c r="AR303" s="86">
        <f t="shared" si="86"/>
        <v>10526.948348829912</v>
      </c>
      <c r="AS303" s="94">
        <f t="shared" si="87"/>
        <v>0</v>
      </c>
      <c r="AT303" s="94">
        <f t="shared" si="88"/>
        <v>1.4894933950329436</v>
      </c>
      <c r="AU303" s="94">
        <f t="shared" si="89"/>
        <v>1.3907687031388054</v>
      </c>
    </row>
    <row r="304" spans="1:47" x14ac:dyDescent="0.3">
      <c r="A304" s="85" t="str">
        <f>_xlfn.XLOOKUP(B304,'Country codes &amp; Data sources'!G:G,'Country codes &amp; Data sources'!H:H,,0)</f>
        <v>Algeria</v>
      </c>
      <c r="B304" s="85" t="s">
        <v>161</v>
      </c>
      <c r="C304" s="86">
        <v>37260576.5</v>
      </c>
      <c r="D304" s="85" t="s">
        <v>207</v>
      </c>
      <c r="E304" s="87">
        <v>0</v>
      </c>
      <c r="F304" s="88">
        <v>38000626.500000022</v>
      </c>
      <c r="G304" s="87">
        <v>0</v>
      </c>
      <c r="I304" s="87">
        <v>0</v>
      </c>
      <c r="K304" s="87">
        <v>0</v>
      </c>
      <c r="M304" s="87">
        <v>0</v>
      </c>
      <c r="O304" s="87">
        <v>0</v>
      </c>
      <c r="P304" s="88">
        <v>41927007.000000007</v>
      </c>
      <c r="Q304" s="87">
        <v>0</v>
      </c>
      <c r="R304" s="87">
        <f t="shared" si="72"/>
        <v>610</v>
      </c>
      <c r="T304" s="87">
        <v>0</v>
      </c>
      <c r="V304" s="87">
        <v>0</v>
      </c>
      <c r="X304" s="87">
        <v>0</v>
      </c>
      <c r="Y304" s="88">
        <v>44903225.000000007</v>
      </c>
      <c r="Z304" s="87">
        <v>0</v>
      </c>
      <c r="AA304" s="87">
        <v>610</v>
      </c>
      <c r="AB304" s="89">
        <f t="shared" si="73"/>
        <v>0</v>
      </c>
      <c r="AC304" s="89">
        <f t="shared" si="74"/>
        <v>0</v>
      </c>
      <c r="AD304" s="89">
        <f t="shared" si="75"/>
        <v>0</v>
      </c>
      <c r="AE304" s="90">
        <f t="shared" si="76"/>
        <v>0</v>
      </c>
      <c r="AF304" s="90" t="str">
        <f t="shared" si="77"/>
        <v/>
      </c>
      <c r="AG304" s="90">
        <f t="shared" si="78"/>
        <v>610</v>
      </c>
      <c r="AH304" s="90" t="str">
        <f t="shared" si="79"/>
        <v>2018 (triag)</v>
      </c>
      <c r="AI304" s="90">
        <f t="shared" si="80"/>
        <v>610</v>
      </c>
      <c r="AJ304" s="90" t="str">
        <f t="shared" si="81"/>
        <v>2018 (triag)</v>
      </c>
      <c r="AK304" s="90" t="str">
        <f t="shared" si="82"/>
        <v/>
      </c>
      <c r="AL304" s="91">
        <f>IF(AK304="Adjust",(_xlfn.XLOOKUP(A304,'Adj factor'!A:A,'Adj factor'!I:I,,0)*AI304),'Master DataSheet'!AI304)</f>
        <v>610</v>
      </c>
      <c r="AM304" s="91">
        <f t="shared" si="83"/>
        <v>610</v>
      </c>
      <c r="AN304" s="92" t="str">
        <f t="shared" si="84"/>
        <v>No change</v>
      </c>
      <c r="AO304" s="93">
        <f>VLOOKUP(B304,'Growthrates source'!A$2:H$49,8,FALSE)</f>
        <v>-5.6467842638671772E-2</v>
      </c>
      <c r="AP304" s="93">
        <f>VLOOKUP(B304,'Growthrates source'!A$2:I$49,9,FALSE)</f>
        <v>0.17775588866414749</v>
      </c>
      <c r="AQ304" s="86">
        <f t="shared" si="85"/>
        <v>808.99939592172473</v>
      </c>
      <c r="AR304" s="86">
        <f t="shared" si="86"/>
        <v>1039.7406885988094</v>
      </c>
      <c r="AS304" s="94">
        <f t="shared" si="87"/>
        <v>0</v>
      </c>
      <c r="AT304" s="94">
        <f t="shared" si="88"/>
        <v>0.14549094811370625</v>
      </c>
      <c r="AU304" s="94">
        <f t="shared" si="89"/>
        <v>0.1358477035892188</v>
      </c>
    </row>
    <row r="305" spans="1:47" x14ac:dyDescent="0.3">
      <c r="A305" s="85" t="str">
        <f>_xlfn.XLOOKUP(B305,'Country codes &amp; Data sources'!G:G,'Country codes &amp; Data sources'!H:H,,0)</f>
        <v>Algeria</v>
      </c>
      <c r="B305" s="85" t="s">
        <v>161</v>
      </c>
      <c r="C305" s="86">
        <v>37260577.5</v>
      </c>
      <c r="D305" s="85" t="s">
        <v>141</v>
      </c>
      <c r="E305" s="87">
        <v>0</v>
      </c>
      <c r="F305" s="88">
        <v>38000626.500000022</v>
      </c>
      <c r="G305" s="87">
        <v>0</v>
      </c>
      <c r="I305" s="87">
        <v>0</v>
      </c>
      <c r="K305" s="87">
        <v>0</v>
      </c>
      <c r="M305" s="87">
        <v>0</v>
      </c>
      <c r="O305" s="87">
        <v>0</v>
      </c>
      <c r="P305" s="88">
        <v>41927007.000000007</v>
      </c>
      <c r="Q305" s="87">
        <v>1533</v>
      </c>
      <c r="R305" s="87">
        <f t="shared" si="72"/>
        <v>1533</v>
      </c>
      <c r="T305" s="87">
        <v>0</v>
      </c>
      <c r="V305" s="87">
        <v>0</v>
      </c>
      <c r="X305" s="87">
        <v>0</v>
      </c>
      <c r="Y305" s="88">
        <v>44903225.000000007</v>
      </c>
      <c r="Z305" s="87">
        <v>0</v>
      </c>
      <c r="AA305" s="87">
        <v>1218</v>
      </c>
      <c r="AB305" s="89">
        <f t="shared" si="73"/>
        <v>0</v>
      </c>
      <c r="AC305" s="89">
        <f t="shared" si="74"/>
        <v>1533</v>
      </c>
      <c r="AD305" s="89">
        <f t="shared" si="75"/>
        <v>0</v>
      </c>
      <c r="AE305" s="90">
        <f t="shared" si="76"/>
        <v>0</v>
      </c>
      <c r="AF305" s="90" t="str">
        <f t="shared" si="77"/>
        <v/>
      </c>
      <c r="AG305" s="90">
        <f t="shared" si="78"/>
        <v>1533</v>
      </c>
      <c r="AH305" s="90">
        <f t="shared" si="79"/>
        <v>2018</v>
      </c>
      <c r="AI305" s="90">
        <f t="shared" si="80"/>
        <v>1533</v>
      </c>
      <c r="AJ305" s="90">
        <f t="shared" si="81"/>
        <v>2018</v>
      </c>
      <c r="AK305" s="90" t="str">
        <f t="shared" si="82"/>
        <v/>
      </c>
      <c r="AL305" s="91">
        <f>IF(AK305="Adjust",(_xlfn.XLOOKUP(A305,'Adj factor'!A:A,'Adj factor'!I:I,,0)*AI305),'Master DataSheet'!AI305)</f>
        <v>1533</v>
      </c>
      <c r="AM305" s="91">
        <f t="shared" si="83"/>
        <v>1533</v>
      </c>
      <c r="AN305" s="92" t="str">
        <f t="shared" si="84"/>
        <v>No change</v>
      </c>
      <c r="AO305" s="93">
        <f>VLOOKUP(B305,'Growthrates source'!A$2:H$49,8,FALSE)</f>
        <v>-5.6467842638671772E-2</v>
      </c>
      <c r="AP305" s="93">
        <f>VLOOKUP(B305,'Growthrates source'!A$2:I$49,9,FALSE)</f>
        <v>0.17775588866414749</v>
      </c>
      <c r="AQ305" s="86">
        <f t="shared" si="85"/>
        <v>1615.3463348076407</v>
      </c>
      <c r="AR305" s="86">
        <f t="shared" si="86"/>
        <v>2076.07239133336</v>
      </c>
      <c r="AS305" s="94">
        <f t="shared" si="87"/>
        <v>0</v>
      </c>
      <c r="AT305" s="94">
        <f t="shared" si="88"/>
        <v>0.36563544829231426</v>
      </c>
      <c r="AU305" s="94">
        <f t="shared" si="89"/>
        <v>0.34140086820044657</v>
      </c>
    </row>
    <row r="306" spans="1:47" x14ac:dyDescent="0.3">
      <c r="A306" s="85" t="str">
        <f>_xlfn.XLOOKUP(B306,'Country codes &amp; Data sources'!G:G,'Country codes &amp; Data sources'!H:H,,0)</f>
        <v>Algeria</v>
      </c>
      <c r="B306" s="85" t="s">
        <v>161</v>
      </c>
      <c r="C306" s="86">
        <v>37260578.5</v>
      </c>
      <c r="D306" s="85" t="s">
        <v>208</v>
      </c>
      <c r="E306" s="87">
        <v>0</v>
      </c>
      <c r="F306" s="88">
        <v>38000626.500000022</v>
      </c>
      <c r="G306" s="87">
        <v>0</v>
      </c>
      <c r="I306" s="87">
        <v>0</v>
      </c>
      <c r="K306" s="87">
        <v>0</v>
      </c>
      <c r="M306" s="87">
        <v>0</v>
      </c>
      <c r="O306" s="87">
        <v>0</v>
      </c>
      <c r="P306" s="88">
        <v>41927007.000000007</v>
      </c>
      <c r="Q306" s="87">
        <v>6184</v>
      </c>
      <c r="R306" s="87">
        <f t="shared" si="72"/>
        <v>76532</v>
      </c>
      <c r="T306" s="87">
        <v>0</v>
      </c>
      <c r="V306" s="87">
        <v>0</v>
      </c>
      <c r="X306" s="87">
        <v>0</v>
      </c>
      <c r="Y306" s="88">
        <v>44903225.000000007</v>
      </c>
      <c r="Z306" s="87">
        <v>0</v>
      </c>
      <c r="AA306" s="87">
        <v>76532</v>
      </c>
      <c r="AB306" s="89">
        <f t="shared" si="73"/>
        <v>0</v>
      </c>
      <c r="AC306" s="89">
        <f t="shared" si="74"/>
        <v>6184</v>
      </c>
      <c r="AD306" s="89">
        <f t="shared" si="75"/>
        <v>0</v>
      </c>
      <c r="AE306" s="90">
        <f t="shared" si="76"/>
        <v>0</v>
      </c>
      <c r="AF306" s="90" t="str">
        <f t="shared" si="77"/>
        <v/>
      </c>
      <c r="AG306" s="90">
        <f t="shared" si="78"/>
        <v>76532</v>
      </c>
      <c r="AH306" s="90" t="str">
        <f t="shared" si="79"/>
        <v>2018 (triag)</v>
      </c>
      <c r="AI306" s="90">
        <f t="shared" si="80"/>
        <v>76532</v>
      </c>
      <c r="AJ306" s="90" t="str">
        <f t="shared" si="81"/>
        <v>2018 (triag)</v>
      </c>
      <c r="AK306" s="90" t="str">
        <f t="shared" si="82"/>
        <v/>
      </c>
      <c r="AL306" s="91">
        <f>IF(AK306="Adjust",(_xlfn.XLOOKUP(A306,'Adj factor'!A:A,'Adj factor'!I:I,,0)*AI306),'Master DataSheet'!AI306)</f>
        <v>76532</v>
      </c>
      <c r="AM306" s="91">
        <f t="shared" si="83"/>
        <v>76532</v>
      </c>
      <c r="AN306" s="92" t="str">
        <f t="shared" si="84"/>
        <v>No change</v>
      </c>
      <c r="AO306" s="93">
        <f>VLOOKUP(B306,'Growthrates source'!A$2:H$49,8,FALSE)</f>
        <v>-5.6467842638671772E-2</v>
      </c>
      <c r="AP306" s="93">
        <f>VLOOKUP(B306,'Growthrates source'!A$2:I$49,9,FALSE)</f>
        <v>0.17775588866414749</v>
      </c>
      <c r="AQ306" s="86">
        <f t="shared" si="85"/>
        <v>101498.92093226466</v>
      </c>
      <c r="AR306" s="86">
        <f t="shared" si="86"/>
        <v>130448.25308171159</v>
      </c>
      <c r="AS306" s="94">
        <f t="shared" si="87"/>
        <v>0</v>
      </c>
      <c r="AT306" s="94">
        <f t="shared" si="88"/>
        <v>18.253628263996994</v>
      </c>
      <c r="AU306" s="94">
        <f t="shared" si="89"/>
        <v>17.043764673918183</v>
      </c>
    </row>
    <row r="307" spans="1:47" x14ac:dyDescent="0.3">
      <c r="A307" s="85" t="str">
        <f>_xlfn.XLOOKUP(B307,'Country codes &amp; Data sources'!G:G,'Country codes &amp; Data sources'!H:H,,0)</f>
        <v>Algeria</v>
      </c>
      <c r="B307" s="85" t="s">
        <v>161</v>
      </c>
      <c r="C307" s="86">
        <v>37260579.5</v>
      </c>
      <c r="D307" s="85" t="s">
        <v>209</v>
      </c>
      <c r="E307" s="87">
        <v>0</v>
      </c>
      <c r="F307" s="88">
        <v>38000626.500000022</v>
      </c>
      <c r="G307" s="87">
        <v>0</v>
      </c>
      <c r="I307" s="87">
        <v>0</v>
      </c>
      <c r="K307" s="87">
        <v>0</v>
      </c>
      <c r="M307" s="87">
        <v>0</v>
      </c>
      <c r="O307" s="87">
        <v>0</v>
      </c>
      <c r="P307" s="88">
        <v>41927007.000000007</v>
      </c>
      <c r="Q307" s="87">
        <v>75033</v>
      </c>
      <c r="R307" s="87">
        <f t="shared" si="72"/>
        <v>75033</v>
      </c>
      <c r="T307" s="87">
        <v>0</v>
      </c>
      <c r="V307" s="87">
        <v>0</v>
      </c>
      <c r="X307" s="87">
        <v>0</v>
      </c>
      <c r="Y307" s="88">
        <v>44903225.000000007</v>
      </c>
      <c r="Z307" s="87">
        <v>0</v>
      </c>
      <c r="AA307" s="87">
        <v>5104</v>
      </c>
      <c r="AB307" s="89">
        <f t="shared" si="73"/>
        <v>0</v>
      </c>
      <c r="AC307" s="89">
        <f t="shared" si="74"/>
        <v>75033</v>
      </c>
      <c r="AD307" s="89">
        <f t="shared" si="75"/>
        <v>0</v>
      </c>
      <c r="AE307" s="90">
        <f t="shared" si="76"/>
        <v>0</v>
      </c>
      <c r="AF307" s="90" t="str">
        <f t="shared" si="77"/>
        <v/>
      </c>
      <c r="AG307" s="90">
        <f t="shared" si="78"/>
        <v>75033</v>
      </c>
      <c r="AH307" s="90">
        <f t="shared" si="79"/>
        <v>2018</v>
      </c>
      <c r="AI307" s="90">
        <f t="shared" si="80"/>
        <v>75033</v>
      </c>
      <c r="AJ307" s="90">
        <f t="shared" si="81"/>
        <v>2018</v>
      </c>
      <c r="AK307" s="90" t="str">
        <f t="shared" si="82"/>
        <v/>
      </c>
      <c r="AL307" s="91">
        <f>IF(AK307="Adjust",(_xlfn.XLOOKUP(A307,'Adj factor'!A:A,'Adj factor'!I:I,,0)*AI307),'Master DataSheet'!AI307)</f>
        <v>75033</v>
      </c>
      <c r="AM307" s="91">
        <f t="shared" si="83"/>
        <v>75033</v>
      </c>
      <c r="AN307" s="92" t="str">
        <f t="shared" si="84"/>
        <v>No change</v>
      </c>
      <c r="AO307" s="93">
        <f>VLOOKUP(B307,'Growthrates source'!A$2:H$49,8,FALSE)</f>
        <v>-5.6467842638671772E-2</v>
      </c>
      <c r="AP307" s="93">
        <f>VLOOKUP(B307,'Growthrates source'!A$2:I$49,9,FALSE)</f>
        <v>0.17775588866414749</v>
      </c>
      <c r="AQ307" s="86">
        <f t="shared" si="85"/>
        <v>6769.0703553843987</v>
      </c>
      <c r="AR307" s="86">
        <f t="shared" si="86"/>
        <v>8699.7319255874136</v>
      </c>
      <c r="AS307" s="94">
        <f t="shared" si="87"/>
        <v>0</v>
      </c>
      <c r="AT307" s="94">
        <f t="shared" si="88"/>
        <v>17.896102147238889</v>
      </c>
      <c r="AU307" s="94">
        <f t="shared" si="89"/>
        <v>16.709935644934188</v>
      </c>
    </row>
    <row r="308" spans="1:47" x14ac:dyDescent="0.3">
      <c r="A308" s="85" t="str">
        <f>_xlfn.XLOOKUP(B308,'Country codes &amp; Data sources'!G:G,'Country codes &amp; Data sources'!H:H,,0)</f>
        <v>Algeria</v>
      </c>
      <c r="B308" s="85" t="s">
        <v>161</v>
      </c>
      <c r="C308" s="86">
        <v>37260580.5</v>
      </c>
      <c r="D308" s="85" t="s">
        <v>134</v>
      </c>
      <c r="E308" s="87">
        <v>0</v>
      </c>
      <c r="F308" s="88">
        <v>38000626.500000022</v>
      </c>
      <c r="G308" s="87">
        <v>0</v>
      </c>
      <c r="I308" s="87">
        <v>0</v>
      </c>
      <c r="K308" s="87">
        <v>0</v>
      </c>
      <c r="M308" s="87">
        <v>0</v>
      </c>
      <c r="O308" s="87">
        <v>0</v>
      </c>
      <c r="P308" s="88">
        <v>41927007.000000007</v>
      </c>
      <c r="Q308" s="87">
        <v>15238</v>
      </c>
      <c r="R308" s="87">
        <f t="shared" si="72"/>
        <v>15238</v>
      </c>
      <c r="T308" s="87">
        <v>0</v>
      </c>
      <c r="V308" s="87">
        <v>0</v>
      </c>
      <c r="X308" s="87">
        <v>0</v>
      </c>
      <c r="Y308" s="88">
        <v>44903225.000000007</v>
      </c>
      <c r="Z308" s="87">
        <v>0</v>
      </c>
      <c r="AA308" s="87">
        <v>14548</v>
      </c>
      <c r="AB308" s="89">
        <f t="shared" si="73"/>
        <v>0</v>
      </c>
      <c r="AC308" s="89">
        <f t="shared" si="74"/>
        <v>15238</v>
      </c>
      <c r="AD308" s="89">
        <f t="shared" si="75"/>
        <v>0</v>
      </c>
      <c r="AE308" s="90">
        <f t="shared" si="76"/>
        <v>0</v>
      </c>
      <c r="AF308" s="90" t="str">
        <f t="shared" si="77"/>
        <v/>
      </c>
      <c r="AG308" s="90">
        <f t="shared" si="78"/>
        <v>15238</v>
      </c>
      <c r="AH308" s="90">
        <f t="shared" si="79"/>
        <v>2018</v>
      </c>
      <c r="AI308" s="90">
        <f t="shared" si="80"/>
        <v>15238</v>
      </c>
      <c r="AJ308" s="90">
        <f t="shared" si="81"/>
        <v>2018</v>
      </c>
      <c r="AK308" s="90" t="str">
        <f t="shared" si="82"/>
        <v/>
      </c>
      <c r="AL308" s="91">
        <f>IF(AK308="Adjust",(_xlfn.XLOOKUP(A308,'Adj factor'!A:A,'Adj factor'!I:I,,0)*AI308),'Master DataSheet'!AI308)</f>
        <v>15238</v>
      </c>
      <c r="AM308" s="91">
        <f t="shared" si="83"/>
        <v>15238</v>
      </c>
      <c r="AN308" s="92" t="str">
        <f t="shared" si="84"/>
        <v>No change</v>
      </c>
      <c r="AO308" s="93">
        <f>VLOOKUP(B308,'Growthrates source'!A$2:H$49,8,FALSE)</f>
        <v>-5.6467842638671772E-2</v>
      </c>
      <c r="AP308" s="93">
        <f>VLOOKUP(B308,'Growthrates source'!A$2:I$49,9,FALSE)</f>
        <v>0.17775588866414749</v>
      </c>
      <c r="AQ308" s="86">
        <f t="shared" si="85"/>
        <v>19293.972478474185</v>
      </c>
      <c r="AR308" s="86">
        <f t="shared" si="86"/>
        <v>24796.963176615536</v>
      </c>
      <c r="AS308" s="94">
        <f t="shared" si="87"/>
        <v>0</v>
      </c>
      <c r="AT308" s="94">
        <f t="shared" si="88"/>
        <v>3.6344115858305837</v>
      </c>
      <c r="AU308" s="94">
        <f t="shared" si="89"/>
        <v>3.3935201758893703</v>
      </c>
    </row>
    <row r="309" spans="1:47" x14ac:dyDescent="0.3">
      <c r="A309" s="85" t="str">
        <f>_xlfn.XLOOKUP(B309,'Country codes &amp; Data sources'!G:G,'Country codes &amp; Data sources'!H:H,,0)</f>
        <v>Algeria</v>
      </c>
      <c r="B309" s="85" t="s">
        <v>161</v>
      </c>
      <c r="C309" s="86">
        <v>37260581.5</v>
      </c>
      <c r="D309" s="85" t="s">
        <v>142</v>
      </c>
      <c r="E309" s="87">
        <v>0</v>
      </c>
      <c r="F309" s="88">
        <v>38000626.500000022</v>
      </c>
      <c r="G309" s="87">
        <v>0</v>
      </c>
      <c r="I309" s="87">
        <v>0</v>
      </c>
      <c r="K309" s="87">
        <v>0</v>
      </c>
      <c r="M309" s="87">
        <v>0</v>
      </c>
      <c r="O309" s="87">
        <v>0</v>
      </c>
      <c r="P309" s="88">
        <v>41927007.000000007</v>
      </c>
      <c r="Q309" s="87">
        <v>365</v>
      </c>
      <c r="R309" s="87">
        <f t="shared" si="72"/>
        <v>365</v>
      </c>
      <c r="T309" s="87">
        <v>128823</v>
      </c>
      <c r="V309" s="87">
        <v>0</v>
      </c>
      <c r="X309" s="87">
        <v>0</v>
      </c>
      <c r="Y309" s="88">
        <v>44903225.000000007</v>
      </c>
      <c r="Z309" s="87">
        <v>0</v>
      </c>
      <c r="AA309" s="87">
        <v>279</v>
      </c>
      <c r="AB309" s="89">
        <f t="shared" si="73"/>
        <v>0</v>
      </c>
      <c r="AC309" s="89">
        <f t="shared" si="74"/>
        <v>128823</v>
      </c>
      <c r="AD309" s="89">
        <f t="shared" si="75"/>
        <v>0</v>
      </c>
      <c r="AE309" s="90">
        <f t="shared" si="76"/>
        <v>0</v>
      </c>
      <c r="AF309" s="90" t="str">
        <f t="shared" si="77"/>
        <v/>
      </c>
      <c r="AG309" s="90">
        <f t="shared" si="78"/>
        <v>365</v>
      </c>
      <c r="AH309" s="90">
        <f t="shared" si="79"/>
        <v>2018</v>
      </c>
      <c r="AI309" s="90">
        <f t="shared" si="80"/>
        <v>128823</v>
      </c>
      <c r="AJ309" s="90">
        <f t="shared" si="81"/>
        <v>2018</v>
      </c>
      <c r="AK309" s="90" t="str">
        <f t="shared" si="82"/>
        <v/>
      </c>
      <c r="AL309" s="91">
        <f>IF(AK309="Adjust",(_xlfn.XLOOKUP(A309,'Adj factor'!A:A,'Adj factor'!I:I,,0)*AI309),'Master DataSheet'!AI309)</f>
        <v>128823</v>
      </c>
      <c r="AM309" s="91">
        <f t="shared" si="83"/>
        <v>128823</v>
      </c>
      <c r="AN309" s="92" t="str">
        <f t="shared" si="84"/>
        <v>Increasing</v>
      </c>
      <c r="AO309" s="93">
        <f>VLOOKUP(B309,'Growthrates source'!A$2:H$49,8,FALSE)</f>
        <v>-5.6467842638671772E-2</v>
      </c>
      <c r="AP309" s="93">
        <f>VLOOKUP(B309,'Growthrates source'!A$2:I$49,9,FALSE)</f>
        <v>0.17775588866414749</v>
      </c>
      <c r="AQ309" s="86">
        <f t="shared" si="85"/>
        <v>370.01775649534625</v>
      </c>
      <c r="AR309" s="86">
        <f t="shared" si="86"/>
        <v>475.55352806404557</v>
      </c>
      <c r="AS309" s="94">
        <f t="shared" si="87"/>
        <v>0</v>
      </c>
      <c r="AT309" s="94">
        <f t="shared" si="88"/>
        <v>8.7056059117217671E-2</v>
      </c>
      <c r="AU309" s="94">
        <f t="shared" si="89"/>
        <v>28.689030687662186</v>
      </c>
    </row>
    <row r="310" spans="1:47" x14ac:dyDescent="0.3">
      <c r="A310" s="85" t="str">
        <f>_xlfn.XLOOKUP(B310,'Country codes &amp; Data sources'!G:G,'Country codes &amp; Data sources'!H:H,,0)</f>
        <v>Algeria</v>
      </c>
      <c r="B310" s="85" t="s">
        <v>161</v>
      </c>
      <c r="C310" s="86">
        <v>37260582.5</v>
      </c>
      <c r="D310" s="85" t="s">
        <v>83</v>
      </c>
      <c r="E310" s="87">
        <v>0</v>
      </c>
      <c r="F310" s="88">
        <v>38000626.500000022</v>
      </c>
      <c r="G310" s="87">
        <v>0</v>
      </c>
      <c r="I310" s="87">
        <v>0</v>
      </c>
      <c r="K310" s="87">
        <v>0</v>
      </c>
      <c r="M310" s="87">
        <v>0</v>
      </c>
      <c r="O310" s="87">
        <v>0</v>
      </c>
      <c r="P310" s="88">
        <v>41927007.000000007</v>
      </c>
      <c r="Q310" s="87">
        <v>1971</v>
      </c>
      <c r="R310" s="87">
        <f t="shared" si="72"/>
        <v>1971</v>
      </c>
      <c r="T310" s="87">
        <v>0</v>
      </c>
      <c r="V310" s="87">
        <v>0</v>
      </c>
      <c r="X310" s="87">
        <v>0</v>
      </c>
      <c r="Y310" s="88">
        <v>44903225.000000007</v>
      </c>
      <c r="Z310" s="87">
        <v>0</v>
      </c>
      <c r="AA310" s="87">
        <v>1827</v>
      </c>
      <c r="AB310" s="89">
        <f t="shared" si="73"/>
        <v>0</v>
      </c>
      <c r="AC310" s="89">
        <f t="shared" si="74"/>
        <v>1971</v>
      </c>
      <c r="AD310" s="89">
        <f t="shared" si="75"/>
        <v>0</v>
      </c>
      <c r="AE310" s="90">
        <f t="shared" si="76"/>
        <v>0</v>
      </c>
      <c r="AF310" s="90" t="str">
        <f t="shared" si="77"/>
        <v/>
      </c>
      <c r="AG310" s="90">
        <f t="shared" si="78"/>
        <v>1971</v>
      </c>
      <c r="AH310" s="90">
        <f t="shared" si="79"/>
        <v>2018</v>
      </c>
      <c r="AI310" s="90">
        <f t="shared" si="80"/>
        <v>1971</v>
      </c>
      <c r="AJ310" s="90">
        <f t="shared" si="81"/>
        <v>2018</v>
      </c>
      <c r="AK310" s="90" t="str">
        <f t="shared" si="82"/>
        <v/>
      </c>
      <c r="AL310" s="91">
        <f>IF(AK310="Adjust",(_xlfn.XLOOKUP(A310,'Adj factor'!A:A,'Adj factor'!I:I,,0)*AI310),'Master DataSheet'!AI310)</f>
        <v>1971</v>
      </c>
      <c r="AM310" s="91">
        <f t="shared" si="83"/>
        <v>1971</v>
      </c>
      <c r="AN310" s="92" t="str">
        <f t="shared" si="84"/>
        <v>No change</v>
      </c>
      <c r="AO310" s="93">
        <f>VLOOKUP(B310,'Growthrates source'!A$2:H$49,8,FALSE)</f>
        <v>-5.6467842638671772E-2</v>
      </c>
      <c r="AP310" s="93">
        <f>VLOOKUP(B310,'Growthrates source'!A$2:I$49,9,FALSE)</f>
        <v>0.17775588866414749</v>
      </c>
      <c r="AQ310" s="86">
        <f t="shared" si="85"/>
        <v>2423.0195022114608</v>
      </c>
      <c r="AR310" s="86">
        <f t="shared" si="86"/>
        <v>3114.1085870000402</v>
      </c>
      <c r="AS310" s="94">
        <f t="shared" si="87"/>
        <v>0</v>
      </c>
      <c r="AT310" s="94">
        <f t="shared" si="88"/>
        <v>0.47010271923297547</v>
      </c>
      <c r="AU310" s="94">
        <f t="shared" si="89"/>
        <v>0.43894397340057417</v>
      </c>
    </row>
    <row r="311" spans="1:47" x14ac:dyDescent="0.3">
      <c r="A311" s="85" t="str">
        <f>_xlfn.XLOOKUP(B311,'Country codes &amp; Data sources'!G:G,'Country codes &amp; Data sources'!H:H,,0)</f>
        <v>Algeria</v>
      </c>
      <c r="B311" s="85" t="s">
        <v>161</v>
      </c>
      <c r="C311" s="86">
        <v>37260583.5</v>
      </c>
      <c r="D311" s="85" t="s">
        <v>84</v>
      </c>
      <c r="E311" s="87">
        <v>0</v>
      </c>
      <c r="F311" s="88">
        <v>38000626.500000022</v>
      </c>
      <c r="G311" s="87">
        <v>0</v>
      </c>
      <c r="I311" s="87">
        <v>0</v>
      </c>
      <c r="K311" s="87">
        <v>0</v>
      </c>
      <c r="M311" s="87">
        <v>0</v>
      </c>
      <c r="O311" s="87">
        <v>0</v>
      </c>
      <c r="P311" s="88">
        <v>41927007.000000007</v>
      </c>
      <c r="Q311" s="87">
        <v>0</v>
      </c>
      <c r="R311" s="87">
        <f t="shared" si="72"/>
        <v>0</v>
      </c>
      <c r="T311" s="87">
        <v>0</v>
      </c>
      <c r="V311" s="87">
        <v>0</v>
      </c>
      <c r="X311" s="87">
        <v>0</v>
      </c>
      <c r="Y311" s="88">
        <v>44903225.000000007</v>
      </c>
      <c r="Z311" s="87">
        <v>0</v>
      </c>
      <c r="AA311" s="87">
        <v>0</v>
      </c>
      <c r="AB311" s="89">
        <f t="shared" si="73"/>
        <v>0</v>
      </c>
      <c r="AC311" s="89">
        <f t="shared" si="74"/>
        <v>0</v>
      </c>
      <c r="AD311" s="89">
        <f t="shared" si="75"/>
        <v>0</v>
      </c>
      <c r="AE311" s="90">
        <f t="shared" si="76"/>
        <v>0</v>
      </c>
      <c r="AF311" s="90" t="str">
        <f t="shared" si="77"/>
        <v/>
      </c>
      <c r="AG311" s="90">
        <f t="shared" si="78"/>
        <v>0</v>
      </c>
      <c r="AH311" s="90" t="str">
        <f t="shared" si="79"/>
        <v/>
      </c>
      <c r="AI311" s="90">
        <f t="shared" si="80"/>
        <v>0</v>
      </c>
      <c r="AJ311" s="90" t="str">
        <f t="shared" si="81"/>
        <v/>
      </c>
      <c r="AK311" s="90" t="str">
        <f t="shared" si="82"/>
        <v/>
      </c>
      <c r="AL311" s="91">
        <f>IF(AK311="Adjust",(_xlfn.XLOOKUP(A311,'Adj factor'!A:A,'Adj factor'!I:I,,0)*AI311),'Master DataSheet'!AI311)</f>
        <v>0</v>
      </c>
      <c r="AM311" s="91">
        <f t="shared" si="83"/>
        <v>0</v>
      </c>
      <c r="AN311" s="92" t="str">
        <f t="shared" si="84"/>
        <v>No change</v>
      </c>
      <c r="AO311" s="93">
        <f>VLOOKUP(B311,'Growthrates source'!A$2:H$49,8,FALSE)</f>
        <v>-5.6467842638671772E-2</v>
      </c>
      <c r="AP311" s="93">
        <f>VLOOKUP(B311,'Growthrates source'!A$2:I$49,9,FALSE)</f>
        <v>0.17775588866414749</v>
      </c>
      <c r="AQ311" s="86">
        <f t="shared" si="85"/>
        <v>0</v>
      </c>
      <c r="AR311" s="86">
        <f t="shared" si="86"/>
        <v>0</v>
      </c>
      <c r="AS311" s="94">
        <f t="shared" si="87"/>
        <v>0</v>
      </c>
      <c r="AT311" s="94">
        <f t="shared" si="88"/>
        <v>0</v>
      </c>
      <c r="AU311" s="94">
        <f t="shared" si="89"/>
        <v>0</v>
      </c>
    </row>
    <row r="312" spans="1:47" x14ac:dyDescent="0.3">
      <c r="A312" s="85" t="str">
        <f>_xlfn.XLOOKUP(B312,'Country codes &amp; Data sources'!G:G,'Country codes &amp; Data sources'!H:H,,0)</f>
        <v>Algeria</v>
      </c>
      <c r="B312" s="85" t="s">
        <v>161</v>
      </c>
      <c r="C312" s="86">
        <v>37260584.5</v>
      </c>
      <c r="D312" s="85" t="s">
        <v>126</v>
      </c>
      <c r="E312" s="87">
        <v>0</v>
      </c>
      <c r="F312" s="88">
        <v>38000626.500000022</v>
      </c>
      <c r="G312" s="87">
        <v>0</v>
      </c>
      <c r="I312" s="87">
        <v>0</v>
      </c>
      <c r="K312" s="87">
        <v>0</v>
      </c>
      <c r="M312" s="87">
        <v>0</v>
      </c>
      <c r="O312" s="87">
        <v>0</v>
      </c>
      <c r="P312" s="88">
        <v>41927007.000000007</v>
      </c>
      <c r="Q312" s="87">
        <v>0</v>
      </c>
      <c r="R312" s="87">
        <f t="shared" si="72"/>
        <v>0</v>
      </c>
      <c r="T312" s="87">
        <v>0</v>
      </c>
      <c r="V312" s="87">
        <v>0</v>
      </c>
      <c r="X312" s="87">
        <v>0</v>
      </c>
      <c r="Y312" s="88">
        <v>44903225.000000007</v>
      </c>
      <c r="Z312" s="87">
        <v>0</v>
      </c>
      <c r="AA312" s="87">
        <v>0</v>
      </c>
      <c r="AB312" s="89">
        <f t="shared" si="73"/>
        <v>0</v>
      </c>
      <c r="AC312" s="89">
        <f t="shared" si="74"/>
        <v>0</v>
      </c>
      <c r="AD312" s="89">
        <f t="shared" si="75"/>
        <v>0</v>
      </c>
      <c r="AE312" s="90">
        <f t="shared" si="76"/>
        <v>0</v>
      </c>
      <c r="AF312" s="90" t="str">
        <f t="shared" si="77"/>
        <v/>
      </c>
      <c r="AG312" s="90">
        <f t="shared" si="78"/>
        <v>0</v>
      </c>
      <c r="AH312" s="90" t="str">
        <f t="shared" si="79"/>
        <v/>
      </c>
      <c r="AI312" s="90">
        <f t="shared" si="80"/>
        <v>0</v>
      </c>
      <c r="AJ312" s="90" t="str">
        <f t="shared" si="81"/>
        <v/>
      </c>
      <c r="AK312" s="90" t="str">
        <f t="shared" si="82"/>
        <v/>
      </c>
      <c r="AL312" s="91">
        <f>IF(AK312="Adjust",(_xlfn.XLOOKUP(A312,'Adj factor'!A:A,'Adj factor'!I:I,,0)*AI312),'Master DataSheet'!AI312)</f>
        <v>0</v>
      </c>
      <c r="AM312" s="91">
        <f t="shared" si="83"/>
        <v>0</v>
      </c>
      <c r="AN312" s="92" t="str">
        <f t="shared" si="84"/>
        <v>No change</v>
      </c>
      <c r="AO312" s="93">
        <f>VLOOKUP(B312,'Growthrates source'!A$2:H$49,8,FALSE)</f>
        <v>-5.6467842638671772E-2</v>
      </c>
      <c r="AP312" s="93">
        <f>VLOOKUP(B312,'Growthrates source'!A$2:I$49,9,FALSE)</f>
        <v>0.17775588866414749</v>
      </c>
      <c r="AQ312" s="86">
        <f t="shared" si="85"/>
        <v>0</v>
      </c>
      <c r="AR312" s="86">
        <f t="shared" si="86"/>
        <v>0</v>
      </c>
      <c r="AS312" s="94">
        <f t="shared" si="87"/>
        <v>0</v>
      </c>
      <c r="AT312" s="94">
        <f t="shared" si="88"/>
        <v>0</v>
      </c>
      <c r="AU312" s="94">
        <f t="shared" si="89"/>
        <v>0</v>
      </c>
    </row>
    <row r="313" spans="1:47" x14ac:dyDescent="0.3">
      <c r="A313" s="85" t="str">
        <f>_xlfn.XLOOKUP(B313,'Country codes &amp; Data sources'!G:G,'Country codes &amp; Data sources'!H:H,,0)</f>
        <v>Algeria</v>
      </c>
      <c r="B313" s="85" t="s">
        <v>161</v>
      </c>
      <c r="C313" s="86">
        <v>37260585.5</v>
      </c>
      <c r="D313" s="85" t="s">
        <v>87</v>
      </c>
      <c r="E313" s="87">
        <v>0</v>
      </c>
      <c r="F313" s="88">
        <v>38000626.500000022</v>
      </c>
      <c r="G313" s="87">
        <v>0</v>
      </c>
      <c r="I313" s="87">
        <v>0</v>
      </c>
      <c r="K313" s="87">
        <v>0</v>
      </c>
      <c r="M313" s="87">
        <v>0</v>
      </c>
      <c r="O313" s="87">
        <v>0</v>
      </c>
      <c r="P313" s="88">
        <v>41927007.000000007</v>
      </c>
      <c r="Q313" s="87">
        <v>0</v>
      </c>
      <c r="R313" s="87">
        <f t="shared" si="72"/>
        <v>1</v>
      </c>
      <c r="T313" s="87">
        <v>0</v>
      </c>
      <c r="V313" s="87">
        <v>0</v>
      </c>
      <c r="X313" s="87">
        <v>0</v>
      </c>
      <c r="Y313" s="88">
        <v>44903225.000000007</v>
      </c>
      <c r="Z313" s="87">
        <v>0</v>
      </c>
      <c r="AA313" s="87">
        <v>1</v>
      </c>
      <c r="AB313" s="89">
        <f t="shared" si="73"/>
        <v>0</v>
      </c>
      <c r="AC313" s="89">
        <f t="shared" si="74"/>
        <v>0</v>
      </c>
      <c r="AD313" s="89">
        <f t="shared" si="75"/>
        <v>0</v>
      </c>
      <c r="AE313" s="90">
        <f t="shared" si="76"/>
        <v>0</v>
      </c>
      <c r="AF313" s="90" t="str">
        <f t="shared" si="77"/>
        <v/>
      </c>
      <c r="AG313" s="90">
        <f t="shared" si="78"/>
        <v>1</v>
      </c>
      <c r="AH313" s="90" t="str">
        <f t="shared" si="79"/>
        <v>2018 (triag)</v>
      </c>
      <c r="AI313" s="90">
        <f t="shared" si="80"/>
        <v>1</v>
      </c>
      <c r="AJ313" s="90" t="str">
        <f t="shared" si="81"/>
        <v>2018 (triag)</v>
      </c>
      <c r="AK313" s="90" t="str">
        <f t="shared" si="82"/>
        <v/>
      </c>
      <c r="AL313" s="91">
        <f>IF(AK313="Adjust",(_xlfn.XLOOKUP(A313,'Adj factor'!A:A,'Adj factor'!I:I,,0)*AI313),'Master DataSheet'!AI313)</f>
        <v>1</v>
      </c>
      <c r="AM313" s="91">
        <f t="shared" si="83"/>
        <v>1</v>
      </c>
      <c r="AN313" s="92" t="str">
        <f t="shared" si="84"/>
        <v>No change</v>
      </c>
      <c r="AO313" s="93">
        <f>VLOOKUP(B313,'Growthrates source'!A$2:H$49,8,FALSE)</f>
        <v>-5.6467842638671772E-2</v>
      </c>
      <c r="AP313" s="93">
        <f>VLOOKUP(B313,'Growthrates source'!A$2:I$49,9,FALSE)</f>
        <v>0.17775588866414749</v>
      </c>
      <c r="AQ313" s="86">
        <f t="shared" si="85"/>
        <v>1.3262285179044668</v>
      </c>
      <c r="AR313" s="86">
        <f t="shared" si="86"/>
        <v>1.7044929321291955</v>
      </c>
      <c r="AS313" s="94">
        <f t="shared" si="87"/>
        <v>0</v>
      </c>
      <c r="AT313" s="94">
        <f t="shared" si="88"/>
        <v>2.3850975100607583E-4</v>
      </c>
      <c r="AU313" s="94">
        <f t="shared" si="89"/>
        <v>2.2270115342494883E-4</v>
      </c>
    </row>
    <row r="314" spans="1:47" x14ac:dyDescent="0.3">
      <c r="A314" s="85" t="str">
        <f>_xlfn.XLOOKUP(B314,'Country codes &amp; Data sources'!G:G,'Country codes &amp; Data sources'!H:H,,0)</f>
        <v>Eritrea</v>
      </c>
      <c r="B314" s="85" t="s">
        <v>194</v>
      </c>
      <c r="C314" s="86">
        <v>3252595.9999999991</v>
      </c>
      <c r="D314" s="85" t="s">
        <v>321</v>
      </c>
      <c r="E314" s="87">
        <v>389</v>
      </c>
      <c r="F314" s="88">
        <v>3296367</v>
      </c>
      <c r="G314" s="87">
        <v>427</v>
      </c>
      <c r="H314" s="87">
        <v>3323425.0000000009</v>
      </c>
      <c r="I314" s="87">
        <v>484</v>
      </c>
      <c r="J314" s="87">
        <v>3340005.9999999991</v>
      </c>
      <c r="K314" s="87">
        <v>497</v>
      </c>
      <c r="L314" s="87">
        <v>3365287.5000000014</v>
      </c>
      <c r="M314" s="87">
        <v>537</v>
      </c>
      <c r="N314" s="87">
        <v>3396933.0000000019</v>
      </c>
      <c r="O314" s="87">
        <v>529</v>
      </c>
      <c r="P314" s="88">
        <v>3445374.4999999986</v>
      </c>
      <c r="Q314" s="87">
        <v>639</v>
      </c>
      <c r="R314" s="87">
        <f t="shared" si="72"/>
        <v>639</v>
      </c>
      <c r="S314" s="87">
        <v>3498818.0000000014</v>
      </c>
      <c r="T314" s="87">
        <v>576</v>
      </c>
      <c r="U314" s="87">
        <v>3555867.9999999991</v>
      </c>
      <c r="V314" s="87">
        <v>662</v>
      </c>
      <c r="W314" s="87">
        <v>3620312.0000000023</v>
      </c>
      <c r="X314" s="87">
        <v>636</v>
      </c>
      <c r="Y314" s="88">
        <v>3684031.5000000019</v>
      </c>
      <c r="Z314" s="87">
        <v>584</v>
      </c>
      <c r="AA314" s="87">
        <v>280</v>
      </c>
      <c r="AB314" s="89">
        <f t="shared" si="73"/>
        <v>497</v>
      </c>
      <c r="AC314" s="89">
        <f t="shared" si="74"/>
        <v>639</v>
      </c>
      <c r="AD314" s="89">
        <f t="shared" si="75"/>
        <v>662</v>
      </c>
      <c r="AE314" s="90">
        <f t="shared" si="76"/>
        <v>427</v>
      </c>
      <c r="AF314" s="90">
        <f t="shared" si="77"/>
        <v>2013</v>
      </c>
      <c r="AG314" s="90">
        <f t="shared" si="78"/>
        <v>639</v>
      </c>
      <c r="AH314" s="90">
        <f t="shared" si="79"/>
        <v>2018</v>
      </c>
      <c r="AI314" s="90">
        <f t="shared" si="80"/>
        <v>584</v>
      </c>
      <c r="AJ314" s="90">
        <f t="shared" si="81"/>
        <v>2022</v>
      </c>
      <c r="AK314" s="90" t="str">
        <f t="shared" si="82"/>
        <v>Adjust</v>
      </c>
      <c r="AL314" s="91">
        <f>IF(AK314="Adjust",(_xlfn.XLOOKUP(A314,'Adj factor'!A:A,'Adj factor'!I:I,,0)*AI314),'Master DataSheet'!AI314)</f>
        <v>671.19040828312245</v>
      </c>
      <c r="AM314" s="91">
        <f t="shared" si="83"/>
        <v>671.19040828312245</v>
      </c>
      <c r="AN314" s="92" t="str">
        <f t="shared" si="84"/>
        <v>Increasing</v>
      </c>
      <c r="AO314" s="93">
        <f>VLOOKUP(B314,'Growthrates source'!A$2:H$49,8,FALSE)</f>
        <v>-2.2233181875670249E-2</v>
      </c>
      <c r="AP314" s="93">
        <f>VLOOKUP(B314,'Growthrates source'!A$2:I$49,9,FALSE)</f>
        <v>0.11702326021234755</v>
      </c>
      <c r="AQ314" s="86">
        <f t="shared" si="85"/>
        <v>312.92248638793529</v>
      </c>
      <c r="AR314" s="86">
        <f t="shared" si="86"/>
        <v>397.76420652673733</v>
      </c>
      <c r="AS314" s="94">
        <f t="shared" si="87"/>
        <v>1.2953654735652917</v>
      </c>
      <c r="AT314" s="94">
        <f t="shared" si="88"/>
        <v>1.8546605020731426</v>
      </c>
      <c r="AU314" s="94">
        <f t="shared" si="89"/>
        <v>1.8218910676608551</v>
      </c>
    </row>
    <row r="315" spans="1:47" x14ac:dyDescent="0.3">
      <c r="A315" s="85" t="str">
        <f>_xlfn.XLOOKUP(B315,'Country codes &amp; Data sources'!G:G,'Country codes &amp; Data sources'!H:H,,0)</f>
        <v>Eritrea</v>
      </c>
      <c r="B315" s="85" t="s">
        <v>194</v>
      </c>
      <c r="C315" s="86">
        <v>3252597</v>
      </c>
      <c r="D315" s="85" t="s">
        <v>322</v>
      </c>
      <c r="E315" s="87">
        <v>0</v>
      </c>
      <c r="F315" s="88">
        <v>3296367</v>
      </c>
      <c r="G315" s="87">
        <v>8524</v>
      </c>
      <c r="I315" s="87">
        <v>8264</v>
      </c>
      <c r="K315" s="87">
        <v>7924</v>
      </c>
      <c r="M315" s="87">
        <v>8968</v>
      </c>
      <c r="O315" s="87">
        <v>9056</v>
      </c>
      <c r="P315" s="88">
        <v>3445374.4999999986</v>
      </c>
      <c r="Q315" s="87">
        <v>9942</v>
      </c>
      <c r="R315" s="87">
        <f t="shared" si="72"/>
        <v>9942</v>
      </c>
      <c r="T315" s="87">
        <v>0</v>
      </c>
      <c r="V315" s="87">
        <v>0</v>
      </c>
      <c r="X315" s="87">
        <v>9362</v>
      </c>
      <c r="Y315" s="88">
        <v>3684031.5000000019</v>
      </c>
      <c r="Z315" s="87">
        <v>10014</v>
      </c>
      <c r="AA315" s="87">
        <v>3939</v>
      </c>
      <c r="AB315" s="89">
        <f t="shared" si="73"/>
        <v>8524</v>
      </c>
      <c r="AC315" s="89">
        <f t="shared" si="74"/>
        <v>9942</v>
      </c>
      <c r="AD315" s="89">
        <f t="shared" si="75"/>
        <v>10014</v>
      </c>
      <c r="AE315" s="90">
        <f t="shared" si="76"/>
        <v>8524</v>
      </c>
      <c r="AF315" s="90">
        <f t="shared" si="77"/>
        <v>2013</v>
      </c>
      <c r="AG315" s="90">
        <f t="shared" si="78"/>
        <v>9942</v>
      </c>
      <c r="AH315" s="90">
        <f t="shared" si="79"/>
        <v>2018</v>
      </c>
      <c r="AI315" s="90">
        <f t="shared" si="80"/>
        <v>10014</v>
      </c>
      <c r="AJ315" s="90">
        <f t="shared" si="81"/>
        <v>2022</v>
      </c>
      <c r="AK315" s="90" t="str">
        <f t="shared" si="82"/>
        <v/>
      </c>
      <c r="AL315" s="91">
        <f>IF(AK315="Adjust",(_xlfn.XLOOKUP(A315,'Adj factor'!A:A,'Adj factor'!I:I,,0)*AI315),'Master DataSheet'!AI315)</f>
        <v>10014</v>
      </c>
      <c r="AM315" s="91">
        <f t="shared" si="83"/>
        <v>10014</v>
      </c>
      <c r="AN315" s="92" t="str">
        <f t="shared" si="84"/>
        <v>Increasing</v>
      </c>
      <c r="AO315" s="93">
        <f>VLOOKUP(B315,'Growthrates source'!A$2:H$49,8,FALSE)</f>
        <v>-2.2233181875670249E-2</v>
      </c>
      <c r="AP315" s="93">
        <f>VLOOKUP(B315,'Growthrates source'!A$2:I$49,9,FALSE)</f>
        <v>0.11702326021234755</v>
      </c>
      <c r="AQ315" s="86">
        <f t="shared" si="85"/>
        <v>4402.1488352931328</v>
      </c>
      <c r="AR315" s="86">
        <f t="shared" si="86"/>
        <v>5595.6900339600661</v>
      </c>
      <c r="AS315" s="94">
        <f t="shared" si="87"/>
        <v>25.858771186582075</v>
      </c>
      <c r="AT315" s="94">
        <f t="shared" si="88"/>
        <v>28.856079360893872</v>
      </c>
      <c r="AU315" s="94">
        <f t="shared" si="89"/>
        <v>27.182178002549637</v>
      </c>
    </row>
    <row r="316" spans="1:47" x14ac:dyDescent="0.3">
      <c r="A316" s="85" t="str">
        <f>_xlfn.XLOOKUP(B316,'Country codes &amp; Data sources'!G:G,'Country codes &amp; Data sources'!H:H,,0)</f>
        <v>Eritrea</v>
      </c>
      <c r="B316" s="85" t="s">
        <v>194</v>
      </c>
      <c r="C316" s="86">
        <v>3252598</v>
      </c>
      <c r="D316" s="85" t="s">
        <v>323</v>
      </c>
      <c r="E316" s="87">
        <v>0</v>
      </c>
      <c r="F316" s="88">
        <v>3296367</v>
      </c>
      <c r="G316" s="87">
        <v>0</v>
      </c>
      <c r="I316" s="87">
        <v>0</v>
      </c>
      <c r="K316" s="87">
        <v>0</v>
      </c>
      <c r="M316" s="87">
        <v>752</v>
      </c>
      <c r="O316" s="87">
        <v>0</v>
      </c>
      <c r="P316" s="88">
        <v>3445374.4999999986</v>
      </c>
      <c r="Q316" s="87">
        <v>0</v>
      </c>
      <c r="R316" s="87">
        <f t="shared" si="72"/>
        <v>45</v>
      </c>
      <c r="T316" s="87">
        <v>0</v>
      </c>
      <c r="V316" s="87">
        <v>0</v>
      </c>
      <c r="X316" s="87">
        <v>134</v>
      </c>
      <c r="Y316" s="88">
        <v>3684031.5000000019</v>
      </c>
      <c r="Z316" s="87">
        <v>134</v>
      </c>
      <c r="AA316" s="87">
        <v>45</v>
      </c>
      <c r="AB316" s="89">
        <f t="shared" si="73"/>
        <v>0</v>
      </c>
      <c r="AC316" s="89">
        <f t="shared" si="74"/>
        <v>752</v>
      </c>
      <c r="AD316" s="89">
        <f t="shared" si="75"/>
        <v>134</v>
      </c>
      <c r="AE316" s="90">
        <f t="shared" si="76"/>
        <v>0</v>
      </c>
      <c r="AF316" s="90" t="str">
        <f t="shared" si="77"/>
        <v/>
      </c>
      <c r="AG316" s="90">
        <f t="shared" si="78"/>
        <v>45</v>
      </c>
      <c r="AH316" s="90" t="str">
        <f t="shared" si="79"/>
        <v>2018 (triag)</v>
      </c>
      <c r="AI316" s="90">
        <f t="shared" si="80"/>
        <v>134</v>
      </c>
      <c r="AJ316" s="90">
        <f t="shared" si="81"/>
        <v>2021</v>
      </c>
      <c r="AK316" s="90" t="str">
        <f t="shared" si="82"/>
        <v/>
      </c>
      <c r="AL316" s="91">
        <f>IF(AK316="Adjust",(_xlfn.XLOOKUP(A316,'Adj factor'!A:A,'Adj factor'!I:I,,0)*AI316),'Master DataSheet'!AI316)</f>
        <v>134</v>
      </c>
      <c r="AM316" s="91">
        <f t="shared" si="83"/>
        <v>134</v>
      </c>
      <c r="AN316" s="92" t="str">
        <f t="shared" si="84"/>
        <v>Increasing</v>
      </c>
      <c r="AO316" s="93">
        <f>VLOOKUP(B316,'Growthrates source'!A$2:H$49,8,FALSE)</f>
        <v>-2.2233181875670249E-2</v>
      </c>
      <c r="AP316" s="93">
        <f>VLOOKUP(B316,'Growthrates source'!A$2:I$49,9,FALSE)</f>
        <v>0.11702326021234755</v>
      </c>
      <c r="AQ316" s="86">
        <f t="shared" si="85"/>
        <v>50.29111388377531</v>
      </c>
      <c r="AR316" s="86">
        <f t="shared" si="86"/>
        <v>63.926390334654215</v>
      </c>
      <c r="AS316" s="94">
        <f t="shared" si="87"/>
        <v>0</v>
      </c>
      <c r="AT316" s="94">
        <f t="shared" si="88"/>
        <v>0.13060989451219315</v>
      </c>
      <c r="AU316" s="94">
        <f t="shared" si="89"/>
        <v>0.36373196048947987</v>
      </c>
    </row>
    <row r="317" spans="1:47" x14ac:dyDescent="0.3">
      <c r="A317" s="85" t="str">
        <f>_xlfn.XLOOKUP(B317,'Country codes &amp; Data sources'!G:G,'Country codes &amp; Data sources'!H:H,,0)</f>
        <v>Eritrea</v>
      </c>
      <c r="B317" s="85" t="s">
        <v>194</v>
      </c>
      <c r="C317" s="86">
        <v>3252599</v>
      </c>
      <c r="D317" s="85" t="s">
        <v>324</v>
      </c>
      <c r="E317" s="87">
        <v>0</v>
      </c>
      <c r="F317" s="88">
        <v>3296367</v>
      </c>
      <c r="G317" s="87">
        <v>0</v>
      </c>
      <c r="I317" s="87">
        <v>0</v>
      </c>
      <c r="K317" s="87">
        <v>0</v>
      </c>
      <c r="M317" s="87">
        <v>0</v>
      </c>
      <c r="O317" s="87">
        <v>0</v>
      </c>
      <c r="P317" s="88">
        <v>3445374.4999999986</v>
      </c>
      <c r="Q317" s="87">
        <v>0</v>
      </c>
      <c r="R317" s="87">
        <f t="shared" si="72"/>
        <v>451</v>
      </c>
      <c r="T317" s="87">
        <v>0</v>
      </c>
      <c r="V317" s="87">
        <v>0</v>
      </c>
      <c r="X317" s="87">
        <v>0</v>
      </c>
      <c r="Y317" s="88">
        <v>3684031.5000000019</v>
      </c>
      <c r="Z317" s="87">
        <v>0</v>
      </c>
      <c r="AA317" s="87">
        <v>451</v>
      </c>
      <c r="AB317" s="89">
        <f t="shared" si="73"/>
        <v>0</v>
      </c>
      <c r="AC317" s="89">
        <f t="shared" si="74"/>
        <v>0</v>
      </c>
      <c r="AD317" s="89">
        <f t="shared" si="75"/>
        <v>0</v>
      </c>
      <c r="AE317" s="90">
        <f t="shared" si="76"/>
        <v>0</v>
      </c>
      <c r="AF317" s="90" t="str">
        <f t="shared" si="77"/>
        <v/>
      </c>
      <c r="AG317" s="90">
        <f t="shared" si="78"/>
        <v>451</v>
      </c>
      <c r="AH317" s="90" t="str">
        <f t="shared" si="79"/>
        <v>2018 (triag)</v>
      </c>
      <c r="AI317" s="90">
        <f t="shared" si="80"/>
        <v>451</v>
      </c>
      <c r="AJ317" s="90" t="str">
        <f t="shared" si="81"/>
        <v>2018 (triag)</v>
      </c>
      <c r="AK317" s="90" t="str">
        <f t="shared" si="82"/>
        <v/>
      </c>
      <c r="AL317" s="91">
        <f>IF(AK317="Adjust",(_xlfn.XLOOKUP(A317,'Adj factor'!A:A,'Adj factor'!I:I,,0)*AI317),'Master DataSheet'!AI317)</f>
        <v>451</v>
      </c>
      <c r="AM317" s="91">
        <f t="shared" si="83"/>
        <v>451</v>
      </c>
      <c r="AN317" s="92" t="str">
        <f t="shared" si="84"/>
        <v>No change</v>
      </c>
      <c r="AO317" s="93">
        <f>VLOOKUP(B317,'Growthrates source'!A$2:H$49,8,FALSE)</f>
        <v>-2.2233181875670249E-2</v>
      </c>
      <c r="AP317" s="93">
        <f>VLOOKUP(B317,'Growthrates source'!A$2:I$49,9,FALSE)</f>
        <v>0.11702326021234755</v>
      </c>
      <c r="AQ317" s="86">
        <f t="shared" si="85"/>
        <v>504.02871914628145</v>
      </c>
      <c r="AR317" s="86">
        <f t="shared" si="86"/>
        <v>640.68448979842333</v>
      </c>
      <c r="AS317" s="94">
        <f t="shared" si="87"/>
        <v>0</v>
      </c>
      <c r="AT317" s="94">
        <f t="shared" si="88"/>
        <v>1.3090013872222024</v>
      </c>
      <c r="AU317" s="94">
        <f t="shared" si="89"/>
        <v>1.2242023446325032</v>
      </c>
    </row>
    <row r="318" spans="1:47" x14ac:dyDescent="0.3">
      <c r="A318" s="85" t="str">
        <f>_xlfn.XLOOKUP(B318,'Country codes &amp; Data sources'!G:G,'Country codes &amp; Data sources'!H:H,,0)</f>
        <v>Eritrea</v>
      </c>
      <c r="B318" s="85" t="s">
        <v>194</v>
      </c>
      <c r="C318" s="86">
        <v>3252600</v>
      </c>
      <c r="D318" s="85" t="s">
        <v>325</v>
      </c>
      <c r="E318" s="87">
        <v>0</v>
      </c>
      <c r="F318" s="88">
        <v>3296367</v>
      </c>
      <c r="G318" s="87">
        <v>0</v>
      </c>
      <c r="I318" s="87">
        <v>0</v>
      </c>
      <c r="K318" s="87">
        <v>0</v>
      </c>
      <c r="M318" s="87">
        <v>0</v>
      </c>
      <c r="O318" s="87">
        <v>0</v>
      </c>
      <c r="P318" s="88">
        <v>3445374.4999999986</v>
      </c>
      <c r="Q318" s="87">
        <v>0</v>
      </c>
      <c r="R318" s="87">
        <f t="shared" si="72"/>
        <v>186</v>
      </c>
      <c r="T318" s="87">
        <v>0</v>
      </c>
      <c r="V318" s="87">
        <v>0</v>
      </c>
      <c r="X318" s="87">
        <v>0</v>
      </c>
      <c r="Y318" s="88">
        <v>3684031.5000000019</v>
      </c>
      <c r="Z318" s="87">
        <v>55</v>
      </c>
      <c r="AA318" s="87">
        <v>186</v>
      </c>
      <c r="AB318" s="89">
        <f t="shared" si="73"/>
        <v>0</v>
      </c>
      <c r="AC318" s="89">
        <f t="shared" si="74"/>
        <v>0</v>
      </c>
      <c r="AD318" s="89">
        <f t="shared" si="75"/>
        <v>55</v>
      </c>
      <c r="AE318" s="90">
        <f t="shared" si="76"/>
        <v>0</v>
      </c>
      <c r="AF318" s="90" t="str">
        <f t="shared" si="77"/>
        <v/>
      </c>
      <c r="AG318" s="90">
        <f t="shared" si="78"/>
        <v>186</v>
      </c>
      <c r="AH318" s="90" t="str">
        <f t="shared" si="79"/>
        <v>2018 (triag)</v>
      </c>
      <c r="AI318" s="90">
        <f t="shared" si="80"/>
        <v>55</v>
      </c>
      <c r="AJ318" s="90">
        <f t="shared" si="81"/>
        <v>2022</v>
      </c>
      <c r="AK318" s="90" t="str">
        <f t="shared" si="82"/>
        <v>Adjust</v>
      </c>
      <c r="AL318" s="91">
        <f>IF(AK318="Adjust",(_xlfn.XLOOKUP(A318,'Adj factor'!A:A,'Adj factor'!I:I,,0)*AI318),'Master DataSheet'!AI318)</f>
        <v>63.211425437622836</v>
      </c>
      <c r="AM318" s="91">
        <f t="shared" si="83"/>
        <v>186</v>
      </c>
      <c r="AN318" s="92" t="str">
        <f t="shared" si="84"/>
        <v>Decreasing</v>
      </c>
      <c r="AO318" s="93">
        <f>VLOOKUP(B318,'Growthrates source'!A$2:H$49,8,FALSE)</f>
        <v>-2.2233181875670249E-2</v>
      </c>
      <c r="AP318" s="93">
        <f>VLOOKUP(B318,'Growthrates source'!A$2:I$49,9,FALSE)</f>
        <v>0.11702326021234755</v>
      </c>
      <c r="AQ318" s="86">
        <f t="shared" si="85"/>
        <v>207.86993738627129</v>
      </c>
      <c r="AR318" s="86">
        <f t="shared" si="86"/>
        <v>264.2290800499041</v>
      </c>
      <c r="AS318" s="94">
        <f t="shared" si="87"/>
        <v>0</v>
      </c>
      <c r="AT318" s="94">
        <f t="shared" si="88"/>
        <v>0.53985423065039828</v>
      </c>
      <c r="AU318" s="94">
        <f t="shared" si="89"/>
        <v>0.50488167650032278</v>
      </c>
    </row>
    <row r="319" spans="1:47" x14ac:dyDescent="0.3">
      <c r="A319" s="85" t="str">
        <f>_xlfn.XLOOKUP(B319,'Country codes &amp; Data sources'!G:G,'Country codes &amp; Data sources'!H:H,,0)</f>
        <v>Eritrea</v>
      </c>
      <c r="B319" s="85" t="s">
        <v>194</v>
      </c>
      <c r="C319" s="86">
        <v>3252601</v>
      </c>
      <c r="D319" s="85" t="s">
        <v>127</v>
      </c>
      <c r="E319" s="87">
        <v>0</v>
      </c>
      <c r="F319" s="88">
        <v>3296367</v>
      </c>
      <c r="G319" s="87">
        <v>0</v>
      </c>
      <c r="I319" s="87">
        <v>0</v>
      </c>
      <c r="K319" s="87">
        <v>0</v>
      </c>
      <c r="M319" s="87">
        <v>0</v>
      </c>
      <c r="O319" s="87">
        <v>0</v>
      </c>
      <c r="P319" s="88">
        <v>3445374.4999999986</v>
      </c>
      <c r="Q319" s="87">
        <v>243</v>
      </c>
      <c r="R319" s="87">
        <f t="shared" si="72"/>
        <v>243</v>
      </c>
      <c r="T319" s="87">
        <v>0</v>
      </c>
      <c r="V319" s="87">
        <v>6000</v>
      </c>
      <c r="X319" s="87">
        <v>2626</v>
      </c>
      <c r="Y319" s="88">
        <v>3684031.5000000019</v>
      </c>
      <c r="Z319" s="87">
        <v>2626</v>
      </c>
      <c r="AA319" s="87">
        <v>243</v>
      </c>
      <c r="AB319" s="89">
        <f t="shared" si="73"/>
        <v>0</v>
      </c>
      <c r="AC319" s="89">
        <f t="shared" si="74"/>
        <v>243</v>
      </c>
      <c r="AD319" s="89">
        <f t="shared" si="75"/>
        <v>6000</v>
      </c>
      <c r="AE319" s="90">
        <f t="shared" si="76"/>
        <v>0</v>
      </c>
      <c r="AF319" s="90" t="str">
        <f t="shared" si="77"/>
        <v/>
      </c>
      <c r="AG319" s="90">
        <f t="shared" si="78"/>
        <v>243</v>
      </c>
      <c r="AH319" s="90">
        <f t="shared" si="79"/>
        <v>2018</v>
      </c>
      <c r="AI319" s="90">
        <f t="shared" si="80"/>
        <v>2626</v>
      </c>
      <c r="AJ319" s="90">
        <f t="shared" si="81"/>
        <v>2021</v>
      </c>
      <c r="AK319" s="90" t="str">
        <f t="shared" si="82"/>
        <v/>
      </c>
      <c r="AL319" s="91">
        <f>IF(AK319="Adjust",(_xlfn.XLOOKUP(A319,'Adj factor'!A:A,'Adj factor'!I:I,,0)*AI319),'Master DataSheet'!AI319)</f>
        <v>2626</v>
      </c>
      <c r="AM319" s="91">
        <f t="shared" si="83"/>
        <v>2626</v>
      </c>
      <c r="AN319" s="92" t="str">
        <f t="shared" si="84"/>
        <v>Increasing</v>
      </c>
      <c r="AO319" s="93">
        <f>VLOOKUP(B319,'Growthrates source'!A$2:H$49,8,FALSE)</f>
        <v>-2.2233181875670249E-2</v>
      </c>
      <c r="AP319" s="93">
        <f>VLOOKUP(B319,'Growthrates source'!A$2:I$49,9,FALSE)</f>
        <v>0.11702326021234755</v>
      </c>
      <c r="AQ319" s="86">
        <f t="shared" si="85"/>
        <v>271.57201497238668</v>
      </c>
      <c r="AR319" s="86">
        <f t="shared" si="86"/>
        <v>345.20250780713275</v>
      </c>
      <c r="AS319" s="94">
        <f t="shared" si="87"/>
        <v>0</v>
      </c>
      <c r="AT319" s="94">
        <f t="shared" si="88"/>
        <v>0.70529343036584291</v>
      </c>
      <c r="AU319" s="94">
        <f t="shared" si="89"/>
        <v>7.1280606585475681</v>
      </c>
    </row>
    <row r="320" spans="1:47" x14ac:dyDescent="0.3">
      <c r="A320" s="85" t="str">
        <f>_xlfn.XLOOKUP(B320,'Country codes &amp; Data sources'!G:G,'Country codes &amp; Data sources'!H:H,,0)</f>
        <v>Eritrea</v>
      </c>
      <c r="B320" s="85" t="s">
        <v>194</v>
      </c>
      <c r="C320" s="86">
        <v>3252602</v>
      </c>
      <c r="D320" s="85" t="s">
        <v>61</v>
      </c>
      <c r="E320" s="87">
        <v>0</v>
      </c>
      <c r="F320" s="88">
        <v>3296367</v>
      </c>
      <c r="G320" s="87">
        <v>0</v>
      </c>
      <c r="I320" s="87">
        <v>0</v>
      </c>
      <c r="K320" s="87">
        <v>0</v>
      </c>
      <c r="M320" s="87">
        <v>0</v>
      </c>
      <c r="O320" s="87">
        <v>0</v>
      </c>
      <c r="P320" s="88">
        <v>3445374.4999999986</v>
      </c>
      <c r="Q320" s="87">
        <v>0</v>
      </c>
      <c r="R320" s="87">
        <f t="shared" si="72"/>
        <v>0</v>
      </c>
      <c r="T320" s="87">
        <v>0</v>
      </c>
      <c r="V320" s="87">
        <v>0</v>
      </c>
      <c r="X320" s="87">
        <v>0</v>
      </c>
      <c r="Y320" s="88">
        <v>3684031.5000000019</v>
      </c>
      <c r="Z320" s="87">
        <v>0</v>
      </c>
      <c r="AA320" s="87">
        <v>0</v>
      </c>
      <c r="AB320" s="89">
        <f t="shared" si="73"/>
        <v>0</v>
      </c>
      <c r="AC320" s="89">
        <f t="shared" si="74"/>
        <v>0</v>
      </c>
      <c r="AD320" s="89">
        <f t="shared" si="75"/>
        <v>0</v>
      </c>
      <c r="AE320" s="90">
        <f t="shared" si="76"/>
        <v>0</v>
      </c>
      <c r="AF320" s="90" t="str">
        <f t="shared" si="77"/>
        <v/>
      </c>
      <c r="AG320" s="90">
        <f t="shared" si="78"/>
        <v>0</v>
      </c>
      <c r="AH320" s="90" t="str">
        <f t="shared" si="79"/>
        <v/>
      </c>
      <c r="AI320" s="90">
        <f t="shared" si="80"/>
        <v>0</v>
      </c>
      <c r="AJ320" s="90" t="str">
        <f t="shared" si="81"/>
        <v/>
      </c>
      <c r="AK320" s="90" t="str">
        <f t="shared" si="82"/>
        <v/>
      </c>
      <c r="AL320" s="91">
        <f>IF(AK320="Adjust",(_xlfn.XLOOKUP(A320,'Adj factor'!A:A,'Adj factor'!I:I,,0)*AI320),'Master DataSheet'!AI320)</f>
        <v>0</v>
      </c>
      <c r="AM320" s="91">
        <f t="shared" si="83"/>
        <v>0</v>
      </c>
      <c r="AN320" s="92" t="str">
        <f t="shared" si="84"/>
        <v>No change</v>
      </c>
      <c r="AO320" s="93">
        <f>VLOOKUP(B320,'Growthrates source'!A$2:H$49,8,FALSE)</f>
        <v>-2.2233181875670249E-2</v>
      </c>
      <c r="AP320" s="93">
        <f>VLOOKUP(B320,'Growthrates source'!A$2:I$49,9,FALSE)</f>
        <v>0.11702326021234755</v>
      </c>
      <c r="AQ320" s="86">
        <f t="shared" si="85"/>
        <v>0</v>
      </c>
      <c r="AR320" s="86">
        <f t="shared" si="86"/>
        <v>0</v>
      </c>
      <c r="AS320" s="94">
        <f t="shared" si="87"/>
        <v>0</v>
      </c>
      <c r="AT320" s="94">
        <f t="shared" si="88"/>
        <v>0</v>
      </c>
      <c r="AU320" s="94">
        <f t="shared" si="89"/>
        <v>0</v>
      </c>
    </row>
    <row r="321" spans="1:47" x14ac:dyDescent="0.3">
      <c r="A321" s="85" t="str">
        <f>_xlfn.XLOOKUP(B321,'Country codes &amp; Data sources'!G:G,'Country codes &amp; Data sources'!H:H,,0)</f>
        <v>Eritrea</v>
      </c>
      <c r="B321" s="85" t="s">
        <v>194</v>
      </c>
      <c r="C321" s="86">
        <v>3252603</v>
      </c>
      <c r="D321" s="85" t="s">
        <v>62</v>
      </c>
      <c r="E321" s="87">
        <v>0</v>
      </c>
      <c r="F321" s="88">
        <v>3296367</v>
      </c>
      <c r="G321" s="87">
        <v>0</v>
      </c>
      <c r="I321" s="87">
        <v>0</v>
      </c>
      <c r="K321" s="87">
        <v>0</v>
      </c>
      <c r="M321" s="87">
        <v>0</v>
      </c>
      <c r="O321" s="87">
        <v>0</v>
      </c>
      <c r="P321" s="88">
        <v>3445374.4999999986</v>
      </c>
      <c r="Q321" s="87">
        <v>0</v>
      </c>
      <c r="R321" s="87">
        <f t="shared" si="72"/>
        <v>243</v>
      </c>
      <c r="T321" s="87">
        <v>0</v>
      </c>
      <c r="V321" s="87">
        <v>0</v>
      </c>
      <c r="X321" s="87">
        <v>0</v>
      </c>
      <c r="Y321" s="88">
        <v>3684031.5000000019</v>
      </c>
      <c r="Z321" s="87">
        <v>0</v>
      </c>
      <c r="AA321" s="87">
        <v>243</v>
      </c>
      <c r="AB321" s="89">
        <f t="shared" si="73"/>
        <v>0</v>
      </c>
      <c r="AC321" s="89">
        <f t="shared" si="74"/>
        <v>0</v>
      </c>
      <c r="AD321" s="89">
        <f t="shared" si="75"/>
        <v>0</v>
      </c>
      <c r="AE321" s="90">
        <f t="shared" si="76"/>
        <v>0</v>
      </c>
      <c r="AF321" s="90" t="str">
        <f t="shared" si="77"/>
        <v/>
      </c>
      <c r="AG321" s="90">
        <f t="shared" si="78"/>
        <v>243</v>
      </c>
      <c r="AH321" s="90" t="str">
        <f t="shared" si="79"/>
        <v>2018 (triag)</v>
      </c>
      <c r="AI321" s="90">
        <f t="shared" si="80"/>
        <v>243</v>
      </c>
      <c r="AJ321" s="90" t="str">
        <f t="shared" si="81"/>
        <v>2018 (triag)</v>
      </c>
      <c r="AK321" s="90" t="str">
        <f t="shared" si="82"/>
        <v/>
      </c>
      <c r="AL321" s="91">
        <f>IF(AK321="Adjust",(_xlfn.XLOOKUP(A321,'Adj factor'!A:A,'Adj factor'!I:I,,0)*AI321),'Master DataSheet'!AI321)</f>
        <v>243</v>
      </c>
      <c r="AM321" s="91">
        <f t="shared" si="83"/>
        <v>243</v>
      </c>
      <c r="AN321" s="92" t="str">
        <f t="shared" si="84"/>
        <v>No change</v>
      </c>
      <c r="AO321" s="93">
        <f>VLOOKUP(B321,'Growthrates source'!A$2:H$49,8,FALSE)</f>
        <v>-2.2233181875670249E-2</v>
      </c>
      <c r="AP321" s="93">
        <f>VLOOKUP(B321,'Growthrates source'!A$2:I$49,9,FALSE)</f>
        <v>0.11702326021234755</v>
      </c>
      <c r="AQ321" s="86">
        <f t="shared" si="85"/>
        <v>271.57201497238668</v>
      </c>
      <c r="AR321" s="86">
        <f t="shared" si="86"/>
        <v>345.20250780713275</v>
      </c>
      <c r="AS321" s="94">
        <f t="shared" si="87"/>
        <v>0</v>
      </c>
      <c r="AT321" s="94">
        <f t="shared" si="88"/>
        <v>0.70529343036584291</v>
      </c>
      <c r="AU321" s="94">
        <f t="shared" si="89"/>
        <v>0.65960348058913143</v>
      </c>
    </row>
    <row r="322" spans="1:47" x14ac:dyDescent="0.3">
      <c r="A322" s="85" t="str">
        <f>_xlfn.XLOOKUP(B322,'Country codes &amp; Data sources'!G:G,'Country codes &amp; Data sources'!H:H,,0)</f>
        <v>Eritrea</v>
      </c>
      <c r="B322" s="85" t="s">
        <v>194</v>
      </c>
      <c r="C322" s="86">
        <v>3252604</v>
      </c>
      <c r="D322" s="85" t="s">
        <v>203</v>
      </c>
      <c r="E322" s="87">
        <v>0</v>
      </c>
      <c r="F322" s="88">
        <v>3296367</v>
      </c>
      <c r="G322" s="87">
        <v>0</v>
      </c>
      <c r="I322" s="87">
        <v>0</v>
      </c>
      <c r="K322" s="87">
        <v>0</v>
      </c>
      <c r="M322" s="87">
        <v>0</v>
      </c>
      <c r="O322" s="87">
        <v>0</v>
      </c>
      <c r="P322" s="88">
        <v>3445374.4999999986</v>
      </c>
      <c r="Q322" s="87">
        <v>0</v>
      </c>
      <c r="R322" s="87">
        <f t="shared" si="72"/>
        <v>0</v>
      </c>
      <c r="T322" s="87">
        <v>0</v>
      </c>
      <c r="V322" s="87">
        <v>0</v>
      </c>
      <c r="X322" s="87">
        <v>0</v>
      </c>
      <c r="Y322" s="88">
        <v>3684031.5000000019</v>
      </c>
      <c r="Z322" s="87">
        <v>0</v>
      </c>
      <c r="AA322" s="87">
        <v>0</v>
      </c>
      <c r="AB322" s="89">
        <f t="shared" si="73"/>
        <v>0</v>
      </c>
      <c r="AC322" s="89">
        <f t="shared" si="74"/>
        <v>0</v>
      </c>
      <c r="AD322" s="89">
        <f t="shared" si="75"/>
        <v>0</v>
      </c>
      <c r="AE322" s="90">
        <f t="shared" si="76"/>
        <v>0</v>
      </c>
      <c r="AF322" s="90" t="str">
        <f t="shared" si="77"/>
        <v/>
      </c>
      <c r="AG322" s="90">
        <f t="shared" si="78"/>
        <v>0</v>
      </c>
      <c r="AH322" s="90" t="str">
        <f t="shared" si="79"/>
        <v/>
      </c>
      <c r="AI322" s="90">
        <f t="shared" si="80"/>
        <v>0</v>
      </c>
      <c r="AJ322" s="90" t="str">
        <f t="shared" si="81"/>
        <v/>
      </c>
      <c r="AK322" s="90" t="str">
        <f t="shared" si="82"/>
        <v/>
      </c>
      <c r="AL322" s="91">
        <f>IF(AK322="Adjust",(_xlfn.XLOOKUP(A322,'Adj factor'!A:A,'Adj factor'!I:I,,0)*AI322),'Master DataSheet'!AI322)</f>
        <v>0</v>
      </c>
      <c r="AM322" s="91">
        <f t="shared" si="83"/>
        <v>0</v>
      </c>
      <c r="AN322" s="92" t="str">
        <f t="shared" si="84"/>
        <v>No change</v>
      </c>
      <c r="AO322" s="93">
        <f>VLOOKUP(B322,'Growthrates source'!A$2:H$49,8,FALSE)</f>
        <v>-2.2233181875670249E-2</v>
      </c>
      <c r="AP322" s="93">
        <f>VLOOKUP(B322,'Growthrates source'!A$2:I$49,9,FALSE)</f>
        <v>0.11702326021234755</v>
      </c>
      <c r="AQ322" s="86">
        <f t="shared" si="85"/>
        <v>0</v>
      </c>
      <c r="AR322" s="86">
        <f t="shared" si="86"/>
        <v>0</v>
      </c>
      <c r="AS322" s="94">
        <f t="shared" si="87"/>
        <v>0</v>
      </c>
      <c r="AT322" s="94">
        <f t="shared" si="88"/>
        <v>0</v>
      </c>
      <c r="AU322" s="94">
        <f t="shared" si="89"/>
        <v>0</v>
      </c>
    </row>
    <row r="323" spans="1:47" x14ac:dyDescent="0.3">
      <c r="A323" s="85" t="str">
        <f>_xlfn.XLOOKUP(B323,'Country codes &amp; Data sources'!G:G,'Country codes &amp; Data sources'!H:H,,0)</f>
        <v>Eritrea</v>
      </c>
      <c r="B323" s="85" t="s">
        <v>194</v>
      </c>
      <c r="C323" s="86">
        <v>3252605</v>
      </c>
      <c r="D323" s="85" t="s">
        <v>204</v>
      </c>
      <c r="E323" s="87">
        <v>0</v>
      </c>
      <c r="F323" s="88">
        <v>3296367</v>
      </c>
      <c r="G323" s="87">
        <v>0</v>
      </c>
      <c r="I323" s="87">
        <v>0</v>
      </c>
      <c r="K323" s="87">
        <v>0</v>
      </c>
      <c r="M323" s="87">
        <v>0</v>
      </c>
      <c r="O323" s="87">
        <v>0</v>
      </c>
      <c r="P323" s="88">
        <v>3445374.4999999986</v>
      </c>
      <c r="Q323" s="87">
        <v>0</v>
      </c>
      <c r="R323" s="87">
        <f t="shared" ref="R323:R386" si="90">MAX(Q323,AA323)</f>
        <v>0</v>
      </c>
      <c r="T323" s="87">
        <v>0</v>
      </c>
      <c r="V323" s="87">
        <v>0</v>
      </c>
      <c r="X323" s="87">
        <v>0</v>
      </c>
      <c r="Y323" s="88">
        <v>3684031.5000000019</v>
      </c>
      <c r="Z323" s="87">
        <v>381</v>
      </c>
      <c r="AA323" s="87">
        <v>0</v>
      </c>
      <c r="AB323" s="89">
        <f t="shared" ref="AB323:AB386" si="91">MAX(G323,E323,I323,K323)</f>
        <v>0</v>
      </c>
      <c r="AC323" s="89">
        <f t="shared" ref="AC323:AC386" si="92">MAX(M323,O323,Q323,T323)</f>
        <v>0</v>
      </c>
      <c r="AD323" s="89">
        <f t="shared" ref="AD323:AD386" si="93">MAX(V323,X323,Z323)</f>
        <v>381</v>
      </c>
      <c r="AE323" s="90">
        <f t="shared" ref="AE323:AE386" si="94">IF(G323&gt;0,G323,IF(E323&gt;0,E323,IF(I323&gt;0,I323,K323)))</f>
        <v>0</v>
      </c>
      <c r="AF323" s="90" t="str">
        <f t="shared" ref="AF323:AF386" si="95">IF(AE323&gt;0,_xlfn.XLOOKUP(AE323,$B323:$K323,$B$1:$K$1,,0),"")</f>
        <v/>
      </c>
      <c r="AG323" s="90">
        <f t="shared" ref="AG323:AG386" si="96">IF(R323&gt;0,R323,IF(O323&gt;0,O323,T323))</f>
        <v>0</v>
      </c>
      <c r="AH323" s="90" t="str">
        <f t="shared" ref="AH323:AH386" si="97">IF(AG323&gt;0,_xlfn.XLOOKUP(AG323,$L323:$T323,$L$1:$T$1,,0),"")</f>
        <v/>
      </c>
      <c r="AI323" s="90">
        <f t="shared" ref="AI323:AI386" si="98">IF((IF(Z323&gt;0,Z323,IF(X323&gt;0,X323,IF(V323&gt;0,V323,T323))))=0,AG323,IF(Z323&gt;0,Z323,IF(X323&gt;0,X323,IF(V323&gt;0,V323,T323))))</f>
        <v>381</v>
      </c>
      <c r="AJ323" s="90">
        <f t="shared" ref="AJ323:AJ386" si="99">IFERROR(IF(AI323&gt;0,_xlfn.XLOOKUP(AI323,$V323:$Z323,$V$1:$Z$1,,0),""),AH323)</f>
        <v>2022</v>
      </c>
      <c r="AK323" s="90" t="str">
        <f t="shared" ref="AK323:AK386" si="100">IF(AI323&lt;AG323,"Adjust","")</f>
        <v/>
      </c>
      <c r="AL323" s="91">
        <f>IF(AK323="Adjust",(_xlfn.XLOOKUP(A323,'Adj factor'!A:A,'Adj factor'!I:I,,0)*AI323),'Master DataSheet'!AI323)</f>
        <v>381</v>
      </c>
      <c r="AM323" s="91">
        <f t="shared" ref="AM323:AM386" si="101">IF(AL323&lt;AG323,AG323,AL323)</f>
        <v>381</v>
      </c>
      <c r="AN323" s="92" t="str">
        <f t="shared" ref="AN323:AN386" si="102">IF(AL323&gt;AG323,"Increasing",IF(AL323&lt;AG323,"Decreasing","No change"))</f>
        <v>Increasing</v>
      </c>
      <c r="AO323" s="93">
        <f>VLOOKUP(B323,'Growthrates source'!A$2:H$49,8,FALSE)</f>
        <v>-2.2233181875670249E-2</v>
      </c>
      <c r="AP323" s="93">
        <f>VLOOKUP(B323,'Growthrates source'!A$2:I$49,9,FALSE)</f>
        <v>0.11702326021234755</v>
      </c>
      <c r="AQ323" s="86">
        <f t="shared" ref="AQ323:AQ386" si="103">AA323/(EXP(AO323*5))</f>
        <v>0</v>
      </c>
      <c r="AR323" s="86">
        <f t="shared" ref="AR323:AR386" si="104">AA323*EXP(AP323*3)</f>
        <v>0</v>
      </c>
      <c r="AS323" s="94">
        <f t="shared" ref="AS323:AS386" si="105">(AE323*10000)/F323</f>
        <v>0</v>
      </c>
      <c r="AT323" s="94">
        <f t="shared" ref="AT323:AT386" si="106">(AG323*10000)/P323</f>
        <v>0</v>
      </c>
      <c r="AU323" s="94">
        <f t="shared" ref="AU323:AU386" si="107">(AM323*10000)/Y323</f>
        <v>1.0341931115409839</v>
      </c>
    </row>
    <row r="324" spans="1:47" x14ac:dyDescent="0.3">
      <c r="A324" s="85" t="str">
        <f>_xlfn.XLOOKUP(B324,'Country codes &amp; Data sources'!G:G,'Country codes &amp; Data sources'!H:H,,0)</f>
        <v>Eritrea</v>
      </c>
      <c r="B324" s="85" t="s">
        <v>194</v>
      </c>
      <c r="C324" s="86">
        <v>3252606</v>
      </c>
      <c r="D324" s="85" t="s">
        <v>205</v>
      </c>
      <c r="E324" s="87">
        <v>0</v>
      </c>
      <c r="F324" s="88">
        <v>3296367</v>
      </c>
      <c r="G324" s="87">
        <v>0</v>
      </c>
      <c r="I324" s="87">
        <v>0</v>
      </c>
      <c r="K324" s="87">
        <v>0</v>
      </c>
      <c r="M324" s="87">
        <v>0</v>
      </c>
      <c r="O324" s="87">
        <v>0</v>
      </c>
      <c r="P324" s="88">
        <v>3445374.4999999986</v>
      </c>
      <c r="Q324" s="87">
        <v>0</v>
      </c>
      <c r="R324" s="87">
        <f t="shared" si="90"/>
        <v>0</v>
      </c>
      <c r="T324" s="87">
        <v>0</v>
      </c>
      <c r="V324" s="87">
        <v>0</v>
      </c>
      <c r="X324" s="87">
        <v>0</v>
      </c>
      <c r="Y324" s="88">
        <v>3684031.5000000019</v>
      </c>
      <c r="Z324" s="87">
        <v>0</v>
      </c>
      <c r="AA324" s="87">
        <v>0</v>
      </c>
      <c r="AB324" s="89">
        <f t="shared" si="91"/>
        <v>0</v>
      </c>
      <c r="AC324" s="89">
        <f t="shared" si="92"/>
        <v>0</v>
      </c>
      <c r="AD324" s="89">
        <f t="shared" si="93"/>
        <v>0</v>
      </c>
      <c r="AE324" s="90">
        <f t="shared" si="94"/>
        <v>0</v>
      </c>
      <c r="AF324" s="90" t="str">
        <f t="shared" si="95"/>
        <v/>
      </c>
      <c r="AG324" s="90">
        <f t="shared" si="96"/>
        <v>0</v>
      </c>
      <c r="AH324" s="90" t="str">
        <f t="shared" si="97"/>
        <v/>
      </c>
      <c r="AI324" s="90">
        <f t="shared" si="98"/>
        <v>0</v>
      </c>
      <c r="AJ324" s="90" t="str">
        <f t="shared" si="99"/>
        <v/>
      </c>
      <c r="AK324" s="90" t="str">
        <f t="shared" si="100"/>
        <v/>
      </c>
      <c r="AL324" s="91">
        <f>IF(AK324="Adjust",(_xlfn.XLOOKUP(A324,'Adj factor'!A:A,'Adj factor'!I:I,,0)*AI324),'Master DataSheet'!AI324)</f>
        <v>0</v>
      </c>
      <c r="AM324" s="91">
        <f t="shared" si="101"/>
        <v>0</v>
      </c>
      <c r="AN324" s="92" t="str">
        <f t="shared" si="102"/>
        <v>No change</v>
      </c>
      <c r="AO324" s="93">
        <f>VLOOKUP(B324,'Growthrates source'!A$2:H$49,8,FALSE)</f>
        <v>-2.2233181875670249E-2</v>
      </c>
      <c r="AP324" s="93">
        <f>VLOOKUP(B324,'Growthrates source'!A$2:I$49,9,FALSE)</f>
        <v>0.11702326021234755</v>
      </c>
      <c r="AQ324" s="86">
        <f t="shared" si="103"/>
        <v>0</v>
      </c>
      <c r="AR324" s="86">
        <f t="shared" si="104"/>
        <v>0</v>
      </c>
      <c r="AS324" s="94">
        <f t="shared" si="105"/>
        <v>0</v>
      </c>
      <c r="AT324" s="94">
        <f t="shared" si="106"/>
        <v>0</v>
      </c>
      <c r="AU324" s="94">
        <f t="shared" si="107"/>
        <v>0</v>
      </c>
    </row>
    <row r="325" spans="1:47" x14ac:dyDescent="0.3">
      <c r="A325" s="85" t="str">
        <f>_xlfn.XLOOKUP(B325,'Country codes &amp; Data sources'!G:G,'Country codes &amp; Data sources'!H:H,,0)</f>
        <v>Eritrea</v>
      </c>
      <c r="B325" s="85" t="s">
        <v>194</v>
      </c>
      <c r="C325" s="86">
        <v>3252607</v>
      </c>
      <c r="D325" s="85" t="s">
        <v>133</v>
      </c>
      <c r="E325" s="87">
        <v>0</v>
      </c>
      <c r="F325" s="88">
        <v>3296367</v>
      </c>
      <c r="G325" s="87">
        <v>0</v>
      </c>
      <c r="I325" s="87">
        <v>0</v>
      </c>
      <c r="K325" s="87">
        <v>0</v>
      </c>
      <c r="M325" s="87">
        <v>0</v>
      </c>
      <c r="O325" s="87">
        <v>0</v>
      </c>
      <c r="P325" s="88">
        <v>3445374.4999999986</v>
      </c>
      <c r="Q325" s="87">
        <v>549</v>
      </c>
      <c r="R325" s="87">
        <f t="shared" si="90"/>
        <v>549</v>
      </c>
      <c r="T325" s="87">
        <v>0</v>
      </c>
      <c r="V325" s="87">
        <v>0</v>
      </c>
      <c r="X325" s="87">
        <v>298</v>
      </c>
      <c r="Y325" s="88">
        <v>3684031.5000000019</v>
      </c>
      <c r="Z325" s="87">
        <v>296</v>
      </c>
      <c r="AA325" s="87">
        <v>0</v>
      </c>
      <c r="AB325" s="89">
        <f t="shared" si="91"/>
        <v>0</v>
      </c>
      <c r="AC325" s="89">
        <f t="shared" si="92"/>
        <v>549</v>
      </c>
      <c r="AD325" s="89">
        <f t="shared" si="93"/>
        <v>298</v>
      </c>
      <c r="AE325" s="90">
        <f t="shared" si="94"/>
        <v>0</v>
      </c>
      <c r="AF325" s="90" t="str">
        <f t="shared" si="95"/>
        <v/>
      </c>
      <c r="AG325" s="90">
        <f t="shared" si="96"/>
        <v>549</v>
      </c>
      <c r="AH325" s="90">
        <f t="shared" si="97"/>
        <v>2018</v>
      </c>
      <c r="AI325" s="90">
        <f t="shared" si="98"/>
        <v>296</v>
      </c>
      <c r="AJ325" s="90">
        <f t="shared" si="99"/>
        <v>2022</v>
      </c>
      <c r="AK325" s="90" t="str">
        <f t="shared" si="100"/>
        <v>Adjust</v>
      </c>
      <c r="AL325" s="91">
        <f>IF(AK325="Adjust",(_xlfn.XLOOKUP(A325,'Adj factor'!A:A,'Adj factor'!I:I,,0)*AI325),'Master DataSheet'!AI325)</f>
        <v>340.19239871884287</v>
      </c>
      <c r="AM325" s="91">
        <f t="shared" si="101"/>
        <v>549</v>
      </c>
      <c r="AN325" s="92" t="str">
        <f t="shared" si="102"/>
        <v>Decreasing</v>
      </c>
      <c r="AO325" s="93">
        <f>VLOOKUP(B325,'Growthrates source'!A$2:H$49,8,FALSE)</f>
        <v>-2.2233181875670249E-2</v>
      </c>
      <c r="AP325" s="93">
        <f>VLOOKUP(B325,'Growthrates source'!A$2:I$49,9,FALSE)</f>
        <v>0.11702326021234755</v>
      </c>
      <c r="AQ325" s="86">
        <f t="shared" si="103"/>
        <v>0</v>
      </c>
      <c r="AR325" s="86">
        <f t="shared" si="104"/>
        <v>0</v>
      </c>
      <c r="AS325" s="94">
        <f t="shared" si="105"/>
        <v>0</v>
      </c>
      <c r="AT325" s="94">
        <f t="shared" si="106"/>
        <v>1.5934407130487562</v>
      </c>
      <c r="AU325" s="94">
        <f t="shared" si="107"/>
        <v>1.4902152709606302</v>
      </c>
    </row>
    <row r="326" spans="1:47" x14ac:dyDescent="0.3">
      <c r="A326" s="85" t="str">
        <f>_xlfn.XLOOKUP(B326,'Country codes &amp; Data sources'!G:G,'Country codes &amp; Data sources'!H:H,,0)</f>
        <v>Eritrea</v>
      </c>
      <c r="B326" s="85" t="s">
        <v>194</v>
      </c>
      <c r="C326" s="86">
        <v>3252608</v>
      </c>
      <c r="D326" s="85" t="s">
        <v>206</v>
      </c>
      <c r="E326" s="87">
        <v>0</v>
      </c>
      <c r="F326" s="88">
        <v>3296367</v>
      </c>
      <c r="G326" s="87">
        <v>0</v>
      </c>
      <c r="I326" s="87">
        <v>0</v>
      </c>
      <c r="K326" s="87">
        <v>0</v>
      </c>
      <c r="M326" s="87">
        <v>0</v>
      </c>
      <c r="O326" s="87">
        <v>0</v>
      </c>
      <c r="P326" s="88">
        <v>3445374.4999999986</v>
      </c>
      <c r="Q326" s="87">
        <v>0</v>
      </c>
      <c r="R326" s="87">
        <f t="shared" si="90"/>
        <v>0</v>
      </c>
      <c r="T326" s="87">
        <v>0</v>
      </c>
      <c r="V326" s="87">
        <v>0</v>
      </c>
      <c r="X326" s="87">
        <v>0</v>
      </c>
      <c r="Y326" s="88">
        <v>3684031.5000000019</v>
      </c>
      <c r="Z326" s="87">
        <v>0</v>
      </c>
      <c r="AA326" s="87">
        <v>0</v>
      </c>
      <c r="AB326" s="89">
        <f t="shared" si="91"/>
        <v>0</v>
      </c>
      <c r="AC326" s="89">
        <f t="shared" si="92"/>
        <v>0</v>
      </c>
      <c r="AD326" s="89">
        <f t="shared" si="93"/>
        <v>0</v>
      </c>
      <c r="AE326" s="90">
        <f t="shared" si="94"/>
        <v>0</v>
      </c>
      <c r="AF326" s="90" t="str">
        <f t="shared" si="95"/>
        <v/>
      </c>
      <c r="AG326" s="90">
        <f t="shared" si="96"/>
        <v>0</v>
      </c>
      <c r="AH326" s="90" t="str">
        <f t="shared" si="97"/>
        <v/>
      </c>
      <c r="AI326" s="90">
        <f t="shared" si="98"/>
        <v>0</v>
      </c>
      <c r="AJ326" s="90" t="str">
        <f t="shared" si="99"/>
        <v/>
      </c>
      <c r="AK326" s="90" t="str">
        <f t="shared" si="100"/>
        <v/>
      </c>
      <c r="AL326" s="91">
        <f>IF(AK326="Adjust",(_xlfn.XLOOKUP(A326,'Adj factor'!A:A,'Adj factor'!I:I,,0)*AI326),'Master DataSheet'!AI326)</f>
        <v>0</v>
      </c>
      <c r="AM326" s="91">
        <f t="shared" si="101"/>
        <v>0</v>
      </c>
      <c r="AN326" s="92" t="str">
        <f t="shared" si="102"/>
        <v>No change</v>
      </c>
      <c r="AO326" s="93">
        <f>VLOOKUP(B326,'Growthrates source'!A$2:H$49,8,FALSE)</f>
        <v>-2.2233181875670249E-2</v>
      </c>
      <c r="AP326" s="93">
        <f>VLOOKUP(B326,'Growthrates source'!A$2:I$49,9,FALSE)</f>
        <v>0.11702326021234755</v>
      </c>
      <c r="AQ326" s="86">
        <f t="shared" si="103"/>
        <v>0</v>
      </c>
      <c r="AR326" s="86">
        <f t="shared" si="104"/>
        <v>0</v>
      </c>
      <c r="AS326" s="94">
        <f t="shared" si="105"/>
        <v>0</v>
      </c>
      <c r="AT326" s="94">
        <f t="shared" si="106"/>
        <v>0</v>
      </c>
      <c r="AU326" s="94">
        <f t="shared" si="107"/>
        <v>0</v>
      </c>
    </row>
    <row r="327" spans="1:47" x14ac:dyDescent="0.3">
      <c r="A327" s="85" t="str">
        <f>_xlfn.XLOOKUP(B327,'Country codes &amp; Data sources'!G:G,'Country codes &amp; Data sources'!H:H,,0)</f>
        <v>Eritrea</v>
      </c>
      <c r="B327" s="85" t="s">
        <v>194</v>
      </c>
      <c r="C327" s="86">
        <v>3252609</v>
      </c>
      <c r="D327" s="85" t="s">
        <v>136</v>
      </c>
      <c r="E327" s="87">
        <v>0</v>
      </c>
      <c r="F327" s="88">
        <v>3296367</v>
      </c>
      <c r="G327" s="87">
        <v>0</v>
      </c>
      <c r="I327" s="87">
        <v>0</v>
      </c>
      <c r="K327" s="87">
        <v>0</v>
      </c>
      <c r="M327" s="87">
        <v>0</v>
      </c>
      <c r="O327" s="87">
        <v>0</v>
      </c>
      <c r="P327" s="88">
        <v>3445374.4999999986</v>
      </c>
      <c r="Q327" s="87">
        <v>0</v>
      </c>
      <c r="R327" s="87">
        <f t="shared" si="90"/>
        <v>113</v>
      </c>
      <c r="T327" s="87">
        <v>0</v>
      </c>
      <c r="V327" s="87">
        <v>0</v>
      </c>
      <c r="X327" s="87">
        <v>137</v>
      </c>
      <c r="Y327" s="88">
        <v>3684031.5000000019</v>
      </c>
      <c r="Z327" s="87">
        <v>141</v>
      </c>
      <c r="AA327" s="87">
        <v>113</v>
      </c>
      <c r="AB327" s="89">
        <f t="shared" si="91"/>
        <v>0</v>
      </c>
      <c r="AC327" s="89">
        <f t="shared" si="92"/>
        <v>0</v>
      </c>
      <c r="AD327" s="89">
        <f t="shared" si="93"/>
        <v>141</v>
      </c>
      <c r="AE327" s="90">
        <f t="shared" si="94"/>
        <v>0</v>
      </c>
      <c r="AF327" s="90" t="str">
        <f t="shared" si="95"/>
        <v/>
      </c>
      <c r="AG327" s="90">
        <f t="shared" si="96"/>
        <v>113</v>
      </c>
      <c r="AH327" s="90" t="str">
        <f t="shared" si="97"/>
        <v>2018 (triag)</v>
      </c>
      <c r="AI327" s="90">
        <f t="shared" si="98"/>
        <v>141</v>
      </c>
      <c r="AJ327" s="90">
        <f t="shared" si="99"/>
        <v>2022</v>
      </c>
      <c r="AK327" s="90" t="str">
        <f t="shared" si="100"/>
        <v/>
      </c>
      <c r="AL327" s="91">
        <f>IF(AK327="Adjust",(_xlfn.XLOOKUP(A327,'Adj factor'!A:A,'Adj factor'!I:I,,0)*AI327),'Master DataSheet'!AI327)</f>
        <v>141</v>
      </c>
      <c r="AM327" s="91">
        <f t="shared" si="101"/>
        <v>141</v>
      </c>
      <c r="AN327" s="92" t="str">
        <f t="shared" si="102"/>
        <v>Increasing</v>
      </c>
      <c r="AO327" s="93">
        <f>VLOOKUP(B327,'Growthrates source'!A$2:H$49,8,FALSE)</f>
        <v>-2.2233181875670249E-2</v>
      </c>
      <c r="AP327" s="93">
        <f>VLOOKUP(B327,'Growthrates source'!A$2:I$49,9,FALSE)</f>
        <v>0.11702326021234755</v>
      </c>
      <c r="AQ327" s="86">
        <f t="shared" si="103"/>
        <v>126.28657486370246</v>
      </c>
      <c r="AR327" s="86">
        <f t="shared" si="104"/>
        <v>160.52626906257615</v>
      </c>
      <c r="AS327" s="94">
        <f t="shared" si="105"/>
        <v>0</v>
      </c>
      <c r="AT327" s="94">
        <f t="shared" si="106"/>
        <v>0.32797595733061835</v>
      </c>
      <c r="AU327" s="94">
        <f t="shared" si="107"/>
        <v>0.3827328837986318</v>
      </c>
    </row>
    <row r="328" spans="1:47" x14ac:dyDescent="0.3">
      <c r="A328" s="85" t="str">
        <f>_xlfn.XLOOKUP(B328,'Country codes &amp; Data sources'!G:G,'Country codes &amp; Data sources'!H:H,,0)</f>
        <v>Eritrea</v>
      </c>
      <c r="B328" s="85" t="s">
        <v>194</v>
      </c>
      <c r="C328" s="86">
        <v>3252610</v>
      </c>
      <c r="D328" s="85" t="s">
        <v>207</v>
      </c>
      <c r="E328" s="87">
        <v>0</v>
      </c>
      <c r="F328" s="88">
        <v>3296367</v>
      </c>
      <c r="G328" s="87">
        <v>0</v>
      </c>
      <c r="I328" s="87">
        <v>0</v>
      </c>
      <c r="K328" s="87">
        <v>0</v>
      </c>
      <c r="M328" s="87">
        <v>0</v>
      </c>
      <c r="O328" s="87">
        <v>0</v>
      </c>
      <c r="P328" s="88">
        <v>3445374.4999999986</v>
      </c>
      <c r="Q328" s="87">
        <v>0</v>
      </c>
      <c r="R328" s="87">
        <f t="shared" si="90"/>
        <v>0</v>
      </c>
      <c r="T328" s="87">
        <v>0</v>
      </c>
      <c r="V328" s="87">
        <v>0</v>
      </c>
      <c r="X328" s="87">
        <v>0</v>
      </c>
      <c r="Y328" s="88">
        <v>3684031.5000000019</v>
      </c>
      <c r="Z328" s="87">
        <v>0</v>
      </c>
      <c r="AA328" s="87">
        <v>0</v>
      </c>
      <c r="AB328" s="89">
        <f t="shared" si="91"/>
        <v>0</v>
      </c>
      <c r="AC328" s="89">
        <f t="shared" si="92"/>
        <v>0</v>
      </c>
      <c r="AD328" s="89">
        <f t="shared" si="93"/>
        <v>0</v>
      </c>
      <c r="AE328" s="90">
        <f t="shared" si="94"/>
        <v>0</v>
      </c>
      <c r="AF328" s="90" t="str">
        <f t="shared" si="95"/>
        <v/>
      </c>
      <c r="AG328" s="90">
        <f t="shared" si="96"/>
        <v>0</v>
      </c>
      <c r="AH328" s="90" t="str">
        <f t="shared" si="97"/>
        <v/>
      </c>
      <c r="AI328" s="90">
        <f t="shared" si="98"/>
        <v>0</v>
      </c>
      <c r="AJ328" s="90" t="str">
        <f t="shared" si="99"/>
        <v/>
      </c>
      <c r="AK328" s="90" t="str">
        <f t="shared" si="100"/>
        <v/>
      </c>
      <c r="AL328" s="91">
        <f>IF(AK328="Adjust",(_xlfn.XLOOKUP(A328,'Adj factor'!A:A,'Adj factor'!I:I,,0)*AI328),'Master DataSheet'!AI328)</f>
        <v>0</v>
      </c>
      <c r="AM328" s="91">
        <f t="shared" si="101"/>
        <v>0</v>
      </c>
      <c r="AN328" s="92" t="str">
        <f t="shared" si="102"/>
        <v>No change</v>
      </c>
      <c r="AO328" s="93">
        <f>VLOOKUP(B328,'Growthrates source'!A$2:H$49,8,FALSE)</f>
        <v>-2.2233181875670249E-2</v>
      </c>
      <c r="AP328" s="93">
        <f>VLOOKUP(B328,'Growthrates source'!A$2:I$49,9,FALSE)</f>
        <v>0.11702326021234755</v>
      </c>
      <c r="AQ328" s="86">
        <f t="shared" si="103"/>
        <v>0</v>
      </c>
      <c r="AR328" s="86">
        <f t="shared" si="104"/>
        <v>0</v>
      </c>
      <c r="AS328" s="94">
        <f t="shared" si="105"/>
        <v>0</v>
      </c>
      <c r="AT328" s="94">
        <f t="shared" si="106"/>
        <v>0</v>
      </c>
      <c r="AU328" s="94">
        <f t="shared" si="107"/>
        <v>0</v>
      </c>
    </row>
    <row r="329" spans="1:47" x14ac:dyDescent="0.3">
      <c r="A329" s="85" t="str">
        <f>_xlfn.XLOOKUP(B329,'Country codes &amp; Data sources'!G:G,'Country codes &amp; Data sources'!H:H,,0)</f>
        <v>Eritrea</v>
      </c>
      <c r="B329" s="85" t="s">
        <v>194</v>
      </c>
      <c r="C329" s="86">
        <v>3252611</v>
      </c>
      <c r="D329" s="85" t="s">
        <v>141</v>
      </c>
      <c r="E329" s="87">
        <v>0</v>
      </c>
      <c r="F329" s="88">
        <v>3296367</v>
      </c>
      <c r="G329" s="87">
        <v>0</v>
      </c>
      <c r="I329" s="87">
        <v>0</v>
      </c>
      <c r="K329" s="87">
        <v>0</v>
      </c>
      <c r="M329" s="87">
        <v>0</v>
      </c>
      <c r="O329" s="87">
        <v>0</v>
      </c>
      <c r="P329" s="88">
        <v>3445374.4999999986</v>
      </c>
      <c r="Q329" s="87">
        <v>0</v>
      </c>
      <c r="R329" s="87">
        <f t="shared" si="90"/>
        <v>86</v>
      </c>
      <c r="T329" s="87">
        <v>0</v>
      </c>
      <c r="V329" s="87">
        <v>0</v>
      </c>
      <c r="X329" s="87">
        <v>99</v>
      </c>
      <c r="Y329" s="88">
        <v>3684031.5000000019</v>
      </c>
      <c r="Z329" s="87">
        <v>96</v>
      </c>
      <c r="AA329" s="87">
        <v>86</v>
      </c>
      <c r="AB329" s="89">
        <f t="shared" si="91"/>
        <v>0</v>
      </c>
      <c r="AC329" s="89">
        <f t="shared" si="92"/>
        <v>0</v>
      </c>
      <c r="AD329" s="89">
        <f t="shared" si="93"/>
        <v>99</v>
      </c>
      <c r="AE329" s="90">
        <f t="shared" si="94"/>
        <v>0</v>
      </c>
      <c r="AF329" s="90" t="str">
        <f t="shared" si="95"/>
        <v/>
      </c>
      <c r="AG329" s="90">
        <f t="shared" si="96"/>
        <v>86</v>
      </c>
      <c r="AH329" s="90" t="str">
        <f t="shared" si="97"/>
        <v>2018 (triag)</v>
      </c>
      <c r="AI329" s="90">
        <f t="shared" si="98"/>
        <v>96</v>
      </c>
      <c r="AJ329" s="90">
        <f t="shared" si="99"/>
        <v>2022</v>
      </c>
      <c r="AK329" s="90" t="str">
        <f t="shared" si="100"/>
        <v/>
      </c>
      <c r="AL329" s="91">
        <f>IF(AK329="Adjust",(_xlfn.XLOOKUP(A329,'Adj factor'!A:A,'Adj factor'!I:I,,0)*AI329),'Master DataSheet'!AI329)</f>
        <v>96</v>
      </c>
      <c r="AM329" s="91">
        <f t="shared" si="101"/>
        <v>96</v>
      </c>
      <c r="AN329" s="92" t="str">
        <f t="shared" si="102"/>
        <v>Increasing</v>
      </c>
      <c r="AO329" s="93">
        <f>VLOOKUP(B329,'Growthrates source'!A$2:H$49,8,FALSE)</f>
        <v>-2.2233181875670249E-2</v>
      </c>
      <c r="AP329" s="93">
        <f>VLOOKUP(B329,'Growthrates source'!A$2:I$49,9,FALSE)</f>
        <v>0.11702326021234755</v>
      </c>
      <c r="AQ329" s="86">
        <f t="shared" si="103"/>
        <v>96.111906533437264</v>
      </c>
      <c r="AR329" s="86">
        <f t="shared" si="104"/>
        <v>122.17043486178362</v>
      </c>
      <c r="AS329" s="94">
        <f t="shared" si="105"/>
        <v>0</v>
      </c>
      <c r="AT329" s="94">
        <f t="shared" si="106"/>
        <v>0.24961002062330245</v>
      </c>
      <c r="AU329" s="94">
        <f t="shared" si="107"/>
        <v>0.26058409109694081</v>
      </c>
    </row>
    <row r="330" spans="1:47" x14ac:dyDescent="0.3">
      <c r="A330" s="85" t="str">
        <f>_xlfn.XLOOKUP(B330,'Country codes &amp; Data sources'!G:G,'Country codes &amp; Data sources'!H:H,,0)</f>
        <v>Eritrea</v>
      </c>
      <c r="B330" s="85" t="s">
        <v>194</v>
      </c>
      <c r="C330" s="86">
        <v>3252612</v>
      </c>
      <c r="D330" s="85" t="s">
        <v>208</v>
      </c>
      <c r="E330" s="87">
        <v>0</v>
      </c>
      <c r="F330" s="88">
        <v>3296367</v>
      </c>
      <c r="G330" s="87">
        <v>0</v>
      </c>
      <c r="I330" s="87">
        <v>0</v>
      </c>
      <c r="K330" s="87">
        <v>0</v>
      </c>
      <c r="M330" s="87">
        <v>0</v>
      </c>
      <c r="O330" s="87">
        <v>0</v>
      </c>
      <c r="P330" s="88">
        <v>3445374.4999999986</v>
      </c>
      <c r="Q330" s="87">
        <v>0</v>
      </c>
      <c r="R330" s="87">
        <f t="shared" si="90"/>
        <v>3563</v>
      </c>
      <c r="T330" s="87">
        <v>0</v>
      </c>
      <c r="V330" s="87">
        <v>0</v>
      </c>
      <c r="X330" s="87">
        <v>0</v>
      </c>
      <c r="Y330" s="88">
        <v>3684031.5000000019</v>
      </c>
      <c r="Z330" s="87">
        <v>0</v>
      </c>
      <c r="AA330" s="87">
        <v>3563</v>
      </c>
      <c r="AB330" s="89">
        <f t="shared" si="91"/>
        <v>0</v>
      </c>
      <c r="AC330" s="89">
        <f t="shared" si="92"/>
        <v>0</v>
      </c>
      <c r="AD330" s="89">
        <f t="shared" si="93"/>
        <v>0</v>
      </c>
      <c r="AE330" s="90">
        <f t="shared" si="94"/>
        <v>0</v>
      </c>
      <c r="AF330" s="90" t="str">
        <f t="shared" si="95"/>
        <v/>
      </c>
      <c r="AG330" s="90">
        <f t="shared" si="96"/>
        <v>3563</v>
      </c>
      <c r="AH330" s="90" t="str">
        <f t="shared" si="97"/>
        <v>2018 (triag)</v>
      </c>
      <c r="AI330" s="90">
        <f t="shared" si="98"/>
        <v>3563</v>
      </c>
      <c r="AJ330" s="90" t="str">
        <f t="shared" si="99"/>
        <v>2018 (triag)</v>
      </c>
      <c r="AK330" s="90" t="str">
        <f t="shared" si="100"/>
        <v/>
      </c>
      <c r="AL330" s="91">
        <f>IF(AK330="Adjust",(_xlfn.XLOOKUP(A330,'Adj factor'!A:A,'Adj factor'!I:I,,0)*AI330),'Master DataSheet'!AI330)</f>
        <v>3563</v>
      </c>
      <c r="AM330" s="91">
        <f t="shared" si="101"/>
        <v>3563</v>
      </c>
      <c r="AN330" s="92" t="str">
        <f t="shared" si="102"/>
        <v>No change</v>
      </c>
      <c r="AO330" s="93">
        <f>VLOOKUP(B330,'Growthrates source'!A$2:H$49,8,FALSE)</f>
        <v>-2.2233181875670249E-2</v>
      </c>
      <c r="AP330" s="93">
        <f>VLOOKUP(B330,'Growthrates source'!A$2:I$49,9,FALSE)</f>
        <v>0.11702326021234755</v>
      </c>
      <c r="AQ330" s="86">
        <f t="shared" si="103"/>
        <v>3981.9386392864762</v>
      </c>
      <c r="AR330" s="86">
        <f t="shared" si="104"/>
        <v>5061.549528052733</v>
      </c>
      <c r="AS330" s="94">
        <f t="shared" si="105"/>
        <v>0</v>
      </c>
      <c r="AT330" s="94">
        <f t="shared" si="106"/>
        <v>10.341401203265425</v>
      </c>
      <c r="AU330" s="94">
        <f t="shared" si="107"/>
        <v>9.6714699643583337</v>
      </c>
    </row>
    <row r="331" spans="1:47" x14ac:dyDescent="0.3">
      <c r="A331" s="85" t="str">
        <f>_xlfn.XLOOKUP(B331,'Country codes &amp; Data sources'!G:G,'Country codes &amp; Data sources'!H:H,,0)</f>
        <v>Eritrea</v>
      </c>
      <c r="B331" s="85" t="s">
        <v>194</v>
      </c>
      <c r="C331" s="86">
        <v>3252613</v>
      </c>
      <c r="D331" s="85" t="s">
        <v>209</v>
      </c>
      <c r="E331" s="87">
        <v>0</v>
      </c>
      <c r="F331" s="88">
        <v>3296367</v>
      </c>
      <c r="G331" s="87">
        <v>0</v>
      </c>
      <c r="I331" s="87">
        <v>0</v>
      </c>
      <c r="K331" s="87">
        <v>0</v>
      </c>
      <c r="M331" s="87">
        <v>0</v>
      </c>
      <c r="O331" s="87">
        <v>0</v>
      </c>
      <c r="P331" s="88">
        <v>3445374.4999999986</v>
      </c>
      <c r="Q331" s="87">
        <v>0</v>
      </c>
      <c r="R331" s="87">
        <f t="shared" si="90"/>
        <v>0</v>
      </c>
      <c r="T331" s="87">
        <v>0</v>
      </c>
      <c r="V331" s="87">
        <v>0</v>
      </c>
      <c r="X331" s="87">
        <v>0</v>
      </c>
      <c r="Y331" s="88">
        <v>3684031.5000000019</v>
      </c>
      <c r="Z331" s="87">
        <v>0</v>
      </c>
      <c r="AA331" s="87">
        <v>0</v>
      </c>
      <c r="AB331" s="89">
        <f t="shared" si="91"/>
        <v>0</v>
      </c>
      <c r="AC331" s="89">
        <f t="shared" si="92"/>
        <v>0</v>
      </c>
      <c r="AD331" s="89">
        <f t="shared" si="93"/>
        <v>0</v>
      </c>
      <c r="AE331" s="90">
        <f t="shared" si="94"/>
        <v>0</v>
      </c>
      <c r="AF331" s="90" t="str">
        <f t="shared" si="95"/>
        <v/>
      </c>
      <c r="AG331" s="90">
        <f t="shared" si="96"/>
        <v>0</v>
      </c>
      <c r="AH331" s="90" t="str">
        <f t="shared" si="97"/>
        <v/>
      </c>
      <c r="AI331" s="90">
        <f t="shared" si="98"/>
        <v>0</v>
      </c>
      <c r="AJ331" s="90" t="str">
        <f t="shared" si="99"/>
        <v/>
      </c>
      <c r="AK331" s="90" t="str">
        <f t="shared" si="100"/>
        <v/>
      </c>
      <c r="AL331" s="91">
        <f>IF(AK331="Adjust",(_xlfn.XLOOKUP(A331,'Adj factor'!A:A,'Adj factor'!I:I,,0)*AI331),'Master DataSheet'!AI331)</f>
        <v>0</v>
      </c>
      <c r="AM331" s="91">
        <f t="shared" si="101"/>
        <v>0</v>
      </c>
      <c r="AN331" s="92" t="str">
        <f t="shared" si="102"/>
        <v>No change</v>
      </c>
      <c r="AO331" s="93">
        <f>VLOOKUP(B331,'Growthrates source'!A$2:H$49,8,FALSE)</f>
        <v>-2.2233181875670249E-2</v>
      </c>
      <c r="AP331" s="93">
        <f>VLOOKUP(B331,'Growthrates source'!A$2:I$49,9,FALSE)</f>
        <v>0.11702326021234755</v>
      </c>
      <c r="AQ331" s="86">
        <f t="shared" si="103"/>
        <v>0</v>
      </c>
      <c r="AR331" s="86">
        <f t="shared" si="104"/>
        <v>0</v>
      </c>
      <c r="AS331" s="94">
        <f t="shared" si="105"/>
        <v>0</v>
      </c>
      <c r="AT331" s="94">
        <f t="shared" si="106"/>
        <v>0</v>
      </c>
      <c r="AU331" s="94">
        <f t="shared" si="107"/>
        <v>0</v>
      </c>
    </row>
    <row r="332" spans="1:47" x14ac:dyDescent="0.3">
      <c r="A332" s="85" t="str">
        <f>_xlfn.XLOOKUP(B332,'Country codes &amp; Data sources'!G:G,'Country codes &amp; Data sources'!H:H,,0)</f>
        <v>Eritrea</v>
      </c>
      <c r="B332" s="85" t="s">
        <v>194</v>
      </c>
      <c r="C332" s="86">
        <v>3252614</v>
      </c>
      <c r="D332" s="85" t="s">
        <v>134</v>
      </c>
      <c r="E332" s="87">
        <v>0</v>
      </c>
      <c r="F332" s="88">
        <v>3296367</v>
      </c>
      <c r="G332" s="87">
        <v>0</v>
      </c>
      <c r="I332" s="87">
        <v>0</v>
      </c>
      <c r="K332" s="87">
        <v>0</v>
      </c>
      <c r="M332" s="87">
        <v>0</v>
      </c>
      <c r="O332" s="87">
        <v>0</v>
      </c>
      <c r="P332" s="88">
        <v>3445374.4999999986</v>
      </c>
      <c r="Q332" s="87">
        <v>0</v>
      </c>
      <c r="R332" s="87">
        <f t="shared" si="90"/>
        <v>549</v>
      </c>
      <c r="T332" s="87">
        <v>0</v>
      </c>
      <c r="V332" s="87">
        <v>0</v>
      </c>
      <c r="X332" s="87">
        <v>267</v>
      </c>
      <c r="Y332" s="88">
        <v>3684031.5000000019</v>
      </c>
      <c r="Z332" s="87">
        <v>267</v>
      </c>
      <c r="AA332" s="87">
        <v>549</v>
      </c>
      <c r="AB332" s="89">
        <f t="shared" si="91"/>
        <v>0</v>
      </c>
      <c r="AC332" s="89">
        <f t="shared" si="92"/>
        <v>0</v>
      </c>
      <c r="AD332" s="89">
        <f t="shared" si="93"/>
        <v>267</v>
      </c>
      <c r="AE332" s="90">
        <f t="shared" si="94"/>
        <v>0</v>
      </c>
      <c r="AF332" s="90" t="str">
        <f t="shared" si="95"/>
        <v/>
      </c>
      <c r="AG332" s="90">
        <f t="shared" si="96"/>
        <v>549</v>
      </c>
      <c r="AH332" s="90" t="str">
        <f t="shared" si="97"/>
        <v>2018 (triag)</v>
      </c>
      <c r="AI332" s="90">
        <f t="shared" si="98"/>
        <v>267</v>
      </c>
      <c r="AJ332" s="90">
        <f t="shared" si="99"/>
        <v>2021</v>
      </c>
      <c r="AK332" s="90" t="str">
        <f t="shared" si="100"/>
        <v>Adjust</v>
      </c>
      <c r="AL332" s="91">
        <f>IF(AK332="Adjust",(_xlfn.XLOOKUP(A332,'Adj factor'!A:A,'Adj factor'!I:I,,0)*AI332),'Master DataSheet'!AI332)</f>
        <v>306.86273803355084</v>
      </c>
      <c r="AM332" s="91">
        <f t="shared" si="101"/>
        <v>549</v>
      </c>
      <c r="AN332" s="92" t="str">
        <f t="shared" si="102"/>
        <v>Decreasing</v>
      </c>
      <c r="AO332" s="93">
        <f>VLOOKUP(B332,'Growthrates source'!A$2:H$49,8,FALSE)</f>
        <v>-2.2233181875670249E-2</v>
      </c>
      <c r="AP332" s="93">
        <f>VLOOKUP(B332,'Growthrates source'!A$2:I$49,9,FALSE)</f>
        <v>0.11702326021234755</v>
      </c>
      <c r="AQ332" s="86">
        <f t="shared" si="103"/>
        <v>613.55158938205886</v>
      </c>
      <c r="AR332" s="86">
        <f t="shared" si="104"/>
        <v>779.90196208278144</v>
      </c>
      <c r="AS332" s="94">
        <f t="shared" si="105"/>
        <v>0</v>
      </c>
      <c r="AT332" s="94">
        <f t="shared" si="106"/>
        <v>1.5934407130487562</v>
      </c>
      <c r="AU332" s="94">
        <f t="shared" si="107"/>
        <v>1.4902152709606302</v>
      </c>
    </row>
    <row r="333" spans="1:47" x14ac:dyDescent="0.3">
      <c r="A333" s="85" t="str">
        <f>_xlfn.XLOOKUP(B333,'Country codes &amp; Data sources'!G:G,'Country codes &amp; Data sources'!H:H,,0)</f>
        <v>Eritrea</v>
      </c>
      <c r="B333" s="85" t="s">
        <v>194</v>
      </c>
      <c r="C333" s="86">
        <v>3252615</v>
      </c>
      <c r="D333" s="85" t="s">
        <v>142</v>
      </c>
      <c r="E333" s="87">
        <v>0</v>
      </c>
      <c r="F333" s="88">
        <v>3296367</v>
      </c>
      <c r="G333" s="87">
        <v>0</v>
      </c>
      <c r="I333" s="87">
        <v>0</v>
      </c>
      <c r="K333" s="87">
        <v>0</v>
      </c>
      <c r="M333" s="87">
        <v>0</v>
      </c>
      <c r="O333" s="87">
        <v>0</v>
      </c>
      <c r="P333" s="88">
        <v>3445374.4999999986</v>
      </c>
      <c r="Q333" s="87">
        <v>0</v>
      </c>
      <c r="R333" s="87">
        <f t="shared" si="90"/>
        <v>0</v>
      </c>
      <c r="T333" s="87">
        <v>0</v>
      </c>
      <c r="V333" s="87">
        <v>0</v>
      </c>
      <c r="X333" s="87">
        <v>0</v>
      </c>
      <c r="Y333" s="88">
        <v>3684031.5000000019</v>
      </c>
      <c r="Z333" s="87">
        <v>0</v>
      </c>
      <c r="AA333" s="87">
        <v>0</v>
      </c>
      <c r="AB333" s="89">
        <f t="shared" si="91"/>
        <v>0</v>
      </c>
      <c r="AC333" s="89">
        <f t="shared" si="92"/>
        <v>0</v>
      </c>
      <c r="AD333" s="89">
        <f t="shared" si="93"/>
        <v>0</v>
      </c>
      <c r="AE333" s="90">
        <f t="shared" si="94"/>
        <v>0</v>
      </c>
      <c r="AF333" s="90" t="str">
        <f t="shared" si="95"/>
        <v/>
      </c>
      <c r="AG333" s="90">
        <f t="shared" si="96"/>
        <v>0</v>
      </c>
      <c r="AH333" s="90" t="str">
        <f t="shared" si="97"/>
        <v/>
      </c>
      <c r="AI333" s="90">
        <f t="shared" si="98"/>
        <v>0</v>
      </c>
      <c r="AJ333" s="90" t="str">
        <f t="shared" si="99"/>
        <v/>
      </c>
      <c r="AK333" s="90" t="str">
        <f t="shared" si="100"/>
        <v/>
      </c>
      <c r="AL333" s="91">
        <f>IF(AK333="Adjust",(_xlfn.XLOOKUP(A333,'Adj factor'!A:A,'Adj factor'!I:I,,0)*AI333),'Master DataSheet'!AI333)</f>
        <v>0</v>
      </c>
      <c r="AM333" s="91">
        <f t="shared" si="101"/>
        <v>0</v>
      </c>
      <c r="AN333" s="92" t="str">
        <f t="shared" si="102"/>
        <v>No change</v>
      </c>
      <c r="AO333" s="93">
        <f>VLOOKUP(B333,'Growthrates source'!A$2:H$49,8,FALSE)</f>
        <v>-2.2233181875670249E-2</v>
      </c>
      <c r="AP333" s="93">
        <f>VLOOKUP(B333,'Growthrates source'!A$2:I$49,9,FALSE)</f>
        <v>0.11702326021234755</v>
      </c>
      <c r="AQ333" s="86">
        <f t="shared" si="103"/>
        <v>0</v>
      </c>
      <c r="AR333" s="86">
        <f t="shared" si="104"/>
        <v>0</v>
      </c>
      <c r="AS333" s="94">
        <f t="shared" si="105"/>
        <v>0</v>
      </c>
      <c r="AT333" s="94">
        <f t="shared" si="106"/>
        <v>0</v>
      </c>
      <c r="AU333" s="94">
        <f t="shared" si="107"/>
        <v>0</v>
      </c>
    </row>
    <row r="334" spans="1:47" x14ac:dyDescent="0.3">
      <c r="A334" s="85" t="str">
        <f>_xlfn.XLOOKUP(B334,'Country codes &amp; Data sources'!G:G,'Country codes &amp; Data sources'!H:H,,0)</f>
        <v>Eritrea</v>
      </c>
      <c r="B334" s="85" t="s">
        <v>194</v>
      </c>
      <c r="C334" s="86">
        <v>3252616</v>
      </c>
      <c r="D334" s="85" t="s">
        <v>83</v>
      </c>
      <c r="E334" s="87">
        <v>0</v>
      </c>
      <c r="F334" s="88">
        <v>3296367</v>
      </c>
      <c r="G334" s="87">
        <v>0</v>
      </c>
      <c r="I334" s="87">
        <v>0</v>
      </c>
      <c r="K334" s="87">
        <v>0</v>
      </c>
      <c r="M334" s="87">
        <v>0</v>
      </c>
      <c r="O334" s="87">
        <v>0</v>
      </c>
      <c r="P334" s="88">
        <v>3445374.4999999986</v>
      </c>
      <c r="Q334" s="87">
        <v>0</v>
      </c>
      <c r="R334" s="87">
        <f t="shared" si="90"/>
        <v>137</v>
      </c>
      <c r="T334" s="87">
        <v>0</v>
      </c>
      <c r="V334" s="87">
        <v>0</v>
      </c>
      <c r="X334" s="87">
        <v>131</v>
      </c>
      <c r="Y334" s="88">
        <v>3684031.5000000019</v>
      </c>
      <c r="Z334" s="87">
        <v>130</v>
      </c>
      <c r="AA334" s="87">
        <v>137</v>
      </c>
      <c r="AB334" s="89">
        <f t="shared" si="91"/>
        <v>0</v>
      </c>
      <c r="AC334" s="89">
        <f t="shared" si="92"/>
        <v>0</v>
      </c>
      <c r="AD334" s="89">
        <f t="shared" si="93"/>
        <v>131</v>
      </c>
      <c r="AE334" s="90">
        <f t="shared" si="94"/>
        <v>0</v>
      </c>
      <c r="AF334" s="90" t="str">
        <f t="shared" si="95"/>
        <v/>
      </c>
      <c r="AG334" s="90">
        <f t="shared" si="96"/>
        <v>137</v>
      </c>
      <c r="AH334" s="90" t="str">
        <f t="shared" si="97"/>
        <v>2018 (triag)</v>
      </c>
      <c r="AI334" s="90">
        <f t="shared" si="98"/>
        <v>130</v>
      </c>
      <c r="AJ334" s="90">
        <f t="shared" si="99"/>
        <v>2022</v>
      </c>
      <c r="AK334" s="90" t="str">
        <f t="shared" si="100"/>
        <v>Adjust</v>
      </c>
      <c r="AL334" s="91">
        <f>IF(AK334="Adjust",(_xlfn.XLOOKUP(A334,'Adj factor'!A:A,'Adj factor'!I:I,,0)*AI334),'Master DataSheet'!AI334)</f>
        <v>149.40882376165396</v>
      </c>
      <c r="AM334" s="91">
        <f t="shared" si="101"/>
        <v>149.40882376165396</v>
      </c>
      <c r="AN334" s="92" t="str">
        <f t="shared" si="102"/>
        <v>Increasing</v>
      </c>
      <c r="AO334" s="93">
        <f>VLOOKUP(B334,'Growthrates source'!A$2:H$49,8,FALSE)</f>
        <v>-2.2233181875670249E-2</v>
      </c>
      <c r="AP334" s="93">
        <f>VLOOKUP(B334,'Growthrates source'!A$2:I$49,9,FALSE)</f>
        <v>0.11702326021234755</v>
      </c>
      <c r="AQ334" s="86">
        <f t="shared" si="103"/>
        <v>153.10850226838261</v>
      </c>
      <c r="AR334" s="86">
        <f t="shared" si="104"/>
        <v>194.62034390772507</v>
      </c>
      <c r="AS334" s="94">
        <f t="shared" si="105"/>
        <v>0</v>
      </c>
      <c r="AT334" s="94">
        <f t="shared" si="106"/>
        <v>0.39763456773712136</v>
      </c>
      <c r="AU334" s="94">
        <f t="shared" si="107"/>
        <v>0.40555794314368349</v>
      </c>
    </row>
    <row r="335" spans="1:47" x14ac:dyDescent="0.3">
      <c r="A335" s="85" t="str">
        <f>_xlfn.XLOOKUP(B335,'Country codes &amp; Data sources'!G:G,'Country codes &amp; Data sources'!H:H,,0)</f>
        <v>Eritrea</v>
      </c>
      <c r="B335" s="85" t="s">
        <v>194</v>
      </c>
      <c r="C335" s="86">
        <v>3252617</v>
      </c>
      <c r="D335" s="85" t="s">
        <v>84</v>
      </c>
      <c r="E335" s="87">
        <v>0</v>
      </c>
      <c r="F335" s="88">
        <v>3296367</v>
      </c>
      <c r="G335" s="87">
        <v>0</v>
      </c>
      <c r="I335" s="87">
        <v>0</v>
      </c>
      <c r="K335" s="87">
        <v>0</v>
      </c>
      <c r="M335" s="87">
        <v>0</v>
      </c>
      <c r="O335" s="87">
        <v>0</v>
      </c>
      <c r="P335" s="88">
        <v>3445374.4999999986</v>
      </c>
      <c r="Q335" s="87">
        <v>0</v>
      </c>
      <c r="R335" s="87">
        <f t="shared" si="90"/>
        <v>0</v>
      </c>
      <c r="T335" s="87">
        <v>0</v>
      </c>
      <c r="V335" s="87">
        <v>0</v>
      </c>
      <c r="X335" s="87">
        <v>6</v>
      </c>
      <c r="Y335" s="88">
        <v>3684031.5000000019</v>
      </c>
      <c r="Z335" s="87">
        <v>6</v>
      </c>
      <c r="AA335" s="87">
        <v>0</v>
      </c>
      <c r="AB335" s="89">
        <f t="shared" si="91"/>
        <v>0</v>
      </c>
      <c r="AC335" s="89">
        <f t="shared" si="92"/>
        <v>0</v>
      </c>
      <c r="AD335" s="89">
        <f t="shared" si="93"/>
        <v>6</v>
      </c>
      <c r="AE335" s="90">
        <f t="shared" si="94"/>
        <v>0</v>
      </c>
      <c r="AF335" s="90" t="str">
        <f t="shared" si="95"/>
        <v/>
      </c>
      <c r="AG335" s="90">
        <f t="shared" si="96"/>
        <v>0</v>
      </c>
      <c r="AH335" s="90" t="str">
        <f t="shared" si="97"/>
        <v/>
      </c>
      <c r="AI335" s="90">
        <f t="shared" si="98"/>
        <v>6</v>
      </c>
      <c r="AJ335" s="90">
        <f t="shared" si="99"/>
        <v>2021</v>
      </c>
      <c r="AK335" s="90" t="str">
        <f t="shared" si="100"/>
        <v/>
      </c>
      <c r="AL335" s="91">
        <f>IF(AK335="Adjust",(_xlfn.XLOOKUP(A335,'Adj factor'!A:A,'Adj factor'!I:I,,0)*AI335),'Master DataSheet'!AI335)</f>
        <v>6</v>
      </c>
      <c r="AM335" s="91">
        <f t="shared" si="101"/>
        <v>6</v>
      </c>
      <c r="AN335" s="92" t="str">
        <f t="shared" si="102"/>
        <v>Increasing</v>
      </c>
      <c r="AO335" s="93">
        <f>VLOOKUP(B335,'Growthrates source'!A$2:H$49,8,FALSE)</f>
        <v>-2.2233181875670249E-2</v>
      </c>
      <c r="AP335" s="93">
        <f>VLOOKUP(B335,'Growthrates source'!A$2:I$49,9,FALSE)</f>
        <v>0.11702326021234755</v>
      </c>
      <c r="AQ335" s="86">
        <f t="shared" si="103"/>
        <v>0</v>
      </c>
      <c r="AR335" s="86">
        <f t="shared" si="104"/>
        <v>0</v>
      </c>
      <c r="AS335" s="94">
        <f t="shared" si="105"/>
        <v>0</v>
      </c>
      <c r="AT335" s="94">
        <f t="shared" si="106"/>
        <v>0</v>
      </c>
      <c r="AU335" s="94">
        <f t="shared" si="107"/>
        <v>1.62865056935588E-2</v>
      </c>
    </row>
    <row r="336" spans="1:47" x14ac:dyDescent="0.3">
      <c r="A336" s="85" t="str">
        <f>_xlfn.XLOOKUP(B336,'Country codes &amp; Data sources'!G:G,'Country codes &amp; Data sources'!H:H,,0)</f>
        <v>Eritrea</v>
      </c>
      <c r="B336" s="85" t="s">
        <v>194</v>
      </c>
      <c r="C336" s="86">
        <v>3252618</v>
      </c>
      <c r="D336" s="85" t="s">
        <v>126</v>
      </c>
      <c r="E336" s="87">
        <v>0</v>
      </c>
      <c r="F336" s="88">
        <v>3296367</v>
      </c>
      <c r="G336" s="87">
        <v>0</v>
      </c>
      <c r="I336" s="87">
        <v>0</v>
      </c>
      <c r="K336" s="87">
        <v>0</v>
      </c>
      <c r="M336" s="87">
        <v>0</v>
      </c>
      <c r="O336" s="87">
        <v>0</v>
      </c>
      <c r="P336" s="88">
        <v>3445374.4999999986</v>
      </c>
      <c r="Q336" s="87">
        <v>0</v>
      </c>
      <c r="R336" s="87">
        <f t="shared" si="90"/>
        <v>0</v>
      </c>
      <c r="T336" s="87">
        <v>0</v>
      </c>
      <c r="V336" s="87">
        <v>0</v>
      </c>
      <c r="X336" s="87">
        <v>0</v>
      </c>
      <c r="Y336" s="88">
        <v>3684031.5000000019</v>
      </c>
      <c r="Z336" s="87">
        <v>0</v>
      </c>
      <c r="AA336" s="87">
        <v>0</v>
      </c>
      <c r="AB336" s="89">
        <f t="shared" si="91"/>
        <v>0</v>
      </c>
      <c r="AC336" s="89">
        <f t="shared" si="92"/>
        <v>0</v>
      </c>
      <c r="AD336" s="89">
        <f t="shared" si="93"/>
        <v>0</v>
      </c>
      <c r="AE336" s="90">
        <f t="shared" si="94"/>
        <v>0</v>
      </c>
      <c r="AF336" s="90" t="str">
        <f t="shared" si="95"/>
        <v/>
      </c>
      <c r="AG336" s="90">
        <f t="shared" si="96"/>
        <v>0</v>
      </c>
      <c r="AH336" s="90" t="str">
        <f t="shared" si="97"/>
        <v/>
      </c>
      <c r="AI336" s="90">
        <f t="shared" si="98"/>
        <v>0</v>
      </c>
      <c r="AJ336" s="90" t="str">
        <f t="shared" si="99"/>
        <v/>
      </c>
      <c r="AK336" s="90" t="str">
        <f t="shared" si="100"/>
        <v/>
      </c>
      <c r="AL336" s="91">
        <f>IF(AK336="Adjust",(_xlfn.XLOOKUP(A336,'Adj factor'!A:A,'Adj factor'!I:I,,0)*AI336),'Master DataSheet'!AI336)</f>
        <v>0</v>
      </c>
      <c r="AM336" s="91">
        <f t="shared" si="101"/>
        <v>0</v>
      </c>
      <c r="AN336" s="92" t="str">
        <f t="shared" si="102"/>
        <v>No change</v>
      </c>
      <c r="AO336" s="93">
        <f>VLOOKUP(B336,'Growthrates source'!A$2:H$49,8,FALSE)</f>
        <v>-2.2233181875670249E-2</v>
      </c>
      <c r="AP336" s="93">
        <f>VLOOKUP(B336,'Growthrates source'!A$2:I$49,9,FALSE)</f>
        <v>0.11702326021234755</v>
      </c>
      <c r="AQ336" s="86">
        <f t="shared" si="103"/>
        <v>0</v>
      </c>
      <c r="AR336" s="86">
        <f t="shared" si="104"/>
        <v>0</v>
      </c>
      <c r="AS336" s="94">
        <f t="shared" si="105"/>
        <v>0</v>
      </c>
      <c r="AT336" s="94">
        <f t="shared" si="106"/>
        <v>0</v>
      </c>
      <c r="AU336" s="94">
        <f t="shared" si="107"/>
        <v>0</v>
      </c>
    </row>
    <row r="337" spans="1:47" x14ac:dyDescent="0.3">
      <c r="A337" s="85" t="str">
        <f>_xlfn.XLOOKUP(B337,'Country codes &amp; Data sources'!G:G,'Country codes &amp; Data sources'!H:H,,0)</f>
        <v>Eritrea</v>
      </c>
      <c r="B337" s="85" t="s">
        <v>194</v>
      </c>
      <c r="C337" s="86">
        <v>3252619</v>
      </c>
      <c r="D337" s="85" t="s">
        <v>87</v>
      </c>
      <c r="E337" s="87">
        <v>0</v>
      </c>
      <c r="F337" s="88">
        <v>3296367</v>
      </c>
      <c r="G337" s="87">
        <v>0</v>
      </c>
      <c r="I337" s="87">
        <v>0</v>
      </c>
      <c r="K337" s="87">
        <v>0</v>
      </c>
      <c r="M337" s="87">
        <v>0</v>
      </c>
      <c r="O337" s="87">
        <v>0</v>
      </c>
      <c r="P337" s="88">
        <v>3445374.4999999986</v>
      </c>
      <c r="Q337" s="87">
        <v>0</v>
      </c>
      <c r="R337" s="87">
        <f t="shared" si="90"/>
        <v>0</v>
      </c>
      <c r="T337" s="87">
        <v>0</v>
      </c>
      <c r="V337" s="87">
        <v>0</v>
      </c>
      <c r="X337" s="87">
        <v>0</v>
      </c>
      <c r="Y337" s="88">
        <v>3684031.5000000019</v>
      </c>
      <c r="Z337" s="87">
        <v>0</v>
      </c>
      <c r="AA337" s="87">
        <v>0</v>
      </c>
      <c r="AB337" s="89">
        <f t="shared" si="91"/>
        <v>0</v>
      </c>
      <c r="AC337" s="89">
        <f t="shared" si="92"/>
        <v>0</v>
      </c>
      <c r="AD337" s="89">
        <f t="shared" si="93"/>
        <v>0</v>
      </c>
      <c r="AE337" s="90">
        <f t="shared" si="94"/>
        <v>0</v>
      </c>
      <c r="AF337" s="90" t="str">
        <f t="shared" si="95"/>
        <v/>
      </c>
      <c r="AG337" s="90">
        <f t="shared" si="96"/>
        <v>0</v>
      </c>
      <c r="AH337" s="90" t="str">
        <f t="shared" si="97"/>
        <v/>
      </c>
      <c r="AI337" s="90">
        <f t="shared" si="98"/>
        <v>0</v>
      </c>
      <c r="AJ337" s="90" t="str">
        <f t="shared" si="99"/>
        <v/>
      </c>
      <c r="AK337" s="90" t="str">
        <f t="shared" si="100"/>
        <v/>
      </c>
      <c r="AL337" s="91">
        <f>IF(AK337="Adjust",(_xlfn.XLOOKUP(A337,'Adj factor'!A:A,'Adj factor'!I:I,,0)*AI337),'Master DataSheet'!AI337)</f>
        <v>0</v>
      </c>
      <c r="AM337" s="91">
        <f t="shared" si="101"/>
        <v>0</v>
      </c>
      <c r="AN337" s="92" t="str">
        <f t="shared" si="102"/>
        <v>No change</v>
      </c>
      <c r="AO337" s="93">
        <f>VLOOKUP(B337,'Growthrates source'!A$2:H$49,8,FALSE)</f>
        <v>-2.2233181875670249E-2</v>
      </c>
      <c r="AP337" s="93">
        <f>VLOOKUP(B337,'Growthrates source'!A$2:I$49,9,FALSE)</f>
        <v>0.11702326021234755</v>
      </c>
      <c r="AQ337" s="86">
        <f t="shared" si="103"/>
        <v>0</v>
      </c>
      <c r="AR337" s="86">
        <f t="shared" si="104"/>
        <v>0</v>
      </c>
      <c r="AS337" s="94">
        <f t="shared" si="105"/>
        <v>0</v>
      </c>
      <c r="AT337" s="94">
        <f t="shared" si="106"/>
        <v>0</v>
      </c>
      <c r="AU337" s="94">
        <f t="shared" si="107"/>
        <v>0</v>
      </c>
    </row>
    <row r="338" spans="1:47" x14ac:dyDescent="0.3">
      <c r="A338" s="85" t="str">
        <f>_xlfn.XLOOKUP(B338,'Country codes &amp; Data sources'!G:G,'Country codes &amp; Data sources'!H:H,,0)</f>
        <v>Ethiopia</v>
      </c>
      <c r="B338" s="85" t="s">
        <v>155</v>
      </c>
      <c r="C338" s="86">
        <v>94451279.50000006</v>
      </c>
      <c r="D338" s="85" t="s">
        <v>321</v>
      </c>
      <c r="E338" s="87">
        <v>0</v>
      </c>
      <c r="F338" s="88">
        <v>97084366.00000003</v>
      </c>
      <c r="G338" s="87">
        <v>0</v>
      </c>
      <c r="H338" s="87">
        <v>99746766.49999994</v>
      </c>
      <c r="I338" s="87">
        <v>0</v>
      </c>
      <c r="J338" s="87">
        <v>102471895.49999996</v>
      </c>
      <c r="K338" s="87">
        <v>0</v>
      </c>
      <c r="L338" s="87">
        <v>105293228.50000003</v>
      </c>
      <c r="M338" s="87">
        <v>296</v>
      </c>
      <c r="N338" s="87">
        <v>108197949.49999994</v>
      </c>
      <c r="O338" s="87">
        <v>0</v>
      </c>
      <c r="P338" s="88">
        <v>111129438.00000001</v>
      </c>
      <c r="Q338" s="87">
        <v>17026</v>
      </c>
      <c r="R338" s="87">
        <f t="shared" si="90"/>
        <v>17026</v>
      </c>
      <c r="S338" s="87">
        <v>114120593.49999996</v>
      </c>
      <c r="T338" s="87">
        <v>11734</v>
      </c>
      <c r="U338" s="87">
        <v>117190910.99999994</v>
      </c>
      <c r="V338" s="87">
        <v>27155</v>
      </c>
      <c r="W338" s="87">
        <v>120283026.00000006</v>
      </c>
      <c r="X338" s="87">
        <v>25424</v>
      </c>
      <c r="Y338" s="88">
        <v>123379924.50000004</v>
      </c>
      <c r="Z338" s="87">
        <v>35754</v>
      </c>
      <c r="AA338" s="87">
        <v>11263</v>
      </c>
      <c r="AB338" s="89">
        <f t="shared" si="91"/>
        <v>0</v>
      </c>
      <c r="AC338" s="89">
        <f t="shared" si="92"/>
        <v>17026</v>
      </c>
      <c r="AD338" s="89">
        <f t="shared" si="93"/>
        <v>35754</v>
      </c>
      <c r="AE338" s="90">
        <f t="shared" si="94"/>
        <v>0</v>
      </c>
      <c r="AF338" s="90" t="str">
        <f t="shared" si="95"/>
        <v/>
      </c>
      <c r="AG338" s="90">
        <f t="shared" si="96"/>
        <v>17026</v>
      </c>
      <c r="AH338" s="90">
        <f t="shared" si="97"/>
        <v>2018</v>
      </c>
      <c r="AI338" s="90">
        <f t="shared" si="98"/>
        <v>35754</v>
      </c>
      <c r="AJ338" s="90">
        <f t="shared" si="99"/>
        <v>2022</v>
      </c>
      <c r="AK338" s="90" t="str">
        <f t="shared" si="100"/>
        <v/>
      </c>
      <c r="AL338" s="91">
        <f>IF(AK338="Adjust",(_xlfn.XLOOKUP(A338,'Adj factor'!A:A,'Adj factor'!I:I,,0)*AI338),'Master DataSheet'!AI338)</f>
        <v>35754</v>
      </c>
      <c r="AM338" s="91">
        <f t="shared" si="101"/>
        <v>35754</v>
      </c>
      <c r="AN338" s="92" t="str">
        <f t="shared" si="102"/>
        <v>Increasing</v>
      </c>
      <c r="AO338" s="93">
        <f>VLOOKUP(B338,'Growthrates source'!A$2:H$49,8,FALSE)</f>
        <v>-4.0290808124875621E-2</v>
      </c>
      <c r="AP338" s="93">
        <f>VLOOKUP(B338,'Growthrates source'!A$2:I$49,9,FALSE)</f>
        <v>7.5715887821594663E-2</v>
      </c>
      <c r="AQ338" s="86">
        <f t="shared" si="103"/>
        <v>13776.676556035554</v>
      </c>
      <c r="AR338" s="86">
        <f t="shared" si="104"/>
        <v>14135.235906422564</v>
      </c>
      <c r="AS338" s="94">
        <f t="shared" si="105"/>
        <v>0</v>
      </c>
      <c r="AT338" s="94">
        <f t="shared" si="106"/>
        <v>1.5320872944574775</v>
      </c>
      <c r="AU338" s="94">
        <f t="shared" si="107"/>
        <v>2.8978782524704809</v>
      </c>
    </row>
    <row r="339" spans="1:47" x14ac:dyDescent="0.3">
      <c r="A339" s="85" t="str">
        <f>_xlfn.XLOOKUP(B339,'Country codes &amp; Data sources'!G:G,'Country codes &amp; Data sources'!H:H,,0)</f>
        <v>Ethiopia</v>
      </c>
      <c r="B339" s="85" t="s">
        <v>155</v>
      </c>
      <c r="C339" s="86">
        <v>94451280.500000104</v>
      </c>
      <c r="D339" s="85" t="s">
        <v>322</v>
      </c>
      <c r="E339" s="87">
        <v>0</v>
      </c>
      <c r="F339" s="88">
        <v>97084366.00000003</v>
      </c>
      <c r="G339" s="87">
        <v>0</v>
      </c>
      <c r="I339" s="87">
        <v>0</v>
      </c>
      <c r="K339" s="87">
        <v>0</v>
      </c>
      <c r="M339" s="87">
        <v>0</v>
      </c>
      <c r="O339" s="87">
        <v>176328</v>
      </c>
      <c r="P339" s="88">
        <v>111129438.00000001</v>
      </c>
      <c r="Q339" s="87">
        <v>123544</v>
      </c>
      <c r="R339" s="87">
        <f t="shared" si="90"/>
        <v>123544</v>
      </c>
      <c r="T339" s="87">
        <v>0</v>
      </c>
      <c r="V339" s="87">
        <v>139648</v>
      </c>
      <c r="X339" s="87">
        <v>139648</v>
      </c>
      <c r="Y339" s="88">
        <v>123379924.50000004</v>
      </c>
      <c r="Z339" s="87">
        <v>140492</v>
      </c>
      <c r="AA339" s="87">
        <v>61772</v>
      </c>
      <c r="AB339" s="89">
        <f t="shared" si="91"/>
        <v>0</v>
      </c>
      <c r="AC339" s="89">
        <f t="shared" si="92"/>
        <v>176328</v>
      </c>
      <c r="AD339" s="89">
        <f t="shared" si="93"/>
        <v>140492</v>
      </c>
      <c r="AE339" s="90">
        <f t="shared" si="94"/>
        <v>0</v>
      </c>
      <c r="AF339" s="90" t="str">
        <f t="shared" si="95"/>
        <v/>
      </c>
      <c r="AG339" s="90">
        <f t="shared" si="96"/>
        <v>123544</v>
      </c>
      <c r="AH339" s="90">
        <f t="shared" si="97"/>
        <v>2018</v>
      </c>
      <c r="AI339" s="90">
        <f t="shared" si="98"/>
        <v>140492</v>
      </c>
      <c r="AJ339" s="90">
        <f t="shared" si="99"/>
        <v>2022</v>
      </c>
      <c r="AK339" s="90" t="str">
        <f t="shared" si="100"/>
        <v/>
      </c>
      <c r="AL339" s="91">
        <f>IF(AK339="Adjust",(_xlfn.XLOOKUP(A339,'Adj factor'!A:A,'Adj factor'!I:I,,0)*AI339),'Master DataSheet'!AI339)</f>
        <v>140492</v>
      </c>
      <c r="AM339" s="91">
        <f t="shared" si="101"/>
        <v>140492</v>
      </c>
      <c r="AN339" s="92" t="str">
        <f t="shared" si="102"/>
        <v>Increasing</v>
      </c>
      <c r="AO339" s="93">
        <f>VLOOKUP(B339,'Growthrates source'!A$2:H$49,8,FALSE)</f>
        <v>-4.0290808124875621E-2</v>
      </c>
      <c r="AP339" s="93">
        <f>VLOOKUP(B339,'Growthrates source'!A$2:I$49,9,FALSE)</f>
        <v>7.5715887821594663E-2</v>
      </c>
      <c r="AQ339" s="86">
        <f t="shared" si="103"/>
        <v>75558.276144848467</v>
      </c>
      <c r="AR339" s="86">
        <f t="shared" si="104"/>
        <v>77524.797337435375</v>
      </c>
      <c r="AS339" s="94">
        <f t="shared" si="105"/>
        <v>0</v>
      </c>
      <c r="AT339" s="94">
        <f t="shared" si="106"/>
        <v>11.117126318950698</v>
      </c>
      <c r="AU339" s="94">
        <f t="shared" si="107"/>
        <v>11.386941641385098</v>
      </c>
    </row>
    <row r="340" spans="1:47" x14ac:dyDescent="0.3">
      <c r="A340" s="85" t="str">
        <f>_xlfn.XLOOKUP(B340,'Country codes &amp; Data sources'!G:G,'Country codes &amp; Data sources'!H:H,,0)</f>
        <v>Ethiopia</v>
      </c>
      <c r="B340" s="85" t="s">
        <v>155</v>
      </c>
      <c r="C340" s="86">
        <v>94451281.500000104</v>
      </c>
      <c r="D340" s="85" t="s">
        <v>323</v>
      </c>
      <c r="E340" s="87">
        <v>0</v>
      </c>
      <c r="F340" s="88">
        <v>97084366.00000003</v>
      </c>
      <c r="G340" s="87">
        <v>13850</v>
      </c>
      <c r="I340" s="87">
        <v>0</v>
      </c>
      <c r="K340" s="87">
        <v>0</v>
      </c>
      <c r="M340" s="87">
        <v>24138</v>
      </c>
      <c r="O340" s="87">
        <v>0</v>
      </c>
      <c r="P340" s="88">
        <v>111129438.00000001</v>
      </c>
      <c r="Q340" s="87">
        <v>32318</v>
      </c>
      <c r="R340" s="87">
        <f t="shared" si="90"/>
        <v>32318</v>
      </c>
      <c r="T340" s="87">
        <v>0</v>
      </c>
      <c r="V340" s="87">
        <v>40710</v>
      </c>
      <c r="X340" s="87">
        <v>40710</v>
      </c>
      <c r="Y340" s="88">
        <v>123379924.50000004</v>
      </c>
      <c r="Z340" s="87">
        <v>43986</v>
      </c>
      <c r="AA340" s="87">
        <v>16161</v>
      </c>
      <c r="AB340" s="89">
        <f t="shared" si="91"/>
        <v>13850</v>
      </c>
      <c r="AC340" s="89">
        <f t="shared" si="92"/>
        <v>32318</v>
      </c>
      <c r="AD340" s="89">
        <f t="shared" si="93"/>
        <v>43986</v>
      </c>
      <c r="AE340" s="90">
        <f t="shared" si="94"/>
        <v>13850</v>
      </c>
      <c r="AF340" s="90">
        <f t="shared" si="95"/>
        <v>2013</v>
      </c>
      <c r="AG340" s="90">
        <f t="shared" si="96"/>
        <v>32318</v>
      </c>
      <c r="AH340" s="90">
        <f t="shared" si="97"/>
        <v>2018</v>
      </c>
      <c r="AI340" s="90">
        <f t="shared" si="98"/>
        <v>43986</v>
      </c>
      <c r="AJ340" s="90">
        <f t="shared" si="99"/>
        <v>2022</v>
      </c>
      <c r="AK340" s="90" t="str">
        <f t="shared" si="100"/>
        <v/>
      </c>
      <c r="AL340" s="91">
        <f>IF(AK340="Adjust",(_xlfn.XLOOKUP(A340,'Adj factor'!A:A,'Adj factor'!I:I,,0)*AI340),'Master DataSheet'!AI340)</f>
        <v>43986</v>
      </c>
      <c r="AM340" s="91">
        <f t="shared" si="101"/>
        <v>43986</v>
      </c>
      <c r="AN340" s="92" t="str">
        <f t="shared" si="102"/>
        <v>Increasing</v>
      </c>
      <c r="AO340" s="93">
        <f>VLOOKUP(B340,'Growthrates source'!A$2:H$49,8,FALSE)</f>
        <v>-4.0290808124875621E-2</v>
      </c>
      <c r="AP340" s="93">
        <f>VLOOKUP(B340,'Growthrates source'!A$2:I$49,9,FALSE)</f>
        <v>7.5715887821594663E-2</v>
      </c>
      <c r="AQ340" s="86">
        <f t="shared" si="103"/>
        <v>19767.812289984071</v>
      </c>
      <c r="AR340" s="86">
        <f t="shared" si="104"/>
        <v>20282.300229396704</v>
      </c>
      <c r="AS340" s="94">
        <f t="shared" si="105"/>
        <v>1.4265942675054391</v>
      </c>
      <c r="AT340" s="94">
        <f t="shared" si="106"/>
        <v>2.9081403255184282</v>
      </c>
      <c r="AU340" s="94">
        <f t="shared" si="107"/>
        <v>3.5650856635108399</v>
      </c>
    </row>
    <row r="341" spans="1:47" x14ac:dyDescent="0.3">
      <c r="A341" s="85" t="str">
        <f>_xlfn.XLOOKUP(B341,'Country codes &amp; Data sources'!G:G,'Country codes &amp; Data sources'!H:H,,0)</f>
        <v>Ethiopia</v>
      </c>
      <c r="B341" s="85" t="s">
        <v>155</v>
      </c>
      <c r="C341" s="86">
        <v>94451282.500000104</v>
      </c>
      <c r="D341" s="85" t="s">
        <v>324</v>
      </c>
      <c r="E341" s="87">
        <v>328</v>
      </c>
      <c r="F341" s="88">
        <v>97084366.00000003</v>
      </c>
      <c r="G341" s="87">
        <v>0</v>
      </c>
      <c r="I341" s="87">
        <v>7329</v>
      </c>
      <c r="K341" s="87">
        <v>894</v>
      </c>
      <c r="M341" s="87">
        <v>2</v>
      </c>
      <c r="O341" s="87">
        <v>0</v>
      </c>
      <c r="P341" s="88">
        <v>111129438.00000001</v>
      </c>
      <c r="Q341" s="87">
        <v>995</v>
      </c>
      <c r="R341" s="87">
        <f t="shared" si="90"/>
        <v>10752</v>
      </c>
      <c r="T341" s="87">
        <v>15498</v>
      </c>
      <c r="V341" s="87">
        <v>17331</v>
      </c>
      <c r="X341" s="87">
        <v>0</v>
      </c>
      <c r="Y341" s="88">
        <v>123379924.50000004</v>
      </c>
      <c r="Z341" s="87">
        <v>75</v>
      </c>
      <c r="AA341" s="87">
        <v>10752</v>
      </c>
      <c r="AB341" s="89">
        <f t="shared" si="91"/>
        <v>7329</v>
      </c>
      <c r="AC341" s="89">
        <f t="shared" si="92"/>
        <v>15498</v>
      </c>
      <c r="AD341" s="89">
        <f t="shared" si="93"/>
        <v>17331</v>
      </c>
      <c r="AE341" s="90">
        <f t="shared" si="94"/>
        <v>328</v>
      </c>
      <c r="AF341" s="90">
        <f t="shared" si="95"/>
        <v>2012</v>
      </c>
      <c r="AG341" s="90">
        <f t="shared" si="96"/>
        <v>10752</v>
      </c>
      <c r="AH341" s="90" t="str">
        <f t="shared" si="97"/>
        <v>2018 (triag)</v>
      </c>
      <c r="AI341" s="90">
        <f t="shared" si="98"/>
        <v>75</v>
      </c>
      <c r="AJ341" s="90">
        <f t="shared" si="99"/>
        <v>2022</v>
      </c>
      <c r="AK341" s="90" t="str">
        <f t="shared" si="100"/>
        <v>Adjust</v>
      </c>
      <c r="AL341" s="91">
        <f>IF(AK341="Adjust",(_xlfn.XLOOKUP(A341,'Adj factor'!A:A,'Adj factor'!I:I,,0)*AI341),'Master DataSheet'!AI341)</f>
        <v>76.565209073190573</v>
      </c>
      <c r="AM341" s="60">
        <v>35964</v>
      </c>
      <c r="AN341" s="92" t="str">
        <f t="shared" si="102"/>
        <v>Decreasing</v>
      </c>
      <c r="AO341" s="93">
        <f>VLOOKUP(B341,'Growthrates source'!A$2:H$49,8,FALSE)</f>
        <v>-4.0290808124875621E-2</v>
      </c>
      <c r="AP341" s="93">
        <f>VLOOKUP(B341,'Growthrates source'!A$2:I$49,9,FALSE)</f>
        <v>7.5715887821594663E-2</v>
      </c>
      <c r="AQ341" s="86">
        <f t="shared" si="103"/>
        <v>13151.631566234066</v>
      </c>
      <c r="AR341" s="86">
        <f t="shared" si="104"/>
        <v>13493.923152433224</v>
      </c>
      <c r="AS341" s="94">
        <f t="shared" si="105"/>
        <v>3.3785048356807512E-2</v>
      </c>
      <c r="AT341" s="94">
        <f t="shared" si="106"/>
        <v>0.96752041524766808</v>
      </c>
      <c r="AU341" s="94">
        <f t="shared" si="107"/>
        <v>2.9148988496908981</v>
      </c>
    </row>
    <row r="342" spans="1:47" x14ac:dyDescent="0.3">
      <c r="A342" s="85" t="str">
        <f>_xlfn.XLOOKUP(B342,'Country codes &amp; Data sources'!G:G,'Country codes &amp; Data sources'!H:H,,0)</f>
        <v>Ethiopia</v>
      </c>
      <c r="B342" s="85" t="s">
        <v>155</v>
      </c>
      <c r="C342" s="86">
        <v>94451283.500000104</v>
      </c>
      <c r="D342" s="85" t="s">
        <v>325</v>
      </c>
      <c r="E342" s="87">
        <v>19</v>
      </c>
      <c r="F342" s="88">
        <v>97084366.00000003</v>
      </c>
      <c r="G342" s="87">
        <v>0</v>
      </c>
      <c r="I342" s="87">
        <v>1032</v>
      </c>
      <c r="K342" s="87">
        <v>275</v>
      </c>
      <c r="M342" s="87">
        <v>2</v>
      </c>
      <c r="O342" s="87">
        <v>0</v>
      </c>
      <c r="P342" s="88">
        <v>111129438.00000001</v>
      </c>
      <c r="Q342" s="87">
        <v>268</v>
      </c>
      <c r="R342" s="87">
        <f t="shared" si="90"/>
        <v>1889</v>
      </c>
      <c r="T342" s="87">
        <v>0</v>
      </c>
      <c r="V342" s="87">
        <v>16139</v>
      </c>
      <c r="X342" s="87">
        <v>0</v>
      </c>
      <c r="Y342" s="88">
        <v>123379924.50000004</v>
      </c>
      <c r="Z342" s="87">
        <v>121</v>
      </c>
      <c r="AA342" s="87">
        <v>1889</v>
      </c>
      <c r="AB342" s="89">
        <f t="shared" si="91"/>
        <v>1032</v>
      </c>
      <c r="AC342" s="89">
        <f t="shared" si="92"/>
        <v>268</v>
      </c>
      <c r="AD342" s="89">
        <f t="shared" si="93"/>
        <v>16139</v>
      </c>
      <c r="AE342" s="90">
        <f t="shared" si="94"/>
        <v>19</v>
      </c>
      <c r="AF342" s="90">
        <f t="shared" si="95"/>
        <v>2012</v>
      </c>
      <c r="AG342" s="90">
        <f t="shared" si="96"/>
        <v>1889</v>
      </c>
      <c r="AH342" s="90" t="str">
        <f t="shared" si="97"/>
        <v>2018 (triag)</v>
      </c>
      <c r="AI342" s="90">
        <f t="shared" si="98"/>
        <v>121</v>
      </c>
      <c r="AJ342" s="90">
        <f t="shared" si="99"/>
        <v>2022</v>
      </c>
      <c r="AK342" s="90" t="str">
        <f t="shared" si="100"/>
        <v>Adjust</v>
      </c>
      <c r="AL342" s="91">
        <f>IF(AK342="Adjust",(_xlfn.XLOOKUP(A342,'Adj factor'!A:A,'Adj factor'!I:I,,0)*AI342),'Master DataSheet'!AI342)</f>
        <v>123.52520397141411</v>
      </c>
      <c r="AM342" s="91">
        <f t="shared" si="101"/>
        <v>1889</v>
      </c>
      <c r="AN342" s="92" t="str">
        <f t="shared" si="102"/>
        <v>Decreasing</v>
      </c>
      <c r="AO342" s="93">
        <f>VLOOKUP(B342,'Growthrates source'!A$2:H$49,8,FALSE)</f>
        <v>-4.0290808124875621E-2</v>
      </c>
      <c r="AP342" s="93">
        <f>VLOOKUP(B342,'Growthrates source'!A$2:I$49,9,FALSE)</f>
        <v>7.5715887821594663E-2</v>
      </c>
      <c r="AQ342" s="86">
        <f t="shared" si="103"/>
        <v>2310.587056232901</v>
      </c>
      <c r="AR342" s="86">
        <f t="shared" si="104"/>
        <v>2370.7236639645052</v>
      </c>
      <c r="AS342" s="94">
        <f t="shared" si="105"/>
        <v>1.957060727985801E-3</v>
      </c>
      <c r="AT342" s="94">
        <f t="shared" si="106"/>
        <v>0.16998196283508604</v>
      </c>
      <c r="AU342" s="94">
        <f t="shared" si="107"/>
        <v>0.15310432452080155</v>
      </c>
    </row>
    <row r="343" spans="1:47" x14ac:dyDescent="0.3">
      <c r="A343" s="85" t="str">
        <f>_xlfn.XLOOKUP(B343,'Country codes &amp; Data sources'!G:G,'Country codes &amp; Data sources'!H:H,,0)</f>
        <v>Ethiopia</v>
      </c>
      <c r="B343" s="85" t="s">
        <v>155</v>
      </c>
      <c r="C343" s="86">
        <v>94451284.500000104</v>
      </c>
      <c r="D343" s="85" t="s">
        <v>127</v>
      </c>
      <c r="E343" s="87">
        <v>0</v>
      </c>
      <c r="F343" s="88">
        <v>97084366.00000003</v>
      </c>
      <c r="G343" s="87">
        <v>0</v>
      </c>
      <c r="I343" s="87">
        <v>0</v>
      </c>
      <c r="K343" s="87">
        <v>0</v>
      </c>
      <c r="M343" s="87">
        <v>0</v>
      </c>
      <c r="O343" s="87">
        <v>0</v>
      </c>
      <c r="P343" s="88">
        <v>111129438.00000001</v>
      </c>
      <c r="Q343" s="87">
        <v>37259</v>
      </c>
      <c r="R343" s="87">
        <f t="shared" si="90"/>
        <v>37259</v>
      </c>
      <c r="T343" s="87">
        <v>0</v>
      </c>
      <c r="V343" s="87">
        <v>42630</v>
      </c>
      <c r="X343" s="87">
        <v>42630</v>
      </c>
      <c r="Y343" s="88">
        <v>123379924.50000004</v>
      </c>
      <c r="Z343" s="87">
        <v>41101</v>
      </c>
      <c r="AA343" s="87">
        <v>37259</v>
      </c>
      <c r="AB343" s="89">
        <f t="shared" si="91"/>
        <v>0</v>
      </c>
      <c r="AC343" s="89">
        <f t="shared" si="92"/>
        <v>37259</v>
      </c>
      <c r="AD343" s="89">
        <f t="shared" si="93"/>
        <v>42630</v>
      </c>
      <c r="AE343" s="90">
        <f t="shared" si="94"/>
        <v>0</v>
      </c>
      <c r="AF343" s="90" t="str">
        <f t="shared" si="95"/>
        <v/>
      </c>
      <c r="AG343" s="90">
        <f t="shared" si="96"/>
        <v>37259</v>
      </c>
      <c r="AH343" s="90">
        <f t="shared" si="97"/>
        <v>2018</v>
      </c>
      <c r="AI343" s="90">
        <f t="shared" si="98"/>
        <v>41101</v>
      </c>
      <c r="AJ343" s="90">
        <f t="shared" si="99"/>
        <v>2022</v>
      </c>
      <c r="AK343" s="90" t="str">
        <f t="shared" si="100"/>
        <v/>
      </c>
      <c r="AL343" s="91">
        <f>IF(AK343="Adjust",(_xlfn.XLOOKUP(A343,'Adj factor'!A:A,'Adj factor'!I:I,,0)*AI343),'Master DataSheet'!AI343)</f>
        <v>41101</v>
      </c>
      <c r="AM343" s="91">
        <f t="shared" si="101"/>
        <v>41101</v>
      </c>
      <c r="AN343" s="92" t="str">
        <f t="shared" si="102"/>
        <v>Increasing</v>
      </c>
      <c r="AO343" s="93">
        <f>VLOOKUP(B343,'Growthrates source'!A$2:H$49,8,FALSE)</f>
        <v>-4.0290808124875621E-2</v>
      </c>
      <c r="AP343" s="93">
        <f>VLOOKUP(B343,'Growthrates source'!A$2:I$49,9,FALSE)</f>
        <v>7.5715887821594663E-2</v>
      </c>
      <c r="AQ343" s="86">
        <f t="shared" si="103"/>
        <v>45574.464334664714</v>
      </c>
      <c r="AR343" s="86">
        <f t="shared" si="104"/>
        <v>46760.610373559291</v>
      </c>
      <c r="AS343" s="94">
        <f t="shared" si="105"/>
        <v>0</v>
      </c>
      <c r="AT343" s="94">
        <f t="shared" si="106"/>
        <v>3.352756989556628</v>
      </c>
      <c r="AU343" s="94">
        <f t="shared" si="107"/>
        <v>3.3312550778874876</v>
      </c>
    </row>
    <row r="344" spans="1:47" x14ac:dyDescent="0.3">
      <c r="A344" s="85" t="str">
        <f>_xlfn.XLOOKUP(B344,'Country codes &amp; Data sources'!G:G,'Country codes &amp; Data sources'!H:H,,0)</f>
        <v>Ethiopia</v>
      </c>
      <c r="B344" s="85" t="s">
        <v>155</v>
      </c>
      <c r="C344" s="86">
        <v>94451285.500000104</v>
      </c>
      <c r="D344" s="85" t="s">
        <v>61</v>
      </c>
      <c r="E344" s="87">
        <v>50</v>
      </c>
      <c r="F344" s="88">
        <v>97084366.00000003</v>
      </c>
      <c r="G344" s="87">
        <v>0</v>
      </c>
      <c r="I344" s="87">
        <v>0</v>
      </c>
      <c r="K344" s="87">
        <v>35</v>
      </c>
      <c r="M344" s="87">
        <v>0</v>
      </c>
      <c r="O344" s="87">
        <v>0</v>
      </c>
      <c r="P344" s="88">
        <v>111129438.00000001</v>
      </c>
      <c r="Q344" s="87">
        <v>1385</v>
      </c>
      <c r="R344" s="87">
        <f t="shared" si="90"/>
        <v>1385</v>
      </c>
      <c r="T344" s="87">
        <v>0</v>
      </c>
      <c r="V344" s="87">
        <v>0</v>
      </c>
      <c r="X344" s="87">
        <v>0</v>
      </c>
      <c r="Y344" s="88">
        <v>123379924.50000004</v>
      </c>
      <c r="Z344" s="87">
        <v>0</v>
      </c>
      <c r="AA344" s="87">
        <v>147</v>
      </c>
      <c r="AB344" s="89">
        <f t="shared" si="91"/>
        <v>50</v>
      </c>
      <c r="AC344" s="89">
        <f t="shared" si="92"/>
        <v>1385</v>
      </c>
      <c r="AD344" s="89">
        <f t="shared" si="93"/>
        <v>0</v>
      </c>
      <c r="AE344" s="90">
        <f t="shared" si="94"/>
        <v>50</v>
      </c>
      <c r="AF344" s="90">
        <f t="shared" si="95"/>
        <v>2012</v>
      </c>
      <c r="AG344" s="90">
        <f t="shared" si="96"/>
        <v>1385</v>
      </c>
      <c r="AH344" s="90">
        <f t="shared" si="97"/>
        <v>2018</v>
      </c>
      <c r="AI344" s="90">
        <f t="shared" si="98"/>
        <v>1385</v>
      </c>
      <c r="AJ344" s="90">
        <f t="shared" si="99"/>
        <v>2018</v>
      </c>
      <c r="AK344" s="90" t="str">
        <f t="shared" si="100"/>
        <v/>
      </c>
      <c r="AL344" s="91">
        <f>IF(AK344="Adjust",(_xlfn.XLOOKUP(A344,'Adj factor'!A:A,'Adj factor'!I:I,,0)*AI344),'Master DataSheet'!AI344)</f>
        <v>1385</v>
      </c>
      <c r="AM344" s="91">
        <f t="shared" si="101"/>
        <v>1385</v>
      </c>
      <c r="AN344" s="92" t="str">
        <f t="shared" si="102"/>
        <v>No change</v>
      </c>
      <c r="AO344" s="93">
        <f>VLOOKUP(B344,'Growthrates source'!A$2:H$49,8,FALSE)</f>
        <v>-4.0290808124875621E-2</v>
      </c>
      <c r="AP344" s="93">
        <f>VLOOKUP(B344,'Growthrates source'!A$2:I$49,9,FALSE)</f>
        <v>7.5715887821594663E-2</v>
      </c>
      <c r="AQ344" s="86">
        <f t="shared" si="103"/>
        <v>179.80746281960637</v>
      </c>
      <c r="AR344" s="86">
        <f t="shared" si="104"/>
        <v>184.48723059967298</v>
      </c>
      <c r="AS344" s="94">
        <f t="shared" si="105"/>
        <v>5.1501598104889499E-3</v>
      </c>
      <c r="AT344" s="94">
        <f t="shared" si="106"/>
        <v>0.12462944337035159</v>
      </c>
      <c r="AU344" s="94">
        <f t="shared" si="107"/>
        <v>0.11225489119179996</v>
      </c>
    </row>
    <row r="345" spans="1:47" x14ac:dyDescent="0.3">
      <c r="A345" s="85" t="str">
        <f>_xlfn.XLOOKUP(B345,'Country codes &amp; Data sources'!G:G,'Country codes &amp; Data sources'!H:H,,0)</f>
        <v>Ethiopia</v>
      </c>
      <c r="B345" s="85" t="s">
        <v>155</v>
      </c>
      <c r="C345" s="86">
        <v>94451286.500000104</v>
      </c>
      <c r="D345" s="85" t="s">
        <v>62</v>
      </c>
      <c r="E345" s="87">
        <v>461</v>
      </c>
      <c r="F345" s="88">
        <v>97084366.00000003</v>
      </c>
      <c r="G345" s="87">
        <v>0</v>
      </c>
      <c r="I345" s="87">
        <v>2970</v>
      </c>
      <c r="K345" s="87">
        <v>0</v>
      </c>
      <c r="M345" s="87">
        <v>64</v>
      </c>
      <c r="O345" s="87">
        <v>0</v>
      </c>
      <c r="P345" s="88">
        <v>111129438.00000001</v>
      </c>
      <c r="Q345" s="87">
        <v>665</v>
      </c>
      <c r="R345" s="87">
        <f t="shared" si="90"/>
        <v>2662</v>
      </c>
      <c r="T345" s="87">
        <v>0</v>
      </c>
      <c r="V345" s="87">
        <v>1234</v>
      </c>
      <c r="X345" s="87">
        <v>0</v>
      </c>
      <c r="Y345" s="88">
        <v>123379924.50000004</v>
      </c>
      <c r="Z345" s="113">
        <v>5410</v>
      </c>
      <c r="AA345" s="87">
        <v>2662</v>
      </c>
      <c r="AB345" s="89">
        <f t="shared" si="91"/>
        <v>2970</v>
      </c>
      <c r="AC345" s="89">
        <f t="shared" si="92"/>
        <v>665</v>
      </c>
      <c r="AD345" s="89">
        <f t="shared" si="93"/>
        <v>5410</v>
      </c>
      <c r="AE345" s="90">
        <f t="shared" si="94"/>
        <v>461</v>
      </c>
      <c r="AF345" s="90">
        <f t="shared" si="95"/>
        <v>2012</v>
      </c>
      <c r="AG345" s="90">
        <f t="shared" si="96"/>
        <v>2662</v>
      </c>
      <c r="AH345" s="90" t="str">
        <f t="shared" si="97"/>
        <v>2018 (triag)</v>
      </c>
      <c r="AI345" s="90">
        <f t="shared" si="98"/>
        <v>5410</v>
      </c>
      <c r="AJ345" s="90">
        <f t="shared" si="99"/>
        <v>2022</v>
      </c>
      <c r="AK345" s="90" t="str">
        <f t="shared" si="100"/>
        <v/>
      </c>
      <c r="AL345" s="91">
        <f>IF(AK345="Adjust",(_xlfn.XLOOKUP(A345,'Adj factor'!A:A,'Adj factor'!I:I,,0)*AI345),'Master DataSheet'!AI345)</f>
        <v>5410</v>
      </c>
      <c r="AM345" s="62">
        <v>8932</v>
      </c>
      <c r="AN345" s="92" t="str">
        <f t="shared" si="102"/>
        <v>Increasing</v>
      </c>
      <c r="AO345" s="93">
        <f>VLOOKUP(B345,'Growthrates source'!A$2:H$49,8,FALSE)</f>
        <v>-4.0290808124875621E-2</v>
      </c>
      <c r="AP345" s="93">
        <f>VLOOKUP(B345,'Growthrates source'!A$2:I$49,9,FALSE)</f>
        <v>7.5715887821594663E-2</v>
      </c>
      <c r="AQ345" s="86">
        <f t="shared" si="103"/>
        <v>3256.1052110598102</v>
      </c>
      <c r="AR345" s="86">
        <f t="shared" si="104"/>
        <v>3340.8503935804729</v>
      </c>
      <c r="AS345" s="94">
        <f t="shared" si="105"/>
        <v>4.748447345270812E-2</v>
      </c>
      <c r="AT345" s="94">
        <f t="shared" si="106"/>
        <v>0.2395404897125458</v>
      </c>
      <c r="AU345" s="94">
        <f t="shared" si="107"/>
        <v>0.72394273510841678</v>
      </c>
    </row>
    <row r="346" spans="1:47" x14ac:dyDescent="0.3">
      <c r="A346" s="85" t="str">
        <f>_xlfn.XLOOKUP(B346,'Country codes &amp; Data sources'!G:G,'Country codes &amp; Data sources'!H:H,,0)</f>
        <v>Ethiopia</v>
      </c>
      <c r="B346" s="85" t="s">
        <v>155</v>
      </c>
      <c r="C346" s="86">
        <v>94451287.500000104</v>
      </c>
      <c r="D346" s="85" t="s">
        <v>203</v>
      </c>
      <c r="E346" s="87">
        <v>0</v>
      </c>
      <c r="F346" s="88">
        <v>97084366.00000003</v>
      </c>
      <c r="G346" s="87">
        <v>0</v>
      </c>
      <c r="I346" s="87">
        <v>0</v>
      </c>
      <c r="K346" s="87">
        <v>0</v>
      </c>
      <c r="M346" s="87">
        <v>0</v>
      </c>
      <c r="O346" s="87">
        <v>0</v>
      </c>
      <c r="P346" s="88">
        <v>111129438.00000001</v>
      </c>
      <c r="Q346" s="87">
        <v>0</v>
      </c>
      <c r="R346" s="87">
        <f t="shared" si="90"/>
        <v>0</v>
      </c>
      <c r="T346" s="87">
        <v>0</v>
      </c>
      <c r="V346" s="87">
        <v>0</v>
      </c>
      <c r="X346" s="87">
        <v>0</v>
      </c>
      <c r="Y346" s="88">
        <v>123379924.50000004</v>
      </c>
      <c r="Z346" s="87">
        <v>0</v>
      </c>
      <c r="AA346" s="87">
        <v>0</v>
      </c>
      <c r="AB346" s="89">
        <f t="shared" si="91"/>
        <v>0</v>
      </c>
      <c r="AC346" s="89">
        <f t="shared" si="92"/>
        <v>0</v>
      </c>
      <c r="AD346" s="89">
        <f t="shared" si="93"/>
        <v>0</v>
      </c>
      <c r="AE346" s="90">
        <f t="shared" si="94"/>
        <v>0</v>
      </c>
      <c r="AF346" s="90" t="str">
        <f t="shared" si="95"/>
        <v/>
      </c>
      <c r="AG346" s="90">
        <f t="shared" si="96"/>
        <v>0</v>
      </c>
      <c r="AH346" s="90" t="str">
        <f t="shared" si="97"/>
        <v/>
      </c>
      <c r="AI346" s="90">
        <f t="shared" si="98"/>
        <v>0</v>
      </c>
      <c r="AJ346" s="90" t="str">
        <f t="shared" si="99"/>
        <v/>
      </c>
      <c r="AK346" s="90" t="str">
        <f t="shared" si="100"/>
        <v/>
      </c>
      <c r="AL346" s="91">
        <f>IF(AK346="Adjust",(_xlfn.XLOOKUP(A346,'Adj factor'!A:A,'Adj factor'!I:I,,0)*AI346),'Master DataSheet'!AI346)</f>
        <v>0</v>
      </c>
      <c r="AM346" s="91">
        <f t="shared" si="101"/>
        <v>0</v>
      </c>
      <c r="AN346" s="92" t="str">
        <f t="shared" si="102"/>
        <v>No change</v>
      </c>
      <c r="AO346" s="93">
        <f>VLOOKUP(B346,'Growthrates source'!A$2:H$49,8,FALSE)</f>
        <v>-4.0290808124875621E-2</v>
      </c>
      <c r="AP346" s="93">
        <f>VLOOKUP(B346,'Growthrates source'!A$2:I$49,9,FALSE)</f>
        <v>7.5715887821594663E-2</v>
      </c>
      <c r="AQ346" s="86">
        <f t="shared" si="103"/>
        <v>0</v>
      </c>
      <c r="AR346" s="86">
        <f t="shared" si="104"/>
        <v>0</v>
      </c>
      <c r="AS346" s="94">
        <f t="shared" si="105"/>
        <v>0</v>
      </c>
      <c r="AT346" s="94">
        <f t="shared" si="106"/>
        <v>0</v>
      </c>
      <c r="AU346" s="94">
        <f t="shared" si="107"/>
        <v>0</v>
      </c>
    </row>
    <row r="347" spans="1:47" x14ac:dyDescent="0.3">
      <c r="A347" s="85" t="str">
        <f>_xlfn.XLOOKUP(B347,'Country codes &amp; Data sources'!G:G,'Country codes &amp; Data sources'!H:H,,0)</f>
        <v>Ethiopia</v>
      </c>
      <c r="B347" s="85" t="s">
        <v>155</v>
      </c>
      <c r="C347" s="86">
        <v>94451288.500000104</v>
      </c>
      <c r="D347" s="85" t="s">
        <v>204</v>
      </c>
      <c r="E347" s="87">
        <v>0</v>
      </c>
      <c r="F347" s="88">
        <v>97084366.00000003</v>
      </c>
      <c r="G347" s="87">
        <v>0</v>
      </c>
      <c r="I347" s="87">
        <v>0</v>
      </c>
      <c r="K347" s="87">
        <v>0</v>
      </c>
      <c r="M347" s="87">
        <v>0</v>
      </c>
      <c r="O347" s="87">
        <v>0</v>
      </c>
      <c r="P347" s="88">
        <v>111129438.00000001</v>
      </c>
      <c r="Q347" s="87">
        <v>0</v>
      </c>
      <c r="R347" s="87">
        <f t="shared" si="90"/>
        <v>4365</v>
      </c>
      <c r="T347" s="87">
        <v>0</v>
      </c>
      <c r="V347" s="87">
        <v>0</v>
      </c>
      <c r="X347" s="87">
        <v>0</v>
      </c>
      <c r="Y347" s="88">
        <v>123379924.50000004</v>
      </c>
      <c r="Z347" s="87">
        <v>0</v>
      </c>
      <c r="AA347" s="87">
        <v>4365</v>
      </c>
      <c r="AB347" s="89">
        <f t="shared" si="91"/>
        <v>0</v>
      </c>
      <c r="AC347" s="89">
        <f t="shared" si="92"/>
        <v>0</v>
      </c>
      <c r="AD347" s="89">
        <f t="shared" si="93"/>
        <v>0</v>
      </c>
      <c r="AE347" s="90">
        <f t="shared" si="94"/>
        <v>0</v>
      </c>
      <c r="AF347" s="90" t="str">
        <f t="shared" si="95"/>
        <v/>
      </c>
      <c r="AG347" s="90">
        <f t="shared" si="96"/>
        <v>4365</v>
      </c>
      <c r="AH347" s="90" t="str">
        <f t="shared" si="97"/>
        <v>2018 (triag)</v>
      </c>
      <c r="AI347" s="90">
        <f t="shared" si="98"/>
        <v>4365</v>
      </c>
      <c r="AJ347" s="90" t="str">
        <f t="shared" si="99"/>
        <v>2018 (triag)</v>
      </c>
      <c r="AK347" s="90" t="str">
        <f t="shared" si="100"/>
        <v/>
      </c>
      <c r="AL347" s="91">
        <f>IF(AK347="Adjust",(_xlfn.XLOOKUP(A347,'Adj factor'!A:A,'Adj factor'!I:I,,0)*AI347),'Master DataSheet'!AI347)</f>
        <v>4365</v>
      </c>
      <c r="AM347" s="91">
        <f t="shared" si="101"/>
        <v>4365</v>
      </c>
      <c r="AN347" s="92" t="str">
        <f t="shared" si="102"/>
        <v>No change</v>
      </c>
      <c r="AO347" s="93">
        <f>VLOOKUP(B347,'Growthrates source'!A$2:H$49,8,FALSE)</f>
        <v>-4.0290808124875621E-2</v>
      </c>
      <c r="AP347" s="93">
        <f>VLOOKUP(B347,'Growthrates source'!A$2:I$49,9,FALSE)</f>
        <v>7.5715887821594663E-2</v>
      </c>
      <c r="AQ347" s="86">
        <f t="shared" si="103"/>
        <v>5339.1807837250462</v>
      </c>
      <c r="AR347" s="86">
        <f t="shared" si="104"/>
        <v>5478.1412351535555</v>
      </c>
      <c r="AS347" s="94">
        <f t="shared" si="105"/>
        <v>0</v>
      </c>
      <c r="AT347" s="94">
        <f t="shared" si="106"/>
        <v>0.39278521322136078</v>
      </c>
      <c r="AU347" s="94">
        <f t="shared" si="107"/>
        <v>0.35378527079581723</v>
      </c>
    </row>
    <row r="348" spans="1:47" x14ac:dyDescent="0.3">
      <c r="A348" s="85" t="str">
        <f>_xlfn.XLOOKUP(B348,'Country codes &amp; Data sources'!G:G,'Country codes &amp; Data sources'!H:H,,0)</f>
        <v>Ethiopia</v>
      </c>
      <c r="B348" s="85" t="s">
        <v>155</v>
      </c>
      <c r="C348" s="86">
        <v>94451289.500000104</v>
      </c>
      <c r="D348" s="85" t="s">
        <v>205</v>
      </c>
      <c r="E348" s="87">
        <v>0</v>
      </c>
      <c r="F348" s="88">
        <v>97084366.00000003</v>
      </c>
      <c r="G348" s="87">
        <v>0</v>
      </c>
      <c r="I348" s="87">
        <v>0</v>
      </c>
      <c r="K348" s="87">
        <v>0</v>
      </c>
      <c r="M348" s="87">
        <v>0</v>
      </c>
      <c r="O348" s="87">
        <v>0</v>
      </c>
      <c r="P348" s="88">
        <v>111129438.00000001</v>
      </c>
      <c r="Q348" s="87">
        <v>0</v>
      </c>
      <c r="R348" s="87">
        <f t="shared" si="90"/>
        <v>52</v>
      </c>
      <c r="T348" s="87">
        <v>0</v>
      </c>
      <c r="V348" s="87">
        <v>22</v>
      </c>
      <c r="X348" s="87">
        <v>17</v>
      </c>
      <c r="Y348" s="88">
        <v>123379924.50000004</v>
      </c>
      <c r="Z348" s="87">
        <v>130</v>
      </c>
      <c r="AA348" s="87">
        <v>52</v>
      </c>
      <c r="AB348" s="89">
        <f t="shared" si="91"/>
        <v>0</v>
      </c>
      <c r="AC348" s="89">
        <f t="shared" si="92"/>
        <v>0</v>
      </c>
      <c r="AD348" s="89">
        <f t="shared" si="93"/>
        <v>130</v>
      </c>
      <c r="AE348" s="90">
        <f t="shared" si="94"/>
        <v>0</v>
      </c>
      <c r="AF348" s="90" t="str">
        <f t="shared" si="95"/>
        <v/>
      </c>
      <c r="AG348" s="90">
        <f t="shared" si="96"/>
        <v>52</v>
      </c>
      <c r="AH348" s="90" t="str">
        <f t="shared" si="97"/>
        <v>2018 (triag)</v>
      </c>
      <c r="AI348" s="90">
        <f t="shared" si="98"/>
        <v>130</v>
      </c>
      <c r="AJ348" s="90">
        <f t="shared" si="99"/>
        <v>2022</v>
      </c>
      <c r="AK348" s="90" t="str">
        <f t="shared" si="100"/>
        <v/>
      </c>
      <c r="AL348" s="91">
        <f>IF(AK348="Adjust",(_xlfn.XLOOKUP(A348,'Adj factor'!A:A,'Adj factor'!I:I,,0)*AI348),'Master DataSheet'!AI348)</f>
        <v>130</v>
      </c>
      <c r="AM348" s="91">
        <f t="shared" si="101"/>
        <v>130</v>
      </c>
      <c r="AN348" s="92" t="str">
        <f t="shared" si="102"/>
        <v>Increasing</v>
      </c>
      <c r="AO348" s="93">
        <f>VLOOKUP(B348,'Growthrates source'!A$2:H$49,8,FALSE)</f>
        <v>-4.0290808124875621E-2</v>
      </c>
      <c r="AP348" s="93">
        <f>VLOOKUP(B348,'Growthrates source'!A$2:I$49,9,FALSE)</f>
        <v>7.5715887821594663E-2</v>
      </c>
      <c r="AQ348" s="86">
        <f t="shared" si="103"/>
        <v>63.605360997411772</v>
      </c>
      <c r="AR348" s="86">
        <f t="shared" si="104"/>
        <v>65.260789055666635</v>
      </c>
      <c r="AS348" s="94">
        <f t="shared" si="105"/>
        <v>0</v>
      </c>
      <c r="AT348" s="94">
        <f t="shared" si="106"/>
        <v>4.6792281987424423E-3</v>
      </c>
      <c r="AU348" s="94">
        <f t="shared" si="107"/>
        <v>1.0536560184067867E-2</v>
      </c>
    </row>
    <row r="349" spans="1:47" x14ac:dyDescent="0.3">
      <c r="A349" s="85" t="str">
        <f>_xlfn.XLOOKUP(B349,'Country codes &amp; Data sources'!G:G,'Country codes &amp; Data sources'!H:H,,0)</f>
        <v>Ethiopia</v>
      </c>
      <c r="B349" s="85" t="s">
        <v>155</v>
      </c>
      <c r="C349" s="86">
        <v>94451290.500000104</v>
      </c>
      <c r="D349" s="85" t="s">
        <v>133</v>
      </c>
      <c r="E349" s="87">
        <v>0</v>
      </c>
      <c r="F349" s="88">
        <v>97084366.00000003</v>
      </c>
      <c r="G349" s="87">
        <v>0</v>
      </c>
      <c r="I349" s="87">
        <v>0</v>
      </c>
      <c r="K349" s="87">
        <v>0</v>
      </c>
      <c r="M349" s="87">
        <v>0</v>
      </c>
      <c r="O349" s="87">
        <v>0</v>
      </c>
      <c r="P349" s="88">
        <v>111129438.00000001</v>
      </c>
      <c r="Q349" s="87">
        <v>10450</v>
      </c>
      <c r="R349" s="87">
        <f t="shared" si="90"/>
        <v>10450</v>
      </c>
      <c r="T349" s="87">
        <v>0</v>
      </c>
      <c r="V349" s="87">
        <v>8005</v>
      </c>
      <c r="X349" s="87">
        <v>0</v>
      </c>
      <c r="Y349" s="88">
        <v>123379924.50000004</v>
      </c>
      <c r="Z349" s="113">
        <v>23757</v>
      </c>
      <c r="AA349" s="87">
        <v>672</v>
      </c>
      <c r="AB349" s="89">
        <f t="shared" si="91"/>
        <v>0</v>
      </c>
      <c r="AC349" s="89">
        <f t="shared" si="92"/>
        <v>10450</v>
      </c>
      <c r="AD349" s="89">
        <f t="shared" si="93"/>
        <v>23757</v>
      </c>
      <c r="AE349" s="90">
        <f t="shared" si="94"/>
        <v>0</v>
      </c>
      <c r="AF349" s="90" t="str">
        <f t="shared" si="95"/>
        <v/>
      </c>
      <c r="AG349" s="90">
        <f t="shared" si="96"/>
        <v>10450</v>
      </c>
      <c r="AH349" s="90">
        <f t="shared" si="97"/>
        <v>2018</v>
      </c>
      <c r="AI349" s="90">
        <f t="shared" si="98"/>
        <v>23757</v>
      </c>
      <c r="AJ349" s="90">
        <f t="shared" si="99"/>
        <v>2022</v>
      </c>
      <c r="AK349" s="90" t="str">
        <f t="shared" si="100"/>
        <v/>
      </c>
      <c r="AL349" s="91">
        <f>IF(AK349="Adjust",(_xlfn.XLOOKUP(A349,'Adj factor'!A:A,'Adj factor'!I:I,,0)*AI349),'Master DataSheet'!AI349)</f>
        <v>23757</v>
      </c>
      <c r="AM349" s="91">
        <f t="shared" si="101"/>
        <v>23757</v>
      </c>
      <c r="AN349" s="92" t="str">
        <f t="shared" si="102"/>
        <v>Increasing</v>
      </c>
      <c r="AO349" s="93">
        <f>VLOOKUP(B349,'Growthrates source'!A$2:H$49,8,FALSE)</f>
        <v>-4.0290808124875621E-2</v>
      </c>
      <c r="AP349" s="93">
        <f>VLOOKUP(B349,'Growthrates source'!A$2:I$49,9,FALSE)</f>
        <v>7.5715887821594663E-2</v>
      </c>
      <c r="AQ349" s="86">
        <f t="shared" si="103"/>
        <v>821.97697288962911</v>
      </c>
      <c r="AR349" s="86">
        <f t="shared" si="104"/>
        <v>843.37019702707653</v>
      </c>
      <c r="AS349" s="94">
        <f t="shared" si="105"/>
        <v>0</v>
      </c>
      <c r="AT349" s="94">
        <f t="shared" si="106"/>
        <v>0.94034489763189466</v>
      </c>
      <c r="AU349" s="94">
        <f t="shared" si="107"/>
        <v>1.9255158484069255</v>
      </c>
    </row>
    <row r="350" spans="1:47" x14ac:dyDescent="0.3">
      <c r="A350" s="85" t="str">
        <f>_xlfn.XLOOKUP(B350,'Country codes &amp; Data sources'!G:G,'Country codes &amp; Data sources'!H:H,,0)</f>
        <v>Ethiopia</v>
      </c>
      <c r="B350" s="85" t="s">
        <v>155</v>
      </c>
      <c r="C350" s="86">
        <v>94451291.500000104</v>
      </c>
      <c r="D350" s="85" t="s">
        <v>206</v>
      </c>
      <c r="E350" s="87">
        <v>0</v>
      </c>
      <c r="F350" s="88">
        <v>97084366.00000003</v>
      </c>
      <c r="G350" s="87">
        <v>0</v>
      </c>
      <c r="I350" s="87">
        <v>0</v>
      </c>
      <c r="K350" s="87">
        <v>0</v>
      </c>
      <c r="M350" s="87">
        <v>0</v>
      </c>
      <c r="O350" s="87">
        <v>0</v>
      </c>
      <c r="P350" s="88">
        <v>111129438.00000001</v>
      </c>
      <c r="Q350" s="87">
        <v>0</v>
      </c>
      <c r="R350" s="87">
        <f t="shared" si="90"/>
        <v>11536</v>
      </c>
      <c r="T350" s="87">
        <v>0</v>
      </c>
      <c r="V350" s="87">
        <v>0</v>
      </c>
      <c r="X350" s="87">
        <v>0</v>
      </c>
      <c r="Y350" s="88">
        <v>123379924.50000004</v>
      </c>
      <c r="Z350" s="87">
        <v>0</v>
      </c>
      <c r="AA350" s="87">
        <v>11536</v>
      </c>
      <c r="AB350" s="89">
        <f t="shared" si="91"/>
        <v>0</v>
      </c>
      <c r="AC350" s="89">
        <f t="shared" si="92"/>
        <v>0</v>
      </c>
      <c r="AD350" s="89">
        <f t="shared" si="93"/>
        <v>0</v>
      </c>
      <c r="AE350" s="90">
        <f t="shared" si="94"/>
        <v>0</v>
      </c>
      <c r="AF350" s="90" t="str">
        <f t="shared" si="95"/>
        <v/>
      </c>
      <c r="AG350" s="90">
        <f t="shared" si="96"/>
        <v>11536</v>
      </c>
      <c r="AH350" s="90" t="str">
        <f t="shared" si="97"/>
        <v>2018 (triag)</v>
      </c>
      <c r="AI350" s="90">
        <f t="shared" si="98"/>
        <v>11536</v>
      </c>
      <c r="AJ350" s="90" t="str">
        <f t="shared" si="99"/>
        <v>2018 (triag)</v>
      </c>
      <c r="AK350" s="90" t="str">
        <f t="shared" si="100"/>
        <v/>
      </c>
      <c r="AL350" s="91">
        <f>IF(AK350="Adjust",(_xlfn.XLOOKUP(A350,'Adj factor'!A:A,'Adj factor'!I:I,,0)*AI350),'Master DataSheet'!AI350)</f>
        <v>11536</v>
      </c>
      <c r="AM350" s="91">
        <f t="shared" si="101"/>
        <v>11536</v>
      </c>
      <c r="AN350" s="92" t="str">
        <f t="shared" si="102"/>
        <v>No change</v>
      </c>
      <c r="AO350" s="93">
        <f>VLOOKUP(B350,'Growthrates source'!A$2:H$49,8,FALSE)</f>
        <v>-4.0290808124875621E-2</v>
      </c>
      <c r="AP350" s="93">
        <f>VLOOKUP(B350,'Growthrates source'!A$2:I$49,9,FALSE)</f>
        <v>7.5715887821594663E-2</v>
      </c>
      <c r="AQ350" s="86">
        <f t="shared" si="103"/>
        <v>14110.604701271966</v>
      </c>
      <c r="AR350" s="86">
        <f t="shared" si="104"/>
        <v>14477.855048964815</v>
      </c>
      <c r="AS350" s="94">
        <f t="shared" si="105"/>
        <v>0</v>
      </c>
      <c r="AT350" s="94">
        <f t="shared" si="106"/>
        <v>1.0380687788594771</v>
      </c>
      <c r="AU350" s="94">
        <f t="shared" si="107"/>
        <v>0.93499814064159159</v>
      </c>
    </row>
    <row r="351" spans="1:47" x14ac:dyDescent="0.3">
      <c r="A351" s="85" t="str">
        <f>_xlfn.XLOOKUP(B351,'Country codes &amp; Data sources'!G:G,'Country codes &amp; Data sources'!H:H,,0)</f>
        <v>Ethiopia</v>
      </c>
      <c r="B351" s="85" t="s">
        <v>155</v>
      </c>
      <c r="C351" s="86">
        <v>94451292.500000104</v>
      </c>
      <c r="D351" s="85" t="s">
        <v>136</v>
      </c>
      <c r="E351" s="87">
        <v>0</v>
      </c>
      <c r="F351" s="88">
        <v>97084366.00000003</v>
      </c>
      <c r="G351" s="87">
        <v>0</v>
      </c>
      <c r="I351" s="87">
        <v>0</v>
      </c>
      <c r="K351" s="87">
        <v>0</v>
      </c>
      <c r="M351" s="87">
        <v>0</v>
      </c>
      <c r="O351" s="87">
        <v>0</v>
      </c>
      <c r="P351" s="88">
        <v>111129438.00000001</v>
      </c>
      <c r="Q351" s="87">
        <v>0</v>
      </c>
      <c r="R351" s="87">
        <f t="shared" si="90"/>
        <v>1041</v>
      </c>
      <c r="T351" s="87">
        <v>0</v>
      </c>
      <c r="V351" s="87">
        <v>0</v>
      </c>
      <c r="X351" s="87">
        <v>0</v>
      </c>
      <c r="Y351" s="88">
        <v>123379924.50000004</v>
      </c>
      <c r="Z351" s="113">
        <f>2139+374</f>
        <v>2513</v>
      </c>
      <c r="AA351" s="87">
        <v>1041</v>
      </c>
      <c r="AB351" s="89">
        <f t="shared" si="91"/>
        <v>0</v>
      </c>
      <c r="AC351" s="89">
        <f t="shared" si="92"/>
        <v>0</v>
      </c>
      <c r="AD351" s="89">
        <f t="shared" si="93"/>
        <v>2513</v>
      </c>
      <c r="AE351" s="90">
        <f t="shared" si="94"/>
        <v>0</v>
      </c>
      <c r="AF351" s="90" t="str">
        <f t="shared" si="95"/>
        <v/>
      </c>
      <c r="AG351" s="90">
        <f t="shared" si="96"/>
        <v>1041</v>
      </c>
      <c r="AH351" s="90" t="str">
        <f t="shared" si="97"/>
        <v>2018 (triag)</v>
      </c>
      <c r="AI351" s="90">
        <f t="shared" si="98"/>
        <v>2513</v>
      </c>
      <c r="AJ351" s="90">
        <f t="shared" si="99"/>
        <v>2022</v>
      </c>
      <c r="AK351" s="90" t="str">
        <f t="shared" si="100"/>
        <v/>
      </c>
      <c r="AL351" s="91">
        <f>IF(AK351="Adjust",(_xlfn.XLOOKUP(A351,'Adj factor'!A:A,'Adj factor'!I:I,,0)*AI351),'Master DataSheet'!AI351)</f>
        <v>2513</v>
      </c>
      <c r="AM351" s="91">
        <f t="shared" si="101"/>
        <v>2513</v>
      </c>
      <c r="AN351" s="92" t="str">
        <f t="shared" si="102"/>
        <v>Increasing</v>
      </c>
      <c r="AO351" s="93">
        <f>VLOOKUP(B351,'Growthrates source'!A$2:H$49,8,FALSE)</f>
        <v>-4.0290808124875621E-2</v>
      </c>
      <c r="AP351" s="93">
        <f>VLOOKUP(B351,'Growthrates source'!A$2:I$49,9,FALSE)</f>
        <v>7.5715887821594663E-2</v>
      </c>
      <c r="AQ351" s="86">
        <f t="shared" si="103"/>
        <v>1273.3303999674165</v>
      </c>
      <c r="AR351" s="86">
        <f t="shared" si="104"/>
        <v>1306.4707962874802</v>
      </c>
      <c r="AS351" s="94">
        <f t="shared" si="105"/>
        <v>0</v>
      </c>
      <c r="AT351" s="94">
        <f t="shared" si="106"/>
        <v>9.3674549132516965E-2</v>
      </c>
      <c r="AU351" s="94">
        <f t="shared" si="107"/>
        <v>0.20367981340432731</v>
      </c>
    </row>
    <row r="352" spans="1:47" x14ac:dyDescent="0.3">
      <c r="A352" s="85" t="str">
        <f>_xlfn.XLOOKUP(B352,'Country codes &amp; Data sources'!G:G,'Country codes &amp; Data sources'!H:H,,0)</f>
        <v>Ethiopia</v>
      </c>
      <c r="B352" s="85" t="s">
        <v>155</v>
      </c>
      <c r="C352" s="86">
        <v>94451293.500000104</v>
      </c>
      <c r="D352" s="85" t="s">
        <v>207</v>
      </c>
      <c r="E352" s="87">
        <v>0</v>
      </c>
      <c r="F352" s="88">
        <v>97084366.00000003</v>
      </c>
      <c r="G352" s="87">
        <v>0</v>
      </c>
      <c r="I352" s="87">
        <v>0</v>
      </c>
      <c r="K352" s="87">
        <v>0</v>
      </c>
      <c r="M352" s="87">
        <v>0</v>
      </c>
      <c r="O352" s="87">
        <v>0</v>
      </c>
      <c r="P352" s="88">
        <v>111129438.00000001</v>
      </c>
      <c r="Q352" s="87">
        <v>0</v>
      </c>
      <c r="R352" s="87">
        <f t="shared" si="90"/>
        <v>2953</v>
      </c>
      <c r="T352" s="87">
        <v>0</v>
      </c>
      <c r="V352" s="87">
        <v>0</v>
      </c>
      <c r="X352" s="87">
        <v>0</v>
      </c>
      <c r="Y352" s="88">
        <v>123379924.50000004</v>
      </c>
      <c r="Z352" s="87">
        <v>0</v>
      </c>
      <c r="AA352" s="87">
        <v>2953</v>
      </c>
      <c r="AB352" s="89">
        <f t="shared" si="91"/>
        <v>0</v>
      </c>
      <c r="AC352" s="89">
        <f t="shared" si="92"/>
        <v>0</v>
      </c>
      <c r="AD352" s="89">
        <f t="shared" si="93"/>
        <v>0</v>
      </c>
      <c r="AE352" s="90">
        <f t="shared" si="94"/>
        <v>0</v>
      </c>
      <c r="AF352" s="90" t="str">
        <f t="shared" si="95"/>
        <v/>
      </c>
      <c r="AG352" s="90">
        <f t="shared" si="96"/>
        <v>2953</v>
      </c>
      <c r="AH352" s="90" t="str">
        <f t="shared" si="97"/>
        <v>2018 (triag)</v>
      </c>
      <c r="AI352" s="90">
        <f t="shared" si="98"/>
        <v>2953</v>
      </c>
      <c r="AJ352" s="90" t="str">
        <f t="shared" si="99"/>
        <v>2018 (triag)</v>
      </c>
      <c r="AK352" s="90" t="str">
        <f t="shared" si="100"/>
        <v/>
      </c>
      <c r="AL352" s="91">
        <f>IF(AK352="Adjust",(_xlfn.XLOOKUP(A352,'Adj factor'!A:A,'Adj factor'!I:I,,0)*AI352),'Master DataSheet'!AI352)</f>
        <v>2953</v>
      </c>
      <c r="AM352" s="91">
        <f t="shared" si="101"/>
        <v>2953</v>
      </c>
      <c r="AN352" s="92" t="str">
        <f t="shared" si="102"/>
        <v>No change</v>
      </c>
      <c r="AO352" s="93">
        <f>VLOOKUP(B352,'Growthrates source'!A$2:H$49,8,FALSE)</f>
        <v>-4.0290808124875621E-2</v>
      </c>
      <c r="AP352" s="93">
        <f>VLOOKUP(B352,'Growthrates source'!A$2:I$49,9,FALSE)</f>
        <v>7.5715887821594663E-2</v>
      </c>
      <c r="AQ352" s="86">
        <f t="shared" si="103"/>
        <v>3612.0505966414803</v>
      </c>
      <c r="AR352" s="86">
        <f t="shared" si="104"/>
        <v>3706.0598092573764</v>
      </c>
      <c r="AS352" s="94">
        <f t="shared" si="105"/>
        <v>0</v>
      </c>
      <c r="AT352" s="94">
        <f t="shared" si="106"/>
        <v>0.26572617059396986</v>
      </c>
      <c r="AU352" s="94">
        <f t="shared" si="107"/>
        <v>0.23934201710424932</v>
      </c>
    </row>
    <row r="353" spans="1:47" x14ac:dyDescent="0.3">
      <c r="A353" s="85" t="str">
        <f>_xlfn.XLOOKUP(B353,'Country codes &amp; Data sources'!G:G,'Country codes &amp; Data sources'!H:H,,0)</f>
        <v>Ethiopia</v>
      </c>
      <c r="B353" s="85" t="s">
        <v>155</v>
      </c>
      <c r="C353" s="86">
        <v>94451294.500000104</v>
      </c>
      <c r="D353" s="85" t="s">
        <v>141</v>
      </c>
      <c r="E353" s="87">
        <v>0</v>
      </c>
      <c r="F353" s="88">
        <v>97084366.00000003</v>
      </c>
      <c r="G353" s="87">
        <v>0</v>
      </c>
      <c r="I353" s="87">
        <v>0</v>
      </c>
      <c r="K353" s="87">
        <v>0</v>
      </c>
      <c r="M353" s="87">
        <v>0</v>
      </c>
      <c r="O353" s="87">
        <v>0</v>
      </c>
      <c r="P353" s="88">
        <v>111129438.00000001</v>
      </c>
      <c r="Q353" s="87">
        <v>0</v>
      </c>
      <c r="R353" s="87">
        <f t="shared" si="90"/>
        <v>330</v>
      </c>
      <c r="T353" s="87">
        <v>0</v>
      </c>
      <c r="V353" s="87">
        <v>654</v>
      </c>
      <c r="X353" s="87">
        <v>567</v>
      </c>
      <c r="Y353" s="88">
        <v>123379924.50000004</v>
      </c>
      <c r="Z353" s="113">
        <v>674</v>
      </c>
      <c r="AA353" s="87">
        <v>330</v>
      </c>
      <c r="AB353" s="89">
        <f t="shared" si="91"/>
        <v>0</v>
      </c>
      <c r="AC353" s="89">
        <f t="shared" si="92"/>
        <v>0</v>
      </c>
      <c r="AD353" s="89">
        <f t="shared" si="93"/>
        <v>674</v>
      </c>
      <c r="AE353" s="90">
        <f t="shared" si="94"/>
        <v>0</v>
      </c>
      <c r="AF353" s="90" t="str">
        <f t="shared" si="95"/>
        <v/>
      </c>
      <c r="AG353" s="90">
        <f t="shared" si="96"/>
        <v>330</v>
      </c>
      <c r="AH353" s="90" t="str">
        <f t="shared" si="97"/>
        <v>2018 (triag)</v>
      </c>
      <c r="AI353" s="90">
        <f t="shared" si="98"/>
        <v>674</v>
      </c>
      <c r="AJ353" s="90">
        <f t="shared" si="99"/>
        <v>2022</v>
      </c>
      <c r="AK353" s="90" t="str">
        <f t="shared" si="100"/>
        <v/>
      </c>
      <c r="AL353" s="91">
        <f>IF(AK353="Adjust",(_xlfn.XLOOKUP(A353,'Adj factor'!A:A,'Adj factor'!I:I,,0)*AI353),'Master DataSheet'!AI353)</f>
        <v>674</v>
      </c>
      <c r="AM353" s="60">
        <v>674</v>
      </c>
      <c r="AN353" s="92" t="str">
        <f t="shared" si="102"/>
        <v>Increasing</v>
      </c>
      <c r="AO353" s="93">
        <f>VLOOKUP(B353,'Growthrates source'!A$2:H$49,8,FALSE)</f>
        <v>-4.0290808124875621E-2</v>
      </c>
      <c r="AP353" s="93">
        <f>VLOOKUP(B353,'Growthrates source'!A$2:I$49,9,FALSE)</f>
        <v>7.5715887821594663E-2</v>
      </c>
      <c r="AQ353" s="86">
        <f t="shared" si="103"/>
        <v>403.64940632972855</v>
      </c>
      <c r="AR353" s="86">
        <f t="shared" si="104"/>
        <v>414.15500746865365</v>
      </c>
      <c r="AS353" s="94">
        <f t="shared" si="105"/>
        <v>0</v>
      </c>
      <c r="AT353" s="94">
        <f t="shared" si="106"/>
        <v>2.9695102030480883E-2</v>
      </c>
      <c r="AU353" s="94">
        <f t="shared" si="107"/>
        <v>5.4628012031244171E-2</v>
      </c>
    </row>
    <row r="354" spans="1:47" x14ac:dyDescent="0.3">
      <c r="A354" s="85" t="str">
        <f>_xlfn.XLOOKUP(B354,'Country codes &amp; Data sources'!G:G,'Country codes &amp; Data sources'!H:H,,0)</f>
        <v>Ethiopia</v>
      </c>
      <c r="B354" s="85" t="s">
        <v>155</v>
      </c>
      <c r="C354" s="86">
        <v>94451295.500000104</v>
      </c>
      <c r="D354" s="85" t="s">
        <v>208</v>
      </c>
      <c r="E354" s="87">
        <v>0</v>
      </c>
      <c r="F354" s="88">
        <v>97084366.00000003</v>
      </c>
      <c r="G354" s="87">
        <v>0</v>
      </c>
      <c r="I354" s="87">
        <v>0</v>
      </c>
      <c r="K354" s="87">
        <v>0</v>
      </c>
      <c r="M354" s="87">
        <v>0</v>
      </c>
      <c r="O354" s="87">
        <v>0</v>
      </c>
      <c r="P354" s="88">
        <v>111129438.00000001</v>
      </c>
      <c r="Q354" s="87">
        <v>0</v>
      </c>
      <c r="R354" s="87">
        <f t="shared" si="90"/>
        <v>73174</v>
      </c>
      <c r="T354" s="87">
        <v>0</v>
      </c>
      <c r="V354" s="87">
        <v>0</v>
      </c>
      <c r="X354" s="87">
        <v>0</v>
      </c>
      <c r="Y354" s="88">
        <v>123379924.50000004</v>
      </c>
      <c r="Z354" s="87">
        <v>0</v>
      </c>
      <c r="AA354" s="87">
        <v>73174</v>
      </c>
      <c r="AB354" s="89">
        <f t="shared" si="91"/>
        <v>0</v>
      </c>
      <c r="AC354" s="89">
        <f t="shared" si="92"/>
        <v>0</v>
      </c>
      <c r="AD354" s="89">
        <f t="shared" si="93"/>
        <v>0</v>
      </c>
      <c r="AE354" s="90">
        <f t="shared" si="94"/>
        <v>0</v>
      </c>
      <c r="AF354" s="90" t="str">
        <f t="shared" si="95"/>
        <v/>
      </c>
      <c r="AG354" s="90">
        <f t="shared" si="96"/>
        <v>73174</v>
      </c>
      <c r="AH354" s="90" t="str">
        <f t="shared" si="97"/>
        <v>2018 (triag)</v>
      </c>
      <c r="AI354" s="90">
        <f t="shared" si="98"/>
        <v>73174</v>
      </c>
      <c r="AJ354" s="90" t="str">
        <f t="shared" si="99"/>
        <v>2018 (triag)</v>
      </c>
      <c r="AK354" s="90" t="str">
        <f t="shared" si="100"/>
        <v/>
      </c>
      <c r="AL354" s="91">
        <f>IF(AK354="Adjust",(_xlfn.XLOOKUP(A354,'Adj factor'!A:A,'Adj factor'!I:I,,0)*AI354),'Master DataSheet'!AI354)</f>
        <v>73174</v>
      </c>
      <c r="AM354" s="91">
        <f t="shared" si="101"/>
        <v>73174</v>
      </c>
      <c r="AN354" s="92" t="str">
        <f t="shared" si="102"/>
        <v>No change</v>
      </c>
      <c r="AO354" s="93">
        <f>VLOOKUP(B354,'Growthrates source'!A$2:H$49,8,FALSE)</f>
        <v>-4.0290808124875621E-2</v>
      </c>
      <c r="AP354" s="93">
        <f>VLOOKUP(B354,'Growthrates source'!A$2:I$49,9,FALSE)</f>
        <v>7.5715887821594663E-2</v>
      </c>
      <c r="AQ354" s="86">
        <f t="shared" si="103"/>
        <v>89504.974723550171</v>
      </c>
      <c r="AR354" s="86">
        <f t="shared" si="104"/>
        <v>91834.480353064428</v>
      </c>
      <c r="AS354" s="94">
        <f t="shared" si="105"/>
        <v>0</v>
      </c>
      <c r="AT354" s="94">
        <f t="shared" si="106"/>
        <v>6.5845739272072974</v>
      </c>
      <c r="AU354" s="94">
        <f t="shared" si="107"/>
        <v>5.930786576222939</v>
      </c>
    </row>
    <row r="355" spans="1:47" x14ac:dyDescent="0.3">
      <c r="A355" s="85" t="str">
        <f>_xlfn.XLOOKUP(B355,'Country codes &amp; Data sources'!G:G,'Country codes &amp; Data sources'!H:H,,0)</f>
        <v>Ethiopia</v>
      </c>
      <c r="B355" s="85" t="s">
        <v>155</v>
      </c>
      <c r="C355" s="86">
        <v>94451296.500000104</v>
      </c>
      <c r="D355" s="85" t="s">
        <v>209</v>
      </c>
      <c r="E355" s="87">
        <v>0</v>
      </c>
      <c r="F355" s="88">
        <v>97084366.00000003</v>
      </c>
      <c r="G355" s="87">
        <v>0</v>
      </c>
      <c r="I355" s="87">
        <v>0</v>
      </c>
      <c r="K355" s="87">
        <v>0</v>
      </c>
      <c r="M355" s="87">
        <v>0</v>
      </c>
      <c r="O355" s="87">
        <v>0</v>
      </c>
      <c r="P355" s="88">
        <v>111129438.00000001</v>
      </c>
      <c r="Q355" s="87">
        <v>0</v>
      </c>
      <c r="R355" s="87">
        <f t="shared" si="90"/>
        <v>2872</v>
      </c>
      <c r="T355" s="87">
        <v>0</v>
      </c>
      <c r="V355" s="87">
        <v>0</v>
      </c>
      <c r="X355" s="87">
        <v>0</v>
      </c>
      <c r="Y355" s="88">
        <v>123379924.50000004</v>
      </c>
      <c r="Z355" s="87">
        <v>0</v>
      </c>
      <c r="AA355" s="87">
        <v>2872</v>
      </c>
      <c r="AB355" s="89">
        <f t="shared" si="91"/>
        <v>0</v>
      </c>
      <c r="AC355" s="89">
        <f t="shared" si="92"/>
        <v>0</v>
      </c>
      <c r="AD355" s="89">
        <f t="shared" si="93"/>
        <v>0</v>
      </c>
      <c r="AE355" s="90">
        <f t="shared" si="94"/>
        <v>0</v>
      </c>
      <c r="AF355" s="90" t="str">
        <f t="shared" si="95"/>
        <v/>
      </c>
      <c r="AG355" s="90">
        <f t="shared" si="96"/>
        <v>2872</v>
      </c>
      <c r="AH355" s="90" t="str">
        <f t="shared" si="97"/>
        <v>2018 (triag)</v>
      </c>
      <c r="AI355" s="90">
        <f t="shared" si="98"/>
        <v>2872</v>
      </c>
      <c r="AJ355" s="90" t="str">
        <f t="shared" si="99"/>
        <v>2018 (triag)</v>
      </c>
      <c r="AK355" s="90" t="str">
        <f t="shared" si="100"/>
        <v/>
      </c>
      <c r="AL355" s="91">
        <f>IF(AK355="Adjust",(_xlfn.XLOOKUP(A355,'Adj factor'!A:A,'Adj factor'!I:I,,0)*AI355),'Master DataSheet'!AI355)</f>
        <v>2872</v>
      </c>
      <c r="AM355" s="91">
        <f t="shared" si="101"/>
        <v>2872</v>
      </c>
      <c r="AN355" s="92" t="str">
        <f t="shared" si="102"/>
        <v>No change</v>
      </c>
      <c r="AO355" s="93">
        <f>VLOOKUP(B355,'Growthrates source'!A$2:H$49,8,FALSE)</f>
        <v>-4.0290808124875621E-2</v>
      </c>
      <c r="AP355" s="93">
        <f>VLOOKUP(B355,'Growthrates source'!A$2:I$49,9,FALSE)</f>
        <v>7.5715887821594663E-2</v>
      </c>
      <c r="AQ355" s="86">
        <f t="shared" si="103"/>
        <v>3512.9730150878195</v>
      </c>
      <c r="AR355" s="86">
        <f t="shared" si="104"/>
        <v>3604.4035801514342</v>
      </c>
      <c r="AS355" s="94">
        <f t="shared" si="105"/>
        <v>0</v>
      </c>
      <c r="AT355" s="94">
        <f t="shared" si="106"/>
        <v>0.25843737282285184</v>
      </c>
      <c r="AU355" s="94">
        <f t="shared" si="107"/>
        <v>0.2327769296049455</v>
      </c>
    </row>
    <row r="356" spans="1:47" x14ac:dyDescent="0.3">
      <c r="A356" s="85" t="str">
        <f>_xlfn.XLOOKUP(B356,'Country codes &amp; Data sources'!G:G,'Country codes &amp; Data sources'!H:H,,0)</f>
        <v>Ethiopia</v>
      </c>
      <c r="B356" s="85" t="s">
        <v>155</v>
      </c>
      <c r="C356" s="86">
        <v>94451297.500000104</v>
      </c>
      <c r="D356" s="85" t="s">
        <v>134</v>
      </c>
      <c r="E356" s="87">
        <v>0</v>
      </c>
      <c r="F356" s="88">
        <v>97084366.00000003</v>
      </c>
      <c r="G356" s="87">
        <v>0</v>
      </c>
      <c r="I356" s="87">
        <v>0</v>
      </c>
      <c r="K356" s="87">
        <v>0</v>
      </c>
      <c r="M356" s="87">
        <v>0</v>
      </c>
      <c r="O356" s="87">
        <v>0</v>
      </c>
      <c r="P356" s="88">
        <v>111129438.00000001</v>
      </c>
      <c r="Q356" s="87">
        <v>0</v>
      </c>
      <c r="R356" s="87">
        <f t="shared" si="90"/>
        <v>10450</v>
      </c>
      <c r="T356" s="87">
        <v>0</v>
      </c>
      <c r="V356" s="87">
        <v>4752</v>
      </c>
      <c r="X356" s="87">
        <v>0</v>
      </c>
      <c r="Y356" s="88">
        <v>123379924.50000004</v>
      </c>
      <c r="Z356" s="87">
        <v>13915</v>
      </c>
      <c r="AA356" s="87">
        <v>10450</v>
      </c>
      <c r="AB356" s="89">
        <f t="shared" si="91"/>
        <v>0</v>
      </c>
      <c r="AC356" s="89">
        <f t="shared" si="92"/>
        <v>0</v>
      </c>
      <c r="AD356" s="89">
        <f t="shared" si="93"/>
        <v>13915</v>
      </c>
      <c r="AE356" s="90">
        <f t="shared" si="94"/>
        <v>0</v>
      </c>
      <c r="AF356" s="90" t="str">
        <f t="shared" si="95"/>
        <v/>
      </c>
      <c r="AG356" s="90">
        <f t="shared" si="96"/>
        <v>10450</v>
      </c>
      <c r="AH356" s="90" t="str">
        <f t="shared" si="97"/>
        <v>2018 (triag)</v>
      </c>
      <c r="AI356" s="90">
        <f t="shared" si="98"/>
        <v>13915</v>
      </c>
      <c r="AJ356" s="90">
        <f t="shared" si="99"/>
        <v>2022</v>
      </c>
      <c r="AK356" s="90" t="str">
        <f t="shared" si="100"/>
        <v/>
      </c>
      <c r="AL356" s="91">
        <f>IF(AK356="Adjust",(_xlfn.XLOOKUP(A356,'Adj factor'!A:A,'Adj factor'!I:I,,0)*AI356),'Master DataSheet'!AI356)</f>
        <v>13915</v>
      </c>
      <c r="AM356" s="91">
        <f t="shared" si="101"/>
        <v>13915</v>
      </c>
      <c r="AN356" s="92" t="str">
        <f t="shared" si="102"/>
        <v>Increasing</v>
      </c>
      <c r="AO356" s="93">
        <f>VLOOKUP(B356,'Growthrates source'!A$2:H$49,8,FALSE)</f>
        <v>-4.0290808124875621E-2</v>
      </c>
      <c r="AP356" s="93">
        <f>VLOOKUP(B356,'Growthrates source'!A$2:I$49,9,FALSE)</f>
        <v>7.5715887821594663E-2</v>
      </c>
      <c r="AQ356" s="86">
        <f t="shared" si="103"/>
        <v>12782.231200441405</v>
      </c>
      <c r="AR356" s="86">
        <f t="shared" si="104"/>
        <v>13114.9085698407</v>
      </c>
      <c r="AS356" s="94">
        <f t="shared" si="105"/>
        <v>0</v>
      </c>
      <c r="AT356" s="94">
        <f t="shared" si="106"/>
        <v>0.94034489763189466</v>
      </c>
      <c r="AU356" s="94">
        <f t="shared" si="107"/>
        <v>1.1278171920100335</v>
      </c>
    </row>
    <row r="357" spans="1:47" x14ac:dyDescent="0.3">
      <c r="A357" s="85" t="str">
        <f>_xlfn.XLOOKUP(B357,'Country codes &amp; Data sources'!G:G,'Country codes &amp; Data sources'!H:H,,0)</f>
        <v>Ethiopia</v>
      </c>
      <c r="B357" s="85" t="s">
        <v>155</v>
      </c>
      <c r="C357" s="86">
        <v>94451298.500000104</v>
      </c>
      <c r="D357" s="85" t="s">
        <v>142</v>
      </c>
      <c r="E357" s="87">
        <v>0</v>
      </c>
      <c r="F357" s="88">
        <v>97084366.00000003</v>
      </c>
      <c r="G357" s="87">
        <v>0</v>
      </c>
      <c r="I357" s="87">
        <v>0</v>
      </c>
      <c r="K357" s="87">
        <v>0</v>
      </c>
      <c r="M357" s="87">
        <v>0</v>
      </c>
      <c r="O357" s="87">
        <v>0</v>
      </c>
      <c r="P357" s="88">
        <v>111129438.00000001</v>
      </c>
      <c r="Q357" s="87">
        <v>0</v>
      </c>
      <c r="R357" s="87">
        <f t="shared" si="90"/>
        <v>1285</v>
      </c>
      <c r="T357" s="87">
        <v>0</v>
      </c>
      <c r="V357" s="87">
        <v>1234</v>
      </c>
      <c r="X357" s="87">
        <v>0</v>
      </c>
      <c r="Y357" s="88">
        <v>123379924.50000004</v>
      </c>
      <c r="Z357" s="87">
        <v>1205</v>
      </c>
      <c r="AA357" s="87">
        <v>1285</v>
      </c>
      <c r="AB357" s="89">
        <f t="shared" si="91"/>
        <v>0</v>
      </c>
      <c r="AC357" s="89">
        <f t="shared" si="92"/>
        <v>0</v>
      </c>
      <c r="AD357" s="89">
        <f t="shared" si="93"/>
        <v>1234</v>
      </c>
      <c r="AE357" s="90">
        <f t="shared" si="94"/>
        <v>0</v>
      </c>
      <c r="AF357" s="90" t="str">
        <f t="shared" si="95"/>
        <v/>
      </c>
      <c r="AG357" s="90">
        <f t="shared" si="96"/>
        <v>1285</v>
      </c>
      <c r="AH357" s="90" t="str">
        <f t="shared" si="97"/>
        <v>2018 (triag)</v>
      </c>
      <c r="AI357" s="90">
        <f t="shared" si="98"/>
        <v>1205</v>
      </c>
      <c r="AJ357" s="90">
        <f t="shared" si="99"/>
        <v>2022</v>
      </c>
      <c r="AK357" s="90" t="str">
        <f t="shared" si="100"/>
        <v>Adjust</v>
      </c>
      <c r="AL357" s="91">
        <f>IF(AK357="Adjust",(_xlfn.XLOOKUP(A357,'Adj factor'!A:A,'Adj factor'!I:I,,0)*AI357),'Master DataSheet'!AI357)</f>
        <v>1230.1476924425951</v>
      </c>
      <c r="AM357" s="91">
        <f t="shared" si="101"/>
        <v>1285</v>
      </c>
      <c r="AN357" s="92" t="str">
        <f t="shared" si="102"/>
        <v>Decreasing</v>
      </c>
      <c r="AO357" s="93">
        <f>VLOOKUP(B357,'Growthrates source'!A$2:H$49,8,FALSE)</f>
        <v>-4.0290808124875621E-2</v>
      </c>
      <c r="AP357" s="93">
        <f>VLOOKUP(B357,'Growthrates source'!A$2:I$49,9,FALSE)</f>
        <v>7.5715887821594663E-2</v>
      </c>
      <c r="AQ357" s="86">
        <f t="shared" si="103"/>
        <v>1571.7863246475795</v>
      </c>
      <c r="AR357" s="86">
        <f t="shared" si="104"/>
        <v>1612.6944987794545</v>
      </c>
      <c r="AS357" s="94">
        <f t="shared" si="105"/>
        <v>0</v>
      </c>
      <c r="AT357" s="94">
        <f t="shared" si="106"/>
        <v>0.1156309276035392</v>
      </c>
      <c r="AU357" s="94">
        <f t="shared" si="107"/>
        <v>0.10414984489636314</v>
      </c>
    </row>
    <row r="358" spans="1:47" x14ac:dyDescent="0.3">
      <c r="A358" s="85" t="str">
        <f>_xlfn.XLOOKUP(B358,'Country codes &amp; Data sources'!G:G,'Country codes &amp; Data sources'!H:H,,0)</f>
        <v>Ethiopia</v>
      </c>
      <c r="B358" s="85" t="s">
        <v>155</v>
      </c>
      <c r="C358" s="86">
        <v>94451299.500000104</v>
      </c>
      <c r="D358" s="85" t="s">
        <v>83</v>
      </c>
      <c r="E358" s="87">
        <v>0</v>
      </c>
      <c r="F358" s="88">
        <v>97084366.00000003</v>
      </c>
      <c r="G358" s="87">
        <v>0</v>
      </c>
      <c r="I358" s="87">
        <v>0</v>
      </c>
      <c r="K358" s="87">
        <v>0</v>
      </c>
      <c r="M358" s="87">
        <v>0</v>
      </c>
      <c r="O358" s="87">
        <v>0</v>
      </c>
      <c r="P358" s="88">
        <v>111129438.00000001</v>
      </c>
      <c r="Q358" s="87">
        <v>0</v>
      </c>
      <c r="R358" s="87">
        <f t="shared" si="90"/>
        <v>258</v>
      </c>
      <c r="T358" s="87">
        <v>0</v>
      </c>
      <c r="V358" s="87">
        <v>249</v>
      </c>
      <c r="X358" s="87">
        <v>0</v>
      </c>
      <c r="Y358" s="88">
        <v>123379924.50000004</v>
      </c>
      <c r="Z358" s="113">
        <f>3167+108</f>
        <v>3275</v>
      </c>
      <c r="AA358" s="87">
        <v>258</v>
      </c>
      <c r="AB358" s="89">
        <f t="shared" si="91"/>
        <v>0</v>
      </c>
      <c r="AC358" s="89">
        <f t="shared" si="92"/>
        <v>0</v>
      </c>
      <c r="AD358" s="89">
        <f t="shared" si="93"/>
        <v>3275</v>
      </c>
      <c r="AE358" s="90">
        <f t="shared" si="94"/>
        <v>0</v>
      </c>
      <c r="AF358" s="90" t="str">
        <f t="shared" si="95"/>
        <v/>
      </c>
      <c r="AG358" s="90">
        <f t="shared" si="96"/>
        <v>258</v>
      </c>
      <c r="AH358" s="90" t="str">
        <f t="shared" si="97"/>
        <v>2018 (triag)</v>
      </c>
      <c r="AI358" s="90">
        <f t="shared" si="98"/>
        <v>3275</v>
      </c>
      <c r="AJ358" s="90">
        <f t="shared" si="99"/>
        <v>2022</v>
      </c>
      <c r="AK358" s="90" t="str">
        <f t="shared" si="100"/>
        <v/>
      </c>
      <c r="AL358" s="91">
        <f>IF(AK358="Adjust",(_xlfn.XLOOKUP(A358,'Adj factor'!A:A,'Adj factor'!I:I,,0)*AI358),'Master DataSheet'!AI358)</f>
        <v>3275</v>
      </c>
      <c r="AM358" s="60">
        <f>3167+108</f>
        <v>3275</v>
      </c>
      <c r="AN358" s="92" t="str">
        <f t="shared" si="102"/>
        <v>Increasing</v>
      </c>
      <c r="AO358" s="93">
        <f>VLOOKUP(B358,'Growthrates source'!A$2:H$49,8,FALSE)</f>
        <v>-4.0290808124875621E-2</v>
      </c>
      <c r="AP358" s="93">
        <f>VLOOKUP(B358,'Growthrates source'!A$2:I$49,9,FALSE)</f>
        <v>7.5715887821594663E-2</v>
      </c>
      <c r="AQ358" s="86">
        <f t="shared" si="103"/>
        <v>315.58044494869688</v>
      </c>
      <c r="AR358" s="86">
        <f t="shared" si="104"/>
        <v>323.79391493003834</v>
      </c>
      <c r="AS358" s="94">
        <f t="shared" si="105"/>
        <v>0</v>
      </c>
      <c r="AT358" s="94">
        <f t="shared" si="106"/>
        <v>2.3216170678375964E-2</v>
      </c>
      <c r="AU358" s="94">
        <f t="shared" si="107"/>
        <v>0.26544026617555588</v>
      </c>
    </row>
    <row r="359" spans="1:47" x14ac:dyDescent="0.3">
      <c r="A359" s="85" t="str">
        <f>_xlfn.XLOOKUP(B359,'Country codes &amp; Data sources'!G:G,'Country codes &amp; Data sources'!H:H,,0)</f>
        <v>Ethiopia</v>
      </c>
      <c r="B359" s="85" t="s">
        <v>155</v>
      </c>
      <c r="C359" s="86">
        <v>94451300.500000104</v>
      </c>
      <c r="D359" s="85" t="s">
        <v>84</v>
      </c>
      <c r="E359" s="87">
        <v>0</v>
      </c>
      <c r="F359" s="88">
        <v>97084366.00000003</v>
      </c>
      <c r="G359" s="87">
        <v>0</v>
      </c>
      <c r="I359" s="87">
        <v>0</v>
      </c>
      <c r="K359" s="87">
        <v>0</v>
      </c>
      <c r="M359" s="87">
        <v>0</v>
      </c>
      <c r="O359" s="87">
        <v>0</v>
      </c>
      <c r="P359" s="88">
        <v>111129438.00000001</v>
      </c>
      <c r="Q359" s="87">
        <v>0</v>
      </c>
      <c r="R359" s="87">
        <f t="shared" si="90"/>
        <v>0</v>
      </c>
      <c r="T359" s="87">
        <v>0</v>
      </c>
      <c r="V359" s="87">
        <v>0</v>
      </c>
      <c r="X359" s="87">
        <v>0</v>
      </c>
      <c r="Y359" s="88">
        <v>123379924.50000004</v>
      </c>
      <c r="Z359" s="87">
        <v>0</v>
      </c>
      <c r="AA359" s="87">
        <v>0</v>
      </c>
      <c r="AB359" s="89">
        <f t="shared" si="91"/>
        <v>0</v>
      </c>
      <c r="AC359" s="89">
        <f t="shared" si="92"/>
        <v>0</v>
      </c>
      <c r="AD359" s="89">
        <f t="shared" si="93"/>
        <v>0</v>
      </c>
      <c r="AE359" s="90">
        <f t="shared" si="94"/>
        <v>0</v>
      </c>
      <c r="AF359" s="90" t="str">
        <f t="shared" si="95"/>
        <v/>
      </c>
      <c r="AG359" s="90">
        <f t="shared" si="96"/>
        <v>0</v>
      </c>
      <c r="AH359" s="90" t="str">
        <f t="shared" si="97"/>
        <v/>
      </c>
      <c r="AI359" s="90">
        <f t="shared" si="98"/>
        <v>0</v>
      </c>
      <c r="AJ359" s="90" t="str">
        <f t="shared" si="99"/>
        <v/>
      </c>
      <c r="AK359" s="90" t="str">
        <f t="shared" si="100"/>
        <v/>
      </c>
      <c r="AL359" s="91">
        <f>IF(AK359="Adjust",(_xlfn.XLOOKUP(A359,'Adj factor'!A:A,'Adj factor'!I:I,,0)*AI359),'Master DataSheet'!AI359)</f>
        <v>0</v>
      </c>
      <c r="AM359" s="91">
        <f t="shared" si="101"/>
        <v>0</v>
      </c>
      <c r="AN359" s="92" t="str">
        <f t="shared" si="102"/>
        <v>No change</v>
      </c>
      <c r="AO359" s="93">
        <f>VLOOKUP(B359,'Growthrates source'!A$2:H$49,8,FALSE)</f>
        <v>-4.0290808124875621E-2</v>
      </c>
      <c r="AP359" s="93">
        <f>VLOOKUP(B359,'Growthrates source'!A$2:I$49,9,FALSE)</f>
        <v>7.5715887821594663E-2</v>
      </c>
      <c r="AQ359" s="86">
        <f t="shared" si="103"/>
        <v>0</v>
      </c>
      <c r="AR359" s="86">
        <f t="shared" si="104"/>
        <v>0</v>
      </c>
      <c r="AS359" s="94">
        <f t="shared" si="105"/>
        <v>0</v>
      </c>
      <c r="AT359" s="94">
        <f t="shared" si="106"/>
        <v>0</v>
      </c>
      <c r="AU359" s="94">
        <f t="shared" si="107"/>
        <v>0</v>
      </c>
    </row>
    <row r="360" spans="1:47" x14ac:dyDescent="0.3">
      <c r="A360" s="85" t="str">
        <f>_xlfn.XLOOKUP(B360,'Country codes &amp; Data sources'!G:G,'Country codes &amp; Data sources'!H:H,,0)</f>
        <v>Ethiopia</v>
      </c>
      <c r="B360" s="85" t="s">
        <v>155</v>
      </c>
      <c r="C360" s="86">
        <v>94451301.500000104</v>
      </c>
      <c r="D360" s="85" t="s">
        <v>126</v>
      </c>
      <c r="E360" s="87">
        <v>0</v>
      </c>
      <c r="F360" s="88">
        <v>97084366.00000003</v>
      </c>
      <c r="G360" s="87">
        <v>0</v>
      </c>
      <c r="I360" s="87">
        <v>0</v>
      </c>
      <c r="K360" s="87">
        <v>0</v>
      </c>
      <c r="M360" s="87">
        <v>0</v>
      </c>
      <c r="O360" s="87">
        <v>0</v>
      </c>
      <c r="P360" s="88">
        <v>111129438.00000001</v>
      </c>
      <c r="Q360" s="87">
        <v>0</v>
      </c>
      <c r="R360" s="87">
        <f t="shared" si="90"/>
        <v>0</v>
      </c>
      <c r="T360" s="87">
        <v>0</v>
      </c>
      <c r="V360" s="87">
        <v>4</v>
      </c>
      <c r="X360" s="87">
        <v>0</v>
      </c>
      <c r="Y360" s="88">
        <v>123379924.50000004</v>
      </c>
      <c r="Z360" s="87">
        <v>0</v>
      </c>
      <c r="AA360" s="87">
        <v>0</v>
      </c>
      <c r="AB360" s="89">
        <f t="shared" si="91"/>
        <v>0</v>
      </c>
      <c r="AC360" s="89">
        <f t="shared" si="92"/>
        <v>0</v>
      </c>
      <c r="AD360" s="89">
        <f t="shared" si="93"/>
        <v>4</v>
      </c>
      <c r="AE360" s="90">
        <f t="shared" si="94"/>
        <v>0</v>
      </c>
      <c r="AF360" s="90" t="str">
        <f t="shared" si="95"/>
        <v/>
      </c>
      <c r="AG360" s="90">
        <f t="shared" si="96"/>
        <v>0</v>
      </c>
      <c r="AH360" s="90" t="str">
        <f t="shared" si="97"/>
        <v/>
      </c>
      <c r="AI360" s="90">
        <f t="shared" si="98"/>
        <v>4</v>
      </c>
      <c r="AJ360" s="90">
        <f t="shared" si="99"/>
        <v>2020</v>
      </c>
      <c r="AK360" s="90" t="str">
        <f t="shared" si="100"/>
        <v/>
      </c>
      <c r="AL360" s="91">
        <f>IF(AK360="Adjust",(_xlfn.XLOOKUP(A360,'Adj factor'!A:A,'Adj factor'!I:I,,0)*AI360),'Master DataSheet'!AI360)</f>
        <v>4</v>
      </c>
      <c r="AM360" s="91">
        <f t="shared" si="101"/>
        <v>4</v>
      </c>
      <c r="AN360" s="92" t="str">
        <f t="shared" si="102"/>
        <v>Increasing</v>
      </c>
      <c r="AO360" s="93">
        <f>VLOOKUP(B360,'Growthrates source'!A$2:H$49,8,FALSE)</f>
        <v>-4.0290808124875621E-2</v>
      </c>
      <c r="AP360" s="93">
        <f>VLOOKUP(B360,'Growthrates source'!A$2:I$49,9,FALSE)</f>
        <v>7.5715887821594663E-2</v>
      </c>
      <c r="AQ360" s="86">
        <f t="shared" si="103"/>
        <v>0</v>
      </c>
      <c r="AR360" s="86">
        <f t="shared" si="104"/>
        <v>0</v>
      </c>
      <c r="AS360" s="94">
        <f t="shared" si="105"/>
        <v>0</v>
      </c>
      <c r="AT360" s="94">
        <f t="shared" si="106"/>
        <v>0</v>
      </c>
      <c r="AU360" s="94">
        <f t="shared" si="107"/>
        <v>3.2420185181747282E-4</v>
      </c>
    </row>
    <row r="361" spans="1:47" x14ac:dyDescent="0.3">
      <c r="A361" s="85" t="str">
        <f>_xlfn.XLOOKUP(B361,'Country codes &amp; Data sources'!G:G,'Country codes &amp; Data sources'!H:H,,0)</f>
        <v>Ethiopia</v>
      </c>
      <c r="B361" s="85" t="s">
        <v>155</v>
      </c>
      <c r="C361" s="86">
        <v>94451302.500000104</v>
      </c>
      <c r="D361" s="85" t="s">
        <v>87</v>
      </c>
      <c r="E361" s="87">
        <v>0</v>
      </c>
      <c r="F361" s="88">
        <v>97084366.00000003</v>
      </c>
      <c r="G361" s="87">
        <v>0</v>
      </c>
      <c r="I361" s="87">
        <v>0</v>
      </c>
      <c r="K361" s="87">
        <v>0</v>
      </c>
      <c r="M361" s="87">
        <v>0</v>
      </c>
      <c r="O361" s="87">
        <v>0</v>
      </c>
      <c r="P361" s="88">
        <v>111129438.00000001</v>
      </c>
      <c r="Q361" s="87">
        <v>0</v>
      </c>
      <c r="R361" s="87">
        <f t="shared" si="90"/>
        <v>0</v>
      </c>
      <c r="T361" s="87">
        <v>0</v>
      </c>
      <c r="V361" s="87">
        <v>0</v>
      </c>
      <c r="X361" s="87">
        <v>0</v>
      </c>
      <c r="Y361" s="88">
        <v>123379924.50000004</v>
      </c>
      <c r="Z361" s="87">
        <v>0</v>
      </c>
      <c r="AA361" s="87">
        <v>0</v>
      </c>
      <c r="AB361" s="89">
        <f t="shared" si="91"/>
        <v>0</v>
      </c>
      <c r="AC361" s="89">
        <f t="shared" si="92"/>
        <v>0</v>
      </c>
      <c r="AD361" s="89">
        <f t="shared" si="93"/>
        <v>0</v>
      </c>
      <c r="AE361" s="90">
        <f t="shared" si="94"/>
        <v>0</v>
      </c>
      <c r="AF361" s="90" t="str">
        <f t="shared" si="95"/>
        <v/>
      </c>
      <c r="AG361" s="90">
        <f t="shared" si="96"/>
        <v>0</v>
      </c>
      <c r="AH361" s="90" t="str">
        <f t="shared" si="97"/>
        <v/>
      </c>
      <c r="AI361" s="90">
        <f t="shared" si="98"/>
        <v>0</v>
      </c>
      <c r="AJ361" s="90" t="str">
        <f t="shared" si="99"/>
        <v/>
      </c>
      <c r="AK361" s="90" t="str">
        <f t="shared" si="100"/>
        <v/>
      </c>
      <c r="AL361" s="91">
        <f>IF(AK361="Adjust",(_xlfn.XLOOKUP(A361,'Adj factor'!A:A,'Adj factor'!I:I,,0)*AI361),'Master DataSheet'!AI361)</f>
        <v>0</v>
      </c>
      <c r="AM361" s="91">
        <f t="shared" si="101"/>
        <v>0</v>
      </c>
      <c r="AN361" s="92" t="str">
        <f t="shared" si="102"/>
        <v>No change</v>
      </c>
      <c r="AO361" s="93">
        <f>VLOOKUP(B361,'Growthrates source'!A$2:H$49,8,FALSE)</f>
        <v>-4.0290808124875621E-2</v>
      </c>
      <c r="AP361" s="93">
        <f>VLOOKUP(B361,'Growthrates source'!A$2:I$49,9,FALSE)</f>
        <v>7.5715887821594663E-2</v>
      </c>
      <c r="AQ361" s="86">
        <f t="shared" si="103"/>
        <v>0</v>
      </c>
      <c r="AR361" s="86">
        <f t="shared" si="104"/>
        <v>0</v>
      </c>
      <c r="AS361" s="94">
        <f t="shared" si="105"/>
        <v>0</v>
      </c>
      <c r="AT361" s="94">
        <f t="shared" si="106"/>
        <v>0</v>
      </c>
      <c r="AU361" s="94">
        <f t="shared" si="107"/>
        <v>0</v>
      </c>
    </row>
    <row r="362" spans="1:47" x14ac:dyDescent="0.3">
      <c r="A362" s="85" t="str">
        <f>_xlfn.XLOOKUP(B362,'Country codes &amp; Data sources'!G:G,'Country codes &amp; Data sources'!H:H,,0)</f>
        <v>Gabon</v>
      </c>
      <c r="B362" s="85" t="s">
        <v>157</v>
      </c>
      <c r="C362" s="86">
        <v>1836705</v>
      </c>
      <c r="D362" s="85" t="s">
        <v>321</v>
      </c>
      <c r="E362" s="87">
        <v>0</v>
      </c>
      <c r="F362" s="88">
        <v>1902226.5000000007</v>
      </c>
      <c r="G362" s="87">
        <v>0</v>
      </c>
      <c r="H362" s="87">
        <v>1966855.5</v>
      </c>
      <c r="I362" s="87">
        <v>0</v>
      </c>
      <c r="J362" s="87">
        <v>2028517.0000000007</v>
      </c>
      <c r="K362" s="87">
        <v>0</v>
      </c>
      <c r="L362" s="87">
        <v>2086205.5000000009</v>
      </c>
      <c r="M362" s="87">
        <v>1430</v>
      </c>
      <c r="N362" s="87">
        <v>2140215.5000000005</v>
      </c>
      <c r="O362" s="87">
        <v>3543</v>
      </c>
      <c r="P362" s="88">
        <v>2192011.5</v>
      </c>
      <c r="Q362" s="87">
        <v>2736</v>
      </c>
      <c r="R362" s="87">
        <f t="shared" si="90"/>
        <v>2736</v>
      </c>
      <c r="S362" s="87">
        <v>2242785.5000000005</v>
      </c>
      <c r="T362" s="87">
        <v>3587</v>
      </c>
      <c r="U362" s="87">
        <v>2292572.9999999981</v>
      </c>
      <c r="V362" s="87">
        <v>3559</v>
      </c>
      <c r="W362" s="87">
        <v>2341178.9999999986</v>
      </c>
      <c r="X362" s="87">
        <v>0</v>
      </c>
      <c r="Y362" s="88">
        <v>2388992.5000000005</v>
      </c>
      <c r="Z362" s="87">
        <v>2832</v>
      </c>
      <c r="AA362" s="87">
        <v>1368</v>
      </c>
      <c r="AB362" s="89">
        <f t="shared" si="91"/>
        <v>0</v>
      </c>
      <c r="AC362" s="89">
        <f t="shared" si="92"/>
        <v>3587</v>
      </c>
      <c r="AD362" s="89">
        <f t="shared" si="93"/>
        <v>3559</v>
      </c>
      <c r="AE362" s="90">
        <f t="shared" si="94"/>
        <v>0</v>
      </c>
      <c r="AF362" s="90" t="str">
        <f t="shared" si="95"/>
        <v/>
      </c>
      <c r="AG362" s="90">
        <f t="shared" si="96"/>
        <v>2736</v>
      </c>
      <c r="AH362" s="90">
        <f t="shared" si="97"/>
        <v>2018</v>
      </c>
      <c r="AI362" s="90">
        <f t="shared" si="98"/>
        <v>2832</v>
      </c>
      <c r="AJ362" s="90">
        <f t="shared" si="99"/>
        <v>2022</v>
      </c>
      <c r="AK362" s="90" t="str">
        <f t="shared" si="100"/>
        <v/>
      </c>
      <c r="AL362" s="91">
        <f>IF(AK362="Adjust",(_xlfn.XLOOKUP(A362,'Adj factor'!A:A,'Adj factor'!I:I,,0)*AI362),'Master DataSheet'!AI362)</f>
        <v>2832</v>
      </c>
      <c r="AM362" s="91">
        <f t="shared" si="101"/>
        <v>2832</v>
      </c>
      <c r="AN362" s="92" t="str">
        <f t="shared" si="102"/>
        <v>Increasing</v>
      </c>
      <c r="AO362" s="93">
        <f>VLOOKUP(B362,'Growthrates source'!A$2:H$49,8,FALSE)</f>
        <v>0.2599900753182236</v>
      </c>
      <c r="AP362" s="93">
        <f>VLOOKUP(B362,'Growthrates source'!A$2:I$49,9,FALSE)</f>
        <v>5.4673730437993617E-2</v>
      </c>
      <c r="AQ362" s="86">
        <f t="shared" si="103"/>
        <v>372.84199410220009</v>
      </c>
      <c r="AR362" s="86">
        <f t="shared" si="104"/>
        <v>1611.8313395089324</v>
      </c>
      <c r="AS362" s="94">
        <f t="shared" si="105"/>
        <v>0</v>
      </c>
      <c r="AT362" s="94">
        <f t="shared" si="106"/>
        <v>12.481686341517825</v>
      </c>
      <c r="AU362" s="94">
        <f t="shared" si="107"/>
        <v>11.854369572110416</v>
      </c>
    </row>
    <row r="363" spans="1:47" x14ac:dyDescent="0.3">
      <c r="A363" s="85" t="str">
        <f>_xlfn.XLOOKUP(B363,'Country codes &amp; Data sources'!G:G,'Country codes &amp; Data sources'!H:H,,0)</f>
        <v>Gabon</v>
      </c>
      <c r="B363" s="85" t="s">
        <v>157</v>
      </c>
      <c r="C363" s="86">
        <v>1836706</v>
      </c>
      <c r="D363" s="85" t="s">
        <v>322</v>
      </c>
      <c r="E363" s="87">
        <v>0</v>
      </c>
      <c r="F363" s="88">
        <v>1902226.5000000007</v>
      </c>
      <c r="G363" s="87">
        <v>0</v>
      </c>
      <c r="I363" s="87">
        <v>0</v>
      </c>
      <c r="K363" s="87">
        <v>0</v>
      </c>
      <c r="M363" s="87">
        <v>9192</v>
      </c>
      <c r="O363" s="87">
        <v>10700</v>
      </c>
      <c r="P363" s="88">
        <v>2192011.5</v>
      </c>
      <c r="Q363" s="87">
        <v>12170</v>
      </c>
      <c r="R363" s="87">
        <f t="shared" si="90"/>
        <v>12170</v>
      </c>
      <c r="T363" s="87">
        <v>10179</v>
      </c>
      <c r="V363" s="87">
        <v>10963</v>
      </c>
      <c r="X363" s="87">
        <v>0</v>
      </c>
      <c r="Y363" s="88">
        <v>2388992.5000000005</v>
      </c>
      <c r="Z363" s="87">
        <v>8554</v>
      </c>
      <c r="AA363" s="87">
        <v>5352</v>
      </c>
      <c r="AB363" s="89">
        <f t="shared" si="91"/>
        <v>0</v>
      </c>
      <c r="AC363" s="89">
        <f t="shared" si="92"/>
        <v>12170</v>
      </c>
      <c r="AD363" s="89">
        <f t="shared" si="93"/>
        <v>10963</v>
      </c>
      <c r="AE363" s="90">
        <f t="shared" si="94"/>
        <v>0</v>
      </c>
      <c r="AF363" s="90" t="str">
        <f t="shared" si="95"/>
        <v/>
      </c>
      <c r="AG363" s="90">
        <f t="shared" si="96"/>
        <v>12170</v>
      </c>
      <c r="AH363" s="90">
        <f t="shared" si="97"/>
        <v>2018</v>
      </c>
      <c r="AI363" s="90">
        <f t="shared" si="98"/>
        <v>8554</v>
      </c>
      <c r="AJ363" s="90">
        <f t="shared" si="99"/>
        <v>2022</v>
      </c>
      <c r="AK363" s="90" t="str">
        <f t="shared" si="100"/>
        <v>Adjust</v>
      </c>
      <c r="AL363" s="91">
        <f>IF(AK363="Adjust",(_xlfn.XLOOKUP(A363,'Adj factor'!A:A,'Adj factor'!I:I,,0)*AI363),'Master DataSheet'!AI363)</f>
        <v>9503.1997555439157</v>
      </c>
      <c r="AM363" s="91">
        <f t="shared" si="101"/>
        <v>12170</v>
      </c>
      <c r="AN363" s="92" t="str">
        <f t="shared" si="102"/>
        <v>Decreasing</v>
      </c>
      <c r="AO363" s="93">
        <f>VLOOKUP(B363,'Growthrates source'!A$2:H$49,8,FALSE)</f>
        <v>0.2599900753182236</v>
      </c>
      <c r="AP363" s="93">
        <f>VLOOKUP(B363,'Growthrates source'!A$2:I$49,9,FALSE)</f>
        <v>5.4673730437993617E-2</v>
      </c>
      <c r="AQ363" s="86">
        <f t="shared" si="103"/>
        <v>1458.66253832966</v>
      </c>
      <c r="AR363" s="86">
        <f t="shared" si="104"/>
        <v>6305.9366440437179</v>
      </c>
      <c r="AS363" s="94">
        <f t="shared" si="105"/>
        <v>0</v>
      </c>
      <c r="AT363" s="94">
        <f t="shared" si="106"/>
        <v>55.519781716473659</v>
      </c>
      <c r="AU363" s="94">
        <f t="shared" si="107"/>
        <v>50.941976586364326</v>
      </c>
    </row>
    <row r="364" spans="1:47" x14ac:dyDescent="0.3">
      <c r="A364" s="85" t="str">
        <f>_xlfn.XLOOKUP(B364,'Country codes &amp; Data sources'!G:G,'Country codes &amp; Data sources'!H:H,,0)</f>
        <v>Gabon</v>
      </c>
      <c r="B364" s="85" t="s">
        <v>157</v>
      </c>
      <c r="C364" s="86">
        <v>1836707</v>
      </c>
      <c r="D364" s="85" t="s">
        <v>323</v>
      </c>
      <c r="E364" s="87">
        <v>0</v>
      </c>
      <c r="F364" s="88">
        <v>1902226.5000000007</v>
      </c>
      <c r="G364" s="87">
        <v>874</v>
      </c>
      <c r="I364" s="87">
        <v>0</v>
      </c>
      <c r="K364" s="87">
        <v>0</v>
      </c>
      <c r="M364" s="87">
        <v>1026</v>
      </c>
      <c r="O364" s="87">
        <v>1466</v>
      </c>
      <c r="P364" s="88">
        <v>2192011.5</v>
      </c>
      <c r="Q364" s="87">
        <v>0</v>
      </c>
      <c r="R364" s="87">
        <f t="shared" si="90"/>
        <v>733</v>
      </c>
      <c r="T364" s="87">
        <v>1214</v>
      </c>
      <c r="V364" s="87">
        <v>1324</v>
      </c>
      <c r="X364" s="87">
        <v>0</v>
      </c>
      <c r="Y364" s="88">
        <v>2388992.5000000005</v>
      </c>
      <c r="Z364" s="87">
        <v>1840</v>
      </c>
      <c r="AA364" s="87">
        <v>733</v>
      </c>
      <c r="AB364" s="89">
        <f t="shared" si="91"/>
        <v>874</v>
      </c>
      <c r="AC364" s="89">
        <f t="shared" si="92"/>
        <v>1466</v>
      </c>
      <c r="AD364" s="89">
        <f t="shared" si="93"/>
        <v>1840</v>
      </c>
      <c r="AE364" s="90">
        <f t="shared" si="94"/>
        <v>874</v>
      </c>
      <c r="AF364" s="90">
        <f t="shared" si="95"/>
        <v>2013</v>
      </c>
      <c r="AG364" s="90">
        <f t="shared" si="96"/>
        <v>733</v>
      </c>
      <c r="AH364" s="90" t="str">
        <f t="shared" si="97"/>
        <v>2018 (triag)</v>
      </c>
      <c r="AI364" s="90">
        <f t="shared" si="98"/>
        <v>1840</v>
      </c>
      <c r="AJ364" s="90">
        <f t="shared" si="99"/>
        <v>2022</v>
      </c>
      <c r="AK364" s="90" t="str">
        <f t="shared" si="100"/>
        <v/>
      </c>
      <c r="AL364" s="91">
        <f>IF(AK364="Adjust",(_xlfn.XLOOKUP(A364,'Adj factor'!A:A,'Adj factor'!I:I,,0)*AI364),'Master DataSheet'!AI364)</f>
        <v>1840</v>
      </c>
      <c r="AM364" s="91">
        <f t="shared" si="101"/>
        <v>1840</v>
      </c>
      <c r="AN364" s="92" t="str">
        <f t="shared" si="102"/>
        <v>Increasing</v>
      </c>
      <c r="AO364" s="93">
        <f>VLOOKUP(B364,'Growthrates source'!A$2:H$49,8,FALSE)</f>
        <v>0.2599900753182236</v>
      </c>
      <c r="AP364" s="93">
        <f>VLOOKUP(B364,'Growthrates source'!A$2:I$49,9,FALSE)</f>
        <v>5.4673730437993617E-2</v>
      </c>
      <c r="AQ364" s="86">
        <f t="shared" si="103"/>
        <v>199.77571760008234</v>
      </c>
      <c r="AR364" s="86">
        <f t="shared" si="104"/>
        <v>863.64939463453754</v>
      </c>
      <c r="AS364" s="94">
        <f t="shared" si="105"/>
        <v>4.5946158357062092</v>
      </c>
      <c r="AT364" s="94">
        <f t="shared" si="106"/>
        <v>3.3439605586010841</v>
      </c>
      <c r="AU364" s="94">
        <f t="shared" si="107"/>
        <v>7.7019915299022479</v>
      </c>
    </row>
    <row r="365" spans="1:47" x14ac:dyDescent="0.3">
      <c r="A365" s="85" t="str">
        <f>_xlfn.XLOOKUP(B365,'Country codes &amp; Data sources'!G:G,'Country codes &amp; Data sources'!H:H,,0)</f>
        <v>Gabon</v>
      </c>
      <c r="B365" s="85" t="s">
        <v>157</v>
      </c>
      <c r="C365" s="86">
        <v>1836708</v>
      </c>
      <c r="D365" s="85" t="s">
        <v>324</v>
      </c>
      <c r="E365" s="87">
        <v>0</v>
      </c>
      <c r="F365" s="88">
        <v>1902226.5000000007</v>
      </c>
      <c r="G365" s="87">
        <v>98</v>
      </c>
      <c r="I365" s="87">
        <v>2131</v>
      </c>
      <c r="K365" s="87">
        <v>0</v>
      </c>
      <c r="M365" s="87">
        <v>78</v>
      </c>
      <c r="O365" s="87">
        <v>2917</v>
      </c>
      <c r="P365" s="88">
        <v>2192011.5</v>
      </c>
      <c r="Q365" s="87">
        <v>596</v>
      </c>
      <c r="R365" s="87">
        <f t="shared" si="90"/>
        <v>596</v>
      </c>
      <c r="T365" s="87">
        <v>0</v>
      </c>
      <c r="V365" s="87">
        <v>0</v>
      </c>
      <c r="X365" s="87">
        <v>0</v>
      </c>
      <c r="Y365" s="88">
        <v>2388992.5000000005</v>
      </c>
      <c r="Z365" s="87">
        <v>0</v>
      </c>
      <c r="AA365" s="87">
        <v>227</v>
      </c>
      <c r="AB365" s="89">
        <f t="shared" si="91"/>
        <v>2131</v>
      </c>
      <c r="AC365" s="89">
        <f t="shared" si="92"/>
        <v>2917</v>
      </c>
      <c r="AD365" s="89">
        <f t="shared" si="93"/>
        <v>0</v>
      </c>
      <c r="AE365" s="90">
        <f t="shared" si="94"/>
        <v>98</v>
      </c>
      <c r="AF365" s="90">
        <f t="shared" si="95"/>
        <v>2013</v>
      </c>
      <c r="AG365" s="90">
        <f t="shared" si="96"/>
        <v>596</v>
      </c>
      <c r="AH365" s="90">
        <f t="shared" si="97"/>
        <v>2018</v>
      </c>
      <c r="AI365" s="90">
        <f t="shared" si="98"/>
        <v>596</v>
      </c>
      <c r="AJ365" s="90">
        <f t="shared" si="99"/>
        <v>2018</v>
      </c>
      <c r="AK365" s="90" t="str">
        <f t="shared" si="100"/>
        <v/>
      </c>
      <c r="AL365" s="91">
        <f>IF(AK365="Adjust",(_xlfn.XLOOKUP(A365,'Adj factor'!A:A,'Adj factor'!I:I,,0)*AI365),'Master DataSheet'!AI365)</f>
        <v>596</v>
      </c>
      <c r="AM365" s="91">
        <f t="shared" si="101"/>
        <v>596</v>
      </c>
      <c r="AN365" s="92" t="str">
        <f t="shared" si="102"/>
        <v>No change</v>
      </c>
      <c r="AO365" s="93">
        <f>VLOOKUP(B365,'Growthrates source'!A$2:H$49,8,FALSE)</f>
        <v>0.2599900753182236</v>
      </c>
      <c r="AP365" s="93">
        <f>VLOOKUP(B365,'Growthrates source'!A$2:I$49,9,FALSE)</f>
        <v>5.4673730437993617E-2</v>
      </c>
      <c r="AQ365" s="86">
        <f t="shared" si="103"/>
        <v>61.867787033040514</v>
      </c>
      <c r="AR365" s="86">
        <f t="shared" si="104"/>
        <v>267.46031730155528</v>
      </c>
      <c r="AS365" s="94">
        <f t="shared" si="105"/>
        <v>0.51518575732174887</v>
      </c>
      <c r="AT365" s="94">
        <f t="shared" si="106"/>
        <v>2.7189638375528595</v>
      </c>
      <c r="AU365" s="94">
        <f t="shared" si="107"/>
        <v>2.4947755172944239</v>
      </c>
    </row>
    <row r="366" spans="1:47" x14ac:dyDescent="0.3">
      <c r="A366" s="85" t="str">
        <f>_xlfn.XLOOKUP(B366,'Country codes &amp; Data sources'!G:G,'Country codes &amp; Data sources'!H:H,,0)</f>
        <v>Gabon</v>
      </c>
      <c r="B366" s="85" t="s">
        <v>157</v>
      </c>
      <c r="C366" s="86">
        <v>1836709</v>
      </c>
      <c r="D366" s="85" t="s">
        <v>325</v>
      </c>
      <c r="E366" s="87">
        <v>0</v>
      </c>
      <c r="F366" s="88">
        <v>1902226.5000000007</v>
      </c>
      <c r="G366" s="87">
        <v>25</v>
      </c>
      <c r="I366" s="87">
        <v>396</v>
      </c>
      <c r="K366" s="87">
        <v>0</v>
      </c>
      <c r="M366" s="87">
        <v>23</v>
      </c>
      <c r="O366" s="87">
        <v>246</v>
      </c>
      <c r="P366" s="88">
        <v>2192011.5</v>
      </c>
      <c r="Q366" s="87">
        <v>6</v>
      </c>
      <c r="R366" s="87">
        <f t="shared" si="90"/>
        <v>40</v>
      </c>
      <c r="T366" s="87">
        <v>0</v>
      </c>
      <c r="V366" s="87">
        <v>0</v>
      </c>
      <c r="X366" s="87">
        <v>0</v>
      </c>
      <c r="Y366" s="88">
        <v>2388992.5000000005</v>
      </c>
      <c r="Z366" s="87">
        <v>0</v>
      </c>
      <c r="AA366" s="87">
        <v>40</v>
      </c>
      <c r="AB366" s="89">
        <f t="shared" si="91"/>
        <v>396</v>
      </c>
      <c r="AC366" s="89">
        <f t="shared" si="92"/>
        <v>246</v>
      </c>
      <c r="AD366" s="89">
        <f t="shared" si="93"/>
        <v>0</v>
      </c>
      <c r="AE366" s="90">
        <f t="shared" si="94"/>
        <v>25</v>
      </c>
      <c r="AF366" s="90">
        <f t="shared" si="95"/>
        <v>2013</v>
      </c>
      <c r="AG366" s="90">
        <f t="shared" si="96"/>
        <v>40</v>
      </c>
      <c r="AH366" s="90" t="str">
        <f t="shared" si="97"/>
        <v>2018 (triag)</v>
      </c>
      <c r="AI366" s="90">
        <f t="shared" si="98"/>
        <v>40</v>
      </c>
      <c r="AJ366" s="90" t="str">
        <f t="shared" si="99"/>
        <v>2018 (triag)</v>
      </c>
      <c r="AK366" s="90" t="str">
        <f t="shared" si="100"/>
        <v/>
      </c>
      <c r="AL366" s="91">
        <f>IF(AK366="Adjust",(_xlfn.XLOOKUP(A366,'Adj factor'!A:A,'Adj factor'!I:I,,0)*AI366),'Master DataSheet'!AI366)</f>
        <v>40</v>
      </c>
      <c r="AM366" s="91">
        <f t="shared" si="101"/>
        <v>40</v>
      </c>
      <c r="AN366" s="92" t="str">
        <f t="shared" si="102"/>
        <v>No change</v>
      </c>
      <c r="AO366" s="93">
        <f>VLOOKUP(B366,'Growthrates source'!A$2:H$49,8,FALSE)</f>
        <v>0.2599900753182236</v>
      </c>
      <c r="AP366" s="93">
        <f>VLOOKUP(B366,'Growthrates source'!A$2:I$49,9,FALSE)</f>
        <v>5.4673730437993617E-2</v>
      </c>
      <c r="AQ366" s="86">
        <f t="shared" si="103"/>
        <v>10.901812693046786</v>
      </c>
      <c r="AR366" s="86">
        <f t="shared" si="104"/>
        <v>47.129571330670537</v>
      </c>
      <c r="AS366" s="94">
        <f t="shared" si="105"/>
        <v>0.13142493809228287</v>
      </c>
      <c r="AT366" s="94">
        <f t="shared" si="106"/>
        <v>0.18248079446663487</v>
      </c>
      <c r="AU366" s="94">
        <f t="shared" si="107"/>
        <v>0.16743459847613582</v>
      </c>
    </row>
    <row r="367" spans="1:47" x14ac:dyDescent="0.3">
      <c r="A367" s="85" t="str">
        <f>_xlfn.XLOOKUP(B367,'Country codes &amp; Data sources'!G:G,'Country codes &amp; Data sources'!H:H,,0)</f>
        <v>Gabon</v>
      </c>
      <c r="B367" s="85" t="s">
        <v>157</v>
      </c>
      <c r="C367" s="86">
        <v>1836710</v>
      </c>
      <c r="D367" s="85" t="s">
        <v>127</v>
      </c>
      <c r="E367" s="87">
        <v>0</v>
      </c>
      <c r="F367" s="88">
        <v>1902226.5000000007</v>
      </c>
      <c r="G367" s="87">
        <v>0</v>
      </c>
      <c r="I367" s="87">
        <v>0</v>
      </c>
      <c r="K367" s="87">
        <v>0</v>
      </c>
      <c r="M367" s="87">
        <v>0</v>
      </c>
      <c r="O367" s="87">
        <v>0</v>
      </c>
      <c r="P367" s="88">
        <v>2192011.5</v>
      </c>
      <c r="Q367" s="87">
        <v>0</v>
      </c>
      <c r="R367" s="87">
        <f t="shared" si="90"/>
        <v>0</v>
      </c>
      <c r="T367" s="87">
        <v>117</v>
      </c>
      <c r="V367" s="87">
        <v>110</v>
      </c>
      <c r="X367" s="87">
        <v>0</v>
      </c>
      <c r="Y367" s="88">
        <v>2388992.5000000005</v>
      </c>
      <c r="Z367" s="87">
        <v>98</v>
      </c>
      <c r="AA367" s="87">
        <v>0</v>
      </c>
      <c r="AB367" s="89">
        <f t="shared" si="91"/>
        <v>0</v>
      </c>
      <c r="AC367" s="89">
        <f t="shared" si="92"/>
        <v>117</v>
      </c>
      <c r="AD367" s="89">
        <f t="shared" si="93"/>
        <v>110</v>
      </c>
      <c r="AE367" s="90">
        <f t="shared" si="94"/>
        <v>0</v>
      </c>
      <c r="AF367" s="90" t="str">
        <f t="shared" si="95"/>
        <v/>
      </c>
      <c r="AG367" s="90">
        <f t="shared" si="96"/>
        <v>117</v>
      </c>
      <c r="AH367" s="90">
        <f t="shared" si="97"/>
        <v>2019</v>
      </c>
      <c r="AI367" s="90">
        <f t="shared" si="98"/>
        <v>98</v>
      </c>
      <c r="AJ367" s="90">
        <f t="shared" si="99"/>
        <v>2022</v>
      </c>
      <c r="AK367" s="90" t="str">
        <f t="shared" si="100"/>
        <v>Adjust</v>
      </c>
      <c r="AL367" s="91">
        <f>IF(AK367="Adjust",(_xlfn.XLOOKUP(A367,'Adj factor'!A:A,'Adj factor'!I:I,,0)*AI367),'Master DataSheet'!AI367)</f>
        <v>108.87462895058496</v>
      </c>
      <c r="AM367" s="91">
        <f t="shared" si="101"/>
        <v>117</v>
      </c>
      <c r="AN367" s="92" t="str">
        <f t="shared" si="102"/>
        <v>Decreasing</v>
      </c>
      <c r="AO367" s="93">
        <f>VLOOKUP(B367,'Growthrates source'!A$2:H$49,8,FALSE)</f>
        <v>0.2599900753182236</v>
      </c>
      <c r="AP367" s="93">
        <f>VLOOKUP(B367,'Growthrates source'!A$2:I$49,9,FALSE)</f>
        <v>5.4673730437993617E-2</v>
      </c>
      <c r="AQ367" s="86">
        <f t="shared" si="103"/>
        <v>0</v>
      </c>
      <c r="AR367" s="86">
        <f t="shared" si="104"/>
        <v>0</v>
      </c>
      <c r="AS367" s="94">
        <f t="shared" si="105"/>
        <v>0</v>
      </c>
      <c r="AT367" s="94">
        <f t="shared" si="106"/>
        <v>0.53375632381490701</v>
      </c>
      <c r="AU367" s="94">
        <f t="shared" si="107"/>
        <v>0.4897462005426973</v>
      </c>
    </row>
    <row r="368" spans="1:47" x14ac:dyDescent="0.3">
      <c r="A368" s="85" t="str">
        <f>_xlfn.XLOOKUP(B368,'Country codes &amp; Data sources'!G:G,'Country codes &amp; Data sources'!H:H,,0)</f>
        <v>Gabon</v>
      </c>
      <c r="B368" s="85" t="s">
        <v>157</v>
      </c>
      <c r="C368" s="86">
        <v>1836711</v>
      </c>
      <c r="D368" s="85" t="s">
        <v>61</v>
      </c>
      <c r="E368" s="87">
        <v>0</v>
      </c>
      <c r="F368" s="88">
        <v>1902226.5000000007</v>
      </c>
      <c r="G368" s="87">
        <v>0</v>
      </c>
      <c r="I368" s="87">
        <v>999</v>
      </c>
      <c r="K368" s="87">
        <v>0</v>
      </c>
      <c r="M368" s="87">
        <v>4</v>
      </c>
      <c r="O368" s="87">
        <v>1985</v>
      </c>
      <c r="P368" s="88">
        <v>2192011.5</v>
      </c>
      <c r="Q368" s="87">
        <v>0</v>
      </c>
      <c r="R368" s="87">
        <f t="shared" si="90"/>
        <v>6</v>
      </c>
      <c r="T368" s="87">
        <v>0</v>
      </c>
      <c r="V368" s="87">
        <v>0</v>
      </c>
      <c r="X368" s="87">
        <v>0</v>
      </c>
      <c r="Y368" s="88">
        <v>2388992.5000000005</v>
      </c>
      <c r="Z368" s="87">
        <v>0</v>
      </c>
      <c r="AA368" s="87">
        <v>6</v>
      </c>
      <c r="AB368" s="89">
        <f t="shared" si="91"/>
        <v>999</v>
      </c>
      <c r="AC368" s="89">
        <f t="shared" si="92"/>
        <v>1985</v>
      </c>
      <c r="AD368" s="89">
        <f t="shared" si="93"/>
        <v>0</v>
      </c>
      <c r="AE368" s="90">
        <f t="shared" si="94"/>
        <v>999</v>
      </c>
      <c r="AF368" s="90">
        <f t="shared" si="95"/>
        <v>2014</v>
      </c>
      <c r="AG368" s="90">
        <f t="shared" si="96"/>
        <v>6</v>
      </c>
      <c r="AH368" s="90" t="str">
        <f t="shared" si="97"/>
        <v>2018 (triag)</v>
      </c>
      <c r="AI368" s="90">
        <f t="shared" si="98"/>
        <v>6</v>
      </c>
      <c r="AJ368" s="90" t="str">
        <f t="shared" si="99"/>
        <v>2018 (triag)</v>
      </c>
      <c r="AK368" s="90" t="str">
        <f t="shared" si="100"/>
        <v/>
      </c>
      <c r="AL368" s="91">
        <f>IF(AK368="Adjust",(_xlfn.XLOOKUP(A368,'Adj factor'!A:A,'Adj factor'!I:I,,0)*AI368),'Master DataSheet'!AI368)</f>
        <v>6</v>
      </c>
      <c r="AM368" s="91">
        <f t="shared" si="101"/>
        <v>6</v>
      </c>
      <c r="AN368" s="92" t="str">
        <f t="shared" si="102"/>
        <v>No change</v>
      </c>
      <c r="AO368" s="93">
        <f>VLOOKUP(B368,'Growthrates source'!A$2:H$49,8,FALSE)</f>
        <v>0.2599900753182236</v>
      </c>
      <c r="AP368" s="93">
        <f>VLOOKUP(B368,'Growthrates source'!A$2:I$49,9,FALSE)</f>
        <v>5.4673730437993617E-2</v>
      </c>
      <c r="AQ368" s="86">
        <f t="shared" si="103"/>
        <v>1.6352719039570178</v>
      </c>
      <c r="AR368" s="86">
        <f t="shared" si="104"/>
        <v>7.0694356996005805</v>
      </c>
      <c r="AS368" s="94">
        <f t="shared" si="105"/>
        <v>5.2517405261676231</v>
      </c>
      <c r="AT368" s="94">
        <f t="shared" si="106"/>
        <v>2.737211916999523E-2</v>
      </c>
      <c r="AU368" s="94">
        <f t="shared" si="107"/>
        <v>2.5115189771420375E-2</v>
      </c>
    </row>
    <row r="369" spans="1:47" x14ac:dyDescent="0.3">
      <c r="A369" s="85" t="str">
        <f>_xlfn.XLOOKUP(B369,'Country codes &amp; Data sources'!G:G,'Country codes &amp; Data sources'!H:H,,0)</f>
        <v>Gabon</v>
      </c>
      <c r="B369" s="85" t="s">
        <v>157</v>
      </c>
      <c r="C369" s="86">
        <v>1836712</v>
      </c>
      <c r="D369" s="85" t="s">
        <v>62</v>
      </c>
      <c r="E369" s="87">
        <v>0</v>
      </c>
      <c r="F369" s="88">
        <v>1902226.5000000007</v>
      </c>
      <c r="G369" s="87">
        <v>296</v>
      </c>
      <c r="I369" s="87">
        <v>6</v>
      </c>
      <c r="K369" s="87">
        <v>0</v>
      </c>
      <c r="M369" s="87">
        <v>29</v>
      </c>
      <c r="O369" s="87">
        <v>5029</v>
      </c>
      <c r="P369" s="88">
        <v>2192011.5</v>
      </c>
      <c r="Q369" s="87">
        <v>0</v>
      </c>
      <c r="R369" s="87">
        <f t="shared" si="90"/>
        <v>312</v>
      </c>
      <c r="T369" s="87">
        <v>0</v>
      </c>
      <c r="V369" s="87">
        <v>0</v>
      </c>
      <c r="X369" s="87">
        <v>0</v>
      </c>
      <c r="Y369" s="88">
        <v>2388992.5000000005</v>
      </c>
      <c r="Z369" s="87">
        <v>0</v>
      </c>
      <c r="AA369" s="87">
        <v>312</v>
      </c>
      <c r="AB369" s="89">
        <f t="shared" si="91"/>
        <v>296</v>
      </c>
      <c r="AC369" s="89">
        <f t="shared" si="92"/>
        <v>5029</v>
      </c>
      <c r="AD369" s="89">
        <f t="shared" si="93"/>
        <v>0</v>
      </c>
      <c r="AE369" s="90">
        <f t="shared" si="94"/>
        <v>296</v>
      </c>
      <c r="AF369" s="90">
        <f t="shared" si="95"/>
        <v>2013</v>
      </c>
      <c r="AG369" s="90">
        <f t="shared" si="96"/>
        <v>312</v>
      </c>
      <c r="AH369" s="90" t="str">
        <f t="shared" si="97"/>
        <v>2018 (triag)</v>
      </c>
      <c r="AI369" s="90">
        <f t="shared" si="98"/>
        <v>312</v>
      </c>
      <c r="AJ369" s="90" t="str">
        <f t="shared" si="99"/>
        <v>2018 (triag)</v>
      </c>
      <c r="AK369" s="90" t="str">
        <f t="shared" si="100"/>
        <v/>
      </c>
      <c r="AL369" s="91">
        <f>IF(AK369="Adjust",(_xlfn.XLOOKUP(A369,'Adj factor'!A:A,'Adj factor'!I:I,,0)*AI369),'Master DataSheet'!AI369)</f>
        <v>312</v>
      </c>
      <c r="AM369" s="91">
        <f t="shared" si="101"/>
        <v>312</v>
      </c>
      <c r="AN369" s="92" t="str">
        <f t="shared" si="102"/>
        <v>No change</v>
      </c>
      <c r="AO369" s="93">
        <f>VLOOKUP(B369,'Growthrates source'!A$2:H$49,8,FALSE)</f>
        <v>0.2599900753182236</v>
      </c>
      <c r="AP369" s="93">
        <f>VLOOKUP(B369,'Growthrates source'!A$2:I$49,9,FALSE)</f>
        <v>5.4673730437993617E-2</v>
      </c>
      <c r="AQ369" s="86">
        <f t="shared" si="103"/>
        <v>85.034139005764928</v>
      </c>
      <c r="AR369" s="86">
        <f t="shared" si="104"/>
        <v>367.61065637923019</v>
      </c>
      <c r="AS369" s="94">
        <f t="shared" si="105"/>
        <v>1.5560712670126291</v>
      </c>
      <c r="AT369" s="94">
        <f t="shared" si="106"/>
        <v>1.4233501968397519</v>
      </c>
      <c r="AU369" s="94">
        <f t="shared" si="107"/>
        <v>1.3059898681138595</v>
      </c>
    </row>
    <row r="370" spans="1:47" x14ac:dyDescent="0.3">
      <c r="A370" s="85" t="str">
        <f>_xlfn.XLOOKUP(B370,'Country codes &amp; Data sources'!G:G,'Country codes &amp; Data sources'!H:H,,0)</f>
        <v>Gabon</v>
      </c>
      <c r="B370" s="85" t="s">
        <v>157</v>
      </c>
      <c r="C370" s="86">
        <v>1836713</v>
      </c>
      <c r="D370" s="85" t="s">
        <v>203</v>
      </c>
      <c r="E370" s="87">
        <v>0</v>
      </c>
      <c r="F370" s="88">
        <v>1902226.5000000007</v>
      </c>
      <c r="G370" s="87">
        <v>0</v>
      </c>
      <c r="I370" s="87">
        <v>0</v>
      </c>
      <c r="K370" s="87">
        <v>0</v>
      </c>
      <c r="M370" s="87">
        <v>0</v>
      </c>
      <c r="O370" s="87">
        <v>0</v>
      </c>
      <c r="P370" s="88">
        <v>2192011.5</v>
      </c>
      <c r="Q370" s="87">
        <v>0</v>
      </c>
      <c r="R370" s="87">
        <f t="shared" si="90"/>
        <v>86</v>
      </c>
      <c r="T370" s="87">
        <v>40</v>
      </c>
      <c r="V370" s="87">
        <v>18</v>
      </c>
      <c r="X370" s="87">
        <v>0</v>
      </c>
      <c r="Y370" s="88">
        <v>2388992.5000000005</v>
      </c>
      <c r="Z370" s="87">
        <v>70</v>
      </c>
      <c r="AA370" s="87">
        <v>86</v>
      </c>
      <c r="AB370" s="89">
        <f t="shared" si="91"/>
        <v>0</v>
      </c>
      <c r="AC370" s="89">
        <f t="shared" si="92"/>
        <v>40</v>
      </c>
      <c r="AD370" s="89">
        <f t="shared" si="93"/>
        <v>70</v>
      </c>
      <c r="AE370" s="90">
        <f t="shared" si="94"/>
        <v>0</v>
      </c>
      <c r="AF370" s="90" t="str">
        <f t="shared" si="95"/>
        <v/>
      </c>
      <c r="AG370" s="90">
        <f t="shared" si="96"/>
        <v>86</v>
      </c>
      <c r="AH370" s="90" t="str">
        <f t="shared" si="97"/>
        <v>2018 (triag)</v>
      </c>
      <c r="AI370" s="90">
        <f t="shared" si="98"/>
        <v>70</v>
      </c>
      <c r="AJ370" s="90">
        <f t="shared" si="99"/>
        <v>2022</v>
      </c>
      <c r="AK370" s="90" t="str">
        <f t="shared" si="100"/>
        <v>Adjust</v>
      </c>
      <c r="AL370" s="91">
        <f>IF(AK370="Adjust",(_xlfn.XLOOKUP(A370,'Adj factor'!A:A,'Adj factor'!I:I,,0)*AI370),'Master DataSheet'!AI370)</f>
        <v>77.767592107560688</v>
      </c>
      <c r="AM370" s="91">
        <f t="shared" si="101"/>
        <v>86</v>
      </c>
      <c r="AN370" s="92" t="str">
        <f t="shared" si="102"/>
        <v>Decreasing</v>
      </c>
      <c r="AO370" s="93">
        <f>VLOOKUP(B370,'Growthrates source'!A$2:H$49,8,FALSE)</f>
        <v>0.2599900753182236</v>
      </c>
      <c r="AP370" s="93">
        <f>VLOOKUP(B370,'Growthrates source'!A$2:I$49,9,FALSE)</f>
        <v>5.4673730437993617E-2</v>
      </c>
      <c r="AQ370" s="86">
        <f t="shared" si="103"/>
        <v>23.438897290050591</v>
      </c>
      <c r="AR370" s="86">
        <f t="shared" si="104"/>
        <v>101.32857836094165</v>
      </c>
      <c r="AS370" s="94">
        <f t="shared" si="105"/>
        <v>0</v>
      </c>
      <c r="AT370" s="94">
        <f t="shared" si="106"/>
        <v>0.39233370810326496</v>
      </c>
      <c r="AU370" s="94">
        <f t="shared" si="107"/>
        <v>0.35998438672369204</v>
      </c>
    </row>
    <row r="371" spans="1:47" x14ac:dyDescent="0.3">
      <c r="A371" s="85" t="str">
        <f>_xlfn.XLOOKUP(B371,'Country codes &amp; Data sources'!G:G,'Country codes &amp; Data sources'!H:H,,0)</f>
        <v>Gabon</v>
      </c>
      <c r="B371" s="85" t="s">
        <v>157</v>
      </c>
      <c r="C371" s="86">
        <v>1836714</v>
      </c>
      <c r="D371" s="85" t="s">
        <v>204</v>
      </c>
      <c r="E371" s="87">
        <v>0</v>
      </c>
      <c r="F371" s="88">
        <v>1902226.5000000007</v>
      </c>
      <c r="G371" s="87">
        <v>0</v>
      </c>
      <c r="I371" s="87">
        <v>0</v>
      </c>
      <c r="K371" s="87">
        <v>0</v>
      </c>
      <c r="M371" s="87">
        <v>0</v>
      </c>
      <c r="O371" s="87">
        <v>0</v>
      </c>
      <c r="P371" s="88">
        <v>2192011.5</v>
      </c>
      <c r="Q371" s="87">
        <v>0</v>
      </c>
      <c r="R371" s="87">
        <f t="shared" si="90"/>
        <v>318</v>
      </c>
      <c r="T371" s="87">
        <v>344</v>
      </c>
      <c r="V371" s="87">
        <v>390</v>
      </c>
      <c r="X371" s="87">
        <v>0</v>
      </c>
      <c r="Y371" s="88">
        <v>2388992.5000000005</v>
      </c>
      <c r="Z371" s="87">
        <v>0</v>
      </c>
      <c r="AA371" s="87">
        <v>318</v>
      </c>
      <c r="AB371" s="89">
        <f t="shared" si="91"/>
        <v>0</v>
      </c>
      <c r="AC371" s="89">
        <f t="shared" si="92"/>
        <v>344</v>
      </c>
      <c r="AD371" s="89">
        <f t="shared" si="93"/>
        <v>390</v>
      </c>
      <c r="AE371" s="90">
        <f t="shared" si="94"/>
        <v>0</v>
      </c>
      <c r="AF371" s="90" t="str">
        <f t="shared" si="95"/>
        <v/>
      </c>
      <c r="AG371" s="90">
        <f t="shared" si="96"/>
        <v>318</v>
      </c>
      <c r="AH371" s="90" t="str">
        <f t="shared" si="97"/>
        <v>2018 (triag)</v>
      </c>
      <c r="AI371" s="90">
        <f t="shared" si="98"/>
        <v>390</v>
      </c>
      <c r="AJ371" s="90">
        <f t="shared" si="99"/>
        <v>2020</v>
      </c>
      <c r="AK371" s="90" t="str">
        <f t="shared" si="100"/>
        <v/>
      </c>
      <c r="AL371" s="91">
        <f>IF(AK371="Adjust",(_xlfn.XLOOKUP(A371,'Adj factor'!A:A,'Adj factor'!I:I,,0)*AI371),'Master DataSheet'!AI371)</f>
        <v>390</v>
      </c>
      <c r="AM371" s="91">
        <f t="shared" si="101"/>
        <v>390</v>
      </c>
      <c r="AN371" s="92" t="str">
        <f t="shared" si="102"/>
        <v>Increasing</v>
      </c>
      <c r="AO371" s="93">
        <f>VLOOKUP(B371,'Growthrates source'!A$2:H$49,8,FALSE)</f>
        <v>0.2599900753182236</v>
      </c>
      <c r="AP371" s="93">
        <f>VLOOKUP(B371,'Growthrates source'!A$2:I$49,9,FALSE)</f>
        <v>5.4673730437993617E-2</v>
      </c>
      <c r="AQ371" s="86">
        <f t="shared" si="103"/>
        <v>86.669410909721947</v>
      </c>
      <c r="AR371" s="86">
        <f t="shared" si="104"/>
        <v>374.68009207883074</v>
      </c>
      <c r="AS371" s="94">
        <f t="shared" si="105"/>
        <v>0</v>
      </c>
      <c r="AT371" s="94">
        <f t="shared" si="106"/>
        <v>1.4507223160097471</v>
      </c>
      <c r="AU371" s="94">
        <f t="shared" si="107"/>
        <v>1.6324873351423244</v>
      </c>
    </row>
    <row r="372" spans="1:47" x14ac:dyDescent="0.3">
      <c r="A372" s="85" t="str">
        <f>_xlfn.XLOOKUP(B372,'Country codes &amp; Data sources'!G:G,'Country codes &amp; Data sources'!H:H,,0)</f>
        <v>Gabon</v>
      </c>
      <c r="B372" s="85" t="s">
        <v>157</v>
      </c>
      <c r="C372" s="86">
        <v>1836715</v>
      </c>
      <c r="D372" s="85" t="s">
        <v>205</v>
      </c>
      <c r="E372" s="87">
        <v>0</v>
      </c>
      <c r="F372" s="88">
        <v>1902226.5000000007</v>
      </c>
      <c r="G372" s="87">
        <v>0</v>
      </c>
      <c r="I372" s="87">
        <v>0</v>
      </c>
      <c r="K372" s="87">
        <v>0</v>
      </c>
      <c r="M372" s="87">
        <v>33</v>
      </c>
      <c r="O372" s="87">
        <v>46</v>
      </c>
      <c r="P372" s="88">
        <v>2192011.5</v>
      </c>
      <c r="Q372" s="87">
        <v>0</v>
      </c>
      <c r="R372" s="87">
        <f t="shared" si="90"/>
        <v>46</v>
      </c>
      <c r="T372" s="87">
        <v>9</v>
      </c>
      <c r="V372" s="87">
        <v>9</v>
      </c>
      <c r="X372" s="87">
        <v>0</v>
      </c>
      <c r="Y372" s="88">
        <v>2388992.5000000005</v>
      </c>
      <c r="Z372" s="87">
        <v>17</v>
      </c>
      <c r="AA372" s="87">
        <v>46</v>
      </c>
      <c r="AB372" s="89">
        <f t="shared" si="91"/>
        <v>0</v>
      </c>
      <c r="AC372" s="89">
        <f t="shared" si="92"/>
        <v>46</v>
      </c>
      <c r="AD372" s="89">
        <f t="shared" si="93"/>
        <v>17</v>
      </c>
      <c r="AE372" s="90">
        <f t="shared" si="94"/>
        <v>0</v>
      </c>
      <c r="AF372" s="90" t="str">
        <f t="shared" si="95"/>
        <v/>
      </c>
      <c r="AG372" s="90">
        <f t="shared" si="96"/>
        <v>46</v>
      </c>
      <c r="AH372" s="90">
        <f t="shared" si="97"/>
        <v>2017</v>
      </c>
      <c r="AI372" s="90">
        <f t="shared" si="98"/>
        <v>17</v>
      </c>
      <c r="AJ372" s="90">
        <f t="shared" si="99"/>
        <v>2022</v>
      </c>
      <c r="AK372" s="90" t="str">
        <f t="shared" si="100"/>
        <v>Adjust</v>
      </c>
      <c r="AL372" s="91">
        <f>IF(AK372="Adjust",(_xlfn.XLOOKUP(A372,'Adj factor'!A:A,'Adj factor'!I:I,,0)*AI372),'Master DataSheet'!AI372)</f>
        <v>18.88641522612188</v>
      </c>
      <c r="AM372" s="91">
        <f t="shared" si="101"/>
        <v>46</v>
      </c>
      <c r="AN372" s="92" t="str">
        <f t="shared" si="102"/>
        <v>Decreasing</v>
      </c>
      <c r="AO372" s="93">
        <f>VLOOKUP(B372,'Growthrates source'!A$2:H$49,8,FALSE)</f>
        <v>0.2599900753182236</v>
      </c>
      <c r="AP372" s="93">
        <f>VLOOKUP(B372,'Growthrates source'!A$2:I$49,9,FALSE)</f>
        <v>5.4673730437993617E-2</v>
      </c>
      <c r="AQ372" s="86">
        <f t="shared" si="103"/>
        <v>12.537084597003805</v>
      </c>
      <c r="AR372" s="86">
        <f t="shared" si="104"/>
        <v>54.199007030271119</v>
      </c>
      <c r="AS372" s="94">
        <f t="shared" si="105"/>
        <v>0</v>
      </c>
      <c r="AT372" s="94">
        <f t="shared" si="106"/>
        <v>0.20985291363663011</v>
      </c>
      <c r="AU372" s="94">
        <f t="shared" si="107"/>
        <v>0.1925497882475562</v>
      </c>
    </row>
    <row r="373" spans="1:47" x14ac:dyDescent="0.3">
      <c r="A373" s="85" t="str">
        <f>_xlfn.XLOOKUP(B373,'Country codes &amp; Data sources'!G:G,'Country codes &amp; Data sources'!H:H,,0)</f>
        <v>Gabon</v>
      </c>
      <c r="B373" s="85" t="s">
        <v>157</v>
      </c>
      <c r="C373" s="86">
        <v>1836716</v>
      </c>
      <c r="D373" s="85" t="s">
        <v>133</v>
      </c>
      <c r="E373" s="87">
        <v>0</v>
      </c>
      <c r="F373" s="88">
        <v>1902226.5000000007</v>
      </c>
      <c r="G373" s="87">
        <v>0</v>
      </c>
      <c r="I373" s="87">
        <v>0</v>
      </c>
      <c r="K373" s="87">
        <v>0</v>
      </c>
      <c r="M373" s="87">
        <v>0</v>
      </c>
      <c r="O373" s="87">
        <v>0</v>
      </c>
      <c r="P373" s="88">
        <v>2192011.5</v>
      </c>
      <c r="Q373" s="87">
        <v>439</v>
      </c>
      <c r="R373" s="87">
        <f t="shared" si="90"/>
        <v>439</v>
      </c>
      <c r="T373" s="87">
        <v>454</v>
      </c>
      <c r="V373" s="87">
        <v>469</v>
      </c>
      <c r="X373" s="87">
        <v>0</v>
      </c>
      <c r="Y373" s="88">
        <v>2388992.5000000005</v>
      </c>
      <c r="Z373" s="87">
        <v>231</v>
      </c>
      <c r="AA373" s="87">
        <v>83</v>
      </c>
      <c r="AB373" s="89">
        <f t="shared" si="91"/>
        <v>0</v>
      </c>
      <c r="AC373" s="89">
        <f t="shared" si="92"/>
        <v>454</v>
      </c>
      <c r="AD373" s="89">
        <f t="shared" si="93"/>
        <v>469</v>
      </c>
      <c r="AE373" s="90">
        <f t="shared" si="94"/>
        <v>0</v>
      </c>
      <c r="AF373" s="90" t="str">
        <f t="shared" si="95"/>
        <v/>
      </c>
      <c r="AG373" s="90">
        <f t="shared" si="96"/>
        <v>439</v>
      </c>
      <c r="AH373" s="90">
        <f t="shared" si="97"/>
        <v>2018</v>
      </c>
      <c r="AI373" s="90">
        <f t="shared" si="98"/>
        <v>231</v>
      </c>
      <c r="AJ373" s="90">
        <f t="shared" si="99"/>
        <v>2022</v>
      </c>
      <c r="AK373" s="90" t="str">
        <f t="shared" si="100"/>
        <v>Adjust</v>
      </c>
      <c r="AL373" s="91">
        <f>IF(AK373="Adjust",(_xlfn.XLOOKUP(A373,'Adj factor'!A:A,'Adj factor'!I:I,,0)*AI373),'Master DataSheet'!AI373)</f>
        <v>256.63305395495024</v>
      </c>
      <c r="AM373" s="91">
        <f t="shared" si="101"/>
        <v>439</v>
      </c>
      <c r="AN373" s="92" t="str">
        <f t="shared" si="102"/>
        <v>Decreasing</v>
      </c>
      <c r="AO373" s="93">
        <f>VLOOKUP(B373,'Growthrates source'!A$2:H$49,8,FALSE)</f>
        <v>0.2599900753182236</v>
      </c>
      <c r="AP373" s="93">
        <f>VLOOKUP(B373,'Growthrates source'!A$2:I$49,9,FALSE)</f>
        <v>5.4673730437993617E-2</v>
      </c>
      <c r="AQ373" s="86">
        <f t="shared" si="103"/>
        <v>22.621261338072081</v>
      </c>
      <c r="AR373" s="86">
        <f t="shared" si="104"/>
        <v>97.793860511141361</v>
      </c>
      <c r="AS373" s="94">
        <f t="shared" si="105"/>
        <v>0</v>
      </c>
      <c r="AT373" s="94">
        <f t="shared" si="106"/>
        <v>2.0027267192713176</v>
      </c>
      <c r="AU373" s="94">
        <f t="shared" si="107"/>
        <v>1.8375947182755907</v>
      </c>
    </row>
    <row r="374" spans="1:47" x14ac:dyDescent="0.3">
      <c r="A374" s="85" t="str">
        <f>_xlfn.XLOOKUP(B374,'Country codes &amp; Data sources'!G:G,'Country codes &amp; Data sources'!H:H,,0)</f>
        <v>Gabon</v>
      </c>
      <c r="B374" s="85" t="s">
        <v>157</v>
      </c>
      <c r="C374" s="86">
        <v>1836717</v>
      </c>
      <c r="D374" s="85" t="s">
        <v>206</v>
      </c>
      <c r="E374" s="87">
        <v>0</v>
      </c>
      <c r="F374" s="88">
        <v>1902226.5000000007</v>
      </c>
      <c r="G374" s="87">
        <v>0</v>
      </c>
      <c r="I374" s="87">
        <v>0</v>
      </c>
      <c r="K374" s="87">
        <v>0</v>
      </c>
      <c r="M374" s="87">
        <v>0</v>
      </c>
      <c r="O374" s="87">
        <v>18</v>
      </c>
      <c r="P374" s="88">
        <v>2192011.5</v>
      </c>
      <c r="Q374" s="87">
        <v>0</v>
      </c>
      <c r="R374" s="87">
        <f t="shared" si="90"/>
        <v>18</v>
      </c>
      <c r="T374" s="87">
        <v>14</v>
      </c>
      <c r="V374" s="87">
        <v>14</v>
      </c>
      <c r="X374" s="87">
        <v>0</v>
      </c>
      <c r="Y374" s="88">
        <v>2388992.5000000005</v>
      </c>
      <c r="Z374" s="87">
        <v>0</v>
      </c>
      <c r="AA374" s="87">
        <v>18</v>
      </c>
      <c r="AB374" s="89">
        <f t="shared" si="91"/>
        <v>0</v>
      </c>
      <c r="AC374" s="89">
        <f t="shared" si="92"/>
        <v>18</v>
      </c>
      <c r="AD374" s="89">
        <f t="shared" si="93"/>
        <v>14</v>
      </c>
      <c r="AE374" s="90">
        <f t="shared" si="94"/>
        <v>0</v>
      </c>
      <c r="AF374" s="90" t="str">
        <f t="shared" si="95"/>
        <v/>
      </c>
      <c r="AG374" s="90">
        <f t="shared" si="96"/>
        <v>18</v>
      </c>
      <c r="AH374" s="90">
        <f t="shared" si="97"/>
        <v>2017</v>
      </c>
      <c r="AI374" s="90">
        <f t="shared" si="98"/>
        <v>14</v>
      </c>
      <c r="AJ374" s="90">
        <f t="shared" si="99"/>
        <v>2020</v>
      </c>
      <c r="AK374" s="90" t="str">
        <f t="shared" si="100"/>
        <v>Adjust</v>
      </c>
      <c r="AL374" s="91">
        <f>IF(AK374="Adjust",(_xlfn.XLOOKUP(A374,'Adj factor'!A:A,'Adj factor'!I:I,,0)*AI374),'Master DataSheet'!AI374)</f>
        <v>15.553518421512138</v>
      </c>
      <c r="AM374" s="91">
        <f t="shared" si="101"/>
        <v>18</v>
      </c>
      <c r="AN374" s="92" t="str">
        <f t="shared" si="102"/>
        <v>Decreasing</v>
      </c>
      <c r="AO374" s="93">
        <f>VLOOKUP(B374,'Growthrates source'!A$2:H$49,8,FALSE)</f>
        <v>0.2599900753182236</v>
      </c>
      <c r="AP374" s="93">
        <f>VLOOKUP(B374,'Growthrates source'!A$2:I$49,9,FALSE)</f>
        <v>5.4673730437993617E-2</v>
      </c>
      <c r="AQ374" s="86">
        <f t="shared" si="103"/>
        <v>4.9058157118710541</v>
      </c>
      <c r="AR374" s="86">
        <f t="shared" si="104"/>
        <v>21.20830709880174</v>
      </c>
      <c r="AS374" s="94">
        <f t="shared" si="105"/>
        <v>0</v>
      </c>
      <c r="AT374" s="94">
        <f t="shared" si="106"/>
        <v>8.2116357509985693E-2</v>
      </c>
      <c r="AU374" s="94">
        <f t="shared" si="107"/>
        <v>7.5345569314261118E-2</v>
      </c>
    </row>
    <row r="375" spans="1:47" x14ac:dyDescent="0.3">
      <c r="A375" s="85" t="str">
        <f>_xlfn.XLOOKUP(B375,'Country codes &amp; Data sources'!G:G,'Country codes &amp; Data sources'!H:H,,0)</f>
        <v>Gabon</v>
      </c>
      <c r="B375" s="85" t="s">
        <v>157</v>
      </c>
      <c r="C375" s="86">
        <v>1836718</v>
      </c>
      <c r="D375" s="85" t="s">
        <v>136</v>
      </c>
      <c r="E375" s="87">
        <v>0</v>
      </c>
      <c r="F375" s="88">
        <v>1902226.5000000007</v>
      </c>
      <c r="G375" s="87">
        <v>0</v>
      </c>
      <c r="I375" s="87">
        <v>0</v>
      </c>
      <c r="K375" s="87">
        <v>0</v>
      </c>
      <c r="M375" s="87">
        <v>66</v>
      </c>
      <c r="O375" s="87">
        <v>93</v>
      </c>
      <c r="P375" s="88">
        <v>2192011.5</v>
      </c>
      <c r="Q375" s="87">
        <v>0</v>
      </c>
      <c r="R375" s="87">
        <f t="shared" si="90"/>
        <v>93</v>
      </c>
      <c r="T375" s="87">
        <v>78</v>
      </c>
      <c r="V375" s="87">
        <v>82</v>
      </c>
      <c r="X375" s="87">
        <v>0</v>
      </c>
      <c r="Y375" s="88">
        <v>2388992.5000000005</v>
      </c>
      <c r="Z375" s="87">
        <v>478</v>
      </c>
      <c r="AA375" s="87">
        <v>93</v>
      </c>
      <c r="AB375" s="89">
        <f t="shared" si="91"/>
        <v>0</v>
      </c>
      <c r="AC375" s="89">
        <f t="shared" si="92"/>
        <v>93</v>
      </c>
      <c r="AD375" s="89">
        <f t="shared" si="93"/>
        <v>478</v>
      </c>
      <c r="AE375" s="90">
        <f t="shared" si="94"/>
        <v>0</v>
      </c>
      <c r="AF375" s="90" t="str">
        <f t="shared" si="95"/>
        <v/>
      </c>
      <c r="AG375" s="90">
        <f t="shared" si="96"/>
        <v>93</v>
      </c>
      <c r="AH375" s="90">
        <f t="shared" si="97"/>
        <v>2017</v>
      </c>
      <c r="AI375" s="90">
        <f t="shared" si="98"/>
        <v>478</v>
      </c>
      <c r="AJ375" s="90">
        <f t="shared" si="99"/>
        <v>2022</v>
      </c>
      <c r="AK375" s="90" t="str">
        <f t="shared" si="100"/>
        <v/>
      </c>
      <c r="AL375" s="91">
        <f>IF(AK375="Adjust",(_xlfn.XLOOKUP(A375,'Adj factor'!A:A,'Adj factor'!I:I,,0)*AI375),'Master DataSheet'!AI375)</f>
        <v>478</v>
      </c>
      <c r="AM375" s="91">
        <f t="shared" si="101"/>
        <v>478</v>
      </c>
      <c r="AN375" s="92" t="str">
        <f t="shared" si="102"/>
        <v>Increasing</v>
      </c>
      <c r="AO375" s="93">
        <f>VLOOKUP(B375,'Growthrates source'!A$2:H$49,8,FALSE)</f>
        <v>0.2599900753182236</v>
      </c>
      <c r="AP375" s="93">
        <f>VLOOKUP(B375,'Growthrates source'!A$2:I$49,9,FALSE)</f>
        <v>5.4673730437993617E-2</v>
      </c>
      <c r="AQ375" s="86">
        <f t="shared" si="103"/>
        <v>25.346714511333779</v>
      </c>
      <c r="AR375" s="86">
        <f t="shared" si="104"/>
        <v>109.576253343809</v>
      </c>
      <c r="AS375" s="94">
        <f t="shared" si="105"/>
        <v>0</v>
      </c>
      <c r="AT375" s="94">
        <f t="shared" si="106"/>
        <v>0.42426784713492605</v>
      </c>
      <c r="AU375" s="94">
        <f t="shared" si="107"/>
        <v>2.000843451789823</v>
      </c>
    </row>
    <row r="376" spans="1:47" x14ac:dyDescent="0.3">
      <c r="A376" s="85" t="str">
        <f>_xlfn.XLOOKUP(B376,'Country codes &amp; Data sources'!G:G,'Country codes &amp; Data sources'!H:H,,0)</f>
        <v>Gabon</v>
      </c>
      <c r="B376" s="85" t="s">
        <v>157</v>
      </c>
      <c r="C376" s="86">
        <v>1836719</v>
      </c>
      <c r="D376" s="85" t="s">
        <v>207</v>
      </c>
      <c r="E376" s="87">
        <v>0</v>
      </c>
      <c r="F376" s="88">
        <v>1902226.5000000007</v>
      </c>
      <c r="G376" s="87">
        <v>0</v>
      </c>
      <c r="I376" s="87">
        <v>0</v>
      </c>
      <c r="K376" s="87">
        <v>0</v>
      </c>
      <c r="M376" s="87">
        <v>0</v>
      </c>
      <c r="O376" s="87">
        <v>32</v>
      </c>
      <c r="P376" s="88">
        <v>2192011.5</v>
      </c>
      <c r="Q376" s="87">
        <v>0</v>
      </c>
      <c r="R376" s="87">
        <f t="shared" si="90"/>
        <v>127</v>
      </c>
      <c r="T376" s="87">
        <v>1</v>
      </c>
      <c r="V376" s="87">
        <v>0</v>
      </c>
      <c r="X376" s="87">
        <v>0</v>
      </c>
      <c r="Y376" s="88">
        <v>2388992.5000000005</v>
      </c>
      <c r="Z376" s="87">
        <v>0</v>
      </c>
      <c r="AA376" s="87">
        <v>127</v>
      </c>
      <c r="AB376" s="89">
        <f t="shared" si="91"/>
        <v>0</v>
      </c>
      <c r="AC376" s="89">
        <f t="shared" si="92"/>
        <v>32</v>
      </c>
      <c r="AD376" s="89">
        <f t="shared" si="93"/>
        <v>0</v>
      </c>
      <c r="AE376" s="90">
        <f t="shared" si="94"/>
        <v>0</v>
      </c>
      <c r="AF376" s="90" t="str">
        <f t="shared" si="95"/>
        <v/>
      </c>
      <c r="AG376" s="90">
        <f t="shared" si="96"/>
        <v>127</v>
      </c>
      <c r="AH376" s="90" t="str">
        <f t="shared" si="97"/>
        <v>2018 (triag)</v>
      </c>
      <c r="AI376" s="90">
        <f t="shared" si="98"/>
        <v>1</v>
      </c>
      <c r="AJ376" s="90" t="str">
        <f t="shared" si="99"/>
        <v>2018 (triag)</v>
      </c>
      <c r="AK376" s="90" t="str">
        <f t="shared" si="100"/>
        <v>Adjust</v>
      </c>
      <c r="AL376" s="91">
        <f>IF(AK376="Adjust",(_xlfn.XLOOKUP(A376,'Adj factor'!A:A,'Adj factor'!I:I,,0)*AI376),'Master DataSheet'!AI376)</f>
        <v>1.1109656015365812</v>
      </c>
      <c r="AM376" s="91">
        <f t="shared" si="101"/>
        <v>127</v>
      </c>
      <c r="AN376" s="92" t="str">
        <f t="shared" si="102"/>
        <v>Decreasing</v>
      </c>
      <c r="AO376" s="93">
        <f>VLOOKUP(B376,'Growthrates source'!A$2:H$49,8,FALSE)</f>
        <v>0.2599900753182236</v>
      </c>
      <c r="AP376" s="93">
        <f>VLOOKUP(B376,'Growthrates source'!A$2:I$49,9,FALSE)</f>
        <v>5.4673730437993617E-2</v>
      </c>
      <c r="AQ376" s="86">
        <f t="shared" si="103"/>
        <v>34.613255300423546</v>
      </c>
      <c r="AR376" s="86">
        <f t="shared" si="104"/>
        <v>149.63638897487894</v>
      </c>
      <c r="AS376" s="94">
        <f t="shared" si="105"/>
        <v>0</v>
      </c>
      <c r="AT376" s="94">
        <f t="shared" si="106"/>
        <v>0.57937652243156568</v>
      </c>
      <c r="AU376" s="94">
        <f t="shared" si="107"/>
        <v>0.5316048501617312</v>
      </c>
    </row>
    <row r="377" spans="1:47" x14ac:dyDescent="0.3">
      <c r="A377" s="85" t="str">
        <f>_xlfn.XLOOKUP(B377,'Country codes &amp; Data sources'!G:G,'Country codes &amp; Data sources'!H:H,,0)</f>
        <v>Gabon</v>
      </c>
      <c r="B377" s="85" t="s">
        <v>157</v>
      </c>
      <c r="C377" s="86">
        <v>1836720</v>
      </c>
      <c r="D377" s="85" t="s">
        <v>141</v>
      </c>
      <c r="E377" s="87">
        <v>0</v>
      </c>
      <c r="F377" s="88">
        <v>1902226.5000000007</v>
      </c>
      <c r="G377" s="87">
        <v>0</v>
      </c>
      <c r="I377" s="87">
        <v>0</v>
      </c>
      <c r="K377" s="87">
        <v>0</v>
      </c>
      <c r="M377" s="87">
        <v>0</v>
      </c>
      <c r="O377" s="87">
        <v>5</v>
      </c>
      <c r="P377" s="88">
        <v>2192011.5</v>
      </c>
      <c r="Q377" s="87">
        <v>0</v>
      </c>
      <c r="R377" s="87">
        <f t="shared" si="90"/>
        <v>5</v>
      </c>
      <c r="T377" s="87">
        <v>9</v>
      </c>
      <c r="V377" s="87">
        <v>9</v>
      </c>
      <c r="X377" s="87">
        <v>0</v>
      </c>
      <c r="Y377" s="88">
        <v>2388992.5000000005</v>
      </c>
      <c r="Z377" s="87">
        <v>0</v>
      </c>
      <c r="AA377" s="87">
        <v>5</v>
      </c>
      <c r="AB377" s="89">
        <f t="shared" si="91"/>
        <v>0</v>
      </c>
      <c r="AC377" s="89">
        <f t="shared" si="92"/>
        <v>9</v>
      </c>
      <c r="AD377" s="89">
        <f t="shared" si="93"/>
        <v>9</v>
      </c>
      <c r="AE377" s="90">
        <f t="shared" si="94"/>
        <v>0</v>
      </c>
      <c r="AF377" s="90" t="str">
        <f t="shared" si="95"/>
        <v/>
      </c>
      <c r="AG377" s="90">
        <f t="shared" si="96"/>
        <v>5</v>
      </c>
      <c r="AH377" s="90">
        <f t="shared" si="97"/>
        <v>2017</v>
      </c>
      <c r="AI377" s="90">
        <f t="shared" si="98"/>
        <v>9</v>
      </c>
      <c r="AJ377" s="90">
        <f t="shared" si="99"/>
        <v>2020</v>
      </c>
      <c r="AK377" s="90" t="str">
        <f t="shared" si="100"/>
        <v/>
      </c>
      <c r="AL377" s="91">
        <f>IF(AK377="Adjust",(_xlfn.XLOOKUP(A377,'Adj factor'!A:A,'Adj factor'!I:I,,0)*AI377),'Master DataSheet'!AI377)</f>
        <v>9</v>
      </c>
      <c r="AM377" s="91">
        <f t="shared" si="101"/>
        <v>9</v>
      </c>
      <c r="AN377" s="92" t="str">
        <f t="shared" si="102"/>
        <v>Increasing</v>
      </c>
      <c r="AO377" s="93">
        <f>VLOOKUP(B377,'Growthrates source'!A$2:H$49,8,FALSE)</f>
        <v>0.2599900753182236</v>
      </c>
      <c r="AP377" s="93">
        <f>VLOOKUP(B377,'Growthrates source'!A$2:I$49,9,FALSE)</f>
        <v>5.4673730437993617E-2</v>
      </c>
      <c r="AQ377" s="86">
        <f t="shared" si="103"/>
        <v>1.3627265866308482</v>
      </c>
      <c r="AR377" s="86">
        <f t="shared" si="104"/>
        <v>5.8911964163338171</v>
      </c>
      <c r="AS377" s="94">
        <f t="shared" si="105"/>
        <v>0</v>
      </c>
      <c r="AT377" s="94">
        <f t="shared" si="106"/>
        <v>2.2810099308329359E-2</v>
      </c>
      <c r="AU377" s="94">
        <f t="shared" si="107"/>
        <v>3.7672784657130559E-2</v>
      </c>
    </row>
    <row r="378" spans="1:47" x14ac:dyDescent="0.3">
      <c r="A378" s="85" t="str">
        <f>_xlfn.XLOOKUP(B378,'Country codes &amp; Data sources'!G:G,'Country codes &amp; Data sources'!H:H,,0)</f>
        <v>Gabon</v>
      </c>
      <c r="B378" s="85" t="s">
        <v>157</v>
      </c>
      <c r="C378" s="86">
        <v>1836721</v>
      </c>
      <c r="D378" s="85" t="s">
        <v>208</v>
      </c>
      <c r="E378" s="87">
        <v>0</v>
      </c>
      <c r="F378" s="88">
        <v>1902226.5000000007</v>
      </c>
      <c r="G378" s="87">
        <v>0</v>
      </c>
      <c r="I378" s="87">
        <v>0</v>
      </c>
      <c r="K378" s="87">
        <v>0</v>
      </c>
      <c r="M378" s="87">
        <v>0</v>
      </c>
      <c r="O378" s="87">
        <v>0</v>
      </c>
      <c r="P378" s="88">
        <v>2192011.5</v>
      </c>
      <c r="Q378" s="87">
        <v>0</v>
      </c>
      <c r="R378" s="87">
        <f t="shared" si="90"/>
        <v>1939</v>
      </c>
      <c r="T378" s="87">
        <v>942</v>
      </c>
      <c r="V378" s="87">
        <v>947</v>
      </c>
      <c r="X378" s="87">
        <v>0</v>
      </c>
      <c r="Y378" s="88">
        <v>2388992.5000000005</v>
      </c>
      <c r="Z378" s="87">
        <v>0</v>
      </c>
      <c r="AA378" s="87">
        <v>1939</v>
      </c>
      <c r="AB378" s="89">
        <f t="shared" si="91"/>
        <v>0</v>
      </c>
      <c r="AC378" s="89">
        <f t="shared" si="92"/>
        <v>942</v>
      </c>
      <c r="AD378" s="89">
        <f t="shared" si="93"/>
        <v>947</v>
      </c>
      <c r="AE378" s="90">
        <f t="shared" si="94"/>
        <v>0</v>
      </c>
      <c r="AF378" s="90" t="str">
        <f t="shared" si="95"/>
        <v/>
      </c>
      <c r="AG378" s="90">
        <f t="shared" si="96"/>
        <v>1939</v>
      </c>
      <c r="AH378" s="90" t="str">
        <f t="shared" si="97"/>
        <v>2018 (triag)</v>
      </c>
      <c r="AI378" s="90">
        <f t="shared" si="98"/>
        <v>947</v>
      </c>
      <c r="AJ378" s="90">
        <f t="shared" si="99"/>
        <v>2020</v>
      </c>
      <c r="AK378" s="90" t="str">
        <f t="shared" si="100"/>
        <v>Adjust</v>
      </c>
      <c r="AL378" s="91">
        <f>IF(AK378="Adjust",(_xlfn.XLOOKUP(A378,'Adj factor'!A:A,'Adj factor'!I:I,,0)*AI378),'Master DataSheet'!AI378)</f>
        <v>1052.0844246551424</v>
      </c>
      <c r="AM378" s="91">
        <f t="shared" si="101"/>
        <v>1939</v>
      </c>
      <c r="AN378" s="92" t="str">
        <f t="shared" si="102"/>
        <v>Decreasing</v>
      </c>
      <c r="AO378" s="93">
        <f>VLOOKUP(B378,'Growthrates source'!A$2:H$49,8,FALSE)</f>
        <v>0.2599900753182236</v>
      </c>
      <c r="AP378" s="93">
        <f>VLOOKUP(B378,'Growthrates source'!A$2:I$49,9,FALSE)</f>
        <v>5.4673730437993617E-2</v>
      </c>
      <c r="AQ378" s="86">
        <f t="shared" si="103"/>
        <v>528.46537029544299</v>
      </c>
      <c r="AR378" s="86">
        <f t="shared" si="104"/>
        <v>2284.6059702542543</v>
      </c>
      <c r="AS378" s="94">
        <f t="shared" si="105"/>
        <v>0</v>
      </c>
      <c r="AT378" s="94">
        <f t="shared" si="106"/>
        <v>8.8457565117701247</v>
      </c>
      <c r="AU378" s="94">
        <f t="shared" si="107"/>
        <v>8.1163921611306851</v>
      </c>
    </row>
    <row r="379" spans="1:47" x14ac:dyDescent="0.3">
      <c r="A379" s="85" t="str">
        <f>_xlfn.XLOOKUP(B379,'Country codes &amp; Data sources'!G:G,'Country codes &amp; Data sources'!H:H,,0)</f>
        <v>Gabon</v>
      </c>
      <c r="B379" s="85" t="s">
        <v>157</v>
      </c>
      <c r="C379" s="86">
        <v>1836722</v>
      </c>
      <c r="D379" s="85" t="s">
        <v>209</v>
      </c>
      <c r="E379" s="87">
        <v>0</v>
      </c>
      <c r="F379" s="88">
        <v>1902226.5000000007</v>
      </c>
      <c r="G379" s="87">
        <v>0</v>
      </c>
      <c r="I379" s="87">
        <v>0</v>
      </c>
      <c r="K379" s="87">
        <v>0</v>
      </c>
      <c r="M379" s="87">
        <v>0</v>
      </c>
      <c r="O379" s="87">
        <v>0</v>
      </c>
      <c r="P379" s="88">
        <v>2192011.5</v>
      </c>
      <c r="Q379" s="87">
        <v>0</v>
      </c>
      <c r="R379" s="87">
        <f t="shared" si="90"/>
        <v>62</v>
      </c>
      <c r="T379" s="87">
        <v>2595</v>
      </c>
      <c r="V379" s="87">
        <v>2714</v>
      </c>
      <c r="X379" s="87">
        <v>0</v>
      </c>
      <c r="Y379" s="88">
        <v>2388992.5000000005</v>
      </c>
      <c r="Z379" s="87">
        <v>0</v>
      </c>
      <c r="AA379" s="87">
        <v>62</v>
      </c>
      <c r="AB379" s="89">
        <f t="shared" si="91"/>
        <v>0</v>
      </c>
      <c r="AC379" s="89">
        <f t="shared" si="92"/>
        <v>2595</v>
      </c>
      <c r="AD379" s="89">
        <f t="shared" si="93"/>
        <v>2714</v>
      </c>
      <c r="AE379" s="90">
        <f t="shared" si="94"/>
        <v>0</v>
      </c>
      <c r="AF379" s="90" t="str">
        <f t="shared" si="95"/>
        <v/>
      </c>
      <c r="AG379" s="90">
        <f t="shared" si="96"/>
        <v>62</v>
      </c>
      <c r="AH379" s="90" t="str">
        <f t="shared" si="97"/>
        <v>2018 (triag)</v>
      </c>
      <c r="AI379" s="90">
        <f t="shared" si="98"/>
        <v>2714</v>
      </c>
      <c r="AJ379" s="90">
        <f t="shared" si="99"/>
        <v>2020</v>
      </c>
      <c r="AK379" s="90" t="str">
        <f t="shared" si="100"/>
        <v/>
      </c>
      <c r="AL379" s="91">
        <f>IF(AK379="Adjust",(_xlfn.XLOOKUP(A379,'Adj factor'!A:A,'Adj factor'!I:I,,0)*AI379),'Master DataSheet'!AI379)</f>
        <v>2714</v>
      </c>
      <c r="AM379" s="91">
        <f t="shared" si="101"/>
        <v>2714</v>
      </c>
      <c r="AN379" s="92" t="str">
        <f t="shared" si="102"/>
        <v>Increasing</v>
      </c>
      <c r="AO379" s="93">
        <f>VLOOKUP(B379,'Growthrates source'!A$2:H$49,8,FALSE)</f>
        <v>0.2599900753182236</v>
      </c>
      <c r="AP379" s="93">
        <f>VLOOKUP(B379,'Growthrates source'!A$2:I$49,9,FALSE)</f>
        <v>5.4673730437993617E-2</v>
      </c>
      <c r="AQ379" s="86">
        <f t="shared" si="103"/>
        <v>16.897809674222518</v>
      </c>
      <c r="AR379" s="86">
        <f t="shared" si="104"/>
        <v>73.050835562539334</v>
      </c>
      <c r="AS379" s="94">
        <f t="shared" si="105"/>
        <v>0</v>
      </c>
      <c r="AT379" s="94">
        <f t="shared" si="106"/>
        <v>0.28284523142328405</v>
      </c>
      <c r="AU379" s="94">
        <f t="shared" si="107"/>
        <v>11.360437506605816</v>
      </c>
    </row>
    <row r="380" spans="1:47" x14ac:dyDescent="0.3">
      <c r="A380" s="85" t="str">
        <f>_xlfn.XLOOKUP(B380,'Country codes &amp; Data sources'!G:G,'Country codes &amp; Data sources'!H:H,,0)</f>
        <v>Gabon</v>
      </c>
      <c r="B380" s="85" t="s">
        <v>157</v>
      </c>
      <c r="C380" s="86">
        <v>1836723</v>
      </c>
      <c r="D380" s="85" t="s">
        <v>134</v>
      </c>
      <c r="E380" s="87">
        <v>0</v>
      </c>
      <c r="F380" s="88">
        <v>1902226.5000000007</v>
      </c>
      <c r="G380" s="87">
        <v>0</v>
      </c>
      <c r="I380" s="87">
        <v>0</v>
      </c>
      <c r="K380" s="87">
        <v>0</v>
      </c>
      <c r="M380" s="87">
        <v>287</v>
      </c>
      <c r="O380" s="87">
        <v>442</v>
      </c>
      <c r="P380" s="88">
        <v>2192011.5</v>
      </c>
      <c r="Q380" s="87">
        <v>0</v>
      </c>
      <c r="R380" s="87">
        <f t="shared" si="90"/>
        <v>439</v>
      </c>
      <c r="T380" s="87">
        <v>72</v>
      </c>
      <c r="V380" s="87">
        <v>74</v>
      </c>
      <c r="X380" s="87">
        <v>0</v>
      </c>
      <c r="Y380" s="88">
        <v>2388992.5000000005</v>
      </c>
      <c r="Z380" s="87">
        <v>228</v>
      </c>
      <c r="AA380" s="87">
        <v>439</v>
      </c>
      <c r="AB380" s="89">
        <f t="shared" si="91"/>
        <v>0</v>
      </c>
      <c r="AC380" s="89">
        <f t="shared" si="92"/>
        <v>442</v>
      </c>
      <c r="AD380" s="89">
        <f t="shared" si="93"/>
        <v>228</v>
      </c>
      <c r="AE380" s="90">
        <f t="shared" si="94"/>
        <v>0</v>
      </c>
      <c r="AF380" s="90" t="str">
        <f t="shared" si="95"/>
        <v/>
      </c>
      <c r="AG380" s="90">
        <f t="shared" si="96"/>
        <v>439</v>
      </c>
      <c r="AH380" s="90" t="str">
        <f t="shared" si="97"/>
        <v>2018 (triag)</v>
      </c>
      <c r="AI380" s="90">
        <f t="shared" si="98"/>
        <v>228</v>
      </c>
      <c r="AJ380" s="90">
        <f t="shared" si="99"/>
        <v>2022</v>
      </c>
      <c r="AK380" s="90" t="str">
        <f t="shared" si="100"/>
        <v>Adjust</v>
      </c>
      <c r="AL380" s="91">
        <f>IF(AK380="Adjust",(_xlfn.XLOOKUP(A380,'Adj factor'!A:A,'Adj factor'!I:I,,0)*AI380),'Master DataSheet'!AI380)</f>
        <v>253.30015715034051</v>
      </c>
      <c r="AM380" s="91">
        <f t="shared" si="101"/>
        <v>439</v>
      </c>
      <c r="AN380" s="92" t="str">
        <f t="shared" si="102"/>
        <v>Decreasing</v>
      </c>
      <c r="AO380" s="93">
        <f>VLOOKUP(B380,'Growthrates source'!A$2:H$49,8,FALSE)</f>
        <v>0.2599900753182236</v>
      </c>
      <c r="AP380" s="93">
        <f>VLOOKUP(B380,'Growthrates source'!A$2:I$49,9,FALSE)</f>
        <v>5.4673730437993617E-2</v>
      </c>
      <c r="AQ380" s="86">
        <f t="shared" si="103"/>
        <v>119.64739430618847</v>
      </c>
      <c r="AR380" s="86">
        <f t="shared" si="104"/>
        <v>517.2470453541091</v>
      </c>
      <c r="AS380" s="94">
        <f t="shared" si="105"/>
        <v>0</v>
      </c>
      <c r="AT380" s="94">
        <f t="shared" si="106"/>
        <v>2.0027267192713176</v>
      </c>
      <c r="AU380" s="94">
        <f t="shared" si="107"/>
        <v>1.8375947182755907</v>
      </c>
    </row>
    <row r="381" spans="1:47" x14ac:dyDescent="0.3">
      <c r="A381" s="85" t="str">
        <f>_xlfn.XLOOKUP(B381,'Country codes &amp; Data sources'!G:G,'Country codes &amp; Data sources'!H:H,,0)</f>
        <v>Gabon</v>
      </c>
      <c r="B381" s="85" t="s">
        <v>157</v>
      </c>
      <c r="C381" s="86">
        <v>1836724</v>
      </c>
      <c r="D381" s="85" t="s">
        <v>142</v>
      </c>
      <c r="E381" s="87">
        <v>0</v>
      </c>
      <c r="F381" s="88">
        <v>1902226.5000000007</v>
      </c>
      <c r="G381" s="87">
        <v>0</v>
      </c>
      <c r="I381" s="87">
        <v>0</v>
      </c>
      <c r="K381" s="87">
        <v>0</v>
      </c>
      <c r="M381" s="87">
        <v>0</v>
      </c>
      <c r="O381" s="87">
        <v>58</v>
      </c>
      <c r="P381" s="88">
        <v>2192011.5</v>
      </c>
      <c r="Q381" s="87">
        <v>0</v>
      </c>
      <c r="R381" s="87">
        <f t="shared" si="90"/>
        <v>58</v>
      </c>
      <c r="T381" s="87">
        <v>703</v>
      </c>
      <c r="V381" s="87">
        <v>615</v>
      </c>
      <c r="X381" s="87">
        <v>0</v>
      </c>
      <c r="Y381" s="88">
        <v>2388992.5000000005</v>
      </c>
      <c r="Z381" s="87">
        <v>84</v>
      </c>
      <c r="AA381" s="87">
        <v>58</v>
      </c>
      <c r="AB381" s="89">
        <f t="shared" si="91"/>
        <v>0</v>
      </c>
      <c r="AC381" s="89">
        <f t="shared" si="92"/>
        <v>703</v>
      </c>
      <c r="AD381" s="89">
        <f t="shared" si="93"/>
        <v>615</v>
      </c>
      <c r="AE381" s="90">
        <f t="shared" si="94"/>
        <v>0</v>
      </c>
      <c r="AF381" s="90" t="str">
        <f t="shared" si="95"/>
        <v/>
      </c>
      <c r="AG381" s="90">
        <f t="shared" si="96"/>
        <v>58</v>
      </c>
      <c r="AH381" s="90">
        <f t="shared" si="97"/>
        <v>2017</v>
      </c>
      <c r="AI381" s="90">
        <f t="shared" si="98"/>
        <v>84</v>
      </c>
      <c r="AJ381" s="90">
        <f t="shared" si="99"/>
        <v>2022</v>
      </c>
      <c r="AK381" s="90" t="str">
        <f t="shared" si="100"/>
        <v/>
      </c>
      <c r="AL381" s="91">
        <f>IF(AK381="Adjust",(_xlfn.XLOOKUP(A381,'Adj factor'!A:A,'Adj factor'!I:I,,0)*AI381),'Master DataSheet'!AI381)</f>
        <v>84</v>
      </c>
      <c r="AM381" s="91">
        <f t="shared" si="101"/>
        <v>84</v>
      </c>
      <c r="AN381" s="92" t="str">
        <f t="shared" si="102"/>
        <v>Increasing</v>
      </c>
      <c r="AO381" s="93">
        <f>VLOOKUP(B381,'Growthrates source'!A$2:H$49,8,FALSE)</f>
        <v>0.2599900753182236</v>
      </c>
      <c r="AP381" s="93">
        <f>VLOOKUP(B381,'Growthrates source'!A$2:I$49,9,FALSE)</f>
        <v>5.4673730437993617E-2</v>
      </c>
      <c r="AQ381" s="86">
        <f t="shared" si="103"/>
        <v>15.807628404917839</v>
      </c>
      <c r="AR381" s="86">
        <f t="shared" si="104"/>
        <v>68.337878429472283</v>
      </c>
      <c r="AS381" s="94">
        <f t="shared" si="105"/>
        <v>0</v>
      </c>
      <c r="AT381" s="94">
        <f t="shared" si="106"/>
        <v>0.26459715197662054</v>
      </c>
      <c r="AU381" s="94">
        <f t="shared" si="107"/>
        <v>0.35161265679988524</v>
      </c>
    </row>
    <row r="382" spans="1:47" x14ac:dyDescent="0.3">
      <c r="A382" s="85" t="str">
        <f>_xlfn.XLOOKUP(B382,'Country codes &amp; Data sources'!G:G,'Country codes &amp; Data sources'!H:H,,0)</f>
        <v>Gabon</v>
      </c>
      <c r="B382" s="85" t="s">
        <v>157</v>
      </c>
      <c r="C382" s="86">
        <v>1836725</v>
      </c>
      <c r="D382" s="85" t="s">
        <v>83</v>
      </c>
      <c r="E382" s="87">
        <v>0</v>
      </c>
      <c r="F382" s="88">
        <v>1902226.5000000007</v>
      </c>
      <c r="G382" s="87">
        <v>0</v>
      </c>
      <c r="I382" s="87">
        <v>0</v>
      </c>
      <c r="K382" s="87">
        <v>0</v>
      </c>
      <c r="M382" s="87">
        <v>0</v>
      </c>
      <c r="O382" s="87">
        <v>43</v>
      </c>
      <c r="P382" s="88">
        <v>2192011.5</v>
      </c>
      <c r="Q382" s="87">
        <v>0</v>
      </c>
      <c r="R382" s="87">
        <f t="shared" si="90"/>
        <v>43</v>
      </c>
      <c r="T382" s="87">
        <v>43</v>
      </c>
      <c r="V382" s="87">
        <v>32</v>
      </c>
      <c r="X382" s="87">
        <v>0</v>
      </c>
      <c r="Y382" s="88">
        <v>2388992.5000000005</v>
      </c>
      <c r="Z382" s="87">
        <v>2</v>
      </c>
      <c r="AA382" s="87">
        <v>43</v>
      </c>
      <c r="AB382" s="89">
        <f t="shared" si="91"/>
        <v>0</v>
      </c>
      <c r="AC382" s="89">
        <f t="shared" si="92"/>
        <v>43</v>
      </c>
      <c r="AD382" s="89">
        <f t="shared" si="93"/>
        <v>32</v>
      </c>
      <c r="AE382" s="90">
        <f t="shared" si="94"/>
        <v>0</v>
      </c>
      <c r="AF382" s="90" t="str">
        <f t="shared" si="95"/>
        <v/>
      </c>
      <c r="AG382" s="90">
        <f t="shared" si="96"/>
        <v>43</v>
      </c>
      <c r="AH382" s="90">
        <f t="shared" si="97"/>
        <v>2017</v>
      </c>
      <c r="AI382" s="90">
        <f t="shared" si="98"/>
        <v>2</v>
      </c>
      <c r="AJ382" s="90">
        <f t="shared" si="99"/>
        <v>2022</v>
      </c>
      <c r="AK382" s="90" t="str">
        <f t="shared" si="100"/>
        <v>Adjust</v>
      </c>
      <c r="AL382" s="91">
        <f>IF(AK382="Adjust",(_xlfn.XLOOKUP(A382,'Adj factor'!A:A,'Adj factor'!I:I,,0)*AI382),'Master DataSheet'!AI382)</f>
        <v>2.2219312030731624</v>
      </c>
      <c r="AM382" s="91">
        <f t="shared" si="101"/>
        <v>43</v>
      </c>
      <c r="AN382" s="92" t="str">
        <f t="shared" si="102"/>
        <v>Decreasing</v>
      </c>
      <c r="AO382" s="93">
        <f>VLOOKUP(B382,'Growthrates source'!A$2:H$49,8,FALSE)</f>
        <v>0.2599900753182236</v>
      </c>
      <c r="AP382" s="93">
        <f>VLOOKUP(B382,'Growthrates source'!A$2:I$49,9,FALSE)</f>
        <v>5.4673730437993617E-2</v>
      </c>
      <c r="AQ382" s="86">
        <f t="shared" si="103"/>
        <v>11.719448645025295</v>
      </c>
      <c r="AR382" s="86">
        <f t="shared" si="104"/>
        <v>50.664289180470824</v>
      </c>
      <c r="AS382" s="94">
        <f t="shared" si="105"/>
        <v>0</v>
      </c>
      <c r="AT382" s="94">
        <f t="shared" si="106"/>
        <v>0.19616685405163248</v>
      </c>
      <c r="AU382" s="94">
        <f t="shared" si="107"/>
        <v>0.17999219336184602</v>
      </c>
    </row>
    <row r="383" spans="1:47" x14ac:dyDescent="0.3">
      <c r="A383" s="85" t="str">
        <f>_xlfn.XLOOKUP(B383,'Country codes &amp; Data sources'!G:G,'Country codes &amp; Data sources'!H:H,,0)</f>
        <v>Gabon</v>
      </c>
      <c r="B383" s="85" t="s">
        <v>157</v>
      </c>
      <c r="C383" s="86">
        <v>1836726</v>
      </c>
      <c r="D383" s="85" t="s">
        <v>84</v>
      </c>
      <c r="E383" s="87">
        <v>0</v>
      </c>
      <c r="F383" s="88">
        <v>1902226.5000000007</v>
      </c>
      <c r="G383" s="87">
        <v>0</v>
      </c>
      <c r="I383" s="87">
        <v>0</v>
      </c>
      <c r="K383" s="87">
        <v>0</v>
      </c>
      <c r="M383" s="87">
        <v>0</v>
      </c>
      <c r="O383" s="87">
        <v>0</v>
      </c>
      <c r="P383" s="88">
        <v>2192011.5</v>
      </c>
      <c r="Q383" s="87">
        <v>0</v>
      </c>
      <c r="R383" s="87">
        <f t="shared" si="90"/>
        <v>0</v>
      </c>
      <c r="T383" s="87">
        <v>119</v>
      </c>
      <c r="V383" s="87">
        <v>115</v>
      </c>
      <c r="X383" s="87">
        <v>0</v>
      </c>
      <c r="Y383" s="88">
        <v>2388992.5000000005</v>
      </c>
      <c r="Z383" s="87">
        <v>0</v>
      </c>
      <c r="AA383" s="87">
        <v>0</v>
      </c>
      <c r="AB383" s="89">
        <f t="shared" si="91"/>
        <v>0</v>
      </c>
      <c r="AC383" s="89">
        <f t="shared" si="92"/>
        <v>119</v>
      </c>
      <c r="AD383" s="89">
        <f t="shared" si="93"/>
        <v>115</v>
      </c>
      <c r="AE383" s="90">
        <f t="shared" si="94"/>
        <v>0</v>
      </c>
      <c r="AF383" s="90" t="str">
        <f t="shared" si="95"/>
        <v/>
      </c>
      <c r="AG383" s="90">
        <f t="shared" si="96"/>
        <v>119</v>
      </c>
      <c r="AH383" s="90">
        <f t="shared" si="97"/>
        <v>2019</v>
      </c>
      <c r="AI383" s="90">
        <f t="shared" si="98"/>
        <v>115</v>
      </c>
      <c r="AJ383" s="90">
        <f t="shared" si="99"/>
        <v>2020</v>
      </c>
      <c r="AK383" s="90" t="str">
        <f t="shared" si="100"/>
        <v>Adjust</v>
      </c>
      <c r="AL383" s="91">
        <f>IF(AK383="Adjust",(_xlfn.XLOOKUP(A383,'Adj factor'!A:A,'Adj factor'!I:I,,0)*AI383),'Master DataSheet'!AI383)</f>
        <v>127.76104417670683</v>
      </c>
      <c r="AM383" s="91">
        <f t="shared" si="101"/>
        <v>127.76104417670683</v>
      </c>
      <c r="AN383" s="92" t="str">
        <f t="shared" si="102"/>
        <v>Increasing</v>
      </c>
      <c r="AO383" s="93">
        <f>VLOOKUP(B383,'Growthrates source'!A$2:H$49,8,FALSE)</f>
        <v>0.2599900753182236</v>
      </c>
      <c r="AP383" s="93">
        <f>VLOOKUP(B383,'Growthrates source'!A$2:I$49,9,FALSE)</f>
        <v>5.4673730437993617E-2</v>
      </c>
      <c r="AQ383" s="86">
        <f t="shared" si="103"/>
        <v>0</v>
      </c>
      <c r="AR383" s="86">
        <f t="shared" si="104"/>
        <v>0</v>
      </c>
      <c r="AS383" s="94">
        <f t="shared" si="105"/>
        <v>0</v>
      </c>
      <c r="AT383" s="94">
        <f t="shared" si="106"/>
        <v>0.54288036353823876</v>
      </c>
      <c r="AU383" s="94">
        <f t="shared" si="107"/>
        <v>0.534790478315469</v>
      </c>
    </row>
    <row r="384" spans="1:47" x14ac:dyDescent="0.3">
      <c r="A384" s="85" t="str">
        <f>_xlfn.XLOOKUP(B384,'Country codes &amp; Data sources'!G:G,'Country codes &amp; Data sources'!H:H,,0)</f>
        <v>Gabon</v>
      </c>
      <c r="B384" s="85" t="s">
        <v>157</v>
      </c>
      <c r="C384" s="86">
        <v>1836727</v>
      </c>
      <c r="D384" s="85" t="s">
        <v>126</v>
      </c>
      <c r="E384" s="87">
        <v>0</v>
      </c>
      <c r="F384" s="88">
        <v>1902226.5000000007</v>
      </c>
      <c r="G384" s="87">
        <v>0</v>
      </c>
      <c r="I384" s="87">
        <v>0</v>
      </c>
      <c r="K384" s="87">
        <v>0</v>
      </c>
      <c r="M384" s="87">
        <v>0</v>
      </c>
      <c r="O384" s="87">
        <v>2</v>
      </c>
      <c r="P384" s="88">
        <v>2192011.5</v>
      </c>
      <c r="Q384" s="87">
        <v>0</v>
      </c>
      <c r="R384" s="87">
        <f t="shared" si="90"/>
        <v>0</v>
      </c>
      <c r="T384" s="87">
        <v>1</v>
      </c>
      <c r="V384" s="87">
        <v>0</v>
      </c>
      <c r="X384" s="87">
        <v>0</v>
      </c>
      <c r="Y384" s="88">
        <v>2388992.5000000005</v>
      </c>
      <c r="Z384" s="87">
        <v>0</v>
      </c>
      <c r="AA384" s="87">
        <v>0</v>
      </c>
      <c r="AB384" s="89">
        <f t="shared" si="91"/>
        <v>0</v>
      </c>
      <c r="AC384" s="89">
        <f t="shared" si="92"/>
        <v>2</v>
      </c>
      <c r="AD384" s="89">
        <f t="shared" si="93"/>
        <v>0</v>
      </c>
      <c r="AE384" s="90">
        <f t="shared" si="94"/>
        <v>0</v>
      </c>
      <c r="AF384" s="90" t="str">
        <f t="shared" si="95"/>
        <v/>
      </c>
      <c r="AG384" s="90">
        <f t="shared" si="96"/>
        <v>2</v>
      </c>
      <c r="AH384" s="90">
        <f t="shared" si="97"/>
        <v>2017</v>
      </c>
      <c r="AI384" s="90">
        <f t="shared" si="98"/>
        <v>1</v>
      </c>
      <c r="AJ384" s="90">
        <f t="shared" si="99"/>
        <v>2017</v>
      </c>
      <c r="AK384" s="90" t="str">
        <f t="shared" si="100"/>
        <v>Adjust</v>
      </c>
      <c r="AL384" s="91">
        <f>IF(AK384="Adjust",(_xlfn.XLOOKUP(A384,'Adj factor'!A:A,'Adj factor'!I:I,,0)*AI384),'Master DataSheet'!AI384)</f>
        <v>1.1109656015365812</v>
      </c>
      <c r="AM384" s="91">
        <f t="shared" si="101"/>
        <v>2</v>
      </c>
      <c r="AN384" s="92" t="str">
        <f t="shared" si="102"/>
        <v>Decreasing</v>
      </c>
      <c r="AO384" s="93">
        <f>VLOOKUP(B384,'Growthrates source'!A$2:H$49,8,FALSE)</f>
        <v>0.2599900753182236</v>
      </c>
      <c r="AP384" s="93">
        <f>VLOOKUP(B384,'Growthrates source'!A$2:I$49,9,FALSE)</f>
        <v>5.4673730437993617E-2</v>
      </c>
      <c r="AQ384" s="86">
        <f t="shared" si="103"/>
        <v>0</v>
      </c>
      <c r="AR384" s="86">
        <f t="shared" si="104"/>
        <v>0</v>
      </c>
      <c r="AS384" s="94">
        <f t="shared" si="105"/>
        <v>0</v>
      </c>
      <c r="AT384" s="94">
        <f t="shared" si="106"/>
        <v>9.1240397233317439E-3</v>
      </c>
      <c r="AU384" s="94">
        <f t="shared" si="107"/>
        <v>8.3717299238067911E-3</v>
      </c>
    </row>
    <row r="385" spans="1:47" x14ac:dyDescent="0.3">
      <c r="A385" s="85" t="str">
        <f>_xlfn.XLOOKUP(B385,'Country codes &amp; Data sources'!G:G,'Country codes &amp; Data sources'!H:H,,0)</f>
        <v>Gabon</v>
      </c>
      <c r="B385" s="85" t="s">
        <v>157</v>
      </c>
      <c r="C385" s="86">
        <v>1836728</v>
      </c>
      <c r="D385" s="85" t="s">
        <v>87</v>
      </c>
      <c r="E385" s="87">
        <v>0</v>
      </c>
      <c r="F385" s="88">
        <v>1902226.5000000007</v>
      </c>
      <c r="G385" s="87">
        <v>0</v>
      </c>
      <c r="I385" s="87">
        <v>0</v>
      </c>
      <c r="K385" s="87">
        <v>0</v>
      </c>
      <c r="M385" s="87">
        <v>0</v>
      </c>
      <c r="O385" s="87">
        <v>99</v>
      </c>
      <c r="P385" s="88">
        <v>2192011.5</v>
      </c>
      <c r="Q385" s="87">
        <v>0</v>
      </c>
      <c r="R385" s="87">
        <f t="shared" si="90"/>
        <v>99</v>
      </c>
      <c r="T385" s="87">
        <v>117</v>
      </c>
      <c r="V385" s="87">
        <v>112</v>
      </c>
      <c r="X385" s="87">
        <v>0</v>
      </c>
      <c r="Y385" s="88">
        <v>2388992.5000000005</v>
      </c>
      <c r="Z385" s="87">
        <v>0</v>
      </c>
      <c r="AA385" s="87">
        <v>99</v>
      </c>
      <c r="AB385" s="89">
        <f t="shared" si="91"/>
        <v>0</v>
      </c>
      <c r="AC385" s="89">
        <f t="shared" si="92"/>
        <v>117</v>
      </c>
      <c r="AD385" s="89">
        <f t="shared" si="93"/>
        <v>112</v>
      </c>
      <c r="AE385" s="90">
        <f t="shared" si="94"/>
        <v>0</v>
      </c>
      <c r="AF385" s="90" t="str">
        <f t="shared" si="95"/>
        <v/>
      </c>
      <c r="AG385" s="90">
        <f t="shared" si="96"/>
        <v>99</v>
      </c>
      <c r="AH385" s="90">
        <f t="shared" si="97"/>
        <v>2017</v>
      </c>
      <c r="AI385" s="90">
        <f t="shared" si="98"/>
        <v>112</v>
      </c>
      <c r="AJ385" s="90">
        <f t="shared" si="99"/>
        <v>2020</v>
      </c>
      <c r="AK385" s="90" t="str">
        <f t="shared" si="100"/>
        <v/>
      </c>
      <c r="AL385" s="91">
        <f>IF(AK385="Adjust",(_xlfn.XLOOKUP(A385,'Adj factor'!A:A,'Adj factor'!I:I,,0)*AI385),'Master DataSheet'!AI385)</f>
        <v>112</v>
      </c>
      <c r="AM385" s="91">
        <f t="shared" si="101"/>
        <v>112</v>
      </c>
      <c r="AN385" s="92" t="str">
        <f t="shared" si="102"/>
        <v>Increasing</v>
      </c>
      <c r="AO385" s="93">
        <f>VLOOKUP(B385,'Growthrates source'!A$2:H$49,8,FALSE)</f>
        <v>0.2599900753182236</v>
      </c>
      <c r="AP385" s="93">
        <f>VLOOKUP(B385,'Growthrates source'!A$2:I$49,9,FALSE)</f>
        <v>5.4673730437993617E-2</v>
      </c>
      <c r="AQ385" s="86">
        <f t="shared" si="103"/>
        <v>26.981986415290795</v>
      </c>
      <c r="AR385" s="86">
        <f t="shared" si="104"/>
        <v>116.64568904340958</v>
      </c>
      <c r="AS385" s="94">
        <f t="shared" si="105"/>
        <v>0</v>
      </c>
      <c r="AT385" s="94">
        <f t="shared" si="106"/>
        <v>0.45163996630492131</v>
      </c>
      <c r="AU385" s="94">
        <f t="shared" si="107"/>
        <v>0.46881687573318032</v>
      </c>
    </row>
    <row r="386" spans="1:47" x14ac:dyDescent="0.3">
      <c r="A386" s="85" t="str">
        <f>_xlfn.XLOOKUP(B386,'Country codes &amp; Data sources'!G:G,'Country codes &amp; Data sources'!H:H,,0)</f>
        <v>Ghana</v>
      </c>
      <c r="B386" s="85" t="s">
        <v>172</v>
      </c>
      <c r="C386" s="86">
        <v>26858761.999999993</v>
      </c>
      <c r="D386" s="85" t="s">
        <v>321</v>
      </c>
      <c r="E386" s="87">
        <v>4972</v>
      </c>
      <c r="F386" s="88">
        <v>27525596.999999989</v>
      </c>
      <c r="G386" s="87">
        <v>5460</v>
      </c>
      <c r="H386" s="87">
        <v>28196358.499999996</v>
      </c>
      <c r="I386" s="87">
        <v>6032</v>
      </c>
      <c r="J386" s="87">
        <v>28870939.000000007</v>
      </c>
      <c r="K386" s="87">
        <v>6526</v>
      </c>
      <c r="L386" s="87">
        <v>29554302.499999993</v>
      </c>
      <c r="M386" s="87">
        <v>7236</v>
      </c>
      <c r="N386" s="87">
        <v>30222261.500000004</v>
      </c>
      <c r="O386" s="87">
        <v>5358</v>
      </c>
      <c r="P386" s="88">
        <v>30870640.5</v>
      </c>
      <c r="Q386" s="87">
        <v>8812</v>
      </c>
      <c r="R386" s="87">
        <f t="shared" si="90"/>
        <v>8812</v>
      </c>
      <c r="S386" s="87">
        <v>31522289.999999996</v>
      </c>
      <c r="T386" s="87">
        <v>6634</v>
      </c>
      <c r="U386" s="87">
        <v>32180401.499999981</v>
      </c>
      <c r="V386" s="87">
        <v>10570</v>
      </c>
      <c r="W386" s="87">
        <v>32833031.499999996</v>
      </c>
      <c r="X386" s="87">
        <v>8338</v>
      </c>
      <c r="Y386" s="88">
        <v>33475870.500000011</v>
      </c>
      <c r="Z386" s="87">
        <v>9452</v>
      </c>
      <c r="AA386" s="87">
        <v>4406</v>
      </c>
      <c r="AB386" s="89">
        <f t="shared" si="91"/>
        <v>6526</v>
      </c>
      <c r="AC386" s="89">
        <f t="shared" si="92"/>
        <v>8812</v>
      </c>
      <c r="AD386" s="89">
        <f t="shared" si="93"/>
        <v>10570</v>
      </c>
      <c r="AE386" s="90">
        <f t="shared" si="94"/>
        <v>5460</v>
      </c>
      <c r="AF386" s="90">
        <f t="shared" si="95"/>
        <v>2013</v>
      </c>
      <c r="AG386" s="90">
        <f t="shared" si="96"/>
        <v>8812</v>
      </c>
      <c r="AH386" s="90">
        <f t="shared" si="97"/>
        <v>2018</v>
      </c>
      <c r="AI386" s="90">
        <f t="shared" si="98"/>
        <v>9452</v>
      </c>
      <c r="AJ386" s="90">
        <f t="shared" si="99"/>
        <v>2022</v>
      </c>
      <c r="AK386" s="90" t="str">
        <f t="shared" si="100"/>
        <v/>
      </c>
      <c r="AL386" s="91">
        <f>IF(AK386="Adjust",(_xlfn.XLOOKUP(A386,'Adj factor'!A:A,'Adj factor'!I:I,,0)*AI386),'Master DataSheet'!AI386)</f>
        <v>9452</v>
      </c>
      <c r="AM386" s="91">
        <f t="shared" si="101"/>
        <v>9452</v>
      </c>
      <c r="AN386" s="92" t="str">
        <f t="shared" si="102"/>
        <v>Increasing</v>
      </c>
      <c r="AO386" s="93">
        <f>VLOOKUP(B386,'Growthrates source'!A$2:H$49,8,FALSE)</f>
        <v>2.6327637949120408E-2</v>
      </c>
      <c r="AP386" s="93">
        <f>VLOOKUP(B386,'Growthrates source'!A$2:I$49,9,FALSE)</f>
        <v>6.0316928868946684E-2</v>
      </c>
      <c r="AQ386" s="86">
        <f t="shared" si="103"/>
        <v>3862.555683787652</v>
      </c>
      <c r="AR386" s="86">
        <f t="shared" si="104"/>
        <v>5279.9574289509956</v>
      </c>
      <c r="AS386" s="94">
        <f t="shared" si="105"/>
        <v>1.9836082029392503</v>
      </c>
      <c r="AT386" s="94">
        <f t="shared" si="106"/>
        <v>2.8544921184903824</v>
      </c>
      <c r="AU386" s="94">
        <f t="shared" si="107"/>
        <v>2.8235262769343059</v>
      </c>
    </row>
    <row r="387" spans="1:47" x14ac:dyDescent="0.3">
      <c r="A387" s="85" t="str">
        <f>_xlfn.XLOOKUP(B387,'Country codes &amp; Data sources'!G:G,'Country codes &amp; Data sources'!H:H,,0)</f>
        <v>Ghana</v>
      </c>
      <c r="B387" s="85" t="s">
        <v>172</v>
      </c>
      <c r="C387" s="86">
        <v>26858763</v>
      </c>
      <c r="D387" s="85" t="s">
        <v>322</v>
      </c>
      <c r="E387" s="87">
        <v>0</v>
      </c>
      <c r="F387" s="88">
        <v>27525596.999999989</v>
      </c>
      <c r="G387" s="87">
        <v>0</v>
      </c>
      <c r="I387" s="87">
        <v>74808</v>
      </c>
      <c r="K387" s="87">
        <v>97878</v>
      </c>
      <c r="M387" s="87">
        <v>105210</v>
      </c>
      <c r="O387" s="87">
        <v>117216</v>
      </c>
      <c r="P387" s="88">
        <v>30870640.5</v>
      </c>
      <c r="Q387" s="87">
        <v>250048</v>
      </c>
      <c r="R387" s="87">
        <f t="shared" ref="R387:R450" si="108">MAX(Q387,AA387)</f>
        <v>250048</v>
      </c>
      <c r="T387" s="87">
        <v>139578</v>
      </c>
      <c r="V387" s="87">
        <v>191578</v>
      </c>
      <c r="X387" s="87">
        <v>186288</v>
      </c>
      <c r="Y387" s="88">
        <v>33475870.500000011</v>
      </c>
      <c r="Z387" s="87">
        <v>205886</v>
      </c>
      <c r="AA387" s="87">
        <v>42827</v>
      </c>
      <c r="AB387" s="89">
        <f t="shared" ref="AB387:AB450" si="109">MAX(G387,E387,I387,K387)</f>
        <v>97878</v>
      </c>
      <c r="AC387" s="89">
        <f t="shared" ref="AC387:AC450" si="110">MAX(M387,O387,Q387,T387)</f>
        <v>250048</v>
      </c>
      <c r="AD387" s="89">
        <f t="shared" ref="AD387:AD450" si="111">MAX(V387,X387,Z387)</f>
        <v>205886</v>
      </c>
      <c r="AE387" s="90">
        <f t="shared" ref="AE387:AE450" si="112">IF(G387&gt;0,G387,IF(E387&gt;0,E387,IF(I387&gt;0,I387,K387)))</f>
        <v>74808</v>
      </c>
      <c r="AF387" s="90">
        <f t="shared" ref="AF387:AF450" si="113">IF(AE387&gt;0,_xlfn.XLOOKUP(AE387,$B387:$K387,$B$1:$K$1,,0),"")</f>
        <v>2014</v>
      </c>
      <c r="AG387" s="90">
        <f t="shared" ref="AG387:AG450" si="114">IF(R387&gt;0,R387,IF(O387&gt;0,O387,T387))</f>
        <v>250048</v>
      </c>
      <c r="AH387" s="90">
        <f t="shared" ref="AH387:AH450" si="115">IF(AG387&gt;0,_xlfn.XLOOKUP(AG387,$L387:$T387,$L$1:$T$1,,0),"")</f>
        <v>2018</v>
      </c>
      <c r="AI387" s="90">
        <f t="shared" ref="AI387:AI450" si="116">IF((IF(Z387&gt;0,Z387,IF(X387&gt;0,X387,IF(V387&gt;0,V387,T387))))=0,AG387,IF(Z387&gt;0,Z387,IF(X387&gt;0,X387,IF(V387&gt;0,V387,T387))))</f>
        <v>205886</v>
      </c>
      <c r="AJ387" s="90">
        <f t="shared" ref="AJ387:AJ450" si="117">IFERROR(IF(AI387&gt;0,_xlfn.XLOOKUP(AI387,$V387:$Z387,$V$1:$Z$1,,0),""),AH387)</f>
        <v>2022</v>
      </c>
      <c r="AK387" s="90" t="str">
        <f t="shared" ref="AK387:AK450" si="118">IF(AI387&lt;AG387,"Adjust","")</f>
        <v>Adjust</v>
      </c>
      <c r="AL387" s="91">
        <f>IF(AK387="Adjust",(_xlfn.XLOOKUP(A387,'Adj factor'!A:A,'Adj factor'!I:I,,0)*AI387),'Master DataSheet'!AI387)</f>
        <v>248408.55395595133</v>
      </c>
      <c r="AM387" s="91">
        <f t="shared" ref="AM387:AM450" si="119">IF(AL387&lt;AG387,AG387,AL387)</f>
        <v>250048</v>
      </c>
      <c r="AN387" s="92" t="str">
        <f t="shared" ref="AN387:AN450" si="120">IF(AL387&gt;AG387,"Increasing",IF(AL387&lt;AG387,"Decreasing","No change"))</f>
        <v>Decreasing</v>
      </c>
      <c r="AO387" s="93">
        <f>VLOOKUP(B387,'Growthrates source'!A$2:H$49,8,FALSE)</f>
        <v>2.6327637949120408E-2</v>
      </c>
      <c r="AP387" s="93">
        <f>VLOOKUP(B387,'Growthrates source'!A$2:I$49,9,FALSE)</f>
        <v>6.0316928868946684E-2</v>
      </c>
      <c r="AQ387" s="86">
        <f t="shared" ref="AQ387:AQ450" si="121">AA387/(EXP(AO387*5))</f>
        <v>37544.637373938669</v>
      </c>
      <c r="AR387" s="86">
        <f t="shared" ref="AR387:AR450" si="122">AA387*EXP(AP387*3)</f>
        <v>51322.001091621496</v>
      </c>
      <c r="AS387" s="94">
        <f t="shared" ref="AS387:AS450" si="123">(AE387*10000)/F387</f>
        <v>27.177612169501728</v>
      </c>
      <c r="AT387" s="94">
        <f t="shared" ref="AT387:AT450" si="124">(AG387*10000)/P387</f>
        <v>80.998643355002628</v>
      </c>
      <c r="AU387" s="94">
        <f t="shared" ref="AU387:AU450" si="125">(AM387*10000)/Y387</f>
        <v>74.694995608852025</v>
      </c>
    </row>
    <row r="388" spans="1:47" x14ac:dyDescent="0.3">
      <c r="A388" s="85" t="str">
        <f>_xlfn.XLOOKUP(B388,'Country codes &amp; Data sources'!G:G,'Country codes &amp; Data sources'!H:H,,0)</f>
        <v>Ghana</v>
      </c>
      <c r="B388" s="85" t="s">
        <v>172</v>
      </c>
      <c r="C388" s="86">
        <v>26858764</v>
      </c>
      <c r="D388" s="85" t="s">
        <v>323</v>
      </c>
      <c r="E388" s="87">
        <v>0</v>
      </c>
      <c r="F388" s="88">
        <v>27525596.999999989</v>
      </c>
      <c r="G388" s="87">
        <v>22574</v>
      </c>
      <c r="I388" s="87">
        <v>0</v>
      </c>
      <c r="K388" s="87">
        <v>13616</v>
      </c>
      <c r="M388" s="87">
        <v>15324</v>
      </c>
      <c r="O388" s="87">
        <v>19108</v>
      </c>
      <c r="P388" s="88">
        <v>30870640.5</v>
      </c>
      <c r="Q388" s="87">
        <v>20978</v>
      </c>
      <c r="R388" s="87">
        <f t="shared" si="108"/>
        <v>20978</v>
      </c>
      <c r="T388" s="87">
        <v>25346</v>
      </c>
      <c r="V388" s="87">
        <v>33400</v>
      </c>
      <c r="X388" s="87">
        <v>38282</v>
      </c>
      <c r="Y388" s="88">
        <v>33475870.500000011</v>
      </c>
      <c r="Z388" s="87">
        <v>47764</v>
      </c>
      <c r="AA388" s="87">
        <v>10625</v>
      </c>
      <c r="AB388" s="89">
        <f t="shared" si="109"/>
        <v>22574</v>
      </c>
      <c r="AC388" s="89">
        <f t="shared" si="110"/>
        <v>25346</v>
      </c>
      <c r="AD388" s="89">
        <f t="shared" si="111"/>
        <v>47764</v>
      </c>
      <c r="AE388" s="90">
        <f t="shared" si="112"/>
        <v>22574</v>
      </c>
      <c r="AF388" s="90">
        <f t="shared" si="113"/>
        <v>2013</v>
      </c>
      <c r="AG388" s="90">
        <f t="shared" si="114"/>
        <v>20978</v>
      </c>
      <c r="AH388" s="90">
        <f t="shared" si="115"/>
        <v>2018</v>
      </c>
      <c r="AI388" s="90">
        <f t="shared" si="116"/>
        <v>47764</v>
      </c>
      <c r="AJ388" s="90">
        <f t="shared" si="117"/>
        <v>2022</v>
      </c>
      <c r="AK388" s="90" t="str">
        <f t="shared" si="118"/>
        <v/>
      </c>
      <c r="AL388" s="91">
        <f>IF(AK388="Adjust",(_xlfn.XLOOKUP(A388,'Adj factor'!A:A,'Adj factor'!I:I,,0)*AI388),'Master DataSheet'!AI388)</f>
        <v>47764</v>
      </c>
      <c r="AM388" s="91">
        <f t="shared" si="119"/>
        <v>47764</v>
      </c>
      <c r="AN388" s="92" t="str">
        <f t="shared" si="120"/>
        <v>Increasing</v>
      </c>
      <c r="AO388" s="93">
        <f>VLOOKUP(B388,'Growthrates source'!A$2:H$49,8,FALSE)</f>
        <v>2.6327637949120408E-2</v>
      </c>
      <c r="AP388" s="93">
        <f>VLOOKUP(B388,'Growthrates source'!A$2:I$49,9,FALSE)</f>
        <v>6.0316928868946684E-2</v>
      </c>
      <c r="AQ388" s="86">
        <f t="shared" si="121"/>
        <v>9314.492542043532</v>
      </c>
      <c r="AR388" s="86">
        <f t="shared" si="122"/>
        <v>12732.534653337343</v>
      </c>
      <c r="AS388" s="94">
        <f t="shared" si="123"/>
        <v>8.2010936947162349</v>
      </c>
      <c r="AT388" s="94">
        <f t="shared" si="124"/>
        <v>6.7954534341456245</v>
      </c>
      <c r="AU388" s="94">
        <f t="shared" si="125"/>
        <v>14.26818758902774</v>
      </c>
    </row>
    <row r="389" spans="1:47" x14ac:dyDescent="0.3">
      <c r="A389" s="85" t="str">
        <f>_xlfn.XLOOKUP(B389,'Country codes &amp; Data sources'!G:G,'Country codes &amp; Data sources'!H:H,,0)</f>
        <v>Ghana</v>
      </c>
      <c r="B389" s="85" t="s">
        <v>172</v>
      </c>
      <c r="C389" s="86">
        <v>26858765</v>
      </c>
      <c r="D389" s="85" t="s">
        <v>324</v>
      </c>
      <c r="E389" s="87">
        <v>451</v>
      </c>
      <c r="F389" s="88">
        <v>27525596.999999989</v>
      </c>
      <c r="G389" s="87">
        <v>216</v>
      </c>
      <c r="I389" s="87">
        <v>55</v>
      </c>
      <c r="K389" s="87">
        <v>1845</v>
      </c>
      <c r="M389" s="87">
        <v>440</v>
      </c>
      <c r="O389" s="87">
        <v>0</v>
      </c>
      <c r="P389" s="88">
        <v>30870640.5</v>
      </c>
      <c r="Q389" s="87">
        <v>0</v>
      </c>
      <c r="R389" s="87">
        <f t="shared" si="108"/>
        <v>2127</v>
      </c>
      <c r="T389" s="87">
        <v>0</v>
      </c>
      <c r="V389" s="87">
        <v>0</v>
      </c>
      <c r="X389" s="87">
        <v>0</v>
      </c>
      <c r="Y389" s="88">
        <v>33475870.500000011</v>
      </c>
      <c r="Z389" s="103">
        <v>5736</v>
      </c>
      <c r="AA389" s="87">
        <v>2127</v>
      </c>
      <c r="AB389" s="89">
        <f t="shared" si="109"/>
        <v>1845</v>
      </c>
      <c r="AC389" s="89">
        <f t="shared" si="110"/>
        <v>440</v>
      </c>
      <c r="AD389" s="89">
        <f t="shared" si="111"/>
        <v>5736</v>
      </c>
      <c r="AE389" s="90">
        <f t="shared" si="112"/>
        <v>216</v>
      </c>
      <c r="AF389" s="90">
        <f t="shared" si="113"/>
        <v>2013</v>
      </c>
      <c r="AG389" s="90">
        <f t="shared" si="114"/>
        <v>2127</v>
      </c>
      <c r="AH389" s="90" t="str">
        <f t="shared" si="115"/>
        <v>2018 (triag)</v>
      </c>
      <c r="AI389" s="90">
        <f t="shared" si="116"/>
        <v>5736</v>
      </c>
      <c r="AJ389" s="90">
        <f t="shared" si="117"/>
        <v>2022</v>
      </c>
      <c r="AK389" s="90" t="str">
        <f t="shared" si="118"/>
        <v/>
      </c>
      <c r="AL389" s="91">
        <f>IF(AK389="Adjust",(_xlfn.XLOOKUP(A389,'Adj factor'!A:A,'Adj factor'!I:I,,0)*AI389),'Master DataSheet'!AI389)</f>
        <v>5736</v>
      </c>
      <c r="AM389" s="91">
        <f t="shared" si="119"/>
        <v>5736</v>
      </c>
      <c r="AN389" s="92" t="str">
        <f t="shared" si="120"/>
        <v>Increasing</v>
      </c>
      <c r="AO389" s="93">
        <f>VLOOKUP(B389,'Growthrates source'!A$2:H$49,8,FALSE)</f>
        <v>2.6327637949120408E-2</v>
      </c>
      <c r="AP389" s="93">
        <f>VLOOKUP(B389,'Growthrates source'!A$2:I$49,9,FALSE)</f>
        <v>6.0316928868946684E-2</v>
      </c>
      <c r="AQ389" s="86">
        <f t="shared" si="121"/>
        <v>1864.6518246519145</v>
      </c>
      <c r="AR389" s="86">
        <f t="shared" si="122"/>
        <v>2548.9036430728024</v>
      </c>
      <c r="AS389" s="94">
        <f t="shared" si="123"/>
        <v>7.847241242397035E-2</v>
      </c>
      <c r="AT389" s="94">
        <f t="shared" si="124"/>
        <v>0.68900416886394045</v>
      </c>
      <c r="AU389" s="94">
        <f t="shared" si="125"/>
        <v>1.7134729924349534</v>
      </c>
    </row>
    <row r="390" spans="1:47" x14ac:dyDescent="0.3">
      <c r="A390" s="85" t="str">
        <f>_xlfn.XLOOKUP(B390,'Country codes &amp; Data sources'!G:G,'Country codes &amp; Data sources'!H:H,,0)</f>
        <v>Ghana</v>
      </c>
      <c r="B390" s="85" t="s">
        <v>172</v>
      </c>
      <c r="C390" s="86">
        <v>26858766</v>
      </c>
      <c r="D390" s="85" t="s">
        <v>325</v>
      </c>
      <c r="E390" s="87">
        <v>186</v>
      </c>
      <c r="F390" s="88">
        <v>27525596.999999989</v>
      </c>
      <c r="G390" s="87">
        <v>21</v>
      </c>
      <c r="I390" s="87">
        <v>32</v>
      </c>
      <c r="K390" s="87">
        <v>1450</v>
      </c>
      <c r="M390" s="87">
        <v>80</v>
      </c>
      <c r="O390" s="87">
        <v>0</v>
      </c>
      <c r="P390" s="88">
        <v>30870640.5</v>
      </c>
      <c r="Q390" s="87">
        <v>0</v>
      </c>
      <c r="R390" s="87">
        <f t="shared" si="108"/>
        <v>713</v>
      </c>
      <c r="T390" s="87">
        <v>0</v>
      </c>
      <c r="V390" s="87">
        <v>0</v>
      </c>
      <c r="X390" s="87">
        <v>0</v>
      </c>
      <c r="Y390" s="88">
        <v>33475870.500000011</v>
      </c>
      <c r="Z390" s="103">
        <v>202</v>
      </c>
      <c r="AA390" s="87">
        <v>713</v>
      </c>
      <c r="AB390" s="89">
        <f t="shared" si="109"/>
        <v>1450</v>
      </c>
      <c r="AC390" s="89">
        <f t="shared" si="110"/>
        <v>80</v>
      </c>
      <c r="AD390" s="89">
        <f t="shared" si="111"/>
        <v>202</v>
      </c>
      <c r="AE390" s="90">
        <f t="shared" si="112"/>
        <v>21</v>
      </c>
      <c r="AF390" s="90">
        <f t="shared" si="113"/>
        <v>2013</v>
      </c>
      <c r="AG390" s="90">
        <f t="shared" si="114"/>
        <v>713</v>
      </c>
      <c r="AH390" s="90" t="str">
        <f t="shared" si="115"/>
        <v>2018 (triag)</v>
      </c>
      <c r="AI390" s="90">
        <f t="shared" si="116"/>
        <v>202</v>
      </c>
      <c r="AJ390" s="90">
        <f t="shared" si="117"/>
        <v>2022</v>
      </c>
      <c r="AK390" s="90" t="str">
        <f t="shared" si="118"/>
        <v>Adjust</v>
      </c>
      <c r="AL390" s="91">
        <f>IF(AK390="Adjust",(_xlfn.XLOOKUP(A390,'Adj factor'!A:A,'Adj factor'!I:I,,0)*AI390),'Master DataSheet'!AI390)</f>
        <v>243.71996104204348</v>
      </c>
      <c r="AM390" s="91">
        <f t="shared" si="119"/>
        <v>713</v>
      </c>
      <c r="AN390" s="92" t="str">
        <f t="shared" si="120"/>
        <v>Decreasing</v>
      </c>
      <c r="AO390" s="93">
        <f>VLOOKUP(B390,'Growthrates source'!A$2:H$49,8,FALSE)</f>
        <v>2.6327637949120408E-2</v>
      </c>
      <c r="AP390" s="93">
        <f>VLOOKUP(B390,'Growthrates source'!A$2:I$49,9,FALSE)</f>
        <v>6.0316928868946684E-2</v>
      </c>
      <c r="AQ390" s="86">
        <f t="shared" si="121"/>
        <v>625.05724070372128</v>
      </c>
      <c r="AR390" s="86">
        <f t="shared" si="122"/>
        <v>854.42797250160243</v>
      </c>
      <c r="AS390" s="94">
        <f t="shared" si="123"/>
        <v>7.6292623189971173E-3</v>
      </c>
      <c r="AT390" s="94">
        <f t="shared" si="124"/>
        <v>0.2309637858015936</v>
      </c>
      <c r="AU390" s="94">
        <f t="shared" si="125"/>
        <v>0.21298923354360561</v>
      </c>
    </row>
    <row r="391" spans="1:47" x14ac:dyDescent="0.3">
      <c r="A391" s="85" t="str">
        <f>_xlfn.XLOOKUP(B391,'Country codes &amp; Data sources'!G:G,'Country codes &amp; Data sources'!H:H,,0)</f>
        <v>Ghana</v>
      </c>
      <c r="B391" s="85" t="s">
        <v>172</v>
      </c>
      <c r="C391" s="86">
        <v>26858767</v>
      </c>
      <c r="D391" s="85" t="s">
        <v>127</v>
      </c>
      <c r="E391" s="87">
        <v>0</v>
      </c>
      <c r="F391" s="88">
        <v>27525596.999999989</v>
      </c>
      <c r="G391" s="87">
        <v>5293</v>
      </c>
      <c r="I391" s="87">
        <v>0</v>
      </c>
      <c r="K391" s="87">
        <v>0</v>
      </c>
      <c r="M391" s="87">
        <v>0</v>
      </c>
      <c r="O391" s="87">
        <v>15456</v>
      </c>
      <c r="P391" s="88">
        <v>30870640.5</v>
      </c>
      <c r="Q391" s="87">
        <v>15820</v>
      </c>
      <c r="R391" s="87">
        <f t="shared" si="108"/>
        <v>15820</v>
      </c>
      <c r="T391" s="87">
        <v>0</v>
      </c>
      <c r="V391" s="87">
        <v>0</v>
      </c>
      <c r="X391" s="87">
        <v>0</v>
      </c>
      <c r="Y391" s="88">
        <v>33475870.500000011</v>
      </c>
      <c r="Z391" s="87">
        <v>0</v>
      </c>
      <c r="AA391" s="87">
        <v>15820</v>
      </c>
      <c r="AB391" s="89">
        <f t="shared" si="109"/>
        <v>5293</v>
      </c>
      <c r="AC391" s="89">
        <f t="shared" si="110"/>
        <v>15820</v>
      </c>
      <c r="AD391" s="89">
        <f t="shared" si="111"/>
        <v>0</v>
      </c>
      <c r="AE391" s="90">
        <f t="shared" si="112"/>
        <v>5293</v>
      </c>
      <c r="AF391" s="90">
        <f t="shared" si="113"/>
        <v>2013</v>
      </c>
      <c r="AG391" s="90">
        <f t="shared" si="114"/>
        <v>15820</v>
      </c>
      <c r="AH391" s="90">
        <f t="shared" si="115"/>
        <v>2018</v>
      </c>
      <c r="AI391" s="90">
        <f t="shared" si="116"/>
        <v>15820</v>
      </c>
      <c r="AJ391" s="90">
        <f t="shared" si="117"/>
        <v>2018</v>
      </c>
      <c r="AK391" s="90" t="str">
        <f t="shared" si="118"/>
        <v/>
      </c>
      <c r="AL391" s="91">
        <f>IF(AK391="Adjust",(_xlfn.XLOOKUP(A391,'Adj factor'!A:A,'Adj factor'!I:I,,0)*AI391),'Master DataSheet'!AI391)</f>
        <v>15820</v>
      </c>
      <c r="AM391" s="91">
        <f t="shared" si="119"/>
        <v>15820</v>
      </c>
      <c r="AN391" s="92" t="str">
        <f t="shared" si="120"/>
        <v>No change</v>
      </c>
      <c r="AO391" s="93">
        <f>VLOOKUP(B391,'Growthrates source'!A$2:H$49,8,FALSE)</f>
        <v>2.6327637949120408E-2</v>
      </c>
      <c r="AP391" s="93">
        <f>VLOOKUP(B391,'Growthrates source'!A$2:I$49,9,FALSE)</f>
        <v>6.0316928868946684E-2</v>
      </c>
      <c r="AQ391" s="86">
        <f t="shared" si="121"/>
        <v>13868.731483776815</v>
      </c>
      <c r="AR391" s="86">
        <f t="shared" si="122"/>
        <v>18957.995126192636</v>
      </c>
      <c r="AS391" s="94">
        <f t="shared" si="123"/>
        <v>1.92293740259294</v>
      </c>
      <c r="AT391" s="94">
        <f t="shared" si="124"/>
        <v>5.1246102263411091</v>
      </c>
      <c r="AU391" s="94">
        <f t="shared" si="125"/>
        <v>4.7257919700699027</v>
      </c>
    </row>
    <row r="392" spans="1:47" x14ac:dyDescent="0.3">
      <c r="A392" s="85" t="str">
        <f>_xlfn.XLOOKUP(B392,'Country codes &amp; Data sources'!G:G,'Country codes &amp; Data sources'!H:H,,0)</f>
        <v>Ghana</v>
      </c>
      <c r="B392" s="85" t="s">
        <v>172</v>
      </c>
      <c r="C392" s="86">
        <v>26858768</v>
      </c>
      <c r="D392" s="85" t="s">
        <v>61</v>
      </c>
      <c r="E392" s="87">
        <v>0</v>
      </c>
      <c r="F392" s="88">
        <v>27525596.999999989</v>
      </c>
      <c r="G392" s="87">
        <v>4</v>
      </c>
      <c r="I392" s="87">
        <v>0</v>
      </c>
      <c r="K392" s="87">
        <v>0</v>
      </c>
      <c r="M392" s="87">
        <v>19</v>
      </c>
      <c r="O392" s="87">
        <v>0</v>
      </c>
      <c r="P392" s="88">
        <v>30870640.5</v>
      </c>
      <c r="Q392" s="87">
        <v>0</v>
      </c>
      <c r="R392" s="87">
        <f t="shared" si="108"/>
        <v>0</v>
      </c>
      <c r="T392" s="87">
        <v>0</v>
      </c>
      <c r="V392" s="87">
        <v>0</v>
      </c>
      <c r="X392" s="87">
        <v>0</v>
      </c>
      <c r="Y392" s="88">
        <v>33475870.500000011</v>
      </c>
      <c r="Z392" s="103">
        <v>3321</v>
      </c>
      <c r="AA392" s="87">
        <v>0</v>
      </c>
      <c r="AB392" s="89">
        <f t="shared" si="109"/>
        <v>4</v>
      </c>
      <c r="AC392" s="89">
        <f t="shared" si="110"/>
        <v>19</v>
      </c>
      <c r="AD392" s="89">
        <f t="shared" si="111"/>
        <v>3321</v>
      </c>
      <c r="AE392" s="90">
        <f t="shared" si="112"/>
        <v>4</v>
      </c>
      <c r="AF392" s="90">
        <f t="shared" si="113"/>
        <v>2013</v>
      </c>
      <c r="AG392" s="90">
        <f t="shared" si="114"/>
        <v>0</v>
      </c>
      <c r="AH392" s="90" t="str">
        <f t="shared" si="115"/>
        <v/>
      </c>
      <c r="AI392" s="90">
        <f t="shared" si="116"/>
        <v>3321</v>
      </c>
      <c r="AJ392" s="90">
        <f t="shared" si="117"/>
        <v>2022</v>
      </c>
      <c r="AK392" s="90" t="str">
        <f t="shared" si="118"/>
        <v/>
      </c>
      <c r="AL392" s="91">
        <f>IF(AK392="Adjust",(_xlfn.XLOOKUP(A392,'Adj factor'!A:A,'Adj factor'!I:I,,0)*AI392),'Master DataSheet'!AI392)</f>
        <v>3321</v>
      </c>
      <c r="AM392" s="91">
        <f t="shared" si="119"/>
        <v>3321</v>
      </c>
      <c r="AN392" s="92" t="str">
        <f t="shared" si="120"/>
        <v>Increasing</v>
      </c>
      <c r="AO392" s="93">
        <f>VLOOKUP(B392,'Growthrates source'!A$2:H$49,8,FALSE)</f>
        <v>2.6327637949120408E-2</v>
      </c>
      <c r="AP392" s="93">
        <f>VLOOKUP(B392,'Growthrates source'!A$2:I$49,9,FALSE)</f>
        <v>6.0316928868946684E-2</v>
      </c>
      <c r="AQ392" s="86">
        <f t="shared" si="121"/>
        <v>0</v>
      </c>
      <c r="AR392" s="86">
        <f t="shared" si="122"/>
        <v>0</v>
      </c>
      <c r="AS392" s="94">
        <f t="shared" si="123"/>
        <v>1.4531928226661176E-3</v>
      </c>
      <c r="AT392" s="94">
        <f t="shared" si="124"/>
        <v>0</v>
      </c>
      <c r="AU392" s="94">
        <f t="shared" si="125"/>
        <v>0.99205784656145057</v>
      </c>
    </row>
    <row r="393" spans="1:47" x14ac:dyDescent="0.3">
      <c r="A393" s="85" t="str">
        <f>_xlfn.XLOOKUP(B393,'Country codes &amp; Data sources'!G:G,'Country codes &amp; Data sources'!H:H,,0)</f>
        <v>Ghana</v>
      </c>
      <c r="B393" s="85" t="s">
        <v>172</v>
      </c>
      <c r="C393" s="86">
        <v>26858769</v>
      </c>
      <c r="D393" s="85" t="s">
        <v>62</v>
      </c>
      <c r="E393" s="87">
        <v>0</v>
      </c>
      <c r="F393" s="88">
        <v>27525596.999999989</v>
      </c>
      <c r="G393" s="87">
        <v>351</v>
      </c>
      <c r="I393" s="87">
        <v>0</v>
      </c>
      <c r="K393" s="87">
        <v>0</v>
      </c>
      <c r="M393" s="87">
        <v>160</v>
      </c>
      <c r="O393" s="87">
        <v>0</v>
      </c>
      <c r="P393" s="88">
        <v>30870640.5</v>
      </c>
      <c r="Q393" s="87">
        <v>0</v>
      </c>
      <c r="R393" s="87">
        <f t="shared" si="108"/>
        <v>47</v>
      </c>
      <c r="T393" s="87">
        <v>0</v>
      </c>
      <c r="V393" s="87">
        <v>0</v>
      </c>
      <c r="X393" s="87">
        <v>0</v>
      </c>
      <c r="Y393" s="88">
        <v>33475870.500000011</v>
      </c>
      <c r="Z393" s="103">
        <v>4778</v>
      </c>
      <c r="AA393" s="87">
        <v>47</v>
      </c>
      <c r="AB393" s="89">
        <f t="shared" si="109"/>
        <v>351</v>
      </c>
      <c r="AC393" s="89">
        <f t="shared" si="110"/>
        <v>160</v>
      </c>
      <c r="AD393" s="89">
        <f t="shared" si="111"/>
        <v>4778</v>
      </c>
      <c r="AE393" s="90">
        <f t="shared" si="112"/>
        <v>351</v>
      </c>
      <c r="AF393" s="90">
        <f t="shared" si="113"/>
        <v>2013</v>
      </c>
      <c r="AG393" s="90">
        <f t="shared" si="114"/>
        <v>47</v>
      </c>
      <c r="AH393" s="90" t="str">
        <f t="shared" si="115"/>
        <v>2018 (triag)</v>
      </c>
      <c r="AI393" s="90">
        <f t="shared" si="116"/>
        <v>4778</v>
      </c>
      <c r="AJ393" s="90">
        <f t="shared" si="117"/>
        <v>2022</v>
      </c>
      <c r="AK393" s="90" t="str">
        <f t="shared" si="118"/>
        <v/>
      </c>
      <c r="AL393" s="91">
        <f>IF(AK393="Adjust",(_xlfn.XLOOKUP(A393,'Adj factor'!A:A,'Adj factor'!I:I,,0)*AI393),'Master DataSheet'!AI393)</f>
        <v>4778</v>
      </c>
      <c r="AM393" s="91">
        <f t="shared" si="119"/>
        <v>4778</v>
      </c>
      <c r="AN393" s="92" t="str">
        <f t="shared" si="120"/>
        <v>Increasing</v>
      </c>
      <c r="AO393" s="93">
        <f>VLOOKUP(B393,'Growthrates source'!A$2:H$49,8,FALSE)</f>
        <v>2.6327637949120408E-2</v>
      </c>
      <c r="AP393" s="93">
        <f>VLOOKUP(B393,'Growthrates source'!A$2:I$49,9,FALSE)</f>
        <v>6.0316928868946684E-2</v>
      </c>
      <c r="AQ393" s="86">
        <f t="shared" si="121"/>
        <v>41.202931715392566</v>
      </c>
      <c r="AR393" s="86">
        <f t="shared" si="122"/>
        <v>56.32274152535107</v>
      </c>
      <c r="AS393" s="94">
        <f t="shared" si="123"/>
        <v>0.1275176701889518</v>
      </c>
      <c r="AT393" s="94">
        <f t="shared" si="124"/>
        <v>1.5224821784957782E-2</v>
      </c>
      <c r="AU393" s="94">
        <f t="shared" si="125"/>
        <v>1.4272967151070795</v>
      </c>
    </row>
    <row r="394" spans="1:47" x14ac:dyDescent="0.3">
      <c r="A394" s="85" t="str">
        <f>_xlfn.XLOOKUP(B394,'Country codes &amp; Data sources'!G:G,'Country codes &amp; Data sources'!H:H,,0)</f>
        <v>Ghana</v>
      </c>
      <c r="B394" s="85" t="s">
        <v>172</v>
      </c>
      <c r="C394" s="86">
        <v>26858770</v>
      </c>
      <c r="D394" s="85" t="s">
        <v>203</v>
      </c>
      <c r="E394" s="87">
        <v>0</v>
      </c>
      <c r="F394" s="88">
        <v>27525596.999999989</v>
      </c>
      <c r="G394" s="87">
        <v>0</v>
      </c>
      <c r="I394" s="87">
        <v>0</v>
      </c>
      <c r="K394" s="87">
        <v>0</v>
      </c>
      <c r="M394" s="87">
        <v>0</v>
      </c>
      <c r="O394" s="87">
        <v>0</v>
      </c>
      <c r="P394" s="88">
        <v>30870640.5</v>
      </c>
      <c r="Q394" s="87">
        <v>0</v>
      </c>
      <c r="R394" s="87">
        <f t="shared" si="108"/>
        <v>4059</v>
      </c>
      <c r="T394" s="87">
        <v>0</v>
      </c>
      <c r="V394" s="87">
        <v>0</v>
      </c>
      <c r="X394" s="87">
        <v>3453</v>
      </c>
      <c r="Y394" s="88">
        <v>33475870.500000011</v>
      </c>
      <c r="Z394" s="87">
        <v>3602</v>
      </c>
      <c r="AA394" s="87">
        <v>4059</v>
      </c>
      <c r="AB394" s="89">
        <f t="shared" si="109"/>
        <v>0</v>
      </c>
      <c r="AC394" s="89">
        <f t="shared" si="110"/>
        <v>0</v>
      </c>
      <c r="AD394" s="89">
        <f t="shared" si="111"/>
        <v>3602</v>
      </c>
      <c r="AE394" s="90">
        <f t="shared" si="112"/>
        <v>0</v>
      </c>
      <c r="AF394" s="90" t="str">
        <f t="shared" si="113"/>
        <v/>
      </c>
      <c r="AG394" s="90">
        <f t="shared" si="114"/>
        <v>4059</v>
      </c>
      <c r="AH394" s="90" t="str">
        <f t="shared" si="115"/>
        <v>2018 (triag)</v>
      </c>
      <c r="AI394" s="90">
        <f t="shared" si="116"/>
        <v>3602</v>
      </c>
      <c r="AJ394" s="90">
        <f t="shared" si="117"/>
        <v>2022</v>
      </c>
      <c r="AK394" s="90" t="str">
        <f t="shared" si="118"/>
        <v>Adjust</v>
      </c>
      <c r="AL394" s="91">
        <f>IF(AK394="Adjust",(_xlfn.XLOOKUP(A394,'Adj factor'!A:A,'Adj factor'!I:I,,0)*AI394),'Master DataSheet'!AI394)</f>
        <v>4345.9371270962411</v>
      </c>
      <c r="AM394" s="91">
        <f t="shared" si="119"/>
        <v>4345.9371270962411</v>
      </c>
      <c r="AN394" s="92" t="str">
        <f t="shared" si="120"/>
        <v>Increasing</v>
      </c>
      <c r="AO394" s="93">
        <f>VLOOKUP(B394,'Growthrates source'!A$2:H$49,8,FALSE)</f>
        <v>2.6327637949120408E-2</v>
      </c>
      <c r="AP394" s="93">
        <f>VLOOKUP(B394,'Growthrates source'!A$2:I$49,9,FALSE)</f>
        <v>6.0316928868946684E-2</v>
      </c>
      <c r="AQ394" s="86">
        <f t="shared" si="121"/>
        <v>3558.3553155910299</v>
      </c>
      <c r="AR394" s="86">
        <f t="shared" si="122"/>
        <v>4864.1278266255313</v>
      </c>
      <c r="AS394" s="94">
        <f t="shared" si="123"/>
        <v>0</v>
      </c>
      <c r="AT394" s="94">
        <f t="shared" si="124"/>
        <v>1.3148415239392264</v>
      </c>
      <c r="AU394" s="94">
        <f t="shared" si="125"/>
        <v>1.2982297583855928</v>
      </c>
    </row>
    <row r="395" spans="1:47" x14ac:dyDescent="0.3">
      <c r="A395" s="85" t="str">
        <f>_xlfn.XLOOKUP(B395,'Country codes &amp; Data sources'!G:G,'Country codes &amp; Data sources'!H:H,,0)</f>
        <v>Ghana</v>
      </c>
      <c r="B395" s="85" t="s">
        <v>172</v>
      </c>
      <c r="C395" s="86">
        <v>26858771</v>
      </c>
      <c r="D395" s="85" t="s">
        <v>204</v>
      </c>
      <c r="E395" s="87">
        <v>0</v>
      </c>
      <c r="F395" s="88">
        <v>27525596.999999989</v>
      </c>
      <c r="G395" s="87">
        <v>0</v>
      </c>
      <c r="I395" s="87">
        <v>0</v>
      </c>
      <c r="K395" s="87">
        <v>0</v>
      </c>
      <c r="M395" s="87">
        <v>0</v>
      </c>
      <c r="O395" s="87">
        <v>0</v>
      </c>
      <c r="P395" s="88">
        <v>30870640.5</v>
      </c>
      <c r="Q395" s="87">
        <v>0</v>
      </c>
      <c r="R395" s="87">
        <f t="shared" si="108"/>
        <v>1033</v>
      </c>
      <c r="T395" s="87">
        <v>0</v>
      </c>
      <c r="V395" s="87">
        <v>0</v>
      </c>
      <c r="X395" s="87">
        <v>0</v>
      </c>
      <c r="Y395" s="88">
        <v>33475870.500000011</v>
      </c>
      <c r="Z395" s="87">
        <v>0</v>
      </c>
      <c r="AA395" s="87">
        <v>1033</v>
      </c>
      <c r="AB395" s="89">
        <f t="shared" si="109"/>
        <v>0</v>
      </c>
      <c r="AC395" s="89">
        <f t="shared" si="110"/>
        <v>0</v>
      </c>
      <c r="AD395" s="89">
        <f t="shared" si="111"/>
        <v>0</v>
      </c>
      <c r="AE395" s="90">
        <f t="shared" si="112"/>
        <v>0</v>
      </c>
      <c r="AF395" s="90" t="str">
        <f t="shared" si="113"/>
        <v/>
      </c>
      <c r="AG395" s="90">
        <f t="shared" si="114"/>
        <v>1033</v>
      </c>
      <c r="AH395" s="90" t="str">
        <f t="shared" si="115"/>
        <v>2018 (triag)</v>
      </c>
      <c r="AI395" s="90">
        <f t="shared" si="116"/>
        <v>1033</v>
      </c>
      <c r="AJ395" s="90" t="str">
        <f t="shared" si="117"/>
        <v>2018 (triag)</v>
      </c>
      <c r="AK395" s="90" t="str">
        <f t="shared" si="118"/>
        <v/>
      </c>
      <c r="AL395" s="91">
        <f>IF(AK395="Adjust",(_xlfn.XLOOKUP(A395,'Adj factor'!A:A,'Adj factor'!I:I,,0)*AI395),'Master DataSheet'!AI395)</f>
        <v>1033</v>
      </c>
      <c r="AM395" s="91">
        <f t="shared" si="119"/>
        <v>1033</v>
      </c>
      <c r="AN395" s="92" t="str">
        <f t="shared" si="120"/>
        <v>No change</v>
      </c>
      <c r="AO395" s="93">
        <f>VLOOKUP(B395,'Growthrates source'!A$2:H$49,8,FALSE)</f>
        <v>2.6327637949120408E-2</v>
      </c>
      <c r="AP395" s="93">
        <f>VLOOKUP(B395,'Growthrates source'!A$2:I$49,9,FALSE)</f>
        <v>6.0316928868946684E-2</v>
      </c>
      <c r="AQ395" s="86">
        <f t="shared" si="121"/>
        <v>905.58783961703227</v>
      </c>
      <c r="AR395" s="86">
        <f t="shared" si="122"/>
        <v>1237.9019573550565</v>
      </c>
      <c r="AS395" s="94">
        <f t="shared" si="123"/>
        <v>0</v>
      </c>
      <c r="AT395" s="94">
        <f t="shared" si="124"/>
        <v>0.33462214689066783</v>
      </c>
      <c r="AU395" s="94">
        <f t="shared" si="125"/>
        <v>0.30858047440469089</v>
      </c>
    </row>
    <row r="396" spans="1:47" x14ac:dyDescent="0.3">
      <c r="A396" s="85" t="str">
        <f>_xlfn.XLOOKUP(B396,'Country codes &amp; Data sources'!G:G,'Country codes &amp; Data sources'!H:H,,0)</f>
        <v>Ghana</v>
      </c>
      <c r="B396" s="85" t="s">
        <v>172</v>
      </c>
      <c r="C396" s="86">
        <v>26858772</v>
      </c>
      <c r="D396" s="85" t="s">
        <v>205</v>
      </c>
      <c r="E396" s="87">
        <v>0</v>
      </c>
      <c r="F396" s="88">
        <v>27525596.999999989</v>
      </c>
      <c r="G396" s="87">
        <v>0</v>
      </c>
      <c r="I396" s="87">
        <v>0</v>
      </c>
      <c r="K396" s="87">
        <v>0</v>
      </c>
      <c r="M396" s="87">
        <v>30</v>
      </c>
      <c r="O396" s="87">
        <v>167</v>
      </c>
      <c r="P396" s="88">
        <v>30870640.5</v>
      </c>
      <c r="Q396" s="87">
        <v>0</v>
      </c>
      <c r="R396" s="87">
        <f t="shared" si="108"/>
        <v>0</v>
      </c>
      <c r="T396" s="87">
        <v>0</v>
      </c>
      <c r="V396" s="87">
        <v>0</v>
      </c>
      <c r="X396" s="87">
        <v>0</v>
      </c>
      <c r="Y396" s="88">
        <v>33475870.500000011</v>
      </c>
      <c r="Z396" s="103">
        <v>1550</v>
      </c>
      <c r="AA396" s="87">
        <v>0</v>
      </c>
      <c r="AB396" s="89">
        <f t="shared" si="109"/>
        <v>0</v>
      </c>
      <c r="AC396" s="89">
        <f t="shared" si="110"/>
        <v>167</v>
      </c>
      <c r="AD396" s="89">
        <f t="shared" si="111"/>
        <v>1550</v>
      </c>
      <c r="AE396" s="90">
        <f t="shared" si="112"/>
        <v>0</v>
      </c>
      <c r="AF396" s="90" t="str">
        <f t="shared" si="113"/>
        <v/>
      </c>
      <c r="AG396" s="90">
        <f t="shared" si="114"/>
        <v>167</v>
      </c>
      <c r="AH396" s="90">
        <f t="shared" si="115"/>
        <v>2017</v>
      </c>
      <c r="AI396" s="90">
        <f t="shared" si="116"/>
        <v>1550</v>
      </c>
      <c r="AJ396" s="90">
        <f t="shared" si="117"/>
        <v>2022</v>
      </c>
      <c r="AK396" s="90" t="str">
        <f t="shared" si="118"/>
        <v/>
      </c>
      <c r="AL396" s="91">
        <f>IF(AK396="Adjust",(_xlfn.XLOOKUP(A396,'Adj factor'!A:A,'Adj factor'!I:I,,0)*AI396),'Master DataSheet'!AI396)</f>
        <v>1550</v>
      </c>
      <c r="AM396" s="91">
        <f t="shared" si="119"/>
        <v>1550</v>
      </c>
      <c r="AN396" s="92" t="str">
        <f t="shared" si="120"/>
        <v>Increasing</v>
      </c>
      <c r="AO396" s="93">
        <f>VLOOKUP(B396,'Growthrates source'!A$2:H$49,8,FALSE)</f>
        <v>2.6327637949120408E-2</v>
      </c>
      <c r="AP396" s="93">
        <f>VLOOKUP(B396,'Growthrates source'!A$2:I$49,9,FALSE)</f>
        <v>6.0316928868946684E-2</v>
      </c>
      <c r="AQ396" s="86">
        <f t="shared" si="121"/>
        <v>0</v>
      </c>
      <c r="AR396" s="86">
        <f t="shared" si="122"/>
        <v>0</v>
      </c>
      <c r="AS396" s="94">
        <f t="shared" si="123"/>
        <v>0</v>
      </c>
      <c r="AT396" s="94">
        <f t="shared" si="124"/>
        <v>5.4096707193360627E-2</v>
      </c>
      <c r="AU396" s="94">
        <f t="shared" si="125"/>
        <v>0.46302007292088176</v>
      </c>
    </row>
    <row r="397" spans="1:47" x14ac:dyDescent="0.3">
      <c r="A397" s="85" t="str">
        <f>_xlfn.XLOOKUP(B397,'Country codes &amp; Data sources'!G:G,'Country codes &amp; Data sources'!H:H,,0)</f>
        <v>Ghana</v>
      </c>
      <c r="B397" s="85" t="s">
        <v>172</v>
      </c>
      <c r="C397" s="86">
        <v>26858773</v>
      </c>
      <c r="D397" s="85" t="s">
        <v>133</v>
      </c>
      <c r="E397" s="87">
        <v>0</v>
      </c>
      <c r="F397" s="88">
        <v>27525596.999999989</v>
      </c>
      <c r="G397" s="87">
        <v>0</v>
      </c>
      <c r="I397" s="87">
        <v>0</v>
      </c>
      <c r="K397" s="87">
        <v>0</v>
      </c>
      <c r="M397" s="87">
        <v>0</v>
      </c>
      <c r="O397" s="87">
        <v>0</v>
      </c>
      <c r="P397" s="88">
        <v>30870640.5</v>
      </c>
      <c r="Q397" s="87">
        <v>1563</v>
      </c>
      <c r="R397" s="87">
        <f t="shared" si="108"/>
        <v>1563</v>
      </c>
      <c r="T397" s="87">
        <v>0</v>
      </c>
      <c r="V397" s="87">
        <v>0</v>
      </c>
      <c r="X397" s="87">
        <v>1759</v>
      </c>
      <c r="Y397" s="88">
        <v>33475870.500000011</v>
      </c>
      <c r="Z397" s="103">
        <v>4227</v>
      </c>
      <c r="AA397" s="87">
        <v>398</v>
      </c>
      <c r="AB397" s="89">
        <f t="shared" si="109"/>
        <v>0</v>
      </c>
      <c r="AC397" s="89">
        <f t="shared" si="110"/>
        <v>1563</v>
      </c>
      <c r="AD397" s="89">
        <f t="shared" si="111"/>
        <v>4227</v>
      </c>
      <c r="AE397" s="90">
        <f t="shared" si="112"/>
        <v>0</v>
      </c>
      <c r="AF397" s="90" t="str">
        <f t="shared" si="113"/>
        <v/>
      </c>
      <c r="AG397" s="90">
        <f t="shared" si="114"/>
        <v>1563</v>
      </c>
      <c r="AH397" s="90">
        <f t="shared" si="115"/>
        <v>2018</v>
      </c>
      <c r="AI397" s="90">
        <f t="shared" si="116"/>
        <v>4227</v>
      </c>
      <c r="AJ397" s="90">
        <f t="shared" si="117"/>
        <v>2022</v>
      </c>
      <c r="AK397" s="90" t="str">
        <f t="shared" si="118"/>
        <v/>
      </c>
      <c r="AL397" s="91">
        <f>IF(AK397="Adjust",(_xlfn.XLOOKUP(A397,'Adj factor'!A:A,'Adj factor'!I:I,,0)*AI397),'Master DataSheet'!AI397)</f>
        <v>4227</v>
      </c>
      <c r="AM397" s="91">
        <f t="shared" si="119"/>
        <v>4227</v>
      </c>
      <c r="AN397" s="92" t="str">
        <f t="shared" si="120"/>
        <v>Increasing</v>
      </c>
      <c r="AO397" s="93">
        <f>VLOOKUP(B397,'Growthrates source'!A$2:H$49,8,FALSE)</f>
        <v>2.6327637949120408E-2</v>
      </c>
      <c r="AP397" s="93">
        <f>VLOOKUP(B397,'Growthrates source'!A$2:I$49,9,FALSE)</f>
        <v>6.0316928868946684E-2</v>
      </c>
      <c r="AQ397" s="86">
        <f t="shared" si="121"/>
        <v>348.90993239843067</v>
      </c>
      <c r="AR397" s="86">
        <f t="shared" si="122"/>
        <v>476.9457686614835</v>
      </c>
      <c r="AS397" s="94">
        <f t="shared" si="123"/>
        <v>0</v>
      </c>
      <c r="AT397" s="94">
        <f t="shared" si="124"/>
        <v>0.50630630744444705</v>
      </c>
      <c r="AU397" s="94">
        <f t="shared" si="125"/>
        <v>1.2627005472493982</v>
      </c>
    </row>
    <row r="398" spans="1:47" x14ac:dyDescent="0.3">
      <c r="A398" s="85" t="str">
        <f>_xlfn.XLOOKUP(B398,'Country codes &amp; Data sources'!G:G,'Country codes &amp; Data sources'!H:H,,0)</f>
        <v>Ghana</v>
      </c>
      <c r="B398" s="85" t="s">
        <v>172</v>
      </c>
      <c r="C398" s="86">
        <v>26858774</v>
      </c>
      <c r="D398" s="85" t="s">
        <v>206</v>
      </c>
      <c r="E398" s="87">
        <v>0</v>
      </c>
      <c r="F398" s="88">
        <v>27525596.999999989</v>
      </c>
      <c r="G398" s="87">
        <v>0</v>
      </c>
      <c r="I398" s="87">
        <v>0</v>
      </c>
      <c r="K398" s="87">
        <v>0</v>
      </c>
      <c r="M398" s="87">
        <v>0</v>
      </c>
      <c r="O398" s="87">
        <v>240</v>
      </c>
      <c r="P398" s="88">
        <v>30870640.5</v>
      </c>
      <c r="Q398" s="87">
        <v>0</v>
      </c>
      <c r="R398" s="87">
        <f t="shared" si="108"/>
        <v>1671</v>
      </c>
      <c r="T398" s="87">
        <v>0</v>
      </c>
      <c r="V398" s="87">
        <v>0</v>
      </c>
      <c r="X398" s="87">
        <v>2352</v>
      </c>
      <c r="Y398" s="88">
        <v>33475870.500000011</v>
      </c>
      <c r="Z398" s="87">
        <v>2471</v>
      </c>
      <c r="AA398" s="87">
        <v>1671</v>
      </c>
      <c r="AB398" s="89">
        <f t="shared" si="109"/>
        <v>0</v>
      </c>
      <c r="AC398" s="89">
        <f t="shared" si="110"/>
        <v>240</v>
      </c>
      <c r="AD398" s="89">
        <f t="shared" si="111"/>
        <v>2471</v>
      </c>
      <c r="AE398" s="90">
        <f t="shared" si="112"/>
        <v>0</v>
      </c>
      <c r="AF398" s="90" t="str">
        <f t="shared" si="113"/>
        <v/>
      </c>
      <c r="AG398" s="90">
        <f t="shared" si="114"/>
        <v>1671</v>
      </c>
      <c r="AH398" s="90" t="str">
        <f t="shared" si="115"/>
        <v>2018 (triag)</v>
      </c>
      <c r="AI398" s="90">
        <f t="shared" si="116"/>
        <v>2471</v>
      </c>
      <c r="AJ398" s="90">
        <f t="shared" si="117"/>
        <v>2022</v>
      </c>
      <c r="AK398" s="90" t="str">
        <f t="shared" si="118"/>
        <v/>
      </c>
      <c r="AL398" s="91">
        <f>IF(AK398="Adjust",(_xlfn.XLOOKUP(A398,'Adj factor'!A:A,'Adj factor'!I:I,,0)*AI398),'Master DataSheet'!AI398)</f>
        <v>2471</v>
      </c>
      <c r="AM398" s="91">
        <f t="shared" si="119"/>
        <v>2471</v>
      </c>
      <c r="AN398" s="92" t="str">
        <f t="shared" si="120"/>
        <v>Increasing</v>
      </c>
      <c r="AO398" s="93">
        <f>VLOOKUP(B398,'Growthrates source'!A$2:H$49,8,FALSE)</f>
        <v>2.6327637949120408E-2</v>
      </c>
      <c r="AP398" s="93">
        <f>VLOOKUP(B398,'Growthrates source'!A$2:I$49,9,FALSE)</f>
        <v>6.0316928868946684E-2</v>
      </c>
      <c r="AQ398" s="86">
        <f t="shared" si="121"/>
        <v>1464.8957212004464</v>
      </c>
      <c r="AR398" s="86">
        <f t="shared" si="122"/>
        <v>2002.4532146566305</v>
      </c>
      <c r="AS398" s="94">
        <f t="shared" si="123"/>
        <v>0</v>
      </c>
      <c r="AT398" s="94">
        <f t="shared" si="124"/>
        <v>0.5412910043120096</v>
      </c>
      <c r="AU398" s="94">
        <f t="shared" si="125"/>
        <v>0.73814361302419285</v>
      </c>
    </row>
    <row r="399" spans="1:47" x14ac:dyDescent="0.3">
      <c r="A399" s="85" t="str">
        <f>_xlfn.XLOOKUP(B399,'Country codes &amp; Data sources'!G:G,'Country codes &amp; Data sources'!H:H,,0)</f>
        <v>Ghana</v>
      </c>
      <c r="B399" s="85" t="s">
        <v>172</v>
      </c>
      <c r="C399" s="86">
        <v>26858775</v>
      </c>
      <c r="D399" s="85" t="s">
        <v>136</v>
      </c>
      <c r="E399" s="87">
        <v>0</v>
      </c>
      <c r="F399" s="88">
        <v>27525596.999999989</v>
      </c>
      <c r="G399" s="87">
        <v>0</v>
      </c>
      <c r="I399" s="87">
        <v>0</v>
      </c>
      <c r="K399" s="87">
        <v>0</v>
      </c>
      <c r="M399" s="87">
        <v>0</v>
      </c>
      <c r="O399" s="87">
        <v>0</v>
      </c>
      <c r="P399" s="88">
        <v>30870640.5</v>
      </c>
      <c r="Q399" s="87">
        <v>0</v>
      </c>
      <c r="R399" s="87">
        <f t="shared" si="108"/>
        <v>1476</v>
      </c>
      <c r="T399" s="87">
        <v>0</v>
      </c>
      <c r="V399" s="87">
        <v>0</v>
      </c>
      <c r="X399" s="87">
        <v>1673</v>
      </c>
      <c r="Y399" s="88">
        <v>33475870.500000011</v>
      </c>
      <c r="Z399" s="87">
        <v>2703</v>
      </c>
      <c r="AA399" s="87">
        <v>1476</v>
      </c>
      <c r="AB399" s="89">
        <f t="shared" si="109"/>
        <v>0</v>
      </c>
      <c r="AC399" s="89">
        <f t="shared" si="110"/>
        <v>0</v>
      </c>
      <c r="AD399" s="89">
        <f t="shared" si="111"/>
        <v>2703</v>
      </c>
      <c r="AE399" s="90">
        <f t="shared" si="112"/>
        <v>0</v>
      </c>
      <c r="AF399" s="90" t="str">
        <f t="shared" si="113"/>
        <v/>
      </c>
      <c r="AG399" s="90">
        <f t="shared" si="114"/>
        <v>1476</v>
      </c>
      <c r="AH399" s="90" t="str">
        <f t="shared" si="115"/>
        <v>2018 (triag)</v>
      </c>
      <c r="AI399" s="90">
        <f t="shared" si="116"/>
        <v>2703</v>
      </c>
      <c r="AJ399" s="90">
        <f t="shared" si="117"/>
        <v>2022</v>
      </c>
      <c r="AK399" s="90" t="str">
        <f t="shared" si="118"/>
        <v/>
      </c>
      <c r="AL399" s="91">
        <f>IF(AK399="Adjust",(_xlfn.XLOOKUP(A399,'Adj factor'!A:A,'Adj factor'!I:I,,0)*AI399),'Master DataSheet'!AI399)</f>
        <v>2703</v>
      </c>
      <c r="AM399" s="91">
        <f t="shared" si="119"/>
        <v>2703</v>
      </c>
      <c r="AN399" s="92" t="str">
        <f t="shared" si="120"/>
        <v>Increasing</v>
      </c>
      <c r="AO399" s="93">
        <f>VLOOKUP(B399,'Growthrates source'!A$2:H$49,8,FALSE)</f>
        <v>2.6327637949120408E-2</v>
      </c>
      <c r="AP399" s="93">
        <f>VLOOKUP(B399,'Growthrates source'!A$2:I$49,9,FALSE)</f>
        <v>6.0316928868946684E-2</v>
      </c>
      <c r="AQ399" s="86">
        <f t="shared" si="121"/>
        <v>1293.9473874876473</v>
      </c>
      <c r="AR399" s="86">
        <f t="shared" si="122"/>
        <v>1768.7737551365569</v>
      </c>
      <c r="AS399" s="94">
        <f t="shared" si="123"/>
        <v>0</v>
      </c>
      <c r="AT399" s="94">
        <f t="shared" si="124"/>
        <v>0.47812419052335503</v>
      </c>
      <c r="AU399" s="94">
        <f t="shared" si="125"/>
        <v>0.80744726264847966</v>
      </c>
    </row>
    <row r="400" spans="1:47" x14ac:dyDescent="0.3">
      <c r="A400" s="85" t="str">
        <f>_xlfn.XLOOKUP(B400,'Country codes &amp; Data sources'!G:G,'Country codes &amp; Data sources'!H:H,,0)</f>
        <v>Ghana</v>
      </c>
      <c r="B400" s="85" t="s">
        <v>172</v>
      </c>
      <c r="C400" s="86">
        <v>26858776</v>
      </c>
      <c r="D400" s="85" t="s">
        <v>207</v>
      </c>
      <c r="E400" s="87">
        <v>0</v>
      </c>
      <c r="F400" s="88">
        <v>27525596.999999989</v>
      </c>
      <c r="G400" s="87">
        <v>0</v>
      </c>
      <c r="I400" s="87">
        <v>0</v>
      </c>
      <c r="K400" s="87">
        <v>0</v>
      </c>
      <c r="M400" s="87">
        <v>0</v>
      </c>
      <c r="O400" s="87">
        <v>0</v>
      </c>
      <c r="P400" s="88">
        <v>30870640.5</v>
      </c>
      <c r="Q400" s="87">
        <v>0</v>
      </c>
      <c r="R400" s="87">
        <f t="shared" si="108"/>
        <v>3883</v>
      </c>
      <c r="T400" s="87">
        <v>0</v>
      </c>
      <c r="V400" s="87">
        <v>0</v>
      </c>
      <c r="X400" s="87">
        <v>3238</v>
      </c>
      <c r="Y400" s="88">
        <v>33475870.500000011</v>
      </c>
      <c r="Z400" s="87">
        <v>3555</v>
      </c>
      <c r="AA400" s="87">
        <v>3883</v>
      </c>
      <c r="AB400" s="89">
        <f t="shared" si="109"/>
        <v>0</v>
      </c>
      <c r="AC400" s="89">
        <f t="shared" si="110"/>
        <v>0</v>
      </c>
      <c r="AD400" s="89">
        <f t="shared" si="111"/>
        <v>3555</v>
      </c>
      <c r="AE400" s="90">
        <f t="shared" si="112"/>
        <v>0</v>
      </c>
      <c r="AF400" s="90" t="str">
        <f t="shared" si="113"/>
        <v/>
      </c>
      <c r="AG400" s="90">
        <f t="shared" si="114"/>
        <v>3883</v>
      </c>
      <c r="AH400" s="90" t="str">
        <f t="shared" si="115"/>
        <v>2018 (triag)</v>
      </c>
      <c r="AI400" s="90">
        <f t="shared" si="116"/>
        <v>3555</v>
      </c>
      <c r="AJ400" s="90">
        <f t="shared" si="117"/>
        <v>2022</v>
      </c>
      <c r="AK400" s="90" t="str">
        <f t="shared" si="118"/>
        <v>Adjust</v>
      </c>
      <c r="AL400" s="91">
        <f>IF(AK400="Adjust",(_xlfn.XLOOKUP(A400,'Adj factor'!A:A,'Adj factor'!I:I,,0)*AI400),'Master DataSheet'!AI400)</f>
        <v>4289.2300074478444</v>
      </c>
      <c r="AM400" s="91">
        <f t="shared" si="119"/>
        <v>4289.2300074478444</v>
      </c>
      <c r="AN400" s="92" t="str">
        <f t="shared" si="120"/>
        <v>Increasing</v>
      </c>
      <c r="AO400" s="93">
        <f>VLOOKUP(B400,'Growthrates source'!A$2:H$49,8,FALSE)</f>
        <v>2.6327637949120408E-2</v>
      </c>
      <c r="AP400" s="93">
        <f>VLOOKUP(B400,'Growthrates source'!A$2:I$49,9,FALSE)</f>
        <v>6.0316928868946684E-2</v>
      </c>
      <c r="AQ400" s="86">
        <f t="shared" si="121"/>
        <v>3404.0634861887092</v>
      </c>
      <c r="AR400" s="86">
        <f t="shared" si="122"/>
        <v>4653.2171349561322</v>
      </c>
      <c r="AS400" s="94">
        <f t="shared" si="123"/>
        <v>0</v>
      </c>
      <c r="AT400" s="94">
        <f t="shared" si="124"/>
        <v>1.2578294253402356</v>
      </c>
      <c r="AU400" s="94">
        <f t="shared" si="125"/>
        <v>1.2812900585954421</v>
      </c>
    </row>
    <row r="401" spans="1:48" x14ac:dyDescent="0.3">
      <c r="A401" s="85" t="str">
        <f>_xlfn.XLOOKUP(B401,'Country codes &amp; Data sources'!G:G,'Country codes &amp; Data sources'!H:H,,0)</f>
        <v>Ghana</v>
      </c>
      <c r="B401" s="85" t="s">
        <v>172</v>
      </c>
      <c r="C401" s="86">
        <v>26858777</v>
      </c>
      <c r="D401" s="85" t="s">
        <v>141</v>
      </c>
      <c r="E401" s="87">
        <v>0</v>
      </c>
      <c r="F401" s="88">
        <v>27525596.999999989</v>
      </c>
      <c r="G401" s="87">
        <v>0</v>
      </c>
      <c r="I401" s="87">
        <v>0</v>
      </c>
      <c r="K401" s="87">
        <v>0</v>
      </c>
      <c r="M401" s="87">
        <v>0</v>
      </c>
      <c r="O401" s="87">
        <v>133</v>
      </c>
      <c r="P401" s="88">
        <v>30870640.5</v>
      </c>
      <c r="Q401" s="87">
        <v>0</v>
      </c>
      <c r="R401" s="87">
        <f t="shared" si="108"/>
        <v>143</v>
      </c>
      <c r="T401" s="87">
        <v>0</v>
      </c>
      <c r="V401" s="87">
        <v>0</v>
      </c>
      <c r="X401" s="87">
        <v>235</v>
      </c>
      <c r="Y401" s="88">
        <v>33475870.500000011</v>
      </c>
      <c r="Z401" s="87">
        <v>309</v>
      </c>
      <c r="AA401" s="87">
        <v>143</v>
      </c>
      <c r="AB401" s="89">
        <f t="shared" si="109"/>
        <v>0</v>
      </c>
      <c r="AC401" s="89">
        <f t="shared" si="110"/>
        <v>133</v>
      </c>
      <c r="AD401" s="89">
        <f t="shared" si="111"/>
        <v>309</v>
      </c>
      <c r="AE401" s="90">
        <f t="shared" si="112"/>
        <v>0</v>
      </c>
      <c r="AF401" s="90" t="str">
        <f t="shared" si="113"/>
        <v/>
      </c>
      <c r="AG401" s="90">
        <f t="shared" si="114"/>
        <v>143</v>
      </c>
      <c r="AH401" s="90" t="str">
        <f t="shared" si="115"/>
        <v>2018 (triag)</v>
      </c>
      <c r="AI401" s="90">
        <f t="shared" si="116"/>
        <v>309</v>
      </c>
      <c r="AJ401" s="90">
        <f t="shared" si="117"/>
        <v>2022</v>
      </c>
      <c r="AK401" s="90" t="str">
        <f t="shared" si="118"/>
        <v/>
      </c>
      <c r="AL401" s="91">
        <f>IF(AK401="Adjust",(_xlfn.XLOOKUP(A401,'Adj factor'!A:A,'Adj factor'!I:I,,0)*AI401),'Master DataSheet'!AI401)</f>
        <v>309</v>
      </c>
      <c r="AM401" s="91">
        <f t="shared" si="119"/>
        <v>309</v>
      </c>
      <c r="AN401" s="92" t="str">
        <f t="shared" si="120"/>
        <v>Increasing</v>
      </c>
      <c r="AO401" s="93">
        <f>VLOOKUP(B401,'Growthrates source'!A$2:H$49,8,FALSE)</f>
        <v>2.6327637949120408E-2</v>
      </c>
      <c r="AP401" s="93">
        <f>VLOOKUP(B401,'Growthrates source'!A$2:I$49,9,FALSE)</f>
        <v>6.0316928868946684E-2</v>
      </c>
      <c r="AQ401" s="86">
        <f t="shared" si="121"/>
        <v>125.36211138938589</v>
      </c>
      <c r="AR401" s="86">
        <f t="shared" si="122"/>
        <v>171.3649369813873</v>
      </c>
      <c r="AS401" s="94">
        <f t="shared" si="123"/>
        <v>0</v>
      </c>
      <c r="AT401" s="94">
        <f t="shared" si="124"/>
        <v>4.6322330111680063E-2</v>
      </c>
      <c r="AU401" s="94">
        <f t="shared" si="125"/>
        <v>9.2305291956485458E-2</v>
      </c>
    </row>
    <row r="402" spans="1:48" x14ac:dyDescent="0.3">
      <c r="A402" s="85" t="str">
        <f>_xlfn.XLOOKUP(B402,'Country codes &amp; Data sources'!G:G,'Country codes &amp; Data sources'!H:H,,0)</f>
        <v>Ghana</v>
      </c>
      <c r="B402" s="85" t="s">
        <v>172</v>
      </c>
      <c r="C402" s="86">
        <v>26858778</v>
      </c>
      <c r="D402" s="85" t="s">
        <v>208</v>
      </c>
      <c r="E402" s="87">
        <v>0</v>
      </c>
      <c r="F402" s="88">
        <v>27525596.999999989</v>
      </c>
      <c r="G402" s="87">
        <v>0</v>
      </c>
      <c r="I402" s="87">
        <v>0</v>
      </c>
      <c r="K402" s="87">
        <v>0</v>
      </c>
      <c r="M402" s="87">
        <v>0</v>
      </c>
      <c r="O402" s="87">
        <v>0</v>
      </c>
      <c r="P402" s="88">
        <v>30870640.5</v>
      </c>
      <c r="Q402" s="87">
        <v>0</v>
      </c>
      <c r="R402" s="87">
        <f t="shared" si="108"/>
        <v>23627</v>
      </c>
      <c r="T402" s="87">
        <v>0</v>
      </c>
      <c r="V402" s="87">
        <v>0</v>
      </c>
      <c r="X402" s="87">
        <v>0</v>
      </c>
      <c r="Y402" s="88">
        <v>33475870.500000011</v>
      </c>
      <c r="Z402" s="87">
        <v>0</v>
      </c>
      <c r="AA402" s="87">
        <v>23627</v>
      </c>
      <c r="AB402" s="89">
        <f t="shared" si="109"/>
        <v>0</v>
      </c>
      <c r="AC402" s="89">
        <f t="shared" si="110"/>
        <v>0</v>
      </c>
      <c r="AD402" s="89">
        <f t="shared" si="111"/>
        <v>0</v>
      </c>
      <c r="AE402" s="90">
        <f t="shared" si="112"/>
        <v>0</v>
      </c>
      <c r="AF402" s="90" t="str">
        <f t="shared" si="113"/>
        <v/>
      </c>
      <c r="AG402" s="90">
        <f t="shared" si="114"/>
        <v>23627</v>
      </c>
      <c r="AH402" s="90" t="str">
        <f t="shared" si="115"/>
        <v>2018 (triag)</v>
      </c>
      <c r="AI402" s="90">
        <f t="shared" si="116"/>
        <v>23627</v>
      </c>
      <c r="AJ402" s="90" t="str">
        <f t="shared" si="117"/>
        <v>2018 (triag)</v>
      </c>
      <c r="AK402" s="90" t="str">
        <f t="shared" si="118"/>
        <v/>
      </c>
      <c r="AL402" s="91">
        <f>IF(AK402="Adjust",(_xlfn.XLOOKUP(A402,'Adj factor'!A:A,'Adj factor'!I:I,,0)*AI402),'Master DataSheet'!AI402)</f>
        <v>23627</v>
      </c>
      <c r="AM402" s="91">
        <f t="shared" si="119"/>
        <v>23627</v>
      </c>
      <c r="AN402" s="92" t="str">
        <f t="shared" si="120"/>
        <v>No change</v>
      </c>
      <c r="AO402" s="93">
        <f>VLOOKUP(B402,'Growthrates source'!A$2:H$49,8,FALSE)</f>
        <v>2.6327637949120408E-2</v>
      </c>
      <c r="AP402" s="93">
        <f>VLOOKUP(B402,'Growthrates source'!A$2:I$49,9,FALSE)</f>
        <v>6.0316928868946684E-2</v>
      </c>
      <c r="AQ402" s="86">
        <f t="shared" si="121"/>
        <v>20712.801439140003</v>
      </c>
      <c r="AR402" s="86">
        <f t="shared" si="122"/>
        <v>28313.562000414247</v>
      </c>
      <c r="AS402" s="94">
        <f t="shared" si="123"/>
        <v>0</v>
      </c>
      <c r="AT402" s="94">
        <f t="shared" si="124"/>
        <v>7.6535503045361173</v>
      </c>
      <c r="AU402" s="94">
        <f t="shared" si="125"/>
        <v>7.0579195244526929</v>
      </c>
    </row>
    <row r="403" spans="1:48" x14ac:dyDescent="0.3">
      <c r="A403" s="85" t="str">
        <f>_xlfn.XLOOKUP(B403,'Country codes &amp; Data sources'!G:G,'Country codes &amp; Data sources'!H:H,,0)</f>
        <v>Ghana</v>
      </c>
      <c r="B403" s="85" t="s">
        <v>172</v>
      </c>
      <c r="C403" s="86">
        <v>26858779</v>
      </c>
      <c r="D403" s="85" t="s">
        <v>209</v>
      </c>
      <c r="E403" s="87">
        <v>0</v>
      </c>
      <c r="F403" s="88">
        <v>27525596.999999989</v>
      </c>
      <c r="G403" s="87">
        <v>0</v>
      </c>
      <c r="I403" s="87">
        <v>0</v>
      </c>
      <c r="K403" s="87">
        <v>0</v>
      </c>
      <c r="M403" s="87">
        <v>0</v>
      </c>
      <c r="O403" s="87">
        <v>0</v>
      </c>
      <c r="P403" s="88">
        <v>30870640.5</v>
      </c>
      <c r="Q403" s="87">
        <v>0</v>
      </c>
      <c r="R403" s="87">
        <f t="shared" si="108"/>
        <v>1877</v>
      </c>
      <c r="T403" s="87">
        <v>0</v>
      </c>
      <c r="V403" s="87">
        <v>0</v>
      </c>
      <c r="X403" s="87">
        <v>0</v>
      </c>
      <c r="Y403" s="88">
        <v>33475870.500000011</v>
      </c>
      <c r="Z403" s="87">
        <v>0</v>
      </c>
      <c r="AA403" s="87">
        <v>1877</v>
      </c>
      <c r="AB403" s="89">
        <f t="shared" si="109"/>
        <v>0</v>
      </c>
      <c r="AC403" s="89">
        <f t="shared" si="110"/>
        <v>0</v>
      </c>
      <c r="AD403" s="89">
        <f t="shared" si="111"/>
        <v>0</v>
      </c>
      <c r="AE403" s="90">
        <f t="shared" si="112"/>
        <v>0</v>
      </c>
      <c r="AF403" s="90" t="str">
        <f t="shared" si="113"/>
        <v/>
      </c>
      <c r="AG403" s="90">
        <f t="shared" si="114"/>
        <v>1877</v>
      </c>
      <c r="AH403" s="90" t="str">
        <f t="shared" si="115"/>
        <v>2018 (triag)</v>
      </c>
      <c r="AI403" s="90">
        <f t="shared" si="116"/>
        <v>1877</v>
      </c>
      <c r="AJ403" s="90" t="str">
        <f t="shared" si="117"/>
        <v>2018 (triag)</v>
      </c>
      <c r="AK403" s="90" t="str">
        <f t="shared" si="118"/>
        <v/>
      </c>
      <c r="AL403" s="91">
        <f>IF(AK403="Adjust",(_xlfn.XLOOKUP(A403,'Adj factor'!A:A,'Adj factor'!I:I,,0)*AI403),'Master DataSheet'!AI403)</f>
        <v>1877</v>
      </c>
      <c r="AM403" s="91">
        <f t="shared" si="119"/>
        <v>1877</v>
      </c>
      <c r="AN403" s="92" t="str">
        <f t="shared" si="120"/>
        <v>No change</v>
      </c>
      <c r="AO403" s="93">
        <f>VLOOKUP(B403,'Growthrates source'!A$2:H$49,8,FALSE)</f>
        <v>2.6327637949120408E-2</v>
      </c>
      <c r="AP403" s="93">
        <f>VLOOKUP(B403,'Growthrates source'!A$2:I$49,9,FALSE)</f>
        <v>6.0316928868946684E-2</v>
      </c>
      <c r="AQ403" s="86">
        <f t="shared" si="121"/>
        <v>1645.4872942508903</v>
      </c>
      <c r="AR403" s="86">
        <f t="shared" si="122"/>
        <v>2249.3145924060418</v>
      </c>
      <c r="AS403" s="94">
        <f t="shared" si="123"/>
        <v>0</v>
      </c>
      <c r="AT403" s="94">
        <f t="shared" si="124"/>
        <v>0.60802107426310126</v>
      </c>
      <c r="AU403" s="94">
        <f t="shared" si="125"/>
        <v>0.56070237217580332</v>
      </c>
    </row>
    <row r="404" spans="1:48" x14ac:dyDescent="0.3">
      <c r="A404" s="85" t="str">
        <f>_xlfn.XLOOKUP(B404,'Country codes &amp; Data sources'!G:G,'Country codes &amp; Data sources'!H:H,,0)</f>
        <v>Ghana</v>
      </c>
      <c r="B404" s="85" t="s">
        <v>172</v>
      </c>
      <c r="C404" s="86">
        <v>26858780</v>
      </c>
      <c r="D404" s="85" t="s">
        <v>134</v>
      </c>
      <c r="E404" s="87">
        <v>0</v>
      </c>
      <c r="F404" s="88">
        <v>27525596.999999989</v>
      </c>
      <c r="G404" s="87">
        <v>3987</v>
      </c>
      <c r="I404" s="87">
        <v>0</v>
      </c>
      <c r="K404" s="87">
        <v>0</v>
      </c>
      <c r="M404" s="87">
        <v>0</v>
      </c>
      <c r="O404" s="87">
        <v>0</v>
      </c>
      <c r="P404" s="88">
        <v>30870640.5</v>
      </c>
      <c r="Q404" s="87">
        <v>0</v>
      </c>
      <c r="R404" s="87">
        <f t="shared" si="108"/>
        <v>1563</v>
      </c>
      <c r="T404" s="87">
        <v>0</v>
      </c>
      <c r="V404" s="87">
        <v>0</v>
      </c>
      <c r="X404" s="87">
        <v>6276</v>
      </c>
      <c r="Y404" s="88">
        <v>33475870.500000011</v>
      </c>
      <c r="Z404" s="103">
        <v>3748</v>
      </c>
      <c r="AA404" s="87">
        <v>1563</v>
      </c>
      <c r="AB404" s="89">
        <f t="shared" si="109"/>
        <v>3987</v>
      </c>
      <c r="AC404" s="89">
        <f t="shared" si="110"/>
        <v>0</v>
      </c>
      <c r="AD404" s="89">
        <f t="shared" si="111"/>
        <v>6276</v>
      </c>
      <c r="AE404" s="90">
        <f t="shared" si="112"/>
        <v>3987</v>
      </c>
      <c r="AF404" s="90">
        <f t="shared" si="113"/>
        <v>2013</v>
      </c>
      <c r="AG404" s="90">
        <f t="shared" si="114"/>
        <v>1563</v>
      </c>
      <c r="AH404" s="90" t="str">
        <f t="shared" si="115"/>
        <v>2018 (triag)</v>
      </c>
      <c r="AI404" s="90">
        <f t="shared" si="116"/>
        <v>3748</v>
      </c>
      <c r="AJ404" s="90">
        <f t="shared" si="117"/>
        <v>2022</v>
      </c>
      <c r="AK404" s="90" t="str">
        <f t="shared" si="118"/>
        <v/>
      </c>
      <c r="AL404" s="91">
        <f>IF(AK404="Adjust",(_xlfn.XLOOKUP(A404,'Adj factor'!A:A,'Adj factor'!I:I,,0)*AI404),'Master DataSheet'!AI404)</f>
        <v>3748</v>
      </c>
      <c r="AM404" s="91">
        <f t="shared" si="119"/>
        <v>3748</v>
      </c>
      <c r="AN404" s="92" t="str">
        <f t="shared" si="120"/>
        <v>Increasing</v>
      </c>
      <c r="AO404" s="93">
        <f>VLOOKUP(B404,'Growthrates source'!A$2:H$49,8,FALSE)</f>
        <v>2.6327637949120408E-2</v>
      </c>
      <c r="AP404" s="93">
        <f>VLOOKUP(B404,'Growthrates source'!A$2:I$49,9,FALSE)</f>
        <v>6.0316928868946684E-2</v>
      </c>
      <c r="AQ404" s="86">
        <f t="shared" si="121"/>
        <v>1370.2166440672038</v>
      </c>
      <c r="AR404" s="86">
        <f t="shared" si="122"/>
        <v>1873.0307447685898</v>
      </c>
      <c r="AS404" s="94">
        <f t="shared" si="123"/>
        <v>1.4484699459924526</v>
      </c>
      <c r="AT404" s="94">
        <f t="shared" si="124"/>
        <v>0.50630630744444705</v>
      </c>
      <c r="AU404" s="94">
        <f t="shared" si="125"/>
        <v>1.1196124085854613</v>
      </c>
    </row>
    <row r="405" spans="1:48" x14ac:dyDescent="0.3">
      <c r="A405" s="85" t="str">
        <f>_xlfn.XLOOKUP(B405,'Country codes &amp; Data sources'!G:G,'Country codes &amp; Data sources'!H:H,,0)</f>
        <v>Ghana</v>
      </c>
      <c r="B405" s="85" t="s">
        <v>172</v>
      </c>
      <c r="C405" s="86">
        <v>26858781</v>
      </c>
      <c r="D405" s="85" t="s">
        <v>142</v>
      </c>
      <c r="E405" s="87">
        <v>0</v>
      </c>
      <c r="F405" s="88">
        <v>27525596.999999989</v>
      </c>
      <c r="G405" s="87">
        <v>0</v>
      </c>
      <c r="I405" s="87">
        <v>0</v>
      </c>
      <c r="K405" s="87">
        <v>0</v>
      </c>
      <c r="M405" s="87">
        <v>0</v>
      </c>
      <c r="O405" s="87">
        <v>0</v>
      </c>
      <c r="P405" s="88">
        <v>30870640.5</v>
      </c>
      <c r="Q405" s="87">
        <v>0</v>
      </c>
      <c r="R405" s="87">
        <f t="shared" si="108"/>
        <v>2116</v>
      </c>
      <c r="T405" s="87">
        <v>0</v>
      </c>
      <c r="V405" s="87">
        <v>0</v>
      </c>
      <c r="X405" s="87">
        <v>0</v>
      </c>
      <c r="Y405" s="88">
        <v>33475870.500000011</v>
      </c>
      <c r="Z405" s="103">
        <v>2656</v>
      </c>
      <c r="AA405" s="87">
        <v>2116</v>
      </c>
      <c r="AB405" s="89">
        <f t="shared" si="109"/>
        <v>0</v>
      </c>
      <c r="AC405" s="89">
        <f t="shared" si="110"/>
        <v>0</v>
      </c>
      <c r="AD405" s="89">
        <f t="shared" si="111"/>
        <v>2656</v>
      </c>
      <c r="AE405" s="90">
        <f t="shared" si="112"/>
        <v>0</v>
      </c>
      <c r="AF405" s="90" t="str">
        <f t="shared" si="113"/>
        <v/>
      </c>
      <c r="AG405" s="90">
        <f t="shared" si="114"/>
        <v>2116</v>
      </c>
      <c r="AH405" s="90" t="str">
        <f t="shared" si="115"/>
        <v>2018 (triag)</v>
      </c>
      <c r="AI405" s="90">
        <f t="shared" si="116"/>
        <v>2656</v>
      </c>
      <c r="AJ405" s="90">
        <f t="shared" si="117"/>
        <v>2022</v>
      </c>
      <c r="AK405" s="90" t="str">
        <f t="shared" si="118"/>
        <v/>
      </c>
      <c r="AL405" s="91">
        <f>IF(AK405="Adjust",(_xlfn.XLOOKUP(A405,'Adj factor'!A:A,'Adj factor'!I:I,,0)*AI405),'Master DataSheet'!AI405)</f>
        <v>2656</v>
      </c>
      <c r="AM405" s="91">
        <f t="shared" si="119"/>
        <v>2656</v>
      </c>
      <c r="AN405" s="92" t="str">
        <f t="shared" si="120"/>
        <v>Increasing</v>
      </c>
      <c r="AO405" s="93">
        <f>VLOOKUP(B405,'Growthrates source'!A$2:H$49,8,FALSE)</f>
        <v>2.6327637949120408E-2</v>
      </c>
      <c r="AP405" s="93">
        <f>VLOOKUP(B405,'Growthrates source'!A$2:I$49,9,FALSE)</f>
        <v>6.0316928868946684E-2</v>
      </c>
      <c r="AQ405" s="86">
        <f t="shared" si="121"/>
        <v>1855.0085853142696</v>
      </c>
      <c r="AR405" s="86">
        <f t="shared" si="122"/>
        <v>2535.7217248434649</v>
      </c>
      <c r="AS405" s="94">
        <f t="shared" si="123"/>
        <v>0</v>
      </c>
      <c r="AT405" s="94">
        <f t="shared" si="124"/>
        <v>0.68544091270150354</v>
      </c>
      <c r="AU405" s="94">
        <f t="shared" si="125"/>
        <v>0.79340729914700769</v>
      </c>
    </row>
    <row r="406" spans="1:48" x14ac:dyDescent="0.3">
      <c r="A406" s="85" t="str">
        <f>_xlfn.XLOOKUP(B406,'Country codes &amp; Data sources'!G:G,'Country codes &amp; Data sources'!H:H,,0)</f>
        <v>Ghana</v>
      </c>
      <c r="B406" s="85" t="s">
        <v>172</v>
      </c>
      <c r="C406" s="86">
        <v>26858782</v>
      </c>
      <c r="D406" s="85" t="s">
        <v>83</v>
      </c>
      <c r="E406" s="87">
        <v>0</v>
      </c>
      <c r="F406" s="88">
        <v>27525596.999999989</v>
      </c>
      <c r="G406" s="87">
        <v>0</v>
      </c>
      <c r="I406" s="87">
        <v>0</v>
      </c>
      <c r="K406" s="87">
        <v>0</v>
      </c>
      <c r="M406" s="87">
        <v>0</v>
      </c>
      <c r="O406" s="87">
        <v>324</v>
      </c>
      <c r="P406" s="88">
        <v>30870640.5</v>
      </c>
      <c r="Q406" s="87">
        <v>0</v>
      </c>
      <c r="R406" s="87">
        <f t="shared" si="108"/>
        <v>304</v>
      </c>
      <c r="T406" s="87">
        <v>0</v>
      </c>
      <c r="V406" s="87">
        <v>0</v>
      </c>
      <c r="X406" s="87">
        <v>308</v>
      </c>
      <c r="Y406" s="88">
        <v>33475870.500000011</v>
      </c>
      <c r="Z406" s="87">
        <v>381</v>
      </c>
      <c r="AA406" s="87">
        <v>304</v>
      </c>
      <c r="AB406" s="89">
        <f t="shared" si="109"/>
        <v>0</v>
      </c>
      <c r="AC406" s="89">
        <f t="shared" si="110"/>
        <v>324</v>
      </c>
      <c r="AD406" s="89">
        <f t="shared" si="111"/>
        <v>381</v>
      </c>
      <c r="AE406" s="90">
        <f t="shared" si="112"/>
        <v>0</v>
      </c>
      <c r="AF406" s="90" t="str">
        <f t="shared" si="113"/>
        <v/>
      </c>
      <c r="AG406" s="90">
        <f t="shared" si="114"/>
        <v>304</v>
      </c>
      <c r="AH406" s="90" t="str">
        <f t="shared" si="115"/>
        <v>2018 (triag)</v>
      </c>
      <c r="AI406" s="90">
        <f t="shared" si="116"/>
        <v>381</v>
      </c>
      <c r="AJ406" s="90">
        <f t="shared" si="117"/>
        <v>2022</v>
      </c>
      <c r="AK406" s="90" t="str">
        <f t="shared" si="118"/>
        <v/>
      </c>
      <c r="AL406" s="91">
        <f>IF(AK406="Adjust",(_xlfn.XLOOKUP(A406,'Adj factor'!A:A,'Adj factor'!I:I,,0)*AI406),'Master DataSheet'!AI406)</f>
        <v>381</v>
      </c>
      <c r="AM406" s="91">
        <f t="shared" si="119"/>
        <v>381</v>
      </c>
      <c r="AN406" s="92" t="str">
        <f t="shared" si="120"/>
        <v>Increasing</v>
      </c>
      <c r="AO406" s="93">
        <f>VLOOKUP(B406,'Growthrates source'!A$2:H$49,8,FALSE)</f>
        <v>2.6327637949120408E-2</v>
      </c>
      <c r="AP406" s="93">
        <f>VLOOKUP(B406,'Growthrates source'!A$2:I$49,9,FALSE)</f>
        <v>6.0316928868946684E-2</v>
      </c>
      <c r="AQ406" s="86">
        <f t="shared" si="121"/>
        <v>266.50406896764554</v>
      </c>
      <c r="AR406" s="86">
        <f t="shared" si="122"/>
        <v>364.30028561078137</v>
      </c>
      <c r="AS406" s="94">
        <f t="shared" si="123"/>
        <v>0</v>
      </c>
      <c r="AT406" s="94">
        <f t="shared" si="124"/>
        <v>9.8475443034620552E-2</v>
      </c>
      <c r="AU406" s="94">
        <f t="shared" si="125"/>
        <v>0.11381332115022964</v>
      </c>
    </row>
    <row r="407" spans="1:48" x14ac:dyDescent="0.3">
      <c r="A407" s="85" t="str">
        <f>_xlfn.XLOOKUP(B407,'Country codes &amp; Data sources'!G:G,'Country codes &amp; Data sources'!H:H,,0)</f>
        <v>Ghana</v>
      </c>
      <c r="B407" s="85" t="s">
        <v>172</v>
      </c>
      <c r="C407" s="86">
        <v>26858783</v>
      </c>
      <c r="D407" s="85" t="s">
        <v>84</v>
      </c>
      <c r="E407" s="87">
        <v>0</v>
      </c>
      <c r="F407" s="88">
        <v>27525596.999999989</v>
      </c>
      <c r="G407" s="87">
        <v>6118</v>
      </c>
      <c r="I407" s="87">
        <v>0</v>
      </c>
      <c r="K407" s="87">
        <v>0</v>
      </c>
      <c r="M407" s="87">
        <v>0</v>
      </c>
      <c r="O407" s="87">
        <v>0</v>
      </c>
      <c r="P407" s="88">
        <v>30870640.5</v>
      </c>
      <c r="Q407" s="87">
        <v>0</v>
      </c>
      <c r="R407" s="87">
        <f t="shared" si="108"/>
        <v>0</v>
      </c>
      <c r="T407" s="87">
        <v>0</v>
      </c>
      <c r="V407" s="87">
        <v>0</v>
      </c>
      <c r="X407" s="87">
        <v>0</v>
      </c>
      <c r="Y407" s="88">
        <v>33475870.500000011</v>
      </c>
      <c r="Z407" s="87">
        <v>0</v>
      </c>
      <c r="AA407" s="87">
        <v>0</v>
      </c>
      <c r="AB407" s="89">
        <f t="shared" si="109"/>
        <v>6118</v>
      </c>
      <c r="AC407" s="89">
        <f t="shared" si="110"/>
        <v>0</v>
      </c>
      <c r="AD407" s="89">
        <f t="shared" si="111"/>
        <v>0</v>
      </c>
      <c r="AE407" s="90">
        <f t="shared" si="112"/>
        <v>6118</v>
      </c>
      <c r="AF407" s="90">
        <f t="shared" si="113"/>
        <v>2013</v>
      </c>
      <c r="AG407" s="90">
        <f t="shared" si="114"/>
        <v>0</v>
      </c>
      <c r="AH407" s="90" t="str">
        <f t="shared" si="115"/>
        <v/>
      </c>
      <c r="AI407" s="90">
        <f t="shared" si="116"/>
        <v>0</v>
      </c>
      <c r="AJ407" s="90" t="str">
        <f t="shared" si="117"/>
        <v/>
      </c>
      <c r="AK407" s="90" t="str">
        <f t="shared" si="118"/>
        <v/>
      </c>
      <c r="AL407" s="91">
        <f>IF(AK407="Adjust",(_xlfn.XLOOKUP(A407,'Adj factor'!A:A,'Adj factor'!I:I,,0)*AI407),'Master DataSheet'!AI407)</f>
        <v>0</v>
      </c>
      <c r="AM407" s="91">
        <f t="shared" si="119"/>
        <v>0</v>
      </c>
      <c r="AN407" s="92" t="str">
        <f t="shared" si="120"/>
        <v>No change</v>
      </c>
      <c r="AO407" s="93">
        <f>VLOOKUP(B407,'Growthrates source'!A$2:H$49,8,FALSE)</f>
        <v>2.6327637949120408E-2</v>
      </c>
      <c r="AP407" s="93">
        <f>VLOOKUP(B407,'Growthrates source'!A$2:I$49,9,FALSE)</f>
        <v>6.0316928868946684E-2</v>
      </c>
      <c r="AQ407" s="86">
        <f t="shared" si="121"/>
        <v>0</v>
      </c>
      <c r="AR407" s="86">
        <f t="shared" si="122"/>
        <v>0</v>
      </c>
      <c r="AS407" s="94">
        <f t="shared" si="123"/>
        <v>2.2226584222678269</v>
      </c>
      <c r="AT407" s="94">
        <f t="shared" si="124"/>
        <v>0</v>
      </c>
      <c r="AU407" s="94">
        <f t="shared" si="125"/>
        <v>0</v>
      </c>
    </row>
    <row r="408" spans="1:48" x14ac:dyDescent="0.3">
      <c r="A408" s="85" t="str">
        <f>_xlfn.XLOOKUP(B408,'Country codes &amp; Data sources'!G:G,'Country codes &amp; Data sources'!H:H,,0)</f>
        <v>Ghana</v>
      </c>
      <c r="B408" s="85" t="s">
        <v>172</v>
      </c>
      <c r="C408" s="86">
        <v>26858784</v>
      </c>
      <c r="D408" s="85" t="s">
        <v>126</v>
      </c>
      <c r="E408" s="87">
        <v>0</v>
      </c>
      <c r="F408" s="88">
        <v>27525596.999999989</v>
      </c>
      <c r="G408" s="87">
        <v>0</v>
      </c>
      <c r="I408" s="87">
        <v>0</v>
      </c>
      <c r="K408" s="87">
        <v>0</v>
      </c>
      <c r="M408" s="87">
        <v>0</v>
      </c>
      <c r="O408" s="87">
        <v>0</v>
      </c>
      <c r="P408" s="88">
        <v>30870640.5</v>
      </c>
      <c r="Q408" s="87">
        <v>0</v>
      </c>
      <c r="R408" s="87">
        <f t="shared" si="108"/>
        <v>0</v>
      </c>
      <c r="T408" s="87">
        <v>0</v>
      </c>
      <c r="V408" s="87">
        <v>0</v>
      </c>
      <c r="X408" s="87">
        <v>9</v>
      </c>
      <c r="Y408" s="88">
        <v>33475870.500000011</v>
      </c>
      <c r="Z408" s="87">
        <v>30</v>
      </c>
      <c r="AA408" s="87">
        <v>0</v>
      </c>
      <c r="AB408" s="89">
        <f t="shared" si="109"/>
        <v>0</v>
      </c>
      <c r="AC408" s="89">
        <f t="shared" si="110"/>
        <v>0</v>
      </c>
      <c r="AD408" s="89">
        <f t="shared" si="111"/>
        <v>30</v>
      </c>
      <c r="AE408" s="90">
        <f t="shared" si="112"/>
        <v>0</v>
      </c>
      <c r="AF408" s="90" t="str">
        <f t="shared" si="113"/>
        <v/>
      </c>
      <c r="AG408" s="90">
        <f t="shared" si="114"/>
        <v>0</v>
      </c>
      <c r="AH408" s="90" t="str">
        <f t="shared" si="115"/>
        <v/>
      </c>
      <c r="AI408" s="90">
        <f t="shared" si="116"/>
        <v>30</v>
      </c>
      <c r="AJ408" s="90">
        <f t="shared" si="117"/>
        <v>2022</v>
      </c>
      <c r="AK408" s="90" t="str">
        <f t="shared" si="118"/>
        <v/>
      </c>
      <c r="AL408" s="91">
        <f>IF(AK408="Adjust",(_xlfn.XLOOKUP(A408,'Adj factor'!A:A,'Adj factor'!I:I,,0)*AI408),'Master DataSheet'!AI408)</f>
        <v>30</v>
      </c>
      <c r="AM408" s="91">
        <f t="shared" si="119"/>
        <v>30</v>
      </c>
      <c r="AN408" s="92" t="str">
        <f t="shared" si="120"/>
        <v>Increasing</v>
      </c>
      <c r="AO408" s="93">
        <f>VLOOKUP(B408,'Growthrates source'!A$2:H$49,8,FALSE)</f>
        <v>2.6327637949120408E-2</v>
      </c>
      <c r="AP408" s="93">
        <f>VLOOKUP(B408,'Growthrates source'!A$2:I$49,9,FALSE)</f>
        <v>6.0316928868946684E-2</v>
      </c>
      <c r="AQ408" s="86">
        <f t="shared" si="121"/>
        <v>0</v>
      </c>
      <c r="AR408" s="86">
        <f t="shared" si="122"/>
        <v>0</v>
      </c>
      <c r="AS408" s="94">
        <f t="shared" si="123"/>
        <v>0</v>
      </c>
      <c r="AT408" s="94">
        <f t="shared" si="124"/>
        <v>0</v>
      </c>
      <c r="AU408" s="94">
        <f t="shared" si="125"/>
        <v>8.9616788307267433E-3</v>
      </c>
    </row>
    <row r="409" spans="1:48" s="95" customFormat="1" x14ac:dyDescent="0.3">
      <c r="A409" s="95" t="str">
        <f>_xlfn.XLOOKUP(B409,'Country codes &amp; Data sources'!G:G,'Country codes &amp; Data sources'!H:H,,0)</f>
        <v>Ghana</v>
      </c>
      <c r="B409" s="95" t="s">
        <v>172</v>
      </c>
      <c r="C409" s="60">
        <v>26858785</v>
      </c>
      <c r="D409" s="95" t="s">
        <v>87</v>
      </c>
      <c r="E409" s="96">
        <v>0</v>
      </c>
      <c r="F409" s="97">
        <v>27525596.999999989</v>
      </c>
      <c r="G409" s="96">
        <v>8638</v>
      </c>
      <c r="H409" s="96"/>
      <c r="I409" s="96">
        <v>0</v>
      </c>
      <c r="J409" s="96"/>
      <c r="K409" s="96">
        <v>0</v>
      </c>
      <c r="L409" s="96"/>
      <c r="M409" s="96">
        <v>0</v>
      </c>
      <c r="N409" s="96"/>
      <c r="O409" s="96">
        <v>0</v>
      </c>
      <c r="P409" s="97">
        <v>30870640.5</v>
      </c>
      <c r="Q409" s="96">
        <v>0</v>
      </c>
      <c r="R409" s="96">
        <f t="shared" si="108"/>
        <v>3468</v>
      </c>
      <c r="S409" s="96"/>
      <c r="T409" s="96">
        <v>0</v>
      </c>
      <c r="U409" s="96"/>
      <c r="V409" s="96">
        <v>0</v>
      </c>
      <c r="W409" s="96"/>
      <c r="X409" s="96">
        <v>7</v>
      </c>
      <c r="Y409" s="97">
        <v>33475870.500000011</v>
      </c>
      <c r="Z409" s="96">
        <v>0</v>
      </c>
      <c r="AA409" s="96">
        <v>3468</v>
      </c>
      <c r="AB409" s="98">
        <f t="shared" si="109"/>
        <v>8638</v>
      </c>
      <c r="AC409" s="98">
        <f t="shared" si="110"/>
        <v>0</v>
      </c>
      <c r="AD409" s="98">
        <f t="shared" si="111"/>
        <v>7</v>
      </c>
      <c r="AE409" s="99">
        <f t="shared" si="112"/>
        <v>8638</v>
      </c>
      <c r="AF409" s="99">
        <f t="shared" si="113"/>
        <v>2013</v>
      </c>
      <c r="AG409" s="99">
        <f t="shared" si="114"/>
        <v>3468</v>
      </c>
      <c r="AH409" s="99" t="str">
        <f t="shared" si="115"/>
        <v>2018 (triag)</v>
      </c>
      <c r="AI409" s="99">
        <f t="shared" si="116"/>
        <v>7</v>
      </c>
      <c r="AJ409" s="99">
        <f t="shared" si="117"/>
        <v>2021</v>
      </c>
      <c r="AK409" s="99" t="str">
        <f t="shared" si="118"/>
        <v>Adjust</v>
      </c>
      <c r="AL409" s="61">
        <f>IF(AK409="Adjust",(_xlfn.XLOOKUP(A409,'Adj factor'!A:A,'Adj factor'!I:I,,0)*AI409),'Master DataSheet'!AI409)</f>
        <v>8.4457412242292307</v>
      </c>
      <c r="AM409" s="61">
        <f t="shared" si="119"/>
        <v>3468</v>
      </c>
      <c r="AN409" s="62" t="str">
        <f t="shared" si="120"/>
        <v>Decreasing</v>
      </c>
      <c r="AO409" s="100">
        <f>VLOOKUP(B409,'Growthrates source'!A$2:H$49,8,FALSE)</f>
        <v>2.6327637949120408E-2</v>
      </c>
      <c r="AP409" s="100">
        <f>VLOOKUP(B409,'Growthrates source'!A$2:I$49,9,FALSE)</f>
        <v>6.0316928868946684E-2</v>
      </c>
      <c r="AQ409" s="60">
        <f t="shared" si="121"/>
        <v>3040.2503657230086</v>
      </c>
      <c r="AR409" s="60">
        <f t="shared" si="122"/>
        <v>4155.8993108493087</v>
      </c>
      <c r="AS409" s="101">
        <f t="shared" si="123"/>
        <v>3.1381699005474806</v>
      </c>
      <c r="AT409" s="102">
        <f t="shared" si="124"/>
        <v>1.1233974883028424</v>
      </c>
      <c r="AU409" s="102">
        <f t="shared" si="125"/>
        <v>1.0359700728320116</v>
      </c>
    </row>
    <row r="410" spans="1:48" x14ac:dyDescent="0.3">
      <c r="A410" s="85" t="str">
        <f>_xlfn.XLOOKUP(B410,'Country codes &amp; Data sources'!G:G,'Country codes &amp; Data sources'!H:H,,0)</f>
        <v>Guinea</v>
      </c>
      <c r="B410" s="85" t="s">
        <v>173</v>
      </c>
      <c r="C410" s="86">
        <v>10788692</v>
      </c>
      <c r="D410" s="85" t="s">
        <v>321</v>
      </c>
      <c r="E410" s="87">
        <v>0</v>
      </c>
      <c r="F410" s="88">
        <v>11055430.000000004</v>
      </c>
      <c r="G410" s="87">
        <v>0</v>
      </c>
      <c r="H410" s="87">
        <v>11333365.500000002</v>
      </c>
      <c r="I410" s="87">
        <v>3688</v>
      </c>
      <c r="J410" s="87">
        <v>11625998.500000007</v>
      </c>
      <c r="K410" s="87">
        <v>1954</v>
      </c>
      <c r="L410" s="87">
        <v>11930984.999999998</v>
      </c>
      <c r="M410" s="87">
        <v>1954</v>
      </c>
      <c r="N410" s="87">
        <v>12240788.500000004</v>
      </c>
      <c r="O410" s="87">
        <v>0</v>
      </c>
      <c r="P410" s="88">
        <v>12554864.499999998</v>
      </c>
      <c r="Q410" s="87">
        <v>5574</v>
      </c>
      <c r="R410" s="87">
        <f t="shared" si="108"/>
        <v>5574</v>
      </c>
      <c r="S410" s="87">
        <v>12877538.499999994</v>
      </c>
      <c r="T410" s="87">
        <v>0</v>
      </c>
      <c r="U410" s="87">
        <v>13205152.499999998</v>
      </c>
      <c r="V410" s="87">
        <v>0</v>
      </c>
      <c r="W410" s="87">
        <v>13531906.000000004</v>
      </c>
      <c r="X410" s="87">
        <v>0</v>
      </c>
      <c r="Y410" s="88">
        <v>13859340.500000006</v>
      </c>
      <c r="Z410" s="87">
        <v>856</v>
      </c>
      <c r="AA410" s="87">
        <v>2787</v>
      </c>
      <c r="AB410" s="89">
        <f t="shared" si="109"/>
        <v>3688</v>
      </c>
      <c r="AC410" s="89">
        <f t="shared" si="110"/>
        <v>5574</v>
      </c>
      <c r="AD410" s="89">
        <f t="shared" si="111"/>
        <v>856</v>
      </c>
      <c r="AE410" s="90">
        <f t="shared" si="112"/>
        <v>3688</v>
      </c>
      <c r="AF410" s="90">
        <f t="shared" si="113"/>
        <v>2014</v>
      </c>
      <c r="AG410" s="90">
        <f t="shared" si="114"/>
        <v>5574</v>
      </c>
      <c r="AH410" s="90">
        <f t="shared" si="115"/>
        <v>2018</v>
      </c>
      <c r="AI410" s="90">
        <f t="shared" si="116"/>
        <v>856</v>
      </c>
      <c r="AJ410" s="90">
        <f t="shared" si="117"/>
        <v>2022</v>
      </c>
      <c r="AK410" s="90" t="str">
        <f t="shared" si="118"/>
        <v>Adjust</v>
      </c>
      <c r="AL410" s="91">
        <f>IF(AK410="Adjust",(_xlfn.XLOOKUP(A410,'Adj factor'!A:A,'Adj factor'!I:I,,0)*AI410),'Master DataSheet'!AI410)</f>
        <v>983.79963953827541</v>
      </c>
      <c r="AM410" s="91">
        <f t="shared" si="119"/>
        <v>5574</v>
      </c>
      <c r="AN410" s="92" t="str">
        <f t="shared" si="120"/>
        <v>Decreasing</v>
      </c>
      <c r="AO410" s="93">
        <f>VLOOKUP(B410,'Growthrates source'!A$2:H$49,8,FALSE)</f>
        <v>4.588291307733483E-2</v>
      </c>
      <c r="AP410" s="93">
        <f>VLOOKUP(B410,'Growthrates source'!A$2:I$49,9,FALSE)</f>
        <v>5.4673730437993617E-2</v>
      </c>
      <c r="AQ410" s="86">
        <f t="shared" si="121"/>
        <v>2215.6618957250757</v>
      </c>
      <c r="AR410" s="86">
        <f t="shared" si="122"/>
        <v>3283.7528824644696</v>
      </c>
      <c r="AS410" s="94">
        <f t="shared" si="123"/>
        <v>3.3359172822766721</v>
      </c>
      <c r="AT410" s="94">
        <f t="shared" si="124"/>
        <v>4.4397133875877364</v>
      </c>
      <c r="AU410" s="94">
        <f t="shared" si="125"/>
        <v>4.0218363925758212</v>
      </c>
    </row>
    <row r="411" spans="1:48" x14ac:dyDescent="0.3">
      <c r="A411" s="85" t="str">
        <f>_xlfn.XLOOKUP(B411,'Country codes &amp; Data sources'!G:G,'Country codes &amp; Data sources'!H:H,,0)</f>
        <v>Guinea</v>
      </c>
      <c r="B411" s="85" t="s">
        <v>173</v>
      </c>
      <c r="C411" s="86">
        <v>10788693</v>
      </c>
      <c r="D411" s="85" t="s">
        <v>322</v>
      </c>
      <c r="E411" s="87">
        <v>0</v>
      </c>
      <c r="F411" s="88">
        <v>11055430.000000004</v>
      </c>
      <c r="G411" s="87">
        <v>0</v>
      </c>
      <c r="I411" s="87">
        <v>11578</v>
      </c>
      <c r="K411" s="87">
        <v>8778</v>
      </c>
      <c r="M411" s="87">
        <v>2020</v>
      </c>
      <c r="O411" s="87">
        <v>0</v>
      </c>
      <c r="P411" s="88">
        <v>12554864.499999998</v>
      </c>
      <c r="Q411" s="87">
        <v>14390</v>
      </c>
      <c r="R411" s="87">
        <f t="shared" si="108"/>
        <v>14390</v>
      </c>
      <c r="T411" s="87">
        <v>0</v>
      </c>
      <c r="V411" s="87">
        <v>0</v>
      </c>
      <c r="X411" s="87">
        <v>0</v>
      </c>
      <c r="Y411" s="88">
        <v>13859340.500000006</v>
      </c>
      <c r="Z411" s="87">
        <v>8734</v>
      </c>
      <c r="AA411" s="87">
        <v>6329</v>
      </c>
      <c r="AB411" s="89">
        <f t="shared" si="109"/>
        <v>11578</v>
      </c>
      <c r="AC411" s="89">
        <f t="shared" si="110"/>
        <v>14390</v>
      </c>
      <c r="AD411" s="89">
        <f t="shared" si="111"/>
        <v>8734</v>
      </c>
      <c r="AE411" s="90">
        <f t="shared" si="112"/>
        <v>11578</v>
      </c>
      <c r="AF411" s="90">
        <f t="shared" si="113"/>
        <v>2014</v>
      </c>
      <c r="AG411" s="90">
        <f t="shared" si="114"/>
        <v>14390</v>
      </c>
      <c r="AH411" s="90">
        <f t="shared" si="115"/>
        <v>2018</v>
      </c>
      <c r="AI411" s="90">
        <f t="shared" si="116"/>
        <v>8734</v>
      </c>
      <c r="AJ411" s="90">
        <f t="shared" si="117"/>
        <v>2022</v>
      </c>
      <c r="AK411" s="90" t="str">
        <f t="shared" si="118"/>
        <v>Adjust</v>
      </c>
      <c r="AL411" s="91">
        <f>IF(AK411="Adjust",(_xlfn.XLOOKUP(A411,'Adj factor'!A:A,'Adj factor'!I:I,,0)*AI411),'Master DataSheet'!AI411)</f>
        <v>10037.974359494507</v>
      </c>
      <c r="AM411" s="91">
        <f t="shared" si="119"/>
        <v>14390</v>
      </c>
      <c r="AN411" s="92" t="str">
        <f t="shared" si="120"/>
        <v>Decreasing</v>
      </c>
      <c r="AO411" s="93">
        <f>VLOOKUP(B411,'Growthrates source'!A$2:H$49,8,FALSE)</f>
        <v>4.588291307733483E-2</v>
      </c>
      <c r="AP411" s="93">
        <f>VLOOKUP(B411,'Growthrates source'!A$2:I$49,9,FALSE)</f>
        <v>5.4673730437993617E-2</v>
      </c>
      <c r="AQ411" s="86">
        <f t="shared" si="121"/>
        <v>5031.5479505001813</v>
      </c>
      <c r="AR411" s="86">
        <f t="shared" si="122"/>
        <v>7457.0764237953454</v>
      </c>
      <c r="AS411" s="94">
        <f t="shared" si="123"/>
        <v>10.472681750054042</v>
      </c>
      <c r="AT411" s="94">
        <f t="shared" si="124"/>
        <v>11.461692796445554</v>
      </c>
      <c r="AU411" s="94">
        <f t="shared" si="125"/>
        <v>10.382889431138512</v>
      </c>
    </row>
    <row r="412" spans="1:48" x14ac:dyDescent="0.3">
      <c r="A412" s="85" t="str">
        <f>_xlfn.XLOOKUP(B412,'Country codes &amp; Data sources'!G:G,'Country codes &amp; Data sources'!H:H,,0)</f>
        <v>Guinea</v>
      </c>
      <c r="B412" s="85" t="s">
        <v>173</v>
      </c>
      <c r="C412" s="86">
        <v>10788694</v>
      </c>
      <c r="D412" s="85" t="s">
        <v>323</v>
      </c>
      <c r="E412" s="87">
        <v>0</v>
      </c>
      <c r="F412" s="88">
        <v>11055430.000000004</v>
      </c>
      <c r="G412" s="87">
        <v>1000</v>
      </c>
      <c r="I412" s="87">
        <v>1000</v>
      </c>
      <c r="K412" s="87">
        <v>752</v>
      </c>
      <c r="M412" s="87">
        <v>886</v>
      </c>
      <c r="O412" s="87">
        <v>0</v>
      </c>
      <c r="P412" s="88">
        <v>12554864.499999998</v>
      </c>
      <c r="Q412" s="87">
        <v>0</v>
      </c>
      <c r="R412" s="87">
        <f t="shared" si="108"/>
        <v>866</v>
      </c>
      <c r="T412" s="87">
        <v>0</v>
      </c>
      <c r="V412" s="87">
        <v>0</v>
      </c>
      <c r="X412" s="87">
        <v>0</v>
      </c>
      <c r="Y412" s="88">
        <v>13859340.500000006</v>
      </c>
      <c r="Z412" s="87">
        <v>1554</v>
      </c>
      <c r="AA412" s="87">
        <v>866</v>
      </c>
      <c r="AB412" s="89">
        <f t="shared" si="109"/>
        <v>1000</v>
      </c>
      <c r="AC412" s="89">
        <f t="shared" si="110"/>
        <v>886</v>
      </c>
      <c r="AD412" s="89">
        <f t="shared" si="111"/>
        <v>1554</v>
      </c>
      <c r="AE412" s="90">
        <f t="shared" si="112"/>
        <v>1000</v>
      </c>
      <c r="AF412" s="90">
        <f t="shared" si="113"/>
        <v>2013</v>
      </c>
      <c r="AG412" s="90">
        <f t="shared" si="114"/>
        <v>866</v>
      </c>
      <c r="AH412" s="90" t="str">
        <f t="shared" si="115"/>
        <v>2018 (triag)</v>
      </c>
      <c r="AI412" s="90">
        <f t="shared" si="116"/>
        <v>1554</v>
      </c>
      <c r="AJ412" s="90">
        <f t="shared" si="117"/>
        <v>2022</v>
      </c>
      <c r="AK412" s="90" t="str">
        <f t="shared" si="118"/>
        <v/>
      </c>
      <c r="AL412" s="91">
        <f>IF(AK412="Adjust",(_xlfn.XLOOKUP(A412,'Adj factor'!A:A,'Adj factor'!I:I,,0)*AI412),'Master DataSheet'!AI412)</f>
        <v>1554</v>
      </c>
      <c r="AM412" s="91">
        <f t="shared" si="119"/>
        <v>1554</v>
      </c>
      <c r="AN412" s="92" t="str">
        <f t="shared" si="120"/>
        <v>Increasing</v>
      </c>
      <c r="AO412" s="93">
        <f>VLOOKUP(B412,'Growthrates source'!A$2:H$49,8,FALSE)</f>
        <v>4.588291307733483E-2</v>
      </c>
      <c r="AP412" s="93">
        <f>VLOOKUP(B412,'Growthrates source'!A$2:I$49,9,FALSE)</f>
        <v>5.4673730437993617E-2</v>
      </c>
      <c r="AQ412" s="86">
        <f t="shared" si="121"/>
        <v>688.46903541367624</v>
      </c>
      <c r="AR412" s="86">
        <f t="shared" si="122"/>
        <v>1020.3552193090171</v>
      </c>
      <c r="AS412" s="94">
        <f t="shared" si="123"/>
        <v>0.90453288564985679</v>
      </c>
      <c r="AT412" s="94">
        <f t="shared" si="124"/>
        <v>0.68977247822945453</v>
      </c>
      <c r="AU412" s="94">
        <f t="shared" si="125"/>
        <v>1.1212654743564452</v>
      </c>
    </row>
    <row r="413" spans="1:48" x14ac:dyDescent="0.3">
      <c r="A413" s="85" t="str">
        <f>_xlfn.XLOOKUP(B413,'Country codes &amp; Data sources'!G:G,'Country codes &amp; Data sources'!H:H,,0)</f>
        <v>Guinea</v>
      </c>
      <c r="B413" s="85" t="s">
        <v>173</v>
      </c>
      <c r="C413" s="86">
        <v>10788695</v>
      </c>
      <c r="D413" s="85" t="s">
        <v>324</v>
      </c>
      <c r="E413" s="87">
        <v>0</v>
      </c>
      <c r="F413" s="88">
        <v>11055430.000000004</v>
      </c>
      <c r="G413" s="87">
        <v>0</v>
      </c>
      <c r="I413" s="87">
        <v>0</v>
      </c>
      <c r="K413" s="87">
        <v>0</v>
      </c>
      <c r="M413" s="87">
        <v>0</v>
      </c>
      <c r="O413" s="87">
        <v>0</v>
      </c>
      <c r="P413" s="88">
        <v>12554864.499999998</v>
      </c>
      <c r="Q413" s="87">
        <v>0</v>
      </c>
      <c r="R413" s="87">
        <f t="shared" si="108"/>
        <v>255</v>
      </c>
      <c r="T413" s="87">
        <v>0</v>
      </c>
      <c r="V413" s="87">
        <v>0</v>
      </c>
      <c r="X413" s="87">
        <v>0</v>
      </c>
      <c r="Y413" s="88">
        <v>13859340.500000006</v>
      </c>
      <c r="Z413" s="87">
        <v>71</v>
      </c>
      <c r="AA413" s="87">
        <v>255</v>
      </c>
      <c r="AB413" s="89">
        <f t="shared" si="109"/>
        <v>0</v>
      </c>
      <c r="AC413" s="89">
        <f t="shared" si="110"/>
        <v>0</v>
      </c>
      <c r="AD413" s="89">
        <f t="shared" si="111"/>
        <v>71</v>
      </c>
      <c r="AE413" s="90">
        <f t="shared" si="112"/>
        <v>0</v>
      </c>
      <c r="AF413" s="90" t="str">
        <f t="shared" si="113"/>
        <v/>
      </c>
      <c r="AG413" s="90">
        <f t="shared" si="114"/>
        <v>255</v>
      </c>
      <c r="AH413" s="90" t="str">
        <f t="shared" si="115"/>
        <v>2018 (triag)</v>
      </c>
      <c r="AI413" s="90">
        <f t="shared" si="116"/>
        <v>71</v>
      </c>
      <c r="AJ413" s="90">
        <f t="shared" si="117"/>
        <v>2022</v>
      </c>
      <c r="AK413" s="90" t="str">
        <f t="shared" si="118"/>
        <v>Adjust</v>
      </c>
      <c r="AL413" s="91">
        <f>IF(AK413="Adjust",(_xlfn.XLOOKUP(A413,'Adj factor'!A:A,'Adj factor'!I:I,,0)*AI413),'Master DataSheet'!AI413)</f>
        <v>81.600203746749472</v>
      </c>
      <c r="AM413" s="91">
        <f t="shared" si="119"/>
        <v>255</v>
      </c>
      <c r="AN413" s="92" t="str">
        <f t="shared" si="120"/>
        <v>Decreasing</v>
      </c>
      <c r="AO413" s="93">
        <f>VLOOKUP(B413,'Growthrates source'!A$2:H$49,8,FALSE)</f>
        <v>4.588291307733483E-2</v>
      </c>
      <c r="AP413" s="93">
        <f>VLOOKUP(B413,'Growthrates source'!A$2:I$49,9,FALSE)</f>
        <v>5.4673730437993617E-2</v>
      </c>
      <c r="AQ413" s="86">
        <f t="shared" si="121"/>
        <v>202.72471597053976</v>
      </c>
      <c r="AR413" s="86">
        <f t="shared" si="122"/>
        <v>300.45101723302469</v>
      </c>
      <c r="AS413" s="94">
        <f t="shared" si="123"/>
        <v>0</v>
      </c>
      <c r="AT413" s="94">
        <f t="shared" si="124"/>
        <v>0.20310852418996639</v>
      </c>
      <c r="AU413" s="94">
        <f t="shared" si="125"/>
        <v>0.18399143884227384</v>
      </c>
    </row>
    <row r="414" spans="1:48" s="95" customFormat="1" x14ac:dyDescent="0.3">
      <c r="A414" s="95" t="str">
        <f>_xlfn.XLOOKUP(B414,'Country codes &amp; Data sources'!G:G,'Country codes &amp; Data sources'!H:H,,0)</f>
        <v>Guinea</v>
      </c>
      <c r="B414" s="95" t="s">
        <v>173</v>
      </c>
      <c r="C414" s="60">
        <v>10788696</v>
      </c>
      <c r="D414" s="95" t="s">
        <v>325</v>
      </c>
      <c r="E414" s="96">
        <v>0</v>
      </c>
      <c r="F414" s="97">
        <v>11055430.000000004</v>
      </c>
      <c r="G414" s="96">
        <v>0</v>
      </c>
      <c r="H414" s="96"/>
      <c r="I414" s="96">
        <v>0</v>
      </c>
      <c r="J414" s="96"/>
      <c r="K414" s="96">
        <v>14263</v>
      </c>
      <c r="L414" s="96"/>
      <c r="M414" s="96">
        <v>0</v>
      </c>
      <c r="N414" s="96"/>
      <c r="O414" s="96">
        <v>106</v>
      </c>
      <c r="P414" s="97">
        <v>12554864.499999998</v>
      </c>
      <c r="Q414" s="96">
        <v>0</v>
      </c>
      <c r="R414" s="96">
        <f t="shared" si="108"/>
        <v>73</v>
      </c>
      <c r="S414" s="96"/>
      <c r="T414" s="96">
        <v>0</v>
      </c>
      <c r="U414" s="96"/>
      <c r="V414" s="96">
        <v>0</v>
      </c>
      <c r="W414" s="96"/>
      <c r="X414" s="96">
        <v>0</v>
      </c>
      <c r="Y414" s="97">
        <v>13859340.500000006</v>
      </c>
      <c r="Z414" s="96">
        <v>0</v>
      </c>
      <c r="AA414" s="96">
        <v>73</v>
      </c>
      <c r="AB414" s="98">
        <f t="shared" si="109"/>
        <v>14263</v>
      </c>
      <c r="AC414" s="98">
        <f t="shared" si="110"/>
        <v>106</v>
      </c>
      <c r="AD414" s="98">
        <f t="shared" si="111"/>
        <v>0</v>
      </c>
      <c r="AE414" s="99">
        <f t="shared" si="112"/>
        <v>14263</v>
      </c>
      <c r="AF414" s="99">
        <f t="shared" si="113"/>
        <v>2015</v>
      </c>
      <c r="AG414" s="99">
        <f t="shared" si="114"/>
        <v>73</v>
      </c>
      <c r="AH414" s="99" t="str">
        <f t="shared" si="115"/>
        <v>2018 (triag)</v>
      </c>
      <c r="AI414" s="99">
        <f t="shared" si="116"/>
        <v>73</v>
      </c>
      <c r="AJ414" s="99" t="str">
        <f t="shared" si="117"/>
        <v>2018 (triag)</v>
      </c>
      <c r="AK414" s="99" t="str">
        <f t="shared" si="118"/>
        <v/>
      </c>
      <c r="AL414" s="61">
        <f>IF(AK414="Adjust",(_xlfn.XLOOKUP(A414,'Adj factor'!A:A,'Adj factor'!I:I,,0)*AI414),'Master DataSheet'!AI414)</f>
        <v>73</v>
      </c>
      <c r="AM414" s="61">
        <f t="shared" si="119"/>
        <v>73</v>
      </c>
      <c r="AN414" s="62" t="str">
        <f t="shared" si="120"/>
        <v>No change</v>
      </c>
      <c r="AO414" s="100">
        <f>VLOOKUP(B414,'Growthrates source'!A$2:H$49,8,FALSE)</f>
        <v>4.588291307733483E-2</v>
      </c>
      <c r="AP414" s="100">
        <f>VLOOKUP(B414,'Growthrates source'!A$2:I$49,9,FALSE)</f>
        <v>5.4673730437993617E-2</v>
      </c>
      <c r="AQ414" s="60">
        <f t="shared" si="121"/>
        <v>58.034918689605497</v>
      </c>
      <c r="AR414" s="60">
        <f t="shared" si="122"/>
        <v>86.011467678473736</v>
      </c>
      <c r="AS414" s="101">
        <f t="shared" si="123"/>
        <v>12.901352548023908</v>
      </c>
      <c r="AT414" s="102">
        <f t="shared" si="124"/>
        <v>5.8144793199480578E-2</v>
      </c>
      <c r="AU414" s="102">
        <f t="shared" si="125"/>
        <v>5.2672058962690158E-2</v>
      </c>
      <c r="AV414" s="117"/>
    </row>
    <row r="415" spans="1:48" x14ac:dyDescent="0.3">
      <c r="A415" s="85" t="str">
        <f>_xlfn.XLOOKUP(B415,'Country codes &amp; Data sources'!G:G,'Country codes &amp; Data sources'!H:H,,0)</f>
        <v>Guinea</v>
      </c>
      <c r="B415" s="85" t="s">
        <v>173</v>
      </c>
      <c r="C415" s="86">
        <v>10788697</v>
      </c>
      <c r="D415" s="85" t="s">
        <v>127</v>
      </c>
      <c r="E415" s="87">
        <v>0</v>
      </c>
      <c r="F415" s="88">
        <v>11055430.000000004</v>
      </c>
      <c r="G415" s="87">
        <v>0</v>
      </c>
      <c r="I415" s="87">
        <v>0</v>
      </c>
      <c r="K415" s="87">
        <v>6700</v>
      </c>
      <c r="M415" s="87">
        <v>6700</v>
      </c>
      <c r="O415" s="87">
        <v>0</v>
      </c>
      <c r="P415" s="88">
        <v>12554864.499999998</v>
      </c>
      <c r="Q415" s="87">
        <v>16567</v>
      </c>
      <c r="R415" s="87">
        <f t="shared" si="108"/>
        <v>16567</v>
      </c>
      <c r="T415" s="87">
        <v>0</v>
      </c>
      <c r="V415" s="87">
        <v>0</v>
      </c>
      <c r="X415" s="87">
        <v>0</v>
      </c>
      <c r="Y415" s="88">
        <v>13859340.500000006</v>
      </c>
      <c r="Z415" s="87">
        <v>0</v>
      </c>
      <c r="AA415" s="87">
        <v>16567</v>
      </c>
      <c r="AB415" s="89">
        <f t="shared" si="109"/>
        <v>6700</v>
      </c>
      <c r="AC415" s="89">
        <f t="shared" si="110"/>
        <v>16567</v>
      </c>
      <c r="AD415" s="89">
        <f t="shared" si="111"/>
        <v>0</v>
      </c>
      <c r="AE415" s="90">
        <f t="shared" si="112"/>
        <v>6700</v>
      </c>
      <c r="AF415" s="90">
        <f t="shared" si="113"/>
        <v>2015</v>
      </c>
      <c r="AG415" s="90">
        <f t="shared" si="114"/>
        <v>16567</v>
      </c>
      <c r="AH415" s="90">
        <f t="shared" si="115"/>
        <v>2018</v>
      </c>
      <c r="AI415" s="90">
        <f t="shared" si="116"/>
        <v>16567</v>
      </c>
      <c r="AJ415" s="90">
        <f t="shared" si="117"/>
        <v>2018</v>
      </c>
      <c r="AK415" s="90" t="str">
        <f t="shared" si="118"/>
        <v/>
      </c>
      <c r="AL415" s="91">
        <f>IF(AK415="Adjust",(_xlfn.XLOOKUP(A415,'Adj factor'!A:A,'Adj factor'!I:I,,0)*AI415),'Master DataSheet'!AI415)</f>
        <v>16567</v>
      </c>
      <c r="AM415" s="91">
        <f t="shared" si="119"/>
        <v>16567</v>
      </c>
      <c r="AN415" s="92" t="str">
        <f t="shared" si="120"/>
        <v>No change</v>
      </c>
      <c r="AO415" s="93">
        <f>VLOOKUP(B415,'Growthrates source'!A$2:H$49,8,FALSE)</f>
        <v>4.588291307733483E-2</v>
      </c>
      <c r="AP415" s="93">
        <f>VLOOKUP(B415,'Growthrates source'!A$2:I$49,9,FALSE)</f>
        <v>5.4673730437993617E-2</v>
      </c>
      <c r="AQ415" s="86">
        <f t="shared" si="121"/>
        <v>13170.746546995812</v>
      </c>
      <c r="AR415" s="86">
        <f t="shared" si="122"/>
        <v>19519.890205880471</v>
      </c>
      <c r="AS415" s="94">
        <f t="shared" si="123"/>
        <v>6.0603703338540411</v>
      </c>
      <c r="AT415" s="94">
        <f t="shared" si="124"/>
        <v>13.195682040216365</v>
      </c>
      <c r="AU415" s="94">
        <f t="shared" si="125"/>
        <v>11.953671244313533</v>
      </c>
    </row>
    <row r="416" spans="1:48" x14ac:dyDescent="0.3">
      <c r="A416" s="85" t="str">
        <f>_xlfn.XLOOKUP(B416,'Country codes &amp; Data sources'!G:G,'Country codes &amp; Data sources'!H:H,,0)</f>
        <v>Guinea</v>
      </c>
      <c r="B416" s="85" t="s">
        <v>173</v>
      </c>
      <c r="C416" s="86">
        <v>10788698</v>
      </c>
      <c r="D416" s="85" t="s">
        <v>61</v>
      </c>
      <c r="E416" s="87">
        <v>0</v>
      </c>
      <c r="F416" s="88">
        <v>11055430.000000004</v>
      </c>
      <c r="G416" s="87">
        <v>0</v>
      </c>
      <c r="I416" s="87">
        <v>0</v>
      </c>
      <c r="K416" s="87">
        <v>0</v>
      </c>
      <c r="M416" s="87">
        <v>0</v>
      </c>
      <c r="O416" s="87">
        <v>0</v>
      </c>
      <c r="P416" s="88">
        <v>12554864.499999998</v>
      </c>
      <c r="Q416" s="87">
        <v>0</v>
      </c>
      <c r="R416" s="87">
        <f t="shared" si="108"/>
        <v>0</v>
      </c>
      <c r="T416" s="87">
        <v>0</v>
      </c>
      <c r="V416" s="87">
        <v>0</v>
      </c>
      <c r="X416" s="87">
        <v>0</v>
      </c>
      <c r="Y416" s="88">
        <v>13859340.500000006</v>
      </c>
      <c r="Z416" s="87">
        <v>0</v>
      </c>
      <c r="AA416" s="87">
        <v>0</v>
      </c>
      <c r="AB416" s="89">
        <f t="shared" si="109"/>
        <v>0</v>
      </c>
      <c r="AC416" s="89">
        <f t="shared" si="110"/>
        <v>0</v>
      </c>
      <c r="AD416" s="89">
        <f t="shared" si="111"/>
        <v>0</v>
      </c>
      <c r="AE416" s="90">
        <f t="shared" si="112"/>
        <v>0</v>
      </c>
      <c r="AF416" s="90" t="str">
        <f t="shared" si="113"/>
        <v/>
      </c>
      <c r="AG416" s="90">
        <f t="shared" si="114"/>
        <v>0</v>
      </c>
      <c r="AH416" s="90" t="str">
        <f t="shared" si="115"/>
        <v/>
      </c>
      <c r="AI416" s="90">
        <f t="shared" si="116"/>
        <v>0</v>
      </c>
      <c r="AJ416" s="90" t="str">
        <f t="shared" si="117"/>
        <v/>
      </c>
      <c r="AK416" s="90" t="str">
        <f t="shared" si="118"/>
        <v/>
      </c>
      <c r="AL416" s="91">
        <f>IF(AK416="Adjust",(_xlfn.XLOOKUP(A416,'Adj factor'!A:A,'Adj factor'!I:I,,0)*AI416),'Master DataSheet'!AI416)</f>
        <v>0</v>
      </c>
      <c r="AM416" s="91">
        <f t="shared" si="119"/>
        <v>0</v>
      </c>
      <c r="AN416" s="92" t="str">
        <f t="shared" si="120"/>
        <v>No change</v>
      </c>
      <c r="AO416" s="93">
        <f>VLOOKUP(B416,'Growthrates source'!A$2:H$49,8,FALSE)</f>
        <v>4.588291307733483E-2</v>
      </c>
      <c r="AP416" s="93">
        <f>VLOOKUP(B416,'Growthrates source'!A$2:I$49,9,FALSE)</f>
        <v>5.4673730437993617E-2</v>
      </c>
      <c r="AQ416" s="86">
        <f t="shared" si="121"/>
        <v>0</v>
      </c>
      <c r="AR416" s="86">
        <f t="shared" si="122"/>
        <v>0</v>
      </c>
      <c r="AS416" s="94">
        <f t="shared" si="123"/>
        <v>0</v>
      </c>
      <c r="AT416" s="94">
        <f t="shared" si="124"/>
        <v>0</v>
      </c>
      <c r="AU416" s="94">
        <f t="shared" si="125"/>
        <v>0</v>
      </c>
    </row>
    <row r="417" spans="1:47" x14ac:dyDescent="0.3">
      <c r="A417" s="85" t="str">
        <f>_xlfn.XLOOKUP(B417,'Country codes &amp; Data sources'!G:G,'Country codes &amp; Data sources'!H:H,,0)</f>
        <v>Guinea</v>
      </c>
      <c r="B417" s="85" t="s">
        <v>173</v>
      </c>
      <c r="C417" s="86">
        <v>10788699</v>
      </c>
      <c r="D417" s="85" t="s">
        <v>62</v>
      </c>
      <c r="E417" s="87">
        <v>0</v>
      </c>
      <c r="F417" s="88">
        <v>11055430.000000004</v>
      </c>
      <c r="G417" s="87">
        <v>0</v>
      </c>
      <c r="I417" s="87">
        <v>0</v>
      </c>
      <c r="K417" s="87">
        <v>0</v>
      </c>
      <c r="M417" s="87">
        <v>0</v>
      </c>
      <c r="O417" s="87">
        <v>0</v>
      </c>
      <c r="P417" s="88">
        <v>12554864.499999998</v>
      </c>
      <c r="Q417" s="87">
        <v>0</v>
      </c>
      <c r="R417" s="87">
        <f t="shared" si="108"/>
        <v>0</v>
      </c>
      <c r="T417" s="87">
        <v>363</v>
      </c>
      <c r="V417" s="87">
        <v>0</v>
      </c>
      <c r="X417" s="87">
        <v>0</v>
      </c>
      <c r="Y417" s="88">
        <v>13859340.500000006</v>
      </c>
      <c r="Z417" s="87">
        <v>0</v>
      </c>
      <c r="AA417" s="87">
        <v>0</v>
      </c>
      <c r="AB417" s="89">
        <f t="shared" si="109"/>
        <v>0</v>
      </c>
      <c r="AC417" s="89">
        <f t="shared" si="110"/>
        <v>363</v>
      </c>
      <c r="AD417" s="89">
        <f t="shared" si="111"/>
        <v>0</v>
      </c>
      <c r="AE417" s="90">
        <f t="shared" si="112"/>
        <v>0</v>
      </c>
      <c r="AF417" s="90" t="str">
        <f t="shared" si="113"/>
        <v/>
      </c>
      <c r="AG417" s="90">
        <f t="shared" si="114"/>
        <v>363</v>
      </c>
      <c r="AH417" s="90">
        <f t="shared" si="115"/>
        <v>2019</v>
      </c>
      <c r="AI417" s="90">
        <f t="shared" si="116"/>
        <v>363</v>
      </c>
      <c r="AJ417" s="90">
        <f t="shared" si="117"/>
        <v>2019</v>
      </c>
      <c r="AK417" s="90" t="str">
        <f t="shared" si="118"/>
        <v/>
      </c>
      <c r="AL417" s="91">
        <f>IF(AK417="Adjust",(_xlfn.XLOOKUP(A417,'Adj factor'!A:A,'Adj factor'!I:I,,0)*AI417),'Master DataSheet'!AI417)</f>
        <v>363</v>
      </c>
      <c r="AM417" s="91">
        <f t="shared" si="119"/>
        <v>363</v>
      </c>
      <c r="AN417" s="92" t="str">
        <f t="shared" si="120"/>
        <v>No change</v>
      </c>
      <c r="AO417" s="93">
        <f>VLOOKUP(B417,'Growthrates source'!A$2:H$49,8,FALSE)</f>
        <v>4.588291307733483E-2</v>
      </c>
      <c r="AP417" s="93">
        <f>VLOOKUP(B417,'Growthrates source'!A$2:I$49,9,FALSE)</f>
        <v>5.4673730437993617E-2</v>
      </c>
      <c r="AQ417" s="86">
        <f t="shared" si="121"/>
        <v>0</v>
      </c>
      <c r="AR417" s="86">
        <f t="shared" si="122"/>
        <v>0</v>
      </c>
      <c r="AS417" s="94">
        <f t="shared" si="123"/>
        <v>0</v>
      </c>
      <c r="AT417" s="94">
        <f t="shared" si="124"/>
        <v>0.28913095796454041</v>
      </c>
      <c r="AU417" s="94">
        <f t="shared" si="125"/>
        <v>0.26191722470488393</v>
      </c>
    </row>
    <row r="418" spans="1:47" x14ac:dyDescent="0.3">
      <c r="A418" s="85" t="str">
        <f>_xlfn.XLOOKUP(B418,'Country codes &amp; Data sources'!G:G,'Country codes &amp; Data sources'!H:H,,0)</f>
        <v>Guinea</v>
      </c>
      <c r="B418" s="85" t="s">
        <v>173</v>
      </c>
      <c r="C418" s="86">
        <v>10788700</v>
      </c>
      <c r="D418" s="85" t="s">
        <v>203</v>
      </c>
      <c r="E418" s="87">
        <v>0</v>
      </c>
      <c r="F418" s="88">
        <v>11055430.000000004</v>
      </c>
      <c r="G418" s="87">
        <v>0</v>
      </c>
      <c r="I418" s="87">
        <v>0</v>
      </c>
      <c r="K418" s="87">
        <v>0</v>
      </c>
      <c r="M418" s="87">
        <v>0</v>
      </c>
      <c r="O418" s="87">
        <v>0</v>
      </c>
      <c r="P418" s="88">
        <v>12554864.499999998</v>
      </c>
      <c r="Q418" s="87">
        <v>0</v>
      </c>
      <c r="R418" s="87">
        <f t="shared" si="108"/>
        <v>1</v>
      </c>
      <c r="T418" s="87">
        <v>0</v>
      </c>
      <c r="V418" s="87">
        <v>0</v>
      </c>
      <c r="X418" s="87">
        <v>0</v>
      </c>
      <c r="Y418" s="88">
        <v>13859340.500000006</v>
      </c>
      <c r="Z418" s="87">
        <v>0</v>
      </c>
      <c r="AA418" s="87">
        <v>1</v>
      </c>
      <c r="AB418" s="89">
        <f t="shared" si="109"/>
        <v>0</v>
      </c>
      <c r="AC418" s="89">
        <f t="shared" si="110"/>
        <v>0</v>
      </c>
      <c r="AD418" s="89">
        <f t="shared" si="111"/>
        <v>0</v>
      </c>
      <c r="AE418" s="90">
        <f t="shared" si="112"/>
        <v>0</v>
      </c>
      <c r="AF418" s="90" t="str">
        <f t="shared" si="113"/>
        <v/>
      </c>
      <c r="AG418" s="90">
        <f t="shared" si="114"/>
        <v>1</v>
      </c>
      <c r="AH418" s="90" t="str">
        <f t="shared" si="115"/>
        <v>2018 (triag)</v>
      </c>
      <c r="AI418" s="90">
        <f t="shared" si="116"/>
        <v>1</v>
      </c>
      <c r="AJ418" s="90" t="str">
        <f t="shared" si="117"/>
        <v>2018 (triag)</v>
      </c>
      <c r="AK418" s="90" t="str">
        <f t="shared" si="118"/>
        <v/>
      </c>
      <c r="AL418" s="91">
        <f>IF(AK418="Adjust",(_xlfn.XLOOKUP(A418,'Adj factor'!A:A,'Adj factor'!I:I,,0)*AI418),'Master DataSheet'!AI418)</f>
        <v>1</v>
      </c>
      <c r="AM418" s="91">
        <f t="shared" si="119"/>
        <v>1</v>
      </c>
      <c r="AN418" s="92" t="str">
        <f t="shared" si="120"/>
        <v>No change</v>
      </c>
      <c r="AO418" s="93">
        <f>VLOOKUP(B418,'Growthrates source'!A$2:H$49,8,FALSE)</f>
        <v>4.588291307733483E-2</v>
      </c>
      <c r="AP418" s="93">
        <f>VLOOKUP(B418,'Growthrates source'!A$2:I$49,9,FALSE)</f>
        <v>5.4673730437993617E-2</v>
      </c>
      <c r="AQ418" s="86">
        <f t="shared" si="121"/>
        <v>0.7949988861589794</v>
      </c>
      <c r="AR418" s="86">
        <f t="shared" si="122"/>
        <v>1.1782392832667634</v>
      </c>
      <c r="AS418" s="94">
        <f t="shared" si="123"/>
        <v>0</v>
      </c>
      <c r="AT418" s="94">
        <f t="shared" si="124"/>
        <v>7.9650401643124077E-4</v>
      </c>
      <c r="AU418" s="94">
        <f t="shared" si="125"/>
        <v>7.2153505428342686E-4</v>
      </c>
    </row>
    <row r="419" spans="1:47" x14ac:dyDescent="0.3">
      <c r="A419" s="85" t="str">
        <f>_xlfn.XLOOKUP(B419,'Country codes &amp; Data sources'!G:G,'Country codes &amp; Data sources'!H:H,,0)</f>
        <v>Guinea</v>
      </c>
      <c r="B419" s="85" t="s">
        <v>173</v>
      </c>
      <c r="C419" s="86">
        <v>10788701</v>
      </c>
      <c r="D419" s="85" t="s">
        <v>204</v>
      </c>
      <c r="E419" s="87">
        <v>0</v>
      </c>
      <c r="F419" s="88">
        <v>11055430.000000004</v>
      </c>
      <c r="G419" s="87">
        <v>0</v>
      </c>
      <c r="I419" s="87">
        <v>0</v>
      </c>
      <c r="K419" s="87">
        <v>0</v>
      </c>
      <c r="M419" s="87">
        <v>0</v>
      </c>
      <c r="O419" s="87">
        <v>0</v>
      </c>
      <c r="P419" s="88">
        <v>12554864.499999998</v>
      </c>
      <c r="Q419" s="87">
        <v>0</v>
      </c>
      <c r="R419" s="87">
        <f t="shared" si="108"/>
        <v>189</v>
      </c>
      <c r="T419" s="87">
        <v>0</v>
      </c>
      <c r="V419" s="87">
        <v>0</v>
      </c>
      <c r="X419" s="87">
        <v>0</v>
      </c>
      <c r="Y419" s="88">
        <v>13859340.500000006</v>
      </c>
      <c r="Z419" s="87">
        <v>0</v>
      </c>
      <c r="AA419" s="87">
        <v>189</v>
      </c>
      <c r="AB419" s="89">
        <f t="shared" si="109"/>
        <v>0</v>
      </c>
      <c r="AC419" s="89">
        <f t="shared" si="110"/>
        <v>0</v>
      </c>
      <c r="AD419" s="89">
        <f t="shared" si="111"/>
        <v>0</v>
      </c>
      <c r="AE419" s="90">
        <f t="shared" si="112"/>
        <v>0</v>
      </c>
      <c r="AF419" s="90" t="str">
        <f t="shared" si="113"/>
        <v/>
      </c>
      <c r="AG419" s="90">
        <f t="shared" si="114"/>
        <v>189</v>
      </c>
      <c r="AH419" s="90" t="str">
        <f t="shared" si="115"/>
        <v>2018 (triag)</v>
      </c>
      <c r="AI419" s="90">
        <f t="shared" si="116"/>
        <v>189</v>
      </c>
      <c r="AJ419" s="90" t="str">
        <f t="shared" si="117"/>
        <v>2018 (triag)</v>
      </c>
      <c r="AK419" s="90" t="str">
        <f t="shared" si="118"/>
        <v/>
      </c>
      <c r="AL419" s="91">
        <f>IF(AK419="Adjust",(_xlfn.XLOOKUP(A419,'Adj factor'!A:A,'Adj factor'!I:I,,0)*AI419),'Master DataSheet'!AI419)</f>
        <v>189</v>
      </c>
      <c r="AM419" s="91">
        <f t="shared" si="119"/>
        <v>189</v>
      </c>
      <c r="AN419" s="92" t="str">
        <f t="shared" si="120"/>
        <v>No change</v>
      </c>
      <c r="AO419" s="93">
        <f>VLOOKUP(B419,'Growthrates source'!A$2:H$49,8,FALSE)</f>
        <v>4.588291307733483E-2</v>
      </c>
      <c r="AP419" s="93">
        <f>VLOOKUP(B419,'Growthrates source'!A$2:I$49,9,FALSE)</f>
        <v>5.4673730437993617E-2</v>
      </c>
      <c r="AQ419" s="86">
        <f t="shared" si="121"/>
        <v>150.25478948404711</v>
      </c>
      <c r="AR419" s="86">
        <f t="shared" si="122"/>
        <v>222.68722453741827</v>
      </c>
      <c r="AS419" s="94">
        <f t="shared" si="123"/>
        <v>0</v>
      </c>
      <c r="AT419" s="94">
        <f t="shared" si="124"/>
        <v>0.1505392591055045</v>
      </c>
      <c r="AU419" s="94">
        <f t="shared" si="125"/>
        <v>0.13637012525956768</v>
      </c>
    </row>
    <row r="420" spans="1:47" x14ac:dyDescent="0.3">
      <c r="A420" s="85" t="str">
        <f>_xlfn.XLOOKUP(B420,'Country codes &amp; Data sources'!G:G,'Country codes &amp; Data sources'!H:H,,0)</f>
        <v>Guinea</v>
      </c>
      <c r="B420" s="85" t="s">
        <v>173</v>
      </c>
      <c r="C420" s="86">
        <v>10788702</v>
      </c>
      <c r="D420" s="85" t="s">
        <v>205</v>
      </c>
      <c r="E420" s="87">
        <v>0</v>
      </c>
      <c r="F420" s="88">
        <v>11055430.000000004</v>
      </c>
      <c r="G420" s="87">
        <v>0</v>
      </c>
      <c r="I420" s="87">
        <v>0</v>
      </c>
      <c r="K420" s="87">
        <v>0</v>
      </c>
      <c r="M420" s="87">
        <v>0</v>
      </c>
      <c r="O420" s="87">
        <v>0</v>
      </c>
      <c r="P420" s="88">
        <v>12554864.499999998</v>
      </c>
      <c r="Q420" s="87">
        <v>0</v>
      </c>
      <c r="R420" s="87">
        <f t="shared" si="108"/>
        <v>0</v>
      </c>
      <c r="T420" s="87">
        <v>0</v>
      </c>
      <c r="V420" s="87">
        <v>0</v>
      </c>
      <c r="X420" s="87">
        <v>0</v>
      </c>
      <c r="Y420" s="88">
        <v>13859340.500000006</v>
      </c>
      <c r="Z420" s="87">
        <v>0</v>
      </c>
      <c r="AA420" s="87">
        <v>0</v>
      </c>
      <c r="AB420" s="89">
        <f t="shared" si="109"/>
        <v>0</v>
      </c>
      <c r="AC420" s="89">
        <f t="shared" si="110"/>
        <v>0</v>
      </c>
      <c r="AD420" s="89">
        <f t="shared" si="111"/>
        <v>0</v>
      </c>
      <c r="AE420" s="90">
        <f t="shared" si="112"/>
        <v>0</v>
      </c>
      <c r="AF420" s="90" t="str">
        <f t="shared" si="113"/>
        <v/>
      </c>
      <c r="AG420" s="90">
        <f t="shared" si="114"/>
        <v>0</v>
      </c>
      <c r="AH420" s="90" t="str">
        <f t="shared" si="115"/>
        <v/>
      </c>
      <c r="AI420" s="90">
        <f t="shared" si="116"/>
        <v>0</v>
      </c>
      <c r="AJ420" s="90" t="str">
        <f t="shared" si="117"/>
        <v/>
      </c>
      <c r="AK420" s="90" t="str">
        <f t="shared" si="118"/>
        <v/>
      </c>
      <c r="AL420" s="91">
        <f>IF(AK420="Adjust",(_xlfn.XLOOKUP(A420,'Adj factor'!A:A,'Adj factor'!I:I,,0)*AI420),'Master DataSheet'!AI420)</f>
        <v>0</v>
      </c>
      <c r="AM420" s="91">
        <f t="shared" si="119"/>
        <v>0</v>
      </c>
      <c r="AN420" s="92" t="str">
        <f t="shared" si="120"/>
        <v>No change</v>
      </c>
      <c r="AO420" s="93">
        <f>VLOOKUP(B420,'Growthrates source'!A$2:H$49,8,FALSE)</f>
        <v>4.588291307733483E-2</v>
      </c>
      <c r="AP420" s="93">
        <f>VLOOKUP(B420,'Growthrates source'!A$2:I$49,9,FALSE)</f>
        <v>5.4673730437993617E-2</v>
      </c>
      <c r="AQ420" s="86">
        <f t="shared" si="121"/>
        <v>0</v>
      </c>
      <c r="AR420" s="86">
        <f t="shared" si="122"/>
        <v>0</v>
      </c>
      <c r="AS420" s="94">
        <f t="shared" si="123"/>
        <v>0</v>
      </c>
      <c r="AT420" s="94">
        <f t="shared" si="124"/>
        <v>0</v>
      </c>
      <c r="AU420" s="94">
        <f t="shared" si="125"/>
        <v>0</v>
      </c>
    </row>
    <row r="421" spans="1:47" x14ac:dyDescent="0.3">
      <c r="A421" s="85" t="str">
        <f>_xlfn.XLOOKUP(B421,'Country codes &amp; Data sources'!G:G,'Country codes &amp; Data sources'!H:H,,0)</f>
        <v>Guinea</v>
      </c>
      <c r="B421" s="85" t="s">
        <v>173</v>
      </c>
      <c r="C421" s="86">
        <v>10788703</v>
      </c>
      <c r="D421" s="85" t="s">
        <v>133</v>
      </c>
      <c r="E421" s="87">
        <v>0</v>
      </c>
      <c r="F421" s="88">
        <v>11055430.000000004</v>
      </c>
      <c r="G421" s="87">
        <v>0</v>
      </c>
      <c r="I421" s="87">
        <v>0</v>
      </c>
      <c r="K421" s="87">
        <v>0</v>
      </c>
      <c r="M421" s="87">
        <v>0</v>
      </c>
      <c r="O421" s="87">
        <v>0</v>
      </c>
      <c r="P421" s="88">
        <v>12554864.499999998</v>
      </c>
      <c r="Q421" s="87">
        <v>181</v>
      </c>
      <c r="R421" s="87">
        <f t="shared" si="108"/>
        <v>181</v>
      </c>
      <c r="T421" s="87">
        <v>0</v>
      </c>
      <c r="V421" s="87">
        <v>0</v>
      </c>
      <c r="X421" s="87">
        <v>0</v>
      </c>
      <c r="Y421" s="88">
        <v>13859340.500000006</v>
      </c>
      <c r="Z421" s="87">
        <v>0</v>
      </c>
      <c r="AA421" s="87">
        <v>0</v>
      </c>
      <c r="AB421" s="89">
        <f t="shared" si="109"/>
        <v>0</v>
      </c>
      <c r="AC421" s="89">
        <f t="shared" si="110"/>
        <v>181</v>
      </c>
      <c r="AD421" s="89">
        <f t="shared" si="111"/>
        <v>0</v>
      </c>
      <c r="AE421" s="90">
        <f t="shared" si="112"/>
        <v>0</v>
      </c>
      <c r="AF421" s="90" t="str">
        <f t="shared" si="113"/>
        <v/>
      </c>
      <c r="AG421" s="90">
        <f t="shared" si="114"/>
        <v>181</v>
      </c>
      <c r="AH421" s="90">
        <f t="shared" si="115"/>
        <v>2018</v>
      </c>
      <c r="AI421" s="90">
        <f t="shared" si="116"/>
        <v>181</v>
      </c>
      <c r="AJ421" s="90">
        <f t="shared" si="117"/>
        <v>2018</v>
      </c>
      <c r="AK421" s="90" t="str">
        <f t="shared" si="118"/>
        <v/>
      </c>
      <c r="AL421" s="91">
        <f>IF(AK421="Adjust",(_xlfn.XLOOKUP(A421,'Adj factor'!A:A,'Adj factor'!I:I,,0)*AI421),'Master DataSheet'!AI421)</f>
        <v>181</v>
      </c>
      <c r="AM421" s="91">
        <f t="shared" si="119"/>
        <v>181</v>
      </c>
      <c r="AN421" s="92" t="str">
        <f t="shared" si="120"/>
        <v>No change</v>
      </c>
      <c r="AO421" s="93">
        <f>VLOOKUP(B421,'Growthrates source'!A$2:H$49,8,FALSE)</f>
        <v>4.588291307733483E-2</v>
      </c>
      <c r="AP421" s="93">
        <f>VLOOKUP(B421,'Growthrates source'!A$2:I$49,9,FALSE)</f>
        <v>5.4673730437993617E-2</v>
      </c>
      <c r="AQ421" s="86">
        <f t="shared" si="121"/>
        <v>0</v>
      </c>
      <c r="AR421" s="86">
        <f t="shared" si="122"/>
        <v>0</v>
      </c>
      <c r="AS421" s="94">
        <f t="shared" si="123"/>
        <v>0</v>
      </c>
      <c r="AT421" s="94">
        <f t="shared" si="124"/>
        <v>0.14416722697405457</v>
      </c>
      <c r="AU421" s="94">
        <f t="shared" si="125"/>
        <v>0.13059784482530026</v>
      </c>
    </row>
    <row r="422" spans="1:47" x14ac:dyDescent="0.3">
      <c r="A422" s="85" t="str">
        <f>_xlfn.XLOOKUP(B422,'Country codes &amp; Data sources'!G:G,'Country codes &amp; Data sources'!H:H,,0)</f>
        <v>Guinea</v>
      </c>
      <c r="B422" s="85" t="s">
        <v>173</v>
      </c>
      <c r="C422" s="86">
        <v>10788704</v>
      </c>
      <c r="D422" s="85" t="s">
        <v>206</v>
      </c>
      <c r="E422" s="87">
        <v>0</v>
      </c>
      <c r="F422" s="88">
        <v>11055430.000000004</v>
      </c>
      <c r="G422" s="87">
        <v>0</v>
      </c>
      <c r="I422" s="87">
        <v>0</v>
      </c>
      <c r="K422" s="87">
        <v>0</v>
      </c>
      <c r="M422" s="87">
        <v>0</v>
      </c>
      <c r="O422" s="87">
        <v>0</v>
      </c>
      <c r="P422" s="88">
        <v>12554864.499999998</v>
      </c>
      <c r="Q422" s="87">
        <v>0</v>
      </c>
      <c r="R422" s="87">
        <f t="shared" si="108"/>
        <v>0</v>
      </c>
      <c r="T422" s="87">
        <v>0</v>
      </c>
      <c r="V422" s="87">
        <v>0</v>
      </c>
      <c r="X422" s="87">
        <v>0</v>
      </c>
      <c r="Y422" s="88">
        <v>13859340.500000006</v>
      </c>
      <c r="Z422" s="87">
        <v>0</v>
      </c>
      <c r="AA422" s="87">
        <v>0</v>
      </c>
      <c r="AB422" s="89">
        <f t="shared" si="109"/>
        <v>0</v>
      </c>
      <c r="AC422" s="89">
        <f t="shared" si="110"/>
        <v>0</v>
      </c>
      <c r="AD422" s="89">
        <f t="shared" si="111"/>
        <v>0</v>
      </c>
      <c r="AE422" s="90">
        <f t="shared" si="112"/>
        <v>0</v>
      </c>
      <c r="AF422" s="90" t="str">
        <f t="shared" si="113"/>
        <v/>
      </c>
      <c r="AG422" s="90">
        <f t="shared" si="114"/>
        <v>0</v>
      </c>
      <c r="AH422" s="90" t="str">
        <f t="shared" si="115"/>
        <v/>
      </c>
      <c r="AI422" s="90">
        <f t="shared" si="116"/>
        <v>0</v>
      </c>
      <c r="AJ422" s="90" t="str">
        <f t="shared" si="117"/>
        <v/>
      </c>
      <c r="AK422" s="90" t="str">
        <f t="shared" si="118"/>
        <v/>
      </c>
      <c r="AL422" s="91">
        <f>IF(AK422="Adjust",(_xlfn.XLOOKUP(A422,'Adj factor'!A:A,'Adj factor'!I:I,,0)*AI422),'Master DataSheet'!AI422)</f>
        <v>0</v>
      </c>
      <c r="AM422" s="91">
        <f t="shared" si="119"/>
        <v>0</v>
      </c>
      <c r="AN422" s="92" t="str">
        <f t="shared" si="120"/>
        <v>No change</v>
      </c>
      <c r="AO422" s="93">
        <f>VLOOKUP(B422,'Growthrates source'!A$2:H$49,8,FALSE)</f>
        <v>4.588291307733483E-2</v>
      </c>
      <c r="AP422" s="93">
        <f>VLOOKUP(B422,'Growthrates source'!A$2:I$49,9,FALSE)</f>
        <v>5.4673730437993617E-2</v>
      </c>
      <c r="AQ422" s="86">
        <f t="shared" si="121"/>
        <v>0</v>
      </c>
      <c r="AR422" s="86">
        <f t="shared" si="122"/>
        <v>0</v>
      </c>
      <c r="AS422" s="94">
        <f t="shared" si="123"/>
        <v>0</v>
      </c>
      <c r="AT422" s="94">
        <f t="shared" si="124"/>
        <v>0</v>
      </c>
      <c r="AU422" s="94">
        <f t="shared" si="125"/>
        <v>0</v>
      </c>
    </row>
    <row r="423" spans="1:47" x14ac:dyDescent="0.3">
      <c r="A423" s="85" t="str">
        <f>_xlfn.XLOOKUP(B423,'Country codes &amp; Data sources'!G:G,'Country codes &amp; Data sources'!H:H,,0)</f>
        <v>Guinea</v>
      </c>
      <c r="B423" s="85" t="s">
        <v>173</v>
      </c>
      <c r="C423" s="86">
        <v>10788705</v>
      </c>
      <c r="D423" s="85" t="s">
        <v>136</v>
      </c>
      <c r="E423" s="87">
        <v>0</v>
      </c>
      <c r="F423" s="88">
        <v>11055430.000000004</v>
      </c>
      <c r="G423" s="87">
        <v>0</v>
      </c>
      <c r="I423" s="87">
        <v>0</v>
      </c>
      <c r="K423" s="87">
        <v>0</v>
      </c>
      <c r="M423" s="87">
        <v>8</v>
      </c>
      <c r="O423" s="87">
        <v>0</v>
      </c>
      <c r="P423" s="88">
        <v>12554864.499999998</v>
      </c>
      <c r="Q423" s="87">
        <v>0</v>
      </c>
      <c r="R423" s="87">
        <f t="shared" si="108"/>
        <v>0</v>
      </c>
      <c r="T423" s="87">
        <v>0</v>
      </c>
      <c r="V423" s="87">
        <v>0</v>
      </c>
      <c r="X423" s="87">
        <v>0</v>
      </c>
      <c r="Y423" s="88">
        <v>13859340.500000006</v>
      </c>
      <c r="Z423" s="87">
        <v>0</v>
      </c>
      <c r="AA423" s="87">
        <v>0</v>
      </c>
      <c r="AB423" s="89">
        <f t="shared" si="109"/>
        <v>0</v>
      </c>
      <c r="AC423" s="89">
        <f t="shared" si="110"/>
        <v>8</v>
      </c>
      <c r="AD423" s="89">
        <f t="shared" si="111"/>
        <v>0</v>
      </c>
      <c r="AE423" s="90">
        <f t="shared" si="112"/>
        <v>0</v>
      </c>
      <c r="AF423" s="90" t="str">
        <f t="shared" si="113"/>
        <v/>
      </c>
      <c r="AG423" s="90">
        <f t="shared" si="114"/>
        <v>0</v>
      </c>
      <c r="AH423" s="90" t="str">
        <f t="shared" si="115"/>
        <v/>
      </c>
      <c r="AI423" s="90">
        <f t="shared" si="116"/>
        <v>0</v>
      </c>
      <c r="AJ423" s="90" t="str">
        <f t="shared" si="117"/>
        <v/>
      </c>
      <c r="AK423" s="90" t="str">
        <f t="shared" si="118"/>
        <v/>
      </c>
      <c r="AL423" s="91">
        <f>IF(AK423="Adjust",(_xlfn.XLOOKUP(A423,'Adj factor'!A:A,'Adj factor'!I:I,,0)*AI423),'Master DataSheet'!AI423)</f>
        <v>0</v>
      </c>
      <c r="AM423" s="91">
        <f t="shared" si="119"/>
        <v>0</v>
      </c>
      <c r="AN423" s="92" t="str">
        <f t="shared" si="120"/>
        <v>No change</v>
      </c>
      <c r="AO423" s="93">
        <f>VLOOKUP(B423,'Growthrates source'!A$2:H$49,8,FALSE)</f>
        <v>4.588291307733483E-2</v>
      </c>
      <c r="AP423" s="93">
        <f>VLOOKUP(B423,'Growthrates source'!A$2:I$49,9,FALSE)</f>
        <v>5.4673730437993617E-2</v>
      </c>
      <c r="AQ423" s="86">
        <f t="shared" si="121"/>
        <v>0</v>
      </c>
      <c r="AR423" s="86">
        <f t="shared" si="122"/>
        <v>0</v>
      </c>
      <c r="AS423" s="94">
        <f t="shared" si="123"/>
        <v>0</v>
      </c>
      <c r="AT423" s="94">
        <f t="shared" si="124"/>
        <v>0</v>
      </c>
      <c r="AU423" s="94">
        <f t="shared" si="125"/>
        <v>0</v>
      </c>
    </row>
    <row r="424" spans="1:47" x14ac:dyDescent="0.3">
      <c r="A424" s="85" t="str">
        <f>_xlfn.XLOOKUP(B424,'Country codes &amp; Data sources'!G:G,'Country codes &amp; Data sources'!H:H,,0)</f>
        <v>Guinea</v>
      </c>
      <c r="B424" s="85" t="s">
        <v>173</v>
      </c>
      <c r="C424" s="86">
        <v>10788706</v>
      </c>
      <c r="D424" s="85" t="s">
        <v>207</v>
      </c>
      <c r="E424" s="87">
        <v>0</v>
      </c>
      <c r="F424" s="88">
        <v>11055430.000000004</v>
      </c>
      <c r="G424" s="87">
        <v>0</v>
      </c>
      <c r="I424" s="87">
        <v>0</v>
      </c>
      <c r="K424" s="87">
        <v>0</v>
      </c>
      <c r="M424" s="87">
        <v>0</v>
      </c>
      <c r="O424" s="87">
        <v>0</v>
      </c>
      <c r="P424" s="88">
        <v>12554864.499999998</v>
      </c>
      <c r="Q424" s="87">
        <v>0</v>
      </c>
      <c r="R424" s="87">
        <f t="shared" si="108"/>
        <v>66</v>
      </c>
      <c r="T424" s="87">
        <v>0</v>
      </c>
      <c r="V424" s="87">
        <v>0</v>
      </c>
      <c r="X424" s="87">
        <v>0</v>
      </c>
      <c r="Y424" s="88">
        <v>13859340.500000006</v>
      </c>
      <c r="Z424" s="87">
        <v>0</v>
      </c>
      <c r="AA424" s="87">
        <v>66</v>
      </c>
      <c r="AB424" s="89">
        <f t="shared" si="109"/>
        <v>0</v>
      </c>
      <c r="AC424" s="89">
        <f t="shared" si="110"/>
        <v>0</v>
      </c>
      <c r="AD424" s="89">
        <f t="shared" si="111"/>
        <v>0</v>
      </c>
      <c r="AE424" s="90">
        <f t="shared" si="112"/>
        <v>0</v>
      </c>
      <c r="AF424" s="90" t="str">
        <f t="shared" si="113"/>
        <v/>
      </c>
      <c r="AG424" s="90">
        <f t="shared" si="114"/>
        <v>66</v>
      </c>
      <c r="AH424" s="90" t="str">
        <f t="shared" si="115"/>
        <v>2018 (triag)</v>
      </c>
      <c r="AI424" s="90">
        <f t="shared" si="116"/>
        <v>66</v>
      </c>
      <c r="AJ424" s="90" t="str">
        <f t="shared" si="117"/>
        <v>2018 (triag)</v>
      </c>
      <c r="AK424" s="90" t="str">
        <f t="shared" si="118"/>
        <v/>
      </c>
      <c r="AL424" s="91">
        <f>IF(AK424="Adjust",(_xlfn.XLOOKUP(A424,'Adj factor'!A:A,'Adj factor'!I:I,,0)*AI424),'Master DataSheet'!AI424)</f>
        <v>66</v>
      </c>
      <c r="AM424" s="91">
        <f t="shared" si="119"/>
        <v>66</v>
      </c>
      <c r="AN424" s="92" t="str">
        <f t="shared" si="120"/>
        <v>No change</v>
      </c>
      <c r="AO424" s="93">
        <f>VLOOKUP(B424,'Growthrates source'!A$2:H$49,8,FALSE)</f>
        <v>4.588291307733483E-2</v>
      </c>
      <c r="AP424" s="93">
        <f>VLOOKUP(B424,'Growthrates source'!A$2:I$49,9,FALSE)</f>
        <v>5.4673730437993617E-2</v>
      </c>
      <c r="AQ424" s="86">
        <f t="shared" si="121"/>
        <v>52.469926486492646</v>
      </c>
      <c r="AR424" s="86">
        <f t="shared" si="122"/>
        <v>77.763792695606384</v>
      </c>
      <c r="AS424" s="94">
        <f t="shared" si="123"/>
        <v>0</v>
      </c>
      <c r="AT424" s="94">
        <f t="shared" si="124"/>
        <v>5.2569265084461893E-2</v>
      </c>
      <c r="AU424" s="94">
        <f t="shared" si="125"/>
        <v>4.7621313582706173E-2</v>
      </c>
    </row>
    <row r="425" spans="1:47" x14ac:dyDescent="0.3">
      <c r="A425" s="85" t="str">
        <f>_xlfn.XLOOKUP(B425,'Country codes &amp; Data sources'!G:G,'Country codes &amp; Data sources'!H:H,,0)</f>
        <v>Guinea</v>
      </c>
      <c r="B425" s="85" t="s">
        <v>173</v>
      </c>
      <c r="C425" s="86">
        <v>10788707</v>
      </c>
      <c r="D425" s="85" t="s">
        <v>141</v>
      </c>
      <c r="E425" s="87">
        <v>0</v>
      </c>
      <c r="F425" s="88">
        <v>11055430.000000004</v>
      </c>
      <c r="G425" s="87">
        <v>0</v>
      </c>
      <c r="I425" s="87">
        <v>0</v>
      </c>
      <c r="K425" s="87">
        <v>0</v>
      </c>
      <c r="M425" s="87">
        <v>0</v>
      </c>
      <c r="O425" s="87">
        <v>0</v>
      </c>
      <c r="P425" s="88">
        <v>12554864.499999998</v>
      </c>
      <c r="Q425" s="87">
        <v>0</v>
      </c>
      <c r="R425" s="87">
        <f t="shared" si="108"/>
        <v>0</v>
      </c>
      <c r="T425" s="87">
        <v>0</v>
      </c>
      <c r="V425" s="87">
        <v>0</v>
      </c>
      <c r="X425" s="87">
        <v>0</v>
      </c>
      <c r="Y425" s="88">
        <v>13859340.500000006</v>
      </c>
      <c r="Z425" s="87">
        <v>0</v>
      </c>
      <c r="AA425" s="87">
        <v>0</v>
      </c>
      <c r="AB425" s="89">
        <f t="shared" si="109"/>
        <v>0</v>
      </c>
      <c r="AC425" s="89">
        <f t="shared" si="110"/>
        <v>0</v>
      </c>
      <c r="AD425" s="89">
        <f t="shared" si="111"/>
        <v>0</v>
      </c>
      <c r="AE425" s="90">
        <f t="shared" si="112"/>
        <v>0</v>
      </c>
      <c r="AF425" s="90" t="str">
        <f t="shared" si="113"/>
        <v/>
      </c>
      <c r="AG425" s="90">
        <f t="shared" si="114"/>
        <v>0</v>
      </c>
      <c r="AH425" s="90" t="str">
        <f t="shared" si="115"/>
        <v/>
      </c>
      <c r="AI425" s="90">
        <f t="shared" si="116"/>
        <v>0</v>
      </c>
      <c r="AJ425" s="90" t="str">
        <f t="shared" si="117"/>
        <v/>
      </c>
      <c r="AK425" s="90" t="str">
        <f t="shared" si="118"/>
        <v/>
      </c>
      <c r="AL425" s="91">
        <f>IF(AK425="Adjust",(_xlfn.XLOOKUP(A425,'Adj factor'!A:A,'Adj factor'!I:I,,0)*AI425),'Master DataSheet'!AI425)</f>
        <v>0</v>
      </c>
      <c r="AM425" s="91">
        <f t="shared" si="119"/>
        <v>0</v>
      </c>
      <c r="AN425" s="92" t="str">
        <f t="shared" si="120"/>
        <v>No change</v>
      </c>
      <c r="AO425" s="93">
        <f>VLOOKUP(B425,'Growthrates source'!A$2:H$49,8,FALSE)</f>
        <v>4.588291307733483E-2</v>
      </c>
      <c r="AP425" s="93">
        <f>VLOOKUP(B425,'Growthrates source'!A$2:I$49,9,FALSE)</f>
        <v>5.4673730437993617E-2</v>
      </c>
      <c r="AQ425" s="86">
        <f t="shared" si="121"/>
        <v>0</v>
      </c>
      <c r="AR425" s="86">
        <f t="shared" si="122"/>
        <v>0</v>
      </c>
      <c r="AS425" s="94">
        <f t="shared" si="123"/>
        <v>0</v>
      </c>
      <c r="AT425" s="94">
        <f t="shared" si="124"/>
        <v>0</v>
      </c>
      <c r="AU425" s="94">
        <f t="shared" si="125"/>
        <v>0</v>
      </c>
    </row>
    <row r="426" spans="1:47" x14ac:dyDescent="0.3">
      <c r="A426" s="85" t="str">
        <f>_xlfn.XLOOKUP(B426,'Country codes &amp; Data sources'!G:G,'Country codes &amp; Data sources'!H:H,,0)</f>
        <v>Guinea</v>
      </c>
      <c r="B426" s="85" t="s">
        <v>173</v>
      </c>
      <c r="C426" s="86">
        <v>10788708</v>
      </c>
      <c r="D426" s="85" t="s">
        <v>208</v>
      </c>
      <c r="E426" s="87">
        <v>0</v>
      </c>
      <c r="F426" s="88">
        <v>11055430.000000004</v>
      </c>
      <c r="G426" s="87">
        <v>0</v>
      </c>
      <c r="I426" s="87">
        <v>0</v>
      </c>
      <c r="K426" s="87">
        <v>0</v>
      </c>
      <c r="M426" s="87">
        <v>0</v>
      </c>
      <c r="O426" s="87">
        <v>0</v>
      </c>
      <c r="P426" s="88">
        <v>12554864.499999998</v>
      </c>
      <c r="Q426" s="87">
        <v>0</v>
      </c>
      <c r="R426" s="87">
        <f t="shared" si="108"/>
        <v>481</v>
      </c>
      <c r="T426" s="87">
        <v>0</v>
      </c>
      <c r="V426" s="87">
        <v>0</v>
      </c>
      <c r="X426" s="87">
        <v>0</v>
      </c>
      <c r="Y426" s="88">
        <v>13859340.500000006</v>
      </c>
      <c r="Z426" s="87">
        <v>0</v>
      </c>
      <c r="AA426" s="87">
        <v>481</v>
      </c>
      <c r="AB426" s="89">
        <f t="shared" si="109"/>
        <v>0</v>
      </c>
      <c r="AC426" s="89">
        <f t="shared" si="110"/>
        <v>0</v>
      </c>
      <c r="AD426" s="89">
        <f t="shared" si="111"/>
        <v>0</v>
      </c>
      <c r="AE426" s="90">
        <f t="shared" si="112"/>
        <v>0</v>
      </c>
      <c r="AF426" s="90" t="str">
        <f t="shared" si="113"/>
        <v/>
      </c>
      <c r="AG426" s="90">
        <f t="shared" si="114"/>
        <v>481</v>
      </c>
      <c r="AH426" s="90" t="str">
        <f t="shared" si="115"/>
        <v>2018 (triag)</v>
      </c>
      <c r="AI426" s="90">
        <f t="shared" si="116"/>
        <v>481</v>
      </c>
      <c r="AJ426" s="90" t="str">
        <f t="shared" si="117"/>
        <v>2018 (triag)</v>
      </c>
      <c r="AK426" s="90" t="str">
        <f t="shared" si="118"/>
        <v/>
      </c>
      <c r="AL426" s="91">
        <f>IF(AK426="Adjust",(_xlfn.XLOOKUP(A426,'Adj factor'!A:A,'Adj factor'!I:I,,0)*AI426),'Master DataSheet'!AI426)</f>
        <v>481</v>
      </c>
      <c r="AM426" s="91">
        <f t="shared" si="119"/>
        <v>481</v>
      </c>
      <c r="AN426" s="92" t="str">
        <f t="shared" si="120"/>
        <v>No change</v>
      </c>
      <c r="AO426" s="93">
        <f>VLOOKUP(B426,'Growthrates source'!A$2:H$49,8,FALSE)</f>
        <v>4.588291307733483E-2</v>
      </c>
      <c r="AP426" s="93">
        <f>VLOOKUP(B426,'Growthrates source'!A$2:I$49,9,FALSE)</f>
        <v>5.4673730437993617E-2</v>
      </c>
      <c r="AQ426" s="86">
        <f t="shared" si="121"/>
        <v>382.3944642424691</v>
      </c>
      <c r="AR426" s="86">
        <f t="shared" si="122"/>
        <v>566.73309525131322</v>
      </c>
      <c r="AS426" s="94">
        <f t="shared" si="123"/>
        <v>0</v>
      </c>
      <c r="AT426" s="94">
        <f t="shared" si="124"/>
        <v>0.38311843190342681</v>
      </c>
      <c r="AU426" s="94">
        <f t="shared" si="125"/>
        <v>0.34705836111032828</v>
      </c>
    </row>
    <row r="427" spans="1:47" x14ac:dyDescent="0.3">
      <c r="A427" s="85" t="str">
        <f>_xlfn.XLOOKUP(B427,'Country codes &amp; Data sources'!G:G,'Country codes &amp; Data sources'!H:H,,0)</f>
        <v>Guinea</v>
      </c>
      <c r="B427" s="85" t="s">
        <v>173</v>
      </c>
      <c r="C427" s="86">
        <v>10788709</v>
      </c>
      <c r="D427" s="85" t="s">
        <v>209</v>
      </c>
      <c r="E427" s="87">
        <v>0</v>
      </c>
      <c r="F427" s="88">
        <v>11055430.000000004</v>
      </c>
      <c r="G427" s="87">
        <v>0</v>
      </c>
      <c r="I427" s="87">
        <v>0</v>
      </c>
      <c r="K427" s="87">
        <v>0</v>
      </c>
      <c r="M427" s="87">
        <v>0</v>
      </c>
      <c r="O427" s="87">
        <v>0</v>
      </c>
      <c r="P427" s="88">
        <v>12554864.499999998</v>
      </c>
      <c r="Q427" s="87">
        <v>0</v>
      </c>
      <c r="R427" s="87">
        <f t="shared" si="108"/>
        <v>0</v>
      </c>
      <c r="T427" s="87">
        <v>0</v>
      </c>
      <c r="V427" s="87">
        <v>0</v>
      </c>
      <c r="X427" s="87">
        <v>0</v>
      </c>
      <c r="Y427" s="88">
        <v>13859340.500000006</v>
      </c>
      <c r="Z427" s="87">
        <v>0</v>
      </c>
      <c r="AA427" s="87">
        <v>0</v>
      </c>
      <c r="AB427" s="89">
        <f t="shared" si="109"/>
        <v>0</v>
      </c>
      <c r="AC427" s="89">
        <f t="shared" si="110"/>
        <v>0</v>
      </c>
      <c r="AD427" s="89">
        <f t="shared" si="111"/>
        <v>0</v>
      </c>
      <c r="AE427" s="90">
        <f t="shared" si="112"/>
        <v>0</v>
      </c>
      <c r="AF427" s="90" t="str">
        <f t="shared" si="113"/>
        <v/>
      </c>
      <c r="AG427" s="90">
        <f t="shared" si="114"/>
        <v>0</v>
      </c>
      <c r="AH427" s="90" t="str">
        <f t="shared" si="115"/>
        <v/>
      </c>
      <c r="AI427" s="90">
        <f t="shared" si="116"/>
        <v>0</v>
      </c>
      <c r="AJ427" s="90" t="str">
        <f t="shared" si="117"/>
        <v/>
      </c>
      <c r="AK427" s="90" t="str">
        <f t="shared" si="118"/>
        <v/>
      </c>
      <c r="AL427" s="91">
        <f>IF(AK427="Adjust",(_xlfn.XLOOKUP(A427,'Adj factor'!A:A,'Adj factor'!I:I,,0)*AI427),'Master DataSheet'!AI427)</f>
        <v>0</v>
      </c>
      <c r="AM427" s="91">
        <f t="shared" si="119"/>
        <v>0</v>
      </c>
      <c r="AN427" s="92" t="str">
        <f t="shared" si="120"/>
        <v>No change</v>
      </c>
      <c r="AO427" s="93">
        <f>VLOOKUP(B427,'Growthrates source'!A$2:H$49,8,FALSE)</f>
        <v>4.588291307733483E-2</v>
      </c>
      <c r="AP427" s="93">
        <f>VLOOKUP(B427,'Growthrates source'!A$2:I$49,9,FALSE)</f>
        <v>5.4673730437993617E-2</v>
      </c>
      <c r="AQ427" s="86">
        <f t="shared" si="121"/>
        <v>0</v>
      </c>
      <c r="AR427" s="86">
        <f t="shared" si="122"/>
        <v>0</v>
      </c>
      <c r="AS427" s="94">
        <f t="shared" si="123"/>
        <v>0</v>
      </c>
      <c r="AT427" s="94">
        <f t="shared" si="124"/>
        <v>0</v>
      </c>
      <c r="AU427" s="94">
        <f t="shared" si="125"/>
        <v>0</v>
      </c>
    </row>
    <row r="428" spans="1:47" x14ac:dyDescent="0.3">
      <c r="A428" s="85" t="str">
        <f>_xlfn.XLOOKUP(B428,'Country codes &amp; Data sources'!G:G,'Country codes &amp; Data sources'!H:H,,0)</f>
        <v>Guinea</v>
      </c>
      <c r="B428" s="85" t="s">
        <v>173</v>
      </c>
      <c r="C428" s="86">
        <v>10788710</v>
      </c>
      <c r="D428" s="85" t="s">
        <v>134</v>
      </c>
      <c r="E428" s="87">
        <v>0</v>
      </c>
      <c r="F428" s="88">
        <v>11055430.000000004</v>
      </c>
      <c r="G428" s="87">
        <v>0</v>
      </c>
      <c r="I428" s="87">
        <v>0</v>
      </c>
      <c r="K428" s="87">
        <v>0</v>
      </c>
      <c r="M428" s="87">
        <v>209</v>
      </c>
      <c r="O428" s="87">
        <v>0</v>
      </c>
      <c r="P428" s="88">
        <v>12554864.499999998</v>
      </c>
      <c r="Q428" s="87">
        <v>0</v>
      </c>
      <c r="R428" s="87">
        <f t="shared" si="108"/>
        <v>181</v>
      </c>
      <c r="T428" s="87">
        <v>0</v>
      </c>
      <c r="V428" s="87">
        <v>0</v>
      </c>
      <c r="X428" s="87">
        <v>0</v>
      </c>
      <c r="Y428" s="88">
        <v>13859340.500000006</v>
      </c>
      <c r="Z428" s="87">
        <v>0</v>
      </c>
      <c r="AA428" s="87">
        <v>181</v>
      </c>
      <c r="AB428" s="89">
        <f t="shared" si="109"/>
        <v>0</v>
      </c>
      <c r="AC428" s="89">
        <f t="shared" si="110"/>
        <v>209</v>
      </c>
      <c r="AD428" s="89">
        <f t="shared" si="111"/>
        <v>0</v>
      </c>
      <c r="AE428" s="90">
        <f t="shared" si="112"/>
        <v>0</v>
      </c>
      <c r="AF428" s="90" t="str">
        <f t="shared" si="113"/>
        <v/>
      </c>
      <c r="AG428" s="90">
        <f t="shared" si="114"/>
        <v>181</v>
      </c>
      <c r="AH428" s="90" t="str">
        <f t="shared" si="115"/>
        <v>2018 (triag)</v>
      </c>
      <c r="AI428" s="90">
        <f t="shared" si="116"/>
        <v>181</v>
      </c>
      <c r="AJ428" s="90" t="str">
        <f t="shared" si="117"/>
        <v>2018 (triag)</v>
      </c>
      <c r="AK428" s="90" t="str">
        <f t="shared" si="118"/>
        <v/>
      </c>
      <c r="AL428" s="91">
        <f>IF(AK428="Adjust",(_xlfn.XLOOKUP(A428,'Adj factor'!A:A,'Adj factor'!I:I,,0)*AI428),'Master DataSheet'!AI428)</f>
        <v>181</v>
      </c>
      <c r="AM428" s="91">
        <f t="shared" si="119"/>
        <v>181</v>
      </c>
      <c r="AN428" s="92" t="str">
        <f t="shared" si="120"/>
        <v>No change</v>
      </c>
      <c r="AO428" s="93">
        <f>VLOOKUP(B428,'Growthrates source'!A$2:H$49,8,FALSE)</f>
        <v>4.588291307733483E-2</v>
      </c>
      <c r="AP428" s="93">
        <f>VLOOKUP(B428,'Growthrates source'!A$2:I$49,9,FALSE)</f>
        <v>5.4673730437993617E-2</v>
      </c>
      <c r="AQ428" s="86">
        <f t="shared" si="121"/>
        <v>143.89479839477528</v>
      </c>
      <c r="AR428" s="86">
        <f t="shared" si="122"/>
        <v>213.26131027128417</v>
      </c>
      <c r="AS428" s="94">
        <f t="shared" si="123"/>
        <v>0</v>
      </c>
      <c r="AT428" s="94">
        <f t="shared" si="124"/>
        <v>0.14416722697405457</v>
      </c>
      <c r="AU428" s="94">
        <f t="shared" si="125"/>
        <v>0.13059784482530026</v>
      </c>
    </row>
    <row r="429" spans="1:47" x14ac:dyDescent="0.3">
      <c r="A429" s="85" t="str">
        <f>_xlfn.XLOOKUP(B429,'Country codes &amp; Data sources'!G:G,'Country codes &amp; Data sources'!H:H,,0)</f>
        <v>Guinea</v>
      </c>
      <c r="B429" s="85" t="s">
        <v>173</v>
      </c>
      <c r="C429" s="86">
        <v>10788711</v>
      </c>
      <c r="D429" s="85" t="s">
        <v>142</v>
      </c>
      <c r="E429" s="87">
        <v>0</v>
      </c>
      <c r="F429" s="88">
        <v>11055430.000000004</v>
      </c>
      <c r="G429" s="87">
        <v>0</v>
      </c>
      <c r="I429" s="87">
        <v>0</v>
      </c>
      <c r="K429" s="87">
        <v>0</v>
      </c>
      <c r="M429" s="87">
        <v>0</v>
      </c>
      <c r="O429" s="87">
        <v>0</v>
      </c>
      <c r="P429" s="88">
        <v>12554864.499999998</v>
      </c>
      <c r="Q429" s="87">
        <v>0</v>
      </c>
      <c r="R429" s="87">
        <f t="shared" si="108"/>
        <v>62</v>
      </c>
      <c r="T429" s="87">
        <v>0</v>
      </c>
      <c r="V429" s="87">
        <v>0</v>
      </c>
      <c r="X429" s="87">
        <v>0</v>
      </c>
      <c r="Y429" s="88">
        <v>13859340.500000006</v>
      </c>
      <c r="Z429" s="87">
        <v>0</v>
      </c>
      <c r="AA429" s="87">
        <v>62</v>
      </c>
      <c r="AB429" s="89">
        <f t="shared" si="109"/>
        <v>0</v>
      </c>
      <c r="AC429" s="89">
        <f t="shared" si="110"/>
        <v>0</v>
      </c>
      <c r="AD429" s="89">
        <f t="shared" si="111"/>
        <v>0</v>
      </c>
      <c r="AE429" s="90">
        <f t="shared" si="112"/>
        <v>0</v>
      </c>
      <c r="AF429" s="90" t="str">
        <f t="shared" si="113"/>
        <v/>
      </c>
      <c r="AG429" s="90">
        <f t="shared" si="114"/>
        <v>62</v>
      </c>
      <c r="AH429" s="90" t="str">
        <f t="shared" si="115"/>
        <v>2018 (triag)</v>
      </c>
      <c r="AI429" s="90">
        <f t="shared" si="116"/>
        <v>62</v>
      </c>
      <c r="AJ429" s="90" t="str">
        <f t="shared" si="117"/>
        <v>2018 (triag)</v>
      </c>
      <c r="AK429" s="90" t="str">
        <f t="shared" si="118"/>
        <v/>
      </c>
      <c r="AL429" s="91">
        <f>IF(AK429="Adjust",(_xlfn.XLOOKUP(A429,'Adj factor'!A:A,'Adj factor'!I:I,,0)*AI429),'Master DataSheet'!AI429)</f>
        <v>62</v>
      </c>
      <c r="AM429" s="91">
        <f t="shared" si="119"/>
        <v>62</v>
      </c>
      <c r="AN429" s="92" t="str">
        <f t="shared" si="120"/>
        <v>No change</v>
      </c>
      <c r="AO429" s="93">
        <f>VLOOKUP(B429,'Growthrates source'!A$2:H$49,8,FALSE)</f>
        <v>4.588291307733483E-2</v>
      </c>
      <c r="AP429" s="93">
        <f>VLOOKUP(B429,'Growthrates source'!A$2:I$49,9,FALSE)</f>
        <v>5.4673730437993617E-2</v>
      </c>
      <c r="AQ429" s="86">
        <f t="shared" si="121"/>
        <v>49.289930941856724</v>
      </c>
      <c r="AR429" s="86">
        <f t="shared" si="122"/>
        <v>73.050835562539334</v>
      </c>
      <c r="AS429" s="94">
        <f t="shared" si="123"/>
        <v>0</v>
      </c>
      <c r="AT429" s="94">
        <f t="shared" si="124"/>
        <v>4.9383249018736926E-2</v>
      </c>
      <c r="AU429" s="94">
        <f t="shared" si="125"/>
        <v>4.4735173365572464E-2</v>
      </c>
    </row>
    <row r="430" spans="1:47" x14ac:dyDescent="0.3">
      <c r="A430" s="85" t="str">
        <f>_xlfn.XLOOKUP(B430,'Country codes &amp; Data sources'!G:G,'Country codes &amp; Data sources'!H:H,,0)</f>
        <v>Guinea</v>
      </c>
      <c r="B430" s="85" t="s">
        <v>173</v>
      </c>
      <c r="C430" s="86">
        <v>10788712</v>
      </c>
      <c r="D430" s="85" t="s">
        <v>83</v>
      </c>
      <c r="E430" s="87">
        <v>0</v>
      </c>
      <c r="F430" s="88">
        <v>11055430.000000004</v>
      </c>
      <c r="G430" s="87">
        <v>0</v>
      </c>
      <c r="I430" s="87">
        <v>0</v>
      </c>
      <c r="K430" s="87">
        <v>0</v>
      </c>
      <c r="M430" s="87">
        <v>0</v>
      </c>
      <c r="O430" s="87">
        <v>0</v>
      </c>
      <c r="P430" s="88">
        <v>12554864.499999998</v>
      </c>
      <c r="Q430" s="87">
        <v>0</v>
      </c>
      <c r="R430" s="87">
        <f t="shared" si="108"/>
        <v>0</v>
      </c>
      <c r="T430" s="87">
        <v>0</v>
      </c>
      <c r="V430" s="87">
        <v>0</v>
      </c>
      <c r="X430" s="87">
        <v>0</v>
      </c>
      <c r="Y430" s="88">
        <v>13859340.500000006</v>
      </c>
      <c r="Z430" s="87">
        <v>0</v>
      </c>
      <c r="AA430" s="87">
        <v>0</v>
      </c>
      <c r="AB430" s="89">
        <f t="shared" si="109"/>
        <v>0</v>
      </c>
      <c r="AC430" s="89">
        <f t="shared" si="110"/>
        <v>0</v>
      </c>
      <c r="AD430" s="89">
        <f t="shared" si="111"/>
        <v>0</v>
      </c>
      <c r="AE430" s="90">
        <f t="shared" si="112"/>
        <v>0</v>
      </c>
      <c r="AF430" s="90" t="str">
        <f t="shared" si="113"/>
        <v/>
      </c>
      <c r="AG430" s="90">
        <f t="shared" si="114"/>
        <v>0</v>
      </c>
      <c r="AH430" s="90" t="str">
        <f t="shared" si="115"/>
        <v/>
      </c>
      <c r="AI430" s="90">
        <f t="shared" si="116"/>
        <v>0</v>
      </c>
      <c r="AJ430" s="90" t="str">
        <f t="shared" si="117"/>
        <v/>
      </c>
      <c r="AK430" s="90" t="str">
        <f t="shared" si="118"/>
        <v/>
      </c>
      <c r="AL430" s="91">
        <f>IF(AK430="Adjust",(_xlfn.XLOOKUP(A430,'Adj factor'!A:A,'Adj factor'!I:I,,0)*AI430),'Master DataSheet'!AI430)</f>
        <v>0</v>
      </c>
      <c r="AM430" s="91">
        <f t="shared" si="119"/>
        <v>0</v>
      </c>
      <c r="AN430" s="92" t="str">
        <f t="shared" si="120"/>
        <v>No change</v>
      </c>
      <c r="AO430" s="93">
        <f>VLOOKUP(B430,'Growthrates source'!A$2:H$49,8,FALSE)</f>
        <v>4.588291307733483E-2</v>
      </c>
      <c r="AP430" s="93">
        <f>VLOOKUP(B430,'Growthrates source'!A$2:I$49,9,FALSE)</f>
        <v>5.4673730437993617E-2</v>
      </c>
      <c r="AQ430" s="86">
        <f t="shared" si="121"/>
        <v>0</v>
      </c>
      <c r="AR430" s="86">
        <f t="shared" si="122"/>
        <v>0</v>
      </c>
      <c r="AS430" s="94">
        <f t="shared" si="123"/>
        <v>0</v>
      </c>
      <c r="AT430" s="94">
        <f t="shared" si="124"/>
        <v>0</v>
      </c>
      <c r="AU430" s="94">
        <f t="shared" si="125"/>
        <v>0</v>
      </c>
    </row>
    <row r="431" spans="1:47" x14ac:dyDescent="0.3">
      <c r="A431" s="85" t="str">
        <f>_xlfn.XLOOKUP(B431,'Country codes &amp; Data sources'!G:G,'Country codes &amp; Data sources'!H:H,,0)</f>
        <v>Guinea</v>
      </c>
      <c r="B431" s="85" t="s">
        <v>173</v>
      </c>
      <c r="C431" s="86">
        <v>10788713</v>
      </c>
      <c r="D431" s="85" t="s">
        <v>84</v>
      </c>
      <c r="E431" s="87">
        <v>0</v>
      </c>
      <c r="F431" s="88">
        <v>11055430.000000004</v>
      </c>
      <c r="G431" s="87">
        <v>0</v>
      </c>
      <c r="I431" s="87">
        <v>0</v>
      </c>
      <c r="K431" s="87">
        <v>0</v>
      </c>
      <c r="M431" s="87">
        <v>0</v>
      </c>
      <c r="O431" s="87">
        <v>0</v>
      </c>
      <c r="P431" s="88">
        <v>12554864.499999998</v>
      </c>
      <c r="Q431" s="87">
        <v>0</v>
      </c>
      <c r="R431" s="87">
        <f t="shared" si="108"/>
        <v>0</v>
      </c>
      <c r="T431" s="87">
        <v>0</v>
      </c>
      <c r="V431" s="87">
        <v>0</v>
      </c>
      <c r="X431" s="87">
        <v>0</v>
      </c>
      <c r="Y431" s="88">
        <v>13859340.500000006</v>
      </c>
      <c r="Z431" s="87">
        <v>0</v>
      </c>
      <c r="AA431" s="87">
        <v>0</v>
      </c>
      <c r="AB431" s="89">
        <f t="shared" si="109"/>
        <v>0</v>
      </c>
      <c r="AC431" s="89">
        <f t="shared" si="110"/>
        <v>0</v>
      </c>
      <c r="AD431" s="89">
        <f t="shared" si="111"/>
        <v>0</v>
      </c>
      <c r="AE431" s="90">
        <f t="shared" si="112"/>
        <v>0</v>
      </c>
      <c r="AF431" s="90" t="str">
        <f t="shared" si="113"/>
        <v/>
      </c>
      <c r="AG431" s="90">
        <f t="shared" si="114"/>
        <v>0</v>
      </c>
      <c r="AH431" s="90" t="str">
        <f t="shared" si="115"/>
        <v/>
      </c>
      <c r="AI431" s="90">
        <f t="shared" si="116"/>
        <v>0</v>
      </c>
      <c r="AJ431" s="90" t="str">
        <f t="shared" si="117"/>
        <v/>
      </c>
      <c r="AK431" s="90" t="str">
        <f t="shared" si="118"/>
        <v/>
      </c>
      <c r="AL431" s="91">
        <f>IF(AK431="Adjust",(_xlfn.XLOOKUP(A431,'Adj factor'!A:A,'Adj factor'!I:I,,0)*AI431),'Master DataSheet'!AI431)</f>
        <v>0</v>
      </c>
      <c r="AM431" s="91">
        <f t="shared" si="119"/>
        <v>0</v>
      </c>
      <c r="AN431" s="92" t="str">
        <f t="shared" si="120"/>
        <v>No change</v>
      </c>
      <c r="AO431" s="93">
        <f>VLOOKUP(B431,'Growthrates source'!A$2:H$49,8,FALSE)</f>
        <v>4.588291307733483E-2</v>
      </c>
      <c r="AP431" s="93">
        <f>VLOOKUP(B431,'Growthrates source'!A$2:I$49,9,FALSE)</f>
        <v>5.4673730437993617E-2</v>
      </c>
      <c r="AQ431" s="86">
        <f t="shared" si="121"/>
        <v>0</v>
      </c>
      <c r="AR431" s="86">
        <f t="shared" si="122"/>
        <v>0</v>
      </c>
      <c r="AS431" s="94">
        <f t="shared" si="123"/>
        <v>0</v>
      </c>
      <c r="AT431" s="94">
        <f t="shared" si="124"/>
        <v>0</v>
      </c>
      <c r="AU431" s="94">
        <f t="shared" si="125"/>
        <v>0</v>
      </c>
    </row>
    <row r="432" spans="1:47" x14ac:dyDescent="0.3">
      <c r="A432" s="85" t="str">
        <f>_xlfn.XLOOKUP(B432,'Country codes &amp; Data sources'!G:G,'Country codes &amp; Data sources'!H:H,,0)</f>
        <v>Guinea</v>
      </c>
      <c r="B432" s="85" t="s">
        <v>173</v>
      </c>
      <c r="C432" s="86">
        <v>10788714</v>
      </c>
      <c r="D432" s="85" t="s">
        <v>126</v>
      </c>
      <c r="E432" s="87">
        <v>0</v>
      </c>
      <c r="F432" s="88">
        <v>11055430.000000004</v>
      </c>
      <c r="G432" s="87">
        <v>0</v>
      </c>
      <c r="I432" s="87">
        <v>0</v>
      </c>
      <c r="K432" s="87">
        <v>0</v>
      </c>
      <c r="M432" s="87">
        <v>0</v>
      </c>
      <c r="O432" s="87">
        <v>0</v>
      </c>
      <c r="P432" s="88">
        <v>12554864.499999998</v>
      </c>
      <c r="Q432" s="87">
        <v>0</v>
      </c>
      <c r="R432" s="87">
        <f t="shared" si="108"/>
        <v>0</v>
      </c>
      <c r="T432" s="87">
        <v>0</v>
      </c>
      <c r="V432" s="87">
        <v>0</v>
      </c>
      <c r="X432" s="87">
        <v>0</v>
      </c>
      <c r="Y432" s="88">
        <v>13859340.500000006</v>
      </c>
      <c r="Z432" s="87">
        <v>0</v>
      </c>
      <c r="AA432" s="87">
        <v>0</v>
      </c>
      <c r="AB432" s="89">
        <f t="shared" si="109"/>
        <v>0</v>
      </c>
      <c r="AC432" s="89">
        <f t="shared" si="110"/>
        <v>0</v>
      </c>
      <c r="AD432" s="89">
        <f t="shared" si="111"/>
        <v>0</v>
      </c>
      <c r="AE432" s="90">
        <f t="shared" si="112"/>
        <v>0</v>
      </c>
      <c r="AF432" s="90" t="str">
        <f t="shared" si="113"/>
        <v/>
      </c>
      <c r="AG432" s="90">
        <f t="shared" si="114"/>
        <v>0</v>
      </c>
      <c r="AH432" s="90" t="str">
        <f t="shared" si="115"/>
        <v/>
      </c>
      <c r="AI432" s="90">
        <f t="shared" si="116"/>
        <v>0</v>
      </c>
      <c r="AJ432" s="90" t="str">
        <f t="shared" si="117"/>
        <v/>
      </c>
      <c r="AK432" s="90" t="str">
        <f t="shared" si="118"/>
        <v/>
      </c>
      <c r="AL432" s="91">
        <f>IF(AK432="Adjust",(_xlfn.XLOOKUP(A432,'Adj factor'!A:A,'Adj factor'!I:I,,0)*AI432),'Master DataSheet'!AI432)</f>
        <v>0</v>
      </c>
      <c r="AM432" s="91">
        <f t="shared" si="119"/>
        <v>0</v>
      </c>
      <c r="AN432" s="92" t="str">
        <f t="shared" si="120"/>
        <v>No change</v>
      </c>
      <c r="AO432" s="93">
        <f>VLOOKUP(B432,'Growthrates source'!A$2:H$49,8,FALSE)</f>
        <v>4.588291307733483E-2</v>
      </c>
      <c r="AP432" s="93">
        <f>VLOOKUP(B432,'Growthrates source'!A$2:I$49,9,FALSE)</f>
        <v>5.4673730437993617E-2</v>
      </c>
      <c r="AQ432" s="86">
        <f t="shared" si="121"/>
        <v>0</v>
      </c>
      <c r="AR432" s="86">
        <f t="shared" si="122"/>
        <v>0</v>
      </c>
      <c r="AS432" s="94">
        <f t="shared" si="123"/>
        <v>0</v>
      </c>
      <c r="AT432" s="94">
        <f t="shared" si="124"/>
        <v>0</v>
      </c>
      <c r="AU432" s="94">
        <f t="shared" si="125"/>
        <v>0</v>
      </c>
    </row>
    <row r="433" spans="1:48" x14ac:dyDescent="0.3">
      <c r="A433" s="85" t="str">
        <f>_xlfn.XLOOKUP(B433,'Country codes &amp; Data sources'!G:G,'Country codes &amp; Data sources'!H:H,,0)</f>
        <v>Guinea</v>
      </c>
      <c r="B433" s="85" t="s">
        <v>173</v>
      </c>
      <c r="C433" s="86">
        <v>10788715</v>
      </c>
      <c r="D433" s="85" t="s">
        <v>87</v>
      </c>
      <c r="E433" s="87">
        <v>0</v>
      </c>
      <c r="F433" s="88">
        <v>11055430.000000004</v>
      </c>
      <c r="G433" s="87">
        <v>0</v>
      </c>
      <c r="I433" s="87">
        <v>0</v>
      </c>
      <c r="K433" s="87">
        <v>0</v>
      </c>
      <c r="M433" s="87">
        <v>0</v>
      </c>
      <c r="O433" s="87">
        <v>0</v>
      </c>
      <c r="P433" s="88">
        <v>12554864.499999998</v>
      </c>
      <c r="Q433" s="87">
        <v>0</v>
      </c>
      <c r="R433" s="87">
        <f t="shared" si="108"/>
        <v>0</v>
      </c>
      <c r="T433" s="87">
        <v>0</v>
      </c>
      <c r="V433" s="87">
        <v>0</v>
      </c>
      <c r="X433" s="87">
        <v>0</v>
      </c>
      <c r="Y433" s="88">
        <v>13859340.500000006</v>
      </c>
      <c r="Z433" s="87">
        <v>0</v>
      </c>
      <c r="AA433" s="87">
        <v>0</v>
      </c>
      <c r="AB433" s="89">
        <f t="shared" si="109"/>
        <v>0</v>
      </c>
      <c r="AC433" s="89">
        <f t="shared" si="110"/>
        <v>0</v>
      </c>
      <c r="AD433" s="89">
        <f t="shared" si="111"/>
        <v>0</v>
      </c>
      <c r="AE433" s="90">
        <f t="shared" si="112"/>
        <v>0</v>
      </c>
      <c r="AF433" s="90" t="str">
        <f t="shared" si="113"/>
        <v/>
      </c>
      <c r="AG433" s="90">
        <f t="shared" si="114"/>
        <v>0</v>
      </c>
      <c r="AH433" s="90" t="str">
        <f t="shared" si="115"/>
        <v/>
      </c>
      <c r="AI433" s="90">
        <f t="shared" si="116"/>
        <v>0</v>
      </c>
      <c r="AJ433" s="90" t="str">
        <f t="shared" si="117"/>
        <v/>
      </c>
      <c r="AK433" s="90" t="str">
        <f t="shared" si="118"/>
        <v/>
      </c>
      <c r="AL433" s="91">
        <f>IF(AK433="Adjust",(_xlfn.XLOOKUP(A433,'Adj factor'!A:A,'Adj factor'!I:I,,0)*AI433),'Master DataSheet'!AI433)</f>
        <v>0</v>
      </c>
      <c r="AM433" s="91">
        <f t="shared" si="119"/>
        <v>0</v>
      </c>
      <c r="AN433" s="92" t="str">
        <f t="shared" si="120"/>
        <v>No change</v>
      </c>
      <c r="AO433" s="93">
        <f>VLOOKUP(B433,'Growthrates source'!A$2:H$49,8,FALSE)</f>
        <v>4.588291307733483E-2</v>
      </c>
      <c r="AP433" s="93">
        <f>VLOOKUP(B433,'Growthrates source'!A$2:I$49,9,FALSE)</f>
        <v>5.4673730437993617E-2</v>
      </c>
      <c r="AQ433" s="86">
        <f t="shared" si="121"/>
        <v>0</v>
      </c>
      <c r="AR433" s="86">
        <f t="shared" si="122"/>
        <v>0</v>
      </c>
      <c r="AS433" s="94">
        <f t="shared" si="123"/>
        <v>0</v>
      </c>
      <c r="AT433" s="94">
        <f t="shared" si="124"/>
        <v>0</v>
      </c>
      <c r="AU433" s="94">
        <f t="shared" si="125"/>
        <v>0</v>
      </c>
    </row>
    <row r="434" spans="1:48" x14ac:dyDescent="0.3">
      <c r="A434" s="85" t="str">
        <f>_xlfn.XLOOKUP(B434,'Country codes &amp; Data sources'!G:G,'Country codes &amp; Data sources'!H:H,,0)</f>
        <v>Gambia</v>
      </c>
      <c r="B434" s="85" t="s">
        <v>171</v>
      </c>
      <c r="C434" s="86">
        <v>2061013.9999999993</v>
      </c>
      <c r="D434" s="85" t="s">
        <v>321</v>
      </c>
      <c r="E434" s="87">
        <v>0</v>
      </c>
      <c r="F434" s="88">
        <v>2124869.5</v>
      </c>
      <c r="G434" s="87">
        <v>0</v>
      </c>
      <c r="H434" s="87">
        <v>2189019</v>
      </c>
      <c r="I434" s="87">
        <v>0</v>
      </c>
      <c r="J434" s="87">
        <v>2253133.5000000009</v>
      </c>
      <c r="K434" s="87">
        <v>426</v>
      </c>
      <c r="L434" s="87">
        <v>2317205.5</v>
      </c>
      <c r="M434" s="87">
        <v>1</v>
      </c>
      <c r="N434" s="87">
        <v>2381181.5</v>
      </c>
      <c r="O434" s="87">
        <v>464</v>
      </c>
      <c r="P434" s="88">
        <v>2444915.5000000014</v>
      </c>
      <c r="Q434" s="87">
        <v>596</v>
      </c>
      <c r="R434" s="87">
        <f t="shared" si="108"/>
        <v>596</v>
      </c>
      <c r="S434" s="87">
        <v>2508883.5000000009</v>
      </c>
      <c r="T434" s="87">
        <v>457</v>
      </c>
      <c r="U434" s="87">
        <v>2573994.9999999995</v>
      </c>
      <c r="V434" s="87">
        <v>466</v>
      </c>
      <c r="W434" s="87">
        <v>2639915.5000000005</v>
      </c>
      <c r="X434" s="87">
        <v>651</v>
      </c>
      <c r="Y434" s="88">
        <v>2705991.9999999995</v>
      </c>
      <c r="Z434" s="87">
        <v>0</v>
      </c>
      <c r="AA434" s="87">
        <v>298</v>
      </c>
      <c r="AB434" s="89">
        <f t="shared" si="109"/>
        <v>426</v>
      </c>
      <c r="AC434" s="89">
        <f t="shared" si="110"/>
        <v>596</v>
      </c>
      <c r="AD434" s="89">
        <f t="shared" si="111"/>
        <v>651</v>
      </c>
      <c r="AE434" s="90">
        <f t="shared" si="112"/>
        <v>426</v>
      </c>
      <c r="AF434" s="90">
        <f t="shared" si="113"/>
        <v>2015</v>
      </c>
      <c r="AG434" s="90">
        <f t="shared" si="114"/>
        <v>596</v>
      </c>
      <c r="AH434" s="90">
        <f t="shared" si="115"/>
        <v>2018</v>
      </c>
      <c r="AI434" s="90">
        <f t="shared" si="116"/>
        <v>651</v>
      </c>
      <c r="AJ434" s="90">
        <f t="shared" si="117"/>
        <v>2021</v>
      </c>
      <c r="AK434" s="90" t="str">
        <f t="shared" si="118"/>
        <v/>
      </c>
      <c r="AL434" s="91">
        <f>IF(AK434="Adjust",(_xlfn.XLOOKUP(A434,'Adj factor'!A:A,'Adj factor'!I:I,,0)*AI434),'Master DataSheet'!AI434)</f>
        <v>651</v>
      </c>
      <c r="AM434" s="91">
        <f t="shared" si="119"/>
        <v>651</v>
      </c>
      <c r="AN434" s="92" t="str">
        <f t="shared" si="120"/>
        <v>Increasing</v>
      </c>
      <c r="AO434" s="93">
        <f>VLOOKUP(B434,'Growthrates source'!A$2:H$49,8,FALSE)</f>
        <v>-0.22530855667613492</v>
      </c>
      <c r="AP434" s="93">
        <f>VLOOKUP(B434,'Growthrates source'!A$2:I$49,9,FALSE)</f>
        <v>0.45056501122921166</v>
      </c>
      <c r="AQ434" s="86">
        <f t="shared" si="121"/>
        <v>919.32184192321949</v>
      </c>
      <c r="AR434" s="86">
        <f t="shared" si="122"/>
        <v>1151.4629233704627</v>
      </c>
      <c r="AS434" s="94">
        <f t="shared" si="123"/>
        <v>2.0048290024399145</v>
      </c>
      <c r="AT434" s="94">
        <f t="shared" si="124"/>
        <v>2.4377120599873479</v>
      </c>
      <c r="AU434" s="94">
        <f t="shared" si="125"/>
        <v>2.4057720791487931</v>
      </c>
    </row>
    <row r="435" spans="1:48" x14ac:dyDescent="0.3">
      <c r="A435" s="85" t="str">
        <f>_xlfn.XLOOKUP(B435,'Country codes &amp; Data sources'!G:G,'Country codes &amp; Data sources'!H:H,,0)</f>
        <v>Gambia</v>
      </c>
      <c r="B435" s="85" t="s">
        <v>171</v>
      </c>
      <c r="C435" s="86">
        <v>2061015</v>
      </c>
      <c r="D435" s="85" t="s">
        <v>322</v>
      </c>
      <c r="E435" s="87">
        <v>4772</v>
      </c>
      <c r="F435" s="88">
        <v>2124869.5</v>
      </c>
      <c r="G435" s="87">
        <v>0</v>
      </c>
      <c r="I435" s="87">
        <v>0</v>
      </c>
      <c r="K435" s="87">
        <v>4744</v>
      </c>
      <c r="M435" s="87">
        <v>0</v>
      </c>
      <c r="O435" s="87">
        <v>2648</v>
      </c>
      <c r="P435" s="88">
        <v>2444915.5000000014</v>
      </c>
      <c r="Q435" s="87">
        <v>2996</v>
      </c>
      <c r="R435" s="87">
        <f t="shared" si="108"/>
        <v>2996</v>
      </c>
      <c r="T435" s="87">
        <v>1498</v>
      </c>
      <c r="V435" s="87">
        <v>2458</v>
      </c>
      <c r="X435" s="87">
        <v>2808</v>
      </c>
      <c r="Y435" s="88">
        <v>2705991.9999999995</v>
      </c>
      <c r="Z435" s="87">
        <v>0</v>
      </c>
      <c r="AA435" s="87">
        <v>1178</v>
      </c>
      <c r="AB435" s="89">
        <f t="shared" si="109"/>
        <v>4772</v>
      </c>
      <c r="AC435" s="89">
        <f t="shared" si="110"/>
        <v>2996</v>
      </c>
      <c r="AD435" s="89">
        <f t="shared" si="111"/>
        <v>2808</v>
      </c>
      <c r="AE435" s="90">
        <f t="shared" si="112"/>
        <v>4772</v>
      </c>
      <c r="AF435" s="90">
        <f t="shared" si="113"/>
        <v>2012</v>
      </c>
      <c r="AG435" s="90">
        <f t="shared" si="114"/>
        <v>2996</v>
      </c>
      <c r="AH435" s="90">
        <f t="shared" si="115"/>
        <v>2018</v>
      </c>
      <c r="AI435" s="90">
        <f t="shared" si="116"/>
        <v>2808</v>
      </c>
      <c r="AJ435" s="90">
        <f t="shared" si="117"/>
        <v>2021</v>
      </c>
      <c r="AK435" s="90" t="str">
        <f t="shared" si="118"/>
        <v>Adjust</v>
      </c>
      <c r="AL435" s="91">
        <f>IF(AK435="Adjust",(_xlfn.XLOOKUP(A435,'Adj factor'!A:A,'Adj factor'!I:I,,0)*AI435),'Master DataSheet'!AI435)</f>
        <v>2858.8073394495414</v>
      </c>
      <c r="AM435" s="91">
        <f t="shared" si="119"/>
        <v>2996</v>
      </c>
      <c r="AN435" s="92" t="str">
        <f t="shared" si="120"/>
        <v>Decreasing</v>
      </c>
      <c r="AO435" s="93">
        <f>VLOOKUP(B435,'Growthrates source'!A$2:H$49,8,FALSE)</f>
        <v>-0.22530855667613492</v>
      </c>
      <c r="AP435" s="93">
        <f>VLOOKUP(B435,'Growthrates source'!A$2:I$49,9,FALSE)</f>
        <v>0.45056501122921166</v>
      </c>
      <c r="AQ435" s="86">
        <f t="shared" si="121"/>
        <v>3634.0977509582299</v>
      </c>
      <c r="AR435" s="86">
        <f t="shared" si="122"/>
        <v>4551.7561199006877</v>
      </c>
      <c r="AS435" s="94">
        <f t="shared" si="123"/>
        <v>22.457849764420828</v>
      </c>
      <c r="AT435" s="94">
        <f t="shared" si="124"/>
        <v>12.254002234433043</v>
      </c>
      <c r="AU435" s="94">
        <f t="shared" si="125"/>
        <v>11.071725267480467</v>
      </c>
    </row>
    <row r="436" spans="1:48" x14ac:dyDescent="0.3">
      <c r="A436" s="85" t="str">
        <f>_xlfn.XLOOKUP(B436,'Country codes &amp; Data sources'!G:G,'Country codes &amp; Data sources'!H:H,,0)</f>
        <v>Gambia</v>
      </c>
      <c r="B436" s="85" t="s">
        <v>171</v>
      </c>
      <c r="C436" s="86">
        <v>2061016</v>
      </c>
      <c r="D436" s="85" t="s">
        <v>323</v>
      </c>
      <c r="E436" s="87">
        <v>0</v>
      </c>
      <c r="F436" s="88">
        <v>2124869.5</v>
      </c>
      <c r="G436" s="87">
        <v>518</v>
      </c>
      <c r="I436" s="87">
        <v>0</v>
      </c>
      <c r="K436" s="87">
        <v>1700</v>
      </c>
      <c r="M436" s="87">
        <v>0</v>
      </c>
      <c r="O436" s="87">
        <v>844</v>
      </c>
      <c r="P436" s="88">
        <v>2444915.5000000014</v>
      </c>
      <c r="Q436" s="87">
        <v>0</v>
      </c>
      <c r="R436" s="87">
        <f t="shared" si="108"/>
        <v>320</v>
      </c>
      <c r="T436" s="87">
        <v>682</v>
      </c>
      <c r="V436" s="87">
        <v>1080</v>
      </c>
      <c r="X436" s="87">
        <v>758</v>
      </c>
      <c r="Y436" s="88">
        <v>2705991.9999999995</v>
      </c>
      <c r="Z436" s="87">
        <v>0</v>
      </c>
      <c r="AA436" s="87">
        <v>320</v>
      </c>
      <c r="AB436" s="89">
        <f t="shared" si="109"/>
        <v>1700</v>
      </c>
      <c r="AC436" s="89">
        <f t="shared" si="110"/>
        <v>844</v>
      </c>
      <c r="AD436" s="89">
        <f t="shared" si="111"/>
        <v>1080</v>
      </c>
      <c r="AE436" s="90">
        <f t="shared" si="112"/>
        <v>518</v>
      </c>
      <c r="AF436" s="90">
        <f t="shared" si="113"/>
        <v>2013</v>
      </c>
      <c r="AG436" s="90">
        <f t="shared" si="114"/>
        <v>320</v>
      </c>
      <c r="AH436" s="90" t="str">
        <f t="shared" si="115"/>
        <v>2018 (triag)</v>
      </c>
      <c r="AI436" s="90">
        <f t="shared" si="116"/>
        <v>758</v>
      </c>
      <c r="AJ436" s="90">
        <f t="shared" si="117"/>
        <v>2021</v>
      </c>
      <c r="AK436" s="90" t="str">
        <f t="shared" si="118"/>
        <v/>
      </c>
      <c r="AL436" s="91">
        <f>IF(AK436="Adjust",(_xlfn.XLOOKUP(A436,'Adj factor'!A:A,'Adj factor'!I:I,,0)*AI436),'Master DataSheet'!AI436)</f>
        <v>758</v>
      </c>
      <c r="AM436" s="91">
        <f t="shared" si="119"/>
        <v>758</v>
      </c>
      <c r="AN436" s="92" t="str">
        <f t="shared" si="120"/>
        <v>Increasing</v>
      </c>
      <c r="AO436" s="93">
        <f>VLOOKUP(B436,'Growthrates source'!A$2:H$49,8,FALSE)</f>
        <v>-0.22530855667613492</v>
      </c>
      <c r="AP436" s="93">
        <f>VLOOKUP(B436,'Growthrates source'!A$2:I$49,9,FALSE)</f>
        <v>0.45056501122921166</v>
      </c>
      <c r="AQ436" s="86">
        <f t="shared" si="121"/>
        <v>987.19123964909465</v>
      </c>
      <c r="AR436" s="86">
        <f t="shared" si="122"/>
        <v>1236.4702532837182</v>
      </c>
      <c r="AS436" s="94">
        <f t="shared" si="123"/>
        <v>2.4377967682250605</v>
      </c>
      <c r="AT436" s="94">
        <f t="shared" si="124"/>
        <v>1.3088386899260929</v>
      </c>
      <c r="AU436" s="94">
        <f t="shared" si="125"/>
        <v>2.8011908387016669</v>
      </c>
    </row>
    <row r="437" spans="1:48" s="95" customFormat="1" x14ac:dyDescent="0.3">
      <c r="A437" s="95" t="str">
        <f>_xlfn.XLOOKUP(B437,'Country codes &amp; Data sources'!G:G,'Country codes &amp; Data sources'!H:H,,0)</f>
        <v>Gambia</v>
      </c>
      <c r="B437" s="95" t="s">
        <v>171</v>
      </c>
      <c r="C437" s="60">
        <v>2061017</v>
      </c>
      <c r="D437" s="95" t="s">
        <v>324</v>
      </c>
      <c r="E437" s="96">
        <v>886</v>
      </c>
      <c r="F437" s="97">
        <v>2124869.5</v>
      </c>
      <c r="G437" s="96">
        <v>0</v>
      </c>
      <c r="H437" s="96"/>
      <c r="I437" s="96">
        <v>124</v>
      </c>
      <c r="J437" s="96"/>
      <c r="K437" s="96">
        <v>156</v>
      </c>
      <c r="L437" s="96"/>
      <c r="M437" s="96">
        <v>0</v>
      </c>
      <c r="N437" s="96"/>
      <c r="O437" s="96">
        <v>360</v>
      </c>
      <c r="P437" s="97">
        <v>2444915.5000000014</v>
      </c>
      <c r="Q437" s="96">
        <v>157</v>
      </c>
      <c r="R437" s="96">
        <f t="shared" si="108"/>
        <v>157</v>
      </c>
      <c r="S437" s="96"/>
      <c r="T437" s="96">
        <v>60</v>
      </c>
      <c r="U437" s="96"/>
      <c r="V437" s="96">
        <v>324</v>
      </c>
      <c r="W437" s="96"/>
      <c r="X437" s="96">
        <v>1859</v>
      </c>
      <c r="Y437" s="97">
        <v>2705991.9999999995</v>
      </c>
      <c r="Z437" s="96">
        <v>3224</v>
      </c>
      <c r="AA437" s="96">
        <v>79</v>
      </c>
      <c r="AB437" s="98">
        <f t="shared" si="109"/>
        <v>886</v>
      </c>
      <c r="AC437" s="98">
        <f t="shared" si="110"/>
        <v>360</v>
      </c>
      <c r="AD437" s="98">
        <f t="shared" si="111"/>
        <v>3224</v>
      </c>
      <c r="AE437" s="99">
        <f t="shared" si="112"/>
        <v>886</v>
      </c>
      <c r="AF437" s="99">
        <f t="shared" si="113"/>
        <v>2012</v>
      </c>
      <c r="AG437" s="99">
        <f t="shared" si="114"/>
        <v>157</v>
      </c>
      <c r="AH437" s="99">
        <f t="shared" si="115"/>
        <v>2018</v>
      </c>
      <c r="AI437" s="99">
        <f t="shared" si="116"/>
        <v>3224</v>
      </c>
      <c r="AJ437" s="99">
        <f t="shared" si="117"/>
        <v>2022</v>
      </c>
      <c r="AK437" s="99" t="str">
        <f t="shared" si="118"/>
        <v/>
      </c>
      <c r="AL437" s="61">
        <f>IF(AK437="Adjust",(_xlfn.XLOOKUP(A437,'Adj factor'!A:A,'Adj factor'!I:I,,0)*AI437),'Master DataSheet'!AI437)</f>
        <v>3224</v>
      </c>
      <c r="AM437" s="61">
        <f t="shared" si="119"/>
        <v>3224</v>
      </c>
      <c r="AN437" s="62" t="str">
        <f t="shared" si="120"/>
        <v>Increasing</v>
      </c>
      <c r="AO437" s="100">
        <f>VLOOKUP(B437,'Growthrates source'!A$2:H$49,8,FALSE)</f>
        <v>-0.22530855667613492</v>
      </c>
      <c r="AP437" s="100">
        <f>VLOOKUP(B437,'Growthrates source'!A$2:I$49,9,FALSE)</f>
        <v>0.45056501122921166</v>
      </c>
      <c r="AQ437" s="60">
        <f t="shared" si="121"/>
        <v>243.71283728837025</v>
      </c>
      <c r="AR437" s="60">
        <f t="shared" si="122"/>
        <v>305.25359377941794</v>
      </c>
      <c r="AS437" s="102">
        <f t="shared" si="123"/>
        <v>4.1696678313656435</v>
      </c>
      <c r="AT437" s="101">
        <f t="shared" si="124"/>
        <v>0.64214898224498929</v>
      </c>
      <c r="AU437" s="102">
        <f t="shared" si="125"/>
        <v>11.914299820546404</v>
      </c>
      <c r="AV437" s="117"/>
    </row>
    <row r="438" spans="1:48" x14ac:dyDescent="0.3">
      <c r="A438" s="85" t="str">
        <f>_xlfn.XLOOKUP(B438,'Country codes &amp; Data sources'!G:G,'Country codes &amp; Data sources'!H:H,,0)</f>
        <v>Gambia</v>
      </c>
      <c r="B438" s="85" t="s">
        <v>171</v>
      </c>
      <c r="C438" s="86">
        <v>2061018</v>
      </c>
      <c r="D438" s="85" t="s">
        <v>325</v>
      </c>
      <c r="E438" s="87">
        <v>228</v>
      </c>
      <c r="F438" s="88">
        <v>2124869.5</v>
      </c>
      <c r="G438" s="87">
        <v>0</v>
      </c>
      <c r="I438" s="87">
        <v>0</v>
      </c>
      <c r="K438" s="87">
        <v>15</v>
      </c>
      <c r="M438" s="87">
        <v>6433</v>
      </c>
      <c r="O438" s="87">
        <v>54</v>
      </c>
      <c r="P438" s="88">
        <v>2444915.5000000014</v>
      </c>
      <c r="Q438" s="87">
        <v>27</v>
      </c>
      <c r="R438" s="87">
        <f t="shared" si="108"/>
        <v>27</v>
      </c>
      <c r="T438" s="87">
        <v>30</v>
      </c>
      <c r="V438" s="87">
        <v>26</v>
      </c>
      <c r="X438" s="87">
        <v>513</v>
      </c>
      <c r="Y438" s="88">
        <v>2705991.9999999995</v>
      </c>
      <c r="Z438" s="87">
        <v>612</v>
      </c>
      <c r="AA438" s="87">
        <v>3</v>
      </c>
      <c r="AB438" s="89">
        <f t="shared" si="109"/>
        <v>228</v>
      </c>
      <c r="AC438" s="89">
        <f t="shared" si="110"/>
        <v>6433</v>
      </c>
      <c r="AD438" s="89">
        <f t="shared" si="111"/>
        <v>612</v>
      </c>
      <c r="AE438" s="90">
        <f t="shared" si="112"/>
        <v>228</v>
      </c>
      <c r="AF438" s="90">
        <f t="shared" si="113"/>
        <v>2012</v>
      </c>
      <c r="AG438" s="90">
        <f t="shared" si="114"/>
        <v>27</v>
      </c>
      <c r="AH438" s="90">
        <f t="shared" si="115"/>
        <v>2018</v>
      </c>
      <c r="AI438" s="90">
        <f t="shared" si="116"/>
        <v>612</v>
      </c>
      <c r="AJ438" s="90">
        <f t="shared" si="117"/>
        <v>2022</v>
      </c>
      <c r="AK438" s="90" t="str">
        <f t="shared" si="118"/>
        <v/>
      </c>
      <c r="AL438" s="91">
        <f>IF(AK438="Adjust",(_xlfn.XLOOKUP(A438,'Adj factor'!A:A,'Adj factor'!I:I,,0)*AI438),'Master DataSheet'!AI438)</f>
        <v>612</v>
      </c>
      <c r="AM438" s="91">
        <f t="shared" si="119"/>
        <v>612</v>
      </c>
      <c r="AN438" s="92" t="str">
        <f t="shared" si="120"/>
        <v>Increasing</v>
      </c>
      <c r="AO438" s="93">
        <f>VLOOKUP(B438,'Growthrates source'!A$2:H$49,8,FALSE)</f>
        <v>-0.22530855667613492</v>
      </c>
      <c r="AP438" s="93">
        <f>VLOOKUP(B438,'Growthrates source'!A$2:I$49,9,FALSE)</f>
        <v>0.45056501122921166</v>
      </c>
      <c r="AQ438" s="86">
        <f t="shared" si="121"/>
        <v>9.254917871710262</v>
      </c>
      <c r="AR438" s="86">
        <f t="shared" si="122"/>
        <v>11.591908624534859</v>
      </c>
      <c r="AS438" s="94">
        <f t="shared" si="123"/>
        <v>1.073007071728405</v>
      </c>
      <c r="AT438" s="94">
        <f t="shared" si="124"/>
        <v>0.11043326446251409</v>
      </c>
      <c r="AU438" s="94">
        <f t="shared" si="125"/>
        <v>2.2616474845454091</v>
      </c>
    </row>
    <row r="439" spans="1:48" x14ac:dyDescent="0.3">
      <c r="A439" s="85" t="str">
        <f>_xlfn.XLOOKUP(B439,'Country codes &amp; Data sources'!G:G,'Country codes &amp; Data sources'!H:H,,0)</f>
        <v>Gambia</v>
      </c>
      <c r="B439" s="85" t="s">
        <v>171</v>
      </c>
      <c r="C439" s="86">
        <v>2061019</v>
      </c>
      <c r="D439" s="85" t="s">
        <v>127</v>
      </c>
      <c r="E439" s="87">
        <v>0</v>
      </c>
      <c r="F439" s="88">
        <v>2124869.5</v>
      </c>
      <c r="G439" s="87">
        <v>0</v>
      </c>
      <c r="I439" s="87">
        <v>0</v>
      </c>
      <c r="K439" s="87">
        <v>0</v>
      </c>
      <c r="M439" s="87">
        <v>0</v>
      </c>
      <c r="O439" s="87">
        <v>0</v>
      </c>
      <c r="P439" s="88">
        <v>2444915.5000000014</v>
      </c>
      <c r="Q439" s="87">
        <v>1553</v>
      </c>
      <c r="R439" s="87">
        <f t="shared" si="108"/>
        <v>1553</v>
      </c>
      <c r="T439" s="87">
        <v>0</v>
      </c>
      <c r="V439" s="87">
        <v>0</v>
      </c>
      <c r="X439" s="87">
        <v>0</v>
      </c>
      <c r="Y439" s="88">
        <v>2705991.9999999995</v>
      </c>
      <c r="Z439" s="87">
        <v>0</v>
      </c>
      <c r="AA439" s="87">
        <v>1553</v>
      </c>
      <c r="AB439" s="89">
        <f t="shared" si="109"/>
        <v>0</v>
      </c>
      <c r="AC439" s="89">
        <f t="shared" si="110"/>
        <v>1553</v>
      </c>
      <c r="AD439" s="89">
        <f t="shared" si="111"/>
        <v>0</v>
      </c>
      <c r="AE439" s="90">
        <f t="shared" si="112"/>
        <v>0</v>
      </c>
      <c r="AF439" s="90" t="str">
        <f t="shared" si="113"/>
        <v/>
      </c>
      <c r="AG439" s="90">
        <f t="shared" si="114"/>
        <v>1553</v>
      </c>
      <c r="AH439" s="90">
        <f t="shared" si="115"/>
        <v>2018</v>
      </c>
      <c r="AI439" s="90">
        <f t="shared" si="116"/>
        <v>1553</v>
      </c>
      <c r="AJ439" s="90">
        <f t="shared" si="117"/>
        <v>2018</v>
      </c>
      <c r="AK439" s="90" t="str">
        <f t="shared" si="118"/>
        <v/>
      </c>
      <c r="AL439" s="91">
        <f>IF(AK439="Adjust",(_xlfn.XLOOKUP(A439,'Adj factor'!A:A,'Adj factor'!I:I,,0)*AI439),'Master DataSheet'!AI439)</f>
        <v>1553</v>
      </c>
      <c r="AM439" s="91">
        <f t="shared" si="119"/>
        <v>1553</v>
      </c>
      <c r="AN439" s="92" t="str">
        <f t="shared" si="120"/>
        <v>No change</v>
      </c>
      <c r="AO439" s="93">
        <f>VLOOKUP(B439,'Growthrates source'!A$2:H$49,8,FALSE)</f>
        <v>-0.22530855667613492</v>
      </c>
      <c r="AP439" s="93">
        <f>VLOOKUP(B439,'Growthrates source'!A$2:I$49,9,FALSE)</f>
        <v>0.45056501122921166</v>
      </c>
      <c r="AQ439" s="86">
        <f t="shared" si="121"/>
        <v>4790.9624849220127</v>
      </c>
      <c r="AR439" s="86">
        <f t="shared" si="122"/>
        <v>6000.7446979675451</v>
      </c>
      <c r="AS439" s="94">
        <f t="shared" si="123"/>
        <v>0</v>
      </c>
      <c r="AT439" s="94">
        <f t="shared" si="124"/>
        <v>6.3519577670475691</v>
      </c>
      <c r="AU439" s="94">
        <f t="shared" si="125"/>
        <v>5.7391152671552623</v>
      </c>
    </row>
    <row r="440" spans="1:48" x14ac:dyDescent="0.3">
      <c r="A440" s="85" t="str">
        <f>_xlfn.XLOOKUP(B440,'Country codes &amp; Data sources'!G:G,'Country codes &amp; Data sources'!H:H,,0)</f>
        <v>Gambia</v>
      </c>
      <c r="B440" s="85" t="s">
        <v>171</v>
      </c>
      <c r="C440" s="86">
        <v>2061020</v>
      </c>
      <c r="D440" s="85" t="s">
        <v>61</v>
      </c>
      <c r="E440" s="87">
        <v>0</v>
      </c>
      <c r="F440" s="88">
        <v>2124869.5</v>
      </c>
      <c r="G440" s="87">
        <v>0</v>
      </c>
      <c r="I440" s="87">
        <v>0</v>
      </c>
      <c r="K440" s="87">
        <v>0</v>
      </c>
      <c r="M440" s="87">
        <v>3652</v>
      </c>
      <c r="O440" s="87">
        <v>0</v>
      </c>
      <c r="P440" s="88">
        <v>2444915.5000000014</v>
      </c>
      <c r="Q440" s="87">
        <v>0</v>
      </c>
      <c r="R440" s="87">
        <f t="shared" si="108"/>
        <v>0</v>
      </c>
      <c r="T440" s="87">
        <v>0</v>
      </c>
      <c r="V440" s="87">
        <v>0</v>
      </c>
      <c r="X440" s="87">
        <v>1</v>
      </c>
      <c r="Y440" s="88">
        <v>2705991.9999999995</v>
      </c>
      <c r="Z440" s="87">
        <v>59</v>
      </c>
      <c r="AA440" s="87">
        <v>0</v>
      </c>
      <c r="AB440" s="89">
        <f t="shared" si="109"/>
        <v>0</v>
      </c>
      <c r="AC440" s="89">
        <f t="shared" si="110"/>
        <v>3652</v>
      </c>
      <c r="AD440" s="89">
        <f t="shared" si="111"/>
        <v>59</v>
      </c>
      <c r="AE440" s="90">
        <f t="shared" si="112"/>
        <v>0</v>
      </c>
      <c r="AF440" s="90" t="str">
        <f t="shared" si="113"/>
        <v/>
      </c>
      <c r="AG440" s="90">
        <f t="shared" si="114"/>
        <v>0</v>
      </c>
      <c r="AH440" s="90" t="str">
        <f t="shared" si="115"/>
        <v/>
      </c>
      <c r="AI440" s="90">
        <f t="shared" si="116"/>
        <v>59</v>
      </c>
      <c r="AJ440" s="90">
        <f t="shared" si="117"/>
        <v>2022</v>
      </c>
      <c r="AK440" s="90" t="str">
        <f t="shared" si="118"/>
        <v/>
      </c>
      <c r="AL440" s="91">
        <f>IF(AK440="Adjust",(_xlfn.XLOOKUP(A440,'Adj factor'!A:A,'Adj factor'!I:I,,0)*AI440),'Master DataSheet'!AI440)</f>
        <v>59</v>
      </c>
      <c r="AM440" s="91">
        <f t="shared" si="119"/>
        <v>59</v>
      </c>
      <c r="AN440" s="92" t="str">
        <f t="shared" si="120"/>
        <v>Increasing</v>
      </c>
      <c r="AO440" s="93">
        <f>VLOOKUP(B440,'Growthrates source'!A$2:H$49,8,FALSE)</f>
        <v>-0.22530855667613492</v>
      </c>
      <c r="AP440" s="93">
        <f>VLOOKUP(B440,'Growthrates source'!A$2:I$49,9,FALSE)</f>
        <v>0.45056501122921166</v>
      </c>
      <c r="AQ440" s="86">
        <f t="shared" si="121"/>
        <v>0</v>
      </c>
      <c r="AR440" s="86">
        <f t="shared" si="122"/>
        <v>0</v>
      </c>
      <c r="AS440" s="94">
        <f t="shared" si="123"/>
        <v>0</v>
      </c>
      <c r="AT440" s="94">
        <f t="shared" si="124"/>
        <v>0</v>
      </c>
      <c r="AU440" s="94">
        <f t="shared" si="125"/>
        <v>0.21803464311793977</v>
      </c>
    </row>
    <row r="441" spans="1:48" x14ac:dyDescent="0.3">
      <c r="A441" s="85" t="str">
        <f>_xlfn.XLOOKUP(B441,'Country codes &amp; Data sources'!G:G,'Country codes &amp; Data sources'!H:H,,0)</f>
        <v>Gambia</v>
      </c>
      <c r="B441" s="85" t="s">
        <v>171</v>
      </c>
      <c r="C441" s="86">
        <v>2061021</v>
      </c>
      <c r="D441" s="85" t="s">
        <v>62</v>
      </c>
      <c r="E441" s="87">
        <v>0</v>
      </c>
      <c r="F441" s="88">
        <v>2124869.5</v>
      </c>
      <c r="G441" s="87">
        <v>0</v>
      </c>
      <c r="I441" s="87">
        <v>0</v>
      </c>
      <c r="K441" s="87">
        <v>0</v>
      </c>
      <c r="M441" s="87">
        <v>3831</v>
      </c>
      <c r="O441" s="87">
        <v>0</v>
      </c>
      <c r="P441" s="88">
        <v>2444915.5000000014</v>
      </c>
      <c r="Q441" s="87">
        <v>0</v>
      </c>
      <c r="R441" s="87">
        <f t="shared" si="108"/>
        <v>316</v>
      </c>
      <c r="T441" s="87">
        <v>0</v>
      </c>
      <c r="V441" s="87">
        <v>0</v>
      </c>
      <c r="X441" s="87">
        <v>2742</v>
      </c>
      <c r="Y441" s="88">
        <v>2705991.9999999995</v>
      </c>
      <c r="Z441" s="87">
        <v>2305</v>
      </c>
      <c r="AA441" s="87">
        <v>316</v>
      </c>
      <c r="AB441" s="89">
        <f t="shared" si="109"/>
        <v>0</v>
      </c>
      <c r="AC441" s="89">
        <f t="shared" si="110"/>
        <v>3831</v>
      </c>
      <c r="AD441" s="89">
        <f t="shared" si="111"/>
        <v>2742</v>
      </c>
      <c r="AE441" s="90">
        <f t="shared" si="112"/>
        <v>0</v>
      </c>
      <c r="AF441" s="90" t="str">
        <f t="shared" si="113"/>
        <v/>
      </c>
      <c r="AG441" s="90">
        <f t="shared" si="114"/>
        <v>316</v>
      </c>
      <c r="AH441" s="90" t="str">
        <f t="shared" si="115"/>
        <v>2018 (triag)</v>
      </c>
      <c r="AI441" s="90">
        <f t="shared" si="116"/>
        <v>2305</v>
      </c>
      <c r="AJ441" s="90">
        <f t="shared" si="117"/>
        <v>2022</v>
      </c>
      <c r="AK441" s="90" t="str">
        <f t="shared" si="118"/>
        <v/>
      </c>
      <c r="AL441" s="91">
        <f>IF(AK441="Adjust",(_xlfn.XLOOKUP(A441,'Adj factor'!A:A,'Adj factor'!I:I,,0)*AI441),'Master DataSheet'!AI441)</f>
        <v>2305</v>
      </c>
      <c r="AM441" s="91">
        <f t="shared" si="119"/>
        <v>2305</v>
      </c>
      <c r="AN441" s="92" t="str">
        <f t="shared" si="120"/>
        <v>Increasing</v>
      </c>
      <c r="AO441" s="93">
        <f>VLOOKUP(B441,'Growthrates source'!A$2:H$49,8,FALSE)</f>
        <v>-0.22530855667613492</v>
      </c>
      <c r="AP441" s="93">
        <f>VLOOKUP(B441,'Growthrates source'!A$2:I$49,9,FALSE)</f>
        <v>0.45056501122921166</v>
      </c>
      <c r="AQ441" s="86">
        <f t="shared" si="121"/>
        <v>974.85134915348101</v>
      </c>
      <c r="AR441" s="86">
        <f t="shared" si="122"/>
        <v>1221.0143751176718</v>
      </c>
      <c r="AS441" s="94">
        <f t="shared" si="123"/>
        <v>0</v>
      </c>
      <c r="AT441" s="94">
        <f t="shared" si="124"/>
        <v>1.2924782063020166</v>
      </c>
      <c r="AU441" s="94">
        <f t="shared" si="125"/>
        <v>8.5181330913025626</v>
      </c>
    </row>
    <row r="442" spans="1:48" x14ac:dyDescent="0.3">
      <c r="A442" s="85" t="str">
        <f>_xlfn.XLOOKUP(B442,'Country codes &amp; Data sources'!G:G,'Country codes &amp; Data sources'!H:H,,0)</f>
        <v>Gambia</v>
      </c>
      <c r="B442" s="85" t="s">
        <v>171</v>
      </c>
      <c r="C442" s="86">
        <v>2061022</v>
      </c>
      <c r="D442" s="85" t="s">
        <v>203</v>
      </c>
      <c r="E442" s="87">
        <v>0</v>
      </c>
      <c r="F442" s="88">
        <v>2124869.5</v>
      </c>
      <c r="G442" s="87">
        <v>0</v>
      </c>
      <c r="I442" s="87">
        <v>0</v>
      </c>
      <c r="K442" s="87">
        <v>0</v>
      </c>
      <c r="M442" s="87">
        <v>0</v>
      </c>
      <c r="O442" s="87">
        <v>0</v>
      </c>
      <c r="P442" s="88">
        <v>2444915.5000000014</v>
      </c>
      <c r="Q442" s="87">
        <v>0</v>
      </c>
      <c r="R442" s="87">
        <f t="shared" si="108"/>
        <v>0</v>
      </c>
      <c r="T442" s="87">
        <v>0</v>
      </c>
      <c r="V442" s="87">
        <v>0</v>
      </c>
      <c r="X442" s="87">
        <v>0</v>
      </c>
      <c r="Y442" s="88">
        <v>2705991.9999999995</v>
      </c>
      <c r="Z442" s="87">
        <v>0</v>
      </c>
      <c r="AA442" s="87">
        <v>0</v>
      </c>
      <c r="AB442" s="89">
        <f t="shared" si="109"/>
        <v>0</v>
      </c>
      <c r="AC442" s="89">
        <f t="shared" si="110"/>
        <v>0</v>
      </c>
      <c r="AD442" s="89">
        <f t="shared" si="111"/>
        <v>0</v>
      </c>
      <c r="AE442" s="90">
        <f t="shared" si="112"/>
        <v>0</v>
      </c>
      <c r="AF442" s="90" t="str">
        <f t="shared" si="113"/>
        <v/>
      </c>
      <c r="AG442" s="90">
        <f t="shared" si="114"/>
        <v>0</v>
      </c>
      <c r="AH442" s="90" t="str">
        <f t="shared" si="115"/>
        <v/>
      </c>
      <c r="AI442" s="90">
        <f t="shared" si="116"/>
        <v>0</v>
      </c>
      <c r="AJ442" s="90" t="str">
        <f t="shared" si="117"/>
        <v/>
      </c>
      <c r="AK442" s="90" t="str">
        <f t="shared" si="118"/>
        <v/>
      </c>
      <c r="AL442" s="91">
        <f>IF(AK442="Adjust",(_xlfn.XLOOKUP(A442,'Adj factor'!A:A,'Adj factor'!I:I,,0)*AI442),'Master DataSheet'!AI442)</f>
        <v>0</v>
      </c>
      <c r="AM442" s="91">
        <f t="shared" si="119"/>
        <v>0</v>
      </c>
      <c r="AN442" s="92" t="str">
        <f t="shared" si="120"/>
        <v>No change</v>
      </c>
      <c r="AO442" s="93">
        <f>VLOOKUP(B442,'Growthrates source'!A$2:H$49,8,FALSE)</f>
        <v>-0.22530855667613492</v>
      </c>
      <c r="AP442" s="93">
        <f>VLOOKUP(B442,'Growthrates source'!A$2:I$49,9,FALSE)</f>
        <v>0.45056501122921166</v>
      </c>
      <c r="AQ442" s="86">
        <f t="shared" si="121"/>
        <v>0</v>
      </c>
      <c r="AR442" s="86">
        <f t="shared" si="122"/>
        <v>0</v>
      </c>
      <c r="AS442" s="94">
        <f t="shared" si="123"/>
        <v>0</v>
      </c>
      <c r="AT442" s="94">
        <f t="shared" si="124"/>
        <v>0</v>
      </c>
      <c r="AU442" s="94">
        <f t="shared" si="125"/>
        <v>0</v>
      </c>
    </row>
    <row r="443" spans="1:48" x14ac:dyDescent="0.3">
      <c r="A443" s="85" t="str">
        <f>_xlfn.XLOOKUP(B443,'Country codes &amp; Data sources'!G:G,'Country codes &amp; Data sources'!H:H,,0)</f>
        <v>Gambia</v>
      </c>
      <c r="B443" s="85" t="s">
        <v>171</v>
      </c>
      <c r="C443" s="86">
        <v>2061023</v>
      </c>
      <c r="D443" s="85" t="s">
        <v>204</v>
      </c>
      <c r="E443" s="87">
        <v>0</v>
      </c>
      <c r="F443" s="88">
        <v>2124869.5</v>
      </c>
      <c r="G443" s="87">
        <v>0</v>
      </c>
      <c r="I443" s="87">
        <v>0</v>
      </c>
      <c r="K443" s="87">
        <v>0</v>
      </c>
      <c r="M443" s="87">
        <v>0</v>
      </c>
      <c r="O443" s="87">
        <v>0</v>
      </c>
      <c r="P443" s="88">
        <v>2444915.5000000014</v>
      </c>
      <c r="Q443" s="87">
        <v>0</v>
      </c>
      <c r="R443" s="87">
        <f t="shared" si="108"/>
        <v>0</v>
      </c>
      <c r="T443" s="87">
        <v>246</v>
      </c>
      <c r="V443" s="87">
        <v>479</v>
      </c>
      <c r="X443" s="87">
        <v>522</v>
      </c>
      <c r="Y443" s="88">
        <v>2705991.9999999995</v>
      </c>
      <c r="Z443" s="87">
        <v>0</v>
      </c>
      <c r="AA443" s="87">
        <v>0</v>
      </c>
      <c r="AB443" s="89">
        <f t="shared" si="109"/>
        <v>0</v>
      </c>
      <c r="AC443" s="89">
        <f t="shared" si="110"/>
        <v>246</v>
      </c>
      <c r="AD443" s="89">
        <f t="shared" si="111"/>
        <v>522</v>
      </c>
      <c r="AE443" s="90">
        <f t="shared" si="112"/>
        <v>0</v>
      </c>
      <c r="AF443" s="90" t="str">
        <f t="shared" si="113"/>
        <v/>
      </c>
      <c r="AG443" s="90">
        <f t="shared" si="114"/>
        <v>246</v>
      </c>
      <c r="AH443" s="90">
        <f t="shared" si="115"/>
        <v>2019</v>
      </c>
      <c r="AI443" s="90">
        <f t="shared" si="116"/>
        <v>522</v>
      </c>
      <c r="AJ443" s="90">
        <f t="shared" si="117"/>
        <v>2021</v>
      </c>
      <c r="AK443" s="90" t="str">
        <f t="shared" si="118"/>
        <v/>
      </c>
      <c r="AL443" s="91">
        <f>IF(AK443="Adjust",(_xlfn.XLOOKUP(A443,'Adj factor'!A:A,'Adj factor'!I:I,,0)*AI443),'Master DataSheet'!AI443)</f>
        <v>522</v>
      </c>
      <c r="AM443" s="91">
        <f t="shared" si="119"/>
        <v>522</v>
      </c>
      <c r="AN443" s="92" t="str">
        <f t="shared" si="120"/>
        <v>Increasing</v>
      </c>
      <c r="AO443" s="93">
        <f>VLOOKUP(B443,'Growthrates source'!A$2:H$49,8,FALSE)</f>
        <v>-0.22530855667613492</v>
      </c>
      <c r="AP443" s="93">
        <f>VLOOKUP(B443,'Growthrates source'!A$2:I$49,9,FALSE)</f>
        <v>0.45056501122921166</v>
      </c>
      <c r="AQ443" s="86">
        <f t="shared" si="121"/>
        <v>0</v>
      </c>
      <c r="AR443" s="86">
        <f t="shared" si="122"/>
        <v>0</v>
      </c>
      <c r="AS443" s="94">
        <f t="shared" si="123"/>
        <v>0</v>
      </c>
      <c r="AT443" s="94">
        <f t="shared" si="124"/>
        <v>1.0061697428806839</v>
      </c>
      <c r="AU443" s="94">
        <f t="shared" si="125"/>
        <v>1.9290522662299079</v>
      </c>
    </row>
    <row r="444" spans="1:48" x14ac:dyDescent="0.3">
      <c r="A444" s="85" t="str">
        <f>_xlfn.XLOOKUP(B444,'Country codes &amp; Data sources'!G:G,'Country codes &amp; Data sources'!H:H,,0)</f>
        <v>Gambia</v>
      </c>
      <c r="B444" s="85" t="s">
        <v>171</v>
      </c>
      <c r="C444" s="86">
        <v>2061024</v>
      </c>
      <c r="D444" s="85" t="s">
        <v>205</v>
      </c>
      <c r="E444" s="87">
        <v>0</v>
      </c>
      <c r="F444" s="88">
        <v>2124869.5</v>
      </c>
      <c r="G444" s="87">
        <v>0</v>
      </c>
      <c r="I444" s="87">
        <v>0</v>
      </c>
      <c r="K444" s="87">
        <v>3</v>
      </c>
      <c r="M444" s="87">
        <v>0</v>
      </c>
      <c r="O444" s="87">
        <v>0</v>
      </c>
      <c r="P444" s="88">
        <v>2444915.5000000014</v>
      </c>
      <c r="Q444" s="87">
        <v>7</v>
      </c>
      <c r="R444" s="87">
        <f t="shared" si="108"/>
        <v>7</v>
      </c>
      <c r="T444" s="87">
        <v>95</v>
      </c>
      <c r="V444" s="87">
        <v>4</v>
      </c>
      <c r="X444" s="87">
        <v>6</v>
      </c>
      <c r="Y444" s="88">
        <v>2705991.9999999995</v>
      </c>
      <c r="Z444" s="87">
        <v>0</v>
      </c>
      <c r="AA444" s="87">
        <v>0</v>
      </c>
      <c r="AB444" s="89">
        <f t="shared" si="109"/>
        <v>3</v>
      </c>
      <c r="AC444" s="89">
        <f t="shared" si="110"/>
        <v>95</v>
      </c>
      <c r="AD444" s="89">
        <f t="shared" si="111"/>
        <v>6</v>
      </c>
      <c r="AE444" s="90">
        <f t="shared" si="112"/>
        <v>3</v>
      </c>
      <c r="AF444" s="90">
        <f t="shared" si="113"/>
        <v>2015</v>
      </c>
      <c r="AG444" s="90">
        <f t="shared" si="114"/>
        <v>7</v>
      </c>
      <c r="AH444" s="90">
        <f t="shared" si="115"/>
        <v>2018</v>
      </c>
      <c r="AI444" s="90">
        <f t="shared" si="116"/>
        <v>6</v>
      </c>
      <c r="AJ444" s="90">
        <f t="shared" si="117"/>
        <v>2021</v>
      </c>
      <c r="AK444" s="90" t="str">
        <f t="shared" si="118"/>
        <v>Adjust</v>
      </c>
      <c r="AL444" s="91">
        <f>IF(AK444="Adjust",(_xlfn.XLOOKUP(A444,'Adj factor'!A:A,'Adj factor'!I:I,,0)*AI444),'Master DataSheet'!AI444)</f>
        <v>6.1085626911314987</v>
      </c>
      <c r="AM444" s="91">
        <f t="shared" si="119"/>
        <v>7</v>
      </c>
      <c r="AN444" s="92" t="str">
        <f t="shared" si="120"/>
        <v>Decreasing</v>
      </c>
      <c r="AO444" s="93">
        <f>VLOOKUP(B444,'Growthrates source'!A$2:H$49,8,FALSE)</f>
        <v>-0.22530855667613492</v>
      </c>
      <c r="AP444" s="93">
        <f>VLOOKUP(B444,'Growthrates source'!A$2:I$49,9,FALSE)</f>
        <v>0.45056501122921166</v>
      </c>
      <c r="AQ444" s="86">
        <f t="shared" si="121"/>
        <v>0</v>
      </c>
      <c r="AR444" s="86">
        <f t="shared" si="122"/>
        <v>0</v>
      </c>
      <c r="AS444" s="94">
        <f t="shared" si="123"/>
        <v>1.4118514101689539E-2</v>
      </c>
      <c r="AT444" s="94">
        <f t="shared" si="124"/>
        <v>2.8630846342133282E-2</v>
      </c>
      <c r="AU444" s="94">
        <f t="shared" si="125"/>
        <v>2.5868516980094552E-2</v>
      </c>
    </row>
    <row r="445" spans="1:48" x14ac:dyDescent="0.3">
      <c r="A445" s="85" t="str">
        <f>_xlfn.XLOOKUP(B445,'Country codes &amp; Data sources'!G:G,'Country codes &amp; Data sources'!H:H,,0)</f>
        <v>Gambia</v>
      </c>
      <c r="B445" s="85" t="s">
        <v>171</v>
      </c>
      <c r="C445" s="86">
        <v>2061025</v>
      </c>
      <c r="D445" s="85" t="s">
        <v>133</v>
      </c>
      <c r="E445" s="87">
        <v>0</v>
      </c>
      <c r="F445" s="88">
        <v>2124869.5</v>
      </c>
      <c r="G445" s="87">
        <v>0</v>
      </c>
      <c r="I445" s="87">
        <v>0</v>
      </c>
      <c r="K445" s="87">
        <v>11</v>
      </c>
      <c r="M445" s="87">
        <v>0</v>
      </c>
      <c r="O445" s="87">
        <v>0</v>
      </c>
      <c r="P445" s="88">
        <v>2444915.5000000014</v>
      </c>
      <c r="Q445" s="87">
        <v>138</v>
      </c>
      <c r="R445" s="87">
        <f t="shared" si="108"/>
        <v>138</v>
      </c>
      <c r="T445" s="87">
        <v>22</v>
      </c>
      <c r="V445" s="87">
        <v>13</v>
      </c>
      <c r="X445" s="87">
        <v>18</v>
      </c>
      <c r="Y445" s="88">
        <v>2705991.9999999995</v>
      </c>
      <c r="Z445" s="87">
        <v>0</v>
      </c>
      <c r="AA445" s="87">
        <v>0</v>
      </c>
      <c r="AB445" s="89">
        <f t="shared" si="109"/>
        <v>11</v>
      </c>
      <c r="AC445" s="89">
        <f t="shared" si="110"/>
        <v>138</v>
      </c>
      <c r="AD445" s="89">
        <f t="shared" si="111"/>
        <v>18</v>
      </c>
      <c r="AE445" s="90">
        <f t="shared" si="112"/>
        <v>11</v>
      </c>
      <c r="AF445" s="90">
        <f t="shared" si="113"/>
        <v>2015</v>
      </c>
      <c r="AG445" s="90">
        <f t="shared" si="114"/>
        <v>138</v>
      </c>
      <c r="AH445" s="90">
        <f t="shared" si="115"/>
        <v>2018</v>
      </c>
      <c r="AI445" s="90">
        <f t="shared" si="116"/>
        <v>18</v>
      </c>
      <c r="AJ445" s="90">
        <f t="shared" si="117"/>
        <v>2021</v>
      </c>
      <c r="AK445" s="90" t="str">
        <f t="shared" si="118"/>
        <v>Adjust</v>
      </c>
      <c r="AL445" s="91">
        <f>IF(AK445="Adjust",(_xlfn.XLOOKUP(A445,'Adj factor'!A:A,'Adj factor'!I:I,,0)*AI445),'Master DataSheet'!AI445)</f>
        <v>18.325688073394495</v>
      </c>
      <c r="AM445" s="91">
        <f t="shared" si="119"/>
        <v>138</v>
      </c>
      <c r="AN445" s="92" t="str">
        <f t="shared" si="120"/>
        <v>Decreasing</v>
      </c>
      <c r="AO445" s="93">
        <f>VLOOKUP(B445,'Growthrates source'!A$2:H$49,8,FALSE)</f>
        <v>-0.22530855667613492</v>
      </c>
      <c r="AP445" s="93">
        <f>VLOOKUP(B445,'Growthrates source'!A$2:I$49,9,FALSE)</f>
        <v>0.45056501122921166</v>
      </c>
      <c r="AQ445" s="86">
        <f t="shared" si="121"/>
        <v>0</v>
      </c>
      <c r="AR445" s="86">
        <f t="shared" si="122"/>
        <v>0</v>
      </c>
      <c r="AS445" s="94">
        <f t="shared" si="123"/>
        <v>5.1767885039528311E-2</v>
      </c>
      <c r="AT445" s="94">
        <f t="shared" si="124"/>
        <v>0.56443668503062749</v>
      </c>
      <c r="AU445" s="94">
        <f t="shared" si="125"/>
        <v>0.50997933475043544</v>
      </c>
    </row>
    <row r="446" spans="1:48" x14ac:dyDescent="0.3">
      <c r="A446" s="85" t="str">
        <f>_xlfn.XLOOKUP(B446,'Country codes &amp; Data sources'!G:G,'Country codes &amp; Data sources'!H:H,,0)</f>
        <v>Gambia</v>
      </c>
      <c r="B446" s="85" t="s">
        <v>171</v>
      </c>
      <c r="C446" s="86">
        <v>2061026</v>
      </c>
      <c r="D446" s="85" t="s">
        <v>206</v>
      </c>
      <c r="E446" s="87">
        <v>0</v>
      </c>
      <c r="F446" s="88">
        <v>2124869.5</v>
      </c>
      <c r="G446" s="87">
        <v>0</v>
      </c>
      <c r="I446" s="87">
        <v>0</v>
      </c>
      <c r="K446" s="87">
        <v>0</v>
      </c>
      <c r="M446" s="87">
        <v>0</v>
      </c>
      <c r="O446" s="87">
        <v>0</v>
      </c>
      <c r="P446" s="88">
        <v>2444915.5000000014</v>
      </c>
      <c r="Q446" s="87">
        <v>0</v>
      </c>
      <c r="R446" s="87">
        <f t="shared" si="108"/>
        <v>0</v>
      </c>
      <c r="T446" s="87">
        <v>0</v>
      </c>
      <c r="V446" s="87">
        <v>0</v>
      </c>
      <c r="X446" s="87">
        <v>0</v>
      </c>
      <c r="Y446" s="88">
        <v>2705991.9999999995</v>
      </c>
      <c r="Z446" s="87">
        <v>0</v>
      </c>
      <c r="AA446" s="87">
        <v>0</v>
      </c>
      <c r="AB446" s="89">
        <f t="shared" si="109"/>
        <v>0</v>
      </c>
      <c r="AC446" s="89">
        <f t="shared" si="110"/>
        <v>0</v>
      </c>
      <c r="AD446" s="89">
        <f t="shared" si="111"/>
        <v>0</v>
      </c>
      <c r="AE446" s="90">
        <f t="shared" si="112"/>
        <v>0</v>
      </c>
      <c r="AF446" s="90" t="str">
        <f t="shared" si="113"/>
        <v/>
      </c>
      <c r="AG446" s="90">
        <f t="shared" si="114"/>
        <v>0</v>
      </c>
      <c r="AH446" s="90" t="str">
        <f t="shared" si="115"/>
        <v/>
      </c>
      <c r="AI446" s="90">
        <f t="shared" si="116"/>
        <v>0</v>
      </c>
      <c r="AJ446" s="90" t="str">
        <f t="shared" si="117"/>
        <v/>
      </c>
      <c r="AK446" s="90" t="str">
        <f t="shared" si="118"/>
        <v/>
      </c>
      <c r="AL446" s="91">
        <f>IF(AK446="Adjust",(_xlfn.XLOOKUP(A446,'Adj factor'!A:A,'Adj factor'!I:I,,0)*AI446),'Master DataSheet'!AI446)</f>
        <v>0</v>
      </c>
      <c r="AM446" s="91">
        <f t="shared" si="119"/>
        <v>0</v>
      </c>
      <c r="AN446" s="92" t="str">
        <f t="shared" si="120"/>
        <v>No change</v>
      </c>
      <c r="AO446" s="93">
        <f>VLOOKUP(B446,'Growthrates source'!A$2:H$49,8,FALSE)</f>
        <v>-0.22530855667613492</v>
      </c>
      <c r="AP446" s="93">
        <f>VLOOKUP(B446,'Growthrates source'!A$2:I$49,9,FALSE)</f>
        <v>0.45056501122921166</v>
      </c>
      <c r="AQ446" s="86">
        <f t="shared" si="121"/>
        <v>0</v>
      </c>
      <c r="AR446" s="86">
        <f t="shared" si="122"/>
        <v>0</v>
      </c>
      <c r="AS446" s="94">
        <f t="shared" si="123"/>
        <v>0</v>
      </c>
      <c r="AT446" s="94">
        <f t="shared" si="124"/>
        <v>0</v>
      </c>
      <c r="AU446" s="94">
        <f t="shared" si="125"/>
        <v>0</v>
      </c>
    </row>
    <row r="447" spans="1:48" x14ac:dyDescent="0.3">
      <c r="A447" s="85" t="str">
        <f>_xlfn.XLOOKUP(B447,'Country codes &amp; Data sources'!G:G,'Country codes &amp; Data sources'!H:H,,0)</f>
        <v>Gambia</v>
      </c>
      <c r="B447" s="85" t="s">
        <v>171</v>
      </c>
      <c r="C447" s="86">
        <v>2061027</v>
      </c>
      <c r="D447" s="85" t="s">
        <v>136</v>
      </c>
      <c r="E447" s="87">
        <v>0</v>
      </c>
      <c r="F447" s="88">
        <v>2124869.5</v>
      </c>
      <c r="G447" s="87">
        <v>0</v>
      </c>
      <c r="I447" s="87">
        <v>0</v>
      </c>
      <c r="K447" s="87">
        <v>32</v>
      </c>
      <c r="M447" s="87">
        <v>0</v>
      </c>
      <c r="O447" s="87">
        <v>0</v>
      </c>
      <c r="P447" s="88">
        <v>2444915.5000000014</v>
      </c>
      <c r="Q447" s="87">
        <v>0</v>
      </c>
      <c r="R447" s="87">
        <f t="shared" si="108"/>
        <v>0</v>
      </c>
      <c r="T447" s="87">
        <v>149</v>
      </c>
      <c r="V447" s="87">
        <v>173</v>
      </c>
      <c r="X447" s="87">
        <v>172</v>
      </c>
      <c r="Y447" s="88">
        <v>2705991.9999999995</v>
      </c>
      <c r="Z447" s="87">
        <v>0</v>
      </c>
      <c r="AA447" s="87">
        <v>0</v>
      </c>
      <c r="AB447" s="89">
        <f t="shared" si="109"/>
        <v>32</v>
      </c>
      <c r="AC447" s="89">
        <f t="shared" si="110"/>
        <v>149</v>
      </c>
      <c r="AD447" s="89">
        <f t="shared" si="111"/>
        <v>173</v>
      </c>
      <c r="AE447" s="90">
        <f t="shared" si="112"/>
        <v>32</v>
      </c>
      <c r="AF447" s="90">
        <f t="shared" si="113"/>
        <v>2015</v>
      </c>
      <c r="AG447" s="90">
        <f t="shared" si="114"/>
        <v>149</v>
      </c>
      <c r="AH447" s="90">
        <f t="shared" si="115"/>
        <v>2019</v>
      </c>
      <c r="AI447" s="90">
        <f t="shared" si="116"/>
        <v>172</v>
      </c>
      <c r="AJ447" s="90">
        <f t="shared" si="117"/>
        <v>2021</v>
      </c>
      <c r="AK447" s="90" t="str">
        <f t="shared" si="118"/>
        <v/>
      </c>
      <c r="AL447" s="91">
        <f>IF(AK447="Adjust",(_xlfn.XLOOKUP(A447,'Adj factor'!A:A,'Adj factor'!I:I,,0)*AI447),'Master DataSheet'!AI447)</f>
        <v>172</v>
      </c>
      <c r="AM447" s="91">
        <f t="shared" si="119"/>
        <v>172</v>
      </c>
      <c r="AN447" s="92" t="str">
        <f t="shared" si="120"/>
        <v>Increasing</v>
      </c>
      <c r="AO447" s="93">
        <f>VLOOKUP(B447,'Growthrates source'!A$2:H$49,8,FALSE)</f>
        <v>-0.22530855667613492</v>
      </c>
      <c r="AP447" s="93">
        <f>VLOOKUP(B447,'Growthrates source'!A$2:I$49,9,FALSE)</f>
        <v>0.45056501122921166</v>
      </c>
      <c r="AQ447" s="86">
        <f t="shared" si="121"/>
        <v>0</v>
      </c>
      <c r="AR447" s="86">
        <f t="shared" si="122"/>
        <v>0</v>
      </c>
      <c r="AS447" s="94">
        <f t="shared" si="123"/>
        <v>0.15059748375135509</v>
      </c>
      <c r="AT447" s="94">
        <f t="shared" si="124"/>
        <v>0.60942801499683696</v>
      </c>
      <c r="AU447" s="94">
        <f t="shared" si="125"/>
        <v>0.63562641722518043</v>
      </c>
    </row>
    <row r="448" spans="1:48" x14ac:dyDescent="0.3">
      <c r="A448" s="85" t="str">
        <f>_xlfn.XLOOKUP(B448,'Country codes &amp; Data sources'!G:G,'Country codes &amp; Data sources'!H:H,,0)</f>
        <v>Gambia</v>
      </c>
      <c r="B448" s="85" t="s">
        <v>171</v>
      </c>
      <c r="C448" s="86">
        <v>2061028</v>
      </c>
      <c r="D448" s="85" t="s">
        <v>207</v>
      </c>
      <c r="E448" s="87">
        <v>0</v>
      </c>
      <c r="F448" s="88">
        <v>2124869.5</v>
      </c>
      <c r="G448" s="87">
        <v>0</v>
      </c>
      <c r="I448" s="87">
        <v>0</v>
      </c>
      <c r="K448" s="87">
        <v>0</v>
      </c>
      <c r="M448" s="87">
        <v>0</v>
      </c>
      <c r="O448" s="87">
        <v>0</v>
      </c>
      <c r="P448" s="88">
        <v>2444915.5000000014</v>
      </c>
      <c r="Q448" s="87">
        <v>0</v>
      </c>
      <c r="R448" s="87">
        <f t="shared" si="108"/>
        <v>0</v>
      </c>
      <c r="T448" s="87">
        <v>0</v>
      </c>
      <c r="V448" s="87">
        <v>0</v>
      </c>
      <c r="X448" s="87">
        <v>0</v>
      </c>
      <c r="Y448" s="88">
        <v>2705991.9999999995</v>
      </c>
      <c r="Z448" s="87">
        <v>0</v>
      </c>
      <c r="AA448" s="87">
        <v>0</v>
      </c>
      <c r="AB448" s="89">
        <f t="shared" si="109"/>
        <v>0</v>
      </c>
      <c r="AC448" s="89">
        <f t="shared" si="110"/>
        <v>0</v>
      </c>
      <c r="AD448" s="89">
        <f t="shared" si="111"/>
        <v>0</v>
      </c>
      <c r="AE448" s="90">
        <f t="shared" si="112"/>
        <v>0</v>
      </c>
      <c r="AF448" s="90" t="str">
        <f t="shared" si="113"/>
        <v/>
      </c>
      <c r="AG448" s="90">
        <f t="shared" si="114"/>
        <v>0</v>
      </c>
      <c r="AH448" s="90" t="str">
        <f t="shared" si="115"/>
        <v/>
      </c>
      <c r="AI448" s="90">
        <f t="shared" si="116"/>
        <v>0</v>
      </c>
      <c r="AJ448" s="90" t="str">
        <f t="shared" si="117"/>
        <v/>
      </c>
      <c r="AK448" s="90" t="str">
        <f t="shared" si="118"/>
        <v/>
      </c>
      <c r="AL448" s="91">
        <f>IF(AK448="Adjust",(_xlfn.XLOOKUP(A448,'Adj factor'!A:A,'Adj factor'!I:I,,0)*AI448),'Master DataSheet'!AI448)</f>
        <v>0</v>
      </c>
      <c r="AM448" s="91">
        <f t="shared" si="119"/>
        <v>0</v>
      </c>
      <c r="AN448" s="92" t="str">
        <f t="shared" si="120"/>
        <v>No change</v>
      </c>
      <c r="AO448" s="93">
        <f>VLOOKUP(B448,'Growthrates source'!A$2:H$49,8,FALSE)</f>
        <v>-0.22530855667613492</v>
      </c>
      <c r="AP448" s="93">
        <f>VLOOKUP(B448,'Growthrates source'!A$2:I$49,9,FALSE)</f>
        <v>0.45056501122921166</v>
      </c>
      <c r="AQ448" s="86">
        <f t="shared" si="121"/>
        <v>0</v>
      </c>
      <c r="AR448" s="86">
        <f t="shared" si="122"/>
        <v>0</v>
      </c>
      <c r="AS448" s="94">
        <f t="shared" si="123"/>
        <v>0</v>
      </c>
      <c r="AT448" s="94">
        <f t="shared" si="124"/>
        <v>0</v>
      </c>
      <c r="AU448" s="94">
        <f t="shared" si="125"/>
        <v>0</v>
      </c>
    </row>
    <row r="449" spans="1:47" x14ac:dyDescent="0.3">
      <c r="A449" s="85" t="str">
        <f>_xlfn.XLOOKUP(B449,'Country codes &amp; Data sources'!G:G,'Country codes &amp; Data sources'!H:H,,0)</f>
        <v>Gambia</v>
      </c>
      <c r="B449" s="85" t="s">
        <v>171</v>
      </c>
      <c r="C449" s="86">
        <v>2061029</v>
      </c>
      <c r="D449" s="85" t="s">
        <v>141</v>
      </c>
      <c r="E449" s="87">
        <v>0</v>
      </c>
      <c r="F449" s="88">
        <v>2124869.5</v>
      </c>
      <c r="G449" s="87">
        <v>0</v>
      </c>
      <c r="I449" s="87">
        <v>0</v>
      </c>
      <c r="K449" s="87">
        <v>17</v>
      </c>
      <c r="M449" s="87">
        <v>0</v>
      </c>
      <c r="O449" s="87">
        <v>0</v>
      </c>
      <c r="P449" s="88">
        <v>2444915.5000000014</v>
      </c>
      <c r="Q449" s="87">
        <v>0</v>
      </c>
      <c r="R449" s="87">
        <f t="shared" si="108"/>
        <v>0</v>
      </c>
      <c r="T449" s="87">
        <v>16</v>
      </c>
      <c r="V449" s="87">
        <v>20</v>
      </c>
      <c r="X449" s="87">
        <v>18</v>
      </c>
      <c r="Y449" s="88">
        <v>2705991.9999999995</v>
      </c>
      <c r="Z449" s="87">
        <v>0</v>
      </c>
      <c r="AA449" s="87">
        <v>0</v>
      </c>
      <c r="AB449" s="89">
        <f t="shared" si="109"/>
        <v>17</v>
      </c>
      <c r="AC449" s="89">
        <f t="shared" si="110"/>
        <v>16</v>
      </c>
      <c r="AD449" s="89">
        <f t="shared" si="111"/>
        <v>20</v>
      </c>
      <c r="AE449" s="90">
        <f t="shared" si="112"/>
        <v>17</v>
      </c>
      <c r="AF449" s="90">
        <f t="shared" si="113"/>
        <v>2015</v>
      </c>
      <c r="AG449" s="90">
        <f t="shared" si="114"/>
        <v>16</v>
      </c>
      <c r="AH449" s="90">
        <f t="shared" si="115"/>
        <v>2019</v>
      </c>
      <c r="AI449" s="90">
        <f t="shared" si="116"/>
        <v>18</v>
      </c>
      <c r="AJ449" s="90">
        <f t="shared" si="117"/>
        <v>2021</v>
      </c>
      <c r="AK449" s="90" t="str">
        <f t="shared" si="118"/>
        <v/>
      </c>
      <c r="AL449" s="91">
        <f>IF(AK449="Adjust",(_xlfn.XLOOKUP(A449,'Adj factor'!A:A,'Adj factor'!I:I,,0)*AI449),'Master DataSheet'!AI449)</f>
        <v>18</v>
      </c>
      <c r="AM449" s="91">
        <f t="shared" si="119"/>
        <v>18</v>
      </c>
      <c r="AN449" s="92" t="str">
        <f t="shared" si="120"/>
        <v>Increasing</v>
      </c>
      <c r="AO449" s="93">
        <f>VLOOKUP(B449,'Growthrates source'!A$2:H$49,8,FALSE)</f>
        <v>-0.22530855667613492</v>
      </c>
      <c r="AP449" s="93">
        <f>VLOOKUP(B449,'Growthrates source'!A$2:I$49,9,FALSE)</f>
        <v>0.45056501122921166</v>
      </c>
      <c r="AQ449" s="86">
        <f t="shared" si="121"/>
        <v>0</v>
      </c>
      <c r="AR449" s="86">
        <f t="shared" si="122"/>
        <v>0</v>
      </c>
      <c r="AS449" s="94">
        <f t="shared" si="123"/>
        <v>8.0004913242907386E-2</v>
      </c>
      <c r="AT449" s="94">
        <f t="shared" si="124"/>
        <v>6.5441934496304643E-2</v>
      </c>
      <c r="AU449" s="94">
        <f t="shared" si="125"/>
        <v>6.6519043663100269E-2</v>
      </c>
    </row>
    <row r="450" spans="1:47" x14ac:dyDescent="0.3">
      <c r="A450" s="85" t="str">
        <f>_xlfn.XLOOKUP(B450,'Country codes &amp; Data sources'!G:G,'Country codes &amp; Data sources'!H:H,,0)</f>
        <v>Gambia</v>
      </c>
      <c r="B450" s="85" t="s">
        <v>171</v>
      </c>
      <c r="C450" s="86">
        <v>2061030</v>
      </c>
      <c r="D450" s="85" t="s">
        <v>208</v>
      </c>
      <c r="E450" s="87">
        <v>0</v>
      </c>
      <c r="F450" s="88">
        <v>2124869.5</v>
      </c>
      <c r="G450" s="87">
        <v>0</v>
      </c>
      <c r="I450" s="87">
        <v>0</v>
      </c>
      <c r="K450" s="87">
        <v>0</v>
      </c>
      <c r="M450" s="87">
        <v>0</v>
      </c>
      <c r="O450" s="87">
        <v>0</v>
      </c>
      <c r="P450" s="88">
        <v>2444915.5000000014</v>
      </c>
      <c r="Q450" s="87">
        <v>0</v>
      </c>
      <c r="R450" s="87">
        <f t="shared" si="108"/>
        <v>0</v>
      </c>
      <c r="T450" s="87">
        <v>0</v>
      </c>
      <c r="V450" s="87">
        <v>0</v>
      </c>
      <c r="X450" s="87">
        <v>0</v>
      </c>
      <c r="Y450" s="88">
        <v>2705991.9999999995</v>
      </c>
      <c r="Z450" s="87">
        <v>0</v>
      </c>
      <c r="AA450" s="87">
        <v>0</v>
      </c>
      <c r="AB450" s="89">
        <f t="shared" si="109"/>
        <v>0</v>
      </c>
      <c r="AC450" s="89">
        <f t="shared" si="110"/>
        <v>0</v>
      </c>
      <c r="AD450" s="89">
        <f t="shared" si="111"/>
        <v>0</v>
      </c>
      <c r="AE450" s="90">
        <f t="shared" si="112"/>
        <v>0</v>
      </c>
      <c r="AF450" s="90" t="str">
        <f t="shared" si="113"/>
        <v/>
      </c>
      <c r="AG450" s="90">
        <f t="shared" si="114"/>
        <v>0</v>
      </c>
      <c r="AH450" s="90" t="str">
        <f t="shared" si="115"/>
        <v/>
      </c>
      <c r="AI450" s="90">
        <f t="shared" si="116"/>
        <v>0</v>
      </c>
      <c r="AJ450" s="90" t="str">
        <f t="shared" si="117"/>
        <v/>
      </c>
      <c r="AK450" s="90" t="str">
        <f t="shared" si="118"/>
        <v/>
      </c>
      <c r="AL450" s="91">
        <f>IF(AK450="Adjust",(_xlfn.XLOOKUP(A450,'Adj factor'!A:A,'Adj factor'!I:I,,0)*AI450),'Master DataSheet'!AI450)</f>
        <v>0</v>
      </c>
      <c r="AM450" s="91">
        <f t="shared" si="119"/>
        <v>0</v>
      </c>
      <c r="AN450" s="92" t="str">
        <f t="shared" si="120"/>
        <v>No change</v>
      </c>
      <c r="AO450" s="93">
        <f>VLOOKUP(B450,'Growthrates source'!A$2:H$49,8,FALSE)</f>
        <v>-0.22530855667613492</v>
      </c>
      <c r="AP450" s="93">
        <f>VLOOKUP(B450,'Growthrates source'!A$2:I$49,9,FALSE)</f>
        <v>0.45056501122921166</v>
      </c>
      <c r="AQ450" s="86">
        <f t="shared" si="121"/>
        <v>0</v>
      </c>
      <c r="AR450" s="86">
        <f t="shared" si="122"/>
        <v>0</v>
      </c>
      <c r="AS450" s="94">
        <f t="shared" si="123"/>
        <v>0</v>
      </c>
      <c r="AT450" s="94">
        <f t="shared" si="124"/>
        <v>0</v>
      </c>
      <c r="AU450" s="94">
        <f t="shared" si="125"/>
        <v>0</v>
      </c>
    </row>
    <row r="451" spans="1:47" x14ac:dyDescent="0.3">
      <c r="A451" s="85" t="str">
        <f>_xlfn.XLOOKUP(B451,'Country codes &amp; Data sources'!G:G,'Country codes &amp; Data sources'!H:H,,0)</f>
        <v>Gambia</v>
      </c>
      <c r="B451" s="85" t="s">
        <v>171</v>
      </c>
      <c r="C451" s="86">
        <v>2061031</v>
      </c>
      <c r="D451" s="85" t="s">
        <v>209</v>
      </c>
      <c r="E451" s="87">
        <v>0</v>
      </c>
      <c r="F451" s="88">
        <v>2124869.5</v>
      </c>
      <c r="G451" s="87">
        <v>0</v>
      </c>
      <c r="I451" s="87">
        <v>0</v>
      </c>
      <c r="K451" s="87">
        <v>0</v>
      </c>
      <c r="M451" s="87">
        <v>0</v>
      </c>
      <c r="O451" s="87">
        <v>0</v>
      </c>
      <c r="P451" s="88">
        <v>2444915.5000000014</v>
      </c>
      <c r="Q451" s="87">
        <v>0</v>
      </c>
      <c r="R451" s="87">
        <f t="shared" ref="R451:R514" si="126">MAX(Q451,AA451)</f>
        <v>0</v>
      </c>
      <c r="T451" s="87">
        <v>0</v>
      </c>
      <c r="V451" s="87">
        <v>2253</v>
      </c>
      <c r="X451" s="87">
        <v>2193</v>
      </c>
      <c r="Y451" s="88">
        <v>2705991.9999999995</v>
      </c>
      <c r="Z451" s="87">
        <v>0</v>
      </c>
      <c r="AA451" s="87">
        <v>0</v>
      </c>
      <c r="AB451" s="89">
        <f t="shared" ref="AB451:AB514" si="127">MAX(G451,E451,I451,K451)</f>
        <v>0</v>
      </c>
      <c r="AC451" s="89">
        <f t="shared" ref="AC451:AC514" si="128">MAX(M451,O451,Q451,T451)</f>
        <v>0</v>
      </c>
      <c r="AD451" s="89">
        <f t="shared" ref="AD451:AD514" si="129">MAX(V451,X451,Z451)</f>
        <v>2253</v>
      </c>
      <c r="AE451" s="90">
        <f t="shared" ref="AE451:AE514" si="130">IF(G451&gt;0,G451,IF(E451&gt;0,E451,IF(I451&gt;0,I451,K451)))</f>
        <v>0</v>
      </c>
      <c r="AF451" s="90" t="str">
        <f t="shared" ref="AF451:AF514" si="131">IF(AE451&gt;0,_xlfn.XLOOKUP(AE451,$B451:$K451,$B$1:$K$1,,0),"")</f>
        <v/>
      </c>
      <c r="AG451" s="90">
        <f t="shared" ref="AG451:AG514" si="132">IF(R451&gt;0,R451,IF(O451&gt;0,O451,T451))</f>
        <v>0</v>
      </c>
      <c r="AH451" s="90" t="str">
        <f t="shared" ref="AH451:AH514" si="133">IF(AG451&gt;0,_xlfn.XLOOKUP(AG451,$L451:$T451,$L$1:$T$1,,0),"")</f>
        <v/>
      </c>
      <c r="AI451" s="90">
        <f t="shared" ref="AI451:AI514" si="134">IF((IF(Z451&gt;0,Z451,IF(X451&gt;0,X451,IF(V451&gt;0,V451,T451))))=0,AG451,IF(Z451&gt;0,Z451,IF(X451&gt;0,X451,IF(V451&gt;0,V451,T451))))</f>
        <v>2193</v>
      </c>
      <c r="AJ451" s="90">
        <f t="shared" ref="AJ451:AJ514" si="135">IFERROR(IF(AI451&gt;0,_xlfn.XLOOKUP(AI451,$V451:$Z451,$V$1:$Z$1,,0),""),AH451)</f>
        <v>2021</v>
      </c>
      <c r="AK451" s="90" t="str">
        <f t="shared" ref="AK451:AK514" si="136">IF(AI451&lt;AG451,"Adjust","")</f>
        <v/>
      </c>
      <c r="AL451" s="91">
        <f>IF(AK451="Adjust",(_xlfn.XLOOKUP(A451,'Adj factor'!A:A,'Adj factor'!I:I,,0)*AI451),'Master DataSheet'!AI451)</f>
        <v>2193</v>
      </c>
      <c r="AM451" s="91">
        <f t="shared" ref="AM451:AM514" si="137">IF(AL451&lt;AG451,AG451,AL451)</f>
        <v>2193</v>
      </c>
      <c r="AN451" s="92" t="str">
        <f t="shared" ref="AN451:AN514" si="138">IF(AL451&gt;AG451,"Increasing",IF(AL451&lt;AG451,"Decreasing","No change"))</f>
        <v>Increasing</v>
      </c>
      <c r="AO451" s="93">
        <f>VLOOKUP(B451,'Growthrates source'!A$2:H$49,8,FALSE)</f>
        <v>-0.22530855667613492</v>
      </c>
      <c r="AP451" s="93">
        <f>VLOOKUP(B451,'Growthrates source'!A$2:I$49,9,FALSE)</f>
        <v>0.45056501122921166</v>
      </c>
      <c r="AQ451" s="86">
        <f t="shared" ref="AQ451:AQ514" si="139">AA451/(EXP(AO451*5))</f>
        <v>0</v>
      </c>
      <c r="AR451" s="86">
        <f t="shared" ref="AR451:AR514" si="140">AA451*EXP(AP451*3)</f>
        <v>0</v>
      </c>
      <c r="AS451" s="94">
        <f t="shared" ref="AS451:AS514" si="141">(AE451*10000)/F451</f>
        <v>0</v>
      </c>
      <c r="AT451" s="94">
        <f t="shared" ref="AT451:AT514" si="142">(AG451*10000)/P451</f>
        <v>0</v>
      </c>
      <c r="AU451" s="94">
        <f t="shared" ref="AU451:AU514" si="143">(AM451*10000)/Y451</f>
        <v>8.1042368196210504</v>
      </c>
    </row>
    <row r="452" spans="1:47" x14ac:dyDescent="0.3">
      <c r="A452" s="85" t="str">
        <f>_xlfn.XLOOKUP(B452,'Country codes &amp; Data sources'!G:G,'Country codes &amp; Data sources'!H:H,,0)</f>
        <v>Gambia</v>
      </c>
      <c r="B452" s="85" t="s">
        <v>171</v>
      </c>
      <c r="C452" s="86">
        <v>2061032</v>
      </c>
      <c r="D452" s="85" t="s">
        <v>134</v>
      </c>
      <c r="E452" s="87">
        <v>0</v>
      </c>
      <c r="F452" s="88">
        <v>2124869.5</v>
      </c>
      <c r="G452" s="87">
        <v>0</v>
      </c>
      <c r="I452" s="87">
        <v>0</v>
      </c>
      <c r="K452" s="87">
        <v>141</v>
      </c>
      <c r="M452" s="87">
        <v>0</v>
      </c>
      <c r="O452" s="87">
        <v>0</v>
      </c>
      <c r="P452" s="88">
        <v>2444915.5000000014</v>
      </c>
      <c r="Q452" s="87">
        <v>0</v>
      </c>
      <c r="R452" s="87">
        <f t="shared" si="126"/>
        <v>138</v>
      </c>
      <c r="T452" s="87">
        <v>0</v>
      </c>
      <c r="V452" s="87">
        <v>0</v>
      </c>
      <c r="X452" s="87">
        <v>0</v>
      </c>
      <c r="Y452" s="88">
        <v>2705991.9999999995</v>
      </c>
      <c r="Z452" s="87">
        <v>0</v>
      </c>
      <c r="AA452" s="87">
        <v>138</v>
      </c>
      <c r="AB452" s="89">
        <f t="shared" si="127"/>
        <v>141</v>
      </c>
      <c r="AC452" s="89">
        <f t="shared" si="128"/>
        <v>0</v>
      </c>
      <c r="AD452" s="89">
        <f t="shared" si="129"/>
        <v>0</v>
      </c>
      <c r="AE452" s="90">
        <f t="shared" si="130"/>
        <v>141</v>
      </c>
      <c r="AF452" s="90">
        <f t="shared" si="131"/>
        <v>2015</v>
      </c>
      <c r="AG452" s="90">
        <f t="shared" si="132"/>
        <v>138</v>
      </c>
      <c r="AH452" s="90" t="str">
        <f t="shared" si="133"/>
        <v>2018 (triag)</v>
      </c>
      <c r="AI452" s="90">
        <f t="shared" si="134"/>
        <v>138</v>
      </c>
      <c r="AJ452" s="90" t="str">
        <f t="shared" si="135"/>
        <v>2018 (triag)</v>
      </c>
      <c r="AK452" s="90" t="str">
        <f t="shared" si="136"/>
        <v/>
      </c>
      <c r="AL452" s="91">
        <f>IF(AK452="Adjust",(_xlfn.XLOOKUP(A452,'Adj factor'!A:A,'Adj factor'!I:I,,0)*AI452),'Master DataSheet'!AI452)</f>
        <v>138</v>
      </c>
      <c r="AM452" s="91">
        <f t="shared" si="137"/>
        <v>138</v>
      </c>
      <c r="AN452" s="92" t="str">
        <f t="shared" si="138"/>
        <v>No change</v>
      </c>
      <c r="AO452" s="93">
        <f>VLOOKUP(B452,'Growthrates source'!A$2:H$49,8,FALSE)</f>
        <v>-0.22530855667613492</v>
      </c>
      <c r="AP452" s="93">
        <f>VLOOKUP(B452,'Growthrates source'!A$2:I$49,9,FALSE)</f>
        <v>0.45056501122921166</v>
      </c>
      <c r="AQ452" s="86">
        <f t="shared" si="139"/>
        <v>425.72622209867211</v>
      </c>
      <c r="AR452" s="86">
        <f t="shared" si="140"/>
        <v>533.22779672860349</v>
      </c>
      <c r="AS452" s="94">
        <f t="shared" si="141"/>
        <v>0.66357016277940839</v>
      </c>
      <c r="AT452" s="94">
        <f t="shared" si="142"/>
        <v>0.56443668503062749</v>
      </c>
      <c r="AU452" s="94">
        <f t="shared" si="143"/>
        <v>0.50997933475043544</v>
      </c>
    </row>
    <row r="453" spans="1:47" x14ac:dyDescent="0.3">
      <c r="A453" s="85" t="str">
        <f>_xlfn.XLOOKUP(B453,'Country codes &amp; Data sources'!G:G,'Country codes &amp; Data sources'!H:H,,0)</f>
        <v>Gambia</v>
      </c>
      <c r="B453" s="85" t="s">
        <v>171</v>
      </c>
      <c r="C453" s="86">
        <v>2061033</v>
      </c>
      <c r="D453" s="85" t="s">
        <v>142</v>
      </c>
      <c r="E453" s="87">
        <v>0</v>
      </c>
      <c r="F453" s="88">
        <v>2124869.5</v>
      </c>
      <c r="G453" s="87">
        <v>0</v>
      </c>
      <c r="I453" s="87">
        <v>0</v>
      </c>
      <c r="K453" s="87">
        <v>0</v>
      </c>
      <c r="M453" s="87">
        <v>0</v>
      </c>
      <c r="O453" s="87">
        <v>0</v>
      </c>
      <c r="P453" s="88">
        <v>2444915.5000000014</v>
      </c>
      <c r="Q453" s="87">
        <v>0</v>
      </c>
      <c r="R453" s="87">
        <f t="shared" si="126"/>
        <v>39</v>
      </c>
      <c r="T453" s="87">
        <v>0</v>
      </c>
      <c r="V453" s="87">
        <v>0</v>
      </c>
      <c r="X453" s="87">
        <v>0</v>
      </c>
      <c r="Y453" s="88">
        <v>2705991.9999999995</v>
      </c>
      <c r="Z453" s="87">
        <v>0</v>
      </c>
      <c r="AA453" s="87">
        <v>39</v>
      </c>
      <c r="AB453" s="89">
        <f t="shared" si="127"/>
        <v>0</v>
      </c>
      <c r="AC453" s="89">
        <f t="shared" si="128"/>
        <v>0</v>
      </c>
      <c r="AD453" s="89">
        <f t="shared" si="129"/>
        <v>0</v>
      </c>
      <c r="AE453" s="90">
        <f t="shared" si="130"/>
        <v>0</v>
      </c>
      <c r="AF453" s="90" t="str">
        <f t="shared" si="131"/>
        <v/>
      </c>
      <c r="AG453" s="90">
        <f t="shared" si="132"/>
        <v>39</v>
      </c>
      <c r="AH453" s="90" t="str">
        <f t="shared" si="133"/>
        <v>2018 (triag)</v>
      </c>
      <c r="AI453" s="90">
        <f t="shared" si="134"/>
        <v>39</v>
      </c>
      <c r="AJ453" s="90" t="str">
        <f t="shared" si="135"/>
        <v>2018 (triag)</v>
      </c>
      <c r="AK453" s="90" t="str">
        <f t="shared" si="136"/>
        <v/>
      </c>
      <c r="AL453" s="91">
        <f>IF(AK453="Adjust",(_xlfn.XLOOKUP(A453,'Adj factor'!A:A,'Adj factor'!I:I,,0)*AI453),'Master DataSheet'!AI453)</f>
        <v>39</v>
      </c>
      <c r="AM453" s="91">
        <f t="shared" si="137"/>
        <v>39</v>
      </c>
      <c r="AN453" s="92" t="str">
        <f t="shared" si="138"/>
        <v>No change</v>
      </c>
      <c r="AO453" s="93">
        <f>VLOOKUP(B453,'Growthrates source'!A$2:H$49,8,FALSE)</f>
        <v>-0.22530855667613492</v>
      </c>
      <c r="AP453" s="93">
        <f>VLOOKUP(B453,'Growthrates source'!A$2:I$49,9,FALSE)</f>
        <v>0.45056501122921166</v>
      </c>
      <c r="AQ453" s="86">
        <f t="shared" si="139"/>
        <v>120.31393233223342</v>
      </c>
      <c r="AR453" s="86">
        <f t="shared" si="140"/>
        <v>150.69481211895317</v>
      </c>
      <c r="AS453" s="94">
        <f t="shared" si="141"/>
        <v>0</v>
      </c>
      <c r="AT453" s="94">
        <f t="shared" si="142"/>
        <v>0.15951471533474257</v>
      </c>
      <c r="AU453" s="94">
        <f t="shared" si="143"/>
        <v>0.14412459460338392</v>
      </c>
    </row>
    <row r="454" spans="1:47" x14ac:dyDescent="0.3">
      <c r="A454" s="85" t="str">
        <f>_xlfn.XLOOKUP(B454,'Country codes &amp; Data sources'!G:G,'Country codes &amp; Data sources'!H:H,,0)</f>
        <v>Gambia</v>
      </c>
      <c r="B454" s="85" t="s">
        <v>171</v>
      </c>
      <c r="C454" s="86">
        <v>2061034</v>
      </c>
      <c r="D454" s="85" t="s">
        <v>83</v>
      </c>
      <c r="E454" s="87">
        <v>0</v>
      </c>
      <c r="F454" s="88">
        <v>2124869.5</v>
      </c>
      <c r="G454" s="87">
        <v>0</v>
      </c>
      <c r="I454" s="87">
        <v>0</v>
      </c>
      <c r="K454" s="87">
        <v>20</v>
      </c>
      <c r="M454" s="87">
        <v>0</v>
      </c>
      <c r="O454" s="87">
        <v>0</v>
      </c>
      <c r="P454" s="88">
        <v>2444915.5000000014</v>
      </c>
      <c r="Q454" s="87">
        <v>0</v>
      </c>
      <c r="R454" s="87">
        <f t="shared" si="126"/>
        <v>0</v>
      </c>
      <c r="T454" s="87">
        <v>23</v>
      </c>
      <c r="V454" s="87">
        <v>32</v>
      </c>
      <c r="X454" s="87">
        <v>24</v>
      </c>
      <c r="Y454" s="88">
        <v>2705991.9999999995</v>
      </c>
      <c r="Z454" s="87">
        <v>0</v>
      </c>
      <c r="AA454" s="87">
        <v>0</v>
      </c>
      <c r="AB454" s="89">
        <f t="shared" si="127"/>
        <v>20</v>
      </c>
      <c r="AC454" s="89">
        <f t="shared" si="128"/>
        <v>23</v>
      </c>
      <c r="AD454" s="89">
        <f t="shared" si="129"/>
        <v>32</v>
      </c>
      <c r="AE454" s="90">
        <f t="shared" si="130"/>
        <v>20</v>
      </c>
      <c r="AF454" s="90">
        <f t="shared" si="131"/>
        <v>2015</v>
      </c>
      <c r="AG454" s="90">
        <f t="shared" si="132"/>
        <v>23</v>
      </c>
      <c r="AH454" s="90">
        <f t="shared" si="133"/>
        <v>2019</v>
      </c>
      <c r="AI454" s="90">
        <f t="shared" si="134"/>
        <v>24</v>
      </c>
      <c r="AJ454" s="90">
        <f t="shared" si="135"/>
        <v>2021</v>
      </c>
      <c r="AK454" s="90" t="str">
        <f t="shared" si="136"/>
        <v/>
      </c>
      <c r="AL454" s="91">
        <f>IF(AK454="Adjust",(_xlfn.XLOOKUP(A454,'Adj factor'!A:A,'Adj factor'!I:I,,0)*AI454),'Master DataSheet'!AI454)</f>
        <v>24</v>
      </c>
      <c r="AM454" s="91">
        <f t="shared" si="137"/>
        <v>24</v>
      </c>
      <c r="AN454" s="92" t="str">
        <f t="shared" si="138"/>
        <v>Increasing</v>
      </c>
      <c r="AO454" s="93">
        <f>VLOOKUP(B454,'Growthrates source'!A$2:H$49,8,FALSE)</f>
        <v>-0.22530855667613492</v>
      </c>
      <c r="AP454" s="93">
        <f>VLOOKUP(B454,'Growthrates source'!A$2:I$49,9,FALSE)</f>
        <v>0.45056501122921166</v>
      </c>
      <c r="AQ454" s="86">
        <f t="shared" si="139"/>
        <v>0</v>
      </c>
      <c r="AR454" s="86">
        <f t="shared" si="140"/>
        <v>0</v>
      </c>
      <c r="AS454" s="94">
        <f t="shared" si="141"/>
        <v>9.412342734459693E-2</v>
      </c>
      <c r="AT454" s="94">
        <f t="shared" si="142"/>
        <v>9.4072780838437925E-2</v>
      </c>
      <c r="AU454" s="94">
        <f t="shared" si="143"/>
        <v>8.8692058217467035E-2</v>
      </c>
    </row>
    <row r="455" spans="1:47" x14ac:dyDescent="0.3">
      <c r="A455" s="85" t="str">
        <f>_xlfn.XLOOKUP(B455,'Country codes &amp; Data sources'!G:G,'Country codes &amp; Data sources'!H:H,,0)</f>
        <v>Gambia</v>
      </c>
      <c r="B455" s="85" t="s">
        <v>171</v>
      </c>
      <c r="C455" s="86">
        <v>2061035</v>
      </c>
      <c r="D455" s="85" t="s">
        <v>84</v>
      </c>
      <c r="E455" s="87">
        <v>127</v>
      </c>
      <c r="F455" s="88">
        <v>2124869.5</v>
      </c>
      <c r="G455" s="87">
        <v>0</v>
      </c>
      <c r="I455" s="87">
        <v>0</v>
      </c>
      <c r="K455" s="87">
        <v>0</v>
      </c>
      <c r="M455" s="87">
        <v>0</v>
      </c>
      <c r="O455" s="87">
        <v>0</v>
      </c>
      <c r="P455" s="88">
        <v>2444915.5000000014</v>
      </c>
      <c r="Q455" s="87">
        <v>0</v>
      </c>
      <c r="R455" s="87">
        <f t="shared" si="126"/>
        <v>0</v>
      </c>
      <c r="T455" s="87">
        <v>0</v>
      </c>
      <c r="V455" s="87">
        <v>0</v>
      </c>
      <c r="X455" s="87">
        <v>0</v>
      </c>
      <c r="Y455" s="88">
        <v>2705991.9999999995</v>
      </c>
      <c r="Z455" s="87">
        <v>0</v>
      </c>
      <c r="AA455" s="87">
        <v>0</v>
      </c>
      <c r="AB455" s="89">
        <f t="shared" si="127"/>
        <v>127</v>
      </c>
      <c r="AC455" s="89">
        <f t="shared" si="128"/>
        <v>0</v>
      </c>
      <c r="AD455" s="89">
        <f t="shared" si="129"/>
        <v>0</v>
      </c>
      <c r="AE455" s="90">
        <f t="shared" si="130"/>
        <v>127</v>
      </c>
      <c r="AF455" s="90">
        <f t="shared" si="131"/>
        <v>2012</v>
      </c>
      <c r="AG455" s="90">
        <f t="shared" si="132"/>
        <v>0</v>
      </c>
      <c r="AH455" s="90" t="str">
        <f t="shared" si="133"/>
        <v/>
      </c>
      <c r="AI455" s="90">
        <f t="shared" si="134"/>
        <v>0</v>
      </c>
      <c r="AJ455" s="90" t="str">
        <f t="shared" si="135"/>
        <v/>
      </c>
      <c r="AK455" s="90" t="str">
        <f t="shared" si="136"/>
        <v/>
      </c>
      <c r="AL455" s="91">
        <f>IF(AK455="Adjust",(_xlfn.XLOOKUP(A455,'Adj factor'!A:A,'Adj factor'!I:I,,0)*AI455),'Master DataSheet'!AI455)</f>
        <v>0</v>
      </c>
      <c r="AM455" s="91">
        <f t="shared" si="137"/>
        <v>0</v>
      </c>
      <c r="AN455" s="92" t="str">
        <f t="shared" si="138"/>
        <v>No change</v>
      </c>
      <c r="AO455" s="93">
        <f>VLOOKUP(B455,'Growthrates source'!A$2:H$49,8,FALSE)</f>
        <v>-0.22530855667613492</v>
      </c>
      <c r="AP455" s="93">
        <f>VLOOKUP(B455,'Growthrates source'!A$2:I$49,9,FALSE)</f>
        <v>0.45056501122921166</v>
      </c>
      <c r="AQ455" s="86">
        <f t="shared" si="139"/>
        <v>0</v>
      </c>
      <c r="AR455" s="86">
        <f t="shared" si="140"/>
        <v>0</v>
      </c>
      <c r="AS455" s="94">
        <f t="shared" si="141"/>
        <v>0.59768376363819053</v>
      </c>
      <c r="AT455" s="94">
        <f t="shared" si="142"/>
        <v>0</v>
      </c>
      <c r="AU455" s="94">
        <f t="shared" si="143"/>
        <v>0</v>
      </c>
    </row>
    <row r="456" spans="1:47" x14ac:dyDescent="0.3">
      <c r="A456" s="85" t="str">
        <f>_xlfn.XLOOKUP(B456,'Country codes &amp; Data sources'!G:G,'Country codes &amp; Data sources'!H:H,,0)</f>
        <v>Gambia</v>
      </c>
      <c r="B456" s="85" t="s">
        <v>171</v>
      </c>
      <c r="C456" s="86">
        <v>2061036</v>
      </c>
      <c r="D456" s="85" t="s">
        <v>126</v>
      </c>
      <c r="E456" s="87">
        <v>0</v>
      </c>
      <c r="F456" s="88">
        <v>2124869.5</v>
      </c>
      <c r="G456" s="87">
        <v>0</v>
      </c>
      <c r="I456" s="87">
        <v>0</v>
      </c>
      <c r="K456" s="87">
        <v>0</v>
      </c>
      <c r="M456" s="87">
        <v>0</v>
      </c>
      <c r="O456" s="87">
        <v>0</v>
      </c>
      <c r="P456" s="88">
        <v>2444915.5000000014</v>
      </c>
      <c r="Q456" s="87">
        <v>0</v>
      </c>
      <c r="R456" s="87">
        <f t="shared" si="126"/>
        <v>0</v>
      </c>
      <c r="T456" s="87">
        <v>0</v>
      </c>
      <c r="V456" s="87">
        <v>0</v>
      </c>
      <c r="X456" s="87">
        <v>0</v>
      </c>
      <c r="Y456" s="88">
        <v>2705991.9999999995</v>
      </c>
      <c r="Z456" s="87">
        <v>0</v>
      </c>
      <c r="AA456" s="87">
        <v>0</v>
      </c>
      <c r="AB456" s="89">
        <f t="shared" si="127"/>
        <v>0</v>
      </c>
      <c r="AC456" s="89">
        <f t="shared" si="128"/>
        <v>0</v>
      </c>
      <c r="AD456" s="89">
        <f t="shared" si="129"/>
        <v>0</v>
      </c>
      <c r="AE456" s="90">
        <f t="shared" si="130"/>
        <v>0</v>
      </c>
      <c r="AF456" s="90" t="str">
        <f t="shared" si="131"/>
        <v/>
      </c>
      <c r="AG456" s="90">
        <f t="shared" si="132"/>
        <v>0</v>
      </c>
      <c r="AH456" s="90" t="str">
        <f t="shared" si="133"/>
        <v/>
      </c>
      <c r="AI456" s="90">
        <f t="shared" si="134"/>
        <v>0</v>
      </c>
      <c r="AJ456" s="90" t="str">
        <f t="shared" si="135"/>
        <v/>
      </c>
      <c r="AK456" s="90" t="str">
        <f t="shared" si="136"/>
        <v/>
      </c>
      <c r="AL456" s="91">
        <f>IF(AK456="Adjust",(_xlfn.XLOOKUP(A456,'Adj factor'!A:A,'Adj factor'!I:I,,0)*AI456),'Master DataSheet'!AI456)</f>
        <v>0</v>
      </c>
      <c r="AM456" s="91">
        <f t="shared" si="137"/>
        <v>0</v>
      </c>
      <c r="AN456" s="92" t="str">
        <f t="shared" si="138"/>
        <v>No change</v>
      </c>
      <c r="AO456" s="93">
        <f>VLOOKUP(B456,'Growthrates source'!A$2:H$49,8,FALSE)</f>
        <v>-0.22530855667613492</v>
      </c>
      <c r="AP456" s="93">
        <f>VLOOKUP(B456,'Growthrates source'!A$2:I$49,9,FALSE)</f>
        <v>0.45056501122921166</v>
      </c>
      <c r="AQ456" s="86">
        <f t="shared" si="139"/>
        <v>0</v>
      </c>
      <c r="AR456" s="86">
        <f t="shared" si="140"/>
        <v>0</v>
      </c>
      <c r="AS456" s="94">
        <f t="shared" si="141"/>
        <v>0</v>
      </c>
      <c r="AT456" s="94">
        <f t="shared" si="142"/>
        <v>0</v>
      </c>
      <c r="AU456" s="94">
        <f t="shared" si="143"/>
        <v>0</v>
      </c>
    </row>
    <row r="457" spans="1:47" x14ac:dyDescent="0.3">
      <c r="A457" s="85" t="str">
        <f>_xlfn.XLOOKUP(B457,'Country codes &amp; Data sources'!G:G,'Country codes &amp; Data sources'!H:H,,0)</f>
        <v>Gambia</v>
      </c>
      <c r="B457" s="85" t="s">
        <v>171</v>
      </c>
      <c r="C457" s="86">
        <v>2061037</v>
      </c>
      <c r="D457" s="85" t="s">
        <v>87</v>
      </c>
      <c r="E457" s="87">
        <v>656</v>
      </c>
      <c r="F457" s="88">
        <v>2124869.5</v>
      </c>
      <c r="G457" s="87">
        <v>0</v>
      </c>
      <c r="I457" s="87">
        <v>0</v>
      </c>
      <c r="K457" s="87">
        <v>0</v>
      </c>
      <c r="M457" s="87">
        <v>0</v>
      </c>
      <c r="O457" s="87">
        <v>0</v>
      </c>
      <c r="P457" s="88">
        <v>2444915.5000000014</v>
      </c>
      <c r="Q457" s="87">
        <v>0</v>
      </c>
      <c r="R457" s="87">
        <f t="shared" si="126"/>
        <v>0</v>
      </c>
      <c r="T457" s="87">
        <v>0</v>
      </c>
      <c r="V457" s="87">
        <v>0</v>
      </c>
      <c r="X457" s="87">
        <v>0</v>
      </c>
      <c r="Y457" s="88">
        <v>2705991.9999999995</v>
      </c>
      <c r="Z457" s="87">
        <v>0</v>
      </c>
      <c r="AA457" s="87">
        <v>0</v>
      </c>
      <c r="AB457" s="89">
        <f t="shared" si="127"/>
        <v>656</v>
      </c>
      <c r="AC457" s="89">
        <f t="shared" si="128"/>
        <v>0</v>
      </c>
      <c r="AD457" s="89">
        <f t="shared" si="129"/>
        <v>0</v>
      </c>
      <c r="AE457" s="90">
        <f t="shared" si="130"/>
        <v>656</v>
      </c>
      <c r="AF457" s="90">
        <f t="shared" si="131"/>
        <v>2012</v>
      </c>
      <c r="AG457" s="90">
        <f t="shared" si="132"/>
        <v>0</v>
      </c>
      <c r="AH457" s="90" t="str">
        <f t="shared" si="133"/>
        <v/>
      </c>
      <c r="AI457" s="90">
        <f t="shared" si="134"/>
        <v>0</v>
      </c>
      <c r="AJ457" s="90" t="str">
        <f t="shared" si="135"/>
        <v/>
      </c>
      <c r="AK457" s="90" t="str">
        <f t="shared" si="136"/>
        <v/>
      </c>
      <c r="AL457" s="91">
        <f>IF(AK457="Adjust",(_xlfn.XLOOKUP(A457,'Adj factor'!A:A,'Adj factor'!I:I,,0)*AI457),'Master DataSheet'!AI457)</f>
        <v>0</v>
      </c>
      <c r="AM457" s="91">
        <f t="shared" si="137"/>
        <v>0</v>
      </c>
      <c r="AN457" s="92" t="str">
        <f t="shared" si="138"/>
        <v>No change</v>
      </c>
      <c r="AO457" s="93">
        <f>VLOOKUP(B457,'Growthrates source'!A$2:H$49,8,FALSE)</f>
        <v>-0.22530855667613492</v>
      </c>
      <c r="AP457" s="93">
        <f>VLOOKUP(B457,'Growthrates source'!A$2:I$49,9,FALSE)</f>
        <v>0.45056501122921166</v>
      </c>
      <c r="AQ457" s="86">
        <f t="shared" si="139"/>
        <v>0</v>
      </c>
      <c r="AR457" s="86">
        <f t="shared" si="140"/>
        <v>0</v>
      </c>
      <c r="AS457" s="94">
        <f t="shared" si="141"/>
        <v>3.0872484169027792</v>
      </c>
      <c r="AT457" s="94">
        <f t="shared" si="142"/>
        <v>0</v>
      </c>
      <c r="AU457" s="94">
        <f t="shared" si="143"/>
        <v>0</v>
      </c>
    </row>
    <row r="458" spans="1:47" x14ac:dyDescent="0.3">
      <c r="A458" s="85" t="str">
        <f>_xlfn.XLOOKUP(B458,'Country codes &amp; Data sources'!G:G,'Country codes &amp; Data sources'!H:H,,0)</f>
        <v>Guinea-Bissau</v>
      </c>
      <c r="B458" s="85" t="s">
        <v>174</v>
      </c>
      <c r="C458" s="86">
        <v>1652717.4999999998</v>
      </c>
      <c r="D458" s="85" t="s">
        <v>321</v>
      </c>
      <c r="E458" s="87">
        <v>0</v>
      </c>
      <c r="F458" s="88">
        <v>1697752.4999999995</v>
      </c>
      <c r="G458" s="87">
        <v>0</v>
      </c>
      <c r="H458" s="87">
        <v>1743309.0000000002</v>
      </c>
      <c r="I458" s="87">
        <v>0</v>
      </c>
      <c r="J458" s="87">
        <v>1788919.0000000005</v>
      </c>
      <c r="K458" s="87">
        <v>708</v>
      </c>
      <c r="L458" s="87">
        <v>1834551.4999999995</v>
      </c>
      <c r="M458" s="87">
        <v>388</v>
      </c>
      <c r="N458" s="87">
        <v>1879826.5000000005</v>
      </c>
      <c r="O458" s="87">
        <v>0</v>
      </c>
      <c r="P458" s="88">
        <v>1924954.4999999988</v>
      </c>
      <c r="Q458" s="87">
        <v>1181</v>
      </c>
      <c r="R458" s="87">
        <f t="shared" si="126"/>
        <v>1181</v>
      </c>
      <c r="S458" s="87">
        <v>1970456.5</v>
      </c>
      <c r="T458" s="87">
        <v>0</v>
      </c>
      <c r="U458" s="87">
        <v>2015827.9999999998</v>
      </c>
      <c r="V458" s="87">
        <v>781</v>
      </c>
      <c r="W458" s="87">
        <v>2060720.9999999991</v>
      </c>
      <c r="X458" s="87">
        <v>916</v>
      </c>
      <c r="Y458" s="88">
        <v>2105565.4999999991</v>
      </c>
      <c r="Z458" s="87">
        <v>885</v>
      </c>
      <c r="AA458" s="87">
        <v>318</v>
      </c>
      <c r="AB458" s="89">
        <f t="shared" si="127"/>
        <v>708</v>
      </c>
      <c r="AC458" s="89">
        <f t="shared" si="128"/>
        <v>1181</v>
      </c>
      <c r="AD458" s="89">
        <f t="shared" si="129"/>
        <v>916</v>
      </c>
      <c r="AE458" s="90">
        <f t="shared" si="130"/>
        <v>708</v>
      </c>
      <c r="AF458" s="90">
        <f t="shared" si="131"/>
        <v>2015</v>
      </c>
      <c r="AG458" s="90">
        <f t="shared" si="132"/>
        <v>1181</v>
      </c>
      <c r="AH458" s="90">
        <f t="shared" si="133"/>
        <v>2018</v>
      </c>
      <c r="AI458" s="90">
        <f t="shared" si="134"/>
        <v>885</v>
      </c>
      <c r="AJ458" s="90">
        <f t="shared" si="135"/>
        <v>2022</v>
      </c>
      <c r="AK458" s="90" t="str">
        <f t="shared" si="136"/>
        <v>Adjust</v>
      </c>
      <c r="AL458" s="91">
        <f>IF(AK458="Adjust",(_xlfn.XLOOKUP(A458,'Adj factor'!A:A,'Adj factor'!I:I,,0)*AI458),'Master DataSheet'!AI458)</f>
        <v>1072.6558935361215</v>
      </c>
      <c r="AM458" s="91">
        <f t="shared" si="137"/>
        <v>1181</v>
      </c>
      <c r="AN458" s="92" t="str">
        <f t="shared" si="138"/>
        <v>Decreasing</v>
      </c>
      <c r="AO458" s="93">
        <f>VLOOKUP(B458,'Growthrates source'!A$2:H$49,8,FALSE)</f>
        <v>3.0374199904759536E-2</v>
      </c>
      <c r="AP458" s="93">
        <f>VLOOKUP(B458,'Growthrates source'!A$2:I$49,9,FALSE)</f>
        <v>4.6424158096915802E-2</v>
      </c>
      <c r="AQ458" s="86">
        <f t="shared" si="139"/>
        <v>273.19351309593634</v>
      </c>
      <c r="AR458" s="86">
        <f t="shared" si="140"/>
        <v>365.5210453214055</v>
      </c>
      <c r="AS458" s="94">
        <f t="shared" si="141"/>
        <v>4.1702191573860157</v>
      </c>
      <c r="AT458" s="94">
        <f t="shared" si="142"/>
        <v>6.1352099491182814</v>
      </c>
      <c r="AU458" s="94">
        <f t="shared" si="143"/>
        <v>5.6089444854600847</v>
      </c>
    </row>
    <row r="459" spans="1:47" x14ac:dyDescent="0.3">
      <c r="A459" s="85" t="str">
        <f>_xlfn.XLOOKUP(B459,'Country codes &amp; Data sources'!G:G,'Country codes &amp; Data sources'!H:H,,0)</f>
        <v>Guinea-Bissau</v>
      </c>
      <c r="B459" s="85" t="s">
        <v>174</v>
      </c>
      <c r="C459" s="86">
        <v>1652718.5</v>
      </c>
      <c r="D459" s="85" t="s">
        <v>322</v>
      </c>
      <c r="E459" s="87">
        <v>0</v>
      </c>
      <c r="F459" s="88">
        <v>1697752.4999999995</v>
      </c>
      <c r="G459" s="87">
        <v>1468</v>
      </c>
      <c r="I459" s="87">
        <v>1899</v>
      </c>
      <c r="K459" s="87">
        <v>2098</v>
      </c>
      <c r="M459" s="87">
        <v>2006</v>
      </c>
      <c r="O459" s="87">
        <v>0</v>
      </c>
      <c r="P459" s="88">
        <v>1924954.4999999988</v>
      </c>
      <c r="Q459" s="87">
        <v>1488</v>
      </c>
      <c r="R459" s="87">
        <f t="shared" si="126"/>
        <v>1488</v>
      </c>
      <c r="T459" s="87">
        <v>0</v>
      </c>
      <c r="V459" s="87">
        <v>2782</v>
      </c>
      <c r="X459" s="87">
        <v>3912</v>
      </c>
      <c r="Y459" s="88">
        <v>2105565.4999999991</v>
      </c>
      <c r="Z459" s="87">
        <v>3758</v>
      </c>
      <c r="AA459" s="87">
        <v>1264</v>
      </c>
      <c r="AB459" s="89">
        <f t="shared" si="127"/>
        <v>2098</v>
      </c>
      <c r="AC459" s="89">
        <f t="shared" si="128"/>
        <v>2006</v>
      </c>
      <c r="AD459" s="89">
        <f t="shared" si="129"/>
        <v>3912</v>
      </c>
      <c r="AE459" s="90">
        <f t="shared" si="130"/>
        <v>1468</v>
      </c>
      <c r="AF459" s="90">
        <f t="shared" si="131"/>
        <v>2013</v>
      </c>
      <c r="AG459" s="90">
        <f t="shared" si="132"/>
        <v>1488</v>
      </c>
      <c r="AH459" s="90">
        <f t="shared" si="133"/>
        <v>2018</v>
      </c>
      <c r="AI459" s="90">
        <f t="shared" si="134"/>
        <v>3758</v>
      </c>
      <c r="AJ459" s="90">
        <f t="shared" si="135"/>
        <v>2022</v>
      </c>
      <c r="AK459" s="90" t="str">
        <f t="shared" si="136"/>
        <v/>
      </c>
      <c r="AL459" s="91">
        <f>IF(AK459="Adjust",(_xlfn.XLOOKUP(A459,'Adj factor'!A:A,'Adj factor'!I:I,,0)*AI459),'Master DataSheet'!AI459)</f>
        <v>3758</v>
      </c>
      <c r="AM459" s="91">
        <f t="shared" si="137"/>
        <v>3758</v>
      </c>
      <c r="AN459" s="92" t="str">
        <f t="shared" si="138"/>
        <v>Increasing</v>
      </c>
      <c r="AO459" s="93">
        <f>VLOOKUP(B459,'Growthrates source'!A$2:H$49,8,FALSE)</f>
        <v>3.0374199904759536E-2</v>
      </c>
      <c r="AP459" s="93">
        <f>VLOOKUP(B459,'Growthrates source'!A$2:I$49,9,FALSE)</f>
        <v>4.6424158096915802E-2</v>
      </c>
      <c r="AQ459" s="86">
        <f t="shared" si="139"/>
        <v>1085.9012596014577</v>
      </c>
      <c r="AR459" s="86">
        <f t="shared" si="140"/>
        <v>1452.8886832901148</v>
      </c>
      <c r="AS459" s="94">
        <f t="shared" si="141"/>
        <v>8.6467255975178965</v>
      </c>
      <c r="AT459" s="94">
        <f t="shared" si="142"/>
        <v>7.7300528402099937</v>
      </c>
      <c r="AU459" s="94">
        <f t="shared" si="143"/>
        <v>17.847936813174424</v>
      </c>
    </row>
    <row r="460" spans="1:47" x14ac:dyDescent="0.3">
      <c r="A460" s="85" t="str">
        <f>_xlfn.XLOOKUP(B460,'Country codes &amp; Data sources'!G:G,'Country codes &amp; Data sources'!H:H,,0)</f>
        <v>Guinea-Bissau</v>
      </c>
      <c r="B460" s="85" t="s">
        <v>174</v>
      </c>
      <c r="C460" s="86">
        <v>1652719.5</v>
      </c>
      <c r="D460" s="85" t="s">
        <v>323</v>
      </c>
      <c r="E460" s="87">
        <v>0</v>
      </c>
      <c r="F460" s="88">
        <v>1697752.4999999995</v>
      </c>
      <c r="G460" s="87">
        <v>306</v>
      </c>
      <c r="I460" s="87">
        <v>0</v>
      </c>
      <c r="K460" s="87">
        <v>0</v>
      </c>
      <c r="M460" s="87">
        <v>250</v>
      </c>
      <c r="O460" s="87">
        <v>0</v>
      </c>
      <c r="P460" s="88">
        <v>1924954.4999999988</v>
      </c>
      <c r="Q460" s="87">
        <v>0</v>
      </c>
      <c r="R460" s="87">
        <f t="shared" si="126"/>
        <v>157</v>
      </c>
      <c r="T460" s="87">
        <v>0</v>
      </c>
      <c r="V460" s="87">
        <v>370</v>
      </c>
      <c r="X460" s="87">
        <v>426</v>
      </c>
      <c r="Y460" s="88">
        <v>2105565.4999999991</v>
      </c>
      <c r="Z460" s="87">
        <v>394</v>
      </c>
      <c r="AA460" s="87">
        <v>157</v>
      </c>
      <c r="AB460" s="89">
        <f t="shared" si="127"/>
        <v>306</v>
      </c>
      <c r="AC460" s="89">
        <f t="shared" si="128"/>
        <v>250</v>
      </c>
      <c r="AD460" s="89">
        <f t="shared" si="129"/>
        <v>426</v>
      </c>
      <c r="AE460" s="90">
        <f t="shared" si="130"/>
        <v>306</v>
      </c>
      <c r="AF460" s="90">
        <f t="shared" si="131"/>
        <v>2013</v>
      </c>
      <c r="AG460" s="90">
        <f t="shared" si="132"/>
        <v>157</v>
      </c>
      <c r="AH460" s="90" t="str">
        <f t="shared" si="133"/>
        <v>2018 (triag)</v>
      </c>
      <c r="AI460" s="90">
        <f t="shared" si="134"/>
        <v>394</v>
      </c>
      <c r="AJ460" s="90">
        <f t="shared" si="135"/>
        <v>2022</v>
      </c>
      <c r="AK460" s="90" t="str">
        <f t="shared" si="136"/>
        <v/>
      </c>
      <c r="AL460" s="91">
        <f>IF(AK460="Adjust",(_xlfn.XLOOKUP(A460,'Adj factor'!A:A,'Adj factor'!I:I,,0)*AI460),'Master DataSheet'!AI460)</f>
        <v>394</v>
      </c>
      <c r="AM460" s="91">
        <f t="shared" si="137"/>
        <v>394</v>
      </c>
      <c r="AN460" s="92" t="str">
        <f t="shared" si="138"/>
        <v>Increasing</v>
      </c>
      <c r="AO460" s="93">
        <f>VLOOKUP(B460,'Growthrates source'!A$2:H$49,8,FALSE)</f>
        <v>3.0374199904759536E-2</v>
      </c>
      <c r="AP460" s="93">
        <f>VLOOKUP(B460,'Growthrates source'!A$2:I$49,9,FALSE)</f>
        <v>4.6424158096915802E-2</v>
      </c>
      <c r="AQ460" s="86">
        <f t="shared" si="139"/>
        <v>134.87855835239625</v>
      </c>
      <c r="AR460" s="86">
        <f t="shared" si="140"/>
        <v>180.46164816182596</v>
      </c>
      <c r="AS460" s="94">
        <f t="shared" si="141"/>
        <v>1.8023828561583628</v>
      </c>
      <c r="AT460" s="94">
        <f t="shared" si="142"/>
        <v>0.81560369348989858</v>
      </c>
      <c r="AU460" s="94">
        <f t="shared" si="143"/>
        <v>1.871231267799554</v>
      </c>
    </row>
    <row r="461" spans="1:47" x14ac:dyDescent="0.3">
      <c r="A461" s="85" t="str">
        <f>_xlfn.XLOOKUP(B461,'Country codes &amp; Data sources'!G:G,'Country codes &amp; Data sources'!H:H,,0)</f>
        <v>Guinea-Bissau</v>
      </c>
      <c r="B461" s="85" t="s">
        <v>174</v>
      </c>
      <c r="C461" s="86">
        <v>1652720.5</v>
      </c>
      <c r="D461" s="85" t="s">
        <v>324</v>
      </c>
      <c r="E461" s="87">
        <v>0</v>
      </c>
      <c r="F461" s="88">
        <v>1697752.4999999995</v>
      </c>
      <c r="G461" s="87">
        <v>0</v>
      </c>
      <c r="I461" s="87">
        <v>74</v>
      </c>
      <c r="K461" s="87">
        <v>1539</v>
      </c>
      <c r="M461" s="87">
        <v>0</v>
      </c>
      <c r="O461" s="87">
        <v>0</v>
      </c>
      <c r="P461" s="88">
        <v>1924954.4999999988</v>
      </c>
      <c r="Q461" s="87">
        <v>0</v>
      </c>
      <c r="R461" s="87">
        <f t="shared" si="126"/>
        <v>82</v>
      </c>
      <c r="T461" s="87">
        <v>0</v>
      </c>
      <c r="V461" s="87">
        <v>0</v>
      </c>
      <c r="X461" s="87">
        <v>0</v>
      </c>
      <c r="Y461" s="88">
        <v>2105565.4999999991</v>
      </c>
      <c r="Z461" s="87">
        <v>0</v>
      </c>
      <c r="AA461" s="87">
        <v>82</v>
      </c>
      <c r="AB461" s="89">
        <f t="shared" si="127"/>
        <v>1539</v>
      </c>
      <c r="AC461" s="89">
        <f t="shared" si="128"/>
        <v>0</v>
      </c>
      <c r="AD461" s="89">
        <f t="shared" si="129"/>
        <v>0</v>
      </c>
      <c r="AE461" s="90">
        <f t="shared" si="130"/>
        <v>74</v>
      </c>
      <c r="AF461" s="90">
        <f t="shared" si="131"/>
        <v>2014</v>
      </c>
      <c r="AG461" s="90">
        <f t="shared" si="132"/>
        <v>82</v>
      </c>
      <c r="AH461" s="90" t="str">
        <f t="shared" si="133"/>
        <v>2018 (triag)</v>
      </c>
      <c r="AI461" s="90">
        <f t="shared" si="134"/>
        <v>82</v>
      </c>
      <c r="AJ461" s="90" t="str">
        <f t="shared" si="135"/>
        <v>2018 (triag)</v>
      </c>
      <c r="AK461" s="90" t="str">
        <f t="shared" si="136"/>
        <v/>
      </c>
      <c r="AL461" s="91">
        <f>IF(AK461="Adjust",(_xlfn.XLOOKUP(A461,'Adj factor'!A:A,'Adj factor'!I:I,,0)*AI461),'Master DataSheet'!AI461)</f>
        <v>82</v>
      </c>
      <c r="AM461" s="91">
        <f t="shared" si="137"/>
        <v>82</v>
      </c>
      <c r="AN461" s="92" t="str">
        <f t="shared" si="138"/>
        <v>No change</v>
      </c>
      <c r="AO461" s="93">
        <f>VLOOKUP(B461,'Growthrates source'!A$2:H$49,8,FALSE)</f>
        <v>3.0374199904759536E-2</v>
      </c>
      <c r="AP461" s="93">
        <f>VLOOKUP(B461,'Growthrates source'!A$2:I$49,9,FALSE)</f>
        <v>4.6424158096915802E-2</v>
      </c>
      <c r="AQ461" s="86">
        <f t="shared" si="139"/>
        <v>70.446126018448993</v>
      </c>
      <c r="AR461" s="86">
        <f t="shared" si="140"/>
        <v>94.253854453947326</v>
      </c>
      <c r="AS461" s="94">
        <f t="shared" si="141"/>
        <v>0.43587036390757794</v>
      </c>
      <c r="AT461" s="94">
        <f t="shared" si="142"/>
        <v>0.42598409468899162</v>
      </c>
      <c r="AU461" s="94">
        <f t="shared" si="143"/>
        <v>0.38944407096335892</v>
      </c>
    </row>
    <row r="462" spans="1:47" x14ac:dyDescent="0.3">
      <c r="A462" s="85" t="str">
        <f>_xlfn.XLOOKUP(B462,'Country codes &amp; Data sources'!G:G,'Country codes &amp; Data sources'!H:H,,0)</f>
        <v>Guinea-Bissau</v>
      </c>
      <c r="B462" s="85" t="s">
        <v>174</v>
      </c>
      <c r="C462" s="86">
        <v>1652721.5</v>
      </c>
      <c r="D462" s="85" t="s">
        <v>325</v>
      </c>
      <c r="E462" s="87">
        <v>0</v>
      </c>
      <c r="F462" s="88">
        <v>1697752.4999999995</v>
      </c>
      <c r="G462" s="87">
        <v>0</v>
      </c>
      <c r="I462" s="87">
        <v>0</v>
      </c>
      <c r="K462" s="87">
        <v>46</v>
      </c>
      <c r="M462" s="87">
        <v>0</v>
      </c>
      <c r="O462" s="87">
        <v>0</v>
      </c>
      <c r="P462" s="88">
        <v>1924954.4999999988</v>
      </c>
      <c r="Q462" s="87">
        <v>0</v>
      </c>
      <c r="R462" s="87">
        <f t="shared" si="126"/>
        <v>16</v>
      </c>
      <c r="T462" s="87">
        <v>0</v>
      </c>
      <c r="V462" s="87">
        <v>0</v>
      </c>
      <c r="X462" s="87">
        <v>0</v>
      </c>
      <c r="Y462" s="88">
        <v>2105565.4999999991</v>
      </c>
      <c r="Z462" s="87">
        <v>53</v>
      </c>
      <c r="AA462" s="87">
        <v>16</v>
      </c>
      <c r="AB462" s="89">
        <f t="shared" si="127"/>
        <v>46</v>
      </c>
      <c r="AC462" s="89">
        <f t="shared" si="128"/>
        <v>0</v>
      </c>
      <c r="AD462" s="89">
        <f t="shared" si="129"/>
        <v>53</v>
      </c>
      <c r="AE462" s="90">
        <f t="shared" si="130"/>
        <v>46</v>
      </c>
      <c r="AF462" s="90">
        <f t="shared" si="131"/>
        <v>2015</v>
      </c>
      <c r="AG462" s="90">
        <f t="shared" si="132"/>
        <v>16</v>
      </c>
      <c r="AH462" s="90" t="str">
        <f t="shared" si="133"/>
        <v>2018 (triag)</v>
      </c>
      <c r="AI462" s="90">
        <f t="shared" si="134"/>
        <v>53</v>
      </c>
      <c r="AJ462" s="90">
        <f t="shared" si="135"/>
        <v>2022</v>
      </c>
      <c r="AK462" s="90" t="str">
        <f t="shared" si="136"/>
        <v/>
      </c>
      <c r="AL462" s="91">
        <f>IF(AK462="Adjust",(_xlfn.XLOOKUP(A462,'Adj factor'!A:A,'Adj factor'!I:I,,0)*AI462),'Master DataSheet'!AI462)</f>
        <v>53</v>
      </c>
      <c r="AM462" s="91">
        <f t="shared" si="137"/>
        <v>53</v>
      </c>
      <c r="AN462" s="92" t="str">
        <f t="shared" si="138"/>
        <v>Increasing</v>
      </c>
      <c r="AO462" s="93">
        <f>VLOOKUP(B462,'Growthrates source'!A$2:H$49,8,FALSE)</f>
        <v>3.0374199904759536E-2</v>
      </c>
      <c r="AP462" s="93">
        <f>VLOOKUP(B462,'Growthrates source'!A$2:I$49,9,FALSE)</f>
        <v>4.6424158096915802E-2</v>
      </c>
      <c r="AQ462" s="86">
        <f t="shared" si="139"/>
        <v>13.745585564575414</v>
      </c>
      <c r="AR462" s="86">
        <f t="shared" si="140"/>
        <v>18.390995991014112</v>
      </c>
      <c r="AS462" s="94">
        <f t="shared" si="141"/>
        <v>0.27094644242903493</v>
      </c>
      <c r="AT462" s="94">
        <f t="shared" si="142"/>
        <v>8.311884774419348E-2</v>
      </c>
      <c r="AU462" s="94">
        <f t="shared" si="143"/>
        <v>0.25171385074461006</v>
      </c>
    </row>
    <row r="463" spans="1:47" x14ac:dyDescent="0.3">
      <c r="A463" s="85" t="str">
        <f>_xlfn.XLOOKUP(B463,'Country codes &amp; Data sources'!G:G,'Country codes &amp; Data sources'!H:H,,0)</f>
        <v>Guinea-Bissau</v>
      </c>
      <c r="B463" s="85" t="s">
        <v>174</v>
      </c>
      <c r="C463" s="86">
        <v>1652722.5</v>
      </c>
      <c r="D463" s="85" t="s">
        <v>127</v>
      </c>
      <c r="E463" s="87">
        <v>0</v>
      </c>
      <c r="F463" s="88">
        <v>1697752.4999999995</v>
      </c>
      <c r="G463" s="87">
        <v>0</v>
      </c>
      <c r="I463" s="87">
        <v>0</v>
      </c>
      <c r="K463" s="87">
        <v>0</v>
      </c>
      <c r="M463" s="87">
        <v>0</v>
      </c>
      <c r="O463" s="87">
        <v>0</v>
      </c>
      <c r="P463" s="88">
        <v>1924954.4999999988</v>
      </c>
      <c r="Q463" s="87">
        <v>3481</v>
      </c>
      <c r="R463" s="87">
        <f t="shared" si="126"/>
        <v>4057</v>
      </c>
      <c r="T463" s="87">
        <v>0</v>
      </c>
      <c r="V463" s="87">
        <v>3711</v>
      </c>
      <c r="X463" s="87">
        <v>0</v>
      </c>
      <c r="Y463" s="88">
        <v>2105565.4999999991</v>
      </c>
      <c r="Z463" s="87">
        <v>3975</v>
      </c>
      <c r="AA463" s="87">
        <v>4057</v>
      </c>
      <c r="AB463" s="89">
        <f t="shared" si="127"/>
        <v>0</v>
      </c>
      <c r="AC463" s="89">
        <f t="shared" si="128"/>
        <v>3481</v>
      </c>
      <c r="AD463" s="89">
        <f t="shared" si="129"/>
        <v>3975</v>
      </c>
      <c r="AE463" s="90">
        <f t="shared" si="130"/>
        <v>0</v>
      </c>
      <c r="AF463" s="90" t="str">
        <f t="shared" si="131"/>
        <v/>
      </c>
      <c r="AG463" s="90">
        <f t="shared" si="132"/>
        <v>4057</v>
      </c>
      <c r="AH463" s="90" t="str">
        <f t="shared" si="133"/>
        <v>2018 (triag)</v>
      </c>
      <c r="AI463" s="90">
        <f t="shared" si="134"/>
        <v>3975</v>
      </c>
      <c r="AJ463" s="90">
        <f t="shared" si="135"/>
        <v>2022</v>
      </c>
      <c r="AK463" s="90" t="str">
        <f t="shared" si="136"/>
        <v>Adjust</v>
      </c>
      <c r="AL463" s="91">
        <f>IF(AK463="Adjust",(_xlfn.XLOOKUP(A463,'Adj factor'!A:A,'Adj factor'!I:I,,0)*AI463),'Master DataSheet'!AI463)</f>
        <v>4817.861216730038</v>
      </c>
      <c r="AM463" s="91">
        <f t="shared" si="137"/>
        <v>4817.861216730038</v>
      </c>
      <c r="AN463" s="92" t="str">
        <f t="shared" si="138"/>
        <v>Increasing</v>
      </c>
      <c r="AO463" s="93">
        <f>VLOOKUP(B463,'Growthrates source'!A$2:H$49,8,FALSE)</f>
        <v>3.0374199904759536E-2</v>
      </c>
      <c r="AP463" s="93">
        <f>VLOOKUP(B463,'Growthrates source'!A$2:I$49,9,FALSE)</f>
        <v>4.6424158096915802E-2</v>
      </c>
      <c r="AQ463" s="86">
        <f t="shared" si="139"/>
        <v>3485.3650397176534</v>
      </c>
      <c r="AR463" s="86">
        <f t="shared" si="140"/>
        <v>4663.2669209715159</v>
      </c>
      <c r="AS463" s="94">
        <f t="shared" si="141"/>
        <v>0</v>
      </c>
      <c r="AT463" s="94">
        <f t="shared" si="142"/>
        <v>21.07582283113706</v>
      </c>
      <c r="AU463" s="94">
        <f t="shared" si="143"/>
        <v>22.881554702193021</v>
      </c>
    </row>
    <row r="464" spans="1:47" x14ac:dyDescent="0.3">
      <c r="A464" s="85" t="str">
        <f>_xlfn.XLOOKUP(B464,'Country codes &amp; Data sources'!G:G,'Country codes &amp; Data sources'!H:H,,0)</f>
        <v>Guinea-Bissau</v>
      </c>
      <c r="B464" s="85" t="s">
        <v>174</v>
      </c>
      <c r="C464" s="86">
        <v>1652723.5</v>
      </c>
      <c r="D464" s="85" t="s">
        <v>61</v>
      </c>
      <c r="E464" s="87">
        <v>0</v>
      </c>
      <c r="F464" s="88">
        <v>1697752.4999999995</v>
      </c>
      <c r="G464" s="87">
        <v>0</v>
      </c>
      <c r="I464" s="87">
        <v>0</v>
      </c>
      <c r="K464" s="87">
        <v>496</v>
      </c>
      <c r="M464" s="87">
        <v>0</v>
      </c>
      <c r="O464" s="87">
        <v>0</v>
      </c>
      <c r="P464" s="88">
        <v>1924954.4999999988</v>
      </c>
      <c r="Q464" s="87">
        <v>0</v>
      </c>
      <c r="R464" s="87">
        <f t="shared" si="126"/>
        <v>0</v>
      </c>
      <c r="T464" s="87">
        <v>0</v>
      </c>
      <c r="V464" s="87">
        <v>0</v>
      </c>
      <c r="X464" s="87">
        <v>0</v>
      </c>
      <c r="Y464" s="88">
        <v>2105565.4999999991</v>
      </c>
      <c r="Z464" s="87">
        <v>0</v>
      </c>
      <c r="AA464" s="87">
        <v>0</v>
      </c>
      <c r="AB464" s="89">
        <f t="shared" si="127"/>
        <v>496</v>
      </c>
      <c r="AC464" s="89">
        <f t="shared" si="128"/>
        <v>0</v>
      </c>
      <c r="AD464" s="89">
        <f t="shared" si="129"/>
        <v>0</v>
      </c>
      <c r="AE464" s="90">
        <f t="shared" si="130"/>
        <v>496</v>
      </c>
      <c r="AF464" s="90">
        <f t="shared" si="131"/>
        <v>2015</v>
      </c>
      <c r="AG464" s="90">
        <f t="shared" si="132"/>
        <v>0</v>
      </c>
      <c r="AH464" s="90" t="str">
        <f t="shared" si="133"/>
        <v/>
      </c>
      <c r="AI464" s="90">
        <f t="shared" si="134"/>
        <v>0</v>
      </c>
      <c r="AJ464" s="90" t="str">
        <f t="shared" si="135"/>
        <v/>
      </c>
      <c r="AK464" s="90" t="str">
        <f t="shared" si="136"/>
        <v/>
      </c>
      <c r="AL464" s="91">
        <f>IF(AK464="Adjust",(_xlfn.XLOOKUP(A464,'Adj factor'!A:A,'Adj factor'!I:I,,0)*AI464),'Master DataSheet'!AI464)</f>
        <v>0</v>
      </c>
      <c r="AM464" s="91">
        <f t="shared" si="137"/>
        <v>0</v>
      </c>
      <c r="AN464" s="92" t="str">
        <f t="shared" si="138"/>
        <v>No change</v>
      </c>
      <c r="AO464" s="93">
        <f>VLOOKUP(B464,'Growthrates source'!A$2:H$49,8,FALSE)</f>
        <v>3.0374199904759536E-2</v>
      </c>
      <c r="AP464" s="93">
        <f>VLOOKUP(B464,'Growthrates source'!A$2:I$49,9,FALSE)</f>
        <v>4.6424158096915802E-2</v>
      </c>
      <c r="AQ464" s="86">
        <f t="shared" si="139"/>
        <v>0</v>
      </c>
      <c r="AR464" s="86">
        <f t="shared" si="140"/>
        <v>0</v>
      </c>
      <c r="AS464" s="94">
        <f t="shared" si="141"/>
        <v>2.921509466191333</v>
      </c>
      <c r="AT464" s="94">
        <f t="shared" si="142"/>
        <v>0</v>
      </c>
      <c r="AU464" s="94">
        <f t="shared" si="143"/>
        <v>0</v>
      </c>
    </row>
    <row r="465" spans="1:47" x14ac:dyDescent="0.3">
      <c r="A465" s="85" t="str">
        <f>_xlfn.XLOOKUP(B465,'Country codes &amp; Data sources'!G:G,'Country codes &amp; Data sources'!H:H,,0)</f>
        <v>Guinea-Bissau</v>
      </c>
      <c r="B465" s="85" t="s">
        <v>174</v>
      </c>
      <c r="C465" s="86">
        <v>1652724.5</v>
      </c>
      <c r="D465" s="85" t="s">
        <v>62</v>
      </c>
      <c r="E465" s="87">
        <v>0</v>
      </c>
      <c r="F465" s="88">
        <v>1697752.4999999995</v>
      </c>
      <c r="G465" s="87">
        <v>0</v>
      </c>
      <c r="I465" s="87">
        <v>0</v>
      </c>
      <c r="K465" s="87">
        <v>0</v>
      </c>
      <c r="M465" s="87">
        <v>0</v>
      </c>
      <c r="O465" s="87">
        <v>0</v>
      </c>
      <c r="P465" s="88">
        <v>1924954.4999999988</v>
      </c>
      <c r="Q465" s="87">
        <v>0</v>
      </c>
      <c r="R465" s="87">
        <f t="shared" si="126"/>
        <v>3</v>
      </c>
      <c r="T465" s="87">
        <v>0</v>
      </c>
      <c r="V465" s="87">
        <v>0</v>
      </c>
      <c r="X465" s="87">
        <v>0</v>
      </c>
      <c r="Y465" s="88">
        <v>2105565.4999999991</v>
      </c>
      <c r="Z465" s="87">
        <v>0</v>
      </c>
      <c r="AA465" s="87">
        <v>3</v>
      </c>
      <c r="AB465" s="89">
        <f t="shared" si="127"/>
        <v>0</v>
      </c>
      <c r="AC465" s="89">
        <f t="shared" si="128"/>
        <v>0</v>
      </c>
      <c r="AD465" s="89">
        <f t="shared" si="129"/>
        <v>0</v>
      </c>
      <c r="AE465" s="90">
        <f t="shared" si="130"/>
        <v>0</v>
      </c>
      <c r="AF465" s="90" t="str">
        <f t="shared" si="131"/>
        <v/>
      </c>
      <c r="AG465" s="90">
        <f t="shared" si="132"/>
        <v>3</v>
      </c>
      <c r="AH465" s="90" t="str">
        <f t="shared" si="133"/>
        <v>2018 (triag)</v>
      </c>
      <c r="AI465" s="90">
        <f t="shared" si="134"/>
        <v>3</v>
      </c>
      <c r="AJ465" s="90" t="str">
        <f t="shared" si="135"/>
        <v>2018 (triag)</v>
      </c>
      <c r="AK465" s="90" t="str">
        <f t="shared" si="136"/>
        <v/>
      </c>
      <c r="AL465" s="91">
        <f>IF(AK465="Adjust",(_xlfn.XLOOKUP(A465,'Adj factor'!A:A,'Adj factor'!I:I,,0)*AI465),'Master DataSheet'!AI465)</f>
        <v>3</v>
      </c>
      <c r="AM465" s="91">
        <f t="shared" si="137"/>
        <v>3</v>
      </c>
      <c r="AN465" s="92" t="str">
        <f t="shared" si="138"/>
        <v>No change</v>
      </c>
      <c r="AO465" s="93">
        <f>VLOOKUP(B465,'Growthrates source'!A$2:H$49,8,FALSE)</f>
        <v>3.0374199904759536E-2</v>
      </c>
      <c r="AP465" s="93">
        <f>VLOOKUP(B465,'Growthrates source'!A$2:I$49,9,FALSE)</f>
        <v>4.6424158096915802E-2</v>
      </c>
      <c r="AQ465" s="86">
        <f t="shared" si="139"/>
        <v>2.5772972933578902</v>
      </c>
      <c r="AR465" s="86">
        <f t="shared" si="140"/>
        <v>3.4483117483151462</v>
      </c>
      <c r="AS465" s="94">
        <f t="shared" si="141"/>
        <v>0</v>
      </c>
      <c r="AT465" s="94">
        <f t="shared" si="142"/>
        <v>1.5584783952036278E-2</v>
      </c>
      <c r="AU465" s="94">
        <f t="shared" si="143"/>
        <v>1.4247953815732644E-2</v>
      </c>
    </row>
    <row r="466" spans="1:47" x14ac:dyDescent="0.3">
      <c r="A466" s="85" t="str">
        <f>_xlfn.XLOOKUP(B466,'Country codes &amp; Data sources'!G:G,'Country codes &amp; Data sources'!H:H,,0)</f>
        <v>Guinea-Bissau</v>
      </c>
      <c r="B466" s="85" t="s">
        <v>174</v>
      </c>
      <c r="C466" s="86">
        <v>1652725.5</v>
      </c>
      <c r="D466" s="85" t="s">
        <v>203</v>
      </c>
      <c r="E466" s="87">
        <v>0</v>
      </c>
      <c r="F466" s="88">
        <v>1697752.4999999995</v>
      </c>
      <c r="G466" s="87">
        <v>0</v>
      </c>
      <c r="I466" s="87">
        <v>0</v>
      </c>
      <c r="K466" s="87">
        <v>0</v>
      </c>
      <c r="M466" s="87">
        <v>0</v>
      </c>
      <c r="O466" s="87">
        <v>0</v>
      </c>
      <c r="P466" s="88">
        <v>1924954.4999999988</v>
      </c>
      <c r="Q466" s="87">
        <v>0</v>
      </c>
      <c r="R466" s="87">
        <f t="shared" si="126"/>
        <v>0</v>
      </c>
      <c r="T466" s="87">
        <v>0</v>
      </c>
      <c r="V466" s="87">
        <v>0</v>
      </c>
      <c r="X466" s="87">
        <v>0</v>
      </c>
      <c r="Y466" s="88">
        <v>2105565.4999999991</v>
      </c>
      <c r="Z466" s="87">
        <v>0</v>
      </c>
      <c r="AA466" s="87">
        <v>0</v>
      </c>
      <c r="AB466" s="89">
        <f t="shared" si="127"/>
        <v>0</v>
      </c>
      <c r="AC466" s="89">
        <f t="shared" si="128"/>
        <v>0</v>
      </c>
      <c r="AD466" s="89">
        <f t="shared" si="129"/>
        <v>0</v>
      </c>
      <c r="AE466" s="90">
        <f t="shared" si="130"/>
        <v>0</v>
      </c>
      <c r="AF466" s="90" t="str">
        <f t="shared" si="131"/>
        <v/>
      </c>
      <c r="AG466" s="90">
        <f t="shared" si="132"/>
        <v>0</v>
      </c>
      <c r="AH466" s="90" t="str">
        <f t="shared" si="133"/>
        <v/>
      </c>
      <c r="AI466" s="90">
        <f t="shared" si="134"/>
        <v>0</v>
      </c>
      <c r="AJ466" s="90" t="str">
        <f t="shared" si="135"/>
        <v/>
      </c>
      <c r="AK466" s="90" t="str">
        <f t="shared" si="136"/>
        <v/>
      </c>
      <c r="AL466" s="91">
        <f>IF(AK466="Adjust",(_xlfn.XLOOKUP(A466,'Adj factor'!A:A,'Adj factor'!I:I,,0)*AI466),'Master DataSheet'!AI466)</f>
        <v>0</v>
      </c>
      <c r="AM466" s="91">
        <f t="shared" si="137"/>
        <v>0</v>
      </c>
      <c r="AN466" s="92" t="str">
        <f t="shared" si="138"/>
        <v>No change</v>
      </c>
      <c r="AO466" s="93">
        <f>VLOOKUP(B466,'Growthrates source'!A$2:H$49,8,FALSE)</f>
        <v>3.0374199904759536E-2</v>
      </c>
      <c r="AP466" s="93">
        <f>VLOOKUP(B466,'Growthrates source'!A$2:I$49,9,FALSE)</f>
        <v>4.6424158096915802E-2</v>
      </c>
      <c r="AQ466" s="86">
        <f t="shared" si="139"/>
        <v>0</v>
      </c>
      <c r="AR466" s="86">
        <f t="shared" si="140"/>
        <v>0</v>
      </c>
      <c r="AS466" s="94">
        <f t="shared" si="141"/>
        <v>0</v>
      </c>
      <c r="AT466" s="94">
        <f t="shared" si="142"/>
        <v>0</v>
      </c>
      <c r="AU466" s="94">
        <f t="shared" si="143"/>
        <v>0</v>
      </c>
    </row>
    <row r="467" spans="1:47" x14ac:dyDescent="0.3">
      <c r="A467" s="85" t="str">
        <f>_xlfn.XLOOKUP(B467,'Country codes &amp; Data sources'!G:G,'Country codes &amp; Data sources'!H:H,,0)</f>
        <v>Guinea-Bissau</v>
      </c>
      <c r="B467" s="85" t="s">
        <v>174</v>
      </c>
      <c r="C467" s="86">
        <v>1652726.5</v>
      </c>
      <c r="D467" s="85" t="s">
        <v>204</v>
      </c>
      <c r="E467" s="87">
        <v>0</v>
      </c>
      <c r="F467" s="88">
        <v>1697752.4999999995</v>
      </c>
      <c r="G467" s="87">
        <v>0</v>
      </c>
      <c r="I467" s="87">
        <v>0</v>
      </c>
      <c r="K467" s="87">
        <v>0</v>
      </c>
      <c r="M467" s="87">
        <v>0</v>
      </c>
      <c r="O467" s="87">
        <v>0</v>
      </c>
      <c r="P467" s="88">
        <v>1924954.4999999988</v>
      </c>
      <c r="Q467" s="87">
        <v>0</v>
      </c>
      <c r="R467" s="87">
        <f t="shared" si="126"/>
        <v>130</v>
      </c>
      <c r="T467" s="87">
        <v>0</v>
      </c>
      <c r="V467" s="87">
        <v>0</v>
      </c>
      <c r="X467" s="87">
        <v>0</v>
      </c>
      <c r="Y467" s="88">
        <v>2105565.4999999991</v>
      </c>
      <c r="Z467" s="87">
        <v>0</v>
      </c>
      <c r="AA467" s="87">
        <v>130</v>
      </c>
      <c r="AB467" s="89">
        <f t="shared" si="127"/>
        <v>0</v>
      </c>
      <c r="AC467" s="89">
        <f t="shared" si="128"/>
        <v>0</v>
      </c>
      <c r="AD467" s="89">
        <f t="shared" si="129"/>
        <v>0</v>
      </c>
      <c r="AE467" s="90">
        <f t="shared" si="130"/>
        <v>0</v>
      </c>
      <c r="AF467" s="90" t="str">
        <f t="shared" si="131"/>
        <v/>
      </c>
      <c r="AG467" s="90">
        <f t="shared" si="132"/>
        <v>130</v>
      </c>
      <c r="AH467" s="90" t="str">
        <f t="shared" si="133"/>
        <v>2018 (triag)</v>
      </c>
      <c r="AI467" s="90">
        <f t="shared" si="134"/>
        <v>130</v>
      </c>
      <c r="AJ467" s="90" t="str">
        <f t="shared" si="135"/>
        <v>2018 (triag)</v>
      </c>
      <c r="AK467" s="90" t="str">
        <f t="shared" si="136"/>
        <v/>
      </c>
      <c r="AL467" s="91">
        <f>IF(AK467="Adjust",(_xlfn.XLOOKUP(A467,'Adj factor'!A:A,'Adj factor'!I:I,,0)*AI467),'Master DataSheet'!AI467)</f>
        <v>130</v>
      </c>
      <c r="AM467" s="91">
        <f t="shared" si="137"/>
        <v>130</v>
      </c>
      <c r="AN467" s="92" t="str">
        <f t="shared" si="138"/>
        <v>No change</v>
      </c>
      <c r="AO467" s="93">
        <f>VLOOKUP(B467,'Growthrates source'!A$2:H$49,8,FALSE)</f>
        <v>3.0374199904759536E-2</v>
      </c>
      <c r="AP467" s="93">
        <f>VLOOKUP(B467,'Growthrates source'!A$2:I$49,9,FALSE)</f>
        <v>4.6424158096915802E-2</v>
      </c>
      <c r="AQ467" s="86">
        <f t="shared" si="139"/>
        <v>111.68288271217524</v>
      </c>
      <c r="AR467" s="86">
        <f t="shared" si="140"/>
        <v>149.42684242698965</v>
      </c>
      <c r="AS467" s="94">
        <f t="shared" si="141"/>
        <v>0</v>
      </c>
      <c r="AT467" s="94">
        <f t="shared" si="142"/>
        <v>0.67534063792157206</v>
      </c>
      <c r="AU467" s="94">
        <f t="shared" si="143"/>
        <v>0.61741133201508125</v>
      </c>
    </row>
    <row r="468" spans="1:47" x14ac:dyDescent="0.3">
      <c r="A468" s="85" t="str">
        <f>_xlfn.XLOOKUP(B468,'Country codes &amp; Data sources'!G:G,'Country codes &amp; Data sources'!H:H,,0)</f>
        <v>Guinea-Bissau</v>
      </c>
      <c r="B468" s="85" t="s">
        <v>174</v>
      </c>
      <c r="C468" s="86">
        <v>1652727.5</v>
      </c>
      <c r="D468" s="85" t="s">
        <v>205</v>
      </c>
      <c r="E468" s="87">
        <v>0</v>
      </c>
      <c r="F468" s="88">
        <v>1697752.4999999995</v>
      </c>
      <c r="G468" s="87">
        <v>0</v>
      </c>
      <c r="I468" s="87">
        <v>0</v>
      </c>
      <c r="K468" s="87">
        <v>0</v>
      </c>
      <c r="M468" s="87">
        <v>4</v>
      </c>
      <c r="O468" s="87">
        <v>0</v>
      </c>
      <c r="P468" s="88">
        <v>1924954.4999999988</v>
      </c>
      <c r="Q468" s="87">
        <v>0</v>
      </c>
      <c r="R468" s="87">
        <f t="shared" si="126"/>
        <v>5</v>
      </c>
      <c r="T468" s="87">
        <v>0</v>
      </c>
      <c r="V468" s="87">
        <v>8</v>
      </c>
      <c r="X468" s="87">
        <v>3</v>
      </c>
      <c r="Y468" s="88">
        <v>2105565.4999999991</v>
      </c>
      <c r="Z468" s="87">
        <v>2</v>
      </c>
      <c r="AA468" s="87">
        <v>5</v>
      </c>
      <c r="AB468" s="89">
        <f t="shared" si="127"/>
        <v>0</v>
      </c>
      <c r="AC468" s="89">
        <f t="shared" si="128"/>
        <v>4</v>
      </c>
      <c r="AD468" s="89">
        <f t="shared" si="129"/>
        <v>8</v>
      </c>
      <c r="AE468" s="90">
        <f t="shared" si="130"/>
        <v>0</v>
      </c>
      <c r="AF468" s="90" t="str">
        <f t="shared" si="131"/>
        <v/>
      </c>
      <c r="AG468" s="90">
        <f t="shared" si="132"/>
        <v>5</v>
      </c>
      <c r="AH468" s="90" t="str">
        <f t="shared" si="133"/>
        <v>2018 (triag)</v>
      </c>
      <c r="AI468" s="90">
        <f t="shared" si="134"/>
        <v>2</v>
      </c>
      <c r="AJ468" s="90">
        <f t="shared" si="135"/>
        <v>2022</v>
      </c>
      <c r="AK468" s="90" t="str">
        <f t="shared" si="136"/>
        <v>Adjust</v>
      </c>
      <c r="AL468" s="91">
        <f>IF(AK468="Adjust",(_xlfn.XLOOKUP(A468,'Adj factor'!A:A,'Adj factor'!I:I,,0)*AI468),'Master DataSheet'!AI468)</f>
        <v>2.4240811153358681</v>
      </c>
      <c r="AM468" s="91">
        <f t="shared" si="137"/>
        <v>5</v>
      </c>
      <c r="AN468" s="92" t="str">
        <f t="shared" si="138"/>
        <v>Decreasing</v>
      </c>
      <c r="AO468" s="93">
        <f>VLOOKUP(B468,'Growthrates source'!A$2:H$49,8,FALSE)</f>
        <v>3.0374199904759536E-2</v>
      </c>
      <c r="AP468" s="93">
        <f>VLOOKUP(B468,'Growthrates source'!A$2:I$49,9,FALSE)</f>
        <v>4.6424158096915802E-2</v>
      </c>
      <c r="AQ468" s="86">
        <f t="shared" si="139"/>
        <v>4.2954954889298174</v>
      </c>
      <c r="AR468" s="86">
        <f t="shared" si="140"/>
        <v>5.7471862471919097</v>
      </c>
      <c r="AS468" s="94">
        <f t="shared" si="141"/>
        <v>0</v>
      </c>
      <c r="AT468" s="94">
        <f t="shared" si="142"/>
        <v>2.5974639920060463E-2</v>
      </c>
      <c r="AU468" s="94">
        <f t="shared" si="143"/>
        <v>2.3746589692887742E-2</v>
      </c>
    </row>
    <row r="469" spans="1:47" x14ac:dyDescent="0.3">
      <c r="A469" s="85" t="str">
        <f>_xlfn.XLOOKUP(B469,'Country codes &amp; Data sources'!G:G,'Country codes &amp; Data sources'!H:H,,0)</f>
        <v>Guinea-Bissau</v>
      </c>
      <c r="B469" s="85" t="s">
        <v>174</v>
      </c>
      <c r="C469" s="86">
        <v>1652728.5</v>
      </c>
      <c r="D469" s="85" t="s">
        <v>133</v>
      </c>
      <c r="E469" s="87">
        <v>0</v>
      </c>
      <c r="F469" s="88">
        <v>1697752.4999999995</v>
      </c>
      <c r="G469" s="87">
        <v>0</v>
      </c>
      <c r="I469" s="87">
        <v>0</v>
      </c>
      <c r="K469" s="87">
        <v>0</v>
      </c>
      <c r="M469" s="87">
        <v>158</v>
      </c>
      <c r="O469" s="87">
        <v>0</v>
      </c>
      <c r="P469" s="88">
        <v>1924954.4999999988</v>
      </c>
      <c r="Q469" s="87">
        <v>53</v>
      </c>
      <c r="R469" s="87">
        <f t="shared" si="126"/>
        <v>53</v>
      </c>
      <c r="T469" s="87">
        <v>0</v>
      </c>
      <c r="V469" s="87">
        <v>285</v>
      </c>
      <c r="X469" s="87">
        <v>200</v>
      </c>
      <c r="Y469" s="88">
        <v>2105565.4999999991</v>
      </c>
      <c r="Z469" s="87">
        <v>1</v>
      </c>
      <c r="AA469" s="87">
        <v>0</v>
      </c>
      <c r="AB469" s="89">
        <f t="shared" si="127"/>
        <v>0</v>
      </c>
      <c r="AC469" s="89">
        <f t="shared" si="128"/>
        <v>158</v>
      </c>
      <c r="AD469" s="89">
        <f t="shared" si="129"/>
        <v>285</v>
      </c>
      <c r="AE469" s="90">
        <f t="shared" si="130"/>
        <v>0</v>
      </c>
      <c r="AF469" s="90" t="str">
        <f t="shared" si="131"/>
        <v/>
      </c>
      <c r="AG469" s="90">
        <f t="shared" si="132"/>
        <v>53</v>
      </c>
      <c r="AH469" s="90">
        <f t="shared" si="133"/>
        <v>2018</v>
      </c>
      <c r="AI469" s="90">
        <f t="shared" si="134"/>
        <v>1</v>
      </c>
      <c r="AJ469" s="90">
        <f t="shared" si="135"/>
        <v>2022</v>
      </c>
      <c r="AK469" s="90" t="str">
        <f t="shared" si="136"/>
        <v>Adjust</v>
      </c>
      <c r="AL469" s="91">
        <f>IF(AK469="Adjust",(_xlfn.XLOOKUP(A469,'Adj factor'!A:A,'Adj factor'!I:I,,0)*AI469),'Master DataSheet'!AI469)</f>
        <v>1.2120405576679341</v>
      </c>
      <c r="AM469" s="91">
        <f t="shared" si="137"/>
        <v>53</v>
      </c>
      <c r="AN469" s="92" t="str">
        <f t="shared" si="138"/>
        <v>Decreasing</v>
      </c>
      <c r="AO469" s="93">
        <f>VLOOKUP(B469,'Growthrates source'!A$2:H$49,8,FALSE)</f>
        <v>3.0374199904759536E-2</v>
      </c>
      <c r="AP469" s="93">
        <f>VLOOKUP(B469,'Growthrates source'!A$2:I$49,9,FALSE)</f>
        <v>4.6424158096915802E-2</v>
      </c>
      <c r="AQ469" s="86">
        <f t="shared" si="139"/>
        <v>0</v>
      </c>
      <c r="AR469" s="86">
        <f t="shared" si="140"/>
        <v>0</v>
      </c>
      <c r="AS469" s="94">
        <f t="shared" si="141"/>
        <v>0</v>
      </c>
      <c r="AT469" s="94">
        <f t="shared" si="142"/>
        <v>0.27533118315264093</v>
      </c>
      <c r="AU469" s="94">
        <f t="shared" si="143"/>
        <v>0.25171385074461006</v>
      </c>
    </row>
    <row r="470" spans="1:47" x14ac:dyDescent="0.3">
      <c r="A470" s="85" t="str">
        <f>_xlfn.XLOOKUP(B470,'Country codes &amp; Data sources'!G:G,'Country codes &amp; Data sources'!H:H,,0)</f>
        <v>Guinea-Bissau</v>
      </c>
      <c r="B470" s="85" t="s">
        <v>174</v>
      </c>
      <c r="C470" s="86">
        <v>1652729.5</v>
      </c>
      <c r="D470" s="85" t="s">
        <v>206</v>
      </c>
      <c r="E470" s="87">
        <v>0</v>
      </c>
      <c r="F470" s="88">
        <v>1697752.4999999995</v>
      </c>
      <c r="G470" s="87">
        <v>0</v>
      </c>
      <c r="I470" s="87">
        <v>0</v>
      </c>
      <c r="K470" s="87">
        <v>0</v>
      </c>
      <c r="M470" s="87">
        <v>0</v>
      </c>
      <c r="O470" s="87">
        <v>0</v>
      </c>
      <c r="P470" s="88">
        <v>1924954.4999999988</v>
      </c>
      <c r="Q470" s="87">
        <v>0</v>
      </c>
      <c r="R470" s="87">
        <f t="shared" si="126"/>
        <v>0</v>
      </c>
      <c r="T470" s="87">
        <v>0</v>
      </c>
      <c r="V470" s="87">
        <v>0</v>
      </c>
      <c r="X470" s="87">
        <v>0</v>
      </c>
      <c r="Y470" s="88">
        <v>2105565.4999999991</v>
      </c>
      <c r="Z470" s="87">
        <v>0</v>
      </c>
      <c r="AA470" s="87">
        <v>0</v>
      </c>
      <c r="AB470" s="89">
        <f t="shared" si="127"/>
        <v>0</v>
      </c>
      <c r="AC470" s="89">
        <f t="shared" si="128"/>
        <v>0</v>
      </c>
      <c r="AD470" s="89">
        <f t="shared" si="129"/>
        <v>0</v>
      </c>
      <c r="AE470" s="90">
        <f t="shared" si="130"/>
        <v>0</v>
      </c>
      <c r="AF470" s="90" t="str">
        <f t="shared" si="131"/>
        <v/>
      </c>
      <c r="AG470" s="90">
        <f t="shared" si="132"/>
        <v>0</v>
      </c>
      <c r="AH470" s="90" t="str">
        <f t="shared" si="133"/>
        <v/>
      </c>
      <c r="AI470" s="90">
        <f t="shared" si="134"/>
        <v>0</v>
      </c>
      <c r="AJ470" s="90" t="str">
        <f t="shared" si="135"/>
        <v/>
      </c>
      <c r="AK470" s="90" t="str">
        <f t="shared" si="136"/>
        <v/>
      </c>
      <c r="AL470" s="91">
        <f>IF(AK470="Adjust",(_xlfn.XLOOKUP(A470,'Adj factor'!A:A,'Adj factor'!I:I,,0)*AI470),'Master DataSheet'!AI470)</f>
        <v>0</v>
      </c>
      <c r="AM470" s="91">
        <f t="shared" si="137"/>
        <v>0</v>
      </c>
      <c r="AN470" s="92" t="str">
        <f t="shared" si="138"/>
        <v>No change</v>
      </c>
      <c r="AO470" s="93">
        <f>VLOOKUP(B470,'Growthrates source'!A$2:H$49,8,FALSE)</f>
        <v>3.0374199904759536E-2</v>
      </c>
      <c r="AP470" s="93">
        <f>VLOOKUP(B470,'Growthrates source'!A$2:I$49,9,FALSE)</f>
        <v>4.6424158096915802E-2</v>
      </c>
      <c r="AQ470" s="86">
        <f t="shared" si="139"/>
        <v>0</v>
      </c>
      <c r="AR470" s="86">
        <f t="shared" si="140"/>
        <v>0</v>
      </c>
      <c r="AS470" s="94">
        <f t="shared" si="141"/>
        <v>0</v>
      </c>
      <c r="AT470" s="94">
        <f t="shared" si="142"/>
        <v>0</v>
      </c>
      <c r="AU470" s="94">
        <f t="shared" si="143"/>
        <v>0</v>
      </c>
    </row>
    <row r="471" spans="1:47" x14ac:dyDescent="0.3">
      <c r="A471" s="85" t="str">
        <f>_xlfn.XLOOKUP(B471,'Country codes &amp; Data sources'!G:G,'Country codes &amp; Data sources'!H:H,,0)</f>
        <v>Guinea-Bissau</v>
      </c>
      <c r="B471" s="85" t="s">
        <v>174</v>
      </c>
      <c r="C471" s="86">
        <v>1652730.5</v>
      </c>
      <c r="D471" s="85" t="s">
        <v>136</v>
      </c>
      <c r="E471" s="87">
        <v>0</v>
      </c>
      <c r="F471" s="88">
        <v>1697752.4999999995</v>
      </c>
      <c r="G471" s="87">
        <v>0</v>
      </c>
      <c r="I471" s="87">
        <v>0</v>
      </c>
      <c r="K471" s="87">
        <v>0</v>
      </c>
      <c r="M471" s="87">
        <v>0</v>
      </c>
      <c r="O471" s="87">
        <v>0</v>
      </c>
      <c r="P471" s="88">
        <v>1924954.4999999988</v>
      </c>
      <c r="Q471" s="87">
        <v>17</v>
      </c>
      <c r="R471" s="87">
        <f t="shared" si="126"/>
        <v>17</v>
      </c>
      <c r="T471" s="87">
        <v>0</v>
      </c>
      <c r="V471" s="87">
        <v>3</v>
      </c>
      <c r="X471" s="87">
        <v>2</v>
      </c>
      <c r="Y471" s="88">
        <v>2105565.4999999991</v>
      </c>
      <c r="Z471" s="87">
        <v>51</v>
      </c>
      <c r="AA471" s="87">
        <v>12</v>
      </c>
      <c r="AB471" s="89">
        <f t="shared" si="127"/>
        <v>0</v>
      </c>
      <c r="AC471" s="89">
        <f t="shared" si="128"/>
        <v>17</v>
      </c>
      <c r="AD471" s="89">
        <f t="shared" si="129"/>
        <v>51</v>
      </c>
      <c r="AE471" s="90">
        <f t="shared" si="130"/>
        <v>0</v>
      </c>
      <c r="AF471" s="90" t="str">
        <f t="shared" si="131"/>
        <v/>
      </c>
      <c r="AG471" s="90">
        <f t="shared" si="132"/>
        <v>17</v>
      </c>
      <c r="AH471" s="90">
        <f t="shared" si="133"/>
        <v>2018</v>
      </c>
      <c r="AI471" s="90">
        <f t="shared" si="134"/>
        <v>51</v>
      </c>
      <c r="AJ471" s="90">
        <f t="shared" si="135"/>
        <v>2022</v>
      </c>
      <c r="AK471" s="90" t="str">
        <f t="shared" si="136"/>
        <v/>
      </c>
      <c r="AL471" s="91">
        <f>IF(AK471="Adjust",(_xlfn.XLOOKUP(A471,'Adj factor'!A:A,'Adj factor'!I:I,,0)*AI471),'Master DataSheet'!AI471)</f>
        <v>51</v>
      </c>
      <c r="AM471" s="91">
        <f t="shared" si="137"/>
        <v>51</v>
      </c>
      <c r="AN471" s="92" t="str">
        <f t="shared" si="138"/>
        <v>Increasing</v>
      </c>
      <c r="AO471" s="93">
        <f>VLOOKUP(B471,'Growthrates source'!A$2:H$49,8,FALSE)</f>
        <v>3.0374199904759536E-2</v>
      </c>
      <c r="AP471" s="93">
        <f>VLOOKUP(B471,'Growthrates source'!A$2:I$49,9,FALSE)</f>
        <v>4.6424158096915802E-2</v>
      </c>
      <c r="AQ471" s="86">
        <f t="shared" si="139"/>
        <v>10.309189173431561</v>
      </c>
      <c r="AR471" s="86">
        <f t="shared" si="140"/>
        <v>13.793246993260585</v>
      </c>
      <c r="AS471" s="94">
        <f t="shared" si="141"/>
        <v>0</v>
      </c>
      <c r="AT471" s="94">
        <f t="shared" si="142"/>
        <v>8.8313775728205576E-2</v>
      </c>
      <c r="AU471" s="94">
        <f t="shared" si="143"/>
        <v>0.24221521486745495</v>
      </c>
    </row>
    <row r="472" spans="1:47" x14ac:dyDescent="0.3">
      <c r="A472" s="85" t="str">
        <f>_xlfn.XLOOKUP(B472,'Country codes &amp; Data sources'!G:G,'Country codes &amp; Data sources'!H:H,,0)</f>
        <v>Guinea-Bissau</v>
      </c>
      <c r="B472" s="85" t="s">
        <v>174</v>
      </c>
      <c r="C472" s="86">
        <v>1652731.5</v>
      </c>
      <c r="D472" s="85" t="s">
        <v>207</v>
      </c>
      <c r="E472" s="87">
        <v>0</v>
      </c>
      <c r="F472" s="88">
        <v>1697752.4999999995</v>
      </c>
      <c r="G472" s="87">
        <v>0</v>
      </c>
      <c r="I472" s="87">
        <v>0</v>
      </c>
      <c r="K472" s="87">
        <v>0</v>
      </c>
      <c r="M472" s="87">
        <v>0</v>
      </c>
      <c r="O472" s="87">
        <v>0</v>
      </c>
      <c r="P472" s="88">
        <v>1924954.4999999988</v>
      </c>
      <c r="Q472" s="87">
        <v>1</v>
      </c>
      <c r="R472" s="87">
        <f t="shared" si="126"/>
        <v>24</v>
      </c>
      <c r="T472" s="87">
        <v>0</v>
      </c>
      <c r="V472" s="87">
        <v>0</v>
      </c>
      <c r="X472" s="87">
        <v>0</v>
      </c>
      <c r="Y472" s="88">
        <v>2105565.4999999991</v>
      </c>
      <c r="Z472" s="87">
        <v>0</v>
      </c>
      <c r="AA472" s="87">
        <v>24</v>
      </c>
      <c r="AB472" s="89">
        <f t="shared" si="127"/>
        <v>0</v>
      </c>
      <c r="AC472" s="89">
        <f t="shared" si="128"/>
        <v>1</v>
      </c>
      <c r="AD472" s="89">
        <f t="shared" si="129"/>
        <v>0</v>
      </c>
      <c r="AE472" s="90">
        <f t="shared" si="130"/>
        <v>0</v>
      </c>
      <c r="AF472" s="90" t="str">
        <f t="shared" si="131"/>
        <v/>
      </c>
      <c r="AG472" s="90">
        <f t="shared" si="132"/>
        <v>24</v>
      </c>
      <c r="AH472" s="90" t="str">
        <f t="shared" si="133"/>
        <v>2018 (triag)</v>
      </c>
      <c r="AI472" s="90">
        <f t="shared" si="134"/>
        <v>24</v>
      </c>
      <c r="AJ472" s="90" t="str">
        <f t="shared" si="135"/>
        <v>2018 (triag)</v>
      </c>
      <c r="AK472" s="90" t="str">
        <f t="shared" si="136"/>
        <v/>
      </c>
      <c r="AL472" s="91">
        <f>IF(AK472="Adjust",(_xlfn.XLOOKUP(A472,'Adj factor'!A:A,'Adj factor'!I:I,,0)*AI472),'Master DataSheet'!AI472)</f>
        <v>24</v>
      </c>
      <c r="AM472" s="91">
        <f t="shared" si="137"/>
        <v>24</v>
      </c>
      <c r="AN472" s="92" t="str">
        <f t="shared" si="138"/>
        <v>No change</v>
      </c>
      <c r="AO472" s="93">
        <f>VLOOKUP(B472,'Growthrates source'!A$2:H$49,8,FALSE)</f>
        <v>3.0374199904759536E-2</v>
      </c>
      <c r="AP472" s="93">
        <f>VLOOKUP(B472,'Growthrates source'!A$2:I$49,9,FALSE)</f>
        <v>4.6424158096915802E-2</v>
      </c>
      <c r="AQ472" s="86">
        <f t="shared" si="139"/>
        <v>20.618378346863121</v>
      </c>
      <c r="AR472" s="86">
        <f t="shared" si="140"/>
        <v>27.58649398652117</v>
      </c>
      <c r="AS472" s="94">
        <f t="shared" si="141"/>
        <v>0</v>
      </c>
      <c r="AT472" s="94">
        <f t="shared" si="142"/>
        <v>0.12467827161629022</v>
      </c>
      <c r="AU472" s="94">
        <f t="shared" si="143"/>
        <v>0.11398363052586115</v>
      </c>
    </row>
    <row r="473" spans="1:47" x14ac:dyDescent="0.3">
      <c r="A473" s="85" t="str">
        <f>_xlfn.XLOOKUP(B473,'Country codes &amp; Data sources'!G:G,'Country codes &amp; Data sources'!H:H,,0)</f>
        <v>Guinea-Bissau</v>
      </c>
      <c r="B473" s="85" t="s">
        <v>174</v>
      </c>
      <c r="C473" s="86">
        <v>1652732.5</v>
      </c>
      <c r="D473" s="85" t="s">
        <v>141</v>
      </c>
      <c r="E473" s="87">
        <v>0</v>
      </c>
      <c r="F473" s="88">
        <v>1697752.4999999995</v>
      </c>
      <c r="G473" s="87">
        <v>0</v>
      </c>
      <c r="I473" s="87">
        <v>0</v>
      </c>
      <c r="K473" s="87">
        <v>0</v>
      </c>
      <c r="M473" s="87">
        <v>0</v>
      </c>
      <c r="O473" s="87">
        <v>0</v>
      </c>
      <c r="P473" s="88">
        <v>1924954.4999999988</v>
      </c>
      <c r="Q473" s="87">
        <v>1</v>
      </c>
      <c r="R473" s="87">
        <f t="shared" si="126"/>
        <v>16</v>
      </c>
      <c r="T473" s="87">
        <v>0</v>
      </c>
      <c r="V473" s="87">
        <v>9</v>
      </c>
      <c r="X473" s="87">
        <v>10</v>
      </c>
      <c r="Y473" s="88">
        <v>2105565.4999999991</v>
      </c>
      <c r="Z473" s="87">
        <v>0</v>
      </c>
      <c r="AA473" s="87">
        <v>16</v>
      </c>
      <c r="AB473" s="89">
        <f t="shared" si="127"/>
        <v>0</v>
      </c>
      <c r="AC473" s="89">
        <f t="shared" si="128"/>
        <v>1</v>
      </c>
      <c r="AD473" s="89">
        <f t="shared" si="129"/>
        <v>10</v>
      </c>
      <c r="AE473" s="90">
        <f t="shared" si="130"/>
        <v>0</v>
      </c>
      <c r="AF473" s="90" t="str">
        <f t="shared" si="131"/>
        <v/>
      </c>
      <c r="AG473" s="90">
        <f t="shared" si="132"/>
        <v>16</v>
      </c>
      <c r="AH473" s="90" t="str">
        <f t="shared" si="133"/>
        <v>2018 (triag)</v>
      </c>
      <c r="AI473" s="90">
        <f t="shared" si="134"/>
        <v>10</v>
      </c>
      <c r="AJ473" s="90">
        <f t="shared" si="135"/>
        <v>2021</v>
      </c>
      <c r="AK473" s="90" t="str">
        <f t="shared" si="136"/>
        <v>Adjust</v>
      </c>
      <c r="AL473" s="91">
        <f>IF(AK473="Adjust",(_xlfn.XLOOKUP(A473,'Adj factor'!A:A,'Adj factor'!I:I,,0)*AI473),'Master DataSheet'!AI473)</f>
        <v>12.120405576679341</v>
      </c>
      <c r="AM473" s="91">
        <f t="shared" si="137"/>
        <v>16</v>
      </c>
      <c r="AN473" s="92" t="str">
        <f t="shared" si="138"/>
        <v>Decreasing</v>
      </c>
      <c r="AO473" s="93">
        <f>VLOOKUP(B473,'Growthrates source'!A$2:H$49,8,FALSE)</f>
        <v>3.0374199904759536E-2</v>
      </c>
      <c r="AP473" s="93">
        <f>VLOOKUP(B473,'Growthrates source'!A$2:I$49,9,FALSE)</f>
        <v>4.6424158096915802E-2</v>
      </c>
      <c r="AQ473" s="86">
        <f t="shared" si="139"/>
        <v>13.745585564575414</v>
      </c>
      <c r="AR473" s="86">
        <f t="shared" si="140"/>
        <v>18.390995991014112</v>
      </c>
      <c r="AS473" s="94">
        <f t="shared" si="141"/>
        <v>0</v>
      </c>
      <c r="AT473" s="94">
        <f t="shared" si="142"/>
        <v>8.311884774419348E-2</v>
      </c>
      <c r="AU473" s="94">
        <f t="shared" si="143"/>
        <v>7.5989087017240775E-2</v>
      </c>
    </row>
    <row r="474" spans="1:47" x14ac:dyDescent="0.3">
      <c r="A474" s="85" t="str">
        <f>_xlfn.XLOOKUP(B474,'Country codes &amp; Data sources'!G:G,'Country codes &amp; Data sources'!H:H,,0)</f>
        <v>Guinea-Bissau</v>
      </c>
      <c r="B474" s="85" t="s">
        <v>174</v>
      </c>
      <c r="C474" s="86">
        <v>1652733.5</v>
      </c>
      <c r="D474" s="85" t="s">
        <v>208</v>
      </c>
      <c r="E474" s="87">
        <v>0</v>
      </c>
      <c r="F474" s="88">
        <v>1697752.4999999995</v>
      </c>
      <c r="G474" s="87">
        <v>0</v>
      </c>
      <c r="I474" s="87">
        <v>0</v>
      </c>
      <c r="K474" s="87">
        <v>0</v>
      </c>
      <c r="M474" s="87">
        <v>0</v>
      </c>
      <c r="O474" s="87">
        <v>0</v>
      </c>
      <c r="P474" s="88">
        <v>1924954.4999999988</v>
      </c>
      <c r="Q474" s="87">
        <v>0</v>
      </c>
      <c r="R474" s="87">
        <f t="shared" si="126"/>
        <v>481</v>
      </c>
      <c r="T474" s="87">
        <v>0</v>
      </c>
      <c r="V474" s="87">
        <v>149</v>
      </c>
      <c r="X474" s="87">
        <v>0</v>
      </c>
      <c r="Y474" s="88">
        <v>2105565.4999999991</v>
      </c>
      <c r="Z474" s="87">
        <v>10</v>
      </c>
      <c r="AA474" s="87">
        <v>481</v>
      </c>
      <c r="AB474" s="89">
        <f t="shared" si="127"/>
        <v>0</v>
      </c>
      <c r="AC474" s="89">
        <f t="shared" si="128"/>
        <v>0</v>
      </c>
      <c r="AD474" s="89">
        <f t="shared" si="129"/>
        <v>149</v>
      </c>
      <c r="AE474" s="90">
        <f t="shared" si="130"/>
        <v>0</v>
      </c>
      <c r="AF474" s="90" t="str">
        <f t="shared" si="131"/>
        <v/>
      </c>
      <c r="AG474" s="90">
        <f t="shared" si="132"/>
        <v>481</v>
      </c>
      <c r="AH474" s="90" t="str">
        <f t="shared" si="133"/>
        <v>2018 (triag)</v>
      </c>
      <c r="AI474" s="90">
        <f t="shared" si="134"/>
        <v>10</v>
      </c>
      <c r="AJ474" s="90">
        <f t="shared" si="135"/>
        <v>2022</v>
      </c>
      <c r="AK474" s="90" t="str">
        <f t="shared" si="136"/>
        <v>Adjust</v>
      </c>
      <c r="AL474" s="91">
        <f>IF(AK474="Adjust",(_xlfn.XLOOKUP(A474,'Adj factor'!A:A,'Adj factor'!I:I,,0)*AI474),'Master DataSheet'!AI474)</f>
        <v>12.120405576679341</v>
      </c>
      <c r="AM474" s="91">
        <f t="shared" si="137"/>
        <v>481</v>
      </c>
      <c r="AN474" s="92" t="str">
        <f t="shared" si="138"/>
        <v>Decreasing</v>
      </c>
      <c r="AO474" s="93">
        <f>VLOOKUP(B474,'Growthrates source'!A$2:H$49,8,FALSE)</f>
        <v>3.0374199904759536E-2</v>
      </c>
      <c r="AP474" s="93">
        <f>VLOOKUP(B474,'Growthrates source'!A$2:I$49,9,FALSE)</f>
        <v>4.6424158096915802E-2</v>
      </c>
      <c r="AQ474" s="86">
        <f t="shared" si="139"/>
        <v>413.22666603504837</v>
      </c>
      <c r="AR474" s="86">
        <f t="shared" si="140"/>
        <v>552.87931697986176</v>
      </c>
      <c r="AS474" s="94">
        <f t="shared" si="141"/>
        <v>0</v>
      </c>
      <c r="AT474" s="94">
        <f t="shared" si="142"/>
        <v>2.4987603603098165</v>
      </c>
      <c r="AU474" s="94">
        <f t="shared" si="143"/>
        <v>2.2844219284558007</v>
      </c>
    </row>
    <row r="475" spans="1:47" x14ac:dyDescent="0.3">
      <c r="A475" s="85" t="str">
        <f>_xlfn.XLOOKUP(B475,'Country codes &amp; Data sources'!G:G,'Country codes &amp; Data sources'!H:H,,0)</f>
        <v>Guinea-Bissau</v>
      </c>
      <c r="B475" s="85" t="s">
        <v>174</v>
      </c>
      <c r="C475" s="86">
        <v>1652734.5</v>
      </c>
      <c r="D475" s="85" t="s">
        <v>209</v>
      </c>
      <c r="E475" s="87">
        <v>0</v>
      </c>
      <c r="F475" s="88">
        <v>1697752.4999999995</v>
      </c>
      <c r="G475" s="87">
        <v>0</v>
      </c>
      <c r="I475" s="87">
        <v>0</v>
      </c>
      <c r="K475" s="87">
        <v>0</v>
      </c>
      <c r="M475" s="87">
        <v>0</v>
      </c>
      <c r="O475" s="87">
        <v>0</v>
      </c>
      <c r="P475" s="88">
        <v>1924954.4999999988</v>
      </c>
      <c r="Q475" s="87">
        <v>0</v>
      </c>
      <c r="R475" s="87">
        <f t="shared" si="126"/>
        <v>69</v>
      </c>
      <c r="T475" s="87">
        <v>0</v>
      </c>
      <c r="V475" s="87">
        <v>115</v>
      </c>
      <c r="X475" s="87">
        <v>86</v>
      </c>
      <c r="Y475" s="88">
        <v>2105565.4999999991</v>
      </c>
      <c r="Z475" s="87">
        <v>64</v>
      </c>
      <c r="AA475" s="87">
        <v>69</v>
      </c>
      <c r="AB475" s="89">
        <f t="shared" si="127"/>
        <v>0</v>
      </c>
      <c r="AC475" s="89">
        <f t="shared" si="128"/>
        <v>0</v>
      </c>
      <c r="AD475" s="89">
        <f t="shared" si="129"/>
        <v>115</v>
      </c>
      <c r="AE475" s="90">
        <f t="shared" si="130"/>
        <v>0</v>
      </c>
      <c r="AF475" s="90" t="str">
        <f t="shared" si="131"/>
        <v/>
      </c>
      <c r="AG475" s="90">
        <f t="shared" si="132"/>
        <v>69</v>
      </c>
      <c r="AH475" s="90" t="str">
        <f t="shared" si="133"/>
        <v>2018 (triag)</v>
      </c>
      <c r="AI475" s="90">
        <f t="shared" si="134"/>
        <v>64</v>
      </c>
      <c r="AJ475" s="90">
        <f t="shared" si="135"/>
        <v>2022</v>
      </c>
      <c r="AK475" s="90" t="str">
        <f t="shared" si="136"/>
        <v>Adjust</v>
      </c>
      <c r="AL475" s="91">
        <f>IF(AK475="Adjust",(_xlfn.XLOOKUP(A475,'Adj factor'!A:A,'Adj factor'!I:I,,0)*AI475),'Master DataSheet'!AI475)</f>
        <v>77.57059569074778</v>
      </c>
      <c r="AM475" s="91">
        <f t="shared" si="137"/>
        <v>77.57059569074778</v>
      </c>
      <c r="AN475" s="92" t="str">
        <f t="shared" si="138"/>
        <v>Increasing</v>
      </c>
      <c r="AO475" s="93">
        <f>VLOOKUP(B475,'Growthrates source'!A$2:H$49,8,FALSE)</f>
        <v>3.0374199904759536E-2</v>
      </c>
      <c r="AP475" s="93">
        <f>VLOOKUP(B475,'Growthrates source'!A$2:I$49,9,FALSE)</f>
        <v>4.6424158096915802E-2</v>
      </c>
      <c r="AQ475" s="86">
        <f t="shared" si="139"/>
        <v>59.277837747231473</v>
      </c>
      <c r="AR475" s="86">
        <f t="shared" si="140"/>
        <v>79.311170211248353</v>
      </c>
      <c r="AS475" s="94">
        <f t="shared" si="141"/>
        <v>0</v>
      </c>
      <c r="AT475" s="94">
        <f t="shared" si="142"/>
        <v>0.35845003089683442</v>
      </c>
      <c r="AU475" s="94">
        <f t="shared" si="143"/>
        <v>0.36840742162021467</v>
      </c>
    </row>
    <row r="476" spans="1:47" x14ac:dyDescent="0.3">
      <c r="A476" s="85" t="str">
        <f>_xlfn.XLOOKUP(B476,'Country codes &amp; Data sources'!G:G,'Country codes &amp; Data sources'!H:H,,0)</f>
        <v>Guinea-Bissau</v>
      </c>
      <c r="B476" s="85" t="s">
        <v>174</v>
      </c>
      <c r="C476" s="86">
        <v>1652735.5</v>
      </c>
      <c r="D476" s="85" t="s">
        <v>134</v>
      </c>
      <c r="E476" s="87">
        <v>0</v>
      </c>
      <c r="F476" s="88">
        <v>1697752.4999999995</v>
      </c>
      <c r="G476" s="87">
        <v>0</v>
      </c>
      <c r="I476" s="87">
        <v>0</v>
      </c>
      <c r="K476" s="87">
        <v>0</v>
      </c>
      <c r="M476" s="87">
        <v>16</v>
      </c>
      <c r="O476" s="87">
        <v>0</v>
      </c>
      <c r="P476" s="88">
        <v>1924954.4999999988</v>
      </c>
      <c r="Q476" s="87">
        <v>0</v>
      </c>
      <c r="R476" s="87">
        <f t="shared" si="126"/>
        <v>172</v>
      </c>
      <c r="T476" s="87">
        <v>0</v>
      </c>
      <c r="V476" s="87">
        <v>1</v>
      </c>
      <c r="X476" s="87">
        <v>1</v>
      </c>
      <c r="Y476" s="88">
        <v>2105565.4999999991</v>
      </c>
      <c r="Z476" s="87">
        <v>197</v>
      </c>
      <c r="AA476" s="87">
        <v>172</v>
      </c>
      <c r="AB476" s="89">
        <f t="shared" si="127"/>
        <v>0</v>
      </c>
      <c r="AC476" s="89">
        <f t="shared" si="128"/>
        <v>16</v>
      </c>
      <c r="AD476" s="89">
        <f t="shared" si="129"/>
        <v>197</v>
      </c>
      <c r="AE476" s="90">
        <f t="shared" si="130"/>
        <v>0</v>
      </c>
      <c r="AF476" s="90" t="str">
        <f t="shared" si="131"/>
        <v/>
      </c>
      <c r="AG476" s="90">
        <f t="shared" si="132"/>
        <v>172</v>
      </c>
      <c r="AH476" s="90" t="str">
        <f t="shared" si="133"/>
        <v>2018 (triag)</v>
      </c>
      <c r="AI476" s="90">
        <f t="shared" si="134"/>
        <v>197</v>
      </c>
      <c r="AJ476" s="90">
        <f t="shared" si="135"/>
        <v>2022</v>
      </c>
      <c r="AK476" s="90" t="str">
        <f t="shared" si="136"/>
        <v/>
      </c>
      <c r="AL476" s="91">
        <f>IF(AK476="Adjust",(_xlfn.XLOOKUP(A476,'Adj factor'!A:A,'Adj factor'!I:I,,0)*AI476),'Master DataSheet'!AI476)</f>
        <v>197</v>
      </c>
      <c r="AM476" s="91">
        <f t="shared" si="137"/>
        <v>197</v>
      </c>
      <c r="AN476" s="92" t="str">
        <f t="shared" si="138"/>
        <v>Increasing</v>
      </c>
      <c r="AO476" s="93">
        <f>VLOOKUP(B476,'Growthrates source'!A$2:H$49,8,FALSE)</f>
        <v>3.0374199904759536E-2</v>
      </c>
      <c r="AP476" s="93">
        <f>VLOOKUP(B476,'Growthrates source'!A$2:I$49,9,FALSE)</f>
        <v>4.6424158096915802E-2</v>
      </c>
      <c r="AQ476" s="86">
        <f t="shared" si="139"/>
        <v>147.7650448191857</v>
      </c>
      <c r="AR476" s="86">
        <f t="shared" si="140"/>
        <v>197.70320690340171</v>
      </c>
      <c r="AS476" s="94">
        <f t="shared" si="141"/>
        <v>0</v>
      </c>
      <c r="AT476" s="94">
        <f t="shared" si="142"/>
        <v>0.89352761325008001</v>
      </c>
      <c r="AU476" s="94">
        <f t="shared" si="143"/>
        <v>0.93561563389977698</v>
      </c>
    </row>
    <row r="477" spans="1:47" x14ac:dyDescent="0.3">
      <c r="A477" s="85" t="str">
        <f>_xlfn.XLOOKUP(B477,'Country codes &amp; Data sources'!G:G,'Country codes &amp; Data sources'!H:H,,0)</f>
        <v>Guinea-Bissau</v>
      </c>
      <c r="B477" s="85" t="s">
        <v>174</v>
      </c>
      <c r="C477" s="86">
        <v>1652736.5</v>
      </c>
      <c r="D477" s="85" t="s">
        <v>142</v>
      </c>
      <c r="E477" s="87">
        <v>0</v>
      </c>
      <c r="F477" s="88">
        <v>1697752.4999999995</v>
      </c>
      <c r="G477" s="87">
        <v>0</v>
      </c>
      <c r="I477" s="87">
        <v>0</v>
      </c>
      <c r="K477" s="87">
        <v>0</v>
      </c>
      <c r="M477" s="87">
        <v>11</v>
      </c>
      <c r="O477" s="87">
        <v>0</v>
      </c>
      <c r="P477" s="88">
        <v>1924954.4999999988</v>
      </c>
      <c r="Q477" s="87">
        <v>0</v>
      </c>
      <c r="R477" s="87">
        <f t="shared" si="126"/>
        <v>8</v>
      </c>
      <c r="T477" s="87">
        <v>0</v>
      </c>
      <c r="V477" s="87">
        <v>2</v>
      </c>
      <c r="X477" s="87">
        <v>0</v>
      </c>
      <c r="Y477" s="88">
        <v>2105565.4999999991</v>
      </c>
      <c r="Z477" s="87">
        <v>0</v>
      </c>
      <c r="AA477" s="87">
        <v>8</v>
      </c>
      <c r="AB477" s="89">
        <f t="shared" si="127"/>
        <v>0</v>
      </c>
      <c r="AC477" s="89">
        <f t="shared" si="128"/>
        <v>11</v>
      </c>
      <c r="AD477" s="89">
        <f t="shared" si="129"/>
        <v>2</v>
      </c>
      <c r="AE477" s="90">
        <f t="shared" si="130"/>
        <v>0</v>
      </c>
      <c r="AF477" s="90" t="str">
        <f t="shared" si="131"/>
        <v/>
      </c>
      <c r="AG477" s="90">
        <f t="shared" si="132"/>
        <v>8</v>
      </c>
      <c r="AH477" s="90" t="str">
        <f t="shared" si="133"/>
        <v>2018 (triag)</v>
      </c>
      <c r="AI477" s="90">
        <f t="shared" si="134"/>
        <v>2</v>
      </c>
      <c r="AJ477" s="90">
        <f t="shared" si="135"/>
        <v>2020</v>
      </c>
      <c r="AK477" s="90" t="str">
        <f t="shared" si="136"/>
        <v>Adjust</v>
      </c>
      <c r="AL477" s="91">
        <f>IF(AK477="Adjust",(_xlfn.XLOOKUP(A477,'Adj factor'!A:A,'Adj factor'!I:I,,0)*AI477),'Master DataSheet'!AI477)</f>
        <v>2.4240811153358681</v>
      </c>
      <c r="AM477" s="91">
        <f t="shared" si="137"/>
        <v>8</v>
      </c>
      <c r="AN477" s="92" t="str">
        <f t="shared" si="138"/>
        <v>Decreasing</v>
      </c>
      <c r="AO477" s="93">
        <f>VLOOKUP(B477,'Growthrates source'!A$2:H$49,8,FALSE)</f>
        <v>3.0374199904759536E-2</v>
      </c>
      <c r="AP477" s="93">
        <f>VLOOKUP(B477,'Growthrates source'!A$2:I$49,9,FALSE)</f>
        <v>4.6424158096915802E-2</v>
      </c>
      <c r="AQ477" s="86">
        <f t="shared" si="139"/>
        <v>6.8727927822877071</v>
      </c>
      <c r="AR477" s="86">
        <f t="shared" si="140"/>
        <v>9.1954979955070559</v>
      </c>
      <c r="AS477" s="94">
        <f t="shared" si="141"/>
        <v>0</v>
      </c>
      <c r="AT477" s="94">
        <f t="shared" si="142"/>
        <v>4.155942387209674E-2</v>
      </c>
      <c r="AU477" s="94">
        <f t="shared" si="143"/>
        <v>3.7994543508620388E-2</v>
      </c>
    </row>
    <row r="478" spans="1:47" x14ac:dyDescent="0.3">
      <c r="A478" s="85" t="str">
        <f>_xlfn.XLOOKUP(B478,'Country codes &amp; Data sources'!G:G,'Country codes &amp; Data sources'!H:H,,0)</f>
        <v>Guinea-Bissau</v>
      </c>
      <c r="B478" s="85" t="s">
        <v>174</v>
      </c>
      <c r="C478" s="86">
        <v>1652737.5</v>
      </c>
      <c r="D478" s="85" t="s">
        <v>83</v>
      </c>
      <c r="E478" s="87">
        <v>0</v>
      </c>
      <c r="F478" s="88">
        <v>1697752.4999999995</v>
      </c>
      <c r="G478" s="87">
        <v>0</v>
      </c>
      <c r="I478" s="87">
        <v>0</v>
      </c>
      <c r="K478" s="87">
        <v>0</v>
      </c>
      <c r="M478" s="87">
        <v>0</v>
      </c>
      <c r="O478" s="87">
        <v>0</v>
      </c>
      <c r="P478" s="88">
        <v>1924954.4999999988</v>
      </c>
      <c r="Q478" s="87">
        <v>15</v>
      </c>
      <c r="R478" s="87">
        <f t="shared" si="126"/>
        <v>15</v>
      </c>
      <c r="T478" s="87">
        <v>0</v>
      </c>
      <c r="V478" s="87">
        <v>4</v>
      </c>
      <c r="X478" s="87">
        <v>6</v>
      </c>
      <c r="Y478" s="88">
        <v>2105565.4999999991</v>
      </c>
      <c r="Z478" s="87">
        <v>5</v>
      </c>
      <c r="AA478" s="87">
        <v>13</v>
      </c>
      <c r="AB478" s="89">
        <f t="shared" si="127"/>
        <v>0</v>
      </c>
      <c r="AC478" s="89">
        <f t="shared" si="128"/>
        <v>15</v>
      </c>
      <c r="AD478" s="89">
        <f t="shared" si="129"/>
        <v>6</v>
      </c>
      <c r="AE478" s="90">
        <f t="shared" si="130"/>
        <v>0</v>
      </c>
      <c r="AF478" s="90" t="str">
        <f t="shared" si="131"/>
        <v/>
      </c>
      <c r="AG478" s="90">
        <f t="shared" si="132"/>
        <v>15</v>
      </c>
      <c r="AH478" s="90">
        <f t="shared" si="133"/>
        <v>2018</v>
      </c>
      <c r="AI478" s="90">
        <f t="shared" si="134"/>
        <v>5</v>
      </c>
      <c r="AJ478" s="90">
        <f t="shared" si="135"/>
        <v>2022</v>
      </c>
      <c r="AK478" s="90" t="str">
        <f t="shared" si="136"/>
        <v>Adjust</v>
      </c>
      <c r="AL478" s="91">
        <f>IF(AK478="Adjust",(_xlfn.XLOOKUP(A478,'Adj factor'!A:A,'Adj factor'!I:I,,0)*AI478),'Master DataSheet'!AI478)</f>
        <v>6.0602027883396703</v>
      </c>
      <c r="AM478" s="91">
        <f t="shared" si="137"/>
        <v>15</v>
      </c>
      <c r="AN478" s="92" t="str">
        <f t="shared" si="138"/>
        <v>Decreasing</v>
      </c>
      <c r="AO478" s="93">
        <f>VLOOKUP(B478,'Growthrates source'!A$2:H$49,8,FALSE)</f>
        <v>3.0374199904759536E-2</v>
      </c>
      <c r="AP478" s="93">
        <f>VLOOKUP(B478,'Growthrates source'!A$2:I$49,9,FALSE)</f>
        <v>4.6424158096915802E-2</v>
      </c>
      <c r="AQ478" s="86">
        <f t="shared" si="139"/>
        <v>11.168288271217524</v>
      </c>
      <c r="AR478" s="86">
        <f t="shared" si="140"/>
        <v>14.942684242698967</v>
      </c>
      <c r="AS478" s="94">
        <f t="shared" si="141"/>
        <v>0</v>
      </c>
      <c r="AT478" s="94">
        <f t="shared" si="142"/>
        <v>7.7923919760181398E-2</v>
      </c>
      <c r="AU478" s="94">
        <f t="shared" si="143"/>
        <v>7.1239769078663223E-2</v>
      </c>
    </row>
    <row r="479" spans="1:47" x14ac:dyDescent="0.3">
      <c r="A479" s="85" t="str">
        <f>_xlfn.XLOOKUP(B479,'Country codes &amp; Data sources'!G:G,'Country codes &amp; Data sources'!H:H,,0)</f>
        <v>Guinea-Bissau</v>
      </c>
      <c r="B479" s="85" t="s">
        <v>174</v>
      </c>
      <c r="C479" s="86">
        <v>1652738.5</v>
      </c>
      <c r="D479" s="85" t="s">
        <v>84</v>
      </c>
      <c r="E479" s="87">
        <v>0</v>
      </c>
      <c r="F479" s="88">
        <v>1697752.4999999995</v>
      </c>
      <c r="G479" s="87">
        <v>0</v>
      </c>
      <c r="I479" s="87">
        <v>0</v>
      </c>
      <c r="K479" s="87">
        <v>0</v>
      </c>
      <c r="M479" s="87">
        <v>0</v>
      </c>
      <c r="O479" s="87">
        <v>0</v>
      </c>
      <c r="P479" s="88">
        <v>1924954.4999999988</v>
      </c>
      <c r="Q479" s="87">
        <v>53</v>
      </c>
      <c r="R479" s="87">
        <f t="shared" si="126"/>
        <v>53</v>
      </c>
      <c r="T479" s="87">
        <v>0</v>
      </c>
      <c r="V479" s="87">
        <v>61</v>
      </c>
      <c r="X479" s="87">
        <v>16</v>
      </c>
      <c r="Y479" s="88">
        <v>2105565.4999999991</v>
      </c>
      <c r="Z479" s="87">
        <v>68</v>
      </c>
      <c r="AA479" s="87">
        <v>0</v>
      </c>
      <c r="AB479" s="89">
        <f t="shared" si="127"/>
        <v>0</v>
      </c>
      <c r="AC479" s="89">
        <f t="shared" si="128"/>
        <v>53</v>
      </c>
      <c r="AD479" s="89">
        <f t="shared" si="129"/>
        <v>68</v>
      </c>
      <c r="AE479" s="90">
        <f t="shared" si="130"/>
        <v>0</v>
      </c>
      <c r="AF479" s="90" t="str">
        <f t="shared" si="131"/>
        <v/>
      </c>
      <c r="AG479" s="90">
        <f t="shared" si="132"/>
        <v>53</v>
      </c>
      <c r="AH479" s="90">
        <f t="shared" si="133"/>
        <v>2018</v>
      </c>
      <c r="AI479" s="90">
        <f t="shared" si="134"/>
        <v>68</v>
      </c>
      <c r="AJ479" s="90">
        <f t="shared" si="135"/>
        <v>2022</v>
      </c>
      <c r="AK479" s="90" t="str">
        <f t="shared" si="136"/>
        <v/>
      </c>
      <c r="AL479" s="91">
        <f>IF(AK479="Adjust",(_xlfn.XLOOKUP(A479,'Adj factor'!A:A,'Adj factor'!I:I,,0)*AI479),'Master DataSheet'!AI479)</f>
        <v>68</v>
      </c>
      <c r="AM479" s="91">
        <f t="shared" si="137"/>
        <v>68</v>
      </c>
      <c r="AN479" s="92" t="str">
        <f t="shared" si="138"/>
        <v>Increasing</v>
      </c>
      <c r="AO479" s="93">
        <f>VLOOKUP(B479,'Growthrates source'!A$2:H$49,8,FALSE)</f>
        <v>3.0374199904759536E-2</v>
      </c>
      <c r="AP479" s="93">
        <f>VLOOKUP(B479,'Growthrates source'!A$2:I$49,9,FALSE)</f>
        <v>4.6424158096915802E-2</v>
      </c>
      <c r="AQ479" s="86">
        <f t="shared" si="139"/>
        <v>0</v>
      </c>
      <c r="AR479" s="86">
        <f t="shared" si="140"/>
        <v>0</v>
      </c>
      <c r="AS479" s="94">
        <f t="shared" si="141"/>
        <v>0</v>
      </c>
      <c r="AT479" s="94">
        <f t="shared" si="142"/>
        <v>0.27533118315264093</v>
      </c>
      <c r="AU479" s="94">
        <f t="shared" si="143"/>
        <v>0.32295361982327325</v>
      </c>
    </row>
    <row r="480" spans="1:47" x14ac:dyDescent="0.3">
      <c r="A480" s="85" t="str">
        <f>_xlfn.XLOOKUP(B480,'Country codes &amp; Data sources'!G:G,'Country codes &amp; Data sources'!H:H,,0)</f>
        <v>Guinea-Bissau</v>
      </c>
      <c r="B480" s="85" t="s">
        <v>174</v>
      </c>
      <c r="C480" s="86">
        <v>1652739.5</v>
      </c>
      <c r="D480" s="85" t="s">
        <v>126</v>
      </c>
      <c r="E480" s="87">
        <v>0</v>
      </c>
      <c r="F480" s="88">
        <v>1697752.4999999995</v>
      </c>
      <c r="G480" s="87">
        <v>0</v>
      </c>
      <c r="I480" s="87">
        <v>0</v>
      </c>
      <c r="K480" s="87">
        <v>0</v>
      </c>
      <c r="M480" s="87">
        <v>0</v>
      </c>
      <c r="O480" s="87">
        <v>0</v>
      </c>
      <c r="P480" s="88">
        <v>1924954.4999999988</v>
      </c>
      <c r="Q480" s="87">
        <v>0</v>
      </c>
      <c r="R480" s="87">
        <f t="shared" si="126"/>
        <v>0</v>
      </c>
      <c r="T480" s="87">
        <v>0</v>
      </c>
      <c r="V480" s="87">
        <v>0</v>
      </c>
      <c r="X480" s="87">
        <v>0</v>
      </c>
      <c r="Y480" s="88">
        <v>2105565.4999999991</v>
      </c>
      <c r="Z480" s="87">
        <v>0</v>
      </c>
      <c r="AA480" s="87">
        <v>0</v>
      </c>
      <c r="AB480" s="89">
        <f t="shared" si="127"/>
        <v>0</v>
      </c>
      <c r="AC480" s="89">
        <f t="shared" si="128"/>
        <v>0</v>
      </c>
      <c r="AD480" s="89">
        <f t="shared" si="129"/>
        <v>0</v>
      </c>
      <c r="AE480" s="90">
        <f t="shared" si="130"/>
        <v>0</v>
      </c>
      <c r="AF480" s="90" t="str">
        <f t="shared" si="131"/>
        <v/>
      </c>
      <c r="AG480" s="90">
        <f t="shared" si="132"/>
        <v>0</v>
      </c>
      <c r="AH480" s="90" t="str">
        <f t="shared" si="133"/>
        <v/>
      </c>
      <c r="AI480" s="90">
        <f t="shared" si="134"/>
        <v>0</v>
      </c>
      <c r="AJ480" s="90" t="str">
        <f t="shared" si="135"/>
        <v/>
      </c>
      <c r="AK480" s="90" t="str">
        <f t="shared" si="136"/>
        <v/>
      </c>
      <c r="AL480" s="91">
        <f>IF(AK480="Adjust",(_xlfn.XLOOKUP(A480,'Adj factor'!A:A,'Adj factor'!I:I,,0)*AI480),'Master DataSheet'!AI480)</f>
        <v>0</v>
      </c>
      <c r="AM480" s="91">
        <f t="shared" si="137"/>
        <v>0</v>
      </c>
      <c r="AN480" s="92" t="str">
        <f t="shared" si="138"/>
        <v>No change</v>
      </c>
      <c r="AO480" s="93">
        <f>VLOOKUP(B480,'Growthrates source'!A$2:H$49,8,FALSE)</f>
        <v>3.0374199904759536E-2</v>
      </c>
      <c r="AP480" s="93">
        <f>VLOOKUP(B480,'Growthrates source'!A$2:I$49,9,FALSE)</f>
        <v>4.6424158096915802E-2</v>
      </c>
      <c r="AQ480" s="86">
        <f t="shared" si="139"/>
        <v>0</v>
      </c>
      <c r="AR480" s="86">
        <f t="shared" si="140"/>
        <v>0</v>
      </c>
      <c r="AS480" s="94">
        <f t="shared" si="141"/>
        <v>0</v>
      </c>
      <c r="AT480" s="94">
        <f t="shared" si="142"/>
        <v>0</v>
      </c>
      <c r="AU480" s="94">
        <f t="shared" si="143"/>
        <v>0</v>
      </c>
    </row>
    <row r="481" spans="1:47" x14ac:dyDescent="0.3">
      <c r="A481" s="85" t="str">
        <f>_xlfn.XLOOKUP(B481,'Country codes &amp; Data sources'!G:G,'Country codes &amp; Data sources'!H:H,,0)</f>
        <v>Guinea-Bissau</v>
      </c>
      <c r="B481" s="85" t="s">
        <v>174</v>
      </c>
      <c r="C481" s="86">
        <v>1652740.5</v>
      </c>
      <c r="D481" s="85" t="s">
        <v>87</v>
      </c>
      <c r="E481" s="87">
        <v>0</v>
      </c>
      <c r="F481" s="88">
        <v>1697752.4999999995</v>
      </c>
      <c r="G481" s="87">
        <v>0</v>
      </c>
      <c r="I481" s="87">
        <v>0</v>
      </c>
      <c r="K481" s="87">
        <v>0</v>
      </c>
      <c r="M481" s="87">
        <v>0</v>
      </c>
      <c r="O481" s="87">
        <v>0</v>
      </c>
      <c r="P481" s="88">
        <v>1924954.4999999988</v>
      </c>
      <c r="Q481" s="87">
        <v>0</v>
      </c>
      <c r="R481" s="87">
        <f t="shared" si="126"/>
        <v>1063</v>
      </c>
      <c r="T481" s="87">
        <v>0</v>
      </c>
      <c r="V481" s="87">
        <v>0</v>
      </c>
      <c r="X481" s="87">
        <v>0</v>
      </c>
      <c r="Y481" s="88">
        <v>2105565.4999999991</v>
      </c>
      <c r="Z481" s="87">
        <v>0</v>
      </c>
      <c r="AA481" s="87">
        <v>1063</v>
      </c>
      <c r="AB481" s="89">
        <f t="shared" si="127"/>
        <v>0</v>
      </c>
      <c r="AC481" s="89">
        <f t="shared" si="128"/>
        <v>0</v>
      </c>
      <c r="AD481" s="89">
        <f t="shared" si="129"/>
        <v>0</v>
      </c>
      <c r="AE481" s="90">
        <f t="shared" si="130"/>
        <v>0</v>
      </c>
      <c r="AF481" s="90" t="str">
        <f t="shared" si="131"/>
        <v/>
      </c>
      <c r="AG481" s="90">
        <f t="shared" si="132"/>
        <v>1063</v>
      </c>
      <c r="AH481" s="90" t="str">
        <f t="shared" si="133"/>
        <v>2018 (triag)</v>
      </c>
      <c r="AI481" s="90">
        <f t="shared" si="134"/>
        <v>1063</v>
      </c>
      <c r="AJ481" s="90" t="str">
        <f t="shared" si="135"/>
        <v>2018 (triag)</v>
      </c>
      <c r="AK481" s="90" t="str">
        <f t="shared" si="136"/>
        <v/>
      </c>
      <c r="AL481" s="91">
        <f>IF(AK481="Adjust",(_xlfn.XLOOKUP(A481,'Adj factor'!A:A,'Adj factor'!I:I,,0)*AI481),'Master DataSheet'!AI481)</f>
        <v>1063</v>
      </c>
      <c r="AM481" s="91">
        <f t="shared" si="137"/>
        <v>1063</v>
      </c>
      <c r="AN481" s="92" t="str">
        <f t="shared" si="138"/>
        <v>No change</v>
      </c>
      <c r="AO481" s="93">
        <f>VLOOKUP(B481,'Growthrates source'!A$2:H$49,8,FALSE)</f>
        <v>3.0374199904759536E-2</v>
      </c>
      <c r="AP481" s="93">
        <f>VLOOKUP(B481,'Growthrates source'!A$2:I$49,9,FALSE)</f>
        <v>4.6424158096915802E-2</v>
      </c>
      <c r="AQ481" s="86">
        <f t="shared" si="139"/>
        <v>913.22234094647911</v>
      </c>
      <c r="AR481" s="86">
        <f t="shared" si="140"/>
        <v>1221.8517961530001</v>
      </c>
      <c r="AS481" s="94">
        <f t="shared" si="141"/>
        <v>0</v>
      </c>
      <c r="AT481" s="94">
        <f t="shared" si="142"/>
        <v>5.5222084470048545</v>
      </c>
      <c r="AU481" s="94">
        <f t="shared" si="143"/>
        <v>5.0485249687079339</v>
      </c>
    </row>
    <row r="482" spans="1:47" x14ac:dyDescent="0.3">
      <c r="A482" s="85" t="str">
        <f>_xlfn.XLOOKUP(B482,'Country codes &amp; Data sources'!G:G,'Country codes &amp; Data sources'!H:H,,0)</f>
        <v>Equatorial Guinea</v>
      </c>
      <c r="B482" s="85" t="s">
        <v>170</v>
      </c>
      <c r="C482" s="86">
        <v>1193635.4999999998</v>
      </c>
      <c r="D482" s="85" t="s">
        <v>321</v>
      </c>
      <c r="E482" s="87">
        <v>0</v>
      </c>
      <c r="F482" s="88">
        <v>1243941.0000000002</v>
      </c>
      <c r="G482" s="87">
        <v>0</v>
      </c>
      <c r="H482" s="87">
        <v>1295183.0000000005</v>
      </c>
      <c r="I482" s="87">
        <v>0</v>
      </c>
      <c r="J482" s="87">
        <v>1346973.0000000005</v>
      </c>
      <c r="K482" s="87">
        <v>0</v>
      </c>
      <c r="L482" s="87">
        <v>1398926.5</v>
      </c>
      <c r="M482" s="87">
        <v>0</v>
      </c>
      <c r="N482" s="87">
        <v>1450694.0000000005</v>
      </c>
      <c r="O482" s="87">
        <v>1014</v>
      </c>
      <c r="P482" s="88">
        <v>1502091.5000000002</v>
      </c>
      <c r="Q482" s="87">
        <v>0</v>
      </c>
      <c r="R482" s="87">
        <f t="shared" si="126"/>
        <v>246</v>
      </c>
      <c r="S482" s="87">
        <v>1553030.5000000002</v>
      </c>
      <c r="T482" s="87">
        <v>0</v>
      </c>
      <c r="U482" s="87">
        <v>1596048.5000000009</v>
      </c>
      <c r="V482" s="87">
        <v>0</v>
      </c>
      <c r="W482" s="87">
        <v>1634465.5000000002</v>
      </c>
      <c r="X482" s="87">
        <v>0</v>
      </c>
      <c r="Y482" s="88">
        <v>1674908</v>
      </c>
      <c r="Z482" s="87">
        <v>478</v>
      </c>
      <c r="AA482" s="87">
        <v>246</v>
      </c>
      <c r="AB482" s="89">
        <f t="shared" si="127"/>
        <v>0</v>
      </c>
      <c r="AC482" s="89">
        <f t="shared" si="128"/>
        <v>1014</v>
      </c>
      <c r="AD482" s="89">
        <f t="shared" si="129"/>
        <v>478</v>
      </c>
      <c r="AE482" s="90">
        <f t="shared" si="130"/>
        <v>0</v>
      </c>
      <c r="AF482" s="90" t="str">
        <f t="shared" si="131"/>
        <v/>
      </c>
      <c r="AG482" s="90">
        <f t="shared" si="132"/>
        <v>246</v>
      </c>
      <c r="AH482" s="90" t="str">
        <f t="shared" si="133"/>
        <v>2018 (triag)</v>
      </c>
      <c r="AI482" s="90">
        <f t="shared" si="134"/>
        <v>478</v>
      </c>
      <c r="AJ482" s="90">
        <f t="shared" si="135"/>
        <v>2022</v>
      </c>
      <c r="AK482" s="90" t="str">
        <f t="shared" si="136"/>
        <v/>
      </c>
      <c r="AL482" s="91">
        <f>IF(AK482="Adjust",(_xlfn.XLOOKUP(A482,'Adj factor'!A:A,'Adj factor'!I:I,,0)*AI482),'Master DataSheet'!AI482)</f>
        <v>478</v>
      </c>
      <c r="AM482" s="91">
        <f t="shared" si="137"/>
        <v>478</v>
      </c>
      <c r="AN482" s="92" t="str">
        <f t="shared" si="138"/>
        <v>Increasing</v>
      </c>
      <c r="AO482" s="93">
        <f>VLOOKUP(B482,'Growthrates source'!A$2:H$49,8,FALSE)</f>
        <v>8.5981075235392446E-2</v>
      </c>
      <c r="AP482" s="93">
        <f>VLOOKUP(B482,'Growthrates source'!A$2:I$49,9,FALSE)</f>
        <v>0.24963048725605397</v>
      </c>
      <c r="AQ482" s="86">
        <f t="shared" si="139"/>
        <v>160.04038021810092</v>
      </c>
      <c r="AR482" s="86">
        <f t="shared" si="140"/>
        <v>520.20501718983803</v>
      </c>
      <c r="AS482" s="94">
        <f t="shared" si="141"/>
        <v>0</v>
      </c>
      <c r="AT482" s="94">
        <f t="shared" si="142"/>
        <v>1.637716477325116</v>
      </c>
      <c r="AU482" s="94">
        <f t="shared" si="143"/>
        <v>2.8538880941520368</v>
      </c>
    </row>
    <row r="483" spans="1:47" x14ac:dyDescent="0.3">
      <c r="A483" s="85" t="str">
        <f>_xlfn.XLOOKUP(B483,'Country codes &amp; Data sources'!G:G,'Country codes &amp; Data sources'!H:H,,0)</f>
        <v>Equatorial Guinea</v>
      </c>
      <c r="B483" s="85" t="s">
        <v>170</v>
      </c>
      <c r="C483" s="86">
        <v>1193636.5</v>
      </c>
      <c r="D483" s="85" t="s">
        <v>322</v>
      </c>
      <c r="E483" s="87">
        <v>0</v>
      </c>
      <c r="F483" s="88">
        <v>1243941.0000000002</v>
      </c>
      <c r="G483" s="87">
        <v>0</v>
      </c>
      <c r="I483" s="87">
        <v>0</v>
      </c>
      <c r="K483" s="87">
        <v>0</v>
      </c>
      <c r="M483" s="87">
        <v>0</v>
      </c>
      <c r="O483" s="87">
        <v>1268</v>
      </c>
      <c r="P483" s="88">
        <v>1502091.5000000002</v>
      </c>
      <c r="Q483" s="87">
        <v>0</v>
      </c>
      <c r="R483" s="87">
        <f t="shared" si="126"/>
        <v>355</v>
      </c>
      <c r="T483" s="87">
        <v>0</v>
      </c>
      <c r="V483" s="87">
        <v>0</v>
      </c>
      <c r="X483" s="87">
        <v>0</v>
      </c>
      <c r="Y483" s="88">
        <v>1674908</v>
      </c>
      <c r="Z483" s="87">
        <v>2750</v>
      </c>
      <c r="AA483" s="87">
        <v>355</v>
      </c>
      <c r="AB483" s="89">
        <f t="shared" si="127"/>
        <v>0</v>
      </c>
      <c r="AC483" s="89">
        <f t="shared" si="128"/>
        <v>1268</v>
      </c>
      <c r="AD483" s="89">
        <f t="shared" si="129"/>
        <v>2750</v>
      </c>
      <c r="AE483" s="90">
        <f t="shared" si="130"/>
        <v>0</v>
      </c>
      <c r="AF483" s="90" t="str">
        <f t="shared" si="131"/>
        <v/>
      </c>
      <c r="AG483" s="90">
        <f t="shared" si="132"/>
        <v>355</v>
      </c>
      <c r="AH483" s="90" t="str">
        <f t="shared" si="133"/>
        <v>2018 (triag)</v>
      </c>
      <c r="AI483" s="90">
        <f t="shared" si="134"/>
        <v>2750</v>
      </c>
      <c r="AJ483" s="90">
        <f t="shared" si="135"/>
        <v>2022</v>
      </c>
      <c r="AK483" s="90" t="str">
        <f t="shared" si="136"/>
        <v/>
      </c>
      <c r="AL483" s="91">
        <f>IF(AK483="Adjust",(_xlfn.XLOOKUP(A483,'Adj factor'!A:A,'Adj factor'!I:I,,0)*AI483),'Master DataSheet'!AI483)</f>
        <v>2750</v>
      </c>
      <c r="AM483" s="91">
        <f t="shared" si="137"/>
        <v>2750</v>
      </c>
      <c r="AN483" s="92" t="str">
        <f t="shared" si="138"/>
        <v>Increasing</v>
      </c>
      <c r="AO483" s="93">
        <f>VLOOKUP(B483,'Growthrates source'!A$2:H$49,8,FALSE)</f>
        <v>8.5981075235392446E-2</v>
      </c>
      <c r="AP483" s="93">
        <f>VLOOKUP(B483,'Growthrates source'!A$2:I$49,9,FALSE)</f>
        <v>0.24963048725605397</v>
      </c>
      <c r="AQ483" s="86">
        <f t="shared" si="139"/>
        <v>230.95258120904808</v>
      </c>
      <c r="AR483" s="86">
        <f t="shared" si="140"/>
        <v>750.70236220484753</v>
      </c>
      <c r="AS483" s="94">
        <f t="shared" si="141"/>
        <v>0</v>
      </c>
      <c r="AT483" s="94">
        <f t="shared" si="142"/>
        <v>2.3633713392293343</v>
      </c>
      <c r="AU483" s="94">
        <f t="shared" si="143"/>
        <v>16.41881225715084</v>
      </c>
    </row>
    <row r="484" spans="1:47" x14ac:dyDescent="0.3">
      <c r="A484" s="85" t="str">
        <f>_xlfn.XLOOKUP(B484,'Country codes &amp; Data sources'!G:G,'Country codes &amp; Data sources'!H:H,,0)</f>
        <v>Equatorial Guinea</v>
      </c>
      <c r="B484" s="85" t="s">
        <v>170</v>
      </c>
      <c r="C484" s="86">
        <v>1193637.5</v>
      </c>
      <c r="D484" s="85" t="s">
        <v>323</v>
      </c>
      <c r="E484" s="87">
        <v>0</v>
      </c>
      <c r="F484" s="88">
        <v>1243941.0000000002</v>
      </c>
      <c r="G484" s="87">
        <v>0</v>
      </c>
      <c r="I484" s="87">
        <v>0</v>
      </c>
      <c r="K484" s="87">
        <v>0</v>
      </c>
      <c r="M484" s="87">
        <v>0</v>
      </c>
      <c r="O484" s="87">
        <v>0</v>
      </c>
      <c r="P484" s="88">
        <v>1502091.5000000002</v>
      </c>
      <c r="Q484" s="87">
        <v>0</v>
      </c>
      <c r="R484" s="87">
        <f t="shared" si="126"/>
        <v>51</v>
      </c>
      <c r="T484" s="87">
        <v>0</v>
      </c>
      <c r="V484" s="87">
        <v>0</v>
      </c>
      <c r="X484" s="87">
        <v>0</v>
      </c>
      <c r="Y484" s="88">
        <v>1674908</v>
      </c>
      <c r="Z484" s="87">
        <v>46</v>
      </c>
      <c r="AA484" s="87">
        <v>51</v>
      </c>
      <c r="AB484" s="89">
        <f t="shared" si="127"/>
        <v>0</v>
      </c>
      <c r="AC484" s="89">
        <f t="shared" si="128"/>
        <v>0</v>
      </c>
      <c r="AD484" s="89">
        <f t="shared" si="129"/>
        <v>46</v>
      </c>
      <c r="AE484" s="90">
        <f t="shared" si="130"/>
        <v>0</v>
      </c>
      <c r="AF484" s="90" t="str">
        <f t="shared" si="131"/>
        <v/>
      </c>
      <c r="AG484" s="90">
        <f t="shared" si="132"/>
        <v>51</v>
      </c>
      <c r="AH484" s="90" t="str">
        <f t="shared" si="133"/>
        <v>2018 (triag)</v>
      </c>
      <c r="AI484" s="90">
        <f t="shared" si="134"/>
        <v>46</v>
      </c>
      <c r="AJ484" s="90">
        <f t="shared" si="135"/>
        <v>2022</v>
      </c>
      <c r="AK484" s="90" t="str">
        <f t="shared" si="136"/>
        <v>Adjust</v>
      </c>
      <c r="AL484" s="91">
        <f>IF(AK484="Adjust",(_xlfn.XLOOKUP(A484,'Adj factor'!A:A,'Adj factor'!I:I,,0)*AI484),'Master DataSheet'!AI484)</f>
        <v>52.867737638739101</v>
      </c>
      <c r="AM484" s="91">
        <f t="shared" si="137"/>
        <v>52.867737638739101</v>
      </c>
      <c r="AN484" s="92" t="str">
        <f t="shared" si="138"/>
        <v>Increasing</v>
      </c>
      <c r="AO484" s="93">
        <f>VLOOKUP(B484,'Growthrates source'!A$2:H$49,8,FALSE)</f>
        <v>8.5981075235392446E-2</v>
      </c>
      <c r="AP484" s="93">
        <f>VLOOKUP(B484,'Growthrates source'!A$2:I$49,9,FALSE)</f>
        <v>0.24963048725605397</v>
      </c>
      <c r="AQ484" s="86">
        <f t="shared" si="139"/>
        <v>33.179103215947755</v>
      </c>
      <c r="AR484" s="86">
        <f t="shared" si="140"/>
        <v>107.84738161252739</v>
      </c>
      <c r="AS484" s="94">
        <f t="shared" si="141"/>
        <v>0</v>
      </c>
      <c r="AT484" s="94">
        <f t="shared" si="142"/>
        <v>0.33952658676252406</v>
      </c>
      <c r="AU484" s="94">
        <f t="shared" si="143"/>
        <v>0.31564562136391433</v>
      </c>
    </row>
    <row r="485" spans="1:47" x14ac:dyDescent="0.3">
      <c r="A485" s="85" t="str">
        <f>_xlfn.XLOOKUP(B485,'Country codes &amp; Data sources'!G:G,'Country codes &amp; Data sources'!H:H,,0)</f>
        <v>Equatorial Guinea</v>
      </c>
      <c r="B485" s="85" t="s">
        <v>170</v>
      </c>
      <c r="C485" s="86">
        <v>1193638.5</v>
      </c>
      <c r="D485" s="85" t="s">
        <v>324</v>
      </c>
      <c r="E485" s="87">
        <v>918</v>
      </c>
      <c r="F485" s="88">
        <v>1243941.0000000002</v>
      </c>
      <c r="G485" s="87">
        <v>255</v>
      </c>
      <c r="I485" s="87">
        <v>29</v>
      </c>
      <c r="K485" s="87">
        <v>2295</v>
      </c>
      <c r="M485" s="87">
        <v>93</v>
      </c>
      <c r="O485" s="87">
        <v>27</v>
      </c>
      <c r="P485" s="88">
        <v>1502091.5000000002</v>
      </c>
      <c r="Q485" s="87">
        <v>621</v>
      </c>
      <c r="R485" s="87">
        <f t="shared" si="126"/>
        <v>621</v>
      </c>
      <c r="T485" s="87">
        <v>182</v>
      </c>
      <c r="V485" s="87">
        <v>748</v>
      </c>
      <c r="X485" s="87">
        <v>2192</v>
      </c>
      <c r="Y485" s="88">
        <v>1674908</v>
      </c>
      <c r="Z485" s="87">
        <v>690</v>
      </c>
      <c r="AA485" s="87">
        <v>10</v>
      </c>
      <c r="AB485" s="89">
        <f t="shared" si="127"/>
        <v>2295</v>
      </c>
      <c r="AC485" s="89">
        <f t="shared" si="128"/>
        <v>621</v>
      </c>
      <c r="AD485" s="89">
        <f t="shared" si="129"/>
        <v>2192</v>
      </c>
      <c r="AE485" s="90">
        <f t="shared" si="130"/>
        <v>255</v>
      </c>
      <c r="AF485" s="90">
        <f t="shared" si="131"/>
        <v>2013</v>
      </c>
      <c r="AG485" s="90">
        <f t="shared" si="132"/>
        <v>621</v>
      </c>
      <c r="AH485" s="90">
        <f t="shared" si="133"/>
        <v>2018</v>
      </c>
      <c r="AI485" s="90">
        <f t="shared" si="134"/>
        <v>690</v>
      </c>
      <c r="AJ485" s="90">
        <f t="shared" si="135"/>
        <v>2022</v>
      </c>
      <c r="AK485" s="90" t="str">
        <f t="shared" si="136"/>
        <v/>
      </c>
      <c r="AL485" s="91">
        <f>IF(AK485="Adjust",(_xlfn.XLOOKUP(A485,'Adj factor'!A:A,'Adj factor'!I:I,,0)*AI485),'Master DataSheet'!AI485)</f>
        <v>690</v>
      </c>
      <c r="AM485" s="91">
        <f t="shared" si="137"/>
        <v>690</v>
      </c>
      <c r="AN485" s="92" t="str">
        <f t="shared" si="138"/>
        <v>Increasing</v>
      </c>
      <c r="AO485" s="93">
        <f>VLOOKUP(B485,'Growthrates source'!A$2:H$49,8,FALSE)</f>
        <v>8.5981075235392446E-2</v>
      </c>
      <c r="AP485" s="93">
        <f>VLOOKUP(B485,'Growthrates source'!A$2:I$49,9,FALSE)</f>
        <v>0.24963048725605397</v>
      </c>
      <c r="AQ485" s="86">
        <f t="shared" si="139"/>
        <v>6.5057065129309315</v>
      </c>
      <c r="AR485" s="86">
        <f t="shared" si="140"/>
        <v>21.146545414221055</v>
      </c>
      <c r="AS485" s="94">
        <f t="shared" si="141"/>
        <v>2.0499364519699887</v>
      </c>
      <c r="AT485" s="94">
        <f t="shared" si="142"/>
        <v>4.1342354976377926</v>
      </c>
      <c r="AU485" s="94">
        <f t="shared" si="143"/>
        <v>4.1196292572487563</v>
      </c>
    </row>
    <row r="486" spans="1:47" x14ac:dyDescent="0.3">
      <c r="A486" s="85" t="str">
        <f>_xlfn.XLOOKUP(B486,'Country codes &amp; Data sources'!G:G,'Country codes &amp; Data sources'!H:H,,0)</f>
        <v>Equatorial Guinea</v>
      </c>
      <c r="B486" s="85" t="s">
        <v>170</v>
      </c>
      <c r="C486" s="86">
        <v>1193639.5</v>
      </c>
      <c r="D486" s="85" t="s">
        <v>325</v>
      </c>
      <c r="E486" s="87">
        <v>713</v>
      </c>
      <c r="F486" s="88">
        <v>1243941.0000000002</v>
      </c>
      <c r="G486" s="87">
        <v>73</v>
      </c>
      <c r="I486" s="87">
        <v>8</v>
      </c>
      <c r="K486" s="87">
        <v>841</v>
      </c>
      <c r="M486" s="87">
        <v>3</v>
      </c>
      <c r="O486" s="87">
        <v>225</v>
      </c>
      <c r="P486" s="88">
        <v>1502091.5000000002</v>
      </c>
      <c r="Q486" s="87">
        <v>112</v>
      </c>
      <c r="R486" s="87">
        <f t="shared" si="126"/>
        <v>112</v>
      </c>
      <c r="T486" s="87">
        <v>83</v>
      </c>
      <c r="V486" s="87">
        <v>466</v>
      </c>
      <c r="X486" s="87">
        <v>294</v>
      </c>
      <c r="Y486" s="88">
        <v>1674908</v>
      </c>
      <c r="Z486" s="87">
        <v>128</v>
      </c>
      <c r="AA486" s="87">
        <v>0</v>
      </c>
      <c r="AB486" s="89">
        <f t="shared" si="127"/>
        <v>841</v>
      </c>
      <c r="AC486" s="89">
        <f t="shared" si="128"/>
        <v>225</v>
      </c>
      <c r="AD486" s="89">
        <f t="shared" si="129"/>
        <v>466</v>
      </c>
      <c r="AE486" s="90">
        <f t="shared" si="130"/>
        <v>73</v>
      </c>
      <c r="AF486" s="90">
        <f t="shared" si="131"/>
        <v>2013</v>
      </c>
      <c r="AG486" s="90">
        <f t="shared" si="132"/>
        <v>112</v>
      </c>
      <c r="AH486" s="90">
        <f t="shared" si="133"/>
        <v>2018</v>
      </c>
      <c r="AI486" s="90">
        <f t="shared" si="134"/>
        <v>128</v>
      </c>
      <c r="AJ486" s="90">
        <f t="shared" si="135"/>
        <v>2022</v>
      </c>
      <c r="AK486" s="90" t="str">
        <f t="shared" si="136"/>
        <v/>
      </c>
      <c r="AL486" s="91">
        <f>IF(AK486="Adjust",(_xlfn.XLOOKUP(A486,'Adj factor'!A:A,'Adj factor'!I:I,,0)*AI486),'Master DataSheet'!AI486)</f>
        <v>128</v>
      </c>
      <c r="AM486" s="91">
        <f t="shared" si="137"/>
        <v>128</v>
      </c>
      <c r="AN486" s="92" t="str">
        <f t="shared" si="138"/>
        <v>Increasing</v>
      </c>
      <c r="AO486" s="93">
        <f>VLOOKUP(B486,'Growthrates source'!A$2:H$49,8,FALSE)</f>
        <v>8.5981075235392446E-2</v>
      </c>
      <c r="AP486" s="93">
        <f>VLOOKUP(B486,'Growthrates source'!A$2:I$49,9,FALSE)</f>
        <v>0.24963048725605397</v>
      </c>
      <c r="AQ486" s="86">
        <f t="shared" si="139"/>
        <v>0</v>
      </c>
      <c r="AR486" s="86">
        <f t="shared" si="140"/>
        <v>0</v>
      </c>
      <c r="AS486" s="94">
        <f t="shared" si="141"/>
        <v>0.58684455291689863</v>
      </c>
      <c r="AT486" s="94">
        <f t="shared" si="142"/>
        <v>0.7456270140667195</v>
      </c>
      <c r="AU486" s="94">
        <f t="shared" si="143"/>
        <v>0.7642210796055664</v>
      </c>
    </row>
    <row r="487" spans="1:47" x14ac:dyDescent="0.3">
      <c r="A487" s="85" t="str">
        <f>_xlfn.XLOOKUP(B487,'Country codes &amp; Data sources'!G:G,'Country codes &amp; Data sources'!H:H,,0)</f>
        <v>Equatorial Guinea</v>
      </c>
      <c r="B487" s="85" t="s">
        <v>170</v>
      </c>
      <c r="C487" s="86">
        <v>1193640.5</v>
      </c>
      <c r="D487" s="85" t="s">
        <v>127</v>
      </c>
      <c r="E487" s="87">
        <v>0</v>
      </c>
      <c r="F487" s="88">
        <v>1243941.0000000002</v>
      </c>
      <c r="G487" s="87">
        <v>0</v>
      </c>
      <c r="I487" s="87">
        <v>0</v>
      </c>
      <c r="K487" s="87">
        <v>0</v>
      </c>
      <c r="M487" s="87">
        <v>0</v>
      </c>
      <c r="O487" s="87">
        <v>0</v>
      </c>
      <c r="P487" s="88">
        <v>1502091.5000000002</v>
      </c>
      <c r="Q487" s="87">
        <v>0</v>
      </c>
      <c r="R487" s="87">
        <f t="shared" si="126"/>
        <v>0</v>
      </c>
      <c r="T487" s="87">
        <v>0</v>
      </c>
      <c r="V487" s="87">
        <v>0</v>
      </c>
      <c r="X487" s="87">
        <v>0</v>
      </c>
      <c r="Y487" s="88">
        <v>1674908</v>
      </c>
      <c r="Z487" s="87">
        <v>146</v>
      </c>
      <c r="AA487" s="87">
        <v>0</v>
      </c>
      <c r="AB487" s="89">
        <f t="shared" si="127"/>
        <v>0</v>
      </c>
      <c r="AC487" s="89">
        <f t="shared" si="128"/>
        <v>0</v>
      </c>
      <c r="AD487" s="89">
        <f t="shared" si="129"/>
        <v>146</v>
      </c>
      <c r="AE487" s="90">
        <f t="shared" si="130"/>
        <v>0</v>
      </c>
      <c r="AF487" s="90" t="str">
        <f t="shared" si="131"/>
        <v/>
      </c>
      <c r="AG487" s="90">
        <f t="shared" si="132"/>
        <v>0</v>
      </c>
      <c r="AH487" s="90" t="str">
        <f t="shared" si="133"/>
        <v/>
      </c>
      <c r="AI487" s="90">
        <f t="shared" si="134"/>
        <v>146</v>
      </c>
      <c r="AJ487" s="90">
        <f t="shared" si="135"/>
        <v>2022</v>
      </c>
      <c r="AK487" s="90" t="str">
        <f t="shared" si="136"/>
        <v/>
      </c>
      <c r="AL487" s="91">
        <f>IF(AK487="Adjust",(_xlfn.XLOOKUP(A487,'Adj factor'!A:A,'Adj factor'!I:I,,0)*AI487),'Master DataSheet'!AI487)</f>
        <v>146</v>
      </c>
      <c r="AM487" s="91">
        <f t="shared" si="137"/>
        <v>146</v>
      </c>
      <c r="AN487" s="92" t="str">
        <f t="shared" si="138"/>
        <v>Increasing</v>
      </c>
      <c r="AO487" s="93">
        <f>VLOOKUP(B487,'Growthrates source'!A$2:H$49,8,FALSE)</f>
        <v>8.5981075235392446E-2</v>
      </c>
      <c r="AP487" s="93">
        <f>VLOOKUP(B487,'Growthrates source'!A$2:I$49,9,FALSE)</f>
        <v>0.24963048725605397</v>
      </c>
      <c r="AQ487" s="86">
        <f t="shared" si="139"/>
        <v>0</v>
      </c>
      <c r="AR487" s="86">
        <f t="shared" si="140"/>
        <v>0</v>
      </c>
      <c r="AS487" s="94">
        <f t="shared" si="141"/>
        <v>0</v>
      </c>
      <c r="AT487" s="94">
        <f t="shared" si="142"/>
        <v>0</v>
      </c>
      <c r="AU487" s="94">
        <f t="shared" si="143"/>
        <v>0.87168966892509914</v>
      </c>
    </row>
    <row r="488" spans="1:47" x14ac:dyDescent="0.3">
      <c r="A488" s="85" t="str">
        <f>_xlfn.XLOOKUP(B488,'Country codes &amp; Data sources'!G:G,'Country codes &amp; Data sources'!H:H,,0)</f>
        <v>Equatorial Guinea</v>
      </c>
      <c r="B488" s="85" t="s">
        <v>170</v>
      </c>
      <c r="C488" s="86">
        <v>1193641.5</v>
      </c>
      <c r="D488" s="85" t="s">
        <v>61</v>
      </c>
      <c r="E488" s="87">
        <v>0</v>
      </c>
      <c r="F488" s="88">
        <v>1243941.0000000002</v>
      </c>
      <c r="G488" s="87">
        <v>0</v>
      </c>
      <c r="I488" s="87">
        <v>5</v>
      </c>
      <c r="K488" s="87">
        <v>1147</v>
      </c>
      <c r="M488" s="87">
        <v>0</v>
      </c>
      <c r="O488" s="87">
        <v>0</v>
      </c>
      <c r="P488" s="88">
        <v>1502091.5000000002</v>
      </c>
      <c r="Q488" s="87">
        <v>0</v>
      </c>
      <c r="R488" s="87">
        <f t="shared" si="126"/>
        <v>0</v>
      </c>
      <c r="T488" s="87">
        <v>6</v>
      </c>
      <c r="V488" s="87">
        <v>0</v>
      </c>
      <c r="X488" s="87">
        <v>620</v>
      </c>
      <c r="Y488" s="88">
        <v>1674908</v>
      </c>
      <c r="Z488" s="87">
        <v>25</v>
      </c>
      <c r="AA488" s="87">
        <v>0</v>
      </c>
      <c r="AB488" s="89">
        <f t="shared" si="127"/>
        <v>1147</v>
      </c>
      <c r="AC488" s="89">
        <f t="shared" si="128"/>
        <v>6</v>
      </c>
      <c r="AD488" s="89">
        <f t="shared" si="129"/>
        <v>620</v>
      </c>
      <c r="AE488" s="90">
        <f t="shared" si="130"/>
        <v>5</v>
      </c>
      <c r="AF488" s="90">
        <f t="shared" si="131"/>
        <v>2014</v>
      </c>
      <c r="AG488" s="90">
        <f t="shared" si="132"/>
        <v>6</v>
      </c>
      <c r="AH488" s="90">
        <f t="shared" si="133"/>
        <v>2019</v>
      </c>
      <c r="AI488" s="90">
        <f t="shared" si="134"/>
        <v>25</v>
      </c>
      <c r="AJ488" s="90">
        <f t="shared" si="135"/>
        <v>2022</v>
      </c>
      <c r="AK488" s="90" t="str">
        <f t="shared" si="136"/>
        <v/>
      </c>
      <c r="AL488" s="91">
        <f>IF(AK488="Adjust",(_xlfn.XLOOKUP(A488,'Adj factor'!A:A,'Adj factor'!I:I,,0)*AI488),'Master DataSheet'!AI488)</f>
        <v>25</v>
      </c>
      <c r="AM488" s="91">
        <f t="shared" si="137"/>
        <v>25</v>
      </c>
      <c r="AN488" s="92" t="str">
        <f t="shared" si="138"/>
        <v>Increasing</v>
      </c>
      <c r="AO488" s="93">
        <f>VLOOKUP(B488,'Growthrates source'!A$2:H$49,8,FALSE)</f>
        <v>8.5981075235392446E-2</v>
      </c>
      <c r="AP488" s="93">
        <f>VLOOKUP(B488,'Growthrates source'!A$2:I$49,9,FALSE)</f>
        <v>0.24963048725605397</v>
      </c>
      <c r="AQ488" s="86">
        <f t="shared" si="139"/>
        <v>0</v>
      </c>
      <c r="AR488" s="86">
        <f t="shared" si="140"/>
        <v>0</v>
      </c>
      <c r="AS488" s="94">
        <f t="shared" si="141"/>
        <v>4.0194832391568402E-2</v>
      </c>
      <c r="AT488" s="94">
        <f t="shared" si="142"/>
        <v>3.994430432500283E-2</v>
      </c>
      <c r="AU488" s="94">
        <f t="shared" si="143"/>
        <v>0.1492619296104622</v>
      </c>
    </row>
    <row r="489" spans="1:47" x14ac:dyDescent="0.3">
      <c r="A489" s="85" t="str">
        <f>_xlfn.XLOOKUP(B489,'Country codes &amp; Data sources'!G:G,'Country codes &amp; Data sources'!H:H,,0)</f>
        <v>Equatorial Guinea</v>
      </c>
      <c r="B489" s="85" t="s">
        <v>170</v>
      </c>
      <c r="C489" s="86">
        <v>1193642.5</v>
      </c>
      <c r="D489" s="85" t="s">
        <v>62</v>
      </c>
      <c r="E489" s="87">
        <v>0</v>
      </c>
      <c r="F489" s="88">
        <v>1243941.0000000002</v>
      </c>
      <c r="G489" s="87">
        <v>0</v>
      </c>
      <c r="I489" s="87">
        <v>1</v>
      </c>
      <c r="K489" s="87">
        <v>5310</v>
      </c>
      <c r="M489" s="87">
        <v>0</v>
      </c>
      <c r="O489" s="87">
        <v>0</v>
      </c>
      <c r="P489" s="88">
        <v>1502091.5000000002</v>
      </c>
      <c r="Q489" s="87">
        <v>0</v>
      </c>
      <c r="R489" s="87">
        <f t="shared" si="126"/>
        <v>0</v>
      </c>
      <c r="T489" s="87">
        <v>0</v>
      </c>
      <c r="V489" s="87">
        <v>0</v>
      </c>
      <c r="X489" s="87">
        <v>0</v>
      </c>
      <c r="Y489" s="88">
        <v>1674908</v>
      </c>
      <c r="Z489" s="87">
        <v>134</v>
      </c>
      <c r="AA489" s="87">
        <v>0</v>
      </c>
      <c r="AB489" s="89">
        <f t="shared" si="127"/>
        <v>5310</v>
      </c>
      <c r="AC489" s="89">
        <f t="shared" si="128"/>
        <v>0</v>
      </c>
      <c r="AD489" s="89">
        <f t="shared" si="129"/>
        <v>134</v>
      </c>
      <c r="AE489" s="90">
        <f t="shared" si="130"/>
        <v>1</v>
      </c>
      <c r="AF489" s="90">
        <f t="shared" si="131"/>
        <v>2014</v>
      </c>
      <c r="AG489" s="90">
        <f t="shared" si="132"/>
        <v>0</v>
      </c>
      <c r="AH489" s="90" t="str">
        <f t="shared" si="133"/>
        <v/>
      </c>
      <c r="AI489" s="90">
        <f t="shared" si="134"/>
        <v>134</v>
      </c>
      <c r="AJ489" s="90">
        <f t="shared" si="135"/>
        <v>2022</v>
      </c>
      <c r="AK489" s="90" t="str">
        <f t="shared" si="136"/>
        <v/>
      </c>
      <c r="AL489" s="91">
        <f>IF(AK489="Adjust",(_xlfn.XLOOKUP(A489,'Adj factor'!A:A,'Adj factor'!I:I,,0)*AI489),'Master DataSheet'!AI489)</f>
        <v>134</v>
      </c>
      <c r="AM489" s="91">
        <f t="shared" si="137"/>
        <v>134</v>
      </c>
      <c r="AN489" s="92" t="str">
        <f t="shared" si="138"/>
        <v>Increasing</v>
      </c>
      <c r="AO489" s="93">
        <f>VLOOKUP(B489,'Growthrates source'!A$2:H$49,8,FALSE)</f>
        <v>8.5981075235392446E-2</v>
      </c>
      <c r="AP489" s="93">
        <f>VLOOKUP(B489,'Growthrates source'!A$2:I$49,9,FALSE)</f>
        <v>0.24963048725605397</v>
      </c>
      <c r="AQ489" s="86">
        <f t="shared" si="139"/>
        <v>0</v>
      </c>
      <c r="AR489" s="86">
        <f t="shared" si="140"/>
        <v>0</v>
      </c>
      <c r="AS489" s="94">
        <f t="shared" si="141"/>
        <v>8.0389664783136802E-3</v>
      </c>
      <c r="AT489" s="94">
        <f t="shared" si="142"/>
        <v>0</v>
      </c>
      <c r="AU489" s="94">
        <f t="shared" si="143"/>
        <v>0.80004394271207735</v>
      </c>
    </row>
    <row r="490" spans="1:47" x14ac:dyDescent="0.3">
      <c r="A490" s="85" t="str">
        <f>_xlfn.XLOOKUP(B490,'Country codes &amp; Data sources'!G:G,'Country codes &amp; Data sources'!H:H,,0)</f>
        <v>Equatorial Guinea</v>
      </c>
      <c r="B490" s="85" t="s">
        <v>170</v>
      </c>
      <c r="C490" s="86">
        <v>1193643.5</v>
      </c>
      <c r="D490" s="85" t="s">
        <v>203</v>
      </c>
      <c r="E490" s="87">
        <v>0</v>
      </c>
      <c r="F490" s="88">
        <v>1243941.0000000002</v>
      </c>
      <c r="G490" s="87">
        <v>0</v>
      </c>
      <c r="I490" s="87">
        <v>0</v>
      </c>
      <c r="K490" s="87">
        <v>0</v>
      </c>
      <c r="M490" s="87">
        <v>0</v>
      </c>
      <c r="O490" s="87">
        <v>0</v>
      </c>
      <c r="P490" s="88">
        <v>1502091.5000000002</v>
      </c>
      <c r="Q490" s="87">
        <v>0</v>
      </c>
      <c r="R490" s="87">
        <f t="shared" si="126"/>
        <v>1847</v>
      </c>
      <c r="T490" s="87">
        <v>0</v>
      </c>
      <c r="V490" s="87">
        <v>0</v>
      </c>
      <c r="X490" s="87">
        <v>0</v>
      </c>
      <c r="Y490" s="88">
        <v>1674908</v>
      </c>
      <c r="Z490" s="87">
        <v>0</v>
      </c>
      <c r="AA490" s="87">
        <v>1847</v>
      </c>
      <c r="AB490" s="89">
        <f t="shared" si="127"/>
        <v>0</v>
      </c>
      <c r="AC490" s="89">
        <f t="shared" si="128"/>
        <v>0</v>
      </c>
      <c r="AD490" s="89">
        <f t="shared" si="129"/>
        <v>0</v>
      </c>
      <c r="AE490" s="90">
        <f t="shared" si="130"/>
        <v>0</v>
      </c>
      <c r="AF490" s="90" t="str">
        <f t="shared" si="131"/>
        <v/>
      </c>
      <c r="AG490" s="90">
        <f t="shared" si="132"/>
        <v>1847</v>
      </c>
      <c r="AH490" s="90" t="str">
        <f t="shared" si="133"/>
        <v>2018 (triag)</v>
      </c>
      <c r="AI490" s="90">
        <f t="shared" si="134"/>
        <v>1847</v>
      </c>
      <c r="AJ490" s="90" t="str">
        <f t="shared" si="135"/>
        <v>2018 (triag)</v>
      </c>
      <c r="AK490" s="90" t="str">
        <f t="shared" si="136"/>
        <v/>
      </c>
      <c r="AL490" s="91">
        <f>IF(AK490="Adjust",(_xlfn.XLOOKUP(A490,'Adj factor'!A:A,'Adj factor'!I:I,,0)*AI490),'Master DataSheet'!AI490)</f>
        <v>1847</v>
      </c>
      <c r="AM490" s="91">
        <f t="shared" si="137"/>
        <v>1847</v>
      </c>
      <c r="AN490" s="92" t="str">
        <f t="shared" si="138"/>
        <v>No change</v>
      </c>
      <c r="AO490" s="93">
        <f>VLOOKUP(B490,'Growthrates source'!A$2:H$49,8,FALSE)</f>
        <v>8.5981075235392446E-2</v>
      </c>
      <c r="AP490" s="93">
        <f>VLOOKUP(B490,'Growthrates source'!A$2:I$49,9,FALSE)</f>
        <v>0.24963048725605397</v>
      </c>
      <c r="AQ490" s="86">
        <f t="shared" si="139"/>
        <v>1201.603992938343</v>
      </c>
      <c r="AR490" s="86">
        <f t="shared" si="140"/>
        <v>3905.7669380066291</v>
      </c>
      <c r="AS490" s="94">
        <f t="shared" si="141"/>
        <v>0</v>
      </c>
      <c r="AT490" s="94">
        <f t="shared" si="142"/>
        <v>12.296188348046705</v>
      </c>
      <c r="AU490" s="94">
        <f t="shared" si="143"/>
        <v>11.027471359620947</v>
      </c>
    </row>
    <row r="491" spans="1:47" x14ac:dyDescent="0.3">
      <c r="A491" s="85" t="str">
        <f>_xlfn.XLOOKUP(B491,'Country codes &amp; Data sources'!G:G,'Country codes &amp; Data sources'!H:H,,0)</f>
        <v>Equatorial Guinea</v>
      </c>
      <c r="B491" s="85" t="s">
        <v>170</v>
      </c>
      <c r="C491" s="86">
        <v>1193644.5</v>
      </c>
      <c r="D491" s="85" t="s">
        <v>204</v>
      </c>
      <c r="E491" s="87">
        <v>0</v>
      </c>
      <c r="F491" s="88">
        <v>1243941.0000000002</v>
      </c>
      <c r="G491" s="87">
        <v>0</v>
      </c>
      <c r="I491" s="87">
        <v>0</v>
      </c>
      <c r="K491" s="87">
        <v>0</v>
      </c>
      <c r="M491" s="87">
        <v>0</v>
      </c>
      <c r="O491" s="87">
        <v>0</v>
      </c>
      <c r="P491" s="88">
        <v>1502091.5000000002</v>
      </c>
      <c r="Q491" s="87">
        <v>0</v>
      </c>
      <c r="R491" s="87">
        <f t="shared" si="126"/>
        <v>0</v>
      </c>
      <c r="T491" s="87">
        <v>0</v>
      </c>
      <c r="V491" s="87">
        <v>0</v>
      </c>
      <c r="X491" s="87">
        <v>0</v>
      </c>
      <c r="Y491" s="88">
        <v>1674908</v>
      </c>
      <c r="Z491" s="87">
        <v>0</v>
      </c>
      <c r="AA491" s="87">
        <v>0</v>
      </c>
      <c r="AB491" s="89">
        <f t="shared" si="127"/>
        <v>0</v>
      </c>
      <c r="AC491" s="89">
        <f t="shared" si="128"/>
        <v>0</v>
      </c>
      <c r="AD491" s="89">
        <f t="shared" si="129"/>
        <v>0</v>
      </c>
      <c r="AE491" s="90">
        <f t="shared" si="130"/>
        <v>0</v>
      </c>
      <c r="AF491" s="90" t="str">
        <f t="shared" si="131"/>
        <v/>
      </c>
      <c r="AG491" s="90">
        <f t="shared" si="132"/>
        <v>0</v>
      </c>
      <c r="AH491" s="90" t="str">
        <f t="shared" si="133"/>
        <v/>
      </c>
      <c r="AI491" s="90">
        <f t="shared" si="134"/>
        <v>0</v>
      </c>
      <c r="AJ491" s="90" t="str">
        <f t="shared" si="135"/>
        <v/>
      </c>
      <c r="AK491" s="90" t="str">
        <f t="shared" si="136"/>
        <v/>
      </c>
      <c r="AL491" s="91">
        <f>IF(AK491="Adjust",(_xlfn.XLOOKUP(A491,'Adj factor'!A:A,'Adj factor'!I:I,,0)*AI491),'Master DataSheet'!AI491)</f>
        <v>0</v>
      </c>
      <c r="AM491" s="91">
        <f t="shared" si="137"/>
        <v>0</v>
      </c>
      <c r="AN491" s="92" t="str">
        <f t="shared" si="138"/>
        <v>No change</v>
      </c>
      <c r="AO491" s="93">
        <f>VLOOKUP(B491,'Growthrates source'!A$2:H$49,8,FALSE)</f>
        <v>8.5981075235392446E-2</v>
      </c>
      <c r="AP491" s="93">
        <f>VLOOKUP(B491,'Growthrates source'!A$2:I$49,9,FALSE)</f>
        <v>0.24963048725605397</v>
      </c>
      <c r="AQ491" s="86">
        <f t="shared" si="139"/>
        <v>0</v>
      </c>
      <c r="AR491" s="86">
        <f t="shared" si="140"/>
        <v>0</v>
      </c>
      <c r="AS491" s="94">
        <f t="shared" si="141"/>
        <v>0</v>
      </c>
      <c r="AT491" s="94">
        <f t="shared" si="142"/>
        <v>0</v>
      </c>
      <c r="AU491" s="94">
        <f t="shared" si="143"/>
        <v>0</v>
      </c>
    </row>
    <row r="492" spans="1:47" x14ac:dyDescent="0.3">
      <c r="A492" s="85" t="str">
        <f>_xlfn.XLOOKUP(B492,'Country codes &amp; Data sources'!G:G,'Country codes &amp; Data sources'!H:H,,0)</f>
        <v>Equatorial Guinea</v>
      </c>
      <c r="B492" s="85" t="s">
        <v>170</v>
      </c>
      <c r="C492" s="86">
        <v>1193645.5</v>
      </c>
      <c r="D492" s="85" t="s">
        <v>205</v>
      </c>
      <c r="E492" s="87">
        <v>0</v>
      </c>
      <c r="F492" s="88">
        <v>1243941.0000000002</v>
      </c>
      <c r="G492" s="87">
        <v>0</v>
      </c>
      <c r="I492" s="87">
        <v>0</v>
      </c>
      <c r="K492" s="87">
        <v>0</v>
      </c>
      <c r="M492" s="87">
        <v>0</v>
      </c>
      <c r="O492" s="87">
        <v>0</v>
      </c>
      <c r="P492" s="88">
        <v>1502091.5000000002</v>
      </c>
      <c r="Q492" s="87">
        <v>0</v>
      </c>
      <c r="R492" s="87">
        <f t="shared" si="126"/>
        <v>5</v>
      </c>
      <c r="T492" s="87">
        <v>0</v>
      </c>
      <c r="V492" s="87">
        <v>0</v>
      </c>
      <c r="X492" s="87">
        <v>0</v>
      </c>
      <c r="Y492" s="88">
        <v>1674908</v>
      </c>
      <c r="Z492" s="87">
        <v>0</v>
      </c>
      <c r="AA492" s="87">
        <v>5</v>
      </c>
      <c r="AB492" s="89">
        <f t="shared" si="127"/>
        <v>0</v>
      </c>
      <c r="AC492" s="89">
        <f t="shared" si="128"/>
        <v>0</v>
      </c>
      <c r="AD492" s="89">
        <f t="shared" si="129"/>
        <v>0</v>
      </c>
      <c r="AE492" s="90">
        <f t="shared" si="130"/>
        <v>0</v>
      </c>
      <c r="AF492" s="90" t="str">
        <f t="shared" si="131"/>
        <v/>
      </c>
      <c r="AG492" s="90">
        <f t="shared" si="132"/>
        <v>5</v>
      </c>
      <c r="AH492" s="90" t="str">
        <f t="shared" si="133"/>
        <v>2018 (triag)</v>
      </c>
      <c r="AI492" s="90">
        <f t="shared" si="134"/>
        <v>5</v>
      </c>
      <c r="AJ492" s="90" t="str">
        <f t="shared" si="135"/>
        <v>2018 (triag)</v>
      </c>
      <c r="AK492" s="90" t="str">
        <f t="shared" si="136"/>
        <v/>
      </c>
      <c r="AL492" s="91">
        <f>IF(AK492="Adjust",(_xlfn.XLOOKUP(A492,'Adj factor'!A:A,'Adj factor'!I:I,,0)*AI492),'Master DataSheet'!AI492)</f>
        <v>5</v>
      </c>
      <c r="AM492" s="91">
        <f t="shared" si="137"/>
        <v>5</v>
      </c>
      <c r="AN492" s="92" t="str">
        <f t="shared" si="138"/>
        <v>No change</v>
      </c>
      <c r="AO492" s="93">
        <f>VLOOKUP(B492,'Growthrates source'!A$2:H$49,8,FALSE)</f>
        <v>8.5981075235392446E-2</v>
      </c>
      <c r="AP492" s="93">
        <f>VLOOKUP(B492,'Growthrates source'!A$2:I$49,9,FALSE)</f>
        <v>0.24963048725605397</v>
      </c>
      <c r="AQ492" s="86">
        <f t="shared" si="139"/>
        <v>3.2528532564654657</v>
      </c>
      <c r="AR492" s="86">
        <f t="shared" si="140"/>
        <v>10.573272707110528</v>
      </c>
      <c r="AS492" s="94">
        <f t="shared" si="141"/>
        <v>0</v>
      </c>
      <c r="AT492" s="94">
        <f t="shared" si="142"/>
        <v>3.3286920270835692E-2</v>
      </c>
      <c r="AU492" s="94">
        <f t="shared" si="143"/>
        <v>2.9852385922092436E-2</v>
      </c>
    </row>
    <row r="493" spans="1:47" x14ac:dyDescent="0.3">
      <c r="A493" s="85" t="str">
        <f>_xlfn.XLOOKUP(B493,'Country codes &amp; Data sources'!G:G,'Country codes &amp; Data sources'!H:H,,0)</f>
        <v>Equatorial Guinea</v>
      </c>
      <c r="B493" s="85" t="s">
        <v>170</v>
      </c>
      <c r="C493" s="86">
        <v>1193646.5</v>
      </c>
      <c r="D493" s="85" t="s">
        <v>133</v>
      </c>
      <c r="E493" s="87">
        <v>0</v>
      </c>
      <c r="F493" s="88">
        <v>1243941.0000000002</v>
      </c>
      <c r="G493" s="87">
        <v>0</v>
      </c>
      <c r="I493" s="87">
        <v>0</v>
      </c>
      <c r="K493" s="87">
        <v>0</v>
      </c>
      <c r="M493" s="87">
        <v>0</v>
      </c>
      <c r="O493" s="87">
        <v>0</v>
      </c>
      <c r="P493" s="88">
        <v>1502091.5000000002</v>
      </c>
      <c r="Q493" s="87">
        <v>2</v>
      </c>
      <c r="R493" s="87">
        <f t="shared" si="126"/>
        <v>134</v>
      </c>
      <c r="T493" s="87">
        <v>0</v>
      </c>
      <c r="V493" s="87">
        <v>0</v>
      </c>
      <c r="X493" s="87">
        <v>0</v>
      </c>
      <c r="Y493" s="88">
        <v>1674908</v>
      </c>
      <c r="Z493" s="87">
        <v>0</v>
      </c>
      <c r="AA493" s="87">
        <v>134</v>
      </c>
      <c r="AB493" s="89">
        <f t="shared" si="127"/>
        <v>0</v>
      </c>
      <c r="AC493" s="89">
        <f t="shared" si="128"/>
        <v>2</v>
      </c>
      <c r="AD493" s="89">
        <f t="shared" si="129"/>
        <v>0</v>
      </c>
      <c r="AE493" s="90">
        <f t="shared" si="130"/>
        <v>0</v>
      </c>
      <c r="AF493" s="90" t="str">
        <f t="shared" si="131"/>
        <v/>
      </c>
      <c r="AG493" s="90">
        <f t="shared" si="132"/>
        <v>134</v>
      </c>
      <c r="AH493" s="90" t="str">
        <f t="shared" si="133"/>
        <v>2018 (triag)</v>
      </c>
      <c r="AI493" s="90">
        <f t="shared" si="134"/>
        <v>134</v>
      </c>
      <c r="AJ493" s="90" t="str">
        <f t="shared" si="135"/>
        <v>2018 (triag)</v>
      </c>
      <c r="AK493" s="90" t="str">
        <f t="shared" si="136"/>
        <v/>
      </c>
      <c r="AL493" s="91">
        <f>IF(AK493="Adjust",(_xlfn.XLOOKUP(A493,'Adj factor'!A:A,'Adj factor'!I:I,,0)*AI493),'Master DataSheet'!AI493)</f>
        <v>134</v>
      </c>
      <c r="AM493" s="91">
        <f t="shared" si="137"/>
        <v>134</v>
      </c>
      <c r="AN493" s="92" t="str">
        <f t="shared" si="138"/>
        <v>No change</v>
      </c>
      <c r="AO493" s="93">
        <f>VLOOKUP(B493,'Growthrates source'!A$2:H$49,8,FALSE)</f>
        <v>8.5981075235392446E-2</v>
      </c>
      <c r="AP493" s="93">
        <f>VLOOKUP(B493,'Growthrates source'!A$2:I$49,9,FALSE)</f>
        <v>0.24963048725605397</v>
      </c>
      <c r="AQ493" s="86">
        <f t="shared" si="139"/>
        <v>87.176467273274483</v>
      </c>
      <c r="AR493" s="86">
        <f t="shared" si="140"/>
        <v>283.36370855056214</v>
      </c>
      <c r="AS493" s="94">
        <f t="shared" si="141"/>
        <v>0</v>
      </c>
      <c r="AT493" s="94">
        <f t="shared" si="142"/>
        <v>0.89208946325839655</v>
      </c>
      <c r="AU493" s="94">
        <f t="shared" si="143"/>
        <v>0.80004394271207735</v>
      </c>
    </row>
    <row r="494" spans="1:47" x14ac:dyDescent="0.3">
      <c r="A494" s="85" t="str">
        <f>_xlfn.XLOOKUP(B494,'Country codes &amp; Data sources'!G:G,'Country codes &amp; Data sources'!H:H,,0)</f>
        <v>Equatorial Guinea</v>
      </c>
      <c r="B494" s="85" t="s">
        <v>170</v>
      </c>
      <c r="C494" s="86">
        <v>1193647.5</v>
      </c>
      <c r="D494" s="85" t="s">
        <v>206</v>
      </c>
      <c r="E494" s="87">
        <v>0</v>
      </c>
      <c r="F494" s="88">
        <v>1243941.0000000002</v>
      </c>
      <c r="G494" s="87">
        <v>0</v>
      </c>
      <c r="I494" s="87">
        <v>0</v>
      </c>
      <c r="K494" s="87">
        <v>0</v>
      </c>
      <c r="M494" s="87">
        <v>0</v>
      </c>
      <c r="O494" s="87">
        <v>0</v>
      </c>
      <c r="P494" s="88">
        <v>1502091.5000000002</v>
      </c>
      <c r="Q494" s="87">
        <v>0</v>
      </c>
      <c r="R494" s="87">
        <f t="shared" si="126"/>
        <v>0</v>
      </c>
      <c r="T494" s="87">
        <v>0</v>
      </c>
      <c r="V494" s="87">
        <v>0</v>
      </c>
      <c r="X494" s="87">
        <v>0</v>
      </c>
      <c r="Y494" s="88">
        <v>1674908</v>
      </c>
      <c r="Z494" s="87">
        <v>282</v>
      </c>
      <c r="AA494" s="87">
        <v>0</v>
      </c>
      <c r="AB494" s="89">
        <f t="shared" si="127"/>
        <v>0</v>
      </c>
      <c r="AC494" s="89">
        <f t="shared" si="128"/>
        <v>0</v>
      </c>
      <c r="AD494" s="89">
        <f t="shared" si="129"/>
        <v>282</v>
      </c>
      <c r="AE494" s="90">
        <f t="shared" si="130"/>
        <v>0</v>
      </c>
      <c r="AF494" s="90" t="str">
        <f t="shared" si="131"/>
        <v/>
      </c>
      <c r="AG494" s="90">
        <f t="shared" si="132"/>
        <v>0</v>
      </c>
      <c r="AH494" s="90" t="str">
        <f t="shared" si="133"/>
        <v/>
      </c>
      <c r="AI494" s="90">
        <f t="shared" si="134"/>
        <v>282</v>
      </c>
      <c r="AJ494" s="90">
        <f t="shared" si="135"/>
        <v>2022</v>
      </c>
      <c r="AK494" s="90" t="str">
        <f t="shared" si="136"/>
        <v/>
      </c>
      <c r="AL494" s="91">
        <f>IF(AK494="Adjust",(_xlfn.XLOOKUP(A494,'Adj factor'!A:A,'Adj factor'!I:I,,0)*AI494),'Master DataSheet'!AI494)</f>
        <v>282</v>
      </c>
      <c r="AM494" s="91">
        <f t="shared" si="137"/>
        <v>282</v>
      </c>
      <c r="AN494" s="92" t="str">
        <f t="shared" si="138"/>
        <v>Increasing</v>
      </c>
      <c r="AO494" s="93">
        <f>VLOOKUP(B494,'Growthrates source'!A$2:H$49,8,FALSE)</f>
        <v>8.5981075235392446E-2</v>
      </c>
      <c r="AP494" s="93">
        <f>VLOOKUP(B494,'Growthrates source'!A$2:I$49,9,FALSE)</f>
        <v>0.24963048725605397</v>
      </c>
      <c r="AQ494" s="86">
        <f t="shared" si="139"/>
        <v>0</v>
      </c>
      <c r="AR494" s="86">
        <f t="shared" si="140"/>
        <v>0</v>
      </c>
      <c r="AS494" s="94">
        <f t="shared" si="141"/>
        <v>0</v>
      </c>
      <c r="AT494" s="94">
        <f t="shared" si="142"/>
        <v>0</v>
      </c>
      <c r="AU494" s="94">
        <f t="shared" si="143"/>
        <v>1.6836745660060135</v>
      </c>
    </row>
    <row r="495" spans="1:47" x14ac:dyDescent="0.3">
      <c r="A495" s="85" t="str">
        <f>_xlfn.XLOOKUP(B495,'Country codes &amp; Data sources'!G:G,'Country codes &amp; Data sources'!H:H,,0)</f>
        <v>Equatorial Guinea</v>
      </c>
      <c r="B495" s="85" t="s">
        <v>170</v>
      </c>
      <c r="C495" s="86">
        <v>1193648.5</v>
      </c>
      <c r="D495" s="85" t="s">
        <v>136</v>
      </c>
      <c r="E495" s="87">
        <v>0</v>
      </c>
      <c r="F495" s="88">
        <v>1243941.0000000002</v>
      </c>
      <c r="G495" s="87">
        <v>0</v>
      </c>
      <c r="I495" s="87">
        <v>0</v>
      </c>
      <c r="K495" s="87">
        <v>0</v>
      </c>
      <c r="M495" s="87">
        <v>0</v>
      </c>
      <c r="O495" s="87">
        <v>0</v>
      </c>
      <c r="P495" s="88">
        <v>1502091.5000000002</v>
      </c>
      <c r="Q495" s="87">
        <v>0</v>
      </c>
      <c r="R495" s="87">
        <f t="shared" si="126"/>
        <v>0</v>
      </c>
      <c r="T495" s="87">
        <v>0</v>
      </c>
      <c r="V495" s="87">
        <v>0</v>
      </c>
      <c r="X495" s="87">
        <v>0</v>
      </c>
      <c r="Y495" s="88">
        <v>1674908</v>
      </c>
      <c r="Z495" s="87">
        <v>0</v>
      </c>
      <c r="AA495" s="87">
        <v>0</v>
      </c>
      <c r="AB495" s="89">
        <f t="shared" si="127"/>
        <v>0</v>
      </c>
      <c r="AC495" s="89">
        <f t="shared" si="128"/>
        <v>0</v>
      </c>
      <c r="AD495" s="89">
        <f t="shared" si="129"/>
        <v>0</v>
      </c>
      <c r="AE495" s="90">
        <f t="shared" si="130"/>
        <v>0</v>
      </c>
      <c r="AF495" s="90" t="str">
        <f t="shared" si="131"/>
        <v/>
      </c>
      <c r="AG495" s="90">
        <f t="shared" si="132"/>
        <v>0</v>
      </c>
      <c r="AH495" s="90" t="str">
        <f t="shared" si="133"/>
        <v/>
      </c>
      <c r="AI495" s="90">
        <f t="shared" si="134"/>
        <v>0</v>
      </c>
      <c r="AJ495" s="90" t="str">
        <f t="shared" si="135"/>
        <v/>
      </c>
      <c r="AK495" s="90" t="str">
        <f t="shared" si="136"/>
        <v/>
      </c>
      <c r="AL495" s="91">
        <f>IF(AK495="Adjust",(_xlfn.XLOOKUP(A495,'Adj factor'!A:A,'Adj factor'!I:I,,0)*AI495),'Master DataSheet'!AI495)</f>
        <v>0</v>
      </c>
      <c r="AM495" s="91">
        <f t="shared" si="137"/>
        <v>0</v>
      </c>
      <c r="AN495" s="92" t="str">
        <f t="shared" si="138"/>
        <v>No change</v>
      </c>
      <c r="AO495" s="93">
        <f>VLOOKUP(B495,'Growthrates source'!A$2:H$49,8,FALSE)</f>
        <v>8.5981075235392446E-2</v>
      </c>
      <c r="AP495" s="93">
        <f>VLOOKUP(B495,'Growthrates source'!A$2:I$49,9,FALSE)</f>
        <v>0.24963048725605397</v>
      </c>
      <c r="AQ495" s="86">
        <f t="shared" si="139"/>
        <v>0</v>
      </c>
      <c r="AR495" s="86">
        <f t="shared" si="140"/>
        <v>0</v>
      </c>
      <c r="AS495" s="94">
        <f t="shared" si="141"/>
        <v>0</v>
      </c>
      <c r="AT495" s="94">
        <f t="shared" si="142"/>
        <v>0</v>
      </c>
      <c r="AU495" s="94">
        <f t="shared" si="143"/>
        <v>0</v>
      </c>
    </row>
    <row r="496" spans="1:47" x14ac:dyDescent="0.3">
      <c r="A496" s="85" t="str">
        <f>_xlfn.XLOOKUP(B496,'Country codes &amp; Data sources'!G:G,'Country codes &amp; Data sources'!H:H,,0)</f>
        <v>Equatorial Guinea</v>
      </c>
      <c r="B496" s="85" t="s">
        <v>170</v>
      </c>
      <c r="C496" s="86">
        <v>1193649.5</v>
      </c>
      <c r="D496" s="85" t="s">
        <v>207</v>
      </c>
      <c r="E496" s="87">
        <v>0</v>
      </c>
      <c r="F496" s="88">
        <v>1243941.0000000002</v>
      </c>
      <c r="G496" s="87">
        <v>0</v>
      </c>
      <c r="I496" s="87">
        <v>0</v>
      </c>
      <c r="K496" s="87">
        <v>0</v>
      </c>
      <c r="M496" s="87">
        <v>0</v>
      </c>
      <c r="O496" s="87">
        <v>0</v>
      </c>
      <c r="P496" s="88">
        <v>1502091.5000000002</v>
      </c>
      <c r="Q496" s="87">
        <v>0</v>
      </c>
      <c r="R496" s="87">
        <f t="shared" si="126"/>
        <v>0</v>
      </c>
      <c r="T496" s="87">
        <v>0</v>
      </c>
      <c r="V496" s="87">
        <v>0</v>
      </c>
      <c r="X496" s="87">
        <v>0</v>
      </c>
      <c r="Y496" s="88">
        <v>1674908</v>
      </c>
      <c r="Z496" s="87">
        <v>0</v>
      </c>
      <c r="AA496" s="87">
        <v>0</v>
      </c>
      <c r="AB496" s="89">
        <f t="shared" si="127"/>
        <v>0</v>
      </c>
      <c r="AC496" s="89">
        <f t="shared" si="128"/>
        <v>0</v>
      </c>
      <c r="AD496" s="89">
        <f t="shared" si="129"/>
        <v>0</v>
      </c>
      <c r="AE496" s="90">
        <f t="shared" si="130"/>
        <v>0</v>
      </c>
      <c r="AF496" s="90" t="str">
        <f t="shared" si="131"/>
        <v/>
      </c>
      <c r="AG496" s="90">
        <f t="shared" si="132"/>
        <v>0</v>
      </c>
      <c r="AH496" s="90" t="str">
        <f t="shared" si="133"/>
        <v/>
      </c>
      <c r="AI496" s="90">
        <f t="shared" si="134"/>
        <v>0</v>
      </c>
      <c r="AJ496" s="90" t="str">
        <f t="shared" si="135"/>
        <v/>
      </c>
      <c r="AK496" s="90" t="str">
        <f t="shared" si="136"/>
        <v/>
      </c>
      <c r="AL496" s="91">
        <f>IF(AK496="Adjust",(_xlfn.XLOOKUP(A496,'Adj factor'!A:A,'Adj factor'!I:I,,0)*AI496),'Master DataSheet'!AI496)</f>
        <v>0</v>
      </c>
      <c r="AM496" s="91">
        <f t="shared" si="137"/>
        <v>0</v>
      </c>
      <c r="AN496" s="92" t="str">
        <f t="shared" si="138"/>
        <v>No change</v>
      </c>
      <c r="AO496" s="93">
        <f>VLOOKUP(B496,'Growthrates source'!A$2:H$49,8,FALSE)</f>
        <v>8.5981075235392446E-2</v>
      </c>
      <c r="AP496" s="93">
        <f>VLOOKUP(B496,'Growthrates source'!A$2:I$49,9,FALSE)</f>
        <v>0.24963048725605397</v>
      </c>
      <c r="AQ496" s="86">
        <f t="shared" si="139"/>
        <v>0</v>
      </c>
      <c r="AR496" s="86">
        <f t="shared" si="140"/>
        <v>0</v>
      </c>
      <c r="AS496" s="94">
        <f t="shared" si="141"/>
        <v>0</v>
      </c>
      <c r="AT496" s="94">
        <f t="shared" si="142"/>
        <v>0</v>
      </c>
      <c r="AU496" s="94">
        <f t="shared" si="143"/>
        <v>0</v>
      </c>
    </row>
    <row r="497" spans="1:49" x14ac:dyDescent="0.3">
      <c r="A497" s="85" t="str">
        <f>_xlfn.XLOOKUP(B497,'Country codes &amp; Data sources'!G:G,'Country codes &amp; Data sources'!H:H,,0)</f>
        <v>Equatorial Guinea</v>
      </c>
      <c r="B497" s="85" t="s">
        <v>170</v>
      </c>
      <c r="C497" s="86">
        <v>1193650.5</v>
      </c>
      <c r="D497" s="85" t="s">
        <v>141</v>
      </c>
      <c r="E497" s="87">
        <v>0</v>
      </c>
      <c r="F497" s="88">
        <v>1243941.0000000002</v>
      </c>
      <c r="G497" s="87">
        <v>0</v>
      </c>
      <c r="I497" s="87">
        <v>0</v>
      </c>
      <c r="K497" s="87">
        <v>0</v>
      </c>
      <c r="M497" s="87">
        <v>0</v>
      </c>
      <c r="O497" s="87">
        <v>0</v>
      </c>
      <c r="P497" s="88">
        <v>1502091.5000000002</v>
      </c>
      <c r="Q497" s="87">
        <v>0</v>
      </c>
      <c r="R497" s="87">
        <f t="shared" si="126"/>
        <v>0</v>
      </c>
      <c r="T497" s="87">
        <v>0</v>
      </c>
      <c r="V497" s="87">
        <v>0</v>
      </c>
      <c r="X497" s="87">
        <v>0</v>
      </c>
      <c r="Y497" s="88">
        <v>1674908</v>
      </c>
      <c r="Z497" s="87">
        <v>0</v>
      </c>
      <c r="AA497" s="87">
        <v>0</v>
      </c>
      <c r="AB497" s="89">
        <f t="shared" si="127"/>
        <v>0</v>
      </c>
      <c r="AC497" s="89">
        <f t="shared" si="128"/>
        <v>0</v>
      </c>
      <c r="AD497" s="89">
        <f t="shared" si="129"/>
        <v>0</v>
      </c>
      <c r="AE497" s="90">
        <f t="shared" si="130"/>
        <v>0</v>
      </c>
      <c r="AF497" s="90" t="str">
        <f t="shared" si="131"/>
        <v/>
      </c>
      <c r="AG497" s="90">
        <f t="shared" si="132"/>
        <v>0</v>
      </c>
      <c r="AH497" s="90" t="str">
        <f t="shared" si="133"/>
        <v/>
      </c>
      <c r="AI497" s="90">
        <f t="shared" si="134"/>
        <v>0</v>
      </c>
      <c r="AJ497" s="90" t="str">
        <f t="shared" si="135"/>
        <v/>
      </c>
      <c r="AK497" s="90" t="str">
        <f t="shared" si="136"/>
        <v/>
      </c>
      <c r="AL497" s="91">
        <f>IF(AK497="Adjust",(_xlfn.XLOOKUP(A497,'Adj factor'!A:A,'Adj factor'!I:I,,0)*AI497),'Master DataSheet'!AI497)</f>
        <v>0</v>
      </c>
      <c r="AM497" s="91">
        <f t="shared" si="137"/>
        <v>0</v>
      </c>
      <c r="AN497" s="92" t="str">
        <f t="shared" si="138"/>
        <v>No change</v>
      </c>
      <c r="AO497" s="93">
        <f>VLOOKUP(B497,'Growthrates source'!A$2:H$49,8,FALSE)</f>
        <v>8.5981075235392446E-2</v>
      </c>
      <c r="AP497" s="93">
        <f>VLOOKUP(B497,'Growthrates source'!A$2:I$49,9,FALSE)</f>
        <v>0.24963048725605397</v>
      </c>
      <c r="AQ497" s="86">
        <f t="shared" si="139"/>
        <v>0</v>
      </c>
      <c r="AR497" s="86">
        <f t="shared" si="140"/>
        <v>0</v>
      </c>
      <c r="AS497" s="94">
        <f t="shared" si="141"/>
        <v>0</v>
      </c>
      <c r="AT497" s="94">
        <f t="shared" si="142"/>
        <v>0</v>
      </c>
      <c r="AU497" s="94">
        <f t="shared" si="143"/>
        <v>0</v>
      </c>
    </row>
    <row r="498" spans="1:49" x14ac:dyDescent="0.3">
      <c r="A498" s="85" t="str">
        <f>_xlfn.XLOOKUP(B498,'Country codes &amp; Data sources'!G:G,'Country codes &amp; Data sources'!H:H,,0)</f>
        <v>Equatorial Guinea</v>
      </c>
      <c r="B498" s="85" t="s">
        <v>170</v>
      </c>
      <c r="C498" s="86">
        <v>1193651.5</v>
      </c>
      <c r="D498" s="85" t="s">
        <v>208</v>
      </c>
      <c r="E498" s="87">
        <v>0</v>
      </c>
      <c r="F498" s="88">
        <v>1243941.0000000002</v>
      </c>
      <c r="G498" s="87">
        <v>0</v>
      </c>
      <c r="I498" s="87">
        <v>0</v>
      </c>
      <c r="K498" s="87">
        <v>0</v>
      </c>
      <c r="M498" s="87">
        <v>0</v>
      </c>
      <c r="O498" s="87">
        <v>0</v>
      </c>
      <c r="P498" s="88">
        <v>1502091.5000000002</v>
      </c>
      <c r="Q498" s="87">
        <v>0</v>
      </c>
      <c r="R498" s="87">
        <f t="shared" si="126"/>
        <v>0</v>
      </c>
      <c r="T498" s="87">
        <v>0</v>
      </c>
      <c r="V498" s="87">
        <v>0</v>
      </c>
      <c r="X498" s="87">
        <v>0</v>
      </c>
      <c r="Y498" s="88">
        <v>1674908</v>
      </c>
      <c r="Z498" s="87">
        <v>0</v>
      </c>
      <c r="AA498" s="87">
        <v>0</v>
      </c>
      <c r="AB498" s="89">
        <f t="shared" si="127"/>
        <v>0</v>
      </c>
      <c r="AC498" s="89">
        <f t="shared" si="128"/>
        <v>0</v>
      </c>
      <c r="AD498" s="89">
        <f t="shared" si="129"/>
        <v>0</v>
      </c>
      <c r="AE498" s="90">
        <f t="shared" si="130"/>
        <v>0</v>
      </c>
      <c r="AF498" s="90" t="str">
        <f t="shared" si="131"/>
        <v/>
      </c>
      <c r="AG498" s="90">
        <f t="shared" si="132"/>
        <v>0</v>
      </c>
      <c r="AH498" s="90" t="str">
        <f t="shared" si="133"/>
        <v/>
      </c>
      <c r="AI498" s="90">
        <f t="shared" si="134"/>
        <v>0</v>
      </c>
      <c r="AJ498" s="90" t="str">
        <f t="shared" si="135"/>
        <v/>
      </c>
      <c r="AK498" s="90" t="str">
        <f t="shared" si="136"/>
        <v/>
      </c>
      <c r="AL498" s="91">
        <f>IF(AK498="Adjust",(_xlfn.XLOOKUP(A498,'Adj factor'!A:A,'Adj factor'!I:I,,0)*AI498),'Master DataSheet'!AI498)</f>
        <v>0</v>
      </c>
      <c r="AM498" s="91">
        <f t="shared" si="137"/>
        <v>0</v>
      </c>
      <c r="AN498" s="92" t="str">
        <f t="shared" si="138"/>
        <v>No change</v>
      </c>
      <c r="AO498" s="93">
        <f>VLOOKUP(B498,'Growthrates source'!A$2:H$49,8,FALSE)</f>
        <v>8.5981075235392446E-2</v>
      </c>
      <c r="AP498" s="93">
        <f>VLOOKUP(B498,'Growthrates source'!A$2:I$49,9,FALSE)</f>
        <v>0.24963048725605397</v>
      </c>
      <c r="AQ498" s="86">
        <f t="shared" si="139"/>
        <v>0</v>
      </c>
      <c r="AR498" s="86">
        <f t="shared" si="140"/>
        <v>0</v>
      </c>
      <c r="AS498" s="94">
        <f t="shared" si="141"/>
        <v>0</v>
      </c>
      <c r="AT498" s="94">
        <f t="shared" si="142"/>
        <v>0</v>
      </c>
      <c r="AU498" s="94">
        <f t="shared" si="143"/>
        <v>0</v>
      </c>
    </row>
    <row r="499" spans="1:49" x14ac:dyDescent="0.3">
      <c r="A499" s="85" t="str">
        <f>_xlfn.XLOOKUP(B499,'Country codes &amp; Data sources'!G:G,'Country codes &amp; Data sources'!H:H,,0)</f>
        <v>Equatorial Guinea</v>
      </c>
      <c r="B499" s="85" t="s">
        <v>170</v>
      </c>
      <c r="C499" s="86">
        <v>1193652.5</v>
      </c>
      <c r="D499" s="85" t="s">
        <v>209</v>
      </c>
      <c r="E499" s="87">
        <v>0</v>
      </c>
      <c r="F499" s="88">
        <v>1243941.0000000002</v>
      </c>
      <c r="G499" s="87">
        <v>0</v>
      </c>
      <c r="I499" s="87">
        <v>0</v>
      </c>
      <c r="K499" s="87">
        <v>0</v>
      </c>
      <c r="M499" s="87">
        <v>0</v>
      </c>
      <c r="O499" s="87">
        <v>0</v>
      </c>
      <c r="P499" s="88">
        <v>1502091.5000000002</v>
      </c>
      <c r="Q499" s="87">
        <v>0</v>
      </c>
      <c r="R499" s="87">
        <f t="shared" si="126"/>
        <v>0</v>
      </c>
      <c r="T499" s="87">
        <v>0</v>
      </c>
      <c r="V499" s="87">
        <v>0</v>
      </c>
      <c r="X499" s="87">
        <v>0</v>
      </c>
      <c r="Y499" s="88">
        <v>1674908</v>
      </c>
      <c r="Z499" s="87">
        <v>0</v>
      </c>
      <c r="AA499" s="87">
        <v>0</v>
      </c>
      <c r="AB499" s="89">
        <f t="shared" si="127"/>
        <v>0</v>
      </c>
      <c r="AC499" s="89">
        <f t="shared" si="128"/>
        <v>0</v>
      </c>
      <c r="AD499" s="89">
        <f t="shared" si="129"/>
        <v>0</v>
      </c>
      <c r="AE499" s="90">
        <f t="shared" si="130"/>
        <v>0</v>
      </c>
      <c r="AF499" s="90" t="str">
        <f t="shared" si="131"/>
        <v/>
      </c>
      <c r="AG499" s="90">
        <f t="shared" si="132"/>
        <v>0</v>
      </c>
      <c r="AH499" s="90" t="str">
        <f t="shared" si="133"/>
        <v/>
      </c>
      <c r="AI499" s="90">
        <f t="shared" si="134"/>
        <v>0</v>
      </c>
      <c r="AJ499" s="90" t="str">
        <f t="shared" si="135"/>
        <v/>
      </c>
      <c r="AK499" s="90" t="str">
        <f t="shared" si="136"/>
        <v/>
      </c>
      <c r="AL499" s="91">
        <f>IF(AK499="Adjust",(_xlfn.XLOOKUP(A499,'Adj factor'!A:A,'Adj factor'!I:I,,0)*AI499),'Master DataSheet'!AI499)</f>
        <v>0</v>
      </c>
      <c r="AM499" s="91">
        <f t="shared" si="137"/>
        <v>0</v>
      </c>
      <c r="AN499" s="92" t="str">
        <f t="shared" si="138"/>
        <v>No change</v>
      </c>
      <c r="AO499" s="93">
        <f>VLOOKUP(B499,'Growthrates source'!A$2:H$49,8,FALSE)</f>
        <v>8.5981075235392446E-2</v>
      </c>
      <c r="AP499" s="93">
        <f>VLOOKUP(B499,'Growthrates source'!A$2:I$49,9,FALSE)</f>
        <v>0.24963048725605397</v>
      </c>
      <c r="AQ499" s="86">
        <f t="shared" si="139"/>
        <v>0</v>
      </c>
      <c r="AR499" s="86">
        <f t="shared" si="140"/>
        <v>0</v>
      </c>
      <c r="AS499" s="94">
        <f t="shared" si="141"/>
        <v>0</v>
      </c>
      <c r="AT499" s="94">
        <f t="shared" si="142"/>
        <v>0</v>
      </c>
      <c r="AU499" s="94">
        <f t="shared" si="143"/>
        <v>0</v>
      </c>
    </row>
    <row r="500" spans="1:49" x14ac:dyDescent="0.3">
      <c r="A500" s="85" t="str">
        <f>_xlfn.XLOOKUP(B500,'Country codes &amp; Data sources'!G:G,'Country codes &amp; Data sources'!H:H,,0)</f>
        <v>Equatorial Guinea</v>
      </c>
      <c r="B500" s="85" t="s">
        <v>170</v>
      </c>
      <c r="C500" s="86">
        <v>1193653.5</v>
      </c>
      <c r="D500" s="85" t="s">
        <v>134</v>
      </c>
      <c r="E500" s="87">
        <v>0</v>
      </c>
      <c r="F500" s="88">
        <v>1243941.0000000002</v>
      </c>
      <c r="G500" s="87">
        <v>0</v>
      </c>
      <c r="I500" s="87">
        <v>0</v>
      </c>
      <c r="K500" s="87">
        <v>0</v>
      </c>
      <c r="M500" s="87">
        <v>0</v>
      </c>
      <c r="O500" s="87">
        <v>0</v>
      </c>
      <c r="P500" s="88">
        <v>1502091.5000000002</v>
      </c>
      <c r="Q500" s="87">
        <v>0</v>
      </c>
      <c r="R500" s="87">
        <f t="shared" si="126"/>
        <v>2</v>
      </c>
      <c r="T500" s="87">
        <v>0</v>
      </c>
      <c r="V500" s="87">
        <v>0</v>
      </c>
      <c r="X500" s="87">
        <v>0</v>
      </c>
      <c r="Y500" s="88">
        <v>1674908</v>
      </c>
      <c r="Z500" s="87">
        <v>228</v>
      </c>
      <c r="AA500" s="87">
        <v>2</v>
      </c>
      <c r="AB500" s="89">
        <f t="shared" si="127"/>
        <v>0</v>
      </c>
      <c r="AC500" s="89">
        <f t="shared" si="128"/>
        <v>0</v>
      </c>
      <c r="AD500" s="89">
        <f t="shared" si="129"/>
        <v>228</v>
      </c>
      <c r="AE500" s="90">
        <f t="shared" si="130"/>
        <v>0</v>
      </c>
      <c r="AF500" s="90" t="str">
        <f t="shared" si="131"/>
        <v/>
      </c>
      <c r="AG500" s="90">
        <f t="shared" si="132"/>
        <v>2</v>
      </c>
      <c r="AH500" s="90" t="str">
        <f t="shared" si="133"/>
        <v>2018 (triag)</v>
      </c>
      <c r="AI500" s="90">
        <f t="shared" si="134"/>
        <v>228</v>
      </c>
      <c r="AJ500" s="90">
        <f t="shared" si="135"/>
        <v>2022</v>
      </c>
      <c r="AK500" s="90" t="str">
        <f t="shared" si="136"/>
        <v/>
      </c>
      <c r="AL500" s="91">
        <f>IF(AK500="Adjust",(_xlfn.XLOOKUP(A500,'Adj factor'!A:A,'Adj factor'!I:I,,0)*AI500),'Master DataSheet'!AI500)</f>
        <v>228</v>
      </c>
      <c r="AM500" s="91">
        <f t="shared" si="137"/>
        <v>228</v>
      </c>
      <c r="AN500" s="92" t="str">
        <f t="shared" si="138"/>
        <v>Increasing</v>
      </c>
      <c r="AO500" s="93">
        <f>VLOOKUP(B500,'Growthrates source'!A$2:H$49,8,FALSE)</f>
        <v>8.5981075235392446E-2</v>
      </c>
      <c r="AP500" s="93">
        <f>VLOOKUP(B500,'Growthrates source'!A$2:I$49,9,FALSE)</f>
        <v>0.24963048725605397</v>
      </c>
      <c r="AQ500" s="86">
        <f t="shared" si="139"/>
        <v>1.3011413025861864</v>
      </c>
      <c r="AR500" s="86">
        <f t="shared" si="140"/>
        <v>4.2293090828442113</v>
      </c>
      <c r="AS500" s="94">
        <f t="shared" si="141"/>
        <v>0</v>
      </c>
      <c r="AT500" s="94">
        <f t="shared" si="142"/>
        <v>1.3314768108334277E-2</v>
      </c>
      <c r="AU500" s="94">
        <f t="shared" si="143"/>
        <v>1.3612687980474152</v>
      </c>
    </row>
    <row r="501" spans="1:49" x14ac:dyDescent="0.3">
      <c r="A501" s="85" t="str">
        <f>_xlfn.XLOOKUP(B501,'Country codes &amp; Data sources'!G:G,'Country codes &amp; Data sources'!H:H,,0)</f>
        <v>Equatorial Guinea</v>
      </c>
      <c r="B501" s="85" t="s">
        <v>170</v>
      </c>
      <c r="C501" s="86">
        <v>1193654.5</v>
      </c>
      <c r="D501" s="85" t="s">
        <v>142</v>
      </c>
      <c r="E501" s="87">
        <v>0</v>
      </c>
      <c r="F501" s="88">
        <v>1243941.0000000002</v>
      </c>
      <c r="G501" s="87">
        <v>0</v>
      </c>
      <c r="I501" s="87">
        <v>0</v>
      </c>
      <c r="K501" s="87">
        <v>0</v>
      </c>
      <c r="M501" s="87">
        <v>0</v>
      </c>
      <c r="O501" s="87">
        <v>0</v>
      </c>
      <c r="P501" s="88">
        <v>1502091.5000000002</v>
      </c>
      <c r="Q501" s="87">
        <v>0</v>
      </c>
      <c r="R501" s="87">
        <f t="shared" si="126"/>
        <v>0</v>
      </c>
      <c r="T501" s="87">
        <v>0</v>
      </c>
      <c r="V501" s="87">
        <v>0</v>
      </c>
      <c r="X501" s="87">
        <v>0</v>
      </c>
      <c r="Y501" s="88">
        <v>1674908</v>
      </c>
      <c r="Z501" s="87">
        <v>101</v>
      </c>
      <c r="AA501" s="87">
        <v>0</v>
      </c>
      <c r="AB501" s="89">
        <f t="shared" si="127"/>
        <v>0</v>
      </c>
      <c r="AC501" s="89">
        <f t="shared" si="128"/>
        <v>0</v>
      </c>
      <c r="AD501" s="89">
        <f t="shared" si="129"/>
        <v>101</v>
      </c>
      <c r="AE501" s="90">
        <f t="shared" si="130"/>
        <v>0</v>
      </c>
      <c r="AF501" s="90" t="str">
        <f t="shared" si="131"/>
        <v/>
      </c>
      <c r="AG501" s="90">
        <f t="shared" si="132"/>
        <v>0</v>
      </c>
      <c r="AH501" s="90" t="str">
        <f t="shared" si="133"/>
        <v/>
      </c>
      <c r="AI501" s="90">
        <f t="shared" si="134"/>
        <v>101</v>
      </c>
      <c r="AJ501" s="90">
        <f t="shared" si="135"/>
        <v>2022</v>
      </c>
      <c r="AK501" s="90" t="str">
        <f t="shared" si="136"/>
        <v/>
      </c>
      <c r="AL501" s="91">
        <f>IF(AK501="Adjust",(_xlfn.XLOOKUP(A501,'Adj factor'!A:A,'Adj factor'!I:I,,0)*AI501),'Master DataSheet'!AI501)</f>
        <v>101</v>
      </c>
      <c r="AM501" s="91">
        <f t="shared" si="137"/>
        <v>101</v>
      </c>
      <c r="AN501" s="92" t="str">
        <f t="shared" si="138"/>
        <v>Increasing</v>
      </c>
      <c r="AO501" s="93">
        <f>VLOOKUP(B501,'Growthrates source'!A$2:H$49,8,FALSE)</f>
        <v>8.5981075235392446E-2</v>
      </c>
      <c r="AP501" s="93">
        <f>VLOOKUP(B501,'Growthrates source'!A$2:I$49,9,FALSE)</f>
        <v>0.24963048725605397</v>
      </c>
      <c r="AQ501" s="86">
        <f t="shared" si="139"/>
        <v>0</v>
      </c>
      <c r="AR501" s="86">
        <f t="shared" si="140"/>
        <v>0</v>
      </c>
      <c r="AS501" s="94">
        <f t="shared" si="141"/>
        <v>0</v>
      </c>
      <c r="AT501" s="94">
        <f t="shared" si="142"/>
        <v>0</v>
      </c>
      <c r="AU501" s="94">
        <f t="shared" si="143"/>
        <v>0.60301819562626724</v>
      </c>
    </row>
    <row r="502" spans="1:49" x14ac:dyDescent="0.3">
      <c r="A502" s="85" t="str">
        <f>_xlfn.XLOOKUP(B502,'Country codes &amp; Data sources'!G:G,'Country codes &amp; Data sources'!H:H,,0)</f>
        <v>Equatorial Guinea</v>
      </c>
      <c r="B502" s="85" t="s">
        <v>170</v>
      </c>
      <c r="C502" s="86">
        <v>1193655.5</v>
      </c>
      <c r="D502" s="85" t="s">
        <v>83</v>
      </c>
      <c r="E502" s="87">
        <v>0</v>
      </c>
      <c r="F502" s="88">
        <v>1243941.0000000002</v>
      </c>
      <c r="G502" s="87">
        <v>0</v>
      </c>
      <c r="I502" s="87">
        <v>0</v>
      </c>
      <c r="K502" s="87">
        <v>0</v>
      </c>
      <c r="M502" s="87">
        <v>0</v>
      </c>
      <c r="O502" s="87">
        <v>0</v>
      </c>
      <c r="P502" s="88">
        <v>1502091.5000000002</v>
      </c>
      <c r="Q502" s="87">
        <v>0</v>
      </c>
      <c r="R502" s="87">
        <f t="shared" si="126"/>
        <v>0</v>
      </c>
      <c r="T502" s="87">
        <v>0</v>
      </c>
      <c r="V502" s="87">
        <v>0</v>
      </c>
      <c r="X502" s="87">
        <v>0</v>
      </c>
      <c r="Y502" s="88">
        <v>1674908</v>
      </c>
      <c r="Z502" s="87">
        <v>0</v>
      </c>
      <c r="AA502" s="87">
        <v>0</v>
      </c>
      <c r="AB502" s="89">
        <f t="shared" si="127"/>
        <v>0</v>
      </c>
      <c r="AC502" s="89">
        <f t="shared" si="128"/>
        <v>0</v>
      </c>
      <c r="AD502" s="89">
        <f t="shared" si="129"/>
        <v>0</v>
      </c>
      <c r="AE502" s="90">
        <f t="shared" si="130"/>
        <v>0</v>
      </c>
      <c r="AF502" s="90" t="str">
        <f t="shared" si="131"/>
        <v/>
      </c>
      <c r="AG502" s="90">
        <f t="shared" si="132"/>
        <v>0</v>
      </c>
      <c r="AH502" s="90" t="str">
        <f t="shared" si="133"/>
        <v/>
      </c>
      <c r="AI502" s="90">
        <f t="shared" si="134"/>
        <v>0</v>
      </c>
      <c r="AJ502" s="90" t="str">
        <f t="shared" si="135"/>
        <v/>
      </c>
      <c r="AK502" s="90" t="str">
        <f t="shared" si="136"/>
        <v/>
      </c>
      <c r="AL502" s="91">
        <f>IF(AK502="Adjust",(_xlfn.XLOOKUP(A502,'Adj factor'!A:A,'Adj factor'!I:I,,0)*AI502),'Master DataSheet'!AI502)</f>
        <v>0</v>
      </c>
      <c r="AM502" s="91">
        <f t="shared" si="137"/>
        <v>0</v>
      </c>
      <c r="AN502" s="92" t="str">
        <f t="shared" si="138"/>
        <v>No change</v>
      </c>
      <c r="AO502" s="93">
        <f>VLOOKUP(B502,'Growthrates source'!A$2:H$49,8,FALSE)</f>
        <v>8.5981075235392446E-2</v>
      </c>
      <c r="AP502" s="93">
        <f>VLOOKUP(B502,'Growthrates source'!A$2:I$49,9,FALSE)</f>
        <v>0.24963048725605397</v>
      </c>
      <c r="AQ502" s="86">
        <f t="shared" si="139"/>
        <v>0</v>
      </c>
      <c r="AR502" s="86">
        <f t="shared" si="140"/>
        <v>0</v>
      </c>
      <c r="AS502" s="94">
        <f t="shared" si="141"/>
        <v>0</v>
      </c>
      <c r="AT502" s="94">
        <f t="shared" si="142"/>
        <v>0</v>
      </c>
      <c r="AU502" s="94">
        <f t="shared" si="143"/>
        <v>0</v>
      </c>
    </row>
    <row r="503" spans="1:49" x14ac:dyDescent="0.3">
      <c r="A503" s="85" t="str">
        <f>_xlfn.XLOOKUP(B503,'Country codes &amp; Data sources'!G:G,'Country codes &amp; Data sources'!H:H,,0)</f>
        <v>Equatorial Guinea</v>
      </c>
      <c r="B503" s="85" t="s">
        <v>170</v>
      </c>
      <c r="C503" s="86">
        <v>1193656.5</v>
      </c>
      <c r="D503" s="85" t="s">
        <v>84</v>
      </c>
      <c r="E503" s="87">
        <v>0</v>
      </c>
      <c r="F503" s="88">
        <v>1243941.0000000002</v>
      </c>
      <c r="G503" s="87">
        <v>0</v>
      </c>
      <c r="I503" s="87">
        <v>0</v>
      </c>
      <c r="K503" s="87">
        <v>0</v>
      </c>
      <c r="M503" s="87">
        <v>0</v>
      </c>
      <c r="O503" s="87">
        <v>0</v>
      </c>
      <c r="P503" s="88">
        <v>1502091.5000000002</v>
      </c>
      <c r="Q503" s="87">
        <v>0</v>
      </c>
      <c r="R503" s="87">
        <f t="shared" si="126"/>
        <v>0</v>
      </c>
      <c r="T503" s="87">
        <v>0</v>
      </c>
      <c r="V503" s="87">
        <v>0</v>
      </c>
      <c r="X503" s="87">
        <v>0</v>
      </c>
      <c r="Y503" s="88">
        <v>1674908</v>
      </c>
      <c r="Z503" s="87">
        <v>0</v>
      </c>
      <c r="AA503" s="87">
        <v>0</v>
      </c>
      <c r="AB503" s="89">
        <f t="shared" si="127"/>
        <v>0</v>
      </c>
      <c r="AC503" s="89">
        <f t="shared" si="128"/>
        <v>0</v>
      </c>
      <c r="AD503" s="89">
        <f t="shared" si="129"/>
        <v>0</v>
      </c>
      <c r="AE503" s="90">
        <f t="shared" si="130"/>
        <v>0</v>
      </c>
      <c r="AF503" s="90" t="str">
        <f t="shared" si="131"/>
        <v/>
      </c>
      <c r="AG503" s="90">
        <f t="shared" si="132"/>
        <v>0</v>
      </c>
      <c r="AH503" s="90" t="str">
        <f t="shared" si="133"/>
        <v/>
      </c>
      <c r="AI503" s="90">
        <f t="shared" si="134"/>
        <v>0</v>
      </c>
      <c r="AJ503" s="90" t="str">
        <f t="shared" si="135"/>
        <v/>
      </c>
      <c r="AK503" s="90" t="str">
        <f t="shared" si="136"/>
        <v/>
      </c>
      <c r="AL503" s="91">
        <f>IF(AK503="Adjust",(_xlfn.XLOOKUP(A503,'Adj factor'!A:A,'Adj factor'!I:I,,0)*AI503),'Master DataSheet'!AI503)</f>
        <v>0</v>
      </c>
      <c r="AM503" s="91">
        <f t="shared" si="137"/>
        <v>0</v>
      </c>
      <c r="AN503" s="92" t="str">
        <f t="shared" si="138"/>
        <v>No change</v>
      </c>
      <c r="AO503" s="93">
        <f>VLOOKUP(B503,'Growthrates source'!A$2:H$49,8,FALSE)</f>
        <v>8.5981075235392446E-2</v>
      </c>
      <c r="AP503" s="93">
        <f>VLOOKUP(B503,'Growthrates source'!A$2:I$49,9,FALSE)</f>
        <v>0.24963048725605397</v>
      </c>
      <c r="AQ503" s="86">
        <f t="shared" si="139"/>
        <v>0</v>
      </c>
      <c r="AR503" s="86">
        <f t="shared" si="140"/>
        <v>0</v>
      </c>
      <c r="AS503" s="94">
        <f t="shared" si="141"/>
        <v>0</v>
      </c>
      <c r="AT503" s="94">
        <f t="shared" si="142"/>
        <v>0</v>
      </c>
      <c r="AU503" s="94">
        <f t="shared" si="143"/>
        <v>0</v>
      </c>
    </row>
    <row r="504" spans="1:49" x14ac:dyDescent="0.3">
      <c r="A504" s="85" t="str">
        <f>_xlfn.XLOOKUP(B504,'Country codes &amp; Data sources'!G:G,'Country codes &amp; Data sources'!H:H,,0)</f>
        <v>Equatorial Guinea</v>
      </c>
      <c r="B504" s="85" t="s">
        <v>170</v>
      </c>
      <c r="C504" s="86">
        <v>1193657.5</v>
      </c>
      <c r="D504" s="85" t="s">
        <v>126</v>
      </c>
      <c r="E504" s="87">
        <v>0</v>
      </c>
      <c r="F504" s="88">
        <v>1243941.0000000002</v>
      </c>
      <c r="G504" s="87">
        <v>0</v>
      </c>
      <c r="I504" s="87">
        <v>0</v>
      </c>
      <c r="K504" s="87">
        <v>0</v>
      </c>
      <c r="M504" s="87">
        <v>0</v>
      </c>
      <c r="O504" s="87">
        <v>0</v>
      </c>
      <c r="P504" s="88">
        <v>1502091.5000000002</v>
      </c>
      <c r="Q504" s="87">
        <v>0</v>
      </c>
      <c r="R504" s="87">
        <f t="shared" si="126"/>
        <v>0</v>
      </c>
      <c r="T504" s="87">
        <v>0</v>
      </c>
      <c r="V504" s="87">
        <v>0</v>
      </c>
      <c r="X504" s="87">
        <v>0</v>
      </c>
      <c r="Y504" s="88">
        <v>1674908</v>
      </c>
      <c r="Z504" s="87">
        <v>0</v>
      </c>
      <c r="AA504" s="87">
        <v>0</v>
      </c>
      <c r="AB504" s="89">
        <f t="shared" si="127"/>
        <v>0</v>
      </c>
      <c r="AC504" s="89">
        <f t="shared" si="128"/>
        <v>0</v>
      </c>
      <c r="AD504" s="89">
        <f t="shared" si="129"/>
        <v>0</v>
      </c>
      <c r="AE504" s="90">
        <f t="shared" si="130"/>
        <v>0</v>
      </c>
      <c r="AF504" s="90" t="str">
        <f t="shared" si="131"/>
        <v/>
      </c>
      <c r="AG504" s="90">
        <f t="shared" si="132"/>
        <v>0</v>
      </c>
      <c r="AH504" s="90" t="str">
        <f t="shared" si="133"/>
        <v/>
      </c>
      <c r="AI504" s="90">
        <f t="shared" si="134"/>
        <v>0</v>
      </c>
      <c r="AJ504" s="90" t="str">
        <f t="shared" si="135"/>
        <v/>
      </c>
      <c r="AK504" s="90" t="str">
        <f t="shared" si="136"/>
        <v/>
      </c>
      <c r="AL504" s="91">
        <f>IF(AK504="Adjust",(_xlfn.XLOOKUP(A504,'Adj factor'!A:A,'Adj factor'!I:I,,0)*AI504),'Master DataSheet'!AI504)</f>
        <v>0</v>
      </c>
      <c r="AM504" s="91">
        <f t="shared" si="137"/>
        <v>0</v>
      </c>
      <c r="AN504" s="92" t="str">
        <f t="shared" si="138"/>
        <v>No change</v>
      </c>
      <c r="AO504" s="93">
        <f>VLOOKUP(B504,'Growthrates source'!A$2:H$49,8,FALSE)</f>
        <v>8.5981075235392446E-2</v>
      </c>
      <c r="AP504" s="93">
        <f>VLOOKUP(B504,'Growthrates source'!A$2:I$49,9,FALSE)</f>
        <v>0.24963048725605397</v>
      </c>
      <c r="AQ504" s="86">
        <f t="shared" si="139"/>
        <v>0</v>
      </c>
      <c r="AR504" s="86">
        <f t="shared" si="140"/>
        <v>0</v>
      </c>
      <c r="AS504" s="94">
        <f t="shared" si="141"/>
        <v>0</v>
      </c>
      <c r="AT504" s="94">
        <f t="shared" si="142"/>
        <v>0</v>
      </c>
      <c r="AU504" s="94">
        <f t="shared" si="143"/>
        <v>0</v>
      </c>
    </row>
    <row r="505" spans="1:49" x14ac:dyDescent="0.3">
      <c r="A505" s="85" t="str">
        <f>_xlfn.XLOOKUP(B505,'Country codes &amp; Data sources'!G:G,'Country codes &amp; Data sources'!H:H,,0)</f>
        <v>Equatorial Guinea</v>
      </c>
      <c r="B505" s="85" t="s">
        <v>170</v>
      </c>
      <c r="C505" s="86">
        <v>1193658.5</v>
      </c>
      <c r="D505" s="85" t="s">
        <v>87</v>
      </c>
      <c r="E505" s="87">
        <v>0</v>
      </c>
      <c r="F505" s="88">
        <v>1243941.0000000002</v>
      </c>
      <c r="G505" s="87">
        <v>0</v>
      </c>
      <c r="I505" s="87">
        <v>0</v>
      </c>
      <c r="K505" s="87">
        <v>0</v>
      </c>
      <c r="M505" s="87">
        <v>0</v>
      </c>
      <c r="O505" s="87">
        <v>0</v>
      </c>
      <c r="P505" s="88">
        <v>1502091.5000000002</v>
      </c>
      <c r="Q505" s="87">
        <v>0</v>
      </c>
      <c r="R505" s="87">
        <f t="shared" si="126"/>
        <v>0</v>
      </c>
      <c r="T505" s="87">
        <v>0</v>
      </c>
      <c r="V505" s="87">
        <v>0</v>
      </c>
      <c r="X505" s="87">
        <v>0</v>
      </c>
      <c r="Y505" s="88">
        <v>1674908</v>
      </c>
      <c r="Z505" s="87">
        <v>0</v>
      </c>
      <c r="AA505" s="87">
        <v>0</v>
      </c>
      <c r="AB505" s="89">
        <f t="shared" si="127"/>
        <v>0</v>
      </c>
      <c r="AC505" s="89">
        <f t="shared" si="128"/>
        <v>0</v>
      </c>
      <c r="AD505" s="89">
        <f t="shared" si="129"/>
        <v>0</v>
      </c>
      <c r="AE505" s="90">
        <f t="shared" si="130"/>
        <v>0</v>
      </c>
      <c r="AF505" s="90" t="str">
        <f t="shared" si="131"/>
        <v/>
      </c>
      <c r="AG505" s="90">
        <f t="shared" si="132"/>
        <v>0</v>
      </c>
      <c r="AH505" s="90" t="str">
        <f t="shared" si="133"/>
        <v/>
      </c>
      <c r="AI505" s="90">
        <f t="shared" si="134"/>
        <v>0</v>
      </c>
      <c r="AJ505" s="90" t="str">
        <f t="shared" si="135"/>
        <v/>
      </c>
      <c r="AK505" s="90" t="str">
        <f t="shared" si="136"/>
        <v/>
      </c>
      <c r="AL505" s="91">
        <f>IF(AK505="Adjust",(_xlfn.XLOOKUP(A505,'Adj factor'!A:A,'Adj factor'!I:I,,0)*AI505),'Master DataSheet'!AI505)</f>
        <v>0</v>
      </c>
      <c r="AM505" s="91">
        <f t="shared" si="137"/>
        <v>0</v>
      </c>
      <c r="AN505" s="92" t="str">
        <f t="shared" si="138"/>
        <v>No change</v>
      </c>
      <c r="AO505" s="93">
        <f>VLOOKUP(B505,'Growthrates source'!A$2:H$49,8,FALSE)</f>
        <v>8.5981075235392446E-2</v>
      </c>
      <c r="AP505" s="93">
        <f>VLOOKUP(B505,'Growthrates source'!A$2:I$49,9,FALSE)</f>
        <v>0.24963048725605397</v>
      </c>
      <c r="AQ505" s="86">
        <f t="shared" si="139"/>
        <v>0</v>
      </c>
      <c r="AR505" s="86">
        <f t="shared" si="140"/>
        <v>0</v>
      </c>
      <c r="AS505" s="94">
        <f t="shared" si="141"/>
        <v>0</v>
      </c>
      <c r="AT505" s="94">
        <f t="shared" si="142"/>
        <v>0</v>
      </c>
      <c r="AU505" s="94">
        <f t="shared" si="143"/>
        <v>0</v>
      </c>
    </row>
    <row r="506" spans="1:49" x14ac:dyDescent="0.3">
      <c r="A506" s="85" t="str">
        <f>_xlfn.XLOOKUP(B506,'Country codes &amp; Data sources'!G:G,'Country codes &amp; Data sources'!H:H,,0)</f>
        <v>Kenya</v>
      </c>
      <c r="B506" s="85" t="s">
        <v>175</v>
      </c>
      <c r="C506" s="86">
        <v>43725806.500000007</v>
      </c>
      <c r="D506" s="85" t="s">
        <v>321</v>
      </c>
      <c r="E506" s="87">
        <v>16184</v>
      </c>
      <c r="F506" s="88">
        <v>44792368.000000007</v>
      </c>
      <c r="G506" s="87">
        <v>17493</v>
      </c>
      <c r="H506" s="87">
        <v>45831863.500000007</v>
      </c>
      <c r="I506" s="87">
        <v>18971</v>
      </c>
      <c r="J506" s="87">
        <v>46851488.499999993</v>
      </c>
      <c r="K506" s="87">
        <v>0</v>
      </c>
      <c r="L506" s="87">
        <v>47894670</v>
      </c>
      <c r="M506" s="87">
        <v>380</v>
      </c>
      <c r="N506" s="87">
        <v>48948137.000000037</v>
      </c>
      <c r="O506" s="87">
        <v>0</v>
      </c>
      <c r="P506" s="88">
        <v>49953303.999999993</v>
      </c>
      <c r="Q506" s="87">
        <v>20964</v>
      </c>
      <c r="R506" s="87">
        <f t="shared" si="126"/>
        <v>20964</v>
      </c>
      <c r="S506" s="87">
        <v>50951450</v>
      </c>
      <c r="T506" s="87">
        <v>0</v>
      </c>
      <c r="U506" s="87">
        <v>51985779.999999993</v>
      </c>
      <c r="V506" s="87">
        <v>0</v>
      </c>
      <c r="W506" s="87">
        <v>53005614.000000022</v>
      </c>
      <c r="X506" s="87">
        <v>12377</v>
      </c>
      <c r="Y506" s="88">
        <v>54027486.999999985</v>
      </c>
      <c r="Z506" s="87">
        <v>13340</v>
      </c>
      <c r="AA506" s="87">
        <v>8042</v>
      </c>
      <c r="AB506" s="89">
        <f t="shared" si="127"/>
        <v>18971</v>
      </c>
      <c r="AC506" s="89">
        <f t="shared" si="128"/>
        <v>20964</v>
      </c>
      <c r="AD506" s="89">
        <f t="shared" si="129"/>
        <v>13340</v>
      </c>
      <c r="AE506" s="90">
        <f t="shared" si="130"/>
        <v>17493</v>
      </c>
      <c r="AF506" s="90">
        <f t="shared" si="131"/>
        <v>2013</v>
      </c>
      <c r="AG506" s="90">
        <f t="shared" si="132"/>
        <v>20964</v>
      </c>
      <c r="AH506" s="90">
        <f t="shared" si="133"/>
        <v>2018</v>
      </c>
      <c r="AI506" s="90">
        <f t="shared" si="134"/>
        <v>13340</v>
      </c>
      <c r="AJ506" s="90">
        <f t="shared" si="135"/>
        <v>2022</v>
      </c>
      <c r="AK506" s="90" t="str">
        <f t="shared" si="136"/>
        <v>Adjust</v>
      </c>
      <c r="AL506" s="91">
        <f>IF(AK506="Adjust",(_xlfn.XLOOKUP(A506,'Adj factor'!A:A,'Adj factor'!I:I,,0)*AI506),'Master DataSheet'!AI506)</f>
        <v>15331.643915234339</v>
      </c>
      <c r="AM506" s="91">
        <f t="shared" si="137"/>
        <v>20964</v>
      </c>
      <c r="AN506" s="92" t="str">
        <f t="shared" si="138"/>
        <v>Decreasing</v>
      </c>
      <c r="AO506" s="93">
        <f>VLOOKUP(B506,'Growthrates source'!A$2:H$49,8,FALSE)</f>
        <v>7.1554687899516578E-2</v>
      </c>
      <c r="AP506" s="93">
        <f>VLOOKUP(B506,'Growthrates source'!A$2:I$49,9,FALSE)</f>
        <v>7.1815970063989321E-2</v>
      </c>
      <c r="AQ506" s="86">
        <f t="shared" si="139"/>
        <v>5623.2195243350361</v>
      </c>
      <c r="AR506" s="86">
        <f t="shared" si="140"/>
        <v>9975.4364745630501</v>
      </c>
      <c r="AS506" s="94">
        <f t="shared" si="141"/>
        <v>3.9053528047456649</v>
      </c>
      <c r="AT506" s="94">
        <f t="shared" si="142"/>
        <v>4.1967194001822188</v>
      </c>
      <c r="AU506" s="94">
        <f t="shared" si="143"/>
        <v>3.8802471045895595</v>
      </c>
      <c r="AW506" s="110"/>
    </row>
    <row r="507" spans="1:49" x14ac:dyDescent="0.3">
      <c r="A507" s="85" t="str">
        <f>_xlfn.XLOOKUP(B507,'Country codes &amp; Data sources'!G:G,'Country codes &amp; Data sources'!H:H,,0)</f>
        <v>Kenya</v>
      </c>
      <c r="B507" s="85" t="s">
        <v>175</v>
      </c>
      <c r="C507" s="86">
        <v>43725807.5</v>
      </c>
      <c r="D507" s="85" t="s">
        <v>322</v>
      </c>
      <c r="E507" s="87">
        <v>123538</v>
      </c>
      <c r="F507" s="88">
        <v>44792368.000000007</v>
      </c>
      <c r="G507" s="87">
        <v>80584</v>
      </c>
      <c r="I507" s="87">
        <v>86622</v>
      </c>
      <c r="K507" s="87">
        <v>82826</v>
      </c>
      <c r="M507" s="87">
        <v>97474</v>
      </c>
      <c r="O507" s="87">
        <v>106336</v>
      </c>
      <c r="P507" s="88">
        <v>49953303.999999993</v>
      </c>
      <c r="Q507" s="87">
        <v>119802</v>
      </c>
      <c r="R507" s="87">
        <f t="shared" si="126"/>
        <v>119802</v>
      </c>
      <c r="T507" s="87">
        <v>0</v>
      </c>
      <c r="V507" s="87">
        <v>0</v>
      </c>
      <c r="X507" s="87">
        <v>109659</v>
      </c>
      <c r="Y507" s="88">
        <v>54027486.999999985</v>
      </c>
      <c r="Z507" s="87">
        <v>69268</v>
      </c>
      <c r="AA507" s="87">
        <v>76000</v>
      </c>
      <c r="AB507" s="89">
        <f t="shared" si="127"/>
        <v>123538</v>
      </c>
      <c r="AC507" s="89">
        <f t="shared" si="128"/>
        <v>119802</v>
      </c>
      <c r="AD507" s="89">
        <f t="shared" si="129"/>
        <v>109659</v>
      </c>
      <c r="AE507" s="90">
        <f t="shared" si="130"/>
        <v>80584</v>
      </c>
      <c r="AF507" s="90">
        <f t="shared" si="131"/>
        <v>2013</v>
      </c>
      <c r="AG507" s="90">
        <f t="shared" si="132"/>
        <v>119802</v>
      </c>
      <c r="AH507" s="90">
        <f t="shared" si="133"/>
        <v>2018</v>
      </c>
      <c r="AI507" s="90">
        <f t="shared" si="134"/>
        <v>69268</v>
      </c>
      <c r="AJ507" s="90">
        <f t="shared" si="135"/>
        <v>2022</v>
      </c>
      <c r="AK507" s="90" t="str">
        <f t="shared" si="136"/>
        <v>Adjust</v>
      </c>
      <c r="AL507" s="91">
        <f>IF(AK507="Adjust",(_xlfn.XLOOKUP(A507,'Adj factor'!A:A,'Adj factor'!I:I,,0)*AI507),'Master DataSheet'!AI507)</f>
        <v>79609.618494786511</v>
      </c>
      <c r="AM507" s="91">
        <f t="shared" si="137"/>
        <v>119802</v>
      </c>
      <c r="AN507" s="92" t="str">
        <f t="shared" si="138"/>
        <v>Decreasing</v>
      </c>
      <c r="AO507" s="93">
        <f>VLOOKUP(B507,'Growthrates source'!A$2:H$49,8,FALSE)</f>
        <v>7.1554687899516578E-2</v>
      </c>
      <c r="AP507" s="93">
        <f>VLOOKUP(B507,'Growthrates source'!A$2:I$49,9,FALSE)</f>
        <v>7.1815970063989321E-2</v>
      </c>
      <c r="AQ507" s="86">
        <f t="shared" si="139"/>
        <v>53141.592122539507</v>
      </c>
      <c r="AR507" s="86">
        <f t="shared" si="140"/>
        <v>94271.719978462046</v>
      </c>
      <c r="AS507" s="94">
        <f t="shared" si="141"/>
        <v>17.990564821221326</v>
      </c>
      <c r="AT507" s="94">
        <f t="shared" si="142"/>
        <v>23.982798014721912</v>
      </c>
      <c r="AU507" s="94">
        <f t="shared" si="143"/>
        <v>22.174268442283839</v>
      </c>
      <c r="AW507" s="110"/>
    </row>
    <row r="508" spans="1:49" x14ac:dyDescent="0.3">
      <c r="A508" s="85" t="str">
        <f>_xlfn.XLOOKUP(B508,'Country codes &amp; Data sources'!G:G,'Country codes &amp; Data sources'!H:H,,0)</f>
        <v>Kenya</v>
      </c>
      <c r="B508" s="85" t="s">
        <v>175</v>
      </c>
      <c r="C508" s="86">
        <v>43725808.5</v>
      </c>
      <c r="D508" s="85" t="s">
        <v>323</v>
      </c>
      <c r="E508" s="87">
        <v>0</v>
      </c>
      <c r="F508" s="88">
        <v>44792368.000000007</v>
      </c>
      <c r="G508" s="87">
        <v>0</v>
      </c>
      <c r="I508" s="87">
        <v>0</v>
      </c>
      <c r="K508" s="87">
        <v>0</v>
      </c>
      <c r="M508" s="87">
        <v>4184</v>
      </c>
      <c r="O508" s="87">
        <v>0</v>
      </c>
      <c r="P508" s="88">
        <v>49953303.999999993</v>
      </c>
      <c r="Q508" s="87">
        <v>0</v>
      </c>
      <c r="R508" s="87">
        <f t="shared" si="126"/>
        <v>0</v>
      </c>
      <c r="T508" s="87">
        <v>0</v>
      </c>
      <c r="V508" s="87">
        <v>0</v>
      </c>
      <c r="X508" s="87">
        <v>0</v>
      </c>
      <c r="Y508" s="88">
        <v>54027486.999999985</v>
      </c>
      <c r="Z508" s="87">
        <v>274</v>
      </c>
      <c r="AA508" s="87">
        <v>0</v>
      </c>
      <c r="AB508" s="89">
        <f t="shared" si="127"/>
        <v>0</v>
      </c>
      <c r="AC508" s="89">
        <f t="shared" si="128"/>
        <v>4184</v>
      </c>
      <c r="AD508" s="89">
        <f t="shared" si="129"/>
        <v>274</v>
      </c>
      <c r="AE508" s="90">
        <f t="shared" si="130"/>
        <v>0</v>
      </c>
      <c r="AF508" s="90" t="str">
        <f t="shared" si="131"/>
        <v/>
      </c>
      <c r="AG508" s="90">
        <f t="shared" si="132"/>
        <v>0</v>
      </c>
      <c r="AH508" s="90" t="str">
        <f t="shared" si="133"/>
        <v/>
      </c>
      <c r="AI508" s="90">
        <f t="shared" si="134"/>
        <v>274</v>
      </c>
      <c r="AJ508" s="90">
        <f t="shared" si="135"/>
        <v>2022</v>
      </c>
      <c r="AK508" s="90" t="str">
        <f t="shared" si="136"/>
        <v/>
      </c>
      <c r="AL508" s="91">
        <f>IF(AK508="Adjust",(_xlfn.XLOOKUP(A508,'Adj factor'!A:A,'Adj factor'!I:I,,0)*AI508),'Master DataSheet'!AI508)</f>
        <v>274</v>
      </c>
      <c r="AM508" s="91">
        <f t="shared" si="137"/>
        <v>274</v>
      </c>
      <c r="AN508" s="92" t="str">
        <f t="shared" si="138"/>
        <v>Increasing</v>
      </c>
      <c r="AO508" s="93">
        <f>VLOOKUP(B508,'Growthrates source'!A$2:H$49,8,FALSE)</f>
        <v>7.1554687899516578E-2</v>
      </c>
      <c r="AP508" s="93">
        <f>VLOOKUP(B508,'Growthrates source'!A$2:I$49,9,FALSE)</f>
        <v>7.1815970063989321E-2</v>
      </c>
      <c r="AQ508" s="86">
        <f t="shared" si="139"/>
        <v>0</v>
      </c>
      <c r="AR508" s="86">
        <f t="shared" si="140"/>
        <v>0</v>
      </c>
      <c r="AS508" s="94">
        <f t="shared" si="141"/>
        <v>0</v>
      </c>
      <c r="AT508" s="94">
        <f t="shared" si="142"/>
        <v>0</v>
      </c>
      <c r="AU508" s="94">
        <f t="shared" si="143"/>
        <v>5.0714925904290178E-2</v>
      </c>
      <c r="AW508" s="110"/>
    </row>
    <row r="509" spans="1:49" x14ac:dyDescent="0.3">
      <c r="A509" s="85" t="str">
        <f>_xlfn.XLOOKUP(B509,'Country codes &amp; Data sources'!G:G,'Country codes &amp; Data sources'!H:H,,0)</f>
        <v>Kenya</v>
      </c>
      <c r="B509" s="85" t="s">
        <v>175</v>
      </c>
      <c r="C509" s="86">
        <v>43725809.5</v>
      </c>
      <c r="D509" s="85" t="s">
        <v>324</v>
      </c>
      <c r="E509" s="87">
        <v>531</v>
      </c>
      <c r="F509" s="88">
        <v>44792368.000000007</v>
      </c>
      <c r="G509" s="87">
        <v>2310</v>
      </c>
      <c r="I509" s="87">
        <v>0</v>
      </c>
      <c r="K509" s="87">
        <v>1080</v>
      </c>
      <c r="M509" s="87">
        <v>170</v>
      </c>
      <c r="O509" s="87">
        <v>0</v>
      </c>
      <c r="P509" s="88">
        <v>49953303.999999993</v>
      </c>
      <c r="Q509" s="87">
        <v>0</v>
      </c>
      <c r="R509" s="87">
        <f t="shared" si="126"/>
        <v>2295</v>
      </c>
      <c r="T509" s="87">
        <v>11741</v>
      </c>
      <c r="V509" s="87">
        <v>0</v>
      </c>
      <c r="X509" s="87">
        <v>0</v>
      </c>
      <c r="Y509" s="88">
        <v>54027486.999999985</v>
      </c>
      <c r="Z509" s="103">
        <v>1337</v>
      </c>
      <c r="AA509" s="87">
        <v>2295</v>
      </c>
      <c r="AB509" s="89">
        <f t="shared" si="127"/>
        <v>2310</v>
      </c>
      <c r="AC509" s="89">
        <f t="shared" si="128"/>
        <v>11741</v>
      </c>
      <c r="AD509" s="89">
        <f t="shared" si="129"/>
        <v>1337</v>
      </c>
      <c r="AE509" s="61">
        <v>8406</v>
      </c>
      <c r="AF509" s="90">
        <v>2013</v>
      </c>
      <c r="AG509" s="61">
        <v>13638</v>
      </c>
      <c r="AH509" s="90">
        <v>2018</v>
      </c>
      <c r="AI509" s="90">
        <f t="shared" si="134"/>
        <v>1337</v>
      </c>
      <c r="AJ509" s="90">
        <f t="shared" si="135"/>
        <v>2022</v>
      </c>
      <c r="AK509" s="90" t="str">
        <f t="shared" si="136"/>
        <v>Adjust</v>
      </c>
      <c r="AL509" s="91">
        <f>IF(AK509="Adjust",(_xlfn.XLOOKUP(A509,'Adj factor'!A:A,'Adj factor'!I:I,,0)*AI509),'Master DataSheet'!AI509)</f>
        <v>1536.6122874563951</v>
      </c>
      <c r="AM509" s="61">
        <v>15498</v>
      </c>
      <c r="AN509" s="92" t="str">
        <f t="shared" si="138"/>
        <v>Decreasing</v>
      </c>
      <c r="AO509" s="93">
        <f>VLOOKUP(B509,'Growthrates source'!A$2:H$49,8,FALSE)</f>
        <v>7.1554687899516578E-2</v>
      </c>
      <c r="AP509" s="93">
        <f>VLOOKUP(B509,'Growthrates source'!A$2:I$49,9,FALSE)</f>
        <v>7.1815970063989321E-2</v>
      </c>
      <c r="AQ509" s="86">
        <f t="shared" si="139"/>
        <v>1604.7362358056339</v>
      </c>
      <c r="AR509" s="86">
        <f t="shared" si="140"/>
        <v>2846.757859875926</v>
      </c>
      <c r="AS509" s="94">
        <f t="shared" si="141"/>
        <v>1.8766589879775943</v>
      </c>
      <c r="AT509" s="94">
        <f t="shared" si="142"/>
        <v>2.7301497414465321</v>
      </c>
      <c r="AU509" s="94">
        <f t="shared" si="143"/>
        <v>2.8685398600901064</v>
      </c>
      <c r="AW509" s="110"/>
    </row>
    <row r="510" spans="1:49" x14ac:dyDescent="0.3">
      <c r="A510" s="85" t="str">
        <f>_xlfn.XLOOKUP(B510,'Country codes &amp; Data sources'!G:G,'Country codes &amp; Data sources'!H:H,,0)</f>
        <v>Kenya</v>
      </c>
      <c r="B510" s="85" t="s">
        <v>175</v>
      </c>
      <c r="C510" s="86">
        <v>43725810.5</v>
      </c>
      <c r="D510" s="85" t="s">
        <v>325</v>
      </c>
      <c r="E510" s="87">
        <v>401</v>
      </c>
      <c r="F510" s="88">
        <v>44792368.000000007</v>
      </c>
      <c r="G510" s="87">
        <v>536</v>
      </c>
      <c r="I510" s="87">
        <v>0</v>
      </c>
      <c r="K510" s="87">
        <v>236</v>
      </c>
      <c r="M510" s="87">
        <v>178</v>
      </c>
      <c r="O510" s="87">
        <v>0</v>
      </c>
      <c r="P510" s="88">
        <v>49953303.999999993</v>
      </c>
      <c r="Q510" s="87">
        <v>0</v>
      </c>
      <c r="R510" s="87">
        <f t="shared" si="126"/>
        <v>1257</v>
      </c>
      <c r="T510" s="87">
        <v>13262</v>
      </c>
      <c r="V510" s="87">
        <v>0</v>
      </c>
      <c r="X510" s="87">
        <v>0</v>
      </c>
      <c r="Y510" s="88">
        <v>54027486.999999985</v>
      </c>
      <c r="Z510" s="103">
        <v>1344</v>
      </c>
      <c r="AA510" s="96">
        <v>1257</v>
      </c>
      <c r="AB510" s="89">
        <f t="shared" si="127"/>
        <v>536</v>
      </c>
      <c r="AC510" s="89">
        <f t="shared" si="128"/>
        <v>13262</v>
      </c>
      <c r="AD510" s="89">
        <f t="shared" si="129"/>
        <v>1344</v>
      </c>
      <c r="AE510" s="61">
        <v>1045</v>
      </c>
      <c r="AF510" s="90">
        <v>2013</v>
      </c>
      <c r="AG510" s="90">
        <f t="shared" si="132"/>
        <v>1257</v>
      </c>
      <c r="AH510" s="90" t="str">
        <f t="shared" si="133"/>
        <v>2018 (triag)</v>
      </c>
      <c r="AI510" s="90">
        <f t="shared" si="134"/>
        <v>1344</v>
      </c>
      <c r="AJ510" s="90">
        <f t="shared" si="135"/>
        <v>2022</v>
      </c>
      <c r="AK510" s="90" t="str">
        <f t="shared" si="136"/>
        <v/>
      </c>
      <c r="AL510" s="91">
        <f>IF(AK510="Adjust",(_xlfn.XLOOKUP(A510,'Adj factor'!A:A,'Adj factor'!I:I,,0)*AI510),'Master DataSheet'!AI510)</f>
        <v>1344</v>
      </c>
      <c r="AM510" s="91">
        <f t="shared" si="137"/>
        <v>1344</v>
      </c>
      <c r="AN510" s="92" t="str">
        <f t="shared" si="138"/>
        <v>Increasing</v>
      </c>
      <c r="AO510" s="93">
        <f>VLOOKUP(B510,'Growthrates source'!A$2:H$49,8,FALSE)</f>
        <v>7.1554687899516578E-2</v>
      </c>
      <c r="AP510" s="93">
        <f>VLOOKUP(B510,'Growthrates source'!A$2:I$49,9,FALSE)</f>
        <v>7.1815970063989321E-2</v>
      </c>
      <c r="AQ510" s="86">
        <f t="shared" si="139"/>
        <v>878.9339644477916</v>
      </c>
      <c r="AR510" s="86">
        <f t="shared" si="140"/>
        <v>1559.2046317490367</v>
      </c>
      <c r="AS510" s="94">
        <f t="shared" si="141"/>
        <v>0.2332986726667364</v>
      </c>
      <c r="AT510" s="94">
        <f t="shared" si="142"/>
        <v>0.25163500696570545</v>
      </c>
      <c r="AU510" s="94">
        <f t="shared" si="143"/>
        <v>0.24876226428965692</v>
      </c>
      <c r="AW510" s="110"/>
    </row>
    <row r="511" spans="1:49" x14ac:dyDescent="0.3">
      <c r="A511" s="85" t="str">
        <f>_xlfn.XLOOKUP(B511,'Country codes &amp; Data sources'!G:G,'Country codes &amp; Data sources'!H:H,,0)</f>
        <v>Kenya</v>
      </c>
      <c r="B511" s="85" t="s">
        <v>175</v>
      </c>
      <c r="C511" s="86">
        <v>43725811.5</v>
      </c>
      <c r="D511" s="85" t="s">
        <v>127</v>
      </c>
      <c r="E511" s="87">
        <v>0</v>
      </c>
      <c r="F511" s="88">
        <v>44792368.000000007</v>
      </c>
      <c r="G511" s="87">
        <v>0</v>
      </c>
      <c r="I511" s="87">
        <v>0</v>
      </c>
      <c r="K511" s="87">
        <v>0</v>
      </c>
      <c r="M511" s="87">
        <v>0</v>
      </c>
      <c r="O511" s="87">
        <v>0</v>
      </c>
      <c r="P511" s="88">
        <v>49953303.999999993</v>
      </c>
      <c r="Q511" s="87">
        <v>58079</v>
      </c>
      <c r="R511" s="87">
        <f t="shared" si="126"/>
        <v>58079</v>
      </c>
      <c r="T511" s="87">
        <v>0</v>
      </c>
      <c r="V511" s="87">
        <v>91653</v>
      </c>
      <c r="X511" s="87">
        <v>86490</v>
      </c>
      <c r="Y511" s="88">
        <v>54027486.999999985</v>
      </c>
      <c r="Z511" s="87">
        <v>86423</v>
      </c>
      <c r="AA511" s="87">
        <v>58079</v>
      </c>
      <c r="AB511" s="89">
        <f t="shared" si="127"/>
        <v>0</v>
      </c>
      <c r="AC511" s="89">
        <f t="shared" si="128"/>
        <v>58079</v>
      </c>
      <c r="AD511" s="89">
        <f t="shared" si="129"/>
        <v>91653</v>
      </c>
      <c r="AE511" s="90">
        <f t="shared" si="130"/>
        <v>0</v>
      </c>
      <c r="AF511" s="90" t="str">
        <f t="shared" si="131"/>
        <v/>
      </c>
      <c r="AG511" s="90">
        <f t="shared" si="132"/>
        <v>58079</v>
      </c>
      <c r="AH511" s="90">
        <f t="shared" si="133"/>
        <v>2018</v>
      </c>
      <c r="AI511" s="90">
        <f t="shared" si="134"/>
        <v>86423</v>
      </c>
      <c r="AJ511" s="90">
        <f t="shared" si="135"/>
        <v>2022</v>
      </c>
      <c r="AK511" s="90" t="str">
        <f t="shared" si="136"/>
        <v/>
      </c>
      <c r="AL511" s="91">
        <f>IF(AK511="Adjust",(_xlfn.XLOOKUP(A511,'Adj factor'!A:A,'Adj factor'!I:I,,0)*AI511),'Master DataSheet'!AI511)</f>
        <v>86423</v>
      </c>
      <c r="AM511" s="91">
        <f t="shared" si="137"/>
        <v>86423</v>
      </c>
      <c r="AN511" s="92" t="str">
        <f t="shared" si="138"/>
        <v>Increasing</v>
      </c>
      <c r="AO511" s="93">
        <f>VLOOKUP(B511,'Growthrates source'!A$2:H$49,8,FALSE)</f>
        <v>7.1554687899516578E-2</v>
      </c>
      <c r="AP511" s="93">
        <f>VLOOKUP(B511,'Growthrates source'!A$2:I$49,9,FALSE)</f>
        <v>7.1815970063989321E-2</v>
      </c>
      <c r="AQ511" s="86">
        <f t="shared" si="139"/>
        <v>40610.664853749629</v>
      </c>
      <c r="AR511" s="86">
        <f t="shared" si="140"/>
        <v>72042.20032406706</v>
      </c>
      <c r="AS511" s="94">
        <f t="shared" si="141"/>
        <v>0</v>
      </c>
      <c r="AT511" s="94">
        <f t="shared" si="142"/>
        <v>11.626658368783776</v>
      </c>
      <c r="AU511" s="94">
        <f t="shared" si="143"/>
        <v>15.996116939512664</v>
      </c>
      <c r="AW511" s="110"/>
    </row>
    <row r="512" spans="1:49" x14ac:dyDescent="0.3">
      <c r="A512" s="85" t="str">
        <f>_xlfn.XLOOKUP(B512,'Country codes &amp; Data sources'!G:G,'Country codes &amp; Data sources'!H:H,,0)</f>
        <v>Kenya</v>
      </c>
      <c r="B512" s="85" t="s">
        <v>175</v>
      </c>
      <c r="C512" s="86">
        <v>43725812.5</v>
      </c>
      <c r="D512" s="85" t="s">
        <v>61</v>
      </c>
      <c r="E512" s="87">
        <v>0</v>
      </c>
      <c r="F512" s="88">
        <v>44792368.000000007</v>
      </c>
      <c r="G512" s="87">
        <v>211</v>
      </c>
      <c r="I512" s="87">
        <v>0</v>
      </c>
      <c r="K512" s="87">
        <v>0</v>
      </c>
      <c r="M512" s="87">
        <v>0</v>
      </c>
      <c r="O512" s="87">
        <v>0</v>
      </c>
      <c r="P512" s="88">
        <v>49953303.999999993</v>
      </c>
      <c r="Q512" s="87">
        <v>0</v>
      </c>
      <c r="R512" s="87">
        <f t="shared" si="126"/>
        <v>1147</v>
      </c>
      <c r="T512" s="87">
        <v>3877</v>
      </c>
      <c r="V512" s="87">
        <v>0</v>
      </c>
      <c r="X512" s="87">
        <v>0</v>
      </c>
      <c r="Y512" s="88">
        <v>54027486.999999985</v>
      </c>
      <c r="Z512" s="103">
        <v>10071</v>
      </c>
      <c r="AA512" s="87">
        <v>1147</v>
      </c>
      <c r="AB512" s="89">
        <f t="shared" si="127"/>
        <v>211</v>
      </c>
      <c r="AC512" s="89">
        <f t="shared" si="128"/>
        <v>3877</v>
      </c>
      <c r="AD512" s="89">
        <f t="shared" si="129"/>
        <v>10071</v>
      </c>
      <c r="AE512" s="90">
        <f t="shared" si="130"/>
        <v>211</v>
      </c>
      <c r="AF512" s="90">
        <f t="shared" si="131"/>
        <v>2013</v>
      </c>
      <c r="AG512" s="90">
        <f t="shared" si="132"/>
        <v>1147</v>
      </c>
      <c r="AH512" s="90" t="str">
        <f t="shared" si="133"/>
        <v>2018 (triag)</v>
      </c>
      <c r="AI512" s="90">
        <f t="shared" si="134"/>
        <v>10071</v>
      </c>
      <c r="AJ512" s="90">
        <f t="shared" si="135"/>
        <v>2022</v>
      </c>
      <c r="AK512" s="90" t="str">
        <f t="shared" si="136"/>
        <v/>
      </c>
      <c r="AL512" s="91">
        <f>IF(AK512="Adjust",(_xlfn.XLOOKUP(A512,'Adj factor'!A:A,'Adj factor'!I:I,,0)*AI512),'Master DataSheet'!AI512)</f>
        <v>10071</v>
      </c>
      <c r="AM512" s="62">
        <v>10071</v>
      </c>
      <c r="AN512" s="92" t="str">
        <f t="shared" si="138"/>
        <v>Increasing</v>
      </c>
      <c r="AO512" s="93">
        <f>VLOOKUP(B512,'Growthrates source'!A$2:H$49,8,FALSE)</f>
        <v>7.1554687899516578E-2</v>
      </c>
      <c r="AP512" s="93">
        <f>VLOOKUP(B512,'Growthrates source'!A$2:I$49,9,FALSE)</f>
        <v>7.1815970063989321E-2</v>
      </c>
      <c r="AQ512" s="86">
        <f t="shared" si="139"/>
        <v>802.01850216516857</v>
      </c>
      <c r="AR512" s="86">
        <f t="shared" si="140"/>
        <v>1422.7587212538942</v>
      </c>
      <c r="AS512" s="94">
        <f t="shared" si="141"/>
        <v>4.7106239170030033E-2</v>
      </c>
      <c r="AT512" s="94">
        <f t="shared" si="142"/>
        <v>0.22961444151922367</v>
      </c>
      <c r="AU512" s="94">
        <f t="shared" si="143"/>
        <v>1.8640511634383443</v>
      </c>
      <c r="AW512" s="110"/>
    </row>
    <row r="513" spans="1:49" x14ac:dyDescent="0.3">
      <c r="A513" s="85" t="str">
        <f>_xlfn.XLOOKUP(B513,'Country codes &amp; Data sources'!G:G,'Country codes &amp; Data sources'!H:H,,0)</f>
        <v>Kenya</v>
      </c>
      <c r="B513" s="85" t="s">
        <v>175</v>
      </c>
      <c r="C513" s="86">
        <v>43725813.5</v>
      </c>
      <c r="D513" s="85" t="s">
        <v>62</v>
      </c>
      <c r="E513" s="87">
        <v>0</v>
      </c>
      <c r="F513" s="88">
        <v>44792368.000000007</v>
      </c>
      <c r="G513" s="87">
        <v>0</v>
      </c>
      <c r="I513" s="87">
        <v>0</v>
      </c>
      <c r="K513" s="87">
        <v>201</v>
      </c>
      <c r="M513" s="87">
        <v>146</v>
      </c>
      <c r="O513" s="87">
        <v>0</v>
      </c>
      <c r="P513" s="88">
        <v>49953303.999999993</v>
      </c>
      <c r="Q513" s="87">
        <v>0</v>
      </c>
      <c r="R513" s="87">
        <f t="shared" si="126"/>
        <v>5310</v>
      </c>
      <c r="T513" s="87">
        <v>3730</v>
      </c>
      <c r="V513" s="87">
        <v>0</v>
      </c>
      <c r="X513" s="87">
        <v>0</v>
      </c>
      <c r="Y513" s="88">
        <v>54027486.999999985</v>
      </c>
      <c r="Z513" s="103">
        <v>553</v>
      </c>
      <c r="AA513" s="87">
        <v>5310</v>
      </c>
      <c r="AB513" s="89">
        <f t="shared" si="127"/>
        <v>201</v>
      </c>
      <c r="AC513" s="89">
        <f t="shared" si="128"/>
        <v>3730</v>
      </c>
      <c r="AD513" s="89">
        <f t="shared" si="129"/>
        <v>553</v>
      </c>
      <c r="AE513" s="90">
        <f t="shared" si="130"/>
        <v>201</v>
      </c>
      <c r="AF513" s="90">
        <f t="shared" si="131"/>
        <v>2015</v>
      </c>
      <c r="AG513" s="90">
        <f t="shared" si="132"/>
        <v>5310</v>
      </c>
      <c r="AH513" s="90" t="str">
        <f t="shared" si="133"/>
        <v>2018 (triag)</v>
      </c>
      <c r="AI513" s="90">
        <f t="shared" si="134"/>
        <v>553</v>
      </c>
      <c r="AJ513" s="90">
        <f t="shared" si="135"/>
        <v>2022</v>
      </c>
      <c r="AK513" s="90" t="str">
        <f t="shared" si="136"/>
        <v>Adjust</v>
      </c>
      <c r="AL513" s="91">
        <f>IF(AK513="Adjust",(_xlfn.XLOOKUP(A513,'Adj factor'!A:A,'Adj factor'!I:I,,0)*AI513),'Master DataSheet'!AI513)</f>
        <v>635.56215030918963</v>
      </c>
      <c r="AM513" s="91">
        <f t="shared" si="137"/>
        <v>5310</v>
      </c>
      <c r="AN513" s="92" t="str">
        <f t="shared" si="138"/>
        <v>Decreasing</v>
      </c>
      <c r="AO513" s="93">
        <f>VLOOKUP(B513,'Growthrates source'!A$2:H$49,8,FALSE)</f>
        <v>7.1554687899516578E-2</v>
      </c>
      <c r="AP513" s="93">
        <f>VLOOKUP(B513,'Growthrates source'!A$2:I$49,9,FALSE)</f>
        <v>7.1815970063989321E-2</v>
      </c>
      <c r="AQ513" s="86">
        <f t="shared" si="139"/>
        <v>3712.9191338247997</v>
      </c>
      <c r="AR513" s="86">
        <f t="shared" si="140"/>
        <v>6586.6162248109667</v>
      </c>
      <c r="AS513" s="94">
        <f t="shared" si="141"/>
        <v>4.4873715986616283E-2</v>
      </c>
      <c r="AT513" s="94">
        <f t="shared" si="142"/>
        <v>1.0629927501892569</v>
      </c>
      <c r="AU513" s="94">
        <f t="shared" si="143"/>
        <v>0.98283305310868918</v>
      </c>
      <c r="AW513" s="110"/>
    </row>
    <row r="514" spans="1:49" x14ac:dyDescent="0.3">
      <c r="A514" s="85" t="str">
        <f>_xlfn.XLOOKUP(B514,'Country codes &amp; Data sources'!G:G,'Country codes &amp; Data sources'!H:H,,0)</f>
        <v>Kenya</v>
      </c>
      <c r="B514" s="85" t="s">
        <v>175</v>
      </c>
      <c r="C514" s="86">
        <v>43725814.5</v>
      </c>
      <c r="D514" s="85" t="s">
        <v>203</v>
      </c>
      <c r="E514" s="87">
        <v>0</v>
      </c>
      <c r="F514" s="88">
        <v>44792368.000000007</v>
      </c>
      <c r="G514" s="87">
        <v>0</v>
      </c>
      <c r="I514" s="87">
        <v>0</v>
      </c>
      <c r="K514" s="87">
        <v>0</v>
      </c>
      <c r="M514" s="87">
        <v>0</v>
      </c>
      <c r="O514" s="87">
        <v>0</v>
      </c>
      <c r="P514" s="88">
        <v>49953303.999999993</v>
      </c>
      <c r="Q514" s="87">
        <v>0</v>
      </c>
      <c r="R514" s="87">
        <f t="shared" si="126"/>
        <v>0</v>
      </c>
      <c r="T514" s="87">
        <v>0</v>
      </c>
      <c r="V514" s="87">
        <v>0</v>
      </c>
      <c r="X514" s="87">
        <v>0</v>
      </c>
      <c r="Y514" s="88">
        <v>54027486.999999985</v>
      </c>
      <c r="Z514" s="87">
        <v>0</v>
      </c>
      <c r="AA514" s="87">
        <v>0</v>
      </c>
      <c r="AB514" s="89">
        <f t="shared" si="127"/>
        <v>0</v>
      </c>
      <c r="AC514" s="89">
        <f t="shared" si="128"/>
        <v>0</v>
      </c>
      <c r="AD514" s="89">
        <f t="shared" si="129"/>
        <v>0</v>
      </c>
      <c r="AE514" s="90">
        <f t="shared" si="130"/>
        <v>0</v>
      </c>
      <c r="AF514" s="90" t="str">
        <f t="shared" si="131"/>
        <v/>
      </c>
      <c r="AG514" s="90">
        <f t="shared" si="132"/>
        <v>0</v>
      </c>
      <c r="AH514" s="90" t="str">
        <f t="shared" si="133"/>
        <v/>
      </c>
      <c r="AI514" s="90">
        <f t="shared" si="134"/>
        <v>0</v>
      </c>
      <c r="AJ514" s="90" t="str">
        <f t="shared" si="135"/>
        <v/>
      </c>
      <c r="AK514" s="90" t="str">
        <f t="shared" si="136"/>
        <v/>
      </c>
      <c r="AL514" s="91">
        <f>IF(AK514="Adjust",(_xlfn.XLOOKUP(A514,'Adj factor'!A:A,'Adj factor'!I:I,,0)*AI514),'Master DataSheet'!AI514)</f>
        <v>0</v>
      </c>
      <c r="AM514" s="91">
        <f t="shared" si="137"/>
        <v>0</v>
      </c>
      <c r="AN514" s="92" t="str">
        <f t="shared" si="138"/>
        <v>No change</v>
      </c>
      <c r="AO514" s="93">
        <f>VLOOKUP(B514,'Growthrates source'!A$2:H$49,8,FALSE)</f>
        <v>7.1554687899516578E-2</v>
      </c>
      <c r="AP514" s="93">
        <f>VLOOKUP(B514,'Growthrates source'!A$2:I$49,9,FALSE)</f>
        <v>7.1815970063989321E-2</v>
      </c>
      <c r="AQ514" s="86">
        <f t="shared" si="139"/>
        <v>0</v>
      </c>
      <c r="AR514" s="86">
        <f t="shared" si="140"/>
        <v>0</v>
      </c>
      <c r="AS514" s="94">
        <f t="shared" si="141"/>
        <v>0</v>
      </c>
      <c r="AT514" s="94">
        <f t="shared" si="142"/>
        <v>0</v>
      </c>
      <c r="AU514" s="94">
        <f t="shared" si="143"/>
        <v>0</v>
      </c>
      <c r="AW514" s="110"/>
    </row>
    <row r="515" spans="1:49" x14ac:dyDescent="0.3">
      <c r="A515" s="85" t="str">
        <f>_xlfn.XLOOKUP(B515,'Country codes &amp; Data sources'!G:G,'Country codes &amp; Data sources'!H:H,,0)</f>
        <v>Kenya</v>
      </c>
      <c r="B515" s="85" t="s">
        <v>175</v>
      </c>
      <c r="C515" s="86">
        <v>43725815.5</v>
      </c>
      <c r="D515" s="85" t="s">
        <v>204</v>
      </c>
      <c r="E515" s="87">
        <v>0</v>
      </c>
      <c r="F515" s="88">
        <v>44792368.000000007</v>
      </c>
      <c r="G515" s="87">
        <v>0</v>
      </c>
      <c r="I515" s="87">
        <v>0</v>
      </c>
      <c r="K515" s="87">
        <v>0</v>
      </c>
      <c r="M515" s="87">
        <v>0</v>
      </c>
      <c r="O515" s="87">
        <v>0</v>
      </c>
      <c r="P515" s="88">
        <v>49953303.999999993</v>
      </c>
      <c r="Q515" s="87">
        <v>0</v>
      </c>
      <c r="R515" s="87">
        <f t="shared" ref="R515:R578" si="144">MAX(Q515,AA515)</f>
        <v>0</v>
      </c>
      <c r="T515" s="87">
        <v>0</v>
      </c>
      <c r="V515" s="87">
        <v>0</v>
      </c>
      <c r="X515" s="87">
        <v>0</v>
      </c>
      <c r="Y515" s="88">
        <v>54027486.999999985</v>
      </c>
      <c r="Z515" s="87">
        <v>0</v>
      </c>
      <c r="AA515" s="87">
        <v>0</v>
      </c>
      <c r="AB515" s="89">
        <f t="shared" ref="AB515:AB578" si="145">MAX(G515,E515,I515,K515)</f>
        <v>0</v>
      </c>
      <c r="AC515" s="89">
        <f t="shared" ref="AC515:AC578" si="146">MAX(M515,O515,Q515,T515)</f>
        <v>0</v>
      </c>
      <c r="AD515" s="89">
        <f t="shared" ref="AD515:AD578" si="147">MAX(V515,X515,Z515)</f>
        <v>0</v>
      </c>
      <c r="AE515" s="90">
        <f t="shared" ref="AE515:AE578" si="148">IF(G515&gt;0,G515,IF(E515&gt;0,E515,IF(I515&gt;0,I515,K515)))</f>
        <v>0</v>
      </c>
      <c r="AF515" s="90" t="str">
        <f t="shared" ref="AF515:AF578" si="149">IF(AE515&gt;0,_xlfn.XLOOKUP(AE515,$B515:$K515,$B$1:$K$1,,0),"")</f>
        <v/>
      </c>
      <c r="AG515" s="90">
        <f t="shared" ref="AG515:AG578" si="150">IF(R515&gt;0,R515,IF(O515&gt;0,O515,T515))</f>
        <v>0</v>
      </c>
      <c r="AH515" s="90" t="str">
        <f t="shared" ref="AH515:AH578" si="151">IF(AG515&gt;0,_xlfn.XLOOKUP(AG515,$L515:$T515,$L$1:$T$1,,0),"")</f>
        <v/>
      </c>
      <c r="AI515" s="90">
        <f t="shared" ref="AI515:AI578" si="152">IF((IF(Z515&gt;0,Z515,IF(X515&gt;0,X515,IF(V515&gt;0,V515,T515))))=0,AG515,IF(Z515&gt;0,Z515,IF(X515&gt;0,X515,IF(V515&gt;0,V515,T515))))</f>
        <v>0</v>
      </c>
      <c r="AJ515" s="90" t="str">
        <f t="shared" ref="AJ515:AJ578" si="153">IFERROR(IF(AI515&gt;0,_xlfn.XLOOKUP(AI515,$V515:$Z515,$V$1:$Z$1,,0),""),AH515)</f>
        <v/>
      </c>
      <c r="AK515" s="90" t="str">
        <f t="shared" ref="AK515:AK578" si="154">IF(AI515&lt;AG515,"Adjust","")</f>
        <v/>
      </c>
      <c r="AL515" s="91">
        <f>IF(AK515="Adjust",(_xlfn.XLOOKUP(A515,'Adj factor'!A:A,'Adj factor'!I:I,,0)*AI515),'Master DataSheet'!AI515)</f>
        <v>0</v>
      </c>
      <c r="AM515" s="91">
        <f t="shared" ref="AM515:AM578" si="155">IF(AL515&lt;AG515,AG515,AL515)</f>
        <v>0</v>
      </c>
      <c r="AN515" s="92" t="str">
        <f t="shared" ref="AN515:AN578" si="156">IF(AL515&gt;AG515,"Increasing",IF(AL515&lt;AG515,"Decreasing","No change"))</f>
        <v>No change</v>
      </c>
      <c r="AO515" s="93">
        <f>VLOOKUP(B515,'Growthrates source'!A$2:H$49,8,FALSE)</f>
        <v>7.1554687899516578E-2</v>
      </c>
      <c r="AP515" s="93">
        <f>VLOOKUP(B515,'Growthrates source'!A$2:I$49,9,FALSE)</f>
        <v>7.1815970063989321E-2</v>
      </c>
      <c r="AQ515" s="86">
        <f t="shared" ref="AQ515:AQ578" si="157">AA515/(EXP(AO515*5))</f>
        <v>0</v>
      </c>
      <c r="AR515" s="86">
        <f t="shared" ref="AR515:AR578" si="158">AA515*EXP(AP515*3)</f>
        <v>0</v>
      </c>
      <c r="AS515" s="94">
        <f t="shared" ref="AS515:AS578" si="159">(AE515*10000)/F515</f>
        <v>0</v>
      </c>
      <c r="AT515" s="94">
        <f t="shared" ref="AT515:AT578" si="160">(AG515*10000)/P515</f>
        <v>0</v>
      </c>
      <c r="AU515" s="94">
        <f t="shared" ref="AU515:AU578" si="161">(AM515*10000)/Y515</f>
        <v>0</v>
      </c>
      <c r="AW515" s="110"/>
    </row>
    <row r="516" spans="1:49" x14ac:dyDescent="0.3">
      <c r="A516" s="85" t="str">
        <f>_xlfn.XLOOKUP(B516,'Country codes &amp; Data sources'!G:G,'Country codes &amp; Data sources'!H:H,,0)</f>
        <v>Kenya</v>
      </c>
      <c r="B516" s="85" t="s">
        <v>175</v>
      </c>
      <c r="C516" s="86">
        <v>43725816.5</v>
      </c>
      <c r="D516" s="85" t="s">
        <v>205</v>
      </c>
      <c r="E516" s="87">
        <v>0</v>
      </c>
      <c r="F516" s="88">
        <v>44792368.000000007</v>
      </c>
      <c r="G516" s="87">
        <v>0</v>
      </c>
      <c r="I516" s="87">
        <v>0</v>
      </c>
      <c r="K516" s="87">
        <v>0</v>
      </c>
      <c r="M516" s="87">
        <v>0</v>
      </c>
      <c r="O516" s="87">
        <v>0</v>
      </c>
      <c r="P516" s="88">
        <v>49953303.999999993</v>
      </c>
      <c r="Q516" s="87">
        <v>0</v>
      </c>
      <c r="R516" s="87">
        <f t="shared" si="144"/>
        <v>468</v>
      </c>
      <c r="T516" s="87">
        <v>468</v>
      </c>
      <c r="V516" s="87">
        <v>0</v>
      </c>
      <c r="X516" s="87">
        <v>261</v>
      </c>
      <c r="Y516" s="88">
        <v>54027486.999999985</v>
      </c>
      <c r="Z516" s="103">
        <v>987</v>
      </c>
      <c r="AA516" s="87">
        <v>468</v>
      </c>
      <c r="AB516" s="89">
        <f t="shared" si="145"/>
        <v>0</v>
      </c>
      <c r="AC516" s="89">
        <f t="shared" si="146"/>
        <v>468</v>
      </c>
      <c r="AD516" s="89">
        <f t="shared" si="147"/>
        <v>987</v>
      </c>
      <c r="AE516" s="90">
        <f t="shared" si="148"/>
        <v>0</v>
      </c>
      <c r="AF516" s="90" t="str">
        <f t="shared" si="149"/>
        <v/>
      </c>
      <c r="AG516" s="90">
        <f t="shared" si="150"/>
        <v>468</v>
      </c>
      <c r="AH516" s="90" t="str">
        <f t="shared" si="151"/>
        <v>2018 (triag)</v>
      </c>
      <c r="AI516" s="90">
        <f t="shared" si="152"/>
        <v>987</v>
      </c>
      <c r="AJ516" s="90">
        <f t="shared" si="153"/>
        <v>2022</v>
      </c>
      <c r="AK516" s="90" t="str">
        <f t="shared" si="154"/>
        <v/>
      </c>
      <c r="AL516" s="91">
        <f>IF(AK516="Adjust",(_xlfn.XLOOKUP(A516,'Adj factor'!A:A,'Adj factor'!I:I,,0)*AI516),'Master DataSheet'!AI516)</f>
        <v>987</v>
      </c>
      <c r="AM516" s="61">
        <v>287</v>
      </c>
      <c r="AN516" s="92" t="str">
        <f t="shared" si="156"/>
        <v>Increasing</v>
      </c>
      <c r="AO516" s="93">
        <f>VLOOKUP(B516,'Growthrates source'!A$2:H$49,8,FALSE)</f>
        <v>7.1554687899516578E-2</v>
      </c>
      <c r="AP516" s="93">
        <f>VLOOKUP(B516,'Growthrates source'!A$2:I$49,9,FALSE)</f>
        <v>7.1815970063989321E-2</v>
      </c>
      <c r="AQ516" s="86">
        <f t="shared" si="157"/>
        <v>327.24033043879592</v>
      </c>
      <c r="AR516" s="86">
        <f t="shared" si="158"/>
        <v>580.51532828842414</v>
      </c>
      <c r="AS516" s="94">
        <f t="shared" si="159"/>
        <v>0</v>
      </c>
      <c r="AT516" s="94">
        <f t="shared" si="160"/>
        <v>9.3687496626849762E-2</v>
      </c>
      <c r="AU516" s="94">
        <f t="shared" si="161"/>
        <v>5.3121108520187157E-2</v>
      </c>
      <c r="AW516" s="110"/>
    </row>
    <row r="517" spans="1:49" x14ac:dyDescent="0.3">
      <c r="A517" s="85" t="str">
        <f>_xlfn.XLOOKUP(B517,'Country codes &amp; Data sources'!G:G,'Country codes &amp; Data sources'!H:H,,0)</f>
        <v>Kenya</v>
      </c>
      <c r="B517" s="85" t="s">
        <v>175</v>
      </c>
      <c r="C517" s="86">
        <v>43725817.5</v>
      </c>
      <c r="D517" s="85" t="s">
        <v>133</v>
      </c>
      <c r="E517" s="87">
        <v>0</v>
      </c>
      <c r="F517" s="88">
        <v>44792368.000000007</v>
      </c>
      <c r="G517" s="87">
        <v>0</v>
      </c>
      <c r="I517" s="87">
        <v>0</v>
      </c>
      <c r="K517" s="87">
        <v>0</v>
      </c>
      <c r="M517" s="87">
        <v>0</v>
      </c>
      <c r="O517" s="87">
        <v>0</v>
      </c>
      <c r="P517" s="88">
        <v>49953303.999999993</v>
      </c>
      <c r="Q517" s="87">
        <v>0</v>
      </c>
      <c r="R517" s="87">
        <f t="shared" si="144"/>
        <v>0</v>
      </c>
      <c r="T517" s="87">
        <v>0</v>
      </c>
      <c r="V517" s="87">
        <v>0</v>
      </c>
      <c r="X517" s="87">
        <v>5019</v>
      </c>
      <c r="Y517" s="88">
        <v>54027486.999999985</v>
      </c>
      <c r="Z517" s="103">
        <v>10000</v>
      </c>
      <c r="AA517" s="87">
        <v>0</v>
      </c>
      <c r="AB517" s="89">
        <f t="shared" si="145"/>
        <v>0</v>
      </c>
      <c r="AC517" s="89">
        <f t="shared" si="146"/>
        <v>0</v>
      </c>
      <c r="AD517" s="89">
        <f t="shared" si="147"/>
        <v>10000</v>
      </c>
      <c r="AE517" s="90">
        <f t="shared" si="148"/>
        <v>0</v>
      </c>
      <c r="AF517" s="90" t="str">
        <f t="shared" si="149"/>
        <v/>
      </c>
      <c r="AG517" s="90">
        <f t="shared" si="150"/>
        <v>0</v>
      </c>
      <c r="AH517" s="90" t="str">
        <f t="shared" si="151"/>
        <v/>
      </c>
      <c r="AI517" s="90">
        <f t="shared" si="152"/>
        <v>10000</v>
      </c>
      <c r="AJ517" s="90">
        <f t="shared" si="153"/>
        <v>2022</v>
      </c>
      <c r="AK517" s="90" t="str">
        <f t="shared" si="154"/>
        <v/>
      </c>
      <c r="AL517" s="91">
        <f>IF(AK517="Adjust",(_xlfn.XLOOKUP(A517,'Adj factor'!A:A,'Adj factor'!I:I,,0)*AI517),'Master DataSheet'!AI517)</f>
        <v>10000</v>
      </c>
      <c r="AM517" s="91">
        <f t="shared" si="155"/>
        <v>10000</v>
      </c>
      <c r="AN517" s="92" t="str">
        <f t="shared" si="156"/>
        <v>Increasing</v>
      </c>
      <c r="AO517" s="93">
        <f>VLOOKUP(B517,'Growthrates source'!A$2:H$49,8,FALSE)</f>
        <v>7.1554687899516578E-2</v>
      </c>
      <c r="AP517" s="93">
        <f>VLOOKUP(B517,'Growthrates source'!A$2:I$49,9,FALSE)</f>
        <v>7.1815970063989321E-2</v>
      </c>
      <c r="AQ517" s="86">
        <f t="shared" si="157"/>
        <v>0</v>
      </c>
      <c r="AR517" s="86">
        <f t="shared" si="158"/>
        <v>0</v>
      </c>
      <c r="AS517" s="94">
        <f t="shared" si="159"/>
        <v>0</v>
      </c>
      <c r="AT517" s="94">
        <f t="shared" si="160"/>
        <v>0</v>
      </c>
      <c r="AU517" s="94">
        <f t="shared" si="161"/>
        <v>1.8509097045361378</v>
      </c>
      <c r="AW517" s="110"/>
    </row>
    <row r="518" spans="1:49" x14ac:dyDescent="0.3">
      <c r="A518" s="85" t="str">
        <f>_xlfn.XLOOKUP(B518,'Country codes &amp; Data sources'!G:G,'Country codes &amp; Data sources'!H:H,,0)</f>
        <v>Kenya</v>
      </c>
      <c r="B518" s="85" t="s">
        <v>175</v>
      </c>
      <c r="C518" s="86">
        <v>43725818.5</v>
      </c>
      <c r="D518" s="85" t="s">
        <v>206</v>
      </c>
      <c r="E518" s="87">
        <v>0</v>
      </c>
      <c r="F518" s="88">
        <v>44792368.000000007</v>
      </c>
      <c r="G518" s="87">
        <v>0</v>
      </c>
      <c r="I518" s="87">
        <v>0</v>
      </c>
      <c r="K518" s="87">
        <v>0</v>
      </c>
      <c r="M518" s="87">
        <v>0</v>
      </c>
      <c r="O518" s="87">
        <v>0</v>
      </c>
      <c r="P518" s="88">
        <v>49953303.999999993</v>
      </c>
      <c r="Q518" s="87">
        <v>0</v>
      </c>
      <c r="R518" s="87">
        <f t="shared" si="144"/>
        <v>0</v>
      </c>
      <c r="T518" s="87">
        <v>0</v>
      </c>
      <c r="V518" s="87">
        <v>0</v>
      </c>
      <c r="X518" s="87">
        <v>0</v>
      </c>
      <c r="Y518" s="88">
        <v>54027486.999999985</v>
      </c>
      <c r="Z518" s="87">
        <v>0</v>
      </c>
      <c r="AA518" s="87">
        <v>0</v>
      </c>
      <c r="AB518" s="89">
        <f t="shared" si="145"/>
        <v>0</v>
      </c>
      <c r="AC518" s="89">
        <f t="shared" si="146"/>
        <v>0</v>
      </c>
      <c r="AD518" s="89">
        <f t="shared" si="147"/>
        <v>0</v>
      </c>
      <c r="AE518" s="90">
        <f t="shared" si="148"/>
        <v>0</v>
      </c>
      <c r="AF518" s="90" t="str">
        <f t="shared" si="149"/>
        <v/>
      </c>
      <c r="AG518" s="90">
        <f t="shared" si="150"/>
        <v>0</v>
      </c>
      <c r="AH518" s="90" t="str">
        <f t="shared" si="151"/>
        <v/>
      </c>
      <c r="AI518" s="90">
        <f t="shared" si="152"/>
        <v>0</v>
      </c>
      <c r="AJ518" s="90" t="str">
        <f t="shared" si="153"/>
        <v/>
      </c>
      <c r="AK518" s="90" t="str">
        <f t="shared" si="154"/>
        <v/>
      </c>
      <c r="AL518" s="91">
        <f>IF(AK518="Adjust",(_xlfn.XLOOKUP(A518,'Adj factor'!A:A,'Adj factor'!I:I,,0)*AI518),'Master DataSheet'!AI518)</f>
        <v>0</v>
      </c>
      <c r="AM518" s="91">
        <f t="shared" si="155"/>
        <v>0</v>
      </c>
      <c r="AN518" s="92" t="str">
        <f t="shared" si="156"/>
        <v>No change</v>
      </c>
      <c r="AO518" s="93">
        <f>VLOOKUP(B518,'Growthrates source'!A$2:H$49,8,FALSE)</f>
        <v>7.1554687899516578E-2</v>
      </c>
      <c r="AP518" s="93">
        <f>VLOOKUP(B518,'Growthrates source'!A$2:I$49,9,FALSE)</f>
        <v>7.1815970063989321E-2</v>
      </c>
      <c r="AQ518" s="86">
        <f t="shared" si="157"/>
        <v>0</v>
      </c>
      <c r="AR518" s="86">
        <f t="shared" si="158"/>
        <v>0</v>
      </c>
      <c r="AS518" s="94">
        <f t="shared" si="159"/>
        <v>0</v>
      </c>
      <c r="AT518" s="94">
        <f t="shared" si="160"/>
        <v>0</v>
      </c>
      <c r="AU518" s="94">
        <f t="shared" si="161"/>
        <v>0</v>
      </c>
      <c r="AW518" s="110"/>
    </row>
    <row r="519" spans="1:49" x14ac:dyDescent="0.3">
      <c r="A519" s="85" t="str">
        <f>_xlfn.XLOOKUP(B519,'Country codes &amp; Data sources'!G:G,'Country codes &amp; Data sources'!H:H,,0)</f>
        <v>Kenya</v>
      </c>
      <c r="B519" s="85" t="s">
        <v>175</v>
      </c>
      <c r="C519" s="86">
        <v>43725819.5</v>
      </c>
      <c r="D519" s="85" t="s">
        <v>136</v>
      </c>
      <c r="E519" s="87">
        <v>0</v>
      </c>
      <c r="F519" s="88">
        <v>44792368.000000007</v>
      </c>
      <c r="G519" s="87">
        <v>0</v>
      </c>
      <c r="I519" s="87">
        <v>0</v>
      </c>
      <c r="K519" s="87">
        <v>0</v>
      </c>
      <c r="M519" s="87">
        <v>0</v>
      </c>
      <c r="O519" s="87">
        <v>0</v>
      </c>
      <c r="P519" s="88">
        <v>49953303.999999993</v>
      </c>
      <c r="Q519" s="87">
        <v>430</v>
      </c>
      <c r="R519" s="87">
        <f t="shared" si="144"/>
        <v>430</v>
      </c>
      <c r="T519" s="87">
        <v>0</v>
      </c>
      <c r="V519" s="87">
        <v>0</v>
      </c>
      <c r="X519" s="87">
        <v>717</v>
      </c>
      <c r="Y519" s="88">
        <v>54027486.999999985</v>
      </c>
      <c r="Z519" s="87">
        <v>0</v>
      </c>
      <c r="AA519" s="87">
        <v>430</v>
      </c>
      <c r="AB519" s="89">
        <f t="shared" si="145"/>
        <v>0</v>
      </c>
      <c r="AC519" s="89">
        <f t="shared" si="146"/>
        <v>430</v>
      </c>
      <c r="AD519" s="89">
        <f t="shared" si="147"/>
        <v>717</v>
      </c>
      <c r="AE519" s="90">
        <f t="shared" si="148"/>
        <v>0</v>
      </c>
      <c r="AF519" s="90" t="str">
        <f t="shared" si="149"/>
        <v/>
      </c>
      <c r="AG519" s="90">
        <f t="shared" si="150"/>
        <v>430</v>
      </c>
      <c r="AH519" s="90">
        <f t="shared" si="151"/>
        <v>2018</v>
      </c>
      <c r="AI519" s="90">
        <f t="shared" si="152"/>
        <v>717</v>
      </c>
      <c r="AJ519" s="90">
        <f t="shared" si="153"/>
        <v>2021</v>
      </c>
      <c r="AK519" s="90" t="str">
        <f t="shared" si="154"/>
        <v/>
      </c>
      <c r="AL519" s="91">
        <f>IF(AK519="Adjust",(_xlfn.XLOOKUP(A519,'Adj factor'!A:A,'Adj factor'!I:I,,0)*AI519),'Master DataSheet'!AI519)</f>
        <v>717</v>
      </c>
      <c r="AM519" s="91">
        <f t="shared" si="155"/>
        <v>717</v>
      </c>
      <c r="AN519" s="92" t="str">
        <f t="shared" si="156"/>
        <v>Increasing</v>
      </c>
      <c r="AO519" s="93">
        <f>VLOOKUP(B519,'Growthrates source'!A$2:H$49,8,FALSE)</f>
        <v>7.1554687899516578E-2</v>
      </c>
      <c r="AP519" s="93">
        <f>VLOOKUP(B519,'Growthrates source'!A$2:I$49,9,FALSE)</f>
        <v>7.1815970063989321E-2</v>
      </c>
      <c r="AQ519" s="86">
        <f t="shared" si="157"/>
        <v>300.66953437752613</v>
      </c>
      <c r="AR519" s="86">
        <f t="shared" si="158"/>
        <v>533.37946829919315</v>
      </c>
      <c r="AS519" s="94">
        <f t="shared" si="159"/>
        <v>0</v>
      </c>
      <c r="AT519" s="94">
        <f t="shared" si="160"/>
        <v>8.6080392199883324E-2</v>
      </c>
      <c r="AU519" s="94">
        <f t="shared" si="161"/>
        <v>0.13271022581524108</v>
      </c>
      <c r="AW519" s="110"/>
    </row>
    <row r="520" spans="1:49" x14ac:dyDescent="0.3">
      <c r="A520" s="85" t="str">
        <f>_xlfn.XLOOKUP(B520,'Country codes &amp; Data sources'!G:G,'Country codes &amp; Data sources'!H:H,,0)</f>
        <v>Kenya</v>
      </c>
      <c r="B520" s="85" t="s">
        <v>175</v>
      </c>
      <c r="C520" s="86">
        <v>43725820.5</v>
      </c>
      <c r="D520" s="85" t="s">
        <v>207</v>
      </c>
      <c r="E520" s="87">
        <v>0</v>
      </c>
      <c r="F520" s="88">
        <v>44792368.000000007</v>
      </c>
      <c r="G520" s="87">
        <v>0</v>
      </c>
      <c r="I520" s="87">
        <v>0</v>
      </c>
      <c r="K520" s="87">
        <v>0</v>
      </c>
      <c r="M520" s="87">
        <v>0</v>
      </c>
      <c r="O520" s="87">
        <v>0</v>
      </c>
      <c r="P520" s="88">
        <v>49953303.999999993</v>
      </c>
      <c r="Q520" s="87">
        <v>714</v>
      </c>
      <c r="R520" s="87">
        <f t="shared" si="144"/>
        <v>2419</v>
      </c>
      <c r="T520" s="87">
        <v>0</v>
      </c>
      <c r="V520" s="87">
        <v>0</v>
      </c>
      <c r="X520" s="87">
        <v>0</v>
      </c>
      <c r="Y520" s="88">
        <v>54027486.999999985</v>
      </c>
      <c r="Z520" s="87">
        <v>0</v>
      </c>
      <c r="AA520" s="87">
        <v>2419</v>
      </c>
      <c r="AB520" s="89">
        <f t="shared" si="145"/>
        <v>0</v>
      </c>
      <c r="AC520" s="89">
        <f t="shared" si="146"/>
        <v>714</v>
      </c>
      <c r="AD520" s="89">
        <f t="shared" si="147"/>
        <v>0</v>
      </c>
      <c r="AE520" s="90">
        <f t="shared" si="148"/>
        <v>0</v>
      </c>
      <c r="AF520" s="90" t="str">
        <f t="shared" si="149"/>
        <v/>
      </c>
      <c r="AG520" s="90">
        <f t="shared" si="150"/>
        <v>2419</v>
      </c>
      <c r="AH520" s="90" t="str">
        <f t="shared" si="151"/>
        <v>2018 (triag)</v>
      </c>
      <c r="AI520" s="90">
        <f t="shared" si="152"/>
        <v>2419</v>
      </c>
      <c r="AJ520" s="90" t="str">
        <f t="shared" si="153"/>
        <v>2018 (triag)</v>
      </c>
      <c r="AK520" s="90" t="str">
        <f t="shared" si="154"/>
        <v/>
      </c>
      <c r="AL520" s="91">
        <f>IF(AK520="Adjust",(_xlfn.XLOOKUP(A520,'Adj factor'!A:A,'Adj factor'!I:I,,0)*AI520),'Master DataSheet'!AI520)</f>
        <v>2419</v>
      </c>
      <c r="AM520" s="91">
        <f t="shared" si="155"/>
        <v>2419</v>
      </c>
      <c r="AN520" s="92" t="str">
        <f t="shared" si="156"/>
        <v>No change</v>
      </c>
      <c r="AO520" s="93">
        <f>VLOOKUP(B520,'Growthrates source'!A$2:H$49,8,FALSE)</f>
        <v>7.1554687899516578E-2</v>
      </c>
      <c r="AP520" s="93">
        <f>VLOOKUP(B520,'Growthrates source'!A$2:I$49,9,FALSE)</f>
        <v>7.1815970063989321E-2</v>
      </c>
      <c r="AQ520" s="86">
        <f t="shared" si="157"/>
        <v>1691.4409387424089</v>
      </c>
      <c r="AR520" s="86">
        <f t="shared" si="158"/>
        <v>3000.5696135249959</v>
      </c>
      <c r="AS520" s="94">
        <f t="shared" si="159"/>
        <v>0</v>
      </c>
      <c r="AT520" s="94">
        <f t="shared" si="160"/>
        <v>0.48425225286399481</v>
      </c>
      <c r="AU520" s="94">
        <f t="shared" si="161"/>
        <v>0.44773505752729176</v>
      </c>
      <c r="AW520" s="110"/>
    </row>
    <row r="521" spans="1:49" x14ac:dyDescent="0.3">
      <c r="A521" s="85" t="str">
        <f>_xlfn.XLOOKUP(B521,'Country codes &amp; Data sources'!G:G,'Country codes &amp; Data sources'!H:H,,0)</f>
        <v>Kenya</v>
      </c>
      <c r="B521" s="85" t="s">
        <v>175</v>
      </c>
      <c r="C521" s="86">
        <v>43725821.5</v>
      </c>
      <c r="D521" s="85" t="s">
        <v>141</v>
      </c>
      <c r="E521" s="87">
        <v>0</v>
      </c>
      <c r="F521" s="88">
        <v>44792368.000000007</v>
      </c>
      <c r="G521" s="87">
        <v>0</v>
      </c>
      <c r="I521" s="87">
        <v>0</v>
      </c>
      <c r="K521" s="87">
        <v>0</v>
      </c>
      <c r="M521" s="87">
        <v>0</v>
      </c>
      <c r="O521" s="87">
        <v>0</v>
      </c>
      <c r="P521" s="88">
        <v>49953303.999999993</v>
      </c>
      <c r="Q521" s="87">
        <v>0</v>
      </c>
      <c r="R521" s="87">
        <f t="shared" si="144"/>
        <v>0</v>
      </c>
      <c r="T521" s="87">
        <v>0</v>
      </c>
      <c r="V521" s="87">
        <v>0</v>
      </c>
      <c r="X521" s="87">
        <v>0</v>
      </c>
      <c r="Y521" s="88">
        <v>54027486.999999985</v>
      </c>
      <c r="Z521" s="87">
        <v>0</v>
      </c>
      <c r="AA521" s="87">
        <v>0</v>
      </c>
      <c r="AB521" s="89">
        <f t="shared" si="145"/>
        <v>0</v>
      </c>
      <c r="AC521" s="89">
        <f t="shared" si="146"/>
        <v>0</v>
      </c>
      <c r="AD521" s="89">
        <f t="shared" si="147"/>
        <v>0</v>
      </c>
      <c r="AE521" s="90">
        <f t="shared" si="148"/>
        <v>0</v>
      </c>
      <c r="AF521" s="90" t="str">
        <f t="shared" si="149"/>
        <v/>
      </c>
      <c r="AG521" s="90">
        <f t="shared" si="150"/>
        <v>0</v>
      </c>
      <c r="AH521" s="90" t="str">
        <f t="shared" si="151"/>
        <v/>
      </c>
      <c r="AI521" s="90">
        <f t="shared" si="152"/>
        <v>0</v>
      </c>
      <c r="AJ521" s="90" t="str">
        <f t="shared" si="153"/>
        <v/>
      </c>
      <c r="AK521" s="90" t="str">
        <f t="shared" si="154"/>
        <v/>
      </c>
      <c r="AL521" s="91">
        <f>IF(AK521="Adjust",(_xlfn.XLOOKUP(A521,'Adj factor'!A:A,'Adj factor'!I:I,,0)*AI521),'Master DataSheet'!AI521)</f>
        <v>0</v>
      </c>
      <c r="AM521" s="91">
        <f t="shared" si="155"/>
        <v>0</v>
      </c>
      <c r="AN521" s="92" t="str">
        <f t="shared" si="156"/>
        <v>No change</v>
      </c>
      <c r="AO521" s="93">
        <f>VLOOKUP(B521,'Growthrates source'!A$2:H$49,8,FALSE)</f>
        <v>7.1554687899516578E-2</v>
      </c>
      <c r="AP521" s="93">
        <f>VLOOKUP(B521,'Growthrates source'!A$2:I$49,9,FALSE)</f>
        <v>7.1815970063989321E-2</v>
      </c>
      <c r="AQ521" s="86">
        <f t="shared" si="157"/>
        <v>0</v>
      </c>
      <c r="AR521" s="86">
        <f t="shared" si="158"/>
        <v>0</v>
      </c>
      <c r="AS521" s="94">
        <f t="shared" si="159"/>
        <v>0</v>
      </c>
      <c r="AT521" s="94">
        <f t="shared" si="160"/>
        <v>0</v>
      </c>
      <c r="AU521" s="94">
        <f t="shared" si="161"/>
        <v>0</v>
      </c>
      <c r="AW521" s="110"/>
    </row>
    <row r="522" spans="1:49" x14ac:dyDescent="0.3">
      <c r="A522" s="85" t="str">
        <f>_xlfn.XLOOKUP(B522,'Country codes &amp; Data sources'!G:G,'Country codes &amp; Data sources'!H:H,,0)</f>
        <v>Kenya</v>
      </c>
      <c r="B522" s="85" t="s">
        <v>175</v>
      </c>
      <c r="C522" s="86">
        <v>43725822.5</v>
      </c>
      <c r="D522" s="85" t="s">
        <v>208</v>
      </c>
      <c r="E522" s="87">
        <v>0</v>
      </c>
      <c r="F522" s="88">
        <v>44792368.000000007</v>
      </c>
      <c r="G522" s="87">
        <v>0</v>
      </c>
      <c r="I522" s="87">
        <v>0</v>
      </c>
      <c r="K522" s="87">
        <v>0</v>
      </c>
      <c r="M522" s="87">
        <v>0</v>
      </c>
      <c r="O522" s="87">
        <v>0</v>
      </c>
      <c r="P522" s="88">
        <v>49953303.999999993</v>
      </c>
      <c r="Q522" s="87">
        <v>0</v>
      </c>
      <c r="R522" s="87">
        <f t="shared" si="144"/>
        <v>2759</v>
      </c>
      <c r="T522" s="87">
        <v>0</v>
      </c>
      <c r="V522" s="87">
        <v>0</v>
      </c>
      <c r="X522" s="87">
        <v>3295</v>
      </c>
      <c r="Y522" s="88">
        <v>54027486.999999985</v>
      </c>
      <c r="Z522" s="87">
        <v>0</v>
      </c>
      <c r="AA522" s="87">
        <v>2759</v>
      </c>
      <c r="AB522" s="89">
        <f t="shared" si="145"/>
        <v>0</v>
      </c>
      <c r="AC522" s="89">
        <f t="shared" si="146"/>
        <v>0</v>
      </c>
      <c r="AD522" s="89">
        <f t="shared" si="147"/>
        <v>3295</v>
      </c>
      <c r="AE522" s="90">
        <f t="shared" si="148"/>
        <v>0</v>
      </c>
      <c r="AF522" s="90" t="str">
        <f t="shared" si="149"/>
        <v/>
      </c>
      <c r="AG522" s="90">
        <f t="shared" si="150"/>
        <v>2759</v>
      </c>
      <c r="AH522" s="90" t="str">
        <f t="shared" si="151"/>
        <v>2018 (triag)</v>
      </c>
      <c r="AI522" s="90">
        <f t="shared" si="152"/>
        <v>3295</v>
      </c>
      <c r="AJ522" s="90">
        <f t="shared" si="153"/>
        <v>2021</v>
      </c>
      <c r="AK522" s="90" t="str">
        <f t="shared" si="154"/>
        <v/>
      </c>
      <c r="AL522" s="91">
        <f>IF(AK522="Adjust",(_xlfn.XLOOKUP(A522,'Adj factor'!A:A,'Adj factor'!I:I,,0)*AI522),'Master DataSheet'!AI522)</f>
        <v>3295</v>
      </c>
      <c r="AM522" s="91">
        <f t="shared" si="155"/>
        <v>3295</v>
      </c>
      <c r="AN522" s="92" t="str">
        <f t="shared" si="156"/>
        <v>Increasing</v>
      </c>
      <c r="AO522" s="93">
        <f>VLOOKUP(B522,'Growthrates source'!A$2:H$49,8,FALSE)</f>
        <v>7.1554687899516578E-2</v>
      </c>
      <c r="AP522" s="93">
        <f>VLOOKUP(B522,'Growthrates source'!A$2:I$49,9,FALSE)</f>
        <v>7.1815970063989321E-2</v>
      </c>
      <c r="AQ522" s="86">
        <f t="shared" si="157"/>
        <v>1929.1796403432434</v>
      </c>
      <c r="AR522" s="86">
        <f t="shared" si="158"/>
        <v>3422.3115186917998</v>
      </c>
      <c r="AS522" s="94">
        <f t="shared" si="159"/>
        <v>0</v>
      </c>
      <c r="AT522" s="94">
        <f t="shared" si="160"/>
        <v>0.55231581878948399</v>
      </c>
      <c r="AU522" s="94">
        <f t="shared" si="161"/>
        <v>0.60987474764465743</v>
      </c>
      <c r="AW522" s="110"/>
    </row>
    <row r="523" spans="1:49" x14ac:dyDescent="0.3">
      <c r="A523" s="85" t="str">
        <f>_xlfn.XLOOKUP(B523,'Country codes &amp; Data sources'!G:G,'Country codes &amp; Data sources'!H:H,,0)</f>
        <v>Kenya</v>
      </c>
      <c r="B523" s="85" t="s">
        <v>175</v>
      </c>
      <c r="C523" s="86">
        <v>43725823.5</v>
      </c>
      <c r="D523" s="85" t="s">
        <v>209</v>
      </c>
      <c r="E523" s="87">
        <v>0</v>
      </c>
      <c r="F523" s="88">
        <v>44792368.000000007</v>
      </c>
      <c r="G523" s="87">
        <v>0</v>
      </c>
      <c r="I523" s="87">
        <v>0</v>
      </c>
      <c r="K523" s="87">
        <v>0</v>
      </c>
      <c r="M523" s="87">
        <v>0</v>
      </c>
      <c r="O523" s="87">
        <v>0</v>
      </c>
      <c r="P523" s="88">
        <v>49953303.999999993</v>
      </c>
      <c r="Q523" s="87">
        <v>0</v>
      </c>
      <c r="R523" s="87">
        <f t="shared" si="144"/>
        <v>0</v>
      </c>
      <c r="T523" s="87">
        <v>0</v>
      </c>
      <c r="V523" s="87">
        <v>0</v>
      </c>
      <c r="X523" s="87">
        <v>11129</v>
      </c>
      <c r="Y523" s="88">
        <v>54027486.999999985</v>
      </c>
      <c r="Z523" s="87">
        <v>0</v>
      </c>
      <c r="AA523" s="87">
        <v>0</v>
      </c>
      <c r="AB523" s="89">
        <f t="shared" si="145"/>
        <v>0</v>
      </c>
      <c r="AC523" s="89">
        <f t="shared" si="146"/>
        <v>0</v>
      </c>
      <c r="AD523" s="89">
        <f t="shared" si="147"/>
        <v>11129</v>
      </c>
      <c r="AE523" s="90">
        <f t="shared" si="148"/>
        <v>0</v>
      </c>
      <c r="AF523" s="90" t="str">
        <f t="shared" si="149"/>
        <v/>
      </c>
      <c r="AG523" s="90">
        <f t="shared" si="150"/>
        <v>0</v>
      </c>
      <c r="AH523" s="90" t="str">
        <f t="shared" si="151"/>
        <v/>
      </c>
      <c r="AI523" s="90">
        <f t="shared" si="152"/>
        <v>11129</v>
      </c>
      <c r="AJ523" s="90">
        <f t="shared" si="153"/>
        <v>2021</v>
      </c>
      <c r="AK523" s="90" t="str">
        <f t="shared" si="154"/>
        <v/>
      </c>
      <c r="AL523" s="91">
        <f>IF(AK523="Adjust",(_xlfn.XLOOKUP(A523,'Adj factor'!A:A,'Adj factor'!I:I,,0)*AI523),'Master DataSheet'!AI523)</f>
        <v>11129</v>
      </c>
      <c r="AM523" s="91">
        <f t="shared" si="155"/>
        <v>11129</v>
      </c>
      <c r="AN523" s="92" t="str">
        <f t="shared" si="156"/>
        <v>Increasing</v>
      </c>
      <c r="AO523" s="93">
        <f>VLOOKUP(B523,'Growthrates source'!A$2:H$49,8,FALSE)</f>
        <v>7.1554687899516578E-2</v>
      </c>
      <c r="AP523" s="93">
        <f>VLOOKUP(B523,'Growthrates source'!A$2:I$49,9,FALSE)</f>
        <v>7.1815970063989321E-2</v>
      </c>
      <c r="AQ523" s="86">
        <f t="shared" si="157"/>
        <v>0</v>
      </c>
      <c r="AR523" s="86">
        <f t="shared" si="158"/>
        <v>0</v>
      </c>
      <c r="AS523" s="94">
        <f t="shared" si="159"/>
        <v>0</v>
      </c>
      <c r="AT523" s="94">
        <f t="shared" si="160"/>
        <v>0</v>
      </c>
      <c r="AU523" s="94">
        <f t="shared" si="161"/>
        <v>2.059877410178268</v>
      </c>
      <c r="AW523" s="110"/>
    </row>
    <row r="524" spans="1:49" x14ac:dyDescent="0.3">
      <c r="A524" s="85" t="str">
        <f>_xlfn.XLOOKUP(B524,'Country codes &amp; Data sources'!G:G,'Country codes &amp; Data sources'!H:H,,0)</f>
        <v>Kenya</v>
      </c>
      <c r="B524" s="85" t="s">
        <v>175</v>
      </c>
      <c r="C524" s="86">
        <v>43725824.5</v>
      </c>
      <c r="D524" s="85" t="s">
        <v>134</v>
      </c>
      <c r="E524" s="87">
        <v>0</v>
      </c>
      <c r="F524" s="88">
        <v>44792368.000000007</v>
      </c>
      <c r="G524" s="87">
        <v>0</v>
      </c>
      <c r="I524" s="87">
        <v>0</v>
      </c>
      <c r="K524" s="87">
        <v>0</v>
      </c>
      <c r="M524" s="87">
        <v>0</v>
      </c>
      <c r="O524" s="87">
        <v>0</v>
      </c>
      <c r="P524" s="88">
        <v>49953303.999999993</v>
      </c>
      <c r="Q524" s="87">
        <v>0</v>
      </c>
      <c r="R524" s="87">
        <f t="shared" si="144"/>
        <v>0</v>
      </c>
      <c r="T524" s="87">
        <v>0</v>
      </c>
      <c r="V524" s="87">
        <v>0</v>
      </c>
      <c r="X524" s="87">
        <v>0</v>
      </c>
      <c r="Y524" s="88">
        <v>54027486.999999985</v>
      </c>
      <c r="Z524" s="95">
        <v>1200</v>
      </c>
      <c r="AA524" s="87">
        <v>0</v>
      </c>
      <c r="AB524" s="89">
        <f t="shared" si="145"/>
        <v>0</v>
      </c>
      <c r="AC524" s="89">
        <f t="shared" si="146"/>
        <v>0</v>
      </c>
      <c r="AD524" s="89">
        <f t="shared" si="147"/>
        <v>1200</v>
      </c>
      <c r="AE524" s="90">
        <f t="shared" si="148"/>
        <v>0</v>
      </c>
      <c r="AF524" s="90" t="str">
        <f t="shared" si="149"/>
        <v/>
      </c>
      <c r="AG524" s="90">
        <f t="shared" si="150"/>
        <v>0</v>
      </c>
      <c r="AH524" s="90" t="str">
        <f t="shared" si="151"/>
        <v/>
      </c>
      <c r="AI524" s="90">
        <f t="shared" si="152"/>
        <v>1200</v>
      </c>
      <c r="AJ524" s="90">
        <f t="shared" si="153"/>
        <v>2022</v>
      </c>
      <c r="AK524" s="90" t="str">
        <f t="shared" si="154"/>
        <v/>
      </c>
      <c r="AL524" s="91">
        <f>IF(AK524="Adjust",(_xlfn.XLOOKUP(A524,'Adj factor'!A:A,'Adj factor'!I:I,,0)*AI524),'Master DataSheet'!AI524)</f>
        <v>1200</v>
      </c>
      <c r="AM524" s="91">
        <f t="shared" si="155"/>
        <v>1200</v>
      </c>
      <c r="AN524" s="92" t="str">
        <f t="shared" si="156"/>
        <v>Increasing</v>
      </c>
      <c r="AO524" s="93">
        <f>VLOOKUP(B524,'Growthrates source'!A$2:H$49,8,FALSE)</f>
        <v>7.1554687899516578E-2</v>
      </c>
      <c r="AP524" s="93">
        <f>VLOOKUP(B524,'Growthrates source'!A$2:I$49,9,FALSE)</f>
        <v>7.1815970063989321E-2</v>
      </c>
      <c r="AQ524" s="86">
        <f t="shared" si="157"/>
        <v>0</v>
      </c>
      <c r="AR524" s="86">
        <f t="shared" si="158"/>
        <v>0</v>
      </c>
      <c r="AS524" s="94">
        <f t="shared" si="159"/>
        <v>0</v>
      </c>
      <c r="AT524" s="94">
        <f t="shared" si="160"/>
        <v>0</v>
      </c>
      <c r="AU524" s="94">
        <f t="shared" si="161"/>
        <v>0.22210916454433655</v>
      </c>
      <c r="AW524" s="110"/>
    </row>
    <row r="525" spans="1:49" x14ac:dyDescent="0.3">
      <c r="A525" s="85" t="str">
        <f>_xlfn.XLOOKUP(B525,'Country codes &amp; Data sources'!G:G,'Country codes &amp; Data sources'!H:H,,0)</f>
        <v>Kenya</v>
      </c>
      <c r="B525" s="85" t="s">
        <v>175</v>
      </c>
      <c r="C525" s="86">
        <v>43725825.5</v>
      </c>
      <c r="D525" s="85" t="s">
        <v>142</v>
      </c>
      <c r="E525" s="87">
        <v>0</v>
      </c>
      <c r="F525" s="88">
        <v>44792368.000000007</v>
      </c>
      <c r="G525" s="62">
        <v>13216</v>
      </c>
      <c r="I525" s="87">
        <v>0</v>
      </c>
      <c r="K525" s="87">
        <v>0</v>
      </c>
      <c r="M525" s="87">
        <v>0</v>
      </c>
      <c r="O525" s="87">
        <v>0</v>
      </c>
      <c r="P525" s="88">
        <v>49953303.999999993</v>
      </c>
      <c r="Q525" s="87">
        <v>21942</v>
      </c>
      <c r="R525" s="87">
        <f t="shared" si="144"/>
        <v>21942</v>
      </c>
      <c r="T525" s="87">
        <v>0</v>
      </c>
      <c r="V525" s="87">
        <v>0</v>
      </c>
      <c r="X525" s="87">
        <v>8087</v>
      </c>
      <c r="Y525" s="88">
        <v>54027486.999999985</v>
      </c>
      <c r="Z525" s="103">
        <v>25400</v>
      </c>
      <c r="AA525" s="87">
        <v>21942</v>
      </c>
      <c r="AB525" s="89">
        <f t="shared" si="145"/>
        <v>13216</v>
      </c>
      <c r="AC525" s="89">
        <f t="shared" si="146"/>
        <v>21942</v>
      </c>
      <c r="AD525" s="89">
        <f t="shared" si="147"/>
        <v>25400</v>
      </c>
      <c r="AE525" s="90">
        <f t="shared" si="148"/>
        <v>13216</v>
      </c>
      <c r="AF525" s="90">
        <v>2013</v>
      </c>
      <c r="AG525" s="90">
        <f t="shared" si="150"/>
        <v>21942</v>
      </c>
      <c r="AH525" s="90">
        <f t="shared" si="151"/>
        <v>2018</v>
      </c>
      <c r="AI525" s="90">
        <f t="shared" si="152"/>
        <v>25400</v>
      </c>
      <c r="AJ525" s="90">
        <f t="shared" si="153"/>
        <v>2022</v>
      </c>
      <c r="AK525" s="90" t="str">
        <f t="shared" si="154"/>
        <v/>
      </c>
      <c r="AL525" s="91">
        <f>IF(AK525="Adjust",(_xlfn.XLOOKUP(A525,'Adj factor'!A:A,'Adj factor'!I:I,,0)*AI525),'Master DataSheet'!AI525)</f>
        <v>25400</v>
      </c>
      <c r="AM525" s="91">
        <f t="shared" si="155"/>
        <v>25400</v>
      </c>
      <c r="AN525" s="92" t="str">
        <f t="shared" si="156"/>
        <v>Increasing</v>
      </c>
      <c r="AO525" s="93">
        <f>VLOOKUP(B525,'Growthrates source'!A$2:H$49,8,FALSE)</f>
        <v>7.1554687899516578E-2</v>
      </c>
      <c r="AP525" s="93">
        <f>VLOOKUP(B525,'Growthrates source'!A$2:I$49,9,FALSE)</f>
        <v>7.1815970063989321E-2</v>
      </c>
      <c r="AQ525" s="86">
        <f t="shared" si="157"/>
        <v>15342.537030957394</v>
      </c>
      <c r="AR525" s="86">
        <f t="shared" si="158"/>
        <v>27217.237891676501</v>
      </c>
      <c r="AS525" s="94">
        <f t="shared" si="159"/>
        <v>2.9505026391996059</v>
      </c>
      <c r="AT525" s="94">
        <f t="shared" si="160"/>
        <v>4.392502245697302</v>
      </c>
      <c r="AU525" s="94">
        <f t="shared" si="161"/>
        <v>4.7013106495217905</v>
      </c>
      <c r="AW525" s="110"/>
    </row>
    <row r="526" spans="1:49" x14ac:dyDescent="0.3">
      <c r="A526" s="85" t="str">
        <f>_xlfn.XLOOKUP(B526,'Country codes &amp; Data sources'!G:G,'Country codes &amp; Data sources'!H:H,,0)</f>
        <v>Kenya</v>
      </c>
      <c r="B526" s="85" t="s">
        <v>175</v>
      </c>
      <c r="C526" s="86">
        <v>43725826.5</v>
      </c>
      <c r="D526" s="85" t="s">
        <v>83</v>
      </c>
      <c r="E526" s="87">
        <v>0</v>
      </c>
      <c r="F526" s="88">
        <v>44792368.000000007</v>
      </c>
      <c r="G526" s="87">
        <v>0</v>
      </c>
      <c r="I526" s="87">
        <v>0</v>
      </c>
      <c r="K526" s="87">
        <v>0</v>
      </c>
      <c r="M526" s="87">
        <v>0</v>
      </c>
      <c r="O526" s="87">
        <v>0</v>
      </c>
      <c r="P526" s="88">
        <v>49953303.999999993</v>
      </c>
      <c r="Q526" s="87">
        <v>0</v>
      </c>
      <c r="R526" s="87">
        <f t="shared" si="144"/>
        <v>0</v>
      </c>
      <c r="T526" s="87">
        <v>0</v>
      </c>
      <c r="V526" s="87">
        <v>0</v>
      </c>
      <c r="X526" s="87">
        <v>718</v>
      </c>
      <c r="Y526" s="88">
        <v>54027486.999999985</v>
      </c>
      <c r="Z526" s="87">
        <v>631</v>
      </c>
      <c r="AA526" s="87">
        <v>0</v>
      </c>
      <c r="AB526" s="89">
        <f t="shared" si="145"/>
        <v>0</v>
      </c>
      <c r="AC526" s="89">
        <f t="shared" si="146"/>
        <v>0</v>
      </c>
      <c r="AD526" s="89">
        <f t="shared" si="147"/>
        <v>718</v>
      </c>
      <c r="AE526" s="90">
        <f t="shared" si="148"/>
        <v>0</v>
      </c>
      <c r="AF526" s="90" t="str">
        <f t="shared" si="149"/>
        <v/>
      </c>
      <c r="AG526" s="90">
        <f t="shared" si="150"/>
        <v>0</v>
      </c>
      <c r="AH526" s="90" t="str">
        <f t="shared" si="151"/>
        <v/>
      </c>
      <c r="AI526" s="90">
        <f t="shared" si="152"/>
        <v>631</v>
      </c>
      <c r="AJ526" s="90">
        <f t="shared" si="153"/>
        <v>2022</v>
      </c>
      <c r="AK526" s="90" t="str">
        <f t="shared" si="154"/>
        <v/>
      </c>
      <c r="AL526" s="91">
        <f>IF(AK526="Adjust",(_xlfn.XLOOKUP(A526,'Adj factor'!A:A,'Adj factor'!I:I,,0)*AI526),'Master DataSheet'!AI526)</f>
        <v>631</v>
      </c>
      <c r="AM526" s="91">
        <f t="shared" si="155"/>
        <v>631</v>
      </c>
      <c r="AN526" s="92" t="str">
        <f t="shared" si="156"/>
        <v>Increasing</v>
      </c>
      <c r="AO526" s="93">
        <f>VLOOKUP(B526,'Growthrates source'!A$2:H$49,8,FALSE)</f>
        <v>7.1554687899516578E-2</v>
      </c>
      <c r="AP526" s="93">
        <f>VLOOKUP(B526,'Growthrates source'!A$2:I$49,9,FALSE)</f>
        <v>7.1815970063989321E-2</v>
      </c>
      <c r="AQ526" s="86">
        <f t="shared" si="157"/>
        <v>0</v>
      </c>
      <c r="AR526" s="86">
        <f t="shared" si="158"/>
        <v>0</v>
      </c>
      <c r="AS526" s="94">
        <f t="shared" si="159"/>
        <v>0</v>
      </c>
      <c r="AT526" s="94">
        <f t="shared" si="160"/>
        <v>0</v>
      </c>
      <c r="AU526" s="94">
        <f t="shared" si="161"/>
        <v>0.1167924023562303</v>
      </c>
      <c r="AW526" s="110"/>
    </row>
    <row r="527" spans="1:49" x14ac:dyDescent="0.3">
      <c r="A527" s="85" t="str">
        <f>_xlfn.XLOOKUP(B527,'Country codes &amp; Data sources'!G:G,'Country codes &amp; Data sources'!H:H,,0)</f>
        <v>Kenya</v>
      </c>
      <c r="B527" s="85" t="s">
        <v>175</v>
      </c>
      <c r="C527" s="86">
        <v>43725827.5</v>
      </c>
      <c r="D527" s="85" t="s">
        <v>84</v>
      </c>
      <c r="E527" s="87">
        <v>0</v>
      </c>
      <c r="F527" s="88">
        <v>44792368.000000007</v>
      </c>
      <c r="G527" s="87">
        <v>0</v>
      </c>
      <c r="I527" s="87">
        <v>0</v>
      </c>
      <c r="K527" s="87">
        <v>0</v>
      </c>
      <c r="M527" s="87">
        <v>0</v>
      </c>
      <c r="O527" s="87">
        <v>0</v>
      </c>
      <c r="P527" s="88">
        <v>49953303.999999993</v>
      </c>
      <c r="Q527" s="87">
        <v>0</v>
      </c>
      <c r="R527" s="87">
        <f t="shared" si="144"/>
        <v>0</v>
      </c>
      <c r="T527" s="87">
        <v>0</v>
      </c>
      <c r="V527" s="87">
        <v>0</v>
      </c>
      <c r="X527" s="87">
        <v>749</v>
      </c>
      <c r="Y527" s="88">
        <v>54027486.999999985</v>
      </c>
      <c r="Z527" s="87">
        <v>642</v>
      </c>
      <c r="AA527" s="87">
        <v>0</v>
      </c>
      <c r="AB527" s="89">
        <f t="shared" si="145"/>
        <v>0</v>
      </c>
      <c r="AC527" s="89">
        <f t="shared" si="146"/>
        <v>0</v>
      </c>
      <c r="AD527" s="89">
        <f t="shared" si="147"/>
        <v>749</v>
      </c>
      <c r="AE527" s="90">
        <f t="shared" si="148"/>
        <v>0</v>
      </c>
      <c r="AF527" s="90" t="str">
        <f t="shared" si="149"/>
        <v/>
      </c>
      <c r="AG527" s="90">
        <f t="shared" si="150"/>
        <v>0</v>
      </c>
      <c r="AH527" s="90" t="str">
        <f t="shared" si="151"/>
        <v/>
      </c>
      <c r="AI527" s="90">
        <f>IF((IF(Z527&gt;0,Z527,IF(X527&gt;0,X527,IF(V527&gt;0,V527,T527))))=0,AG527,IF(Z527&gt;0,Z527,IF(X527&gt;0,X527,IF(V527&gt;0,V527,T527))))</f>
        <v>642</v>
      </c>
      <c r="AJ527" s="90">
        <f t="shared" si="153"/>
        <v>2022</v>
      </c>
      <c r="AK527" s="90" t="str">
        <f t="shared" si="154"/>
        <v/>
      </c>
      <c r="AL527" s="91">
        <f>IF(AK527="Adjust",(_xlfn.XLOOKUP(A527,'Adj factor'!A:A,'Adj factor'!I:I,,0)*AI527),'Master DataSheet'!AI527)</f>
        <v>642</v>
      </c>
      <c r="AM527" s="91">
        <f t="shared" si="155"/>
        <v>642</v>
      </c>
      <c r="AN527" s="92" t="str">
        <f t="shared" si="156"/>
        <v>Increasing</v>
      </c>
      <c r="AO527" s="93">
        <f>VLOOKUP(B527,'Growthrates source'!A$2:H$49,8,FALSE)</f>
        <v>7.1554687899516578E-2</v>
      </c>
      <c r="AP527" s="93">
        <f>VLOOKUP(B527,'Growthrates source'!A$2:I$49,9,FALSE)</f>
        <v>7.1815970063989321E-2</v>
      </c>
      <c r="AQ527" s="86">
        <f t="shared" si="157"/>
        <v>0</v>
      </c>
      <c r="AR527" s="86">
        <f t="shared" si="158"/>
        <v>0</v>
      </c>
      <c r="AS527" s="94">
        <f t="shared" si="159"/>
        <v>0</v>
      </c>
      <c r="AT527" s="94">
        <f t="shared" si="160"/>
        <v>0</v>
      </c>
      <c r="AU527" s="94">
        <f t="shared" si="161"/>
        <v>0.11882840303122005</v>
      </c>
      <c r="AW527" s="110"/>
    </row>
    <row r="528" spans="1:49" x14ac:dyDescent="0.3">
      <c r="A528" s="85" t="str">
        <f>_xlfn.XLOOKUP(B528,'Country codes &amp; Data sources'!G:G,'Country codes &amp; Data sources'!H:H,,0)</f>
        <v>Kenya</v>
      </c>
      <c r="B528" s="85" t="s">
        <v>175</v>
      </c>
      <c r="C528" s="86">
        <v>43725828.5</v>
      </c>
      <c r="D528" s="85" t="s">
        <v>126</v>
      </c>
      <c r="E528" s="87">
        <v>0</v>
      </c>
      <c r="F528" s="88">
        <v>44792368.000000007</v>
      </c>
      <c r="G528" s="87">
        <v>0</v>
      </c>
      <c r="I528" s="87">
        <v>0</v>
      </c>
      <c r="K528" s="87">
        <v>0</v>
      </c>
      <c r="M528" s="87">
        <v>0</v>
      </c>
      <c r="O528" s="87">
        <v>0</v>
      </c>
      <c r="P528" s="88">
        <v>49953303.999999993</v>
      </c>
      <c r="Q528" s="87">
        <v>0</v>
      </c>
      <c r="R528" s="87">
        <f t="shared" si="144"/>
        <v>0</v>
      </c>
      <c r="T528" s="87">
        <v>0</v>
      </c>
      <c r="V528" s="87">
        <v>0</v>
      </c>
      <c r="X528" s="87">
        <v>0</v>
      </c>
      <c r="Y528" s="88">
        <v>54027486.999999985</v>
      </c>
      <c r="Z528" s="87">
        <v>0</v>
      </c>
      <c r="AA528" s="87">
        <v>0</v>
      </c>
      <c r="AB528" s="89">
        <f t="shared" si="145"/>
        <v>0</v>
      </c>
      <c r="AC528" s="89">
        <f t="shared" si="146"/>
        <v>0</v>
      </c>
      <c r="AD528" s="89">
        <f t="shared" si="147"/>
        <v>0</v>
      </c>
      <c r="AE528" s="90">
        <f t="shared" si="148"/>
        <v>0</v>
      </c>
      <c r="AF528" s="90" t="str">
        <f t="shared" si="149"/>
        <v/>
      </c>
      <c r="AG528" s="90">
        <f t="shared" si="150"/>
        <v>0</v>
      </c>
      <c r="AH528" s="90" t="str">
        <f t="shared" si="151"/>
        <v/>
      </c>
      <c r="AI528" s="90">
        <f t="shared" si="152"/>
        <v>0</v>
      </c>
      <c r="AJ528" s="90" t="str">
        <f t="shared" si="153"/>
        <v/>
      </c>
      <c r="AK528" s="90" t="str">
        <f t="shared" si="154"/>
        <v/>
      </c>
      <c r="AL528" s="91">
        <f>IF(AK528="Adjust",(_xlfn.XLOOKUP(A528,'Adj factor'!A:A,'Adj factor'!I:I,,0)*AI528),'Master DataSheet'!AI528)</f>
        <v>0</v>
      </c>
      <c r="AM528" s="91">
        <f t="shared" si="155"/>
        <v>0</v>
      </c>
      <c r="AN528" s="92" t="str">
        <f t="shared" si="156"/>
        <v>No change</v>
      </c>
      <c r="AO528" s="93">
        <f>VLOOKUP(B528,'Growthrates source'!A$2:H$49,8,FALSE)</f>
        <v>7.1554687899516578E-2</v>
      </c>
      <c r="AP528" s="93">
        <f>VLOOKUP(B528,'Growthrates source'!A$2:I$49,9,FALSE)</f>
        <v>7.1815970063989321E-2</v>
      </c>
      <c r="AQ528" s="86">
        <f t="shared" si="157"/>
        <v>0</v>
      </c>
      <c r="AR528" s="86">
        <f t="shared" si="158"/>
        <v>0</v>
      </c>
      <c r="AS528" s="94">
        <f t="shared" si="159"/>
        <v>0</v>
      </c>
      <c r="AT528" s="94">
        <f t="shared" si="160"/>
        <v>0</v>
      </c>
      <c r="AU528" s="94">
        <f t="shared" si="161"/>
        <v>0</v>
      </c>
      <c r="AW528" s="110"/>
    </row>
    <row r="529" spans="1:49" x14ac:dyDescent="0.3">
      <c r="A529" s="85" t="str">
        <f>_xlfn.XLOOKUP(B529,'Country codes &amp; Data sources'!G:G,'Country codes &amp; Data sources'!H:H,,0)</f>
        <v>Kenya</v>
      </c>
      <c r="B529" s="85" t="s">
        <v>175</v>
      </c>
      <c r="C529" s="86">
        <v>43725829.5</v>
      </c>
      <c r="D529" s="85" t="s">
        <v>87</v>
      </c>
      <c r="E529" s="87">
        <v>0</v>
      </c>
      <c r="F529" s="88">
        <v>44792368.000000007</v>
      </c>
      <c r="G529" s="87">
        <v>0</v>
      </c>
      <c r="I529" s="87">
        <v>0</v>
      </c>
      <c r="K529" s="87">
        <v>0</v>
      </c>
      <c r="M529" s="87">
        <v>0</v>
      </c>
      <c r="O529" s="87">
        <v>0</v>
      </c>
      <c r="P529" s="88">
        <v>49953303.999999993</v>
      </c>
      <c r="Q529" s="87">
        <v>0</v>
      </c>
      <c r="R529" s="87">
        <f t="shared" si="144"/>
        <v>0</v>
      </c>
      <c r="T529" s="87">
        <v>0</v>
      </c>
      <c r="V529" s="87">
        <v>0</v>
      </c>
      <c r="X529" s="87">
        <v>0</v>
      </c>
      <c r="Y529" s="88">
        <v>54027486.999999985</v>
      </c>
      <c r="Z529" s="87">
        <v>0</v>
      </c>
      <c r="AA529" s="87">
        <v>0</v>
      </c>
      <c r="AB529" s="89">
        <f t="shared" si="145"/>
        <v>0</v>
      </c>
      <c r="AC529" s="89">
        <f t="shared" si="146"/>
        <v>0</v>
      </c>
      <c r="AD529" s="89">
        <f t="shared" si="147"/>
        <v>0</v>
      </c>
      <c r="AE529" s="90">
        <f t="shared" si="148"/>
        <v>0</v>
      </c>
      <c r="AF529" s="90" t="str">
        <f t="shared" si="149"/>
        <v/>
      </c>
      <c r="AG529" s="90">
        <f t="shared" si="150"/>
        <v>0</v>
      </c>
      <c r="AH529" s="90" t="str">
        <f t="shared" si="151"/>
        <v/>
      </c>
      <c r="AI529" s="90">
        <f t="shared" si="152"/>
        <v>0</v>
      </c>
      <c r="AJ529" s="90" t="str">
        <f t="shared" si="153"/>
        <v/>
      </c>
      <c r="AK529" s="90" t="str">
        <f t="shared" si="154"/>
        <v/>
      </c>
      <c r="AL529" s="91">
        <f>IF(AK529="Adjust",(_xlfn.XLOOKUP(A529,'Adj factor'!A:A,'Adj factor'!I:I,,0)*AI529),'Master DataSheet'!AI529)</f>
        <v>0</v>
      </c>
      <c r="AM529" s="91">
        <f t="shared" si="155"/>
        <v>0</v>
      </c>
      <c r="AN529" s="92" t="str">
        <f t="shared" si="156"/>
        <v>No change</v>
      </c>
      <c r="AO529" s="93">
        <f>VLOOKUP(B529,'Growthrates source'!A$2:H$49,8,FALSE)</f>
        <v>7.1554687899516578E-2</v>
      </c>
      <c r="AP529" s="93">
        <f>VLOOKUP(B529,'Growthrates source'!A$2:I$49,9,FALSE)</f>
        <v>7.1815970063989321E-2</v>
      </c>
      <c r="AQ529" s="86">
        <f t="shared" si="157"/>
        <v>0</v>
      </c>
      <c r="AR529" s="86">
        <f t="shared" si="158"/>
        <v>0</v>
      </c>
      <c r="AS529" s="94">
        <f t="shared" si="159"/>
        <v>0</v>
      </c>
      <c r="AT529" s="94">
        <f t="shared" si="160"/>
        <v>0</v>
      </c>
      <c r="AU529" s="94">
        <f t="shared" si="161"/>
        <v>0</v>
      </c>
      <c r="AW529" s="110"/>
    </row>
    <row r="530" spans="1:49" x14ac:dyDescent="0.3">
      <c r="A530" s="85" t="str">
        <f>_xlfn.XLOOKUP(B530,'Country codes &amp; Data sources'!G:G,'Country codes &amp; Data sources'!H:H,,0)</f>
        <v>Liberia</v>
      </c>
      <c r="B530" s="85" t="s">
        <v>176</v>
      </c>
      <c r="C530" s="86">
        <v>4331740.4999999991</v>
      </c>
      <c r="D530" s="85" t="s">
        <v>321</v>
      </c>
      <c r="E530" s="87">
        <v>0</v>
      </c>
      <c r="F530" s="88">
        <v>4427312.4999999991</v>
      </c>
      <c r="G530" s="87">
        <v>0</v>
      </c>
      <c r="H530" s="87">
        <v>4519397.9999999981</v>
      </c>
      <c r="I530" s="87">
        <v>0</v>
      </c>
      <c r="J530" s="87">
        <v>4612328.9999999972</v>
      </c>
      <c r="K530" s="87">
        <v>336</v>
      </c>
      <c r="L530" s="87">
        <v>4706097.5000000009</v>
      </c>
      <c r="M530" s="87">
        <v>468</v>
      </c>
      <c r="N530" s="87">
        <v>4796630.9999999963</v>
      </c>
      <c r="O530" s="87">
        <v>496</v>
      </c>
      <c r="P530" s="88">
        <v>4889391</v>
      </c>
      <c r="Q530" s="87">
        <v>1407</v>
      </c>
      <c r="R530" s="87">
        <f t="shared" si="144"/>
        <v>1407</v>
      </c>
      <c r="S530" s="87">
        <v>4985289.0000000075</v>
      </c>
      <c r="T530" s="87">
        <v>1508</v>
      </c>
      <c r="U530" s="87">
        <v>5087584.5000000019</v>
      </c>
      <c r="V530" s="87">
        <v>1611</v>
      </c>
      <c r="W530" s="87">
        <v>5193415.5000000019</v>
      </c>
      <c r="X530" s="87">
        <v>1861</v>
      </c>
      <c r="Y530" s="88">
        <v>5302681.0000000028</v>
      </c>
      <c r="Z530" s="87">
        <v>2025</v>
      </c>
      <c r="AA530" s="87">
        <v>246</v>
      </c>
      <c r="AB530" s="89">
        <f t="shared" si="145"/>
        <v>336</v>
      </c>
      <c r="AC530" s="89">
        <f t="shared" si="146"/>
        <v>1508</v>
      </c>
      <c r="AD530" s="89">
        <f t="shared" si="147"/>
        <v>2025</v>
      </c>
      <c r="AE530" s="90">
        <f t="shared" si="148"/>
        <v>336</v>
      </c>
      <c r="AF530" s="90">
        <f t="shared" si="149"/>
        <v>2015</v>
      </c>
      <c r="AG530" s="90">
        <f t="shared" si="150"/>
        <v>1407</v>
      </c>
      <c r="AH530" s="90">
        <f t="shared" si="151"/>
        <v>2018</v>
      </c>
      <c r="AI530" s="90">
        <f t="shared" si="152"/>
        <v>2025</v>
      </c>
      <c r="AJ530" s="90">
        <f t="shared" si="153"/>
        <v>2022</v>
      </c>
      <c r="AK530" s="90" t="str">
        <f t="shared" si="154"/>
        <v/>
      </c>
      <c r="AL530" s="91">
        <f>IF(AK530="Adjust",(_xlfn.XLOOKUP(A530,'Adj factor'!A:A,'Adj factor'!I:I,,0)*AI530),'Master DataSheet'!AI530)</f>
        <v>2025</v>
      </c>
      <c r="AM530" s="91">
        <f t="shared" si="155"/>
        <v>2025</v>
      </c>
      <c r="AN530" s="92" t="str">
        <f t="shared" si="156"/>
        <v>Increasing</v>
      </c>
      <c r="AO530" s="93">
        <f>VLOOKUP(B530,'Growthrates source'!A$2:H$49,8,FALSE)</f>
        <v>0.14269498586031326</v>
      </c>
      <c r="AP530" s="93">
        <f>VLOOKUP(B530,'Growthrates source'!A$2:I$49,9,FALSE)</f>
        <v>5.4673730437993617E-2</v>
      </c>
      <c r="AQ530" s="86">
        <f t="shared" si="157"/>
        <v>120.52492844904253</v>
      </c>
      <c r="AR530" s="86">
        <f t="shared" si="158"/>
        <v>289.84686368362378</v>
      </c>
      <c r="AS530" s="94">
        <f t="shared" si="159"/>
        <v>0.75892542033118304</v>
      </c>
      <c r="AT530" s="94">
        <f t="shared" si="160"/>
        <v>2.8776589967953066</v>
      </c>
      <c r="AU530" s="94">
        <f t="shared" si="161"/>
        <v>3.8188229689849322</v>
      </c>
    </row>
    <row r="531" spans="1:49" x14ac:dyDescent="0.3">
      <c r="A531" s="85" t="str">
        <f>_xlfn.XLOOKUP(B531,'Country codes &amp; Data sources'!G:G,'Country codes &amp; Data sources'!H:H,,0)</f>
        <v>Liberia</v>
      </c>
      <c r="B531" s="85" t="s">
        <v>176</v>
      </c>
      <c r="C531" s="86">
        <v>4331741.5</v>
      </c>
      <c r="D531" s="85" t="s">
        <v>322</v>
      </c>
      <c r="E531" s="87">
        <v>0</v>
      </c>
      <c r="F531" s="88">
        <v>4427312.4999999991</v>
      </c>
      <c r="G531" s="87">
        <v>0</v>
      </c>
      <c r="I531" s="87">
        <v>0</v>
      </c>
      <c r="K531" s="87">
        <v>0</v>
      </c>
      <c r="M531" s="87">
        <v>0</v>
      </c>
      <c r="O531" s="87">
        <v>0</v>
      </c>
      <c r="P531" s="88">
        <v>4889391</v>
      </c>
      <c r="Q531" s="87">
        <v>4526</v>
      </c>
      <c r="R531" s="87">
        <f t="shared" si="144"/>
        <v>8488</v>
      </c>
      <c r="T531" s="87">
        <v>3956</v>
      </c>
      <c r="V531" s="87">
        <v>4832</v>
      </c>
      <c r="X531" s="87">
        <v>3522</v>
      </c>
      <c r="Y531" s="88">
        <v>5302681.0000000028</v>
      </c>
      <c r="Z531" s="87">
        <v>6880</v>
      </c>
      <c r="AA531" s="87">
        <v>8488</v>
      </c>
      <c r="AB531" s="89">
        <f t="shared" si="145"/>
        <v>0</v>
      </c>
      <c r="AC531" s="89">
        <f t="shared" si="146"/>
        <v>4526</v>
      </c>
      <c r="AD531" s="89">
        <f t="shared" si="147"/>
        <v>6880</v>
      </c>
      <c r="AE531" s="90">
        <f t="shared" si="148"/>
        <v>0</v>
      </c>
      <c r="AF531" s="90" t="str">
        <f t="shared" si="149"/>
        <v/>
      </c>
      <c r="AG531" s="90">
        <f t="shared" si="150"/>
        <v>8488</v>
      </c>
      <c r="AH531" s="90" t="str">
        <f t="shared" si="151"/>
        <v>2018 (triag)</v>
      </c>
      <c r="AI531" s="90">
        <f t="shared" si="152"/>
        <v>6880</v>
      </c>
      <c r="AJ531" s="90">
        <f t="shared" si="153"/>
        <v>2022</v>
      </c>
      <c r="AK531" s="90" t="str">
        <f t="shared" si="154"/>
        <v>Adjust</v>
      </c>
      <c r="AL531" s="91">
        <f>IF(AK531="Adjust",(_xlfn.XLOOKUP(A531,'Adj factor'!A:A,'Adj factor'!I:I,,0)*AI531),'Master DataSheet'!AI531)</f>
        <v>8847.5905767668555</v>
      </c>
      <c r="AM531" s="91">
        <f t="shared" si="155"/>
        <v>8847.5905767668555</v>
      </c>
      <c r="AN531" s="92" t="str">
        <f t="shared" si="156"/>
        <v>Increasing</v>
      </c>
      <c r="AO531" s="93">
        <f>VLOOKUP(B531,'Growthrates source'!A$2:H$49,8,FALSE)</f>
        <v>0.14269498586031326</v>
      </c>
      <c r="AP531" s="93">
        <f>VLOOKUP(B531,'Growthrates source'!A$2:I$49,9,FALSE)</f>
        <v>5.4673730437993617E-2</v>
      </c>
      <c r="AQ531" s="86">
        <f t="shared" si="157"/>
        <v>4158.5999702255003</v>
      </c>
      <c r="AR531" s="86">
        <f t="shared" si="158"/>
        <v>10000.895036368287</v>
      </c>
      <c r="AS531" s="94">
        <f t="shared" si="159"/>
        <v>0</v>
      </c>
      <c r="AT531" s="94">
        <f t="shared" si="160"/>
        <v>17.360035227291089</v>
      </c>
      <c r="AU531" s="94">
        <f t="shared" si="161"/>
        <v>16.685126970237981</v>
      </c>
    </row>
    <row r="532" spans="1:49" x14ac:dyDescent="0.3">
      <c r="A532" s="85" t="str">
        <f>_xlfn.XLOOKUP(B532,'Country codes &amp; Data sources'!G:G,'Country codes &amp; Data sources'!H:H,,0)</f>
        <v>Liberia</v>
      </c>
      <c r="B532" s="85" t="s">
        <v>176</v>
      </c>
      <c r="C532" s="86">
        <v>4331742.5</v>
      </c>
      <c r="D532" s="85" t="s">
        <v>323</v>
      </c>
      <c r="E532" s="87">
        <v>0</v>
      </c>
      <c r="F532" s="88">
        <v>4427312.4999999991</v>
      </c>
      <c r="G532" s="87">
        <v>1612</v>
      </c>
      <c r="I532" s="87">
        <v>0</v>
      </c>
      <c r="K532" s="87">
        <v>0</v>
      </c>
      <c r="M532" s="87">
        <v>0</v>
      </c>
      <c r="O532" s="87">
        <v>0</v>
      </c>
      <c r="P532" s="88">
        <v>4889391</v>
      </c>
      <c r="Q532" s="87">
        <v>1784</v>
      </c>
      <c r="R532" s="87">
        <f t="shared" si="144"/>
        <v>1784</v>
      </c>
      <c r="T532" s="87">
        <v>1534</v>
      </c>
      <c r="V532" s="87">
        <v>1744</v>
      </c>
      <c r="X532" s="87">
        <v>1590</v>
      </c>
      <c r="Y532" s="88">
        <v>5302681.0000000028</v>
      </c>
      <c r="Z532" s="87">
        <v>1538</v>
      </c>
      <c r="AA532" s="87">
        <v>927</v>
      </c>
      <c r="AB532" s="89">
        <f t="shared" si="145"/>
        <v>1612</v>
      </c>
      <c r="AC532" s="89">
        <f t="shared" si="146"/>
        <v>1784</v>
      </c>
      <c r="AD532" s="89">
        <f t="shared" si="147"/>
        <v>1744</v>
      </c>
      <c r="AE532" s="90">
        <f t="shared" si="148"/>
        <v>1612</v>
      </c>
      <c r="AF532" s="90">
        <f t="shared" si="149"/>
        <v>2013</v>
      </c>
      <c r="AG532" s="90">
        <f t="shared" si="150"/>
        <v>1784</v>
      </c>
      <c r="AH532" s="90">
        <f t="shared" si="151"/>
        <v>2018</v>
      </c>
      <c r="AI532" s="90">
        <f t="shared" si="152"/>
        <v>1538</v>
      </c>
      <c r="AJ532" s="90">
        <f t="shared" si="153"/>
        <v>2022</v>
      </c>
      <c r="AK532" s="90" t="str">
        <f t="shared" si="154"/>
        <v>Adjust</v>
      </c>
      <c r="AL532" s="91">
        <f>IF(AK532="Adjust",(_xlfn.XLOOKUP(A532,'Adj factor'!A:A,'Adj factor'!I:I,,0)*AI532),'Master DataSheet'!AI532)</f>
        <v>1977.8480097481722</v>
      </c>
      <c r="AM532" s="91">
        <f t="shared" si="155"/>
        <v>1977.8480097481722</v>
      </c>
      <c r="AN532" s="92" t="str">
        <f t="shared" si="156"/>
        <v>Increasing</v>
      </c>
      <c r="AO532" s="93">
        <f>VLOOKUP(B532,'Growthrates source'!A$2:H$49,8,FALSE)</f>
        <v>0.14269498586031326</v>
      </c>
      <c r="AP532" s="93">
        <f>VLOOKUP(B532,'Growthrates source'!A$2:I$49,9,FALSE)</f>
        <v>5.4673730437993617E-2</v>
      </c>
      <c r="AQ532" s="86">
        <f t="shared" si="157"/>
        <v>454.1732059848066</v>
      </c>
      <c r="AR532" s="86">
        <f t="shared" si="158"/>
        <v>1092.2278155882898</v>
      </c>
      <c r="AS532" s="94">
        <f t="shared" si="159"/>
        <v>3.6410350523031756</v>
      </c>
      <c r="AT532" s="94">
        <f t="shared" si="160"/>
        <v>3.648716169355243</v>
      </c>
      <c r="AU532" s="94">
        <f t="shared" si="161"/>
        <v>3.7299019302654099</v>
      </c>
    </row>
    <row r="533" spans="1:49" x14ac:dyDescent="0.3">
      <c r="A533" s="85" t="str">
        <f>_xlfn.XLOOKUP(B533,'Country codes &amp; Data sources'!G:G,'Country codes &amp; Data sources'!H:H,,0)</f>
        <v>Liberia</v>
      </c>
      <c r="B533" s="85" t="s">
        <v>176</v>
      </c>
      <c r="C533" s="86">
        <v>4331743.5</v>
      </c>
      <c r="D533" s="85" t="s">
        <v>324</v>
      </c>
      <c r="E533" s="87">
        <v>0</v>
      </c>
      <c r="F533" s="88">
        <v>4427312.4999999991</v>
      </c>
      <c r="G533" s="87">
        <v>0</v>
      </c>
      <c r="I533" s="87">
        <v>998</v>
      </c>
      <c r="K533" s="87">
        <v>0</v>
      </c>
      <c r="M533" s="87">
        <v>221</v>
      </c>
      <c r="O533" s="87">
        <v>0</v>
      </c>
      <c r="P533" s="88">
        <v>4889391</v>
      </c>
      <c r="Q533" s="87">
        <v>0</v>
      </c>
      <c r="R533" s="87">
        <f t="shared" si="144"/>
        <v>1071</v>
      </c>
      <c r="T533" s="87">
        <v>235</v>
      </c>
      <c r="V533" s="87">
        <v>0</v>
      </c>
      <c r="X533" s="87">
        <v>0</v>
      </c>
      <c r="Y533" s="88">
        <v>5302681.0000000028</v>
      </c>
      <c r="Z533" s="87">
        <v>404</v>
      </c>
      <c r="AA533" s="87">
        <v>1071</v>
      </c>
      <c r="AB533" s="89">
        <f t="shared" si="145"/>
        <v>998</v>
      </c>
      <c r="AC533" s="89">
        <f t="shared" si="146"/>
        <v>235</v>
      </c>
      <c r="AD533" s="89">
        <f t="shared" si="147"/>
        <v>404</v>
      </c>
      <c r="AE533" s="90">
        <f t="shared" si="148"/>
        <v>998</v>
      </c>
      <c r="AF533" s="90">
        <f t="shared" si="149"/>
        <v>2014</v>
      </c>
      <c r="AG533" s="90">
        <f t="shared" si="150"/>
        <v>1071</v>
      </c>
      <c r="AH533" s="90" t="str">
        <f t="shared" si="151"/>
        <v>2018 (triag)</v>
      </c>
      <c r="AI533" s="90">
        <f t="shared" si="152"/>
        <v>404</v>
      </c>
      <c r="AJ533" s="90">
        <f t="shared" si="153"/>
        <v>2022</v>
      </c>
      <c r="AK533" s="90" t="str">
        <f t="shared" si="154"/>
        <v>Adjust</v>
      </c>
      <c r="AL533" s="91">
        <f>IF(AK533="Adjust",(_xlfn.XLOOKUP(A533,'Adj factor'!A:A,'Adj factor'!I:I,,0)*AI533),'Master DataSheet'!AI533)</f>
        <v>519.53874898456536</v>
      </c>
      <c r="AM533" s="91">
        <f t="shared" si="155"/>
        <v>1071</v>
      </c>
      <c r="AN533" s="92" t="str">
        <f t="shared" si="156"/>
        <v>Decreasing</v>
      </c>
      <c r="AO533" s="93">
        <f>VLOOKUP(B533,'Growthrates source'!A$2:H$49,8,FALSE)</f>
        <v>0.14269498586031326</v>
      </c>
      <c r="AP533" s="93">
        <f>VLOOKUP(B533,'Growthrates source'!A$2:I$49,9,FALSE)</f>
        <v>5.4673730437993617E-2</v>
      </c>
      <c r="AQ533" s="86">
        <f t="shared" si="157"/>
        <v>524.72438361351442</v>
      </c>
      <c r="AR533" s="86">
        <f t="shared" si="158"/>
        <v>1261.8942723787036</v>
      </c>
      <c r="AS533" s="94">
        <f t="shared" si="159"/>
        <v>2.2541891949122639</v>
      </c>
      <c r="AT533" s="94">
        <f t="shared" si="160"/>
        <v>2.1904568483068751</v>
      </c>
      <c r="AU533" s="94">
        <f t="shared" si="161"/>
        <v>2.0197330369298085</v>
      </c>
    </row>
    <row r="534" spans="1:49" x14ac:dyDescent="0.3">
      <c r="A534" s="85" t="str">
        <f>_xlfn.XLOOKUP(B534,'Country codes &amp; Data sources'!G:G,'Country codes &amp; Data sources'!H:H,,0)</f>
        <v>Liberia</v>
      </c>
      <c r="B534" s="85" t="s">
        <v>176</v>
      </c>
      <c r="C534" s="86">
        <v>4331744.5</v>
      </c>
      <c r="D534" s="85" t="s">
        <v>325</v>
      </c>
      <c r="E534" s="87">
        <v>0</v>
      </c>
      <c r="F534" s="88">
        <v>4427312.4999999991</v>
      </c>
      <c r="G534" s="87">
        <v>0</v>
      </c>
      <c r="I534" s="87">
        <v>385</v>
      </c>
      <c r="K534" s="87">
        <v>0</v>
      </c>
      <c r="M534" s="87">
        <v>57</v>
      </c>
      <c r="O534" s="87">
        <v>0</v>
      </c>
      <c r="P534" s="88">
        <v>4889391</v>
      </c>
      <c r="Q534" s="87">
        <v>0</v>
      </c>
      <c r="R534" s="87">
        <f t="shared" si="144"/>
        <v>24</v>
      </c>
      <c r="T534" s="87">
        <v>0</v>
      </c>
      <c r="V534" s="87">
        <v>0</v>
      </c>
      <c r="X534" s="87">
        <v>0</v>
      </c>
      <c r="Y534" s="88">
        <v>5302681.0000000028</v>
      </c>
      <c r="Z534" s="87">
        <v>147</v>
      </c>
      <c r="AA534" s="87">
        <v>24</v>
      </c>
      <c r="AB534" s="89">
        <f t="shared" si="145"/>
        <v>385</v>
      </c>
      <c r="AC534" s="89">
        <f t="shared" si="146"/>
        <v>57</v>
      </c>
      <c r="AD534" s="89">
        <f t="shared" si="147"/>
        <v>147</v>
      </c>
      <c r="AE534" s="90">
        <f t="shared" si="148"/>
        <v>385</v>
      </c>
      <c r="AF534" s="90">
        <f t="shared" si="149"/>
        <v>2014</v>
      </c>
      <c r="AG534" s="90">
        <f t="shared" si="150"/>
        <v>24</v>
      </c>
      <c r="AH534" s="90" t="str">
        <f t="shared" si="151"/>
        <v>2018 (triag)</v>
      </c>
      <c r="AI534" s="90">
        <f t="shared" si="152"/>
        <v>147</v>
      </c>
      <c r="AJ534" s="90">
        <f t="shared" si="153"/>
        <v>2022</v>
      </c>
      <c r="AK534" s="90" t="str">
        <f t="shared" si="154"/>
        <v/>
      </c>
      <c r="AL534" s="91">
        <f>IF(AK534="Adjust",(_xlfn.XLOOKUP(A534,'Adj factor'!A:A,'Adj factor'!I:I,,0)*AI534),'Master DataSheet'!AI534)</f>
        <v>147</v>
      </c>
      <c r="AM534" s="91">
        <f t="shared" si="155"/>
        <v>147</v>
      </c>
      <c r="AN534" s="92" t="str">
        <f t="shared" si="156"/>
        <v>Increasing</v>
      </c>
      <c r="AO534" s="93">
        <f>VLOOKUP(B534,'Growthrates source'!A$2:H$49,8,FALSE)</f>
        <v>0.14269498586031326</v>
      </c>
      <c r="AP534" s="93">
        <f>VLOOKUP(B534,'Growthrates source'!A$2:I$49,9,FALSE)</f>
        <v>5.4673730437993617E-2</v>
      </c>
      <c r="AQ534" s="86">
        <f t="shared" si="157"/>
        <v>11.758529604784638</v>
      </c>
      <c r="AR534" s="86">
        <f t="shared" si="158"/>
        <v>28.277742798402322</v>
      </c>
      <c r="AS534" s="94">
        <f t="shared" si="159"/>
        <v>0.8696020441294805</v>
      </c>
      <c r="AT534" s="94">
        <f t="shared" si="160"/>
        <v>4.9085867749173673E-2</v>
      </c>
      <c r="AU534" s="94">
        <f t="shared" si="161"/>
        <v>0.27721825997075805</v>
      </c>
    </row>
    <row r="535" spans="1:49" x14ac:dyDescent="0.3">
      <c r="A535" s="85" t="str">
        <f>_xlfn.XLOOKUP(B535,'Country codes &amp; Data sources'!G:G,'Country codes &amp; Data sources'!H:H,,0)</f>
        <v>Liberia</v>
      </c>
      <c r="B535" s="85" t="s">
        <v>176</v>
      </c>
      <c r="C535" s="86">
        <v>4331745.5</v>
      </c>
      <c r="D535" s="85" t="s">
        <v>127</v>
      </c>
      <c r="E535" s="87">
        <v>0</v>
      </c>
      <c r="F535" s="88">
        <v>4427312.4999999991</v>
      </c>
      <c r="G535" s="87">
        <v>0</v>
      </c>
      <c r="I535" s="87">
        <v>0</v>
      </c>
      <c r="K535" s="87">
        <v>0</v>
      </c>
      <c r="M535" s="87">
        <v>0</v>
      </c>
      <c r="O535" s="87">
        <v>0</v>
      </c>
      <c r="P535" s="88">
        <v>4889391</v>
      </c>
      <c r="Q535" s="87">
        <v>3391</v>
      </c>
      <c r="R535" s="87">
        <f t="shared" si="144"/>
        <v>3391</v>
      </c>
      <c r="T535" s="87">
        <v>0</v>
      </c>
      <c r="V535" s="87">
        <v>12625</v>
      </c>
      <c r="X535" s="87">
        <v>0</v>
      </c>
      <c r="Y535" s="88">
        <v>5302681.0000000028</v>
      </c>
      <c r="Z535" s="87">
        <v>0</v>
      </c>
      <c r="AA535" s="87">
        <v>3391</v>
      </c>
      <c r="AB535" s="89">
        <f t="shared" si="145"/>
        <v>0</v>
      </c>
      <c r="AC535" s="89">
        <f t="shared" si="146"/>
        <v>3391</v>
      </c>
      <c r="AD535" s="89">
        <f t="shared" si="147"/>
        <v>12625</v>
      </c>
      <c r="AE535" s="90">
        <f t="shared" si="148"/>
        <v>0</v>
      </c>
      <c r="AF535" s="90" t="str">
        <f t="shared" si="149"/>
        <v/>
      </c>
      <c r="AG535" s="90">
        <f t="shared" si="150"/>
        <v>3391</v>
      </c>
      <c r="AH535" s="90">
        <f t="shared" si="151"/>
        <v>2018</v>
      </c>
      <c r="AI535" s="90">
        <f t="shared" si="152"/>
        <v>12625</v>
      </c>
      <c r="AJ535" s="90">
        <f t="shared" si="153"/>
        <v>2020</v>
      </c>
      <c r="AK535" s="90" t="str">
        <f t="shared" si="154"/>
        <v/>
      </c>
      <c r="AL535" s="91">
        <f>IF(AK535="Adjust",(_xlfn.XLOOKUP(A535,'Adj factor'!A:A,'Adj factor'!I:I,,0)*AI535),'Master DataSheet'!AI535)</f>
        <v>12625</v>
      </c>
      <c r="AM535" s="91">
        <f t="shared" si="155"/>
        <v>12625</v>
      </c>
      <c r="AN535" s="92" t="str">
        <f t="shared" si="156"/>
        <v>Increasing</v>
      </c>
      <c r="AO535" s="93">
        <f>VLOOKUP(B535,'Growthrates source'!A$2:H$49,8,FALSE)</f>
        <v>0.14269498586031326</v>
      </c>
      <c r="AP535" s="93">
        <f>VLOOKUP(B535,'Growthrates source'!A$2:I$49,9,FALSE)</f>
        <v>5.4673730437993617E-2</v>
      </c>
      <c r="AQ535" s="86">
        <f t="shared" si="157"/>
        <v>1661.3822454093627</v>
      </c>
      <c r="AR535" s="86">
        <f t="shared" si="158"/>
        <v>3995.4094095575947</v>
      </c>
      <c r="AS535" s="94">
        <f t="shared" si="159"/>
        <v>0</v>
      </c>
      <c r="AT535" s="94">
        <f t="shared" si="160"/>
        <v>6.9354240640603297</v>
      </c>
      <c r="AU535" s="94">
        <f t="shared" si="161"/>
        <v>23.808711102930751</v>
      </c>
    </row>
    <row r="536" spans="1:49" x14ac:dyDescent="0.3">
      <c r="A536" s="85" t="str">
        <f>_xlfn.XLOOKUP(B536,'Country codes &amp; Data sources'!G:G,'Country codes &amp; Data sources'!H:H,,0)</f>
        <v>Liberia</v>
      </c>
      <c r="B536" s="85" t="s">
        <v>176</v>
      </c>
      <c r="C536" s="86">
        <v>4331746.5</v>
      </c>
      <c r="D536" s="85" t="s">
        <v>61</v>
      </c>
      <c r="E536" s="87">
        <v>0</v>
      </c>
      <c r="F536" s="88">
        <v>4427312.4999999991</v>
      </c>
      <c r="G536" s="87">
        <v>0</v>
      </c>
      <c r="I536" s="87">
        <v>0</v>
      </c>
      <c r="K536" s="87">
        <v>0</v>
      </c>
      <c r="M536" s="87">
        <v>8</v>
      </c>
      <c r="O536" s="87">
        <v>0</v>
      </c>
      <c r="P536" s="88">
        <v>4889391</v>
      </c>
      <c r="Q536" s="87">
        <v>0</v>
      </c>
      <c r="R536" s="87">
        <f t="shared" si="144"/>
        <v>0</v>
      </c>
      <c r="T536" s="87">
        <v>0</v>
      </c>
      <c r="V536" s="87">
        <v>0</v>
      </c>
      <c r="X536" s="87">
        <v>0</v>
      </c>
      <c r="Y536" s="88">
        <v>5302681.0000000028</v>
      </c>
      <c r="Z536" s="87">
        <v>0</v>
      </c>
      <c r="AA536" s="87">
        <v>0</v>
      </c>
      <c r="AB536" s="89">
        <f t="shared" si="145"/>
        <v>0</v>
      </c>
      <c r="AC536" s="89">
        <f t="shared" si="146"/>
        <v>8</v>
      </c>
      <c r="AD536" s="89">
        <f t="shared" si="147"/>
        <v>0</v>
      </c>
      <c r="AE536" s="90">
        <f t="shared" si="148"/>
        <v>0</v>
      </c>
      <c r="AF536" s="90" t="str">
        <f t="shared" si="149"/>
        <v/>
      </c>
      <c r="AG536" s="90">
        <f t="shared" si="150"/>
        <v>0</v>
      </c>
      <c r="AH536" s="90" t="str">
        <f t="shared" si="151"/>
        <v/>
      </c>
      <c r="AI536" s="90">
        <f t="shared" si="152"/>
        <v>0</v>
      </c>
      <c r="AJ536" s="90" t="str">
        <f t="shared" si="153"/>
        <v/>
      </c>
      <c r="AK536" s="90" t="str">
        <f t="shared" si="154"/>
        <v/>
      </c>
      <c r="AL536" s="91">
        <f>IF(AK536="Adjust",(_xlfn.XLOOKUP(A536,'Adj factor'!A:A,'Adj factor'!I:I,,0)*AI536),'Master DataSheet'!AI536)</f>
        <v>0</v>
      </c>
      <c r="AM536" s="91">
        <f t="shared" si="155"/>
        <v>0</v>
      </c>
      <c r="AN536" s="92" t="str">
        <f t="shared" si="156"/>
        <v>No change</v>
      </c>
      <c r="AO536" s="93">
        <f>VLOOKUP(B536,'Growthrates source'!A$2:H$49,8,FALSE)</f>
        <v>0.14269498586031326</v>
      </c>
      <c r="AP536" s="93">
        <f>VLOOKUP(B536,'Growthrates source'!A$2:I$49,9,FALSE)</f>
        <v>5.4673730437993617E-2</v>
      </c>
      <c r="AQ536" s="86">
        <f t="shared" si="157"/>
        <v>0</v>
      </c>
      <c r="AR536" s="86">
        <f t="shared" si="158"/>
        <v>0</v>
      </c>
      <c r="AS536" s="94">
        <f t="shared" si="159"/>
        <v>0</v>
      </c>
      <c r="AT536" s="94">
        <f t="shared" si="160"/>
        <v>0</v>
      </c>
      <c r="AU536" s="94">
        <f t="shared" si="161"/>
        <v>0</v>
      </c>
    </row>
    <row r="537" spans="1:49" s="95" customFormat="1" x14ac:dyDescent="0.3">
      <c r="A537" s="95" t="str">
        <f>_xlfn.XLOOKUP(B537,'Country codes &amp; Data sources'!G:G,'Country codes &amp; Data sources'!H:H,,0)</f>
        <v>Liberia</v>
      </c>
      <c r="B537" s="95" t="s">
        <v>176</v>
      </c>
      <c r="C537" s="60">
        <v>4331747.5</v>
      </c>
      <c r="D537" s="95" t="s">
        <v>62</v>
      </c>
      <c r="E537" s="96">
        <v>0</v>
      </c>
      <c r="F537" s="97">
        <v>4427312.4999999991</v>
      </c>
      <c r="G537" s="96">
        <v>0</v>
      </c>
      <c r="H537" s="96"/>
      <c r="I537" s="96">
        <v>2036</v>
      </c>
      <c r="J537" s="96"/>
      <c r="K537" s="96">
        <v>0</v>
      </c>
      <c r="L537" s="96"/>
      <c r="M537" s="96">
        <v>344</v>
      </c>
      <c r="N537" s="96"/>
      <c r="O537" s="96">
        <v>0</v>
      </c>
      <c r="P537" s="97">
        <v>4889391</v>
      </c>
      <c r="Q537" s="96">
        <v>0</v>
      </c>
      <c r="R537" s="96">
        <f t="shared" si="144"/>
        <v>285</v>
      </c>
      <c r="S537" s="96"/>
      <c r="T537" s="96">
        <v>0</v>
      </c>
      <c r="U537" s="96"/>
      <c r="V537" s="96">
        <v>0</v>
      </c>
      <c r="W537" s="96"/>
      <c r="X537" s="96">
        <v>0</v>
      </c>
      <c r="Y537" s="97">
        <v>5302681.0000000028</v>
      </c>
      <c r="Z537" s="96">
        <v>0</v>
      </c>
      <c r="AA537" s="96">
        <v>285</v>
      </c>
      <c r="AB537" s="98">
        <f t="shared" si="145"/>
        <v>2036</v>
      </c>
      <c r="AC537" s="98">
        <f t="shared" si="146"/>
        <v>344</v>
      </c>
      <c r="AD537" s="98">
        <f t="shared" si="147"/>
        <v>0</v>
      </c>
      <c r="AE537" s="99">
        <f t="shared" si="148"/>
        <v>2036</v>
      </c>
      <c r="AF537" s="99">
        <f t="shared" si="149"/>
        <v>2014</v>
      </c>
      <c r="AG537" s="99">
        <f t="shared" si="150"/>
        <v>285</v>
      </c>
      <c r="AH537" s="99" t="str">
        <f t="shared" si="151"/>
        <v>2018 (triag)</v>
      </c>
      <c r="AI537" s="99">
        <f t="shared" si="152"/>
        <v>285</v>
      </c>
      <c r="AJ537" s="99" t="str">
        <f t="shared" si="153"/>
        <v>2018 (triag)</v>
      </c>
      <c r="AK537" s="99" t="str">
        <f t="shared" si="154"/>
        <v/>
      </c>
      <c r="AL537" s="61">
        <f>IF(AK537="Adjust",(_xlfn.XLOOKUP(A537,'Adj factor'!A:A,'Adj factor'!I:I,,0)*AI537),'Master DataSheet'!AI537)</f>
        <v>285</v>
      </c>
      <c r="AM537" s="61">
        <f t="shared" si="155"/>
        <v>285</v>
      </c>
      <c r="AN537" s="62" t="str">
        <f t="shared" si="156"/>
        <v>No change</v>
      </c>
      <c r="AO537" s="100">
        <f>VLOOKUP(B537,'Growthrates source'!A$2:H$49,8,FALSE)</f>
        <v>0.14269498586031326</v>
      </c>
      <c r="AP537" s="100">
        <f>VLOOKUP(B537,'Growthrates source'!A$2:I$49,9,FALSE)</f>
        <v>5.4673730437993617E-2</v>
      </c>
      <c r="AQ537" s="60">
        <f t="shared" si="157"/>
        <v>139.63253905681756</v>
      </c>
      <c r="AR537" s="60">
        <f t="shared" si="158"/>
        <v>335.79819573102759</v>
      </c>
      <c r="AS537" s="101">
        <f t="shared" si="159"/>
        <v>4.5987266541496687</v>
      </c>
      <c r="AT537" s="102">
        <f t="shared" si="160"/>
        <v>0.58289467952143736</v>
      </c>
      <c r="AU537" s="102">
        <f t="shared" si="161"/>
        <v>0.53746397341269414</v>
      </c>
    </row>
    <row r="538" spans="1:49" x14ac:dyDescent="0.3">
      <c r="A538" s="85" t="str">
        <f>_xlfn.XLOOKUP(B538,'Country codes &amp; Data sources'!G:G,'Country codes &amp; Data sources'!H:H,,0)</f>
        <v>Liberia</v>
      </c>
      <c r="B538" s="85" t="s">
        <v>176</v>
      </c>
      <c r="C538" s="86">
        <v>4331748.5</v>
      </c>
      <c r="D538" s="85" t="s">
        <v>203</v>
      </c>
      <c r="E538" s="87">
        <v>0</v>
      </c>
      <c r="F538" s="88">
        <v>4427312.4999999991</v>
      </c>
      <c r="G538" s="87">
        <v>0</v>
      </c>
      <c r="I538" s="87">
        <v>0</v>
      </c>
      <c r="K538" s="87">
        <v>0</v>
      </c>
      <c r="M538" s="87">
        <v>0</v>
      </c>
      <c r="O538" s="87">
        <v>0</v>
      </c>
      <c r="P538" s="88">
        <v>4889391</v>
      </c>
      <c r="Q538" s="87">
        <v>0</v>
      </c>
      <c r="R538" s="87">
        <f t="shared" si="144"/>
        <v>148</v>
      </c>
      <c r="T538" s="87">
        <v>0</v>
      </c>
      <c r="V538" s="87">
        <v>0</v>
      </c>
      <c r="X538" s="87">
        <v>0</v>
      </c>
      <c r="Y538" s="88">
        <v>5302681.0000000028</v>
      </c>
      <c r="Z538" s="87">
        <v>0</v>
      </c>
      <c r="AA538" s="87">
        <v>148</v>
      </c>
      <c r="AB538" s="89">
        <f t="shared" si="145"/>
        <v>0</v>
      </c>
      <c r="AC538" s="89">
        <f t="shared" si="146"/>
        <v>0</v>
      </c>
      <c r="AD538" s="89">
        <f t="shared" si="147"/>
        <v>0</v>
      </c>
      <c r="AE538" s="90">
        <f t="shared" si="148"/>
        <v>0</v>
      </c>
      <c r="AF538" s="90" t="str">
        <f t="shared" si="149"/>
        <v/>
      </c>
      <c r="AG538" s="90">
        <f t="shared" si="150"/>
        <v>148</v>
      </c>
      <c r="AH538" s="90" t="str">
        <f t="shared" si="151"/>
        <v>2018 (triag)</v>
      </c>
      <c r="AI538" s="90">
        <f t="shared" si="152"/>
        <v>148</v>
      </c>
      <c r="AJ538" s="90" t="str">
        <f t="shared" si="153"/>
        <v>2018 (triag)</v>
      </c>
      <c r="AK538" s="90" t="str">
        <f t="shared" si="154"/>
        <v/>
      </c>
      <c r="AL538" s="91">
        <f>IF(AK538="Adjust",(_xlfn.XLOOKUP(A538,'Adj factor'!A:A,'Adj factor'!I:I,,0)*AI538),'Master DataSheet'!AI538)</f>
        <v>148</v>
      </c>
      <c r="AM538" s="91">
        <f t="shared" si="155"/>
        <v>148</v>
      </c>
      <c r="AN538" s="92" t="str">
        <f t="shared" si="156"/>
        <v>No change</v>
      </c>
      <c r="AO538" s="93">
        <f>VLOOKUP(B538,'Growthrates source'!A$2:H$49,8,FALSE)</f>
        <v>0.14269498586031326</v>
      </c>
      <c r="AP538" s="93">
        <f>VLOOKUP(B538,'Growthrates source'!A$2:I$49,9,FALSE)</f>
        <v>5.4673730437993617E-2</v>
      </c>
      <c r="AQ538" s="86">
        <f t="shared" si="157"/>
        <v>72.51093256283859</v>
      </c>
      <c r="AR538" s="86">
        <f t="shared" si="158"/>
        <v>174.379413923481</v>
      </c>
      <c r="AS538" s="94">
        <f t="shared" si="159"/>
        <v>0</v>
      </c>
      <c r="AT538" s="94">
        <f t="shared" si="160"/>
        <v>0.30269618445323765</v>
      </c>
      <c r="AU538" s="94">
        <f t="shared" si="161"/>
        <v>0.2791040984739605</v>
      </c>
    </row>
    <row r="539" spans="1:49" x14ac:dyDescent="0.3">
      <c r="A539" s="85" t="str">
        <f>_xlfn.XLOOKUP(B539,'Country codes &amp; Data sources'!G:G,'Country codes &amp; Data sources'!H:H,,0)</f>
        <v>Liberia</v>
      </c>
      <c r="B539" s="85" t="s">
        <v>176</v>
      </c>
      <c r="C539" s="86">
        <v>4331749.5</v>
      </c>
      <c r="D539" s="85" t="s">
        <v>204</v>
      </c>
      <c r="E539" s="87">
        <v>0</v>
      </c>
      <c r="F539" s="88">
        <v>4427312.4999999991</v>
      </c>
      <c r="G539" s="87">
        <v>0</v>
      </c>
      <c r="I539" s="87">
        <v>0</v>
      </c>
      <c r="K539" s="87">
        <v>0</v>
      </c>
      <c r="M539" s="87">
        <v>0</v>
      </c>
      <c r="O539" s="87">
        <v>0</v>
      </c>
      <c r="P539" s="88">
        <v>4889391</v>
      </c>
      <c r="Q539" s="87">
        <v>0</v>
      </c>
      <c r="R539" s="87">
        <f t="shared" si="144"/>
        <v>1404</v>
      </c>
      <c r="T539" s="87">
        <v>0</v>
      </c>
      <c r="V539" s="87">
        <v>0</v>
      </c>
      <c r="X539" s="87">
        <v>0</v>
      </c>
      <c r="Y539" s="88">
        <v>5302681.0000000028</v>
      </c>
      <c r="Z539" s="87">
        <v>0</v>
      </c>
      <c r="AA539" s="87">
        <v>1404</v>
      </c>
      <c r="AB539" s="89">
        <f t="shared" si="145"/>
        <v>0</v>
      </c>
      <c r="AC539" s="89">
        <f t="shared" si="146"/>
        <v>0</v>
      </c>
      <c r="AD539" s="89">
        <f t="shared" si="147"/>
        <v>0</v>
      </c>
      <c r="AE539" s="90">
        <f t="shared" si="148"/>
        <v>0</v>
      </c>
      <c r="AF539" s="90" t="str">
        <f t="shared" si="149"/>
        <v/>
      </c>
      <c r="AG539" s="90">
        <f t="shared" si="150"/>
        <v>1404</v>
      </c>
      <c r="AH539" s="90" t="str">
        <f t="shared" si="151"/>
        <v>2018 (triag)</v>
      </c>
      <c r="AI539" s="90">
        <f t="shared" si="152"/>
        <v>1404</v>
      </c>
      <c r="AJ539" s="90" t="str">
        <f t="shared" si="153"/>
        <v>2018 (triag)</v>
      </c>
      <c r="AK539" s="90" t="str">
        <f t="shared" si="154"/>
        <v/>
      </c>
      <c r="AL539" s="91">
        <f>IF(AK539="Adjust",(_xlfn.XLOOKUP(A539,'Adj factor'!A:A,'Adj factor'!I:I,,0)*AI539),'Master DataSheet'!AI539)</f>
        <v>1404</v>
      </c>
      <c r="AM539" s="91">
        <f t="shared" si="155"/>
        <v>1404</v>
      </c>
      <c r="AN539" s="92" t="str">
        <f t="shared" si="156"/>
        <v>No change</v>
      </c>
      <c r="AO539" s="93">
        <f>VLOOKUP(B539,'Growthrates source'!A$2:H$49,8,FALSE)</f>
        <v>0.14269498586031326</v>
      </c>
      <c r="AP539" s="93">
        <f>VLOOKUP(B539,'Growthrates source'!A$2:I$49,9,FALSE)</f>
        <v>5.4673730437993617E-2</v>
      </c>
      <c r="AQ539" s="86">
        <f t="shared" si="157"/>
        <v>687.87398187990129</v>
      </c>
      <c r="AR539" s="86">
        <f t="shared" si="158"/>
        <v>1654.2479537065358</v>
      </c>
      <c r="AS539" s="94">
        <f t="shared" si="159"/>
        <v>0</v>
      </c>
      <c r="AT539" s="94">
        <f t="shared" si="160"/>
        <v>2.8715232633266599</v>
      </c>
      <c r="AU539" s="94">
        <f t="shared" si="161"/>
        <v>2.6477172584962196</v>
      </c>
    </row>
    <row r="540" spans="1:49" x14ac:dyDescent="0.3">
      <c r="A540" s="85" t="str">
        <f>_xlfn.XLOOKUP(B540,'Country codes &amp; Data sources'!G:G,'Country codes &amp; Data sources'!H:H,,0)</f>
        <v>Liberia</v>
      </c>
      <c r="B540" s="85" t="s">
        <v>176</v>
      </c>
      <c r="C540" s="86">
        <v>4331750.5</v>
      </c>
      <c r="D540" s="85" t="s">
        <v>205</v>
      </c>
      <c r="E540" s="87">
        <v>0</v>
      </c>
      <c r="F540" s="88">
        <v>4427312.4999999991</v>
      </c>
      <c r="G540" s="87">
        <v>0</v>
      </c>
      <c r="I540" s="87">
        <v>0</v>
      </c>
      <c r="K540" s="87">
        <v>0</v>
      </c>
      <c r="M540" s="87">
        <v>0</v>
      </c>
      <c r="O540" s="87">
        <v>0</v>
      </c>
      <c r="P540" s="88">
        <v>4889391</v>
      </c>
      <c r="Q540" s="87">
        <v>0</v>
      </c>
      <c r="R540" s="87">
        <f t="shared" si="144"/>
        <v>0</v>
      </c>
      <c r="T540" s="87">
        <v>0</v>
      </c>
      <c r="V540" s="87">
        <v>0</v>
      </c>
      <c r="X540" s="87">
        <v>0</v>
      </c>
      <c r="Y540" s="88">
        <v>5302681.0000000028</v>
      </c>
      <c r="Z540" s="87">
        <v>0</v>
      </c>
      <c r="AA540" s="87">
        <v>0</v>
      </c>
      <c r="AB540" s="89">
        <f t="shared" si="145"/>
        <v>0</v>
      </c>
      <c r="AC540" s="89">
        <f t="shared" si="146"/>
        <v>0</v>
      </c>
      <c r="AD540" s="89">
        <f t="shared" si="147"/>
        <v>0</v>
      </c>
      <c r="AE540" s="90">
        <f t="shared" si="148"/>
        <v>0</v>
      </c>
      <c r="AF540" s="90" t="str">
        <f t="shared" si="149"/>
        <v/>
      </c>
      <c r="AG540" s="90">
        <f t="shared" si="150"/>
        <v>0</v>
      </c>
      <c r="AH540" s="90" t="str">
        <f t="shared" si="151"/>
        <v/>
      </c>
      <c r="AI540" s="90">
        <f t="shared" si="152"/>
        <v>0</v>
      </c>
      <c r="AJ540" s="90" t="str">
        <f t="shared" si="153"/>
        <v/>
      </c>
      <c r="AK540" s="90" t="str">
        <f t="shared" si="154"/>
        <v/>
      </c>
      <c r="AL540" s="91">
        <f>IF(AK540="Adjust",(_xlfn.XLOOKUP(A540,'Adj factor'!A:A,'Adj factor'!I:I,,0)*AI540),'Master DataSheet'!AI540)</f>
        <v>0</v>
      </c>
      <c r="AM540" s="91">
        <f t="shared" si="155"/>
        <v>0</v>
      </c>
      <c r="AN540" s="92" t="str">
        <f t="shared" si="156"/>
        <v>No change</v>
      </c>
      <c r="AO540" s="93">
        <f>VLOOKUP(B540,'Growthrates source'!A$2:H$49,8,FALSE)</f>
        <v>0.14269498586031326</v>
      </c>
      <c r="AP540" s="93">
        <f>VLOOKUP(B540,'Growthrates source'!A$2:I$49,9,FALSE)</f>
        <v>5.4673730437993617E-2</v>
      </c>
      <c r="AQ540" s="86">
        <f t="shared" si="157"/>
        <v>0</v>
      </c>
      <c r="AR540" s="86">
        <f t="shared" si="158"/>
        <v>0</v>
      </c>
      <c r="AS540" s="94">
        <f t="shared" si="159"/>
        <v>0</v>
      </c>
      <c r="AT540" s="94">
        <f t="shared" si="160"/>
        <v>0</v>
      </c>
      <c r="AU540" s="94">
        <f t="shared" si="161"/>
        <v>0</v>
      </c>
    </row>
    <row r="541" spans="1:49" x14ac:dyDescent="0.3">
      <c r="A541" s="85" t="str">
        <f>_xlfn.XLOOKUP(B541,'Country codes &amp; Data sources'!G:G,'Country codes &amp; Data sources'!H:H,,0)</f>
        <v>Liberia</v>
      </c>
      <c r="B541" s="85" t="s">
        <v>176</v>
      </c>
      <c r="C541" s="86">
        <v>4331751.5</v>
      </c>
      <c r="D541" s="85" t="s">
        <v>133</v>
      </c>
      <c r="E541" s="87">
        <v>0</v>
      </c>
      <c r="F541" s="88">
        <v>4427312.4999999991</v>
      </c>
      <c r="G541" s="87">
        <v>0</v>
      </c>
      <c r="I541" s="87">
        <v>0</v>
      </c>
      <c r="K541" s="87">
        <v>0</v>
      </c>
      <c r="M541" s="87">
        <v>0</v>
      </c>
      <c r="O541" s="87">
        <v>0</v>
      </c>
      <c r="P541" s="88">
        <v>4889391</v>
      </c>
      <c r="Q541" s="87">
        <v>0</v>
      </c>
      <c r="R541" s="87">
        <f t="shared" si="144"/>
        <v>115</v>
      </c>
      <c r="T541" s="87">
        <v>0</v>
      </c>
      <c r="V541" s="87">
        <v>0</v>
      </c>
      <c r="X541" s="87">
        <v>0</v>
      </c>
      <c r="Y541" s="88">
        <v>5302681.0000000028</v>
      </c>
      <c r="Z541" s="87">
        <v>0</v>
      </c>
      <c r="AA541" s="87">
        <v>115</v>
      </c>
      <c r="AB541" s="89">
        <f t="shared" si="145"/>
        <v>0</v>
      </c>
      <c r="AC541" s="89">
        <f t="shared" si="146"/>
        <v>0</v>
      </c>
      <c r="AD541" s="89">
        <f t="shared" si="147"/>
        <v>0</v>
      </c>
      <c r="AE541" s="90">
        <f t="shared" si="148"/>
        <v>0</v>
      </c>
      <c r="AF541" s="90" t="str">
        <f t="shared" si="149"/>
        <v/>
      </c>
      <c r="AG541" s="90">
        <f t="shared" si="150"/>
        <v>115</v>
      </c>
      <c r="AH541" s="90" t="str">
        <f t="shared" si="151"/>
        <v>2018 (triag)</v>
      </c>
      <c r="AI541" s="90">
        <f t="shared" si="152"/>
        <v>115</v>
      </c>
      <c r="AJ541" s="90" t="str">
        <f t="shared" si="153"/>
        <v>2018 (triag)</v>
      </c>
      <c r="AK541" s="90" t="str">
        <f t="shared" si="154"/>
        <v/>
      </c>
      <c r="AL541" s="91">
        <f>IF(AK541="Adjust",(_xlfn.XLOOKUP(A541,'Adj factor'!A:A,'Adj factor'!I:I,,0)*AI541),'Master DataSheet'!AI541)</f>
        <v>115</v>
      </c>
      <c r="AM541" s="91">
        <f t="shared" si="155"/>
        <v>115</v>
      </c>
      <c r="AN541" s="92" t="str">
        <f t="shared" si="156"/>
        <v>No change</v>
      </c>
      <c r="AO541" s="93">
        <f>VLOOKUP(B541,'Growthrates source'!A$2:H$49,8,FALSE)</f>
        <v>0.14269498586031326</v>
      </c>
      <c r="AP541" s="93">
        <f>VLOOKUP(B541,'Growthrates source'!A$2:I$49,9,FALSE)</f>
        <v>5.4673730437993617E-2</v>
      </c>
      <c r="AQ541" s="86">
        <f t="shared" si="157"/>
        <v>56.342954356259717</v>
      </c>
      <c r="AR541" s="86">
        <f t="shared" si="158"/>
        <v>135.49751757567779</v>
      </c>
      <c r="AS541" s="94">
        <f t="shared" si="159"/>
        <v>0</v>
      </c>
      <c r="AT541" s="94">
        <f t="shared" si="160"/>
        <v>0.23520311629812385</v>
      </c>
      <c r="AU541" s="94">
        <f t="shared" si="161"/>
        <v>0.21687142786828009</v>
      </c>
    </row>
    <row r="542" spans="1:49" x14ac:dyDescent="0.3">
      <c r="A542" s="85" t="str">
        <f>_xlfn.XLOOKUP(B542,'Country codes &amp; Data sources'!G:G,'Country codes &amp; Data sources'!H:H,,0)</f>
        <v>Liberia</v>
      </c>
      <c r="B542" s="85" t="s">
        <v>176</v>
      </c>
      <c r="C542" s="86">
        <v>4331752.5</v>
      </c>
      <c r="D542" s="85" t="s">
        <v>206</v>
      </c>
      <c r="E542" s="87">
        <v>0</v>
      </c>
      <c r="F542" s="88">
        <v>4427312.4999999991</v>
      </c>
      <c r="G542" s="87">
        <v>0</v>
      </c>
      <c r="I542" s="87">
        <v>0</v>
      </c>
      <c r="K542" s="87">
        <v>0</v>
      </c>
      <c r="M542" s="87">
        <v>0</v>
      </c>
      <c r="O542" s="87">
        <v>0</v>
      </c>
      <c r="P542" s="88">
        <v>4889391</v>
      </c>
      <c r="Q542" s="87">
        <v>0</v>
      </c>
      <c r="R542" s="87">
        <f t="shared" si="144"/>
        <v>527</v>
      </c>
      <c r="T542" s="87">
        <v>0</v>
      </c>
      <c r="V542" s="87">
        <v>0</v>
      </c>
      <c r="X542" s="87">
        <v>0</v>
      </c>
      <c r="Y542" s="88">
        <v>5302681.0000000028</v>
      </c>
      <c r="Z542" s="87">
        <v>0</v>
      </c>
      <c r="AA542" s="87">
        <v>527</v>
      </c>
      <c r="AB542" s="89">
        <f t="shared" si="145"/>
        <v>0</v>
      </c>
      <c r="AC542" s="89">
        <f t="shared" si="146"/>
        <v>0</v>
      </c>
      <c r="AD542" s="89">
        <f t="shared" si="147"/>
        <v>0</v>
      </c>
      <c r="AE542" s="90">
        <f t="shared" si="148"/>
        <v>0</v>
      </c>
      <c r="AF542" s="90" t="str">
        <f t="shared" si="149"/>
        <v/>
      </c>
      <c r="AG542" s="90">
        <f t="shared" si="150"/>
        <v>527</v>
      </c>
      <c r="AH542" s="90" t="str">
        <f t="shared" si="151"/>
        <v>2018 (triag)</v>
      </c>
      <c r="AI542" s="90">
        <f t="shared" si="152"/>
        <v>527</v>
      </c>
      <c r="AJ542" s="90" t="str">
        <f t="shared" si="153"/>
        <v>2018 (triag)</v>
      </c>
      <c r="AK542" s="90" t="str">
        <f t="shared" si="154"/>
        <v/>
      </c>
      <c r="AL542" s="91">
        <f>IF(AK542="Adjust",(_xlfn.XLOOKUP(A542,'Adj factor'!A:A,'Adj factor'!I:I,,0)*AI542),'Master DataSheet'!AI542)</f>
        <v>527</v>
      </c>
      <c r="AM542" s="91">
        <f t="shared" si="155"/>
        <v>527</v>
      </c>
      <c r="AN542" s="92" t="str">
        <f t="shared" si="156"/>
        <v>No change</v>
      </c>
      <c r="AO542" s="93">
        <f>VLOOKUP(B542,'Growthrates source'!A$2:H$49,8,FALSE)</f>
        <v>0.14269498586031326</v>
      </c>
      <c r="AP542" s="93">
        <f>VLOOKUP(B542,'Growthrates source'!A$2:I$49,9,FALSE)</f>
        <v>5.4673730437993617E-2</v>
      </c>
      <c r="AQ542" s="86">
        <f t="shared" si="157"/>
        <v>258.19771257172931</v>
      </c>
      <c r="AR542" s="86">
        <f t="shared" si="158"/>
        <v>620.93210228158432</v>
      </c>
      <c r="AS542" s="94">
        <f t="shared" si="159"/>
        <v>0</v>
      </c>
      <c r="AT542" s="94">
        <f t="shared" si="160"/>
        <v>1.0778438459922719</v>
      </c>
      <c r="AU542" s="94">
        <f t="shared" si="161"/>
        <v>0.99383689118768359</v>
      </c>
    </row>
    <row r="543" spans="1:49" x14ac:dyDescent="0.3">
      <c r="A543" s="85" t="str">
        <f>_xlfn.XLOOKUP(B543,'Country codes &amp; Data sources'!G:G,'Country codes &amp; Data sources'!H:H,,0)</f>
        <v>Liberia</v>
      </c>
      <c r="B543" s="85" t="s">
        <v>176</v>
      </c>
      <c r="C543" s="86">
        <v>4331753.5</v>
      </c>
      <c r="D543" s="85" t="s">
        <v>136</v>
      </c>
      <c r="E543" s="87">
        <v>0</v>
      </c>
      <c r="F543" s="88">
        <v>4427312.4999999991</v>
      </c>
      <c r="G543" s="87">
        <v>0</v>
      </c>
      <c r="I543" s="87">
        <v>0</v>
      </c>
      <c r="K543" s="87">
        <v>0</v>
      </c>
      <c r="M543" s="87">
        <v>0</v>
      </c>
      <c r="O543" s="87">
        <v>0</v>
      </c>
      <c r="P543" s="88">
        <v>4889391</v>
      </c>
      <c r="Q543" s="87">
        <v>0</v>
      </c>
      <c r="R543" s="87">
        <f t="shared" si="144"/>
        <v>9</v>
      </c>
      <c r="T543" s="87">
        <v>0</v>
      </c>
      <c r="V543" s="87">
        <v>0</v>
      </c>
      <c r="X543" s="87">
        <v>0</v>
      </c>
      <c r="Y543" s="88">
        <v>5302681.0000000028</v>
      </c>
      <c r="Z543" s="87">
        <v>0</v>
      </c>
      <c r="AA543" s="87">
        <v>9</v>
      </c>
      <c r="AB543" s="89">
        <f t="shared" si="145"/>
        <v>0</v>
      </c>
      <c r="AC543" s="89">
        <f t="shared" si="146"/>
        <v>0</v>
      </c>
      <c r="AD543" s="89">
        <f t="shared" si="147"/>
        <v>0</v>
      </c>
      <c r="AE543" s="90">
        <f t="shared" si="148"/>
        <v>0</v>
      </c>
      <c r="AF543" s="90" t="str">
        <f t="shared" si="149"/>
        <v/>
      </c>
      <c r="AG543" s="90">
        <f t="shared" si="150"/>
        <v>9</v>
      </c>
      <c r="AH543" s="90" t="str">
        <f t="shared" si="151"/>
        <v>2018 (triag)</v>
      </c>
      <c r="AI543" s="90">
        <f t="shared" si="152"/>
        <v>9</v>
      </c>
      <c r="AJ543" s="90" t="str">
        <f t="shared" si="153"/>
        <v>2018 (triag)</v>
      </c>
      <c r="AK543" s="90" t="str">
        <f t="shared" si="154"/>
        <v/>
      </c>
      <c r="AL543" s="91">
        <f>IF(AK543="Adjust",(_xlfn.XLOOKUP(A543,'Adj factor'!A:A,'Adj factor'!I:I,,0)*AI543),'Master DataSheet'!AI543)</f>
        <v>9</v>
      </c>
      <c r="AM543" s="91">
        <f t="shared" si="155"/>
        <v>9</v>
      </c>
      <c r="AN543" s="92" t="str">
        <f t="shared" si="156"/>
        <v>No change</v>
      </c>
      <c r="AO543" s="93">
        <f>VLOOKUP(B543,'Growthrates source'!A$2:H$49,8,FALSE)</f>
        <v>0.14269498586031326</v>
      </c>
      <c r="AP543" s="93">
        <f>VLOOKUP(B543,'Growthrates source'!A$2:I$49,9,FALSE)</f>
        <v>5.4673730437993617E-2</v>
      </c>
      <c r="AQ543" s="86">
        <f t="shared" si="157"/>
        <v>4.4094486017942387</v>
      </c>
      <c r="AR543" s="86">
        <f t="shared" si="158"/>
        <v>10.60415354940087</v>
      </c>
      <c r="AS543" s="94">
        <f t="shared" si="159"/>
        <v>0</v>
      </c>
      <c r="AT543" s="94">
        <f t="shared" si="160"/>
        <v>1.8407200405940127E-2</v>
      </c>
      <c r="AU543" s="94">
        <f t="shared" si="161"/>
        <v>1.6972546528821922E-2</v>
      </c>
    </row>
    <row r="544" spans="1:49" x14ac:dyDescent="0.3">
      <c r="A544" s="85" t="str">
        <f>_xlfn.XLOOKUP(B544,'Country codes &amp; Data sources'!G:G,'Country codes &amp; Data sources'!H:H,,0)</f>
        <v>Liberia</v>
      </c>
      <c r="B544" s="85" t="s">
        <v>176</v>
      </c>
      <c r="C544" s="86">
        <v>4331754.5</v>
      </c>
      <c r="D544" s="85" t="s">
        <v>207</v>
      </c>
      <c r="E544" s="87">
        <v>0</v>
      </c>
      <c r="F544" s="88">
        <v>4427312.4999999991</v>
      </c>
      <c r="G544" s="87">
        <v>0</v>
      </c>
      <c r="I544" s="87">
        <v>0</v>
      </c>
      <c r="K544" s="87">
        <v>0</v>
      </c>
      <c r="M544" s="87">
        <v>0</v>
      </c>
      <c r="O544" s="87">
        <v>0</v>
      </c>
      <c r="P544" s="88">
        <v>4889391</v>
      </c>
      <c r="Q544" s="87">
        <v>0</v>
      </c>
      <c r="R544" s="87">
        <f t="shared" si="144"/>
        <v>65</v>
      </c>
      <c r="T544" s="87">
        <v>0</v>
      </c>
      <c r="V544" s="87">
        <v>0</v>
      </c>
      <c r="X544" s="87">
        <v>0</v>
      </c>
      <c r="Y544" s="88">
        <v>5302681.0000000028</v>
      </c>
      <c r="Z544" s="87">
        <v>0</v>
      </c>
      <c r="AA544" s="87">
        <v>65</v>
      </c>
      <c r="AB544" s="89">
        <f t="shared" si="145"/>
        <v>0</v>
      </c>
      <c r="AC544" s="89">
        <f t="shared" si="146"/>
        <v>0</v>
      </c>
      <c r="AD544" s="89">
        <f t="shared" si="147"/>
        <v>0</v>
      </c>
      <c r="AE544" s="90">
        <f t="shared" si="148"/>
        <v>0</v>
      </c>
      <c r="AF544" s="90" t="str">
        <f t="shared" si="149"/>
        <v/>
      </c>
      <c r="AG544" s="90">
        <f t="shared" si="150"/>
        <v>65</v>
      </c>
      <c r="AH544" s="90" t="str">
        <f t="shared" si="151"/>
        <v>2018 (triag)</v>
      </c>
      <c r="AI544" s="90">
        <f t="shared" si="152"/>
        <v>65</v>
      </c>
      <c r="AJ544" s="90" t="str">
        <f t="shared" si="153"/>
        <v>2018 (triag)</v>
      </c>
      <c r="AK544" s="90" t="str">
        <f t="shared" si="154"/>
        <v/>
      </c>
      <c r="AL544" s="91">
        <f>IF(AK544="Adjust",(_xlfn.XLOOKUP(A544,'Adj factor'!A:A,'Adj factor'!I:I,,0)*AI544),'Master DataSheet'!AI544)</f>
        <v>65</v>
      </c>
      <c r="AM544" s="91">
        <f t="shared" si="155"/>
        <v>65</v>
      </c>
      <c r="AN544" s="92" t="str">
        <f t="shared" si="156"/>
        <v>No change</v>
      </c>
      <c r="AO544" s="93">
        <f>VLOOKUP(B544,'Growthrates source'!A$2:H$49,8,FALSE)</f>
        <v>0.14269498586031326</v>
      </c>
      <c r="AP544" s="93">
        <f>VLOOKUP(B544,'Growthrates source'!A$2:I$49,9,FALSE)</f>
        <v>5.4673730437993617E-2</v>
      </c>
      <c r="AQ544" s="86">
        <f t="shared" si="157"/>
        <v>31.84601767962506</v>
      </c>
      <c r="AR544" s="86">
        <f t="shared" si="158"/>
        <v>76.585553412339621</v>
      </c>
      <c r="AS544" s="94">
        <f t="shared" si="159"/>
        <v>0</v>
      </c>
      <c r="AT544" s="94">
        <f t="shared" si="160"/>
        <v>0.1329408918206787</v>
      </c>
      <c r="AU544" s="94">
        <f t="shared" si="161"/>
        <v>0.12257950270815832</v>
      </c>
    </row>
    <row r="545" spans="1:47" x14ac:dyDescent="0.3">
      <c r="A545" s="85" t="str">
        <f>_xlfn.XLOOKUP(B545,'Country codes &amp; Data sources'!G:G,'Country codes &amp; Data sources'!H:H,,0)</f>
        <v>Liberia</v>
      </c>
      <c r="B545" s="85" t="s">
        <v>176</v>
      </c>
      <c r="C545" s="86">
        <v>4331755.5</v>
      </c>
      <c r="D545" s="85" t="s">
        <v>141</v>
      </c>
      <c r="E545" s="87">
        <v>0</v>
      </c>
      <c r="F545" s="88">
        <v>4427312.4999999991</v>
      </c>
      <c r="G545" s="87">
        <v>0</v>
      </c>
      <c r="I545" s="87">
        <v>0</v>
      </c>
      <c r="K545" s="87">
        <v>0</v>
      </c>
      <c r="M545" s="87">
        <v>0</v>
      </c>
      <c r="O545" s="87">
        <v>0</v>
      </c>
      <c r="P545" s="88">
        <v>4889391</v>
      </c>
      <c r="Q545" s="87">
        <v>0</v>
      </c>
      <c r="R545" s="87">
        <f t="shared" si="144"/>
        <v>5</v>
      </c>
      <c r="T545" s="87">
        <v>0</v>
      </c>
      <c r="V545" s="87">
        <v>0</v>
      </c>
      <c r="X545" s="87">
        <v>0</v>
      </c>
      <c r="Y545" s="88">
        <v>5302681.0000000028</v>
      </c>
      <c r="Z545" s="87">
        <v>0</v>
      </c>
      <c r="AA545" s="87">
        <v>5</v>
      </c>
      <c r="AB545" s="89">
        <f t="shared" si="145"/>
        <v>0</v>
      </c>
      <c r="AC545" s="89">
        <f t="shared" si="146"/>
        <v>0</v>
      </c>
      <c r="AD545" s="89">
        <f t="shared" si="147"/>
        <v>0</v>
      </c>
      <c r="AE545" s="90">
        <f t="shared" si="148"/>
        <v>0</v>
      </c>
      <c r="AF545" s="90" t="str">
        <f t="shared" si="149"/>
        <v/>
      </c>
      <c r="AG545" s="90">
        <f t="shared" si="150"/>
        <v>5</v>
      </c>
      <c r="AH545" s="90" t="str">
        <f t="shared" si="151"/>
        <v>2018 (triag)</v>
      </c>
      <c r="AI545" s="90">
        <f t="shared" si="152"/>
        <v>5</v>
      </c>
      <c r="AJ545" s="90" t="str">
        <f t="shared" si="153"/>
        <v>2018 (triag)</v>
      </c>
      <c r="AK545" s="90" t="str">
        <f t="shared" si="154"/>
        <v/>
      </c>
      <c r="AL545" s="91">
        <f>IF(AK545="Adjust",(_xlfn.XLOOKUP(A545,'Adj factor'!A:A,'Adj factor'!I:I,,0)*AI545),'Master DataSheet'!AI545)</f>
        <v>5</v>
      </c>
      <c r="AM545" s="91">
        <f t="shared" si="155"/>
        <v>5</v>
      </c>
      <c r="AN545" s="92" t="str">
        <f t="shared" si="156"/>
        <v>No change</v>
      </c>
      <c r="AO545" s="93">
        <f>VLOOKUP(B545,'Growthrates source'!A$2:H$49,8,FALSE)</f>
        <v>0.14269498586031326</v>
      </c>
      <c r="AP545" s="93">
        <f>VLOOKUP(B545,'Growthrates source'!A$2:I$49,9,FALSE)</f>
        <v>5.4673730437993617E-2</v>
      </c>
      <c r="AQ545" s="86">
        <f t="shared" si="157"/>
        <v>2.4496936676634662</v>
      </c>
      <c r="AR545" s="86">
        <f t="shared" si="158"/>
        <v>5.8911964163338171</v>
      </c>
      <c r="AS545" s="94">
        <f t="shared" si="159"/>
        <v>0</v>
      </c>
      <c r="AT545" s="94">
        <f t="shared" si="160"/>
        <v>1.0226222447744515E-2</v>
      </c>
      <c r="AU545" s="94">
        <f t="shared" si="161"/>
        <v>9.4291925160121786E-3</v>
      </c>
    </row>
    <row r="546" spans="1:47" x14ac:dyDescent="0.3">
      <c r="A546" s="85" t="str">
        <f>_xlfn.XLOOKUP(B546,'Country codes &amp; Data sources'!G:G,'Country codes &amp; Data sources'!H:H,,0)</f>
        <v>Liberia</v>
      </c>
      <c r="B546" s="85" t="s">
        <v>176</v>
      </c>
      <c r="C546" s="86">
        <v>4331756.5</v>
      </c>
      <c r="D546" s="85" t="s">
        <v>208</v>
      </c>
      <c r="E546" s="87">
        <v>0</v>
      </c>
      <c r="F546" s="88">
        <v>4427312.4999999991</v>
      </c>
      <c r="G546" s="87">
        <v>0</v>
      </c>
      <c r="I546" s="87">
        <v>0</v>
      </c>
      <c r="K546" s="87">
        <v>0</v>
      </c>
      <c r="M546" s="87">
        <v>0</v>
      </c>
      <c r="O546" s="87">
        <v>0</v>
      </c>
      <c r="P546" s="88">
        <v>4889391</v>
      </c>
      <c r="Q546" s="87">
        <v>0</v>
      </c>
      <c r="R546" s="87">
        <f t="shared" si="144"/>
        <v>4311</v>
      </c>
      <c r="T546" s="87">
        <v>0</v>
      </c>
      <c r="V546" s="87">
        <v>0</v>
      </c>
      <c r="X546" s="87">
        <v>0</v>
      </c>
      <c r="Y546" s="88">
        <v>5302681.0000000028</v>
      </c>
      <c r="Z546" s="87">
        <v>0</v>
      </c>
      <c r="AA546" s="87">
        <v>4311</v>
      </c>
      <c r="AB546" s="89">
        <f t="shared" si="145"/>
        <v>0</v>
      </c>
      <c r="AC546" s="89">
        <f t="shared" si="146"/>
        <v>0</v>
      </c>
      <c r="AD546" s="89">
        <f t="shared" si="147"/>
        <v>0</v>
      </c>
      <c r="AE546" s="90">
        <f t="shared" si="148"/>
        <v>0</v>
      </c>
      <c r="AF546" s="90" t="str">
        <f t="shared" si="149"/>
        <v/>
      </c>
      <c r="AG546" s="90">
        <f t="shared" si="150"/>
        <v>4311</v>
      </c>
      <c r="AH546" s="90" t="str">
        <f t="shared" si="151"/>
        <v>2018 (triag)</v>
      </c>
      <c r="AI546" s="90">
        <f t="shared" si="152"/>
        <v>4311</v>
      </c>
      <c r="AJ546" s="90" t="str">
        <f t="shared" si="153"/>
        <v>2018 (triag)</v>
      </c>
      <c r="AK546" s="90" t="str">
        <f t="shared" si="154"/>
        <v/>
      </c>
      <c r="AL546" s="91">
        <f>IF(AK546="Adjust",(_xlfn.XLOOKUP(A546,'Adj factor'!A:A,'Adj factor'!I:I,,0)*AI546),'Master DataSheet'!AI546)</f>
        <v>4311</v>
      </c>
      <c r="AM546" s="91">
        <f t="shared" si="155"/>
        <v>4311</v>
      </c>
      <c r="AN546" s="92" t="str">
        <f t="shared" si="156"/>
        <v>No change</v>
      </c>
      <c r="AO546" s="93">
        <f>VLOOKUP(B546,'Growthrates source'!A$2:H$49,8,FALSE)</f>
        <v>0.14269498586031326</v>
      </c>
      <c r="AP546" s="93">
        <f>VLOOKUP(B546,'Growthrates source'!A$2:I$49,9,FALSE)</f>
        <v>5.4673730437993617E-2</v>
      </c>
      <c r="AQ546" s="86">
        <f t="shared" si="157"/>
        <v>2112.1258802594407</v>
      </c>
      <c r="AR546" s="86">
        <f t="shared" si="158"/>
        <v>5079.3895501630168</v>
      </c>
      <c r="AS546" s="94">
        <f t="shared" si="159"/>
        <v>0</v>
      </c>
      <c r="AT546" s="94">
        <f t="shared" si="160"/>
        <v>8.8170489944453205</v>
      </c>
      <c r="AU546" s="94">
        <f t="shared" si="161"/>
        <v>8.1298497873056998</v>
      </c>
    </row>
    <row r="547" spans="1:47" x14ac:dyDescent="0.3">
      <c r="A547" s="85" t="str">
        <f>_xlfn.XLOOKUP(B547,'Country codes &amp; Data sources'!G:G,'Country codes &amp; Data sources'!H:H,,0)</f>
        <v>Liberia</v>
      </c>
      <c r="B547" s="85" t="s">
        <v>176</v>
      </c>
      <c r="C547" s="86">
        <v>4331757.5</v>
      </c>
      <c r="D547" s="85" t="s">
        <v>209</v>
      </c>
      <c r="E547" s="87">
        <v>0</v>
      </c>
      <c r="F547" s="88">
        <v>4427312.4999999991</v>
      </c>
      <c r="G547" s="87">
        <v>0</v>
      </c>
      <c r="I547" s="87">
        <v>0</v>
      </c>
      <c r="K547" s="87">
        <v>0</v>
      </c>
      <c r="M547" s="87">
        <v>0</v>
      </c>
      <c r="O547" s="87">
        <v>0</v>
      </c>
      <c r="P547" s="88">
        <v>4889391</v>
      </c>
      <c r="Q547" s="87">
        <v>0</v>
      </c>
      <c r="R547" s="87">
        <f t="shared" si="144"/>
        <v>3601</v>
      </c>
      <c r="T547" s="87">
        <v>0</v>
      </c>
      <c r="V547" s="87">
        <v>0</v>
      </c>
      <c r="X547" s="87">
        <v>0</v>
      </c>
      <c r="Y547" s="88">
        <v>5302681.0000000028</v>
      </c>
      <c r="Z547" s="87">
        <v>0</v>
      </c>
      <c r="AA547" s="87">
        <v>3601</v>
      </c>
      <c r="AB547" s="89">
        <f t="shared" si="145"/>
        <v>0</v>
      </c>
      <c r="AC547" s="89">
        <f t="shared" si="146"/>
        <v>0</v>
      </c>
      <c r="AD547" s="89">
        <f t="shared" si="147"/>
        <v>0</v>
      </c>
      <c r="AE547" s="90">
        <f t="shared" si="148"/>
        <v>0</v>
      </c>
      <c r="AF547" s="90" t="str">
        <f t="shared" si="149"/>
        <v/>
      </c>
      <c r="AG547" s="90">
        <f t="shared" si="150"/>
        <v>3601</v>
      </c>
      <c r="AH547" s="90" t="str">
        <f t="shared" si="151"/>
        <v>2018 (triag)</v>
      </c>
      <c r="AI547" s="90">
        <f t="shared" si="152"/>
        <v>3601</v>
      </c>
      <c r="AJ547" s="90" t="str">
        <f t="shared" si="153"/>
        <v>2018 (triag)</v>
      </c>
      <c r="AK547" s="90" t="str">
        <f t="shared" si="154"/>
        <v/>
      </c>
      <c r="AL547" s="91">
        <f>IF(AK547="Adjust",(_xlfn.XLOOKUP(A547,'Adj factor'!A:A,'Adj factor'!I:I,,0)*AI547),'Master DataSheet'!AI547)</f>
        <v>3601</v>
      </c>
      <c r="AM547" s="91">
        <f t="shared" si="155"/>
        <v>3601</v>
      </c>
      <c r="AN547" s="92" t="str">
        <f t="shared" si="156"/>
        <v>No change</v>
      </c>
      <c r="AO547" s="93">
        <f>VLOOKUP(B547,'Growthrates source'!A$2:H$49,8,FALSE)</f>
        <v>0.14269498586031326</v>
      </c>
      <c r="AP547" s="93">
        <f>VLOOKUP(B547,'Growthrates source'!A$2:I$49,9,FALSE)</f>
        <v>5.4673730437993617E-2</v>
      </c>
      <c r="AQ547" s="86">
        <f t="shared" si="157"/>
        <v>1764.2693794512284</v>
      </c>
      <c r="AR547" s="86">
        <f t="shared" si="158"/>
        <v>4242.839659043615</v>
      </c>
      <c r="AS547" s="94">
        <f t="shared" si="159"/>
        <v>0</v>
      </c>
      <c r="AT547" s="94">
        <f t="shared" si="160"/>
        <v>7.3649254068655994</v>
      </c>
      <c r="AU547" s="94">
        <f t="shared" si="161"/>
        <v>6.7909044500319711</v>
      </c>
    </row>
    <row r="548" spans="1:47" x14ac:dyDescent="0.3">
      <c r="A548" s="85" t="str">
        <f>_xlfn.XLOOKUP(B548,'Country codes &amp; Data sources'!G:G,'Country codes &amp; Data sources'!H:H,,0)</f>
        <v>Liberia</v>
      </c>
      <c r="B548" s="85" t="s">
        <v>176</v>
      </c>
      <c r="C548" s="86">
        <v>4331758.5</v>
      </c>
      <c r="D548" s="85" t="s">
        <v>134</v>
      </c>
      <c r="E548" s="87">
        <v>0</v>
      </c>
      <c r="F548" s="88">
        <v>4427312.4999999991</v>
      </c>
      <c r="G548" s="87">
        <v>0</v>
      </c>
      <c r="I548" s="87">
        <v>0</v>
      </c>
      <c r="K548" s="87">
        <v>0</v>
      </c>
      <c r="M548" s="87">
        <v>0</v>
      </c>
      <c r="O548" s="87">
        <v>0</v>
      </c>
      <c r="P548" s="88">
        <v>4889391</v>
      </c>
      <c r="Q548" s="87">
        <v>0</v>
      </c>
      <c r="R548" s="87">
        <f t="shared" si="144"/>
        <v>0</v>
      </c>
      <c r="T548" s="87">
        <v>0</v>
      </c>
      <c r="V548" s="87">
        <v>0</v>
      </c>
      <c r="X548" s="87">
        <v>0</v>
      </c>
      <c r="Y548" s="88">
        <v>5302681.0000000028</v>
      </c>
      <c r="Z548" s="87">
        <v>0</v>
      </c>
      <c r="AA548" s="87">
        <v>0</v>
      </c>
      <c r="AB548" s="89">
        <f t="shared" si="145"/>
        <v>0</v>
      </c>
      <c r="AC548" s="89">
        <f t="shared" si="146"/>
        <v>0</v>
      </c>
      <c r="AD548" s="89">
        <f t="shared" si="147"/>
        <v>0</v>
      </c>
      <c r="AE548" s="90">
        <f t="shared" si="148"/>
        <v>0</v>
      </c>
      <c r="AF548" s="90" t="str">
        <f t="shared" si="149"/>
        <v/>
      </c>
      <c r="AG548" s="90">
        <f t="shared" si="150"/>
        <v>0</v>
      </c>
      <c r="AH548" s="90" t="str">
        <f t="shared" si="151"/>
        <v/>
      </c>
      <c r="AI548" s="90">
        <f t="shared" si="152"/>
        <v>0</v>
      </c>
      <c r="AJ548" s="90" t="str">
        <f t="shared" si="153"/>
        <v/>
      </c>
      <c r="AK548" s="90" t="str">
        <f t="shared" si="154"/>
        <v/>
      </c>
      <c r="AL548" s="91">
        <f>IF(AK548="Adjust",(_xlfn.XLOOKUP(A548,'Adj factor'!A:A,'Adj factor'!I:I,,0)*AI548),'Master DataSheet'!AI548)</f>
        <v>0</v>
      </c>
      <c r="AM548" s="91">
        <f t="shared" si="155"/>
        <v>0</v>
      </c>
      <c r="AN548" s="92" t="str">
        <f t="shared" si="156"/>
        <v>No change</v>
      </c>
      <c r="AO548" s="93">
        <f>VLOOKUP(B548,'Growthrates source'!A$2:H$49,8,FALSE)</f>
        <v>0.14269498586031326</v>
      </c>
      <c r="AP548" s="93">
        <f>VLOOKUP(B548,'Growthrates source'!A$2:I$49,9,FALSE)</f>
        <v>5.4673730437993617E-2</v>
      </c>
      <c r="AQ548" s="86">
        <f t="shared" si="157"/>
        <v>0</v>
      </c>
      <c r="AR548" s="86">
        <f t="shared" si="158"/>
        <v>0</v>
      </c>
      <c r="AS548" s="94">
        <f t="shared" si="159"/>
        <v>0</v>
      </c>
      <c r="AT548" s="94">
        <f t="shared" si="160"/>
        <v>0</v>
      </c>
      <c r="AU548" s="94">
        <f t="shared" si="161"/>
        <v>0</v>
      </c>
    </row>
    <row r="549" spans="1:47" x14ac:dyDescent="0.3">
      <c r="A549" s="85" t="str">
        <f>_xlfn.XLOOKUP(B549,'Country codes &amp; Data sources'!G:G,'Country codes &amp; Data sources'!H:H,,0)</f>
        <v>Liberia</v>
      </c>
      <c r="B549" s="85" t="s">
        <v>176</v>
      </c>
      <c r="C549" s="86">
        <v>4331759.5</v>
      </c>
      <c r="D549" s="85" t="s">
        <v>142</v>
      </c>
      <c r="E549" s="87">
        <v>0</v>
      </c>
      <c r="F549" s="88">
        <v>4427312.4999999991</v>
      </c>
      <c r="G549" s="87">
        <v>0</v>
      </c>
      <c r="I549" s="87">
        <v>0</v>
      </c>
      <c r="K549" s="87">
        <v>0</v>
      </c>
      <c r="M549" s="87">
        <v>0</v>
      </c>
      <c r="O549" s="87">
        <v>0</v>
      </c>
      <c r="P549" s="88">
        <v>4889391</v>
      </c>
      <c r="Q549" s="87">
        <v>0</v>
      </c>
      <c r="R549" s="87">
        <f t="shared" si="144"/>
        <v>0</v>
      </c>
      <c r="T549" s="87">
        <v>0</v>
      </c>
      <c r="V549" s="87">
        <v>0</v>
      </c>
      <c r="X549" s="87">
        <v>0</v>
      </c>
      <c r="Y549" s="88">
        <v>5302681.0000000028</v>
      </c>
      <c r="Z549" s="87">
        <v>0</v>
      </c>
      <c r="AA549" s="87">
        <v>0</v>
      </c>
      <c r="AB549" s="89">
        <f t="shared" si="145"/>
        <v>0</v>
      </c>
      <c r="AC549" s="89">
        <f t="shared" si="146"/>
        <v>0</v>
      </c>
      <c r="AD549" s="89">
        <f t="shared" si="147"/>
        <v>0</v>
      </c>
      <c r="AE549" s="90">
        <f t="shared" si="148"/>
        <v>0</v>
      </c>
      <c r="AF549" s="90" t="str">
        <f t="shared" si="149"/>
        <v/>
      </c>
      <c r="AG549" s="90">
        <f t="shared" si="150"/>
        <v>0</v>
      </c>
      <c r="AH549" s="90" t="str">
        <f t="shared" si="151"/>
        <v/>
      </c>
      <c r="AI549" s="90">
        <f t="shared" si="152"/>
        <v>0</v>
      </c>
      <c r="AJ549" s="90" t="str">
        <f t="shared" si="153"/>
        <v/>
      </c>
      <c r="AK549" s="90" t="str">
        <f t="shared" si="154"/>
        <v/>
      </c>
      <c r="AL549" s="91">
        <f>IF(AK549="Adjust",(_xlfn.XLOOKUP(A549,'Adj factor'!A:A,'Adj factor'!I:I,,0)*AI549),'Master DataSheet'!AI549)</f>
        <v>0</v>
      </c>
      <c r="AM549" s="91">
        <f t="shared" si="155"/>
        <v>0</v>
      </c>
      <c r="AN549" s="92" t="str">
        <f t="shared" si="156"/>
        <v>No change</v>
      </c>
      <c r="AO549" s="93">
        <f>VLOOKUP(B549,'Growthrates source'!A$2:H$49,8,FALSE)</f>
        <v>0.14269498586031326</v>
      </c>
      <c r="AP549" s="93">
        <f>VLOOKUP(B549,'Growthrates source'!A$2:I$49,9,FALSE)</f>
        <v>5.4673730437993617E-2</v>
      </c>
      <c r="AQ549" s="86">
        <f t="shared" si="157"/>
        <v>0</v>
      </c>
      <c r="AR549" s="86">
        <f t="shared" si="158"/>
        <v>0</v>
      </c>
      <c r="AS549" s="94">
        <f t="shared" si="159"/>
        <v>0</v>
      </c>
      <c r="AT549" s="94">
        <f t="shared" si="160"/>
        <v>0</v>
      </c>
      <c r="AU549" s="94">
        <f t="shared" si="161"/>
        <v>0</v>
      </c>
    </row>
    <row r="550" spans="1:47" x14ac:dyDescent="0.3">
      <c r="A550" s="85" t="str">
        <f>_xlfn.XLOOKUP(B550,'Country codes &amp; Data sources'!G:G,'Country codes &amp; Data sources'!H:H,,0)</f>
        <v>Liberia</v>
      </c>
      <c r="B550" s="85" t="s">
        <v>176</v>
      </c>
      <c r="C550" s="86">
        <v>4331760.5</v>
      </c>
      <c r="D550" s="85" t="s">
        <v>83</v>
      </c>
      <c r="E550" s="87">
        <v>0</v>
      </c>
      <c r="F550" s="88">
        <v>4427312.4999999991</v>
      </c>
      <c r="G550" s="87">
        <v>0</v>
      </c>
      <c r="I550" s="87">
        <v>0</v>
      </c>
      <c r="K550" s="87">
        <v>0</v>
      </c>
      <c r="M550" s="87">
        <v>0</v>
      </c>
      <c r="O550" s="87">
        <v>0</v>
      </c>
      <c r="P550" s="88">
        <v>4889391</v>
      </c>
      <c r="Q550" s="87">
        <v>0</v>
      </c>
      <c r="R550" s="87">
        <f t="shared" si="144"/>
        <v>3</v>
      </c>
      <c r="T550" s="87">
        <v>0</v>
      </c>
      <c r="V550" s="87">
        <v>0</v>
      </c>
      <c r="X550" s="87">
        <v>0</v>
      </c>
      <c r="Y550" s="88">
        <v>5302681.0000000028</v>
      </c>
      <c r="Z550" s="87">
        <v>0</v>
      </c>
      <c r="AA550" s="87">
        <v>3</v>
      </c>
      <c r="AB550" s="89">
        <f t="shared" si="145"/>
        <v>0</v>
      </c>
      <c r="AC550" s="89">
        <f t="shared" si="146"/>
        <v>0</v>
      </c>
      <c r="AD550" s="89">
        <f t="shared" si="147"/>
        <v>0</v>
      </c>
      <c r="AE550" s="90">
        <f t="shared" si="148"/>
        <v>0</v>
      </c>
      <c r="AF550" s="90" t="str">
        <f t="shared" si="149"/>
        <v/>
      </c>
      <c r="AG550" s="90">
        <f t="shared" si="150"/>
        <v>3</v>
      </c>
      <c r="AH550" s="90" t="str">
        <f t="shared" si="151"/>
        <v>2018 (triag)</v>
      </c>
      <c r="AI550" s="90">
        <f t="shared" si="152"/>
        <v>3</v>
      </c>
      <c r="AJ550" s="90" t="str">
        <f t="shared" si="153"/>
        <v>2018 (triag)</v>
      </c>
      <c r="AK550" s="90" t="str">
        <f t="shared" si="154"/>
        <v/>
      </c>
      <c r="AL550" s="91">
        <f>IF(AK550="Adjust",(_xlfn.XLOOKUP(A550,'Adj factor'!A:A,'Adj factor'!I:I,,0)*AI550),'Master DataSheet'!AI550)</f>
        <v>3</v>
      </c>
      <c r="AM550" s="91">
        <f t="shared" si="155"/>
        <v>3</v>
      </c>
      <c r="AN550" s="92" t="str">
        <f t="shared" si="156"/>
        <v>No change</v>
      </c>
      <c r="AO550" s="93">
        <f>VLOOKUP(B550,'Growthrates source'!A$2:H$49,8,FALSE)</f>
        <v>0.14269498586031326</v>
      </c>
      <c r="AP550" s="93">
        <f>VLOOKUP(B550,'Growthrates source'!A$2:I$49,9,FALSE)</f>
        <v>5.4673730437993617E-2</v>
      </c>
      <c r="AQ550" s="86">
        <f t="shared" si="157"/>
        <v>1.4698162005980797</v>
      </c>
      <c r="AR550" s="86">
        <f t="shared" si="158"/>
        <v>3.5347178498002902</v>
      </c>
      <c r="AS550" s="94">
        <f t="shared" si="159"/>
        <v>0</v>
      </c>
      <c r="AT550" s="94">
        <f t="shared" si="160"/>
        <v>6.1357334686467091E-3</v>
      </c>
      <c r="AU550" s="94">
        <f t="shared" si="161"/>
        <v>5.657515509607307E-3</v>
      </c>
    </row>
    <row r="551" spans="1:47" x14ac:dyDescent="0.3">
      <c r="A551" s="85" t="str">
        <f>_xlfn.XLOOKUP(B551,'Country codes &amp; Data sources'!G:G,'Country codes &amp; Data sources'!H:H,,0)</f>
        <v>Liberia</v>
      </c>
      <c r="B551" s="85" t="s">
        <v>176</v>
      </c>
      <c r="C551" s="86">
        <v>4331761.5</v>
      </c>
      <c r="D551" s="85" t="s">
        <v>84</v>
      </c>
      <c r="E551" s="87">
        <v>0</v>
      </c>
      <c r="F551" s="88">
        <v>4427312.4999999991</v>
      </c>
      <c r="G551" s="87">
        <v>0</v>
      </c>
      <c r="I551" s="87">
        <v>0</v>
      </c>
      <c r="K551" s="87">
        <v>0</v>
      </c>
      <c r="M551" s="87">
        <v>0</v>
      </c>
      <c r="O551" s="87">
        <v>0</v>
      </c>
      <c r="P551" s="88">
        <v>4889391</v>
      </c>
      <c r="Q551" s="87">
        <v>0</v>
      </c>
      <c r="R551" s="87">
        <f t="shared" si="144"/>
        <v>0</v>
      </c>
      <c r="T551" s="87">
        <v>0</v>
      </c>
      <c r="V551" s="87">
        <v>0</v>
      </c>
      <c r="X551" s="87">
        <v>0</v>
      </c>
      <c r="Y551" s="88">
        <v>5302681.0000000028</v>
      </c>
      <c r="Z551" s="87">
        <v>0</v>
      </c>
      <c r="AA551" s="87">
        <v>0</v>
      </c>
      <c r="AB551" s="89">
        <f t="shared" si="145"/>
        <v>0</v>
      </c>
      <c r="AC551" s="89">
        <f t="shared" si="146"/>
        <v>0</v>
      </c>
      <c r="AD551" s="89">
        <f t="shared" si="147"/>
        <v>0</v>
      </c>
      <c r="AE551" s="90">
        <f t="shared" si="148"/>
        <v>0</v>
      </c>
      <c r="AF551" s="90" t="str">
        <f t="shared" si="149"/>
        <v/>
      </c>
      <c r="AG551" s="90">
        <f t="shared" si="150"/>
        <v>0</v>
      </c>
      <c r="AH551" s="90" t="str">
        <f t="shared" si="151"/>
        <v/>
      </c>
      <c r="AI551" s="90">
        <f t="shared" si="152"/>
        <v>0</v>
      </c>
      <c r="AJ551" s="90" t="str">
        <f t="shared" si="153"/>
        <v/>
      </c>
      <c r="AK551" s="90" t="str">
        <f t="shared" si="154"/>
        <v/>
      </c>
      <c r="AL551" s="91">
        <f>IF(AK551="Adjust",(_xlfn.XLOOKUP(A551,'Adj factor'!A:A,'Adj factor'!I:I,,0)*AI551),'Master DataSheet'!AI551)</f>
        <v>0</v>
      </c>
      <c r="AM551" s="91">
        <f t="shared" si="155"/>
        <v>0</v>
      </c>
      <c r="AN551" s="92" t="str">
        <f t="shared" si="156"/>
        <v>No change</v>
      </c>
      <c r="AO551" s="93">
        <f>VLOOKUP(B551,'Growthrates source'!A$2:H$49,8,FALSE)</f>
        <v>0.14269498586031326</v>
      </c>
      <c r="AP551" s="93">
        <f>VLOOKUP(B551,'Growthrates source'!A$2:I$49,9,FALSE)</f>
        <v>5.4673730437993617E-2</v>
      </c>
      <c r="AQ551" s="86">
        <f t="shared" si="157"/>
        <v>0</v>
      </c>
      <c r="AR551" s="86">
        <f t="shared" si="158"/>
        <v>0</v>
      </c>
      <c r="AS551" s="94">
        <f t="shared" si="159"/>
        <v>0</v>
      </c>
      <c r="AT551" s="94">
        <f t="shared" si="160"/>
        <v>0</v>
      </c>
      <c r="AU551" s="94">
        <f t="shared" si="161"/>
        <v>0</v>
      </c>
    </row>
    <row r="552" spans="1:47" x14ac:dyDescent="0.3">
      <c r="A552" s="85" t="str">
        <f>_xlfn.XLOOKUP(B552,'Country codes &amp; Data sources'!G:G,'Country codes &amp; Data sources'!H:H,,0)</f>
        <v>Liberia</v>
      </c>
      <c r="B552" s="85" t="s">
        <v>176</v>
      </c>
      <c r="C552" s="86">
        <v>4331762.5</v>
      </c>
      <c r="D552" s="85" t="s">
        <v>126</v>
      </c>
      <c r="E552" s="87">
        <v>0</v>
      </c>
      <c r="F552" s="88">
        <v>4427312.4999999991</v>
      </c>
      <c r="G552" s="87">
        <v>0</v>
      </c>
      <c r="I552" s="87">
        <v>0</v>
      </c>
      <c r="K552" s="87">
        <v>0</v>
      </c>
      <c r="M552" s="87">
        <v>0</v>
      </c>
      <c r="O552" s="87">
        <v>0</v>
      </c>
      <c r="P552" s="88">
        <v>4889391</v>
      </c>
      <c r="Q552" s="87">
        <v>0</v>
      </c>
      <c r="R552" s="87">
        <f t="shared" si="144"/>
        <v>0</v>
      </c>
      <c r="T552" s="87">
        <v>0</v>
      </c>
      <c r="V552" s="87">
        <v>0</v>
      </c>
      <c r="X552" s="87">
        <v>0</v>
      </c>
      <c r="Y552" s="88">
        <v>5302681.0000000028</v>
      </c>
      <c r="Z552" s="87">
        <v>0</v>
      </c>
      <c r="AA552" s="87">
        <v>0</v>
      </c>
      <c r="AB552" s="89">
        <f t="shared" si="145"/>
        <v>0</v>
      </c>
      <c r="AC552" s="89">
        <f t="shared" si="146"/>
        <v>0</v>
      </c>
      <c r="AD552" s="89">
        <f t="shared" si="147"/>
        <v>0</v>
      </c>
      <c r="AE552" s="90">
        <f t="shared" si="148"/>
        <v>0</v>
      </c>
      <c r="AF552" s="90" t="str">
        <f t="shared" si="149"/>
        <v/>
      </c>
      <c r="AG552" s="90">
        <f t="shared" si="150"/>
        <v>0</v>
      </c>
      <c r="AH552" s="90" t="str">
        <f t="shared" si="151"/>
        <v/>
      </c>
      <c r="AI552" s="90">
        <f t="shared" si="152"/>
        <v>0</v>
      </c>
      <c r="AJ552" s="90" t="str">
        <f t="shared" si="153"/>
        <v/>
      </c>
      <c r="AK552" s="90" t="str">
        <f t="shared" si="154"/>
        <v/>
      </c>
      <c r="AL552" s="91">
        <f>IF(AK552="Adjust",(_xlfn.XLOOKUP(A552,'Adj factor'!A:A,'Adj factor'!I:I,,0)*AI552),'Master DataSheet'!AI552)</f>
        <v>0</v>
      </c>
      <c r="AM552" s="91">
        <f t="shared" si="155"/>
        <v>0</v>
      </c>
      <c r="AN552" s="92" t="str">
        <f t="shared" si="156"/>
        <v>No change</v>
      </c>
      <c r="AO552" s="93">
        <f>VLOOKUP(B552,'Growthrates source'!A$2:H$49,8,FALSE)</f>
        <v>0.14269498586031326</v>
      </c>
      <c r="AP552" s="93">
        <f>VLOOKUP(B552,'Growthrates source'!A$2:I$49,9,FALSE)</f>
        <v>5.4673730437993617E-2</v>
      </c>
      <c r="AQ552" s="86">
        <f t="shared" si="157"/>
        <v>0</v>
      </c>
      <c r="AR552" s="86">
        <f t="shared" si="158"/>
        <v>0</v>
      </c>
      <c r="AS552" s="94">
        <f t="shared" si="159"/>
        <v>0</v>
      </c>
      <c r="AT552" s="94">
        <f t="shared" si="160"/>
        <v>0</v>
      </c>
      <c r="AU552" s="94">
        <f t="shared" si="161"/>
        <v>0</v>
      </c>
    </row>
    <row r="553" spans="1:47" x14ac:dyDescent="0.3">
      <c r="A553" s="85" t="str">
        <f>_xlfn.XLOOKUP(B553,'Country codes &amp; Data sources'!G:G,'Country codes &amp; Data sources'!H:H,,0)</f>
        <v>Liberia</v>
      </c>
      <c r="B553" s="85" t="s">
        <v>176</v>
      </c>
      <c r="C553" s="86">
        <v>4331763.5</v>
      </c>
      <c r="D553" s="85" t="s">
        <v>87</v>
      </c>
      <c r="E553" s="87">
        <v>0</v>
      </c>
      <c r="F553" s="88">
        <v>4427312.4999999991</v>
      </c>
      <c r="G553" s="87">
        <v>0</v>
      </c>
      <c r="I553" s="87">
        <v>0</v>
      </c>
      <c r="K553" s="87">
        <v>0</v>
      </c>
      <c r="M553" s="87">
        <v>0</v>
      </c>
      <c r="O553" s="87">
        <v>0</v>
      </c>
      <c r="P553" s="88">
        <v>4889391</v>
      </c>
      <c r="Q553" s="87">
        <v>0</v>
      </c>
      <c r="R553" s="87">
        <f t="shared" si="144"/>
        <v>0</v>
      </c>
      <c r="T553" s="87">
        <v>0</v>
      </c>
      <c r="V553" s="87">
        <v>0</v>
      </c>
      <c r="X553" s="87">
        <v>0</v>
      </c>
      <c r="Y553" s="88">
        <v>5302681.0000000028</v>
      </c>
      <c r="Z553" s="87">
        <v>0</v>
      </c>
      <c r="AA553" s="87">
        <v>0</v>
      </c>
      <c r="AB553" s="89">
        <f t="shared" si="145"/>
        <v>0</v>
      </c>
      <c r="AC553" s="89">
        <f t="shared" si="146"/>
        <v>0</v>
      </c>
      <c r="AD553" s="89">
        <f t="shared" si="147"/>
        <v>0</v>
      </c>
      <c r="AE553" s="90">
        <f t="shared" si="148"/>
        <v>0</v>
      </c>
      <c r="AF553" s="90" t="str">
        <f t="shared" si="149"/>
        <v/>
      </c>
      <c r="AG553" s="90">
        <f t="shared" si="150"/>
        <v>0</v>
      </c>
      <c r="AH553" s="90" t="str">
        <f t="shared" si="151"/>
        <v/>
      </c>
      <c r="AI553" s="90">
        <f t="shared" si="152"/>
        <v>0</v>
      </c>
      <c r="AJ553" s="90" t="str">
        <f t="shared" si="153"/>
        <v/>
      </c>
      <c r="AK553" s="90" t="str">
        <f t="shared" si="154"/>
        <v/>
      </c>
      <c r="AL553" s="91">
        <f>IF(AK553="Adjust",(_xlfn.XLOOKUP(A553,'Adj factor'!A:A,'Adj factor'!I:I,,0)*AI553),'Master DataSheet'!AI553)</f>
        <v>0</v>
      </c>
      <c r="AM553" s="91">
        <f t="shared" si="155"/>
        <v>0</v>
      </c>
      <c r="AN553" s="92" t="str">
        <f t="shared" si="156"/>
        <v>No change</v>
      </c>
      <c r="AO553" s="93">
        <f>VLOOKUP(B553,'Growthrates source'!A$2:H$49,8,FALSE)</f>
        <v>0.14269498586031326</v>
      </c>
      <c r="AP553" s="93">
        <f>VLOOKUP(B553,'Growthrates source'!A$2:I$49,9,FALSE)</f>
        <v>5.4673730437993617E-2</v>
      </c>
      <c r="AQ553" s="86">
        <f t="shared" si="157"/>
        <v>0</v>
      </c>
      <c r="AR553" s="86">
        <f t="shared" si="158"/>
        <v>0</v>
      </c>
      <c r="AS553" s="94">
        <f t="shared" si="159"/>
        <v>0</v>
      </c>
      <c r="AT553" s="94">
        <f t="shared" si="160"/>
        <v>0</v>
      </c>
      <c r="AU553" s="94">
        <f t="shared" si="161"/>
        <v>0</v>
      </c>
    </row>
    <row r="554" spans="1:47" x14ac:dyDescent="0.3">
      <c r="A554" s="85" t="str">
        <f>_xlfn.XLOOKUP(B554,'Country codes &amp; Data sources'!G:G,'Country codes &amp; Data sources'!H:H,,0)</f>
        <v>Lesotho</v>
      </c>
      <c r="B554" s="85" t="s">
        <v>160</v>
      </c>
      <c r="C554" s="86">
        <v>2054717.9999999998</v>
      </c>
      <c r="D554" s="85" t="s">
        <v>321</v>
      </c>
      <c r="E554" s="87">
        <v>0</v>
      </c>
      <c r="F554" s="88">
        <v>2073938.4999999998</v>
      </c>
      <c r="G554" s="87">
        <v>0</v>
      </c>
      <c r="H554" s="87">
        <v>2095242.4999999993</v>
      </c>
      <c r="I554" s="87">
        <v>0</v>
      </c>
      <c r="J554" s="87">
        <v>2118520.5000000019</v>
      </c>
      <c r="K554" s="87">
        <v>0</v>
      </c>
      <c r="L554" s="87">
        <v>2143872.0000000023</v>
      </c>
      <c r="M554" s="87">
        <v>0</v>
      </c>
      <c r="N554" s="87">
        <v>2170616.9999999995</v>
      </c>
      <c r="O554" s="87">
        <v>0</v>
      </c>
      <c r="P554" s="88">
        <v>2198017</v>
      </c>
      <c r="Q554" s="87">
        <v>1996</v>
      </c>
      <c r="R554" s="87">
        <f t="shared" si="144"/>
        <v>1996</v>
      </c>
      <c r="S554" s="87">
        <v>2225701.4999999995</v>
      </c>
      <c r="T554" s="87">
        <v>0</v>
      </c>
      <c r="U554" s="87">
        <v>2254100.0000000005</v>
      </c>
      <c r="V554" s="87">
        <v>0</v>
      </c>
      <c r="W554" s="87">
        <v>2281454.5000000014</v>
      </c>
      <c r="X554" s="103">
        <v>420</v>
      </c>
      <c r="Y554" s="88">
        <v>2305825.5000000019</v>
      </c>
      <c r="Z554" s="87">
        <v>748</v>
      </c>
      <c r="AA554" s="87">
        <v>998</v>
      </c>
      <c r="AB554" s="89">
        <f t="shared" si="145"/>
        <v>0</v>
      </c>
      <c r="AC554" s="89">
        <f t="shared" si="146"/>
        <v>1996</v>
      </c>
      <c r="AD554" s="89">
        <f t="shared" si="147"/>
        <v>748</v>
      </c>
      <c r="AE554" s="90">
        <f t="shared" si="148"/>
        <v>0</v>
      </c>
      <c r="AF554" s="90" t="str">
        <f t="shared" si="149"/>
        <v/>
      </c>
      <c r="AG554" s="90">
        <f t="shared" si="150"/>
        <v>1996</v>
      </c>
      <c r="AH554" s="90">
        <f t="shared" si="151"/>
        <v>2018</v>
      </c>
      <c r="AI554" s="90">
        <f t="shared" si="152"/>
        <v>748</v>
      </c>
      <c r="AJ554" s="90">
        <f t="shared" si="153"/>
        <v>2022</v>
      </c>
      <c r="AK554" s="90" t="str">
        <f t="shared" si="154"/>
        <v>Adjust</v>
      </c>
      <c r="AL554" s="91">
        <f>IF(AK554="Adjust",(_xlfn.XLOOKUP(A554,'Adj factor'!A:A,'Adj factor'!I:I,,0)*AI554),'Master DataSheet'!AI554)</f>
        <v>955.676462836057</v>
      </c>
      <c r="AM554" s="91">
        <f t="shared" si="155"/>
        <v>1996</v>
      </c>
      <c r="AN554" s="92" t="str">
        <f t="shared" si="156"/>
        <v>Decreasing</v>
      </c>
      <c r="AO554" s="93">
        <f>VLOOKUP(B554,'Growthrates source'!A$2:H$49,8,FALSE)</f>
        <v>-2.9414192821425544E-2</v>
      </c>
      <c r="AP554" s="93">
        <f>VLOOKUP(B554,'Growthrates source'!A$2:I$49,9,FALSE)</f>
        <v>0.35384209356504925</v>
      </c>
      <c r="AQ554" s="86">
        <f t="shared" si="157"/>
        <v>1156.1192951663259</v>
      </c>
      <c r="AR554" s="86">
        <f t="shared" si="158"/>
        <v>2884.9982057163861</v>
      </c>
      <c r="AS554" s="94">
        <f t="shared" si="159"/>
        <v>0</v>
      </c>
      <c r="AT554" s="94">
        <f t="shared" si="160"/>
        <v>9.0809124770190586</v>
      </c>
      <c r="AU554" s="94">
        <f t="shared" si="161"/>
        <v>8.6563358762404103</v>
      </c>
    </row>
    <row r="555" spans="1:47" x14ac:dyDescent="0.3">
      <c r="A555" s="85" t="str">
        <f>_xlfn.XLOOKUP(B555,'Country codes &amp; Data sources'!G:G,'Country codes &amp; Data sources'!H:H,,0)</f>
        <v>Lesotho</v>
      </c>
      <c r="B555" s="85" t="s">
        <v>160</v>
      </c>
      <c r="C555" s="86">
        <v>2054719</v>
      </c>
      <c r="D555" s="85" t="s">
        <v>322</v>
      </c>
      <c r="E555" s="87">
        <v>0</v>
      </c>
      <c r="F555" s="88">
        <v>2073938.4999999998</v>
      </c>
      <c r="G555" s="63">
        <f>2779+967</f>
        <v>3746</v>
      </c>
      <c r="I555" s="87">
        <v>0</v>
      </c>
      <c r="K555" s="87">
        <v>0</v>
      </c>
      <c r="M555" s="87">
        <v>0</v>
      </c>
      <c r="O555" s="87">
        <v>0</v>
      </c>
      <c r="P555" s="88">
        <v>2198017</v>
      </c>
      <c r="Q555" s="87">
        <v>13732</v>
      </c>
      <c r="R555" s="87">
        <f t="shared" si="144"/>
        <v>13732</v>
      </c>
      <c r="T555" s="87">
        <v>0</v>
      </c>
      <c r="V555" s="87">
        <v>0</v>
      </c>
      <c r="X555" s="103">
        <v>2779</v>
      </c>
      <c r="Y555" s="88">
        <v>2305825.5000000019</v>
      </c>
      <c r="Z555" s="87">
        <v>0</v>
      </c>
      <c r="AA555" s="87">
        <v>967</v>
      </c>
      <c r="AB555" s="89">
        <f t="shared" si="145"/>
        <v>3746</v>
      </c>
      <c r="AC555" s="89">
        <f t="shared" si="146"/>
        <v>13732</v>
      </c>
      <c r="AD555" s="89">
        <f t="shared" si="147"/>
        <v>2779</v>
      </c>
      <c r="AE555" s="90">
        <f t="shared" si="148"/>
        <v>3746</v>
      </c>
      <c r="AF555" s="90">
        <v>2013</v>
      </c>
      <c r="AG555" s="90">
        <f t="shared" si="150"/>
        <v>13732</v>
      </c>
      <c r="AH555" s="90">
        <f t="shared" si="151"/>
        <v>2018</v>
      </c>
      <c r="AI555" s="90">
        <f t="shared" si="152"/>
        <v>2779</v>
      </c>
      <c r="AJ555" s="90">
        <f t="shared" si="153"/>
        <v>2021</v>
      </c>
      <c r="AK555" s="90" t="str">
        <f t="shared" si="154"/>
        <v>Adjust</v>
      </c>
      <c r="AL555" s="91">
        <f>IF(AK555="Adjust",(_xlfn.XLOOKUP(A555,'Adj factor'!A:A,'Adj factor'!I:I,,0)*AI555),'Master DataSheet'!AI555)</f>
        <v>3550.5680350553507</v>
      </c>
      <c r="AM555" s="91">
        <f t="shared" si="155"/>
        <v>13732</v>
      </c>
      <c r="AN555" s="92" t="str">
        <f t="shared" si="156"/>
        <v>Decreasing</v>
      </c>
      <c r="AO555" s="93">
        <f>VLOOKUP(B555,'Growthrates source'!A$2:H$49,8,FALSE)</f>
        <v>-2.9414192821425544E-2</v>
      </c>
      <c r="AP555" s="93">
        <f>VLOOKUP(B555,'Growthrates source'!A$2:I$49,9,FALSE)</f>
        <v>0.35384209356504925</v>
      </c>
      <c r="AQ555" s="86">
        <f t="shared" si="157"/>
        <v>1120.2077739737847</v>
      </c>
      <c r="AR555" s="86">
        <f t="shared" si="158"/>
        <v>2795.3840329937329</v>
      </c>
      <c r="AS555" s="94">
        <f t="shared" si="159"/>
        <v>18.062252087031514</v>
      </c>
      <c r="AT555" s="94">
        <f t="shared" si="160"/>
        <v>62.474494055323504</v>
      </c>
      <c r="AU555" s="94">
        <f t="shared" si="161"/>
        <v>59.553509144555775</v>
      </c>
    </row>
    <row r="556" spans="1:47" x14ac:dyDescent="0.3">
      <c r="A556" s="85" t="str">
        <f>_xlfn.XLOOKUP(B556,'Country codes &amp; Data sources'!G:G,'Country codes &amp; Data sources'!H:H,,0)</f>
        <v>Lesotho</v>
      </c>
      <c r="B556" s="85" t="s">
        <v>160</v>
      </c>
      <c r="C556" s="86">
        <v>2054720</v>
      </c>
      <c r="D556" s="85" t="s">
        <v>323</v>
      </c>
      <c r="E556" s="87">
        <v>0</v>
      </c>
      <c r="F556" s="88">
        <v>2073938.4999999998</v>
      </c>
      <c r="G556" s="87">
        <v>0</v>
      </c>
      <c r="I556" s="87">
        <v>0</v>
      </c>
      <c r="K556" s="87">
        <v>0</v>
      </c>
      <c r="M556" s="87">
        <v>0</v>
      </c>
      <c r="O556" s="87">
        <v>0</v>
      </c>
      <c r="P556" s="88">
        <v>2198017</v>
      </c>
      <c r="Q556" s="87">
        <v>0</v>
      </c>
      <c r="R556" s="87">
        <f t="shared" si="144"/>
        <v>2779</v>
      </c>
      <c r="T556" s="87">
        <v>0</v>
      </c>
      <c r="V556" s="87">
        <v>0</v>
      </c>
      <c r="X556" s="103">
        <v>967</v>
      </c>
      <c r="Y556" s="88">
        <v>2305825.5000000019</v>
      </c>
      <c r="Z556" s="87">
        <v>0</v>
      </c>
      <c r="AA556" s="87">
        <v>2779</v>
      </c>
      <c r="AB556" s="89">
        <f t="shared" si="145"/>
        <v>0</v>
      </c>
      <c r="AC556" s="89">
        <f t="shared" si="146"/>
        <v>0</v>
      </c>
      <c r="AD556" s="89">
        <f t="shared" si="147"/>
        <v>967</v>
      </c>
      <c r="AE556" s="90">
        <f t="shared" si="148"/>
        <v>0</v>
      </c>
      <c r="AF556" s="90" t="str">
        <f t="shared" si="149"/>
        <v/>
      </c>
      <c r="AG556" s="90">
        <f t="shared" si="150"/>
        <v>2779</v>
      </c>
      <c r="AH556" s="90" t="str">
        <f t="shared" si="151"/>
        <v>2018 (triag)</v>
      </c>
      <c r="AI556" s="90">
        <f t="shared" si="152"/>
        <v>967</v>
      </c>
      <c r="AJ556" s="90">
        <f t="shared" si="153"/>
        <v>2021</v>
      </c>
      <c r="AK556" s="90" t="str">
        <f t="shared" si="154"/>
        <v>Adjust</v>
      </c>
      <c r="AL556" s="91">
        <f>IF(AK556="Adjust",(_xlfn.XLOOKUP(A556,'Adj factor'!A:A,'Adj factor'!I:I,,0)*AI556),'Master DataSheet'!AI556)</f>
        <v>1235.4801331049025</v>
      </c>
      <c r="AM556" s="91">
        <f t="shared" si="155"/>
        <v>2779</v>
      </c>
      <c r="AN556" s="92" t="str">
        <f t="shared" si="156"/>
        <v>Decreasing</v>
      </c>
      <c r="AO556" s="93">
        <f>VLOOKUP(B556,'Growthrates source'!A$2:H$49,8,FALSE)</f>
        <v>-2.9414192821425544E-2</v>
      </c>
      <c r="AP556" s="93">
        <f>VLOOKUP(B556,'Growthrates source'!A$2:I$49,9,FALSE)</f>
        <v>0.35384209356504925</v>
      </c>
      <c r="AQ556" s="86">
        <f t="shared" si="157"/>
        <v>3219.2941094861922</v>
      </c>
      <c r="AR556" s="86">
        <f t="shared" si="158"/>
        <v>8033.476967621079</v>
      </c>
      <c r="AS556" s="94">
        <f t="shared" si="159"/>
        <v>0</v>
      </c>
      <c r="AT556" s="94">
        <f t="shared" si="160"/>
        <v>12.64321431544888</v>
      </c>
      <c r="AU556" s="94">
        <f t="shared" si="161"/>
        <v>12.052082865767586</v>
      </c>
    </row>
    <row r="557" spans="1:47" x14ac:dyDescent="0.3">
      <c r="A557" s="85" t="str">
        <f>_xlfn.XLOOKUP(B557,'Country codes &amp; Data sources'!G:G,'Country codes &amp; Data sources'!H:H,,0)</f>
        <v>Lesotho</v>
      </c>
      <c r="B557" s="85" t="s">
        <v>160</v>
      </c>
      <c r="C557" s="86">
        <v>2054721</v>
      </c>
      <c r="D557" s="85" t="s">
        <v>324</v>
      </c>
      <c r="E557" s="87">
        <v>0</v>
      </c>
      <c r="F557" s="88">
        <v>2073938.4999999998</v>
      </c>
      <c r="G557" s="87">
        <v>318</v>
      </c>
      <c r="I557" s="87">
        <v>76</v>
      </c>
      <c r="K557" s="87">
        <v>128</v>
      </c>
      <c r="M557" s="87">
        <v>0</v>
      </c>
      <c r="O557" s="87">
        <v>0</v>
      </c>
      <c r="P557" s="88">
        <v>2198017</v>
      </c>
      <c r="Q557" s="87">
        <v>0</v>
      </c>
      <c r="R557" s="87">
        <f t="shared" si="144"/>
        <v>398</v>
      </c>
      <c r="T557" s="87">
        <v>0</v>
      </c>
      <c r="V557" s="87">
        <v>580</v>
      </c>
      <c r="X557" s="103">
        <v>97</v>
      </c>
      <c r="Y557" s="88">
        <v>2305825.5000000019</v>
      </c>
      <c r="Z557" s="87">
        <v>0</v>
      </c>
      <c r="AA557" s="87">
        <v>398</v>
      </c>
      <c r="AB557" s="89">
        <f t="shared" si="145"/>
        <v>318</v>
      </c>
      <c r="AC557" s="89">
        <f t="shared" si="146"/>
        <v>0</v>
      </c>
      <c r="AD557" s="89">
        <f t="shared" si="147"/>
        <v>580</v>
      </c>
      <c r="AE557" s="90">
        <f t="shared" si="148"/>
        <v>318</v>
      </c>
      <c r="AF557" s="90">
        <f t="shared" si="149"/>
        <v>2013</v>
      </c>
      <c r="AG557" s="90">
        <f t="shared" si="150"/>
        <v>398</v>
      </c>
      <c r="AH557" s="90" t="str">
        <f t="shared" si="151"/>
        <v>2018 (triag)</v>
      </c>
      <c r="AI557" s="90">
        <f t="shared" si="152"/>
        <v>97</v>
      </c>
      <c r="AJ557" s="90">
        <f t="shared" si="153"/>
        <v>2021</v>
      </c>
      <c r="AK557" s="90" t="str">
        <f t="shared" si="154"/>
        <v>Adjust</v>
      </c>
      <c r="AL557" s="91">
        <f>IF(AK557="Adjust",(_xlfn.XLOOKUP(A557,'Adj factor'!A:A,'Adj factor'!I:I,,0)*AI557),'Master DataSheet'!AI557)</f>
        <v>123.93130600948868</v>
      </c>
      <c r="AM557" s="91">
        <f t="shared" si="155"/>
        <v>398</v>
      </c>
      <c r="AN557" s="92" t="str">
        <f t="shared" si="156"/>
        <v>Decreasing</v>
      </c>
      <c r="AO557" s="93">
        <f>VLOOKUP(B557,'Growthrates source'!A$2:H$49,8,FALSE)</f>
        <v>-2.9414192821425544E-2</v>
      </c>
      <c r="AP557" s="93">
        <f>VLOOKUP(B557,'Growthrates source'!A$2:I$49,9,FALSE)</f>
        <v>0.35384209356504925</v>
      </c>
      <c r="AQ557" s="86">
        <f t="shared" si="157"/>
        <v>461.05759466552877</v>
      </c>
      <c r="AR557" s="86">
        <f t="shared" si="158"/>
        <v>1150.5303465682582</v>
      </c>
      <c r="AS557" s="94">
        <f t="shared" si="159"/>
        <v>1.5333145124602299</v>
      </c>
      <c r="AT557" s="94">
        <f t="shared" si="160"/>
        <v>1.8107230289847622</v>
      </c>
      <c r="AU557" s="94">
        <f t="shared" si="161"/>
        <v>1.7260629653024466</v>
      </c>
    </row>
    <row r="558" spans="1:47" x14ac:dyDescent="0.3">
      <c r="A558" s="85" t="str">
        <f>_xlfn.XLOOKUP(B558,'Country codes &amp; Data sources'!G:G,'Country codes &amp; Data sources'!H:H,,0)</f>
        <v>Lesotho</v>
      </c>
      <c r="B558" s="85" t="s">
        <v>160</v>
      </c>
      <c r="C558" s="86">
        <v>2054722</v>
      </c>
      <c r="D558" s="85" t="s">
        <v>325</v>
      </c>
      <c r="E558" s="87">
        <v>0</v>
      </c>
      <c r="F558" s="88">
        <v>2073938.4999999998</v>
      </c>
      <c r="G558" s="87">
        <v>66</v>
      </c>
      <c r="I558" s="87">
        <v>117</v>
      </c>
      <c r="K558" s="87">
        <v>50</v>
      </c>
      <c r="M558" s="87">
        <v>0</v>
      </c>
      <c r="O558" s="87">
        <v>0</v>
      </c>
      <c r="P558" s="88">
        <v>2198017</v>
      </c>
      <c r="Q558" s="87">
        <v>0</v>
      </c>
      <c r="R558" s="87">
        <f t="shared" si="144"/>
        <v>159</v>
      </c>
      <c r="T558" s="87">
        <v>0</v>
      </c>
      <c r="V558" s="87">
        <v>117</v>
      </c>
      <c r="X558" s="103">
        <v>25</v>
      </c>
      <c r="Y558" s="88">
        <v>2305825.5000000019</v>
      </c>
      <c r="Z558" s="87">
        <v>0</v>
      </c>
      <c r="AA558" s="87">
        <v>159</v>
      </c>
      <c r="AB558" s="89">
        <f t="shared" si="145"/>
        <v>117</v>
      </c>
      <c r="AC558" s="89">
        <f t="shared" si="146"/>
        <v>0</v>
      </c>
      <c r="AD558" s="89">
        <f t="shared" si="147"/>
        <v>117</v>
      </c>
      <c r="AE558" s="90">
        <f t="shared" si="148"/>
        <v>66</v>
      </c>
      <c r="AF558" s="90">
        <f t="shared" si="149"/>
        <v>2013</v>
      </c>
      <c r="AG558" s="90">
        <f t="shared" si="150"/>
        <v>159</v>
      </c>
      <c r="AH558" s="90" t="str">
        <f t="shared" si="151"/>
        <v>2018 (triag)</v>
      </c>
      <c r="AI558" s="90">
        <f t="shared" si="152"/>
        <v>25</v>
      </c>
      <c r="AJ558" s="90">
        <f t="shared" si="153"/>
        <v>2021</v>
      </c>
      <c r="AK558" s="90" t="str">
        <f t="shared" si="154"/>
        <v>Adjust</v>
      </c>
      <c r="AL558" s="91">
        <f>IF(AK558="Adjust",(_xlfn.XLOOKUP(A558,'Adj factor'!A:A,'Adj factor'!I:I,,0)*AI558),'Master DataSheet'!AI558)</f>
        <v>31.941058249868213</v>
      </c>
      <c r="AM558" s="91">
        <f t="shared" si="155"/>
        <v>159</v>
      </c>
      <c r="AN558" s="92" t="str">
        <f t="shared" si="156"/>
        <v>Decreasing</v>
      </c>
      <c r="AO558" s="93">
        <f>VLOOKUP(B558,'Growthrates source'!A$2:H$49,8,FALSE)</f>
        <v>-2.9414192821425544E-2</v>
      </c>
      <c r="AP558" s="93">
        <f>VLOOKUP(B558,'Growthrates source'!A$2:I$49,9,FALSE)</f>
        <v>0.35384209356504925</v>
      </c>
      <c r="AQ558" s="86">
        <f t="shared" si="157"/>
        <v>184.19135063271122</v>
      </c>
      <c r="AR558" s="86">
        <f t="shared" si="158"/>
        <v>459.6339826742539</v>
      </c>
      <c r="AS558" s="94">
        <f t="shared" si="159"/>
        <v>0.31823508749174584</v>
      </c>
      <c r="AT558" s="94">
        <f t="shared" si="160"/>
        <v>0.7233793005240633</v>
      </c>
      <c r="AU558" s="94">
        <f t="shared" si="161"/>
        <v>0.68955781779670611</v>
      </c>
    </row>
    <row r="559" spans="1:47" ht="14.5" x14ac:dyDescent="0.35">
      <c r="A559" s="85" t="str">
        <f>_xlfn.XLOOKUP(B559,'Country codes &amp; Data sources'!G:G,'Country codes &amp; Data sources'!H:H,,0)</f>
        <v>Lesotho</v>
      </c>
      <c r="B559" s="85" t="s">
        <v>160</v>
      </c>
      <c r="C559" s="86">
        <v>2054723</v>
      </c>
      <c r="D559" s="85" t="s">
        <v>127</v>
      </c>
      <c r="E559" s="87">
        <v>0</v>
      </c>
      <c r="F559" s="88">
        <v>2073938.4999999998</v>
      </c>
      <c r="G559" s="87">
        <v>0</v>
      </c>
      <c r="I559" s="87">
        <v>0</v>
      </c>
      <c r="K559" s="87">
        <v>0</v>
      </c>
      <c r="M559" s="87">
        <v>0</v>
      </c>
      <c r="O559" s="87">
        <v>0</v>
      </c>
      <c r="P559" s="88">
        <v>2198017</v>
      </c>
      <c r="Q559" s="87">
        <v>14508</v>
      </c>
      <c r="R559" s="87">
        <f t="shared" si="144"/>
        <v>14508</v>
      </c>
      <c r="T559" s="87">
        <v>0</v>
      </c>
      <c r="V559" s="87">
        <v>0</v>
      </c>
      <c r="X559" s="87">
        <v>14508</v>
      </c>
      <c r="Y559" s="88">
        <v>2305825.5000000019</v>
      </c>
      <c r="Z559" s="112">
        <v>14508</v>
      </c>
      <c r="AA559" s="87">
        <v>14508</v>
      </c>
      <c r="AB559" s="89">
        <f t="shared" si="145"/>
        <v>0</v>
      </c>
      <c r="AC559" s="89">
        <f t="shared" si="146"/>
        <v>14508</v>
      </c>
      <c r="AD559" s="89">
        <f t="shared" si="147"/>
        <v>14508</v>
      </c>
      <c r="AE559" s="90">
        <f t="shared" si="148"/>
        <v>0</v>
      </c>
      <c r="AF559" s="90" t="str">
        <f t="shared" si="149"/>
        <v/>
      </c>
      <c r="AG559" s="90">
        <f t="shared" si="150"/>
        <v>14508</v>
      </c>
      <c r="AH559" s="90">
        <f t="shared" si="151"/>
        <v>2018</v>
      </c>
      <c r="AI559" s="90">
        <f t="shared" si="152"/>
        <v>14508</v>
      </c>
      <c r="AJ559" s="90">
        <f t="shared" si="153"/>
        <v>2021</v>
      </c>
      <c r="AK559" s="90" t="str">
        <f t="shared" si="154"/>
        <v/>
      </c>
      <c r="AL559" s="91">
        <f>IF(AK559="Adjust",(_xlfn.XLOOKUP(A559,'Adj factor'!A:A,'Adj factor'!I:I,,0)*AI559),'Master DataSheet'!AI559)</f>
        <v>14508</v>
      </c>
      <c r="AM559" s="61">
        <f t="shared" si="155"/>
        <v>14508</v>
      </c>
      <c r="AN559" s="92" t="str">
        <f t="shared" si="156"/>
        <v>No change</v>
      </c>
      <c r="AO559" s="93">
        <f>VLOOKUP(B559,'Growthrates source'!A$2:H$49,8,FALSE)</f>
        <v>-2.9414192821425544E-2</v>
      </c>
      <c r="AP559" s="93">
        <f>VLOOKUP(B559,'Growthrates source'!A$2:I$49,9,FALSE)</f>
        <v>0.35384209356504925</v>
      </c>
      <c r="AQ559" s="86">
        <f t="shared" si="157"/>
        <v>16806.591918109276</v>
      </c>
      <c r="AR559" s="86">
        <f t="shared" si="158"/>
        <v>41939.432834201732</v>
      </c>
      <c r="AS559" s="94">
        <f t="shared" si="159"/>
        <v>0</v>
      </c>
      <c r="AT559" s="94">
        <f t="shared" si="160"/>
        <v>66.004949006308863</v>
      </c>
      <c r="AU559" s="94">
        <f t="shared" si="161"/>
        <v>62.918898242733405</v>
      </c>
    </row>
    <row r="560" spans="1:47" x14ac:dyDescent="0.3">
      <c r="A560" s="85" t="str">
        <f>_xlfn.XLOOKUP(B560,'Country codes &amp; Data sources'!G:G,'Country codes &amp; Data sources'!H:H,,0)</f>
        <v>Lesotho</v>
      </c>
      <c r="B560" s="85" t="s">
        <v>160</v>
      </c>
      <c r="C560" s="86">
        <v>2054724</v>
      </c>
      <c r="D560" s="85" t="s">
        <v>61</v>
      </c>
      <c r="E560" s="87">
        <v>0</v>
      </c>
      <c r="F560" s="88">
        <v>2073938.4999999998</v>
      </c>
      <c r="G560" s="87">
        <v>11</v>
      </c>
      <c r="I560" s="87">
        <v>0</v>
      </c>
      <c r="K560" s="87">
        <v>16</v>
      </c>
      <c r="M560" s="87">
        <v>0</v>
      </c>
      <c r="O560" s="87">
        <v>0</v>
      </c>
      <c r="P560" s="88">
        <v>2198017</v>
      </c>
      <c r="Q560" s="87">
        <v>0</v>
      </c>
      <c r="R560" s="87">
        <f t="shared" si="144"/>
        <v>29</v>
      </c>
      <c r="T560" s="87">
        <v>0</v>
      </c>
      <c r="V560" s="87">
        <v>43</v>
      </c>
      <c r="X560" s="87">
        <v>0</v>
      </c>
      <c r="Y560" s="88">
        <v>2305825.5000000019</v>
      </c>
      <c r="Z560" s="87">
        <v>0</v>
      </c>
      <c r="AA560" s="87">
        <v>29</v>
      </c>
      <c r="AB560" s="89">
        <f t="shared" si="145"/>
        <v>16</v>
      </c>
      <c r="AC560" s="89">
        <f t="shared" si="146"/>
        <v>0</v>
      </c>
      <c r="AD560" s="89">
        <f t="shared" si="147"/>
        <v>43</v>
      </c>
      <c r="AE560" s="90">
        <f t="shared" si="148"/>
        <v>11</v>
      </c>
      <c r="AF560" s="90">
        <f t="shared" si="149"/>
        <v>2013</v>
      </c>
      <c r="AG560" s="90">
        <f t="shared" si="150"/>
        <v>29</v>
      </c>
      <c r="AH560" s="90" t="str">
        <f t="shared" si="151"/>
        <v>2018 (triag)</v>
      </c>
      <c r="AI560" s="90">
        <f t="shared" si="152"/>
        <v>43</v>
      </c>
      <c r="AJ560" s="90">
        <f t="shared" si="153"/>
        <v>2020</v>
      </c>
      <c r="AK560" s="90" t="str">
        <f t="shared" si="154"/>
        <v/>
      </c>
      <c r="AL560" s="91">
        <f>IF(AK560="Adjust",(_xlfn.XLOOKUP(A560,'Adj factor'!A:A,'Adj factor'!I:I,,0)*AI560),'Master DataSheet'!AI560)</f>
        <v>43</v>
      </c>
      <c r="AM560" s="91">
        <f t="shared" si="155"/>
        <v>43</v>
      </c>
      <c r="AN560" s="92" t="str">
        <f t="shared" si="156"/>
        <v>Increasing</v>
      </c>
      <c r="AO560" s="93">
        <f>VLOOKUP(B560,'Growthrates source'!A$2:H$49,8,FALSE)</f>
        <v>-2.9414192821425544E-2</v>
      </c>
      <c r="AP560" s="93">
        <f>VLOOKUP(B560,'Growthrates source'!A$2:I$49,9,FALSE)</f>
        <v>0.35384209356504925</v>
      </c>
      <c r="AQ560" s="86">
        <f t="shared" si="157"/>
        <v>33.59464885753853</v>
      </c>
      <c r="AR560" s="86">
        <f t="shared" si="158"/>
        <v>83.832613192159513</v>
      </c>
      <c r="AS560" s="94">
        <f t="shared" si="159"/>
        <v>5.3039181248624299E-2</v>
      </c>
      <c r="AT560" s="94">
        <f t="shared" si="160"/>
        <v>0.13193710512703041</v>
      </c>
      <c r="AU560" s="94">
        <f t="shared" si="161"/>
        <v>0.18648418971860606</v>
      </c>
    </row>
    <row r="561" spans="1:47" x14ac:dyDescent="0.3">
      <c r="A561" s="85" t="str">
        <f>_xlfn.XLOOKUP(B561,'Country codes &amp; Data sources'!G:G,'Country codes &amp; Data sources'!H:H,,0)</f>
        <v>Lesotho</v>
      </c>
      <c r="B561" s="85" t="s">
        <v>160</v>
      </c>
      <c r="C561" s="86">
        <v>2054725</v>
      </c>
      <c r="D561" s="85" t="s">
        <v>62</v>
      </c>
      <c r="E561" s="87">
        <v>0</v>
      </c>
      <c r="F561" s="88">
        <v>2073938.4999999998</v>
      </c>
      <c r="G561" s="87">
        <v>205</v>
      </c>
      <c r="I561" s="87">
        <v>0</v>
      </c>
      <c r="K561" s="87">
        <v>142</v>
      </c>
      <c r="M561" s="87">
        <v>0</v>
      </c>
      <c r="O561" s="87">
        <v>0</v>
      </c>
      <c r="P561" s="88">
        <v>2198017</v>
      </c>
      <c r="Q561" s="87">
        <v>0</v>
      </c>
      <c r="R561" s="87">
        <f t="shared" si="144"/>
        <v>144</v>
      </c>
      <c r="T561" s="87">
        <v>0</v>
      </c>
      <c r="V561" s="87">
        <v>0</v>
      </c>
      <c r="X561" s="103">
        <v>144</v>
      </c>
      <c r="Y561" s="88">
        <v>2305825.5000000019</v>
      </c>
      <c r="Z561" s="87">
        <v>144</v>
      </c>
      <c r="AA561" s="87">
        <v>144</v>
      </c>
      <c r="AB561" s="89">
        <f t="shared" si="145"/>
        <v>205</v>
      </c>
      <c r="AC561" s="89">
        <f t="shared" si="146"/>
        <v>0</v>
      </c>
      <c r="AD561" s="89">
        <f t="shared" si="147"/>
        <v>144</v>
      </c>
      <c r="AE561" s="90">
        <f t="shared" si="148"/>
        <v>205</v>
      </c>
      <c r="AF561" s="90">
        <f t="shared" si="149"/>
        <v>2013</v>
      </c>
      <c r="AG561" s="90">
        <f t="shared" si="150"/>
        <v>144</v>
      </c>
      <c r="AH561" s="90" t="str">
        <f t="shared" si="151"/>
        <v>2018 (triag)</v>
      </c>
      <c r="AI561" s="90">
        <f t="shared" si="152"/>
        <v>144</v>
      </c>
      <c r="AJ561" s="90">
        <f t="shared" si="153"/>
        <v>2021</v>
      </c>
      <c r="AK561" s="90" t="str">
        <f t="shared" si="154"/>
        <v/>
      </c>
      <c r="AL561" s="91">
        <f>IF(AK561="Adjust",(_xlfn.XLOOKUP(A561,'Adj factor'!A:A,'Adj factor'!I:I,,0)*AI561),'Master DataSheet'!AI561)</f>
        <v>144</v>
      </c>
      <c r="AM561" s="91">
        <f t="shared" si="155"/>
        <v>144</v>
      </c>
      <c r="AN561" s="92" t="str">
        <f t="shared" si="156"/>
        <v>No change</v>
      </c>
      <c r="AO561" s="93">
        <f>VLOOKUP(B561,'Growthrates source'!A$2:H$49,8,FALSE)</f>
        <v>-2.9414192821425544E-2</v>
      </c>
      <c r="AP561" s="93">
        <f>VLOOKUP(B561,'Growthrates source'!A$2:I$49,9,FALSE)</f>
        <v>0.35384209356504925</v>
      </c>
      <c r="AQ561" s="86">
        <f t="shared" si="157"/>
        <v>166.81480812019132</v>
      </c>
      <c r="AR561" s="86">
        <f t="shared" si="158"/>
        <v>416.27228619555069</v>
      </c>
      <c r="AS561" s="94">
        <f t="shared" si="159"/>
        <v>0.98845746872436202</v>
      </c>
      <c r="AT561" s="94">
        <f t="shared" si="160"/>
        <v>0.65513597028594406</v>
      </c>
      <c r="AU561" s="94">
        <f t="shared" si="161"/>
        <v>0.6245051934762621</v>
      </c>
    </row>
    <row r="562" spans="1:47" x14ac:dyDescent="0.3">
      <c r="A562" s="85" t="str">
        <f>_xlfn.XLOOKUP(B562,'Country codes &amp; Data sources'!G:G,'Country codes &amp; Data sources'!H:H,,0)</f>
        <v>Lesotho</v>
      </c>
      <c r="B562" s="85" t="s">
        <v>160</v>
      </c>
      <c r="C562" s="86">
        <v>2054726</v>
      </c>
      <c r="D562" s="85" t="s">
        <v>203</v>
      </c>
      <c r="E562" s="87">
        <v>0</v>
      </c>
      <c r="F562" s="88">
        <v>2073938.4999999998</v>
      </c>
      <c r="G562" s="87">
        <v>0</v>
      </c>
      <c r="I562" s="87">
        <v>0</v>
      </c>
      <c r="K562" s="87">
        <v>0</v>
      </c>
      <c r="M562" s="87">
        <v>0</v>
      </c>
      <c r="O562" s="87">
        <v>0</v>
      </c>
      <c r="P562" s="88">
        <v>2198017</v>
      </c>
      <c r="Q562" s="87">
        <v>0</v>
      </c>
      <c r="R562" s="87">
        <f t="shared" si="144"/>
        <v>849</v>
      </c>
      <c r="T562" s="87">
        <v>0</v>
      </c>
      <c r="V562" s="87">
        <v>0</v>
      </c>
      <c r="X562" s="87">
        <v>0</v>
      </c>
      <c r="Y562" s="88">
        <v>2305825.5000000019</v>
      </c>
      <c r="Z562" s="87">
        <v>0</v>
      </c>
      <c r="AA562" s="87">
        <v>849</v>
      </c>
      <c r="AB562" s="89">
        <f t="shared" si="145"/>
        <v>0</v>
      </c>
      <c r="AC562" s="89">
        <f t="shared" si="146"/>
        <v>0</v>
      </c>
      <c r="AD562" s="89">
        <f t="shared" si="147"/>
        <v>0</v>
      </c>
      <c r="AE562" s="90">
        <f t="shared" si="148"/>
        <v>0</v>
      </c>
      <c r="AF562" s="90" t="str">
        <f t="shared" si="149"/>
        <v/>
      </c>
      <c r="AG562" s="90">
        <f t="shared" si="150"/>
        <v>849</v>
      </c>
      <c r="AH562" s="90" t="str">
        <f t="shared" si="151"/>
        <v>2018 (triag)</v>
      </c>
      <c r="AI562" s="90">
        <f t="shared" si="152"/>
        <v>849</v>
      </c>
      <c r="AJ562" s="90" t="str">
        <f t="shared" si="153"/>
        <v>2018 (triag)</v>
      </c>
      <c r="AK562" s="90" t="str">
        <f t="shared" si="154"/>
        <v/>
      </c>
      <c r="AL562" s="91">
        <f>IF(AK562="Adjust",(_xlfn.XLOOKUP(A562,'Adj factor'!A:A,'Adj factor'!I:I,,0)*AI562),'Master DataSheet'!AI562)</f>
        <v>849</v>
      </c>
      <c r="AM562" s="91">
        <f t="shared" si="155"/>
        <v>849</v>
      </c>
      <c r="AN562" s="92" t="str">
        <f t="shared" si="156"/>
        <v>No change</v>
      </c>
      <c r="AO562" s="93">
        <f>VLOOKUP(B562,'Growthrates source'!A$2:H$49,8,FALSE)</f>
        <v>-2.9414192821425544E-2</v>
      </c>
      <c r="AP562" s="93">
        <f>VLOOKUP(B562,'Growthrates source'!A$2:I$49,9,FALSE)</f>
        <v>0.35384209356504925</v>
      </c>
      <c r="AQ562" s="86">
        <f t="shared" si="157"/>
        <v>983.51230620862793</v>
      </c>
      <c r="AR562" s="86">
        <f t="shared" si="158"/>
        <v>2454.272020694601</v>
      </c>
      <c r="AS562" s="94">
        <f t="shared" si="159"/>
        <v>0</v>
      </c>
      <c r="AT562" s="94">
        <f t="shared" si="160"/>
        <v>3.8625724914775454</v>
      </c>
      <c r="AU562" s="94">
        <f t="shared" si="161"/>
        <v>3.6819785365371289</v>
      </c>
    </row>
    <row r="563" spans="1:47" x14ac:dyDescent="0.3">
      <c r="A563" s="85" t="str">
        <f>_xlfn.XLOOKUP(B563,'Country codes &amp; Data sources'!G:G,'Country codes &amp; Data sources'!H:H,,0)</f>
        <v>Lesotho</v>
      </c>
      <c r="B563" s="85" t="s">
        <v>160</v>
      </c>
      <c r="C563" s="86">
        <v>2054727</v>
      </c>
      <c r="D563" s="85" t="s">
        <v>204</v>
      </c>
      <c r="E563" s="87">
        <v>0</v>
      </c>
      <c r="F563" s="88">
        <v>2073938.4999999998</v>
      </c>
      <c r="G563" s="87">
        <v>0</v>
      </c>
      <c r="I563" s="87">
        <v>0</v>
      </c>
      <c r="K563" s="87">
        <v>0</v>
      </c>
      <c r="M563" s="87">
        <v>0</v>
      </c>
      <c r="O563" s="87">
        <v>0</v>
      </c>
      <c r="P563" s="88">
        <v>2198017</v>
      </c>
      <c r="Q563" s="87">
        <v>0</v>
      </c>
      <c r="R563" s="87">
        <f t="shared" si="144"/>
        <v>110</v>
      </c>
      <c r="T563" s="87">
        <v>0</v>
      </c>
      <c r="V563" s="87">
        <v>0</v>
      </c>
      <c r="X563" s="87">
        <v>0</v>
      </c>
      <c r="Y563" s="88">
        <v>2305825.5000000019</v>
      </c>
      <c r="Z563" s="87">
        <v>33</v>
      </c>
      <c r="AA563" s="87">
        <v>110</v>
      </c>
      <c r="AB563" s="89">
        <f t="shared" si="145"/>
        <v>0</v>
      </c>
      <c r="AC563" s="89">
        <f t="shared" si="146"/>
        <v>0</v>
      </c>
      <c r="AD563" s="89">
        <f t="shared" si="147"/>
        <v>33</v>
      </c>
      <c r="AE563" s="90">
        <f t="shared" si="148"/>
        <v>0</v>
      </c>
      <c r="AF563" s="90" t="str">
        <f t="shared" si="149"/>
        <v/>
      </c>
      <c r="AG563" s="90">
        <f t="shared" si="150"/>
        <v>110</v>
      </c>
      <c r="AH563" s="90" t="str">
        <f t="shared" si="151"/>
        <v>2018 (triag)</v>
      </c>
      <c r="AI563" s="90">
        <f t="shared" si="152"/>
        <v>33</v>
      </c>
      <c r="AJ563" s="90">
        <f t="shared" si="153"/>
        <v>2022</v>
      </c>
      <c r="AK563" s="90" t="str">
        <f t="shared" si="154"/>
        <v>Adjust</v>
      </c>
      <c r="AL563" s="91">
        <f>IF(AK563="Adjust",(_xlfn.XLOOKUP(A563,'Adj factor'!A:A,'Adj factor'!I:I,,0)*AI563),'Master DataSheet'!AI563)</f>
        <v>42.162196889826042</v>
      </c>
      <c r="AM563" s="91">
        <f t="shared" si="155"/>
        <v>110</v>
      </c>
      <c r="AN563" s="92" t="str">
        <f t="shared" si="156"/>
        <v>Decreasing</v>
      </c>
      <c r="AO563" s="93">
        <f>VLOOKUP(B563,'Growthrates source'!A$2:H$49,8,FALSE)</f>
        <v>-2.9414192821425544E-2</v>
      </c>
      <c r="AP563" s="93">
        <f>VLOOKUP(B563,'Growthrates source'!A$2:I$49,9,FALSE)</f>
        <v>0.35384209356504925</v>
      </c>
      <c r="AQ563" s="86">
        <f t="shared" si="157"/>
        <v>127.42797842514614</v>
      </c>
      <c r="AR563" s="86">
        <f t="shared" si="158"/>
        <v>317.98577417715677</v>
      </c>
      <c r="AS563" s="94">
        <f t="shared" si="159"/>
        <v>0</v>
      </c>
      <c r="AT563" s="94">
        <f t="shared" si="160"/>
        <v>0.500451088412874</v>
      </c>
      <c r="AU563" s="94">
        <f t="shared" si="161"/>
        <v>0.47705257834992243</v>
      </c>
    </row>
    <row r="564" spans="1:47" x14ac:dyDescent="0.3">
      <c r="A564" s="85" t="str">
        <f>_xlfn.XLOOKUP(B564,'Country codes &amp; Data sources'!G:G,'Country codes &amp; Data sources'!H:H,,0)</f>
        <v>Lesotho</v>
      </c>
      <c r="B564" s="85" t="s">
        <v>160</v>
      </c>
      <c r="C564" s="86">
        <v>2054728</v>
      </c>
      <c r="D564" s="85" t="s">
        <v>205</v>
      </c>
      <c r="E564" s="87">
        <v>0</v>
      </c>
      <c r="F564" s="88">
        <v>2073938.4999999998</v>
      </c>
      <c r="G564" s="87">
        <v>0</v>
      </c>
      <c r="I564" s="87">
        <v>0</v>
      </c>
      <c r="K564" s="87">
        <v>0</v>
      </c>
      <c r="M564" s="87">
        <v>0</v>
      </c>
      <c r="O564" s="87">
        <v>0</v>
      </c>
      <c r="P564" s="88">
        <v>2198017</v>
      </c>
      <c r="Q564" s="87">
        <v>0</v>
      </c>
      <c r="R564" s="87">
        <f t="shared" si="144"/>
        <v>10</v>
      </c>
      <c r="T564" s="87">
        <v>6</v>
      </c>
      <c r="V564" s="87">
        <v>0</v>
      </c>
      <c r="X564" s="87">
        <v>13</v>
      </c>
      <c r="Y564" s="88">
        <v>2305825.5000000019</v>
      </c>
      <c r="Z564" s="87">
        <v>13</v>
      </c>
      <c r="AA564" s="87">
        <v>10</v>
      </c>
      <c r="AB564" s="89">
        <f t="shared" si="145"/>
        <v>0</v>
      </c>
      <c r="AC564" s="89">
        <f t="shared" si="146"/>
        <v>6</v>
      </c>
      <c r="AD564" s="89">
        <f t="shared" si="147"/>
        <v>13</v>
      </c>
      <c r="AE564" s="90">
        <f t="shared" si="148"/>
        <v>0</v>
      </c>
      <c r="AF564" s="90" t="str">
        <f t="shared" si="149"/>
        <v/>
      </c>
      <c r="AG564" s="90">
        <f t="shared" si="150"/>
        <v>10</v>
      </c>
      <c r="AH564" s="90" t="str">
        <f t="shared" si="151"/>
        <v>2018 (triag)</v>
      </c>
      <c r="AI564" s="90">
        <f t="shared" si="152"/>
        <v>13</v>
      </c>
      <c r="AJ564" s="90">
        <f t="shared" si="153"/>
        <v>2021</v>
      </c>
      <c r="AK564" s="90" t="str">
        <f t="shared" si="154"/>
        <v/>
      </c>
      <c r="AL564" s="91">
        <f>IF(AK564="Adjust",(_xlfn.XLOOKUP(A564,'Adj factor'!A:A,'Adj factor'!I:I,,0)*AI564),'Master DataSheet'!AI564)</f>
        <v>13</v>
      </c>
      <c r="AM564" s="104">
        <v>13</v>
      </c>
      <c r="AN564" s="92" t="str">
        <f t="shared" si="156"/>
        <v>Increasing</v>
      </c>
      <c r="AO564" s="93">
        <f>VLOOKUP(B564,'Growthrates source'!A$2:H$49,8,FALSE)</f>
        <v>-2.9414192821425544E-2</v>
      </c>
      <c r="AP564" s="93">
        <f>VLOOKUP(B564,'Growthrates source'!A$2:I$49,9,FALSE)</f>
        <v>0.35384209356504925</v>
      </c>
      <c r="AQ564" s="86">
        <f t="shared" si="157"/>
        <v>11.584361675013286</v>
      </c>
      <c r="AR564" s="86">
        <f t="shared" si="158"/>
        <v>28.907797652468798</v>
      </c>
      <c r="AS564" s="94">
        <f t="shared" si="159"/>
        <v>0</v>
      </c>
      <c r="AT564" s="94">
        <f t="shared" si="160"/>
        <v>4.5495553492079455E-2</v>
      </c>
      <c r="AU564" s="94">
        <f t="shared" si="161"/>
        <v>5.6378941077718105E-2</v>
      </c>
    </row>
    <row r="565" spans="1:47" x14ac:dyDescent="0.3">
      <c r="A565" s="85" t="str">
        <f>_xlfn.XLOOKUP(B565,'Country codes &amp; Data sources'!G:G,'Country codes &amp; Data sources'!H:H,,0)</f>
        <v>Lesotho</v>
      </c>
      <c r="B565" s="85" t="s">
        <v>160</v>
      </c>
      <c r="C565" s="86">
        <v>2054729</v>
      </c>
      <c r="D565" s="85" t="s">
        <v>133</v>
      </c>
      <c r="E565" s="87">
        <v>0</v>
      </c>
      <c r="F565" s="88">
        <v>2073938.4999999998</v>
      </c>
      <c r="G565" s="87">
        <v>0</v>
      </c>
      <c r="I565" s="87">
        <v>0</v>
      </c>
      <c r="K565" s="87">
        <v>0</v>
      </c>
      <c r="M565" s="87">
        <v>0</v>
      </c>
      <c r="O565" s="87">
        <v>0</v>
      </c>
      <c r="P565" s="88">
        <v>2198017</v>
      </c>
      <c r="Q565" s="87">
        <v>205</v>
      </c>
      <c r="R565" s="87">
        <f t="shared" si="144"/>
        <v>416</v>
      </c>
      <c r="T565" s="87">
        <v>0</v>
      </c>
      <c r="V565" s="87">
        <v>0</v>
      </c>
      <c r="Y565" s="88">
        <v>2305825.5000000019</v>
      </c>
      <c r="Z565" s="87">
        <v>0</v>
      </c>
      <c r="AA565" s="87">
        <v>416</v>
      </c>
      <c r="AB565" s="89">
        <f t="shared" si="145"/>
        <v>0</v>
      </c>
      <c r="AC565" s="89">
        <f t="shared" si="146"/>
        <v>205</v>
      </c>
      <c r="AD565" s="89">
        <f t="shared" si="147"/>
        <v>0</v>
      </c>
      <c r="AE565" s="90">
        <f t="shared" si="148"/>
        <v>0</v>
      </c>
      <c r="AF565" s="90" t="str">
        <f t="shared" si="149"/>
        <v/>
      </c>
      <c r="AG565" s="90">
        <f t="shared" si="150"/>
        <v>416</v>
      </c>
      <c r="AH565" s="90" t="str">
        <f t="shared" si="151"/>
        <v>2018 (triag)</v>
      </c>
      <c r="AI565" s="90">
        <f t="shared" si="152"/>
        <v>416</v>
      </c>
      <c r="AJ565" s="90" t="str">
        <f t="shared" si="153"/>
        <v>2018 (triag)</v>
      </c>
      <c r="AK565" s="90" t="str">
        <f t="shared" si="154"/>
        <v/>
      </c>
      <c r="AL565" s="91">
        <f>IF(AK565="Adjust",(_xlfn.XLOOKUP(A565,'Adj factor'!A:A,'Adj factor'!I:I,,0)*AI565),'Master DataSheet'!AI565)</f>
        <v>416</v>
      </c>
      <c r="AM565" s="91">
        <f t="shared" si="155"/>
        <v>416</v>
      </c>
      <c r="AN565" s="92" t="str">
        <f t="shared" si="156"/>
        <v>No change</v>
      </c>
      <c r="AO565" s="93">
        <f>VLOOKUP(B565,'Growthrates source'!A$2:H$49,8,FALSE)</f>
        <v>-2.9414192821425544E-2</v>
      </c>
      <c r="AP565" s="93">
        <f>VLOOKUP(B565,'Growthrates source'!A$2:I$49,9,FALSE)</f>
        <v>0.35384209356504925</v>
      </c>
      <c r="AQ565" s="86">
        <f t="shared" si="157"/>
        <v>481.90944568055266</v>
      </c>
      <c r="AR565" s="86">
        <f t="shared" si="158"/>
        <v>1202.5643823427019</v>
      </c>
      <c r="AS565" s="94">
        <f t="shared" si="159"/>
        <v>0</v>
      </c>
      <c r="AT565" s="94">
        <f t="shared" si="160"/>
        <v>1.8926150252705052</v>
      </c>
      <c r="AU565" s="94">
        <f t="shared" si="161"/>
        <v>1.8041261144869793</v>
      </c>
    </row>
    <row r="566" spans="1:47" x14ac:dyDescent="0.3">
      <c r="A566" s="85" t="str">
        <f>_xlfn.XLOOKUP(B566,'Country codes &amp; Data sources'!G:G,'Country codes &amp; Data sources'!H:H,,0)</f>
        <v>Lesotho</v>
      </c>
      <c r="B566" s="85" t="s">
        <v>160</v>
      </c>
      <c r="C566" s="86">
        <v>2054730</v>
      </c>
      <c r="D566" s="85" t="s">
        <v>206</v>
      </c>
      <c r="E566" s="87">
        <v>0</v>
      </c>
      <c r="F566" s="88">
        <v>2073938.4999999998</v>
      </c>
      <c r="G566" s="87">
        <v>0</v>
      </c>
      <c r="I566" s="87">
        <v>0</v>
      </c>
      <c r="K566" s="87">
        <v>0</v>
      </c>
      <c r="M566" s="87">
        <v>0</v>
      </c>
      <c r="O566" s="87">
        <v>0</v>
      </c>
      <c r="P566" s="88">
        <v>2198017</v>
      </c>
      <c r="Q566" s="87">
        <v>0</v>
      </c>
      <c r="R566" s="87">
        <f t="shared" si="144"/>
        <v>71</v>
      </c>
      <c r="T566" s="87">
        <v>0</v>
      </c>
      <c r="V566" s="87">
        <v>0</v>
      </c>
      <c r="X566" s="87">
        <v>0</v>
      </c>
      <c r="Y566" s="88">
        <v>2305825.5000000019</v>
      </c>
      <c r="Z566" s="87">
        <v>5</v>
      </c>
      <c r="AA566" s="87">
        <v>71</v>
      </c>
      <c r="AB566" s="89">
        <f t="shared" si="145"/>
        <v>0</v>
      </c>
      <c r="AC566" s="89">
        <f t="shared" si="146"/>
        <v>0</v>
      </c>
      <c r="AD566" s="89">
        <f t="shared" si="147"/>
        <v>5</v>
      </c>
      <c r="AE566" s="90">
        <f t="shared" si="148"/>
        <v>0</v>
      </c>
      <c r="AF566" s="90" t="str">
        <f t="shared" si="149"/>
        <v/>
      </c>
      <c r="AG566" s="90">
        <f t="shared" si="150"/>
        <v>71</v>
      </c>
      <c r="AH566" s="90" t="str">
        <f t="shared" si="151"/>
        <v>2018 (triag)</v>
      </c>
      <c r="AI566" s="90">
        <f t="shared" si="152"/>
        <v>5</v>
      </c>
      <c r="AJ566" s="90">
        <f t="shared" si="153"/>
        <v>2022</v>
      </c>
      <c r="AK566" s="90" t="str">
        <f t="shared" si="154"/>
        <v>Adjust</v>
      </c>
      <c r="AL566" s="91">
        <f>IF(AK566="Adjust",(_xlfn.XLOOKUP(A566,'Adj factor'!A:A,'Adj factor'!I:I,,0)*AI566),'Master DataSheet'!AI566)</f>
        <v>6.388211649973643</v>
      </c>
      <c r="AM566" s="91">
        <f t="shared" si="155"/>
        <v>71</v>
      </c>
      <c r="AN566" s="92" t="str">
        <f t="shared" si="156"/>
        <v>Decreasing</v>
      </c>
      <c r="AO566" s="93">
        <f>VLOOKUP(B566,'Growthrates source'!A$2:H$49,8,FALSE)</f>
        <v>-2.9414192821425544E-2</v>
      </c>
      <c r="AP566" s="93">
        <f>VLOOKUP(B566,'Growthrates source'!A$2:I$49,9,FALSE)</f>
        <v>0.35384209356504925</v>
      </c>
      <c r="AQ566" s="86">
        <f t="shared" si="157"/>
        <v>82.248967892594322</v>
      </c>
      <c r="AR566" s="86">
        <f t="shared" si="158"/>
        <v>205.24536333252846</v>
      </c>
      <c r="AS566" s="94">
        <f t="shared" si="159"/>
        <v>0</v>
      </c>
      <c r="AT566" s="94">
        <f t="shared" si="160"/>
        <v>0.32301842979376411</v>
      </c>
      <c r="AU566" s="94">
        <f t="shared" si="161"/>
        <v>0.30791575511676811</v>
      </c>
    </row>
    <row r="567" spans="1:47" x14ac:dyDescent="0.3">
      <c r="A567" s="85" t="str">
        <f>_xlfn.XLOOKUP(B567,'Country codes &amp; Data sources'!G:G,'Country codes &amp; Data sources'!H:H,,0)</f>
        <v>Lesotho</v>
      </c>
      <c r="B567" s="85" t="s">
        <v>160</v>
      </c>
      <c r="C567" s="86">
        <v>2054731</v>
      </c>
      <c r="D567" s="85" t="s">
        <v>136</v>
      </c>
      <c r="E567" s="87">
        <v>0</v>
      </c>
      <c r="F567" s="88">
        <v>2073938.4999999998</v>
      </c>
      <c r="G567" s="87">
        <v>0</v>
      </c>
      <c r="I567" s="87">
        <v>0</v>
      </c>
      <c r="K567" s="87">
        <v>0</v>
      </c>
      <c r="M567" s="87">
        <v>0</v>
      </c>
      <c r="O567" s="87">
        <v>0</v>
      </c>
      <c r="P567" s="88">
        <v>2198017</v>
      </c>
      <c r="Q567" s="87">
        <v>0</v>
      </c>
      <c r="R567" s="87">
        <f t="shared" si="144"/>
        <v>41</v>
      </c>
      <c r="T567" s="87">
        <v>0</v>
      </c>
      <c r="V567" s="87">
        <v>0</v>
      </c>
      <c r="X567" s="103">
        <v>41</v>
      </c>
      <c r="Y567" s="88">
        <v>2305825.5000000019</v>
      </c>
      <c r="Z567" s="87">
        <v>76</v>
      </c>
      <c r="AA567" s="87">
        <v>41</v>
      </c>
      <c r="AB567" s="89">
        <f t="shared" si="145"/>
        <v>0</v>
      </c>
      <c r="AC567" s="89">
        <f t="shared" si="146"/>
        <v>0</v>
      </c>
      <c r="AD567" s="89">
        <f t="shared" si="147"/>
        <v>76</v>
      </c>
      <c r="AE567" s="90">
        <f t="shared" si="148"/>
        <v>0</v>
      </c>
      <c r="AF567" s="90" t="str">
        <f t="shared" si="149"/>
        <v/>
      </c>
      <c r="AG567" s="90">
        <f t="shared" si="150"/>
        <v>41</v>
      </c>
      <c r="AH567" s="90" t="str">
        <f t="shared" si="151"/>
        <v>2018 (triag)</v>
      </c>
      <c r="AI567" s="90">
        <f t="shared" si="152"/>
        <v>76</v>
      </c>
      <c r="AJ567" s="90">
        <f t="shared" si="153"/>
        <v>2022</v>
      </c>
      <c r="AK567" s="90" t="str">
        <f t="shared" si="154"/>
        <v/>
      </c>
      <c r="AL567" s="91">
        <f>IF(AK567="Adjust",(_xlfn.XLOOKUP(A567,'Adj factor'!A:A,'Adj factor'!I:I,,0)*AI567),'Master DataSheet'!AI567)</f>
        <v>76</v>
      </c>
      <c r="AM567" s="91">
        <f t="shared" si="155"/>
        <v>76</v>
      </c>
      <c r="AN567" s="92" t="str">
        <f t="shared" si="156"/>
        <v>Increasing</v>
      </c>
      <c r="AO567" s="93">
        <f>VLOOKUP(B567,'Growthrates source'!A$2:H$49,8,FALSE)</f>
        <v>-2.9414192821425544E-2</v>
      </c>
      <c r="AP567" s="93">
        <f>VLOOKUP(B567,'Growthrates source'!A$2:I$49,9,FALSE)</f>
        <v>0.35384209356504925</v>
      </c>
      <c r="AQ567" s="86">
        <f t="shared" si="157"/>
        <v>47.495882867554471</v>
      </c>
      <c r="AR567" s="86">
        <f t="shared" si="158"/>
        <v>118.52197037512208</v>
      </c>
      <c r="AS567" s="94">
        <f t="shared" si="159"/>
        <v>0</v>
      </c>
      <c r="AT567" s="94">
        <f t="shared" si="160"/>
        <v>0.18653176931752574</v>
      </c>
      <c r="AU567" s="94">
        <f t="shared" si="161"/>
        <v>0.32959996322358276</v>
      </c>
    </row>
    <row r="568" spans="1:47" x14ac:dyDescent="0.3">
      <c r="A568" s="85" t="str">
        <f>_xlfn.XLOOKUP(B568,'Country codes &amp; Data sources'!G:G,'Country codes &amp; Data sources'!H:H,,0)</f>
        <v>Lesotho</v>
      </c>
      <c r="B568" s="85" t="s">
        <v>160</v>
      </c>
      <c r="C568" s="86">
        <v>2054732</v>
      </c>
      <c r="D568" s="85" t="s">
        <v>207</v>
      </c>
      <c r="E568" s="87">
        <v>0</v>
      </c>
      <c r="F568" s="88">
        <v>2073938.4999999998</v>
      </c>
      <c r="G568" s="87">
        <v>0</v>
      </c>
      <c r="I568" s="87">
        <v>0</v>
      </c>
      <c r="K568" s="87">
        <v>0</v>
      </c>
      <c r="M568" s="87">
        <v>0</v>
      </c>
      <c r="O568" s="87">
        <v>0</v>
      </c>
      <c r="P568" s="88">
        <v>2198017</v>
      </c>
      <c r="Q568" s="87">
        <v>0</v>
      </c>
      <c r="R568" s="87">
        <f t="shared" si="144"/>
        <v>349</v>
      </c>
      <c r="T568" s="87">
        <v>0</v>
      </c>
      <c r="V568" s="87">
        <v>0</v>
      </c>
      <c r="X568" s="87">
        <v>0</v>
      </c>
      <c r="Y568" s="88">
        <v>2305825.5000000019</v>
      </c>
      <c r="Z568" s="87">
        <v>0</v>
      </c>
      <c r="AA568" s="87">
        <v>349</v>
      </c>
      <c r="AB568" s="89">
        <f t="shared" si="145"/>
        <v>0</v>
      </c>
      <c r="AC568" s="89">
        <f t="shared" si="146"/>
        <v>0</v>
      </c>
      <c r="AD568" s="89">
        <f t="shared" si="147"/>
        <v>0</v>
      </c>
      <c r="AE568" s="90">
        <f t="shared" si="148"/>
        <v>0</v>
      </c>
      <c r="AF568" s="90" t="str">
        <f t="shared" si="149"/>
        <v/>
      </c>
      <c r="AG568" s="90">
        <f t="shared" si="150"/>
        <v>349</v>
      </c>
      <c r="AH568" s="90" t="str">
        <f t="shared" si="151"/>
        <v>2018 (triag)</v>
      </c>
      <c r="AI568" s="90">
        <f t="shared" si="152"/>
        <v>349</v>
      </c>
      <c r="AJ568" s="90" t="str">
        <f t="shared" si="153"/>
        <v>2018 (triag)</v>
      </c>
      <c r="AK568" s="90" t="str">
        <f t="shared" si="154"/>
        <v/>
      </c>
      <c r="AL568" s="91">
        <f>IF(AK568="Adjust",(_xlfn.XLOOKUP(A568,'Adj factor'!A:A,'Adj factor'!I:I,,0)*AI568),'Master DataSheet'!AI568)</f>
        <v>349</v>
      </c>
      <c r="AM568" s="91">
        <f t="shared" si="155"/>
        <v>349</v>
      </c>
      <c r="AN568" s="92" t="str">
        <f t="shared" si="156"/>
        <v>No change</v>
      </c>
      <c r="AO568" s="93">
        <f>VLOOKUP(B568,'Growthrates source'!A$2:H$49,8,FALSE)</f>
        <v>-2.9414192821425544E-2</v>
      </c>
      <c r="AP568" s="93">
        <f>VLOOKUP(B568,'Growthrates source'!A$2:I$49,9,FALSE)</f>
        <v>0.35384209356504925</v>
      </c>
      <c r="AQ568" s="86">
        <f t="shared" si="157"/>
        <v>404.29422245796366</v>
      </c>
      <c r="AR568" s="86">
        <f t="shared" si="158"/>
        <v>1008.8821380711611</v>
      </c>
      <c r="AS568" s="94">
        <f t="shared" si="159"/>
        <v>0</v>
      </c>
      <c r="AT568" s="94">
        <f t="shared" si="160"/>
        <v>1.5877948168735729</v>
      </c>
      <c r="AU568" s="94">
        <f t="shared" si="161"/>
        <v>1.5135577258556629</v>
      </c>
    </row>
    <row r="569" spans="1:47" x14ac:dyDescent="0.3">
      <c r="A569" s="85" t="str">
        <f>_xlfn.XLOOKUP(B569,'Country codes &amp; Data sources'!G:G,'Country codes &amp; Data sources'!H:H,,0)</f>
        <v>Lesotho</v>
      </c>
      <c r="B569" s="85" t="s">
        <v>160</v>
      </c>
      <c r="C569" s="86">
        <v>2054733</v>
      </c>
      <c r="D569" s="85" t="s">
        <v>141</v>
      </c>
      <c r="E569" s="87">
        <v>0</v>
      </c>
      <c r="F569" s="88">
        <v>2073938.4999999998</v>
      </c>
      <c r="G569" s="87">
        <v>0</v>
      </c>
      <c r="I569" s="87">
        <v>0</v>
      </c>
      <c r="K569" s="87">
        <v>0</v>
      </c>
      <c r="M569" s="87">
        <v>0</v>
      </c>
      <c r="O569" s="87">
        <v>0</v>
      </c>
      <c r="P569" s="88">
        <v>2198017</v>
      </c>
      <c r="Q569" s="87">
        <v>0</v>
      </c>
      <c r="R569" s="87">
        <f t="shared" si="144"/>
        <v>8</v>
      </c>
      <c r="T569" s="87">
        <v>0</v>
      </c>
      <c r="V569" s="87">
        <v>0</v>
      </c>
      <c r="X569" s="103">
        <v>13</v>
      </c>
      <c r="Y569" s="88">
        <v>2305825.5000000019</v>
      </c>
      <c r="Z569" s="87">
        <v>13</v>
      </c>
      <c r="AA569" s="87">
        <v>8</v>
      </c>
      <c r="AB569" s="89">
        <f t="shared" si="145"/>
        <v>0</v>
      </c>
      <c r="AC569" s="89">
        <f t="shared" si="146"/>
        <v>0</v>
      </c>
      <c r="AD569" s="89">
        <f t="shared" si="147"/>
        <v>13</v>
      </c>
      <c r="AE569" s="90">
        <f t="shared" si="148"/>
        <v>0</v>
      </c>
      <c r="AF569" s="90" t="str">
        <f t="shared" si="149"/>
        <v/>
      </c>
      <c r="AG569" s="90">
        <f t="shared" si="150"/>
        <v>8</v>
      </c>
      <c r="AH569" s="90" t="str">
        <f t="shared" si="151"/>
        <v>2018 (triag)</v>
      </c>
      <c r="AI569" s="90">
        <f t="shared" si="152"/>
        <v>13</v>
      </c>
      <c r="AJ569" s="90">
        <f t="shared" si="153"/>
        <v>2021</v>
      </c>
      <c r="AK569" s="90" t="str">
        <f t="shared" si="154"/>
        <v/>
      </c>
      <c r="AL569" s="91">
        <f>IF(AK569="Adjust",(_xlfn.XLOOKUP(A569,'Adj factor'!A:A,'Adj factor'!I:I,,0)*AI569),'Master DataSheet'!AI569)</f>
        <v>13</v>
      </c>
      <c r="AM569" s="61">
        <v>13</v>
      </c>
      <c r="AN569" s="92" t="str">
        <f t="shared" si="156"/>
        <v>Increasing</v>
      </c>
      <c r="AO569" s="93">
        <f>VLOOKUP(B569,'Growthrates source'!A$2:H$49,8,FALSE)</f>
        <v>-2.9414192821425544E-2</v>
      </c>
      <c r="AP569" s="93">
        <f>VLOOKUP(B569,'Growthrates source'!A$2:I$49,9,FALSE)</f>
        <v>0.35384209356504925</v>
      </c>
      <c r="AQ569" s="86">
        <f t="shared" si="157"/>
        <v>9.2674893400106289</v>
      </c>
      <c r="AR569" s="86">
        <f t="shared" si="158"/>
        <v>23.126238121975039</v>
      </c>
      <c r="AS569" s="94">
        <f t="shared" si="159"/>
        <v>0</v>
      </c>
      <c r="AT569" s="94">
        <f t="shared" si="160"/>
        <v>3.639644279366356E-2</v>
      </c>
      <c r="AU569" s="94">
        <f t="shared" si="161"/>
        <v>5.6378941077718105E-2</v>
      </c>
    </row>
    <row r="570" spans="1:47" x14ac:dyDescent="0.3">
      <c r="A570" s="85" t="str">
        <f>_xlfn.XLOOKUP(B570,'Country codes &amp; Data sources'!G:G,'Country codes &amp; Data sources'!H:H,,0)</f>
        <v>Lesotho</v>
      </c>
      <c r="B570" s="85" t="s">
        <v>160</v>
      </c>
      <c r="C570" s="86">
        <v>2054734</v>
      </c>
      <c r="D570" s="85" t="s">
        <v>208</v>
      </c>
      <c r="E570" s="87">
        <v>0</v>
      </c>
      <c r="F570" s="88">
        <v>2073938.4999999998</v>
      </c>
      <c r="G570" s="87">
        <v>0</v>
      </c>
      <c r="I570" s="87">
        <v>0</v>
      </c>
      <c r="K570" s="87">
        <v>0</v>
      </c>
      <c r="M570" s="87">
        <v>0</v>
      </c>
      <c r="O570" s="87">
        <v>0</v>
      </c>
      <c r="P570" s="88">
        <v>2198017</v>
      </c>
      <c r="Q570" s="87">
        <v>0</v>
      </c>
      <c r="R570" s="87">
        <f t="shared" si="144"/>
        <v>2130</v>
      </c>
      <c r="T570" s="87">
        <v>0</v>
      </c>
      <c r="V570" s="87">
        <v>0</v>
      </c>
      <c r="X570" s="87">
        <v>0</v>
      </c>
      <c r="Y570" s="88">
        <v>2305825.5000000019</v>
      </c>
      <c r="Z570" s="87">
        <v>620</v>
      </c>
      <c r="AA570" s="87">
        <v>2130</v>
      </c>
      <c r="AB570" s="89">
        <f t="shared" si="145"/>
        <v>0</v>
      </c>
      <c r="AC570" s="89">
        <f t="shared" si="146"/>
        <v>0</v>
      </c>
      <c r="AD570" s="89">
        <f t="shared" si="147"/>
        <v>620</v>
      </c>
      <c r="AE570" s="90">
        <f t="shared" si="148"/>
        <v>0</v>
      </c>
      <c r="AF570" s="90" t="str">
        <f t="shared" si="149"/>
        <v/>
      </c>
      <c r="AG570" s="90">
        <f t="shared" si="150"/>
        <v>2130</v>
      </c>
      <c r="AH570" s="90" t="str">
        <f t="shared" si="151"/>
        <v>2018 (triag)</v>
      </c>
      <c r="AI570" s="90">
        <f t="shared" si="152"/>
        <v>620</v>
      </c>
      <c r="AJ570" s="90">
        <f t="shared" si="153"/>
        <v>2022</v>
      </c>
      <c r="AK570" s="90" t="str">
        <f t="shared" si="154"/>
        <v>Adjust</v>
      </c>
      <c r="AL570" s="91">
        <f>IF(AK570="Adjust",(_xlfn.XLOOKUP(A570,'Adj factor'!A:A,'Adj factor'!I:I,,0)*AI570),'Master DataSheet'!AI570)</f>
        <v>792.13824459673174</v>
      </c>
      <c r="AM570" s="91">
        <f t="shared" si="155"/>
        <v>2130</v>
      </c>
      <c r="AN570" s="92" t="str">
        <f t="shared" si="156"/>
        <v>Decreasing</v>
      </c>
      <c r="AO570" s="93">
        <f>VLOOKUP(B570,'Growthrates source'!A$2:H$49,8,FALSE)</f>
        <v>-2.9414192821425544E-2</v>
      </c>
      <c r="AP570" s="93">
        <f>VLOOKUP(B570,'Growthrates source'!A$2:I$49,9,FALSE)</f>
        <v>0.35384209356504925</v>
      </c>
      <c r="AQ570" s="86">
        <f t="shared" si="157"/>
        <v>2467.4690367778298</v>
      </c>
      <c r="AR570" s="86">
        <f t="shared" si="158"/>
        <v>6157.3608999758544</v>
      </c>
      <c r="AS570" s="94">
        <f t="shared" si="159"/>
        <v>0</v>
      </c>
      <c r="AT570" s="94">
        <f t="shared" si="160"/>
        <v>9.6905528938129226</v>
      </c>
      <c r="AU570" s="94">
        <f t="shared" si="161"/>
        <v>9.237472653503044</v>
      </c>
    </row>
    <row r="571" spans="1:47" x14ac:dyDescent="0.3">
      <c r="A571" s="85" t="str">
        <f>_xlfn.XLOOKUP(B571,'Country codes &amp; Data sources'!G:G,'Country codes &amp; Data sources'!H:H,,0)</f>
        <v>Lesotho</v>
      </c>
      <c r="B571" s="85" t="s">
        <v>160</v>
      </c>
      <c r="C571" s="86">
        <v>2054735</v>
      </c>
      <c r="D571" s="85" t="s">
        <v>209</v>
      </c>
      <c r="E571" s="87">
        <v>0</v>
      </c>
      <c r="F571" s="88">
        <v>2073938.4999999998</v>
      </c>
      <c r="G571" s="87">
        <v>0</v>
      </c>
      <c r="I571" s="87">
        <v>0</v>
      </c>
      <c r="K571" s="87">
        <v>0</v>
      </c>
      <c r="M571" s="87">
        <v>0</v>
      </c>
      <c r="O571" s="87">
        <v>0</v>
      </c>
      <c r="P571" s="88">
        <v>2198017</v>
      </c>
      <c r="Q571" s="87">
        <v>0</v>
      </c>
      <c r="R571" s="87">
        <f t="shared" si="144"/>
        <v>58</v>
      </c>
      <c r="T571" s="87">
        <v>0</v>
      </c>
      <c r="V571" s="87">
        <v>0</v>
      </c>
      <c r="X571" s="87">
        <v>0</v>
      </c>
      <c r="Y571" s="88">
        <v>2305825.5000000019</v>
      </c>
      <c r="Z571" s="87">
        <v>0</v>
      </c>
      <c r="AA571" s="87">
        <v>58</v>
      </c>
      <c r="AB571" s="89">
        <f t="shared" si="145"/>
        <v>0</v>
      </c>
      <c r="AC571" s="89">
        <f t="shared" si="146"/>
        <v>0</v>
      </c>
      <c r="AD571" s="89">
        <f t="shared" si="147"/>
        <v>0</v>
      </c>
      <c r="AE571" s="90">
        <f t="shared" si="148"/>
        <v>0</v>
      </c>
      <c r="AF571" s="90" t="str">
        <f t="shared" si="149"/>
        <v/>
      </c>
      <c r="AG571" s="90">
        <f t="shared" si="150"/>
        <v>58</v>
      </c>
      <c r="AH571" s="90" t="str">
        <f t="shared" si="151"/>
        <v>2018 (triag)</v>
      </c>
      <c r="AI571" s="90">
        <f t="shared" si="152"/>
        <v>58</v>
      </c>
      <c r="AJ571" s="90" t="str">
        <f t="shared" si="153"/>
        <v>2018 (triag)</v>
      </c>
      <c r="AK571" s="90" t="str">
        <f t="shared" si="154"/>
        <v/>
      </c>
      <c r="AL571" s="91">
        <f>IF(AK571="Adjust",(_xlfn.XLOOKUP(A571,'Adj factor'!A:A,'Adj factor'!I:I,,0)*AI571),'Master DataSheet'!AI571)</f>
        <v>58</v>
      </c>
      <c r="AM571" s="91">
        <f t="shared" si="155"/>
        <v>58</v>
      </c>
      <c r="AN571" s="92" t="str">
        <f t="shared" si="156"/>
        <v>No change</v>
      </c>
      <c r="AO571" s="93">
        <f>VLOOKUP(B571,'Growthrates source'!A$2:H$49,8,FALSE)</f>
        <v>-2.9414192821425544E-2</v>
      </c>
      <c r="AP571" s="93">
        <f>VLOOKUP(B571,'Growthrates source'!A$2:I$49,9,FALSE)</f>
        <v>0.35384209356504925</v>
      </c>
      <c r="AQ571" s="86">
        <f t="shared" si="157"/>
        <v>67.189297715077061</v>
      </c>
      <c r="AR571" s="86">
        <f t="shared" si="158"/>
        <v>167.66522638431903</v>
      </c>
      <c r="AS571" s="94">
        <f t="shared" si="159"/>
        <v>0</v>
      </c>
      <c r="AT571" s="94">
        <f t="shared" si="160"/>
        <v>0.26387421025406083</v>
      </c>
      <c r="AU571" s="94">
        <f t="shared" si="161"/>
        <v>0.25153681403905004</v>
      </c>
    </row>
    <row r="572" spans="1:47" x14ac:dyDescent="0.3">
      <c r="A572" s="85" t="str">
        <f>_xlfn.XLOOKUP(B572,'Country codes &amp; Data sources'!G:G,'Country codes &amp; Data sources'!H:H,,0)</f>
        <v>Lesotho</v>
      </c>
      <c r="B572" s="85" t="s">
        <v>160</v>
      </c>
      <c r="C572" s="86">
        <v>2054736</v>
      </c>
      <c r="D572" s="85" t="s">
        <v>134</v>
      </c>
      <c r="E572" s="87">
        <v>0</v>
      </c>
      <c r="F572" s="88">
        <v>2073938.4999999998</v>
      </c>
      <c r="G572" s="87">
        <v>0</v>
      </c>
      <c r="I572" s="87">
        <v>0</v>
      </c>
      <c r="K572" s="87">
        <v>0</v>
      </c>
      <c r="M572" s="87">
        <v>0</v>
      </c>
      <c r="O572" s="87">
        <v>0</v>
      </c>
      <c r="P572" s="88">
        <v>2198017</v>
      </c>
      <c r="Q572" s="87">
        <v>0</v>
      </c>
      <c r="R572" s="87">
        <f t="shared" si="144"/>
        <v>205</v>
      </c>
      <c r="T572" s="87">
        <v>0</v>
      </c>
      <c r="V572" s="87">
        <v>0</v>
      </c>
      <c r="X572" s="103">
        <v>273</v>
      </c>
      <c r="Y572" s="88">
        <v>2305825.5000000019</v>
      </c>
      <c r="Z572" s="103">
        <v>273</v>
      </c>
      <c r="AA572" s="87">
        <v>205</v>
      </c>
      <c r="AB572" s="89">
        <f t="shared" si="145"/>
        <v>0</v>
      </c>
      <c r="AC572" s="89">
        <f t="shared" si="146"/>
        <v>0</v>
      </c>
      <c r="AD572" s="89">
        <f t="shared" si="147"/>
        <v>273</v>
      </c>
      <c r="AE572" s="90">
        <f t="shared" si="148"/>
        <v>0</v>
      </c>
      <c r="AF572" s="90" t="str">
        <f t="shared" si="149"/>
        <v/>
      </c>
      <c r="AG572" s="90">
        <f t="shared" si="150"/>
        <v>205</v>
      </c>
      <c r="AH572" s="90" t="str">
        <f t="shared" si="151"/>
        <v>2018 (triag)</v>
      </c>
      <c r="AI572" s="90">
        <f t="shared" si="152"/>
        <v>273</v>
      </c>
      <c r="AJ572" s="90">
        <f t="shared" si="153"/>
        <v>2021</v>
      </c>
      <c r="AK572" s="90" t="str">
        <f t="shared" si="154"/>
        <v/>
      </c>
      <c r="AL572" s="91">
        <f>IF(AK572="Adjust",(_xlfn.XLOOKUP(A572,'Adj factor'!A:A,'Adj factor'!I:I,,0)*AI572),'Master DataSheet'!AI572)</f>
        <v>273</v>
      </c>
      <c r="AM572" s="104">
        <v>273</v>
      </c>
      <c r="AN572" s="92" t="str">
        <f t="shared" si="156"/>
        <v>Increasing</v>
      </c>
      <c r="AO572" s="93">
        <f>VLOOKUP(B572,'Growthrates source'!A$2:H$49,8,FALSE)</f>
        <v>-2.9414192821425544E-2</v>
      </c>
      <c r="AP572" s="93">
        <f>VLOOKUP(B572,'Growthrates source'!A$2:I$49,9,FALSE)</f>
        <v>0.35384209356504925</v>
      </c>
      <c r="AQ572" s="86">
        <f t="shared" si="157"/>
        <v>237.47941433777234</v>
      </c>
      <c r="AR572" s="86">
        <f t="shared" si="158"/>
        <v>592.60985187561039</v>
      </c>
      <c r="AS572" s="94">
        <f t="shared" si="159"/>
        <v>0</v>
      </c>
      <c r="AT572" s="94">
        <f t="shared" si="160"/>
        <v>0.93265884658762876</v>
      </c>
      <c r="AU572" s="94">
        <f t="shared" si="161"/>
        <v>1.1839577626320803</v>
      </c>
    </row>
    <row r="573" spans="1:47" x14ac:dyDescent="0.3">
      <c r="A573" s="85" t="str">
        <f>_xlfn.XLOOKUP(B573,'Country codes &amp; Data sources'!G:G,'Country codes &amp; Data sources'!H:H,,0)</f>
        <v>Lesotho</v>
      </c>
      <c r="B573" s="85" t="s">
        <v>160</v>
      </c>
      <c r="C573" s="86">
        <v>2054737</v>
      </c>
      <c r="D573" s="85" t="s">
        <v>142</v>
      </c>
      <c r="E573" s="87">
        <v>0</v>
      </c>
      <c r="F573" s="88">
        <v>2073938.4999999998</v>
      </c>
      <c r="G573" s="87">
        <v>0</v>
      </c>
      <c r="I573" s="87">
        <v>0</v>
      </c>
      <c r="K573" s="87">
        <v>0</v>
      </c>
      <c r="M573" s="87">
        <v>0</v>
      </c>
      <c r="O573" s="87">
        <v>0</v>
      </c>
      <c r="P573" s="88">
        <v>2198017</v>
      </c>
      <c r="Q573" s="87">
        <v>0</v>
      </c>
      <c r="R573" s="87">
        <f t="shared" si="144"/>
        <v>4</v>
      </c>
      <c r="T573" s="87">
        <v>0</v>
      </c>
      <c r="V573" s="87">
        <v>0</v>
      </c>
      <c r="X573" s="87">
        <v>0</v>
      </c>
      <c r="Y573" s="88">
        <v>2305825.5000000019</v>
      </c>
      <c r="Z573" s="87">
        <v>2</v>
      </c>
      <c r="AA573" s="87">
        <v>4</v>
      </c>
      <c r="AB573" s="89">
        <f t="shared" si="145"/>
        <v>0</v>
      </c>
      <c r="AC573" s="89">
        <f t="shared" si="146"/>
        <v>0</v>
      </c>
      <c r="AD573" s="89">
        <f t="shared" si="147"/>
        <v>2</v>
      </c>
      <c r="AE573" s="90">
        <f t="shared" si="148"/>
        <v>0</v>
      </c>
      <c r="AF573" s="90" t="str">
        <f t="shared" si="149"/>
        <v/>
      </c>
      <c r="AG573" s="90">
        <f t="shared" si="150"/>
        <v>4</v>
      </c>
      <c r="AH573" s="90" t="str">
        <f t="shared" si="151"/>
        <v>2018 (triag)</v>
      </c>
      <c r="AI573" s="90">
        <f t="shared" si="152"/>
        <v>2</v>
      </c>
      <c r="AJ573" s="90">
        <f t="shared" si="153"/>
        <v>2022</v>
      </c>
      <c r="AK573" s="90" t="str">
        <f t="shared" si="154"/>
        <v>Adjust</v>
      </c>
      <c r="AL573" s="91">
        <f>IF(AK573="Adjust",(_xlfn.XLOOKUP(A573,'Adj factor'!A:A,'Adj factor'!I:I,,0)*AI573),'Master DataSheet'!AI573)</f>
        <v>2.5552846599894572</v>
      </c>
      <c r="AM573" s="91">
        <f t="shared" si="155"/>
        <v>4</v>
      </c>
      <c r="AN573" s="92" t="str">
        <f t="shared" si="156"/>
        <v>Decreasing</v>
      </c>
      <c r="AO573" s="93">
        <f>VLOOKUP(B573,'Growthrates source'!A$2:H$49,8,FALSE)</f>
        <v>-2.9414192821425544E-2</v>
      </c>
      <c r="AP573" s="93">
        <f>VLOOKUP(B573,'Growthrates source'!A$2:I$49,9,FALSE)</f>
        <v>0.35384209356504925</v>
      </c>
      <c r="AQ573" s="86">
        <f t="shared" si="157"/>
        <v>4.6337446700053144</v>
      </c>
      <c r="AR573" s="86">
        <f t="shared" si="158"/>
        <v>11.563119060987519</v>
      </c>
      <c r="AS573" s="94">
        <f t="shared" si="159"/>
        <v>0</v>
      </c>
      <c r="AT573" s="94">
        <f t="shared" si="160"/>
        <v>1.819822139683178E-2</v>
      </c>
      <c r="AU573" s="94">
        <f t="shared" si="161"/>
        <v>1.7347366485451727E-2</v>
      </c>
    </row>
    <row r="574" spans="1:47" x14ac:dyDescent="0.3">
      <c r="A574" s="85" t="str">
        <f>_xlfn.XLOOKUP(B574,'Country codes &amp; Data sources'!G:G,'Country codes &amp; Data sources'!H:H,,0)</f>
        <v>Lesotho</v>
      </c>
      <c r="B574" s="85" t="s">
        <v>160</v>
      </c>
      <c r="C574" s="86">
        <v>2054738</v>
      </c>
      <c r="D574" s="85" t="s">
        <v>83</v>
      </c>
      <c r="E574" s="87">
        <v>0</v>
      </c>
      <c r="F574" s="88">
        <v>2073938.4999999998</v>
      </c>
      <c r="G574" s="87">
        <v>0</v>
      </c>
      <c r="I574" s="87">
        <v>0</v>
      </c>
      <c r="K574" s="87">
        <v>0</v>
      </c>
      <c r="M574" s="87">
        <v>0</v>
      </c>
      <c r="O574" s="87">
        <v>0</v>
      </c>
      <c r="P574" s="88">
        <v>2198017</v>
      </c>
      <c r="Q574" s="87">
        <v>0</v>
      </c>
      <c r="R574" s="87">
        <f t="shared" si="144"/>
        <v>22</v>
      </c>
      <c r="T574" s="87">
        <v>0</v>
      </c>
      <c r="V574" s="87">
        <v>0</v>
      </c>
      <c r="X574" s="87">
        <v>22</v>
      </c>
      <c r="Y574" s="88">
        <v>2305825.5000000019</v>
      </c>
      <c r="Z574" s="87">
        <v>7</v>
      </c>
      <c r="AA574" s="87">
        <v>22</v>
      </c>
      <c r="AB574" s="89">
        <f t="shared" si="145"/>
        <v>0</v>
      </c>
      <c r="AC574" s="89">
        <f t="shared" si="146"/>
        <v>0</v>
      </c>
      <c r="AD574" s="89">
        <f t="shared" si="147"/>
        <v>22</v>
      </c>
      <c r="AE574" s="90">
        <f t="shared" si="148"/>
        <v>0</v>
      </c>
      <c r="AF574" s="90" t="str">
        <f t="shared" si="149"/>
        <v/>
      </c>
      <c r="AG574" s="90">
        <f t="shared" si="150"/>
        <v>22</v>
      </c>
      <c r="AH574" s="90" t="str">
        <f t="shared" si="151"/>
        <v>2018 (triag)</v>
      </c>
      <c r="AI574" s="90">
        <f t="shared" si="152"/>
        <v>7</v>
      </c>
      <c r="AJ574" s="90">
        <f t="shared" si="153"/>
        <v>2022</v>
      </c>
      <c r="AK574" s="90" t="str">
        <f t="shared" si="154"/>
        <v>Adjust</v>
      </c>
      <c r="AL574" s="91">
        <f>IF(AK574="Adjust",(_xlfn.XLOOKUP(A574,'Adj factor'!A:A,'Adj factor'!I:I,,0)*AI574),'Master DataSheet'!AI574)</f>
        <v>8.9434963099631002</v>
      </c>
      <c r="AM574" s="91">
        <f t="shared" si="155"/>
        <v>22</v>
      </c>
      <c r="AN574" s="92" t="str">
        <f t="shared" si="156"/>
        <v>Decreasing</v>
      </c>
      <c r="AO574" s="93">
        <f>VLOOKUP(B574,'Growthrates source'!A$2:H$49,8,FALSE)</f>
        <v>-2.9414192821425544E-2</v>
      </c>
      <c r="AP574" s="93">
        <f>VLOOKUP(B574,'Growthrates source'!A$2:I$49,9,FALSE)</f>
        <v>0.35384209356504925</v>
      </c>
      <c r="AQ574" s="86">
        <f t="shared" si="157"/>
        <v>25.485595685029228</v>
      </c>
      <c r="AR574" s="86">
        <f t="shared" si="158"/>
        <v>63.597154835431354</v>
      </c>
      <c r="AS574" s="94">
        <f t="shared" si="159"/>
        <v>0</v>
      </c>
      <c r="AT574" s="94">
        <f t="shared" si="160"/>
        <v>0.1000902176825748</v>
      </c>
      <c r="AU574" s="94">
        <f t="shared" si="161"/>
        <v>9.5410515669984486E-2</v>
      </c>
    </row>
    <row r="575" spans="1:47" x14ac:dyDescent="0.3">
      <c r="A575" s="85" t="str">
        <f>_xlfn.XLOOKUP(B575,'Country codes &amp; Data sources'!G:G,'Country codes &amp; Data sources'!H:H,,0)</f>
        <v>Lesotho</v>
      </c>
      <c r="B575" s="85" t="s">
        <v>160</v>
      </c>
      <c r="C575" s="86">
        <v>2054739</v>
      </c>
      <c r="D575" s="85" t="s">
        <v>84</v>
      </c>
      <c r="E575" s="87">
        <v>0</v>
      </c>
      <c r="F575" s="88">
        <v>2073938.4999999998</v>
      </c>
      <c r="G575" s="87">
        <v>0</v>
      </c>
      <c r="I575" s="87">
        <v>0</v>
      </c>
      <c r="K575" s="87">
        <v>0</v>
      </c>
      <c r="M575" s="87">
        <v>0</v>
      </c>
      <c r="O575" s="87">
        <v>0</v>
      </c>
      <c r="P575" s="88">
        <v>2198017</v>
      </c>
      <c r="Q575" s="87">
        <v>0</v>
      </c>
      <c r="R575" s="87">
        <f t="shared" si="144"/>
        <v>0</v>
      </c>
      <c r="T575" s="87">
        <v>0</v>
      </c>
      <c r="V575" s="87">
        <v>0</v>
      </c>
      <c r="X575" s="87">
        <v>0</v>
      </c>
      <c r="Y575" s="88">
        <v>2305825.5000000019</v>
      </c>
      <c r="Z575" s="87">
        <v>0</v>
      </c>
      <c r="AA575" s="87">
        <v>0</v>
      </c>
      <c r="AB575" s="89">
        <f t="shared" si="145"/>
        <v>0</v>
      </c>
      <c r="AC575" s="89">
        <f t="shared" si="146"/>
        <v>0</v>
      </c>
      <c r="AD575" s="89">
        <f t="shared" si="147"/>
        <v>0</v>
      </c>
      <c r="AE575" s="90">
        <f t="shared" si="148"/>
        <v>0</v>
      </c>
      <c r="AF575" s="90" t="str">
        <f t="shared" si="149"/>
        <v/>
      </c>
      <c r="AG575" s="90">
        <f t="shared" si="150"/>
        <v>0</v>
      </c>
      <c r="AH575" s="90" t="str">
        <f t="shared" si="151"/>
        <v/>
      </c>
      <c r="AI575" s="90">
        <f t="shared" si="152"/>
        <v>0</v>
      </c>
      <c r="AJ575" s="90" t="str">
        <f t="shared" si="153"/>
        <v/>
      </c>
      <c r="AK575" s="90" t="str">
        <f t="shared" si="154"/>
        <v/>
      </c>
      <c r="AL575" s="91">
        <f>IF(AK575="Adjust",(_xlfn.XLOOKUP(A575,'Adj factor'!A:A,'Adj factor'!I:I,,0)*AI575),'Master DataSheet'!AI575)</f>
        <v>0</v>
      </c>
      <c r="AM575" s="91">
        <f t="shared" si="155"/>
        <v>0</v>
      </c>
      <c r="AN575" s="92" t="str">
        <f t="shared" si="156"/>
        <v>No change</v>
      </c>
      <c r="AO575" s="93">
        <f>VLOOKUP(B575,'Growthrates source'!A$2:H$49,8,FALSE)</f>
        <v>-2.9414192821425544E-2</v>
      </c>
      <c r="AP575" s="93">
        <f>VLOOKUP(B575,'Growthrates source'!A$2:I$49,9,FALSE)</f>
        <v>0.35384209356504925</v>
      </c>
      <c r="AQ575" s="86">
        <f t="shared" si="157"/>
        <v>0</v>
      </c>
      <c r="AR575" s="86">
        <f t="shared" si="158"/>
        <v>0</v>
      </c>
      <c r="AS575" s="94">
        <f t="shared" si="159"/>
        <v>0</v>
      </c>
      <c r="AT575" s="94">
        <f t="shared" si="160"/>
        <v>0</v>
      </c>
      <c r="AU575" s="94">
        <f t="shared" si="161"/>
        <v>0</v>
      </c>
    </row>
    <row r="576" spans="1:47" x14ac:dyDescent="0.3">
      <c r="A576" s="85" t="str">
        <f>_xlfn.XLOOKUP(B576,'Country codes &amp; Data sources'!G:G,'Country codes &amp; Data sources'!H:H,,0)</f>
        <v>Lesotho</v>
      </c>
      <c r="B576" s="85" t="s">
        <v>160</v>
      </c>
      <c r="C576" s="86">
        <v>2054740</v>
      </c>
      <c r="D576" s="85" t="s">
        <v>126</v>
      </c>
      <c r="E576" s="87">
        <v>0</v>
      </c>
      <c r="F576" s="88">
        <v>2073938.4999999998</v>
      </c>
      <c r="G576" s="87">
        <v>0</v>
      </c>
      <c r="I576" s="87">
        <v>0</v>
      </c>
      <c r="K576" s="87">
        <v>0</v>
      </c>
      <c r="M576" s="87">
        <v>0</v>
      </c>
      <c r="O576" s="87">
        <v>0</v>
      </c>
      <c r="P576" s="88">
        <v>2198017</v>
      </c>
      <c r="Q576" s="87">
        <v>0</v>
      </c>
      <c r="R576" s="87">
        <f t="shared" si="144"/>
        <v>0</v>
      </c>
      <c r="T576" s="87">
        <v>0</v>
      </c>
      <c r="V576" s="87">
        <v>0</v>
      </c>
      <c r="X576" s="87">
        <v>0</v>
      </c>
      <c r="Y576" s="88">
        <v>2305825.5000000019</v>
      </c>
      <c r="Z576" s="87">
        <v>0</v>
      </c>
      <c r="AA576" s="87">
        <v>0</v>
      </c>
      <c r="AB576" s="89">
        <f t="shared" si="145"/>
        <v>0</v>
      </c>
      <c r="AC576" s="89">
        <f t="shared" si="146"/>
        <v>0</v>
      </c>
      <c r="AD576" s="89">
        <f t="shared" si="147"/>
        <v>0</v>
      </c>
      <c r="AE576" s="90">
        <f t="shared" si="148"/>
        <v>0</v>
      </c>
      <c r="AF576" s="90" t="str">
        <f t="shared" si="149"/>
        <v/>
      </c>
      <c r="AG576" s="90">
        <f t="shared" si="150"/>
        <v>0</v>
      </c>
      <c r="AH576" s="90" t="str">
        <f t="shared" si="151"/>
        <v/>
      </c>
      <c r="AI576" s="90">
        <f t="shared" si="152"/>
        <v>0</v>
      </c>
      <c r="AJ576" s="90" t="str">
        <f t="shared" si="153"/>
        <v/>
      </c>
      <c r="AK576" s="90" t="str">
        <f t="shared" si="154"/>
        <v/>
      </c>
      <c r="AL576" s="91">
        <f>IF(AK576="Adjust",(_xlfn.XLOOKUP(A576,'Adj factor'!A:A,'Adj factor'!I:I,,0)*AI576),'Master DataSheet'!AI576)</f>
        <v>0</v>
      </c>
      <c r="AM576" s="91">
        <f t="shared" si="155"/>
        <v>0</v>
      </c>
      <c r="AN576" s="92" t="str">
        <f t="shared" si="156"/>
        <v>No change</v>
      </c>
      <c r="AO576" s="93">
        <f>VLOOKUP(B576,'Growthrates source'!A$2:H$49,8,FALSE)</f>
        <v>-2.9414192821425544E-2</v>
      </c>
      <c r="AP576" s="93">
        <f>VLOOKUP(B576,'Growthrates source'!A$2:I$49,9,FALSE)</f>
        <v>0.35384209356504925</v>
      </c>
      <c r="AQ576" s="86">
        <f t="shared" si="157"/>
        <v>0</v>
      </c>
      <c r="AR576" s="86">
        <f t="shared" si="158"/>
        <v>0</v>
      </c>
      <c r="AS576" s="94">
        <f t="shared" si="159"/>
        <v>0</v>
      </c>
      <c r="AT576" s="94">
        <f t="shared" si="160"/>
        <v>0</v>
      </c>
      <c r="AU576" s="94">
        <f t="shared" si="161"/>
        <v>0</v>
      </c>
    </row>
    <row r="577" spans="1:47" x14ac:dyDescent="0.3">
      <c r="A577" s="85" t="str">
        <f>_xlfn.XLOOKUP(B577,'Country codes &amp; Data sources'!G:G,'Country codes &amp; Data sources'!H:H,,0)</f>
        <v>Lesotho</v>
      </c>
      <c r="B577" s="85" t="s">
        <v>160</v>
      </c>
      <c r="C577" s="86">
        <v>2054741</v>
      </c>
      <c r="D577" s="85" t="s">
        <v>87</v>
      </c>
      <c r="E577" s="87">
        <v>0</v>
      </c>
      <c r="F577" s="88">
        <v>2073938.4999999998</v>
      </c>
      <c r="G577" s="87">
        <v>0</v>
      </c>
      <c r="I577" s="87">
        <v>0</v>
      </c>
      <c r="K577" s="87">
        <v>0</v>
      </c>
      <c r="M577" s="87">
        <v>0</v>
      </c>
      <c r="O577" s="87">
        <v>0</v>
      </c>
      <c r="P577" s="88">
        <v>2198017</v>
      </c>
      <c r="Q577" s="87">
        <v>0</v>
      </c>
      <c r="R577" s="87">
        <f t="shared" si="144"/>
        <v>6097</v>
      </c>
      <c r="T577" s="87">
        <v>0</v>
      </c>
      <c r="V577" s="87">
        <v>0</v>
      </c>
      <c r="X577" s="87">
        <v>0</v>
      </c>
      <c r="Y577" s="88">
        <v>2305825.5000000019</v>
      </c>
      <c r="Z577" s="87">
        <v>0</v>
      </c>
      <c r="AA577" s="87">
        <v>6097</v>
      </c>
      <c r="AB577" s="89">
        <f t="shared" si="145"/>
        <v>0</v>
      </c>
      <c r="AC577" s="89">
        <f t="shared" si="146"/>
        <v>0</v>
      </c>
      <c r="AD577" s="89">
        <f t="shared" si="147"/>
        <v>0</v>
      </c>
      <c r="AE577" s="90">
        <f t="shared" si="148"/>
        <v>0</v>
      </c>
      <c r="AF577" s="90" t="str">
        <f t="shared" si="149"/>
        <v/>
      </c>
      <c r="AG577" s="90">
        <f t="shared" si="150"/>
        <v>6097</v>
      </c>
      <c r="AH577" s="90" t="str">
        <f t="shared" si="151"/>
        <v>2018 (triag)</v>
      </c>
      <c r="AI577" s="90">
        <f t="shared" si="152"/>
        <v>6097</v>
      </c>
      <c r="AJ577" s="90" t="str">
        <f t="shared" si="153"/>
        <v>2018 (triag)</v>
      </c>
      <c r="AK577" s="90" t="str">
        <f t="shared" si="154"/>
        <v/>
      </c>
      <c r="AL577" s="91">
        <f>IF(AK577="Adjust",(_xlfn.XLOOKUP(A577,'Adj factor'!A:A,'Adj factor'!I:I,,0)*AI577),'Master DataSheet'!AI577)</f>
        <v>6097</v>
      </c>
      <c r="AM577" s="91">
        <f t="shared" si="155"/>
        <v>6097</v>
      </c>
      <c r="AN577" s="92" t="str">
        <f t="shared" si="156"/>
        <v>No change</v>
      </c>
      <c r="AO577" s="93">
        <f>VLOOKUP(B577,'Growthrates source'!A$2:H$49,8,FALSE)</f>
        <v>-2.9414192821425544E-2</v>
      </c>
      <c r="AP577" s="93">
        <f>VLOOKUP(B577,'Growthrates source'!A$2:I$49,9,FALSE)</f>
        <v>0.35384209356504925</v>
      </c>
      <c r="AQ577" s="86">
        <f t="shared" si="157"/>
        <v>7062.9853132556</v>
      </c>
      <c r="AR577" s="86">
        <f t="shared" si="158"/>
        <v>17625.084228710228</v>
      </c>
      <c r="AS577" s="94">
        <f t="shared" si="159"/>
        <v>0</v>
      </c>
      <c r="AT577" s="94">
        <f t="shared" si="160"/>
        <v>27.738638964120842</v>
      </c>
      <c r="AU577" s="94">
        <f t="shared" si="161"/>
        <v>26.441723365449793</v>
      </c>
    </row>
    <row r="578" spans="1:47" x14ac:dyDescent="0.3">
      <c r="A578" s="85" t="str">
        <f>_xlfn.XLOOKUP(B578,'Country codes &amp; Data sources'!G:G,'Country codes &amp; Data sources'!H:H,,0)</f>
        <v>Madagascar</v>
      </c>
      <c r="B578" s="85" t="s">
        <v>177</v>
      </c>
      <c r="C578" s="86">
        <v>22966240</v>
      </c>
      <c r="D578" s="85" t="s">
        <v>321</v>
      </c>
      <c r="E578" s="87">
        <v>6376</v>
      </c>
      <c r="F578" s="88">
        <v>23588073.5</v>
      </c>
      <c r="G578" s="87">
        <v>7046</v>
      </c>
      <c r="H578" s="87">
        <v>24215975.500000019</v>
      </c>
      <c r="I578" s="87">
        <v>8550</v>
      </c>
      <c r="J578" s="87">
        <v>24850912.500000015</v>
      </c>
      <c r="K578" s="87">
        <v>0</v>
      </c>
      <c r="L578" s="87">
        <v>25501940.499999996</v>
      </c>
      <c r="M578" s="87">
        <v>35</v>
      </c>
      <c r="N578" s="87">
        <v>26169542.000000015</v>
      </c>
      <c r="O578" s="87">
        <v>0</v>
      </c>
      <c r="P578" s="88">
        <v>26846541</v>
      </c>
      <c r="Q578" s="87">
        <v>0</v>
      </c>
      <c r="R578" s="87">
        <f t="shared" si="144"/>
        <v>5230</v>
      </c>
      <c r="S578" s="87">
        <v>27533134.000000015</v>
      </c>
      <c r="T578" s="87">
        <v>0</v>
      </c>
      <c r="U578" s="87">
        <v>28225176.500000007</v>
      </c>
      <c r="V578" s="87">
        <v>0</v>
      </c>
      <c r="W578" s="87">
        <v>28915652.500000004</v>
      </c>
      <c r="X578" s="87">
        <v>0</v>
      </c>
      <c r="Y578" s="88">
        <v>29611714.000000004</v>
      </c>
      <c r="Z578" s="87">
        <v>0</v>
      </c>
      <c r="AA578" s="87">
        <v>5230</v>
      </c>
      <c r="AB578" s="89">
        <f t="shared" si="145"/>
        <v>8550</v>
      </c>
      <c r="AC578" s="89">
        <f t="shared" si="146"/>
        <v>35</v>
      </c>
      <c r="AD578" s="89">
        <f t="shared" si="147"/>
        <v>0</v>
      </c>
      <c r="AE578" s="90">
        <f t="shared" si="148"/>
        <v>7046</v>
      </c>
      <c r="AF578" s="90">
        <f t="shared" si="149"/>
        <v>2013</v>
      </c>
      <c r="AG578" s="90">
        <f t="shared" si="150"/>
        <v>5230</v>
      </c>
      <c r="AH578" s="90" t="str">
        <f t="shared" si="151"/>
        <v>2018 (triag)</v>
      </c>
      <c r="AI578" s="90">
        <f t="shared" si="152"/>
        <v>5230</v>
      </c>
      <c r="AJ578" s="90" t="str">
        <f t="shared" si="153"/>
        <v>2018 (triag)</v>
      </c>
      <c r="AK578" s="90" t="str">
        <f t="shared" si="154"/>
        <v/>
      </c>
      <c r="AL578" s="91">
        <f>IF(AK578="Adjust",(_xlfn.XLOOKUP(A578,'Adj factor'!A:A,'Adj factor'!I:I,,0)*AI578),'Master DataSheet'!AI578)</f>
        <v>5230</v>
      </c>
      <c r="AM578" s="91">
        <f t="shared" si="155"/>
        <v>5230</v>
      </c>
      <c r="AN578" s="92" t="str">
        <f t="shared" si="156"/>
        <v>No change</v>
      </c>
      <c r="AO578" s="93">
        <f>VLOOKUP(B578,'Growthrates source'!A$2:H$49,8,FALSE)</f>
        <v>4.1448317953169944E-2</v>
      </c>
      <c r="AP578" s="93">
        <f>VLOOKUP(B578,'Growthrates source'!A$2:I$49,9,FALSE)</f>
        <v>6.6454487825566844E-3</v>
      </c>
      <c r="AQ578" s="86">
        <f t="shared" si="157"/>
        <v>4251.0656314164698</v>
      </c>
      <c r="AR578" s="86">
        <f t="shared" si="158"/>
        <v>5335.3133853476238</v>
      </c>
      <c r="AS578" s="94">
        <f t="shared" si="159"/>
        <v>2.9871027831077428</v>
      </c>
      <c r="AT578" s="94">
        <f t="shared" si="160"/>
        <v>1.9481094417340394</v>
      </c>
      <c r="AU578" s="94">
        <f t="shared" si="161"/>
        <v>1.766192932972404</v>
      </c>
    </row>
    <row r="579" spans="1:47" x14ac:dyDescent="0.3">
      <c r="A579" s="85" t="str">
        <f>_xlfn.XLOOKUP(B579,'Country codes &amp; Data sources'!G:G,'Country codes &amp; Data sources'!H:H,,0)</f>
        <v>Madagascar</v>
      </c>
      <c r="B579" s="85" t="s">
        <v>177</v>
      </c>
      <c r="C579" s="86">
        <v>22966241</v>
      </c>
      <c r="D579" s="85" t="s">
        <v>322</v>
      </c>
      <c r="E579" s="87">
        <v>6766</v>
      </c>
      <c r="F579" s="88">
        <v>23588073.5</v>
      </c>
      <c r="G579" s="87">
        <v>6876</v>
      </c>
      <c r="I579" s="87">
        <v>0</v>
      </c>
      <c r="K579" s="87">
        <v>0</v>
      </c>
      <c r="M579" s="87">
        <v>0</v>
      </c>
      <c r="O579" s="87">
        <v>0</v>
      </c>
      <c r="P579" s="88">
        <v>26846541</v>
      </c>
      <c r="Q579" s="87">
        <v>7666</v>
      </c>
      <c r="R579" s="87">
        <f t="shared" ref="R579:R642" si="162">MAX(Q579,AA579)</f>
        <v>7666</v>
      </c>
      <c r="T579" s="87">
        <v>0</v>
      </c>
      <c r="V579" s="87">
        <v>0</v>
      </c>
      <c r="X579" s="87">
        <v>0</v>
      </c>
      <c r="Y579" s="88">
        <v>29611714.000000004</v>
      </c>
      <c r="Z579" s="87">
        <v>0</v>
      </c>
      <c r="AA579" s="87">
        <v>4560</v>
      </c>
      <c r="AB579" s="89">
        <f t="shared" ref="AB579:AB642" si="163">MAX(G579,E579,I579,K579)</f>
        <v>6876</v>
      </c>
      <c r="AC579" s="89">
        <f t="shared" ref="AC579:AC642" si="164">MAX(M579,O579,Q579,T579)</f>
        <v>7666</v>
      </c>
      <c r="AD579" s="89">
        <f t="shared" ref="AD579:AD642" si="165">MAX(V579,X579,Z579)</f>
        <v>0</v>
      </c>
      <c r="AE579" s="90">
        <f t="shared" ref="AE579:AE642" si="166">IF(G579&gt;0,G579,IF(E579&gt;0,E579,IF(I579&gt;0,I579,K579)))</f>
        <v>6876</v>
      </c>
      <c r="AF579" s="90">
        <f t="shared" ref="AF579:AF642" si="167">IF(AE579&gt;0,_xlfn.XLOOKUP(AE579,$B579:$K579,$B$1:$K$1,,0),"")</f>
        <v>2013</v>
      </c>
      <c r="AG579" s="90">
        <f t="shared" ref="AG579:AG642" si="168">IF(R579&gt;0,R579,IF(O579&gt;0,O579,T579))</f>
        <v>7666</v>
      </c>
      <c r="AH579" s="90">
        <f t="shared" ref="AH579:AH642" si="169">IF(AG579&gt;0,_xlfn.XLOOKUP(AG579,$L579:$T579,$L$1:$T$1,,0),"")</f>
        <v>2018</v>
      </c>
      <c r="AI579" s="90">
        <f t="shared" ref="AI579:AI642" si="170">IF((IF(Z579&gt;0,Z579,IF(X579&gt;0,X579,IF(V579&gt;0,V579,T579))))=0,AG579,IF(Z579&gt;0,Z579,IF(X579&gt;0,X579,IF(V579&gt;0,V579,T579))))</f>
        <v>7666</v>
      </c>
      <c r="AJ579" s="90">
        <f t="shared" ref="AJ579:AJ642" si="171">IFERROR(IF(AI579&gt;0,_xlfn.XLOOKUP(AI579,$V579:$Z579,$V$1:$Z$1,,0),""),AH579)</f>
        <v>2018</v>
      </c>
      <c r="AK579" s="90" t="str">
        <f t="shared" ref="AK579:AK642" si="172">IF(AI579&lt;AG579,"Adjust","")</f>
        <v/>
      </c>
      <c r="AL579" s="91">
        <f>IF(AK579="Adjust",(_xlfn.XLOOKUP(A579,'Adj factor'!A:A,'Adj factor'!I:I,,0)*AI579),'Master DataSheet'!AI579)</f>
        <v>7666</v>
      </c>
      <c r="AM579" s="91">
        <f t="shared" ref="AM579:AM642" si="173">IF(AL579&lt;AG579,AG579,AL579)</f>
        <v>7666</v>
      </c>
      <c r="AN579" s="92" t="str">
        <f t="shared" ref="AN579:AN642" si="174">IF(AL579&gt;AG579,"Increasing",IF(AL579&lt;AG579,"Decreasing","No change"))</f>
        <v>No change</v>
      </c>
      <c r="AO579" s="93">
        <f>VLOOKUP(B579,'Growthrates source'!A$2:H$49,8,FALSE)</f>
        <v>4.1448317953169944E-2</v>
      </c>
      <c r="AP579" s="93">
        <f>VLOOKUP(B579,'Growthrates source'!A$2:I$49,9,FALSE)</f>
        <v>6.6454487825566844E-3</v>
      </c>
      <c r="AQ579" s="86">
        <f t="shared" ref="AQ579:AQ642" si="175">AA579/(EXP(AO579*5))</f>
        <v>3706.47404957153</v>
      </c>
      <c r="AR579" s="86">
        <f t="shared" ref="AR579:AR642" si="176">AA579*EXP(AP579*3)</f>
        <v>4651.8219956376988</v>
      </c>
      <c r="AS579" s="94">
        <f t="shared" ref="AS579:AS642" si="177">(AE579*10000)/F579</f>
        <v>2.9150324633336417</v>
      </c>
      <c r="AT579" s="94">
        <f t="shared" ref="AT579:AT642" si="178">(AG579*10000)/P579</f>
        <v>2.8554889063734503</v>
      </c>
      <c r="AU579" s="94">
        <f t="shared" ref="AU579:AU642" si="179">(AM579*10000)/Y579</f>
        <v>2.5888403487889957</v>
      </c>
    </row>
    <row r="580" spans="1:47" x14ac:dyDescent="0.3">
      <c r="A580" s="85" t="str">
        <f>_xlfn.XLOOKUP(B580,'Country codes &amp; Data sources'!G:G,'Country codes &amp; Data sources'!H:H,,0)</f>
        <v>Madagascar</v>
      </c>
      <c r="B580" s="85" t="s">
        <v>177</v>
      </c>
      <c r="C580" s="86">
        <v>22966242</v>
      </c>
      <c r="D580" s="85" t="s">
        <v>323</v>
      </c>
      <c r="E580" s="87">
        <v>2950</v>
      </c>
      <c r="F580" s="88">
        <v>23588073.5</v>
      </c>
      <c r="G580" s="87">
        <v>6800</v>
      </c>
      <c r="I580" s="87">
        <v>0</v>
      </c>
      <c r="K580" s="87">
        <v>0</v>
      </c>
      <c r="M580" s="87">
        <v>3166</v>
      </c>
      <c r="O580" s="87">
        <v>5862</v>
      </c>
      <c r="P580" s="88">
        <v>26846541</v>
      </c>
      <c r="Q580" s="87">
        <v>7988</v>
      </c>
      <c r="R580" s="87">
        <f t="shared" si="162"/>
        <v>7988</v>
      </c>
      <c r="T580" s="87">
        <v>0</v>
      </c>
      <c r="V580" s="87">
        <v>0</v>
      </c>
      <c r="X580" s="87">
        <v>0</v>
      </c>
      <c r="Y580" s="88">
        <v>29611714.000000004</v>
      </c>
      <c r="Z580" s="87">
        <v>0</v>
      </c>
      <c r="AA580" s="87">
        <v>3164</v>
      </c>
      <c r="AB580" s="89">
        <f t="shared" si="163"/>
        <v>6800</v>
      </c>
      <c r="AC580" s="89">
        <f t="shared" si="164"/>
        <v>7988</v>
      </c>
      <c r="AD580" s="89">
        <f t="shared" si="165"/>
        <v>0</v>
      </c>
      <c r="AE580" s="90">
        <f t="shared" si="166"/>
        <v>6800</v>
      </c>
      <c r="AF580" s="90">
        <f t="shared" si="167"/>
        <v>2013</v>
      </c>
      <c r="AG580" s="90">
        <f t="shared" si="168"/>
        <v>7988</v>
      </c>
      <c r="AH580" s="90">
        <f t="shared" si="169"/>
        <v>2018</v>
      </c>
      <c r="AI580" s="90">
        <f t="shared" si="170"/>
        <v>7988</v>
      </c>
      <c r="AJ580" s="90">
        <f t="shared" si="171"/>
        <v>2018</v>
      </c>
      <c r="AK580" s="90" t="str">
        <f t="shared" si="172"/>
        <v/>
      </c>
      <c r="AL580" s="91">
        <f>IF(AK580="Adjust",(_xlfn.XLOOKUP(A580,'Adj factor'!A:A,'Adj factor'!I:I,,0)*AI580),'Master DataSheet'!AI580)</f>
        <v>7988</v>
      </c>
      <c r="AM580" s="91">
        <f t="shared" si="173"/>
        <v>7988</v>
      </c>
      <c r="AN580" s="92" t="str">
        <f t="shared" si="174"/>
        <v>No change</v>
      </c>
      <c r="AO580" s="93">
        <f>VLOOKUP(B580,'Growthrates source'!A$2:H$49,8,FALSE)</f>
        <v>4.1448317953169944E-2</v>
      </c>
      <c r="AP580" s="93">
        <f>VLOOKUP(B580,'Growthrates source'!A$2:I$49,9,FALSE)</f>
        <v>6.6454487825566844E-3</v>
      </c>
      <c r="AQ580" s="86">
        <f t="shared" si="175"/>
        <v>2571.7727835184915</v>
      </c>
      <c r="AR580" s="86">
        <f t="shared" si="176"/>
        <v>3227.7115776749297</v>
      </c>
      <c r="AS580" s="94">
        <f t="shared" si="177"/>
        <v>2.882812790964044</v>
      </c>
      <c r="AT580" s="94">
        <f t="shared" si="178"/>
        <v>2.9754298700901542</v>
      </c>
      <c r="AU580" s="94">
        <f t="shared" si="179"/>
        <v>2.6975810991555567</v>
      </c>
    </row>
    <row r="581" spans="1:47" x14ac:dyDescent="0.3">
      <c r="A581" s="85" t="str">
        <f>_xlfn.XLOOKUP(B581,'Country codes &amp; Data sources'!G:G,'Country codes &amp; Data sources'!H:H,,0)</f>
        <v>Madagascar</v>
      </c>
      <c r="B581" s="85" t="s">
        <v>177</v>
      </c>
      <c r="C581" s="86">
        <v>22966243</v>
      </c>
      <c r="D581" s="85" t="s">
        <v>324</v>
      </c>
      <c r="E581" s="87">
        <v>0</v>
      </c>
      <c r="F581" s="88">
        <v>23588073.5</v>
      </c>
      <c r="G581" s="87">
        <v>0</v>
      </c>
      <c r="I581" s="87">
        <v>118</v>
      </c>
      <c r="K581" s="87">
        <v>0</v>
      </c>
      <c r="M581" s="87">
        <v>0</v>
      </c>
      <c r="O581" s="87">
        <v>0</v>
      </c>
      <c r="P581" s="88">
        <v>26846541</v>
      </c>
      <c r="Q581" s="87">
        <v>0</v>
      </c>
      <c r="R581" s="87">
        <f t="shared" si="162"/>
        <v>329</v>
      </c>
      <c r="T581" s="87">
        <v>0</v>
      </c>
      <c r="V581" s="87">
        <v>13</v>
      </c>
      <c r="X581" s="87">
        <v>0</v>
      </c>
      <c r="Y581" s="88">
        <v>29611714.000000004</v>
      </c>
      <c r="Z581" s="87">
        <v>0</v>
      </c>
      <c r="AA581" s="87">
        <v>329</v>
      </c>
      <c r="AB581" s="89">
        <f t="shared" si="163"/>
        <v>118</v>
      </c>
      <c r="AC581" s="89">
        <f t="shared" si="164"/>
        <v>0</v>
      </c>
      <c r="AD581" s="89">
        <f t="shared" si="165"/>
        <v>13</v>
      </c>
      <c r="AE581" s="90">
        <f t="shared" si="166"/>
        <v>118</v>
      </c>
      <c r="AF581" s="90">
        <f t="shared" si="167"/>
        <v>2014</v>
      </c>
      <c r="AG581" s="90">
        <f t="shared" si="168"/>
        <v>329</v>
      </c>
      <c r="AH581" s="90" t="str">
        <f t="shared" si="169"/>
        <v>2018 (triag)</v>
      </c>
      <c r="AI581" s="90">
        <f t="shared" si="170"/>
        <v>13</v>
      </c>
      <c r="AJ581" s="90">
        <f t="shared" si="171"/>
        <v>2020</v>
      </c>
      <c r="AK581" s="90" t="str">
        <f t="shared" si="172"/>
        <v>Adjust</v>
      </c>
      <c r="AL581" s="91">
        <f>IF(AK581="Adjust",(_xlfn.XLOOKUP(A581,'Adj factor'!A:A,'Adj factor'!I:I,,0)*AI581),'Master DataSheet'!AI581)</f>
        <v>14.489867383201872</v>
      </c>
      <c r="AM581" s="91">
        <f t="shared" si="173"/>
        <v>329</v>
      </c>
      <c r="AN581" s="92" t="str">
        <f t="shared" si="174"/>
        <v>Decreasing</v>
      </c>
      <c r="AO581" s="93">
        <f>VLOOKUP(B581,'Growthrates source'!A$2:H$49,8,FALSE)</f>
        <v>4.1448317953169944E-2</v>
      </c>
      <c r="AP581" s="93">
        <f>VLOOKUP(B581,'Growthrates source'!A$2:I$49,9,FALSE)</f>
        <v>6.6454487825566844E-3</v>
      </c>
      <c r="AQ581" s="86">
        <f t="shared" si="175"/>
        <v>267.41885138355997</v>
      </c>
      <c r="AR581" s="86">
        <f t="shared" si="176"/>
        <v>335.62487643964977</v>
      </c>
      <c r="AS581" s="94">
        <f t="shared" si="177"/>
        <v>5.0025280784376056E-2</v>
      </c>
      <c r="AT581" s="94">
        <f t="shared" si="178"/>
        <v>0.12254837597141471</v>
      </c>
      <c r="AU581" s="94">
        <f t="shared" si="179"/>
        <v>0.11110467972235581</v>
      </c>
    </row>
    <row r="582" spans="1:47" x14ac:dyDescent="0.3">
      <c r="A582" s="85" t="str">
        <f>_xlfn.XLOOKUP(B582,'Country codes &amp; Data sources'!G:G,'Country codes &amp; Data sources'!H:H,,0)</f>
        <v>Madagascar</v>
      </c>
      <c r="B582" s="85" t="s">
        <v>177</v>
      </c>
      <c r="C582" s="86">
        <v>22966244</v>
      </c>
      <c r="D582" s="85" t="s">
        <v>325</v>
      </c>
      <c r="E582" s="87">
        <v>0</v>
      </c>
      <c r="F582" s="88">
        <v>23588073.5</v>
      </c>
      <c r="G582" s="87">
        <v>4081</v>
      </c>
      <c r="I582" s="87">
        <v>0</v>
      </c>
      <c r="K582" s="87">
        <v>0</v>
      </c>
      <c r="M582" s="87">
        <v>0</v>
      </c>
      <c r="O582" s="87">
        <v>0</v>
      </c>
      <c r="P582" s="88">
        <v>26846541</v>
      </c>
      <c r="Q582" s="87">
        <v>0</v>
      </c>
      <c r="R582" s="87">
        <f t="shared" si="162"/>
        <v>556</v>
      </c>
      <c r="T582" s="87">
        <v>0</v>
      </c>
      <c r="V582" s="87">
        <v>9</v>
      </c>
      <c r="X582" s="87">
        <v>91</v>
      </c>
      <c r="Y582" s="88">
        <v>29611714.000000004</v>
      </c>
      <c r="Z582" s="87">
        <v>0</v>
      </c>
      <c r="AA582" s="87">
        <v>556</v>
      </c>
      <c r="AB582" s="89">
        <f t="shared" si="163"/>
        <v>4081</v>
      </c>
      <c r="AC582" s="89">
        <f t="shared" si="164"/>
        <v>0</v>
      </c>
      <c r="AD582" s="89">
        <f t="shared" si="165"/>
        <v>91</v>
      </c>
      <c r="AE582" s="90">
        <f t="shared" si="166"/>
        <v>4081</v>
      </c>
      <c r="AF582" s="90">
        <f t="shared" si="167"/>
        <v>2013</v>
      </c>
      <c r="AG582" s="90">
        <f t="shared" si="168"/>
        <v>556</v>
      </c>
      <c r="AH582" s="90" t="str">
        <f t="shared" si="169"/>
        <v>2018 (triag)</v>
      </c>
      <c r="AI582" s="90">
        <f t="shared" si="170"/>
        <v>91</v>
      </c>
      <c r="AJ582" s="90">
        <f t="shared" si="171"/>
        <v>2021</v>
      </c>
      <c r="AK582" s="90" t="str">
        <f t="shared" si="172"/>
        <v>Adjust</v>
      </c>
      <c r="AL582" s="91">
        <f>IF(AK582="Adjust",(_xlfn.XLOOKUP(A582,'Adj factor'!A:A,'Adj factor'!I:I,,0)*AI582),'Master DataSheet'!AI582)</f>
        <v>101.4290716824131</v>
      </c>
      <c r="AM582" s="91">
        <f t="shared" si="173"/>
        <v>556</v>
      </c>
      <c r="AN582" s="92" t="str">
        <f t="shared" si="174"/>
        <v>Decreasing</v>
      </c>
      <c r="AO582" s="93">
        <f>VLOOKUP(B582,'Growthrates source'!A$2:H$49,8,FALSE)</f>
        <v>4.1448317953169944E-2</v>
      </c>
      <c r="AP582" s="93">
        <f>VLOOKUP(B582,'Growthrates source'!A$2:I$49,9,FALSE)</f>
        <v>6.6454487825566844E-3</v>
      </c>
      <c r="AQ582" s="86">
        <f t="shared" si="175"/>
        <v>451.92973060565146</v>
      </c>
      <c r="AR582" s="86">
        <f t="shared" si="176"/>
        <v>567.19583981898256</v>
      </c>
      <c r="AS582" s="94">
        <f t="shared" si="177"/>
        <v>1.730111617635921</v>
      </c>
      <c r="AT582" s="94">
        <f t="shared" si="178"/>
        <v>0.20710303051704129</v>
      </c>
      <c r="AU582" s="94">
        <f t="shared" si="179"/>
        <v>0.18776353168884446</v>
      </c>
    </row>
    <row r="583" spans="1:47" x14ac:dyDescent="0.3">
      <c r="A583" s="85" t="str">
        <f>_xlfn.XLOOKUP(B583,'Country codes &amp; Data sources'!G:G,'Country codes &amp; Data sources'!H:H,,0)</f>
        <v>Madagascar</v>
      </c>
      <c r="B583" s="85" t="s">
        <v>177</v>
      </c>
      <c r="C583" s="86">
        <v>22966245</v>
      </c>
      <c r="D583" s="85" t="s">
        <v>127</v>
      </c>
      <c r="E583" s="87">
        <v>0</v>
      </c>
      <c r="F583" s="88">
        <v>23588073.5</v>
      </c>
      <c r="G583" s="87">
        <v>0</v>
      </c>
      <c r="I583" s="87">
        <v>0</v>
      </c>
      <c r="K583" s="87">
        <v>0</v>
      </c>
      <c r="M583" s="87">
        <v>0</v>
      </c>
      <c r="O583" s="87">
        <v>0</v>
      </c>
      <c r="P583" s="88">
        <v>26846541</v>
      </c>
      <c r="Q583" s="87">
        <v>35000</v>
      </c>
      <c r="R583" s="87">
        <f t="shared" si="162"/>
        <v>35000</v>
      </c>
      <c r="T583" s="87">
        <v>38338</v>
      </c>
      <c r="V583" s="87">
        <v>41616</v>
      </c>
      <c r="X583" s="87">
        <v>41616</v>
      </c>
      <c r="Y583" s="88">
        <v>29611714.000000004</v>
      </c>
      <c r="Z583" s="87">
        <v>0</v>
      </c>
      <c r="AA583" s="87">
        <v>35000</v>
      </c>
      <c r="AB583" s="89">
        <f t="shared" si="163"/>
        <v>0</v>
      </c>
      <c r="AC583" s="89">
        <f t="shared" si="164"/>
        <v>38338</v>
      </c>
      <c r="AD583" s="89">
        <f t="shared" si="165"/>
        <v>41616</v>
      </c>
      <c r="AE583" s="90">
        <f t="shared" si="166"/>
        <v>0</v>
      </c>
      <c r="AF583" s="90" t="str">
        <f t="shared" si="167"/>
        <v/>
      </c>
      <c r="AG583" s="90">
        <f t="shared" si="168"/>
        <v>35000</v>
      </c>
      <c r="AH583" s="90">
        <f t="shared" si="169"/>
        <v>2018</v>
      </c>
      <c r="AI583" s="90">
        <f t="shared" si="170"/>
        <v>41616</v>
      </c>
      <c r="AJ583" s="90">
        <f t="shared" si="171"/>
        <v>2020</v>
      </c>
      <c r="AK583" s="90" t="str">
        <f t="shared" si="172"/>
        <v/>
      </c>
      <c r="AL583" s="91">
        <f>IF(AK583="Adjust",(_xlfn.XLOOKUP(A583,'Adj factor'!A:A,'Adj factor'!I:I,,0)*AI583),'Master DataSheet'!AI583)</f>
        <v>41616</v>
      </c>
      <c r="AM583" s="91">
        <f t="shared" si="173"/>
        <v>41616</v>
      </c>
      <c r="AN583" s="92" t="str">
        <f t="shared" si="174"/>
        <v>Increasing</v>
      </c>
      <c r="AO583" s="93">
        <f>VLOOKUP(B583,'Growthrates source'!A$2:H$49,8,FALSE)</f>
        <v>4.1448317953169944E-2</v>
      </c>
      <c r="AP583" s="93">
        <f>VLOOKUP(B583,'Growthrates source'!A$2:I$49,9,FALSE)</f>
        <v>6.6454487825566844E-3</v>
      </c>
      <c r="AQ583" s="86">
        <f t="shared" si="175"/>
        <v>28448.813976974463</v>
      </c>
      <c r="AR583" s="86">
        <f t="shared" si="176"/>
        <v>35704.774089324441</v>
      </c>
      <c r="AS583" s="94">
        <f t="shared" si="177"/>
        <v>0</v>
      </c>
      <c r="AT583" s="94">
        <f t="shared" si="178"/>
        <v>13.037061273554757</v>
      </c>
      <c r="AU583" s="94">
        <f t="shared" si="179"/>
        <v>14.053897724393797</v>
      </c>
    </row>
    <row r="584" spans="1:47" x14ac:dyDescent="0.3">
      <c r="A584" s="85" t="str">
        <f>_xlfn.XLOOKUP(B584,'Country codes &amp; Data sources'!G:G,'Country codes &amp; Data sources'!H:H,,0)</f>
        <v>Madagascar</v>
      </c>
      <c r="B584" s="85" t="s">
        <v>177</v>
      </c>
      <c r="C584" s="86">
        <v>22966246</v>
      </c>
      <c r="D584" s="85" t="s">
        <v>61</v>
      </c>
      <c r="E584" s="87">
        <v>0</v>
      </c>
      <c r="F584" s="88">
        <v>23588073.5</v>
      </c>
      <c r="G584" s="87">
        <v>0</v>
      </c>
      <c r="I584" s="87">
        <v>0</v>
      </c>
      <c r="K584" s="87">
        <v>0</v>
      </c>
      <c r="M584" s="87">
        <v>0</v>
      </c>
      <c r="O584" s="87">
        <v>0</v>
      </c>
      <c r="P584" s="88">
        <v>26846541</v>
      </c>
      <c r="Q584" s="87">
        <v>0</v>
      </c>
      <c r="R584" s="87">
        <f t="shared" si="162"/>
        <v>414</v>
      </c>
      <c r="T584" s="87">
        <v>0</v>
      </c>
      <c r="V584" s="87">
        <v>0</v>
      </c>
      <c r="X584" s="87">
        <v>0</v>
      </c>
      <c r="Y584" s="88">
        <v>29611714.000000004</v>
      </c>
      <c r="Z584" s="87">
        <v>0</v>
      </c>
      <c r="AA584" s="87">
        <v>414</v>
      </c>
      <c r="AB584" s="89">
        <f t="shared" si="163"/>
        <v>0</v>
      </c>
      <c r="AC584" s="89">
        <f t="shared" si="164"/>
        <v>0</v>
      </c>
      <c r="AD584" s="89">
        <f t="shared" si="165"/>
        <v>0</v>
      </c>
      <c r="AE584" s="90">
        <f t="shared" si="166"/>
        <v>0</v>
      </c>
      <c r="AF584" s="90" t="str">
        <f t="shared" si="167"/>
        <v/>
      </c>
      <c r="AG584" s="90">
        <f t="shared" si="168"/>
        <v>414</v>
      </c>
      <c r="AH584" s="90" t="str">
        <f t="shared" si="169"/>
        <v>2018 (triag)</v>
      </c>
      <c r="AI584" s="90">
        <f t="shared" si="170"/>
        <v>414</v>
      </c>
      <c r="AJ584" s="90" t="str">
        <f t="shared" si="171"/>
        <v>2018 (triag)</v>
      </c>
      <c r="AK584" s="90" t="str">
        <f t="shared" si="172"/>
        <v/>
      </c>
      <c r="AL584" s="91">
        <f>IF(AK584="Adjust",(_xlfn.XLOOKUP(A584,'Adj factor'!A:A,'Adj factor'!I:I,,0)*AI584),'Master DataSheet'!AI584)</f>
        <v>414</v>
      </c>
      <c r="AM584" s="91">
        <f t="shared" si="173"/>
        <v>414</v>
      </c>
      <c r="AN584" s="92" t="str">
        <f t="shared" si="174"/>
        <v>No change</v>
      </c>
      <c r="AO584" s="93">
        <f>VLOOKUP(B584,'Growthrates source'!A$2:H$49,8,FALSE)</f>
        <v>4.1448317953169944E-2</v>
      </c>
      <c r="AP584" s="93">
        <f>VLOOKUP(B584,'Growthrates source'!A$2:I$49,9,FALSE)</f>
        <v>6.6454487825566844E-3</v>
      </c>
      <c r="AQ584" s="86">
        <f t="shared" si="175"/>
        <v>336.50882818478362</v>
      </c>
      <c r="AR584" s="86">
        <f t="shared" si="176"/>
        <v>422.33647065658056</v>
      </c>
      <c r="AS584" s="94">
        <f t="shared" si="177"/>
        <v>0</v>
      </c>
      <c r="AT584" s="94">
        <f t="shared" si="178"/>
        <v>0.15420981049290483</v>
      </c>
      <c r="AU584" s="94">
        <f t="shared" si="179"/>
        <v>0.13980953618557843</v>
      </c>
    </row>
    <row r="585" spans="1:47" x14ac:dyDescent="0.3">
      <c r="A585" s="85" t="str">
        <f>_xlfn.XLOOKUP(B585,'Country codes &amp; Data sources'!G:G,'Country codes &amp; Data sources'!H:H,,0)</f>
        <v>Madagascar</v>
      </c>
      <c r="B585" s="85" t="s">
        <v>177</v>
      </c>
      <c r="C585" s="86">
        <v>22966247</v>
      </c>
      <c r="D585" s="85" t="s">
        <v>62</v>
      </c>
      <c r="E585" s="87">
        <v>0</v>
      </c>
      <c r="F585" s="88">
        <v>23588073.5</v>
      </c>
      <c r="G585" s="87">
        <v>0</v>
      </c>
      <c r="I585" s="87">
        <v>174</v>
      </c>
      <c r="K585" s="87">
        <v>0</v>
      </c>
      <c r="M585" s="87">
        <v>0</v>
      </c>
      <c r="O585" s="87">
        <v>0</v>
      </c>
      <c r="P585" s="88">
        <v>26846541</v>
      </c>
      <c r="Q585" s="87">
        <v>0</v>
      </c>
      <c r="R585" s="87">
        <f t="shared" si="162"/>
        <v>15</v>
      </c>
      <c r="T585" s="87">
        <v>0</v>
      </c>
      <c r="V585" s="87">
        <v>254</v>
      </c>
      <c r="X585" s="87">
        <v>0</v>
      </c>
      <c r="Y585" s="88">
        <v>29611714.000000004</v>
      </c>
      <c r="Z585" s="87">
        <v>0</v>
      </c>
      <c r="AA585" s="87">
        <v>15</v>
      </c>
      <c r="AB585" s="89">
        <f t="shared" si="163"/>
        <v>174</v>
      </c>
      <c r="AC585" s="89">
        <f t="shared" si="164"/>
        <v>0</v>
      </c>
      <c r="AD585" s="89">
        <f t="shared" si="165"/>
        <v>254</v>
      </c>
      <c r="AE585" s="90">
        <f t="shared" si="166"/>
        <v>174</v>
      </c>
      <c r="AF585" s="90">
        <f t="shared" si="167"/>
        <v>2014</v>
      </c>
      <c r="AG585" s="90">
        <f t="shared" si="168"/>
        <v>15</v>
      </c>
      <c r="AH585" s="90" t="str">
        <f t="shared" si="169"/>
        <v>2018 (triag)</v>
      </c>
      <c r="AI585" s="90">
        <f t="shared" si="170"/>
        <v>254</v>
      </c>
      <c r="AJ585" s="90">
        <f t="shared" si="171"/>
        <v>2020</v>
      </c>
      <c r="AK585" s="90" t="str">
        <f t="shared" si="172"/>
        <v/>
      </c>
      <c r="AL585" s="91">
        <f>IF(AK585="Adjust",(_xlfn.XLOOKUP(A585,'Adj factor'!A:A,'Adj factor'!I:I,,0)*AI585),'Master DataSheet'!AI585)</f>
        <v>254</v>
      </c>
      <c r="AM585" s="91">
        <f t="shared" si="173"/>
        <v>254</v>
      </c>
      <c r="AN585" s="92" t="str">
        <f t="shared" si="174"/>
        <v>Increasing</v>
      </c>
      <c r="AO585" s="93">
        <f>VLOOKUP(B585,'Growthrates source'!A$2:H$49,8,FALSE)</f>
        <v>4.1448317953169944E-2</v>
      </c>
      <c r="AP585" s="93">
        <f>VLOOKUP(B585,'Growthrates source'!A$2:I$49,9,FALSE)</f>
        <v>6.6454487825566844E-3</v>
      </c>
      <c r="AQ585" s="86">
        <f t="shared" si="175"/>
        <v>12.19234884727477</v>
      </c>
      <c r="AR585" s="86">
        <f t="shared" si="176"/>
        <v>15.302046038281903</v>
      </c>
      <c r="AS585" s="94">
        <f t="shared" si="177"/>
        <v>7.376609200407995E-2</v>
      </c>
      <c r="AT585" s="94">
        <f t="shared" si="178"/>
        <v>5.5873119743806102E-3</v>
      </c>
      <c r="AU585" s="94">
        <f t="shared" si="179"/>
        <v>8.5776865195982904E-2</v>
      </c>
    </row>
    <row r="586" spans="1:47" x14ac:dyDescent="0.3">
      <c r="A586" s="85" t="str">
        <f>_xlfn.XLOOKUP(B586,'Country codes &amp; Data sources'!G:G,'Country codes &amp; Data sources'!H:H,,0)</f>
        <v>Madagascar</v>
      </c>
      <c r="B586" s="85" t="s">
        <v>177</v>
      </c>
      <c r="C586" s="86">
        <v>22966248</v>
      </c>
      <c r="D586" s="85" t="s">
        <v>203</v>
      </c>
      <c r="E586" s="87">
        <v>0</v>
      </c>
      <c r="F586" s="88">
        <v>23588073.5</v>
      </c>
      <c r="G586" s="87">
        <v>0</v>
      </c>
      <c r="I586" s="87">
        <v>0</v>
      </c>
      <c r="K586" s="87">
        <v>0</v>
      </c>
      <c r="M586" s="87">
        <v>0</v>
      </c>
      <c r="O586" s="87">
        <v>0</v>
      </c>
      <c r="P586" s="88">
        <v>26846541</v>
      </c>
      <c r="Q586" s="87">
        <v>0</v>
      </c>
      <c r="R586" s="87">
        <f t="shared" si="162"/>
        <v>311</v>
      </c>
      <c r="T586" s="87">
        <v>0</v>
      </c>
      <c r="V586" s="87">
        <v>0</v>
      </c>
      <c r="X586" s="87">
        <v>0</v>
      </c>
      <c r="Y586" s="88">
        <v>29611714.000000004</v>
      </c>
      <c r="Z586" s="87">
        <v>0</v>
      </c>
      <c r="AA586" s="87">
        <v>311</v>
      </c>
      <c r="AB586" s="89">
        <f t="shared" si="163"/>
        <v>0</v>
      </c>
      <c r="AC586" s="89">
        <f t="shared" si="164"/>
        <v>0</v>
      </c>
      <c r="AD586" s="89">
        <f t="shared" si="165"/>
        <v>0</v>
      </c>
      <c r="AE586" s="90">
        <f t="shared" si="166"/>
        <v>0</v>
      </c>
      <c r="AF586" s="90" t="str">
        <f t="shared" si="167"/>
        <v/>
      </c>
      <c r="AG586" s="90">
        <f t="shared" si="168"/>
        <v>311</v>
      </c>
      <c r="AH586" s="90" t="str">
        <f t="shared" si="169"/>
        <v>2018 (triag)</v>
      </c>
      <c r="AI586" s="90">
        <f t="shared" si="170"/>
        <v>311</v>
      </c>
      <c r="AJ586" s="90" t="str">
        <f t="shared" si="171"/>
        <v>2018 (triag)</v>
      </c>
      <c r="AK586" s="90" t="str">
        <f t="shared" si="172"/>
        <v/>
      </c>
      <c r="AL586" s="91">
        <f>IF(AK586="Adjust",(_xlfn.XLOOKUP(A586,'Adj factor'!A:A,'Adj factor'!I:I,,0)*AI586),'Master DataSheet'!AI586)</f>
        <v>311</v>
      </c>
      <c r="AM586" s="91">
        <f t="shared" si="173"/>
        <v>311</v>
      </c>
      <c r="AN586" s="92" t="str">
        <f t="shared" si="174"/>
        <v>No change</v>
      </c>
      <c r="AO586" s="93">
        <f>VLOOKUP(B586,'Growthrates source'!A$2:H$49,8,FALSE)</f>
        <v>4.1448317953169944E-2</v>
      </c>
      <c r="AP586" s="93">
        <f>VLOOKUP(B586,'Growthrates source'!A$2:I$49,9,FALSE)</f>
        <v>6.6454487825566844E-3</v>
      </c>
      <c r="AQ586" s="86">
        <f t="shared" si="175"/>
        <v>252.78803276683024</v>
      </c>
      <c r="AR586" s="86">
        <f t="shared" si="176"/>
        <v>317.26242119371148</v>
      </c>
      <c r="AS586" s="94">
        <f t="shared" si="177"/>
        <v>0</v>
      </c>
      <c r="AT586" s="94">
        <f t="shared" si="178"/>
        <v>0.11584360160215798</v>
      </c>
      <c r="AU586" s="94">
        <f t="shared" si="179"/>
        <v>0.10502600423602632</v>
      </c>
    </row>
    <row r="587" spans="1:47" x14ac:dyDescent="0.3">
      <c r="A587" s="85" t="str">
        <f>_xlfn.XLOOKUP(B587,'Country codes &amp; Data sources'!G:G,'Country codes &amp; Data sources'!H:H,,0)</f>
        <v>Madagascar</v>
      </c>
      <c r="B587" s="85" t="s">
        <v>177</v>
      </c>
      <c r="C587" s="86">
        <v>22966249</v>
      </c>
      <c r="D587" s="85" t="s">
        <v>204</v>
      </c>
      <c r="E587" s="87">
        <v>0</v>
      </c>
      <c r="F587" s="88">
        <v>23588073.5</v>
      </c>
      <c r="G587" s="87">
        <v>0</v>
      </c>
      <c r="I587" s="87">
        <v>0</v>
      </c>
      <c r="K587" s="87">
        <v>0</v>
      </c>
      <c r="M587" s="87">
        <v>0</v>
      </c>
      <c r="O587" s="87">
        <v>0</v>
      </c>
      <c r="P587" s="88">
        <v>26846541</v>
      </c>
      <c r="Q587" s="87">
        <v>0</v>
      </c>
      <c r="R587" s="87">
        <f t="shared" si="162"/>
        <v>411</v>
      </c>
      <c r="T587" s="87">
        <v>0</v>
      </c>
      <c r="V587" s="87">
        <v>0</v>
      </c>
      <c r="X587" s="87">
        <v>0</v>
      </c>
      <c r="Y587" s="88">
        <v>29611714.000000004</v>
      </c>
      <c r="Z587" s="87">
        <v>0</v>
      </c>
      <c r="AA587" s="87">
        <v>411</v>
      </c>
      <c r="AB587" s="89">
        <f t="shared" si="163"/>
        <v>0</v>
      </c>
      <c r="AC587" s="89">
        <f t="shared" si="164"/>
        <v>0</v>
      </c>
      <c r="AD587" s="89">
        <f t="shared" si="165"/>
        <v>0</v>
      </c>
      <c r="AE587" s="90">
        <f t="shared" si="166"/>
        <v>0</v>
      </c>
      <c r="AF587" s="90" t="str">
        <f t="shared" si="167"/>
        <v/>
      </c>
      <c r="AG587" s="90">
        <f t="shared" si="168"/>
        <v>411</v>
      </c>
      <c r="AH587" s="90" t="str">
        <f t="shared" si="169"/>
        <v>2018 (triag)</v>
      </c>
      <c r="AI587" s="90">
        <f t="shared" si="170"/>
        <v>411</v>
      </c>
      <c r="AJ587" s="90" t="str">
        <f t="shared" si="171"/>
        <v>2018 (triag)</v>
      </c>
      <c r="AK587" s="90" t="str">
        <f t="shared" si="172"/>
        <v/>
      </c>
      <c r="AL587" s="91">
        <f>IF(AK587="Adjust",(_xlfn.XLOOKUP(A587,'Adj factor'!A:A,'Adj factor'!I:I,,0)*AI587),'Master DataSheet'!AI587)</f>
        <v>411</v>
      </c>
      <c r="AM587" s="91">
        <f t="shared" si="173"/>
        <v>411</v>
      </c>
      <c r="AN587" s="92" t="str">
        <f t="shared" si="174"/>
        <v>No change</v>
      </c>
      <c r="AO587" s="93">
        <f>VLOOKUP(B587,'Growthrates source'!A$2:H$49,8,FALSE)</f>
        <v>4.1448317953169944E-2</v>
      </c>
      <c r="AP587" s="93">
        <f>VLOOKUP(B587,'Growthrates source'!A$2:I$49,9,FALSE)</f>
        <v>6.6454487825566844E-3</v>
      </c>
      <c r="AQ587" s="86">
        <f t="shared" si="175"/>
        <v>334.07035841532871</v>
      </c>
      <c r="AR587" s="86">
        <f t="shared" si="176"/>
        <v>419.27606144892417</v>
      </c>
      <c r="AS587" s="94">
        <f t="shared" si="177"/>
        <v>0</v>
      </c>
      <c r="AT587" s="94">
        <f t="shared" si="178"/>
        <v>0.15309234809802871</v>
      </c>
      <c r="AU587" s="94">
        <f t="shared" si="179"/>
        <v>0.13879642360452352</v>
      </c>
    </row>
    <row r="588" spans="1:47" x14ac:dyDescent="0.3">
      <c r="A588" s="85" t="str">
        <f>_xlfn.XLOOKUP(B588,'Country codes &amp; Data sources'!G:G,'Country codes &amp; Data sources'!H:H,,0)</f>
        <v>Madagascar</v>
      </c>
      <c r="B588" s="85" t="s">
        <v>177</v>
      </c>
      <c r="C588" s="86">
        <v>22966250</v>
      </c>
      <c r="D588" s="85" t="s">
        <v>205</v>
      </c>
      <c r="E588" s="87">
        <v>0</v>
      </c>
      <c r="F588" s="88">
        <v>23588073.5</v>
      </c>
      <c r="G588" s="87">
        <v>0</v>
      </c>
      <c r="I588" s="87">
        <v>0</v>
      </c>
      <c r="K588" s="87">
        <v>0</v>
      </c>
      <c r="M588" s="87">
        <v>0</v>
      </c>
      <c r="O588" s="87">
        <v>0</v>
      </c>
      <c r="P588" s="88">
        <v>26846541</v>
      </c>
      <c r="Q588" s="87">
        <v>0</v>
      </c>
      <c r="R588" s="87">
        <f t="shared" si="162"/>
        <v>52</v>
      </c>
      <c r="T588" s="87">
        <v>12</v>
      </c>
      <c r="V588" s="87">
        <v>0</v>
      </c>
      <c r="X588" s="87">
        <v>0</v>
      </c>
      <c r="Y588" s="88">
        <v>29611714.000000004</v>
      </c>
      <c r="Z588" s="87">
        <v>0</v>
      </c>
      <c r="AA588" s="87">
        <v>52</v>
      </c>
      <c r="AB588" s="89">
        <f t="shared" si="163"/>
        <v>0</v>
      </c>
      <c r="AC588" s="89">
        <f t="shared" si="164"/>
        <v>12</v>
      </c>
      <c r="AD588" s="89">
        <f t="shared" si="165"/>
        <v>0</v>
      </c>
      <c r="AE588" s="90">
        <f t="shared" si="166"/>
        <v>0</v>
      </c>
      <c r="AF588" s="90" t="str">
        <f t="shared" si="167"/>
        <v/>
      </c>
      <c r="AG588" s="90">
        <f t="shared" si="168"/>
        <v>52</v>
      </c>
      <c r="AH588" s="90" t="str">
        <f t="shared" si="169"/>
        <v>2018 (triag)</v>
      </c>
      <c r="AI588" s="90">
        <f t="shared" si="170"/>
        <v>12</v>
      </c>
      <c r="AJ588" s="90" t="str">
        <f t="shared" si="171"/>
        <v>2018 (triag)</v>
      </c>
      <c r="AK588" s="90" t="str">
        <f t="shared" si="172"/>
        <v>Adjust</v>
      </c>
      <c r="AL588" s="91">
        <f>IF(AK588="Adjust",(_xlfn.XLOOKUP(A588,'Adj factor'!A:A,'Adj factor'!I:I,,0)*AI588),'Master DataSheet'!AI588)</f>
        <v>13.375262199878652</v>
      </c>
      <c r="AM588" s="91">
        <f t="shared" si="173"/>
        <v>52</v>
      </c>
      <c r="AN588" s="92" t="str">
        <f t="shared" si="174"/>
        <v>Decreasing</v>
      </c>
      <c r="AO588" s="93">
        <f>VLOOKUP(B588,'Growthrates source'!A$2:H$49,8,FALSE)</f>
        <v>4.1448317953169944E-2</v>
      </c>
      <c r="AP588" s="93">
        <f>VLOOKUP(B588,'Growthrates source'!A$2:I$49,9,FALSE)</f>
        <v>6.6454487825566844E-3</v>
      </c>
      <c r="AQ588" s="86">
        <f t="shared" si="175"/>
        <v>42.2668093372192</v>
      </c>
      <c r="AR588" s="86">
        <f t="shared" si="176"/>
        <v>53.047092932710598</v>
      </c>
      <c r="AS588" s="94">
        <f t="shared" si="177"/>
        <v>0</v>
      </c>
      <c r="AT588" s="94">
        <f t="shared" si="178"/>
        <v>1.9369348177852783E-2</v>
      </c>
      <c r="AU588" s="94">
        <f t="shared" si="179"/>
        <v>1.7560618071618548E-2</v>
      </c>
    </row>
    <row r="589" spans="1:47" x14ac:dyDescent="0.3">
      <c r="A589" s="85" t="str">
        <f>_xlfn.XLOOKUP(B589,'Country codes &amp; Data sources'!G:G,'Country codes &amp; Data sources'!H:H,,0)</f>
        <v>Madagascar</v>
      </c>
      <c r="B589" s="85" t="s">
        <v>177</v>
      </c>
      <c r="C589" s="86">
        <v>22966251</v>
      </c>
      <c r="D589" s="85" t="s">
        <v>133</v>
      </c>
      <c r="E589" s="87">
        <v>0</v>
      </c>
      <c r="F589" s="88">
        <v>23588073.5</v>
      </c>
      <c r="G589" s="87">
        <v>0</v>
      </c>
      <c r="I589" s="87">
        <v>0</v>
      </c>
      <c r="K589" s="87">
        <v>0</v>
      </c>
      <c r="M589" s="87">
        <v>0</v>
      </c>
      <c r="O589" s="87">
        <v>0</v>
      </c>
      <c r="P589" s="88">
        <v>26846541</v>
      </c>
      <c r="Q589" s="87">
        <v>306</v>
      </c>
      <c r="R589" s="87">
        <f t="shared" si="162"/>
        <v>306</v>
      </c>
      <c r="T589" s="87">
        <v>0</v>
      </c>
      <c r="V589" s="87">
        <v>0</v>
      </c>
      <c r="X589" s="87">
        <v>0</v>
      </c>
      <c r="Y589" s="88">
        <v>29611714.000000004</v>
      </c>
      <c r="Z589" s="87">
        <v>0</v>
      </c>
      <c r="AA589" s="87">
        <v>0</v>
      </c>
      <c r="AB589" s="89">
        <f t="shared" si="163"/>
        <v>0</v>
      </c>
      <c r="AC589" s="89">
        <f t="shared" si="164"/>
        <v>306</v>
      </c>
      <c r="AD589" s="89">
        <f t="shared" si="165"/>
        <v>0</v>
      </c>
      <c r="AE589" s="90">
        <f t="shared" si="166"/>
        <v>0</v>
      </c>
      <c r="AF589" s="90" t="str">
        <f t="shared" si="167"/>
        <v/>
      </c>
      <c r="AG589" s="90">
        <f t="shared" si="168"/>
        <v>306</v>
      </c>
      <c r="AH589" s="90">
        <f t="shared" si="169"/>
        <v>2018</v>
      </c>
      <c r="AI589" s="90">
        <f t="shared" si="170"/>
        <v>306</v>
      </c>
      <c r="AJ589" s="90">
        <f t="shared" si="171"/>
        <v>2018</v>
      </c>
      <c r="AK589" s="90" t="str">
        <f t="shared" si="172"/>
        <v/>
      </c>
      <c r="AL589" s="91">
        <f>IF(AK589="Adjust",(_xlfn.XLOOKUP(A589,'Adj factor'!A:A,'Adj factor'!I:I,,0)*AI589),'Master DataSheet'!AI589)</f>
        <v>306</v>
      </c>
      <c r="AM589" s="91">
        <f t="shared" si="173"/>
        <v>306</v>
      </c>
      <c r="AN589" s="92" t="str">
        <f t="shared" si="174"/>
        <v>No change</v>
      </c>
      <c r="AO589" s="93">
        <f>VLOOKUP(B589,'Growthrates source'!A$2:H$49,8,FALSE)</f>
        <v>4.1448317953169944E-2</v>
      </c>
      <c r="AP589" s="93">
        <f>VLOOKUP(B589,'Growthrates source'!A$2:I$49,9,FALSE)</f>
        <v>6.6454487825566844E-3</v>
      </c>
      <c r="AQ589" s="86">
        <f t="shared" si="175"/>
        <v>0</v>
      </c>
      <c r="AR589" s="86">
        <f t="shared" si="176"/>
        <v>0</v>
      </c>
      <c r="AS589" s="94">
        <f t="shared" si="177"/>
        <v>0</v>
      </c>
      <c r="AT589" s="94">
        <f t="shared" si="178"/>
        <v>0.11398116427736445</v>
      </c>
      <c r="AU589" s="94">
        <f t="shared" si="179"/>
        <v>0.10333748326760145</v>
      </c>
    </row>
    <row r="590" spans="1:47" x14ac:dyDescent="0.3">
      <c r="A590" s="85" t="str">
        <f>_xlfn.XLOOKUP(B590,'Country codes &amp; Data sources'!G:G,'Country codes &amp; Data sources'!H:H,,0)</f>
        <v>Madagascar</v>
      </c>
      <c r="B590" s="85" t="s">
        <v>177</v>
      </c>
      <c r="C590" s="86">
        <v>22966252</v>
      </c>
      <c r="D590" s="85" t="s">
        <v>206</v>
      </c>
      <c r="E590" s="87">
        <v>0</v>
      </c>
      <c r="F590" s="88">
        <v>23588073.5</v>
      </c>
      <c r="G590" s="87">
        <v>0</v>
      </c>
      <c r="I590" s="87">
        <v>0</v>
      </c>
      <c r="K590" s="87">
        <v>0</v>
      </c>
      <c r="M590" s="87">
        <v>0</v>
      </c>
      <c r="O590" s="87">
        <v>0</v>
      </c>
      <c r="P590" s="88">
        <v>26846541</v>
      </c>
      <c r="Q590" s="87">
        <v>0</v>
      </c>
      <c r="R590" s="87">
        <f t="shared" si="162"/>
        <v>0</v>
      </c>
      <c r="T590" s="87">
        <v>0</v>
      </c>
      <c r="V590" s="87">
        <v>0</v>
      </c>
      <c r="X590" s="87">
        <v>0</v>
      </c>
      <c r="Y590" s="88">
        <v>29611714.000000004</v>
      </c>
      <c r="Z590" s="87">
        <v>0</v>
      </c>
      <c r="AA590" s="87">
        <v>0</v>
      </c>
      <c r="AB590" s="89">
        <f t="shared" si="163"/>
        <v>0</v>
      </c>
      <c r="AC590" s="89">
        <f t="shared" si="164"/>
        <v>0</v>
      </c>
      <c r="AD590" s="89">
        <f t="shared" si="165"/>
        <v>0</v>
      </c>
      <c r="AE590" s="90">
        <f t="shared" si="166"/>
        <v>0</v>
      </c>
      <c r="AF590" s="90" t="str">
        <f t="shared" si="167"/>
        <v/>
      </c>
      <c r="AG590" s="90">
        <f t="shared" si="168"/>
        <v>0</v>
      </c>
      <c r="AH590" s="90" t="str">
        <f t="shared" si="169"/>
        <v/>
      </c>
      <c r="AI590" s="90">
        <f t="shared" si="170"/>
        <v>0</v>
      </c>
      <c r="AJ590" s="90" t="str">
        <f t="shared" si="171"/>
        <v/>
      </c>
      <c r="AK590" s="90" t="str">
        <f t="shared" si="172"/>
        <v/>
      </c>
      <c r="AL590" s="91">
        <f>IF(AK590="Adjust",(_xlfn.XLOOKUP(A590,'Adj factor'!A:A,'Adj factor'!I:I,,0)*AI590),'Master DataSheet'!AI590)</f>
        <v>0</v>
      </c>
      <c r="AM590" s="91">
        <f t="shared" si="173"/>
        <v>0</v>
      </c>
      <c r="AN590" s="92" t="str">
        <f t="shared" si="174"/>
        <v>No change</v>
      </c>
      <c r="AO590" s="93">
        <f>VLOOKUP(B590,'Growthrates source'!A$2:H$49,8,FALSE)</f>
        <v>4.1448317953169944E-2</v>
      </c>
      <c r="AP590" s="93">
        <f>VLOOKUP(B590,'Growthrates source'!A$2:I$49,9,FALSE)</f>
        <v>6.6454487825566844E-3</v>
      </c>
      <c r="AQ590" s="86">
        <f t="shared" si="175"/>
        <v>0</v>
      </c>
      <c r="AR590" s="86">
        <f t="shared" si="176"/>
        <v>0</v>
      </c>
      <c r="AS590" s="94">
        <f t="shared" si="177"/>
        <v>0</v>
      </c>
      <c r="AT590" s="94">
        <f t="shared" si="178"/>
        <v>0</v>
      </c>
      <c r="AU590" s="94">
        <f t="shared" si="179"/>
        <v>0</v>
      </c>
    </row>
    <row r="591" spans="1:47" x14ac:dyDescent="0.3">
      <c r="A591" s="85" t="str">
        <f>_xlfn.XLOOKUP(B591,'Country codes &amp; Data sources'!G:G,'Country codes &amp; Data sources'!H:H,,0)</f>
        <v>Madagascar</v>
      </c>
      <c r="B591" s="85" t="s">
        <v>177</v>
      </c>
      <c r="C591" s="86">
        <v>22966253</v>
      </c>
      <c r="D591" s="85" t="s">
        <v>136</v>
      </c>
      <c r="E591" s="87">
        <v>0</v>
      </c>
      <c r="F591" s="88">
        <v>23588073.5</v>
      </c>
      <c r="G591" s="87">
        <v>0</v>
      </c>
      <c r="I591" s="87">
        <v>0</v>
      </c>
      <c r="K591" s="87">
        <v>0</v>
      </c>
      <c r="M591" s="87">
        <v>0</v>
      </c>
      <c r="O591" s="87">
        <v>0</v>
      </c>
      <c r="P591" s="88">
        <v>26846541</v>
      </c>
      <c r="Q591" s="87">
        <v>0</v>
      </c>
      <c r="R591" s="87">
        <f t="shared" si="162"/>
        <v>214</v>
      </c>
      <c r="T591" s="87">
        <v>0</v>
      </c>
      <c r="V591" s="87">
        <v>0</v>
      </c>
      <c r="X591" s="87">
        <v>0</v>
      </c>
      <c r="Y591" s="88">
        <v>29611714.000000004</v>
      </c>
      <c r="Z591" s="87">
        <v>0</v>
      </c>
      <c r="AA591" s="87">
        <v>214</v>
      </c>
      <c r="AB591" s="89">
        <f t="shared" si="163"/>
        <v>0</v>
      </c>
      <c r="AC591" s="89">
        <f t="shared" si="164"/>
        <v>0</v>
      </c>
      <c r="AD591" s="89">
        <f t="shared" si="165"/>
        <v>0</v>
      </c>
      <c r="AE591" s="90">
        <f t="shared" si="166"/>
        <v>0</v>
      </c>
      <c r="AF591" s="90" t="str">
        <f t="shared" si="167"/>
        <v/>
      </c>
      <c r="AG591" s="90">
        <f t="shared" si="168"/>
        <v>214</v>
      </c>
      <c r="AH591" s="90" t="str">
        <f t="shared" si="169"/>
        <v>2018 (triag)</v>
      </c>
      <c r="AI591" s="90">
        <f t="shared" si="170"/>
        <v>214</v>
      </c>
      <c r="AJ591" s="90" t="str">
        <f t="shared" si="171"/>
        <v>2018 (triag)</v>
      </c>
      <c r="AK591" s="90" t="str">
        <f t="shared" si="172"/>
        <v/>
      </c>
      <c r="AL591" s="91">
        <f>IF(AK591="Adjust",(_xlfn.XLOOKUP(A591,'Adj factor'!A:A,'Adj factor'!I:I,,0)*AI591),'Master DataSheet'!AI591)</f>
        <v>214</v>
      </c>
      <c r="AM591" s="91">
        <f t="shared" si="173"/>
        <v>214</v>
      </c>
      <c r="AN591" s="92" t="str">
        <f t="shared" si="174"/>
        <v>No change</v>
      </c>
      <c r="AO591" s="93">
        <f>VLOOKUP(B591,'Growthrates source'!A$2:H$49,8,FALSE)</f>
        <v>4.1448317953169944E-2</v>
      </c>
      <c r="AP591" s="93">
        <f>VLOOKUP(B591,'Growthrates source'!A$2:I$49,9,FALSE)</f>
        <v>6.6454487825566844E-3</v>
      </c>
      <c r="AQ591" s="86">
        <f t="shared" si="175"/>
        <v>173.94417688778671</v>
      </c>
      <c r="AR591" s="86">
        <f t="shared" si="176"/>
        <v>218.30919014615515</v>
      </c>
      <c r="AS591" s="94">
        <f t="shared" si="177"/>
        <v>0</v>
      </c>
      <c r="AT591" s="94">
        <f t="shared" si="178"/>
        <v>7.9712317501163366E-2</v>
      </c>
      <c r="AU591" s="94">
        <f t="shared" si="179"/>
        <v>7.2268697448584024E-2</v>
      </c>
    </row>
    <row r="592" spans="1:47" x14ac:dyDescent="0.3">
      <c r="A592" s="85" t="str">
        <f>_xlfn.XLOOKUP(B592,'Country codes &amp; Data sources'!G:G,'Country codes &amp; Data sources'!H:H,,0)</f>
        <v>Madagascar</v>
      </c>
      <c r="B592" s="85" t="s">
        <v>177</v>
      </c>
      <c r="C592" s="86">
        <v>22966254</v>
      </c>
      <c r="D592" s="85" t="s">
        <v>207</v>
      </c>
      <c r="E592" s="87">
        <v>0</v>
      </c>
      <c r="F592" s="88">
        <v>23588073.5</v>
      </c>
      <c r="G592" s="87">
        <v>0</v>
      </c>
      <c r="I592" s="87">
        <v>0</v>
      </c>
      <c r="K592" s="87">
        <v>0</v>
      </c>
      <c r="M592" s="87">
        <v>0</v>
      </c>
      <c r="O592" s="87">
        <v>0</v>
      </c>
      <c r="P592" s="88">
        <v>26846541</v>
      </c>
      <c r="Q592" s="87">
        <v>0</v>
      </c>
      <c r="R592" s="87">
        <f t="shared" si="162"/>
        <v>11</v>
      </c>
      <c r="T592" s="87">
        <v>0</v>
      </c>
      <c r="V592" s="87">
        <v>0</v>
      </c>
      <c r="X592" s="87">
        <v>0</v>
      </c>
      <c r="Y592" s="88">
        <v>29611714.000000004</v>
      </c>
      <c r="Z592" s="87">
        <v>0</v>
      </c>
      <c r="AA592" s="87">
        <v>11</v>
      </c>
      <c r="AB592" s="89">
        <f t="shared" si="163"/>
        <v>0</v>
      </c>
      <c r="AC592" s="89">
        <f t="shared" si="164"/>
        <v>0</v>
      </c>
      <c r="AD592" s="89">
        <f t="shared" si="165"/>
        <v>0</v>
      </c>
      <c r="AE592" s="90">
        <f t="shared" si="166"/>
        <v>0</v>
      </c>
      <c r="AF592" s="90" t="str">
        <f t="shared" si="167"/>
        <v/>
      </c>
      <c r="AG592" s="90">
        <f t="shared" si="168"/>
        <v>11</v>
      </c>
      <c r="AH592" s="90" t="str">
        <f t="shared" si="169"/>
        <v>2018 (triag)</v>
      </c>
      <c r="AI592" s="90">
        <f t="shared" si="170"/>
        <v>11</v>
      </c>
      <c r="AJ592" s="90" t="str">
        <f t="shared" si="171"/>
        <v>2018 (triag)</v>
      </c>
      <c r="AK592" s="90" t="str">
        <f t="shared" si="172"/>
        <v/>
      </c>
      <c r="AL592" s="91">
        <f>IF(AK592="Adjust",(_xlfn.XLOOKUP(A592,'Adj factor'!A:A,'Adj factor'!I:I,,0)*AI592),'Master DataSheet'!AI592)</f>
        <v>11</v>
      </c>
      <c r="AM592" s="91">
        <f t="shared" si="173"/>
        <v>11</v>
      </c>
      <c r="AN592" s="92" t="str">
        <f t="shared" si="174"/>
        <v>No change</v>
      </c>
      <c r="AO592" s="93">
        <f>VLOOKUP(B592,'Growthrates source'!A$2:H$49,8,FALSE)</f>
        <v>4.1448317953169944E-2</v>
      </c>
      <c r="AP592" s="93">
        <f>VLOOKUP(B592,'Growthrates source'!A$2:I$49,9,FALSE)</f>
        <v>6.6454487825566844E-3</v>
      </c>
      <c r="AQ592" s="86">
        <f t="shared" si="175"/>
        <v>8.9410558213348317</v>
      </c>
      <c r="AR592" s="86">
        <f t="shared" si="176"/>
        <v>11.221500428073396</v>
      </c>
      <c r="AS592" s="94">
        <f t="shared" si="177"/>
        <v>0</v>
      </c>
      <c r="AT592" s="94">
        <f t="shared" si="178"/>
        <v>4.0973621145457811E-3</v>
      </c>
      <c r="AU592" s="94">
        <f t="shared" si="179"/>
        <v>3.7147461305346925E-3</v>
      </c>
    </row>
    <row r="593" spans="1:47" x14ac:dyDescent="0.3">
      <c r="A593" s="85" t="str">
        <f>_xlfn.XLOOKUP(B593,'Country codes &amp; Data sources'!G:G,'Country codes &amp; Data sources'!H:H,,0)</f>
        <v>Madagascar</v>
      </c>
      <c r="B593" s="85" t="s">
        <v>177</v>
      </c>
      <c r="C593" s="86">
        <v>22966255</v>
      </c>
      <c r="D593" s="85" t="s">
        <v>141</v>
      </c>
      <c r="E593" s="87">
        <v>0</v>
      </c>
      <c r="F593" s="88">
        <v>23588073.5</v>
      </c>
      <c r="G593" s="87">
        <v>0</v>
      </c>
      <c r="I593" s="87">
        <v>0</v>
      </c>
      <c r="K593" s="87">
        <v>0</v>
      </c>
      <c r="M593" s="87">
        <v>0</v>
      </c>
      <c r="O593" s="87">
        <v>0</v>
      </c>
      <c r="P593" s="88">
        <v>26846541</v>
      </c>
      <c r="Q593" s="87">
        <v>0</v>
      </c>
      <c r="R593" s="87">
        <f t="shared" si="162"/>
        <v>56</v>
      </c>
      <c r="T593" s="87">
        <v>0</v>
      </c>
      <c r="V593" s="87">
        <v>0</v>
      </c>
      <c r="X593" s="87">
        <v>0</v>
      </c>
      <c r="Y593" s="88">
        <v>29611714.000000004</v>
      </c>
      <c r="Z593" s="87">
        <v>0</v>
      </c>
      <c r="AA593" s="87">
        <v>56</v>
      </c>
      <c r="AB593" s="89">
        <f t="shared" si="163"/>
        <v>0</v>
      </c>
      <c r="AC593" s="89">
        <f t="shared" si="164"/>
        <v>0</v>
      </c>
      <c r="AD593" s="89">
        <f t="shared" si="165"/>
        <v>0</v>
      </c>
      <c r="AE593" s="90">
        <f t="shared" si="166"/>
        <v>0</v>
      </c>
      <c r="AF593" s="90" t="str">
        <f t="shared" si="167"/>
        <v/>
      </c>
      <c r="AG593" s="90">
        <f t="shared" si="168"/>
        <v>56</v>
      </c>
      <c r="AH593" s="90" t="str">
        <f t="shared" si="169"/>
        <v>2018 (triag)</v>
      </c>
      <c r="AI593" s="90">
        <f t="shared" si="170"/>
        <v>56</v>
      </c>
      <c r="AJ593" s="90" t="str">
        <f t="shared" si="171"/>
        <v>2018 (triag)</v>
      </c>
      <c r="AK593" s="90" t="str">
        <f t="shared" si="172"/>
        <v/>
      </c>
      <c r="AL593" s="91">
        <f>IF(AK593="Adjust",(_xlfn.XLOOKUP(A593,'Adj factor'!A:A,'Adj factor'!I:I,,0)*AI593),'Master DataSheet'!AI593)</f>
        <v>56</v>
      </c>
      <c r="AM593" s="91">
        <f t="shared" si="173"/>
        <v>56</v>
      </c>
      <c r="AN593" s="92" t="str">
        <f t="shared" si="174"/>
        <v>No change</v>
      </c>
      <c r="AO593" s="93">
        <f>VLOOKUP(B593,'Growthrates source'!A$2:H$49,8,FALSE)</f>
        <v>4.1448317953169944E-2</v>
      </c>
      <c r="AP593" s="93">
        <f>VLOOKUP(B593,'Growthrates source'!A$2:I$49,9,FALSE)</f>
        <v>6.6454487825566844E-3</v>
      </c>
      <c r="AQ593" s="86">
        <f t="shared" si="175"/>
        <v>45.518102363159137</v>
      </c>
      <c r="AR593" s="86">
        <f t="shared" si="176"/>
        <v>57.127638542919108</v>
      </c>
      <c r="AS593" s="94">
        <f t="shared" si="177"/>
        <v>0</v>
      </c>
      <c r="AT593" s="94">
        <f t="shared" si="178"/>
        <v>2.0859298037687612E-2</v>
      </c>
      <c r="AU593" s="94">
        <f t="shared" si="179"/>
        <v>1.8911434846358436E-2</v>
      </c>
    </row>
    <row r="594" spans="1:47" x14ac:dyDescent="0.3">
      <c r="A594" s="85" t="str">
        <f>_xlfn.XLOOKUP(B594,'Country codes &amp; Data sources'!G:G,'Country codes &amp; Data sources'!H:H,,0)</f>
        <v>Madagascar</v>
      </c>
      <c r="B594" s="85" t="s">
        <v>177</v>
      </c>
      <c r="C594" s="86">
        <v>22966256</v>
      </c>
      <c r="D594" s="85" t="s">
        <v>208</v>
      </c>
      <c r="E594" s="87">
        <v>0</v>
      </c>
      <c r="F594" s="88">
        <v>23588073.5</v>
      </c>
      <c r="G594" s="87">
        <v>0</v>
      </c>
      <c r="I594" s="87">
        <v>0</v>
      </c>
      <c r="K594" s="87">
        <v>0</v>
      </c>
      <c r="M594" s="87">
        <v>0</v>
      </c>
      <c r="O594" s="87">
        <v>0</v>
      </c>
      <c r="P594" s="88">
        <v>26846541</v>
      </c>
      <c r="Q594" s="87">
        <v>0</v>
      </c>
      <c r="R594" s="87">
        <f t="shared" si="162"/>
        <v>6355</v>
      </c>
      <c r="T594" s="87">
        <v>0</v>
      </c>
      <c r="V594" s="87">
        <v>0</v>
      </c>
      <c r="X594" s="87">
        <v>0</v>
      </c>
      <c r="Y594" s="88">
        <v>29611714.000000004</v>
      </c>
      <c r="Z594" s="87">
        <v>0</v>
      </c>
      <c r="AA594" s="87">
        <v>6355</v>
      </c>
      <c r="AB594" s="89">
        <f t="shared" si="163"/>
        <v>0</v>
      </c>
      <c r="AC594" s="89">
        <f t="shared" si="164"/>
        <v>0</v>
      </c>
      <c r="AD594" s="89">
        <f t="shared" si="165"/>
        <v>0</v>
      </c>
      <c r="AE594" s="90">
        <f t="shared" si="166"/>
        <v>0</v>
      </c>
      <c r="AF594" s="90" t="str">
        <f t="shared" si="167"/>
        <v/>
      </c>
      <c r="AG594" s="90">
        <f t="shared" si="168"/>
        <v>6355</v>
      </c>
      <c r="AH594" s="90" t="str">
        <f t="shared" si="169"/>
        <v>2018 (triag)</v>
      </c>
      <c r="AI594" s="90">
        <f t="shared" si="170"/>
        <v>6355</v>
      </c>
      <c r="AJ594" s="90" t="str">
        <f t="shared" si="171"/>
        <v>2018 (triag)</v>
      </c>
      <c r="AK594" s="90" t="str">
        <f t="shared" si="172"/>
        <v/>
      </c>
      <c r="AL594" s="91">
        <f>IF(AK594="Adjust",(_xlfn.XLOOKUP(A594,'Adj factor'!A:A,'Adj factor'!I:I,,0)*AI594),'Master DataSheet'!AI594)</f>
        <v>6355</v>
      </c>
      <c r="AM594" s="91">
        <f t="shared" si="173"/>
        <v>6355</v>
      </c>
      <c r="AN594" s="92" t="str">
        <f t="shared" si="174"/>
        <v>No change</v>
      </c>
      <c r="AO594" s="93">
        <f>VLOOKUP(B594,'Growthrates source'!A$2:H$49,8,FALSE)</f>
        <v>4.1448317953169944E-2</v>
      </c>
      <c r="AP594" s="93">
        <f>VLOOKUP(B594,'Growthrates source'!A$2:I$49,9,FALSE)</f>
        <v>6.6454487825566844E-3</v>
      </c>
      <c r="AQ594" s="86">
        <f t="shared" si="175"/>
        <v>5165.4917949620776</v>
      </c>
      <c r="AR594" s="86">
        <f t="shared" si="176"/>
        <v>6482.9668382187665</v>
      </c>
      <c r="AS594" s="94">
        <f t="shared" si="177"/>
        <v>0</v>
      </c>
      <c r="AT594" s="94">
        <f t="shared" si="178"/>
        <v>2.367157839812585</v>
      </c>
      <c r="AU594" s="94">
        <f t="shared" si="179"/>
        <v>2.1461101508679974</v>
      </c>
    </row>
    <row r="595" spans="1:47" x14ac:dyDescent="0.3">
      <c r="A595" s="85" t="str">
        <f>_xlfn.XLOOKUP(B595,'Country codes &amp; Data sources'!G:G,'Country codes &amp; Data sources'!H:H,,0)</f>
        <v>Madagascar</v>
      </c>
      <c r="B595" s="85" t="s">
        <v>177</v>
      </c>
      <c r="C595" s="86">
        <v>22966257</v>
      </c>
      <c r="D595" s="85" t="s">
        <v>209</v>
      </c>
      <c r="E595" s="87">
        <v>0</v>
      </c>
      <c r="F595" s="88">
        <v>23588073.5</v>
      </c>
      <c r="G595" s="87">
        <v>0</v>
      </c>
      <c r="I595" s="87">
        <v>0</v>
      </c>
      <c r="K595" s="87">
        <v>0</v>
      </c>
      <c r="M595" s="87">
        <v>0</v>
      </c>
      <c r="O595" s="87">
        <v>0</v>
      </c>
      <c r="P595" s="88">
        <v>26846541</v>
      </c>
      <c r="Q595" s="87">
        <v>0</v>
      </c>
      <c r="R595" s="87">
        <f t="shared" si="162"/>
        <v>0</v>
      </c>
      <c r="T595" s="87">
        <v>0</v>
      </c>
      <c r="V595" s="87">
        <v>0</v>
      </c>
      <c r="X595" s="87">
        <v>0</v>
      </c>
      <c r="Y595" s="88">
        <v>29611714.000000004</v>
      </c>
      <c r="Z595" s="87">
        <v>0</v>
      </c>
      <c r="AA595" s="87">
        <v>0</v>
      </c>
      <c r="AB595" s="89">
        <f t="shared" si="163"/>
        <v>0</v>
      </c>
      <c r="AC595" s="89">
        <f t="shared" si="164"/>
        <v>0</v>
      </c>
      <c r="AD595" s="89">
        <f t="shared" si="165"/>
        <v>0</v>
      </c>
      <c r="AE595" s="90">
        <f t="shared" si="166"/>
        <v>0</v>
      </c>
      <c r="AF595" s="90" t="str">
        <f t="shared" si="167"/>
        <v/>
      </c>
      <c r="AG595" s="90">
        <f t="shared" si="168"/>
        <v>0</v>
      </c>
      <c r="AH595" s="90" t="str">
        <f t="shared" si="169"/>
        <v/>
      </c>
      <c r="AI595" s="90">
        <f t="shared" si="170"/>
        <v>0</v>
      </c>
      <c r="AJ595" s="90" t="str">
        <f t="shared" si="171"/>
        <v/>
      </c>
      <c r="AK595" s="90" t="str">
        <f t="shared" si="172"/>
        <v/>
      </c>
      <c r="AL595" s="91">
        <f>IF(AK595="Adjust",(_xlfn.XLOOKUP(A595,'Adj factor'!A:A,'Adj factor'!I:I,,0)*AI595),'Master DataSheet'!AI595)</f>
        <v>0</v>
      </c>
      <c r="AM595" s="91">
        <f t="shared" si="173"/>
        <v>0</v>
      </c>
      <c r="AN595" s="92" t="str">
        <f t="shared" si="174"/>
        <v>No change</v>
      </c>
      <c r="AO595" s="93">
        <f>VLOOKUP(B595,'Growthrates source'!A$2:H$49,8,FALSE)</f>
        <v>4.1448317953169944E-2</v>
      </c>
      <c r="AP595" s="93">
        <f>VLOOKUP(B595,'Growthrates source'!A$2:I$49,9,FALSE)</f>
        <v>6.6454487825566844E-3</v>
      </c>
      <c r="AQ595" s="86">
        <f t="shared" si="175"/>
        <v>0</v>
      </c>
      <c r="AR595" s="86">
        <f t="shared" si="176"/>
        <v>0</v>
      </c>
      <c r="AS595" s="94">
        <f t="shared" si="177"/>
        <v>0</v>
      </c>
      <c r="AT595" s="94">
        <f t="shared" si="178"/>
        <v>0</v>
      </c>
      <c r="AU595" s="94">
        <f t="shared" si="179"/>
        <v>0</v>
      </c>
    </row>
    <row r="596" spans="1:47" x14ac:dyDescent="0.3">
      <c r="A596" s="85" t="str">
        <f>_xlfn.XLOOKUP(B596,'Country codes &amp; Data sources'!G:G,'Country codes &amp; Data sources'!H:H,,0)</f>
        <v>Madagascar</v>
      </c>
      <c r="B596" s="85" t="s">
        <v>177</v>
      </c>
      <c r="C596" s="86">
        <v>22966258</v>
      </c>
      <c r="D596" s="85" t="s">
        <v>134</v>
      </c>
      <c r="E596" s="87">
        <v>0</v>
      </c>
      <c r="F596" s="88">
        <v>23588073.5</v>
      </c>
      <c r="G596" s="87">
        <v>0</v>
      </c>
      <c r="I596" s="87">
        <v>0</v>
      </c>
      <c r="K596" s="87">
        <v>0</v>
      </c>
      <c r="M596" s="87">
        <v>0</v>
      </c>
      <c r="O596" s="87">
        <v>0</v>
      </c>
      <c r="P596" s="88">
        <v>26846541</v>
      </c>
      <c r="Q596" s="87">
        <v>0</v>
      </c>
      <c r="R596" s="87">
        <f t="shared" si="162"/>
        <v>306</v>
      </c>
      <c r="T596" s="87">
        <v>0</v>
      </c>
      <c r="V596" s="87">
        <v>0</v>
      </c>
      <c r="X596" s="87">
        <v>0</v>
      </c>
      <c r="Y596" s="88">
        <v>29611714.000000004</v>
      </c>
      <c r="Z596" s="87">
        <v>0</v>
      </c>
      <c r="AA596" s="87">
        <v>306</v>
      </c>
      <c r="AB596" s="89">
        <f t="shared" si="163"/>
        <v>0</v>
      </c>
      <c r="AC596" s="89">
        <f t="shared" si="164"/>
        <v>0</v>
      </c>
      <c r="AD596" s="89">
        <f t="shared" si="165"/>
        <v>0</v>
      </c>
      <c r="AE596" s="90">
        <f t="shared" si="166"/>
        <v>0</v>
      </c>
      <c r="AF596" s="90" t="str">
        <f t="shared" si="167"/>
        <v/>
      </c>
      <c r="AG596" s="90">
        <f t="shared" si="168"/>
        <v>306</v>
      </c>
      <c r="AH596" s="90" t="str">
        <f t="shared" si="169"/>
        <v>2018 (triag)</v>
      </c>
      <c r="AI596" s="90">
        <f t="shared" si="170"/>
        <v>306</v>
      </c>
      <c r="AJ596" s="90" t="str">
        <f t="shared" si="171"/>
        <v>2018 (triag)</v>
      </c>
      <c r="AK596" s="90" t="str">
        <f t="shared" si="172"/>
        <v/>
      </c>
      <c r="AL596" s="91">
        <f>IF(AK596="Adjust",(_xlfn.XLOOKUP(A596,'Adj factor'!A:A,'Adj factor'!I:I,,0)*AI596),'Master DataSheet'!AI596)</f>
        <v>306</v>
      </c>
      <c r="AM596" s="91">
        <f t="shared" si="173"/>
        <v>306</v>
      </c>
      <c r="AN596" s="92" t="str">
        <f t="shared" si="174"/>
        <v>No change</v>
      </c>
      <c r="AO596" s="93">
        <f>VLOOKUP(B596,'Growthrates source'!A$2:H$49,8,FALSE)</f>
        <v>4.1448317953169944E-2</v>
      </c>
      <c r="AP596" s="93">
        <f>VLOOKUP(B596,'Growthrates source'!A$2:I$49,9,FALSE)</f>
        <v>6.6454487825566844E-3</v>
      </c>
      <c r="AQ596" s="86">
        <f t="shared" si="175"/>
        <v>248.72391648440529</v>
      </c>
      <c r="AR596" s="86">
        <f t="shared" si="176"/>
        <v>312.1617391809508</v>
      </c>
      <c r="AS596" s="94">
        <f t="shared" si="177"/>
        <v>0</v>
      </c>
      <c r="AT596" s="94">
        <f t="shared" si="178"/>
        <v>0.11398116427736445</v>
      </c>
      <c r="AU596" s="94">
        <f t="shared" si="179"/>
        <v>0.10333748326760145</v>
      </c>
    </row>
    <row r="597" spans="1:47" x14ac:dyDescent="0.3">
      <c r="A597" s="85" t="str">
        <f>_xlfn.XLOOKUP(B597,'Country codes &amp; Data sources'!G:G,'Country codes &amp; Data sources'!H:H,,0)</f>
        <v>Madagascar</v>
      </c>
      <c r="B597" s="85" t="s">
        <v>177</v>
      </c>
      <c r="C597" s="86">
        <v>22966259</v>
      </c>
      <c r="D597" s="85" t="s">
        <v>142</v>
      </c>
      <c r="E597" s="87">
        <v>0</v>
      </c>
      <c r="F597" s="88">
        <v>23588073.5</v>
      </c>
      <c r="G597" s="87">
        <v>0</v>
      </c>
      <c r="I597" s="87">
        <v>0</v>
      </c>
      <c r="K597" s="87">
        <v>0</v>
      </c>
      <c r="M597" s="87">
        <v>0</v>
      </c>
      <c r="O597" s="87">
        <v>0</v>
      </c>
      <c r="P597" s="88">
        <v>26846541</v>
      </c>
      <c r="Q597" s="87">
        <v>0</v>
      </c>
      <c r="R597" s="87">
        <f t="shared" si="162"/>
        <v>0</v>
      </c>
      <c r="T597" s="87">
        <v>0</v>
      </c>
      <c r="V597" s="87">
        <v>0</v>
      </c>
      <c r="X597" s="87">
        <v>0</v>
      </c>
      <c r="Y597" s="88">
        <v>29611714.000000004</v>
      </c>
      <c r="Z597" s="87">
        <v>0</v>
      </c>
      <c r="AA597" s="87">
        <v>0</v>
      </c>
      <c r="AB597" s="89">
        <f t="shared" si="163"/>
        <v>0</v>
      </c>
      <c r="AC597" s="89">
        <f t="shared" si="164"/>
        <v>0</v>
      </c>
      <c r="AD597" s="89">
        <f t="shared" si="165"/>
        <v>0</v>
      </c>
      <c r="AE597" s="90">
        <f t="shared" si="166"/>
        <v>0</v>
      </c>
      <c r="AF597" s="90" t="str">
        <f t="shared" si="167"/>
        <v/>
      </c>
      <c r="AG597" s="90">
        <f t="shared" si="168"/>
        <v>0</v>
      </c>
      <c r="AH597" s="90" t="str">
        <f t="shared" si="169"/>
        <v/>
      </c>
      <c r="AI597" s="90">
        <f t="shared" si="170"/>
        <v>0</v>
      </c>
      <c r="AJ597" s="90" t="str">
        <f t="shared" si="171"/>
        <v/>
      </c>
      <c r="AK597" s="90" t="str">
        <f t="shared" si="172"/>
        <v/>
      </c>
      <c r="AL597" s="91">
        <f>IF(AK597="Adjust",(_xlfn.XLOOKUP(A597,'Adj factor'!A:A,'Adj factor'!I:I,,0)*AI597),'Master DataSheet'!AI597)</f>
        <v>0</v>
      </c>
      <c r="AM597" s="91">
        <f t="shared" si="173"/>
        <v>0</v>
      </c>
      <c r="AN597" s="92" t="str">
        <f t="shared" si="174"/>
        <v>No change</v>
      </c>
      <c r="AO597" s="93">
        <f>VLOOKUP(B597,'Growthrates source'!A$2:H$49,8,FALSE)</f>
        <v>4.1448317953169944E-2</v>
      </c>
      <c r="AP597" s="93">
        <f>VLOOKUP(B597,'Growthrates source'!A$2:I$49,9,FALSE)</f>
        <v>6.6454487825566844E-3</v>
      </c>
      <c r="AQ597" s="86">
        <f t="shared" si="175"/>
        <v>0</v>
      </c>
      <c r="AR597" s="86">
        <f t="shared" si="176"/>
        <v>0</v>
      </c>
      <c r="AS597" s="94">
        <f t="shared" si="177"/>
        <v>0</v>
      </c>
      <c r="AT597" s="94">
        <f t="shared" si="178"/>
        <v>0</v>
      </c>
      <c r="AU597" s="94">
        <f t="shared" si="179"/>
        <v>0</v>
      </c>
    </row>
    <row r="598" spans="1:47" x14ac:dyDescent="0.3">
      <c r="A598" s="85" t="str">
        <f>_xlfn.XLOOKUP(B598,'Country codes &amp; Data sources'!G:G,'Country codes &amp; Data sources'!H:H,,0)</f>
        <v>Madagascar</v>
      </c>
      <c r="B598" s="85" t="s">
        <v>177</v>
      </c>
      <c r="C598" s="86">
        <v>22966260</v>
      </c>
      <c r="D598" s="85" t="s">
        <v>83</v>
      </c>
      <c r="E598" s="87">
        <v>0</v>
      </c>
      <c r="F598" s="88">
        <v>23588073.5</v>
      </c>
      <c r="G598" s="87">
        <v>0</v>
      </c>
      <c r="I598" s="87">
        <v>0</v>
      </c>
      <c r="K598" s="87">
        <v>0</v>
      </c>
      <c r="M598" s="87">
        <v>0</v>
      </c>
      <c r="O598" s="87">
        <v>0</v>
      </c>
      <c r="P598" s="88">
        <v>26846541</v>
      </c>
      <c r="Q598" s="87">
        <v>0</v>
      </c>
      <c r="R598" s="87">
        <f t="shared" si="162"/>
        <v>99</v>
      </c>
      <c r="T598" s="87">
        <v>0</v>
      </c>
      <c r="V598" s="87">
        <v>0</v>
      </c>
      <c r="X598" s="87">
        <v>0</v>
      </c>
      <c r="Y598" s="88">
        <v>29611714.000000004</v>
      </c>
      <c r="Z598" s="87">
        <v>0</v>
      </c>
      <c r="AA598" s="87">
        <v>99</v>
      </c>
      <c r="AB598" s="89">
        <f t="shared" si="163"/>
        <v>0</v>
      </c>
      <c r="AC598" s="89">
        <f t="shared" si="164"/>
        <v>0</v>
      </c>
      <c r="AD598" s="89">
        <f t="shared" si="165"/>
        <v>0</v>
      </c>
      <c r="AE598" s="90">
        <f t="shared" si="166"/>
        <v>0</v>
      </c>
      <c r="AF598" s="90" t="str">
        <f t="shared" si="167"/>
        <v/>
      </c>
      <c r="AG598" s="90">
        <f t="shared" si="168"/>
        <v>99</v>
      </c>
      <c r="AH598" s="90" t="str">
        <f t="shared" si="169"/>
        <v>2018 (triag)</v>
      </c>
      <c r="AI598" s="90">
        <f t="shared" si="170"/>
        <v>99</v>
      </c>
      <c r="AJ598" s="90" t="str">
        <f t="shared" si="171"/>
        <v>2018 (triag)</v>
      </c>
      <c r="AK598" s="90" t="str">
        <f t="shared" si="172"/>
        <v/>
      </c>
      <c r="AL598" s="91">
        <f>IF(AK598="Adjust",(_xlfn.XLOOKUP(A598,'Adj factor'!A:A,'Adj factor'!I:I,,0)*AI598),'Master DataSheet'!AI598)</f>
        <v>99</v>
      </c>
      <c r="AM598" s="91">
        <f t="shared" si="173"/>
        <v>99</v>
      </c>
      <c r="AN598" s="92" t="str">
        <f t="shared" si="174"/>
        <v>No change</v>
      </c>
      <c r="AO598" s="93">
        <f>VLOOKUP(B598,'Growthrates source'!A$2:H$49,8,FALSE)</f>
        <v>4.1448317953169944E-2</v>
      </c>
      <c r="AP598" s="93">
        <f>VLOOKUP(B598,'Growthrates source'!A$2:I$49,9,FALSE)</f>
        <v>6.6454487825566844E-3</v>
      </c>
      <c r="AQ598" s="86">
        <f t="shared" si="175"/>
        <v>80.469502392013482</v>
      </c>
      <c r="AR598" s="86">
        <f t="shared" si="176"/>
        <v>100.99350385266057</v>
      </c>
      <c r="AS598" s="94">
        <f t="shared" si="177"/>
        <v>0</v>
      </c>
      <c r="AT598" s="94">
        <f t="shared" si="178"/>
        <v>3.6876259030912024E-2</v>
      </c>
      <c r="AU598" s="94">
        <f t="shared" si="179"/>
        <v>3.3432715174812236E-2</v>
      </c>
    </row>
    <row r="599" spans="1:47" x14ac:dyDescent="0.3">
      <c r="A599" s="85" t="str">
        <f>_xlfn.XLOOKUP(B599,'Country codes &amp; Data sources'!G:G,'Country codes &amp; Data sources'!H:H,,0)</f>
        <v>Madagascar</v>
      </c>
      <c r="B599" s="85" t="s">
        <v>177</v>
      </c>
      <c r="C599" s="86">
        <v>22966261</v>
      </c>
      <c r="D599" s="85" t="s">
        <v>84</v>
      </c>
      <c r="E599" s="87">
        <v>0</v>
      </c>
      <c r="F599" s="88">
        <v>23588073.5</v>
      </c>
      <c r="G599" s="87">
        <v>0</v>
      </c>
      <c r="I599" s="87">
        <v>0</v>
      </c>
      <c r="K599" s="87">
        <v>0</v>
      </c>
      <c r="M599" s="87">
        <v>0</v>
      </c>
      <c r="O599" s="87">
        <v>0</v>
      </c>
      <c r="P599" s="88">
        <v>26846541</v>
      </c>
      <c r="Q599" s="87">
        <v>0</v>
      </c>
      <c r="R599" s="87">
        <f t="shared" si="162"/>
        <v>0</v>
      </c>
      <c r="T599" s="87">
        <v>0</v>
      </c>
      <c r="V599" s="87">
        <v>0</v>
      </c>
      <c r="X599" s="87">
        <v>0</v>
      </c>
      <c r="Y599" s="88">
        <v>29611714.000000004</v>
      </c>
      <c r="Z599" s="87">
        <v>0</v>
      </c>
      <c r="AA599" s="87">
        <v>0</v>
      </c>
      <c r="AB599" s="89">
        <f t="shared" si="163"/>
        <v>0</v>
      </c>
      <c r="AC599" s="89">
        <f t="shared" si="164"/>
        <v>0</v>
      </c>
      <c r="AD599" s="89">
        <f t="shared" si="165"/>
        <v>0</v>
      </c>
      <c r="AE599" s="90">
        <f t="shared" si="166"/>
        <v>0</v>
      </c>
      <c r="AF599" s="90" t="str">
        <f t="shared" si="167"/>
        <v/>
      </c>
      <c r="AG599" s="90">
        <f t="shared" si="168"/>
        <v>0</v>
      </c>
      <c r="AH599" s="90" t="str">
        <f t="shared" si="169"/>
        <v/>
      </c>
      <c r="AI599" s="90">
        <f t="shared" si="170"/>
        <v>0</v>
      </c>
      <c r="AJ599" s="90" t="str">
        <f t="shared" si="171"/>
        <v/>
      </c>
      <c r="AK599" s="90" t="str">
        <f t="shared" si="172"/>
        <v/>
      </c>
      <c r="AL599" s="91">
        <f>IF(AK599="Adjust",(_xlfn.XLOOKUP(A599,'Adj factor'!A:A,'Adj factor'!I:I,,0)*AI599),'Master DataSheet'!AI599)</f>
        <v>0</v>
      </c>
      <c r="AM599" s="91">
        <f t="shared" si="173"/>
        <v>0</v>
      </c>
      <c r="AN599" s="92" t="str">
        <f t="shared" si="174"/>
        <v>No change</v>
      </c>
      <c r="AO599" s="93">
        <f>VLOOKUP(B599,'Growthrates source'!A$2:H$49,8,FALSE)</f>
        <v>4.1448317953169944E-2</v>
      </c>
      <c r="AP599" s="93">
        <f>VLOOKUP(B599,'Growthrates source'!A$2:I$49,9,FALSE)</f>
        <v>6.6454487825566844E-3</v>
      </c>
      <c r="AQ599" s="86">
        <f t="shared" si="175"/>
        <v>0</v>
      </c>
      <c r="AR599" s="86">
        <f t="shared" si="176"/>
        <v>0</v>
      </c>
      <c r="AS599" s="94">
        <f t="shared" si="177"/>
        <v>0</v>
      </c>
      <c r="AT599" s="94">
        <f t="shared" si="178"/>
        <v>0</v>
      </c>
      <c r="AU599" s="94">
        <f t="shared" si="179"/>
        <v>0</v>
      </c>
    </row>
    <row r="600" spans="1:47" x14ac:dyDescent="0.3">
      <c r="A600" s="85" t="str">
        <f>_xlfn.XLOOKUP(B600,'Country codes &amp; Data sources'!G:G,'Country codes &amp; Data sources'!H:H,,0)</f>
        <v>Madagascar</v>
      </c>
      <c r="B600" s="85" t="s">
        <v>177</v>
      </c>
      <c r="C600" s="86">
        <v>22966262</v>
      </c>
      <c r="D600" s="85" t="s">
        <v>126</v>
      </c>
      <c r="E600" s="87">
        <v>0</v>
      </c>
      <c r="F600" s="88">
        <v>23588073.5</v>
      </c>
      <c r="G600" s="87">
        <v>0</v>
      </c>
      <c r="I600" s="87">
        <v>0</v>
      </c>
      <c r="K600" s="87">
        <v>0</v>
      </c>
      <c r="M600" s="87">
        <v>0</v>
      </c>
      <c r="O600" s="87">
        <v>0</v>
      </c>
      <c r="P600" s="88">
        <v>26846541</v>
      </c>
      <c r="Q600" s="87">
        <v>0</v>
      </c>
      <c r="R600" s="87">
        <f t="shared" si="162"/>
        <v>0</v>
      </c>
      <c r="T600" s="87">
        <v>0</v>
      </c>
      <c r="V600" s="87">
        <v>0</v>
      </c>
      <c r="X600" s="87">
        <v>0</v>
      </c>
      <c r="Y600" s="88">
        <v>29611714.000000004</v>
      </c>
      <c r="Z600" s="87">
        <v>0</v>
      </c>
      <c r="AA600" s="87">
        <v>0</v>
      </c>
      <c r="AB600" s="89">
        <f t="shared" si="163"/>
        <v>0</v>
      </c>
      <c r="AC600" s="89">
        <f t="shared" si="164"/>
        <v>0</v>
      </c>
      <c r="AD600" s="89">
        <f t="shared" si="165"/>
        <v>0</v>
      </c>
      <c r="AE600" s="90">
        <f t="shared" si="166"/>
        <v>0</v>
      </c>
      <c r="AF600" s="90" t="str">
        <f t="shared" si="167"/>
        <v/>
      </c>
      <c r="AG600" s="90">
        <f t="shared" si="168"/>
        <v>0</v>
      </c>
      <c r="AH600" s="90" t="str">
        <f t="shared" si="169"/>
        <v/>
      </c>
      <c r="AI600" s="90">
        <f t="shared" si="170"/>
        <v>0</v>
      </c>
      <c r="AJ600" s="90" t="str">
        <f t="shared" si="171"/>
        <v/>
      </c>
      <c r="AK600" s="90" t="str">
        <f t="shared" si="172"/>
        <v/>
      </c>
      <c r="AL600" s="91">
        <f>IF(AK600="Adjust",(_xlfn.XLOOKUP(A600,'Adj factor'!A:A,'Adj factor'!I:I,,0)*AI600),'Master DataSheet'!AI600)</f>
        <v>0</v>
      </c>
      <c r="AM600" s="91">
        <f t="shared" si="173"/>
        <v>0</v>
      </c>
      <c r="AN600" s="92" t="str">
        <f t="shared" si="174"/>
        <v>No change</v>
      </c>
      <c r="AO600" s="93">
        <f>VLOOKUP(B600,'Growthrates source'!A$2:H$49,8,FALSE)</f>
        <v>4.1448317953169944E-2</v>
      </c>
      <c r="AP600" s="93">
        <f>VLOOKUP(B600,'Growthrates source'!A$2:I$49,9,FALSE)</f>
        <v>6.6454487825566844E-3</v>
      </c>
      <c r="AQ600" s="86">
        <f t="shared" si="175"/>
        <v>0</v>
      </c>
      <c r="AR600" s="86">
        <f t="shared" si="176"/>
        <v>0</v>
      </c>
      <c r="AS600" s="94">
        <f t="shared" si="177"/>
        <v>0</v>
      </c>
      <c r="AT600" s="94">
        <f t="shared" si="178"/>
        <v>0</v>
      </c>
      <c r="AU600" s="94">
        <f t="shared" si="179"/>
        <v>0</v>
      </c>
    </row>
    <row r="601" spans="1:47" x14ac:dyDescent="0.3">
      <c r="A601" s="85" t="str">
        <f>_xlfn.XLOOKUP(B601,'Country codes &amp; Data sources'!G:G,'Country codes &amp; Data sources'!H:H,,0)</f>
        <v>Madagascar</v>
      </c>
      <c r="B601" s="85" t="s">
        <v>177</v>
      </c>
      <c r="C601" s="86">
        <v>22966263</v>
      </c>
      <c r="D601" s="85" t="s">
        <v>87</v>
      </c>
      <c r="E601" s="87">
        <v>0</v>
      </c>
      <c r="F601" s="88">
        <v>23588073.5</v>
      </c>
      <c r="G601" s="87">
        <v>0</v>
      </c>
      <c r="I601" s="87">
        <v>0</v>
      </c>
      <c r="K601" s="87">
        <v>0</v>
      </c>
      <c r="M601" s="87">
        <v>0</v>
      </c>
      <c r="O601" s="87">
        <v>0</v>
      </c>
      <c r="P601" s="88">
        <v>26846541</v>
      </c>
      <c r="Q601" s="87">
        <v>0</v>
      </c>
      <c r="R601" s="87">
        <f t="shared" si="162"/>
        <v>602</v>
      </c>
      <c r="T601" s="87">
        <v>0</v>
      </c>
      <c r="V601" s="87">
        <v>0</v>
      </c>
      <c r="X601" s="87">
        <v>0</v>
      </c>
      <c r="Y601" s="88">
        <v>29611714.000000004</v>
      </c>
      <c r="Z601" s="87">
        <v>0</v>
      </c>
      <c r="AA601" s="87">
        <v>602</v>
      </c>
      <c r="AB601" s="89">
        <f t="shared" si="163"/>
        <v>0</v>
      </c>
      <c r="AC601" s="89">
        <f t="shared" si="164"/>
        <v>0</v>
      </c>
      <c r="AD601" s="89">
        <f t="shared" si="165"/>
        <v>0</v>
      </c>
      <c r="AE601" s="90">
        <f t="shared" si="166"/>
        <v>0</v>
      </c>
      <c r="AF601" s="90" t="str">
        <f t="shared" si="167"/>
        <v/>
      </c>
      <c r="AG601" s="90">
        <f t="shared" si="168"/>
        <v>602</v>
      </c>
      <c r="AH601" s="90" t="str">
        <f t="shared" si="169"/>
        <v>2018 (triag)</v>
      </c>
      <c r="AI601" s="90">
        <f t="shared" si="170"/>
        <v>602</v>
      </c>
      <c r="AJ601" s="90" t="str">
        <f t="shared" si="171"/>
        <v>2018 (triag)</v>
      </c>
      <c r="AK601" s="90" t="str">
        <f t="shared" si="172"/>
        <v/>
      </c>
      <c r="AL601" s="91">
        <f>IF(AK601="Adjust",(_xlfn.XLOOKUP(A601,'Adj factor'!A:A,'Adj factor'!I:I,,0)*AI601),'Master DataSheet'!AI601)</f>
        <v>602</v>
      </c>
      <c r="AM601" s="91">
        <f t="shared" si="173"/>
        <v>602</v>
      </c>
      <c r="AN601" s="92" t="str">
        <f t="shared" si="174"/>
        <v>No change</v>
      </c>
      <c r="AO601" s="93">
        <f>VLOOKUP(B601,'Growthrates source'!A$2:H$49,8,FALSE)</f>
        <v>4.1448317953169944E-2</v>
      </c>
      <c r="AP601" s="93">
        <f>VLOOKUP(B601,'Growthrates source'!A$2:I$49,9,FALSE)</f>
        <v>6.6454487825566844E-3</v>
      </c>
      <c r="AQ601" s="86">
        <f t="shared" si="175"/>
        <v>489.31960040396075</v>
      </c>
      <c r="AR601" s="86">
        <f t="shared" si="176"/>
        <v>614.12211433638038</v>
      </c>
      <c r="AS601" s="94">
        <f t="shared" si="177"/>
        <v>0</v>
      </c>
      <c r="AT601" s="94">
        <f t="shared" si="178"/>
        <v>0.22423745390514183</v>
      </c>
      <c r="AU601" s="94">
        <f t="shared" si="179"/>
        <v>0.20329792459835319</v>
      </c>
    </row>
    <row r="602" spans="1:47" x14ac:dyDescent="0.3">
      <c r="A602" s="85" t="str">
        <f>_xlfn.XLOOKUP(B602,'Country codes &amp; Data sources'!G:G,'Country codes &amp; Data sources'!H:H,,0)</f>
        <v>Mali</v>
      </c>
      <c r="B602" s="85" t="s">
        <v>179</v>
      </c>
      <c r="C602" s="86">
        <v>16514686.999999991</v>
      </c>
      <c r="D602" s="85" t="s">
        <v>321</v>
      </c>
      <c r="E602" s="87">
        <v>3525</v>
      </c>
      <c r="F602" s="88">
        <v>17004032.499999996</v>
      </c>
      <c r="G602" s="87">
        <v>4063</v>
      </c>
      <c r="H602" s="87">
        <v>17551814.000000004</v>
      </c>
      <c r="I602" s="87">
        <v>3576</v>
      </c>
      <c r="J602" s="87">
        <v>18112906.500000004</v>
      </c>
      <c r="K602" s="87">
        <v>3583</v>
      </c>
      <c r="L602" s="87">
        <v>18700106</v>
      </c>
      <c r="M602" s="87">
        <v>4570</v>
      </c>
      <c r="N602" s="87">
        <v>19311354.499999996</v>
      </c>
      <c r="O602" s="87">
        <v>4576</v>
      </c>
      <c r="P602" s="88">
        <v>19934298.000000004</v>
      </c>
      <c r="Q602" s="87">
        <v>5155</v>
      </c>
      <c r="R602" s="87">
        <f t="shared" si="162"/>
        <v>5155</v>
      </c>
      <c r="S602" s="87">
        <v>20567423.999999989</v>
      </c>
      <c r="T602" s="87">
        <v>0</v>
      </c>
      <c r="U602" s="87">
        <v>21224040.000000004</v>
      </c>
      <c r="V602" s="87">
        <v>0</v>
      </c>
      <c r="W602" s="87">
        <v>21904982.999999996</v>
      </c>
      <c r="X602" s="87">
        <v>0</v>
      </c>
      <c r="Y602" s="88">
        <v>22593590.500000022</v>
      </c>
      <c r="Z602" s="87">
        <v>8998</v>
      </c>
      <c r="AA602" s="87">
        <v>2866</v>
      </c>
      <c r="AB602" s="89">
        <f t="shared" si="163"/>
        <v>4063</v>
      </c>
      <c r="AC602" s="89">
        <f t="shared" si="164"/>
        <v>5155</v>
      </c>
      <c r="AD602" s="89">
        <f t="shared" si="165"/>
        <v>8998</v>
      </c>
      <c r="AE602" s="90">
        <f t="shared" si="166"/>
        <v>4063</v>
      </c>
      <c r="AF602" s="90">
        <f t="shared" si="167"/>
        <v>2013</v>
      </c>
      <c r="AG602" s="90">
        <f t="shared" si="168"/>
        <v>5155</v>
      </c>
      <c r="AH602" s="90">
        <f t="shared" si="169"/>
        <v>2018</v>
      </c>
      <c r="AI602" s="90">
        <f t="shared" si="170"/>
        <v>8998</v>
      </c>
      <c r="AJ602" s="90">
        <f t="shared" si="171"/>
        <v>2022</v>
      </c>
      <c r="AK602" s="90" t="str">
        <f t="shared" si="172"/>
        <v/>
      </c>
      <c r="AL602" s="91">
        <f>IF(AK602="Adjust",(_xlfn.XLOOKUP(A602,'Adj factor'!A:A,'Adj factor'!I:I,,0)*AI602),'Master DataSheet'!AI602)</f>
        <v>8998</v>
      </c>
      <c r="AM602" s="91">
        <f t="shared" si="173"/>
        <v>8998</v>
      </c>
      <c r="AN602" s="92" t="str">
        <f t="shared" si="174"/>
        <v>Increasing</v>
      </c>
      <c r="AO602" s="93">
        <f>VLOOKUP(B602,'Growthrates source'!A$2:H$49,8,FALSE)</f>
        <v>3.5406206546388264E-2</v>
      </c>
      <c r="AP602" s="93">
        <f>VLOOKUP(B602,'Growthrates source'!A$2:I$49,9,FALSE)</f>
        <v>8.9309654310665287E-4</v>
      </c>
      <c r="AQ602" s="86">
        <f t="shared" si="175"/>
        <v>2401.0023516244009</v>
      </c>
      <c r="AR602" s="86">
        <f t="shared" si="176"/>
        <v>2873.689140194655</v>
      </c>
      <c r="AS602" s="94">
        <f t="shared" si="177"/>
        <v>2.3894332123865332</v>
      </c>
      <c r="AT602" s="94">
        <f t="shared" si="178"/>
        <v>2.5859952530056485</v>
      </c>
      <c r="AU602" s="94">
        <f t="shared" si="179"/>
        <v>3.9825454037506747</v>
      </c>
    </row>
    <row r="603" spans="1:47" x14ac:dyDescent="0.3">
      <c r="A603" s="85" t="str">
        <f>_xlfn.XLOOKUP(B603,'Country codes &amp; Data sources'!G:G,'Country codes &amp; Data sources'!H:H,,0)</f>
        <v>Mali</v>
      </c>
      <c r="B603" s="85" t="s">
        <v>179</v>
      </c>
      <c r="C603" s="86">
        <v>16514688</v>
      </c>
      <c r="D603" s="85" t="s">
        <v>322</v>
      </c>
      <c r="E603" s="87">
        <v>8514</v>
      </c>
      <c r="F603" s="88">
        <v>17004032.499999996</v>
      </c>
      <c r="G603" s="87">
        <v>0</v>
      </c>
      <c r="I603" s="87">
        <v>0</v>
      </c>
      <c r="K603" s="87">
        <v>0</v>
      </c>
      <c r="M603" s="87">
        <v>9530</v>
      </c>
      <c r="O603" s="87">
        <v>0</v>
      </c>
      <c r="P603" s="88">
        <v>19934298.000000004</v>
      </c>
      <c r="Q603" s="87">
        <v>11986</v>
      </c>
      <c r="R603" s="87">
        <f t="shared" si="162"/>
        <v>11986</v>
      </c>
      <c r="T603" s="87">
        <v>0</v>
      </c>
      <c r="V603" s="87">
        <v>0</v>
      </c>
      <c r="X603" s="87">
        <v>0</v>
      </c>
      <c r="Y603" s="88">
        <v>22593590.500000022</v>
      </c>
      <c r="Z603" s="87">
        <v>12654</v>
      </c>
      <c r="AA603" s="87">
        <v>5225</v>
      </c>
      <c r="AB603" s="89">
        <f t="shared" si="163"/>
        <v>8514</v>
      </c>
      <c r="AC603" s="89">
        <f t="shared" si="164"/>
        <v>11986</v>
      </c>
      <c r="AD603" s="89">
        <f t="shared" si="165"/>
        <v>12654</v>
      </c>
      <c r="AE603" s="90">
        <f t="shared" si="166"/>
        <v>8514</v>
      </c>
      <c r="AF603" s="90">
        <f t="shared" si="167"/>
        <v>2012</v>
      </c>
      <c r="AG603" s="90">
        <f t="shared" si="168"/>
        <v>11986</v>
      </c>
      <c r="AH603" s="90">
        <f t="shared" si="169"/>
        <v>2018</v>
      </c>
      <c r="AI603" s="90">
        <f t="shared" si="170"/>
        <v>12654</v>
      </c>
      <c r="AJ603" s="90">
        <f t="shared" si="171"/>
        <v>2022</v>
      </c>
      <c r="AK603" s="90" t="str">
        <f t="shared" si="172"/>
        <v/>
      </c>
      <c r="AL603" s="91">
        <f>IF(AK603="Adjust",(_xlfn.XLOOKUP(A603,'Adj factor'!A:A,'Adj factor'!I:I,,0)*AI603),'Master DataSheet'!AI603)</f>
        <v>12654</v>
      </c>
      <c r="AM603" s="91">
        <f t="shared" si="173"/>
        <v>12654</v>
      </c>
      <c r="AN603" s="92" t="str">
        <f t="shared" si="174"/>
        <v>Increasing</v>
      </c>
      <c r="AO603" s="93">
        <f>VLOOKUP(B603,'Growthrates source'!A$2:H$49,8,FALSE)</f>
        <v>3.5406206546388264E-2</v>
      </c>
      <c r="AP603" s="93">
        <f>VLOOKUP(B603,'Growthrates source'!A$2:I$49,9,FALSE)</f>
        <v>8.9309654310665287E-4</v>
      </c>
      <c r="AQ603" s="86">
        <f t="shared" si="175"/>
        <v>4377.2635335790283</v>
      </c>
      <c r="AR603" s="86">
        <f t="shared" si="176"/>
        <v>5239.0180591476183</v>
      </c>
      <c r="AS603" s="94">
        <f t="shared" si="177"/>
        <v>5.0070475929753728</v>
      </c>
      <c r="AT603" s="94">
        <f t="shared" si="178"/>
        <v>6.0127524932154612</v>
      </c>
      <c r="AU603" s="94">
        <f t="shared" si="179"/>
        <v>5.600703438437546</v>
      </c>
    </row>
    <row r="604" spans="1:47" x14ac:dyDescent="0.3">
      <c r="A604" s="85" t="str">
        <f>_xlfn.XLOOKUP(B604,'Country codes &amp; Data sources'!G:G,'Country codes &amp; Data sources'!H:H,,0)</f>
        <v>Mali</v>
      </c>
      <c r="B604" s="85" t="s">
        <v>179</v>
      </c>
      <c r="C604" s="86">
        <v>16514689</v>
      </c>
      <c r="D604" s="85" t="s">
        <v>323</v>
      </c>
      <c r="E604" s="87">
        <v>3540</v>
      </c>
      <c r="F604" s="88">
        <v>17004032.499999996</v>
      </c>
      <c r="G604" s="87">
        <v>3922</v>
      </c>
      <c r="I604" s="87">
        <v>0</v>
      </c>
      <c r="K604" s="87">
        <v>0</v>
      </c>
      <c r="M604" s="87">
        <v>5314</v>
      </c>
      <c r="O604" s="87">
        <v>0</v>
      </c>
      <c r="P604" s="88">
        <v>19934298.000000004</v>
      </c>
      <c r="Q604" s="87">
        <v>6470</v>
      </c>
      <c r="R604" s="87">
        <f t="shared" si="162"/>
        <v>6470</v>
      </c>
      <c r="T604" s="87">
        <v>0</v>
      </c>
      <c r="V604" s="87">
        <v>0</v>
      </c>
      <c r="X604" s="87">
        <v>0</v>
      </c>
      <c r="Y604" s="88">
        <v>22593590.500000022</v>
      </c>
      <c r="Z604" s="87">
        <v>3258</v>
      </c>
      <c r="AA604" s="87">
        <v>3169</v>
      </c>
      <c r="AB604" s="89">
        <f t="shared" si="163"/>
        <v>3922</v>
      </c>
      <c r="AC604" s="89">
        <f t="shared" si="164"/>
        <v>6470</v>
      </c>
      <c r="AD604" s="89">
        <f t="shared" si="165"/>
        <v>3258</v>
      </c>
      <c r="AE604" s="90">
        <f t="shared" si="166"/>
        <v>3922</v>
      </c>
      <c r="AF604" s="90">
        <f t="shared" si="167"/>
        <v>2013</v>
      </c>
      <c r="AG604" s="90">
        <f t="shared" si="168"/>
        <v>6470</v>
      </c>
      <c r="AH604" s="90">
        <f t="shared" si="169"/>
        <v>2018</v>
      </c>
      <c r="AI604" s="90">
        <f t="shared" si="170"/>
        <v>3258</v>
      </c>
      <c r="AJ604" s="90">
        <f t="shared" si="171"/>
        <v>2022</v>
      </c>
      <c r="AK604" s="90" t="str">
        <f t="shared" si="172"/>
        <v>Adjust</v>
      </c>
      <c r="AL604" s="91">
        <f>IF(AK604="Adjust",(_xlfn.XLOOKUP(A604,'Adj factor'!A:A,'Adj factor'!I:I,,0)*AI604),'Master DataSheet'!AI604)</f>
        <v>3840.010008896797</v>
      </c>
      <c r="AM604" s="91">
        <f t="shared" si="173"/>
        <v>6470</v>
      </c>
      <c r="AN604" s="92" t="str">
        <f t="shared" si="174"/>
        <v>Decreasing</v>
      </c>
      <c r="AO604" s="93">
        <f>VLOOKUP(B604,'Growthrates source'!A$2:H$49,8,FALSE)</f>
        <v>3.5406206546388264E-2</v>
      </c>
      <c r="AP604" s="93">
        <f>VLOOKUP(B604,'Growthrates source'!A$2:I$49,9,FALSE)</f>
        <v>8.9309654310665287E-4</v>
      </c>
      <c r="AQ604" s="86">
        <f t="shared" si="175"/>
        <v>2654.8417488826681</v>
      </c>
      <c r="AR604" s="86">
        <f t="shared" si="176"/>
        <v>3177.5020534811106</v>
      </c>
      <c r="AS604" s="94">
        <f t="shared" si="177"/>
        <v>2.3065117053851791</v>
      </c>
      <c r="AT604" s="94">
        <f t="shared" si="178"/>
        <v>3.2456623253048584</v>
      </c>
      <c r="AU604" s="94">
        <f t="shared" si="179"/>
        <v>2.8636440055864489</v>
      </c>
    </row>
    <row r="605" spans="1:47" x14ac:dyDescent="0.3">
      <c r="A605" s="85" t="str">
        <f>_xlfn.XLOOKUP(B605,'Country codes &amp; Data sources'!G:G,'Country codes &amp; Data sources'!H:H,,0)</f>
        <v>Mali</v>
      </c>
      <c r="B605" s="85" t="s">
        <v>179</v>
      </c>
      <c r="C605" s="86">
        <v>16514690</v>
      </c>
      <c r="D605" s="85" t="s">
        <v>324</v>
      </c>
      <c r="E605" s="87">
        <v>4</v>
      </c>
      <c r="F605" s="88">
        <v>17004032.499999996</v>
      </c>
      <c r="G605" s="87">
        <v>218</v>
      </c>
      <c r="I605" s="87">
        <v>194</v>
      </c>
      <c r="K605" s="87">
        <v>514</v>
      </c>
      <c r="M605" s="87">
        <v>0</v>
      </c>
      <c r="O605" s="87">
        <v>0</v>
      </c>
      <c r="P605" s="88">
        <v>19934298.000000004</v>
      </c>
      <c r="Q605" s="87">
        <v>0</v>
      </c>
      <c r="R605" s="87">
        <f t="shared" si="162"/>
        <v>1424</v>
      </c>
      <c r="T605" s="87">
        <v>170</v>
      </c>
      <c r="V605" s="87">
        <v>109</v>
      </c>
      <c r="X605" s="87">
        <v>82</v>
      </c>
      <c r="Y605" s="88">
        <v>22593590.500000022</v>
      </c>
      <c r="Z605" s="87">
        <v>36980</v>
      </c>
      <c r="AA605" s="87">
        <v>1424</v>
      </c>
      <c r="AB605" s="89">
        <f t="shared" si="163"/>
        <v>514</v>
      </c>
      <c r="AC605" s="89">
        <f t="shared" si="164"/>
        <v>170</v>
      </c>
      <c r="AD605" s="89">
        <f t="shared" si="165"/>
        <v>36980</v>
      </c>
      <c r="AE605" s="90">
        <f t="shared" si="166"/>
        <v>218</v>
      </c>
      <c r="AF605" s="90">
        <f t="shared" si="167"/>
        <v>2013</v>
      </c>
      <c r="AG605" s="90">
        <f t="shared" si="168"/>
        <v>1424</v>
      </c>
      <c r="AH605" s="90" t="str">
        <f t="shared" si="169"/>
        <v>2018 (triag)</v>
      </c>
      <c r="AI605" s="90">
        <f t="shared" si="170"/>
        <v>36980</v>
      </c>
      <c r="AJ605" s="90">
        <f t="shared" si="171"/>
        <v>2022</v>
      </c>
      <c r="AK605" s="90" t="str">
        <f t="shared" si="172"/>
        <v/>
      </c>
      <c r="AL605" s="91">
        <f>IF(AK605="Adjust",(_xlfn.XLOOKUP(A605,'Adj factor'!A:A,'Adj factor'!I:I,,0)*AI605),'Master DataSheet'!AI605)</f>
        <v>36980</v>
      </c>
      <c r="AM605" s="91">
        <f t="shared" si="173"/>
        <v>36980</v>
      </c>
      <c r="AN605" s="92" t="str">
        <f t="shared" si="174"/>
        <v>Increasing</v>
      </c>
      <c r="AO605" s="93">
        <f>VLOOKUP(B605,'Growthrates source'!A$2:H$49,8,FALSE)</f>
        <v>3.5406206546388264E-2</v>
      </c>
      <c r="AP605" s="93">
        <f>VLOOKUP(B605,'Growthrates source'!A$2:I$49,9,FALSE)</f>
        <v>8.9309654310665287E-4</v>
      </c>
      <c r="AQ605" s="86">
        <f t="shared" si="175"/>
        <v>1192.9613917352222</v>
      </c>
      <c r="AR605" s="86">
        <f t="shared" si="176"/>
        <v>1427.8204241581259</v>
      </c>
      <c r="AS605" s="94">
        <f t="shared" si="177"/>
        <v>0.12820488316521392</v>
      </c>
      <c r="AT605" s="94">
        <f t="shared" si="178"/>
        <v>0.71434670034530423</v>
      </c>
      <c r="AU605" s="94">
        <f t="shared" si="179"/>
        <v>16.367473775361187</v>
      </c>
    </row>
    <row r="606" spans="1:47" x14ac:dyDescent="0.3">
      <c r="A606" s="85" t="str">
        <f>_xlfn.XLOOKUP(B606,'Country codes &amp; Data sources'!G:G,'Country codes &amp; Data sources'!H:H,,0)</f>
        <v>Mali</v>
      </c>
      <c r="B606" s="85" t="s">
        <v>179</v>
      </c>
      <c r="C606" s="86">
        <v>16514691</v>
      </c>
      <c r="D606" s="85" t="s">
        <v>325</v>
      </c>
      <c r="E606" s="87">
        <v>0</v>
      </c>
      <c r="F606" s="88">
        <v>17004032.499999996</v>
      </c>
      <c r="G606" s="87">
        <v>0</v>
      </c>
      <c r="I606" s="87">
        <v>107</v>
      </c>
      <c r="K606" s="87">
        <v>385</v>
      </c>
      <c r="M606" s="87">
        <v>0</v>
      </c>
      <c r="O606" s="87">
        <v>0</v>
      </c>
      <c r="P606" s="88">
        <v>19934298.000000004</v>
      </c>
      <c r="Q606" s="87">
        <v>0</v>
      </c>
      <c r="R606" s="87">
        <f t="shared" si="162"/>
        <v>30</v>
      </c>
      <c r="T606" s="87">
        <v>121</v>
      </c>
      <c r="V606" s="87">
        <v>34</v>
      </c>
      <c r="X606" s="87">
        <v>53</v>
      </c>
      <c r="Y606" s="88">
        <v>22593590.500000022</v>
      </c>
      <c r="Z606" s="87">
        <v>11642</v>
      </c>
      <c r="AA606" s="87">
        <v>30</v>
      </c>
      <c r="AB606" s="89">
        <f t="shared" si="163"/>
        <v>385</v>
      </c>
      <c r="AC606" s="89">
        <f t="shared" si="164"/>
        <v>121</v>
      </c>
      <c r="AD606" s="89">
        <f t="shared" si="165"/>
        <v>11642</v>
      </c>
      <c r="AE606" s="90">
        <f t="shared" si="166"/>
        <v>107</v>
      </c>
      <c r="AF606" s="90">
        <f t="shared" si="167"/>
        <v>2014</v>
      </c>
      <c r="AG606" s="90">
        <f t="shared" si="168"/>
        <v>30</v>
      </c>
      <c r="AH606" s="90" t="str">
        <f t="shared" si="169"/>
        <v>2018 (triag)</v>
      </c>
      <c r="AI606" s="90">
        <f t="shared" si="170"/>
        <v>11642</v>
      </c>
      <c r="AJ606" s="90">
        <f t="shared" si="171"/>
        <v>2022</v>
      </c>
      <c r="AK606" s="90" t="str">
        <f t="shared" si="172"/>
        <v/>
      </c>
      <c r="AL606" s="91">
        <f>IF(AK606="Adjust",(_xlfn.XLOOKUP(A606,'Adj factor'!A:A,'Adj factor'!I:I,,0)*AI606),'Master DataSheet'!AI606)</f>
        <v>11642</v>
      </c>
      <c r="AM606" s="91">
        <f t="shared" si="173"/>
        <v>11642</v>
      </c>
      <c r="AN606" s="92" t="str">
        <f t="shared" si="174"/>
        <v>Increasing</v>
      </c>
      <c r="AO606" s="93">
        <f>VLOOKUP(B606,'Growthrates source'!A$2:H$49,8,FALSE)</f>
        <v>3.5406206546388264E-2</v>
      </c>
      <c r="AP606" s="93">
        <f>VLOOKUP(B606,'Growthrates source'!A$2:I$49,9,FALSE)</f>
        <v>8.9309654310665287E-4</v>
      </c>
      <c r="AQ606" s="86">
        <f t="shared" si="175"/>
        <v>25.132613589927434</v>
      </c>
      <c r="AR606" s="86">
        <f t="shared" si="176"/>
        <v>30.080486464005464</v>
      </c>
      <c r="AS606" s="94">
        <f t="shared" si="177"/>
        <v>6.2926249993935271E-2</v>
      </c>
      <c r="AT606" s="94">
        <f t="shared" si="178"/>
        <v>1.5049438911769049E-2</v>
      </c>
      <c r="AU606" s="94">
        <f t="shared" si="179"/>
        <v>5.1527887964509178</v>
      </c>
    </row>
    <row r="607" spans="1:47" x14ac:dyDescent="0.3">
      <c r="A607" s="85" t="str">
        <f>_xlfn.XLOOKUP(B607,'Country codes &amp; Data sources'!G:G,'Country codes &amp; Data sources'!H:H,,0)</f>
        <v>Mali</v>
      </c>
      <c r="B607" s="85" t="s">
        <v>179</v>
      </c>
      <c r="C607" s="86">
        <v>16514692</v>
      </c>
      <c r="D607" s="85" t="s">
        <v>127</v>
      </c>
      <c r="E607" s="87">
        <v>0</v>
      </c>
      <c r="F607" s="88">
        <v>17004032.499999996</v>
      </c>
      <c r="G607" s="87">
        <v>0</v>
      </c>
      <c r="I607" s="87">
        <v>0</v>
      </c>
      <c r="K607" s="87">
        <v>0</v>
      </c>
      <c r="M607" s="87">
        <v>0</v>
      </c>
      <c r="O607" s="87">
        <v>0</v>
      </c>
      <c r="P607" s="88">
        <v>19934298.000000004</v>
      </c>
      <c r="Q607" s="87">
        <v>1152</v>
      </c>
      <c r="R607" s="87">
        <f t="shared" si="162"/>
        <v>1152</v>
      </c>
      <c r="T607" s="87">
        <v>0</v>
      </c>
      <c r="V607" s="87">
        <v>3303</v>
      </c>
      <c r="X607" s="87">
        <v>0</v>
      </c>
      <c r="Y607" s="88">
        <v>22593590.500000022</v>
      </c>
      <c r="Z607" s="87">
        <v>0</v>
      </c>
      <c r="AA607" s="87">
        <v>1152</v>
      </c>
      <c r="AB607" s="89">
        <f t="shared" si="163"/>
        <v>0</v>
      </c>
      <c r="AC607" s="89">
        <f t="shared" si="164"/>
        <v>1152</v>
      </c>
      <c r="AD607" s="89">
        <f t="shared" si="165"/>
        <v>3303</v>
      </c>
      <c r="AE607" s="90">
        <f t="shared" si="166"/>
        <v>0</v>
      </c>
      <c r="AF607" s="90" t="str">
        <f t="shared" si="167"/>
        <v/>
      </c>
      <c r="AG607" s="90">
        <f t="shared" si="168"/>
        <v>1152</v>
      </c>
      <c r="AH607" s="90">
        <f t="shared" si="169"/>
        <v>2018</v>
      </c>
      <c r="AI607" s="90">
        <f t="shared" si="170"/>
        <v>3303</v>
      </c>
      <c r="AJ607" s="90">
        <f t="shared" si="171"/>
        <v>2020</v>
      </c>
      <c r="AK607" s="90" t="str">
        <f t="shared" si="172"/>
        <v/>
      </c>
      <c r="AL607" s="91">
        <f>IF(AK607="Adjust",(_xlfn.XLOOKUP(A607,'Adj factor'!A:A,'Adj factor'!I:I,,0)*AI607),'Master DataSheet'!AI607)</f>
        <v>3303</v>
      </c>
      <c r="AM607" s="91">
        <f t="shared" si="173"/>
        <v>3303</v>
      </c>
      <c r="AN607" s="92" t="str">
        <f t="shared" si="174"/>
        <v>Increasing</v>
      </c>
      <c r="AO607" s="93">
        <f>VLOOKUP(B607,'Growthrates source'!A$2:H$49,8,FALSE)</f>
        <v>3.5406206546388264E-2</v>
      </c>
      <c r="AP607" s="93">
        <f>VLOOKUP(B607,'Growthrates source'!A$2:I$49,9,FALSE)</f>
        <v>8.9309654310665287E-4</v>
      </c>
      <c r="AQ607" s="86">
        <f t="shared" si="175"/>
        <v>965.09236185321345</v>
      </c>
      <c r="AR607" s="86">
        <f t="shared" si="176"/>
        <v>1155.0906802178097</v>
      </c>
      <c r="AS607" s="94">
        <f t="shared" si="177"/>
        <v>0</v>
      </c>
      <c r="AT607" s="94">
        <f t="shared" si="178"/>
        <v>0.57789845421193153</v>
      </c>
      <c r="AU607" s="94">
        <f t="shared" si="179"/>
        <v>1.4619190340729584</v>
      </c>
    </row>
    <row r="608" spans="1:47" x14ac:dyDescent="0.3">
      <c r="A608" s="85" t="str">
        <f>_xlfn.XLOOKUP(B608,'Country codes &amp; Data sources'!G:G,'Country codes &amp; Data sources'!H:H,,0)</f>
        <v>Mali</v>
      </c>
      <c r="B608" s="85" t="s">
        <v>179</v>
      </c>
      <c r="C608" s="86">
        <v>16514693</v>
      </c>
      <c r="D608" s="85" t="s">
        <v>61</v>
      </c>
      <c r="E608" s="87">
        <v>0</v>
      </c>
      <c r="F608" s="88">
        <v>17004032.499999996</v>
      </c>
      <c r="G608" s="87">
        <v>0</v>
      </c>
      <c r="I608" s="87">
        <v>0</v>
      </c>
      <c r="K608" s="87">
        <v>0</v>
      </c>
      <c r="M608" s="87">
        <v>0</v>
      </c>
      <c r="O608" s="87">
        <v>0</v>
      </c>
      <c r="P608" s="88">
        <v>19934298.000000004</v>
      </c>
      <c r="Q608" s="87">
        <v>0</v>
      </c>
      <c r="R608" s="87">
        <f t="shared" si="162"/>
        <v>7</v>
      </c>
      <c r="T608" s="87">
        <v>0</v>
      </c>
      <c r="V608" s="87">
        <v>0</v>
      </c>
      <c r="X608" s="87">
        <v>0</v>
      </c>
      <c r="Y608" s="88">
        <v>22593590.500000022</v>
      </c>
      <c r="Z608" s="87">
        <v>3342</v>
      </c>
      <c r="AA608" s="87">
        <v>7</v>
      </c>
      <c r="AB608" s="89">
        <f t="shared" si="163"/>
        <v>0</v>
      </c>
      <c r="AC608" s="89">
        <f t="shared" si="164"/>
        <v>0</v>
      </c>
      <c r="AD608" s="89">
        <f t="shared" si="165"/>
        <v>3342</v>
      </c>
      <c r="AE608" s="90">
        <f t="shared" si="166"/>
        <v>0</v>
      </c>
      <c r="AF608" s="90" t="str">
        <f t="shared" si="167"/>
        <v/>
      </c>
      <c r="AG608" s="90">
        <f t="shared" si="168"/>
        <v>7</v>
      </c>
      <c r="AH608" s="90" t="str">
        <f t="shared" si="169"/>
        <v>2018 (triag)</v>
      </c>
      <c r="AI608" s="90">
        <f t="shared" si="170"/>
        <v>3342</v>
      </c>
      <c r="AJ608" s="90">
        <f t="shared" si="171"/>
        <v>2022</v>
      </c>
      <c r="AK608" s="90" t="str">
        <f t="shared" si="172"/>
        <v/>
      </c>
      <c r="AL608" s="91">
        <f>IF(AK608="Adjust",(_xlfn.XLOOKUP(A608,'Adj factor'!A:A,'Adj factor'!I:I,,0)*AI608),'Master DataSheet'!AI608)</f>
        <v>3342</v>
      </c>
      <c r="AM608" s="91">
        <f t="shared" si="173"/>
        <v>3342</v>
      </c>
      <c r="AN608" s="92" t="str">
        <f t="shared" si="174"/>
        <v>Increasing</v>
      </c>
      <c r="AO608" s="93">
        <f>VLOOKUP(B608,'Growthrates source'!A$2:H$49,8,FALSE)</f>
        <v>3.5406206546388264E-2</v>
      </c>
      <c r="AP608" s="93">
        <f>VLOOKUP(B608,'Growthrates source'!A$2:I$49,9,FALSE)</f>
        <v>8.9309654310665287E-4</v>
      </c>
      <c r="AQ608" s="86">
        <f t="shared" si="175"/>
        <v>5.8642765043164014</v>
      </c>
      <c r="AR608" s="86">
        <f t="shared" si="176"/>
        <v>7.0187801749346077</v>
      </c>
      <c r="AS608" s="94">
        <f t="shared" si="177"/>
        <v>0</v>
      </c>
      <c r="AT608" s="94">
        <f t="shared" si="178"/>
        <v>3.5115357460794448E-3</v>
      </c>
      <c r="AU608" s="94">
        <f t="shared" si="179"/>
        <v>1.4791805667186881</v>
      </c>
    </row>
    <row r="609" spans="1:47" x14ac:dyDescent="0.3">
      <c r="A609" s="85" t="str">
        <f>_xlfn.XLOOKUP(B609,'Country codes &amp; Data sources'!G:G,'Country codes &amp; Data sources'!H:H,,0)</f>
        <v>Mali</v>
      </c>
      <c r="B609" s="85" t="s">
        <v>179</v>
      </c>
      <c r="C609" s="86">
        <v>16514694</v>
      </c>
      <c r="D609" s="85" t="s">
        <v>62</v>
      </c>
      <c r="E609" s="87">
        <v>0</v>
      </c>
      <c r="F609" s="88">
        <v>17004032.499999996</v>
      </c>
      <c r="G609" s="87">
        <v>0</v>
      </c>
      <c r="I609" s="87">
        <v>0</v>
      </c>
      <c r="K609" s="87">
        <v>0</v>
      </c>
      <c r="M609" s="87">
        <v>0</v>
      </c>
      <c r="O609" s="87">
        <v>0</v>
      </c>
      <c r="P609" s="88">
        <v>19934298.000000004</v>
      </c>
      <c r="Q609" s="87">
        <v>0</v>
      </c>
      <c r="R609" s="87">
        <f t="shared" si="162"/>
        <v>78</v>
      </c>
      <c r="T609" s="87">
        <v>146</v>
      </c>
      <c r="V609" s="87">
        <v>0</v>
      </c>
      <c r="X609" s="87">
        <v>0</v>
      </c>
      <c r="Y609" s="88">
        <v>22593590.500000022</v>
      </c>
      <c r="Z609" s="87">
        <v>3642</v>
      </c>
      <c r="AA609" s="87">
        <v>78</v>
      </c>
      <c r="AB609" s="89">
        <f t="shared" si="163"/>
        <v>0</v>
      </c>
      <c r="AC609" s="89">
        <f t="shared" si="164"/>
        <v>146</v>
      </c>
      <c r="AD609" s="89">
        <f t="shared" si="165"/>
        <v>3642</v>
      </c>
      <c r="AE609" s="90">
        <f t="shared" si="166"/>
        <v>0</v>
      </c>
      <c r="AF609" s="90" t="str">
        <f t="shared" si="167"/>
        <v/>
      </c>
      <c r="AG609" s="90">
        <f t="shared" si="168"/>
        <v>78</v>
      </c>
      <c r="AH609" s="90" t="str">
        <f t="shared" si="169"/>
        <v>2018 (triag)</v>
      </c>
      <c r="AI609" s="90">
        <f t="shared" si="170"/>
        <v>3642</v>
      </c>
      <c r="AJ609" s="90">
        <f t="shared" si="171"/>
        <v>2022</v>
      </c>
      <c r="AK609" s="90" t="str">
        <f t="shared" si="172"/>
        <v/>
      </c>
      <c r="AL609" s="91">
        <f>IF(AK609="Adjust",(_xlfn.XLOOKUP(A609,'Adj factor'!A:A,'Adj factor'!I:I,,0)*AI609),'Master DataSheet'!AI609)</f>
        <v>3642</v>
      </c>
      <c r="AM609" s="91">
        <f t="shared" si="173"/>
        <v>3642</v>
      </c>
      <c r="AN609" s="92" t="str">
        <f t="shared" si="174"/>
        <v>Increasing</v>
      </c>
      <c r="AO609" s="93">
        <f>VLOOKUP(B609,'Growthrates source'!A$2:H$49,8,FALSE)</f>
        <v>3.5406206546388264E-2</v>
      </c>
      <c r="AP609" s="93">
        <f>VLOOKUP(B609,'Growthrates source'!A$2:I$49,9,FALSE)</f>
        <v>8.9309654310665287E-4</v>
      </c>
      <c r="AQ609" s="86">
        <f t="shared" si="175"/>
        <v>65.344795333811319</v>
      </c>
      <c r="AR609" s="86">
        <f t="shared" si="176"/>
        <v>78.209264806414197</v>
      </c>
      <c r="AS609" s="94">
        <f t="shared" si="177"/>
        <v>0</v>
      </c>
      <c r="AT609" s="94">
        <f t="shared" si="178"/>
        <v>3.912854117059953E-2</v>
      </c>
      <c r="AU609" s="94">
        <f t="shared" si="179"/>
        <v>1.6119615870704553</v>
      </c>
    </row>
    <row r="610" spans="1:47" x14ac:dyDescent="0.3">
      <c r="A610" s="85" t="str">
        <f>_xlfn.XLOOKUP(B610,'Country codes &amp; Data sources'!G:G,'Country codes &amp; Data sources'!H:H,,0)</f>
        <v>Mali</v>
      </c>
      <c r="B610" s="85" t="s">
        <v>179</v>
      </c>
      <c r="C610" s="86">
        <v>16514695</v>
      </c>
      <c r="D610" s="85" t="s">
        <v>203</v>
      </c>
      <c r="E610" s="87">
        <v>0</v>
      </c>
      <c r="F610" s="88">
        <v>17004032.499999996</v>
      </c>
      <c r="G610" s="87">
        <v>0</v>
      </c>
      <c r="I610" s="87">
        <v>0</v>
      </c>
      <c r="K610" s="87">
        <v>0</v>
      </c>
      <c r="M610" s="87">
        <v>0</v>
      </c>
      <c r="O610" s="87">
        <v>0</v>
      </c>
      <c r="P610" s="88">
        <v>19934298.000000004</v>
      </c>
      <c r="Q610" s="87">
        <v>0</v>
      </c>
      <c r="R610" s="87">
        <f t="shared" si="162"/>
        <v>2153</v>
      </c>
      <c r="T610" s="87">
        <v>0</v>
      </c>
      <c r="V610" s="87">
        <v>0</v>
      </c>
      <c r="X610" s="87">
        <v>0</v>
      </c>
      <c r="Y610" s="88">
        <v>22593590.500000022</v>
      </c>
      <c r="Z610" s="87">
        <v>0</v>
      </c>
      <c r="AA610" s="87">
        <v>2153</v>
      </c>
      <c r="AB610" s="89">
        <f t="shared" si="163"/>
        <v>0</v>
      </c>
      <c r="AC610" s="89">
        <f t="shared" si="164"/>
        <v>0</v>
      </c>
      <c r="AD610" s="89">
        <f t="shared" si="165"/>
        <v>0</v>
      </c>
      <c r="AE610" s="90">
        <f t="shared" si="166"/>
        <v>0</v>
      </c>
      <c r="AF610" s="90" t="str">
        <f t="shared" si="167"/>
        <v/>
      </c>
      <c r="AG610" s="90">
        <f t="shared" si="168"/>
        <v>2153</v>
      </c>
      <c r="AH610" s="90" t="str">
        <f t="shared" si="169"/>
        <v>2018 (triag)</v>
      </c>
      <c r="AI610" s="90">
        <f t="shared" si="170"/>
        <v>2153</v>
      </c>
      <c r="AJ610" s="90" t="str">
        <f t="shared" si="171"/>
        <v>2018 (triag)</v>
      </c>
      <c r="AK610" s="90" t="str">
        <f t="shared" si="172"/>
        <v/>
      </c>
      <c r="AL610" s="91">
        <f>IF(AK610="Adjust",(_xlfn.XLOOKUP(A610,'Adj factor'!A:A,'Adj factor'!I:I,,0)*AI610),'Master DataSheet'!AI610)</f>
        <v>2153</v>
      </c>
      <c r="AM610" s="91">
        <f t="shared" si="173"/>
        <v>2153</v>
      </c>
      <c r="AN610" s="92" t="str">
        <f t="shared" si="174"/>
        <v>No change</v>
      </c>
      <c r="AO610" s="93">
        <f>VLOOKUP(B610,'Growthrates source'!A$2:H$49,8,FALSE)</f>
        <v>3.5406206546388264E-2</v>
      </c>
      <c r="AP610" s="93">
        <f>VLOOKUP(B610,'Growthrates source'!A$2:I$49,9,FALSE)</f>
        <v>8.9309654310665287E-4</v>
      </c>
      <c r="AQ610" s="86">
        <f t="shared" si="175"/>
        <v>1803.6839019704587</v>
      </c>
      <c r="AR610" s="86">
        <f t="shared" si="176"/>
        <v>2158.7762452334587</v>
      </c>
      <c r="AS610" s="94">
        <f t="shared" si="177"/>
        <v>0</v>
      </c>
      <c r="AT610" s="94">
        <f t="shared" si="178"/>
        <v>1.0800480659012921</v>
      </c>
      <c r="AU610" s="94">
        <f t="shared" si="179"/>
        <v>0.9529251227245169</v>
      </c>
    </row>
    <row r="611" spans="1:47" x14ac:dyDescent="0.3">
      <c r="A611" s="85" t="str">
        <f>_xlfn.XLOOKUP(B611,'Country codes &amp; Data sources'!G:G,'Country codes &amp; Data sources'!H:H,,0)</f>
        <v>Mali</v>
      </c>
      <c r="B611" s="85" t="s">
        <v>179</v>
      </c>
      <c r="C611" s="86">
        <v>16514696</v>
      </c>
      <c r="D611" s="85" t="s">
        <v>204</v>
      </c>
      <c r="E611" s="87">
        <v>0</v>
      </c>
      <c r="F611" s="88">
        <v>17004032.499999996</v>
      </c>
      <c r="G611" s="87">
        <v>0</v>
      </c>
      <c r="I611" s="87">
        <v>0</v>
      </c>
      <c r="K611" s="87">
        <v>0</v>
      </c>
      <c r="M611" s="87">
        <v>0</v>
      </c>
      <c r="O611" s="87">
        <v>0</v>
      </c>
      <c r="P611" s="88">
        <v>19934298.000000004</v>
      </c>
      <c r="Q611" s="87">
        <v>13</v>
      </c>
      <c r="R611" s="87">
        <f t="shared" si="162"/>
        <v>25</v>
      </c>
      <c r="T611" s="87">
        <v>0</v>
      </c>
      <c r="V611" s="87">
        <v>0</v>
      </c>
      <c r="X611" s="87">
        <v>0</v>
      </c>
      <c r="Y611" s="88">
        <v>22593590.500000022</v>
      </c>
      <c r="Z611" s="87">
        <v>0</v>
      </c>
      <c r="AA611" s="87">
        <v>25</v>
      </c>
      <c r="AB611" s="89">
        <f t="shared" si="163"/>
        <v>0</v>
      </c>
      <c r="AC611" s="89">
        <f t="shared" si="164"/>
        <v>13</v>
      </c>
      <c r="AD611" s="89">
        <f t="shared" si="165"/>
        <v>0</v>
      </c>
      <c r="AE611" s="90">
        <f t="shared" si="166"/>
        <v>0</v>
      </c>
      <c r="AF611" s="90" t="str">
        <f t="shared" si="167"/>
        <v/>
      </c>
      <c r="AG611" s="90">
        <f t="shared" si="168"/>
        <v>25</v>
      </c>
      <c r="AH611" s="90" t="str">
        <f t="shared" si="169"/>
        <v>2018 (triag)</v>
      </c>
      <c r="AI611" s="90">
        <f t="shared" si="170"/>
        <v>25</v>
      </c>
      <c r="AJ611" s="90" t="str">
        <f t="shared" si="171"/>
        <v>2018 (triag)</v>
      </c>
      <c r="AK611" s="90" t="str">
        <f t="shared" si="172"/>
        <v/>
      </c>
      <c r="AL611" s="91">
        <f>IF(AK611="Adjust",(_xlfn.XLOOKUP(A611,'Adj factor'!A:A,'Adj factor'!I:I,,0)*AI611),'Master DataSheet'!AI611)</f>
        <v>25</v>
      </c>
      <c r="AM611" s="91">
        <f t="shared" si="173"/>
        <v>25</v>
      </c>
      <c r="AN611" s="92" t="str">
        <f t="shared" si="174"/>
        <v>No change</v>
      </c>
      <c r="AO611" s="93">
        <f>VLOOKUP(B611,'Growthrates source'!A$2:H$49,8,FALSE)</f>
        <v>3.5406206546388264E-2</v>
      </c>
      <c r="AP611" s="93">
        <f>VLOOKUP(B611,'Growthrates source'!A$2:I$49,9,FALSE)</f>
        <v>8.9309654310665287E-4</v>
      </c>
      <c r="AQ611" s="86">
        <f t="shared" si="175"/>
        <v>20.943844658272862</v>
      </c>
      <c r="AR611" s="86">
        <f t="shared" si="176"/>
        <v>25.067072053337885</v>
      </c>
      <c r="AS611" s="94">
        <f t="shared" si="177"/>
        <v>0</v>
      </c>
      <c r="AT611" s="94">
        <f t="shared" si="178"/>
        <v>1.2541199093140875E-2</v>
      </c>
      <c r="AU611" s="94">
        <f t="shared" si="179"/>
        <v>1.1065085029313944E-2</v>
      </c>
    </row>
    <row r="612" spans="1:47" x14ac:dyDescent="0.3">
      <c r="A612" s="85" t="str">
        <f>_xlfn.XLOOKUP(B612,'Country codes &amp; Data sources'!G:G,'Country codes &amp; Data sources'!H:H,,0)</f>
        <v>Mali</v>
      </c>
      <c r="B612" s="85" t="s">
        <v>179</v>
      </c>
      <c r="C612" s="86">
        <v>16514697</v>
      </c>
      <c r="D612" s="85" t="s">
        <v>205</v>
      </c>
      <c r="E612" s="87">
        <v>0</v>
      </c>
      <c r="F612" s="88">
        <v>17004032.499999996</v>
      </c>
      <c r="G612" s="87">
        <v>0</v>
      </c>
      <c r="I612" s="87">
        <v>0</v>
      </c>
      <c r="K612" s="87">
        <v>0</v>
      </c>
      <c r="M612" s="87">
        <v>0</v>
      </c>
      <c r="O612" s="87">
        <v>0</v>
      </c>
      <c r="P612" s="88">
        <v>19934298.000000004</v>
      </c>
      <c r="Q612" s="87">
        <v>15</v>
      </c>
      <c r="R612" s="87">
        <f t="shared" si="162"/>
        <v>15</v>
      </c>
      <c r="T612" s="87">
        <v>0</v>
      </c>
      <c r="V612" s="87">
        <v>0</v>
      </c>
      <c r="X612" s="87">
        <v>0</v>
      </c>
      <c r="Y612" s="88">
        <v>22593590.500000022</v>
      </c>
      <c r="Z612" s="87">
        <v>0</v>
      </c>
      <c r="AA612" s="87">
        <v>0</v>
      </c>
      <c r="AB612" s="89">
        <f t="shared" si="163"/>
        <v>0</v>
      </c>
      <c r="AC612" s="89">
        <f t="shared" si="164"/>
        <v>15</v>
      </c>
      <c r="AD612" s="89">
        <f t="shared" si="165"/>
        <v>0</v>
      </c>
      <c r="AE612" s="90">
        <f t="shared" si="166"/>
        <v>0</v>
      </c>
      <c r="AF612" s="90" t="str">
        <f t="shared" si="167"/>
        <v/>
      </c>
      <c r="AG612" s="90">
        <f t="shared" si="168"/>
        <v>15</v>
      </c>
      <c r="AH612" s="90">
        <f t="shared" si="169"/>
        <v>2018</v>
      </c>
      <c r="AI612" s="90">
        <f t="shared" si="170"/>
        <v>15</v>
      </c>
      <c r="AJ612" s="90">
        <f t="shared" si="171"/>
        <v>2018</v>
      </c>
      <c r="AK612" s="90" t="str">
        <f t="shared" si="172"/>
        <v/>
      </c>
      <c r="AL612" s="91">
        <f>IF(AK612="Adjust",(_xlfn.XLOOKUP(A612,'Adj factor'!A:A,'Adj factor'!I:I,,0)*AI612),'Master DataSheet'!AI612)</f>
        <v>15</v>
      </c>
      <c r="AM612" s="91">
        <f t="shared" si="173"/>
        <v>15</v>
      </c>
      <c r="AN612" s="92" t="str">
        <f t="shared" si="174"/>
        <v>No change</v>
      </c>
      <c r="AO612" s="93">
        <f>VLOOKUP(B612,'Growthrates source'!A$2:H$49,8,FALSE)</f>
        <v>3.5406206546388264E-2</v>
      </c>
      <c r="AP612" s="93">
        <f>VLOOKUP(B612,'Growthrates source'!A$2:I$49,9,FALSE)</f>
        <v>8.9309654310665287E-4</v>
      </c>
      <c r="AQ612" s="86">
        <f t="shared" si="175"/>
        <v>0</v>
      </c>
      <c r="AR612" s="86">
        <f t="shared" si="176"/>
        <v>0</v>
      </c>
      <c r="AS612" s="94">
        <f t="shared" si="177"/>
        <v>0</v>
      </c>
      <c r="AT612" s="94">
        <f t="shared" si="178"/>
        <v>7.5247194558845246E-3</v>
      </c>
      <c r="AU612" s="94">
        <f t="shared" si="179"/>
        <v>6.6390510175883665E-3</v>
      </c>
    </row>
    <row r="613" spans="1:47" x14ac:dyDescent="0.3">
      <c r="A613" s="85" t="str">
        <f>_xlfn.XLOOKUP(B613,'Country codes &amp; Data sources'!G:G,'Country codes &amp; Data sources'!H:H,,0)</f>
        <v>Mali</v>
      </c>
      <c r="B613" s="85" t="s">
        <v>179</v>
      </c>
      <c r="C613" s="86">
        <v>16514698</v>
      </c>
      <c r="D613" s="85" t="s">
        <v>133</v>
      </c>
      <c r="E613" s="87">
        <v>0</v>
      </c>
      <c r="F613" s="88">
        <v>17004032.499999996</v>
      </c>
      <c r="G613" s="87">
        <v>0</v>
      </c>
      <c r="I613" s="87">
        <v>0</v>
      </c>
      <c r="K613" s="87">
        <v>0</v>
      </c>
      <c r="M613" s="87">
        <v>0</v>
      </c>
      <c r="O613" s="87">
        <v>0</v>
      </c>
      <c r="P613" s="88">
        <v>19934298.000000004</v>
      </c>
      <c r="Q613" s="87">
        <v>0</v>
      </c>
      <c r="R613" s="87">
        <f t="shared" si="162"/>
        <v>1496</v>
      </c>
      <c r="T613" s="87">
        <v>0</v>
      </c>
      <c r="V613" s="87">
        <v>0</v>
      </c>
      <c r="X613" s="87">
        <v>0</v>
      </c>
      <c r="Y613" s="88">
        <v>22593590.500000022</v>
      </c>
      <c r="Z613" s="87">
        <v>0</v>
      </c>
      <c r="AA613" s="87">
        <v>1496</v>
      </c>
      <c r="AB613" s="89">
        <f t="shared" si="163"/>
        <v>0</v>
      </c>
      <c r="AC613" s="89">
        <f t="shared" si="164"/>
        <v>0</v>
      </c>
      <c r="AD613" s="89">
        <f t="shared" si="165"/>
        <v>0</v>
      </c>
      <c r="AE613" s="90">
        <f t="shared" si="166"/>
        <v>0</v>
      </c>
      <c r="AF613" s="90" t="str">
        <f t="shared" si="167"/>
        <v/>
      </c>
      <c r="AG613" s="90">
        <f t="shared" si="168"/>
        <v>1496</v>
      </c>
      <c r="AH613" s="90" t="str">
        <f t="shared" si="169"/>
        <v>2018 (triag)</v>
      </c>
      <c r="AI613" s="90">
        <f t="shared" si="170"/>
        <v>1496</v>
      </c>
      <c r="AJ613" s="90" t="str">
        <f t="shared" si="171"/>
        <v>2018 (triag)</v>
      </c>
      <c r="AK613" s="90" t="str">
        <f t="shared" si="172"/>
        <v/>
      </c>
      <c r="AL613" s="91">
        <f>IF(AK613="Adjust",(_xlfn.XLOOKUP(A613,'Adj factor'!A:A,'Adj factor'!I:I,,0)*AI613),'Master DataSheet'!AI613)</f>
        <v>1496</v>
      </c>
      <c r="AM613" s="91">
        <f t="shared" si="173"/>
        <v>1496</v>
      </c>
      <c r="AN613" s="92" t="str">
        <f t="shared" si="174"/>
        <v>No change</v>
      </c>
      <c r="AO613" s="93">
        <f>VLOOKUP(B613,'Growthrates source'!A$2:H$49,8,FALSE)</f>
        <v>3.5406206546388264E-2</v>
      </c>
      <c r="AP613" s="93">
        <f>VLOOKUP(B613,'Growthrates source'!A$2:I$49,9,FALSE)</f>
        <v>8.9309654310665287E-4</v>
      </c>
      <c r="AQ613" s="86">
        <f t="shared" si="175"/>
        <v>1253.279664351048</v>
      </c>
      <c r="AR613" s="86">
        <f t="shared" si="176"/>
        <v>1500.0135916717391</v>
      </c>
      <c r="AS613" s="94">
        <f t="shared" si="177"/>
        <v>0</v>
      </c>
      <c r="AT613" s="94">
        <f t="shared" si="178"/>
        <v>0.75046535373354994</v>
      </c>
      <c r="AU613" s="94">
        <f t="shared" si="179"/>
        <v>0.66213468815414644</v>
      </c>
    </row>
    <row r="614" spans="1:47" x14ac:dyDescent="0.3">
      <c r="A614" s="85" t="str">
        <f>_xlfn.XLOOKUP(B614,'Country codes &amp; Data sources'!G:G,'Country codes &amp; Data sources'!H:H,,0)</f>
        <v>Mali</v>
      </c>
      <c r="B614" s="85" t="s">
        <v>179</v>
      </c>
      <c r="C614" s="86">
        <v>16514699</v>
      </c>
      <c r="D614" s="85" t="s">
        <v>206</v>
      </c>
      <c r="E614" s="87">
        <v>0</v>
      </c>
      <c r="F614" s="88">
        <v>17004032.499999996</v>
      </c>
      <c r="G614" s="87">
        <v>0</v>
      </c>
      <c r="I614" s="87">
        <v>0</v>
      </c>
      <c r="K614" s="87">
        <v>0</v>
      </c>
      <c r="M614" s="87">
        <v>0</v>
      </c>
      <c r="O614" s="87">
        <v>0</v>
      </c>
      <c r="P614" s="88">
        <v>19934298.000000004</v>
      </c>
      <c r="Q614" s="87">
        <v>1022</v>
      </c>
      <c r="R614" s="87">
        <f t="shared" si="162"/>
        <v>1041</v>
      </c>
      <c r="T614" s="87">
        <v>0</v>
      </c>
      <c r="V614" s="87">
        <v>0</v>
      </c>
      <c r="X614" s="87">
        <v>0</v>
      </c>
      <c r="Y614" s="88">
        <v>22593590.500000022</v>
      </c>
      <c r="Z614" s="87">
        <v>1481</v>
      </c>
      <c r="AA614" s="87">
        <v>1041</v>
      </c>
      <c r="AB614" s="89">
        <f t="shared" si="163"/>
        <v>0</v>
      </c>
      <c r="AC614" s="89">
        <f t="shared" si="164"/>
        <v>1022</v>
      </c>
      <c r="AD614" s="89">
        <f t="shared" si="165"/>
        <v>1481</v>
      </c>
      <c r="AE614" s="90">
        <f t="shared" si="166"/>
        <v>0</v>
      </c>
      <c r="AF614" s="90" t="str">
        <f t="shared" si="167"/>
        <v/>
      </c>
      <c r="AG614" s="90">
        <f t="shared" si="168"/>
        <v>1041</v>
      </c>
      <c r="AH614" s="90" t="str">
        <f t="shared" si="169"/>
        <v>2018 (triag)</v>
      </c>
      <c r="AI614" s="90">
        <f t="shared" si="170"/>
        <v>1481</v>
      </c>
      <c r="AJ614" s="90">
        <f t="shared" si="171"/>
        <v>2022</v>
      </c>
      <c r="AK614" s="90" t="str">
        <f t="shared" si="172"/>
        <v/>
      </c>
      <c r="AL614" s="91">
        <f>IF(AK614="Adjust",(_xlfn.XLOOKUP(A614,'Adj factor'!A:A,'Adj factor'!I:I,,0)*AI614),'Master DataSheet'!AI614)</f>
        <v>1481</v>
      </c>
      <c r="AM614" s="91">
        <f t="shared" si="173"/>
        <v>1481</v>
      </c>
      <c r="AN614" s="92" t="str">
        <f t="shared" si="174"/>
        <v>Increasing</v>
      </c>
      <c r="AO614" s="93">
        <f>VLOOKUP(B614,'Growthrates source'!A$2:H$49,8,FALSE)</f>
        <v>3.5406206546388264E-2</v>
      </c>
      <c r="AP614" s="93">
        <f>VLOOKUP(B614,'Growthrates source'!A$2:I$49,9,FALSE)</f>
        <v>8.9309654310665287E-4</v>
      </c>
      <c r="AQ614" s="86">
        <f t="shared" si="175"/>
        <v>872.10169157048188</v>
      </c>
      <c r="AR614" s="86">
        <f t="shared" si="176"/>
        <v>1043.7928803009895</v>
      </c>
      <c r="AS614" s="94">
        <f t="shared" si="177"/>
        <v>0</v>
      </c>
      <c r="AT614" s="94">
        <f t="shared" si="178"/>
        <v>0.52221553023838607</v>
      </c>
      <c r="AU614" s="94">
        <f t="shared" si="179"/>
        <v>0.65549563713655801</v>
      </c>
    </row>
    <row r="615" spans="1:47" x14ac:dyDescent="0.3">
      <c r="A615" s="85" t="str">
        <f>_xlfn.XLOOKUP(B615,'Country codes &amp; Data sources'!G:G,'Country codes &amp; Data sources'!H:H,,0)</f>
        <v>Mali</v>
      </c>
      <c r="B615" s="85" t="s">
        <v>179</v>
      </c>
      <c r="C615" s="86">
        <v>16514700</v>
      </c>
      <c r="D615" s="85" t="s">
        <v>136</v>
      </c>
      <c r="E615" s="87">
        <v>0</v>
      </c>
      <c r="F615" s="88">
        <v>17004032.499999996</v>
      </c>
      <c r="G615" s="87">
        <v>0</v>
      </c>
      <c r="I615" s="87">
        <v>0</v>
      </c>
      <c r="K615" s="87">
        <v>0</v>
      </c>
      <c r="M615" s="87">
        <v>0</v>
      </c>
      <c r="O615" s="87">
        <v>0</v>
      </c>
      <c r="P615" s="88">
        <v>19934298.000000004</v>
      </c>
      <c r="Q615" s="87">
        <v>0</v>
      </c>
      <c r="R615" s="87">
        <f t="shared" si="162"/>
        <v>0</v>
      </c>
      <c r="T615" s="87">
        <v>0</v>
      </c>
      <c r="V615" s="87">
        <v>0</v>
      </c>
      <c r="X615" s="87">
        <v>0</v>
      </c>
      <c r="Y615" s="88">
        <v>22593590.500000022</v>
      </c>
      <c r="Z615" s="87">
        <v>0</v>
      </c>
      <c r="AA615" s="87">
        <v>0</v>
      </c>
      <c r="AB615" s="89">
        <f t="shared" si="163"/>
        <v>0</v>
      </c>
      <c r="AC615" s="89">
        <f t="shared" si="164"/>
        <v>0</v>
      </c>
      <c r="AD615" s="89">
        <f t="shared" si="165"/>
        <v>0</v>
      </c>
      <c r="AE615" s="90">
        <f t="shared" si="166"/>
        <v>0</v>
      </c>
      <c r="AF615" s="90" t="str">
        <f t="shared" si="167"/>
        <v/>
      </c>
      <c r="AG615" s="90">
        <f t="shared" si="168"/>
        <v>0</v>
      </c>
      <c r="AH615" s="90" t="str">
        <f t="shared" si="169"/>
        <v/>
      </c>
      <c r="AI615" s="90">
        <f t="shared" si="170"/>
        <v>0</v>
      </c>
      <c r="AJ615" s="90" t="str">
        <f t="shared" si="171"/>
        <v/>
      </c>
      <c r="AK615" s="90" t="str">
        <f t="shared" si="172"/>
        <v/>
      </c>
      <c r="AL615" s="91">
        <f>IF(AK615="Adjust",(_xlfn.XLOOKUP(A615,'Adj factor'!A:A,'Adj factor'!I:I,,0)*AI615),'Master DataSheet'!AI615)</f>
        <v>0</v>
      </c>
      <c r="AM615" s="91">
        <f t="shared" si="173"/>
        <v>0</v>
      </c>
      <c r="AN615" s="92" t="str">
        <f t="shared" si="174"/>
        <v>No change</v>
      </c>
      <c r="AO615" s="93">
        <f>VLOOKUP(B615,'Growthrates source'!A$2:H$49,8,FALSE)</f>
        <v>3.5406206546388264E-2</v>
      </c>
      <c r="AP615" s="93">
        <f>VLOOKUP(B615,'Growthrates source'!A$2:I$49,9,FALSE)</f>
        <v>8.9309654310665287E-4</v>
      </c>
      <c r="AQ615" s="86">
        <f t="shared" si="175"/>
        <v>0</v>
      </c>
      <c r="AR615" s="86">
        <f t="shared" si="176"/>
        <v>0</v>
      </c>
      <c r="AS615" s="94">
        <f t="shared" si="177"/>
        <v>0</v>
      </c>
      <c r="AT615" s="94">
        <f t="shared" si="178"/>
        <v>0</v>
      </c>
      <c r="AU615" s="94">
        <f t="shared" si="179"/>
        <v>0</v>
      </c>
    </row>
    <row r="616" spans="1:47" x14ac:dyDescent="0.3">
      <c r="A616" s="85" t="str">
        <f>_xlfn.XLOOKUP(B616,'Country codes &amp; Data sources'!G:G,'Country codes &amp; Data sources'!H:H,,0)</f>
        <v>Mali</v>
      </c>
      <c r="B616" s="85" t="s">
        <v>179</v>
      </c>
      <c r="C616" s="86">
        <v>16514701</v>
      </c>
      <c r="D616" s="85" t="s">
        <v>207</v>
      </c>
      <c r="E616" s="87">
        <v>0</v>
      </c>
      <c r="F616" s="88">
        <v>17004032.499999996</v>
      </c>
      <c r="G616" s="87">
        <v>0</v>
      </c>
      <c r="I616" s="87">
        <v>0</v>
      </c>
      <c r="K616" s="87">
        <v>0</v>
      </c>
      <c r="M616" s="87">
        <v>0</v>
      </c>
      <c r="O616" s="87">
        <v>0</v>
      </c>
      <c r="P616" s="88">
        <v>19934298.000000004</v>
      </c>
      <c r="Q616" s="87">
        <v>0</v>
      </c>
      <c r="R616" s="87">
        <f t="shared" si="162"/>
        <v>0</v>
      </c>
      <c r="T616" s="87">
        <v>0</v>
      </c>
      <c r="V616" s="87">
        <v>0</v>
      </c>
      <c r="X616" s="87">
        <v>0</v>
      </c>
      <c r="Y616" s="88">
        <v>22593590.500000022</v>
      </c>
      <c r="Z616" s="87">
        <v>0</v>
      </c>
      <c r="AA616" s="87">
        <v>0</v>
      </c>
      <c r="AB616" s="89">
        <f t="shared" si="163"/>
        <v>0</v>
      </c>
      <c r="AC616" s="89">
        <f t="shared" si="164"/>
        <v>0</v>
      </c>
      <c r="AD616" s="89">
        <f t="shared" si="165"/>
        <v>0</v>
      </c>
      <c r="AE616" s="90">
        <f t="shared" si="166"/>
        <v>0</v>
      </c>
      <c r="AF616" s="90" t="str">
        <f t="shared" si="167"/>
        <v/>
      </c>
      <c r="AG616" s="90">
        <f t="shared" si="168"/>
        <v>0</v>
      </c>
      <c r="AH616" s="90" t="str">
        <f t="shared" si="169"/>
        <v/>
      </c>
      <c r="AI616" s="90">
        <f t="shared" si="170"/>
        <v>0</v>
      </c>
      <c r="AJ616" s="90" t="str">
        <f t="shared" si="171"/>
        <v/>
      </c>
      <c r="AK616" s="90" t="str">
        <f t="shared" si="172"/>
        <v/>
      </c>
      <c r="AL616" s="91">
        <f>IF(AK616="Adjust",(_xlfn.XLOOKUP(A616,'Adj factor'!A:A,'Adj factor'!I:I,,0)*AI616),'Master DataSheet'!AI616)</f>
        <v>0</v>
      </c>
      <c r="AM616" s="91">
        <f t="shared" si="173"/>
        <v>0</v>
      </c>
      <c r="AN616" s="92" t="str">
        <f t="shared" si="174"/>
        <v>No change</v>
      </c>
      <c r="AO616" s="93">
        <f>VLOOKUP(B616,'Growthrates source'!A$2:H$49,8,FALSE)</f>
        <v>3.5406206546388264E-2</v>
      </c>
      <c r="AP616" s="93">
        <f>VLOOKUP(B616,'Growthrates source'!A$2:I$49,9,FALSE)</f>
        <v>8.9309654310665287E-4</v>
      </c>
      <c r="AQ616" s="86">
        <f t="shared" si="175"/>
        <v>0</v>
      </c>
      <c r="AR616" s="86">
        <f t="shared" si="176"/>
        <v>0</v>
      </c>
      <c r="AS616" s="94">
        <f t="shared" si="177"/>
        <v>0</v>
      </c>
      <c r="AT616" s="94">
        <f t="shared" si="178"/>
        <v>0</v>
      </c>
      <c r="AU616" s="94">
        <f t="shared" si="179"/>
        <v>0</v>
      </c>
    </row>
    <row r="617" spans="1:47" x14ac:dyDescent="0.3">
      <c r="A617" s="85" t="str">
        <f>_xlfn.XLOOKUP(B617,'Country codes &amp; Data sources'!G:G,'Country codes &amp; Data sources'!H:H,,0)</f>
        <v>Mali</v>
      </c>
      <c r="B617" s="85" t="s">
        <v>179</v>
      </c>
      <c r="C617" s="86">
        <v>16514702</v>
      </c>
      <c r="D617" s="85" t="s">
        <v>141</v>
      </c>
      <c r="E617" s="87">
        <v>0</v>
      </c>
      <c r="F617" s="88">
        <v>17004032.499999996</v>
      </c>
      <c r="G617" s="87">
        <v>0</v>
      </c>
      <c r="I617" s="87">
        <v>0</v>
      </c>
      <c r="K617" s="87">
        <v>0</v>
      </c>
      <c r="M617" s="87">
        <v>0</v>
      </c>
      <c r="O617" s="87">
        <v>0</v>
      </c>
      <c r="P617" s="88">
        <v>19934298.000000004</v>
      </c>
      <c r="Q617" s="87">
        <v>0</v>
      </c>
      <c r="R617" s="87">
        <f t="shared" si="162"/>
        <v>0</v>
      </c>
      <c r="T617" s="87">
        <v>0</v>
      </c>
      <c r="V617" s="87">
        <v>0</v>
      </c>
      <c r="X617" s="87">
        <v>0</v>
      </c>
      <c r="Y617" s="88">
        <v>22593590.500000022</v>
      </c>
      <c r="Z617" s="87">
        <v>0</v>
      </c>
      <c r="AA617" s="87">
        <v>0</v>
      </c>
      <c r="AB617" s="89">
        <f t="shared" si="163"/>
        <v>0</v>
      </c>
      <c r="AC617" s="89">
        <f t="shared" si="164"/>
        <v>0</v>
      </c>
      <c r="AD617" s="89">
        <f t="shared" si="165"/>
        <v>0</v>
      </c>
      <c r="AE617" s="90">
        <f t="shared" si="166"/>
        <v>0</v>
      </c>
      <c r="AF617" s="90" t="str">
        <f t="shared" si="167"/>
        <v/>
      </c>
      <c r="AG617" s="90">
        <f t="shared" si="168"/>
        <v>0</v>
      </c>
      <c r="AH617" s="90" t="str">
        <f t="shared" si="169"/>
        <v/>
      </c>
      <c r="AI617" s="90">
        <f t="shared" si="170"/>
        <v>0</v>
      </c>
      <c r="AJ617" s="90" t="str">
        <f t="shared" si="171"/>
        <v/>
      </c>
      <c r="AK617" s="90" t="str">
        <f t="shared" si="172"/>
        <v/>
      </c>
      <c r="AL617" s="91">
        <f>IF(AK617="Adjust",(_xlfn.XLOOKUP(A617,'Adj factor'!A:A,'Adj factor'!I:I,,0)*AI617),'Master DataSheet'!AI617)</f>
        <v>0</v>
      </c>
      <c r="AM617" s="91">
        <f t="shared" si="173"/>
        <v>0</v>
      </c>
      <c r="AN617" s="92" t="str">
        <f t="shared" si="174"/>
        <v>No change</v>
      </c>
      <c r="AO617" s="93">
        <f>VLOOKUP(B617,'Growthrates source'!A$2:H$49,8,FALSE)</f>
        <v>3.5406206546388264E-2</v>
      </c>
      <c r="AP617" s="93">
        <f>VLOOKUP(B617,'Growthrates source'!A$2:I$49,9,FALSE)</f>
        <v>8.9309654310665287E-4</v>
      </c>
      <c r="AQ617" s="86">
        <f t="shared" si="175"/>
        <v>0</v>
      </c>
      <c r="AR617" s="86">
        <f t="shared" si="176"/>
        <v>0</v>
      </c>
      <c r="AS617" s="94">
        <f t="shared" si="177"/>
        <v>0</v>
      </c>
      <c r="AT617" s="94">
        <f t="shared" si="178"/>
        <v>0</v>
      </c>
      <c r="AU617" s="94">
        <f t="shared" si="179"/>
        <v>0</v>
      </c>
    </row>
    <row r="618" spans="1:47" x14ac:dyDescent="0.3">
      <c r="A618" s="85" t="str">
        <f>_xlfn.XLOOKUP(B618,'Country codes &amp; Data sources'!G:G,'Country codes &amp; Data sources'!H:H,,0)</f>
        <v>Mali</v>
      </c>
      <c r="B618" s="85" t="s">
        <v>179</v>
      </c>
      <c r="C618" s="86">
        <v>16514703</v>
      </c>
      <c r="D618" s="85" t="s">
        <v>208</v>
      </c>
      <c r="E618" s="87">
        <v>0</v>
      </c>
      <c r="F618" s="88">
        <v>17004032.499999996</v>
      </c>
      <c r="G618" s="87">
        <v>0</v>
      </c>
      <c r="I618" s="87">
        <v>0</v>
      </c>
      <c r="K618" s="87">
        <v>0</v>
      </c>
      <c r="M618" s="87">
        <v>0</v>
      </c>
      <c r="O618" s="87">
        <v>0</v>
      </c>
      <c r="P618" s="88">
        <v>19934298.000000004</v>
      </c>
      <c r="Q618" s="87">
        <v>0</v>
      </c>
      <c r="R618" s="87">
        <f t="shared" si="162"/>
        <v>8306</v>
      </c>
      <c r="T618" s="87">
        <v>0</v>
      </c>
      <c r="V618" s="87">
        <v>0</v>
      </c>
      <c r="X618" s="87">
        <v>0</v>
      </c>
      <c r="Y618" s="88">
        <v>22593590.500000022</v>
      </c>
      <c r="Z618" s="87">
        <v>0</v>
      </c>
      <c r="AA618" s="87">
        <v>8306</v>
      </c>
      <c r="AB618" s="89">
        <f t="shared" si="163"/>
        <v>0</v>
      </c>
      <c r="AC618" s="89">
        <f t="shared" si="164"/>
        <v>0</v>
      </c>
      <c r="AD618" s="89">
        <f t="shared" si="165"/>
        <v>0</v>
      </c>
      <c r="AE618" s="90">
        <f t="shared" si="166"/>
        <v>0</v>
      </c>
      <c r="AF618" s="90" t="str">
        <f t="shared" si="167"/>
        <v/>
      </c>
      <c r="AG618" s="90">
        <f t="shared" si="168"/>
        <v>8306</v>
      </c>
      <c r="AH618" s="90" t="str">
        <f t="shared" si="169"/>
        <v>2018 (triag)</v>
      </c>
      <c r="AI618" s="90">
        <f t="shared" si="170"/>
        <v>8306</v>
      </c>
      <c r="AJ618" s="90" t="str">
        <f t="shared" si="171"/>
        <v>2018 (triag)</v>
      </c>
      <c r="AK618" s="90" t="str">
        <f t="shared" si="172"/>
        <v/>
      </c>
      <c r="AL618" s="91">
        <f>IF(AK618="Adjust",(_xlfn.XLOOKUP(A618,'Adj factor'!A:A,'Adj factor'!I:I,,0)*AI618),'Master DataSheet'!AI618)</f>
        <v>8306</v>
      </c>
      <c r="AM618" s="91">
        <f t="shared" si="173"/>
        <v>8306</v>
      </c>
      <c r="AN618" s="92" t="str">
        <f t="shared" si="174"/>
        <v>No change</v>
      </c>
      <c r="AO618" s="93">
        <f>VLOOKUP(B618,'Growthrates source'!A$2:H$49,8,FALSE)</f>
        <v>3.5406206546388264E-2</v>
      </c>
      <c r="AP618" s="93">
        <f>VLOOKUP(B618,'Growthrates source'!A$2:I$49,9,FALSE)</f>
        <v>8.9309654310665287E-4</v>
      </c>
      <c r="AQ618" s="86">
        <f t="shared" si="175"/>
        <v>6958.3829492645755</v>
      </c>
      <c r="AR618" s="86">
        <f t="shared" si="176"/>
        <v>8328.2840190009792</v>
      </c>
      <c r="AS618" s="94">
        <f t="shared" si="177"/>
        <v>0</v>
      </c>
      <c r="AT618" s="94">
        <f t="shared" si="178"/>
        <v>4.1666879867051243</v>
      </c>
      <c r="AU618" s="94">
        <f t="shared" si="179"/>
        <v>3.6762638501392648</v>
      </c>
    </row>
    <row r="619" spans="1:47" x14ac:dyDescent="0.3">
      <c r="A619" s="85" t="str">
        <f>_xlfn.XLOOKUP(B619,'Country codes &amp; Data sources'!G:G,'Country codes &amp; Data sources'!H:H,,0)</f>
        <v>Mali</v>
      </c>
      <c r="B619" s="85" t="s">
        <v>179</v>
      </c>
      <c r="C619" s="86">
        <v>16514704</v>
      </c>
      <c r="D619" s="85" t="s">
        <v>209</v>
      </c>
      <c r="E619" s="87">
        <v>0</v>
      </c>
      <c r="F619" s="88">
        <v>17004032.499999996</v>
      </c>
      <c r="G619" s="87">
        <v>0</v>
      </c>
      <c r="I619" s="87">
        <v>0</v>
      </c>
      <c r="K619" s="87">
        <v>0</v>
      </c>
      <c r="M619" s="87">
        <v>0</v>
      </c>
      <c r="O619" s="87">
        <v>0</v>
      </c>
      <c r="P619" s="88">
        <v>19934298.000000004</v>
      </c>
      <c r="Q619" s="87">
        <v>0</v>
      </c>
      <c r="R619" s="87">
        <f t="shared" si="162"/>
        <v>0</v>
      </c>
      <c r="T619" s="87">
        <v>0</v>
      </c>
      <c r="V619" s="87">
        <v>0</v>
      </c>
      <c r="X619" s="87">
        <v>0</v>
      </c>
      <c r="Y619" s="88">
        <v>22593590.500000022</v>
      </c>
      <c r="Z619" s="87">
        <v>0</v>
      </c>
      <c r="AA619" s="87">
        <v>0</v>
      </c>
      <c r="AB619" s="89">
        <f t="shared" si="163"/>
        <v>0</v>
      </c>
      <c r="AC619" s="89">
        <f t="shared" si="164"/>
        <v>0</v>
      </c>
      <c r="AD619" s="89">
        <f t="shared" si="165"/>
        <v>0</v>
      </c>
      <c r="AE619" s="90">
        <f t="shared" si="166"/>
        <v>0</v>
      </c>
      <c r="AF619" s="90" t="str">
        <f t="shared" si="167"/>
        <v/>
      </c>
      <c r="AG619" s="90">
        <f t="shared" si="168"/>
        <v>0</v>
      </c>
      <c r="AH619" s="90" t="str">
        <f t="shared" si="169"/>
        <v/>
      </c>
      <c r="AI619" s="90">
        <f t="shared" si="170"/>
        <v>0</v>
      </c>
      <c r="AJ619" s="90" t="str">
        <f t="shared" si="171"/>
        <v/>
      </c>
      <c r="AK619" s="90" t="str">
        <f t="shared" si="172"/>
        <v/>
      </c>
      <c r="AL619" s="91">
        <f>IF(AK619="Adjust",(_xlfn.XLOOKUP(A619,'Adj factor'!A:A,'Adj factor'!I:I,,0)*AI619),'Master DataSheet'!AI619)</f>
        <v>0</v>
      </c>
      <c r="AM619" s="91">
        <f t="shared" si="173"/>
        <v>0</v>
      </c>
      <c r="AN619" s="92" t="str">
        <f t="shared" si="174"/>
        <v>No change</v>
      </c>
      <c r="AO619" s="93">
        <f>VLOOKUP(B619,'Growthrates source'!A$2:H$49,8,FALSE)</f>
        <v>3.5406206546388264E-2</v>
      </c>
      <c r="AP619" s="93">
        <f>VLOOKUP(B619,'Growthrates source'!A$2:I$49,9,FALSE)</f>
        <v>8.9309654310665287E-4</v>
      </c>
      <c r="AQ619" s="86">
        <f t="shared" si="175"/>
        <v>0</v>
      </c>
      <c r="AR619" s="86">
        <f t="shared" si="176"/>
        <v>0</v>
      </c>
      <c r="AS619" s="94">
        <f t="shared" si="177"/>
        <v>0</v>
      </c>
      <c r="AT619" s="94">
        <f t="shared" si="178"/>
        <v>0</v>
      </c>
      <c r="AU619" s="94">
        <f t="shared" si="179"/>
        <v>0</v>
      </c>
    </row>
    <row r="620" spans="1:47" x14ac:dyDescent="0.3">
      <c r="A620" s="85" t="str">
        <f>_xlfn.XLOOKUP(B620,'Country codes &amp; Data sources'!G:G,'Country codes &amp; Data sources'!H:H,,0)</f>
        <v>Mali</v>
      </c>
      <c r="B620" s="85" t="s">
        <v>179</v>
      </c>
      <c r="C620" s="86">
        <v>16514705</v>
      </c>
      <c r="D620" s="85" t="s">
        <v>134</v>
      </c>
      <c r="E620" s="87">
        <v>0</v>
      </c>
      <c r="F620" s="88">
        <v>17004032.499999996</v>
      </c>
      <c r="G620" s="87">
        <v>0</v>
      </c>
      <c r="I620" s="87">
        <v>0</v>
      </c>
      <c r="K620" s="87">
        <v>0</v>
      </c>
      <c r="M620" s="87">
        <v>0</v>
      </c>
      <c r="O620" s="87">
        <v>0</v>
      </c>
      <c r="P620" s="88">
        <v>19934298.000000004</v>
      </c>
      <c r="Q620" s="87">
        <v>0</v>
      </c>
      <c r="R620" s="87">
        <f t="shared" si="162"/>
        <v>0</v>
      </c>
      <c r="T620" s="87">
        <v>0</v>
      </c>
      <c r="V620" s="87">
        <v>0</v>
      </c>
      <c r="X620" s="87">
        <v>0</v>
      </c>
      <c r="Y620" s="88">
        <v>22593590.500000022</v>
      </c>
      <c r="Z620" s="87">
        <v>0</v>
      </c>
      <c r="AA620" s="87">
        <v>0</v>
      </c>
      <c r="AB620" s="89">
        <f t="shared" si="163"/>
        <v>0</v>
      </c>
      <c r="AC620" s="89">
        <f t="shared" si="164"/>
        <v>0</v>
      </c>
      <c r="AD620" s="89">
        <f t="shared" si="165"/>
        <v>0</v>
      </c>
      <c r="AE620" s="90">
        <f t="shared" si="166"/>
        <v>0</v>
      </c>
      <c r="AF620" s="90" t="str">
        <f t="shared" si="167"/>
        <v/>
      </c>
      <c r="AG620" s="90">
        <f t="shared" si="168"/>
        <v>0</v>
      </c>
      <c r="AH620" s="90" t="str">
        <f t="shared" si="169"/>
        <v/>
      </c>
      <c r="AI620" s="90">
        <f t="shared" si="170"/>
        <v>0</v>
      </c>
      <c r="AJ620" s="90" t="str">
        <f t="shared" si="171"/>
        <v/>
      </c>
      <c r="AK620" s="90" t="str">
        <f t="shared" si="172"/>
        <v/>
      </c>
      <c r="AL620" s="91">
        <f>IF(AK620="Adjust",(_xlfn.XLOOKUP(A620,'Adj factor'!A:A,'Adj factor'!I:I,,0)*AI620),'Master DataSheet'!AI620)</f>
        <v>0</v>
      </c>
      <c r="AM620" s="91">
        <f t="shared" si="173"/>
        <v>0</v>
      </c>
      <c r="AN620" s="92" t="str">
        <f t="shared" si="174"/>
        <v>No change</v>
      </c>
      <c r="AO620" s="93">
        <f>VLOOKUP(B620,'Growthrates source'!A$2:H$49,8,FALSE)</f>
        <v>3.5406206546388264E-2</v>
      </c>
      <c r="AP620" s="93">
        <f>VLOOKUP(B620,'Growthrates source'!A$2:I$49,9,FALSE)</f>
        <v>8.9309654310665287E-4</v>
      </c>
      <c r="AQ620" s="86">
        <f t="shared" si="175"/>
        <v>0</v>
      </c>
      <c r="AR620" s="86">
        <f t="shared" si="176"/>
        <v>0</v>
      </c>
      <c r="AS620" s="94">
        <f t="shared" si="177"/>
        <v>0</v>
      </c>
      <c r="AT620" s="94">
        <f t="shared" si="178"/>
        <v>0</v>
      </c>
      <c r="AU620" s="94">
        <f t="shared" si="179"/>
        <v>0</v>
      </c>
    </row>
    <row r="621" spans="1:47" x14ac:dyDescent="0.3">
      <c r="A621" s="85" t="str">
        <f>_xlfn.XLOOKUP(B621,'Country codes &amp; Data sources'!G:G,'Country codes &amp; Data sources'!H:H,,0)</f>
        <v>Mali</v>
      </c>
      <c r="B621" s="85" t="s">
        <v>179</v>
      </c>
      <c r="C621" s="86">
        <v>16514706</v>
      </c>
      <c r="D621" s="85" t="s">
        <v>142</v>
      </c>
      <c r="E621" s="87">
        <v>0</v>
      </c>
      <c r="F621" s="88">
        <v>17004032.499999996</v>
      </c>
      <c r="G621" s="87">
        <v>0</v>
      </c>
      <c r="I621" s="87">
        <v>0</v>
      </c>
      <c r="K621" s="87">
        <v>0</v>
      </c>
      <c r="M621" s="87">
        <v>0</v>
      </c>
      <c r="O621" s="87">
        <v>0</v>
      </c>
      <c r="P621" s="88">
        <v>19934298.000000004</v>
      </c>
      <c r="Q621" s="87">
        <v>0</v>
      </c>
      <c r="R621" s="87">
        <f t="shared" si="162"/>
        <v>0</v>
      </c>
      <c r="T621" s="87">
        <v>0</v>
      </c>
      <c r="V621" s="87">
        <v>0</v>
      </c>
      <c r="X621" s="87">
        <v>0</v>
      </c>
      <c r="Y621" s="88">
        <v>22593590.500000022</v>
      </c>
      <c r="Z621" s="87">
        <v>0</v>
      </c>
      <c r="AA621" s="87">
        <v>0</v>
      </c>
      <c r="AB621" s="89">
        <f t="shared" si="163"/>
        <v>0</v>
      </c>
      <c r="AC621" s="89">
        <f t="shared" si="164"/>
        <v>0</v>
      </c>
      <c r="AD621" s="89">
        <f t="shared" si="165"/>
        <v>0</v>
      </c>
      <c r="AE621" s="90">
        <f t="shared" si="166"/>
        <v>0</v>
      </c>
      <c r="AF621" s="90" t="str">
        <f t="shared" si="167"/>
        <v/>
      </c>
      <c r="AG621" s="90">
        <f t="shared" si="168"/>
        <v>0</v>
      </c>
      <c r="AH621" s="90" t="str">
        <f t="shared" si="169"/>
        <v/>
      </c>
      <c r="AI621" s="90">
        <f t="shared" si="170"/>
        <v>0</v>
      </c>
      <c r="AJ621" s="90" t="str">
        <f t="shared" si="171"/>
        <v/>
      </c>
      <c r="AK621" s="90" t="str">
        <f t="shared" si="172"/>
        <v/>
      </c>
      <c r="AL621" s="91">
        <f>IF(AK621="Adjust",(_xlfn.XLOOKUP(A621,'Adj factor'!A:A,'Adj factor'!I:I,,0)*AI621),'Master DataSheet'!AI621)</f>
        <v>0</v>
      </c>
      <c r="AM621" s="91">
        <f t="shared" si="173"/>
        <v>0</v>
      </c>
      <c r="AN621" s="92" t="str">
        <f t="shared" si="174"/>
        <v>No change</v>
      </c>
      <c r="AO621" s="93">
        <f>VLOOKUP(B621,'Growthrates source'!A$2:H$49,8,FALSE)</f>
        <v>3.5406206546388264E-2</v>
      </c>
      <c r="AP621" s="93">
        <f>VLOOKUP(B621,'Growthrates source'!A$2:I$49,9,FALSE)</f>
        <v>8.9309654310665287E-4</v>
      </c>
      <c r="AQ621" s="86">
        <f t="shared" si="175"/>
        <v>0</v>
      </c>
      <c r="AR621" s="86">
        <f t="shared" si="176"/>
        <v>0</v>
      </c>
      <c r="AS621" s="94">
        <f t="shared" si="177"/>
        <v>0</v>
      </c>
      <c r="AT621" s="94">
        <f t="shared" si="178"/>
        <v>0</v>
      </c>
      <c r="AU621" s="94">
        <f t="shared" si="179"/>
        <v>0</v>
      </c>
    </row>
    <row r="622" spans="1:47" x14ac:dyDescent="0.3">
      <c r="A622" s="85" t="str">
        <f>_xlfn.XLOOKUP(B622,'Country codes &amp; Data sources'!G:G,'Country codes &amp; Data sources'!H:H,,0)</f>
        <v>Mali</v>
      </c>
      <c r="B622" s="85" t="s">
        <v>179</v>
      </c>
      <c r="C622" s="86">
        <v>16514707</v>
      </c>
      <c r="D622" s="85" t="s">
        <v>83</v>
      </c>
      <c r="E622" s="87">
        <v>0</v>
      </c>
      <c r="F622" s="88">
        <v>17004032.499999996</v>
      </c>
      <c r="G622" s="87">
        <v>0</v>
      </c>
      <c r="I622" s="87">
        <v>0</v>
      </c>
      <c r="K622" s="87">
        <v>0</v>
      </c>
      <c r="M622" s="87">
        <v>0</v>
      </c>
      <c r="O622" s="87">
        <v>0</v>
      </c>
      <c r="P622" s="88">
        <v>19934298.000000004</v>
      </c>
      <c r="Q622" s="87">
        <v>0</v>
      </c>
      <c r="R622" s="87">
        <f t="shared" si="162"/>
        <v>0</v>
      </c>
      <c r="T622" s="87">
        <v>0</v>
      </c>
      <c r="V622" s="87">
        <v>0</v>
      </c>
      <c r="X622" s="87">
        <v>0</v>
      </c>
      <c r="Y622" s="88">
        <v>22593590.500000022</v>
      </c>
      <c r="Z622" s="87">
        <v>0</v>
      </c>
      <c r="AA622" s="87">
        <v>0</v>
      </c>
      <c r="AB622" s="89">
        <f t="shared" si="163"/>
        <v>0</v>
      </c>
      <c r="AC622" s="89">
        <f t="shared" si="164"/>
        <v>0</v>
      </c>
      <c r="AD622" s="89">
        <f t="shared" si="165"/>
        <v>0</v>
      </c>
      <c r="AE622" s="90">
        <f t="shared" si="166"/>
        <v>0</v>
      </c>
      <c r="AF622" s="90" t="str">
        <f t="shared" si="167"/>
        <v/>
      </c>
      <c r="AG622" s="90">
        <f t="shared" si="168"/>
        <v>0</v>
      </c>
      <c r="AH622" s="90" t="str">
        <f t="shared" si="169"/>
        <v/>
      </c>
      <c r="AI622" s="90">
        <f t="shared" si="170"/>
        <v>0</v>
      </c>
      <c r="AJ622" s="90" t="str">
        <f t="shared" si="171"/>
        <v/>
      </c>
      <c r="AK622" s="90" t="str">
        <f t="shared" si="172"/>
        <v/>
      </c>
      <c r="AL622" s="91">
        <f>IF(AK622="Adjust",(_xlfn.XLOOKUP(A622,'Adj factor'!A:A,'Adj factor'!I:I,,0)*AI622),'Master DataSheet'!AI622)</f>
        <v>0</v>
      </c>
      <c r="AM622" s="91">
        <f t="shared" si="173"/>
        <v>0</v>
      </c>
      <c r="AN622" s="92" t="str">
        <f t="shared" si="174"/>
        <v>No change</v>
      </c>
      <c r="AO622" s="93">
        <f>VLOOKUP(B622,'Growthrates source'!A$2:H$49,8,FALSE)</f>
        <v>3.5406206546388264E-2</v>
      </c>
      <c r="AP622" s="93">
        <f>VLOOKUP(B622,'Growthrates source'!A$2:I$49,9,FALSE)</f>
        <v>8.9309654310665287E-4</v>
      </c>
      <c r="AQ622" s="86">
        <f t="shared" si="175"/>
        <v>0</v>
      </c>
      <c r="AR622" s="86">
        <f t="shared" si="176"/>
        <v>0</v>
      </c>
      <c r="AS622" s="94">
        <f t="shared" si="177"/>
        <v>0</v>
      </c>
      <c r="AT622" s="94">
        <f t="shared" si="178"/>
        <v>0</v>
      </c>
      <c r="AU622" s="94">
        <f t="shared" si="179"/>
        <v>0</v>
      </c>
    </row>
    <row r="623" spans="1:47" x14ac:dyDescent="0.3">
      <c r="A623" s="85" t="str">
        <f>_xlfn.XLOOKUP(B623,'Country codes &amp; Data sources'!G:G,'Country codes &amp; Data sources'!H:H,,0)</f>
        <v>Mali</v>
      </c>
      <c r="B623" s="85" t="s">
        <v>179</v>
      </c>
      <c r="C623" s="86">
        <v>16514708</v>
      </c>
      <c r="D623" s="85" t="s">
        <v>84</v>
      </c>
      <c r="E623" s="87">
        <v>0</v>
      </c>
      <c r="F623" s="88">
        <v>17004032.499999996</v>
      </c>
      <c r="G623" s="87">
        <v>0</v>
      </c>
      <c r="I623" s="87">
        <v>0</v>
      </c>
      <c r="K623" s="87">
        <v>0</v>
      </c>
      <c r="M623" s="87">
        <v>0</v>
      </c>
      <c r="O623" s="87">
        <v>0</v>
      </c>
      <c r="P623" s="88">
        <v>19934298.000000004</v>
      </c>
      <c r="Q623" s="87">
        <v>0</v>
      </c>
      <c r="R623" s="87">
        <f t="shared" si="162"/>
        <v>0</v>
      </c>
      <c r="T623" s="87">
        <v>0</v>
      </c>
      <c r="V623" s="87">
        <v>0</v>
      </c>
      <c r="X623" s="87">
        <v>0</v>
      </c>
      <c r="Y623" s="88">
        <v>22593590.500000022</v>
      </c>
      <c r="Z623" s="87">
        <v>0</v>
      </c>
      <c r="AA623" s="87">
        <v>0</v>
      </c>
      <c r="AB623" s="89">
        <f t="shared" si="163"/>
        <v>0</v>
      </c>
      <c r="AC623" s="89">
        <f t="shared" si="164"/>
        <v>0</v>
      </c>
      <c r="AD623" s="89">
        <f t="shared" si="165"/>
        <v>0</v>
      </c>
      <c r="AE623" s="90">
        <f t="shared" si="166"/>
        <v>0</v>
      </c>
      <c r="AF623" s="90" t="str">
        <f t="shared" si="167"/>
        <v/>
      </c>
      <c r="AG623" s="90">
        <f t="shared" si="168"/>
        <v>0</v>
      </c>
      <c r="AH623" s="90" t="str">
        <f t="shared" si="169"/>
        <v/>
      </c>
      <c r="AI623" s="90">
        <f t="shared" si="170"/>
        <v>0</v>
      </c>
      <c r="AJ623" s="90" t="str">
        <f t="shared" si="171"/>
        <v/>
      </c>
      <c r="AK623" s="90" t="str">
        <f t="shared" si="172"/>
        <v/>
      </c>
      <c r="AL623" s="91">
        <f>IF(AK623="Adjust",(_xlfn.XLOOKUP(A623,'Adj factor'!A:A,'Adj factor'!I:I,,0)*AI623),'Master DataSheet'!AI623)</f>
        <v>0</v>
      </c>
      <c r="AM623" s="91">
        <f t="shared" si="173"/>
        <v>0</v>
      </c>
      <c r="AN623" s="92" t="str">
        <f t="shared" si="174"/>
        <v>No change</v>
      </c>
      <c r="AO623" s="93">
        <f>VLOOKUP(B623,'Growthrates source'!A$2:H$49,8,FALSE)</f>
        <v>3.5406206546388264E-2</v>
      </c>
      <c r="AP623" s="93">
        <f>VLOOKUP(B623,'Growthrates source'!A$2:I$49,9,FALSE)</f>
        <v>8.9309654310665287E-4</v>
      </c>
      <c r="AQ623" s="86">
        <f t="shared" si="175"/>
        <v>0</v>
      </c>
      <c r="AR623" s="86">
        <f t="shared" si="176"/>
        <v>0</v>
      </c>
      <c r="AS623" s="94">
        <f t="shared" si="177"/>
        <v>0</v>
      </c>
      <c r="AT623" s="94">
        <f t="shared" si="178"/>
        <v>0</v>
      </c>
      <c r="AU623" s="94">
        <f t="shared" si="179"/>
        <v>0</v>
      </c>
    </row>
    <row r="624" spans="1:47" x14ac:dyDescent="0.3">
      <c r="A624" s="85" t="str">
        <f>_xlfn.XLOOKUP(B624,'Country codes &amp; Data sources'!G:G,'Country codes &amp; Data sources'!H:H,,0)</f>
        <v>Mali</v>
      </c>
      <c r="B624" s="85" t="s">
        <v>179</v>
      </c>
      <c r="C624" s="86">
        <v>16514709</v>
      </c>
      <c r="D624" s="85" t="s">
        <v>126</v>
      </c>
      <c r="E624" s="87">
        <v>0</v>
      </c>
      <c r="F624" s="88">
        <v>17004032.499999996</v>
      </c>
      <c r="G624" s="87">
        <v>0</v>
      </c>
      <c r="I624" s="87">
        <v>0</v>
      </c>
      <c r="K624" s="87">
        <v>0</v>
      </c>
      <c r="M624" s="87">
        <v>0</v>
      </c>
      <c r="O624" s="87">
        <v>0</v>
      </c>
      <c r="P624" s="88">
        <v>19934298.000000004</v>
      </c>
      <c r="Q624" s="87">
        <v>0</v>
      </c>
      <c r="R624" s="87">
        <f t="shared" si="162"/>
        <v>0</v>
      </c>
      <c r="T624" s="87">
        <v>0</v>
      </c>
      <c r="V624" s="87">
        <v>0</v>
      </c>
      <c r="X624" s="87">
        <v>0</v>
      </c>
      <c r="Y624" s="88">
        <v>22593590.500000022</v>
      </c>
      <c r="Z624" s="87">
        <v>0</v>
      </c>
      <c r="AA624" s="87">
        <v>0</v>
      </c>
      <c r="AB624" s="89">
        <f t="shared" si="163"/>
        <v>0</v>
      </c>
      <c r="AC624" s="89">
        <f t="shared" si="164"/>
        <v>0</v>
      </c>
      <c r="AD624" s="89">
        <f t="shared" si="165"/>
        <v>0</v>
      </c>
      <c r="AE624" s="90">
        <f t="shared" si="166"/>
        <v>0</v>
      </c>
      <c r="AF624" s="90" t="str">
        <f t="shared" si="167"/>
        <v/>
      </c>
      <c r="AG624" s="90">
        <f t="shared" si="168"/>
        <v>0</v>
      </c>
      <c r="AH624" s="90" t="str">
        <f t="shared" si="169"/>
        <v/>
      </c>
      <c r="AI624" s="90">
        <f t="shared" si="170"/>
        <v>0</v>
      </c>
      <c r="AJ624" s="90" t="str">
        <f t="shared" si="171"/>
        <v/>
      </c>
      <c r="AK624" s="90" t="str">
        <f t="shared" si="172"/>
        <v/>
      </c>
      <c r="AL624" s="91">
        <f>IF(AK624="Adjust",(_xlfn.XLOOKUP(A624,'Adj factor'!A:A,'Adj factor'!I:I,,0)*AI624),'Master DataSheet'!AI624)</f>
        <v>0</v>
      </c>
      <c r="AM624" s="91">
        <f t="shared" si="173"/>
        <v>0</v>
      </c>
      <c r="AN624" s="92" t="str">
        <f t="shared" si="174"/>
        <v>No change</v>
      </c>
      <c r="AO624" s="93">
        <f>VLOOKUP(B624,'Growthrates source'!A$2:H$49,8,FALSE)</f>
        <v>3.5406206546388264E-2</v>
      </c>
      <c r="AP624" s="93">
        <f>VLOOKUP(B624,'Growthrates source'!A$2:I$49,9,FALSE)</f>
        <v>8.9309654310665287E-4</v>
      </c>
      <c r="AQ624" s="86">
        <f t="shared" si="175"/>
        <v>0</v>
      </c>
      <c r="AR624" s="86">
        <f t="shared" si="176"/>
        <v>0</v>
      </c>
      <c r="AS624" s="94">
        <f t="shared" si="177"/>
        <v>0</v>
      </c>
      <c r="AT624" s="94">
        <f t="shared" si="178"/>
        <v>0</v>
      </c>
      <c r="AU624" s="94">
        <f t="shared" si="179"/>
        <v>0</v>
      </c>
    </row>
    <row r="625" spans="1:47" x14ac:dyDescent="0.3">
      <c r="A625" s="85" t="str">
        <f>_xlfn.XLOOKUP(B625,'Country codes &amp; Data sources'!G:G,'Country codes &amp; Data sources'!H:H,,0)</f>
        <v>Mali</v>
      </c>
      <c r="B625" s="85" t="s">
        <v>179</v>
      </c>
      <c r="C625" s="86">
        <v>16514710</v>
      </c>
      <c r="D625" s="85" t="s">
        <v>87</v>
      </c>
      <c r="E625" s="87">
        <v>0</v>
      </c>
      <c r="F625" s="88">
        <v>17004032.499999996</v>
      </c>
      <c r="G625" s="87">
        <v>0</v>
      </c>
      <c r="I625" s="87">
        <v>0</v>
      </c>
      <c r="K625" s="87">
        <v>0</v>
      </c>
      <c r="M625" s="87">
        <v>0</v>
      </c>
      <c r="O625" s="87">
        <v>0</v>
      </c>
      <c r="P625" s="88">
        <v>19934298.000000004</v>
      </c>
      <c r="Q625" s="87">
        <v>0</v>
      </c>
      <c r="R625" s="87">
        <f t="shared" si="162"/>
        <v>4</v>
      </c>
      <c r="T625" s="87">
        <v>0</v>
      </c>
      <c r="V625" s="87">
        <v>0</v>
      </c>
      <c r="X625" s="87">
        <v>0</v>
      </c>
      <c r="Y625" s="88">
        <v>22593590.500000022</v>
      </c>
      <c r="Z625" s="87">
        <v>0</v>
      </c>
      <c r="AA625" s="87">
        <v>4</v>
      </c>
      <c r="AB625" s="89">
        <f t="shared" si="163"/>
        <v>0</v>
      </c>
      <c r="AC625" s="89">
        <f t="shared" si="164"/>
        <v>0</v>
      </c>
      <c r="AD625" s="89">
        <f t="shared" si="165"/>
        <v>0</v>
      </c>
      <c r="AE625" s="90">
        <f t="shared" si="166"/>
        <v>0</v>
      </c>
      <c r="AF625" s="90" t="str">
        <f t="shared" si="167"/>
        <v/>
      </c>
      <c r="AG625" s="90">
        <f t="shared" si="168"/>
        <v>4</v>
      </c>
      <c r="AH625" s="90" t="str">
        <f t="shared" si="169"/>
        <v>2018 (triag)</v>
      </c>
      <c r="AI625" s="90">
        <f t="shared" si="170"/>
        <v>4</v>
      </c>
      <c r="AJ625" s="90" t="str">
        <f t="shared" si="171"/>
        <v>2018 (triag)</v>
      </c>
      <c r="AK625" s="90" t="str">
        <f t="shared" si="172"/>
        <v/>
      </c>
      <c r="AL625" s="91">
        <f>IF(AK625="Adjust",(_xlfn.XLOOKUP(A625,'Adj factor'!A:A,'Adj factor'!I:I,,0)*AI625),'Master DataSheet'!AI625)</f>
        <v>4</v>
      </c>
      <c r="AM625" s="91">
        <f t="shared" si="173"/>
        <v>4</v>
      </c>
      <c r="AN625" s="92" t="str">
        <f t="shared" si="174"/>
        <v>No change</v>
      </c>
      <c r="AO625" s="93">
        <f>VLOOKUP(B625,'Growthrates source'!A$2:H$49,8,FALSE)</f>
        <v>3.5406206546388264E-2</v>
      </c>
      <c r="AP625" s="93">
        <f>VLOOKUP(B625,'Growthrates source'!A$2:I$49,9,FALSE)</f>
        <v>8.9309654310665287E-4</v>
      </c>
      <c r="AQ625" s="86">
        <f t="shared" si="175"/>
        <v>3.3510151453236579</v>
      </c>
      <c r="AR625" s="86">
        <f t="shared" si="176"/>
        <v>4.0107315285340617</v>
      </c>
      <c r="AS625" s="94">
        <f t="shared" si="177"/>
        <v>0</v>
      </c>
      <c r="AT625" s="94">
        <f t="shared" si="178"/>
        <v>2.0065918549025401E-3</v>
      </c>
      <c r="AU625" s="94">
        <f t="shared" si="179"/>
        <v>1.770413604690231E-3</v>
      </c>
    </row>
    <row r="626" spans="1:47" x14ac:dyDescent="0.3">
      <c r="A626" s="85" t="str">
        <f>_xlfn.XLOOKUP(B626,'Country codes &amp; Data sources'!G:G,'Country codes &amp; Data sources'!H:H,,0)</f>
        <v>Mozambique</v>
      </c>
      <c r="B626" s="85" t="s">
        <v>181</v>
      </c>
      <c r="C626" s="86">
        <v>24487610.999999996</v>
      </c>
      <c r="D626" s="85" t="s">
        <v>321</v>
      </c>
      <c r="E626" s="87">
        <v>2716</v>
      </c>
      <c r="F626" s="88">
        <v>25251730.999999993</v>
      </c>
      <c r="G626" s="87">
        <v>2904</v>
      </c>
      <c r="H626" s="87">
        <v>26038704.499999993</v>
      </c>
      <c r="I626" s="87">
        <v>0</v>
      </c>
      <c r="J626" s="87">
        <v>26843245.5</v>
      </c>
      <c r="K626" s="87">
        <v>38</v>
      </c>
      <c r="L626" s="87">
        <v>27696492.499999989</v>
      </c>
      <c r="M626" s="87">
        <v>57</v>
      </c>
      <c r="N626" s="87">
        <v>28569441.000000015</v>
      </c>
      <c r="O626" s="87">
        <v>4985</v>
      </c>
      <c r="P626" s="88">
        <v>29423878.499999993</v>
      </c>
      <c r="Q626" s="87">
        <v>5147</v>
      </c>
      <c r="R626" s="87">
        <f t="shared" si="162"/>
        <v>5147</v>
      </c>
      <c r="S626" s="87">
        <v>30285595.000000004</v>
      </c>
      <c r="T626" s="87">
        <v>5993</v>
      </c>
      <c r="U626" s="87">
        <v>31178238.999999996</v>
      </c>
      <c r="V626" s="87">
        <v>6064</v>
      </c>
      <c r="W626" s="87">
        <v>32077072.000000011</v>
      </c>
      <c r="X626" s="87">
        <v>6016</v>
      </c>
      <c r="Y626" s="88">
        <v>32969518.500000007</v>
      </c>
      <c r="Z626" s="87">
        <v>6140</v>
      </c>
      <c r="AA626" s="87">
        <v>2180</v>
      </c>
      <c r="AB626" s="89">
        <f t="shared" si="163"/>
        <v>2904</v>
      </c>
      <c r="AC626" s="89">
        <f t="shared" si="164"/>
        <v>5993</v>
      </c>
      <c r="AD626" s="89">
        <f t="shared" si="165"/>
        <v>6140</v>
      </c>
      <c r="AE626" s="90">
        <f t="shared" si="166"/>
        <v>2904</v>
      </c>
      <c r="AF626" s="90">
        <f t="shared" si="167"/>
        <v>2013</v>
      </c>
      <c r="AG626" s="90">
        <f t="shared" si="168"/>
        <v>5147</v>
      </c>
      <c r="AH626" s="90">
        <f t="shared" si="169"/>
        <v>2018</v>
      </c>
      <c r="AI626" s="90">
        <f t="shared" si="170"/>
        <v>6140</v>
      </c>
      <c r="AJ626" s="90">
        <f t="shared" si="171"/>
        <v>2022</v>
      </c>
      <c r="AK626" s="90" t="str">
        <f t="shared" si="172"/>
        <v/>
      </c>
      <c r="AL626" s="91">
        <f>IF(AK626="Adjust",(_xlfn.XLOOKUP(A626,'Adj factor'!A:A,'Adj factor'!I:I,,0)*AI626),'Master DataSheet'!AI626)</f>
        <v>6140</v>
      </c>
      <c r="AM626" s="91">
        <f t="shared" si="173"/>
        <v>6140</v>
      </c>
      <c r="AN626" s="92" t="str">
        <f t="shared" si="174"/>
        <v>Increasing</v>
      </c>
      <c r="AO626" s="93">
        <f>VLOOKUP(B626,'Growthrates source'!A$2:H$49,8,FALSE)</f>
        <v>5.4585812874464734E-2</v>
      </c>
      <c r="AP626" s="93">
        <f>VLOOKUP(B626,'Growthrates source'!A$2:I$49,9,FALSE)</f>
        <v>3.4026707504662967E-2</v>
      </c>
      <c r="AQ626" s="86">
        <f t="shared" si="175"/>
        <v>1659.2999763418154</v>
      </c>
      <c r="AR626" s="86">
        <f t="shared" si="176"/>
        <v>2414.2893995538839</v>
      </c>
      <c r="AS626" s="94">
        <f t="shared" si="177"/>
        <v>1.1500201708944233</v>
      </c>
      <c r="AT626" s="94">
        <f t="shared" si="178"/>
        <v>1.7492595342248987</v>
      </c>
      <c r="AU626" s="94">
        <f t="shared" si="179"/>
        <v>1.8623262575096444</v>
      </c>
    </row>
    <row r="627" spans="1:47" x14ac:dyDescent="0.3">
      <c r="A627" s="85" t="str">
        <f>_xlfn.XLOOKUP(B627,'Country codes &amp; Data sources'!G:G,'Country codes &amp; Data sources'!H:H,,0)</f>
        <v>Mozambique</v>
      </c>
      <c r="B627" s="85" t="s">
        <v>181</v>
      </c>
      <c r="C627" s="86">
        <v>24487612</v>
      </c>
      <c r="D627" s="85" t="s">
        <v>322</v>
      </c>
      <c r="E627" s="87">
        <v>11652</v>
      </c>
      <c r="F627" s="88">
        <v>25251730.999999993</v>
      </c>
      <c r="G627" s="87">
        <v>12864</v>
      </c>
      <c r="I627" s="87">
        <v>12696</v>
      </c>
      <c r="K627" s="87">
        <v>13854</v>
      </c>
      <c r="M627" s="87">
        <v>15320</v>
      </c>
      <c r="O627" s="87">
        <v>15922</v>
      </c>
      <c r="P627" s="88">
        <v>29423878.499999993</v>
      </c>
      <c r="Q627" s="87">
        <v>16306</v>
      </c>
      <c r="R627" s="87">
        <f t="shared" si="162"/>
        <v>16306</v>
      </c>
      <c r="T627" s="87">
        <v>16358</v>
      </c>
      <c r="V627" s="87">
        <v>17662</v>
      </c>
      <c r="X627" s="87">
        <v>21856</v>
      </c>
      <c r="Y627" s="88">
        <v>32969518.500000007</v>
      </c>
      <c r="Z627" s="87">
        <v>19550</v>
      </c>
      <c r="AA627" s="87">
        <v>7961</v>
      </c>
      <c r="AB627" s="89">
        <f t="shared" si="163"/>
        <v>13854</v>
      </c>
      <c r="AC627" s="89">
        <f t="shared" si="164"/>
        <v>16358</v>
      </c>
      <c r="AD627" s="89">
        <f t="shared" si="165"/>
        <v>21856</v>
      </c>
      <c r="AE627" s="90">
        <f t="shared" si="166"/>
        <v>12864</v>
      </c>
      <c r="AF627" s="90">
        <f t="shared" si="167"/>
        <v>2013</v>
      </c>
      <c r="AG627" s="90">
        <f t="shared" si="168"/>
        <v>16306</v>
      </c>
      <c r="AH627" s="90">
        <f t="shared" si="169"/>
        <v>2018</v>
      </c>
      <c r="AI627" s="90">
        <f t="shared" si="170"/>
        <v>19550</v>
      </c>
      <c r="AJ627" s="90">
        <f t="shared" si="171"/>
        <v>2022</v>
      </c>
      <c r="AK627" s="90" t="str">
        <f t="shared" si="172"/>
        <v/>
      </c>
      <c r="AL627" s="91">
        <f>IF(AK627="Adjust",(_xlfn.XLOOKUP(A627,'Adj factor'!A:A,'Adj factor'!I:I,,0)*AI627),'Master DataSheet'!AI627)</f>
        <v>19550</v>
      </c>
      <c r="AM627" s="91">
        <f t="shared" si="173"/>
        <v>19550</v>
      </c>
      <c r="AN627" s="92" t="str">
        <f t="shared" si="174"/>
        <v>Increasing</v>
      </c>
      <c r="AO627" s="93">
        <f>VLOOKUP(B627,'Growthrates source'!A$2:H$49,8,FALSE)</f>
        <v>5.4585812874464734E-2</v>
      </c>
      <c r="AP627" s="93">
        <f>VLOOKUP(B627,'Growthrates source'!A$2:I$49,9,FALSE)</f>
        <v>3.4026707504662967E-2</v>
      </c>
      <c r="AQ627" s="86">
        <f t="shared" si="175"/>
        <v>6059.4895007601799</v>
      </c>
      <c r="AR627" s="86">
        <f t="shared" si="176"/>
        <v>8816.586197178196</v>
      </c>
      <c r="AS627" s="94">
        <f t="shared" si="177"/>
        <v>5.0943042280943054</v>
      </c>
      <c r="AT627" s="94">
        <f t="shared" si="178"/>
        <v>5.5417575218712258</v>
      </c>
      <c r="AU627" s="94">
        <f t="shared" si="179"/>
        <v>5.9297195984224018</v>
      </c>
    </row>
    <row r="628" spans="1:47" x14ac:dyDescent="0.3">
      <c r="A628" s="85" t="str">
        <f>_xlfn.XLOOKUP(B628,'Country codes &amp; Data sources'!G:G,'Country codes &amp; Data sources'!H:H,,0)</f>
        <v>Mozambique</v>
      </c>
      <c r="B628" s="85" t="s">
        <v>181</v>
      </c>
      <c r="C628" s="86">
        <v>24487613</v>
      </c>
      <c r="D628" s="85" t="s">
        <v>323</v>
      </c>
      <c r="E628" s="87">
        <v>8522</v>
      </c>
      <c r="F628" s="88">
        <v>25251730.999999993</v>
      </c>
      <c r="G628" s="87">
        <v>8530</v>
      </c>
      <c r="I628" s="87">
        <v>9298</v>
      </c>
      <c r="K628" s="87">
        <v>10316</v>
      </c>
      <c r="M628" s="87">
        <v>11410</v>
      </c>
      <c r="O628" s="87">
        <v>11640</v>
      </c>
      <c r="P628" s="88">
        <v>29423878.499999993</v>
      </c>
      <c r="Q628" s="87">
        <v>12042</v>
      </c>
      <c r="R628" s="87">
        <f t="shared" si="162"/>
        <v>12042</v>
      </c>
      <c r="T628" s="87">
        <v>12350</v>
      </c>
      <c r="V628" s="87">
        <v>12648</v>
      </c>
      <c r="X628" s="87">
        <v>14556</v>
      </c>
      <c r="Y628" s="88">
        <v>32969518.500000007</v>
      </c>
      <c r="Z628" s="87">
        <v>14240</v>
      </c>
      <c r="AA628" s="87">
        <v>5820</v>
      </c>
      <c r="AB628" s="89">
        <f t="shared" si="163"/>
        <v>10316</v>
      </c>
      <c r="AC628" s="89">
        <f t="shared" si="164"/>
        <v>12350</v>
      </c>
      <c r="AD628" s="89">
        <f t="shared" si="165"/>
        <v>14556</v>
      </c>
      <c r="AE628" s="90">
        <f t="shared" si="166"/>
        <v>8530</v>
      </c>
      <c r="AF628" s="90">
        <f t="shared" si="167"/>
        <v>2013</v>
      </c>
      <c r="AG628" s="90">
        <f t="shared" si="168"/>
        <v>12042</v>
      </c>
      <c r="AH628" s="90">
        <f t="shared" si="169"/>
        <v>2018</v>
      </c>
      <c r="AI628" s="90">
        <f t="shared" si="170"/>
        <v>14240</v>
      </c>
      <c r="AJ628" s="90">
        <f t="shared" si="171"/>
        <v>2022</v>
      </c>
      <c r="AK628" s="90" t="str">
        <f t="shared" si="172"/>
        <v/>
      </c>
      <c r="AL628" s="91">
        <f>IF(AK628="Adjust",(_xlfn.XLOOKUP(A628,'Adj factor'!A:A,'Adj factor'!I:I,,0)*AI628),'Master DataSheet'!AI628)</f>
        <v>14240</v>
      </c>
      <c r="AM628" s="91">
        <f t="shared" si="173"/>
        <v>14240</v>
      </c>
      <c r="AN628" s="92" t="str">
        <f t="shared" si="174"/>
        <v>Increasing</v>
      </c>
      <c r="AO628" s="93">
        <f>VLOOKUP(B628,'Growthrates source'!A$2:H$49,8,FALSE)</f>
        <v>5.4585812874464734E-2</v>
      </c>
      <c r="AP628" s="93">
        <f>VLOOKUP(B628,'Growthrates source'!A$2:I$49,9,FALSE)</f>
        <v>3.4026707504662967E-2</v>
      </c>
      <c r="AQ628" s="86">
        <f t="shared" si="175"/>
        <v>4429.8742487657637</v>
      </c>
      <c r="AR628" s="86">
        <f t="shared" si="176"/>
        <v>6445.4882134878917</v>
      </c>
      <c r="AS628" s="94">
        <f t="shared" si="177"/>
        <v>3.3779862457745975</v>
      </c>
      <c r="AT628" s="94">
        <f t="shared" si="178"/>
        <v>4.0925943872423218</v>
      </c>
      <c r="AU628" s="94">
        <f t="shared" si="179"/>
        <v>4.3191410271884916</v>
      </c>
    </row>
    <row r="629" spans="1:47" x14ac:dyDescent="0.3">
      <c r="A629" s="85" t="str">
        <f>_xlfn.XLOOKUP(B629,'Country codes &amp; Data sources'!G:G,'Country codes &amp; Data sources'!H:H,,0)</f>
        <v>Mozambique</v>
      </c>
      <c r="B629" s="85" t="s">
        <v>181</v>
      </c>
      <c r="C629" s="86">
        <v>24487614</v>
      </c>
      <c r="D629" s="85" t="s">
        <v>324</v>
      </c>
      <c r="E629" s="87">
        <v>20</v>
      </c>
      <c r="F629" s="88">
        <v>25251730.999999993</v>
      </c>
      <c r="G629" s="87">
        <v>0</v>
      </c>
      <c r="I629" s="87">
        <v>0</v>
      </c>
      <c r="K629" s="87">
        <v>0</v>
      </c>
      <c r="M629" s="87">
        <v>20035</v>
      </c>
      <c r="O629" s="87">
        <v>0</v>
      </c>
      <c r="P629" s="88">
        <v>29423878.499999993</v>
      </c>
      <c r="Q629" s="87">
        <v>0</v>
      </c>
      <c r="R629" s="87">
        <f t="shared" si="162"/>
        <v>2310</v>
      </c>
      <c r="T629" s="87">
        <v>0</v>
      </c>
      <c r="V629" s="87">
        <v>0</v>
      </c>
      <c r="X629" s="87">
        <v>0</v>
      </c>
      <c r="Y629" s="88">
        <v>32969518.500000007</v>
      </c>
      <c r="Z629" s="87">
        <v>0</v>
      </c>
      <c r="AA629" s="87">
        <v>2310</v>
      </c>
      <c r="AB629" s="89">
        <f t="shared" si="163"/>
        <v>20</v>
      </c>
      <c r="AC629" s="89">
        <f t="shared" si="164"/>
        <v>20035</v>
      </c>
      <c r="AD629" s="89">
        <f t="shared" si="165"/>
        <v>0</v>
      </c>
      <c r="AE629" s="90">
        <f t="shared" si="166"/>
        <v>20</v>
      </c>
      <c r="AF629" s="90">
        <f t="shared" si="167"/>
        <v>2012</v>
      </c>
      <c r="AG629" s="90">
        <f t="shared" si="168"/>
        <v>2310</v>
      </c>
      <c r="AH629" s="90" t="str">
        <f t="shared" si="169"/>
        <v>2018 (triag)</v>
      </c>
      <c r="AI629" s="90">
        <f t="shared" si="170"/>
        <v>2310</v>
      </c>
      <c r="AJ629" s="90" t="str">
        <f t="shared" si="171"/>
        <v>2018 (triag)</v>
      </c>
      <c r="AK629" s="90" t="str">
        <f t="shared" si="172"/>
        <v/>
      </c>
      <c r="AL629" s="91">
        <f>IF(AK629="Adjust",(_xlfn.XLOOKUP(A629,'Adj factor'!A:A,'Adj factor'!I:I,,0)*AI629),'Master DataSheet'!AI629)</f>
        <v>2310</v>
      </c>
      <c r="AM629" s="61">
        <v>3660</v>
      </c>
      <c r="AN629" s="92" t="str">
        <f t="shared" si="174"/>
        <v>No change</v>
      </c>
      <c r="AO629" s="93">
        <f>VLOOKUP(B629,'Growthrates source'!A$2:H$49,8,FALSE)</f>
        <v>5.4585812874464734E-2</v>
      </c>
      <c r="AP629" s="93">
        <f>VLOOKUP(B629,'Growthrates source'!A$2:I$49,9,FALSE)</f>
        <v>3.4026707504662967E-2</v>
      </c>
      <c r="AQ629" s="86">
        <f t="shared" si="175"/>
        <v>1758.2490574998135</v>
      </c>
      <c r="AR629" s="86">
        <f t="shared" si="176"/>
        <v>2558.2607857658127</v>
      </c>
      <c r="AS629" s="94">
        <f t="shared" si="177"/>
        <v>7.9202491108431358E-3</v>
      </c>
      <c r="AT629" s="94">
        <f t="shared" si="178"/>
        <v>0.78507665126472048</v>
      </c>
      <c r="AU629" s="94">
        <f t="shared" si="179"/>
        <v>1.1101163033363679</v>
      </c>
    </row>
    <row r="630" spans="1:47" x14ac:dyDescent="0.3">
      <c r="A630" s="85" t="str">
        <f>_xlfn.XLOOKUP(B630,'Country codes &amp; Data sources'!G:G,'Country codes &amp; Data sources'!H:H,,0)</f>
        <v>Mozambique</v>
      </c>
      <c r="B630" s="85" t="s">
        <v>181</v>
      </c>
      <c r="C630" s="86">
        <v>24487615</v>
      </c>
      <c r="D630" s="85" t="s">
        <v>325</v>
      </c>
      <c r="E630" s="87">
        <v>0</v>
      </c>
      <c r="F630" s="88">
        <v>25251730.999999993</v>
      </c>
      <c r="G630" s="87">
        <v>0</v>
      </c>
      <c r="I630" s="87">
        <v>0</v>
      </c>
      <c r="K630" s="87">
        <v>0</v>
      </c>
      <c r="M630" s="87">
        <v>0</v>
      </c>
      <c r="O630" s="87">
        <v>0</v>
      </c>
      <c r="P630" s="88">
        <v>29423878.499999993</v>
      </c>
      <c r="Q630" s="87">
        <v>0</v>
      </c>
      <c r="R630" s="87">
        <f t="shared" si="162"/>
        <v>545</v>
      </c>
      <c r="T630" s="87">
        <v>0</v>
      </c>
      <c r="V630" s="87">
        <v>0</v>
      </c>
      <c r="X630" s="87">
        <v>0</v>
      </c>
      <c r="Y630" s="88">
        <v>32969518.500000007</v>
      </c>
      <c r="Z630" s="87">
        <v>0</v>
      </c>
      <c r="AA630" s="87">
        <v>545</v>
      </c>
      <c r="AB630" s="89">
        <f t="shared" si="163"/>
        <v>0</v>
      </c>
      <c r="AC630" s="89">
        <f t="shared" si="164"/>
        <v>0</v>
      </c>
      <c r="AD630" s="89">
        <f t="shared" si="165"/>
        <v>0</v>
      </c>
      <c r="AE630" s="90">
        <f t="shared" si="166"/>
        <v>0</v>
      </c>
      <c r="AF630" s="90" t="str">
        <f t="shared" si="167"/>
        <v/>
      </c>
      <c r="AG630" s="90">
        <f t="shared" si="168"/>
        <v>545</v>
      </c>
      <c r="AH630" s="90" t="str">
        <f t="shared" si="169"/>
        <v>2018 (triag)</v>
      </c>
      <c r="AI630" s="90">
        <f t="shared" si="170"/>
        <v>545</v>
      </c>
      <c r="AJ630" s="90" t="str">
        <f t="shared" si="171"/>
        <v>2018 (triag)</v>
      </c>
      <c r="AK630" s="90" t="str">
        <f t="shared" si="172"/>
        <v/>
      </c>
      <c r="AL630" s="91">
        <f>IF(AK630="Adjust",(_xlfn.XLOOKUP(A630,'Adj factor'!A:A,'Adj factor'!I:I,,0)*AI630),'Master DataSheet'!AI630)</f>
        <v>545</v>
      </c>
      <c r="AM630" s="91">
        <f t="shared" si="173"/>
        <v>545</v>
      </c>
      <c r="AN630" s="92" t="str">
        <f t="shared" si="174"/>
        <v>No change</v>
      </c>
      <c r="AO630" s="93">
        <f>VLOOKUP(B630,'Growthrates source'!A$2:H$49,8,FALSE)</f>
        <v>5.4585812874464734E-2</v>
      </c>
      <c r="AP630" s="93">
        <f>VLOOKUP(B630,'Growthrates source'!A$2:I$49,9,FALSE)</f>
        <v>3.4026707504662967E-2</v>
      </c>
      <c r="AQ630" s="86">
        <f t="shared" si="175"/>
        <v>414.82499408545385</v>
      </c>
      <c r="AR630" s="86">
        <f t="shared" si="176"/>
        <v>603.57234988847097</v>
      </c>
      <c r="AS630" s="94">
        <f t="shared" si="177"/>
        <v>0</v>
      </c>
      <c r="AT630" s="94">
        <f t="shared" si="178"/>
        <v>0.18522371209492322</v>
      </c>
      <c r="AU630" s="94">
        <f t="shared" si="179"/>
        <v>0.16530420363888537</v>
      </c>
    </row>
    <row r="631" spans="1:47" x14ac:dyDescent="0.3">
      <c r="A631" s="85" t="str">
        <f>_xlfn.XLOOKUP(B631,'Country codes &amp; Data sources'!G:G,'Country codes &amp; Data sources'!H:H,,0)</f>
        <v>Mozambique</v>
      </c>
      <c r="B631" s="85" t="s">
        <v>181</v>
      </c>
      <c r="C631" s="86">
        <v>24487616</v>
      </c>
      <c r="D631" s="85" t="s">
        <v>127</v>
      </c>
      <c r="E631" s="87">
        <v>1213</v>
      </c>
      <c r="F631" s="88">
        <v>25251730.999999993</v>
      </c>
      <c r="G631" s="87">
        <v>1204</v>
      </c>
      <c r="I631" s="87">
        <v>0</v>
      </c>
      <c r="K631" s="87">
        <v>0</v>
      </c>
      <c r="M631" s="87">
        <v>0</v>
      </c>
      <c r="O631" s="87">
        <v>1991</v>
      </c>
      <c r="P631" s="88">
        <v>29423878.499999993</v>
      </c>
      <c r="Q631" s="87">
        <v>4787</v>
      </c>
      <c r="R631" s="87">
        <f t="shared" si="162"/>
        <v>4787</v>
      </c>
      <c r="T631" s="87">
        <v>6632</v>
      </c>
      <c r="V631" s="87">
        <v>6696</v>
      </c>
      <c r="X631" s="87">
        <v>7329</v>
      </c>
      <c r="Y631" s="88">
        <v>32969518.500000007</v>
      </c>
      <c r="Z631" s="87">
        <v>6992</v>
      </c>
      <c r="AA631" s="87">
        <v>2205</v>
      </c>
      <c r="AB631" s="89">
        <f t="shared" si="163"/>
        <v>1213</v>
      </c>
      <c r="AC631" s="89">
        <f t="shared" si="164"/>
        <v>6632</v>
      </c>
      <c r="AD631" s="89">
        <f t="shared" si="165"/>
        <v>7329</v>
      </c>
      <c r="AE631" s="90">
        <f t="shared" si="166"/>
        <v>1204</v>
      </c>
      <c r="AF631" s="90">
        <f t="shared" si="167"/>
        <v>2013</v>
      </c>
      <c r="AG631" s="90">
        <f t="shared" si="168"/>
        <v>4787</v>
      </c>
      <c r="AH631" s="90">
        <f t="shared" si="169"/>
        <v>2018</v>
      </c>
      <c r="AI631" s="90">
        <f t="shared" si="170"/>
        <v>6992</v>
      </c>
      <c r="AJ631" s="90">
        <f t="shared" si="171"/>
        <v>2022</v>
      </c>
      <c r="AK631" s="90" t="str">
        <f t="shared" si="172"/>
        <v/>
      </c>
      <c r="AL631" s="91">
        <f>IF(AK631="Adjust",(_xlfn.XLOOKUP(A631,'Adj factor'!A:A,'Adj factor'!I:I,,0)*AI631),'Master DataSheet'!AI631)</f>
        <v>6992</v>
      </c>
      <c r="AM631" s="91">
        <f t="shared" si="173"/>
        <v>6992</v>
      </c>
      <c r="AN631" s="92" t="str">
        <f t="shared" si="174"/>
        <v>Increasing</v>
      </c>
      <c r="AO631" s="93">
        <f>VLOOKUP(B631,'Growthrates source'!A$2:H$49,8,FALSE)</f>
        <v>5.4585812874464734E-2</v>
      </c>
      <c r="AP631" s="93">
        <f>VLOOKUP(B631,'Growthrates source'!A$2:I$49,9,FALSE)</f>
        <v>3.4026707504662967E-2</v>
      </c>
      <c r="AQ631" s="86">
        <f t="shared" si="175"/>
        <v>1678.3286457952765</v>
      </c>
      <c r="AR631" s="86">
        <f t="shared" si="176"/>
        <v>2441.9762045946391</v>
      </c>
      <c r="AS631" s="94">
        <f t="shared" si="177"/>
        <v>0.47679899647275681</v>
      </c>
      <c r="AT631" s="94">
        <f t="shared" si="178"/>
        <v>1.6269099262355917</v>
      </c>
      <c r="AU631" s="94">
        <f t="shared" si="179"/>
        <v>2.120746774024012</v>
      </c>
    </row>
    <row r="632" spans="1:47" ht="14.5" x14ac:dyDescent="0.35">
      <c r="A632" s="85" t="str">
        <f>_xlfn.XLOOKUP(B632,'Country codes &amp; Data sources'!G:G,'Country codes &amp; Data sources'!H:H,,0)</f>
        <v>Mozambique</v>
      </c>
      <c r="B632" s="85" t="s">
        <v>181</v>
      </c>
      <c r="C632" s="86">
        <v>24487617</v>
      </c>
      <c r="D632" s="85" t="s">
        <v>61</v>
      </c>
      <c r="E632" s="87">
        <v>0</v>
      </c>
      <c r="F632" s="88">
        <v>25251730.999999993</v>
      </c>
      <c r="G632" s="87">
        <v>0</v>
      </c>
      <c r="I632" s="87">
        <v>0</v>
      </c>
      <c r="K632" s="87">
        <v>0</v>
      </c>
      <c r="M632" s="87">
        <v>0</v>
      </c>
      <c r="O632" s="87">
        <v>0</v>
      </c>
      <c r="P632" s="88">
        <v>29423878.499999993</v>
      </c>
      <c r="Q632" s="87">
        <v>0</v>
      </c>
      <c r="R632" s="87">
        <f t="shared" si="162"/>
        <v>0</v>
      </c>
      <c r="T632" s="87">
        <v>0</v>
      </c>
      <c r="V632" s="87">
        <v>0</v>
      </c>
      <c r="X632" s="87">
        <v>0</v>
      </c>
      <c r="Y632" s="88">
        <v>32969518.500000007</v>
      </c>
      <c r="Z632" s="111">
        <v>856</v>
      </c>
      <c r="AA632" s="87">
        <v>0</v>
      </c>
      <c r="AB632" s="89">
        <f t="shared" si="163"/>
        <v>0</v>
      </c>
      <c r="AC632" s="89">
        <f t="shared" si="164"/>
        <v>0</v>
      </c>
      <c r="AD632" s="89">
        <f t="shared" si="165"/>
        <v>856</v>
      </c>
      <c r="AE632" s="90">
        <f t="shared" si="166"/>
        <v>0</v>
      </c>
      <c r="AF632" s="90" t="str">
        <f t="shared" si="167"/>
        <v/>
      </c>
      <c r="AG632" s="90">
        <f t="shared" si="168"/>
        <v>0</v>
      </c>
      <c r="AH632" s="90" t="str">
        <f t="shared" si="169"/>
        <v/>
      </c>
      <c r="AI632" s="90">
        <f t="shared" si="170"/>
        <v>856</v>
      </c>
      <c r="AJ632" s="90">
        <f t="shared" si="171"/>
        <v>2022</v>
      </c>
      <c r="AK632" s="90" t="str">
        <f t="shared" si="172"/>
        <v/>
      </c>
      <c r="AL632" s="91">
        <f>IF(AK632="Adjust",(_xlfn.XLOOKUP(A632,'Adj factor'!A:A,'Adj factor'!I:I,,0)*AI632),'Master DataSheet'!AI632)</f>
        <v>856</v>
      </c>
      <c r="AM632" s="60">
        <v>856</v>
      </c>
      <c r="AN632" s="92" t="str">
        <f t="shared" si="174"/>
        <v>Increasing</v>
      </c>
      <c r="AO632" s="93">
        <f>VLOOKUP(B632,'Growthrates source'!A$2:H$49,8,FALSE)</f>
        <v>5.4585812874464734E-2</v>
      </c>
      <c r="AP632" s="93">
        <f>VLOOKUP(B632,'Growthrates source'!A$2:I$49,9,FALSE)</f>
        <v>3.4026707504662967E-2</v>
      </c>
      <c r="AQ632" s="86">
        <f t="shared" si="175"/>
        <v>0</v>
      </c>
      <c r="AR632" s="86">
        <f t="shared" si="176"/>
        <v>0</v>
      </c>
      <c r="AS632" s="94">
        <f t="shared" si="177"/>
        <v>0</v>
      </c>
      <c r="AT632" s="94">
        <f t="shared" si="178"/>
        <v>0</v>
      </c>
      <c r="AU632" s="94">
        <f t="shared" si="179"/>
        <v>0.25963375837593738</v>
      </c>
    </row>
    <row r="633" spans="1:47" x14ac:dyDescent="0.3">
      <c r="A633" s="85" t="str">
        <f>_xlfn.XLOOKUP(B633,'Country codes &amp; Data sources'!G:G,'Country codes &amp; Data sources'!H:H,,0)</f>
        <v>Mozambique</v>
      </c>
      <c r="B633" s="85" t="s">
        <v>181</v>
      </c>
      <c r="C633" s="86">
        <v>24487618</v>
      </c>
      <c r="D633" s="85" t="s">
        <v>62</v>
      </c>
      <c r="E633" s="87">
        <v>85</v>
      </c>
      <c r="F633" s="88">
        <v>25251730.999999993</v>
      </c>
      <c r="G633" s="87">
        <v>0</v>
      </c>
      <c r="I633" s="87">
        <v>0</v>
      </c>
      <c r="K633" s="87">
        <v>0</v>
      </c>
      <c r="M633" s="87">
        <v>0</v>
      </c>
      <c r="O633" s="87">
        <v>0</v>
      </c>
      <c r="P633" s="88">
        <v>29423878.499999993</v>
      </c>
      <c r="Q633" s="87">
        <v>0</v>
      </c>
      <c r="R633" s="87">
        <f t="shared" si="162"/>
        <v>0</v>
      </c>
      <c r="T633" s="87">
        <v>0</v>
      </c>
      <c r="V633" s="87">
        <v>0</v>
      </c>
      <c r="X633" s="87">
        <v>0</v>
      </c>
      <c r="Y633" s="88">
        <v>32969518.500000007</v>
      </c>
      <c r="Z633" s="96">
        <v>6</v>
      </c>
      <c r="AA633" s="87">
        <v>0</v>
      </c>
      <c r="AB633" s="89">
        <f t="shared" si="163"/>
        <v>85</v>
      </c>
      <c r="AC633" s="89">
        <f t="shared" si="164"/>
        <v>0</v>
      </c>
      <c r="AD633" s="89">
        <f t="shared" si="165"/>
        <v>6</v>
      </c>
      <c r="AE633" s="90">
        <f t="shared" si="166"/>
        <v>85</v>
      </c>
      <c r="AF633" s="90">
        <f t="shared" si="167"/>
        <v>2012</v>
      </c>
      <c r="AG633" s="90">
        <f t="shared" si="168"/>
        <v>0</v>
      </c>
      <c r="AH633" s="90" t="str">
        <f t="shared" si="169"/>
        <v/>
      </c>
      <c r="AI633" s="90">
        <f t="shared" si="170"/>
        <v>6</v>
      </c>
      <c r="AJ633" s="90">
        <f t="shared" si="171"/>
        <v>2022</v>
      </c>
      <c r="AK633" s="90" t="str">
        <f t="shared" si="172"/>
        <v/>
      </c>
      <c r="AL633" s="91">
        <f>IF(AK633="Adjust",(_xlfn.XLOOKUP(A633,'Adj factor'!A:A,'Adj factor'!I:I,,0)*AI633),'Master DataSheet'!AI633)</f>
        <v>6</v>
      </c>
      <c r="AM633" s="62">
        <v>6</v>
      </c>
      <c r="AN633" s="92" t="str">
        <f t="shared" si="174"/>
        <v>Increasing</v>
      </c>
      <c r="AO633" s="93">
        <f>VLOOKUP(B633,'Growthrates source'!A$2:H$49,8,FALSE)</f>
        <v>5.4585812874464734E-2</v>
      </c>
      <c r="AP633" s="93">
        <f>VLOOKUP(B633,'Growthrates source'!A$2:I$49,9,FALSE)</f>
        <v>3.4026707504662967E-2</v>
      </c>
      <c r="AQ633" s="86">
        <f t="shared" si="175"/>
        <v>0</v>
      </c>
      <c r="AR633" s="86">
        <f t="shared" si="176"/>
        <v>0</v>
      </c>
      <c r="AS633" s="94">
        <f t="shared" si="177"/>
        <v>3.3661058721083326E-2</v>
      </c>
      <c r="AT633" s="94">
        <f t="shared" si="178"/>
        <v>0</v>
      </c>
      <c r="AU633" s="94">
        <f t="shared" si="179"/>
        <v>1.8198627923547014E-3</v>
      </c>
    </row>
    <row r="634" spans="1:47" x14ac:dyDescent="0.3">
      <c r="A634" s="85" t="str">
        <f>_xlfn.XLOOKUP(B634,'Country codes &amp; Data sources'!G:G,'Country codes &amp; Data sources'!H:H,,0)</f>
        <v>Mozambique</v>
      </c>
      <c r="B634" s="85" t="s">
        <v>181</v>
      </c>
      <c r="C634" s="86">
        <v>24487619</v>
      </c>
      <c r="D634" s="85" t="s">
        <v>203</v>
      </c>
      <c r="E634" s="87">
        <v>0</v>
      </c>
      <c r="F634" s="88">
        <v>25251730.999999993</v>
      </c>
      <c r="G634" s="87">
        <v>0</v>
      </c>
      <c r="I634" s="87">
        <v>0</v>
      </c>
      <c r="K634" s="87">
        <v>0</v>
      </c>
      <c r="M634" s="87">
        <v>0</v>
      </c>
      <c r="O634" s="87">
        <v>0</v>
      </c>
      <c r="P634" s="88">
        <v>29423878.499999993</v>
      </c>
      <c r="Q634" s="87">
        <v>0</v>
      </c>
      <c r="R634" s="87">
        <f t="shared" si="162"/>
        <v>0</v>
      </c>
      <c r="T634" s="87">
        <v>0</v>
      </c>
      <c r="V634" s="87">
        <v>0</v>
      </c>
      <c r="X634" s="87">
        <v>0</v>
      </c>
      <c r="Y634" s="88">
        <v>32969518.500000007</v>
      </c>
      <c r="Z634" s="87">
        <v>0</v>
      </c>
      <c r="AA634" s="87">
        <v>0</v>
      </c>
      <c r="AB634" s="89">
        <f t="shared" si="163"/>
        <v>0</v>
      </c>
      <c r="AC634" s="89">
        <f t="shared" si="164"/>
        <v>0</v>
      </c>
      <c r="AD634" s="89">
        <f t="shared" si="165"/>
        <v>0</v>
      </c>
      <c r="AE634" s="90">
        <f t="shared" si="166"/>
        <v>0</v>
      </c>
      <c r="AF634" s="90" t="str">
        <f t="shared" si="167"/>
        <v/>
      </c>
      <c r="AG634" s="90">
        <f t="shared" si="168"/>
        <v>0</v>
      </c>
      <c r="AH634" s="90" t="str">
        <f t="shared" si="169"/>
        <v/>
      </c>
      <c r="AI634" s="90">
        <f t="shared" si="170"/>
        <v>0</v>
      </c>
      <c r="AJ634" s="90" t="str">
        <f t="shared" si="171"/>
        <v/>
      </c>
      <c r="AK634" s="90" t="str">
        <f t="shared" si="172"/>
        <v/>
      </c>
      <c r="AL634" s="91">
        <f>IF(AK634="Adjust",(_xlfn.XLOOKUP(A634,'Adj factor'!A:A,'Adj factor'!I:I,,0)*AI634),'Master DataSheet'!AI634)</f>
        <v>0</v>
      </c>
      <c r="AM634" s="91">
        <f t="shared" si="173"/>
        <v>0</v>
      </c>
      <c r="AN634" s="92" t="str">
        <f t="shared" si="174"/>
        <v>No change</v>
      </c>
      <c r="AO634" s="93">
        <f>VLOOKUP(B634,'Growthrates source'!A$2:H$49,8,FALSE)</f>
        <v>5.4585812874464734E-2</v>
      </c>
      <c r="AP634" s="93">
        <f>VLOOKUP(B634,'Growthrates source'!A$2:I$49,9,FALSE)</f>
        <v>3.4026707504662967E-2</v>
      </c>
      <c r="AQ634" s="86">
        <f t="shared" si="175"/>
        <v>0</v>
      </c>
      <c r="AR634" s="86">
        <f t="shared" si="176"/>
        <v>0</v>
      </c>
      <c r="AS634" s="94">
        <f t="shared" si="177"/>
        <v>0</v>
      </c>
      <c r="AT634" s="94">
        <f t="shared" si="178"/>
        <v>0</v>
      </c>
      <c r="AU634" s="94">
        <f t="shared" si="179"/>
        <v>0</v>
      </c>
    </row>
    <row r="635" spans="1:47" x14ac:dyDescent="0.3">
      <c r="A635" s="85" t="str">
        <f>_xlfn.XLOOKUP(B635,'Country codes &amp; Data sources'!G:G,'Country codes &amp; Data sources'!H:H,,0)</f>
        <v>Mozambique</v>
      </c>
      <c r="B635" s="85" t="s">
        <v>181</v>
      </c>
      <c r="C635" s="86">
        <v>24487620</v>
      </c>
      <c r="D635" s="85" t="s">
        <v>204</v>
      </c>
      <c r="E635" s="87">
        <v>0</v>
      </c>
      <c r="F635" s="88">
        <v>25251730.999999993</v>
      </c>
      <c r="G635" s="87">
        <v>0</v>
      </c>
      <c r="I635" s="87">
        <v>0</v>
      </c>
      <c r="K635" s="87">
        <v>0</v>
      </c>
      <c r="M635" s="87">
        <v>0</v>
      </c>
      <c r="O635" s="87">
        <v>2466</v>
      </c>
      <c r="P635" s="88">
        <v>29423878.499999993</v>
      </c>
      <c r="Q635" s="87">
        <v>0</v>
      </c>
      <c r="R635" s="87">
        <f t="shared" si="162"/>
        <v>2466</v>
      </c>
      <c r="T635" s="87">
        <v>2789</v>
      </c>
      <c r="V635" s="87">
        <v>2954</v>
      </c>
      <c r="X635" s="87">
        <v>3318</v>
      </c>
      <c r="Y635" s="88">
        <v>32969518.500000007</v>
      </c>
      <c r="Z635" s="87">
        <v>3337</v>
      </c>
      <c r="AA635" s="87">
        <v>2466</v>
      </c>
      <c r="AB635" s="89">
        <f t="shared" si="163"/>
        <v>0</v>
      </c>
      <c r="AC635" s="89">
        <f t="shared" si="164"/>
        <v>2789</v>
      </c>
      <c r="AD635" s="89">
        <f t="shared" si="165"/>
        <v>3337</v>
      </c>
      <c r="AE635" s="90">
        <f t="shared" si="166"/>
        <v>0</v>
      </c>
      <c r="AF635" s="90" t="str">
        <f t="shared" si="167"/>
        <v/>
      </c>
      <c r="AG635" s="90">
        <f t="shared" si="168"/>
        <v>2466</v>
      </c>
      <c r="AH635" s="90">
        <f t="shared" si="169"/>
        <v>2017</v>
      </c>
      <c r="AI635" s="90">
        <f t="shared" si="170"/>
        <v>3337</v>
      </c>
      <c r="AJ635" s="90">
        <f t="shared" si="171"/>
        <v>2022</v>
      </c>
      <c r="AK635" s="90" t="str">
        <f t="shared" si="172"/>
        <v/>
      </c>
      <c r="AL635" s="91">
        <f>IF(AK635="Adjust",(_xlfn.XLOOKUP(A635,'Adj factor'!A:A,'Adj factor'!I:I,,0)*AI635),'Master DataSheet'!AI635)</f>
        <v>3337</v>
      </c>
      <c r="AM635" s="91">
        <f t="shared" si="173"/>
        <v>3337</v>
      </c>
      <c r="AN635" s="92" t="str">
        <f t="shared" si="174"/>
        <v>Increasing</v>
      </c>
      <c r="AO635" s="93">
        <f>VLOOKUP(B635,'Growthrates source'!A$2:H$49,8,FALSE)</f>
        <v>5.4585812874464734E-2</v>
      </c>
      <c r="AP635" s="93">
        <f>VLOOKUP(B635,'Growthrates source'!A$2:I$49,9,FALSE)</f>
        <v>3.4026707504662967E-2</v>
      </c>
      <c r="AQ635" s="86">
        <f t="shared" si="175"/>
        <v>1876.9879548894114</v>
      </c>
      <c r="AR635" s="86">
        <f t="shared" si="176"/>
        <v>2731.0264492201272</v>
      </c>
      <c r="AS635" s="94">
        <f t="shared" si="177"/>
        <v>0</v>
      </c>
      <c r="AT635" s="94">
        <f t="shared" si="178"/>
        <v>0.83809481472675351</v>
      </c>
      <c r="AU635" s="94">
        <f t="shared" si="179"/>
        <v>1.0121470230146064</v>
      </c>
    </row>
    <row r="636" spans="1:47" x14ac:dyDescent="0.3">
      <c r="A636" s="85" t="str">
        <f>_xlfn.XLOOKUP(B636,'Country codes &amp; Data sources'!G:G,'Country codes &amp; Data sources'!H:H,,0)</f>
        <v>Mozambique</v>
      </c>
      <c r="B636" s="85" t="s">
        <v>181</v>
      </c>
      <c r="C636" s="86">
        <v>24487621</v>
      </c>
      <c r="D636" s="85" t="s">
        <v>205</v>
      </c>
      <c r="E636" s="87">
        <v>33</v>
      </c>
      <c r="F636" s="88">
        <v>25251730.999999993</v>
      </c>
      <c r="G636" s="87">
        <v>44</v>
      </c>
      <c r="I636" s="87">
        <v>0</v>
      </c>
      <c r="K636" s="87">
        <v>212</v>
      </c>
      <c r="M636" s="87">
        <v>0</v>
      </c>
      <c r="O636" s="87">
        <v>29</v>
      </c>
      <c r="P636" s="88">
        <v>29423878.499999993</v>
      </c>
      <c r="Q636" s="87">
        <v>304</v>
      </c>
      <c r="R636" s="87">
        <f t="shared" si="162"/>
        <v>304</v>
      </c>
      <c r="T636" s="87">
        <v>54</v>
      </c>
      <c r="V636" s="87">
        <v>0</v>
      </c>
      <c r="X636" s="87">
        <v>0</v>
      </c>
      <c r="Y636" s="88">
        <v>32969518.500000007</v>
      </c>
      <c r="Z636" s="87">
        <v>72</v>
      </c>
      <c r="AA636" s="87">
        <v>29</v>
      </c>
      <c r="AB636" s="89">
        <f t="shared" si="163"/>
        <v>212</v>
      </c>
      <c r="AC636" s="89">
        <f t="shared" si="164"/>
        <v>304</v>
      </c>
      <c r="AD636" s="89">
        <f t="shared" si="165"/>
        <v>72</v>
      </c>
      <c r="AE636" s="90">
        <f t="shared" si="166"/>
        <v>44</v>
      </c>
      <c r="AF636" s="90">
        <f t="shared" si="167"/>
        <v>2013</v>
      </c>
      <c r="AG636" s="90">
        <f t="shared" si="168"/>
        <v>304</v>
      </c>
      <c r="AH636" s="90">
        <f t="shared" si="169"/>
        <v>2018</v>
      </c>
      <c r="AI636" s="90">
        <f t="shared" si="170"/>
        <v>72</v>
      </c>
      <c r="AJ636" s="90">
        <f t="shared" si="171"/>
        <v>2022</v>
      </c>
      <c r="AK636" s="90" t="str">
        <f t="shared" si="172"/>
        <v>Adjust</v>
      </c>
      <c r="AL636" s="91">
        <f>IF(AK636="Adjust",(_xlfn.XLOOKUP(A636,'Adj factor'!A:A,'Adj factor'!I:I,,0)*AI636),'Master DataSheet'!AI636)</f>
        <v>82.749502391069896</v>
      </c>
      <c r="AM636" s="91">
        <f t="shared" si="173"/>
        <v>304</v>
      </c>
      <c r="AN636" s="92" t="str">
        <f t="shared" si="174"/>
        <v>Decreasing</v>
      </c>
      <c r="AO636" s="93">
        <f>VLOOKUP(B636,'Growthrates source'!A$2:H$49,8,FALSE)</f>
        <v>5.4585812874464734E-2</v>
      </c>
      <c r="AP636" s="93">
        <f>VLOOKUP(B636,'Growthrates source'!A$2:I$49,9,FALSE)</f>
        <v>3.4026707504662967E-2</v>
      </c>
      <c r="AQ636" s="86">
        <f t="shared" si="175"/>
        <v>22.073256566014976</v>
      </c>
      <c r="AR636" s="86">
        <f t="shared" si="176"/>
        <v>32.116693847276437</v>
      </c>
      <c r="AS636" s="94">
        <f t="shared" si="177"/>
        <v>1.74245480438549E-2</v>
      </c>
      <c r="AT636" s="94">
        <f t="shared" si="178"/>
        <v>0.10331744674652599</v>
      </c>
      <c r="AU636" s="94">
        <f t="shared" si="179"/>
        <v>9.2206381479304877E-2</v>
      </c>
    </row>
    <row r="637" spans="1:47" ht="14.5" x14ac:dyDescent="0.35">
      <c r="A637" s="85" t="str">
        <f>_xlfn.XLOOKUP(B637,'Country codes &amp; Data sources'!G:G,'Country codes &amp; Data sources'!H:H,,0)</f>
        <v>Mozambique</v>
      </c>
      <c r="B637" s="85" t="s">
        <v>181</v>
      </c>
      <c r="C637" s="86">
        <v>24487622</v>
      </c>
      <c r="D637" s="85" t="s">
        <v>133</v>
      </c>
      <c r="E637" s="87">
        <v>0</v>
      </c>
      <c r="F637" s="88">
        <v>25251730.999999993</v>
      </c>
      <c r="G637" s="60">
        <v>1908</v>
      </c>
      <c r="I637" s="87">
        <v>0</v>
      </c>
      <c r="K637" s="87">
        <v>0</v>
      </c>
      <c r="M637" s="87">
        <v>0</v>
      </c>
      <c r="O637" s="87">
        <v>0</v>
      </c>
      <c r="P637" s="88">
        <v>29423878.499999993</v>
      </c>
      <c r="Q637" s="87">
        <v>0</v>
      </c>
      <c r="R637" s="87">
        <f t="shared" si="162"/>
        <v>5726</v>
      </c>
      <c r="T637" s="87">
        <v>2055</v>
      </c>
      <c r="V637" s="87">
        <v>2041</v>
      </c>
      <c r="X637" s="87">
        <v>1912</v>
      </c>
      <c r="Y637" s="88">
        <v>32969518.500000007</v>
      </c>
      <c r="Z637" s="111">
        <v>1908</v>
      </c>
      <c r="AA637" s="87">
        <v>5726</v>
      </c>
      <c r="AB637" s="89">
        <f t="shared" si="163"/>
        <v>1908</v>
      </c>
      <c r="AC637" s="89">
        <f t="shared" si="164"/>
        <v>2055</v>
      </c>
      <c r="AD637" s="89">
        <f t="shared" si="165"/>
        <v>2041</v>
      </c>
      <c r="AE637" s="90">
        <f t="shared" si="166"/>
        <v>1908</v>
      </c>
      <c r="AF637" s="90">
        <v>2013</v>
      </c>
      <c r="AG637" s="90">
        <f t="shared" si="168"/>
        <v>5726</v>
      </c>
      <c r="AH637" s="90" t="str">
        <f t="shared" si="169"/>
        <v>2018 (triag)</v>
      </c>
      <c r="AI637" s="90">
        <f t="shared" si="170"/>
        <v>1908</v>
      </c>
      <c r="AJ637" s="90">
        <f t="shared" si="171"/>
        <v>2022</v>
      </c>
      <c r="AK637" s="90" t="str">
        <f t="shared" si="172"/>
        <v>Adjust</v>
      </c>
      <c r="AL637" s="91">
        <f>IF(AK637="Adjust",(_xlfn.XLOOKUP(A637,'Adj factor'!A:A,'Adj factor'!I:I,,0)*AI637),'Master DataSheet'!AI637)</f>
        <v>2192.8618133633522</v>
      </c>
      <c r="AM637" s="91">
        <f t="shared" si="173"/>
        <v>5726</v>
      </c>
      <c r="AN637" s="92" t="str">
        <f t="shared" si="174"/>
        <v>Decreasing</v>
      </c>
      <c r="AO637" s="93">
        <f>VLOOKUP(B637,'Growthrates source'!A$2:H$49,8,FALSE)</f>
        <v>5.4585812874464734E-2</v>
      </c>
      <c r="AP637" s="93">
        <f>VLOOKUP(B637,'Growthrates source'!A$2:I$49,9,FALSE)</f>
        <v>3.4026707504662967E-2</v>
      </c>
      <c r="AQ637" s="86">
        <f t="shared" si="175"/>
        <v>4358.32645162075</v>
      </c>
      <c r="AR637" s="86">
        <f t="shared" si="176"/>
        <v>6341.3858265346507</v>
      </c>
      <c r="AS637" s="94">
        <f t="shared" si="177"/>
        <v>0.75559176517443516</v>
      </c>
      <c r="AT637" s="94">
        <f t="shared" si="178"/>
        <v>1.9460384870743677</v>
      </c>
      <c r="AU637" s="94">
        <f t="shared" si="179"/>
        <v>1.7367557248371701</v>
      </c>
    </row>
    <row r="638" spans="1:47" x14ac:dyDescent="0.3">
      <c r="A638" s="85" t="str">
        <f>_xlfn.XLOOKUP(B638,'Country codes &amp; Data sources'!G:G,'Country codes &amp; Data sources'!H:H,,0)</f>
        <v>Mozambique</v>
      </c>
      <c r="B638" s="85" t="s">
        <v>181</v>
      </c>
      <c r="C638" s="86">
        <v>24487623</v>
      </c>
      <c r="D638" s="85" t="s">
        <v>206</v>
      </c>
      <c r="E638" s="87">
        <v>0</v>
      </c>
      <c r="F638" s="88">
        <v>25251730.999999993</v>
      </c>
      <c r="G638" s="87">
        <v>0</v>
      </c>
      <c r="I638" s="87">
        <v>0</v>
      </c>
      <c r="K638" s="87">
        <v>0</v>
      </c>
      <c r="M638" s="87">
        <v>0</v>
      </c>
      <c r="O638" s="87">
        <v>0</v>
      </c>
      <c r="P638" s="88">
        <v>29423878.499999993</v>
      </c>
      <c r="Q638" s="87">
        <v>0</v>
      </c>
      <c r="R638" s="87">
        <f t="shared" si="162"/>
        <v>0</v>
      </c>
      <c r="T638" s="87">
        <v>0</v>
      </c>
      <c r="V638" s="87">
        <v>0</v>
      </c>
      <c r="X638" s="87">
        <v>0</v>
      </c>
      <c r="Y638" s="88">
        <v>32969518.500000007</v>
      </c>
      <c r="Z638" s="87">
        <v>0</v>
      </c>
      <c r="AA638" s="87">
        <v>0</v>
      </c>
      <c r="AB638" s="89">
        <f t="shared" si="163"/>
        <v>0</v>
      </c>
      <c r="AC638" s="89">
        <f t="shared" si="164"/>
        <v>0</v>
      </c>
      <c r="AD638" s="89">
        <f t="shared" si="165"/>
        <v>0</v>
      </c>
      <c r="AE638" s="90">
        <f t="shared" si="166"/>
        <v>0</v>
      </c>
      <c r="AF638" s="90" t="str">
        <f t="shared" si="167"/>
        <v/>
      </c>
      <c r="AG638" s="90">
        <f t="shared" si="168"/>
        <v>0</v>
      </c>
      <c r="AH638" s="90" t="str">
        <f t="shared" si="169"/>
        <v/>
      </c>
      <c r="AI638" s="90">
        <f t="shared" si="170"/>
        <v>0</v>
      </c>
      <c r="AJ638" s="90" t="str">
        <f t="shared" si="171"/>
        <v/>
      </c>
      <c r="AK638" s="90" t="str">
        <f t="shared" si="172"/>
        <v/>
      </c>
      <c r="AL638" s="91">
        <f>IF(AK638="Adjust",(_xlfn.XLOOKUP(A638,'Adj factor'!A:A,'Adj factor'!I:I,,0)*AI638),'Master DataSheet'!AI638)</f>
        <v>0</v>
      </c>
      <c r="AM638" s="91">
        <f t="shared" si="173"/>
        <v>0</v>
      </c>
      <c r="AN638" s="92" t="str">
        <f t="shared" si="174"/>
        <v>No change</v>
      </c>
      <c r="AO638" s="93">
        <f>VLOOKUP(B638,'Growthrates source'!A$2:H$49,8,FALSE)</f>
        <v>5.4585812874464734E-2</v>
      </c>
      <c r="AP638" s="93">
        <f>VLOOKUP(B638,'Growthrates source'!A$2:I$49,9,FALSE)</f>
        <v>3.4026707504662967E-2</v>
      </c>
      <c r="AQ638" s="86">
        <f t="shared" si="175"/>
        <v>0</v>
      </c>
      <c r="AR638" s="86">
        <f t="shared" si="176"/>
        <v>0</v>
      </c>
      <c r="AS638" s="94">
        <f t="shared" si="177"/>
        <v>0</v>
      </c>
      <c r="AT638" s="94">
        <f t="shared" si="178"/>
        <v>0</v>
      </c>
      <c r="AU638" s="94">
        <f t="shared" si="179"/>
        <v>0</v>
      </c>
    </row>
    <row r="639" spans="1:47" x14ac:dyDescent="0.3">
      <c r="A639" s="85" t="str">
        <f>_xlfn.XLOOKUP(B639,'Country codes &amp; Data sources'!G:G,'Country codes &amp; Data sources'!H:H,,0)</f>
        <v>Mozambique</v>
      </c>
      <c r="B639" s="85" t="s">
        <v>181</v>
      </c>
      <c r="C639" s="86">
        <v>24487624</v>
      </c>
      <c r="D639" s="85" t="s">
        <v>136</v>
      </c>
      <c r="E639" s="87">
        <v>267</v>
      </c>
      <c r="F639" s="88">
        <v>25251730.999999993</v>
      </c>
      <c r="G639" s="87">
        <v>238</v>
      </c>
      <c r="I639" s="87">
        <v>0</v>
      </c>
      <c r="K639" s="87">
        <v>0</v>
      </c>
      <c r="M639" s="87">
        <v>0</v>
      </c>
      <c r="O639" s="87">
        <v>290</v>
      </c>
      <c r="P639" s="88">
        <v>29423878.499999993</v>
      </c>
      <c r="Q639" s="87">
        <v>0</v>
      </c>
      <c r="R639" s="87">
        <f t="shared" si="162"/>
        <v>206</v>
      </c>
      <c r="T639" s="87">
        <v>315</v>
      </c>
      <c r="V639" s="87">
        <v>301</v>
      </c>
      <c r="X639" s="87">
        <v>264</v>
      </c>
      <c r="Y639" s="88">
        <v>32969518.500000007</v>
      </c>
      <c r="Z639" s="87">
        <v>276</v>
      </c>
      <c r="AA639" s="87">
        <v>206</v>
      </c>
      <c r="AB639" s="89">
        <f t="shared" si="163"/>
        <v>267</v>
      </c>
      <c r="AC639" s="89">
        <f t="shared" si="164"/>
        <v>315</v>
      </c>
      <c r="AD639" s="89">
        <f t="shared" si="165"/>
        <v>301</v>
      </c>
      <c r="AE639" s="90">
        <f t="shared" si="166"/>
        <v>238</v>
      </c>
      <c r="AF639" s="90">
        <f t="shared" si="167"/>
        <v>2013</v>
      </c>
      <c r="AG639" s="90">
        <f t="shared" si="168"/>
        <v>206</v>
      </c>
      <c r="AH639" s="90" t="str">
        <f t="shared" si="169"/>
        <v>2018 (triag)</v>
      </c>
      <c r="AI639" s="90">
        <f t="shared" si="170"/>
        <v>276</v>
      </c>
      <c r="AJ639" s="90">
        <f t="shared" si="171"/>
        <v>2022</v>
      </c>
      <c r="AK639" s="90" t="str">
        <f t="shared" si="172"/>
        <v/>
      </c>
      <c r="AL639" s="91">
        <f>IF(AK639="Adjust",(_xlfn.XLOOKUP(A639,'Adj factor'!A:A,'Adj factor'!I:I,,0)*AI639),'Master DataSheet'!AI639)</f>
        <v>276</v>
      </c>
      <c r="AM639" s="91">
        <f t="shared" si="173"/>
        <v>276</v>
      </c>
      <c r="AN639" s="92" t="str">
        <f t="shared" si="174"/>
        <v>Increasing</v>
      </c>
      <c r="AO639" s="93">
        <f>VLOOKUP(B639,'Growthrates source'!A$2:H$49,8,FALSE)</f>
        <v>5.4585812874464734E-2</v>
      </c>
      <c r="AP639" s="93">
        <f>VLOOKUP(B639,'Growthrates source'!A$2:I$49,9,FALSE)</f>
        <v>3.4026707504662967E-2</v>
      </c>
      <c r="AQ639" s="86">
        <f t="shared" si="175"/>
        <v>156.79623629652016</v>
      </c>
      <c r="AR639" s="86">
        <f t="shared" si="176"/>
        <v>228.13927353582571</v>
      </c>
      <c r="AS639" s="94">
        <f t="shared" si="177"/>
        <v>9.4250964419033315E-2</v>
      </c>
      <c r="AT639" s="94">
        <f t="shared" si="178"/>
        <v>7.0011164571659054E-2</v>
      </c>
      <c r="AU639" s="94">
        <f t="shared" si="179"/>
        <v>8.3713688448316267E-2</v>
      </c>
    </row>
    <row r="640" spans="1:47" x14ac:dyDescent="0.3">
      <c r="A640" s="85" t="str">
        <f>_xlfn.XLOOKUP(B640,'Country codes &amp; Data sources'!G:G,'Country codes &amp; Data sources'!H:H,,0)</f>
        <v>Mozambique</v>
      </c>
      <c r="B640" s="85" t="s">
        <v>181</v>
      </c>
      <c r="C640" s="86">
        <v>24487625</v>
      </c>
      <c r="D640" s="85" t="s">
        <v>207</v>
      </c>
      <c r="E640" s="87">
        <v>0</v>
      </c>
      <c r="F640" s="88">
        <v>25251730.999999993</v>
      </c>
      <c r="G640" s="87">
        <v>0</v>
      </c>
      <c r="I640" s="87">
        <v>0</v>
      </c>
      <c r="K640" s="87">
        <v>0</v>
      </c>
      <c r="M640" s="87">
        <v>0</v>
      </c>
      <c r="O640" s="87">
        <v>0</v>
      </c>
      <c r="P640" s="88">
        <v>29423878.499999993</v>
      </c>
      <c r="Q640" s="87">
        <v>0</v>
      </c>
      <c r="R640" s="87">
        <f t="shared" si="162"/>
        <v>59</v>
      </c>
      <c r="T640" s="87">
        <v>0</v>
      </c>
      <c r="V640" s="87">
        <v>0</v>
      </c>
      <c r="X640" s="87">
        <v>0</v>
      </c>
      <c r="Y640" s="88">
        <v>32969518.500000007</v>
      </c>
      <c r="Z640" s="87">
        <v>172</v>
      </c>
      <c r="AA640" s="87">
        <v>59</v>
      </c>
      <c r="AB640" s="89">
        <f t="shared" si="163"/>
        <v>0</v>
      </c>
      <c r="AC640" s="89">
        <f t="shared" si="164"/>
        <v>0</v>
      </c>
      <c r="AD640" s="89">
        <f t="shared" si="165"/>
        <v>172</v>
      </c>
      <c r="AE640" s="90">
        <f t="shared" si="166"/>
        <v>0</v>
      </c>
      <c r="AF640" s="90" t="str">
        <f t="shared" si="167"/>
        <v/>
      </c>
      <c r="AG640" s="90">
        <f t="shared" si="168"/>
        <v>59</v>
      </c>
      <c r="AH640" s="90" t="str">
        <f t="shared" si="169"/>
        <v>2018 (triag)</v>
      </c>
      <c r="AI640" s="90">
        <f t="shared" si="170"/>
        <v>172</v>
      </c>
      <c r="AJ640" s="90">
        <f t="shared" si="171"/>
        <v>2022</v>
      </c>
      <c r="AK640" s="90" t="str">
        <f t="shared" si="172"/>
        <v/>
      </c>
      <c r="AL640" s="91">
        <f>IF(AK640="Adjust",(_xlfn.XLOOKUP(A640,'Adj factor'!A:A,'Adj factor'!I:I,,0)*AI640),'Master DataSheet'!AI640)</f>
        <v>172</v>
      </c>
      <c r="AM640" s="91">
        <f t="shared" si="173"/>
        <v>172</v>
      </c>
      <c r="AN640" s="92" t="str">
        <f t="shared" si="174"/>
        <v>Increasing</v>
      </c>
      <c r="AO640" s="93">
        <f>VLOOKUP(B640,'Growthrates source'!A$2:H$49,8,FALSE)</f>
        <v>5.4585812874464734E-2</v>
      </c>
      <c r="AP640" s="93">
        <f>VLOOKUP(B640,'Growthrates source'!A$2:I$49,9,FALSE)</f>
        <v>3.4026707504662967E-2</v>
      </c>
      <c r="AQ640" s="86">
        <f t="shared" si="175"/>
        <v>44.907659910168398</v>
      </c>
      <c r="AR640" s="86">
        <f t="shared" si="176"/>
        <v>65.34085989618309</v>
      </c>
      <c r="AS640" s="94">
        <f t="shared" si="177"/>
        <v>0</v>
      </c>
      <c r="AT640" s="94">
        <f t="shared" si="178"/>
        <v>2.0051741309358662E-2</v>
      </c>
      <c r="AU640" s="94">
        <f t="shared" si="179"/>
        <v>5.2169400047501438E-2</v>
      </c>
    </row>
    <row r="641" spans="1:47" x14ac:dyDescent="0.3">
      <c r="A641" s="85" t="str">
        <f>_xlfn.XLOOKUP(B641,'Country codes &amp; Data sources'!G:G,'Country codes &amp; Data sources'!H:H,,0)</f>
        <v>Mozambique</v>
      </c>
      <c r="B641" s="85" t="s">
        <v>181</v>
      </c>
      <c r="C641" s="86">
        <v>24487626</v>
      </c>
      <c r="D641" s="85" t="s">
        <v>141</v>
      </c>
      <c r="E641" s="87">
        <v>76</v>
      </c>
      <c r="F641" s="88">
        <v>25251730.999999993</v>
      </c>
      <c r="G641" s="87">
        <v>115</v>
      </c>
      <c r="I641" s="87">
        <v>0</v>
      </c>
      <c r="K641" s="87">
        <v>0</v>
      </c>
      <c r="M641" s="87">
        <v>0</v>
      </c>
      <c r="O641" s="87">
        <v>147</v>
      </c>
      <c r="P641" s="88">
        <v>29423878.499999993</v>
      </c>
      <c r="Q641" s="87">
        <v>150</v>
      </c>
      <c r="R641" s="87">
        <f t="shared" si="162"/>
        <v>150</v>
      </c>
      <c r="T641" s="87">
        <v>165</v>
      </c>
      <c r="V641" s="87">
        <v>156</v>
      </c>
      <c r="X641" s="87">
        <v>151</v>
      </c>
      <c r="Y641" s="88">
        <v>32969518.500000007</v>
      </c>
      <c r="Z641" s="87">
        <v>154</v>
      </c>
      <c r="AA641" s="87">
        <v>147</v>
      </c>
      <c r="AB641" s="89">
        <f t="shared" si="163"/>
        <v>115</v>
      </c>
      <c r="AC641" s="89">
        <f t="shared" si="164"/>
        <v>165</v>
      </c>
      <c r="AD641" s="89">
        <f t="shared" si="165"/>
        <v>156</v>
      </c>
      <c r="AE641" s="90">
        <f t="shared" si="166"/>
        <v>115</v>
      </c>
      <c r="AF641" s="90">
        <f t="shared" si="167"/>
        <v>2013</v>
      </c>
      <c r="AG641" s="90">
        <f t="shared" si="168"/>
        <v>150</v>
      </c>
      <c r="AH641" s="90">
        <f t="shared" si="169"/>
        <v>2018</v>
      </c>
      <c r="AI641" s="90">
        <f t="shared" si="170"/>
        <v>154</v>
      </c>
      <c r="AJ641" s="90">
        <f t="shared" si="171"/>
        <v>2022</v>
      </c>
      <c r="AK641" s="90" t="str">
        <f t="shared" si="172"/>
        <v/>
      </c>
      <c r="AL641" s="91">
        <f>IF(AK641="Adjust",(_xlfn.XLOOKUP(A641,'Adj factor'!A:A,'Adj factor'!I:I,,0)*AI641),'Master DataSheet'!AI641)</f>
        <v>154</v>
      </c>
      <c r="AM641" s="91">
        <f t="shared" si="173"/>
        <v>154</v>
      </c>
      <c r="AN641" s="92" t="str">
        <f t="shared" si="174"/>
        <v>Increasing</v>
      </c>
      <c r="AO641" s="93">
        <f>VLOOKUP(B641,'Growthrates source'!A$2:H$49,8,FALSE)</f>
        <v>5.4585812874464734E-2</v>
      </c>
      <c r="AP641" s="93">
        <f>VLOOKUP(B641,'Growthrates source'!A$2:I$49,9,FALSE)</f>
        <v>3.4026707504662967E-2</v>
      </c>
      <c r="AQ641" s="86">
        <f t="shared" si="175"/>
        <v>111.88857638635177</v>
      </c>
      <c r="AR641" s="86">
        <f t="shared" si="176"/>
        <v>162.7984136396426</v>
      </c>
      <c r="AS641" s="94">
        <f t="shared" si="177"/>
        <v>4.5541432387348035E-2</v>
      </c>
      <c r="AT641" s="94">
        <f t="shared" si="178"/>
        <v>5.0979003328877955E-2</v>
      </c>
      <c r="AU641" s="94">
        <f t="shared" si="179"/>
        <v>4.6709811670437335E-2</v>
      </c>
    </row>
    <row r="642" spans="1:47" x14ac:dyDescent="0.3">
      <c r="A642" s="85" t="str">
        <f>_xlfn.XLOOKUP(B642,'Country codes &amp; Data sources'!G:G,'Country codes &amp; Data sources'!H:H,,0)</f>
        <v>Mozambique</v>
      </c>
      <c r="B642" s="85" t="s">
        <v>181</v>
      </c>
      <c r="C642" s="86">
        <v>24487627</v>
      </c>
      <c r="D642" s="85" t="s">
        <v>208</v>
      </c>
      <c r="E642" s="87">
        <v>0</v>
      </c>
      <c r="F642" s="88">
        <v>25251730.999999993</v>
      </c>
      <c r="G642" s="87">
        <v>0</v>
      </c>
      <c r="I642" s="87">
        <v>0</v>
      </c>
      <c r="K642" s="87">
        <v>0</v>
      </c>
      <c r="M642" s="87">
        <v>0</v>
      </c>
      <c r="O642" s="87">
        <v>34992</v>
      </c>
      <c r="P642" s="88">
        <v>29423878.499999993</v>
      </c>
      <c r="Q642" s="87">
        <v>0</v>
      </c>
      <c r="R642" s="87">
        <f t="shared" si="162"/>
        <v>26735</v>
      </c>
      <c r="T642" s="87">
        <v>399</v>
      </c>
      <c r="V642" s="87">
        <v>8308</v>
      </c>
      <c r="X642" s="87">
        <v>3530</v>
      </c>
      <c r="Y642" s="88">
        <v>32969518.500000007</v>
      </c>
      <c r="Z642" s="87">
        <v>696</v>
      </c>
      <c r="AA642" s="87">
        <v>26735</v>
      </c>
      <c r="AB642" s="89">
        <f t="shared" si="163"/>
        <v>0</v>
      </c>
      <c r="AC642" s="89">
        <f t="shared" si="164"/>
        <v>34992</v>
      </c>
      <c r="AD642" s="89">
        <f t="shared" si="165"/>
        <v>8308</v>
      </c>
      <c r="AE642" s="90">
        <f t="shared" si="166"/>
        <v>0</v>
      </c>
      <c r="AF642" s="90" t="str">
        <f t="shared" si="167"/>
        <v/>
      </c>
      <c r="AG642" s="90">
        <f t="shared" si="168"/>
        <v>26735</v>
      </c>
      <c r="AH642" s="90" t="str">
        <f t="shared" si="169"/>
        <v>2018 (triag)</v>
      </c>
      <c r="AI642" s="90">
        <f t="shared" si="170"/>
        <v>696</v>
      </c>
      <c r="AJ642" s="90">
        <f t="shared" si="171"/>
        <v>2022</v>
      </c>
      <c r="AK642" s="90" t="str">
        <f t="shared" si="172"/>
        <v>Adjust</v>
      </c>
      <c r="AL642" s="91">
        <f>IF(AK642="Adjust",(_xlfn.XLOOKUP(A642,'Adj factor'!A:A,'Adj factor'!I:I,,0)*AI642),'Master DataSheet'!AI642)</f>
        <v>799.91185644700897</v>
      </c>
      <c r="AM642" s="91">
        <f t="shared" si="173"/>
        <v>26735</v>
      </c>
      <c r="AN642" s="92" t="str">
        <f t="shared" si="174"/>
        <v>Decreasing</v>
      </c>
      <c r="AO642" s="93">
        <f>VLOOKUP(B642,'Growthrates source'!A$2:H$49,8,FALSE)</f>
        <v>5.4585812874464734E-2</v>
      </c>
      <c r="AP642" s="93">
        <f>VLOOKUP(B642,'Growthrates source'!A$2:I$49,9,FALSE)</f>
        <v>3.4026707504662967E-2</v>
      </c>
      <c r="AQ642" s="86">
        <f t="shared" si="175"/>
        <v>20349.259113531392</v>
      </c>
      <c r="AR642" s="86">
        <f t="shared" si="176"/>
        <v>29608.269310583983</v>
      </c>
      <c r="AS642" s="94">
        <f t="shared" si="177"/>
        <v>0</v>
      </c>
      <c r="AT642" s="94">
        <f t="shared" si="178"/>
        <v>9.0861576933170127</v>
      </c>
      <c r="AU642" s="94">
        <f t="shared" si="179"/>
        <v>8.1090052922671578</v>
      </c>
    </row>
    <row r="643" spans="1:47" x14ac:dyDescent="0.3">
      <c r="A643" s="85" t="str">
        <f>_xlfn.XLOOKUP(B643,'Country codes &amp; Data sources'!G:G,'Country codes &amp; Data sources'!H:H,,0)</f>
        <v>Mozambique</v>
      </c>
      <c r="B643" s="85" t="s">
        <v>181</v>
      </c>
      <c r="C643" s="86">
        <v>24487628</v>
      </c>
      <c r="D643" s="85" t="s">
        <v>209</v>
      </c>
      <c r="E643" s="87">
        <v>0</v>
      </c>
      <c r="F643" s="88">
        <v>25251730.999999993</v>
      </c>
      <c r="G643" s="87">
        <v>0</v>
      </c>
      <c r="I643" s="87">
        <v>0</v>
      </c>
      <c r="K643" s="87">
        <v>0</v>
      </c>
      <c r="M643" s="87">
        <v>0</v>
      </c>
      <c r="O643" s="87">
        <v>26735</v>
      </c>
      <c r="P643" s="88">
        <v>29423878.499999993</v>
      </c>
      <c r="Q643" s="87">
        <v>0</v>
      </c>
      <c r="R643" s="87">
        <f t="shared" ref="R643:R706" si="180">MAX(Q643,AA643)</f>
        <v>0</v>
      </c>
      <c r="T643" s="87">
        <v>16937</v>
      </c>
      <c r="V643" s="87">
        <v>14416</v>
      </c>
      <c r="X643" s="87">
        <v>10717</v>
      </c>
      <c r="Y643" s="88">
        <v>32969518.500000007</v>
      </c>
      <c r="Z643" s="87">
        <v>12261</v>
      </c>
      <c r="AA643" s="87">
        <v>0</v>
      </c>
      <c r="AB643" s="89">
        <f t="shared" ref="AB643:AB706" si="181">MAX(G643,E643,I643,K643)</f>
        <v>0</v>
      </c>
      <c r="AC643" s="89">
        <f t="shared" ref="AC643:AC706" si="182">MAX(M643,O643,Q643,T643)</f>
        <v>26735</v>
      </c>
      <c r="AD643" s="89">
        <f t="shared" ref="AD643:AD706" si="183">MAX(V643,X643,Z643)</f>
        <v>14416</v>
      </c>
      <c r="AE643" s="90">
        <f t="shared" ref="AE643:AE706" si="184">IF(G643&gt;0,G643,IF(E643&gt;0,E643,IF(I643&gt;0,I643,K643)))</f>
        <v>0</v>
      </c>
      <c r="AF643" s="90" t="str">
        <f t="shared" ref="AF643:AF706" si="185">IF(AE643&gt;0,_xlfn.XLOOKUP(AE643,$B643:$K643,$B$1:$K$1,,0),"")</f>
        <v/>
      </c>
      <c r="AG643" s="90">
        <f t="shared" ref="AG643:AG706" si="186">IF(R643&gt;0,R643,IF(O643&gt;0,O643,T643))</f>
        <v>26735</v>
      </c>
      <c r="AH643" s="90">
        <f t="shared" ref="AH643:AH706" si="187">IF(AG643&gt;0,_xlfn.XLOOKUP(AG643,$L643:$T643,$L$1:$T$1,,0),"")</f>
        <v>2017</v>
      </c>
      <c r="AI643" s="90">
        <f t="shared" ref="AI643:AI706" si="188">IF((IF(Z643&gt;0,Z643,IF(X643&gt;0,X643,IF(V643&gt;0,V643,T643))))=0,AG643,IF(Z643&gt;0,Z643,IF(X643&gt;0,X643,IF(V643&gt;0,V643,T643))))</f>
        <v>12261</v>
      </c>
      <c r="AJ643" s="90">
        <f t="shared" ref="AJ643:AJ706" si="189">IFERROR(IF(AI643&gt;0,_xlfn.XLOOKUP(AI643,$V643:$Z643,$V$1:$Z$1,,0),""),AH643)</f>
        <v>2022</v>
      </c>
      <c r="AK643" s="90" t="str">
        <f t="shared" ref="AK643:AK706" si="190">IF(AI643&lt;AG643,"Adjust","")</f>
        <v>Adjust</v>
      </c>
      <c r="AL643" s="91">
        <f>IF(AK643="Adjust",(_xlfn.XLOOKUP(A643,'Adj factor'!A:A,'Adj factor'!I:I,,0)*AI643),'Master DataSheet'!AI643)</f>
        <v>14091.550678012611</v>
      </c>
      <c r="AM643" s="91">
        <f t="shared" ref="AM643:AM706" si="191">IF(AL643&lt;AG643,AG643,AL643)</f>
        <v>26735</v>
      </c>
      <c r="AN643" s="92" t="str">
        <f t="shared" ref="AN643:AN706" si="192">IF(AL643&gt;AG643,"Increasing",IF(AL643&lt;AG643,"Decreasing","No change"))</f>
        <v>Decreasing</v>
      </c>
      <c r="AO643" s="93">
        <f>VLOOKUP(B643,'Growthrates source'!A$2:H$49,8,FALSE)</f>
        <v>5.4585812874464734E-2</v>
      </c>
      <c r="AP643" s="93">
        <f>VLOOKUP(B643,'Growthrates source'!A$2:I$49,9,FALSE)</f>
        <v>3.4026707504662967E-2</v>
      </c>
      <c r="AQ643" s="86">
        <f t="shared" ref="AQ643:AQ706" si="193">AA643/(EXP(AO643*5))</f>
        <v>0</v>
      </c>
      <c r="AR643" s="86">
        <f t="shared" ref="AR643:AR706" si="194">AA643*EXP(AP643*3)</f>
        <v>0</v>
      </c>
      <c r="AS643" s="94">
        <f t="shared" ref="AS643:AS706" si="195">(AE643*10000)/F643</f>
        <v>0</v>
      </c>
      <c r="AT643" s="94">
        <f t="shared" ref="AT643:AT706" si="196">(AG643*10000)/P643</f>
        <v>9.0861576933170127</v>
      </c>
      <c r="AU643" s="94">
        <f t="shared" ref="AU643:AU706" si="197">(AM643*10000)/Y643</f>
        <v>8.1090052922671578</v>
      </c>
    </row>
    <row r="644" spans="1:47" x14ac:dyDescent="0.3">
      <c r="A644" s="85" t="str">
        <f>_xlfn.XLOOKUP(B644,'Country codes &amp; Data sources'!G:G,'Country codes &amp; Data sources'!H:H,,0)</f>
        <v>Mozambique</v>
      </c>
      <c r="B644" s="85" t="s">
        <v>181</v>
      </c>
      <c r="C644" s="86">
        <v>24487629</v>
      </c>
      <c r="D644" s="85" t="s">
        <v>134</v>
      </c>
      <c r="E644" s="87">
        <v>1425</v>
      </c>
      <c r="F644" s="88">
        <v>25251730.999999993</v>
      </c>
      <c r="G644" s="87">
        <v>1465</v>
      </c>
      <c r="I644" s="87">
        <v>0</v>
      </c>
      <c r="K644" s="87">
        <v>0</v>
      </c>
      <c r="M644" s="87">
        <v>0</v>
      </c>
      <c r="O644" s="87">
        <v>1958</v>
      </c>
      <c r="P644" s="88">
        <v>29423878.499999993</v>
      </c>
      <c r="Q644" s="87">
        <v>0</v>
      </c>
      <c r="R644" s="87">
        <f t="shared" si="180"/>
        <v>1951</v>
      </c>
      <c r="T644" s="87">
        <v>0</v>
      </c>
      <c r="V644" s="87">
        <v>0</v>
      </c>
      <c r="X644" s="87">
        <v>301</v>
      </c>
      <c r="Y644" s="88">
        <v>32969518.500000007</v>
      </c>
      <c r="Z644" s="87">
        <v>2040</v>
      </c>
      <c r="AA644" s="87">
        <v>1951</v>
      </c>
      <c r="AB644" s="89">
        <f t="shared" si="181"/>
        <v>1465</v>
      </c>
      <c r="AC644" s="89">
        <f t="shared" si="182"/>
        <v>1958</v>
      </c>
      <c r="AD644" s="89">
        <f t="shared" si="183"/>
        <v>2040</v>
      </c>
      <c r="AE644" s="90">
        <f t="shared" si="184"/>
        <v>1465</v>
      </c>
      <c r="AF644" s="90">
        <f t="shared" si="185"/>
        <v>2013</v>
      </c>
      <c r="AG644" s="90">
        <f t="shared" si="186"/>
        <v>1951</v>
      </c>
      <c r="AH644" s="90" t="str">
        <f t="shared" si="187"/>
        <v>2018 (triag)</v>
      </c>
      <c r="AI644" s="90">
        <f t="shared" si="188"/>
        <v>2040</v>
      </c>
      <c r="AJ644" s="90">
        <f t="shared" si="189"/>
        <v>2022</v>
      </c>
      <c r="AK644" s="90" t="str">
        <f t="shared" si="190"/>
        <v/>
      </c>
      <c r="AL644" s="91">
        <f>IF(AK644="Adjust",(_xlfn.XLOOKUP(A644,'Adj factor'!A:A,'Adj factor'!I:I,,0)*AI644),'Master DataSheet'!AI644)</f>
        <v>2040</v>
      </c>
      <c r="AM644" s="91">
        <f t="shared" si="191"/>
        <v>2040</v>
      </c>
      <c r="AN644" s="92" t="str">
        <f t="shared" si="192"/>
        <v>Increasing</v>
      </c>
      <c r="AO644" s="93">
        <f>VLOOKUP(B644,'Growthrates source'!A$2:H$49,8,FALSE)</f>
        <v>5.4585812874464734E-2</v>
      </c>
      <c r="AP644" s="93">
        <f>VLOOKUP(B644,'Growthrates source'!A$2:I$49,9,FALSE)</f>
        <v>3.4026707504662967E-2</v>
      </c>
      <c r="AQ644" s="86">
        <f t="shared" si="193"/>
        <v>1484.9973641481108</v>
      </c>
      <c r="AR644" s="86">
        <f t="shared" si="194"/>
        <v>2160.6782653805631</v>
      </c>
      <c r="AS644" s="94">
        <f t="shared" si="195"/>
        <v>0.58015824736925969</v>
      </c>
      <c r="AT644" s="94">
        <f t="shared" si="196"/>
        <v>0.66306690329760587</v>
      </c>
      <c r="AU644" s="94">
        <f t="shared" si="197"/>
        <v>0.61875334940059845</v>
      </c>
    </row>
    <row r="645" spans="1:47" x14ac:dyDescent="0.3">
      <c r="A645" s="85" t="str">
        <f>_xlfn.XLOOKUP(B645,'Country codes &amp; Data sources'!G:G,'Country codes &amp; Data sources'!H:H,,0)</f>
        <v>Mozambique</v>
      </c>
      <c r="B645" s="85" t="s">
        <v>181</v>
      </c>
      <c r="C645" s="86">
        <v>24487630</v>
      </c>
      <c r="D645" s="85" t="s">
        <v>142</v>
      </c>
      <c r="E645" s="87">
        <v>0</v>
      </c>
      <c r="F645" s="88">
        <v>25251730.999999993</v>
      </c>
      <c r="G645" s="87">
        <v>0</v>
      </c>
      <c r="I645" s="87">
        <v>0</v>
      </c>
      <c r="K645" s="87">
        <v>0</v>
      </c>
      <c r="M645" s="87">
        <v>0</v>
      </c>
      <c r="O645" s="87">
        <v>6281</v>
      </c>
      <c r="P645" s="88">
        <v>29423878.499999993</v>
      </c>
      <c r="Q645" s="87">
        <v>0</v>
      </c>
      <c r="R645" s="87">
        <f t="shared" si="180"/>
        <v>0</v>
      </c>
      <c r="T645" s="87">
        <v>6665</v>
      </c>
      <c r="V645" s="87">
        <v>0</v>
      </c>
      <c r="X645" s="87">
        <v>0</v>
      </c>
      <c r="Y645" s="88">
        <v>32969518.500000007</v>
      </c>
      <c r="Z645" s="87">
        <v>6873</v>
      </c>
      <c r="AA645" s="87">
        <v>0</v>
      </c>
      <c r="AB645" s="89">
        <f t="shared" si="181"/>
        <v>0</v>
      </c>
      <c r="AC645" s="89">
        <f t="shared" si="182"/>
        <v>6665</v>
      </c>
      <c r="AD645" s="89">
        <f t="shared" si="183"/>
        <v>6873</v>
      </c>
      <c r="AE645" s="90">
        <f t="shared" si="184"/>
        <v>0</v>
      </c>
      <c r="AF645" s="90" t="str">
        <f t="shared" si="185"/>
        <v/>
      </c>
      <c r="AG645" s="90">
        <f t="shared" si="186"/>
        <v>6281</v>
      </c>
      <c r="AH645" s="90">
        <f t="shared" si="187"/>
        <v>2017</v>
      </c>
      <c r="AI645" s="90">
        <f t="shared" si="188"/>
        <v>6873</v>
      </c>
      <c r="AJ645" s="90">
        <f t="shared" si="189"/>
        <v>2022</v>
      </c>
      <c r="AK645" s="90" t="str">
        <f t="shared" si="190"/>
        <v/>
      </c>
      <c r="AL645" s="91">
        <f>IF(AK645="Adjust",(_xlfn.XLOOKUP(A645,'Adj factor'!A:A,'Adj factor'!I:I,,0)*AI645),'Master DataSheet'!AI645)</f>
        <v>6873</v>
      </c>
      <c r="AM645" s="91">
        <f t="shared" si="191"/>
        <v>6873</v>
      </c>
      <c r="AN645" s="92" t="str">
        <f t="shared" si="192"/>
        <v>Increasing</v>
      </c>
      <c r="AO645" s="93">
        <f>VLOOKUP(B645,'Growthrates source'!A$2:H$49,8,FALSE)</f>
        <v>5.4585812874464734E-2</v>
      </c>
      <c r="AP645" s="93">
        <f>VLOOKUP(B645,'Growthrates source'!A$2:I$49,9,FALSE)</f>
        <v>3.4026707504662967E-2</v>
      </c>
      <c r="AQ645" s="86">
        <f t="shared" si="193"/>
        <v>0</v>
      </c>
      <c r="AR645" s="86">
        <f t="shared" si="194"/>
        <v>0</v>
      </c>
      <c r="AS645" s="94">
        <f t="shared" si="195"/>
        <v>0</v>
      </c>
      <c r="AT645" s="94">
        <f t="shared" si="196"/>
        <v>2.1346607993912161</v>
      </c>
      <c r="AU645" s="94">
        <f t="shared" si="197"/>
        <v>2.0846528286423105</v>
      </c>
    </row>
    <row r="646" spans="1:47" ht="14.5" x14ac:dyDescent="0.35">
      <c r="A646" s="85" t="str">
        <f>_xlfn.XLOOKUP(B646,'Country codes &amp; Data sources'!G:G,'Country codes &amp; Data sources'!H:H,,0)</f>
        <v>Mozambique</v>
      </c>
      <c r="B646" s="85" t="s">
        <v>181</v>
      </c>
      <c r="C646" s="86">
        <v>24487631</v>
      </c>
      <c r="D646" s="85" t="s">
        <v>83</v>
      </c>
      <c r="E646" s="87">
        <v>281</v>
      </c>
      <c r="F646" s="88">
        <v>25251730.999999993</v>
      </c>
      <c r="G646" s="87">
        <v>287</v>
      </c>
      <c r="I646" s="87">
        <v>0</v>
      </c>
      <c r="K646" s="87">
        <v>0</v>
      </c>
      <c r="M646" s="87">
        <v>0</v>
      </c>
      <c r="O646" s="87">
        <v>377</v>
      </c>
      <c r="P646" s="88">
        <v>29423878.499999993</v>
      </c>
      <c r="Q646" s="87">
        <v>362</v>
      </c>
      <c r="R646" s="87">
        <f t="shared" si="180"/>
        <v>377</v>
      </c>
      <c r="T646" s="87">
        <v>395</v>
      </c>
      <c r="V646" s="87">
        <v>444</v>
      </c>
      <c r="X646" s="87">
        <v>535</v>
      </c>
      <c r="Y646" s="88">
        <v>32969518.500000007</v>
      </c>
      <c r="Z646" s="111">
        <f>130+423</f>
        <v>553</v>
      </c>
      <c r="AA646" s="87">
        <v>377</v>
      </c>
      <c r="AB646" s="89">
        <f t="shared" si="181"/>
        <v>287</v>
      </c>
      <c r="AC646" s="89">
        <f t="shared" si="182"/>
        <v>395</v>
      </c>
      <c r="AD646" s="89">
        <f t="shared" si="183"/>
        <v>553</v>
      </c>
      <c r="AE646" s="90">
        <f t="shared" si="184"/>
        <v>287</v>
      </c>
      <c r="AF646" s="90">
        <f t="shared" si="185"/>
        <v>2013</v>
      </c>
      <c r="AG646" s="90">
        <f t="shared" si="186"/>
        <v>377</v>
      </c>
      <c r="AH646" s="90">
        <f t="shared" si="187"/>
        <v>2017</v>
      </c>
      <c r="AI646" s="90">
        <f t="shared" si="188"/>
        <v>553</v>
      </c>
      <c r="AJ646" s="90">
        <f t="shared" si="189"/>
        <v>2022</v>
      </c>
      <c r="AK646" s="90" t="str">
        <f t="shared" si="190"/>
        <v/>
      </c>
      <c r="AL646" s="91">
        <f>IF(AK646="Adjust",(_xlfn.XLOOKUP(A646,'Adj factor'!A:A,'Adj factor'!I:I,,0)*AI646),'Master DataSheet'!AI646)</f>
        <v>553</v>
      </c>
      <c r="AM646" s="60">
        <f>130+423</f>
        <v>553</v>
      </c>
      <c r="AN646" s="92" t="str">
        <f t="shared" si="192"/>
        <v>Increasing</v>
      </c>
      <c r="AO646" s="93">
        <f>VLOOKUP(B646,'Growthrates source'!A$2:H$49,8,FALSE)</f>
        <v>5.4585812874464734E-2</v>
      </c>
      <c r="AP646" s="93">
        <f>VLOOKUP(B646,'Growthrates source'!A$2:I$49,9,FALSE)</f>
        <v>3.4026707504662967E-2</v>
      </c>
      <c r="AQ646" s="86">
        <f t="shared" si="193"/>
        <v>286.95233535819466</v>
      </c>
      <c r="AR646" s="86">
        <f t="shared" si="194"/>
        <v>417.51702001459364</v>
      </c>
      <c r="AS646" s="94">
        <f t="shared" si="195"/>
        <v>0.11365557474059901</v>
      </c>
      <c r="AT646" s="94">
        <f t="shared" si="196"/>
        <v>0.12812722836657991</v>
      </c>
      <c r="AU646" s="94">
        <f t="shared" si="197"/>
        <v>0.16773068736202498</v>
      </c>
    </row>
    <row r="647" spans="1:47" x14ac:dyDescent="0.3">
      <c r="A647" s="85" t="str">
        <f>_xlfn.XLOOKUP(B647,'Country codes &amp; Data sources'!G:G,'Country codes &amp; Data sources'!H:H,,0)</f>
        <v>Mozambique</v>
      </c>
      <c r="B647" s="85" t="s">
        <v>181</v>
      </c>
      <c r="C647" s="86">
        <v>24487632</v>
      </c>
      <c r="D647" s="85" t="s">
        <v>84</v>
      </c>
      <c r="E647" s="87">
        <v>0</v>
      </c>
      <c r="F647" s="88">
        <v>25251730.999999993</v>
      </c>
      <c r="G647" s="87">
        <v>0</v>
      </c>
      <c r="I647" s="87">
        <v>0</v>
      </c>
      <c r="K647" s="87">
        <v>0</v>
      </c>
      <c r="M647" s="87">
        <v>0</v>
      </c>
      <c r="O647" s="87">
        <v>287</v>
      </c>
      <c r="P647" s="88">
        <v>29423878.499999993</v>
      </c>
      <c r="Q647" s="87">
        <v>338</v>
      </c>
      <c r="R647" s="87">
        <f t="shared" si="180"/>
        <v>338</v>
      </c>
      <c r="T647" s="87">
        <v>422</v>
      </c>
      <c r="V647" s="87">
        <v>554</v>
      </c>
      <c r="X647" s="87">
        <v>552</v>
      </c>
      <c r="Y647" s="88">
        <v>32969518.500000007</v>
      </c>
      <c r="Z647" s="87">
        <v>342</v>
      </c>
      <c r="AA647" s="87">
        <v>0</v>
      </c>
      <c r="AB647" s="89">
        <f t="shared" si="181"/>
        <v>0</v>
      </c>
      <c r="AC647" s="89">
        <f t="shared" si="182"/>
        <v>422</v>
      </c>
      <c r="AD647" s="89">
        <f t="shared" si="183"/>
        <v>554</v>
      </c>
      <c r="AE647" s="90">
        <f t="shared" si="184"/>
        <v>0</v>
      </c>
      <c r="AF647" s="90" t="str">
        <f t="shared" si="185"/>
        <v/>
      </c>
      <c r="AG647" s="90">
        <f t="shared" si="186"/>
        <v>338</v>
      </c>
      <c r="AH647" s="90">
        <f t="shared" si="187"/>
        <v>2018</v>
      </c>
      <c r="AI647" s="90">
        <f t="shared" si="188"/>
        <v>342</v>
      </c>
      <c r="AJ647" s="90">
        <f t="shared" si="189"/>
        <v>2022</v>
      </c>
      <c r="AK647" s="90" t="str">
        <f t="shared" si="190"/>
        <v/>
      </c>
      <c r="AL647" s="91">
        <f>IF(AK647="Adjust",(_xlfn.XLOOKUP(A647,'Adj factor'!A:A,'Adj factor'!I:I,,0)*AI647),'Master DataSheet'!AI647)</f>
        <v>342</v>
      </c>
      <c r="AM647" s="91">
        <f t="shared" si="191"/>
        <v>342</v>
      </c>
      <c r="AN647" s="92" t="str">
        <f t="shared" si="192"/>
        <v>Increasing</v>
      </c>
      <c r="AO647" s="93">
        <f>VLOOKUP(B647,'Growthrates source'!A$2:H$49,8,FALSE)</f>
        <v>5.4585812874464734E-2</v>
      </c>
      <c r="AP647" s="93">
        <f>VLOOKUP(B647,'Growthrates source'!A$2:I$49,9,FALSE)</f>
        <v>3.4026707504662967E-2</v>
      </c>
      <c r="AQ647" s="86">
        <f t="shared" si="193"/>
        <v>0</v>
      </c>
      <c r="AR647" s="86">
        <f t="shared" si="194"/>
        <v>0</v>
      </c>
      <c r="AS647" s="94">
        <f t="shared" si="195"/>
        <v>0</v>
      </c>
      <c r="AT647" s="94">
        <f t="shared" si="196"/>
        <v>0.11487268750107164</v>
      </c>
      <c r="AU647" s="94">
        <f t="shared" si="197"/>
        <v>0.10373217916421798</v>
      </c>
    </row>
    <row r="648" spans="1:47" x14ac:dyDescent="0.3">
      <c r="A648" s="85" t="str">
        <f>_xlfn.XLOOKUP(B648,'Country codes &amp; Data sources'!G:G,'Country codes &amp; Data sources'!H:H,,0)</f>
        <v>Mozambique</v>
      </c>
      <c r="B648" s="85" t="s">
        <v>181</v>
      </c>
      <c r="C648" s="86">
        <v>24487633</v>
      </c>
      <c r="D648" s="85" t="s">
        <v>126</v>
      </c>
      <c r="E648" s="87">
        <v>0</v>
      </c>
      <c r="F648" s="88">
        <v>25251730.999999993</v>
      </c>
      <c r="G648" s="87">
        <v>0</v>
      </c>
      <c r="I648" s="87">
        <v>0</v>
      </c>
      <c r="K648" s="87">
        <v>0</v>
      </c>
      <c r="M648" s="87">
        <v>0</v>
      </c>
      <c r="O648" s="87">
        <v>2</v>
      </c>
      <c r="P648" s="88">
        <v>29423878.499999993</v>
      </c>
      <c r="Q648" s="87">
        <v>3</v>
      </c>
      <c r="R648" s="87">
        <f t="shared" si="180"/>
        <v>3</v>
      </c>
      <c r="T648" s="87">
        <v>2</v>
      </c>
      <c r="V648" s="87">
        <v>0</v>
      </c>
      <c r="X648" s="87">
        <v>0</v>
      </c>
      <c r="Y648" s="88">
        <v>32969518.500000007</v>
      </c>
      <c r="Z648" s="87">
        <v>0</v>
      </c>
      <c r="AA648" s="87">
        <v>0</v>
      </c>
      <c r="AB648" s="89">
        <f t="shared" si="181"/>
        <v>0</v>
      </c>
      <c r="AC648" s="89">
        <f t="shared" si="182"/>
        <v>3</v>
      </c>
      <c r="AD648" s="89">
        <f t="shared" si="183"/>
        <v>0</v>
      </c>
      <c r="AE648" s="90">
        <f t="shared" si="184"/>
        <v>0</v>
      </c>
      <c r="AF648" s="90" t="str">
        <f t="shared" si="185"/>
        <v/>
      </c>
      <c r="AG648" s="90">
        <f t="shared" si="186"/>
        <v>3</v>
      </c>
      <c r="AH648" s="90">
        <f t="shared" si="187"/>
        <v>2018</v>
      </c>
      <c r="AI648" s="90">
        <f t="shared" si="188"/>
        <v>2</v>
      </c>
      <c r="AJ648" s="90">
        <f t="shared" si="189"/>
        <v>2018</v>
      </c>
      <c r="AK648" s="90" t="str">
        <f t="shared" si="190"/>
        <v>Adjust</v>
      </c>
      <c r="AL648" s="91">
        <f>IF(AK648="Adjust",(_xlfn.XLOOKUP(A648,'Adj factor'!A:A,'Adj factor'!I:I,,0)*AI648),'Master DataSheet'!AI648)</f>
        <v>2.2985972886408303</v>
      </c>
      <c r="AM648" s="91">
        <f t="shared" si="191"/>
        <v>3</v>
      </c>
      <c r="AN648" s="92" t="str">
        <f t="shared" si="192"/>
        <v>Decreasing</v>
      </c>
      <c r="AO648" s="93">
        <f>VLOOKUP(B648,'Growthrates source'!A$2:H$49,8,FALSE)</f>
        <v>5.4585812874464734E-2</v>
      </c>
      <c r="AP648" s="93">
        <f>VLOOKUP(B648,'Growthrates source'!A$2:I$49,9,FALSE)</f>
        <v>3.4026707504662967E-2</v>
      </c>
      <c r="AQ648" s="86">
        <f t="shared" si="193"/>
        <v>0</v>
      </c>
      <c r="AR648" s="86">
        <f t="shared" si="194"/>
        <v>0</v>
      </c>
      <c r="AS648" s="94">
        <f t="shared" si="195"/>
        <v>0</v>
      </c>
      <c r="AT648" s="94">
        <f t="shared" si="196"/>
        <v>1.019580066577559E-3</v>
      </c>
      <c r="AU648" s="94">
        <f t="shared" si="197"/>
        <v>9.0993139617735069E-4</v>
      </c>
    </row>
    <row r="649" spans="1:47" x14ac:dyDescent="0.3">
      <c r="A649" s="85" t="str">
        <f>_xlfn.XLOOKUP(B649,'Country codes &amp; Data sources'!G:G,'Country codes &amp; Data sources'!H:H,,0)</f>
        <v>Mozambique</v>
      </c>
      <c r="B649" s="85" t="s">
        <v>181</v>
      </c>
      <c r="C649" s="86">
        <v>24487634</v>
      </c>
      <c r="D649" s="85" t="s">
        <v>87</v>
      </c>
      <c r="E649" s="87">
        <v>0</v>
      </c>
      <c r="F649" s="88">
        <v>25251730.999999993</v>
      </c>
      <c r="G649" s="87">
        <v>0</v>
      </c>
      <c r="I649" s="87">
        <v>0</v>
      </c>
      <c r="K649" s="87">
        <v>0</v>
      </c>
      <c r="M649" s="87">
        <v>0</v>
      </c>
      <c r="O649" s="87">
        <v>0</v>
      </c>
      <c r="P649" s="88">
        <v>29423878.499999993</v>
      </c>
      <c r="Q649" s="87">
        <v>0</v>
      </c>
      <c r="R649" s="87">
        <f t="shared" si="180"/>
        <v>0</v>
      </c>
      <c r="T649" s="87">
        <v>0</v>
      </c>
      <c r="V649" s="87">
        <v>0</v>
      </c>
      <c r="X649" s="87">
        <v>0</v>
      </c>
      <c r="Y649" s="88">
        <v>32969518.500000007</v>
      </c>
      <c r="Z649" s="87">
        <v>99942</v>
      </c>
      <c r="AA649" s="87">
        <v>0</v>
      </c>
      <c r="AB649" s="89">
        <f t="shared" si="181"/>
        <v>0</v>
      </c>
      <c r="AC649" s="89">
        <f t="shared" si="182"/>
        <v>0</v>
      </c>
      <c r="AD649" s="89">
        <f t="shared" si="183"/>
        <v>99942</v>
      </c>
      <c r="AE649" s="90">
        <f t="shared" si="184"/>
        <v>0</v>
      </c>
      <c r="AF649" s="90" t="str">
        <f t="shared" si="185"/>
        <v/>
      </c>
      <c r="AG649" s="90">
        <f t="shared" si="186"/>
        <v>0</v>
      </c>
      <c r="AH649" s="90" t="str">
        <f t="shared" si="187"/>
        <v/>
      </c>
      <c r="AI649" s="90">
        <f t="shared" si="188"/>
        <v>99942</v>
      </c>
      <c r="AJ649" s="90">
        <f t="shared" si="189"/>
        <v>2022</v>
      </c>
      <c r="AK649" s="90" t="str">
        <f t="shared" si="190"/>
        <v/>
      </c>
      <c r="AL649" s="91">
        <f>IF(AK649="Adjust",(_xlfn.XLOOKUP(A649,'Adj factor'!A:A,'Adj factor'!I:I,,0)*AI649),'Master DataSheet'!AI649)</f>
        <v>99942</v>
      </c>
      <c r="AM649" s="91">
        <f t="shared" si="191"/>
        <v>99942</v>
      </c>
      <c r="AN649" s="92" t="str">
        <f t="shared" si="192"/>
        <v>Increasing</v>
      </c>
      <c r="AO649" s="93">
        <f>VLOOKUP(B649,'Growthrates source'!A$2:H$49,8,FALSE)</f>
        <v>5.4585812874464734E-2</v>
      </c>
      <c r="AP649" s="93">
        <f>VLOOKUP(B649,'Growthrates source'!A$2:I$49,9,FALSE)</f>
        <v>3.4026707504662967E-2</v>
      </c>
      <c r="AQ649" s="86">
        <f t="shared" si="193"/>
        <v>0</v>
      </c>
      <c r="AR649" s="86">
        <f t="shared" si="194"/>
        <v>0</v>
      </c>
      <c r="AS649" s="94">
        <f t="shared" si="195"/>
        <v>0</v>
      </c>
      <c r="AT649" s="94">
        <f t="shared" si="196"/>
        <v>0</v>
      </c>
      <c r="AU649" s="94">
        <f t="shared" si="197"/>
        <v>30.313454532252262</v>
      </c>
    </row>
    <row r="650" spans="1:47" x14ac:dyDescent="0.3">
      <c r="A650" s="85" t="str">
        <f>_xlfn.XLOOKUP(B650,'Country codes &amp; Data sources'!G:G,'Country codes &amp; Data sources'!H:H,,0)</f>
        <v>Mauritania</v>
      </c>
      <c r="B650" s="85" t="s">
        <v>158</v>
      </c>
      <c r="C650" s="86">
        <v>3636113.5000000009</v>
      </c>
      <c r="D650" s="85" t="s">
        <v>321</v>
      </c>
      <c r="E650" s="87">
        <v>0</v>
      </c>
      <c r="F650" s="88">
        <v>3742958.9999999981</v>
      </c>
      <c r="G650" s="87">
        <v>0</v>
      </c>
      <c r="H650" s="87">
        <v>3843173.9999999991</v>
      </c>
      <c r="I650" s="87">
        <v>1244</v>
      </c>
      <c r="J650" s="87">
        <v>3946219.4999999991</v>
      </c>
      <c r="K650" s="87">
        <v>1384</v>
      </c>
      <c r="L650" s="87">
        <v>4051890.5000000014</v>
      </c>
      <c r="M650" s="87">
        <v>0</v>
      </c>
      <c r="N650" s="87">
        <v>4160014.4999999995</v>
      </c>
      <c r="O650" s="87">
        <v>1582</v>
      </c>
      <c r="P650" s="88">
        <v>4270711.4999999972</v>
      </c>
      <c r="Q650" s="87">
        <v>1700</v>
      </c>
      <c r="R650" s="87">
        <f t="shared" si="180"/>
        <v>1700</v>
      </c>
      <c r="S650" s="87">
        <v>4383848.5000000009</v>
      </c>
      <c r="T650" s="87">
        <v>1794</v>
      </c>
      <c r="U650" s="87">
        <v>4498603.4999999953</v>
      </c>
      <c r="V650" s="87">
        <v>1868</v>
      </c>
      <c r="W650" s="87">
        <v>4614974</v>
      </c>
      <c r="X650" s="87">
        <v>2070</v>
      </c>
      <c r="Y650" s="88">
        <v>4736138.9999999991</v>
      </c>
      <c r="Z650" s="87">
        <v>2236</v>
      </c>
      <c r="AA650" s="87">
        <v>1626</v>
      </c>
      <c r="AB650" s="89">
        <f t="shared" si="181"/>
        <v>1384</v>
      </c>
      <c r="AC650" s="89">
        <f t="shared" si="182"/>
        <v>1794</v>
      </c>
      <c r="AD650" s="89">
        <f t="shared" si="183"/>
        <v>2236</v>
      </c>
      <c r="AE650" s="90">
        <f t="shared" si="184"/>
        <v>1244</v>
      </c>
      <c r="AF650" s="90">
        <f t="shared" si="185"/>
        <v>2014</v>
      </c>
      <c r="AG650" s="90">
        <f t="shared" si="186"/>
        <v>1700</v>
      </c>
      <c r="AH650" s="90">
        <f t="shared" si="187"/>
        <v>2018</v>
      </c>
      <c r="AI650" s="90">
        <f t="shared" si="188"/>
        <v>2236</v>
      </c>
      <c r="AJ650" s="90">
        <f t="shared" si="189"/>
        <v>2022</v>
      </c>
      <c r="AK650" s="90" t="str">
        <f t="shared" si="190"/>
        <v/>
      </c>
      <c r="AL650" s="91">
        <f>IF(AK650="Adjust",(_xlfn.XLOOKUP(A650,'Adj factor'!A:A,'Adj factor'!I:I,,0)*AI650),'Master DataSheet'!AI650)</f>
        <v>2236</v>
      </c>
      <c r="AM650" s="91">
        <f t="shared" si="191"/>
        <v>2236</v>
      </c>
      <c r="AN650" s="92" t="str">
        <f t="shared" si="192"/>
        <v>Increasing</v>
      </c>
      <c r="AO650" s="93">
        <f>VLOOKUP(B650,'Growthrates source'!A$2:H$49,8,FALSE)</f>
        <v>5.6024318930811168E-2</v>
      </c>
      <c r="AP650" s="93">
        <f>VLOOKUP(B650,'Growthrates source'!A$2:I$49,9,FALSE)</f>
        <v>5.4673730437993617E-2</v>
      </c>
      <c r="AQ650" s="86">
        <f t="shared" si="193"/>
        <v>1228.754944490516</v>
      </c>
      <c r="AR650" s="86">
        <f t="shared" si="194"/>
        <v>1915.8170745917573</v>
      </c>
      <c r="AS650" s="94">
        <f t="shared" si="195"/>
        <v>3.3235736752660143</v>
      </c>
      <c r="AT650" s="94">
        <f t="shared" si="196"/>
        <v>3.9806013588133995</v>
      </c>
      <c r="AU650" s="94">
        <f t="shared" si="197"/>
        <v>4.7211452197665658</v>
      </c>
    </row>
    <row r="651" spans="1:47" x14ac:dyDescent="0.3">
      <c r="A651" s="85" t="str">
        <f>_xlfn.XLOOKUP(B651,'Country codes &amp; Data sources'!G:G,'Country codes &amp; Data sources'!H:H,,0)</f>
        <v>Mauritania</v>
      </c>
      <c r="B651" s="85" t="s">
        <v>158</v>
      </c>
      <c r="C651" s="86">
        <v>3636114.5</v>
      </c>
      <c r="D651" s="85" t="s">
        <v>322</v>
      </c>
      <c r="E651" s="87">
        <v>0</v>
      </c>
      <c r="F651" s="88">
        <v>3742958.9999999981</v>
      </c>
      <c r="G651" s="87">
        <v>0</v>
      </c>
      <c r="I651" s="87">
        <v>7692</v>
      </c>
      <c r="K651" s="87">
        <v>8274</v>
      </c>
      <c r="M651" s="87">
        <v>0</v>
      </c>
      <c r="O651" s="87">
        <v>9142</v>
      </c>
      <c r="P651" s="88">
        <v>4270711.4999999972</v>
      </c>
      <c r="Q651" s="87">
        <v>8223</v>
      </c>
      <c r="R651" s="87">
        <f t="shared" si="180"/>
        <v>8223</v>
      </c>
      <c r="T651" s="87">
        <v>8738</v>
      </c>
      <c r="V651" s="87">
        <v>8580</v>
      </c>
      <c r="X651" s="87">
        <v>12312</v>
      </c>
      <c r="Y651" s="88">
        <v>4736138.9999999991</v>
      </c>
      <c r="Z651" s="87">
        <v>13006</v>
      </c>
      <c r="AA651" s="87">
        <v>4017</v>
      </c>
      <c r="AB651" s="89">
        <f t="shared" si="181"/>
        <v>8274</v>
      </c>
      <c r="AC651" s="89">
        <f t="shared" si="182"/>
        <v>9142</v>
      </c>
      <c r="AD651" s="89">
        <f t="shared" si="183"/>
        <v>13006</v>
      </c>
      <c r="AE651" s="90">
        <f t="shared" si="184"/>
        <v>7692</v>
      </c>
      <c r="AF651" s="90">
        <f t="shared" si="185"/>
        <v>2014</v>
      </c>
      <c r="AG651" s="90">
        <f t="shared" si="186"/>
        <v>8223</v>
      </c>
      <c r="AH651" s="90">
        <f t="shared" si="187"/>
        <v>2018</v>
      </c>
      <c r="AI651" s="90">
        <f t="shared" si="188"/>
        <v>13006</v>
      </c>
      <c r="AJ651" s="90">
        <f t="shared" si="189"/>
        <v>2022</v>
      </c>
      <c r="AK651" s="90" t="str">
        <f t="shared" si="190"/>
        <v/>
      </c>
      <c r="AL651" s="91">
        <f>IF(AK651="Adjust",(_xlfn.XLOOKUP(A651,'Adj factor'!A:A,'Adj factor'!I:I,,0)*AI651),'Master DataSheet'!AI651)</f>
        <v>13006</v>
      </c>
      <c r="AM651" s="91">
        <f t="shared" si="191"/>
        <v>13006</v>
      </c>
      <c r="AN651" s="92" t="str">
        <f t="shared" si="192"/>
        <v>Increasing</v>
      </c>
      <c r="AO651" s="93">
        <f>VLOOKUP(B651,'Growthrates source'!A$2:H$49,8,FALSE)</f>
        <v>5.6024318930811168E-2</v>
      </c>
      <c r="AP651" s="93">
        <f>VLOOKUP(B651,'Growthrates source'!A$2:I$49,9,FALSE)</f>
        <v>5.4673730437993617E-2</v>
      </c>
      <c r="AQ651" s="86">
        <f t="shared" si="193"/>
        <v>3035.614152532843</v>
      </c>
      <c r="AR651" s="86">
        <f t="shared" si="194"/>
        <v>4732.9872008825887</v>
      </c>
      <c r="AS651" s="94">
        <f t="shared" si="195"/>
        <v>20.550585779860278</v>
      </c>
      <c r="AT651" s="94">
        <f t="shared" si="196"/>
        <v>19.254402925601518</v>
      </c>
      <c r="AU651" s="94">
        <f t="shared" si="197"/>
        <v>27.461187266674401</v>
      </c>
    </row>
    <row r="652" spans="1:47" x14ac:dyDescent="0.3">
      <c r="A652" s="85" t="str">
        <f>_xlfn.XLOOKUP(B652,'Country codes &amp; Data sources'!G:G,'Country codes &amp; Data sources'!H:H,,0)</f>
        <v>Mauritania</v>
      </c>
      <c r="B652" s="85" t="s">
        <v>158</v>
      </c>
      <c r="C652" s="86">
        <v>3636115.5</v>
      </c>
      <c r="D652" s="85" t="s">
        <v>323</v>
      </c>
      <c r="E652" s="87">
        <v>0</v>
      </c>
      <c r="F652" s="88">
        <v>3742958.9999999981</v>
      </c>
      <c r="G652" s="87">
        <v>736</v>
      </c>
      <c r="I652" s="87">
        <v>0</v>
      </c>
      <c r="K652" s="87">
        <v>0</v>
      </c>
      <c r="M652" s="87">
        <v>0</v>
      </c>
      <c r="O652" s="87">
        <v>0</v>
      </c>
      <c r="P652" s="88">
        <v>4270711.4999999972</v>
      </c>
      <c r="Q652" s="87">
        <v>1342</v>
      </c>
      <c r="R652" s="87">
        <f t="shared" si="180"/>
        <v>1342</v>
      </c>
      <c r="T652" s="87">
        <v>1864</v>
      </c>
      <c r="V652" s="87">
        <v>2054</v>
      </c>
      <c r="X652" s="87">
        <v>2504</v>
      </c>
      <c r="Y652" s="88">
        <v>4736138.9999999991</v>
      </c>
      <c r="Z652" s="87">
        <v>2680</v>
      </c>
      <c r="AA652" s="87">
        <v>855</v>
      </c>
      <c r="AB652" s="89">
        <f t="shared" si="181"/>
        <v>736</v>
      </c>
      <c r="AC652" s="89">
        <f t="shared" si="182"/>
        <v>1864</v>
      </c>
      <c r="AD652" s="89">
        <f t="shared" si="183"/>
        <v>2680</v>
      </c>
      <c r="AE652" s="90">
        <f t="shared" si="184"/>
        <v>736</v>
      </c>
      <c r="AF652" s="90">
        <f t="shared" si="185"/>
        <v>2013</v>
      </c>
      <c r="AG652" s="90">
        <f t="shared" si="186"/>
        <v>1342</v>
      </c>
      <c r="AH652" s="90">
        <f t="shared" si="187"/>
        <v>2018</v>
      </c>
      <c r="AI652" s="90">
        <f t="shared" si="188"/>
        <v>2680</v>
      </c>
      <c r="AJ652" s="90">
        <f t="shared" si="189"/>
        <v>2022</v>
      </c>
      <c r="AK652" s="90" t="str">
        <f t="shared" si="190"/>
        <v/>
      </c>
      <c r="AL652" s="91">
        <f>IF(AK652="Adjust",(_xlfn.XLOOKUP(A652,'Adj factor'!A:A,'Adj factor'!I:I,,0)*AI652),'Master DataSheet'!AI652)</f>
        <v>2680</v>
      </c>
      <c r="AM652" s="91">
        <f t="shared" si="191"/>
        <v>2680</v>
      </c>
      <c r="AN652" s="92" t="str">
        <f t="shared" si="192"/>
        <v>Increasing</v>
      </c>
      <c r="AO652" s="93">
        <f>VLOOKUP(B652,'Growthrates source'!A$2:H$49,8,FALSE)</f>
        <v>5.6024318930811168E-2</v>
      </c>
      <c r="AP652" s="93">
        <f>VLOOKUP(B652,'Growthrates source'!A$2:I$49,9,FALSE)</f>
        <v>5.4673730437993617E-2</v>
      </c>
      <c r="AQ652" s="86">
        <f t="shared" si="193"/>
        <v>646.11652985202409</v>
      </c>
      <c r="AR652" s="86">
        <f t="shared" si="194"/>
        <v>1007.3945871930828</v>
      </c>
      <c r="AS652" s="94">
        <f t="shared" si="195"/>
        <v>1.9663587017651019</v>
      </c>
      <c r="AT652" s="94">
        <f t="shared" si="196"/>
        <v>3.1423335432515187</v>
      </c>
      <c r="AU652" s="94">
        <f t="shared" si="197"/>
        <v>5.6586177052658302</v>
      </c>
    </row>
    <row r="653" spans="1:47" x14ac:dyDescent="0.3">
      <c r="A653" s="85" t="str">
        <f>_xlfn.XLOOKUP(B653,'Country codes &amp; Data sources'!G:G,'Country codes &amp; Data sources'!H:H,,0)</f>
        <v>Mauritania</v>
      </c>
      <c r="B653" s="85" t="s">
        <v>158</v>
      </c>
      <c r="C653" s="86">
        <v>3636116.5</v>
      </c>
      <c r="D653" s="85" t="s">
        <v>324</v>
      </c>
      <c r="E653" s="87">
        <v>3445</v>
      </c>
      <c r="F653" s="88">
        <v>3742958.9999999981</v>
      </c>
      <c r="G653" s="87">
        <v>975</v>
      </c>
      <c r="I653" s="87">
        <v>0</v>
      </c>
      <c r="K653" s="87">
        <v>333</v>
      </c>
      <c r="M653" s="87">
        <v>0</v>
      </c>
      <c r="O653" s="87">
        <v>0</v>
      </c>
      <c r="P653" s="88">
        <v>4270711.4999999972</v>
      </c>
      <c r="Q653" s="87">
        <v>0</v>
      </c>
      <c r="R653" s="87">
        <f t="shared" si="180"/>
        <v>100</v>
      </c>
      <c r="T653" s="87">
        <v>0</v>
      </c>
      <c r="V653" s="87">
        <v>0</v>
      </c>
      <c r="X653" s="87">
        <v>0</v>
      </c>
      <c r="Y653" s="88">
        <v>4736138.9999999991</v>
      </c>
      <c r="Z653" s="87">
        <v>0</v>
      </c>
      <c r="AA653" s="87">
        <v>100</v>
      </c>
      <c r="AB653" s="89">
        <f t="shared" si="181"/>
        <v>3445</v>
      </c>
      <c r="AC653" s="89">
        <f t="shared" si="182"/>
        <v>0</v>
      </c>
      <c r="AD653" s="89">
        <f t="shared" si="183"/>
        <v>0</v>
      </c>
      <c r="AE653" s="90">
        <f t="shared" si="184"/>
        <v>975</v>
      </c>
      <c r="AF653" s="90">
        <f t="shared" si="185"/>
        <v>2013</v>
      </c>
      <c r="AG653" s="90">
        <f t="shared" si="186"/>
        <v>100</v>
      </c>
      <c r="AH653" s="90" t="str">
        <f t="shared" si="187"/>
        <v>2018 (triag)</v>
      </c>
      <c r="AI653" s="90">
        <f t="shared" si="188"/>
        <v>100</v>
      </c>
      <c r="AJ653" s="90" t="str">
        <f t="shared" si="189"/>
        <v>2018 (triag)</v>
      </c>
      <c r="AK653" s="90" t="str">
        <f t="shared" si="190"/>
        <v/>
      </c>
      <c r="AL653" s="91">
        <f>IF(AK653="Adjust",(_xlfn.XLOOKUP(A653,'Adj factor'!A:A,'Adj factor'!I:I,,0)*AI653),'Master DataSheet'!AI653)</f>
        <v>100</v>
      </c>
      <c r="AM653" s="91">
        <f t="shared" si="191"/>
        <v>100</v>
      </c>
      <c r="AN653" s="92" t="str">
        <f t="shared" si="192"/>
        <v>No change</v>
      </c>
      <c r="AO653" s="93">
        <f>VLOOKUP(B653,'Growthrates source'!A$2:H$49,8,FALSE)</f>
        <v>5.6024318930811168E-2</v>
      </c>
      <c r="AP653" s="93">
        <f>VLOOKUP(B653,'Growthrates source'!A$2:I$49,9,FALSE)</f>
        <v>5.4673730437993617E-2</v>
      </c>
      <c r="AQ653" s="86">
        <f t="shared" si="193"/>
        <v>75.569184778014517</v>
      </c>
      <c r="AR653" s="86">
        <f t="shared" si="194"/>
        <v>117.82392832667634</v>
      </c>
      <c r="AS653" s="94">
        <f t="shared" si="195"/>
        <v>2.6048909432350196</v>
      </c>
      <c r="AT653" s="94">
        <f t="shared" si="196"/>
        <v>0.23415302110667055</v>
      </c>
      <c r="AU653" s="94">
        <f t="shared" si="197"/>
        <v>0.21114245168902351</v>
      </c>
    </row>
    <row r="654" spans="1:47" x14ac:dyDescent="0.3">
      <c r="A654" s="85" t="str">
        <f>_xlfn.XLOOKUP(B654,'Country codes &amp; Data sources'!G:G,'Country codes &amp; Data sources'!H:H,,0)</f>
        <v>Mauritania</v>
      </c>
      <c r="B654" s="85" t="s">
        <v>158</v>
      </c>
      <c r="C654" s="86">
        <v>3636117.5</v>
      </c>
      <c r="D654" s="85" t="s">
        <v>325</v>
      </c>
      <c r="E654" s="87">
        <v>695</v>
      </c>
      <c r="F654" s="88">
        <v>3742958.9999999981</v>
      </c>
      <c r="G654" s="87">
        <v>209</v>
      </c>
      <c r="I654" s="87">
        <v>0</v>
      </c>
      <c r="K654" s="87">
        <v>204</v>
      </c>
      <c r="M654" s="87">
        <v>0</v>
      </c>
      <c r="O654" s="87">
        <v>0</v>
      </c>
      <c r="P654" s="88">
        <v>4270711.4999999972</v>
      </c>
      <c r="Q654" s="87">
        <v>12751</v>
      </c>
      <c r="R654" s="87">
        <f t="shared" si="180"/>
        <v>12751</v>
      </c>
      <c r="T654" s="87">
        <v>0</v>
      </c>
      <c r="V654" s="87">
        <v>0</v>
      </c>
      <c r="X654" s="87">
        <v>0</v>
      </c>
      <c r="Y654" s="88">
        <v>4736138.9999999991</v>
      </c>
      <c r="Z654" s="87">
        <v>0</v>
      </c>
      <c r="AA654" s="87">
        <v>151</v>
      </c>
      <c r="AB654" s="89">
        <f t="shared" si="181"/>
        <v>695</v>
      </c>
      <c r="AC654" s="89">
        <f t="shared" si="182"/>
        <v>12751</v>
      </c>
      <c r="AD654" s="89">
        <f t="shared" si="183"/>
        <v>0</v>
      </c>
      <c r="AE654" s="90">
        <f t="shared" si="184"/>
        <v>209</v>
      </c>
      <c r="AF654" s="90">
        <f t="shared" si="185"/>
        <v>2013</v>
      </c>
      <c r="AG654" s="90">
        <f t="shared" si="186"/>
        <v>12751</v>
      </c>
      <c r="AH654" s="90">
        <f t="shared" si="187"/>
        <v>2018</v>
      </c>
      <c r="AI654" s="90">
        <f t="shared" si="188"/>
        <v>12751</v>
      </c>
      <c r="AJ654" s="90">
        <f t="shared" si="189"/>
        <v>2018</v>
      </c>
      <c r="AK654" s="90" t="str">
        <f t="shared" si="190"/>
        <v/>
      </c>
      <c r="AL654" s="91">
        <f>IF(AK654="Adjust",(_xlfn.XLOOKUP(A654,'Adj factor'!A:A,'Adj factor'!I:I,,0)*AI654),'Master DataSheet'!AI654)</f>
        <v>12751</v>
      </c>
      <c r="AM654" s="91">
        <f t="shared" si="191"/>
        <v>12751</v>
      </c>
      <c r="AN654" s="92" t="str">
        <f t="shared" si="192"/>
        <v>No change</v>
      </c>
      <c r="AO654" s="93">
        <f>VLOOKUP(B654,'Growthrates source'!A$2:H$49,8,FALSE)</f>
        <v>5.6024318930811168E-2</v>
      </c>
      <c r="AP654" s="93">
        <f>VLOOKUP(B654,'Growthrates source'!A$2:I$49,9,FALSE)</f>
        <v>5.4673730437993617E-2</v>
      </c>
      <c r="AQ654" s="86">
        <f t="shared" si="193"/>
        <v>114.10946901480192</v>
      </c>
      <c r="AR654" s="86">
        <f t="shared" si="194"/>
        <v>177.91413177328127</v>
      </c>
      <c r="AS654" s="94">
        <f t="shared" si="195"/>
        <v>0.55838175090884001</v>
      </c>
      <c r="AT654" s="94">
        <f t="shared" si="196"/>
        <v>29.856851721311561</v>
      </c>
      <c r="AU654" s="94">
        <f t="shared" si="197"/>
        <v>26.92277401486739</v>
      </c>
    </row>
    <row r="655" spans="1:47" x14ac:dyDescent="0.3">
      <c r="A655" s="85" t="str">
        <f>_xlfn.XLOOKUP(B655,'Country codes &amp; Data sources'!G:G,'Country codes &amp; Data sources'!H:H,,0)</f>
        <v>Mauritania</v>
      </c>
      <c r="B655" s="85" t="s">
        <v>158</v>
      </c>
      <c r="C655" s="86">
        <v>3636118.5</v>
      </c>
      <c r="D655" s="85" t="s">
        <v>127</v>
      </c>
      <c r="E655" s="87">
        <v>0</v>
      </c>
      <c r="F655" s="88">
        <v>3742958.9999999981</v>
      </c>
      <c r="G655" s="87">
        <v>0</v>
      </c>
      <c r="I655" s="87">
        <v>0</v>
      </c>
      <c r="K655" s="87">
        <v>0</v>
      </c>
      <c r="M655" s="87">
        <v>0</v>
      </c>
      <c r="O655" s="87">
        <v>0</v>
      </c>
      <c r="P655" s="88">
        <v>4270711.4999999972</v>
      </c>
      <c r="Q655" s="87">
        <v>0</v>
      </c>
      <c r="R655" s="87">
        <f t="shared" si="180"/>
        <v>500</v>
      </c>
      <c r="T655" s="87">
        <v>0</v>
      </c>
      <c r="V655" s="87">
        <v>0</v>
      </c>
      <c r="X655" s="87">
        <v>0</v>
      </c>
      <c r="Y655" s="88">
        <v>4736138.9999999991</v>
      </c>
      <c r="Z655" s="87">
        <v>0</v>
      </c>
      <c r="AA655" s="87">
        <v>500</v>
      </c>
      <c r="AB655" s="89">
        <f t="shared" si="181"/>
        <v>0</v>
      </c>
      <c r="AC655" s="89">
        <f t="shared" si="182"/>
        <v>0</v>
      </c>
      <c r="AD655" s="89">
        <f t="shared" si="183"/>
        <v>0</v>
      </c>
      <c r="AE655" s="90">
        <f t="shared" si="184"/>
        <v>0</v>
      </c>
      <c r="AF655" s="90" t="str">
        <f t="shared" si="185"/>
        <v/>
      </c>
      <c r="AG655" s="90">
        <f t="shared" si="186"/>
        <v>500</v>
      </c>
      <c r="AH655" s="90" t="str">
        <f t="shared" si="187"/>
        <v>2018 (triag)</v>
      </c>
      <c r="AI655" s="90">
        <f t="shared" si="188"/>
        <v>500</v>
      </c>
      <c r="AJ655" s="90" t="str">
        <f t="shared" si="189"/>
        <v>2018 (triag)</v>
      </c>
      <c r="AK655" s="90" t="str">
        <f t="shared" si="190"/>
        <v/>
      </c>
      <c r="AL655" s="91">
        <f>IF(AK655="Adjust",(_xlfn.XLOOKUP(A655,'Adj factor'!A:A,'Adj factor'!I:I,,0)*AI655),'Master DataSheet'!AI655)</f>
        <v>500</v>
      </c>
      <c r="AM655" s="91">
        <f t="shared" si="191"/>
        <v>500</v>
      </c>
      <c r="AN655" s="92" t="str">
        <f t="shared" si="192"/>
        <v>No change</v>
      </c>
      <c r="AO655" s="93">
        <f>VLOOKUP(B655,'Growthrates source'!A$2:H$49,8,FALSE)</f>
        <v>5.6024318930811168E-2</v>
      </c>
      <c r="AP655" s="93">
        <f>VLOOKUP(B655,'Growthrates source'!A$2:I$49,9,FALSE)</f>
        <v>5.4673730437993617E-2</v>
      </c>
      <c r="AQ655" s="86">
        <f t="shared" si="193"/>
        <v>377.84592389007258</v>
      </c>
      <c r="AR655" s="86">
        <f t="shared" si="194"/>
        <v>589.11964163338166</v>
      </c>
      <c r="AS655" s="94">
        <f t="shared" si="195"/>
        <v>0</v>
      </c>
      <c r="AT655" s="94">
        <f t="shared" si="196"/>
        <v>1.1707651055333528</v>
      </c>
      <c r="AU655" s="94">
        <f t="shared" si="197"/>
        <v>1.0557122584451177</v>
      </c>
    </row>
    <row r="656" spans="1:47" x14ac:dyDescent="0.3">
      <c r="A656" s="85" t="str">
        <f>_xlfn.XLOOKUP(B656,'Country codes &amp; Data sources'!G:G,'Country codes &amp; Data sources'!H:H,,0)</f>
        <v>Mauritania</v>
      </c>
      <c r="B656" s="85" t="s">
        <v>158</v>
      </c>
      <c r="C656" s="86">
        <v>3636119.5</v>
      </c>
      <c r="D656" s="85" t="s">
        <v>61</v>
      </c>
      <c r="E656" s="87">
        <v>1172</v>
      </c>
      <c r="F656" s="88">
        <v>3742958.9999999981</v>
      </c>
      <c r="G656" s="87">
        <v>35</v>
      </c>
      <c r="I656" s="87">
        <v>0</v>
      </c>
      <c r="K656" s="87">
        <v>12</v>
      </c>
      <c r="M656" s="87">
        <v>4</v>
      </c>
      <c r="O656" s="87">
        <v>0</v>
      </c>
      <c r="P656" s="88">
        <v>4270711.4999999972</v>
      </c>
      <c r="Q656" s="87">
        <v>4038</v>
      </c>
      <c r="R656" s="87">
        <f t="shared" si="180"/>
        <v>4038</v>
      </c>
      <c r="T656" s="87">
        <v>0</v>
      </c>
      <c r="V656" s="87">
        <v>0</v>
      </c>
      <c r="X656" s="87">
        <v>0</v>
      </c>
      <c r="Y656" s="88">
        <v>4736138.9999999991</v>
      </c>
      <c r="Z656" s="87">
        <v>0</v>
      </c>
      <c r="AA656" s="87">
        <v>20</v>
      </c>
      <c r="AB656" s="89">
        <f t="shared" si="181"/>
        <v>1172</v>
      </c>
      <c r="AC656" s="89">
        <f t="shared" si="182"/>
        <v>4038</v>
      </c>
      <c r="AD656" s="89">
        <f t="shared" si="183"/>
        <v>0</v>
      </c>
      <c r="AE656" s="90">
        <f t="shared" si="184"/>
        <v>35</v>
      </c>
      <c r="AF656" s="90">
        <f t="shared" si="185"/>
        <v>2013</v>
      </c>
      <c r="AG656" s="90">
        <f t="shared" si="186"/>
        <v>4038</v>
      </c>
      <c r="AH656" s="90">
        <f t="shared" si="187"/>
        <v>2018</v>
      </c>
      <c r="AI656" s="90">
        <f t="shared" si="188"/>
        <v>4038</v>
      </c>
      <c r="AJ656" s="90">
        <f t="shared" si="189"/>
        <v>2018</v>
      </c>
      <c r="AK656" s="90" t="str">
        <f t="shared" si="190"/>
        <v/>
      </c>
      <c r="AL656" s="91">
        <f>IF(AK656="Adjust",(_xlfn.XLOOKUP(A656,'Adj factor'!A:A,'Adj factor'!I:I,,0)*AI656),'Master DataSheet'!AI656)</f>
        <v>4038</v>
      </c>
      <c r="AM656" s="91">
        <f t="shared" si="191"/>
        <v>4038</v>
      </c>
      <c r="AN656" s="92" t="str">
        <f t="shared" si="192"/>
        <v>No change</v>
      </c>
      <c r="AO656" s="93">
        <f>VLOOKUP(B656,'Growthrates source'!A$2:H$49,8,FALSE)</f>
        <v>5.6024318930811168E-2</v>
      </c>
      <c r="AP656" s="93">
        <f>VLOOKUP(B656,'Growthrates source'!A$2:I$49,9,FALSE)</f>
        <v>5.4673730437993617E-2</v>
      </c>
      <c r="AQ656" s="86">
        <f t="shared" si="193"/>
        <v>15.113836955602903</v>
      </c>
      <c r="AR656" s="86">
        <f t="shared" si="194"/>
        <v>23.564785665335268</v>
      </c>
      <c r="AS656" s="94">
        <f t="shared" si="195"/>
        <v>9.3508905654590441E-2</v>
      </c>
      <c r="AT656" s="94">
        <f t="shared" si="196"/>
        <v>9.4550989922873576</v>
      </c>
      <c r="AU656" s="94">
        <f t="shared" si="197"/>
        <v>8.5259321992027708</v>
      </c>
    </row>
    <row r="657" spans="1:47" x14ac:dyDescent="0.3">
      <c r="A657" s="85" t="str">
        <f>_xlfn.XLOOKUP(B657,'Country codes &amp; Data sources'!G:G,'Country codes &amp; Data sources'!H:H,,0)</f>
        <v>Mauritania</v>
      </c>
      <c r="B657" s="85" t="s">
        <v>158</v>
      </c>
      <c r="C657" s="86">
        <v>3636120.5</v>
      </c>
      <c r="D657" s="85" t="s">
        <v>62</v>
      </c>
      <c r="E657" s="87">
        <v>0</v>
      </c>
      <c r="F657" s="88">
        <v>3742958.9999999981</v>
      </c>
      <c r="G657" s="87">
        <v>209</v>
      </c>
      <c r="I657" s="87">
        <v>0</v>
      </c>
      <c r="K657" s="87">
        <v>53</v>
      </c>
      <c r="M657" s="87">
        <v>0</v>
      </c>
      <c r="O657" s="87">
        <v>0</v>
      </c>
      <c r="P657" s="88">
        <v>4270711.4999999972</v>
      </c>
      <c r="Q657" s="87">
        <v>4745</v>
      </c>
      <c r="R657" s="87">
        <f t="shared" si="180"/>
        <v>4745</v>
      </c>
      <c r="T657" s="87">
        <v>0</v>
      </c>
      <c r="V657" s="87">
        <v>0</v>
      </c>
      <c r="X657" s="87">
        <v>0</v>
      </c>
      <c r="Y657" s="88">
        <v>4736138.9999999991</v>
      </c>
      <c r="Z657" s="87">
        <v>0</v>
      </c>
      <c r="AA657" s="87">
        <v>5</v>
      </c>
      <c r="AB657" s="89">
        <f t="shared" si="181"/>
        <v>209</v>
      </c>
      <c r="AC657" s="89">
        <f t="shared" si="182"/>
        <v>4745</v>
      </c>
      <c r="AD657" s="89">
        <f t="shared" si="183"/>
        <v>0</v>
      </c>
      <c r="AE657" s="90">
        <f t="shared" si="184"/>
        <v>209</v>
      </c>
      <c r="AF657" s="90">
        <f t="shared" si="185"/>
        <v>2013</v>
      </c>
      <c r="AG657" s="90">
        <f t="shared" si="186"/>
        <v>4745</v>
      </c>
      <c r="AH657" s="90">
        <f t="shared" si="187"/>
        <v>2018</v>
      </c>
      <c r="AI657" s="90">
        <f t="shared" si="188"/>
        <v>4745</v>
      </c>
      <c r="AJ657" s="90">
        <f t="shared" si="189"/>
        <v>2018</v>
      </c>
      <c r="AK657" s="90" t="str">
        <f t="shared" si="190"/>
        <v/>
      </c>
      <c r="AL657" s="91">
        <f>IF(AK657="Adjust",(_xlfn.XLOOKUP(A657,'Adj factor'!A:A,'Adj factor'!I:I,,0)*AI657),'Master DataSheet'!AI657)</f>
        <v>4745</v>
      </c>
      <c r="AM657" s="91">
        <f t="shared" si="191"/>
        <v>4745</v>
      </c>
      <c r="AN657" s="92" t="str">
        <f t="shared" si="192"/>
        <v>No change</v>
      </c>
      <c r="AO657" s="93">
        <f>VLOOKUP(B657,'Growthrates source'!A$2:H$49,8,FALSE)</f>
        <v>5.6024318930811168E-2</v>
      </c>
      <c r="AP657" s="93">
        <f>VLOOKUP(B657,'Growthrates source'!A$2:I$49,9,FALSE)</f>
        <v>5.4673730437993617E-2</v>
      </c>
      <c r="AQ657" s="86">
        <f t="shared" si="193"/>
        <v>3.7784592389007257</v>
      </c>
      <c r="AR657" s="86">
        <f t="shared" si="194"/>
        <v>5.8911964163338171</v>
      </c>
      <c r="AS657" s="94">
        <f t="shared" si="195"/>
        <v>0.55838175090884001</v>
      </c>
      <c r="AT657" s="94">
        <f t="shared" si="196"/>
        <v>11.110560851511517</v>
      </c>
      <c r="AU657" s="94">
        <f t="shared" si="197"/>
        <v>10.018709332644166</v>
      </c>
    </row>
    <row r="658" spans="1:47" x14ac:dyDescent="0.3">
      <c r="A658" s="85" t="str">
        <f>_xlfn.XLOOKUP(B658,'Country codes &amp; Data sources'!G:G,'Country codes &amp; Data sources'!H:H,,0)</f>
        <v>Mauritania</v>
      </c>
      <c r="B658" s="85" t="s">
        <v>158</v>
      </c>
      <c r="C658" s="86">
        <v>3636121.5</v>
      </c>
      <c r="D658" s="85" t="s">
        <v>203</v>
      </c>
      <c r="E658" s="87">
        <v>0</v>
      </c>
      <c r="F658" s="88">
        <v>3742958.9999999981</v>
      </c>
      <c r="G658" s="87">
        <v>0</v>
      </c>
      <c r="I658" s="87">
        <v>0</v>
      </c>
      <c r="K658" s="87">
        <v>0</v>
      </c>
      <c r="M658" s="87">
        <v>0</v>
      </c>
      <c r="O658" s="87">
        <v>0</v>
      </c>
      <c r="P658" s="88">
        <v>4270711.4999999972</v>
      </c>
      <c r="Q658" s="87">
        <v>0</v>
      </c>
      <c r="R658" s="87">
        <f t="shared" si="180"/>
        <v>38</v>
      </c>
      <c r="T658" s="87">
        <v>0</v>
      </c>
      <c r="V658" s="87">
        <v>0</v>
      </c>
      <c r="X658" s="87">
        <v>0</v>
      </c>
      <c r="Y658" s="88">
        <v>4736138.9999999991</v>
      </c>
      <c r="Z658" s="87">
        <v>0</v>
      </c>
      <c r="AA658" s="87">
        <v>38</v>
      </c>
      <c r="AB658" s="89">
        <f t="shared" si="181"/>
        <v>0</v>
      </c>
      <c r="AC658" s="89">
        <f t="shared" si="182"/>
        <v>0</v>
      </c>
      <c r="AD658" s="89">
        <f t="shared" si="183"/>
        <v>0</v>
      </c>
      <c r="AE658" s="90">
        <f t="shared" si="184"/>
        <v>0</v>
      </c>
      <c r="AF658" s="90" t="str">
        <f t="shared" si="185"/>
        <v/>
      </c>
      <c r="AG658" s="90">
        <f t="shared" si="186"/>
        <v>38</v>
      </c>
      <c r="AH658" s="90" t="str">
        <f t="shared" si="187"/>
        <v>2018 (triag)</v>
      </c>
      <c r="AI658" s="90">
        <f t="shared" si="188"/>
        <v>38</v>
      </c>
      <c r="AJ658" s="90" t="str">
        <f t="shared" si="189"/>
        <v>2018 (triag)</v>
      </c>
      <c r="AK658" s="90" t="str">
        <f t="shared" si="190"/>
        <v/>
      </c>
      <c r="AL658" s="91">
        <f>IF(AK658="Adjust",(_xlfn.XLOOKUP(A658,'Adj factor'!A:A,'Adj factor'!I:I,,0)*AI658),'Master DataSheet'!AI658)</f>
        <v>38</v>
      </c>
      <c r="AM658" s="91">
        <f t="shared" si="191"/>
        <v>38</v>
      </c>
      <c r="AN658" s="92" t="str">
        <f t="shared" si="192"/>
        <v>No change</v>
      </c>
      <c r="AO658" s="93">
        <f>VLOOKUP(B658,'Growthrates source'!A$2:H$49,8,FALSE)</f>
        <v>5.6024318930811168E-2</v>
      </c>
      <c r="AP658" s="93">
        <f>VLOOKUP(B658,'Growthrates source'!A$2:I$49,9,FALSE)</f>
        <v>5.4673730437993617E-2</v>
      </c>
      <c r="AQ658" s="86">
        <f t="shared" si="193"/>
        <v>28.716290215645515</v>
      </c>
      <c r="AR658" s="86">
        <f t="shared" si="194"/>
        <v>44.773092764137012</v>
      </c>
      <c r="AS658" s="94">
        <f t="shared" si="195"/>
        <v>0</v>
      </c>
      <c r="AT658" s="94">
        <f t="shared" si="196"/>
        <v>8.8978148020534803E-2</v>
      </c>
      <c r="AU658" s="94">
        <f t="shared" si="197"/>
        <v>8.0234131641828937E-2</v>
      </c>
    </row>
    <row r="659" spans="1:47" x14ac:dyDescent="0.3">
      <c r="A659" s="85" t="str">
        <f>_xlfn.XLOOKUP(B659,'Country codes &amp; Data sources'!G:G,'Country codes &amp; Data sources'!H:H,,0)</f>
        <v>Mauritania</v>
      </c>
      <c r="B659" s="85" t="s">
        <v>158</v>
      </c>
      <c r="C659" s="86">
        <v>3636122.5</v>
      </c>
      <c r="D659" s="85" t="s">
        <v>204</v>
      </c>
      <c r="E659" s="87">
        <v>0</v>
      </c>
      <c r="F659" s="88">
        <v>3742958.9999999981</v>
      </c>
      <c r="G659" s="87">
        <v>0</v>
      </c>
      <c r="I659" s="87">
        <v>0</v>
      </c>
      <c r="K659" s="87">
        <v>0</v>
      </c>
      <c r="M659" s="87">
        <v>0</v>
      </c>
      <c r="O659" s="87">
        <v>0</v>
      </c>
      <c r="P659" s="88">
        <v>4270711.4999999972</v>
      </c>
      <c r="Q659" s="87">
        <v>0</v>
      </c>
      <c r="R659" s="87">
        <f t="shared" si="180"/>
        <v>20</v>
      </c>
      <c r="T659" s="87">
        <v>0</v>
      </c>
      <c r="V659" s="87">
        <v>0</v>
      </c>
      <c r="X659" s="87">
        <v>0</v>
      </c>
      <c r="Y659" s="88">
        <v>4736138.9999999991</v>
      </c>
      <c r="Z659" s="87">
        <v>0</v>
      </c>
      <c r="AA659" s="87">
        <v>20</v>
      </c>
      <c r="AB659" s="89">
        <f t="shared" si="181"/>
        <v>0</v>
      </c>
      <c r="AC659" s="89">
        <f t="shared" si="182"/>
        <v>0</v>
      </c>
      <c r="AD659" s="89">
        <f t="shared" si="183"/>
        <v>0</v>
      </c>
      <c r="AE659" s="90">
        <f t="shared" si="184"/>
        <v>0</v>
      </c>
      <c r="AF659" s="90" t="str">
        <f t="shared" si="185"/>
        <v/>
      </c>
      <c r="AG659" s="90">
        <f t="shared" si="186"/>
        <v>20</v>
      </c>
      <c r="AH659" s="90" t="str">
        <f t="shared" si="187"/>
        <v>2018 (triag)</v>
      </c>
      <c r="AI659" s="90">
        <f t="shared" si="188"/>
        <v>20</v>
      </c>
      <c r="AJ659" s="90" t="str">
        <f t="shared" si="189"/>
        <v>2018 (triag)</v>
      </c>
      <c r="AK659" s="90" t="str">
        <f t="shared" si="190"/>
        <v/>
      </c>
      <c r="AL659" s="91">
        <f>IF(AK659="Adjust",(_xlfn.XLOOKUP(A659,'Adj factor'!A:A,'Adj factor'!I:I,,0)*AI659),'Master DataSheet'!AI659)</f>
        <v>20</v>
      </c>
      <c r="AM659" s="91">
        <f t="shared" si="191"/>
        <v>20</v>
      </c>
      <c r="AN659" s="92" t="str">
        <f t="shared" si="192"/>
        <v>No change</v>
      </c>
      <c r="AO659" s="93">
        <f>VLOOKUP(B659,'Growthrates source'!A$2:H$49,8,FALSE)</f>
        <v>5.6024318930811168E-2</v>
      </c>
      <c r="AP659" s="93">
        <f>VLOOKUP(B659,'Growthrates source'!A$2:I$49,9,FALSE)</f>
        <v>5.4673730437993617E-2</v>
      </c>
      <c r="AQ659" s="86">
        <f t="shared" si="193"/>
        <v>15.113836955602903</v>
      </c>
      <c r="AR659" s="86">
        <f t="shared" si="194"/>
        <v>23.564785665335268</v>
      </c>
      <c r="AS659" s="94">
        <f t="shared" si="195"/>
        <v>0</v>
      </c>
      <c r="AT659" s="94">
        <f t="shared" si="196"/>
        <v>4.6830604221334109E-2</v>
      </c>
      <c r="AU659" s="94">
        <f t="shared" si="197"/>
        <v>4.2228490337804708E-2</v>
      </c>
    </row>
    <row r="660" spans="1:47" x14ac:dyDescent="0.3">
      <c r="A660" s="85" t="str">
        <f>_xlfn.XLOOKUP(B660,'Country codes &amp; Data sources'!G:G,'Country codes &amp; Data sources'!H:H,,0)</f>
        <v>Mauritania</v>
      </c>
      <c r="B660" s="85" t="s">
        <v>158</v>
      </c>
      <c r="C660" s="86">
        <v>3636123.5</v>
      </c>
      <c r="D660" s="85" t="s">
        <v>205</v>
      </c>
      <c r="E660" s="87">
        <v>0</v>
      </c>
      <c r="F660" s="88">
        <v>3742958.9999999981</v>
      </c>
      <c r="G660" s="87">
        <v>0</v>
      </c>
      <c r="I660" s="87">
        <v>0</v>
      </c>
      <c r="K660" s="87">
        <v>0</v>
      </c>
      <c r="M660" s="87">
        <v>0</v>
      </c>
      <c r="O660" s="87">
        <v>0</v>
      </c>
      <c r="P660" s="88">
        <v>4270711.4999999972</v>
      </c>
      <c r="Q660" s="87">
        <v>0</v>
      </c>
      <c r="R660" s="87">
        <f t="shared" si="180"/>
        <v>9</v>
      </c>
      <c r="T660" s="87">
        <v>0</v>
      </c>
      <c r="V660" s="87">
        <v>0</v>
      </c>
      <c r="X660" s="87">
        <v>0</v>
      </c>
      <c r="Y660" s="88">
        <v>4736138.9999999991</v>
      </c>
      <c r="Z660" s="87">
        <v>0</v>
      </c>
      <c r="AA660" s="87">
        <v>9</v>
      </c>
      <c r="AB660" s="89">
        <f t="shared" si="181"/>
        <v>0</v>
      </c>
      <c r="AC660" s="89">
        <f t="shared" si="182"/>
        <v>0</v>
      </c>
      <c r="AD660" s="89">
        <f t="shared" si="183"/>
        <v>0</v>
      </c>
      <c r="AE660" s="90">
        <f t="shared" si="184"/>
        <v>0</v>
      </c>
      <c r="AF660" s="90" t="str">
        <f t="shared" si="185"/>
        <v/>
      </c>
      <c r="AG660" s="90">
        <f t="shared" si="186"/>
        <v>9</v>
      </c>
      <c r="AH660" s="90" t="str">
        <f t="shared" si="187"/>
        <v>2018 (triag)</v>
      </c>
      <c r="AI660" s="90">
        <f t="shared" si="188"/>
        <v>9</v>
      </c>
      <c r="AJ660" s="90" t="str">
        <f t="shared" si="189"/>
        <v>2018 (triag)</v>
      </c>
      <c r="AK660" s="90" t="str">
        <f t="shared" si="190"/>
        <v/>
      </c>
      <c r="AL660" s="91">
        <f>IF(AK660="Adjust",(_xlfn.XLOOKUP(A660,'Adj factor'!A:A,'Adj factor'!I:I,,0)*AI660),'Master DataSheet'!AI660)</f>
        <v>9</v>
      </c>
      <c r="AM660" s="91">
        <f t="shared" si="191"/>
        <v>9</v>
      </c>
      <c r="AN660" s="92" t="str">
        <f t="shared" si="192"/>
        <v>No change</v>
      </c>
      <c r="AO660" s="93">
        <f>VLOOKUP(B660,'Growthrates source'!A$2:H$49,8,FALSE)</f>
        <v>5.6024318930811168E-2</v>
      </c>
      <c r="AP660" s="93">
        <f>VLOOKUP(B660,'Growthrates source'!A$2:I$49,9,FALSE)</f>
        <v>5.4673730437993617E-2</v>
      </c>
      <c r="AQ660" s="86">
        <f t="shared" si="193"/>
        <v>6.801226630021306</v>
      </c>
      <c r="AR660" s="86">
        <f t="shared" si="194"/>
        <v>10.60415354940087</v>
      </c>
      <c r="AS660" s="94">
        <f t="shared" si="195"/>
        <v>0</v>
      </c>
      <c r="AT660" s="94">
        <f t="shared" si="196"/>
        <v>2.1073771899600351E-2</v>
      </c>
      <c r="AU660" s="94">
        <f t="shared" si="197"/>
        <v>1.9002820652012118E-2</v>
      </c>
    </row>
    <row r="661" spans="1:47" x14ac:dyDescent="0.3">
      <c r="A661" s="85" t="str">
        <f>_xlfn.XLOOKUP(B661,'Country codes &amp; Data sources'!G:G,'Country codes &amp; Data sources'!H:H,,0)</f>
        <v>Mauritania</v>
      </c>
      <c r="B661" s="85" t="s">
        <v>158</v>
      </c>
      <c r="C661" s="86">
        <v>3636124.5</v>
      </c>
      <c r="D661" s="85" t="s">
        <v>133</v>
      </c>
      <c r="E661" s="87">
        <v>0</v>
      </c>
      <c r="F661" s="88">
        <v>3742958.9999999981</v>
      </c>
      <c r="G661" s="87">
        <v>0</v>
      </c>
      <c r="I661" s="87">
        <v>0</v>
      </c>
      <c r="K661" s="87">
        <v>0</v>
      </c>
      <c r="M661" s="87">
        <v>0</v>
      </c>
      <c r="O661" s="87">
        <v>0</v>
      </c>
      <c r="P661" s="88">
        <v>4270711.4999999972</v>
      </c>
      <c r="Q661" s="87">
        <v>0</v>
      </c>
      <c r="R661" s="87">
        <f t="shared" si="180"/>
        <v>326</v>
      </c>
      <c r="T661" s="87">
        <v>0</v>
      </c>
      <c r="V661" s="87">
        <v>0</v>
      </c>
      <c r="X661" s="87">
        <v>0</v>
      </c>
      <c r="Y661" s="88">
        <v>4736138.9999999991</v>
      </c>
      <c r="Z661" s="87">
        <v>0</v>
      </c>
      <c r="AA661" s="87">
        <v>326</v>
      </c>
      <c r="AB661" s="89">
        <f t="shared" si="181"/>
        <v>0</v>
      </c>
      <c r="AC661" s="89">
        <f t="shared" si="182"/>
        <v>0</v>
      </c>
      <c r="AD661" s="89">
        <f t="shared" si="183"/>
        <v>0</v>
      </c>
      <c r="AE661" s="90">
        <f t="shared" si="184"/>
        <v>0</v>
      </c>
      <c r="AF661" s="90" t="str">
        <f t="shared" si="185"/>
        <v/>
      </c>
      <c r="AG661" s="90">
        <f t="shared" si="186"/>
        <v>326</v>
      </c>
      <c r="AH661" s="90" t="str">
        <f t="shared" si="187"/>
        <v>2018 (triag)</v>
      </c>
      <c r="AI661" s="90">
        <f t="shared" si="188"/>
        <v>326</v>
      </c>
      <c r="AJ661" s="90" t="str">
        <f t="shared" si="189"/>
        <v>2018 (triag)</v>
      </c>
      <c r="AK661" s="90" t="str">
        <f t="shared" si="190"/>
        <v/>
      </c>
      <c r="AL661" s="91">
        <f>IF(AK661="Adjust",(_xlfn.XLOOKUP(A661,'Adj factor'!A:A,'Adj factor'!I:I,,0)*AI661),'Master DataSheet'!AI661)</f>
        <v>326</v>
      </c>
      <c r="AM661" s="91">
        <f t="shared" si="191"/>
        <v>326</v>
      </c>
      <c r="AN661" s="92" t="str">
        <f t="shared" si="192"/>
        <v>No change</v>
      </c>
      <c r="AO661" s="93">
        <f>VLOOKUP(B661,'Growthrates source'!A$2:H$49,8,FALSE)</f>
        <v>5.6024318930811168E-2</v>
      </c>
      <c r="AP661" s="93">
        <f>VLOOKUP(B661,'Growthrates source'!A$2:I$49,9,FALSE)</f>
        <v>5.4673730437993617E-2</v>
      </c>
      <c r="AQ661" s="86">
        <f t="shared" si="193"/>
        <v>246.35554237632732</v>
      </c>
      <c r="AR661" s="86">
        <f t="shared" si="194"/>
        <v>384.1060063449649</v>
      </c>
      <c r="AS661" s="94">
        <f t="shared" si="195"/>
        <v>0</v>
      </c>
      <c r="AT661" s="94">
        <f t="shared" si="196"/>
        <v>0.76333884880774605</v>
      </c>
      <c r="AU661" s="94">
        <f t="shared" si="197"/>
        <v>0.68832439250621669</v>
      </c>
    </row>
    <row r="662" spans="1:47" x14ac:dyDescent="0.3">
      <c r="A662" s="85" t="str">
        <f>_xlfn.XLOOKUP(B662,'Country codes &amp; Data sources'!G:G,'Country codes &amp; Data sources'!H:H,,0)</f>
        <v>Mauritania</v>
      </c>
      <c r="B662" s="85" t="s">
        <v>158</v>
      </c>
      <c r="C662" s="86">
        <v>3636125.5</v>
      </c>
      <c r="D662" s="85" t="s">
        <v>206</v>
      </c>
      <c r="E662" s="87">
        <v>0</v>
      </c>
      <c r="F662" s="88">
        <v>3742958.9999999981</v>
      </c>
      <c r="G662" s="87">
        <v>0</v>
      </c>
      <c r="I662" s="87">
        <v>0</v>
      </c>
      <c r="K662" s="87">
        <v>0</v>
      </c>
      <c r="M662" s="87">
        <v>0</v>
      </c>
      <c r="O662" s="87">
        <v>0</v>
      </c>
      <c r="P662" s="88">
        <v>4270711.4999999972</v>
      </c>
      <c r="Q662" s="87">
        <v>0</v>
      </c>
      <c r="R662" s="87">
        <f t="shared" si="180"/>
        <v>0</v>
      </c>
      <c r="T662" s="87">
        <v>0</v>
      </c>
      <c r="V662" s="87">
        <v>0</v>
      </c>
      <c r="X662" s="87">
        <v>0</v>
      </c>
      <c r="Y662" s="88">
        <v>4736138.9999999991</v>
      </c>
      <c r="Z662" s="87">
        <v>0</v>
      </c>
      <c r="AA662" s="87">
        <v>0</v>
      </c>
      <c r="AB662" s="89">
        <f t="shared" si="181"/>
        <v>0</v>
      </c>
      <c r="AC662" s="89">
        <f t="shared" si="182"/>
        <v>0</v>
      </c>
      <c r="AD662" s="89">
        <f t="shared" si="183"/>
        <v>0</v>
      </c>
      <c r="AE662" s="90">
        <f t="shared" si="184"/>
        <v>0</v>
      </c>
      <c r="AF662" s="90" t="str">
        <f t="shared" si="185"/>
        <v/>
      </c>
      <c r="AG662" s="90">
        <f t="shared" si="186"/>
        <v>0</v>
      </c>
      <c r="AH662" s="90" t="str">
        <f t="shared" si="187"/>
        <v/>
      </c>
      <c r="AI662" s="90">
        <f t="shared" si="188"/>
        <v>0</v>
      </c>
      <c r="AJ662" s="90" t="str">
        <f t="shared" si="189"/>
        <v/>
      </c>
      <c r="AK662" s="90" t="str">
        <f t="shared" si="190"/>
        <v/>
      </c>
      <c r="AL662" s="91">
        <f>IF(AK662="Adjust",(_xlfn.XLOOKUP(A662,'Adj factor'!A:A,'Adj factor'!I:I,,0)*AI662),'Master DataSheet'!AI662)</f>
        <v>0</v>
      </c>
      <c r="AM662" s="91">
        <f t="shared" si="191"/>
        <v>0</v>
      </c>
      <c r="AN662" s="92" t="str">
        <f t="shared" si="192"/>
        <v>No change</v>
      </c>
      <c r="AO662" s="93">
        <f>VLOOKUP(B662,'Growthrates source'!A$2:H$49,8,FALSE)</f>
        <v>5.6024318930811168E-2</v>
      </c>
      <c r="AP662" s="93">
        <f>VLOOKUP(B662,'Growthrates source'!A$2:I$49,9,FALSE)</f>
        <v>5.4673730437993617E-2</v>
      </c>
      <c r="AQ662" s="86">
        <f t="shared" si="193"/>
        <v>0</v>
      </c>
      <c r="AR662" s="86">
        <f t="shared" si="194"/>
        <v>0</v>
      </c>
      <c r="AS662" s="94">
        <f t="shared" si="195"/>
        <v>0</v>
      </c>
      <c r="AT662" s="94">
        <f t="shared" si="196"/>
        <v>0</v>
      </c>
      <c r="AU662" s="94">
        <f t="shared" si="197"/>
        <v>0</v>
      </c>
    </row>
    <row r="663" spans="1:47" x14ac:dyDescent="0.3">
      <c r="A663" s="85" t="str">
        <f>_xlfn.XLOOKUP(B663,'Country codes &amp; Data sources'!G:G,'Country codes &amp; Data sources'!H:H,,0)</f>
        <v>Mauritania</v>
      </c>
      <c r="B663" s="85" t="s">
        <v>158</v>
      </c>
      <c r="C663" s="86">
        <v>3636126.5</v>
      </c>
      <c r="D663" s="85" t="s">
        <v>136</v>
      </c>
      <c r="E663" s="87">
        <v>0</v>
      </c>
      <c r="F663" s="88">
        <v>3742958.9999999981</v>
      </c>
      <c r="G663" s="87">
        <v>0</v>
      </c>
      <c r="I663" s="87">
        <v>0</v>
      </c>
      <c r="K663" s="87">
        <v>0</v>
      </c>
      <c r="M663" s="87">
        <v>0</v>
      </c>
      <c r="O663" s="87">
        <v>0</v>
      </c>
      <c r="P663" s="88">
        <v>4270711.4999999972</v>
      </c>
      <c r="Q663" s="87">
        <v>0</v>
      </c>
      <c r="R663" s="87">
        <f t="shared" si="180"/>
        <v>0</v>
      </c>
      <c r="T663" s="87">
        <v>0</v>
      </c>
      <c r="V663" s="87">
        <v>0</v>
      </c>
      <c r="X663" s="87">
        <v>0</v>
      </c>
      <c r="Y663" s="88">
        <v>4736138.9999999991</v>
      </c>
      <c r="Z663" s="87">
        <v>0</v>
      </c>
      <c r="AA663" s="87">
        <v>0</v>
      </c>
      <c r="AB663" s="89">
        <f t="shared" si="181"/>
        <v>0</v>
      </c>
      <c r="AC663" s="89">
        <f t="shared" si="182"/>
        <v>0</v>
      </c>
      <c r="AD663" s="89">
        <f t="shared" si="183"/>
        <v>0</v>
      </c>
      <c r="AE663" s="90">
        <f t="shared" si="184"/>
        <v>0</v>
      </c>
      <c r="AF663" s="90" t="str">
        <f t="shared" si="185"/>
        <v/>
      </c>
      <c r="AG663" s="90">
        <f t="shared" si="186"/>
        <v>0</v>
      </c>
      <c r="AH663" s="90" t="str">
        <f t="shared" si="187"/>
        <v/>
      </c>
      <c r="AI663" s="90">
        <f t="shared" si="188"/>
        <v>0</v>
      </c>
      <c r="AJ663" s="90" t="str">
        <f t="shared" si="189"/>
        <v/>
      </c>
      <c r="AK663" s="90" t="str">
        <f t="shared" si="190"/>
        <v/>
      </c>
      <c r="AL663" s="91">
        <f>IF(AK663="Adjust",(_xlfn.XLOOKUP(A663,'Adj factor'!A:A,'Adj factor'!I:I,,0)*AI663),'Master DataSheet'!AI663)</f>
        <v>0</v>
      </c>
      <c r="AM663" s="91">
        <f t="shared" si="191"/>
        <v>0</v>
      </c>
      <c r="AN663" s="92" t="str">
        <f t="shared" si="192"/>
        <v>No change</v>
      </c>
      <c r="AO663" s="93">
        <f>VLOOKUP(B663,'Growthrates source'!A$2:H$49,8,FALSE)</f>
        <v>5.6024318930811168E-2</v>
      </c>
      <c r="AP663" s="93">
        <f>VLOOKUP(B663,'Growthrates source'!A$2:I$49,9,FALSE)</f>
        <v>5.4673730437993617E-2</v>
      </c>
      <c r="AQ663" s="86">
        <f t="shared" si="193"/>
        <v>0</v>
      </c>
      <c r="AR663" s="86">
        <f t="shared" si="194"/>
        <v>0</v>
      </c>
      <c r="AS663" s="94">
        <f t="shared" si="195"/>
        <v>0</v>
      </c>
      <c r="AT663" s="94">
        <f t="shared" si="196"/>
        <v>0</v>
      </c>
      <c r="AU663" s="94">
        <f t="shared" si="197"/>
        <v>0</v>
      </c>
    </row>
    <row r="664" spans="1:47" x14ac:dyDescent="0.3">
      <c r="A664" s="85" t="str">
        <f>_xlfn.XLOOKUP(B664,'Country codes &amp; Data sources'!G:G,'Country codes &amp; Data sources'!H:H,,0)</f>
        <v>Mauritania</v>
      </c>
      <c r="B664" s="85" t="s">
        <v>158</v>
      </c>
      <c r="C664" s="86">
        <v>3636127.5</v>
      </c>
      <c r="D664" s="85" t="s">
        <v>207</v>
      </c>
      <c r="E664" s="87">
        <v>0</v>
      </c>
      <c r="F664" s="88">
        <v>3742958.9999999981</v>
      </c>
      <c r="G664" s="87">
        <v>0</v>
      </c>
      <c r="I664" s="87">
        <v>0</v>
      </c>
      <c r="K664" s="87">
        <v>0</v>
      </c>
      <c r="M664" s="87">
        <v>0</v>
      </c>
      <c r="O664" s="87">
        <v>0</v>
      </c>
      <c r="P664" s="88">
        <v>4270711.4999999972</v>
      </c>
      <c r="Q664" s="87">
        <v>0</v>
      </c>
      <c r="R664" s="87">
        <f t="shared" si="180"/>
        <v>15</v>
      </c>
      <c r="T664" s="87">
        <v>0</v>
      </c>
      <c r="V664" s="87">
        <v>0</v>
      </c>
      <c r="X664" s="87">
        <v>0</v>
      </c>
      <c r="Y664" s="88">
        <v>4736138.9999999991</v>
      </c>
      <c r="Z664" s="87">
        <v>0</v>
      </c>
      <c r="AA664" s="87">
        <v>15</v>
      </c>
      <c r="AB664" s="89">
        <f t="shared" si="181"/>
        <v>0</v>
      </c>
      <c r="AC664" s="89">
        <f t="shared" si="182"/>
        <v>0</v>
      </c>
      <c r="AD664" s="89">
        <f t="shared" si="183"/>
        <v>0</v>
      </c>
      <c r="AE664" s="90">
        <f t="shared" si="184"/>
        <v>0</v>
      </c>
      <c r="AF664" s="90" t="str">
        <f t="shared" si="185"/>
        <v/>
      </c>
      <c r="AG664" s="90">
        <f t="shared" si="186"/>
        <v>15</v>
      </c>
      <c r="AH664" s="90" t="str">
        <f t="shared" si="187"/>
        <v>2018 (triag)</v>
      </c>
      <c r="AI664" s="90">
        <f t="shared" si="188"/>
        <v>15</v>
      </c>
      <c r="AJ664" s="90" t="str">
        <f t="shared" si="189"/>
        <v>2018 (triag)</v>
      </c>
      <c r="AK664" s="90" t="str">
        <f t="shared" si="190"/>
        <v/>
      </c>
      <c r="AL664" s="91">
        <f>IF(AK664="Adjust",(_xlfn.XLOOKUP(A664,'Adj factor'!A:A,'Adj factor'!I:I,,0)*AI664),'Master DataSheet'!AI664)</f>
        <v>15</v>
      </c>
      <c r="AM664" s="91">
        <f t="shared" si="191"/>
        <v>15</v>
      </c>
      <c r="AN664" s="92" t="str">
        <f t="shared" si="192"/>
        <v>No change</v>
      </c>
      <c r="AO664" s="93">
        <f>VLOOKUP(B664,'Growthrates source'!A$2:H$49,8,FALSE)</f>
        <v>5.6024318930811168E-2</v>
      </c>
      <c r="AP664" s="93">
        <f>VLOOKUP(B664,'Growthrates source'!A$2:I$49,9,FALSE)</f>
        <v>5.4673730437993617E-2</v>
      </c>
      <c r="AQ664" s="86">
        <f t="shared" si="193"/>
        <v>11.335377716702178</v>
      </c>
      <c r="AR664" s="86">
        <f t="shared" si="194"/>
        <v>17.673589249001452</v>
      </c>
      <c r="AS664" s="94">
        <f t="shared" si="195"/>
        <v>0</v>
      </c>
      <c r="AT664" s="94">
        <f t="shared" si="196"/>
        <v>3.512295316600058E-2</v>
      </c>
      <c r="AU664" s="94">
        <f t="shared" si="197"/>
        <v>3.1671367753353531E-2</v>
      </c>
    </row>
    <row r="665" spans="1:47" x14ac:dyDescent="0.3">
      <c r="A665" s="85" t="str">
        <f>_xlfn.XLOOKUP(B665,'Country codes &amp; Data sources'!G:G,'Country codes &amp; Data sources'!H:H,,0)</f>
        <v>Mauritania</v>
      </c>
      <c r="B665" s="85" t="s">
        <v>158</v>
      </c>
      <c r="C665" s="86">
        <v>3636128.5</v>
      </c>
      <c r="D665" s="85" t="s">
        <v>141</v>
      </c>
      <c r="E665" s="87">
        <v>0</v>
      </c>
      <c r="F665" s="88">
        <v>3742958.9999999981</v>
      </c>
      <c r="G665" s="87">
        <v>0</v>
      </c>
      <c r="I665" s="87">
        <v>0</v>
      </c>
      <c r="K665" s="87">
        <v>0</v>
      </c>
      <c r="M665" s="87">
        <v>0</v>
      </c>
      <c r="O665" s="87">
        <v>0</v>
      </c>
      <c r="P665" s="88">
        <v>4270711.4999999972</v>
      </c>
      <c r="Q665" s="87">
        <v>0</v>
      </c>
      <c r="R665" s="87">
        <f t="shared" si="180"/>
        <v>0</v>
      </c>
      <c r="T665" s="87">
        <v>0</v>
      </c>
      <c r="V665" s="87">
        <v>0</v>
      </c>
      <c r="X665" s="87">
        <v>0</v>
      </c>
      <c r="Y665" s="88">
        <v>4736138.9999999991</v>
      </c>
      <c r="Z665" s="87">
        <v>0</v>
      </c>
      <c r="AA665" s="87">
        <v>0</v>
      </c>
      <c r="AB665" s="89">
        <f t="shared" si="181"/>
        <v>0</v>
      </c>
      <c r="AC665" s="89">
        <f t="shared" si="182"/>
        <v>0</v>
      </c>
      <c r="AD665" s="89">
        <f t="shared" si="183"/>
        <v>0</v>
      </c>
      <c r="AE665" s="90">
        <f t="shared" si="184"/>
        <v>0</v>
      </c>
      <c r="AF665" s="90" t="str">
        <f t="shared" si="185"/>
        <v/>
      </c>
      <c r="AG665" s="90">
        <f t="shared" si="186"/>
        <v>0</v>
      </c>
      <c r="AH665" s="90" t="str">
        <f t="shared" si="187"/>
        <v/>
      </c>
      <c r="AI665" s="90">
        <f t="shared" si="188"/>
        <v>0</v>
      </c>
      <c r="AJ665" s="90" t="str">
        <f t="shared" si="189"/>
        <v/>
      </c>
      <c r="AK665" s="90" t="str">
        <f t="shared" si="190"/>
        <v/>
      </c>
      <c r="AL665" s="91">
        <f>IF(AK665="Adjust",(_xlfn.XLOOKUP(A665,'Adj factor'!A:A,'Adj factor'!I:I,,0)*AI665),'Master DataSheet'!AI665)</f>
        <v>0</v>
      </c>
      <c r="AM665" s="91">
        <f t="shared" si="191"/>
        <v>0</v>
      </c>
      <c r="AN665" s="92" t="str">
        <f t="shared" si="192"/>
        <v>No change</v>
      </c>
      <c r="AO665" s="93">
        <f>VLOOKUP(B665,'Growthrates source'!A$2:H$49,8,FALSE)</f>
        <v>5.6024318930811168E-2</v>
      </c>
      <c r="AP665" s="93">
        <f>VLOOKUP(B665,'Growthrates source'!A$2:I$49,9,FALSE)</f>
        <v>5.4673730437993617E-2</v>
      </c>
      <c r="AQ665" s="86">
        <f t="shared" si="193"/>
        <v>0</v>
      </c>
      <c r="AR665" s="86">
        <f t="shared" si="194"/>
        <v>0</v>
      </c>
      <c r="AS665" s="94">
        <f t="shared" si="195"/>
        <v>0</v>
      </c>
      <c r="AT665" s="94">
        <f t="shared" si="196"/>
        <v>0</v>
      </c>
      <c r="AU665" s="94">
        <f t="shared" si="197"/>
        <v>0</v>
      </c>
    </row>
    <row r="666" spans="1:47" x14ac:dyDescent="0.3">
      <c r="A666" s="85" t="str">
        <f>_xlfn.XLOOKUP(B666,'Country codes &amp; Data sources'!G:G,'Country codes &amp; Data sources'!H:H,,0)</f>
        <v>Mauritania</v>
      </c>
      <c r="B666" s="85" t="s">
        <v>158</v>
      </c>
      <c r="C666" s="86">
        <v>3636129.5</v>
      </c>
      <c r="D666" s="85" t="s">
        <v>208</v>
      </c>
      <c r="E666" s="87">
        <v>0</v>
      </c>
      <c r="F666" s="88">
        <v>3742958.9999999981</v>
      </c>
      <c r="G666" s="87">
        <v>0</v>
      </c>
      <c r="I666" s="87">
        <v>0</v>
      </c>
      <c r="K666" s="87">
        <v>0</v>
      </c>
      <c r="M666" s="87">
        <v>0</v>
      </c>
      <c r="O666" s="87">
        <v>0</v>
      </c>
      <c r="P666" s="88">
        <v>4270711.4999999972</v>
      </c>
      <c r="Q666" s="87">
        <v>0</v>
      </c>
      <c r="R666" s="87">
        <f t="shared" si="180"/>
        <v>1532</v>
      </c>
      <c r="T666" s="87">
        <v>0</v>
      </c>
      <c r="V666" s="87">
        <v>0</v>
      </c>
      <c r="X666" s="87">
        <v>0</v>
      </c>
      <c r="Y666" s="88">
        <v>4736138.9999999991</v>
      </c>
      <c r="Z666" s="87">
        <v>0</v>
      </c>
      <c r="AA666" s="87">
        <v>1532</v>
      </c>
      <c r="AB666" s="89">
        <f t="shared" si="181"/>
        <v>0</v>
      </c>
      <c r="AC666" s="89">
        <f t="shared" si="182"/>
        <v>0</v>
      </c>
      <c r="AD666" s="89">
        <f t="shared" si="183"/>
        <v>0</v>
      </c>
      <c r="AE666" s="90">
        <f t="shared" si="184"/>
        <v>0</v>
      </c>
      <c r="AF666" s="90" t="str">
        <f t="shared" si="185"/>
        <v/>
      </c>
      <c r="AG666" s="90">
        <f t="shared" si="186"/>
        <v>1532</v>
      </c>
      <c r="AH666" s="90" t="str">
        <f t="shared" si="187"/>
        <v>2018 (triag)</v>
      </c>
      <c r="AI666" s="90">
        <f t="shared" si="188"/>
        <v>1532</v>
      </c>
      <c r="AJ666" s="90" t="str">
        <f t="shared" si="189"/>
        <v>2018 (triag)</v>
      </c>
      <c r="AK666" s="90" t="str">
        <f t="shared" si="190"/>
        <v/>
      </c>
      <c r="AL666" s="91">
        <f>IF(AK666="Adjust",(_xlfn.XLOOKUP(A666,'Adj factor'!A:A,'Adj factor'!I:I,,0)*AI666),'Master DataSheet'!AI666)</f>
        <v>1532</v>
      </c>
      <c r="AM666" s="91">
        <f t="shared" si="191"/>
        <v>1532</v>
      </c>
      <c r="AN666" s="92" t="str">
        <f t="shared" si="192"/>
        <v>No change</v>
      </c>
      <c r="AO666" s="93">
        <f>VLOOKUP(B666,'Growthrates source'!A$2:H$49,8,FALSE)</f>
        <v>5.6024318930811168E-2</v>
      </c>
      <c r="AP666" s="93">
        <f>VLOOKUP(B666,'Growthrates source'!A$2:I$49,9,FALSE)</f>
        <v>5.4673730437993617E-2</v>
      </c>
      <c r="AQ666" s="86">
        <f t="shared" si="193"/>
        <v>1157.7199107991823</v>
      </c>
      <c r="AR666" s="86">
        <f t="shared" si="194"/>
        <v>1805.0625819646816</v>
      </c>
      <c r="AS666" s="94">
        <f t="shared" si="195"/>
        <v>0</v>
      </c>
      <c r="AT666" s="94">
        <f t="shared" si="196"/>
        <v>3.587224283354193</v>
      </c>
      <c r="AU666" s="94">
        <f t="shared" si="197"/>
        <v>3.2347023598758406</v>
      </c>
    </row>
    <row r="667" spans="1:47" x14ac:dyDescent="0.3">
      <c r="A667" s="85" t="str">
        <f>_xlfn.XLOOKUP(B667,'Country codes &amp; Data sources'!G:G,'Country codes &amp; Data sources'!H:H,,0)</f>
        <v>Mauritania</v>
      </c>
      <c r="B667" s="85" t="s">
        <v>158</v>
      </c>
      <c r="C667" s="86">
        <v>3636130.5</v>
      </c>
      <c r="D667" s="85" t="s">
        <v>209</v>
      </c>
      <c r="E667" s="87">
        <v>0</v>
      </c>
      <c r="F667" s="88">
        <v>3742958.9999999981</v>
      </c>
      <c r="G667" s="87">
        <v>0</v>
      </c>
      <c r="I667" s="87">
        <v>0</v>
      </c>
      <c r="K667" s="87">
        <v>0</v>
      </c>
      <c r="M667" s="87">
        <v>0</v>
      </c>
      <c r="O667" s="87">
        <v>0</v>
      </c>
      <c r="P667" s="88">
        <v>4270711.4999999972</v>
      </c>
      <c r="Q667" s="87">
        <v>0</v>
      </c>
      <c r="R667" s="87">
        <f t="shared" si="180"/>
        <v>4</v>
      </c>
      <c r="T667" s="87">
        <v>0</v>
      </c>
      <c r="V667" s="87">
        <v>0</v>
      </c>
      <c r="X667" s="87">
        <v>0</v>
      </c>
      <c r="Y667" s="88">
        <v>4736138.9999999991</v>
      </c>
      <c r="Z667" s="87">
        <v>0</v>
      </c>
      <c r="AA667" s="87">
        <v>4</v>
      </c>
      <c r="AB667" s="89">
        <f t="shared" si="181"/>
        <v>0</v>
      </c>
      <c r="AC667" s="89">
        <f t="shared" si="182"/>
        <v>0</v>
      </c>
      <c r="AD667" s="89">
        <f t="shared" si="183"/>
        <v>0</v>
      </c>
      <c r="AE667" s="90">
        <f t="shared" si="184"/>
        <v>0</v>
      </c>
      <c r="AF667" s="90" t="str">
        <f t="shared" si="185"/>
        <v/>
      </c>
      <c r="AG667" s="90">
        <f t="shared" si="186"/>
        <v>4</v>
      </c>
      <c r="AH667" s="90" t="str">
        <f t="shared" si="187"/>
        <v>2018 (triag)</v>
      </c>
      <c r="AI667" s="90">
        <f t="shared" si="188"/>
        <v>4</v>
      </c>
      <c r="AJ667" s="90" t="str">
        <f t="shared" si="189"/>
        <v>2018 (triag)</v>
      </c>
      <c r="AK667" s="90" t="str">
        <f t="shared" si="190"/>
        <v/>
      </c>
      <c r="AL667" s="91">
        <f>IF(AK667="Adjust",(_xlfn.XLOOKUP(A667,'Adj factor'!A:A,'Adj factor'!I:I,,0)*AI667),'Master DataSheet'!AI667)</f>
        <v>4</v>
      </c>
      <c r="AM667" s="91">
        <f t="shared" si="191"/>
        <v>4</v>
      </c>
      <c r="AN667" s="92" t="str">
        <f t="shared" si="192"/>
        <v>No change</v>
      </c>
      <c r="AO667" s="93">
        <f>VLOOKUP(B667,'Growthrates source'!A$2:H$49,8,FALSE)</f>
        <v>5.6024318930811168E-2</v>
      </c>
      <c r="AP667" s="93">
        <f>VLOOKUP(B667,'Growthrates source'!A$2:I$49,9,FALSE)</f>
        <v>5.4673730437993617E-2</v>
      </c>
      <c r="AQ667" s="86">
        <f t="shared" si="193"/>
        <v>3.0227673911205803</v>
      </c>
      <c r="AR667" s="86">
        <f t="shared" si="194"/>
        <v>4.7129571330670537</v>
      </c>
      <c r="AS667" s="94">
        <f t="shared" si="195"/>
        <v>0</v>
      </c>
      <c r="AT667" s="94">
        <f t="shared" si="196"/>
        <v>9.3661208442668217E-3</v>
      </c>
      <c r="AU667" s="94">
        <f t="shared" si="197"/>
        <v>8.445698067560941E-3</v>
      </c>
    </row>
    <row r="668" spans="1:47" x14ac:dyDescent="0.3">
      <c r="A668" s="85" t="str">
        <f>_xlfn.XLOOKUP(B668,'Country codes &amp; Data sources'!G:G,'Country codes &amp; Data sources'!H:H,,0)</f>
        <v>Mauritania</v>
      </c>
      <c r="B668" s="85" t="s">
        <v>158</v>
      </c>
      <c r="C668" s="86">
        <v>3636131.5</v>
      </c>
      <c r="D668" s="85" t="s">
        <v>134</v>
      </c>
      <c r="E668" s="87">
        <v>0</v>
      </c>
      <c r="F668" s="88">
        <v>3742958.9999999981</v>
      </c>
      <c r="G668" s="87">
        <v>0</v>
      </c>
      <c r="I668" s="87">
        <v>0</v>
      </c>
      <c r="K668" s="87">
        <v>0</v>
      </c>
      <c r="M668" s="87">
        <v>0</v>
      </c>
      <c r="O668" s="87">
        <v>0</v>
      </c>
      <c r="P668" s="88">
        <v>4270711.4999999972</v>
      </c>
      <c r="Q668" s="87">
        <v>0</v>
      </c>
      <c r="R668" s="87">
        <f t="shared" si="180"/>
        <v>122</v>
      </c>
      <c r="T668" s="87">
        <v>0</v>
      </c>
      <c r="V668" s="87">
        <v>0</v>
      </c>
      <c r="X668" s="87">
        <v>0</v>
      </c>
      <c r="Y668" s="88">
        <v>4736138.9999999991</v>
      </c>
      <c r="Z668" s="87">
        <v>0</v>
      </c>
      <c r="AA668" s="87">
        <v>122</v>
      </c>
      <c r="AB668" s="89">
        <f t="shared" si="181"/>
        <v>0</v>
      </c>
      <c r="AC668" s="89">
        <f t="shared" si="182"/>
        <v>0</v>
      </c>
      <c r="AD668" s="89">
        <f t="shared" si="183"/>
        <v>0</v>
      </c>
      <c r="AE668" s="90">
        <f t="shared" si="184"/>
        <v>0</v>
      </c>
      <c r="AF668" s="90" t="str">
        <f t="shared" si="185"/>
        <v/>
      </c>
      <c r="AG668" s="90">
        <f t="shared" si="186"/>
        <v>122</v>
      </c>
      <c r="AH668" s="90" t="str">
        <f t="shared" si="187"/>
        <v>2018 (triag)</v>
      </c>
      <c r="AI668" s="90">
        <f t="shared" si="188"/>
        <v>122</v>
      </c>
      <c r="AJ668" s="90" t="str">
        <f t="shared" si="189"/>
        <v>2018 (triag)</v>
      </c>
      <c r="AK668" s="90" t="str">
        <f t="shared" si="190"/>
        <v/>
      </c>
      <c r="AL668" s="91">
        <f>IF(AK668="Adjust",(_xlfn.XLOOKUP(A668,'Adj factor'!A:A,'Adj factor'!I:I,,0)*AI668),'Master DataSheet'!AI668)</f>
        <v>122</v>
      </c>
      <c r="AM668" s="91">
        <f t="shared" si="191"/>
        <v>122</v>
      </c>
      <c r="AN668" s="92" t="str">
        <f t="shared" si="192"/>
        <v>No change</v>
      </c>
      <c r="AO668" s="93">
        <f>VLOOKUP(B668,'Growthrates source'!A$2:H$49,8,FALSE)</f>
        <v>5.6024318930811168E-2</v>
      </c>
      <c r="AP668" s="93">
        <f>VLOOKUP(B668,'Growthrates source'!A$2:I$49,9,FALSE)</f>
        <v>5.4673730437993617E-2</v>
      </c>
      <c r="AQ668" s="86">
        <f t="shared" si="193"/>
        <v>92.194405429177706</v>
      </c>
      <c r="AR668" s="86">
        <f t="shared" si="194"/>
        <v>143.74519255854514</v>
      </c>
      <c r="AS668" s="94">
        <f t="shared" si="195"/>
        <v>0</v>
      </c>
      <c r="AT668" s="94">
        <f t="shared" si="196"/>
        <v>0.28566668575013809</v>
      </c>
      <c r="AU668" s="94">
        <f t="shared" si="197"/>
        <v>0.2575937910606087</v>
      </c>
    </row>
    <row r="669" spans="1:47" x14ac:dyDescent="0.3">
      <c r="A669" s="85" t="str">
        <f>_xlfn.XLOOKUP(B669,'Country codes &amp; Data sources'!G:G,'Country codes &amp; Data sources'!H:H,,0)</f>
        <v>Mauritania</v>
      </c>
      <c r="B669" s="85" t="s">
        <v>158</v>
      </c>
      <c r="C669" s="86">
        <v>3636132.5</v>
      </c>
      <c r="D669" s="85" t="s">
        <v>142</v>
      </c>
      <c r="E669" s="87">
        <v>0</v>
      </c>
      <c r="F669" s="88">
        <v>3742958.9999999981</v>
      </c>
      <c r="G669" s="87">
        <v>0</v>
      </c>
      <c r="I669" s="87">
        <v>0</v>
      </c>
      <c r="K669" s="87">
        <v>0</v>
      </c>
      <c r="M669" s="87">
        <v>0</v>
      </c>
      <c r="O669" s="87">
        <v>0</v>
      </c>
      <c r="P669" s="88">
        <v>4270711.4999999972</v>
      </c>
      <c r="Q669" s="87">
        <v>0</v>
      </c>
      <c r="R669" s="87">
        <f t="shared" si="180"/>
        <v>65</v>
      </c>
      <c r="T669" s="87">
        <v>0</v>
      </c>
      <c r="V669" s="87">
        <v>0</v>
      </c>
      <c r="X669" s="87">
        <v>0</v>
      </c>
      <c r="Y669" s="88">
        <v>4736138.9999999991</v>
      </c>
      <c r="Z669" s="87">
        <v>0</v>
      </c>
      <c r="AA669" s="87">
        <v>65</v>
      </c>
      <c r="AB669" s="89">
        <f t="shared" si="181"/>
        <v>0</v>
      </c>
      <c r="AC669" s="89">
        <f t="shared" si="182"/>
        <v>0</v>
      </c>
      <c r="AD669" s="89">
        <f t="shared" si="183"/>
        <v>0</v>
      </c>
      <c r="AE669" s="90">
        <f t="shared" si="184"/>
        <v>0</v>
      </c>
      <c r="AF669" s="90" t="str">
        <f t="shared" si="185"/>
        <v/>
      </c>
      <c r="AG669" s="90">
        <f t="shared" si="186"/>
        <v>65</v>
      </c>
      <c r="AH669" s="90" t="str">
        <f t="shared" si="187"/>
        <v>2018 (triag)</v>
      </c>
      <c r="AI669" s="90">
        <f t="shared" si="188"/>
        <v>65</v>
      </c>
      <c r="AJ669" s="90" t="str">
        <f t="shared" si="189"/>
        <v>2018 (triag)</v>
      </c>
      <c r="AK669" s="90" t="str">
        <f t="shared" si="190"/>
        <v/>
      </c>
      <c r="AL669" s="91">
        <f>IF(AK669="Adjust",(_xlfn.XLOOKUP(A669,'Adj factor'!A:A,'Adj factor'!I:I,,0)*AI669),'Master DataSheet'!AI669)</f>
        <v>65</v>
      </c>
      <c r="AM669" s="91">
        <f t="shared" si="191"/>
        <v>65</v>
      </c>
      <c r="AN669" s="92" t="str">
        <f t="shared" si="192"/>
        <v>No change</v>
      </c>
      <c r="AO669" s="93">
        <f>VLOOKUP(B669,'Growthrates source'!A$2:H$49,8,FALSE)</f>
        <v>5.6024318930811168E-2</v>
      </c>
      <c r="AP669" s="93">
        <f>VLOOKUP(B669,'Growthrates source'!A$2:I$49,9,FALSE)</f>
        <v>5.4673730437993617E-2</v>
      </c>
      <c r="AQ669" s="86">
        <f t="shared" si="193"/>
        <v>49.119970105709434</v>
      </c>
      <c r="AR669" s="86">
        <f t="shared" si="194"/>
        <v>76.585553412339621</v>
      </c>
      <c r="AS669" s="94">
        <f t="shared" si="195"/>
        <v>0</v>
      </c>
      <c r="AT669" s="94">
        <f t="shared" si="196"/>
        <v>0.15219946371933585</v>
      </c>
      <c r="AU669" s="94">
        <f t="shared" si="197"/>
        <v>0.13724259359786528</v>
      </c>
    </row>
    <row r="670" spans="1:47" x14ac:dyDescent="0.3">
      <c r="A670" s="85" t="str">
        <f>_xlfn.XLOOKUP(B670,'Country codes &amp; Data sources'!G:G,'Country codes &amp; Data sources'!H:H,,0)</f>
        <v>Mauritania</v>
      </c>
      <c r="B670" s="85" t="s">
        <v>158</v>
      </c>
      <c r="C670" s="86">
        <v>3636133.5</v>
      </c>
      <c r="D670" s="85" t="s">
        <v>83</v>
      </c>
      <c r="E670" s="87">
        <v>0</v>
      </c>
      <c r="F670" s="88">
        <v>3742958.9999999981</v>
      </c>
      <c r="G670" s="87">
        <v>0</v>
      </c>
      <c r="I670" s="87">
        <v>0</v>
      </c>
      <c r="K670" s="87">
        <v>0</v>
      </c>
      <c r="M670" s="87">
        <v>0</v>
      </c>
      <c r="O670" s="87">
        <v>0</v>
      </c>
      <c r="P670" s="88">
        <v>4270711.4999999972</v>
      </c>
      <c r="Q670" s="87">
        <v>0</v>
      </c>
      <c r="R670" s="87">
        <f t="shared" si="180"/>
        <v>7</v>
      </c>
      <c r="T670" s="87">
        <v>0</v>
      </c>
      <c r="V670" s="87">
        <v>0</v>
      </c>
      <c r="X670" s="87">
        <v>0</v>
      </c>
      <c r="Y670" s="88">
        <v>4736138.9999999991</v>
      </c>
      <c r="Z670" s="87">
        <v>0</v>
      </c>
      <c r="AA670" s="87">
        <v>7</v>
      </c>
      <c r="AB670" s="89">
        <f t="shared" si="181"/>
        <v>0</v>
      </c>
      <c r="AC670" s="89">
        <f t="shared" si="182"/>
        <v>0</v>
      </c>
      <c r="AD670" s="89">
        <f t="shared" si="183"/>
        <v>0</v>
      </c>
      <c r="AE670" s="90">
        <f t="shared" si="184"/>
        <v>0</v>
      </c>
      <c r="AF670" s="90" t="str">
        <f t="shared" si="185"/>
        <v/>
      </c>
      <c r="AG670" s="90">
        <f t="shared" si="186"/>
        <v>7</v>
      </c>
      <c r="AH670" s="90" t="str">
        <f t="shared" si="187"/>
        <v>2018 (triag)</v>
      </c>
      <c r="AI670" s="90">
        <f t="shared" si="188"/>
        <v>7</v>
      </c>
      <c r="AJ670" s="90" t="str">
        <f t="shared" si="189"/>
        <v>2018 (triag)</v>
      </c>
      <c r="AK670" s="90" t="str">
        <f t="shared" si="190"/>
        <v/>
      </c>
      <c r="AL670" s="91">
        <f>IF(AK670="Adjust",(_xlfn.XLOOKUP(A670,'Adj factor'!A:A,'Adj factor'!I:I,,0)*AI670),'Master DataSheet'!AI670)</f>
        <v>7</v>
      </c>
      <c r="AM670" s="91">
        <f t="shared" si="191"/>
        <v>7</v>
      </c>
      <c r="AN670" s="92" t="str">
        <f t="shared" si="192"/>
        <v>No change</v>
      </c>
      <c r="AO670" s="93">
        <f>VLOOKUP(B670,'Growthrates source'!A$2:H$49,8,FALSE)</f>
        <v>5.6024318930811168E-2</v>
      </c>
      <c r="AP670" s="93">
        <f>VLOOKUP(B670,'Growthrates source'!A$2:I$49,9,FALSE)</f>
        <v>5.4673730437993617E-2</v>
      </c>
      <c r="AQ670" s="86">
        <f t="shared" si="193"/>
        <v>5.2898429344610163</v>
      </c>
      <c r="AR670" s="86">
        <f t="shared" si="194"/>
        <v>8.2476749828673448</v>
      </c>
      <c r="AS670" s="94">
        <f t="shared" si="195"/>
        <v>0</v>
      </c>
      <c r="AT670" s="94">
        <f t="shared" si="196"/>
        <v>1.639071147746694E-2</v>
      </c>
      <c r="AU670" s="94">
        <f t="shared" si="197"/>
        <v>1.4779971618231648E-2</v>
      </c>
    </row>
    <row r="671" spans="1:47" x14ac:dyDescent="0.3">
      <c r="A671" s="85" t="str">
        <f>_xlfn.XLOOKUP(B671,'Country codes &amp; Data sources'!G:G,'Country codes &amp; Data sources'!H:H,,0)</f>
        <v>Mauritania</v>
      </c>
      <c r="B671" s="85" t="s">
        <v>158</v>
      </c>
      <c r="C671" s="86">
        <v>3636134.5</v>
      </c>
      <c r="D671" s="85" t="s">
        <v>84</v>
      </c>
      <c r="E671" s="87">
        <v>0</v>
      </c>
      <c r="F671" s="88">
        <v>3742958.9999999981</v>
      </c>
      <c r="G671" s="87">
        <v>0</v>
      </c>
      <c r="I671" s="87">
        <v>0</v>
      </c>
      <c r="K671" s="87">
        <v>0</v>
      </c>
      <c r="M671" s="87">
        <v>0</v>
      </c>
      <c r="O671" s="87">
        <v>0</v>
      </c>
      <c r="P671" s="88">
        <v>4270711.4999999972</v>
      </c>
      <c r="Q671" s="87">
        <v>0</v>
      </c>
      <c r="R671" s="87">
        <f t="shared" si="180"/>
        <v>0</v>
      </c>
      <c r="T671" s="87">
        <v>0</v>
      </c>
      <c r="V671" s="87">
        <v>0</v>
      </c>
      <c r="X671" s="87">
        <v>0</v>
      </c>
      <c r="Y671" s="88">
        <v>4736138.9999999991</v>
      </c>
      <c r="Z671" s="87">
        <v>0</v>
      </c>
      <c r="AA671" s="87">
        <v>0</v>
      </c>
      <c r="AB671" s="89">
        <f t="shared" si="181"/>
        <v>0</v>
      </c>
      <c r="AC671" s="89">
        <f t="shared" si="182"/>
        <v>0</v>
      </c>
      <c r="AD671" s="89">
        <f t="shared" si="183"/>
        <v>0</v>
      </c>
      <c r="AE671" s="90">
        <f t="shared" si="184"/>
        <v>0</v>
      </c>
      <c r="AF671" s="90" t="str">
        <f t="shared" si="185"/>
        <v/>
      </c>
      <c r="AG671" s="90">
        <f t="shared" si="186"/>
        <v>0</v>
      </c>
      <c r="AH671" s="90" t="str">
        <f t="shared" si="187"/>
        <v/>
      </c>
      <c r="AI671" s="90">
        <f t="shared" si="188"/>
        <v>0</v>
      </c>
      <c r="AJ671" s="90" t="str">
        <f t="shared" si="189"/>
        <v/>
      </c>
      <c r="AK671" s="90" t="str">
        <f t="shared" si="190"/>
        <v/>
      </c>
      <c r="AL671" s="91">
        <f>IF(AK671="Adjust",(_xlfn.XLOOKUP(A671,'Adj factor'!A:A,'Adj factor'!I:I,,0)*AI671),'Master DataSheet'!AI671)</f>
        <v>0</v>
      </c>
      <c r="AM671" s="91">
        <f t="shared" si="191"/>
        <v>0</v>
      </c>
      <c r="AN671" s="92" t="str">
        <f t="shared" si="192"/>
        <v>No change</v>
      </c>
      <c r="AO671" s="93">
        <f>VLOOKUP(B671,'Growthrates source'!A$2:H$49,8,FALSE)</f>
        <v>5.6024318930811168E-2</v>
      </c>
      <c r="AP671" s="93">
        <f>VLOOKUP(B671,'Growthrates source'!A$2:I$49,9,FALSE)</f>
        <v>5.4673730437993617E-2</v>
      </c>
      <c r="AQ671" s="86">
        <f t="shared" si="193"/>
        <v>0</v>
      </c>
      <c r="AR671" s="86">
        <f t="shared" si="194"/>
        <v>0</v>
      </c>
      <c r="AS671" s="94">
        <f t="shared" si="195"/>
        <v>0</v>
      </c>
      <c r="AT671" s="94">
        <f t="shared" si="196"/>
        <v>0</v>
      </c>
      <c r="AU671" s="94">
        <f t="shared" si="197"/>
        <v>0</v>
      </c>
    </row>
    <row r="672" spans="1:47" x14ac:dyDescent="0.3">
      <c r="A672" s="85" t="str">
        <f>_xlfn.XLOOKUP(B672,'Country codes &amp; Data sources'!G:G,'Country codes &amp; Data sources'!H:H,,0)</f>
        <v>Mauritania</v>
      </c>
      <c r="B672" s="85" t="s">
        <v>158</v>
      </c>
      <c r="C672" s="86">
        <v>3636135.5</v>
      </c>
      <c r="D672" s="85" t="s">
        <v>126</v>
      </c>
      <c r="E672" s="87">
        <v>0</v>
      </c>
      <c r="F672" s="88">
        <v>3742958.9999999981</v>
      </c>
      <c r="G672" s="87">
        <v>0</v>
      </c>
      <c r="I672" s="87">
        <v>0</v>
      </c>
      <c r="K672" s="87">
        <v>0</v>
      </c>
      <c r="M672" s="87">
        <v>0</v>
      </c>
      <c r="O672" s="87">
        <v>0</v>
      </c>
      <c r="P672" s="88">
        <v>4270711.4999999972</v>
      </c>
      <c r="Q672" s="87">
        <v>0</v>
      </c>
      <c r="R672" s="87">
        <f t="shared" si="180"/>
        <v>0</v>
      </c>
      <c r="T672" s="87">
        <v>0</v>
      </c>
      <c r="V672" s="87">
        <v>0</v>
      </c>
      <c r="X672" s="87">
        <v>0</v>
      </c>
      <c r="Y672" s="88">
        <v>4736138.9999999991</v>
      </c>
      <c r="Z672" s="87">
        <v>0</v>
      </c>
      <c r="AA672" s="87">
        <v>0</v>
      </c>
      <c r="AB672" s="89">
        <f t="shared" si="181"/>
        <v>0</v>
      </c>
      <c r="AC672" s="89">
        <f t="shared" si="182"/>
        <v>0</v>
      </c>
      <c r="AD672" s="89">
        <f t="shared" si="183"/>
        <v>0</v>
      </c>
      <c r="AE672" s="90">
        <f t="shared" si="184"/>
        <v>0</v>
      </c>
      <c r="AF672" s="90" t="str">
        <f t="shared" si="185"/>
        <v/>
      </c>
      <c r="AG672" s="90">
        <f t="shared" si="186"/>
        <v>0</v>
      </c>
      <c r="AH672" s="90" t="str">
        <f t="shared" si="187"/>
        <v/>
      </c>
      <c r="AI672" s="90">
        <f t="shared" si="188"/>
        <v>0</v>
      </c>
      <c r="AJ672" s="90" t="str">
        <f t="shared" si="189"/>
        <v/>
      </c>
      <c r="AK672" s="90" t="str">
        <f t="shared" si="190"/>
        <v/>
      </c>
      <c r="AL672" s="91">
        <f>IF(AK672="Adjust",(_xlfn.XLOOKUP(A672,'Adj factor'!A:A,'Adj factor'!I:I,,0)*AI672),'Master DataSheet'!AI672)</f>
        <v>0</v>
      </c>
      <c r="AM672" s="91">
        <f t="shared" si="191"/>
        <v>0</v>
      </c>
      <c r="AN672" s="92" t="str">
        <f t="shared" si="192"/>
        <v>No change</v>
      </c>
      <c r="AO672" s="93">
        <f>VLOOKUP(B672,'Growthrates source'!A$2:H$49,8,FALSE)</f>
        <v>5.6024318930811168E-2</v>
      </c>
      <c r="AP672" s="93">
        <f>VLOOKUP(B672,'Growthrates source'!A$2:I$49,9,FALSE)</f>
        <v>5.4673730437993617E-2</v>
      </c>
      <c r="AQ672" s="86">
        <f t="shared" si="193"/>
        <v>0</v>
      </c>
      <c r="AR672" s="86">
        <f t="shared" si="194"/>
        <v>0</v>
      </c>
      <c r="AS672" s="94">
        <f t="shared" si="195"/>
        <v>0</v>
      </c>
      <c r="AT672" s="94">
        <f t="shared" si="196"/>
        <v>0</v>
      </c>
      <c r="AU672" s="94">
        <f t="shared" si="197"/>
        <v>0</v>
      </c>
    </row>
    <row r="673" spans="1:47" x14ac:dyDescent="0.3">
      <c r="A673" s="85" t="str">
        <f>_xlfn.XLOOKUP(B673,'Country codes &amp; Data sources'!G:G,'Country codes &amp; Data sources'!H:H,,0)</f>
        <v>Mauritania</v>
      </c>
      <c r="B673" s="85" t="s">
        <v>158</v>
      </c>
      <c r="C673" s="86">
        <v>3636136.5</v>
      </c>
      <c r="D673" s="85" t="s">
        <v>87</v>
      </c>
      <c r="E673" s="87">
        <v>0</v>
      </c>
      <c r="F673" s="88">
        <v>3742958.9999999981</v>
      </c>
      <c r="G673" s="87">
        <v>0</v>
      </c>
      <c r="I673" s="87">
        <v>0</v>
      </c>
      <c r="K673" s="87">
        <v>0</v>
      </c>
      <c r="M673" s="87">
        <v>0</v>
      </c>
      <c r="O673" s="87">
        <v>0</v>
      </c>
      <c r="P673" s="88">
        <v>4270711.4999999972</v>
      </c>
      <c r="Q673" s="87">
        <v>0</v>
      </c>
      <c r="R673" s="87">
        <f t="shared" si="180"/>
        <v>42</v>
      </c>
      <c r="T673" s="87">
        <v>0</v>
      </c>
      <c r="V673" s="87">
        <v>0</v>
      </c>
      <c r="X673" s="87">
        <v>0</v>
      </c>
      <c r="Y673" s="88">
        <v>4736138.9999999991</v>
      </c>
      <c r="Z673" s="87">
        <v>0</v>
      </c>
      <c r="AA673" s="87">
        <v>42</v>
      </c>
      <c r="AB673" s="89">
        <f t="shared" si="181"/>
        <v>0</v>
      </c>
      <c r="AC673" s="89">
        <f t="shared" si="182"/>
        <v>0</v>
      </c>
      <c r="AD673" s="89">
        <f t="shared" si="183"/>
        <v>0</v>
      </c>
      <c r="AE673" s="90">
        <f t="shared" si="184"/>
        <v>0</v>
      </c>
      <c r="AF673" s="90" t="str">
        <f t="shared" si="185"/>
        <v/>
      </c>
      <c r="AG673" s="90">
        <f t="shared" si="186"/>
        <v>42</v>
      </c>
      <c r="AH673" s="90" t="str">
        <f t="shared" si="187"/>
        <v>2018 (triag)</v>
      </c>
      <c r="AI673" s="90">
        <f t="shared" si="188"/>
        <v>42</v>
      </c>
      <c r="AJ673" s="90" t="str">
        <f t="shared" si="189"/>
        <v>2018 (triag)</v>
      </c>
      <c r="AK673" s="90" t="str">
        <f t="shared" si="190"/>
        <v/>
      </c>
      <c r="AL673" s="91">
        <f>IF(AK673="Adjust",(_xlfn.XLOOKUP(A673,'Adj factor'!A:A,'Adj factor'!I:I,,0)*AI673),'Master DataSheet'!AI673)</f>
        <v>42</v>
      </c>
      <c r="AM673" s="91">
        <f t="shared" si="191"/>
        <v>42</v>
      </c>
      <c r="AN673" s="92" t="str">
        <f t="shared" si="192"/>
        <v>No change</v>
      </c>
      <c r="AO673" s="93">
        <f>VLOOKUP(B673,'Growthrates source'!A$2:H$49,8,FALSE)</f>
        <v>5.6024318930811168E-2</v>
      </c>
      <c r="AP673" s="93">
        <f>VLOOKUP(B673,'Growthrates source'!A$2:I$49,9,FALSE)</f>
        <v>5.4673730437993617E-2</v>
      </c>
      <c r="AQ673" s="86">
        <f t="shared" si="193"/>
        <v>31.739057606766096</v>
      </c>
      <c r="AR673" s="86">
        <f t="shared" si="194"/>
        <v>49.486049897204062</v>
      </c>
      <c r="AS673" s="94">
        <f t="shared" si="195"/>
        <v>0</v>
      </c>
      <c r="AT673" s="94">
        <f t="shared" si="196"/>
        <v>9.8344268864801632E-2</v>
      </c>
      <c r="AU673" s="94">
        <f t="shared" si="197"/>
        <v>8.8679829709389882E-2</v>
      </c>
    </row>
    <row r="674" spans="1:47" x14ac:dyDescent="0.3">
      <c r="A674" s="85" t="str">
        <f>_xlfn.XLOOKUP(B674,'Country codes &amp; Data sources'!G:G,'Country codes &amp; Data sources'!H:H,,0)</f>
        <v>Mauritius</v>
      </c>
      <c r="B674" s="85" t="s">
        <v>180</v>
      </c>
      <c r="C674" s="86">
        <v>1288744.5000000005</v>
      </c>
      <c r="D674" s="85" t="s">
        <v>321</v>
      </c>
      <c r="E674" s="87">
        <v>3444</v>
      </c>
      <c r="F674" s="88">
        <v>1290691.4999999998</v>
      </c>
      <c r="G674" s="87">
        <v>4092</v>
      </c>
      <c r="H674" s="87">
        <v>1292113.5000000002</v>
      </c>
      <c r="I674" s="87">
        <v>4858</v>
      </c>
      <c r="J674" s="87">
        <v>1293153</v>
      </c>
      <c r="K674" s="87">
        <v>5100</v>
      </c>
      <c r="L674" s="87">
        <v>1293911.0000000005</v>
      </c>
      <c r="M674" s="87">
        <v>5538</v>
      </c>
      <c r="N674" s="87">
        <v>1294740.5000000002</v>
      </c>
      <c r="O674" s="87">
        <v>5854</v>
      </c>
      <c r="P674" s="88">
        <v>1295381.5000000005</v>
      </c>
      <c r="Q674" s="87">
        <v>4790</v>
      </c>
      <c r="R674" s="87">
        <f t="shared" si="180"/>
        <v>4790</v>
      </c>
      <c r="S674" s="87">
        <v>1296279.0000000002</v>
      </c>
      <c r="T674" s="87">
        <v>6580</v>
      </c>
      <c r="U674" s="87">
        <v>1297827.5</v>
      </c>
      <c r="V674" s="87">
        <v>7101</v>
      </c>
      <c r="W674" s="87">
        <v>1298914.4999999995</v>
      </c>
      <c r="X674" s="87">
        <v>0</v>
      </c>
      <c r="Y674" s="88">
        <v>1299468.9999999986</v>
      </c>
      <c r="Z674" s="87">
        <v>3224</v>
      </c>
      <c r="AA674" s="87">
        <v>2395</v>
      </c>
      <c r="AB674" s="89">
        <f t="shared" si="181"/>
        <v>5100</v>
      </c>
      <c r="AC674" s="89">
        <f t="shared" si="182"/>
        <v>6580</v>
      </c>
      <c r="AD674" s="89">
        <f t="shared" si="183"/>
        <v>7101</v>
      </c>
      <c r="AE674" s="90">
        <f t="shared" si="184"/>
        <v>4092</v>
      </c>
      <c r="AF674" s="90">
        <f t="shared" si="185"/>
        <v>2013</v>
      </c>
      <c r="AG674" s="90">
        <f t="shared" si="186"/>
        <v>4790</v>
      </c>
      <c r="AH674" s="90">
        <f t="shared" si="187"/>
        <v>2018</v>
      </c>
      <c r="AI674" s="90">
        <f t="shared" si="188"/>
        <v>3224</v>
      </c>
      <c r="AJ674" s="90">
        <f t="shared" si="189"/>
        <v>2022</v>
      </c>
      <c r="AK674" s="90" t="str">
        <f t="shared" si="190"/>
        <v>Adjust</v>
      </c>
      <c r="AL674" s="91">
        <f>IF(AK674="Adjust",(_xlfn.XLOOKUP(A674,'Adj factor'!A:A,'Adj factor'!I:I,,0)*AI674),'Master DataSheet'!AI674)</f>
        <v>3801.7397609775749</v>
      </c>
      <c r="AM674" s="91">
        <f t="shared" si="191"/>
        <v>4790</v>
      </c>
      <c r="AN674" s="92" t="str">
        <f t="shared" si="192"/>
        <v>Decreasing</v>
      </c>
      <c r="AO674" s="93">
        <f>VLOOKUP(B674,'Growthrates source'!A$2:H$49,8,FALSE)</f>
        <v>7.4156136535132866E-2</v>
      </c>
      <c r="AP674" s="93">
        <f>VLOOKUP(B674,'Growthrates source'!A$2:I$49,9,FALSE)</f>
        <v>5.4673730437993617E-2</v>
      </c>
      <c r="AQ674" s="86">
        <f t="shared" si="193"/>
        <v>1653.0177357079308</v>
      </c>
      <c r="AR674" s="86">
        <f t="shared" si="194"/>
        <v>2821.8830834238984</v>
      </c>
      <c r="AS674" s="94">
        <f t="shared" si="195"/>
        <v>31.70393544855607</v>
      </c>
      <c r="AT674" s="94">
        <f t="shared" si="196"/>
        <v>36.97752360984002</v>
      </c>
      <c r="AU674" s="94">
        <f t="shared" si="197"/>
        <v>36.861210232795131</v>
      </c>
    </row>
    <row r="675" spans="1:47" x14ac:dyDescent="0.3">
      <c r="A675" s="85" t="str">
        <f>_xlfn.XLOOKUP(B675,'Country codes &amp; Data sources'!G:G,'Country codes &amp; Data sources'!H:H,,0)</f>
        <v>Mauritius</v>
      </c>
      <c r="B675" s="85" t="s">
        <v>180</v>
      </c>
      <c r="C675" s="86">
        <v>1288745.5</v>
      </c>
      <c r="D675" s="85" t="s">
        <v>322</v>
      </c>
      <c r="E675" s="87">
        <v>7474</v>
      </c>
      <c r="F675" s="88">
        <v>1290691.4999999998</v>
      </c>
      <c r="G675" s="87">
        <v>7926</v>
      </c>
      <c r="I675" s="87">
        <v>8250</v>
      </c>
      <c r="K675" s="87">
        <v>8522</v>
      </c>
      <c r="M675" s="87">
        <v>8268</v>
      </c>
      <c r="O675" s="87">
        <v>8890</v>
      </c>
      <c r="P675" s="88">
        <v>1295381.5000000005</v>
      </c>
      <c r="Q675" s="87">
        <v>9972</v>
      </c>
      <c r="R675" s="87">
        <f t="shared" si="180"/>
        <v>9972</v>
      </c>
      <c r="T675" s="87">
        <v>0</v>
      </c>
      <c r="V675" s="87">
        <v>0</v>
      </c>
      <c r="X675" s="87">
        <v>0</v>
      </c>
      <c r="Y675" s="88">
        <v>1299468.9999999986</v>
      </c>
      <c r="Z675" s="87">
        <v>7800</v>
      </c>
      <c r="AA675" s="87">
        <v>4419</v>
      </c>
      <c r="AB675" s="89">
        <f t="shared" si="181"/>
        <v>8522</v>
      </c>
      <c r="AC675" s="89">
        <f t="shared" si="182"/>
        <v>9972</v>
      </c>
      <c r="AD675" s="89">
        <f t="shared" si="183"/>
        <v>7800</v>
      </c>
      <c r="AE675" s="90">
        <f t="shared" si="184"/>
        <v>7926</v>
      </c>
      <c r="AF675" s="90">
        <f t="shared" si="185"/>
        <v>2013</v>
      </c>
      <c r="AG675" s="90">
        <f t="shared" si="186"/>
        <v>9972</v>
      </c>
      <c r="AH675" s="90">
        <f t="shared" si="187"/>
        <v>2018</v>
      </c>
      <c r="AI675" s="90">
        <f t="shared" si="188"/>
        <v>7800</v>
      </c>
      <c r="AJ675" s="90">
        <f t="shared" si="189"/>
        <v>2022</v>
      </c>
      <c r="AK675" s="90" t="str">
        <f t="shared" si="190"/>
        <v>Adjust</v>
      </c>
      <c r="AL675" s="91">
        <f>IF(AK675="Adjust",(_xlfn.XLOOKUP(A675,'Adj factor'!A:A,'Adj factor'!I:I,,0)*AI675),'Master DataSheet'!AI675)</f>
        <v>9197.7574862360689</v>
      </c>
      <c r="AM675" s="91">
        <f t="shared" si="191"/>
        <v>9972</v>
      </c>
      <c r="AN675" s="92" t="str">
        <f t="shared" si="192"/>
        <v>Decreasing</v>
      </c>
      <c r="AO675" s="93">
        <f>VLOOKUP(B675,'Growthrates source'!A$2:H$49,8,FALSE)</f>
        <v>7.4156136535132866E-2</v>
      </c>
      <c r="AP675" s="93">
        <f>VLOOKUP(B675,'Growthrates source'!A$2:I$49,9,FALSE)</f>
        <v>5.4673730437993617E-2</v>
      </c>
      <c r="AQ675" s="86">
        <f t="shared" si="193"/>
        <v>3049.9730163229001</v>
      </c>
      <c r="AR675" s="86">
        <f t="shared" si="194"/>
        <v>5206.6393927558274</v>
      </c>
      <c r="AS675" s="94">
        <f t="shared" si="195"/>
        <v>61.408942415751568</v>
      </c>
      <c r="AT675" s="94">
        <f t="shared" si="196"/>
        <v>76.98118276353334</v>
      </c>
      <c r="AU675" s="94">
        <f t="shared" si="197"/>
        <v>76.739037252908773</v>
      </c>
    </row>
    <row r="676" spans="1:47" x14ac:dyDescent="0.3">
      <c r="A676" s="85" t="str">
        <f>_xlfn.XLOOKUP(B676,'Country codes &amp; Data sources'!G:G,'Country codes &amp; Data sources'!H:H,,0)</f>
        <v>Mauritius</v>
      </c>
      <c r="B676" s="85" t="s">
        <v>180</v>
      </c>
      <c r="C676" s="86">
        <v>1288746.5</v>
      </c>
      <c r="D676" s="85" t="s">
        <v>323</v>
      </c>
      <c r="E676" s="87">
        <v>0</v>
      </c>
      <c r="F676" s="88">
        <v>1290691.4999999998</v>
      </c>
      <c r="G676" s="87">
        <v>0</v>
      </c>
      <c r="I676" s="87">
        <v>0</v>
      </c>
      <c r="K676" s="87">
        <v>0</v>
      </c>
      <c r="M676" s="87">
        <v>0</v>
      </c>
      <c r="O676" s="87">
        <v>0</v>
      </c>
      <c r="P676" s="88">
        <v>1295381.5000000005</v>
      </c>
      <c r="Q676" s="87">
        <v>0</v>
      </c>
      <c r="R676" s="87">
        <f t="shared" si="180"/>
        <v>567</v>
      </c>
      <c r="T676" s="87">
        <v>0</v>
      </c>
      <c r="V676" s="87">
        <v>0</v>
      </c>
      <c r="X676" s="87">
        <v>0</v>
      </c>
      <c r="Y676" s="88">
        <v>1299468.9999999986</v>
      </c>
      <c r="Z676" s="87">
        <v>0</v>
      </c>
      <c r="AA676" s="87">
        <v>567</v>
      </c>
      <c r="AB676" s="89">
        <f t="shared" si="181"/>
        <v>0</v>
      </c>
      <c r="AC676" s="89">
        <f t="shared" si="182"/>
        <v>0</v>
      </c>
      <c r="AD676" s="89">
        <f t="shared" si="183"/>
        <v>0</v>
      </c>
      <c r="AE676" s="90">
        <f t="shared" si="184"/>
        <v>0</v>
      </c>
      <c r="AF676" s="90" t="str">
        <f t="shared" si="185"/>
        <v/>
      </c>
      <c r="AG676" s="90">
        <f t="shared" si="186"/>
        <v>567</v>
      </c>
      <c r="AH676" s="90" t="str">
        <f t="shared" si="187"/>
        <v>2018 (triag)</v>
      </c>
      <c r="AI676" s="90">
        <f t="shared" si="188"/>
        <v>567</v>
      </c>
      <c r="AJ676" s="90" t="str">
        <f t="shared" si="189"/>
        <v>2018 (triag)</v>
      </c>
      <c r="AK676" s="90" t="str">
        <f t="shared" si="190"/>
        <v/>
      </c>
      <c r="AL676" s="91">
        <f>IF(AK676="Adjust",(_xlfn.XLOOKUP(A676,'Adj factor'!A:A,'Adj factor'!I:I,,0)*AI676),'Master DataSheet'!AI676)</f>
        <v>567</v>
      </c>
      <c r="AM676" s="91">
        <f t="shared" si="191"/>
        <v>567</v>
      </c>
      <c r="AN676" s="92" t="str">
        <f t="shared" si="192"/>
        <v>No change</v>
      </c>
      <c r="AO676" s="93">
        <f>VLOOKUP(B676,'Growthrates source'!A$2:H$49,8,FALSE)</f>
        <v>7.4156136535132866E-2</v>
      </c>
      <c r="AP676" s="93">
        <f>VLOOKUP(B676,'Growthrates source'!A$2:I$49,9,FALSE)</f>
        <v>5.4673730437993617E-2</v>
      </c>
      <c r="AQ676" s="86">
        <f t="shared" si="193"/>
        <v>391.3407332552805</v>
      </c>
      <c r="AR676" s="86">
        <f t="shared" si="194"/>
        <v>668.06167361225482</v>
      </c>
      <c r="AS676" s="94">
        <f t="shared" si="195"/>
        <v>0</v>
      </c>
      <c r="AT676" s="94">
        <f t="shared" si="196"/>
        <v>4.3770889116449458</v>
      </c>
      <c r="AU676" s="94">
        <f t="shared" si="197"/>
        <v>4.3633207102285674</v>
      </c>
    </row>
    <row r="677" spans="1:47" x14ac:dyDescent="0.3">
      <c r="A677" s="85" t="str">
        <f>_xlfn.XLOOKUP(B677,'Country codes &amp; Data sources'!G:G,'Country codes &amp; Data sources'!H:H,,0)</f>
        <v>Mauritius</v>
      </c>
      <c r="B677" s="85" t="s">
        <v>180</v>
      </c>
      <c r="C677" s="86">
        <v>1288747.5</v>
      </c>
      <c r="D677" s="85" t="s">
        <v>324</v>
      </c>
      <c r="E677" s="87">
        <v>0</v>
      </c>
      <c r="F677" s="88">
        <v>1290691.4999999998</v>
      </c>
      <c r="G677" s="87">
        <v>73</v>
      </c>
      <c r="I677" s="87">
        <v>24</v>
      </c>
      <c r="K677" s="87">
        <v>0</v>
      </c>
      <c r="M677" s="87">
        <v>1159</v>
      </c>
      <c r="O677" s="87">
        <v>759</v>
      </c>
      <c r="P677" s="88">
        <v>1295381.5000000005</v>
      </c>
      <c r="Q677" s="87">
        <v>0</v>
      </c>
      <c r="R677" s="87">
        <f t="shared" si="180"/>
        <v>748</v>
      </c>
      <c r="T677" s="87">
        <v>14</v>
      </c>
      <c r="V677" s="87">
        <v>0</v>
      </c>
      <c r="X677" s="87">
        <v>0</v>
      </c>
      <c r="Y677" s="88">
        <v>1299468.9999999986</v>
      </c>
      <c r="Z677" s="87">
        <v>258</v>
      </c>
      <c r="AA677" s="87">
        <v>748</v>
      </c>
      <c r="AB677" s="89">
        <f t="shared" si="181"/>
        <v>73</v>
      </c>
      <c r="AC677" s="89">
        <f t="shared" si="182"/>
        <v>1159</v>
      </c>
      <c r="AD677" s="89">
        <f t="shared" si="183"/>
        <v>258</v>
      </c>
      <c r="AE677" s="90">
        <f t="shared" si="184"/>
        <v>73</v>
      </c>
      <c r="AF677" s="90">
        <f t="shared" si="185"/>
        <v>2013</v>
      </c>
      <c r="AG677" s="90">
        <f t="shared" si="186"/>
        <v>748</v>
      </c>
      <c r="AH677" s="90" t="str">
        <f t="shared" si="187"/>
        <v>2018 (triag)</v>
      </c>
      <c r="AI677" s="90">
        <f t="shared" si="188"/>
        <v>258</v>
      </c>
      <c r="AJ677" s="90">
        <f t="shared" si="189"/>
        <v>2022</v>
      </c>
      <c r="AK677" s="90" t="str">
        <f t="shared" si="190"/>
        <v>Adjust</v>
      </c>
      <c r="AL677" s="91">
        <f>IF(AK677="Adjust",(_xlfn.XLOOKUP(A677,'Adj factor'!A:A,'Adj factor'!I:I,,0)*AI677),'Master DataSheet'!AI677)</f>
        <v>304.2335168524238</v>
      </c>
      <c r="AM677" s="91">
        <f t="shared" si="191"/>
        <v>748</v>
      </c>
      <c r="AN677" s="92" t="str">
        <f t="shared" si="192"/>
        <v>Decreasing</v>
      </c>
      <c r="AO677" s="93">
        <f>VLOOKUP(B677,'Growthrates source'!A$2:H$49,8,FALSE)</f>
        <v>7.4156136535132866E-2</v>
      </c>
      <c r="AP677" s="93">
        <f>VLOOKUP(B677,'Growthrates source'!A$2:I$49,9,FALSE)</f>
        <v>5.4673730437993617E-2</v>
      </c>
      <c r="AQ677" s="86">
        <f t="shared" si="193"/>
        <v>516.26608196640177</v>
      </c>
      <c r="AR677" s="86">
        <f t="shared" si="194"/>
        <v>881.322983883539</v>
      </c>
      <c r="AS677" s="94">
        <f t="shared" si="195"/>
        <v>0.56558829123768162</v>
      </c>
      <c r="AT677" s="94">
        <f t="shared" si="196"/>
        <v>5.7743606806180248</v>
      </c>
      <c r="AU677" s="94">
        <f t="shared" si="197"/>
        <v>5.7561973390669632</v>
      </c>
    </row>
    <row r="678" spans="1:47" x14ac:dyDescent="0.3">
      <c r="A678" s="85" t="str">
        <f>_xlfn.XLOOKUP(B678,'Country codes &amp; Data sources'!G:G,'Country codes &amp; Data sources'!H:H,,0)</f>
        <v>Mauritius</v>
      </c>
      <c r="B678" s="85" t="s">
        <v>180</v>
      </c>
      <c r="C678" s="86">
        <v>1288748.5</v>
      </c>
      <c r="D678" s="85" t="s">
        <v>325</v>
      </c>
      <c r="E678" s="87">
        <v>0</v>
      </c>
      <c r="F678" s="88">
        <v>1290691.4999999998</v>
      </c>
      <c r="G678" s="87">
        <v>27</v>
      </c>
      <c r="I678" s="87">
        <v>18</v>
      </c>
      <c r="K678" s="87">
        <v>0</v>
      </c>
      <c r="M678" s="87">
        <v>312</v>
      </c>
      <c r="O678" s="87">
        <v>293</v>
      </c>
      <c r="P678" s="88">
        <v>1295381.5000000005</v>
      </c>
      <c r="Q678" s="87">
        <v>0</v>
      </c>
      <c r="R678" s="87">
        <f t="shared" si="180"/>
        <v>466</v>
      </c>
      <c r="T678" s="87">
        <v>0</v>
      </c>
      <c r="V678" s="87">
        <v>0</v>
      </c>
      <c r="X678" s="87">
        <v>0</v>
      </c>
      <c r="Y678" s="88">
        <v>1299468.9999999986</v>
      </c>
      <c r="Z678" s="87">
        <v>0</v>
      </c>
      <c r="AA678" s="87">
        <v>466</v>
      </c>
      <c r="AB678" s="89">
        <f t="shared" si="181"/>
        <v>27</v>
      </c>
      <c r="AC678" s="89">
        <f t="shared" si="182"/>
        <v>312</v>
      </c>
      <c r="AD678" s="89">
        <f t="shared" si="183"/>
        <v>0</v>
      </c>
      <c r="AE678" s="90">
        <f t="shared" si="184"/>
        <v>27</v>
      </c>
      <c r="AF678" s="90">
        <f t="shared" si="185"/>
        <v>2013</v>
      </c>
      <c r="AG678" s="90">
        <f t="shared" si="186"/>
        <v>466</v>
      </c>
      <c r="AH678" s="90" t="str">
        <f t="shared" si="187"/>
        <v>2018 (triag)</v>
      </c>
      <c r="AI678" s="90">
        <f t="shared" si="188"/>
        <v>466</v>
      </c>
      <c r="AJ678" s="90" t="str">
        <f t="shared" si="189"/>
        <v>2018 (triag)</v>
      </c>
      <c r="AK678" s="90" t="str">
        <f t="shared" si="190"/>
        <v/>
      </c>
      <c r="AL678" s="91">
        <f>IF(AK678="Adjust",(_xlfn.XLOOKUP(A678,'Adj factor'!A:A,'Adj factor'!I:I,,0)*AI678),'Master DataSheet'!AI678)</f>
        <v>466</v>
      </c>
      <c r="AM678" s="91">
        <f t="shared" si="191"/>
        <v>466</v>
      </c>
      <c r="AN678" s="92" t="str">
        <f t="shared" si="192"/>
        <v>No change</v>
      </c>
      <c r="AO678" s="93">
        <f>VLOOKUP(B678,'Growthrates source'!A$2:H$49,8,FALSE)</f>
        <v>7.4156136535132866E-2</v>
      </c>
      <c r="AP678" s="93">
        <f>VLOOKUP(B678,'Growthrates source'!A$2:I$49,9,FALSE)</f>
        <v>5.4673730437993617E-2</v>
      </c>
      <c r="AQ678" s="86">
        <f t="shared" si="193"/>
        <v>321.63100828388133</v>
      </c>
      <c r="AR678" s="86">
        <f t="shared" si="194"/>
        <v>549.05950600231176</v>
      </c>
      <c r="AS678" s="94">
        <f t="shared" si="195"/>
        <v>0.20919018990982743</v>
      </c>
      <c r="AT678" s="94">
        <f t="shared" si="196"/>
        <v>3.5973958250909082</v>
      </c>
      <c r="AU678" s="94">
        <f t="shared" si="197"/>
        <v>3.5860801604347659</v>
      </c>
    </row>
    <row r="679" spans="1:47" x14ac:dyDescent="0.3">
      <c r="A679" s="85" t="str">
        <f>_xlfn.XLOOKUP(B679,'Country codes &amp; Data sources'!G:G,'Country codes &amp; Data sources'!H:H,,0)</f>
        <v>Mauritius</v>
      </c>
      <c r="B679" s="85" t="s">
        <v>180</v>
      </c>
      <c r="C679" s="86">
        <v>1288749.5</v>
      </c>
      <c r="D679" s="85" t="s">
        <v>127</v>
      </c>
      <c r="E679" s="87">
        <v>0</v>
      </c>
      <c r="F679" s="88">
        <v>1290691.4999999998</v>
      </c>
      <c r="G679" s="87">
        <v>0</v>
      </c>
      <c r="I679" s="87">
        <v>0</v>
      </c>
      <c r="K679" s="87">
        <v>0</v>
      </c>
      <c r="M679" s="87">
        <v>0</v>
      </c>
      <c r="O679" s="87">
        <v>0</v>
      </c>
      <c r="P679" s="88">
        <v>1295381.5000000005</v>
      </c>
      <c r="Q679" s="87">
        <v>180</v>
      </c>
      <c r="R679" s="87">
        <f t="shared" si="180"/>
        <v>180</v>
      </c>
      <c r="T679" s="87">
        <v>0</v>
      </c>
      <c r="V679" s="87">
        <v>163</v>
      </c>
      <c r="X679" s="87">
        <v>0</v>
      </c>
      <c r="Y679" s="88">
        <v>1299468.9999999986</v>
      </c>
      <c r="Z679" s="87">
        <v>916</v>
      </c>
      <c r="AA679" s="87">
        <v>180</v>
      </c>
      <c r="AB679" s="89">
        <f t="shared" si="181"/>
        <v>0</v>
      </c>
      <c r="AC679" s="89">
        <f t="shared" si="182"/>
        <v>180</v>
      </c>
      <c r="AD679" s="89">
        <f t="shared" si="183"/>
        <v>916</v>
      </c>
      <c r="AE679" s="90">
        <f t="shared" si="184"/>
        <v>0</v>
      </c>
      <c r="AF679" s="90" t="str">
        <f t="shared" si="185"/>
        <v/>
      </c>
      <c r="AG679" s="90">
        <f t="shared" si="186"/>
        <v>180</v>
      </c>
      <c r="AH679" s="90">
        <f t="shared" si="187"/>
        <v>2018</v>
      </c>
      <c r="AI679" s="90">
        <f t="shared" si="188"/>
        <v>916</v>
      </c>
      <c r="AJ679" s="90">
        <f t="shared" si="189"/>
        <v>2022</v>
      </c>
      <c r="AK679" s="90" t="str">
        <f t="shared" si="190"/>
        <v/>
      </c>
      <c r="AL679" s="91">
        <f>IF(AK679="Adjust",(_xlfn.XLOOKUP(A679,'Adj factor'!A:A,'Adj factor'!I:I,,0)*AI679),'Master DataSheet'!AI679)</f>
        <v>916</v>
      </c>
      <c r="AM679" s="91">
        <f t="shared" si="191"/>
        <v>916</v>
      </c>
      <c r="AN679" s="92" t="str">
        <f t="shared" si="192"/>
        <v>Increasing</v>
      </c>
      <c r="AO679" s="93">
        <f>VLOOKUP(B679,'Growthrates source'!A$2:H$49,8,FALSE)</f>
        <v>7.4156136535132866E-2</v>
      </c>
      <c r="AP679" s="93">
        <f>VLOOKUP(B679,'Growthrates source'!A$2:I$49,9,FALSE)</f>
        <v>5.4673730437993617E-2</v>
      </c>
      <c r="AQ679" s="86">
        <f t="shared" si="193"/>
        <v>124.23515341437476</v>
      </c>
      <c r="AR679" s="86">
        <f t="shared" si="194"/>
        <v>212.08307098801743</v>
      </c>
      <c r="AS679" s="94">
        <f t="shared" si="195"/>
        <v>0</v>
      </c>
      <c r="AT679" s="94">
        <f t="shared" si="196"/>
        <v>1.3895520354428401</v>
      </c>
      <c r="AU679" s="94">
        <f t="shared" si="197"/>
        <v>7.0490331050606132</v>
      </c>
    </row>
    <row r="680" spans="1:47" x14ac:dyDescent="0.3">
      <c r="A680" s="85" t="str">
        <f>_xlfn.XLOOKUP(B680,'Country codes &amp; Data sources'!G:G,'Country codes &amp; Data sources'!H:H,,0)</f>
        <v>Mauritius</v>
      </c>
      <c r="B680" s="85" t="s">
        <v>180</v>
      </c>
      <c r="C680" s="86">
        <v>1288750.5</v>
      </c>
      <c r="D680" s="85" t="s">
        <v>61</v>
      </c>
      <c r="E680" s="87">
        <v>0</v>
      </c>
      <c r="F680" s="88">
        <v>1290691.4999999998</v>
      </c>
      <c r="G680" s="87">
        <v>0</v>
      </c>
      <c r="I680" s="87">
        <v>0</v>
      </c>
      <c r="K680" s="87">
        <v>0</v>
      </c>
      <c r="M680" s="87">
        <v>202</v>
      </c>
      <c r="O680" s="87">
        <v>61</v>
      </c>
      <c r="P680" s="88">
        <v>1295381.5000000005</v>
      </c>
      <c r="Q680" s="87">
        <v>0</v>
      </c>
      <c r="R680" s="87">
        <f t="shared" si="180"/>
        <v>0</v>
      </c>
      <c r="T680" s="87">
        <v>1</v>
      </c>
      <c r="V680" s="87">
        <v>0</v>
      </c>
      <c r="X680" s="87">
        <v>0</v>
      </c>
      <c r="Y680" s="88">
        <v>1299468.9999999986</v>
      </c>
      <c r="Z680" s="87">
        <v>0</v>
      </c>
      <c r="AA680" s="87">
        <v>0</v>
      </c>
      <c r="AB680" s="89">
        <f t="shared" si="181"/>
        <v>0</v>
      </c>
      <c r="AC680" s="89">
        <f t="shared" si="182"/>
        <v>202</v>
      </c>
      <c r="AD680" s="89">
        <f t="shared" si="183"/>
        <v>0</v>
      </c>
      <c r="AE680" s="90">
        <f t="shared" si="184"/>
        <v>0</v>
      </c>
      <c r="AF680" s="90" t="str">
        <f t="shared" si="185"/>
        <v/>
      </c>
      <c r="AG680" s="90">
        <f t="shared" si="186"/>
        <v>61</v>
      </c>
      <c r="AH680" s="90">
        <f t="shared" si="187"/>
        <v>2017</v>
      </c>
      <c r="AI680" s="90">
        <f t="shared" si="188"/>
        <v>1</v>
      </c>
      <c r="AJ680" s="90">
        <f t="shared" si="189"/>
        <v>2017</v>
      </c>
      <c r="AK680" s="90" t="str">
        <f t="shared" si="190"/>
        <v>Adjust</v>
      </c>
      <c r="AL680" s="91">
        <f>IF(AK680="Adjust",(_xlfn.XLOOKUP(A680,'Adj factor'!A:A,'Adj factor'!I:I,,0)*AI680),'Master DataSheet'!AI680)</f>
        <v>1.1791996777225728</v>
      </c>
      <c r="AM680" s="91">
        <f t="shared" si="191"/>
        <v>61</v>
      </c>
      <c r="AN680" s="92" t="str">
        <f t="shared" si="192"/>
        <v>Decreasing</v>
      </c>
      <c r="AO680" s="93">
        <f>VLOOKUP(B680,'Growthrates source'!A$2:H$49,8,FALSE)</f>
        <v>7.4156136535132866E-2</v>
      </c>
      <c r="AP680" s="93">
        <f>VLOOKUP(B680,'Growthrates source'!A$2:I$49,9,FALSE)</f>
        <v>5.4673730437993617E-2</v>
      </c>
      <c r="AQ680" s="86">
        <f t="shared" si="193"/>
        <v>0</v>
      </c>
      <c r="AR680" s="86">
        <f t="shared" si="194"/>
        <v>0</v>
      </c>
      <c r="AS680" s="94">
        <f t="shared" si="195"/>
        <v>0</v>
      </c>
      <c r="AT680" s="94">
        <f t="shared" si="196"/>
        <v>0.47090374534451801</v>
      </c>
      <c r="AU680" s="94">
        <f t="shared" si="197"/>
        <v>0.46942251027150372</v>
      </c>
    </row>
    <row r="681" spans="1:47" x14ac:dyDescent="0.3">
      <c r="A681" s="85" t="str">
        <f>_xlfn.XLOOKUP(B681,'Country codes &amp; Data sources'!G:G,'Country codes &amp; Data sources'!H:H,,0)</f>
        <v>Mauritius</v>
      </c>
      <c r="B681" s="85" t="s">
        <v>180</v>
      </c>
      <c r="C681" s="86">
        <v>1288751.5</v>
      </c>
      <c r="D681" s="85" t="s">
        <v>62</v>
      </c>
      <c r="E681" s="87">
        <v>0</v>
      </c>
      <c r="F681" s="88">
        <v>1290691.4999999998</v>
      </c>
      <c r="G681" s="87">
        <v>0</v>
      </c>
      <c r="I681" s="87">
        <v>0</v>
      </c>
      <c r="K681" s="87">
        <v>0</v>
      </c>
      <c r="M681" s="87">
        <v>1796</v>
      </c>
      <c r="O681" s="87">
        <v>1843</v>
      </c>
      <c r="P681" s="88">
        <v>1295381.5000000005</v>
      </c>
      <c r="Q681" s="87">
        <v>0</v>
      </c>
      <c r="R681" s="87">
        <f t="shared" si="180"/>
        <v>48</v>
      </c>
      <c r="T681" s="87">
        <v>311</v>
      </c>
      <c r="V681" s="87">
        <v>0</v>
      </c>
      <c r="X681" s="87">
        <v>0</v>
      </c>
      <c r="Y681" s="88">
        <v>1299468.9999999986</v>
      </c>
      <c r="Z681" s="87">
        <v>0</v>
      </c>
      <c r="AA681" s="87">
        <v>48</v>
      </c>
      <c r="AB681" s="89">
        <f t="shared" si="181"/>
        <v>0</v>
      </c>
      <c r="AC681" s="89">
        <f t="shared" si="182"/>
        <v>1843</v>
      </c>
      <c r="AD681" s="89">
        <f t="shared" si="183"/>
        <v>0</v>
      </c>
      <c r="AE681" s="90">
        <f t="shared" si="184"/>
        <v>0</v>
      </c>
      <c r="AF681" s="90" t="str">
        <f t="shared" si="185"/>
        <v/>
      </c>
      <c r="AG681" s="90">
        <f t="shared" si="186"/>
        <v>48</v>
      </c>
      <c r="AH681" s="90" t="str">
        <f t="shared" si="187"/>
        <v>2018 (triag)</v>
      </c>
      <c r="AI681" s="90">
        <f t="shared" si="188"/>
        <v>311</v>
      </c>
      <c r="AJ681" s="90" t="str">
        <f t="shared" si="189"/>
        <v>2018 (triag)</v>
      </c>
      <c r="AK681" s="90" t="str">
        <f t="shared" si="190"/>
        <v/>
      </c>
      <c r="AL681" s="91">
        <f>IF(AK681="Adjust",(_xlfn.XLOOKUP(A681,'Adj factor'!A:A,'Adj factor'!I:I,,0)*AI681),'Master DataSheet'!AI681)</f>
        <v>311</v>
      </c>
      <c r="AM681" s="91">
        <f t="shared" si="191"/>
        <v>311</v>
      </c>
      <c r="AN681" s="92" t="str">
        <f t="shared" si="192"/>
        <v>Increasing</v>
      </c>
      <c r="AO681" s="93">
        <f>VLOOKUP(B681,'Growthrates source'!A$2:H$49,8,FALSE)</f>
        <v>7.4156136535132866E-2</v>
      </c>
      <c r="AP681" s="93">
        <f>VLOOKUP(B681,'Growthrates source'!A$2:I$49,9,FALSE)</f>
        <v>5.4673730437993617E-2</v>
      </c>
      <c r="AQ681" s="86">
        <f t="shared" si="193"/>
        <v>33.129374243833269</v>
      </c>
      <c r="AR681" s="86">
        <f t="shared" si="194"/>
        <v>56.555485596804644</v>
      </c>
      <c r="AS681" s="94">
        <f t="shared" si="195"/>
        <v>0</v>
      </c>
      <c r="AT681" s="94">
        <f t="shared" si="196"/>
        <v>0.370547209451424</v>
      </c>
      <c r="AU681" s="94">
        <f t="shared" si="197"/>
        <v>2.3932852572858634</v>
      </c>
    </row>
    <row r="682" spans="1:47" x14ac:dyDescent="0.3">
      <c r="A682" s="85" t="str">
        <f>_xlfn.XLOOKUP(B682,'Country codes &amp; Data sources'!G:G,'Country codes &amp; Data sources'!H:H,,0)</f>
        <v>Mauritius</v>
      </c>
      <c r="B682" s="85" t="s">
        <v>180</v>
      </c>
      <c r="C682" s="86">
        <v>1288752.5</v>
      </c>
      <c r="D682" s="85" t="s">
        <v>203</v>
      </c>
      <c r="E682" s="87">
        <v>0</v>
      </c>
      <c r="F682" s="88">
        <v>1290691.4999999998</v>
      </c>
      <c r="G682" s="87">
        <v>0</v>
      </c>
      <c r="I682" s="87">
        <v>0</v>
      </c>
      <c r="K682" s="87">
        <v>0</v>
      </c>
      <c r="M682" s="87">
        <v>0</v>
      </c>
      <c r="O682" s="87">
        <v>0</v>
      </c>
      <c r="P682" s="88">
        <v>1295381.5000000005</v>
      </c>
      <c r="Q682" s="87">
        <v>0</v>
      </c>
      <c r="R682" s="87">
        <f t="shared" si="180"/>
        <v>1153</v>
      </c>
      <c r="T682" s="87">
        <v>0</v>
      </c>
      <c r="V682" s="87">
        <v>0</v>
      </c>
      <c r="X682" s="87">
        <v>0</v>
      </c>
      <c r="Y682" s="88">
        <v>1299468.9999999986</v>
      </c>
      <c r="Z682" s="87">
        <v>0</v>
      </c>
      <c r="AA682" s="87">
        <v>1153</v>
      </c>
      <c r="AB682" s="89">
        <f t="shared" si="181"/>
        <v>0</v>
      </c>
      <c r="AC682" s="89">
        <f t="shared" si="182"/>
        <v>0</v>
      </c>
      <c r="AD682" s="89">
        <f t="shared" si="183"/>
        <v>0</v>
      </c>
      <c r="AE682" s="90">
        <f t="shared" si="184"/>
        <v>0</v>
      </c>
      <c r="AF682" s="90" t="str">
        <f t="shared" si="185"/>
        <v/>
      </c>
      <c r="AG682" s="90">
        <f t="shared" si="186"/>
        <v>1153</v>
      </c>
      <c r="AH682" s="90" t="str">
        <f t="shared" si="187"/>
        <v>2018 (triag)</v>
      </c>
      <c r="AI682" s="90">
        <f t="shared" si="188"/>
        <v>1153</v>
      </c>
      <c r="AJ682" s="90" t="str">
        <f t="shared" si="189"/>
        <v>2018 (triag)</v>
      </c>
      <c r="AK682" s="90" t="str">
        <f t="shared" si="190"/>
        <v/>
      </c>
      <c r="AL682" s="91">
        <f>IF(AK682="Adjust",(_xlfn.XLOOKUP(A682,'Adj factor'!A:A,'Adj factor'!I:I,,0)*AI682),'Master DataSheet'!AI682)</f>
        <v>1153</v>
      </c>
      <c r="AM682" s="91">
        <f t="shared" si="191"/>
        <v>1153</v>
      </c>
      <c r="AN682" s="92" t="str">
        <f t="shared" si="192"/>
        <v>No change</v>
      </c>
      <c r="AO682" s="93">
        <f>VLOOKUP(B682,'Growthrates source'!A$2:H$49,8,FALSE)</f>
        <v>7.4156136535132866E-2</v>
      </c>
      <c r="AP682" s="93">
        <f>VLOOKUP(B682,'Growthrates source'!A$2:I$49,9,FALSE)</f>
        <v>5.4673730437993617E-2</v>
      </c>
      <c r="AQ682" s="86">
        <f t="shared" si="193"/>
        <v>795.79517714874498</v>
      </c>
      <c r="AR682" s="86">
        <f t="shared" si="194"/>
        <v>1358.5098936065783</v>
      </c>
      <c r="AS682" s="94">
        <f t="shared" si="195"/>
        <v>0</v>
      </c>
      <c r="AT682" s="94">
        <f t="shared" si="196"/>
        <v>8.9008527603644154</v>
      </c>
      <c r="AU682" s="94">
        <f t="shared" si="197"/>
        <v>8.8728549892302251</v>
      </c>
    </row>
    <row r="683" spans="1:47" x14ac:dyDescent="0.3">
      <c r="A683" s="85" t="str">
        <f>_xlfn.XLOOKUP(B683,'Country codes &amp; Data sources'!G:G,'Country codes &amp; Data sources'!H:H,,0)</f>
        <v>Mauritius</v>
      </c>
      <c r="B683" s="85" t="s">
        <v>180</v>
      </c>
      <c r="C683" s="86">
        <v>1288753.5</v>
      </c>
      <c r="D683" s="85" t="s">
        <v>204</v>
      </c>
      <c r="E683" s="87">
        <v>0</v>
      </c>
      <c r="F683" s="88">
        <v>1290691.4999999998</v>
      </c>
      <c r="G683" s="87">
        <v>0</v>
      </c>
      <c r="I683" s="87">
        <v>0</v>
      </c>
      <c r="K683" s="87">
        <v>0</v>
      </c>
      <c r="M683" s="87">
        <v>0</v>
      </c>
      <c r="O683" s="87">
        <v>0</v>
      </c>
      <c r="P683" s="88">
        <v>1295381.5000000005</v>
      </c>
      <c r="Q683" s="87">
        <v>0</v>
      </c>
      <c r="R683" s="87">
        <f t="shared" si="180"/>
        <v>315</v>
      </c>
      <c r="T683" s="87">
        <v>0</v>
      </c>
      <c r="V683" s="87">
        <v>0</v>
      </c>
      <c r="X683" s="87">
        <v>0</v>
      </c>
      <c r="Y683" s="88">
        <v>1299468.9999999986</v>
      </c>
      <c r="Z683" s="87">
        <v>0</v>
      </c>
      <c r="AA683" s="87">
        <v>315</v>
      </c>
      <c r="AB683" s="89">
        <f t="shared" si="181"/>
        <v>0</v>
      </c>
      <c r="AC683" s="89">
        <f t="shared" si="182"/>
        <v>0</v>
      </c>
      <c r="AD683" s="89">
        <f t="shared" si="183"/>
        <v>0</v>
      </c>
      <c r="AE683" s="90">
        <f t="shared" si="184"/>
        <v>0</v>
      </c>
      <c r="AF683" s="90" t="str">
        <f t="shared" si="185"/>
        <v/>
      </c>
      <c r="AG683" s="90">
        <f t="shared" si="186"/>
        <v>315</v>
      </c>
      <c r="AH683" s="90" t="str">
        <f t="shared" si="187"/>
        <v>2018 (triag)</v>
      </c>
      <c r="AI683" s="90">
        <f t="shared" si="188"/>
        <v>315</v>
      </c>
      <c r="AJ683" s="90" t="str">
        <f t="shared" si="189"/>
        <v>2018 (triag)</v>
      </c>
      <c r="AK683" s="90" t="str">
        <f t="shared" si="190"/>
        <v/>
      </c>
      <c r="AL683" s="91">
        <f>IF(AK683="Adjust",(_xlfn.XLOOKUP(A683,'Adj factor'!A:A,'Adj factor'!I:I,,0)*AI683),'Master DataSheet'!AI683)</f>
        <v>315</v>
      </c>
      <c r="AM683" s="91">
        <f t="shared" si="191"/>
        <v>315</v>
      </c>
      <c r="AN683" s="92" t="str">
        <f t="shared" si="192"/>
        <v>No change</v>
      </c>
      <c r="AO683" s="93">
        <f>VLOOKUP(B683,'Growthrates source'!A$2:H$49,8,FALSE)</f>
        <v>7.4156136535132866E-2</v>
      </c>
      <c r="AP683" s="93">
        <f>VLOOKUP(B683,'Growthrates source'!A$2:I$49,9,FALSE)</f>
        <v>5.4673730437993617E-2</v>
      </c>
      <c r="AQ683" s="86">
        <f t="shared" si="193"/>
        <v>217.41151847515582</v>
      </c>
      <c r="AR683" s="86">
        <f t="shared" si="194"/>
        <v>371.14537422903049</v>
      </c>
      <c r="AS683" s="94">
        <f t="shared" si="195"/>
        <v>0</v>
      </c>
      <c r="AT683" s="94">
        <f t="shared" si="196"/>
        <v>2.4317160620249703</v>
      </c>
      <c r="AU683" s="94">
        <f t="shared" si="197"/>
        <v>2.4240670612380928</v>
      </c>
    </row>
    <row r="684" spans="1:47" x14ac:dyDescent="0.3">
      <c r="A684" s="85" t="str">
        <f>_xlfn.XLOOKUP(B684,'Country codes &amp; Data sources'!G:G,'Country codes &amp; Data sources'!H:H,,0)</f>
        <v>Mauritius</v>
      </c>
      <c r="B684" s="85" t="s">
        <v>180</v>
      </c>
      <c r="C684" s="86">
        <v>1288754.5</v>
      </c>
      <c r="D684" s="85" t="s">
        <v>205</v>
      </c>
      <c r="E684" s="87">
        <v>0</v>
      </c>
      <c r="F684" s="88">
        <v>1290691.4999999998</v>
      </c>
      <c r="G684" s="87">
        <v>0</v>
      </c>
      <c r="I684" s="87">
        <v>0</v>
      </c>
      <c r="K684" s="87">
        <v>0</v>
      </c>
      <c r="M684" s="87">
        <v>0</v>
      </c>
      <c r="O684" s="87">
        <v>0</v>
      </c>
      <c r="P684" s="88">
        <v>1295381.5000000005</v>
      </c>
      <c r="Q684" s="87">
        <v>0</v>
      </c>
      <c r="R684" s="87">
        <f t="shared" si="180"/>
        <v>12</v>
      </c>
      <c r="T684" s="87">
        <v>15</v>
      </c>
      <c r="V684" s="87">
        <v>0</v>
      </c>
      <c r="X684" s="87">
        <v>0</v>
      </c>
      <c r="Y684" s="88">
        <v>1299468.9999999986</v>
      </c>
      <c r="Z684" s="87">
        <v>0</v>
      </c>
      <c r="AA684" s="87">
        <v>12</v>
      </c>
      <c r="AB684" s="89">
        <f t="shared" si="181"/>
        <v>0</v>
      </c>
      <c r="AC684" s="89">
        <f t="shared" si="182"/>
        <v>15</v>
      </c>
      <c r="AD684" s="89">
        <f t="shared" si="183"/>
        <v>0</v>
      </c>
      <c r="AE684" s="90">
        <f t="shared" si="184"/>
        <v>0</v>
      </c>
      <c r="AF684" s="90" t="str">
        <f t="shared" si="185"/>
        <v/>
      </c>
      <c r="AG684" s="90">
        <f t="shared" si="186"/>
        <v>12</v>
      </c>
      <c r="AH684" s="90" t="str">
        <f t="shared" si="187"/>
        <v>2018 (triag)</v>
      </c>
      <c r="AI684" s="90">
        <f t="shared" si="188"/>
        <v>15</v>
      </c>
      <c r="AJ684" s="90" t="str">
        <f t="shared" si="189"/>
        <v>2018 (triag)</v>
      </c>
      <c r="AK684" s="90" t="str">
        <f t="shared" si="190"/>
        <v/>
      </c>
      <c r="AL684" s="91">
        <f>IF(AK684="Adjust",(_xlfn.XLOOKUP(A684,'Adj factor'!A:A,'Adj factor'!I:I,,0)*AI684),'Master DataSheet'!AI684)</f>
        <v>15</v>
      </c>
      <c r="AM684" s="91">
        <f t="shared" si="191"/>
        <v>15</v>
      </c>
      <c r="AN684" s="92" t="str">
        <f t="shared" si="192"/>
        <v>Increasing</v>
      </c>
      <c r="AO684" s="93">
        <f>VLOOKUP(B684,'Growthrates source'!A$2:H$49,8,FALSE)</f>
        <v>7.4156136535132866E-2</v>
      </c>
      <c r="AP684" s="93">
        <f>VLOOKUP(B684,'Growthrates source'!A$2:I$49,9,FALSE)</f>
        <v>5.4673730437993617E-2</v>
      </c>
      <c r="AQ684" s="86">
        <f t="shared" si="193"/>
        <v>8.2823435609583171</v>
      </c>
      <c r="AR684" s="86">
        <f t="shared" si="194"/>
        <v>14.138871399201161</v>
      </c>
      <c r="AS684" s="94">
        <f t="shared" si="195"/>
        <v>0</v>
      </c>
      <c r="AT684" s="94">
        <f t="shared" si="196"/>
        <v>9.2636802362855999E-2</v>
      </c>
      <c r="AU684" s="94">
        <f t="shared" si="197"/>
        <v>0.11543176482086157</v>
      </c>
    </row>
    <row r="685" spans="1:47" x14ac:dyDescent="0.3">
      <c r="A685" s="85" t="str">
        <f>_xlfn.XLOOKUP(B685,'Country codes &amp; Data sources'!G:G,'Country codes &amp; Data sources'!H:H,,0)</f>
        <v>Mauritius</v>
      </c>
      <c r="B685" s="85" t="s">
        <v>180</v>
      </c>
      <c r="C685" s="86">
        <v>1288755.5</v>
      </c>
      <c r="D685" s="85" t="s">
        <v>133</v>
      </c>
      <c r="E685" s="87">
        <v>0</v>
      </c>
      <c r="F685" s="88">
        <v>1290691.4999999998</v>
      </c>
      <c r="G685" s="87">
        <v>0</v>
      </c>
      <c r="I685" s="87">
        <v>0</v>
      </c>
      <c r="K685" s="87">
        <v>0</v>
      </c>
      <c r="M685" s="87">
        <v>0</v>
      </c>
      <c r="O685" s="87">
        <v>0</v>
      </c>
      <c r="P685" s="88">
        <v>1295381.5000000005</v>
      </c>
      <c r="Q685" s="87">
        <v>291</v>
      </c>
      <c r="R685" s="87">
        <f t="shared" si="180"/>
        <v>291</v>
      </c>
      <c r="T685" s="87">
        <v>0</v>
      </c>
      <c r="V685" s="87">
        <v>0</v>
      </c>
      <c r="X685" s="87">
        <v>0</v>
      </c>
      <c r="Y685" s="88">
        <v>1299468.9999999986</v>
      </c>
      <c r="Z685" s="87">
        <v>270</v>
      </c>
      <c r="AA685" s="87">
        <v>274</v>
      </c>
      <c r="AB685" s="89">
        <f t="shared" si="181"/>
        <v>0</v>
      </c>
      <c r="AC685" s="89">
        <f t="shared" si="182"/>
        <v>291</v>
      </c>
      <c r="AD685" s="89">
        <f t="shared" si="183"/>
        <v>270</v>
      </c>
      <c r="AE685" s="90">
        <f t="shared" si="184"/>
        <v>0</v>
      </c>
      <c r="AF685" s="90" t="str">
        <f t="shared" si="185"/>
        <v/>
      </c>
      <c r="AG685" s="90">
        <f t="shared" si="186"/>
        <v>291</v>
      </c>
      <c r="AH685" s="90">
        <f t="shared" si="187"/>
        <v>2018</v>
      </c>
      <c r="AI685" s="90">
        <f t="shared" si="188"/>
        <v>270</v>
      </c>
      <c r="AJ685" s="90">
        <f t="shared" si="189"/>
        <v>2022</v>
      </c>
      <c r="AK685" s="90" t="str">
        <f t="shared" si="190"/>
        <v>Adjust</v>
      </c>
      <c r="AL685" s="91">
        <f>IF(AK685="Adjust",(_xlfn.XLOOKUP(A685,'Adj factor'!A:A,'Adj factor'!I:I,,0)*AI685),'Master DataSheet'!AI685)</f>
        <v>318.38391298509464</v>
      </c>
      <c r="AM685" s="91">
        <f t="shared" si="191"/>
        <v>318.38391298509464</v>
      </c>
      <c r="AN685" s="92" t="str">
        <f t="shared" si="192"/>
        <v>Increasing</v>
      </c>
      <c r="AO685" s="93">
        <f>VLOOKUP(B685,'Growthrates source'!A$2:H$49,8,FALSE)</f>
        <v>7.4156136535132866E-2</v>
      </c>
      <c r="AP685" s="93">
        <f>VLOOKUP(B685,'Growthrates source'!A$2:I$49,9,FALSE)</f>
        <v>5.4673730437993617E-2</v>
      </c>
      <c r="AQ685" s="86">
        <f t="shared" si="193"/>
        <v>189.11351130854825</v>
      </c>
      <c r="AR685" s="86">
        <f t="shared" si="194"/>
        <v>322.83756361509319</v>
      </c>
      <c r="AS685" s="94">
        <f t="shared" si="195"/>
        <v>0</v>
      </c>
      <c r="AT685" s="94">
        <f t="shared" si="196"/>
        <v>2.2464424572992581</v>
      </c>
      <c r="AU685" s="94">
        <f t="shared" si="197"/>
        <v>2.4501077977627399</v>
      </c>
    </row>
    <row r="686" spans="1:47" x14ac:dyDescent="0.3">
      <c r="A686" s="85" t="str">
        <f>_xlfn.XLOOKUP(B686,'Country codes &amp; Data sources'!G:G,'Country codes &amp; Data sources'!H:H,,0)</f>
        <v>Mauritius</v>
      </c>
      <c r="B686" s="85" t="s">
        <v>180</v>
      </c>
      <c r="C686" s="86">
        <v>1288756.5</v>
      </c>
      <c r="D686" s="85" t="s">
        <v>206</v>
      </c>
      <c r="E686" s="87">
        <v>0</v>
      </c>
      <c r="F686" s="88">
        <v>1290691.4999999998</v>
      </c>
      <c r="G686" s="87">
        <v>0</v>
      </c>
      <c r="I686" s="87">
        <v>0</v>
      </c>
      <c r="K686" s="87">
        <v>0</v>
      </c>
      <c r="M686" s="87">
        <v>0</v>
      </c>
      <c r="O686" s="87">
        <v>0</v>
      </c>
      <c r="P686" s="88">
        <v>1295381.5000000005</v>
      </c>
      <c r="Q686" s="87">
        <v>0</v>
      </c>
      <c r="R686" s="87">
        <f t="shared" si="180"/>
        <v>9</v>
      </c>
      <c r="T686" s="87">
        <v>0</v>
      </c>
      <c r="V686" s="87">
        <v>0</v>
      </c>
      <c r="X686" s="87">
        <v>0</v>
      </c>
      <c r="Y686" s="88">
        <v>1299468.9999999986</v>
      </c>
      <c r="Z686" s="87">
        <v>0</v>
      </c>
      <c r="AA686" s="87">
        <v>9</v>
      </c>
      <c r="AB686" s="89">
        <f t="shared" si="181"/>
        <v>0</v>
      </c>
      <c r="AC686" s="89">
        <f t="shared" si="182"/>
        <v>0</v>
      </c>
      <c r="AD686" s="89">
        <f t="shared" si="183"/>
        <v>0</v>
      </c>
      <c r="AE686" s="90">
        <f t="shared" si="184"/>
        <v>0</v>
      </c>
      <c r="AF686" s="90" t="str">
        <f t="shared" si="185"/>
        <v/>
      </c>
      <c r="AG686" s="90">
        <f t="shared" si="186"/>
        <v>9</v>
      </c>
      <c r="AH686" s="90" t="str">
        <f t="shared" si="187"/>
        <v>2018 (triag)</v>
      </c>
      <c r="AI686" s="90">
        <f t="shared" si="188"/>
        <v>9</v>
      </c>
      <c r="AJ686" s="90" t="str">
        <f t="shared" si="189"/>
        <v>2018 (triag)</v>
      </c>
      <c r="AK686" s="90" t="str">
        <f t="shared" si="190"/>
        <v/>
      </c>
      <c r="AL686" s="91">
        <f>IF(AK686="Adjust",(_xlfn.XLOOKUP(A686,'Adj factor'!A:A,'Adj factor'!I:I,,0)*AI686),'Master DataSheet'!AI686)</f>
        <v>9</v>
      </c>
      <c r="AM686" s="91">
        <f t="shared" si="191"/>
        <v>9</v>
      </c>
      <c r="AN686" s="92" t="str">
        <f t="shared" si="192"/>
        <v>No change</v>
      </c>
      <c r="AO686" s="93">
        <f>VLOOKUP(B686,'Growthrates source'!A$2:H$49,8,FALSE)</f>
        <v>7.4156136535132866E-2</v>
      </c>
      <c r="AP686" s="93">
        <f>VLOOKUP(B686,'Growthrates source'!A$2:I$49,9,FALSE)</f>
        <v>5.4673730437993617E-2</v>
      </c>
      <c r="AQ686" s="86">
        <f t="shared" si="193"/>
        <v>6.2117576707187379</v>
      </c>
      <c r="AR686" s="86">
        <f t="shared" si="194"/>
        <v>10.60415354940087</v>
      </c>
      <c r="AS686" s="94">
        <f t="shared" si="195"/>
        <v>0</v>
      </c>
      <c r="AT686" s="94">
        <f t="shared" si="196"/>
        <v>6.9477601772142003E-2</v>
      </c>
      <c r="AU686" s="94">
        <f t="shared" si="197"/>
        <v>6.9259058892516948E-2</v>
      </c>
    </row>
    <row r="687" spans="1:47" x14ac:dyDescent="0.3">
      <c r="A687" s="85" t="str">
        <f>_xlfn.XLOOKUP(B687,'Country codes &amp; Data sources'!G:G,'Country codes &amp; Data sources'!H:H,,0)</f>
        <v>Mauritius</v>
      </c>
      <c r="B687" s="85" t="s">
        <v>180</v>
      </c>
      <c r="C687" s="86">
        <v>1288757.5</v>
      </c>
      <c r="D687" s="85" t="s">
        <v>136</v>
      </c>
      <c r="E687" s="87">
        <v>0</v>
      </c>
      <c r="F687" s="88">
        <v>1290691.4999999998</v>
      </c>
      <c r="G687" s="87">
        <v>0</v>
      </c>
      <c r="I687" s="87">
        <v>0</v>
      </c>
      <c r="K687" s="87">
        <v>0</v>
      </c>
      <c r="M687" s="87">
        <v>0</v>
      </c>
      <c r="O687" s="87">
        <v>0</v>
      </c>
      <c r="P687" s="88">
        <v>1295381.5000000005</v>
      </c>
      <c r="Q687" s="87">
        <v>0</v>
      </c>
      <c r="R687" s="87">
        <f t="shared" si="180"/>
        <v>213</v>
      </c>
      <c r="T687" s="87">
        <v>0</v>
      </c>
      <c r="V687" s="87">
        <v>0</v>
      </c>
      <c r="X687" s="87">
        <v>0</v>
      </c>
      <c r="Y687" s="88">
        <v>1299468.9999999986</v>
      </c>
      <c r="Z687" s="87">
        <v>0</v>
      </c>
      <c r="AA687" s="87">
        <v>213</v>
      </c>
      <c r="AB687" s="89">
        <f t="shared" si="181"/>
        <v>0</v>
      </c>
      <c r="AC687" s="89">
        <f t="shared" si="182"/>
        <v>0</v>
      </c>
      <c r="AD687" s="89">
        <f t="shared" si="183"/>
        <v>0</v>
      </c>
      <c r="AE687" s="90">
        <f t="shared" si="184"/>
        <v>0</v>
      </c>
      <c r="AF687" s="90" t="str">
        <f t="shared" si="185"/>
        <v/>
      </c>
      <c r="AG687" s="90">
        <f t="shared" si="186"/>
        <v>213</v>
      </c>
      <c r="AH687" s="90" t="str">
        <f t="shared" si="187"/>
        <v>2018 (triag)</v>
      </c>
      <c r="AI687" s="90">
        <f t="shared" si="188"/>
        <v>213</v>
      </c>
      <c r="AJ687" s="90" t="str">
        <f t="shared" si="189"/>
        <v>2018 (triag)</v>
      </c>
      <c r="AK687" s="90" t="str">
        <f t="shared" si="190"/>
        <v/>
      </c>
      <c r="AL687" s="91">
        <f>IF(AK687="Adjust",(_xlfn.XLOOKUP(A687,'Adj factor'!A:A,'Adj factor'!I:I,,0)*AI687),'Master DataSheet'!AI687)</f>
        <v>213</v>
      </c>
      <c r="AM687" s="91">
        <f t="shared" si="191"/>
        <v>213</v>
      </c>
      <c r="AN687" s="92" t="str">
        <f t="shared" si="192"/>
        <v>No change</v>
      </c>
      <c r="AO687" s="93">
        <f>VLOOKUP(B687,'Growthrates source'!A$2:H$49,8,FALSE)</f>
        <v>7.4156136535132866E-2</v>
      </c>
      <c r="AP687" s="93">
        <f>VLOOKUP(B687,'Growthrates source'!A$2:I$49,9,FALSE)</f>
        <v>5.4673730437993617E-2</v>
      </c>
      <c r="AQ687" s="86">
        <f t="shared" si="193"/>
        <v>147.01159820701014</v>
      </c>
      <c r="AR687" s="86">
        <f t="shared" si="194"/>
        <v>250.9649673358206</v>
      </c>
      <c r="AS687" s="94">
        <f t="shared" si="195"/>
        <v>0</v>
      </c>
      <c r="AT687" s="94">
        <f t="shared" si="196"/>
        <v>1.644303241940694</v>
      </c>
      <c r="AU687" s="94">
        <f t="shared" si="197"/>
        <v>1.6391310604562344</v>
      </c>
    </row>
    <row r="688" spans="1:47" x14ac:dyDescent="0.3">
      <c r="A688" s="85" t="str">
        <f>_xlfn.XLOOKUP(B688,'Country codes &amp; Data sources'!G:G,'Country codes &amp; Data sources'!H:H,,0)</f>
        <v>Mauritius</v>
      </c>
      <c r="B688" s="85" t="s">
        <v>180</v>
      </c>
      <c r="C688" s="86">
        <v>1288758.5</v>
      </c>
      <c r="D688" s="85" t="s">
        <v>207</v>
      </c>
      <c r="E688" s="87">
        <v>0</v>
      </c>
      <c r="F688" s="88">
        <v>1290691.4999999998</v>
      </c>
      <c r="G688" s="87">
        <v>0</v>
      </c>
      <c r="I688" s="87">
        <v>0</v>
      </c>
      <c r="K688" s="87">
        <v>0</v>
      </c>
      <c r="M688" s="87">
        <v>0</v>
      </c>
      <c r="O688" s="87">
        <v>0</v>
      </c>
      <c r="P688" s="88">
        <v>1295381.5000000005</v>
      </c>
      <c r="Q688" s="87">
        <v>0</v>
      </c>
      <c r="R688" s="87">
        <f t="shared" si="180"/>
        <v>416</v>
      </c>
      <c r="T688" s="87">
        <v>0</v>
      </c>
      <c r="V688" s="87">
        <v>0</v>
      </c>
      <c r="X688" s="87">
        <v>0</v>
      </c>
      <c r="Y688" s="88">
        <v>1299468.9999999986</v>
      </c>
      <c r="Z688" s="87">
        <v>378</v>
      </c>
      <c r="AA688" s="87">
        <v>416</v>
      </c>
      <c r="AB688" s="89">
        <f t="shared" si="181"/>
        <v>0</v>
      </c>
      <c r="AC688" s="89">
        <f t="shared" si="182"/>
        <v>0</v>
      </c>
      <c r="AD688" s="89">
        <f t="shared" si="183"/>
        <v>378</v>
      </c>
      <c r="AE688" s="90">
        <f t="shared" si="184"/>
        <v>0</v>
      </c>
      <c r="AF688" s="90" t="str">
        <f t="shared" si="185"/>
        <v/>
      </c>
      <c r="AG688" s="90">
        <f t="shared" si="186"/>
        <v>416</v>
      </c>
      <c r="AH688" s="90" t="str">
        <f t="shared" si="187"/>
        <v>2018 (triag)</v>
      </c>
      <c r="AI688" s="90">
        <f t="shared" si="188"/>
        <v>378</v>
      </c>
      <c r="AJ688" s="90">
        <f t="shared" si="189"/>
        <v>2022</v>
      </c>
      <c r="AK688" s="90" t="str">
        <f t="shared" si="190"/>
        <v>Adjust</v>
      </c>
      <c r="AL688" s="91">
        <f>IF(AK688="Adjust",(_xlfn.XLOOKUP(A688,'Adj factor'!A:A,'Adj factor'!I:I,,0)*AI688),'Master DataSheet'!AI688)</f>
        <v>445.73747817913255</v>
      </c>
      <c r="AM688" s="91">
        <f t="shared" si="191"/>
        <v>445.73747817913255</v>
      </c>
      <c r="AN688" s="92" t="str">
        <f t="shared" si="192"/>
        <v>Increasing</v>
      </c>
      <c r="AO688" s="93">
        <f>VLOOKUP(B688,'Growthrates source'!A$2:H$49,8,FALSE)</f>
        <v>7.4156136535132866E-2</v>
      </c>
      <c r="AP688" s="93">
        <f>VLOOKUP(B688,'Growthrates source'!A$2:I$49,9,FALSE)</f>
        <v>5.4673730437993617E-2</v>
      </c>
      <c r="AQ688" s="86">
        <f t="shared" si="193"/>
        <v>287.12124344655501</v>
      </c>
      <c r="AR688" s="86">
        <f t="shared" si="194"/>
        <v>490.14754183897355</v>
      </c>
      <c r="AS688" s="94">
        <f t="shared" si="195"/>
        <v>0</v>
      </c>
      <c r="AT688" s="94">
        <f t="shared" si="196"/>
        <v>3.2114091485790084</v>
      </c>
      <c r="AU688" s="94">
        <f t="shared" si="197"/>
        <v>3.4301509168678366</v>
      </c>
    </row>
    <row r="689" spans="1:47" x14ac:dyDescent="0.3">
      <c r="A689" s="85" t="str">
        <f>_xlfn.XLOOKUP(B689,'Country codes &amp; Data sources'!G:G,'Country codes &amp; Data sources'!H:H,,0)</f>
        <v>Mauritius</v>
      </c>
      <c r="B689" s="85" t="s">
        <v>180</v>
      </c>
      <c r="C689" s="86">
        <v>1288759.5</v>
      </c>
      <c r="D689" s="85" t="s">
        <v>141</v>
      </c>
      <c r="E689" s="87">
        <v>0</v>
      </c>
      <c r="F689" s="88">
        <v>1290691.4999999998</v>
      </c>
      <c r="G689" s="87">
        <v>0</v>
      </c>
      <c r="I689" s="87">
        <v>0</v>
      </c>
      <c r="K689" s="87">
        <v>0</v>
      </c>
      <c r="M689" s="87">
        <v>0</v>
      </c>
      <c r="O689" s="87">
        <v>0</v>
      </c>
      <c r="P689" s="88">
        <v>1295381.5000000005</v>
      </c>
      <c r="Q689" s="87">
        <v>0</v>
      </c>
      <c r="R689" s="87">
        <f t="shared" si="180"/>
        <v>0</v>
      </c>
      <c r="T689" s="87">
        <v>0</v>
      </c>
      <c r="V689" s="87">
        <v>0</v>
      </c>
      <c r="X689" s="87">
        <v>0</v>
      </c>
      <c r="Y689" s="88">
        <v>1299468.9999999986</v>
      </c>
      <c r="Z689" s="87">
        <v>6</v>
      </c>
      <c r="AA689" s="87">
        <v>0</v>
      </c>
      <c r="AB689" s="89">
        <f t="shared" si="181"/>
        <v>0</v>
      </c>
      <c r="AC689" s="89">
        <f t="shared" si="182"/>
        <v>0</v>
      </c>
      <c r="AD689" s="89">
        <f t="shared" si="183"/>
        <v>6</v>
      </c>
      <c r="AE689" s="90">
        <f t="shared" si="184"/>
        <v>0</v>
      </c>
      <c r="AF689" s="90" t="str">
        <f t="shared" si="185"/>
        <v/>
      </c>
      <c r="AG689" s="90">
        <f t="shared" si="186"/>
        <v>0</v>
      </c>
      <c r="AH689" s="90" t="str">
        <f t="shared" si="187"/>
        <v/>
      </c>
      <c r="AI689" s="90">
        <f t="shared" si="188"/>
        <v>6</v>
      </c>
      <c r="AJ689" s="90">
        <f t="shared" si="189"/>
        <v>2022</v>
      </c>
      <c r="AK689" s="90" t="str">
        <f t="shared" si="190"/>
        <v/>
      </c>
      <c r="AL689" s="91">
        <f>IF(AK689="Adjust",(_xlfn.XLOOKUP(A689,'Adj factor'!A:A,'Adj factor'!I:I,,0)*AI689),'Master DataSheet'!AI689)</f>
        <v>6</v>
      </c>
      <c r="AM689" s="91">
        <f t="shared" si="191"/>
        <v>6</v>
      </c>
      <c r="AN689" s="92" t="str">
        <f t="shared" si="192"/>
        <v>Increasing</v>
      </c>
      <c r="AO689" s="93">
        <f>VLOOKUP(B689,'Growthrates source'!A$2:H$49,8,FALSE)</f>
        <v>7.4156136535132866E-2</v>
      </c>
      <c r="AP689" s="93">
        <f>VLOOKUP(B689,'Growthrates source'!A$2:I$49,9,FALSE)</f>
        <v>5.4673730437993617E-2</v>
      </c>
      <c r="AQ689" s="86">
        <f t="shared" si="193"/>
        <v>0</v>
      </c>
      <c r="AR689" s="86">
        <f t="shared" si="194"/>
        <v>0</v>
      </c>
      <c r="AS689" s="94">
        <f t="shared" si="195"/>
        <v>0</v>
      </c>
      <c r="AT689" s="94">
        <f t="shared" si="196"/>
        <v>0</v>
      </c>
      <c r="AU689" s="94">
        <f t="shared" si="197"/>
        <v>4.6172705928344625E-2</v>
      </c>
    </row>
    <row r="690" spans="1:47" x14ac:dyDescent="0.3">
      <c r="A690" s="85" t="str">
        <f>_xlfn.XLOOKUP(B690,'Country codes &amp; Data sources'!G:G,'Country codes &amp; Data sources'!H:H,,0)</f>
        <v>Mauritius</v>
      </c>
      <c r="B690" s="85" t="s">
        <v>180</v>
      </c>
      <c r="C690" s="86">
        <v>1288760.5</v>
      </c>
      <c r="D690" s="85" t="s">
        <v>208</v>
      </c>
      <c r="E690" s="87">
        <v>0</v>
      </c>
      <c r="F690" s="88">
        <v>1290691.4999999998</v>
      </c>
      <c r="G690" s="87">
        <v>0</v>
      </c>
      <c r="I690" s="87">
        <v>0</v>
      </c>
      <c r="K690" s="87">
        <v>0</v>
      </c>
      <c r="M690" s="87">
        <v>0</v>
      </c>
      <c r="O690" s="87">
        <v>0</v>
      </c>
      <c r="P690" s="88">
        <v>1295381.5000000005</v>
      </c>
      <c r="Q690" s="87">
        <v>0</v>
      </c>
      <c r="R690" s="87">
        <f t="shared" si="180"/>
        <v>3295</v>
      </c>
      <c r="T690" s="87">
        <v>0</v>
      </c>
      <c r="V690" s="87">
        <v>0</v>
      </c>
      <c r="X690" s="87">
        <v>0</v>
      </c>
      <c r="Y690" s="88">
        <v>1299468.9999999986</v>
      </c>
      <c r="Z690" s="87">
        <v>0</v>
      </c>
      <c r="AA690" s="87">
        <v>3295</v>
      </c>
      <c r="AB690" s="89">
        <f t="shared" si="181"/>
        <v>0</v>
      </c>
      <c r="AC690" s="89">
        <f t="shared" si="182"/>
        <v>0</v>
      </c>
      <c r="AD690" s="89">
        <f t="shared" si="183"/>
        <v>0</v>
      </c>
      <c r="AE690" s="90">
        <f t="shared" si="184"/>
        <v>0</v>
      </c>
      <c r="AF690" s="90" t="str">
        <f t="shared" si="185"/>
        <v/>
      </c>
      <c r="AG690" s="90">
        <f t="shared" si="186"/>
        <v>3295</v>
      </c>
      <c r="AH690" s="90" t="str">
        <f t="shared" si="187"/>
        <v>2018 (triag)</v>
      </c>
      <c r="AI690" s="90">
        <f t="shared" si="188"/>
        <v>3295</v>
      </c>
      <c r="AJ690" s="90" t="str">
        <f t="shared" si="189"/>
        <v>2018 (triag)</v>
      </c>
      <c r="AK690" s="90" t="str">
        <f t="shared" si="190"/>
        <v/>
      </c>
      <c r="AL690" s="91">
        <f>IF(AK690="Adjust",(_xlfn.XLOOKUP(A690,'Adj factor'!A:A,'Adj factor'!I:I,,0)*AI690),'Master DataSheet'!AI690)</f>
        <v>3295</v>
      </c>
      <c r="AM690" s="91">
        <f t="shared" si="191"/>
        <v>3295</v>
      </c>
      <c r="AN690" s="92" t="str">
        <f t="shared" si="192"/>
        <v>No change</v>
      </c>
      <c r="AO690" s="93">
        <f>VLOOKUP(B690,'Growthrates source'!A$2:H$49,8,FALSE)</f>
        <v>7.4156136535132866E-2</v>
      </c>
      <c r="AP690" s="93">
        <f>VLOOKUP(B690,'Growthrates source'!A$2:I$49,9,FALSE)</f>
        <v>5.4673730437993617E-2</v>
      </c>
      <c r="AQ690" s="86">
        <f t="shared" si="193"/>
        <v>2274.1935027798045</v>
      </c>
      <c r="AR690" s="86">
        <f t="shared" si="194"/>
        <v>3882.2984383639855</v>
      </c>
      <c r="AS690" s="94">
        <f t="shared" si="195"/>
        <v>0</v>
      </c>
      <c r="AT690" s="94">
        <f t="shared" si="196"/>
        <v>25.436521982134213</v>
      </c>
      <c r="AU690" s="94">
        <f t="shared" si="197"/>
        <v>25.356511005649256</v>
      </c>
    </row>
    <row r="691" spans="1:47" x14ac:dyDescent="0.3">
      <c r="A691" s="85" t="str">
        <f>_xlfn.XLOOKUP(B691,'Country codes &amp; Data sources'!G:G,'Country codes &amp; Data sources'!H:H,,0)</f>
        <v>Mauritius</v>
      </c>
      <c r="B691" s="85" t="s">
        <v>180</v>
      </c>
      <c r="C691" s="86">
        <v>1288761.5</v>
      </c>
      <c r="D691" s="85" t="s">
        <v>209</v>
      </c>
      <c r="E691" s="87">
        <v>0</v>
      </c>
      <c r="F691" s="88">
        <v>1290691.4999999998</v>
      </c>
      <c r="G691" s="87">
        <v>0</v>
      </c>
      <c r="I691" s="87">
        <v>0</v>
      </c>
      <c r="K691" s="87">
        <v>0</v>
      </c>
      <c r="M691" s="87">
        <v>0</v>
      </c>
      <c r="O691" s="87">
        <v>0</v>
      </c>
      <c r="P691" s="88">
        <v>1295381.5000000005</v>
      </c>
      <c r="Q691" s="87">
        <v>0</v>
      </c>
      <c r="R691" s="87">
        <f t="shared" si="180"/>
        <v>0</v>
      </c>
      <c r="T691" s="87">
        <v>0</v>
      </c>
      <c r="V691" s="87">
        <v>0</v>
      </c>
      <c r="X691" s="87">
        <v>0</v>
      </c>
      <c r="Y691" s="88">
        <v>1299468.9999999986</v>
      </c>
      <c r="Z691" s="87">
        <v>0</v>
      </c>
      <c r="AA691" s="87">
        <v>0</v>
      </c>
      <c r="AB691" s="89">
        <f t="shared" si="181"/>
        <v>0</v>
      </c>
      <c r="AC691" s="89">
        <f t="shared" si="182"/>
        <v>0</v>
      </c>
      <c r="AD691" s="89">
        <f t="shared" si="183"/>
        <v>0</v>
      </c>
      <c r="AE691" s="90">
        <f t="shared" si="184"/>
        <v>0</v>
      </c>
      <c r="AF691" s="90" t="str">
        <f t="shared" si="185"/>
        <v/>
      </c>
      <c r="AG691" s="90">
        <f t="shared" si="186"/>
        <v>0</v>
      </c>
      <c r="AH691" s="90" t="str">
        <f t="shared" si="187"/>
        <v/>
      </c>
      <c r="AI691" s="90">
        <f t="shared" si="188"/>
        <v>0</v>
      </c>
      <c r="AJ691" s="90" t="str">
        <f t="shared" si="189"/>
        <v/>
      </c>
      <c r="AK691" s="90" t="str">
        <f t="shared" si="190"/>
        <v/>
      </c>
      <c r="AL691" s="91">
        <f>IF(AK691="Adjust",(_xlfn.XLOOKUP(A691,'Adj factor'!A:A,'Adj factor'!I:I,,0)*AI691),'Master DataSheet'!AI691)</f>
        <v>0</v>
      </c>
      <c r="AM691" s="91">
        <f t="shared" si="191"/>
        <v>0</v>
      </c>
      <c r="AN691" s="92" t="str">
        <f t="shared" si="192"/>
        <v>No change</v>
      </c>
      <c r="AO691" s="93">
        <f>VLOOKUP(B691,'Growthrates source'!A$2:H$49,8,FALSE)</f>
        <v>7.4156136535132866E-2</v>
      </c>
      <c r="AP691" s="93">
        <f>VLOOKUP(B691,'Growthrates source'!A$2:I$49,9,FALSE)</f>
        <v>5.4673730437993617E-2</v>
      </c>
      <c r="AQ691" s="86">
        <f t="shared" si="193"/>
        <v>0</v>
      </c>
      <c r="AR691" s="86">
        <f t="shared" si="194"/>
        <v>0</v>
      </c>
      <c r="AS691" s="94">
        <f t="shared" si="195"/>
        <v>0</v>
      </c>
      <c r="AT691" s="94">
        <f t="shared" si="196"/>
        <v>0</v>
      </c>
      <c r="AU691" s="94">
        <f t="shared" si="197"/>
        <v>0</v>
      </c>
    </row>
    <row r="692" spans="1:47" x14ac:dyDescent="0.3">
      <c r="A692" s="85" t="str">
        <f>_xlfn.XLOOKUP(B692,'Country codes &amp; Data sources'!G:G,'Country codes &amp; Data sources'!H:H,,0)</f>
        <v>Mauritius</v>
      </c>
      <c r="B692" s="85" t="s">
        <v>180</v>
      </c>
      <c r="C692" s="86">
        <v>1288762.5</v>
      </c>
      <c r="D692" s="85" t="s">
        <v>134</v>
      </c>
      <c r="E692" s="87">
        <v>0</v>
      </c>
      <c r="F692" s="88">
        <v>1290691.4999999998</v>
      </c>
      <c r="G692" s="87">
        <v>0</v>
      </c>
      <c r="I692" s="87">
        <v>0</v>
      </c>
      <c r="K692" s="87">
        <v>0</v>
      </c>
      <c r="M692" s="87">
        <v>0</v>
      </c>
      <c r="O692" s="87">
        <v>0</v>
      </c>
      <c r="P692" s="88">
        <v>1295381.5000000005</v>
      </c>
      <c r="Q692" s="87">
        <v>0</v>
      </c>
      <c r="R692" s="87">
        <f t="shared" si="180"/>
        <v>291</v>
      </c>
      <c r="T692" s="87">
        <v>0</v>
      </c>
      <c r="V692" s="87">
        <v>0</v>
      </c>
      <c r="X692" s="87">
        <v>0</v>
      </c>
      <c r="Y692" s="88">
        <v>1299468.9999999986</v>
      </c>
      <c r="Z692" s="87">
        <v>224</v>
      </c>
      <c r="AA692" s="87">
        <v>291</v>
      </c>
      <c r="AB692" s="89">
        <f t="shared" si="181"/>
        <v>0</v>
      </c>
      <c r="AC692" s="89">
        <f t="shared" si="182"/>
        <v>0</v>
      </c>
      <c r="AD692" s="89">
        <f t="shared" si="183"/>
        <v>224</v>
      </c>
      <c r="AE692" s="90">
        <f t="shared" si="184"/>
        <v>0</v>
      </c>
      <c r="AF692" s="90" t="str">
        <f t="shared" si="185"/>
        <v/>
      </c>
      <c r="AG692" s="90">
        <f t="shared" si="186"/>
        <v>291</v>
      </c>
      <c r="AH692" s="90" t="str">
        <f t="shared" si="187"/>
        <v>2018 (triag)</v>
      </c>
      <c r="AI692" s="90">
        <f t="shared" si="188"/>
        <v>224</v>
      </c>
      <c r="AJ692" s="90">
        <f t="shared" si="189"/>
        <v>2022</v>
      </c>
      <c r="AK692" s="90" t="str">
        <f t="shared" si="190"/>
        <v>Adjust</v>
      </c>
      <c r="AL692" s="91">
        <f>IF(AK692="Adjust",(_xlfn.XLOOKUP(A692,'Adj factor'!A:A,'Adj factor'!I:I,,0)*AI692),'Master DataSheet'!AI692)</f>
        <v>264.14072780985634</v>
      </c>
      <c r="AM692" s="91">
        <f t="shared" si="191"/>
        <v>291</v>
      </c>
      <c r="AN692" s="92" t="str">
        <f t="shared" si="192"/>
        <v>Decreasing</v>
      </c>
      <c r="AO692" s="93">
        <f>VLOOKUP(B692,'Growthrates source'!A$2:H$49,8,FALSE)</f>
        <v>7.4156136535132866E-2</v>
      </c>
      <c r="AP692" s="93">
        <f>VLOOKUP(B692,'Growthrates source'!A$2:I$49,9,FALSE)</f>
        <v>5.4673730437993617E-2</v>
      </c>
      <c r="AQ692" s="86">
        <f t="shared" si="193"/>
        <v>200.8468313532392</v>
      </c>
      <c r="AR692" s="86">
        <f t="shared" si="194"/>
        <v>342.86763143062814</v>
      </c>
      <c r="AS692" s="94">
        <f t="shared" si="195"/>
        <v>0</v>
      </c>
      <c r="AT692" s="94">
        <f t="shared" si="196"/>
        <v>2.2464424572992581</v>
      </c>
      <c r="AU692" s="94">
        <f t="shared" si="197"/>
        <v>2.2393762375247146</v>
      </c>
    </row>
    <row r="693" spans="1:47" x14ac:dyDescent="0.3">
      <c r="A693" s="85" t="str">
        <f>_xlfn.XLOOKUP(B693,'Country codes &amp; Data sources'!G:G,'Country codes &amp; Data sources'!H:H,,0)</f>
        <v>Mauritius</v>
      </c>
      <c r="B693" s="85" t="s">
        <v>180</v>
      </c>
      <c r="C693" s="86">
        <v>1288763.5</v>
      </c>
      <c r="D693" s="85" t="s">
        <v>142</v>
      </c>
      <c r="E693" s="87">
        <v>0</v>
      </c>
      <c r="F693" s="88">
        <v>1290691.4999999998</v>
      </c>
      <c r="G693" s="87">
        <v>0</v>
      </c>
      <c r="I693" s="87">
        <v>0</v>
      </c>
      <c r="K693" s="87">
        <v>0</v>
      </c>
      <c r="M693" s="87">
        <v>0</v>
      </c>
      <c r="O693" s="87">
        <v>0</v>
      </c>
      <c r="P693" s="88">
        <v>1295381.5000000005</v>
      </c>
      <c r="Q693" s="87">
        <v>0</v>
      </c>
      <c r="R693" s="87">
        <f t="shared" si="180"/>
        <v>24</v>
      </c>
      <c r="T693" s="87">
        <v>0</v>
      </c>
      <c r="V693" s="87">
        <v>0</v>
      </c>
      <c r="X693" s="87">
        <v>0</v>
      </c>
      <c r="Y693" s="88">
        <v>1299468.9999999986</v>
      </c>
      <c r="Z693" s="87">
        <v>0</v>
      </c>
      <c r="AA693" s="87">
        <v>24</v>
      </c>
      <c r="AB693" s="89">
        <f t="shared" si="181"/>
        <v>0</v>
      </c>
      <c r="AC693" s="89">
        <f t="shared" si="182"/>
        <v>0</v>
      </c>
      <c r="AD693" s="89">
        <f t="shared" si="183"/>
        <v>0</v>
      </c>
      <c r="AE693" s="90">
        <f t="shared" si="184"/>
        <v>0</v>
      </c>
      <c r="AF693" s="90" t="str">
        <f t="shared" si="185"/>
        <v/>
      </c>
      <c r="AG693" s="90">
        <f t="shared" si="186"/>
        <v>24</v>
      </c>
      <c r="AH693" s="90" t="str">
        <f t="shared" si="187"/>
        <v>2018 (triag)</v>
      </c>
      <c r="AI693" s="90">
        <f t="shared" si="188"/>
        <v>24</v>
      </c>
      <c r="AJ693" s="90" t="str">
        <f t="shared" si="189"/>
        <v>2018 (triag)</v>
      </c>
      <c r="AK693" s="90" t="str">
        <f t="shared" si="190"/>
        <v/>
      </c>
      <c r="AL693" s="91">
        <f>IF(AK693="Adjust",(_xlfn.XLOOKUP(A693,'Adj factor'!A:A,'Adj factor'!I:I,,0)*AI693),'Master DataSheet'!AI693)</f>
        <v>24</v>
      </c>
      <c r="AM693" s="91">
        <f t="shared" si="191"/>
        <v>24</v>
      </c>
      <c r="AN693" s="92" t="str">
        <f t="shared" si="192"/>
        <v>No change</v>
      </c>
      <c r="AO693" s="93">
        <f>VLOOKUP(B693,'Growthrates source'!A$2:H$49,8,FALSE)</f>
        <v>7.4156136535132866E-2</v>
      </c>
      <c r="AP693" s="93">
        <f>VLOOKUP(B693,'Growthrates source'!A$2:I$49,9,FALSE)</f>
        <v>5.4673730437993617E-2</v>
      </c>
      <c r="AQ693" s="86">
        <f t="shared" si="193"/>
        <v>16.564687121916634</v>
      </c>
      <c r="AR693" s="86">
        <f t="shared" si="194"/>
        <v>28.277742798402322</v>
      </c>
      <c r="AS693" s="94">
        <f t="shared" si="195"/>
        <v>0</v>
      </c>
      <c r="AT693" s="94">
        <f t="shared" si="196"/>
        <v>0.185273604725712</v>
      </c>
      <c r="AU693" s="94">
        <f t="shared" si="197"/>
        <v>0.1846908237133785</v>
      </c>
    </row>
    <row r="694" spans="1:47" x14ac:dyDescent="0.3">
      <c r="A694" s="85" t="str">
        <f>_xlfn.XLOOKUP(B694,'Country codes &amp; Data sources'!G:G,'Country codes &amp; Data sources'!H:H,,0)</f>
        <v>Mauritius</v>
      </c>
      <c r="B694" s="85" t="s">
        <v>180</v>
      </c>
      <c r="C694" s="86">
        <v>1288764.5</v>
      </c>
      <c r="D694" s="85" t="s">
        <v>83</v>
      </c>
      <c r="E694" s="87">
        <v>0</v>
      </c>
      <c r="F694" s="88">
        <v>1290691.4999999998</v>
      </c>
      <c r="G694" s="87">
        <v>0</v>
      </c>
      <c r="I694" s="87">
        <v>0</v>
      </c>
      <c r="K694" s="87">
        <v>0</v>
      </c>
      <c r="M694" s="87">
        <v>0</v>
      </c>
      <c r="O694" s="87">
        <v>0</v>
      </c>
      <c r="P694" s="88">
        <v>1295381.5000000005</v>
      </c>
      <c r="Q694" s="87">
        <v>0</v>
      </c>
      <c r="R694" s="87">
        <f t="shared" si="180"/>
        <v>64</v>
      </c>
      <c r="T694" s="87">
        <v>0</v>
      </c>
      <c r="V694" s="87">
        <v>0</v>
      </c>
      <c r="X694" s="87">
        <v>0</v>
      </c>
      <c r="Y694" s="88">
        <v>1299468.9999999986</v>
      </c>
      <c r="Z694" s="87">
        <v>0</v>
      </c>
      <c r="AA694" s="87">
        <v>64</v>
      </c>
      <c r="AB694" s="89">
        <f t="shared" si="181"/>
        <v>0</v>
      </c>
      <c r="AC694" s="89">
        <f t="shared" si="182"/>
        <v>0</v>
      </c>
      <c r="AD694" s="89">
        <f t="shared" si="183"/>
        <v>0</v>
      </c>
      <c r="AE694" s="90">
        <f t="shared" si="184"/>
        <v>0</v>
      </c>
      <c r="AF694" s="90" t="str">
        <f t="shared" si="185"/>
        <v/>
      </c>
      <c r="AG694" s="90">
        <f t="shared" si="186"/>
        <v>64</v>
      </c>
      <c r="AH694" s="90" t="str">
        <f t="shared" si="187"/>
        <v>2018 (triag)</v>
      </c>
      <c r="AI694" s="90">
        <f t="shared" si="188"/>
        <v>64</v>
      </c>
      <c r="AJ694" s="90" t="str">
        <f t="shared" si="189"/>
        <v>2018 (triag)</v>
      </c>
      <c r="AK694" s="90" t="str">
        <f t="shared" si="190"/>
        <v/>
      </c>
      <c r="AL694" s="91">
        <f>IF(AK694="Adjust",(_xlfn.XLOOKUP(A694,'Adj factor'!A:A,'Adj factor'!I:I,,0)*AI694),'Master DataSheet'!AI694)</f>
        <v>64</v>
      </c>
      <c r="AM694" s="91">
        <f t="shared" si="191"/>
        <v>64</v>
      </c>
      <c r="AN694" s="92" t="str">
        <f t="shared" si="192"/>
        <v>No change</v>
      </c>
      <c r="AO694" s="93">
        <f>VLOOKUP(B694,'Growthrates source'!A$2:H$49,8,FALSE)</f>
        <v>7.4156136535132866E-2</v>
      </c>
      <c r="AP694" s="93">
        <f>VLOOKUP(B694,'Growthrates source'!A$2:I$49,9,FALSE)</f>
        <v>5.4673730437993617E-2</v>
      </c>
      <c r="AQ694" s="86">
        <f t="shared" si="193"/>
        <v>44.172498991777694</v>
      </c>
      <c r="AR694" s="86">
        <f t="shared" si="194"/>
        <v>75.407314129072859</v>
      </c>
      <c r="AS694" s="94">
        <f t="shared" si="195"/>
        <v>0</v>
      </c>
      <c r="AT694" s="94">
        <f t="shared" si="196"/>
        <v>0.49406294593523203</v>
      </c>
      <c r="AU694" s="94">
        <f t="shared" si="197"/>
        <v>0.492508863235676</v>
      </c>
    </row>
    <row r="695" spans="1:47" x14ac:dyDescent="0.3">
      <c r="A695" s="85" t="str">
        <f>_xlfn.XLOOKUP(B695,'Country codes &amp; Data sources'!G:G,'Country codes &amp; Data sources'!H:H,,0)</f>
        <v>Mauritius</v>
      </c>
      <c r="B695" s="85" t="s">
        <v>180</v>
      </c>
      <c r="C695" s="86">
        <v>1288765.5</v>
      </c>
      <c r="D695" s="85" t="s">
        <v>84</v>
      </c>
      <c r="E695" s="87">
        <v>0</v>
      </c>
      <c r="F695" s="88">
        <v>1290691.4999999998</v>
      </c>
      <c r="G695" s="87">
        <v>0</v>
      </c>
      <c r="I695" s="87">
        <v>0</v>
      </c>
      <c r="K695" s="87">
        <v>0</v>
      </c>
      <c r="M695" s="87">
        <v>0</v>
      </c>
      <c r="O695" s="87">
        <v>0</v>
      </c>
      <c r="P695" s="88">
        <v>1295381.5000000005</v>
      </c>
      <c r="Q695" s="87">
        <v>0</v>
      </c>
      <c r="R695" s="87">
        <f t="shared" si="180"/>
        <v>0</v>
      </c>
      <c r="T695" s="87">
        <v>0</v>
      </c>
      <c r="V695" s="87">
        <v>0</v>
      </c>
      <c r="X695" s="87">
        <v>0</v>
      </c>
      <c r="Y695" s="88">
        <v>1299468.9999999986</v>
      </c>
      <c r="Z695" s="87">
        <v>0</v>
      </c>
      <c r="AA695" s="87">
        <v>0</v>
      </c>
      <c r="AB695" s="89">
        <f t="shared" si="181"/>
        <v>0</v>
      </c>
      <c r="AC695" s="89">
        <f t="shared" si="182"/>
        <v>0</v>
      </c>
      <c r="AD695" s="89">
        <f t="shared" si="183"/>
        <v>0</v>
      </c>
      <c r="AE695" s="90">
        <f t="shared" si="184"/>
        <v>0</v>
      </c>
      <c r="AF695" s="90" t="str">
        <f t="shared" si="185"/>
        <v/>
      </c>
      <c r="AG695" s="90">
        <f t="shared" si="186"/>
        <v>0</v>
      </c>
      <c r="AH695" s="90" t="str">
        <f t="shared" si="187"/>
        <v/>
      </c>
      <c r="AI695" s="90">
        <f t="shared" si="188"/>
        <v>0</v>
      </c>
      <c r="AJ695" s="90" t="str">
        <f t="shared" si="189"/>
        <v/>
      </c>
      <c r="AK695" s="90" t="str">
        <f t="shared" si="190"/>
        <v/>
      </c>
      <c r="AL695" s="91">
        <f>IF(AK695="Adjust",(_xlfn.XLOOKUP(A695,'Adj factor'!A:A,'Adj factor'!I:I,,0)*AI695),'Master DataSheet'!AI695)</f>
        <v>0</v>
      </c>
      <c r="AM695" s="91">
        <f t="shared" si="191"/>
        <v>0</v>
      </c>
      <c r="AN695" s="92" t="str">
        <f t="shared" si="192"/>
        <v>No change</v>
      </c>
      <c r="AO695" s="93">
        <f>VLOOKUP(B695,'Growthrates source'!A$2:H$49,8,FALSE)</f>
        <v>7.4156136535132866E-2</v>
      </c>
      <c r="AP695" s="93">
        <f>VLOOKUP(B695,'Growthrates source'!A$2:I$49,9,FALSE)</f>
        <v>5.4673730437993617E-2</v>
      </c>
      <c r="AQ695" s="86">
        <f t="shared" si="193"/>
        <v>0</v>
      </c>
      <c r="AR695" s="86">
        <f t="shared" si="194"/>
        <v>0</v>
      </c>
      <c r="AS695" s="94">
        <f t="shared" si="195"/>
        <v>0</v>
      </c>
      <c r="AT695" s="94">
        <f t="shared" si="196"/>
        <v>0</v>
      </c>
      <c r="AU695" s="94">
        <f t="shared" si="197"/>
        <v>0</v>
      </c>
    </row>
    <row r="696" spans="1:47" x14ac:dyDescent="0.3">
      <c r="A696" s="85" t="str">
        <f>_xlfn.XLOOKUP(B696,'Country codes &amp; Data sources'!G:G,'Country codes &amp; Data sources'!H:H,,0)</f>
        <v>Mauritius</v>
      </c>
      <c r="B696" s="85" t="s">
        <v>180</v>
      </c>
      <c r="C696" s="86">
        <v>1288766.5</v>
      </c>
      <c r="D696" s="85" t="s">
        <v>126</v>
      </c>
      <c r="E696" s="87">
        <v>0</v>
      </c>
      <c r="F696" s="88">
        <v>1290691.4999999998</v>
      </c>
      <c r="G696" s="87">
        <v>0</v>
      </c>
      <c r="I696" s="87">
        <v>0</v>
      </c>
      <c r="K696" s="87">
        <v>0</v>
      </c>
      <c r="M696" s="87">
        <v>0</v>
      </c>
      <c r="O696" s="87">
        <v>0</v>
      </c>
      <c r="P696" s="88">
        <v>1295381.5000000005</v>
      </c>
      <c r="Q696" s="87">
        <v>0</v>
      </c>
      <c r="R696" s="87">
        <f t="shared" si="180"/>
        <v>0</v>
      </c>
      <c r="T696" s="87">
        <v>0</v>
      </c>
      <c r="V696" s="87">
        <v>0</v>
      </c>
      <c r="X696" s="87">
        <v>0</v>
      </c>
      <c r="Y696" s="88">
        <v>1299468.9999999986</v>
      </c>
      <c r="Z696" s="87">
        <v>27</v>
      </c>
      <c r="AA696" s="87">
        <v>0</v>
      </c>
      <c r="AB696" s="89">
        <f t="shared" si="181"/>
        <v>0</v>
      </c>
      <c r="AC696" s="89">
        <f t="shared" si="182"/>
        <v>0</v>
      </c>
      <c r="AD696" s="89">
        <f t="shared" si="183"/>
        <v>27</v>
      </c>
      <c r="AE696" s="90">
        <f t="shared" si="184"/>
        <v>0</v>
      </c>
      <c r="AF696" s="90" t="str">
        <f t="shared" si="185"/>
        <v/>
      </c>
      <c r="AG696" s="90">
        <f t="shared" si="186"/>
        <v>0</v>
      </c>
      <c r="AH696" s="90" t="str">
        <f t="shared" si="187"/>
        <v/>
      </c>
      <c r="AI696" s="90">
        <f t="shared" si="188"/>
        <v>27</v>
      </c>
      <c r="AJ696" s="90">
        <f t="shared" si="189"/>
        <v>2022</v>
      </c>
      <c r="AK696" s="90" t="str">
        <f t="shared" si="190"/>
        <v/>
      </c>
      <c r="AL696" s="91">
        <f>IF(AK696="Adjust",(_xlfn.XLOOKUP(A696,'Adj factor'!A:A,'Adj factor'!I:I,,0)*AI696),'Master DataSheet'!AI696)</f>
        <v>27</v>
      </c>
      <c r="AM696" s="91">
        <f t="shared" si="191"/>
        <v>27</v>
      </c>
      <c r="AN696" s="92" t="str">
        <f t="shared" si="192"/>
        <v>Increasing</v>
      </c>
      <c r="AO696" s="93">
        <f>VLOOKUP(B696,'Growthrates source'!A$2:H$49,8,FALSE)</f>
        <v>7.4156136535132866E-2</v>
      </c>
      <c r="AP696" s="93">
        <f>VLOOKUP(B696,'Growthrates source'!A$2:I$49,9,FALSE)</f>
        <v>5.4673730437993617E-2</v>
      </c>
      <c r="AQ696" s="86">
        <f t="shared" si="193"/>
        <v>0</v>
      </c>
      <c r="AR696" s="86">
        <f t="shared" si="194"/>
        <v>0</v>
      </c>
      <c r="AS696" s="94">
        <f t="shared" si="195"/>
        <v>0</v>
      </c>
      <c r="AT696" s="94">
        <f t="shared" si="196"/>
        <v>0</v>
      </c>
      <c r="AU696" s="94">
        <f t="shared" si="197"/>
        <v>0.20777717667755083</v>
      </c>
    </row>
    <row r="697" spans="1:47" x14ac:dyDescent="0.3">
      <c r="A697" s="85" t="str">
        <f>_xlfn.XLOOKUP(B697,'Country codes &amp; Data sources'!G:G,'Country codes &amp; Data sources'!H:H,,0)</f>
        <v>Mauritius</v>
      </c>
      <c r="B697" s="85" t="s">
        <v>180</v>
      </c>
      <c r="C697" s="86">
        <v>1288767.5</v>
      </c>
      <c r="D697" s="85" t="s">
        <v>87</v>
      </c>
      <c r="E697" s="87">
        <v>0</v>
      </c>
      <c r="F697" s="88">
        <v>1290691.4999999998</v>
      </c>
      <c r="G697" s="87">
        <v>0</v>
      </c>
      <c r="I697" s="87">
        <v>0</v>
      </c>
      <c r="K697" s="87">
        <v>0</v>
      </c>
      <c r="M697" s="87">
        <v>0</v>
      </c>
      <c r="O697" s="87">
        <v>0</v>
      </c>
      <c r="P697" s="88">
        <v>1295381.5000000005</v>
      </c>
      <c r="Q697" s="87">
        <v>0</v>
      </c>
      <c r="R697" s="87">
        <f t="shared" si="180"/>
        <v>5</v>
      </c>
      <c r="T697" s="87">
        <v>0</v>
      </c>
      <c r="V697" s="87">
        <v>0</v>
      </c>
      <c r="X697" s="87">
        <v>0</v>
      </c>
      <c r="Y697" s="88">
        <v>1299468.9999999986</v>
      </c>
      <c r="Z697" s="87">
        <v>0</v>
      </c>
      <c r="AA697" s="87">
        <v>5</v>
      </c>
      <c r="AB697" s="89">
        <f t="shared" si="181"/>
        <v>0</v>
      </c>
      <c r="AC697" s="89">
        <f t="shared" si="182"/>
        <v>0</v>
      </c>
      <c r="AD697" s="89">
        <f t="shared" si="183"/>
        <v>0</v>
      </c>
      <c r="AE697" s="90">
        <f t="shared" si="184"/>
        <v>0</v>
      </c>
      <c r="AF697" s="90" t="str">
        <f t="shared" si="185"/>
        <v/>
      </c>
      <c r="AG697" s="90">
        <f t="shared" si="186"/>
        <v>5</v>
      </c>
      <c r="AH697" s="90" t="str">
        <f t="shared" si="187"/>
        <v>2018 (triag)</v>
      </c>
      <c r="AI697" s="90">
        <f t="shared" si="188"/>
        <v>5</v>
      </c>
      <c r="AJ697" s="90" t="str">
        <f t="shared" si="189"/>
        <v>2018 (triag)</v>
      </c>
      <c r="AK697" s="90" t="str">
        <f t="shared" si="190"/>
        <v/>
      </c>
      <c r="AL697" s="91">
        <f>IF(AK697="Adjust",(_xlfn.XLOOKUP(A697,'Adj factor'!A:A,'Adj factor'!I:I,,0)*AI697),'Master DataSheet'!AI697)</f>
        <v>5</v>
      </c>
      <c r="AM697" s="91">
        <f t="shared" si="191"/>
        <v>5</v>
      </c>
      <c r="AN697" s="92" t="str">
        <f t="shared" si="192"/>
        <v>No change</v>
      </c>
      <c r="AO697" s="93">
        <f>VLOOKUP(B697,'Growthrates source'!A$2:H$49,8,FALSE)</f>
        <v>7.4156136535132866E-2</v>
      </c>
      <c r="AP697" s="93">
        <f>VLOOKUP(B697,'Growthrates source'!A$2:I$49,9,FALSE)</f>
        <v>5.4673730437993617E-2</v>
      </c>
      <c r="AQ697" s="86">
        <f t="shared" si="193"/>
        <v>3.450976483732632</v>
      </c>
      <c r="AR697" s="86">
        <f t="shared" si="194"/>
        <v>5.8911964163338171</v>
      </c>
      <c r="AS697" s="94">
        <f t="shared" si="195"/>
        <v>0</v>
      </c>
      <c r="AT697" s="94">
        <f t="shared" si="196"/>
        <v>3.8598667651190001E-2</v>
      </c>
      <c r="AU697" s="94">
        <f t="shared" si="197"/>
        <v>3.8477254940287191E-2</v>
      </c>
    </row>
    <row r="698" spans="1:47" x14ac:dyDescent="0.3">
      <c r="A698" s="85" t="str">
        <f>_xlfn.XLOOKUP(B698,'Country codes &amp; Data sources'!G:G,'Country codes &amp; Data sources'!H:H,,0)</f>
        <v>Malawi</v>
      </c>
      <c r="B698" s="85" t="s">
        <v>178</v>
      </c>
      <c r="C698" s="86">
        <v>15581250.5</v>
      </c>
      <c r="D698" s="85" t="s">
        <v>321</v>
      </c>
      <c r="E698" s="87">
        <v>0</v>
      </c>
      <c r="F698" s="88">
        <v>16024775.499999996</v>
      </c>
      <c r="G698" s="87">
        <v>400</v>
      </c>
      <c r="H698" s="87">
        <v>16477966.500000002</v>
      </c>
      <c r="I698" s="87">
        <v>68</v>
      </c>
      <c r="J698" s="87">
        <v>16938941.500000004</v>
      </c>
      <c r="K698" s="87">
        <v>0</v>
      </c>
      <c r="L698" s="87">
        <v>17405623.5</v>
      </c>
      <c r="M698" s="87">
        <v>1093</v>
      </c>
      <c r="N698" s="87">
        <v>17881167.000000004</v>
      </c>
      <c r="O698" s="87">
        <v>11</v>
      </c>
      <c r="P698" s="88">
        <v>18367882.999999985</v>
      </c>
      <c r="Q698" s="87">
        <v>5520</v>
      </c>
      <c r="R698" s="87">
        <f t="shared" si="180"/>
        <v>5520</v>
      </c>
      <c r="S698" s="87">
        <v>18867336.499999993</v>
      </c>
      <c r="T698" s="87">
        <v>0</v>
      </c>
      <c r="U698" s="87">
        <v>19377061.499999985</v>
      </c>
      <c r="V698" s="87">
        <v>2265</v>
      </c>
      <c r="W698" s="87">
        <v>19889742.000000011</v>
      </c>
      <c r="X698" s="87">
        <v>0</v>
      </c>
      <c r="Y698" s="88">
        <v>20405316.500000019</v>
      </c>
      <c r="Z698" s="87">
        <v>2121</v>
      </c>
      <c r="AA698" s="87">
        <v>2760</v>
      </c>
      <c r="AB698" s="89">
        <f t="shared" si="181"/>
        <v>400</v>
      </c>
      <c r="AC698" s="89">
        <f t="shared" si="182"/>
        <v>5520</v>
      </c>
      <c r="AD698" s="89">
        <f t="shared" si="183"/>
        <v>2265</v>
      </c>
      <c r="AE698" s="90">
        <f t="shared" si="184"/>
        <v>400</v>
      </c>
      <c r="AF698" s="90">
        <f t="shared" si="185"/>
        <v>2013</v>
      </c>
      <c r="AG698" s="90">
        <f t="shared" si="186"/>
        <v>5520</v>
      </c>
      <c r="AH698" s="90">
        <f t="shared" si="187"/>
        <v>2018</v>
      </c>
      <c r="AI698" s="90">
        <f t="shared" si="188"/>
        <v>2121</v>
      </c>
      <c r="AJ698" s="90">
        <f t="shared" si="189"/>
        <v>2022</v>
      </c>
      <c r="AK698" s="90" t="str">
        <f t="shared" si="190"/>
        <v>Adjust</v>
      </c>
      <c r="AL698" s="91">
        <f>IF(AK698="Adjust",(_xlfn.XLOOKUP(A698,'Adj factor'!A:A,'Adj factor'!I:I,,0)*AI698),'Master DataSheet'!AI698)</f>
        <v>2350.0590031813363</v>
      </c>
      <c r="AM698" s="91">
        <f t="shared" si="191"/>
        <v>5520</v>
      </c>
      <c r="AN698" s="92" t="str">
        <f t="shared" si="192"/>
        <v>Decreasing</v>
      </c>
      <c r="AO698" s="93">
        <f>VLOOKUP(B698,'Growthrates source'!A$2:H$49,8,FALSE)</f>
        <v>-0.13121558498618857</v>
      </c>
      <c r="AP698" s="93">
        <f>VLOOKUP(B698,'Growthrates source'!A$2:I$49,9,FALSE)</f>
        <v>0.50042870775453441</v>
      </c>
      <c r="AQ698" s="86">
        <f t="shared" si="193"/>
        <v>5319.1238751005985</v>
      </c>
      <c r="AR698" s="86">
        <f t="shared" si="194"/>
        <v>12385.380721387499</v>
      </c>
      <c r="AS698" s="94">
        <f t="shared" si="195"/>
        <v>0.24961348132459021</v>
      </c>
      <c r="AT698" s="94">
        <f t="shared" si="196"/>
        <v>3.005245623570231</v>
      </c>
      <c r="AU698" s="94">
        <f t="shared" si="197"/>
        <v>2.7051773492462101</v>
      </c>
    </row>
    <row r="699" spans="1:47" x14ac:dyDescent="0.3">
      <c r="A699" s="85" t="str">
        <f>_xlfn.XLOOKUP(B699,'Country codes &amp; Data sources'!G:G,'Country codes &amp; Data sources'!H:H,,0)</f>
        <v>Malawi</v>
      </c>
      <c r="B699" s="85" t="s">
        <v>178</v>
      </c>
      <c r="C699" s="86">
        <v>15581251.5</v>
      </c>
      <c r="D699" s="85" t="s">
        <v>322</v>
      </c>
      <c r="E699" s="87">
        <v>0</v>
      </c>
      <c r="F699" s="88">
        <v>16024775.499999996</v>
      </c>
      <c r="G699" s="87">
        <v>7090</v>
      </c>
      <c r="I699" s="87">
        <v>0</v>
      </c>
      <c r="K699" s="87">
        <v>0</v>
      </c>
      <c r="M699" s="87">
        <v>9146</v>
      </c>
      <c r="O699" s="87">
        <v>0</v>
      </c>
      <c r="P699" s="88">
        <v>18367882.999999985</v>
      </c>
      <c r="Q699" s="87">
        <v>15914</v>
      </c>
      <c r="R699" s="87">
        <f t="shared" si="180"/>
        <v>15914</v>
      </c>
      <c r="T699" s="87">
        <v>0</v>
      </c>
      <c r="V699" s="87">
        <v>32965</v>
      </c>
      <c r="X699" s="87">
        <v>0</v>
      </c>
      <c r="Y699" s="88">
        <v>20405316.500000019</v>
      </c>
      <c r="Z699" s="87">
        <v>19184</v>
      </c>
      <c r="AA699" s="87">
        <v>6025</v>
      </c>
      <c r="AB699" s="89">
        <f t="shared" si="181"/>
        <v>7090</v>
      </c>
      <c r="AC699" s="89">
        <f t="shared" si="182"/>
        <v>15914</v>
      </c>
      <c r="AD699" s="89">
        <f t="shared" si="183"/>
        <v>32965</v>
      </c>
      <c r="AE699" s="90">
        <f t="shared" si="184"/>
        <v>7090</v>
      </c>
      <c r="AF699" s="90">
        <f t="shared" si="185"/>
        <v>2013</v>
      </c>
      <c r="AG699" s="90">
        <f t="shared" si="186"/>
        <v>15914</v>
      </c>
      <c r="AH699" s="90">
        <f t="shared" si="187"/>
        <v>2018</v>
      </c>
      <c r="AI699" s="90">
        <f t="shared" si="188"/>
        <v>19184</v>
      </c>
      <c r="AJ699" s="90">
        <f t="shared" si="189"/>
        <v>2022</v>
      </c>
      <c r="AK699" s="90" t="str">
        <f t="shared" si="190"/>
        <v/>
      </c>
      <c r="AL699" s="91">
        <f>IF(AK699="Adjust",(_xlfn.XLOOKUP(A699,'Adj factor'!A:A,'Adj factor'!I:I,,0)*AI699),'Master DataSheet'!AI699)</f>
        <v>19184</v>
      </c>
      <c r="AM699" s="91">
        <f t="shared" si="191"/>
        <v>19184</v>
      </c>
      <c r="AN699" s="92" t="str">
        <f t="shared" si="192"/>
        <v>Increasing</v>
      </c>
      <c r="AO699" s="93">
        <f>VLOOKUP(B699,'Growthrates source'!A$2:H$49,8,FALSE)</f>
        <v>-0.13121558498618857</v>
      </c>
      <c r="AP699" s="93">
        <f>VLOOKUP(B699,'Growthrates source'!A$2:I$49,9,FALSE)</f>
        <v>0.50042870775453441</v>
      </c>
      <c r="AQ699" s="86">
        <f t="shared" si="193"/>
        <v>11611.493241840981</v>
      </c>
      <c r="AR699" s="86">
        <f t="shared" si="194"/>
        <v>27036.927118246262</v>
      </c>
      <c r="AS699" s="94">
        <f t="shared" si="195"/>
        <v>4.4243989564783615</v>
      </c>
      <c r="AT699" s="94">
        <f t="shared" si="196"/>
        <v>8.6640360241841776</v>
      </c>
      <c r="AU699" s="94">
        <f t="shared" si="197"/>
        <v>9.4014714253513212</v>
      </c>
    </row>
    <row r="700" spans="1:47" x14ac:dyDescent="0.3">
      <c r="A700" s="85" t="str">
        <f>_xlfn.XLOOKUP(B700,'Country codes &amp; Data sources'!G:G,'Country codes &amp; Data sources'!H:H,,0)</f>
        <v>Malawi</v>
      </c>
      <c r="B700" s="85" t="s">
        <v>178</v>
      </c>
      <c r="C700" s="86">
        <v>15581252.5</v>
      </c>
      <c r="D700" s="85" t="s">
        <v>323</v>
      </c>
      <c r="E700" s="87">
        <v>0</v>
      </c>
      <c r="F700" s="88">
        <v>16024775.499999996</v>
      </c>
      <c r="G700" s="87">
        <v>96</v>
      </c>
      <c r="I700" s="87">
        <v>0</v>
      </c>
      <c r="K700" s="87">
        <v>0</v>
      </c>
      <c r="M700" s="87">
        <v>1136</v>
      </c>
      <c r="O700" s="87">
        <v>0</v>
      </c>
      <c r="P700" s="88">
        <v>18367882.999999985</v>
      </c>
      <c r="Q700" s="87">
        <v>0</v>
      </c>
      <c r="R700" s="87">
        <f t="shared" si="180"/>
        <v>0</v>
      </c>
      <c r="T700" s="87">
        <v>0</v>
      </c>
      <c r="V700" s="87">
        <v>0</v>
      </c>
      <c r="X700" s="87">
        <v>0</v>
      </c>
      <c r="Y700" s="88">
        <v>20405316.500000019</v>
      </c>
      <c r="Z700" s="87">
        <v>1232</v>
      </c>
      <c r="AA700" s="87">
        <v>0</v>
      </c>
      <c r="AB700" s="89">
        <f t="shared" si="181"/>
        <v>96</v>
      </c>
      <c r="AC700" s="89">
        <f t="shared" si="182"/>
        <v>1136</v>
      </c>
      <c r="AD700" s="89">
        <f t="shared" si="183"/>
        <v>1232</v>
      </c>
      <c r="AE700" s="90">
        <f t="shared" si="184"/>
        <v>96</v>
      </c>
      <c r="AF700" s="90">
        <f t="shared" si="185"/>
        <v>2013</v>
      </c>
      <c r="AG700" s="90">
        <f t="shared" si="186"/>
        <v>0</v>
      </c>
      <c r="AH700" s="90" t="str">
        <f t="shared" si="187"/>
        <v/>
      </c>
      <c r="AI700" s="90">
        <f t="shared" si="188"/>
        <v>1232</v>
      </c>
      <c r="AJ700" s="90">
        <f t="shared" si="189"/>
        <v>2022</v>
      </c>
      <c r="AK700" s="90" t="str">
        <f t="shared" si="190"/>
        <v/>
      </c>
      <c r="AL700" s="91">
        <f>IF(AK700="Adjust",(_xlfn.XLOOKUP(A700,'Adj factor'!A:A,'Adj factor'!I:I,,0)*AI700),'Master DataSheet'!AI700)</f>
        <v>1232</v>
      </c>
      <c r="AM700" s="91">
        <f t="shared" si="191"/>
        <v>1232</v>
      </c>
      <c r="AN700" s="92" t="str">
        <f t="shared" si="192"/>
        <v>Increasing</v>
      </c>
      <c r="AO700" s="93">
        <f>VLOOKUP(B700,'Growthrates source'!A$2:H$49,8,FALSE)</f>
        <v>-0.13121558498618857</v>
      </c>
      <c r="AP700" s="93">
        <f>VLOOKUP(B700,'Growthrates source'!A$2:I$49,9,FALSE)</f>
        <v>0.50042870775453441</v>
      </c>
      <c r="AQ700" s="86">
        <f t="shared" si="193"/>
        <v>0</v>
      </c>
      <c r="AR700" s="86">
        <f t="shared" si="194"/>
        <v>0</v>
      </c>
      <c r="AS700" s="94">
        <f t="shared" si="195"/>
        <v>5.9907235517901655E-2</v>
      </c>
      <c r="AT700" s="94">
        <f t="shared" si="196"/>
        <v>0</v>
      </c>
      <c r="AU700" s="94">
        <f t="shared" si="197"/>
        <v>0.60376421997669028</v>
      </c>
    </row>
    <row r="701" spans="1:47" x14ac:dyDescent="0.3">
      <c r="A701" s="85" t="str">
        <f>_xlfn.XLOOKUP(B701,'Country codes &amp; Data sources'!G:G,'Country codes &amp; Data sources'!H:H,,0)</f>
        <v>Malawi</v>
      </c>
      <c r="B701" s="85" t="s">
        <v>178</v>
      </c>
      <c r="C701" s="86">
        <v>15581253.5</v>
      </c>
      <c r="D701" s="85" t="s">
        <v>324</v>
      </c>
      <c r="E701" s="87">
        <v>4</v>
      </c>
      <c r="F701" s="88">
        <v>16024775.499999996</v>
      </c>
      <c r="G701" s="87">
        <v>199</v>
      </c>
      <c r="I701" s="87">
        <v>0</v>
      </c>
      <c r="K701" s="87">
        <v>0</v>
      </c>
      <c r="M701" s="87">
        <v>0</v>
      </c>
      <c r="O701" s="87">
        <v>0</v>
      </c>
      <c r="P701" s="88">
        <v>18367882.999999985</v>
      </c>
      <c r="Q701" s="87">
        <v>570</v>
      </c>
      <c r="R701" s="87">
        <f t="shared" si="180"/>
        <v>570</v>
      </c>
      <c r="T701" s="87">
        <v>107</v>
      </c>
      <c r="V701" s="87">
        <v>40</v>
      </c>
      <c r="X701" s="87">
        <v>0</v>
      </c>
      <c r="Y701" s="88">
        <v>20405316.500000019</v>
      </c>
      <c r="Z701" s="87">
        <v>0</v>
      </c>
      <c r="AA701" s="87">
        <v>387</v>
      </c>
      <c r="AB701" s="89">
        <f t="shared" si="181"/>
        <v>199</v>
      </c>
      <c r="AC701" s="89">
        <f t="shared" si="182"/>
        <v>570</v>
      </c>
      <c r="AD701" s="89">
        <f t="shared" si="183"/>
        <v>40</v>
      </c>
      <c r="AE701" s="90">
        <f t="shared" si="184"/>
        <v>199</v>
      </c>
      <c r="AF701" s="90">
        <f t="shared" si="185"/>
        <v>2013</v>
      </c>
      <c r="AG701" s="90">
        <f t="shared" si="186"/>
        <v>570</v>
      </c>
      <c r="AH701" s="90">
        <f t="shared" si="187"/>
        <v>2018</v>
      </c>
      <c r="AI701" s="90">
        <f t="shared" si="188"/>
        <v>40</v>
      </c>
      <c r="AJ701" s="90">
        <f t="shared" si="189"/>
        <v>2020</v>
      </c>
      <c r="AK701" s="90" t="str">
        <f t="shared" si="190"/>
        <v>Adjust</v>
      </c>
      <c r="AL701" s="91">
        <f>IF(AK701="Adjust",(_xlfn.XLOOKUP(A701,'Adj factor'!A:A,'Adj factor'!I:I,,0)*AI701),'Master DataSheet'!AI701)</f>
        <v>44.319830328738078</v>
      </c>
      <c r="AM701" s="91">
        <f t="shared" si="191"/>
        <v>570</v>
      </c>
      <c r="AN701" s="92" t="str">
        <f t="shared" si="192"/>
        <v>Decreasing</v>
      </c>
      <c r="AO701" s="93">
        <f>VLOOKUP(B701,'Growthrates source'!A$2:H$49,8,FALSE)</f>
        <v>-0.13121558498618857</v>
      </c>
      <c r="AP701" s="93">
        <f>VLOOKUP(B701,'Growthrates source'!A$2:I$49,9,FALSE)</f>
        <v>0.50042870775453441</v>
      </c>
      <c r="AQ701" s="86">
        <f t="shared" si="193"/>
        <v>745.83367379127969</v>
      </c>
      <c r="AR701" s="86">
        <f t="shared" si="194"/>
        <v>1736.6457750641168</v>
      </c>
      <c r="AS701" s="94">
        <f t="shared" si="195"/>
        <v>0.12418270695898363</v>
      </c>
      <c r="AT701" s="94">
        <f t="shared" si="196"/>
        <v>0.310324276346926</v>
      </c>
      <c r="AU701" s="94">
        <f t="shared" si="197"/>
        <v>0.27933896541129344</v>
      </c>
    </row>
    <row r="702" spans="1:47" x14ac:dyDescent="0.3">
      <c r="A702" s="85" t="str">
        <f>_xlfn.XLOOKUP(B702,'Country codes &amp; Data sources'!G:G,'Country codes &amp; Data sources'!H:H,,0)</f>
        <v>Malawi</v>
      </c>
      <c r="B702" s="85" t="s">
        <v>178</v>
      </c>
      <c r="C702" s="86">
        <v>15581254.5</v>
      </c>
      <c r="D702" s="85" t="s">
        <v>325</v>
      </c>
      <c r="E702" s="87">
        <v>4</v>
      </c>
      <c r="F702" s="88">
        <v>16024775.499999996</v>
      </c>
      <c r="G702" s="87">
        <v>88</v>
      </c>
      <c r="I702" s="87">
        <v>0</v>
      </c>
      <c r="K702" s="87">
        <v>0</v>
      </c>
      <c r="M702" s="87">
        <v>0</v>
      </c>
      <c r="O702" s="87">
        <v>0</v>
      </c>
      <c r="P702" s="88">
        <v>18367882.999999985</v>
      </c>
      <c r="Q702" s="87">
        <v>916</v>
      </c>
      <c r="R702" s="87">
        <f t="shared" si="180"/>
        <v>916</v>
      </c>
      <c r="T702" s="87">
        <v>50</v>
      </c>
      <c r="V702" s="87">
        <v>15</v>
      </c>
      <c r="X702" s="87">
        <v>0</v>
      </c>
      <c r="Y702" s="88">
        <v>20405316.500000019</v>
      </c>
      <c r="Z702" s="87">
        <v>0</v>
      </c>
      <c r="AA702" s="87">
        <v>112</v>
      </c>
      <c r="AB702" s="89">
        <f t="shared" si="181"/>
        <v>88</v>
      </c>
      <c r="AC702" s="89">
        <f t="shared" si="182"/>
        <v>916</v>
      </c>
      <c r="AD702" s="89">
        <f t="shared" si="183"/>
        <v>15</v>
      </c>
      <c r="AE702" s="90">
        <f t="shared" si="184"/>
        <v>88</v>
      </c>
      <c r="AF702" s="90">
        <f t="shared" si="185"/>
        <v>2013</v>
      </c>
      <c r="AG702" s="90">
        <f t="shared" si="186"/>
        <v>916</v>
      </c>
      <c r="AH702" s="90">
        <f t="shared" si="187"/>
        <v>2018</v>
      </c>
      <c r="AI702" s="90">
        <f t="shared" si="188"/>
        <v>15</v>
      </c>
      <c r="AJ702" s="90">
        <f t="shared" si="189"/>
        <v>2020</v>
      </c>
      <c r="AK702" s="90" t="str">
        <f t="shared" si="190"/>
        <v>Adjust</v>
      </c>
      <c r="AL702" s="91">
        <f>IF(AK702="Adjust",(_xlfn.XLOOKUP(A702,'Adj factor'!A:A,'Adj factor'!I:I,,0)*AI702),'Master DataSheet'!AI702)</f>
        <v>16.619936373276779</v>
      </c>
      <c r="AM702" s="91">
        <f t="shared" si="191"/>
        <v>916</v>
      </c>
      <c r="AN702" s="92" t="str">
        <f t="shared" si="192"/>
        <v>Decreasing</v>
      </c>
      <c r="AO702" s="93">
        <f>VLOOKUP(B702,'Growthrates source'!A$2:H$49,8,FALSE)</f>
        <v>-0.13121558498618857</v>
      </c>
      <c r="AP702" s="93">
        <f>VLOOKUP(B702,'Growthrates source'!A$2:I$49,9,FALSE)</f>
        <v>0.50042870775453441</v>
      </c>
      <c r="AQ702" s="86">
        <f t="shared" si="193"/>
        <v>215.84850507654605</v>
      </c>
      <c r="AR702" s="86">
        <f t="shared" si="194"/>
        <v>502.59515970847826</v>
      </c>
      <c r="AS702" s="94">
        <f t="shared" si="195"/>
        <v>5.4914965891409852E-2</v>
      </c>
      <c r="AT702" s="94">
        <f t="shared" si="196"/>
        <v>0.49869655637506005</v>
      </c>
      <c r="AU702" s="94">
        <f t="shared" si="197"/>
        <v>0.44890261809955223</v>
      </c>
    </row>
    <row r="703" spans="1:47" x14ac:dyDescent="0.3">
      <c r="A703" s="85" t="str">
        <f>_xlfn.XLOOKUP(B703,'Country codes &amp; Data sources'!G:G,'Country codes &amp; Data sources'!H:H,,0)</f>
        <v>Malawi</v>
      </c>
      <c r="B703" s="85" t="s">
        <v>178</v>
      </c>
      <c r="C703" s="86">
        <v>15581255.5</v>
      </c>
      <c r="D703" s="85" t="s">
        <v>127</v>
      </c>
      <c r="E703" s="87">
        <v>0</v>
      </c>
      <c r="F703" s="88">
        <v>16024775.499999996</v>
      </c>
      <c r="G703" s="87">
        <v>0</v>
      </c>
      <c r="I703" s="87">
        <v>0</v>
      </c>
      <c r="K703" s="87">
        <v>0</v>
      </c>
      <c r="M703" s="87">
        <v>0</v>
      </c>
      <c r="O703" s="87">
        <v>0</v>
      </c>
      <c r="P703" s="88">
        <v>18367882.999999985</v>
      </c>
      <c r="Q703" s="87">
        <v>10016</v>
      </c>
      <c r="R703" s="87">
        <f t="shared" si="180"/>
        <v>10016</v>
      </c>
      <c r="T703" s="87">
        <v>0</v>
      </c>
      <c r="V703" s="87">
        <v>0</v>
      </c>
      <c r="X703" s="87">
        <v>0</v>
      </c>
      <c r="Y703" s="88">
        <v>20405316.500000019</v>
      </c>
      <c r="Z703" s="87">
        <v>10747</v>
      </c>
      <c r="AA703" s="87">
        <v>10016</v>
      </c>
      <c r="AB703" s="89">
        <f t="shared" si="181"/>
        <v>0</v>
      </c>
      <c r="AC703" s="89">
        <f t="shared" si="182"/>
        <v>10016</v>
      </c>
      <c r="AD703" s="89">
        <f t="shared" si="183"/>
        <v>10747</v>
      </c>
      <c r="AE703" s="90">
        <f t="shared" si="184"/>
        <v>0</v>
      </c>
      <c r="AF703" s="90" t="str">
        <f t="shared" si="185"/>
        <v/>
      </c>
      <c r="AG703" s="90">
        <f t="shared" si="186"/>
        <v>10016</v>
      </c>
      <c r="AH703" s="90">
        <f t="shared" si="187"/>
        <v>2018</v>
      </c>
      <c r="AI703" s="90">
        <f t="shared" si="188"/>
        <v>10747</v>
      </c>
      <c r="AJ703" s="90">
        <f t="shared" si="189"/>
        <v>2022</v>
      </c>
      <c r="AK703" s="90" t="str">
        <f t="shared" si="190"/>
        <v/>
      </c>
      <c r="AL703" s="91">
        <f>IF(AK703="Adjust",(_xlfn.XLOOKUP(A703,'Adj factor'!A:A,'Adj factor'!I:I,,0)*AI703),'Master DataSheet'!AI703)</f>
        <v>10747</v>
      </c>
      <c r="AM703" s="91">
        <f t="shared" si="191"/>
        <v>10747</v>
      </c>
      <c r="AN703" s="92" t="str">
        <f t="shared" si="192"/>
        <v>Increasing</v>
      </c>
      <c r="AO703" s="93">
        <f>VLOOKUP(B703,'Growthrates source'!A$2:H$49,8,FALSE)</f>
        <v>-0.13121558498618857</v>
      </c>
      <c r="AP703" s="93">
        <f>VLOOKUP(B703,'Growthrates source'!A$2:I$49,9,FALSE)</f>
        <v>0.50042870775453441</v>
      </c>
      <c r="AQ703" s="86">
        <f t="shared" si="193"/>
        <v>19303.023453988262</v>
      </c>
      <c r="AR703" s="86">
        <f t="shared" si="194"/>
        <v>44946.367139643909</v>
      </c>
      <c r="AS703" s="94">
        <f t="shared" si="195"/>
        <v>0</v>
      </c>
      <c r="AT703" s="94">
        <f t="shared" si="196"/>
        <v>5.4529964068259842</v>
      </c>
      <c r="AU703" s="94">
        <f t="shared" si="197"/>
        <v>5.2667646689038072</v>
      </c>
    </row>
    <row r="704" spans="1:47" x14ac:dyDescent="0.3">
      <c r="A704" s="85" t="str">
        <f>_xlfn.XLOOKUP(B704,'Country codes &amp; Data sources'!G:G,'Country codes &amp; Data sources'!H:H,,0)</f>
        <v>Malawi</v>
      </c>
      <c r="B704" s="85" t="s">
        <v>178</v>
      </c>
      <c r="C704" s="86">
        <v>15581256.5</v>
      </c>
      <c r="D704" s="85" t="s">
        <v>61</v>
      </c>
      <c r="E704" s="87">
        <v>0</v>
      </c>
      <c r="F704" s="88">
        <v>16024775.499999996</v>
      </c>
      <c r="G704" s="87">
        <v>0</v>
      </c>
      <c r="I704" s="87">
        <v>0</v>
      </c>
      <c r="K704" s="87">
        <v>0</v>
      </c>
      <c r="M704" s="87">
        <v>0</v>
      </c>
      <c r="O704" s="87">
        <v>0</v>
      </c>
      <c r="P704" s="88">
        <v>18367882.999999985</v>
      </c>
      <c r="Q704" s="87">
        <v>0</v>
      </c>
      <c r="R704" s="87">
        <f t="shared" si="180"/>
        <v>25</v>
      </c>
      <c r="T704" s="87">
        <v>0</v>
      </c>
      <c r="V704" s="87">
        <v>9</v>
      </c>
      <c r="X704" s="87">
        <v>0</v>
      </c>
      <c r="Y704" s="88">
        <v>20405316.500000019</v>
      </c>
      <c r="Z704" s="87">
        <v>0</v>
      </c>
      <c r="AA704" s="87">
        <v>25</v>
      </c>
      <c r="AB704" s="89">
        <f t="shared" si="181"/>
        <v>0</v>
      </c>
      <c r="AC704" s="89">
        <f t="shared" si="182"/>
        <v>0</v>
      </c>
      <c r="AD704" s="89">
        <f t="shared" si="183"/>
        <v>9</v>
      </c>
      <c r="AE704" s="90">
        <f t="shared" si="184"/>
        <v>0</v>
      </c>
      <c r="AF704" s="90" t="str">
        <f t="shared" si="185"/>
        <v/>
      </c>
      <c r="AG704" s="90">
        <f t="shared" si="186"/>
        <v>25</v>
      </c>
      <c r="AH704" s="90" t="str">
        <f t="shared" si="187"/>
        <v>2018 (triag)</v>
      </c>
      <c r="AI704" s="90">
        <f t="shared" si="188"/>
        <v>9</v>
      </c>
      <c r="AJ704" s="90">
        <f t="shared" si="189"/>
        <v>2020</v>
      </c>
      <c r="AK704" s="90" t="str">
        <f t="shared" si="190"/>
        <v>Adjust</v>
      </c>
      <c r="AL704" s="91">
        <f>IF(AK704="Adjust",(_xlfn.XLOOKUP(A704,'Adj factor'!A:A,'Adj factor'!I:I,,0)*AI704),'Master DataSheet'!AI704)</f>
        <v>9.9719618239660672</v>
      </c>
      <c r="AM704" s="91">
        <f t="shared" si="191"/>
        <v>25</v>
      </c>
      <c r="AN704" s="92" t="str">
        <f t="shared" si="192"/>
        <v>Decreasing</v>
      </c>
      <c r="AO704" s="93">
        <f>VLOOKUP(B704,'Growthrates source'!A$2:H$49,8,FALSE)</f>
        <v>-0.13121558498618857</v>
      </c>
      <c r="AP704" s="93">
        <f>VLOOKUP(B704,'Growthrates source'!A$2:I$49,9,FALSE)</f>
        <v>0.50042870775453441</v>
      </c>
      <c r="AQ704" s="86">
        <f t="shared" si="193"/>
        <v>48.180469883157599</v>
      </c>
      <c r="AR704" s="86">
        <f t="shared" si="194"/>
        <v>112.18641957778533</v>
      </c>
      <c r="AS704" s="94">
        <f t="shared" si="195"/>
        <v>0</v>
      </c>
      <c r="AT704" s="94">
        <f t="shared" si="196"/>
        <v>1.3610713874865177E-2</v>
      </c>
      <c r="AU704" s="94">
        <f t="shared" si="197"/>
        <v>1.2251709009267255E-2</v>
      </c>
    </row>
    <row r="705" spans="1:47" x14ac:dyDescent="0.3">
      <c r="A705" s="85" t="str">
        <f>_xlfn.XLOOKUP(B705,'Country codes &amp; Data sources'!G:G,'Country codes &amp; Data sources'!H:H,,0)</f>
        <v>Malawi</v>
      </c>
      <c r="B705" s="85" t="s">
        <v>178</v>
      </c>
      <c r="C705" s="86">
        <v>15581257.5</v>
      </c>
      <c r="D705" s="85" t="s">
        <v>62</v>
      </c>
      <c r="E705" s="87">
        <v>0</v>
      </c>
      <c r="F705" s="88">
        <v>16024775.499999996</v>
      </c>
      <c r="G705" s="87">
        <v>0</v>
      </c>
      <c r="I705" s="87">
        <v>0</v>
      </c>
      <c r="K705" s="87">
        <v>0</v>
      </c>
      <c r="M705" s="87">
        <v>0</v>
      </c>
      <c r="O705" s="87">
        <v>0</v>
      </c>
      <c r="P705" s="88">
        <v>18367882.999999985</v>
      </c>
      <c r="Q705" s="87">
        <v>0</v>
      </c>
      <c r="R705" s="87">
        <f t="shared" si="180"/>
        <v>35</v>
      </c>
      <c r="T705" s="87">
        <v>0</v>
      </c>
      <c r="V705" s="87">
        <v>0</v>
      </c>
      <c r="X705" s="87">
        <v>0</v>
      </c>
      <c r="Y705" s="88">
        <v>20405316.500000019</v>
      </c>
      <c r="Z705" s="87">
        <v>0</v>
      </c>
      <c r="AA705" s="87">
        <v>35</v>
      </c>
      <c r="AB705" s="89">
        <f t="shared" si="181"/>
        <v>0</v>
      </c>
      <c r="AC705" s="89">
        <f t="shared" si="182"/>
        <v>0</v>
      </c>
      <c r="AD705" s="89">
        <f t="shared" si="183"/>
        <v>0</v>
      </c>
      <c r="AE705" s="90">
        <f t="shared" si="184"/>
        <v>0</v>
      </c>
      <c r="AF705" s="90" t="str">
        <f t="shared" si="185"/>
        <v/>
      </c>
      <c r="AG705" s="90">
        <f t="shared" si="186"/>
        <v>35</v>
      </c>
      <c r="AH705" s="90" t="str">
        <f t="shared" si="187"/>
        <v>2018 (triag)</v>
      </c>
      <c r="AI705" s="90">
        <f t="shared" si="188"/>
        <v>35</v>
      </c>
      <c r="AJ705" s="90" t="str">
        <f t="shared" si="189"/>
        <v>2018 (triag)</v>
      </c>
      <c r="AK705" s="90" t="str">
        <f t="shared" si="190"/>
        <v/>
      </c>
      <c r="AL705" s="91">
        <f>IF(AK705="Adjust",(_xlfn.XLOOKUP(A705,'Adj factor'!A:A,'Adj factor'!I:I,,0)*AI705),'Master DataSheet'!AI705)</f>
        <v>35</v>
      </c>
      <c r="AM705" s="91">
        <f t="shared" si="191"/>
        <v>35</v>
      </c>
      <c r="AN705" s="92" t="str">
        <f t="shared" si="192"/>
        <v>No change</v>
      </c>
      <c r="AO705" s="93">
        <f>VLOOKUP(B705,'Growthrates source'!A$2:H$49,8,FALSE)</f>
        <v>-0.13121558498618857</v>
      </c>
      <c r="AP705" s="93">
        <f>VLOOKUP(B705,'Growthrates source'!A$2:I$49,9,FALSE)</f>
        <v>0.50042870775453441</v>
      </c>
      <c r="AQ705" s="86">
        <f t="shared" si="193"/>
        <v>67.452657836420642</v>
      </c>
      <c r="AR705" s="86">
        <f t="shared" si="194"/>
        <v>157.06098740889945</v>
      </c>
      <c r="AS705" s="94">
        <f t="shared" si="195"/>
        <v>0</v>
      </c>
      <c r="AT705" s="94">
        <f t="shared" si="196"/>
        <v>1.9054999424811248E-2</v>
      </c>
      <c r="AU705" s="94">
        <f t="shared" si="197"/>
        <v>1.7152392612974156E-2</v>
      </c>
    </row>
    <row r="706" spans="1:47" x14ac:dyDescent="0.3">
      <c r="A706" s="85" t="str">
        <f>_xlfn.XLOOKUP(B706,'Country codes &amp; Data sources'!G:G,'Country codes &amp; Data sources'!H:H,,0)</f>
        <v>Malawi</v>
      </c>
      <c r="B706" s="85" t="s">
        <v>178</v>
      </c>
      <c r="C706" s="86">
        <v>15581258.5</v>
      </c>
      <c r="D706" s="85" t="s">
        <v>203</v>
      </c>
      <c r="E706" s="87">
        <v>0</v>
      </c>
      <c r="F706" s="88">
        <v>16024775.499999996</v>
      </c>
      <c r="G706" s="87">
        <v>0</v>
      </c>
      <c r="I706" s="87">
        <v>0</v>
      </c>
      <c r="K706" s="87">
        <v>0</v>
      </c>
      <c r="M706" s="87">
        <v>0</v>
      </c>
      <c r="O706" s="87">
        <v>0</v>
      </c>
      <c r="P706" s="88">
        <v>18367882.999999985</v>
      </c>
      <c r="Q706" s="87">
        <v>0</v>
      </c>
      <c r="R706" s="87">
        <f t="shared" si="180"/>
        <v>178</v>
      </c>
      <c r="T706" s="87">
        <v>0</v>
      </c>
      <c r="V706" s="87">
        <v>0</v>
      </c>
      <c r="X706" s="87">
        <v>0</v>
      </c>
      <c r="Y706" s="88">
        <v>20405316.500000019</v>
      </c>
      <c r="Z706" s="87">
        <v>0</v>
      </c>
      <c r="AA706" s="87">
        <v>178</v>
      </c>
      <c r="AB706" s="89">
        <f t="shared" si="181"/>
        <v>0</v>
      </c>
      <c r="AC706" s="89">
        <f t="shared" si="182"/>
        <v>0</v>
      </c>
      <c r="AD706" s="89">
        <f t="shared" si="183"/>
        <v>0</v>
      </c>
      <c r="AE706" s="90">
        <f t="shared" si="184"/>
        <v>0</v>
      </c>
      <c r="AF706" s="90" t="str">
        <f t="shared" si="185"/>
        <v/>
      </c>
      <c r="AG706" s="90">
        <f t="shared" si="186"/>
        <v>178</v>
      </c>
      <c r="AH706" s="90" t="str">
        <f t="shared" si="187"/>
        <v>2018 (triag)</v>
      </c>
      <c r="AI706" s="90">
        <f t="shared" si="188"/>
        <v>178</v>
      </c>
      <c r="AJ706" s="90" t="str">
        <f t="shared" si="189"/>
        <v>2018 (triag)</v>
      </c>
      <c r="AK706" s="90" t="str">
        <f t="shared" si="190"/>
        <v/>
      </c>
      <c r="AL706" s="91">
        <f>IF(AK706="Adjust",(_xlfn.XLOOKUP(A706,'Adj factor'!A:A,'Adj factor'!I:I,,0)*AI706),'Master DataSheet'!AI706)</f>
        <v>178</v>
      </c>
      <c r="AM706" s="91">
        <f t="shared" si="191"/>
        <v>178</v>
      </c>
      <c r="AN706" s="92" t="str">
        <f t="shared" si="192"/>
        <v>No change</v>
      </c>
      <c r="AO706" s="93">
        <f>VLOOKUP(B706,'Growthrates source'!A$2:H$49,8,FALSE)</f>
        <v>-0.13121558498618857</v>
      </c>
      <c r="AP706" s="93">
        <f>VLOOKUP(B706,'Growthrates source'!A$2:I$49,9,FALSE)</f>
        <v>0.50042870775453441</v>
      </c>
      <c r="AQ706" s="86">
        <f t="shared" si="193"/>
        <v>343.04494556808208</v>
      </c>
      <c r="AR706" s="86">
        <f t="shared" si="194"/>
        <v>798.76730739383152</v>
      </c>
      <c r="AS706" s="94">
        <f t="shared" si="195"/>
        <v>0</v>
      </c>
      <c r="AT706" s="94">
        <f t="shared" si="196"/>
        <v>9.6908282789040054E-2</v>
      </c>
      <c r="AU706" s="94">
        <f t="shared" si="197"/>
        <v>8.723216814598285E-2</v>
      </c>
    </row>
    <row r="707" spans="1:47" x14ac:dyDescent="0.3">
      <c r="A707" s="85" t="str">
        <f>_xlfn.XLOOKUP(B707,'Country codes &amp; Data sources'!G:G,'Country codes &amp; Data sources'!H:H,,0)</f>
        <v>Malawi</v>
      </c>
      <c r="B707" s="85" t="s">
        <v>178</v>
      </c>
      <c r="C707" s="86">
        <v>15581259.5</v>
      </c>
      <c r="D707" s="85" t="s">
        <v>204</v>
      </c>
      <c r="E707" s="87">
        <v>0</v>
      </c>
      <c r="F707" s="88">
        <v>16024775.499999996</v>
      </c>
      <c r="G707" s="87">
        <v>0</v>
      </c>
      <c r="I707" s="87">
        <v>0</v>
      </c>
      <c r="K707" s="87">
        <v>0</v>
      </c>
      <c r="M707" s="87">
        <v>0</v>
      </c>
      <c r="O707" s="87">
        <v>0</v>
      </c>
      <c r="P707" s="88">
        <v>18367882.999999985</v>
      </c>
      <c r="Q707" s="87">
        <v>0</v>
      </c>
      <c r="R707" s="87">
        <f t="shared" ref="R707:R770" si="198">MAX(Q707,AA707)</f>
        <v>178</v>
      </c>
      <c r="T707" s="87">
        <v>0</v>
      </c>
      <c r="V707" s="87">
        <v>2630</v>
      </c>
      <c r="X707" s="87">
        <v>0</v>
      </c>
      <c r="Y707" s="88">
        <v>20405316.500000019</v>
      </c>
      <c r="Z707" s="87">
        <v>561</v>
      </c>
      <c r="AA707" s="87">
        <v>178</v>
      </c>
      <c r="AB707" s="89">
        <f t="shared" ref="AB707:AB770" si="199">MAX(G707,E707,I707,K707)</f>
        <v>0</v>
      </c>
      <c r="AC707" s="89">
        <f t="shared" ref="AC707:AC770" si="200">MAX(M707,O707,Q707,T707)</f>
        <v>0</v>
      </c>
      <c r="AD707" s="89">
        <f t="shared" ref="AD707:AD770" si="201">MAX(V707,X707,Z707)</f>
        <v>2630</v>
      </c>
      <c r="AE707" s="90">
        <f t="shared" ref="AE707:AE770" si="202">IF(G707&gt;0,G707,IF(E707&gt;0,E707,IF(I707&gt;0,I707,K707)))</f>
        <v>0</v>
      </c>
      <c r="AF707" s="90" t="str">
        <f t="shared" ref="AF707:AF770" si="203">IF(AE707&gt;0,_xlfn.XLOOKUP(AE707,$B707:$K707,$B$1:$K$1,,0),"")</f>
        <v/>
      </c>
      <c r="AG707" s="90">
        <f t="shared" ref="AG707:AG770" si="204">IF(R707&gt;0,R707,IF(O707&gt;0,O707,T707))</f>
        <v>178</v>
      </c>
      <c r="AH707" s="90" t="str">
        <f t="shared" ref="AH707:AH770" si="205">IF(AG707&gt;0,_xlfn.XLOOKUP(AG707,$L707:$T707,$L$1:$T$1,,0),"")</f>
        <v>2018 (triag)</v>
      </c>
      <c r="AI707" s="90">
        <f t="shared" ref="AI707:AI770" si="206">IF((IF(Z707&gt;0,Z707,IF(X707&gt;0,X707,IF(V707&gt;0,V707,T707))))=0,AG707,IF(Z707&gt;0,Z707,IF(X707&gt;0,X707,IF(V707&gt;0,V707,T707))))</f>
        <v>561</v>
      </c>
      <c r="AJ707" s="90">
        <f t="shared" ref="AJ707:AJ770" si="207">IFERROR(IF(AI707&gt;0,_xlfn.XLOOKUP(AI707,$V707:$Z707,$V$1:$Z$1,,0),""),AH707)</f>
        <v>2022</v>
      </c>
      <c r="AK707" s="90" t="str">
        <f t="shared" ref="AK707:AK770" si="208">IF(AI707&lt;AG707,"Adjust","")</f>
        <v/>
      </c>
      <c r="AL707" s="91">
        <f>IF(AK707="Adjust",(_xlfn.XLOOKUP(A707,'Adj factor'!A:A,'Adj factor'!I:I,,0)*AI707),'Master DataSheet'!AI707)</f>
        <v>561</v>
      </c>
      <c r="AM707" s="91">
        <f t="shared" ref="AM707:AM770" si="209">IF(AL707&lt;AG707,AG707,AL707)</f>
        <v>561</v>
      </c>
      <c r="AN707" s="92" t="str">
        <f t="shared" ref="AN707:AN770" si="210">IF(AL707&gt;AG707,"Increasing",IF(AL707&lt;AG707,"Decreasing","No change"))</f>
        <v>Increasing</v>
      </c>
      <c r="AO707" s="93">
        <f>VLOOKUP(B707,'Growthrates source'!A$2:H$49,8,FALSE)</f>
        <v>-0.13121558498618857</v>
      </c>
      <c r="AP707" s="93">
        <f>VLOOKUP(B707,'Growthrates source'!A$2:I$49,9,FALSE)</f>
        <v>0.50042870775453441</v>
      </c>
      <c r="AQ707" s="86">
        <f t="shared" ref="AQ707:AQ770" si="211">AA707/(EXP(AO707*5))</f>
        <v>343.04494556808208</v>
      </c>
      <c r="AR707" s="86">
        <f t="shared" ref="AR707:AR770" si="212">AA707*EXP(AP707*3)</f>
        <v>798.76730739383152</v>
      </c>
      <c r="AS707" s="94">
        <f t="shared" ref="AS707:AS770" si="213">(AE707*10000)/F707</f>
        <v>0</v>
      </c>
      <c r="AT707" s="94">
        <f t="shared" ref="AT707:AT770" si="214">(AG707*10000)/P707</f>
        <v>9.6908282789040054E-2</v>
      </c>
      <c r="AU707" s="94">
        <f t="shared" ref="AU707:AU770" si="215">(AM707*10000)/Y707</f>
        <v>0.27492835016795719</v>
      </c>
    </row>
    <row r="708" spans="1:47" x14ac:dyDescent="0.3">
      <c r="A708" s="85" t="str">
        <f>_xlfn.XLOOKUP(B708,'Country codes &amp; Data sources'!G:G,'Country codes &amp; Data sources'!H:H,,0)</f>
        <v>Malawi</v>
      </c>
      <c r="B708" s="85" t="s">
        <v>178</v>
      </c>
      <c r="C708" s="86">
        <v>15581260.5</v>
      </c>
      <c r="D708" s="85" t="s">
        <v>205</v>
      </c>
      <c r="E708" s="87">
        <v>0</v>
      </c>
      <c r="F708" s="88">
        <v>16024775.499999996</v>
      </c>
      <c r="G708" s="87">
        <v>0</v>
      </c>
      <c r="I708" s="87">
        <v>0</v>
      </c>
      <c r="K708" s="87">
        <v>0</v>
      </c>
      <c r="M708" s="87">
        <v>0</v>
      </c>
      <c r="O708" s="87">
        <v>0</v>
      </c>
      <c r="P708" s="88">
        <v>18367882.999999985</v>
      </c>
      <c r="Q708" s="87">
        <v>0</v>
      </c>
      <c r="R708" s="87">
        <f t="shared" si="198"/>
        <v>0</v>
      </c>
      <c r="T708" s="87">
        <v>0</v>
      </c>
      <c r="V708" s="87">
        <v>0</v>
      </c>
      <c r="X708" s="87">
        <v>0</v>
      </c>
      <c r="Y708" s="88">
        <v>20405316.500000019</v>
      </c>
      <c r="Z708" s="87">
        <v>12</v>
      </c>
      <c r="AA708" s="87">
        <v>0</v>
      </c>
      <c r="AB708" s="89">
        <f t="shared" si="199"/>
        <v>0</v>
      </c>
      <c r="AC708" s="89">
        <f t="shared" si="200"/>
        <v>0</v>
      </c>
      <c r="AD708" s="89">
        <f t="shared" si="201"/>
        <v>12</v>
      </c>
      <c r="AE708" s="90">
        <f t="shared" si="202"/>
        <v>0</v>
      </c>
      <c r="AF708" s="90" t="str">
        <f t="shared" si="203"/>
        <v/>
      </c>
      <c r="AG708" s="90">
        <f t="shared" si="204"/>
        <v>0</v>
      </c>
      <c r="AH708" s="90" t="str">
        <f t="shared" si="205"/>
        <v/>
      </c>
      <c r="AI708" s="90">
        <f t="shared" si="206"/>
        <v>12</v>
      </c>
      <c r="AJ708" s="90">
        <f t="shared" si="207"/>
        <v>2022</v>
      </c>
      <c r="AK708" s="90" t="str">
        <f t="shared" si="208"/>
        <v/>
      </c>
      <c r="AL708" s="91">
        <f>IF(AK708="Adjust",(_xlfn.XLOOKUP(A708,'Adj factor'!A:A,'Adj factor'!I:I,,0)*AI708),'Master DataSheet'!AI708)</f>
        <v>12</v>
      </c>
      <c r="AM708" s="91">
        <f t="shared" si="209"/>
        <v>12</v>
      </c>
      <c r="AN708" s="92" t="str">
        <f t="shared" si="210"/>
        <v>Increasing</v>
      </c>
      <c r="AO708" s="93">
        <f>VLOOKUP(B708,'Growthrates source'!A$2:H$49,8,FALSE)</f>
        <v>-0.13121558498618857</v>
      </c>
      <c r="AP708" s="93">
        <f>VLOOKUP(B708,'Growthrates source'!A$2:I$49,9,FALSE)</f>
        <v>0.50042870775453441</v>
      </c>
      <c r="AQ708" s="86">
        <f t="shared" si="211"/>
        <v>0</v>
      </c>
      <c r="AR708" s="86">
        <f t="shared" si="212"/>
        <v>0</v>
      </c>
      <c r="AS708" s="94">
        <f t="shared" si="213"/>
        <v>0</v>
      </c>
      <c r="AT708" s="94">
        <f t="shared" si="214"/>
        <v>0</v>
      </c>
      <c r="AU708" s="94">
        <f t="shared" si="215"/>
        <v>5.8808203244482826E-3</v>
      </c>
    </row>
    <row r="709" spans="1:47" x14ac:dyDescent="0.3">
      <c r="A709" s="85" t="str">
        <f>_xlfn.XLOOKUP(B709,'Country codes &amp; Data sources'!G:G,'Country codes &amp; Data sources'!H:H,,0)</f>
        <v>Malawi</v>
      </c>
      <c r="B709" s="85" t="s">
        <v>178</v>
      </c>
      <c r="C709" s="86">
        <v>15581261.5</v>
      </c>
      <c r="D709" s="85" t="s">
        <v>133</v>
      </c>
      <c r="E709" s="87">
        <v>0</v>
      </c>
      <c r="F709" s="88">
        <v>16024775.499999996</v>
      </c>
      <c r="G709" s="87">
        <v>0</v>
      </c>
      <c r="I709" s="87">
        <v>0</v>
      </c>
      <c r="K709" s="87">
        <v>0</v>
      </c>
      <c r="M709" s="87">
        <v>0</v>
      </c>
      <c r="O709" s="87">
        <v>0</v>
      </c>
      <c r="P709" s="88">
        <v>18367882.999999985</v>
      </c>
      <c r="Q709" s="87">
        <v>542</v>
      </c>
      <c r="R709" s="87">
        <f t="shared" si="198"/>
        <v>542</v>
      </c>
      <c r="T709" s="87">
        <v>0</v>
      </c>
      <c r="V709" s="87">
        <v>743</v>
      </c>
      <c r="X709" s="87">
        <v>0</v>
      </c>
      <c r="Y709" s="88">
        <v>20405316.500000019</v>
      </c>
      <c r="Z709" s="87">
        <v>81</v>
      </c>
      <c r="AA709" s="87">
        <v>0</v>
      </c>
      <c r="AB709" s="89">
        <f t="shared" si="199"/>
        <v>0</v>
      </c>
      <c r="AC709" s="89">
        <f t="shared" si="200"/>
        <v>542</v>
      </c>
      <c r="AD709" s="89">
        <f t="shared" si="201"/>
        <v>743</v>
      </c>
      <c r="AE709" s="90">
        <f t="shared" si="202"/>
        <v>0</v>
      </c>
      <c r="AF709" s="90" t="str">
        <f t="shared" si="203"/>
        <v/>
      </c>
      <c r="AG709" s="90">
        <f t="shared" si="204"/>
        <v>542</v>
      </c>
      <c r="AH709" s="90">
        <f t="shared" si="205"/>
        <v>2018</v>
      </c>
      <c r="AI709" s="90">
        <f t="shared" si="206"/>
        <v>81</v>
      </c>
      <c r="AJ709" s="90">
        <f t="shared" si="207"/>
        <v>2022</v>
      </c>
      <c r="AK709" s="90" t="str">
        <f t="shared" si="208"/>
        <v>Adjust</v>
      </c>
      <c r="AL709" s="91">
        <f>IF(AK709="Adjust",(_xlfn.XLOOKUP(A709,'Adj factor'!A:A,'Adj factor'!I:I,,0)*AI709),'Master DataSheet'!AI709)</f>
        <v>89.747656415694607</v>
      </c>
      <c r="AM709" s="91">
        <f t="shared" si="209"/>
        <v>542</v>
      </c>
      <c r="AN709" s="92" t="str">
        <f t="shared" si="210"/>
        <v>Decreasing</v>
      </c>
      <c r="AO709" s="93">
        <f>VLOOKUP(B709,'Growthrates source'!A$2:H$49,8,FALSE)</f>
        <v>-0.13121558498618857</v>
      </c>
      <c r="AP709" s="93">
        <f>VLOOKUP(B709,'Growthrates source'!A$2:I$49,9,FALSE)</f>
        <v>0.50042870775453441</v>
      </c>
      <c r="AQ709" s="86">
        <f t="shared" si="211"/>
        <v>0</v>
      </c>
      <c r="AR709" s="86">
        <f t="shared" si="212"/>
        <v>0</v>
      </c>
      <c r="AS709" s="94">
        <f t="shared" si="213"/>
        <v>0</v>
      </c>
      <c r="AT709" s="94">
        <f t="shared" si="214"/>
        <v>0.29508027680707705</v>
      </c>
      <c r="AU709" s="94">
        <f t="shared" si="215"/>
        <v>0.26561705132091407</v>
      </c>
    </row>
    <row r="710" spans="1:47" x14ac:dyDescent="0.3">
      <c r="A710" s="85" t="str">
        <f>_xlfn.XLOOKUP(B710,'Country codes &amp; Data sources'!G:G,'Country codes &amp; Data sources'!H:H,,0)</f>
        <v>Malawi</v>
      </c>
      <c r="B710" s="85" t="s">
        <v>178</v>
      </c>
      <c r="C710" s="86">
        <v>15581262.5</v>
      </c>
      <c r="D710" s="85" t="s">
        <v>206</v>
      </c>
      <c r="E710" s="87">
        <v>0</v>
      </c>
      <c r="F710" s="88">
        <v>16024775.499999996</v>
      </c>
      <c r="G710" s="87">
        <v>0</v>
      </c>
      <c r="I710" s="87">
        <v>0</v>
      </c>
      <c r="K710" s="87">
        <v>0</v>
      </c>
      <c r="M710" s="87">
        <v>0</v>
      </c>
      <c r="O710" s="87">
        <v>0</v>
      </c>
      <c r="P710" s="88">
        <v>18367882.999999985</v>
      </c>
      <c r="Q710" s="87">
        <v>0</v>
      </c>
      <c r="R710" s="87">
        <f t="shared" si="198"/>
        <v>2804</v>
      </c>
      <c r="T710" s="87">
        <v>0</v>
      </c>
      <c r="V710" s="87">
        <v>1809</v>
      </c>
      <c r="X710" s="87">
        <v>0</v>
      </c>
      <c r="Y710" s="88">
        <v>20405316.500000019</v>
      </c>
      <c r="Z710" s="87">
        <v>1661</v>
      </c>
      <c r="AA710" s="87">
        <v>2804</v>
      </c>
      <c r="AB710" s="89">
        <f t="shared" si="199"/>
        <v>0</v>
      </c>
      <c r="AC710" s="89">
        <f t="shared" si="200"/>
        <v>0</v>
      </c>
      <c r="AD710" s="89">
        <f t="shared" si="201"/>
        <v>1809</v>
      </c>
      <c r="AE710" s="90">
        <f t="shared" si="202"/>
        <v>0</v>
      </c>
      <c r="AF710" s="90" t="str">
        <f t="shared" si="203"/>
        <v/>
      </c>
      <c r="AG710" s="90">
        <f t="shared" si="204"/>
        <v>2804</v>
      </c>
      <c r="AH710" s="90" t="str">
        <f t="shared" si="205"/>
        <v>2018 (triag)</v>
      </c>
      <c r="AI710" s="90">
        <f t="shared" si="206"/>
        <v>1661</v>
      </c>
      <c r="AJ710" s="90">
        <f t="shared" si="207"/>
        <v>2022</v>
      </c>
      <c r="AK710" s="90" t="str">
        <f t="shared" si="208"/>
        <v>Adjust</v>
      </c>
      <c r="AL710" s="91">
        <f>IF(AK710="Adjust",(_xlfn.XLOOKUP(A710,'Adj factor'!A:A,'Adj factor'!I:I,,0)*AI710),'Master DataSheet'!AI710)</f>
        <v>1840.3809544008486</v>
      </c>
      <c r="AM710" s="91">
        <f t="shared" si="209"/>
        <v>2804</v>
      </c>
      <c r="AN710" s="92" t="str">
        <f t="shared" si="210"/>
        <v>Decreasing</v>
      </c>
      <c r="AO710" s="93">
        <f>VLOOKUP(B710,'Growthrates source'!A$2:H$49,8,FALSE)</f>
        <v>-0.13121558498618857</v>
      </c>
      <c r="AP710" s="93">
        <f>VLOOKUP(B710,'Growthrates source'!A$2:I$49,9,FALSE)</f>
        <v>0.50042870775453441</v>
      </c>
      <c r="AQ710" s="86">
        <f t="shared" si="211"/>
        <v>5403.9215020949559</v>
      </c>
      <c r="AR710" s="86">
        <f t="shared" si="212"/>
        <v>12582.828819844402</v>
      </c>
      <c r="AS710" s="94">
        <f t="shared" si="213"/>
        <v>0</v>
      </c>
      <c r="AT710" s="94">
        <f t="shared" si="214"/>
        <v>1.5265776682048782</v>
      </c>
      <c r="AU710" s="94">
        <f t="shared" si="215"/>
        <v>1.3741516824794153</v>
      </c>
    </row>
    <row r="711" spans="1:47" x14ac:dyDescent="0.3">
      <c r="A711" s="85" t="str">
        <f>_xlfn.XLOOKUP(B711,'Country codes &amp; Data sources'!G:G,'Country codes &amp; Data sources'!H:H,,0)</f>
        <v>Malawi</v>
      </c>
      <c r="B711" s="85" t="s">
        <v>178</v>
      </c>
      <c r="C711" s="86">
        <v>15581263.5</v>
      </c>
      <c r="D711" s="85" t="s">
        <v>136</v>
      </c>
      <c r="E711" s="87">
        <v>0</v>
      </c>
      <c r="F711" s="88">
        <v>16024775.499999996</v>
      </c>
      <c r="G711" s="87">
        <v>0</v>
      </c>
      <c r="I711" s="87">
        <v>0</v>
      </c>
      <c r="K711" s="87">
        <v>0</v>
      </c>
      <c r="M711" s="87">
        <v>0</v>
      </c>
      <c r="O711" s="87">
        <v>0</v>
      </c>
      <c r="P711" s="88">
        <v>18367882.999999985</v>
      </c>
      <c r="Q711" s="87">
        <v>0</v>
      </c>
      <c r="R711" s="87">
        <f t="shared" si="198"/>
        <v>44</v>
      </c>
      <c r="T711" s="87">
        <v>0</v>
      </c>
      <c r="V711" s="87">
        <v>0</v>
      </c>
      <c r="X711" s="87">
        <v>0</v>
      </c>
      <c r="Y711" s="88">
        <v>20405316.500000019</v>
      </c>
      <c r="Z711" s="87">
        <v>610</v>
      </c>
      <c r="AA711" s="87">
        <v>44</v>
      </c>
      <c r="AB711" s="89">
        <f t="shared" si="199"/>
        <v>0</v>
      </c>
      <c r="AC711" s="89">
        <f t="shared" si="200"/>
        <v>0</v>
      </c>
      <c r="AD711" s="89">
        <f t="shared" si="201"/>
        <v>610</v>
      </c>
      <c r="AE711" s="90">
        <f t="shared" si="202"/>
        <v>0</v>
      </c>
      <c r="AF711" s="90" t="str">
        <f t="shared" si="203"/>
        <v/>
      </c>
      <c r="AG711" s="90">
        <f t="shared" si="204"/>
        <v>44</v>
      </c>
      <c r="AH711" s="90" t="str">
        <f t="shared" si="205"/>
        <v>2018 (triag)</v>
      </c>
      <c r="AI711" s="90">
        <f t="shared" si="206"/>
        <v>610</v>
      </c>
      <c r="AJ711" s="90">
        <f t="shared" si="207"/>
        <v>2022</v>
      </c>
      <c r="AK711" s="90" t="str">
        <f t="shared" si="208"/>
        <v/>
      </c>
      <c r="AL711" s="91">
        <f>IF(AK711="Adjust",(_xlfn.XLOOKUP(A711,'Adj factor'!A:A,'Adj factor'!I:I,,0)*AI711),'Master DataSheet'!AI711)</f>
        <v>610</v>
      </c>
      <c r="AM711" s="91">
        <f t="shared" si="209"/>
        <v>610</v>
      </c>
      <c r="AN711" s="92" t="str">
        <f t="shared" si="210"/>
        <v>Increasing</v>
      </c>
      <c r="AO711" s="93">
        <f>VLOOKUP(B711,'Growthrates source'!A$2:H$49,8,FALSE)</f>
        <v>-0.13121558498618857</v>
      </c>
      <c r="AP711" s="93">
        <f>VLOOKUP(B711,'Growthrates source'!A$2:I$49,9,FALSE)</f>
        <v>0.50042870775453441</v>
      </c>
      <c r="AQ711" s="86">
        <f t="shared" si="211"/>
        <v>84.797626994357373</v>
      </c>
      <c r="AR711" s="86">
        <f t="shared" si="212"/>
        <v>197.44809845690216</v>
      </c>
      <c r="AS711" s="94">
        <f t="shared" si="213"/>
        <v>0</v>
      </c>
      <c r="AT711" s="94">
        <f t="shared" si="214"/>
        <v>2.3954856419762711E-2</v>
      </c>
      <c r="AU711" s="94">
        <f t="shared" si="215"/>
        <v>0.29894169982612101</v>
      </c>
    </row>
    <row r="712" spans="1:47" x14ac:dyDescent="0.3">
      <c r="A712" s="85" t="str">
        <f>_xlfn.XLOOKUP(B712,'Country codes &amp; Data sources'!G:G,'Country codes &amp; Data sources'!H:H,,0)</f>
        <v>Malawi</v>
      </c>
      <c r="B712" s="85" t="s">
        <v>178</v>
      </c>
      <c r="C712" s="86">
        <v>15581264.5</v>
      </c>
      <c r="D712" s="85" t="s">
        <v>207</v>
      </c>
      <c r="E712" s="87">
        <v>0</v>
      </c>
      <c r="F712" s="88">
        <v>16024775.499999996</v>
      </c>
      <c r="G712" s="87">
        <v>0</v>
      </c>
      <c r="I712" s="87">
        <v>0</v>
      </c>
      <c r="K712" s="87">
        <v>0</v>
      </c>
      <c r="M712" s="87">
        <v>0</v>
      </c>
      <c r="O712" s="87">
        <v>0</v>
      </c>
      <c r="P712" s="88">
        <v>18367882.999999985</v>
      </c>
      <c r="Q712" s="87">
        <v>0</v>
      </c>
      <c r="R712" s="87">
        <f t="shared" si="198"/>
        <v>306</v>
      </c>
      <c r="T712" s="87">
        <v>0</v>
      </c>
      <c r="V712" s="87">
        <v>0</v>
      </c>
      <c r="X712" s="87">
        <v>0</v>
      </c>
      <c r="Y712" s="88">
        <v>20405316.500000019</v>
      </c>
      <c r="Z712" s="87">
        <v>0</v>
      </c>
      <c r="AA712" s="87">
        <v>306</v>
      </c>
      <c r="AB712" s="89">
        <f t="shared" si="199"/>
        <v>0</v>
      </c>
      <c r="AC712" s="89">
        <f t="shared" si="200"/>
        <v>0</v>
      </c>
      <c r="AD712" s="89">
        <f t="shared" si="201"/>
        <v>0</v>
      </c>
      <c r="AE712" s="90">
        <f t="shared" si="202"/>
        <v>0</v>
      </c>
      <c r="AF712" s="90" t="str">
        <f t="shared" si="203"/>
        <v/>
      </c>
      <c r="AG712" s="90">
        <f t="shared" si="204"/>
        <v>306</v>
      </c>
      <c r="AH712" s="90" t="str">
        <f t="shared" si="205"/>
        <v>2018 (triag)</v>
      </c>
      <c r="AI712" s="90">
        <f t="shared" si="206"/>
        <v>306</v>
      </c>
      <c r="AJ712" s="90" t="str">
        <f t="shared" si="207"/>
        <v>2018 (triag)</v>
      </c>
      <c r="AK712" s="90" t="str">
        <f t="shared" si="208"/>
        <v/>
      </c>
      <c r="AL712" s="91">
        <f>IF(AK712="Adjust",(_xlfn.XLOOKUP(A712,'Adj factor'!A:A,'Adj factor'!I:I,,0)*AI712),'Master DataSheet'!AI712)</f>
        <v>306</v>
      </c>
      <c r="AM712" s="91">
        <f t="shared" si="209"/>
        <v>306</v>
      </c>
      <c r="AN712" s="92" t="str">
        <f t="shared" si="210"/>
        <v>No change</v>
      </c>
      <c r="AO712" s="93">
        <f>VLOOKUP(B712,'Growthrates source'!A$2:H$49,8,FALSE)</f>
        <v>-0.13121558498618857</v>
      </c>
      <c r="AP712" s="93">
        <f>VLOOKUP(B712,'Growthrates source'!A$2:I$49,9,FALSE)</f>
        <v>0.50042870775453441</v>
      </c>
      <c r="AQ712" s="86">
        <f t="shared" si="211"/>
        <v>589.72895136984903</v>
      </c>
      <c r="AR712" s="86">
        <f t="shared" si="212"/>
        <v>1373.1617756320923</v>
      </c>
      <c r="AS712" s="94">
        <f t="shared" si="213"/>
        <v>0</v>
      </c>
      <c r="AT712" s="94">
        <f t="shared" si="214"/>
        <v>0.16659513782834975</v>
      </c>
      <c r="AU712" s="94">
        <f t="shared" si="215"/>
        <v>0.14996091827343119</v>
      </c>
    </row>
    <row r="713" spans="1:47" x14ac:dyDescent="0.3">
      <c r="A713" s="85" t="str">
        <f>_xlfn.XLOOKUP(B713,'Country codes &amp; Data sources'!G:G,'Country codes &amp; Data sources'!H:H,,0)</f>
        <v>Malawi</v>
      </c>
      <c r="B713" s="85" t="s">
        <v>178</v>
      </c>
      <c r="C713" s="86">
        <v>15581265.5</v>
      </c>
      <c r="D713" s="85" t="s">
        <v>141</v>
      </c>
      <c r="E713" s="87">
        <v>0</v>
      </c>
      <c r="F713" s="88">
        <v>16024775.499999996</v>
      </c>
      <c r="G713" s="87">
        <v>0</v>
      </c>
      <c r="I713" s="87">
        <v>0</v>
      </c>
      <c r="K713" s="87">
        <v>0</v>
      </c>
      <c r="M713" s="87">
        <v>0</v>
      </c>
      <c r="O713" s="87">
        <v>0</v>
      </c>
      <c r="P713" s="88">
        <v>18367882.999999985</v>
      </c>
      <c r="Q713" s="87">
        <v>0</v>
      </c>
      <c r="R713" s="87">
        <f t="shared" si="198"/>
        <v>13</v>
      </c>
      <c r="T713" s="87">
        <v>0</v>
      </c>
      <c r="V713" s="87">
        <v>91</v>
      </c>
      <c r="X713" s="87">
        <v>0</v>
      </c>
      <c r="Y713" s="88">
        <v>20405316.500000019</v>
      </c>
      <c r="Z713" s="87">
        <v>73</v>
      </c>
      <c r="AA713" s="87">
        <v>13</v>
      </c>
      <c r="AB713" s="89">
        <f t="shared" si="199"/>
        <v>0</v>
      </c>
      <c r="AC713" s="89">
        <f t="shared" si="200"/>
        <v>0</v>
      </c>
      <c r="AD713" s="89">
        <f t="shared" si="201"/>
        <v>91</v>
      </c>
      <c r="AE713" s="90">
        <f t="shared" si="202"/>
        <v>0</v>
      </c>
      <c r="AF713" s="90" t="str">
        <f t="shared" si="203"/>
        <v/>
      </c>
      <c r="AG713" s="90">
        <f t="shared" si="204"/>
        <v>13</v>
      </c>
      <c r="AH713" s="90" t="str">
        <f t="shared" si="205"/>
        <v>2018 (triag)</v>
      </c>
      <c r="AI713" s="90">
        <f t="shared" si="206"/>
        <v>73</v>
      </c>
      <c r="AJ713" s="90">
        <f t="shared" si="207"/>
        <v>2022</v>
      </c>
      <c r="AK713" s="90" t="str">
        <f t="shared" si="208"/>
        <v/>
      </c>
      <c r="AL713" s="91">
        <f>IF(AK713="Adjust",(_xlfn.XLOOKUP(A713,'Adj factor'!A:A,'Adj factor'!I:I,,0)*AI713),'Master DataSheet'!AI713)</f>
        <v>73</v>
      </c>
      <c r="AM713" s="91">
        <f t="shared" si="209"/>
        <v>73</v>
      </c>
      <c r="AN713" s="92" t="str">
        <f t="shared" si="210"/>
        <v>Increasing</v>
      </c>
      <c r="AO713" s="93">
        <f>VLOOKUP(B713,'Growthrates source'!A$2:H$49,8,FALSE)</f>
        <v>-0.13121558498618857</v>
      </c>
      <c r="AP713" s="93">
        <f>VLOOKUP(B713,'Growthrates source'!A$2:I$49,9,FALSE)</f>
        <v>0.50042870775453441</v>
      </c>
      <c r="AQ713" s="86">
        <f t="shared" si="211"/>
        <v>25.053844339241952</v>
      </c>
      <c r="AR713" s="86">
        <f t="shared" si="212"/>
        <v>58.336938180448371</v>
      </c>
      <c r="AS713" s="94">
        <f t="shared" si="213"/>
        <v>0</v>
      </c>
      <c r="AT713" s="94">
        <f t="shared" si="214"/>
        <v>7.077571214929892E-3</v>
      </c>
      <c r="AU713" s="94">
        <f t="shared" si="215"/>
        <v>3.5774990307060384E-2</v>
      </c>
    </row>
    <row r="714" spans="1:47" x14ac:dyDescent="0.3">
      <c r="A714" s="85" t="str">
        <f>_xlfn.XLOOKUP(B714,'Country codes &amp; Data sources'!G:G,'Country codes &amp; Data sources'!H:H,,0)</f>
        <v>Malawi</v>
      </c>
      <c r="B714" s="85" t="s">
        <v>178</v>
      </c>
      <c r="C714" s="86">
        <v>15581266.5</v>
      </c>
      <c r="D714" s="85" t="s">
        <v>208</v>
      </c>
      <c r="E714" s="87">
        <v>0</v>
      </c>
      <c r="F714" s="88">
        <v>16024775.499999996</v>
      </c>
      <c r="G714" s="87">
        <v>0</v>
      </c>
      <c r="I714" s="87">
        <v>0</v>
      </c>
      <c r="K714" s="87">
        <v>0</v>
      </c>
      <c r="M714" s="87">
        <v>0</v>
      </c>
      <c r="O714" s="87">
        <v>0</v>
      </c>
      <c r="P714" s="88">
        <v>18367882.999999985</v>
      </c>
      <c r="Q714" s="87">
        <v>0</v>
      </c>
      <c r="R714" s="87">
        <f t="shared" si="198"/>
        <v>0</v>
      </c>
      <c r="T714" s="87">
        <v>0</v>
      </c>
      <c r="V714" s="87">
        <v>0</v>
      </c>
      <c r="X714" s="87">
        <v>0</v>
      </c>
      <c r="Y714" s="88">
        <v>20405316.500000019</v>
      </c>
      <c r="Z714" s="87">
        <v>0</v>
      </c>
      <c r="AA714" s="87">
        <v>0</v>
      </c>
      <c r="AB714" s="89">
        <f t="shared" si="199"/>
        <v>0</v>
      </c>
      <c r="AC714" s="89">
        <f t="shared" si="200"/>
        <v>0</v>
      </c>
      <c r="AD714" s="89">
        <f t="shared" si="201"/>
        <v>0</v>
      </c>
      <c r="AE714" s="90">
        <f t="shared" si="202"/>
        <v>0</v>
      </c>
      <c r="AF714" s="90" t="str">
        <f t="shared" si="203"/>
        <v/>
      </c>
      <c r="AG714" s="90">
        <f t="shared" si="204"/>
        <v>0</v>
      </c>
      <c r="AH714" s="90" t="str">
        <f t="shared" si="205"/>
        <v/>
      </c>
      <c r="AI714" s="90">
        <f t="shared" si="206"/>
        <v>0</v>
      </c>
      <c r="AJ714" s="90" t="str">
        <f t="shared" si="207"/>
        <v/>
      </c>
      <c r="AK714" s="90" t="str">
        <f t="shared" si="208"/>
        <v/>
      </c>
      <c r="AL714" s="91">
        <f>IF(AK714="Adjust",(_xlfn.XLOOKUP(A714,'Adj factor'!A:A,'Adj factor'!I:I,,0)*AI714),'Master DataSheet'!AI714)</f>
        <v>0</v>
      </c>
      <c r="AM714" s="91">
        <f t="shared" si="209"/>
        <v>0</v>
      </c>
      <c r="AN714" s="92" t="str">
        <f t="shared" si="210"/>
        <v>No change</v>
      </c>
      <c r="AO714" s="93">
        <f>VLOOKUP(B714,'Growthrates source'!A$2:H$49,8,FALSE)</f>
        <v>-0.13121558498618857</v>
      </c>
      <c r="AP714" s="93">
        <f>VLOOKUP(B714,'Growthrates source'!A$2:I$49,9,FALSE)</f>
        <v>0.50042870775453441</v>
      </c>
      <c r="AQ714" s="86">
        <f t="shared" si="211"/>
        <v>0</v>
      </c>
      <c r="AR714" s="86">
        <f t="shared" si="212"/>
        <v>0</v>
      </c>
      <c r="AS714" s="94">
        <f t="shared" si="213"/>
        <v>0</v>
      </c>
      <c r="AT714" s="94">
        <f t="shared" si="214"/>
        <v>0</v>
      </c>
      <c r="AU714" s="94">
        <f t="shared" si="215"/>
        <v>0</v>
      </c>
    </row>
    <row r="715" spans="1:47" x14ac:dyDescent="0.3">
      <c r="A715" s="85" t="str">
        <f>_xlfn.XLOOKUP(B715,'Country codes &amp; Data sources'!G:G,'Country codes &amp; Data sources'!H:H,,0)</f>
        <v>Malawi</v>
      </c>
      <c r="B715" s="85" t="s">
        <v>178</v>
      </c>
      <c r="C715" s="86">
        <v>15581267.5</v>
      </c>
      <c r="D715" s="85" t="s">
        <v>209</v>
      </c>
      <c r="E715" s="87">
        <v>0</v>
      </c>
      <c r="F715" s="88">
        <v>16024775.499999996</v>
      </c>
      <c r="G715" s="87">
        <v>0</v>
      </c>
      <c r="I715" s="87">
        <v>0</v>
      </c>
      <c r="K715" s="87">
        <v>0</v>
      </c>
      <c r="M715" s="87">
        <v>0</v>
      </c>
      <c r="O715" s="87">
        <v>0</v>
      </c>
      <c r="P715" s="88">
        <v>18367882.999999985</v>
      </c>
      <c r="Q715" s="87">
        <v>0</v>
      </c>
      <c r="R715" s="87">
        <f t="shared" si="198"/>
        <v>0</v>
      </c>
      <c r="T715" s="87">
        <v>0</v>
      </c>
      <c r="V715" s="87">
        <v>0</v>
      </c>
      <c r="X715" s="87">
        <v>0</v>
      </c>
      <c r="Y715" s="88">
        <v>20405316.500000019</v>
      </c>
      <c r="Z715" s="87">
        <v>11178</v>
      </c>
      <c r="AA715" s="87">
        <v>0</v>
      </c>
      <c r="AB715" s="89">
        <f t="shared" si="199"/>
        <v>0</v>
      </c>
      <c r="AC715" s="89">
        <f t="shared" si="200"/>
        <v>0</v>
      </c>
      <c r="AD715" s="89">
        <f t="shared" si="201"/>
        <v>11178</v>
      </c>
      <c r="AE715" s="90">
        <f t="shared" si="202"/>
        <v>0</v>
      </c>
      <c r="AF715" s="90" t="str">
        <f t="shared" si="203"/>
        <v/>
      </c>
      <c r="AG715" s="90">
        <f t="shared" si="204"/>
        <v>0</v>
      </c>
      <c r="AH715" s="90" t="str">
        <f t="shared" si="205"/>
        <v/>
      </c>
      <c r="AI715" s="90">
        <f t="shared" si="206"/>
        <v>11178</v>
      </c>
      <c r="AJ715" s="90">
        <f t="shared" si="207"/>
        <v>2022</v>
      </c>
      <c r="AK715" s="90" t="str">
        <f t="shared" si="208"/>
        <v/>
      </c>
      <c r="AL715" s="91">
        <f>IF(AK715="Adjust",(_xlfn.XLOOKUP(A715,'Adj factor'!A:A,'Adj factor'!I:I,,0)*AI715),'Master DataSheet'!AI715)</f>
        <v>11178</v>
      </c>
      <c r="AM715" s="91">
        <f t="shared" si="209"/>
        <v>11178</v>
      </c>
      <c r="AN715" s="92" t="str">
        <f t="shared" si="210"/>
        <v>Increasing</v>
      </c>
      <c r="AO715" s="93">
        <f>VLOOKUP(B715,'Growthrates source'!A$2:H$49,8,FALSE)</f>
        <v>-0.13121558498618857</v>
      </c>
      <c r="AP715" s="93">
        <f>VLOOKUP(B715,'Growthrates source'!A$2:I$49,9,FALSE)</f>
        <v>0.50042870775453441</v>
      </c>
      <c r="AQ715" s="86">
        <f t="shared" si="211"/>
        <v>0</v>
      </c>
      <c r="AR715" s="86">
        <f t="shared" si="212"/>
        <v>0</v>
      </c>
      <c r="AS715" s="94">
        <f t="shared" si="213"/>
        <v>0</v>
      </c>
      <c r="AT715" s="94">
        <f t="shared" si="214"/>
        <v>0</v>
      </c>
      <c r="AU715" s="94">
        <f t="shared" si="215"/>
        <v>5.4779841322235754</v>
      </c>
    </row>
    <row r="716" spans="1:47" x14ac:dyDescent="0.3">
      <c r="A716" s="85" t="str">
        <f>_xlfn.XLOOKUP(B716,'Country codes &amp; Data sources'!G:G,'Country codes &amp; Data sources'!H:H,,0)</f>
        <v>Malawi</v>
      </c>
      <c r="B716" s="85" t="s">
        <v>178</v>
      </c>
      <c r="C716" s="86">
        <v>15581268.5</v>
      </c>
      <c r="D716" s="85" t="s">
        <v>134</v>
      </c>
      <c r="E716" s="87">
        <v>0</v>
      </c>
      <c r="F716" s="88">
        <v>16024775.499999996</v>
      </c>
      <c r="G716" s="87">
        <v>0</v>
      </c>
      <c r="I716" s="87">
        <v>0</v>
      </c>
      <c r="K716" s="87">
        <v>0</v>
      </c>
      <c r="M716" s="87">
        <v>397</v>
      </c>
      <c r="O716" s="87">
        <v>0</v>
      </c>
      <c r="P716" s="88">
        <v>18367882.999999985</v>
      </c>
      <c r="Q716" s="87">
        <v>0</v>
      </c>
      <c r="R716" s="87">
        <f t="shared" si="198"/>
        <v>542</v>
      </c>
      <c r="T716" s="87">
        <v>0</v>
      </c>
      <c r="V716" s="87">
        <v>282</v>
      </c>
      <c r="X716" s="87">
        <v>0</v>
      </c>
      <c r="Y716" s="88">
        <v>20405316.500000019</v>
      </c>
      <c r="Z716" s="87">
        <v>189</v>
      </c>
      <c r="AA716" s="87">
        <v>542</v>
      </c>
      <c r="AB716" s="89">
        <f t="shared" si="199"/>
        <v>0</v>
      </c>
      <c r="AC716" s="89">
        <f t="shared" si="200"/>
        <v>397</v>
      </c>
      <c r="AD716" s="89">
        <f t="shared" si="201"/>
        <v>282</v>
      </c>
      <c r="AE716" s="90">
        <f t="shared" si="202"/>
        <v>0</v>
      </c>
      <c r="AF716" s="90" t="str">
        <f t="shared" si="203"/>
        <v/>
      </c>
      <c r="AG716" s="90">
        <f t="shared" si="204"/>
        <v>542</v>
      </c>
      <c r="AH716" s="90" t="str">
        <f t="shared" si="205"/>
        <v>2018 (triag)</v>
      </c>
      <c r="AI716" s="90">
        <f t="shared" si="206"/>
        <v>189</v>
      </c>
      <c r="AJ716" s="90">
        <f t="shared" si="207"/>
        <v>2022</v>
      </c>
      <c r="AK716" s="90" t="str">
        <f t="shared" si="208"/>
        <v>Adjust</v>
      </c>
      <c r="AL716" s="91">
        <f>IF(AK716="Adjust",(_xlfn.XLOOKUP(A716,'Adj factor'!A:A,'Adj factor'!I:I,,0)*AI716),'Master DataSheet'!AI716)</f>
        <v>209.41119830328739</v>
      </c>
      <c r="AM716" s="91">
        <f t="shared" si="209"/>
        <v>542</v>
      </c>
      <c r="AN716" s="92" t="str">
        <f t="shared" si="210"/>
        <v>Decreasing</v>
      </c>
      <c r="AO716" s="93">
        <f>VLOOKUP(B716,'Growthrates source'!A$2:H$49,8,FALSE)</f>
        <v>-0.13121558498618857</v>
      </c>
      <c r="AP716" s="93">
        <f>VLOOKUP(B716,'Growthrates source'!A$2:I$49,9,FALSE)</f>
        <v>0.50042870775453441</v>
      </c>
      <c r="AQ716" s="86">
        <f t="shared" si="211"/>
        <v>1044.5525870668569</v>
      </c>
      <c r="AR716" s="86">
        <f t="shared" si="212"/>
        <v>2432.2015764463858</v>
      </c>
      <c r="AS716" s="94">
        <f t="shared" si="213"/>
        <v>0</v>
      </c>
      <c r="AT716" s="94">
        <f t="shared" si="214"/>
        <v>0.29508027680707705</v>
      </c>
      <c r="AU716" s="94">
        <f t="shared" si="215"/>
        <v>0.26561705132091407</v>
      </c>
    </row>
    <row r="717" spans="1:47" x14ac:dyDescent="0.3">
      <c r="A717" s="85" t="str">
        <f>_xlfn.XLOOKUP(B717,'Country codes &amp; Data sources'!G:G,'Country codes &amp; Data sources'!H:H,,0)</f>
        <v>Malawi</v>
      </c>
      <c r="B717" s="85" t="s">
        <v>178</v>
      </c>
      <c r="C717" s="86">
        <v>15581269.5</v>
      </c>
      <c r="D717" s="85" t="s">
        <v>142</v>
      </c>
      <c r="E717" s="87">
        <v>0</v>
      </c>
      <c r="F717" s="88">
        <v>16024775.499999996</v>
      </c>
      <c r="G717" s="87">
        <v>0</v>
      </c>
      <c r="I717" s="87">
        <v>0</v>
      </c>
      <c r="K717" s="87">
        <v>0</v>
      </c>
      <c r="M717" s="87">
        <v>1159</v>
      </c>
      <c r="O717" s="87">
        <v>0</v>
      </c>
      <c r="P717" s="88">
        <v>18367882.999999985</v>
      </c>
      <c r="Q717" s="87">
        <v>0</v>
      </c>
      <c r="R717" s="87">
        <f t="shared" si="198"/>
        <v>98</v>
      </c>
      <c r="T717" s="87">
        <v>0</v>
      </c>
      <c r="V717" s="87">
        <v>0</v>
      </c>
      <c r="X717" s="87">
        <v>0</v>
      </c>
      <c r="Y717" s="88">
        <v>20405316.500000019</v>
      </c>
      <c r="Z717" s="87">
        <v>37</v>
      </c>
      <c r="AA717" s="87">
        <v>98</v>
      </c>
      <c r="AB717" s="89">
        <f t="shared" si="199"/>
        <v>0</v>
      </c>
      <c r="AC717" s="89">
        <f t="shared" si="200"/>
        <v>1159</v>
      </c>
      <c r="AD717" s="89">
        <f t="shared" si="201"/>
        <v>37</v>
      </c>
      <c r="AE717" s="90">
        <f t="shared" si="202"/>
        <v>0</v>
      </c>
      <c r="AF717" s="90" t="str">
        <f t="shared" si="203"/>
        <v/>
      </c>
      <c r="AG717" s="90">
        <f t="shared" si="204"/>
        <v>98</v>
      </c>
      <c r="AH717" s="90" t="str">
        <f t="shared" si="205"/>
        <v>2018 (triag)</v>
      </c>
      <c r="AI717" s="90">
        <f t="shared" si="206"/>
        <v>37</v>
      </c>
      <c r="AJ717" s="90">
        <f t="shared" si="207"/>
        <v>2022</v>
      </c>
      <c r="AK717" s="90" t="str">
        <f t="shared" si="208"/>
        <v>Adjust</v>
      </c>
      <c r="AL717" s="91">
        <f>IF(AK717="Adjust",(_xlfn.XLOOKUP(A717,'Adj factor'!A:A,'Adj factor'!I:I,,0)*AI717),'Master DataSheet'!AI717)</f>
        <v>40.995843054082719</v>
      </c>
      <c r="AM717" s="91">
        <f t="shared" si="209"/>
        <v>98</v>
      </c>
      <c r="AN717" s="92" t="str">
        <f t="shared" si="210"/>
        <v>Decreasing</v>
      </c>
      <c r="AO717" s="93">
        <f>VLOOKUP(B717,'Growthrates source'!A$2:H$49,8,FALSE)</f>
        <v>-0.13121558498618857</v>
      </c>
      <c r="AP717" s="93">
        <f>VLOOKUP(B717,'Growthrates source'!A$2:I$49,9,FALSE)</f>
        <v>0.50042870775453441</v>
      </c>
      <c r="AQ717" s="86">
        <f t="shared" si="211"/>
        <v>188.8674419419778</v>
      </c>
      <c r="AR717" s="86">
        <f t="shared" si="212"/>
        <v>439.77076474491849</v>
      </c>
      <c r="AS717" s="94">
        <f t="shared" si="213"/>
        <v>0</v>
      </c>
      <c r="AT717" s="94">
        <f t="shared" si="214"/>
        <v>5.3353998389471489E-2</v>
      </c>
      <c r="AU717" s="94">
        <f t="shared" si="215"/>
        <v>4.8026699316327637E-2</v>
      </c>
    </row>
    <row r="718" spans="1:47" x14ac:dyDescent="0.3">
      <c r="A718" s="85" t="str">
        <f>_xlfn.XLOOKUP(B718,'Country codes &amp; Data sources'!G:G,'Country codes &amp; Data sources'!H:H,,0)</f>
        <v>Malawi</v>
      </c>
      <c r="B718" s="85" t="s">
        <v>178</v>
      </c>
      <c r="C718" s="86">
        <v>15581270.5</v>
      </c>
      <c r="D718" s="85" t="s">
        <v>83</v>
      </c>
      <c r="E718" s="87">
        <v>0</v>
      </c>
      <c r="F718" s="88">
        <v>16024775.499999996</v>
      </c>
      <c r="G718" s="87">
        <v>0</v>
      </c>
      <c r="I718" s="87">
        <v>0</v>
      </c>
      <c r="K718" s="87">
        <v>0</v>
      </c>
      <c r="M718" s="87">
        <v>0</v>
      </c>
      <c r="O718" s="87">
        <v>0</v>
      </c>
      <c r="P718" s="88">
        <v>18367882.999999985</v>
      </c>
      <c r="Q718" s="87">
        <v>0</v>
      </c>
      <c r="R718" s="87">
        <f t="shared" si="198"/>
        <v>52</v>
      </c>
      <c r="T718" s="87">
        <v>0</v>
      </c>
      <c r="V718" s="87">
        <v>152</v>
      </c>
      <c r="X718" s="87">
        <v>0</v>
      </c>
      <c r="Y718" s="88">
        <v>20405316.500000019</v>
      </c>
      <c r="Z718" s="87">
        <v>248</v>
      </c>
      <c r="AA718" s="87">
        <v>52</v>
      </c>
      <c r="AB718" s="89">
        <f t="shared" si="199"/>
        <v>0</v>
      </c>
      <c r="AC718" s="89">
        <f t="shared" si="200"/>
        <v>0</v>
      </c>
      <c r="AD718" s="89">
        <f t="shared" si="201"/>
        <v>248</v>
      </c>
      <c r="AE718" s="90">
        <f t="shared" si="202"/>
        <v>0</v>
      </c>
      <c r="AF718" s="90" t="str">
        <f t="shared" si="203"/>
        <v/>
      </c>
      <c r="AG718" s="90">
        <f t="shared" si="204"/>
        <v>52</v>
      </c>
      <c r="AH718" s="90" t="str">
        <f t="shared" si="205"/>
        <v>2018 (triag)</v>
      </c>
      <c r="AI718" s="90">
        <f t="shared" si="206"/>
        <v>248</v>
      </c>
      <c r="AJ718" s="90">
        <f t="shared" si="207"/>
        <v>2022</v>
      </c>
      <c r="AK718" s="90" t="str">
        <f t="shared" si="208"/>
        <v/>
      </c>
      <c r="AL718" s="91">
        <f>IF(AK718="Adjust",(_xlfn.XLOOKUP(A718,'Adj factor'!A:A,'Adj factor'!I:I,,0)*AI718),'Master DataSheet'!AI718)</f>
        <v>248</v>
      </c>
      <c r="AM718" s="91">
        <f t="shared" si="209"/>
        <v>248</v>
      </c>
      <c r="AN718" s="92" t="str">
        <f t="shared" si="210"/>
        <v>Increasing</v>
      </c>
      <c r="AO718" s="93">
        <f>VLOOKUP(B718,'Growthrates source'!A$2:H$49,8,FALSE)</f>
        <v>-0.13121558498618857</v>
      </c>
      <c r="AP718" s="93">
        <f>VLOOKUP(B718,'Growthrates source'!A$2:I$49,9,FALSE)</f>
        <v>0.50042870775453441</v>
      </c>
      <c r="AQ718" s="86">
        <f t="shared" si="211"/>
        <v>100.21537735696781</v>
      </c>
      <c r="AR718" s="86">
        <f t="shared" si="212"/>
        <v>233.34775272179348</v>
      </c>
      <c r="AS718" s="94">
        <f t="shared" si="213"/>
        <v>0</v>
      </c>
      <c r="AT718" s="94">
        <f t="shared" si="214"/>
        <v>2.8310284859719568E-2</v>
      </c>
      <c r="AU718" s="94">
        <f t="shared" si="215"/>
        <v>0.12153695337193117</v>
      </c>
    </row>
    <row r="719" spans="1:47" x14ac:dyDescent="0.3">
      <c r="A719" s="85" t="str">
        <f>_xlfn.XLOOKUP(B719,'Country codes &amp; Data sources'!G:G,'Country codes &amp; Data sources'!H:H,,0)</f>
        <v>Malawi</v>
      </c>
      <c r="B719" s="85" t="s">
        <v>178</v>
      </c>
      <c r="C719" s="86">
        <v>15581271.5</v>
      </c>
      <c r="D719" s="85" t="s">
        <v>84</v>
      </c>
      <c r="E719" s="87">
        <v>0</v>
      </c>
      <c r="F719" s="88">
        <v>16024775.499999996</v>
      </c>
      <c r="G719" s="87">
        <v>0</v>
      </c>
      <c r="I719" s="87">
        <v>0</v>
      </c>
      <c r="K719" s="87">
        <v>0</v>
      </c>
      <c r="M719" s="87">
        <v>0</v>
      </c>
      <c r="O719" s="87">
        <v>0</v>
      </c>
      <c r="P719" s="88">
        <v>18367882.999999985</v>
      </c>
      <c r="Q719" s="87">
        <v>0</v>
      </c>
      <c r="R719" s="87">
        <f t="shared" si="198"/>
        <v>0</v>
      </c>
      <c r="T719" s="87">
        <v>0</v>
      </c>
      <c r="V719" s="87">
        <v>0</v>
      </c>
      <c r="X719" s="87">
        <v>0</v>
      </c>
      <c r="Y719" s="88">
        <v>20405316.500000019</v>
      </c>
      <c r="Z719" s="87">
        <v>72</v>
      </c>
      <c r="AA719" s="87">
        <v>0</v>
      </c>
      <c r="AB719" s="89">
        <f t="shared" si="199"/>
        <v>0</v>
      </c>
      <c r="AC719" s="89">
        <f t="shared" si="200"/>
        <v>0</v>
      </c>
      <c r="AD719" s="89">
        <f t="shared" si="201"/>
        <v>72</v>
      </c>
      <c r="AE719" s="90">
        <f t="shared" si="202"/>
        <v>0</v>
      </c>
      <c r="AF719" s="90" t="str">
        <f t="shared" si="203"/>
        <v/>
      </c>
      <c r="AG719" s="90">
        <f t="shared" si="204"/>
        <v>0</v>
      </c>
      <c r="AH719" s="90" t="str">
        <f t="shared" si="205"/>
        <v/>
      </c>
      <c r="AI719" s="90">
        <f t="shared" si="206"/>
        <v>72</v>
      </c>
      <c r="AJ719" s="90">
        <f t="shared" si="207"/>
        <v>2022</v>
      </c>
      <c r="AK719" s="90" t="str">
        <f t="shared" si="208"/>
        <v/>
      </c>
      <c r="AL719" s="91">
        <f>IF(AK719="Adjust",(_xlfn.XLOOKUP(A719,'Adj factor'!A:A,'Adj factor'!I:I,,0)*AI719),'Master DataSheet'!AI719)</f>
        <v>72</v>
      </c>
      <c r="AM719" s="91">
        <f t="shared" si="209"/>
        <v>72</v>
      </c>
      <c r="AN719" s="92" t="str">
        <f t="shared" si="210"/>
        <v>Increasing</v>
      </c>
      <c r="AO719" s="93">
        <f>VLOOKUP(B719,'Growthrates source'!A$2:H$49,8,FALSE)</f>
        <v>-0.13121558498618857</v>
      </c>
      <c r="AP719" s="93">
        <f>VLOOKUP(B719,'Growthrates source'!A$2:I$49,9,FALSE)</f>
        <v>0.50042870775453441</v>
      </c>
      <c r="AQ719" s="86">
        <f t="shared" si="211"/>
        <v>0</v>
      </c>
      <c r="AR719" s="86">
        <f t="shared" si="212"/>
        <v>0</v>
      </c>
      <c r="AS719" s="94">
        <f t="shared" si="213"/>
        <v>0</v>
      </c>
      <c r="AT719" s="94">
        <f t="shared" si="214"/>
        <v>0</v>
      </c>
      <c r="AU719" s="94">
        <f t="shared" si="215"/>
        <v>3.5284921946689696E-2</v>
      </c>
    </row>
    <row r="720" spans="1:47" x14ac:dyDescent="0.3">
      <c r="A720" s="85" t="str">
        <f>_xlfn.XLOOKUP(B720,'Country codes &amp; Data sources'!G:G,'Country codes &amp; Data sources'!H:H,,0)</f>
        <v>Malawi</v>
      </c>
      <c r="B720" s="85" t="s">
        <v>178</v>
      </c>
      <c r="C720" s="86">
        <v>15581272.5</v>
      </c>
      <c r="D720" s="85" t="s">
        <v>126</v>
      </c>
      <c r="E720" s="87">
        <v>0</v>
      </c>
      <c r="F720" s="88">
        <v>16024775.499999996</v>
      </c>
      <c r="G720" s="87">
        <v>0</v>
      </c>
      <c r="I720" s="87">
        <v>0</v>
      </c>
      <c r="K720" s="87">
        <v>0</v>
      </c>
      <c r="M720" s="87">
        <v>0</v>
      </c>
      <c r="O720" s="87">
        <v>0</v>
      </c>
      <c r="P720" s="88">
        <v>18367882.999999985</v>
      </c>
      <c r="Q720" s="87">
        <v>0</v>
      </c>
      <c r="R720" s="87">
        <f t="shared" si="198"/>
        <v>0</v>
      </c>
      <c r="T720" s="87">
        <v>0</v>
      </c>
      <c r="V720" s="87">
        <v>0</v>
      </c>
      <c r="X720" s="87">
        <v>0</v>
      </c>
      <c r="Y720" s="88">
        <v>20405316.500000019</v>
      </c>
      <c r="Z720" s="87">
        <v>0</v>
      </c>
      <c r="AA720" s="87">
        <v>0</v>
      </c>
      <c r="AB720" s="89">
        <f t="shared" si="199"/>
        <v>0</v>
      </c>
      <c r="AC720" s="89">
        <f t="shared" si="200"/>
        <v>0</v>
      </c>
      <c r="AD720" s="89">
        <f t="shared" si="201"/>
        <v>0</v>
      </c>
      <c r="AE720" s="90">
        <f t="shared" si="202"/>
        <v>0</v>
      </c>
      <c r="AF720" s="90" t="str">
        <f t="shared" si="203"/>
        <v/>
      </c>
      <c r="AG720" s="90">
        <f t="shared" si="204"/>
        <v>0</v>
      </c>
      <c r="AH720" s="90" t="str">
        <f t="shared" si="205"/>
        <v/>
      </c>
      <c r="AI720" s="90">
        <f t="shared" si="206"/>
        <v>0</v>
      </c>
      <c r="AJ720" s="90" t="str">
        <f t="shared" si="207"/>
        <v/>
      </c>
      <c r="AK720" s="90" t="str">
        <f t="shared" si="208"/>
        <v/>
      </c>
      <c r="AL720" s="91">
        <f>IF(AK720="Adjust",(_xlfn.XLOOKUP(A720,'Adj factor'!A:A,'Adj factor'!I:I,,0)*AI720),'Master DataSheet'!AI720)</f>
        <v>0</v>
      </c>
      <c r="AM720" s="91">
        <f t="shared" si="209"/>
        <v>0</v>
      </c>
      <c r="AN720" s="92" t="str">
        <f t="shared" si="210"/>
        <v>No change</v>
      </c>
      <c r="AO720" s="93">
        <f>VLOOKUP(B720,'Growthrates source'!A$2:H$49,8,FALSE)</f>
        <v>-0.13121558498618857</v>
      </c>
      <c r="AP720" s="93">
        <f>VLOOKUP(B720,'Growthrates source'!A$2:I$49,9,FALSE)</f>
        <v>0.50042870775453441</v>
      </c>
      <c r="AQ720" s="86">
        <f t="shared" si="211"/>
        <v>0</v>
      </c>
      <c r="AR720" s="86">
        <f t="shared" si="212"/>
        <v>0</v>
      </c>
      <c r="AS720" s="94">
        <f t="shared" si="213"/>
        <v>0</v>
      </c>
      <c r="AT720" s="94">
        <f t="shared" si="214"/>
        <v>0</v>
      </c>
      <c r="AU720" s="94">
        <f t="shared" si="215"/>
        <v>0</v>
      </c>
    </row>
    <row r="721" spans="1:47" x14ac:dyDescent="0.3">
      <c r="A721" s="85" t="str">
        <f>_xlfn.XLOOKUP(B721,'Country codes &amp; Data sources'!G:G,'Country codes &amp; Data sources'!H:H,,0)</f>
        <v>Malawi</v>
      </c>
      <c r="B721" s="85" t="s">
        <v>178</v>
      </c>
      <c r="C721" s="86">
        <v>15581273.5</v>
      </c>
      <c r="D721" s="85" t="s">
        <v>87</v>
      </c>
      <c r="E721" s="87">
        <v>0</v>
      </c>
      <c r="F721" s="88">
        <v>16024775.499999996</v>
      </c>
      <c r="G721" s="87">
        <v>0</v>
      </c>
      <c r="I721" s="87">
        <v>0</v>
      </c>
      <c r="K721" s="87">
        <v>0</v>
      </c>
      <c r="M721" s="87">
        <v>0</v>
      </c>
      <c r="O721" s="87">
        <v>0</v>
      </c>
      <c r="P721" s="88">
        <v>18367882.999999985</v>
      </c>
      <c r="Q721" s="87">
        <v>0</v>
      </c>
      <c r="R721" s="87">
        <f t="shared" si="198"/>
        <v>0</v>
      </c>
      <c r="T721" s="87">
        <v>0</v>
      </c>
      <c r="V721" s="87">
        <v>0</v>
      </c>
      <c r="X721" s="87">
        <v>0</v>
      </c>
      <c r="Y721" s="88">
        <v>20405316.500000019</v>
      </c>
      <c r="Z721" s="87">
        <v>2</v>
      </c>
      <c r="AA721" s="87">
        <v>0</v>
      </c>
      <c r="AB721" s="89">
        <f t="shared" si="199"/>
        <v>0</v>
      </c>
      <c r="AC721" s="89">
        <f t="shared" si="200"/>
        <v>0</v>
      </c>
      <c r="AD721" s="89">
        <f t="shared" si="201"/>
        <v>2</v>
      </c>
      <c r="AE721" s="90">
        <f t="shared" si="202"/>
        <v>0</v>
      </c>
      <c r="AF721" s="90" t="str">
        <f t="shared" si="203"/>
        <v/>
      </c>
      <c r="AG721" s="90">
        <f t="shared" si="204"/>
        <v>0</v>
      </c>
      <c r="AH721" s="90" t="str">
        <f t="shared" si="205"/>
        <v/>
      </c>
      <c r="AI721" s="90">
        <f t="shared" si="206"/>
        <v>2</v>
      </c>
      <c r="AJ721" s="90">
        <f t="shared" si="207"/>
        <v>2022</v>
      </c>
      <c r="AK721" s="90" t="str">
        <f t="shared" si="208"/>
        <v/>
      </c>
      <c r="AL721" s="91">
        <f>IF(AK721="Adjust",(_xlfn.XLOOKUP(A721,'Adj factor'!A:A,'Adj factor'!I:I,,0)*AI721),'Master DataSheet'!AI721)</f>
        <v>2</v>
      </c>
      <c r="AM721" s="91">
        <f t="shared" si="209"/>
        <v>2</v>
      </c>
      <c r="AN721" s="92" t="str">
        <f t="shared" si="210"/>
        <v>Increasing</v>
      </c>
      <c r="AO721" s="93">
        <f>VLOOKUP(B721,'Growthrates source'!A$2:H$49,8,FALSE)</f>
        <v>-0.13121558498618857</v>
      </c>
      <c r="AP721" s="93">
        <f>VLOOKUP(B721,'Growthrates source'!A$2:I$49,9,FALSE)</f>
        <v>0.50042870775453441</v>
      </c>
      <c r="AQ721" s="86">
        <f t="shared" si="211"/>
        <v>0</v>
      </c>
      <c r="AR721" s="86">
        <f t="shared" si="212"/>
        <v>0</v>
      </c>
      <c r="AS721" s="94">
        <f t="shared" si="213"/>
        <v>0</v>
      </c>
      <c r="AT721" s="94">
        <f t="shared" si="214"/>
        <v>0</v>
      </c>
      <c r="AU721" s="94">
        <f t="shared" si="215"/>
        <v>9.8013672074138036E-4</v>
      </c>
    </row>
    <row r="722" spans="1:47" x14ac:dyDescent="0.3">
      <c r="A722" s="85" t="str">
        <f>_xlfn.XLOOKUP(B722,'Country codes &amp; Data sources'!G:G,'Country codes &amp; Data sources'!H:H,,0)</f>
        <v>Namibia</v>
      </c>
      <c r="B722" s="85" t="s">
        <v>182</v>
      </c>
      <c r="C722" s="86">
        <v>2167470.0000000023</v>
      </c>
      <c r="D722" s="85" t="s">
        <v>321</v>
      </c>
      <c r="E722" s="87">
        <v>0</v>
      </c>
      <c r="F722" s="88">
        <v>2204510.0000000005</v>
      </c>
      <c r="G722" s="87">
        <v>113</v>
      </c>
      <c r="H722" s="87">
        <v>2243000.9999999991</v>
      </c>
      <c r="I722" s="87">
        <v>24</v>
      </c>
      <c r="J722" s="87">
        <v>2282703.9999999995</v>
      </c>
      <c r="K722" s="87">
        <v>0</v>
      </c>
      <c r="L722" s="87">
        <v>2323352</v>
      </c>
      <c r="M722" s="87">
        <v>0</v>
      </c>
      <c r="N722" s="87">
        <v>2364533.5000000009</v>
      </c>
      <c r="O722" s="87">
        <v>2842</v>
      </c>
      <c r="P722" s="88">
        <v>2405680.5000000005</v>
      </c>
      <c r="Q722" s="87">
        <v>1726</v>
      </c>
      <c r="R722" s="87">
        <f t="shared" si="198"/>
        <v>1726</v>
      </c>
      <c r="S722" s="87">
        <v>2446644.4999999977</v>
      </c>
      <c r="T722" s="87">
        <v>1931</v>
      </c>
      <c r="U722" s="87">
        <v>2489097.9999999991</v>
      </c>
      <c r="V722" s="87">
        <v>2230</v>
      </c>
      <c r="W722" s="87">
        <v>2530150.5000000014</v>
      </c>
      <c r="X722" s="87">
        <v>2549</v>
      </c>
      <c r="Y722" s="88">
        <v>2567012.4999999995</v>
      </c>
      <c r="Z722" s="87">
        <v>3012</v>
      </c>
      <c r="AA722" s="87">
        <v>1445</v>
      </c>
      <c r="AB722" s="89">
        <f t="shared" si="199"/>
        <v>113</v>
      </c>
      <c r="AC722" s="89">
        <f t="shared" si="200"/>
        <v>2842</v>
      </c>
      <c r="AD722" s="89">
        <f t="shared" si="201"/>
        <v>3012</v>
      </c>
      <c r="AE722" s="90">
        <f t="shared" si="202"/>
        <v>113</v>
      </c>
      <c r="AF722" s="90">
        <f t="shared" si="203"/>
        <v>2013</v>
      </c>
      <c r="AG722" s="90">
        <f t="shared" si="204"/>
        <v>1726</v>
      </c>
      <c r="AH722" s="90">
        <f t="shared" si="205"/>
        <v>2018</v>
      </c>
      <c r="AI722" s="90">
        <f t="shared" si="206"/>
        <v>3012</v>
      </c>
      <c r="AJ722" s="90">
        <f t="shared" si="207"/>
        <v>2022</v>
      </c>
      <c r="AK722" s="90" t="str">
        <f t="shared" si="208"/>
        <v/>
      </c>
      <c r="AL722" s="91">
        <f>IF(AK722="Adjust",(_xlfn.XLOOKUP(A722,'Adj factor'!A:A,'Adj factor'!I:I,,0)*AI722),'Master DataSheet'!AI722)</f>
        <v>3012</v>
      </c>
      <c r="AM722" s="91">
        <f t="shared" si="209"/>
        <v>3012</v>
      </c>
      <c r="AN722" s="92" t="str">
        <f t="shared" si="210"/>
        <v>Increasing</v>
      </c>
      <c r="AO722" s="93">
        <f>VLOOKUP(B722,'Growthrates source'!A$2:H$49,8,FALSE)</f>
        <v>6.763943333062894E-2</v>
      </c>
      <c r="AP722" s="93">
        <f>VLOOKUP(B722,'Growthrates source'!A$2:I$49,9,FALSE)</f>
        <v>0.1043111029271564</v>
      </c>
      <c r="AQ722" s="86">
        <f t="shared" si="211"/>
        <v>1030.3640175592982</v>
      </c>
      <c r="AR722" s="86">
        <f t="shared" si="212"/>
        <v>1975.9368303056335</v>
      </c>
      <c r="AS722" s="94">
        <f t="shared" si="213"/>
        <v>0.51258556323173843</v>
      </c>
      <c r="AT722" s="94">
        <f t="shared" si="214"/>
        <v>7.1746850839086891</v>
      </c>
      <c r="AU722" s="94">
        <f t="shared" si="215"/>
        <v>11.733483962388187</v>
      </c>
    </row>
    <row r="723" spans="1:47" x14ac:dyDescent="0.3">
      <c r="A723" s="85" t="str">
        <f>_xlfn.XLOOKUP(B723,'Country codes &amp; Data sources'!G:G,'Country codes &amp; Data sources'!H:H,,0)</f>
        <v>Namibia</v>
      </c>
      <c r="B723" s="85" t="s">
        <v>182</v>
      </c>
      <c r="C723" s="86">
        <v>2167471</v>
      </c>
      <c r="D723" s="85" t="s">
        <v>322</v>
      </c>
      <c r="E723" s="87">
        <v>0</v>
      </c>
      <c r="F723" s="88">
        <v>2204510.0000000005</v>
      </c>
      <c r="G723" s="87">
        <v>8220</v>
      </c>
      <c r="I723" s="87">
        <v>8424</v>
      </c>
      <c r="K723" s="87">
        <v>8730</v>
      </c>
      <c r="M723" s="87">
        <v>9632</v>
      </c>
      <c r="O723" s="87">
        <v>9706</v>
      </c>
      <c r="P723" s="88">
        <v>2405680.5000000005</v>
      </c>
      <c r="Q723" s="87">
        <v>10614</v>
      </c>
      <c r="R723" s="87">
        <f t="shared" si="198"/>
        <v>12956</v>
      </c>
      <c r="T723" s="87">
        <v>11806</v>
      </c>
      <c r="V723" s="87">
        <v>12880</v>
      </c>
      <c r="X723" s="87">
        <v>14332</v>
      </c>
      <c r="Y723" s="88">
        <v>2567012.4999999995</v>
      </c>
      <c r="Z723" s="87">
        <v>17210</v>
      </c>
      <c r="AA723" s="87">
        <v>12956</v>
      </c>
      <c r="AB723" s="89">
        <f t="shared" si="199"/>
        <v>8730</v>
      </c>
      <c r="AC723" s="89">
        <f t="shared" si="200"/>
        <v>11806</v>
      </c>
      <c r="AD723" s="89">
        <f t="shared" si="201"/>
        <v>17210</v>
      </c>
      <c r="AE723" s="90">
        <f t="shared" si="202"/>
        <v>8220</v>
      </c>
      <c r="AF723" s="90">
        <f t="shared" si="203"/>
        <v>2013</v>
      </c>
      <c r="AG723" s="90">
        <f t="shared" si="204"/>
        <v>12956</v>
      </c>
      <c r="AH723" s="90" t="str">
        <f t="shared" si="205"/>
        <v>2018 (triag)</v>
      </c>
      <c r="AI723" s="90">
        <f t="shared" si="206"/>
        <v>17210</v>
      </c>
      <c r="AJ723" s="90">
        <f t="shared" si="207"/>
        <v>2022</v>
      </c>
      <c r="AK723" s="90" t="str">
        <f t="shared" si="208"/>
        <v/>
      </c>
      <c r="AL723" s="91">
        <f>IF(AK723="Adjust",(_xlfn.XLOOKUP(A723,'Adj factor'!A:A,'Adj factor'!I:I,,0)*AI723),'Master DataSheet'!AI723)</f>
        <v>17210</v>
      </c>
      <c r="AM723" s="91">
        <f t="shared" si="209"/>
        <v>17210</v>
      </c>
      <c r="AN723" s="92" t="str">
        <f t="shared" si="210"/>
        <v>Increasing</v>
      </c>
      <c r="AO723" s="93">
        <f>VLOOKUP(B723,'Growthrates source'!A$2:H$49,8,FALSE)</f>
        <v>6.763943333062894E-2</v>
      </c>
      <c r="AP723" s="93">
        <f>VLOOKUP(B723,'Growthrates source'!A$2:I$49,9,FALSE)</f>
        <v>0.1043111029271564</v>
      </c>
      <c r="AQ723" s="86">
        <f t="shared" si="211"/>
        <v>9238.3364785455142</v>
      </c>
      <c r="AR723" s="86">
        <f t="shared" si="212"/>
        <v>17716.427386463522</v>
      </c>
      <c r="AS723" s="94">
        <f t="shared" si="213"/>
        <v>37.287197608538854</v>
      </c>
      <c r="AT723" s="94">
        <f t="shared" si="214"/>
        <v>53.855863237034164</v>
      </c>
      <c r="AU723" s="94">
        <f t="shared" si="215"/>
        <v>67.042914672211381</v>
      </c>
    </row>
    <row r="724" spans="1:47" x14ac:dyDescent="0.3">
      <c r="A724" s="85" t="str">
        <f>_xlfn.XLOOKUP(B724,'Country codes &amp; Data sources'!G:G,'Country codes &amp; Data sources'!H:H,,0)</f>
        <v>Namibia</v>
      </c>
      <c r="B724" s="85" t="s">
        <v>182</v>
      </c>
      <c r="C724" s="86">
        <v>2167472</v>
      </c>
      <c r="D724" s="85" t="s">
        <v>323</v>
      </c>
      <c r="E724" s="87">
        <v>0</v>
      </c>
      <c r="F724" s="88">
        <v>2204510.0000000005</v>
      </c>
      <c r="G724" s="87">
        <v>0</v>
      </c>
      <c r="I724" s="87">
        <v>0</v>
      </c>
      <c r="K724" s="87">
        <v>0</v>
      </c>
      <c r="M724" s="87">
        <v>0</v>
      </c>
      <c r="O724" s="87">
        <v>0</v>
      </c>
      <c r="P724" s="88">
        <v>2405680.5000000005</v>
      </c>
      <c r="Q724" s="87">
        <v>10</v>
      </c>
      <c r="R724" s="87">
        <f t="shared" si="198"/>
        <v>10</v>
      </c>
      <c r="T724" s="87">
        <v>10</v>
      </c>
      <c r="V724" s="87">
        <v>10</v>
      </c>
      <c r="X724" s="87">
        <v>12</v>
      </c>
      <c r="Y724" s="88">
        <v>2567012.4999999995</v>
      </c>
      <c r="Z724" s="87">
        <v>14</v>
      </c>
      <c r="AA724" s="87">
        <v>0</v>
      </c>
      <c r="AB724" s="89">
        <f t="shared" si="199"/>
        <v>0</v>
      </c>
      <c r="AC724" s="89">
        <f t="shared" si="200"/>
        <v>10</v>
      </c>
      <c r="AD724" s="89">
        <f t="shared" si="201"/>
        <v>14</v>
      </c>
      <c r="AE724" s="90">
        <f t="shared" si="202"/>
        <v>0</v>
      </c>
      <c r="AF724" s="90" t="str">
        <f t="shared" si="203"/>
        <v/>
      </c>
      <c r="AG724" s="90">
        <f t="shared" si="204"/>
        <v>10</v>
      </c>
      <c r="AH724" s="90">
        <f t="shared" si="205"/>
        <v>2018</v>
      </c>
      <c r="AI724" s="90">
        <f t="shared" si="206"/>
        <v>14</v>
      </c>
      <c r="AJ724" s="90">
        <f t="shared" si="207"/>
        <v>2022</v>
      </c>
      <c r="AK724" s="90" t="str">
        <f t="shared" si="208"/>
        <v/>
      </c>
      <c r="AL724" s="91">
        <f>IF(AK724="Adjust",(_xlfn.XLOOKUP(A724,'Adj factor'!A:A,'Adj factor'!I:I,,0)*AI724),'Master DataSheet'!AI724)</f>
        <v>14</v>
      </c>
      <c r="AM724" s="60">
        <v>17</v>
      </c>
      <c r="AN724" s="92" t="str">
        <f t="shared" si="210"/>
        <v>Increasing</v>
      </c>
      <c r="AO724" s="93">
        <f>VLOOKUP(B724,'Growthrates source'!A$2:H$49,8,FALSE)</f>
        <v>6.763943333062894E-2</v>
      </c>
      <c r="AP724" s="93">
        <f>VLOOKUP(B724,'Growthrates source'!A$2:I$49,9,FALSE)</f>
        <v>0.1043111029271564</v>
      </c>
      <c r="AQ724" s="86">
        <f t="shared" si="211"/>
        <v>0</v>
      </c>
      <c r="AR724" s="86">
        <f t="shared" si="212"/>
        <v>0</v>
      </c>
      <c r="AS724" s="94">
        <f t="shared" si="213"/>
        <v>0</v>
      </c>
      <c r="AT724" s="94">
        <f t="shared" si="214"/>
        <v>4.1568279744546285E-2</v>
      </c>
      <c r="AU724" s="94">
        <f t="shared" si="215"/>
        <v>6.6224843081208226E-2</v>
      </c>
    </row>
    <row r="725" spans="1:47" x14ac:dyDescent="0.3">
      <c r="A725" s="85" t="str">
        <f>_xlfn.XLOOKUP(B725,'Country codes &amp; Data sources'!G:G,'Country codes &amp; Data sources'!H:H,,0)</f>
        <v>Namibia</v>
      </c>
      <c r="B725" s="85" t="s">
        <v>182</v>
      </c>
      <c r="C725" s="86">
        <v>2167473</v>
      </c>
      <c r="D725" s="85" t="s">
        <v>324</v>
      </c>
      <c r="E725" s="87">
        <v>0</v>
      </c>
      <c r="F725" s="88">
        <v>2204510.0000000005</v>
      </c>
      <c r="G725" s="87">
        <v>0</v>
      </c>
      <c r="I725" s="87">
        <v>0</v>
      </c>
      <c r="K725" s="87">
        <v>0</v>
      </c>
      <c r="M725" s="87">
        <v>0</v>
      </c>
      <c r="O725" s="87">
        <v>79</v>
      </c>
      <c r="P725" s="88">
        <v>2405680.5000000005</v>
      </c>
      <c r="Q725" s="87">
        <v>0</v>
      </c>
      <c r="R725" s="87">
        <f t="shared" si="198"/>
        <v>907</v>
      </c>
      <c r="T725" s="87">
        <v>0</v>
      </c>
      <c r="V725" s="87">
        <v>104</v>
      </c>
      <c r="X725" s="87">
        <v>0</v>
      </c>
      <c r="Y725" s="88">
        <v>2567012.4999999995</v>
      </c>
      <c r="Z725" s="87">
        <v>142</v>
      </c>
      <c r="AA725" s="87">
        <v>907</v>
      </c>
      <c r="AB725" s="89">
        <f t="shared" si="199"/>
        <v>0</v>
      </c>
      <c r="AC725" s="89">
        <f t="shared" si="200"/>
        <v>79</v>
      </c>
      <c r="AD725" s="89">
        <f t="shared" si="201"/>
        <v>142</v>
      </c>
      <c r="AE725" s="90">
        <f t="shared" si="202"/>
        <v>0</v>
      </c>
      <c r="AF725" s="90" t="str">
        <f t="shared" si="203"/>
        <v/>
      </c>
      <c r="AG725" s="90">
        <f t="shared" si="204"/>
        <v>907</v>
      </c>
      <c r="AH725" s="90" t="str">
        <f t="shared" si="205"/>
        <v>2018 (triag)</v>
      </c>
      <c r="AI725" s="90">
        <f t="shared" si="206"/>
        <v>142</v>
      </c>
      <c r="AJ725" s="90">
        <f t="shared" si="207"/>
        <v>2022</v>
      </c>
      <c r="AK725" s="90" t="str">
        <f t="shared" si="208"/>
        <v>Adjust</v>
      </c>
      <c r="AL725" s="91">
        <f>IF(AK725="Adjust",(_xlfn.XLOOKUP(A725,'Adj factor'!A:A,'Adj factor'!I:I,,0)*AI725),'Master DataSheet'!AI725)</f>
        <v>215.09898595943838</v>
      </c>
      <c r="AM725" s="91">
        <f t="shared" si="209"/>
        <v>907</v>
      </c>
      <c r="AN725" s="92" t="str">
        <f t="shared" si="210"/>
        <v>Decreasing</v>
      </c>
      <c r="AO725" s="93">
        <f>VLOOKUP(B725,'Growthrates source'!A$2:H$49,8,FALSE)</f>
        <v>6.763943333062894E-2</v>
      </c>
      <c r="AP725" s="93">
        <f>VLOOKUP(B725,'Growthrates source'!A$2:I$49,9,FALSE)</f>
        <v>0.1043111029271564</v>
      </c>
      <c r="AQ725" s="86">
        <f t="shared" si="211"/>
        <v>646.74059787286058</v>
      </c>
      <c r="AR725" s="86">
        <f t="shared" si="212"/>
        <v>1240.2593114790377</v>
      </c>
      <c r="AS725" s="94">
        <f t="shared" si="213"/>
        <v>0</v>
      </c>
      <c r="AT725" s="94">
        <f t="shared" si="214"/>
        <v>3.7702429728303479</v>
      </c>
      <c r="AU725" s="94">
        <f t="shared" si="215"/>
        <v>3.5332901573326976</v>
      </c>
    </row>
    <row r="726" spans="1:47" x14ac:dyDescent="0.3">
      <c r="A726" s="85" t="str">
        <f>_xlfn.XLOOKUP(B726,'Country codes &amp; Data sources'!G:G,'Country codes &amp; Data sources'!H:H,,0)</f>
        <v>Namibia</v>
      </c>
      <c r="B726" s="85" t="s">
        <v>182</v>
      </c>
      <c r="C726" s="86">
        <v>2167474</v>
      </c>
      <c r="D726" s="85" t="s">
        <v>325</v>
      </c>
      <c r="E726" s="87">
        <v>0</v>
      </c>
      <c r="F726" s="88">
        <v>2204510.0000000005</v>
      </c>
      <c r="G726" s="87">
        <v>0</v>
      </c>
      <c r="I726" s="87">
        <v>0</v>
      </c>
      <c r="K726" s="87">
        <v>0</v>
      </c>
      <c r="M726" s="87">
        <v>0</v>
      </c>
      <c r="O726" s="87">
        <v>0</v>
      </c>
      <c r="P726" s="88">
        <v>2405680.5000000005</v>
      </c>
      <c r="Q726" s="87">
        <v>0</v>
      </c>
      <c r="R726" s="87">
        <f t="shared" si="198"/>
        <v>289</v>
      </c>
      <c r="T726" s="87">
        <v>0</v>
      </c>
      <c r="V726" s="87">
        <v>17</v>
      </c>
      <c r="X726" s="87">
        <v>0</v>
      </c>
      <c r="Y726" s="88">
        <v>2567012.4999999995</v>
      </c>
      <c r="Z726" s="87">
        <v>0</v>
      </c>
      <c r="AA726" s="87">
        <v>289</v>
      </c>
      <c r="AB726" s="89">
        <f t="shared" si="199"/>
        <v>0</v>
      </c>
      <c r="AC726" s="89">
        <f t="shared" si="200"/>
        <v>0</v>
      </c>
      <c r="AD726" s="89">
        <f t="shared" si="201"/>
        <v>17</v>
      </c>
      <c r="AE726" s="90">
        <f t="shared" si="202"/>
        <v>0</v>
      </c>
      <c r="AF726" s="90" t="str">
        <f t="shared" si="203"/>
        <v/>
      </c>
      <c r="AG726" s="90">
        <f t="shared" si="204"/>
        <v>289</v>
      </c>
      <c r="AH726" s="90" t="str">
        <f t="shared" si="205"/>
        <v>2018 (triag)</v>
      </c>
      <c r="AI726" s="90">
        <f t="shared" si="206"/>
        <v>17</v>
      </c>
      <c r="AJ726" s="90">
        <f t="shared" si="207"/>
        <v>2020</v>
      </c>
      <c r="AK726" s="90" t="str">
        <f t="shared" si="208"/>
        <v>Adjust</v>
      </c>
      <c r="AL726" s="91">
        <f>IF(AK726="Adjust",(_xlfn.XLOOKUP(A726,'Adj factor'!A:A,'Adj factor'!I:I,,0)*AI726),'Master DataSheet'!AI726)</f>
        <v>25.751287051482059</v>
      </c>
      <c r="AM726" s="62">
        <v>328</v>
      </c>
      <c r="AN726" s="92" t="str">
        <f t="shared" si="210"/>
        <v>Decreasing</v>
      </c>
      <c r="AO726" s="93">
        <f>VLOOKUP(B726,'Growthrates source'!A$2:H$49,8,FALSE)</f>
        <v>6.763943333062894E-2</v>
      </c>
      <c r="AP726" s="93">
        <f>VLOOKUP(B726,'Growthrates source'!A$2:I$49,9,FALSE)</f>
        <v>0.1043111029271564</v>
      </c>
      <c r="AQ726" s="86">
        <f t="shared" si="211"/>
        <v>206.07280351185963</v>
      </c>
      <c r="AR726" s="86">
        <f t="shared" si="212"/>
        <v>395.18736606112668</v>
      </c>
      <c r="AS726" s="94">
        <f t="shared" si="213"/>
        <v>0</v>
      </c>
      <c r="AT726" s="94">
        <f t="shared" si="214"/>
        <v>1.2013232846173876</v>
      </c>
      <c r="AU726" s="94">
        <f t="shared" si="215"/>
        <v>1.2777499135668411</v>
      </c>
    </row>
    <row r="727" spans="1:47" x14ac:dyDescent="0.3">
      <c r="A727" s="85" t="str">
        <f>_xlfn.XLOOKUP(B727,'Country codes &amp; Data sources'!G:G,'Country codes &amp; Data sources'!H:H,,0)</f>
        <v>Namibia</v>
      </c>
      <c r="B727" s="85" t="s">
        <v>182</v>
      </c>
      <c r="C727" s="86">
        <v>2167475</v>
      </c>
      <c r="D727" s="85" t="s">
        <v>127</v>
      </c>
      <c r="E727" s="87">
        <v>0</v>
      </c>
      <c r="F727" s="88">
        <v>2204510.0000000005</v>
      </c>
      <c r="G727" s="87">
        <v>0</v>
      </c>
      <c r="I727" s="87">
        <v>0</v>
      </c>
      <c r="K727" s="87">
        <v>0</v>
      </c>
      <c r="M727" s="87">
        <v>0</v>
      </c>
      <c r="O727" s="87">
        <v>0</v>
      </c>
      <c r="P727" s="88">
        <v>2405680.5000000005</v>
      </c>
      <c r="Q727" s="87">
        <v>2292</v>
      </c>
      <c r="R727" s="87">
        <f t="shared" si="198"/>
        <v>2292</v>
      </c>
      <c r="T727" s="87">
        <v>0</v>
      </c>
      <c r="V727" s="87">
        <v>0</v>
      </c>
      <c r="X727" s="87">
        <v>0</v>
      </c>
      <c r="Y727" s="88">
        <v>2567012.4999999995</v>
      </c>
      <c r="Z727" s="87">
        <v>0</v>
      </c>
      <c r="AA727" s="87">
        <v>2292</v>
      </c>
      <c r="AB727" s="89">
        <f t="shared" si="199"/>
        <v>0</v>
      </c>
      <c r="AC727" s="89">
        <f t="shared" si="200"/>
        <v>2292</v>
      </c>
      <c r="AD727" s="89">
        <f t="shared" si="201"/>
        <v>0</v>
      </c>
      <c r="AE727" s="90">
        <f t="shared" si="202"/>
        <v>0</v>
      </c>
      <c r="AF727" s="90" t="str">
        <f t="shared" si="203"/>
        <v/>
      </c>
      <c r="AG727" s="90">
        <f t="shared" si="204"/>
        <v>2292</v>
      </c>
      <c r="AH727" s="90">
        <f t="shared" si="205"/>
        <v>2018</v>
      </c>
      <c r="AI727" s="90">
        <f t="shared" si="206"/>
        <v>2292</v>
      </c>
      <c r="AJ727" s="90">
        <f t="shared" si="207"/>
        <v>2018</v>
      </c>
      <c r="AK727" s="90" t="str">
        <f t="shared" si="208"/>
        <v/>
      </c>
      <c r="AL727" s="91">
        <f>IF(AK727="Adjust",(_xlfn.XLOOKUP(A727,'Adj factor'!A:A,'Adj factor'!I:I,,0)*AI727),'Master DataSheet'!AI727)</f>
        <v>2292</v>
      </c>
      <c r="AM727" s="91">
        <f t="shared" si="209"/>
        <v>2292</v>
      </c>
      <c r="AN727" s="92" t="str">
        <f t="shared" si="210"/>
        <v>No change</v>
      </c>
      <c r="AO727" s="93">
        <f>VLOOKUP(B727,'Growthrates source'!A$2:H$49,8,FALSE)</f>
        <v>6.763943333062894E-2</v>
      </c>
      <c r="AP727" s="93">
        <f>VLOOKUP(B727,'Growthrates source'!A$2:I$49,9,FALSE)</f>
        <v>0.1043111029271564</v>
      </c>
      <c r="AQ727" s="86">
        <f t="shared" si="211"/>
        <v>1634.3213344262363</v>
      </c>
      <c r="AR727" s="86">
        <f t="shared" si="212"/>
        <v>3134.1503218411849</v>
      </c>
      <c r="AS727" s="94">
        <f t="shared" si="213"/>
        <v>0</v>
      </c>
      <c r="AT727" s="94">
        <f t="shared" si="214"/>
        <v>9.5274497174500095</v>
      </c>
      <c r="AU727" s="94">
        <f t="shared" si="215"/>
        <v>8.928667078948779</v>
      </c>
    </row>
    <row r="728" spans="1:47" ht="14.5" x14ac:dyDescent="0.35">
      <c r="A728" s="85" t="str">
        <f>_xlfn.XLOOKUP(B728,'Country codes &amp; Data sources'!G:G,'Country codes &amp; Data sources'!H:H,,0)</f>
        <v>Namibia</v>
      </c>
      <c r="B728" s="85" t="s">
        <v>182</v>
      </c>
      <c r="C728" s="86">
        <v>2167476</v>
      </c>
      <c r="D728" s="85" t="s">
        <v>61</v>
      </c>
      <c r="E728" s="87">
        <v>0</v>
      </c>
      <c r="F728" s="88">
        <v>2204510.0000000005</v>
      </c>
      <c r="G728" s="87">
        <v>0</v>
      </c>
      <c r="I728" s="87">
        <v>0</v>
      </c>
      <c r="K728" s="87">
        <v>0</v>
      </c>
      <c r="M728" s="87">
        <v>0</v>
      </c>
      <c r="O728" s="87">
        <v>0</v>
      </c>
      <c r="P728" s="88">
        <v>2405680.5000000005</v>
      </c>
      <c r="Q728" s="87">
        <v>0</v>
      </c>
      <c r="R728" s="87">
        <f t="shared" si="198"/>
        <v>33</v>
      </c>
      <c r="T728" s="87">
        <v>0</v>
      </c>
      <c r="V728" s="87">
        <v>0</v>
      </c>
      <c r="X728" s="87">
        <v>0</v>
      </c>
      <c r="Y728" s="88">
        <v>2567012.4999999995</v>
      </c>
      <c r="Z728" s="111">
        <f>29+4</f>
        <v>33</v>
      </c>
      <c r="AA728" s="87">
        <v>33</v>
      </c>
      <c r="AB728" s="89">
        <f t="shared" si="199"/>
        <v>0</v>
      </c>
      <c r="AC728" s="89">
        <f t="shared" si="200"/>
        <v>0</v>
      </c>
      <c r="AD728" s="89">
        <f t="shared" si="201"/>
        <v>33</v>
      </c>
      <c r="AE728" s="90">
        <f t="shared" si="202"/>
        <v>0</v>
      </c>
      <c r="AF728" s="90" t="str">
        <f t="shared" si="203"/>
        <v/>
      </c>
      <c r="AG728" s="90">
        <f t="shared" si="204"/>
        <v>33</v>
      </c>
      <c r="AH728" s="90" t="str">
        <f t="shared" si="205"/>
        <v>2018 (triag)</v>
      </c>
      <c r="AI728" s="90">
        <f t="shared" si="206"/>
        <v>33</v>
      </c>
      <c r="AJ728" s="90">
        <f t="shared" si="207"/>
        <v>2022</v>
      </c>
      <c r="AK728" s="90" t="str">
        <f t="shared" si="208"/>
        <v/>
      </c>
      <c r="AL728" s="91">
        <f>IF(AK728="Adjust",(_xlfn.XLOOKUP(A728,'Adj factor'!A:A,'Adj factor'!I:I,,0)*AI728),'Master DataSheet'!AI728)</f>
        <v>33</v>
      </c>
      <c r="AM728" s="91">
        <f t="shared" si="209"/>
        <v>33</v>
      </c>
      <c r="AN728" s="92" t="str">
        <f t="shared" si="210"/>
        <v>No change</v>
      </c>
      <c r="AO728" s="93">
        <f>VLOOKUP(B728,'Growthrates source'!A$2:H$49,8,FALSE)</f>
        <v>6.763943333062894E-2</v>
      </c>
      <c r="AP728" s="93">
        <f>VLOOKUP(B728,'Growthrates source'!A$2:I$49,9,FALSE)</f>
        <v>0.1043111029271564</v>
      </c>
      <c r="AQ728" s="86">
        <f t="shared" si="211"/>
        <v>23.53080455325733</v>
      </c>
      <c r="AR728" s="86">
        <f t="shared" si="212"/>
        <v>45.125200968917582</v>
      </c>
      <c r="AS728" s="94">
        <f t="shared" si="213"/>
        <v>0</v>
      </c>
      <c r="AT728" s="94">
        <f t="shared" si="214"/>
        <v>0.13717532315700273</v>
      </c>
      <c r="AU728" s="94">
        <f t="shared" si="215"/>
        <v>0.12855410715763949</v>
      </c>
    </row>
    <row r="729" spans="1:47" x14ac:dyDescent="0.3">
      <c r="A729" s="85" t="str">
        <f>_xlfn.XLOOKUP(B729,'Country codes &amp; Data sources'!G:G,'Country codes &amp; Data sources'!H:H,,0)</f>
        <v>Namibia</v>
      </c>
      <c r="B729" s="85" t="s">
        <v>182</v>
      </c>
      <c r="C729" s="86">
        <v>2167477</v>
      </c>
      <c r="D729" s="85" t="s">
        <v>62</v>
      </c>
      <c r="E729" s="87">
        <v>0</v>
      </c>
      <c r="F729" s="88">
        <v>2204510.0000000005</v>
      </c>
      <c r="G729" s="87">
        <v>0</v>
      </c>
      <c r="I729" s="87">
        <v>0</v>
      </c>
      <c r="K729" s="87">
        <v>0</v>
      </c>
      <c r="M729" s="87">
        <v>0</v>
      </c>
      <c r="O729" s="87">
        <v>0</v>
      </c>
      <c r="P729" s="88">
        <v>2405680.5000000005</v>
      </c>
      <c r="Q729" s="87">
        <v>0</v>
      </c>
      <c r="R729" s="87">
        <f t="shared" si="198"/>
        <v>218</v>
      </c>
      <c r="T729" s="87">
        <v>0</v>
      </c>
      <c r="V729" s="87">
        <v>172</v>
      </c>
      <c r="X729" s="87">
        <v>0</v>
      </c>
      <c r="Y729" s="88">
        <v>2567012.4999999995</v>
      </c>
      <c r="Z729" s="87">
        <v>0</v>
      </c>
      <c r="AA729" s="87">
        <v>218</v>
      </c>
      <c r="AB729" s="89">
        <f t="shared" si="199"/>
        <v>0</v>
      </c>
      <c r="AC729" s="89">
        <f t="shared" si="200"/>
        <v>0</v>
      </c>
      <c r="AD729" s="89">
        <f t="shared" si="201"/>
        <v>172</v>
      </c>
      <c r="AE729" s="90">
        <f t="shared" si="202"/>
        <v>0</v>
      </c>
      <c r="AF729" s="90" t="str">
        <f t="shared" si="203"/>
        <v/>
      </c>
      <c r="AG729" s="90">
        <f t="shared" si="204"/>
        <v>218</v>
      </c>
      <c r="AH729" s="90" t="str">
        <f t="shared" si="205"/>
        <v>2018 (triag)</v>
      </c>
      <c r="AI729" s="90">
        <f t="shared" si="206"/>
        <v>172</v>
      </c>
      <c r="AJ729" s="90">
        <f t="shared" si="207"/>
        <v>2020</v>
      </c>
      <c r="AK729" s="90" t="str">
        <f t="shared" si="208"/>
        <v>Adjust</v>
      </c>
      <c r="AL729" s="91">
        <f>IF(AK729="Adjust",(_xlfn.XLOOKUP(A729,'Adj factor'!A:A,'Adj factor'!I:I,,0)*AI729),'Master DataSheet'!AI729)</f>
        <v>260.54243369734792</v>
      </c>
      <c r="AM729" s="60">
        <f>228+46+98</f>
        <v>372</v>
      </c>
      <c r="AN729" s="92" t="str">
        <f t="shared" si="210"/>
        <v>Increasing</v>
      </c>
      <c r="AO729" s="93">
        <f>VLOOKUP(B729,'Growthrates source'!A$2:H$49,8,FALSE)</f>
        <v>6.763943333062894E-2</v>
      </c>
      <c r="AP729" s="93">
        <f>VLOOKUP(B729,'Growthrates source'!A$2:I$49,9,FALSE)</f>
        <v>0.1043111029271564</v>
      </c>
      <c r="AQ729" s="86">
        <f t="shared" si="211"/>
        <v>155.44592098818478</v>
      </c>
      <c r="AR729" s="86">
        <f t="shared" si="212"/>
        <v>298.0998124613343</v>
      </c>
      <c r="AS729" s="94">
        <f t="shared" si="213"/>
        <v>0</v>
      </c>
      <c r="AT729" s="94">
        <f t="shared" si="214"/>
        <v>0.90618849843110905</v>
      </c>
      <c r="AU729" s="94">
        <f t="shared" si="215"/>
        <v>1.4491553897770271</v>
      </c>
    </row>
    <row r="730" spans="1:47" x14ac:dyDescent="0.3">
      <c r="A730" s="85" t="str">
        <f>_xlfn.XLOOKUP(B730,'Country codes &amp; Data sources'!G:G,'Country codes &amp; Data sources'!H:H,,0)</f>
        <v>Namibia</v>
      </c>
      <c r="B730" s="85" t="s">
        <v>182</v>
      </c>
      <c r="C730" s="86">
        <v>2167478</v>
      </c>
      <c r="D730" s="85" t="s">
        <v>203</v>
      </c>
      <c r="E730" s="87">
        <v>0</v>
      </c>
      <c r="F730" s="88">
        <v>2204510.0000000005</v>
      </c>
      <c r="G730" s="87">
        <v>0</v>
      </c>
      <c r="I730" s="87">
        <v>0</v>
      </c>
      <c r="K730" s="87">
        <v>0</v>
      </c>
      <c r="M730" s="87">
        <v>0</v>
      </c>
      <c r="O730" s="87">
        <v>0</v>
      </c>
      <c r="P730" s="88">
        <v>2405680.5000000005</v>
      </c>
      <c r="Q730" s="87">
        <v>0</v>
      </c>
      <c r="R730" s="87">
        <f t="shared" si="198"/>
        <v>0</v>
      </c>
      <c r="T730" s="87">
        <v>0</v>
      </c>
      <c r="V730" s="87">
        <v>0</v>
      </c>
      <c r="X730" s="87">
        <v>0</v>
      </c>
      <c r="Y730" s="88">
        <v>2567012.4999999995</v>
      </c>
      <c r="Z730" s="87">
        <v>889</v>
      </c>
      <c r="AA730" s="87">
        <v>0</v>
      </c>
      <c r="AB730" s="89">
        <f t="shared" si="199"/>
        <v>0</v>
      </c>
      <c r="AC730" s="89">
        <f t="shared" si="200"/>
        <v>0</v>
      </c>
      <c r="AD730" s="89">
        <f t="shared" si="201"/>
        <v>889</v>
      </c>
      <c r="AE730" s="90">
        <f t="shared" si="202"/>
        <v>0</v>
      </c>
      <c r="AF730" s="90" t="str">
        <f t="shared" si="203"/>
        <v/>
      </c>
      <c r="AG730" s="90">
        <f t="shared" si="204"/>
        <v>0</v>
      </c>
      <c r="AH730" s="90" t="str">
        <f t="shared" si="205"/>
        <v/>
      </c>
      <c r="AI730" s="90">
        <f t="shared" si="206"/>
        <v>889</v>
      </c>
      <c r="AJ730" s="90">
        <f t="shared" si="207"/>
        <v>2022</v>
      </c>
      <c r="AK730" s="90" t="str">
        <f t="shared" si="208"/>
        <v/>
      </c>
      <c r="AL730" s="91">
        <f>IF(AK730="Adjust",(_xlfn.XLOOKUP(A730,'Adj factor'!A:A,'Adj factor'!I:I,,0)*AI730),'Master DataSheet'!AI730)</f>
        <v>889</v>
      </c>
      <c r="AM730" s="91">
        <f t="shared" si="209"/>
        <v>889</v>
      </c>
      <c r="AN730" s="92" t="str">
        <f t="shared" si="210"/>
        <v>Increasing</v>
      </c>
      <c r="AO730" s="93">
        <f>VLOOKUP(B730,'Growthrates source'!A$2:H$49,8,FALSE)</f>
        <v>6.763943333062894E-2</v>
      </c>
      <c r="AP730" s="93">
        <f>VLOOKUP(B730,'Growthrates source'!A$2:I$49,9,FALSE)</f>
        <v>0.1043111029271564</v>
      </c>
      <c r="AQ730" s="86">
        <f t="shared" si="211"/>
        <v>0</v>
      </c>
      <c r="AR730" s="86">
        <f t="shared" si="212"/>
        <v>0</v>
      </c>
      <c r="AS730" s="94">
        <f t="shared" si="213"/>
        <v>0</v>
      </c>
      <c r="AT730" s="94">
        <f t="shared" si="214"/>
        <v>0</v>
      </c>
      <c r="AU730" s="94">
        <f t="shared" si="215"/>
        <v>3.4631697352467126</v>
      </c>
    </row>
    <row r="731" spans="1:47" x14ac:dyDescent="0.3">
      <c r="A731" s="85" t="str">
        <f>_xlfn.XLOOKUP(B731,'Country codes &amp; Data sources'!G:G,'Country codes &amp; Data sources'!H:H,,0)</f>
        <v>Namibia</v>
      </c>
      <c r="B731" s="85" t="s">
        <v>182</v>
      </c>
      <c r="C731" s="86">
        <v>2167479</v>
      </c>
      <c r="D731" s="85" t="s">
        <v>204</v>
      </c>
      <c r="E731" s="87">
        <v>0</v>
      </c>
      <c r="F731" s="88">
        <v>2204510.0000000005</v>
      </c>
      <c r="G731" s="87">
        <v>0</v>
      </c>
      <c r="I731" s="87">
        <v>0</v>
      </c>
      <c r="K731" s="87">
        <v>0</v>
      </c>
      <c r="M731" s="87">
        <v>0</v>
      </c>
      <c r="O731" s="87">
        <v>0</v>
      </c>
      <c r="P731" s="88">
        <v>2405680.5000000005</v>
      </c>
      <c r="Q731" s="87">
        <v>0</v>
      </c>
      <c r="R731" s="87">
        <f t="shared" si="198"/>
        <v>313</v>
      </c>
      <c r="T731" s="87">
        <v>0</v>
      </c>
      <c r="V731" s="87">
        <v>0</v>
      </c>
      <c r="X731" s="87">
        <v>0</v>
      </c>
      <c r="Y731" s="88">
        <v>2567012.4999999995</v>
      </c>
      <c r="Z731" s="87">
        <v>51</v>
      </c>
      <c r="AA731" s="87">
        <v>313</v>
      </c>
      <c r="AB731" s="89">
        <f t="shared" si="199"/>
        <v>0</v>
      </c>
      <c r="AC731" s="89">
        <f t="shared" si="200"/>
        <v>0</v>
      </c>
      <c r="AD731" s="89">
        <f t="shared" si="201"/>
        <v>51</v>
      </c>
      <c r="AE731" s="90">
        <f t="shared" si="202"/>
        <v>0</v>
      </c>
      <c r="AF731" s="90" t="str">
        <f t="shared" si="203"/>
        <v/>
      </c>
      <c r="AG731" s="90">
        <f t="shared" si="204"/>
        <v>313</v>
      </c>
      <c r="AH731" s="90" t="str">
        <f t="shared" si="205"/>
        <v>2018 (triag)</v>
      </c>
      <c r="AI731" s="90">
        <f t="shared" si="206"/>
        <v>51</v>
      </c>
      <c r="AJ731" s="90">
        <f t="shared" si="207"/>
        <v>2022</v>
      </c>
      <c r="AK731" s="90" t="str">
        <f t="shared" si="208"/>
        <v>Adjust</v>
      </c>
      <c r="AL731" s="91">
        <f>IF(AK731="Adjust",(_xlfn.XLOOKUP(A731,'Adj factor'!A:A,'Adj factor'!I:I,,0)*AI731),'Master DataSheet'!AI731)</f>
        <v>77.253861154446184</v>
      </c>
      <c r="AM731" s="91">
        <f t="shared" si="209"/>
        <v>313</v>
      </c>
      <c r="AN731" s="92" t="str">
        <f t="shared" si="210"/>
        <v>Decreasing</v>
      </c>
      <c r="AO731" s="93">
        <f>VLOOKUP(B731,'Growthrates source'!A$2:H$49,8,FALSE)</f>
        <v>6.763943333062894E-2</v>
      </c>
      <c r="AP731" s="93">
        <f>VLOOKUP(B731,'Growthrates source'!A$2:I$49,9,FALSE)</f>
        <v>0.1043111029271564</v>
      </c>
      <c r="AQ731" s="86">
        <f t="shared" si="211"/>
        <v>223.18611591422862</v>
      </c>
      <c r="AR731" s="86">
        <f t="shared" si="212"/>
        <v>428.00569403852131</v>
      </c>
      <c r="AS731" s="94">
        <f t="shared" si="213"/>
        <v>0</v>
      </c>
      <c r="AT731" s="94">
        <f t="shared" si="214"/>
        <v>1.3010871560042987</v>
      </c>
      <c r="AU731" s="94">
        <f t="shared" si="215"/>
        <v>1.2193162284951868</v>
      </c>
    </row>
    <row r="732" spans="1:47" x14ac:dyDescent="0.3">
      <c r="A732" s="85" t="str">
        <f>_xlfn.XLOOKUP(B732,'Country codes &amp; Data sources'!G:G,'Country codes &amp; Data sources'!H:H,,0)</f>
        <v>Namibia</v>
      </c>
      <c r="B732" s="85" t="s">
        <v>182</v>
      </c>
      <c r="C732" s="86">
        <v>2167480</v>
      </c>
      <c r="D732" s="85" t="s">
        <v>205</v>
      </c>
      <c r="E732" s="87">
        <v>0</v>
      </c>
      <c r="F732" s="88">
        <v>2204510.0000000005</v>
      </c>
      <c r="G732" s="87">
        <v>0</v>
      </c>
      <c r="I732" s="87">
        <v>0</v>
      </c>
      <c r="K732" s="87">
        <v>0</v>
      </c>
      <c r="M732" s="87">
        <v>0</v>
      </c>
      <c r="O732" s="87">
        <v>0</v>
      </c>
      <c r="P732" s="88">
        <v>2405680.5000000005</v>
      </c>
      <c r="Q732" s="87">
        <v>0</v>
      </c>
      <c r="R732" s="87">
        <f t="shared" si="198"/>
        <v>470</v>
      </c>
      <c r="T732" s="87">
        <v>137</v>
      </c>
      <c r="V732" s="87">
        <v>0</v>
      </c>
      <c r="X732" s="87">
        <v>0</v>
      </c>
      <c r="Y732" s="88">
        <v>2567012.4999999995</v>
      </c>
      <c r="Z732" s="87">
        <v>10</v>
      </c>
      <c r="AA732" s="87">
        <v>470</v>
      </c>
      <c r="AB732" s="89">
        <f t="shared" si="199"/>
        <v>0</v>
      </c>
      <c r="AC732" s="89">
        <f t="shared" si="200"/>
        <v>137</v>
      </c>
      <c r="AD732" s="89">
        <f t="shared" si="201"/>
        <v>10</v>
      </c>
      <c r="AE732" s="90">
        <f t="shared" si="202"/>
        <v>0</v>
      </c>
      <c r="AF732" s="90" t="str">
        <f t="shared" si="203"/>
        <v/>
      </c>
      <c r="AG732" s="90">
        <f t="shared" si="204"/>
        <v>470</v>
      </c>
      <c r="AH732" s="90" t="str">
        <f t="shared" si="205"/>
        <v>2018 (triag)</v>
      </c>
      <c r="AI732" s="90">
        <f t="shared" si="206"/>
        <v>10</v>
      </c>
      <c r="AJ732" s="90">
        <f t="shared" si="207"/>
        <v>2022</v>
      </c>
      <c r="AK732" s="90" t="str">
        <f t="shared" si="208"/>
        <v>Adjust</v>
      </c>
      <c r="AL732" s="91">
        <f>IF(AK732="Adjust",(_xlfn.XLOOKUP(A732,'Adj factor'!A:A,'Adj factor'!I:I,,0)*AI732),'Master DataSheet'!AI732)</f>
        <v>15.147815912636506</v>
      </c>
      <c r="AM732" s="91">
        <f t="shared" si="209"/>
        <v>470</v>
      </c>
      <c r="AN732" s="92" t="str">
        <f t="shared" si="210"/>
        <v>Decreasing</v>
      </c>
      <c r="AO732" s="93">
        <f>VLOOKUP(B732,'Growthrates source'!A$2:H$49,8,FALSE)</f>
        <v>6.763943333062894E-2</v>
      </c>
      <c r="AP732" s="93">
        <f>VLOOKUP(B732,'Growthrates source'!A$2:I$49,9,FALSE)</f>
        <v>0.1043111029271564</v>
      </c>
      <c r="AQ732" s="86">
        <f t="shared" si="211"/>
        <v>335.13570121305895</v>
      </c>
      <c r="AR732" s="86">
        <f t="shared" si="212"/>
        <v>642.69225622397767</v>
      </c>
      <c r="AS732" s="94">
        <f t="shared" si="213"/>
        <v>0</v>
      </c>
      <c r="AT732" s="94">
        <f t="shared" si="214"/>
        <v>1.9537091479936755</v>
      </c>
      <c r="AU732" s="94">
        <f t="shared" si="215"/>
        <v>1.8309221322451685</v>
      </c>
    </row>
    <row r="733" spans="1:47" ht="14.5" x14ac:dyDescent="0.35">
      <c r="A733" s="85" t="str">
        <f>_xlfn.XLOOKUP(B733,'Country codes &amp; Data sources'!G:G,'Country codes &amp; Data sources'!H:H,,0)</f>
        <v>Namibia</v>
      </c>
      <c r="B733" s="85" t="s">
        <v>182</v>
      </c>
      <c r="C733" s="86">
        <v>2167481</v>
      </c>
      <c r="D733" s="85" t="s">
        <v>133</v>
      </c>
      <c r="E733" s="87">
        <v>0</v>
      </c>
      <c r="F733" s="88">
        <v>2204510.0000000005</v>
      </c>
      <c r="G733" s="87">
        <v>0</v>
      </c>
      <c r="I733" s="87">
        <v>0</v>
      </c>
      <c r="K733" s="87">
        <v>0</v>
      </c>
      <c r="M733" s="87">
        <v>0</v>
      </c>
      <c r="O733" s="87">
        <v>0</v>
      </c>
      <c r="P733" s="88">
        <v>2405680.5000000005</v>
      </c>
      <c r="Q733" s="87">
        <v>0</v>
      </c>
      <c r="R733" s="87">
        <f t="shared" si="198"/>
        <v>1739</v>
      </c>
      <c r="T733" s="87">
        <v>503</v>
      </c>
      <c r="V733" s="87">
        <v>99</v>
      </c>
      <c r="X733" s="87">
        <v>0</v>
      </c>
      <c r="Y733" s="88">
        <v>2567012.4999999995</v>
      </c>
      <c r="Z733" s="111">
        <f>2+2+58+1+1</f>
        <v>64</v>
      </c>
      <c r="AA733" s="87">
        <v>1739</v>
      </c>
      <c r="AB733" s="89">
        <f t="shared" si="199"/>
        <v>0</v>
      </c>
      <c r="AC733" s="89">
        <f t="shared" si="200"/>
        <v>503</v>
      </c>
      <c r="AD733" s="89">
        <f t="shared" si="201"/>
        <v>99</v>
      </c>
      <c r="AE733" s="90">
        <f t="shared" si="202"/>
        <v>0</v>
      </c>
      <c r="AF733" s="90" t="str">
        <f t="shared" si="203"/>
        <v/>
      </c>
      <c r="AG733" s="90">
        <f t="shared" si="204"/>
        <v>1739</v>
      </c>
      <c r="AH733" s="90" t="str">
        <f t="shared" si="205"/>
        <v>2018 (triag)</v>
      </c>
      <c r="AI733" s="90">
        <f t="shared" si="206"/>
        <v>64</v>
      </c>
      <c r="AJ733" s="90">
        <f t="shared" si="207"/>
        <v>2022</v>
      </c>
      <c r="AK733" s="90" t="str">
        <f t="shared" si="208"/>
        <v>Adjust</v>
      </c>
      <c r="AL733" s="91">
        <f>IF(AK733="Adjust",(_xlfn.XLOOKUP(A733,'Adj factor'!A:A,'Adj factor'!I:I,,0)*AI733),'Master DataSheet'!AI733)</f>
        <v>96.946021840873641</v>
      </c>
      <c r="AM733" s="91">
        <f t="shared" si="209"/>
        <v>1739</v>
      </c>
      <c r="AN733" s="92" t="str">
        <f t="shared" si="210"/>
        <v>Decreasing</v>
      </c>
      <c r="AO733" s="93">
        <f>VLOOKUP(B733,'Growthrates source'!A$2:H$49,8,FALSE)</f>
        <v>6.763943333062894E-2</v>
      </c>
      <c r="AP733" s="93">
        <f>VLOOKUP(B733,'Growthrates source'!A$2:I$49,9,FALSE)</f>
        <v>0.1043111029271564</v>
      </c>
      <c r="AQ733" s="86">
        <f t="shared" si="211"/>
        <v>1240.0020944883181</v>
      </c>
      <c r="AR733" s="86">
        <f t="shared" si="212"/>
        <v>2377.9613480287176</v>
      </c>
      <c r="AS733" s="94">
        <f t="shared" si="213"/>
        <v>0</v>
      </c>
      <c r="AT733" s="94">
        <f t="shared" si="214"/>
        <v>7.2287238475765987</v>
      </c>
      <c r="AU733" s="94">
        <f t="shared" si="215"/>
        <v>6.7744118893071237</v>
      </c>
    </row>
    <row r="734" spans="1:47" x14ac:dyDescent="0.3">
      <c r="A734" s="85" t="str">
        <f>_xlfn.XLOOKUP(B734,'Country codes &amp; Data sources'!G:G,'Country codes &amp; Data sources'!H:H,,0)</f>
        <v>Namibia</v>
      </c>
      <c r="B734" s="85" t="s">
        <v>182</v>
      </c>
      <c r="C734" s="86">
        <v>2167482</v>
      </c>
      <c r="D734" s="85" t="s">
        <v>206</v>
      </c>
      <c r="E734" s="87">
        <v>0</v>
      </c>
      <c r="F734" s="88">
        <v>2204510.0000000005</v>
      </c>
      <c r="G734" s="87">
        <v>0</v>
      </c>
      <c r="I734" s="87">
        <v>0</v>
      </c>
      <c r="K734" s="87">
        <v>0</v>
      </c>
      <c r="M734" s="87">
        <v>0</v>
      </c>
      <c r="O734" s="87">
        <v>0</v>
      </c>
      <c r="P734" s="88">
        <v>2405680.5000000005</v>
      </c>
      <c r="Q734" s="87">
        <v>3</v>
      </c>
      <c r="R734" s="87">
        <f t="shared" si="198"/>
        <v>21</v>
      </c>
      <c r="T734" s="87">
        <v>3</v>
      </c>
      <c r="V734" s="87">
        <v>3</v>
      </c>
      <c r="X734" s="87">
        <v>3</v>
      </c>
      <c r="Y734" s="88">
        <v>2567012.4999999995</v>
      </c>
      <c r="Z734" s="87">
        <v>5</v>
      </c>
      <c r="AA734" s="87">
        <v>21</v>
      </c>
      <c r="AB734" s="89">
        <f t="shared" si="199"/>
        <v>0</v>
      </c>
      <c r="AC734" s="89">
        <f t="shared" si="200"/>
        <v>3</v>
      </c>
      <c r="AD734" s="89">
        <f t="shared" si="201"/>
        <v>5</v>
      </c>
      <c r="AE734" s="90">
        <f t="shared" si="202"/>
        <v>0</v>
      </c>
      <c r="AF734" s="90" t="str">
        <f t="shared" si="203"/>
        <v/>
      </c>
      <c r="AG734" s="90">
        <f t="shared" si="204"/>
        <v>21</v>
      </c>
      <c r="AH734" s="90" t="str">
        <f t="shared" si="205"/>
        <v>2018 (triag)</v>
      </c>
      <c r="AI734" s="90">
        <f t="shared" si="206"/>
        <v>5</v>
      </c>
      <c r="AJ734" s="90">
        <f t="shared" si="207"/>
        <v>2022</v>
      </c>
      <c r="AK734" s="90" t="str">
        <f t="shared" si="208"/>
        <v>Adjust</v>
      </c>
      <c r="AL734" s="91">
        <f>IF(AK734="Adjust",(_xlfn.XLOOKUP(A734,'Adj factor'!A:A,'Adj factor'!I:I,,0)*AI734),'Master DataSheet'!AI734)</f>
        <v>7.5739079563182532</v>
      </c>
      <c r="AM734" s="91">
        <f t="shared" si="209"/>
        <v>21</v>
      </c>
      <c r="AN734" s="92" t="str">
        <f t="shared" si="210"/>
        <v>Decreasing</v>
      </c>
      <c r="AO734" s="93">
        <f>VLOOKUP(B734,'Growthrates source'!A$2:H$49,8,FALSE)</f>
        <v>6.763943333062894E-2</v>
      </c>
      <c r="AP734" s="93">
        <f>VLOOKUP(B734,'Growthrates source'!A$2:I$49,9,FALSE)</f>
        <v>0.1043111029271564</v>
      </c>
      <c r="AQ734" s="86">
        <f t="shared" si="211"/>
        <v>14.974148352072847</v>
      </c>
      <c r="AR734" s="86">
        <f t="shared" si="212"/>
        <v>28.716036980220277</v>
      </c>
      <c r="AS734" s="94">
        <f t="shared" si="213"/>
        <v>0</v>
      </c>
      <c r="AT734" s="94">
        <f t="shared" si="214"/>
        <v>8.7293387463547201E-2</v>
      </c>
      <c r="AU734" s="94">
        <f t="shared" si="215"/>
        <v>8.1807159100316038E-2</v>
      </c>
    </row>
    <row r="735" spans="1:47" x14ac:dyDescent="0.3">
      <c r="A735" s="85" t="str">
        <f>_xlfn.XLOOKUP(B735,'Country codes &amp; Data sources'!G:G,'Country codes &amp; Data sources'!H:H,,0)</f>
        <v>Namibia</v>
      </c>
      <c r="B735" s="85" t="s">
        <v>182</v>
      </c>
      <c r="C735" s="86">
        <v>2167483</v>
      </c>
      <c r="D735" s="85" t="s">
        <v>136</v>
      </c>
      <c r="E735" s="87">
        <v>0</v>
      </c>
      <c r="F735" s="88">
        <v>2204510.0000000005</v>
      </c>
      <c r="G735" s="87">
        <v>0</v>
      </c>
      <c r="I735" s="87">
        <v>0</v>
      </c>
      <c r="K735" s="87">
        <v>0</v>
      </c>
      <c r="M735" s="87">
        <v>0</v>
      </c>
      <c r="O735" s="87">
        <v>0</v>
      </c>
      <c r="P735" s="88">
        <v>2405680.5000000005</v>
      </c>
      <c r="Q735" s="87">
        <v>0</v>
      </c>
      <c r="R735" s="87">
        <f t="shared" si="198"/>
        <v>303</v>
      </c>
      <c r="T735" s="87">
        <v>291</v>
      </c>
      <c r="V735" s="87">
        <v>0</v>
      </c>
      <c r="X735" s="87">
        <v>0</v>
      </c>
      <c r="Y735" s="88">
        <v>2567012.4999999995</v>
      </c>
      <c r="Z735" s="87">
        <v>289</v>
      </c>
      <c r="AA735" s="87">
        <v>303</v>
      </c>
      <c r="AB735" s="89">
        <f t="shared" si="199"/>
        <v>0</v>
      </c>
      <c r="AC735" s="89">
        <f t="shared" si="200"/>
        <v>291</v>
      </c>
      <c r="AD735" s="89">
        <f t="shared" si="201"/>
        <v>289</v>
      </c>
      <c r="AE735" s="90">
        <f t="shared" si="202"/>
        <v>0</v>
      </c>
      <c r="AF735" s="90" t="str">
        <f t="shared" si="203"/>
        <v/>
      </c>
      <c r="AG735" s="90">
        <f t="shared" si="204"/>
        <v>303</v>
      </c>
      <c r="AH735" s="90" t="str">
        <f t="shared" si="205"/>
        <v>2018 (triag)</v>
      </c>
      <c r="AI735" s="90">
        <f t="shared" si="206"/>
        <v>289</v>
      </c>
      <c r="AJ735" s="90">
        <f t="shared" si="207"/>
        <v>2022</v>
      </c>
      <c r="AK735" s="90" t="str">
        <f t="shared" si="208"/>
        <v>Adjust</v>
      </c>
      <c r="AL735" s="91">
        <f>IF(AK735="Adjust",(_xlfn.XLOOKUP(A735,'Adj factor'!A:A,'Adj factor'!I:I,,0)*AI735),'Master DataSheet'!AI735)</f>
        <v>437.77187987519505</v>
      </c>
      <c r="AM735" s="91">
        <f t="shared" si="209"/>
        <v>437.77187987519505</v>
      </c>
      <c r="AN735" s="92" t="str">
        <f t="shared" si="210"/>
        <v>Increasing</v>
      </c>
      <c r="AO735" s="93">
        <f>VLOOKUP(B735,'Growthrates source'!A$2:H$49,8,FALSE)</f>
        <v>6.763943333062894E-2</v>
      </c>
      <c r="AP735" s="93">
        <f>VLOOKUP(B735,'Growthrates source'!A$2:I$49,9,FALSE)</f>
        <v>0.1043111029271564</v>
      </c>
      <c r="AQ735" s="86">
        <f t="shared" si="211"/>
        <v>216.0555690799082</v>
      </c>
      <c r="AR735" s="86">
        <f t="shared" si="212"/>
        <v>414.33139071460687</v>
      </c>
      <c r="AS735" s="94">
        <f t="shared" si="213"/>
        <v>0</v>
      </c>
      <c r="AT735" s="94">
        <f t="shared" si="214"/>
        <v>1.2595188762597525</v>
      </c>
      <c r="AU735" s="94">
        <f t="shared" si="215"/>
        <v>1.7053749441235486</v>
      </c>
    </row>
    <row r="736" spans="1:47" x14ac:dyDescent="0.3">
      <c r="A736" s="85" t="str">
        <f>_xlfn.XLOOKUP(B736,'Country codes &amp; Data sources'!G:G,'Country codes &amp; Data sources'!H:H,,0)</f>
        <v>Namibia</v>
      </c>
      <c r="B736" s="85" t="s">
        <v>182</v>
      </c>
      <c r="C736" s="86">
        <v>2167484</v>
      </c>
      <c r="D736" s="85" t="s">
        <v>207</v>
      </c>
      <c r="E736" s="87">
        <v>0</v>
      </c>
      <c r="F736" s="88">
        <v>2204510.0000000005</v>
      </c>
      <c r="G736" s="87">
        <v>0</v>
      </c>
      <c r="I736" s="87">
        <v>0</v>
      </c>
      <c r="K736" s="87">
        <v>0</v>
      </c>
      <c r="M736" s="87">
        <v>0</v>
      </c>
      <c r="O736" s="87">
        <v>0</v>
      </c>
      <c r="P736" s="88">
        <v>2405680.5000000005</v>
      </c>
      <c r="Q736" s="87">
        <v>0</v>
      </c>
      <c r="R736" s="87">
        <f t="shared" si="198"/>
        <v>37</v>
      </c>
      <c r="T736" s="87">
        <v>0</v>
      </c>
      <c r="V736" s="87">
        <v>0</v>
      </c>
      <c r="X736" s="87">
        <v>0</v>
      </c>
      <c r="Y736" s="88">
        <v>2567012.4999999995</v>
      </c>
      <c r="Z736" s="87">
        <v>0</v>
      </c>
      <c r="AA736" s="87">
        <v>37</v>
      </c>
      <c r="AB736" s="89">
        <f t="shared" si="199"/>
        <v>0</v>
      </c>
      <c r="AC736" s="89">
        <f t="shared" si="200"/>
        <v>0</v>
      </c>
      <c r="AD736" s="89">
        <f t="shared" si="201"/>
        <v>0</v>
      </c>
      <c r="AE736" s="90">
        <f t="shared" si="202"/>
        <v>0</v>
      </c>
      <c r="AF736" s="90" t="str">
        <f t="shared" si="203"/>
        <v/>
      </c>
      <c r="AG736" s="90">
        <f t="shared" si="204"/>
        <v>37</v>
      </c>
      <c r="AH736" s="90" t="str">
        <f t="shared" si="205"/>
        <v>2018 (triag)</v>
      </c>
      <c r="AI736" s="90">
        <f t="shared" si="206"/>
        <v>37</v>
      </c>
      <c r="AJ736" s="90" t="str">
        <f t="shared" si="207"/>
        <v>2018 (triag)</v>
      </c>
      <c r="AK736" s="90" t="str">
        <f t="shared" si="208"/>
        <v/>
      </c>
      <c r="AL736" s="91">
        <f>IF(AK736="Adjust",(_xlfn.XLOOKUP(A736,'Adj factor'!A:A,'Adj factor'!I:I,,0)*AI736),'Master DataSheet'!AI736)</f>
        <v>37</v>
      </c>
      <c r="AM736" s="91">
        <f t="shared" si="209"/>
        <v>37</v>
      </c>
      <c r="AN736" s="92" t="str">
        <f t="shared" si="210"/>
        <v>No change</v>
      </c>
      <c r="AO736" s="93">
        <f>VLOOKUP(B736,'Growthrates source'!A$2:H$49,8,FALSE)</f>
        <v>6.763943333062894E-2</v>
      </c>
      <c r="AP736" s="93">
        <f>VLOOKUP(B736,'Growthrates source'!A$2:I$49,9,FALSE)</f>
        <v>0.1043111029271564</v>
      </c>
      <c r="AQ736" s="86">
        <f t="shared" si="211"/>
        <v>26.383023286985491</v>
      </c>
      <c r="AR736" s="86">
        <f t="shared" si="212"/>
        <v>50.594922298483347</v>
      </c>
      <c r="AS736" s="94">
        <f t="shared" si="213"/>
        <v>0</v>
      </c>
      <c r="AT736" s="94">
        <f t="shared" si="214"/>
        <v>0.15380263505482125</v>
      </c>
      <c r="AU736" s="94">
        <f t="shared" si="215"/>
        <v>0.14413642317674732</v>
      </c>
    </row>
    <row r="737" spans="1:47" x14ac:dyDescent="0.3">
      <c r="A737" s="85" t="str">
        <f>_xlfn.XLOOKUP(B737,'Country codes &amp; Data sources'!G:G,'Country codes &amp; Data sources'!H:H,,0)</f>
        <v>Namibia</v>
      </c>
      <c r="B737" s="85" t="s">
        <v>182</v>
      </c>
      <c r="C737" s="86">
        <v>2167485</v>
      </c>
      <c r="D737" s="85" t="s">
        <v>141</v>
      </c>
      <c r="E737" s="87">
        <v>0</v>
      </c>
      <c r="F737" s="88">
        <v>2204510.0000000005</v>
      </c>
      <c r="G737" s="87">
        <v>0</v>
      </c>
      <c r="I737" s="87">
        <v>0</v>
      </c>
      <c r="K737" s="87">
        <v>0</v>
      </c>
      <c r="M737" s="87">
        <v>0</v>
      </c>
      <c r="O737" s="87">
        <v>0</v>
      </c>
      <c r="P737" s="88">
        <v>2405680.5000000005</v>
      </c>
      <c r="Q737" s="87">
        <v>84</v>
      </c>
      <c r="R737" s="87">
        <f t="shared" si="198"/>
        <v>147</v>
      </c>
      <c r="T737" s="87">
        <v>99</v>
      </c>
      <c r="V737" s="87">
        <v>95</v>
      </c>
      <c r="X737" s="87">
        <v>99</v>
      </c>
      <c r="Y737" s="88">
        <v>2567012.4999999995</v>
      </c>
      <c r="Z737" s="87">
        <v>107</v>
      </c>
      <c r="AA737" s="87">
        <v>147</v>
      </c>
      <c r="AB737" s="89">
        <f t="shared" si="199"/>
        <v>0</v>
      </c>
      <c r="AC737" s="89">
        <f t="shared" si="200"/>
        <v>99</v>
      </c>
      <c r="AD737" s="89">
        <f t="shared" si="201"/>
        <v>107</v>
      </c>
      <c r="AE737" s="90">
        <f t="shared" si="202"/>
        <v>0</v>
      </c>
      <c r="AF737" s="90" t="str">
        <f t="shared" si="203"/>
        <v/>
      </c>
      <c r="AG737" s="90">
        <f t="shared" si="204"/>
        <v>147</v>
      </c>
      <c r="AH737" s="90" t="str">
        <f t="shared" si="205"/>
        <v>2018 (triag)</v>
      </c>
      <c r="AI737" s="90">
        <f t="shared" si="206"/>
        <v>107</v>
      </c>
      <c r="AJ737" s="90">
        <f t="shared" si="207"/>
        <v>2022</v>
      </c>
      <c r="AK737" s="90" t="str">
        <f t="shared" si="208"/>
        <v>Adjust</v>
      </c>
      <c r="AL737" s="91">
        <f>IF(AK737="Adjust",(_xlfn.XLOOKUP(A737,'Adj factor'!A:A,'Adj factor'!I:I,,0)*AI737),'Master DataSheet'!AI737)</f>
        <v>162.08163026521061</v>
      </c>
      <c r="AM737" s="91">
        <f t="shared" si="209"/>
        <v>162.08163026521061</v>
      </c>
      <c r="AN737" s="92" t="str">
        <f t="shared" si="210"/>
        <v>Increasing</v>
      </c>
      <c r="AO737" s="93">
        <f>VLOOKUP(B737,'Growthrates source'!A$2:H$49,8,FALSE)</f>
        <v>6.763943333062894E-2</v>
      </c>
      <c r="AP737" s="93">
        <f>VLOOKUP(B737,'Growthrates source'!A$2:I$49,9,FALSE)</f>
        <v>0.1043111029271564</v>
      </c>
      <c r="AQ737" s="86">
        <f t="shared" si="211"/>
        <v>104.81903846450993</v>
      </c>
      <c r="AR737" s="86">
        <f t="shared" si="212"/>
        <v>201.01225886154197</v>
      </c>
      <c r="AS737" s="94">
        <f t="shared" si="213"/>
        <v>0</v>
      </c>
      <c r="AT737" s="94">
        <f t="shared" si="214"/>
        <v>0.6110537122448304</v>
      </c>
      <c r="AU737" s="94">
        <f t="shared" si="215"/>
        <v>0.63140179592117551</v>
      </c>
    </row>
    <row r="738" spans="1:47" x14ac:dyDescent="0.3">
      <c r="A738" s="85" t="str">
        <f>_xlfn.XLOOKUP(B738,'Country codes &amp; Data sources'!G:G,'Country codes &amp; Data sources'!H:H,,0)</f>
        <v>Namibia</v>
      </c>
      <c r="B738" s="85" t="s">
        <v>182</v>
      </c>
      <c r="C738" s="86">
        <v>2167486</v>
      </c>
      <c r="D738" s="85" t="s">
        <v>208</v>
      </c>
      <c r="E738" s="87">
        <v>0</v>
      </c>
      <c r="F738" s="88">
        <v>2204510.0000000005</v>
      </c>
      <c r="G738" s="87">
        <v>0</v>
      </c>
      <c r="I738" s="87">
        <v>0</v>
      </c>
      <c r="K738" s="87">
        <v>0</v>
      </c>
      <c r="M738" s="87">
        <v>0</v>
      </c>
      <c r="O738" s="87">
        <v>0</v>
      </c>
      <c r="P738" s="88">
        <v>2405680.5000000005</v>
      </c>
      <c r="Q738" s="87">
        <v>0</v>
      </c>
      <c r="R738" s="87">
        <f t="shared" si="198"/>
        <v>2157</v>
      </c>
      <c r="T738" s="87">
        <v>0</v>
      </c>
      <c r="V738" s="87">
        <v>0</v>
      </c>
      <c r="X738" s="87">
        <v>0</v>
      </c>
      <c r="Y738" s="88">
        <v>2567012.4999999995</v>
      </c>
      <c r="Z738" s="87">
        <v>0</v>
      </c>
      <c r="AA738" s="87">
        <v>2157</v>
      </c>
      <c r="AB738" s="89">
        <f t="shared" si="199"/>
        <v>0</v>
      </c>
      <c r="AC738" s="89">
        <f t="shared" si="200"/>
        <v>0</v>
      </c>
      <c r="AD738" s="89">
        <f t="shared" si="201"/>
        <v>0</v>
      </c>
      <c r="AE738" s="90">
        <f t="shared" si="202"/>
        <v>0</v>
      </c>
      <c r="AF738" s="90" t="str">
        <f t="shared" si="203"/>
        <v/>
      </c>
      <c r="AG738" s="90">
        <f t="shared" si="204"/>
        <v>2157</v>
      </c>
      <c r="AH738" s="90" t="str">
        <f t="shared" si="205"/>
        <v>2018 (triag)</v>
      </c>
      <c r="AI738" s="90">
        <f t="shared" si="206"/>
        <v>2157</v>
      </c>
      <c r="AJ738" s="90" t="str">
        <f t="shared" si="207"/>
        <v>2018 (triag)</v>
      </c>
      <c r="AK738" s="90" t="str">
        <f t="shared" si="208"/>
        <v/>
      </c>
      <c r="AL738" s="91">
        <f>IF(AK738="Adjust",(_xlfn.XLOOKUP(A738,'Adj factor'!A:A,'Adj factor'!I:I,,0)*AI738),'Master DataSheet'!AI738)</f>
        <v>2157</v>
      </c>
      <c r="AM738" s="91">
        <f t="shared" si="209"/>
        <v>2157</v>
      </c>
      <c r="AN738" s="92" t="str">
        <f t="shared" si="210"/>
        <v>No change</v>
      </c>
      <c r="AO738" s="93">
        <f>VLOOKUP(B738,'Growthrates source'!A$2:H$49,8,FALSE)</f>
        <v>6.763943333062894E-2</v>
      </c>
      <c r="AP738" s="93">
        <f>VLOOKUP(B738,'Growthrates source'!A$2:I$49,9,FALSE)</f>
        <v>0.1043111029271564</v>
      </c>
      <c r="AQ738" s="86">
        <f t="shared" si="211"/>
        <v>1538.0589521629108</v>
      </c>
      <c r="AR738" s="86">
        <f t="shared" si="212"/>
        <v>2949.5472269683401</v>
      </c>
      <c r="AS738" s="94">
        <f t="shared" si="213"/>
        <v>0</v>
      </c>
      <c r="AT738" s="94">
        <f t="shared" si="214"/>
        <v>8.9662779408986335</v>
      </c>
      <c r="AU738" s="94">
        <f t="shared" si="215"/>
        <v>8.4027639133038914</v>
      </c>
    </row>
    <row r="739" spans="1:47" x14ac:dyDescent="0.3">
      <c r="A739" s="85" t="str">
        <f>_xlfn.XLOOKUP(B739,'Country codes &amp; Data sources'!G:G,'Country codes &amp; Data sources'!H:H,,0)</f>
        <v>Namibia</v>
      </c>
      <c r="B739" s="85" t="s">
        <v>182</v>
      </c>
      <c r="C739" s="86">
        <v>2167487</v>
      </c>
      <c r="D739" s="85" t="s">
        <v>209</v>
      </c>
      <c r="E739" s="87">
        <v>0</v>
      </c>
      <c r="F739" s="88">
        <v>2204510.0000000005</v>
      </c>
      <c r="G739" s="87">
        <v>0</v>
      </c>
      <c r="I739" s="87">
        <v>0</v>
      </c>
      <c r="K739" s="87">
        <v>0</v>
      </c>
      <c r="M739" s="87">
        <v>0</v>
      </c>
      <c r="O739" s="87">
        <v>0</v>
      </c>
      <c r="P739" s="88">
        <v>2405680.5000000005</v>
      </c>
      <c r="Q739" s="87">
        <v>0</v>
      </c>
      <c r="R739" s="87">
        <f t="shared" si="198"/>
        <v>0</v>
      </c>
      <c r="T739" s="87">
        <v>0</v>
      </c>
      <c r="V739" s="87">
        <v>0</v>
      </c>
      <c r="X739" s="87">
        <v>0</v>
      </c>
      <c r="Y739" s="88">
        <v>2567012.4999999995</v>
      </c>
      <c r="Z739" s="87">
        <v>0</v>
      </c>
      <c r="AA739" s="87">
        <v>0</v>
      </c>
      <c r="AB739" s="89">
        <f t="shared" si="199"/>
        <v>0</v>
      </c>
      <c r="AC739" s="89">
        <f t="shared" si="200"/>
        <v>0</v>
      </c>
      <c r="AD739" s="89">
        <f t="shared" si="201"/>
        <v>0</v>
      </c>
      <c r="AE739" s="90">
        <f t="shared" si="202"/>
        <v>0</v>
      </c>
      <c r="AF739" s="90" t="str">
        <f t="shared" si="203"/>
        <v/>
      </c>
      <c r="AG739" s="90">
        <f t="shared" si="204"/>
        <v>0</v>
      </c>
      <c r="AH739" s="90" t="str">
        <f t="shared" si="205"/>
        <v/>
      </c>
      <c r="AI739" s="90">
        <f t="shared" si="206"/>
        <v>0</v>
      </c>
      <c r="AJ739" s="90" t="str">
        <f t="shared" si="207"/>
        <v/>
      </c>
      <c r="AK739" s="90" t="str">
        <f t="shared" si="208"/>
        <v/>
      </c>
      <c r="AL739" s="91">
        <f>IF(AK739="Adjust",(_xlfn.XLOOKUP(A739,'Adj factor'!A:A,'Adj factor'!I:I,,0)*AI739),'Master DataSheet'!AI739)</f>
        <v>0</v>
      </c>
      <c r="AM739" s="91">
        <f t="shared" si="209"/>
        <v>0</v>
      </c>
      <c r="AN739" s="92" t="str">
        <f t="shared" si="210"/>
        <v>No change</v>
      </c>
      <c r="AO739" s="93">
        <f>VLOOKUP(B739,'Growthrates source'!A$2:H$49,8,FALSE)</f>
        <v>6.763943333062894E-2</v>
      </c>
      <c r="AP739" s="93">
        <f>VLOOKUP(B739,'Growthrates source'!A$2:I$49,9,FALSE)</f>
        <v>0.1043111029271564</v>
      </c>
      <c r="AQ739" s="86">
        <f t="shared" si="211"/>
        <v>0</v>
      </c>
      <c r="AR739" s="86">
        <f t="shared" si="212"/>
        <v>0</v>
      </c>
      <c r="AS739" s="94">
        <f t="shared" si="213"/>
        <v>0</v>
      </c>
      <c r="AT739" s="94">
        <f t="shared" si="214"/>
        <v>0</v>
      </c>
      <c r="AU739" s="94">
        <f t="shared" si="215"/>
        <v>0</v>
      </c>
    </row>
    <row r="740" spans="1:47" x14ac:dyDescent="0.3">
      <c r="A740" s="85" t="str">
        <f>_xlfn.XLOOKUP(B740,'Country codes &amp; Data sources'!G:G,'Country codes &amp; Data sources'!H:H,,0)</f>
        <v>Namibia</v>
      </c>
      <c r="B740" s="85" t="s">
        <v>182</v>
      </c>
      <c r="C740" s="86">
        <v>2167488</v>
      </c>
      <c r="D740" s="85" t="s">
        <v>134</v>
      </c>
      <c r="E740" s="87">
        <v>0</v>
      </c>
      <c r="F740" s="88">
        <v>2204510.0000000005</v>
      </c>
      <c r="G740" s="87">
        <v>0</v>
      </c>
      <c r="I740" s="87">
        <v>0</v>
      </c>
      <c r="K740" s="87">
        <v>0</v>
      </c>
      <c r="M740" s="87">
        <v>0</v>
      </c>
      <c r="O740" s="87">
        <v>0</v>
      </c>
      <c r="P740" s="88">
        <v>2405680.5000000005</v>
      </c>
      <c r="Q740" s="87">
        <v>140</v>
      </c>
      <c r="R740" s="87">
        <f t="shared" si="198"/>
        <v>510</v>
      </c>
      <c r="T740" s="87">
        <v>0</v>
      </c>
      <c r="V740" s="87">
        <v>99</v>
      </c>
      <c r="X740" s="87">
        <v>99</v>
      </c>
      <c r="Y740" s="88">
        <v>2567012.4999999995</v>
      </c>
      <c r="Z740" s="87">
        <v>1065</v>
      </c>
      <c r="AA740" s="87">
        <v>510</v>
      </c>
      <c r="AB740" s="89">
        <f t="shared" si="199"/>
        <v>0</v>
      </c>
      <c r="AC740" s="89">
        <f t="shared" si="200"/>
        <v>140</v>
      </c>
      <c r="AD740" s="89">
        <f t="shared" si="201"/>
        <v>1065</v>
      </c>
      <c r="AE740" s="90">
        <f t="shared" si="202"/>
        <v>0</v>
      </c>
      <c r="AF740" s="90" t="str">
        <f t="shared" si="203"/>
        <v/>
      </c>
      <c r="AG740" s="90">
        <f t="shared" si="204"/>
        <v>510</v>
      </c>
      <c r="AH740" s="90" t="str">
        <f t="shared" si="205"/>
        <v>2018 (triag)</v>
      </c>
      <c r="AI740" s="90">
        <f t="shared" si="206"/>
        <v>1065</v>
      </c>
      <c r="AJ740" s="90">
        <f t="shared" si="207"/>
        <v>2022</v>
      </c>
      <c r="AK740" s="90" t="str">
        <f t="shared" si="208"/>
        <v/>
      </c>
      <c r="AL740" s="91">
        <f>IF(AK740="Adjust",(_xlfn.XLOOKUP(A740,'Adj factor'!A:A,'Adj factor'!I:I,,0)*AI740),'Master DataSheet'!AI740)</f>
        <v>1065</v>
      </c>
      <c r="AM740" s="91">
        <f t="shared" si="209"/>
        <v>1065</v>
      </c>
      <c r="AN740" s="92" t="str">
        <f t="shared" si="210"/>
        <v>Increasing</v>
      </c>
      <c r="AO740" s="93">
        <f>VLOOKUP(B740,'Growthrates source'!A$2:H$49,8,FALSE)</f>
        <v>6.763943333062894E-2</v>
      </c>
      <c r="AP740" s="93">
        <f>VLOOKUP(B740,'Growthrates source'!A$2:I$49,9,FALSE)</f>
        <v>0.1043111029271564</v>
      </c>
      <c r="AQ740" s="86">
        <f t="shared" si="211"/>
        <v>363.65788855034054</v>
      </c>
      <c r="AR740" s="86">
        <f t="shared" si="212"/>
        <v>697.38946951963533</v>
      </c>
      <c r="AS740" s="94">
        <f t="shared" si="213"/>
        <v>0</v>
      </c>
      <c r="AT740" s="94">
        <f t="shared" si="214"/>
        <v>2.1199822669718604</v>
      </c>
      <c r="AU740" s="94">
        <f t="shared" si="215"/>
        <v>4.1487916400874569</v>
      </c>
    </row>
    <row r="741" spans="1:47" x14ac:dyDescent="0.3">
      <c r="A741" s="85" t="str">
        <f>_xlfn.XLOOKUP(B741,'Country codes &amp; Data sources'!G:G,'Country codes &amp; Data sources'!H:H,,0)</f>
        <v>Namibia</v>
      </c>
      <c r="B741" s="85" t="s">
        <v>182</v>
      </c>
      <c r="C741" s="86">
        <v>2167489</v>
      </c>
      <c r="D741" s="85" t="s">
        <v>142</v>
      </c>
      <c r="E741" s="87">
        <v>0</v>
      </c>
      <c r="F741" s="88">
        <v>2204510.0000000005</v>
      </c>
      <c r="G741" s="87">
        <v>0</v>
      </c>
      <c r="I741" s="87">
        <v>0</v>
      </c>
      <c r="K741" s="87">
        <v>0</v>
      </c>
      <c r="M741" s="87">
        <v>0</v>
      </c>
      <c r="O741" s="87">
        <v>0</v>
      </c>
      <c r="P741" s="88">
        <v>2405680.5000000005</v>
      </c>
      <c r="Q741" s="87">
        <v>52</v>
      </c>
      <c r="R741" s="87">
        <f t="shared" si="198"/>
        <v>1053</v>
      </c>
      <c r="T741" s="87">
        <v>53</v>
      </c>
      <c r="V741" s="87">
        <v>54</v>
      </c>
      <c r="X741" s="87">
        <v>63</v>
      </c>
      <c r="Y741" s="88">
        <v>2567012.4999999995</v>
      </c>
      <c r="Z741" s="87">
        <v>82</v>
      </c>
      <c r="AA741" s="87">
        <v>1053</v>
      </c>
      <c r="AB741" s="89">
        <f t="shared" si="199"/>
        <v>0</v>
      </c>
      <c r="AC741" s="89">
        <f t="shared" si="200"/>
        <v>53</v>
      </c>
      <c r="AD741" s="89">
        <f t="shared" si="201"/>
        <v>82</v>
      </c>
      <c r="AE741" s="90">
        <f t="shared" si="202"/>
        <v>0</v>
      </c>
      <c r="AF741" s="90" t="str">
        <f t="shared" si="203"/>
        <v/>
      </c>
      <c r="AG741" s="90">
        <f t="shared" si="204"/>
        <v>1053</v>
      </c>
      <c r="AH741" s="90" t="str">
        <f t="shared" si="205"/>
        <v>2018 (triag)</v>
      </c>
      <c r="AI741" s="90">
        <f t="shared" si="206"/>
        <v>82</v>
      </c>
      <c r="AJ741" s="90">
        <f t="shared" si="207"/>
        <v>2022</v>
      </c>
      <c r="AK741" s="90" t="str">
        <f t="shared" si="208"/>
        <v>Adjust</v>
      </c>
      <c r="AL741" s="91">
        <f>IF(AK741="Adjust",(_xlfn.XLOOKUP(A741,'Adj factor'!A:A,'Adj factor'!I:I,,0)*AI741),'Master DataSheet'!AI741)</f>
        <v>124.21209048361935</v>
      </c>
      <c r="AM741" s="91">
        <f t="shared" si="209"/>
        <v>1053</v>
      </c>
      <c r="AN741" s="92" t="str">
        <f t="shared" si="210"/>
        <v>Decreasing</v>
      </c>
      <c r="AO741" s="93">
        <f>VLOOKUP(B741,'Growthrates source'!A$2:H$49,8,FALSE)</f>
        <v>6.763943333062894E-2</v>
      </c>
      <c r="AP741" s="93">
        <f>VLOOKUP(B741,'Growthrates source'!A$2:I$49,9,FALSE)</f>
        <v>0.1043111029271564</v>
      </c>
      <c r="AQ741" s="86">
        <f t="shared" si="211"/>
        <v>750.84658165393842</v>
      </c>
      <c r="AR741" s="86">
        <f t="shared" si="212"/>
        <v>1439.9041400081883</v>
      </c>
      <c r="AS741" s="94">
        <f t="shared" si="213"/>
        <v>0</v>
      </c>
      <c r="AT741" s="94">
        <f t="shared" si="214"/>
        <v>4.3771398571007243</v>
      </c>
      <c r="AU741" s="94">
        <f t="shared" si="215"/>
        <v>4.102044692030133</v>
      </c>
    </row>
    <row r="742" spans="1:47" ht="14.5" x14ac:dyDescent="0.35">
      <c r="A742" s="85" t="str">
        <f>_xlfn.XLOOKUP(B742,'Country codes &amp; Data sources'!G:G,'Country codes &amp; Data sources'!H:H,,0)</f>
        <v>Namibia</v>
      </c>
      <c r="B742" s="85" t="s">
        <v>182</v>
      </c>
      <c r="C742" s="86">
        <v>2167490</v>
      </c>
      <c r="D742" s="85" t="s">
        <v>83</v>
      </c>
      <c r="E742" s="87">
        <v>0</v>
      </c>
      <c r="F742" s="88">
        <v>2204510.0000000005</v>
      </c>
      <c r="G742" s="87">
        <v>0</v>
      </c>
      <c r="I742" s="87">
        <v>0</v>
      </c>
      <c r="K742" s="87">
        <v>0</v>
      </c>
      <c r="M742" s="87">
        <v>0</v>
      </c>
      <c r="O742" s="87">
        <v>0</v>
      </c>
      <c r="P742" s="88">
        <v>2405680.5000000005</v>
      </c>
      <c r="Q742" s="87">
        <v>118</v>
      </c>
      <c r="R742" s="87">
        <f t="shared" si="198"/>
        <v>233</v>
      </c>
      <c r="T742" s="87">
        <v>123</v>
      </c>
      <c r="V742" s="87">
        <v>134</v>
      </c>
      <c r="X742" s="87">
        <v>140</v>
      </c>
      <c r="Y742" s="88">
        <v>2567012.4999999995</v>
      </c>
      <c r="Z742" s="111">
        <v>155</v>
      </c>
      <c r="AA742" s="87">
        <v>233</v>
      </c>
      <c r="AB742" s="89">
        <f t="shared" si="199"/>
        <v>0</v>
      </c>
      <c r="AC742" s="89">
        <f t="shared" si="200"/>
        <v>123</v>
      </c>
      <c r="AD742" s="89">
        <f t="shared" si="201"/>
        <v>155</v>
      </c>
      <c r="AE742" s="90">
        <f t="shared" si="202"/>
        <v>0</v>
      </c>
      <c r="AF742" s="90" t="str">
        <f t="shared" si="203"/>
        <v/>
      </c>
      <c r="AG742" s="90">
        <f t="shared" si="204"/>
        <v>233</v>
      </c>
      <c r="AH742" s="90" t="str">
        <f t="shared" si="205"/>
        <v>2018 (triag)</v>
      </c>
      <c r="AI742" s="90">
        <f t="shared" si="206"/>
        <v>155</v>
      </c>
      <c r="AJ742" s="90">
        <f t="shared" si="207"/>
        <v>2022</v>
      </c>
      <c r="AK742" s="90" t="str">
        <f t="shared" si="208"/>
        <v>Adjust</v>
      </c>
      <c r="AL742" s="91">
        <f>IF(AK742="Adjust",(_xlfn.XLOOKUP(A742,'Adj factor'!A:A,'Adj factor'!I:I,,0)*AI742),'Master DataSheet'!AI742)</f>
        <v>234.79114664586584</v>
      </c>
      <c r="AM742" s="91">
        <f t="shared" si="209"/>
        <v>234.79114664586584</v>
      </c>
      <c r="AN742" s="92" t="str">
        <f t="shared" si="210"/>
        <v>Increasing</v>
      </c>
      <c r="AO742" s="93">
        <f>VLOOKUP(B742,'Growthrates source'!A$2:H$49,8,FALSE)</f>
        <v>6.763943333062894E-2</v>
      </c>
      <c r="AP742" s="93">
        <f>VLOOKUP(B742,'Growthrates source'!A$2:I$49,9,FALSE)</f>
        <v>0.1043111029271564</v>
      </c>
      <c r="AQ742" s="86">
        <f t="shared" si="211"/>
        <v>166.14174123966538</v>
      </c>
      <c r="AR742" s="86">
        <f t="shared" si="212"/>
        <v>318.61126744720593</v>
      </c>
      <c r="AS742" s="94">
        <f t="shared" si="213"/>
        <v>0</v>
      </c>
      <c r="AT742" s="94">
        <f t="shared" si="214"/>
        <v>0.96854091804792841</v>
      </c>
      <c r="AU742" s="94">
        <f t="shared" si="215"/>
        <v>0.91464746138114195</v>
      </c>
    </row>
    <row r="743" spans="1:47" x14ac:dyDescent="0.3">
      <c r="A743" s="85" t="str">
        <f>_xlfn.XLOOKUP(B743,'Country codes &amp; Data sources'!G:G,'Country codes &amp; Data sources'!H:H,,0)</f>
        <v>Namibia</v>
      </c>
      <c r="B743" s="85" t="s">
        <v>182</v>
      </c>
      <c r="C743" s="86">
        <v>2167491</v>
      </c>
      <c r="D743" s="85" t="s">
        <v>84</v>
      </c>
      <c r="E743" s="87">
        <v>0</v>
      </c>
      <c r="F743" s="88">
        <v>2204510.0000000005</v>
      </c>
      <c r="G743" s="87">
        <v>0</v>
      </c>
      <c r="I743" s="87">
        <v>0</v>
      </c>
      <c r="K743" s="87">
        <v>0</v>
      </c>
      <c r="M743" s="87">
        <v>0</v>
      </c>
      <c r="O743" s="87">
        <v>0</v>
      </c>
      <c r="P743" s="88">
        <v>2405680.5000000005</v>
      </c>
      <c r="Q743" s="87">
        <v>0</v>
      </c>
      <c r="R743" s="87">
        <f t="shared" si="198"/>
        <v>509</v>
      </c>
      <c r="T743" s="87">
        <v>0</v>
      </c>
      <c r="V743" s="87">
        <v>0</v>
      </c>
      <c r="X743" s="87">
        <v>0</v>
      </c>
      <c r="Y743" s="88">
        <v>2567012.4999999995</v>
      </c>
      <c r="Z743" s="87">
        <v>0</v>
      </c>
      <c r="AA743" s="87">
        <v>509</v>
      </c>
      <c r="AB743" s="89">
        <f t="shared" si="199"/>
        <v>0</v>
      </c>
      <c r="AC743" s="89">
        <f t="shared" si="200"/>
        <v>0</v>
      </c>
      <c r="AD743" s="89">
        <f t="shared" si="201"/>
        <v>0</v>
      </c>
      <c r="AE743" s="90">
        <f t="shared" si="202"/>
        <v>0</v>
      </c>
      <c r="AF743" s="90" t="str">
        <f t="shared" si="203"/>
        <v/>
      </c>
      <c r="AG743" s="90">
        <f t="shared" si="204"/>
        <v>509</v>
      </c>
      <c r="AH743" s="90" t="str">
        <f t="shared" si="205"/>
        <v>2018 (triag)</v>
      </c>
      <c r="AI743" s="90">
        <f t="shared" si="206"/>
        <v>509</v>
      </c>
      <c r="AJ743" s="90" t="str">
        <f t="shared" si="207"/>
        <v>2018 (triag)</v>
      </c>
      <c r="AK743" s="90" t="str">
        <f t="shared" si="208"/>
        <v/>
      </c>
      <c r="AL743" s="91">
        <f>IF(AK743="Adjust",(_xlfn.XLOOKUP(A743,'Adj factor'!A:A,'Adj factor'!I:I,,0)*AI743),'Master DataSheet'!AI743)</f>
        <v>509</v>
      </c>
      <c r="AM743" s="60">
        <f>507+3</f>
        <v>510</v>
      </c>
      <c r="AN743" s="92" t="str">
        <f t="shared" si="210"/>
        <v>No change</v>
      </c>
      <c r="AO743" s="93">
        <f>VLOOKUP(B743,'Growthrates source'!A$2:H$49,8,FALSE)</f>
        <v>6.763943333062894E-2</v>
      </c>
      <c r="AP743" s="93">
        <f>VLOOKUP(B743,'Growthrates source'!A$2:I$49,9,FALSE)</f>
        <v>0.1043111029271564</v>
      </c>
      <c r="AQ743" s="86">
        <f t="shared" si="211"/>
        <v>362.94483386690854</v>
      </c>
      <c r="AR743" s="86">
        <f t="shared" si="212"/>
        <v>696.02203918724388</v>
      </c>
      <c r="AS743" s="94">
        <f t="shared" si="213"/>
        <v>0</v>
      </c>
      <c r="AT743" s="94">
        <f t="shared" si="214"/>
        <v>2.115825438997406</v>
      </c>
      <c r="AU743" s="94">
        <f t="shared" si="215"/>
        <v>1.9867452924362468</v>
      </c>
    </row>
    <row r="744" spans="1:47" ht="14.5" x14ac:dyDescent="0.35">
      <c r="A744" s="85" t="str">
        <f>_xlfn.XLOOKUP(B744,'Country codes &amp; Data sources'!G:G,'Country codes &amp; Data sources'!H:H,,0)</f>
        <v>Namibia</v>
      </c>
      <c r="B744" s="85" t="s">
        <v>182</v>
      </c>
      <c r="C744" s="86">
        <v>2167492</v>
      </c>
      <c r="D744" s="85" t="s">
        <v>126</v>
      </c>
      <c r="E744" s="87">
        <v>0</v>
      </c>
      <c r="F744" s="88">
        <v>2204510.0000000005</v>
      </c>
      <c r="G744" s="87">
        <v>0</v>
      </c>
      <c r="I744" s="87">
        <v>0</v>
      </c>
      <c r="K744" s="87">
        <v>0</v>
      </c>
      <c r="M744" s="87">
        <v>0</v>
      </c>
      <c r="O744" s="87">
        <v>0</v>
      </c>
      <c r="P744" s="88">
        <v>2405680.5000000005</v>
      </c>
      <c r="Q744" s="87">
        <v>0</v>
      </c>
      <c r="R744" s="87">
        <f t="shared" si="198"/>
        <v>0</v>
      </c>
      <c r="T744" s="87">
        <v>0</v>
      </c>
      <c r="V744" s="87">
        <v>0</v>
      </c>
      <c r="X744" s="87">
        <v>0</v>
      </c>
      <c r="Y744" s="88">
        <v>2567012.4999999995</v>
      </c>
      <c r="Z744" s="111">
        <f>3+12+7+7</f>
        <v>29</v>
      </c>
      <c r="AA744" s="87">
        <v>0</v>
      </c>
      <c r="AB744" s="89">
        <f t="shared" si="199"/>
        <v>0</v>
      </c>
      <c r="AC744" s="89">
        <f t="shared" si="200"/>
        <v>0</v>
      </c>
      <c r="AD744" s="89">
        <f t="shared" si="201"/>
        <v>29</v>
      </c>
      <c r="AE744" s="90">
        <f t="shared" si="202"/>
        <v>0</v>
      </c>
      <c r="AF744" s="90" t="str">
        <f t="shared" si="203"/>
        <v/>
      </c>
      <c r="AG744" s="90">
        <f t="shared" si="204"/>
        <v>0</v>
      </c>
      <c r="AH744" s="90" t="str">
        <f t="shared" si="205"/>
        <v/>
      </c>
      <c r="AI744" s="90">
        <f t="shared" si="206"/>
        <v>29</v>
      </c>
      <c r="AJ744" s="90">
        <f t="shared" si="207"/>
        <v>2022</v>
      </c>
      <c r="AK744" s="90" t="str">
        <f t="shared" si="208"/>
        <v/>
      </c>
      <c r="AL744" s="91">
        <f>IF(AK744="Adjust",(_xlfn.XLOOKUP(A744,'Adj factor'!A:A,'Adj factor'!I:I,,0)*AI744),'Master DataSheet'!AI744)</f>
        <v>29</v>
      </c>
      <c r="AM744" s="60">
        <f>3+12+7+7</f>
        <v>29</v>
      </c>
      <c r="AN744" s="92" t="str">
        <f t="shared" si="210"/>
        <v>Increasing</v>
      </c>
      <c r="AO744" s="93">
        <f>VLOOKUP(B744,'Growthrates source'!A$2:H$49,8,FALSE)</f>
        <v>6.763943333062894E-2</v>
      </c>
      <c r="AP744" s="93">
        <f>VLOOKUP(B744,'Growthrates source'!A$2:I$49,9,FALSE)</f>
        <v>0.1043111029271564</v>
      </c>
      <c r="AQ744" s="86">
        <f t="shared" si="211"/>
        <v>0</v>
      </c>
      <c r="AR744" s="86">
        <f t="shared" si="212"/>
        <v>0</v>
      </c>
      <c r="AS744" s="94">
        <f t="shared" si="213"/>
        <v>0</v>
      </c>
      <c r="AT744" s="94">
        <f t="shared" si="214"/>
        <v>0</v>
      </c>
      <c r="AU744" s="94">
        <f t="shared" si="215"/>
        <v>0.11297179113853167</v>
      </c>
    </row>
    <row r="745" spans="1:47" x14ac:dyDescent="0.3">
      <c r="A745" s="85" t="str">
        <f>_xlfn.XLOOKUP(B745,'Country codes &amp; Data sources'!G:G,'Country codes &amp; Data sources'!H:H,,0)</f>
        <v>Namibia</v>
      </c>
      <c r="B745" s="85" t="s">
        <v>182</v>
      </c>
      <c r="C745" s="86">
        <v>2167493</v>
      </c>
      <c r="D745" s="85" t="s">
        <v>87</v>
      </c>
      <c r="E745" s="87">
        <v>0</v>
      </c>
      <c r="F745" s="88">
        <v>2204510.0000000005</v>
      </c>
      <c r="G745" s="87">
        <v>0</v>
      </c>
      <c r="I745" s="87">
        <v>0</v>
      </c>
      <c r="K745" s="87">
        <v>0</v>
      </c>
      <c r="M745" s="87">
        <v>0</v>
      </c>
      <c r="O745" s="87">
        <v>0</v>
      </c>
      <c r="P745" s="88">
        <v>2405680.5000000005</v>
      </c>
      <c r="Q745" s="87">
        <v>0</v>
      </c>
      <c r="R745" s="87">
        <f t="shared" si="198"/>
        <v>8</v>
      </c>
      <c r="T745" s="87">
        <v>0</v>
      </c>
      <c r="V745" s="87">
        <v>0</v>
      </c>
      <c r="X745" s="87">
        <v>0</v>
      </c>
      <c r="Y745" s="88">
        <v>2567012.4999999995</v>
      </c>
      <c r="Z745" s="87">
        <v>0</v>
      </c>
      <c r="AA745" s="87">
        <v>8</v>
      </c>
      <c r="AB745" s="89">
        <f t="shared" si="199"/>
        <v>0</v>
      </c>
      <c r="AC745" s="89">
        <f t="shared" si="200"/>
        <v>0</v>
      </c>
      <c r="AD745" s="89">
        <f t="shared" si="201"/>
        <v>0</v>
      </c>
      <c r="AE745" s="90">
        <f t="shared" si="202"/>
        <v>0</v>
      </c>
      <c r="AF745" s="90" t="str">
        <f t="shared" si="203"/>
        <v/>
      </c>
      <c r="AG745" s="90">
        <f t="shared" si="204"/>
        <v>8</v>
      </c>
      <c r="AH745" s="90" t="str">
        <f t="shared" si="205"/>
        <v>2018 (triag)</v>
      </c>
      <c r="AI745" s="90">
        <f t="shared" si="206"/>
        <v>8</v>
      </c>
      <c r="AJ745" s="90" t="str">
        <f t="shared" si="207"/>
        <v>2018 (triag)</v>
      </c>
      <c r="AK745" s="90" t="str">
        <f t="shared" si="208"/>
        <v/>
      </c>
      <c r="AL745" s="91">
        <f>IF(AK745="Adjust",(_xlfn.XLOOKUP(A745,'Adj factor'!A:A,'Adj factor'!I:I,,0)*AI745),'Master DataSheet'!AI745)</f>
        <v>8</v>
      </c>
      <c r="AM745" s="91">
        <f t="shared" si="209"/>
        <v>8</v>
      </c>
      <c r="AN745" s="92" t="str">
        <f t="shared" si="210"/>
        <v>No change</v>
      </c>
      <c r="AO745" s="93">
        <f>VLOOKUP(B745,'Growthrates source'!A$2:H$49,8,FALSE)</f>
        <v>6.763943333062894E-2</v>
      </c>
      <c r="AP745" s="93">
        <f>VLOOKUP(B745,'Growthrates source'!A$2:I$49,9,FALSE)</f>
        <v>0.1043111029271564</v>
      </c>
      <c r="AQ745" s="86">
        <f t="shared" si="211"/>
        <v>5.7044374674563221</v>
      </c>
      <c r="AR745" s="86">
        <f t="shared" si="212"/>
        <v>10.939442659131535</v>
      </c>
      <c r="AS745" s="94">
        <f t="shared" si="213"/>
        <v>0</v>
      </c>
      <c r="AT745" s="94">
        <f t="shared" si="214"/>
        <v>3.3254623795637026E-2</v>
      </c>
      <c r="AU745" s="94">
        <f t="shared" si="215"/>
        <v>3.1164632038215637E-2</v>
      </c>
    </row>
    <row r="746" spans="1:47" x14ac:dyDescent="0.3">
      <c r="A746" s="85" t="str">
        <f>_xlfn.XLOOKUP(B746,'Country codes &amp; Data sources'!G:G,'Country codes &amp; Data sources'!H:H,,0)</f>
        <v>Niger</v>
      </c>
      <c r="B746" s="85" t="s">
        <v>190</v>
      </c>
      <c r="C746" s="86">
        <v>17954407.000000004</v>
      </c>
      <c r="D746" s="85" t="s">
        <v>321</v>
      </c>
      <c r="E746" s="87">
        <v>1904</v>
      </c>
      <c r="F746" s="88">
        <v>18653199</v>
      </c>
      <c r="G746" s="87">
        <v>1892</v>
      </c>
      <c r="H746" s="87">
        <v>19372013.999999993</v>
      </c>
      <c r="I746" s="87">
        <v>1119</v>
      </c>
      <c r="J746" s="87">
        <v>20128123.999999989</v>
      </c>
      <c r="K746" s="87">
        <v>1268</v>
      </c>
      <c r="L746" s="87">
        <v>20921743.000000011</v>
      </c>
      <c r="M746" s="87">
        <v>1362</v>
      </c>
      <c r="N746" s="87">
        <v>21737922.000000011</v>
      </c>
      <c r="O746" s="87">
        <v>950</v>
      </c>
      <c r="P746" s="88">
        <v>22577057.999999996</v>
      </c>
      <c r="Q746" s="87">
        <v>1745</v>
      </c>
      <c r="R746" s="87">
        <f t="shared" si="198"/>
        <v>1745</v>
      </c>
      <c r="S746" s="87">
        <v>23443392.999999978</v>
      </c>
      <c r="T746" s="87">
        <v>1776</v>
      </c>
      <c r="U746" s="87">
        <v>24333638.499999985</v>
      </c>
      <c r="V746" s="87">
        <v>1670</v>
      </c>
      <c r="W746" s="87">
        <v>25252721.999999989</v>
      </c>
      <c r="X746" s="87">
        <v>0</v>
      </c>
      <c r="Y746" s="88">
        <v>26207976.5</v>
      </c>
      <c r="Z746" s="87">
        <v>1415</v>
      </c>
      <c r="AA746" s="87">
        <v>1065</v>
      </c>
      <c r="AB746" s="89">
        <f t="shared" si="199"/>
        <v>1904</v>
      </c>
      <c r="AC746" s="89">
        <f t="shared" si="200"/>
        <v>1776</v>
      </c>
      <c r="AD746" s="89">
        <f t="shared" si="201"/>
        <v>1670</v>
      </c>
      <c r="AE746" s="90">
        <f t="shared" si="202"/>
        <v>1892</v>
      </c>
      <c r="AF746" s="90">
        <f t="shared" si="203"/>
        <v>2013</v>
      </c>
      <c r="AG746" s="90">
        <f t="shared" si="204"/>
        <v>1745</v>
      </c>
      <c r="AH746" s="90">
        <f t="shared" si="205"/>
        <v>2018</v>
      </c>
      <c r="AI746" s="90">
        <f t="shared" si="206"/>
        <v>1415</v>
      </c>
      <c r="AJ746" s="90">
        <f t="shared" si="207"/>
        <v>2022</v>
      </c>
      <c r="AK746" s="90" t="str">
        <f t="shared" si="208"/>
        <v>Adjust</v>
      </c>
      <c r="AL746" s="91">
        <f>IF(AK746="Adjust",(_xlfn.XLOOKUP(A746,'Adj factor'!A:A,'Adj factor'!I:I,,0)*AI746),'Master DataSheet'!AI746)</f>
        <v>1626.2575817133875</v>
      </c>
      <c r="AM746" s="91">
        <f t="shared" si="209"/>
        <v>1745</v>
      </c>
      <c r="AN746" s="92" t="str">
        <f t="shared" si="210"/>
        <v>Decreasing</v>
      </c>
      <c r="AO746" s="93">
        <f>VLOOKUP(B746,'Growthrates source'!A$2:H$49,8,FALSE)</f>
        <v>7.2635719552709199E-2</v>
      </c>
      <c r="AP746" s="93">
        <f>VLOOKUP(B746,'Growthrates source'!A$2:I$49,9,FALSE)</f>
        <v>2.4687803142194653E-2</v>
      </c>
      <c r="AQ746" s="86">
        <f t="shared" si="211"/>
        <v>740.66725834736894</v>
      </c>
      <c r="AR746" s="86">
        <f t="shared" si="212"/>
        <v>1146.871968041736</v>
      </c>
      <c r="AS746" s="94">
        <f t="shared" si="213"/>
        <v>1.0143032302394888</v>
      </c>
      <c r="AT746" s="94">
        <f t="shared" si="214"/>
        <v>0.77290849852979082</v>
      </c>
      <c r="AU746" s="94">
        <f t="shared" si="215"/>
        <v>0.66582782535690999</v>
      </c>
    </row>
    <row r="747" spans="1:47" x14ac:dyDescent="0.3">
      <c r="A747" s="85" t="str">
        <f>_xlfn.XLOOKUP(B747,'Country codes &amp; Data sources'!G:G,'Country codes &amp; Data sources'!H:H,,0)</f>
        <v>Niger</v>
      </c>
      <c r="B747" s="85" t="s">
        <v>190</v>
      </c>
      <c r="C747" s="86">
        <v>17954408</v>
      </c>
      <c r="D747" s="85" t="s">
        <v>322</v>
      </c>
      <c r="E747" s="87">
        <v>0</v>
      </c>
      <c r="F747" s="88">
        <v>18653199</v>
      </c>
      <c r="G747" s="87">
        <v>6578</v>
      </c>
      <c r="I747" s="87">
        <v>9880</v>
      </c>
      <c r="K747" s="87">
        <v>6506</v>
      </c>
      <c r="M747" s="87">
        <v>9492</v>
      </c>
      <c r="O747" s="87">
        <v>0</v>
      </c>
      <c r="P747" s="88">
        <v>22577057.999999996</v>
      </c>
      <c r="Q747" s="87">
        <v>8251</v>
      </c>
      <c r="R747" s="87">
        <f t="shared" si="198"/>
        <v>8251</v>
      </c>
      <c r="T747" s="87">
        <v>0</v>
      </c>
      <c r="V747" s="87">
        <v>0</v>
      </c>
      <c r="X747" s="87">
        <v>0</v>
      </c>
      <c r="Y747" s="88">
        <v>26207976.5</v>
      </c>
      <c r="Z747" s="87">
        <v>9130</v>
      </c>
      <c r="AA747" s="87">
        <v>3581</v>
      </c>
      <c r="AB747" s="89">
        <f t="shared" si="199"/>
        <v>9880</v>
      </c>
      <c r="AC747" s="89">
        <f t="shared" si="200"/>
        <v>9492</v>
      </c>
      <c r="AD747" s="89">
        <f t="shared" si="201"/>
        <v>9130</v>
      </c>
      <c r="AE747" s="90">
        <f t="shared" si="202"/>
        <v>6578</v>
      </c>
      <c r="AF747" s="90">
        <f t="shared" si="203"/>
        <v>2013</v>
      </c>
      <c r="AG747" s="90">
        <f t="shared" si="204"/>
        <v>8251</v>
      </c>
      <c r="AH747" s="90">
        <f t="shared" si="205"/>
        <v>2018</v>
      </c>
      <c r="AI747" s="90">
        <f t="shared" si="206"/>
        <v>9130</v>
      </c>
      <c r="AJ747" s="90">
        <f t="shared" si="207"/>
        <v>2022</v>
      </c>
      <c r="AK747" s="90" t="str">
        <f t="shared" si="208"/>
        <v/>
      </c>
      <c r="AL747" s="91">
        <f>IF(AK747="Adjust",(_xlfn.XLOOKUP(A747,'Adj factor'!A:A,'Adj factor'!I:I,,0)*AI747),'Master DataSheet'!AI747)</f>
        <v>9130</v>
      </c>
      <c r="AM747" s="91">
        <f t="shared" si="209"/>
        <v>9130</v>
      </c>
      <c r="AN747" s="92" t="str">
        <f t="shared" si="210"/>
        <v>Increasing</v>
      </c>
      <c r="AO747" s="93">
        <f>VLOOKUP(B747,'Growthrates source'!A$2:H$49,8,FALSE)</f>
        <v>7.2635719552709199E-2</v>
      </c>
      <c r="AP747" s="93">
        <f>VLOOKUP(B747,'Growthrates source'!A$2:I$49,9,FALSE)</f>
        <v>2.4687803142194653E-2</v>
      </c>
      <c r="AQ747" s="86">
        <f t="shared" si="211"/>
        <v>2490.4501898046274</v>
      </c>
      <c r="AR747" s="86">
        <f t="shared" si="212"/>
        <v>3856.2896878473766</v>
      </c>
      <c r="AS747" s="94">
        <f t="shared" si="213"/>
        <v>3.5264728586233387</v>
      </c>
      <c r="AT747" s="94">
        <f t="shared" si="214"/>
        <v>3.6545948546528964</v>
      </c>
      <c r="AU747" s="94">
        <f t="shared" si="215"/>
        <v>3.4836722323831451</v>
      </c>
    </row>
    <row r="748" spans="1:47" x14ac:dyDescent="0.3">
      <c r="A748" s="85" t="str">
        <f>_xlfn.XLOOKUP(B748,'Country codes &amp; Data sources'!G:G,'Country codes &amp; Data sources'!H:H,,0)</f>
        <v>Niger</v>
      </c>
      <c r="B748" s="85" t="s">
        <v>190</v>
      </c>
      <c r="C748" s="86">
        <v>17954409</v>
      </c>
      <c r="D748" s="85" t="s">
        <v>323</v>
      </c>
      <c r="E748" s="87">
        <v>1788</v>
      </c>
      <c r="F748" s="88">
        <v>18653199</v>
      </c>
      <c r="G748" s="87">
        <v>1672</v>
      </c>
      <c r="I748" s="87">
        <v>1918</v>
      </c>
      <c r="K748" s="87">
        <v>1648</v>
      </c>
      <c r="M748" s="87">
        <v>1712</v>
      </c>
      <c r="O748" s="87">
        <v>0</v>
      </c>
      <c r="P748" s="88">
        <v>22577057.999999996</v>
      </c>
      <c r="Q748" s="87">
        <v>1812</v>
      </c>
      <c r="R748" s="87">
        <f t="shared" si="198"/>
        <v>1812</v>
      </c>
      <c r="T748" s="87">
        <v>0</v>
      </c>
      <c r="V748" s="87">
        <v>0</v>
      </c>
      <c r="X748" s="87">
        <v>0</v>
      </c>
      <c r="Y748" s="88">
        <v>26207976.5</v>
      </c>
      <c r="Z748" s="87">
        <v>1436</v>
      </c>
      <c r="AA748" s="87">
        <v>902</v>
      </c>
      <c r="AB748" s="89">
        <f t="shared" si="199"/>
        <v>1918</v>
      </c>
      <c r="AC748" s="89">
        <f t="shared" si="200"/>
        <v>1812</v>
      </c>
      <c r="AD748" s="89">
        <f t="shared" si="201"/>
        <v>1436</v>
      </c>
      <c r="AE748" s="90">
        <f t="shared" si="202"/>
        <v>1672</v>
      </c>
      <c r="AF748" s="90">
        <f t="shared" si="203"/>
        <v>2013</v>
      </c>
      <c r="AG748" s="90">
        <f t="shared" si="204"/>
        <v>1812</v>
      </c>
      <c r="AH748" s="90">
        <f t="shared" si="205"/>
        <v>2018</v>
      </c>
      <c r="AI748" s="90">
        <f t="shared" si="206"/>
        <v>1436</v>
      </c>
      <c r="AJ748" s="90">
        <f t="shared" si="207"/>
        <v>2022</v>
      </c>
      <c r="AK748" s="90" t="str">
        <f t="shared" si="208"/>
        <v>Adjust</v>
      </c>
      <c r="AL748" s="91">
        <f>IF(AK748="Adjust",(_xlfn.XLOOKUP(A748,'Adj factor'!A:A,'Adj factor'!I:I,,0)*AI748),'Master DataSheet'!AI748)</f>
        <v>1650.3928532441162</v>
      </c>
      <c r="AM748" s="91">
        <f t="shared" si="209"/>
        <v>1812</v>
      </c>
      <c r="AN748" s="92" t="str">
        <f t="shared" si="210"/>
        <v>Decreasing</v>
      </c>
      <c r="AO748" s="93">
        <f>VLOOKUP(B748,'Growthrates source'!A$2:H$49,8,FALSE)</f>
        <v>7.2635719552709199E-2</v>
      </c>
      <c r="AP748" s="93">
        <f>VLOOKUP(B748,'Growthrates source'!A$2:I$49,9,FALSE)</f>
        <v>2.4687803142194653E-2</v>
      </c>
      <c r="AQ748" s="86">
        <f t="shared" si="211"/>
        <v>627.30691739842894</v>
      </c>
      <c r="AR748" s="86">
        <f t="shared" si="212"/>
        <v>971.34132880154539</v>
      </c>
      <c r="AS748" s="94">
        <f t="shared" si="213"/>
        <v>0.89636099416512949</v>
      </c>
      <c r="AT748" s="94">
        <f t="shared" si="214"/>
        <v>0.80258464145328423</v>
      </c>
      <c r="AU748" s="94">
        <f t="shared" si="215"/>
        <v>0.69139256134482574</v>
      </c>
    </row>
    <row r="749" spans="1:47" x14ac:dyDescent="0.3">
      <c r="A749" s="85" t="str">
        <f>_xlfn.XLOOKUP(B749,'Country codes &amp; Data sources'!G:G,'Country codes &amp; Data sources'!H:H,,0)</f>
        <v>Niger</v>
      </c>
      <c r="B749" s="85" t="s">
        <v>190</v>
      </c>
      <c r="C749" s="86">
        <v>17954410</v>
      </c>
      <c r="D749" s="85" t="s">
        <v>324</v>
      </c>
      <c r="E749" s="87">
        <v>0</v>
      </c>
      <c r="F749" s="88">
        <v>18653199</v>
      </c>
      <c r="G749" s="87">
        <v>0</v>
      </c>
      <c r="I749" s="87">
        <v>0</v>
      </c>
      <c r="K749" s="87">
        <v>0</v>
      </c>
      <c r="M749" s="87">
        <v>0</v>
      </c>
      <c r="O749" s="87">
        <v>0</v>
      </c>
      <c r="P749" s="88">
        <v>22577057.999999996</v>
      </c>
      <c r="Q749" s="87">
        <v>2100</v>
      </c>
      <c r="R749" s="87">
        <f t="shared" si="198"/>
        <v>2100</v>
      </c>
      <c r="T749" s="87">
        <v>0</v>
      </c>
      <c r="V749" s="87">
        <v>0</v>
      </c>
      <c r="X749" s="87">
        <v>0</v>
      </c>
      <c r="Y749" s="88">
        <v>26207976.5</v>
      </c>
      <c r="Z749" s="87">
        <v>0</v>
      </c>
      <c r="AA749" s="87">
        <v>60</v>
      </c>
      <c r="AB749" s="89">
        <f t="shared" si="199"/>
        <v>0</v>
      </c>
      <c r="AC749" s="89">
        <f t="shared" si="200"/>
        <v>2100</v>
      </c>
      <c r="AD749" s="89">
        <f t="shared" si="201"/>
        <v>0</v>
      </c>
      <c r="AE749" s="90">
        <f t="shared" si="202"/>
        <v>0</v>
      </c>
      <c r="AF749" s="90" t="str">
        <f t="shared" si="203"/>
        <v/>
      </c>
      <c r="AG749" s="90">
        <f t="shared" si="204"/>
        <v>2100</v>
      </c>
      <c r="AH749" s="90">
        <f t="shared" si="205"/>
        <v>2018</v>
      </c>
      <c r="AI749" s="90">
        <f t="shared" si="206"/>
        <v>2100</v>
      </c>
      <c r="AJ749" s="90">
        <f t="shared" si="207"/>
        <v>2018</v>
      </c>
      <c r="AK749" s="90" t="str">
        <f t="shared" si="208"/>
        <v/>
      </c>
      <c r="AL749" s="91">
        <f>IF(AK749="Adjust",(_xlfn.XLOOKUP(A749,'Adj factor'!A:A,'Adj factor'!I:I,,0)*AI749),'Master DataSheet'!AI749)</f>
        <v>2100</v>
      </c>
      <c r="AM749" s="91">
        <f t="shared" si="209"/>
        <v>2100</v>
      </c>
      <c r="AN749" s="92" t="str">
        <f t="shared" si="210"/>
        <v>No change</v>
      </c>
      <c r="AO749" s="93">
        <f>VLOOKUP(B749,'Growthrates source'!A$2:H$49,8,FALSE)</f>
        <v>7.2635719552709199E-2</v>
      </c>
      <c r="AP749" s="93">
        <f>VLOOKUP(B749,'Growthrates source'!A$2:I$49,9,FALSE)</f>
        <v>2.4687803142194653E-2</v>
      </c>
      <c r="AQ749" s="86">
        <f t="shared" si="211"/>
        <v>41.727732864640508</v>
      </c>
      <c r="AR749" s="86">
        <f t="shared" si="212"/>
        <v>64.612505241787943</v>
      </c>
      <c r="AS749" s="94">
        <f t="shared" si="213"/>
        <v>0</v>
      </c>
      <c r="AT749" s="94">
        <f t="shared" si="214"/>
        <v>0.93014776327367377</v>
      </c>
      <c r="AU749" s="94">
        <f t="shared" si="215"/>
        <v>0.8012827697704934</v>
      </c>
    </row>
    <row r="750" spans="1:47" x14ac:dyDescent="0.3">
      <c r="A750" s="85" t="str">
        <f>_xlfn.XLOOKUP(B750,'Country codes &amp; Data sources'!G:G,'Country codes &amp; Data sources'!H:H,,0)</f>
        <v>Niger</v>
      </c>
      <c r="B750" s="85" t="s">
        <v>190</v>
      </c>
      <c r="C750" s="86">
        <v>17954411</v>
      </c>
      <c r="D750" s="85" t="s">
        <v>325</v>
      </c>
      <c r="E750" s="87">
        <v>0</v>
      </c>
      <c r="F750" s="88">
        <v>18653199</v>
      </c>
      <c r="G750" s="87">
        <v>0</v>
      </c>
      <c r="I750" s="87">
        <v>0</v>
      </c>
      <c r="K750" s="87">
        <v>0</v>
      </c>
      <c r="M750" s="87">
        <v>0</v>
      </c>
      <c r="O750" s="87">
        <v>0</v>
      </c>
      <c r="P750" s="88">
        <v>22577057.999999996</v>
      </c>
      <c r="Q750" s="87">
        <v>0</v>
      </c>
      <c r="R750" s="87">
        <f t="shared" si="198"/>
        <v>30</v>
      </c>
      <c r="T750" s="87">
        <v>0</v>
      </c>
      <c r="V750" s="87">
        <v>4</v>
      </c>
      <c r="X750" s="87">
        <v>0</v>
      </c>
      <c r="Y750" s="88">
        <v>26207976.5</v>
      </c>
      <c r="Z750" s="87">
        <v>0</v>
      </c>
      <c r="AA750" s="87">
        <v>30</v>
      </c>
      <c r="AB750" s="89">
        <f t="shared" si="199"/>
        <v>0</v>
      </c>
      <c r="AC750" s="89">
        <f t="shared" si="200"/>
        <v>0</v>
      </c>
      <c r="AD750" s="89">
        <f t="shared" si="201"/>
        <v>4</v>
      </c>
      <c r="AE750" s="90">
        <f t="shared" si="202"/>
        <v>0</v>
      </c>
      <c r="AF750" s="90" t="str">
        <f t="shared" si="203"/>
        <v/>
      </c>
      <c r="AG750" s="90">
        <f t="shared" si="204"/>
        <v>30</v>
      </c>
      <c r="AH750" s="90" t="str">
        <f t="shared" si="205"/>
        <v>2018 (triag)</v>
      </c>
      <c r="AI750" s="90">
        <f t="shared" si="206"/>
        <v>4</v>
      </c>
      <c r="AJ750" s="90">
        <f t="shared" si="207"/>
        <v>2020</v>
      </c>
      <c r="AK750" s="90" t="str">
        <f t="shared" si="208"/>
        <v>Adjust</v>
      </c>
      <c r="AL750" s="91">
        <f>IF(AK750="Adjust",(_xlfn.XLOOKUP(A750,'Adj factor'!A:A,'Adj factor'!I:I,,0)*AI750),'Master DataSheet'!AI750)</f>
        <v>4.5971945772816607</v>
      </c>
      <c r="AM750" s="91">
        <f t="shared" si="209"/>
        <v>30</v>
      </c>
      <c r="AN750" s="92" t="str">
        <f t="shared" si="210"/>
        <v>Decreasing</v>
      </c>
      <c r="AO750" s="93">
        <f>VLOOKUP(B750,'Growthrates source'!A$2:H$49,8,FALSE)</f>
        <v>7.2635719552709199E-2</v>
      </c>
      <c r="AP750" s="93">
        <f>VLOOKUP(B750,'Growthrates source'!A$2:I$49,9,FALSE)</f>
        <v>2.4687803142194653E-2</v>
      </c>
      <c r="AQ750" s="86">
        <f t="shared" si="211"/>
        <v>20.863866432320254</v>
      </c>
      <c r="AR750" s="86">
        <f t="shared" si="212"/>
        <v>32.306252620893972</v>
      </c>
      <c r="AS750" s="94">
        <f t="shared" si="213"/>
        <v>0</v>
      </c>
      <c r="AT750" s="94">
        <f t="shared" si="214"/>
        <v>1.3287825189623912E-2</v>
      </c>
      <c r="AU750" s="94">
        <f t="shared" si="215"/>
        <v>1.1446896711007048E-2</v>
      </c>
    </row>
    <row r="751" spans="1:47" x14ac:dyDescent="0.3">
      <c r="A751" s="85" t="str">
        <f>_xlfn.XLOOKUP(B751,'Country codes &amp; Data sources'!G:G,'Country codes &amp; Data sources'!H:H,,0)</f>
        <v>Niger</v>
      </c>
      <c r="B751" s="85" t="s">
        <v>190</v>
      </c>
      <c r="C751" s="86">
        <v>17954412</v>
      </c>
      <c r="D751" s="85" t="s">
        <v>127</v>
      </c>
      <c r="E751" s="87">
        <v>0</v>
      </c>
      <c r="F751" s="88">
        <v>18653199</v>
      </c>
      <c r="G751" s="87">
        <v>6560</v>
      </c>
      <c r="I751" s="87">
        <v>0</v>
      </c>
      <c r="K751" s="87">
        <v>0</v>
      </c>
      <c r="M751" s="87">
        <v>0</v>
      </c>
      <c r="O751" s="87">
        <v>0</v>
      </c>
      <c r="P751" s="88">
        <v>22577057.999999996</v>
      </c>
      <c r="Q751" s="87">
        <v>0</v>
      </c>
      <c r="R751" s="87">
        <f t="shared" si="198"/>
        <v>55</v>
      </c>
      <c r="T751" s="87">
        <v>0</v>
      </c>
      <c r="V751" s="87">
        <v>21429</v>
      </c>
      <c r="X751" s="87">
        <v>0</v>
      </c>
      <c r="Y751" s="88">
        <v>26207976.5</v>
      </c>
      <c r="Z751" s="87">
        <v>2239</v>
      </c>
      <c r="AA751" s="87">
        <v>55</v>
      </c>
      <c r="AB751" s="89">
        <f t="shared" si="199"/>
        <v>6560</v>
      </c>
      <c r="AC751" s="89">
        <f t="shared" si="200"/>
        <v>0</v>
      </c>
      <c r="AD751" s="89">
        <f t="shared" si="201"/>
        <v>21429</v>
      </c>
      <c r="AE751" s="90">
        <f t="shared" si="202"/>
        <v>6560</v>
      </c>
      <c r="AF751" s="90">
        <f t="shared" si="203"/>
        <v>2013</v>
      </c>
      <c r="AG751" s="90">
        <f t="shared" si="204"/>
        <v>55</v>
      </c>
      <c r="AH751" s="90" t="str">
        <f t="shared" si="205"/>
        <v>2018 (triag)</v>
      </c>
      <c r="AI751" s="90">
        <f t="shared" si="206"/>
        <v>2239</v>
      </c>
      <c r="AJ751" s="90">
        <f t="shared" si="207"/>
        <v>2022</v>
      </c>
      <c r="AK751" s="90" t="str">
        <f t="shared" si="208"/>
        <v/>
      </c>
      <c r="AL751" s="91">
        <f>IF(AK751="Adjust",(_xlfn.XLOOKUP(A751,'Adj factor'!A:A,'Adj factor'!I:I,,0)*AI751),'Master DataSheet'!AI751)</f>
        <v>2239</v>
      </c>
      <c r="AM751" s="91">
        <f t="shared" si="209"/>
        <v>2239</v>
      </c>
      <c r="AN751" s="92" t="str">
        <f t="shared" si="210"/>
        <v>Increasing</v>
      </c>
      <c r="AO751" s="93">
        <f>VLOOKUP(B751,'Growthrates source'!A$2:H$49,8,FALSE)</f>
        <v>7.2635719552709199E-2</v>
      </c>
      <c r="AP751" s="93">
        <f>VLOOKUP(B751,'Growthrates source'!A$2:I$49,9,FALSE)</f>
        <v>2.4687803142194653E-2</v>
      </c>
      <c r="AQ751" s="86">
        <f t="shared" si="211"/>
        <v>38.250421792587133</v>
      </c>
      <c r="AR751" s="86">
        <f t="shared" si="212"/>
        <v>59.228129804972276</v>
      </c>
      <c r="AS751" s="94">
        <f t="shared" si="213"/>
        <v>3.5168230393081639</v>
      </c>
      <c r="AT751" s="94">
        <f t="shared" si="214"/>
        <v>2.4361012847643838E-2</v>
      </c>
      <c r="AU751" s="94">
        <f t="shared" si="215"/>
        <v>0.85432005786482601</v>
      </c>
    </row>
    <row r="752" spans="1:47" x14ac:dyDescent="0.3">
      <c r="A752" s="85" t="str">
        <f>_xlfn.XLOOKUP(B752,'Country codes &amp; Data sources'!G:G,'Country codes &amp; Data sources'!H:H,,0)</f>
        <v>Niger</v>
      </c>
      <c r="B752" s="85" t="s">
        <v>190</v>
      </c>
      <c r="C752" s="86">
        <v>17954413</v>
      </c>
      <c r="D752" s="85" t="s">
        <v>61</v>
      </c>
      <c r="E752" s="87">
        <v>0</v>
      </c>
      <c r="F752" s="88">
        <v>18653199</v>
      </c>
      <c r="G752" s="87">
        <v>0</v>
      </c>
      <c r="I752" s="87">
        <v>0</v>
      </c>
      <c r="K752" s="87">
        <v>0</v>
      </c>
      <c r="M752" s="87">
        <v>0</v>
      </c>
      <c r="O752" s="87">
        <v>0</v>
      </c>
      <c r="P752" s="88">
        <v>22577057.999999996</v>
      </c>
      <c r="Q752" s="87">
        <v>0</v>
      </c>
      <c r="R752" s="87">
        <f t="shared" si="198"/>
        <v>42</v>
      </c>
      <c r="T752" s="87">
        <v>0</v>
      </c>
      <c r="V752" s="87">
        <v>0</v>
      </c>
      <c r="X752" s="87">
        <v>0</v>
      </c>
      <c r="Y752" s="88">
        <v>26207976.5</v>
      </c>
      <c r="Z752" s="87">
        <v>0</v>
      </c>
      <c r="AA752" s="87">
        <v>42</v>
      </c>
      <c r="AB752" s="89">
        <f t="shared" si="199"/>
        <v>0</v>
      </c>
      <c r="AC752" s="89">
        <f t="shared" si="200"/>
        <v>0</v>
      </c>
      <c r="AD752" s="89">
        <f t="shared" si="201"/>
        <v>0</v>
      </c>
      <c r="AE752" s="90">
        <f t="shared" si="202"/>
        <v>0</v>
      </c>
      <c r="AF752" s="90" t="str">
        <f t="shared" si="203"/>
        <v/>
      </c>
      <c r="AG752" s="90">
        <f t="shared" si="204"/>
        <v>42</v>
      </c>
      <c r="AH752" s="90" t="str">
        <f t="shared" si="205"/>
        <v>2018 (triag)</v>
      </c>
      <c r="AI752" s="90">
        <f t="shared" si="206"/>
        <v>42</v>
      </c>
      <c r="AJ752" s="90" t="str">
        <f t="shared" si="207"/>
        <v>2018 (triag)</v>
      </c>
      <c r="AK752" s="90" t="str">
        <f t="shared" si="208"/>
        <v/>
      </c>
      <c r="AL752" s="91">
        <f>IF(AK752="Adjust",(_xlfn.XLOOKUP(A752,'Adj factor'!A:A,'Adj factor'!I:I,,0)*AI752),'Master DataSheet'!AI752)</f>
        <v>42</v>
      </c>
      <c r="AM752" s="91">
        <f t="shared" si="209"/>
        <v>42</v>
      </c>
      <c r="AN752" s="92" t="str">
        <f t="shared" si="210"/>
        <v>No change</v>
      </c>
      <c r="AO752" s="93">
        <f>VLOOKUP(B752,'Growthrates source'!A$2:H$49,8,FALSE)</f>
        <v>7.2635719552709199E-2</v>
      </c>
      <c r="AP752" s="93">
        <f>VLOOKUP(B752,'Growthrates source'!A$2:I$49,9,FALSE)</f>
        <v>2.4687803142194653E-2</v>
      </c>
      <c r="AQ752" s="86">
        <f t="shared" si="211"/>
        <v>29.209413005248354</v>
      </c>
      <c r="AR752" s="86">
        <f t="shared" si="212"/>
        <v>45.22875366925156</v>
      </c>
      <c r="AS752" s="94">
        <f t="shared" si="213"/>
        <v>0</v>
      </c>
      <c r="AT752" s="94">
        <f t="shared" si="214"/>
        <v>1.8602955265473477E-2</v>
      </c>
      <c r="AU752" s="94">
        <f t="shared" si="215"/>
        <v>1.6025655395409868E-2</v>
      </c>
    </row>
    <row r="753" spans="1:47" x14ac:dyDescent="0.3">
      <c r="A753" s="85" t="str">
        <f>_xlfn.XLOOKUP(B753,'Country codes &amp; Data sources'!G:G,'Country codes &amp; Data sources'!H:H,,0)</f>
        <v>Niger</v>
      </c>
      <c r="B753" s="85" t="s">
        <v>190</v>
      </c>
      <c r="C753" s="86">
        <v>17954414</v>
      </c>
      <c r="D753" s="85" t="s">
        <v>62</v>
      </c>
      <c r="E753" s="87">
        <v>0</v>
      </c>
      <c r="F753" s="88">
        <v>18653199</v>
      </c>
      <c r="G753" s="87">
        <v>0</v>
      </c>
      <c r="I753" s="87">
        <v>0</v>
      </c>
      <c r="K753" s="87">
        <v>0</v>
      </c>
      <c r="M753" s="87">
        <v>0</v>
      </c>
      <c r="O753" s="87">
        <v>0</v>
      </c>
      <c r="P753" s="88">
        <v>22577057.999999996</v>
      </c>
      <c r="Q753" s="87">
        <v>0</v>
      </c>
      <c r="R753" s="87">
        <f t="shared" si="198"/>
        <v>101</v>
      </c>
      <c r="T753" s="87">
        <v>0</v>
      </c>
      <c r="V753" s="87">
        <v>0</v>
      </c>
      <c r="X753" s="87">
        <v>0</v>
      </c>
      <c r="Y753" s="88">
        <v>26207976.5</v>
      </c>
      <c r="Z753" s="87">
        <v>0</v>
      </c>
      <c r="AA753" s="87">
        <v>101</v>
      </c>
      <c r="AB753" s="89">
        <f t="shared" si="199"/>
        <v>0</v>
      </c>
      <c r="AC753" s="89">
        <f t="shared" si="200"/>
        <v>0</v>
      </c>
      <c r="AD753" s="89">
        <f t="shared" si="201"/>
        <v>0</v>
      </c>
      <c r="AE753" s="90">
        <f t="shared" si="202"/>
        <v>0</v>
      </c>
      <c r="AF753" s="90" t="str">
        <f t="shared" si="203"/>
        <v/>
      </c>
      <c r="AG753" s="90">
        <f t="shared" si="204"/>
        <v>101</v>
      </c>
      <c r="AH753" s="90" t="str">
        <f t="shared" si="205"/>
        <v>2018 (triag)</v>
      </c>
      <c r="AI753" s="90">
        <f t="shared" si="206"/>
        <v>101</v>
      </c>
      <c r="AJ753" s="90" t="str">
        <f t="shared" si="207"/>
        <v>2018 (triag)</v>
      </c>
      <c r="AK753" s="90" t="str">
        <f t="shared" si="208"/>
        <v/>
      </c>
      <c r="AL753" s="91">
        <f>IF(AK753="Adjust",(_xlfn.XLOOKUP(A753,'Adj factor'!A:A,'Adj factor'!I:I,,0)*AI753),'Master DataSheet'!AI753)</f>
        <v>101</v>
      </c>
      <c r="AM753" s="91">
        <f t="shared" si="209"/>
        <v>101</v>
      </c>
      <c r="AN753" s="92" t="str">
        <f t="shared" si="210"/>
        <v>No change</v>
      </c>
      <c r="AO753" s="93">
        <f>VLOOKUP(B753,'Growthrates source'!A$2:H$49,8,FALSE)</f>
        <v>7.2635719552709199E-2</v>
      </c>
      <c r="AP753" s="93">
        <f>VLOOKUP(B753,'Growthrates source'!A$2:I$49,9,FALSE)</f>
        <v>2.4687803142194653E-2</v>
      </c>
      <c r="AQ753" s="86">
        <f t="shared" si="211"/>
        <v>70.241683655478184</v>
      </c>
      <c r="AR753" s="86">
        <f t="shared" si="212"/>
        <v>108.76438382367637</v>
      </c>
      <c r="AS753" s="94">
        <f t="shared" si="213"/>
        <v>0</v>
      </c>
      <c r="AT753" s="94">
        <f t="shared" si="214"/>
        <v>4.47356781384005E-2</v>
      </c>
      <c r="AU753" s="94">
        <f t="shared" si="215"/>
        <v>3.8537885593723731E-2</v>
      </c>
    </row>
    <row r="754" spans="1:47" x14ac:dyDescent="0.3">
      <c r="A754" s="85" t="str">
        <f>_xlfn.XLOOKUP(B754,'Country codes &amp; Data sources'!G:G,'Country codes &amp; Data sources'!H:H,,0)</f>
        <v>Niger</v>
      </c>
      <c r="B754" s="85" t="s">
        <v>190</v>
      </c>
      <c r="C754" s="86">
        <v>17954415</v>
      </c>
      <c r="D754" s="85" t="s">
        <v>203</v>
      </c>
      <c r="E754" s="87">
        <v>0</v>
      </c>
      <c r="F754" s="88">
        <v>18653199</v>
      </c>
      <c r="G754" s="87">
        <v>0</v>
      </c>
      <c r="I754" s="87">
        <v>0</v>
      </c>
      <c r="K754" s="87">
        <v>0</v>
      </c>
      <c r="M754" s="87">
        <v>0</v>
      </c>
      <c r="O754" s="87">
        <v>0</v>
      </c>
      <c r="P754" s="88">
        <v>22577057.999999996</v>
      </c>
      <c r="Q754" s="87">
        <v>95</v>
      </c>
      <c r="R754" s="87">
        <f t="shared" si="198"/>
        <v>152</v>
      </c>
      <c r="T754" s="87">
        <v>0</v>
      </c>
      <c r="V754" s="87">
        <v>0</v>
      </c>
      <c r="X754" s="87">
        <v>0</v>
      </c>
      <c r="Y754" s="88">
        <v>26207976.5</v>
      </c>
      <c r="Z754" s="87">
        <v>0</v>
      </c>
      <c r="AA754" s="87">
        <v>152</v>
      </c>
      <c r="AB754" s="89">
        <f t="shared" si="199"/>
        <v>0</v>
      </c>
      <c r="AC754" s="89">
        <f t="shared" si="200"/>
        <v>95</v>
      </c>
      <c r="AD754" s="89">
        <f t="shared" si="201"/>
        <v>0</v>
      </c>
      <c r="AE754" s="90">
        <f t="shared" si="202"/>
        <v>0</v>
      </c>
      <c r="AF754" s="90" t="str">
        <f t="shared" si="203"/>
        <v/>
      </c>
      <c r="AG754" s="90">
        <f t="shared" si="204"/>
        <v>152</v>
      </c>
      <c r="AH754" s="90" t="str">
        <f t="shared" si="205"/>
        <v>2018 (triag)</v>
      </c>
      <c r="AI754" s="90">
        <f t="shared" si="206"/>
        <v>152</v>
      </c>
      <c r="AJ754" s="90" t="str">
        <f t="shared" si="207"/>
        <v>2018 (triag)</v>
      </c>
      <c r="AK754" s="90" t="str">
        <f t="shared" si="208"/>
        <v/>
      </c>
      <c r="AL754" s="91">
        <f>IF(AK754="Adjust",(_xlfn.XLOOKUP(A754,'Adj factor'!A:A,'Adj factor'!I:I,,0)*AI754),'Master DataSheet'!AI754)</f>
        <v>152</v>
      </c>
      <c r="AM754" s="91">
        <f t="shared" si="209"/>
        <v>152</v>
      </c>
      <c r="AN754" s="92" t="str">
        <f t="shared" si="210"/>
        <v>No change</v>
      </c>
      <c r="AO754" s="93">
        <f>VLOOKUP(B754,'Growthrates source'!A$2:H$49,8,FALSE)</f>
        <v>7.2635719552709199E-2</v>
      </c>
      <c r="AP754" s="93">
        <f>VLOOKUP(B754,'Growthrates source'!A$2:I$49,9,FALSE)</f>
        <v>2.4687803142194653E-2</v>
      </c>
      <c r="AQ754" s="86">
        <f t="shared" si="211"/>
        <v>105.71025659042262</v>
      </c>
      <c r="AR754" s="86">
        <f t="shared" si="212"/>
        <v>163.68501327919611</v>
      </c>
      <c r="AS754" s="94">
        <f t="shared" si="213"/>
        <v>0</v>
      </c>
      <c r="AT754" s="94">
        <f t="shared" si="214"/>
        <v>6.7324980960761158E-2</v>
      </c>
      <c r="AU754" s="94">
        <f t="shared" si="215"/>
        <v>5.7997610002435709E-2</v>
      </c>
    </row>
    <row r="755" spans="1:47" x14ac:dyDescent="0.3">
      <c r="A755" s="85" t="str">
        <f>_xlfn.XLOOKUP(B755,'Country codes &amp; Data sources'!G:G,'Country codes &amp; Data sources'!H:H,,0)</f>
        <v>Niger</v>
      </c>
      <c r="B755" s="85" t="s">
        <v>190</v>
      </c>
      <c r="C755" s="86">
        <v>17954416</v>
      </c>
      <c r="D755" s="85" t="s">
        <v>204</v>
      </c>
      <c r="E755" s="87">
        <v>0</v>
      </c>
      <c r="F755" s="88">
        <v>18653199</v>
      </c>
      <c r="G755" s="87">
        <v>0</v>
      </c>
      <c r="I755" s="87">
        <v>0</v>
      </c>
      <c r="K755" s="87">
        <v>0</v>
      </c>
      <c r="M755" s="87">
        <v>0</v>
      </c>
      <c r="O755" s="87">
        <v>0</v>
      </c>
      <c r="P755" s="88">
        <v>22577057.999999996</v>
      </c>
      <c r="Q755" s="87">
        <v>0</v>
      </c>
      <c r="R755" s="87">
        <f t="shared" si="198"/>
        <v>226</v>
      </c>
      <c r="T755" s="87">
        <v>0</v>
      </c>
      <c r="V755" s="87">
        <v>0</v>
      </c>
      <c r="X755" s="87">
        <v>0</v>
      </c>
      <c r="Y755" s="88">
        <v>26207976.5</v>
      </c>
      <c r="Z755" s="87">
        <v>0</v>
      </c>
      <c r="AA755" s="87">
        <v>226</v>
      </c>
      <c r="AB755" s="89">
        <f t="shared" si="199"/>
        <v>0</v>
      </c>
      <c r="AC755" s="89">
        <f t="shared" si="200"/>
        <v>0</v>
      </c>
      <c r="AD755" s="89">
        <f t="shared" si="201"/>
        <v>0</v>
      </c>
      <c r="AE755" s="90">
        <f t="shared" si="202"/>
        <v>0</v>
      </c>
      <c r="AF755" s="90" t="str">
        <f t="shared" si="203"/>
        <v/>
      </c>
      <c r="AG755" s="90">
        <f t="shared" si="204"/>
        <v>226</v>
      </c>
      <c r="AH755" s="90" t="str">
        <f t="shared" si="205"/>
        <v>2018 (triag)</v>
      </c>
      <c r="AI755" s="90">
        <f t="shared" si="206"/>
        <v>226</v>
      </c>
      <c r="AJ755" s="90" t="str">
        <f t="shared" si="207"/>
        <v>2018 (triag)</v>
      </c>
      <c r="AK755" s="90" t="str">
        <f t="shared" si="208"/>
        <v/>
      </c>
      <c r="AL755" s="91">
        <f>IF(AK755="Adjust",(_xlfn.XLOOKUP(A755,'Adj factor'!A:A,'Adj factor'!I:I,,0)*AI755),'Master DataSheet'!AI755)</f>
        <v>226</v>
      </c>
      <c r="AM755" s="91">
        <f t="shared" si="209"/>
        <v>226</v>
      </c>
      <c r="AN755" s="92" t="str">
        <f t="shared" si="210"/>
        <v>No change</v>
      </c>
      <c r="AO755" s="93">
        <f>VLOOKUP(B755,'Growthrates source'!A$2:H$49,8,FALSE)</f>
        <v>7.2635719552709199E-2</v>
      </c>
      <c r="AP755" s="93">
        <f>VLOOKUP(B755,'Growthrates source'!A$2:I$49,9,FALSE)</f>
        <v>2.4687803142194653E-2</v>
      </c>
      <c r="AQ755" s="86">
        <f t="shared" si="211"/>
        <v>157.17446045681257</v>
      </c>
      <c r="AR755" s="86">
        <f t="shared" si="212"/>
        <v>243.37376974406791</v>
      </c>
      <c r="AS755" s="94">
        <f t="shared" si="213"/>
        <v>0</v>
      </c>
      <c r="AT755" s="94">
        <f t="shared" si="214"/>
        <v>0.10010161642850013</v>
      </c>
      <c r="AU755" s="94">
        <f t="shared" si="215"/>
        <v>8.623328855625309E-2</v>
      </c>
    </row>
    <row r="756" spans="1:47" x14ac:dyDescent="0.3">
      <c r="A756" s="85" t="str">
        <f>_xlfn.XLOOKUP(B756,'Country codes &amp; Data sources'!G:G,'Country codes &amp; Data sources'!H:H,,0)</f>
        <v>Niger</v>
      </c>
      <c r="B756" s="85" t="s">
        <v>190</v>
      </c>
      <c r="C756" s="86">
        <v>17954417</v>
      </c>
      <c r="D756" s="85" t="s">
        <v>205</v>
      </c>
      <c r="E756" s="87">
        <v>0</v>
      </c>
      <c r="F756" s="88">
        <v>18653199</v>
      </c>
      <c r="G756" s="87">
        <v>0</v>
      </c>
      <c r="I756" s="87">
        <v>0</v>
      </c>
      <c r="K756" s="87">
        <v>0</v>
      </c>
      <c r="M756" s="87">
        <v>0</v>
      </c>
      <c r="O756" s="87">
        <v>0</v>
      </c>
      <c r="P756" s="88">
        <v>22577057.999999996</v>
      </c>
      <c r="Q756" s="87">
        <v>0</v>
      </c>
      <c r="R756" s="87">
        <f t="shared" si="198"/>
        <v>11</v>
      </c>
      <c r="T756" s="87">
        <v>0</v>
      </c>
      <c r="V756" s="87">
        <v>0</v>
      </c>
      <c r="X756" s="87">
        <v>0</v>
      </c>
      <c r="Y756" s="88">
        <v>26207976.5</v>
      </c>
      <c r="Z756" s="87">
        <v>6</v>
      </c>
      <c r="AA756" s="87">
        <v>11</v>
      </c>
      <c r="AB756" s="89">
        <f t="shared" si="199"/>
        <v>0</v>
      </c>
      <c r="AC756" s="89">
        <f t="shared" si="200"/>
        <v>0</v>
      </c>
      <c r="AD756" s="89">
        <f t="shared" si="201"/>
        <v>6</v>
      </c>
      <c r="AE756" s="90">
        <f t="shared" si="202"/>
        <v>0</v>
      </c>
      <c r="AF756" s="90" t="str">
        <f t="shared" si="203"/>
        <v/>
      </c>
      <c r="AG756" s="90">
        <f t="shared" si="204"/>
        <v>11</v>
      </c>
      <c r="AH756" s="90" t="str">
        <f t="shared" si="205"/>
        <v>2018 (triag)</v>
      </c>
      <c r="AI756" s="90">
        <f t="shared" si="206"/>
        <v>6</v>
      </c>
      <c r="AJ756" s="90">
        <f t="shared" si="207"/>
        <v>2022</v>
      </c>
      <c r="AK756" s="90" t="str">
        <f t="shared" si="208"/>
        <v>Adjust</v>
      </c>
      <c r="AL756" s="91">
        <f>IF(AK756="Adjust",(_xlfn.XLOOKUP(A756,'Adj factor'!A:A,'Adj factor'!I:I,,0)*AI756),'Master DataSheet'!AI756)</f>
        <v>6.895791865922491</v>
      </c>
      <c r="AM756" s="91">
        <f t="shared" si="209"/>
        <v>11</v>
      </c>
      <c r="AN756" s="92" t="str">
        <f t="shared" si="210"/>
        <v>Decreasing</v>
      </c>
      <c r="AO756" s="93">
        <f>VLOOKUP(B756,'Growthrates source'!A$2:H$49,8,FALSE)</f>
        <v>7.2635719552709199E-2</v>
      </c>
      <c r="AP756" s="93">
        <f>VLOOKUP(B756,'Growthrates source'!A$2:I$49,9,FALSE)</f>
        <v>2.4687803142194653E-2</v>
      </c>
      <c r="AQ756" s="86">
        <f t="shared" si="211"/>
        <v>7.6500843585174261</v>
      </c>
      <c r="AR756" s="86">
        <f t="shared" si="212"/>
        <v>11.845625960994456</v>
      </c>
      <c r="AS756" s="94">
        <f t="shared" si="213"/>
        <v>0</v>
      </c>
      <c r="AT756" s="94">
        <f t="shared" si="214"/>
        <v>4.8722025695287679E-3</v>
      </c>
      <c r="AU756" s="94">
        <f t="shared" si="215"/>
        <v>4.1971954607025845E-3</v>
      </c>
    </row>
    <row r="757" spans="1:47" x14ac:dyDescent="0.3">
      <c r="A757" s="85" t="str">
        <f>_xlfn.XLOOKUP(B757,'Country codes &amp; Data sources'!G:G,'Country codes &amp; Data sources'!H:H,,0)</f>
        <v>Niger</v>
      </c>
      <c r="B757" s="85" t="s">
        <v>190</v>
      </c>
      <c r="C757" s="86">
        <v>17954418</v>
      </c>
      <c r="D757" s="85" t="s">
        <v>133</v>
      </c>
      <c r="E757" s="87">
        <v>0</v>
      </c>
      <c r="F757" s="88">
        <v>18653199</v>
      </c>
      <c r="G757" s="87">
        <v>0</v>
      </c>
      <c r="I757" s="87">
        <v>0</v>
      </c>
      <c r="K757" s="87">
        <v>0</v>
      </c>
      <c r="M757" s="87">
        <v>0</v>
      </c>
      <c r="O757" s="87">
        <v>0</v>
      </c>
      <c r="P757" s="88">
        <v>22577057.999999996</v>
      </c>
      <c r="Q757" s="87">
        <v>432</v>
      </c>
      <c r="R757" s="87">
        <f t="shared" si="198"/>
        <v>432</v>
      </c>
      <c r="T757" s="87">
        <v>0</v>
      </c>
      <c r="V757" s="87">
        <v>0</v>
      </c>
      <c r="X757" s="87">
        <v>0</v>
      </c>
      <c r="Y757" s="88">
        <v>26207976.5</v>
      </c>
      <c r="Z757" s="87">
        <v>0</v>
      </c>
      <c r="AA757" s="87">
        <v>191</v>
      </c>
      <c r="AB757" s="89">
        <f t="shared" si="199"/>
        <v>0</v>
      </c>
      <c r="AC757" s="89">
        <f t="shared" si="200"/>
        <v>432</v>
      </c>
      <c r="AD757" s="89">
        <f t="shared" si="201"/>
        <v>0</v>
      </c>
      <c r="AE757" s="90">
        <f t="shared" si="202"/>
        <v>0</v>
      </c>
      <c r="AF757" s="90" t="str">
        <f t="shared" si="203"/>
        <v/>
      </c>
      <c r="AG757" s="90">
        <f t="shared" si="204"/>
        <v>432</v>
      </c>
      <c r="AH757" s="90">
        <f t="shared" si="205"/>
        <v>2018</v>
      </c>
      <c r="AI757" s="90">
        <f t="shared" si="206"/>
        <v>432</v>
      </c>
      <c r="AJ757" s="90">
        <f t="shared" si="207"/>
        <v>2018</v>
      </c>
      <c r="AK757" s="90" t="str">
        <f t="shared" si="208"/>
        <v/>
      </c>
      <c r="AL757" s="91">
        <f>IF(AK757="Adjust",(_xlfn.XLOOKUP(A757,'Adj factor'!A:A,'Adj factor'!I:I,,0)*AI757),'Master DataSheet'!AI757)</f>
        <v>432</v>
      </c>
      <c r="AM757" s="91">
        <f t="shared" si="209"/>
        <v>432</v>
      </c>
      <c r="AN757" s="92" t="str">
        <f t="shared" si="210"/>
        <v>No change</v>
      </c>
      <c r="AO757" s="93">
        <f>VLOOKUP(B757,'Growthrates source'!A$2:H$49,8,FALSE)</f>
        <v>7.2635719552709199E-2</v>
      </c>
      <c r="AP757" s="93">
        <f>VLOOKUP(B757,'Growthrates source'!A$2:I$49,9,FALSE)</f>
        <v>2.4687803142194653E-2</v>
      </c>
      <c r="AQ757" s="86">
        <f t="shared" si="211"/>
        <v>132.83328295243894</v>
      </c>
      <c r="AR757" s="86">
        <f t="shared" si="212"/>
        <v>205.68314168635828</v>
      </c>
      <c r="AS757" s="94">
        <f t="shared" si="213"/>
        <v>0</v>
      </c>
      <c r="AT757" s="94">
        <f t="shared" si="214"/>
        <v>0.19134468273058433</v>
      </c>
      <c r="AU757" s="94">
        <f t="shared" si="215"/>
        <v>0.16483531263850149</v>
      </c>
    </row>
    <row r="758" spans="1:47" x14ac:dyDescent="0.3">
      <c r="A758" s="85" t="str">
        <f>_xlfn.XLOOKUP(B758,'Country codes &amp; Data sources'!G:G,'Country codes &amp; Data sources'!H:H,,0)</f>
        <v>Niger</v>
      </c>
      <c r="B758" s="85" t="s">
        <v>190</v>
      </c>
      <c r="C758" s="86">
        <v>17954419</v>
      </c>
      <c r="D758" s="85" t="s">
        <v>206</v>
      </c>
      <c r="E758" s="87">
        <v>0</v>
      </c>
      <c r="F758" s="88">
        <v>18653199</v>
      </c>
      <c r="G758" s="87">
        <v>0</v>
      </c>
      <c r="I758" s="87">
        <v>0</v>
      </c>
      <c r="K758" s="87">
        <v>0</v>
      </c>
      <c r="M758" s="87">
        <v>0</v>
      </c>
      <c r="O758" s="87">
        <v>0</v>
      </c>
      <c r="P758" s="88">
        <v>22577057.999999996</v>
      </c>
      <c r="Q758" s="87">
        <v>439</v>
      </c>
      <c r="R758" s="87">
        <f t="shared" si="198"/>
        <v>439</v>
      </c>
      <c r="T758" s="87">
        <v>0</v>
      </c>
      <c r="V758" s="87">
        <v>0</v>
      </c>
      <c r="X758" s="87">
        <v>0</v>
      </c>
      <c r="Y758" s="88">
        <v>26207976.5</v>
      </c>
      <c r="Z758" s="87">
        <v>0</v>
      </c>
      <c r="AA758" s="87">
        <v>0</v>
      </c>
      <c r="AB758" s="89">
        <f t="shared" si="199"/>
        <v>0</v>
      </c>
      <c r="AC758" s="89">
        <f t="shared" si="200"/>
        <v>439</v>
      </c>
      <c r="AD758" s="89">
        <f t="shared" si="201"/>
        <v>0</v>
      </c>
      <c r="AE758" s="90">
        <f t="shared" si="202"/>
        <v>0</v>
      </c>
      <c r="AF758" s="90" t="str">
        <f t="shared" si="203"/>
        <v/>
      </c>
      <c r="AG758" s="90">
        <f t="shared" si="204"/>
        <v>439</v>
      </c>
      <c r="AH758" s="90">
        <f t="shared" si="205"/>
        <v>2018</v>
      </c>
      <c r="AI758" s="90">
        <f t="shared" si="206"/>
        <v>439</v>
      </c>
      <c r="AJ758" s="90">
        <f t="shared" si="207"/>
        <v>2018</v>
      </c>
      <c r="AK758" s="90" t="str">
        <f t="shared" si="208"/>
        <v/>
      </c>
      <c r="AL758" s="91">
        <f>IF(AK758="Adjust",(_xlfn.XLOOKUP(A758,'Adj factor'!A:A,'Adj factor'!I:I,,0)*AI758),'Master DataSheet'!AI758)</f>
        <v>439</v>
      </c>
      <c r="AM758" s="91">
        <f t="shared" si="209"/>
        <v>439</v>
      </c>
      <c r="AN758" s="92" t="str">
        <f t="shared" si="210"/>
        <v>No change</v>
      </c>
      <c r="AO758" s="93">
        <f>VLOOKUP(B758,'Growthrates source'!A$2:H$49,8,FALSE)</f>
        <v>7.2635719552709199E-2</v>
      </c>
      <c r="AP758" s="93">
        <f>VLOOKUP(B758,'Growthrates source'!A$2:I$49,9,FALSE)</f>
        <v>2.4687803142194653E-2</v>
      </c>
      <c r="AQ758" s="86">
        <f t="shared" si="211"/>
        <v>0</v>
      </c>
      <c r="AR758" s="86">
        <f t="shared" si="212"/>
        <v>0</v>
      </c>
      <c r="AS758" s="94">
        <f t="shared" si="213"/>
        <v>0</v>
      </c>
      <c r="AT758" s="94">
        <f t="shared" si="214"/>
        <v>0.19444517527482991</v>
      </c>
      <c r="AU758" s="94">
        <f t="shared" si="215"/>
        <v>0.16750625520440313</v>
      </c>
    </row>
    <row r="759" spans="1:47" x14ac:dyDescent="0.3">
      <c r="A759" s="85" t="str">
        <f>_xlfn.XLOOKUP(B759,'Country codes &amp; Data sources'!G:G,'Country codes &amp; Data sources'!H:H,,0)</f>
        <v>Niger</v>
      </c>
      <c r="B759" s="85" t="s">
        <v>190</v>
      </c>
      <c r="C759" s="86">
        <v>17954420</v>
      </c>
      <c r="D759" s="85" t="s">
        <v>136</v>
      </c>
      <c r="E759" s="87">
        <v>0</v>
      </c>
      <c r="F759" s="88">
        <v>18653199</v>
      </c>
      <c r="G759" s="87">
        <v>0</v>
      </c>
      <c r="I759" s="87">
        <v>0</v>
      </c>
      <c r="K759" s="87">
        <v>0</v>
      </c>
      <c r="M759" s="87">
        <v>0</v>
      </c>
      <c r="O759" s="87">
        <v>0</v>
      </c>
      <c r="P759" s="88">
        <v>22577057.999999996</v>
      </c>
      <c r="Q759" s="87">
        <v>0</v>
      </c>
      <c r="R759" s="87">
        <f t="shared" si="198"/>
        <v>82</v>
      </c>
      <c r="T759" s="87">
        <v>0</v>
      </c>
      <c r="V759" s="87">
        <v>0</v>
      </c>
      <c r="X759" s="87">
        <v>0</v>
      </c>
      <c r="Y759" s="88">
        <v>26207976.5</v>
      </c>
      <c r="Z759" s="87">
        <v>0</v>
      </c>
      <c r="AA759" s="87">
        <v>82</v>
      </c>
      <c r="AB759" s="89">
        <f t="shared" si="199"/>
        <v>0</v>
      </c>
      <c r="AC759" s="89">
        <f t="shared" si="200"/>
        <v>0</v>
      </c>
      <c r="AD759" s="89">
        <f t="shared" si="201"/>
        <v>0</v>
      </c>
      <c r="AE759" s="90">
        <f t="shared" si="202"/>
        <v>0</v>
      </c>
      <c r="AF759" s="90" t="str">
        <f t="shared" si="203"/>
        <v/>
      </c>
      <c r="AG759" s="90">
        <f t="shared" si="204"/>
        <v>82</v>
      </c>
      <c r="AH759" s="90" t="str">
        <f t="shared" si="205"/>
        <v>2018 (triag)</v>
      </c>
      <c r="AI759" s="90">
        <f t="shared" si="206"/>
        <v>82</v>
      </c>
      <c r="AJ759" s="90" t="str">
        <f t="shared" si="207"/>
        <v>2018 (triag)</v>
      </c>
      <c r="AK759" s="90" t="str">
        <f t="shared" si="208"/>
        <v/>
      </c>
      <c r="AL759" s="91">
        <f>IF(AK759="Adjust",(_xlfn.XLOOKUP(A759,'Adj factor'!A:A,'Adj factor'!I:I,,0)*AI759),'Master DataSheet'!AI759)</f>
        <v>82</v>
      </c>
      <c r="AM759" s="91">
        <f t="shared" si="209"/>
        <v>82</v>
      </c>
      <c r="AN759" s="92" t="str">
        <f t="shared" si="210"/>
        <v>No change</v>
      </c>
      <c r="AO759" s="93">
        <f>VLOOKUP(B759,'Growthrates source'!A$2:H$49,8,FALSE)</f>
        <v>7.2635719552709199E-2</v>
      </c>
      <c r="AP759" s="93">
        <f>VLOOKUP(B759,'Growthrates source'!A$2:I$49,9,FALSE)</f>
        <v>2.4687803142194653E-2</v>
      </c>
      <c r="AQ759" s="86">
        <f t="shared" si="211"/>
        <v>57.027901581675358</v>
      </c>
      <c r="AR759" s="86">
        <f t="shared" si="212"/>
        <v>88.303757163776851</v>
      </c>
      <c r="AS759" s="94">
        <f t="shared" si="213"/>
        <v>0</v>
      </c>
      <c r="AT759" s="94">
        <f t="shared" si="214"/>
        <v>3.6320055518305361E-2</v>
      </c>
      <c r="AU759" s="94">
        <f t="shared" si="215"/>
        <v>3.1288184343419262E-2</v>
      </c>
    </row>
    <row r="760" spans="1:47" x14ac:dyDescent="0.3">
      <c r="A760" s="85" t="str">
        <f>_xlfn.XLOOKUP(B760,'Country codes &amp; Data sources'!G:G,'Country codes &amp; Data sources'!H:H,,0)</f>
        <v>Niger</v>
      </c>
      <c r="B760" s="85" t="s">
        <v>190</v>
      </c>
      <c r="C760" s="86">
        <v>17954421</v>
      </c>
      <c r="D760" s="85" t="s">
        <v>207</v>
      </c>
      <c r="E760" s="87">
        <v>0</v>
      </c>
      <c r="F760" s="88">
        <v>18653199</v>
      </c>
      <c r="G760" s="87">
        <v>0</v>
      </c>
      <c r="I760" s="87">
        <v>0</v>
      </c>
      <c r="K760" s="87">
        <v>0</v>
      </c>
      <c r="M760" s="87">
        <v>0</v>
      </c>
      <c r="O760" s="87">
        <v>0</v>
      </c>
      <c r="P760" s="88">
        <v>22577057.999999996</v>
      </c>
      <c r="Q760" s="87">
        <v>0</v>
      </c>
      <c r="R760" s="87">
        <f t="shared" si="198"/>
        <v>22</v>
      </c>
      <c r="T760" s="87">
        <v>0</v>
      </c>
      <c r="V760" s="87">
        <v>0</v>
      </c>
      <c r="X760" s="87">
        <v>0</v>
      </c>
      <c r="Y760" s="88">
        <v>26207976.5</v>
      </c>
      <c r="Z760" s="87">
        <v>0</v>
      </c>
      <c r="AA760" s="87">
        <v>22</v>
      </c>
      <c r="AB760" s="89">
        <f t="shared" si="199"/>
        <v>0</v>
      </c>
      <c r="AC760" s="89">
        <f t="shared" si="200"/>
        <v>0</v>
      </c>
      <c r="AD760" s="89">
        <f t="shared" si="201"/>
        <v>0</v>
      </c>
      <c r="AE760" s="90">
        <f t="shared" si="202"/>
        <v>0</v>
      </c>
      <c r="AF760" s="90" t="str">
        <f t="shared" si="203"/>
        <v/>
      </c>
      <c r="AG760" s="90">
        <f t="shared" si="204"/>
        <v>22</v>
      </c>
      <c r="AH760" s="90" t="str">
        <f t="shared" si="205"/>
        <v>2018 (triag)</v>
      </c>
      <c r="AI760" s="90">
        <f t="shared" si="206"/>
        <v>22</v>
      </c>
      <c r="AJ760" s="90" t="str">
        <f t="shared" si="207"/>
        <v>2018 (triag)</v>
      </c>
      <c r="AK760" s="90" t="str">
        <f t="shared" si="208"/>
        <v/>
      </c>
      <c r="AL760" s="91">
        <f>IF(AK760="Adjust",(_xlfn.XLOOKUP(A760,'Adj factor'!A:A,'Adj factor'!I:I,,0)*AI760),'Master DataSheet'!AI760)</f>
        <v>22</v>
      </c>
      <c r="AM760" s="91">
        <f t="shared" si="209"/>
        <v>22</v>
      </c>
      <c r="AN760" s="92" t="str">
        <f t="shared" si="210"/>
        <v>No change</v>
      </c>
      <c r="AO760" s="93">
        <f>VLOOKUP(B760,'Growthrates source'!A$2:H$49,8,FALSE)</f>
        <v>7.2635719552709199E-2</v>
      </c>
      <c r="AP760" s="93">
        <f>VLOOKUP(B760,'Growthrates source'!A$2:I$49,9,FALSE)</f>
        <v>2.4687803142194653E-2</v>
      </c>
      <c r="AQ760" s="86">
        <f t="shared" si="211"/>
        <v>15.300168717034852</v>
      </c>
      <c r="AR760" s="86">
        <f t="shared" si="212"/>
        <v>23.691251921988911</v>
      </c>
      <c r="AS760" s="94">
        <f t="shared" si="213"/>
        <v>0</v>
      </c>
      <c r="AT760" s="94">
        <f t="shared" si="214"/>
        <v>9.7444051390575357E-3</v>
      </c>
      <c r="AU760" s="94">
        <f t="shared" si="215"/>
        <v>8.394390921405169E-3</v>
      </c>
    </row>
    <row r="761" spans="1:47" x14ac:dyDescent="0.3">
      <c r="A761" s="85" t="str">
        <f>_xlfn.XLOOKUP(B761,'Country codes &amp; Data sources'!G:G,'Country codes &amp; Data sources'!H:H,,0)</f>
        <v>Niger</v>
      </c>
      <c r="B761" s="85" t="s">
        <v>190</v>
      </c>
      <c r="C761" s="86">
        <v>17954422</v>
      </c>
      <c r="D761" s="85" t="s">
        <v>141</v>
      </c>
      <c r="E761" s="87">
        <v>0</v>
      </c>
      <c r="F761" s="88">
        <v>18653199</v>
      </c>
      <c r="G761" s="87">
        <v>0</v>
      </c>
      <c r="I761" s="87">
        <v>0</v>
      </c>
      <c r="K761" s="87">
        <v>0</v>
      </c>
      <c r="M761" s="87">
        <v>0</v>
      </c>
      <c r="O761" s="87">
        <v>0</v>
      </c>
      <c r="P761" s="88">
        <v>22577057.999999996</v>
      </c>
      <c r="Q761" s="87">
        <v>0</v>
      </c>
      <c r="R761" s="87">
        <f t="shared" si="198"/>
        <v>0</v>
      </c>
      <c r="T761" s="87">
        <v>0</v>
      </c>
      <c r="V761" s="87">
        <v>0</v>
      </c>
      <c r="X761" s="87">
        <v>0</v>
      </c>
      <c r="Y761" s="88">
        <v>26207976.5</v>
      </c>
      <c r="Z761" s="87">
        <v>0</v>
      </c>
      <c r="AA761" s="87">
        <v>0</v>
      </c>
      <c r="AB761" s="89">
        <f t="shared" si="199"/>
        <v>0</v>
      </c>
      <c r="AC761" s="89">
        <f t="shared" si="200"/>
        <v>0</v>
      </c>
      <c r="AD761" s="89">
        <f t="shared" si="201"/>
        <v>0</v>
      </c>
      <c r="AE761" s="90">
        <f t="shared" si="202"/>
        <v>0</v>
      </c>
      <c r="AF761" s="90" t="str">
        <f t="shared" si="203"/>
        <v/>
      </c>
      <c r="AG761" s="90">
        <f t="shared" si="204"/>
        <v>0</v>
      </c>
      <c r="AH761" s="90" t="str">
        <f t="shared" si="205"/>
        <v/>
      </c>
      <c r="AI761" s="90">
        <f t="shared" si="206"/>
        <v>0</v>
      </c>
      <c r="AJ761" s="90" t="str">
        <f t="shared" si="207"/>
        <v/>
      </c>
      <c r="AK761" s="90" t="str">
        <f t="shared" si="208"/>
        <v/>
      </c>
      <c r="AL761" s="91">
        <f>IF(AK761="Adjust",(_xlfn.XLOOKUP(A761,'Adj factor'!A:A,'Adj factor'!I:I,,0)*AI761),'Master DataSheet'!AI761)</f>
        <v>0</v>
      </c>
      <c r="AM761" s="91">
        <f t="shared" si="209"/>
        <v>0</v>
      </c>
      <c r="AN761" s="92" t="str">
        <f t="shared" si="210"/>
        <v>No change</v>
      </c>
      <c r="AO761" s="93">
        <f>VLOOKUP(B761,'Growthrates source'!A$2:H$49,8,FALSE)</f>
        <v>7.2635719552709199E-2</v>
      </c>
      <c r="AP761" s="93">
        <f>VLOOKUP(B761,'Growthrates source'!A$2:I$49,9,FALSE)</f>
        <v>2.4687803142194653E-2</v>
      </c>
      <c r="AQ761" s="86">
        <f t="shared" si="211"/>
        <v>0</v>
      </c>
      <c r="AR761" s="86">
        <f t="shared" si="212"/>
        <v>0</v>
      </c>
      <c r="AS761" s="94">
        <f t="shared" si="213"/>
        <v>0</v>
      </c>
      <c r="AT761" s="94">
        <f t="shared" si="214"/>
        <v>0</v>
      </c>
      <c r="AU761" s="94">
        <f t="shared" si="215"/>
        <v>0</v>
      </c>
    </row>
    <row r="762" spans="1:47" x14ac:dyDescent="0.3">
      <c r="A762" s="85" t="str">
        <f>_xlfn.XLOOKUP(B762,'Country codes &amp; Data sources'!G:G,'Country codes &amp; Data sources'!H:H,,0)</f>
        <v>Niger</v>
      </c>
      <c r="B762" s="85" t="s">
        <v>190</v>
      </c>
      <c r="C762" s="86">
        <v>17954423</v>
      </c>
      <c r="D762" s="85" t="s">
        <v>208</v>
      </c>
      <c r="E762" s="87">
        <v>0</v>
      </c>
      <c r="F762" s="88">
        <v>18653199</v>
      </c>
      <c r="G762" s="87">
        <v>0</v>
      </c>
      <c r="I762" s="87">
        <v>0</v>
      </c>
      <c r="K762" s="87">
        <v>0</v>
      </c>
      <c r="M762" s="87">
        <v>0</v>
      </c>
      <c r="O762" s="87">
        <v>0</v>
      </c>
      <c r="P762" s="88">
        <v>22577057.999999996</v>
      </c>
      <c r="Q762" s="87">
        <v>0</v>
      </c>
      <c r="R762" s="87">
        <f t="shared" si="198"/>
        <v>542</v>
      </c>
      <c r="T762" s="87">
        <v>0</v>
      </c>
      <c r="V762" s="87">
        <v>0</v>
      </c>
      <c r="X762" s="87">
        <v>0</v>
      </c>
      <c r="Y762" s="88">
        <v>26207976.5</v>
      </c>
      <c r="Z762" s="87">
        <v>0</v>
      </c>
      <c r="AA762" s="87">
        <v>542</v>
      </c>
      <c r="AB762" s="89">
        <f t="shared" si="199"/>
        <v>0</v>
      </c>
      <c r="AC762" s="89">
        <f t="shared" si="200"/>
        <v>0</v>
      </c>
      <c r="AD762" s="89">
        <f t="shared" si="201"/>
        <v>0</v>
      </c>
      <c r="AE762" s="90">
        <f t="shared" si="202"/>
        <v>0</v>
      </c>
      <c r="AF762" s="90" t="str">
        <f t="shared" si="203"/>
        <v/>
      </c>
      <c r="AG762" s="90">
        <f t="shared" si="204"/>
        <v>542</v>
      </c>
      <c r="AH762" s="90" t="str">
        <f t="shared" si="205"/>
        <v>2018 (triag)</v>
      </c>
      <c r="AI762" s="90">
        <f t="shared" si="206"/>
        <v>542</v>
      </c>
      <c r="AJ762" s="90" t="str">
        <f t="shared" si="207"/>
        <v>2018 (triag)</v>
      </c>
      <c r="AK762" s="90" t="str">
        <f t="shared" si="208"/>
        <v/>
      </c>
      <c r="AL762" s="91">
        <f>IF(AK762="Adjust",(_xlfn.XLOOKUP(A762,'Adj factor'!A:A,'Adj factor'!I:I,,0)*AI762),'Master DataSheet'!AI762)</f>
        <v>542</v>
      </c>
      <c r="AM762" s="91">
        <f t="shared" si="209"/>
        <v>542</v>
      </c>
      <c r="AN762" s="92" t="str">
        <f t="shared" si="210"/>
        <v>No change</v>
      </c>
      <c r="AO762" s="93">
        <f>VLOOKUP(B762,'Growthrates source'!A$2:H$49,8,FALSE)</f>
        <v>7.2635719552709199E-2</v>
      </c>
      <c r="AP762" s="93">
        <f>VLOOKUP(B762,'Growthrates source'!A$2:I$49,9,FALSE)</f>
        <v>2.4687803142194653E-2</v>
      </c>
      <c r="AQ762" s="86">
        <f t="shared" si="211"/>
        <v>376.94052021058593</v>
      </c>
      <c r="AR762" s="86">
        <f t="shared" si="212"/>
        <v>583.66629735081767</v>
      </c>
      <c r="AS762" s="94">
        <f t="shared" si="213"/>
        <v>0</v>
      </c>
      <c r="AT762" s="94">
        <f t="shared" si="214"/>
        <v>0.24006670842587199</v>
      </c>
      <c r="AU762" s="94">
        <f t="shared" si="215"/>
        <v>0.20680726724552734</v>
      </c>
    </row>
    <row r="763" spans="1:47" x14ac:dyDescent="0.3">
      <c r="A763" s="85" t="str">
        <f>_xlfn.XLOOKUP(B763,'Country codes &amp; Data sources'!G:G,'Country codes &amp; Data sources'!H:H,,0)</f>
        <v>Niger</v>
      </c>
      <c r="B763" s="85" t="s">
        <v>190</v>
      </c>
      <c r="C763" s="86">
        <v>17954424</v>
      </c>
      <c r="D763" s="85" t="s">
        <v>209</v>
      </c>
      <c r="E763" s="87">
        <v>0</v>
      </c>
      <c r="F763" s="88">
        <v>18653199</v>
      </c>
      <c r="G763" s="87">
        <v>0</v>
      </c>
      <c r="I763" s="87">
        <v>0</v>
      </c>
      <c r="K763" s="87">
        <v>0</v>
      </c>
      <c r="M763" s="87">
        <v>0</v>
      </c>
      <c r="O763" s="87">
        <v>0</v>
      </c>
      <c r="P763" s="88">
        <v>22577057.999999996</v>
      </c>
      <c r="Q763" s="87">
        <v>249</v>
      </c>
      <c r="R763" s="87">
        <f t="shared" si="198"/>
        <v>462</v>
      </c>
      <c r="T763" s="87">
        <v>0</v>
      </c>
      <c r="V763" s="87">
        <v>0</v>
      </c>
      <c r="X763" s="87">
        <v>0</v>
      </c>
      <c r="Y763" s="88">
        <v>26207976.5</v>
      </c>
      <c r="Z763" s="87">
        <v>0</v>
      </c>
      <c r="AA763" s="87">
        <v>462</v>
      </c>
      <c r="AB763" s="89">
        <f t="shared" si="199"/>
        <v>0</v>
      </c>
      <c r="AC763" s="89">
        <f t="shared" si="200"/>
        <v>249</v>
      </c>
      <c r="AD763" s="89">
        <f t="shared" si="201"/>
        <v>0</v>
      </c>
      <c r="AE763" s="90">
        <f t="shared" si="202"/>
        <v>0</v>
      </c>
      <c r="AF763" s="90" t="str">
        <f t="shared" si="203"/>
        <v/>
      </c>
      <c r="AG763" s="90">
        <f t="shared" si="204"/>
        <v>462</v>
      </c>
      <c r="AH763" s="90" t="str">
        <f t="shared" si="205"/>
        <v>2018 (triag)</v>
      </c>
      <c r="AI763" s="90">
        <f t="shared" si="206"/>
        <v>462</v>
      </c>
      <c r="AJ763" s="90" t="str">
        <f t="shared" si="207"/>
        <v>2018 (triag)</v>
      </c>
      <c r="AK763" s="90" t="str">
        <f t="shared" si="208"/>
        <v/>
      </c>
      <c r="AL763" s="91">
        <f>IF(AK763="Adjust",(_xlfn.XLOOKUP(A763,'Adj factor'!A:A,'Adj factor'!I:I,,0)*AI763),'Master DataSheet'!AI763)</f>
        <v>462</v>
      </c>
      <c r="AM763" s="91">
        <f t="shared" si="209"/>
        <v>462</v>
      </c>
      <c r="AN763" s="92" t="str">
        <f t="shared" si="210"/>
        <v>No change</v>
      </c>
      <c r="AO763" s="93">
        <f>VLOOKUP(B763,'Growthrates source'!A$2:H$49,8,FALSE)</f>
        <v>7.2635719552709199E-2</v>
      </c>
      <c r="AP763" s="93">
        <f>VLOOKUP(B763,'Growthrates source'!A$2:I$49,9,FALSE)</f>
        <v>2.4687803142194653E-2</v>
      </c>
      <c r="AQ763" s="86">
        <f t="shared" si="211"/>
        <v>321.30354305773193</v>
      </c>
      <c r="AR763" s="86">
        <f t="shared" si="212"/>
        <v>497.51629036176712</v>
      </c>
      <c r="AS763" s="94">
        <f t="shared" si="213"/>
        <v>0</v>
      </c>
      <c r="AT763" s="94">
        <f t="shared" si="214"/>
        <v>0.20463250792020823</v>
      </c>
      <c r="AU763" s="94">
        <f t="shared" si="215"/>
        <v>0.17628220934950853</v>
      </c>
    </row>
    <row r="764" spans="1:47" x14ac:dyDescent="0.3">
      <c r="A764" s="85" t="str">
        <f>_xlfn.XLOOKUP(B764,'Country codes &amp; Data sources'!G:G,'Country codes &amp; Data sources'!H:H,,0)</f>
        <v>Niger</v>
      </c>
      <c r="B764" s="85" t="s">
        <v>190</v>
      </c>
      <c r="C764" s="86">
        <v>17954425</v>
      </c>
      <c r="D764" s="85" t="s">
        <v>134</v>
      </c>
      <c r="E764" s="87">
        <v>0</v>
      </c>
      <c r="F764" s="88">
        <v>18653199</v>
      </c>
      <c r="G764" s="87">
        <v>0</v>
      </c>
      <c r="I764" s="87">
        <v>0</v>
      </c>
      <c r="K764" s="87">
        <v>0</v>
      </c>
      <c r="M764" s="87">
        <v>0</v>
      </c>
      <c r="O764" s="87">
        <v>0</v>
      </c>
      <c r="P764" s="88">
        <v>22577057.999999996</v>
      </c>
      <c r="Q764" s="87">
        <v>0</v>
      </c>
      <c r="R764" s="87">
        <f t="shared" si="198"/>
        <v>432</v>
      </c>
      <c r="T764" s="87">
        <v>0</v>
      </c>
      <c r="V764" s="87">
        <v>0</v>
      </c>
      <c r="X764" s="87">
        <v>0</v>
      </c>
      <c r="Y764" s="88">
        <v>26207976.5</v>
      </c>
      <c r="Z764" s="87">
        <v>418</v>
      </c>
      <c r="AA764" s="87">
        <v>432</v>
      </c>
      <c r="AB764" s="89">
        <f t="shared" si="199"/>
        <v>0</v>
      </c>
      <c r="AC764" s="89">
        <f t="shared" si="200"/>
        <v>0</v>
      </c>
      <c r="AD764" s="89">
        <f t="shared" si="201"/>
        <v>418</v>
      </c>
      <c r="AE764" s="90">
        <f t="shared" si="202"/>
        <v>0</v>
      </c>
      <c r="AF764" s="90" t="str">
        <f t="shared" si="203"/>
        <v/>
      </c>
      <c r="AG764" s="90">
        <f t="shared" si="204"/>
        <v>432</v>
      </c>
      <c r="AH764" s="90" t="str">
        <f t="shared" si="205"/>
        <v>2018 (triag)</v>
      </c>
      <c r="AI764" s="90">
        <f t="shared" si="206"/>
        <v>418</v>
      </c>
      <c r="AJ764" s="90">
        <f t="shared" si="207"/>
        <v>2022</v>
      </c>
      <c r="AK764" s="90" t="str">
        <f t="shared" si="208"/>
        <v>Adjust</v>
      </c>
      <c r="AL764" s="91">
        <f>IF(AK764="Adjust",(_xlfn.XLOOKUP(A764,'Adj factor'!A:A,'Adj factor'!I:I,,0)*AI764),'Master DataSheet'!AI764)</f>
        <v>480.40683332593352</v>
      </c>
      <c r="AM764" s="91">
        <f t="shared" si="209"/>
        <v>480.40683332593352</v>
      </c>
      <c r="AN764" s="92" t="str">
        <f t="shared" si="210"/>
        <v>Increasing</v>
      </c>
      <c r="AO764" s="93">
        <f>VLOOKUP(B764,'Growthrates source'!A$2:H$49,8,FALSE)</f>
        <v>7.2635719552709199E-2</v>
      </c>
      <c r="AP764" s="93">
        <f>VLOOKUP(B764,'Growthrates source'!A$2:I$49,9,FALSE)</f>
        <v>2.4687803142194653E-2</v>
      </c>
      <c r="AQ764" s="86">
        <f t="shared" si="211"/>
        <v>300.43967662541166</v>
      </c>
      <c r="AR764" s="86">
        <f t="shared" si="212"/>
        <v>465.21003774087313</v>
      </c>
      <c r="AS764" s="94">
        <f t="shared" si="213"/>
        <v>0</v>
      </c>
      <c r="AT764" s="94">
        <f t="shared" si="214"/>
        <v>0.19134468273058433</v>
      </c>
      <c r="AU764" s="94">
        <f t="shared" si="215"/>
        <v>0.18330558001146463</v>
      </c>
    </row>
    <row r="765" spans="1:47" x14ac:dyDescent="0.3">
      <c r="A765" s="85" t="str">
        <f>_xlfn.XLOOKUP(B765,'Country codes &amp; Data sources'!G:G,'Country codes &amp; Data sources'!H:H,,0)</f>
        <v>Niger</v>
      </c>
      <c r="B765" s="85" t="s">
        <v>190</v>
      </c>
      <c r="C765" s="86">
        <v>17954426</v>
      </c>
      <c r="D765" s="85" t="s">
        <v>142</v>
      </c>
      <c r="E765" s="87">
        <v>0</v>
      </c>
      <c r="F765" s="88">
        <v>18653199</v>
      </c>
      <c r="G765" s="87">
        <v>0</v>
      </c>
      <c r="I765" s="87">
        <v>0</v>
      </c>
      <c r="K765" s="87">
        <v>0</v>
      </c>
      <c r="M765" s="87">
        <v>0</v>
      </c>
      <c r="O765" s="87">
        <v>0</v>
      </c>
      <c r="P765" s="88">
        <v>22577057.999999996</v>
      </c>
      <c r="Q765" s="87">
        <v>0</v>
      </c>
      <c r="R765" s="87">
        <f t="shared" si="198"/>
        <v>598</v>
      </c>
      <c r="T765" s="87">
        <v>0</v>
      </c>
      <c r="V765" s="87">
        <v>0</v>
      </c>
      <c r="X765" s="87">
        <v>0</v>
      </c>
      <c r="Y765" s="88">
        <v>26207976.5</v>
      </c>
      <c r="Z765" s="87">
        <v>1592</v>
      </c>
      <c r="AA765" s="87">
        <v>598</v>
      </c>
      <c r="AB765" s="89">
        <f t="shared" si="199"/>
        <v>0</v>
      </c>
      <c r="AC765" s="89">
        <f t="shared" si="200"/>
        <v>0</v>
      </c>
      <c r="AD765" s="89">
        <f t="shared" si="201"/>
        <v>1592</v>
      </c>
      <c r="AE765" s="90">
        <f t="shared" si="202"/>
        <v>0</v>
      </c>
      <c r="AF765" s="90" t="str">
        <f t="shared" si="203"/>
        <v/>
      </c>
      <c r="AG765" s="90">
        <f t="shared" si="204"/>
        <v>598</v>
      </c>
      <c r="AH765" s="90" t="str">
        <f t="shared" si="205"/>
        <v>2018 (triag)</v>
      </c>
      <c r="AI765" s="90">
        <f t="shared" si="206"/>
        <v>1592</v>
      </c>
      <c r="AJ765" s="90">
        <f t="shared" si="207"/>
        <v>2022</v>
      </c>
      <c r="AK765" s="90" t="str">
        <f t="shared" si="208"/>
        <v/>
      </c>
      <c r="AL765" s="91">
        <f>IF(AK765="Adjust",(_xlfn.XLOOKUP(A765,'Adj factor'!A:A,'Adj factor'!I:I,,0)*AI765),'Master DataSheet'!AI765)</f>
        <v>1592</v>
      </c>
      <c r="AM765" s="91">
        <f t="shared" si="209"/>
        <v>1592</v>
      </c>
      <c r="AN765" s="92" t="str">
        <f t="shared" si="210"/>
        <v>Increasing</v>
      </c>
      <c r="AO765" s="93">
        <f>VLOOKUP(B765,'Growthrates source'!A$2:H$49,8,FALSE)</f>
        <v>7.2635719552709199E-2</v>
      </c>
      <c r="AP765" s="93">
        <f>VLOOKUP(B765,'Growthrates source'!A$2:I$49,9,FALSE)</f>
        <v>2.4687803142194653E-2</v>
      </c>
      <c r="AQ765" s="86">
        <f t="shared" si="211"/>
        <v>415.88640421758373</v>
      </c>
      <c r="AR765" s="86">
        <f t="shared" si="212"/>
        <v>643.9713022431531</v>
      </c>
      <c r="AS765" s="94">
        <f t="shared" si="213"/>
        <v>0</v>
      </c>
      <c r="AT765" s="94">
        <f t="shared" si="214"/>
        <v>0.26487064877983663</v>
      </c>
      <c r="AU765" s="94">
        <f t="shared" si="215"/>
        <v>0.60744865213077404</v>
      </c>
    </row>
    <row r="766" spans="1:47" x14ac:dyDescent="0.3">
      <c r="A766" s="85" t="str">
        <f>_xlfn.XLOOKUP(B766,'Country codes &amp; Data sources'!G:G,'Country codes &amp; Data sources'!H:H,,0)</f>
        <v>Niger</v>
      </c>
      <c r="B766" s="85" t="s">
        <v>190</v>
      </c>
      <c r="C766" s="86">
        <v>17954427</v>
      </c>
      <c r="D766" s="85" t="s">
        <v>83</v>
      </c>
      <c r="E766" s="87">
        <v>0</v>
      </c>
      <c r="F766" s="88">
        <v>18653199</v>
      </c>
      <c r="G766" s="87">
        <v>0</v>
      </c>
      <c r="I766" s="87">
        <v>0</v>
      </c>
      <c r="K766" s="87">
        <v>0</v>
      </c>
      <c r="M766" s="87">
        <v>0</v>
      </c>
      <c r="O766" s="87">
        <v>0</v>
      </c>
      <c r="P766" s="88">
        <v>22577057.999999996</v>
      </c>
      <c r="Q766" s="87">
        <v>0</v>
      </c>
      <c r="R766" s="87">
        <f t="shared" si="198"/>
        <v>0</v>
      </c>
      <c r="T766" s="87">
        <v>0</v>
      </c>
      <c r="V766" s="87">
        <v>0</v>
      </c>
      <c r="X766" s="87">
        <v>0</v>
      </c>
      <c r="Y766" s="88">
        <v>26207976.5</v>
      </c>
      <c r="Z766" s="87">
        <v>0</v>
      </c>
      <c r="AA766" s="87">
        <v>0</v>
      </c>
      <c r="AB766" s="89">
        <f t="shared" si="199"/>
        <v>0</v>
      </c>
      <c r="AC766" s="89">
        <f t="shared" si="200"/>
        <v>0</v>
      </c>
      <c r="AD766" s="89">
        <f t="shared" si="201"/>
        <v>0</v>
      </c>
      <c r="AE766" s="90">
        <f t="shared" si="202"/>
        <v>0</v>
      </c>
      <c r="AF766" s="90" t="str">
        <f t="shared" si="203"/>
        <v/>
      </c>
      <c r="AG766" s="90">
        <f t="shared" si="204"/>
        <v>0</v>
      </c>
      <c r="AH766" s="90" t="str">
        <f t="shared" si="205"/>
        <v/>
      </c>
      <c r="AI766" s="90">
        <f t="shared" si="206"/>
        <v>0</v>
      </c>
      <c r="AJ766" s="90" t="str">
        <f t="shared" si="207"/>
        <v/>
      </c>
      <c r="AK766" s="90" t="str">
        <f t="shared" si="208"/>
        <v/>
      </c>
      <c r="AL766" s="91">
        <f>IF(AK766="Adjust",(_xlfn.XLOOKUP(A766,'Adj factor'!A:A,'Adj factor'!I:I,,0)*AI766),'Master DataSheet'!AI766)</f>
        <v>0</v>
      </c>
      <c r="AM766" s="91">
        <f t="shared" si="209"/>
        <v>0</v>
      </c>
      <c r="AN766" s="92" t="str">
        <f t="shared" si="210"/>
        <v>No change</v>
      </c>
      <c r="AO766" s="93">
        <f>VLOOKUP(B766,'Growthrates source'!A$2:H$49,8,FALSE)</f>
        <v>7.2635719552709199E-2</v>
      </c>
      <c r="AP766" s="93">
        <f>VLOOKUP(B766,'Growthrates source'!A$2:I$49,9,FALSE)</f>
        <v>2.4687803142194653E-2</v>
      </c>
      <c r="AQ766" s="86">
        <f t="shared" si="211"/>
        <v>0</v>
      </c>
      <c r="AR766" s="86">
        <f t="shared" si="212"/>
        <v>0</v>
      </c>
      <c r="AS766" s="94">
        <f t="shared" si="213"/>
        <v>0</v>
      </c>
      <c r="AT766" s="94">
        <f t="shared" si="214"/>
        <v>0</v>
      </c>
      <c r="AU766" s="94">
        <f t="shared" si="215"/>
        <v>0</v>
      </c>
    </row>
    <row r="767" spans="1:47" x14ac:dyDescent="0.3">
      <c r="A767" s="85" t="str">
        <f>_xlfn.XLOOKUP(B767,'Country codes &amp; Data sources'!G:G,'Country codes &amp; Data sources'!H:H,,0)</f>
        <v>Niger</v>
      </c>
      <c r="B767" s="85" t="s">
        <v>190</v>
      </c>
      <c r="C767" s="86">
        <v>17954428</v>
      </c>
      <c r="D767" s="85" t="s">
        <v>84</v>
      </c>
      <c r="E767" s="87">
        <v>0</v>
      </c>
      <c r="F767" s="88">
        <v>18653199</v>
      </c>
      <c r="G767" s="87">
        <v>0</v>
      </c>
      <c r="I767" s="87">
        <v>0</v>
      </c>
      <c r="K767" s="87">
        <v>0</v>
      </c>
      <c r="M767" s="87">
        <v>0</v>
      </c>
      <c r="O767" s="87">
        <v>0</v>
      </c>
      <c r="P767" s="88">
        <v>22577057.999999996</v>
      </c>
      <c r="Q767" s="87">
        <v>0</v>
      </c>
      <c r="R767" s="87">
        <f t="shared" si="198"/>
        <v>0</v>
      </c>
      <c r="T767" s="87">
        <v>0</v>
      </c>
      <c r="V767" s="87">
        <v>0</v>
      </c>
      <c r="X767" s="87">
        <v>0</v>
      </c>
      <c r="Y767" s="88">
        <v>26207976.5</v>
      </c>
      <c r="Z767" s="87">
        <v>0</v>
      </c>
      <c r="AA767" s="87">
        <v>0</v>
      </c>
      <c r="AB767" s="89">
        <f t="shared" si="199"/>
        <v>0</v>
      </c>
      <c r="AC767" s="89">
        <f t="shared" si="200"/>
        <v>0</v>
      </c>
      <c r="AD767" s="89">
        <f t="shared" si="201"/>
        <v>0</v>
      </c>
      <c r="AE767" s="90">
        <f t="shared" si="202"/>
        <v>0</v>
      </c>
      <c r="AF767" s="90" t="str">
        <f t="shared" si="203"/>
        <v/>
      </c>
      <c r="AG767" s="90">
        <f t="shared" si="204"/>
        <v>0</v>
      </c>
      <c r="AH767" s="90" t="str">
        <f t="shared" si="205"/>
        <v/>
      </c>
      <c r="AI767" s="90">
        <f t="shared" si="206"/>
        <v>0</v>
      </c>
      <c r="AJ767" s="90" t="str">
        <f t="shared" si="207"/>
        <v/>
      </c>
      <c r="AK767" s="90" t="str">
        <f t="shared" si="208"/>
        <v/>
      </c>
      <c r="AL767" s="91">
        <f>IF(AK767="Adjust",(_xlfn.XLOOKUP(A767,'Adj factor'!A:A,'Adj factor'!I:I,,0)*AI767),'Master DataSheet'!AI767)</f>
        <v>0</v>
      </c>
      <c r="AM767" s="91">
        <f t="shared" si="209"/>
        <v>0</v>
      </c>
      <c r="AN767" s="92" t="str">
        <f t="shared" si="210"/>
        <v>No change</v>
      </c>
      <c r="AO767" s="93">
        <f>VLOOKUP(B767,'Growthrates source'!A$2:H$49,8,FALSE)</f>
        <v>7.2635719552709199E-2</v>
      </c>
      <c r="AP767" s="93">
        <f>VLOOKUP(B767,'Growthrates source'!A$2:I$49,9,FALSE)</f>
        <v>2.4687803142194653E-2</v>
      </c>
      <c r="AQ767" s="86">
        <f t="shared" si="211"/>
        <v>0</v>
      </c>
      <c r="AR767" s="86">
        <f t="shared" si="212"/>
        <v>0</v>
      </c>
      <c r="AS767" s="94">
        <f t="shared" si="213"/>
        <v>0</v>
      </c>
      <c r="AT767" s="94">
        <f t="shared" si="214"/>
        <v>0</v>
      </c>
      <c r="AU767" s="94">
        <f t="shared" si="215"/>
        <v>0</v>
      </c>
    </row>
    <row r="768" spans="1:47" x14ac:dyDescent="0.3">
      <c r="A768" s="85" t="str">
        <f>_xlfn.XLOOKUP(B768,'Country codes &amp; Data sources'!G:G,'Country codes &amp; Data sources'!H:H,,0)</f>
        <v>Niger</v>
      </c>
      <c r="B768" s="85" t="s">
        <v>190</v>
      </c>
      <c r="C768" s="86">
        <v>17954429</v>
      </c>
      <c r="D768" s="85" t="s">
        <v>126</v>
      </c>
      <c r="E768" s="87">
        <v>0</v>
      </c>
      <c r="F768" s="88">
        <v>18653199</v>
      </c>
      <c r="G768" s="87">
        <v>0</v>
      </c>
      <c r="I768" s="87">
        <v>0</v>
      </c>
      <c r="K768" s="87">
        <v>0</v>
      </c>
      <c r="M768" s="87">
        <v>0</v>
      </c>
      <c r="O768" s="87">
        <v>0</v>
      </c>
      <c r="P768" s="88">
        <v>22577057.999999996</v>
      </c>
      <c r="Q768" s="87">
        <v>0</v>
      </c>
      <c r="R768" s="87">
        <f t="shared" si="198"/>
        <v>0</v>
      </c>
      <c r="T768" s="87">
        <v>0</v>
      </c>
      <c r="V768" s="87">
        <v>0</v>
      </c>
      <c r="X768" s="87">
        <v>0</v>
      </c>
      <c r="Y768" s="88">
        <v>26207976.5</v>
      </c>
      <c r="Z768" s="87">
        <v>0</v>
      </c>
      <c r="AA768" s="87">
        <v>0</v>
      </c>
      <c r="AB768" s="89">
        <f t="shared" si="199"/>
        <v>0</v>
      </c>
      <c r="AC768" s="89">
        <f t="shared" si="200"/>
        <v>0</v>
      </c>
      <c r="AD768" s="89">
        <f t="shared" si="201"/>
        <v>0</v>
      </c>
      <c r="AE768" s="90">
        <f t="shared" si="202"/>
        <v>0</v>
      </c>
      <c r="AF768" s="90" t="str">
        <f t="shared" si="203"/>
        <v/>
      </c>
      <c r="AG768" s="90">
        <f t="shared" si="204"/>
        <v>0</v>
      </c>
      <c r="AH768" s="90" t="str">
        <f t="shared" si="205"/>
        <v/>
      </c>
      <c r="AI768" s="90">
        <f t="shared" si="206"/>
        <v>0</v>
      </c>
      <c r="AJ768" s="90" t="str">
        <f t="shared" si="207"/>
        <v/>
      </c>
      <c r="AK768" s="90" t="str">
        <f t="shared" si="208"/>
        <v/>
      </c>
      <c r="AL768" s="91">
        <f>IF(AK768="Adjust",(_xlfn.XLOOKUP(A768,'Adj factor'!A:A,'Adj factor'!I:I,,0)*AI768),'Master DataSheet'!AI768)</f>
        <v>0</v>
      </c>
      <c r="AM768" s="91">
        <f t="shared" si="209"/>
        <v>0</v>
      </c>
      <c r="AN768" s="92" t="str">
        <f t="shared" si="210"/>
        <v>No change</v>
      </c>
      <c r="AO768" s="93">
        <f>VLOOKUP(B768,'Growthrates source'!A$2:H$49,8,FALSE)</f>
        <v>7.2635719552709199E-2</v>
      </c>
      <c r="AP768" s="93">
        <f>VLOOKUP(B768,'Growthrates source'!A$2:I$49,9,FALSE)</f>
        <v>2.4687803142194653E-2</v>
      </c>
      <c r="AQ768" s="86">
        <f t="shared" si="211"/>
        <v>0</v>
      </c>
      <c r="AR768" s="86">
        <f t="shared" si="212"/>
        <v>0</v>
      </c>
      <c r="AS768" s="94">
        <f t="shared" si="213"/>
        <v>0</v>
      </c>
      <c r="AT768" s="94">
        <f t="shared" si="214"/>
        <v>0</v>
      </c>
      <c r="AU768" s="94">
        <f t="shared" si="215"/>
        <v>0</v>
      </c>
    </row>
    <row r="769" spans="1:47" x14ac:dyDescent="0.3">
      <c r="A769" s="85" t="str">
        <f>_xlfn.XLOOKUP(B769,'Country codes &amp; Data sources'!G:G,'Country codes &amp; Data sources'!H:H,,0)</f>
        <v>Niger</v>
      </c>
      <c r="B769" s="85" t="s">
        <v>190</v>
      </c>
      <c r="C769" s="86">
        <v>17954430</v>
      </c>
      <c r="D769" s="85" t="s">
        <v>87</v>
      </c>
      <c r="E769" s="87">
        <v>0</v>
      </c>
      <c r="F769" s="88">
        <v>18653199</v>
      </c>
      <c r="G769" s="87">
        <v>0</v>
      </c>
      <c r="I769" s="87">
        <v>0</v>
      </c>
      <c r="K769" s="87">
        <v>0</v>
      </c>
      <c r="M769" s="87">
        <v>0</v>
      </c>
      <c r="O769" s="87">
        <v>0</v>
      </c>
      <c r="P769" s="88">
        <v>22577057.999999996</v>
      </c>
      <c r="Q769" s="87">
        <v>0</v>
      </c>
      <c r="R769" s="87">
        <f t="shared" si="198"/>
        <v>0</v>
      </c>
      <c r="T769" s="87">
        <v>0</v>
      </c>
      <c r="V769" s="87">
        <v>0</v>
      </c>
      <c r="X769" s="87">
        <v>0</v>
      </c>
      <c r="Y769" s="88">
        <v>26207976.5</v>
      </c>
      <c r="Z769" s="87">
        <v>0</v>
      </c>
      <c r="AA769" s="87">
        <v>0</v>
      </c>
      <c r="AB769" s="89">
        <f t="shared" si="199"/>
        <v>0</v>
      </c>
      <c r="AC769" s="89">
        <f t="shared" si="200"/>
        <v>0</v>
      </c>
      <c r="AD769" s="89">
        <f t="shared" si="201"/>
        <v>0</v>
      </c>
      <c r="AE769" s="90">
        <f t="shared" si="202"/>
        <v>0</v>
      </c>
      <c r="AF769" s="90" t="str">
        <f t="shared" si="203"/>
        <v/>
      </c>
      <c r="AG769" s="90">
        <f t="shared" si="204"/>
        <v>0</v>
      </c>
      <c r="AH769" s="90" t="str">
        <f t="shared" si="205"/>
        <v/>
      </c>
      <c r="AI769" s="90">
        <f t="shared" si="206"/>
        <v>0</v>
      </c>
      <c r="AJ769" s="90" t="str">
        <f t="shared" si="207"/>
        <v/>
      </c>
      <c r="AK769" s="90" t="str">
        <f t="shared" si="208"/>
        <v/>
      </c>
      <c r="AL769" s="91">
        <f>IF(AK769="Adjust",(_xlfn.XLOOKUP(A769,'Adj factor'!A:A,'Adj factor'!I:I,,0)*AI769),'Master DataSheet'!AI769)</f>
        <v>0</v>
      </c>
      <c r="AM769" s="91">
        <f t="shared" si="209"/>
        <v>0</v>
      </c>
      <c r="AN769" s="92" t="str">
        <f t="shared" si="210"/>
        <v>No change</v>
      </c>
      <c r="AO769" s="93">
        <f>VLOOKUP(B769,'Growthrates source'!A$2:H$49,8,FALSE)</f>
        <v>7.2635719552709199E-2</v>
      </c>
      <c r="AP769" s="93">
        <f>VLOOKUP(B769,'Growthrates source'!A$2:I$49,9,FALSE)</f>
        <v>2.4687803142194653E-2</v>
      </c>
      <c r="AQ769" s="86">
        <f t="shared" si="211"/>
        <v>0</v>
      </c>
      <c r="AR769" s="86">
        <f t="shared" si="212"/>
        <v>0</v>
      </c>
      <c r="AS769" s="94">
        <f t="shared" si="213"/>
        <v>0</v>
      </c>
      <c r="AT769" s="94">
        <f t="shared" si="214"/>
        <v>0</v>
      </c>
      <c r="AU769" s="94">
        <f t="shared" si="215"/>
        <v>0</v>
      </c>
    </row>
    <row r="770" spans="1:47" x14ac:dyDescent="0.3">
      <c r="A770" s="85" t="str">
        <f>_xlfn.XLOOKUP(B770,'Country codes &amp; Data sources'!G:G,'Country codes &amp; Data sources'!H:H,,0)</f>
        <v>Nigeria</v>
      </c>
      <c r="B770" s="85" t="s">
        <v>156</v>
      </c>
      <c r="C770" s="86">
        <v>170075931.5</v>
      </c>
      <c r="D770" s="85" t="s">
        <v>321</v>
      </c>
      <c r="E770" s="87">
        <v>144</v>
      </c>
      <c r="F770" s="88">
        <v>174726123.50000006</v>
      </c>
      <c r="G770" s="87">
        <v>131518</v>
      </c>
      <c r="H770" s="87">
        <v>179379016.5</v>
      </c>
      <c r="I770" s="87">
        <v>2281</v>
      </c>
      <c r="J770" s="87">
        <v>183995784.49999991</v>
      </c>
      <c r="K770" s="87">
        <v>0</v>
      </c>
      <c r="L770" s="87">
        <v>188666930.99999988</v>
      </c>
      <c r="M770" s="87">
        <v>167130</v>
      </c>
      <c r="N770" s="87">
        <v>193495906.50000003</v>
      </c>
      <c r="O770" s="87">
        <v>0</v>
      </c>
      <c r="P770" s="88">
        <v>198387623.50000006</v>
      </c>
      <c r="Q770" s="87">
        <v>149976</v>
      </c>
      <c r="R770" s="87">
        <f t="shared" si="198"/>
        <v>149976</v>
      </c>
      <c r="S770" s="87">
        <v>203304491.50000006</v>
      </c>
      <c r="T770" s="87">
        <v>159688</v>
      </c>
      <c r="U770" s="87">
        <v>208327404.49999994</v>
      </c>
      <c r="V770" s="87">
        <v>0</v>
      </c>
      <c r="W770" s="87">
        <v>213401322.49999997</v>
      </c>
      <c r="X770" s="87">
        <v>168695</v>
      </c>
      <c r="Y770" s="88">
        <v>218541211.50000003</v>
      </c>
      <c r="Z770" s="87">
        <v>172576</v>
      </c>
      <c r="AA770" s="87">
        <v>83907</v>
      </c>
      <c r="AB770" s="89">
        <f t="shared" si="199"/>
        <v>131518</v>
      </c>
      <c r="AC770" s="89">
        <f t="shared" si="200"/>
        <v>167130</v>
      </c>
      <c r="AD770" s="89">
        <f t="shared" si="201"/>
        <v>172576</v>
      </c>
      <c r="AE770" s="90">
        <f t="shared" si="202"/>
        <v>131518</v>
      </c>
      <c r="AF770" s="90">
        <f t="shared" si="203"/>
        <v>2013</v>
      </c>
      <c r="AG770" s="90">
        <f t="shared" si="204"/>
        <v>149976</v>
      </c>
      <c r="AH770" s="90">
        <f t="shared" si="205"/>
        <v>2018</v>
      </c>
      <c r="AI770" s="90">
        <f t="shared" si="206"/>
        <v>172576</v>
      </c>
      <c r="AJ770" s="90">
        <f t="shared" si="207"/>
        <v>2022</v>
      </c>
      <c r="AK770" s="90" t="str">
        <f t="shared" si="208"/>
        <v/>
      </c>
      <c r="AL770" s="91">
        <f>IF(AK770="Adjust",(_xlfn.XLOOKUP(A770,'Adj factor'!A:A,'Adj factor'!I:I,,0)*AI770),'Master DataSheet'!AI770)</f>
        <v>172576</v>
      </c>
      <c r="AM770" s="91">
        <f t="shared" si="209"/>
        <v>172576</v>
      </c>
      <c r="AN770" s="92" t="str">
        <f t="shared" si="210"/>
        <v>Increasing</v>
      </c>
      <c r="AO770" s="93">
        <f>VLOOKUP(B770,'Growthrates source'!A$2:H$49,8,FALSE)</f>
        <v>3.0407746470616726E-2</v>
      </c>
      <c r="AP770" s="93">
        <f>VLOOKUP(B770,'Growthrates source'!A$2:I$49,9,FALSE)</f>
        <v>4.0299906228893123E-2</v>
      </c>
      <c r="AQ770" s="86">
        <f t="shared" si="211"/>
        <v>72072.338086837117</v>
      </c>
      <c r="AR770" s="86">
        <f t="shared" si="212"/>
        <v>94690.034404864651</v>
      </c>
      <c r="AS770" s="94">
        <f t="shared" si="213"/>
        <v>7.5270942527377684</v>
      </c>
      <c r="AT770" s="94">
        <f t="shared" si="214"/>
        <v>7.5597457822261758</v>
      </c>
      <c r="AU770" s="94">
        <f t="shared" si="215"/>
        <v>7.8967256937714918</v>
      </c>
    </row>
    <row r="771" spans="1:47" x14ac:dyDescent="0.3">
      <c r="A771" s="85" t="str">
        <f>_xlfn.XLOOKUP(B771,'Country codes &amp; Data sources'!G:G,'Country codes &amp; Data sources'!H:H,,0)</f>
        <v>Nigeria</v>
      </c>
      <c r="B771" s="85" t="s">
        <v>156</v>
      </c>
      <c r="C771" s="86">
        <v>170075932.5</v>
      </c>
      <c r="D771" s="85" t="s">
        <v>322</v>
      </c>
      <c r="E771" s="87">
        <v>0</v>
      </c>
      <c r="F771" s="88">
        <v>174726123.50000006</v>
      </c>
      <c r="G771" s="87">
        <v>149840</v>
      </c>
      <c r="I771" s="87">
        <v>0</v>
      </c>
      <c r="K771" s="87">
        <v>0</v>
      </c>
      <c r="M771" s="87">
        <v>370202</v>
      </c>
      <c r="O771" s="87">
        <v>0</v>
      </c>
      <c r="P771" s="88">
        <v>198387623.50000006</v>
      </c>
      <c r="Q771" s="87">
        <v>220210</v>
      </c>
      <c r="R771" s="87">
        <f t="shared" ref="R771:R834" si="216">MAX(Q771,AA771)</f>
        <v>220210</v>
      </c>
      <c r="T771" s="87">
        <v>361418</v>
      </c>
      <c r="V771" s="87">
        <v>0</v>
      </c>
      <c r="X771" s="87">
        <v>535392</v>
      </c>
      <c r="Y771" s="88">
        <v>218541211.50000003</v>
      </c>
      <c r="Z771" s="87">
        <v>441362</v>
      </c>
      <c r="AA771" s="87">
        <v>180709</v>
      </c>
      <c r="AB771" s="89">
        <f t="shared" ref="AB771:AB834" si="217">MAX(G771,E771,I771,K771)</f>
        <v>149840</v>
      </c>
      <c r="AC771" s="89">
        <f t="shared" ref="AC771:AC834" si="218">MAX(M771,O771,Q771,T771)</f>
        <v>370202</v>
      </c>
      <c r="AD771" s="89">
        <f t="shared" ref="AD771:AD834" si="219">MAX(V771,X771,Z771)</f>
        <v>535392</v>
      </c>
      <c r="AE771" s="90">
        <f t="shared" ref="AE771:AE834" si="220">IF(G771&gt;0,G771,IF(E771&gt;0,E771,IF(I771&gt;0,I771,K771)))</f>
        <v>149840</v>
      </c>
      <c r="AF771" s="90">
        <f t="shared" ref="AF771:AF834" si="221">IF(AE771&gt;0,_xlfn.XLOOKUP(AE771,$B771:$K771,$B$1:$K$1,,0),"")</f>
        <v>2013</v>
      </c>
      <c r="AG771" s="90">
        <f t="shared" ref="AG771:AG834" si="222">IF(R771&gt;0,R771,IF(O771&gt;0,O771,T771))</f>
        <v>220210</v>
      </c>
      <c r="AH771" s="90">
        <f t="shared" ref="AH771:AH834" si="223">IF(AG771&gt;0,_xlfn.XLOOKUP(AG771,$L771:$T771,$L$1:$T$1,,0),"")</f>
        <v>2018</v>
      </c>
      <c r="AI771" s="90">
        <f t="shared" ref="AI771:AI834" si="224">IF((IF(Z771&gt;0,Z771,IF(X771&gt;0,X771,IF(V771&gt;0,V771,T771))))=0,AG771,IF(Z771&gt;0,Z771,IF(X771&gt;0,X771,IF(V771&gt;0,V771,T771))))</f>
        <v>441362</v>
      </c>
      <c r="AJ771" s="90">
        <f t="shared" ref="AJ771:AJ834" si="225">IFERROR(IF(AI771&gt;0,_xlfn.XLOOKUP(AI771,$V771:$Z771,$V$1:$Z$1,,0),""),AH771)</f>
        <v>2022</v>
      </c>
      <c r="AK771" s="90" t="str">
        <f t="shared" ref="AK771:AK834" si="226">IF(AI771&lt;AG771,"Adjust","")</f>
        <v/>
      </c>
      <c r="AL771" s="91">
        <f>IF(AK771="Adjust",(_xlfn.XLOOKUP(A771,'Adj factor'!A:A,'Adj factor'!I:I,,0)*AI771),'Master DataSheet'!AI771)</f>
        <v>441362</v>
      </c>
      <c r="AM771" s="91">
        <f t="shared" ref="AM771:AM834" si="227">IF(AL771&lt;AG771,AG771,AL771)</f>
        <v>441362</v>
      </c>
      <c r="AN771" s="92" t="str">
        <f t="shared" ref="AN771:AN834" si="228">IF(AL771&gt;AG771,"Increasing",IF(AL771&lt;AG771,"Decreasing","No change"))</f>
        <v>Increasing</v>
      </c>
      <c r="AO771" s="93">
        <f>VLOOKUP(B771,'Growthrates source'!A$2:H$49,8,FALSE)</f>
        <v>3.0407746470616726E-2</v>
      </c>
      <c r="AP771" s="93">
        <f>VLOOKUP(B771,'Growthrates source'!A$2:I$49,9,FALSE)</f>
        <v>4.0299906228893123E-2</v>
      </c>
      <c r="AQ771" s="86">
        <f t="shared" ref="AQ771:AQ834" si="229">AA771/(EXP(AO771*5))</f>
        <v>155220.90103727044</v>
      </c>
      <c r="AR771" s="86">
        <f t="shared" ref="AR771:AR834" si="230">AA771*EXP(AP771*3)</f>
        <v>203932.22767193065</v>
      </c>
      <c r="AS771" s="94">
        <f t="shared" ref="AS771:AS834" si="231">(AE771*10000)/F771</f>
        <v>8.575706768885075</v>
      </c>
      <c r="AT771" s="94">
        <f t="shared" ref="AT771:AT834" si="232">(AG771*10000)/P771</f>
        <v>11.099986789246454</v>
      </c>
      <c r="AU771" s="94">
        <f t="shared" ref="AU771:AU834" si="233">(AM771*10000)/Y771</f>
        <v>20.195824712905463</v>
      </c>
    </row>
    <row r="772" spans="1:47" x14ac:dyDescent="0.3">
      <c r="A772" s="85" t="str">
        <f>_xlfn.XLOOKUP(B772,'Country codes &amp; Data sources'!G:G,'Country codes &amp; Data sources'!H:H,,0)</f>
        <v>Nigeria</v>
      </c>
      <c r="B772" s="85" t="s">
        <v>156</v>
      </c>
      <c r="C772" s="86">
        <v>170075933.5</v>
      </c>
      <c r="D772" s="85" t="s">
        <v>323</v>
      </c>
      <c r="E772" s="87">
        <v>0</v>
      </c>
      <c r="F772" s="88">
        <v>174726123.50000006</v>
      </c>
      <c r="G772" s="87">
        <v>202550</v>
      </c>
      <c r="I772" s="87">
        <v>0</v>
      </c>
      <c r="K772" s="87">
        <v>0</v>
      </c>
      <c r="M772" s="87">
        <v>282550</v>
      </c>
      <c r="O772" s="87">
        <v>0</v>
      </c>
      <c r="P772" s="88">
        <v>198387623.50000006</v>
      </c>
      <c r="Q772" s="87">
        <v>142474</v>
      </c>
      <c r="R772" s="87">
        <f t="shared" si="216"/>
        <v>142474</v>
      </c>
      <c r="T772" s="87">
        <v>241740</v>
      </c>
      <c r="V772" s="87">
        <v>0</v>
      </c>
      <c r="X772" s="87">
        <v>263844</v>
      </c>
      <c r="Y772" s="88">
        <v>218541211.50000003</v>
      </c>
      <c r="Z772" s="87">
        <v>293574</v>
      </c>
      <c r="AA772" s="87">
        <v>120870</v>
      </c>
      <c r="AB772" s="89">
        <f t="shared" si="217"/>
        <v>202550</v>
      </c>
      <c r="AC772" s="89">
        <f t="shared" si="218"/>
        <v>282550</v>
      </c>
      <c r="AD772" s="89">
        <f t="shared" si="219"/>
        <v>293574</v>
      </c>
      <c r="AE772" s="90">
        <f t="shared" si="220"/>
        <v>202550</v>
      </c>
      <c r="AF772" s="90">
        <f t="shared" si="221"/>
        <v>2013</v>
      </c>
      <c r="AG772" s="90">
        <f t="shared" si="222"/>
        <v>142474</v>
      </c>
      <c r="AH772" s="90">
        <f t="shared" si="223"/>
        <v>2018</v>
      </c>
      <c r="AI772" s="90">
        <f t="shared" si="224"/>
        <v>293574</v>
      </c>
      <c r="AJ772" s="90">
        <f t="shared" si="225"/>
        <v>2022</v>
      </c>
      <c r="AK772" s="90" t="str">
        <f t="shared" si="226"/>
        <v/>
      </c>
      <c r="AL772" s="91">
        <f>IF(AK772="Adjust",(_xlfn.XLOOKUP(A772,'Adj factor'!A:A,'Adj factor'!I:I,,0)*AI772),'Master DataSheet'!AI772)</f>
        <v>293574</v>
      </c>
      <c r="AM772" s="91">
        <f t="shared" si="227"/>
        <v>293574</v>
      </c>
      <c r="AN772" s="92" t="str">
        <f t="shared" si="228"/>
        <v>Increasing</v>
      </c>
      <c r="AO772" s="93">
        <f>VLOOKUP(B772,'Growthrates source'!A$2:H$49,8,FALSE)</f>
        <v>3.0407746470616726E-2</v>
      </c>
      <c r="AP772" s="93">
        <f>VLOOKUP(B772,'Growthrates source'!A$2:I$49,9,FALSE)</f>
        <v>4.0299906228893123E-2</v>
      </c>
      <c r="AQ772" s="86">
        <f t="shared" si="229"/>
        <v>103821.89214911751</v>
      </c>
      <c r="AR772" s="86">
        <f t="shared" si="230"/>
        <v>136403.2137785404</v>
      </c>
      <c r="AS772" s="94">
        <f t="shared" si="231"/>
        <v>11.592427963412119</v>
      </c>
      <c r="AT772" s="94">
        <f t="shared" si="232"/>
        <v>7.1815971927301181</v>
      </c>
      <c r="AU772" s="94">
        <f t="shared" si="233"/>
        <v>13.433347330006907</v>
      </c>
    </row>
    <row r="773" spans="1:47" x14ac:dyDescent="0.3">
      <c r="A773" s="85" t="str">
        <f>_xlfn.XLOOKUP(B773,'Country codes &amp; Data sources'!G:G,'Country codes &amp; Data sources'!H:H,,0)</f>
        <v>Nigeria</v>
      </c>
      <c r="B773" s="85" t="s">
        <v>156</v>
      </c>
      <c r="C773" s="86">
        <v>170075934.5</v>
      </c>
      <c r="D773" s="85" t="s">
        <v>324</v>
      </c>
      <c r="E773" s="87">
        <v>0</v>
      </c>
      <c r="F773" s="88">
        <v>174726123.50000006</v>
      </c>
      <c r="G773" s="87">
        <v>0</v>
      </c>
      <c r="I773" s="87">
        <v>0</v>
      </c>
      <c r="K773" s="87">
        <v>0</v>
      </c>
      <c r="M773" s="87">
        <v>459</v>
      </c>
      <c r="O773" s="87">
        <v>571</v>
      </c>
      <c r="P773" s="88">
        <v>198387623.50000006</v>
      </c>
      <c r="Q773" s="87">
        <v>105</v>
      </c>
      <c r="R773" s="87">
        <f t="shared" si="216"/>
        <v>24668</v>
      </c>
      <c r="T773" s="87">
        <v>0</v>
      </c>
      <c r="V773" s="87">
        <v>588</v>
      </c>
      <c r="X773" s="87">
        <v>419</v>
      </c>
      <c r="Y773" s="88">
        <v>218541211.50000003</v>
      </c>
      <c r="Z773" s="87">
        <v>1332</v>
      </c>
      <c r="AA773" s="87">
        <v>24668</v>
      </c>
      <c r="AB773" s="89">
        <f t="shared" si="217"/>
        <v>0</v>
      </c>
      <c r="AC773" s="89">
        <f t="shared" si="218"/>
        <v>571</v>
      </c>
      <c r="AD773" s="89">
        <f t="shared" si="219"/>
        <v>1332</v>
      </c>
      <c r="AE773" s="90">
        <f t="shared" si="220"/>
        <v>0</v>
      </c>
      <c r="AF773" s="90" t="str">
        <f t="shared" si="221"/>
        <v/>
      </c>
      <c r="AG773" s="90">
        <f t="shared" si="222"/>
        <v>24668</v>
      </c>
      <c r="AH773" s="90" t="str">
        <f t="shared" si="223"/>
        <v>2018 (triag)</v>
      </c>
      <c r="AI773" s="90">
        <f t="shared" si="224"/>
        <v>1332</v>
      </c>
      <c r="AJ773" s="90">
        <f t="shared" si="225"/>
        <v>2022</v>
      </c>
      <c r="AK773" s="90" t="str">
        <f t="shared" si="226"/>
        <v>Adjust</v>
      </c>
      <c r="AL773" s="91">
        <f>IF(AK773="Adjust",(_xlfn.XLOOKUP(A773,'Adj factor'!A:A,'Adj factor'!I:I,,0)*AI773),'Master DataSheet'!AI773)</f>
        <v>1530.8657942347929</v>
      </c>
      <c r="AM773" s="91">
        <f t="shared" si="227"/>
        <v>24668</v>
      </c>
      <c r="AN773" s="92" t="str">
        <f t="shared" si="228"/>
        <v>Decreasing</v>
      </c>
      <c r="AO773" s="93">
        <f>VLOOKUP(B773,'Growthrates source'!A$2:H$49,8,FALSE)</f>
        <v>3.0407746470616726E-2</v>
      </c>
      <c r="AP773" s="93">
        <f>VLOOKUP(B773,'Growthrates source'!A$2:I$49,9,FALSE)</f>
        <v>4.0299906228893123E-2</v>
      </c>
      <c r="AQ773" s="86">
        <f t="shared" si="229"/>
        <v>21188.702205133042</v>
      </c>
      <c r="AR773" s="86">
        <f t="shared" si="230"/>
        <v>27838.127554306568</v>
      </c>
      <c r="AS773" s="94">
        <f t="shared" si="231"/>
        <v>0</v>
      </c>
      <c r="AT773" s="94">
        <f t="shared" si="232"/>
        <v>1.2434243409342516</v>
      </c>
      <c r="AU773" s="94">
        <f t="shared" si="233"/>
        <v>1.1287573556807156</v>
      </c>
    </row>
    <row r="774" spans="1:47" x14ac:dyDescent="0.3">
      <c r="A774" s="85" t="str">
        <f>_xlfn.XLOOKUP(B774,'Country codes &amp; Data sources'!G:G,'Country codes &amp; Data sources'!H:H,,0)</f>
        <v>Nigeria</v>
      </c>
      <c r="B774" s="85" t="s">
        <v>156</v>
      </c>
      <c r="C774" s="86">
        <v>170075935.5</v>
      </c>
      <c r="D774" s="85" t="s">
        <v>325</v>
      </c>
      <c r="E774" s="87">
        <v>0</v>
      </c>
      <c r="F774" s="88">
        <v>174726123.50000006</v>
      </c>
      <c r="G774" s="87">
        <v>0</v>
      </c>
      <c r="I774" s="87">
        <v>0</v>
      </c>
      <c r="K774" s="87">
        <v>0</v>
      </c>
      <c r="M774" s="87">
        <v>56</v>
      </c>
      <c r="O774" s="87">
        <v>115</v>
      </c>
      <c r="P774" s="88">
        <v>198387623.50000006</v>
      </c>
      <c r="Q774" s="87">
        <v>0</v>
      </c>
      <c r="R774" s="87">
        <f t="shared" si="216"/>
        <v>25487</v>
      </c>
      <c r="T774" s="87">
        <v>0</v>
      </c>
      <c r="V774" s="87">
        <v>230</v>
      </c>
      <c r="X774" s="87">
        <v>30</v>
      </c>
      <c r="Y774" s="88">
        <v>218541211.50000003</v>
      </c>
      <c r="Z774" s="87">
        <v>416</v>
      </c>
      <c r="AA774" s="87">
        <v>25487</v>
      </c>
      <c r="AB774" s="89">
        <f t="shared" si="217"/>
        <v>0</v>
      </c>
      <c r="AC774" s="89">
        <f t="shared" si="218"/>
        <v>115</v>
      </c>
      <c r="AD774" s="89">
        <f t="shared" si="219"/>
        <v>416</v>
      </c>
      <c r="AE774" s="90">
        <f t="shared" si="220"/>
        <v>0</v>
      </c>
      <c r="AF774" s="90" t="str">
        <f t="shared" si="221"/>
        <v/>
      </c>
      <c r="AG774" s="90">
        <f t="shared" si="222"/>
        <v>25487</v>
      </c>
      <c r="AH774" s="90" t="str">
        <f t="shared" si="223"/>
        <v>2018 (triag)</v>
      </c>
      <c r="AI774" s="90">
        <f t="shared" si="224"/>
        <v>416</v>
      </c>
      <c r="AJ774" s="90">
        <f t="shared" si="225"/>
        <v>2022</v>
      </c>
      <c r="AK774" s="90" t="str">
        <f t="shared" si="226"/>
        <v>Adjust</v>
      </c>
      <c r="AL774" s="91">
        <f>IF(AK774="Adjust",(_xlfn.XLOOKUP(A774,'Adj factor'!A:A,'Adj factor'!I:I,,0)*AI774),'Master DataSheet'!AI774)</f>
        <v>478.10823603729273</v>
      </c>
      <c r="AM774" s="91">
        <f t="shared" si="227"/>
        <v>25487</v>
      </c>
      <c r="AN774" s="92" t="str">
        <f t="shared" si="228"/>
        <v>Decreasing</v>
      </c>
      <c r="AO774" s="93">
        <f>VLOOKUP(B774,'Growthrates source'!A$2:H$49,8,FALSE)</f>
        <v>3.0407746470616726E-2</v>
      </c>
      <c r="AP774" s="93">
        <f>VLOOKUP(B774,'Growthrates source'!A$2:I$49,9,FALSE)</f>
        <v>4.0299906228893123E-2</v>
      </c>
      <c r="AQ774" s="86">
        <f t="shared" si="229"/>
        <v>21892.186358935698</v>
      </c>
      <c r="AR774" s="86">
        <f t="shared" si="230"/>
        <v>28762.378667772478</v>
      </c>
      <c r="AS774" s="94">
        <f t="shared" si="231"/>
        <v>0</v>
      </c>
      <c r="AT774" s="94">
        <f t="shared" si="232"/>
        <v>1.2847071581559619</v>
      </c>
      <c r="AU774" s="94">
        <f t="shared" si="233"/>
        <v>1.1662331248676179</v>
      </c>
    </row>
    <row r="775" spans="1:47" x14ac:dyDescent="0.3">
      <c r="A775" s="85" t="str">
        <f>_xlfn.XLOOKUP(B775,'Country codes &amp; Data sources'!G:G,'Country codes &amp; Data sources'!H:H,,0)</f>
        <v>Nigeria</v>
      </c>
      <c r="B775" s="85" t="s">
        <v>156</v>
      </c>
      <c r="C775" s="86">
        <v>170075936.5</v>
      </c>
      <c r="D775" s="85" t="s">
        <v>127</v>
      </c>
      <c r="E775" s="87">
        <v>0</v>
      </c>
      <c r="F775" s="88">
        <v>174726123.50000006</v>
      </c>
      <c r="G775" s="87">
        <v>0</v>
      </c>
      <c r="I775" s="87">
        <v>0</v>
      </c>
      <c r="K775" s="87">
        <v>0</v>
      </c>
      <c r="M775" s="87">
        <v>0</v>
      </c>
      <c r="O775" s="87">
        <v>0</v>
      </c>
      <c r="P775" s="88">
        <v>198387623.50000006</v>
      </c>
      <c r="Q775" s="87">
        <v>116454</v>
      </c>
      <c r="R775" s="87">
        <f t="shared" si="216"/>
        <v>116454</v>
      </c>
      <c r="T775" s="87">
        <v>116454</v>
      </c>
      <c r="V775" s="87">
        <v>0</v>
      </c>
      <c r="X775" s="87">
        <v>7912</v>
      </c>
      <c r="Y775" s="88">
        <v>218541211.50000003</v>
      </c>
      <c r="Z775" s="87">
        <v>154477</v>
      </c>
      <c r="AA775" s="87">
        <v>116454</v>
      </c>
      <c r="AB775" s="89">
        <f t="shared" si="217"/>
        <v>0</v>
      </c>
      <c r="AC775" s="89">
        <f t="shared" si="218"/>
        <v>116454</v>
      </c>
      <c r="AD775" s="89">
        <f t="shared" si="219"/>
        <v>154477</v>
      </c>
      <c r="AE775" s="90">
        <f t="shared" si="220"/>
        <v>0</v>
      </c>
      <c r="AF775" s="90" t="str">
        <f t="shared" si="221"/>
        <v/>
      </c>
      <c r="AG775" s="90">
        <f t="shared" si="222"/>
        <v>116454</v>
      </c>
      <c r="AH775" s="90">
        <f t="shared" si="223"/>
        <v>2018</v>
      </c>
      <c r="AI775" s="90">
        <f t="shared" si="224"/>
        <v>154477</v>
      </c>
      <c r="AJ775" s="90">
        <f t="shared" si="225"/>
        <v>2022</v>
      </c>
      <c r="AK775" s="90" t="str">
        <f t="shared" si="226"/>
        <v/>
      </c>
      <c r="AL775" s="91">
        <f>IF(AK775="Adjust",(_xlfn.XLOOKUP(A775,'Adj factor'!A:A,'Adj factor'!I:I,,0)*AI775),'Master DataSheet'!AI775)</f>
        <v>154477</v>
      </c>
      <c r="AM775" s="91">
        <f t="shared" si="227"/>
        <v>154477</v>
      </c>
      <c r="AN775" s="92" t="str">
        <f t="shared" si="228"/>
        <v>Increasing</v>
      </c>
      <c r="AO775" s="93">
        <f>VLOOKUP(B775,'Growthrates source'!A$2:H$49,8,FALSE)</f>
        <v>3.0407746470616726E-2</v>
      </c>
      <c r="AP775" s="93">
        <f>VLOOKUP(B775,'Growthrates source'!A$2:I$49,9,FALSE)</f>
        <v>4.0299906228893123E-2</v>
      </c>
      <c r="AQ775" s="86">
        <f t="shared" si="229"/>
        <v>100028.7468216541</v>
      </c>
      <c r="AR775" s="86">
        <f t="shared" si="230"/>
        <v>131419.70594329564</v>
      </c>
      <c r="AS775" s="94">
        <f t="shared" si="231"/>
        <v>0</v>
      </c>
      <c r="AT775" s="94">
        <f t="shared" si="232"/>
        <v>5.8700234392393922</v>
      </c>
      <c r="AU775" s="94">
        <f t="shared" si="233"/>
        <v>7.0685523769048926</v>
      </c>
    </row>
    <row r="776" spans="1:47" x14ac:dyDescent="0.3">
      <c r="A776" s="85" t="str">
        <f>_xlfn.XLOOKUP(B776,'Country codes &amp; Data sources'!G:G,'Country codes &amp; Data sources'!H:H,,0)</f>
        <v>Nigeria</v>
      </c>
      <c r="B776" s="85" t="s">
        <v>156</v>
      </c>
      <c r="C776" s="86">
        <v>170075937.5</v>
      </c>
      <c r="D776" s="85" t="s">
        <v>61</v>
      </c>
      <c r="E776" s="87">
        <v>0</v>
      </c>
      <c r="F776" s="88">
        <v>174726123.50000006</v>
      </c>
      <c r="G776" s="87">
        <v>0</v>
      </c>
      <c r="I776" s="87">
        <v>0</v>
      </c>
      <c r="K776" s="87">
        <v>0</v>
      </c>
      <c r="M776" s="87">
        <v>44</v>
      </c>
      <c r="O776" s="87">
        <v>48</v>
      </c>
      <c r="P776" s="88">
        <v>198387623.50000006</v>
      </c>
      <c r="Q776" s="87">
        <v>7</v>
      </c>
      <c r="R776" s="87">
        <f t="shared" si="216"/>
        <v>7</v>
      </c>
      <c r="T776" s="87">
        <v>0</v>
      </c>
      <c r="V776" s="87">
        <v>71</v>
      </c>
      <c r="X776" s="87">
        <v>77</v>
      </c>
      <c r="Y776" s="88">
        <v>218541211.50000003</v>
      </c>
      <c r="Z776" s="87">
        <v>0</v>
      </c>
      <c r="AA776" s="87">
        <v>0</v>
      </c>
      <c r="AB776" s="89">
        <f t="shared" si="217"/>
        <v>0</v>
      </c>
      <c r="AC776" s="89">
        <f t="shared" si="218"/>
        <v>48</v>
      </c>
      <c r="AD776" s="89">
        <f t="shared" si="219"/>
        <v>77</v>
      </c>
      <c r="AE776" s="90">
        <f t="shared" si="220"/>
        <v>0</v>
      </c>
      <c r="AF776" s="90" t="str">
        <f t="shared" si="221"/>
        <v/>
      </c>
      <c r="AG776" s="90">
        <f t="shared" si="222"/>
        <v>7</v>
      </c>
      <c r="AH776" s="90">
        <f t="shared" si="223"/>
        <v>2018</v>
      </c>
      <c r="AI776" s="90">
        <f t="shared" si="224"/>
        <v>77</v>
      </c>
      <c r="AJ776" s="90">
        <f t="shared" si="225"/>
        <v>2021</v>
      </c>
      <c r="AK776" s="90" t="str">
        <f t="shared" si="226"/>
        <v/>
      </c>
      <c r="AL776" s="91">
        <f>IF(AK776="Adjust",(_xlfn.XLOOKUP(A776,'Adj factor'!A:A,'Adj factor'!I:I,,0)*AI776),'Master DataSheet'!AI776)</f>
        <v>77</v>
      </c>
      <c r="AM776" s="91">
        <f t="shared" si="227"/>
        <v>77</v>
      </c>
      <c r="AN776" s="92" t="str">
        <f t="shared" si="228"/>
        <v>Increasing</v>
      </c>
      <c r="AO776" s="93">
        <f>VLOOKUP(B776,'Growthrates source'!A$2:H$49,8,FALSE)</f>
        <v>3.0407746470616726E-2</v>
      </c>
      <c r="AP776" s="93">
        <f>VLOOKUP(B776,'Growthrates source'!A$2:I$49,9,FALSE)</f>
        <v>4.0299906228893123E-2</v>
      </c>
      <c r="AQ776" s="86">
        <f t="shared" si="229"/>
        <v>0</v>
      </c>
      <c r="AR776" s="86">
        <f t="shared" si="230"/>
        <v>0</v>
      </c>
      <c r="AS776" s="94">
        <f t="shared" si="231"/>
        <v>0</v>
      </c>
      <c r="AT776" s="94">
        <f t="shared" si="232"/>
        <v>3.5284459163855038E-4</v>
      </c>
      <c r="AU776" s="94">
        <f t="shared" si="233"/>
        <v>3.5233629150079088E-3</v>
      </c>
    </row>
    <row r="777" spans="1:47" x14ac:dyDescent="0.3">
      <c r="A777" s="85" t="str">
        <f>_xlfn.XLOOKUP(B777,'Country codes &amp; Data sources'!G:G,'Country codes &amp; Data sources'!H:H,,0)</f>
        <v>Nigeria</v>
      </c>
      <c r="B777" s="85" t="s">
        <v>156</v>
      </c>
      <c r="C777" s="86">
        <v>170075938.5</v>
      </c>
      <c r="D777" s="85" t="s">
        <v>62</v>
      </c>
      <c r="E777" s="87">
        <v>0</v>
      </c>
      <c r="F777" s="88">
        <v>174726123.50000006</v>
      </c>
      <c r="G777" s="87">
        <v>0</v>
      </c>
      <c r="I777" s="87">
        <v>0</v>
      </c>
      <c r="K777" s="87">
        <v>0</v>
      </c>
      <c r="M777" s="87">
        <v>311</v>
      </c>
      <c r="O777" s="87">
        <v>0</v>
      </c>
      <c r="P777" s="88">
        <v>198387623.50000006</v>
      </c>
      <c r="Q777" s="87">
        <v>0</v>
      </c>
      <c r="R777" s="87">
        <f t="shared" si="216"/>
        <v>14645</v>
      </c>
      <c r="T777" s="87">
        <v>0</v>
      </c>
      <c r="V777" s="87">
        <v>0</v>
      </c>
      <c r="X777" s="87">
        <v>0</v>
      </c>
      <c r="Y777" s="88">
        <v>218541211.50000003</v>
      </c>
      <c r="Z777" s="87">
        <v>0</v>
      </c>
      <c r="AA777" s="87">
        <v>14645</v>
      </c>
      <c r="AB777" s="89">
        <f t="shared" si="217"/>
        <v>0</v>
      </c>
      <c r="AC777" s="89">
        <f t="shared" si="218"/>
        <v>311</v>
      </c>
      <c r="AD777" s="89">
        <f t="shared" si="219"/>
        <v>0</v>
      </c>
      <c r="AE777" s="90">
        <f t="shared" si="220"/>
        <v>0</v>
      </c>
      <c r="AF777" s="90" t="str">
        <f t="shared" si="221"/>
        <v/>
      </c>
      <c r="AG777" s="90">
        <f t="shared" si="222"/>
        <v>14645</v>
      </c>
      <c r="AH777" s="90" t="str">
        <f t="shared" si="223"/>
        <v>2018 (triag)</v>
      </c>
      <c r="AI777" s="90">
        <f t="shared" si="224"/>
        <v>14645</v>
      </c>
      <c r="AJ777" s="90" t="str">
        <f t="shared" si="225"/>
        <v>2018 (triag)</v>
      </c>
      <c r="AK777" s="90" t="str">
        <f t="shared" si="226"/>
        <v/>
      </c>
      <c r="AL777" s="91">
        <f>IF(AK777="Adjust",(_xlfn.XLOOKUP(A777,'Adj factor'!A:A,'Adj factor'!I:I,,0)*AI777),'Master DataSheet'!AI777)</f>
        <v>14645</v>
      </c>
      <c r="AM777" s="91">
        <f t="shared" si="227"/>
        <v>14645</v>
      </c>
      <c r="AN777" s="92" t="str">
        <f t="shared" si="228"/>
        <v>No change</v>
      </c>
      <c r="AO777" s="93">
        <f>VLOOKUP(B777,'Growthrates source'!A$2:H$49,8,FALSE)</f>
        <v>3.0407746470616726E-2</v>
      </c>
      <c r="AP777" s="93">
        <f>VLOOKUP(B777,'Growthrates source'!A$2:I$49,9,FALSE)</f>
        <v>4.0299906228893123E-2</v>
      </c>
      <c r="AQ777" s="86">
        <f t="shared" si="229"/>
        <v>12579.396132405278</v>
      </c>
      <c r="AR777" s="86">
        <f t="shared" si="230"/>
        <v>16527.054403795188</v>
      </c>
      <c r="AS777" s="94">
        <f t="shared" si="231"/>
        <v>0</v>
      </c>
      <c r="AT777" s="94">
        <f t="shared" si="232"/>
        <v>0.73820129207808149</v>
      </c>
      <c r="AU777" s="94">
        <f t="shared" si="233"/>
        <v>0.6701253232505302</v>
      </c>
    </row>
    <row r="778" spans="1:47" x14ac:dyDescent="0.3">
      <c r="A778" s="85" t="str">
        <f>_xlfn.XLOOKUP(B778,'Country codes &amp; Data sources'!G:G,'Country codes &amp; Data sources'!H:H,,0)</f>
        <v>Nigeria</v>
      </c>
      <c r="B778" s="85" t="s">
        <v>156</v>
      </c>
      <c r="C778" s="86">
        <v>170075939.5</v>
      </c>
      <c r="D778" s="85" t="s">
        <v>203</v>
      </c>
      <c r="E778" s="87">
        <v>0</v>
      </c>
      <c r="F778" s="88">
        <v>174726123.50000006</v>
      </c>
      <c r="G778" s="87">
        <v>0</v>
      </c>
      <c r="I778" s="87">
        <v>0</v>
      </c>
      <c r="K778" s="87">
        <v>0</v>
      </c>
      <c r="M778" s="87">
        <v>0</v>
      </c>
      <c r="O778" s="87">
        <v>0</v>
      </c>
      <c r="P778" s="88">
        <v>198387623.50000006</v>
      </c>
      <c r="Q778" s="87">
        <v>0</v>
      </c>
      <c r="R778" s="87">
        <f t="shared" si="216"/>
        <v>0</v>
      </c>
      <c r="T778" s="87">
        <v>0</v>
      </c>
      <c r="V778" s="87">
        <v>0</v>
      </c>
      <c r="X778" s="87">
        <v>0</v>
      </c>
      <c r="Y778" s="88">
        <v>218541211.50000003</v>
      </c>
      <c r="Z778" s="87">
        <v>0</v>
      </c>
      <c r="AA778" s="87">
        <v>0</v>
      </c>
      <c r="AB778" s="89">
        <f t="shared" si="217"/>
        <v>0</v>
      </c>
      <c r="AC778" s="89">
        <f t="shared" si="218"/>
        <v>0</v>
      </c>
      <c r="AD778" s="89">
        <f t="shared" si="219"/>
        <v>0</v>
      </c>
      <c r="AE778" s="90">
        <f t="shared" si="220"/>
        <v>0</v>
      </c>
      <c r="AF778" s="90" t="str">
        <f t="shared" si="221"/>
        <v/>
      </c>
      <c r="AG778" s="90">
        <f t="shared" si="222"/>
        <v>0</v>
      </c>
      <c r="AH778" s="90" t="str">
        <f t="shared" si="223"/>
        <v/>
      </c>
      <c r="AI778" s="90">
        <f t="shared" si="224"/>
        <v>0</v>
      </c>
      <c r="AJ778" s="90" t="str">
        <f t="shared" si="225"/>
        <v/>
      </c>
      <c r="AK778" s="90" t="str">
        <f t="shared" si="226"/>
        <v/>
      </c>
      <c r="AL778" s="91">
        <f>IF(AK778="Adjust",(_xlfn.XLOOKUP(A778,'Adj factor'!A:A,'Adj factor'!I:I,,0)*AI778),'Master DataSheet'!AI778)</f>
        <v>0</v>
      </c>
      <c r="AM778" s="91">
        <f t="shared" si="227"/>
        <v>0</v>
      </c>
      <c r="AN778" s="92" t="str">
        <f t="shared" si="228"/>
        <v>No change</v>
      </c>
      <c r="AO778" s="93">
        <f>VLOOKUP(B778,'Growthrates source'!A$2:H$49,8,FALSE)</f>
        <v>3.0407746470616726E-2</v>
      </c>
      <c r="AP778" s="93">
        <f>VLOOKUP(B778,'Growthrates source'!A$2:I$49,9,FALSE)</f>
        <v>4.0299906228893123E-2</v>
      </c>
      <c r="AQ778" s="86">
        <f t="shared" si="229"/>
        <v>0</v>
      </c>
      <c r="AR778" s="86">
        <f t="shared" si="230"/>
        <v>0</v>
      </c>
      <c r="AS778" s="94">
        <f t="shared" si="231"/>
        <v>0</v>
      </c>
      <c r="AT778" s="94">
        <f t="shared" si="232"/>
        <v>0</v>
      </c>
      <c r="AU778" s="94">
        <f t="shared" si="233"/>
        <v>0</v>
      </c>
    </row>
    <row r="779" spans="1:47" x14ac:dyDescent="0.3">
      <c r="A779" s="85" t="str">
        <f>_xlfn.XLOOKUP(B779,'Country codes &amp; Data sources'!G:G,'Country codes &amp; Data sources'!H:H,,0)</f>
        <v>Nigeria</v>
      </c>
      <c r="B779" s="85" t="s">
        <v>156</v>
      </c>
      <c r="C779" s="86">
        <v>170075940.5</v>
      </c>
      <c r="D779" s="85" t="s">
        <v>204</v>
      </c>
      <c r="E779" s="87">
        <v>0</v>
      </c>
      <c r="F779" s="88">
        <v>174726123.50000006</v>
      </c>
      <c r="G779" s="87">
        <v>0</v>
      </c>
      <c r="I779" s="87">
        <v>0</v>
      </c>
      <c r="K779" s="87">
        <v>0</v>
      </c>
      <c r="M779" s="87">
        <v>0</v>
      </c>
      <c r="O779" s="87">
        <v>0</v>
      </c>
      <c r="P779" s="88">
        <v>198387623.50000006</v>
      </c>
      <c r="Q779" s="87">
        <v>0</v>
      </c>
      <c r="R779" s="87">
        <f t="shared" si="216"/>
        <v>0</v>
      </c>
      <c r="T779" s="87">
        <v>0</v>
      </c>
      <c r="V779" s="87">
        <v>0</v>
      </c>
      <c r="X779" s="87">
        <v>0</v>
      </c>
      <c r="Y779" s="88">
        <v>218541211.50000003</v>
      </c>
      <c r="Z779" s="87">
        <v>0</v>
      </c>
      <c r="AA779" s="87">
        <v>0</v>
      </c>
      <c r="AB779" s="89">
        <f t="shared" si="217"/>
        <v>0</v>
      </c>
      <c r="AC779" s="89">
        <f t="shared" si="218"/>
        <v>0</v>
      </c>
      <c r="AD779" s="89">
        <f t="shared" si="219"/>
        <v>0</v>
      </c>
      <c r="AE779" s="90">
        <f t="shared" si="220"/>
        <v>0</v>
      </c>
      <c r="AF779" s="90" t="str">
        <f t="shared" si="221"/>
        <v/>
      </c>
      <c r="AG779" s="90">
        <f t="shared" si="222"/>
        <v>0</v>
      </c>
      <c r="AH779" s="90" t="str">
        <f t="shared" si="223"/>
        <v/>
      </c>
      <c r="AI779" s="90">
        <f t="shared" si="224"/>
        <v>0</v>
      </c>
      <c r="AJ779" s="90" t="str">
        <f t="shared" si="225"/>
        <v/>
      </c>
      <c r="AK779" s="90" t="str">
        <f t="shared" si="226"/>
        <v/>
      </c>
      <c r="AL779" s="91">
        <f>IF(AK779="Adjust",(_xlfn.XLOOKUP(A779,'Adj factor'!A:A,'Adj factor'!I:I,,0)*AI779),'Master DataSheet'!AI779)</f>
        <v>0</v>
      </c>
      <c r="AM779" s="91">
        <f t="shared" si="227"/>
        <v>0</v>
      </c>
      <c r="AN779" s="92" t="str">
        <f t="shared" si="228"/>
        <v>No change</v>
      </c>
      <c r="AO779" s="93">
        <f>VLOOKUP(B779,'Growthrates source'!A$2:H$49,8,FALSE)</f>
        <v>3.0407746470616726E-2</v>
      </c>
      <c r="AP779" s="93">
        <f>VLOOKUP(B779,'Growthrates source'!A$2:I$49,9,FALSE)</f>
        <v>4.0299906228893123E-2</v>
      </c>
      <c r="AQ779" s="86">
        <f t="shared" si="229"/>
        <v>0</v>
      </c>
      <c r="AR779" s="86">
        <f t="shared" si="230"/>
        <v>0</v>
      </c>
      <c r="AS779" s="94">
        <f t="shared" si="231"/>
        <v>0</v>
      </c>
      <c r="AT779" s="94">
        <f t="shared" si="232"/>
        <v>0</v>
      </c>
      <c r="AU779" s="94">
        <f t="shared" si="233"/>
        <v>0</v>
      </c>
    </row>
    <row r="780" spans="1:47" x14ac:dyDescent="0.3">
      <c r="A780" s="85" t="str">
        <f>_xlfn.XLOOKUP(B780,'Country codes &amp; Data sources'!G:G,'Country codes &amp; Data sources'!H:H,,0)</f>
        <v>Nigeria</v>
      </c>
      <c r="B780" s="85" t="s">
        <v>156</v>
      </c>
      <c r="C780" s="86">
        <v>170075941.5</v>
      </c>
      <c r="D780" s="85" t="s">
        <v>205</v>
      </c>
      <c r="E780" s="87">
        <v>0</v>
      </c>
      <c r="F780" s="88">
        <v>174726123.50000006</v>
      </c>
      <c r="G780" s="87">
        <v>0</v>
      </c>
      <c r="I780" s="87">
        <v>0</v>
      </c>
      <c r="K780" s="87">
        <v>0</v>
      </c>
      <c r="M780" s="87">
        <v>0</v>
      </c>
      <c r="O780" s="87">
        <v>0</v>
      </c>
      <c r="P780" s="88">
        <v>198387623.50000006</v>
      </c>
      <c r="Q780" s="87">
        <v>6165</v>
      </c>
      <c r="R780" s="87">
        <f t="shared" si="216"/>
        <v>6165</v>
      </c>
      <c r="T780" s="87">
        <v>7</v>
      </c>
      <c r="V780" s="87">
        <v>0</v>
      </c>
      <c r="X780" s="87">
        <v>48589</v>
      </c>
      <c r="Y780" s="88">
        <v>218541211.50000003</v>
      </c>
      <c r="Z780" s="87">
        <v>280</v>
      </c>
      <c r="AA780" s="87">
        <v>0</v>
      </c>
      <c r="AB780" s="89">
        <f t="shared" si="217"/>
        <v>0</v>
      </c>
      <c r="AC780" s="89">
        <f t="shared" si="218"/>
        <v>6165</v>
      </c>
      <c r="AD780" s="89">
        <f t="shared" si="219"/>
        <v>48589</v>
      </c>
      <c r="AE780" s="90">
        <f t="shared" si="220"/>
        <v>0</v>
      </c>
      <c r="AF780" s="90" t="str">
        <f t="shared" si="221"/>
        <v/>
      </c>
      <c r="AG780" s="90">
        <f t="shared" si="222"/>
        <v>6165</v>
      </c>
      <c r="AH780" s="90">
        <f t="shared" si="223"/>
        <v>2018</v>
      </c>
      <c r="AI780" s="90">
        <f t="shared" si="224"/>
        <v>280</v>
      </c>
      <c r="AJ780" s="90">
        <f t="shared" si="225"/>
        <v>2022</v>
      </c>
      <c r="AK780" s="90" t="str">
        <f t="shared" si="226"/>
        <v>Adjust</v>
      </c>
      <c r="AL780" s="91">
        <f>IF(AK780="Adjust",(_xlfn.XLOOKUP(A780,'Adj factor'!A:A,'Adj factor'!I:I,,0)*AI780),'Master DataSheet'!AI780)</f>
        <v>321.80362040971625</v>
      </c>
      <c r="AM780" s="91">
        <f t="shared" si="227"/>
        <v>6165</v>
      </c>
      <c r="AN780" s="92" t="str">
        <f t="shared" si="228"/>
        <v>Decreasing</v>
      </c>
      <c r="AO780" s="93">
        <f>VLOOKUP(B780,'Growthrates source'!A$2:H$49,8,FALSE)</f>
        <v>3.0407746470616726E-2</v>
      </c>
      <c r="AP780" s="93">
        <f>VLOOKUP(B780,'Growthrates source'!A$2:I$49,9,FALSE)</f>
        <v>4.0299906228893123E-2</v>
      </c>
      <c r="AQ780" s="86">
        <f t="shared" si="229"/>
        <v>0</v>
      </c>
      <c r="AR780" s="86">
        <f t="shared" si="230"/>
        <v>0</v>
      </c>
      <c r="AS780" s="94">
        <f t="shared" si="231"/>
        <v>0</v>
      </c>
      <c r="AT780" s="94">
        <f t="shared" si="232"/>
        <v>0.3107552724930947</v>
      </c>
      <c r="AU780" s="94">
        <f t="shared" si="233"/>
        <v>0.28209782300030856</v>
      </c>
    </row>
    <row r="781" spans="1:47" x14ac:dyDescent="0.3">
      <c r="A781" s="85" t="str">
        <f>_xlfn.XLOOKUP(B781,'Country codes &amp; Data sources'!G:G,'Country codes &amp; Data sources'!H:H,,0)</f>
        <v>Nigeria</v>
      </c>
      <c r="B781" s="85" t="s">
        <v>156</v>
      </c>
      <c r="C781" s="86">
        <v>170075942.5</v>
      </c>
      <c r="D781" s="85" t="s">
        <v>133</v>
      </c>
      <c r="E781" s="87">
        <v>0</v>
      </c>
      <c r="F781" s="88">
        <v>174726123.50000006</v>
      </c>
      <c r="G781" s="87">
        <v>0</v>
      </c>
      <c r="I781" s="87">
        <v>0</v>
      </c>
      <c r="K781" s="87">
        <v>0</v>
      </c>
      <c r="M781" s="87">
        <v>0</v>
      </c>
      <c r="O781" s="87">
        <v>0</v>
      </c>
      <c r="P781" s="88">
        <v>198387623.50000006</v>
      </c>
      <c r="Q781" s="87">
        <v>26677</v>
      </c>
      <c r="R781" s="87">
        <f t="shared" si="216"/>
        <v>26677</v>
      </c>
      <c r="T781" s="87">
        <v>26677</v>
      </c>
      <c r="V781" s="87">
        <v>0</v>
      </c>
      <c r="X781" s="87">
        <v>37181</v>
      </c>
      <c r="Y781" s="88">
        <v>218541211.50000003</v>
      </c>
      <c r="Z781" s="87">
        <v>36833</v>
      </c>
      <c r="AA781" s="87">
        <v>0</v>
      </c>
      <c r="AB781" s="89">
        <f t="shared" si="217"/>
        <v>0</v>
      </c>
      <c r="AC781" s="89">
        <f t="shared" si="218"/>
        <v>26677</v>
      </c>
      <c r="AD781" s="89">
        <f t="shared" si="219"/>
        <v>37181</v>
      </c>
      <c r="AE781" s="90">
        <f t="shared" si="220"/>
        <v>0</v>
      </c>
      <c r="AF781" s="90" t="str">
        <f t="shared" si="221"/>
        <v/>
      </c>
      <c r="AG781" s="90">
        <f t="shared" si="222"/>
        <v>26677</v>
      </c>
      <c r="AH781" s="90">
        <f t="shared" si="223"/>
        <v>2018</v>
      </c>
      <c r="AI781" s="90">
        <f t="shared" si="224"/>
        <v>36833</v>
      </c>
      <c r="AJ781" s="90">
        <f t="shared" si="225"/>
        <v>2022</v>
      </c>
      <c r="AK781" s="90" t="str">
        <f t="shared" si="226"/>
        <v/>
      </c>
      <c r="AL781" s="91">
        <f>IF(AK781="Adjust",(_xlfn.XLOOKUP(A781,'Adj factor'!A:A,'Adj factor'!I:I,,0)*AI781),'Master DataSheet'!AI781)</f>
        <v>36833</v>
      </c>
      <c r="AM781" s="91">
        <f t="shared" si="227"/>
        <v>36833</v>
      </c>
      <c r="AN781" s="92" t="str">
        <f t="shared" si="228"/>
        <v>Increasing</v>
      </c>
      <c r="AO781" s="93">
        <f>VLOOKUP(B781,'Growthrates source'!A$2:H$49,8,FALSE)</f>
        <v>3.0407746470616726E-2</v>
      </c>
      <c r="AP781" s="93">
        <f>VLOOKUP(B781,'Growthrates source'!A$2:I$49,9,FALSE)</f>
        <v>4.0299906228893123E-2</v>
      </c>
      <c r="AQ781" s="86">
        <f t="shared" si="229"/>
        <v>0</v>
      </c>
      <c r="AR781" s="86">
        <f t="shared" si="230"/>
        <v>0</v>
      </c>
      <c r="AS781" s="94">
        <f t="shared" si="231"/>
        <v>0</v>
      </c>
      <c r="AT781" s="94">
        <f t="shared" si="232"/>
        <v>1.3446907387345155</v>
      </c>
      <c r="AU781" s="94">
        <f t="shared" si="233"/>
        <v>1.6854029382920299</v>
      </c>
    </row>
    <row r="782" spans="1:47" x14ac:dyDescent="0.3">
      <c r="A782" s="85" t="str">
        <f>_xlfn.XLOOKUP(B782,'Country codes &amp; Data sources'!G:G,'Country codes &amp; Data sources'!H:H,,0)</f>
        <v>Nigeria</v>
      </c>
      <c r="B782" s="85" t="s">
        <v>156</v>
      </c>
      <c r="C782" s="86">
        <v>170075943.5</v>
      </c>
      <c r="D782" s="85" t="s">
        <v>206</v>
      </c>
      <c r="E782" s="87">
        <v>0</v>
      </c>
      <c r="F782" s="88">
        <v>174726123.50000006</v>
      </c>
      <c r="G782" s="87">
        <v>0</v>
      </c>
      <c r="I782" s="87">
        <v>0</v>
      </c>
      <c r="K782" s="87">
        <v>0</v>
      </c>
      <c r="M782" s="87">
        <v>0</v>
      </c>
      <c r="O782" s="87">
        <v>0</v>
      </c>
      <c r="P782" s="88">
        <v>198387623.50000006</v>
      </c>
      <c r="Q782" s="87">
        <v>0</v>
      </c>
      <c r="R782" s="87">
        <f t="shared" si="216"/>
        <v>0</v>
      </c>
      <c r="T782" s="87">
        <v>0</v>
      </c>
      <c r="V782" s="87">
        <v>0</v>
      </c>
      <c r="X782" s="87">
        <v>0</v>
      </c>
      <c r="Y782" s="88">
        <v>218541211.50000003</v>
      </c>
      <c r="Z782" s="87">
        <v>0</v>
      </c>
      <c r="AA782" s="87">
        <v>0</v>
      </c>
      <c r="AB782" s="89">
        <f t="shared" si="217"/>
        <v>0</v>
      </c>
      <c r="AC782" s="89">
        <f t="shared" si="218"/>
        <v>0</v>
      </c>
      <c r="AD782" s="89">
        <f t="shared" si="219"/>
        <v>0</v>
      </c>
      <c r="AE782" s="90">
        <f t="shared" si="220"/>
        <v>0</v>
      </c>
      <c r="AF782" s="90" t="str">
        <f t="shared" si="221"/>
        <v/>
      </c>
      <c r="AG782" s="90">
        <f t="shared" si="222"/>
        <v>0</v>
      </c>
      <c r="AH782" s="90" t="str">
        <f t="shared" si="223"/>
        <v/>
      </c>
      <c r="AI782" s="90">
        <f t="shared" si="224"/>
        <v>0</v>
      </c>
      <c r="AJ782" s="90" t="str">
        <f t="shared" si="225"/>
        <v/>
      </c>
      <c r="AK782" s="90" t="str">
        <f t="shared" si="226"/>
        <v/>
      </c>
      <c r="AL782" s="91">
        <f>IF(AK782="Adjust",(_xlfn.XLOOKUP(A782,'Adj factor'!A:A,'Adj factor'!I:I,,0)*AI782),'Master DataSheet'!AI782)</f>
        <v>0</v>
      </c>
      <c r="AM782" s="91">
        <f t="shared" si="227"/>
        <v>0</v>
      </c>
      <c r="AN782" s="92" t="str">
        <f t="shared" si="228"/>
        <v>No change</v>
      </c>
      <c r="AO782" s="93">
        <f>VLOOKUP(B782,'Growthrates source'!A$2:H$49,8,FALSE)</f>
        <v>3.0407746470616726E-2</v>
      </c>
      <c r="AP782" s="93">
        <f>VLOOKUP(B782,'Growthrates source'!A$2:I$49,9,FALSE)</f>
        <v>4.0299906228893123E-2</v>
      </c>
      <c r="AQ782" s="86">
        <f t="shared" si="229"/>
        <v>0</v>
      </c>
      <c r="AR782" s="86">
        <f t="shared" si="230"/>
        <v>0</v>
      </c>
      <c r="AS782" s="94">
        <f t="shared" si="231"/>
        <v>0</v>
      </c>
      <c r="AT782" s="94">
        <f t="shared" si="232"/>
        <v>0</v>
      </c>
      <c r="AU782" s="94">
        <f t="shared" si="233"/>
        <v>0</v>
      </c>
    </row>
    <row r="783" spans="1:47" x14ac:dyDescent="0.3">
      <c r="A783" s="85" t="str">
        <f>_xlfn.XLOOKUP(B783,'Country codes &amp; Data sources'!G:G,'Country codes &amp; Data sources'!H:H,,0)</f>
        <v>Nigeria</v>
      </c>
      <c r="B783" s="85" t="s">
        <v>156</v>
      </c>
      <c r="C783" s="86">
        <v>170075944.5</v>
      </c>
      <c r="D783" s="85" t="s">
        <v>136</v>
      </c>
      <c r="E783" s="87">
        <v>0</v>
      </c>
      <c r="F783" s="88">
        <v>174726123.50000006</v>
      </c>
      <c r="G783" s="87">
        <v>0</v>
      </c>
      <c r="I783" s="87">
        <v>0</v>
      </c>
      <c r="K783" s="87">
        <v>0</v>
      </c>
      <c r="M783" s="87">
        <v>0</v>
      </c>
      <c r="O783" s="87">
        <v>0</v>
      </c>
      <c r="P783" s="88">
        <v>198387623.50000006</v>
      </c>
      <c r="Q783" s="87">
        <v>2578</v>
      </c>
      <c r="R783" s="87">
        <f t="shared" si="216"/>
        <v>2648</v>
      </c>
      <c r="T783" s="87">
        <v>369</v>
      </c>
      <c r="V783" s="87">
        <v>0</v>
      </c>
      <c r="X783" s="87">
        <v>0</v>
      </c>
      <c r="Y783" s="88">
        <v>218541211.50000003</v>
      </c>
      <c r="Z783" s="87">
        <v>4262</v>
      </c>
      <c r="AA783" s="87">
        <v>2648</v>
      </c>
      <c r="AB783" s="89">
        <f t="shared" si="217"/>
        <v>0</v>
      </c>
      <c r="AC783" s="89">
        <f t="shared" si="218"/>
        <v>2578</v>
      </c>
      <c r="AD783" s="89">
        <f t="shared" si="219"/>
        <v>4262</v>
      </c>
      <c r="AE783" s="90">
        <f t="shared" si="220"/>
        <v>0</v>
      </c>
      <c r="AF783" s="90" t="str">
        <f t="shared" si="221"/>
        <v/>
      </c>
      <c r="AG783" s="90">
        <f t="shared" si="222"/>
        <v>2648</v>
      </c>
      <c r="AH783" s="90" t="str">
        <f t="shared" si="223"/>
        <v>2018 (triag)</v>
      </c>
      <c r="AI783" s="90">
        <f t="shared" si="224"/>
        <v>4262</v>
      </c>
      <c r="AJ783" s="90">
        <f t="shared" si="225"/>
        <v>2022</v>
      </c>
      <c r="AK783" s="90" t="str">
        <f t="shared" si="226"/>
        <v/>
      </c>
      <c r="AL783" s="91">
        <f>IF(AK783="Adjust",(_xlfn.XLOOKUP(A783,'Adj factor'!A:A,'Adj factor'!I:I,,0)*AI783),'Master DataSheet'!AI783)</f>
        <v>4262</v>
      </c>
      <c r="AM783" s="91">
        <f t="shared" si="227"/>
        <v>4262</v>
      </c>
      <c r="AN783" s="92" t="str">
        <f t="shared" si="228"/>
        <v>Increasing</v>
      </c>
      <c r="AO783" s="93">
        <f>VLOOKUP(B783,'Growthrates source'!A$2:H$49,8,FALSE)</f>
        <v>3.0407746470616726E-2</v>
      </c>
      <c r="AP783" s="93">
        <f>VLOOKUP(B783,'Growthrates source'!A$2:I$49,9,FALSE)</f>
        <v>4.0299906228893123E-2</v>
      </c>
      <c r="AQ783" s="86">
        <f t="shared" si="229"/>
        <v>2274.5128684608521</v>
      </c>
      <c r="AR783" s="86">
        <f t="shared" si="230"/>
        <v>2988.2990823659716</v>
      </c>
      <c r="AS783" s="94">
        <f t="shared" si="231"/>
        <v>0</v>
      </c>
      <c r="AT783" s="94">
        <f t="shared" si="232"/>
        <v>0.13347606837984019</v>
      </c>
      <c r="AU783" s="94">
        <f t="shared" si="233"/>
        <v>0.19502042524368451</v>
      </c>
    </row>
    <row r="784" spans="1:47" x14ac:dyDescent="0.3">
      <c r="A784" s="85" t="str">
        <f>_xlfn.XLOOKUP(B784,'Country codes &amp; Data sources'!G:G,'Country codes &amp; Data sources'!H:H,,0)</f>
        <v>Nigeria</v>
      </c>
      <c r="B784" s="85" t="s">
        <v>156</v>
      </c>
      <c r="C784" s="86">
        <v>170075945.5</v>
      </c>
      <c r="D784" s="85" t="s">
        <v>207</v>
      </c>
      <c r="E784" s="87">
        <v>0</v>
      </c>
      <c r="F784" s="88">
        <v>174726123.50000006</v>
      </c>
      <c r="G784" s="87">
        <v>0</v>
      </c>
      <c r="I784" s="87">
        <v>0</v>
      </c>
      <c r="K784" s="87">
        <v>0</v>
      </c>
      <c r="M784" s="87">
        <v>0</v>
      </c>
      <c r="O784" s="87">
        <v>0</v>
      </c>
      <c r="P784" s="88">
        <v>198387623.50000006</v>
      </c>
      <c r="Q784" s="87">
        <v>0</v>
      </c>
      <c r="R784" s="87">
        <f t="shared" si="216"/>
        <v>34393</v>
      </c>
      <c r="T784" s="87">
        <v>27247</v>
      </c>
      <c r="V784" s="87">
        <v>0</v>
      </c>
      <c r="X784" s="87">
        <v>0</v>
      </c>
      <c r="Y784" s="88">
        <v>218541211.50000003</v>
      </c>
      <c r="Z784" s="87">
        <v>0</v>
      </c>
      <c r="AA784" s="87">
        <v>34393</v>
      </c>
      <c r="AB784" s="89">
        <f t="shared" si="217"/>
        <v>0</v>
      </c>
      <c r="AC784" s="89">
        <f t="shared" si="218"/>
        <v>27247</v>
      </c>
      <c r="AD784" s="89">
        <f t="shared" si="219"/>
        <v>0</v>
      </c>
      <c r="AE784" s="90">
        <f t="shared" si="220"/>
        <v>0</v>
      </c>
      <c r="AF784" s="90" t="str">
        <f t="shared" si="221"/>
        <v/>
      </c>
      <c r="AG784" s="90">
        <f t="shared" si="222"/>
        <v>34393</v>
      </c>
      <c r="AH784" s="90" t="str">
        <f t="shared" si="223"/>
        <v>2018 (triag)</v>
      </c>
      <c r="AI784" s="90">
        <f t="shared" si="224"/>
        <v>27247</v>
      </c>
      <c r="AJ784" s="90" t="str">
        <f t="shared" si="225"/>
        <v>2018 (triag)</v>
      </c>
      <c r="AK784" s="90" t="str">
        <f t="shared" si="226"/>
        <v>Adjust</v>
      </c>
      <c r="AL784" s="91">
        <f>IF(AK784="Adjust",(_xlfn.XLOOKUP(A784,'Adj factor'!A:A,'Adj factor'!I:I,,0)*AI784),'Master DataSheet'!AI784)</f>
        <v>31314.940161798353</v>
      </c>
      <c r="AM784" s="91">
        <f t="shared" si="227"/>
        <v>34393</v>
      </c>
      <c r="AN784" s="92" t="str">
        <f t="shared" si="228"/>
        <v>Decreasing</v>
      </c>
      <c r="AO784" s="93">
        <f>VLOOKUP(B784,'Growthrates source'!A$2:H$49,8,FALSE)</f>
        <v>3.0407746470616726E-2</v>
      </c>
      <c r="AP784" s="93">
        <f>VLOOKUP(B784,'Growthrates source'!A$2:I$49,9,FALSE)</f>
        <v>4.0299906228893123E-2</v>
      </c>
      <c r="AQ784" s="86">
        <f t="shared" si="229"/>
        <v>29542.039684657884</v>
      </c>
      <c r="AR784" s="86">
        <f t="shared" si="230"/>
        <v>38812.904206877967</v>
      </c>
      <c r="AS784" s="94">
        <f t="shared" si="231"/>
        <v>0</v>
      </c>
      <c r="AT784" s="94">
        <f t="shared" si="232"/>
        <v>1.7336262914606662</v>
      </c>
      <c r="AU784" s="94">
        <f t="shared" si="233"/>
        <v>1.5737535160502207</v>
      </c>
    </row>
    <row r="785" spans="1:47" x14ac:dyDescent="0.3">
      <c r="A785" s="85" t="str">
        <f>_xlfn.XLOOKUP(B785,'Country codes &amp; Data sources'!G:G,'Country codes &amp; Data sources'!H:H,,0)</f>
        <v>Nigeria</v>
      </c>
      <c r="B785" s="85" t="s">
        <v>156</v>
      </c>
      <c r="C785" s="86">
        <v>170075946.5</v>
      </c>
      <c r="D785" s="85" t="s">
        <v>141</v>
      </c>
      <c r="E785" s="87">
        <v>0</v>
      </c>
      <c r="F785" s="88">
        <v>174726123.50000006</v>
      </c>
      <c r="G785" s="87">
        <v>0</v>
      </c>
      <c r="I785" s="87">
        <v>0</v>
      </c>
      <c r="K785" s="87">
        <v>0</v>
      </c>
      <c r="M785" s="87">
        <v>0</v>
      </c>
      <c r="O785" s="87">
        <v>0</v>
      </c>
      <c r="P785" s="88">
        <v>198387623.50000006</v>
      </c>
      <c r="Q785" s="87">
        <v>4626</v>
      </c>
      <c r="R785" s="87">
        <f t="shared" si="216"/>
        <v>5371</v>
      </c>
      <c r="T785" s="87">
        <v>4429</v>
      </c>
      <c r="V785" s="87">
        <v>0</v>
      </c>
      <c r="X785" s="87">
        <v>5485</v>
      </c>
      <c r="Y785" s="88">
        <v>218541211.50000003</v>
      </c>
      <c r="Z785" s="87">
        <v>5632</v>
      </c>
      <c r="AA785" s="87">
        <v>5371</v>
      </c>
      <c r="AB785" s="89">
        <f t="shared" si="217"/>
        <v>0</v>
      </c>
      <c r="AC785" s="89">
        <f t="shared" si="218"/>
        <v>4626</v>
      </c>
      <c r="AD785" s="89">
        <f t="shared" si="219"/>
        <v>5632</v>
      </c>
      <c r="AE785" s="90">
        <f t="shared" si="220"/>
        <v>0</v>
      </c>
      <c r="AF785" s="90" t="str">
        <f t="shared" si="221"/>
        <v/>
      </c>
      <c r="AG785" s="90">
        <f t="shared" si="222"/>
        <v>5371</v>
      </c>
      <c r="AH785" s="90" t="str">
        <f t="shared" si="223"/>
        <v>2018 (triag)</v>
      </c>
      <c r="AI785" s="90">
        <f t="shared" si="224"/>
        <v>5632</v>
      </c>
      <c r="AJ785" s="90">
        <f t="shared" si="225"/>
        <v>2022</v>
      </c>
      <c r="AK785" s="90" t="str">
        <f t="shared" si="226"/>
        <v/>
      </c>
      <c r="AL785" s="91">
        <f>IF(AK785="Adjust",(_xlfn.XLOOKUP(A785,'Adj factor'!A:A,'Adj factor'!I:I,,0)*AI785),'Master DataSheet'!AI785)</f>
        <v>5632</v>
      </c>
      <c r="AM785" s="91">
        <f t="shared" si="227"/>
        <v>5632</v>
      </c>
      <c r="AN785" s="92" t="str">
        <f t="shared" si="228"/>
        <v>Increasing</v>
      </c>
      <c r="AO785" s="93">
        <f>VLOOKUP(B785,'Growthrates source'!A$2:H$49,8,FALSE)</f>
        <v>3.0407746470616726E-2</v>
      </c>
      <c r="AP785" s="93">
        <f>VLOOKUP(B785,'Growthrates source'!A$2:I$49,9,FALSE)</f>
        <v>4.0299906228893123E-2</v>
      </c>
      <c r="AQ785" s="86">
        <f t="shared" si="229"/>
        <v>4613.4473627278085</v>
      </c>
      <c r="AR785" s="86">
        <f t="shared" si="230"/>
        <v>6061.2365450859643</v>
      </c>
      <c r="AS785" s="94">
        <f t="shared" si="231"/>
        <v>0</v>
      </c>
      <c r="AT785" s="94">
        <f t="shared" si="232"/>
        <v>0.27073261452723629</v>
      </c>
      <c r="AU785" s="94">
        <f t="shared" si="233"/>
        <v>0.25770883035486419</v>
      </c>
    </row>
    <row r="786" spans="1:47" x14ac:dyDescent="0.3">
      <c r="A786" s="85" t="str">
        <f>_xlfn.XLOOKUP(B786,'Country codes &amp; Data sources'!G:G,'Country codes &amp; Data sources'!H:H,,0)</f>
        <v>Nigeria</v>
      </c>
      <c r="B786" s="85" t="s">
        <v>156</v>
      </c>
      <c r="C786" s="86">
        <v>170075947.5</v>
      </c>
      <c r="D786" s="85" t="s">
        <v>208</v>
      </c>
      <c r="E786" s="87">
        <v>0</v>
      </c>
      <c r="F786" s="88">
        <v>174726123.50000006</v>
      </c>
      <c r="G786" s="87">
        <v>0</v>
      </c>
      <c r="I786" s="87">
        <v>0</v>
      </c>
      <c r="K786" s="87">
        <v>0</v>
      </c>
      <c r="M786" s="87">
        <v>0</v>
      </c>
      <c r="O786" s="87">
        <v>0</v>
      </c>
      <c r="P786" s="88">
        <v>198387623.50000006</v>
      </c>
      <c r="Q786" s="87">
        <v>0</v>
      </c>
      <c r="R786" s="87">
        <f t="shared" si="216"/>
        <v>0</v>
      </c>
      <c r="T786" s="87">
        <v>0</v>
      </c>
      <c r="V786" s="87">
        <v>0</v>
      </c>
      <c r="X786" s="87">
        <v>0</v>
      </c>
      <c r="Y786" s="88">
        <v>218541211.50000003</v>
      </c>
      <c r="Z786" s="87">
        <v>0</v>
      </c>
      <c r="AA786" s="87">
        <v>0</v>
      </c>
      <c r="AB786" s="89">
        <f t="shared" si="217"/>
        <v>0</v>
      </c>
      <c r="AC786" s="89">
        <f t="shared" si="218"/>
        <v>0</v>
      </c>
      <c r="AD786" s="89">
        <f t="shared" si="219"/>
        <v>0</v>
      </c>
      <c r="AE786" s="90">
        <f t="shared" si="220"/>
        <v>0</v>
      </c>
      <c r="AF786" s="90" t="str">
        <f t="shared" si="221"/>
        <v/>
      </c>
      <c r="AG786" s="90">
        <f t="shared" si="222"/>
        <v>0</v>
      </c>
      <c r="AH786" s="90" t="str">
        <f t="shared" si="223"/>
        <v/>
      </c>
      <c r="AI786" s="90">
        <f t="shared" si="224"/>
        <v>0</v>
      </c>
      <c r="AJ786" s="90" t="str">
        <f t="shared" si="225"/>
        <v/>
      </c>
      <c r="AK786" s="90" t="str">
        <f t="shared" si="226"/>
        <v/>
      </c>
      <c r="AL786" s="91">
        <f>IF(AK786="Adjust",(_xlfn.XLOOKUP(A786,'Adj factor'!A:A,'Adj factor'!I:I,,0)*AI786),'Master DataSheet'!AI786)</f>
        <v>0</v>
      </c>
      <c r="AM786" s="91">
        <f t="shared" si="227"/>
        <v>0</v>
      </c>
      <c r="AN786" s="92" t="str">
        <f t="shared" si="228"/>
        <v>No change</v>
      </c>
      <c r="AO786" s="93">
        <f>VLOOKUP(B786,'Growthrates source'!A$2:H$49,8,FALSE)</f>
        <v>3.0407746470616726E-2</v>
      </c>
      <c r="AP786" s="93">
        <f>VLOOKUP(B786,'Growthrates source'!A$2:I$49,9,FALSE)</f>
        <v>4.0299906228893123E-2</v>
      </c>
      <c r="AQ786" s="86">
        <f t="shared" si="229"/>
        <v>0</v>
      </c>
      <c r="AR786" s="86">
        <f t="shared" si="230"/>
        <v>0</v>
      </c>
      <c r="AS786" s="94">
        <f t="shared" si="231"/>
        <v>0</v>
      </c>
      <c r="AT786" s="94">
        <f t="shared" si="232"/>
        <v>0</v>
      </c>
      <c r="AU786" s="94">
        <f t="shared" si="233"/>
        <v>0</v>
      </c>
    </row>
    <row r="787" spans="1:47" x14ac:dyDescent="0.3">
      <c r="A787" s="85" t="str">
        <f>_xlfn.XLOOKUP(B787,'Country codes &amp; Data sources'!G:G,'Country codes &amp; Data sources'!H:H,,0)</f>
        <v>Nigeria</v>
      </c>
      <c r="B787" s="85" t="s">
        <v>156</v>
      </c>
      <c r="C787" s="86">
        <v>170075948.5</v>
      </c>
      <c r="D787" s="85" t="s">
        <v>209</v>
      </c>
      <c r="E787" s="87">
        <v>0</v>
      </c>
      <c r="F787" s="88">
        <v>174726123.50000006</v>
      </c>
      <c r="G787" s="87">
        <v>0</v>
      </c>
      <c r="I787" s="87">
        <v>0</v>
      </c>
      <c r="K787" s="87">
        <v>0</v>
      </c>
      <c r="M787" s="87">
        <v>0</v>
      </c>
      <c r="O787" s="87">
        <v>0</v>
      </c>
      <c r="P787" s="88">
        <v>198387623.50000006</v>
      </c>
      <c r="Q787" s="87">
        <v>0</v>
      </c>
      <c r="R787" s="87">
        <f t="shared" si="216"/>
        <v>3919</v>
      </c>
      <c r="T787" s="87">
        <v>0</v>
      </c>
      <c r="V787" s="87">
        <v>0</v>
      </c>
      <c r="X787" s="87">
        <v>0</v>
      </c>
      <c r="Y787" s="88">
        <v>218541211.50000003</v>
      </c>
      <c r="Z787" s="87">
        <v>0</v>
      </c>
      <c r="AA787" s="87">
        <v>3919</v>
      </c>
      <c r="AB787" s="89">
        <f t="shared" si="217"/>
        <v>0</v>
      </c>
      <c r="AC787" s="89">
        <f t="shared" si="218"/>
        <v>0</v>
      </c>
      <c r="AD787" s="89">
        <f t="shared" si="219"/>
        <v>0</v>
      </c>
      <c r="AE787" s="90">
        <f t="shared" si="220"/>
        <v>0</v>
      </c>
      <c r="AF787" s="90" t="str">
        <f t="shared" si="221"/>
        <v/>
      </c>
      <c r="AG787" s="90">
        <f t="shared" si="222"/>
        <v>3919</v>
      </c>
      <c r="AH787" s="90" t="str">
        <f t="shared" si="223"/>
        <v>2018 (triag)</v>
      </c>
      <c r="AI787" s="90">
        <f t="shared" si="224"/>
        <v>3919</v>
      </c>
      <c r="AJ787" s="90" t="str">
        <f t="shared" si="225"/>
        <v>2018 (triag)</v>
      </c>
      <c r="AK787" s="90" t="str">
        <f t="shared" si="226"/>
        <v/>
      </c>
      <c r="AL787" s="91">
        <f>IF(AK787="Adjust",(_xlfn.XLOOKUP(A787,'Adj factor'!A:A,'Adj factor'!I:I,,0)*AI787),'Master DataSheet'!AI787)</f>
        <v>3919</v>
      </c>
      <c r="AM787" s="91">
        <f t="shared" si="227"/>
        <v>3919</v>
      </c>
      <c r="AN787" s="92" t="str">
        <f t="shared" si="228"/>
        <v>No change</v>
      </c>
      <c r="AO787" s="93">
        <f>VLOOKUP(B787,'Growthrates source'!A$2:H$49,8,FALSE)</f>
        <v>3.0407746470616726E-2</v>
      </c>
      <c r="AP787" s="93">
        <f>VLOOKUP(B787,'Growthrates source'!A$2:I$49,9,FALSE)</f>
        <v>4.0299906228893123E-2</v>
      </c>
      <c r="AQ787" s="86">
        <f t="shared" si="229"/>
        <v>3366.2446871216307</v>
      </c>
      <c r="AR787" s="86">
        <f t="shared" si="230"/>
        <v>4422.6375014321156</v>
      </c>
      <c r="AS787" s="94">
        <f t="shared" si="231"/>
        <v>0</v>
      </c>
      <c r="AT787" s="94">
        <f t="shared" si="232"/>
        <v>0.19754256494735412</v>
      </c>
      <c r="AU787" s="94">
        <f t="shared" si="233"/>
        <v>0.17932544498592201</v>
      </c>
    </row>
    <row r="788" spans="1:47" x14ac:dyDescent="0.3">
      <c r="A788" s="85" t="str">
        <f>_xlfn.XLOOKUP(B788,'Country codes &amp; Data sources'!G:G,'Country codes &amp; Data sources'!H:H,,0)</f>
        <v>Nigeria</v>
      </c>
      <c r="B788" s="85" t="s">
        <v>156</v>
      </c>
      <c r="C788" s="86">
        <v>170075949.5</v>
      </c>
      <c r="D788" s="85" t="s">
        <v>134</v>
      </c>
      <c r="E788" s="87">
        <v>0</v>
      </c>
      <c r="F788" s="88">
        <v>174726123.50000006</v>
      </c>
      <c r="G788" s="87">
        <v>0</v>
      </c>
      <c r="I788" s="87">
        <v>0</v>
      </c>
      <c r="K788" s="87">
        <v>0</v>
      </c>
      <c r="M788" s="87">
        <v>0</v>
      </c>
      <c r="O788" s="87">
        <v>0</v>
      </c>
      <c r="P788" s="88">
        <v>198387623.50000006</v>
      </c>
      <c r="Q788" s="87">
        <v>29246</v>
      </c>
      <c r="R788" s="87">
        <f t="shared" si="216"/>
        <v>311269</v>
      </c>
      <c r="T788" s="87">
        <v>29803</v>
      </c>
      <c r="V788" s="87">
        <v>0</v>
      </c>
      <c r="X788" s="87">
        <v>34554</v>
      </c>
      <c r="Y788" s="88">
        <v>218541211.50000003</v>
      </c>
      <c r="Z788" s="87">
        <v>38712</v>
      </c>
      <c r="AA788" s="87">
        <v>311269</v>
      </c>
      <c r="AB788" s="89">
        <f t="shared" si="217"/>
        <v>0</v>
      </c>
      <c r="AC788" s="89">
        <f t="shared" si="218"/>
        <v>29803</v>
      </c>
      <c r="AD788" s="89">
        <f t="shared" si="219"/>
        <v>38712</v>
      </c>
      <c r="AE788" s="90">
        <f t="shared" si="220"/>
        <v>0</v>
      </c>
      <c r="AF788" s="90" t="str">
        <f t="shared" si="221"/>
        <v/>
      </c>
      <c r="AG788" s="90">
        <f t="shared" si="222"/>
        <v>311269</v>
      </c>
      <c r="AH788" s="90" t="str">
        <f t="shared" si="223"/>
        <v>2018 (triag)</v>
      </c>
      <c r="AI788" s="90">
        <f t="shared" si="224"/>
        <v>38712</v>
      </c>
      <c r="AJ788" s="90">
        <f t="shared" si="225"/>
        <v>2022</v>
      </c>
      <c r="AK788" s="90" t="str">
        <f t="shared" si="226"/>
        <v>Adjust</v>
      </c>
      <c r="AL788" s="91">
        <f>IF(AK788="Adjust",(_xlfn.XLOOKUP(A788,'Adj factor'!A:A,'Adj factor'!I:I,,0)*AI788),'Master DataSheet'!AI788)</f>
        <v>44491.649118931913</v>
      </c>
      <c r="AM788" s="91">
        <f t="shared" si="227"/>
        <v>311269</v>
      </c>
      <c r="AN788" s="92" t="str">
        <f t="shared" si="228"/>
        <v>Decreasing</v>
      </c>
      <c r="AO788" s="93">
        <f>VLOOKUP(B788,'Growthrates source'!A$2:H$49,8,FALSE)</f>
        <v>3.0407746470616726E-2</v>
      </c>
      <c r="AP788" s="93">
        <f>VLOOKUP(B788,'Growthrates source'!A$2:I$49,9,FALSE)</f>
        <v>4.0299906228893123E-2</v>
      </c>
      <c r="AQ788" s="86">
        <f t="shared" si="229"/>
        <v>267366.06724053662</v>
      </c>
      <c r="AR788" s="86">
        <f t="shared" si="230"/>
        <v>351270.72019221057</v>
      </c>
      <c r="AS788" s="94">
        <f t="shared" si="231"/>
        <v>0</v>
      </c>
      <c r="AT788" s="94">
        <f t="shared" si="232"/>
        <v>15.689940456391419</v>
      </c>
      <c r="AU788" s="94">
        <f t="shared" si="233"/>
        <v>14.243034431059698</v>
      </c>
    </row>
    <row r="789" spans="1:47" x14ac:dyDescent="0.3">
      <c r="A789" s="85" t="str">
        <f>_xlfn.XLOOKUP(B789,'Country codes &amp; Data sources'!G:G,'Country codes &amp; Data sources'!H:H,,0)</f>
        <v>Nigeria</v>
      </c>
      <c r="B789" s="85" t="s">
        <v>156</v>
      </c>
      <c r="C789" s="86">
        <v>170075950.5</v>
      </c>
      <c r="D789" s="85" t="s">
        <v>142</v>
      </c>
      <c r="E789" s="87">
        <v>0</v>
      </c>
      <c r="F789" s="88">
        <v>174726123.50000006</v>
      </c>
      <c r="G789" s="87">
        <v>0</v>
      </c>
      <c r="I789" s="87">
        <v>0</v>
      </c>
      <c r="K789" s="87">
        <v>0</v>
      </c>
      <c r="M789" s="87">
        <v>0</v>
      </c>
      <c r="O789" s="87">
        <v>0</v>
      </c>
      <c r="P789" s="88">
        <v>198387623.50000006</v>
      </c>
      <c r="Q789" s="87">
        <v>0</v>
      </c>
      <c r="R789" s="87">
        <f t="shared" si="216"/>
        <v>30</v>
      </c>
      <c r="T789" s="87">
        <v>0</v>
      </c>
      <c r="V789" s="87">
        <v>0</v>
      </c>
      <c r="X789" s="87">
        <v>0</v>
      </c>
      <c r="Y789" s="88">
        <v>218541211.50000003</v>
      </c>
      <c r="Z789" s="87">
        <v>0</v>
      </c>
      <c r="AA789" s="87">
        <v>30</v>
      </c>
      <c r="AB789" s="89">
        <f t="shared" si="217"/>
        <v>0</v>
      </c>
      <c r="AC789" s="89">
        <f t="shared" si="218"/>
        <v>0</v>
      </c>
      <c r="AD789" s="89">
        <f t="shared" si="219"/>
        <v>0</v>
      </c>
      <c r="AE789" s="90">
        <f t="shared" si="220"/>
        <v>0</v>
      </c>
      <c r="AF789" s="90" t="str">
        <f t="shared" si="221"/>
        <v/>
      </c>
      <c r="AG789" s="90">
        <f t="shared" si="222"/>
        <v>30</v>
      </c>
      <c r="AH789" s="90" t="str">
        <f t="shared" si="223"/>
        <v>2018 (triag)</v>
      </c>
      <c r="AI789" s="90">
        <f t="shared" si="224"/>
        <v>30</v>
      </c>
      <c r="AJ789" s="90" t="str">
        <f t="shared" si="225"/>
        <v>2018 (triag)</v>
      </c>
      <c r="AK789" s="90" t="str">
        <f t="shared" si="226"/>
        <v/>
      </c>
      <c r="AL789" s="91">
        <f>IF(AK789="Adjust",(_xlfn.XLOOKUP(A789,'Adj factor'!A:A,'Adj factor'!I:I,,0)*AI789),'Master DataSheet'!AI789)</f>
        <v>30</v>
      </c>
      <c r="AM789" s="91">
        <f t="shared" si="227"/>
        <v>30</v>
      </c>
      <c r="AN789" s="92" t="str">
        <f t="shared" si="228"/>
        <v>No change</v>
      </c>
      <c r="AO789" s="93">
        <f>VLOOKUP(B789,'Growthrates source'!A$2:H$49,8,FALSE)</f>
        <v>3.0407746470616726E-2</v>
      </c>
      <c r="AP789" s="93">
        <f>VLOOKUP(B789,'Growthrates source'!A$2:I$49,9,FALSE)</f>
        <v>4.0299906228893123E-2</v>
      </c>
      <c r="AQ789" s="86">
        <f t="shared" si="229"/>
        <v>25.768650322441676</v>
      </c>
      <c r="AR789" s="86">
        <f t="shared" si="230"/>
        <v>33.855352141608442</v>
      </c>
      <c r="AS789" s="94">
        <f t="shared" si="231"/>
        <v>0</v>
      </c>
      <c r="AT789" s="94">
        <f t="shared" si="232"/>
        <v>1.5121911070223588E-3</v>
      </c>
      <c r="AU789" s="94">
        <f t="shared" si="233"/>
        <v>1.3727387980550293E-3</v>
      </c>
    </row>
    <row r="790" spans="1:47" x14ac:dyDescent="0.3">
      <c r="A790" s="85" t="str">
        <f>_xlfn.XLOOKUP(B790,'Country codes &amp; Data sources'!G:G,'Country codes &amp; Data sources'!H:H,,0)</f>
        <v>Nigeria</v>
      </c>
      <c r="B790" s="85" t="s">
        <v>156</v>
      </c>
      <c r="C790" s="86">
        <v>170075951.5</v>
      </c>
      <c r="D790" s="85" t="s">
        <v>83</v>
      </c>
      <c r="E790" s="87">
        <v>0</v>
      </c>
      <c r="F790" s="88">
        <v>174726123.50000006</v>
      </c>
      <c r="G790" s="87">
        <v>0</v>
      </c>
      <c r="I790" s="87">
        <v>0</v>
      </c>
      <c r="K790" s="87">
        <v>0</v>
      </c>
      <c r="M790" s="87">
        <v>0</v>
      </c>
      <c r="O790" s="87">
        <v>0</v>
      </c>
      <c r="P790" s="88">
        <v>198387623.50000006</v>
      </c>
      <c r="Q790" s="87">
        <v>5153</v>
      </c>
      <c r="R790" s="87">
        <f t="shared" si="216"/>
        <v>15823</v>
      </c>
      <c r="T790" s="87">
        <v>5089</v>
      </c>
      <c r="V790" s="87">
        <v>0</v>
      </c>
      <c r="X790" s="87">
        <v>0</v>
      </c>
      <c r="Y790" s="88">
        <v>218541211.50000003</v>
      </c>
      <c r="Z790" s="87">
        <v>6479</v>
      </c>
      <c r="AA790" s="87">
        <v>15823</v>
      </c>
      <c r="AB790" s="89">
        <f t="shared" si="217"/>
        <v>0</v>
      </c>
      <c r="AC790" s="89">
        <f t="shared" si="218"/>
        <v>5153</v>
      </c>
      <c r="AD790" s="89">
        <f t="shared" si="219"/>
        <v>6479</v>
      </c>
      <c r="AE790" s="90">
        <f t="shared" si="220"/>
        <v>0</v>
      </c>
      <c r="AF790" s="90" t="str">
        <f t="shared" si="221"/>
        <v/>
      </c>
      <c r="AG790" s="90">
        <f t="shared" si="222"/>
        <v>15823</v>
      </c>
      <c r="AH790" s="90" t="str">
        <f t="shared" si="223"/>
        <v>2018 (triag)</v>
      </c>
      <c r="AI790" s="90">
        <f t="shared" si="224"/>
        <v>6479</v>
      </c>
      <c r="AJ790" s="90">
        <f t="shared" si="225"/>
        <v>2022</v>
      </c>
      <c r="AK790" s="90" t="str">
        <f t="shared" si="226"/>
        <v>Adjust</v>
      </c>
      <c r="AL790" s="91">
        <f>IF(AK790="Adjust",(_xlfn.XLOOKUP(A790,'Adj factor'!A:A,'Adj factor'!I:I,,0)*AI790),'Master DataSheet'!AI790)</f>
        <v>7446.3059165519699</v>
      </c>
      <c r="AM790" s="91">
        <f t="shared" si="227"/>
        <v>15823</v>
      </c>
      <c r="AN790" s="92" t="str">
        <f t="shared" si="228"/>
        <v>Decreasing</v>
      </c>
      <c r="AO790" s="93">
        <f>VLOOKUP(B790,'Growthrates source'!A$2:H$49,8,FALSE)</f>
        <v>3.0407746470616726E-2</v>
      </c>
      <c r="AP790" s="93">
        <f>VLOOKUP(B790,'Growthrates source'!A$2:I$49,9,FALSE)</f>
        <v>4.0299906228893123E-2</v>
      </c>
      <c r="AQ790" s="86">
        <f t="shared" si="229"/>
        <v>13591.245135066489</v>
      </c>
      <c r="AR790" s="86">
        <f t="shared" si="230"/>
        <v>17856.441231222347</v>
      </c>
      <c r="AS790" s="94">
        <f t="shared" si="231"/>
        <v>0</v>
      </c>
      <c r="AT790" s="94">
        <f t="shared" si="232"/>
        <v>0.79757999621382603</v>
      </c>
      <c r="AU790" s="94">
        <f t="shared" si="233"/>
        <v>0.72402820005415769</v>
      </c>
    </row>
    <row r="791" spans="1:47" x14ac:dyDescent="0.3">
      <c r="A791" s="85" t="str">
        <f>_xlfn.XLOOKUP(B791,'Country codes &amp; Data sources'!G:G,'Country codes &amp; Data sources'!H:H,,0)</f>
        <v>Nigeria</v>
      </c>
      <c r="B791" s="85" t="s">
        <v>156</v>
      </c>
      <c r="C791" s="86">
        <v>170075952.5</v>
      </c>
      <c r="D791" s="85" t="s">
        <v>84</v>
      </c>
      <c r="E791" s="87">
        <v>0</v>
      </c>
      <c r="F791" s="88">
        <v>174726123.50000006</v>
      </c>
      <c r="G791" s="87">
        <v>68565</v>
      </c>
      <c r="I791" s="87">
        <v>0</v>
      </c>
      <c r="K791" s="87">
        <v>0</v>
      </c>
      <c r="M791" s="87">
        <v>0</v>
      </c>
      <c r="O791" s="87">
        <v>0</v>
      </c>
      <c r="P791" s="88">
        <v>198387623.50000006</v>
      </c>
      <c r="Q791" s="87">
        <v>0</v>
      </c>
      <c r="R791" s="87">
        <f t="shared" si="216"/>
        <v>0</v>
      </c>
      <c r="T791" s="87">
        <v>0</v>
      </c>
      <c r="V791" s="87">
        <v>0</v>
      </c>
      <c r="X791" s="87">
        <v>0</v>
      </c>
      <c r="Y791" s="88">
        <v>218541211.50000003</v>
      </c>
      <c r="Z791" s="87">
        <v>0</v>
      </c>
      <c r="AA791" s="87">
        <v>0</v>
      </c>
      <c r="AB791" s="89">
        <f t="shared" si="217"/>
        <v>68565</v>
      </c>
      <c r="AC791" s="89">
        <f t="shared" si="218"/>
        <v>0</v>
      </c>
      <c r="AD791" s="89">
        <f t="shared" si="219"/>
        <v>0</v>
      </c>
      <c r="AE791" s="90">
        <f t="shared" si="220"/>
        <v>68565</v>
      </c>
      <c r="AF791" s="90">
        <f t="shared" si="221"/>
        <v>2013</v>
      </c>
      <c r="AG791" s="90">
        <f t="shared" si="222"/>
        <v>0</v>
      </c>
      <c r="AH791" s="90" t="str">
        <f t="shared" si="223"/>
        <v/>
      </c>
      <c r="AI791" s="90">
        <f t="shared" si="224"/>
        <v>0</v>
      </c>
      <c r="AJ791" s="90" t="str">
        <f t="shared" si="225"/>
        <v/>
      </c>
      <c r="AK791" s="90" t="str">
        <f t="shared" si="226"/>
        <v/>
      </c>
      <c r="AL791" s="91">
        <f>IF(AK791="Adjust",(_xlfn.XLOOKUP(A791,'Adj factor'!A:A,'Adj factor'!I:I,,0)*AI791),'Master DataSheet'!AI791)</f>
        <v>0</v>
      </c>
      <c r="AM791" s="91">
        <f t="shared" si="227"/>
        <v>0</v>
      </c>
      <c r="AN791" s="92" t="str">
        <f t="shared" si="228"/>
        <v>No change</v>
      </c>
      <c r="AO791" s="93">
        <f>VLOOKUP(B791,'Growthrates source'!A$2:H$49,8,FALSE)</f>
        <v>3.0407746470616726E-2</v>
      </c>
      <c r="AP791" s="93">
        <f>VLOOKUP(B791,'Growthrates source'!A$2:I$49,9,FALSE)</f>
        <v>4.0299906228893123E-2</v>
      </c>
      <c r="AQ791" s="86">
        <f t="shared" si="229"/>
        <v>0</v>
      </c>
      <c r="AR791" s="86">
        <f t="shared" si="230"/>
        <v>0</v>
      </c>
      <c r="AS791" s="94">
        <f t="shared" si="231"/>
        <v>3.9241413147931468</v>
      </c>
      <c r="AT791" s="94">
        <f t="shared" si="232"/>
        <v>0</v>
      </c>
      <c r="AU791" s="94">
        <f t="shared" si="233"/>
        <v>0</v>
      </c>
    </row>
    <row r="792" spans="1:47" x14ac:dyDescent="0.3">
      <c r="A792" s="85" t="str">
        <f>_xlfn.XLOOKUP(B792,'Country codes &amp; Data sources'!G:G,'Country codes &amp; Data sources'!H:H,,0)</f>
        <v>Nigeria</v>
      </c>
      <c r="B792" s="85" t="s">
        <v>156</v>
      </c>
      <c r="C792" s="86">
        <v>170075953.5</v>
      </c>
      <c r="D792" s="85" t="s">
        <v>126</v>
      </c>
      <c r="E792" s="87">
        <v>0</v>
      </c>
      <c r="F792" s="88">
        <v>174726123.50000006</v>
      </c>
      <c r="G792" s="87">
        <v>0</v>
      </c>
      <c r="I792" s="87">
        <v>0</v>
      </c>
      <c r="K792" s="87">
        <v>0</v>
      </c>
      <c r="M792" s="87">
        <v>0</v>
      </c>
      <c r="O792" s="87">
        <v>0</v>
      </c>
      <c r="P792" s="88">
        <v>198387623.50000006</v>
      </c>
      <c r="Q792" s="87">
        <v>56</v>
      </c>
      <c r="R792" s="87">
        <f t="shared" si="216"/>
        <v>56</v>
      </c>
      <c r="T792" s="87">
        <v>79</v>
      </c>
      <c r="V792" s="87">
        <v>0</v>
      </c>
      <c r="X792" s="87">
        <v>0</v>
      </c>
      <c r="Y792" s="88">
        <v>218541211.50000003</v>
      </c>
      <c r="Z792" s="87">
        <v>168</v>
      </c>
      <c r="AA792" s="87">
        <v>0</v>
      </c>
      <c r="AB792" s="89">
        <f t="shared" si="217"/>
        <v>0</v>
      </c>
      <c r="AC792" s="89">
        <f t="shared" si="218"/>
        <v>79</v>
      </c>
      <c r="AD792" s="89">
        <f t="shared" si="219"/>
        <v>168</v>
      </c>
      <c r="AE792" s="90">
        <f t="shared" si="220"/>
        <v>0</v>
      </c>
      <c r="AF792" s="90" t="str">
        <f t="shared" si="221"/>
        <v/>
      </c>
      <c r="AG792" s="90">
        <f t="shared" si="222"/>
        <v>56</v>
      </c>
      <c r="AH792" s="90">
        <f t="shared" si="223"/>
        <v>2018</v>
      </c>
      <c r="AI792" s="90">
        <f t="shared" si="224"/>
        <v>168</v>
      </c>
      <c r="AJ792" s="90">
        <f t="shared" si="225"/>
        <v>2022</v>
      </c>
      <c r="AK792" s="90" t="str">
        <f t="shared" si="226"/>
        <v/>
      </c>
      <c r="AL792" s="91">
        <f>IF(AK792="Adjust",(_xlfn.XLOOKUP(A792,'Adj factor'!A:A,'Adj factor'!I:I,,0)*AI792),'Master DataSheet'!AI792)</f>
        <v>168</v>
      </c>
      <c r="AM792" s="91">
        <f t="shared" si="227"/>
        <v>168</v>
      </c>
      <c r="AN792" s="92" t="str">
        <f t="shared" si="228"/>
        <v>Increasing</v>
      </c>
      <c r="AO792" s="93">
        <f>VLOOKUP(B792,'Growthrates source'!A$2:H$49,8,FALSE)</f>
        <v>3.0407746470616726E-2</v>
      </c>
      <c r="AP792" s="93">
        <f>VLOOKUP(B792,'Growthrates source'!A$2:I$49,9,FALSE)</f>
        <v>4.0299906228893123E-2</v>
      </c>
      <c r="AQ792" s="86">
        <f t="shared" si="229"/>
        <v>0</v>
      </c>
      <c r="AR792" s="86">
        <f t="shared" si="230"/>
        <v>0</v>
      </c>
      <c r="AS792" s="94">
        <f t="shared" si="231"/>
        <v>0</v>
      </c>
      <c r="AT792" s="94">
        <f t="shared" si="232"/>
        <v>2.822756733108403E-3</v>
      </c>
      <c r="AU792" s="94">
        <f t="shared" si="233"/>
        <v>7.6873372691081644E-3</v>
      </c>
    </row>
    <row r="793" spans="1:47" s="95" customFormat="1" x14ac:dyDescent="0.3">
      <c r="A793" s="95" t="str">
        <f>_xlfn.XLOOKUP(B793,'Country codes &amp; Data sources'!G:G,'Country codes &amp; Data sources'!H:H,,0)</f>
        <v>Nigeria</v>
      </c>
      <c r="B793" s="95" t="s">
        <v>156</v>
      </c>
      <c r="C793" s="60">
        <v>170075954.5</v>
      </c>
      <c r="D793" s="95" t="s">
        <v>87</v>
      </c>
      <c r="E793" s="96">
        <v>0</v>
      </c>
      <c r="F793" s="97">
        <v>174726123.50000006</v>
      </c>
      <c r="G793" s="96">
        <v>262512</v>
      </c>
      <c r="H793" s="96"/>
      <c r="I793" s="96">
        <v>0</v>
      </c>
      <c r="J793" s="96"/>
      <c r="K793" s="96">
        <v>0</v>
      </c>
      <c r="L793" s="96"/>
      <c r="M793" s="96">
        <v>0</v>
      </c>
      <c r="N793" s="96"/>
      <c r="O793" s="96">
        <v>0</v>
      </c>
      <c r="P793" s="97">
        <v>198387623.50000006</v>
      </c>
      <c r="Q793" s="96">
        <v>0</v>
      </c>
      <c r="R793" s="96">
        <f t="shared" si="216"/>
        <v>0</v>
      </c>
      <c r="S793" s="96"/>
      <c r="T793" s="96">
        <v>32</v>
      </c>
      <c r="U793" s="96"/>
      <c r="V793" s="96">
        <v>0</v>
      </c>
      <c r="W793" s="96"/>
      <c r="X793" s="96">
        <v>0</v>
      </c>
      <c r="Y793" s="97">
        <v>218541211.50000003</v>
      </c>
      <c r="Z793" s="96">
        <v>0</v>
      </c>
      <c r="AA793" s="96">
        <v>0</v>
      </c>
      <c r="AB793" s="98">
        <f t="shared" si="217"/>
        <v>262512</v>
      </c>
      <c r="AC793" s="98">
        <f t="shared" si="218"/>
        <v>32</v>
      </c>
      <c r="AD793" s="98">
        <f t="shared" si="219"/>
        <v>0</v>
      </c>
      <c r="AE793" s="99">
        <f t="shared" si="220"/>
        <v>262512</v>
      </c>
      <c r="AF793" s="99">
        <f t="shared" si="221"/>
        <v>2013</v>
      </c>
      <c r="AG793" s="99">
        <f t="shared" si="222"/>
        <v>32</v>
      </c>
      <c r="AH793" s="99">
        <f t="shared" si="223"/>
        <v>2019</v>
      </c>
      <c r="AI793" s="99">
        <f t="shared" si="224"/>
        <v>32</v>
      </c>
      <c r="AJ793" s="99">
        <f t="shared" si="225"/>
        <v>2019</v>
      </c>
      <c r="AK793" s="99" t="str">
        <f t="shared" si="226"/>
        <v/>
      </c>
      <c r="AL793" s="61">
        <f>IF(AK793="Adjust",(_xlfn.XLOOKUP(A793,'Adj factor'!A:A,'Adj factor'!I:I,,0)*AI793),'Master DataSheet'!AI793)</f>
        <v>32</v>
      </c>
      <c r="AM793" s="61">
        <f t="shared" si="227"/>
        <v>32</v>
      </c>
      <c r="AN793" s="62" t="str">
        <f t="shared" si="228"/>
        <v>No change</v>
      </c>
      <c r="AO793" s="100">
        <f>VLOOKUP(B793,'Growthrates source'!A$2:H$49,8,FALSE)</f>
        <v>3.0407746470616726E-2</v>
      </c>
      <c r="AP793" s="100">
        <f>VLOOKUP(B793,'Growthrates source'!A$2:I$49,9,FALSE)</f>
        <v>4.0299906228893123E-2</v>
      </c>
      <c r="AQ793" s="60">
        <f t="shared" si="229"/>
        <v>0</v>
      </c>
      <c r="AR793" s="60">
        <f t="shared" si="230"/>
        <v>0</v>
      </c>
      <c r="AS793" s="101">
        <f t="shared" si="231"/>
        <v>15.024198714052046</v>
      </c>
      <c r="AT793" s="102">
        <f t="shared" si="232"/>
        <v>1.6130038474905159E-3</v>
      </c>
      <c r="AU793" s="102">
        <f t="shared" si="233"/>
        <v>1.4642547179253647E-3</v>
      </c>
    </row>
    <row r="794" spans="1:47" x14ac:dyDescent="0.3">
      <c r="A794" s="85" t="str">
        <f>_xlfn.XLOOKUP(B794,'Country codes &amp; Data sources'!G:G,'Country codes &amp; Data sources'!H:H,,0)</f>
        <v>Rwanda</v>
      </c>
      <c r="B794" s="85" t="s">
        <v>183</v>
      </c>
      <c r="C794" s="86">
        <v>10840333.999999994</v>
      </c>
      <c r="D794" s="85" t="s">
        <v>321</v>
      </c>
      <c r="E794" s="87">
        <v>0</v>
      </c>
      <c r="F794" s="88">
        <v>11101349.499999996</v>
      </c>
      <c r="G794" s="87">
        <v>2208</v>
      </c>
      <c r="H794" s="87">
        <v>11368451.500000004</v>
      </c>
      <c r="I794" s="87">
        <v>2098</v>
      </c>
      <c r="J794" s="87">
        <v>11642959</v>
      </c>
      <c r="K794" s="87">
        <v>2568</v>
      </c>
      <c r="L794" s="87">
        <v>11930899.500000007</v>
      </c>
      <c r="M794" s="87">
        <v>2918</v>
      </c>
      <c r="N794" s="87">
        <v>12230339</v>
      </c>
      <c r="O794" s="87">
        <v>3830</v>
      </c>
      <c r="P794" s="88">
        <v>12531807.499999998</v>
      </c>
      <c r="Q794" s="87">
        <v>3296</v>
      </c>
      <c r="R794" s="87">
        <f t="shared" si="216"/>
        <v>3296</v>
      </c>
      <c r="S794" s="87">
        <v>12835028</v>
      </c>
      <c r="T794" s="87">
        <v>2984</v>
      </c>
      <c r="U794" s="87">
        <v>13146361.500000002</v>
      </c>
      <c r="V794" s="87">
        <v>0</v>
      </c>
      <c r="W794" s="87">
        <v>13461887.499999998</v>
      </c>
      <c r="X794" s="87">
        <v>0</v>
      </c>
      <c r="Y794" s="88">
        <v>13776697.499999994</v>
      </c>
      <c r="Z794" s="87">
        <v>0</v>
      </c>
      <c r="AA794" s="87">
        <v>1350</v>
      </c>
      <c r="AB794" s="89">
        <f t="shared" si="217"/>
        <v>2568</v>
      </c>
      <c r="AC794" s="89">
        <f t="shared" si="218"/>
        <v>3830</v>
      </c>
      <c r="AD794" s="89">
        <f t="shared" si="219"/>
        <v>0</v>
      </c>
      <c r="AE794" s="90">
        <f t="shared" si="220"/>
        <v>2208</v>
      </c>
      <c r="AF794" s="90">
        <f t="shared" si="221"/>
        <v>2013</v>
      </c>
      <c r="AG794" s="90">
        <f t="shared" si="222"/>
        <v>3296</v>
      </c>
      <c r="AH794" s="90">
        <f t="shared" si="223"/>
        <v>2018</v>
      </c>
      <c r="AI794" s="90">
        <f t="shared" si="224"/>
        <v>2984</v>
      </c>
      <c r="AJ794" s="90">
        <f t="shared" si="225"/>
        <v>2018</v>
      </c>
      <c r="AK794" s="90" t="str">
        <f t="shared" si="226"/>
        <v>Adjust</v>
      </c>
      <c r="AL794" s="91">
        <f>IF(AK794="Adjust",(_xlfn.XLOOKUP(A794,'Adj factor'!A:A,'Adj factor'!I:I,,0)*AI794),'Master DataSheet'!AI794)</f>
        <v>3084.8161877458497</v>
      </c>
      <c r="AM794" s="91">
        <f t="shared" si="227"/>
        <v>3296</v>
      </c>
      <c r="AN794" s="92" t="str">
        <f t="shared" si="228"/>
        <v>Decreasing</v>
      </c>
      <c r="AO794" s="93">
        <f>VLOOKUP(B794,'Growthrates source'!A$2:H$49,8,FALSE)</f>
        <v>-1.4357349923836749E-2</v>
      </c>
      <c r="AP794" s="93">
        <f>VLOOKUP(B794,'Growthrates source'!A$2:I$49,9,FALSE)</f>
        <v>0.17354491154631502</v>
      </c>
      <c r="AQ794" s="86">
        <f t="shared" si="229"/>
        <v>1450.4753670787004</v>
      </c>
      <c r="AR794" s="86">
        <f t="shared" si="230"/>
        <v>2272.1791002542254</v>
      </c>
      <c r="AS794" s="94">
        <f t="shared" si="231"/>
        <v>1.9889473797757657</v>
      </c>
      <c r="AT794" s="94">
        <f t="shared" si="232"/>
        <v>2.6301074286370905</v>
      </c>
      <c r="AU794" s="94">
        <f t="shared" si="233"/>
        <v>2.3924456496195852</v>
      </c>
    </row>
    <row r="795" spans="1:47" x14ac:dyDescent="0.3">
      <c r="A795" s="85" t="str">
        <f>_xlfn.XLOOKUP(B795,'Country codes &amp; Data sources'!G:G,'Country codes &amp; Data sources'!H:H,,0)</f>
        <v>Rwanda</v>
      </c>
      <c r="B795" s="85" t="s">
        <v>183</v>
      </c>
      <c r="C795" s="86">
        <v>10840335</v>
      </c>
      <c r="D795" s="85" t="s">
        <v>322</v>
      </c>
      <c r="E795" s="87">
        <v>0</v>
      </c>
      <c r="F795" s="88">
        <v>11101349.499999996</v>
      </c>
      <c r="G795" s="87">
        <v>0</v>
      </c>
      <c r="I795" s="87">
        <v>19250</v>
      </c>
      <c r="K795" s="87">
        <v>20734</v>
      </c>
      <c r="M795" s="87">
        <v>22562</v>
      </c>
      <c r="O795" s="87">
        <v>1290</v>
      </c>
      <c r="P795" s="88">
        <v>12531807.499999998</v>
      </c>
      <c r="Q795" s="87">
        <v>26690</v>
      </c>
      <c r="R795" s="87">
        <f t="shared" si="216"/>
        <v>26690</v>
      </c>
      <c r="T795" s="87">
        <v>20818</v>
      </c>
      <c r="V795" s="87">
        <v>0</v>
      </c>
      <c r="X795" s="87">
        <v>0</v>
      </c>
      <c r="Y795" s="88">
        <v>13776697.499999994</v>
      </c>
      <c r="Z795" s="87">
        <v>0</v>
      </c>
      <c r="AA795" s="87">
        <v>9551</v>
      </c>
      <c r="AB795" s="89">
        <f t="shared" si="217"/>
        <v>20734</v>
      </c>
      <c r="AC795" s="89">
        <f t="shared" si="218"/>
        <v>26690</v>
      </c>
      <c r="AD795" s="89">
        <f t="shared" si="219"/>
        <v>0</v>
      </c>
      <c r="AE795" s="90">
        <f t="shared" si="220"/>
        <v>19250</v>
      </c>
      <c r="AF795" s="90">
        <f t="shared" si="221"/>
        <v>2014</v>
      </c>
      <c r="AG795" s="90">
        <f t="shared" si="222"/>
        <v>26690</v>
      </c>
      <c r="AH795" s="90">
        <f t="shared" si="223"/>
        <v>2018</v>
      </c>
      <c r="AI795" s="90">
        <f t="shared" si="224"/>
        <v>20818</v>
      </c>
      <c r="AJ795" s="90">
        <f t="shared" si="225"/>
        <v>2018</v>
      </c>
      <c r="AK795" s="90" t="str">
        <f t="shared" si="226"/>
        <v>Adjust</v>
      </c>
      <c r="AL795" s="91">
        <f>IF(AK795="Adjust",(_xlfn.XLOOKUP(A795,'Adj factor'!A:A,'Adj factor'!I:I,,0)*AI795),'Master DataSheet'!AI795)</f>
        <v>21521.348323221548</v>
      </c>
      <c r="AM795" s="91">
        <f t="shared" si="227"/>
        <v>26690</v>
      </c>
      <c r="AN795" s="92" t="str">
        <f t="shared" si="228"/>
        <v>Decreasing</v>
      </c>
      <c r="AO795" s="93">
        <f>VLOOKUP(B795,'Growthrates source'!A$2:H$49,8,FALSE)</f>
        <v>-1.4357349923836749E-2</v>
      </c>
      <c r="AP795" s="93">
        <f>VLOOKUP(B795,'Growthrates source'!A$2:I$49,9,FALSE)</f>
        <v>0.17354491154631502</v>
      </c>
      <c r="AQ795" s="86">
        <f t="shared" si="229"/>
        <v>10261.844615532345</v>
      </c>
      <c r="AR795" s="86">
        <f t="shared" si="230"/>
        <v>16075.246360391191</v>
      </c>
      <c r="AS795" s="94">
        <f t="shared" si="231"/>
        <v>17.34023417603419</v>
      </c>
      <c r="AT795" s="94">
        <f t="shared" si="232"/>
        <v>21.297805603860422</v>
      </c>
      <c r="AU795" s="94">
        <f t="shared" si="233"/>
        <v>19.373293200347913</v>
      </c>
    </row>
    <row r="796" spans="1:47" x14ac:dyDescent="0.3">
      <c r="A796" s="85" t="str">
        <f>_xlfn.XLOOKUP(B796,'Country codes &amp; Data sources'!G:G,'Country codes &amp; Data sources'!H:H,,0)</f>
        <v>Rwanda</v>
      </c>
      <c r="B796" s="85" t="s">
        <v>183</v>
      </c>
      <c r="C796" s="86">
        <v>10840336</v>
      </c>
      <c r="D796" s="85" t="s">
        <v>323</v>
      </c>
      <c r="E796" s="87">
        <v>0</v>
      </c>
      <c r="F796" s="88">
        <v>11101349.499999996</v>
      </c>
      <c r="G796" s="87">
        <v>1244</v>
      </c>
      <c r="I796" s="87">
        <v>1384</v>
      </c>
      <c r="K796" s="87">
        <v>1736</v>
      </c>
      <c r="M796" s="87">
        <v>2140</v>
      </c>
      <c r="O796" s="87">
        <v>4288</v>
      </c>
      <c r="P796" s="88">
        <v>12531807.499999998</v>
      </c>
      <c r="Q796" s="87">
        <v>2942</v>
      </c>
      <c r="R796" s="87">
        <f t="shared" si="216"/>
        <v>2942</v>
      </c>
      <c r="T796" s="87">
        <v>3122</v>
      </c>
      <c r="V796" s="87">
        <v>0</v>
      </c>
      <c r="X796" s="87">
        <v>0</v>
      </c>
      <c r="Y796" s="88">
        <v>13776697.499999994</v>
      </c>
      <c r="Z796" s="87">
        <v>0</v>
      </c>
      <c r="AA796" s="87">
        <v>1207</v>
      </c>
      <c r="AB796" s="89">
        <f t="shared" si="217"/>
        <v>1736</v>
      </c>
      <c r="AC796" s="89">
        <f t="shared" si="218"/>
        <v>4288</v>
      </c>
      <c r="AD796" s="89">
        <f t="shared" si="219"/>
        <v>0</v>
      </c>
      <c r="AE796" s="90">
        <f t="shared" si="220"/>
        <v>1244</v>
      </c>
      <c r="AF796" s="90">
        <f t="shared" si="221"/>
        <v>2013</v>
      </c>
      <c r="AG796" s="90">
        <f t="shared" si="222"/>
        <v>2942</v>
      </c>
      <c r="AH796" s="90">
        <f t="shared" si="223"/>
        <v>2018</v>
      </c>
      <c r="AI796" s="90">
        <f t="shared" si="224"/>
        <v>3122</v>
      </c>
      <c r="AJ796" s="90">
        <f t="shared" si="225"/>
        <v>2018</v>
      </c>
      <c r="AK796" s="90" t="str">
        <f t="shared" si="226"/>
        <v/>
      </c>
      <c r="AL796" s="91">
        <f>IF(AK796="Adjust",(_xlfn.XLOOKUP(A796,'Adj factor'!A:A,'Adj factor'!I:I,,0)*AI796),'Master DataSheet'!AI796)</f>
        <v>3122</v>
      </c>
      <c r="AM796" s="91">
        <f t="shared" si="227"/>
        <v>3122</v>
      </c>
      <c r="AN796" s="92" t="str">
        <f t="shared" si="228"/>
        <v>Increasing</v>
      </c>
      <c r="AO796" s="93">
        <f>VLOOKUP(B796,'Growthrates source'!A$2:H$49,8,FALSE)</f>
        <v>-1.4357349923836749E-2</v>
      </c>
      <c r="AP796" s="93">
        <f>VLOOKUP(B796,'Growthrates source'!A$2:I$49,9,FALSE)</f>
        <v>0.17354491154631502</v>
      </c>
      <c r="AQ796" s="86">
        <f t="shared" si="229"/>
        <v>1296.8324207881417</v>
      </c>
      <c r="AR796" s="86">
        <f t="shared" si="230"/>
        <v>2031.4964251902595</v>
      </c>
      <c r="AS796" s="94">
        <f t="shared" si="231"/>
        <v>1.1205844838954042</v>
      </c>
      <c r="AT796" s="94">
        <f t="shared" si="232"/>
        <v>2.3476262302943933</v>
      </c>
      <c r="AU796" s="94">
        <f t="shared" si="233"/>
        <v>2.2661454241845704</v>
      </c>
    </row>
    <row r="797" spans="1:47" x14ac:dyDescent="0.3">
      <c r="A797" s="85" t="str">
        <f>_xlfn.XLOOKUP(B797,'Country codes &amp; Data sources'!G:G,'Country codes &amp; Data sources'!H:H,,0)</f>
        <v>Rwanda</v>
      </c>
      <c r="B797" s="85" t="s">
        <v>183</v>
      </c>
      <c r="C797" s="86">
        <v>10840337</v>
      </c>
      <c r="D797" s="85" t="s">
        <v>324</v>
      </c>
      <c r="E797" s="87">
        <v>0</v>
      </c>
      <c r="F797" s="88">
        <v>11101349.499999996</v>
      </c>
      <c r="G797" s="87">
        <v>0</v>
      </c>
      <c r="I797" s="87">
        <v>0</v>
      </c>
      <c r="K797" s="87">
        <v>0</v>
      </c>
      <c r="M797" s="87">
        <v>0</v>
      </c>
      <c r="O797" s="87">
        <v>0</v>
      </c>
      <c r="P797" s="88">
        <v>12531807.499999998</v>
      </c>
      <c r="Q797" s="87">
        <v>497</v>
      </c>
      <c r="R797" s="87">
        <f t="shared" si="216"/>
        <v>497</v>
      </c>
      <c r="T797" s="87">
        <v>194</v>
      </c>
      <c r="V797" s="87">
        <v>0</v>
      </c>
      <c r="X797" s="87">
        <v>114</v>
      </c>
      <c r="Y797" s="88">
        <v>13776697.499999994</v>
      </c>
      <c r="Z797" s="87">
        <v>143</v>
      </c>
      <c r="AA797" s="87">
        <v>167</v>
      </c>
      <c r="AB797" s="89">
        <f t="shared" si="217"/>
        <v>0</v>
      </c>
      <c r="AC797" s="89">
        <f t="shared" si="218"/>
        <v>497</v>
      </c>
      <c r="AD797" s="89">
        <f t="shared" si="219"/>
        <v>143</v>
      </c>
      <c r="AE797" s="90">
        <f t="shared" si="220"/>
        <v>0</v>
      </c>
      <c r="AF797" s="90" t="str">
        <f t="shared" si="221"/>
        <v/>
      </c>
      <c r="AG797" s="90">
        <f t="shared" si="222"/>
        <v>497</v>
      </c>
      <c r="AH797" s="90">
        <f t="shared" si="223"/>
        <v>2018</v>
      </c>
      <c r="AI797" s="90">
        <f t="shared" si="224"/>
        <v>143</v>
      </c>
      <c r="AJ797" s="90">
        <f t="shared" si="225"/>
        <v>2022</v>
      </c>
      <c r="AK797" s="90" t="str">
        <f t="shared" si="226"/>
        <v>Adjust</v>
      </c>
      <c r="AL797" s="91">
        <f>IF(AK797="Adjust",(_xlfn.XLOOKUP(A797,'Adj factor'!A:A,'Adj factor'!I:I,,0)*AI797),'Master DataSheet'!AI797)</f>
        <v>147.83133875591705</v>
      </c>
      <c r="AM797" s="62">
        <v>898</v>
      </c>
      <c r="AN797" s="92" t="str">
        <f t="shared" si="228"/>
        <v>Decreasing</v>
      </c>
      <c r="AO797" s="93">
        <f>VLOOKUP(B797,'Growthrates source'!A$2:H$49,8,FALSE)</f>
        <v>-1.4357349923836749E-2</v>
      </c>
      <c r="AP797" s="93">
        <f>VLOOKUP(B797,'Growthrates source'!A$2:I$49,9,FALSE)</f>
        <v>0.17354491154631502</v>
      </c>
      <c r="AQ797" s="86">
        <f t="shared" si="229"/>
        <v>179.42917503862441</v>
      </c>
      <c r="AR797" s="86">
        <f t="shared" si="230"/>
        <v>281.0769701795968</v>
      </c>
      <c r="AS797" s="94">
        <f t="shared" si="231"/>
        <v>0</v>
      </c>
      <c r="AT797" s="94">
        <f t="shared" si="232"/>
        <v>0.39659083496135739</v>
      </c>
      <c r="AU797" s="94">
        <f t="shared" si="233"/>
        <v>0.65182530138300587</v>
      </c>
    </row>
    <row r="798" spans="1:47" x14ac:dyDescent="0.3">
      <c r="A798" s="85" t="str">
        <f>_xlfn.XLOOKUP(B798,'Country codes &amp; Data sources'!G:G,'Country codes &amp; Data sources'!H:H,,0)</f>
        <v>Rwanda</v>
      </c>
      <c r="B798" s="85" t="s">
        <v>183</v>
      </c>
      <c r="C798" s="86">
        <v>10840338</v>
      </c>
      <c r="D798" s="85" t="s">
        <v>325</v>
      </c>
      <c r="E798" s="87">
        <v>0</v>
      </c>
      <c r="F798" s="88">
        <v>11101349.499999996</v>
      </c>
      <c r="G798" s="87">
        <v>0</v>
      </c>
      <c r="I798" s="87">
        <v>0</v>
      </c>
      <c r="K798" s="87">
        <v>0</v>
      </c>
      <c r="M798" s="87">
        <v>0</v>
      </c>
      <c r="O798" s="87">
        <v>0</v>
      </c>
      <c r="P798" s="88">
        <v>12531807.499999998</v>
      </c>
      <c r="Q798" s="87">
        <v>380</v>
      </c>
      <c r="R798" s="87">
        <f t="shared" si="216"/>
        <v>380</v>
      </c>
      <c r="T798" s="87">
        <v>234</v>
      </c>
      <c r="V798" s="87">
        <v>0</v>
      </c>
      <c r="X798" s="87">
        <v>127</v>
      </c>
      <c r="Y798" s="88">
        <v>13776697.499999994</v>
      </c>
      <c r="Z798" s="87">
        <v>0</v>
      </c>
      <c r="AA798" s="87">
        <v>228</v>
      </c>
      <c r="AB798" s="89">
        <f t="shared" si="217"/>
        <v>0</v>
      </c>
      <c r="AC798" s="89">
        <f t="shared" si="218"/>
        <v>380</v>
      </c>
      <c r="AD798" s="89">
        <f t="shared" si="219"/>
        <v>127</v>
      </c>
      <c r="AE798" s="90">
        <f t="shared" si="220"/>
        <v>0</v>
      </c>
      <c r="AF798" s="90" t="str">
        <f t="shared" si="221"/>
        <v/>
      </c>
      <c r="AG798" s="90">
        <f t="shared" si="222"/>
        <v>380</v>
      </c>
      <c r="AH798" s="90">
        <f t="shared" si="223"/>
        <v>2018</v>
      </c>
      <c r="AI798" s="90">
        <f t="shared" si="224"/>
        <v>127</v>
      </c>
      <c r="AJ798" s="90">
        <f t="shared" si="225"/>
        <v>2021</v>
      </c>
      <c r="AK798" s="90" t="str">
        <f t="shared" si="226"/>
        <v>Adjust</v>
      </c>
      <c r="AL798" s="91">
        <f>IF(AK798="Adjust",(_xlfn.XLOOKUP(A798,'Adj factor'!A:A,'Adj factor'!I:I,,0)*AI798),'Master DataSheet'!AI798)</f>
        <v>131.29076938462563</v>
      </c>
      <c r="AM798" s="91">
        <f t="shared" si="227"/>
        <v>380</v>
      </c>
      <c r="AN798" s="92" t="str">
        <f t="shared" si="228"/>
        <v>Decreasing</v>
      </c>
      <c r="AO798" s="93">
        <f>VLOOKUP(B798,'Growthrates source'!A$2:H$49,8,FALSE)</f>
        <v>-1.4357349923836749E-2</v>
      </c>
      <c r="AP798" s="93">
        <f>VLOOKUP(B798,'Growthrates source'!A$2:I$49,9,FALSE)</f>
        <v>0.17354491154631502</v>
      </c>
      <c r="AQ798" s="86">
        <f t="shared" si="229"/>
        <v>244.96917310662494</v>
      </c>
      <c r="AR798" s="86">
        <f t="shared" si="230"/>
        <v>383.74580359849142</v>
      </c>
      <c r="AS798" s="94">
        <f t="shared" si="231"/>
        <v>0</v>
      </c>
      <c r="AT798" s="94">
        <f t="shared" si="232"/>
        <v>0.30322840500063541</v>
      </c>
      <c r="AU798" s="94">
        <f t="shared" si="233"/>
        <v>0.27582807853623859</v>
      </c>
    </row>
    <row r="799" spans="1:47" x14ac:dyDescent="0.3">
      <c r="A799" s="85" t="str">
        <f>_xlfn.XLOOKUP(B799,'Country codes &amp; Data sources'!G:G,'Country codes &amp; Data sources'!H:H,,0)</f>
        <v>Rwanda</v>
      </c>
      <c r="B799" s="85" t="s">
        <v>183</v>
      </c>
      <c r="C799" s="86">
        <v>10840339</v>
      </c>
      <c r="D799" s="85" t="s">
        <v>127</v>
      </c>
      <c r="E799" s="87">
        <v>0</v>
      </c>
      <c r="F799" s="88">
        <v>11101349.499999996</v>
      </c>
      <c r="G799" s="87">
        <v>0</v>
      </c>
      <c r="I799" s="87">
        <v>0</v>
      </c>
      <c r="K799" s="87">
        <v>0</v>
      </c>
      <c r="M799" s="87">
        <v>0</v>
      </c>
      <c r="O799" s="87">
        <v>0</v>
      </c>
      <c r="P799" s="88">
        <v>12531807.499999998</v>
      </c>
      <c r="Q799" s="87">
        <v>45000</v>
      </c>
      <c r="R799" s="87">
        <f t="shared" si="216"/>
        <v>45000</v>
      </c>
      <c r="T799" s="87">
        <v>0</v>
      </c>
      <c r="V799" s="87">
        <v>58567</v>
      </c>
      <c r="X799" s="87">
        <v>0</v>
      </c>
      <c r="Y799" s="88">
        <v>13776697.499999994</v>
      </c>
      <c r="Z799" s="87">
        <v>0</v>
      </c>
      <c r="AA799" s="87">
        <v>45000</v>
      </c>
      <c r="AB799" s="89">
        <f t="shared" si="217"/>
        <v>0</v>
      </c>
      <c r="AC799" s="89">
        <f t="shared" si="218"/>
        <v>45000</v>
      </c>
      <c r="AD799" s="89">
        <f t="shared" si="219"/>
        <v>58567</v>
      </c>
      <c r="AE799" s="90">
        <f t="shared" si="220"/>
        <v>0</v>
      </c>
      <c r="AF799" s="90" t="str">
        <f t="shared" si="221"/>
        <v/>
      </c>
      <c r="AG799" s="90">
        <f t="shared" si="222"/>
        <v>45000</v>
      </c>
      <c r="AH799" s="90">
        <f t="shared" si="223"/>
        <v>2018</v>
      </c>
      <c r="AI799" s="90">
        <f t="shared" si="224"/>
        <v>58567</v>
      </c>
      <c r="AJ799" s="90">
        <f t="shared" si="225"/>
        <v>2020</v>
      </c>
      <c r="AK799" s="90" t="str">
        <f t="shared" si="226"/>
        <v/>
      </c>
      <c r="AL799" s="91">
        <f>IF(AK799="Adjust",(_xlfn.XLOOKUP(A799,'Adj factor'!A:A,'Adj factor'!I:I,,0)*AI799),'Master DataSheet'!AI799)</f>
        <v>58567</v>
      </c>
      <c r="AM799" s="91">
        <f t="shared" si="227"/>
        <v>58567</v>
      </c>
      <c r="AN799" s="92" t="str">
        <f t="shared" si="228"/>
        <v>Increasing</v>
      </c>
      <c r="AO799" s="93">
        <f>VLOOKUP(B799,'Growthrates source'!A$2:H$49,8,FALSE)</f>
        <v>-1.4357349923836749E-2</v>
      </c>
      <c r="AP799" s="93">
        <f>VLOOKUP(B799,'Growthrates source'!A$2:I$49,9,FALSE)</f>
        <v>0.17354491154631502</v>
      </c>
      <c r="AQ799" s="86">
        <f t="shared" si="229"/>
        <v>48349.178902623345</v>
      </c>
      <c r="AR799" s="86">
        <f t="shared" si="230"/>
        <v>75739.303341807521</v>
      </c>
      <c r="AS799" s="94">
        <f t="shared" si="231"/>
        <v>0</v>
      </c>
      <c r="AT799" s="94">
        <f t="shared" si="232"/>
        <v>35.908626907969982</v>
      </c>
      <c r="AU799" s="94">
        <f t="shared" si="233"/>
        <v>42.511639672715482</v>
      </c>
    </row>
    <row r="800" spans="1:47" x14ac:dyDescent="0.3">
      <c r="A800" s="85" t="str">
        <f>_xlfn.XLOOKUP(B800,'Country codes &amp; Data sources'!G:G,'Country codes &amp; Data sources'!H:H,,0)</f>
        <v>Rwanda</v>
      </c>
      <c r="B800" s="85" t="s">
        <v>183</v>
      </c>
      <c r="C800" s="86">
        <v>10840340</v>
      </c>
      <c r="D800" s="85" t="s">
        <v>61</v>
      </c>
      <c r="E800" s="87">
        <v>0</v>
      </c>
      <c r="F800" s="88">
        <v>11101349.499999996</v>
      </c>
      <c r="G800" s="87">
        <v>0</v>
      </c>
      <c r="I800" s="87">
        <v>0</v>
      </c>
      <c r="K800" s="87">
        <v>0</v>
      </c>
      <c r="M800" s="87">
        <v>0</v>
      </c>
      <c r="O800" s="87">
        <v>0</v>
      </c>
      <c r="P800" s="88">
        <v>12531807.499999998</v>
      </c>
      <c r="Q800" s="87">
        <v>0</v>
      </c>
      <c r="R800" s="87">
        <f t="shared" si="216"/>
        <v>0</v>
      </c>
      <c r="T800" s="87">
        <v>0</v>
      </c>
      <c r="V800" s="87">
        <v>0</v>
      </c>
      <c r="X800" s="87">
        <v>207</v>
      </c>
      <c r="Y800" s="88">
        <v>13776697.499999994</v>
      </c>
      <c r="Z800" s="87">
        <v>0</v>
      </c>
      <c r="AA800" s="87">
        <v>0</v>
      </c>
      <c r="AB800" s="89">
        <f t="shared" si="217"/>
        <v>0</v>
      </c>
      <c r="AC800" s="89">
        <f t="shared" si="218"/>
        <v>0</v>
      </c>
      <c r="AD800" s="89">
        <f t="shared" si="219"/>
        <v>207</v>
      </c>
      <c r="AE800" s="90">
        <f t="shared" si="220"/>
        <v>0</v>
      </c>
      <c r="AF800" s="90" t="str">
        <f t="shared" si="221"/>
        <v/>
      </c>
      <c r="AG800" s="90">
        <f t="shared" si="222"/>
        <v>0</v>
      </c>
      <c r="AH800" s="90" t="str">
        <f t="shared" si="223"/>
        <v/>
      </c>
      <c r="AI800" s="90">
        <f t="shared" si="224"/>
        <v>207</v>
      </c>
      <c r="AJ800" s="90">
        <f t="shared" si="225"/>
        <v>2021</v>
      </c>
      <c r="AK800" s="90" t="str">
        <f t="shared" si="226"/>
        <v/>
      </c>
      <c r="AL800" s="91">
        <f>IF(AK800="Adjust",(_xlfn.XLOOKUP(A800,'Adj factor'!A:A,'Adj factor'!I:I,,0)*AI800),'Master DataSheet'!AI800)</f>
        <v>207</v>
      </c>
      <c r="AM800" s="60">
        <v>224</v>
      </c>
      <c r="AN800" s="92" t="str">
        <f t="shared" si="228"/>
        <v>Increasing</v>
      </c>
      <c r="AO800" s="93">
        <f>VLOOKUP(B800,'Growthrates source'!A$2:H$49,8,FALSE)</f>
        <v>-1.4357349923836749E-2</v>
      </c>
      <c r="AP800" s="93">
        <f>VLOOKUP(B800,'Growthrates source'!A$2:I$49,9,FALSE)</f>
        <v>0.17354491154631502</v>
      </c>
      <c r="AQ800" s="86">
        <f t="shared" si="229"/>
        <v>0</v>
      </c>
      <c r="AR800" s="86">
        <f t="shared" si="230"/>
        <v>0</v>
      </c>
      <c r="AS800" s="94">
        <f t="shared" si="231"/>
        <v>0</v>
      </c>
      <c r="AT800" s="94">
        <f t="shared" si="232"/>
        <v>0</v>
      </c>
      <c r="AU800" s="94">
        <f t="shared" si="233"/>
        <v>0.16259339366346695</v>
      </c>
    </row>
    <row r="801" spans="1:47" x14ac:dyDescent="0.3">
      <c r="A801" s="85" t="str">
        <f>_xlfn.XLOOKUP(B801,'Country codes &amp; Data sources'!G:G,'Country codes &amp; Data sources'!H:H,,0)</f>
        <v>Rwanda</v>
      </c>
      <c r="B801" s="85" t="s">
        <v>183</v>
      </c>
      <c r="C801" s="86">
        <v>10840341</v>
      </c>
      <c r="D801" s="85" t="s">
        <v>62</v>
      </c>
      <c r="E801" s="87">
        <v>0</v>
      </c>
      <c r="F801" s="88">
        <v>11101349.499999996</v>
      </c>
      <c r="G801" s="87">
        <v>0</v>
      </c>
      <c r="I801" s="87">
        <v>0</v>
      </c>
      <c r="K801" s="87">
        <v>0</v>
      </c>
      <c r="M801" s="87">
        <v>0</v>
      </c>
      <c r="O801" s="87">
        <v>0</v>
      </c>
      <c r="P801" s="88">
        <v>12531807.499999998</v>
      </c>
      <c r="Q801" s="87">
        <v>0</v>
      </c>
      <c r="R801" s="87">
        <f t="shared" si="216"/>
        <v>0</v>
      </c>
      <c r="T801" s="87">
        <v>0</v>
      </c>
      <c r="V801" s="87">
        <v>0</v>
      </c>
      <c r="X801" s="87">
        <v>226</v>
      </c>
      <c r="Y801" s="88">
        <v>13776697.499999994</v>
      </c>
      <c r="Z801" s="87">
        <v>0</v>
      </c>
      <c r="AA801" s="87">
        <v>0</v>
      </c>
      <c r="AB801" s="89">
        <f t="shared" si="217"/>
        <v>0</v>
      </c>
      <c r="AC801" s="89">
        <f t="shared" si="218"/>
        <v>0</v>
      </c>
      <c r="AD801" s="89">
        <f t="shared" si="219"/>
        <v>226</v>
      </c>
      <c r="AE801" s="90">
        <f t="shared" si="220"/>
        <v>0</v>
      </c>
      <c r="AF801" s="90" t="str">
        <f t="shared" si="221"/>
        <v/>
      </c>
      <c r="AG801" s="90">
        <f t="shared" si="222"/>
        <v>0</v>
      </c>
      <c r="AH801" s="90" t="str">
        <f t="shared" si="223"/>
        <v/>
      </c>
      <c r="AI801" s="90">
        <f t="shared" si="224"/>
        <v>226</v>
      </c>
      <c r="AJ801" s="90">
        <f t="shared" si="225"/>
        <v>2021</v>
      </c>
      <c r="AK801" s="90" t="str">
        <f t="shared" si="226"/>
        <v/>
      </c>
      <c r="AL801" s="91">
        <f>IF(AK801="Adjust",(_xlfn.XLOOKUP(A801,'Adj factor'!A:A,'Adj factor'!I:I,,0)*AI801),'Master DataSheet'!AI801)</f>
        <v>226</v>
      </c>
      <c r="AM801" s="91">
        <f t="shared" si="227"/>
        <v>226</v>
      </c>
      <c r="AN801" s="92" t="str">
        <f t="shared" si="228"/>
        <v>Increasing</v>
      </c>
      <c r="AO801" s="93">
        <f>VLOOKUP(B801,'Growthrates source'!A$2:H$49,8,FALSE)</f>
        <v>-1.4357349923836749E-2</v>
      </c>
      <c r="AP801" s="93">
        <f>VLOOKUP(B801,'Growthrates source'!A$2:I$49,9,FALSE)</f>
        <v>0.17354491154631502</v>
      </c>
      <c r="AQ801" s="86">
        <f t="shared" si="229"/>
        <v>0</v>
      </c>
      <c r="AR801" s="86">
        <f t="shared" si="230"/>
        <v>0</v>
      </c>
      <c r="AS801" s="94">
        <f t="shared" si="231"/>
        <v>0</v>
      </c>
      <c r="AT801" s="94">
        <f t="shared" si="232"/>
        <v>0</v>
      </c>
      <c r="AU801" s="94">
        <f t="shared" si="233"/>
        <v>0.16404512039260505</v>
      </c>
    </row>
    <row r="802" spans="1:47" x14ac:dyDescent="0.3">
      <c r="A802" s="85" t="str">
        <f>_xlfn.XLOOKUP(B802,'Country codes &amp; Data sources'!G:G,'Country codes &amp; Data sources'!H:H,,0)</f>
        <v>Rwanda</v>
      </c>
      <c r="B802" s="85" t="s">
        <v>183</v>
      </c>
      <c r="C802" s="86">
        <v>10840342</v>
      </c>
      <c r="D802" s="85" t="s">
        <v>203</v>
      </c>
      <c r="E802" s="87">
        <v>0</v>
      </c>
      <c r="F802" s="88">
        <v>11101349.499999996</v>
      </c>
      <c r="G802" s="87">
        <v>0</v>
      </c>
      <c r="I802" s="87">
        <v>0</v>
      </c>
      <c r="K802" s="87">
        <v>0</v>
      </c>
      <c r="M802" s="87">
        <v>0</v>
      </c>
      <c r="O802" s="87">
        <v>0</v>
      </c>
      <c r="P802" s="88">
        <v>12531807.499999998</v>
      </c>
      <c r="Q802" s="87">
        <v>0</v>
      </c>
      <c r="R802" s="87">
        <f t="shared" si="216"/>
        <v>0</v>
      </c>
      <c r="T802" s="87">
        <v>0</v>
      </c>
      <c r="V802" s="87">
        <v>0</v>
      </c>
      <c r="X802" s="87">
        <v>0</v>
      </c>
      <c r="Y802" s="88">
        <v>13776697.499999994</v>
      </c>
      <c r="Z802" s="87">
        <v>0</v>
      </c>
      <c r="AA802" s="87">
        <v>0</v>
      </c>
      <c r="AB802" s="89">
        <f t="shared" si="217"/>
        <v>0</v>
      </c>
      <c r="AC802" s="89">
        <f t="shared" si="218"/>
        <v>0</v>
      </c>
      <c r="AD802" s="89">
        <f t="shared" si="219"/>
        <v>0</v>
      </c>
      <c r="AE802" s="90">
        <f t="shared" si="220"/>
        <v>0</v>
      </c>
      <c r="AF802" s="90" t="str">
        <f t="shared" si="221"/>
        <v/>
      </c>
      <c r="AG802" s="90">
        <f t="shared" si="222"/>
        <v>0</v>
      </c>
      <c r="AH802" s="90" t="str">
        <f t="shared" si="223"/>
        <v/>
      </c>
      <c r="AI802" s="90">
        <f t="shared" si="224"/>
        <v>0</v>
      </c>
      <c r="AJ802" s="90" t="str">
        <f t="shared" si="225"/>
        <v/>
      </c>
      <c r="AK802" s="90" t="str">
        <f t="shared" si="226"/>
        <v/>
      </c>
      <c r="AL802" s="91">
        <f>IF(AK802="Adjust",(_xlfn.XLOOKUP(A802,'Adj factor'!A:A,'Adj factor'!I:I,,0)*AI802),'Master DataSheet'!AI802)</f>
        <v>0</v>
      </c>
      <c r="AM802" s="91">
        <f t="shared" si="227"/>
        <v>0</v>
      </c>
      <c r="AN802" s="92" t="str">
        <f t="shared" si="228"/>
        <v>No change</v>
      </c>
      <c r="AO802" s="93">
        <f>VLOOKUP(B802,'Growthrates source'!A$2:H$49,8,FALSE)</f>
        <v>-1.4357349923836749E-2</v>
      </c>
      <c r="AP802" s="93">
        <f>VLOOKUP(B802,'Growthrates source'!A$2:I$49,9,FALSE)</f>
        <v>0.17354491154631502</v>
      </c>
      <c r="AQ802" s="86">
        <f t="shared" si="229"/>
        <v>0</v>
      </c>
      <c r="AR802" s="86">
        <f t="shared" si="230"/>
        <v>0</v>
      </c>
      <c r="AS802" s="94">
        <f t="shared" si="231"/>
        <v>0</v>
      </c>
      <c r="AT802" s="94">
        <f t="shared" si="232"/>
        <v>0</v>
      </c>
      <c r="AU802" s="94">
        <f t="shared" si="233"/>
        <v>0</v>
      </c>
    </row>
    <row r="803" spans="1:47" x14ac:dyDescent="0.3">
      <c r="A803" s="85" t="str">
        <f>_xlfn.XLOOKUP(B803,'Country codes &amp; Data sources'!G:G,'Country codes &amp; Data sources'!H:H,,0)</f>
        <v>Rwanda</v>
      </c>
      <c r="B803" s="85" t="s">
        <v>183</v>
      </c>
      <c r="C803" s="86">
        <v>10840343</v>
      </c>
      <c r="D803" s="85" t="s">
        <v>204</v>
      </c>
      <c r="E803" s="87">
        <v>0</v>
      </c>
      <c r="F803" s="88">
        <v>11101349.499999996</v>
      </c>
      <c r="G803" s="87">
        <v>0</v>
      </c>
      <c r="I803" s="87">
        <v>0</v>
      </c>
      <c r="K803" s="87">
        <v>0</v>
      </c>
      <c r="M803" s="87">
        <v>0</v>
      </c>
      <c r="O803" s="87">
        <v>0</v>
      </c>
      <c r="P803" s="88">
        <v>12531807.499999998</v>
      </c>
      <c r="Q803" s="87">
        <v>0</v>
      </c>
      <c r="R803" s="87">
        <f t="shared" si="216"/>
        <v>0</v>
      </c>
      <c r="T803" s="87">
        <v>0</v>
      </c>
      <c r="V803" s="87">
        <v>0</v>
      </c>
      <c r="X803" s="87">
        <v>0</v>
      </c>
      <c r="Y803" s="88">
        <v>13776697.499999994</v>
      </c>
      <c r="Z803" s="87">
        <v>0</v>
      </c>
      <c r="AA803" s="87">
        <v>0</v>
      </c>
      <c r="AB803" s="89">
        <f t="shared" si="217"/>
        <v>0</v>
      </c>
      <c r="AC803" s="89">
        <f t="shared" si="218"/>
        <v>0</v>
      </c>
      <c r="AD803" s="89">
        <f t="shared" si="219"/>
        <v>0</v>
      </c>
      <c r="AE803" s="90">
        <f t="shared" si="220"/>
        <v>0</v>
      </c>
      <c r="AF803" s="90" t="str">
        <f t="shared" si="221"/>
        <v/>
      </c>
      <c r="AG803" s="90">
        <f t="shared" si="222"/>
        <v>0</v>
      </c>
      <c r="AH803" s="90" t="str">
        <f t="shared" si="223"/>
        <v/>
      </c>
      <c r="AI803" s="90">
        <f t="shared" si="224"/>
        <v>0</v>
      </c>
      <c r="AJ803" s="90" t="str">
        <f t="shared" si="225"/>
        <v/>
      </c>
      <c r="AK803" s="90" t="str">
        <f t="shared" si="226"/>
        <v/>
      </c>
      <c r="AL803" s="91">
        <f>IF(AK803="Adjust",(_xlfn.XLOOKUP(A803,'Adj factor'!A:A,'Adj factor'!I:I,,0)*AI803),'Master DataSheet'!AI803)</f>
        <v>0</v>
      </c>
      <c r="AM803" s="91">
        <f t="shared" si="227"/>
        <v>0</v>
      </c>
      <c r="AN803" s="92" t="str">
        <f t="shared" si="228"/>
        <v>No change</v>
      </c>
      <c r="AO803" s="93">
        <f>VLOOKUP(B803,'Growthrates source'!A$2:H$49,8,FALSE)</f>
        <v>-1.4357349923836749E-2</v>
      </c>
      <c r="AP803" s="93">
        <f>VLOOKUP(B803,'Growthrates source'!A$2:I$49,9,FALSE)</f>
        <v>0.17354491154631502</v>
      </c>
      <c r="AQ803" s="86">
        <f t="shared" si="229"/>
        <v>0</v>
      </c>
      <c r="AR803" s="86">
        <f t="shared" si="230"/>
        <v>0</v>
      </c>
      <c r="AS803" s="94">
        <f t="shared" si="231"/>
        <v>0</v>
      </c>
      <c r="AT803" s="94">
        <f t="shared" si="232"/>
        <v>0</v>
      </c>
      <c r="AU803" s="94">
        <f t="shared" si="233"/>
        <v>0</v>
      </c>
    </row>
    <row r="804" spans="1:47" x14ac:dyDescent="0.3">
      <c r="A804" s="85" t="str">
        <f>_xlfn.XLOOKUP(B804,'Country codes &amp; Data sources'!G:G,'Country codes &amp; Data sources'!H:H,,0)</f>
        <v>Rwanda</v>
      </c>
      <c r="B804" s="85" t="s">
        <v>183</v>
      </c>
      <c r="C804" s="86">
        <v>10840344</v>
      </c>
      <c r="D804" s="85" t="s">
        <v>205</v>
      </c>
      <c r="E804" s="87">
        <v>0</v>
      </c>
      <c r="F804" s="88">
        <v>11101349.499999996</v>
      </c>
      <c r="G804" s="87">
        <v>0</v>
      </c>
      <c r="I804" s="87">
        <v>0</v>
      </c>
      <c r="K804" s="87">
        <v>23</v>
      </c>
      <c r="M804" s="87">
        <v>0</v>
      </c>
      <c r="O804" s="87">
        <v>0</v>
      </c>
      <c r="P804" s="88">
        <v>12531807.499999998</v>
      </c>
      <c r="Q804" s="87">
        <v>0</v>
      </c>
      <c r="R804" s="87">
        <f t="shared" si="216"/>
        <v>0</v>
      </c>
      <c r="T804" s="87">
        <v>0</v>
      </c>
      <c r="V804" s="87">
        <v>0</v>
      </c>
      <c r="X804" s="87">
        <v>0</v>
      </c>
      <c r="Y804" s="88">
        <v>13776697.499999994</v>
      </c>
      <c r="Z804" s="87">
        <v>0</v>
      </c>
      <c r="AA804" s="87">
        <v>0</v>
      </c>
      <c r="AB804" s="89">
        <f t="shared" si="217"/>
        <v>23</v>
      </c>
      <c r="AC804" s="89">
        <f t="shared" si="218"/>
        <v>0</v>
      </c>
      <c r="AD804" s="89">
        <f t="shared" si="219"/>
        <v>0</v>
      </c>
      <c r="AE804" s="90">
        <f t="shared" si="220"/>
        <v>23</v>
      </c>
      <c r="AF804" s="90">
        <f t="shared" si="221"/>
        <v>2015</v>
      </c>
      <c r="AG804" s="90">
        <f t="shared" si="222"/>
        <v>0</v>
      </c>
      <c r="AH804" s="90" t="str">
        <f t="shared" si="223"/>
        <v/>
      </c>
      <c r="AI804" s="90">
        <f t="shared" si="224"/>
        <v>0</v>
      </c>
      <c r="AJ804" s="90" t="str">
        <f t="shared" si="225"/>
        <v/>
      </c>
      <c r="AK804" s="90" t="str">
        <f t="shared" si="226"/>
        <v/>
      </c>
      <c r="AL804" s="91">
        <f>IF(AK804="Adjust",(_xlfn.XLOOKUP(A804,'Adj factor'!A:A,'Adj factor'!I:I,,0)*AI804),'Master DataSheet'!AI804)</f>
        <v>0</v>
      </c>
      <c r="AM804" s="91">
        <f t="shared" si="227"/>
        <v>0</v>
      </c>
      <c r="AN804" s="92" t="str">
        <f t="shared" si="228"/>
        <v>No change</v>
      </c>
      <c r="AO804" s="93">
        <f>VLOOKUP(B804,'Growthrates source'!A$2:H$49,8,FALSE)</f>
        <v>-1.4357349923836749E-2</v>
      </c>
      <c r="AP804" s="93">
        <f>VLOOKUP(B804,'Growthrates source'!A$2:I$49,9,FALSE)</f>
        <v>0.17354491154631502</v>
      </c>
      <c r="AQ804" s="86">
        <f t="shared" si="229"/>
        <v>0</v>
      </c>
      <c r="AR804" s="86">
        <f t="shared" si="230"/>
        <v>0</v>
      </c>
      <c r="AS804" s="94">
        <f t="shared" si="231"/>
        <v>2.0718201872664228E-2</v>
      </c>
      <c r="AT804" s="94">
        <f t="shared" si="232"/>
        <v>0</v>
      </c>
      <c r="AU804" s="94">
        <f t="shared" si="233"/>
        <v>0</v>
      </c>
    </row>
    <row r="805" spans="1:47" x14ac:dyDescent="0.3">
      <c r="A805" s="85" t="str">
        <f>_xlfn.XLOOKUP(B805,'Country codes &amp; Data sources'!G:G,'Country codes &amp; Data sources'!H:H,,0)</f>
        <v>Rwanda</v>
      </c>
      <c r="B805" s="85" t="s">
        <v>183</v>
      </c>
      <c r="C805" s="86">
        <v>10840345</v>
      </c>
      <c r="D805" s="85" t="s">
        <v>133</v>
      </c>
      <c r="E805" s="87">
        <v>0</v>
      </c>
      <c r="F805" s="88">
        <v>11101349.499999996</v>
      </c>
      <c r="G805" s="87">
        <v>0</v>
      </c>
      <c r="I805" s="87">
        <v>0</v>
      </c>
      <c r="K805" s="87">
        <v>0</v>
      </c>
      <c r="M805" s="87">
        <v>0</v>
      </c>
      <c r="O805" s="87">
        <v>0</v>
      </c>
      <c r="P805" s="88">
        <v>12531807.499999998</v>
      </c>
      <c r="Q805" s="87">
        <v>1990</v>
      </c>
      <c r="R805" s="87">
        <f t="shared" si="216"/>
        <v>1990</v>
      </c>
      <c r="T805" s="87">
        <v>0</v>
      </c>
      <c r="V805" s="87">
        <v>0</v>
      </c>
      <c r="X805" s="87">
        <v>0</v>
      </c>
      <c r="Y805" s="88">
        <v>13776697.499999994</v>
      </c>
      <c r="Z805" s="87">
        <v>0</v>
      </c>
      <c r="AA805" s="87">
        <v>321</v>
      </c>
      <c r="AB805" s="89">
        <f t="shared" si="217"/>
        <v>0</v>
      </c>
      <c r="AC805" s="89">
        <f t="shared" si="218"/>
        <v>1990</v>
      </c>
      <c r="AD805" s="89">
        <f t="shared" si="219"/>
        <v>0</v>
      </c>
      <c r="AE805" s="90">
        <f t="shared" si="220"/>
        <v>0</v>
      </c>
      <c r="AF805" s="90" t="str">
        <f t="shared" si="221"/>
        <v/>
      </c>
      <c r="AG805" s="90">
        <f t="shared" si="222"/>
        <v>1990</v>
      </c>
      <c r="AH805" s="90">
        <f t="shared" si="223"/>
        <v>2018</v>
      </c>
      <c r="AI805" s="90">
        <f t="shared" si="224"/>
        <v>1990</v>
      </c>
      <c r="AJ805" s="90">
        <f t="shared" si="225"/>
        <v>2018</v>
      </c>
      <c r="AK805" s="90" t="str">
        <f t="shared" si="226"/>
        <v/>
      </c>
      <c r="AL805" s="91">
        <f>IF(AK805="Adjust",(_xlfn.XLOOKUP(A805,'Adj factor'!A:A,'Adj factor'!I:I,,0)*AI805),'Master DataSheet'!AI805)</f>
        <v>1990</v>
      </c>
      <c r="AM805" s="91">
        <f t="shared" si="227"/>
        <v>1990</v>
      </c>
      <c r="AN805" s="92" t="str">
        <f t="shared" si="228"/>
        <v>No change</v>
      </c>
      <c r="AO805" s="93">
        <f>VLOOKUP(B805,'Growthrates source'!A$2:H$49,8,FALSE)</f>
        <v>-1.4357349923836749E-2</v>
      </c>
      <c r="AP805" s="93">
        <f>VLOOKUP(B805,'Growthrates source'!A$2:I$49,9,FALSE)</f>
        <v>0.17354491154631502</v>
      </c>
      <c r="AQ805" s="86">
        <f t="shared" si="229"/>
        <v>344.89080950537988</v>
      </c>
      <c r="AR805" s="86">
        <f t="shared" si="230"/>
        <v>540.27369717156034</v>
      </c>
      <c r="AS805" s="94">
        <f t="shared" si="231"/>
        <v>0</v>
      </c>
      <c r="AT805" s="94">
        <f t="shared" si="232"/>
        <v>1.587959278819117</v>
      </c>
      <c r="AU805" s="94">
        <f t="shared" si="233"/>
        <v>1.4444680954924072</v>
      </c>
    </row>
    <row r="806" spans="1:47" x14ac:dyDescent="0.3">
      <c r="A806" s="85" t="str">
        <f>_xlfn.XLOOKUP(B806,'Country codes &amp; Data sources'!G:G,'Country codes &amp; Data sources'!H:H,,0)</f>
        <v>Rwanda</v>
      </c>
      <c r="B806" s="85" t="s">
        <v>183</v>
      </c>
      <c r="C806" s="86">
        <v>10840346</v>
      </c>
      <c r="D806" s="85" t="s">
        <v>206</v>
      </c>
      <c r="E806" s="87">
        <v>0</v>
      </c>
      <c r="F806" s="88">
        <v>11101349.499999996</v>
      </c>
      <c r="G806" s="87">
        <v>0</v>
      </c>
      <c r="I806" s="87">
        <v>0</v>
      </c>
      <c r="K806" s="87">
        <v>0</v>
      </c>
      <c r="M806" s="87">
        <v>0</v>
      </c>
      <c r="O806" s="87">
        <v>0</v>
      </c>
      <c r="P806" s="88">
        <v>12531807.499999998</v>
      </c>
      <c r="Q806" s="87">
        <v>0</v>
      </c>
      <c r="R806" s="87">
        <f t="shared" si="216"/>
        <v>0</v>
      </c>
      <c r="T806" s="87">
        <v>0</v>
      </c>
      <c r="V806" s="87">
        <v>0</v>
      </c>
      <c r="X806" s="87">
        <v>0</v>
      </c>
      <c r="Y806" s="88">
        <v>13776697.499999994</v>
      </c>
      <c r="Z806" s="87">
        <v>0</v>
      </c>
      <c r="AA806" s="87">
        <v>0</v>
      </c>
      <c r="AB806" s="89">
        <f t="shared" si="217"/>
        <v>0</v>
      </c>
      <c r="AC806" s="89">
        <f t="shared" si="218"/>
        <v>0</v>
      </c>
      <c r="AD806" s="89">
        <f t="shared" si="219"/>
        <v>0</v>
      </c>
      <c r="AE806" s="90">
        <f t="shared" si="220"/>
        <v>0</v>
      </c>
      <c r="AF806" s="90" t="str">
        <f t="shared" si="221"/>
        <v/>
      </c>
      <c r="AG806" s="90">
        <f t="shared" si="222"/>
        <v>0</v>
      </c>
      <c r="AH806" s="90" t="str">
        <f t="shared" si="223"/>
        <v/>
      </c>
      <c r="AI806" s="90">
        <f t="shared" si="224"/>
        <v>0</v>
      </c>
      <c r="AJ806" s="90" t="str">
        <f t="shared" si="225"/>
        <v/>
      </c>
      <c r="AK806" s="90" t="str">
        <f t="shared" si="226"/>
        <v/>
      </c>
      <c r="AL806" s="91">
        <f>IF(AK806="Adjust",(_xlfn.XLOOKUP(A806,'Adj factor'!A:A,'Adj factor'!I:I,,0)*AI806),'Master DataSheet'!AI806)</f>
        <v>0</v>
      </c>
      <c r="AM806" s="91">
        <f t="shared" si="227"/>
        <v>0</v>
      </c>
      <c r="AN806" s="92" t="str">
        <f t="shared" si="228"/>
        <v>No change</v>
      </c>
      <c r="AO806" s="93">
        <f>VLOOKUP(B806,'Growthrates source'!A$2:H$49,8,FALSE)</f>
        <v>-1.4357349923836749E-2</v>
      </c>
      <c r="AP806" s="93">
        <f>VLOOKUP(B806,'Growthrates source'!A$2:I$49,9,FALSE)</f>
        <v>0.17354491154631502</v>
      </c>
      <c r="AQ806" s="86">
        <f t="shared" si="229"/>
        <v>0</v>
      </c>
      <c r="AR806" s="86">
        <f t="shared" si="230"/>
        <v>0</v>
      </c>
      <c r="AS806" s="94">
        <f t="shared" si="231"/>
        <v>0</v>
      </c>
      <c r="AT806" s="94">
        <f t="shared" si="232"/>
        <v>0</v>
      </c>
      <c r="AU806" s="94">
        <f t="shared" si="233"/>
        <v>0</v>
      </c>
    </row>
    <row r="807" spans="1:47" x14ac:dyDescent="0.3">
      <c r="A807" s="85" t="str">
        <f>_xlfn.XLOOKUP(B807,'Country codes &amp; Data sources'!G:G,'Country codes &amp; Data sources'!H:H,,0)</f>
        <v>Rwanda</v>
      </c>
      <c r="B807" s="85" t="s">
        <v>183</v>
      </c>
      <c r="C807" s="86">
        <v>10840347</v>
      </c>
      <c r="D807" s="85" t="s">
        <v>136</v>
      </c>
      <c r="E807" s="87">
        <v>0</v>
      </c>
      <c r="F807" s="88">
        <v>11101349.499999996</v>
      </c>
      <c r="G807" s="87">
        <v>0</v>
      </c>
      <c r="I807" s="87">
        <v>0</v>
      </c>
      <c r="K807" s="87">
        <v>116</v>
      </c>
      <c r="M807" s="87">
        <v>0</v>
      </c>
      <c r="O807" s="87">
        <v>0</v>
      </c>
      <c r="P807" s="88">
        <v>12531807.499999998</v>
      </c>
      <c r="Q807" s="87">
        <v>152</v>
      </c>
      <c r="R807" s="87">
        <f t="shared" si="216"/>
        <v>152</v>
      </c>
      <c r="T807" s="87">
        <v>0</v>
      </c>
      <c r="V807" s="87">
        <v>0</v>
      </c>
      <c r="X807" s="87">
        <v>0</v>
      </c>
      <c r="Y807" s="88">
        <v>13776697.499999994</v>
      </c>
      <c r="Z807" s="87">
        <v>0</v>
      </c>
      <c r="AA807" s="87">
        <v>0</v>
      </c>
      <c r="AB807" s="89">
        <f t="shared" si="217"/>
        <v>116</v>
      </c>
      <c r="AC807" s="89">
        <f t="shared" si="218"/>
        <v>152</v>
      </c>
      <c r="AD807" s="89">
        <f t="shared" si="219"/>
        <v>0</v>
      </c>
      <c r="AE807" s="90">
        <f t="shared" si="220"/>
        <v>116</v>
      </c>
      <c r="AF807" s="90">
        <f t="shared" si="221"/>
        <v>2015</v>
      </c>
      <c r="AG807" s="90">
        <f t="shared" si="222"/>
        <v>152</v>
      </c>
      <c r="AH807" s="90">
        <f t="shared" si="223"/>
        <v>2018</v>
      </c>
      <c r="AI807" s="90">
        <f t="shared" si="224"/>
        <v>152</v>
      </c>
      <c r="AJ807" s="90">
        <f t="shared" si="225"/>
        <v>2018</v>
      </c>
      <c r="AK807" s="90" t="str">
        <f t="shared" si="226"/>
        <v/>
      </c>
      <c r="AL807" s="91">
        <f>IF(AK807="Adjust",(_xlfn.XLOOKUP(A807,'Adj factor'!A:A,'Adj factor'!I:I,,0)*AI807),'Master DataSheet'!AI807)</f>
        <v>152</v>
      </c>
      <c r="AM807" s="91">
        <f t="shared" si="227"/>
        <v>152</v>
      </c>
      <c r="AN807" s="92" t="str">
        <f t="shared" si="228"/>
        <v>No change</v>
      </c>
      <c r="AO807" s="93">
        <f>VLOOKUP(B807,'Growthrates source'!A$2:H$49,8,FALSE)</f>
        <v>-1.4357349923836749E-2</v>
      </c>
      <c r="AP807" s="93">
        <f>VLOOKUP(B807,'Growthrates source'!A$2:I$49,9,FALSE)</f>
        <v>0.17354491154631502</v>
      </c>
      <c r="AQ807" s="86">
        <f t="shared" si="229"/>
        <v>0</v>
      </c>
      <c r="AR807" s="86">
        <f t="shared" si="230"/>
        <v>0</v>
      </c>
      <c r="AS807" s="94">
        <f t="shared" si="231"/>
        <v>0.10449180074908915</v>
      </c>
      <c r="AT807" s="94">
        <f t="shared" si="232"/>
        <v>0.12129136200025417</v>
      </c>
      <c r="AU807" s="94">
        <f t="shared" si="233"/>
        <v>0.11033123141449543</v>
      </c>
    </row>
    <row r="808" spans="1:47" x14ac:dyDescent="0.3">
      <c r="A808" s="85" t="str">
        <f>_xlfn.XLOOKUP(B808,'Country codes &amp; Data sources'!G:G,'Country codes &amp; Data sources'!H:H,,0)</f>
        <v>Rwanda</v>
      </c>
      <c r="B808" s="85" t="s">
        <v>183</v>
      </c>
      <c r="C808" s="86">
        <v>10840348</v>
      </c>
      <c r="D808" s="85" t="s">
        <v>207</v>
      </c>
      <c r="E808" s="87">
        <v>0</v>
      </c>
      <c r="F808" s="88">
        <v>11101349.499999996</v>
      </c>
      <c r="G808" s="87">
        <v>0</v>
      </c>
      <c r="I808" s="87">
        <v>0</v>
      </c>
      <c r="K808" s="87">
        <v>0</v>
      </c>
      <c r="M808" s="87">
        <v>0</v>
      </c>
      <c r="O808" s="87">
        <v>0</v>
      </c>
      <c r="P808" s="88">
        <v>12531807.499999998</v>
      </c>
      <c r="Q808" s="87">
        <v>0</v>
      </c>
      <c r="R808" s="87">
        <f t="shared" si="216"/>
        <v>0</v>
      </c>
      <c r="T808" s="87">
        <v>0</v>
      </c>
      <c r="V808" s="87">
        <v>0</v>
      </c>
      <c r="X808" s="87">
        <v>0</v>
      </c>
      <c r="Y808" s="88">
        <v>13776697.499999994</v>
      </c>
      <c r="Z808" s="87">
        <v>0</v>
      </c>
      <c r="AA808" s="87">
        <v>0</v>
      </c>
      <c r="AB808" s="89">
        <f t="shared" si="217"/>
        <v>0</v>
      </c>
      <c r="AC808" s="89">
        <f t="shared" si="218"/>
        <v>0</v>
      </c>
      <c r="AD808" s="89">
        <f t="shared" si="219"/>
        <v>0</v>
      </c>
      <c r="AE808" s="90">
        <f t="shared" si="220"/>
        <v>0</v>
      </c>
      <c r="AF808" s="90" t="str">
        <f t="shared" si="221"/>
        <v/>
      </c>
      <c r="AG808" s="90">
        <f t="shared" si="222"/>
        <v>0</v>
      </c>
      <c r="AH808" s="90" t="str">
        <f t="shared" si="223"/>
        <v/>
      </c>
      <c r="AI808" s="90">
        <f t="shared" si="224"/>
        <v>0</v>
      </c>
      <c r="AJ808" s="90" t="str">
        <f t="shared" si="225"/>
        <v/>
      </c>
      <c r="AK808" s="90" t="str">
        <f t="shared" si="226"/>
        <v/>
      </c>
      <c r="AL808" s="91">
        <f>IF(AK808="Adjust",(_xlfn.XLOOKUP(A808,'Adj factor'!A:A,'Adj factor'!I:I,,0)*AI808),'Master DataSheet'!AI808)</f>
        <v>0</v>
      </c>
      <c r="AM808" s="91">
        <f t="shared" si="227"/>
        <v>0</v>
      </c>
      <c r="AN808" s="92" t="str">
        <f t="shared" si="228"/>
        <v>No change</v>
      </c>
      <c r="AO808" s="93">
        <f>VLOOKUP(B808,'Growthrates source'!A$2:H$49,8,FALSE)</f>
        <v>-1.4357349923836749E-2</v>
      </c>
      <c r="AP808" s="93">
        <f>VLOOKUP(B808,'Growthrates source'!A$2:I$49,9,FALSE)</f>
        <v>0.17354491154631502</v>
      </c>
      <c r="AQ808" s="86">
        <f t="shared" si="229"/>
        <v>0</v>
      </c>
      <c r="AR808" s="86">
        <f t="shared" si="230"/>
        <v>0</v>
      </c>
      <c r="AS808" s="94">
        <f t="shared" si="231"/>
        <v>0</v>
      </c>
      <c r="AT808" s="94">
        <f t="shared" si="232"/>
        <v>0</v>
      </c>
      <c r="AU808" s="94">
        <f t="shared" si="233"/>
        <v>0</v>
      </c>
    </row>
    <row r="809" spans="1:47" x14ac:dyDescent="0.3">
      <c r="A809" s="85" t="str">
        <f>_xlfn.XLOOKUP(B809,'Country codes &amp; Data sources'!G:G,'Country codes &amp; Data sources'!H:H,,0)</f>
        <v>Rwanda</v>
      </c>
      <c r="B809" s="85" t="s">
        <v>183</v>
      </c>
      <c r="C809" s="86">
        <v>10840349</v>
      </c>
      <c r="D809" s="85" t="s">
        <v>141</v>
      </c>
      <c r="E809" s="87">
        <v>0</v>
      </c>
      <c r="F809" s="88">
        <v>11101349.499999996</v>
      </c>
      <c r="G809" s="87">
        <v>0</v>
      </c>
      <c r="I809" s="87">
        <v>0</v>
      </c>
      <c r="K809" s="87">
        <v>0</v>
      </c>
      <c r="M809" s="87">
        <v>0</v>
      </c>
      <c r="O809" s="87">
        <v>0</v>
      </c>
      <c r="P809" s="88">
        <v>12531807.499999998</v>
      </c>
      <c r="Q809" s="87">
        <v>13</v>
      </c>
      <c r="R809" s="87">
        <f t="shared" si="216"/>
        <v>13</v>
      </c>
      <c r="T809" s="87">
        <v>0</v>
      </c>
      <c r="V809" s="87">
        <v>0</v>
      </c>
      <c r="X809" s="87">
        <v>0</v>
      </c>
      <c r="Y809" s="88">
        <v>13776697.499999994</v>
      </c>
      <c r="Z809" s="87">
        <v>0</v>
      </c>
      <c r="AA809" s="87">
        <v>0</v>
      </c>
      <c r="AB809" s="89">
        <f t="shared" si="217"/>
        <v>0</v>
      </c>
      <c r="AC809" s="89">
        <f t="shared" si="218"/>
        <v>13</v>
      </c>
      <c r="AD809" s="89">
        <f t="shared" si="219"/>
        <v>0</v>
      </c>
      <c r="AE809" s="90">
        <f t="shared" si="220"/>
        <v>0</v>
      </c>
      <c r="AF809" s="90" t="str">
        <f t="shared" si="221"/>
        <v/>
      </c>
      <c r="AG809" s="90">
        <f t="shared" si="222"/>
        <v>13</v>
      </c>
      <c r="AH809" s="90">
        <f t="shared" si="223"/>
        <v>2018</v>
      </c>
      <c r="AI809" s="90">
        <f t="shared" si="224"/>
        <v>13</v>
      </c>
      <c r="AJ809" s="90">
        <f t="shared" si="225"/>
        <v>2018</v>
      </c>
      <c r="AK809" s="90" t="str">
        <f t="shared" si="226"/>
        <v/>
      </c>
      <c r="AL809" s="91">
        <f>IF(AK809="Adjust",(_xlfn.XLOOKUP(A809,'Adj factor'!A:A,'Adj factor'!I:I,,0)*AI809),'Master DataSheet'!AI809)</f>
        <v>13</v>
      </c>
      <c r="AM809" s="60">
        <f>90+13</f>
        <v>103</v>
      </c>
      <c r="AN809" s="92" t="str">
        <f t="shared" si="228"/>
        <v>No change</v>
      </c>
      <c r="AO809" s="93">
        <f>VLOOKUP(B809,'Growthrates source'!A$2:H$49,8,FALSE)</f>
        <v>-1.4357349923836749E-2</v>
      </c>
      <c r="AP809" s="93">
        <f>VLOOKUP(B809,'Growthrates source'!A$2:I$49,9,FALSE)</f>
        <v>0.17354491154631502</v>
      </c>
      <c r="AQ809" s="86">
        <f t="shared" si="229"/>
        <v>0</v>
      </c>
      <c r="AR809" s="86">
        <f t="shared" si="230"/>
        <v>0</v>
      </c>
      <c r="AS809" s="94">
        <f t="shared" si="231"/>
        <v>0</v>
      </c>
      <c r="AT809" s="94">
        <f t="shared" si="232"/>
        <v>1.0373603328969108E-2</v>
      </c>
      <c r="AU809" s="94">
        <f t="shared" si="233"/>
        <v>7.4763926550612037E-2</v>
      </c>
    </row>
    <row r="810" spans="1:47" x14ac:dyDescent="0.3">
      <c r="A810" s="85" t="str">
        <f>_xlfn.XLOOKUP(B810,'Country codes &amp; Data sources'!G:G,'Country codes &amp; Data sources'!H:H,,0)</f>
        <v>Rwanda</v>
      </c>
      <c r="B810" s="85" t="s">
        <v>183</v>
      </c>
      <c r="C810" s="86">
        <v>10840350</v>
      </c>
      <c r="D810" s="85" t="s">
        <v>208</v>
      </c>
      <c r="E810" s="87">
        <v>0</v>
      </c>
      <c r="F810" s="88">
        <v>11101349.499999996</v>
      </c>
      <c r="G810" s="87">
        <v>0</v>
      </c>
      <c r="I810" s="87">
        <v>0</v>
      </c>
      <c r="K810" s="87">
        <v>0</v>
      </c>
      <c r="M810" s="87">
        <v>0</v>
      </c>
      <c r="O810" s="87">
        <v>0</v>
      </c>
      <c r="P810" s="88">
        <v>12531807.499999998</v>
      </c>
      <c r="Q810" s="87">
        <v>0</v>
      </c>
      <c r="R810" s="87">
        <f t="shared" si="216"/>
        <v>0</v>
      </c>
      <c r="T810" s="87">
        <v>0</v>
      </c>
      <c r="V810" s="87">
        <v>0</v>
      </c>
      <c r="X810" s="87">
        <v>0</v>
      </c>
      <c r="Y810" s="88">
        <v>13776697.499999994</v>
      </c>
      <c r="Z810" s="87">
        <v>0</v>
      </c>
      <c r="AA810" s="87">
        <v>0</v>
      </c>
      <c r="AB810" s="89">
        <f t="shared" si="217"/>
        <v>0</v>
      </c>
      <c r="AC810" s="89">
        <f t="shared" si="218"/>
        <v>0</v>
      </c>
      <c r="AD810" s="89">
        <f t="shared" si="219"/>
        <v>0</v>
      </c>
      <c r="AE810" s="90">
        <f t="shared" si="220"/>
        <v>0</v>
      </c>
      <c r="AF810" s="90" t="str">
        <f t="shared" si="221"/>
        <v/>
      </c>
      <c r="AG810" s="90">
        <f t="shared" si="222"/>
        <v>0</v>
      </c>
      <c r="AH810" s="90" t="str">
        <f t="shared" si="223"/>
        <v/>
      </c>
      <c r="AI810" s="90">
        <f t="shared" si="224"/>
        <v>0</v>
      </c>
      <c r="AJ810" s="90" t="str">
        <f t="shared" si="225"/>
        <v/>
      </c>
      <c r="AK810" s="90" t="str">
        <f t="shared" si="226"/>
        <v/>
      </c>
      <c r="AL810" s="91">
        <f>IF(AK810="Adjust",(_xlfn.XLOOKUP(A810,'Adj factor'!A:A,'Adj factor'!I:I,,0)*AI810),'Master DataSheet'!AI810)</f>
        <v>0</v>
      </c>
      <c r="AM810" s="91">
        <f t="shared" si="227"/>
        <v>0</v>
      </c>
      <c r="AN810" s="92" t="str">
        <f t="shared" si="228"/>
        <v>No change</v>
      </c>
      <c r="AO810" s="93">
        <f>VLOOKUP(B810,'Growthrates source'!A$2:H$49,8,FALSE)</f>
        <v>-1.4357349923836749E-2</v>
      </c>
      <c r="AP810" s="93">
        <f>VLOOKUP(B810,'Growthrates source'!A$2:I$49,9,FALSE)</f>
        <v>0.17354491154631502</v>
      </c>
      <c r="AQ810" s="86">
        <f t="shared" si="229"/>
        <v>0</v>
      </c>
      <c r="AR810" s="86">
        <f t="shared" si="230"/>
        <v>0</v>
      </c>
      <c r="AS810" s="94">
        <f t="shared" si="231"/>
        <v>0</v>
      </c>
      <c r="AT810" s="94">
        <f t="shared" si="232"/>
        <v>0</v>
      </c>
      <c r="AU810" s="94">
        <f t="shared" si="233"/>
        <v>0</v>
      </c>
    </row>
    <row r="811" spans="1:47" x14ac:dyDescent="0.3">
      <c r="A811" s="85" t="str">
        <f>_xlfn.XLOOKUP(B811,'Country codes &amp; Data sources'!G:G,'Country codes &amp; Data sources'!H:H,,0)</f>
        <v>Rwanda</v>
      </c>
      <c r="B811" s="85" t="s">
        <v>183</v>
      </c>
      <c r="C811" s="86">
        <v>10840351</v>
      </c>
      <c r="D811" s="85" t="s">
        <v>209</v>
      </c>
      <c r="E811" s="87">
        <v>0</v>
      </c>
      <c r="F811" s="88">
        <v>11101349.499999996</v>
      </c>
      <c r="G811" s="87">
        <v>0</v>
      </c>
      <c r="I811" s="87">
        <v>0</v>
      </c>
      <c r="K811" s="87">
        <v>0</v>
      </c>
      <c r="M811" s="87">
        <v>0</v>
      </c>
      <c r="O811" s="87">
        <v>0</v>
      </c>
      <c r="P811" s="88">
        <v>12531807.499999998</v>
      </c>
      <c r="Q811" s="87">
        <v>0</v>
      </c>
      <c r="R811" s="87">
        <f t="shared" si="216"/>
        <v>0</v>
      </c>
      <c r="T811" s="87">
        <v>0</v>
      </c>
      <c r="V811" s="87">
        <v>0</v>
      </c>
      <c r="X811" s="87">
        <v>0</v>
      </c>
      <c r="Y811" s="88">
        <v>13776697.499999994</v>
      </c>
      <c r="Z811" s="87">
        <v>0</v>
      </c>
      <c r="AA811" s="87">
        <v>0</v>
      </c>
      <c r="AB811" s="89">
        <f t="shared" si="217"/>
        <v>0</v>
      </c>
      <c r="AC811" s="89">
        <f t="shared" si="218"/>
        <v>0</v>
      </c>
      <c r="AD811" s="89">
        <f t="shared" si="219"/>
        <v>0</v>
      </c>
      <c r="AE811" s="90">
        <f t="shared" si="220"/>
        <v>0</v>
      </c>
      <c r="AF811" s="90" t="str">
        <f t="shared" si="221"/>
        <v/>
      </c>
      <c r="AG811" s="90">
        <f t="shared" si="222"/>
        <v>0</v>
      </c>
      <c r="AH811" s="90" t="str">
        <f t="shared" si="223"/>
        <v/>
      </c>
      <c r="AI811" s="90">
        <f t="shared" si="224"/>
        <v>0</v>
      </c>
      <c r="AJ811" s="90" t="str">
        <f t="shared" si="225"/>
        <v/>
      </c>
      <c r="AK811" s="90" t="str">
        <f t="shared" si="226"/>
        <v/>
      </c>
      <c r="AL811" s="91">
        <f>IF(AK811="Adjust",(_xlfn.XLOOKUP(A811,'Adj factor'!A:A,'Adj factor'!I:I,,0)*AI811),'Master DataSheet'!AI811)</f>
        <v>0</v>
      </c>
      <c r="AM811" s="91">
        <f t="shared" si="227"/>
        <v>0</v>
      </c>
      <c r="AN811" s="92" t="str">
        <f t="shared" si="228"/>
        <v>No change</v>
      </c>
      <c r="AO811" s="93">
        <f>VLOOKUP(B811,'Growthrates source'!A$2:H$49,8,FALSE)</f>
        <v>-1.4357349923836749E-2</v>
      </c>
      <c r="AP811" s="93">
        <f>VLOOKUP(B811,'Growthrates source'!A$2:I$49,9,FALSE)</f>
        <v>0.17354491154631502</v>
      </c>
      <c r="AQ811" s="86">
        <f t="shared" si="229"/>
        <v>0</v>
      </c>
      <c r="AR811" s="86">
        <f t="shared" si="230"/>
        <v>0</v>
      </c>
      <c r="AS811" s="94">
        <f t="shared" si="231"/>
        <v>0</v>
      </c>
      <c r="AT811" s="94">
        <f t="shared" si="232"/>
        <v>0</v>
      </c>
      <c r="AU811" s="94">
        <f t="shared" si="233"/>
        <v>0</v>
      </c>
    </row>
    <row r="812" spans="1:47" x14ac:dyDescent="0.3">
      <c r="A812" s="85" t="str">
        <f>_xlfn.XLOOKUP(B812,'Country codes &amp; Data sources'!G:G,'Country codes &amp; Data sources'!H:H,,0)</f>
        <v>Rwanda</v>
      </c>
      <c r="B812" s="85" t="s">
        <v>183</v>
      </c>
      <c r="C812" s="86">
        <v>10840352</v>
      </c>
      <c r="D812" s="85" t="s">
        <v>134</v>
      </c>
      <c r="E812" s="87">
        <v>0</v>
      </c>
      <c r="F812" s="88">
        <v>11101349.499999996</v>
      </c>
      <c r="G812" s="87">
        <v>0</v>
      </c>
      <c r="I812" s="87">
        <v>0</v>
      </c>
      <c r="K812" s="87">
        <v>1545</v>
      </c>
      <c r="M812" s="87">
        <v>0</v>
      </c>
      <c r="O812" s="87">
        <v>1990</v>
      </c>
      <c r="P812" s="88">
        <v>12531807.499999998</v>
      </c>
      <c r="Q812" s="87">
        <v>0</v>
      </c>
      <c r="R812" s="87">
        <f t="shared" si="216"/>
        <v>1990</v>
      </c>
      <c r="T812" s="87">
        <v>0</v>
      </c>
      <c r="V812" s="87">
        <v>0</v>
      </c>
      <c r="X812" s="87">
        <v>0</v>
      </c>
      <c r="Y812" s="88">
        <v>13776697.499999994</v>
      </c>
      <c r="Z812" s="87">
        <v>0</v>
      </c>
      <c r="AA812" s="87">
        <v>1990</v>
      </c>
      <c r="AB812" s="89">
        <f t="shared" si="217"/>
        <v>1545</v>
      </c>
      <c r="AC812" s="89">
        <f t="shared" si="218"/>
        <v>1990</v>
      </c>
      <c r="AD812" s="89">
        <f t="shared" si="219"/>
        <v>0</v>
      </c>
      <c r="AE812" s="90">
        <f t="shared" si="220"/>
        <v>1545</v>
      </c>
      <c r="AF812" s="90">
        <f t="shared" si="221"/>
        <v>2015</v>
      </c>
      <c r="AG812" s="90">
        <f t="shared" si="222"/>
        <v>1990</v>
      </c>
      <c r="AH812" s="90">
        <f t="shared" si="223"/>
        <v>2017</v>
      </c>
      <c r="AI812" s="90">
        <f t="shared" si="224"/>
        <v>1990</v>
      </c>
      <c r="AJ812" s="90">
        <f t="shared" si="225"/>
        <v>2017</v>
      </c>
      <c r="AK812" s="90" t="str">
        <f t="shared" si="226"/>
        <v/>
      </c>
      <c r="AL812" s="91">
        <f>IF(AK812="Adjust",(_xlfn.XLOOKUP(A812,'Adj factor'!A:A,'Adj factor'!I:I,,0)*AI812),'Master DataSheet'!AI812)</f>
        <v>1990</v>
      </c>
      <c r="AM812" s="91">
        <f t="shared" si="227"/>
        <v>1990</v>
      </c>
      <c r="AN812" s="92" t="str">
        <f t="shared" si="228"/>
        <v>No change</v>
      </c>
      <c r="AO812" s="93">
        <f>VLOOKUP(B812,'Growthrates source'!A$2:H$49,8,FALSE)</f>
        <v>-1.4357349923836749E-2</v>
      </c>
      <c r="AP812" s="93">
        <f>VLOOKUP(B812,'Growthrates source'!A$2:I$49,9,FALSE)</f>
        <v>0.17354491154631502</v>
      </c>
      <c r="AQ812" s="86">
        <f t="shared" si="229"/>
        <v>2138.1081336937877</v>
      </c>
      <c r="AR812" s="86">
        <f t="shared" si="230"/>
        <v>3349.3603033377103</v>
      </c>
      <c r="AS812" s="94">
        <f t="shared" si="231"/>
        <v>1.3917226910115752</v>
      </c>
      <c r="AT812" s="94">
        <f t="shared" si="232"/>
        <v>1.587959278819117</v>
      </c>
      <c r="AU812" s="94">
        <f t="shared" si="233"/>
        <v>1.4444680954924072</v>
      </c>
    </row>
    <row r="813" spans="1:47" x14ac:dyDescent="0.3">
      <c r="A813" s="85" t="str">
        <f>_xlfn.XLOOKUP(B813,'Country codes &amp; Data sources'!G:G,'Country codes &amp; Data sources'!H:H,,0)</f>
        <v>Rwanda</v>
      </c>
      <c r="B813" s="85" t="s">
        <v>183</v>
      </c>
      <c r="C813" s="86">
        <v>10840353</v>
      </c>
      <c r="D813" s="85" t="s">
        <v>142</v>
      </c>
      <c r="E813" s="87">
        <v>0</v>
      </c>
      <c r="F813" s="88">
        <v>11101349.499999996</v>
      </c>
      <c r="G813" s="87">
        <v>0</v>
      </c>
      <c r="I813" s="87">
        <v>0</v>
      </c>
      <c r="K813" s="87">
        <v>0</v>
      </c>
      <c r="M813" s="87">
        <v>0</v>
      </c>
      <c r="O813" s="87">
        <v>0</v>
      </c>
      <c r="P813" s="88">
        <v>12531807.499999998</v>
      </c>
      <c r="Q813" s="87">
        <v>0</v>
      </c>
      <c r="R813" s="87">
        <f t="shared" si="216"/>
        <v>0</v>
      </c>
      <c r="T813" s="87">
        <v>0</v>
      </c>
      <c r="V813" s="87">
        <v>0</v>
      </c>
      <c r="X813" s="87">
        <v>0</v>
      </c>
      <c r="Y813" s="88">
        <v>13776697.499999994</v>
      </c>
      <c r="Z813" s="87">
        <v>0</v>
      </c>
      <c r="AA813" s="87">
        <v>0</v>
      </c>
      <c r="AB813" s="89">
        <f t="shared" si="217"/>
        <v>0</v>
      </c>
      <c r="AC813" s="89">
        <f t="shared" si="218"/>
        <v>0</v>
      </c>
      <c r="AD813" s="89">
        <f t="shared" si="219"/>
        <v>0</v>
      </c>
      <c r="AE813" s="90">
        <f t="shared" si="220"/>
        <v>0</v>
      </c>
      <c r="AF813" s="90" t="str">
        <f t="shared" si="221"/>
        <v/>
      </c>
      <c r="AG813" s="90">
        <f t="shared" si="222"/>
        <v>0</v>
      </c>
      <c r="AH813" s="90" t="str">
        <f t="shared" si="223"/>
        <v/>
      </c>
      <c r="AI813" s="90">
        <f t="shared" si="224"/>
        <v>0</v>
      </c>
      <c r="AJ813" s="90" t="str">
        <f t="shared" si="225"/>
        <v/>
      </c>
      <c r="AK813" s="90" t="str">
        <f t="shared" si="226"/>
        <v/>
      </c>
      <c r="AL813" s="91">
        <f>IF(AK813="Adjust",(_xlfn.XLOOKUP(A813,'Adj factor'!A:A,'Adj factor'!I:I,,0)*AI813),'Master DataSheet'!AI813)</f>
        <v>0</v>
      </c>
      <c r="AM813" s="91">
        <f t="shared" si="227"/>
        <v>0</v>
      </c>
      <c r="AN813" s="92" t="str">
        <f t="shared" si="228"/>
        <v>No change</v>
      </c>
      <c r="AO813" s="93">
        <f>VLOOKUP(B813,'Growthrates source'!A$2:H$49,8,FALSE)</f>
        <v>-1.4357349923836749E-2</v>
      </c>
      <c r="AP813" s="93">
        <f>VLOOKUP(B813,'Growthrates source'!A$2:I$49,9,FALSE)</f>
        <v>0.17354491154631502</v>
      </c>
      <c r="AQ813" s="86">
        <f t="shared" si="229"/>
        <v>0</v>
      </c>
      <c r="AR813" s="86">
        <f t="shared" si="230"/>
        <v>0</v>
      </c>
      <c r="AS813" s="94">
        <f t="shared" si="231"/>
        <v>0</v>
      </c>
      <c r="AT813" s="94">
        <f t="shared" si="232"/>
        <v>0</v>
      </c>
      <c r="AU813" s="94">
        <f t="shared" si="233"/>
        <v>0</v>
      </c>
    </row>
    <row r="814" spans="1:47" x14ac:dyDescent="0.3">
      <c r="A814" s="85" t="str">
        <f>_xlfn.XLOOKUP(B814,'Country codes &amp; Data sources'!G:G,'Country codes &amp; Data sources'!H:H,,0)</f>
        <v>Rwanda</v>
      </c>
      <c r="B814" s="85" t="s">
        <v>183</v>
      </c>
      <c r="C814" s="86">
        <v>10840354</v>
      </c>
      <c r="D814" s="85" t="s">
        <v>83</v>
      </c>
      <c r="E814" s="87">
        <v>0</v>
      </c>
      <c r="F814" s="88">
        <v>11101349.499999996</v>
      </c>
      <c r="G814" s="87">
        <v>0</v>
      </c>
      <c r="I814" s="87">
        <v>0</v>
      </c>
      <c r="K814" s="87">
        <v>125</v>
      </c>
      <c r="M814" s="87">
        <v>0</v>
      </c>
      <c r="O814" s="87">
        <v>182</v>
      </c>
      <c r="P814" s="88">
        <v>12531807.499999998</v>
      </c>
      <c r="Q814" s="87">
        <v>225</v>
      </c>
      <c r="R814" s="87">
        <f t="shared" si="216"/>
        <v>225</v>
      </c>
      <c r="T814" s="87">
        <v>0</v>
      </c>
      <c r="V814" s="87">
        <v>0</v>
      </c>
      <c r="X814" s="87">
        <v>0</v>
      </c>
      <c r="Y814" s="88">
        <v>13776697.499999994</v>
      </c>
      <c r="Z814" s="87">
        <v>0</v>
      </c>
      <c r="AA814" s="87">
        <v>182</v>
      </c>
      <c r="AB814" s="89">
        <f t="shared" si="217"/>
        <v>125</v>
      </c>
      <c r="AC814" s="89">
        <f t="shared" si="218"/>
        <v>225</v>
      </c>
      <c r="AD814" s="89">
        <f t="shared" si="219"/>
        <v>0</v>
      </c>
      <c r="AE814" s="90">
        <f t="shared" si="220"/>
        <v>125</v>
      </c>
      <c r="AF814" s="90">
        <f t="shared" si="221"/>
        <v>2015</v>
      </c>
      <c r="AG814" s="90">
        <f t="shared" si="222"/>
        <v>225</v>
      </c>
      <c r="AH814" s="90">
        <f t="shared" si="223"/>
        <v>2018</v>
      </c>
      <c r="AI814" s="90">
        <f t="shared" si="224"/>
        <v>225</v>
      </c>
      <c r="AJ814" s="90">
        <f t="shared" si="225"/>
        <v>2018</v>
      </c>
      <c r="AK814" s="90" t="str">
        <f t="shared" si="226"/>
        <v/>
      </c>
      <c r="AL814" s="91">
        <f>IF(AK814="Adjust",(_xlfn.XLOOKUP(A814,'Adj factor'!A:A,'Adj factor'!I:I,,0)*AI814),'Master DataSheet'!AI814)</f>
        <v>225</v>
      </c>
      <c r="AM814" s="91">
        <f t="shared" si="227"/>
        <v>225</v>
      </c>
      <c r="AN814" s="92" t="str">
        <f t="shared" si="228"/>
        <v>No change</v>
      </c>
      <c r="AO814" s="93">
        <f>VLOOKUP(B814,'Growthrates source'!A$2:H$49,8,FALSE)</f>
        <v>-1.4357349923836749E-2</v>
      </c>
      <c r="AP814" s="93">
        <f>VLOOKUP(B814,'Growthrates source'!A$2:I$49,9,FALSE)</f>
        <v>0.17354491154631502</v>
      </c>
      <c r="AQ814" s="86">
        <f t="shared" si="229"/>
        <v>195.54556800616552</v>
      </c>
      <c r="AR814" s="86">
        <f t="shared" si="230"/>
        <v>306.32340462686597</v>
      </c>
      <c r="AS814" s="94">
        <f t="shared" si="231"/>
        <v>0.11259892322100123</v>
      </c>
      <c r="AT814" s="94">
        <f t="shared" si="232"/>
        <v>0.17954313453984994</v>
      </c>
      <c r="AU814" s="94">
        <f t="shared" si="233"/>
        <v>0.16331925702803599</v>
      </c>
    </row>
    <row r="815" spans="1:47" x14ac:dyDescent="0.3">
      <c r="A815" s="85" t="str">
        <f>_xlfn.XLOOKUP(B815,'Country codes &amp; Data sources'!G:G,'Country codes &amp; Data sources'!H:H,,0)</f>
        <v>Rwanda</v>
      </c>
      <c r="B815" s="85" t="s">
        <v>183</v>
      </c>
      <c r="C815" s="86">
        <v>10840355</v>
      </c>
      <c r="D815" s="85" t="s">
        <v>84</v>
      </c>
      <c r="E815" s="87">
        <v>0</v>
      </c>
      <c r="F815" s="88">
        <v>11101349.499999996</v>
      </c>
      <c r="G815" s="87">
        <v>0</v>
      </c>
      <c r="I815" s="87">
        <v>0</v>
      </c>
      <c r="K815" s="87">
        <v>886</v>
      </c>
      <c r="M815" s="87">
        <v>0</v>
      </c>
      <c r="O815" s="87">
        <v>0</v>
      </c>
      <c r="P815" s="88">
        <v>12531807.499999998</v>
      </c>
      <c r="Q815" s="87">
        <v>0</v>
      </c>
      <c r="R815" s="87">
        <f t="shared" si="216"/>
        <v>0</v>
      </c>
      <c r="T815" s="87">
        <v>0</v>
      </c>
      <c r="V815" s="87">
        <v>0</v>
      </c>
      <c r="X815" s="87">
        <v>0</v>
      </c>
      <c r="Y815" s="88">
        <v>13776697.499999994</v>
      </c>
      <c r="Z815" s="87">
        <v>0</v>
      </c>
      <c r="AA815" s="87">
        <v>0</v>
      </c>
      <c r="AB815" s="89">
        <f t="shared" si="217"/>
        <v>886</v>
      </c>
      <c r="AC815" s="89">
        <f t="shared" si="218"/>
        <v>0</v>
      </c>
      <c r="AD815" s="89">
        <f t="shared" si="219"/>
        <v>0</v>
      </c>
      <c r="AE815" s="90">
        <f t="shared" si="220"/>
        <v>886</v>
      </c>
      <c r="AF815" s="90">
        <f t="shared" si="221"/>
        <v>2015</v>
      </c>
      <c r="AG815" s="90">
        <f t="shared" si="222"/>
        <v>0</v>
      </c>
      <c r="AH815" s="90" t="str">
        <f t="shared" si="223"/>
        <v/>
      </c>
      <c r="AI815" s="90">
        <f t="shared" si="224"/>
        <v>0</v>
      </c>
      <c r="AJ815" s="90" t="str">
        <f t="shared" si="225"/>
        <v/>
      </c>
      <c r="AK815" s="90" t="str">
        <f t="shared" si="226"/>
        <v/>
      </c>
      <c r="AL815" s="91">
        <f>IF(AK815="Adjust",(_xlfn.XLOOKUP(A815,'Adj factor'!A:A,'Adj factor'!I:I,,0)*AI815),'Master DataSheet'!AI815)</f>
        <v>0</v>
      </c>
      <c r="AM815" s="91">
        <f t="shared" si="227"/>
        <v>0</v>
      </c>
      <c r="AN815" s="92" t="str">
        <f t="shared" si="228"/>
        <v>No change</v>
      </c>
      <c r="AO815" s="93">
        <f>VLOOKUP(B815,'Growthrates source'!A$2:H$49,8,FALSE)</f>
        <v>-1.4357349923836749E-2</v>
      </c>
      <c r="AP815" s="93">
        <f>VLOOKUP(B815,'Growthrates source'!A$2:I$49,9,FALSE)</f>
        <v>0.17354491154631502</v>
      </c>
      <c r="AQ815" s="86">
        <f t="shared" si="229"/>
        <v>0</v>
      </c>
      <c r="AR815" s="86">
        <f t="shared" si="230"/>
        <v>0</v>
      </c>
      <c r="AS815" s="94">
        <f t="shared" si="231"/>
        <v>0.7981011677904567</v>
      </c>
      <c r="AT815" s="94">
        <f t="shared" si="232"/>
        <v>0</v>
      </c>
      <c r="AU815" s="94">
        <f t="shared" si="233"/>
        <v>0</v>
      </c>
    </row>
    <row r="816" spans="1:47" x14ac:dyDescent="0.3">
      <c r="A816" s="85" t="str">
        <f>_xlfn.XLOOKUP(B816,'Country codes &amp; Data sources'!G:G,'Country codes &amp; Data sources'!H:H,,0)</f>
        <v>Rwanda</v>
      </c>
      <c r="B816" s="85" t="s">
        <v>183</v>
      </c>
      <c r="C816" s="86">
        <v>10840356</v>
      </c>
      <c r="D816" s="85" t="s">
        <v>126</v>
      </c>
      <c r="E816" s="87">
        <v>0</v>
      </c>
      <c r="F816" s="88">
        <v>11101349.499999996</v>
      </c>
      <c r="G816" s="87">
        <v>0</v>
      </c>
      <c r="I816" s="87">
        <v>0</v>
      </c>
      <c r="K816" s="87">
        <v>0</v>
      </c>
      <c r="M816" s="87">
        <v>0</v>
      </c>
      <c r="O816" s="87">
        <v>0</v>
      </c>
      <c r="P816" s="88">
        <v>12531807.499999998</v>
      </c>
      <c r="Q816" s="87">
        <v>0</v>
      </c>
      <c r="R816" s="87">
        <f t="shared" si="216"/>
        <v>0</v>
      </c>
      <c r="T816" s="87">
        <v>0</v>
      </c>
      <c r="V816" s="87">
        <v>0</v>
      </c>
      <c r="X816" s="87">
        <v>0</v>
      </c>
      <c r="Y816" s="88">
        <v>13776697.499999994</v>
      </c>
      <c r="Z816" s="87">
        <v>0</v>
      </c>
      <c r="AA816" s="87">
        <v>0</v>
      </c>
      <c r="AB816" s="89">
        <f t="shared" si="217"/>
        <v>0</v>
      </c>
      <c r="AC816" s="89">
        <f t="shared" si="218"/>
        <v>0</v>
      </c>
      <c r="AD816" s="89">
        <f t="shared" si="219"/>
        <v>0</v>
      </c>
      <c r="AE816" s="90">
        <f t="shared" si="220"/>
        <v>0</v>
      </c>
      <c r="AF816" s="90" t="str">
        <f t="shared" si="221"/>
        <v/>
      </c>
      <c r="AG816" s="90">
        <f t="shared" si="222"/>
        <v>0</v>
      </c>
      <c r="AH816" s="90" t="str">
        <f t="shared" si="223"/>
        <v/>
      </c>
      <c r="AI816" s="90">
        <f t="shared" si="224"/>
        <v>0</v>
      </c>
      <c r="AJ816" s="90" t="str">
        <f t="shared" si="225"/>
        <v/>
      </c>
      <c r="AK816" s="90" t="str">
        <f t="shared" si="226"/>
        <v/>
      </c>
      <c r="AL816" s="91">
        <f>IF(AK816="Adjust",(_xlfn.XLOOKUP(A816,'Adj factor'!A:A,'Adj factor'!I:I,,0)*AI816),'Master DataSheet'!AI816)</f>
        <v>0</v>
      </c>
      <c r="AM816" s="60">
        <v>3</v>
      </c>
      <c r="AN816" s="92" t="str">
        <f t="shared" si="228"/>
        <v>No change</v>
      </c>
      <c r="AO816" s="93">
        <f>VLOOKUP(B816,'Growthrates source'!A$2:H$49,8,FALSE)</f>
        <v>-1.4357349923836749E-2</v>
      </c>
      <c r="AP816" s="93">
        <f>VLOOKUP(B816,'Growthrates source'!A$2:I$49,9,FALSE)</f>
        <v>0.17354491154631502</v>
      </c>
      <c r="AQ816" s="86">
        <f t="shared" si="229"/>
        <v>0</v>
      </c>
      <c r="AR816" s="86">
        <f t="shared" si="230"/>
        <v>0</v>
      </c>
      <c r="AS816" s="94">
        <f t="shared" si="231"/>
        <v>0</v>
      </c>
      <c r="AT816" s="94">
        <f t="shared" si="232"/>
        <v>0</v>
      </c>
      <c r="AU816" s="94">
        <f t="shared" si="233"/>
        <v>2.1775900937071467E-3</v>
      </c>
    </row>
    <row r="817" spans="1:48" x14ac:dyDescent="0.3">
      <c r="A817" s="85" t="str">
        <f>_xlfn.XLOOKUP(B817,'Country codes &amp; Data sources'!G:G,'Country codes &amp; Data sources'!H:H,,0)</f>
        <v>Rwanda</v>
      </c>
      <c r="B817" s="85" t="s">
        <v>183</v>
      </c>
      <c r="C817" s="86">
        <v>10840357</v>
      </c>
      <c r="D817" s="85" t="s">
        <v>87</v>
      </c>
      <c r="E817" s="87">
        <v>0</v>
      </c>
      <c r="F817" s="88">
        <v>11101349.499999996</v>
      </c>
      <c r="G817" s="87">
        <v>0</v>
      </c>
      <c r="I817" s="87">
        <v>0</v>
      </c>
      <c r="K817" s="87">
        <v>0</v>
      </c>
      <c r="M817" s="87">
        <v>0</v>
      </c>
      <c r="O817" s="87">
        <v>0</v>
      </c>
      <c r="P817" s="88">
        <v>12531807.499999998</v>
      </c>
      <c r="Q817" s="87">
        <v>0</v>
      </c>
      <c r="R817" s="87">
        <f t="shared" si="216"/>
        <v>0</v>
      </c>
      <c r="T817" s="87">
        <v>0</v>
      </c>
      <c r="V817" s="87">
        <v>0</v>
      </c>
      <c r="X817" s="87">
        <v>0</v>
      </c>
      <c r="Y817" s="88">
        <v>13776697.499999994</v>
      </c>
      <c r="Z817" s="87">
        <v>0</v>
      </c>
      <c r="AA817" s="87">
        <v>0</v>
      </c>
      <c r="AB817" s="89">
        <f t="shared" si="217"/>
        <v>0</v>
      </c>
      <c r="AC817" s="89">
        <f t="shared" si="218"/>
        <v>0</v>
      </c>
      <c r="AD817" s="89">
        <f t="shared" si="219"/>
        <v>0</v>
      </c>
      <c r="AE817" s="90">
        <f t="shared" si="220"/>
        <v>0</v>
      </c>
      <c r="AF817" s="90" t="str">
        <f t="shared" si="221"/>
        <v/>
      </c>
      <c r="AG817" s="90">
        <f t="shared" si="222"/>
        <v>0</v>
      </c>
      <c r="AH817" s="90" t="str">
        <f t="shared" si="223"/>
        <v/>
      </c>
      <c r="AI817" s="90">
        <f t="shared" si="224"/>
        <v>0</v>
      </c>
      <c r="AJ817" s="90" t="str">
        <f t="shared" si="225"/>
        <v/>
      </c>
      <c r="AK817" s="90" t="str">
        <f t="shared" si="226"/>
        <v/>
      </c>
      <c r="AL817" s="91">
        <f>IF(AK817="Adjust",(_xlfn.XLOOKUP(A817,'Adj factor'!A:A,'Adj factor'!I:I,,0)*AI817),'Master DataSheet'!AI817)</f>
        <v>0</v>
      </c>
      <c r="AM817" s="91">
        <f t="shared" si="227"/>
        <v>0</v>
      </c>
      <c r="AN817" s="92" t="str">
        <f t="shared" si="228"/>
        <v>No change</v>
      </c>
      <c r="AO817" s="93">
        <f>VLOOKUP(B817,'Growthrates source'!A$2:H$49,8,FALSE)</f>
        <v>-1.4357349923836749E-2</v>
      </c>
      <c r="AP817" s="93">
        <f>VLOOKUP(B817,'Growthrates source'!A$2:I$49,9,FALSE)</f>
        <v>0.17354491154631502</v>
      </c>
      <c r="AQ817" s="86">
        <f t="shared" si="229"/>
        <v>0</v>
      </c>
      <c r="AR817" s="86">
        <f t="shared" si="230"/>
        <v>0</v>
      </c>
      <c r="AS817" s="94">
        <f t="shared" si="231"/>
        <v>0</v>
      </c>
      <c r="AT817" s="94">
        <f t="shared" si="232"/>
        <v>0</v>
      </c>
      <c r="AU817" s="94">
        <f t="shared" si="233"/>
        <v>0</v>
      </c>
    </row>
    <row r="818" spans="1:48" x14ac:dyDescent="0.3">
      <c r="A818" s="85" t="str">
        <f>_xlfn.XLOOKUP(B818,'Country codes &amp; Data sources'!G:G,'Country codes &amp; Data sources'!H:H,,0)</f>
        <v>Senegal</v>
      </c>
      <c r="B818" s="85" t="s">
        <v>184</v>
      </c>
      <c r="C818" s="86">
        <v>13231833.000000002</v>
      </c>
      <c r="D818" s="85" t="s">
        <v>321</v>
      </c>
      <c r="E818" s="87">
        <v>0</v>
      </c>
      <c r="F818" s="88">
        <v>13595565.499999993</v>
      </c>
      <c r="G818" s="87">
        <v>42</v>
      </c>
      <c r="H818" s="87">
        <v>13970307.499999993</v>
      </c>
      <c r="I818" s="87">
        <v>0</v>
      </c>
      <c r="J818" s="87">
        <v>14356180.500000004</v>
      </c>
      <c r="K818" s="87">
        <v>72</v>
      </c>
      <c r="L818" s="87">
        <v>14751356.499999994</v>
      </c>
      <c r="M818" s="87">
        <v>3195</v>
      </c>
      <c r="N818" s="87">
        <v>15157793.000000006</v>
      </c>
      <c r="O818" s="87">
        <v>2132</v>
      </c>
      <c r="P818" s="88">
        <v>15574908.999999998</v>
      </c>
      <c r="Q818" s="87">
        <v>0</v>
      </c>
      <c r="R818" s="87">
        <f t="shared" si="216"/>
        <v>2883</v>
      </c>
      <c r="S818" s="87">
        <v>16000781.500000006</v>
      </c>
      <c r="T818" s="87">
        <v>5952</v>
      </c>
      <c r="U818" s="87">
        <v>16436119.999999993</v>
      </c>
      <c r="V818" s="87">
        <v>3606</v>
      </c>
      <c r="W818" s="87">
        <v>16876719.999999996</v>
      </c>
      <c r="X818" s="87">
        <v>4634</v>
      </c>
      <c r="Y818" s="88">
        <v>17316449</v>
      </c>
      <c r="Z818" s="87">
        <v>4876</v>
      </c>
      <c r="AA818" s="87">
        <v>2883</v>
      </c>
      <c r="AB818" s="89">
        <f t="shared" si="217"/>
        <v>72</v>
      </c>
      <c r="AC818" s="89">
        <f t="shared" si="218"/>
        <v>5952</v>
      </c>
      <c r="AD818" s="89">
        <f t="shared" si="219"/>
        <v>4876</v>
      </c>
      <c r="AE818" s="90">
        <f t="shared" si="220"/>
        <v>42</v>
      </c>
      <c r="AF818" s="90">
        <f t="shared" si="221"/>
        <v>2013</v>
      </c>
      <c r="AG818" s="90">
        <f t="shared" si="222"/>
        <v>2883</v>
      </c>
      <c r="AH818" s="90" t="str">
        <f t="shared" si="223"/>
        <v>2018 (triag)</v>
      </c>
      <c r="AI818" s="90">
        <f t="shared" si="224"/>
        <v>4876</v>
      </c>
      <c r="AJ818" s="90">
        <f t="shared" si="225"/>
        <v>2022</v>
      </c>
      <c r="AK818" s="90" t="str">
        <f t="shared" si="226"/>
        <v/>
      </c>
      <c r="AL818" s="91">
        <f>IF(AK818="Adjust",(_xlfn.XLOOKUP(A818,'Adj factor'!A:A,'Adj factor'!I:I,,0)*AI818),'Master DataSheet'!AI818)</f>
        <v>4876</v>
      </c>
      <c r="AM818" s="91">
        <f t="shared" si="227"/>
        <v>4876</v>
      </c>
      <c r="AN818" s="92" t="str">
        <f t="shared" si="228"/>
        <v>Increasing</v>
      </c>
      <c r="AO818" s="93">
        <f>VLOOKUP(B818,'Growthrates source'!A$2:H$49,8,FALSE)</f>
        <v>2.5918907427795013E-2</v>
      </c>
      <c r="AP818" s="93">
        <f>VLOOKUP(B818,'Growthrates source'!A$2:I$49,9,FALSE)</f>
        <v>7.7050082831477074E-2</v>
      </c>
      <c r="AQ818" s="86">
        <f t="shared" si="229"/>
        <v>2532.5757846176089</v>
      </c>
      <c r="AR818" s="86">
        <f t="shared" si="230"/>
        <v>3632.7199570348043</v>
      </c>
      <c r="AS818" s="94">
        <f t="shared" si="231"/>
        <v>3.0892425916376941E-2</v>
      </c>
      <c r="AT818" s="94">
        <f t="shared" si="232"/>
        <v>1.8510541538316534</v>
      </c>
      <c r="AU818" s="94">
        <f t="shared" si="233"/>
        <v>2.815819802316283</v>
      </c>
    </row>
    <row r="819" spans="1:48" x14ac:dyDescent="0.3">
      <c r="A819" s="85" t="str">
        <f>_xlfn.XLOOKUP(B819,'Country codes &amp; Data sources'!G:G,'Country codes &amp; Data sources'!H:H,,0)</f>
        <v>Senegal</v>
      </c>
      <c r="B819" s="85" t="s">
        <v>184</v>
      </c>
      <c r="C819" s="86">
        <v>13231834</v>
      </c>
      <c r="D819" s="85" t="s">
        <v>322</v>
      </c>
      <c r="E819" s="87">
        <v>0</v>
      </c>
      <c r="F819" s="88">
        <v>13595565.499999993</v>
      </c>
      <c r="G819" s="87">
        <v>0</v>
      </c>
      <c r="I819" s="87">
        <v>0</v>
      </c>
      <c r="K819" s="87">
        <v>3364</v>
      </c>
      <c r="M819" s="87">
        <v>4980</v>
      </c>
      <c r="O819" s="87">
        <v>5640</v>
      </c>
      <c r="P819" s="88">
        <v>15574908.999999998</v>
      </c>
      <c r="Q819" s="87">
        <v>0</v>
      </c>
      <c r="R819" s="87">
        <f t="shared" si="216"/>
        <v>4577</v>
      </c>
      <c r="T819" s="87">
        <v>14883</v>
      </c>
      <c r="V819" s="87">
        <v>7600</v>
      </c>
      <c r="X819" s="87">
        <v>12954</v>
      </c>
      <c r="Y819" s="88">
        <v>17316449</v>
      </c>
      <c r="Z819" s="87">
        <v>9474</v>
      </c>
      <c r="AA819" s="87">
        <v>4577</v>
      </c>
      <c r="AB819" s="89">
        <f t="shared" si="217"/>
        <v>3364</v>
      </c>
      <c r="AC819" s="89">
        <f t="shared" si="218"/>
        <v>14883</v>
      </c>
      <c r="AD819" s="89">
        <f t="shared" si="219"/>
        <v>12954</v>
      </c>
      <c r="AE819" s="90">
        <f t="shared" si="220"/>
        <v>3364</v>
      </c>
      <c r="AF819" s="90">
        <f t="shared" si="221"/>
        <v>2015</v>
      </c>
      <c r="AG819" s="90">
        <f t="shared" si="222"/>
        <v>4577</v>
      </c>
      <c r="AH819" s="90" t="str">
        <f t="shared" si="223"/>
        <v>2018 (triag)</v>
      </c>
      <c r="AI819" s="90">
        <f t="shared" si="224"/>
        <v>9474</v>
      </c>
      <c r="AJ819" s="90">
        <f t="shared" si="225"/>
        <v>2022</v>
      </c>
      <c r="AK819" s="90" t="str">
        <f t="shared" si="226"/>
        <v/>
      </c>
      <c r="AL819" s="91">
        <f>IF(AK819="Adjust",(_xlfn.XLOOKUP(A819,'Adj factor'!A:A,'Adj factor'!I:I,,0)*AI819),'Master DataSheet'!AI819)</f>
        <v>9474</v>
      </c>
      <c r="AM819" s="91">
        <f t="shared" si="227"/>
        <v>9474</v>
      </c>
      <c r="AN819" s="92" t="str">
        <f t="shared" si="228"/>
        <v>Increasing</v>
      </c>
      <c r="AO819" s="93">
        <f>VLOOKUP(B819,'Growthrates source'!A$2:H$49,8,FALSE)</f>
        <v>2.5918907427795013E-2</v>
      </c>
      <c r="AP819" s="93">
        <f>VLOOKUP(B819,'Growthrates source'!A$2:I$49,9,FALSE)</f>
        <v>7.7050082831477074E-2</v>
      </c>
      <c r="AQ819" s="86">
        <f t="shared" si="229"/>
        <v>4020.6726903207755</v>
      </c>
      <c r="AR819" s="86">
        <f t="shared" si="230"/>
        <v>5767.2421933223377</v>
      </c>
      <c r="AS819" s="94">
        <f t="shared" si="231"/>
        <v>2.4743362091117151</v>
      </c>
      <c r="AT819" s="94">
        <f t="shared" si="232"/>
        <v>2.9387009580601728</v>
      </c>
      <c r="AU819" s="94">
        <f t="shared" si="233"/>
        <v>5.4710986068795053</v>
      </c>
    </row>
    <row r="820" spans="1:48" x14ac:dyDescent="0.3">
      <c r="A820" s="85" t="str">
        <f>_xlfn.XLOOKUP(B820,'Country codes &amp; Data sources'!G:G,'Country codes &amp; Data sources'!H:H,,0)</f>
        <v>Senegal</v>
      </c>
      <c r="B820" s="85" t="s">
        <v>184</v>
      </c>
      <c r="C820" s="86">
        <v>13231835</v>
      </c>
      <c r="D820" s="85" t="s">
        <v>323</v>
      </c>
      <c r="E820" s="87">
        <v>0</v>
      </c>
      <c r="F820" s="88">
        <v>13595565.499999993</v>
      </c>
      <c r="G820" s="87">
        <v>7892</v>
      </c>
      <c r="I820" s="87">
        <v>0</v>
      </c>
      <c r="K820" s="87">
        <v>2232</v>
      </c>
      <c r="M820" s="87">
        <v>4004</v>
      </c>
      <c r="O820" s="87">
        <v>4004</v>
      </c>
      <c r="P820" s="88">
        <v>15574908.999999998</v>
      </c>
      <c r="Q820" s="87">
        <v>0</v>
      </c>
      <c r="R820" s="87">
        <f t="shared" si="216"/>
        <v>3015</v>
      </c>
      <c r="T820" s="87">
        <v>5312</v>
      </c>
      <c r="V820" s="87">
        <v>4122</v>
      </c>
      <c r="X820" s="87">
        <v>5478</v>
      </c>
      <c r="Y820" s="88">
        <v>17316449</v>
      </c>
      <c r="Z820" s="87">
        <v>5606</v>
      </c>
      <c r="AA820" s="87">
        <v>3015</v>
      </c>
      <c r="AB820" s="89">
        <f t="shared" si="217"/>
        <v>7892</v>
      </c>
      <c r="AC820" s="89">
        <f t="shared" si="218"/>
        <v>5312</v>
      </c>
      <c r="AD820" s="89">
        <f t="shared" si="219"/>
        <v>5606</v>
      </c>
      <c r="AE820" s="90">
        <f t="shared" si="220"/>
        <v>7892</v>
      </c>
      <c r="AF820" s="90">
        <f t="shared" si="221"/>
        <v>2013</v>
      </c>
      <c r="AG820" s="90">
        <f t="shared" si="222"/>
        <v>3015</v>
      </c>
      <c r="AH820" s="90" t="str">
        <f t="shared" si="223"/>
        <v>2018 (triag)</v>
      </c>
      <c r="AI820" s="90">
        <f t="shared" si="224"/>
        <v>5606</v>
      </c>
      <c r="AJ820" s="90">
        <f t="shared" si="225"/>
        <v>2022</v>
      </c>
      <c r="AK820" s="90" t="str">
        <f t="shared" si="226"/>
        <v/>
      </c>
      <c r="AL820" s="91">
        <f>IF(AK820="Adjust",(_xlfn.XLOOKUP(A820,'Adj factor'!A:A,'Adj factor'!I:I,,0)*AI820),'Master DataSheet'!AI820)</f>
        <v>5606</v>
      </c>
      <c r="AM820" s="91">
        <f t="shared" si="227"/>
        <v>5606</v>
      </c>
      <c r="AN820" s="92" t="str">
        <f t="shared" si="228"/>
        <v>Increasing</v>
      </c>
      <c r="AO820" s="93">
        <f>VLOOKUP(B820,'Growthrates source'!A$2:H$49,8,FALSE)</f>
        <v>2.5918907427795013E-2</v>
      </c>
      <c r="AP820" s="93">
        <f>VLOOKUP(B820,'Growthrates source'!A$2:I$49,9,FALSE)</f>
        <v>7.7050082831477074E-2</v>
      </c>
      <c r="AQ820" s="86">
        <f t="shared" si="229"/>
        <v>2648.5313876594141</v>
      </c>
      <c r="AR820" s="86">
        <f t="shared" si="230"/>
        <v>3799.0463650572096</v>
      </c>
      <c r="AS820" s="94">
        <f t="shared" si="231"/>
        <v>5.8048339364773049</v>
      </c>
      <c r="AT820" s="94">
        <f t="shared" si="232"/>
        <v>1.9358058528624471</v>
      </c>
      <c r="AU820" s="94">
        <f t="shared" si="233"/>
        <v>3.237384292818926</v>
      </c>
    </row>
    <row r="821" spans="1:48" s="95" customFormat="1" x14ac:dyDescent="0.3">
      <c r="A821" s="95" t="str">
        <f>_xlfn.XLOOKUP(B821,'Country codes &amp; Data sources'!G:G,'Country codes &amp; Data sources'!H:H,,0)</f>
        <v>Senegal</v>
      </c>
      <c r="B821" s="95" t="s">
        <v>184</v>
      </c>
      <c r="C821" s="60">
        <v>13231836</v>
      </c>
      <c r="D821" s="95" t="s">
        <v>324</v>
      </c>
      <c r="E821" s="96">
        <v>0</v>
      </c>
      <c r="F821" s="97">
        <v>13595565.499999993</v>
      </c>
      <c r="G821" s="96">
        <v>0</v>
      </c>
      <c r="H821" s="96"/>
      <c r="I821" s="96">
        <v>34261</v>
      </c>
      <c r="J821" s="96"/>
      <c r="K821" s="96">
        <v>0</v>
      </c>
      <c r="L821" s="96"/>
      <c r="M821" s="96">
        <v>0</v>
      </c>
      <c r="N821" s="96"/>
      <c r="O821" s="96">
        <v>50</v>
      </c>
      <c r="P821" s="97">
        <v>15574908.999999998</v>
      </c>
      <c r="Q821" s="96">
        <v>45</v>
      </c>
      <c r="R821" s="96">
        <f t="shared" si="216"/>
        <v>215</v>
      </c>
      <c r="S821" s="96"/>
      <c r="T821" s="96">
        <v>0</v>
      </c>
      <c r="U821" s="96"/>
      <c r="V821" s="96">
        <v>584</v>
      </c>
      <c r="W821" s="96"/>
      <c r="X821" s="96">
        <v>0</v>
      </c>
      <c r="Y821" s="97">
        <v>17316449</v>
      </c>
      <c r="Z821" s="96">
        <v>17</v>
      </c>
      <c r="AA821" s="96">
        <v>215</v>
      </c>
      <c r="AB821" s="98">
        <f t="shared" si="217"/>
        <v>34261</v>
      </c>
      <c r="AC821" s="98">
        <f t="shared" si="218"/>
        <v>50</v>
      </c>
      <c r="AD821" s="98">
        <f t="shared" si="219"/>
        <v>584</v>
      </c>
      <c r="AE821" s="99">
        <f t="shared" si="220"/>
        <v>34261</v>
      </c>
      <c r="AF821" s="99">
        <f t="shared" si="221"/>
        <v>2014</v>
      </c>
      <c r="AG821" s="99">
        <f t="shared" si="222"/>
        <v>215</v>
      </c>
      <c r="AH821" s="99" t="str">
        <f t="shared" si="223"/>
        <v>2018 (triag)</v>
      </c>
      <c r="AI821" s="99">
        <f t="shared" si="224"/>
        <v>17</v>
      </c>
      <c r="AJ821" s="99">
        <f t="shared" si="225"/>
        <v>2022</v>
      </c>
      <c r="AK821" s="99" t="str">
        <f t="shared" si="226"/>
        <v>Adjust</v>
      </c>
      <c r="AL821" s="61">
        <f>IF(AK821="Adjust",(_xlfn.XLOOKUP(A821,'Adj factor'!A:A,'Adj factor'!I:I,,0)*AI821),'Master DataSheet'!AI821)</f>
        <v>19.897010602905628</v>
      </c>
      <c r="AM821" s="61">
        <f t="shared" si="227"/>
        <v>215</v>
      </c>
      <c r="AN821" s="62" t="str">
        <f t="shared" si="228"/>
        <v>Decreasing</v>
      </c>
      <c r="AO821" s="100">
        <f>VLOOKUP(B821,'Growthrates source'!A$2:H$49,8,FALSE)</f>
        <v>2.5918907427795013E-2</v>
      </c>
      <c r="AP821" s="100">
        <f>VLOOKUP(B821,'Growthrates source'!A$2:I$49,9,FALSE)</f>
        <v>7.7050082831477074E-2</v>
      </c>
      <c r="AQ821" s="60">
        <f t="shared" si="229"/>
        <v>188.8670807120312</v>
      </c>
      <c r="AR821" s="60">
        <f t="shared" si="230"/>
        <v>270.91043730922058</v>
      </c>
      <c r="AS821" s="101">
        <f t="shared" si="231"/>
        <v>25.200128674309294</v>
      </c>
      <c r="AT821" s="102">
        <f t="shared" si="232"/>
        <v>0.13804254008803521</v>
      </c>
      <c r="AU821" s="102">
        <f t="shared" si="233"/>
        <v>0.12415940473707976</v>
      </c>
      <c r="AV821" s="117"/>
    </row>
    <row r="822" spans="1:48" s="95" customFormat="1" x14ac:dyDescent="0.3">
      <c r="A822" s="95" t="str">
        <f>_xlfn.XLOOKUP(B822,'Country codes &amp; Data sources'!G:G,'Country codes &amp; Data sources'!H:H,,0)</f>
        <v>Senegal</v>
      </c>
      <c r="B822" s="95" t="s">
        <v>184</v>
      </c>
      <c r="C822" s="60">
        <v>13231837</v>
      </c>
      <c r="D822" s="95" t="s">
        <v>325</v>
      </c>
      <c r="E822" s="96">
        <v>0</v>
      </c>
      <c r="F822" s="97">
        <v>13595565.499999993</v>
      </c>
      <c r="G822" s="96">
        <v>0</v>
      </c>
      <c r="H822" s="96"/>
      <c r="I822" s="96">
        <v>10770</v>
      </c>
      <c r="J822" s="96"/>
      <c r="K822" s="96">
        <v>0</v>
      </c>
      <c r="L822" s="96"/>
      <c r="M822" s="96">
        <v>0</v>
      </c>
      <c r="N822" s="96"/>
      <c r="O822" s="96">
        <v>30</v>
      </c>
      <c r="P822" s="97">
        <v>15574908.999999998</v>
      </c>
      <c r="Q822" s="96">
        <v>276</v>
      </c>
      <c r="R822" s="96">
        <f t="shared" si="216"/>
        <v>276</v>
      </c>
      <c r="S822" s="96"/>
      <c r="T822" s="96">
        <v>0</v>
      </c>
      <c r="U822" s="96"/>
      <c r="V822" s="96">
        <v>327</v>
      </c>
      <c r="W822" s="96"/>
      <c r="X822" s="96">
        <v>0</v>
      </c>
      <c r="Y822" s="97">
        <v>17316449</v>
      </c>
      <c r="Z822" s="96">
        <v>18</v>
      </c>
      <c r="AA822" s="96">
        <v>236</v>
      </c>
      <c r="AB822" s="98">
        <f t="shared" si="217"/>
        <v>10770</v>
      </c>
      <c r="AC822" s="98">
        <f t="shared" si="218"/>
        <v>276</v>
      </c>
      <c r="AD822" s="98">
        <f t="shared" si="219"/>
        <v>327</v>
      </c>
      <c r="AE822" s="99">
        <f t="shared" si="220"/>
        <v>10770</v>
      </c>
      <c r="AF822" s="99">
        <f t="shared" si="221"/>
        <v>2014</v>
      </c>
      <c r="AG822" s="99">
        <f t="shared" si="222"/>
        <v>276</v>
      </c>
      <c r="AH822" s="99">
        <f t="shared" si="223"/>
        <v>2018</v>
      </c>
      <c r="AI822" s="99">
        <f t="shared" si="224"/>
        <v>18</v>
      </c>
      <c r="AJ822" s="99">
        <f t="shared" si="225"/>
        <v>2022</v>
      </c>
      <c r="AK822" s="99" t="str">
        <f t="shared" si="226"/>
        <v>Adjust</v>
      </c>
      <c r="AL822" s="61">
        <f>IF(AK822="Adjust",(_xlfn.XLOOKUP(A822,'Adj factor'!A:A,'Adj factor'!I:I,,0)*AI822),'Master DataSheet'!AI822)</f>
        <v>21.06742299131184</v>
      </c>
      <c r="AM822" s="61">
        <f t="shared" si="227"/>
        <v>276</v>
      </c>
      <c r="AN822" s="62" t="str">
        <f t="shared" si="228"/>
        <v>Decreasing</v>
      </c>
      <c r="AO822" s="100">
        <f>VLOOKUP(B822,'Growthrates source'!A$2:H$49,8,FALSE)</f>
        <v>2.5918907427795013E-2</v>
      </c>
      <c r="AP822" s="100">
        <f>VLOOKUP(B822,'Growthrates source'!A$2:I$49,9,FALSE)</f>
        <v>7.7050082831477074E-2</v>
      </c>
      <c r="AQ822" s="60">
        <f t="shared" si="229"/>
        <v>207.31456301413655</v>
      </c>
      <c r="AR822" s="60">
        <f t="shared" si="230"/>
        <v>297.37145676733053</v>
      </c>
      <c r="AS822" s="101">
        <f t="shared" si="231"/>
        <v>7.9217006456995156</v>
      </c>
      <c r="AT822" s="102">
        <f t="shared" si="232"/>
        <v>0.17720809797347775</v>
      </c>
      <c r="AU822" s="102">
        <f t="shared" si="233"/>
        <v>0.15938602654620471</v>
      </c>
      <c r="AV822" s="117"/>
    </row>
    <row r="823" spans="1:48" x14ac:dyDescent="0.3">
      <c r="A823" s="85" t="str">
        <f>_xlfn.XLOOKUP(B823,'Country codes &amp; Data sources'!G:G,'Country codes &amp; Data sources'!H:H,,0)</f>
        <v>Senegal</v>
      </c>
      <c r="B823" s="85" t="s">
        <v>184</v>
      </c>
      <c r="C823" s="86">
        <v>13231838</v>
      </c>
      <c r="D823" s="85" t="s">
        <v>127</v>
      </c>
      <c r="E823" s="87">
        <v>0</v>
      </c>
      <c r="F823" s="88">
        <v>13595565.499999993</v>
      </c>
      <c r="G823" s="87">
        <v>0</v>
      </c>
      <c r="I823" s="87">
        <v>0</v>
      </c>
      <c r="K823" s="87">
        <v>770</v>
      </c>
      <c r="M823" s="87">
        <v>5</v>
      </c>
      <c r="O823" s="87">
        <v>5</v>
      </c>
      <c r="P823" s="88">
        <v>15574908.999999998</v>
      </c>
      <c r="Q823" s="87">
        <v>17417</v>
      </c>
      <c r="R823" s="87">
        <f t="shared" si="216"/>
        <v>17417</v>
      </c>
      <c r="T823" s="87">
        <v>1116</v>
      </c>
      <c r="V823" s="87">
        <v>0</v>
      </c>
      <c r="X823" s="87">
        <v>16443</v>
      </c>
      <c r="Y823" s="88">
        <v>17316449</v>
      </c>
      <c r="Z823" s="87">
        <v>18757</v>
      </c>
      <c r="AA823" s="87">
        <v>17417</v>
      </c>
      <c r="AB823" s="89">
        <f t="shared" si="217"/>
        <v>770</v>
      </c>
      <c r="AC823" s="89">
        <f t="shared" si="218"/>
        <v>17417</v>
      </c>
      <c r="AD823" s="89">
        <f t="shared" si="219"/>
        <v>18757</v>
      </c>
      <c r="AE823" s="90">
        <f t="shared" si="220"/>
        <v>770</v>
      </c>
      <c r="AF823" s="90">
        <f t="shared" si="221"/>
        <v>2015</v>
      </c>
      <c r="AG823" s="90">
        <f t="shared" si="222"/>
        <v>17417</v>
      </c>
      <c r="AH823" s="90">
        <f t="shared" si="223"/>
        <v>2018</v>
      </c>
      <c r="AI823" s="90">
        <f t="shared" si="224"/>
        <v>18757</v>
      </c>
      <c r="AJ823" s="90">
        <f t="shared" si="225"/>
        <v>2022</v>
      </c>
      <c r="AK823" s="90" t="str">
        <f t="shared" si="226"/>
        <v/>
      </c>
      <c r="AL823" s="91">
        <f>IF(AK823="Adjust",(_xlfn.XLOOKUP(A823,'Adj factor'!A:A,'Adj factor'!I:I,,0)*AI823),'Master DataSheet'!AI823)</f>
        <v>18757</v>
      </c>
      <c r="AM823" s="91">
        <f t="shared" si="227"/>
        <v>18757</v>
      </c>
      <c r="AN823" s="92" t="str">
        <f t="shared" si="228"/>
        <v>Increasing</v>
      </c>
      <c r="AO823" s="93">
        <f>VLOOKUP(B823,'Growthrates source'!A$2:H$49,8,FALSE)</f>
        <v>2.5918907427795013E-2</v>
      </c>
      <c r="AP823" s="93">
        <f>VLOOKUP(B823,'Growthrates source'!A$2:I$49,9,FALSE)</f>
        <v>7.7050082831477074E-2</v>
      </c>
      <c r="AQ823" s="86">
        <f t="shared" si="229"/>
        <v>15299.990440750918</v>
      </c>
      <c r="AR823" s="86">
        <f t="shared" si="230"/>
        <v>21946.265519138116</v>
      </c>
      <c r="AS823" s="94">
        <f t="shared" si="231"/>
        <v>0.56636114180024388</v>
      </c>
      <c r="AT823" s="94">
        <f t="shared" si="232"/>
        <v>11.182729863782834</v>
      </c>
      <c r="AU823" s="94">
        <f t="shared" si="233"/>
        <v>10.831897463504209</v>
      </c>
    </row>
    <row r="824" spans="1:48" x14ac:dyDescent="0.3">
      <c r="A824" s="85" t="str">
        <f>_xlfn.XLOOKUP(B824,'Country codes &amp; Data sources'!G:G,'Country codes &amp; Data sources'!H:H,,0)</f>
        <v>Senegal</v>
      </c>
      <c r="B824" s="85" t="s">
        <v>184</v>
      </c>
      <c r="C824" s="86">
        <v>13231839</v>
      </c>
      <c r="D824" s="85" t="s">
        <v>61</v>
      </c>
      <c r="E824" s="87">
        <v>0</v>
      </c>
      <c r="F824" s="88">
        <v>13595565.499999993</v>
      </c>
      <c r="G824" s="87">
        <v>0</v>
      </c>
      <c r="I824" s="87">
        <v>0</v>
      </c>
      <c r="K824" s="87">
        <v>0</v>
      </c>
      <c r="M824" s="87">
        <v>0</v>
      </c>
      <c r="O824" s="87">
        <v>0</v>
      </c>
      <c r="P824" s="88">
        <v>15574908.999999998</v>
      </c>
      <c r="Q824" s="87">
        <v>0</v>
      </c>
      <c r="R824" s="87">
        <f t="shared" si="216"/>
        <v>4</v>
      </c>
      <c r="T824" s="87">
        <v>0</v>
      </c>
      <c r="V824" s="87">
        <v>0</v>
      </c>
      <c r="X824" s="87">
        <v>0</v>
      </c>
      <c r="Y824" s="88">
        <v>17316449</v>
      </c>
      <c r="Z824" s="87">
        <v>0</v>
      </c>
      <c r="AA824" s="87">
        <v>4</v>
      </c>
      <c r="AB824" s="89">
        <f t="shared" si="217"/>
        <v>0</v>
      </c>
      <c r="AC824" s="89">
        <f t="shared" si="218"/>
        <v>0</v>
      </c>
      <c r="AD824" s="89">
        <f t="shared" si="219"/>
        <v>0</v>
      </c>
      <c r="AE824" s="90">
        <f t="shared" si="220"/>
        <v>0</v>
      </c>
      <c r="AF824" s="90" t="str">
        <f t="shared" si="221"/>
        <v/>
      </c>
      <c r="AG824" s="90">
        <f t="shared" si="222"/>
        <v>4</v>
      </c>
      <c r="AH824" s="90" t="str">
        <f t="shared" si="223"/>
        <v>2018 (triag)</v>
      </c>
      <c r="AI824" s="90">
        <f t="shared" si="224"/>
        <v>4</v>
      </c>
      <c r="AJ824" s="90" t="str">
        <f t="shared" si="225"/>
        <v>2018 (triag)</v>
      </c>
      <c r="AK824" s="90" t="str">
        <f t="shared" si="226"/>
        <v/>
      </c>
      <c r="AL824" s="91">
        <f>IF(AK824="Adjust",(_xlfn.XLOOKUP(A824,'Adj factor'!A:A,'Adj factor'!I:I,,0)*AI824),'Master DataSheet'!AI824)</f>
        <v>4</v>
      </c>
      <c r="AM824" s="91">
        <f t="shared" si="227"/>
        <v>4</v>
      </c>
      <c r="AN824" s="92" t="str">
        <f t="shared" si="228"/>
        <v>No change</v>
      </c>
      <c r="AO824" s="93">
        <f>VLOOKUP(B824,'Growthrates source'!A$2:H$49,8,FALSE)</f>
        <v>2.5918907427795013E-2</v>
      </c>
      <c r="AP824" s="93">
        <f>VLOOKUP(B824,'Growthrates source'!A$2:I$49,9,FALSE)</f>
        <v>7.7050082831477074E-2</v>
      </c>
      <c r="AQ824" s="86">
        <f t="shared" si="229"/>
        <v>3.5138061527819757</v>
      </c>
      <c r="AR824" s="86">
        <f t="shared" si="230"/>
        <v>5.0401941824971273</v>
      </c>
      <c r="AS824" s="94">
        <f t="shared" si="231"/>
        <v>0</v>
      </c>
      <c r="AT824" s="94">
        <f t="shared" si="232"/>
        <v>2.5682333039634456E-3</v>
      </c>
      <c r="AU824" s="94">
        <f t="shared" si="233"/>
        <v>2.3099424137131117E-3</v>
      </c>
    </row>
    <row r="825" spans="1:48" s="95" customFormat="1" x14ac:dyDescent="0.3">
      <c r="A825" s="95" t="str">
        <f>_xlfn.XLOOKUP(B825,'Country codes &amp; Data sources'!G:G,'Country codes &amp; Data sources'!H:H,,0)</f>
        <v>Senegal</v>
      </c>
      <c r="B825" s="95" t="s">
        <v>184</v>
      </c>
      <c r="C825" s="60">
        <v>13231840</v>
      </c>
      <c r="D825" s="95" t="s">
        <v>62</v>
      </c>
      <c r="E825" s="96">
        <v>0</v>
      </c>
      <c r="F825" s="97">
        <v>13595565.499999993</v>
      </c>
      <c r="G825" s="96">
        <v>0</v>
      </c>
      <c r="H825" s="96"/>
      <c r="I825" s="96">
        <v>3518</v>
      </c>
      <c r="J825" s="96"/>
      <c r="K825" s="96">
        <v>0</v>
      </c>
      <c r="L825" s="96"/>
      <c r="M825" s="96">
        <v>0</v>
      </c>
      <c r="N825" s="96"/>
      <c r="O825" s="96">
        <v>0</v>
      </c>
      <c r="P825" s="97">
        <v>15574908.999999998</v>
      </c>
      <c r="Q825" s="96">
        <v>1925</v>
      </c>
      <c r="R825" s="96">
        <f t="shared" si="216"/>
        <v>1925</v>
      </c>
      <c r="S825" s="96"/>
      <c r="T825" s="96">
        <v>0</v>
      </c>
      <c r="U825" s="96"/>
      <c r="V825" s="96">
        <v>2494</v>
      </c>
      <c r="W825" s="96"/>
      <c r="X825" s="96">
        <v>0</v>
      </c>
      <c r="Y825" s="97">
        <v>17316449</v>
      </c>
      <c r="Z825" s="96">
        <v>0</v>
      </c>
      <c r="AA825" s="96">
        <v>573</v>
      </c>
      <c r="AB825" s="98">
        <f t="shared" si="217"/>
        <v>3518</v>
      </c>
      <c r="AC825" s="98">
        <f t="shared" si="218"/>
        <v>1925</v>
      </c>
      <c r="AD825" s="98">
        <f t="shared" si="219"/>
        <v>2494</v>
      </c>
      <c r="AE825" s="99">
        <f t="shared" si="220"/>
        <v>3518</v>
      </c>
      <c r="AF825" s="99">
        <f t="shared" si="221"/>
        <v>2014</v>
      </c>
      <c r="AG825" s="99">
        <f t="shared" si="222"/>
        <v>1925</v>
      </c>
      <c r="AH825" s="99">
        <f t="shared" si="223"/>
        <v>2018</v>
      </c>
      <c r="AI825" s="99">
        <f t="shared" si="224"/>
        <v>2494</v>
      </c>
      <c r="AJ825" s="99">
        <f t="shared" si="225"/>
        <v>2020</v>
      </c>
      <c r="AK825" s="99" t="str">
        <f t="shared" si="226"/>
        <v/>
      </c>
      <c r="AL825" s="61">
        <f>IF(AK825="Adjust",(_xlfn.XLOOKUP(A825,'Adj factor'!A:A,'Adj factor'!I:I,,0)*AI825),'Master DataSheet'!AI825)</f>
        <v>2494</v>
      </c>
      <c r="AM825" s="61">
        <f t="shared" si="227"/>
        <v>2494</v>
      </c>
      <c r="AN825" s="62" t="str">
        <f t="shared" si="228"/>
        <v>Increasing</v>
      </c>
      <c r="AO825" s="100">
        <f>VLOOKUP(B825,'Growthrates source'!A$2:H$49,8,FALSE)</f>
        <v>2.5918907427795013E-2</v>
      </c>
      <c r="AP825" s="100">
        <f>VLOOKUP(B825,'Growthrates source'!A$2:I$49,9,FALSE)</f>
        <v>7.7050082831477074E-2</v>
      </c>
      <c r="AQ825" s="60">
        <f t="shared" si="229"/>
        <v>503.35273138601804</v>
      </c>
      <c r="AR825" s="60">
        <f t="shared" si="230"/>
        <v>722.00781664271346</v>
      </c>
      <c r="AS825" s="101">
        <f t="shared" si="231"/>
        <v>2.5876084374717636</v>
      </c>
      <c r="AT825" s="102">
        <f t="shared" si="232"/>
        <v>1.2359622775324082</v>
      </c>
      <c r="AU825" s="102">
        <f t="shared" si="233"/>
        <v>1.4402490949501252</v>
      </c>
    </row>
    <row r="826" spans="1:48" x14ac:dyDescent="0.3">
      <c r="A826" s="85" t="str">
        <f>_xlfn.XLOOKUP(B826,'Country codes &amp; Data sources'!G:G,'Country codes &amp; Data sources'!H:H,,0)</f>
        <v>Senegal</v>
      </c>
      <c r="B826" s="85" t="s">
        <v>184</v>
      </c>
      <c r="C826" s="86">
        <v>13231841</v>
      </c>
      <c r="D826" s="85" t="s">
        <v>203</v>
      </c>
      <c r="E826" s="87">
        <v>0</v>
      </c>
      <c r="F826" s="88">
        <v>13595565.499999993</v>
      </c>
      <c r="G826" s="87">
        <v>0</v>
      </c>
      <c r="I826" s="87">
        <v>0</v>
      </c>
      <c r="K826" s="87">
        <v>0</v>
      </c>
      <c r="M826" s="87">
        <v>0</v>
      </c>
      <c r="O826" s="87">
        <v>0</v>
      </c>
      <c r="P826" s="88">
        <v>15574908.999999998</v>
      </c>
      <c r="Q826" s="87">
        <v>0</v>
      </c>
      <c r="R826" s="87">
        <f t="shared" si="216"/>
        <v>1670</v>
      </c>
      <c r="T826" s="87">
        <v>15422</v>
      </c>
      <c r="V826" s="87">
        <v>0</v>
      </c>
      <c r="X826" s="87">
        <v>949</v>
      </c>
      <c r="Y826" s="88">
        <v>17316449</v>
      </c>
      <c r="Z826" s="87">
        <v>3378</v>
      </c>
      <c r="AA826" s="87">
        <v>1670</v>
      </c>
      <c r="AB826" s="89">
        <f t="shared" si="217"/>
        <v>0</v>
      </c>
      <c r="AC826" s="89">
        <f t="shared" si="218"/>
        <v>15422</v>
      </c>
      <c r="AD826" s="89">
        <f t="shared" si="219"/>
        <v>3378</v>
      </c>
      <c r="AE826" s="90">
        <f t="shared" si="220"/>
        <v>0</v>
      </c>
      <c r="AF826" s="90" t="str">
        <f t="shared" si="221"/>
        <v/>
      </c>
      <c r="AG826" s="90">
        <f t="shared" si="222"/>
        <v>1670</v>
      </c>
      <c r="AH826" s="90" t="str">
        <f t="shared" si="223"/>
        <v>2018 (triag)</v>
      </c>
      <c r="AI826" s="90">
        <f t="shared" si="224"/>
        <v>3378</v>
      </c>
      <c r="AJ826" s="90">
        <f t="shared" si="225"/>
        <v>2022</v>
      </c>
      <c r="AK826" s="90" t="str">
        <f t="shared" si="226"/>
        <v/>
      </c>
      <c r="AL826" s="91">
        <f>IF(AK826="Adjust",(_xlfn.XLOOKUP(A826,'Adj factor'!A:A,'Adj factor'!I:I,,0)*AI826),'Master DataSheet'!AI826)</f>
        <v>3378</v>
      </c>
      <c r="AM826" s="91">
        <f t="shared" si="227"/>
        <v>3378</v>
      </c>
      <c r="AN826" s="92" t="str">
        <f t="shared" si="228"/>
        <v>Increasing</v>
      </c>
      <c r="AO826" s="93">
        <f>VLOOKUP(B826,'Growthrates source'!A$2:H$49,8,FALSE)</f>
        <v>2.5918907427795013E-2</v>
      </c>
      <c r="AP826" s="93">
        <f>VLOOKUP(B826,'Growthrates source'!A$2:I$49,9,FALSE)</f>
        <v>7.7050082831477074E-2</v>
      </c>
      <c r="AQ826" s="86">
        <f t="shared" si="229"/>
        <v>1467.0140687864748</v>
      </c>
      <c r="AR826" s="86">
        <f t="shared" si="230"/>
        <v>2104.2810711925508</v>
      </c>
      <c r="AS826" s="94">
        <f t="shared" si="231"/>
        <v>0</v>
      </c>
      <c r="AT826" s="94">
        <f t="shared" si="232"/>
        <v>1.0722374044047385</v>
      </c>
      <c r="AU826" s="94">
        <f t="shared" si="233"/>
        <v>1.9507463683807229</v>
      </c>
    </row>
    <row r="827" spans="1:48" x14ac:dyDescent="0.3">
      <c r="A827" s="85" t="str">
        <f>_xlfn.XLOOKUP(B827,'Country codes &amp; Data sources'!G:G,'Country codes &amp; Data sources'!H:H,,0)</f>
        <v>Senegal</v>
      </c>
      <c r="B827" s="85" t="s">
        <v>184</v>
      </c>
      <c r="C827" s="86">
        <v>13231842</v>
      </c>
      <c r="D827" s="85" t="s">
        <v>204</v>
      </c>
      <c r="E827" s="87">
        <v>0</v>
      </c>
      <c r="F827" s="88">
        <v>13595565.499999993</v>
      </c>
      <c r="G827" s="87">
        <v>0</v>
      </c>
      <c r="I827" s="87">
        <v>0</v>
      </c>
      <c r="K827" s="87">
        <v>0</v>
      </c>
      <c r="M827" s="87">
        <v>0</v>
      </c>
      <c r="O827" s="87">
        <v>0</v>
      </c>
      <c r="P827" s="88">
        <v>15574908.999999998</v>
      </c>
      <c r="Q827" s="87">
        <v>0</v>
      </c>
      <c r="R827" s="87">
        <f t="shared" si="216"/>
        <v>135</v>
      </c>
      <c r="T827" s="87">
        <v>686</v>
      </c>
      <c r="V827" s="87">
        <v>27</v>
      </c>
      <c r="X827" s="87">
        <v>188</v>
      </c>
      <c r="Y827" s="88">
        <v>17316449</v>
      </c>
      <c r="Z827" s="87">
        <v>0</v>
      </c>
      <c r="AA827" s="87">
        <v>135</v>
      </c>
      <c r="AB827" s="89">
        <f t="shared" si="217"/>
        <v>0</v>
      </c>
      <c r="AC827" s="89">
        <f t="shared" si="218"/>
        <v>686</v>
      </c>
      <c r="AD827" s="89">
        <f t="shared" si="219"/>
        <v>188</v>
      </c>
      <c r="AE827" s="90">
        <f t="shared" si="220"/>
        <v>0</v>
      </c>
      <c r="AF827" s="90" t="str">
        <f t="shared" si="221"/>
        <v/>
      </c>
      <c r="AG827" s="90">
        <f t="shared" si="222"/>
        <v>135</v>
      </c>
      <c r="AH827" s="90" t="str">
        <f t="shared" si="223"/>
        <v>2018 (triag)</v>
      </c>
      <c r="AI827" s="90">
        <f t="shared" si="224"/>
        <v>188</v>
      </c>
      <c r="AJ827" s="90">
        <f t="shared" si="225"/>
        <v>2021</v>
      </c>
      <c r="AK827" s="90" t="str">
        <f t="shared" si="226"/>
        <v/>
      </c>
      <c r="AL827" s="91">
        <f>IF(AK827="Adjust",(_xlfn.XLOOKUP(A827,'Adj factor'!A:A,'Adj factor'!I:I,,0)*AI827),'Master DataSheet'!AI827)</f>
        <v>188</v>
      </c>
      <c r="AM827" s="91">
        <f t="shared" si="227"/>
        <v>188</v>
      </c>
      <c r="AN827" s="92" t="str">
        <f t="shared" si="228"/>
        <v>Increasing</v>
      </c>
      <c r="AO827" s="93">
        <f>VLOOKUP(B827,'Growthrates source'!A$2:H$49,8,FALSE)</f>
        <v>2.5918907427795013E-2</v>
      </c>
      <c r="AP827" s="93">
        <f>VLOOKUP(B827,'Growthrates source'!A$2:I$49,9,FALSE)</f>
        <v>7.7050082831477074E-2</v>
      </c>
      <c r="AQ827" s="86">
        <f t="shared" si="229"/>
        <v>118.59095765639168</v>
      </c>
      <c r="AR827" s="86">
        <f t="shared" si="230"/>
        <v>170.10655365927803</v>
      </c>
      <c r="AS827" s="94">
        <f t="shared" si="231"/>
        <v>0</v>
      </c>
      <c r="AT827" s="94">
        <f t="shared" si="232"/>
        <v>8.6677874008766295E-2</v>
      </c>
      <c r="AU827" s="94">
        <f t="shared" si="233"/>
        <v>0.10856729344451625</v>
      </c>
    </row>
    <row r="828" spans="1:48" x14ac:dyDescent="0.3">
      <c r="A828" s="85" t="str">
        <f>_xlfn.XLOOKUP(B828,'Country codes &amp; Data sources'!G:G,'Country codes &amp; Data sources'!H:H,,0)</f>
        <v>Senegal</v>
      </c>
      <c r="B828" s="85" t="s">
        <v>184</v>
      </c>
      <c r="C828" s="86">
        <v>13231843</v>
      </c>
      <c r="D828" s="85" t="s">
        <v>205</v>
      </c>
      <c r="E828" s="87">
        <v>0</v>
      </c>
      <c r="F828" s="88">
        <v>13595565.499999993</v>
      </c>
      <c r="G828" s="87">
        <v>0</v>
      </c>
      <c r="I828" s="87">
        <v>0</v>
      </c>
      <c r="K828" s="87">
        <v>0</v>
      </c>
      <c r="M828" s="87">
        <v>57</v>
      </c>
      <c r="O828" s="87">
        <v>0</v>
      </c>
      <c r="P828" s="88">
        <v>15574908.999999998</v>
      </c>
      <c r="Q828" s="87">
        <v>0</v>
      </c>
      <c r="R828" s="87">
        <f t="shared" si="216"/>
        <v>100</v>
      </c>
      <c r="T828" s="87">
        <v>22</v>
      </c>
      <c r="V828" s="87">
        <v>13</v>
      </c>
      <c r="X828" s="87">
        <v>98</v>
      </c>
      <c r="Y828" s="88">
        <v>17316449</v>
      </c>
      <c r="Z828" s="87">
        <v>15</v>
      </c>
      <c r="AA828" s="87">
        <v>100</v>
      </c>
      <c r="AB828" s="89">
        <f t="shared" si="217"/>
        <v>0</v>
      </c>
      <c r="AC828" s="89">
        <f t="shared" si="218"/>
        <v>57</v>
      </c>
      <c r="AD828" s="89">
        <f t="shared" si="219"/>
        <v>98</v>
      </c>
      <c r="AE828" s="90">
        <f t="shared" si="220"/>
        <v>0</v>
      </c>
      <c r="AF828" s="90" t="str">
        <f t="shared" si="221"/>
        <v/>
      </c>
      <c r="AG828" s="90">
        <f t="shared" si="222"/>
        <v>100</v>
      </c>
      <c r="AH828" s="90" t="str">
        <f t="shared" si="223"/>
        <v>2018 (triag)</v>
      </c>
      <c r="AI828" s="90">
        <f t="shared" si="224"/>
        <v>15</v>
      </c>
      <c r="AJ828" s="90">
        <f t="shared" si="225"/>
        <v>2022</v>
      </c>
      <c r="AK828" s="90" t="str">
        <f t="shared" si="226"/>
        <v>Adjust</v>
      </c>
      <c r="AL828" s="91">
        <f>IF(AK828="Adjust",(_xlfn.XLOOKUP(A828,'Adj factor'!A:A,'Adj factor'!I:I,,0)*AI828),'Master DataSheet'!AI828)</f>
        <v>17.556185826093202</v>
      </c>
      <c r="AM828" s="91">
        <f t="shared" si="227"/>
        <v>100</v>
      </c>
      <c r="AN828" s="92" t="str">
        <f t="shared" si="228"/>
        <v>Decreasing</v>
      </c>
      <c r="AO828" s="93">
        <f>VLOOKUP(B828,'Growthrates source'!A$2:H$49,8,FALSE)</f>
        <v>2.5918907427795013E-2</v>
      </c>
      <c r="AP828" s="93">
        <f>VLOOKUP(B828,'Growthrates source'!A$2:I$49,9,FALSE)</f>
        <v>7.7050082831477074E-2</v>
      </c>
      <c r="AQ828" s="86">
        <f t="shared" si="229"/>
        <v>87.845153819549395</v>
      </c>
      <c r="AR828" s="86">
        <f t="shared" si="230"/>
        <v>126.00485456242818</v>
      </c>
      <c r="AS828" s="94">
        <f t="shared" si="231"/>
        <v>0</v>
      </c>
      <c r="AT828" s="94">
        <f t="shared" si="232"/>
        <v>6.4205832599086146E-2</v>
      </c>
      <c r="AU828" s="94">
        <f t="shared" si="233"/>
        <v>5.7748560342827791E-2</v>
      </c>
    </row>
    <row r="829" spans="1:48" x14ac:dyDescent="0.3">
      <c r="A829" s="85" t="str">
        <f>_xlfn.XLOOKUP(B829,'Country codes &amp; Data sources'!G:G,'Country codes &amp; Data sources'!H:H,,0)</f>
        <v>Senegal</v>
      </c>
      <c r="B829" s="85" t="s">
        <v>184</v>
      </c>
      <c r="C829" s="86">
        <v>13231844</v>
      </c>
      <c r="D829" s="85" t="s">
        <v>133</v>
      </c>
      <c r="E829" s="87">
        <v>0</v>
      </c>
      <c r="F829" s="88">
        <v>13595565.499999993</v>
      </c>
      <c r="G829" s="87">
        <v>0</v>
      </c>
      <c r="I829" s="87">
        <v>0</v>
      </c>
      <c r="K829" s="87">
        <v>0</v>
      </c>
      <c r="M829" s="87">
        <v>0</v>
      </c>
      <c r="O829" s="87">
        <v>37</v>
      </c>
      <c r="P829" s="88">
        <v>15574908.999999998</v>
      </c>
      <c r="Q829" s="87">
        <v>328</v>
      </c>
      <c r="R829" s="87">
        <f t="shared" si="216"/>
        <v>1045</v>
      </c>
      <c r="T829" s="87">
        <v>715</v>
      </c>
      <c r="V829" s="87">
        <v>101</v>
      </c>
      <c r="X829" s="87">
        <v>434</v>
      </c>
      <c r="Y829" s="88">
        <v>17316449</v>
      </c>
      <c r="Z829" s="87">
        <v>0</v>
      </c>
      <c r="AA829" s="87">
        <v>1045</v>
      </c>
      <c r="AB829" s="89">
        <f t="shared" si="217"/>
        <v>0</v>
      </c>
      <c r="AC829" s="89">
        <f t="shared" si="218"/>
        <v>715</v>
      </c>
      <c r="AD829" s="89">
        <f t="shared" si="219"/>
        <v>434</v>
      </c>
      <c r="AE829" s="90">
        <f t="shared" si="220"/>
        <v>0</v>
      </c>
      <c r="AF829" s="90" t="str">
        <f t="shared" si="221"/>
        <v/>
      </c>
      <c r="AG829" s="90">
        <f t="shared" si="222"/>
        <v>1045</v>
      </c>
      <c r="AH829" s="90" t="str">
        <f t="shared" si="223"/>
        <v>2018 (triag)</v>
      </c>
      <c r="AI829" s="90">
        <f t="shared" si="224"/>
        <v>434</v>
      </c>
      <c r="AJ829" s="90">
        <f t="shared" si="225"/>
        <v>2021</v>
      </c>
      <c r="AK829" s="90" t="str">
        <f t="shared" si="226"/>
        <v>Adjust</v>
      </c>
      <c r="AL829" s="91">
        <f>IF(AK829="Adjust",(_xlfn.XLOOKUP(A829,'Adj factor'!A:A,'Adj factor'!I:I,,0)*AI829),'Master DataSheet'!AI829)</f>
        <v>507.95897656829663</v>
      </c>
      <c r="AM829" s="91">
        <f t="shared" si="227"/>
        <v>1045</v>
      </c>
      <c r="AN829" s="92" t="str">
        <f t="shared" si="228"/>
        <v>Decreasing</v>
      </c>
      <c r="AO829" s="93">
        <f>VLOOKUP(B829,'Growthrates source'!A$2:H$49,8,FALSE)</f>
        <v>2.5918907427795013E-2</v>
      </c>
      <c r="AP829" s="93">
        <f>VLOOKUP(B829,'Growthrates source'!A$2:I$49,9,FALSE)</f>
        <v>7.7050082831477074E-2</v>
      </c>
      <c r="AQ829" s="86">
        <f t="shared" si="229"/>
        <v>917.9818574142912</v>
      </c>
      <c r="AR829" s="86">
        <f t="shared" si="230"/>
        <v>1316.7507301773744</v>
      </c>
      <c r="AS829" s="94">
        <f t="shared" si="231"/>
        <v>0</v>
      </c>
      <c r="AT829" s="94">
        <f t="shared" si="232"/>
        <v>0.67095095066045018</v>
      </c>
      <c r="AU829" s="94">
        <f t="shared" si="233"/>
        <v>0.60347245558255047</v>
      </c>
    </row>
    <row r="830" spans="1:48" x14ac:dyDescent="0.3">
      <c r="A830" s="85" t="str">
        <f>_xlfn.XLOOKUP(B830,'Country codes &amp; Data sources'!G:G,'Country codes &amp; Data sources'!H:H,,0)</f>
        <v>Senegal</v>
      </c>
      <c r="B830" s="85" t="s">
        <v>184</v>
      </c>
      <c r="C830" s="86">
        <v>13231845</v>
      </c>
      <c r="D830" s="85" t="s">
        <v>206</v>
      </c>
      <c r="E830" s="87">
        <v>0</v>
      </c>
      <c r="F830" s="88">
        <v>13595565.499999993</v>
      </c>
      <c r="G830" s="87">
        <v>0</v>
      </c>
      <c r="I830" s="87">
        <v>0</v>
      </c>
      <c r="K830" s="87">
        <v>0</v>
      </c>
      <c r="M830" s="87">
        <v>0</v>
      </c>
      <c r="O830" s="87">
        <v>0</v>
      </c>
      <c r="P830" s="88">
        <v>15574908.999999998</v>
      </c>
      <c r="Q830" s="87">
        <v>0</v>
      </c>
      <c r="R830" s="87">
        <f t="shared" si="216"/>
        <v>2543</v>
      </c>
      <c r="T830" s="87">
        <v>2112</v>
      </c>
      <c r="V830" s="87">
        <v>1482</v>
      </c>
      <c r="X830" s="87">
        <v>0</v>
      </c>
      <c r="Y830" s="88">
        <v>17316449</v>
      </c>
      <c r="Z830" s="87">
        <v>0</v>
      </c>
      <c r="AA830" s="87">
        <v>2543</v>
      </c>
      <c r="AB830" s="89">
        <f t="shared" si="217"/>
        <v>0</v>
      </c>
      <c r="AC830" s="89">
        <f t="shared" si="218"/>
        <v>2112</v>
      </c>
      <c r="AD830" s="89">
        <f t="shared" si="219"/>
        <v>1482</v>
      </c>
      <c r="AE830" s="90">
        <f t="shared" si="220"/>
        <v>0</v>
      </c>
      <c r="AF830" s="90" t="str">
        <f t="shared" si="221"/>
        <v/>
      </c>
      <c r="AG830" s="90">
        <f t="shared" si="222"/>
        <v>2543</v>
      </c>
      <c r="AH830" s="90" t="str">
        <f t="shared" si="223"/>
        <v>2018 (triag)</v>
      </c>
      <c r="AI830" s="90">
        <f t="shared" si="224"/>
        <v>1482</v>
      </c>
      <c r="AJ830" s="90">
        <f t="shared" si="225"/>
        <v>2020</v>
      </c>
      <c r="AK830" s="90" t="str">
        <f t="shared" si="226"/>
        <v>Adjust</v>
      </c>
      <c r="AL830" s="91">
        <f>IF(AK830="Adjust",(_xlfn.XLOOKUP(A830,'Adj factor'!A:A,'Adj factor'!I:I,,0)*AI830),'Master DataSheet'!AI830)</f>
        <v>1734.5511596180083</v>
      </c>
      <c r="AM830" s="91">
        <f t="shared" si="227"/>
        <v>2543</v>
      </c>
      <c r="AN830" s="92" t="str">
        <f t="shared" si="228"/>
        <v>Decreasing</v>
      </c>
      <c r="AO830" s="93">
        <f>VLOOKUP(B830,'Growthrates source'!A$2:H$49,8,FALSE)</f>
        <v>2.5918907427795013E-2</v>
      </c>
      <c r="AP830" s="93">
        <f>VLOOKUP(B830,'Growthrates source'!A$2:I$49,9,FALSE)</f>
        <v>7.7050082831477074E-2</v>
      </c>
      <c r="AQ830" s="86">
        <f t="shared" si="229"/>
        <v>2233.9022616311408</v>
      </c>
      <c r="AR830" s="86">
        <f t="shared" si="230"/>
        <v>3204.3034515225486</v>
      </c>
      <c r="AS830" s="94">
        <f t="shared" si="231"/>
        <v>0</v>
      </c>
      <c r="AT830" s="94">
        <f t="shared" si="232"/>
        <v>1.6327543229947605</v>
      </c>
      <c r="AU830" s="94">
        <f t="shared" si="233"/>
        <v>1.4685458895181107</v>
      </c>
    </row>
    <row r="831" spans="1:48" x14ac:dyDescent="0.3">
      <c r="A831" s="85" t="str">
        <f>_xlfn.XLOOKUP(B831,'Country codes &amp; Data sources'!G:G,'Country codes &amp; Data sources'!H:H,,0)</f>
        <v>Senegal</v>
      </c>
      <c r="B831" s="85" t="s">
        <v>184</v>
      </c>
      <c r="C831" s="86">
        <v>13231846</v>
      </c>
      <c r="D831" s="85" t="s">
        <v>136</v>
      </c>
      <c r="E831" s="87">
        <v>0</v>
      </c>
      <c r="F831" s="88">
        <v>13595565.499999993</v>
      </c>
      <c r="G831" s="87">
        <v>22</v>
      </c>
      <c r="I831" s="87">
        <v>0</v>
      </c>
      <c r="K831" s="87">
        <v>0</v>
      </c>
      <c r="M831" s="87">
        <v>78</v>
      </c>
      <c r="O831" s="87">
        <v>0</v>
      </c>
      <c r="P831" s="88">
        <v>15574908.999999998</v>
      </c>
      <c r="Q831" s="87">
        <v>0</v>
      </c>
      <c r="R831" s="87">
        <f t="shared" si="216"/>
        <v>542</v>
      </c>
      <c r="T831" s="87">
        <v>124</v>
      </c>
      <c r="V831" s="87">
        <v>121</v>
      </c>
      <c r="X831" s="87">
        <v>123</v>
      </c>
      <c r="Y831" s="88">
        <v>17316449</v>
      </c>
      <c r="Z831" s="87">
        <v>237</v>
      </c>
      <c r="AA831" s="87">
        <v>542</v>
      </c>
      <c r="AB831" s="89">
        <f t="shared" si="217"/>
        <v>22</v>
      </c>
      <c r="AC831" s="89">
        <f t="shared" si="218"/>
        <v>124</v>
      </c>
      <c r="AD831" s="89">
        <f t="shared" si="219"/>
        <v>237</v>
      </c>
      <c r="AE831" s="90">
        <f t="shared" si="220"/>
        <v>22</v>
      </c>
      <c r="AF831" s="90">
        <f t="shared" si="221"/>
        <v>2013</v>
      </c>
      <c r="AG831" s="90">
        <f t="shared" si="222"/>
        <v>542</v>
      </c>
      <c r="AH831" s="90" t="str">
        <f t="shared" si="223"/>
        <v>2018 (triag)</v>
      </c>
      <c r="AI831" s="90">
        <f t="shared" si="224"/>
        <v>237</v>
      </c>
      <c r="AJ831" s="90">
        <f t="shared" si="225"/>
        <v>2022</v>
      </c>
      <c r="AK831" s="90" t="str">
        <f t="shared" si="226"/>
        <v>Adjust</v>
      </c>
      <c r="AL831" s="91">
        <f>IF(AK831="Adjust",(_xlfn.XLOOKUP(A831,'Adj factor'!A:A,'Adj factor'!I:I,,0)*AI831),'Master DataSheet'!AI831)</f>
        <v>277.3877360522726</v>
      </c>
      <c r="AM831" s="91">
        <f t="shared" si="227"/>
        <v>542</v>
      </c>
      <c r="AN831" s="92" t="str">
        <f t="shared" si="228"/>
        <v>Decreasing</v>
      </c>
      <c r="AO831" s="93">
        <f>VLOOKUP(B831,'Growthrates source'!A$2:H$49,8,FALSE)</f>
        <v>2.5918907427795013E-2</v>
      </c>
      <c r="AP831" s="93">
        <f>VLOOKUP(B831,'Growthrates source'!A$2:I$49,9,FALSE)</f>
        <v>7.7050082831477074E-2</v>
      </c>
      <c r="AQ831" s="86">
        <f t="shared" si="229"/>
        <v>476.1207337019577</v>
      </c>
      <c r="AR831" s="86">
        <f t="shared" si="230"/>
        <v>682.9463117283608</v>
      </c>
      <c r="AS831" s="94">
        <f t="shared" si="231"/>
        <v>1.6181746908578397E-2</v>
      </c>
      <c r="AT831" s="94">
        <f t="shared" si="232"/>
        <v>0.34799561268704687</v>
      </c>
      <c r="AU831" s="94">
        <f t="shared" si="233"/>
        <v>0.31299719705812662</v>
      </c>
    </row>
    <row r="832" spans="1:48" x14ac:dyDescent="0.3">
      <c r="A832" s="85" t="str">
        <f>_xlfn.XLOOKUP(B832,'Country codes &amp; Data sources'!G:G,'Country codes &amp; Data sources'!H:H,,0)</f>
        <v>Senegal</v>
      </c>
      <c r="B832" s="85" t="s">
        <v>184</v>
      </c>
      <c r="C832" s="86">
        <v>13231847</v>
      </c>
      <c r="D832" s="85" t="s">
        <v>207</v>
      </c>
      <c r="E832" s="87">
        <v>0</v>
      </c>
      <c r="F832" s="88">
        <v>13595565.499999993</v>
      </c>
      <c r="G832" s="87">
        <v>0</v>
      </c>
      <c r="I832" s="87">
        <v>0</v>
      </c>
      <c r="K832" s="87">
        <v>0</v>
      </c>
      <c r="M832" s="87">
        <v>0</v>
      </c>
      <c r="O832" s="87">
        <v>0</v>
      </c>
      <c r="P832" s="88">
        <v>15574908.999999998</v>
      </c>
      <c r="Q832" s="87">
        <v>0</v>
      </c>
      <c r="R832" s="87">
        <f t="shared" si="216"/>
        <v>17</v>
      </c>
      <c r="T832" s="87">
        <v>123</v>
      </c>
      <c r="V832" s="87">
        <v>0</v>
      </c>
      <c r="X832" s="87">
        <v>2</v>
      </c>
      <c r="Y832" s="88">
        <v>17316449</v>
      </c>
      <c r="Z832" s="87">
        <v>0</v>
      </c>
      <c r="AA832" s="87">
        <v>17</v>
      </c>
      <c r="AB832" s="89">
        <f t="shared" si="217"/>
        <v>0</v>
      </c>
      <c r="AC832" s="89">
        <f t="shared" si="218"/>
        <v>123</v>
      </c>
      <c r="AD832" s="89">
        <f t="shared" si="219"/>
        <v>2</v>
      </c>
      <c r="AE832" s="90">
        <f t="shared" si="220"/>
        <v>0</v>
      </c>
      <c r="AF832" s="90" t="str">
        <f t="shared" si="221"/>
        <v/>
      </c>
      <c r="AG832" s="90">
        <f t="shared" si="222"/>
        <v>17</v>
      </c>
      <c r="AH832" s="90" t="str">
        <f t="shared" si="223"/>
        <v>2018 (triag)</v>
      </c>
      <c r="AI832" s="90">
        <f t="shared" si="224"/>
        <v>2</v>
      </c>
      <c r="AJ832" s="90">
        <f t="shared" si="225"/>
        <v>2021</v>
      </c>
      <c r="AK832" s="90" t="str">
        <f t="shared" si="226"/>
        <v>Adjust</v>
      </c>
      <c r="AL832" s="91">
        <f>IF(AK832="Adjust",(_xlfn.XLOOKUP(A832,'Adj factor'!A:A,'Adj factor'!I:I,,0)*AI832),'Master DataSheet'!AI832)</f>
        <v>2.3408247768124268</v>
      </c>
      <c r="AM832" s="91">
        <f t="shared" si="227"/>
        <v>17</v>
      </c>
      <c r="AN832" s="92" t="str">
        <f t="shared" si="228"/>
        <v>Decreasing</v>
      </c>
      <c r="AO832" s="93">
        <f>VLOOKUP(B832,'Growthrates source'!A$2:H$49,8,FALSE)</f>
        <v>2.5918907427795013E-2</v>
      </c>
      <c r="AP832" s="93">
        <f>VLOOKUP(B832,'Growthrates source'!A$2:I$49,9,FALSE)</f>
        <v>7.7050082831477074E-2</v>
      </c>
      <c r="AQ832" s="86">
        <f t="shared" si="229"/>
        <v>14.933676149323396</v>
      </c>
      <c r="AR832" s="86">
        <f t="shared" si="230"/>
        <v>21.420825275612792</v>
      </c>
      <c r="AS832" s="94">
        <f t="shared" si="231"/>
        <v>0</v>
      </c>
      <c r="AT832" s="94">
        <f t="shared" si="232"/>
        <v>1.0914991541844644E-2</v>
      </c>
      <c r="AU832" s="94">
        <f t="shared" si="233"/>
        <v>9.8172552582807254E-3</v>
      </c>
    </row>
    <row r="833" spans="1:47" x14ac:dyDescent="0.3">
      <c r="A833" s="85" t="str">
        <f>_xlfn.XLOOKUP(B833,'Country codes &amp; Data sources'!G:G,'Country codes &amp; Data sources'!H:H,,0)</f>
        <v>Senegal</v>
      </c>
      <c r="B833" s="85" t="s">
        <v>184</v>
      </c>
      <c r="C833" s="86">
        <v>13231848</v>
      </c>
      <c r="D833" s="85" t="s">
        <v>141</v>
      </c>
      <c r="E833" s="87">
        <v>0</v>
      </c>
      <c r="F833" s="88">
        <v>13595565.499999993</v>
      </c>
      <c r="G833" s="87">
        <v>0</v>
      </c>
      <c r="I833" s="87">
        <v>0</v>
      </c>
      <c r="K833" s="87">
        <v>0</v>
      </c>
      <c r="M833" s="87">
        <v>0</v>
      </c>
      <c r="O833" s="87">
        <v>0</v>
      </c>
      <c r="P833" s="88">
        <v>15574908.999999998</v>
      </c>
      <c r="Q833" s="87">
        <v>0</v>
      </c>
      <c r="R833" s="87">
        <f t="shared" si="216"/>
        <v>108</v>
      </c>
      <c r="T833" s="87">
        <v>1</v>
      </c>
      <c r="V833" s="87">
        <v>0</v>
      </c>
      <c r="X833" s="87">
        <v>107</v>
      </c>
      <c r="Y833" s="88">
        <v>17316449</v>
      </c>
      <c r="Z833" s="87">
        <v>0</v>
      </c>
      <c r="AA833" s="87">
        <v>108</v>
      </c>
      <c r="AB833" s="89">
        <f t="shared" si="217"/>
        <v>0</v>
      </c>
      <c r="AC833" s="89">
        <f t="shared" si="218"/>
        <v>1</v>
      </c>
      <c r="AD833" s="89">
        <f t="shared" si="219"/>
        <v>107</v>
      </c>
      <c r="AE833" s="90">
        <f t="shared" si="220"/>
        <v>0</v>
      </c>
      <c r="AF833" s="90" t="str">
        <f t="shared" si="221"/>
        <v/>
      </c>
      <c r="AG833" s="90">
        <f t="shared" si="222"/>
        <v>108</v>
      </c>
      <c r="AH833" s="90" t="str">
        <f t="shared" si="223"/>
        <v>2018 (triag)</v>
      </c>
      <c r="AI833" s="90">
        <f t="shared" si="224"/>
        <v>107</v>
      </c>
      <c r="AJ833" s="90">
        <f t="shared" si="225"/>
        <v>2021</v>
      </c>
      <c r="AK833" s="90" t="str">
        <f t="shared" si="226"/>
        <v>Adjust</v>
      </c>
      <c r="AL833" s="91">
        <f>IF(AK833="Adjust",(_xlfn.XLOOKUP(A833,'Adj factor'!A:A,'Adj factor'!I:I,,0)*AI833),'Master DataSheet'!AI833)</f>
        <v>125.23412555946484</v>
      </c>
      <c r="AM833" s="91">
        <f t="shared" si="227"/>
        <v>125.23412555946484</v>
      </c>
      <c r="AN833" s="92" t="str">
        <f t="shared" si="228"/>
        <v>Increasing</v>
      </c>
      <c r="AO833" s="93">
        <f>VLOOKUP(B833,'Growthrates source'!A$2:H$49,8,FALSE)</f>
        <v>2.5918907427795013E-2</v>
      </c>
      <c r="AP833" s="93">
        <f>VLOOKUP(B833,'Growthrates source'!A$2:I$49,9,FALSE)</f>
        <v>7.7050082831477074E-2</v>
      </c>
      <c r="AQ833" s="86">
        <f t="shared" si="229"/>
        <v>94.872766125113344</v>
      </c>
      <c r="AR833" s="86">
        <f t="shared" si="230"/>
        <v>136.08524292742243</v>
      </c>
      <c r="AS833" s="94">
        <f t="shared" si="231"/>
        <v>0</v>
      </c>
      <c r="AT833" s="94">
        <f t="shared" si="232"/>
        <v>6.9342299207013028E-2</v>
      </c>
      <c r="AU833" s="94">
        <f t="shared" si="233"/>
        <v>7.2320904568520278E-2</v>
      </c>
    </row>
    <row r="834" spans="1:47" x14ac:dyDescent="0.3">
      <c r="A834" s="85" t="str">
        <f>_xlfn.XLOOKUP(B834,'Country codes &amp; Data sources'!G:G,'Country codes &amp; Data sources'!H:H,,0)</f>
        <v>Senegal</v>
      </c>
      <c r="B834" s="85" t="s">
        <v>184</v>
      </c>
      <c r="C834" s="86">
        <v>13231849</v>
      </c>
      <c r="D834" s="85" t="s">
        <v>208</v>
      </c>
      <c r="E834" s="87">
        <v>0</v>
      </c>
      <c r="F834" s="88">
        <v>13595565.499999993</v>
      </c>
      <c r="G834" s="87">
        <v>0</v>
      </c>
      <c r="I834" s="87">
        <v>0</v>
      </c>
      <c r="K834" s="87">
        <v>0</v>
      </c>
      <c r="M834" s="87">
        <v>0</v>
      </c>
      <c r="O834" s="87">
        <v>0</v>
      </c>
      <c r="P834" s="88">
        <v>15574908.999999998</v>
      </c>
      <c r="Q834" s="87">
        <v>0</v>
      </c>
      <c r="R834" s="87">
        <f t="shared" si="216"/>
        <v>5868</v>
      </c>
      <c r="T834" s="87">
        <v>3647</v>
      </c>
      <c r="V834" s="87">
        <v>0</v>
      </c>
      <c r="X834" s="87">
        <v>16</v>
      </c>
      <c r="Y834" s="88">
        <v>17316449</v>
      </c>
      <c r="Z834" s="87">
        <v>0</v>
      </c>
      <c r="AA834" s="87">
        <v>5868</v>
      </c>
      <c r="AB834" s="89">
        <f t="shared" si="217"/>
        <v>0</v>
      </c>
      <c r="AC834" s="89">
        <f t="shared" si="218"/>
        <v>3647</v>
      </c>
      <c r="AD834" s="89">
        <f t="shared" si="219"/>
        <v>16</v>
      </c>
      <c r="AE834" s="90">
        <f t="shared" si="220"/>
        <v>0</v>
      </c>
      <c r="AF834" s="90" t="str">
        <f t="shared" si="221"/>
        <v/>
      </c>
      <c r="AG834" s="90">
        <f t="shared" si="222"/>
        <v>5868</v>
      </c>
      <c r="AH834" s="90" t="str">
        <f t="shared" si="223"/>
        <v>2018 (triag)</v>
      </c>
      <c r="AI834" s="90">
        <f t="shared" si="224"/>
        <v>16</v>
      </c>
      <c r="AJ834" s="90">
        <f t="shared" si="225"/>
        <v>2021</v>
      </c>
      <c r="AK834" s="90" t="str">
        <f t="shared" si="226"/>
        <v>Adjust</v>
      </c>
      <c r="AL834" s="91">
        <f>IF(AK834="Adjust",(_xlfn.XLOOKUP(A834,'Adj factor'!A:A,'Adj factor'!I:I,,0)*AI834),'Master DataSheet'!AI834)</f>
        <v>18.726598214499415</v>
      </c>
      <c r="AM834" s="91">
        <f t="shared" si="227"/>
        <v>5868</v>
      </c>
      <c r="AN834" s="92" t="str">
        <f t="shared" si="228"/>
        <v>Decreasing</v>
      </c>
      <c r="AO834" s="93">
        <f>VLOOKUP(B834,'Growthrates source'!A$2:H$49,8,FALSE)</f>
        <v>2.5918907427795013E-2</v>
      </c>
      <c r="AP834" s="93">
        <f>VLOOKUP(B834,'Growthrates source'!A$2:I$49,9,FALSE)</f>
        <v>7.7050082831477074E-2</v>
      </c>
      <c r="AQ834" s="86">
        <f t="shared" si="229"/>
        <v>5154.7536261311579</v>
      </c>
      <c r="AR834" s="86">
        <f t="shared" si="230"/>
        <v>7393.9648657232856</v>
      </c>
      <c r="AS834" s="94">
        <f t="shared" si="231"/>
        <v>0</v>
      </c>
      <c r="AT834" s="94">
        <f t="shared" si="232"/>
        <v>3.7675982569143747</v>
      </c>
      <c r="AU834" s="94">
        <f t="shared" si="233"/>
        <v>3.3886855209171349</v>
      </c>
    </row>
    <row r="835" spans="1:47" x14ac:dyDescent="0.3">
      <c r="A835" s="85" t="str">
        <f>_xlfn.XLOOKUP(B835,'Country codes &amp; Data sources'!G:G,'Country codes &amp; Data sources'!H:H,,0)</f>
        <v>Senegal</v>
      </c>
      <c r="B835" s="85" t="s">
        <v>184</v>
      </c>
      <c r="C835" s="86">
        <v>13231850</v>
      </c>
      <c r="D835" s="85" t="s">
        <v>209</v>
      </c>
      <c r="E835" s="87">
        <v>0</v>
      </c>
      <c r="F835" s="88">
        <v>13595565.499999993</v>
      </c>
      <c r="G835" s="87">
        <v>0</v>
      </c>
      <c r="I835" s="87">
        <v>0</v>
      </c>
      <c r="K835" s="87">
        <v>0</v>
      </c>
      <c r="M835" s="87">
        <v>0</v>
      </c>
      <c r="O835" s="87">
        <v>0</v>
      </c>
      <c r="P835" s="88">
        <v>15574908.999999998</v>
      </c>
      <c r="Q835" s="87">
        <v>0</v>
      </c>
      <c r="R835" s="87">
        <f t="shared" ref="R835:R898" si="234">MAX(Q835,AA835)</f>
        <v>0</v>
      </c>
      <c r="T835" s="87">
        <v>1722</v>
      </c>
      <c r="V835" s="87">
        <v>0</v>
      </c>
      <c r="X835" s="87">
        <v>344</v>
      </c>
      <c r="Y835" s="88">
        <v>17316449</v>
      </c>
      <c r="Z835" s="87">
        <v>0</v>
      </c>
      <c r="AA835" s="87">
        <v>0</v>
      </c>
      <c r="AB835" s="89">
        <f t="shared" ref="AB835:AB898" si="235">MAX(G835,E835,I835,K835)</f>
        <v>0</v>
      </c>
      <c r="AC835" s="89">
        <f t="shared" ref="AC835:AC898" si="236">MAX(M835,O835,Q835,T835)</f>
        <v>1722</v>
      </c>
      <c r="AD835" s="89">
        <f t="shared" ref="AD835:AD898" si="237">MAX(V835,X835,Z835)</f>
        <v>344</v>
      </c>
      <c r="AE835" s="90">
        <f t="shared" ref="AE835:AE898" si="238">IF(G835&gt;0,G835,IF(E835&gt;0,E835,IF(I835&gt;0,I835,K835)))</f>
        <v>0</v>
      </c>
      <c r="AF835" s="90" t="str">
        <f t="shared" ref="AF835:AF898" si="239">IF(AE835&gt;0,_xlfn.XLOOKUP(AE835,$B835:$K835,$B$1:$K$1,,0),"")</f>
        <v/>
      </c>
      <c r="AG835" s="90">
        <f t="shared" ref="AG835:AG898" si="240">IF(R835&gt;0,R835,IF(O835&gt;0,O835,T835))</f>
        <v>1722</v>
      </c>
      <c r="AH835" s="90">
        <f t="shared" ref="AH835:AH898" si="241">IF(AG835&gt;0,_xlfn.XLOOKUP(AG835,$L835:$T835,$L$1:$T$1,,0),"")</f>
        <v>2019</v>
      </c>
      <c r="AI835" s="90">
        <f t="shared" ref="AI835:AI898" si="242">IF((IF(Z835&gt;0,Z835,IF(X835&gt;0,X835,IF(V835&gt;0,V835,T835))))=0,AG835,IF(Z835&gt;0,Z835,IF(X835&gt;0,X835,IF(V835&gt;0,V835,T835))))</f>
        <v>344</v>
      </c>
      <c r="AJ835" s="90">
        <f t="shared" ref="AJ835:AJ898" si="243">IFERROR(IF(AI835&gt;0,_xlfn.XLOOKUP(AI835,$V835:$Z835,$V$1:$Z$1,,0),""),AH835)</f>
        <v>2021</v>
      </c>
      <c r="AK835" s="90" t="str">
        <f t="shared" ref="AK835:AK898" si="244">IF(AI835&lt;AG835,"Adjust","")</f>
        <v>Adjust</v>
      </c>
      <c r="AL835" s="91">
        <f>IF(AK835="Adjust",(_xlfn.XLOOKUP(A835,'Adj factor'!A:A,'Adj factor'!I:I,,0)*AI835),'Master DataSheet'!AI835)</f>
        <v>402.62186161173742</v>
      </c>
      <c r="AM835" s="91">
        <f t="shared" ref="AM835:AM898" si="245">IF(AL835&lt;AG835,AG835,AL835)</f>
        <v>1722</v>
      </c>
      <c r="AN835" s="92" t="str">
        <f t="shared" ref="AN835:AN898" si="246">IF(AL835&gt;AG835,"Increasing",IF(AL835&lt;AG835,"Decreasing","No change"))</f>
        <v>Decreasing</v>
      </c>
      <c r="AO835" s="93">
        <f>VLOOKUP(B835,'Growthrates source'!A$2:H$49,8,FALSE)</f>
        <v>2.5918907427795013E-2</v>
      </c>
      <c r="AP835" s="93">
        <f>VLOOKUP(B835,'Growthrates source'!A$2:I$49,9,FALSE)</f>
        <v>7.7050082831477074E-2</v>
      </c>
      <c r="AQ835" s="86">
        <f t="shared" ref="AQ835:AQ898" si="247">AA835/(EXP(AO835*5))</f>
        <v>0</v>
      </c>
      <c r="AR835" s="86">
        <f t="shared" ref="AR835:AR898" si="248">AA835*EXP(AP835*3)</f>
        <v>0</v>
      </c>
      <c r="AS835" s="94">
        <f t="shared" ref="AS835:AS898" si="249">(AE835*10000)/F835</f>
        <v>0</v>
      </c>
      <c r="AT835" s="94">
        <f t="shared" ref="AT835:AT898" si="250">(AG835*10000)/P835</f>
        <v>1.1056244373562634</v>
      </c>
      <c r="AU835" s="94">
        <f t="shared" ref="AU835:AU898" si="251">(AM835*10000)/Y835</f>
        <v>0.99443020910349456</v>
      </c>
    </row>
    <row r="836" spans="1:47" x14ac:dyDescent="0.3">
      <c r="A836" s="85" t="str">
        <f>_xlfn.XLOOKUP(B836,'Country codes &amp; Data sources'!G:G,'Country codes &amp; Data sources'!H:H,,0)</f>
        <v>Senegal</v>
      </c>
      <c r="B836" s="85" t="s">
        <v>184</v>
      </c>
      <c r="C836" s="86">
        <v>13231851</v>
      </c>
      <c r="D836" s="85" t="s">
        <v>134</v>
      </c>
      <c r="E836" s="87">
        <v>0</v>
      </c>
      <c r="F836" s="88">
        <v>13595565.499999993</v>
      </c>
      <c r="G836" s="87">
        <v>546</v>
      </c>
      <c r="I836" s="87">
        <v>0</v>
      </c>
      <c r="K836" s="87">
        <v>0</v>
      </c>
      <c r="M836" s="87">
        <v>37</v>
      </c>
      <c r="O836" s="87">
        <v>0</v>
      </c>
      <c r="P836" s="88">
        <v>15574908.999999998</v>
      </c>
      <c r="Q836" s="87">
        <v>0</v>
      </c>
      <c r="R836" s="87">
        <f t="shared" si="234"/>
        <v>328</v>
      </c>
      <c r="T836" s="87">
        <v>0</v>
      </c>
      <c r="V836" s="87">
        <v>323</v>
      </c>
      <c r="X836" s="87">
        <v>14</v>
      </c>
      <c r="Y836" s="88">
        <v>17316449</v>
      </c>
      <c r="Z836" s="87">
        <v>252</v>
      </c>
      <c r="AA836" s="87">
        <v>328</v>
      </c>
      <c r="AB836" s="89">
        <f t="shared" si="235"/>
        <v>546</v>
      </c>
      <c r="AC836" s="89">
        <f t="shared" si="236"/>
        <v>37</v>
      </c>
      <c r="AD836" s="89">
        <f t="shared" si="237"/>
        <v>323</v>
      </c>
      <c r="AE836" s="90">
        <f t="shared" si="238"/>
        <v>546</v>
      </c>
      <c r="AF836" s="90">
        <f t="shared" si="239"/>
        <v>2013</v>
      </c>
      <c r="AG836" s="90">
        <f t="shared" si="240"/>
        <v>328</v>
      </c>
      <c r="AH836" s="90" t="str">
        <f t="shared" si="241"/>
        <v>2018 (triag)</v>
      </c>
      <c r="AI836" s="90">
        <f t="shared" si="242"/>
        <v>252</v>
      </c>
      <c r="AJ836" s="90">
        <f t="shared" si="243"/>
        <v>2022</v>
      </c>
      <c r="AK836" s="90" t="str">
        <f t="shared" si="244"/>
        <v>Adjust</v>
      </c>
      <c r="AL836" s="91">
        <f>IF(AK836="Adjust",(_xlfn.XLOOKUP(A836,'Adj factor'!A:A,'Adj factor'!I:I,,0)*AI836),'Master DataSheet'!AI836)</f>
        <v>294.94392187836576</v>
      </c>
      <c r="AM836" s="91">
        <f t="shared" si="245"/>
        <v>328</v>
      </c>
      <c r="AN836" s="92" t="str">
        <f t="shared" si="246"/>
        <v>Decreasing</v>
      </c>
      <c r="AO836" s="93">
        <f>VLOOKUP(B836,'Growthrates source'!A$2:H$49,8,FALSE)</f>
        <v>2.5918907427795013E-2</v>
      </c>
      <c r="AP836" s="93">
        <f>VLOOKUP(B836,'Growthrates source'!A$2:I$49,9,FALSE)</f>
        <v>7.7050082831477074E-2</v>
      </c>
      <c r="AQ836" s="86">
        <f t="shared" si="247"/>
        <v>288.132104528122</v>
      </c>
      <c r="AR836" s="86">
        <f t="shared" si="248"/>
        <v>413.29592296476443</v>
      </c>
      <c r="AS836" s="94">
        <f t="shared" si="249"/>
        <v>0.40160153691290024</v>
      </c>
      <c r="AT836" s="94">
        <f t="shared" si="250"/>
        <v>0.21059513092500254</v>
      </c>
      <c r="AU836" s="94">
        <f t="shared" si="251"/>
        <v>0.18941527792447516</v>
      </c>
    </row>
    <row r="837" spans="1:47" x14ac:dyDescent="0.3">
      <c r="A837" s="85" t="str">
        <f>_xlfn.XLOOKUP(B837,'Country codes &amp; Data sources'!G:G,'Country codes &amp; Data sources'!H:H,,0)</f>
        <v>Senegal</v>
      </c>
      <c r="B837" s="85" t="s">
        <v>184</v>
      </c>
      <c r="C837" s="86">
        <v>13231852</v>
      </c>
      <c r="D837" s="85" t="s">
        <v>142</v>
      </c>
      <c r="E837" s="87">
        <v>0</v>
      </c>
      <c r="F837" s="88">
        <v>13595565.499999993</v>
      </c>
      <c r="G837" s="87">
        <v>11</v>
      </c>
      <c r="I837" s="87">
        <v>0</v>
      </c>
      <c r="K837" s="87">
        <v>0</v>
      </c>
      <c r="M837" s="87">
        <v>0</v>
      </c>
      <c r="O837" s="87">
        <v>0</v>
      </c>
      <c r="P837" s="88">
        <v>15574908.999999998</v>
      </c>
      <c r="Q837" s="87">
        <v>0</v>
      </c>
      <c r="R837" s="87">
        <f t="shared" si="234"/>
        <v>505</v>
      </c>
      <c r="T837" s="87">
        <v>2352</v>
      </c>
      <c r="V837" s="87">
        <v>662</v>
      </c>
      <c r="X837" s="87">
        <v>917</v>
      </c>
      <c r="Y837" s="88">
        <v>17316449</v>
      </c>
      <c r="Z837" s="87">
        <v>1083</v>
      </c>
      <c r="AA837" s="87">
        <v>505</v>
      </c>
      <c r="AB837" s="89">
        <f t="shared" si="235"/>
        <v>11</v>
      </c>
      <c r="AC837" s="89">
        <f t="shared" si="236"/>
        <v>2352</v>
      </c>
      <c r="AD837" s="89">
        <f t="shared" si="237"/>
        <v>1083</v>
      </c>
      <c r="AE837" s="90">
        <f t="shared" si="238"/>
        <v>11</v>
      </c>
      <c r="AF837" s="90">
        <f t="shared" si="239"/>
        <v>2013</v>
      </c>
      <c r="AG837" s="90">
        <f t="shared" si="240"/>
        <v>505</v>
      </c>
      <c r="AH837" s="90" t="str">
        <f t="shared" si="241"/>
        <v>2018 (triag)</v>
      </c>
      <c r="AI837" s="90">
        <f t="shared" si="242"/>
        <v>1083</v>
      </c>
      <c r="AJ837" s="90">
        <f t="shared" si="243"/>
        <v>2022</v>
      </c>
      <c r="AK837" s="90" t="str">
        <f t="shared" si="244"/>
        <v/>
      </c>
      <c r="AL837" s="91">
        <f>IF(AK837="Adjust",(_xlfn.XLOOKUP(A837,'Adj factor'!A:A,'Adj factor'!I:I,,0)*AI837),'Master DataSheet'!AI837)</f>
        <v>1083</v>
      </c>
      <c r="AM837" s="91">
        <f t="shared" si="245"/>
        <v>1083</v>
      </c>
      <c r="AN837" s="92" t="str">
        <f t="shared" si="246"/>
        <v>Increasing</v>
      </c>
      <c r="AO837" s="93">
        <f>VLOOKUP(B837,'Growthrates source'!A$2:H$49,8,FALSE)</f>
        <v>2.5918907427795013E-2</v>
      </c>
      <c r="AP837" s="93">
        <f>VLOOKUP(B837,'Growthrates source'!A$2:I$49,9,FALSE)</f>
        <v>7.7050082831477074E-2</v>
      </c>
      <c r="AQ837" s="86">
        <f t="shared" si="247"/>
        <v>443.61802678872442</v>
      </c>
      <c r="AR837" s="86">
        <f t="shared" si="248"/>
        <v>636.32451554026227</v>
      </c>
      <c r="AS837" s="94">
        <f t="shared" si="249"/>
        <v>8.0908734542891984E-3</v>
      </c>
      <c r="AT837" s="94">
        <f t="shared" si="250"/>
        <v>0.324239454625385</v>
      </c>
      <c r="AU837" s="94">
        <f t="shared" si="251"/>
        <v>0.62541690851282505</v>
      </c>
    </row>
    <row r="838" spans="1:47" x14ac:dyDescent="0.3">
      <c r="A838" s="85" t="str">
        <f>_xlfn.XLOOKUP(B838,'Country codes &amp; Data sources'!G:G,'Country codes &amp; Data sources'!H:H,,0)</f>
        <v>Senegal</v>
      </c>
      <c r="B838" s="85" t="s">
        <v>184</v>
      </c>
      <c r="C838" s="86">
        <v>13231853</v>
      </c>
      <c r="D838" s="85" t="s">
        <v>83</v>
      </c>
      <c r="E838" s="87">
        <v>0</v>
      </c>
      <c r="F838" s="88">
        <v>13595565.499999993</v>
      </c>
      <c r="G838" s="87">
        <v>11</v>
      </c>
      <c r="I838" s="87">
        <v>0</v>
      </c>
      <c r="K838" s="87">
        <v>0</v>
      </c>
      <c r="M838" s="87">
        <v>0</v>
      </c>
      <c r="O838" s="87">
        <v>0</v>
      </c>
      <c r="P838" s="88">
        <v>15574908.999999998</v>
      </c>
      <c r="Q838" s="87">
        <v>0</v>
      </c>
      <c r="R838" s="87">
        <f t="shared" si="234"/>
        <v>0</v>
      </c>
      <c r="T838" s="87">
        <v>0</v>
      </c>
      <c r="V838" s="87">
        <v>98</v>
      </c>
      <c r="X838" s="87">
        <v>0</v>
      </c>
      <c r="Y838" s="88">
        <v>17316449</v>
      </c>
      <c r="Z838" s="87">
        <v>94</v>
      </c>
      <c r="AA838" s="87">
        <v>0</v>
      </c>
      <c r="AB838" s="89">
        <f t="shared" si="235"/>
        <v>11</v>
      </c>
      <c r="AC838" s="89">
        <f t="shared" si="236"/>
        <v>0</v>
      </c>
      <c r="AD838" s="89">
        <f t="shared" si="237"/>
        <v>98</v>
      </c>
      <c r="AE838" s="90">
        <f t="shared" si="238"/>
        <v>11</v>
      </c>
      <c r="AF838" s="90">
        <f t="shared" si="239"/>
        <v>2013</v>
      </c>
      <c r="AG838" s="90">
        <f t="shared" si="240"/>
        <v>0</v>
      </c>
      <c r="AH838" s="90" t="str">
        <f t="shared" si="241"/>
        <v/>
      </c>
      <c r="AI838" s="90">
        <f t="shared" si="242"/>
        <v>94</v>
      </c>
      <c r="AJ838" s="90">
        <f t="shared" si="243"/>
        <v>2022</v>
      </c>
      <c r="AK838" s="90" t="str">
        <f t="shared" si="244"/>
        <v/>
      </c>
      <c r="AL838" s="91">
        <f>IF(AK838="Adjust",(_xlfn.XLOOKUP(A838,'Adj factor'!A:A,'Adj factor'!I:I,,0)*AI838),'Master DataSheet'!AI838)</f>
        <v>94</v>
      </c>
      <c r="AM838" s="91">
        <f t="shared" si="245"/>
        <v>94</v>
      </c>
      <c r="AN838" s="92" t="str">
        <f t="shared" si="246"/>
        <v>Increasing</v>
      </c>
      <c r="AO838" s="93">
        <f>VLOOKUP(B838,'Growthrates source'!A$2:H$49,8,FALSE)</f>
        <v>2.5918907427795013E-2</v>
      </c>
      <c r="AP838" s="93">
        <f>VLOOKUP(B838,'Growthrates source'!A$2:I$49,9,FALSE)</f>
        <v>7.7050082831477074E-2</v>
      </c>
      <c r="AQ838" s="86">
        <f t="shared" si="247"/>
        <v>0</v>
      </c>
      <c r="AR838" s="86">
        <f t="shared" si="248"/>
        <v>0</v>
      </c>
      <c r="AS838" s="94">
        <f t="shared" si="249"/>
        <v>8.0908734542891984E-3</v>
      </c>
      <c r="AT838" s="94">
        <f t="shared" si="250"/>
        <v>0</v>
      </c>
      <c r="AU838" s="94">
        <f t="shared" si="251"/>
        <v>5.4283646722258126E-2</v>
      </c>
    </row>
    <row r="839" spans="1:47" x14ac:dyDescent="0.3">
      <c r="A839" s="85" t="str">
        <f>_xlfn.XLOOKUP(B839,'Country codes &amp; Data sources'!G:G,'Country codes &amp; Data sources'!H:H,,0)</f>
        <v>Senegal</v>
      </c>
      <c r="B839" s="85" t="s">
        <v>184</v>
      </c>
      <c r="C839" s="86">
        <v>13231854</v>
      </c>
      <c r="D839" s="85" t="s">
        <v>84</v>
      </c>
      <c r="E839" s="87">
        <v>0</v>
      </c>
      <c r="F839" s="88">
        <v>13595565.499999993</v>
      </c>
      <c r="G839" s="87">
        <v>0</v>
      </c>
      <c r="I839" s="87">
        <v>0</v>
      </c>
      <c r="K839" s="87">
        <v>0</v>
      </c>
      <c r="M839" s="87">
        <v>0</v>
      </c>
      <c r="O839" s="87">
        <v>0</v>
      </c>
      <c r="P839" s="88">
        <v>15574908.999999998</v>
      </c>
      <c r="Q839" s="87">
        <v>0</v>
      </c>
      <c r="R839" s="87">
        <f t="shared" si="234"/>
        <v>0</v>
      </c>
      <c r="T839" s="87">
        <v>402</v>
      </c>
      <c r="V839" s="87">
        <v>491</v>
      </c>
      <c r="X839" s="87">
        <v>173</v>
      </c>
      <c r="Y839" s="88">
        <v>17316449</v>
      </c>
      <c r="Z839" s="87">
        <v>543</v>
      </c>
      <c r="AA839" s="87">
        <v>0</v>
      </c>
      <c r="AB839" s="89">
        <f t="shared" si="235"/>
        <v>0</v>
      </c>
      <c r="AC839" s="89">
        <f t="shared" si="236"/>
        <v>402</v>
      </c>
      <c r="AD839" s="89">
        <f t="shared" si="237"/>
        <v>543</v>
      </c>
      <c r="AE839" s="90">
        <f t="shared" si="238"/>
        <v>0</v>
      </c>
      <c r="AF839" s="90" t="str">
        <f t="shared" si="239"/>
        <v/>
      </c>
      <c r="AG839" s="90">
        <f t="shared" si="240"/>
        <v>402</v>
      </c>
      <c r="AH839" s="90">
        <f t="shared" si="241"/>
        <v>2019</v>
      </c>
      <c r="AI839" s="90">
        <f t="shared" si="242"/>
        <v>543</v>
      </c>
      <c r="AJ839" s="90">
        <f t="shared" si="243"/>
        <v>2022</v>
      </c>
      <c r="AK839" s="90" t="str">
        <f t="shared" si="244"/>
        <v/>
      </c>
      <c r="AL839" s="91">
        <f>IF(AK839="Adjust",(_xlfn.XLOOKUP(A839,'Adj factor'!A:A,'Adj factor'!I:I,,0)*AI839),'Master DataSheet'!AI839)</f>
        <v>543</v>
      </c>
      <c r="AM839" s="91">
        <f t="shared" si="245"/>
        <v>543</v>
      </c>
      <c r="AN839" s="92" t="str">
        <f t="shared" si="246"/>
        <v>Increasing</v>
      </c>
      <c r="AO839" s="93">
        <f>VLOOKUP(B839,'Growthrates source'!A$2:H$49,8,FALSE)</f>
        <v>2.5918907427795013E-2</v>
      </c>
      <c r="AP839" s="93">
        <f>VLOOKUP(B839,'Growthrates source'!A$2:I$49,9,FALSE)</f>
        <v>7.7050082831477074E-2</v>
      </c>
      <c r="AQ839" s="86">
        <f t="shared" si="247"/>
        <v>0</v>
      </c>
      <c r="AR839" s="86">
        <f t="shared" si="248"/>
        <v>0</v>
      </c>
      <c r="AS839" s="94">
        <f t="shared" si="249"/>
        <v>0</v>
      </c>
      <c r="AT839" s="94">
        <f t="shared" si="250"/>
        <v>0.25810744704832628</v>
      </c>
      <c r="AU839" s="94">
        <f t="shared" si="251"/>
        <v>0.31357468266155492</v>
      </c>
    </row>
    <row r="840" spans="1:47" x14ac:dyDescent="0.3">
      <c r="A840" s="85" t="str">
        <f>_xlfn.XLOOKUP(B840,'Country codes &amp; Data sources'!G:G,'Country codes &amp; Data sources'!H:H,,0)</f>
        <v>Senegal</v>
      </c>
      <c r="B840" s="85" t="s">
        <v>184</v>
      </c>
      <c r="C840" s="86">
        <v>13231855</v>
      </c>
      <c r="D840" s="85" t="s">
        <v>126</v>
      </c>
      <c r="E840" s="87">
        <v>0</v>
      </c>
      <c r="F840" s="88">
        <v>13595565.499999993</v>
      </c>
      <c r="G840" s="87">
        <v>0</v>
      </c>
      <c r="I840" s="87">
        <v>0</v>
      </c>
      <c r="K840" s="87">
        <v>0</v>
      </c>
      <c r="M840" s="87">
        <v>0</v>
      </c>
      <c r="O840" s="87">
        <v>0</v>
      </c>
      <c r="P840" s="88">
        <v>15574908.999999998</v>
      </c>
      <c r="Q840" s="87">
        <v>0</v>
      </c>
      <c r="R840" s="87">
        <f t="shared" si="234"/>
        <v>0</v>
      </c>
      <c r="T840" s="87">
        <v>2</v>
      </c>
      <c r="V840" s="87">
        <v>1</v>
      </c>
      <c r="X840" s="87">
        <v>0</v>
      </c>
      <c r="Y840" s="88">
        <v>17316449</v>
      </c>
      <c r="Z840" s="87">
        <v>0</v>
      </c>
      <c r="AA840" s="87">
        <v>0</v>
      </c>
      <c r="AB840" s="89">
        <f t="shared" si="235"/>
        <v>0</v>
      </c>
      <c r="AC840" s="89">
        <f t="shared" si="236"/>
        <v>2</v>
      </c>
      <c r="AD840" s="89">
        <f t="shared" si="237"/>
        <v>1</v>
      </c>
      <c r="AE840" s="90">
        <f t="shared" si="238"/>
        <v>0</v>
      </c>
      <c r="AF840" s="90" t="str">
        <f t="shared" si="239"/>
        <v/>
      </c>
      <c r="AG840" s="90">
        <f t="shared" si="240"/>
        <v>2</v>
      </c>
      <c r="AH840" s="90">
        <f t="shared" si="241"/>
        <v>2019</v>
      </c>
      <c r="AI840" s="90">
        <f t="shared" si="242"/>
        <v>1</v>
      </c>
      <c r="AJ840" s="90">
        <f t="shared" si="243"/>
        <v>2020</v>
      </c>
      <c r="AK840" s="90" t="str">
        <f t="shared" si="244"/>
        <v>Adjust</v>
      </c>
      <c r="AL840" s="91">
        <f>IF(AK840="Adjust",(_xlfn.XLOOKUP(A840,'Adj factor'!A:A,'Adj factor'!I:I,,0)*AI840),'Master DataSheet'!AI840)</f>
        <v>1.1704123884062134</v>
      </c>
      <c r="AM840" s="91">
        <f t="shared" si="245"/>
        <v>2</v>
      </c>
      <c r="AN840" s="92" t="str">
        <f t="shared" si="246"/>
        <v>Decreasing</v>
      </c>
      <c r="AO840" s="93">
        <f>VLOOKUP(B840,'Growthrates source'!A$2:H$49,8,FALSE)</f>
        <v>2.5918907427795013E-2</v>
      </c>
      <c r="AP840" s="93">
        <f>VLOOKUP(B840,'Growthrates source'!A$2:I$49,9,FALSE)</f>
        <v>7.7050082831477074E-2</v>
      </c>
      <c r="AQ840" s="86">
        <f t="shared" si="247"/>
        <v>0</v>
      </c>
      <c r="AR840" s="86">
        <f t="shared" si="248"/>
        <v>0</v>
      </c>
      <c r="AS840" s="94">
        <f t="shared" si="249"/>
        <v>0</v>
      </c>
      <c r="AT840" s="94">
        <f t="shared" si="250"/>
        <v>1.2841166519817228E-3</v>
      </c>
      <c r="AU840" s="94">
        <f t="shared" si="251"/>
        <v>1.1549712068565558E-3</v>
      </c>
    </row>
    <row r="841" spans="1:47" x14ac:dyDescent="0.3">
      <c r="A841" s="85" t="str">
        <f>_xlfn.XLOOKUP(B841,'Country codes &amp; Data sources'!G:G,'Country codes &amp; Data sources'!H:H,,0)</f>
        <v>Senegal</v>
      </c>
      <c r="B841" s="85" t="s">
        <v>184</v>
      </c>
      <c r="C841" s="86">
        <v>13231856</v>
      </c>
      <c r="D841" s="85" t="s">
        <v>87</v>
      </c>
      <c r="E841" s="87">
        <v>0</v>
      </c>
      <c r="F841" s="88">
        <v>13595565.499999993</v>
      </c>
      <c r="G841" s="87">
        <v>54</v>
      </c>
      <c r="I841" s="87">
        <v>0</v>
      </c>
      <c r="K841" s="87">
        <v>0</v>
      </c>
      <c r="M841" s="87">
        <v>0</v>
      </c>
      <c r="O841" s="87">
        <v>0</v>
      </c>
      <c r="P841" s="88">
        <v>15574908.999999998</v>
      </c>
      <c r="Q841" s="87">
        <v>0</v>
      </c>
      <c r="R841" s="87">
        <f t="shared" si="234"/>
        <v>0</v>
      </c>
      <c r="T841" s="87">
        <v>0</v>
      </c>
      <c r="V841" s="87">
        <v>0</v>
      </c>
      <c r="X841" s="87">
        <v>0</v>
      </c>
      <c r="Y841" s="88">
        <v>17316449</v>
      </c>
      <c r="Z841" s="87">
        <v>0</v>
      </c>
      <c r="AA841" s="87">
        <v>0</v>
      </c>
      <c r="AB841" s="89">
        <f t="shared" si="235"/>
        <v>54</v>
      </c>
      <c r="AC841" s="89">
        <f t="shared" si="236"/>
        <v>0</v>
      </c>
      <c r="AD841" s="89">
        <f t="shared" si="237"/>
        <v>0</v>
      </c>
      <c r="AE841" s="90">
        <f t="shared" si="238"/>
        <v>54</v>
      </c>
      <c r="AF841" s="90">
        <f t="shared" si="239"/>
        <v>2013</v>
      </c>
      <c r="AG841" s="90">
        <f t="shared" si="240"/>
        <v>0</v>
      </c>
      <c r="AH841" s="90" t="str">
        <f t="shared" si="241"/>
        <v/>
      </c>
      <c r="AI841" s="90">
        <f t="shared" si="242"/>
        <v>0</v>
      </c>
      <c r="AJ841" s="90" t="str">
        <f t="shared" si="243"/>
        <v/>
      </c>
      <c r="AK841" s="90" t="str">
        <f t="shared" si="244"/>
        <v/>
      </c>
      <c r="AL841" s="91">
        <f>IF(AK841="Adjust",(_xlfn.XLOOKUP(A841,'Adj factor'!A:A,'Adj factor'!I:I,,0)*AI841),'Master DataSheet'!AI841)</f>
        <v>0</v>
      </c>
      <c r="AM841" s="91">
        <f t="shared" si="245"/>
        <v>0</v>
      </c>
      <c r="AN841" s="92" t="str">
        <f t="shared" si="246"/>
        <v>No change</v>
      </c>
      <c r="AO841" s="93">
        <f>VLOOKUP(B841,'Growthrates source'!A$2:H$49,8,FALSE)</f>
        <v>2.5918907427795013E-2</v>
      </c>
      <c r="AP841" s="93">
        <f>VLOOKUP(B841,'Growthrates source'!A$2:I$49,9,FALSE)</f>
        <v>7.7050082831477074E-2</v>
      </c>
      <c r="AQ841" s="86">
        <f t="shared" si="247"/>
        <v>0</v>
      </c>
      <c r="AR841" s="86">
        <f t="shared" si="248"/>
        <v>0</v>
      </c>
      <c r="AS841" s="94">
        <f t="shared" si="249"/>
        <v>3.9718833321056066E-2</v>
      </c>
      <c r="AT841" s="94">
        <f t="shared" si="250"/>
        <v>0</v>
      </c>
      <c r="AU841" s="94">
        <f t="shared" si="251"/>
        <v>0</v>
      </c>
    </row>
    <row r="842" spans="1:47" x14ac:dyDescent="0.3">
      <c r="A842" s="85" t="str">
        <f>_xlfn.XLOOKUP(B842,'Country codes &amp; Data sources'!G:G,'Country codes &amp; Data sources'!H:H,,0)</f>
        <v>Sierra Leone</v>
      </c>
      <c r="B842" s="85" t="s">
        <v>186</v>
      </c>
      <c r="C842" s="86">
        <v>6788587.5000000037</v>
      </c>
      <c r="D842" s="85" t="s">
        <v>321</v>
      </c>
      <c r="E842" s="87">
        <v>8</v>
      </c>
      <c r="F842" s="88">
        <v>6964858.4999999972</v>
      </c>
      <c r="G842" s="87">
        <v>0</v>
      </c>
      <c r="H842" s="87">
        <v>7140688.0000000028</v>
      </c>
      <c r="I842" s="87">
        <v>1</v>
      </c>
      <c r="J842" s="87">
        <v>7314773</v>
      </c>
      <c r="K842" s="87">
        <v>0</v>
      </c>
      <c r="L842" s="87">
        <v>7493912.9999999981</v>
      </c>
      <c r="M842" s="87">
        <v>0</v>
      </c>
      <c r="N842" s="87">
        <v>7677565.5000000019</v>
      </c>
      <c r="O842" s="87">
        <v>0</v>
      </c>
      <c r="P842" s="88">
        <v>7861281</v>
      </c>
      <c r="Q842" s="87">
        <v>1132</v>
      </c>
      <c r="R842" s="87">
        <f t="shared" si="234"/>
        <v>1132</v>
      </c>
      <c r="S842" s="87">
        <v>8046828.5</v>
      </c>
      <c r="T842" s="87">
        <v>538</v>
      </c>
      <c r="U842" s="87">
        <v>8233970.4999999991</v>
      </c>
      <c r="V842" s="87">
        <v>1152</v>
      </c>
      <c r="W842" s="87">
        <v>8420641.0000000037</v>
      </c>
      <c r="X842" s="87">
        <v>0</v>
      </c>
      <c r="Y842" s="88">
        <v>8605718.0000000056</v>
      </c>
      <c r="Z842" s="87">
        <v>753</v>
      </c>
      <c r="AA842" s="87">
        <v>281</v>
      </c>
      <c r="AB842" s="89">
        <f t="shared" si="235"/>
        <v>8</v>
      </c>
      <c r="AC842" s="89">
        <f t="shared" si="236"/>
        <v>1132</v>
      </c>
      <c r="AD842" s="89">
        <f t="shared" si="237"/>
        <v>1152</v>
      </c>
      <c r="AE842" s="90">
        <f t="shared" si="238"/>
        <v>8</v>
      </c>
      <c r="AF842" s="90">
        <f t="shared" si="239"/>
        <v>2012</v>
      </c>
      <c r="AG842" s="90">
        <f t="shared" si="240"/>
        <v>1132</v>
      </c>
      <c r="AH842" s="90">
        <f t="shared" si="241"/>
        <v>2018</v>
      </c>
      <c r="AI842" s="90">
        <f t="shared" si="242"/>
        <v>753</v>
      </c>
      <c r="AJ842" s="90">
        <f t="shared" si="243"/>
        <v>2022</v>
      </c>
      <c r="AK842" s="90" t="str">
        <f t="shared" si="244"/>
        <v>Adjust</v>
      </c>
      <c r="AL842" s="91">
        <f>IF(AK842="Adjust",(_xlfn.XLOOKUP(A842,'Adj factor'!A:A,'Adj factor'!I:I,,0)*AI842),'Master DataSheet'!AI842)</f>
        <v>865.4218791732726</v>
      </c>
      <c r="AM842" s="91">
        <f t="shared" si="245"/>
        <v>1132</v>
      </c>
      <c r="AN842" s="92" t="str">
        <f t="shared" si="246"/>
        <v>Decreasing</v>
      </c>
      <c r="AO842" s="93">
        <f>VLOOKUP(B842,'Growthrates source'!A$2:H$49,8,FALSE)</f>
        <v>-0.11784850836422744</v>
      </c>
      <c r="AP842" s="93">
        <f>VLOOKUP(B842,'Growthrates source'!A$2:I$49,9,FALSE)</f>
        <v>0.29117585098474064</v>
      </c>
      <c r="AQ842" s="86">
        <f t="shared" si="247"/>
        <v>506.53691884704665</v>
      </c>
      <c r="AR842" s="86">
        <f t="shared" si="248"/>
        <v>673.09213505506216</v>
      </c>
      <c r="AS842" s="94">
        <f t="shared" si="249"/>
        <v>1.1486234788545961E-2</v>
      </c>
      <c r="AT842" s="94">
        <f t="shared" si="250"/>
        <v>1.43996888038985</v>
      </c>
      <c r="AU842" s="94">
        <f t="shared" si="251"/>
        <v>1.3154044787430861</v>
      </c>
    </row>
    <row r="843" spans="1:47" x14ac:dyDescent="0.3">
      <c r="A843" s="85" t="str">
        <f>_xlfn.XLOOKUP(B843,'Country codes &amp; Data sources'!G:G,'Country codes &amp; Data sources'!H:H,,0)</f>
        <v>Sierra Leone</v>
      </c>
      <c r="B843" s="85" t="s">
        <v>186</v>
      </c>
      <c r="C843" s="86">
        <v>6788588.5</v>
      </c>
      <c r="D843" s="85" t="s">
        <v>322</v>
      </c>
      <c r="E843" s="87">
        <v>0</v>
      </c>
      <c r="F843" s="88">
        <v>6964858.4999999972</v>
      </c>
      <c r="G843" s="87">
        <v>12212</v>
      </c>
      <c r="I843" s="87">
        <v>12216</v>
      </c>
      <c r="K843" s="87">
        <v>11746</v>
      </c>
      <c r="M843" s="87">
        <v>10320</v>
      </c>
      <c r="O843" s="87">
        <v>11960</v>
      </c>
      <c r="P843" s="88">
        <v>7861281</v>
      </c>
      <c r="Q843" s="87">
        <v>11514</v>
      </c>
      <c r="R843" s="87">
        <f t="shared" si="234"/>
        <v>11514</v>
      </c>
      <c r="T843" s="87">
        <v>8622</v>
      </c>
      <c r="V843" s="87">
        <v>2080</v>
      </c>
      <c r="X843" s="87">
        <v>0</v>
      </c>
      <c r="Y843" s="88">
        <v>8605718.0000000056</v>
      </c>
      <c r="Z843" s="87">
        <v>14712</v>
      </c>
      <c r="AA843" s="87">
        <v>5302</v>
      </c>
      <c r="AB843" s="89">
        <f t="shared" si="235"/>
        <v>12216</v>
      </c>
      <c r="AC843" s="89">
        <f t="shared" si="236"/>
        <v>11960</v>
      </c>
      <c r="AD843" s="89">
        <f t="shared" si="237"/>
        <v>14712</v>
      </c>
      <c r="AE843" s="90">
        <f t="shared" si="238"/>
        <v>12212</v>
      </c>
      <c r="AF843" s="90">
        <f t="shared" si="239"/>
        <v>2013</v>
      </c>
      <c r="AG843" s="90">
        <f t="shared" si="240"/>
        <v>11514</v>
      </c>
      <c r="AH843" s="90">
        <f t="shared" si="241"/>
        <v>2018</v>
      </c>
      <c r="AI843" s="90">
        <f t="shared" si="242"/>
        <v>14712</v>
      </c>
      <c r="AJ843" s="90">
        <f t="shared" si="243"/>
        <v>2022</v>
      </c>
      <c r="AK843" s="90" t="str">
        <f t="shared" si="244"/>
        <v/>
      </c>
      <c r="AL843" s="91">
        <f>IF(AK843="Adjust",(_xlfn.XLOOKUP(A843,'Adj factor'!A:A,'Adj factor'!I:I,,0)*AI843),'Master DataSheet'!AI843)</f>
        <v>14712</v>
      </c>
      <c r="AM843" s="60">
        <f>9491+5026+1040+109</f>
        <v>15666</v>
      </c>
      <c r="AN843" s="92" t="str">
        <f t="shared" si="246"/>
        <v>Increasing</v>
      </c>
      <c r="AO843" s="93">
        <f>VLOOKUP(B843,'Growthrates source'!A$2:H$49,8,FALSE)</f>
        <v>-0.11784850836422744</v>
      </c>
      <c r="AP843" s="93">
        <f>VLOOKUP(B843,'Growthrates source'!A$2:I$49,9,FALSE)</f>
        <v>0.29117585098474064</v>
      </c>
      <c r="AQ843" s="86">
        <f t="shared" si="247"/>
        <v>9557.50442607488</v>
      </c>
      <c r="AR843" s="86">
        <f t="shared" si="248"/>
        <v>12700.122776021137</v>
      </c>
      <c r="AS843" s="94">
        <f t="shared" si="249"/>
        <v>17.533737404715406</v>
      </c>
      <c r="AT843" s="94">
        <f t="shared" si="250"/>
        <v>14.646467922975912</v>
      </c>
      <c r="AU843" s="94">
        <f t="shared" si="251"/>
        <v>18.204175409884439</v>
      </c>
    </row>
    <row r="844" spans="1:47" x14ac:dyDescent="0.3">
      <c r="A844" s="85" t="str">
        <f>_xlfn.XLOOKUP(B844,'Country codes &amp; Data sources'!G:G,'Country codes &amp; Data sources'!H:H,,0)</f>
        <v>Sierra Leone</v>
      </c>
      <c r="B844" s="85" t="s">
        <v>186</v>
      </c>
      <c r="C844" s="86">
        <v>6788589.5</v>
      </c>
      <c r="D844" s="85" t="s">
        <v>323</v>
      </c>
      <c r="E844" s="87">
        <v>0</v>
      </c>
      <c r="F844" s="88">
        <v>6964858.4999999972</v>
      </c>
      <c r="G844" s="87">
        <v>4374</v>
      </c>
      <c r="I844" s="87">
        <v>1170</v>
      </c>
      <c r="K844" s="87">
        <v>0</v>
      </c>
      <c r="M844" s="87">
        <v>626</v>
      </c>
      <c r="O844" s="87">
        <v>0</v>
      </c>
      <c r="P844" s="88">
        <v>7861281</v>
      </c>
      <c r="Q844" s="87">
        <v>0</v>
      </c>
      <c r="R844" s="87">
        <f t="shared" si="234"/>
        <v>391</v>
      </c>
      <c r="T844" s="87">
        <v>4746</v>
      </c>
      <c r="V844" s="87">
        <v>1278</v>
      </c>
      <c r="X844" s="87">
        <v>0</v>
      </c>
      <c r="Y844" s="88">
        <v>8605718.0000000056</v>
      </c>
      <c r="Z844" s="87">
        <v>4542</v>
      </c>
      <c r="AA844" s="87">
        <v>391</v>
      </c>
      <c r="AB844" s="89">
        <f t="shared" si="235"/>
        <v>4374</v>
      </c>
      <c r="AC844" s="89">
        <f t="shared" si="236"/>
        <v>4746</v>
      </c>
      <c r="AD844" s="89">
        <f t="shared" si="237"/>
        <v>4542</v>
      </c>
      <c r="AE844" s="90">
        <f t="shared" si="238"/>
        <v>4374</v>
      </c>
      <c r="AF844" s="90">
        <f t="shared" si="239"/>
        <v>2013</v>
      </c>
      <c r="AG844" s="90">
        <f t="shared" si="240"/>
        <v>391</v>
      </c>
      <c r="AH844" s="90" t="str">
        <f t="shared" si="241"/>
        <v>2018 (triag)</v>
      </c>
      <c r="AI844" s="90">
        <f t="shared" si="242"/>
        <v>4542</v>
      </c>
      <c r="AJ844" s="90">
        <f t="shared" si="243"/>
        <v>2022</v>
      </c>
      <c r="AK844" s="90" t="str">
        <f t="shared" si="244"/>
        <v/>
      </c>
      <c r="AL844" s="91">
        <f>IF(AK844="Adjust",(_xlfn.XLOOKUP(A844,'Adj factor'!A:A,'Adj factor'!I:I,,0)*AI844),'Master DataSheet'!AI844)</f>
        <v>4542</v>
      </c>
      <c r="AM844" s="91">
        <f t="shared" si="245"/>
        <v>4542</v>
      </c>
      <c r="AN844" s="92" t="str">
        <f t="shared" si="246"/>
        <v>Increasing</v>
      </c>
      <c r="AO844" s="93">
        <f>VLOOKUP(B844,'Growthrates source'!A$2:H$49,8,FALSE)</f>
        <v>-0.11784850836422744</v>
      </c>
      <c r="AP844" s="93">
        <f>VLOOKUP(B844,'Growthrates source'!A$2:I$49,9,FALSE)</f>
        <v>0.29117585098474064</v>
      </c>
      <c r="AQ844" s="86">
        <f t="shared" si="247"/>
        <v>704.8253924170649</v>
      </c>
      <c r="AR844" s="86">
        <f t="shared" si="248"/>
        <v>936.58015945384091</v>
      </c>
      <c r="AS844" s="94">
        <f t="shared" si="249"/>
        <v>6.280098870637504</v>
      </c>
      <c r="AT844" s="94">
        <f t="shared" si="250"/>
        <v>0.49737441009932098</v>
      </c>
      <c r="AU844" s="94">
        <f t="shared" si="251"/>
        <v>5.2778861682430183</v>
      </c>
    </row>
    <row r="845" spans="1:47" x14ac:dyDescent="0.3">
      <c r="A845" s="85" t="str">
        <f>_xlfn.XLOOKUP(B845,'Country codes &amp; Data sources'!G:G,'Country codes &amp; Data sources'!H:H,,0)</f>
        <v>Sierra Leone</v>
      </c>
      <c r="B845" s="85" t="s">
        <v>186</v>
      </c>
      <c r="C845" s="86">
        <v>6788590.5</v>
      </c>
      <c r="D845" s="85" t="s">
        <v>324</v>
      </c>
      <c r="E845" s="87">
        <v>0</v>
      </c>
      <c r="F845" s="88">
        <v>6964858.4999999972</v>
      </c>
      <c r="G845" s="87">
        <v>0</v>
      </c>
      <c r="I845" s="87">
        <v>0</v>
      </c>
      <c r="K845" s="87">
        <v>0</v>
      </c>
      <c r="M845" s="87">
        <v>0</v>
      </c>
      <c r="O845" s="87">
        <v>0</v>
      </c>
      <c r="P845" s="88">
        <v>7861281</v>
      </c>
      <c r="Q845" s="87">
        <v>0</v>
      </c>
      <c r="R845" s="87">
        <f t="shared" si="234"/>
        <v>156</v>
      </c>
      <c r="T845" s="87">
        <v>0</v>
      </c>
      <c r="V845" s="87">
        <v>78</v>
      </c>
      <c r="X845" s="87">
        <v>4740</v>
      </c>
      <c r="Y845" s="88">
        <v>8605718.0000000056</v>
      </c>
      <c r="Z845" s="87">
        <v>0</v>
      </c>
      <c r="AA845" s="87">
        <v>156</v>
      </c>
      <c r="AB845" s="89">
        <f t="shared" si="235"/>
        <v>0</v>
      </c>
      <c r="AC845" s="89">
        <f t="shared" si="236"/>
        <v>0</v>
      </c>
      <c r="AD845" s="89">
        <f t="shared" si="237"/>
        <v>4740</v>
      </c>
      <c r="AE845" s="90">
        <f t="shared" si="238"/>
        <v>0</v>
      </c>
      <c r="AF845" s="90" t="str">
        <f t="shared" si="239"/>
        <v/>
      </c>
      <c r="AG845" s="90">
        <f t="shared" si="240"/>
        <v>156</v>
      </c>
      <c r="AH845" s="90" t="str">
        <f t="shared" si="241"/>
        <v>2018 (triag)</v>
      </c>
      <c r="AI845" s="90">
        <f t="shared" si="242"/>
        <v>4740</v>
      </c>
      <c r="AJ845" s="90">
        <f t="shared" si="243"/>
        <v>2021</v>
      </c>
      <c r="AK845" s="90" t="str">
        <f t="shared" si="244"/>
        <v/>
      </c>
      <c r="AL845" s="91">
        <f>IF(AK845="Adjust",(_xlfn.XLOOKUP(A845,'Adj factor'!A:A,'Adj factor'!I:I,,0)*AI845),'Master DataSheet'!AI845)</f>
        <v>4740</v>
      </c>
      <c r="AM845" s="91">
        <f t="shared" si="245"/>
        <v>4740</v>
      </c>
      <c r="AN845" s="92" t="str">
        <f t="shared" si="246"/>
        <v>Increasing</v>
      </c>
      <c r="AO845" s="93">
        <f>VLOOKUP(B845,'Growthrates source'!A$2:H$49,8,FALSE)</f>
        <v>-0.11784850836422744</v>
      </c>
      <c r="AP845" s="93">
        <f>VLOOKUP(B845,'Growthrates source'!A$2:I$49,9,FALSE)</f>
        <v>0.29117585098474064</v>
      </c>
      <c r="AQ845" s="86">
        <f t="shared" si="247"/>
        <v>281.20910797202589</v>
      </c>
      <c r="AR845" s="86">
        <f t="shared" si="248"/>
        <v>373.67392551099533</v>
      </c>
      <c r="AS845" s="94">
        <f t="shared" si="249"/>
        <v>0</v>
      </c>
      <c r="AT845" s="94">
        <f t="shared" si="250"/>
        <v>0.19844094111379557</v>
      </c>
      <c r="AU845" s="94">
        <f t="shared" si="251"/>
        <v>5.507965750213982</v>
      </c>
    </row>
    <row r="846" spans="1:47" x14ac:dyDescent="0.3">
      <c r="A846" s="85" t="str">
        <f>_xlfn.XLOOKUP(B846,'Country codes &amp; Data sources'!G:G,'Country codes &amp; Data sources'!H:H,,0)</f>
        <v>Sierra Leone</v>
      </c>
      <c r="B846" s="85" t="s">
        <v>186</v>
      </c>
      <c r="C846" s="86">
        <v>6788591.5</v>
      </c>
      <c r="D846" s="85" t="s">
        <v>325</v>
      </c>
      <c r="E846" s="87">
        <v>0</v>
      </c>
      <c r="F846" s="88">
        <v>6964858.4999999972</v>
      </c>
      <c r="G846" s="87">
        <v>0</v>
      </c>
      <c r="I846" s="87">
        <v>0</v>
      </c>
      <c r="K846" s="87">
        <v>0</v>
      </c>
      <c r="M846" s="87">
        <v>0</v>
      </c>
      <c r="O846" s="87">
        <v>0</v>
      </c>
      <c r="P846" s="88">
        <v>7861281</v>
      </c>
      <c r="Q846" s="87">
        <v>0</v>
      </c>
      <c r="R846" s="87">
        <f t="shared" si="234"/>
        <v>423</v>
      </c>
      <c r="T846" s="87">
        <v>0</v>
      </c>
      <c r="V846" s="87">
        <v>0</v>
      </c>
      <c r="X846" s="87">
        <v>610</v>
      </c>
      <c r="Y846" s="88">
        <v>8605718.0000000056</v>
      </c>
      <c r="Z846" s="87">
        <v>0</v>
      </c>
      <c r="AA846" s="87">
        <v>423</v>
      </c>
      <c r="AB846" s="89">
        <f t="shared" si="235"/>
        <v>0</v>
      </c>
      <c r="AC846" s="89">
        <f t="shared" si="236"/>
        <v>0</v>
      </c>
      <c r="AD846" s="89">
        <f t="shared" si="237"/>
        <v>610</v>
      </c>
      <c r="AE846" s="90">
        <f t="shared" si="238"/>
        <v>0</v>
      </c>
      <c r="AF846" s="90" t="str">
        <f t="shared" si="239"/>
        <v/>
      </c>
      <c r="AG846" s="90">
        <f t="shared" si="240"/>
        <v>423</v>
      </c>
      <c r="AH846" s="90" t="str">
        <f t="shared" si="241"/>
        <v>2018 (triag)</v>
      </c>
      <c r="AI846" s="90">
        <f t="shared" si="242"/>
        <v>610</v>
      </c>
      <c r="AJ846" s="90">
        <f t="shared" si="243"/>
        <v>2021</v>
      </c>
      <c r="AK846" s="90" t="str">
        <f t="shared" si="244"/>
        <v/>
      </c>
      <c r="AL846" s="91">
        <f>IF(AK846="Adjust",(_xlfn.XLOOKUP(A846,'Adj factor'!A:A,'Adj factor'!I:I,,0)*AI846),'Master DataSheet'!AI846)</f>
        <v>610</v>
      </c>
      <c r="AM846" s="91">
        <f t="shared" si="245"/>
        <v>610</v>
      </c>
      <c r="AN846" s="92" t="str">
        <f t="shared" si="246"/>
        <v>Increasing</v>
      </c>
      <c r="AO846" s="93">
        <f>VLOOKUP(B846,'Growthrates source'!A$2:H$49,8,FALSE)</f>
        <v>-0.11784850836422744</v>
      </c>
      <c r="AP846" s="93">
        <f>VLOOKUP(B846,'Growthrates source'!A$2:I$49,9,FALSE)</f>
        <v>0.29117585098474064</v>
      </c>
      <c r="AQ846" s="86">
        <f t="shared" si="247"/>
        <v>762.50931200107027</v>
      </c>
      <c r="AR846" s="86">
        <f t="shared" si="248"/>
        <v>1013.231221097122</v>
      </c>
      <c r="AS846" s="94">
        <f t="shared" si="249"/>
        <v>0</v>
      </c>
      <c r="AT846" s="94">
        <f t="shared" si="250"/>
        <v>0.53808024417394573</v>
      </c>
      <c r="AU846" s="94">
        <f t="shared" si="251"/>
        <v>0.70883103536509051</v>
      </c>
    </row>
    <row r="847" spans="1:47" x14ac:dyDescent="0.3">
      <c r="A847" s="85" t="str">
        <f>_xlfn.XLOOKUP(B847,'Country codes &amp; Data sources'!G:G,'Country codes &amp; Data sources'!H:H,,0)</f>
        <v>Sierra Leone</v>
      </c>
      <c r="B847" s="85" t="s">
        <v>186</v>
      </c>
      <c r="C847" s="86">
        <v>6788592.5</v>
      </c>
      <c r="D847" s="85" t="s">
        <v>127</v>
      </c>
      <c r="E847" s="87">
        <v>0</v>
      </c>
      <c r="F847" s="88">
        <v>6964858.4999999972</v>
      </c>
      <c r="G847" s="87">
        <v>0</v>
      </c>
      <c r="I847" s="87">
        <v>0</v>
      </c>
      <c r="K847" s="87">
        <v>0</v>
      </c>
      <c r="M847" s="87">
        <v>14622</v>
      </c>
      <c r="O847" s="87">
        <v>0</v>
      </c>
      <c r="P847" s="88">
        <v>7861281</v>
      </c>
      <c r="Q847" s="87">
        <v>0</v>
      </c>
      <c r="R847" s="87">
        <f t="shared" si="234"/>
        <v>505</v>
      </c>
      <c r="T847" s="87">
        <v>15000</v>
      </c>
      <c r="V847" s="87">
        <v>13966</v>
      </c>
      <c r="X847" s="87">
        <v>0</v>
      </c>
      <c r="Y847" s="88">
        <v>8605718.0000000056</v>
      </c>
      <c r="Z847" s="87">
        <v>0</v>
      </c>
      <c r="AA847" s="87">
        <v>505</v>
      </c>
      <c r="AB847" s="89">
        <f t="shared" si="235"/>
        <v>0</v>
      </c>
      <c r="AC847" s="89">
        <f t="shared" si="236"/>
        <v>15000</v>
      </c>
      <c r="AD847" s="89">
        <f t="shared" si="237"/>
        <v>13966</v>
      </c>
      <c r="AE847" s="90">
        <f t="shared" si="238"/>
        <v>0</v>
      </c>
      <c r="AF847" s="90" t="str">
        <f t="shared" si="239"/>
        <v/>
      </c>
      <c r="AG847" s="90">
        <f t="shared" si="240"/>
        <v>505</v>
      </c>
      <c r="AH847" s="90" t="str">
        <f t="shared" si="241"/>
        <v>2018 (triag)</v>
      </c>
      <c r="AI847" s="90">
        <f t="shared" si="242"/>
        <v>13966</v>
      </c>
      <c r="AJ847" s="90">
        <f t="shared" si="243"/>
        <v>2020</v>
      </c>
      <c r="AK847" s="90" t="str">
        <f t="shared" si="244"/>
        <v/>
      </c>
      <c r="AL847" s="91">
        <f>IF(AK847="Adjust",(_xlfn.XLOOKUP(A847,'Adj factor'!A:A,'Adj factor'!I:I,,0)*AI847),'Master DataSheet'!AI847)</f>
        <v>13966</v>
      </c>
      <c r="AM847" s="91">
        <f t="shared" si="245"/>
        <v>13966</v>
      </c>
      <c r="AN847" s="92" t="str">
        <f t="shared" si="246"/>
        <v>Increasing</v>
      </c>
      <c r="AO847" s="93">
        <f>VLOOKUP(B847,'Growthrates source'!A$2:H$49,8,FALSE)</f>
        <v>-0.11784850836422744</v>
      </c>
      <c r="AP847" s="93">
        <f>VLOOKUP(B847,'Growthrates source'!A$2:I$49,9,FALSE)</f>
        <v>0.29117585098474064</v>
      </c>
      <c r="AQ847" s="86">
        <f t="shared" si="247"/>
        <v>910.32435593508387</v>
      </c>
      <c r="AR847" s="86">
        <f t="shared" si="248"/>
        <v>1209.6495665580298</v>
      </c>
      <c r="AS847" s="94">
        <f t="shared" si="249"/>
        <v>0</v>
      </c>
      <c r="AT847" s="94">
        <f t="shared" si="250"/>
        <v>0.64238894399017155</v>
      </c>
      <c r="AU847" s="94">
        <f t="shared" si="251"/>
        <v>16.228744655588287</v>
      </c>
    </row>
    <row r="848" spans="1:47" x14ac:dyDescent="0.3">
      <c r="A848" s="85" t="str">
        <f>_xlfn.XLOOKUP(B848,'Country codes &amp; Data sources'!G:G,'Country codes &amp; Data sources'!H:H,,0)</f>
        <v>Sierra Leone</v>
      </c>
      <c r="B848" s="85" t="s">
        <v>186</v>
      </c>
      <c r="C848" s="86">
        <v>6788593.5</v>
      </c>
      <c r="D848" s="85" t="s">
        <v>61</v>
      </c>
      <c r="E848" s="87">
        <v>0</v>
      </c>
      <c r="F848" s="88">
        <v>6964858.4999999972</v>
      </c>
      <c r="G848" s="87">
        <v>0</v>
      </c>
      <c r="I848" s="87">
        <v>0</v>
      </c>
      <c r="K848" s="87">
        <v>0</v>
      </c>
      <c r="M848" s="87">
        <v>0</v>
      </c>
      <c r="O848" s="87">
        <v>0</v>
      </c>
      <c r="P848" s="88">
        <v>7861281</v>
      </c>
      <c r="Q848" s="87">
        <v>0</v>
      </c>
      <c r="R848" s="87">
        <f t="shared" si="234"/>
        <v>103</v>
      </c>
      <c r="T848" s="87">
        <v>0</v>
      </c>
      <c r="V848" s="87">
        <v>0</v>
      </c>
      <c r="X848" s="87">
        <v>120</v>
      </c>
      <c r="Y848" s="88">
        <v>8605718.0000000056</v>
      </c>
      <c r="Z848" s="118">
        <v>120</v>
      </c>
      <c r="AA848" s="87">
        <v>103</v>
      </c>
      <c r="AB848" s="89">
        <f t="shared" si="235"/>
        <v>0</v>
      </c>
      <c r="AC848" s="89">
        <f t="shared" si="236"/>
        <v>0</v>
      </c>
      <c r="AD848" s="89">
        <f t="shared" si="237"/>
        <v>120</v>
      </c>
      <c r="AE848" s="90">
        <f t="shared" si="238"/>
        <v>0</v>
      </c>
      <c r="AF848" s="90" t="str">
        <f t="shared" si="239"/>
        <v/>
      </c>
      <c r="AG848" s="90">
        <f t="shared" si="240"/>
        <v>103</v>
      </c>
      <c r="AH848" s="90" t="str">
        <f t="shared" si="241"/>
        <v>2018 (triag)</v>
      </c>
      <c r="AI848" s="90">
        <f t="shared" si="242"/>
        <v>120</v>
      </c>
      <c r="AJ848" s="90">
        <f t="shared" si="243"/>
        <v>2021</v>
      </c>
      <c r="AK848" s="90" t="str">
        <f t="shared" si="244"/>
        <v/>
      </c>
      <c r="AL848" s="91">
        <f>IF(AK848="Adjust",(_xlfn.XLOOKUP(A848,'Adj factor'!A:A,'Adj factor'!I:I,,0)*AI848),'Master DataSheet'!AI848)</f>
        <v>120</v>
      </c>
      <c r="AM848" s="91">
        <f t="shared" si="245"/>
        <v>120</v>
      </c>
      <c r="AN848" s="92" t="str">
        <f t="shared" si="246"/>
        <v>Increasing</v>
      </c>
      <c r="AO848" s="93">
        <f>VLOOKUP(B848,'Growthrates source'!A$2:H$49,8,FALSE)</f>
        <v>-0.11784850836422744</v>
      </c>
      <c r="AP848" s="93">
        <f>VLOOKUP(B848,'Growthrates source'!A$2:I$49,9,FALSE)</f>
        <v>0.29117585098474064</v>
      </c>
      <c r="AQ848" s="86">
        <f t="shared" si="247"/>
        <v>185.67011616101709</v>
      </c>
      <c r="AR848" s="86">
        <f t="shared" si="248"/>
        <v>246.72060466431103</v>
      </c>
      <c r="AS848" s="94">
        <f t="shared" si="249"/>
        <v>0</v>
      </c>
      <c r="AT848" s="94">
        <f t="shared" si="250"/>
        <v>0.13102190342769837</v>
      </c>
      <c r="AU848" s="94">
        <f t="shared" si="251"/>
        <v>0.13944217089149322</v>
      </c>
    </row>
    <row r="849" spans="1:47" x14ac:dyDescent="0.3">
      <c r="A849" s="85" t="str">
        <f>_xlfn.XLOOKUP(B849,'Country codes &amp; Data sources'!G:G,'Country codes &amp; Data sources'!H:H,,0)</f>
        <v>Sierra Leone</v>
      </c>
      <c r="B849" s="85" t="s">
        <v>186</v>
      </c>
      <c r="C849" s="86">
        <v>6788594.5</v>
      </c>
      <c r="D849" s="85" t="s">
        <v>62</v>
      </c>
      <c r="E849" s="87">
        <v>0</v>
      </c>
      <c r="F849" s="88">
        <v>6964858.4999999972</v>
      </c>
      <c r="G849" s="87">
        <v>0</v>
      </c>
      <c r="I849" s="87">
        <v>0</v>
      </c>
      <c r="K849" s="87">
        <v>0</v>
      </c>
      <c r="M849" s="87">
        <v>0</v>
      </c>
      <c r="O849" s="87">
        <v>0</v>
      </c>
      <c r="P849" s="88">
        <v>7861281</v>
      </c>
      <c r="Q849" s="87">
        <v>0</v>
      </c>
      <c r="R849" s="87">
        <f t="shared" si="234"/>
        <v>406</v>
      </c>
      <c r="T849" s="87">
        <v>0</v>
      </c>
      <c r="V849" s="87">
        <v>0</v>
      </c>
      <c r="X849" s="87">
        <v>790</v>
      </c>
      <c r="Y849" s="88">
        <v>8605718.0000000056</v>
      </c>
      <c r="Z849" s="87">
        <v>0</v>
      </c>
      <c r="AA849" s="87">
        <v>406</v>
      </c>
      <c r="AB849" s="89">
        <f t="shared" si="235"/>
        <v>0</v>
      </c>
      <c r="AC849" s="89">
        <f t="shared" si="236"/>
        <v>0</v>
      </c>
      <c r="AD849" s="89">
        <f t="shared" si="237"/>
        <v>790</v>
      </c>
      <c r="AE849" s="90">
        <f t="shared" si="238"/>
        <v>0</v>
      </c>
      <c r="AF849" s="90" t="str">
        <f t="shared" si="239"/>
        <v/>
      </c>
      <c r="AG849" s="90">
        <f t="shared" si="240"/>
        <v>406</v>
      </c>
      <c r="AH849" s="90" t="str">
        <f t="shared" si="241"/>
        <v>2018 (triag)</v>
      </c>
      <c r="AI849" s="90">
        <f t="shared" si="242"/>
        <v>790</v>
      </c>
      <c r="AJ849" s="90">
        <f t="shared" si="243"/>
        <v>2021</v>
      </c>
      <c r="AK849" s="90" t="str">
        <f t="shared" si="244"/>
        <v/>
      </c>
      <c r="AL849" s="91">
        <f>IF(AK849="Adjust",(_xlfn.XLOOKUP(A849,'Adj factor'!A:A,'Adj factor'!I:I,,0)*AI849),'Master DataSheet'!AI849)</f>
        <v>790</v>
      </c>
      <c r="AM849" s="91">
        <f t="shared" si="245"/>
        <v>790</v>
      </c>
      <c r="AN849" s="92" t="str">
        <f t="shared" si="246"/>
        <v>Increasing</v>
      </c>
      <c r="AO849" s="93">
        <f>VLOOKUP(B849,'Growthrates source'!A$2:H$49,8,FALSE)</f>
        <v>-0.11784850836422744</v>
      </c>
      <c r="AP849" s="93">
        <f>VLOOKUP(B849,'Growthrates source'!A$2:I$49,9,FALSE)</f>
        <v>0.29117585098474064</v>
      </c>
      <c r="AQ849" s="86">
        <f t="shared" si="247"/>
        <v>731.86472972206741</v>
      </c>
      <c r="AR849" s="86">
        <f t="shared" si="248"/>
        <v>972.51034459912887</v>
      </c>
      <c r="AS849" s="94">
        <f t="shared" si="249"/>
        <v>0</v>
      </c>
      <c r="AT849" s="94">
        <f t="shared" si="250"/>
        <v>0.51645526982180134</v>
      </c>
      <c r="AU849" s="94">
        <f t="shared" si="251"/>
        <v>0.91799429170233038</v>
      </c>
    </row>
    <row r="850" spans="1:47" x14ac:dyDescent="0.3">
      <c r="A850" s="85" t="str">
        <f>_xlfn.XLOOKUP(B850,'Country codes &amp; Data sources'!G:G,'Country codes &amp; Data sources'!H:H,,0)</f>
        <v>Sierra Leone</v>
      </c>
      <c r="B850" s="85" t="s">
        <v>186</v>
      </c>
      <c r="C850" s="86">
        <v>6788595.5</v>
      </c>
      <c r="D850" s="85" t="s">
        <v>203</v>
      </c>
      <c r="E850" s="87">
        <v>0</v>
      </c>
      <c r="F850" s="88">
        <v>6964858.4999999972</v>
      </c>
      <c r="G850" s="87">
        <v>0</v>
      </c>
      <c r="I850" s="87">
        <v>0</v>
      </c>
      <c r="K850" s="87">
        <v>0</v>
      </c>
      <c r="M850" s="87">
        <v>0</v>
      </c>
      <c r="O850" s="87">
        <v>0</v>
      </c>
      <c r="P850" s="88">
        <v>7861281</v>
      </c>
      <c r="Q850" s="87">
        <v>0</v>
      </c>
      <c r="R850" s="87">
        <f t="shared" si="234"/>
        <v>0</v>
      </c>
      <c r="T850" s="87">
        <v>0</v>
      </c>
      <c r="V850" s="87">
        <v>2251</v>
      </c>
      <c r="X850" s="87">
        <v>0</v>
      </c>
      <c r="Y850" s="88">
        <v>8605718.0000000056</v>
      </c>
      <c r="Z850" s="87">
        <v>0</v>
      </c>
      <c r="AA850" s="87">
        <v>0</v>
      </c>
      <c r="AB850" s="89">
        <f t="shared" si="235"/>
        <v>0</v>
      </c>
      <c r="AC850" s="89">
        <f t="shared" si="236"/>
        <v>0</v>
      </c>
      <c r="AD850" s="89">
        <f t="shared" si="237"/>
        <v>2251</v>
      </c>
      <c r="AE850" s="90">
        <f t="shared" si="238"/>
        <v>0</v>
      </c>
      <c r="AF850" s="90" t="str">
        <f t="shared" si="239"/>
        <v/>
      </c>
      <c r="AG850" s="90">
        <f t="shared" si="240"/>
        <v>0</v>
      </c>
      <c r="AH850" s="90" t="str">
        <f t="shared" si="241"/>
        <v/>
      </c>
      <c r="AI850" s="90">
        <f t="shared" si="242"/>
        <v>2251</v>
      </c>
      <c r="AJ850" s="90">
        <f t="shared" si="243"/>
        <v>2020</v>
      </c>
      <c r="AK850" s="90" t="str">
        <f t="shared" si="244"/>
        <v/>
      </c>
      <c r="AL850" s="91">
        <f>IF(AK850="Adjust",(_xlfn.XLOOKUP(A850,'Adj factor'!A:A,'Adj factor'!I:I,,0)*AI850),'Master DataSheet'!AI850)</f>
        <v>2251</v>
      </c>
      <c r="AM850" s="91">
        <f t="shared" si="245"/>
        <v>2251</v>
      </c>
      <c r="AN850" s="92" t="str">
        <f t="shared" si="246"/>
        <v>Increasing</v>
      </c>
      <c r="AO850" s="93">
        <f>VLOOKUP(B850,'Growthrates source'!A$2:H$49,8,FALSE)</f>
        <v>-0.11784850836422744</v>
      </c>
      <c r="AP850" s="93">
        <f>VLOOKUP(B850,'Growthrates source'!A$2:I$49,9,FALSE)</f>
        <v>0.29117585098474064</v>
      </c>
      <c r="AQ850" s="86">
        <f t="shared" si="247"/>
        <v>0</v>
      </c>
      <c r="AR850" s="86">
        <f t="shared" si="248"/>
        <v>0</v>
      </c>
      <c r="AS850" s="94">
        <f t="shared" si="249"/>
        <v>0</v>
      </c>
      <c r="AT850" s="94">
        <f t="shared" si="250"/>
        <v>0</v>
      </c>
      <c r="AU850" s="94">
        <f t="shared" si="251"/>
        <v>2.6157027223062603</v>
      </c>
    </row>
    <row r="851" spans="1:47" x14ac:dyDescent="0.3">
      <c r="A851" s="85" t="str">
        <f>_xlfn.XLOOKUP(B851,'Country codes &amp; Data sources'!G:G,'Country codes &amp; Data sources'!H:H,,0)</f>
        <v>Sierra Leone</v>
      </c>
      <c r="B851" s="85" t="s">
        <v>186</v>
      </c>
      <c r="C851" s="86">
        <v>6788596.5</v>
      </c>
      <c r="D851" s="85" t="s">
        <v>204</v>
      </c>
      <c r="E851" s="87">
        <v>0</v>
      </c>
      <c r="F851" s="88">
        <v>6964858.4999999972</v>
      </c>
      <c r="G851" s="87">
        <v>0</v>
      </c>
      <c r="I851" s="87">
        <v>0</v>
      </c>
      <c r="K851" s="87">
        <v>0</v>
      </c>
      <c r="M851" s="87">
        <v>0</v>
      </c>
      <c r="O851" s="87">
        <v>0</v>
      </c>
      <c r="P851" s="88">
        <v>7861281</v>
      </c>
      <c r="Q851" s="87">
        <v>0</v>
      </c>
      <c r="R851" s="87">
        <f t="shared" si="234"/>
        <v>0</v>
      </c>
      <c r="T851" s="87">
        <v>93</v>
      </c>
      <c r="V851" s="87">
        <v>487</v>
      </c>
      <c r="X851" s="87">
        <v>0</v>
      </c>
      <c r="Y851" s="88">
        <v>8605718.0000000056</v>
      </c>
      <c r="Z851" s="87">
        <v>0</v>
      </c>
      <c r="AA851" s="87">
        <v>0</v>
      </c>
      <c r="AB851" s="89">
        <f t="shared" si="235"/>
        <v>0</v>
      </c>
      <c r="AC851" s="89">
        <f t="shared" si="236"/>
        <v>93</v>
      </c>
      <c r="AD851" s="89">
        <f t="shared" si="237"/>
        <v>487</v>
      </c>
      <c r="AE851" s="90">
        <f t="shared" si="238"/>
        <v>0</v>
      </c>
      <c r="AF851" s="90" t="str">
        <f t="shared" si="239"/>
        <v/>
      </c>
      <c r="AG851" s="90">
        <f t="shared" si="240"/>
        <v>93</v>
      </c>
      <c r="AH851" s="90">
        <f t="shared" si="241"/>
        <v>2019</v>
      </c>
      <c r="AI851" s="90">
        <f t="shared" si="242"/>
        <v>487</v>
      </c>
      <c r="AJ851" s="90">
        <f t="shared" si="243"/>
        <v>2020</v>
      </c>
      <c r="AK851" s="90" t="str">
        <f t="shared" si="244"/>
        <v/>
      </c>
      <c r="AL851" s="91">
        <f>IF(AK851="Adjust",(_xlfn.XLOOKUP(A851,'Adj factor'!A:A,'Adj factor'!I:I,,0)*AI851),'Master DataSheet'!AI851)</f>
        <v>487</v>
      </c>
      <c r="AM851" s="91">
        <f t="shared" si="245"/>
        <v>487</v>
      </c>
      <c r="AN851" s="92" t="str">
        <f t="shared" si="246"/>
        <v>Increasing</v>
      </c>
      <c r="AO851" s="93">
        <f>VLOOKUP(B851,'Growthrates source'!A$2:H$49,8,FALSE)</f>
        <v>-0.11784850836422744</v>
      </c>
      <c r="AP851" s="93">
        <f>VLOOKUP(B851,'Growthrates source'!A$2:I$49,9,FALSE)</f>
        <v>0.29117585098474064</v>
      </c>
      <c r="AQ851" s="86">
        <f t="shared" si="247"/>
        <v>0</v>
      </c>
      <c r="AR851" s="86">
        <f t="shared" si="248"/>
        <v>0</v>
      </c>
      <c r="AS851" s="94">
        <f t="shared" si="249"/>
        <v>0</v>
      </c>
      <c r="AT851" s="94">
        <f t="shared" si="250"/>
        <v>0.11830133027937813</v>
      </c>
      <c r="AU851" s="94">
        <f t="shared" si="251"/>
        <v>0.56590281020130995</v>
      </c>
    </row>
    <row r="852" spans="1:47" x14ac:dyDescent="0.3">
      <c r="A852" s="85" t="str">
        <f>_xlfn.XLOOKUP(B852,'Country codes &amp; Data sources'!G:G,'Country codes &amp; Data sources'!H:H,,0)</f>
        <v>Sierra Leone</v>
      </c>
      <c r="B852" s="85" t="s">
        <v>186</v>
      </c>
      <c r="C852" s="86">
        <v>6788597.5</v>
      </c>
      <c r="D852" s="85" t="s">
        <v>205</v>
      </c>
      <c r="E852" s="87">
        <v>0</v>
      </c>
      <c r="F852" s="88">
        <v>6964858.4999999972</v>
      </c>
      <c r="G852" s="87">
        <v>0</v>
      </c>
      <c r="I852" s="87">
        <v>0</v>
      </c>
      <c r="K852" s="87">
        <v>0</v>
      </c>
      <c r="M852" s="87">
        <v>0</v>
      </c>
      <c r="O852" s="87">
        <v>0</v>
      </c>
      <c r="P852" s="88">
        <v>7861281</v>
      </c>
      <c r="Q852" s="87">
        <v>0</v>
      </c>
      <c r="R852" s="87">
        <f t="shared" si="234"/>
        <v>128</v>
      </c>
      <c r="T852" s="87">
        <v>25</v>
      </c>
      <c r="V852" s="87">
        <v>530</v>
      </c>
      <c r="X852" s="87">
        <v>0</v>
      </c>
      <c r="Y852" s="88">
        <v>8605718.0000000056</v>
      </c>
      <c r="Z852" s="87">
        <v>13</v>
      </c>
      <c r="AA852" s="87">
        <v>128</v>
      </c>
      <c r="AB852" s="89">
        <f t="shared" si="235"/>
        <v>0</v>
      </c>
      <c r="AC852" s="89">
        <f t="shared" si="236"/>
        <v>25</v>
      </c>
      <c r="AD852" s="89">
        <f t="shared" si="237"/>
        <v>530</v>
      </c>
      <c r="AE852" s="90">
        <f t="shared" si="238"/>
        <v>0</v>
      </c>
      <c r="AF852" s="90" t="str">
        <f t="shared" si="239"/>
        <v/>
      </c>
      <c r="AG852" s="90">
        <f t="shared" si="240"/>
        <v>128</v>
      </c>
      <c r="AH852" s="90" t="str">
        <f t="shared" si="241"/>
        <v>2018 (triag)</v>
      </c>
      <c r="AI852" s="90">
        <f t="shared" si="242"/>
        <v>13</v>
      </c>
      <c r="AJ852" s="90">
        <f t="shared" si="243"/>
        <v>2022</v>
      </c>
      <c r="AK852" s="90" t="str">
        <f t="shared" si="244"/>
        <v>Adjust</v>
      </c>
      <c r="AL852" s="91">
        <f>IF(AK852="Adjust",(_xlfn.XLOOKUP(A852,'Adj factor'!A:A,'Adj factor'!I:I,,0)*AI852),'Master DataSheet'!AI852)</f>
        <v>14.940882376165398</v>
      </c>
      <c r="AM852" s="91">
        <f t="shared" si="245"/>
        <v>128</v>
      </c>
      <c r="AN852" s="92" t="str">
        <f t="shared" si="246"/>
        <v>Decreasing</v>
      </c>
      <c r="AO852" s="93">
        <f>VLOOKUP(B852,'Growthrates source'!A$2:H$49,8,FALSE)</f>
        <v>-0.11784850836422744</v>
      </c>
      <c r="AP852" s="93">
        <f>VLOOKUP(B852,'Growthrates source'!A$2:I$49,9,FALSE)</f>
        <v>0.29117585098474064</v>
      </c>
      <c r="AQ852" s="86">
        <f t="shared" si="247"/>
        <v>230.73567833602124</v>
      </c>
      <c r="AR852" s="86">
        <f t="shared" si="248"/>
        <v>306.60424657312439</v>
      </c>
      <c r="AS852" s="94">
        <f t="shared" si="249"/>
        <v>0</v>
      </c>
      <c r="AT852" s="94">
        <f t="shared" si="250"/>
        <v>0.16282333629849893</v>
      </c>
      <c r="AU852" s="94">
        <f t="shared" si="251"/>
        <v>0.14873831561759276</v>
      </c>
    </row>
    <row r="853" spans="1:47" ht="14.5" x14ac:dyDescent="0.35">
      <c r="A853" s="85" t="str">
        <f>_xlfn.XLOOKUP(B853,'Country codes &amp; Data sources'!G:G,'Country codes &amp; Data sources'!H:H,,0)</f>
        <v>Sierra Leone</v>
      </c>
      <c r="B853" s="85" t="s">
        <v>186</v>
      </c>
      <c r="C853" s="86">
        <v>6788598.5</v>
      </c>
      <c r="D853" s="85" t="s">
        <v>133</v>
      </c>
      <c r="E853" s="87">
        <v>0</v>
      </c>
      <c r="F853" s="88">
        <v>6964858.4999999972</v>
      </c>
      <c r="G853" s="87">
        <v>0</v>
      </c>
      <c r="I853" s="87">
        <v>0</v>
      </c>
      <c r="K853" s="87">
        <v>0</v>
      </c>
      <c r="M853" s="87">
        <v>0</v>
      </c>
      <c r="O853" s="87">
        <v>0</v>
      </c>
      <c r="P853" s="88">
        <v>7861281</v>
      </c>
      <c r="Q853" s="87">
        <v>311</v>
      </c>
      <c r="R853" s="87">
        <f t="shared" si="234"/>
        <v>311</v>
      </c>
      <c r="T853" s="87">
        <v>0</v>
      </c>
      <c r="V853" s="87">
        <v>114</v>
      </c>
      <c r="X853" s="87">
        <v>0</v>
      </c>
      <c r="Y853" s="88">
        <v>8605718.0000000056</v>
      </c>
      <c r="Z853" s="111">
        <v>20</v>
      </c>
      <c r="AA853" s="87">
        <v>0</v>
      </c>
      <c r="AB853" s="89">
        <f t="shared" si="235"/>
        <v>0</v>
      </c>
      <c r="AC853" s="89">
        <f t="shared" si="236"/>
        <v>311</v>
      </c>
      <c r="AD853" s="89">
        <f t="shared" si="237"/>
        <v>114</v>
      </c>
      <c r="AE853" s="90">
        <f t="shared" si="238"/>
        <v>0</v>
      </c>
      <c r="AF853" s="90" t="str">
        <f t="shared" si="239"/>
        <v/>
      </c>
      <c r="AG853" s="90">
        <f t="shared" si="240"/>
        <v>311</v>
      </c>
      <c r="AH853" s="90">
        <f t="shared" si="241"/>
        <v>2018</v>
      </c>
      <c r="AI853" s="90">
        <f t="shared" si="242"/>
        <v>20</v>
      </c>
      <c r="AJ853" s="90">
        <f t="shared" si="243"/>
        <v>2022</v>
      </c>
      <c r="AK853" s="90" t="str">
        <f t="shared" si="244"/>
        <v>Adjust</v>
      </c>
      <c r="AL853" s="91">
        <f>IF(AK853="Adjust",(_xlfn.XLOOKUP(A853,'Adj factor'!A:A,'Adj factor'!I:I,,0)*AI853),'Master DataSheet'!AI853)</f>
        <v>22.985972886408305</v>
      </c>
      <c r="AM853" s="91">
        <f t="shared" si="245"/>
        <v>311</v>
      </c>
      <c r="AN853" s="92" t="str">
        <f t="shared" si="246"/>
        <v>Decreasing</v>
      </c>
      <c r="AO853" s="93">
        <f>VLOOKUP(B853,'Growthrates source'!A$2:H$49,8,FALSE)</f>
        <v>-0.11784850836422744</v>
      </c>
      <c r="AP853" s="93">
        <f>VLOOKUP(B853,'Growthrates source'!A$2:I$49,9,FALSE)</f>
        <v>0.29117585098474064</v>
      </c>
      <c r="AQ853" s="86">
        <f t="shared" si="247"/>
        <v>0</v>
      </c>
      <c r="AR853" s="86">
        <f t="shared" si="248"/>
        <v>0</v>
      </c>
      <c r="AS853" s="94">
        <f t="shared" si="249"/>
        <v>0</v>
      </c>
      <c r="AT853" s="94">
        <f t="shared" si="250"/>
        <v>0.39560982491275914</v>
      </c>
      <c r="AU853" s="94">
        <f t="shared" si="251"/>
        <v>0.3613876262271199</v>
      </c>
    </row>
    <row r="854" spans="1:47" x14ac:dyDescent="0.3">
      <c r="A854" s="85" t="str">
        <f>_xlfn.XLOOKUP(B854,'Country codes &amp; Data sources'!G:G,'Country codes &amp; Data sources'!H:H,,0)</f>
        <v>Sierra Leone</v>
      </c>
      <c r="B854" s="85" t="s">
        <v>186</v>
      </c>
      <c r="C854" s="86">
        <v>6788599.5</v>
      </c>
      <c r="D854" s="85" t="s">
        <v>206</v>
      </c>
      <c r="E854" s="87">
        <v>0</v>
      </c>
      <c r="F854" s="88">
        <v>6964858.4999999972</v>
      </c>
      <c r="G854" s="87">
        <v>0</v>
      </c>
      <c r="I854" s="87">
        <v>0</v>
      </c>
      <c r="K854" s="87">
        <v>0</v>
      </c>
      <c r="M854" s="87">
        <v>0</v>
      </c>
      <c r="O854" s="87">
        <v>0</v>
      </c>
      <c r="P854" s="88">
        <v>7861281</v>
      </c>
      <c r="Q854" s="87">
        <v>0</v>
      </c>
      <c r="R854" s="87">
        <f t="shared" si="234"/>
        <v>0</v>
      </c>
      <c r="T854" s="87">
        <v>0</v>
      </c>
      <c r="V854" s="87">
        <v>0</v>
      </c>
      <c r="X854" s="87">
        <v>0</v>
      </c>
      <c r="Y854" s="88">
        <v>8605718.0000000056</v>
      </c>
      <c r="Z854" s="87">
        <v>0</v>
      </c>
      <c r="AA854" s="87">
        <v>0</v>
      </c>
      <c r="AB854" s="89">
        <f t="shared" si="235"/>
        <v>0</v>
      </c>
      <c r="AC854" s="89">
        <f t="shared" si="236"/>
        <v>0</v>
      </c>
      <c r="AD854" s="89">
        <f t="shared" si="237"/>
        <v>0</v>
      </c>
      <c r="AE854" s="90">
        <f t="shared" si="238"/>
        <v>0</v>
      </c>
      <c r="AF854" s="90" t="str">
        <f t="shared" si="239"/>
        <v/>
      </c>
      <c r="AG854" s="90">
        <f t="shared" si="240"/>
        <v>0</v>
      </c>
      <c r="AH854" s="90" t="str">
        <f t="shared" si="241"/>
        <v/>
      </c>
      <c r="AI854" s="90">
        <f t="shared" si="242"/>
        <v>0</v>
      </c>
      <c r="AJ854" s="90" t="str">
        <f t="shared" si="243"/>
        <v/>
      </c>
      <c r="AK854" s="90" t="str">
        <f t="shared" si="244"/>
        <v/>
      </c>
      <c r="AL854" s="91">
        <f>IF(AK854="Adjust",(_xlfn.XLOOKUP(A854,'Adj factor'!A:A,'Adj factor'!I:I,,0)*AI854),'Master DataSheet'!AI854)</f>
        <v>0</v>
      </c>
      <c r="AM854" s="91">
        <f t="shared" si="245"/>
        <v>0</v>
      </c>
      <c r="AN854" s="92" t="str">
        <f t="shared" si="246"/>
        <v>No change</v>
      </c>
      <c r="AO854" s="93">
        <f>VLOOKUP(B854,'Growthrates source'!A$2:H$49,8,FALSE)</f>
        <v>-0.11784850836422744</v>
      </c>
      <c r="AP854" s="93">
        <f>VLOOKUP(B854,'Growthrates source'!A$2:I$49,9,FALSE)</f>
        <v>0.29117585098474064</v>
      </c>
      <c r="AQ854" s="86">
        <f t="shared" si="247"/>
        <v>0</v>
      </c>
      <c r="AR854" s="86">
        <f t="shared" si="248"/>
        <v>0</v>
      </c>
      <c r="AS854" s="94">
        <f t="shared" si="249"/>
        <v>0</v>
      </c>
      <c r="AT854" s="94">
        <f t="shared" si="250"/>
        <v>0</v>
      </c>
      <c r="AU854" s="94">
        <f t="shared" si="251"/>
        <v>0</v>
      </c>
    </row>
    <row r="855" spans="1:47" x14ac:dyDescent="0.3">
      <c r="A855" s="85" t="str">
        <f>_xlfn.XLOOKUP(B855,'Country codes &amp; Data sources'!G:G,'Country codes &amp; Data sources'!H:H,,0)</f>
        <v>Sierra Leone</v>
      </c>
      <c r="B855" s="85" t="s">
        <v>186</v>
      </c>
      <c r="C855" s="86">
        <v>6788600.5</v>
      </c>
      <c r="D855" s="85" t="s">
        <v>136</v>
      </c>
      <c r="E855" s="87">
        <v>0</v>
      </c>
      <c r="F855" s="88">
        <v>6964858.4999999972</v>
      </c>
      <c r="G855" s="87">
        <v>0</v>
      </c>
      <c r="I855" s="87">
        <v>0</v>
      </c>
      <c r="K855" s="87">
        <v>0</v>
      </c>
      <c r="M855" s="87">
        <v>0</v>
      </c>
      <c r="O855" s="87">
        <v>0</v>
      </c>
      <c r="P855" s="88">
        <v>7861281</v>
      </c>
      <c r="Q855" s="87">
        <v>0</v>
      </c>
      <c r="R855" s="87">
        <f t="shared" si="234"/>
        <v>22</v>
      </c>
      <c r="T855" s="87">
        <v>36</v>
      </c>
      <c r="V855" s="87">
        <v>0</v>
      </c>
      <c r="X855" s="87">
        <v>0</v>
      </c>
      <c r="Y855" s="88">
        <v>8605718.0000000056</v>
      </c>
      <c r="Z855" s="96">
        <v>50</v>
      </c>
      <c r="AA855" s="87">
        <v>22</v>
      </c>
      <c r="AB855" s="89">
        <f t="shared" si="235"/>
        <v>0</v>
      </c>
      <c r="AC855" s="89">
        <f t="shared" si="236"/>
        <v>36</v>
      </c>
      <c r="AD855" s="89">
        <f t="shared" si="237"/>
        <v>50</v>
      </c>
      <c r="AE855" s="90">
        <f t="shared" si="238"/>
        <v>0</v>
      </c>
      <c r="AF855" s="90" t="str">
        <f t="shared" si="239"/>
        <v/>
      </c>
      <c r="AG855" s="90">
        <f t="shared" si="240"/>
        <v>22</v>
      </c>
      <c r="AH855" s="90" t="str">
        <f t="shared" si="241"/>
        <v>2018 (triag)</v>
      </c>
      <c r="AI855" s="90">
        <f t="shared" si="242"/>
        <v>50</v>
      </c>
      <c r="AJ855" s="90">
        <f t="shared" si="243"/>
        <v>2022</v>
      </c>
      <c r="AK855" s="90" t="str">
        <f t="shared" si="244"/>
        <v/>
      </c>
      <c r="AL855" s="91">
        <f>IF(AK855="Adjust",(_xlfn.XLOOKUP(A855,'Adj factor'!A:A,'Adj factor'!I:I,,0)*AI855),'Master DataSheet'!AI855)</f>
        <v>50</v>
      </c>
      <c r="AM855" s="91">
        <f t="shared" si="245"/>
        <v>50</v>
      </c>
      <c r="AN855" s="92" t="str">
        <f t="shared" si="246"/>
        <v>Increasing</v>
      </c>
      <c r="AO855" s="93">
        <f>VLOOKUP(B855,'Growthrates source'!A$2:H$49,8,FALSE)</f>
        <v>-0.11784850836422744</v>
      </c>
      <c r="AP855" s="93">
        <f>VLOOKUP(B855,'Growthrates source'!A$2:I$49,9,FALSE)</f>
        <v>0.29117585098474064</v>
      </c>
      <c r="AQ855" s="86">
        <f t="shared" si="247"/>
        <v>39.657694714003654</v>
      </c>
      <c r="AR855" s="86">
        <f t="shared" si="248"/>
        <v>52.697604879755751</v>
      </c>
      <c r="AS855" s="94">
        <f t="shared" si="249"/>
        <v>0</v>
      </c>
      <c r="AT855" s="94">
        <f t="shared" si="250"/>
        <v>2.7985260926304503E-2</v>
      </c>
      <c r="AU855" s="94">
        <f t="shared" si="251"/>
        <v>5.8100904538122174E-2</v>
      </c>
    </row>
    <row r="856" spans="1:47" x14ac:dyDescent="0.3">
      <c r="A856" s="85" t="str">
        <f>_xlfn.XLOOKUP(B856,'Country codes &amp; Data sources'!G:G,'Country codes &amp; Data sources'!H:H,,0)</f>
        <v>Sierra Leone</v>
      </c>
      <c r="B856" s="85" t="s">
        <v>186</v>
      </c>
      <c r="C856" s="86">
        <v>6788601.5</v>
      </c>
      <c r="D856" s="85" t="s">
        <v>207</v>
      </c>
      <c r="E856" s="87">
        <v>0</v>
      </c>
      <c r="F856" s="88">
        <v>6964858.4999999972</v>
      </c>
      <c r="G856" s="87">
        <v>0</v>
      </c>
      <c r="I856" s="87">
        <v>0</v>
      </c>
      <c r="K856" s="87">
        <v>0</v>
      </c>
      <c r="M856" s="87">
        <v>0</v>
      </c>
      <c r="O856" s="87">
        <v>0</v>
      </c>
      <c r="P856" s="88">
        <v>7861281</v>
      </c>
      <c r="Q856" s="87">
        <v>0</v>
      </c>
      <c r="R856" s="87">
        <f t="shared" si="234"/>
        <v>0</v>
      </c>
      <c r="T856" s="87">
        <v>64</v>
      </c>
      <c r="V856" s="87">
        <v>0</v>
      </c>
      <c r="X856" s="87">
        <v>0</v>
      </c>
      <c r="Y856" s="88">
        <v>8605718.0000000056</v>
      </c>
      <c r="Z856" s="87">
        <v>195</v>
      </c>
      <c r="AA856" s="87">
        <v>0</v>
      </c>
      <c r="AB856" s="89">
        <f t="shared" si="235"/>
        <v>0</v>
      </c>
      <c r="AC856" s="89">
        <f t="shared" si="236"/>
        <v>64</v>
      </c>
      <c r="AD856" s="89">
        <f t="shared" si="237"/>
        <v>195</v>
      </c>
      <c r="AE856" s="90">
        <f t="shared" si="238"/>
        <v>0</v>
      </c>
      <c r="AF856" s="90" t="str">
        <f t="shared" si="239"/>
        <v/>
      </c>
      <c r="AG856" s="90">
        <f t="shared" si="240"/>
        <v>64</v>
      </c>
      <c r="AH856" s="90">
        <f t="shared" si="241"/>
        <v>2019</v>
      </c>
      <c r="AI856" s="90">
        <f t="shared" si="242"/>
        <v>195</v>
      </c>
      <c r="AJ856" s="90">
        <f t="shared" si="243"/>
        <v>2022</v>
      </c>
      <c r="AK856" s="90" t="str">
        <f t="shared" si="244"/>
        <v/>
      </c>
      <c r="AL856" s="91">
        <f>IF(AK856="Adjust",(_xlfn.XLOOKUP(A856,'Adj factor'!A:A,'Adj factor'!I:I,,0)*AI856),'Master DataSheet'!AI856)</f>
        <v>195</v>
      </c>
      <c r="AM856" s="91">
        <f t="shared" si="245"/>
        <v>195</v>
      </c>
      <c r="AN856" s="92" t="str">
        <f t="shared" si="246"/>
        <v>Increasing</v>
      </c>
      <c r="AO856" s="93">
        <f>VLOOKUP(B856,'Growthrates source'!A$2:H$49,8,FALSE)</f>
        <v>-0.11784850836422744</v>
      </c>
      <c r="AP856" s="93">
        <f>VLOOKUP(B856,'Growthrates source'!A$2:I$49,9,FALSE)</f>
        <v>0.29117585098474064</v>
      </c>
      <c r="AQ856" s="86">
        <f t="shared" si="247"/>
        <v>0</v>
      </c>
      <c r="AR856" s="86">
        <f t="shared" si="248"/>
        <v>0</v>
      </c>
      <c r="AS856" s="94">
        <f t="shared" si="249"/>
        <v>0</v>
      </c>
      <c r="AT856" s="94">
        <f t="shared" si="250"/>
        <v>8.1411668149249466E-2</v>
      </c>
      <c r="AU856" s="94">
        <f t="shared" si="251"/>
        <v>0.22659352769867647</v>
      </c>
    </row>
    <row r="857" spans="1:47" x14ac:dyDescent="0.3">
      <c r="A857" s="85" t="str">
        <f>_xlfn.XLOOKUP(B857,'Country codes &amp; Data sources'!G:G,'Country codes &amp; Data sources'!H:H,,0)</f>
        <v>Sierra Leone</v>
      </c>
      <c r="B857" s="85" t="s">
        <v>186</v>
      </c>
      <c r="C857" s="86">
        <v>6788602.5</v>
      </c>
      <c r="D857" s="85" t="s">
        <v>141</v>
      </c>
      <c r="E857" s="87">
        <v>0</v>
      </c>
      <c r="F857" s="88">
        <v>6964858.4999999972</v>
      </c>
      <c r="G857" s="87">
        <v>0</v>
      </c>
      <c r="I857" s="87">
        <v>0</v>
      </c>
      <c r="K857" s="87">
        <v>0</v>
      </c>
      <c r="M857" s="87">
        <v>0</v>
      </c>
      <c r="O857" s="87">
        <v>0</v>
      </c>
      <c r="P857" s="88">
        <v>7861281</v>
      </c>
      <c r="Q857" s="87">
        <v>0</v>
      </c>
      <c r="R857" s="87">
        <f t="shared" si="234"/>
        <v>13</v>
      </c>
      <c r="T857" s="87">
        <v>15</v>
      </c>
      <c r="V857" s="87">
        <v>1</v>
      </c>
      <c r="X857" s="87">
        <v>0</v>
      </c>
      <c r="Y857" s="88">
        <v>8605718.0000000056</v>
      </c>
      <c r="Z857" s="87">
        <v>2</v>
      </c>
      <c r="AA857" s="87">
        <v>13</v>
      </c>
      <c r="AB857" s="89">
        <f t="shared" si="235"/>
        <v>0</v>
      </c>
      <c r="AC857" s="89">
        <f t="shared" si="236"/>
        <v>15</v>
      </c>
      <c r="AD857" s="89">
        <f t="shared" si="237"/>
        <v>2</v>
      </c>
      <c r="AE857" s="90">
        <f t="shared" si="238"/>
        <v>0</v>
      </c>
      <c r="AF857" s="90" t="str">
        <f t="shared" si="239"/>
        <v/>
      </c>
      <c r="AG857" s="90">
        <f t="shared" si="240"/>
        <v>13</v>
      </c>
      <c r="AH857" s="90" t="str">
        <f t="shared" si="241"/>
        <v>2018 (triag)</v>
      </c>
      <c r="AI857" s="90">
        <f t="shared" si="242"/>
        <v>2</v>
      </c>
      <c r="AJ857" s="90">
        <f t="shared" si="243"/>
        <v>2022</v>
      </c>
      <c r="AK857" s="90" t="str">
        <f t="shared" si="244"/>
        <v>Adjust</v>
      </c>
      <c r="AL857" s="91">
        <f>IF(AK857="Adjust",(_xlfn.XLOOKUP(A857,'Adj factor'!A:A,'Adj factor'!I:I,,0)*AI857),'Master DataSheet'!AI857)</f>
        <v>2.2985972886408303</v>
      </c>
      <c r="AM857" s="91">
        <f t="shared" si="245"/>
        <v>13</v>
      </c>
      <c r="AN857" s="92" t="str">
        <f t="shared" si="246"/>
        <v>Decreasing</v>
      </c>
      <c r="AO857" s="93">
        <f>VLOOKUP(B857,'Growthrates source'!A$2:H$49,8,FALSE)</f>
        <v>-0.11784850836422744</v>
      </c>
      <c r="AP857" s="93">
        <f>VLOOKUP(B857,'Growthrates source'!A$2:I$49,9,FALSE)</f>
        <v>0.29117585098474064</v>
      </c>
      <c r="AQ857" s="86">
        <f t="shared" si="247"/>
        <v>23.434092331002159</v>
      </c>
      <c r="AR857" s="86">
        <f t="shared" si="248"/>
        <v>31.139493792582947</v>
      </c>
      <c r="AS857" s="94">
        <f t="shared" si="249"/>
        <v>0</v>
      </c>
      <c r="AT857" s="94">
        <f t="shared" si="250"/>
        <v>1.6536745092816298E-2</v>
      </c>
      <c r="AU857" s="94">
        <f t="shared" si="251"/>
        <v>1.5106235179911765E-2</v>
      </c>
    </row>
    <row r="858" spans="1:47" x14ac:dyDescent="0.3">
      <c r="A858" s="85" t="str">
        <f>_xlfn.XLOOKUP(B858,'Country codes &amp; Data sources'!G:G,'Country codes &amp; Data sources'!H:H,,0)</f>
        <v>Sierra Leone</v>
      </c>
      <c r="B858" s="85" t="s">
        <v>186</v>
      </c>
      <c r="C858" s="86">
        <v>6788603.5</v>
      </c>
      <c r="D858" s="85" t="s">
        <v>208</v>
      </c>
      <c r="E858" s="87">
        <v>0</v>
      </c>
      <c r="F858" s="88">
        <v>6964858.4999999972</v>
      </c>
      <c r="G858" s="87">
        <v>0</v>
      </c>
      <c r="I858" s="87">
        <v>0</v>
      </c>
      <c r="K858" s="87">
        <v>0</v>
      </c>
      <c r="M858" s="87">
        <v>0</v>
      </c>
      <c r="O858" s="87">
        <v>0</v>
      </c>
      <c r="P858" s="88">
        <v>7861281</v>
      </c>
      <c r="Q858" s="87">
        <v>0</v>
      </c>
      <c r="R858" s="87">
        <f t="shared" si="234"/>
        <v>0</v>
      </c>
      <c r="T858" s="87">
        <v>0</v>
      </c>
      <c r="V858" s="87">
        <v>0</v>
      </c>
      <c r="X858" s="87">
        <v>0</v>
      </c>
      <c r="Y858" s="88">
        <v>8605718.0000000056</v>
      </c>
      <c r="Z858" s="87">
        <v>0</v>
      </c>
      <c r="AA858" s="87">
        <v>0</v>
      </c>
      <c r="AB858" s="89">
        <f t="shared" si="235"/>
        <v>0</v>
      </c>
      <c r="AC858" s="89">
        <f t="shared" si="236"/>
        <v>0</v>
      </c>
      <c r="AD858" s="89">
        <f t="shared" si="237"/>
        <v>0</v>
      </c>
      <c r="AE858" s="90">
        <f t="shared" si="238"/>
        <v>0</v>
      </c>
      <c r="AF858" s="90" t="str">
        <f t="shared" si="239"/>
        <v/>
      </c>
      <c r="AG858" s="90">
        <f t="shared" si="240"/>
        <v>0</v>
      </c>
      <c r="AH858" s="90" t="str">
        <f t="shared" si="241"/>
        <v/>
      </c>
      <c r="AI858" s="90">
        <f t="shared" si="242"/>
        <v>0</v>
      </c>
      <c r="AJ858" s="90" t="str">
        <f t="shared" si="243"/>
        <v/>
      </c>
      <c r="AK858" s="90" t="str">
        <f t="shared" si="244"/>
        <v/>
      </c>
      <c r="AL858" s="91">
        <f>IF(AK858="Adjust",(_xlfn.XLOOKUP(A858,'Adj factor'!A:A,'Adj factor'!I:I,,0)*AI858),'Master DataSheet'!AI858)</f>
        <v>0</v>
      </c>
      <c r="AM858" s="91">
        <f t="shared" si="245"/>
        <v>0</v>
      </c>
      <c r="AN858" s="92" t="str">
        <f t="shared" si="246"/>
        <v>No change</v>
      </c>
      <c r="AO858" s="93">
        <f>VLOOKUP(B858,'Growthrates source'!A$2:H$49,8,FALSE)</f>
        <v>-0.11784850836422744</v>
      </c>
      <c r="AP858" s="93">
        <f>VLOOKUP(B858,'Growthrates source'!A$2:I$49,9,FALSE)</f>
        <v>0.29117585098474064</v>
      </c>
      <c r="AQ858" s="86">
        <f t="shared" si="247"/>
        <v>0</v>
      </c>
      <c r="AR858" s="86">
        <f t="shared" si="248"/>
        <v>0</v>
      </c>
      <c r="AS858" s="94">
        <f t="shared" si="249"/>
        <v>0</v>
      </c>
      <c r="AT858" s="94">
        <f t="shared" si="250"/>
        <v>0</v>
      </c>
      <c r="AU858" s="94">
        <f t="shared" si="251"/>
        <v>0</v>
      </c>
    </row>
    <row r="859" spans="1:47" x14ac:dyDescent="0.3">
      <c r="A859" s="85" t="str">
        <f>_xlfn.XLOOKUP(B859,'Country codes &amp; Data sources'!G:G,'Country codes &amp; Data sources'!H:H,,0)</f>
        <v>Sierra Leone</v>
      </c>
      <c r="B859" s="85" t="s">
        <v>186</v>
      </c>
      <c r="C859" s="86">
        <v>6788604.5</v>
      </c>
      <c r="D859" s="85" t="s">
        <v>209</v>
      </c>
      <c r="E859" s="87">
        <v>0</v>
      </c>
      <c r="F859" s="88">
        <v>6964858.4999999972</v>
      </c>
      <c r="G859" s="87">
        <v>0</v>
      </c>
      <c r="I859" s="87">
        <v>0</v>
      </c>
      <c r="K859" s="87">
        <v>0</v>
      </c>
      <c r="M859" s="87">
        <v>0</v>
      </c>
      <c r="O859" s="87">
        <v>0</v>
      </c>
      <c r="P859" s="88">
        <v>7861281</v>
      </c>
      <c r="Q859" s="87">
        <v>0</v>
      </c>
      <c r="R859" s="87">
        <f t="shared" si="234"/>
        <v>0</v>
      </c>
      <c r="T859" s="87">
        <v>0</v>
      </c>
      <c r="V859" s="87">
        <v>0</v>
      </c>
      <c r="X859" s="87">
        <v>0</v>
      </c>
      <c r="Y859" s="88">
        <v>8605718.0000000056</v>
      </c>
      <c r="Z859" s="87">
        <v>0</v>
      </c>
      <c r="AA859" s="87">
        <v>0</v>
      </c>
      <c r="AB859" s="89">
        <f t="shared" si="235"/>
        <v>0</v>
      </c>
      <c r="AC859" s="89">
        <f t="shared" si="236"/>
        <v>0</v>
      </c>
      <c r="AD859" s="89">
        <f t="shared" si="237"/>
        <v>0</v>
      </c>
      <c r="AE859" s="90">
        <f t="shared" si="238"/>
        <v>0</v>
      </c>
      <c r="AF859" s="90" t="str">
        <f t="shared" si="239"/>
        <v/>
      </c>
      <c r="AG859" s="90">
        <f t="shared" si="240"/>
        <v>0</v>
      </c>
      <c r="AH859" s="90" t="str">
        <f t="shared" si="241"/>
        <v/>
      </c>
      <c r="AI859" s="90">
        <f t="shared" si="242"/>
        <v>0</v>
      </c>
      <c r="AJ859" s="90" t="str">
        <f t="shared" si="243"/>
        <v/>
      </c>
      <c r="AK859" s="90" t="str">
        <f t="shared" si="244"/>
        <v/>
      </c>
      <c r="AL859" s="91">
        <f>IF(AK859="Adjust",(_xlfn.XLOOKUP(A859,'Adj factor'!A:A,'Adj factor'!I:I,,0)*AI859),'Master DataSheet'!AI859)</f>
        <v>0</v>
      </c>
      <c r="AM859" s="91">
        <f t="shared" si="245"/>
        <v>0</v>
      </c>
      <c r="AN859" s="92" t="str">
        <f t="shared" si="246"/>
        <v>No change</v>
      </c>
      <c r="AO859" s="93">
        <f>VLOOKUP(B859,'Growthrates source'!A$2:H$49,8,FALSE)</f>
        <v>-0.11784850836422744</v>
      </c>
      <c r="AP859" s="93">
        <f>VLOOKUP(B859,'Growthrates source'!A$2:I$49,9,FALSE)</f>
        <v>0.29117585098474064</v>
      </c>
      <c r="AQ859" s="86">
        <f t="shared" si="247"/>
        <v>0</v>
      </c>
      <c r="AR859" s="86">
        <f t="shared" si="248"/>
        <v>0</v>
      </c>
      <c r="AS859" s="94">
        <f t="shared" si="249"/>
        <v>0</v>
      </c>
      <c r="AT859" s="94">
        <f t="shared" si="250"/>
        <v>0</v>
      </c>
      <c r="AU859" s="94">
        <f t="shared" si="251"/>
        <v>0</v>
      </c>
    </row>
    <row r="860" spans="1:47" x14ac:dyDescent="0.3">
      <c r="A860" s="85" t="str">
        <f>_xlfn.XLOOKUP(B860,'Country codes &amp; Data sources'!G:G,'Country codes &amp; Data sources'!H:H,,0)</f>
        <v>Sierra Leone</v>
      </c>
      <c r="B860" s="85" t="s">
        <v>186</v>
      </c>
      <c r="C860" s="86">
        <v>6788605.5</v>
      </c>
      <c r="D860" s="85" t="s">
        <v>134</v>
      </c>
      <c r="E860" s="87">
        <v>0</v>
      </c>
      <c r="F860" s="88">
        <v>6964858.4999999972</v>
      </c>
      <c r="G860" s="87">
        <v>0</v>
      </c>
      <c r="I860" s="87">
        <v>0</v>
      </c>
      <c r="K860" s="87">
        <v>0</v>
      </c>
      <c r="M860" s="87">
        <v>0</v>
      </c>
      <c r="O860" s="87">
        <v>0</v>
      </c>
      <c r="P860" s="88">
        <v>7861281</v>
      </c>
      <c r="Q860" s="87">
        <v>0</v>
      </c>
      <c r="R860" s="87">
        <f t="shared" si="234"/>
        <v>311</v>
      </c>
      <c r="T860" s="87">
        <v>342</v>
      </c>
      <c r="V860" s="87">
        <v>0</v>
      </c>
      <c r="X860" s="87">
        <v>0</v>
      </c>
      <c r="Y860" s="88">
        <v>8605718.0000000056</v>
      </c>
      <c r="Z860" s="87">
        <v>298</v>
      </c>
      <c r="AA860" s="87">
        <v>311</v>
      </c>
      <c r="AB860" s="89">
        <f t="shared" si="235"/>
        <v>0</v>
      </c>
      <c r="AC860" s="89">
        <f t="shared" si="236"/>
        <v>342</v>
      </c>
      <c r="AD860" s="89">
        <f t="shared" si="237"/>
        <v>298</v>
      </c>
      <c r="AE860" s="90">
        <f t="shared" si="238"/>
        <v>0</v>
      </c>
      <c r="AF860" s="90" t="str">
        <f t="shared" si="239"/>
        <v/>
      </c>
      <c r="AG860" s="90">
        <f t="shared" si="240"/>
        <v>311</v>
      </c>
      <c r="AH860" s="90" t="str">
        <f t="shared" si="241"/>
        <v>2018 (triag)</v>
      </c>
      <c r="AI860" s="90">
        <f t="shared" si="242"/>
        <v>298</v>
      </c>
      <c r="AJ860" s="90">
        <f t="shared" si="243"/>
        <v>2022</v>
      </c>
      <c r="AK860" s="90" t="str">
        <f t="shared" si="244"/>
        <v>Adjust</v>
      </c>
      <c r="AL860" s="91">
        <f>IF(AK860="Adjust",(_xlfn.XLOOKUP(A860,'Adj factor'!A:A,'Adj factor'!I:I,,0)*AI860),'Master DataSheet'!AI860)</f>
        <v>342.49099600748372</v>
      </c>
      <c r="AM860" s="91">
        <f t="shared" si="245"/>
        <v>342.49099600748372</v>
      </c>
      <c r="AN860" s="92" t="str">
        <f t="shared" si="246"/>
        <v>Increasing</v>
      </c>
      <c r="AO860" s="93">
        <f>VLOOKUP(B860,'Growthrates source'!A$2:H$49,8,FALSE)</f>
        <v>-0.11784850836422744</v>
      </c>
      <c r="AP860" s="93">
        <f>VLOOKUP(B860,'Growthrates source'!A$2:I$49,9,FALSE)</f>
        <v>0.29117585098474064</v>
      </c>
      <c r="AQ860" s="86">
        <f t="shared" si="247"/>
        <v>560.61559345705166</v>
      </c>
      <c r="AR860" s="86">
        <f t="shared" si="248"/>
        <v>744.9525053456382</v>
      </c>
      <c r="AS860" s="94">
        <f t="shared" si="249"/>
        <v>0</v>
      </c>
      <c r="AT860" s="94">
        <f t="shared" si="250"/>
        <v>0.39560982491275914</v>
      </c>
      <c r="AU860" s="94">
        <f t="shared" si="251"/>
        <v>0.3979807332839439</v>
      </c>
    </row>
    <row r="861" spans="1:47" x14ac:dyDescent="0.3">
      <c r="A861" s="85" t="str">
        <f>_xlfn.XLOOKUP(B861,'Country codes &amp; Data sources'!G:G,'Country codes &amp; Data sources'!H:H,,0)</f>
        <v>Sierra Leone</v>
      </c>
      <c r="B861" s="85" t="s">
        <v>186</v>
      </c>
      <c r="C861" s="86">
        <v>6788606.5</v>
      </c>
      <c r="D861" s="85" t="s">
        <v>142</v>
      </c>
      <c r="E861" s="87">
        <v>0</v>
      </c>
      <c r="F861" s="88">
        <v>6964858.4999999972</v>
      </c>
      <c r="G861" s="87">
        <v>0</v>
      </c>
      <c r="I861" s="87">
        <v>0</v>
      </c>
      <c r="K861" s="87">
        <v>0</v>
      </c>
      <c r="M861" s="87">
        <v>0</v>
      </c>
      <c r="O861" s="87">
        <v>0</v>
      </c>
      <c r="P861" s="88">
        <v>7861281</v>
      </c>
      <c r="Q861" s="87">
        <v>0</v>
      </c>
      <c r="R861" s="87">
        <f t="shared" si="234"/>
        <v>0</v>
      </c>
      <c r="T861" s="87">
        <v>319</v>
      </c>
      <c r="V861" s="87">
        <v>650</v>
      </c>
      <c r="X861" s="87">
        <v>0</v>
      </c>
      <c r="Y861" s="88">
        <v>8605718.0000000056</v>
      </c>
      <c r="Z861" s="87">
        <v>0</v>
      </c>
      <c r="AA861" s="87">
        <v>0</v>
      </c>
      <c r="AB861" s="89">
        <f t="shared" si="235"/>
        <v>0</v>
      </c>
      <c r="AC861" s="89">
        <f t="shared" si="236"/>
        <v>319</v>
      </c>
      <c r="AD861" s="89">
        <f t="shared" si="237"/>
        <v>650</v>
      </c>
      <c r="AE861" s="90">
        <f t="shared" si="238"/>
        <v>0</v>
      </c>
      <c r="AF861" s="90" t="str">
        <f t="shared" si="239"/>
        <v/>
      </c>
      <c r="AG861" s="90">
        <f t="shared" si="240"/>
        <v>319</v>
      </c>
      <c r="AH861" s="90">
        <f t="shared" si="241"/>
        <v>2019</v>
      </c>
      <c r="AI861" s="90">
        <f t="shared" si="242"/>
        <v>650</v>
      </c>
      <c r="AJ861" s="90">
        <f t="shared" si="243"/>
        <v>2020</v>
      </c>
      <c r="AK861" s="90" t="str">
        <f t="shared" si="244"/>
        <v/>
      </c>
      <c r="AL861" s="91">
        <f>IF(AK861="Adjust",(_xlfn.XLOOKUP(A861,'Adj factor'!A:A,'Adj factor'!I:I,,0)*AI861),'Master DataSheet'!AI861)</f>
        <v>650</v>
      </c>
      <c r="AM861" s="91">
        <f t="shared" si="245"/>
        <v>650</v>
      </c>
      <c r="AN861" s="92" t="str">
        <f t="shared" si="246"/>
        <v>Increasing</v>
      </c>
      <c r="AO861" s="93">
        <f>VLOOKUP(B861,'Growthrates source'!A$2:H$49,8,FALSE)</f>
        <v>-0.11784850836422744</v>
      </c>
      <c r="AP861" s="93">
        <f>VLOOKUP(B861,'Growthrates source'!A$2:I$49,9,FALSE)</f>
        <v>0.29117585098474064</v>
      </c>
      <c r="AQ861" s="86">
        <f t="shared" si="247"/>
        <v>0</v>
      </c>
      <c r="AR861" s="86">
        <f t="shared" si="248"/>
        <v>0</v>
      </c>
      <c r="AS861" s="94">
        <f t="shared" si="249"/>
        <v>0</v>
      </c>
      <c r="AT861" s="94">
        <f t="shared" si="250"/>
        <v>0.40578628343141532</v>
      </c>
      <c r="AU861" s="94">
        <f t="shared" si="251"/>
        <v>0.75531175899558822</v>
      </c>
    </row>
    <row r="862" spans="1:47" x14ac:dyDescent="0.3">
      <c r="A862" s="85" t="str">
        <f>_xlfn.XLOOKUP(B862,'Country codes &amp; Data sources'!G:G,'Country codes &amp; Data sources'!H:H,,0)</f>
        <v>Sierra Leone</v>
      </c>
      <c r="B862" s="85" t="s">
        <v>186</v>
      </c>
      <c r="C862" s="86">
        <v>6788607.5</v>
      </c>
      <c r="D862" s="85" t="s">
        <v>83</v>
      </c>
      <c r="E862" s="87">
        <v>0</v>
      </c>
      <c r="F862" s="88">
        <v>6964858.4999999972</v>
      </c>
      <c r="G862" s="87">
        <v>0</v>
      </c>
      <c r="I862" s="87">
        <v>0</v>
      </c>
      <c r="K862" s="87">
        <v>0</v>
      </c>
      <c r="M862" s="87">
        <v>0</v>
      </c>
      <c r="O862" s="87">
        <v>0</v>
      </c>
      <c r="P862" s="88">
        <v>7861281</v>
      </c>
      <c r="Q862" s="87">
        <v>0</v>
      </c>
      <c r="R862" s="87">
        <f t="shared" si="234"/>
        <v>13</v>
      </c>
      <c r="T862" s="87">
        <v>8</v>
      </c>
      <c r="V862" s="87">
        <v>6</v>
      </c>
      <c r="X862" s="87">
        <v>0</v>
      </c>
      <c r="Y862" s="88">
        <v>8605718.0000000056</v>
      </c>
      <c r="Z862" s="87">
        <v>6</v>
      </c>
      <c r="AA862" s="87">
        <v>13</v>
      </c>
      <c r="AB862" s="89">
        <f t="shared" si="235"/>
        <v>0</v>
      </c>
      <c r="AC862" s="89">
        <f t="shared" si="236"/>
        <v>8</v>
      </c>
      <c r="AD862" s="89">
        <f t="shared" si="237"/>
        <v>6</v>
      </c>
      <c r="AE862" s="90">
        <f t="shared" si="238"/>
        <v>0</v>
      </c>
      <c r="AF862" s="90" t="str">
        <f t="shared" si="239"/>
        <v/>
      </c>
      <c r="AG862" s="90">
        <f t="shared" si="240"/>
        <v>13</v>
      </c>
      <c r="AH862" s="90" t="str">
        <f t="shared" si="241"/>
        <v>2018 (triag)</v>
      </c>
      <c r="AI862" s="90">
        <f t="shared" si="242"/>
        <v>6</v>
      </c>
      <c r="AJ862" s="90">
        <f t="shared" si="243"/>
        <v>2020</v>
      </c>
      <c r="AK862" s="90" t="str">
        <f t="shared" si="244"/>
        <v>Adjust</v>
      </c>
      <c r="AL862" s="91">
        <f>IF(AK862="Adjust",(_xlfn.XLOOKUP(A862,'Adj factor'!A:A,'Adj factor'!I:I,,0)*AI862),'Master DataSheet'!AI862)</f>
        <v>6.895791865922491</v>
      </c>
      <c r="AM862" s="91">
        <f t="shared" si="245"/>
        <v>13</v>
      </c>
      <c r="AN862" s="92" t="str">
        <f t="shared" si="246"/>
        <v>Decreasing</v>
      </c>
      <c r="AO862" s="93">
        <f>VLOOKUP(B862,'Growthrates source'!A$2:H$49,8,FALSE)</f>
        <v>-0.11784850836422744</v>
      </c>
      <c r="AP862" s="93">
        <f>VLOOKUP(B862,'Growthrates source'!A$2:I$49,9,FALSE)</f>
        <v>0.29117585098474064</v>
      </c>
      <c r="AQ862" s="86">
        <f t="shared" si="247"/>
        <v>23.434092331002159</v>
      </c>
      <c r="AR862" s="86">
        <f t="shared" si="248"/>
        <v>31.139493792582947</v>
      </c>
      <c r="AS862" s="94">
        <f t="shared" si="249"/>
        <v>0</v>
      </c>
      <c r="AT862" s="94">
        <f t="shared" si="250"/>
        <v>1.6536745092816298E-2</v>
      </c>
      <c r="AU862" s="94">
        <f t="shared" si="251"/>
        <v>1.5106235179911765E-2</v>
      </c>
    </row>
    <row r="863" spans="1:47" x14ac:dyDescent="0.3">
      <c r="A863" s="85" t="str">
        <f>_xlfn.XLOOKUP(B863,'Country codes &amp; Data sources'!G:G,'Country codes &amp; Data sources'!H:H,,0)</f>
        <v>Sierra Leone</v>
      </c>
      <c r="B863" s="85" t="s">
        <v>186</v>
      </c>
      <c r="C863" s="86">
        <v>6788608.5</v>
      </c>
      <c r="D863" s="85" t="s">
        <v>84</v>
      </c>
      <c r="E863" s="87">
        <v>0</v>
      </c>
      <c r="F863" s="88">
        <v>6964858.4999999972</v>
      </c>
      <c r="G863" s="87">
        <v>0</v>
      </c>
      <c r="I863" s="87">
        <v>1511</v>
      </c>
      <c r="K863" s="87">
        <v>0</v>
      </c>
      <c r="M863" s="87">
        <v>0</v>
      </c>
      <c r="O863" s="87">
        <v>0</v>
      </c>
      <c r="P863" s="88">
        <v>7861281</v>
      </c>
      <c r="Q863" s="87">
        <v>0</v>
      </c>
      <c r="R863" s="87">
        <f t="shared" si="234"/>
        <v>0</v>
      </c>
      <c r="T863" s="87">
        <v>0</v>
      </c>
      <c r="V863" s="87">
        <v>0</v>
      </c>
      <c r="X863" s="87">
        <v>0</v>
      </c>
      <c r="Y863" s="88">
        <v>8605718.0000000056</v>
      </c>
      <c r="Z863" s="87">
        <v>0</v>
      </c>
      <c r="AA863" s="87">
        <v>0</v>
      </c>
      <c r="AB863" s="89">
        <f t="shared" si="235"/>
        <v>1511</v>
      </c>
      <c r="AC863" s="89">
        <f t="shared" si="236"/>
        <v>0</v>
      </c>
      <c r="AD863" s="89">
        <f t="shared" si="237"/>
        <v>0</v>
      </c>
      <c r="AE863" s="90">
        <f t="shared" si="238"/>
        <v>1511</v>
      </c>
      <c r="AF863" s="90">
        <f t="shared" si="239"/>
        <v>2014</v>
      </c>
      <c r="AG863" s="90">
        <f t="shared" si="240"/>
        <v>0</v>
      </c>
      <c r="AH863" s="90" t="str">
        <f t="shared" si="241"/>
        <v/>
      </c>
      <c r="AI863" s="90">
        <f t="shared" si="242"/>
        <v>0</v>
      </c>
      <c r="AJ863" s="90" t="str">
        <f t="shared" si="243"/>
        <v/>
      </c>
      <c r="AK863" s="90" t="str">
        <f t="shared" si="244"/>
        <v/>
      </c>
      <c r="AL863" s="91">
        <f>IF(AK863="Adjust",(_xlfn.XLOOKUP(A863,'Adj factor'!A:A,'Adj factor'!I:I,,0)*AI863),'Master DataSheet'!AI863)</f>
        <v>0</v>
      </c>
      <c r="AM863" s="91">
        <f t="shared" si="245"/>
        <v>0</v>
      </c>
      <c r="AN863" s="92" t="str">
        <f t="shared" si="246"/>
        <v>No change</v>
      </c>
      <c r="AO863" s="93">
        <f>VLOOKUP(B863,'Growthrates source'!A$2:H$49,8,FALSE)</f>
        <v>-0.11784850836422744</v>
      </c>
      <c r="AP863" s="93">
        <f>VLOOKUP(B863,'Growthrates source'!A$2:I$49,9,FALSE)</f>
        <v>0.29117585098474064</v>
      </c>
      <c r="AQ863" s="86">
        <f t="shared" si="247"/>
        <v>0</v>
      </c>
      <c r="AR863" s="86">
        <f t="shared" si="248"/>
        <v>0</v>
      </c>
      <c r="AS863" s="94">
        <f t="shared" si="249"/>
        <v>2.169462595686618</v>
      </c>
      <c r="AT863" s="94">
        <f t="shared" si="250"/>
        <v>0</v>
      </c>
      <c r="AU863" s="94">
        <f t="shared" si="251"/>
        <v>0</v>
      </c>
    </row>
    <row r="864" spans="1:47" x14ac:dyDescent="0.3">
      <c r="A864" s="85" t="str">
        <f>_xlfn.XLOOKUP(B864,'Country codes &amp; Data sources'!G:G,'Country codes &amp; Data sources'!H:H,,0)</f>
        <v>Sierra Leone</v>
      </c>
      <c r="B864" s="85" t="s">
        <v>186</v>
      </c>
      <c r="C864" s="86">
        <v>6788609.5</v>
      </c>
      <c r="D864" s="85" t="s">
        <v>126</v>
      </c>
      <c r="E864" s="87">
        <v>0</v>
      </c>
      <c r="F864" s="88">
        <v>6964858.4999999972</v>
      </c>
      <c r="G864" s="87">
        <v>0</v>
      </c>
      <c r="I864" s="87">
        <v>0</v>
      </c>
      <c r="K864" s="87">
        <v>0</v>
      </c>
      <c r="M864" s="87">
        <v>0</v>
      </c>
      <c r="O864" s="87">
        <v>0</v>
      </c>
      <c r="P864" s="88">
        <v>7861281</v>
      </c>
      <c r="Q864" s="87">
        <v>0</v>
      </c>
      <c r="R864" s="87">
        <f t="shared" si="234"/>
        <v>0</v>
      </c>
      <c r="T864" s="87">
        <v>0</v>
      </c>
      <c r="V864" s="87">
        <v>0</v>
      </c>
      <c r="X864" s="87">
        <v>0</v>
      </c>
      <c r="Y864" s="88">
        <v>8605718.0000000056</v>
      </c>
      <c r="Z864" s="87">
        <v>0</v>
      </c>
      <c r="AA864" s="87">
        <v>0</v>
      </c>
      <c r="AB864" s="89">
        <f t="shared" si="235"/>
        <v>0</v>
      </c>
      <c r="AC864" s="89">
        <f t="shared" si="236"/>
        <v>0</v>
      </c>
      <c r="AD864" s="89">
        <f t="shared" si="237"/>
        <v>0</v>
      </c>
      <c r="AE864" s="90">
        <f t="shared" si="238"/>
        <v>0</v>
      </c>
      <c r="AF864" s="90" t="str">
        <f t="shared" si="239"/>
        <v/>
      </c>
      <c r="AG864" s="90">
        <f t="shared" si="240"/>
        <v>0</v>
      </c>
      <c r="AH864" s="90" t="str">
        <f t="shared" si="241"/>
        <v/>
      </c>
      <c r="AI864" s="90">
        <f t="shared" si="242"/>
        <v>0</v>
      </c>
      <c r="AJ864" s="90" t="str">
        <f t="shared" si="243"/>
        <v/>
      </c>
      <c r="AK864" s="90" t="str">
        <f t="shared" si="244"/>
        <v/>
      </c>
      <c r="AL864" s="91">
        <f>IF(AK864="Adjust",(_xlfn.XLOOKUP(A864,'Adj factor'!A:A,'Adj factor'!I:I,,0)*AI864),'Master DataSheet'!AI864)</f>
        <v>0</v>
      </c>
      <c r="AM864" s="91">
        <f t="shared" si="245"/>
        <v>0</v>
      </c>
      <c r="AN864" s="92" t="str">
        <f t="shared" si="246"/>
        <v>No change</v>
      </c>
      <c r="AO864" s="93">
        <f>VLOOKUP(B864,'Growthrates source'!A$2:H$49,8,FALSE)</f>
        <v>-0.11784850836422744</v>
      </c>
      <c r="AP864" s="93">
        <f>VLOOKUP(B864,'Growthrates source'!A$2:I$49,9,FALSE)</f>
        <v>0.29117585098474064</v>
      </c>
      <c r="AQ864" s="86">
        <f t="shared" si="247"/>
        <v>0</v>
      </c>
      <c r="AR864" s="86">
        <f t="shared" si="248"/>
        <v>0</v>
      </c>
      <c r="AS864" s="94">
        <f t="shared" si="249"/>
        <v>0</v>
      </c>
      <c r="AT864" s="94">
        <f t="shared" si="250"/>
        <v>0</v>
      </c>
      <c r="AU864" s="94">
        <f t="shared" si="251"/>
        <v>0</v>
      </c>
    </row>
    <row r="865" spans="1:47" x14ac:dyDescent="0.3">
      <c r="A865" s="85" t="str">
        <f>_xlfn.XLOOKUP(B865,'Country codes &amp; Data sources'!G:G,'Country codes &amp; Data sources'!H:H,,0)</f>
        <v>Sierra Leone</v>
      </c>
      <c r="B865" s="85" t="s">
        <v>186</v>
      </c>
      <c r="C865" s="86">
        <v>6788610.5</v>
      </c>
      <c r="D865" s="85" t="s">
        <v>87</v>
      </c>
      <c r="E865" s="87">
        <v>0</v>
      </c>
      <c r="F865" s="88">
        <v>6964858.4999999972</v>
      </c>
      <c r="G865" s="87">
        <v>0</v>
      </c>
      <c r="I865" s="87">
        <v>3046</v>
      </c>
      <c r="K865" s="87">
        <v>0</v>
      </c>
      <c r="M865" s="87">
        <v>0</v>
      </c>
      <c r="O865" s="87">
        <v>0</v>
      </c>
      <c r="P865" s="88">
        <v>7861281</v>
      </c>
      <c r="Q865" s="87">
        <v>0</v>
      </c>
      <c r="R865" s="87">
        <f t="shared" si="234"/>
        <v>0</v>
      </c>
      <c r="T865" s="87">
        <v>0</v>
      </c>
      <c r="V865" s="87">
        <v>0</v>
      </c>
      <c r="X865" s="87">
        <v>0</v>
      </c>
      <c r="Y865" s="88">
        <v>8605718.0000000056</v>
      </c>
      <c r="Z865" s="87">
        <v>0</v>
      </c>
      <c r="AA865" s="87">
        <v>0</v>
      </c>
      <c r="AB865" s="89">
        <f t="shared" si="235"/>
        <v>3046</v>
      </c>
      <c r="AC865" s="89">
        <f t="shared" si="236"/>
        <v>0</v>
      </c>
      <c r="AD865" s="89">
        <f t="shared" si="237"/>
        <v>0</v>
      </c>
      <c r="AE865" s="90">
        <f t="shared" si="238"/>
        <v>3046</v>
      </c>
      <c r="AF865" s="90">
        <f t="shared" si="239"/>
        <v>2014</v>
      </c>
      <c r="AG865" s="90">
        <f t="shared" si="240"/>
        <v>0</v>
      </c>
      <c r="AH865" s="90" t="str">
        <f t="shared" si="241"/>
        <v/>
      </c>
      <c r="AI865" s="90">
        <f t="shared" si="242"/>
        <v>0</v>
      </c>
      <c r="AJ865" s="90" t="str">
        <f t="shared" si="243"/>
        <v/>
      </c>
      <c r="AK865" s="90" t="str">
        <f t="shared" si="244"/>
        <v/>
      </c>
      <c r="AL865" s="91">
        <f>IF(AK865="Adjust",(_xlfn.XLOOKUP(A865,'Adj factor'!A:A,'Adj factor'!I:I,,0)*AI865),'Master DataSheet'!AI865)</f>
        <v>0</v>
      </c>
      <c r="AM865" s="91">
        <f t="shared" si="245"/>
        <v>0</v>
      </c>
      <c r="AN865" s="92" t="str">
        <f t="shared" si="246"/>
        <v>No change</v>
      </c>
      <c r="AO865" s="93">
        <f>VLOOKUP(B865,'Growthrates source'!A$2:H$49,8,FALSE)</f>
        <v>-0.11784850836422744</v>
      </c>
      <c r="AP865" s="93">
        <f>VLOOKUP(B865,'Growthrates source'!A$2:I$49,9,FALSE)</f>
        <v>0.29117585098474064</v>
      </c>
      <c r="AQ865" s="86">
        <f t="shared" si="247"/>
        <v>0</v>
      </c>
      <c r="AR865" s="86">
        <f t="shared" si="248"/>
        <v>0</v>
      </c>
      <c r="AS865" s="94">
        <f t="shared" si="249"/>
        <v>4.3733838957388746</v>
      </c>
      <c r="AT865" s="94">
        <f t="shared" si="250"/>
        <v>0</v>
      </c>
      <c r="AU865" s="94">
        <f t="shared" si="251"/>
        <v>0</v>
      </c>
    </row>
    <row r="866" spans="1:47" x14ac:dyDescent="0.3">
      <c r="A866" s="85" t="str">
        <f>_xlfn.XLOOKUP(B866,'Country codes &amp; Data sources'!G:G,'Country codes &amp; Data sources'!H:H,,0)</f>
        <v>South Sudan</v>
      </c>
      <c r="B866" s="85" t="s">
        <v>188</v>
      </c>
      <c r="C866" s="86">
        <v>10701604.500000004</v>
      </c>
      <c r="D866" s="85" t="s">
        <v>321</v>
      </c>
      <c r="E866" s="87">
        <v>0</v>
      </c>
      <c r="F866" s="88">
        <v>11106031.000000004</v>
      </c>
      <c r="G866" s="87">
        <v>32</v>
      </c>
      <c r="H866" s="87">
        <v>11213284.499999998</v>
      </c>
      <c r="I866" s="87">
        <v>0</v>
      </c>
      <c r="J866" s="87">
        <v>11194299.499999998</v>
      </c>
      <c r="K866" s="87">
        <v>0</v>
      </c>
      <c r="L866" s="87">
        <v>11066105</v>
      </c>
      <c r="M866" s="87">
        <v>0</v>
      </c>
      <c r="N866" s="87">
        <v>10658225.499999994</v>
      </c>
      <c r="O866" s="87">
        <v>1</v>
      </c>
      <c r="P866" s="88">
        <v>10395329.5</v>
      </c>
      <c r="Q866" s="87">
        <v>822</v>
      </c>
      <c r="R866" s="87">
        <f t="shared" si="234"/>
        <v>822</v>
      </c>
      <c r="S866" s="87">
        <v>10447665.999999998</v>
      </c>
      <c r="T866" s="87">
        <v>747</v>
      </c>
      <c r="U866" s="87">
        <v>10606227.000000002</v>
      </c>
      <c r="V866" s="87">
        <v>995</v>
      </c>
      <c r="W866" s="87">
        <v>10748272.499999998</v>
      </c>
      <c r="X866" s="87">
        <v>0</v>
      </c>
      <c r="Y866" s="88">
        <v>10913163.5</v>
      </c>
      <c r="Z866" s="87">
        <v>0</v>
      </c>
      <c r="AA866" s="87">
        <v>411</v>
      </c>
      <c r="AB866" s="89">
        <f t="shared" si="235"/>
        <v>32</v>
      </c>
      <c r="AC866" s="89">
        <f t="shared" si="236"/>
        <v>822</v>
      </c>
      <c r="AD866" s="89">
        <f t="shared" si="237"/>
        <v>995</v>
      </c>
      <c r="AE866" s="90">
        <f t="shared" si="238"/>
        <v>32</v>
      </c>
      <c r="AF866" s="90">
        <f t="shared" si="239"/>
        <v>2013</v>
      </c>
      <c r="AG866" s="90">
        <f t="shared" si="240"/>
        <v>822</v>
      </c>
      <c r="AH866" s="90">
        <f t="shared" si="241"/>
        <v>2018</v>
      </c>
      <c r="AI866" s="90">
        <f t="shared" si="242"/>
        <v>995</v>
      </c>
      <c r="AJ866" s="90">
        <f t="shared" si="243"/>
        <v>2020</v>
      </c>
      <c r="AK866" s="90" t="str">
        <f t="shared" si="244"/>
        <v/>
      </c>
      <c r="AL866" s="91">
        <f>IF(AK866="Adjust",(_xlfn.XLOOKUP(A866,'Adj factor'!A:A,'Adj factor'!I:I,,0)*AI866),'Master DataSheet'!AI866)</f>
        <v>995</v>
      </c>
      <c r="AM866" s="91">
        <f t="shared" si="245"/>
        <v>995</v>
      </c>
      <c r="AN866" s="92" t="str">
        <f t="shared" si="246"/>
        <v>Increasing</v>
      </c>
      <c r="AO866" s="93">
        <f>VLOOKUP(B866,'Growthrates source'!A$2:H$49,8,FALSE)</f>
        <v>0.25992104989487319</v>
      </c>
      <c r="AP866" s="93">
        <f>VLOOKUP(B866,'Growthrates source'!A$2:I$49,9,FALSE)</f>
        <v>5.4673730437993617E-2</v>
      </c>
      <c r="AQ866" s="86">
        <f t="shared" si="247"/>
        <v>112.05479189549264</v>
      </c>
      <c r="AR866" s="86">
        <f t="shared" si="248"/>
        <v>484.25634542263975</v>
      </c>
      <c r="AS866" s="94">
        <f t="shared" si="249"/>
        <v>2.881317367113417E-2</v>
      </c>
      <c r="AT866" s="94">
        <f t="shared" si="250"/>
        <v>0.79073972595096675</v>
      </c>
      <c r="AU866" s="94">
        <f t="shared" si="251"/>
        <v>0.91174296069146221</v>
      </c>
    </row>
    <row r="867" spans="1:47" x14ac:dyDescent="0.3">
      <c r="A867" s="85" t="str">
        <f>_xlfn.XLOOKUP(B867,'Country codes &amp; Data sources'!G:G,'Country codes &amp; Data sources'!H:H,,0)</f>
        <v>South Sudan</v>
      </c>
      <c r="B867" s="85" t="s">
        <v>188</v>
      </c>
      <c r="C867" s="86">
        <v>10701605.5</v>
      </c>
      <c r="D867" s="85" t="s">
        <v>322</v>
      </c>
      <c r="E867" s="87">
        <v>0</v>
      </c>
      <c r="F867" s="88">
        <v>11106031.000000004</v>
      </c>
      <c r="G867" s="87">
        <v>0</v>
      </c>
      <c r="I867" s="87">
        <v>0</v>
      </c>
      <c r="K867" s="87">
        <v>0</v>
      </c>
      <c r="M867" s="87">
        <v>0</v>
      </c>
      <c r="O867" s="87">
        <v>0</v>
      </c>
      <c r="P867" s="88">
        <v>10395329.5</v>
      </c>
      <c r="Q867" s="87">
        <v>7452</v>
      </c>
      <c r="R867" s="87">
        <f t="shared" si="234"/>
        <v>7452</v>
      </c>
      <c r="T867" s="87">
        <v>7428</v>
      </c>
      <c r="V867" s="87">
        <v>9060</v>
      </c>
      <c r="X867" s="87">
        <v>0</v>
      </c>
      <c r="Y867" s="88">
        <v>10913163.5</v>
      </c>
      <c r="Z867" s="87">
        <v>0</v>
      </c>
      <c r="AA867" s="87">
        <v>2014</v>
      </c>
      <c r="AB867" s="89">
        <f t="shared" si="235"/>
        <v>0</v>
      </c>
      <c r="AC867" s="89">
        <f t="shared" si="236"/>
        <v>7452</v>
      </c>
      <c r="AD867" s="89">
        <f t="shared" si="237"/>
        <v>9060</v>
      </c>
      <c r="AE867" s="90">
        <f t="shared" si="238"/>
        <v>0</v>
      </c>
      <c r="AF867" s="90" t="str">
        <f t="shared" si="239"/>
        <v/>
      </c>
      <c r="AG867" s="90">
        <f t="shared" si="240"/>
        <v>7452</v>
      </c>
      <c r="AH867" s="90">
        <f t="shared" si="241"/>
        <v>2018</v>
      </c>
      <c r="AI867" s="90">
        <f t="shared" si="242"/>
        <v>9060</v>
      </c>
      <c r="AJ867" s="90">
        <f t="shared" si="243"/>
        <v>2020</v>
      </c>
      <c r="AK867" s="90" t="str">
        <f t="shared" si="244"/>
        <v/>
      </c>
      <c r="AL867" s="91">
        <f>IF(AK867="Adjust",(_xlfn.XLOOKUP(A867,'Adj factor'!A:A,'Adj factor'!I:I,,0)*AI867),'Master DataSheet'!AI867)</f>
        <v>9060</v>
      </c>
      <c r="AM867" s="91">
        <f t="shared" si="245"/>
        <v>9060</v>
      </c>
      <c r="AN867" s="92" t="str">
        <f t="shared" si="246"/>
        <v>Increasing</v>
      </c>
      <c r="AO867" s="93">
        <f>VLOOKUP(B867,'Growthrates source'!A$2:H$49,8,FALSE)</f>
        <v>0.25992104989487319</v>
      </c>
      <c r="AP867" s="93">
        <f>VLOOKUP(B867,'Growthrates source'!A$2:I$49,9,FALSE)</f>
        <v>5.4673730437993617E-2</v>
      </c>
      <c r="AQ867" s="86">
        <f t="shared" si="247"/>
        <v>549.09574422754781</v>
      </c>
      <c r="AR867" s="86">
        <f t="shared" si="248"/>
        <v>2372.9739164992616</v>
      </c>
      <c r="AS867" s="94">
        <f t="shared" si="249"/>
        <v>0</v>
      </c>
      <c r="AT867" s="94">
        <f t="shared" si="250"/>
        <v>7.1686039389131437</v>
      </c>
      <c r="AU867" s="94">
        <f t="shared" si="251"/>
        <v>8.3019007275021579</v>
      </c>
    </row>
    <row r="868" spans="1:47" x14ac:dyDescent="0.3">
      <c r="A868" s="85" t="str">
        <f>_xlfn.XLOOKUP(B868,'Country codes &amp; Data sources'!G:G,'Country codes &amp; Data sources'!H:H,,0)</f>
        <v>South Sudan</v>
      </c>
      <c r="B868" s="85" t="s">
        <v>188</v>
      </c>
      <c r="C868" s="86">
        <v>10701606.5</v>
      </c>
      <c r="D868" s="85" t="s">
        <v>323</v>
      </c>
      <c r="E868" s="87">
        <v>0</v>
      </c>
      <c r="F868" s="88">
        <v>11106031.000000004</v>
      </c>
      <c r="G868" s="87">
        <v>0</v>
      </c>
      <c r="I868" s="87">
        <v>0</v>
      </c>
      <c r="K868" s="87">
        <v>0</v>
      </c>
      <c r="M868" s="87">
        <v>0</v>
      </c>
      <c r="O868" s="87">
        <v>0</v>
      </c>
      <c r="P868" s="88">
        <v>10395329.5</v>
      </c>
      <c r="Q868" s="87">
        <v>0</v>
      </c>
      <c r="R868" s="87">
        <f t="shared" si="234"/>
        <v>1712</v>
      </c>
      <c r="T868" s="87">
        <v>4760</v>
      </c>
      <c r="V868" s="87">
        <v>6040</v>
      </c>
      <c r="X868" s="87">
        <v>0</v>
      </c>
      <c r="Y868" s="88">
        <v>10913163.5</v>
      </c>
      <c r="Z868" s="87">
        <v>0</v>
      </c>
      <c r="AA868" s="87">
        <v>1712</v>
      </c>
      <c r="AB868" s="89">
        <f t="shared" si="235"/>
        <v>0</v>
      </c>
      <c r="AC868" s="89">
        <f t="shared" si="236"/>
        <v>4760</v>
      </c>
      <c r="AD868" s="89">
        <f t="shared" si="237"/>
        <v>6040</v>
      </c>
      <c r="AE868" s="90">
        <f t="shared" si="238"/>
        <v>0</v>
      </c>
      <c r="AF868" s="90" t="str">
        <f t="shared" si="239"/>
        <v/>
      </c>
      <c r="AG868" s="90">
        <f t="shared" si="240"/>
        <v>1712</v>
      </c>
      <c r="AH868" s="90" t="str">
        <f t="shared" si="241"/>
        <v>2018 (triag)</v>
      </c>
      <c r="AI868" s="90">
        <f t="shared" si="242"/>
        <v>6040</v>
      </c>
      <c r="AJ868" s="90">
        <f t="shared" si="243"/>
        <v>2020</v>
      </c>
      <c r="AK868" s="90" t="str">
        <f t="shared" si="244"/>
        <v/>
      </c>
      <c r="AL868" s="91">
        <f>IF(AK868="Adjust",(_xlfn.XLOOKUP(A868,'Adj factor'!A:A,'Adj factor'!I:I,,0)*AI868),'Master DataSheet'!AI868)</f>
        <v>6040</v>
      </c>
      <c r="AM868" s="91">
        <f t="shared" si="245"/>
        <v>6040</v>
      </c>
      <c r="AN868" s="92" t="str">
        <f t="shared" si="246"/>
        <v>Increasing</v>
      </c>
      <c r="AO868" s="93">
        <f>VLOOKUP(B868,'Growthrates source'!A$2:H$49,8,FALSE)</f>
        <v>0.25992104989487319</v>
      </c>
      <c r="AP868" s="93">
        <f>VLOOKUP(B868,'Growthrates source'!A$2:I$49,9,FALSE)</f>
        <v>5.4673730437993617E-2</v>
      </c>
      <c r="AQ868" s="86">
        <f t="shared" si="247"/>
        <v>466.75864653304961</v>
      </c>
      <c r="AR868" s="86">
        <f t="shared" si="248"/>
        <v>2017.145652952699</v>
      </c>
      <c r="AS868" s="94">
        <f t="shared" si="249"/>
        <v>0</v>
      </c>
      <c r="AT868" s="94">
        <f t="shared" si="250"/>
        <v>1.6468934438297507</v>
      </c>
      <c r="AU868" s="94">
        <f t="shared" si="251"/>
        <v>5.5346004850014392</v>
      </c>
    </row>
    <row r="869" spans="1:47" x14ac:dyDescent="0.3">
      <c r="A869" s="85" t="str">
        <f>_xlfn.XLOOKUP(B869,'Country codes &amp; Data sources'!G:G,'Country codes &amp; Data sources'!H:H,,0)</f>
        <v>South Sudan</v>
      </c>
      <c r="B869" s="85" t="s">
        <v>188</v>
      </c>
      <c r="C869" s="86">
        <v>10701607.5</v>
      </c>
      <c r="D869" s="85" t="s">
        <v>324</v>
      </c>
      <c r="E869" s="87">
        <v>0</v>
      </c>
      <c r="F869" s="88">
        <v>11106031.000000004</v>
      </c>
      <c r="G869" s="87">
        <v>0</v>
      </c>
      <c r="I869" s="87">
        <v>0</v>
      </c>
      <c r="K869" s="87">
        <v>0</v>
      </c>
      <c r="M869" s="87">
        <v>0</v>
      </c>
      <c r="O869" s="87">
        <v>32485</v>
      </c>
      <c r="P869" s="88">
        <v>10395329.5</v>
      </c>
      <c r="Q869" s="87">
        <v>0</v>
      </c>
      <c r="R869" s="87">
        <f t="shared" si="234"/>
        <v>360</v>
      </c>
      <c r="T869" s="87">
        <v>0</v>
      </c>
      <c r="V869" s="87">
        <v>0</v>
      </c>
      <c r="X869" s="87">
        <v>0</v>
      </c>
      <c r="Y869" s="88">
        <v>10913163.5</v>
      </c>
      <c r="Z869" s="87">
        <v>0</v>
      </c>
      <c r="AA869" s="87">
        <v>360</v>
      </c>
      <c r="AB869" s="89">
        <f t="shared" si="235"/>
        <v>0</v>
      </c>
      <c r="AC869" s="89">
        <f t="shared" si="236"/>
        <v>32485</v>
      </c>
      <c r="AD869" s="89">
        <f t="shared" si="237"/>
        <v>0</v>
      </c>
      <c r="AE869" s="90">
        <f t="shared" si="238"/>
        <v>0</v>
      </c>
      <c r="AF869" s="90" t="str">
        <f t="shared" si="239"/>
        <v/>
      </c>
      <c r="AG869" s="90">
        <f t="shared" si="240"/>
        <v>360</v>
      </c>
      <c r="AH869" s="90" t="str">
        <f t="shared" si="241"/>
        <v>2018 (triag)</v>
      </c>
      <c r="AI869" s="90">
        <f t="shared" si="242"/>
        <v>360</v>
      </c>
      <c r="AJ869" s="90" t="str">
        <f t="shared" si="243"/>
        <v>2018 (triag)</v>
      </c>
      <c r="AK869" s="90" t="str">
        <f t="shared" si="244"/>
        <v/>
      </c>
      <c r="AL869" s="91">
        <f>IF(AK869="Adjust",(_xlfn.XLOOKUP(A869,'Adj factor'!A:A,'Adj factor'!I:I,,0)*AI869),'Master DataSheet'!AI869)</f>
        <v>360</v>
      </c>
      <c r="AM869" s="91">
        <f t="shared" si="245"/>
        <v>360</v>
      </c>
      <c r="AN869" s="92" t="str">
        <f t="shared" si="246"/>
        <v>No change</v>
      </c>
      <c r="AO869" s="93">
        <f>VLOOKUP(B869,'Growthrates source'!A$2:H$49,8,FALSE)</f>
        <v>0.25992104989487319</v>
      </c>
      <c r="AP869" s="93">
        <f>VLOOKUP(B869,'Growthrates source'!A$2:I$49,9,FALSE)</f>
        <v>5.4673730437993617E-2</v>
      </c>
      <c r="AQ869" s="86">
        <f t="shared" si="247"/>
        <v>98.150182682183328</v>
      </c>
      <c r="AR869" s="86">
        <f t="shared" si="248"/>
        <v>424.16614197603485</v>
      </c>
      <c r="AS869" s="94">
        <f t="shared" si="249"/>
        <v>0</v>
      </c>
      <c r="AT869" s="94">
        <f t="shared" si="250"/>
        <v>0.34630936902962045</v>
      </c>
      <c r="AU869" s="94">
        <f t="shared" si="251"/>
        <v>0.32987685009942352</v>
      </c>
    </row>
    <row r="870" spans="1:47" x14ac:dyDescent="0.3">
      <c r="A870" s="85" t="str">
        <f>_xlfn.XLOOKUP(B870,'Country codes &amp; Data sources'!G:G,'Country codes &amp; Data sources'!H:H,,0)</f>
        <v>South Sudan</v>
      </c>
      <c r="B870" s="85" t="s">
        <v>188</v>
      </c>
      <c r="C870" s="86">
        <v>10701608.5</v>
      </c>
      <c r="D870" s="85" t="s">
        <v>325</v>
      </c>
      <c r="E870" s="87">
        <v>68</v>
      </c>
      <c r="F870" s="88">
        <v>11106031.000000004</v>
      </c>
      <c r="G870" s="87">
        <v>0</v>
      </c>
      <c r="I870" s="87">
        <v>0</v>
      </c>
      <c r="K870" s="87">
        <v>0</v>
      </c>
      <c r="M870" s="87">
        <v>0</v>
      </c>
      <c r="O870" s="87">
        <v>10504</v>
      </c>
      <c r="P870" s="88">
        <v>10395329.5</v>
      </c>
      <c r="Q870" s="87">
        <v>0</v>
      </c>
      <c r="R870" s="87">
        <f t="shared" si="234"/>
        <v>32</v>
      </c>
      <c r="T870" s="87">
        <v>0</v>
      </c>
      <c r="V870" s="87">
        <v>21</v>
      </c>
      <c r="X870" s="87">
        <v>0</v>
      </c>
      <c r="Y870" s="88">
        <v>10913163.5</v>
      </c>
      <c r="Z870" s="87">
        <v>0</v>
      </c>
      <c r="AA870" s="87">
        <v>32</v>
      </c>
      <c r="AB870" s="89">
        <f t="shared" si="235"/>
        <v>68</v>
      </c>
      <c r="AC870" s="89">
        <f t="shared" si="236"/>
        <v>10504</v>
      </c>
      <c r="AD870" s="89">
        <f t="shared" si="237"/>
        <v>21</v>
      </c>
      <c r="AE870" s="90">
        <f t="shared" si="238"/>
        <v>68</v>
      </c>
      <c r="AF870" s="90">
        <f t="shared" si="239"/>
        <v>2012</v>
      </c>
      <c r="AG870" s="90">
        <f t="shared" si="240"/>
        <v>32</v>
      </c>
      <c r="AH870" s="90" t="str">
        <f t="shared" si="241"/>
        <v>2018 (triag)</v>
      </c>
      <c r="AI870" s="90">
        <f t="shared" si="242"/>
        <v>21</v>
      </c>
      <c r="AJ870" s="90">
        <f t="shared" si="243"/>
        <v>2020</v>
      </c>
      <c r="AK870" s="90" t="str">
        <f t="shared" si="244"/>
        <v>Adjust</v>
      </c>
      <c r="AL870" s="91">
        <f>IF(AK870="Adjust",(_xlfn.XLOOKUP(A870,'Adj factor'!A:A,'Adj factor'!I:I,,0)*AI870),'Master DataSheet'!AI870)</f>
        <v>24.135271530728719</v>
      </c>
      <c r="AM870" s="91">
        <f t="shared" si="245"/>
        <v>32</v>
      </c>
      <c r="AN870" s="92" t="str">
        <f t="shared" si="246"/>
        <v>Decreasing</v>
      </c>
      <c r="AO870" s="93">
        <f>VLOOKUP(B870,'Growthrates source'!A$2:H$49,8,FALSE)</f>
        <v>0.25992104989487319</v>
      </c>
      <c r="AP870" s="93">
        <f>VLOOKUP(B870,'Growthrates source'!A$2:I$49,9,FALSE)</f>
        <v>5.4673730437993617E-2</v>
      </c>
      <c r="AQ870" s="86">
        <f t="shared" si="247"/>
        <v>8.7244606828607409</v>
      </c>
      <c r="AR870" s="86">
        <f t="shared" si="248"/>
        <v>37.703657064536429</v>
      </c>
      <c r="AS870" s="94">
        <f t="shared" si="249"/>
        <v>6.1227994051160112E-2</v>
      </c>
      <c r="AT870" s="94">
        <f t="shared" si="250"/>
        <v>3.0783055024855153E-2</v>
      </c>
      <c r="AU870" s="94">
        <f t="shared" si="251"/>
        <v>2.9322386675504311E-2</v>
      </c>
    </row>
    <row r="871" spans="1:47" x14ac:dyDescent="0.3">
      <c r="A871" s="85" t="str">
        <f>_xlfn.XLOOKUP(B871,'Country codes &amp; Data sources'!G:G,'Country codes &amp; Data sources'!H:H,,0)</f>
        <v>South Sudan</v>
      </c>
      <c r="B871" s="85" t="s">
        <v>188</v>
      </c>
      <c r="C871" s="86">
        <v>10701609.5</v>
      </c>
      <c r="D871" s="85" t="s">
        <v>127</v>
      </c>
      <c r="E871" s="87">
        <v>0</v>
      </c>
      <c r="F871" s="88">
        <v>11106031.000000004</v>
      </c>
      <c r="G871" s="87">
        <v>0</v>
      </c>
      <c r="I871" s="87">
        <v>0</v>
      </c>
      <c r="K871" s="87">
        <v>0</v>
      </c>
      <c r="M871" s="87">
        <v>0</v>
      </c>
      <c r="O871" s="87">
        <v>0</v>
      </c>
      <c r="P871" s="88">
        <v>10395329.5</v>
      </c>
      <c r="Q871" s="87">
        <v>1455</v>
      </c>
      <c r="R871" s="87">
        <f t="shared" si="234"/>
        <v>1455</v>
      </c>
      <c r="T871" s="87">
        <v>850</v>
      </c>
      <c r="V871" s="87">
        <v>2826</v>
      </c>
      <c r="X871" s="87">
        <v>0</v>
      </c>
      <c r="Y871" s="88">
        <v>10913163.5</v>
      </c>
      <c r="Z871" s="87">
        <v>0</v>
      </c>
      <c r="AA871" s="87">
        <v>1455</v>
      </c>
      <c r="AB871" s="89">
        <f t="shared" si="235"/>
        <v>0</v>
      </c>
      <c r="AC871" s="89">
        <f t="shared" si="236"/>
        <v>1455</v>
      </c>
      <c r="AD871" s="89">
        <f t="shared" si="237"/>
        <v>2826</v>
      </c>
      <c r="AE871" s="90">
        <f t="shared" si="238"/>
        <v>0</v>
      </c>
      <c r="AF871" s="90" t="str">
        <f t="shared" si="239"/>
        <v/>
      </c>
      <c r="AG871" s="90">
        <f t="shared" si="240"/>
        <v>1455</v>
      </c>
      <c r="AH871" s="90">
        <f t="shared" si="241"/>
        <v>2018</v>
      </c>
      <c r="AI871" s="90">
        <f t="shared" si="242"/>
        <v>2826</v>
      </c>
      <c r="AJ871" s="90">
        <f t="shared" si="243"/>
        <v>2020</v>
      </c>
      <c r="AK871" s="90" t="str">
        <f t="shared" si="244"/>
        <v/>
      </c>
      <c r="AL871" s="91">
        <f>IF(AK871="Adjust",(_xlfn.XLOOKUP(A871,'Adj factor'!A:A,'Adj factor'!I:I,,0)*AI871),'Master DataSheet'!AI871)</f>
        <v>2826</v>
      </c>
      <c r="AM871" s="91">
        <f t="shared" si="245"/>
        <v>2826</v>
      </c>
      <c r="AN871" s="92" t="str">
        <f t="shared" si="246"/>
        <v>Increasing</v>
      </c>
      <c r="AO871" s="93">
        <f>VLOOKUP(B871,'Growthrates source'!A$2:H$49,8,FALSE)</f>
        <v>0.25992104989487319</v>
      </c>
      <c r="AP871" s="93">
        <f>VLOOKUP(B871,'Growthrates source'!A$2:I$49,9,FALSE)</f>
        <v>5.4673730437993617E-2</v>
      </c>
      <c r="AQ871" s="86">
        <f t="shared" si="247"/>
        <v>396.69032167382431</v>
      </c>
      <c r="AR871" s="86">
        <f t="shared" si="248"/>
        <v>1714.3381571531409</v>
      </c>
      <c r="AS871" s="94">
        <f t="shared" si="249"/>
        <v>0</v>
      </c>
      <c r="AT871" s="94">
        <f t="shared" si="250"/>
        <v>1.3996670331613827</v>
      </c>
      <c r="AU871" s="94">
        <f t="shared" si="251"/>
        <v>2.5895332732804746</v>
      </c>
    </row>
    <row r="872" spans="1:47" x14ac:dyDescent="0.3">
      <c r="A872" s="85" t="str">
        <f>_xlfn.XLOOKUP(B872,'Country codes &amp; Data sources'!G:G,'Country codes &amp; Data sources'!H:H,,0)</f>
        <v>South Sudan</v>
      </c>
      <c r="B872" s="85" t="s">
        <v>188</v>
      </c>
      <c r="C872" s="86">
        <v>10701610.5</v>
      </c>
      <c r="D872" s="85" t="s">
        <v>61</v>
      </c>
      <c r="E872" s="87">
        <v>0</v>
      </c>
      <c r="F872" s="88">
        <v>11106031.000000004</v>
      </c>
      <c r="G872" s="87">
        <v>0</v>
      </c>
      <c r="I872" s="87">
        <v>0</v>
      </c>
      <c r="K872" s="87">
        <v>0</v>
      </c>
      <c r="M872" s="87">
        <v>0</v>
      </c>
      <c r="O872" s="87">
        <v>0</v>
      </c>
      <c r="P872" s="88">
        <v>10395329.5</v>
      </c>
      <c r="Q872" s="87">
        <v>0</v>
      </c>
      <c r="R872" s="87">
        <f t="shared" si="234"/>
        <v>22</v>
      </c>
      <c r="T872" s="87">
        <v>0</v>
      </c>
      <c r="V872" s="87">
        <v>0</v>
      </c>
      <c r="X872" s="87">
        <v>0</v>
      </c>
      <c r="Y872" s="88">
        <v>10913163.5</v>
      </c>
      <c r="Z872" s="87">
        <v>0</v>
      </c>
      <c r="AA872" s="87">
        <v>22</v>
      </c>
      <c r="AB872" s="89">
        <f t="shared" si="235"/>
        <v>0</v>
      </c>
      <c r="AC872" s="89">
        <f t="shared" si="236"/>
        <v>0</v>
      </c>
      <c r="AD872" s="89">
        <f t="shared" si="237"/>
        <v>0</v>
      </c>
      <c r="AE872" s="90">
        <f t="shared" si="238"/>
        <v>0</v>
      </c>
      <c r="AF872" s="90" t="str">
        <f t="shared" si="239"/>
        <v/>
      </c>
      <c r="AG872" s="90">
        <f t="shared" si="240"/>
        <v>22</v>
      </c>
      <c r="AH872" s="90" t="str">
        <f t="shared" si="241"/>
        <v>2018 (triag)</v>
      </c>
      <c r="AI872" s="90">
        <f t="shared" si="242"/>
        <v>22</v>
      </c>
      <c r="AJ872" s="90" t="str">
        <f t="shared" si="243"/>
        <v>2018 (triag)</v>
      </c>
      <c r="AK872" s="90" t="str">
        <f t="shared" si="244"/>
        <v/>
      </c>
      <c r="AL872" s="91">
        <f>IF(AK872="Adjust",(_xlfn.XLOOKUP(A872,'Adj factor'!A:A,'Adj factor'!I:I,,0)*AI872),'Master DataSheet'!AI872)</f>
        <v>22</v>
      </c>
      <c r="AM872" s="91">
        <f t="shared" si="245"/>
        <v>22</v>
      </c>
      <c r="AN872" s="92" t="str">
        <f t="shared" si="246"/>
        <v>No change</v>
      </c>
      <c r="AO872" s="93">
        <f>VLOOKUP(B872,'Growthrates source'!A$2:H$49,8,FALSE)</f>
        <v>0.25992104989487319</v>
      </c>
      <c r="AP872" s="93">
        <f>VLOOKUP(B872,'Growthrates source'!A$2:I$49,9,FALSE)</f>
        <v>5.4673730437993617E-2</v>
      </c>
      <c r="AQ872" s="86">
        <f t="shared" si="247"/>
        <v>5.9980667194667587</v>
      </c>
      <c r="AR872" s="86">
        <f t="shared" si="248"/>
        <v>25.921264231868797</v>
      </c>
      <c r="AS872" s="94">
        <f t="shared" si="249"/>
        <v>0</v>
      </c>
      <c r="AT872" s="94">
        <f t="shared" si="250"/>
        <v>2.1163350329587917E-2</v>
      </c>
      <c r="AU872" s="94">
        <f t="shared" si="251"/>
        <v>2.0159140839409215E-2</v>
      </c>
    </row>
    <row r="873" spans="1:47" x14ac:dyDescent="0.3">
      <c r="A873" s="85" t="str">
        <f>_xlfn.XLOOKUP(B873,'Country codes &amp; Data sources'!G:G,'Country codes &amp; Data sources'!H:H,,0)</f>
        <v>South Sudan</v>
      </c>
      <c r="B873" s="85" t="s">
        <v>188</v>
      </c>
      <c r="C873" s="86">
        <v>10701611.5</v>
      </c>
      <c r="D873" s="85" t="s">
        <v>62</v>
      </c>
      <c r="E873" s="87">
        <v>0</v>
      </c>
      <c r="F873" s="88">
        <v>11106031.000000004</v>
      </c>
      <c r="G873" s="87">
        <v>0</v>
      </c>
      <c r="I873" s="87">
        <v>0</v>
      </c>
      <c r="K873" s="87">
        <v>0</v>
      </c>
      <c r="M873" s="87">
        <v>0</v>
      </c>
      <c r="O873" s="87">
        <v>3435</v>
      </c>
      <c r="P873" s="88">
        <v>10395329.5</v>
      </c>
      <c r="Q873" s="87">
        <v>0</v>
      </c>
      <c r="R873" s="87">
        <f t="shared" si="234"/>
        <v>250</v>
      </c>
      <c r="T873" s="87">
        <v>0</v>
      </c>
      <c r="V873" s="87">
        <v>0</v>
      </c>
      <c r="X873" s="87">
        <v>0</v>
      </c>
      <c r="Y873" s="88">
        <v>10913163.5</v>
      </c>
      <c r="Z873" s="87">
        <v>0</v>
      </c>
      <c r="AA873" s="87">
        <v>250</v>
      </c>
      <c r="AB873" s="89">
        <f t="shared" si="235"/>
        <v>0</v>
      </c>
      <c r="AC873" s="89">
        <f t="shared" si="236"/>
        <v>3435</v>
      </c>
      <c r="AD873" s="89">
        <f t="shared" si="237"/>
        <v>0</v>
      </c>
      <c r="AE873" s="90">
        <f t="shared" si="238"/>
        <v>0</v>
      </c>
      <c r="AF873" s="90" t="str">
        <f t="shared" si="239"/>
        <v/>
      </c>
      <c r="AG873" s="90">
        <f t="shared" si="240"/>
        <v>250</v>
      </c>
      <c r="AH873" s="90" t="str">
        <f t="shared" si="241"/>
        <v>2018 (triag)</v>
      </c>
      <c r="AI873" s="90">
        <f t="shared" si="242"/>
        <v>250</v>
      </c>
      <c r="AJ873" s="90" t="str">
        <f t="shared" si="243"/>
        <v>2018 (triag)</v>
      </c>
      <c r="AK873" s="90" t="str">
        <f t="shared" si="244"/>
        <v/>
      </c>
      <c r="AL873" s="91">
        <f>IF(AK873="Adjust",(_xlfn.XLOOKUP(A873,'Adj factor'!A:A,'Adj factor'!I:I,,0)*AI873),'Master DataSheet'!AI873)</f>
        <v>250</v>
      </c>
      <c r="AM873" s="91">
        <f t="shared" si="245"/>
        <v>250</v>
      </c>
      <c r="AN873" s="92" t="str">
        <f t="shared" si="246"/>
        <v>No change</v>
      </c>
      <c r="AO873" s="93">
        <f>VLOOKUP(B873,'Growthrates source'!A$2:H$49,8,FALSE)</f>
        <v>0.25992104989487319</v>
      </c>
      <c r="AP873" s="93">
        <f>VLOOKUP(B873,'Growthrates source'!A$2:I$49,9,FALSE)</f>
        <v>5.4673730437993617E-2</v>
      </c>
      <c r="AQ873" s="86">
        <f t="shared" si="247"/>
        <v>68.15984908484954</v>
      </c>
      <c r="AR873" s="86">
        <f t="shared" si="248"/>
        <v>294.55982081669083</v>
      </c>
      <c r="AS873" s="94">
        <f t="shared" si="249"/>
        <v>0</v>
      </c>
      <c r="AT873" s="94">
        <f t="shared" si="250"/>
        <v>0.24049261738168087</v>
      </c>
      <c r="AU873" s="94">
        <f t="shared" si="251"/>
        <v>0.22908114590237744</v>
      </c>
    </row>
    <row r="874" spans="1:47" x14ac:dyDescent="0.3">
      <c r="A874" s="85" t="str">
        <f>_xlfn.XLOOKUP(B874,'Country codes &amp; Data sources'!G:G,'Country codes &amp; Data sources'!H:H,,0)</f>
        <v>South Sudan</v>
      </c>
      <c r="B874" s="85" t="s">
        <v>188</v>
      </c>
      <c r="C874" s="86">
        <v>10701612.5</v>
      </c>
      <c r="D874" s="85" t="s">
        <v>203</v>
      </c>
      <c r="E874" s="87">
        <v>0</v>
      </c>
      <c r="F874" s="88">
        <v>11106031.000000004</v>
      </c>
      <c r="G874" s="87">
        <v>0</v>
      </c>
      <c r="I874" s="87">
        <v>0</v>
      </c>
      <c r="K874" s="87">
        <v>0</v>
      </c>
      <c r="M874" s="87">
        <v>0</v>
      </c>
      <c r="O874" s="87">
        <v>0</v>
      </c>
      <c r="P874" s="88">
        <v>10395329.5</v>
      </c>
      <c r="Q874" s="87">
        <v>0</v>
      </c>
      <c r="R874" s="87">
        <f t="shared" si="234"/>
        <v>0</v>
      </c>
      <c r="T874" s="87">
        <v>5870</v>
      </c>
      <c r="V874" s="87">
        <v>0</v>
      </c>
      <c r="X874" s="87">
        <v>0</v>
      </c>
      <c r="Y874" s="88">
        <v>10913163.5</v>
      </c>
      <c r="Z874" s="87">
        <v>0</v>
      </c>
      <c r="AA874" s="87">
        <v>0</v>
      </c>
      <c r="AB874" s="89">
        <f t="shared" si="235"/>
        <v>0</v>
      </c>
      <c r="AC874" s="89">
        <f t="shared" si="236"/>
        <v>5870</v>
      </c>
      <c r="AD874" s="89">
        <f t="shared" si="237"/>
        <v>0</v>
      </c>
      <c r="AE874" s="90">
        <f t="shared" si="238"/>
        <v>0</v>
      </c>
      <c r="AF874" s="90" t="str">
        <f t="shared" si="239"/>
        <v/>
      </c>
      <c r="AG874" s="90">
        <f t="shared" si="240"/>
        <v>5870</v>
      </c>
      <c r="AH874" s="90">
        <f t="shared" si="241"/>
        <v>2019</v>
      </c>
      <c r="AI874" s="90">
        <f t="shared" si="242"/>
        <v>5870</v>
      </c>
      <c r="AJ874" s="90">
        <f t="shared" si="243"/>
        <v>2019</v>
      </c>
      <c r="AK874" s="90" t="str">
        <f t="shared" si="244"/>
        <v/>
      </c>
      <c r="AL874" s="91">
        <f>IF(AK874="Adjust",(_xlfn.XLOOKUP(A874,'Adj factor'!A:A,'Adj factor'!I:I,,0)*AI874),'Master DataSheet'!AI874)</f>
        <v>5870</v>
      </c>
      <c r="AM874" s="91">
        <f t="shared" si="245"/>
        <v>5870</v>
      </c>
      <c r="AN874" s="92" t="str">
        <f t="shared" si="246"/>
        <v>No change</v>
      </c>
      <c r="AO874" s="93">
        <f>VLOOKUP(B874,'Growthrates source'!A$2:H$49,8,FALSE)</f>
        <v>0.25992104989487319</v>
      </c>
      <c r="AP874" s="93">
        <f>VLOOKUP(B874,'Growthrates source'!A$2:I$49,9,FALSE)</f>
        <v>5.4673730437993617E-2</v>
      </c>
      <c r="AQ874" s="86">
        <f t="shared" si="247"/>
        <v>0</v>
      </c>
      <c r="AR874" s="86">
        <f t="shared" si="248"/>
        <v>0</v>
      </c>
      <c r="AS874" s="94">
        <f t="shared" si="249"/>
        <v>0</v>
      </c>
      <c r="AT874" s="94">
        <f t="shared" si="250"/>
        <v>5.6467666561218675</v>
      </c>
      <c r="AU874" s="94">
        <f t="shared" si="251"/>
        <v>5.3788253057878226</v>
      </c>
    </row>
    <row r="875" spans="1:47" x14ac:dyDescent="0.3">
      <c r="A875" s="85" t="str">
        <f>_xlfn.XLOOKUP(B875,'Country codes &amp; Data sources'!G:G,'Country codes &amp; Data sources'!H:H,,0)</f>
        <v>South Sudan</v>
      </c>
      <c r="B875" s="85" t="s">
        <v>188</v>
      </c>
      <c r="C875" s="86">
        <v>10701613.5</v>
      </c>
      <c r="D875" s="85" t="s">
        <v>204</v>
      </c>
      <c r="E875" s="87">
        <v>0</v>
      </c>
      <c r="F875" s="88">
        <v>11106031.000000004</v>
      </c>
      <c r="G875" s="87">
        <v>0</v>
      </c>
      <c r="I875" s="87">
        <v>0</v>
      </c>
      <c r="K875" s="87">
        <v>0</v>
      </c>
      <c r="M875" s="87">
        <v>0</v>
      </c>
      <c r="O875" s="87">
        <v>0</v>
      </c>
      <c r="P875" s="88">
        <v>10395329.5</v>
      </c>
      <c r="Q875" s="87">
        <v>0</v>
      </c>
      <c r="R875" s="87">
        <f t="shared" si="234"/>
        <v>20</v>
      </c>
      <c r="T875" s="87">
        <v>0</v>
      </c>
      <c r="V875" s="87">
        <v>0</v>
      </c>
      <c r="X875" s="87">
        <v>0</v>
      </c>
      <c r="Y875" s="88">
        <v>10913163.5</v>
      </c>
      <c r="Z875" s="87">
        <v>0</v>
      </c>
      <c r="AA875" s="87">
        <v>20</v>
      </c>
      <c r="AB875" s="89">
        <f t="shared" si="235"/>
        <v>0</v>
      </c>
      <c r="AC875" s="89">
        <f t="shared" si="236"/>
        <v>0</v>
      </c>
      <c r="AD875" s="89">
        <f t="shared" si="237"/>
        <v>0</v>
      </c>
      <c r="AE875" s="90">
        <f t="shared" si="238"/>
        <v>0</v>
      </c>
      <c r="AF875" s="90" t="str">
        <f t="shared" si="239"/>
        <v/>
      </c>
      <c r="AG875" s="90">
        <f t="shared" si="240"/>
        <v>20</v>
      </c>
      <c r="AH875" s="90" t="str">
        <f t="shared" si="241"/>
        <v>2018 (triag)</v>
      </c>
      <c r="AI875" s="90">
        <f t="shared" si="242"/>
        <v>20</v>
      </c>
      <c r="AJ875" s="90" t="str">
        <f t="shared" si="243"/>
        <v>2018 (triag)</v>
      </c>
      <c r="AK875" s="90" t="str">
        <f t="shared" si="244"/>
        <v/>
      </c>
      <c r="AL875" s="91">
        <f>IF(AK875="Adjust",(_xlfn.XLOOKUP(A875,'Adj factor'!A:A,'Adj factor'!I:I,,0)*AI875),'Master DataSheet'!AI875)</f>
        <v>20</v>
      </c>
      <c r="AM875" s="91">
        <f t="shared" si="245"/>
        <v>20</v>
      </c>
      <c r="AN875" s="92" t="str">
        <f t="shared" si="246"/>
        <v>No change</v>
      </c>
      <c r="AO875" s="93">
        <f>VLOOKUP(B875,'Growthrates source'!A$2:H$49,8,FALSE)</f>
        <v>0.25992104989487319</v>
      </c>
      <c r="AP875" s="93">
        <f>VLOOKUP(B875,'Growthrates source'!A$2:I$49,9,FALSE)</f>
        <v>5.4673730437993617E-2</v>
      </c>
      <c r="AQ875" s="86">
        <f t="shared" si="247"/>
        <v>5.4527879267879626</v>
      </c>
      <c r="AR875" s="86">
        <f t="shared" si="248"/>
        <v>23.564785665335268</v>
      </c>
      <c r="AS875" s="94">
        <f t="shared" si="249"/>
        <v>0</v>
      </c>
      <c r="AT875" s="94">
        <f t="shared" si="250"/>
        <v>1.9239409390534472E-2</v>
      </c>
      <c r="AU875" s="94">
        <f t="shared" si="251"/>
        <v>1.8326491672190196E-2</v>
      </c>
    </row>
    <row r="876" spans="1:47" x14ac:dyDescent="0.3">
      <c r="A876" s="85" t="str">
        <f>_xlfn.XLOOKUP(B876,'Country codes &amp; Data sources'!G:G,'Country codes &amp; Data sources'!H:H,,0)</f>
        <v>South Sudan</v>
      </c>
      <c r="B876" s="85" t="s">
        <v>188</v>
      </c>
      <c r="C876" s="86">
        <v>10701614.5</v>
      </c>
      <c r="D876" s="85" t="s">
        <v>205</v>
      </c>
      <c r="E876" s="87">
        <v>0</v>
      </c>
      <c r="F876" s="88">
        <v>11106031.000000004</v>
      </c>
      <c r="G876" s="87">
        <v>0</v>
      </c>
      <c r="I876" s="87">
        <v>0</v>
      </c>
      <c r="K876" s="87">
        <v>0</v>
      </c>
      <c r="M876" s="87">
        <v>0</v>
      </c>
      <c r="O876" s="87">
        <v>0</v>
      </c>
      <c r="P876" s="88">
        <v>10395329.5</v>
      </c>
      <c r="Q876" s="87">
        <v>2</v>
      </c>
      <c r="R876" s="87">
        <f t="shared" si="234"/>
        <v>21</v>
      </c>
      <c r="T876" s="87">
        <v>0</v>
      </c>
      <c r="V876" s="87">
        <v>0</v>
      </c>
      <c r="X876" s="87">
        <v>0</v>
      </c>
      <c r="Y876" s="88">
        <v>10913163.5</v>
      </c>
      <c r="Z876" s="87">
        <v>0</v>
      </c>
      <c r="AA876" s="87">
        <v>21</v>
      </c>
      <c r="AB876" s="89">
        <f t="shared" si="235"/>
        <v>0</v>
      </c>
      <c r="AC876" s="89">
        <f t="shared" si="236"/>
        <v>2</v>
      </c>
      <c r="AD876" s="89">
        <f t="shared" si="237"/>
        <v>0</v>
      </c>
      <c r="AE876" s="90">
        <f t="shared" si="238"/>
        <v>0</v>
      </c>
      <c r="AF876" s="90" t="str">
        <f t="shared" si="239"/>
        <v/>
      </c>
      <c r="AG876" s="90">
        <f t="shared" si="240"/>
        <v>21</v>
      </c>
      <c r="AH876" s="90" t="str">
        <f t="shared" si="241"/>
        <v>2018 (triag)</v>
      </c>
      <c r="AI876" s="90">
        <f t="shared" si="242"/>
        <v>21</v>
      </c>
      <c r="AJ876" s="90" t="str">
        <f t="shared" si="243"/>
        <v>2018 (triag)</v>
      </c>
      <c r="AK876" s="90" t="str">
        <f t="shared" si="244"/>
        <v/>
      </c>
      <c r="AL876" s="91">
        <f>IF(AK876="Adjust",(_xlfn.XLOOKUP(A876,'Adj factor'!A:A,'Adj factor'!I:I,,0)*AI876),'Master DataSheet'!AI876)</f>
        <v>21</v>
      </c>
      <c r="AM876" s="91">
        <f t="shared" si="245"/>
        <v>21</v>
      </c>
      <c r="AN876" s="92" t="str">
        <f t="shared" si="246"/>
        <v>No change</v>
      </c>
      <c r="AO876" s="93">
        <f>VLOOKUP(B876,'Growthrates source'!A$2:H$49,8,FALSE)</f>
        <v>0.25992104989487319</v>
      </c>
      <c r="AP876" s="93">
        <f>VLOOKUP(B876,'Growthrates source'!A$2:I$49,9,FALSE)</f>
        <v>5.4673730437993617E-2</v>
      </c>
      <c r="AQ876" s="86">
        <f t="shared" si="247"/>
        <v>5.7254273231273611</v>
      </c>
      <c r="AR876" s="86">
        <f t="shared" si="248"/>
        <v>24.743024948602031</v>
      </c>
      <c r="AS876" s="94">
        <f t="shared" si="249"/>
        <v>0</v>
      </c>
      <c r="AT876" s="94">
        <f t="shared" si="250"/>
        <v>2.0201379860061194E-2</v>
      </c>
      <c r="AU876" s="94">
        <f t="shared" si="251"/>
        <v>1.9242816255799704E-2</v>
      </c>
    </row>
    <row r="877" spans="1:47" x14ac:dyDescent="0.3">
      <c r="A877" s="85" t="str">
        <f>_xlfn.XLOOKUP(B877,'Country codes &amp; Data sources'!G:G,'Country codes &amp; Data sources'!H:H,,0)</f>
        <v>South Sudan</v>
      </c>
      <c r="B877" s="85" t="s">
        <v>188</v>
      </c>
      <c r="C877" s="86">
        <v>10701615.5</v>
      </c>
      <c r="D877" s="85" t="s">
        <v>133</v>
      </c>
      <c r="E877" s="87">
        <v>0</v>
      </c>
      <c r="F877" s="88">
        <v>11106031.000000004</v>
      </c>
      <c r="G877" s="87">
        <v>0</v>
      </c>
      <c r="I877" s="87">
        <v>0</v>
      </c>
      <c r="K877" s="87">
        <v>0</v>
      </c>
      <c r="M877" s="87">
        <v>0</v>
      </c>
      <c r="O877" s="87">
        <v>0</v>
      </c>
      <c r="P877" s="88">
        <v>10395329.5</v>
      </c>
      <c r="Q877" s="87">
        <v>272</v>
      </c>
      <c r="R877" s="87">
        <f t="shared" si="234"/>
        <v>272</v>
      </c>
      <c r="T877" s="87">
        <v>485</v>
      </c>
      <c r="V877" s="87">
        <v>635</v>
      </c>
      <c r="X877" s="87">
        <v>0</v>
      </c>
      <c r="Y877" s="88">
        <v>10913163.5</v>
      </c>
      <c r="Z877" s="87">
        <v>0</v>
      </c>
      <c r="AA877" s="87">
        <v>16</v>
      </c>
      <c r="AB877" s="89">
        <f t="shared" si="235"/>
        <v>0</v>
      </c>
      <c r="AC877" s="89">
        <f t="shared" si="236"/>
        <v>485</v>
      </c>
      <c r="AD877" s="89">
        <f t="shared" si="237"/>
        <v>635</v>
      </c>
      <c r="AE877" s="90">
        <f t="shared" si="238"/>
        <v>0</v>
      </c>
      <c r="AF877" s="90" t="str">
        <f t="shared" si="239"/>
        <v/>
      </c>
      <c r="AG877" s="90">
        <f t="shared" si="240"/>
        <v>272</v>
      </c>
      <c r="AH877" s="90">
        <f t="shared" si="241"/>
        <v>2018</v>
      </c>
      <c r="AI877" s="90">
        <f t="shared" si="242"/>
        <v>635</v>
      </c>
      <c r="AJ877" s="90">
        <f t="shared" si="243"/>
        <v>2020</v>
      </c>
      <c r="AK877" s="90" t="str">
        <f t="shared" si="244"/>
        <v/>
      </c>
      <c r="AL877" s="91">
        <f>IF(AK877="Adjust",(_xlfn.XLOOKUP(A877,'Adj factor'!A:A,'Adj factor'!I:I,,0)*AI877),'Master DataSheet'!AI877)</f>
        <v>635</v>
      </c>
      <c r="AM877" s="91">
        <f t="shared" si="245"/>
        <v>635</v>
      </c>
      <c r="AN877" s="92" t="str">
        <f t="shared" si="246"/>
        <v>Increasing</v>
      </c>
      <c r="AO877" s="93">
        <f>VLOOKUP(B877,'Growthrates source'!A$2:H$49,8,FALSE)</f>
        <v>0.25992104989487319</v>
      </c>
      <c r="AP877" s="93">
        <f>VLOOKUP(B877,'Growthrates source'!A$2:I$49,9,FALSE)</f>
        <v>5.4673730437993617E-2</v>
      </c>
      <c r="AQ877" s="86">
        <f t="shared" si="247"/>
        <v>4.3622303414303705</v>
      </c>
      <c r="AR877" s="86">
        <f t="shared" si="248"/>
        <v>18.851828532268215</v>
      </c>
      <c r="AS877" s="94">
        <f t="shared" si="249"/>
        <v>0</v>
      </c>
      <c r="AT877" s="94">
        <f t="shared" si="250"/>
        <v>0.26165596771126881</v>
      </c>
      <c r="AU877" s="94">
        <f t="shared" si="251"/>
        <v>0.58186611059203874</v>
      </c>
    </row>
    <row r="878" spans="1:47" x14ac:dyDescent="0.3">
      <c r="A878" s="85" t="str">
        <f>_xlfn.XLOOKUP(B878,'Country codes &amp; Data sources'!G:G,'Country codes &amp; Data sources'!H:H,,0)</f>
        <v>South Sudan</v>
      </c>
      <c r="B878" s="85" t="s">
        <v>188</v>
      </c>
      <c r="C878" s="86">
        <v>10701616.5</v>
      </c>
      <c r="D878" s="85" t="s">
        <v>206</v>
      </c>
      <c r="E878" s="87">
        <v>0</v>
      </c>
      <c r="F878" s="88">
        <v>11106031.000000004</v>
      </c>
      <c r="G878" s="87">
        <v>0</v>
      </c>
      <c r="I878" s="87">
        <v>0</v>
      </c>
      <c r="K878" s="87">
        <v>0</v>
      </c>
      <c r="M878" s="87">
        <v>0</v>
      </c>
      <c r="O878" s="87">
        <v>0</v>
      </c>
      <c r="P878" s="88">
        <v>10395329.5</v>
      </c>
      <c r="Q878" s="87">
        <v>0</v>
      </c>
      <c r="R878" s="87">
        <f t="shared" si="234"/>
        <v>1306</v>
      </c>
      <c r="T878" s="87">
        <v>0</v>
      </c>
      <c r="V878" s="87">
        <v>0</v>
      </c>
      <c r="X878" s="87">
        <v>0</v>
      </c>
      <c r="Y878" s="88">
        <v>10913163.5</v>
      </c>
      <c r="Z878" s="87">
        <v>0</v>
      </c>
      <c r="AA878" s="87">
        <v>1306</v>
      </c>
      <c r="AB878" s="89">
        <f t="shared" si="235"/>
        <v>0</v>
      </c>
      <c r="AC878" s="89">
        <f t="shared" si="236"/>
        <v>0</v>
      </c>
      <c r="AD878" s="89">
        <f t="shared" si="237"/>
        <v>0</v>
      </c>
      <c r="AE878" s="90">
        <f t="shared" si="238"/>
        <v>0</v>
      </c>
      <c r="AF878" s="90" t="str">
        <f t="shared" si="239"/>
        <v/>
      </c>
      <c r="AG878" s="90">
        <f t="shared" si="240"/>
        <v>1306</v>
      </c>
      <c r="AH878" s="90" t="str">
        <f t="shared" si="241"/>
        <v>2018 (triag)</v>
      </c>
      <c r="AI878" s="90">
        <f t="shared" si="242"/>
        <v>1306</v>
      </c>
      <c r="AJ878" s="90" t="str">
        <f t="shared" si="243"/>
        <v>2018 (triag)</v>
      </c>
      <c r="AK878" s="90" t="str">
        <f t="shared" si="244"/>
        <v/>
      </c>
      <c r="AL878" s="91">
        <f>IF(AK878="Adjust",(_xlfn.XLOOKUP(A878,'Adj factor'!A:A,'Adj factor'!I:I,,0)*AI878),'Master DataSheet'!AI878)</f>
        <v>1306</v>
      </c>
      <c r="AM878" s="91">
        <f t="shared" si="245"/>
        <v>1306</v>
      </c>
      <c r="AN878" s="92" t="str">
        <f t="shared" si="246"/>
        <v>No change</v>
      </c>
      <c r="AO878" s="93">
        <f>VLOOKUP(B878,'Growthrates source'!A$2:H$49,8,FALSE)</f>
        <v>0.25992104989487319</v>
      </c>
      <c r="AP878" s="93">
        <f>VLOOKUP(B878,'Growthrates source'!A$2:I$49,9,FALSE)</f>
        <v>5.4673730437993617E-2</v>
      </c>
      <c r="AQ878" s="86">
        <f t="shared" si="247"/>
        <v>356.06705161925396</v>
      </c>
      <c r="AR878" s="86">
        <f t="shared" si="248"/>
        <v>1538.7805039463931</v>
      </c>
      <c r="AS878" s="94">
        <f t="shared" si="249"/>
        <v>0</v>
      </c>
      <c r="AT878" s="94">
        <f t="shared" si="250"/>
        <v>1.2563334332019009</v>
      </c>
      <c r="AU878" s="94">
        <f t="shared" si="251"/>
        <v>1.1967199061940197</v>
      </c>
    </row>
    <row r="879" spans="1:47" x14ac:dyDescent="0.3">
      <c r="A879" s="85" t="str">
        <f>_xlfn.XLOOKUP(B879,'Country codes &amp; Data sources'!G:G,'Country codes &amp; Data sources'!H:H,,0)</f>
        <v>South Sudan</v>
      </c>
      <c r="B879" s="85" t="s">
        <v>188</v>
      </c>
      <c r="C879" s="86">
        <v>10701617.5</v>
      </c>
      <c r="D879" s="85" t="s">
        <v>136</v>
      </c>
      <c r="E879" s="87">
        <v>0</v>
      </c>
      <c r="F879" s="88">
        <v>11106031.000000004</v>
      </c>
      <c r="G879" s="87">
        <v>0</v>
      </c>
      <c r="I879" s="87">
        <v>0</v>
      </c>
      <c r="K879" s="87">
        <v>0</v>
      </c>
      <c r="M879" s="87">
        <v>0</v>
      </c>
      <c r="O879" s="87">
        <v>0</v>
      </c>
      <c r="P879" s="88">
        <v>10395329.5</v>
      </c>
      <c r="Q879" s="87">
        <v>0</v>
      </c>
      <c r="R879" s="87">
        <f t="shared" si="234"/>
        <v>6</v>
      </c>
      <c r="T879" s="87">
        <v>13</v>
      </c>
      <c r="V879" s="87">
        <v>16</v>
      </c>
      <c r="X879" s="87">
        <v>0</v>
      </c>
      <c r="Y879" s="88">
        <v>10913163.5</v>
      </c>
      <c r="Z879" s="87">
        <v>0</v>
      </c>
      <c r="AA879" s="87">
        <v>6</v>
      </c>
      <c r="AB879" s="89">
        <f t="shared" si="235"/>
        <v>0</v>
      </c>
      <c r="AC879" s="89">
        <f t="shared" si="236"/>
        <v>13</v>
      </c>
      <c r="AD879" s="89">
        <f t="shared" si="237"/>
        <v>16</v>
      </c>
      <c r="AE879" s="90">
        <f t="shared" si="238"/>
        <v>0</v>
      </c>
      <c r="AF879" s="90" t="str">
        <f t="shared" si="239"/>
        <v/>
      </c>
      <c r="AG879" s="90">
        <f t="shared" si="240"/>
        <v>6</v>
      </c>
      <c r="AH879" s="90" t="str">
        <f t="shared" si="241"/>
        <v>2018 (triag)</v>
      </c>
      <c r="AI879" s="90">
        <f t="shared" si="242"/>
        <v>16</v>
      </c>
      <c r="AJ879" s="90">
        <f t="shared" si="243"/>
        <v>2020</v>
      </c>
      <c r="AK879" s="90" t="str">
        <f t="shared" si="244"/>
        <v/>
      </c>
      <c r="AL879" s="91">
        <f>IF(AK879="Adjust",(_xlfn.XLOOKUP(A879,'Adj factor'!A:A,'Adj factor'!I:I,,0)*AI879),'Master DataSheet'!AI879)</f>
        <v>16</v>
      </c>
      <c r="AM879" s="91">
        <f t="shared" si="245"/>
        <v>16</v>
      </c>
      <c r="AN879" s="92" t="str">
        <f t="shared" si="246"/>
        <v>Increasing</v>
      </c>
      <c r="AO879" s="93">
        <f>VLOOKUP(B879,'Growthrates source'!A$2:H$49,8,FALSE)</f>
        <v>0.25992104989487319</v>
      </c>
      <c r="AP879" s="93">
        <f>VLOOKUP(B879,'Growthrates source'!A$2:I$49,9,FALSE)</f>
        <v>5.4673730437993617E-2</v>
      </c>
      <c r="AQ879" s="86">
        <f t="shared" si="247"/>
        <v>1.6358363780363889</v>
      </c>
      <c r="AR879" s="86">
        <f t="shared" si="248"/>
        <v>7.0694356996005805</v>
      </c>
      <c r="AS879" s="94">
        <f t="shared" si="249"/>
        <v>0</v>
      </c>
      <c r="AT879" s="94">
        <f t="shared" si="250"/>
        <v>5.7718228171603414E-3</v>
      </c>
      <c r="AU879" s="94">
        <f t="shared" si="251"/>
        <v>1.4661193337752156E-2</v>
      </c>
    </row>
    <row r="880" spans="1:47" x14ac:dyDescent="0.3">
      <c r="A880" s="85" t="str">
        <f>_xlfn.XLOOKUP(B880,'Country codes &amp; Data sources'!G:G,'Country codes &amp; Data sources'!H:H,,0)</f>
        <v>South Sudan</v>
      </c>
      <c r="B880" s="85" t="s">
        <v>188</v>
      </c>
      <c r="C880" s="86">
        <v>10701618.5</v>
      </c>
      <c r="D880" s="85" t="s">
        <v>207</v>
      </c>
      <c r="E880" s="87">
        <v>0</v>
      </c>
      <c r="F880" s="88">
        <v>11106031.000000004</v>
      </c>
      <c r="G880" s="87">
        <v>0</v>
      </c>
      <c r="I880" s="87">
        <v>0</v>
      </c>
      <c r="K880" s="87">
        <v>0</v>
      </c>
      <c r="M880" s="87">
        <v>0</v>
      </c>
      <c r="O880" s="87">
        <v>0</v>
      </c>
      <c r="P880" s="88">
        <v>10395329.5</v>
      </c>
      <c r="Q880" s="87">
        <v>0</v>
      </c>
      <c r="R880" s="87">
        <f t="shared" si="234"/>
        <v>57</v>
      </c>
      <c r="T880" s="87">
        <v>850</v>
      </c>
      <c r="V880" s="87">
        <v>1006</v>
      </c>
      <c r="X880" s="87">
        <v>0</v>
      </c>
      <c r="Y880" s="88">
        <v>10913163.5</v>
      </c>
      <c r="Z880" s="87">
        <v>0</v>
      </c>
      <c r="AA880" s="87">
        <v>57</v>
      </c>
      <c r="AB880" s="89">
        <f t="shared" si="235"/>
        <v>0</v>
      </c>
      <c r="AC880" s="89">
        <f t="shared" si="236"/>
        <v>850</v>
      </c>
      <c r="AD880" s="89">
        <f t="shared" si="237"/>
        <v>1006</v>
      </c>
      <c r="AE880" s="90">
        <f t="shared" si="238"/>
        <v>0</v>
      </c>
      <c r="AF880" s="90" t="str">
        <f t="shared" si="239"/>
        <v/>
      </c>
      <c r="AG880" s="90">
        <f t="shared" si="240"/>
        <v>57</v>
      </c>
      <c r="AH880" s="90" t="str">
        <f t="shared" si="241"/>
        <v>2018 (triag)</v>
      </c>
      <c r="AI880" s="90">
        <f t="shared" si="242"/>
        <v>1006</v>
      </c>
      <c r="AJ880" s="90">
        <f t="shared" si="243"/>
        <v>2020</v>
      </c>
      <c r="AK880" s="90" t="str">
        <f t="shared" si="244"/>
        <v/>
      </c>
      <c r="AL880" s="91">
        <f>IF(AK880="Adjust",(_xlfn.XLOOKUP(A880,'Adj factor'!A:A,'Adj factor'!I:I,,0)*AI880),'Master DataSheet'!AI880)</f>
        <v>1006</v>
      </c>
      <c r="AM880" s="91">
        <f t="shared" si="245"/>
        <v>1006</v>
      </c>
      <c r="AN880" s="92" t="str">
        <f t="shared" si="246"/>
        <v>Increasing</v>
      </c>
      <c r="AO880" s="93">
        <f>VLOOKUP(B880,'Growthrates source'!A$2:H$49,8,FALSE)</f>
        <v>0.25992104989487319</v>
      </c>
      <c r="AP880" s="93">
        <f>VLOOKUP(B880,'Growthrates source'!A$2:I$49,9,FALSE)</f>
        <v>5.4673730437993617E-2</v>
      </c>
      <c r="AQ880" s="86">
        <f t="shared" si="247"/>
        <v>15.540445591345694</v>
      </c>
      <c r="AR880" s="86">
        <f t="shared" si="248"/>
        <v>67.159639146205521</v>
      </c>
      <c r="AS880" s="94">
        <f t="shared" si="249"/>
        <v>0</v>
      </c>
      <c r="AT880" s="94">
        <f t="shared" si="250"/>
        <v>5.4832316763023241E-2</v>
      </c>
      <c r="AU880" s="94">
        <f t="shared" si="251"/>
        <v>0.92182253111116685</v>
      </c>
    </row>
    <row r="881" spans="1:47" x14ac:dyDescent="0.3">
      <c r="A881" s="85" t="str">
        <f>_xlfn.XLOOKUP(B881,'Country codes &amp; Data sources'!G:G,'Country codes &amp; Data sources'!H:H,,0)</f>
        <v>South Sudan</v>
      </c>
      <c r="B881" s="85" t="s">
        <v>188</v>
      </c>
      <c r="C881" s="86">
        <v>10701619.5</v>
      </c>
      <c r="D881" s="85" t="s">
        <v>141</v>
      </c>
      <c r="E881" s="87">
        <v>0</v>
      </c>
      <c r="F881" s="88">
        <v>11106031.000000004</v>
      </c>
      <c r="G881" s="87">
        <v>0</v>
      </c>
      <c r="I881" s="87">
        <v>0</v>
      </c>
      <c r="K881" s="87">
        <v>0</v>
      </c>
      <c r="M881" s="87">
        <v>0</v>
      </c>
      <c r="O881" s="87">
        <v>0</v>
      </c>
      <c r="P881" s="88">
        <v>10395329.5</v>
      </c>
      <c r="Q881" s="87">
        <v>0</v>
      </c>
      <c r="R881" s="87">
        <f t="shared" si="234"/>
        <v>7</v>
      </c>
      <c r="T881" s="87">
        <v>13</v>
      </c>
      <c r="V881" s="87">
        <v>24</v>
      </c>
      <c r="X881" s="87">
        <v>0</v>
      </c>
      <c r="Y881" s="88">
        <v>10913163.5</v>
      </c>
      <c r="Z881" s="87">
        <v>0</v>
      </c>
      <c r="AA881" s="87">
        <v>7</v>
      </c>
      <c r="AB881" s="89">
        <f t="shared" si="235"/>
        <v>0</v>
      </c>
      <c r="AC881" s="89">
        <f t="shared" si="236"/>
        <v>13</v>
      </c>
      <c r="AD881" s="89">
        <f t="shared" si="237"/>
        <v>24</v>
      </c>
      <c r="AE881" s="90">
        <f t="shared" si="238"/>
        <v>0</v>
      </c>
      <c r="AF881" s="90" t="str">
        <f t="shared" si="239"/>
        <v/>
      </c>
      <c r="AG881" s="90">
        <f t="shared" si="240"/>
        <v>7</v>
      </c>
      <c r="AH881" s="90" t="str">
        <f t="shared" si="241"/>
        <v>2018 (triag)</v>
      </c>
      <c r="AI881" s="90">
        <f t="shared" si="242"/>
        <v>24</v>
      </c>
      <c r="AJ881" s="90">
        <f t="shared" si="243"/>
        <v>2020</v>
      </c>
      <c r="AK881" s="90" t="str">
        <f t="shared" si="244"/>
        <v/>
      </c>
      <c r="AL881" s="91">
        <f>IF(AK881="Adjust",(_xlfn.XLOOKUP(A881,'Adj factor'!A:A,'Adj factor'!I:I,,0)*AI881),'Master DataSheet'!AI881)</f>
        <v>24</v>
      </c>
      <c r="AM881" s="91">
        <f t="shared" si="245"/>
        <v>24</v>
      </c>
      <c r="AN881" s="92" t="str">
        <f t="shared" si="246"/>
        <v>Increasing</v>
      </c>
      <c r="AO881" s="93">
        <f>VLOOKUP(B881,'Growthrates source'!A$2:H$49,8,FALSE)</f>
        <v>0.25992104989487319</v>
      </c>
      <c r="AP881" s="93">
        <f>VLOOKUP(B881,'Growthrates source'!A$2:I$49,9,FALSE)</f>
        <v>5.4673730437993617E-2</v>
      </c>
      <c r="AQ881" s="86">
        <f t="shared" si="247"/>
        <v>1.908475774375787</v>
      </c>
      <c r="AR881" s="86">
        <f t="shared" si="248"/>
        <v>8.2476749828673448</v>
      </c>
      <c r="AS881" s="94">
        <f t="shared" si="249"/>
        <v>0</v>
      </c>
      <c r="AT881" s="94">
        <f t="shared" si="250"/>
        <v>6.7337932866870648E-3</v>
      </c>
      <c r="AU881" s="94">
        <f t="shared" si="251"/>
        <v>2.1991790006628233E-2</v>
      </c>
    </row>
    <row r="882" spans="1:47" x14ac:dyDescent="0.3">
      <c r="A882" s="85" t="str">
        <f>_xlfn.XLOOKUP(B882,'Country codes &amp; Data sources'!G:G,'Country codes &amp; Data sources'!H:H,,0)</f>
        <v>South Sudan</v>
      </c>
      <c r="B882" s="85" t="s">
        <v>188</v>
      </c>
      <c r="C882" s="86">
        <v>10701620.5</v>
      </c>
      <c r="D882" s="85" t="s">
        <v>208</v>
      </c>
      <c r="E882" s="87">
        <v>0</v>
      </c>
      <c r="F882" s="88">
        <v>11106031.000000004</v>
      </c>
      <c r="G882" s="87">
        <v>0</v>
      </c>
      <c r="I882" s="87">
        <v>0</v>
      </c>
      <c r="K882" s="87">
        <v>0</v>
      </c>
      <c r="M882" s="87">
        <v>0</v>
      </c>
      <c r="O882" s="87">
        <v>0</v>
      </c>
      <c r="P882" s="88">
        <v>10395329.5</v>
      </c>
      <c r="Q882" s="87">
        <v>0</v>
      </c>
      <c r="R882" s="87">
        <f t="shared" si="234"/>
        <v>0</v>
      </c>
      <c r="T882" s="87">
        <v>0</v>
      </c>
      <c r="V882" s="87">
        <v>0</v>
      </c>
      <c r="X882" s="87">
        <v>0</v>
      </c>
      <c r="Y882" s="88">
        <v>10913163.5</v>
      </c>
      <c r="Z882" s="87">
        <v>0</v>
      </c>
      <c r="AA882" s="87">
        <v>0</v>
      </c>
      <c r="AB882" s="89">
        <f t="shared" si="235"/>
        <v>0</v>
      </c>
      <c r="AC882" s="89">
        <f t="shared" si="236"/>
        <v>0</v>
      </c>
      <c r="AD882" s="89">
        <f t="shared" si="237"/>
        <v>0</v>
      </c>
      <c r="AE882" s="90">
        <f t="shared" si="238"/>
        <v>0</v>
      </c>
      <c r="AF882" s="90" t="str">
        <f t="shared" si="239"/>
        <v/>
      </c>
      <c r="AG882" s="90">
        <f t="shared" si="240"/>
        <v>0</v>
      </c>
      <c r="AH882" s="90" t="str">
        <f t="shared" si="241"/>
        <v/>
      </c>
      <c r="AI882" s="90">
        <f t="shared" si="242"/>
        <v>0</v>
      </c>
      <c r="AJ882" s="90" t="str">
        <f t="shared" si="243"/>
        <v/>
      </c>
      <c r="AK882" s="90" t="str">
        <f t="shared" si="244"/>
        <v/>
      </c>
      <c r="AL882" s="91">
        <f>IF(AK882="Adjust",(_xlfn.XLOOKUP(A882,'Adj factor'!A:A,'Adj factor'!I:I,,0)*AI882),'Master DataSheet'!AI882)</f>
        <v>0</v>
      </c>
      <c r="AM882" s="91">
        <f t="shared" si="245"/>
        <v>0</v>
      </c>
      <c r="AN882" s="92" t="str">
        <f t="shared" si="246"/>
        <v>No change</v>
      </c>
      <c r="AO882" s="93">
        <f>VLOOKUP(B882,'Growthrates source'!A$2:H$49,8,FALSE)</f>
        <v>0.25992104989487319</v>
      </c>
      <c r="AP882" s="93">
        <f>VLOOKUP(B882,'Growthrates source'!A$2:I$49,9,FALSE)</f>
        <v>5.4673730437993617E-2</v>
      </c>
      <c r="AQ882" s="86">
        <f t="shared" si="247"/>
        <v>0</v>
      </c>
      <c r="AR882" s="86">
        <f t="shared" si="248"/>
        <v>0</v>
      </c>
      <c r="AS882" s="94">
        <f t="shared" si="249"/>
        <v>0</v>
      </c>
      <c r="AT882" s="94">
        <f t="shared" si="250"/>
        <v>0</v>
      </c>
      <c r="AU882" s="94">
        <f t="shared" si="251"/>
        <v>0</v>
      </c>
    </row>
    <row r="883" spans="1:47" x14ac:dyDescent="0.3">
      <c r="A883" s="85" t="str">
        <f>_xlfn.XLOOKUP(B883,'Country codes &amp; Data sources'!G:G,'Country codes &amp; Data sources'!H:H,,0)</f>
        <v>South Sudan</v>
      </c>
      <c r="B883" s="85" t="s">
        <v>188</v>
      </c>
      <c r="C883" s="86">
        <v>10701621.5</v>
      </c>
      <c r="D883" s="85" t="s">
        <v>209</v>
      </c>
      <c r="E883" s="87">
        <v>0</v>
      </c>
      <c r="F883" s="88">
        <v>11106031.000000004</v>
      </c>
      <c r="G883" s="87">
        <v>0</v>
      </c>
      <c r="I883" s="87">
        <v>0</v>
      </c>
      <c r="K883" s="87">
        <v>0</v>
      </c>
      <c r="M883" s="87">
        <v>0</v>
      </c>
      <c r="O883" s="87">
        <v>0</v>
      </c>
      <c r="P883" s="88">
        <v>10395329.5</v>
      </c>
      <c r="Q883" s="87">
        <v>0</v>
      </c>
      <c r="R883" s="87">
        <f t="shared" si="234"/>
        <v>0</v>
      </c>
      <c r="T883" s="87">
        <v>0</v>
      </c>
      <c r="V883" s="87">
        <v>0</v>
      </c>
      <c r="X883" s="87">
        <v>0</v>
      </c>
      <c r="Y883" s="88">
        <v>10913163.5</v>
      </c>
      <c r="Z883" s="87">
        <v>0</v>
      </c>
      <c r="AA883" s="87">
        <v>0</v>
      </c>
      <c r="AB883" s="89">
        <f t="shared" si="235"/>
        <v>0</v>
      </c>
      <c r="AC883" s="89">
        <f t="shared" si="236"/>
        <v>0</v>
      </c>
      <c r="AD883" s="89">
        <f t="shared" si="237"/>
        <v>0</v>
      </c>
      <c r="AE883" s="90">
        <f t="shared" si="238"/>
        <v>0</v>
      </c>
      <c r="AF883" s="90" t="str">
        <f t="shared" si="239"/>
        <v/>
      </c>
      <c r="AG883" s="90">
        <f t="shared" si="240"/>
        <v>0</v>
      </c>
      <c r="AH883" s="90" t="str">
        <f t="shared" si="241"/>
        <v/>
      </c>
      <c r="AI883" s="90">
        <f t="shared" si="242"/>
        <v>0</v>
      </c>
      <c r="AJ883" s="90" t="str">
        <f t="shared" si="243"/>
        <v/>
      </c>
      <c r="AK883" s="90" t="str">
        <f t="shared" si="244"/>
        <v/>
      </c>
      <c r="AL883" s="91">
        <f>IF(AK883="Adjust",(_xlfn.XLOOKUP(A883,'Adj factor'!A:A,'Adj factor'!I:I,,0)*AI883),'Master DataSheet'!AI883)</f>
        <v>0</v>
      </c>
      <c r="AM883" s="91">
        <f t="shared" si="245"/>
        <v>0</v>
      </c>
      <c r="AN883" s="92" t="str">
        <f t="shared" si="246"/>
        <v>No change</v>
      </c>
      <c r="AO883" s="93">
        <f>VLOOKUP(B883,'Growthrates source'!A$2:H$49,8,FALSE)</f>
        <v>0.25992104989487319</v>
      </c>
      <c r="AP883" s="93">
        <f>VLOOKUP(B883,'Growthrates source'!A$2:I$49,9,FALSE)</f>
        <v>5.4673730437993617E-2</v>
      </c>
      <c r="AQ883" s="86">
        <f t="shared" si="247"/>
        <v>0</v>
      </c>
      <c r="AR883" s="86">
        <f t="shared" si="248"/>
        <v>0</v>
      </c>
      <c r="AS883" s="94">
        <f t="shared" si="249"/>
        <v>0</v>
      </c>
      <c r="AT883" s="94">
        <f t="shared" si="250"/>
        <v>0</v>
      </c>
      <c r="AU883" s="94">
        <f t="shared" si="251"/>
        <v>0</v>
      </c>
    </row>
    <row r="884" spans="1:47" x14ac:dyDescent="0.3">
      <c r="A884" s="85" t="str">
        <f>_xlfn.XLOOKUP(B884,'Country codes &amp; Data sources'!G:G,'Country codes &amp; Data sources'!H:H,,0)</f>
        <v>South Sudan</v>
      </c>
      <c r="B884" s="85" t="s">
        <v>188</v>
      </c>
      <c r="C884" s="86">
        <v>10701622.5</v>
      </c>
      <c r="D884" s="85" t="s">
        <v>134</v>
      </c>
      <c r="E884" s="87">
        <v>0</v>
      </c>
      <c r="F884" s="88">
        <v>11106031.000000004</v>
      </c>
      <c r="G884" s="87">
        <v>0</v>
      </c>
      <c r="I884" s="87">
        <v>0</v>
      </c>
      <c r="K884" s="87">
        <v>0</v>
      </c>
      <c r="M884" s="87">
        <v>0</v>
      </c>
      <c r="O884" s="87">
        <v>0</v>
      </c>
      <c r="P884" s="88">
        <v>10395329.5</v>
      </c>
      <c r="Q884" s="87">
        <v>0</v>
      </c>
      <c r="R884" s="87">
        <f t="shared" si="234"/>
        <v>272</v>
      </c>
      <c r="T884" s="87">
        <v>0</v>
      </c>
      <c r="V884" s="87">
        <v>0</v>
      </c>
      <c r="X884" s="87">
        <v>0</v>
      </c>
      <c r="Y884" s="88">
        <v>10913163.5</v>
      </c>
      <c r="Z884" s="87">
        <v>0</v>
      </c>
      <c r="AA884" s="87">
        <v>272</v>
      </c>
      <c r="AB884" s="89">
        <f t="shared" si="235"/>
        <v>0</v>
      </c>
      <c r="AC884" s="89">
        <f t="shared" si="236"/>
        <v>0</v>
      </c>
      <c r="AD884" s="89">
        <f t="shared" si="237"/>
        <v>0</v>
      </c>
      <c r="AE884" s="90">
        <f t="shared" si="238"/>
        <v>0</v>
      </c>
      <c r="AF884" s="90" t="str">
        <f t="shared" si="239"/>
        <v/>
      </c>
      <c r="AG884" s="90">
        <f t="shared" si="240"/>
        <v>272</v>
      </c>
      <c r="AH884" s="90" t="str">
        <f t="shared" si="241"/>
        <v>2018 (triag)</v>
      </c>
      <c r="AI884" s="90">
        <f t="shared" si="242"/>
        <v>272</v>
      </c>
      <c r="AJ884" s="90" t="str">
        <f t="shared" si="243"/>
        <v>2018 (triag)</v>
      </c>
      <c r="AK884" s="90" t="str">
        <f t="shared" si="244"/>
        <v/>
      </c>
      <c r="AL884" s="91">
        <f>IF(AK884="Adjust",(_xlfn.XLOOKUP(A884,'Adj factor'!A:A,'Adj factor'!I:I,,0)*AI884),'Master DataSheet'!AI884)</f>
        <v>272</v>
      </c>
      <c r="AM884" s="91">
        <f t="shared" si="245"/>
        <v>272</v>
      </c>
      <c r="AN884" s="92" t="str">
        <f t="shared" si="246"/>
        <v>No change</v>
      </c>
      <c r="AO884" s="93">
        <f>VLOOKUP(B884,'Growthrates source'!A$2:H$49,8,FALSE)</f>
        <v>0.25992104989487319</v>
      </c>
      <c r="AP884" s="93">
        <f>VLOOKUP(B884,'Growthrates source'!A$2:I$49,9,FALSE)</f>
        <v>5.4673730437993617E-2</v>
      </c>
      <c r="AQ884" s="86">
        <f t="shared" si="247"/>
        <v>74.157915804316289</v>
      </c>
      <c r="AR884" s="86">
        <f t="shared" si="248"/>
        <v>320.48108504855963</v>
      </c>
      <c r="AS884" s="94">
        <f t="shared" si="249"/>
        <v>0</v>
      </c>
      <c r="AT884" s="94">
        <f t="shared" si="250"/>
        <v>0.26165596771126881</v>
      </c>
      <c r="AU884" s="94">
        <f t="shared" si="251"/>
        <v>0.24924028674178664</v>
      </c>
    </row>
    <row r="885" spans="1:47" x14ac:dyDescent="0.3">
      <c r="A885" s="85" t="str">
        <f>_xlfn.XLOOKUP(B885,'Country codes &amp; Data sources'!G:G,'Country codes &amp; Data sources'!H:H,,0)</f>
        <v>South Sudan</v>
      </c>
      <c r="B885" s="85" t="s">
        <v>188</v>
      </c>
      <c r="C885" s="86">
        <v>10701623.5</v>
      </c>
      <c r="D885" s="85" t="s">
        <v>142</v>
      </c>
      <c r="E885" s="87">
        <v>0</v>
      </c>
      <c r="F885" s="88">
        <v>11106031.000000004</v>
      </c>
      <c r="G885" s="87">
        <v>0</v>
      </c>
      <c r="I885" s="87">
        <v>0</v>
      </c>
      <c r="K885" s="87">
        <v>0</v>
      </c>
      <c r="M885" s="87">
        <v>0</v>
      </c>
      <c r="O885" s="87">
        <v>0</v>
      </c>
      <c r="P885" s="88">
        <v>10395329.5</v>
      </c>
      <c r="Q885" s="87">
        <v>0</v>
      </c>
      <c r="R885" s="87">
        <f t="shared" si="234"/>
        <v>0</v>
      </c>
      <c r="T885" s="87">
        <v>580</v>
      </c>
      <c r="V885" s="87">
        <v>623</v>
      </c>
      <c r="X885" s="87">
        <v>0</v>
      </c>
      <c r="Y885" s="88">
        <v>10913163.5</v>
      </c>
      <c r="Z885" s="87">
        <v>0</v>
      </c>
      <c r="AA885" s="87">
        <v>0</v>
      </c>
      <c r="AB885" s="89">
        <f t="shared" si="235"/>
        <v>0</v>
      </c>
      <c r="AC885" s="89">
        <f t="shared" si="236"/>
        <v>580</v>
      </c>
      <c r="AD885" s="89">
        <f t="shared" si="237"/>
        <v>623</v>
      </c>
      <c r="AE885" s="90">
        <f t="shared" si="238"/>
        <v>0</v>
      </c>
      <c r="AF885" s="90" t="str">
        <f t="shared" si="239"/>
        <v/>
      </c>
      <c r="AG885" s="90">
        <f t="shared" si="240"/>
        <v>580</v>
      </c>
      <c r="AH885" s="90">
        <f t="shared" si="241"/>
        <v>2019</v>
      </c>
      <c r="AI885" s="90">
        <f t="shared" si="242"/>
        <v>623</v>
      </c>
      <c r="AJ885" s="90">
        <f t="shared" si="243"/>
        <v>2020</v>
      </c>
      <c r="AK885" s="90" t="str">
        <f t="shared" si="244"/>
        <v/>
      </c>
      <c r="AL885" s="91">
        <f>IF(AK885="Adjust",(_xlfn.XLOOKUP(A885,'Adj factor'!A:A,'Adj factor'!I:I,,0)*AI885),'Master DataSheet'!AI885)</f>
        <v>623</v>
      </c>
      <c r="AM885" s="91">
        <f t="shared" si="245"/>
        <v>623</v>
      </c>
      <c r="AN885" s="92" t="str">
        <f t="shared" si="246"/>
        <v>Increasing</v>
      </c>
      <c r="AO885" s="93">
        <f>VLOOKUP(B885,'Growthrates source'!A$2:H$49,8,FALSE)</f>
        <v>0.25992104989487319</v>
      </c>
      <c r="AP885" s="93">
        <f>VLOOKUP(B885,'Growthrates source'!A$2:I$49,9,FALSE)</f>
        <v>5.4673730437993617E-2</v>
      </c>
      <c r="AQ885" s="86">
        <f t="shared" si="247"/>
        <v>0</v>
      </c>
      <c r="AR885" s="86">
        <f t="shared" si="248"/>
        <v>0</v>
      </c>
      <c r="AS885" s="94">
        <f t="shared" si="249"/>
        <v>0</v>
      </c>
      <c r="AT885" s="94">
        <f t="shared" si="250"/>
        <v>0.55794287232549966</v>
      </c>
      <c r="AU885" s="94">
        <f t="shared" si="251"/>
        <v>0.57087021558872453</v>
      </c>
    </row>
    <row r="886" spans="1:47" x14ac:dyDescent="0.3">
      <c r="A886" s="85" t="str">
        <f>_xlfn.XLOOKUP(B886,'Country codes &amp; Data sources'!G:G,'Country codes &amp; Data sources'!H:H,,0)</f>
        <v>South Sudan</v>
      </c>
      <c r="B886" s="85" t="s">
        <v>188</v>
      </c>
      <c r="C886" s="86">
        <v>10701624.5</v>
      </c>
      <c r="D886" s="85" t="s">
        <v>83</v>
      </c>
      <c r="E886" s="87">
        <v>0</v>
      </c>
      <c r="F886" s="88">
        <v>11106031.000000004</v>
      </c>
      <c r="G886" s="87">
        <v>0</v>
      </c>
      <c r="I886" s="87">
        <v>0</v>
      </c>
      <c r="K886" s="87">
        <v>0</v>
      </c>
      <c r="M886" s="87">
        <v>0</v>
      </c>
      <c r="O886" s="87">
        <v>0</v>
      </c>
      <c r="P886" s="88">
        <v>10395329.5</v>
      </c>
      <c r="Q886" s="87">
        <v>0</v>
      </c>
      <c r="R886" s="87">
        <f t="shared" si="234"/>
        <v>9</v>
      </c>
      <c r="T886" s="87">
        <v>11</v>
      </c>
      <c r="V886" s="87">
        <v>17</v>
      </c>
      <c r="X886" s="87">
        <v>0</v>
      </c>
      <c r="Y886" s="88">
        <v>10913163.5</v>
      </c>
      <c r="Z886" s="87">
        <v>0</v>
      </c>
      <c r="AA886" s="87">
        <v>9</v>
      </c>
      <c r="AB886" s="89">
        <f t="shared" si="235"/>
        <v>0</v>
      </c>
      <c r="AC886" s="89">
        <f t="shared" si="236"/>
        <v>11</v>
      </c>
      <c r="AD886" s="89">
        <f t="shared" si="237"/>
        <v>17</v>
      </c>
      <c r="AE886" s="90">
        <f t="shared" si="238"/>
        <v>0</v>
      </c>
      <c r="AF886" s="90" t="str">
        <f t="shared" si="239"/>
        <v/>
      </c>
      <c r="AG886" s="90">
        <f t="shared" si="240"/>
        <v>9</v>
      </c>
      <c r="AH886" s="90" t="str">
        <f t="shared" si="241"/>
        <v>2018 (triag)</v>
      </c>
      <c r="AI886" s="90">
        <f t="shared" si="242"/>
        <v>17</v>
      </c>
      <c r="AJ886" s="90">
        <f t="shared" si="243"/>
        <v>2020</v>
      </c>
      <c r="AK886" s="90" t="str">
        <f t="shared" si="244"/>
        <v/>
      </c>
      <c r="AL886" s="91">
        <f>IF(AK886="Adjust",(_xlfn.XLOOKUP(A886,'Adj factor'!A:A,'Adj factor'!I:I,,0)*AI886),'Master DataSheet'!AI886)</f>
        <v>17</v>
      </c>
      <c r="AM886" s="91">
        <f t="shared" si="245"/>
        <v>17</v>
      </c>
      <c r="AN886" s="92" t="str">
        <f t="shared" si="246"/>
        <v>Increasing</v>
      </c>
      <c r="AO886" s="93">
        <f>VLOOKUP(B886,'Growthrates source'!A$2:H$49,8,FALSE)</f>
        <v>0.25992104989487319</v>
      </c>
      <c r="AP886" s="93">
        <f>VLOOKUP(B886,'Growthrates source'!A$2:I$49,9,FALSE)</f>
        <v>5.4673730437993617E-2</v>
      </c>
      <c r="AQ886" s="86">
        <f t="shared" si="247"/>
        <v>2.4537545670545833</v>
      </c>
      <c r="AR886" s="86">
        <f t="shared" si="248"/>
        <v>10.60415354940087</v>
      </c>
      <c r="AS886" s="94">
        <f t="shared" si="249"/>
        <v>0</v>
      </c>
      <c r="AT886" s="94">
        <f t="shared" si="250"/>
        <v>8.6577342257405116E-3</v>
      </c>
      <c r="AU886" s="94">
        <f t="shared" si="251"/>
        <v>1.5577517921361665E-2</v>
      </c>
    </row>
    <row r="887" spans="1:47" x14ac:dyDescent="0.3">
      <c r="A887" s="85" t="str">
        <f>_xlfn.XLOOKUP(B887,'Country codes &amp; Data sources'!G:G,'Country codes &amp; Data sources'!H:H,,0)</f>
        <v>South Sudan</v>
      </c>
      <c r="B887" s="85" t="s">
        <v>188</v>
      </c>
      <c r="C887" s="86">
        <v>10701625.5</v>
      </c>
      <c r="D887" s="85" t="s">
        <v>84</v>
      </c>
      <c r="E887" s="87">
        <v>0</v>
      </c>
      <c r="F887" s="88">
        <v>11106031.000000004</v>
      </c>
      <c r="G887" s="87">
        <v>0</v>
      </c>
      <c r="I887" s="87">
        <v>0</v>
      </c>
      <c r="K887" s="87">
        <v>0</v>
      </c>
      <c r="M887" s="87">
        <v>0</v>
      </c>
      <c r="O887" s="87">
        <v>0</v>
      </c>
      <c r="P887" s="88">
        <v>10395329.5</v>
      </c>
      <c r="Q887" s="87">
        <v>0</v>
      </c>
      <c r="R887" s="87">
        <f t="shared" si="234"/>
        <v>0</v>
      </c>
      <c r="T887" s="87">
        <v>0</v>
      </c>
      <c r="V887" s="87">
        <v>0</v>
      </c>
      <c r="X887" s="87">
        <v>0</v>
      </c>
      <c r="Y887" s="88">
        <v>10913163.5</v>
      </c>
      <c r="Z887" s="87">
        <v>0</v>
      </c>
      <c r="AA887" s="87">
        <v>0</v>
      </c>
      <c r="AB887" s="89">
        <f t="shared" si="235"/>
        <v>0</v>
      </c>
      <c r="AC887" s="89">
        <f t="shared" si="236"/>
        <v>0</v>
      </c>
      <c r="AD887" s="89">
        <f t="shared" si="237"/>
        <v>0</v>
      </c>
      <c r="AE887" s="90">
        <f t="shared" si="238"/>
        <v>0</v>
      </c>
      <c r="AF887" s="90" t="str">
        <f t="shared" si="239"/>
        <v/>
      </c>
      <c r="AG887" s="90">
        <f t="shared" si="240"/>
        <v>0</v>
      </c>
      <c r="AH887" s="90" t="str">
        <f t="shared" si="241"/>
        <v/>
      </c>
      <c r="AI887" s="90">
        <f t="shared" si="242"/>
        <v>0</v>
      </c>
      <c r="AJ887" s="90" t="str">
        <f t="shared" si="243"/>
        <v/>
      </c>
      <c r="AK887" s="90" t="str">
        <f t="shared" si="244"/>
        <v/>
      </c>
      <c r="AL887" s="91">
        <f>IF(AK887="Adjust",(_xlfn.XLOOKUP(A887,'Adj factor'!A:A,'Adj factor'!I:I,,0)*AI887),'Master DataSheet'!AI887)</f>
        <v>0</v>
      </c>
      <c r="AM887" s="91">
        <f t="shared" si="245"/>
        <v>0</v>
      </c>
      <c r="AN887" s="92" t="str">
        <f t="shared" si="246"/>
        <v>No change</v>
      </c>
      <c r="AO887" s="93">
        <f>VLOOKUP(B887,'Growthrates source'!A$2:H$49,8,FALSE)</f>
        <v>0.25992104989487319</v>
      </c>
      <c r="AP887" s="93">
        <f>VLOOKUP(B887,'Growthrates source'!A$2:I$49,9,FALSE)</f>
        <v>5.4673730437993617E-2</v>
      </c>
      <c r="AQ887" s="86">
        <f t="shared" si="247"/>
        <v>0</v>
      </c>
      <c r="AR887" s="86">
        <f t="shared" si="248"/>
        <v>0</v>
      </c>
      <c r="AS887" s="94">
        <f t="shared" si="249"/>
        <v>0</v>
      </c>
      <c r="AT887" s="94">
        <f t="shared" si="250"/>
        <v>0</v>
      </c>
      <c r="AU887" s="94">
        <f t="shared" si="251"/>
        <v>0</v>
      </c>
    </row>
    <row r="888" spans="1:47" x14ac:dyDescent="0.3">
      <c r="A888" s="85" t="str">
        <f>_xlfn.XLOOKUP(B888,'Country codes &amp; Data sources'!G:G,'Country codes &amp; Data sources'!H:H,,0)</f>
        <v>South Sudan</v>
      </c>
      <c r="B888" s="85" t="s">
        <v>188</v>
      </c>
      <c r="C888" s="86">
        <v>10701626.5</v>
      </c>
      <c r="D888" s="85" t="s">
        <v>126</v>
      </c>
      <c r="E888" s="87">
        <v>0</v>
      </c>
      <c r="F888" s="88">
        <v>11106031.000000004</v>
      </c>
      <c r="G888" s="87">
        <v>0</v>
      </c>
      <c r="I888" s="87">
        <v>0</v>
      </c>
      <c r="K888" s="87">
        <v>0</v>
      </c>
      <c r="M888" s="87">
        <v>0</v>
      </c>
      <c r="O888" s="87">
        <v>0</v>
      </c>
      <c r="P888" s="88">
        <v>10395329.5</v>
      </c>
      <c r="Q888" s="87">
        <v>0</v>
      </c>
      <c r="R888" s="87">
        <f t="shared" si="234"/>
        <v>0</v>
      </c>
      <c r="T888" s="87">
        <v>0</v>
      </c>
      <c r="V888" s="87">
        <v>0</v>
      </c>
      <c r="X888" s="87">
        <v>0</v>
      </c>
      <c r="Y888" s="88">
        <v>10913163.5</v>
      </c>
      <c r="Z888" s="87">
        <v>0</v>
      </c>
      <c r="AA888" s="87">
        <v>0</v>
      </c>
      <c r="AB888" s="89">
        <f t="shared" si="235"/>
        <v>0</v>
      </c>
      <c r="AC888" s="89">
        <f t="shared" si="236"/>
        <v>0</v>
      </c>
      <c r="AD888" s="89">
        <f t="shared" si="237"/>
        <v>0</v>
      </c>
      <c r="AE888" s="90">
        <f t="shared" si="238"/>
        <v>0</v>
      </c>
      <c r="AF888" s="90" t="str">
        <f t="shared" si="239"/>
        <v/>
      </c>
      <c r="AG888" s="90">
        <f t="shared" si="240"/>
        <v>0</v>
      </c>
      <c r="AH888" s="90" t="str">
        <f t="shared" si="241"/>
        <v/>
      </c>
      <c r="AI888" s="90">
        <f t="shared" si="242"/>
        <v>0</v>
      </c>
      <c r="AJ888" s="90" t="str">
        <f t="shared" si="243"/>
        <v/>
      </c>
      <c r="AK888" s="90" t="str">
        <f t="shared" si="244"/>
        <v/>
      </c>
      <c r="AL888" s="91">
        <f>IF(AK888="Adjust",(_xlfn.XLOOKUP(A888,'Adj factor'!A:A,'Adj factor'!I:I,,0)*AI888),'Master DataSheet'!AI888)</f>
        <v>0</v>
      </c>
      <c r="AM888" s="91">
        <f t="shared" si="245"/>
        <v>0</v>
      </c>
      <c r="AN888" s="92" t="str">
        <f t="shared" si="246"/>
        <v>No change</v>
      </c>
      <c r="AO888" s="93">
        <f>VLOOKUP(B888,'Growthrates source'!A$2:H$49,8,FALSE)</f>
        <v>0.25992104989487319</v>
      </c>
      <c r="AP888" s="93">
        <f>VLOOKUP(B888,'Growthrates source'!A$2:I$49,9,FALSE)</f>
        <v>5.4673730437993617E-2</v>
      </c>
      <c r="AQ888" s="86">
        <f t="shared" si="247"/>
        <v>0</v>
      </c>
      <c r="AR888" s="86">
        <f t="shared" si="248"/>
        <v>0</v>
      </c>
      <c r="AS888" s="94">
        <f t="shared" si="249"/>
        <v>0</v>
      </c>
      <c r="AT888" s="94">
        <f t="shared" si="250"/>
        <v>0</v>
      </c>
      <c r="AU888" s="94">
        <f t="shared" si="251"/>
        <v>0</v>
      </c>
    </row>
    <row r="889" spans="1:47" x14ac:dyDescent="0.3">
      <c r="A889" s="85" t="str">
        <f>_xlfn.XLOOKUP(B889,'Country codes &amp; Data sources'!G:G,'Country codes &amp; Data sources'!H:H,,0)</f>
        <v>South Sudan</v>
      </c>
      <c r="B889" s="85" t="s">
        <v>188</v>
      </c>
      <c r="C889" s="86">
        <v>10701627.5</v>
      </c>
      <c r="D889" s="85" t="s">
        <v>87</v>
      </c>
      <c r="E889" s="87">
        <v>0</v>
      </c>
      <c r="F889" s="88">
        <v>11106031.000000004</v>
      </c>
      <c r="G889" s="87">
        <v>0</v>
      </c>
      <c r="I889" s="87">
        <v>0</v>
      </c>
      <c r="K889" s="87">
        <v>0</v>
      </c>
      <c r="M889" s="87">
        <v>0</v>
      </c>
      <c r="O889" s="87">
        <v>0</v>
      </c>
      <c r="P889" s="88">
        <v>10395329.5</v>
      </c>
      <c r="Q889" s="87">
        <v>0</v>
      </c>
      <c r="R889" s="87">
        <f t="shared" si="234"/>
        <v>0</v>
      </c>
      <c r="T889" s="87">
        <v>0</v>
      </c>
      <c r="V889" s="87">
        <v>0</v>
      </c>
      <c r="X889" s="87">
        <v>0</v>
      </c>
      <c r="Y889" s="88">
        <v>10913163.5</v>
      </c>
      <c r="Z889" s="87">
        <v>0</v>
      </c>
      <c r="AA889" s="87">
        <v>0</v>
      </c>
      <c r="AB889" s="89">
        <f t="shared" si="235"/>
        <v>0</v>
      </c>
      <c r="AC889" s="89">
        <f t="shared" si="236"/>
        <v>0</v>
      </c>
      <c r="AD889" s="89">
        <f t="shared" si="237"/>
        <v>0</v>
      </c>
      <c r="AE889" s="90">
        <f t="shared" si="238"/>
        <v>0</v>
      </c>
      <c r="AF889" s="90" t="str">
        <f t="shared" si="239"/>
        <v/>
      </c>
      <c r="AG889" s="90">
        <f t="shared" si="240"/>
        <v>0</v>
      </c>
      <c r="AH889" s="90" t="str">
        <f t="shared" si="241"/>
        <v/>
      </c>
      <c r="AI889" s="90">
        <f t="shared" si="242"/>
        <v>0</v>
      </c>
      <c r="AJ889" s="90" t="str">
        <f t="shared" si="243"/>
        <v/>
      </c>
      <c r="AK889" s="90" t="str">
        <f t="shared" si="244"/>
        <v/>
      </c>
      <c r="AL889" s="91">
        <f>IF(AK889="Adjust",(_xlfn.XLOOKUP(A889,'Adj factor'!A:A,'Adj factor'!I:I,,0)*AI889),'Master DataSheet'!AI889)</f>
        <v>0</v>
      </c>
      <c r="AM889" s="91">
        <f t="shared" si="245"/>
        <v>0</v>
      </c>
      <c r="AN889" s="92" t="str">
        <f t="shared" si="246"/>
        <v>No change</v>
      </c>
      <c r="AO889" s="93">
        <f>VLOOKUP(B889,'Growthrates source'!A$2:H$49,8,FALSE)</f>
        <v>0.25992104989487319</v>
      </c>
      <c r="AP889" s="93">
        <f>VLOOKUP(B889,'Growthrates source'!A$2:I$49,9,FALSE)</f>
        <v>5.4673730437993617E-2</v>
      </c>
      <c r="AQ889" s="86">
        <f t="shared" si="247"/>
        <v>0</v>
      </c>
      <c r="AR889" s="86">
        <f t="shared" si="248"/>
        <v>0</v>
      </c>
      <c r="AS889" s="94">
        <f t="shared" si="249"/>
        <v>0</v>
      </c>
      <c r="AT889" s="94">
        <f t="shared" si="250"/>
        <v>0</v>
      </c>
      <c r="AU889" s="94">
        <f t="shared" si="251"/>
        <v>0</v>
      </c>
    </row>
    <row r="890" spans="1:47" x14ac:dyDescent="0.3">
      <c r="A890" s="85" t="str">
        <f>_xlfn.XLOOKUP(B890,'Country codes &amp; Data sources'!G:G,'Country codes &amp; Data sources'!H:H,,0)</f>
        <v>Sao Tome and Principe</v>
      </c>
      <c r="B890" s="85" t="s">
        <v>153</v>
      </c>
      <c r="C890" s="86">
        <v>189924.5</v>
      </c>
      <c r="D890" s="85" t="s">
        <v>321</v>
      </c>
      <c r="E890" s="87">
        <v>0</v>
      </c>
      <c r="F890" s="88">
        <v>193756.99999999997</v>
      </c>
      <c r="G890" s="87">
        <v>0</v>
      </c>
      <c r="H890" s="87">
        <v>197496.99999999994</v>
      </c>
      <c r="I890" s="87">
        <v>0</v>
      </c>
      <c r="J890" s="87">
        <v>201123.50000000012</v>
      </c>
      <c r="K890" s="87">
        <v>126</v>
      </c>
      <c r="L890" s="87">
        <v>204632.49999999985</v>
      </c>
      <c r="M890" s="87">
        <v>0</v>
      </c>
      <c r="N890" s="87">
        <v>208036.50000000012</v>
      </c>
      <c r="O890" s="87">
        <v>0</v>
      </c>
      <c r="P890" s="88">
        <v>211344</v>
      </c>
      <c r="Q890" s="87">
        <v>0</v>
      </c>
      <c r="R890" s="87">
        <f t="shared" si="234"/>
        <v>60</v>
      </c>
      <c r="S890" s="87">
        <v>214599.00000000006</v>
      </c>
      <c r="T890" s="87">
        <v>213</v>
      </c>
      <c r="U890" s="87">
        <v>218640.99999999997</v>
      </c>
      <c r="V890" s="87">
        <v>0</v>
      </c>
      <c r="W890" s="87">
        <v>223107.49999999991</v>
      </c>
      <c r="X890" s="87">
        <v>0</v>
      </c>
      <c r="Y890" s="88">
        <v>227379.5</v>
      </c>
      <c r="Z890" s="87">
        <v>0</v>
      </c>
      <c r="AA890" s="87">
        <v>60</v>
      </c>
      <c r="AB890" s="89">
        <f t="shared" si="235"/>
        <v>126</v>
      </c>
      <c r="AC890" s="89">
        <f t="shared" si="236"/>
        <v>213</v>
      </c>
      <c r="AD890" s="89">
        <f t="shared" si="237"/>
        <v>0</v>
      </c>
      <c r="AE890" s="90">
        <f t="shared" si="238"/>
        <v>126</v>
      </c>
      <c r="AF890" s="90">
        <f t="shared" si="239"/>
        <v>2015</v>
      </c>
      <c r="AG890" s="90">
        <f t="shared" si="240"/>
        <v>60</v>
      </c>
      <c r="AH890" s="90" t="str">
        <f t="shared" si="241"/>
        <v>2018 (triag)</v>
      </c>
      <c r="AI890" s="90">
        <f t="shared" si="242"/>
        <v>213</v>
      </c>
      <c r="AJ890" s="90" t="str">
        <f t="shared" si="243"/>
        <v>2018 (triag)</v>
      </c>
      <c r="AK890" s="90" t="str">
        <f t="shared" si="244"/>
        <v/>
      </c>
      <c r="AL890" s="91">
        <f>IF(AK890="Adjust",(_xlfn.XLOOKUP(A890,'Adj factor'!A:A,'Adj factor'!I:I,,0)*AI890),'Master DataSheet'!AI890)</f>
        <v>213</v>
      </c>
      <c r="AM890" s="91">
        <f t="shared" si="245"/>
        <v>213</v>
      </c>
      <c r="AN890" s="92" t="str">
        <f t="shared" si="246"/>
        <v>Increasing</v>
      </c>
      <c r="AO890" s="93">
        <f>VLOOKUP(B890,'Growthrates source'!A$2:H$49,8,FALSE)</f>
        <v>-0.16643545882510058</v>
      </c>
      <c r="AP890" s="93">
        <f>VLOOKUP(B890,'Growthrates source'!A$2:I$49,9,FALSE)</f>
        <v>0.34338657876279233</v>
      </c>
      <c r="AQ890" s="86">
        <f t="shared" si="247"/>
        <v>137.89904456982694</v>
      </c>
      <c r="AR890" s="86">
        <f t="shared" si="248"/>
        <v>168.09079813778811</v>
      </c>
      <c r="AS890" s="94">
        <f t="shared" si="249"/>
        <v>6.5029908596850703</v>
      </c>
      <c r="AT890" s="94">
        <f t="shared" si="250"/>
        <v>2.8389734272087215</v>
      </c>
      <c r="AU890" s="94">
        <f t="shared" si="251"/>
        <v>9.3675991019419076</v>
      </c>
    </row>
    <row r="891" spans="1:47" x14ac:dyDescent="0.3">
      <c r="A891" s="85" t="str">
        <f>_xlfn.XLOOKUP(B891,'Country codes &amp; Data sources'!G:G,'Country codes &amp; Data sources'!H:H,,0)</f>
        <v>Sao Tome and Principe</v>
      </c>
      <c r="B891" s="85" t="s">
        <v>153</v>
      </c>
      <c r="C891" s="86">
        <v>189925.5</v>
      </c>
      <c r="D891" s="85" t="s">
        <v>322</v>
      </c>
      <c r="E891" s="87">
        <v>0</v>
      </c>
      <c r="F891" s="88">
        <v>193756.99999999997</v>
      </c>
      <c r="G891" s="87">
        <v>0</v>
      </c>
      <c r="I891" s="87">
        <v>0</v>
      </c>
      <c r="K891" s="87">
        <v>884</v>
      </c>
      <c r="M891" s="87">
        <v>0</v>
      </c>
      <c r="O891" s="87">
        <v>0</v>
      </c>
      <c r="P891" s="88">
        <v>211344</v>
      </c>
      <c r="Q891" s="87">
        <v>812</v>
      </c>
      <c r="R891" s="87">
        <f t="shared" si="234"/>
        <v>812</v>
      </c>
      <c r="T891" s="87">
        <v>880</v>
      </c>
      <c r="V891" s="87">
        <v>0</v>
      </c>
      <c r="X891" s="87">
        <v>0</v>
      </c>
      <c r="Y891" s="88">
        <v>227379.5</v>
      </c>
      <c r="Z891" s="87">
        <v>0</v>
      </c>
      <c r="AA891" s="87">
        <v>206</v>
      </c>
      <c r="AB891" s="89">
        <f t="shared" si="235"/>
        <v>884</v>
      </c>
      <c r="AC891" s="89">
        <f t="shared" si="236"/>
        <v>880</v>
      </c>
      <c r="AD891" s="89">
        <f t="shared" si="237"/>
        <v>0</v>
      </c>
      <c r="AE891" s="90">
        <f t="shared" si="238"/>
        <v>884</v>
      </c>
      <c r="AF891" s="90">
        <f t="shared" si="239"/>
        <v>2015</v>
      </c>
      <c r="AG891" s="90">
        <f t="shared" si="240"/>
        <v>812</v>
      </c>
      <c r="AH891" s="90">
        <f t="shared" si="241"/>
        <v>2018</v>
      </c>
      <c r="AI891" s="90">
        <f t="shared" si="242"/>
        <v>880</v>
      </c>
      <c r="AJ891" s="90">
        <f t="shared" si="243"/>
        <v>2018</v>
      </c>
      <c r="AK891" s="90" t="str">
        <f t="shared" si="244"/>
        <v/>
      </c>
      <c r="AL891" s="91">
        <f>IF(AK891="Adjust",(_xlfn.XLOOKUP(A891,'Adj factor'!A:A,'Adj factor'!I:I,,0)*AI891),'Master DataSheet'!AI891)</f>
        <v>880</v>
      </c>
      <c r="AM891" s="91">
        <f t="shared" si="245"/>
        <v>880</v>
      </c>
      <c r="AN891" s="92" t="str">
        <f t="shared" si="246"/>
        <v>Increasing</v>
      </c>
      <c r="AO891" s="93">
        <f>VLOOKUP(B891,'Growthrates source'!A$2:H$49,8,FALSE)</f>
        <v>-0.16643545882510058</v>
      </c>
      <c r="AP891" s="93">
        <f>VLOOKUP(B891,'Growthrates source'!A$2:I$49,9,FALSE)</f>
        <v>0.34338657876279233</v>
      </c>
      <c r="AQ891" s="86">
        <f t="shared" si="247"/>
        <v>473.45338635640582</v>
      </c>
      <c r="AR891" s="86">
        <f t="shared" si="248"/>
        <v>577.11174027307254</v>
      </c>
      <c r="AS891" s="94">
        <f t="shared" si="249"/>
        <v>45.62415809493335</v>
      </c>
      <c r="AT891" s="94">
        <f t="shared" si="250"/>
        <v>38.420773714891361</v>
      </c>
      <c r="AU891" s="94">
        <f t="shared" si="251"/>
        <v>38.701817885957176</v>
      </c>
    </row>
    <row r="892" spans="1:47" x14ac:dyDescent="0.3">
      <c r="A892" s="85" t="str">
        <f>_xlfn.XLOOKUP(B892,'Country codes &amp; Data sources'!G:G,'Country codes &amp; Data sources'!H:H,,0)</f>
        <v>Sao Tome and Principe</v>
      </c>
      <c r="B892" s="85" t="s">
        <v>153</v>
      </c>
      <c r="C892" s="86">
        <v>189926.5</v>
      </c>
      <c r="D892" s="85" t="s">
        <v>323</v>
      </c>
      <c r="E892" s="87">
        <v>0</v>
      </c>
      <c r="F892" s="88">
        <v>193756.99999999997</v>
      </c>
      <c r="G892" s="87">
        <v>62</v>
      </c>
      <c r="I892" s="87">
        <v>0</v>
      </c>
      <c r="K892" s="87">
        <v>0</v>
      </c>
      <c r="M892" s="87">
        <v>0</v>
      </c>
      <c r="O892" s="87">
        <v>0</v>
      </c>
      <c r="P892" s="88">
        <v>211344</v>
      </c>
      <c r="Q892" s="87">
        <v>0</v>
      </c>
      <c r="R892" s="87">
        <f t="shared" si="234"/>
        <v>50</v>
      </c>
      <c r="T892" s="87">
        <v>44</v>
      </c>
      <c r="V892" s="87">
        <v>0</v>
      </c>
      <c r="X892" s="87">
        <v>0</v>
      </c>
      <c r="Y892" s="88">
        <v>227379.5</v>
      </c>
      <c r="Z892" s="87">
        <v>0</v>
      </c>
      <c r="AA892" s="87">
        <v>50</v>
      </c>
      <c r="AB892" s="89">
        <f t="shared" si="235"/>
        <v>62</v>
      </c>
      <c r="AC892" s="89">
        <f t="shared" si="236"/>
        <v>44</v>
      </c>
      <c r="AD892" s="89">
        <f t="shared" si="237"/>
        <v>0</v>
      </c>
      <c r="AE892" s="90">
        <f t="shared" si="238"/>
        <v>62</v>
      </c>
      <c r="AF892" s="90">
        <f t="shared" si="239"/>
        <v>2013</v>
      </c>
      <c r="AG892" s="90">
        <f t="shared" si="240"/>
        <v>50</v>
      </c>
      <c r="AH892" s="90" t="str">
        <f t="shared" si="241"/>
        <v>2018 (triag)</v>
      </c>
      <c r="AI892" s="90">
        <f t="shared" si="242"/>
        <v>44</v>
      </c>
      <c r="AJ892" s="90" t="str">
        <f t="shared" si="243"/>
        <v>2018 (triag)</v>
      </c>
      <c r="AK892" s="90" t="str">
        <f t="shared" si="244"/>
        <v>Adjust</v>
      </c>
      <c r="AL892" s="91">
        <f>IF(AK892="Adjust",(_xlfn.XLOOKUP(A892,'Adj factor'!A:A,'Adj factor'!I:I,,0)*AI892),'Master DataSheet'!AI892)</f>
        <v>50.569140350098266</v>
      </c>
      <c r="AM892" s="91">
        <f t="shared" si="245"/>
        <v>50.569140350098266</v>
      </c>
      <c r="AN892" s="92" t="str">
        <f t="shared" si="246"/>
        <v>Increasing</v>
      </c>
      <c r="AO892" s="93">
        <f>VLOOKUP(B892,'Growthrates source'!A$2:H$49,8,FALSE)</f>
        <v>-0.16643545882510058</v>
      </c>
      <c r="AP892" s="93">
        <f>VLOOKUP(B892,'Growthrates source'!A$2:I$49,9,FALSE)</f>
        <v>0.34338657876279233</v>
      </c>
      <c r="AQ892" s="86">
        <f t="shared" si="247"/>
        <v>114.91587047485578</v>
      </c>
      <c r="AR892" s="86">
        <f t="shared" si="248"/>
        <v>140.07566511482344</v>
      </c>
      <c r="AS892" s="94">
        <f t="shared" si="249"/>
        <v>3.1998843912736059</v>
      </c>
      <c r="AT892" s="94">
        <f t="shared" si="250"/>
        <v>2.3658111893406013</v>
      </c>
      <c r="AU892" s="94">
        <f t="shared" si="251"/>
        <v>2.223997341453309</v>
      </c>
    </row>
    <row r="893" spans="1:47" x14ac:dyDescent="0.3">
      <c r="A893" s="85" t="str">
        <f>_xlfn.XLOOKUP(B893,'Country codes &amp; Data sources'!G:G,'Country codes &amp; Data sources'!H:H,,0)</f>
        <v>Sao Tome and Principe</v>
      </c>
      <c r="B893" s="85" t="s">
        <v>153</v>
      </c>
      <c r="C893" s="86">
        <v>189927.5</v>
      </c>
      <c r="D893" s="85" t="s">
        <v>324</v>
      </c>
      <c r="E893" s="87">
        <v>0</v>
      </c>
      <c r="F893" s="88">
        <v>193756.99999999997</v>
      </c>
      <c r="G893" s="87">
        <v>82</v>
      </c>
      <c r="I893" s="87">
        <v>2683</v>
      </c>
      <c r="K893" s="87">
        <v>617</v>
      </c>
      <c r="M893" s="87">
        <v>27</v>
      </c>
      <c r="O893" s="87">
        <v>821</v>
      </c>
      <c r="P893" s="88">
        <v>211344</v>
      </c>
      <c r="Q893" s="87">
        <v>1721</v>
      </c>
      <c r="R893" s="87">
        <f t="shared" si="234"/>
        <v>1721</v>
      </c>
      <c r="T893" s="87">
        <v>349</v>
      </c>
      <c r="V893" s="87">
        <v>3797</v>
      </c>
      <c r="X893" s="87">
        <v>1057</v>
      </c>
      <c r="Y893" s="88">
        <v>227379.5</v>
      </c>
      <c r="Z893" s="87">
        <v>0</v>
      </c>
      <c r="AA893" s="87">
        <v>0</v>
      </c>
      <c r="AB893" s="89">
        <f t="shared" si="235"/>
        <v>2683</v>
      </c>
      <c r="AC893" s="89">
        <f t="shared" si="236"/>
        <v>1721</v>
      </c>
      <c r="AD893" s="89">
        <f t="shared" si="237"/>
        <v>3797</v>
      </c>
      <c r="AE893" s="90">
        <f t="shared" si="238"/>
        <v>82</v>
      </c>
      <c r="AF893" s="90">
        <f t="shared" si="239"/>
        <v>2013</v>
      </c>
      <c r="AG893" s="90">
        <f t="shared" si="240"/>
        <v>1721</v>
      </c>
      <c r="AH893" s="90">
        <f t="shared" si="241"/>
        <v>2018</v>
      </c>
      <c r="AI893" s="90">
        <f t="shared" si="242"/>
        <v>1057</v>
      </c>
      <c r="AJ893" s="90">
        <f t="shared" si="243"/>
        <v>2021</v>
      </c>
      <c r="AK893" s="90" t="str">
        <f t="shared" si="244"/>
        <v>Adjust</v>
      </c>
      <c r="AL893" s="91">
        <f>IF(AK893="Adjust",(_xlfn.XLOOKUP(A893,'Adj factor'!A:A,'Adj factor'!I:I,,0)*AI893),'Master DataSheet'!AI893)</f>
        <v>1214.8086670466789</v>
      </c>
      <c r="AM893" s="91">
        <f t="shared" si="245"/>
        <v>1721</v>
      </c>
      <c r="AN893" s="92" t="str">
        <f t="shared" si="246"/>
        <v>Decreasing</v>
      </c>
      <c r="AO893" s="93">
        <f>VLOOKUP(B893,'Growthrates source'!A$2:H$49,8,FALSE)</f>
        <v>-0.16643545882510058</v>
      </c>
      <c r="AP893" s="93">
        <f>VLOOKUP(B893,'Growthrates source'!A$2:I$49,9,FALSE)</f>
        <v>0.34338657876279233</v>
      </c>
      <c r="AQ893" s="86">
        <f t="shared" si="247"/>
        <v>0</v>
      </c>
      <c r="AR893" s="86">
        <f t="shared" si="248"/>
        <v>0</v>
      </c>
      <c r="AS893" s="94">
        <f t="shared" si="249"/>
        <v>4.2321051626521884</v>
      </c>
      <c r="AT893" s="94">
        <f t="shared" si="250"/>
        <v>81.431221137103492</v>
      </c>
      <c r="AU893" s="94">
        <f t="shared" si="251"/>
        <v>75.688441570150346</v>
      </c>
    </row>
    <row r="894" spans="1:47" x14ac:dyDescent="0.3">
      <c r="A894" s="85" t="str">
        <f>_xlfn.XLOOKUP(B894,'Country codes &amp; Data sources'!G:G,'Country codes &amp; Data sources'!H:H,,0)</f>
        <v>Sao Tome and Principe</v>
      </c>
      <c r="B894" s="85" t="s">
        <v>153</v>
      </c>
      <c r="C894" s="86">
        <v>189928.5</v>
      </c>
      <c r="D894" s="85" t="s">
        <v>325</v>
      </c>
      <c r="E894" s="87">
        <v>84</v>
      </c>
      <c r="F894" s="88">
        <v>193756.99999999997</v>
      </c>
      <c r="G894" s="87">
        <v>22</v>
      </c>
      <c r="I894" s="87">
        <v>528</v>
      </c>
      <c r="K894" s="87">
        <v>6</v>
      </c>
      <c r="M894" s="87">
        <v>225</v>
      </c>
      <c r="O894" s="87">
        <v>264</v>
      </c>
      <c r="P894" s="88">
        <v>211344</v>
      </c>
      <c r="Q894" s="87">
        <v>0</v>
      </c>
      <c r="R894" s="87">
        <f t="shared" si="234"/>
        <v>0</v>
      </c>
      <c r="T894" s="87">
        <v>78</v>
      </c>
      <c r="V894" s="87">
        <v>689</v>
      </c>
      <c r="X894" s="87">
        <v>256</v>
      </c>
      <c r="Y894" s="88">
        <v>227379.5</v>
      </c>
      <c r="Z894" s="87">
        <v>0</v>
      </c>
      <c r="AA894" s="87">
        <v>0</v>
      </c>
      <c r="AB894" s="89">
        <f t="shared" si="235"/>
        <v>528</v>
      </c>
      <c r="AC894" s="89">
        <f t="shared" si="236"/>
        <v>264</v>
      </c>
      <c r="AD894" s="89">
        <f t="shared" si="237"/>
        <v>689</v>
      </c>
      <c r="AE894" s="90">
        <f t="shared" si="238"/>
        <v>22</v>
      </c>
      <c r="AF894" s="90">
        <f t="shared" si="239"/>
        <v>2013</v>
      </c>
      <c r="AG894" s="90">
        <f t="shared" si="240"/>
        <v>264</v>
      </c>
      <c r="AH894" s="90">
        <f t="shared" si="241"/>
        <v>2017</v>
      </c>
      <c r="AI894" s="90">
        <f t="shared" si="242"/>
        <v>256</v>
      </c>
      <c r="AJ894" s="90">
        <f t="shared" si="243"/>
        <v>2021</v>
      </c>
      <c r="AK894" s="90" t="str">
        <f t="shared" si="244"/>
        <v>Adjust</v>
      </c>
      <c r="AL894" s="91">
        <f>IF(AK894="Adjust",(_xlfn.XLOOKUP(A894,'Adj factor'!A:A,'Adj factor'!I:I,,0)*AI894),'Master DataSheet'!AI894)</f>
        <v>294.22045294602628</v>
      </c>
      <c r="AM894" s="91">
        <f t="shared" si="245"/>
        <v>294.22045294602628</v>
      </c>
      <c r="AN894" s="92" t="str">
        <f t="shared" si="246"/>
        <v>Increasing</v>
      </c>
      <c r="AO894" s="93">
        <f>VLOOKUP(B894,'Growthrates source'!A$2:H$49,8,FALSE)</f>
        <v>-0.16643545882510058</v>
      </c>
      <c r="AP894" s="93">
        <f>VLOOKUP(B894,'Growthrates source'!A$2:I$49,9,FALSE)</f>
        <v>0.34338657876279233</v>
      </c>
      <c r="AQ894" s="86">
        <f t="shared" si="247"/>
        <v>0</v>
      </c>
      <c r="AR894" s="86">
        <f t="shared" si="248"/>
        <v>0</v>
      </c>
      <c r="AS894" s="94">
        <f t="shared" si="249"/>
        <v>1.135442848516441</v>
      </c>
      <c r="AT894" s="94">
        <f t="shared" si="250"/>
        <v>12.491483079718375</v>
      </c>
      <c r="AU894" s="94">
        <f t="shared" si="251"/>
        <v>12.939620895728345</v>
      </c>
    </row>
    <row r="895" spans="1:47" x14ac:dyDescent="0.3">
      <c r="A895" s="85" t="str">
        <f>_xlfn.XLOOKUP(B895,'Country codes &amp; Data sources'!G:G,'Country codes &amp; Data sources'!H:H,,0)</f>
        <v>Sao Tome and Principe</v>
      </c>
      <c r="B895" s="85" t="s">
        <v>153</v>
      </c>
      <c r="C895" s="86">
        <v>189929.5</v>
      </c>
      <c r="D895" s="85" t="s">
        <v>127</v>
      </c>
      <c r="E895" s="87">
        <v>0</v>
      </c>
      <c r="F895" s="88">
        <v>193756.99999999997</v>
      </c>
      <c r="G895" s="87">
        <v>0</v>
      </c>
      <c r="I895" s="87">
        <v>0</v>
      </c>
      <c r="K895" s="87">
        <v>0</v>
      </c>
      <c r="M895" s="87">
        <v>0</v>
      </c>
      <c r="O895" s="87">
        <v>0</v>
      </c>
      <c r="P895" s="88">
        <v>211344</v>
      </c>
      <c r="Q895" s="87">
        <v>0</v>
      </c>
      <c r="R895" s="87">
        <f t="shared" si="234"/>
        <v>0</v>
      </c>
      <c r="T895" s="87">
        <v>0</v>
      </c>
      <c r="V895" s="87">
        <v>0</v>
      </c>
      <c r="X895" s="87">
        <v>0</v>
      </c>
      <c r="Y895" s="88">
        <v>227379.5</v>
      </c>
      <c r="Z895" s="87">
        <v>0</v>
      </c>
      <c r="AA895" s="87">
        <v>0</v>
      </c>
      <c r="AB895" s="89">
        <f t="shared" si="235"/>
        <v>0</v>
      </c>
      <c r="AC895" s="89">
        <f t="shared" si="236"/>
        <v>0</v>
      </c>
      <c r="AD895" s="89">
        <f t="shared" si="237"/>
        <v>0</v>
      </c>
      <c r="AE895" s="90">
        <f t="shared" si="238"/>
        <v>0</v>
      </c>
      <c r="AF895" s="90" t="str">
        <f t="shared" si="239"/>
        <v/>
      </c>
      <c r="AG895" s="90">
        <f t="shared" si="240"/>
        <v>0</v>
      </c>
      <c r="AH895" s="90" t="str">
        <f t="shared" si="241"/>
        <v/>
      </c>
      <c r="AI895" s="90">
        <f t="shared" si="242"/>
        <v>0</v>
      </c>
      <c r="AJ895" s="90" t="str">
        <f t="shared" si="243"/>
        <v/>
      </c>
      <c r="AK895" s="90" t="str">
        <f t="shared" si="244"/>
        <v/>
      </c>
      <c r="AL895" s="91">
        <f>IF(AK895="Adjust",(_xlfn.XLOOKUP(A895,'Adj factor'!A:A,'Adj factor'!I:I,,0)*AI895),'Master DataSheet'!AI895)</f>
        <v>0</v>
      </c>
      <c r="AM895" s="91">
        <f t="shared" si="245"/>
        <v>0</v>
      </c>
      <c r="AN895" s="92" t="str">
        <f t="shared" si="246"/>
        <v>No change</v>
      </c>
      <c r="AO895" s="93">
        <f>VLOOKUP(B895,'Growthrates source'!A$2:H$49,8,FALSE)</f>
        <v>-0.16643545882510058</v>
      </c>
      <c r="AP895" s="93">
        <f>VLOOKUP(B895,'Growthrates source'!A$2:I$49,9,FALSE)</f>
        <v>0.34338657876279233</v>
      </c>
      <c r="AQ895" s="86">
        <f t="shared" si="247"/>
        <v>0</v>
      </c>
      <c r="AR895" s="86">
        <f t="shared" si="248"/>
        <v>0</v>
      </c>
      <c r="AS895" s="94">
        <f t="shared" si="249"/>
        <v>0</v>
      </c>
      <c r="AT895" s="94">
        <f t="shared" si="250"/>
        <v>0</v>
      </c>
      <c r="AU895" s="94">
        <f t="shared" si="251"/>
        <v>0</v>
      </c>
    </row>
    <row r="896" spans="1:47" x14ac:dyDescent="0.3">
      <c r="A896" s="85" t="str">
        <f>_xlfn.XLOOKUP(B896,'Country codes &amp; Data sources'!G:G,'Country codes &amp; Data sources'!H:H,,0)</f>
        <v>Sao Tome and Principe</v>
      </c>
      <c r="B896" s="85" t="s">
        <v>153</v>
      </c>
      <c r="C896" s="86">
        <v>189930.5</v>
      </c>
      <c r="D896" s="85" t="s">
        <v>61</v>
      </c>
      <c r="E896" s="87">
        <v>0</v>
      </c>
      <c r="F896" s="88">
        <v>193756.99999999997</v>
      </c>
      <c r="G896" s="87">
        <v>4</v>
      </c>
      <c r="I896" s="87">
        <v>2217</v>
      </c>
      <c r="K896" s="87">
        <v>0</v>
      </c>
      <c r="M896" s="87">
        <v>0</v>
      </c>
      <c r="O896" s="87">
        <v>61</v>
      </c>
      <c r="P896" s="88">
        <v>211344</v>
      </c>
      <c r="Q896" s="87">
        <v>0</v>
      </c>
      <c r="R896" s="87">
        <f t="shared" si="234"/>
        <v>0</v>
      </c>
      <c r="T896" s="87">
        <v>14</v>
      </c>
      <c r="V896" s="87">
        <v>1344</v>
      </c>
      <c r="X896" s="87">
        <v>44</v>
      </c>
      <c r="Y896" s="88">
        <v>227379.5</v>
      </c>
      <c r="Z896" s="87">
        <v>0</v>
      </c>
      <c r="AA896" s="87">
        <v>0</v>
      </c>
      <c r="AB896" s="89">
        <f t="shared" si="235"/>
        <v>2217</v>
      </c>
      <c r="AC896" s="89">
        <f t="shared" si="236"/>
        <v>61</v>
      </c>
      <c r="AD896" s="89">
        <f t="shared" si="237"/>
        <v>1344</v>
      </c>
      <c r="AE896" s="90">
        <f t="shared" si="238"/>
        <v>4</v>
      </c>
      <c r="AF896" s="90">
        <f t="shared" si="239"/>
        <v>2013</v>
      </c>
      <c r="AG896" s="90">
        <f t="shared" si="240"/>
        <v>61</v>
      </c>
      <c r="AH896" s="90">
        <f t="shared" si="241"/>
        <v>2017</v>
      </c>
      <c r="AI896" s="90">
        <f t="shared" si="242"/>
        <v>44</v>
      </c>
      <c r="AJ896" s="90">
        <f t="shared" si="243"/>
        <v>2021</v>
      </c>
      <c r="AK896" s="90" t="str">
        <f t="shared" si="244"/>
        <v>Adjust</v>
      </c>
      <c r="AL896" s="91">
        <f>IF(AK896="Adjust",(_xlfn.XLOOKUP(A896,'Adj factor'!A:A,'Adj factor'!I:I,,0)*AI896),'Master DataSheet'!AI896)</f>
        <v>50.569140350098266</v>
      </c>
      <c r="AM896" s="91">
        <f t="shared" si="245"/>
        <v>61</v>
      </c>
      <c r="AN896" s="92" t="str">
        <f t="shared" si="246"/>
        <v>Decreasing</v>
      </c>
      <c r="AO896" s="93">
        <f>VLOOKUP(B896,'Growthrates source'!A$2:H$49,8,FALSE)</f>
        <v>-0.16643545882510058</v>
      </c>
      <c r="AP896" s="93">
        <f>VLOOKUP(B896,'Growthrates source'!A$2:I$49,9,FALSE)</f>
        <v>0.34338657876279233</v>
      </c>
      <c r="AQ896" s="86">
        <f t="shared" si="247"/>
        <v>0</v>
      </c>
      <c r="AR896" s="86">
        <f t="shared" si="248"/>
        <v>0</v>
      </c>
      <c r="AS896" s="94">
        <f t="shared" si="249"/>
        <v>0.20644415427571652</v>
      </c>
      <c r="AT896" s="94">
        <f t="shared" si="250"/>
        <v>2.8862896509955331</v>
      </c>
      <c r="AU896" s="94">
        <f t="shared" si="251"/>
        <v>2.6827396489129409</v>
      </c>
    </row>
    <row r="897" spans="1:47" x14ac:dyDescent="0.3">
      <c r="A897" s="85" t="str">
        <f>_xlfn.XLOOKUP(B897,'Country codes &amp; Data sources'!G:G,'Country codes &amp; Data sources'!H:H,,0)</f>
        <v>Sao Tome and Principe</v>
      </c>
      <c r="B897" s="85" t="s">
        <v>153</v>
      </c>
      <c r="C897" s="86">
        <v>189931.5</v>
      </c>
      <c r="D897" s="85" t="s">
        <v>62</v>
      </c>
      <c r="E897" s="87">
        <v>0</v>
      </c>
      <c r="F897" s="88">
        <v>193756.99999999997</v>
      </c>
      <c r="G897" s="87">
        <v>24</v>
      </c>
      <c r="I897" s="87">
        <v>4286</v>
      </c>
      <c r="K897" s="87">
        <v>0</v>
      </c>
      <c r="M897" s="87">
        <v>0</v>
      </c>
      <c r="O897" s="87">
        <v>548</v>
      </c>
      <c r="P897" s="88">
        <v>211344</v>
      </c>
      <c r="Q897" s="87">
        <v>0</v>
      </c>
      <c r="R897" s="87">
        <f t="shared" si="234"/>
        <v>0</v>
      </c>
      <c r="T897" s="87">
        <v>26</v>
      </c>
      <c r="V897" s="87">
        <v>0</v>
      </c>
      <c r="X897" s="87">
        <v>245</v>
      </c>
      <c r="Y897" s="88">
        <v>227379.5</v>
      </c>
      <c r="Z897" s="87">
        <v>0</v>
      </c>
      <c r="AA897" s="87">
        <v>0</v>
      </c>
      <c r="AB897" s="89">
        <f t="shared" si="235"/>
        <v>4286</v>
      </c>
      <c r="AC897" s="89">
        <f t="shared" si="236"/>
        <v>548</v>
      </c>
      <c r="AD897" s="89">
        <f t="shared" si="237"/>
        <v>245</v>
      </c>
      <c r="AE897" s="90">
        <f t="shared" si="238"/>
        <v>24</v>
      </c>
      <c r="AF897" s="90">
        <f t="shared" si="239"/>
        <v>2013</v>
      </c>
      <c r="AG897" s="90">
        <f t="shared" si="240"/>
        <v>548</v>
      </c>
      <c r="AH897" s="90">
        <f t="shared" si="241"/>
        <v>2017</v>
      </c>
      <c r="AI897" s="90">
        <f t="shared" si="242"/>
        <v>245</v>
      </c>
      <c r="AJ897" s="90">
        <f t="shared" si="243"/>
        <v>2021</v>
      </c>
      <c r="AK897" s="90" t="str">
        <f t="shared" si="244"/>
        <v>Adjust</v>
      </c>
      <c r="AL897" s="91">
        <f>IF(AK897="Adjust",(_xlfn.XLOOKUP(A897,'Adj factor'!A:A,'Adj factor'!I:I,,0)*AI897),'Master DataSheet'!AI897)</f>
        <v>281.57816785850173</v>
      </c>
      <c r="AM897" s="91">
        <f t="shared" si="245"/>
        <v>548</v>
      </c>
      <c r="AN897" s="92" t="str">
        <f t="shared" si="246"/>
        <v>Decreasing</v>
      </c>
      <c r="AO897" s="93">
        <f>VLOOKUP(B897,'Growthrates source'!A$2:H$49,8,FALSE)</f>
        <v>-0.16643545882510058</v>
      </c>
      <c r="AP897" s="93">
        <f>VLOOKUP(B897,'Growthrates source'!A$2:I$49,9,FALSE)</f>
        <v>0.34338657876279233</v>
      </c>
      <c r="AQ897" s="86">
        <f t="shared" si="247"/>
        <v>0</v>
      </c>
      <c r="AR897" s="86">
        <f t="shared" si="248"/>
        <v>0</v>
      </c>
      <c r="AS897" s="94">
        <f t="shared" si="249"/>
        <v>1.2386649256542992</v>
      </c>
      <c r="AT897" s="94">
        <f t="shared" si="250"/>
        <v>25.92929063517299</v>
      </c>
      <c r="AU897" s="94">
        <f t="shared" si="251"/>
        <v>24.100677501709697</v>
      </c>
    </row>
    <row r="898" spans="1:47" x14ac:dyDescent="0.3">
      <c r="A898" s="85" t="str">
        <f>_xlfn.XLOOKUP(B898,'Country codes &amp; Data sources'!G:G,'Country codes &amp; Data sources'!H:H,,0)</f>
        <v>Sao Tome and Principe</v>
      </c>
      <c r="B898" s="85" t="s">
        <v>153</v>
      </c>
      <c r="C898" s="86">
        <v>189932.5</v>
      </c>
      <c r="D898" s="85" t="s">
        <v>203</v>
      </c>
      <c r="E898" s="87">
        <v>0</v>
      </c>
      <c r="F898" s="88">
        <v>193756.99999999997</v>
      </c>
      <c r="G898" s="87">
        <v>0</v>
      </c>
      <c r="I898" s="87">
        <v>0</v>
      </c>
      <c r="K898" s="87">
        <v>0</v>
      </c>
      <c r="M898" s="87">
        <v>0</v>
      </c>
      <c r="O898" s="87">
        <v>0</v>
      </c>
      <c r="P898" s="88">
        <v>211344</v>
      </c>
      <c r="Q898" s="87">
        <v>0</v>
      </c>
      <c r="R898" s="87">
        <f t="shared" si="234"/>
        <v>0</v>
      </c>
      <c r="T898" s="87">
        <v>0</v>
      </c>
      <c r="V898" s="87">
        <v>0</v>
      </c>
      <c r="X898" s="87">
        <v>0</v>
      </c>
      <c r="Y898" s="88">
        <v>227379.5</v>
      </c>
      <c r="Z898" s="87">
        <v>0</v>
      </c>
      <c r="AA898" s="87">
        <v>0</v>
      </c>
      <c r="AB898" s="89">
        <f t="shared" si="235"/>
        <v>0</v>
      </c>
      <c r="AC898" s="89">
        <f t="shared" si="236"/>
        <v>0</v>
      </c>
      <c r="AD898" s="89">
        <f t="shared" si="237"/>
        <v>0</v>
      </c>
      <c r="AE898" s="90">
        <f t="shared" si="238"/>
        <v>0</v>
      </c>
      <c r="AF898" s="90" t="str">
        <f t="shared" si="239"/>
        <v/>
      </c>
      <c r="AG898" s="90">
        <f t="shared" si="240"/>
        <v>0</v>
      </c>
      <c r="AH898" s="90" t="str">
        <f t="shared" si="241"/>
        <v/>
      </c>
      <c r="AI898" s="90">
        <f t="shared" si="242"/>
        <v>0</v>
      </c>
      <c r="AJ898" s="90" t="str">
        <f t="shared" si="243"/>
        <v/>
      </c>
      <c r="AK898" s="90" t="str">
        <f t="shared" si="244"/>
        <v/>
      </c>
      <c r="AL898" s="91">
        <f>IF(AK898="Adjust",(_xlfn.XLOOKUP(A898,'Adj factor'!A:A,'Adj factor'!I:I,,0)*AI898),'Master DataSheet'!AI898)</f>
        <v>0</v>
      </c>
      <c r="AM898" s="91">
        <f t="shared" si="245"/>
        <v>0</v>
      </c>
      <c r="AN898" s="92" t="str">
        <f t="shared" si="246"/>
        <v>No change</v>
      </c>
      <c r="AO898" s="93">
        <f>VLOOKUP(B898,'Growthrates source'!A$2:H$49,8,FALSE)</f>
        <v>-0.16643545882510058</v>
      </c>
      <c r="AP898" s="93">
        <f>VLOOKUP(B898,'Growthrates source'!A$2:I$49,9,FALSE)</f>
        <v>0.34338657876279233</v>
      </c>
      <c r="AQ898" s="86">
        <f t="shared" si="247"/>
        <v>0</v>
      </c>
      <c r="AR898" s="86">
        <f t="shared" si="248"/>
        <v>0</v>
      </c>
      <c r="AS898" s="94">
        <f t="shared" si="249"/>
        <v>0</v>
      </c>
      <c r="AT898" s="94">
        <f t="shared" si="250"/>
        <v>0</v>
      </c>
      <c r="AU898" s="94">
        <f t="shared" si="251"/>
        <v>0</v>
      </c>
    </row>
    <row r="899" spans="1:47" x14ac:dyDescent="0.3">
      <c r="A899" s="85" t="str">
        <f>_xlfn.XLOOKUP(B899,'Country codes &amp; Data sources'!G:G,'Country codes &amp; Data sources'!H:H,,0)</f>
        <v>Sao Tome and Principe</v>
      </c>
      <c r="B899" s="85" t="s">
        <v>153</v>
      </c>
      <c r="C899" s="86">
        <v>189933.5</v>
      </c>
      <c r="D899" s="85" t="s">
        <v>204</v>
      </c>
      <c r="E899" s="87">
        <v>0</v>
      </c>
      <c r="F899" s="88">
        <v>193756.99999999997</v>
      </c>
      <c r="G899" s="87">
        <v>0</v>
      </c>
      <c r="I899" s="87">
        <v>0</v>
      </c>
      <c r="K899" s="87">
        <v>0</v>
      </c>
      <c r="M899" s="87">
        <v>0</v>
      </c>
      <c r="O899" s="87">
        <v>0</v>
      </c>
      <c r="P899" s="88">
        <v>211344</v>
      </c>
      <c r="Q899" s="87">
        <v>0</v>
      </c>
      <c r="R899" s="87">
        <f t="shared" ref="R899:R962" si="252">MAX(Q899,AA899)</f>
        <v>79</v>
      </c>
      <c r="T899" s="87">
        <v>0</v>
      </c>
      <c r="V899" s="87">
        <v>0</v>
      </c>
      <c r="X899" s="87">
        <v>0</v>
      </c>
      <c r="Y899" s="88">
        <v>227379.5</v>
      </c>
      <c r="Z899" s="87">
        <v>0</v>
      </c>
      <c r="AA899" s="87">
        <v>79</v>
      </c>
      <c r="AB899" s="89">
        <f t="shared" ref="AB899:AB962" si="253">MAX(G899,E899,I899,K899)</f>
        <v>0</v>
      </c>
      <c r="AC899" s="89">
        <f t="shared" ref="AC899:AC962" si="254">MAX(M899,O899,Q899,T899)</f>
        <v>0</v>
      </c>
      <c r="AD899" s="89">
        <f t="shared" ref="AD899:AD962" si="255">MAX(V899,X899,Z899)</f>
        <v>0</v>
      </c>
      <c r="AE899" s="90">
        <f t="shared" ref="AE899:AE962" si="256">IF(G899&gt;0,G899,IF(E899&gt;0,E899,IF(I899&gt;0,I899,K899)))</f>
        <v>0</v>
      </c>
      <c r="AF899" s="90" t="str">
        <f t="shared" ref="AF899:AF962" si="257">IF(AE899&gt;0,_xlfn.XLOOKUP(AE899,$B899:$K899,$B$1:$K$1,,0),"")</f>
        <v/>
      </c>
      <c r="AG899" s="90">
        <f t="shared" ref="AG899:AG962" si="258">IF(R899&gt;0,R899,IF(O899&gt;0,O899,T899))</f>
        <v>79</v>
      </c>
      <c r="AH899" s="90" t="str">
        <f t="shared" ref="AH899:AH962" si="259">IF(AG899&gt;0,_xlfn.XLOOKUP(AG899,$L899:$T899,$L$1:$T$1,,0),"")</f>
        <v>2018 (triag)</v>
      </c>
      <c r="AI899" s="90">
        <f t="shared" ref="AI899:AI962" si="260">IF((IF(Z899&gt;0,Z899,IF(X899&gt;0,X899,IF(V899&gt;0,V899,T899))))=0,AG899,IF(Z899&gt;0,Z899,IF(X899&gt;0,X899,IF(V899&gt;0,V899,T899))))</f>
        <v>79</v>
      </c>
      <c r="AJ899" s="90" t="str">
        <f t="shared" ref="AJ899:AJ962" si="261">IFERROR(IF(AI899&gt;0,_xlfn.XLOOKUP(AI899,$V899:$Z899,$V$1:$Z$1,,0),""),AH899)</f>
        <v>2018 (triag)</v>
      </c>
      <c r="AK899" s="90" t="str">
        <f t="shared" ref="AK899:AK962" si="262">IF(AI899&lt;AG899,"Adjust","")</f>
        <v/>
      </c>
      <c r="AL899" s="91">
        <f>IF(AK899="Adjust",(_xlfn.XLOOKUP(A899,'Adj factor'!A:A,'Adj factor'!I:I,,0)*AI899),'Master DataSheet'!AI899)</f>
        <v>79</v>
      </c>
      <c r="AM899" s="91">
        <f t="shared" ref="AM899:AM962" si="263">IF(AL899&lt;AG899,AG899,AL899)</f>
        <v>79</v>
      </c>
      <c r="AN899" s="92" t="str">
        <f t="shared" ref="AN899:AN962" si="264">IF(AL899&gt;AG899,"Increasing",IF(AL899&lt;AG899,"Decreasing","No change"))</f>
        <v>No change</v>
      </c>
      <c r="AO899" s="93">
        <f>VLOOKUP(B899,'Growthrates source'!A$2:H$49,8,FALSE)</f>
        <v>-0.16643545882510058</v>
      </c>
      <c r="AP899" s="93">
        <f>VLOOKUP(B899,'Growthrates source'!A$2:I$49,9,FALSE)</f>
        <v>0.34338657876279233</v>
      </c>
      <c r="AQ899" s="86">
        <f t="shared" ref="AQ899:AQ962" si="265">AA899/(EXP(AO899*5))</f>
        <v>181.56707535027212</v>
      </c>
      <c r="AR899" s="86">
        <f t="shared" ref="AR899:AR962" si="266">AA899*EXP(AP899*3)</f>
        <v>221.31955088142104</v>
      </c>
      <c r="AS899" s="94">
        <f t="shared" ref="AS899:AS962" si="267">(AE899*10000)/F899</f>
        <v>0</v>
      </c>
      <c r="AT899" s="94">
        <f t="shared" ref="AT899:AT962" si="268">(AG899*10000)/P899</f>
        <v>3.7379816791581497</v>
      </c>
      <c r="AU899" s="94">
        <f t="shared" ref="AU899:AU962" si="269">(AM899*10000)/Y899</f>
        <v>3.4743677420347923</v>
      </c>
    </row>
    <row r="900" spans="1:47" x14ac:dyDescent="0.3">
      <c r="A900" s="85" t="str">
        <f>_xlfn.XLOOKUP(B900,'Country codes &amp; Data sources'!G:G,'Country codes &amp; Data sources'!H:H,,0)</f>
        <v>Sao Tome and Principe</v>
      </c>
      <c r="B900" s="85" t="s">
        <v>153</v>
      </c>
      <c r="C900" s="86">
        <v>189934.5</v>
      </c>
      <c r="D900" s="85" t="s">
        <v>205</v>
      </c>
      <c r="E900" s="87">
        <v>0</v>
      </c>
      <c r="F900" s="88">
        <v>193756.99999999997</v>
      </c>
      <c r="G900" s="87">
        <v>0</v>
      </c>
      <c r="I900" s="87">
        <v>0</v>
      </c>
      <c r="K900" s="87">
        <v>0</v>
      </c>
      <c r="M900" s="87">
        <v>0</v>
      </c>
      <c r="O900" s="87">
        <v>0</v>
      </c>
      <c r="P900" s="88">
        <v>211344</v>
      </c>
      <c r="Q900" s="87">
        <v>0</v>
      </c>
      <c r="R900" s="87">
        <f t="shared" si="252"/>
        <v>0</v>
      </c>
      <c r="T900" s="87">
        <v>0</v>
      </c>
      <c r="V900" s="87">
        <v>0</v>
      </c>
      <c r="X900" s="87">
        <v>0</v>
      </c>
      <c r="Y900" s="88">
        <v>227379.5</v>
      </c>
      <c r="Z900" s="87">
        <v>0</v>
      </c>
      <c r="AA900" s="87">
        <v>0</v>
      </c>
      <c r="AB900" s="89">
        <f t="shared" si="253"/>
        <v>0</v>
      </c>
      <c r="AC900" s="89">
        <f t="shared" si="254"/>
        <v>0</v>
      </c>
      <c r="AD900" s="89">
        <f t="shared" si="255"/>
        <v>0</v>
      </c>
      <c r="AE900" s="90">
        <f t="shared" si="256"/>
        <v>0</v>
      </c>
      <c r="AF900" s="90" t="str">
        <f t="shared" si="257"/>
        <v/>
      </c>
      <c r="AG900" s="90">
        <f t="shared" si="258"/>
        <v>0</v>
      </c>
      <c r="AH900" s="90" t="str">
        <f t="shared" si="259"/>
        <v/>
      </c>
      <c r="AI900" s="90">
        <f t="shared" si="260"/>
        <v>0</v>
      </c>
      <c r="AJ900" s="90" t="str">
        <f t="shared" si="261"/>
        <v/>
      </c>
      <c r="AK900" s="90" t="str">
        <f t="shared" si="262"/>
        <v/>
      </c>
      <c r="AL900" s="91">
        <f>IF(AK900="Adjust",(_xlfn.XLOOKUP(A900,'Adj factor'!A:A,'Adj factor'!I:I,,0)*AI900),'Master DataSheet'!AI900)</f>
        <v>0</v>
      </c>
      <c r="AM900" s="91">
        <f t="shared" si="263"/>
        <v>0</v>
      </c>
      <c r="AN900" s="92" t="str">
        <f t="shared" si="264"/>
        <v>No change</v>
      </c>
      <c r="AO900" s="93">
        <f>VLOOKUP(B900,'Growthrates source'!A$2:H$49,8,FALSE)</f>
        <v>-0.16643545882510058</v>
      </c>
      <c r="AP900" s="93">
        <f>VLOOKUP(B900,'Growthrates source'!A$2:I$49,9,FALSE)</f>
        <v>0.34338657876279233</v>
      </c>
      <c r="AQ900" s="86">
        <f t="shared" si="265"/>
        <v>0</v>
      </c>
      <c r="AR900" s="86">
        <f t="shared" si="266"/>
        <v>0</v>
      </c>
      <c r="AS900" s="94">
        <f t="shared" si="267"/>
        <v>0</v>
      </c>
      <c r="AT900" s="94">
        <f t="shared" si="268"/>
        <v>0</v>
      </c>
      <c r="AU900" s="94">
        <f t="shared" si="269"/>
        <v>0</v>
      </c>
    </row>
    <row r="901" spans="1:47" x14ac:dyDescent="0.3">
      <c r="A901" s="85" t="str">
        <f>_xlfn.XLOOKUP(B901,'Country codes &amp; Data sources'!G:G,'Country codes &amp; Data sources'!H:H,,0)</f>
        <v>Sao Tome and Principe</v>
      </c>
      <c r="B901" s="85" t="s">
        <v>153</v>
      </c>
      <c r="C901" s="86">
        <v>189935.5</v>
      </c>
      <c r="D901" s="85" t="s">
        <v>133</v>
      </c>
      <c r="E901" s="87">
        <v>0</v>
      </c>
      <c r="F901" s="88">
        <v>193756.99999999997</v>
      </c>
      <c r="G901" s="87">
        <v>0</v>
      </c>
      <c r="I901" s="87">
        <v>0</v>
      </c>
      <c r="K901" s="87">
        <v>0</v>
      </c>
      <c r="M901" s="87">
        <v>0</v>
      </c>
      <c r="O901" s="87">
        <v>0</v>
      </c>
      <c r="P901" s="88">
        <v>211344</v>
      </c>
      <c r="Q901" s="87">
        <v>0</v>
      </c>
      <c r="R901" s="87">
        <f t="shared" si="252"/>
        <v>146</v>
      </c>
      <c r="T901" s="87">
        <v>0</v>
      </c>
      <c r="V901" s="87">
        <v>0</v>
      </c>
      <c r="X901" s="87">
        <v>0</v>
      </c>
      <c r="Y901" s="88">
        <v>227379.5</v>
      </c>
      <c r="Z901" s="87">
        <v>0</v>
      </c>
      <c r="AA901" s="87">
        <v>146</v>
      </c>
      <c r="AB901" s="89">
        <f t="shared" si="253"/>
        <v>0</v>
      </c>
      <c r="AC901" s="89">
        <f t="shared" si="254"/>
        <v>0</v>
      </c>
      <c r="AD901" s="89">
        <f t="shared" si="255"/>
        <v>0</v>
      </c>
      <c r="AE901" s="90">
        <f t="shared" si="256"/>
        <v>0</v>
      </c>
      <c r="AF901" s="90" t="str">
        <f t="shared" si="257"/>
        <v/>
      </c>
      <c r="AG901" s="90">
        <f t="shared" si="258"/>
        <v>146</v>
      </c>
      <c r="AH901" s="90" t="str">
        <f t="shared" si="259"/>
        <v>2018 (triag)</v>
      </c>
      <c r="AI901" s="90">
        <f t="shared" si="260"/>
        <v>146</v>
      </c>
      <c r="AJ901" s="90" t="str">
        <f t="shared" si="261"/>
        <v>2018 (triag)</v>
      </c>
      <c r="AK901" s="90" t="str">
        <f t="shared" si="262"/>
        <v/>
      </c>
      <c r="AL901" s="91">
        <f>IF(AK901="Adjust",(_xlfn.XLOOKUP(A901,'Adj factor'!A:A,'Adj factor'!I:I,,0)*AI901),'Master DataSheet'!AI901)</f>
        <v>146</v>
      </c>
      <c r="AM901" s="91">
        <f t="shared" si="263"/>
        <v>146</v>
      </c>
      <c r="AN901" s="92" t="str">
        <f t="shared" si="264"/>
        <v>No change</v>
      </c>
      <c r="AO901" s="93">
        <f>VLOOKUP(B901,'Growthrates source'!A$2:H$49,8,FALSE)</f>
        <v>-0.16643545882510058</v>
      </c>
      <c r="AP901" s="93">
        <f>VLOOKUP(B901,'Growthrates source'!A$2:I$49,9,FALSE)</f>
        <v>0.34338657876279233</v>
      </c>
      <c r="AQ901" s="86">
        <f t="shared" si="265"/>
        <v>335.5543417865789</v>
      </c>
      <c r="AR901" s="86">
        <f t="shared" si="266"/>
        <v>409.02094213528443</v>
      </c>
      <c r="AS901" s="94">
        <f t="shared" si="267"/>
        <v>0</v>
      </c>
      <c r="AT901" s="94">
        <f t="shared" si="268"/>
        <v>6.908168672874555</v>
      </c>
      <c r="AU901" s="94">
        <f t="shared" si="269"/>
        <v>6.4209834219883497</v>
      </c>
    </row>
    <row r="902" spans="1:47" x14ac:dyDescent="0.3">
      <c r="A902" s="85" t="str">
        <f>_xlfn.XLOOKUP(B902,'Country codes &amp; Data sources'!G:G,'Country codes &amp; Data sources'!H:H,,0)</f>
        <v>Sao Tome and Principe</v>
      </c>
      <c r="B902" s="85" t="s">
        <v>153</v>
      </c>
      <c r="C902" s="86">
        <v>189936.5</v>
      </c>
      <c r="D902" s="85" t="s">
        <v>206</v>
      </c>
      <c r="E902" s="87">
        <v>0</v>
      </c>
      <c r="F902" s="88">
        <v>193756.99999999997</v>
      </c>
      <c r="G902" s="87">
        <v>0</v>
      </c>
      <c r="I902" s="87">
        <v>0</v>
      </c>
      <c r="K902" s="87">
        <v>0</v>
      </c>
      <c r="M902" s="87">
        <v>0</v>
      </c>
      <c r="O902" s="87">
        <v>0</v>
      </c>
      <c r="P902" s="88">
        <v>211344</v>
      </c>
      <c r="Q902" s="87">
        <v>0</v>
      </c>
      <c r="R902" s="87">
        <f t="shared" si="252"/>
        <v>0</v>
      </c>
      <c r="T902" s="87">
        <v>0</v>
      </c>
      <c r="V902" s="87">
        <v>0</v>
      </c>
      <c r="X902" s="87">
        <v>0</v>
      </c>
      <c r="Y902" s="88">
        <v>227379.5</v>
      </c>
      <c r="Z902" s="87">
        <v>0</v>
      </c>
      <c r="AA902" s="87">
        <v>0</v>
      </c>
      <c r="AB902" s="89">
        <f t="shared" si="253"/>
        <v>0</v>
      </c>
      <c r="AC902" s="89">
        <f t="shared" si="254"/>
        <v>0</v>
      </c>
      <c r="AD902" s="89">
        <f t="shared" si="255"/>
        <v>0</v>
      </c>
      <c r="AE902" s="90">
        <f t="shared" si="256"/>
        <v>0</v>
      </c>
      <c r="AF902" s="90" t="str">
        <f t="shared" si="257"/>
        <v/>
      </c>
      <c r="AG902" s="90">
        <f t="shared" si="258"/>
        <v>0</v>
      </c>
      <c r="AH902" s="90" t="str">
        <f t="shared" si="259"/>
        <v/>
      </c>
      <c r="AI902" s="90">
        <f t="shared" si="260"/>
        <v>0</v>
      </c>
      <c r="AJ902" s="90" t="str">
        <f t="shared" si="261"/>
        <v/>
      </c>
      <c r="AK902" s="90" t="str">
        <f t="shared" si="262"/>
        <v/>
      </c>
      <c r="AL902" s="91">
        <f>IF(AK902="Adjust",(_xlfn.XLOOKUP(A902,'Adj factor'!A:A,'Adj factor'!I:I,,0)*AI902),'Master DataSheet'!AI902)</f>
        <v>0</v>
      </c>
      <c r="AM902" s="91">
        <f t="shared" si="263"/>
        <v>0</v>
      </c>
      <c r="AN902" s="92" t="str">
        <f t="shared" si="264"/>
        <v>No change</v>
      </c>
      <c r="AO902" s="93">
        <f>VLOOKUP(B902,'Growthrates source'!A$2:H$49,8,FALSE)</f>
        <v>-0.16643545882510058</v>
      </c>
      <c r="AP902" s="93">
        <f>VLOOKUP(B902,'Growthrates source'!A$2:I$49,9,FALSE)</f>
        <v>0.34338657876279233</v>
      </c>
      <c r="AQ902" s="86">
        <f t="shared" si="265"/>
        <v>0</v>
      </c>
      <c r="AR902" s="86">
        <f t="shared" si="266"/>
        <v>0</v>
      </c>
      <c r="AS902" s="94">
        <f t="shared" si="267"/>
        <v>0</v>
      </c>
      <c r="AT902" s="94">
        <f t="shared" si="268"/>
        <v>0</v>
      </c>
      <c r="AU902" s="94">
        <f t="shared" si="269"/>
        <v>0</v>
      </c>
    </row>
    <row r="903" spans="1:47" x14ac:dyDescent="0.3">
      <c r="A903" s="85" t="str">
        <f>_xlfn.XLOOKUP(B903,'Country codes &amp; Data sources'!G:G,'Country codes &amp; Data sources'!H:H,,0)</f>
        <v>Sao Tome and Principe</v>
      </c>
      <c r="B903" s="85" t="s">
        <v>153</v>
      </c>
      <c r="C903" s="86">
        <v>189937.5</v>
      </c>
      <c r="D903" s="85" t="s">
        <v>136</v>
      </c>
      <c r="E903" s="87">
        <v>0</v>
      </c>
      <c r="F903" s="88">
        <v>193756.99999999997</v>
      </c>
      <c r="G903" s="87">
        <v>0</v>
      </c>
      <c r="I903" s="87">
        <v>0</v>
      </c>
      <c r="K903" s="87">
        <v>0</v>
      </c>
      <c r="M903" s="87">
        <v>0</v>
      </c>
      <c r="O903" s="87">
        <v>0</v>
      </c>
      <c r="P903" s="88">
        <v>211344</v>
      </c>
      <c r="Q903" s="87">
        <v>0</v>
      </c>
      <c r="R903" s="87">
        <f t="shared" si="252"/>
        <v>0</v>
      </c>
      <c r="T903" s="87">
        <v>0</v>
      </c>
      <c r="V903" s="87">
        <v>0</v>
      </c>
      <c r="X903" s="87">
        <v>0</v>
      </c>
      <c r="Y903" s="88">
        <v>227379.5</v>
      </c>
      <c r="Z903" s="87">
        <v>0</v>
      </c>
      <c r="AA903" s="87">
        <v>0</v>
      </c>
      <c r="AB903" s="89">
        <f t="shared" si="253"/>
        <v>0</v>
      </c>
      <c r="AC903" s="89">
        <f t="shared" si="254"/>
        <v>0</v>
      </c>
      <c r="AD903" s="89">
        <f t="shared" si="255"/>
        <v>0</v>
      </c>
      <c r="AE903" s="90">
        <f t="shared" si="256"/>
        <v>0</v>
      </c>
      <c r="AF903" s="90" t="str">
        <f t="shared" si="257"/>
        <v/>
      </c>
      <c r="AG903" s="90">
        <f t="shared" si="258"/>
        <v>0</v>
      </c>
      <c r="AH903" s="90" t="str">
        <f t="shared" si="259"/>
        <v/>
      </c>
      <c r="AI903" s="90">
        <f t="shared" si="260"/>
        <v>0</v>
      </c>
      <c r="AJ903" s="90" t="str">
        <f t="shared" si="261"/>
        <v/>
      </c>
      <c r="AK903" s="90" t="str">
        <f t="shared" si="262"/>
        <v/>
      </c>
      <c r="AL903" s="91">
        <f>IF(AK903="Adjust",(_xlfn.XLOOKUP(A903,'Adj factor'!A:A,'Adj factor'!I:I,,0)*AI903),'Master DataSheet'!AI903)</f>
        <v>0</v>
      </c>
      <c r="AM903" s="91">
        <f t="shared" si="263"/>
        <v>0</v>
      </c>
      <c r="AN903" s="92" t="str">
        <f t="shared" si="264"/>
        <v>No change</v>
      </c>
      <c r="AO903" s="93">
        <f>VLOOKUP(B903,'Growthrates source'!A$2:H$49,8,FALSE)</f>
        <v>-0.16643545882510058</v>
      </c>
      <c r="AP903" s="93">
        <f>VLOOKUP(B903,'Growthrates source'!A$2:I$49,9,FALSE)</f>
        <v>0.34338657876279233</v>
      </c>
      <c r="AQ903" s="86">
        <f t="shared" si="265"/>
        <v>0</v>
      </c>
      <c r="AR903" s="86">
        <f t="shared" si="266"/>
        <v>0</v>
      </c>
      <c r="AS903" s="94">
        <f t="shared" si="267"/>
        <v>0</v>
      </c>
      <c r="AT903" s="94">
        <f t="shared" si="268"/>
        <v>0</v>
      </c>
      <c r="AU903" s="94">
        <f t="shared" si="269"/>
        <v>0</v>
      </c>
    </row>
    <row r="904" spans="1:47" x14ac:dyDescent="0.3">
      <c r="A904" s="85" t="str">
        <f>_xlfn.XLOOKUP(B904,'Country codes &amp; Data sources'!G:G,'Country codes &amp; Data sources'!H:H,,0)</f>
        <v>Sao Tome and Principe</v>
      </c>
      <c r="B904" s="85" t="s">
        <v>153</v>
      </c>
      <c r="C904" s="86">
        <v>189938.5</v>
      </c>
      <c r="D904" s="85" t="s">
        <v>207</v>
      </c>
      <c r="E904" s="87">
        <v>0</v>
      </c>
      <c r="F904" s="88">
        <v>193756.99999999997</v>
      </c>
      <c r="G904" s="87">
        <v>0</v>
      </c>
      <c r="I904" s="87">
        <v>0</v>
      </c>
      <c r="K904" s="87">
        <v>0</v>
      </c>
      <c r="M904" s="87">
        <v>0</v>
      </c>
      <c r="O904" s="87">
        <v>0</v>
      </c>
      <c r="P904" s="88">
        <v>211344</v>
      </c>
      <c r="Q904" s="87">
        <v>0</v>
      </c>
      <c r="R904" s="87">
        <f t="shared" si="252"/>
        <v>0</v>
      </c>
      <c r="T904" s="87">
        <v>0</v>
      </c>
      <c r="V904" s="87">
        <v>0</v>
      </c>
      <c r="X904" s="87">
        <v>0</v>
      </c>
      <c r="Y904" s="88">
        <v>227379.5</v>
      </c>
      <c r="Z904" s="87">
        <v>0</v>
      </c>
      <c r="AA904" s="87">
        <v>0</v>
      </c>
      <c r="AB904" s="89">
        <f t="shared" si="253"/>
        <v>0</v>
      </c>
      <c r="AC904" s="89">
        <f t="shared" si="254"/>
        <v>0</v>
      </c>
      <c r="AD904" s="89">
        <f t="shared" si="255"/>
        <v>0</v>
      </c>
      <c r="AE904" s="90">
        <f t="shared" si="256"/>
        <v>0</v>
      </c>
      <c r="AF904" s="90" t="str">
        <f t="shared" si="257"/>
        <v/>
      </c>
      <c r="AG904" s="90">
        <f t="shared" si="258"/>
        <v>0</v>
      </c>
      <c r="AH904" s="90" t="str">
        <f t="shared" si="259"/>
        <v/>
      </c>
      <c r="AI904" s="90">
        <f t="shared" si="260"/>
        <v>0</v>
      </c>
      <c r="AJ904" s="90" t="str">
        <f t="shared" si="261"/>
        <v/>
      </c>
      <c r="AK904" s="90" t="str">
        <f t="shared" si="262"/>
        <v/>
      </c>
      <c r="AL904" s="91">
        <f>IF(AK904="Adjust",(_xlfn.XLOOKUP(A904,'Adj factor'!A:A,'Adj factor'!I:I,,0)*AI904),'Master DataSheet'!AI904)</f>
        <v>0</v>
      </c>
      <c r="AM904" s="91">
        <f t="shared" si="263"/>
        <v>0</v>
      </c>
      <c r="AN904" s="92" t="str">
        <f t="shared" si="264"/>
        <v>No change</v>
      </c>
      <c r="AO904" s="93">
        <f>VLOOKUP(B904,'Growthrates source'!A$2:H$49,8,FALSE)</f>
        <v>-0.16643545882510058</v>
      </c>
      <c r="AP904" s="93">
        <f>VLOOKUP(B904,'Growthrates source'!A$2:I$49,9,FALSE)</f>
        <v>0.34338657876279233</v>
      </c>
      <c r="AQ904" s="86">
        <f t="shared" si="265"/>
        <v>0</v>
      </c>
      <c r="AR904" s="86">
        <f t="shared" si="266"/>
        <v>0</v>
      </c>
      <c r="AS904" s="94">
        <f t="shared" si="267"/>
        <v>0</v>
      </c>
      <c r="AT904" s="94">
        <f t="shared" si="268"/>
        <v>0</v>
      </c>
      <c r="AU904" s="94">
        <f t="shared" si="269"/>
        <v>0</v>
      </c>
    </row>
    <row r="905" spans="1:47" x14ac:dyDescent="0.3">
      <c r="A905" s="85" t="str">
        <f>_xlfn.XLOOKUP(B905,'Country codes &amp; Data sources'!G:G,'Country codes &amp; Data sources'!H:H,,0)</f>
        <v>Sao Tome and Principe</v>
      </c>
      <c r="B905" s="85" t="s">
        <v>153</v>
      </c>
      <c r="C905" s="86">
        <v>189939.5</v>
      </c>
      <c r="D905" s="85" t="s">
        <v>141</v>
      </c>
      <c r="E905" s="87">
        <v>0</v>
      </c>
      <c r="F905" s="88">
        <v>193756.99999999997</v>
      </c>
      <c r="G905" s="87">
        <v>0</v>
      </c>
      <c r="I905" s="87">
        <v>0</v>
      </c>
      <c r="K905" s="87">
        <v>0</v>
      </c>
      <c r="M905" s="87">
        <v>0</v>
      </c>
      <c r="O905" s="87">
        <v>0</v>
      </c>
      <c r="P905" s="88">
        <v>211344</v>
      </c>
      <c r="Q905" s="87">
        <v>0</v>
      </c>
      <c r="R905" s="87">
        <f t="shared" si="252"/>
        <v>0</v>
      </c>
      <c r="T905" s="87">
        <v>0</v>
      </c>
      <c r="V905" s="87">
        <v>0</v>
      </c>
      <c r="X905" s="87">
        <v>0</v>
      </c>
      <c r="Y905" s="88">
        <v>227379.5</v>
      </c>
      <c r="Z905" s="87">
        <v>0</v>
      </c>
      <c r="AA905" s="87">
        <v>0</v>
      </c>
      <c r="AB905" s="89">
        <f t="shared" si="253"/>
        <v>0</v>
      </c>
      <c r="AC905" s="89">
        <f t="shared" si="254"/>
        <v>0</v>
      </c>
      <c r="AD905" s="89">
        <f t="shared" si="255"/>
        <v>0</v>
      </c>
      <c r="AE905" s="90">
        <f t="shared" si="256"/>
        <v>0</v>
      </c>
      <c r="AF905" s="90" t="str">
        <f t="shared" si="257"/>
        <v/>
      </c>
      <c r="AG905" s="90">
        <f t="shared" si="258"/>
        <v>0</v>
      </c>
      <c r="AH905" s="90" t="str">
        <f t="shared" si="259"/>
        <v/>
      </c>
      <c r="AI905" s="90">
        <f t="shared" si="260"/>
        <v>0</v>
      </c>
      <c r="AJ905" s="90" t="str">
        <f t="shared" si="261"/>
        <v/>
      </c>
      <c r="AK905" s="90" t="str">
        <f t="shared" si="262"/>
        <v/>
      </c>
      <c r="AL905" s="91">
        <f>IF(AK905="Adjust",(_xlfn.XLOOKUP(A905,'Adj factor'!A:A,'Adj factor'!I:I,,0)*AI905),'Master DataSheet'!AI905)</f>
        <v>0</v>
      </c>
      <c r="AM905" s="91">
        <f t="shared" si="263"/>
        <v>0</v>
      </c>
      <c r="AN905" s="92" t="str">
        <f t="shared" si="264"/>
        <v>No change</v>
      </c>
      <c r="AO905" s="93">
        <f>VLOOKUP(B905,'Growthrates source'!A$2:H$49,8,FALSE)</f>
        <v>-0.16643545882510058</v>
      </c>
      <c r="AP905" s="93">
        <f>VLOOKUP(B905,'Growthrates source'!A$2:I$49,9,FALSE)</f>
        <v>0.34338657876279233</v>
      </c>
      <c r="AQ905" s="86">
        <f t="shared" si="265"/>
        <v>0</v>
      </c>
      <c r="AR905" s="86">
        <f t="shared" si="266"/>
        <v>0</v>
      </c>
      <c r="AS905" s="94">
        <f t="shared" si="267"/>
        <v>0</v>
      </c>
      <c r="AT905" s="94">
        <f t="shared" si="268"/>
        <v>0</v>
      </c>
      <c r="AU905" s="94">
        <f t="shared" si="269"/>
        <v>0</v>
      </c>
    </row>
    <row r="906" spans="1:47" x14ac:dyDescent="0.3">
      <c r="A906" s="85" t="str">
        <f>_xlfn.XLOOKUP(B906,'Country codes &amp; Data sources'!G:G,'Country codes &amp; Data sources'!H:H,,0)</f>
        <v>Sao Tome and Principe</v>
      </c>
      <c r="B906" s="85" t="s">
        <v>153</v>
      </c>
      <c r="C906" s="86">
        <v>189940.5</v>
      </c>
      <c r="D906" s="85" t="s">
        <v>208</v>
      </c>
      <c r="E906" s="87">
        <v>0</v>
      </c>
      <c r="F906" s="88">
        <v>193756.99999999997</v>
      </c>
      <c r="G906" s="87">
        <v>0</v>
      </c>
      <c r="I906" s="87">
        <v>0</v>
      </c>
      <c r="K906" s="87">
        <v>0</v>
      </c>
      <c r="M906" s="87">
        <v>0</v>
      </c>
      <c r="O906" s="87">
        <v>0</v>
      </c>
      <c r="P906" s="88">
        <v>211344</v>
      </c>
      <c r="Q906" s="87">
        <v>0</v>
      </c>
      <c r="R906" s="87">
        <f t="shared" si="252"/>
        <v>0</v>
      </c>
      <c r="T906" s="87">
        <v>0</v>
      </c>
      <c r="V906" s="87">
        <v>0</v>
      </c>
      <c r="X906" s="87">
        <v>0</v>
      </c>
      <c r="Y906" s="88">
        <v>227379.5</v>
      </c>
      <c r="Z906" s="87">
        <v>0</v>
      </c>
      <c r="AA906" s="87">
        <v>0</v>
      </c>
      <c r="AB906" s="89">
        <f t="shared" si="253"/>
        <v>0</v>
      </c>
      <c r="AC906" s="89">
        <f t="shared" si="254"/>
        <v>0</v>
      </c>
      <c r="AD906" s="89">
        <f t="shared" si="255"/>
        <v>0</v>
      </c>
      <c r="AE906" s="90">
        <f t="shared" si="256"/>
        <v>0</v>
      </c>
      <c r="AF906" s="90" t="str">
        <f t="shared" si="257"/>
        <v/>
      </c>
      <c r="AG906" s="90">
        <f t="shared" si="258"/>
        <v>0</v>
      </c>
      <c r="AH906" s="90" t="str">
        <f t="shared" si="259"/>
        <v/>
      </c>
      <c r="AI906" s="90">
        <f t="shared" si="260"/>
        <v>0</v>
      </c>
      <c r="AJ906" s="90" t="str">
        <f t="shared" si="261"/>
        <v/>
      </c>
      <c r="AK906" s="90" t="str">
        <f t="shared" si="262"/>
        <v/>
      </c>
      <c r="AL906" s="91">
        <f>IF(AK906="Adjust",(_xlfn.XLOOKUP(A906,'Adj factor'!A:A,'Adj factor'!I:I,,0)*AI906),'Master DataSheet'!AI906)</f>
        <v>0</v>
      </c>
      <c r="AM906" s="91">
        <f t="shared" si="263"/>
        <v>0</v>
      </c>
      <c r="AN906" s="92" t="str">
        <f t="shared" si="264"/>
        <v>No change</v>
      </c>
      <c r="AO906" s="93">
        <f>VLOOKUP(B906,'Growthrates source'!A$2:H$49,8,FALSE)</f>
        <v>-0.16643545882510058</v>
      </c>
      <c r="AP906" s="93">
        <f>VLOOKUP(B906,'Growthrates source'!A$2:I$49,9,FALSE)</f>
        <v>0.34338657876279233</v>
      </c>
      <c r="AQ906" s="86">
        <f t="shared" si="265"/>
        <v>0</v>
      </c>
      <c r="AR906" s="86">
        <f t="shared" si="266"/>
        <v>0</v>
      </c>
      <c r="AS906" s="94">
        <f t="shared" si="267"/>
        <v>0</v>
      </c>
      <c r="AT906" s="94">
        <f t="shared" si="268"/>
        <v>0</v>
      </c>
      <c r="AU906" s="94">
        <f t="shared" si="269"/>
        <v>0</v>
      </c>
    </row>
    <row r="907" spans="1:47" x14ac:dyDescent="0.3">
      <c r="A907" s="85" t="str">
        <f>_xlfn.XLOOKUP(B907,'Country codes &amp; Data sources'!G:G,'Country codes &amp; Data sources'!H:H,,0)</f>
        <v>Sao Tome and Principe</v>
      </c>
      <c r="B907" s="85" t="s">
        <v>153</v>
      </c>
      <c r="C907" s="86">
        <v>189941.5</v>
      </c>
      <c r="D907" s="85" t="s">
        <v>209</v>
      </c>
      <c r="E907" s="87">
        <v>0</v>
      </c>
      <c r="F907" s="88">
        <v>193756.99999999997</v>
      </c>
      <c r="G907" s="87">
        <v>0</v>
      </c>
      <c r="I907" s="87">
        <v>0</v>
      </c>
      <c r="K907" s="87">
        <v>0</v>
      </c>
      <c r="M907" s="87">
        <v>0</v>
      </c>
      <c r="O907" s="87">
        <v>0</v>
      </c>
      <c r="P907" s="88">
        <v>211344</v>
      </c>
      <c r="Q907" s="87">
        <v>0</v>
      </c>
      <c r="R907" s="87">
        <f t="shared" si="252"/>
        <v>271</v>
      </c>
      <c r="T907" s="87">
        <v>0</v>
      </c>
      <c r="V907" s="87">
        <v>0</v>
      </c>
      <c r="X907" s="87">
        <v>0</v>
      </c>
      <c r="Y907" s="88">
        <v>227379.5</v>
      </c>
      <c r="Z907" s="87">
        <v>0</v>
      </c>
      <c r="AA907" s="87">
        <v>271</v>
      </c>
      <c r="AB907" s="89">
        <f t="shared" si="253"/>
        <v>0</v>
      </c>
      <c r="AC907" s="89">
        <f t="shared" si="254"/>
        <v>0</v>
      </c>
      <c r="AD907" s="89">
        <f t="shared" si="255"/>
        <v>0</v>
      </c>
      <c r="AE907" s="90">
        <f t="shared" si="256"/>
        <v>0</v>
      </c>
      <c r="AF907" s="90" t="str">
        <f t="shared" si="257"/>
        <v/>
      </c>
      <c r="AG907" s="90">
        <f t="shared" si="258"/>
        <v>271</v>
      </c>
      <c r="AH907" s="90" t="str">
        <f t="shared" si="259"/>
        <v>2018 (triag)</v>
      </c>
      <c r="AI907" s="90">
        <f t="shared" si="260"/>
        <v>271</v>
      </c>
      <c r="AJ907" s="90" t="str">
        <f t="shared" si="261"/>
        <v>2018 (triag)</v>
      </c>
      <c r="AK907" s="90" t="str">
        <f t="shared" si="262"/>
        <v/>
      </c>
      <c r="AL907" s="91">
        <f>IF(AK907="Adjust",(_xlfn.XLOOKUP(A907,'Adj factor'!A:A,'Adj factor'!I:I,,0)*AI907),'Master DataSheet'!AI907)</f>
        <v>271</v>
      </c>
      <c r="AM907" s="91">
        <f t="shared" si="263"/>
        <v>271</v>
      </c>
      <c r="AN907" s="92" t="str">
        <f t="shared" si="264"/>
        <v>No change</v>
      </c>
      <c r="AO907" s="93">
        <f>VLOOKUP(B907,'Growthrates source'!A$2:H$49,8,FALSE)</f>
        <v>-0.16643545882510058</v>
      </c>
      <c r="AP907" s="93">
        <f>VLOOKUP(B907,'Growthrates source'!A$2:I$49,9,FALSE)</f>
        <v>0.34338657876279233</v>
      </c>
      <c r="AQ907" s="86">
        <f t="shared" si="265"/>
        <v>622.84401797371834</v>
      </c>
      <c r="AR907" s="86">
        <f t="shared" si="266"/>
        <v>759.21010492234302</v>
      </c>
      <c r="AS907" s="94">
        <f t="shared" si="267"/>
        <v>0</v>
      </c>
      <c r="AT907" s="94">
        <f t="shared" si="268"/>
        <v>12.822696646226058</v>
      </c>
      <c r="AU907" s="94">
        <f t="shared" si="269"/>
        <v>11.91840073533454</v>
      </c>
    </row>
    <row r="908" spans="1:47" x14ac:dyDescent="0.3">
      <c r="A908" s="85" t="str">
        <f>_xlfn.XLOOKUP(B908,'Country codes &amp; Data sources'!G:G,'Country codes &amp; Data sources'!H:H,,0)</f>
        <v>Sao Tome and Principe</v>
      </c>
      <c r="B908" s="85" t="s">
        <v>153</v>
      </c>
      <c r="C908" s="86">
        <v>189942.5</v>
      </c>
      <c r="D908" s="85" t="s">
        <v>134</v>
      </c>
      <c r="E908" s="87">
        <v>0</v>
      </c>
      <c r="F908" s="88">
        <v>193756.99999999997</v>
      </c>
      <c r="G908" s="87">
        <v>0</v>
      </c>
      <c r="I908" s="87">
        <v>0</v>
      </c>
      <c r="K908" s="87">
        <v>0</v>
      </c>
      <c r="M908" s="87">
        <v>0</v>
      </c>
      <c r="O908" s="87">
        <v>0</v>
      </c>
      <c r="P908" s="88">
        <v>211344</v>
      </c>
      <c r="Q908" s="87">
        <v>0</v>
      </c>
      <c r="R908" s="87">
        <f t="shared" si="252"/>
        <v>0</v>
      </c>
      <c r="T908" s="87">
        <v>0</v>
      </c>
      <c r="V908" s="87">
        <v>0</v>
      </c>
      <c r="X908" s="87">
        <v>0</v>
      </c>
      <c r="Y908" s="88">
        <v>227379.5</v>
      </c>
      <c r="Z908" s="87">
        <v>0</v>
      </c>
      <c r="AA908" s="87">
        <v>0</v>
      </c>
      <c r="AB908" s="89">
        <f t="shared" si="253"/>
        <v>0</v>
      </c>
      <c r="AC908" s="89">
        <f t="shared" si="254"/>
        <v>0</v>
      </c>
      <c r="AD908" s="89">
        <f t="shared" si="255"/>
        <v>0</v>
      </c>
      <c r="AE908" s="90">
        <f t="shared" si="256"/>
        <v>0</v>
      </c>
      <c r="AF908" s="90" t="str">
        <f t="shared" si="257"/>
        <v/>
      </c>
      <c r="AG908" s="90">
        <f t="shared" si="258"/>
        <v>0</v>
      </c>
      <c r="AH908" s="90" t="str">
        <f t="shared" si="259"/>
        <v/>
      </c>
      <c r="AI908" s="90">
        <f t="shared" si="260"/>
        <v>0</v>
      </c>
      <c r="AJ908" s="90" t="str">
        <f t="shared" si="261"/>
        <v/>
      </c>
      <c r="AK908" s="90" t="str">
        <f t="shared" si="262"/>
        <v/>
      </c>
      <c r="AL908" s="91">
        <f>IF(AK908="Adjust",(_xlfn.XLOOKUP(A908,'Adj factor'!A:A,'Adj factor'!I:I,,0)*AI908),'Master DataSheet'!AI908)</f>
        <v>0</v>
      </c>
      <c r="AM908" s="91">
        <f t="shared" si="263"/>
        <v>0</v>
      </c>
      <c r="AN908" s="92" t="str">
        <f t="shared" si="264"/>
        <v>No change</v>
      </c>
      <c r="AO908" s="93">
        <f>VLOOKUP(B908,'Growthrates source'!A$2:H$49,8,FALSE)</f>
        <v>-0.16643545882510058</v>
      </c>
      <c r="AP908" s="93">
        <f>VLOOKUP(B908,'Growthrates source'!A$2:I$49,9,FALSE)</f>
        <v>0.34338657876279233</v>
      </c>
      <c r="AQ908" s="86">
        <f t="shared" si="265"/>
        <v>0</v>
      </c>
      <c r="AR908" s="86">
        <f t="shared" si="266"/>
        <v>0</v>
      </c>
      <c r="AS908" s="94">
        <f t="shared" si="267"/>
        <v>0</v>
      </c>
      <c r="AT908" s="94">
        <f t="shared" si="268"/>
        <v>0</v>
      </c>
      <c r="AU908" s="94">
        <f t="shared" si="269"/>
        <v>0</v>
      </c>
    </row>
    <row r="909" spans="1:47" x14ac:dyDescent="0.3">
      <c r="A909" s="85" t="str">
        <f>_xlfn.XLOOKUP(B909,'Country codes &amp; Data sources'!G:G,'Country codes &amp; Data sources'!H:H,,0)</f>
        <v>Sao Tome and Principe</v>
      </c>
      <c r="B909" s="85" t="s">
        <v>153</v>
      </c>
      <c r="C909" s="86">
        <v>189943.5</v>
      </c>
      <c r="D909" s="85" t="s">
        <v>142</v>
      </c>
      <c r="E909" s="87">
        <v>0</v>
      </c>
      <c r="F909" s="88">
        <v>193756.99999999997</v>
      </c>
      <c r="G909" s="87">
        <v>0</v>
      </c>
      <c r="I909" s="87">
        <v>0</v>
      </c>
      <c r="K909" s="87">
        <v>0</v>
      </c>
      <c r="M909" s="87">
        <v>0</v>
      </c>
      <c r="O909" s="87">
        <v>0</v>
      </c>
      <c r="P909" s="88">
        <v>211344</v>
      </c>
      <c r="Q909" s="87">
        <v>0</v>
      </c>
      <c r="R909" s="87">
        <f t="shared" si="252"/>
        <v>0</v>
      </c>
      <c r="T909" s="87">
        <v>0</v>
      </c>
      <c r="V909" s="87">
        <v>0</v>
      </c>
      <c r="X909" s="87">
        <v>0</v>
      </c>
      <c r="Y909" s="88">
        <v>227379.5</v>
      </c>
      <c r="Z909" s="87">
        <v>0</v>
      </c>
      <c r="AA909" s="87">
        <v>0</v>
      </c>
      <c r="AB909" s="89">
        <f t="shared" si="253"/>
        <v>0</v>
      </c>
      <c r="AC909" s="89">
        <f t="shared" si="254"/>
        <v>0</v>
      </c>
      <c r="AD909" s="89">
        <f t="shared" si="255"/>
        <v>0</v>
      </c>
      <c r="AE909" s="90">
        <f t="shared" si="256"/>
        <v>0</v>
      </c>
      <c r="AF909" s="90" t="str">
        <f t="shared" si="257"/>
        <v/>
      </c>
      <c r="AG909" s="90">
        <f t="shared" si="258"/>
        <v>0</v>
      </c>
      <c r="AH909" s="90" t="str">
        <f t="shared" si="259"/>
        <v/>
      </c>
      <c r="AI909" s="90">
        <f t="shared" si="260"/>
        <v>0</v>
      </c>
      <c r="AJ909" s="90" t="str">
        <f t="shared" si="261"/>
        <v/>
      </c>
      <c r="AK909" s="90" t="str">
        <f t="shared" si="262"/>
        <v/>
      </c>
      <c r="AL909" s="91">
        <f>IF(AK909="Adjust",(_xlfn.XLOOKUP(A909,'Adj factor'!A:A,'Adj factor'!I:I,,0)*AI909),'Master DataSheet'!AI909)</f>
        <v>0</v>
      </c>
      <c r="AM909" s="91">
        <f t="shared" si="263"/>
        <v>0</v>
      </c>
      <c r="AN909" s="92" t="str">
        <f t="shared" si="264"/>
        <v>No change</v>
      </c>
      <c r="AO909" s="93">
        <f>VLOOKUP(B909,'Growthrates source'!A$2:H$49,8,FALSE)</f>
        <v>-0.16643545882510058</v>
      </c>
      <c r="AP909" s="93">
        <f>VLOOKUP(B909,'Growthrates source'!A$2:I$49,9,FALSE)</f>
        <v>0.34338657876279233</v>
      </c>
      <c r="AQ909" s="86">
        <f t="shared" si="265"/>
        <v>0</v>
      </c>
      <c r="AR909" s="86">
        <f t="shared" si="266"/>
        <v>0</v>
      </c>
      <c r="AS909" s="94">
        <f t="shared" si="267"/>
        <v>0</v>
      </c>
      <c r="AT909" s="94">
        <f t="shared" si="268"/>
        <v>0</v>
      </c>
      <c r="AU909" s="94">
        <f t="shared" si="269"/>
        <v>0</v>
      </c>
    </row>
    <row r="910" spans="1:47" x14ac:dyDescent="0.3">
      <c r="A910" s="85" t="str">
        <f>_xlfn.XLOOKUP(B910,'Country codes &amp; Data sources'!G:G,'Country codes &amp; Data sources'!H:H,,0)</f>
        <v>Sao Tome and Principe</v>
      </c>
      <c r="B910" s="85" t="s">
        <v>153</v>
      </c>
      <c r="C910" s="86">
        <v>189944.5</v>
      </c>
      <c r="D910" s="85" t="s">
        <v>83</v>
      </c>
      <c r="E910" s="87">
        <v>0</v>
      </c>
      <c r="F910" s="88">
        <v>193756.99999999997</v>
      </c>
      <c r="G910" s="87">
        <v>0</v>
      </c>
      <c r="I910" s="87">
        <v>0</v>
      </c>
      <c r="K910" s="87">
        <v>0</v>
      </c>
      <c r="M910" s="87">
        <v>0</v>
      </c>
      <c r="O910" s="87">
        <v>0</v>
      </c>
      <c r="P910" s="88">
        <v>211344</v>
      </c>
      <c r="Q910" s="87">
        <v>0</v>
      </c>
      <c r="R910" s="87">
        <f t="shared" si="252"/>
        <v>0</v>
      </c>
      <c r="T910" s="87">
        <v>0</v>
      </c>
      <c r="V910" s="87">
        <v>0</v>
      </c>
      <c r="X910" s="87">
        <v>0</v>
      </c>
      <c r="Y910" s="88">
        <v>227379.5</v>
      </c>
      <c r="Z910" s="87">
        <v>0</v>
      </c>
      <c r="AA910" s="87">
        <v>0</v>
      </c>
      <c r="AB910" s="89">
        <f t="shared" si="253"/>
        <v>0</v>
      </c>
      <c r="AC910" s="89">
        <f t="shared" si="254"/>
        <v>0</v>
      </c>
      <c r="AD910" s="89">
        <f t="shared" si="255"/>
        <v>0</v>
      </c>
      <c r="AE910" s="90">
        <f t="shared" si="256"/>
        <v>0</v>
      </c>
      <c r="AF910" s="90" t="str">
        <f t="shared" si="257"/>
        <v/>
      </c>
      <c r="AG910" s="90">
        <f t="shared" si="258"/>
        <v>0</v>
      </c>
      <c r="AH910" s="90" t="str">
        <f t="shared" si="259"/>
        <v/>
      </c>
      <c r="AI910" s="90">
        <f t="shared" si="260"/>
        <v>0</v>
      </c>
      <c r="AJ910" s="90" t="str">
        <f t="shared" si="261"/>
        <v/>
      </c>
      <c r="AK910" s="90" t="str">
        <f t="shared" si="262"/>
        <v/>
      </c>
      <c r="AL910" s="91">
        <f>IF(AK910="Adjust",(_xlfn.XLOOKUP(A910,'Adj factor'!A:A,'Adj factor'!I:I,,0)*AI910),'Master DataSheet'!AI910)</f>
        <v>0</v>
      </c>
      <c r="AM910" s="91">
        <f t="shared" si="263"/>
        <v>0</v>
      </c>
      <c r="AN910" s="92" t="str">
        <f t="shared" si="264"/>
        <v>No change</v>
      </c>
      <c r="AO910" s="93">
        <f>VLOOKUP(B910,'Growthrates source'!A$2:H$49,8,FALSE)</f>
        <v>-0.16643545882510058</v>
      </c>
      <c r="AP910" s="93">
        <f>VLOOKUP(B910,'Growthrates source'!A$2:I$49,9,FALSE)</f>
        <v>0.34338657876279233</v>
      </c>
      <c r="AQ910" s="86">
        <f t="shared" si="265"/>
        <v>0</v>
      </c>
      <c r="AR910" s="86">
        <f t="shared" si="266"/>
        <v>0</v>
      </c>
      <c r="AS910" s="94">
        <f t="shared" si="267"/>
        <v>0</v>
      </c>
      <c r="AT910" s="94">
        <f t="shared" si="268"/>
        <v>0</v>
      </c>
      <c r="AU910" s="94">
        <f t="shared" si="269"/>
        <v>0</v>
      </c>
    </row>
    <row r="911" spans="1:47" x14ac:dyDescent="0.3">
      <c r="A911" s="85" t="str">
        <f>_xlfn.XLOOKUP(B911,'Country codes &amp; Data sources'!G:G,'Country codes &amp; Data sources'!H:H,,0)</f>
        <v>Sao Tome and Principe</v>
      </c>
      <c r="B911" s="85" t="s">
        <v>153</v>
      </c>
      <c r="C911" s="86">
        <v>189945.5</v>
      </c>
      <c r="D911" s="85" t="s">
        <v>84</v>
      </c>
      <c r="E911" s="87">
        <v>0</v>
      </c>
      <c r="F911" s="88">
        <v>193756.99999999997</v>
      </c>
      <c r="G911" s="87">
        <v>0</v>
      </c>
      <c r="I911" s="87">
        <v>0</v>
      </c>
      <c r="K911" s="87">
        <v>0</v>
      </c>
      <c r="M911" s="87">
        <v>0</v>
      </c>
      <c r="O911" s="87">
        <v>0</v>
      </c>
      <c r="P911" s="88">
        <v>211344</v>
      </c>
      <c r="Q911" s="87">
        <v>0</v>
      </c>
      <c r="R911" s="87">
        <f t="shared" si="252"/>
        <v>0</v>
      </c>
      <c r="T911" s="87">
        <v>0</v>
      </c>
      <c r="V911" s="87">
        <v>0</v>
      </c>
      <c r="X911" s="87">
        <v>0</v>
      </c>
      <c r="Y911" s="88">
        <v>227379.5</v>
      </c>
      <c r="Z911" s="87">
        <v>0</v>
      </c>
      <c r="AA911" s="87">
        <v>0</v>
      </c>
      <c r="AB911" s="89">
        <f t="shared" si="253"/>
        <v>0</v>
      </c>
      <c r="AC911" s="89">
        <f t="shared" si="254"/>
        <v>0</v>
      </c>
      <c r="AD911" s="89">
        <f t="shared" si="255"/>
        <v>0</v>
      </c>
      <c r="AE911" s="90">
        <f t="shared" si="256"/>
        <v>0</v>
      </c>
      <c r="AF911" s="90" t="str">
        <f t="shared" si="257"/>
        <v/>
      </c>
      <c r="AG911" s="90">
        <f t="shared" si="258"/>
        <v>0</v>
      </c>
      <c r="AH911" s="90" t="str">
        <f t="shared" si="259"/>
        <v/>
      </c>
      <c r="AI911" s="90">
        <f t="shared" si="260"/>
        <v>0</v>
      </c>
      <c r="AJ911" s="90" t="str">
        <f t="shared" si="261"/>
        <v/>
      </c>
      <c r="AK911" s="90" t="str">
        <f t="shared" si="262"/>
        <v/>
      </c>
      <c r="AL911" s="91">
        <f>IF(AK911="Adjust",(_xlfn.XLOOKUP(A911,'Adj factor'!A:A,'Adj factor'!I:I,,0)*AI911),'Master DataSheet'!AI911)</f>
        <v>0</v>
      </c>
      <c r="AM911" s="91">
        <f t="shared" si="263"/>
        <v>0</v>
      </c>
      <c r="AN911" s="92" t="str">
        <f t="shared" si="264"/>
        <v>No change</v>
      </c>
      <c r="AO911" s="93">
        <f>VLOOKUP(B911,'Growthrates source'!A$2:H$49,8,FALSE)</f>
        <v>-0.16643545882510058</v>
      </c>
      <c r="AP911" s="93">
        <f>VLOOKUP(B911,'Growthrates source'!A$2:I$49,9,FALSE)</f>
        <v>0.34338657876279233</v>
      </c>
      <c r="AQ911" s="86">
        <f t="shared" si="265"/>
        <v>0</v>
      </c>
      <c r="AR911" s="86">
        <f t="shared" si="266"/>
        <v>0</v>
      </c>
      <c r="AS911" s="94">
        <f t="shared" si="267"/>
        <v>0</v>
      </c>
      <c r="AT911" s="94">
        <f t="shared" si="268"/>
        <v>0</v>
      </c>
      <c r="AU911" s="94">
        <f t="shared" si="269"/>
        <v>0</v>
      </c>
    </row>
    <row r="912" spans="1:47" x14ac:dyDescent="0.3">
      <c r="A912" s="85" t="str">
        <f>_xlfn.XLOOKUP(B912,'Country codes &amp; Data sources'!G:G,'Country codes &amp; Data sources'!H:H,,0)</f>
        <v>Sao Tome and Principe</v>
      </c>
      <c r="B912" s="85" t="s">
        <v>153</v>
      </c>
      <c r="C912" s="86">
        <v>189946.5</v>
      </c>
      <c r="D912" s="85" t="s">
        <v>126</v>
      </c>
      <c r="E912" s="87">
        <v>0</v>
      </c>
      <c r="F912" s="88">
        <v>193756.99999999997</v>
      </c>
      <c r="G912" s="87">
        <v>0</v>
      </c>
      <c r="I912" s="87">
        <v>0</v>
      </c>
      <c r="K912" s="87">
        <v>0</v>
      </c>
      <c r="M912" s="87">
        <v>0</v>
      </c>
      <c r="O912" s="87">
        <v>0</v>
      </c>
      <c r="P912" s="88">
        <v>211344</v>
      </c>
      <c r="Q912" s="87">
        <v>0</v>
      </c>
      <c r="R912" s="87">
        <f t="shared" si="252"/>
        <v>0</v>
      </c>
      <c r="T912" s="87">
        <v>0</v>
      </c>
      <c r="V912" s="87">
        <v>0</v>
      </c>
      <c r="X912" s="87">
        <v>0</v>
      </c>
      <c r="Y912" s="88">
        <v>227379.5</v>
      </c>
      <c r="Z912" s="87">
        <v>0</v>
      </c>
      <c r="AA912" s="87">
        <v>0</v>
      </c>
      <c r="AB912" s="89">
        <f t="shared" si="253"/>
        <v>0</v>
      </c>
      <c r="AC912" s="89">
        <f t="shared" si="254"/>
        <v>0</v>
      </c>
      <c r="AD912" s="89">
        <f t="shared" si="255"/>
        <v>0</v>
      </c>
      <c r="AE912" s="90">
        <f t="shared" si="256"/>
        <v>0</v>
      </c>
      <c r="AF912" s="90" t="str">
        <f t="shared" si="257"/>
        <v/>
      </c>
      <c r="AG912" s="90">
        <f t="shared" si="258"/>
        <v>0</v>
      </c>
      <c r="AH912" s="90" t="str">
        <f t="shared" si="259"/>
        <v/>
      </c>
      <c r="AI912" s="90">
        <f t="shared" si="260"/>
        <v>0</v>
      </c>
      <c r="AJ912" s="90" t="str">
        <f t="shared" si="261"/>
        <v/>
      </c>
      <c r="AK912" s="90" t="str">
        <f t="shared" si="262"/>
        <v/>
      </c>
      <c r="AL912" s="91">
        <f>IF(AK912="Adjust",(_xlfn.XLOOKUP(A912,'Adj factor'!A:A,'Adj factor'!I:I,,0)*AI912),'Master DataSheet'!AI912)</f>
        <v>0</v>
      </c>
      <c r="AM912" s="91">
        <f t="shared" si="263"/>
        <v>0</v>
      </c>
      <c r="AN912" s="92" t="str">
        <f t="shared" si="264"/>
        <v>No change</v>
      </c>
      <c r="AO912" s="93">
        <f>VLOOKUP(B912,'Growthrates source'!A$2:H$49,8,FALSE)</f>
        <v>-0.16643545882510058</v>
      </c>
      <c r="AP912" s="93">
        <f>VLOOKUP(B912,'Growthrates source'!A$2:I$49,9,FALSE)</f>
        <v>0.34338657876279233</v>
      </c>
      <c r="AQ912" s="86">
        <f t="shared" si="265"/>
        <v>0</v>
      </c>
      <c r="AR912" s="86">
        <f t="shared" si="266"/>
        <v>0</v>
      </c>
      <c r="AS912" s="94">
        <f t="shared" si="267"/>
        <v>0</v>
      </c>
      <c r="AT912" s="94">
        <f t="shared" si="268"/>
        <v>0</v>
      </c>
      <c r="AU912" s="94">
        <f t="shared" si="269"/>
        <v>0</v>
      </c>
    </row>
    <row r="913" spans="1:48" x14ac:dyDescent="0.3">
      <c r="A913" s="85" t="str">
        <f>_xlfn.XLOOKUP(B913,'Country codes &amp; Data sources'!G:G,'Country codes &amp; Data sources'!H:H,,0)</f>
        <v>Sao Tome and Principe</v>
      </c>
      <c r="B913" s="85" t="s">
        <v>153</v>
      </c>
      <c r="C913" s="86">
        <v>189947.5</v>
      </c>
      <c r="D913" s="85" t="s">
        <v>87</v>
      </c>
      <c r="E913" s="87">
        <v>0</v>
      </c>
      <c r="F913" s="88">
        <v>193756.99999999997</v>
      </c>
      <c r="G913" s="87">
        <v>0</v>
      </c>
      <c r="I913" s="87">
        <v>0</v>
      </c>
      <c r="K913" s="87">
        <v>0</v>
      </c>
      <c r="M913" s="87">
        <v>0</v>
      </c>
      <c r="O913" s="87">
        <v>0</v>
      </c>
      <c r="P913" s="88">
        <v>211344</v>
      </c>
      <c r="Q913" s="87">
        <v>0</v>
      </c>
      <c r="R913" s="87">
        <f t="shared" si="252"/>
        <v>0</v>
      </c>
      <c r="T913" s="87">
        <v>0</v>
      </c>
      <c r="V913" s="87">
        <v>0</v>
      </c>
      <c r="X913" s="87">
        <v>0</v>
      </c>
      <c r="Y913" s="88">
        <v>227379.5</v>
      </c>
      <c r="Z913" s="87">
        <v>0</v>
      </c>
      <c r="AA913" s="87">
        <v>0</v>
      </c>
      <c r="AB913" s="89">
        <f t="shared" si="253"/>
        <v>0</v>
      </c>
      <c r="AC913" s="89">
        <f t="shared" si="254"/>
        <v>0</v>
      </c>
      <c r="AD913" s="89">
        <f t="shared" si="255"/>
        <v>0</v>
      </c>
      <c r="AE913" s="90">
        <f t="shared" si="256"/>
        <v>0</v>
      </c>
      <c r="AF913" s="90" t="str">
        <f t="shared" si="257"/>
        <v/>
      </c>
      <c r="AG913" s="90">
        <f t="shared" si="258"/>
        <v>0</v>
      </c>
      <c r="AH913" s="90" t="str">
        <f t="shared" si="259"/>
        <v/>
      </c>
      <c r="AI913" s="90">
        <f t="shared" si="260"/>
        <v>0</v>
      </c>
      <c r="AJ913" s="90" t="str">
        <f t="shared" si="261"/>
        <v/>
      </c>
      <c r="AK913" s="90" t="str">
        <f t="shared" si="262"/>
        <v/>
      </c>
      <c r="AL913" s="91">
        <f>IF(AK913="Adjust",(_xlfn.XLOOKUP(A913,'Adj factor'!A:A,'Adj factor'!I:I,,0)*AI913),'Master DataSheet'!AI913)</f>
        <v>0</v>
      </c>
      <c r="AM913" s="91">
        <f t="shared" si="263"/>
        <v>0</v>
      </c>
      <c r="AN913" s="92" t="str">
        <f t="shared" si="264"/>
        <v>No change</v>
      </c>
      <c r="AO913" s="93">
        <f>VLOOKUP(B913,'Growthrates source'!A$2:H$49,8,FALSE)</f>
        <v>-0.16643545882510058</v>
      </c>
      <c r="AP913" s="93">
        <f>VLOOKUP(B913,'Growthrates source'!A$2:I$49,9,FALSE)</f>
        <v>0.34338657876279233</v>
      </c>
      <c r="AQ913" s="86">
        <f t="shared" si="265"/>
        <v>0</v>
      </c>
      <c r="AR913" s="86">
        <f t="shared" si="266"/>
        <v>0</v>
      </c>
      <c r="AS913" s="94">
        <f t="shared" si="267"/>
        <v>0</v>
      </c>
      <c r="AT913" s="94">
        <f t="shared" si="268"/>
        <v>0</v>
      </c>
      <c r="AU913" s="94">
        <f t="shared" si="269"/>
        <v>0</v>
      </c>
    </row>
    <row r="914" spans="1:48" x14ac:dyDescent="0.3">
      <c r="A914" s="85" t="str">
        <f>_xlfn.XLOOKUP(B914,'Country codes &amp; Data sources'!G:G,'Country codes &amp; Data sources'!H:H,,0)</f>
        <v>Eswatini</v>
      </c>
      <c r="B914" s="85" t="s">
        <v>159</v>
      </c>
      <c r="C914" s="86">
        <v>1111443.9999999998</v>
      </c>
      <c r="D914" s="85" t="s">
        <v>321</v>
      </c>
      <c r="E914" s="87">
        <v>0</v>
      </c>
      <c r="F914" s="88">
        <v>1118318.9999999998</v>
      </c>
      <c r="G914" s="87">
        <v>0</v>
      </c>
      <c r="H914" s="87">
        <v>1125865.0000000005</v>
      </c>
      <c r="I914" s="87">
        <v>0</v>
      </c>
      <c r="J914" s="87">
        <v>1133935.9999999998</v>
      </c>
      <c r="K914" s="87">
        <v>0</v>
      </c>
      <c r="L914" s="87">
        <v>1142524</v>
      </c>
      <c r="M914" s="87">
        <v>220</v>
      </c>
      <c r="N914" s="87">
        <v>1151390.5000000002</v>
      </c>
      <c r="O914" s="87">
        <v>425</v>
      </c>
      <c r="P914" s="88">
        <v>1160427.5</v>
      </c>
      <c r="Q914" s="87">
        <v>556</v>
      </c>
      <c r="R914" s="87">
        <f t="shared" si="252"/>
        <v>556</v>
      </c>
      <c r="S914" s="87">
        <v>1169612.9999999998</v>
      </c>
      <c r="T914" s="87">
        <v>0</v>
      </c>
      <c r="U914" s="87">
        <v>1180654.9999999998</v>
      </c>
      <c r="V914" s="87">
        <v>330</v>
      </c>
      <c r="W914" s="87">
        <v>1192271.0000000002</v>
      </c>
      <c r="X914" s="87">
        <v>0</v>
      </c>
      <c r="Y914" s="88">
        <v>1201670.4999999995</v>
      </c>
      <c r="Z914" s="103">
        <v>687</v>
      </c>
      <c r="AA914" s="87">
        <v>278</v>
      </c>
      <c r="AB914" s="89">
        <f t="shared" si="253"/>
        <v>0</v>
      </c>
      <c r="AC914" s="89">
        <f t="shared" si="254"/>
        <v>556</v>
      </c>
      <c r="AD914" s="89">
        <f t="shared" si="255"/>
        <v>687</v>
      </c>
      <c r="AE914" s="90">
        <f t="shared" si="256"/>
        <v>0</v>
      </c>
      <c r="AF914" s="90" t="str">
        <f t="shared" si="257"/>
        <v/>
      </c>
      <c r="AG914" s="90">
        <f t="shared" si="258"/>
        <v>556</v>
      </c>
      <c r="AH914" s="90">
        <f t="shared" si="259"/>
        <v>2018</v>
      </c>
      <c r="AI914" s="90">
        <f t="shared" si="260"/>
        <v>687</v>
      </c>
      <c r="AJ914" s="90">
        <f t="shared" si="261"/>
        <v>2022</v>
      </c>
      <c r="AK914" s="90" t="str">
        <f t="shared" si="262"/>
        <v/>
      </c>
      <c r="AL914" s="91">
        <f>IF(AK914="Adjust",(_xlfn.XLOOKUP(A914,'Adj factor'!A:A,'Adj factor'!I:I,,0)*AI914),'Master DataSheet'!AI914)</f>
        <v>687</v>
      </c>
      <c r="AM914" s="91">
        <f t="shared" si="263"/>
        <v>687</v>
      </c>
      <c r="AN914" s="92" t="str">
        <f t="shared" si="264"/>
        <v>Increasing</v>
      </c>
      <c r="AO914" s="93">
        <f>VLOOKUP(B914,'Growthrates source'!A$2:H$49,8,FALSE)</f>
        <v>-0.11185567778326533</v>
      </c>
      <c r="AP914" s="93">
        <f>VLOOKUP(B914,'Growthrates source'!A$2:I$49,9,FALSE)</f>
        <v>0.45661638376408309</v>
      </c>
      <c r="AQ914" s="86">
        <f t="shared" si="265"/>
        <v>486.33588306521307</v>
      </c>
      <c r="AR914" s="86">
        <f t="shared" si="266"/>
        <v>1093.862473154031</v>
      </c>
      <c r="AS914" s="94">
        <f t="shared" si="267"/>
        <v>0</v>
      </c>
      <c r="AT914" s="94">
        <f t="shared" si="268"/>
        <v>4.791337675124038</v>
      </c>
      <c r="AU914" s="94">
        <f t="shared" si="269"/>
        <v>5.7170414019483733</v>
      </c>
    </row>
    <row r="915" spans="1:48" x14ac:dyDescent="0.3">
      <c r="A915" s="85" t="str">
        <f>_xlfn.XLOOKUP(B915,'Country codes &amp; Data sources'!G:G,'Country codes &amp; Data sources'!H:H,,0)</f>
        <v>Eswatini</v>
      </c>
      <c r="B915" s="85" t="s">
        <v>159</v>
      </c>
      <c r="C915" s="86">
        <v>1111445</v>
      </c>
      <c r="D915" s="85" t="s">
        <v>322</v>
      </c>
      <c r="E915" s="87">
        <v>0</v>
      </c>
      <c r="F915" s="88">
        <v>1118318.9999999998</v>
      </c>
      <c r="G915" s="87">
        <v>7470</v>
      </c>
      <c r="I915" s="87">
        <v>7694</v>
      </c>
      <c r="K915" s="87">
        <v>7952</v>
      </c>
      <c r="M915" s="87">
        <v>8400</v>
      </c>
      <c r="O915" s="87">
        <v>8862</v>
      </c>
      <c r="P915" s="88">
        <v>1160427.5</v>
      </c>
      <c r="Q915" s="87">
        <v>9412</v>
      </c>
      <c r="R915" s="87">
        <f t="shared" si="252"/>
        <v>9412</v>
      </c>
      <c r="T915" s="87">
        <v>0</v>
      </c>
      <c r="V915" s="87">
        <v>6881</v>
      </c>
      <c r="X915" s="87">
        <v>0</v>
      </c>
      <c r="Y915" s="88">
        <v>1201670.4999999995</v>
      </c>
      <c r="Z915" s="103">
        <v>5242</v>
      </c>
      <c r="AA915" s="87">
        <v>2204</v>
      </c>
      <c r="AB915" s="89">
        <f t="shared" si="253"/>
        <v>7952</v>
      </c>
      <c r="AC915" s="89">
        <f t="shared" si="254"/>
        <v>9412</v>
      </c>
      <c r="AD915" s="89">
        <f t="shared" si="255"/>
        <v>6881</v>
      </c>
      <c r="AE915" s="90">
        <f t="shared" si="256"/>
        <v>7470</v>
      </c>
      <c r="AF915" s="90">
        <f t="shared" si="257"/>
        <v>2013</v>
      </c>
      <c r="AG915" s="90">
        <f t="shared" si="258"/>
        <v>9412</v>
      </c>
      <c r="AH915" s="90">
        <f t="shared" si="259"/>
        <v>2018</v>
      </c>
      <c r="AI915" s="90">
        <f t="shared" si="260"/>
        <v>5242</v>
      </c>
      <c r="AJ915" s="90">
        <f t="shared" si="261"/>
        <v>2022</v>
      </c>
      <c r="AK915" s="90" t="str">
        <f t="shared" si="262"/>
        <v>Adjust</v>
      </c>
      <c r="AL915" s="91">
        <f>IF(AK915="Adjust",(_xlfn.XLOOKUP(A915,'Adj factor'!A:A,'Adj factor'!I:I,,0)*AI915),'Master DataSheet'!AI915)</f>
        <v>7513.1470222467879</v>
      </c>
      <c r="AM915" s="91">
        <f t="shared" si="263"/>
        <v>9412</v>
      </c>
      <c r="AN915" s="92" t="str">
        <f t="shared" si="264"/>
        <v>Decreasing</v>
      </c>
      <c r="AO915" s="93">
        <f>VLOOKUP(B915,'Growthrates source'!A$2:H$49,8,FALSE)</f>
        <v>-0.11185567778326533</v>
      </c>
      <c r="AP915" s="93">
        <f>VLOOKUP(B915,'Growthrates source'!A$2:I$49,9,FALSE)</f>
        <v>0.45661638376408309</v>
      </c>
      <c r="AQ915" s="86">
        <f t="shared" si="265"/>
        <v>3855.6988714954305</v>
      </c>
      <c r="AR915" s="86">
        <f t="shared" si="266"/>
        <v>8672.2046432787211</v>
      </c>
      <c r="AS915" s="94">
        <f t="shared" si="267"/>
        <v>66.796683236178595</v>
      </c>
      <c r="AT915" s="94">
        <f t="shared" si="268"/>
        <v>81.108039924941451</v>
      </c>
      <c r="AU915" s="94">
        <f t="shared" si="269"/>
        <v>78.324299381569276</v>
      </c>
    </row>
    <row r="916" spans="1:48" x14ac:dyDescent="0.3">
      <c r="A916" s="85" t="str">
        <f>_xlfn.XLOOKUP(B916,'Country codes &amp; Data sources'!G:G,'Country codes &amp; Data sources'!H:H,,0)</f>
        <v>Eswatini</v>
      </c>
      <c r="B916" s="85" t="s">
        <v>159</v>
      </c>
      <c r="C916" s="86">
        <v>1111446</v>
      </c>
      <c r="D916" s="85" t="s">
        <v>323</v>
      </c>
      <c r="E916" s="87">
        <v>0</v>
      </c>
      <c r="F916" s="88">
        <v>1118318.9999999998</v>
      </c>
      <c r="G916" s="87">
        <v>0</v>
      </c>
      <c r="I916" s="87">
        <v>0</v>
      </c>
      <c r="K916" s="87">
        <v>0</v>
      </c>
      <c r="M916" s="87">
        <v>0</v>
      </c>
      <c r="O916" s="87">
        <v>0</v>
      </c>
      <c r="P916" s="88">
        <v>1160427.5</v>
      </c>
      <c r="Q916" s="87">
        <v>0</v>
      </c>
      <c r="R916" s="87">
        <f t="shared" si="252"/>
        <v>14</v>
      </c>
      <c r="T916" s="87">
        <v>0</v>
      </c>
      <c r="V916" s="87">
        <v>0</v>
      </c>
      <c r="X916" s="87">
        <v>0</v>
      </c>
      <c r="Y916" s="88">
        <v>1201670.4999999995</v>
      </c>
      <c r="Z916" s="87">
        <v>0</v>
      </c>
      <c r="AA916" s="87">
        <v>14</v>
      </c>
      <c r="AB916" s="89">
        <f t="shared" si="253"/>
        <v>0</v>
      </c>
      <c r="AC916" s="89">
        <f t="shared" si="254"/>
        <v>0</v>
      </c>
      <c r="AD916" s="89">
        <f t="shared" si="255"/>
        <v>0</v>
      </c>
      <c r="AE916" s="90">
        <f t="shared" si="256"/>
        <v>0</v>
      </c>
      <c r="AF916" s="90" t="str">
        <f t="shared" si="257"/>
        <v/>
      </c>
      <c r="AG916" s="90">
        <f t="shared" si="258"/>
        <v>14</v>
      </c>
      <c r="AH916" s="90" t="str">
        <f t="shared" si="259"/>
        <v>2018 (triag)</v>
      </c>
      <c r="AI916" s="90">
        <f t="shared" si="260"/>
        <v>14</v>
      </c>
      <c r="AJ916" s="90" t="str">
        <f t="shared" si="261"/>
        <v>2018 (triag)</v>
      </c>
      <c r="AK916" s="90" t="str">
        <f t="shared" si="262"/>
        <v/>
      </c>
      <c r="AL916" s="91">
        <f>IF(AK916="Adjust",(_xlfn.XLOOKUP(A916,'Adj factor'!A:A,'Adj factor'!I:I,,0)*AI916),'Master DataSheet'!AI916)</f>
        <v>14</v>
      </c>
      <c r="AM916" s="91">
        <f t="shared" si="263"/>
        <v>14</v>
      </c>
      <c r="AN916" s="92" t="str">
        <f t="shared" si="264"/>
        <v>No change</v>
      </c>
      <c r="AO916" s="93">
        <f>VLOOKUP(B916,'Growthrates source'!A$2:H$49,8,FALSE)</f>
        <v>-0.11185567778326533</v>
      </c>
      <c r="AP916" s="93">
        <f>VLOOKUP(B916,'Growthrates source'!A$2:I$49,9,FALSE)</f>
        <v>0.45661638376408309</v>
      </c>
      <c r="AQ916" s="86">
        <f t="shared" si="265"/>
        <v>24.491735118392025</v>
      </c>
      <c r="AR916" s="86">
        <f t="shared" si="266"/>
        <v>55.086599367469191</v>
      </c>
      <c r="AS916" s="94">
        <f t="shared" si="267"/>
        <v>0</v>
      </c>
      <c r="AT916" s="94">
        <f t="shared" si="268"/>
        <v>0.12064519325851895</v>
      </c>
      <c r="AU916" s="94">
        <f t="shared" si="269"/>
        <v>0.11650448271801633</v>
      </c>
    </row>
    <row r="917" spans="1:48" s="95" customFormat="1" x14ac:dyDescent="0.3">
      <c r="A917" s="95" t="str">
        <f>_xlfn.XLOOKUP(B917,'Country codes &amp; Data sources'!G:G,'Country codes &amp; Data sources'!H:H,,0)</f>
        <v>Eswatini</v>
      </c>
      <c r="B917" s="95" t="s">
        <v>159</v>
      </c>
      <c r="C917" s="60">
        <v>1111447</v>
      </c>
      <c r="D917" s="95" t="s">
        <v>324</v>
      </c>
      <c r="E917" s="96">
        <v>3320</v>
      </c>
      <c r="F917" s="97">
        <v>1118318.9999999998</v>
      </c>
      <c r="G917" s="96">
        <v>0</v>
      </c>
      <c r="H917" s="96"/>
      <c r="I917" s="96">
        <v>488</v>
      </c>
      <c r="J917" s="96"/>
      <c r="K917" s="96">
        <v>65</v>
      </c>
      <c r="L917" s="96"/>
      <c r="M917" s="96">
        <v>0</v>
      </c>
      <c r="N917" s="96"/>
      <c r="O917" s="96">
        <v>0</v>
      </c>
      <c r="P917" s="97">
        <v>1160427.5</v>
      </c>
      <c r="Q917" s="96">
        <v>921</v>
      </c>
      <c r="R917" s="96">
        <f t="shared" si="252"/>
        <v>921</v>
      </c>
      <c r="S917" s="96"/>
      <c r="T917" s="96">
        <v>0</v>
      </c>
      <c r="U917" s="96"/>
      <c r="V917" s="96">
        <v>0</v>
      </c>
      <c r="W917" s="96"/>
      <c r="X917" s="96">
        <v>0</v>
      </c>
      <c r="Y917" s="97">
        <v>1201670.4999999995</v>
      </c>
      <c r="Z917" s="105">
        <v>42</v>
      </c>
      <c r="AA917" s="96">
        <v>281</v>
      </c>
      <c r="AB917" s="98">
        <f t="shared" si="253"/>
        <v>3320</v>
      </c>
      <c r="AC917" s="98">
        <f t="shared" si="254"/>
        <v>921</v>
      </c>
      <c r="AD917" s="98">
        <f t="shared" si="255"/>
        <v>42</v>
      </c>
      <c r="AE917" s="99">
        <f t="shared" si="256"/>
        <v>3320</v>
      </c>
      <c r="AF917" s="99">
        <f t="shared" si="257"/>
        <v>2012</v>
      </c>
      <c r="AG917" s="99">
        <f t="shared" si="258"/>
        <v>921</v>
      </c>
      <c r="AH917" s="99">
        <f t="shared" si="259"/>
        <v>2018</v>
      </c>
      <c r="AI917" s="99">
        <f t="shared" si="260"/>
        <v>42</v>
      </c>
      <c r="AJ917" s="99">
        <f t="shared" si="261"/>
        <v>2022</v>
      </c>
      <c r="AK917" s="99" t="str">
        <f t="shared" si="262"/>
        <v>Adjust</v>
      </c>
      <c r="AL917" s="61">
        <f>IF(AK917="Adjust",(_xlfn.XLOOKUP(A917,'Adj factor'!A:A,'Adj factor'!I:I,,0)*AI917),'Master DataSheet'!AI917)</f>
        <v>60.196904794804482</v>
      </c>
      <c r="AM917" s="61">
        <f t="shared" si="263"/>
        <v>921</v>
      </c>
      <c r="AN917" s="62" t="str">
        <f t="shared" si="264"/>
        <v>Decreasing</v>
      </c>
      <c r="AO917" s="100">
        <f>VLOOKUP(B917,'Growthrates source'!A$2:H$49,8,FALSE)</f>
        <v>-0.11185567778326533</v>
      </c>
      <c r="AP917" s="100">
        <f>VLOOKUP(B917,'Growthrates source'!A$2:I$49,9,FALSE)</f>
        <v>0.45661638376408309</v>
      </c>
      <c r="AQ917" s="60">
        <f t="shared" si="265"/>
        <v>491.58411201915425</v>
      </c>
      <c r="AR917" s="60">
        <f t="shared" si="266"/>
        <v>1105.6667444470602</v>
      </c>
      <c r="AS917" s="101">
        <f t="shared" si="267"/>
        <v>29.687414771634934</v>
      </c>
      <c r="AT917" s="101">
        <f t="shared" si="268"/>
        <v>7.9367302136497111</v>
      </c>
      <c r="AU917" s="101">
        <f t="shared" si="269"/>
        <v>7.6643306130923605</v>
      </c>
      <c r="AV917" s="117"/>
    </row>
    <row r="918" spans="1:48" s="95" customFormat="1" x14ac:dyDescent="0.3">
      <c r="A918" s="95" t="str">
        <f>_xlfn.XLOOKUP(B918,'Country codes &amp; Data sources'!G:G,'Country codes &amp; Data sources'!H:H,,0)</f>
        <v>Eswatini</v>
      </c>
      <c r="B918" s="95" t="s">
        <v>159</v>
      </c>
      <c r="C918" s="60">
        <v>1111448</v>
      </c>
      <c r="D918" s="95" t="s">
        <v>325</v>
      </c>
      <c r="E918" s="96">
        <v>768</v>
      </c>
      <c r="F918" s="97">
        <v>1118318.9999999998</v>
      </c>
      <c r="G918" s="96">
        <v>0</v>
      </c>
      <c r="H918" s="96"/>
      <c r="I918" s="96">
        <v>214</v>
      </c>
      <c r="J918" s="96"/>
      <c r="K918" s="96">
        <v>13</v>
      </c>
      <c r="L918" s="96"/>
      <c r="M918" s="96">
        <v>0</v>
      </c>
      <c r="N918" s="96"/>
      <c r="O918" s="96">
        <v>0</v>
      </c>
      <c r="P918" s="97">
        <v>1160427.5</v>
      </c>
      <c r="Q918" s="96">
        <v>275</v>
      </c>
      <c r="R918" s="96">
        <f t="shared" si="252"/>
        <v>275</v>
      </c>
      <c r="S918" s="96"/>
      <c r="T918" s="96">
        <v>0</v>
      </c>
      <c r="U918" s="96"/>
      <c r="V918" s="96">
        <v>0</v>
      </c>
      <c r="W918" s="96"/>
      <c r="X918" s="96">
        <v>0</v>
      </c>
      <c r="Y918" s="97">
        <v>1201670.4999999995</v>
      </c>
      <c r="Z918" s="105">
        <v>35</v>
      </c>
      <c r="AA918" s="96">
        <v>74</v>
      </c>
      <c r="AB918" s="98">
        <f t="shared" si="253"/>
        <v>768</v>
      </c>
      <c r="AC918" s="98">
        <f t="shared" si="254"/>
        <v>275</v>
      </c>
      <c r="AD918" s="98">
        <f t="shared" si="255"/>
        <v>35</v>
      </c>
      <c r="AE918" s="99">
        <f t="shared" si="256"/>
        <v>768</v>
      </c>
      <c r="AF918" s="99">
        <f t="shared" si="257"/>
        <v>2012</v>
      </c>
      <c r="AG918" s="99">
        <f t="shared" si="258"/>
        <v>275</v>
      </c>
      <c r="AH918" s="99">
        <f t="shared" si="259"/>
        <v>2018</v>
      </c>
      <c r="AI918" s="99">
        <f t="shared" si="260"/>
        <v>35</v>
      </c>
      <c r="AJ918" s="99">
        <f t="shared" si="261"/>
        <v>2022</v>
      </c>
      <c r="AK918" s="99" t="str">
        <f t="shared" si="262"/>
        <v>Adjust</v>
      </c>
      <c r="AL918" s="61">
        <f>IF(AK918="Adjust",(_xlfn.XLOOKUP(A918,'Adj factor'!A:A,'Adj factor'!I:I,,0)*AI918),'Master DataSheet'!AI918)</f>
        <v>50.164087329003735</v>
      </c>
      <c r="AM918" s="61">
        <f t="shared" si="263"/>
        <v>275</v>
      </c>
      <c r="AN918" s="62" t="str">
        <f t="shared" si="264"/>
        <v>Decreasing</v>
      </c>
      <c r="AO918" s="100">
        <f>VLOOKUP(B918,'Growthrates source'!A$2:H$49,8,FALSE)</f>
        <v>-0.11185567778326533</v>
      </c>
      <c r="AP918" s="100">
        <f>VLOOKUP(B918,'Growthrates source'!A$2:I$49,9,FALSE)</f>
        <v>0.45661638376408309</v>
      </c>
      <c r="AQ918" s="60">
        <f t="shared" si="265"/>
        <v>129.45631419721499</v>
      </c>
      <c r="AR918" s="60">
        <f t="shared" si="266"/>
        <v>291.17202522805144</v>
      </c>
      <c r="AS918" s="101">
        <f t="shared" si="267"/>
        <v>6.8674501640408518</v>
      </c>
      <c r="AT918" s="102">
        <f t="shared" si="268"/>
        <v>2.3698162961494793</v>
      </c>
      <c r="AU918" s="102">
        <f t="shared" si="269"/>
        <v>2.2884809105324639</v>
      </c>
      <c r="AV918" s="117"/>
    </row>
    <row r="919" spans="1:48" x14ac:dyDescent="0.3">
      <c r="A919" s="85" t="str">
        <f>_xlfn.XLOOKUP(B919,'Country codes &amp; Data sources'!G:G,'Country codes &amp; Data sources'!H:H,,0)</f>
        <v>Eswatini</v>
      </c>
      <c r="B919" s="85" t="s">
        <v>159</v>
      </c>
      <c r="C919" s="86">
        <v>1111449</v>
      </c>
      <c r="D919" s="85" t="s">
        <v>127</v>
      </c>
      <c r="E919" s="87">
        <v>0</v>
      </c>
      <c r="F919" s="88">
        <v>1118318.9999999998</v>
      </c>
      <c r="G919" s="87">
        <v>0</v>
      </c>
      <c r="I919" s="87">
        <v>0</v>
      </c>
      <c r="K919" s="87">
        <v>0</v>
      </c>
      <c r="M919" s="87">
        <v>0</v>
      </c>
      <c r="O919" s="87">
        <v>0</v>
      </c>
      <c r="P919" s="88">
        <v>1160427.5</v>
      </c>
      <c r="Q919" s="87">
        <v>6324</v>
      </c>
      <c r="R919" s="87">
        <f t="shared" si="252"/>
        <v>6324</v>
      </c>
      <c r="T919" s="87">
        <v>0</v>
      </c>
      <c r="V919" s="87">
        <v>5386</v>
      </c>
      <c r="X919" s="87">
        <v>0</v>
      </c>
      <c r="Y919" s="88">
        <v>1201670.4999999995</v>
      </c>
      <c r="Z919" s="105">
        <v>3200</v>
      </c>
      <c r="AA919" s="87">
        <v>6324</v>
      </c>
      <c r="AB919" s="89">
        <f t="shared" si="253"/>
        <v>0</v>
      </c>
      <c r="AC919" s="89">
        <f t="shared" si="254"/>
        <v>6324</v>
      </c>
      <c r="AD919" s="89">
        <f t="shared" si="255"/>
        <v>5386</v>
      </c>
      <c r="AE919" s="90">
        <f t="shared" si="256"/>
        <v>0</v>
      </c>
      <c r="AF919" s="90" t="str">
        <f t="shared" si="257"/>
        <v/>
      </c>
      <c r="AG919" s="90">
        <f t="shared" si="258"/>
        <v>6324</v>
      </c>
      <c r="AH919" s="90">
        <f t="shared" si="259"/>
        <v>2018</v>
      </c>
      <c r="AI919" s="90">
        <f t="shared" si="260"/>
        <v>3200</v>
      </c>
      <c r="AJ919" s="90">
        <f t="shared" si="261"/>
        <v>2022</v>
      </c>
      <c r="AK919" s="90" t="str">
        <f t="shared" si="262"/>
        <v>Adjust</v>
      </c>
      <c r="AL919" s="91">
        <f>IF(AK919="Adjust",(_xlfn.XLOOKUP(A919,'Adj factor'!A:A,'Adj factor'!I:I,,0)*AI919),'Master DataSheet'!AI919)</f>
        <v>4586.4308415089126</v>
      </c>
      <c r="AM919" s="91">
        <f t="shared" si="263"/>
        <v>6324</v>
      </c>
      <c r="AN919" s="92" t="str">
        <f t="shared" si="264"/>
        <v>Decreasing</v>
      </c>
      <c r="AO919" s="93">
        <f>VLOOKUP(B919,'Growthrates source'!A$2:H$49,8,FALSE)</f>
        <v>-0.11185567778326533</v>
      </c>
      <c r="AP919" s="93">
        <f>VLOOKUP(B919,'Growthrates source'!A$2:I$49,9,FALSE)</f>
        <v>0.45661638376408309</v>
      </c>
      <c r="AQ919" s="86">
        <f t="shared" si="265"/>
        <v>11063.266634907941</v>
      </c>
      <c r="AR919" s="86">
        <f t="shared" si="266"/>
        <v>24883.403885705367</v>
      </c>
      <c r="AS919" s="94">
        <f t="shared" si="267"/>
        <v>0</v>
      </c>
      <c r="AT919" s="94">
        <f t="shared" si="268"/>
        <v>54.497157297633848</v>
      </c>
      <c r="AU919" s="94">
        <f t="shared" si="269"/>
        <v>52.626739193481093</v>
      </c>
    </row>
    <row r="920" spans="1:48" s="95" customFormat="1" x14ac:dyDescent="0.3">
      <c r="A920" s="95" t="str">
        <f>_xlfn.XLOOKUP(B920,'Country codes &amp; Data sources'!G:G,'Country codes &amp; Data sources'!H:H,,0)</f>
        <v>Eswatini</v>
      </c>
      <c r="B920" s="95" t="s">
        <v>159</v>
      </c>
      <c r="C920" s="60">
        <v>1111450</v>
      </c>
      <c r="D920" s="95" t="s">
        <v>61</v>
      </c>
      <c r="E920" s="96">
        <v>0</v>
      </c>
      <c r="F920" s="97">
        <v>1118318.9999999998</v>
      </c>
      <c r="G920" s="96">
        <v>0</v>
      </c>
      <c r="H920" s="96"/>
      <c r="I920" s="96">
        <v>0</v>
      </c>
      <c r="J920" s="96"/>
      <c r="K920" s="96">
        <v>15</v>
      </c>
      <c r="L920" s="96"/>
      <c r="M920" s="96">
        <v>0</v>
      </c>
      <c r="N920" s="96"/>
      <c r="O920" s="96">
        <v>0</v>
      </c>
      <c r="P920" s="97">
        <v>1160427.5</v>
      </c>
      <c r="Q920" s="96">
        <v>31</v>
      </c>
      <c r="R920" s="96">
        <f t="shared" si="252"/>
        <v>31</v>
      </c>
      <c r="S920" s="96"/>
      <c r="T920" s="96">
        <v>0</v>
      </c>
      <c r="U920" s="96"/>
      <c r="V920" s="96">
        <v>0</v>
      </c>
      <c r="W920" s="96"/>
      <c r="X920" s="96">
        <v>0</v>
      </c>
      <c r="Y920" s="97">
        <v>1201670.4999999995</v>
      </c>
      <c r="Z920" s="105">
        <v>10</v>
      </c>
      <c r="AA920" s="96">
        <v>0</v>
      </c>
      <c r="AB920" s="98">
        <f t="shared" si="253"/>
        <v>15</v>
      </c>
      <c r="AC920" s="98">
        <f t="shared" si="254"/>
        <v>31</v>
      </c>
      <c r="AD920" s="98">
        <f t="shared" si="255"/>
        <v>10</v>
      </c>
      <c r="AE920" s="99">
        <f t="shared" si="256"/>
        <v>15</v>
      </c>
      <c r="AF920" s="99">
        <f t="shared" si="257"/>
        <v>2015</v>
      </c>
      <c r="AG920" s="99">
        <f t="shared" si="258"/>
        <v>31</v>
      </c>
      <c r="AH920" s="99">
        <f t="shared" si="259"/>
        <v>2018</v>
      </c>
      <c r="AI920" s="99">
        <f t="shared" si="260"/>
        <v>10</v>
      </c>
      <c r="AJ920" s="99">
        <f t="shared" si="261"/>
        <v>2022</v>
      </c>
      <c r="AK920" s="99" t="str">
        <f t="shared" si="262"/>
        <v>Adjust</v>
      </c>
      <c r="AL920" s="61">
        <f>IF(AK920="Adjust",(_xlfn.XLOOKUP(A920,'Adj factor'!A:A,'Adj factor'!I:I,,0)*AI920),'Master DataSheet'!AI920)</f>
        <v>14.332596379715351</v>
      </c>
      <c r="AM920" s="61">
        <f t="shared" si="263"/>
        <v>31</v>
      </c>
      <c r="AN920" s="62" t="str">
        <f t="shared" si="264"/>
        <v>Decreasing</v>
      </c>
      <c r="AO920" s="100">
        <f>VLOOKUP(B920,'Growthrates source'!A$2:H$49,8,FALSE)</f>
        <v>-0.11185567778326533</v>
      </c>
      <c r="AP920" s="100">
        <f>VLOOKUP(B920,'Growthrates source'!A$2:I$49,9,FALSE)</f>
        <v>0.45661638376408309</v>
      </c>
      <c r="AQ920" s="60">
        <f t="shared" si="265"/>
        <v>0</v>
      </c>
      <c r="AR920" s="60">
        <f t="shared" si="266"/>
        <v>0</v>
      </c>
      <c r="AS920" s="102">
        <f t="shared" si="267"/>
        <v>0.13412988601642289</v>
      </c>
      <c r="AT920" s="102">
        <f t="shared" si="268"/>
        <v>0.26714292792957767</v>
      </c>
      <c r="AU920" s="101">
        <f t="shared" si="269"/>
        <v>0.25797421173275048</v>
      </c>
    </row>
    <row r="921" spans="1:48" s="95" customFormat="1" x14ac:dyDescent="0.3">
      <c r="A921" s="95" t="str">
        <f>_xlfn.XLOOKUP(B921,'Country codes &amp; Data sources'!G:G,'Country codes &amp; Data sources'!H:H,,0)</f>
        <v>Eswatini</v>
      </c>
      <c r="B921" s="95" t="s">
        <v>159</v>
      </c>
      <c r="C921" s="60">
        <v>1111451</v>
      </c>
      <c r="D921" s="95" t="s">
        <v>62</v>
      </c>
      <c r="E921" s="96">
        <v>4646</v>
      </c>
      <c r="F921" s="97">
        <v>1118318.9999999998</v>
      </c>
      <c r="G921" s="96">
        <v>0</v>
      </c>
      <c r="H921" s="96"/>
      <c r="I921" s="96">
        <v>234</v>
      </c>
      <c r="J921" s="96"/>
      <c r="K921" s="96">
        <v>428</v>
      </c>
      <c r="L921" s="96"/>
      <c r="M921" s="96">
        <v>0</v>
      </c>
      <c r="N921" s="96"/>
      <c r="O921" s="96">
        <v>0</v>
      </c>
      <c r="P921" s="97">
        <v>1160427.5</v>
      </c>
      <c r="Q921" s="96">
        <v>275</v>
      </c>
      <c r="R921" s="96">
        <f t="shared" si="252"/>
        <v>275</v>
      </c>
      <c r="S921" s="96"/>
      <c r="T921" s="96">
        <v>0</v>
      </c>
      <c r="U921" s="96"/>
      <c r="V921" s="96">
        <v>0</v>
      </c>
      <c r="W921" s="96"/>
      <c r="X921" s="96">
        <v>0</v>
      </c>
      <c r="Y921" s="97">
        <v>1201670.4999999995</v>
      </c>
      <c r="Z921" s="105">
        <v>83</v>
      </c>
      <c r="AA921" s="96">
        <v>187</v>
      </c>
      <c r="AB921" s="98">
        <f t="shared" si="253"/>
        <v>4646</v>
      </c>
      <c r="AC921" s="98">
        <f t="shared" si="254"/>
        <v>275</v>
      </c>
      <c r="AD921" s="98">
        <f t="shared" si="255"/>
        <v>83</v>
      </c>
      <c r="AE921" s="99">
        <f t="shared" si="256"/>
        <v>4646</v>
      </c>
      <c r="AF921" s="99">
        <f t="shared" si="257"/>
        <v>2012</v>
      </c>
      <c r="AG921" s="99">
        <f t="shared" si="258"/>
        <v>275</v>
      </c>
      <c r="AH921" s="99">
        <f t="shared" si="259"/>
        <v>2018</v>
      </c>
      <c r="AI921" s="99">
        <f t="shared" si="260"/>
        <v>83</v>
      </c>
      <c r="AJ921" s="99">
        <f t="shared" si="261"/>
        <v>2022</v>
      </c>
      <c r="AK921" s="99" t="str">
        <f t="shared" si="262"/>
        <v>Adjust</v>
      </c>
      <c r="AL921" s="61">
        <f>IF(AK921="Adjust",(_xlfn.XLOOKUP(A921,'Adj factor'!A:A,'Adj factor'!I:I,,0)*AI921),'Master DataSheet'!AI921)</f>
        <v>118.96054995163742</v>
      </c>
      <c r="AM921" s="61">
        <f t="shared" si="263"/>
        <v>275</v>
      </c>
      <c r="AN921" s="62" t="str">
        <f t="shared" si="264"/>
        <v>Decreasing</v>
      </c>
      <c r="AO921" s="100">
        <f>VLOOKUP(B921,'Growthrates source'!A$2:H$49,8,FALSE)</f>
        <v>-0.11185567778326533</v>
      </c>
      <c r="AP921" s="100">
        <f>VLOOKUP(B921,'Growthrates source'!A$2:I$49,9,FALSE)</f>
        <v>0.45661638376408309</v>
      </c>
      <c r="AQ921" s="60">
        <f t="shared" si="265"/>
        <v>327.13960479566492</v>
      </c>
      <c r="AR921" s="60">
        <f t="shared" si="266"/>
        <v>735.79957726548139</v>
      </c>
      <c r="AS921" s="101">
        <f t="shared" si="267"/>
        <v>41.544496695486714</v>
      </c>
      <c r="AT921" s="102">
        <f t="shared" si="268"/>
        <v>2.3698162961494793</v>
      </c>
      <c r="AU921" s="102">
        <f t="shared" si="269"/>
        <v>2.2884809105324639</v>
      </c>
    </row>
    <row r="922" spans="1:48" x14ac:dyDescent="0.3">
      <c r="A922" s="85" t="str">
        <f>_xlfn.XLOOKUP(B922,'Country codes &amp; Data sources'!G:G,'Country codes &amp; Data sources'!H:H,,0)</f>
        <v>Eswatini</v>
      </c>
      <c r="B922" s="85" t="s">
        <v>159</v>
      </c>
      <c r="C922" s="86">
        <v>1111452</v>
      </c>
      <c r="D922" s="85" t="s">
        <v>203</v>
      </c>
      <c r="E922" s="87">
        <v>0</v>
      </c>
      <c r="F922" s="88">
        <v>1118318.9999999998</v>
      </c>
      <c r="G922" s="87">
        <v>0</v>
      </c>
      <c r="I922" s="87">
        <v>0</v>
      </c>
      <c r="K922" s="87">
        <v>0</v>
      </c>
      <c r="M922" s="87">
        <v>0</v>
      </c>
      <c r="O922" s="87">
        <v>0</v>
      </c>
      <c r="P922" s="88">
        <v>1160427.5</v>
      </c>
      <c r="Q922" s="87">
        <v>0</v>
      </c>
      <c r="R922" s="87">
        <f t="shared" si="252"/>
        <v>927</v>
      </c>
      <c r="T922" s="87">
        <v>0</v>
      </c>
      <c r="V922" s="87">
        <v>0</v>
      </c>
      <c r="X922" s="87">
        <v>0</v>
      </c>
      <c r="Y922" s="88">
        <v>1201670.4999999995</v>
      </c>
      <c r="Z922" s="87">
        <v>0</v>
      </c>
      <c r="AA922" s="87">
        <v>927</v>
      </c>
      <c r="AB922" s="89">
        <f t="shared" si="253"/>
        <v>0</v>
      </c>
      <c r="AC922" s="89">
        <f t="shared" si="254"/>
        <v>0</v>
      </c>
      <c r="AD922" s="89">
        <f t="shared" si="255"/>
        <v>0</v>
      </c>
      <c r="AE922" s="90">
        <f t="shared" si="256"/>
        <v>0</v>
      </c>
      <c r="AF922" s="90" t="str">
        <f t="shared" si="257"/>
        <v/>
      </c>
      <c r="AG922" s="90">
        <f t="shared" si="258"/>
        <v>927</v>
      </c>
      <c r="AH922" s="90" t="str">
        <f t="shared" si="259"/>
        <v>2018 (triag)</v>
      </c>
      <c r="AI922" s="90">
        <f t="shared" si="260"/>
        <v>927</v>
      </c>
      <c r="AJ922" s="90" t="str">
        <f t="shared" si="261"/>
        <v>2018 (triag)</v>
      </c>
      <c r="AK922" s="90" t="str">
        <f t="shared" si="262"/>
        <v/>
      </c>
      <c r="AL922" s="91">
        <f>IF(AK922="Adjust",(_xlfn.XLOOKUP(A922,'Adj factor'!A:A,'Adj factor'!I:I,,0)*AI922),'Master DataSheet'!AI922)</f>
        <v>927</v>
      </c>
      <c r="AM922" s="91">
        <f t="shared" si="263"/>
        <v>927</v>
      </c>
      <c r="AN922" s="92" t="str">
        <f t="shared" si="264"/>
        <v>No change</v>
      </c>
      <c r="AO922" s="93">
        <f>VLOOKUP(B922,'Growthrates source'!A$2:H$49,8,FALSE)</f>
        <v>-0.11185567778326533</v>
      </c>
      <c r="AP922" s="93">
        <f>VLOOKUP(B922,'Growthrates source'!A$2:I$49,9,FALSE)</f>
        <v>0.45661638376408309</v>
      </c>
      <c r="AQ922" s="86">
        <f t="shared" si="265"/>
        <v>1621.7027467678149</v>
      </c>
      <c r="AR922" s="86">
        <f t="shared" si="266"/>
        <v>3647.5198295459959</v>
      </c>
      <c r="AS922" s="94">
        <f t="shared" si="267"/>
        <v>0</v>
      </c>
      <c r="AT922" s="94">
        <f t="shared" si="268"/>
        <v>7.9884352964747904</v>
      </c>
      <c r="AU922" s="94">
        <f t="shared" si="269"/>
        <v>7.7142611056857966</v>
      </c>
    </row>
    <row r="923" spans="1:48" x14ac:dyDescent="0.3">
      <c r="A923" s="85" t="str">
        <f>_xlfn.XLOOKUP(B923,'Country codes &amp; Data sources'!G:G,'Country codes &amp; Data sources'!H:H,,0)</f>
        <v>Eswatini</v>
      </c>
      <c r="B923" s="85" t="s">
        <v>159</v>
      </c>
      <c r="C923" s="86">
        <v>1111453</v>
      </c>
      <c r="D923" s="85" t="s">
        <v>204</v>
      </c>
      <c r="E923" s="87">
        <v>0</v>
      </c>
      <c r="F923" s="88">
        <v>1118318.9999999998</v>
      </c>
      <c r="G923" s="87">
        <v>0</v>
      </c>
      <c r="I923" s="87">
        <v>0</v>
      </c>
      <c r="K923" s="87">
        <v>0</v>
      </c>
      <c r="M923" s="87">
        <v>0</v>
      </c>
      <c r="O923" s="87">
        <v>0</v>
      </c>
      <c r="P923" s="88">
        <v>1160427.5</v>
      </c>
      <c r="Q923" s="87">
        <v>0</v>
      </c>
      <c r="R923" s="87">
        <f t="shared" si="252"/>
        <v>195</v>
      </c>
      <c r="T923" s="87">
        <v>0</v>
      </c>
      <c r="V923" s="87">
        <v>0</v>
      </c>
      <c r="X923" s="87">
        <v>0</v>
      </c>
      <c r="Y923" s="88">
        <v>1201670.4999999995</v>
      </c>
      <c r="Z923" s="87">
        <v>0</v>
      </c>
      <c r="AA923" s="87">
        <v>195</v>
      </c>
      <c r="AB923" s="89">
        <f t="shared" si="253"/>
        <v>0</v>
      </c>
      <c r="AC923" s="89">
        <f t="shared" si="254"/>
        <v>0</v>
      </c>
      <c r="AD923" s="89">
        <f t="shared" si="255"/>
        <v>0</v>
      </c>
      <c r="AE923" s="90">
        <f t="shared" si="256"/>
        <v>0</v>
      </c>
      <c r="AF923" s="90" t="str">
        <f t="shared" si="257"/>
        <v/>
      </c>
      <c r="AG923" s="90">
        <f t="shared" si="258"/>
        <v>195</v>
      </c>
      <c r="AH923" s="90" t="str">
        <f t="shared" si="259"/>
        <v>2018 (triag)</v>
      </c>
      <c r="AI923" s="90">
        <f t="shared" si="260"/>
        <v>195</v>
      </c>
      <c r="AJ923" s="90" t="str">
        <f t="shared" si="261"/>
        <v>2018 (triag)</v>
      </c>
      <c r="AK923" s="90" t="str">
        <f t="shared" si="262"/>
        <v/>
      </c>
      <c r="AL923" s="91">
        <f>IF(AK923="Adjust",(_xlfn.XLOOKUP(A923,'Adj factor'!A:A,'Adj factor'!I:I,,0)*AI923),'Master DataSheet'!AI923)</f>
        <v>195</v>
      </c>
      <c r="AM923" s="91">
        <f t="shared" si="263"/>
        <v>195</v>
      </c>
      <c r="AN923" s="92" t="str">
        <f t="shared" si="264"/>
        <v>No change</v>
      </c>
      <c r="AO923" s="93">
        <f>VLOOKUP(B923,'Growthrates source'!A$2:H$49,8,FALSE)</f>
        <v>-0.11185567778326533</v>
      </c>
      <c r="AP923" s="93">
        <f>VLOOKUP(B923,'Growthrates source'!A$2:I$49,9,FALSE)</f>
        <v>0.45661638376408309</v>
      </c>
      <c r="AQ923" s="86">
        <f t="shared" si="265"/>
        <v>341.13488200617462</v>
      </c>
      <c r="AR923" s="86">
        <f t="shared" si="266"/>
        <v>767.27763404689233</v>
      </c>
      <c r="AS923" s="94">
        <f t="shared" si="267"/>
        <v>0</v>
      </c>
      <c r="AT923" s="94">
        <f t="shared" si="268"/>
        <v>1.6804151918150854</v>
      </c>
      <c r="AU923" s="94">
        <f t="shared" si="269"/>
        <v>1.6227410092866561</v>
      </c>
    </row>
    <row r="924" spans="1:48" x14ac:dyDescent="0.3">
      <c r="A924" s="85" t="str">
        <f>_xlfn.XLOOKUP(B924,'Country codes &amp; Data sources'!G:G,'Country codes &amp; Data sources'!H:H,,0)</f>
        <v>Eswatini</v>
      </c>
      <c r="B924" s="85" t="s">
        <v>159</v>
      </c>
      <c r="C924" s="86">
        <v>1111454</v>
      </c>
      <c r="D924" s="85" t="s">
        <v>205</v>
      </c>
      <c r="E924" s="87">
        <v>0</v>
      </c>
      <c r="F924" s="88">
        <v>1118318.9999999998</v>
      </c>
      <c r="G924" s="87">
        <v>0</v>
      </c>
      <c r="I924" s="87">
        <v>0</v>
      </c>
      <c r="K924" s="87">
        <v>0</v>
      </c>
      <c r="M924" s="87">
        <v>0</v>
      </c>
      <c r="O924" s="87">
        <v>0</v>
      </c>
      <c r="P924" s="88">
        <v>1160427.5</v>
      </c>
      <c r="Q924" s="87">
        <v>0</v>
      </c>
      <c r="R924" s="87">
        <f t="shared" si="252"/>
        <v>0</v>
      </c>
      <c r="T924" s="87">
        <v>3</v>
      </c>
      <c r="V924" s="87">
        <v>0</v>
      </c>
      <c r="X924" s="87">
        <v>0</v>
      </c>
      <c r="Y924" s="88">
        <v>1201670.4999999995</v>
      </c>
      <c r="Z924" s="87">
        <v>0</v>
      </c>
      <c r="AA924" s="87">
        <v>0</v>
      </c>
      <c r="AB924" s="89">
        <f t="shared" si="253"/>
        <v>0</v>
      </c>
      <c r="AC924" s="89">
        <f t="shared" si="254"/>
        <v>3</v>
      </c>
      <c r="AD924" s="89">
        <f t="shared" si="255"/>
        <v>0</v>
      </c>
      <c r="AE924" s="90">
        <f t="shared" si="256"/>
        <v>0</v>
      </c>
      <c r="AF924" s="90" t="str">
        <f t="shared" si="257"/>
        <v/>
      </c>
      <c r="AG924" s="90">
        <f t="shared" si="258"/>
        <v>3</v>
      </c>
      <c r="AH924" s="90">
        <f t="shared" si="259"/>
        <v>2019</v>
      </c>
      <c r="AI924" s="90">
        <f t="shared" si="260"/>
        <v>3</v>
      </c>
      <c r="AJ924" s="90">
        <f t="shared" si="261"/>
        <v>2019</v>
      </c>
      <c r="AK924" s="90" t="str">
        <f t="shared" si="262"/>
        <v/>
      </c>
      <c r="AL924" s="91">
        <f>IF(AK924="Adjust",(_xlfn.XLOOKUP(A924,'Adj factor'!A:A,'Adj factor'!I:I,,0)*AI924),'Master DataSheet'!AI924)</f>
        <v>3</v>
      </c>
      <c r="AM924" s="91">
        <f t="shared" si="263"/>
        <v>3</v>
      </c>
      <c r="AN924" s="92" t="str">
        <f t="shared" si="264"/>
        <v>No change</v>
      </c>
      <c r="AO924" s="93">
        <f>VLOOKUP(B924,'Growthrates source'!A$2:H$49,8,FALSE)</f>
        <v>-0.11185567778326533</v>
      </c>
      <c r="AP924" s="93">
        <f>VLOOKUP(B924,'Growthrates source'!A$2:I$49,9,FALSE)</f>
        <v>0.45661638376408309</v>
      </c>
      <c r="AQ924" s="86">
        <f t="shared" si="265"/>
        <v>0</v>
      </c>
      <c r="AR924" s="86">
        <f t="shared" si="266"/>
        <v>0</v>
      </c>
      <c r="AS924" s="94">
        <f t="shared" si="267"/>
        <v>0</v>
      </c>
      <c r="AT924" s="94">
        <f t="shared" si="268"/>
        <v>2.5852541412539776E-2</v>
      </c>
      <c r="AU924" s="94">
        <f t="shared" si="269"/>
        <v>2.4965246296717786E-2</v>
      </c>
    </row>
    <row r="925" spans="1:48" x14ac:dyDescent="0.3">
      <c r="A925" s="85" t="str">
        <f>_xlfn.XLOOKUP(B925,'Country codes &amp; Data sources'!G:G,'Country codes &amp; Data sources'!H:H,,0)</f>
        <v>Eswatini</v>
      </c>
      <c r="B925" s="85" t="s">
        <v>159</v>
      </c>
      <c r="C925" s="86">
        <v>1111455</v>
      </c>
      <c r="D925" s="85" t="s">
        <v>133</v>
      </c>
      <c r="E925" s="87">
        <v>0</v>
      </c>
      <c r="F925" s="88">
        <v>1118318.9999999998</v>
      </c>
      <c r="G925" s="87">
        <v>0</v>
      </c>
      <c r="I925" s="87">
        <v>0</v>
      </c>
      <c r="K925" s="87">
        <v>0</v>
      </c>
      <c r="M925" s="87">
        <v>0</v>
      </c>
      <c r="O925" s="87">
        <v>0</v>
      </c>
      <c r="P925" s="88">
        <v>1160427.5</v>
      </c>
      <c r="Q925" s="87">
        <v>370</v>
      </c>
      <c r="R925" s="87">
        <f t="shared" si="252"/>
        <v>370</v>
      </c>
      <c r="T925" s="87">
        <v>0</v>
      </c>
      <c r="V925" s="87">
        <v>0</v>
      </c>
      <c r="X925" s="87">
        <v>0</v>
      </c>
      <c r="Y925" s="88">
        <v>1201670.4999999995</v>
      </c>
      <c r="Z925" s="103">
        <v>130</v>
      </c>
      <c r="AA925" s="87">
        <v>84</v>
      </c>
      <c r="AB925" s="89">
        <f t="shared" si="253"/>
        <v>0</v>
      </c>
      <c r="AC925" s="89">
        <f t="shared" si="254"/>
        <v>370</v>
      </c>
      <c r="AD925" s="89">
        <f t="shared" si="255"/>
        <v>130</v>
      </c>
      <c r="AE925" s="90">
        <f t="shared" si="256"/>
        <v>0</v>
      </c>
      <c r="AF925" s="90" t="str">
        <f t="shared" si="257"/>
        <v/>
      </c>
      <c r="AG925" s="90">
        <f t="shared" si="258"/>
        <v>370</v>
      </c>
      <c r="AH925" s="90">
        <f t="shared" si="259"/>
        <v>2018</v>
      </c>
      <c r="AI925" s="90">
        <f t="shared" si="260"/>
        <v>130</v>
      </c>
      <c r="AJ925" s="90">
        <f t="shared" si="261"/>
        <v>2022</v>
      </c>
      <c r="AK925" s="90" t="str">
        <f t="shared" si="262"/>
        <v>Adjust</v>
      </c>
      <c r="AL925" s="91">
        <f>IF(AK925="Adjust",(_xlfn.XLOOKUP(A925,'Adj factor'!A:A,'Adj factor'!I:I,,0)*AI925),'Master DataSheet'!AI925)</f>
        <v>186.32375293629957</v>
      </c>
      <c r="AM925" s="91">
        <f t="shared" si="263"/>
        <v>370</v>
      </c>
      <c r="AN925" s="92" t="str">
        <f t="shared" si="264"/>
        <v>Decreasing</v>
      </c>
      <c r="AO925" s="93">
        <f>VLOOKUP(B925,'Growthrates source'!A$2:H$49,8,FALSE)</f>
        <v>-0.11185567778326533</v>
      </c>
      <c r="AP925" s="93">
        <f>VLOOKUP(B925,'Growthrates source'!A$2:I$49,9,FALSE)</f>
        <v>0.45661638376408309</v>
      </c>
      <c r="AQ925" s="86">
        <f t="shared" si="265"/>
        <v>146.95041071035214</v>
      </c>
      <c r="AR925" s="86">
        <f t="shared" si="266"/>
        <v>330.51959620481517</v>
      </c>
      <c r="AS925" s="94">
        <f t="shared" si="267"/>
        <v>0</v>
      </c>
      <c r="AT925" s="94">
        <f t="shared" si="268"/>
        <v>3.1884801075465723</v>
      </c>
      <c r="AU925" s="94">
        <f t="shared" si="269"/>
        <v>3.0790470432618604</v>
      </c>
    </row>
    <row r="926" spans="1:48" x14ac:dyDescent="0.3">
      <c r="A926" s="85" t="str">
        <f>_xlfn.XLOOKUP(B926,'Country codes &amp; Data sources'!G:G,'Country codes &amp; Data sources'!H:H,,0)</f>
        <v>Eswatini</v>
      </c>
      <c r="B926" s="85" t="s">
        <v>159</v>
      </c>
      <c r="C926" s="86">
        <v>1111456</v>
      </c>
      <c r="D926" s="85" t="s">
        <v>206</v>
      </c>
      <c r="E926" s="87">
        <v>0</v>
      </c>
      <c r="F926" s="88">
        <v>1118318.9999999998</v>
      </c>
      <c r="G926" s="87">
        <v>0</v>
      </c>
      <c r="I926" s="87">
        <v>0</v>
      </c>
      <c r="K926" s="87">
        <v>0</v>
      </c>
      <c r="M926" s="87">
        <v>0</v>
      </c>
      <c r="O926" s="87">
        <v>0</v>
      </c>
      <c r="P926" s="88">
        <v>1160427.5</v>
      </c>
      <c r="Q926" s="87">
        <v>0</v>
      </c>
      <c r="R926" s="87">
        <f t="shared" si="252"/>
        <v>28</v>
      </c>
      <c r="T926" s="87">
        <v>0</v>
      </c>
      <c r="V926" s="87">
        <v>30</v>
      </c>
      <c r="X926" s="87">
        <v>0</v>
      </c>
      <c r="Y926" s="88">
        <v>1201670.4999999995</v>
      </c>
      <c r="Z926" s="87">
        <v>0</v>
      </c>
      <c r="AA926" s="87">
        <v>28</v>
      </c>
      <c r="AB926" s="89">
        <f t="shared" si="253"/>
        <v>0</v>
      </c>
      <c r="AC926" s="89">
        <f t="shared" si="254"/>
        <v>0</v>
      </c>
      <c r="AD926" s="89">
        <f t="shared" si="255"/>
        <v>30</v>
      </c>
      <c r="AE926" s="90">
        <f t="shared" si="256"/>
        <v>0</v>
      </c>
      <c r="AF926" s="90" t="str">
        <f t="shared" si="257"/>
        <v/>
      </c>
      <c r="AG926" s="90">
        <f t="shared" si="258"/>
        <v>28</v>
      </c>
      <c r="AH926" s="90" t="str">
        <f t="shared" si="259"/>
        <v>2018 (triag)</v>
      </c>
      <c r="AI926" s="90">
        <f t="shared" si="260"/>
        <v>30</v>
      </c>
      <c r="AJ926" s="90">
        <f t="shared" si="261"/>
        <v>2020</v>
      </c>
      <c r="AK926" s="90" t="str">
        <f t="shared" si="262"/>
        <v/>
      </c>
      <c r="AL926" s="91">
        <f>IF(AK926="Adjust",(_xlfn.XLOOKUP(A926,'Adj factor'!A:A,'Adj factor'!I:I,,0)*AI926),'Master DataSheet'!AI926)</f>
        <v>30</v>
      </c>
      <c r="AM926" s="91">
        <f t="shared" si="263"/>
        <v>30</v>
      </c>
      <c r="AN926" s="92" t="str">
        <f t="shared" si="264"/>
        <v>Increasing</v>
      </c>
      <c r="AO926" s="93">
        <f>VLOOKUP(B926,'Growthrates source'!A$2:H$49,8,FALSE)</f>
        <v>-0.11185567778326533</v>
      </c>
      <c r="AP926" s="93">
        <f>VLOOKUP(B926,'Growthrates source'!A$2:I$49,9,FALSE)</f>
        <v>0.45661638376408309</v>
      </c>
      <c r="AQ926" s="86">
        <f t="shared" si="265"/>
        <v>48.983470236784051</v>
      </c>
      <c r="AR926" s="86">
        <f t="shared" si="266"/>
        <v>110.17319873493838</v>
      </c>
      <c r="AS926" s="94">
        <f t="shared" si="267"/>
        <v>0</v>
      </c>
      <c r="AT926" s="94">
        <f t="shared" si="268"/>
        <v>0.24129038651703791</v>
      </c>
      <c r="AU926" s="94">
        <f t="shared" si="269"/>
        <v>0.24965246296717788</v>
      </c>
    </row>
    <row r="927" spans="1:48" x14ac:dyDescent="0.3">
      <c r="A927" s="85" t="str">
        <f>_xlfn.XLOOKUP(B927,'Country codes &amp; Data sources'!G:G,'Country codes &amp; Data sources'!H:H,,0)</f>
        <v>Eswatini</v>
      </c>
      <c r="B927" s="85" t="s">
        <v>159</v>
      </c>
      <c r="C927" s="86">
        <v>1111457</v>
      </c>
      <c r="D927" s="85" t="s">
        <v>136</v>
      </c>
      <c r="E927" s="87">
        <v>0</v>
      </c>
      <c r="F927" s="88">
        <v>1118318.9999999998</v>
      </c>
      <c r="G927" s="87">
        <v>0</v>
      </c>
      <c r="I927" s="87">
        <v>0</v>
      </c>
      <c r="K927" s="87">
        <v>0</v>
      </c>
      <c r="M927" s="87">
        <v>0</v>
      </c>
      <c r="O927" s="87">
        <v>0</v>
      </c>
      <c r="P927" s="88">
        <v>1160427.5</v>
      </c>
      <c r="Q927" s="87">
        <v>0</v>
      </c>
      <c r="R927" s="87">
        <f t="shared" si="252"/>
        <v>47</v>
      </c>
      <c r="T927" s="87">
        <v>0</v>
      </c>
      <c r="V927" s="87">
        <v>53</v>
      </c>
      <c r="X927" s="87">
        <v>0</v>
      </c>
      <c r="Y927" s="88">
        <v>1201670.4999999995</v>
      </c>
      <c r="Z927" s="103">
        <v>64</v>
      </c>
      <c r="AA927" s="87">
        <v>47</v>
      </c>
      <c r="AB927" s="89">
        <f t="shared" si="253"/>
        <v>0</v>
      </c>
      <c r="AC927" s="89">
        <f t="shared" si="254"/>
        <v>0</v>
      </c>
      <c r="AD927" s="89">
        <f t="shared" si="255"/>
        <v>64</v>
      </c>
      <c r="AE927" s="90">
        <f t="shared" si="256"/>
        <v>0</v>
      </c>
      <c r="AF927" s="90" t="str">
        <f t="shared" si="257"/>
        <v/>
      </c>
      <c r="AG927" s="90">
        <f t="shared" si="258"/>
        <v>47</v>
      </c>
      <c r="AH927" s="90" t="str">
        <f t="shared" si="259"/>
        <v>2018 (triag)</v>
      </c>
      <c r="AI927" s="90">
        <f t="shared" si="260"/>
        <v>64</v>
      </c>
      <c r="AJ927" s="90">
        <f t="shared" si="261"/>
        <v>2022</v>
      </c>
      <c r="AK927" s="90" t="str">
        <f t="shared" si="262"/>
        <v/>
      </c>
      <c r="AL927" s="91">
        <f>IF(AK927="Adjust",(_xlfn.XLOOKUP(A927,'Adj factor'!A:A,'Adj factor'!I:I,,0)*AI927),'Master DataSheet'!AI927)</f>
        <v>64</v>
      </c>
      <c r="AM927" s="91">
        <f t="shared" si="263"/>
        <v>64</v>
      </c>
      <c r="AN927" s="92" t="str">
        <f t="shared" si="264"/>
        <v>Increasing</v>
      </c>
      <c r="AO927" s="93">
        <f>VLOOKUP(B927,'Growthrates source'!A$2:H$49,8,FALSE)</f>
        <v>-0.11185567778326533</v>
      </c>
      <c r="AP927" s="93">
        <f>VLOOKUP(B927,'Growthrates source'!A$2:I$49,9,FALSE)</f>
        <v>0.45661638376408309</v>
      </c>
      <c r="AQ927" s="86">
        <f t="shared" si="265"/>
        <v>82.222253611744662</v>
      </c>
      <c r="AR927" s="86">
        <f t="shared" si="266"/>
        <v>184.93358359078942</v>
      </c>
      <c r="AS927" s="94">
        <f t="shared" si="267"/>
        <v>0</v>
      </c>
      <c r="AT927" s="94">
        <f t="shared" si="268"/>
        <v>0.40502314879645646</v>
      </c>
      <c r="AU927" s="94">
        <f t="shared" si="269"/>
        <v>0.5325919209966461</v>
      </c>
    </row>
    <row r="928" spans="1:48" x14ac:dyDescent="0.3">
      <c r="A928" s="85" t="str">
        <f>_xlfn.XLOOKUP(B928,'Country codes &amp; Data sources'!G:G,'Country codes &amp; Data sources'!H:H,,0)</f>
        <v>Eswatini</v>
      </c>
      <c r="B928" s="85" t="s">
        <v>159</v>
      </c>
      <c r="C928" s="86">
        <v>1111458</v>
      </c>
      <c r="D928" s="85" t="s">
        <v>207</v>
      </c>
      <c r="E928" s="87">
        <v>0</v>
      </c>
      <c r="F928" s="88">
        <v>1118318.9999999998</v>
      </c>
      <c r="G928" s="87">
        <v>0</v>
      </c>
      <c r="I928" s="87">
        <v>0</v>
      </c>
      <c r="K928" s="87">
        <v>0</v>
      </c>
      <c r="M928" s="87">
        <v>0</v>
      </c>
      <c r="O928" s="87">
        <v>0</v>
      </c>
      <c r="P928" s="88">
        <v>1160427.5</v>
      </c>
      <c r="Q928" s="87">
        <v>0</v>
      </c>
      <c r="R928" s="87">
        <f t="shared" si="252"/>
        <v>2084</v>
      </c>
      <c r="T928" s="87">
        <v>0</v>
      </c>
      <c r="V928" s="87">
        <v>0</v>
      </c>
      <c r="X928" s="87">
        <v>0</v>
      </c>
      <c r="Y928" s="88">
        <v>1201670.4999999995</v>
      </c>
      <c r="Z928" s="87">
        <v>0</v>
      </c>
      <c r="AA928" s="87">
        <v>2084</v>
      </c>
      <c r="AB928" s="89">
        <f t="shared" si="253"/>
        <v>0</v>
      </c>
      <c r="AC928" s="89">
        <f t="shared" si="254"/>
        <v>0</v>
      </c>
      <c r="AD928" s="89">
        <f t="shared" si="255"/>
        <v>0</v>
      </c>
      <c r="AE928" s="90">
        <f t="shared" si="256"/>
        <v>0</v>
      </c>
      <c r="AF928" s="90" t="str">
        <f t="shared" si="257"/>
        <v/>
      </c>
      <c r="AG928" s="90">
        <f t="shared" si="258"/>
        <v>2084</v>
      </c>
      <c r="AH928" s="90" t="str">
        <f t="shared" si="259"/>
        <v>2018 (triag)</v>
      </c>
      <c r="AI928" s="90">
        <f t="shared" si="260"/>
        <v>2084</v>
      </c>
      <c r="AJ928" s="90" t="str">
        <f t="shared" si="261"/>
        <v>2018 (triag)</v>
      </c>
      <c r="AK928" s="90" t="str">
        <f t="shared" si="262"/>
        <v/>
      </c>
      <c r="AL928" s="91">
        <f>IF(AK928="Adjust",(_xlfn.XLOOKUP(A928,'Adj factor'!A:A,'Adj factor'!I:I,,0)*AI928),'Master DataSheet'!AI928)</f>
        <v>2084</v>
      </c>
      <c r="AM928" s="91">
        <f t="shared" si="263"/>
        <v>2084</v>
      </c>
      <c r="AN928" s="92" t="str">
        <f t="shared" si="264"/>
        <v>No change</v>
      </c>
      <c r="AO928" s="93">
        <f>VLOOKUP(B928,'Growthrates source'!A$2:H$49,8,FALSE)</f>
        <v>-0.11185567778326533</v>
      </c>
      <c r="AP928" s="93">
        <f>VLOOKUP(B928,'Growthrates source'!A$2:I$49,9,FALSE)</f>
        <v>0.45661638376408309</v>
      </c>
      <c r="AQ928" s="86">
        <f t="shared" si="265"/>
        <v>3645.7697133377842</v>
      </c>
      <c r="AR928" s="86">
        <f t="shared" si="266"/>
        <v>8200.0337915575565</v>
      </c>
      <c r="AS928" s="94">
        <f t="shared" si="267"/>
        <v>0</v>
      </c>
      <c r="AT928" s="94">
        <f t="shared" si="268"/>
        <v>17.958898767910963</v>
      </c>
      <c r="AU928" s="94">
        <f t="shared" si="269"/>
        <v>17.342524427453288</v>
      </c>
    </row>
    <row r="929" spans="1:48" x14ac:dyDescent="0.3">
      <c r="A929" s="85" t="str">
        <f>_xlfn.XLOOKUP(B929,'Country codes &amp; Data sources'!G:G,'Country codes &amp; Data sources'!H:H,,0)</f>
        <v>Eswatini</v>
      </c>
      <c r="B929" s="85" t="s">
        <v>159</v>
      </c>
      <c r="C929" s="86">
        <v>1111459</v>
      </c>
      <c r="D929" s="85" t="s">
        <v>141</v>
      </c>
      <c r="E929" s="87">
        <v>0</v>
      </c>
      <c r="F929" s="88">
        <v>1118318.9999999998</v>
      </c>
      <c r="G929" s="87">
        <v>0</v>
      </c>
      <c r="I929" s="87">
        <v>0</v>
      </c>
      <c r="K929" s="87">
        <v>0</v>
      </c>
      <c r="M929" s="87">
        <v>0</v>
      </c>
      <c r="O929" s="87">
        <v>0</v>
      </c>
      <c r="P929" s="88">
        <v>1160427.5</v>
      </c>
      <c r="Q929" s="87">
        <v>0</v>
      </c>
      <c r="R929" s="87">
        <f t="shared" si="252"/>
        <v>12</v>
      </c>
      <c r="T929" s="87">
        <v>0</v>
      </c>
      <c r="V929" s="87">
        <v>6</v>
      </c>
      <c r="X929" s="87">
        <v>0</v>
      </c>
      <c r="Y929" s="88">
        <v>1201670.4999999995</v>
      </c>
      <c r="Z929" s="103">
        <v>6</v>
      </c>
      <c r="AA929" s="87">
        <v>12</v>
      </c>
      <c r="AB929" s="89">
        <f t="shared" si="253"/>
        <v>0</v>
      </c>
      <c r="AC929" s="89">
        <f t="shared" si="254"/>
        <v>0</v>
      </c>
      <c r="AD929" s="89">
        <f t="shared" si="255"/>
        <v>6</v>
      </c>
      <c r="AE929" s="90">
        <f t="shared" si="256"/>
        <v>0</v>
      </c>
      <c r="AF929" s="90" t="str">
        <f t="shared" si="257"/>
        <v/>
      </c>
      <c r="AG929" s="90">
        <f t="shared" si="258"/>
        <v>12</v>
      </c>
      <c r="AH929" s="90" t="str">
        <f t="shared" si="259"/>
        <v>2018 (triag)</v>
      </c>
      <c r="AI929" s="90">
        <f t="shared" si="260"/>
        <v>6</v>
      </c>
      <c r="AJ929" s="90">
        <f t="shared" si="261"/>
        <v>2020</v>
      </c>
      <c r="AK929" s="90" t="str">
        <f t="shared" si="262"/>
        <v>Adjust</v>
      </c>
      <c r="AL929" s="91">
        <f>IF(AK929="Adjust",(_xlfn.XLOOKUP(A929,'Adj factor'!A:A,'Adj factor'!I:I,,0)*AI929),'Master DataSheet'!AI929)</f>
        <v>8.5995578278292122</v>
      </c>
      <c r="AM929" s="91">
        <f t="shared" si="263"/>
        <v>12</v>
      </c>
      <c r="AN929" s="92" t="str">
        <f t="shared" si="264"/>
        <v>Decreasing</v>
      </c>
      <c r="AO929" s="93">
        <f>VLOOKUP(B929,'Growthrates source'!A$2:H$49,8,FALSE)</f>
        <v>-0.11185567778326533</v>
      </c>
      <c r="AP929" s="93">
        <f>VLOOKUP(B929,'Growthrates source'!A$2:I$49,9,FALSE)</f>
        <v>0.45661638376408309</v>
      </c>
      <c r="AQ929" s="86">
        <f t="shared" si="265"/>
        <v>20.992915815764594</v>
      </c>
      <c r="AR929" s="86">
        <f t="shared" si="266"/>
        <v>47.217085172116448</v>
      </c>
      <c r="AS929" s="94">
        <f t="shared" si="267"/>
        <v>0</v>
      </c>
      <c r="AT929" s="94">
        <f t="shared" si="268"/>
        <v>0.10341016565015911</v>
      </c>
      <c r="AU929" s="94">
        <f t="shared" si="269"/>
        <v>9.9860985186871143E-2</v>
      </c>
    </row>
    <row r="930" spans="1:48" x14ac:dyDescent="0.3">
      <c r="A930" s="85" t="str">
        <f>_xlfn.XLOOKUP(B930,'Country codes &amp; Data sources'!G:G,'Country codes &amp; Data sources'!H:H,,0)</f>
        <v>Eswatini</v>
      </c>
      <c r="B930" s="85" t="s">
        <v>159</v>
      </c>
      <c r="C930" s="86">
        <v>1111460</v>
      </c>
      <c r="D930" s="85" t="s">
        <v>208</v>
      </c>
      <c r="E930" s="87">
        <v>0</v>
      </c>
      <c r="F930" s="88">
        <v>1118318.9999999998</v>
      </c>
      <c r="G930" s="87">
        <v>0</v>
      </c>
      <c r="I930" s="87">
        <v>0</v>
      </c>
      <c r="K930" s="87">
        <v>0</v>
      </c>
      <c r="M930" s="87">
        <v>0</v>
      </c>
      <c r="O930" s="87">
        <v>0</v>
      </c>
      <c r="P930" s="88">
        <v>1160427.5</v>
      </c>
      <c r="Q930" s="87">
        <v>0</v>
      </c>
      <c r="R930" s="87">
        <f t="shared" si="252"/>
        <v>1215</v>
      </c>
      <c r="T930" s="87">
        <v>0</v>
      </c>
      <c r="V930" s="87">
        <v>52</v>
      </c>
      <c r="X930" s="87">
        <v>0</v>
      </c>
      <c r="Y930" s="88">
        <v>1201670.4999999995</v>
      </c>
      <c r="Z930" s="87">
        <v>0</v>
      </c>
      <c r="AA930" s="87">
        <v>1215</v>
      </c>
      <c r="AB930" s="89">
        <f t="shared" si="253"/>
        <v>0</v>
      </c>
      <c r="AC930" s="89">
        <f t="shared" si="254"/>
        <v>0</v>
      </c>
      <c r="AD930" s="89">
        <f t="shared" si="255"/>
        <v>52</v>
      </c>
      <c r="AE930" s="90">
        <f t="shared" si="256"/>
        <v>0</v>
      </c>
      <c r="AF930" s="90" t="str">
        <f t="shared" si="257"/>
        <v/>
      </c>
      <c r="AG930" s="90">
        <f t="shared" si="258"/>
        <v>1215</v>
      </c>
      <c r="AH930" s="90" t="str">
        <f t="shared" si="259"/>
        <v>2018 (triag)</v>
      </c>
      <c r="AI930" s="90">
        <f t="shared" si="260"/>
        <v>52</v>
      </c>
      <c r="AJ930" s="90">
        <f t="shared" si="261"/>
        <v>2020</v>
      </c>
      <c r="AK930" s="90" t="str">
        <f t="shared" si="262"/>
        <v>Adjust</v>
      </c>
      <c r="AL930" s="91">
        <f>IF(AK930="Adjust",(_xlfn.XLOOKUP(A930,'Adj factor'!A:A,'Adj factor'!I:I,,0)*AI930),'Master DataSheet'!AI930)</f>
        <v>74.529501174519837</v>
      </c>
      <c r="AM930" s="91">
        <f t="shared" si="263"/>
        <v>1215</v>
      </c>
      <c r="AN930" s="92" t="str">
        <f t="shared" si="264"/>
        <v>Decreasing</v>
      </c>
      <c r="AO930" s="93">
        <f>VLOOKUP(B930,'Growthrates source'!A$2:H$49,8,FALSE)</f>
        <v>-0.11185567778326533</v>
      </c>
      <c r="AP930" s="93">
        <f>VLOOKUP(B930,'Growthrates source'!A$2:I$49,9,FALSE)</f>
        <v>0.45661638376408309</v>
      </c>
      <c r="AQ930" s="86">
        <f t="shared" si="265"/>
        <v>2125.532726346165</v>
      </c>
      <c r="AR930" s="86">
        <f t="shared" si="266"/>
        <v>4780.7298736767907</v>
      </c>
      <c r="AS930" s="94">
        <f t="shared" si="267"/>
        <v>0</v>
      </c>
      <c r="AT930" s="94">
        <f t="shared" si="268"/>
        <v>10.470279272078608</v>
      </c>
      <c r="AU930" s="94">
        <f t="shared" si="269"/>
        <v>10.110924750170703</v>
      </c>
    </row>
    <row r="931" spans="1:48" x14ac:dyDescent="0.3">
      <c r="A931" s="85" t="str">
        <f>_xlfn.XLOOKUP(B931,'Country codes &amp; Data sources'!G:G,'Country codes &amp; Data sources'!H:H,,0)</f>
        <v>Eswatini</v>
      </c>
      <c r="B931" s="85" t="s">
        <v>159</v>
      </c>
      <c r="C931" s="86">
        <v>1111461</v>
      </c>
      <c r="D931" s="85" t="s">
        <v>209</v>
      </c>
      <c r="E931" s="87">
        <v>0</v>
      </c>
      <c r="F931" s="88">
        <v>1118318.9999999998</v>
      </c>
      <c r="G931" s="87">
        <v>0</v>
      </c>
      <c r="I931" s="87">
        <v>0</v>
      </c>
      <c r="K931" s="87">
        <v>0</v>
      </c>
      <c r="M931" s="87">
        <v>0</v>
      </c>
      <c r="O931" s="87">
        <v>0</v>
      </c>
      <c r="P931" s="88">
        <v>1160427.5</v>
      </c>
      <c r="Q931" s="87">
        <v>0</v>
      </c>
      <c r="R931" s="87">
        <f t="shared" si="252"/>
        <v>85</v>
      </c>
      <c r="T931" s="87">
        <v>0</v>
      </c>
      <c r="V931" s="87">
        <v>1861</v>
      </c>
      <c r="X931" s="87">
        <v>0</v>
      </c>
      <c r="Y931" s="88">
        <v>1201670.4999999995</v>
      </c>
      <c r="Z931" s="87">
        <v>0</v>
      </c>
      <c r="AA931" s="87">
        <v>85</v>
      </c>
      <c r="AB931" s="89">
        <f t="shared" si="253"/>
        <v>0</v>
      </c>
      <c r="AC931" s="89">
        <f t="shared" si="254"/>
        <v>0</v>
      </c>
      <c r="AD931" s="89">
        <f t="shared" si="255"/>
        <v>1861</v>
      </c>
      <c r="AE931" s="90">
        <f t="shared" si="256"/>
        <v>0</v>
      </c>
      <c r="AF931" s="90" t="str">
        <f t="shared" si="257"/>
        <v/>
      </c>
      <c r="AG931" s="90">
        <f t="shared" si="258"/>
        <v>85</v>
      </c>
      <c r="AH931" s="90" t="str">
        <f t="shared" si="259"/>
        <v>2018 (triag)</v>
      </c>
      <c r="AI931" s="90">
        <f t="shared" si="260"/>
        <v>1861</v>
      </c>
      <c r="AJ931" s="90">
        <f t="shared" si="261"/>
        <v>2020</v>
      </c>
      <c r="AK931" s="90" t="str">
        <f t="shared" si="262"/>
        <v/>
      </c>
      <c r="AL931" s="91">
        <f>IF(AK931="Adjust",(_xlfn.XLOOKUP(A931,'Adj factor'!A:A,'Adj factor'!I:I,,0)*AI931),'Master DataSheet'!AI931)</f>
        <v>1861</v>
      </c>
      <c r="AM931" s="91">
        <f t="shared" si="263"/>
        <v>1861</v>
      </c>
      <c r="AN931" s="92" t="str">
        <f t="shared" si="264"/>
        <v>Increasing</v>
      </c>
      <c r="AO931" s="93">
        <f>VLOOKUP(B931,'Growthrates source'!A$2:H$49,8,FALSE)</f>
        <v>-0.11185567778326533</v>
      </c>
      <c r="AP931" s="93">
        <f>VLOOKUP(B931,'Growthrates source'!A$2:I$49,9,FALSE)</f>
        <v>0.45661638376408309</v>
      </c>
      <c r="AQ931" s="86">
        <f t="shared" si="265"/>
        <v>148.69982036166587</v>
      </c>
      <c r="AR931" s="86">
        <f t="shared" si="266"/>
        <v>334.45435330249154</v>
      </c>
      <c r="AS931" s="94">
        <f t="shared" si="267"/>
        <v>0</v>
      </c>
      <c r="AT931" s="94">
        <f t="shared" si="268"/>
        <v>0.73248867335529366</v>
      </c>
      <c r="AU931" s="94">
        <f t="shared" si="269"/>
        <v>15.4867744527306</v>
      </c>
    </row>
    <row r="932" spans="1:48" x14ac:dyDescent="0.3">
      <c r="A932" s="85" t="str">
        <f>_xlfn.XLOOKUP(B932,'Country codes &amp; Data sources'!G:G,'Country codes &amp; Data sources'!H:H,,0)</f>
        <v>Eswatini</v>
      </c>
      <c r="B932" s="85" t="s">
        <v>159</v>
      </c>
      <c r="C932" s="86">
        <v>1111462</v>
      </c>
      <c r="D932" s="85" t="s">
        <v>134</v>
      </c>
      <c r="E932" s="87">
        <v>0</v>
      </c>
      <c r="F932" s="88">
        <v>1118318.9999999998</v>
      </c>
      <c r="G932" s="87">
        <v>0</v>
      </c>
      <c r="I932" s="87">
        <v>0</v>
      </c>
      <c r="K932" s="87">
        <v>0</v>
      </c>
      <c r="M932" s="87">
        <v>0</v>
      </c>
      <c r="O932" s="87">
        <v>0</v>
      </c>
      <c r="P932" s="88">
        <v>1160427.5</v>
      </c>
      <c r="Q932" s="87">
        <v>0</v>
      </c>
      <c r="R932" s="87">
        <f t="shared" si="252"/>
        <v>370</v>
      </c>
      <c r="T932" s="87">
        <v>0</v>
      </c>
      <c r="V932" s="87">
        <v>0</v>
      </c>
      <c r="X932" s="87">
        <v>0</v>
      </c>
      <c r="Y932" s="88">
        <v>1201670.4999999995</v>
      </c>
      <c r="Z932" s="103">
        <v>249</v>
      </c>
      <c r="AA932" s="87">
        <v>370</v>
      </c>
      <c r="AB932" s="89">
        <f t="shared" si="253"/>
        <v>0</v>
      </c>
      <c r="AC932" s="89">
        <f t="shared" si="254"/>
        <v>0</v>
      </c>
      <c r="AD932" s="89">
        <f t="shared" si="255"/>
        <v>249</v>
      </c>
      <c r="AE932" s="90">
        <f t="shared" si="256"/>
        <v>0</v>
      </c>
      <c r="AF932" s="90" t="str">
        <f t="shared" si="257"/>
        <v/>
      </c>
      <c r="AG932" s="90">
        <f t="shared" si="258"/>
        <v>370</v>
      </c>
      <c r="AH932" s="90" t="str">
        <f t="shared" si="259"/>
        <v>2018 (triag)</v>
      </c>
      <c r="AI932" s="90">
        <f t="shared" si="260"/>
        <v>249</v>
      </c>
      <c r="AJ932" s="90">
        <f t="shared" si="261"/>
        <v>2022</v>
      </c>
      <c r="AK932" s="90" t="str">
        <f t="shared" si="262"/>
        <v>Adjust</v>
      </c>
      <c r="AL932" s="91">
        <f>IF(AK932="Adjust",(_xlfn.XLOOKUP(A932,'Adj factor'!A:A,'Adj factor'!I:I,,0)*AI932),'Master DataSheet'!AI932)</f>
        <v>356.88164985491227</v>
      </c>
      <c r="AM932" s="91">
        <f t="shared" si="263"/>
        <v>370</v>
      </c>
      <c r="AN932" s="92" t="str">
        <f t="shared" si="264"/>
        <v>Decreasing</v>
      </c>
      <c r="AO932" s="93">
        <f>VLOOKUP(B932,'Growthrates source'!A$2:H$49,8,FALSE)</f>
        <v>-0.11185567778326533</v>
      </c>
      <c r="AP932" s="93">
        <f>VLOOKUP(B932,'Growthrates source'!A$2:I$49,9,FALSE)</f>
        <v>0.45661638376408309</v>
      </c>
      <c r="AQ932" s="86">
        <f t="shared" si="265"/>
        <v>647.28157098607494</v>
      </c>
      <c r="AR932" s="86">
        <f t="shared" si="266"/>
        <v>1455.8601261402573</v>
      </c>
      <c r="AS932" s="94">
        <f t="shared" si="267"/>
        <v>0</v>
      </c>
      <c r="AT932" s="94">
        <f t="shared" si="268"/>
        <v>3.1884801075465723</v>
      </c>
      <c r="AU932" s="94">
        <f t="shared" si="269"/>
        <v>3.0790470432618604</v>
      </c>
    </row>
    <row r="933" spans="1:48" x14ac:dyDescent="0.3">
      <c r="A933" s="85" t="str">
        <f>_xlfn.XLOOKUP(B933,'Country codes &amp; Data sources'!G:G,'Country codes &amp; Data sources'!H:H,,0)</f>
        <v>Eswatini</v>
      </c>
      <c r="B933" s="85" t="s">
        <v>159</v>
      </c>
      <c r="C933" s="86">
        <v>1111463</v>
      </c>
      <c r="D933" s="85" t="s">
        <v>142</v>
      </c>
      <c r="E933" s="87">
        <v>0</v>
      </c>
      <c r="F933" s="88">
        <v>1118318.9999999998</v>
      </c>
      <c r="G933" s="87">
        <v>0</v>
      </c>
      <c r="I933" s="87">
        <v>0</v>
      </c>
      <c r="K933" s="87">
        <v>0</v>
      </c>
      <c r="M933" s="87">
        <v>0</v>
      </c>
      <c r="O933" s="87">
        <v>0</v>
      </c>
      <c r="P933" s="88">
        <v>1160427.5</v>
      </c>
      <c r="Q933" s="87">
        <v>0</v>
      </c>
      <c r="R933" s="87">
        <f t="shared" si="252"/>
        <v>29</v>
      </c>
      <c r="T933" s="87">
        <v>0</v>
      </c>
      <c r="V933" s="87">
        <v>0</v>
      </c>
      <c r="X933" s="87">
        <v>0</v>
      </c>
      <c r="Y933" s="88">
        <v>1201670.4999999995</v>
      </c>
      <c r="Z933" s="87">
        <v>0</v>
      </c>
      <c r="AA933" s="87">
        <v>29</v>
      </c>
      <c r="AB933" s="89">
        <f t="shared" si="253"/>
        <v>0</v>
      </c>
      <c r="AC933" s="89">
        <f t="shared" si="254"/>
        <v>0</v>
      </c>
      <c r="AD933" s="89">
        <f t="shared" si="255"/>
        <v>0</v>
      </c>
      <c r="AE933" s="90">
        <f t="shared" si="256"/>
        <v>0</v>
      </c>
      <c r="AF933" s="90" t="str">
        <f t="shared" si="257"/>
        <v/>
      </c>
      <c r="AG933" s="90">
        <f t="shared" si="258"/>
        <v>29</v>
      </c>
      <c r="AH933" s="90" t="str">
        <f t="shared" si="259"/>
        <v>2018 (triag)</v>
      </c>
      <c r="AI933" s="90">
        <f t="shared" si="260"/>
        <v>29</v>
      </c>
      <c r="AJ933" s="90" t="str">
        <f t="shared" si="261"/>
        <v>2018 (triag)</v>
      </c>
      <c r="AK933" s="90" t="str">
        <f t="shared" si="262"/>
        <v/>
      </c>
      <c r="AL933" s="91">
        <f>IF(AK933="Adjust",(_xlfn.XLOOKUP(A933,'Adj factor'!A:A,'Adj factor'!I:I,,0)*AI933),'Master DataSheet'!AI933)</f>
        <v>29</v>
      </c>
      <c r="AM933" s="91">
        <f t="shared" si="263"/>
        <v>29</v>
      </c>
      <c r="AN933" s="92" t="str">
        <f t="shared" si="264"/>
        <v>No change</v>
      </c>
      <c r="AO933" s="93">
        <f>VLOOKUP(B933,'Growthrates source'!A$2:H$49,8,FALSE)</f>
        <v>-0.11185567778326533</v>
      </c>
      <c r="AP933" s="93">
        <f>VLOOKUP(B933,'Growthrates source'!A$2:I$49,9,FALSE)</f>
        <v>0.45661638376408309</v>
      </c>
      <c r="AQ933" s="86">
        <f t="shared" si="265"/>
        <v>50.73287988809777</v>
      </c>
      <c r="AR933" s="86">
        <f t="shared" si="266"/>
        <v>114.10795583261475</v>
      </c>
      <c r="AS933" s="94">
        <f t="shared" si="267"/>
        <v>0</v>
      </c>
      <c r="AT933" s="94">
        <f t="shared" si="268"/>
        <v>0.24990790032121782</v>
      </c>
      <c r="AU933" s="94">
        <f t="shared" si="269"/>
        <v>0.24133071420160526</v>
      </c>
    </row>
    <row r="934" spans="1:48" x14ac:dyDescent="0.3">
      <c r="A934" s="85" t="str">
        <f>_xlfn.XLOOKUP(B934,'Country codes &amp; Data sources'!G:G,'Country codes &amp; Data sources'!H:H,,0)</f>
        <v>Eswatini</v>
      </c>
      <c r="B934" s="85" t="s">
        <v>159</v>
      </c>
      <c r="C934" s="86">
        <v>1111464</v>
      </c>
      <c r="D934" s="85" t="s">
        <v>83</v>
      </c>
      <c r="E934" s="87">
        <v>0</v>
      </c>
      <c r="F934" s="88">
        <v>1118318.9999999998</v>
      </c>
      <c r="G934" s="87">
        <v>0</v>
      </c>
      <c r="I934" s="87">
        <v>0</v>
      </c>
      <c r="K934" s="87">
        <v>0</v>
      </c>
      <c r="M934" s="87">
        <v>0</v>
      </c>
      <c r="O934" s="87">
        <v>0</v>
      </c>
      <c r="P934" s="88">
        <v>1160427.5</v>
      </c>
      <c r="Q934" s="87">
        <v>0</v>
      </c>
      <c r="R934" s="87">
        <f t="shared" si="252"/>
        <v>29</v>
      </c>
      <c r="T934" s="87">
        <v>0</v>
      </c>
      <c r="V934" s="87">
        <v>15</v>
      </c>
      <c r="X934" s="87">
        <v>0</v>
      </c>
      <c r="Y934" s="88">
        <v>1201670.4999999995</v>
      </c>
      <c r="Z934" s="103">
        <v>32</v>
      </c>
      <c r="AA934" s="87">
        <v>29</v>
      </c>
      <c r="AB934" s="89">
        <f t="shared" si="253"/>
        <v>0</v>
      </c>
      <c r="AC934" s="89">
        <f t="shared" si="254"/>
        <v>0</v>
      </c>
      <c r="AD934" s="89">
        <f t="shared" si="255"/>
        <v>32</v>
      </c>
      <c r="AE934" s="90">
        <f t="shared" si="256"/>
        <v>0</v>
      </c>
      <c r="AF934" s="90" t="str">
        <f t="shared" si="257"/>
        <v/>
      </c>
      <c r="AG934" s="90">
        <f t="shared" si="258"/>
        <v>29</v>
      </c>
      <c r="AH934" s="90" t="str">
        <f t="shared" si="259"/>
        <v>2018 (triag)</v>
      </c>
      <c r="AI934" s="90">
        <f t="shared" si="260"/>
        <v>32</v>
      </c>
      <c r="AJ934" s="90">
        <f t="shared" si="261"/>
        <v>2022</v>
      </c>
      <c r="AK934" s="90" t="str">
        <f t="shared" si="262"/>
        <v/>
      </c>
      <c r="AL934" s="91">
        <f>IF(AK934="Adjust",(_xlfn.XLOOKUP(A934,'Adj factor'!A:A,'Adj factor'!I:I,,0)*AI934),'Master DataSheet'!AI934)</f>
        <v>32</v>
      </c>
      <c r="AM934" s="91">
        <f t="shared" si="263"/>
        <v>32</v>
      </c>
      <c r="AN934" s="92" t="str">
        <f t="shared" si="264"/>
        <v>Increasing</v>
      </c>
      <c r="AO934" s="93">
        <f>VLOOKUP(B934,'Growthrates source'!A$2:H$49,8,FALSE)</f>
        <v>-0.11185567778326533</v>
      </c>
      <c r="AP934" s="93">
        <f>VLOOKUP(B934,'Growthrates source'!A$2:I$49,9,FALSE)</f>
        <v>0.45661638376408309</v>
      </c>
      <c r="AQ934" s="86">
        <f t="shared" si="265"/>
        <v>50.73287988809777</v>
      </c>
      <c r="AR934" s="86">
        <f t="shared" si="266"/>
        <v>114.10795583261475</v>
      </c>
      <c r="AS934" s="94">
        <f t="shared" si="267"/>
        <v>0</v>
      </c>
      <c r="AT934" s="94">
        <f t="shared" si="268"/>
        <v>0.24990790032121782</v>
      </c>
      <c r="AU934" s="94">
        <f t="shared" si="269"/>
        <v>0.26629596049832305</v>
      </c>
    </row>
    <row r="935" spans="1:48" x14ac:dyDescent="0.3">
      <c r="A935" s="85" t="str">
        <f>_xlfn.XLOOKUP(B935,'Country codes &amp; Data sources'!G:G,'Country codes &amp; Data sources'!H:H,,0)</f>
        <v>Eswatini</v>
      </c>
      <c r="B935" s="85" t="s">
        <v>159</v>
      </c>
      <c r="C935" s="86">
        <v>1111465</v>
      </c>
      <c r="D935" s="85" t="s">
        <v>84</v>
      </c>
      <c r="E935" s="87">
        <v>0</v>
      </c>
      <c r="F935" s="88">
        <v>1118318.9999999998</v>
      </c>
      <c r="G935" s="87">
        <v>0</v>
      </c>
      <c r="I935" s="87">
        <v>0</v>
      </c>
      <c r="K935" s="87">
        <v>0</v>
      </c>
      <c r="M935" s="87">
        <v>0</v>
      </c>
      <c r="O935" s="87">
        <v>0</v>
      </c>
      <c r="P935" s="88">
        <v>1160427.5</v>
      </c>
      <c r="Q935" s="87">
        <v>0</v>
      </c>
      <c r="R935" s="87">
        <f t="shared" si="252"/>
        <v>0</v>
      </c>
      <c r="T935" s="87">
        <v>0</v>
      </c>
      <c r="V935" s="87">
        <v>38</v>
      </c>
      <c r="X935" s="87">
        <v>0</v>
      </c>
      <c r="Y935" s="88">
        <v>1201670.4999999995</v>
      </c>
      <c r="Z935" s="87">
        <v>0</v>
      </c>
      <c r="AA935" s="87">
        <v>0</v>
      </c>
      <c r="AB935" s="89">
        <f t="shared" si="253"/>
        <v>0</v>
      </c>
      <c r="AC935" s="89">
        <f t="shared" si="254"/>
        <v>0</v>
      </c>
      <c r="AD935" s="89">
        <f t="shared" si="255"/>
        <v>38</v>
      </c>
      <c r="AE935" s="90">
        <f t="shared" si="256"/>
        <v>0</v>
      </c>
      <c r="AF935" s="90" t="str">
        <f t="shared" si="257"/>
        <v/>
      </c>
      <c r="AG935" s="90">
        <f t="shared" si="258"/>
        <v>0</v>
      </c>
      <c r="AH935" s="90" t="str">
        <f t="shared" si="259"/>
        <v/>
      </c>
      <c r="AI935" s="90">
        <f t="shared" si="260"/>
        <v>38</v>
      </c>
      <c r="AJ935" s="90">
        <f t="shared" si="261"/>
        <v>2020</v>
      </c>
      <c r="AK935" s="90" t="str">
        <f t="shared" si="262"/>
        <v/>
      </c>
      <c r="AL935" s="91">
        <f>IF(AK935="Adjust",(_xlfn.XLOOKUP(A935,'Adj factor'!A:A,'Adj factor'!I:I,,0)*AI935),'Master DataSheet'!AI935)</f>
        <v>38</v>
      </c>
      <c r="AM935" s="91">
        <f t="shared" si="263"/>
        <v>38</v>
      </c>
      <c r="AN935" s="92" t="str">
        <f t="shared" si="264"/>
        <v>Increasing</v>
      </c>
      <c r="AO935" s="93">
        <f>VLOOKUP(B935,'Growthrates source'!A$2:H$49,8,FALSE)</f>
        <v>-0.11185567778326533</v>
      </c>
      <c r="AP935" s="93">
        <f>VLOOKUP(B935,'Growthrates source'!A$2:I$49,9,FALSE)</f>
        <v>0.45661638376408309</v>
      </c>
      <c r="AQ935" s="86">
        <f t="shared" si="265"/>
        <v>0</v>
      </c>
      <c r="AR935" s="86">
        <f t="shared" si="266"/>
        <v>0</v>
      </c>
      <c r="AS935" s="94">
        <f t="shared" si="267"/>
        <v>0</v>
      </c>
      <c r="AT935" s="94">
        <f t="shared" si="268"/>
        <v>0</v>
      </c>
      <c r="AU935" s="94">
        <f t="shared" si="269"/>
        <v>0.31622645309175862</v>
      </c>
    </row>
    <row r="936" spans="1:48" x14ac:dyDescent="0.3">
      <c r="A936" s="85" t="str">
        <f>_xlfn.XLOOKUP(B936,'Country codes &amp; Data sources'!G:G,'Country codes &amp; Data sources'!H:H,,0)</f>
        <v>Eswatini</v>
      </c>
      <c r="B936" s="85" t="s">
        <v>159</v>
      </c>
      <c r="C936" s="86">
        <v>1111466</v>
      </c>
      <c r="D936" s="85" t="s">
        <v>126</v>
      </c>
      <c r="E936" s="87">
        <v>0</v>
      </c>
      <c r="F936" s="88">
        <v>1118318.9999999998</v>
      </c>
      <c r="G936" s="87">
        <v>0</v>
      </c>
      <c r="I936" s="87">
        <v>0</v>
      </c>
      <c r="K936" s="87">
        <v>0</v>
      </c>
      <c r="M936" s="87">
        <v>0</v>
      </c>
      <c r="O936" s="87">
        <v>0</v>
      </c>
      <c r="P936" s="88">
        <v>1160427.5</v>
      </c>
      <c r="Q936" s="87">
        <v>0</v>
      </c>
      <c r="R936" s="87">
        <f t="shared" si="252"/>
        <v>0</v>
      </c>
      <c r="T936" s="87">
        <v>0</v>
      </c>
      <c r="V936" s="87">
        <v>7</v>
      </c>
      <c r="X936" s="87">
        <v>0</v>
      </c>
      <c r="Y936" s="88">
        <v>1201670.4999999995</v>
      </c>
      <c r="Z936" s="103">
        <v>14</v>
      </c>
      <c r="AA936" s="87">
        <v>0</v>
      </c>
      <c r="AB936" s="89">
        <f t="shared" si="253"/>
        <v>0</v>
      </c>
      <c r="AC936" s="89">
        <f t="shared" si="254"/>
        <v>0</v>
      </c>
      <c r="AD936" s="89">
        <f t="shared" si="255"/>
        <v>14</v>
      </c>
      <c r="AE936" s="90">
        <f t="shared" si="256"/>
        <v>0</v>
      </c>
      <c r="AF936" s="90" t="str">
        <f t="shared" si="257"/>
        <v/>
      </c>
      <c r="AG936" s="90">
        <f t="shared" si="258"/>
        <v>0</v>
      </c>
      <c r="AH936" s="90" t="str">
        <f t="shared" si="259"/>
        <v/>
      </c>
      <c r="AI936" s="90">
        <f t="shared" si="260"/>
        <v>14</v>
      </c>
      <c r="AJ936" s="90">
        <f t="shared" si="261"/>
        <v>2022</v>
      </c>
      <c r="AK936" s="90" t="str">
        <f t="shared" si="262"/>
        <v/>
      </c>
      <c r="AL936" s="91">
        <f>IF(AK936="Adjust",(_xlfn.XLOOKUP(A936,'Adj factor'!A:A,'Adj factor'!I:I,,0)*AI936),'Master DataSheet'!AI936)</f>
        <v>14</v>
      </c>
      <c r="AM936" s="91">
        <f t="shared" si="263"/>
        <v>14</v>
      </c>
      <c r="AN936" s="92" t="str">
        <f t="shared" si="264"/>
        <v>Increasing</v>
      </c>
      <c r="AO936" s="93">
        <f>VLOOKUP(B936,'Growthrates source'!A$2:H$49,8,FALSE)</f>
        <v>-0.11185567778326533</v>
      </c>
      <c r="AP936" s="93">
        <f>VLOOKUP(B936,'Growthrates source'!A$2:I$49,9,FALSE)</f>
        <v>0.45661638376408309</v>
      </c>
      <c r="AQ936" s="86">
        <f t="shared" si="265"/>
        <v>0</v>
      </c>
      <c r="AR936" s="86">
        <f t="shared" si="266"/>
        <v>0</v>
      </c>
      <c r="AS936" s="94">
        <f t="shared" si="267"/>
        <v>0</v>
      </c>
      <c r="AT936" s="94">
        <f t="shared" si="268"/>
        <v>0</v>
      </c>
      <c r="AU936" s="94">
        <f t="shared" si="269"/>
        <v>0.11650448271801633</v>
      </c>
    </row>
    <row r="937" spans="1:48" x14ac:dyDescent="0.3">
      <c r="A937" s="85" t="str">
        <f>_xlfn.XLOOKUP(B937,'Country codes &amp; Data sources'!G:G,'Country codes &amp; Data sources'!H:H,,0)</f>
        <v>Eswatini</v>
      </c>
      <c r="B937" s="85" t="s">
        <v>159</v>
      </c>
      <c r="C937" s="86">
        <v>1111467</v>
      </c>
      <c r="D937" s="85" t="s">
        <v>87</v>
      </c>
      <c r="E937" s="87">
        <v>0</v>
      </c>
      <c r="F937" s="88">
        <v>1118318.9999999998</v>
      </c>
      <c r="G937" s="87">
        <v>0</v>
      </c>
      <c r="I937" s="87">
        <v>0</v>
      </c>
      <c r="K937" s="87">
        <v>0</v>
      </c>
      <c r="M937" s="87">
        <v>0</v>
      </c>
      <c r="O937" s="87">
        <v>0</v>
      </c>
      <c r="P937" s="88">
        <v>1160427.5</v>
      </c>
      <c r="Q937" s="87">
        <v>0</v>
      </c>
      <c r="R937" s="87">
        <f t="shared" si="252"/>
        <v>7</v>
      </c>
      <c r="T937" s="87">
        <v>0</v>
      </c>
      <c r="V937" s="87">
        <v>0</v>
      </c>
      <c r="X937" s="87">
        <v>0</v>
      </c>
      <c r="Y937" s="88">
        <v>1201670.4999999995</v>
      </c>
      <c r="Z937" s="87">
        <v>0</v>
      </c>
      <c r="AA937" s="87">
        <v>7</v>
      </c>
      <c r="AB937" s="89">
        <f t="shared" si="253"/>
        <v>0</v>
      </c>
      <c r="AC937" s="89">
        <f t="shared" si="254"/>
        <v>0</v>
      </c>
      <c r="AD937" s="89">
        <f t="shared" si="255"/>
        <v>0</v>
      </c>
      <c r="AE937" s="90">
        <f t="shared" si="256"/>
        <v>0</v>
      </c>
      <c r="AF937" s="90" t="str">
        <f t="shared" si="257"/>
        <v/>
      </c>
      <c r="AG937" s="90">
        <f t="shared" si="258"/>
        <v>7</v>
      </c>
      <c r="AH937" s="90" t="str">
        <f t="shared" si="259"/>
        <v>2018 (triag)</v>
      </c>
      <c r="AI937" s="90">
        <f t="shared" si="260"/>
        <v>7</v>
      </c>
      <c r="AJ937" s="90" t="str">
        <f t="shared" si="261"/>
        <v>2018 (triag)</v>
      </c>
      <c r="AK937" s="90" t="str">
        <f t="shared" si="262"/>
        <v/>
      </c>
      <c r="AL937" s="91">
        <f>IF(AK937="Adjust",(_xlfn.XLOOKUP(A937,'Adj factor'!A:A,'Adj factor'!I:I,,0)*AI937),'Master DataSheet'!AI937)</f>
        <v>7</v>
      </c>
      <c r="AM937" s="91">
        <f t="shared" si="263"/>
        <v>7</v>
      </c>
      <c r="AN937" s="92" t="str">
        <f t="shared" si="264"/>
        <v>No change</v>
      </c>
      <c r="AO937" s="93">
        <f>VLOOKUP(B937,'Growthrates source'!A$2:H$49,8,FALSE)</f>
        <v>-0.11185567778326533</v>
      </c>
      <c r="AP937" s="93">
        <f>VLOOKUP(B937,'Growthrates source'!A$2:I$49,9,FALSE)</f>
        <v>0.45661638376408309</v>
      </c>
      <c r="AQ937" s="86">
        <f t="shared" si="265"/>
        <v>12.245867559196013</v>
      </c>
      <c r="AR937" s="86">
        <f t="shared" si="266"/>
        <v>27.543299683734595</v>
      </c>
      <c r="AS937" s="94">
        <f t="shared" si="267"/>
        <v>0</v>
      </c>
      <c r="AT937" s="94">
        <f t="shared" si="268"/>
        <v>6.0322596629259477E-2</v>
      </c>
      <c r="AU937" s="94">
        <f t="shared" si="269"/>
        <v>5.8252241359008167E-2</v>
      </c>
    </row>
    <row r="938" spans="1:48" x14ac:dyDescent="0.3">
      <c r="A938" s="85" t="str">
        <f>_xlfn.XLOOKUP(B938,'Country codes &amp; Data sources'!G:G,'Country codes &amp; Data sources'!H:H,,0)</f>
        <v>Seychelles</v>
      </c>
      <c r="B938" s="85" t="s">
        <v>185</v>
      </c>
      <c r="C938" s="86">
        <v>95308.999999999985</v>
      </c>
      <c r="D938" s="85" t="s">
        <v>321</v>
      </c>
      <c r="E938" s="87">
        <v>186</v>
      </c>
      <c r="F938" s="88">
        <v>96714</v>
      </c>
      <c r="G938" s="87">
        <v>0</v>
      </c>
      <c r="H938" s="87">
        <v>98000.999999999927</v>
      </c>
      <c r="I938" s="87">
        <v>0</v>
      </c>
      <c r="J938" s="87">
        <v>99239.999999999971</v>
      </c>
      <c r="K938" s="87">
        <v>4</v>
      </c>
      <c r="L938" s="87">
        <v>100508.49999999997</v>
      </c>
      <c r="M938" s="87">
        <v>410</v>
      </c>
      <c r="N938" s="87">
        <v>101810.50000000001</v>
      </c>
      <c r="O938" s="87">
        <v>39</v>
      </c>
      <c r="P938" s="88">
        <v>103101.00000000003</v>
      </c>
      <c r="Q938" s="87">
        <v>537</v>
      </c>
      <c r="R938" s="87">
        <f t="shared" si="252"/>
        <v>537</v>
      </c>
      <c r="S938" s="87">
        <v>104372.49999999997</v>
      </c>
      <c r="T938" s="87">
        <v>479</v>
      </c>
      <c r="U938" s="87">
        <v>105529.99999999997</v>
      </c>
      <c r="V938" s="87">
        <v>0</v>
      </c>
      <c r="W938" s="87">
        <v>106470.49999999996</v>
      </c>
      <c r="X938" s="87">
        <v>0</v>
      </c>
      <c r="Y938" s="88">
        <v>107118.5</v>
      </c>
      <c r="Z938" s="87">
        <v>923</v>
      </c>
      <c r="AA938" s="87">
        <v>240</v>
      </c>
      <c r="AB938" s="89">
        <f t="shared" si="253"/>
        <v>186</v>
      </c>
      <c r="AC938" s="89">
        <f t="shared" si="254"/>
        <v>537</v>
      </c>
      <c r="AD938" s="89">
        <f t="shared" si="255"/>
        <v>923</v>
      </c>
      <c r="AE938" s="90">
        <f t="shared" si="256"/>
        <v>186</v>
      </c>
      <c r="AF938" s="90">
        <f t="shared" si="257"/>
        <v>2012</v>
      </c>
      <c r="AG938" s="90">
        <f t="shared" si="258"/>
        <v>537</v>
      </c>
      <c r="AH938" s="90">
        <f t="shared" si="259"/>
        <v>2018</v>
      </c>
      <c r="AI938" s="90">
        <f t="shared" si="260"/>
        <v>923</v>
      </c>
      <c r="AJ938" s="90">
        <f t="shared" si="261"/>
        <v>2022</v>
      </c>
      <c r="AK938" s="90" t="str">
        <f t="shared" si="262"/>
        <v/>
      </c>
      <c r="AL938" s="91">
        <f>IF(AK938="Adjust",(_xlfn.XLOOKUP(A938,'Adj factor'!A:A,'Adj factor'!I:I,,0)*AI938),'Master DataSheet'!AI938)</f>
        <v>923</v>
      </c>
      <c r="AM938" s="91">
        <f t="shared" si="263"/>
        <v>923</v>
      </c>
      <c r="AN938" s="92" t="str">
        <f t="shared" si="264"/>
        <v>Increasing</v>
      </c>
      <c r="AO938" s="93">
        <f>VLOOKUP(B938,'Growthrates source'!A$2:H$49,8,FALSE)</f>
        <v>-6.1731500721997512E-2</v>
      </c>
      <c r="AP938" s="93">
        <f>VLOOKUP(B938,'Growthrates source'!A$2:I$49,9,FALSE)</f>
        <v>0.10455737067903281</v>
      </c>
      <c r="AQ938" s="86">
        <f t="shared" si="265"/>
        <v>326.78302774487128</v>
      </c>
      <c r="AR938" s="86">
        <f t="shared" si="266"/>
        <v>328.4258322377284</v>
      </c>
      <c r="AS938" s="94">
        <f t="shared" si="267"/>
        <v>19.231962280538497</v>
      </c>
      <c r="AT938" s="94">
        <f t="shared" si="268"/>
        <v>52.084848837547632</v>
      </c>
      <c r="AU938" s="94">
        <f t="shared" si="269"/>
        <v>86.166255128665924</v>
      </c>
    </row>
    <row r="939" spans="1:48" s="95" customFormat="1" x14ac:dyDescent="0.3">
      <c r="A939" s="95" t="str">
        <f>_xlfn.XLOOKUP(B939,'Country codes &amp; Data sources'!G:G,'Country codes &amp; Data sources'!H:H,,0)</f>
        <v>Seychelles</v>
      </c>
      <c r="B939" s="95" t="s">
        <v>185</v>
      </c>
      <c r="C939" s="60">
        <v>95310</v>
      </c>
      <c r="D939" s="95" t="s">
        <v>322</v>
      </c>
      <c r="E939" s="96">
        <v>838</v>
      </c>
      <c r="F939" s="97">
        <v>96714</v>
      </c>
      <c r="G939" s="96">
        <v>0</v>
      </c>
      <c r="H939" s="96"/>
      <c r="I939" s="96">
        <v>0</v>
      </c>
      <c r="J939" s="96"/>
      <c r="K939" s="96">
        <v>0</v>
      </c>
      <c r="L939" s="96"/>
      <c r="M939" s="96">
        <v>1368</v>
      </c>
      <c r="N939" s="96"/>
      <c r="O939" s="96">
        <v>0</v>
      </c>
      <c r="P939" s="97">
        <v>103101.00000000003</v>
      </c>
      <c r="Q939" s="96">
        <v>2223</v>
      </c>
      <c r="R939" s="96">
        <f t="shared" si="252"/>
        <v>2223</v>
      </c>
      <c r="S939" s="96"/>
      <c r="T939" s="96">
        <v>0</v>
      </c>
      <c r="U939" s="96"/>
      <c r="V939" s="96">
        <v>0</v>
      </c>
      <c r="W939" s="96"/>
      <c r="X939" s="96">
        <v>0</v>
      </c>
      <c r="Y939" s="97">
        <v>107118.5</v>
      </c>
      <c r="Z939" s="96">
        <v>1246</v>
      </c>
      <c r="AA939" s="96">
        <v>1272</v>
      </c>
      <c r="AB939" s="98">
        <f t="shared" si="253"/>
        <v>838</v>
      </c>
      <c r="AC939" s="98">
        <f t="shared" si="254"/>
        <v>2223</v>
      </c>
      <c r="AD939" s="98">
        <f t="shared" si="255"/>
        <v>1246</v>
      </c>
      <c r="AE939" s="99">
        <f t="shared" si="256"/>
        <v>838</v>
      </c>
      <c r="AF939" s="99">
        <f t="shared" si="257"/>
        <v>2012</v>
      </c>
      <c r="AG939" s="99">
        <f t="shared" si="258"/>
        <v>2223</v>
      </c>
      <c r="AH939" s="99">
        <f t="shared" si="259"/>
        <v>2018</v>
      </c>
      <c r="AI939" s="99">
        <f t="shared" si="260"/>
        <v>1246</v>
      </c>
      <c r="AJ939" s="99">
        <f t="shared" si="261"/>
        <v>2022</v>
      </c>
      <c r="AK939" s="99" t="str">
        <f t="shared" si="262"/>
        <v>Adjust</v>
      </c>
      <c r="AL939" s="61">
        <f>IF(AK939="Adjust",(_xlfn.XLOOKUP(A939,'Adj factor'!A:A,'Adj factor'!I:I,,0)*AI939),'Master DataSheet'!AI939)</f>
        <v>1432.0261108232373</v>
      </c>
      <c r="AM939" s="61">
        <f t="shared" si="263"/>
        <v>2223</v>
      </c>
      <c r="AN939" s="62" t="str">
        <f t="shared" si="264"/>
        <v>Decreasing</v>
      </c>
      <c r="AO939" s="100">
        <f>VLOOKUP(B939,'Growthrates source'!A$2:H$49,8,FALSE)</f>
        <v>-6.1731500721997512E-2</v>
      </c>
      <c r="AP939" s="100">
        <f>VLOOKUP(B939,'Growthrates source'!A$2:I$49,9,FALSE)</f>
        <v>0.10455737067903281</v>
      </c>
      <c r="AQ939" s="60">
        <f t="shared" si="265"/>
        <v>1731.9500470478176</v>
      </c>
      <c r="AR939" s="60">
        <f t="shared" si="266"/>
        <v>1740.6569108599604</v>
      </c>
      <c r="AS939" s="102">
        <f t="shared" si="267"/>
        <v>86.647227909092791</v>
      </c>
      <c r="AT939" s="101">
        <f t="shared" si="268"/>
        <v>215.61381557889831</v>
      </c>
      <c r="AU939" s="101">
        <f t="shared" si="269"/>
        <v>207.52717784509679</v>
      </c>
      <c r="AV939" s="117"/>
    </row>
    <row r="940" spans="1:48" x14ac:dyDescent="0.3">
      <c r="A940" s="85" t="str">
        <f>_xlfn.XLOOKUP(B940,'Country codes &amp; Data sources'!G:G,'Country codes &amp; Data sources'!H:H,,0)</f>
        <v>Seychelles</v>
      </c>
      <c r="B940" s="85" t="s">
        <v>185</v>
      </c>
      <c r="C940" s="86">
        <v>95311</v>
      </c>
      <c r="D940" s="85" t="s">
        <v>323</v>
      </c>
      <c r="E940" s="87">
        <v>0</v>
      </c>
      <c r="F940" s="88">
        <v>96714</v>
      </c>
      <c r="G940" s="87">
        <v>0</v>
      </c>
      <c r="I940" s="87">
        <v>0</v>
      </c>
      <c r="K940" s="87">
        <v>0</v>
      </c>
      <c r="M940" s="87">
        <v>178</v>
      </c>
      <c r="O940" s="87">
        <v>0</v>
      </c>
      <c r="P940" s="88">
        <v>103101.00000000003</v>
      </c>
      <c r="Q940" s="87">
        <v>316</v>
      </c>
      <c r="R940" s="87">
        <f t="shared" si="252"/>
        <v>316</v>
      </c>
      <c r="T940" s="87">
        <v>0</v>
      </c>
      <c r="V940" s="87">
        <v>0</v>
      </c>
      <c r="X940" s="87">
        <v>0</v>
      </c>
      <c r="Y940" s="88">
        <v>107118.5</v>
      </c>
      <c r="Z940" s="87">
        <v>312</v>
      </c>
      <c r="AA940" s="87">
        <v>5</v>
      </c>
      <c r="AB940" s="89">
        <f t="shared" si="253"/>
        <v>0</v>
      </c>
      <c r="AC940" s="89">
        <f t="shared" si="254"/>
        <v>316</v>
      </c>
      <c r="AD940" s="89">
        <f t="shared" si="255"/>
        <v>312</v>
      </c>
      <c r="AE940" s="90">
        <f t="shared" si="256"/>
        <v>0</v>
      </c>
      <c r="AF940" s="90" t="str">
        <f t="shared" si="257"/>
        <v/>
      </c>
      <c r="AG940" s="90">
        <f t="shared" si="258"/>
        <v>316</v>
      </c>
      <c r="AH940" s="90">
        <f t="shared" si="259"/>
        <v>2018</v>
      </c>
      <c r="AI940" s="90">
        <f t="shared" si="260"/>
        <v>312</v>
      </c>
      <c r="AJ940" s="90">
        <f t="shared" si="261"/>
        <v>2022</v>
      </c>
      <c r="AK940" s="90" t="str">
        <f t="shared" si="262"/>
        <v>Adjust</v>
      </c>
      <c r="AL940" s="91">
        <f>IF(AK940="Adjust",(_xlfn.XLOOKUP(A940,'Adj factor'!A:A,'Adj factor'!I:I,,0)*AI940),'Master DataSheet'!AI940)</f>
        <v>358.58117702796955</v>
      </c>
      <c r="AM940" s="91">
        <f t="shared" si="263"/>
        <v>358.58117702796955</v>
      </c>
      <c r="AN940" s="92" t="str">
        <f t="shared" si="264"/>
        <v>Increasing</v>
      </c>
      <c r="AO940" s="93">
        <f>VLOOKUP(B940,'Growthrates source'!A$2:H$49,8,FALSE)</f>
        <v>-6.1731500721997512E-2</v>
      </c>
      <c r="AP940" s="93">
        <f>VLOOKUP(B940,'Growthrates source'!A$2:I$49,9,FALSE)</f>
        <v>0.10455737067903281</v>
      </c>
      <c r="AQ940" s="86">
        <f t="shared" si="265"/>
        <v>6.8079797446848174</v>
      </c>
      <c r="AR940" s="86">
        <f t="shared" si="266"/>
        <v>6.8422048382860083</v>
      </c>
      <c r="AS940" s="94">
        <f t="shared" si="267"/>
        <v>0</v>
      </c>
      <c r="AT940" s="94">
        <f t="shared" si="268"/>
        <v>30.649557230288739</v>
      </c>
      <c r="AU940" s="94">
        <f t="shared" si="269"/>
        <v>33.475186548352482</v>
      </c>
    </row>
    <row r="941" spans="1:48" s="95" customFormat="1" x14ac:dyDescent="0.3">
      <c r="A941" s="95" t="str">
        <f>_xlfn.XLOOKUP(B941,'Country codes &amp; Data sources'!G:G,'Country codes &amp; Data sources'!H:H,,0)</f>
        <v>Seychelles</v>
      </c>
      <c r="B941" s="95" t="s">
        <v>185</v>
      </c>
      <c r="C941" s="60">
        <v>95312</v>
      </c>
      <c r="D941" s="95" t="s">
        <v>324</v>
      </c>
      <c r="E941" s="96">
        <v>0</v>
      </c>
      <c r="F941" s="97">
        <v>96714</v>
      </c>
      <c r="G941" s="96">
        <v>0</v>
      </c>
      <c r="H941" s="96"/>
      <c r="I941" s="96">
        <v>217</v>
      </c>
      <c r="J941" s="96"/>
      <c r="K941" s="96">
        <v>0</v>
      </c>
      <c r="L941" s="96"/>
      <c r="M941" s="96">
        <v>0</v>
      </c>
      <c r="N941" s="96"/>
      <c r="O941" s="96">
        <v>0</v>
      </c>
      <c r="P941" s="97">
        <v>103101.00000000003</v>
      </c>
      <c r="Q941" s="96">
        <v>0</v>
      </c>
      <c r="R941" s="96">
        <f t="shared" si="252"/>
        <v>124</v>
      </c>
      <c r="S941" s="96"/>
      <c r="T941" s="96">
        <v>0</v>
      </c>
      <c r="U941" s="96"/>
      <c r="V941" s="96">
        <v>0</v>
      </c>
      <c r="W941" s="96"/>
      <c r="X941" s="96">
        <v>0</v>
      </c>
      <c r="Y941" s="97">
        <v>107118.5</v>
      </c>
      <c r="Z941" s="96">
        <v>0</v>
      </c>
      <c r="AA941" s="96">
        <v>124</v>
      </c>
      <c r="AB941" s="98">
        <f t="shared" si="253"/>
        <v>217</v>
      </c>
      <c r="AC941" s="98">
        <f t="shared" si="254"/>
        <v>0</v>
      </c>
      <c r="AD941" s="98">
        <f t="shared" si="255"/>
        <v>0</v>
      </c>
      <c r="AE941" s="99">
        <f t="shared" si="256"/>
        <v>217</v>
      </c>
      <c r="AF941" s="99">
        <f t="shared" si="257"/>
        <v>2014</v>
      </c>
      <c r="AG941" s="99">
        <f t="shared" si="258"/>
        <v>124</v>
      </c>
      <c r="AH941" s="99" t="str">
        <f t="shared" si="259"/>
        <v>2018 (triag)</v>
      </c>
      <c r="AI941" s="99">
        <f t="shared" si="260"/>
        <v>124</v>
      </c>
      <c r="AJ941" s="99" t="str">
        <f t="shared" si="261"/>
        <v>2018 (triag)</v>
      </c>
      <c r="AK941" s="99" t="str">
        <f t="shared" si="262"/>
        <v/>
      </c>
      <c r="AL941" s="61">
        <f>IF(AK941="Adjust",(_xlfn.XLOOKUP(A941,'Adj factor'!A:A,'Adj factor'!I:I,,0)*AI941),'Master DataSheet'!AI941)</f>
        <v>124</v>
      </c>
      <c r="AM941" s="61">
        <f t="shared" si="263"/>
        <v>124</v>
      </c>
      <c r="AN941" s="62" t="str">
        <f t="shared" si="264"/>
        <v>No change</v>
      </c>
      <c r="AO941" s="100">
        <f>VLOOKUP(B941,'Growthrates source'!A$2:H$49,8,FALSE)</f>
        <v>-6.1731500721997512E-2</v>
      </c>
      <c r="AP941" s="100">
        <f>VLOOKUP(B941,'Growthrates source'!A$2:I$49,9,FALSE)</f>
        <v>0.10455737067903281</v>
      </c>
      <c r="AQ941" s="60">
        <f t="shared" si="265"/>
        <v>168.83789766818347</v>
      </c>
      <c r="AR941" s="60">
        <f t="shared" si="266"/>
        <v>169.686679989493</v>
      </c>
      <c r="AS941" s="101">
        <f t="shared" si="267"/>
        <v>22.437289327294909</v>
      </c>
      <c r="AT941" s="102">
        <f t="shared" si="268"/>
        <v>12.027041444796847</v>
      </c>
      <c r="AU941" s="102">
        <f t="shared" si="269"/>
        <v>11.575964936028791</v>
      </c>
      <c r="AV941" s="117"/>
    </row>
    <row r="942" spans="1:48" x14ac:dyDescent="0.3">
      <c r="A942" s="85" t="str">
        <f>_xlfn.XLOOKUP(B942,'Country codes &amp; Data sources'!G:G,'Country codes &amp; Data sources'!H:H,,0)</f>
        <v>Seychelles</v>
      </c>
      <c r="B942" s="85" t="s">
        <v>185</v>
      </c>
      <c r="C942" s="86">
        <v>95313</v>
      </c>
      <c r="D942" s="85" t="s">
        <v>325</v>
      </c>
      <c r="E942" s="87">
        <v>0</v>
      </c>
      <c r="F942" s="88">
        <v>96714</v>
      </c>
      <c r="G942" s="87">
        <v>0</v>
      </c>
      <c r="I942" s="87">
        <v>0</v>
      </c>
      <c r="K942" s="87">
        <v>0</v>
      </c>
      <c r="M942" s="87">
        <v>0</v>
      </c>
      <c r="O942" s="87">
        <v>0</v>
      </c>
      <c r="P942" s="88">
        <v>103101.00000000003</v>
      </c>
      <c r="Q942" s="87">
        <v>0</v>
      </c>
      <c r="R942" s="87">
        <f t="shared" si="252"/>
        <v>163</v>
      </c>
      <c r="T942" s="87">
        <v>0</v>
      </c>
      <c r="V942" s="87">
        <v>0</v>
      </c>
      <c r="X942" s="87">
        <v>0</v>
      </c>
      <c r="Y942" s="88">
        <v>107118.5</v>
      </c>
      <c r="Z942" s="87">
        <v>0</v>
      </c>
      <c r="AA942" s="87">
        <v>163</v>
      </c>
      <c r="AB942" s="89">
        <f t="shared" si="253"/>
        <v>0</v>
      </c>
      <c r="AC942" s="89">
        <f t="shared" si="254"/>
        <v>0</v>
      </c>
      <c r="AD942" s="89">
        <f t="shared" si="255"/>
        <v>0</v>
      </c>
      <c r="AE942" s="90">
        <f t="shared" si="256"/>
        <v>0</v>
      </c>
      <c r="AF942" s="90" t="str">
        <f t="shared" si="257"/>
        <v/>
      </c>
      <c r="AG942" s="90">
        <f t="shared" si="258"/>
        <v>163</v>
      </c>
      <c r="AH942" s="90" t="str">
        <f t="shared" si="259"/>
        <v>2018 (triag)</v>
      </c>
      <c r="AI942" s="90">
        <f t="shared" si="260"/>
        <v>163</v>
      </c>
      <c r="AJ942" s="90" t="str">
        <f t="shared" si="261"/>
        <v>2018 (triag)</v>
      </c>
      <c r="AK942" s="90" t="str">
        <f t="shared" si="262"/>
        <v/>
      </c>
      <c r="AL942" s="91">
        <f>IF(AK942="Adjust",(_xlfn.XLOOKUP(A942,'Adj factor'!A:A,'Adj factor'!I:I,,0)*AI942),'Master DataSheet'!AI942)</f>
        <v>163</v>
      </c>
      <c r="AM942" s="91">
        <f t="shared" si="263"/>
        <v>163</v>
      </c>
      <c r="AN942" s="92" t="str">
        <f t="shared" si="264"/>
        <v>No change</v>
      </c>
      <c r="AO942" s="93">
        <f>VLOOKUP(B942,'Growthrates source'!A$2:H$49,8,FALSE)</f>
        <v>-6.1731500721997512E-2</v>
      </c>
      <c r="AP942" s="93">
        <f>VLOOKUP(B942,'Growthrates source'!A$2:I$49,9,FALSE)</f>
        <v>0.10455737067903281</v>
      </c>
      <c r="AQ942" s="86">
        <f t="shared" si="265"/>
        <v>221.94013967672507</v>
      </c>
      <c r="AR942" s="86">
        <f t="shared" si="266"/>
        <v>223.05587772812385</v>
      </c>
      <c r="AS942" s="94">
        <f t="shared" si="267"/>
        <v>0</v>
      </c>
      <c r="AT942" s="94">
        <f t="shared" si="268"/>
        <v>15.809739963724887</v>
      </c>
      <c r="AU942" s="94">
        <f t="shared" si="269"/>
        <v>15.216792617521717</v>
      </c>
    </row>
    <row r="943" spans="1:48" x14ac:dyDescent="0.3">
      <c r="A943" s="85" t="str">
        <f>_xlfn.XLOOKUP(B943,'Country codes &amp; Data sources'!G:G,'Country codes &amp; Data sources'!H:H,,0)</f>
        <v>Seychelles</v>
      </c>
      <c r="B943" s="85" t="s">
        <v>185</v>
      </c>
      <c r="C943" s="86">
        <v>95314</v>
      </c>
      <c r="D943" s="85" t="s">
        <v>127</v>
      </c>
      <c r="E943" s="87">
        <v>0</v>
      </c>
      <c r="F943" s="88">
        <v>96714</v>
      </c>
      <c r="G943" s="87">
        <v>0</v>
      </c>
      <c r="I943" s="87">
        <v>0</v>
      </c>
      <c r="K943" s="87">
        <v>0</v>
      </c>
      <c r="M943" s="87">
        <v>0</v>
      </c>
      <c r="O943" s="87">
        <v>0</v>
      </c>
      <c r="P943" s="88">
        <v>103101.00000000003</v>
      </c>
      <c r="Q943" s="87">
        <v>0</v>
      </c>
      <c r="R943" s="87">
        <f t="shared" si="252"/>
        <v>0</v>
      </c>
      <c r="T943" s="87">
        <v>0</v>
      </c>
      <c r="V943" s="87">
        <v>0</v>
      </c>
      <c r="X943" s="87">
        <v>0</v>
      </c>
      <c r="Y943" s="88">
        <v>107118.5</v>
      </c>
      <c r="Z943" s="87">
        <v>0</v>
      </c>
      <c r="AA943" s="87">
        <v>0</v>
      </c>
      <c r="AB943" s="89">
        <f t="shared" si="253"/>
        <v>0</v>
      </c>
      <c r="AC943" s="89">
        <f t="shared" si="254"/>
        <v>0</v>
      </c>
      <c r="AD943" s="89">
        <f t="shared" si="255"/>
        <v>0</v>
      </c>
      <c r="AE943" s="90">
        <f t="shared" si="256"/>
        <v>0</v>
      </c>
      <c r="AF943" s="90" t="str">
        <f t="shared" si="257"/>
        <v/>
      </c>
      <c r="AG943" s="90">
        <f t="shared" si="258"/>
        <v>0</v>
      </c>
      <c r="AH943" s="90" t="str">
        <f t="shared" si="259"/>
        <v/>
      </c>
      <c r="AI943" s="90">
        <f t="shared" si="260"/>
        <v>0</v>
      </c>
      <c r="AJ943" s="90" t="str">
        <f t="shared" si="261"/>
        <v/>
      </c>
      <c r="AK943" s="90" t="str">
        <f t="shared" si="262"/>
        <v/>
      </c>
      <c r="AL943" s="91">
        <f>IF(AK943="Adjust",(_xlfn.XLOOKUP(A943,'Adj factor'!A:A,'Adj factor'!I:I,,0)*AI943),'Master DataSheet'!AI943)</f>
        <v>0</v>
      </c>
      <c r="AM943" s="91">
        <f t="shared" si="263"/>
        <v>0</v>
      </c>
      <c r="AN943" s="92" t="str">
        <f t="shared" si="264"/>
        <v>No change</v>
      </c>
      <c r="AO943" s="93">
        <f>VLOOKUP(B943,'Growthrates source'!A$2:H$49,8,FALSE)</f>
        <v>-6.1731500721997512E-2</v>
      </c>
      <c r="AP943" s="93">
        <f>VLOOKUP(B943,'Growthrates source'!A$2:I$49,9,FALSE)</f>
        <v>0.10455737067903281</v>
      </c>
      <c r="AQ943" s="86">
        <f t="shared" si="265"/>
        <v>0</v>
      </c>
      <c r="AR943" s="86">
        <f t="shared" si="266"/>
        <v>0</v>
      </c>
      <c r="AS943" s="94">
        <f t="shared" si="267"/>
        <v>0</v>
      </c>
      <c r="AT943" s="94">
        <f t="shared" si="268"/>
        <v>0</v>
      </c>
      <c r="AU943" s="94">
        <f t="shared" si="269"/>
        <v>0</v>
      </c>
    </row>
    <row r="944" spans="1:48" x14ac:dyDescent="0.3">
      <c r="A944" s="85" t="str">
        <f>_xlfn.XLOOKUP(B944,'Country codes &amp; Data sources'!G:G,'Country codes &amp; Data sources'!H:H,,0)</f>
        <v>Seychelles</v>
      </c>
      <c r="B944" s="85" t="s">
        <v>185</v>
      </c>
      <c r="C944" s="86">
        <v>95315</v>
      </c>
      <c r="D944" s="85" t="s">
        <v>61</v>
      </c>
      <c r="E944" s="87">
        <v>0</v>
      </c>
      <c r="F944" s="88">
        <v>96714</v>
      </c>
      <c r="G944" s="87">
        <v>0</v>
      </c>
      <c r="I944" s="87">
        <v>0</v>
      </c>
      <c r="K944" s="87">
        <v>0</v>
      </c>
      <c r="M944" s="87">
        <v>0</v>
      </c>
      <c r="O944" s="87">
        <v>0</v>
      </c>
      <c r="P944" s="88">
        <v>103101.00000000003</v>
      </c>
      <c r="Q944" s="87">
        <v>0</v>
      </c>
      <c r="R944" s="87">
        <f t="shared" si="252"/>
        <v>5</v>
      </c>
      <c r="T944" s="87">
        <v>0</v>
      </c>
      <c r="V944" s="87">
        <v>0</v>
      </c>
      <c r="X944" s="87">
        <v>0</v>
      </c>
      <c r="Y944" s="88">
        <v>107118.5</v>
      </c>
      <c r="Z944" s="87">
        <v>0</v>
      </c>
      <c r="AA944" s="87">
        <v>5</v>
      </c>
      <c r="AB944" s="89">
        <f t="shared" si="253"/>
        <v>0</v>
      </c>
      <c r="AC944" s="89">
        <f t="shared" si="254"/>
        <v>0</v>
      </c>
      <c r="AD944" s="89">
        <f t="shared" si="255"/>
        <v>0</v>
      </c>
      <c r="AE944" s="90">
        <f t="shared" si="256"/>
        <v>0</v>
      </c>
      <c r="AF944" s="90" t="str">
        <f t="shared" si="257"/>
        <v/>
      </c>
      <c r="AG944" s="90">
        <f t="shared" si="258"/>
        <v>5</v>
      </c>
      <c r="AH944" s="90" t="str">
        <f t="shared" si="259"/>
        <v>2018 (triag)</v>
      </c>
      <c r="AI944" s="90">
        <f t="shared" si="260"/>
        <v>5</v>
      </c>
      <c r="AJ944" s="90" t="str">
        <f t="shared" si="261"/>
        <v>2018 (triag)</v>
      </c>
      <c r="AK944" s="90" t="str">
        <f t="shared" si="262"/>
        <v/>
      </c>
      <c r="AL944" s="91">
        <f>IF(AK944="Adjust",(_xlfn.XLOOKUP(A944,'Adj factor'!A:A,'Adj factor'!I:I,,0)*AI944),'Master DataSheet'!AI944)</f>
        <v>5</v>
      </c>
      <c r="AM944" s="91">
        <f t="shared" si="263"/>
        <v>5</v>
      </c>
      <c r="AN944" s="92" t="str">
        <f t="shared" si="264"/>
        <v>No change</v>
      </c>
      <c r="AO944" s="93">
        <f>VLOOKUP(B944,'Growthrates source'!A$2:H$49,8,FALSE)</f>
        <v>-6.1731500721997512E-2</v>
      </c>
      <c r="AP944" s="93">
        <f>VLOOKUP(B944,'Growthrates source'!A$2:I$49,9,FALSE)</f>
        <v>0.10455737067903281</v>
      </c>
      <c r="AQ944" s="86">
        <f t="shared" si="265"/>
        <v>6.8079797446848174</v>
      </c>
      <c r="AR944" s="86">
        <f t="shared" si="266"/>
        <v>6.8422048382860083</v>
      </c>
      <c r="AS944" s="94">
        <f t="shared" si="267"/>
        <v>0</v>
      </c>
      <c r="AT944" s="94">
        <f t="shared" si="268"/>
        <v>0.48496134858051798</v>
      </c>
      <c r="AU944" s="94">
        <f t="shared" si="269"/>
        <v>0.46677277967858027</v>
      </c>
    </row>
    <row r="945" spans="1:47" x14ac:dyDescent="0.3">
      <c r="A945" s="85" t="str">
        <f>_xlfn.XLOOKUP(B945,'Country codes &amp; Data sources'!G:G,'Country codes &amp; Data sources'!H:H,,0)</f>
        <v>Seychelles</v>
      </c>
      <c r="B945" s="85" t="s">
        <v>185</v>
      </c>
      <c r="C945" s="86">
        <v>95316</v>
      </c>
      <c r="D945" s="85" t="s">
        <v>62</v>
      </c>
      <c r="E945" s="87">
        <v>0</v>
      </c>
      <c r="F945" s="88">
        <v>96714</v>
      </c>
      <c r="G945" s="87">
        <v>0</v>
      </c>
      <c r="I945" s="87">
        <v>0</v>
      </c>
      <c r="K945" s="87">
        <v>0</v>
      </c>
      <c r="M945" s="87">
        <v>0</v>
      </c>
      <c r="O945" s="87">
        <v>0</v>
      </c>
      <c r="P945" s="88">
        <v>103101.00000000003</v>
      </c>
      <c r="Q945" s="87">
        <v>0</v>
      </c>
      <c r="R945" s="87">
        <f t="shared" si="252"/>
        <v>50</v>
      </c>
      <c r="T945" s="87">
        <v>0</v>
      </c>
      <c r="V945" s="87">
        <v>0</v>
      </c>
      <c r="X945" s="87">
        <v>0</v>
      </c>
      <c r="Y945" s="88">
        <v>107118.5</v>
      </c>
      <c r="Z945" s="87">
        <v>0</v>
      </c>
      <c r="AA945" s="87">
        <v>50</v>
      </c>
      <c r="AB945" s="89">
        <f t="shared" si="253"/>
        <v>0</v>
      </c>
      <c r="AC945" s="89">
        <f t="shared" si="254"/>
        <v>0</v>
      </c>
      <c r="AD945" s="89">
        <f t="shared" si="255"/>
        <v>0</v>
      </c>
      <c r="AE945" s="90">
        <f t="shared" si="256"/>
        <v>0</v>
      </c>
      <c r="AF945" s="90" t="str">
        <f t="shared" si="257"/>
        <v/>
      </c>
      <c r="AG945" s="90">
        <f t="shared" si="258"/>
        <v>50</v>
      </c>
      <c r="AH945" s="90" t="str">
        <f t="shared" si="259"/>
        <v>2018 (triag)</v>
      </c>
      <c r="AI945" s="90">
        <f t="shared" si="260"/>
        <v>50</v>
      </c>
      <c r="AJ945" s="90" t="str">
        <f t="shared" si="261"/>
        <v>2018 (triag)</v>
      </c>
      <c r="AK945" s="90" t="str">
        <f t="shared" si="262"/>
        <v/>
      </c>
      <c r="AL945" s="91">
        <f>IF(AK945="Adjust",(_xlfn.XLOOKUP(A945,'Adj factor'!A:A,'Adj factor'!I:I,,0)*AI945),'Master DataSheet'!AI945)</f>
        <v>50</v>
      </c>
      <c r="AM945" s="91">
        <f t="shared" si="263"/>
        <v>50</v>
      </c>
      <c r="AN945" s="92" t="str">
        <f t="shared" si="264"/>
        <v>No change</v>
      </c>
      <c r="AO945" s="93">
        <f>VLOOKUP(B945,'Growthrates source'!A$2:H$49,8,FALSE)</f>
        <v>-6.1731500721997512E-2</v>
      </c>
      <c r="AP945" s="93">
        <f>VLOOKUP(B945,'Growthrates source'!A$2:I$49,9,FALSE)</f>
        <v>0.10455737067903281</v>
      </c>
      <c r="AQ945" s="86">
        <f t="shared" si="265"/>
        <v>68.079797446848175</v>
      </c>
      <c r="AR945" s="86">
        <f t="shared" si="266"/>
        <v>68.422048382860083</v>
      </c>
      <c r="AS945" s="94">
        <f t="shared" si="267"/>
        <v>0</v>
      </c>
      <c r="AT945" s="94">
        <f t="shared" si="268"/>
        <v>4.8496134858051798</v>
      </c>
      <c r="AU945" s="94">
        <f t="shared" si="269"/>
        <v>4.6677277967858029</v>
      </c>
    </row>
    <row r="946" spans="1:47" x14ac:dyDescent="0.3">
      <c r="A946" s="85" t="str">
        <f>_xlfn.XLOOKUP(B946,'Country codes &amp; Data sources'!G:G,'Country codes &amp; Data sources'!H:H,,0)</f>
        <v>Seychelles</v>
      </c>
      <c r="B946" s="85" t="s">
        <v>185</v>
      </c>
      <c r="C946" s="86">
        <v>95317</v>
      </c>
      <c r="D946" s="85" t="s">
        <v>203</v>
      </c>
      <c r="E946" s="87">
        <v>0</v>
      </c>
      <c r="F946" s="88">
        <v>96714</v>
      </c>
      <c r="G946" s="87">
        <v>0</v>
      </c>
      <c r="I946" s="87">
        <v>0</v>
      </c>
      <c r="K946" s="87">
        <v>0</v>
      </c>
      <c r="M946" s="87">
        <v>0</v>
      </c>
      <c r="O946" s="87">
        <v>0</v>
      </c>
      <c r="P946" s="88">
        <v>103101.00000000003</v>
      </c>
      <c r="Q946" s="87">
        <v>0</v>
      </c>
      <c r="R946" s="87">
        <f t="shared" si="252"/>
        <v>258</v>
      </c>
      <c r="T946" s="87">
        <v>0</v>
      </c>
      <c r="V946" s="87">
        <v>0</v>
      </c>
      <c r="X946" s="87">
        <v>0</v>
      </c>
      <c r="Y946" s="88">
        <v>107118.5</v>
      </c>
      <c r="Z946" s="87">
        <v>0</v>
      </c>
      <c r="AA946" s="87">
        <v>258</v>
      </c>
      <c r="AB946" s="89">
        <f t="shared" si="253"/>
        <v>0</v>
      </c>
      <c r="AC946" s="89">
        <f t="shared" si="254"/>
        <v>0</v>
      </c>
      <c r="AD946" s="89">
        <f t="shared" si="255"/>
        <v>0</v>
      </c>
      <c r="AE946" s="90">
        <f t="shared" si="256"/>
        <v>0</v>
      </c>
      <c r="AF946" s="90" t="str">
        <f t="shared" si="257"/>
        <v/>
      </c>
      <c r="AG946" s="90">
        <f t="shared" si="258"/>
        <v>258</v>
      </c>
      <c r="AH946" s="90" t="str">
        <f t="shared" si="259"/>
        <v>2018 (triag)</v>
      </c>
      <c r="AI946" s="90">
        <f t="shared" si="260"/>
        <v>258</v>
      </c>
      <c r="AJ946" s="90" t="str">
        <f t="shared" si="261"/>
        <v>2018 (triag)</v>
      </c>
      <c r="AK946" s="90" t="str">
        <f t="shared" si="262"/>
        <v/>
      </c>
      <c r="AL946" s="91">
        <f>IF(AK946="Adjust",(_xlfn.XLOOKUP(A946,'Adj factor'!A:A,'Adj factor'!I:I,,0)*AI946),'Master DataSheet'!AI946)</f>
        <v>258</v>
      </c>
      <c r="AM946" s="91">
        <f t="shared" si="263"/>
        <v>258</v>
      </c>
      <c r="AN946" s="92" t="str">
        <f t="shared" si="264"/>
        <v>No change</v>
      </c>
      <c r="AO946" s="93">
        <f>VLOOKUP(B946,'Growthrates source'!A$2:H$49,8,FALSE)</f>
        <v>-6.1731500721997512E-2</v>
      </c>
      <c r="AP946" s="93">
        <f>VLOOKUP(B946,'Growthrates source'!A$2:I$49,9,FALSE)</f>
        <v>0.10455737067903281</v>
      </c>
      <c r="AQ946" s="86">
        <f t="shared" si="265"/>
        <v>351.29175482573658</v>
      </c>
      <c r="AR946" s="86">
        <f t="shared" si="266"/>
        <v>353.05776965555799</v>
      </c>
      <c r="AS946" s="94">
        <f t="shared" si="267"/>
        <v>0</v>
      </c>
      <c r="AT946" s="94">
        <f t="shared" si="268"/>
        <v>25.024005586754729</v>
      </c>
      <c r="AU946" s="94">
        <f t="shared" si="269"/>
        <v>24.085475431414743</v>
      </c>
    </row>
    <row r="947" spans="1:47" x14ac:dyDescent="0.3">
      <c r="A947" s="85" t="str">
        <f>_xlfn.XLOOKUP(B947,'Country codes &amp; Data sources'!G:G,'Country codes &amp; Data sources'!H:H,,0)</f>
        <v>Seychelles</v>
      </c>
      <c r="B947" s="85" t="s">
        <v>185</v>
      </c>
      <c r="C947" s="86">
        <v>95318</v>
      </c>
      <c r="D947" s="85" t="s">
        <v>204</v>
      </c>
      <c r="E947" s="87">
        <v>0</v>
      </c>
      <c r="F947" s="88">
        <v>96714</v>
      </c>
      <c r="G947" s="87">
        <v>0</v>
      </c>
      <c r="I947" s="87">
        <v>0</v>
      </c>
      <c r="K947" s="87">
        <v>0</v>
      </c>
      <c r="M947" s="87">
        <v>0</v>
      </c>
      <c r="O947" s="87">
        <v>0</v>
      </c>
      <c r="P947" s="88">
        <v>103101.00000000003</v>
      </c>
      <c r="Q947" s="87">
        <v>0</v>
      </c>
      <c r="R947" s="87">
        <f t="shared" si="252"/>
        <v>0</v>
      </c>
      <c r="T947" s="87">
        <v>0</v>
      </c>
      <c r="V947" s="87">
        <v>0</v>
      </c>
      <c r="X947" s="87">
        <v>0</v>
      </c>
      <c r="Y947" s="88">
        <v>107118.5</v>
      </c>
      <c r="Z947" s="87">
        <v>0</v>
      </c>
      <c r="AA947" s="87">
        <v>0</v>
      </c>
      <c r="AB947" s="89">
        <f t="shared" si="253"/>
        <v>0</v>
      </c>
      <c r="AC947" s="89">
        <f t="shared" si="254"/>
        <v>0</v>
      </c>
      <c r="AD947" s="89">
        <f t="shared" si="255"/>
        <v>0</v>
      </c>
      <c r="AE947" s="90">
        <f t="shared" si="256"/>
        <v>0</v>
      </c>
      <c r="AF947" s="90" t="str">
        <f t="shared" si="257"/>
        <v/>
      </c>
      <c r="AG947" s="90">
        <f t="shared" si="258"/>
        <v>0</v>
      </c>
      <c r="AH947" s="90" t="str">
        <f t="shared" si="259"/>
        <v/>
      </c>
      <c r="AI947" s="90">
        <f t="shared" si="260"/>
        <v>0</v>
      </c>
      <c r="AJ947" s="90" t="str">
        <f t="shared" si="261"/>
        <v/>
      </c>
      <c r="AK947" s="90" t="str">
        <f t="shared" si="262"/>
        <v/>
      </c>
      <c r="AL947" s="91">
        <f>IF(AK947="Adjust",(_xlfn.XLOOKUP(A947,'Adj factor'!A:A,'Adj factor'!I:I,,0)*AI947),'Master DataSheet'!AI947)</f>
        <v>0</v>
      </c>
      <c r="AM947" s="91">
        <f t="shared" si="263"/>
        <v>0</v>
      </c>
      <c r="AN947" s="92" t="str">
        <f t="shared" si="264"/>
        <v>No change</v>
      </c>
      <c r="AO947" s="93">
        <f>VLOOKUP(B947,'Growthrates source'!A$2:H$49,8,FALSE)</f>
        <v>-6.1731500721997512E-2</v>
      </c>
      <c r="AP947" s="93">
        <f>VLOOKUP(B947,'Growthrates source'!A$2:I$49,9,FALSE)</f>
        <v>0.10455737067903281</v>
      </c>
      <c r="AQ947" s="86">
        <f t="shared" si="265"/>
        <v>0</v>
      </c>
      <c r="AR947" s="86">
        <f t="shared" si="266"/>
        <v>0</v>
      </c>
      <c r="AS947" s="94">
        <f t="shared" si="267"/>
        <v>0</v>
      </c>
      <c r="AT947" s="94">
        <f t="shared" si="268"/>
        <v>0</v>
      </c>
      <c r="AU947" s="94">
        <f t="shared" si="269"/>
        <v>0</v>
      </c>
    </row>
    <row r="948" spans="1:47" x14ac:dyDescent="0.3">
      <c r="A948" s="85" t="str">
        <f>_xlfn.XLOOKUP(B948,'Country codes &amp; Data sources'!G:G,'Country codes &amp; Data sources'!H:H,,0)</f>
        <v>Seychelles</v>
      </c>
      <c r="B948" s="85" t="s">
        <v>185</v>
      </c>
      <c r="C948" s="86">
        <v>95319</v>
      </c>
      <c r="D948" s="85" t="s">
        <v>205</v>
      </c>
      <c r="E948" s="87">
        <v>0</v>
      </c>
      <c r="F948" s="88">
        <v>96714</v>
      </c>
      <c r="G948" s="87">
        <v>0</v>
      </c>
      <c r="I948" s="87">
        <v>0</v>
      </c>
      <c r="K948" s="87">
        <v>0</v>
      </c>
      <c r="M948" s="87">
        <v>0</v>
      </c>
      <c r="O948" s="87">
        <v>0</v>
      </c>
      <c r="P948" s="88">
        <v>103101.00000000003</v>
      </c>
      <c r="Q948" s="87">
        <v>0</v>
      </c>
      <c r="R948" s="87">
        <f t="shared" si="252"/>
        <v>2</v>
      </c>
      <c r="T948" s="87">
        <v>14</v>
      </c>
      <c r="V948" s="87">
        <v>0</v>
      </c>
      <c r="X948" s="87">
        <v>4</v>
      </c>
      <c r="Y948" s="88">
        <v>107118.5</v>
      </c>
      <c r="Z948" s="87">
        <v>11</v>
      </c>
      <c r="AA948" s="87">
        <v>2</v>
      </c>
      <c r="AB948" s="89">
        <f t="shared" si="253"/>
        <v>0</v>
      </c>
      <c r="AC948" s="89">
        <f t="shared" si="254"/>
        <v>14</v>
      </c>
      <c r="AD948" s="89">
        <f t="shared" si="255"/>
        <v>11</v>
      </c>
      <c r="AE948" s="90">
        <f t="shared" si="256"/>
        <v>0</v>
      </c>
      <c r="AF948" s="90" t="str">
        <f t="shared" si="257"/>
        <v/>
      </c>
      <c r="AG948" s="90">
        <f t="shared" si="258"/>
        <v>2</v>
      </c>
      <c r="AH948" s="90" t="str">
        <f t="shared" si="259"/>
        <v>2018 (triag)</v>
      </c>
      <c r="AI948" s="90">
        <f t="shared" si="260"/>
        <v>11</v>
      </c>
      <c r="AJ948" s="90">
        <f t="shared" si="261"/>
        <v>2022</v>
      </c>
      <c r="AK948" s="90" t="str">
        <f t="shared" si="262"/>
        <v/>
      </c>
      <c r="AL948" s="91">
        <f>IF(AK948="Adjust",(_xlfn.XLOOKUP(A948,'Adj factor'!A:A,'Adj factor'!I:I,,0)*AI948),'Master DataSheet'!AI948)</f>
        <v>11</v>
      </c>
      <c r="AM948" s="61">
        <v>13</v>
      </c>
      <c r="AN948" s="92" t="str">
        <f t="shared" si="264"/>
        <v>Increasing</v>
      </c>
      <c r="AO948" s="93">
        <f>VLOOKUP(B948,'Growthrates source'!A$2:H$49,8,FALSE)</f>
        <v>-6.1731500721997512E-2</v>
      </c>
      <c r="AP948" s="93">
        <f>VLOOKUP(B948,'Growthrates source'!A$2:I$49,9,FALSE)</f>
        <v>0.10455737067903281</v>
      </c>
      <c r="AQ948" s="86">
        <f t="shared" si="265"/>
        <v>2.7231918978739271</v>
      </c>
      <c r="AR948" s="86">
        <f t="shared" si="266"/>
        <v>2.7368819353144032</v>
      </c>
      <c r="AS948" s="94">
        <f t="shared" si="267"/>
        <v>0</v>
      </c>
      <c r="AT948" s="94">
        <f t="shared" si="268"/>
        <v>0.1939845394322072</v>
      </c>
      <c r="AU948" s="94">
        <f t="shared" si="269"/>
        <v>1.2136092271643086</v>
      </c>
    </row>
    <row r="949" spans="1:47" x14ac:dyDescent="0.3">
      <c r="A949" s="85" t="str">
        <f>_xlfn.XLOOKUP(B949,'Country codes &amp; Data sources'!G:G,'Country codes &amp; Data sources'!H:H,,0)</f>
        <v>Seychelles</v>
      </c>
      <c r="B949" s="85" t="s">
        <v>185</v>
      </c>
      <c r="C949" s="86">
        <v>95320</v>
      </c>
      <c r="D949" s="85" t="s">
        <v>133</v>
      </c>
      <c r="E949" s="87">
        <v>0</v>
      </c>
      <c r="F949" s="88">
        <v>96714</v>
      </c>
      <c r="G949" s="87">
        <v>0</v>
      </c>
      <c r="I949" s="87">
        <v>0</v>
      </c>
      <c r="K949" s="87">
        <v>0</v>
      </c>
      <c r="M949" s="87">
        <v>0</v>
      </c>
      <c r="O949" s="87">
        <v>0</v>
      </c>
      <c r="P949" s="88">
        <v>103101.00000000003</v>
      </c>
      <c r="Q949" s="87">
        <v>71</v>
      </c>
      <c r="R949" s="87">
        <f t="shared" si="252"/>
        <v>71</v>
      </c>
      <c r="T949" s="87">
        <v>0</v>
      </c>
      <c r="V949" s="87">
        <v>0</v>
      </c>
      <c r="X949" s="87">
        <v>0</v>
      </c>
      <c r="Y949" s="88">
        <v>107118.5</v>
      </c>
      <c r="Z949" s="87">
        <v>0</v>
      </c>
      <c r="AA949" s="87">
        <v>70</v>
      </c>
      <c r="AB949" s="89">
        <f t="shared" si="253"/>
        <v>0</v>
      </c>
      <c r="AC949" s="89">
        <f t="shared" si="254"/>
        <v>71</v>
      </c>
      <c r="AD949" s="89">
        <f t="shared" si="255"/>
        <v>0</v>
      </c>
      <c r="AE949" s="90">
        <f t="shared" si="256"/>
        <v>0</v>
      </c>
      <c r="AF949" s="90" t="str">
        <f t="shared" si="257"/>
        <v/>
      </c>
      <c r="AG949" s="90">
        <f t="shared" si="258"/>
        <v>71</v>
      </c>
      <c r="AH949" s="90">
        <f t="shared" si="259"/>
        <v>2018</v>
      </c>
      <c r="AI949" s="90">
        <f t="shared" si="260"/>
        <v>71</v>
      </c>
      <c r="AJ949" s="90">
        <f t="shared" si="261"/>
        <v>2018</v>
      </c>
      <c r="AK949" s="90" t="str">
        <f t="shared" si="262"/>
        <v/>
      </c>
      <c r="AL949" s="91">
        <f>IF(AK949="Adjust",(_xlfn.XLOOKUP(A949,'Adj factor'!A:A,'Adj factor'!I:I,,0)*AI949),'Master DataSheet'!AI949)</f>
        <v>71</v>
      </c>
      <c r="AM949" s="91">
        <f t="shared" si="263"/>
        <v>71</v>
      </c>
      <c r="AN949" s="92" t="str">
        <f t="shared" si="264"/>
        <v>No change</v>
      </c>
      <c r="AO949" s="93">
        <f>VLOOKUP(B949,'Growthrates source'!A$2:H$49,8,FALSE)</f>
        <v>-6.1731500721997512E-2</v>
      </c>
      <c r="AP949" s="93">
        <f>VLOOKUP(B949,'Growthrates source'!A$2:I$49,9,FALSE)</f>
        <v>0.10455737067903281</v>
      </c>
      <c r="AQ949" s="86">
        <f t="shared" si="265"/>
        <v>95.311716425587448</v>
      </c>
      <c r="AR949" s="86">
        <f t="shared" si="266"/>
        <v>95.790867736004117</v>
      </c>
      <c r="AS949" s="94">
        <f t="shared" si="267"/>
        <v>0</v>
      </c>
      <c r="AT949" s="94">
        <f t="shared" si="268"/>
        <v>6.8864511498433556</v>
      </c>
      <c r="AU949" s="94">
        <f t="shared" si="269"/>
        <v>6.62817347143584</v>
      </c>
    </row>
    <row r="950" spans="1:47" x14ac:dyDescent="0.3">
      <c r="A950" s="85" t="str">
        <f>_xlfn.XLOOKUP(B950,'Country codes &amp; Data sources'!G:G,'Country codes &amp; Data sources'!H:H,,0)</f>
        <v>Seychelles</v>
      </c>
      <c r="B950" s="85" t="s">
        <v>185</v>
      </c>
      <c r="C950" s="86">
        <v>95321</v>
      </c>
      <c r="D950" s="85" t="s">
        <v>206</v>
      </c>
      <c r="E950" s="87">
        <v>0</v>
      </c>
      <c r="F950" s="88">
        <v>96714</v>
      </c>
      <c r="G950" s="87">
        <v>0</v>
      </c>
      <c r="I950" s="87">
        <v>0</v>
      </c>
      <c r="K950" s="87">
        <v>0</v>
      </c>
      <c r="M950" s="87">
        <v>0</v>
      </c>
      <c r="O950" s="87">
        <v>0</v>
      </c>
      <c r="P950" s="88">
        <v>103101.00000000003</v>
      </c>
      <c r="Q950" s="87">
        <v>0</v>
      </c>
      <c r="R950" s="87">
        <f t="shared" si="252"/>
        <v>0</v>
      </c>
      <c r="T950" s="87">
        <v>0</v>
      </c>
      <c r="V950" s="87">
        <v>0</v>
      </c>
      <c r="X950" s="87">
        <v>0</v>
      </c>
      <c r="Y950" s="88">
        <v>107118.5</v>
      </c>
      <c r="Z950" s="87">
        <v>0</v>
      </c>
      <c r="AA950" s="87">
        <v>0</v>
      </c>
      <c r="AB950" s="89">
        <f t="shared" si="253"/>
        <v>0</v>
      </c>
      <c r="AC950" s="89">
        <f t="shared" si="254"/>
        <v>0</v>
      </c>
      <c r="AD950" s="89">
        <f t="shared" si="255"/>
        <v>0</v>
      </c>
      <c r="AE950" s="90">
        <f t="shared" si="256"/>
        <v>0</v>
      </c>
      <c r="AF950" s="90" t="str">
        <f t="shared" si="257"/>
        <v/>
      </c>
      <c r="AG950" s="90">
        <f t="shared" si="258"/>
        <v>0</v>
      </c>
      <c r="AH950" s="90" t="str">
        <f t="shared" si="259"/>
        <v/>
      </c>
      <c r="AI950" s="90">
        <f t="shared" si="260"/>
        <v>0</v>
      </c>
      <c r="AJ950" s="90" t="str">
        <f t="shared" si="261"/>
        <v/>
      </c>
      <c r="AK950" s="90" t="str">
        <f t="shared" si="262"/>
        <v/>
      </c>
      <c r="AL950" s="91">
        <f>IF(AK950="Adjust",(_xlfn.XLOOKUP(A950,'Adj factor'!A:A,'Adj factor'!I:I,,0)*AI950),'Master DataSheet'!AI950)</f>
        <v>0</v>
      </c>
      <c r="AM950" s="91">
        <f t="shared" si="263"/>
        <v>0</v>
      </c>
      <c r="AN950" s="92" t="str">
        <f t="shared" si="264"/>
        <v>No change</v>
      </c>
      <c r="AO950" s="93">
        <f>VLOOKUP(B950,'Growthrates source'!A$2:H$49,8,FALSE)</f>
        <v>-6.1731500721997512E-2</v>
      </c>
      <c r="AP950" s="93">
        <f>VLOOKUP(B950,'Growthrates source'!A$2:I$49,9,FALSE)</f>
        <v>0.10455737067903281</v>
      </c>
      <c r="AQ950" s="86">
        <f t="shared" si="265"/>
        <v>0</v>
      </c>
      <c r="AR950" s="86">
        <f t="shared" si="266"/>
        <v>0</v>
      </c>
      <c r="AS950" s="94">
        <f t="shared" si="267"/>
        <v>0</v>
      </c>
      <c r="AT950" s="94">
        <f t="shared" si="268"/>
        <v>0</v>
      </c>
      <c r="AU950" s="94">
        <f t="shared" si="269"/>
        <v>0</v>
      </c>
    </row>
    <row r="951" spans="1:47" x14ac:dyDescent="0.3">
      <c r="A951" s="85" t="str">
        <f>_xlfn.XLOOKUP(B951,'Country codes &amp; Data sources'!G:G,'Country codes &amp; Data sources'!H:H,,0)</f>
        <v>Seychelles</v>
      </c>
      <c r="B951" s="85" t="s">
        <v>185</v>
      </c>
      <c r="C951" s="86">
        <v>95322</v>
      </c>
      <c r="D951" s="85" t="s">
        <v>136</v>
      </c>
      <c r="E951" s="87">
        <v>0</v>
      </c>
      <c r="F951" s="88">
        <v>96714</v>
      </c>
      <c r="G951" s="87">
        <v>0</v>
      </c>
      <c r="I951" s="87">
        <v>0</v>
      </c>
      <c r="K951" s="87">
        <v>0</v>
      </c>
      <c r="M951" s="87">
        <v>0</v>
      </c>
      <c r="O951" s="87">
        <v>0</v>
      </c>
      <c r="P951" s="88">
        <v>103101.00000000003</v>
      </c>
      <c r="Q951" s="87">
        <v>0</v>
      </c>
      <c r="R951" s="87">
        <f t="shared" si="252"/>
        <v>7</v>
      </c>
      <c r="T951" s="87">
        <v>0</v>
      </c>
      <c r="V951" s="87">
        <v>0</v>
      </c>
      <c r="X951" s="87">
        <v>0</v>
      </c>
      <c r="Y951" s="88">
        <v>107118.5</v>
      </c>
      <c r="Z951" s="87">
        <v>0</v>
      </c>
      <c r="AA951" s="87">
        <v>7</v>
      </c>
      <c r="AB951" s="89">
        <f t="shared" si="253"/>
        <v>0</v>
      </c>
      <c r="AC951" s="89">
        <f t="shared" si="254"/>
        <v>0</v>
      </c>
      <c r="AD951" s="89">
        <f t="shared" si="255"/>
        <v>0</v>
      </c>
      <c r="AE951" s="90">
        <f t="shared" si="256"/>
        <v>0</v>
      </c>
      <c r="AF951" s="90" t="str">
        <f t="shared" si="257"/>
        <v/>
      </c>
      <c r="AG951" s="90">
        <f t="shared" si="258"/>
        <v>7</v>
      </c>
      <c r="AH951" s="90" t="str">
        <f t="shared" si="259"/>
        <v>2018 (triag)</v>
      </c>
      <c r="AI951" s="90">
        <f t="shared" si="260"/>
        <v>7</v>
      </c>
      <c r="AJ951" s="90" t="str">
        <f t="shared" si="261"/>
        <v>2018 (triag)</v>
      </c>
      <c r="AK951" s="90" t="str">
        <f t="shared" si="262"/>
        <v/>
      </c>
      <c r="AL951" s="91">
        <f>IF(AK951="Adjust",(_xlfn.XLOOKUP(A951,'Adj factor'!A:A,'Adj factor'!I:I,,0)*AI951),'Master DataSheet'!AI951)</f>
        <v>7</v>
      </c>
      <c r="AM951" s="91">
        <f t="shared" si="263"/>
        <v>7</v>
      </c>
      <c r="AN951" s="92" t="str">
        <f t="shared" si="264"/>
        <v>No change</v>
      </c>
      <c r="AO951" s="93">
        <f>VLOOKUP(B951,'Growthrates source'!A$2:H$49,8,FALSE)</f>
        <v>-6.1731500721997512E-2</v>
      </c>
      <c r="AP951" s="93">
        <f>VLOOKUP(B951,'Growthrates source'!A$2:I$49,9,FALSE)</f>
        <v>0.10455737067903281</v>
      </c>
      <c r="AQ951" s="86">
        <f t="shared" si="265"/>
        <v>9.5311716425587445</v>
      </c>
      <c r="AR951" s="86">
        <f t="shared" si="266"/>
        <v>9.5790867736004106</v>
      </c>
      <c r="AS951" s="94">
        <f t="shared" si="267"/>
        <v>0</v>
      </c>
      <c r="AT951" s="94">
        <f t="shared" si="268"/>
        <v>0.67894588801272515</v>
      </c>
      <c r="AU951" s="94">
        <f t="shared" si="269"/>
        <v>0.65348189155001235</v>
      </c>
    </row>
    <row r="952" spans="1:47" x14ac:dyDescent="0.3">
      <c r="A952" s="85" t="str">
        <f>_xlfn.XLOOKUP(B952,'Country codes &amp; Data sources'!G:G,'Country codes &amp; Data sources'!H:H,,0)</f>
        <v>Seychelles</v>
      </c>
      <c r="B952" s="85" t="s">
        <v>185</v>
      </c>
      <c r="C952" s="86">
        <v>95323</v>
      </c>
      <c r="D952" s="85" t="s">
        <v>207</v>
      </c>
      <c r="E952" s="87">
        <v>0</v>
      </c>
      <c r="F952" s="88">
        <v>96714</v>
      </c>
      <c r="G952" s="87">
        <v>0</v>
      </c>
      <c r="I952" s="87">
        <v>0</v>
      </c>
      <c r="K952" s="87">
        <v>0</v>
      </c>
      <c r="M952" s="87">
        <v>0</v>
      </c>
      <c r="O952" s="87">
        <v>0</v>
      </c>
      <c r="P952" s="88">
        <v>103101.00000000003</v>
      </c>
      <c r="Q952" s="87">
        <v>0</v>
      </c>
      <c r="R952" s="87">
        <f t="shared" si="252"/>
        <v>0</v>
      </c>
      <c r="T952" s="87">
        <v>0</v>
      </c>
      <c r="V952" s="87">
        <v>0</v>
      </c>
      <c r="X952" s="87">
        <v>0</v>
      </c>
      <c r="Y952" s="88">
        <v>107118.5</v>
      </c>
      <c r="Z952" s="87">
        <v>0</v>
      </c>
      <c r="AA952" s="87">
        <v>0</v>
      </c>
      <c r="AB952" s="89">
        <f t="shared" si="253"/>
        <v>0</v>
      </c>
      <c r="AC952" s="89">
        <f t="shared" si="254"/>
        <v>0</v>
      </c>
      <c r="AD952" s="89">
        <f t="shared" si="255"/>
        <v>0</v>
      </c>
      <c r="AE952" s="90">
        <f t="shared" si="256"/>
        <v>0</v>
      </c>
      <c r="AF952" s="90" t="str">
        <f t="shared" si="257"/>
        <v/>
      </c>
      <c r="AG952" s="90">
        <f t="shared" si="258"/>
        <v>0</v>
      </c>
      <c r="AH952" s="90" t="str">
        <f t="shared" si="259"/>
        <v/>
      </c>
      <c r="AI952" s="90">
        <f t="shared" si="260"/>
        <v>0</v>
      </c>
      <c r="AJ952" s="90" t="str">
        <f t="shared" si="261"/>
        <v/>
      </c>
      <c r="AK952" s="90" t="str">
        <f t="shared" si="262"/>
        <v/>
      </c>
      <c r="AL952" s="91">
        <f>IF(AK952="Adjust",(_xlfn.XLOOKUP(A952,'Adj factor'!A:A,'Adj factor'!I:I,,0)*AI952),'Master DataSheet'!AI952)</f>
        <v>0</v>
      </c>
      <c r="AM952" s="91">
        <f t="shared" si="263"/>
        <v>0</v>
      </c>
      <c r="AN952" s="92" t="str">
        <f t="shared" si="264"/>
        <v>No change</v>
      </c>
      <c r="AO952" s="93">
        <f>VLOOKUP(B952,'Growthrates source'!A$2:H$49,8,FALSE)</f>
        <v>-6.1731500721997512E-2</v>
      </c>
      <c r="AP952" s="93">
        <f>VLOOKUP(B952,'Growthrates source'!A$2:I$49,9,FALSE)</f>
        <v>0.10455737067903281</v>
      </c>
      <c r="AQ952" s="86">
        <f t="shared" si="265"/>
        <v>0</v>
      </c>
      <c r="AR952" s="86">
        <f t="shared" si="266"/>
        <v>0</v>
      </c>
      <c r="AS952" s="94">
        <f t="shared" si="267"/>
        <v>0</v>
      </c>
      <c r="AT952" s="94">
        <f t="shared" si="268"/>
        <v>0</v>
      </c>
      <c r="AU952" s="94">
        <f t="shared" si="269"/>
        <v>0</v>
      </c>
    </row>
    <row r="953" spans="1:47" x14ac:dyDescent="0.3">
      <c r="A953" s="85" t="str">
        <f>_xlfn.XLOOKUP(B953,'Country codes &amp; Data sources'!G:G,'Country codes &amp; Data sources'!H:H,,0)</f>
        <v>Seychelles</v>
      </c>
      <c r="B953" s="85" t="s">
        <v>185</v>
      </c>
      <c r="C953" s="86">
        <v>95324</v>
      </c>
      <c r="D953" s="85" t="s">
        <v>141</v>
      </c>
      <c r="E953" s="87">
        <v>0</v>
      </c>
      <c r="F953" s="88">
        <v>96714</v>
      </c>
      <c r="G953" s="87">
        <v>0</v>
      </c>
      <c r="I953" s="87">
        <v>0</v>
      </c>
      <c r="K953" s="87">
        <v>0</v>
      </c>
      <c r="M953" s="87">
        <v>0</v>
      </c>
      <c r="O953" s="87">
        <v>0</v>
      </c>
      <c r="P953" s="88">
        <v>103101.00000000003</v>
      </c>
      <c r="Q953" s="87">
        <v>0</v>
      </c>
      <c r="R953" s="87">
        <f t="shared" si="252"/>
        <v>28</v>
      </c>
      <c r="T953" s="87">
        <v>0</v>
      </c>
      <c r="V953" s="87">
        <v>0</v>
      </c>
      <c r="X953" s="87">
        <v>22</v>
      </c>
      <c r="Y953" s="88">
        <v>107118.5</v>
      </c>
      <c r="Z953" s="87">
        <v>0</v>
      </c>
      <c r="AA953" s="87">
        <v>28</v>
      </c>
      <c r="AB953" s="89">
        <f t="shared" si="253"/>
        <v>0</v>
      </c>
      <c r="AC953" s="89">
        <f t="shared" si="254"/>
        <v>0</v>
      </c>
      <c r="AD953" s="89">
        <f t="shared" si="255"/>
        <v>22</v>
      </c>
      <c r="AE953" s="90">
        <f t="shared" si="256"/>
        <v>0</v>
      </c>
      <c r="AF953" s="90" t="str">
        <f t="shared" si="257"/>
        <v/>
      </c>
      <c r="AG953" s="90">
        <f t="shared" si="258"/>
        <v>28</v>
      </c>
      <c r="AH953" s="90" t="str">
        <f t="shared" si="259"/>
        <v>2018 (triag)</v>
      </c>
      <c r="AI953" s="90">
        <f t="shared" si="260"/>
        <v>22</v>
      </c>
      <c r="AJ953" s="90">
        <f t="shared" si="261"/>
        <v>2021</v>
      </c>
      <c r="AK953" s="90" t="str">
        <f t="shared" si="262"/>
        <v>Adjust</v>
      </c>
      <c r="AL953" s="91">
        <f>IF(AK953="Adjust",(_xlfn.XLOOKUP(A953,'Adj factor'!A:A,'Adj factor'!I:I,,0)*AI953),'Master DataSheet'!AI953)</f>
        <v>25.284570175049133</v>
      </c>
      <c r="AM953" s="91">
        <f t="shared" si="263"/>
        <v>28</v>
      </c>
      <c r="AN953" s="92" t="str">
        <f t="shared" si="264"/>
        <v>Decreasing</v>
      </c>
      <c r="AO953" s="93">
        <f>VLOOKUP(B953,'Growthrates source'!A$2:H$49,8,FALSE)</f>
        <v>-6.1731500721997512E-2</v>
      </c>
      <c r="AP953" s="93">
        <f>VLOOKUP(B953,'Growthrates source'!A$2:I$49,9,FALSE)</f>
        <v>0.10455737067903281</v>
      </c>
      <c r="AQ953" s="86">
        <f t="shared" si="265"/>
        <v>38.124686570234978</v>
      </c>
      <c r="AR953" s="86">
        <f t="shared" si="266"/>
        <v>38.316347094401642</v>
      </c>
      <c r="AS953" s="94">
        <f t="shared" si="267"/>
        <v>0</v>
      </c>
      <c r="AT953" s="94">
        <f t="shared" si="268"/>
        <v>2.7157835520509006</v>
      </c>
      <c r="AU953" s="94">
        <f t="shared" si="269"/>
        <v>2.6139275662000494</v>
      </c>
    </row>
    <row r="954" spans="1:47" x14ac:dyDescent="0.3">
      <c r="A954" s="85" t="str">
        <f>_xlfn.XLOOKUP(B954,'Country codes &amp; Data sources'!G:G,'Country codes &amp; Data sources'!H:H,,0)</f>
        <v>Seychelles</v>
      </c>
      <c r="B954" s="85" t="s">
        <v>185</v>
      </c>
      <c r="C954" s="86">
        <v>95325</v>
      </c>
      <c r="D954" s="85" t="s">
        <v>208</v>
      </c>
      <c r="E954" s="87">
        <v>0</v>
      </c>
      <c r="F954" s="88">
        <v>96714</v>
      </c>
      <c r="G954" s="87">
        <v>0</v>
      </c>
      <c r="I954" s="87">
        <v>0</v>
      </c>
      <c r="K954" s="87">
        <v>0</v>
      </c>
      <c r="M954" s="87">
        <v>0</v>
      </c>
      <c r="O954" s="87">
        <v>0</v>
      </c>
      <c r="P954" s="88">
        <v>103101.00000000003</v>
      </c>
      <c r="Q954" s="87">
        <v>0</v>
      </c>
      <c r="R954" s="87">
        <f t="shared" si="252"/>
        <v>0</v>
      </c>
      <c r="T954" s="87">
        <v>0</v>
      </c>
      <c r="V954" s="87">
        <v>0</v>
      </c>
      <c r="X954" s="87">
        <v>0</v>
      </c>
      <c r="Y954" s="88">
        <v>107118.5</v>
      </c>
      <c r="Z954" s="87">
        <v>0</v>
      </c>
      <c r="AA954" s="87">
        <v>0</v>
      </c>
      <c r="AB954" s="89">
        <f t="shared" si="253"/>
        <v>0</v>
      </c>
      <c r="AC954" s="89">
        <f t="shared" si="254"/>
        <v>0</v>
      </c>
      <c r="AD954" s="89">
        <f t="shared" si="255"/>
        <v>0</v>
      </c>
      <c r="AE954" s="90">
        <f t="shared" si="256"/>
        <v>0</v>
      </c>
      <c r="AF954" s="90" t="str">
        <f t="shared" si="257"/>
        <v/>
      </c>
      <c r="AG954" s="90">
        <f t="shared" si="258"/>
        <v>0</v>
      </c>
      <c r="AH954" s="90" t="str">
        <f t="shared" si="259"/>
        <v/>
      </c>
      <c r="AI954" s="90">
        <f t="shared" si="260"/>
        <v>0</v>
      </c>
      <c r="AJ954" s="90" t="str">
        <f t="shared" si="261"/>
        <v/>
      </c>
      <c r="AK954" s="90" t="str">
        <f t="shared" si="262"/>
        <v/>
      </c>
      <c r="AL954" s="91">
        <f>IF(AK954="Adjust",(_xlfn.XLOOKUP(A954,'Adj factor'!A:A,'Adj factor'!I:I,,0)*AI954),'Master DataSheet'!AI954)</f>
        <v>0</v>
      </c>
      <c r="AM954" s="91">
        <f t="shared" si="263"/>
        <v>0</v>
      </c>
      <c r="AN954" s="92" t="str">
        <f t="shared" si="264"/>
        <v>No change</v>
      </c>
      <c r="AO954" s="93">
        <f>VLOOKUP(B954,'Growthrates source'!A$2:H$49,8,FALSE)</f>
        <v>-6.1731500721997512E-2</v>
      </c>
      <c r="AP954" s="93">
        <f>VLOOKUP(B954,'Growthrates source'!A$2:I$49,9,FALSE)</f>
        <v>0.10455737067903281</v>
      </c>
      <c r="AQ954" s="86">
        <f t="shared" si="265"/>
        <v>0</v>
      </c>
      <c r="AR954" s="86">
        <f t="shared" si="266"/>
        <v>0</v>
      </c>
      <c r="AS954" s="94">
        <f t="shared" si="267"/>
        <v>0</v>
      </c>
      <c r="AT954" s="94">
        <f t="shared" si="268"/>
        <v>0</v>
      </c>
      <c r="AU954" s="94">
        <f t="shared" si="269"/>
        <v>0</v>
      </c>
    </row>
    <row r="955" spans="1:47" x14ac:dyDescent="0.3">
      <c r="A955" s="85" t="str">
        <f>_xlfn.XLOOKUP(B955,'Country codes &amp; Data sources'!G:G,'Country codes &amp; Data sources'!H:H,,0)</f>
        <v>Seychelles</v>
      </c>
      <c r="B955" s="85" t="s">
        <v>185</v>
      </c>
      <c r="C955" s="86">
        <v>95326</v>
      </c>
      <c r="D955" s="85" t="s">
        <v>209</v>
      </c>
      <c r="E955" s="87">
        <v>0</v>
      </c>
      <c r="F955" s="88">
        <v>96714</v>
      </c>
      <c r="G955" s="87">
        <v>0</v>
      </c>
      <c r="I955" s="87">
        <v>0</v>
      </c>
      <c r="K955" s="87">
        <v>0</v>
      </c>
      <c r="M955" s="87">
        <v>0</v>
      </c>
      <c r="O955" s="87">
        <v>0</v>
      </c>
      <c r="P955" s="88">
        <v>103101.00000000003</v>
      </c>
      <c r="Q955" s="87">
        <v>0</v>
      </c>
      <c r="R955" s="87">
        <f t="shared" si="252"/>
        <v>0</v>
      </c>
      <c r="T955" s="87">
        <v>0</v>
      </c>
      <c r="V955" s="87">
        <v>0</v>
      </c>
      <c r="X955" s="87">
        <v>0</v>
      </c>
      <c r="Y955" s="88">
        <v>107118.5</v>
      </c>
      <c r="Z955" s="87">
        <v>0</v>
      </c>
      <c r="AA955" s="87">
        <v>0</v>
      </c>
      <c r="AB955" s="89">
        <f t="shared" si="253"/>
        <v>0</v>
      </c>
      <c r="AC955" s="89">
        <f t="shared" si="254"/>
        <v>0</v>
      </c>
      <c r="AD955" s="89">
        <f t="shared" si="255"/>
        <v>0</v>
      </c>
      <c r="AE955" s="90">
        <f t="shared" si="256"/>
        <v>0</v>
      </c>
      <c r="AF955" s="90" t="str">
        <f t="shared" si="257"/>
        <v/>
      </c>
      <c r="AG955" s="90">
        <f t="shared" si="258"/>
        <v>0</v>
      </c>
      <c r="AH955" s="90" t="str">
        <f t="shared" si="259"/>
        <v/>
      </c>
      <c r="AI955" s="90">
        <f t="shared" si="260"/>
        <v>0</v>
      </c>
      <c r="AJ955" s="90" t="str">
        <f t="shared" si="261"/>
        <v/>
      </c>
      <c r="AK955" s="90" t="str">
        <f t="shared" si="262"/>
        <v/>
      </c>
      <c r="AL955" s="91">
        <f>IF(AK955="Adjust",(_xlfn.XLOOKUP(A955,'Adj factor'!A:A,'Adj factor'!I:I,,0)*AI955),'Master DataSheet'!AI955)</f>
        <v>0</v>
      </c>
      <c r="AM955" s="91">
        <f t="shared" si="263"/>
        <v>0</v>
      </c>
      <c r="AN955" s="92" t="str">
        <f t="shared" si="264"/>
        <v>No change</v>
      </c>
      <c r="AO955" s="93">
        <f>VLOOKUP(B955,'Growthrates source'!A$2:H$49,8,FALSE)</f>
        <v>-6.1731500721997512E-2</v>
      </c>
      <c r="AP955" s="93">
        <f>VLOOKUP(B955,'Growthrates source'!A$2:I$49,9,FALSE)</f>
        <v>0.10455737067903281</v>
      </c>
      <c r="AQ955" s="86">
        <f t="shared" si="265"/>
        <v>0</v>
      </c>
      <c r="AR955" s="86">
        <f t="shared" si="266"/>
        <v>0</v>
      </c>
      <c r="AS955" s="94">
        <f t="shared" si="267"/>
        <v>0</v>
      </c>
      <c r="AT955" s="94">
        <f t="shared" si="268"/>
        <v>0</v>
      </c>
      <c r="AU955" s="94">
        <f t="shared" si="269"/>
        <v>0</v>
      </c>
    </row>
    <row r="956" spans="1:47" x14ac:dyDescent="0.3">
      <c r="A956" s="85" t="str">
        <f>_xlfn.XLOOKUP(B956,'Country codes &amp; Data sources'!G:G,'Country codes &amp; Data sources'!H:H,,0)</f>
        <v>Seychelles</v>
      </c>
      <c r="B956" s="85" t="s">
        <v>185</v>
      </c>
      <c r="C956" s="86">
        <v>95327</v>
      </c>
      <c r="D956" s="85" t="s">
        <v>134</v>
      </c>
      <c r="E956" s="87">
        <v>0</v>
      </c>
      <c r="F956" s="88">
        <v>96714</v>
      </c>
      <c r="G956" s="87">
        <v>0</v>
      </c>
      <c r="I956" s="87">
        <v>0</v>
      </c>
      <c r="K956" s="87">
        <v>0</v>
      </c>
      <c r="M956" s="87">
        <v>0</v>
      </c>
      <c r="O956" s="87">
        <v>0</v>
      </c>
      <c r="P956" s="88">
        <v>103101.00000000003</v>
      </c>
      <c r="Q956" s="87">
        <v>0</v>
      </c>
      <c r="R956" s="87">
        <f t="shared" si="252"/>
        <v>71</v>
      </c>
      <c r="T956" s="87">
        <v>0</v>
      </c>
      <c r="V956" s="87">
        <v>0</v>
      </c>
      <c r="X956" s="87">
        <v>0</v>
      </c>
      <c r="Y956" s="88">
        <v>107118.5</v>
      </c>
      <c r="Z956" s="87">
        <v>0</v>
      </c>
      <c r="AA956" s="87">
        <v>71</v>
      </c>
      <c r="AB956" s="89">
        <f t="shared" si="253"/>
        <v>0</v>
      </c>
      <c r="AC956" s="89">
        <f t="shared" si="254"/>
        <v>0</v>
      </c>
      <c r="AD956" s="89">
        <f t="shared" si="255"/>
        <v>0</v>
      </c>
      <c r="AE956" s="90">
        <f t="shared" si="256"/>
        <v>0</v>
      </c>
      <c r="AF956" s="90" t="str">
        <f t="shared" si="257"/>
        <v/>
      </c>
      <c r="AG956" s="90">
        <f t="shared" si="258"/>
        <v>71</v>
      </c>
      <c r="AH956" s="90" t="str">
        <f t="shared" si="259"/>
        <v>2018 (triag)</v>
      </c>
      <c r="AI956" s="90">
        <f t="shared" si="260"/>
        <v>71</v>
      </c>
      <c r="AJ956" s="90" t="str">
        <f t="shared" si="261"/>
        <v>2018 (triag)</v>
      </c>
      <c r="AK956" s="90" t="str">
        <f t="shared" si="262"/>
        <v/>
      </c>
      <c r="AL956" s="91">
        <f>IF(AK956="Adjust",(_xlfn.XLOOKUP(A956,'Adj factor'!A:A,'Adj factor'!I:I,,0)*AI956),'Master DataSheet'!AI956)</f>
        <v>71</v>
      </c>
      <c r="AM956" s="91">
        <f t="shared" si="263"/>
        <v>71</v>
      </c>
      <c r="AN956" s="92" t="str">
        <f t="shared" si="264"/>
        <v>No change</v>
      </c>
      <c r="AO956" s="93">
        <f>VLOOKUP(B956,'Growthrates source'!A$2:H$49,8,FALSE)</f>
        <v>-6.1731500721997512E-2</v>
      </c>
      <c r="AP956" s="93">
        <f>VLOOKUP(B956,'Growthrates source'!A$2:I$49,9,FALSE)</f>
        <v>0.10455737067903281</v>
      </c>
      <c r="AQ956" s="86">
        <f t="shared" si="265"/>
        <v>96.673312374524414</v>
      </c>
      <c r="AR956" s="86">
        <f t="shared" si="266"/>
        <v>97.15930870366131</v>
      </c>
      <c r="AS956" s="94">
        <f t="shared" si="267"/>
        <v>0</v>
      </c>
      <c r="AT956" s="94">
        <f t="shared" si="268"/>
        <v>6.8864511498433556</v>
      </c>
      <c r="AU956" s="94">
        <f t="shared" si="269"/>
        <v>6.62817347143584</v>
      </c>
    </row>
    <row r="957" spans="1:47" x14ac:dyDescent="0.3">
      <c r="A957" s="85" t="str">
        <f>_xlfn.XLOOKUP(B957,'Country codes &amp; Data sources'!G:G,'Country codes &amp; Data sources'!H:H,,0)</f>
        <v>Seychelles</v>
      </c>
      <c r="B957" s="85" t="s">
        <v>185</v>
      </c>
      <c r="C957" s="86">
        <v>95328</v>
      </c>
      <c r="D957" s="85" t="s">
        <v>142</v>
      </c>
      <c r="E957" s="87">
        <v>0</v>
      </c>
      <c r="F957" s="88">
        <v>96714</v>
      </c>
      <c r="G957" s="87">
        <v>0</v>
      </c>
      <c r="I957" s="87">
        <v>0</v>
      </c>
      <c r="K957" s="87">
        <v>0</v>
      </c>
      <c r="M957" s="87">
        <v>0</v>
      </c>
      <c r="O957" s="87">
        <v>0</v>
      </c>
      <c r="P957" s="88">
        <v>103101.00000000003</v>
      </c>
      <c r="Q957" s="87">
        <v>0</v>
      </c>
      <c r="R957" s="87">
        <f t="shared" si="252"/>
        <v>0</v>
      </c>
      <c r="T957" s="87">
        <v>0</v>
      </c>
      <c r="V957" s="87">
        <v>0</v>
      </c>
      <c r="X957" s="87">
        <v>0</v>
      </c>
      <c r="Y957" s="88">
        <v>107118.5</v>
      </c>
      <c r="Z957" s="87">
        <v>0</v>
      </c>
      <c r="AA957" s="87">
        <v>0</v>
      </c>
      <c r="AB957" s="89">
        <f t="shared" si="253"/>
        <v>0</v>
      </c>
      <c r="AC957" s="89">
        <f t="shared" si="254"/>
        <v>0</v>
      </c>
      <c r="AD957" s="89">
        <f t="shared" si="255"/>
        <v>0</v>
      </c>
      <c r="AE957" s="90">
        <f t="shared" si="256"/>
        <v>0</v>
      </c>
      <c r="AF957" s="90" t="str">
        <f t="shared" si="257"/>
        <v/>
      </c>
      <c r="AG957" s="90">
        <f t="shared" si="258"/>
        <v>0</v>
      </c>
      <c r="AH957" s="90" t="str">
        <f t="shared" si="259"/>
        <v/>
      </c>
      <c r="AI957" s="90">
        <f t="shared" si="260"/>
        <v>0</v>
      </c>
      <c r="AJ957" s="90" t="str">
        <f t="shared" si="261"/>
        <v/>
      </c>
      <c r="AK957" s="90" t="str">
        <f t="shared" si="262"/>
        <v/>
      </c>
      <c r="AL957" s="91">
        <f>IF(AK957="Adjust",(_xlfn.XLOOKUP(A957,'Adj factor'!A:A,'Adj factor'!I:I,,0)*AI957),'Master DataSheet'!AI957)</f>
        <v>0</v>
      </c>
      <c r="AM957" s="91">
        <f t="shared" si="263"/>
        <v>0</v>
      </c>
      <c r="AN957" s="92" t="str">
        <f t="shared" si="264"/>
        <v>No change</v>
      </c>
      <c r="AO957" s="93">
        <f>VLOOKUP(B957,'Growthrates source'!A$2:H$49,8,FALSE)</f>
        <v>-6.1731500721997512E-2</v>
      </c>
      <c r="AP957" s="93">
        <f>VLOOKUP(B957,'Growthrates source'!A$2:I$49,9,FALSE)</f>
        <v>0.10455737067903281</v>
      </c>
      <c r="AQ957" s="86">
        <f t="shared" si="265"/>
        <v>0</v>
      </c>
      <c r="AR957" s="86">
        <f t="shared" si="266"/>
        <v>0</v>
      </c>
      <c r="AS957" s="94">
        <f t="shared" si="267"/>
        <v>0</v>
      </c>
      <c r="AT957" s="94">
        <f t="shared" si="268"/>
        <v>0</v>
      </c>
      <c r="AU957" s="94">
        <f t="shared" si="269"/>
        <v>0</v>
      </c>
    </row>
    <row r="958" spans="1:47" x14ac:dyDescent="0.3">
      <c r="A958" s="85" t="str">
        <f>_xlfn.XLOOKUP(B958,'Country codes &amp; Data sources'!G:G,'Country codes &amp; Data sources'!H:H,,0)</f>
        <v>Seychelles</v>
      </c>
      <c r="B958" s="85" t="s">
        <v>185</v>
      </c>
      <c r="C958" s="86">
        <v>95329</v>
      </c>
      <c r="D958" s="85" t="s">
        <v>83</v>
      </c>
      <c r="E958" s="87">
        <v>0</v>
      </c>
      <c r="F958" s="88">
        <v>96714</v>
      </c>
      <c r="G958" s="87">
        <v>0</v>
      </c>
      <c r="I958" s="87">
        <v>0</v>
      </c>
      <c r="K958" s="87">
        <v>0</v>
      </c>
      <c r="M958" s="87">
        <v>0</v>
      </c>
      <c r="O958" s="87">
        <v>0</v>
      </c>
      <c r="P958" s="88">
        <v>103101.00000000003</v>
      </c>
      <c r="Q958" s="87">
        <v>0</v>
      </c>
      <c r="R958" s="87">
        <f t="shared" si="252"/>
        <v>33</v>
      </c>
      <c r="T958" s="87">
        <v>0</v>
      </c>
      <c r="V958" s="87">
        <v>0</v>
      </c>
      <c r="X958" s="87">
        <v>60</v>
      </c>
      <c r="Y958" s="88">
        <v>107118.5</v>
      </c>
      <c r="Z958" s="87">
        <v>0</v>
      </c>
      <c r="AA958" s="87">
        <v>33</v>
      </c>
      <c r="AB958" s="89">
        <f t="shared" si="253"/>
        <v>0</v>
      </c>
      <c r="AC958" s="89">
        <f t="shared" si="254"/>
        <v>0</v>
      </c>
      <c r="AD958" s="89">
        <f t="shared" si="255"/>
        <v>60</v>
      </c>
      <c r="AE958" s="90">
        <f t="shared" si="256"/>
        <v>0</v>
      </c>
      <c r="AF958" s="90" t="str">
        <f t="shared" si="257"/>
        <v/>
      </c>
      <c r="AG958" s="90">
        <f t="shared" si="258"/>
        <v>33</v>
      </c>
      <c r="AH958" s="90" t="str">
        <f t="shared" si="259"/>
        <v>2018 (triag)</v>
      </c>
      <c r="AI958" s="90">
        <f t="shared" si="260"/>
        <v>60</v>
      </c>
      <c r="AJ958" s="90">
        <f t="shared" si="261"/>
        <v>2021</v>
      </c>
      <c r="AK958" s="90" t="str">
        <f t="shared" si="262"/>
        <v/>
      </c>
      <c r="AL958" s="91">
        <f>IF(AK958="Adjust",(_xlfn.XLOOKUP(A958,'Adj factor'!A:A,'Adj factor'!I:I,,0)*AI958),'Master DataSheet'!AI958)</f>
        <v>60</v>
      </c>
      <c r="AM958" s="91">
        <f t="shared" si="263"/>
        <v>60</v>
      </c>
      <c r="AN958" s="92" t="str">
        <f t="shared" si="264"/>
        <v>Increasing</v>
      </c>
      <c r="AO958" s="93">
        <f>VLOOKUP(B958,'Growthrates source'!A$2:H$49,8,FALSE)</f>
        <v>-6.1731500721997512E-2</v>
      </c>
      <c r="AP958" s="93">
        <f>VLOOKUP(B958,'Growthrates source'!A$2:I$49,9,FALSE)</f>
        <v>0.10455737067903281</v>
      </c>
      <c r="AQ958" s="86">
        <f t="shared" si="265"/>
        <v>44.9326663149198</v>
      </c>
      <c r="AR958" s="86">
        <f t="shared" si="266"/>
        <v>45.158551932687651</v>
      </c>
      <c r="AS958" s="94">
        <f t="shared" si="267"/>
        <v>0</v>
      </c>
      <c r="AT958" s="94">
        <f t="shared" si="268"/>
        <v>3.2007449006314186</v>
      </c>
      <c r="AU958" s="94">
        <f t="shared" si="269"/>
        <v>5.6012733561429631</v>
      </c>
    </row>
    <row r="959" spans="1:47" x14ac:dyDescent="0.3">
      <c r="A959" s="85" t="str">
        <f>_xlfn.XLOOKUP(B959,'Country codes &amp; Data sources'!G:G,'Country codes &amp; Data sources'!H:H,,0)</f>
        <v>Seychelles</v>
      </c>
      <c r="B959" s="85" t="s">
        <v>185</v>
      </c>
      <c r="C959" s="86">
        <v>95330</v>
      </c>
      <c r="D959" s="85" t="s">
        <v>84</v>
      </c>
      <c r="E959" s="87">
        <v>0</v>
      </c>
      <c r="F959" s="88">
        <v>96714</v>
      </c>
      <c r="G959" s="87">
        <v>0</v>
      </c>
      <c r="I959" s="87">
        <v>0</v>
      </c>
      <c r="K959" s="87">
        <v>0</v>
      </c>
      <c r="M959" s="87">
        <v>0</v>
      </c>
      <c r="O959" s="87">
        <v>0</v>
      </c>
      <c r="P959" s="88">
        <v>103101.00000000003</v>
      </c>
      <c r="Q959" s="87">
        <v>0</v>
      </c>
      <c r="R959" s="87">
        <f t="shared" si="252"/>
        <v>0</v>
      </c>
      <c r="T959" s="87">
        <v>0</v>
      </c>
      <c r="V959" s="87">
        <v>0</v>
      </c>
      <c r="X959" s="87">
        <v>2</v>
      </c>
      <c r="Y959" s="88">
        <v>107118.5</v>
      </c>
      <c r="Z959" s="87">
        <v>0</v>
      </c>
      <c r="AA959" s="87">
        <v>0</v>
      </c>
      <c r="AB959" s="89">
        <f t="shared" si="253"/>
        <v>0</v>
      </c>
      <c r="AC959" s="89">
        <f t="shared" si="254"/>
        <v>0</v>
      </c>
      <c r="AD959" s="89">
        <f t="shared" si="255"/>
        <v>2</v>
      </c>
      <c r="AE959" s="90">
        <f t="shared" si="256"/>
        <v>0</v>
      </c>
      <c r="AF959" s="90" t="str">
        <f t="shared" si="257"/>
        <v/>
      </c>
      <c r="AG959" s="90">
        <f t="shared" si="258"/>
        <v>0</v>
      </c>
      <c r="AH959" s="90" t="str">
        <f t="shared" si="259"/>
        <v/>
      </c>
      <c r="AI959" s="90">
        <f t="shared" si="260"/>
        <v>2</v>
      </c>
      <c r="AJ959" s="90">
        <f t="shared" si="261"/>
        <v>2021</v>
      </c>
      <c r="AK959" s="90" t="str">
        <f t="shared" si="262"/>
        <v/>
      </c>
      <c r="AL959" s="91">
        <f>IF(AK959="Adjust",(_xlfn.XLOOKUP(A959,'Adj factor'!A:A,'Adj factor'!I:I,,0)*AI959),'Master DataSheet'!AI959)</f>
        <v>2</v>
      </c>
      <c r="AM959" s="91">
        <f t="shared" si="263"/>
        <v>2</v>
      </c>
      <c r="AN959" s="92" t="str">
        <f t="shared" si="264"/>
        <v>Increasing</v>
      </c>
      <c r="AO959" s="93">
        <f>VLOOKUP(B959,'Growthrates source'!A$2:H$49,8,FALSE)</f>
        <v>-6.1731500721997512E-2</v>
      </c>
      <c r="AP959" s="93">
        <f>VLOOKUP(B959,'Growthrates source'!A$2:I$49,9,FALSE)</f>
        <v>0.10455737067903281</v>
      </c>
      <c r="AQ959" s="86">
        <f t="shared" si="265"/>
        <v>0</v>
      </c>
      <c r="AR959" s="86">
        <f t="shared" si="266"/>
        <v>0</v>
      </c>
      <c r="AS959" s="94">
        <f t="shared" si="267"/>
        <v>0</v>
      </c>
      <c r="AT959" s="94">
        <f t="shared" si="268"/>
        <v>0</v>
      </c>
      <c r="AU959" s="94">
        <f t="shared" si="269"/>
        <v>0.1867091118714321</v>
      </c>
    </row>
    <row r="960" spans="1:47" x14ac:dyDescent="0.3">
      <c r="A960" s="85" t="str">
        <f>_xlfn.XLOOKUP(B960,'Country codes &amp; Data sources'!G:G,'Country codes &amp; Data sources'!H:H,,0)</f>
        <v>Seychelles</v>
      </c>
      <c r="B960" s="85" t="s">
        <v>185</v>
      </c>
      <c r="C960" s="86">
        <v>95331</v>
      </c>
      <c r="D960" s="85" t="s">
        <v>126</v>
      </c>
      <c r="E960" s="87">
        <v>0</v>
      </c>
      <c r="F960" s="88">
        <v>96714</v>
      </c>
      <c r="G960" s="87">
        <v>0</v>
      </c>
      <c r="I960" s="87">
        <v>0</v>
      </c>
      <c r="K960" s="87">
        <v>0</v>
      </c>
      <c r="M960" s="87">
        <v>0</v>
      </c>
      <c r="O960" s="87">
        <v>0</v>
      </c>
      <c r="P960" s="88">
        <v>103101.00000000003</v>
      </c>
      <c r="Q960" s="87">
        <v>0</v>
      </c>
      <c r="R960" s="87">
        <f t="shared" si="252"/>
        <v>0</v>
      </c>
      <c r="T960" s="87">
        <v>0</v>
      </c>
      <c r="V960" s="87">
        <v>0</v>
      </c>
      <c r="X960" s="87">
        <v>5</v>
      </c>
      <c r="Y960" s="88">
        <v>107118.5</v>
      </c>
      <c r="Z960" s="87">
        <v>5</v>
      </c>
      <c r="AA960" s="87">
        <v>0</v>
      </c>
      <c r="AB960" s="89">
        <f t="shared" si="253"/>
        <v>0</v>
      </c>
      <c r="AC960" s="89">
        <f t="shared" si="254"/>
        <v>0</v>
      </c>
      <c r="AD960" s="89">
        <f t="shared" si="255"/>
        <v>5</v>
      </c>
      <c r="AE960" s="90">
        <f t="shared" si="256"/>
        <v>0</v>
      </c>
      <c r="AF960" s="90" t="str">
        <f t="shared" si="257"/>
        <v/>
      </c>
      <c r="AG960" s="90">
        <f t="shared" si="258"/>
        <v>0</v>
      </c>
      <c r="AH960" s="90" t="str">
        <f t="shared" si="259"/>
        <v/>
      </c>
      <c r="AI960" s="90">
        <f t="shared" si="260"/>
        <v>5</v>
      </c>
      <c r="AJ960" s="90">
        <f t="shared" si="261"/>
        <v>2021</v>
      </c>
      <c r="AK960" s="90" t="str">
        <f t="shared" si="262"/>
        <v/>
      </c>
      <c r="AL960" s="91">
        <f>IF(AK960="Adjust",(_xlfn.XLOOKUP(A960,'Adj factor'!A:A,'Adj factor'!I:I,,0)*AI960),'Master DataSheet'!AI960)</f>
        <v>5</v>
      </c>
      <c r="AM960" s="91">
        <f t="shared" si="263"/>
        <v>5</v>
      </c>
      <c r="AN960" s="92" t="str">
        <f t="shared" si="264"/>
        <v>Increasing</v>
      </c>
      <c r="AO960" s="93">
        <f>VLOOKUP(B960,'Growthrates source'!A$2:H$49,8,FALSE)</f>
        <v>-6.1731500721997512E-2</v>
      </c>
      <c r="AP960" s="93">
        <f>VLOOKUP(B960,'Growthrates source'!A$2:I$49,9,FALSE)</f>
        <v>0.10455737067903281</v>
      </c>
      <c r="AQ960" s="86">
        <f t="shared" si="265"/>
        <v>0</v>
      </c>
      <c r="AR960" s="86">
        <f t="shared" si="266"/>
        <v>0</v>
      </c>
      <c r="AS960" s="94">
        <f t="shared" si="267"/>
        <v>0</v>
      </c>
      <c r="AT960" s="94">
        <f t="shared" si="268"/>
        <v>0</v>
      </c>
      <c r="AU960" s="94">
        <f t="shared" si="269"/>
        <v>0.46677277967858027</v>
      </c>
    </row>
    <row r="961" spans="1:47" x14ac:dyDescent="0.3">
      <c r="A961" s="85" t="str">
        <f>_xlfn.XLOOKUP(B961,'Country codes &amp; Data sources'!G:G,'Country codes &amp; Data sources'!H:H,,0)</f>
        <v>Seychelles</v>
      </c>
      <c r="B961" s="85" t="s">
        <v>185</v>
      </c>
      <c r="C961" s="86">
        <v>95332</v>
      </c>
      <c r="D961" s="85" t="s">
        <v>87</v>
      </c>
      <c r="E961" s="87">
        <v>0</v>
      </c>
      <c r="F961" s="88">
        <v>96714</v>
      </c>
      <c r="G961" s="87">
        <v>0</v>
      </c>
      <c r="I961" s="87">
        <v>0</v>
      </c>
      <c r="K961" s="87">
        <v>0</v>
      </c>
      <c r="M961" s="87">
        <v>0</v>
      </c>
      <c r="O961" s="87">
        <v>0</v>
      </c>
      <c r="P961" s="88">
        <v>103101.00000000003</v>
      </c>
      <c r="Q961" s="87">
        <v>0</v>
      </c>
      <c r="R961" s="87">
        <f t="shared" si="252"/>
        <v>0</v>
      </c>
      <c r="T961" s="87">
        <v>0</v>
      </c>
      <c r="V961" s="87">
        <v>0</v>
      </c>
      <c r="X961" s="87">
        <v>2</v>
      </c>
      <c r="Y961" s="88">
        <v>107118.5</v>
      </c>
      <c r="Z961" s="87">
        <v>0</v>
      </c>
      <c r="AA961" s="87">
        <v>0</v>
      </c>
      <c r="AB961" s="89">
        <f t="shared" si="253"/>
        <v>0</v>
      </c>
      <c r="AC961" s="89">
        <f t="shared" si="254"/>
        <v>0</v>
      </c>
      <c r="AD961" s="89">
        <f t="shared" si="255"/>
        <v>2</v>
      </c>
      <c r="AE961" s="90">
        <f t="shared" si="256"/>
        <v>0</v>
      </c>
      <c r="AF961" s="90" t="str">
        <f t="shared" si="257"/>
        <v/>
      </c>
      <c r="AG961" s="90">
        <f t="shared" si="258"/>
        <v>0</v>
      </c>
      <c r="AH961" s="90" t="str">
        <f t="shared" si="259"/>
        <v/>
      </c>
      <c r="AI961" s="90">
        <f t="shared" si="260"/>
        <v>2</v>
      </c>
      <c r="AJ961" s="90">
        <f t="shared" si="261"/>
        <v>2021</v>
      </c>
      <c r="AK961" s="90" t="str">
        <f t="shared" si="262"/>
        <v/>
      </c>
      <c r="AL961" s="91">
        <f>IF(AK961="Adjust",(_xlfn.XLOOKUP(A961,'Adj factor'!A:A,'Adj factor'!I:I,,0)*AI961),'Master DataSheet'!AI961)</f>
        <v>2</v>
      </c>
      <c r="AM961" s="91">
        <f t="shared" si="263"/>
        <v>2</v>
      </c>
      <c r="AN961" s="92" t="str">
        <f t="shared" si="264"/>
        <v>Increasing</v>
      </c>
      <c r="AO961" s="93">
        <f>VLOOKUP(B961,'Growthrates source'!A$2:H$49,8,FALSE)</f>
        <v>-6.1731500721997512E-2</v>
      </c>
      <c r="AP961" s="93">
        <f>VLOOKUP(B961,'Growthrates source'!A$2:I$49,9,FALSE)</f>
        <v>0.10455737067903281</v>
      </c>
      <c r="AQ961" s="86">
        <f t="shared" si="265"/>
        <v>0</v>
      </c>
      <c r="AR961" s="86">
        <f t="shared" si="266"/>
        <v>0</v>
      </c>
      <c r="AS961" s="94">
        <f t="shared" si="267"/>
        <v>0</v>
      </c>
      <c r="AT961" s="94">
        <f t="shared" si="268"/>
        <v>0</v>
      </c>
      <c r="AU961" s="94">
        <f t="shared" si="269"/>
        <v>0.1867091118714321</v>
      </c>
    </row>
    <row r="962" spans="1:47" x14ac:dyDescent="0.3">
      <c r="A962" s="85" t="str">
        <f>_xlfn.XLOOKUP(B962,'Country codes &amp; Data sources'!G:G,'Country codes &amp; Data sources'!H:H,,0)</f>
        <v>Chad</v>
      </c>
      <c r="B962" s="85" t="s">
        <v>169</v>
      </c>
      <c r="C962" s="86">
        <v>12754906</v>
      </c>
      <c r="D962" s="85" t="s">
        <v>321</v>
      </c>
      <c r="E962" s="87">
        <v>1056</v>
      </c>
      <c r="F962" s="88">
        <v>13216766.5</v>
      </c>
      <c r="G962" s="87">
        <v>1146</v>
      </c>
      <c r="H962" s="87">
        <v>13697125.5</v>
      </c>
      <c r="I962" s="87">
        <v>1216</v>
      </c>
      <c r="J962" s="87">
        <v>14140274</v>
      </c>
      <c r="K962" s="87">
        <v>1392</v>
      </c>
      <c r="L962" s="87">
        <v>14592585.000000004</v>
      </c>
      <c r="M962" s="87">
        <v>1080</v>
      </c>
      <c r="N962" s="87">
        <v>15085884.000000006</v>
      </c>
      <c r="O962" s="87">
        <v>1302</v>
      </c>
      <c r="P962" s="88">
        <v>15604210</v>
      </c>
      <c r="Q962" s="87">
        <v>1606</v>
      </c>
      <c r="R962" s="87">
        <f t="shared" si="252"/>
        <v>1606</v>
      </c>
      <c r="S962" s="87">
        <v>16126866</v>
      </c>
      <c r="T962" s="87">
        <v>1905</v>
      </c>
      <c r="U962" s="87">
        <v>16644701.499999996</v>
      </c>
      <c r="V962" s="87">
        <v>2023</v>
      </c>
      <c r="W962" s="87">
        <v>17179739.999999996</v>
      </c>
      <c r="X962" s="87">
        <v>2260</v>
      </c>
      <c r="Y962" s="88">
        <v>17723314.500000004</v>
      </c>
      <c r="Z962" s="87">
        <v>3311</v>
      </c>
      <c r="AA962" s="87">
        <v>803</v>
      </c>
      <c r="AB962" s="89">
        <f t="shared" si="253"/>
        <v>1392</v>
      </c>
      <c r="AC962" s="89">
        <f t="shared" si="254"/>
        <v>1905</v>
      </c>
      <c r="AD962" s="89">
        <f t="shared" si="255"/>
        <v>3311</v>
      </c>
      <c r="AE962" s="90">
        <f t="shared" si="256"/>
        <v>1146</v>
      </c>
      <c r="AF962" s="90">
        <f t="shared" si="257"/>
        <v>2013</v>
      </c>
      <c r="AG962" s="90">
        <f t="shared" si="258"/>
        <v>1606</v>
      </c>
      <c r="AH962" s="90">
        <f t="shared" si="259"/>
        <v>2018</v>
      </c>
      <c r="AI962" s="90">
        <f t="shared" si="260"/>
        <v>3311</v>
      </c>
      <c r="AJ962" s="90">
        <f t="shared" si="261"/>
        <v>2022</v>
      </c>
      <c r="AK962" s="90" t="str">
        <f t="shared" si="262"/>
        <v/>
      </c>
      <c r="AL962" s="91">
        <f>IF(AK962="Adjust",(_xlfn.XLOOKUP(A962,'Adj factor'!A:A,'Adj factor'!I:I,,0)*AI962),'Master DataSheet'!AI962)</f>
        <v>3311</v>
      </c>
      <c r="AM962" s="91">
        <f t="shared" si="263"/>
        <v>3311</v>
      </c>
      <c r="AN962" s="92" t="str">
        <f t="shared" si="264"/>
        <v>Increasing</v>
      </c>
      <c r="AO962" s="93">
        <f>VLOOKUP(B962,'Growthrates source'!A$2:H$49,8,FALSE)</f>
        <v>-3.1578929217935259E-2</v>
      </c>
      <c r="AP962" s="93">
        <f>VLOOKUP(B962,'Growthrates source'!A$2:I$49,9,FALSE)</f>
        <v>1.4876976840610734E-2</v>
      </c>
      <c r="AQ962" s="86">
        <f t="shared" si="265"/>
        <v>940.34737985787706</v>
      </c>
      <c r="AR962" s="86">
        <f t="shared" si="266"/>
        <v>839.65042497012757</v>
      </c>
      <c r="AS962" s="94">
        <f t="shared" si="267"/>
        <v>0.86708046177557874</v>
      </c>
      <c r="AT962" s="94">
        <f t="shared" si="268"/>
        <v>1.0292094248923849</v>
      </c>
      <c r="AU962" s="94">
        <f t="shared" si="269"/>
        <v>1.8681607212917197</v>
      </c>
    </row>
    <row r="963" spans="1:47" x14ac:dyDescent="0.3">
      <c r="A963" s="85" t="str">
        <f>_xlfn.XLOOKUP(B963,'Country codes &amp; Data sources'!G:G,'Country codes &amp; Data sources'!H:H,,0)</f>
        <v>Chad</v>
      </c>
      <c r="B963" s="85" t="s">
        <v>169</v>
      </c>
      <c r="C963" s="86">
        <v>12754907</v>
      </c>
      <c r="D963" s="85" t="s">
        <v>322</v>
      </c>
      <c r="E963" s="87">
        <v>6282</v>
      </c>
      <c r="F963" s="88">
        <v>13216766.5</v>
      </c>
      <c r="G963" s="87">
        <v>7212</v>
      </c>
      <c r="I963" s="87">
        <v>7212</v>
      </c>
      <c r="K963" s="87">
        <v>7126</v>
      </c>
      <c r="M963" s="87">
        <v>6212</v>
      </c>
      <c r="O963" s="87">
        <v>6974</v>
      </c>
      <c r="P963" s="88">
        <v>15604210</v>
      </c>
      <c r="Q963" s="87">
        <v>9598</v>
      </c>
      <c r="R963" s="87">
        <f t="shared" ref="R963:R1026" si="270">MAX(Q963,AA963)</f>
        <v>9598</v>
      </c>
      <c r="T963" s="87">
        <v>0</v>
      </c>
      <c r="V963" s="87">
        <v>5246</v>
      </c>
      <c r="X963" s="87">
        <v>5354</v>
      </c>
      <c r="Y963" s="88">
        <v>17723314.500000004</v>
      </c>
      <c r="Z963" s="87">
        <v>5866</v>
      </c>
      <c r="AA963" s="87">
        <v>3863</v>
      </c>
      <c r="AB963" s="89">
        <f t="shared" ref="AB963:AB1026" si="271">MAX(G963,E963,I963,K963)</f>
        <v>7212</v>
      </c>
      <c r="AC963" s="89">
        <f t="shared" ref="AC963:AC1026" si="272">MAX(M963,O963,Q963,T963)</f>
        <v>9598</v>
      </c>
      <c r="AD963" s="89">
        <f t="shared" ref="AD963:AD1026" si="273">MAX(V963,X963,Z963)</f>
        <v>5866</v>
      </c>
      <c r="AE963" s="90">
        <f t="shared" ref="AE963:AE1026" si="274">IF(G963&gt;0,G963,IF(E963&gt;0,E963,IF(I963&gt;0,I963,K963)))</f>
        <v>7212</v>
      </c>
      <c r="AF963" s="90">
        <f t="shared" ref="AF963:AF1026" si="275">IF(AE963&gt;0,_xlfn.XLOOKUP(AE963,$B963:$K963,$B$1:$K$1,,0),"")</f>
        <v>2013</v>
      </c>
      <c r="AG963" s="90">
        <f t="shared" ref="AG963:AG1026" si="276">IF(R963&gt;0,R963,IF(O963&gt;0,O963,T963))</f>
        <v>9598</v>
      </c>
      <c r="AH963" s="90">
        <f t="shared" ref="AH963:AH1026" si="277">IF(AG963&gt;0,_xlfn.XLOOKUP(AG963,$L963:$T963,$L$1:$T$1,,0),"")</f>
        <v>2018</v>
      </c>
      <c r="AI963" s="90">
        <f t="shared" ref="AI963:AI1026" si="278">IF((IF(Z963&gt;0,Z963,IF(X963&gt;0,X963,IF(V963&gt;0,V963,T963))))=0,AG963,IF(Z963&gt;0,Z963,IF(X963&gt;0,X963,IF(V963&gt;0,V963,T963))))</f>
        <v>5866</v>
      </c>
      <c r="AJ963" s="90">
        <f t="shared" ref="AJ963:AJ1026" si="279">IFERROR(IF(AI963&gt;0,_xlfn.XLOOKUP(AI963,$V963:$Z963,$V$1:$Z$1,,0),""),AH963)</f>
        <v>2022</v>
      </c>
      <c r="AK963" s="90" t="str">
        <f t="shared" ref="AK963:AK1026" si="280">IF(AI963&lt;AG963,"Adjust","")</f>
        <v>Adjust</v>
      </c>
      <c r="AL963" s="91">
        <f>IF(AK963="Adjust",(_xlfn.XLOOKUP(A963,'Adj factor'!A:A,'Adj factor'!I:I,,0)*AI963),'Master DataSheet'!AI963)</f>
        <v>6774.3034697048161</v>
      </c>
      <c r="AM963" s="91">
        <f t="shared" ref="AM963:AM1026" si="281">IF(AL963&lt;AG963,AG963,AL963)</f>
        <v>9598</v>
      </c>
      <c r="AN963" s="92" t="str">
        <f t="shared" ref="AN963:AN1026" si="282">IF(AL963&gt;AG963,"Increasing",IF(AL963&lt;AG963,"Decreasing","No change"))</f>
        <v>Decreasing</v>
      </c>
      <c r="AO963" s="93">
        <f>VLOOKUP(B963,'Growthrates source'!A$2:H$49,8,FALSE)</f>
        <v>-3.1578929217935259E-2</v>
      </c>
      <c r="AP963" s="93">
        <f>VLOOKUP(B963,'Growthrates source'!A$2:I$49,9,FALSE)</f>
        <v>1.4876976840610734E-2</v>
      </c>
      <c r="AQ963" s="86">
        <f t="shared" ref="AQ963:AQ1026" si="283">AA963/(EXP(AO963*5))</f>
        <v>4523.7383915205219</v>
      </c>
      <c r="AR963" s="86">
        <f t="shared" ref="AR963:AR1026" si="284">AA963*EXP(AP963*3)</f>
        <v>4039.314559974599</v>
      </c>
      <c r="AS963" s="94">
        <f t="shared" ref="AS963:AS1026" si="285">(AE963*10000)/F963</f>
        <v>5.4567053144201347</v>
      </c>
      <c r="AT963" s="94">
        <f t="shared" ref="AT963:AT1026" si="286">(AG963*10000)/P963</f>
        <v>6.1509041470218611</v>
      </c>
      <c r="AU963" s="94">
        <f t="shared" ref="AU963:AU1026" si="287">(AM963*10000)/Y963</f>
        <v>5.4154656004101254</v>
      </c>
    </row>
    <row r="964" spans="1:47" x14ac:dyDescent="0.3">
      <c r="A964" s="85" t="str">
        <f>_xlfn.XLOOKUP(B964,'Country codes &amp; Data sources'!G:G,'Country codes &amp; Data sources'!H:H,,0)</f>
        <v>Chad</v>
      </c>
      <c r="B964" s="85" t="s">
        <v>169</v>
      </c>
      <c r="C964" s="86">
        <v>12754908</v>
      </c>
      <c r="D964" s="85" t="s">
        <v>323</v>
      </c>
      <c r="E964" s="87">
        <v>832</v>
      </c>
      <c r="F964" s="88">
        <v>13216766.5</v>
      </c>
      <c r="G964" s="87">
        <v>902</v>
      </c>
      <c r="I964" s="87">
        <v>0</v>
      </c>
      <c r="K964" s="87">
        <v>0</v>
      </c>
      <c r="M964" s="87">
        <v>0</v>
      </c>
      <c r="O964" s="87">
        <v>0</v>
      </c>
      <c r="P964" s="88">
        <v>15604210</v>
      </c>
      <c r="Q964" s="87">
        <v>0</v>
      </c>
      <c r="R964" s="87">
        <f t="shared" si="270"/>
        <v>936</v>
      </c>
      <c r="T964" s="87">
        <v>1178</v>
      </c>
      <c r="V964" s="87">
        <v>1420</v>
      </c>
      <c r="X964" s="87">
        <v>1442</v>
      </c>
      <c r="Y964" s="88">
        <v>17723314.500000004</v>
      </c>
      <c r="Z964" s="87">
        <v>1566</v>
      </c>
      <c r="AA964" s="87">
        <v>936</v>
      </c>
      <c r="AB964" s="89">
        <f t="shared" si="271"/>
        <v>902</v>
      </c>
      <c r="AC964" s="89">
        <f t="shared" si="272"/>
        <v>1178</v>
      </c>
      <c r="AD964" s="89">
        <f t="shared" si="273"/>
        <v>1566</v>
      </c>
      <c r="AE964" s="90">
        <f t="shared" si="274"/>
        <v>902</v>
      </c>
      <c r="AF964" s="90">
        <f t="shared" si="275"/>
        <v>2013</v>
      </c>
      <c r="AG964" s="90">
        <f t="shared" si="276"/>
        <v>936</v>
      </c>
      <c r="AH964" s="90" t="str">
        <f t="shared" si="277"/>
        <v>2018 (triag)</v>
      </c>
      <c r="AI964" s="90">
        <f t="shared" si="278"/>
        <v>1566</v>
      </c>
      <c r="AJ964" s="90">
        <f t="shared" si="279"/>
        <v>2022</v>
      </c>
      <c r="AK964" s="90" t="str">
        <f t="shared" si="280"/>
        <v/>
      </c>
      <c r="AL964" s="91">
        <f>IF(AK964="Adjust",(_xlfn.XLOOKUP(A964,'Adj factor'!A:A,'Adj factor'!I:I,,0)*AI964),'Master DataSheet'!AI964)</f>
        <v>1566</v>
      </c>
      <c r="AM964" s="91">
        <f t="shared" si="281"/>
        <v>1566</v>
      </c>
      <c r="AN964" s="92" t="str">
        <f t="shared" si="282"/>
        <v>Increasing</v>
      </c>
      <c r="AO964" s="93">
        <f>VLOOKUP(B964,'Growthrates source'!A$2:H$49,8,FALSE)</f>
        <v>-3.1578929217935259E-2</v>
      </c>
      <c r="AP964" s="93">
        <f>VLOOKUP(B964,'Growthrates source'!A$2:I$49,9,FALSE)</f>
        <v>1.4876976840610734E-2</v>
      </c>
      <c r="AQ964" s="86">
        <f t="shared" si="283"/>
        <v>1096.0960741556326</v>
      </c>
      <c r="AR964" s="86">
        <f t="shared" si="284"/>
        <v>978.72079423666185</v>
      </c>
      <c r="AS964" s="94">
        <f t="shared" si="285"/>
        <v>0.6824664716593124</v>
      </c>
      <c r="AT964" s="94">
        <f t="shared" si="286"/>
        <v>0.5998381206097585</v>
      </c>
      <c r="AU964" s="94">
        <f t="shared" si="287"/>
        <v>0.8835819056305747</v>
      </c>
    </row>
    <row r="965" spans="1:47" x14ac:dyDescent="0.3">
      <c r="A965" s="85" t="str">
        <f>_xlfn.XLOOKUP(B965,'Country codes &amp; Data sources'!G:G,'Country codes &amp; Data sources'!H:H,,0)</f>
        <v>Chad</v>
      </c>
      <c r="B965" s="85" t="s">
        <v>169</v>
      </c>
      <c r="C965" s="86">
        <v>12754909</v>
      </c>
      <c r="D965" s="85" t="s">
        <v>324</v>
      </c>
      <c r="E965" s="87">
        <v>19687</v>
      </c>
      <c r="F965" s="88">
        <v>13216766.5</v>
      </c>
      <c r="G965" s="87">
        <v>2302</v>
      </c>
      <c r="I965" s="87">
        <v>351</v>
      </c>
      <c r="K965" s="87">
        <v>591</v>
      </c>
      <c r="M965" s="87">
        <v>119</v>
      </c>
      <c r="O965" s="87">
        <v>172</v>
      </c>
      <c r="P965" s="88">
        <v>15604210</v>
      </c>
      <c r="Q965" s="87">
        <v>14</v>
      </c>
      <c r="R965" s="87">
        <f t="shared" si="270"/>
        <v>269</v>
      </c>
      <c r="T965" s="87">
        <v>269</v>
      </c>
      <c r="V965" s="87">
        <v>2495</v>
      </c>
      <c r="X965" s="87">
        <v>10</v>
      </c>
      <c r="Y965" s="88">
        <v>17723314.500000004</v>
      </c>
      <c r="Z965" s="87">
        <v>78</v>
      </c>
      <c r="AA965" s="87">
        <v>269</v>
      </c>
      <c r="AB965" s="89">
        <f t="shared" si="271"/>
        <v>19687</v>
      </c>
      <c r="AC965" s="89">
        <f t="shared" si="272"/>
        <v>269</v>
      </c>
      <c r="AD965" s="89">
        <f t="shared" si="273"/>
        <v>2495</v>
      </c>
      <c r="AE965" s="90">
        <f t="shared" si="274"/>
        <v>2302</v>
      </c>
      <c r="AF965" s="90">
        <f t="shared" si="275"/>
        <v>2013</v>
      </c>
      <c r="AG965" s="90">
        <f t="shared" si="276"/>
        <v>269</v>
      </c>
      <c r="AH965" s="90" t="str">
        <f t="shared" si="277"/>
        <v>2018 (triag)</v>
      </c>
      <c r="AI965" s="90">
        <f t="shared" si="278"/>
        <v>78</v>
      </c>
      <c r="AJ965" s="90">
        <f t="shared" si="279"/>
        <v>2022</v>
      </c>
      <c r="AK965" s="90" t="str">
        <f t="shared" si="280"/>
        <v>Adjust</v>
      </c>
      <c r="AL965" s="91">
        <f>IF(AK965="Adjust",(_xlfn.XLOOKUP(A965,'Adj factor'!A:A,'Adj factor'!I:I,,0)*AI965),'Master DataSheet'!AI965)</f>
        <v>90.077679958570684</v>
      </c>
      <c r="AM965" s="91">
        <f t="shared" si="281"/>
        <v>269</v>
      </c>
      <c r="AN965" s="92" t="str">
        <f t="shared" si="282"/>
        <v>Decreasing</v>
      </c>
      <c r="AO965" s="93">
        <f>VLOOKUP(B965,'Growthrates source'!A$2:H$49,8,FALSE)</f>
        <v>-3.1578929217935259E-2</v>
      </c>
      <c r="AP965" s="93">
        <f>VLOOKUP(B965,'Growthrates source'!A$2:I$49,9,FALSE)</f>
        <v>1.4876976840610734E-2</v>
      </c>
      <c r="AQ965" s="86">
        <f t="shared" si="283"/>
        <v>315.01051703831746</v>
      </c>
      <c r="AR965" s="86">
        <f t="shared" si="284"/>
        <v>281.27766415562184</v>
      </c>
      <c r="AS965" s="94">
        <f t="shared" si="285"/>
        <v>1.74172707068707</v>
      </c>
      <c r="AT965" s="94">
        <f t="shared" si="286"/>
        <v>0.17238937440600965</v>
      </c>
      <c r="AU965" s="94">
        <f t="shared" si="287"/>
        <v>0.15177747931968366</v>
      </c>
    </row>
    <row r="966" spans="1:47" x14ac:dyDescent="0.3">
      <c r="A966" s="85" t="str">
        <f>_xlfn.XLOOKUP(B966,'Country codes &amp; Data sources'!G:G,'Country codes &amp; Data sources'!H:H,,0)</f>
        <v>Chad</v>
      </c>
      <c r="B966" s="85" t="s">
        <v>169</v>
      </c>
      <c r="C966" s="86">
        <v>12754910</v>
      </c>
      <c r="D966" s="85" t="s">
        <v>325</v>
      </c>
      <c r="E966" s="87">
        <v>15483</v>
      </c>
      <c r="F966" s="88">
        <v>13216766.5</v>
      </c>
      <c r="G966" s="87">
        <v>1652</v>
      </c>
      <c r="I966" s="87">
        <v>12</v>
      </c>
      <c r="K966" s="87">
        <v>123</v>
      </c>
      <c r="M966" s="87">
        <v>14</v>
      </c>
      <c r="O966" s="87">
        <v>81</v>
      </c>
      <c r="P966" s="88">
        <v>15604210</v>
      </c>
      <c r="Q966" s="87">
        <v>0</v>
      </c>
      <c r="R966" s="87">
        <f t="shared" si="270"/>
        <v>3</v>
      </c>
      <c r="T966" s="87">
        <v>3</v>
      </c>
      <c r="V966" s="87">
        <v>506</v>
      </c>
      <c r="X966" s="87">
        <v>0</v>
      </c>
      <c r="Y966" s="88">
        <v>17723314.500000004</v>
      </c>
      <c r="Z966" s="87">
        <v>14</v>
      </c>
      <c r="AA966" s="87">
        <v>3</v>
      </c>
      <c r="AB966" s="89">
        <f t="shared" si="271"/>
        <v>15483</v>
      </c>
      <c r="AC966" s="89">
        <f t="shared" si="272"/>
        <v>81</v>
      </c>
      <c r="AD966" s="89">
        <f t="shared" si="273"/>
        <v>506</v>
      </c>
      <c r="AE966" s="90">
        <f t="shared" si="274"/>
        <v>1652</v>
      </c>
      <c r="AF966" s="90">
        <f t="shared" si="275"/>
        <v>2013</v>
      </c>
      <c r="AG966" s="90">
        <f t="shared" si="276"/>
        <v>3</v>
      </c>
      <c r="AH966" s="90" t="str">
        <f t="shared" si="277"/>
        <v>2018 (triag)</v>
      </c>
      <c r="AI966" s="90">
        <f t="shared" si="278"/>
        <v>14</v>
      </c>
      <c r="AJ966" s="90">
        <f t="shared" si="279"/>
        <v>2022</v>
      </c>
      <c r="AK966" s="90" t="str">
        <f t="shared" si="280"/>
        <v/>
      </c>
      <c r="AL966" s="91">
        <f>IF(AK966="Adjust",(_xlfn.XLOOKUP(A966,'Adj factor'!A:A,'Adj factor'!I:I,,0)*AI966),'Master DataSheet'!AI966)</f>
        <v>14</v>
      </c>
      <c r="AM966" s="91">
        <f t="shared" si="281"/>
        <v>14</v>
      </c>
      <c r="AN966" s="92" t="str">
        <f t="shared" si="282"/>
        <v>Increasing</v>
      </c>
      <c r="AO966" s="93">
        <f>VLOOKUP(B966,'Growthrates source'!A$2:H$49,8,FALSE)</f>
        <v>-3.1578929217935259E-2</v>
      </c>
      <c r="AP966" s="93">
        <f>VLOOKUP(B966,'Growthrates source'!A$2:I$49,9,FALSE)</f>
        <v>1.4876976840610734E-2</v>
      </c>
      <c r="AQ966" s="86">
        <f t="shared" si="283"/>
        <v>3.5131284428065142</v>
      </c>
      <c r="AR966" s="86">
        <f t="shared" si="284"/>
        <v>3.1369256225534032</v>
      </c>
      <c r="AS966" s="94">
        <f t="shared" si="285"/>
        <v>1.249927506852754</v>
      </c>
      <c r="AT966" s="94">
        <f t="shared" si="286"/>
        <v>1.9225580788774311E-3</v>
      </c>
      <c r="AU966" s="94">
        <f t="shared" si="287"/>
        <v>7.8991996671954317E-3</v>
      </c>
    </row>
    <row r="967" spans="1:47" x14ac:dyDescent="0.3">
      <c r="A967" s="85" t="str">
        <f>_xlfn.XLOOKUP(B967,'Country codes &amp; Data sources'!G:G,'Country codes &amp; Data sources'!H:H,,0)</f>
        <v>Chad</v>
      </c>
      <c r="B967" s="85" t="s">
        <v>169</v>
      </c>
      <c r="C967" s="86">
        <v>12754911</v>
      </c>
      <c r="D967" s="85" t="s">
        <v>127</v>
      </c>
      <c r="E967" s="87">
        <v>0</v>
      </c>
      <c r="F967" s="88">
        <v>13216766.5</v>
      </c>
      <c r="G967" s="87">
        <v>0</v>
      </c>
      <c r="I967" s="87">
        <v>0</v>
      </c>
      <c r="K967" s="87">
        <v>0</v>
      </c>
      <c r="M967" s="87">
        <v>0</v>
      </c>
      <c r="O967" s="87">
        <v>0</v>
      </c>
      <c r="P967" s="88">
        <v>15604210</v>
      </c>
      <c r="Q967" s="87">
        <v>0</v>
      </c>
      <c r="R967" s="87">
        <f t="shared" si="270"/>
        <v>7</v>
      </c>
      <c r="T967" s="87">
        <v>0</v>
      </c>
      <c r="V967" s="87">
        <v>592</v>
      </c>
      <c r="X967" s="87">
        <v>8077</v>
      </c>
      <c r="Y967" s="88">
        <v>17723314.500000004</v>
      </c>
      <c r="Z967" s="87">
        <v>0</v>
      </c>
      <c r="AA967" s="87">
        <v>7</v>
      </c>
      <c r="AB967" s="89">
        <f t="shared" si="271"/>
        <v>0</v>
      </c>
      <c r="AC967" s="89">
        <f t="shared" si="272"/>
        <v>0</v>
      </c>
      <c r="AD967" s="89">
        <f t="shared" si="273"/>
        <v>8077</v>
      </c>
      <c r="AE967" s="90">
        <f t="shared" si="274"/>
        <v>0</v>
      </c>
      <c r="AF967" s="90" t="str">
        <f t="shared" si="275"/>
        <v/>
      </c>
      <c r="AG967" s="90">
        <f t="shared" si="276"/>
        <v>7</v>
      </c>
      <c r="AH967" s="90" t="str">
        <f t="shared" si="277"/>
        <v>2018 (triag)</v>
      </c>
      <c r="AI967" s="90">
        <f t="shared" si="278"/>
        <v>8077</v>
      </c>
      <c r="AJ967" s="90">
        <f t="shared" si="279"/>
        <v>2021</v>
      </c>
      <c r="AK967" s="90" t="str">
        <f t="shared" si="280"/>
        <v/>
      </c>
      <c r="AL967" s="91">
        <f>IF(AK967="Adjust",(_xlfn.XLOOKUP(A967,'Adj factor'!A:A,'Adj factor'!I:I,,0)*AI967),'Master DataSheet'!AI967)</f>
        <v>8077</v>
      </c>
      <c r="AM967" s="91">
        <f t="shared" si="281"/>
        <v>8077</v>
      </c>
      <c r="AN967" s="92" t="str">
        <f t="shared" si="282"/>
        <v>Increasing</v>
      </c>
      <c r="AO967" s="93">
        <f>VLOOKUP(B967,'Growthrates source'!A$2:H$49,8,FALSE)</f>
        <v>-3.1578929217935259E-2</v>
      </c>
      <c r="AP967" s="93">
        <f>VLOOKUP(B967,'Growthrates source'!A$2:I$49,9,FALSE)</f>
        <v>1.4876976840610734E-2</v>
      </c>
      <c r="AQ967" s="86">
        <f t="shared" si="283"/>
        <v>8.1972996998818672</v>
      </c>
      <c r="AR967" s="86">
        <f t="shared" si="284"/>
        <v>7.3194931192912742</v>
      </c>
      <c r="AS967" s="94">
        <f t="shared" si="285"/>
        <v>0</v>
      </c>
      <c r="AT967" s="94">
        <f t="shared" si="286"/>
        <v>4.4859688507140061E-3</v>
      </c>
      <c r="AU967" s="94">
        <f t="shared" si="287"/>
        <v>4.5572739794241075</v>
      </c>
    </row>
    <row r="968" spans="1:47" x14ac:dyDescent="0.3">
      <c r="A968" s="85" t="str">
        <f>_xlfn.XLOOKUP(B968,'Country codes &amp; Data sources'!G:G,'Country codes &amp; Data sources'!H:H,,0)</f>
        <v>Chad</v>
      </c>
      <c r="B968" s="85" t="s">
        <v>169</v>
      </c>
      <c r="C968" s="86">
        <v>12754912</v>
      </c>
      <c r="D968" s="85" t="s">
        <v>61</v>
      </c>
      <c r="E968" s="87">
        <v>406</v>
      </c>
      <c r="F968" s="88">
        <v>13216766.5</v>
      </c>
      <c r="G968" s="87">
        <v>0</v>
      </c>
      <c r="I968" s="87">
        <v>0</v>
      </c>
      <c r="K968" s="87">
        <v>43</v>
      </c>
      <c r="M968" s="87">
        <v>0</v>
      </c>
      <c r="O968" s="87">
        <v>0</v>
      </c>
      <c r="P968" s="88">
        <v>15604210</v>
      </c>
      <c r="Q968" s="87">
        <v>0</v>
      </c>
      <c r="R968" s="87">
        <f t="shared" si="270"/>
        <v>58</v>
      </c>
      <c r="T968" s="87">
        <v>0</v>
      </c>
      <c r="V968" s="87">
        <v>0</v>
      </c>
      <c r="X968" s="87">
        <v>0</v>
      </c>
      <c r="Y968" s="88">
        <v>17723314.500000004</v>
      </c>
      <c r="Z968" s="87">
        <v>0</v>
      </c>
      <c r="AA968" s="87">
        <v>58</v>
      </c>
      <c r="AB968" s="89">
        <f t="shared" si="271"/>
        <v>406</v>
      </c>
      <c r="AC968" s="89">
        <f t="shared" si="272"/>
        <v>0</v>
      </c>
      <c r="AD968" s="89">
        <f t="shared" si="273"/>
        <v>0</v>
      </c>
      <c r="AE968" s="90">
        <f t="shared" si="274"/>
        <v>406</v>
      </c>
      <c r="AF968" s="90">
        <f t="shared" si="275"/>
        <v>2012</v>
      </c>
      <c r="AG968" s="90">
        <f t="shared" si="276"/>
        <v>58</v>
      </c>
      <c r="AH968" s="90" t="str">
        <f t="shared" si="277"/>
        <v>2018 (triag)</v>
      </c>
      <c r="AI968" s="90">
        <f t="shared" si="278"/>
        <v>58</v>
      </c>
      <c r="AJ968" s="90" t="str">
        <f t="shared" si="279"/>
        <v>2018 (triag)</v>
      </c>
      <c r="AK968" s="90" t="str">
        <f t="shared" si="280"/>
        <v/>
      </c>
      <c r="AL968" s="91">
        <f>IF(AK968="Adjust",(_xlfn.XLOOKUP(A968,'Adj factor'!A:A,'Adj factor'!I:I,,0)*AI968),'Master DataSheet'!AI968)</f>
        <v>58</v>
      </c>
      <c r="AM968" s="91">
        <f t="shared" si="281"/>
        <v>58</v>
      </c>
      <c r="AN968" s="92" t="str">
        <f t="shared" si="282"/>
        <v>No change</v>
      </c>
      <c r="AO968" s="93">
        <f>VLOOKUP(B968,'Growthrates source'!A$2:H$49,8,FALSE)</f>
        <v>-3.1578929217935259E-2</v>
      </c>
      <c r="AP968" s="93">
        <f>VLOOKUP(B968,'Growthrates source'!A$2:I$49,9,FALSE)</f>
        <v>1.4876976840610734E-2</v>
      </c>
      <c r="AQ968" s="86">
        <f t="shared" si="283"/>
        <v>67.920483227592612</v>
      </c>
      <c r="AR968" s="86">
        <f t="shared" si="284"/>
        <v>60.647228702699131</v>
      </c>
      <c r="AS968" s="94">
        <f t="shared" si="285"/>
        <v>0.30718557371804972</v>
      </c>
      <c r="AT968" s="94">
        <f t="shared" si="286"/>
        <v>3.7169456191630333E-2</v>
      </c>
      <c r="AU968" s="94">
        <f t="shared" si="287"/>
        <v>3.2725255764095358E-2</v>
      </c>
    </row>
    <row r="969" spans="1:47" x14ac:dyDescent="0.3">
      <c r="A969" s="85" t="str">
        <f>_xlfn.XLOOKUP(B969,'Country codes &amp; Data sources'!G:G,'Country codes &amp; Data sources'!H:H,,0)</f>
        <v>Chad</v>
      </c>
      <c r="B969" s="85" t="s">
        <v>169</v>
      </c>
      <c r="C969" s="86">
        <v>12754913</v>
      </c>
      <c r="D969" s="85" t="s">
        <v>62</v>
      </c>
      <c r="E969" s="87">
        <v>1258</v>
      </c>
      <c r="F969" s="88">
        <v>13216766.5</v>
      </c>
      <c r="G969" s="87">
        <v>0</v>
      </c>
      <c r="I969" s="87">
        <v>255</v>
      </c>
      <c r="K969" s="87">
        <v>0</v>
      </c>
      <c r="M969" s="87">
        <v>0</v>
      </c>
      <c r="O969" s="87">
        <v>0</v>
      </c>
      <c r="P969" s="88">
        <v>15604210</v>
      </c>
      <c r="Q969" s="87">
        <v>0</v>
      </c>
      <c r="R969" s="87">
        <f t="shared" si="270"/>
        <v>76</v>
      </c>
      <c r="T969" s="87">
        <v>0</v>
      </c>
      <c r="V969" s="87">
        <v>0</v>
      </c>
      <c r="X969" s="87">
        <v>0</v>
      </c>
      <c r="Y969" s="88">
        <v>17723314.500000004</v>
      </c>
      <c r="Z969" s="87">
        <v>0</v>
      </c>
      <c r="AA969" s="87">
        <v>76</v>
      </c>
      <c r="AB969" s="89">
        <f t="shared" si="271"/>
        <v>1258</v>
      </c>
      <c r="AC969" s="89">
        <f t="shared" si="272"/>
        <v>0</v>
      </c>
      <c r="AD969" s="89">
        <f t="shared" si="273"/>
        <v>0</v>
      </c>
      <c r="AE969" s="90">
        <f t="shared" si="274"/>
        <v>1258</v>
      </c>
      <c r="AF969" s="90">
        <f t="shared" si="275"/>
        <v>2012</v>
      </c>
      <c r="AG969" s="90">
        <f t="shared" si="276"/>
        <v>76</v>
      </c>
      <c r="AH969" s="90" t="str">
        <f t="shared" si="277"/>
        <v>2018 (triag)</v>
      </c>
      <c r="AI969" s="90">
        <f t="shared" si="278"/>
        <v>76</v>
      </c>
      <c r="AJ969" s="90" t="str">
        <f t="shared" si="279"/>
        <v>2018 (triag)</v>
      </c>
      <c r="AK969" s="90" t="str">
        <f t="shared" si="280"/>
        <v/>
      </c>
      <c r="AL969" s="91">
        <f>IF(AK969="Adjust",(_xlfn.XLOOKUP(A969,'Adj factor'!A:A,'Adj factor'!I:I,,0)*AI969),'Master DataSheet'!AI969)</f>
        <v>76</v>
      </c>
      <c r="AM969" s="91">
        <f t="shared" si="281"/>
        <v>76</v>
      </c>
      <c r="AN969" s="92" t="str">
        <f t="shared" si="282"/>
        <v>No change</v>
      </c>
      <c r="AO969" s="93">
        <f>VLOOKUP(B969,'Growthrates source'!A$2:H$49,8,FALSE)</f>
        <v>-3.1578929217935259E-2</v>
      </c>
      <c r="AP969" s="93">
        <f>VLOOKUP(B969,'Growthrates source'!A$2:I$49,9,FALSE)</f>
        <v>1.4876976840610734E-2</v>
      </c>
      <c r="AQ969" s="86">
        <f t="shared" si="283"/>
        <v>88.999253884431695</v>
      </c>
      <c r="AR969" s="86">
        <f t="shared" si="284"/>
        <v>79.468782438019545</v>
      </c>
      <c r="AS969" s="94">
        <f t="shared" si="285"/>
        <v>0.95182130969779943</v>
      </c>
      <c r="AT969" s="94">
        <f t="shared" si="286"/>
        <v>4.8704804664894921E-2</v>
      </c>
      <c r="AU969" s="94">
        <f t="shared" si="287"/>
        <v>4.2881369621918061E-2</v>
      </c>
    </row>
    <row r="970" spans="1:47" x14ac:dyDescent="0.3">
      <c r="A970" s="85" t="str">
        <f>_xlfn.XLOOKUP(B970,'Country codes &amp; Data sources'!G:G,'Country codes &amp; Data sources'!H:H,,0)</f>
        <v>Chad</v>
      </c>
      <c r="B970" s="85" t="s">
        <v>169</v>
      </c>
      <c r="C970" s="86">
        <v>12754914</v>
      </c>
      <c r="D970" s="85" t="s">
        <v>203</v>
      </c>
      <c r="E970" s="87">
        <v>0</v>
      </c>
      <c r="F970" s="88">
        <v>13216766.5</v>
      </c>
      <c r="G970" s="87">
        <v>0</v>
      </c>
      <c r="I970" s="87">
        <v>0</v>
      </c>
      <c r="K970" s="87">
        <v>0</v>
      </c>
      <c r="M970" s="87">
        <v>0</v>
      </c>
      <c r="O970" s="87">
        <v>0</v>
      </c>
      <c r="P970" s="88">
        <v>15604210</v>
      </c>
      <c r="Q970" s="87">
        <v>0</v>
      </c>
      <c r="R970" s="87">
        <f t="shared" si="270"/>
        <v>738</v>
      </c>
      <c r="T970" s="87">
        <v>208</v>
      </c>
      <c r="V970" s="87">
        <v>0</v>
      </c>
      <c r="X970" s="87">
        <v>0</v>
      </c>
      <c r="Y970" s="88">
        <v>17723314.500000004</v>
      </c>
      <c r="Z970" s="87">
        <v>0</v>
      </c>
      <c r="AA970" s="87">
        <v>738</v>
      </c>
      <c r="AB970" s="89">
        <f t="shared" si="271"/>
        <v>0</v>
      </c>
      <c r="AC970" s="89">
        <f t="shared" si="272"/>
        <v>208</v>
      </c>
      <c r="AD970" s="89">
        <f t="shared" si="273"/>
        <v>0</v>
      </c>
      <c r="AE970" s="90">
        <f t="shared" si="274"/>
        <v>0</v>
      </c>
      <c r="AF970" s="90" t="str">
        <f t="shared" si="275"/>
        <v/>
      </c>
      <c r="AG970" s="90">
        <f t="shared" si="276"/>
        <v>738</v>
      </c>
      <c r="AH970" s="90" t="str">
        <f t="shared" si="277"/>
        <v>2018 (triag)</v>
      </c>
      <c r="AI970" s="90">
        <f t="shared" si="278"/>
        <v>208</v>
      </c>
      <c r="AJ970" s="90" t="str">
        <f t="shared" si="279"/>
        <v>2018 (triag)</v>
      </c>
      <c r="AK970" s="90" t="str">
        <f t="shared" si="280"/>
        <v>Adjust</v>
      </c>
      <c r="AL970" s="91">
        <f>IF(AK970="Adjust",(_xlfn.XLOOKUP(A970,'Adj factor'!A:A,'Adj factor'!I:I,,0)*AI970),'Master DataSheet'!AI970)</f>
        <v>240.20714655618852</v>
      </c>
      <c r="AM970" s="91">
        <f t="shared" si="281"/>
        <v>738</v>
      </c>
      <c r="AN970" s="92" t="str">
        <f t="shared" si="282"/>
        <v>Decreasing</v>
      </c>
      <c r="AO970" s="93">
        <f>VLOOKUP(B970,'Growthrates source'!A$2:H$49,8,FALSE)</f>
        <v>-3.1578929217935259E-2</v>
      </c>
      <c r="AP970" s="93">
        <f>VLOOKUP(B970,'Growthrates source'!A$2:I$49,9,FALSE)</f>
        <v>1.4876976840610734E-2</v>
      </c>
      <c r="AQ970" s="86">
        <f t="shared" si="283"/>
        <v>864.22959693040252</v>
      </c>
      <c r="AR970" s="86">
        <f t="shared" si="284"/>
        <v>771.68370314813717</v>
      </c>
      <c r="AS970" s="94">
        <f t="shared" si="285"/>
        <v>0</v>
      </c>
      <c r="AT970" s="94">
        <f t="shared" si="286"/>
        <v>0.47294928740384806</v>
      </c>
      <c r="AU970" s="94">
        <f t="shared" si="287"/>
        <v>0.41640066817073063</v>
      </c>
    </row>
    <row r="971" spans="1:47" x14ac:dyDescent="0.3">
      <c r="A971" s="85" t="str">
        <f>_xlfn.XLOOKUP(B971,'Country codes &amp; Data sources'!G:G,'Country codes &amp; Data sources'!H:H,,0)</f>
        <v>Chad</v>
      </c>
      <c r="B971" s="85" t="s">
        <v>169</v>
      </c>
      <c r="C971" s="86">
        <v>12754915</v>
      </c>
      <c r="D971" s="85" t="s">
        <v>204</v>
      </c>
      <c r="E971" s="87">
        <v>0</v>
      </c>
      <c r="F971" s="88">
        <v>13216766.5</v>
      </c>
      <c r="G971" s="87">
        <v>0</v>
      </c>
      <c r="I971" s="87">
        <v>0</v>
      </c>
      <c r="K971" s="87">
        <v>0</v>
      </c>
      <c r="M971" s="87">
        <v>0</v>
      </c>
      <c r="O971" s="87">
        <v>0</v>
      </c>
      <c r="P971" s="88">
        <v>15604210</v>
      </c>
      <c r="Q971" s="87">
        <v>0</v>
      </c>
      <c r="R971" s="87">
        <f t="shared" si="270"/>
        <v>732</v>
      </c>
      <c r="T971" s="87">
        <v>109</v>
      </c>
      <c r="V971" s="87">
        <v>0</v>
      </c>
      <c r="X971" s="87">
        <v>371</v>
      </c>
      <c r="Y971" s="88">
        <v>17723314.500000004</v>
      </c>
      <c r="Z971" s="87">
        <v>0</v>
      </c>
      <c r="AA971" s="87">
        <v>732</v>
      </c>
      <c r="AB971" s="89">
        <f t="shared" si="271"/>
        <v>0</v>
      </c>
      <c r="AC971" s="89">
        <f t="shared" si="272"/>
        <v>109</v>
      </c>
      <c r="AD971" s="89">
        <f t="shared" si="273"/>
        <v>371</v>
      </c>
      <c r="AE971" s="90">
        <f t="shared" si="274"/>
        <v>0</v>
      </c>
      <c r="AF971" s="90" t="str">
        <f t="shared" si="275"/>
        <v/>
      </c>
      <c r="AG971" s="90">
        <f t="shared" si="276"/>
        <v>732</v>
      </c>
      <c r="AH971" s="90" t="str">
        <f t="shared" si="277"/>
        <v>2018 (triag)</v>
      </c>
      <c r="AI971" s="90">
        <f t="shared" si="278"/>
        <v>371</v>
      </c>
      <c r="AJ971" s="90">
        <f t="shared" si="279"/>
        <v>2021</v>
      </c>
      <c r="AK971" s="90" t="str">
        <f t="shared" si="280"/>
        <v>Adjust</v>
      </c>
      <c r="AL971" s="91">
        <f>IF(AK971="Adjust",(_xlfn.XLOOKUP(A971,'Adj factor'!A:A,'Adj factor'!I:I,,0)*AI971),'Master DataSheet'!AI971)</f>
        <v>428.44640082858621</v>
      </c>
      <c r="AM971" s="91">
        <f t="shared" si="281"/>
        <v>732</v>
      </c>
      <c r="AN971" s="92" t="str">
        <f t="shared" si="282"/>
        <v>Decreasing</v>
      </c>
      <c r="AO971" s="93">
        <f>VLOOKUP(B971,'Growthrates source'!A$2:H$49,8,FALSE)</f>
        <v>-3.1578929217935259E-2</v>
      </c>
      <c r="AP971" s="93">
        <f>VLOOKUP(B971,'Growthrates source'!A$2:I$49,9,FALSE)</f>
        <v>1.4876976840610734E-2</v>
      </c>
      <c r="AQ971" s="86">
        <f t="shared" si="283"/>
        <v>857.20334004478946</v>
      </c>
      <c r="AR971" s="86">
        <f t="shared" si="284"/>
        <v>765.40985190303036</v>
      </c>
      <c r="AS971" s="94">
        <f t="shared" si="285"/>
        <v>0</v>
      </c>
      <c r="AT971" s="94">
        <f t="shared" si="286"/>
        <v>0.46910417124609322</v>
      </c>
      <c r="AU971" s="94">
        <f t="shared" si="287"/>
        <v>0.41301529688478972</v>
      </c>
    </row>
    <row r="972" spans="1:47" x14ac:dyDescent="0.3">
      <c r="A972" s="85" t="str">
        <f>_xlfn.XLOOKUP(B972,'Country codes &amp; Data sources'!G:G,'Country codes &amp; Data sources'!H:H,,0)</f>
        <v>Chad</v>
      </c>
      <c r="B972" s="85" t="s">
        <v>169</v>
      </c>
      <c r="C972" s="86">
        <v>12754916</v>
      </c>
      <c r="D972" s="85" t="s">
        <v>205</v>
      </c>
      <c r="E972" s="87">
        <v>0</v>
      </c>
      <c r="F972" s="88">
        <v>13216766.5</v>
      </c>
      <c r="G972" s="87">
        <v>0</v>
      </c>
      <c r="I972" s="87">
        <v>0</v>
      </c>
      <c r="K972" s="87">
        <v>0</v>
      </c>
      <c r="M972" s="87">
        <v>0</v>
      </c>
      <c r="O972" s="87">
        <v>0</v>
      </c>
      <c r="P972" s="88">
        <v>15604210</v>
      </c>
      <c r="Q972" s="87">
        <v>0</v>
      </c>
      <c r="R972" s="87">
        <f t="shared" si="270"/>
        <v>0</v>
      </c>
      <c r="T972" s="87">
        <v>0</v>
      </c>
      <c r="V972" s="87">
        <v>0</v>
      </c>
      <c r="X972" s="87">
        <v>4</v>
      </c>
      <c r="Y972" s="88">
        <v>17723314.500000004</v>
      </c>
      <c r="Z972" s="87">
        <v>11</v>
      </c>
      <c r="AA972" s="87">
        <v>0</v>
      </c>
      <c r="AB972" s="89">
        <f t="shared" si="271"/>
        <v>0</v>
      </c>
      <c r="AC972" s="89">
        <f t="shared" si="272"/>
        <v>0</v>
      </c>
      <c r="AD972" s="89">
        <f t="shared" si="273"/>
        <v>11</v>
      </c>
      <c r="AE972" s="90">
        <f t="shared" si="274"/>
        <v>0</v>
      </c>
      <c r="AF972" s="90" t="str">
        <f t="shared" si="275"/>
        <v/>
      </c>
      <c r="AG972" s="90">
        <f t="shared" si="276"/>
        <v>0</v>
      </c>
      <c r="AH972" s="90" t="str">
        <f t="shared" si="277"/>
        <v/>
      </c>
      <c r="AI972" s="90">
        <f t="shared" si="278"/>
        <v>11</v>
      </c>
      <c r="AJ972" s="90">
        <f t="shared" si="279"/>
        <v>2022</v>
      </c>
      <c r="AK972" s="90" t="str">
        <f t="shared" si="280"/>
        <v/>
      </c>
      <c r="AL972" s="91">
        <f>IF(AK972="Adjust",(_xlfn.XLOOKUP(A972,'Adj factor'!A:A,'Adj factor'!I:I,,0)*AI972),'Master DataSheet'!AI972)</f>
        <v>11</v>
      </c>
      <c r="AM972" s="91">
        <f t="shared" si="281"/>
        <v>11</v>
      </c>
      <c r="AN972" s="92" t="str">
        <f t="shared" si="282"/>
        <v>Increasing</v>
      </c>
      <c r="AO972" s="93">
        <f>VLOOKUP(B972,'Growthrates source'!A$2:H$49,8,FALSE)</f>
        <v>-3.1578929217935259E-2</v>
      </c>
      <c r="AP972" s="93">
        <f>VLOOKUP(B972,'Growthrates source'!A$2:I$49,9,FALSE)</f>
        <v>1.4876976840610734E-2</v>
      </c>
      <c r="AQ972" s="86">
        <f t="shared" si="283"/>
        <v>0</v>
      </c>
      <c r="AR972" s="86">
        <f t="shared" si="284"/>
        <v>0</v>
      </c>
      <c r="AS972" s="94">
        <f t="shared" si="285"/>
        <v>0</v>
      </c>
      <c r="AT972" s="94">
        <f t="shared" si="286"/>
        <v>0</v>
      </c>
      <c r="AU972" s="94">
        <f t="shared" si="287"/>
        <v>6.206514024224982E-3</v>
      </c>
    </row>
    <row r="973" spans="1:47" x14ac:dyDescent="0.3">
      <c r="A973" s="85" t="str">
        <f>_xlfn.XLOOKUP(B973,'Country codes &amp; Data sources'!G:G,'Country codes &amp; Data sources'!H:H,,0)</f>
        <v>Chad</v>
      </c>
      <c r="B973" s="85" t="s">
        <v>169</v>
      </c>
      <c r="C973" s="86">
        <v>12754917</v>
      </c>
      <c r="D973" s="85" t="s">
        <v>133</v>
      </c>
      <c r="E973" s="87">
        <v>0</v>
      </c>
      <c r="F973" s="88">
        <v>13216766.5</v>
      </c>
      <c r="G973" s="87">
        <v>0</v>
      </c>
      <c r="I973" s="87">
        <v>0</v>
      </c>
      <c r="K973" s="87">
        <v>0</v>
      </c>
      <c r="M973" s="87">
        <v>0</v>
      </c>
      <c r="O973" s="87">
        <v>0</v>
      </c>
      <c r="P973" s="88">
        <v>15604210</v>
      </c>
      <c r="Q973" s="87">
        <v>749</v>
      </c>
      <c r="R973" s="87">
        <f t="shared" si="270"/>
        <v>814</v>
      </c>
      <c r="T973" s="87">
        <v>0</v>
      </c>
      <c r="V973" s="87">
        <v>0</v>
      </c>
      <c r="X973" s="87">
        <v>848</v>
      </c>
      <c r="Y973" s="88">
        <v>17723314.500000004</v>
      </c>
      <c r="Z973" s="87">
        <v>1028</v>
      </c>
      <c r="AA973" s="87">
        <v>814</v>
      </c>
      <c r="AB973" s="89">
        <f t="shared" si="271"/>
        <v>0</v>
      </c>
      <c r="AC973" s="89">
        <f t="shared" si="272"/>
        <v>749</v>
      </c>
      <c r="AD973" s="89">
        <f t="shared" si="273"/>
        <v>1028</v>
      </c>
      <c r="AE973" s="90">
        <f t="shared" si="274"/>
        <v>0</v>
      </c>
      <c r="AF973" s="90" t="str">
        <f t="shared" si="275"/>
        <v/>
      </c>
      <c r="AG973" s="90">
        <f t="shared" si="276"/>
        <v>814</v>
      </c>
      <c r="AH973" s="90" t="str">
        <f t="shared" si="277"/>
        <v>2018 (triag)</v>
      </c>
      <c r="AI973" s="90">
        <f t="shared" si="278"/>
        <v>1028</v>
      </c>
      <c r="AJ973" s="90">
        <f t="shared" si="279"/>
        <v>2022</v>
      </c>
      <c r="AK973" s="90" t="str">
        <f t="shared" si="280"/>
        <v/>
      </c>
      <c r="AL973" s="91">
        <f>IF(AK973="Adjust",(_xlfn.XLOOKUP(A973,'Adj factor'!A:A,'Adj factor'!I:I,,0)*AI973),'Master DataSheet'!AI973)</f>
        <v>1028</v>
      </c>
      <c r="AM973" s="91">
        <f t="shared" si="281"/>
        <v>1028</v>
      </c>
      <c r="AN973" s="92" t="str">
        <f t="shared" si="282"/>
        <v>Increasing</v>
      </c>
      <c r="AO973" s="93">
        <f>VLOOKUP(B973,'Growthrates source'!A$2:H$49,8,FALSE)</f>
        <v>-3.1578929217935259E-2</v>
      </c>
      <c r="AP973" s="93">
        <f>VLOOKUP(B973,'Growthrates source'!A$2:I$49,9,FALSE)</f>
        <v>1.4876976840610734E-2</v>
      </c>
      <c r="AQ973" s="86">
        <f t="shared" si="283"/>
        <v>953.22885081483423</v>
      </c>
      <c r="AR973" s="86">
        <f t="shared" si="284"/>
        <v>851.15248558615679</v>
      </c>
      <c r="AS973" s="94">
        <f t="shared" si="285"/>
        <v>0</v>
      </c>
      <c r="AT973" s="94">
        <f t="shared" si="286"/>
        <v>0.52165409206874302</v>
      </c>
      <c r="AU973" s="94">
        <f t="shared" si="287"/>
        <v>0.58002694699120738</v>
      </c>
    </row>
    <row r="974" spans="1:47" x14ac:dyDescent="0.3">
      <c r="A974" s="85" t="str">
        <f>_xlfn.XLOOKUP(B974,'Country codes &amp; Data sources'!G:G,'Country codes &amp; Data sources'!H:H,,0)</f>
        <v>Chad</v>
      </c>
      <c r="B974" s="85" t="s">
        <v>169</v>
      </c>
      <c r="C974" s="86">
        <v>12754918</v>
      </c>
      <c r="D974" s="85" t="s">
        <v>206</v>
      </c>
      <c r="E974" s="87">
        <v>0</v>
      </c>
      <c r="F974" s="88">
        <v>13216766.5</v>
      </c>
      <c r="G974" s="87">
        <v>0</v>
      </c>
      <c r="I974" s="87">
        <v>0</v>
      </c>
      <c r="K974" s="87">
        <v>0</v>
      </c>
      <c r="M974" s="87">
        <v>0</v>
      </c>
      <c r="O974" s="87">
        <v>0</v>
      </c>
      <c r="P974" s="88">
        <v>15604210</v>
      </c>
      <c r="Q974" s="87">
        <v>0</v>
      </c>
      <c r="R974" s="87">
        <f t="shared" si="270"/>
        <v>42</v>
      </c>
      <c r="T974" s="87">
        <v>0</v>
      </c>
      <c r="V974" s="87">
        <v>0</v>
      </c>
      <c r="X974" s="87">
        <v>104</v>
      </c>
      <c r="Y974" s="88">
        <v>17723314.500000004</v>
      </c>
      <c r="Z974" s="87">
        <v>104</v>
      </c>
      <c r="AA974" s="87">
        <v>42</v>
      </c>
      <c r="AB974" s="89">
        <f t="shared" si="271"/>
        <v>0</v>
      </c>
      <c r="AC974" s="89">
        <f t="shared" si="272"/>
        <v>0</v>
      </c>
      <c r="AD974" s="89">
        <f t="shared" si="273"/>
        <v>104</v>
      </c>
      <c r="AE974" s="90">
        <f t="shared" si="274"/>
        <v>0</v>
      </c>
      <c r="AF974" s="90" t="str">
        <f t="shared" si="275"/>
        <v/>
      </c>
      <c r="AG974" s="90">
        <f t="shared" si="276"/>
        <v>42</v>
      </c>
      <c r="AH974" s="90" t="str">
        <f t="shared" si="277"/>
        <v>2018 (triag)</v>
      </c>
      <c r="AI974" s="90">
        <f t="shared" si="278"/>
        <v>104</v>
      </c>
      <c r="AJ974" s="90">
        <f t="shared" si="279"/>
        <v>2021</v>
      </c>
      <c r="AK974" s="90" t="str">
        <f t="shared" si="280"/>
        <v/>
      </c>
      <c r="AL974" s="91">
        <f>IF(AK974="Adjust",(_xlfn.XLOOKUP(A974,'Adj factor'!A:A,'Adj factor'!I:I,,0)*AI974),'Master DataSheet'!AI974)</f>
        <v>104</v>
      </c>
      <c r="AM974" s="91">
        <f t="shared" si="281"/>
        <v>104</v>
      </c>
      <c r="AN974" s="92" t="str">
        <f t="shared" si="282"/>
        <v>Increasing</v>
      </c>
      <c r="AO974" s="93">
        <f>VLOOKUP(B974,'Growthrates source'!A$2:H$49,8,FALSE)</f>
        <v>-3.1578929217935259E-2</v>
      </c>
      <c r="AP974" s="93">
        <f>VLOOKUP(B974,'Growthrates source'!A$2:I$49,9,FALSE)</f>
        <v>1.4876976840610734E-2</v>
      </c>
      <c r="AQ974" s="86">
        <f t="shared" si="283"/>
        <v>49.183798199291203</v>
      </c>
      <c r="AR974" s="86">
        <f t="shared" si="284"/>
        <v>43.916958715747647</v>
      </c>
      <c r="AS974" s="94">
        <f t="shared" si="285"/>
        <v>0</v>
      </c>
      <c r="AT974" s="94">
        <f t="shared" si="286"/>
        <v>2.6915813104284037E-2</v>
      </c>
      <c r="AU974" s="94">
        <f t="shared" si="287"/>
        <v>5.8679768956308921E-2</v>
      </c>
    </row>
    <row r="975" spans="1:47" x14ac:dyDescent="0.3">
      <c r="A975" s="85" t="str">
        <f>_xlfn.XLOOKUP(B975,'Country codes &amp; Data sources'!G:G,'Country codes &amp; Data sources'!H:H,,0)</f>
        <v>Chad</v>
      </c>
      <c r="B975" s="85" t="s">
        <v>169</v>
      </c>
      <c r="C975" s="86">
        <v>12754919</v>
      </c>
      <c r="D975" s="85" t="s">
        <v>136</v>
      </c>
      <c r="E975" s="87">
        <v>0</v>
      </c>
      <c r="F975" s="88">
        <v>13216766.5</v>
      </c>
      <c r="G975" s="87">
        <v>0</v>
      </c>
      <c r="I975" s="87">
        <v>0</v>
      </c>
      <c r="K975" s="87">
        <v>0</v>
      </c>
      <c r="M975" s="87">
        <v>0</v>
      </c>
      <c r="O975" s="87">
        <v>0</v>
      </c>
      <c r="P975" s="88">
        <v>15604210</v>
      </c>
      <c r="Q975" s="87">
        <v>0</v>
      </c>
      <c r="R975" s="87">
        <f t="shared" si="270"/>
        <v>25</v>
      </c>
      <c r="T975" s="87">
        <v>48</v>
      </c>
      <c r="V975" s="87">
        <v>0</v>
      </c>
      <c r="X975" s="87">
        <v>0</v>
      </c>
      <c r="Y975" s="88">
        <v>17723314.500000004</v>
      </c>
      <c r="Z975" s="87">
        <v>0</v>
      </c>
      <c r="AA975" s="87">
        <v>25</v>
      </c>
      <c r="AB975" s="89">
        <f t="shared" si="271"/>
        <v>0</v>
      </c>
      <c r="AC975" s="89">
        <f t="shared" si="272"/>
        <v>48</v>
      </c>
      <c r="AD975" s="89">
        <f t="shared" si="273"/>
        <v>0</v>
      </c>
      <c r="AE975" s="90">
        <f t="shared" si="274"/>
        <v>0</v>
      </c>
      <c r="AF975" s="90" t="str">
        <f t="shared" si="275"/>
        <v/>
      </c>
      <c r="AG975" s="90">
        <f t="shared" si="276"/>
        <v>25</v>
      </c>
      <c r="AH975" s="90" t="str">
        <f t="shared" si="277"/>
        <v>2018 (triag)</v>
      </c>
      <c r="AI975" s="90">
        <f t="shared" si="278"/>
        <v>48</v>
      </c>
      <c r="AJ975" s="90" t="str">
        <f t="shared" si="279"/>
        <v>2018 (triag)</v>
      </c>
      <c r="AK975" s="90" t="str">
        <f t="shared" si="280"/>
        <v/>
      </c>
      <c r="AL975" s="91">
        <f>IF(AK975="Adjust",(_xlfn.XLOOKUP(A975,'Adj factor'!A:A,'Adj factor'!I:I,,0)*AI975),'Master DataSheet'!AI975)</f>
        <v>48</v>
      </c>
      <c r="AM975" s="91">
        <f t="shared" si="281"/>
        <v>48</v>
      </c>
      <c r="AN975" s="92" t="str">
        <f t="shared" si="282"/>
        <v>Increasing</v>
      </c>
      <c r="AO975" s="93">
        <f>VLOOKUP(B975,'Growthrates source'!A$2:H$49,8,FALSE)</f>
        <v>-3.1578929217935259E-2</v>
      </c>
      <c r="AP975" s="93">
        <f>VLOOKUP(B975,'Growthrates source'!A$2:I$49,9,FALSE)</f>
        <v>1.4876976840610734E-2</v>
      </c>
      <c r="AQ975" s="86">
        <f t="shared" si="283"/>
        <v>29.276070356720954</v>
      </c>
      <c r="AR975" s="86">
        <f t="shared" si="284"/>
        <v>26.141046854611695</v>
      </c>
      <c r="AS975" s="94">
        <f t="shared" si="285"/>
        <v>0</v>
      </c>
      <c r="AT975" s="94">
        <f t="shared" si="286"/>
        <v>1.6021317323978594E-2</v>
      </c>
      <c r="AU975" s="94">
        <f t="shared" si="287"/>
        <v>2.7082970287527194E-2</v>
      </c>
    </row>
    <row r="976" spans="1:47" x14ac:dyDescent="0.3">
      <c r="A976" s="85" t="str">
        <f>_xlfn.XLOOKUP(B976,'Country codes &amp; Data sources'!G:G,'Country codes &amp; Data sources'!H:H,,0)</f>
        <v>Chad</v>
      </c>
      <c r="B976" s="85" t="s">
        <v>169</v>
      </c>
      <c r="C976" s="86">
        <v>12754920</v>
      </c>
      <c r="D976" s="85" t="s">
        <v>207</v>
      </c>
      <c r="E976" s="87">
        <v>0</v>
      </c>
      <c r="F976" s="88">
        <v>13216766.5</v>
      </c>
      <c r="G976" s="87">
        <v>0</v>
      </c>
      <c r="I976" s="87">
        <v>0</v>
      </c>
      <c r="K976" s="87">
        <v>0</v>
      </c>
      <c r="M976" s="87">
        <v>0</v>
      </c>
      <c r="O976" s="87">
        <v>0</v>
      </c>
      <c r="P976" s="88">
        <v>15604210</v>
      </c>
      <c r="Q976" s="87">
        <v>0</v>
      </c>
      <c r="R976" s="87">
        <f t="shared" si="270"/>
        <v>6</v>
      </c>
      <c r="T976" s="87">
        <v>0</v>
      </c>
      <c r="V976" s="87">
        <v>0</v>
      </c>
      <c r="X976" s="87">
        <v>0</v>
      </c>
      <c r="Y976" s="88">
        <v>17723314.500000004</v>
      </c>
      <c r="Z976" s="87">
        <v>0</v>
      </c>
      <c r="AA976" s="87">
        <v>6</v>
      </c>
      <c r="AB976" s="89">
        <f t="shared" si="271"/>
        <v>0</v>
      </c>
      <c r="AC976" s="89">
        <f t="shared" si="272"/>
        <v>0</v>
      </c>
      <c r="AD976" s="89">
        <f t="shared" si="273"/>
        <v>0</v>
      </c>
      <c r="AE976" s="90">
        <f t="shared" si="274"/>
        <v>0</v>
      </c>
      <c r="AF976" s="90" t="str">
        <f t="shared" si="275"/>
        <v/>
      </c>
      <c r="AG976" s="90">
        <f t="shared" si="276"/>
        <v>6</v>
      </c>
      <c r="AH976" s="90" t="str">
        <f t="shared" si="277"/>
        <v>2018 (triag)</v>
      </c>
      <c r="AI976" s="90">
        <f t="shared" si="278"/>
        <v>6</v>
      </c>
      <c r="AJ976" s="90" t="str">
        <f t="shared" si="279"/>
        <v>2018 (triag)</v>
      </c>
      <c r="AK976" s="90" t="str">
        <f t="shared" si="280"/>
        <v/>
      </c>
      <c r="AL976" s="91">
        <f>IF(AK976="Adjust",(_xlfn.XLOOKUP(A976,'Adj factor'!A:A,'Adj factor'!I:I,,0)*AI976),'Master DataSheet'!AI976)</f>
        <v>6</v>
      </c>
      <c r="AM976" s="91">
        <f t="shared" si="281"/>
        <v>6</v>
      </c>
      <c r="AN976" s="92" t="str">
        <f t="shared" si="282"/>
        <v>No change</v>
      </c>
      <c r="AO976" s="93">
        <f>VLOOKUP(B976,'Growthrates source'!A$2:H$49,8,FALSE)</f>
        <v>-3.1578929217935259E-2</v>
      </c>
      <c r="AP976" s="93">
        <f>VLOOKUP(B976,'Growthrates source'!A$2:I$49,9,FALSE)</f>
        <v>1.4876976840610734E-2</v>
      </c>
      <c r="AQ976" s="86">
        <f t="shared" si="283"/>
        <v>7.0262568856130283</v>
      </c>
      <c r="AR976" s="86">
        <f t="shared" si="284"/>
        <v>6.2738512451068065</v>
      </c>
      <c r="AS976" s="94">
        <f t="shared" si="285"/>
        <v>0</v>
      </c>
      <c r="AT976" s="94">
        <f t="shared" si="286"/>
        <v>3.8451161577548621E-3</v>
      </c>
      <c r="AU976" s="94">
        <f t="shared" si="287"/>
        <v>3.3853712859408993E-3</v>
      </c>
    </row>
    <row r="977" spans="1:47" x14ac:dyDescent="0.3">
      <c r="A977" s="85" t="str">
        <f>_xlfn.XLOOKUP(B977,'Country codes &amp; Data sources'!G:G,'Country codes &amp; Data sources'!H:H,,0)</f>
        <v>Chad</v>
      </c>
      <c r="B977" s="85" t="s">
        <v>169</v>
      </c>
      <c r="C977" s="86">
        <v>12754921</v>
      </c>
      <c r="D977" s="85" t="s">
        <v>141</v>
      </c>
      <c r="E977" s="87">
        <v>0</v>
      </c>
      <c r="F977" s="88">
        <v>13216766.5</v>
      </c>
      <c r="G977" s="87">
        <v>0</v>
      </c>
      <c r="I977" s="87">
        <v>0</v>
      </c>
      <c r="K977" s="87">
        <v>0</v>
      </c>
      <c r="M977" s="87">
        <v>0</v>
      </c>
      <c r="O977" s="87">
        <v>0</v>
      </c>
      <c r="P977" s="88">
        <v>15604210</v>
      </c>
      <c r="Q977" s="87">
        <v>0</v>
      </c>
      <c r="R977" s="87">
        <f t="shared" si="270"/>
        <v>6</v>
      </c>
      <c r="T977" s="87">
        <v>50</v>
      </c>
      <c r="V977" s="87">
        <v>1</v>
      </c>
      <c r="X977" s="87">
        <v>0</v>
      </c>
      <c r="Y977" s="88">
        <v>17723314.500000004</v>
      </c>
      <c r="Z977" s="87">
        <v>0</v>
      </c>
      <c r="AA977" s="87">
        <v>6</v>
      </c>
      <c r="AB977" s="89">
        <f t="shared" si="271"/>
        <v>0</v>
      </c>
      <c r="AC977" s="89">
        <f t="shared" si="272"/>
        <v>50</v>
      </c>
      <c r="AD977" s="89">
        <f t="shared" si="273"/>
        <v>1</v>
      </c>
      <c r="AE977" s="90">
        <f t="shared" si="274"/>
        <v>0</v>
      </c>
      <c r="AF977" s="90" t="str">
        <f t="shared" si="275"/>
        <v/>
      </c>
      <c r="AG977" s="90">
        <f t="shared" si="276"/>
        <v>6</v>
      </c>
      <c r="AH977" s="90" t="str">
        <f t="shared" si="277"/>
        <v>2018 (triag)</v>
      </c>
      <c r="AI977" s="90">
        <f t="shared" si="278"/>
        <v>1</v>
      </c>
      <c r="AJ977" s="90">
        <f t="shared" si="279"/>
        <v>2020</v>
      </c>
      <c r="AK977" s="90" t="str">
        <f t="shared" si="280"/>
        <v>Adjust</v>
      </c>
      <c r="AL977" s="91">
        <f>IF(AK977="Adjust",(_xlfn.XLOOKUP(A977,'Adj factor'!A:A,'Adj factor'!I:I,,0)*AI977),'Master DataSheet'!AI977)</f>
        <v>1.1548420507509063</v>
      </c>
      <c r="AM977" s="91">
        <f t="shared" si="281"/>
        <v>6</v>
      </c>
      <c r="AN977" s="92" t="str">
        <f t="shared" si="282"/>
        <v>Decreasing</v>
      </c>
      <c r="AO977" s="93">
        <f>VLOOKUP(B977,'Growthrates source'!A$2:H$49,8,FALSE)</f>
        <v>-3.1578929217935259E-2</v>
      </c>
      <c r="AP977" s="93">
        <f>VLOOKUP(B977,'Growthrates source'!A$2:I$49,9,FALSE)</f>
        <v>1.4876976840610734E-2</v>
      </c>
      <c r="AQ977" s="86">
        <f t="shared" si="283"/>
        <v>7.0262568856130283</v>
      </c>
      <c r="AR977" s="86">
        <f t="shared" si="284"/>
        <v>6.2738512451068065</v>
      </c>
      <c r="AS977" s="94">
        <f t="shared" si="285"/>
        <v>0</v>
      </c>
      <c r="AT977" s="94">
        <f t="shared" si="286"/>
        <v>3.8451161577548621E-3</v>
      </c>
      <c r="AU977" s="94">
        <f t="shared" si="287"/>
        <v>3.3853712859408993E-3</v>
      </c>
    </row>
    <row r="978" spans="1:47" x14ac:dyDescent="0.3">
      <c r="A978" s="85" t="str">
        <f>_xlfn.XLOOKUP(B978,'Country codes &amp; Data sources'!G:G,'Country codes &amp; Data sources'!H:H,,0)</f>
        <v>Chad</v>
      </c>
      <c r="B978" s="85" t="s">
        <v>169</v>
      </c>
      <c r="C978" s="86">
        <v>12754922</v>
      </c>
      <c r="D978" s="85" t="s">
        <v>208</v>
      </c>
      <c r="E978" s="87">
        <v>0</v>
      </c>
      <c r="F978" s="88">
        <v>13216766.5</v>
      </c>
      <c r="G978" s="87">
        <v>0</v>
      </c>
      <c r="I978" s="87">
        <v>0</v>
      </c>
      <c r="K978" s="87">
        <v>0</v>
      </c>
      <c r="M978" s="87">
        <v>0</v>
      </c>
      <c r="O978" s="87">
        <v>0</v>
      </c>
      <c r="P978" s="88">
        <v>15604210</v>
      </c>
      <c r="Q978" s="87">
        <v>0</v>
      </c>
      <c r="R978" s="87">
        <f t="shared" si="270"/>
        <v>436</v>
      </c>
      <c r="T978" s="87">
        <v>6</v>
      </c>
      <c r="V978" s="87">
        <v>0</v>
      </c>
      <c r="X978" s="87">
        <v>0</v>
      </c>
      <c r="Y978" s="88">
        <v>17723314.500000004</v>
      </c>
      <c r="Z978" s="87">
        <v>0</v>
      </c>
      <c r="AA978" s="87">
        <v>436</v>
      </c>
      <c r="AB978" s="89">
        <f t="shared" si="271"/>
        <v>0</v>
      </c>
      <c r="AC978" s="89">
        <f t="shared" si="272"/>
        <v>6</v>
      </c>
      <c r="AD978" s="89">
        <f t="shared" si="273"/>
        <v>0</v>
      </c>
      <c r="AE978" s="90">
        <f t="shared" si="274"/>
        <v>0</v>
      </c>
      <c r="AF978" s="90" t="str">
        <f t="shared" si="275"/>
        <v/>
      </c>
      <c r="AG978" s="90">
        <f t="shared" si="276"/>
        <v>436</v>
      </c>
      <c r="AH978" s="90" t="str">
        <f t="shared" si="277"/>
        <v>2018 (triag)</v>
      </c>
      <c r="AI978" s="90">
        <f t="shared" si="278"/>
        <v>6</v>
      </c>
      <c r="AJ978" s="90" t="str">
        <f t="shared" si="279"/>
        <v>2018 (triag)</v>
      </c>
      <c r="AK978" s="90" t="str">
        <f t="shared" si="280"/>
        <v>Adjust</v>
      </c>
      <c r="AL978" s="91">
        <f>IF(AK978="Adjust",(_xlfn.XLOOKUP(A978,'Adj factor'!A:A,'Adj factor'!I:I,,0)*AI978),'Master DataSheet'!AI978)</f>
        <v>6.9290523045054382</v>
      </c>
      <c r="AM978" s="91">
        <f t="shared" si="281"/>
        <v>436</v>
      </c>
      <c r="AN978" s="92" t="str">
        <f t="shared" si="282"/>
        <v>Decreasing</v>
      </c>
      <c r="AO978" s="93">
        <f>VLOOKUP(B978,'Growthrates source'!A$2:H$49,8,FALSE)</f>
        <v>-3.1578929217935259E-2</v>
      </c>
      <c r="AP978" s="93">
        <f>VLOOKUP(B978,'Growthrates source'!A$2:I$49,9,FALSE)</f>
        <v>1.4876976840610734E-2</v>
      </c>
      <c r="AQ978" s="86">
        <f t="shared" si="283"/>
        <v>510.57466702121343</v>
      </c>
      <c r="AR978" s="86">
        <f t="shared" si="284"/>
        <v>455.89985714442793</v>
      </c>
      <c r="AS978" s="94">
        <f t="shared" si="285"/>
        <v>0</v>
      </c>
      <c r="AT978" s="94">
        <f t="shared" si="286"/>
        <v>0.27941177413018664</v>
      </c>
      <c r="AU978" s="94">
        <f t="shared" si="287"/>
        <v>0.24600364677837203</v>
      </c>
    </row>
    <row r="979" spans="1:47" x14ac:dyDescent="0.3">
      <c r="A979" s="85" t="str">
        <f>_xlfn.XLOOKUP(B979,'Country codes &amp; Data sources'!G:G,'Country codes &amp; Data sources'!H:H,,0)</f>
        <v>Chad</v>
      </c>
      <c r="B979" s="85" t="s">
        <v>169</v>
      </c>
      <c r="C979" s="86">
        <v>12754923</v>
      </c>
      <c r="D979" s="85" t="s">
        <v>209</v>
      </c>
      <c r="E979" s="87">
        <v>0</v>
      </c>
      <c r="F979" s="88">
        <v>13216766.5</v>
      </c>
      <c r="G979" s="87">
        <v>0</v>
      </c>
      <c r="I979" s="87">
        <v>0</v>
      </c>
      <c r="K979" s="87">
        <v>0</v>
      </c>
      <c r="M979" s="87">
        <v>0</v>
      </c>
      <c r="O979" s="87">
        <v>0</v>
      </c>
      <c r="P979" s="88">
        <v>15604210</v>
      </c>
      <c r="Q979" s="87">
        <v>0</v>
      </c>
      <c r="R979" s="87">
        <f t="shared" si="270"/>
        <v>90</v>
      </c>
      <c r="T979" s="87">
        <v>791</v>
      </c>
      <c r="V979" s="87">
        <v>0</v>
      </c>
      <c r="X979" s="87">
        <v>0</v>
      </c>
      <c r="Y979" s="88">
        <v>17723314.500000004</v>
      </c>
      <c r="Z979" s="87">
        <v>0</v>
      </c>
      <c r="AA979" s="87">
        <v>90</v>
      </c>
      <c r="AB979" s="89">
        <f t="shared" si="271"/>
        <v>0</v>
      </c>
      <c r="AC979" s="89">
        <f t="shared" si="272"/>
        <v>791</v>
      </c>
      <c r="AD979" s="89">
        <f t="shared" si="273"/>
        <v>0</v>
      </c>
      <c r="AE979" s="90">
        <f t="shared" si="274"/>
        <v>0</v>
      </c>
      <c r="AF979" s="90" t="str">
        <f t="shared" si="275"/>
        <v/>
      </c>
      <c r="AG979" s="90">
        <f t="shared" si="276"/>
        <v>90</v>
      </c>
      <c r="AH979" s="90" t="str">
        <f t="shared" si="277"/>
        <v>2018 (triag)</v>
      </c>
      <c r="AI979" s="90">
        <f t="shared" si="278"/>
        <v>791</v>
      </c>
      <c r="AJ979" s="90" t="str">
        <f t="shared" si="279"/>
        <v>2018 (triag)</v>
      </c>
      <c r="AK979" s="90" t="str">
        <f t="shared" si="280"/>
        <v/>
      </c>
      <c r="AL979" s="91">
        <f>IF(AK979="Adjust",(_xlfn.XLOOKUP(A979,'Adj factor'!A:A,'Adj factor'!I:I,,0)*AI979),'Master DataSheet'!AI979)</f>
        <v>791</v>
      </c>
      <c r="AM979" s="91">
        <f t="shared" si="281"/>
        <v>791</v>
      </c>
      <c r="AN979" s="92" t="str">
        <f t="shared" si="282"/>
        <v>Increasing</v>
      </c>
      <c r="AO979" s="93">
        <f>VLOOKUP(B979,'Growthrates source'!A$2:H$49,8,FALSE)</f>
        <v>-3.1578929217935259E-2</v>
      </c>
      <c r="AP979" s="93">
        <f>VLOOKUP(B979,'Growthrates source'!A$2:I$49,9,FALSE)</f>
        <v>1.4876976840610734E-2</v>
      </c>
      <c r="AQ979" s="86">
        <f t="shared" si="283"/>
        <v>105.39385328419543</v>
      </c>
      <c r="AR979" s="86">
        <f t="shared" si="284"/>
        <v>94.107768676602092</v>
      </c>
      <c r="AS979" s="94">
        <f t="shared" si="285"/>
        <v>0</v>
      </c>
      <c r="AT979" s="94">
        <f t="shared" si="286"/>
        <v>5.7676742366322933E-2</v>
      </c>
      <c r="AU979" s="94">
        <f t="shared" si="287"/>
        <v>0.44630478119654188</v>
      </c>
    </row>
    <row r="980" spans="1:47" x14ac:dyDescent="0.3">
      <c r="A980" s="85" t="str">
        <f>_xlfn.XLOOKUP(B980,'Country codes &amp; Data sources'!G:G,'Country codes &amp; Data sources'!H:H,,0)</f>
        <v>Chad</v>
      </c>
      <c r="B980" s="85" t="s">
        <v>169</v>
      </c>
      <c r="C980" s="86">
        <v>12754924</v>
      </c>
      <c r="D980" s="85" t="s">
        <v>134</v>
      </c>
      <c r="E980" s="87">
        <v>0</v>
      </c>
      <c r="F980" s="88">
        <v>13216766.5</v>
      </c>
      <c r="G980" s="87">
        <v>0</v>
      </c>
      <c r="I980" s="87">
        <v>0</v>
      </c>
      <c r="K980" s="87">
        <v>0</v>
      </c>
      <c r="M980" s="87">
        <v>0</v>
      </c>
      <c r="O980" s="87">
        <v>0</v>
      </c>
      <c r="P980" s="88">
        <v>15604210</v>
      </c>
      <c r="Q980" s="87">
        <v>0</v>
      </c>
      <c r="R980" s="87">
        <f t="shared" si="270"/>
        <v>749</v>
      </c>
      <c r="T980" s="87">
        <v>0</v>
      </c>
      <c r="V980" s="87">
        <v>0</v>
      </c>
      <c r="X980" s="87">
        <v>848</v>
      </c>
      <c r="Y980" s="88">
        <v>17723314.500000004</v>
      </c>
      <c r="Z980" s="87">
        <v>1028</v>
      </c>
      <c r="AA980" s="87">
        <v>749</v>
      </c>
      <c r="AB980" s="89">
        <f t="shared" si="271"/>
        <v>0</v>
      </c>
      <c r="AC980" s="89">
        <f t="shared" si="272"/>
        <v>0</v>
      </c>
      <c r="AD980" s="89">
        <f t="shared" si="273"/>
        <v>1028</v>
      </c>
      <c r="AE980" s="90">
        <f t="shared" si="274"/>
        <v>0</v>
      </c>
      <c r="AF980" s="90" t="str">
        <f t="shared" si="275"/>
        <v/>
      </c>
      <c r="AG980" s="90">
        <f t="shared" si="276"/>
        <v>749</v>
      </c>
      <c r="AH980" s="90" t="str">
        <f t="shared" si="277"/>
        <v>2018 (triag)</v>
      </c>
      <c r="AI980" s="90">
        <f t="shared" si="278"/>
        <v>1028</v>
      </c>
      <c r="AJ980" s="90">
        <f t="shared" si="279"/>
        <v>2022</v>
      </c>
      <c r="AK980" s="90" t="str">
        <f t="shared" si="280"/>
        <v/>
      </c>
      <c r="AL980" s="91">
        <f>IF(AK980="Adjust",(_xlfn.XLOOKUP(A980,'Adj factor'!A:A,'Adj factor'!I:I,,0)*AI980),'Master DataSheet'!AI980)</f>
        <v>1028</v>
      </c>
      <c r="AM980" s="91">
        <f t="shared" si="281"/>
        <v>1028</v>
      </c>
      <c r="AN980" s="92" t="str">
        <f t="shared" si="282"/>
        <v>Increasing</v>
      </c>
      <c r="AO980" s="93">
        <f>VLOOKUP(B980,'Growthrates source'!A$2:H$49,8,FALSE)</f>
        <v>-3.1578929217935259E-2</v>
      </c>
      <c r="AP980" s="93">
        <f>VLOOKUP(B980,'Growthrates source'!A$2:I$49,9,FALSE)</f>
        <v>1.4876976840610734E-2</v>
      </c>
      <c r="AQ980" s="86">
        <f t="shared" si="283"/>
        <v>877.1110678873597</v>
      </c>
      <c r="AR980" s="86">
        <f t="shared" si="284"/>
        <v>783.18576376416638</v>
      </c>
      <c r="AS980" s="94">
        <f t="shared" si="285"/>
        <v>0</v>
      </c>
      <c r="AT980" s="94">
        <f t="shared" si="286"/>
        <v>0.47999866702639865</v>
      </c>
      <c r="AU980" s="94">
        <f t="shared" si="287"/>
        <v>0.58002694699120738</v>
      </c>
    </row>
    <row r="981" spans="1:47" x14ac:dyDescent="0.3">
      <c r="A981" s="85" t="str">
        <f>_xlfn.XLOOKUP(B981,'Country codes &amp; Data sources'!G:G,'Country codes &amp; Data sources'!H:H,,0)</f>
        <v>Chad</v>
      </c>
      <c r="B981" s="85" t="s">
        <v>169</v>
      </c>
      <c r="C981" s="86">
        <v>12754925</v>
      </c>
      <c r="D981" s="85" t="s">
        <v>142</v>
      </c>
      <c r="E981" s="87">
        <v>0</v>
      </c>
      <c r="F981" s="88">
        <v>13216766.5</v>
      </c>
      <c r="G981" s="87">
        <v>0</v>
      </c>
      <c r="I981" s="87">
        <v>0</v>
      </c>
      <c r="K981" s="87">
        <v>0</v>
      </c>
      <c r="M981" s="87">
        <v>0</v>
      </c>
      <c r="O981" s="87">
        <v>0</v>
      </c>
      <c r="P981" s="88">
        <v>15604210</v>
      </c>
      <c r="Q981" s="87">
        <v>0</v>
      </c>
      <c r="R981" s="87">
        <f t="shared" si="270"/>
        <v>0</v>
      </c>
      <c r="T981" s="87">
        <v>0</v>
      </c>
      <c r="V981" s="87">
        <v>0</v>
      </c>
      <c r="X981" s="87">
        <v>0</v>
      </c>
      <c r="Y981" s="88">
        <v>17723314.500000004</v>
      </c>
      <c r="Z981" s="87">
        <v>0</v>
      </c>
      <c r="AA981" s="87">
        <v>0</v>
      </c>
      <c r="AB981" s="89">
        <f t="shared" si="271"/>
        <v>0</v>
      </c>
      <c r="AC981" s="89">
        <f t="shared" si="272"/>
        <v>0</v>
      </c>
      <c r="AD981" s="89">
        <f t="shared" si="273"/>
        <v>0</v>
      </c>
      <c r="AE981" s="90">
        <f t="shared" si="274"/>
        <v>0</v>
      </c>
      <c r="AF981" s="90" t="str">
        <f t="shared" si="275"/>
        <v/>
      </c>
      <c r="AG981" s="90">
        <f t="shared" si="276"/>
        <v>0</v>
      </c>
      <c r="AH981" s="90" t="str">
        <f t="shared" si="277"/>
        <v/>
      </c>
      <c r="AI981" s="90">
        <f t="shared" si="278"/>
        <v>0</v>
      </c>
      <c r="AJ981" s="90" t="str">
        <f t="shared" si="279"/>
        <v/>
      </c>
      <c r="AK981" s="90" t="str">
        <f t="shared" si="280"/>
        <v/>
      </c>
      <c r="AL981" s="91">
        <f>IF(AK981="Adjust",(_xlfn.XLOOKUP(A981,'Adj factor'!A:A,'Adj factor'!I:I,,0)*AI981),'Master DataSheet'!AI981)</f>
        <v>0</v>
      </c>
      <c r="AM981" s="91">
        <f t="shared" si="281"/>
        <v>0</v>
      </c>
      <c r="AN981" s="92" t="str">
        <f t="shared" si="282"/>
        <v>No change</v>
      </c>
      <c r="AO981" s="93">
        <f>VLOOKUP(B981,'Growthrates source'!A$2:H$49,8,FALSE)</f>
        <v>-3.1578929217935259E-2</v>
      </c>
      <c r="AP981" s="93">
        <f>VLOOKUP(B981,'Growthrates source'!A$2:I$49,9,FALSE)</f>
        <v>1.4876976840610734E-2</v>
      </c>
      <c r="AQ981" s="86">
        <f t="shared" si="283"/>
        <v>0</v>
      </c>
      <c r="AR981" s="86">
        <f t="shared" si="284"/>
        <v>0</v>
      </c>
      <c r="AS981" s="94">
        <f t="shared" si="285"/>
        <v>0</v>
      </c>
      <c r="AT981" s="94">
        <f t="shared" si="286"/>
        <v>0</v>
      </c>
      <c r="AU981" s="94">
        <f t="shared" si="287"/>
        <v>0</v>
      </c>
    </row>
    <row r="982" spans="1:47" x14ac:dyDescent="0.3">
      <c r="A982" s="85" t="str">
        <f>_xlfn.XLOOKUP(B982,'Country codes &amp; Data sources'!G:G,'Country codes &amp; Data sources'!H:H,,0)</f>
        <v>Chad</v>
      </c>
      <c r="B982" s="85" t="s">
        <v>169</v>
      </c>
      <c r="C982" s="86">
        <v>12754926</v>
      </c>
      <c r="D982" s="85" t="s">
        <v>83</v>
      </c>
      <c r="E982" s="87">
        <v>0</v>
      </c>
      <c r="F982" s="88">
        <v>13216766.5</v>
      </c>
      <c r="G982" s="87">
        <v>0</v>
      </c>
      <c r="I982" s="87">
        <v>0</v>
      </c>
      <c r="K982" s="87">
        <v>0</v>
      </c>
      <c r="M982" s="87">
        <v>0</v>
      </c>
      <c r="O982" s="87">
        <v>0</v>
      </c>
      <c r="P982" s="88">
        <v>15604210</v>
      </c>
      <c r="Q982" s="87">
        <v>0</v>
      </c>
      <c r="R982" s="87">
        <f t="shared" si="270"/>
        <v>2</v>
      </c>
      <c r="T982" s="87">
        <v>18</v>
      </c>
      <c r="V982" s="87">
        <v>0</v>
      </c>
      <c r="X982" s="87">
        <v>0</v>
      </c>
      <c r="Y982" s="88">
        <v>17723314.500000004</v>
      </c>
      <c r="Z982" s="87">
        <v>0</v>
      </c>
      <c r="AA982" s="87">
        <v>2</v>
      </c>
      <c r="AB982" s="89">
        <f t="shared" si="271"/>
        <v>0</v>
      </c>
      <c r="AC982" s="89">
        <f t="shared" si="272"/>
        <v>18</v>
      </c>
      <c r="AD982" s="89">
        <f t="shared" si="273"/>
        <v>0</v>
      </c>
      <c r="AE982" s="90">
        <f t="shared" si="274"/>
        <v>0</v>
      </c>
      <c r="AF982" s="90" t="str">
        <f t="shared" si="275"/>
        <v/>
      </c>
      <c r="AG982" s="90">
        <f t="shared" si="276"/>
        <v>2</v>
      </c>
      <c r="AH982" s="90" t="str">
        <f t="shared" si="277"/>
        <v>2018 (triag)</v>
      </c>
      <c r="AI982" s="90">
        <f t="shared" si="278"/>
        <v>18</v>
      </c>
      <c r="AJ982" s="90" t="str">
        <f t="shared" si="279"/>
        <v>2018 (triag)</v>
      </c>
      <c r="AK982" s="90" t="str">
        <f t="shared" si="280"/>
        <v/>
      </c>
      <c r="AL982" s="91">
        <f>IF(AK982="Adjust",(_xlfn.XLOOKUP(A982,'Adj factor'!A:A,'Adj factor'!I:I,,0)*AI982),'Master DataSheet'!AI982)</f>
        <v>18</v>
      </c>
      <c r="AM982" s="91">
        <f t="shared" si="281"/>
        <v>18</v>
      </c>
      <c r="AN982" s="92" t="str">
        <f t="shared" si="282"/>
        <v>Increasing</v>
      </c>
      <c r="AO982" s="93">
        <f>VLOOKUP(B982,'Growthrates source'!A$2:H$49,8,FALSE)</f>
        <v>-3.1578929217935259E-2</v>
      </c>
      <c r="AP982" s="93">
        <f>VLOOKUP(B982,'Growthrates source'!A$2:I$49,9,FALSE)</f>
        <v>1.4876976840610734E-2</v>
      </c>
      <c r="AQ982" s="86">
        <f t="shared" si="283"/>
        <v>2.3420856285376761</v>
      </c>
      <c r="AR982" s="86">
        <f t="shared" si="284"/>
        <v>2.0912837483689355</v>
      </c>
      <c r="AS982" s="94">
        <f t="shared" si="285"/>
        <v>0</v>
      </c>
      <c r="AT982" s="94">
        <f t="shared" si="286"/>
        <v>1.2817053859182875E-3</v>
      </c>
      <c r="AU982" s="94">
        <f t="shared" si="287"/>
        <v>1.0156113857822698E-2</v>
      </c>
    </row>
    <row r="983" spans="1:47" x14ac:dyDescent="0.3">
      <c r="A983" s="85" t="str">
        <f>_xlfn.XLOOKUP(B983,'Country codes &amp; Data sources'!G:G,'Country codes &amp; Data sources'!H:H,,0)</f>
        <v>Chad</v>
      </c>
      <c r="B983" s="85" t="s">
        <v>169</v>
      </c>
      <c r="C983" s="86">
        <v>12754927</v>
      </c>
      <c r="D983" s="85" t="s">
        <v>84</v>
      </c>
      <c r="E983" s="87">
        <v>0</v>
      </c>
      <c r="F983" s="88">
        <v>13216766.5</v>
      </c>
      <c r="G983" s="87">
        <v>0</v>
      </c>
      <c r="I983" s="87">
        <v>0</v>
      </c>
      <c r="K983" s="87">
        <v>0</v>
      </c>
      <c r="M983" s="87">
        <v>0</v>
      </c>
      <c r="O983" s="87">
        <v>0</v>
      </c>
      <c r="P983" s="88">
        <v>15604210</v>
      </c>
      <c r="Q983" s="87">
        <v>0</v>
      </c>
      <c r="R983" s="87">
        <f t="shared" si="270"/>
        <v>0</v>
      </c>
      <c r="T983" s="87">
        <v>19</v>
      </c>
      <c r="V983" s="87">
        <v>0</v>
      </c>
      <c r="X983" s="87">
        <v>0</v>
      </c>
      <c r="Y983" s="88">
        <v>17723314.500000004</v>
      </c>
      <c r="Z983" s="87">
        <v>0</v>
      </c>
      <c r="AA983" s="87">
        <v>0</v>
      </c>
      <c r="AB983" s="89">
        <f t="shared" si="271"/>
        <v>0</v>
      </c>
      <c r="AC983" s="89">
        <f t="shared" si="272"/>
        <v>19</v>
      </c>
      <c r="AD983" s="89">
        <f t="shared" si="273"/>
        <v>0</v>
      </c>
      <c r="AE983" s="90">
        <f t="shared" si="274"/>
        <v>0</v>
      </c>
      <c r="AF983" s="90" t="str">
        <f t="shared" si="275"/>
        <v/>
      </c>
      <c r="AG983" s="90">
        <f t="shared" si="276"/>
        <v>19</v>
      </c>
      <c r="AH983" s="90">
        <f t="shared" si="277"/>
        <v>2019</v>
      </c>
      <c r="AI983" s="90">
        <f t="shared" si="278"/>
        <v>19</v>
      </c>
      <c r="AJ983" s="90">
        <f t="shared" si="279"/>
        <v>2019</v>
      </c>
      <c r="AK983" s="90" t="str">
        <f t="shared" si="280"/>
        <v/>
      </c>
      <c r="AL983" s="91">
        <f>IF(AK983="Adjust",(_xlfn.XLOOKUP(A983,'Adj factor'!A:A,'Adj factor'!I:I,,0)*AI983),'Master DataSheet'!AI983)</f>
        <v>19</v>
      </c>
      <c r="AM983" s="91">
        <f t="shared" si="281"/>
        <v>19</v>
      </c>
      <c r="AN983" s="92" t="str">
        <f t="shared" si="282"/>
        <v>No change</v>
      </c>
      <c r="AO983" s="93">
        <f>VLOOKUP(B983,'Growthrates source'!A$2:H$49,8,FALSE)</f>
        <v>-3.1578929217935259E-2</v>
      </c>
      <c r="AP983" s="93">
        <f>VLOOKUP(B983,'Growthrates source'!A$2:I$49,9,FALSE)</f>
        <v>1.4876976840610734E-2</v>
      </c>
      <c r="AQ983" s="86">
        <f t="shared" si="283"/>
        <v>0</v>
      </c>
      <c r="AR983" s="86">
        <f t="shared" si="284"/>
        <v>0</v>
      </c>
      <c r="AS983" s="94">
        <f t="shared" si="285"/>
        <v>0</v>
      </c>
      <c r="AT983" s="94">
        <f t="shared" si="286"/>
        <v>1.217620116622373E-2</v>
      </c>
      <c r="AU983" s="94">
        <f t="shared" si="287"/>
        <v>1.0720342405479515E-2</v>
      </c>
    </row>
    <row r="984" spans="1:47" x14ac:dyDescent="0.3">
      <c r="A984" s="85" t="str">
        <f>_xlfn.XLOOKUP(B984,'Country codes &amp; Data sources'!G:G,'Country codes &amp; Data sources'!H:H,,0)</f>
        <v>Chad</v>
      </c>
      <c r="B984" s="85" t="s">
        <v>169</v>
      </c>
      <c r="C984" s="86">
        <v>12754928</v>
      </c>
      <c r="D984" s="85" t="s">
        <v>126</v>
      </c>
      <c r="E984" s="87">
        <v>0</v>
      </c>
      <c r="F984" s="88">
        <v>13216766.5</v>
      </c>
      <c r="G984" s="87">
        <v>0</v>
      </c>
      <c r="I984" s="87">
        <v>0</v>
      </c>
      <c r="K984" s="87">
        <v>0</v>
      </c>
      <c r="M984" s="87">
        <v>0</v>
      </c>
      <c r="O984" s="87">
        <v>0</v>
      </c>
      <c r="P984" s="88">
        <v>15604210</v>
      </c>
      <c r="Q984" s="87">
        <v>0</v>
      </c>
      <c r="R984" s="87">
        <f t="shared" si="270"/>
        <v>0</v>
      </c>
      <c r="T984" s="87">
        <v>0</v>
      </c>
      <c r="V984" s="87">
        <v>0</v>
      </c>
      <c r="X984" s="87">
        <v>0</v>
      </c>
      <c r="Y984" s="88">
        <v>17723314.500000004</v>
      </c>
      <c r="Z984" s="87">
        <v>0</v>
      </c>
      <c r="AA984" s="87">
        <v>0</v>
      </c>
      <c r="AB984" s="89">
        <f t="shared" si="271"/>
        <v>0</v>
      </c>
      <c r="AC984" s="89">
        <f t="shared" si="272"/>
        <v>0</v>
      </c>
      <c r="AD984" s="89">
        <f t="shared" si="273"/>
        <v>0</v>
      </c>
      <c r="AE984" s="90">
        <f t="shared" si="274"/>
        <v>0</v>
      </c>
      <c r="AF984" s="90" t="str">
        <f t="shared" si="275"/>
        <v/>
      </c>
      <c r="AG984" s="90">
        <f t="shared" si="276"/>
        <v>0</v>
      </c>
      <c r="AH984" s="90" t="str">
        <f t="shared" si="277"/>
        <v/>
      </c>
      <c r="AI984" s="90">
        <f t="shared" si="278"/>
        <v>0</v>
      </c>
      <c r="AJ984" s="90" t="str">
        <f t="shared" si="279"/>
        <v/>
      </c>
      <c r="AK984" s="90" t="str">
        <f t="shared" si="280"/>
        <v/>
      </c>
      <c r="AL984" s="91">
        <f>IF(AK984="Adjust",(_xlfn.XLOOKUP(A984,'Adj factor'!A:A,'Adj factor'!I:I,,0)*AI984),'Master DataSheet'!AI984)</f>
        <v>0</v>
      </c>
      <c r="AM984" s="91">
        <f t="shared" si="281"/>
        <v>0</v>
      </c>
      <c r="AN984" s="92" t="str">
        <f t="shared" si="282"/>
        <v>No change</v>
      </c>
      <c r="AO984" s="93">
        <f>VLOOKUP(B984,'Growthrates source'!A$2:H$49,8,FALSE)</f>
        <v>-3.1578929217935259E-2</v>
      </c>
      <c r="AP984" s="93">
        <f>VLOOKUP(B984,'Growthrates source'!A$2:I$49,9,FALSE)</f>
        <v>1.4876976840610734E-2</v>
      </c>
      <c r="AQ984" s="86">
        <f t="shared" si="283"/>
        <v>0</v>
      </c>
      <c r="AR984" s="86">
        <f t="shared" si="284"/>
        <v>0</v>
      </c>
      <c r="AS984" s="94">
        <f t="shared" si="285"/>
        <v>0</v>
      </c>
      <c r="AT984" s="94">
        <f t="shared" si="286"/>
        <v>0</v>
      </c>
      <c r="AU984" s="94">
        <f t="shared" si="287"/>
        <v>0</v>
      </c>
    </row>
    <row r="985" spans="1:47" x14ac:dyDescent="0.3">
      <c r="A985" s="85" t="str">
        <f>_xlfn.XLOOKUP(B985,'Country codes &amp; Data sources'!G:G,'Country codes &amp; Data sources'!H:H,,0)</f>
        <v>Chad</v>
      </c>
      <c r="B985" s="85" t="s">
        <v>169</v>
      </c>
      <c r="C985" s="86">
        <v>12754929</v>
      </c>
      <c r="D985" s="85" t="s">
        <v>87</v>
      </c>
      <c r="E985" s="87">
        <v>0</v>
      </c>
      <c r="F985" s="88">
        <v>13216766.5</v>
      </c>
      <c r="G985" s="87">
        <v>0</v>
      </c>
      <c r="I985" s="87">
        <v>0</v>
      </c>
      <c r="K985" s="87">
        <v>0</v>
      </c>
      <c r="M985" s="87">
        <v>0</v>
      </c>
      <c r="O985" s="87">
        <v>0</v>
      </c>
      <c r="P985" s="88">
        <v>15604210</v>
      </c>
      <c r="Q985" s="87">
        <v>0</v>
      </c>
      <c r="R985" s="87">
        <f t="shared" si="270"/>
        <v>0</v>
      </c>
      <c r="T985" s="87">
        <v>0</v>
      </c>
      <c r="V985" s="87">
        <v>0</v>
      </c>
      <c r="X985" s="87">
        <v>0</v>
      </c>
      <c r="Y985" s="88">
        <v>17723314.500000004</v>
      </c>
      <c r="Z985" s="87">
        <v>21983</v>
      </c>
      <c r="AA985" s="87">
        <v>0</v>
      </c>
      <c r="AB985" s="89">
        <f t="shared" si="271"/>
        <v>0</v>
      </c>
      <c r="AC985" s="89">
        <f t="shared" si="272"/>
        <v>0</v>
      </c>
      <c r="AD985" s="89">
        <f t="shared" si="273"/>
        <v>21983</v>
      </c>
      <c r="AE985" s="90">
        <f t="shared" si="274"/>
        <v>0</v>
      </c>
      <c r="AF985" s="90" t="str">
        <f t="shared" si="275"/>
        <v/>
      </c>
      <c r="AG985" s="90">
        <f t="shared" si="276"/>
        <v>0</v>
      </c>
      <c r="AH985" s="90" t="str">
        <f t="shared" si="277"/>
        <v/>
      </c>
      <c r="AI985" s="90">
        <f t="shared" si="278"/>
        <v>21983</v>
      </c>
      <c r="AJ985" s="90">
        <f t="shared" si="279"/>
        <v>2022</v>
      </c>
      <c r="AK985" s="90" t="str">
        <f t="shared" si="280"/>
        <v/>
      </c>
      <c r="AL985" s="91">
        <f>IF(AK985="Adjust",(_xlfn.XLOOKUP(A985,'Adj factor'!A:A,'Adj factor'!I:I,,0)*AI985),'Master DataSheet'!AI985)</f>
        <v>21983</v>
      </c>
      <c r="AM985" s="91">
        <f t="shared" si="281"/>
        <v>21983</v>
      </c>
      <c r="AN985" s="92" t="str">
        <f t="shared" si="282"/>
        <v>Increasing</v>
      </c>
      <c r="AO985" s="93">
        <f>VLOOKUP(B985,'Growthrates source'!A$2:H$49,8,FALSE)</f>
        <v>-3.1578929217935259E-2</v>
      </c>
      <c r="AP985" s="93">
        <f>VLOOKUP(B985,'Growthrates source'!A$2:I$49,9,FALSE)</f>
        <v>1.4876976840610734E-2</v>
      </c>
      <c r="AQ985" s="86">
        <f t="shared" si="283"/>
        <v>0</v>
      </c>
      <c r="AR985" s="86">
        <f t="shared" si="284"/>
        <v>0</v>
      </c>
      <c r="AS985" s="94">
        <f t="shared" si="285"/>
        <v>0</v>
      </c>
      <c r="AT985" s="94">
        <f t="shared" si="286"/>
        <v>0</v>
      </c>
      <c r="AU985" s="94">
        <f t="shared" si="287"/>
        <v>12.403436163139798</v>
      </c>
    </row>
    <row r="986" spans="1:47" x14ac:dyDescent="0.3">
      <c r="A986" s="85" t="str">
        <f>_xlfn.XLOOKUP(B986,'Country codes &amp; Data sources'!G:G,'Country codes &amp; Data sources'!H:H,,0)</f>
        <v>Togo</v>
      </c>
      <c r="B986" s="85" t="s">
        <v>195</v>
      </c>
      <c r="C986" s="86">
        <v>6926634.5000000009</v>
      </c>
      <c r="D986" s="85" t="s">
        <v>321</v>
      </c>
      <c r="E986" s="87">
        <v>49</v>
      </c>
      <c r="F986" s="88">
        <v>7106229</v>
      </c>
      <c r="G986" s="87">
        <v>53</v>
      </c>
      <c r="H986" s="87">
        <v>7288383.0000000009</v>
      </c>
      <c r="I986" s="87">
        <v>0</v>
      </c>
      <c r="J986" s="87">
        <v>7473228.5</v>
      </c>
      <c r="K986" s="87">
        <v>722</v>
      </c>
      <c r="L986" s="87">
        <v>7661353.5000000019</v>
      </c>
      <c r="M986" s="87">
        <v>964</v>
      </c>
      <c r="N986" s="87">
        <v>7852795.0000000037</v>
      </c>
      <c r="O986" s="87">
        <v>1490</v>
      </c>
      <c r="P986" s="88">
        <v>8046679</v>
      </c>
      <c r="Q986" s="87">
        <v>1633</v>
      </c>
      <c r="R986" s="87">
        <f t="shared" si="270"/>
        <v>1633</v>
      </c>
      <c r="S986" s="87">
        <v>8243094.5000000047</v>
      </c>
      <c r="T986" s="87">
        <v>1651</v>
      </c>
      <c r="U986" s="87">
        <v>8442580</v>
      </c>
      <c r="V986" s="87">
        <v>1619</v>
      </c>
      <c r="W986" s="87">
        <v>8644828.9999999981</v>
      </c>
      <c r="X986" s="87">
        <v>1369</v>
      </c>
      <c r="Y986" s="88">
        <v>8848698.5000000019</v>
      </c>
      <c r="Z986" s="87">
        <v>1641</v>
      </c>
      <c r="AA986" s="87">
        <v>584</v>
      </c>
      <c r="AB986" s="89">
        <f t="shared" si="271"/>
        <v>722</v>
      </c>
      <c r="AC986" s="89">
        <f t="shared" si="272"/>
        <v>1651</v>
      </c>
      <c r="AD986" s="89">
        <f t="shared" si="273"/>
        <v>1641</v>
      </c>
      <c r="AE986" s="90">
        <f t="shared" si="274"/>
        <v>53</v>
      </c>
      <c r="AF986" s="90">
        <f t="shared" si="275"/>
        <v>2013</v>
      </c>
      <c r="AG986" s="90">
        <f t="shared" si="276"/>
        <v>1633</v>
      </c>
      <c r="AH986" s="90">
        <f t="shared" si="277"/>
        <v>2018</v>
      </c>
      <c r="AI986" s="90">
        <f t="shared" si="278"/>
        <v>1641</v>
      </c>
      <c r="AJ986" s="90">
        <f t="shared" si="279"/>
        <v>2022</v>
      </c>
      <c r="AK986" s="90" t="str">
        <f t="shared" si="280"/>
        <v/>
      </c>
      <c r="AL986" s="91">
        <f>IF(AK986="Adjust",(_xlfn.XLOOKUP(A986,'Adj factor'!A:A,'Adj factor'!I:I,,0)*AI986),'Master DataSheet'!AI986)</f>
        <v>1641</v>
      </c>
      <c r="AM986" s="91">
        <f t="shared" si="281"/>
        <v>1641</v>
      </c>
      <c r="AN986" s="92" t="str">
        <f t="shared" si="282"/>
        <v>Increasing</v>
      </c>
      <c r="AO986" s="93">
        <f>VLOOKUP(B986,'Growthrates source'!A$2:H$49,8,FALSE)</f>
        <v>-1.0198610590244073E-2</v>
      </c>
      <c r="AP986" s="93">
        <f>VLOOKUP(B986,'Growthrates source'!A$2:I$49,9,FALSE)</f>
        <v>0.13933439758107946</v>
      </c>
      <c r="AQ986" s="86">
        <f t="shared" si="283"/>
        <v>614.55230033775331</v>
      </c>
      <c r="AR986" s="86">
        <f t="shared" si="284"/>
        <v>887.05250597727763</v>
      </c>
      <c r="AS986" s="94">
        <f t="shared" si="285"/>
        <v>7.4582454350964486E-2</v>
      </c>
      <c r="AT986" s="94">
        <f t="shared" si="286"/>
        <v>2.0294086541789476</v>
      </c>
      <c r="AU986" s="94">
        <f t="shared" si="287"/>
        <v>1.8545100163600328</v>
      </c>
    </row>
    <row r="987" spans="1:47" x14ac:dyDescent="0.3">
      <c r="A987" s="85" t="str">
        <f>_xlfn.XLOOKUP(B987,'Country codes &amp; Data sources'!G:G,'Country codes &amp; Data sources'!H:H,,0)</f>
        <v>Togo</v>
      </c>
      <c r="B987" s="85" t="s">
        <v>195</v>
      </c>
      <c r="C987" s="86">
        <v>6926635.5</v>
      </c>
      <c r="D987" s="85" t="s">
        <v>322</v>
      </c>
      <c r="E987" s="87">
        <v>0</v>
      </c>
      <c r="F987" s="88">
        <v>7106229</v>
      </c>
      <c r="G987" s="87">
        <v>0</v>
      </c>
      <c r="I987" s="87">
        <v>0</v>
      </c>
      <c r="K987" s="87">
        <v>2682</v>
      </c>
      <c r="M987" s="87">
        <v>2838</v>
      </c>
      <c r="O987" s="87">
        <v>3932</v>
      </c>
      <c r="P987" s="88">
        <v>8046679</v>
      </c>
      <c r="Q987" s="87">
        <v>3902</v>
      </c>
      <c r="R987" s="87">
        <f t="shared" si="270"/>
        <v>3902</v>
      </c>
      <c r="T987" s="87">
        <v>4268</v>
      </c>
      <c r="V987" s="87">
        <v>4910</v>
      </c>
      <c r="X987" s="87">
        <v>3892</v>
      </c>
      <c r="Y987" s="88">
        <v>8848698.5000000019</v>
      </c>
      <c r="Z987" s="87">
        <v>5260</v>
      </c>
      <c r="AA987" s="87">
        <v>1966</v>
      </c>
      <c r="AB987" s="89">
        <f t="shared" si="271"/>
        <v>2682</v>
      </c>
      <c r="AC987" s="89">
        <f t="shared" si="272"/>
        <v>4268</v>
      </c>
      <c r="AD987" s="89">
        <f t="shared" si="273"/>
        <v>5260</v>
      </c>
      <c r="AE987" s="90">
        <f t="shared" si="274"/>
        <v>2682</v>
      </c>
      <c r="AF987" s="90">
        <f t="shared" si="275"/>
        <v>2015</v>
      </c>
      <c r="AG987" s="90">
        <f t="shared" si="276"/>
        <v>3902</v>
      </c>
      <c r="AH987" s="90">
        <f t="shared" si="277"/>
        <v>2018</v>
      </c>
      <c r="AI987" s="90">
        <f t="shared" si="278"/>
        <v>5260</v>
      </c>
      <c r="AJ987" s="90">
        <f t="shared" si="279"/>
        <v>2022</v>
      </c>
      <c r="AK987" s="90" t="str">
        <f t="shared" si="280"/>
        <v/>
      </c>
      <c r="AL987" s="91">
        <f>IF(AK987="Adjust",(_xlfn.XLOOKUP(A987,'Adj factor'!A:A,'Adj factor'!I:I,,0)*AI987),'Master DataSheet'!AI987)</f>
        <v>5260</v>
      </c>
      <c r="AM987" s="91">
        <f t="shared" si="281"/>
        <v>5260</v>
      </c>
      <c r="AN987" s="92" t="str">
        <f t="shared" si="282"/>
        <v>Increasing</v>
      </c>
      <c r="AO987" s="93">
        <f>VLOOKUP(B987,'Growthrates source'!A$2:H$49,8,FALSE)</f>
        <v>-1.0198610590244073E-2</v>
      </c>
      <c r="AP987" s="93">
        <f>VLOOKUP(B987,'Growthrates source'!A$2:I$49,9,FALSE)</f>
        <v>0.13933439758107946</v>
      </c>
      <c r="AQ987" s="86">
        <f t="shared" si="283"/>
        <v>2068.8524357260671</v>
      </c>
      <c r="AR987" s="86">
        <f t="shared" si="284"/>
        <v>2986.2075800536436</v>
      </c>
      <c r="AS987" s="94">
        <f t="shared" si="285"/>
        <v>3.774153633382769</v>
      </c>
      <c r="AT987" s="94">
        <f t="shared" si="286"/>
        <v>4.8492054921042582</v>
      </c>
      <c r="AU987" s="94">
        <f t="shared" si="287"/>
        <v>5.9443770177049187</v>
      </c>
    </row>
    <row r="988" spans="1:47" x14ac:dyDescent="0.3">
      <c r="A988" s="85" t="str">
        <f>_xlfn.XLOOKUP(B988,'Country codes &amp; Data sources'!G:G,'Country codes &amp; Data sources'!H:H,,0)</f>
        <v>Togo</v>
      </c>
      <c r="B988" s="85" t="s">
        <v>195</v>
      </c>
      <c r="C988" s="86">
        <v>6926636.5</v>
      </c>
      <c r="D988" s="85" t="s">
        <v>323</v>
      </c>
      <c r="E988" s="87">
        <v>0</v>
      </c>
      <c r="F988" s="88">
        <v>7106229</v>
      </c>
      <c r="G988" s="87">
        <v>1590</v>
      </c>
      <c r="I988" s="87">
        <v>0</v>
      </c>
      <c r="K988" s="87">
        <v>1738</v>
      </c>
      <c r="M988" s="87">
        <v>1922</v>
      </c>
      <c r="O988" s="87">
        <v>2536</v>
      </c>
      <c r="P988" s="88">
        <v>8046679</v>
      </c>
      <c r="Q988" s="87">
        <v>2570</v>
      </c>
      <c r="R988" s="87">
        <f t="shared" si="270"/>
        <v>2570</v>
      </c>
      <c r="T988" s="87">
        <v>3238</v>
      </c>
      <c r="V988" s="87">
        <v>3486</v>
      </c>
      <c r="X988" s="87">
        <v>2964</v>
      </c>
      <c r="Y988" s="88">
        <v>8848698.5000000019</v>
      </c>
      <c r="Z988" s="87">
        <v>3728</v>
      </c>
      <c r="AA988" s="87">
        <v>1268</v>
      </c>
      <c r="AB988" s="89">
        <f t="shared" si="271"/>
        <v>1738</v>
      </c>
      <c r="AC988" s="89">
        <f t="shared" si="272"/>
        <v>3238</v>
      </c>
      <c r="AD988" s="89">
        <f t="shared" si="273"/>
        <v>3728</v>
      </c>
      <c r="AE988" s="90">
        <f t="shared" si="274"/>
        <v>1590</v>
      </c>
      <c r="AF988" s="90">
        <f t="shared" si="275"/>
        <v>2013</v>
      </c>
      <c r="AG988" s="90">
        <f t="shared" si="276"/>
        <v>2570</v>
      </c>
      <c r="AH988" s="90">
        <f t="shared" si="277"/>
        <v>2018</v>
      </c>
      <c r="AI988" s="90">
        <f t="shared" si="278"/>
        <v>3728</v>
      </c>
      <c r="AJ988" s="90">
        <f t="shared" si="279"/>
        <v>2022</v>
      </c>
      <c r="AK988" s="90" t="str">
        <f t="shared" si="280"/>
        <v/>
      </c>
      <c r="AL988" s="91">
        <f>IF(AK988="Adjust",(_xlfn.XLOOKUP(A988,'Adj factor'!A:A,'Adj factor'!I:I,,0)*AI988),'Master DataSheet'!AI988)</f>
        <v>3728</v>
      </c>
      <c r="AM988" s="91">
        <f t="shared" si="281"/>
        <v>3728</v>
      </c>
      <c r="AN988" s="92" t="str">
        <f t="shared" si="282"/>
        <v>Increasing</v>
      </c>
      <c r="AO988" s="93">
        <f>VLOOKUP(B988,'Growthrates source'!A$2:H$49,8,FALSE)</f>
        <v>-1.0198610590244073E-2</v>
      </c>
      <c r="AP988" s="93">
        <f>VLOOKUP(B988,'Growthrates source'!A$2:I$49,9,FALSE)</f>
        <v>0.13933439758107946</v>
      </c>
      <c r="AQ988" s="86">
        <f t="shared" si="283"/>
        <v>1334.3361589525193</v>
      </c>
      <c r="AR988" s="86">
        <f t="shared" si="284"/>
        <v>1925.9975643479247</v>
      </c>
      <c r="AS988" s="94">
        <f t="shared" si="285"/>
        <v>2.2374736305289344</v>
      </c>
      <c r="AT988" s="94">
        <f t="shared" si="286"/>
        <v>3.1938642016165923</v>
      </c>
      <c r="AU988" s="94">
        <f t="shared" si="287"/>
        <v>4.2130489585558815</v>
      </c>
    </row>
    <row r="989" spans="1:47" x14ac:dyDescent="0.3">
      <c r="A989" s="85" t="str">
        <f>_xlfn.XLOOKUP(B989,'Country codes &amp; Data sources'!G:G,'Country codes &amp; Data sources'!H:H,,0)</f>
        <v>Togo</v>
      </c>
      <c r="B989" s="85" t="s">
        <v>195</v>
      </c>
      <c r="C989" s="86">
        <v>6926637.5</v>
      </c>
      <c r="D989" s="85" t="s">
        <v>324</v>
      </c>
      <c r="E989" s="87">
        <v>4</v>
      </c>
      <c r="F989" s="88">
        <v>7106229</v>
      </c>
      <c r="G989" s="87">
        <v>0</v>
      </c>
      <c r="I989" s="87">
        <v>0</v>
      </c>
      <c r="K989" s="87">
        <v>68</v>
      </c>
      <c r="M989" s="87">
        <v>0</v>
      </c>
      <c r="O989" s="87">
        <v>0</v>
      </c>
      <c r="P989" s="88">
        <v>8046679</v>
      </c>
      <c r="Q989" s="87">
        <v>0</v>
      </c>
      <c r="R989" s="87">
        <f t="shared" si="270"/>
        <v>226</v>
      </c>
      <c r="T989" s="87">
        <v>0</v>
      </c>
      <c r="V989" s="87">
        <v>0</v>
      </c>
      <c r="X989" s="87">
        <v>0</v>
      </c>
      <c r="Y989" s="88">
        <v>8848698.5000000019</v>
      </c>
      <c r="Z989" s="87">
        <v>2076</v>
      </c>
      <c r="AA989" s="87">
        <v>226</v>
      </c>
      <c r="AB989" s="89">
        <f t="shared" si="271"/>
        <v>68</v>
      </c>
      <c r="AC989" s="89">
        <f t="shared" si="272"/>
        <v>0</v>
      </c>
      <c r="AD989" s="89">
        <f t="shared" si="273"/>
        <v>2076</v>
      </c>
      <c r="AE989" s="90">
        <f t="shared" si="274"/>
        <v>4</v>
      </c>
      <c r="AF989" s="90">
        <f t="shared" si="275"/>
        <v>2012</v>
      </c>
      <c r="AG989" s="90">
        <f t="shared" si="276"/>
        <v>226</v>
      </c>
      <c r="AH989" s="90" t="str">
        <f t="shared" si="277"/>
        <v>2018 (triag)</v>
      </c>
      <c r="AI989" s="90">
        <f t="shared" si="278"/>
        <v>2076</v>
      </c>
      <c r="AJ989" s="90">
        <f t="shared" si="279"/>
        <v>2022</v>
      </c>
      <c r="AK989" s="90" t="str">
        <f t="shared" si="280"/>
        <v/>
      </c>
      <c r="AL989" s="91">
        <f>IF(AK989="Adjust",(_xlfn.XLOOKUP(A989,'Adj factor'!A:A,'Adj factor'!I:I,,0)*AI989),'Master DataSheet'!AI989)</f>
        <v>2076</v>
      </c>
      <c r="AM989" s="91">
        <f t="shared" si="281"/>
        <v>2076</v>
      </c>
      <c r="AN989" s="92" t="str">
        <f t="shared" si="282"/>
        <v>Increasing</v>
      </c>
      <c r="AO989" s="93">
        <f>VLOOKUP(B989,'Growthrates source'!A$2:H$49,8,FALSE)</f>
        <v>-1.0198610590244073E-2</v>
      </c>
      <c r="AP989" s="93">
        <f>VLOOKUP(B989,'Growthrates source'!A$2:I$49,9,FALSE)</f>
        <v>0.13933439758107946</v>
      </c>
      <c r="AQ989" s="86">
        <f t="shared" si="283"/>
        <v>237.82332170604838</v>
      </c>
      <c r="AR989" s="86">
        <f t="shared" si="284"/>
        <v>343.27716840901496</v>
      </c>
      <c r="AS989" s="94">
        <f t="shared" si="285"/>
        <v>5.6288644793180747E-3</v>
      </c>
      <c r="AT989" s="94">
        <f t="shared" si="286"/>
        <v>0.28086120994760694</v>
      </c>
      <c r="AU989" s="94">
        <f t="shared" si="287"/>
        <v>2.3461077355048312</v>
      </c>
    </row>
    <row r="990" spans="1:47" x14ac:dyDescent="0.3">
      <c r="A990" s="85" t="str">
        <f>_xlfn.XLOOKUP(B990,'Country codes &amp; Data sources'!G:G,'Country codes &amp; Data sources'!H:H,,0)</f>
        <v>Togo</v>
      </c>
      <c r="B990" s="85" t="s">
        <v>195</v>
      </c>
      <c r="C990" s="86">
        <v>6926638.5</v>
      </c>
      <c r="D990" s="85" t="s">
        <v>325</v>
      </c>
      <c r="E990" s="87">
        <v>0</v>
      </c>
      <c r="F990" s="88">
        <v>7106229</v>
      </c>
      <c r="G990" s="87">
        <v>0</v>
      </c>
      <c r="I990" s="87">
        <v>0</v>
      </c>
      <c r="K990" s="87">
        <v>0</v>
      </c>
      <c r="M990" s="87">
        <v>0</v>
      </c>
      <c r="O990" s="87">
        <v>0</v>
      </c>
      <c r="P990" s="88">
        <v>8046679</v>
      </c>
      <c r="Q990" s="87">
        <v>0</v>
      </c>
      <c r="R990" s="87">
        <f t="shared" si="270"/>
        <v>21</v>
      </c>
      <c r="T990" s="87">
        <v>0</v>
      </c>
      <c r="V990" s="87">
        <v>0</v>
      </c>
      <c r="X990" s="87">
        <v>0</v>
      </c>
      <c r="Y990" s="88">
        <v>8848698.5000000019</v>
      </c>
      <c r="Z990" s="87">
        <v>985</v>
      </c>
      <c r="AA990" s="87">
        <v>21</v>
      </c>
      <c r="AB990" s="89">
        <f t="shared" si="271"/>
        <v>0</v>
      </c>
      <c r="AC990" s="89">
        <f t="shared" si="272"/>
        <v>0</v>
      </c>
      <c r="AD990" s="89">
        <f t="shared" si="273"/>
        <v>985</v>
      </c>
      <c r="AE990" s="90">
        <f t="shared" si="274"/>
        <v>0</v>
      </c>
      <c r="AF990" s="90" t="str">
        <f t="shared" si="275"/>
        <v/>
      </c>
      <c r="AG990" s="90">
        <f t="shared" si="276"/>
        <v>21</v>
      </c>
      <c r="AH990" s="90" t="str">
        <f t="shared" si="277"/>
        <v>2018 (triag)</v>
      </c>
      <c r="AI990" s="90">
        <f t="shared" si="278"/>
        <v>985</v>
      </c>
      <c r="AJ990" s="90">
        <f t="shared" si="279"/>
        <v>2022</v>
      </c>
      <c r="AK990" s="90" t="str">
        <f t="shared" si="280"/>
        <v/>
      </c>
      <c r="AL990" s="91">
        <f>IF(AK990="Adjust",(_xlfn.XLOOKUP(A990,'Adj factor'!A:A,'Adj factor'!I:I,,0)*AI990),'Master DataSheet'!AI990)</f>
        <v>985</v>
      </c>
      <c r="AM990" s="91">
        <f t="shared" si="281"/>
        <v>985</v>
      </c>
      <c r="AN990" s="92" t="str">
        <f t="shared" si="282"/>
        <v>Increasing</v>
      </c>
      <c r="AO990" s="93">
        <f>VLOOKUP(B990,'Growthrates source'!A$2:H$49,8,FALSE)</f>
        <v>-1.0198610590244073E-2</v>
      </c>
      <c r="AP990" s="93">
        <f>VLOOKUP(B990,'Growthrates source'!A$2:I$49,9,FALSE)</f>
        <v>0.13933439758107946</v>
      </c>
      <c r="AQ990" s="86">
        <f t="shared" si="283"/>
        <v>22.098627238172639</v>
      </c>
      <c r="AR990" s="86">
        <f t="shared" si="284"/>
        <v>31.897436002607584</v>
      </c>
      <c r="AS990" s="94">
        <f t="shared" si="285"/>
        <v>0</v>
      </c>
      <c r="AT990" s="94">
        <f t="shared" si="286"/>
        <v>2.6097723048228966E-2</v>
      </c>
      <c r="AU990" s="94">
        <f t="shared" si="287"/>
        <v>1.1131580536956929</v>
      </c>
    </row>
    <row r="991" spans="1:47" x14ac:dyDescent="0.3">
      <c r="A991" s="85" t="str">
        <f>_xlfn.XLOOKUP(B991,'Country codes &amp; Data sources'!G:G,'Country codes &amp; Data sources'!H:H,,0)</f>
        <v>Togo</v>
      </c>
      <c r="B991" s="85" t="s">
        <v>195</v>
      </c>
      <c r="C991" s="86">
        <v>6926639.5</v>
      </c>
      <c r="D991" s="85" t="s">
        <v>127</v>
      </c>
      <c r="E991" s="87">
        <v>0</v>
      </c>
      <c r="F991" s="88">
        <v>7106229</v>
      </c>
      <c r="G991" s="87">
        <v>0</v>
      </c>
      <c r="I991" s="87">
        <v>0</v>
      </c>
      <c r="K991" s="87">
        <v>0</v>
      </c>
      <c r="M991" s="87">
        <v>0</v>
      </c>
      <c r="O991" s="87">
        <v>7545</v>
      </c>
      <c r="P991" s="88">
        <v>8046679</v>
      </c>
      <c r="Q991" s="87">
        <v>7086</v>
      </c>
      <c r="R991" s="87">
        <f t="shared" si="270"/>
        <v>7500</v>
      </c>
      <c r="T991" s="87">
        <v>0</v>
      </c>
      <c r="V991" s="87">
        <v>7386</v>
      </c>
      <c r="X991" s="87">
        <v>7500</v>
      </c>
      <c r="Y991" s="88">
        <v>8848698.5000000019</v>
      </c>
      <c r="Z991" s="87">
        <v>0</v>
      </c>
      <c r="AA991" s="87">
        <v>7500</v>
      </c>
      <c r="AB991" s="89">
        <f t="shared" si="271"/>
        <v>0</v>
      </c>
      <c r="AC991" s="89">
        <f t="shared" si="272"/>
        <v>7545</v>
      </c>
      <c r="AD991" s="89">
        <f t="shared" si="273"/>
        <v>7500</v>
      </c>
      <c r="AE991" s="90">
        <f t="shared" si="274"/>
        <v>0</v>
      </c>
      <c r="AF991" s="90" t="str">
        <f t="shared" si="275"/>
        <v/>
      </c>
      <c r="AG991" s="90">
        <f t="shared" si="276"/>
        <v>7500</v>
      </c>
      <c r="AH991" s="90" t="str">
        <f t="shared" si="277"/>
        <v>2018 (triag)</v>
      </c>
      <c r="AI991" s="90">
        <f t="shared" si="278"/>
        <v>7500</v>
      </c>
      <c r="AJ991" s="90">
        <f t="shared" si="279"/>
        <v>2021</v>
      </c>
      <c r="AK991" s="90" t="str">
        <f t="shared" si="280"/>
        <v/>
      </c>
      <c r="AL991" s="91">
        <f>IF(AK991="Adjust",(_xlfn.XLOOKUP(A991,'Adj factor'!A:A,'Adj factor'!I:I,,0)*AI991),'Master DataSheet'!AI991)</f>
        <v>7500</v>
      </c>
      <c r="AM991" s="91">
        <f t="shared" si="281"/>
        <v>7500</v>
      </c>
      <c r="AN991" s="92" t="str">
        <f t="shared" si="282"/>
        <v>No change</v>
      </c>
      <c r="AO991" s="93">
        <f>VLOOKUP(B991,'Growthrates source'!A$2:H$49,8,FALSE)</f>
        <v>-1.0198610590244073E-2</v>
      </c>
      <c r="AP991" s="93">
        <f>VLOOKUP(B991,'Growthrates source'!A$2:I$49,9,FALSE)</f>
        <v>0.13933439758107946</v>
      </c>
      <c r="AQ991" s="86">
        <f t="shared" si="283"/>
        <v>7892.3668707759425</v>
      </c>
      <c r="AR991" s="86">
        <f t="shared" si="284"/>
        <v>11391.941429502709</v>
      </c>
      <c r="AS991" s="94">
        <f t="shared" si="285"/>
        <v>0</v>
      </c>
      <c r="AT991" s="94">
        <f t="shared" si="286"/>
        <v>9.3206153743674882</v>
      </c>
      <c r="AU991" s="94">
        <f t="shared" si="287"/>
        <v>8.4758227438758347</v>
      </c>
    </row>
    <row r="992" spans="1:47" x14ac:dyDescent="0.3">
      <c r="A992" s="85" t="str">
        <f>_xlfn.XLOOKUP(B992,'Country codes &amp; Data sources'!G:G,'Country codes &amp; Data sources'!H:H,,0)</f>
        <v>Togo</v>
      </c>
      <c r="B992" s="85" t="s">
        <v>195</v>
      </c>
      <c r="C992" s="86">
        <v>6926640.5</v>
      </c>
      <c r="D992" s="85" t="s">
        <v>61</v>
      </c>
      <c r="E992" s="87">
        <v>0</v>
      </c>
      <c r="F992" s="88">
        <v>7106229</v>
      </c>
      <c r="G992" s="87">
        <v>0</v>
      </c>
      <c r="I992" s="87">
        <v>0</v>
      </c>
      <c r="K992" s="87">
        <v>0</v>
      </c>
      <c r="M992" s="87">
        <v>0</v>
      </c>
      <c r="O992" s="87">
        <v>0</v>
      </c>
      <c r="P992" s="88">
        <v>8046679</v>
      </c>
      <c r="Q992" s="87">
        <v>0</v>
      </c>
      <c r="R992" s="87">
        <f t="shared" si="270"/>
        <v>12</v>
      </c>
      <c r="T992" s="87">
        <v>0</v>
      </c>
      <c r="V992" s="87">
        <v>0</v>
      </c>
      <c r="X992" s="87">
        <v>0</v>
      </c>
      <c r="Y992" s="88">
        <v>8848698.5000000019</v>
      </c>
      <c r="Z992" s="87">
        <v>0</v>
      </c>
      <c r="AA992" s="87">
        <v>12</v>
      </c>
      <c r="AB992" s="89">
        <f t="shared" si="271"/>
        <v>0</v>
      </c>
      <c r="AC992" s="89">
        <f t="shared" si="272"/>
        <v>0</v>
      </c>
      <c r="AD992" s="89">
        <f t="shared" si="273"/>
        <v>0</v>
      </c>
      <c r="AE992" s="90">
        <f t="shared" si="274"/>
        <v>0</v>
      </c>
      <c r="AF992" s="90" t="str">
        <f t="shared" si="275"/>
        <v/>
      </c>
      <c r="AG992" s="90">
        <f t="shared" si="276"/>
        <v>12</v>
      </c>
      <c r="AH992" s="90" t="str">
        <f t="shared" si="277"/>
        <v>2018 (triag)</v>
      </c>
      <c r="AI992" s="90">
        <f t="shared" si="278"/>
        <v>12</v>
      </c>
      <c r="AJ992" s="90" t="str">
        <f t="shared" si="279"/>
        <v>2018 (triag)</v>
      </c>
      <c r="AK992" s="90" t="str">
        <f t="shared" si="280"/>
        <v/>
      </c>
      <c r="AL992" s="91">
        <f>IF(AK992="Adjust",(_xlfn.XLOOKUP(A992,'Adj factor'!A:A,'Adj factor'!I:I,,0)*AI992),'Master DataSheet'!AI992)</f>
        <v>12</v>
      </c>
      <c r="AM992" s="91">
        <f t="shared" si="281"/>
        <v>12</v>
      </c>
      <c r="AN992" s="92" t="str">
        <f t="shared" si="282"/>
        <v>No change</v>
      </c>
      <c r="AO992" s="93">
        <f>VLOOKUP(B992,'Growthrates source'!A$2:H$49,8,FALSE)</f>
        <v>-1.0198610590244073E-2</v>
      </c>
      <c r="AP992" s="93">
        <f>VLOOKUP(B992,'Growthrates source'!A$2:I$49,9,FALSE)</f>
        <v>0.13933439758107946</v>
      </c>
      <c r="AQ992" s="86">
        <f t="shared" si="283"/>
        <v>12.627786993241507</v>
      </c>
      <c r="AR992" s="86">
        <f t="shared" si="284"/>
        <v>18.227106287204336</v>
      </c>
      <c r="AS992" s="94">
        <f t="shared" si="285"/>
        <v>0</v>
      </c>
      <c r="AT992" s="94">
        <f t="shared" si="286"/>
        <v>1.491298459898798E-2</v>
      </c>
      <c r="AU992" s="94">
        <f t="shared" si="287"/>
        <v>1.3561316390201335E-2</v>
      </c>
    </row>
    <row r="993" spans="1:47" x14ac:dyDescent="0.3">
      <c r="A993" s="85" t="str">
        <f>_xlfn.XLOOKUP(B993,'Country codes &amp; Data sources'!G:G,'Country codes &amp; Data sources'!H:H,,0)</f>
        <v>Togo</v>
      </c>
      <c r="B993" s="85" t="s">
        <v>195</v>
      </c>
      <c r="C993" s="86">
        <v>6926641.5</v>
      </c>
      <c r="D993" s="85" t="s">
        <v>62</v>
      </c>
      <c r="E993" s="87">
        <v>0</v>
      </c>
      <c r="F993" s="88">
        <v>7106229</v>
      </c>
      <c r="G993" s="87">
        <v>0</v>
      </c>
      <c r="I993" s="87">
        <v>0</v>
      </c>
      <c r="K993" s="87">
        <v>0</v>
      </c>
      <c r="M993" s="87">
        <v>0</v>
      </c>
      <c r="O993" s="87">
        <v>0</v>
      </c>
      <c r="P993" s="88">
        <v>8046679</v>
      </c>
      <c r="Q993" s="87">
        <v>0</v>
      </c>
      <c r="R993" s="87">
        <f t="shared" si="270"/>
        <v>340</v>
      </c>
      <c r="T993" s="87">
        <v>0</v>
      </c>
      <c r="V993" s="87">
        <v>0</v>
      </c>
      <c r="X993" s="87">
        <v>0</v>
      </c>
      <c r="Y993" s="88">
        <v>8848698.5000000019</v>
      </c>
      <c r="Z993" s="87">
        <v>0</v>
      </c>
      <c r="AA993" s="87">
        <v>340</v>
      </c>
      <c r="AB993" s="89">
        <f t="shared" si="271"/>
        <v>0</v>
      </c>
      <c r="AC993" s="89">
        <f t="shared" si="272"/>
        <v>0</v>
      </c>
      <c r="AD993" s="89">
        <f t="shared" si="273"/>
        <v>0</v>
      </c>
      <c r="AE993" s="90">
        <f t="shared" si="274"/>
        <v>0</v>
      </c>
      <c r="AF993" s="90" t="str">
        <f t="shared" si="275"/>
        <v/>
      </c>
      <c r="AG993" s="90">
        <f t="shared" si="276"/>
        <v>340</v>
      </c>
      <c r="AH993" s="90" t="str">
        <f t="shared" si="277"/>
        <v>2018 (triag)</v>
      </c>
      <c r="AI993" s="90">
        <f t="shared" si="278"/>
        <v>340</v>
      </c>
      <c r="AJ993" s="90" t="str">
        <f t="shared" si="279"/>
        <v>2018 (triag)</v>
      </c>
      <c r="AK993" s="90" t="str">
        <f t="shared" si="280"/>
        <v/>
      </c>
      <c r="AL993" s="91">
        <f>IF(AK993="Adjust",(_xlfn.XLOOKUP(A993,'Adj factor'!A:A,'Adj factor'!I:I,,0)*AI993),'Master DataSheet'!AI993)</f>
        <v>340</v>
      </c>
      <c r="AM993" s="91">
        <f t="shared" si="281"/>
        <v>340</v>
      </c>
      <c r="AN993" s="92" t="str">
        <f t="shared" si="282"/>
        <v>No change</v>
      </c>
      <c r="AO993" s="93">
        <f>VLOOKUP(B993,'Growthrates source'!A$2:H$49,8,FALSE)</f>
        <v>-1.0198610590244073E-2</v>
      </c>
      <c r="AP993" s="93">
        <f>VLOOKUP(B993,'Growthrates source'!A$2:I$49,9,FALSE)</f>
        <v>0.13933439758107946</v>
      </c>
      <c r="AQ993" s="86">
        <f t="shared" si="283"/>
        <v>357.78729814184271</v>
      </c>
      <c r="AR993" s="86">
        <f t="shared" si="284"/>
        <v>516.4346781374561</v>
      </c>
      <c r="AS993" s="94">
        <f t="shared" si="285"/>
        <v>0</v>
      </c>
      <c r="AT993" s="94">
        <f t="shared" si="286"/>
        <v>0.42253456363799274</v>
      </c>
      <c r="AU993" s="94">
        <f t="shared" si="287"/>
        <v>0.3842372977223712</v>
      </c>
    </row>
    <row r="994" spans="1:47" x14ac:dyDescent="0.3">
      <c r="A994" s="85" t="str">
        <f>_xlfn.XLOOKUP(B994,'Country codes &amp; Data sources'!G:G,'Country codes &amp; Data sources'!H:H,,0)</f>
        <v>Togo</v>
      </c>
      <c r="B994" s="85" t="s">
        <v>195</v>
      </c>
      <c r="C994" s="86">
        <v>6926642.5</v>
      </c>
      <c r="D994" s="85" t="s">
        <v>203</v>
      </c>
      <c r="E994" s="87">
        <v>0</v>
      </c>
      <c r="F994" s="88">
        <v>7106229</v>
      </c>
      <c r="G994" s="87">
        <v>0</v>
      </c>
      <c r="I994" s="87">
        <v>0</v>
      </c>
      <c r="K994" s="87">
        <v>0</v>
      </c>
      <c r="M994" s="87">
        <v>2249</v>
      </c>
      <c r="O994" s="87">
        <v>3474</v>
      </c>
      <c r="P994" s="88">
        <v>8046679</v>
      </c>
      <c r="Q994" s="87">
        <v>3903</v>
      </c>
      <c r="R994" s="87">
        <f t="shared" si="270"/>
        <v>3903</v>
      </c>
      <c r="T994" s="87">
        <v>3845</v>
      </c>
      <c r="V994" s="87">
        <v>4622</v>
      </c>
      <c r="X994" s="87">
        <v>2974</v>
      </c>
      <c r="Y994" s="88">
        <v>8848698.5000000019</v>
      </c>
      <c r="Z994" s="87">
        <v>0</v>
      </c>
      <c r="AA994" s="87">
        <v>3413</v>
      </c>
      <c r="AB994" s="89">
        <f t="shared" si="271"/>
        <v>0</v>
      </c>
      <c r="AC994" s="89">
        <f t="shared" si="272"/>
        <v>3903</v>
      </c>
      <c r="AD994" s="89">
        <f t="shared" si="273"/>
        <v>4622</v>
      </c>
      <c r="AE994" s="90">
        <f t="shared" si="274"/>
        <v>0</v>
      </c>
      <c r="AF994" s="90" t="str">
        <f t="shared" si="275"/>
        <v/>
      </c>
      <c r="AG994" s="90">
        <f t="shared" si="276"/>
        <v>3903</v>
      </c>
      <c r="AH994" s="90">
        <f t="shared" si="277"/>
        <v>2018</v>
      </c>
      <c r="AI994" s="90">
        <f t="shared" si="278"/>
        <v>2974</v>
      </c>
      <c r="AJ994" s="90">
        <f t="shared" si="279"/>
        <v>2021</v>
      </c>
      <c r="AK994" s="90" t="str">
        <f t="shared" si="280"/>
        <v>Adjust</v>
      </c>
      <c r="AL994" s="91">
        <f>IF(AK994="Adjust",(_xlfn.XLOOKUP(A994,'Adj factor'!A:A,'Adj factor'!I:I,,0)*AI994),'Master DataSheet'!AI994)</f>
        <v>3595.1391245334239</v>
      </c>
      <c r="AM994" s="91">
        <f t="shared" si="281"/>
        <v>3903</v>
      </c>
      <c r="AN994" s="92" t="str">
        <f t="shared" si="282"/>
        <v>Decreasing</v>
      </c>
      <c r="AO994" s="93">
        <f>VLOOKUP(B994,'Growthrates source'!A$2:H$49,8,FALSE)</f>
        <v>-1.0198610590244073E-2</v>
      </c>
      <c r="AP994" s="93">
        <f>VLOOKUP(B994,'Growthrates source'!A$2:I$49,9,FALSE)</f>
        <v>0.13933439758107946</v>
      </c>
      <c r="AQ994" s="86">
        <f t="shared" si="283"/>
        <v>3591.5530839944386</v>
      </c>
      <c r="AR994" s="86">
        <f t="shared" si="284"/>
        <v>5184.092813185699</v>
      </c>
      <c r="AS994" s="94">
        <f t="shared" si="285"/>
        <v>0</v>
      </c>
      <c r="AT994" s="94">
        <f t="shared" si="286"/>
        <v>4.8504482408208407</v>
      </c>
      <c r="AU994" s="94">
        <f t="shared" si="287"/>
        <v>4.4108181559129847</v>
      </c>
    </row>
    <row r="995" spans="1:47" x14ac:dyDescent="0.3">
      <c r="A995" s="85" t="str">
        <f>_xlfn.XLOOKUP(B995,'Country codes &amp; Data sources'!G:G,'Country codes &amp; Data sources'!H:H,,0)</f>
        <v>Togo</v>
      </c>
      <c r="B995" s="85" t="s">
        <v>195</v>
      </c>
      <c r="C995" s="86">
        <v>6926643.5</v>
      </c>
      <c r="D995" s="85" t="s">
        <v>204</v>
      </c>
      <c r="E995" s="87">
        <v>0</v>
      </c>
      <c r="F995" s="88">
        <v>7106229</v>
      </c>
      <c r="G995" s="87">
        <v>0</v>
      </c>
      <c r="I995" s="87">
        <v>0</v>
      </c>
      <c r="K995" s="87">
        <v>0</v>
      </c>
      <c r="M995" s="87">
        <v>0</v>
      </c>
      <c r="O995" s="87">
        <v>0</v>
      </c>
      <c r="P995" s="88">
        <v>8046679</v>
      </c>
      <c r="Q995" s="87">
        <v>0</v>
      </c>
      <c r="R995" s="87">
        <f t="shared" si="270"/>
        <v>63</v>
      </c>
      <c r="T995" s="87">
        <v>0</v>
      </c>
      <c r="V995" s="87">
        <v>0</v>
      </c>
      <c r="X995" s="87">
        <v>0</v>
      </c>
      <c r="Y995" s="88">
        <v>8848698.5000000019</v>
      </c>
      <c r="Z995" s="87">
        <v>1377</v>
      </c>
      <c r="AA995" s="87">
        <v>63</v>
      </c>
      <c r="AB995" s="89">
        <f t="shared" si="271"/>
        <v>0</v>
      </c>
      <c r="AC995" s="89">
        <f t="shared" si="272"/>
        <v>0</v>
      </c>
      <c r="AD995" s="89">
        <f t="shared" si="273"/>
        <v>1377</v>
      </c>
      <c r="AE995" s="90">
        <f t="shared" si="274"/>
        <v>0</v>
      </c>
      <c r="AF995" s="90" t="str">
        <f t="shared" si="275"/>
        <v/>
      </c>
      <c r="AG995" s="90">
        <f t="shared" si="276"/>
        <v>63</v>
      </c>
      <c r="AH995" s="90" t="str">
        <f t="shared" si="277"/>
        <v>2018 (triag)</v>
      </c>
      <c r="AI995" s="90">
        <f t="shared" si="278"/>
        <v>1377</v>
      </c>
      <c r="AJ995" s="90">
        <f t="shared" si="279"/>
        <v>2022</v>
      </c>
      <c r="AK995" s="90" t="str">
        <f t="shared" si="280"/>
        <v/>
      </c>
      <c r="AL995" s="91">
        <f>IF(AK995="Adjust",(_xlfn.XLOOKUP(A995,'Adj factor'!A:A,'Adj factor'!I:I,,0)*AI995),'Master DataSheet'!AI995)</f>
        <v>1377</v>
      </c>
      <c r="AM995" s="91">
        <f t="shared" si="281"/>
        <v>1377</v>
      </c>
      <c r="AN995" s="92" t="str">
        <f t="shared" si="282"/>
        <v>Increasing</v>
      </c>
      <c r="AO995" s="93">
        <f>VLOOKUP(B995,'Growthrates source'!A$2:H$49,8,FALSE)</f>
        <v>-1.0198610590244073E-2</v>
      </c>
      <c r="AP995" s="93">
        <f>VLOOKUP(B995,'Growthrates source'!A$2:I$49,9,FALSE)</f>
        <v>0.13933439758107946</v>
      </c>
      <c r="AQ995" s="86">
        <f t="shared" si="283"/>
        <v>66.295881714517918</v>
      </c>
      <c r="AR995" s="86">
        <f t="shared" si="284"/>
        <v>95.69230800782276</v>
      </c>
      <c r="AS995" s="94">
        <f t="shared" si="285"/>
        <v>0</v>
      </c>
      <c r="AT995" s="94">
        <f t="shared" si="286"/>
        <v>7.8293169144686897E-2</v>
      </c>
      <c r="AU995" s="94">
        <f t="shared" si="287"/>
        <v>1.5561610557756034</v>
      </c>
    </row>
    <row r="996" spans="1:47" x14ac:dyDescent="0.3">
      <c r="A996" s="85" t="str">
        <f>_xlfn.XLOOKUP(B996,'Country codes &amp; Data sources'!G:G,'Country codes &amp; Data sources'!H:H,,0)</f>
        <v>Togo</v>
      </c>
      <c r="B996" s="85" t="s">
        <v>195</v>
      </c>
      <c r="C996" s="86">
        <v>6926644.5</v>
      </c>
      <c r="D996" s="85" t="s">
        <v>205</v>
      </c>
      <c r="E996" s="87">
        <v>0</v>
      </c>
      <c r="F996" s="88">
        <v>7106229</v>
      </c>
      <c r="G996" s="87">
        <v>0</v>
      </c>
      <c r="I996" s="87">
        <v>0</v>
      </c>
      <c r="K996" s="87">
        <v>0</v>
      </c>
      <c r="M996" s="87">
        <v>50</v>
      </c>
      <c r="O996" s="87">
        <v>64</v>
      </c>
      <c r="P996" s="88">
        <v>8046679</v>
      </c>
      <c r="Q996" s="87">
        <v>55</v>
      </c>
      <c r="R996" s="87">
        <f t="shared" si="270"/>
        <v>55</v>
      </c>
      <c r="T996" s="87">
        <v>16</v>
      </c>
      <c r="V996" s="87">
        <v>8</v>
      </c>
      <c r="X996" s="87">
        <v>19</v>
      </c>
      <c r="Y996" s="88">
        <v>8848698.5000000019</v>
      </c>
      <c r="Z996" s="87">
        <v>19</v>
      </c>
      <c r="AA996" s="87">
        <v>2</v>
      </c>
      <c r="AB996" s="89">
        <f t="shared" si="271"/>
        <v>0</v>
      </c>
      <c r="AC996" s="89">
        <f t="shared" si="272"/>
        <v>64</v>
      </c>
      <c r="AD996" s="89">
        <f t="shared" si="273"/>
        <v>19</v>
      </c>
      <c r="AE996" s="90">
        <f t="shared" si="274"/>
        <v>0</v>
      </c>
      <c r="AF996" s="90" t="str">
        <f t="shared" si="275"/>
        <v/>
      </c>
      <c r="AG996" s="90">
        <f t="shared" si="276"/>
        <v>55</v>
      </c>
      <c r="AH996" s="90">
        <f t="shared" si="277"/>
        <v>2018</v>
      </c>
      <c r="AI996" s="90">
        <f t="shared" si="278"/>
        <v>19</v>
      </c>
      <c r="AJ996" s="90">
        <f t="shared" si="279"/>
        <v>2021</v>
      </c>
      <c r="AK996" s="90" t="str">
        <f t="shared" si="280"/>
        <v>Adjust</v>
      </c>
      <c r="AL996" s="91">
        <f>IF(AK996="Adjust",(_xlfn.XLOOKUP(A996,'Adj factor'!A:A,'Adj factor'!I:I,,0)*AI996),'Master DataSheet'!AI996)</f>
        <v>22.968272819816764</v>
      </c>
      <c r="AM996" s="91">
        <f t="shared" si="281"/>
        <v>55</v>
      </c>
      <c r="AN996" s="92" t="str">
        <f t="shared" si="282"/>
        <v>Decreasing</v>
      </c>
      <c r="AO996" s="93">
        <f>VLOOKUP(B996,'Growthrates source'!A$2:H$49,8,FALSE)</f>
        <v>-1.0198610590244073E-2</v>
      </c>
      <c r="AP996" s="93">
        <f>VLOOKUP(B996,'Growthrates source'!A$2:I$49,9,FALSE)</f>
        <v>0.13933439758107946</v>
      </c>
      <c r="AQ996" s="86">
        <f t="shared" si="283"/>
        <v>2.1046311655402512</v>
      </c>
      <c r="AR996" s="86">
        <f t="shared" si="284"/>
        <v>3.037851047867389</v>
      </c>
      <c r="AS996" s="94">
        <f t="shared" si="285"/>
        <v>0</v>
      </c>
      <c r="AT996" s="94">
        <f t="shared" si="286"/>
        <v>6.8351179412028243E-2</v>
      </c>
      <c r="AU996" s="94">
        <f t="shared" si="287"/>
        <v>6.2156033455089459E-2</v>
      </c>
    </row>
    <row r="997" spans="1:47" x14ac:dyDescent="0.3">
      <c r="A997" s="85" t="str">
        <f>_xlfn.XLOOKUP(B997,'Country codes &amp; Data sources'!G:G,'Country codes &amp; Data sources'!H:H,,0)</f>
        <v>Togo</v>
      </c>
      <c r="B997" s="85" t="s">
        <v>195</v>
      </c>
      <c r="C997" s="86">
        <v>6926645.5</v>
      </c>
      <c r="D997" s="85" t="s">
        <v>133</v>
      </c>
      <c r="E997" s="87">
        <v>0</v>
      </c>
      <c r="F997" s="88">
        <v>7106229</v>
      </c>
      <c r="G997" s="87">
        <v>0</v>
      </c>
      <c r="I997" s="87">
        <v>0</v>
      </c>
      <c r="K997" s="87">
        <v>407</v>
      </c>
      <c r="M997" s="87">
        <v>276</v>
      </c>
      <c r="O997" s="87">
        <v>454</v>
      </c>
      <c r="P997" s="88">
        <v>8046679</v>
      </c>
      <c r="Q997" s="87">
        <v>460</v>
      </c>
      <c r="R997" s="87">
        <f t="shared" si="270"/>
        <v>857</v>
      </c>
      <c r="T997" s="87">
        <v>518</v>
      </c>
      <c r="V997" s="87">
        <v>589</v>
      </c>
      <c r="X997" s="87">
        <v>446</v>
      </c>
      <c r="Y997" s="88">
        <v>8848698.5000000019</v>
      </c>
      <c r="Z997" s="87">
        <v>0</v>
      </c>
      <c r="AA997" s="87">
        <v>857</v>
      </c>
      <c r="AB997" s="89">
        <f t="shared" si="271"/>
        <v>407</v>
      </c>
      <c r="AC997" s="89">
        <f t="shared" si="272"/>
        <v>518</v>
      </c>
      <c r="AD997" s="89">
        <f t="shared" si="273"/>
        <v>589</v>
      </c>
      <c r="AE997" s="90">
        <f t="shared" si="274"/>
        <v>407</v>
      </c>
      <c r="AF997" s="90">
        <f t="shared" si="275"/>
        <v>2015</v>
      </c>
      <c r="AG997" s="90">
        <f t="shared" si="276"/>
        <v>857</v>
      </c>
      <c r="AH997" s="90" t="str">
        <f t="shared" si="277"/>
        <v>2018 (triag)</v>
      </c>
      <c r="AI997" s="90">
        <f t="shared" si="278"/>
        <v>446</v>
      </c>
      <c r="AJ997" s="90">
        <f t="shared" si="279"/>
        <v>2021</v>
      </c>
      <c r="AK997" s="90" t="str">
        <f t="shared" si="280"/>
        <v>Adjust</v>
      </c>
      <c r="AL997" s="91">
        <f>IF(AK997="Adjust",(_xlfn.XLOOKUP(A997,'Adj factor'!A:A,'Adj factor'!I:I,,0)*AI997),'Master DataSheet'!AI997)</f>
        <v>539.14998303359357</v>
      </c>
      <c r="AM997" s="91">
        <f t="shared" si="281"/>
        <v>857</v>
      </c>
      <c r="AN997" s="92" t="str">
        <f t="shared" si="282"/>
        <v>Decreasing</v>
      </c>
      <c r="AO997" s="93">
        <f>VLOOKUP(B997,'Growthrates source'!A$2:H$49,8,FALSE)</f>
        <v>-1.0198610590244073E-2</v>
      </c>
      <c r="AP997" s="93">
        <f>VLOOKUP(B997,'Growthrates source'!A$2:I$49,9,FALSE)</f>
        <v>0.13933439758107946</v>
      </c>
      <c r="AQ997" s="86">
        <f t="shared" si="283"/>
        <v>901.83445443399762</v>
      </c>
      <c r="AR997" s="86">
        <f t="shared" si="284"/>
        <v>1301.7191740111762</v>
      </c>
      <c r="AS997" s="94">
        <f t="shared" si="285"/>
        <v>0.57273696077061409</v>
      </c>
      <c r="AT997" s="94">
        <f t="shared" si="286"/>
        <v>1.0650356501110583</v>
      </c>
      <c r="AU997" s="94">
        <f t="shared" si="287"/>
        <v>0.96850401220021209</v>
      </c>
    </row>
    <row r="998" spans="1:47" x14ac:dyDescent="0.3">
      <c r="A998" s="85" t="str">
        <f>_xlfn.XLOOKUP(B998,'Country codes &amp; Data sources'!G:G,'Country codes &amp; Data sources'!H:H,,0)</f>
        <v>Togo</v>
      </c>
      <c r="B998" s="85" t="s">
        <v>195</v>
      </c>
      <c r="C998" s="86">
        <v>6926646.5</v>
      </c>
      <c r="D998" s="85" t="s">
        <v>206</v>
      </c>
      <c r="E998" s="87">
        <v>0</v>
      </c>
      <c r="F998" s="88">
        <v>7106229</v>
      </c>
      <c r="G998" s="87">
        <v>0</v>
      </c>
      <c r="I998" s="87">
        <v>0</v>
      </c>
      <c r="K998" s="87">
        <v>0</v>
      </c>
      <c r="M998" s="87">
        <v>0</v>
      </c>
      <c r="O998" s="87">
        <v>0</v>
      </c>
      <c r="P998" s="88">
        <v>8046679</v>
      </c>
      <c r="Q998" s="87">
        <v>0</v>
      </c>
      <c r="R998" s="87">
        <f t="shared" si="270"/>
        <v>1075</v>
      </c>
      <c r="T998" s="87">
        <v>0</v>
      </c>
      <c r="V998" s="87">
        <v>997</v>
      </c>
      <c r="X998" s="87">
        <v>0</v>
      </c>
      <c r="Y998" s="88">
        <v>8848698.5000000019</v>
      </c>
      <c r="Z998" s="87">
        <v>595</v>
      </c>
      <c r="AA998" s="87">
        <v>1075</v>
      </c>
      <c r="AB998" s="89">
        <f t="shared" si="271"/>
        <v>0</v>
      </c>
      <c r="AC998" s="89">
        <f t="shared" si="272"/>
        <v>0</v>
      </c>
      <c r="AD998" s="89">
        <f t="shared" si="273"/>
        <v>997</v>
      </c>
      <c r="AE998" s="90">
        <f t="shared" si="274"/>
        <v>0</v>
      </c>
      <c r="AF998" s="90" t="str">
        <f t="shared" si="275"/>
        <v/>
      </c>
      <c r="AG998" s="90">
        <f t="shared" si="276"/>
        <v>1075</v>
      </c>
      <c r="AH998" s="90" t="str">
        <f t="shared" si="277"/>
        <v>2018 (triag)</v>
      </c>
      <c r="AI998" s="90">
        <f t="shared" si="278"/>
        <v>595</v>
      </c>
      <c r="AJ998" s="90">
        <f t="shared" si="279"/>
        <v>2022</v>
      </c>
      <c r="AK998" s="90" t="str">
        <f t="shared" si="280"/>
        <v>Adjust</v>
      </c>
      <c r="AL998" s="91">
        <f>IF(AK998="Adjust",(_xlfn.XLOOKUP(A998,'Adj factor'!A:A,'Adj factor'!I:I,,0)*AI998),'Master DataSheet'!AI998)</f>
        <v>719.26959619952504</v>
      </c>
      <c r="AM998" s="91">
        <f t="shared" si="281"/>
        <v>1075</v>
      </c>
      <c r="AN998" s="92" t="str">
        <f t="shared" si="282"/>
        <v>Decreasing</v>
      </c>
      <c r="AO998" s="93">
        <f>VLOOKUP(B998,'Growthrates source'!A$2:H$49,8,FALSE)</f>
        <v>-1.0198610590244073E-2</v>
      </c>
      <c r="AP998" s="93">
        <f>VLOOKUP(B998,'Growthrates source'!A$2:I$49,9,FALSE)</f>
        <v>0.13933439758107946</v>
      </c>
      <c r="AQ998" s="86">
        <f t="shared" si="283"/>
        <v>1131.2392514778851</v>
      </c>
      <c r="AR998" s="86">
        <f t="shared" si="284"/>
        <v>1632.8449382287215</v>
      </c>
      <c r="AS998" s="94">
        <f t="shared" si="285"/>
        <v>0</v>
      </c>
      <c r="AT998" s="94">
        <f t="shared" si="286"/>
        <v>1.3359548703260065</v>
      </c>
      <c r="AU998" s="94">
        <f t="shared" si="287"/>
        <v>1.2148679266222029</v>
      </c>
    </row>
    <row r="999" spans="1:47" x14ac:dyDescent="0.3">
      <c r="A999" s="85" t="str">
        <f>_xlfn.XLOOKUP(B999,'Country codes &amp; Data sources'!G:G,'Country codes &amp; Data sources'!H:H,,0)</f>
        <v>Togo</v>
      </c>
      <c r="B999" s="85" t="s">
        <v>195</v>
      </c>
      <c r="C999" s="86">
        <v>6926647.5</v>
      </c>
      <c r="D999" s="85" t="s">
        <v>136</v>
      </c>
      <c r="E999" s="87">
        <v>0</v>
      </c>
      <c r="F999" s="88">
        <v>7106229</v>
      </c>
      <c r="G999" s="87">
        <v>0</v>
      </c>
      <c r="I999" s="87">
        <v>0</v>
      </c>
      <c r="K999" s="87">
        <v>0</v>
      </c>
      <c r="M999" s="87">
        <v>112</v>
      </c>
      <c r="O999" s="87">
        <v>151</v>
      </c>
      <c r="P999" s="88">
        <v>8046679</v>
      </c>
      <c r="Q999" s="87">
        <v>148</v>
      </c>
      <c r="R999" s="87">
        <f t="shared" si="270"/>
        <v>148</v>
      </c>
      <c r="T999" s="87">
        <v>139</v>
      </c>
      <c r="V999" s="87">
        <v>280</v>
      </c>
      <c r="X999" s="87">
        <v>95</v>
      </c>
      <c r="Y999" s="88">
        <v>8848698.5000000019</v>
      </c>
      <c r="Z999" s="87">
        <v>0</v>
      </c>
      <c r="AA999" s="87">
        <v>23</v>
      </c>
      <c r="AB999" s="89">
        <f t="shared" si="271"/>
        <v>0</v>
      </c>
      <c r="AC999" s="89">
        <f t="shared" si="272"/>
        <v>151</v>
      </c>
      <c r="AD999" s="89">
        <f t="shared" si="273"/>
        <v>280</v>
      </c>
      <c r="AE999" s="90">
        <f t="shared" si="274"/>
        <v>0</v>
      </c>
      <c r="AF999" s="90" t="str">
        <f t="shared" si="275"/>
        <v/>
      </c>
      <c r="AG999" s="90">
        <f t="shared" si="276"/>
        <v>148</v>
      </c>
      <c r="AH999" s="90">
        <f t="shared" si="277"/>
        <v>2018</v>
      </c>
      <c r="AI999" s="90">
        <f t="shared" si="278"/>
        <v>95</v>
      </c>
      <c r="AJ999" s="90">
        <f t="shared" si="279"/>
        <v>2021</v>
      </c>
      <c r="AK999" s="90" t="str">
        <f t="shared" si="280"/>
        <v>Adjust</v>
      </c>
      <c r="AL999" s="91">
        <f>IF(AK999="Adjust",(_xlfn.XLOOKUP(A999,'Adj factor'!A:A,'Adj factor'!I:I,,0)*AI999),'Master DataSheet'!AI999)</f>
        <v>114.84136409908382</v>
      </c>
      <c r="AM999" s="91">
        <f t="shared" si="281"/>
        <v>148</v>
      </c>
      <c r="AN999" s="92" t="str">
        <f t="shared" si="282"/>
        <v>Decreasing</v>
      </c>
      <c r="AO999" s="93">
        <f>VLOOKUP(B999,'Growthrates source'!A$2:H$49,8,FALSE)</f>
        <v>-1.0198610590244073E-2</v>
      </c>
      <c r="AP999" s="93">
        <f>VLOOKUP(B999,'Growthrates source'!A$2:I$49,9,FALSE)</f>
        <v>0.13933439758107946</v>
      </c>
      <c r="AQ999" s="86">
        <f t="shared" si="283"/>
        <v>24.203258403712891</v>
      </c>
      <c r="AR999" s="86">
        <f t="shared" si="284"/>
        <v>34.935287050474976</v>
      </c>
      <c r="AS999" s="94">
        <f t="shared" si="285"/>
        <v>0</v>
      </c>
      <c r="AT999" s="94">
        <f t="shared" si="286"/>
        <v>0.1839268100541851</v>
      </c>
      <c r="AU999" s="94">
        <f t="shared" si="287"/>
        <v>0.16725623547914981</v>
      </c>
    </row>
    <row r="1000" spans="1:47" x14ac:dyDescent="0.3">
      <c r="A1000" s="85" t="str">
        <f>_xlfn.XLOOKUP(B1000,'Country codes &amp; Data sources'!G:G,'Country codes &amp; Data sources'!H:H,,0)</f>
        <v>Togo</v>
      </c>
      <c r="B1000" s="85" t="s">
        <v>195</v>
      </c>
      <c r="C1000" s="86">
        <v>6926648.5</v>
      </c>
      <c r="D1000" s="85" t="s">
        <v>207</v>
      </c>
      <c r="E1000" s="87">
        <v>0</v>
      </c>
      <c r="F1000" s="88">
        <v>7106229</v>
      </c>
      <c r="G1000" s="87">
        <v>0</v>
      </c>
      <c r="I1000" s="87">
        <v>0</v>
      </c>
      <c r="K1000" s="87">
        <v>0</v>
      </c>
      <c r="M1000" s="87">
        <v>0</v>
      </c>
      <c r="O1000" s="87">
        <v>0</v>
      </c>
      <c r="P1000" s="88">
        <v>8046679</v>
      </c>
      <c r="Q1000" s="87">
        <v>0</v>
      </c>
      <c r="R1000" s="87">
        <f t="shared" si="270"/>
        <v>0</v>
      </c>
      <c r="T1000" s="87">
        <v>0</v>
      </c>
      <c r="V1000" s="87">
        <v>0</v>
      </c>
      <c r="X1000" s="87">
        <v>0</v>
      </c>
      <c r="Y1000" s="88">
        <v>8848698.5000000019</v>
      </c>
      <c r="Z1000" s="87">
        <v>0</v>
      </c>
      <c r="AA1000" s="87">
        <v>0</v>
      </c>
      <c r="AB1000" s="89">
        <f t="shared" si="271"/>
        <v>0</v>
      </c>
      <c r="AC1000" s="89">
        <f t="shared" si="272"/>
        <v>0</v>
      </c>
      <c r="AD1000" s="89">
        <f t="shared" si="273"/>
        <v>0</v>
      </c>
      <c r="AE1000" s="90">
        <f t="shared" si="274"/>
        <v>0</v>
      </c>
      <c r="AF1000" s="90" t="str">
        <f t="shared" si="275"/>
        <v/>
      </c>
      <c r="AG1000" s="90">
        <f t="shared" si="276"/>
        <v>0</v>
      </c>
      <c r="AH1000" s="90" t="str">
        <f t="shared" si="277"/>
        <v/>
      </c>
      <c r="AI1000" s="90">
        <f t="shared" si="278"/>
        <v>0</v>
      </c>
      <c r="AJ1000" s="90" t="str">
        <f t="shared" si="279"/>
        <v/>
      </c>
      <c r="AK1000" s="90" t="str">
        <f t="shared" si="280"/>
        <v/>
      </c>
      <c r="AL1000" s="91">
        <f>IF(AK1000="Adjust",(_xlfn.XLOOKUP(A1000,'Adj factor'!A:A,'Adj factor'!I:I,,0)*AI1000),'Master DataSheet'!AI1000)</f>
        <v>0</v>
      </c>
      <c r="AM1000" s="91">
        <f t="shared" si="281"/>
        <v>0</v>
      </c>
      <c r="AN1000" s="92" t="str">
        <f t="shared" si="282"/>
        <v>No change</v>
      </c>
      <c r="AO1000" s="93">
        <f>VLOOKUP(B1000,'Growthrates source'!A$2:H$49,8,FALSE)</f>
        <v>-1.0198610590244073E-2</v>
      </c>
      <c r="AP1000" s="93">
        <f>VLOOKUP(B1000,'Growthrates source'!A$2:I$49,9,FALSE)</f>
        <v>0.13933439758107946</v>
      </c>
      <c r="AQ1000" s="86">
        <f t="shared" si="283"/>
        <v>0</v>
      </c>
      <c r="AR1000" s="86">
        <f t="shared" si="284"/>
        <v>0</v>
      </c>
      <c r="AS1000" s="94">
        <f t="shared" si="285"/>
        <v>0</v>
      </c>
      <c r="AT1000" s="94">
        <f t="shared" si="286"/>
        <v>0</v>
      </c>
      <c r="AU1000" s="94">
        <f t="shared" si="287"/>
        <v>0</v>
      </c>
    </row>
    <row r="1001" spans="1:47" x14ac:dyDescent="0.3">
      <c r="A1001" s="85" t="str">
        <f>_xlfn.XLOOKUP(B1001,'Country codes &amp; Data sources'!G:G,'Country codes &amp; Data sources'!H:H,,0)</f>
        <v>Togo</v>
      </c>
      <c r="B1001" s="85" t="s">
        <v>195</v>
      </c>
      <c r="C1001" s="86">
        <v>6926649.5</v>
      </c>
      <c r="D1001" s="85" t="s">
        <v>141</v>
      </c>
      <c r="E1001" s="87">
        <v>0</v>
      </c>
      <c r="F1001" s="88">
        <v>7106229</v>
      </c>
      <c r="G1001" s="87">
        <v>0</v>
      </c>
      <c r="I1001" s="87">
        <v>0</v>
      </c>
      <c r="K1001" s="87">
        <v>0</v>
      </c>
      <c r="M1001" s="87">
        <v>2</v>
      </c>
      <c r="O1001" s="87">
        <v>6</v>
      </c>
      <c r="P1001" s="88">
        <v>8046679</v>
      </c>
      <c r="Q1001" s="87">
        <v>5</v>
      </c>
      <c r="R1001" s="87">
        <f t="shared" si="270"/>
        <v>5</v>
      </c>
      <c r="T1001" s="87">
        <v>4</v>
      </c>
      <c r="V1001" s="87">
        <v>3</v>
      </c>
      <c r="X1001" s="87">
        <v>1</v>
      </c>
      <c r="Y1001" s="88">
        <v>8848698.5000000019</v>
      </c>
      <c r="Z1001" s="87">
        <v>2</v>
      </c>
      <c r="AA1001" s="87">
        <v>2</v>
      </c>
      <c r="AB1001" s="89">
        <f t="shared" si="271"/>
        <v>0</v>
      </c>
      <c r="AC1001" s="89">
        <f t="shared" si="272"/>
        <v>6</v>
      </c>
      <c r="AD1001" s="89">
        <f t="shared" si="273"/>
        <v>3</v>
      </c>
      <c r="AE1001" s="90">
        <f t="shared" si="274"/>
        <v>0</v>
      </c>
      <c r="AF1001" s="90" t="str">
        <f t="shared" si="275"/>
        <v/>
      </c>
      <c r="AG1001" s="90">
        <f t="shared" si="276"/>
        <v>5</v>
      </c>
      <c r="AH1001" s="90">
        <f t="shared" si="277"/>
        <v>2018</v>
      </c>
      <c r="AI1001" s="90">
        <f t="shared" si="278"/>
        <v>2</v>
      </c>
      <c r="AJ1001" s="90">
        <f t="shared" si="279"/>
        <v>2022</v>
      </c>
      <c r="AK1001" s="90" t="str">
        <f t="shared" si="280"/>
        <v>Adjust</v>
      </c>
      <c r="AL1001" s="91">
        <f>IF(AK1001="Adjust",(_xlfn.XLOOKUP(A1001,'Adj factor'!A:A,'Adj factor'!I:I,,0)*AI1001),'Master DataSheet'!AI1001)</f>
        <v>2.4177129284017647</v>
      </c>
      <c r="AM1001" s="91">
        <f t="shared" si="281"/>
        <v>5</v>
      </c>
      <c r="AN1001" s="92" t="str">
        <f t="shared" si="282"/>
        <v>Decreasing</v>
      </c>
      <c r="AO1001" s="93">
        <f>VLOOKUP(B1001,'Growthrates source'!A$2:H$49,8,FALSE)</f>
        <v>-1.0198610590244073E-2</v>
      </c>
      <c r="AP1001" s="93">
        <f>VLOOKUP(B1001,'Growthrates source'!A$2:I$49,9,FALSE)</f>
        <v>0.13933439758107946</v>
      </c>
      <c r="AQ1001" s="86">
        <f t="shared" si="283"/>
        <v>2.1046311655402512</v>
      </c>
      <c r="AR1001" s="86">
        <f t="shared" si="284"/>
        <v>3.037851047867389</v>
      </c>
      <c r="AS1001" s="94">
        <f t="shared" si="285"/>
        <v>0</v>
      </c>
      <c r="AT1001" s="94">
        <f t="shared" si="286"/>
        <v>6.213743582911658E-3</v>
      </c>
      <c r="AU1001" s="94">
        <f t="shared" si="287"/>
        <v>5.6505484959172231E-3</v>
      </c>
    </row>
    <row r="1002" spans="1:47" x14ac:dyDescent="0.3">
      <c r="A1002" s="85" t="str">
        <f>_xlfn.XLOOKUP(B1002,'Country codes &amp; Data sources'!G:G,'Country codes &amp; Data sources'!H:H,,0)</f>
        <v>Togo</v>
      </c>
      <c r="B1002" s="85" t="s">
        <v>195</v>
      </c>
      <c r="C1002" s="86">
        <v>6926650.5</v>
      </c>
      <c r="D1002" s="85" t="s">
        <v>208</v>
      </c>
      <c r="E1002" s="87">
        <v>0</v>
      </c>
      <c r="F1002" s="88">
        <v>7106229</v>
      </c>
      <c r="G1002" s="87">
        <v>0</v>
      </c>
      <c r="I1002" s="87">
        <v>0</v>
      </c>
      <c r="K1002" s="87">
        <v>0</v>
      </c>
      <c r="M1002" s="87">
        <v>1340</v>
      </c>
      <c r="O1002" s="87">
        <v>1364</v>
      </c>
      <c r="P1002" s="88">
        <v>8046679</v>
      </c>
      <c r="Q1002" s="87">
        <v>1353</v>
      </c>
      <c r="R1002" s="87">
        <f t="shared" si="270"/>
        <v>4010</v>
      </c>
      <c r="T1002" s="87">
        <v>1353</v>
      </c>
      <c r="V1002" s="87">
        <v>2137</v>
      </c>
      <c r="X1002" s="87">
        <v>2139</v>
      </c>
      <c r="Y1002" s="88">
        <v>8848698.5000000019</v>
      </c>
      <c r="Z1002" s="87">
        <v>0</v>
      </c>
      <c r="AA1002" s="87">
        <v>4010</v>
      </c>
      <c r="AB1002" s="89">
        <f t="shared" si="271"/>
        <v>0</v>
      </c>
      <c r="AC1002" s="89">
        <f t="shared" si="272"/>
        <v>1364</v>
      </c>
      <c r="AD1002" s="89">
        <f t="shared" si="273"/>
        <v>2139</v>
      </c>
      <c r="AE1002" s="90">
        <f t="shared" si="274"/>
        <v>0</v>
      </c>
      <c r="AF1002" s="90" t="str">
        <f t="shared" si="275"/>
        <v/>
      </c>
      <c r="AG1002" s="90">
        <f t="shared" si="276"/>
        <v>4010</v>
      </c>
      <c r="AH1002" s="90" t="str">
        <f t="shared" si="277"/>
        <v>2018 (triag)</v>
      </c>
      <c r="AI1002" s="90">
        <f t="shared" si="278"/>
        <v>2139</v>
      </c>
      <c r="AJ1002" s="90">
        <f t="shared" si="279"/>
        <v>2021</v>
      </c>
      <c r="AK1002" s="90" t="str">
        <f t="shared" si="280"/>
        <v>Adjust</v>
      </c>
      <c r="AL1002" s="91">
        <f>IF(AK1002="Adjust",(_xlfn.XLOOKUP(A1002,'Adj factor'!A:A,'Adj factor'!I:I,,0)*AI1002),'Master DataSheet'!AI1002)</f>
        <v>2585.7439769256871</v>
      </c>
      <c r="AM1002" s="91">
        <f t="shared" si="281"/>
        <v>4010</v>
      </c>
      <c r="AN1002" s="92" t="str">
        <f t="shared" si="282"/>
        <v>Decreasing</v>
      </c>
      <c r="AO1002" s="93">
        <f>VLOOKUP(B1002,'Growthrates source'!A$2:H$49,8,FALSE)</f>
        <v>-1.0198610590244073E-2</v>
      </c>
      <c r="AP1002" s="93">
        <f>VLOOKUP(B1002,'Growthrates source'!A$2:I$49,9,FALSE)</f>
        <v>0.13933439758107946</v>
      </c>
      <c r="AQ1002" s="86">
        <f t="shared" si="283"/>
        <v>4219.7854869082039</v>
      </c>
      <c r="AR1002" s="86">
        <f t="shared" si="284"/>
        <v>6090.8913509741151</v>
      </c>
      <c r="AS1002" s="94">
        <f t="shared" si="285"/>
        <v>0</v>
      </c>
      <c r="AT1002" s="94">
        <f t="shared" si="286"/>
        <v>4.9834223534951496</v>
      </c>
      <c r="AU1002" s="94">
        <f t="shared" si="287"/>
        <v>4.5317398937256135</v>
      </c>
    </row>
    <row r="1003" spans="1:47" x14ac:dyDescent="0.3">
      <c r="A1003" s="85" t="str">
        <f>_xlfn.XLOOKUP(B1003,'Country codes &amp; Data sources'!G:G,'Country codes &amp; Data sources'!H:H,,0)</f>
        <v>Togo</v>
      </c>
      <c r="B1003" s="85" t="s">
        <v>195</v>
      </c>
      <c r="C1003" s="86">
        <v>6926651.5</v>
      </c>
      <c r="D1003" s="85" t="s">
        <v>209</v>
      </c>
      <c r="E1003" s="87">
        <v>0</v>
      </c>
      <c r="F1003" s="88">
        <v>7106229</v>
      </c>
      <c r="G1003" s="87">
        <v>0</v>
      </c>
      <c r="I1003" s="87">
        <v>0</v>
      </c>
      <c r="K1003" s="87">
        <v>0</v>
      </c>
      <c r="M1003" s="87">
        <v>1264</v>
      </c>
      <c r="O1003" s="87">
        <v>1806</v>
      </c>
      <c r="P1003" s="88">
        <v>8046679</v>
      </c>
      <c r="Q1003" s="87">
        <v>1554</v>
      </c>
      <c r="R1003" s="87">
        <f t="shared" si="270"/>
        <v>1554</v>
      </c>
      <c r="T1003" s="87">
        <v>1948</v>
      </c>
      <c r="V1003" s="87">
        <v>1371</v>
      </c>
      <c r="X1003" s="87">
        <v>0</v>
      </c>
      <c r="Y1003" s="88">
        <v>8848698.5000000019</v>
      </c>
      <c r="Z1003" s="87">
        <v>0</v>
      </c>
      <c r="AA1003" s="87">
        <v>360</v>
      </c>
      <c r="AB1003" s="89">
        <f t="shared" si="271"/>
        <v>0</v>
      </c>
      <c r="AC1003" s="89">
        <f t="shared" si="272"/>
        <v>1948</v>
      </c>
      <c r="AD1003" s="89">
        <f t="shared" si="273"/>
        <v>1371</v>
      </c>
      <c r="AE1003" s="90">
        <f t="shared" si="274"/>
        <v>0</v>
      </c>
      <c r="AF1003" s="90" t="str">
        <f t="shared" si="275"/>
        <v/>
      </c>
      <c r="AG1003" s="90">
        <f t="shared" si="276"/>
        <v>1554</v>
      </c>
      <c r="AH1003" s="90">
        <f t="shared" si="277"/>
        <v>2018</v>
      </c>
      <c r="AI1003" s="90">
        <f t="shared" si="278"/>
        <v>1371</v>
      </c>
      <c r="AJ1003" s="90">
        <f t="shared" si="279"/>
        <v>2020</v>
      </c>
      <c r="AK1003" s="90" t="str">
        <f t="shared" si="280"/>
        <v>Adjust</v>
      </c>
      <c r="AL1003" s="91">
        <f>IF(AK1003="Adjust",(_xlfn.XLOOKUP(A1003,'Adj factor'!A:A,'Adj factor'!I:I,,0)*AI1003),'Master DataSheet'!AI1003)</f>
        <v>1657.3422124194096</v>
      </c>
      <c r="AM1003" s="91">
        <f t="shared" si="281"/>
        <v>1657.3422124194096</v>
      </c>
      <c r="AN1003" s="92" t="str">
        <f t="shared" si="282"/>
        <v>Increasing</v>
      </c>
      <c r="AO1003" s="93">
        <f>VLOOKUP(B1003,'Growthrates source'!A$2:H$49,8,FALSE)</f>
        <v>-1.0198610590244073E-2</v>
      </c>
      <c r="AP1003" s="93">
        <f>VLOOKUP(B1003,'Growthrates source'!A$2:I$49,9,FALSE)</f>
        <v>0.13933439758107946</v>
      </c>
      <c r="AQ1003" s="86">
        <f t="shared" si="283"/>
        <v>378.83360979724523</v>
      </c>
      <c r="AR1003" s="86">
        <f t="shared" si="284"/>
        <v>546.81318861612999</v>
      </c>
      <c r="AS1003" s="94">
        <f t="shared" si="285"/>
        <v>0</v>
      </c>
      <c r="AT1003" s="94">
        <f t="shared" si="286"/>
        <v>1.9312315055689435</v>
      </c>
      <c r="AU1003" s="94">
        <f t="shared" si="287"/>
        <v>1.8729785091213238</v>
      </c>
    </row>
    <row r="1004" spans="1:47" x14ac:dyDescent="0.3">
      <c r="A1004" s="85" t="str">
        <f>_xlfn.XLOOKUP(B1004,'Country codes &amp; Data sources'!G:G,'Country codes &amp; Data sources'!H:H,,0)</f>
        <v>Togo</v>
      </c>
      <c r="B1004" s="85" t="s">
        <v>195</v>
      </c>
      <c r="C1004" s="86">
        <v>6926652.5</v>
      </c>
      <c r="D1004" s="85" t="s">
        <v>134</v>
      </c>
      <c r="E1004" s="87">
        <v>0</v>
      </c>
      <c r="F1004" s="88">
        <v>7106229</v>
      </c>
      <c r="G1004" s="87">
        <v>0</v>
      </c>
      <c r="I1004" s="87">
        <v>0</v>
      </c>
      <c r="K1004" s="87">
        <v>0</v>
      </c>
      <c r="M1004" s="87">
        <v>129</v>
      </c>
      <c r="O1004" s="87">
        <v>201</v>
      </c>
      <c r="P1004" s="88">
        <v>8046679</v>
      </c>
      <c r="Q1004" s="87">
        <v>183</v>
      </c>
      <c r="R1004" s="87">
        <f t="shared" si="270"/>
        <v>615</v>
      </c>
      <c r="T1004" s="87">
        <v>195</v>
      </c>
      <c r="V1004" s="87">
        <v>338</v>
      </c>
      <c r="X1004" s="87">
        <v>149</v>
      </c>
      <c r="Y1004" s="88">
        <v>8848698.5000000019</v>
      </c>
      <c r="Z1004" s="87">
        <v>887</v>
      </c>
      <c r="AA1004" s="87">
        <v>615</v>
      </c>
      <c r="AB1004" s="89">
        <f t="shared" si="271"/>
        <v>0</v>
      </c>
      <c r="AC1004" s="89">
        <f t="shared" si="272"/>
        <v>201</v>
      </c>
      <c r="AD1004" s="89">
        <f t="shared" si="273"/>
        <v>887</v>
      </c>
      <c r="AE1004" s="90">
        <f t="shared" si="274"/>
        <v>0</v>
      </c>
      <c r="AF1004" s="90" t="str">
        <f t="shared" si="275"/>
        <v/>
      </c>
      <c r="AG1004" s="90">
        <f t="shared" si="276"/>
        <v>615</v>
      </c>
      <c r="AH1004" s="90" t="str">
        <f t="shared" si="277"/>
        <v>2018 (triag)</v>
      </c>
      <c r="AI1004" s="90">
        <f t="shared" si="278"/>
        <v>887</v>
      </c>
      <c r="AJ1004" s="90">
        <f t="shared" si="279"/>
        <v>2022</v>
      </c>
      <c r="AK1004" s="90" t="str">
        <f t="shared" si="280"/>
        <v/>
      </c>
      <c r="AL1004" s="91">
        <f>IF(AK1004="Adjust",(_xlfn.XLOOKUP(A1004,'Adj factor'!A:A,'Adj factor'!I:I,,0)*AI1004),'Master DataSheet'!AI1004)</f>
        <v>887</v>
      </c>
      <c r="AM1004" s="91">
        <f t="shared" si="281"/>
        <v>887</v>
      </c>
      <c r="AN1004" s="92" t="str">
        <f t="shared" si="282"/>
        <v>Increasing</v>
      </c>
      <c r="AO1004" s="93">
        <f>VLOOKUP(B1004,'Growthrates source'!A$2:H$49,8,FALSE)</f>
        <v>-1.0198610590244073E-2</v>
      </c>
      <c r="AP1004" s="93">
        <f>VLOOKUP(B1004,'Growthrates source'!A$2:I$49,9,FALSE)</f>
        <v>0.13933439758107946</v>
      </c>
      <c r="AQ1004" s="86">
        <f t="shared" si="283"/>
        <v>647.17408340362726</v>
      </c>
      <c r="AR1004" s="86">
        <f t="shared" si="284"/>
        <v>934.13919721922207</v>
      </c>
      <c r="AS1004" s="94">
        <f t="shared" si="285"/>
        <v>0</v>
      </c>
      <c r="AT1004" s="94">
        <f t="shared" si="286"/>
        <v>0.764290460698134</v>
      </c>
      <c r="AU1004" s="94">
        <f t="shared" si="287"/>
        <v>1.0024073031757155</v>
      </c>
    </row>
    <row r="1005" spans="1:47" x14ac:dyDescent="0.3">
      <c r="A1005" s="85" t="str">
        <f>_xlfn.XLOOKUP(B1005,'Country codes &amp; Data sources'!G:G,'Country codes &amp; Data sources'!H:H,,0)</f>
        <v>Togo</v>
      </c>
      <c r="B1005" s="85" t="s">
        <v>195</v>
      </c>
      <c r="C1005" s="86">
        <v>6926653.5</v>
      </c>
      <c r="D1005" s="85" t="s">
        <v>142</v>
      </c>
      <c r="E1005" s="87">
        <v>0</v>
      </c>
      <c r="F1005" s="88">
        <v>7106229</v>
      </c>
      <c r="G1005" s="87">
        <v>0</v>
      </c>
      <c r="I1005" s="87">
        <v>0</v>
      </c>
      <c r="K1005" s="87">
        <v>0</v>
      </c>
      <c r="M1005" s="87">
        <v>638</v>
      </c>
      <c r="O1005" s="87">
        <v>945</v>
      </c>
      <c r="P1005" s="88">
        <v>8046679</v>
      </c>
      <c r="Q1005" s="87">
        <v>978</v>
      </c>
      <c r="R1005" s="87">
        <f t="shared" si="270"/>
        <v>978</v>
      </c>
      <c r="T1005" s="87">
        <v>817</v>
      </c>
      <c r="V1005" s="87">
        <v>0</v>
      </c>
      <c r="X1005" s="87">
        <v>813</v>
      </c>
      <c r="Y1005" s="88">
        <v>8848698.5000000019</v>
      </c>
      <c r="Z1005" s="87">
        <v>390</v>
      </c>
      <c r="AA1005" s="87">
        <v>0</v>
      </c>
      <c r="AB1005" s="89">
        <f t="shared" si="271"/>
        <v>0</v>
      </c>
      <c r="AC1005" s="89">
        <f t="shared" si="272"/>
        <v>978</v>
      </c>
      <c r="AD1005" s="89">
        <f t="shared" si="273"/>
        <v>813</v>
      </c>
      <c r="AE1005" s="90">
        <f t="shared" si="274"/>
        <v>0</v>
      </c>
      <c r="AF1005" s="90" t="str">
        <f t="shared" si="275"/>
        <v/>
      </c>
      <c r="AG1005" s="90">
        <f t="shared" si="276"/>
        <v>978</v>
      </c>
      <c r="AH1005" s="90">
        <f t="shared" si="277"/>
        <v>2018</v>
      </c>
      <c r="AI1005" s="90">
        <f t="shared" si="278"/>
        <v>390</v>
      </c>
      <c r="AJ1005" s="90">
        <f t="shared" si="279"/>
        <v>2022</v>
      </c>
      <c r="AK1005" s="90" t="str">
        <f t="shared" si="280"/>
        <v>Adjust</v>
      </c>
      <c r="AL1005" s="91">
        <f>IF(AK1005="Adjust",(_xlfn.XLOOKUP(A1005,'Adj factor'!A:A,'Adj factor'!I:I,,0)*AI1005),'Master DataSheet'!AI1005)</f>
        <v>471.45402103834408</v>
      </c>
      <c r="AM1005" s="91">
        <f t="shared" si="281"/>
        <v>978</v>
      </c>
      <c r="AN1005" s="92" t="str">
        <f t="shared" si="282"/>
        <v>Decreasing</v>
      </c>
      <c r="AO1005" s="93">
        <f>VLOOKUP(B1005,'Growthrates source'!A$2:H$49,8,FALSE)</f>
        <v>-1.0198610590244073E-2</v>
      </c>
      <c r="AP1005" s="93">
        <f>VLOOKUP(B1005,'Growthrates source'!A$2:I$49,9,FALSE)</f>
        <v>0.13933439758107946</v>
      </c>
      <c r="AQ1005" s="86">
        <f t="shared" si="283"/>
        <v>0</v>
      </c>
      <c r="AR1005" s="86">
        <f t="shared" si="284"/>
        <v>0</v>
      </c>
      <c r="AS1005" s="94">
        <f t="shared" si="285"/>
        <v>0</v>
      </c>
      <c r="AT1005" s="94">
        <f t="shared" si="286"/>
        <v>1.2154082448175203</v>
      </c>
      <c r="AU1005" s="94">
        <f t="shared" si="287"/>
        <v>1.1052472858014089</v>
      </c>
    </row>
    <row r="1006" spans="1:47" x14ac:dyDescent="0.3">
      <c r="A1006" s="85" t="str">
        <f>_xlfn.XLOOKUP(B1006,'Country codes &amp; Data sources'!G:G,'Country codes &amp; Data sources'!H:H,,0)</f>
        <v>Togo</v>
      </c>
      <c r="B1006" s="85" t="s">
        <v>195</v>
      </c>
      <c r="C1006" s="86">
        <v>6926654.5</v>
      </c>
      <c r="D1006" s="85" t="s">
        <v>83</v>
      </c>
      <c r="E1006" s="87">
        <v>0</v>
      </c>
      <c r="F1006" s="88">
        <v>7106229</v>
      </c>
      <c r="G1006" s="87">
        <v>0</v>
      </c>
      <c r="I1006" s="87">
        <v>0</v>
      </c>
      <c r="K1006" s="87">
        <v>231</v>
      </c>
      <c r="M1006" s="87">
        <v>152</v>
      </c>
      <c r="O1006" s="87">
        <v>174</v>
      </c>
      <c r="P1006" s="88">
        <v>8046679</v>
      </c>
      <c r="Q1006" s="87">
        <v>160</v>
      </c>
      <c r="R1006" s="87">
        <f t="shared" si="270"/>
        <v>252</v>
      </c>
      <c r="T1006" s="87">
        <v>175</v>
      </c>
      <c r="V1006" s="87">
        <v>230</v>
      </c>
      <c r="X1006" s="87">
        <v>161</v>
      </c>
      <c r="Y1006" s="88">
        <v>8848698.5000000019</v>
      </c>
      <c r="Z1006" s="87">
        <v>183</v>
      </c>
      <c r="AA1006" s="87">
        <v>252</v>
      </c>
      <c r="AB1006" s="89">
        <f t="shared" si="271"/>
        <v>231</v>
      </c>
      <c r="AC1006" s="89">
        <f t="shared" si="272"/>
        <v>175</v>
      </c>
      <c r="AD1006" s="89">
        <f t="shared" si="273"/>
        <v>230</v>
      </c>
      <c r="AE1006" s="90">
        <f t="shared" si="274"/>
        <v>231</v>
      </c>
      <c r="AF1006" s="90">
        <f t="shared" si="275"/>
        <v>2015</v>
      </c>
      <c r="AG1006" s="90">
        <f t="shared" si="276"/>
        <v>252</v>
      </c>
      <c r="AH1006" s="90" t="str">
        <f t="shared" si="277"/>
        <v>2018 (triag)</v>
      </c>
      <c r="AI1006" s="90">
        <f t="shared" si="278"/>
        <v>183</v>
      </c>
      <c r="AJ1006" s="90">
        <f t="shared" si="279"/>
        <v>2022</v>
      </c>
      <c r="AK1006" s="90" t="str">
        <f t="shared" si="280"/>
        <v>Adjust</v>
      </c>
      <c r="AL1006" s="91">
        <f>IF(AK1006="Adjust",(_xlfn.XLOOKUP(A1006,'Adj factor'!A:A,'Adj factor'!I:I,,0)*AI1006),'Master DataSheet'!AI1006)</f>
        <v>221.22073294876148</v>
      </c>
      <c r="AM1006" s="91">
        <f t="shared" si="281"/>
        <v>252</v>
      </c>
      <c r="AN1006" s="92" t="str">
        <f t="shared" si="282"/>
        <v>Decreasing</v>
      </c>
      <c r="AO1006" s="93">
        <f>VLOOKUP(B1006,'Growthrates source'!A$2:H$49,8,FALSE)</f>
        <v>-1.0198610590244073E-2</v>
      </c>
      <c r="AP1006" s="93">
        <f>VLOOKUP(B1006,'Growthrates source'!A$2:I$49,9,FALSE)</f>
        <v>0.13933439758107946</v>
      </c>
      <c r="AQ1006" s="86">
        <f t="shared" si="283"/>
        <v>265.18352685807167</v>
      </c>
      <c r="AR1006" s="86">
        <f t="shared" si="284"/>
        <v>382.76923203129104</v>
      </c>
      <c r="AS1006" s="94">
        <f t="shared" si="285"/>
        <v>0.32506692368061879</v>
      </c>
      <c r="AT1006" s="94">
        <f t="shared" si="286"/>
        <v>0.31317267657874759</v>
      </c>
      <c r="AU1006" s="94">
        <f t="shared" si="287"/>
        <v>0.28478764419422803</v>
      </c>
    </row>
    <row r="1007" spans="1:47" x14ac:dyDescent="0.3">
      <c r="A1007" s="85" t="str">
        <f>_xlfn.XLOOKUP(B1007,'Country codes &amp; Data sources'!G:G,'Country codes &amp; Data sources'!H:H,,0)</f>
        <v>Togo</v>
      </c>
      <c r="B1007" s="85" t="s">
        <v>195</v>
      </c>
      <c r="C1007" s="86">
        <v>6926655.5</v>
      </c>
      <c r="D1007" s="85" t="s">
        <v>84</v>
      </c>
      <c r="E1007" s="87">
        <v>0</v>
      </c>
      <c r="F1007" s="88">
        <v>7106229</v>
      </c>
      <c r="G1007" s="87">
        <v>0</v>
      </c>
      <c r="I1007" s="87">
        <v>0</v>
      </c>
      <c r="K1007" s="87">
        <v>0</v>
      </c>
      <c r="M1007" s="87">
        <v>14</v>
      </c>
      <c r="O1007" s="87">
        <v>62</v>
      </c>
      <c r="P1007" s="88">
        <v>8046679</v>
      </c>
      <c r="Q1007" s="87">
        <v>62</v>
      </c>
      <c r="R1007" s="87">
        <f t="shared" si="270"/>
        <v>62</v>
      </c>
      <c r="T1007" s="87">
        <v>62</v>
      </c>
      <c r="V1007" s="87">
        <v>66</v>
      </c>
      <c r="X1007" s="87">
        <v>56</v>
      </c>
      <c r="Y1007" s="88">
        <v>8848698.5000000019</v>
      </c>
      <c r="Z1007" s="87">
        <v>0</v>
      </c>
      <c r="AA1007" s="87">
        <v>0</v>
      </c>
      <c r="AB1007" s="89">
        <f t="shared" si="271"/>
        <v>0</v>
      </c>
      <c r="AC1007" s="89">
        <f t="shared" si="272"/>
        <v>62</v>
      </c>
      <c r="AD1007" s="89">
        <f t="shared" si="273"/>
        <v>66</v>
      </c>
      <c r="AE1007" s="90">
        <f t="shared" si="274"/>
        <v>0</v>
      </c>
      <c r="AF1007" s="90" t="str">
        <f t="shared" si="275"/>
        <v/>
      </c>
      <c r="AG1007" s="90">
        <f t="shared" si="276"/>
        <v>62</v>
      </c>
      <c r="AH1007" s="90">
        <f t="shared" si="277"/>
        <v>2017</v>
      </c>
      <c r="AI1007" s="90">
        <f t="shared" si="278"/>
        <v>56</v>
      </c>
      <c r="AJ1007" s="90">
        <f t="shared" si="279"/>
        <v>2021</v>
      </c>
      <c r="AK1007" s="90" t="str">
        <f t="shared" si="280"/>
        <v>Adjust</v>
      </c>
      <c r="AL1007" s="91">
        <f>IF(AK1007="Adjust",(_xlfn.XLOOKUP(A1007,'Adj factor'!A:A,'Adj factor'!I:I,,0)*AI1007),'Master DataSheet'!AI1007)</f>
        <v>67.695961995249405</v>
      </c>
      <c r="AM1007" s="91">
        <f t="shared" si="281"/>
        <v>67.695961995249405</v>
      </c>
      <c r="AN1007" s="92" t="str">
        <f t="shared" si="282"/>
        <v>Increasing</v>
      </c>
      <c r="AO1007" s="93">
        <f>VLOOKUP(B1007,'Growthrates source'!A$2:H$49,8,FALSE)</f>
        <v>-1.0198610590244073E-2</v>
      </c>
      <c r="AP1007" s="93">
        <f>VLOOKUP(B1007,'Growthrates source'!A$2:I$49,9,FALSE)</f>
        <v>0.13933439758107946</v>
      </c>
      <c r="AQ1007" s="86">
        <f t="shared" si="283"/>
        <v>0</v>
      </c>
      <c r="AR1007" s="86">
        <f t="shared" si="284"/>
        <v>0</v>
      </c>
      <c r="AS1007" s="94">
        <f t="shared" si="285"/>
        <v>0</v>
      </c>
      <c r="AT1007" s="94">
        <f t="shared" si="286"/>
        <v>7.705042042810456E-2</v>
      </c>
      <c r="AU1007" s="94">
        <f t="shared" si="287"/>
        <v>7.6503863246385209E-2</v>
      </c>
    </row>
    <row r="1008" spans="1:47" x14ac:dyDescent="0.3">
      <c r="A1008" s="85" t="str">
        <f>_xlfn.XLOOKUP(B1008,'Country codes &amp; Data sources'!G:G,'Country codes &amp; Data sources'!H:H,,0)</f>
        <v>Togo</v>
      </c>
      <c r="B1008" s="85" t="s">
        <v>195</v>
      </c>
      <c r="C1008" s="86">
        <v>6926656.5</v>
      </c>
      <c r="D1008" s="85" t="s">
        <v>126</v>
      </c>
      <c r="E1008" s="87">
        <v>0</v>
      </c>
      <c r="F1008" s="88">
        <v>7106229</v>
      </c>
      <c r="G1008" s="87">
        <v>0</v>
      </c>
      <c r="I1008" s="87">
        <v>0</v>
      </c>
      <c r="K1008" s="87">
        <v>0</v>
      </c>
      <c r="M1008" s="87">
        <v>9</v>
      </c>
      <c r="O1008" s="87">
        <v>21</v>
      </c>
      <c r="P1008" s="88">
        <v>8046679</v>
      </c>
      <c r="Q1008" s="87">
        <v>25</v>
      </c>
      <c r="R1008" s="87">
        <f t="shared" si="270"/>
        <v>25</v>
      </c>
      <c r="T1008" s="87">
        <v>35</v>
      </c>
      <c r="V1008" s="87">
        <v>83</v>
      </c>
      <c r="X1008" s="87">
        <v>33</v>
      </c>
      <c r="Y1008" s="88">
        <v>8848698.5000000019</v>
      </c>
      <c r="Z1008" s="87">
        <v>0</v>
      </c>
      <c r="AA1008" s="87">
        <v>0</v>
      </c>
      <c r="AB1008" s="89">
        <f t="shared" si="271"/>
        <v>0</v>
      </c>
      <c r="AC1008" s="89">
        <f t="shared" si="272"/>
        <v>35</v>
      </c>
      <c r="AD1008" s="89">
        <f t="shared" si="273"/>
        <v>83</v>
      </c>
      <c r="AE1008" s="90">
        <f t="shared" si="274"/>
        <v>0</v>
      </c>
      <c r="AF1008" s="90" t="str">
        <f t="shared" si="275"/>
        <v/>
      </c>
      <c r="AG1008" s="90">
        <f t="shared" si="276"/>
        <v>25</v>
      </c>
      <c r="AH1008" s="90">
        <f t="shared" si="277"/>
        <v>2018</v>
      </c>
      <c r="AI1008" s="90">
        <f t="shared" si="278"/>
        <v>33</v>
      </c>
      <c r="AJ1008" s="90">
        <f t="shared" si="279"/>
        <v>2021</v>
      </c>
      <c r="AK1008" s="90" t="str">
        <f t="shared" si="280"/>
        <v/>
      </c>
      <c r="AL1008" s="91">
        <f>IF(AK1008="Adjust",(_xlfn.XLOOKUP(A1008,'Adj factor'!A:A,'Adj factor'!I:I,,0)*AI1008),'Master DataSheet'!AI1008)</f>
        <v>33</v>
      </c>
      <c r="AM1008" s="91">
        <f t="shared" si="281"/>
        <v>33</v>
      </c>
      <c r="AN1008" s="92" t="str">
        <f t="shared" si="282"/>
        <v>Increasing</v>
      </c>
      <c r="AO1008" s="93">
        <f>VLOOKUP(B1008,'Growthrates source'!A$2:H$49,8,FALSE)</f>
        <v>-1.0198610590244073E-2</v>
      </c>
      <c r="AP1008" s="93">
        <f>VLOOKUP(B1008,'Growthrates source'!A$2:I$49,9,FALSE)</f>
        <v>0.13933439758107946</v>
      </c>
      <c r="AQ1008" s="86">
        <f t="shared" si="283"/>
        <v>0</v>
      </c>
      <c r="AR1008" s="86">
        <f t="shared" si="284"/>
        <v>0</v>
      </c>
      <c r="AS1008" s="94">
        <f t="shared" si="285"/>
        <v>0</v>
      </c>
      <c r="AT1008" s="94">
        <f t="shared" si="286"/>
        <v>3.1068717914558293E-2</v>
      </c>
      <c r="AU1008" s="94">
        <f t="shared" si="287"/>
        <v>3.7293620073053674E-2</v>
      </c>
    </row>
    <row r="1009" spans="1:48" x14ac:dyDescent="0.3">
      <c r="A1009" s="85" t="str">
        <f>_xlfn.XLOOKUP(B1009,'Country codes &amp; Data sources'!G:G,'Country codes &amp; Data sources'!H:H,,0)</f>
        <v>Togo</v>
      </c>
      <c r="B1009" s="85" t="s">
        <v>195</v>
      </c>
      <c r="C1009" s="86">
        <v>6926657.5</v>
      </c>
      <c r="D1009" s="85" t="s">
        <v>87</v>
      </c>
      <c r="E1009" s="87">
        <v>0</v>
      </c>
      <c r="F1009" s="88">
        <v>7106229</v>
      </c>
      <c r="G1009" s="87">
        <v>0</v>
      </c>
      <c r="I1009" s="87">
        <v>0</v>
      </c>
      <c r="K1009" s="87">
        <v>0</v>
      </c>
      <c r="M1009" s="87">
        <v>0</v>
      </c>
      <c r="O1009" s="87">
        <v>0</v>
      </c>
      <c r="P1009" s="88">
        <v>8046679</v>
      </c>
      <c r="Q1009" s="87">
        <v>0</v>
      </c>
      <c r="R1009" s="87">
        <f t="shared" si="270"/>
        <v>987</v>
      </c>
      <c r="T1009" s="87">
        <v>0</v>
      </c>
      <c r="V1009" s="87">
        <v>0</v>
      </c>
      <c r="X1009" s="87">
        <v>0</v>
      </c>
      <c r="Y1009" s="88">
        <v>8848698.5000000019</v>
      </c>
      <c r="Z1009" s="87">
        <v>0</v>
      </c>
      <c r="AA1009" s="87">
        <v>987</v>
      </c>
      <c r="AB1009" s="89">
        <f t="shared" si="271"/>
        <v>0</v>
      </c>
      <c r="AC1009" s="89">
        <f t="shared" si="272"/>
        <v>0</v>
      </c>
      <c r="AD1009" s="89">
        <f t="shared" si="273"/>
        <v>0</v>
      </c>
      <c r="AE1009" s="90">
        <f t="shared" si="274"/>
        <v>0</v>
      </c>
      <c r="AF1009" s="90" t="str">
        <f t="shared" si="275"/>
        <v/>
      </c>
      <c r="AG1009" s="90">
        <f t="shared" si="276"/>
        <v>987</v>
      </c>
      <c r="AH1009" s="90" t="str">
        <f t="shared" si="277"/>
        <v>2018 (triag)</v>
      </c>
      <c r="AI1009" s="90">
        <f t="shared" si="278"/>
        <v>987</v>
      </c>
      <c r="AJ1009" s="90" t="str">
        <f t="shared" si="279"/>
        <v>2018 (triag)</v>
      </c>
      <c r="AK1009" s="90" t="str">
        <f t="shared" si="280"/>
        <v/>
      </c>
      <c r="AL1009" s="91">
        <f>IF(AK1009="Adjust",(_xlfn.XLOOKUP(A1009,'Adj factor'!A:A,'Adj factor'!I:I,,0)*AI1009),'Master DataSheet'!AI1009)</f>
        <v>987</v>
      </c>
      <c r="AM1009" s="91">
        <f t="shared" si="281"/>
        <v>987</v>
      </c>
      <c r="AN1009" s="92" t="str">
        <f t="shared" si="282"/>
        <v>No change</v>
      </c>
      <c r="AO1009" s="93">
        <f>VLOOKUP(B1009,'Growthrates source'!A$2:H$49,8,FALSE)</f>
        <v>-1.0198610590244073E-2</v>
      </c>
      <c r="AP1009" s="93">
        <f>VLOOKUP(B1009,'Growthrates source'!A$2:I$49,9,FALSE)</f>
        <v>0.13933439758107946</v>
      </c>
      <c r="AQ1009" s="86">
        <f t="shared" si="283"/>
        <v>1038.6354801941141</v>
      </c>
      <c r="AR1009" s="86">
        <f t="shared" si="284"/>
        <v>1499.1794921225564</v>
      </c>
      <c r="AS1009" s="94">
        <f t="shared" si="285"/>
        <v>0</v>
      </c>
      <c r="AT1009" s="94">
        <f t="shared" si="286"/>
        <v>1.2265929832667612</v>
      </c>
      <c r="AU1009" s="94">
        <f t="shared" si="287"/>
        <v>1.1154182730940598</v>
      </c>
    </row>
    <row r="1010" spans="1:48" x14ac:dyDescent="0.3">
      <c r="A1010" s="85" t="str">
        <f>_xlfn.XLOOKUP(B1010,'Country codes &amp; Data sources'!G:G,'Country codes &amp; Data sources'!H:H,,0)</f>
        <v>Tanzania</v>
      </c>
      <c r="B1010" s="85" t="s">
        <v>197</v>
      </c>
      <c r="C1010" s="86">
        <v>47786137.499999993</v>
      </c>
      <c r="D1010" s="85" t="s">
        <v>321</v>
      </c>
      <c r="E1010" s="87">
        <v>2962</v>
      </c>
      <c r="F1010" s="88">
        <v>49253643.5</v>
      </c>
      <c r="G1010" s="87">
        <v>0</v>
      </c>
      <c r="H1010" s="87">
        <v>50814551.500000022</v>
      </c>
      <c r="I1010" s="87">
        <v>6036</v>
      </c>
      <c r="J1010" s="87">
        <v>52542823.5</v>
      </c>
      <c r="K1010" s="87">
        <v>0</v>
      </c>
      <c r="L1010" s="87">
        <v>54401801.500000007</v>
      </c>
      <c r="M1010" s="87">
        <v>67</v>
      </c>
      <c r="N1010" s="87">
        <v>56267032.000000007</v>
      </c>
      <c r="O1010" s="87">
        <v>0</v>
      </c>
      <c r="P1010" s="88">
        <v>58090443.000000007</v>
      </c>
      <c r="Q1010" s="87">
        <v>5770</v>
      </c>
      <c r="R1010" s="87">
        <f t="shared" si="270"/>
        <v>5770</v>
      </c>
      <c r="S1010" s="87">
        <v>59872579</v>
      </c>
      <c r="T1010" s="87">
        <v>0</v>
      </c>
      <c r="U1010" s="87">
        <v>61704517.99999997</v>
      </c>
      <c r="V1010" s="87">
        <v>0</v>
      </c>
      <c r="W1010" s="87">
        <v>63588333.999999993</v>
      </c>
      <c r="X1010" s="87">
        <v>0</v>
      </c>
      <c r="Y1010" s="88">
        <v>65497748.000000045</v>
      </c>
      <c r="Z1010" s="87">
        <v>17386</v>
      </c>
      <c r="AA1010" s="87">
        <v>2885</v>
      </c>
      <c r="AB1010" s="89">
        <f t="shared" si="271"/>
        <v>6036</v>
      </c>
      <c r="AC1010" s="89">
        <f t="shared" si="272"/>
        <v>5770</v>
      </c>
      <c r="AD1010" s="89">
        <f t="shared" si="273"/>
        <v>17386</v>
      </c>
      <c r="AE1010" s="90">
        <f t="shared" si="274"/>
        <v>2962</v>
      </c>
      <c r="AF1010" s="90">
        <f t="shared" si="275"/>
        <v>2012</v>
      </c>
      <c r="AG1010" s="90">
        <f t="shared" si="276"/>
        <v>5770</v>
      </c>
      <c r="AH1010" s="90">
        <f t="shared" si="277"/>
        <v>2018</v>
      </c>
      <c r="AI1010" s="90">
        <f t="shared" si="278"/>
        <v>17386</v>
      </c>
      <c r="AJ1010" s="90">
        <f t="shared" si="279"/>
        <v>2022</v>
      </c>
      <c r="AK1010" s="90" t="str">
        <f t="shared" si="280"/>
        <v/>
      </c>
      <c r="AL1010" s="91">
        <f>IF(AK1010="Adjust",(_xlfn.XLOOKUP(A1010,'Adj factor'!A:A,'Adj factor'!I:I,,0)*AI1010),'Master DataSheet'!AI1010)</f>
        <v>17386</v>
      </c>
      <c r="AM1010" s="91">
        <f t="shared" si="281"/>
        <v>17386</v>
      </c>
      <c r="AN1010" s="92" t="str">
        <f t="shared" si="282"/>
        <v>Increasing</v>
      </c>
      <c r="AO1010" s="93">
        <f>VLOOKUP(B1010,'Growthrates source'!A$2:H$49,8,FALSE)</f>
        <v>0.14011618556211447</v>
      </c>
      <c r="AP1010" s="93">
        <f>VLOOKUP(B1010,'Growthrates source'!A$2:I$49,9,FALSE)</f>
        <v>5.4673730437993617E-2</v>
      </c>
      <c r="AQ1010" s="86">
        <f t="shared" si="283"/>
        <v>1431.8165777191211</v>
      </c>
      <c r="AR1010" s="86">
        <f t="shared" si="284"/>
        <v>3399.2203322246123</v>
      </c>
      <c r="AS1010" s="94">
        <f t="shared" si="285"/>
        <v>0.60137683012222232</v>
      </c>
      <c r="AT1010" s="94">
        <f t="shared" si="286"/>
        <v>0.99327870507029858</v>
      </c>
      <c r="AU1010" s="94">
        <f t="shared" si="287"/>
        <v>2.6544424092260375</v>
      </c>
    </row>
    <row r="1011" spans="1:48" x14ac:dyDescent="0.3">
      <c r="A1011" s="85" t="str">
        <f>_xlfn.XLOOKUP(B1011,'Country codes &amp; Data sources'!G:G,'Country codes &amp; Data sources'!H:H,,0)</f>
        <v>Tanzania</v>
      </c>
      <c r="B1011" s="85" t="s">
        <v>197</v>
      </c>
      <c r="C1011" s="86">
        <v>47786138.5</v>
      </c>
      <c r="D1011" s="85" t="s">
        <v>322</v>
      </c>
      <c r="E1011" s="87">
        <v>41600</v>
      </c>
      <c r="F1011" s="88">
        <v>49253643.5</v>
      </c>
      <c r="G1011" s="87">
        <v>0</v>
      </c>
      <c r="I1011" s="87">
        <v>43104</v>
      </c>
      <c r="K1011" s="87">
        <v>0</v>
      </c>
      <c r="M1011" s="87">
        <v>0</v>
      </c>
      <c r="O1011" s="87">
        <v>63880</v>
      </c>
      <c r="P1011" s="88">
        <v>58090443.000000007</v>
      </c>
      <c r="Q1011" s="87">
        <v>63880</v>
      </c>
      <c r="R1011" s="87">
        <f t="shared" si="270"/>
        <v>63880</v>
      </c>
      <c r="T1011" s="87">
        <v>0</v>
      </c>
      <c r="V1011" s="87">
        <v>0</v>
      </c>
      <c r="X1011" s="87">
        <v>0</v>
      </c>
      <c r="Y1011" s="88">
        <v>65497748.000000045</v>
      </c>
      <c r="Z1011" s="87">
        <v>0</v>
      </c>
      <c r="AA1011" s="87">
        <v>31940</v>
      </c>
      <c r="AB1011" s="89">
        <f t="shared" si="271"/>
        <v>43104</v>
      </c>
      <c r="AC1011" s="89">
        <f t="shared" si="272"/>
        <v>63880</v>
      </c>
      <c r="AD1011" s="89">
        <f t="shared" si="273"/>
        <v>0</v>
      </c>
      <c r="AE1011" s="90">
        <f t="shared" si="274"/>
        <v>41600</v>
      </c>
      <c r="AF1011" s="90">
        <f t="shared" si="275"/>
        <v>2012</v>
      </c>
      <c r="AG1011" s="90">
        <f t="shared" si="276"/>
        <v>63880</v>
      </c>
      <c r="AH1011" s="90">
        <f t="shared" si="277"/>
        <v>2017</v>
      </c>
      <c r="AI1011" s="90">
        <f t="shared" si="278"/>
        <v>63880</v>
      </c>
      <c r="AJ1011" s="90">
        <f t="shared" si="279"/>
        <v>2017</v>
      </c>
      <c r="AK1011" s="90" t="str">
        <f t="shared" si="280"/>
        <v/>
      </c>
      <c r="AL1011" s="91">
        <f>IF(AK1011="Adjust",(_xlfn.XLOOKUP(A1011,'Adj factor'!A:A,'Adj factor'!I:I,,0)*AI1011),'Master DataSheet'!AI1011)</f>
        <v>63880</v>
      </c>
      <c r="AM1011" s="91">
        <f t="shared" si="281"/>
        <v>63880</v>
      </c>
      <c r="AN1011" s="92" t="str">
        <f t="shared" si="282"/>
        <v>No change</v>
      </c>
      <c r="AO1011" s="93">
        <f>VLOOKUP(B1011,'Growthrates source'!A$2:H$49,8,FALSE)</f>
        <v>0.14011618556211447</v>
      </c>
      <c r="AP1011" s="93">
        <f>VLOOKUP(B1011,'Growthrates source'!A$2:I$49,9,FALSE)</f>
        <v>5.4673730437993617E-2</v>
      </c>
      <c r="AQ1011" s="86">
        <f t="shared" si="283"/>
        <v>15851.723220918104</v>
      </c>
      <c r="AR1011" s="86">
        <f t="shared" si="284"/>
        <v>37632.962707540421</v>
      </c>
      <c r="AS1011" s="94">
        <f t="shared" si="285"/>
        <v>8.4460756695085912</v>
      </c>
      <c r="AT1011" s="94">
        <f t="shared" si="286"/>
        <v>10.99664535180081</v>
      </c>
      <c r="AU1011" s="94">
        <f t="shared" si="287"/>
        <v>9.7530070804877074</v>
      </c>
    </row>
    <row r="1012" spans="1:48" x14ac:dyDescent="0.3">
      <c r="A1012" s="85" t="str">
        <f>_xlfn.XLOOKUP(B1012,'Country codes &amp; Data sources'!G:G,'Country codes &amp; Data sources'!H:H,,0)</f>
        <v>Tanzania</v>
      </c>
      <c r="B1012" s="85" t="s">
        <v>197</v>
      </c>
      <c r="C1012" s="86">
        <v>47786139.5</v>
      </c>
      <c r="D1012" s="85" t="s">
        <v>323</v>
      </c>
      <c r="E1012" s="87">
        <v>0</v>
      </c>
      <c r="F1012" s="88">
        <v>49253643.5</v>
      </c>
      <c r="G1012" s="87">
        <v>0</v>
      </c>
      <c r="I1012" s="87">
        <v>0</v>
      </c>
      <c r="K1012" s="87">
        <v>0</v>
      </c>
      <c r="M1012" s="87">
        <v>0</v>
      </c>
      <c r="O1012" s="87">
        <v>0</v>
      </c>
      <c r="P1012" s="88">
        <v>58090443.000000007</v>
      </c>
      <c r="Q1012" s="87">
        <v>0</v>
      </c>
      <c r="R1012" s="87">
        <f t="shared" si="270"/>
        <v>0</v>
      </c>
      <c r="T1012" s="87">
        <v>0</v>
      </c>
      <c r="V1012" s="87">
        <v>0</v>
      </c>
      <c r="X1012" s="87">
        <v>0</v>
      </c>
      <c r="Y1012" s="88">
        <v>65497748.000000045</v>
      </c>
      <c r="Z1012" s="87">
        <v>0</v>
      </c>
      <c r="AA1012" s="87">
        <v>0</v>
      </c>
      <c r="AB1012" s="89">
        <f t="shared" si="271"/>
        <v>0</v>
      </c>
      <c r="AC1012" s="89">
        <f t="shared" si="272"/>
        <v>0</v>
      </c>
      <c r="AD1012" s="89">
        <f t="shared" si="273"/>
        <v>0</v>
      </c>
      <c r="AE1012" s="90">
        <f t="shared" si="274"/>
        <v>0</v>
      </c>
      <c r="AF1012" s="90" t="str">
        <f t="shared" si="275"/>
        <v/>
      </c>
      <c r="AG1012" s="90">
        <f t="shared" si="276"/>
        <v>0</v>
      </c>
      <c r="AH1012" s="90" t="str">
        <f t="shared" si="277"/>
        <v/>
      </c>
      <c r="AI1012" s="90">
        <f t="shared" si="278"/>
        <v>0</v>
      </c>
      <c r="AJ1012" s="90" t="str">
        <f t="shared" si="279"/>
        <v/>
      </c>
      <c r="AK1012" s="90" t="str">
        <f t="shared" si="280"/>
        <v/>
      </c>
      <c r="AL1012" s="91">
        <f>IF(AK1012="Adjust",(_xlfn.XLOOKUP(A1012,'Adj factor'!A:A,'Adj factor'!I:I,,0)*AI1012),'Master DataSheet'!AI1012)</f>
        <v>0</v>
      </c>
      <c r="AM1012" s="91">
        <f t="shared" si="281"/>
        <v>0</v>
      </c>
      <c r="AN1012" s="92" t="str">
        <f t="shared" si="282"/>
        <v>No change</v>
      </c>
      <c r="AO1012" s="93">
        <f>VLOOKUP(B1012,'Growthrates source'!A$2:H$49,8,FALSE)</f>
        <v>0.14011618556211447</v>
      </c>
      <c r="AP1012" s="93">
        <f>VLOOKUP(B1012,'Growthrates source'!A$2:I$49,9,FALSE)</f>
        <v>5.4673730437993617E-2</v>
      </c>
      <c r="AQ1012" s="86">
        <f t="shared" si="283"/>
        <v>0</v>
      </c>
      <c r="AR1012" s="86">
        <f t="shared" si="284"/>
        <v>0</v>
      </c>
      <c r="AS1012" s="94">
        <f t="shared" si="285"/>
        <v>0</v>
      </c>
      <c r="AT1012" s="94">
        <f t="shared" si="286"/>
        <v>0</v>
      </c>
      <c r="AU1012" s="94">
        <f t="shared" si="287"/>
        <v>0</v>
      </c>
    </row>
    <row r="1013" spans="1:48" s="95" customFormat="1" x14ac:dyDescent="0.3">
      <c r="A1013" s="95" t="str">
        <f>_xlfn.XLOOKUP(B1013,'Country codes &amp; Data sources'!G:G,'Country codes &amp; Data sources'!H:H,,0)</f>
        <v>Tanzania</v>
      </c>
      <c r="B1013" s="95" t="s">
        <v>197</v>
      </c>
      <c r="C1013" s="60">
        <v>47786140.5</v>
      </c>
      <c r="D1013" s="95" t="s">
        <v>324</v>
      </c>
      <c r="E1013" s="96">
        <v>20962</v>
      </c>
      <c r="F1013" s="97">
        <v>49253643.5</v>
      </c>
      <c r="G1013" s="96">
        <v>0</v>
      </c>
      <c r="H1013" s="96"/>
      <c r="I1013" s="96">
        <v>0</v>
      </c>
      <c r="J1013" s="96"/>
      <c r="K1013" s="96">
        <v>53</v>
      </c>
      <c r="L1013" s="96"/>
      <c r="M1013" s="96">
        <v>1200</v>
      </c>
      <c r="N1013" s="96"/>
      <c r="O1013" s="96">
        <v>1223</v>
      </c>
      <c r="P1013" s="97">
        <v>58090443.000000007</v>
      </c>
      <c r="Q1013" s="96">
        <v>378</v>
      </c>
      <c r="R1013" s="96">
        <f t="shared" si="270"/>
        <v>1845</v>
      </c>
      <c r="S1013" s="96"/>
      <c r="T1013" s="96">
        <v>0</v>
      </c>
      <c r="U1013" s="96"/>
      <c r="V1013" s="96">
        <v>0</v>
      </c>
      <c r="W1013" s="96"/>
      <c r="X1013" s="96">
        <v>16</v>
      </c>
      <c r="Y1013" s="97">
        <v>65497748.000000045</v>
      </c>
      <c r="Z1013" s="96">
        <v>656</v>
      </c>
      <c r="AA1013" s="96">
        <v>1845</v>
      </c>
      <c r="AB1013" s="98">
        <f t="shared" si="271"/>
        <v>20962</v>
      </c>
      <c r="AC1013" s="98">
        <f t="shared" si="272"/>
        <v>1223</v>
      </c>
      <c r="AD1013" s="98">
        <f t="shared" si="273"/>
        <v>656</v>
      </c>
      <c r="AE1013" s="99">
        <f t="shared" si="274"/>
        <v>20962</v>
      </c>
      <c r="AF1013" s="99">
        <f t="shared" si="275"/>
        <v>2012</v>
      </c>
      <c r="AG1013" s="99">
        <f t="shared" si="276"/>
        <v>1845</v>
      </c>
      <c r="AH1013" s="99" t="str">
        <f t="shared" si="277"/>
        <v>2018 (triag)</v>
      </c>
      <c r="AI1013" s="99">
        <f t="shared" si="278"/>
        <v>656</v>
      </c>
      <c r="AJ1013" s="99">
        <f t="shared" si="279"/>
        <v>2022</v>
      </c>
      <c r="AK1013" s="99" t="str">
        <f t="shared" si="280"/>
        <v>Adjust</v>
      </c>
      <c r="AL1013" s="61">
        <f>IF(AK1013="Adjust",(_xlfn.XLOOKUP(A1013,'Adj factor'!A:A,'Adj factor'!I:I,,0)*AI1013),'Master DataSheet'!AI1013)</f>
        <v>849.84951128761736</v>
      </c>
      <c r="AM1013" s="61">
        <f t="shared" si="281"/>
        <v>1845</v>
      </c>
      <c r="AN1013" s="62" t="str">
        <f t="shared" si="282"/>
        <v>Decreasing</v>
      </c>
      <c r="AO1013" s="100">
        <f>VLOOKUP(B1013,'Growthrates source'!A$2:H$49,8,FALSE)</f>
        <v>0.14011618556211447</v>
      </c>
      <c r="AP1013" s="100">
        <f>VLOOKUP(B1013,'Growthrates source'!A$2:I$49,9,FALSE)</f>
        <v>5.4673730437993617E-2</v>
      </c>
      <c r="AQ1013" s="60">
        <f t="shared" si="283"/>
        <v>915.66779406994056</v>
      </c>
      <c r="AR1013" s="60">
        <f t="shared" si="284"/>
        <v>2173.8514776271786</v>
      </c>
      <c r="AS1013" s="101">
        <f t="shared" si="285"/>
        <v>4.255928802505748</v>
      </c>
      <c r="AT1013" s="102">
        <f t="shared" si="286"/>
        <v>0.31760818212386499</v>
      </c>
      <c r="AU1013" s="102">
        <f t="shared" si="287"/>
        <v>0.28168907425641548</v>
      </c>
      <c r="AV1013" s="117"/>
    </row>
    <row r="1014" spans="1:48" x14ac:dyDescent="0.3">
      <c r="A1014" s="85" t="str">
        <f>_xlfn.XLOOKUP(B1014,'Country codes &amp; Data sources'!G:G,'Country codes &amp; Data sources'!H:H,,0)</f>
        <v>Tanzania</v>
      </c>
      <c r="B1014" s="85" t="s">
        <v>197</v>
      </c>
      <c r="C1014" s="86">
        <v>47786141.5</v>
      </c>
      <c r="D1014" s="85" t="s">
        <v>325</v>
      </c>
      <c r="E1014" s="87">
        <v>9658</v>
      </c>
      <c r="F1014" s="88">
        <v>49253643.5</v>
      </c>
      <c r="G1014" s="87">
        <v>0</v>
      </c>
      <c r="I1014" s="87">
        <v>0</v>
      </c>
      <c r="K1014" s="87">
        <v>0</v>
      </c>
      <c r="M1014" s="87">
        <v>0</v>
      </c>
      <c r="O1014" s="87">
        <v>282</v>
      </c>
      <c r="P1014" s="88">
        <v>58090443.000000007</v>
      </c>
      <c r="Q1014" s="87">
        <v>233</v>
      </c>
      <c r="R1014" s="87">
        <f t="shared" si="270"/>
        <v>682</v>
      </c>
      <c r="T1014" s="87">
        <v>0</v>
      </c>
      <c r="V1014" s="87">
        <v>0</v>
      </c>
      <c r="X1014" s="87">
        <v>18</v>
      </c>
      <c r="Y1014" s="88">
        <v>65497748.000000045</v>
      </c>
      <c r="Z1014" s="87">
        <v>465</v>
      </c>
      <c r="AA1014" s="87">
        <v>682</v>
      </c>
      <c r="AB1014" s="89">
        <f t="shared" si="271"/>
        <v>9658</v>
      </c>
      <c r="AC1014" s="89">
        <f t="shared" si="272"/>
        <v>282</v>
      </c>
      <c r="AD1014" s="89">
        <f t="shared" si="273"/>
        <v>465</v>
      </c>
      <c r="AE1014" s="90">
        <f t="shared" si="274"/>
        <v>9658</v>
      </c>
      <c r="AF1014" s="90">
        <f t="shared" si="275"/>
        <v>2012</v>
      </c>
      <c r="AG1014" s="90">
        <f t="shared" si="276"/>
        <v>682</v>
      </c>
      <c r="AH1014" s="90" t="str">
        <f t="shared" si="277"/>
        <v>2018 (triag)</v>
      </c>
      <c r="AI1014" s="90">
        <f t="shared" si="278"/>
        <v>465</v>
      </c>
      <c r="AJ1014" s="90">
        <f t="shared" si="279"/>
        <v>2022</v>
      </c>
      <c r="AK1014" s="90" t="str">
        <f t="shared" si="280"/>
        <v>Adjust</v>
      </c>
      <c r="AL1014" s="91">
        <f>IF(AK1014="Adjust",(_xlfn.XLOOKUP(A1014,'Adj factor'!A:A,'Adj factor'!I:I,,0)*AI1014),'Master DataSheet'!AI1014)</f>
        <v>602.40857126332628</v>
      </c>
      <c r="AM1014" s="91">
        <f t="shared" si="281"/>
        <v>682</v>
      </c>
      <c r="AN1014" s="92" t="str">
        <f t="shared" si="282"/>
        <v>Decreasing</v>
      </c>
      <c r="AO1014" s="93">
        <f>VLOOKUP(B1014,'Growthrates source'!A$2:H$49,8,FALSE)</f>
        <v>0.14011618556211447</v>
      </c>
      <c r="AP1014" s="93">
        <f>VLOOKUP(B1014,'Growthrates source'!A$2:I$49,9,FALSE)</f>
        <v>5.4673730437993617E-2</v>
      </c>
      <c r="AQ1014" s="86">
        <f t="shared" si="283"/>
        <v>338.47449081609727</v>
      </c>
      <c r="AR1014" s="86">
        <f t="shared" si="284"/>
        <v>803.5591911879327</v>
      </c>
      <c r="AS1014" s="94">
        <f t="shared" si="285"/>
        <v>1.9608701638488937</v>
      </c>
      <c r="AT1014" s="94">
        <f t="shared" si="286"/>
        <v>0.11740313290432298</v>
      </c>
      <c r="AU1014" s="94">
        <f t="shared" si="287"/>
        <v>0.10412571742161265</v>
      </c>
    </row>
    <row r="1015" spans="1:48" x14ac:dyDescent="0.3">
      <c r="A1015" s="85" t="str">
        <f>_xlfn.XLOOKUP(B1015,'Country codes &amp; Data sources'!G:G,'Country codes &amp; Data sources'!H:H,,0)</f>
        <v>Tanzania</v>
      </c>
      <c r="B1015" s="85" t="s">
        <v>197</v>
      </c>
      <c r="C1015" s="86">
        <v>47786142.5</v>
      </c>
      <c r="D1015" s="85" t="s">
        <v>127</v>
      </c>
      <c r="E1015" s="87">
        <v>0</v>
      </c>
      <c r="F1015" s="88">
        <v>49253643.5</v>
      </c>
      <c r="G1015" s="87">
        <v>0</v>
      </c>
      <c r="I1015" s="87">
        <v>0</v>
      </c>
      <c r="K1015" s="87">
        <v>0</v>
      </c>
      <c r="M1015" s="87">
        <v>0</v>
      </c>
      <c r="O1015" s="87">
        <v>0</v>
      </c>
      <c r="P1015" s="88">
        <v>58090443.000000007</v>
      </c>
      <c r="Q1015" s="87">
        <v>0</v>
      </c>
      <c r="R1015" s="87">
        <f t="shared" si="270"/>
        <v>0</v>
      </c>
      <c r="T1015" s="87">
        <v>0</v>
      </c>
      <c r="V1015" s="87">
        <v>0</v>
      </c>
      <c r="X1015" s="87">
        <v>0</v>
      </c>
      <c r="Y1015" s="88">
        <v>65497748.000000045</v>
      </c>
      <c r="Z1015" s="87">
        <v>20737</v>
      </c>
      <c r="AA1015" s="87">
        <v>0</v>
      </c>
      <c r="AB1015" s="89">
        <f t="shared" si="271"/>
        <v>0</v>
      </c>
      <c r="AC1015" s="89">
        <f t="shared" si="272"/>
        <v>0</v>
      </c>
      <c r="AD1015" s="89">
        <f t="shared" si="273"/>
        <v>20737</v>
      </c>
      <c r="AE1015" s="90">
        <f t="shared" si="274"/>
        <v>0</v>
      </c>
      <c r="AF1015" s="90" t="str">
        <f t="shared" si="275"/>
        <v/>
      </c>
      <c r="AG1015" s="90">
        <f t="shared" si="276"/>
        <v>0</v>
      </c>
      <c r="AH1015" s="90" t="str">
        <f t="shared" si="277"/>
        <v/>
      </c>
      <c r="AI1015" s="90">
        <f t="shared" si="278"/>
        <v>20737</v>
      </c>
      <c r="AJ1015" s="90">
        <f t="shared" si="279"/>
        <v>2022</v>
      </c>
      <c r="AK1015" s="90" t="str">
        <f t="shared" si="280"/>
        <v/>
      </c>
      <c r="AL1015" s="91">
        <f>IF(AK1015="Adjust",(_xlfn.XLOOKUP(A1015,'Adj factor'!A:A,'Adj factor'!I:I,,0)*AI1015),'Master DataSheet'!AI1015)</f>
        <v>20737</v>
      </c>
      <c r="AM1015" s="91">
        <f t="shared" si="281"/>
        <v>20737</v>
      </c>
      <c r="AN1015" s="92" t="str">
        <f t="shared" si="282"/>
        <v>Increasing</v>
      </c>
      <c r="AO1015" s="93">
        <f>VLOOKUP(B1015,'Growthrates source'!A$2:H$49,8,FALSE)</f>
        <v>0.14011618556211447</v>
      </c>
      <c r="AP1015" s="93">
        <f>VLOOKUP(B1015,'Growthrates source'!A$2:I$49,9,FALSE)</f>
        <v>5.4673730437993617E-2</v>
      </c>
      <c r="AQ1015" s="86">
        <f t="shared" si="283"/>
        <v>0</v>
      </c>
      <c r="AR1015" s="86">
        <f t="shared" si="284"/>
        <v>0</v>
      </c>
      <c r="AS1015" s="94">
        <f t="shared" si="285"/>
        <v>0</v>
      </c>
      <c r="AT1015" s="94">
        <f t="shared" si="286"/>
        <v>0</v>
      </c>
      <c r="AU1015" s="94">
        <f t="shared" si="287"/>
        <v>3.166063053038096</v>
      </c>
    </row>
    <row r="1016" spans="1:48" x14ac:dyDescent="0.3">
      <c r="A1016" s="85" t="str">
        <f>_xlfn.XLOOKUP(B1016,'Country codes &amp; Data sources'!G:G,'Country codes &amp; Data sources'!H:H,,0)</f>
        <v>Tanzania</v>
      </c>
      <c r="B1016" s="85" t="s">
        <v>197</v>
      </c>
      <c r="C1016" s="86">
        <v>47786143.5</v>
      </c>
      <c r="D1016" s="85" t="s">
        <v>61</v>
      </c>
      <c r="E1016" s="87">
        <v>0</v>
      </c>
      <c r="F1016" s="88">
        <v>49253643.5</v>
      </c>
      <c r="G1016" s="87">
        <v>0</v>
      </c>
      <c r="I1016" s="87">
        <v>0</v>
      </c>
      <c r="K1016" s="87">
        <v>0</v>
      </c>
      <c r="M1016" s="87">
        <v>0</v>
      </c>
      <c r="O1016" s="87">
        <v>49</v>
      </c>
      <c r="P1016" s="88">
        <v>58090443.000000007</v>
      </c>
      <c r="Q1016" s="87">
        <v>855</v>
      </c>
      <c r="R1016" s="87">
        <f t="shared" si="270"/>
        <v>855</v>
      </c>
      <c r="T1016" s="87">
        <v>0</v>
      </c>
      <c r="V1016" s="87">
        <v>0</v>
      </c>
      <c r="X1016" s="87">
        <v>0</v>
      </c>
      <c r="Y1016" s="88">
        <v>65497748.000000045</v>
      </c>
      <c r="Z1016" s="87">
        <v>65</v>
      </c>
      <c r="AA1016" s="87">
        <v>148</v>
      </c>
      <c r="AB1016" s="89">
        <f t="shared" si="271"/>
        <v>0</v>
      </c>
      <c r="AC1016" s="89">
        <f t="shared" si="272"/>
        <v>855</v>
      </c>
      <c r="AD1016" s="89">
        <f t="shared" si="273"/>
        <v>65</v>
      </c>
      <c r="AE1016" s="90">
        <f t="shared" si="274"/>
        <v>0</v>
      </c>
      <c r="AF1016" s="90" t="str">
        <f t="shared" si="275"/>
        <v/>
      </c>
      <c r="AG1016" s="90">
        <f t="shared" si="276"/>
        <v>855</v>
      </c>
      <c r="AH1016" s="90">
        <f t="shared" si="277"/>
        <v>2018</v>
      </c>
      <c r="AI1016" s="90">
        <f t="shared" si="278"/>
        <v>65</v>
      </c>
      <c r="AJ1016" s="90">
        <f t="shared" si="279"/>
        <v>2022</v>
      </c>
      <c r="AK1016" s="90" t="str">
        <f t="shared" si="280"/>
        <v>Adjust</v>
      </c>
      <c r="AL1016" s="91">
        <f>IF(AK1016="Adjust",(_xlfn.XLOOKUP(A1016,'Adj factor'!A:A,'Adj factor'!I:I,,0)*AI1016),'Master DataSheet'!AI1016)</f>
        <v>84.207649746486481</v>
      </c>
      <c r="AM1016" s="91">
        <f t="shared" si="281"/>
        <v>855</v>
      </c>
      <c r="AN1016" s="92" t="str">
        <f t="shared" si="282"/>
        <v>Decreasing</v>
      </c>
      <c r="AO1016" s="93">
        <f>VLOOKUP(B1016,'Growthrates source'!A$2:H$49,8,FALSE)</f>
        <v>0.14011618556211447</v>
      </c>
      <c r="AP1016" s="93">
        <f>VLOOKUP(B1016,'Growthrates source'!A$2:I$49,9,FALSE)</f>
        <v>5.4673730437993617E-2</v>
      </c>
      <c r="AQ1016" s="86">
        <f t="shared" si="283"/>
        <v>73.451942288537239</v>
      </c>
      <c r="AR1016" s="86">
        <f t="shared" si="284"/>
        <v>174.379413923481</v>
      </c>
      <c r="AS1016" s="94">
        <f t="shared" si="285"/>
        <v>0</v>
      </c>
      <c r="AT1016" s="94">
        <f t="shared" si="286"/>
        <v>0.14718427952081548</v>
      </c>
      <c r="AU1016" s="94">
        <f t="shared" si="287"/>
        <v>0.13053883928955839</v>
      </c>
    </row>
    <row r="1017" spans="1:48" x14ac:dyDescent="0.3">
      <c r="A1017" s="85" t="str">
        <f>_xlfn.XLOOKUP(B1017,'Country codes &amp; Data sources'!G:G,'Country codes &amp; Data sources'!H:H,,0)</f>
        <v>Tanzania</v>
      </c>
      <c r="B1017" s="85" t="s">
        <v>197</v>
      </c>
      <c r="C1017" s="86">
        <v>47786144.5</v>
      </c>
      <c r="D1017" s="85" t="s">
        <v>62</v>
      </c>
      <c r="E1017" s="87">
        <v>3255</v>
      </c>
      <c r="F1017" s="88">
        <v>49253643.5</v>
      </c>
      <c r="G1017" s="87">
        <v>0</v>
      </c>
      <c r="I1017" s="87">
        <v>0</v>
      </c>
      <c r="K1017" s="87">
        <v>0</v>
      </c>
      <c r="M1017" s="87">
        <v>0</v>
      </c>
      <c r="O1017" s="87">
        <v>566</v>
      </c>
      <c r="P1017" s="88">
        <v>58090443.000000007</v>
      </c>
      <c r="Q1017" s="87">
        <v>1905</v>
      </c>
      <c r="R1017" s="87">
        <f t="shared" si="270"/>
        <v>1905</v>
      </c>
      <c r="T1017" s="87">
        <v>0</v>
      </c>
      <c r="V1017" s="87">
        <v>0</v>
      </c>
      <c r="X1017" s="87">
        <v>0</v>
      </c>
      <c r="Y1017" s="88">
        <v>65497748.000000045</v>
      </c>
      <c r="Z1017" s="87">
        <v>929</v>
      </c>
      <c r="AA1017" s="87">
        <v>578</v>
      </c>
      <c r="AB1017" s="89">
        <f t="shared" si="271"/>
        <v>3255</v>
      </c>
      <c r="AC1017" s="89">
        <f t="shared" si="272"/>
        <v>1905</v>
      </c>
      <c r="AD1017" s="89">
        <f t="shared" si="273"/>
        <v>929</v>
      </c>
      <c r="AE1017" s="90">
        <f t="shared" si="274"/>
        <v>3255</v>
      </c>
      <c r="AF1017" s="90">
        <f t="shared" si="275"/>
        <v>2012</v>
      </c>
      <c r="AG1017" s="90">
        <f t="shared" si="276"/>
        <v>1905</v>
      </c>
      <c r="AH1017" s="90">
        <f t="shared" si="277"/>
        <v>2018</v>
      </c>
      <c r="AI1017" s="90">
        <f t="shared" si="278"/>
        <v>929</v>
      </c>
      <c r="AJ1017" s="90">
        <f t="shared" si="279"/>
        <v>2022</v>
      </c>
      <c r="AK1017" s="90" t="str">
        <f t="shared" si="280"/>
        <v>Adjust</v>
      </c>
      <c r="AL1017" s="91">
        <f>IF(AK1017="Adjust",(_xlfn.XLOOKUP(A1017,'Adj factor'!A:A,'Adj factor'!I:I,,0)*AI1017),'Master DataSheet'!AI1017)</f>
        <v>1203.5216402228605</v>
      </c>
      <c r="AM1017" s="91">
        <f t="shared" si="281"/>
        <v>1905</v>
      </c>
      <c r="AN1017" s="92" t="str">
        <f t="shared" si="282"/>
        <v>Decreasing</v>
      </c>
      <c r="AO1017" s="93">
        <f>VLOOKUP(B1017,'Growthrates source'!A$2:H$49,8,FALSE)</f>
        <v>0.14011618556211447</v>
      </c>
      <c r="AP1017" s="93">
        <f>VLOOKUP(B1017,'Growthrates source'!A$2:I$49,9,FALSE)</f>
        <v>5.4673730437993617E-2</v>
      </c>
      <c r="AQ1017" s="86">
        <f t="shared" si="283"/>
        <v>286.8596124511792</v>
      </c>
      <c r="AR1017" s="86">
        <f t="shared" si="284"/>
        <v>681.02230572818928</v>
      </c>
      <c r="AS1017" s="94">
        <f t="shared" si="285"/>
        <v>0.66086481500602079</v>
      </c>
      <c r="AT1017" s="94">
        <f t="shared" si="286"/>
        <v>0.32793690349374677</v>
      </c>
      <c r="AU1017" s="94">
        <f t="shared" si="287"/>
        <v>0.29084969455743709</v>
      </c>
    </row>
    <row r="1018" spans="1:48" x14ac:dyDescent="0.3">
      <c r="A1018" s="85" t="str">
        <f>_xlfn.XLOOKUP(B1018,'Country codes &amp; Data sources'!G:G,'Country codes &amp; Data sources'!H:H,,0)</f>
        <v>Tanzania</v>
      </c>
      <c r="B1018" s="85" t="s">
        <v>197</v>
      </c>
      <c r="C1018" s="86">
        <v>47786145.5</v>
      </c>
      <c r="D1018" s="85" t="s">
        <v>203</v>
      </c>
      <c r="E1018" s="87">
        <v>0</v>
      </c>
      <c r="F1018" s="88">
        <v>49253643.5</v>
      </c>
      <c r="G1018" s="87">
        <v>0</v>
      </c>
      <c r="I1018" s="87">
        <v>0</v>
      </c>
      <c r="K1018" s="87">
        <v>0</v>
      </c>
      <c r="M1018" s="87">
        <v>0</v>
      </c>
      <c r="O1018" s="87">
        <v>0</v>
      </c>
      <c r="P1018" s="88">
        <v>58090443.000000007</v>
      </c>
      <c r="Q1018" s="87">
        <v>0</v>
      </c>
      <c r="R1018" s="87">
        <f t="shared" si="270"/>
        <v>25803</v>
      </c>
      <c r="T1018" s="87">
        <v>0</v>
      </c>
      <c r="V1018" s="87">
        <v>0</v>
      </c>
      <c r="X1018" s="87">
        <v>0</v>
      </c>
      <c r="Y1018" s="88">
        <v>65497748.000000045</v>
      </c>
      <c r="Z1018" s="87">
        <v>0</v>
      </c>
      <c r="AA1018" s="87">
        <v>25803</v>
      </c>
      <c r="AB1018" s="89">
        <f t="shared" si="271"/>
        <v>0</v>
      </c>
      <c r="AC1018" s="89">
        <f t="shared" si="272"/>
        <v>0</v>
      </c>
      <c r="AD1018" s="89">
        <f t="shared" si="273"/>
        <v>0</v>
      </c>
      <c r="AE1018" s="90">
        <f t="shared" si="274"/>
        <v>0</v>
      </c>
      <c r="AF1018" s="90" t="str">
        <f t="shared" si="275"/>
        <v/>
      </c>
      <c r="AG1018" s="90">
        <f t="shared" si="276"/>
        <v>25803</v>
      </c>
      <c r="AH1018" s="90" t="str">
        <f t="shared" si="277"/>
        <v>2018 (triag)</v>
      </c>
      <c r="AI1018" s="90">
        <f t="shared" si="278"/>
        <v>25803</v>
      </c>
      <c r="AJ1018" s="90" t="str">
        <f t="shared" si="279"/>
        <v>2018 (triag)</v>
      </c>
      <c r="AK1018" s="90" t="str">
        <f t="shared" si="280"/>
        <v/>
      </c>
      <c r="AL1018" s="91">
        <f>IF(AK1018="Adjust",(_xlfn.XLOOKUP(A1018,'Adj factor'!A:A,'Adj factor'!I:I,,0)*AI1018),'Master DataSheet'!AI1018)</f>
        <v>25803</v>
      </c>
      <c r="AM1018" s="91">
        <f t="shared" si="281"/>
        <v>25803</v>
      </c>
      <c r="AN1018" s="92" t="str">
        <f t="shared" si="282"/>
        <v>No change</v>
      </c>
      <c r="AO1018" s="93">
        <f>VLOOKUP(B1018,'Growthrates source'!A$2:H$49,8,FALSE)</f>
        <v>0.14011618556211447</v>
      </c>
      <c r="AP1018" s="93">
        <f>VLOOKUP(B1018,'Growthrates source'!A$2:I$49,9,FALSE)</f>
        <v>5.4673730437993617E-2</v>
      </c>
      <c r="AQ1018" s="86">
        <f t="shared" si="283"/>
        <v>12805.949100480582</v>
      </c>
      <c r="AR1018" s="86">
        <f t="shared" si="284"/>
        <v>30402.108226132295</v>
      </c>
      <c r="AS1018" s="94">
        <f t="shared" si="285"/>
        <v>0</v>
      </c>
      <c r="AT1018" s="94">
        <f t="shared" si="286"/>
        <v>4.4418666251176626</v>
      </c>
      <c r="AU1018" s="94">
        <f t="shared" si="287"/>
        <v>3.9395247604543568</v>
      </c>
    </row>
    <row r="1019" spans="1:48" x14ac:dyDescent="0.3">
      <c r="A1019" s="85" t="str">
        <f>_xlfn.XLOOKUP(B1019,'Country codes &amp; Data sources'!G:G,'Country codes &amp; Data sources'!H:H,,0)</f>
        <v>Tanzania</v>
      </c>
      <c r="B1019" s="85" t="s">
        <v>197</v>
      </c>
      <c r="C1019" s="86">
        <v>47786146.5</v>
      </c>
      <c r="D1019" s="85" t="s">
        <v>204</v>
      </c>
      <c r="E1019" s="87">
        <v>0</v>
      </c>
      <c r="F1019" s="88">
        <v>49253643.5</v>
      </c>
      <c r="G1019" s="87">
        <v>0</v>
      </c>
      <c r="I1019" s="87">
        <v>0</v>
      </c>
      <c r="K1019" s="87">
        <v>0</v>
      </c>
      <c r="M1019" s="87">
        <v>0</v>
      </c>
      <c r="O1019" s="87">
        <v>0</v>
      </c>
      <c r="P1019" s="88">
        <v>58090443.000000007</v>
      </c>
      <c r="Q1019" s="87">
        <v>0</v>
      </c>
      <c r="R1019" s="87">
        <f t="shared" si="270"/>
        <v>633</v>
      </c>
      <c r="T1019" s="87">
        <v>0</v>
      </c>
      <c r="V1019" s="87">
        <v>0</v>
      </c>
      <c r="X1019" s="87">
        <v>0</v>
      </c>
      <c r="Y1019" s="88">
        <v>65497748.000000045</v>
      </c>
      <c r="Z1019" s="87">
        <v>0</v>
      </c>
      <c r="AA1019" s="87">
        <v>633</v>
      </c>
      <c r="AB1019" s="89">
        <f t="shared" si="271"/>
        <v>0</v>
      </c>
      <c r="AC1019" s="89">
        <f t="shared" si="272"/>
        <v>0</v>
      </c>
      <c r="AD1019" s="89">
        <f t="shared" si="273"/>
        <v>0</v>
      </c>
      <c r="AE1019" s="90">
        <f t="shared" si="274"/>
        <v>0</v>
      </c>
      <c r="AF1019" s="90" t="str">
        <f t="shared" si="275"/>
        <v/>
      </c>
      <c r="AG1019" s="90">
        <f t="shared" si="276"/>
        <v>633</v>
      </c>
      <c r="AH1019" s="90" t="str">
        <f t="shared" si="277"/>
        <v>2018 (triag)</v>
      </c>
      <c r="AI1019" s="90">
        <f t="shared" si="278"/>
        <v>633</v>
      </c>
      <c r="AJ1019" s="90" t="str">
        <f t="shared" si="279"/>
        <v>2018 (triag)</v>
      </c>
      <c r="AK1019" s="90" t="str">
        <f t="shared" si="280"/>
        <v/>
      </c>
      <c r="AL1019" s="91">
        <f>IF(AK1019="Adjust",(_xlfn.XLOOKUP(A1019,'Adj factor'!A:A,'Adj factor'!I:I,,0)*AI1019),'Master DataSheet'!AI1019)</f>
        <v>633</v>
      </c>
      <c r="AM1019" s="91">
        <f t="shared" si="281"/>
        <v>633</v>
      </c>
      <c r="AN1019" s="92" t="str">
        <f t="shared" si="282"/>
        <v>No change</v>
      </c>
      <c r="AO1019" s="93">
        <f>VLOOKUP(B1019,'Growthrates source'!A$2:H$49,8,FALSE)</f>
        <v>0.14011618556211447</v>
      </c>
      <c r="AP1019" s="93">
        <f>VLOOKUP(B1019,'Growthrates source'!A$2:I$49,9,FALSE)</f>
        <v>5.4673730437993617E-2</v>
      </c>
      <c r="AQ1019" s="86">
        <f t="shared" si="283"/>
        <v>314.15594235570319</v>
      </c>
      <c r="AR1019" s="86">
        <f t="shared" si="284"/>
        <v>745.82546630786123</v>
      </c>
      <c r="AS1019" s="94">
        <f t="shared" si="285"/>
        <v>0</v>
      </c>
      <c r="AT1019" s="94">
        <f t="shared" si="286"/>
        <v>0.10896801045225286</v>
      </c>
      <c r="AU1019" s="94">
        <f t="shared" si="287"/>
        <v>9.6644544175778307E-2</v>
      </c>
    </row>
    <row r="1020" spans="1:48" x14ac:dyDescent="0.3">
      <c r="A1020" s="85" t="str">
        <f>_xlfn.XLOOKUP(B1020,'Country codes &amp; Data sources'!G:G,'Country codes &amp; Data sources'!H:H,,0)</f>
        <v>Tanzania</v>
      </c>
      <c r="B1020" s="85" t="s">
        <v>197</v>
      </c>
      <c r="C1020" s="86">
        <v>47786147.5</v>
      </c>
      <c r="D1020" s="85" t="s">
        <v>205</v>
      </c>
      <c r="E1020" s="87">
        <v>60</v>
      </c>
      <c r="F1020" s="88">
        <v>49253643.5</v>
      </c>
      <c r="G1020" s="87">
        <v>0</v>
      </c>
      <c r="I1020" s="87">
        <v>0</v>
      </c>
      <c r="K1020" s="87">
        <v>0</v>
      </c>
      <c r="M1020" s="87">
        <v>0</v>
      </c>
      <c r="O1020" s="87">
        <v>0</v>
      </c>
      <c r="P1020" s="88">
        <v>58090443.000000007</v>
      </c>
      <c r="Q1020" s="87">
        <v>89</v>
      </c>
      <c r="R1020" s="87">
        <f t="shared" si="270"/>
        <v>89</v>
      </c>
      <c r="T1020" s="87">
        <v>0</v>
      </c>
      <c r="V1020" s="87">
        <v>0</v>
      </c>
      <c r="X1020" s="87">
        <v>0</v>
      </c>
      <c r="Y1020" s="88">
        <v>65497748.000000045</v>
      </c>
      <c r="Z1020" s="87">
        <v>12</v>
      </c>
      <c r="AA1020" s="87">
        <v>73</v>
      </c>
      <c r="AB1020" s="89">
        <f t="shared" si="271"/>
        <v>60</v>
      </c>
      <c r="AC1020" s="89">
        <f t="shared" si="272"/>
        <v>89</v>
      </c>
      <c r="AD1020" s="89">
        <f t="shared" si="273"/>
        <v>12</v>
      </c>
      <c r="AE1020" s="90">
        <f t="shared" si="274"/>
        <v>60</v>
      </c>
      <c r="AF1020" s="90">
        <f t="shared" si="275"/>
        <v>2012</v>
      </c>
      <c r="AG1020" s="90">
        <f t="shared" si="276"/>
        <v>89</v>
      </c>
      <c r="AH1020" s="90">
        <f t="shared" si="277"/>
        <v>2018</v>
      </c>
      <c r="AI1020" s="90">
        <f t="shared" si="278"/>
        <v>12</v>
      </c>
      <c r="AJ1020" s="90">
        <f t="shared" si="279"/>
        <v>2022</v>
      </c>
      <c r="AK1020" s="90" t="str">
        <f t="shared" si="280"/>
        <v>Adjust</v>
      </c>
      <c r="AL1020" s="91">
        <f>IF(AK1020="Adjust",(_xlfn.XLOOKUP(A1020,'Adj factor'!A:A,'Adj factor'!I:I,,0)*AI1020),'Master DataSheet'!AI1020)</f>
        <v>15.546027645505195</v>
      </c>
      <c r="AM1020" s="91">
        <f t="shared" si="281"/>
        <v>89</v>
      </c>
      <c r="AN1020" s="92" t="str">
        <f t="shared" si="282"/>
        <v>Decreasing</v>
      </c>
      <c r="AO1020" s="93">
        <f>VLOOKUP(B1020,'Growthrates source'!A$2:H$49,8,FALSE)</f>
        <v>0.14011618556211447</v>
      </c>
      <c r="AP1020" s="93">
        <f>VLOOKUP(B1020,'Growthrates source'!A$2:I$49,9,FALSE)</f>
        <v>5.4673730437993617E-2</v>
      </c>
      <c r="AQ1020" s="86">
        <f t="shared" si="283"/>
        <v>36.229674236913638</v>
      </c>
      <c r="AR1020" s="86">
        <f t="shared" si="284"/>
        <v>86.011467678473736</v>
      </c>
      <c r="AS1020" s="94">
        <f t="shared" si="285"/>
        <v>1.2181839907945084E-2</v>
      </c>
      <c r="AT1020" s="94">
        <f t="shared" si="286"/>
        <v>1.5320936698657986E-2</v>
      </c>
      <c r="AU1020" s="94">
        <f t="shared" si="287"/>
        <v>1.3588253446515434E-2</v>
      </c>
    </row>
    <row r="1021" spans="1:48" x14ac:dyDescent="0.3">
      <c r="A1021" s="85" t="str">
        <f>_xlfn.XLOOKUP(B1021,'Country codes &amp; Data sources'!G:G,'Country codes &amp; Data sources'!H:H,,0)</f>
        <v>Tanzania</v>
      </c>
      <c r="B1021" s="85" t="s">
        <v>197</v>
      </c>
      <c r="C1021" s="86">
        <v>47786148.5</v>
      </c>
      <c r="D1021" s="85" t="s">
        <v>133</v>
      </c>
      <c r="E1021" s="87">
        <v>89</v>
      </c>
      <c r="F1021" s="88">
        <v>49253643.5</v>
      </c>
      <c r="G1021" s="87">
        <v>0</v>
      </c>
      <c r="I1021" s="87">
        <v>93</v>
      </c>
      <c r="K1021" s="87">
        <v>0</v>
      </c>
      <c r="M1021" s="87">
        <v>0</v>
      </c>
      <c r="O1021" s="87">
        <v>0</v>
      </c>
      <c r="P1021" s="88">
        <v>58090443.000000007</v>
      </c>
      <c r="Q1021" s="87">
        <v>4361</v>
      </c>
      <c r="R1021" s="87">
        <f t="shared" si="270"/>
        <v>4361</v>
      </c>
      <c r="T1021" s="87">
        <v>0</v>
      </c>
      <c r="V1021" s="87">
        <v>0</v>
      </c>
      <c r="X1021" s="87">
        <v>0</v>
      </c>
      <c r="Y1021" s="88">
        <v>65497748.000000045</v>
      </c>
      <c r="Z1021" s="87">
        <v>1198</v>
      </c>
      <c r="AA1021" s="87">
        <v>3028</v>
      </c>
      <c r="AB1021" s="89">
        <f t="shared" si="271"/>
        <v>93</v>
      </c>
      <c r="AC1021" s="89">
        <f t="shared" si="272"/>
        <v>4361</v>
      </c>
      <c r="AD1021" s="89">
        <f t="shared" si="273"/>
        <v>1198</v>
      </c>
      <c r="AE1021" s="90">
        <f t="shared" si="274"/>
        <v>89</v>
      </c>
      <c r="AF1021" s="90">
        <f t="shared" si="275"/>
        <v>2012</v>
      </c>
      <c r="AG1021" s="90">
        <f t="shared" si="276"/>
        <v>4361</v>
      </c>
      <c r="AH1021" s="90">
        <f t="shared" si="277"/>
        <v>2018</v>
      </c>
      <c r="AI1021" s="90">
        <f t="shared" si="278"/>
        <v>1198</v>
      </c>
      <c r="AJ1021" s="90">
        <f t="shared" si="279"/>
        <v>2022</v>
      </c>
      <c r="AK1021" s="90" t="str">
        <f t="shared" si="280"/>
        <v>Adjust</v>
      </c>
      <c r="AL1021" s="91">
        <f>IF(AK1021="Adjust",(_xlfn.XLOOKUP(A1021,'Adj factor'!A:A,'Adj factor'!I:I,,0)*AI1021),'Master DataSheet'!AI1021)</f>
        <v>1552.0117599429354</v>
      </c>
      <c r="AM1021" s="91">
        <f t="shared" si="281"/>
        <v>4361</v>
      </c>
      <c r="AN1021" s="92" t="str">
        <f t="shared" si="282"/>
        <v>Decreasing</v>
      </c>
      <c r="AO1021" s="93">
        <f>VLOOKUP(B1021,'Growthrates source'!A$2:H$49,8,FALSE)</f>
        <v>0.14011618556211447</v>
      </c>
      <c r="AP1021" s="93">
        <f>VLOOKUP(B1021,'Growthrates source'!A$2:I$49,9,FALSE)</f>
        <v>5.4673730437993617E-2</v>
      </c>
      <c r="AQ1021" s="86">
        <f t="shared" si="283"/>
        <v>1502.7870354708834</v>
      </c>
      <c r="AR1021" s="86">
        <f t="shared" si="284"/>
        <v>3567.7085497317598</v>
      </c>
      <c r="AS1021" s="94">
        <f t="shared" si="285"/>
        <v>1.8069729196785209E-2</v>
      </c>
      <c r="AT1021" s="94">
        <f t="shared" si="286"/>
        <v>0.7507258982342413</v>
      </c>
      <c r="AU1021" s="94">
        <f t="shared" si="287"/>
        <v>0.66582441887925625</v>
      </c>
    </row>
    <row r="1022" spans="1:48" x14ac:dyDescent="0.3">
      <c r="A1022" s="85" t="str">
        <f>_xlfn.XLOOKUP(B1022,'Country codes &amp; Data sources'!G:G,'Country codes &amp; Data sources'!H:H,,0)</f>
        <v>Tanzania</v>
      </c>
      <c r="B1022" s="85" t="s">
        <v>197</v>
      </c>
      <c r="C1022" s="86">
        <v>47786149.5</v>
      </c>
      <c r="D1022" s="85" t="s">
        <v>206</v>
      </c>
      <c r="E1022" s="87">
        <v>0</v>
      </c>
      <c r="F1022" s="88">
        <v>49253643.5</v>
      </c>
      <c r="G1022" s="87">
        <v>0</v>
      </c>
      <c r="I1022" s="87">
        <v>0</v>
      </c>
      <c r="K1022" s="87">
        <v>0</v>
      </c>
      <c r="M1022" s="87">
        <v>0</v>
      </c>
      <c r="O1022" s="87">
        <v>0</v>
      </c>
      <c r="P1022" s="88">
        <v>58090443.000000007</v>
      </c>
      <c r="Q1022" s="87">
        <v>0</v>
      </c>
      <c r="R1022" s="87">
        <f t="shared" si="270"/>
        <v>9250</v>
      </c>
      <c r="T1022" s="87">
        <v>0</v>
      </c>
      <c r="V1022" s="87">
        <v>0</v>
      </c>
      <c r="X1022" s="87">
        <v>0</v>
      </c>
      <c r="Y1022" s="88">
        <v>65497748.000000045</v>
      </c>
      <c r="Z1022" s="87">
        <v>2337</v>
      </c>
      <c r="AA1022" s="87">
        <v>9250</v>
      </c>
      <c r="AB1022" s="89">
        <f t="shared" si="271"/>
        <v>0</v>
      </c>
      <c r="AC1022" s="89">
        <f t="shared" si="272"/>
        <v>0</v>
      </c>
      <c r="AD1022" s="89">
        <f t="shared" si="273"/>
        <v>2337</v>
      </c>
      <c r="AE1022" s="90">
        <f t="shared" si="274"/>
        <v>0</v>
      </c>
      <c r="AF1022" s="90" t="str">
        <f t="shared" si="275"/>
        <v/>
      </c>
      <c r="AG1022" s="90">
        <f t="shared" si="276"/>
        <v>9250</v>
      </c>
      <c r="AH1022" s="90" t="str">
        <f t="shared" si="277"/>
        <v>2018 (triag)</v>
      </c>
      <c r="AI1022" s="90">
        <f t="shared" si="278"/>
        <v>2337</v>
      </c>
      <c r="AJ1022" s="90">
        <f t="shared" si="279"/>
        <v>2022</v>
      </c>
      <c r="AK1022" s="90" t="str">
        <f t="shared" si="280"/>
        <v>Adjust</v>
      </c>
      <c r="AL1022" s="91">
        <f>IF(AK1022="Adjust",(_xlfn.XLOOKUP(A1022,'Adj factor'!A:A,'Adj factor'!I:I,,0)*AI1022),'Master DataSheet'!AI1022)</f>
        <v>3027.5888839621371</v>
      </c>
      <c r="AM1022" s="91">
        <f t="shared" si="281"/>
        <v>9250</v>
      </c>
      <c r="AN1022" s="92" t="str">
        <f t="shared" si="282"/>
        <v>Decreasing</v>
      </c>
      <c r="AO1022" s="93">
        <f>VLOOKUP(B1022,'Growthrates source'!A$2:H$49,8,FALSE)</f>
        <v>0.14011618556211447</v>
      </c>
      <c r="AP1022" s="93">
        <f>VLOOKUP(B1022,'Growthrates source'!A$2:I$49,9,FALSE)</f>
        <v>5.4673730437993617E-2</v>
      </c>
      <c r="AQ1022" s="86">
        <f t="shared" si="283"/>
        <v>4590.7463930335771</v>
      </c>
      <c r="AR1022" s="86">
        <f t="shared" si="284"/>
        <v>10898.713370217562</v>
      </c>
      <c r="AS1022" s="94">
        <f t="shared" si="285"/>
        <v>0</v>
      </c>
      <c r="AT1022" s="94">
        <f t="shared" si="286"/>
        <v>1.5923445445234423</v>
      </c>
      <c r="AU1022" s="94">
        <f t="shared" si="287"/>
        <v>1.4122622964075029</v>
      </c>
    </row>
    <row r="1023" spans="1:48" x14ac:dyDescent="0.3">
      <c r="A1023" s="85" t="str">
        <f>_xlfn.XLOOKUP(B1023,'Country codes &amp; Data sources'!G:G,'Country codes &amp; Data sources'!H:H,,0)</f>
        <v>Tanzania</v>
      </c>
      <c r="B1023" s="85" t="s">
        <v>197</v>
      </c>
      <c r="C1023" s="86">
        <v>47786150.5</v>
      </c>
      <c r="D1023" s="85" t="s">
        <v>136</v>
      </c>
      <c r="E1023" s="87">
        <v>223</v>
      </c>
      <c r="F1023" s="88">
        <v>49253643.5</v>
      </c>
      <c r="G1023" s="87">
        <v>0</v>
      </c>
      <c r="I1023" s="87">
        <v>0</v>
      </c>
      <c r="K1023" s="87">
        <v>0</v>
      </c>
      <c r="M1023" s="87">
        <v>0</v>
      </c>
      <c r="O1023" s="87">
        <v>0</v>
      </c>
      <c r="P1023" s="88">
        <v>58090443.000000007</v>
      </c>
      <c r="Q1023" s="87">
        <v>0</v>
      </c>
      <c r="R1023" s="87">
        <f t="shared" si="270"/>
        <v>681</v>
      </c>
      <c r="T1023" s="87">
        <v>0</v>
      </c>
      <c r="V1023" s="87">
        <v>0</v>
      </c>
      <c r="X1023" s="87">
        <v>0</v>
      </c>
      <c r="Y1023" s="88">
        <v>65497748.000000045</v>
      </c>
      <c r="Z1023" s="87">
        <v>543</v>
      </c>
      <c r="AA1023" s="87">
        <v>681</v>
      </c>
      <c r="AB1023" s="89">
        <f t="shared" si="271"/>
        <v>223</v>
      </c>
      <c r="AC1023" s="89">
        <f t="shared" si="272"/>
        <v>0</v>
      </c>
      <c r="AD1023" s="89">
        <f t="shared" si="273"/>
        <v>543</v>
      </c>
      <c r="AE1023" s="90">
        <f t="shared" si="274"/>
        <v>223</v>
      </c>
      <c r="AF1023" s="90">
        <f t="shared" si="275"/>
        <v>2012</v>
      </c>
      <c r="AG1023" s="90">
        <f t="shared" si="276"/>
        <v>681</v>
      </c>
      <c r="AH1023" s="90" t="str">
        <f t="shared" si="277"/>
        <v>2018 (triag)</v>
      </c>
      <c r="AI1023" s="90">
        <f t="shared" si="278"/>
        <v>543</v>
      </c>
      <c r="AJ1023" s="90">
        <f t="shared" si="279"/>
        <v>2022</v>
      </c>
      <c r="AK1023" s="90" t="str">
        <f t="shared" si="280"/>
        <v>Adjust</v>
      </c>
      <c r="AL1023" s="91">
        <f>IF(AK1023="Adjust",(_xlfn.XLOOKUP(A1023,'Adj factor'!A:A,'Adj factor'!I:I,,0)*AI1023),'Master DataSheet'!AI1023)</f>
        <v>703.45775095911006</v>
      </c>
      <c r="AM1023" s="91">
        <f t="shared" si="281"/>
        <v>703.45775095911006</v>
      </c>
      <c r="AN1023" s="92" t="str">
        <f t="shared" si="282"/>
        <v>Increasing</v>
      </c>
      <c r="AO1023" s="93">
        <f>VLOOKUP(B1023,'Growthrates source'!A$2:H$49,8,FALSE)</f>
        <v>0.14011618556211447</v>
      </c>
      <c r="AP1023" s="93">
        <f>VLOOKUP(B1023,'Growthrates source'!A$2:I$49,9,FALSE)</f>
        <v>5.4673730437993617E-2</v>
      </c>
      <c r="AQ1023" s="86">
        <f t="shared" si="283"/>
        <v>337.9781939087423</v>
      </c>
      <c r="AR1023" s="86">
        <f t="shared" si="284"/>
        <v>802.38095190466584</v>
      </c>
      <c r="AS1023" s="94">
        <f t="shared" si="285"/>
        <v>4.5275838324529229E-2</v>
      </c>
      <c r="AT1023" s="94">
        <f t="shared" si="286"/>
        <v>0.11723098754815829</v>
      </c>
      <c r="AU1023" s="94">
        <f t="shared" si="287"/>
        <v>0.10740182257245083</v>
      </c>
    </row>
    <row r="1024" spans="1:48" x14ac:dyDescent="0.3">
      <c r="A1024" s="85" t="str">
        <f>_xlfn.XLOOKUP(B1024,'Country codes &amp; Data sources'!G:G,'Country codes &amp; Data sources'!H:H,,0)</f>
        <v>Tanzania</v>
      </c>
      <c r="B1024" s="85" t="s">
        <v>197</v>
      </c>
      <c r="C1024" s="86">
        <v>47786151.5</v>
      </c>
      <c r="D1024" s="85" t="s">
        <v>207</v>
      </c>
      <c r="E1024" s="87">
        <v>470</v>
      </c>
      <c r="F1024" s="88">
        <v>49253643.5</v>
      </c>
      <c r="G1024" s="87">
        <v>0</v>
      </c>
      <c r="I1024" s="87">
        <v>0</v>
      </c>
      <c r="K1024" s="87">
        <v>0</v>
      </c>
      <c r="M1024" s="87">
        <v>0</v>
      </c>
      <c r="O1024" s="87">
        <v>0</v>
      </c>
      <c r="P1024" s="88">
        <v>58090443.000000007</v>
      </c>
      <c r="Q1024" s="87">
        <v>0</v>
      </c>
      <c r="R1024" s="87">
        <f t="shared" si="270"/>
        <v>724</v>
      </c>
      <c r="T1024" s="87">
        <v>0</v>
      </c>
      <c r="V1024" s="87">
        <v>0</v>
      </c>
      <c r="X1024" s="87">
        <v>0</v>
      </c>
      <c r="Y1024" s="88">
        <v>65497748.000000045</v>
      </c>
      <c r="Z1024" s="87">
        <v>724</v>
      </c>
      <c r="AA1024" s="87">
        <v>724</v>
      </c>
      <c r="AB1024" s="89">
        <f t="shared" si="271"/>
        <v>470</v>
      </c>
      <c r="AC1024" s="89">
        <f t="shared" si="272"/>
        <v>0</v>
      </c>
      <c r="AD1024" s="89">
        <f t="shared" si="273"/>
        <v>724</v>
      </c>
      <c r="AE1024" s="90">
        <f t="shared" si="274"/>
        <v>470</v>
      </c>
      <c r="AF1024" s="90">
        <f t="shared" si="275"/>
        <v>2012</v>
      </c>
      <c r="AG1024" s="90">
        <f t="shared" si="276"/>
        <v>724</v>
      </c>
      <c r="AH1024" s="90" t="str">
        <f t="shared" si="277"/>
        <v>2018 (triag)</v>
      </c>
      <c r="AI1024" s="90">
        <f t="shared" si="278"/>
        <v>724</v>
      </c>
      <c r="AJ1024" s="90">
        <f t="shared" si="279"/>
        <v>2022</v>
      </c>
      <c r="AK1024" s="90" t="str">
        <f t="shared" si="280"/>
        <v/>
      </c>
      <c r="AL1024" s="91">
        <f>IF(AK1024="Adjust",(_xlfn.XLOOKUP(A1024,'Adj factor'!A:A,'Adj factor'!I:I,,0)*AI1024),'Master DataSheet'!AI1024)</f>
        <v>724</v>
      </c>
      <c r="AM1024" s="91">
        <f t="shared" si="281"/>
        <v>724</v>
      </c>
      <c r="AN1024" s="92" t="str">
        <f t="shared" si="282"/>
        <v>No change</v>
      </c>
      <c r="AO1024" s="93">
        <f>VLOOKUP(B1024,'Growthrates source'!A$2:H$49,8,FALSE)</f>
        <v>0.14011618556211447</v>
      </c>
      <c r="AP1024" s="93">
        <f>VLOOKUP(B1024,'Growthrates source'!A$2:I$49,9,FALSE)</f>
        <v>5.4673730437993617E-2</v>
      </c>
      <c r="AQ1024" s="86">
        <f t="shared" si="283"/>
        <v>359.31896092500648</v>
      </c>
      <c r="AR1024" s="86">
        <f t="shared" si="284"/>
        <v>853.04524108513669</v>
      </c>
      <c r="AS1024" s="94">
        <f t="shared" si="285"/>
        <v>9.5424412612236498E-2</v>
      </c>
      <c r="AT1024" s="94">
        <f t="shared" si="286"/>
        <v>0.12463323786324024</v>
      </c>
      <c r="AU1024" s="94">
        <f t="shared" si="287"/>
        <v>0.1105381516323278</v>
      </c>
    </row>
    <row r="1025" spans="1:47" x14ac:dyDescent="0.3">
      <c r="A1025" s="85" t="str">
        <f>_xlfn.XLOOKUP(B1025,'Country codes &amp; Data sources'!G:G,'Country codes &amp; Data sources'!H:H,,0)</f>
        <v>Tanzania</v>
      </c>
      <c r="B1025" s="85" t="s">
        <v>197</v>
      </c>
      <c r="C1025" s="86">
        <v>47786152.5</v>
      </c>
      <c r="D1025" s="85" t="s">
        <v>141</v>
      </c>
      <c r="E1025" s="87">
        <v>82</v>
      </c>
      <c r="F1025" s="88">
        <v>49253643.5</v>
      </c>
      <c r="G1025" s="87">
        <v>0</v>
      </c>
      <c r="I1025" s="87">
        <v>0</v>
      </c>
      <c r="K1025" s="87">
        <v>0</v>
      </c>
      <c r="M1025" s="87">
        <v>0</v>
      </c>
      <c r="O1025" s="87">
        <v>0</v>
      </c>
      <c r="P1025" s="88">
        <v>58090443.000000007</v>
      </c>
      <c r="Q1025" s="87">
        <v>0</v>
      </c>
      <c r="R1025" s="87">
        <f t="shared" si="270"/>
        <v>213</v>
      </c>
      <c r="T1025" s="87">
        <v>0</v>
      </c>
      <c r="V1025" s="87">
        <v>0</v>
      </c>
      <c r="X1025" s="87">
        <v>0</v>
      </c>
      <c r="Y1025" s="88">
        <v>65497748.000000045</v>
      </c>
      <c r="Z1025" s="87">
        <v>201</v>
      </c>
      <c r="AA1025" s="87">
        <v>213</v>
      </c>
      <c r="AB1025" s="89">
        <f t="shared" si="271"/>
        <v>82</v>
      </c>
      <c r="AC1025" s="89">
        <f t="shared" si="272"/>
        <v>0</v>
      </c>
      <c r="AD1025" s="89">
        <f t="shared" si="273"/>
        <v>201</v>
      </c>
      <c r="AE1025" s="90">
        <f t="shared" si="274"/>
        <v>82</v>
      </c>
      <c r="AF1025" s="90">
        <f t="shared" si="275"/>
        <v>2012</v>
      </c>
      <c r="AG1025" s="90">
        <f t="shared" si="276"/>
        <v>213</v>
      </c>
      <c r="AH1025" s="90" t="str">
        <f t="shared" si="277"/>
        <v>2018 (triag)</v>
      </c>
      <c r="AI1025" s="90">
        <f t="shared" si="278"/>
        <v>201</v>
      </c>
      <c r="AJ1025" s="90">
        <f t="shared" si="279"/>
        <v>2022</v>
      </c>
      <c r="AK1025" s="90" t="str">
        <f t="shared" si="280"/>
        <v>Adjust</v>
      </c>
      <c r="AL1025" s="91">
        <f>IF(AK1025="Adjust",(_xlfn.XLOOKUP(A1025,'Adj factor'!A:A,'Adj factor'!I:I,,0)*AI1025),'Master DataSheet'!AI1025)</f>
        <v>260.39596306221205</v>
      </c>
      <c r="AM1025" s="91">
        <f t="shared" si="281"/>
        <v>260.39596306221205</v>
      </c>
      <c r="AN1025" s="92" t="str">
        <f t="shared" si="282"/>
        <v>Increasing</v>
      </c>
      <c r="AO1025" s="93">
        <f>VLOOKUP(B1025,'Growthrates source'!A$2:H$49,8,FALSE)</f>
        <v>0.14011618556211447</v>
      </c>
      <c r="AP1025" s="93">
        <f>VLOOKUP(B1025,'Growthrates source'!A$2:I$49,9,FALSE)</f>
        <v>5.4673730437993617E-2</v>
      </c>
      <c r="AQ1025" s="86">
        <f t="shared" si="283"/>
        <v>105.71124126661103</v>
      </c>
      <c r="AR1025" s="86">
        <f t="shared" si="284"/>
        <v>250.9649673358206</v>
      </c>
      <c r="AS1025" s="94">
        <f t="shared" si="285"/>
        <v>1.6648514540858281E-2</v>
      </c>
      <c r="AT1025" s="94">
        <f t="shared" si="286"/>
        <v>3.6666960863080349E-2</v>
      </c>
      <c r="AU1025" s="94">
        <f t="shared" si="287"/>
        <v>3.975647575886302E-2</v>
      </c>
    </row>
    <row r="1026" spans="1:47" x14ac:dyDescent="0.3">
      <c r="A1026" s="85" t="str">
        <f>_xlfn.XLOOKUP(B1026,'Country codes &amp; Data sources'!G:G,'Country codes &amp; Data sources'!H:H,,0)</f>
        <v>Tanzania</v>
      </c>
      <c r="B1026" s="85" t="s">
        <v>197</v>
      </c>
      <c r="C1026" s="86">
        <v>47786153.5</v>
      </c>
      <c r="D1026" s="85" t="s">
        <v>208</v>
      </c>
      <c r="E1026" s="87">
        <v>0</v>
      </c>
      <c r="F1026" s="88">
        <v>49253643.5</v>
      </c>
      <c r="G1026" s="87">
        <v>0</v>
      </c>
      <c r="I1026" s="87">
        <v>0</v>
      </c>
      <c r="K1026" s="87">
        <v>0</v>
      </c>
      <c r="M1026" s="87">
        <v>0</v>
      </c>
      <c r="O1026" s="87">
        <v>0</v>
      </c>
      <c r="P1026" s="88">
        <v>58090443.000000007</v>
      </c>
      <c r="Q1026" s="87">
        <v>0</v>
      </c>
      <c r="R1026" s="87">
        <f t="shared" si="270"/>
        <v>0</v>
      </c>
      <c r="T1026" s="87">
        <v>0</v>
      </c>
      <c r="V1026" s="87">
        <v>0</v>
      </c>
      <c r="X1026" s="87">
        <v>0</v>
      </c>
      <c r="Y1026" s="88">
        <v>65497748.000000045</v>
      </c>
      <c r="Z1026" s="87">
        <v>0</v>
      </c>
      <c r="AA1026" s="87">
        <v>0</v>
      </c>
      <c r="AB1026" s="89">
        <f t="shared" si="271"/>
        <v>0</v>
      </c>
      <c r="AC1026" s="89">
        <f t="shared" si="272"/>
        <v>0</v>
      </c>
      <c r="AD1026" s="89">
        <f t="shared" si="273"/>
        <v>0</v>
      </c>
      <c r="AE1026" s="90">
        <f t="shared" si="274"/>
        <v>0</v>
      </c>
      <c r="AF1026" s="90" t="str">
        <f t="shared" si="275"/>
        <v/>
      </c>
      <c r="AG1026" s="90">
        <f t="shared" si="276"/>
        <v>0</v>
      </c>
      <c r="AH1026" s="90" t="str">
        <f t="shared" si="277"/>
        <v/>
      </c>
      <c r="AI1026" s="90">
        <f t="shared" si="278"/>
        <v>0</v>
      </c>
      <c r="AJ1026" s="90" t="str">
        <f t="shared" si="279"/>
        <v/>
      </c>
      <c r="AK1026" s="90" t="str">
        <f t="shared" si="280"/>
        <v/>
      </c>
      <c r="AL1026" s="91">
        <f>IF(AK1026="Adjust",(_xlfn.XLOOKUP(A1026,'Adj factor'!A:A,'Adj factor'!I:I,,0)*AI1026),'Master DataSheet'!AI1026)</f>
        <v>0</v>
      </c>
      <c r="AM1026" s="91">
        <f t="shared" si="281"/>
        <v>0</v>
      </c>
      <c r="AN1026" s="92" t="str">
        <f t="shared" si="282"/>
        <v>No change</v>
      </c>
      <c r="AO1026" s="93">
        <f>VLOOKUP(B1026,'Growthrates source'!A$2:H$49,8,FALSE)</f>
        <v>0.14011618556211447</v>
      </c>
      <c r="AP1026" s="93">
        <f>VLOOKUP(B1026,'Growthrates source'!A$2:I$49,9,FALSE)</f>
        <v>5.4673730437993617E-2</v>
      </c>
      <c r="AQ1026" s="86">
        <f t="shared" si="283"/>
        <v>0</v>
      </c>
      <c r="AR1026" s="86">
        <f t="shared" si="284"/>
        <v>0</v>
      </c>
      <c r="AS1026" s="94">
        <f t="shared" si="285"/>
        <v>0</v>
      </c>
      <c r="AT1026" s="94">
        <f t="shared" si="286"/>
        <v>0</v>
      </c>
      <c r="AU1026" s="94">
        <f t="shared" si="287"/>
        <v>0</v>
      </c>
    </row>
    <row r="1027" spans="1:47" x14ac:dyDescent="0.3">
      <c r="A1027" s="85" t="str">
        <f>_xlfn.XLOOKUP(B1027,'Country codes &amp; Data sources'!G:G,'Country codes &amp; Data sources'!H:H,,0)</f>
        <v>Tanzania</v>
      </c>
      <c r="B1027" s="85" t="s">
        <v>197</v>
      </c>
      <c r="C1027" s="86">
        <v>47786154.5</v>
      </c>
      <c r="D1027" s="85" t="s">
        <v>209</v>
      </c>
      <c r="E1027" s="87">
        <v>0</v>
      </c>
      <c r="F1027" s="88">
        <v>49253643.5</v>
      </c>
      <c r="G1027" s="87">
        <v>0</v>
      </c>
      <c r="I1027" s="87">
        <v>0</v>
      </c>
      <c r="K1027" s="87">
        <v>0</v>
      </c>
      <c r="M1027" s="87">
        <v>0</v>
      </c>
      <c r="O1027" s="87">
        <v>0</v>
      </c>
      <c r="P1027" s="88">
        <v>58090443.000000007</v>
      </c>
      <c r="Q1027" s="87">
        <v>0</v>
      </c>
      <c r="R1027" s="87">
        <f t="shared" ref="R1027:R1090" si="288">MAX(Q1027,AA1027)</f>
        <v>3630</v>
      </c>
      <c r="T1027" s="87">
        <v>0</v>
      </c>
      <c r="V1027" s="87">
        <v>0</v>
      </c>
      <c r="X1027" s="87">
        <v>0</v>
      </c>
      <c r="Y1027" s="88">
        <v>65497748.000000045</v>
      </c>
      <c r="Z1027" s="87">
        <v>2</v>
      </c>
      <c r="AA1027" s="87">
        <v>3630</v>
      </c>
      <c r="AB1027" s="89">
        <f t="shared" ref="AB1027:AB1090" si="289">MAX(G1027,E1027,I1027,K1027)</f>
        <v>0</v>
      </c>
      <c r="AC1027" s="89">
        <f t="shared" ref="AC1027:AC1090" si="290">MAX(M1027,O1027,Q1027,T1027)</f>
        <v>0</v>
      </c>
      <c r="AD1027" s="89">
        <f t="shared" ref="AD1027:AD1090" si="291">MAX(V1027,X1027,Z1027)</f>
        <v>2</v>
      </c>
      <c r="AE1027" s="90">
        <f t="shared" ref="AE1027:AE1090" si="292">IF(G1027&gt;0,G1027,IF(E1027&gt;0,E1027,IF(I1027&gt;0,I1027,K1027)))</f>
        <v>0</v>
      </c>
      <c r="AF1027" s="90" t="str">
        <f t="shared" ref="AF1027:AF1090" si="293">IF(AE1027&gt;0,_xlfn.XLOOKUP(AE1027,$B1027:$K1027,$B$1:$K$1,,0),"")</f>
        <v/>
      </c>
      <c r="AG1027" s="90">
        <f t="shared" ref="AG1027:AG1090" si="294">IF(R1027&gt;0,R1027,IF(O1027&gt;0,O1027,T1027))</f>
        <v>3630</v>
      </c>
      <c r="AH1027" s="90" t="str">
        <f t="shared" ref="AH1027:AH1090" si="295">IF(AG1027&gt;0,_xlfn.XLOOKUP(AG1027,$L1027:$T1027,$L$1:$T$1,,0),"")</f>
        <v>2018 (triag)</v>
      </c>
      <c r="AI1027" s="90">
        <f t="shared" ref="AI1027:AI1090" si="296">IF((IF(Z1027&gt;0,Z1027,IF(X1027&gt;0,X1027,IF(V1027&gt;0,V1027,T1027))))=0,AG1027,IF(Z1027&gt;0,Z1027,IF(X1027&gt;0,X1027,IF(V1027&gt;0,V1027,T1027))))</f>
        <v>2</v>
      </c>
      <c r="AJ1027" s="90">
        <f t="shared" ref="AJ1027:AJ1090" si="297">IFERROR(IF(AI1027&gt;0,_xlfn.XLOOKUP(AI1027,$V1027:$Z1027,$V$1:$Z$1,,0),""),AH1027)</f>
        <v>2022</v>
      </c>
      <c r="AK1027" s="90" t="str">
        <f t="shared" ref="AK1027:AK1090" si="298">IF(AI1027&lt;AG1027,"Adjust","")</f>
        <v>Adjust</v>
      </c>
      <c r="AL1027" s="91">
        <f>IF(AK1027="Adjust",(_xlfn.XLOOKUP(A1027,'Adj factor'!A:A,'Adj factor'!I:I,,0)*AI1027),'Master DataSheet'!AI1027)</f>
        <v>2.5910046075841993</v>
      </c>
      <c r="AM1027" s="91">
        <f t="shared" ref="AM1027:AM1090" si="299">IF(AL1027&lt;AG1027,AG1027,AL1027)</f>
        <v>3630</v>
      </c>
      <c r="AN1027" s="92" t="str">
        <f t="shared" ref="AN1027:AN1090" si="300">IF(AL1027&gt;AG1027,"Increasing",IF(AL1027&lt;AG1027,"Decreasing","No change"))</f>
        <v>Decreasing</v>
      </c>
      <c r="AO1027" s="93">
        <f>VLOOKUP(B1027,'Growthrates source'!A$2:H$49,8,FALSE)</f>
        <v>0.14011618556211447</v>
      </c>
      <c r="AP1027" s="93">
        <f>VLOOKUP(B1027,'Growthrates source'!A$2:I$49,9,FALSE)</f>
        <v>5.4673730437993617E-2</v>
      </c>
      <c r="AQ1027" s="86">
        <f t="shared" ref="AQ1027:AQ1090" si="301">AA1027/(EXP(AO1027*5))</f>
        <v>1801.5577736985822</v>
      </c>
      <c r="AR1027" s="86">
        <f t="shared" ref="AR1027:AR1090" si="302">AA1027*EXP(AP1027*3)</f>
        <v>4277.0085982583514</v>
      </c>
      <c r="AS1027" s="94">
        <f t="shared" ref="AS1027:AS1090" si="303">(AE1027*10000)/F1027</f>
        <v>0</v>
      </c>
      <c r="AT1027" s="94">
        <f t="shared" ref="AT1027:AT1090" si="304">(AG1027*10000)/P1027</f>
        <v>0.62488764287784815</v>
      </c>
      <c r="AU1027" s="94">
        <f t="shared" ref="AU1027:AU1090" si="305">(AM1027*10000)/Y1027</f>
        <v>0.55421752821180925</v>
      </c>
    </row>
    <row r="1028" spans="1:47" x14ac:dyDescent="0.3">
      <c r="A1028" s="85" t="str">
        <f>_xlfn.XLOOKUP(B1028,'Country codes &amp; Data sources'!G:G,'Country codes &amp; Data sources'!H:H,,0)</f>
        <v>Tanzania</v>
      </c>
      <c r="B1028" s="85" t="s">
        <v>197</v>
      </c>
      <c r="C1028" s="86">
        <v>47786155.5</v>
      </c>
      <c r="D1028" s="85" t="s">
        <v>134</v>
      </c>
      <c r="E1028" s="87">
        <v>1997</v>
      </c>
      <c r="F1028" s="88">
        <v>49253643.5</v>
      </c>
      <c r="G1028" s="87">
        <v>0</v>
      </c>
      <c r="I1028" s="87">
        <v>2508</v>
      </c>
      <c r="K1028" s="87">
        <v>0</v>
      </c>
      <c r="M1028" s="87">
        <v>0</v>
      </c>
      <c r="O1028" s="87">
        <v>0</v>
      </c>
      <c r="P1028" s="88">
        <v>58090443.000000007</v>
      </c>
      <c r="Q1028" s="87">
        <v>0</v>
      </c>
      <c r="R1028" s="87">
        <f t="shared" si="288"/>
        <v>4361</v>
      </c>
      <c r="T1028" s="87">
        <v>0</v>
      </c>
      <c r="V1028" s="87">
        <v>0</v>
      </c>
      <c r="X1028" s="87">
        <v>0</v>
      </c>
      <c r="Y1028" s="88">
        <v>65497748.000000045</v>
      </c>
      <c r="Z1028" s="87">
        <v>4743</v>
      </c>
      <c r="AA1028" s="87">
        <v>4361</v>
      </c>
      <c r="AB1028" s="89">
        <f t="shared" si="289"/>
        <v>2508</v>
      </c>
      <c r="AC1028" s="89">
        <f t="shared" si="290"/>
        <v>0</v>
      </c>
      <c r="AD1028" s="89">
        <f t="shared" si="291"/>
        <v>4743</v>
      </c>
      <c r="AE1028" s="90">
        <f t="shared" si="292"/>
        <v>1997</v>
      </c>
      <c r="AF1028" s="90">
        <f t="shared" si="293"/>
        <v>2012</v>
      </c>
      <c r="AG1028" s="90">
        <f t="shared" si="294"/>
        <v>4361</v>
      </c>
      <c r="AH1028" s="90" t="str">
        <f t="shared" si="295"/>
        <v>2018 (triag)</v>
      </c>
      <c r="AI1028" s="90">
        <f t="shared" si="296"/>
        <v>4743</v>
      </c>
      <c r="AJ1028" s="90">
        <f t="shared" si="297"/>
        <v>2022</v>
      </c>
      <c r="AK1028" s="90" t="str">
        <f t="shared" si="298"/>
        <v/>
      </c>
      <c r="AL1028" s="91">
        <f>IF(AK1028="Adjust",(_xlfn.XLOOKUP(A1028,'Adj factor'!A:A,'Adj factor'!I:I,,0)*AI1028),'Master DataSheet'!AI1028)</f>
        <v>4743</v>
      </c>
      <c r="AM1028" s="91">
        <f t="shared" si="299"/>
        <v>4743</v>
      </c>
      <c r="AN1028" s="92" t="str">
        <f t="shared" si="300"/>
        <v>Increasing</v>
      </c>
      <c r="AO1028" s="93">
        <f>VLOOKUP(B1028,'Growthrates source'!A$2:H$49,8,FALSE)</f>
        <v>0.14011618556211447</v>
      </c>
      <c r="AP1028" s="93">
        <f>VLOOKUP(B1028,'Growthrates source'!A$2:I$49,9,FALSE)</f>
        <v>5.4673730437993617E-2</v>
      </c>
      <c r="AQ1028" s="86">
        <f t="shared" si="301"/>
        <v>2164.3508129750735</v>
      </c>
      <c r="AR1028" s="86">
        <f t="shared" si="302"/>
        <v>5138.3015143263556</v>
      </c>
      <c r="AS1028" s="94">
        <f t="shared" si="303"/>
        <v>0.40545223826943888</v>
      </c>
      <c r="AT1028" s="94">
        <f t="shared" si="304"/>
        <v>0.7507258982342413</v>
      </c>
      <c r="AU1028" s="94">
        <f t="shared" si="305"/>
        <v>0.7241470347957607</v>
      </c>
    </row>
    <row r="1029" spans="1:47" s="95" customFormat="1" x14ac:dyDescent="0.3">
      <c r="A1029" s="95" t="str">
        <f>_xlfn.XLOOKUP(B1029,'Country codes &amp; Data sources'!G:G,'Country codes &amp; Data sources'!H:H,,0)</f>
        <v>Tanzania</v>
      </c>
      <c r="B1029" s="95" t="s">
        <v>197</v>
      </c>
      <c r="C1029" s="60">
        <v>47786156.5</v>
      </c>
      <c r="D1029" s="95" t="s">
        <v>142</v>
      </c>
      <c r="E1029" s="96">
        <v>8787</v>
      </c>
      <c r="F1029" s="97">
        <v>49253643.5</v>
      </c>
      <c r="G1029" s="96">
        <v>0</v>
      </c>
      <c r="H1029" s="96"/>
      <c r="I1029" s="96">
        <v>10536</v>
      </c>
      <c r="J1029" s="96"/>
      <c r="K1029" s="96">
        <v>0</v>
      </c>
      <c r="L1029" s="96"/>
      <c r="M1029" s="96">
        <v>0</v>
      </c>
      <c r="N1029" s="96"/>
      <c r="O1029" s="96">
        <v>0</v>
      </c>
      <c r="P1029" s="97">
        <v>58090443.000000007</v>
      </c>
      <c r="Q1029" s="96">
        <v>0</v>
      </c>
      <c r="R1029" s="96">
        <f t="shared" si="288"/>
        <v>1963</v>
      </c>
      <c r="S1029" s="96"/>
      <c r="T1029" s="96">
        <v>0</v>
      </c>
      <c r="U1029" s="96"/>
      <c r="V1029" s="96">
        <v>0</v>
      </c>
      <c r="W1029" s="96"/>
      <c r="X1029" s="96">
        <v>0</v>
      </c>
      <c r="Y1029" s="97">
        <v>65497748.000000045</v>
      </c>
      <c r="Z1029" s="96">
        <v>71119</v>
      </c>
      <c r="AA1029" s="96">
        <v>1963</v>
      </c>
      <c r="AB1029" s="98">
        <f t="shared" si="289"/>
        <v>10536</v>
      </c>
      <c r="AC1029" s="98">
        <f t="shared" si="290"/>
        <v>0</v>
      </c>
      <c r="AD1029" s="98">
        <f t="shared" si="291"/>
        <v>71119</v>
      </c>
      <c r="AE1029" s="99">
        <f t="shared" si="292"/>
        <v>8787</v>
      </c>
      <c r="AF1029" s="99">
        <f t="shared" si="293"/>
        <v>2012</v>
      </c>
      <c r="AG1029" s="99">
        <f t="shared" si="294"/>
        <v>1963</v>
      </c>
      <c r="AH1029" s="99" t="str">
        <f t="shared" si="295"/>
        <v>2018 (triag)</v>
      </c>
      <c r="AI1029" s="99">
        <f t="shared" si="296"/>
        <v>71119</v>
      </c>
      <c r="AJ1029" s="99">
        <f t="shared" si="297"/>
        <v>2022</v>
      </c>
      <c r="AK1029" s="99" t="str">
        <f t="shared" si="298"/>
        <v/>
      </c>
      <c r="AL1029" s="61">
        <f>IF(AK1029="Adjust",(_xlfn.XLOOKUP(A1029,'Adj factor'!A:A,'Adj factor'!I:I,,0)*AI1029),'Master DataSheet'!AI1029)</f>
        <v>71119</v>
      </c>
      <c r="AM1029" s="61">
        <f t="shared" si="299"/>
        <v>71119</v>
      </c>
      <c r="AN1029" s="62" t="str">
        <f t="shared" si="300"/>
        <v>Increasing</v>
      </c>
      <c r="AO1029" s="100">
        <f>VLOOKUP(B1029,'Growthrates source'!A$2:H$49,8,FALSE)</f>
        <v>0.14011618556211447</v>
      </c>
      <c r="AP1029" s="100">
        <f>VLOOKUP(B1029,'Growthrates source'!A$2:I$49,9,FALSE)</f>
        <v>5.4673730437993617E-2</v>
      </c>
      <c r="AQ1029" s="60">
        <f t="shared" si="301"/>
        <v>974.23082913782832</v>
      </c>
      <c r="AR1029" s="60">
        <f t="shared" si="302"/>
        <v>2312.8837130526567</v>
      </c>
      <c r="AS1029" s="102">
        <f t="shared" si="303"/>
        <v>1.7840304545185577</v>
      </c>
      <c r="AT1029" s="102">
        <f t="shared" si="304"/>
        <v>0.33792133415129916</v>
      </c>
      <c r="AU1029" s="101">
        <f t="shared" si="305"/>
        <v>10.858235919805969</v>
      </c>
    </row>
    <row r="1030" spans="1:47" x14ac:dyDescent="0.3">
      <c r="A1030" s="85" t="str">
        <f>_xlfn.XLOOKUP(B1030,'Country codes &amp; Data sources'!G:G,'Country codes &amp; Data sources'!H:H,,0)</f>
        <v>Tanzania</v>
      </c>
      <c r="B1030" s="85" t="s">
        <v>197</v>
      </c>
      <c r="C1030" s="86">
        <v>47786157.5</v>
      </c>
      <c r="D1030" s="85" t="s">
        <v>83</v>
      </c>
      <c r="E1030" s="87">
        <v>130</v>
      </c>
      <c r="F1030" s="88">
        <v>49253643.5</v>
      </c>
      <c r="G1030" s="87">
        <v>0</v>
      </c>
      <c r="I1030" s="87">
        <v>0</v>
      </c>
      <c r="K1030" s="87">
        <v>0</v>
      </c>
      <c r="M1030" s="87">
        <v>0</v>
      </c>
      <c r="O1030" s="87">
        <v>0</v>
      </c>
      <c r="P1030" s="88">
        <v>58090443.000000007</v>
      </c>
      <c r="Q1030" s="87">
        <v>0</v>
      </c>
      <c r="R1030" s="87">
        <f t="shared" si="288"/>
        <v>103</v>
      </c>
      <c r="T1030" s="87">
        <v>0</v>
      </c>
      <c r="V1030" s="87">
        <v>0</v>
      </c>
      <c r="X1030" s="87">
        <v>0</v>
      </c>
      <c r="Y1030" s="88">
        <v>65497748.000000045</v>
      </c>
      <c r="Z1030" s="87">
        <v>1358</v>
      </c>
      <c r="AA1030" s="87">
        <v>103</v>
      </c>
      <c r="AB1030" s="89">
        <f t="shared" si="289"/>
        <v>130</v>
      </c>
      <c r="AC1030" s="89">
        <f t="shared" si="290"/>
        <v>0</v>
      </c>
      <c r="AD1030" s="89">
        <f t="shared" si="291"/>
        <v>1358</v>
      </c>
      <c r="AE1030" s="90">
        <f t="shared" si="292"/>
        <v>130</v>
      </c>
      <c r="AF1030" s="90">
        <f t="shared" si="293"/>
        <v>2012</v>
      </c>
      <c r="AG1030" s="90">
        <f t="shared" si="294"/>
        <v>103</v>
      </c>
      <c r="AH1030" s="90" t="str">
        <f t="shared" si="295"/>
        <v>2018 (triag)</v>
      </c>
      <c r="AI1030" s="90">
        <f t="shared" si="296"/>
        <v>1358</v>
      </c>
      <c r="AJ1030" s="90">
        <f t="shared" si="297"/>
        <v>2022</v>
      </c>
      <c r="AK1030" s="90" t="str">
        <f t="shared" si="298"/>
        <v/>
      </c>
      <c r="AL1030" s="91">
        <f>IF(AK1030="Adjust",(_xlfn.XLOOKUP(A1030,'Adj factor'!A:A,'Adj factor'!I:I,,0)*AI1030),'Master DataSheet'!AI1030)</f>
        <v>1358</v>
      </c>
      <c r="AM1030" s="91">
        <f t="shared" si="299"/>
        <v>1358</v>
      </c>
      <c r="AN1030" s="92" t="str">
        <f t="shared" si="300"/>
        <v>Increasing</v>
      </c>
      <c r="AO1030" s="93">
        <f>VLOOKUP(B1030,'Growthrates source'!A$2:H$49,8,FALSE)</f>
        <v>0.14011618556211447</v>
      </c>
      <c r="AP1030" s="93">
        <f>VLOOKUP(B1030,'Growthrates source'!A$2:I$49,9,FALSE)</f>
        <v>5.4673730437993617E-2</v>
      </c>
      <c r="AQ1030" s="86">
        <f t="shared" si="301"/>
        <v>51.118581457563074</v>
      </c>
      <c r="AR1030" s="86">
        <f t="shared" si="302"/>
        <v>121.35864617647663</v>
      </c>
      <c r="AS1030" s="94">
        <f t="shared" si="303"/>
        <v>2.6393986467214348E-2</v>
      </c>
      <c r="AT1030" s="94">
        <f t="shared" si="304"/>
        <v>1.7730971684963737E-2</v>
      </c>
      <c r="AU1030" s="94">
        <f t="shared" si="305"/>
        <v>0.20733537281312314</v>
      </c>
    </row>
    <row r="1031" spans="1:47" x14ac:dyDescent="0.3">
      <c r="A1031" s="85" t="str">
        <f>_xlfn.XLOOKUP(B1031,'Country codes &amp; Data sources'!G:G,'Country codes &amp; Data sources'!H:H,,0)</f>
        <v>Tanzania</v>
      </c>
      <c r="B1031" s="85" t="s">
        <v>197</v>
      </c>
      <c r="C1031" s="86">
        <v>47786158.5</v>
      </c>
      <c r="D1031" s="85" t="s">
        <v>84</v>
      </c>
      <c r="E1031" s="87">
        <v>0</v>
      </c>
      <c r="F1031" s="88">
        <v>49253643.5</v>
      </c>
      <c r="G1031" s="87">
        <v>0</v>
      </c>
      <c r="I1031" s="87">
        <v>0</v>
      </c>
      <c r="K1031" s="87">
        <v>0</v>
      </c>
      <c r="M1031" s="87">
        <v>0</v>
      </c>
      <c r="O1031" s="87">
        <v>0</v>
      </c>
      <c r="P1031" s="88">
        <v>58090443.000000007</v>
      </c>
      <c r="Q1031" s="87">
        <v>0</v>
      </c>
      <c r="R1031" s="87">
        <f t="shared" si="288"/>
        <v>0</v>
      </c>
      <c r="T1031" s="87">
        <v>0</v>
      </c>
      <c r="V1031" s="87">
        <v>0</v>
      </c>
      <c r="X1031" s="87">
        <v>0</v>
      </c>
      <c r="Y1031" s="88">
        <v>65497748.000000045</v>
      </c>
      <c r="Z1031" s="87">
        <v>0</v>
      </c>
      <c r="AA1031" s="87">
        <v>0</v>
      </c>
      <c r="AB1031" s="89">
        <f t="shared" si="289"/>
        <v>0</v>
      </c>
      <c r="AC1031" s="89">
        <f t="shared" si="290"/>
        <v>0</v>
      </c>
      <c r="AD1031" s="89">
        <f t="shared" si="291"/>
        <v>0</v>
      </c>
      <c r="AE1031" s="90">
        <f t="shared" si="292"/>
        <v>0</v>
      </c>
      <c r="AF1031" s="90" t="str">
        <f t="shared" si="293"/>
        <v/>
      </c>
      <c r="AG1031" s="90">
        <f t="shared" si="294"/>
        <v>0</v>
      </c>
      <c r="AH1031" s="90" t="str">
        <f t="shared" si="295"/>
        <v/>
      </c>
      <c r="AI1031" s="90">
        <f t="shared" si="296"/>
        <v>0</v>
      </c>
      <c r="AJ1031" s="90" t="str">
        <f t="shared" si="297"/>
        <v/>
      </c>
      <c r="AK1031" s="90" t="str">
        <f t="shared" si="298"/>
        <v/>
      </c>
      <c r="AL1031" s="91">
        <f>IF(AK1031="Adjust",(_xlfn.XLOOKUP(A1031,'Adj factor'!A:A,'Adj factor'!I:I,,0)*AI1031),'Master DataSheet'!AI1031)</f>
        <v>0</v>
      </c>
      <c r="AM1031" s="91">
        <f t="shared" si="299"/>
        <v>0</v>
      </c>
      <c r="AN1031" s="92" t="str">
        <f t="shared" si="300"/>
        <v>No change</v>
      </c>
      <c r="AO1031" s="93">
        <f>VLOOKUP(B1031,'Growthrates source'!A$2:H$49,8,FALSE)</f>
        <v>0.14011618556211447</v>
      </c>
      <c r="AP1031" s="93">
        <f>VLOOKUP(B1031,'Growthrates source'!A$2:I$49,9,FALSE)</f>
        <v>5.4673730437993617E-2</v>
      </c>
      <c r="AQ1031" s="86">
        <f t="shared" si="301"/>
        <v>0</v>
      </c>
      <c r="AR1031" s="86">
        <f t="shared" si="302"/>
        <v>0</v>
      </c>
      <c r="AS1031" s="94">
        <f t="shared" si="303"/>
        <v>0</v>
      </c>
      <c r="AT1031" s="94">
        <f t="shared" si="304"/>
        <v>0</v>
      </c>
      <c r="AU1031" s="94">
        <f t="shared" si="305"/>
        <v>0</v>
      </c>
    </row>
    <row r="1032" spans="1:47" x14ac:dyDescent="0.3">
      <c r="A1032" s="85" t="str">
        <f>_xlfn.XLOOKUP(B1032,'Country codes &amp; Data sources'!G:G,'Country codes &amp; Data sources'!H:H,,0)</f>
        <v>Tanzania</v>
      </c>
      <c r="B1032" s="85" t="s">
        <v>197</v>
      </c>
      <c r="C1032" s="86">
        <v>47786159.5</v>
      </c>
      <c r="D1032" s="85" t="s">
        <v>126</v>
      </c>
      <c r="E1032" s="87">
        <v>0</v>
      </c>
      <c r="F1032" s="88">
        <v>49253643.5</v>
      </c>
      <c r="G1032" s="87">
        <v>0</v>
      </c>
      <c r="I1032" s="87">
        <v>0</v>
      </c>
      <c r="K1032" s="87">
        <v>0</v>
      </c>
      <c r="M1032" s="87">
        <v>0</v>
      </c>
      <c r="O1032" s="87">
        <v>0</v>
      </c>
      <c r="P1032" s="88">
        <v>58090443.000000007</v>
      </c>
      <c r="Q1032" s="87">
        <v>0</v>
      </c>
      <c r="R1032" s="87">
        <f t="shared" si="288"/>
        <v>2</v>
      </c>
      <c r="T1032" s="87">
        <v>0</v>
      </c>
      <c r="V1032" s="87">
        <v>0</v>
      </c>
      <c r="X1032" s="87">
        <v>0</v>
      </c>
      <c r="Y1032" s="88">
        <v>65497748.000000045</v>
      </c>
      <c r="Z1032" s="87">
        <v>2</v>
      </c>
      <c r="AA1032" s="87">
        <v>2</v>
      </c>
      <c r="AB1032" s="89">
        <f t="shared" si="289"/>
        <v>0</v>
      </c>
      <c r="AC1032" s="89">
        <f t="shared" si="290"/>
        <v>0</v>
      </c>
      <c r="AD1032" s="89">
        <f t="shared" si="291"/>
        <v>2</v>
      </c>
      <c r="AE1032" s="90">
        <f t="shared" si="292"/>
        <v>0</v>
      </c>
      <c r="AF1032" s="90" t="str">
        <f t="shared" si="293"/>
        <v/>
      </c>
      <c r="AG1032" s="90">
        <f t="shared" si="294"/>
        <v>2</v>
      </c>
      <c r="AH1032" s="90" t="str">
        <f t="shared" si="295"/>
        <v>2018 (triag)</v>
      </c>
      <c r="AI1032" s="90">
        <f t="shared" si="296"/>
        <v>2</v>
      </c>
      <c r="AJ1032" s="90">
        <f t="shared" si="297"/>
        <v>2022</v>
      </c>
      <c r="AK1032" s="90" t="str">
        <f t="shared" si="298"/>
        <v/>
      </c>
      <c r="AL1032" s="91">
        <f>IF(AK1032="Adjust",(_xlfn.XLOOKUP(A1032,'Adj factor'!A:A,'Adj factor'!I:I,,0)*AI1032),'Master DataSheet'!AI1032)</f>
        <v>2</v>
      </c>
      <c r="AM1032" s="91">
        <f t="shared" si="299"/>
        <v>2</v>
      </c>
      <c r="AN1032" s="92" t="str">
        <f t="shared" si="300"/>
        <v>No change</v>
      </c>
      <c r="AO1032" s="93">
        <f>VLOOKUP(B1032,'Growthrates source'!A$2:H$49,8,FALSE)</f>
        <v>0.14011618556211447</v>
      </c>
      <c r="AP1032" s="93">
        <f>VLOOKUP(B1032,'Growthrates source'!A$2:I$49,9,FALSE)</f>
        <v>5.4673730437993617E-2</v>
      </c>
      <c r="AQ1032" s="86">
        <f t="shared" si="301"/>
        <v>0.99259381470996266</v>
      </c>
      <c r="AR1032" s="86">
        <f t="shared" si="302"/>
        <v>2.3564785665335268</v>
      </c>
      <c r="AS1032" s="94">
        <f t="shared" si="303"/>
        <v>0</v>
      </c>
      <c r="AT1032" s="94">
        <f t="shared" si="304"/>
        <v>3.4429071232939293E-4</v>
      </c>
      <c r="AU1032" s="94">
        <f t="shared" si="305"/>
        <v>3.0535401003405473E-4</v>
      </c>
    </row>
    <row r="1033" spans="1:47" x14ac:dyDescent="0.3">
      <c r="A1033" s="85" t="str">
        <f>_xlfn.XLOOKUP(B1033,'Country codes &amp; Data sources'!G:G,'Country codes &amp; Data sources'!H:H,,0)</f>
        <v>Tanzania</v>
      </c>
      <c r="B1033" s="85" t="s">
        <v>197</v>
      </c>
      <c r="C1033" s="86">
        <v>47786160.5</v>
      </c>
      <c r="D1033" s="85" t="s">
        <v>87</v>
      </c>
      <c r="E1033" s="87">
        <v>0</v>
      </c>
      <c r="F1033" s="88">
        <v>49253643.5</v>
      </c>
      <c r="G1033" s="87">
        <v>0</v>
      </c>
      <c r="I1033" s="87">
        <v>0</v>
      </c>
      <c r="K1033" s="87">
        <v>0</v>
      </c>
      <c r="M1033" s="87">
        <v>0</v>
      </c>
      <c r="O1033" s="87">
        <v>0</v>
      </c>
      <c r="P1033" s="88">
        <v>58090443.000000007</v>
      </c>
      <c r="Q1033" s="87">
        <v>0</v>
      </c>
      <c r="R1033" s="87">
        <f t="shared" si="288"/>
        <v>15200</v>
      </c>
      <c r="T1033" s="87">
        <v>0</v>
      </c>
      <c r="V1033" s="87">
        <v>0</v>
      </c>
      <c r="X1033" s="87">
        <v>0</v>
      </c>
      <c r="Y1033" s="88">
        <v>65497748.000000045</v>
      </c>
      <c r="Z1033" s="87">
        <v>4710</v>
      </c>
      <c r="AA1033" s="87">
        <v>15200</v>
      </c>
      <c r="AB1033" s="89">
        <f t="shared" si="289"/>
        <v>0</v>
      </c>
      <c r="AC1033" s="89">
        <f t="shared" si="290"/>
        <v>0</v>
      </c>
      <c r="AD1033" s="89">
        <f t="shared" si="291"/>
        <v>4710</v>
      </c>
      <c r="AE1033" s="90">
        <f t="shared" si="292"/>
        <v>0</v>
      </c>
      <c r="AF1033" s="90" t="str">
        <f t="shared" si="293"/>
        <v/>
      </c>
      <c r="AG1033" s="90">
        <f t="shared" si="294"/>
        <v>15200</v>
      </c>
      <c r="AH1033" s="90" t="str">
        <f t="shared" si="295"/>
        <v>2018 (triag)</v>
      </c>
      <c r="AI1033" s="90">
        <f t="shared" si="296"/>
        <v>4710</v>
      </c>
      <c r="AJ1033" s="90">
        <f t="shared" si="297"/>
        <v>2022</v>
      </c>
      <c r="AK1033" s="90" t="str">
        <f t="shared" si="298"/>
        <v>Adjust</v>
      </c>
      <c r="AL1033" s="91">
        <f>IF(AK1033="Adjust",(_xlfn.XLOOKUP(A1033,'Adj factor'!A:A,'Adj factor'!I:I,,0)*AI1033),'Master DataSheet'!AI1033)</f>
        <v>6101.8158508607894</v>
      </c>
      <c r="AM1033" s="91">
        <f t="shared" si="299"/>
        <v>15200</v>
      </c>
      <c r="AN1033" s="92" t="str">
        <f t="shared" si="300"/>
        <v>Decreasing</v>
      </c>
      <c r="AO1033" s="93">
        <f>VLOOKUP(B1033,'Growthrates source'!A$2:H$49,8,FALSE)</f>
        <v>0.14011618556211447</v>
      </c>
      <c r="AP1033" s="93">
        <f>VLOOKUP(B1033,'Growthrates source'!A$2:I$49,9,FALSE)</f>
        <v>5.4673730437993617E-2</v>
      </c>
      <c r="AQ1033" s="86">
        <f t="shared" si="301"/>
        <v>7543.7129917957163</v>
      </c>
      <c r="AR1033" s="86">
        <f t="shared" si="302"/>
        <v>17909.237105654804</v>
      </c>
      <c r="AS1033" s="94">
        <f t="shared" si="303"/>
        <v>0</v>
      </c>
      <c r="AT1033" s="94">
        <f t="shared" si="304"/>
        <v>2.6166094137033862</v>
      </c>
      <c r="AU1033" s="94">
        <f t="shared" si="305"/>
        <v>2.3206904762588159</v>
      </c>
    </row>
    <row r="1034" spans="1:47" x14ac:dyDescent="0.3">
      <c r="A1034" s="85" t="str">
        <f>_xlfn.XLOOKUP(B1034,'Country codes &amp; Data sources'!G:G,'Country codes &amp; Data sources'!H:H,,0)</f>
        <v>Uganda</v>
      </c>
      <c r="B1034" s="85" t="s">
        <v>191</v>
      </c>
      <c r="C1034" s="86">
        <v>34273295.000000015</v>
      </c>
      <c r="D1034" s="85" t="s">
        <v>321</v>
      </c>
      <c r="E1034" s="87">
        <v>6740</v>
      </c>
      <c r="F1034" s="88">
        <v>35273569.999999993</v>
      </c>
      <c r="G1034" s="87">
        <v>0</v>
      </c>
      <c r="H1034" s="87">
        <v>36336539.50000003</v>
      </c>
      <c r="I1034" s="87">
        <v>0</v>
      </c>
      <c r="J1034" s="87">
        <v>37477355.999999978</v>
      </c>
      <c r="K1034" s="87">
        <v>7290</v>
      </c>
      <c r="L1034" s="87">
        <v>38748298.999999978</v>
      </c>
      <c r="M1034" s="87">
        <v>42</v>
      </c>
      <c r="N1034" s="87">
        <v>40127084.999999978</v>
      </c>
      <c r="O1034" s="87">
        <v>13836</v>
      </c>
      <c r="P1034" s="88">
        <v>41515395.000000015</v>
      </c>
      <c r="Q1034" s="87">
        <v>0</v>
      </c>
      <c r="R1034" s="87">
        <f t="shared" si="288"/>
        <v>17186</v>
      </c>
      <c r="S1034" s="87">
        <v>42949080.000000015</v>
      </c>
      <c r="T1034" s="87">
        <v>0</v>
      </c>
      <c r="U1034" s="87">
        <v>44404611.000000007</v>
      </c>
      <c r="V1034" s="87">
        <v>14062</v>
      </c>
      <c r="W1034" s="87">
        <v>45853778.000000022</v>
      </c>
      <c r="X1034" s="87">
        <v>0</v>
      </c>
      <c r="Y1034" s="88">
        <v>47249584.999999978</v>
      </c>
      <c r="Z1034" s="87">
        <v>17454</v>
      </c>
      <c r="AA1034" s="87">
        <v>17186</v>
      </c>
      <c r="AB1034" s="89">
        <f t="shared" si="289"/>
        <v>7290</v>
      </c>
      <c r="AC1034" s="89">
        <f t="shared" si="290"/>
        <v>13836</v>
      </c>
      <c r="AD1034" s="89">
        <f t="shared" si="291"/>
        <v>17454</v>
      </c>
      <c r="AE1034" s="90">
        <f t="shared" si="292"/>
        <v>6740</v>
      </c>
      <c r="AF1034" s="90">
        <f t="shared" si="293"/>
        <v>2012</v>
      </c>
      <c r="AG1034" s="90">
        <f t="shared" si="294"/>
        <v>17186</v>
      </c>
      <c r="AH1034" s="90" t="str">
        <f t="shared" si="295"/>
        <v>2018 (triag)</v>
      </c>
      <c r="AI1034" s="90">
        <f t="shared" si="296"/>
        <v>17454</v>
      </c>
      <c r="AJ1034" s="90">
        <f t="shared" si="297"/>
        <v>2022</v>
      </c>
      <c r="AK1034" s="90" t="str">
        <f t="shared" si="298"/>
        <v/>
      </c>
      <c r="AL1034" s="91">
        <f>IF(AK1034="Adjust",(_xlfn.XLOOKUP(A1034,'Adj factor'!A:A,'Adj factor'!I:I,,0)*AI1034),'Master DataSheet'!AI1034)</f>
        <v>17454</v>
      </c>
      <c r="AM1034" s="91">
        <f t="shared" si="299"/>
        <v>17454</v>
      </c>
      <c r="AN1034" s="92" t="str">
        <f t="shared" si="300"/>
        <v>Increasing</v>
      </c>
      <c r="AO1034" s="93">
        <f>VLOOKUP(B1034,'Growthrates source'!A$2:H$49,8,FALSE)</f>
        <v>4.7050173871553191E-2</v>
      </c>
      <c r="AP1034" s="93">
        <f>VLOOKUP(B1034,'Growthrates source'!A$2:I$49,9,FALSE)</f>
        <v>5.4673730437993617E-2</v>
      </c>
      <c r="AQ1034" s="86">
        <f t="shared" si="301"/>
        <v>13583.342549825131</v>
      </c>
      <c r="AR1034" s="86">
        <f t="shared" si="302"/>
        <v>20249.220322222594</v>
      </c>
      <c r="AS1034" s="94">
        <f t="shared" si="303"/>
        <v>1.9107790904067836</v>
      </c>
      <c r="AT1034" s="94">
        <f t="shared" si="304"/>
        <v>4.139669151648441</v>
      </c>
      <c r="AU1034" s="94">
        <f t="shared" si="305"/>
        <v>3.6940006986304765</v>
      </c>
    </row>
    <row r="1035" spans="1:47" x14ac:dyDescent="0.3">
      <c r="A1035" s="85" t="str">
        <f>_xlfn.XLOOKUP(B1035,'Country codes &amp; Data sources'!G:G,'Country codes &amp; Data sources'!H:H,,0)</f>
        <v>Uganda</v>
      </c>
      <c r="B1035" s="85" t="s">
        <v>191</v>
      </c>
      <c r="C1035" s="86">
        <v>34273296</v>
      </c>
      <c r="D1035" s="85" t="s">
        <v>322</v>
      </c>
      <c r="E1035" s="87">
        <v>81632</v>
      </c>
      <c r="F1035" s="88">
        <v>35273569.999999993</v>
      </c>
      <c r="G1035" s="87">
        <v>80298</v>
      </c>
      <c r="I1035" s="87">
        <v>90776</v>
      </c>
      <c r="K1035" s="87">
        <v>101362</v>
      </c>
      <c r="M1035" s="87">
        <v>110456</v>
      </c>
      <c r="O1035" s="87">
        <v>120912</v>
      </c>
      <c r="P1035" s="88">
        <v>41515395.000000015</v>
      </c>
      <c r="Q1035" s="87">
        <v>105814</v>
      </c>
      <c r="R1035" s="87">
        <f t="shared" si="288"/>
        <v>105814</v>
      </c>
      <c r="T1035" s="87">
        <v>0</v>
      </c>
      <c r="V1035" s="87">
        <v>102654</v>
      </c>
      <c r="X1035" s="87">
        <v>0</v>
      </c>
      <c r="Y1035" s="88">
        <v>47249584.999999978</v>
      </c>
      <c r="Z1035" s="87">
        <v>148394</v>
      </c>
      <c r="AA1035" s="87">
        <v>16407</v>
      </c>
      <c r="AB1035" s="89">
        <f t="shared" si="289"/>
        <v>101362</v>
      </c>
      <c r="AC1035" s="89">
        <f t="shared" si="290"/>
        <v>120912</v>
      </c>
      <c r="AD1035" s="89">
        <f t="shared" si="291"/>
        <v>148394</v>
      </c>
      <c r="AE1035" s="90">
        <f t="shared" si="292"/>
        <v>80298</v>
      </c>
      <c r="AF1035" s="90">
        <f t="shared" si="293"/>
        <v>2013</v>
      </c>
      <c r="AG1035" s="90">
        <f t="shared" si="294"/>
        <v>105814</v>
      </c>
      <c r="AH1035" s="90">
        <f t="shared" si="295"/>
        <v>2018</v>
      </c>
      <c r="AI1035" s="90">
        <f t="shared" si="296"/>
        <v>148394</v>
      </c>
      <c r="AJ1035" s="90">
        <f t="shared" si="297"/>
        <v>2022</v>
      </c>
      <c r="AK1035" s="90" t="str">
        <f t="shared" si="298"/>
        <v/>
      </c>
      <c r="AL1035" s="91">
        <f>IF(AK1035="Adjust",(_xlfn.XLOOKUP(A1035,'Adj factor'!A:A,'Adj factor'!I:I,,0)*AI1035),'Master DataSheet'!AI1035)</f>
        <v>148394</v>
      </c>
      <c r="AM1035" s="91">
        <f t="shared" si="299"/>
        <v>148394</v>
      </c>
      <c r="AN1035" s="92" t="str">
        <f t="shared" si="300"/>
        <v>Increasing</v>
      </c>
      <c r="AO1035" s="93">
        <f>VLOOKUP(B1035,'Growthrates source'!A$2:H$49,8,FALSE)</f>
        <v>4.7050173871553191E-2</v>
      </c>
      <c r="AP1035" s="93">
        <f>VLOOKUP(B1035,'Growthrates source'!A$2:I$49,9,FALSE)</f>
        <v>5.4673730437993617E-2</v>
      </c>
      <c r="AQ1035" s="86">
        <f t="shared" si="301"/>
        <v>12967.642337657449</v>
      </c>
      <c r="AR1035" s="86">
        <f t="shared" si="302"/>
        <v>19331.371920557787</v>
      </c>
      <c r="AS1035" s="94">
        <f t="shared" si="303"/>
        <v>22.764353026926397</v>
      </c>
      <c r="AT1035" s="94">
        <f t="shared" si="304"/>
        <v>25.487894310050514</v>
      </c>
      <c r="AU1035" s="94">
        <f t="shared" si="305"/>
        <v>31.406413410826797</v>
      </c>
    </row>
    <row r="1036" spans="1:47" x14ac:dyDescent="0.3">
      <c r="A1036" s="85" t="str">
        <f>_xlfn.XLOOKUP(B1036,'Country codes &amp; Data sources'!G:G,'Country codes &amp; Data sources'!H:H,,0)</f>
        <v>Uganda</v>
      </c>
      <c r="B1036" s="85" t="s">
        <v>191</v>
      </c>
      <c r="C1036" s="86">
        <v>34273297</v>
      </c>
      <c r="D1036" s="85" t="s">
        <v>323</v>
      </c>
      <c r="E1036" s="87">
        <v>0</v>
      </c>
      <c r="F1036" s="88">
        <v>35273569.999999993</v>
      </c>
      <c r="G1036" s="87">
        <v>14000</v>
      </c>
      <c r="I1036" s="87">
        <v>0</v>
      </c>
      <c r="K1036" s="87">
        <v>17630</v>
      </c>
      <c r="M1036" s="87">
        <v>19604</v>
      </c>
      <c r="O1036" s="87">
        <v>0</v>
      </c>
      <c r="P1036" s="88">
        <v>41515395.000000015</v>
      </c>
      <c r="Q1036" s="87">
        <v>0</v>
      </c>
      <c r="R1036" s="87">
        <f t="shared" si="288"/>
        <v>7237</v>
      </c>
      <c r="T1036" s="87">
        <v>0</v>
      </c>
      <c r="V1036" s="87">
        <v>47092</v>
      </c>
      <c r="X1036" s="87">
        <v>0</v>
      </c>
      <c r="Y1036" s="88">
        <v>47249584.999999978</v>
      </c>
      <c r="Z1036" s="87">
        <v>65914</v>
      </c>
      <c r="AA1036" s="87">
        <v>7237</v>
      </c>
      <c r="AB1036" s="89">
        <f t="shared" si="289"/>
        <v>17630</v>
      </c>
      <c r="AC1036" s="89">
        <f t="shared" si="290"/>
        <v>19604</v>
      </c>
      <c r="AD1036" s="89">
        <f t="shared" si="291"/>
        <v>65914</v>
      </c>
      <c r="AE1036" s="90">
        <f t="shared" si="292"/>
        <v>14000</v>
      </c>
      <c r="AF1036" s="90">
        <f t="shared" si="293"/>
        <v>2013</v>
      </c>
      <c r="AG1036" s="90">
        <f t="shared" si="294"/>
        <v>7237</v>
      </c>
      <c r="AH1036" s="90" t="str">
        <f t="shared" si="295"/>
        <v>2018 (triag)</v>
      </c>
      <c r="AI1036" s="90">
        <f t="shared" si="296"/>
        <v>65914</v>
      </c>
      <c r="AJ1036" s="90">
        <f t="shared" si="297"/>
        <v>2022</v>
      </c>
      <c r="AK1036" s="90" t="str">
        <f t="shared" si="298"/>
        <v/>
      </c>
      <c r="AL1036" s="91">
        <f>IF(AK1036="Adjust",(_xlfn.XLOOKUP(A1036,'Adj factor'!A:A,'Adj factor'!I:I,,0)*AI1036),'Master DataSheet'!AI1036)</f>
        <v>65914</v>
      </c>
      <c r="AM1036" s="91">
        <f t="shared" si="299"/>
        <v>65914</v>
      </c>
      <c r="AN1036" s="92" t="str">
        <f t="shared" si="300"/>
        <v>Increasing</v>
      </c>
      <c r="AO1036" s="93">
        <f>VLOOKUP(B1036,'Growthrates source'!A$2:H$49,8,FALSE)</f>
        <v>4.7050173871553191E-2</v>
      </c>
      <c r="AP1036" s="93">
        <f>VLOOKUP(B1036,'Growthrates source'!A$2:I$49,9,FALSE)</f>
        <v>5.4673730437993617E-2</v>
      </c>
      <c r="AQ1036" s="86">
        <f t="shared" si="301"/>
        <v>5719.9261045667672</v>
      </c>
      <c r="AR1036" s="86">
        <f t="shared" si="302"/>
        <v>8526.9176930015674</v>
      </c>
      <c r="AS1036" s="94">
        <f t="shared" si="303"/>
        <v>3.968977339123883</v>
      </c>
      <c r="AT1036" s="94">
        <f t="shared" si="304"/>
        <v>1.7432087542464663</v>
      </c>
      <c r="AU1036" s="94">
        <f t="shared" si="305"/>
        <v>13.950175435403303</v>
      </c>
    </row>
    <row r="1037" spans="1:47" x14ac:dyDescent="0.3">
      <c r="A1037" s="85" t="str">
        <f>_xlfn.XLOOKUP(B1037,'Country codes &amp; Data sources'!G:G,'Country codes &amp; Data sources'!H:H,,0)</f>
        <v>Uganda</v>
      </c>
      <c r="B1037" s="85" t="s">
        <v>191</v>
      </c>
      <c r="C1037" s="86">
        <v>34273298</v>
      </c>
      <c r="D1037" s="85" t="s">
        <v>324</v>
      </c>
      <c r="E1037" s="87">
        <v>72</v>
      </c>
      <c r="F1037" s="88">
        <v>35273569.999999993</v>
      </c>
      <c r="G1037" s="87">
        <v>0</v>
      </c>
      <c r="I1037" s="87">
        <v>0</v>
      </c>
      <c r="K1037" s="87">
        <v>0</v>
      </c>
      <c r="M1037" s="87">
        <v>0</v>
      </c>
      <c r="O1037" s="87">
        <v>0</v>
      </c>
      <c r="P1037" s="88">
        <v>41515395.000000015</v>
      </c>
      <c r="Q1037" s="87">
        <v>0</v>
      </c>
      <c r="R1037" s="87">
        <f t="shared" si="288"/>
        <v>324</v>
      </c>
      <c r="T1037" s="87">
        <v>2202</v>
      </c>
      <c r="V1037" s="87">
        <v>0</v>
      </c>
      <c r="X1037" s="87">
        <v>17</v>
      </c>
      <c r="Y1037" s="88">
        <v>47249584.999999978</v>
      </c>
      <c r="Z1037" s="87">
        <v>170</v>
      </c>
      <c r="AA1037" s="87">
        <v>324</v>
      </c>
      <c r="AB1037" s="89">
        <f t="shared" si="289"/>
        <v>72</v>
      </c>
      <c r="AC1037" s="89">
        <f t="shared" si="290"/>
        <v>2202</v>
      </c>
      <c r="AD1037" s="89">
        <f t="shared" si="291"/>
        <v>170</v>
      </c>
      <c r="AE1037" s="90">
        <f t="shared" si="292"/>
        <v>72</v>
      </c>
      <c r="AF1037" s="90">
        <f t="shared" si="293"/>
        <v>2012</v>
      </c>
      <c r="AG1037" s="90">
        <f t="shared" si="294"/>
        <v>324</v>
      </c>
      <c r="AH1037" s="90" t="str">
        <f t="shared" si="295"/>
        <v>2018 (triag)</v>
      </c>
      <c r="AI1037" s="90">
        <f t="shared" si="296"/>
        <v>170</v>
      </c>
      <c r="AJ1037" s="90">
        <f t="shared" si="297"/>
        <v>2022</v>
      </c>
      <c r="AK1037" s="90" t="str">
        <f t="shared" si="298"/>
        <v>Adjust</v>
      </c>
      <c r="AL1037" s="91">
        <f>IF(AK1037="Adjust",(_xlfn.XLOOKUP(A1037,'Adj factor'!A:A,'Adj factor'!I:I,,0)*AI1037),'Master DataSheet'!AI1037)</f>
        <v>193.77947686116701</v>
      </c>
      <c r="AM1037" s="62">
        <v>3459</v>
      </c>
      <c r="AN1037" s="92" t="str">
        <f t="shared" si="300"/>
        <v>Decreasing</v>
      </c>
      <c r="AO1037" s="93">
        <f>VLOOKUP(B1037,'Growthrates source'!A$2:H$49,8,FALSE)</f>
        <v>4.7050173871553191E-2</v>
      </c>
      <c r="AP1037" s="93">
        <f>VLOOKUP(B1037,'Growthrates source'!A$2:I$49,9,FALSE)</f>
        <v>5.4673730437993617E-2</v>
      </c>
      <c r="AQ1037" s="86">
        <f t="shared" si="301"/>
        <v>256.08070441890737</v>
      </c>
      <c r="AR1037" s="86">
        <f t="shared" si="302"/>
        <v>381.74952777843134</v>
      </c>
      <c r="AS1037" s="94">
        <f t="shared" si="303"/>
        <v>2.0411883458351397E-2</v>
      </c>
      <c r="AT1037" s="94">
        <f t="shared" si="304"/>
        <v>7.8043337899109444E-2</v>
      </c>
      <c r="AU1037" s="94">
        <f t="shared" si="305"/>
        <v>0.73206992188397035</v>
      </c>
    </row>
    <row r="1038" spans="1:47" x14ac:dyDescent="0.3">
      <c r="A1038" s="85" t="str">
        <f>_xlfn.XLOOKUP(B1038,'Country codes &amp; Data sources'!G:G,'Country codes &amp; Data sources'!H:H,,0)</f>
        <v>Uganda</v>
      </c>
      <c r="B1038" s="85" t="s">
        <v>191</v>
      </c>
      <c r="C1038" s="86">
        <v>34273299</v>
      </c>
      <c r="D1038" s="85" t="s">
        <v>325</v>
      </c>
      <c r="E1038" s="87">
        <v>0</v>
      </c>
      <c r="F1038" s="88">
        <v>35273569.999999993</v>
      </c>
      <c r="G1038" s="87">
        <v>0</v>
      </c>
      <c r="I1038" s="87">
        <v>0</v>
      </c>
      <c r="K1038" s="87">
        <v>0</v>
      </c>
      <c r="M1038" s="87">
        <v>0</v>
      </c>
      <c r="O1038" s="87">
        <v>0</v>
      </c>
      <c r="P1038" s="88">
        <v>41515395.000000015</v>
      </c>
      <c r="Q1038" s="87">
        <v>0</v>
      </c>
      <c r="R1038" s="87">
        <f t="shared" si="288"/>
        <v>26</v>
      </c>
      <c r="T1038" s="87">
        <v>1045</v>
      </c>
      <c r="V1038" s="87">
        <v>0</v>
      </c>
      <c r="X1038" s="87">
        <v>111</v>
      </c>
      <c r="Y1038" s="88">
        <v>47249584.999999978</v>
      </c>
      <c r="Z1038" s="87">
        <v>0</v>
      </c>
      <c r="AA1038" s="87">
        <v>26</v>
      </c>
      <c r="AB1038" s="89">
        <f t="shared" si="289"/>
        <v>0</v>
      </c>
      <c r="AC1038" s="89">
        <f t="shared" si="290"/>
        <v>1045</v>
      </c>
      <c r="AD1038" s="89">
        <f t="shared" si="291"/>
        <v>111</v>
      </c>
      <c r="AE1038" s="90">
        <f t="shared" si="292"/>
        <v>0</v>
      </c>
      <c r="AF1038" s="90" t="str">
        <f t="shared" si="293"/>
        <v/>
      </c>
      <c r="AG1038" s="90">
        <f t="shared" si="294"/>
        <v>26</v>
      </c>
      <c r="AH1038" s="90" t="str">
        <f t="shared" si="295"/>
        <v>2018 (triag)</v>
      </c>
      <c r="AI1038" s="90">
        <f t="shared" si="296"/>
        <v>111</v>
      </c>
      <c r="AJ1038" s="90">
        <f t="shared" si="297"/>
        <v>2021</v>
      </c>
      <c r="AK1038" s="90" t="str">
        <f t="shared" si="298"/>
        <v/>
      </c>
      <c r="AL1038" s="91">
        <f>IF(AK1038="Adjust",(_xlfn.XLOOKUP(A1038,'Adj factor'!A:A,'Adj factor'!I:I,,0)*AI1038),'Master DataSheet'!AI1038)</f>
        <v>111</v>
      </c>
      <c r="AM1038" s="62">
        <v>1588</v>
      </c>
      <c r="AN1038" s="92" t="str">
        <f t="shared" si="300"/>
        <v>Increasing</v>
      </c>
      <c r="AO1038" s="93">
        <f>VLOOKUP(B1038,'Growthrates source'!A$2:H$49,8,FALSE)</f>
        <v>4.7050173871553191E-2</v>
      </c>
      <c r="AP1038" s="93">
        <f>VLOOKUP(B1038,'Growthrates source'!A$2:I$49,9,FALSE)</f>
        <v>5.4673730437993617E-2</v>
      </c>
      <c r="AQ1038" s="86">
        <f t="shared" si="301"/>
        <v>20.549686157072813</v>
      </c>
      <c r="AR1038" s="86">
        <f t="shared" si="302"/>
        <v>30.634221364935847</v>
      </c>
      <c r="AS1038" s="94">
        <f t="shared" si="303"/>
        <v>0</v>
      </c>
      <c r="AT1038" s="94">
        <f t="shared" si="304"/>
        <v>6.2627369919038443E-3</v>
      </c>
      <c r="AU1038" s="94">
        <f t="shared" si="305"/>
        <v>0.33608760796523413</v>
      </c>
    </row>
    <row r="1039" spans="1:47" x14ac:dyDescent="0.3">
      <c r="A1039" s="85" t="str">
        <f>_xlfn.XLOOKUP(B1039,'Country codes &amp; Data sources'!G:G,'Country codes &amp; Data sources'!H:H,,0)</f>
        <v>Uganda</v>
      </c>
      <c r="B1039" s="85" t="s">
        <v>191</v>
      </c>
      <c r="C1039" s="86">
        <v>34273300</v>
      </c>
      <c r="D1039" s="85" t="s">
        <v>127</v>
      </c>
      <c r="E1039" s="87">
        <v>0</v>
      </c>
      <c r="F1039" s="88">
        <v>35273569.999999993</v>
      </c>
      <c r="G1039" s="87">
        <v>0</v>
      </c>
      <c r="I1039" s="87">
        <v>0</v>
      </c>
      <c r="K1039" s="87">
        <v>179175</v>
      </c>
      <c r="M1039" s="87">
        <v>0</v>
      </c>
      <c r="O1039" s="87">
        <v>0</v>
      </c>
      <c r="P1039" s="88">
        <v>41515395.000000015</v>
      </c>
      <c r="Q1039" s="87">
        <v>0</v>
      </c>
      <c r="R1039" s="87">
        <f t="shared" si="288"/>
        <v>0</v>
      </c>
      <c r="T1039" s="87">
        <v>179000</v>
      </c>
      <c r="V1039" s="87">
        <v>0</v>
      </c>
      <c r="X1039" s="87">
        <v>0</v>
      </c>
      <c r="Y1039" s="88">
        <v>47249584.999999978</v>
      </c>
      <c r="Z1039" s="87">
        <v>0</v>
      </c>
      <c r="AA1039" s="87">
        <v>0</v>
      </c>
      <c r="AB1039" s="89">
        <f t="shared" si="289"/>
        <v>179175</v>
      </c>
      <c r="AC1039" s="89">
        <f t="shared" si="290"/>
        <v>179000</v>
      </c>
      <c r="AD1039" s="89">
        <f t="shared" si="291"/>
        <v>0</v>
      </c>
      <c r="AE1039" s="90">
        <f t="shared" si="292"/>
        <v>179175</v>
      </c>
      <c r="AF1039" s="90">
        <f t="shared" si="293"/>
        <v>2015</v>
      </c>
      <c r="AG1039" s="90">
        <f t="shared" si="294"/>
        <v>179000</v>
      </c>
      <c r="AH1039" s="90">
        <f t="shared" si="295"/>
        <v>2019</v>
      </c>
      <c r="AI1039" s="90">
        <f t="shared" si="296"/>
        <v>179000</v>
      </c>
      <c r="AJ1039" s="90">
        <f t="shared" si="297"/>
        <v>2019</v>
      </c>
      <c r="AK1039" s="90" t="str">
        <f t="shared" si="298"/>
        <v/>
      </c>
      <c r="AL1039" s="91">
        <f>IF(AK1039="Adjust",(_xlfn.XLOOKUP(A1039,'Adj factor'!A:A,'Adj factor'!I:I,,0)*AI1039),'Master DataSheet'!AI1039)</f>
        <v>179000</v>
      </c>
      <c r="AM1039" s="91">
        <f t="shared" si="299"/>
        <v>179000</v>
      </c>
      <c r="AN1039" s="92" t="str">
        <f t="shared" si="300"/>
        <v>No change</v>
      </c>
      <c r="AO1039" s="93">
        <f>VLOOKUP(B1039,'Growthrates source'!A$2:H$49,8,FALSE)</f>
        <v>4.7050173871553191E-2</v>
      </c>
      <c r="AP1039" s="93">
        <f>VLOOKUP(B1039,'Growthrates source'!A$2:I$49,9,FALSE)</f>
        <v>5.4673730437993617E-2</v>
      </c>
      <c r="AQ1039" s="86">
        <f t="shared" si="301"/>
        <v>0</v>
      </c>
      <c r="AR1039" s="86">
        <f t="shared" si="302"/>
        <v>0</v>
      </c>
      <c r="AS1039" s="94">
        <f t="shared" si="303"/>
        <v>50.795822481251555</v>
      </c>
      <c r="AT1039" s="94">
        <f t="shared" si="304"/>
        <v>43.116535444261082</v>
      </c>
      <c r="AU1039" s="94">
        <f t="shared" si="305"/>
        <v>37.883930620766314</v>
      </c>
    </row>
    <row r="1040" spans="1:47" ht="14.5" x14ac:dyDescent="0.35">
      <c r="A1040" s="85" t="str">
        <f>_xlfn.XLOOKUP(B1040,'Country codes &amp; Data sources'!G:G,'Country codes &amp; Data sources'!H:H,,0)</f>
        <v>Uganda</v>
      </c>
      <c r="B1040" s="85" t="s">
        <v>191</v>
      </c>
      <c r="C1040" s="86">
        <v>34273301</v>
      </c>
      <c r="D1040" s="85" t="s">
        <v>61</v>
      </c>
      <c r="E1040" s="87">
        <v>0</v>
      </c>
      <c r="F1040" s="88">
        <v>35273569.999999993</v>
      </c>
      <c r="G1040" s="87">
        <v>0</v>
      </c>
      <c r="I1040" s="87">
        <v>0</v>
      </c>
      <c r="K1040" s="87">
        <v>0</v>
      </c>
      <c r="M1040" s="87">
        <v>0</v>
      </c>
      <c r="O1040" s="87">
        <v>0</v>
      </c>
      <c r="P1040" s="88">
        <v>41515395.000000015</v>
      </c>
      <c r="Q1040" s="87">
        <v>0</v>
      </c>
      <c r="R1040" s="87">
        <f t="shared" si="288"/>
        <v>3</v>
      </c>
      <c r="T1040" s="87">
        <v>0</v>
      </c>
      <c r="V1040" s="87">
        <v>0</v>
      </c>
      <c r="X1040" s="87">
        <v>0</v>
      </c>
      <c r="Y1040" s="88">
        <v>47249584.999999978</v>
      </c>
      <c r="Z1040" s="111">
        <f>17+76</f>
        <v>93</v>
      </c>
      <c r="AA1040" s="87">
        <v>3</v>
      </c>
      <c r="AB1040" s="89">
        <f t="shared" si="289"/>
        <v>0</v>
      </c>
      <c r="AC1040" s="89">
        <f t="shared" si="290"/>
        <v>0</v>
      </c>
      <c r="AD1040" s="89">
        <f t="shared" si="291"/>
        <v>93</v>
      </c>
      <c r="AE1040" s="90">
        <f t="shared" si="292"/>
        <v>0</v>
      </c>
      <c r="AF1040" s="90" t="str">
        <f t="shared" si="293"/>
        <v/>
      </c>
      <c r="AG1040" s="90">
        <f t="shared" si="294"/>
        <v>3</v>
      </c>
      <c r="AH1040" s="90" t="str">
        <f t="shared" si="295"/>
        <v>2018 (triag)</v>
      </c>
      <c r="AI1040" s="90">
        <f t="shared" si="296"/>
        <v>93</v>
      </c>
      <c r="AJ1040" s="90">
        <f t="shared" si="297"/>
        <v>2022</v>
      </c>
      <c r="AK1040" s="90" t="str">
        <f t="shared" si="298"/>
        <v/>
      </c>
      <c r="AL1040" s="91">
        <f>IF(AK1040="Adjust",(_xlfn.XLOOKUP(A1040,'Adj factor'!A:A,'Adj factor'!I:I,,0)*AI1040),'Master DataSheet'!AI1040)</f>
        <v>93</v>
      </c>
      <c r="AM1040" s="60">
        <f>17+76</f>
        <v>93</v>
      </c>
      <c r="AN1040" s="92" t="str">
        <f t="shared" si="300"/>
        <v>Increasing</v>
      </c>
      <c r="AO1040" s="93">
        <f>VLOOKUP(B1040,'Growthrates source'!A$2:H$49,8,FALSE)</f>
        <v>4.7050173871553191E-2</v>
      </c>
      <c r="AP1040" s="93">
        <f>VLOOKUP(B1040,'Growthrates source'!A$2:I$49,9,FALSE)</f>
        <v>5.4673730437993617E-2</v>
      </c>
      <c r="AQ1040" s="86">
        <f t="shared" si="301"/>
        <v>2.3711176335084017</v>
      </c>
      <c r="AR1040" s="86">
        <f t="shared" si="302"/>
        <v>3.5347178498002902</v>
      </c>
      <c r="AS1040" s="94">
        <f t="shared" si="303"/>
        <v>0</v>
      </c>
      <c r="AT1040" s="94">
        <f t="shared" si="304"/>
        <v>7.226234990658282E-4</v>
      </c>
      <c r="AU1040" s="94">
        <f t="shared" si="305"/>
        <v>1.9682712557157919E-2</v>
      </c>
    </row>
    <row r="1041" spans="1:47" ht="14.5" x14ac:dyDescent="0.35">
      <c r="A1041" s="85" t="str">
        <f>_xlfn.XLOOKUP(B1041,'Country codes &amp; Data sources'!G:G,'Country codes &amp; Data sources'!H:H,,0)</f>
        <v>Uganda</v>
      </c>
      <c r="B1041" s="85" t="s">
        <v>191</v>
      </c>
      <c r="C1041" s="86">
        <v>34273302</v>
      </c>
      <c r="D1041" s="85" t="s">
        <v>62</v>
      </c>
      <c r="E1041" s="87">
        <v>0</v>
      </c>
      <c r="F1041" s="88">
        <v>35273569.999999993</v>
      </c>
      <c r="G1041" s="87">
        <v>0</v>
      </c>
      <c r="I1041" s="87">
        <v>0</v>
      </c>
      <c r="K1041" s="87">
        <v>0</v>
      </c>
      <c r="M1041" s="87">
        <v>5112</v>
      </c>
      <c r="O1041" s="87">
        <v>0</v>
      </c>
      <c r="P1041" s="88">
        <v>41515395.000000015</v>
      </c>
      <c r="Q1041" s="87">
        <v>0</v>
      </c>
      <c r="R1041" s="87">
        <f t="shared" si="288"/>
        <v>16</v>
      </c>
      <c r="T1041" s="87">
        <v>0</v>
      </c>
      <c r="V1041" s="87">
        <v>0</v>
      </c>
      <c r="X1041" s="87">
        <v>0</v>
      </c>
      <c r="Y1041" s="88">
        <v>47249584.999999978</v>
      </c>
      <c r="Z1041" s="111">
        <v>426</v>
      </c>
      <c r="AA1041" s="87">
        <v>16</v>
      </c>
      <c r="AB1041" s="89">
        <f t="shared" si="289"/>
        <v>0</v>
      </c>
      <c r="AC1041" s="89">
        <f t="shared" si="290"/>
        <v>5112</v>
      </c>
      <c r="AD1041" s="89">
        <f t="shared" si="291"/>
        <v>426</v>
      </c>
      <c r="AE1041" s="90">
        <f t="shared" si="292"/>
        <v>0</v>
      </c>
      <c r="AF1041" s="90" t="str">
        <f t="shared" si="293"/>
        <v/>
      </c>
      <c r="AG1041" s="90">
        <f t="shared" si="294"/>
        <v>16</v>
      </c>
      <c r="AH1041" s="90" t="str">
        <f t="shared" si="295"/>
        <v>2018 (triag)</v>
      </c>
      <c r="AI1041" s="90">
        <f t="shared" si="296"/>
        <v>426</v>
      </c>
      <c r="AJ1041" s="90">
        <f t="shared" si="297"/>
        <v>2022</v>
      </c>
      <c r="AK1041" s="90" t="str">
        <f t="shared" si="298"/>
        <v/>
      </c>
      <c r="AL1041" s="91">
        <f>IF(AK1041="Adjust",(_xlfn.XLOOKUP(A1041,'Adj factor'!A:A,'Adj factor'!I:I,,0)*AI1041),'Master DataSheet'!AI1041)</f>
        <v>426</v>
      </c>
      <c r="AM1041" s="60">
        <v>426</v>
      </c>
      <c r="AN1041" s="92" t="str">
        <f t="shared" si="300"/>
        <v>Increasing</v>
      </c>
      <c r="AO1041" s="93">
        <f>VLOOKUP(B1041,'Growthrates source'!A$2:H$49,8,FALSE)</f>
        <v>4.7050173871553191E-2</v>
      </c>
      <c r="AP1041" s="93">
        <f>VLOOKUP(B1041,'Growthrates source'!A$2:I$49,9,FALSE)</f>
        <v>5.4673730437993617E-2</v>
      </c>
      <c r="AQ1041" s="86">
        <f t="shared" si="301"/>
        <v>12.645960712044809</v>
      </c>
      <c r="AR1041" s="86">
        <f t="shared" si="302"/>
        <v>18.851828532268215</v>
      </c>
      <c r="AS1041" s="94">
        <f t="shared" si="303"/>
        <v>0</v>
      </c>
      <c r="AT1041" s="94">
        <f t="shared" si="304"/>
        <v>3.8539919950177507E-3</v>
      </c>
      <c r="AU1041" s="94">
        <f t="shared" si="305"/>
        <v>9.0159522036013698E-2</v>
      </c>
    </row>
    <row r="1042" spans="1:47" x14ac:dyDescent="0.3">
      <c r="A1042" s="85" t="str">
        <f>_xlfn.XLOOKUP(B1042,'Country codes &amp; Data sources'!G:G,'Country codes &amp; Data sources'!H:H,,0)</f>
        <v>Uganda</v>
      </c>
      <c r="B1042" s="85" t="s">
        <v>191</v>
      </c>
      <c r="C1042" s="86">
        <v>34273303</v>
      </c>
      <c r="D1042" s="85" t="s">
        <v>203</v>
      </c>
      <c r="E1042" s="87">
        <v>0</v>
      </c>
      <c r="F1042" s="88">
        <v>35273569.999999993</v>
      </c>
      <c r="G1042" s="87">
        <v>0</v>
      </c>
      <c r="I1042" s="87">
        <v>0</v>
      </c>
      <c r="K1042" s="87">
        <v>0</v>
      </c>
      <c r="M1042" s="87">
        <v>0</v>
      </c>
      <c r="O1042" s="87">
        <v>0</v>
      </c>
      <c r="P1042" s="88">
        <v>41515395.000000015</v>
      </c>
      <c r="Q1042" s="87">
        <v>0</v>
      </c>
      <c r="R1042" s="87">
        <f t="shared" si="288"/>
        <v>527</v>
      </c>
      <c r="T1042" s="87">
        <v>0</v>
      </c>
      <c r="V1042" s="87">
        <v>0</v>
      </c>
      <c r="X1042" s="87">
        <v>0</v>
      </c>
      <c r="Y1042" s="88">
        <v>47249584.999999978</v>
      </c>
      <c r="Z1042" s="87">
        <v>0</v>
      </c>
      <c r="AA1042" s="87">
        <v>527</v>
      </c>
      <c r="AB1042" s="89">
        <f t="shared" si="289"/>
        <v>0</v>
      </c>
      <c r="AC1042" s="89">
        <f t="shared" si="290"/>
        <v>0</v>
      </c>
      <c r="AD1042" s="89">
        <f t="shared" si="291"/>
        <v>0</v>
      </c>
      <c r="AE1042" s="90">
        <f t="shared" si="292"/>
        <v>0</v>
      </c>
      <c r="AF1042" s="90" t="str">
        <f t="shared" si="293"/>
        <v/>
      </c>
      <c r="AG1042" s="90">
        <f t="shared" si="294"/>
        <v>527</v>
      </c>
      <c r="AH1042" s="90" t="str">
        <f t="shared" si="295"/>
        <v>2018 (triag)</v>
      </c>
      <c r="AI1042" s="90">
        <f t="shared" si="296"/>
        <v>527</v>
      </c>
      <c r="AJ1042" s="90" t="str">
        <f t="shared" si="297"/>
        <v>2018 (triag)</v>
      </c>
      <c r="AK1042" s="90" t="str">
        <f t="shared" si="298"/>
        <v/>
      </c>
      <c r="AL1042" s="91">
        <f>IF(AK1042="Adjust",(_xlfn.XLOOKUP(A1042,'Adj factor'!A:A,'Adj factor'!I:I,,0)*AI1042),'Master DataSheet'!AI1042)</f>
        <v>527</v>
      </c>
      <c r="AM1042" s="91">
        <f t="shared" si="299"/>
        <v>527</v>
      </c>
      <c r="AN1042" s="92" t="str">
        <f t="shared" si="300"/>
        <v>No change</v>
      </c>
      <c r="AO1042" s="93">
        <f>VLOOKUP(B1042,'Growthrates source'!A$2:H$49,8,FALSE)</f>
        <v>4.7050173871553191E-2</v>
      </c>
      <c r="AP1042" s="93">
        <f>VLOOKUP(B1042,'Growthrates source'!A$2:I$49,9,FALSE)</f>
        <v>5.4673730437993617E-2</v>
      </c>
      <c r="AQ1042" s="86">
        <f t="shared" si="301"/>
        <v>416.52633095297591</v>
      </c>
      <c r="AR1042" s="86">
        <f t="shared" si="302"/>
        <v>620.93210228158432</v>
      </c>
      <c r="AS1042" s="94">
        <f t="shared" si="303"/>
        <v>0</v>
      </c>
      <c r="AT1042" s="94">
        <f t="shared" si="304"/>
        <v>0.12694086133589716</v>
      </c>
      <c r="AU1042" s="94">
        <f t="shared" si="305"/>
        <v>0.11153537115722821</v>
      </c>
    </row>
    <row r="1043" spans="1:47" x14ac:dyDescent="0.3">
      <c r="A1043" s="85" t="str">
        <f>_xlfn.XLOOKUP(B1043,'Country codes &amp; Data sources'!G:G,'Country codes &amp; Data sources'!H:H,,0)</f>
        <v>Uganda</v>
      </c>
      <c r="B1043" s="85" t="s">
        <v>191</v>
      </c>
      <c r="C1043" s="86">
        <v>34273304</v>
      </c>
      <c r="D1043" s="85" t="s">
        <v>204</v>
      </c>
      <c r="E1043" s="87">
        <v>0</v>
      </c>
      <c r="F1043" s="88">
        <v>35273569.999999993</v>
      </c>
      <c r="G1043" s="87">
        <v>0</v>
      </c>
      <c r="I1043" s="87">
        <v>0</v>
      </c>
      <c r="K1043" s="87">
        <v>0</v>
      </c>
      <c r="M1043" s="87">
        <v>0</v>
      </c>
      <c r="O1043" s="87">
        <v>0</v>
      </c>
      <c r="P1043" s="88">
        <v>41515395.000000015</v>
      </c>
      <c r="Q1043" s="87">
        <v>0</v>
      </c>
      <c r="R1043" s="87">
        <f t="shared" si="288"/>
        <v>0</v>
      </c>
      <c r="T1043" s="87">
        <v>0</v>
      </c>
      <c r="V1043" s="87">
        <v>0</v>
      </c>
      <c r="X1043" s="87">
        <v>0</v>
      </c>
      <c r="Y1043" s="88">
        <v>47249584.999999978</v>
      </c>
      <c r="Z1043" s="87">
        <v>0</v>
      </c>
      <c r="AA1043" s="87">
        <v>0</v>
      </c>
      <c r="AB1043" s="89">
        <f t="shared" si="289"/>
        <v>0</v>
      </c>
      <c r="AC1043" s="89">
        <f t="shared" si="290"/>
        <v>0</v>
      </c>
      <c r="AD1043" s="89">
        <f t="shared" si="291"/>
        <v>0</v>
      </c>
      <c r="AE1043" s="90">
        <f t="shared" si="292"/>
        <v>0</v>
      </c>
      <c r="AF1043" s="90" t="str">
        <f t="shared" si="293"/>
        <v/>
      </c>
      <c r="AG1043" s="90">
        <f t="shared" si="294"/>
        <v>0</v>
      </c>
      <c r="AH1043" s="90" t="str">
        <f t="shared" si="295"/>
        <v/>
      </c>
      <c r="AI1043" s="90">
        <f t="shared" si="296"/>
        <v>0</v>
      </c>
      <c r="AJ1043" s="90" t="str">
        <f t="shared" si="297"/>
        <v/>
      </c>
      <c r="AK1043" s="90" t="str">
        <f t="shared" si="298"/>
        <v/>
      </c>
      <c r="AL1043" s="91">
        <f>IF(AK1043="Adjust",(_xlfn.XLOOKUP(A1043,'Adj factor'!A:A,'Adj factor'!I:I,,0)*AI1043),'Master DataSheet'!AI1043)</f>
        <v>0</v>
      </c>
      <c r="AM1043" s="91">
        <f t="shared" si="299"/>
        <v>0</v>
      </c>
      <c r="AN1043" s="92" t="str">
        <f t="shared" si="300"/>
        <v>No change</v>
      </c>
      <c r="AO1043" s="93">
        <f>VLOOKUP(B1043,'Growthrates source'!A$2:H$49,8,FALSE)</f>
        <v>4.7050173871553191E-2</v>
      </c>
      <c r="AP1043" s="93">
        <f>VLOOKUP(B1043,'Growthrates source'!A$2:I$49,9,FALSE)</f>
        <v>5.4673730437993617E-2</v>
      </c>
      <c r="AQ1043" s="86">
        <f t="shared" si="301"/>
        <v>0</v>
      </c>
      <c r="AR1043" s="86">
        <f t="shared" si="302"/>
        <v>0</v>
      </c>
      <c r="AS1043" s="94">
        <f t="shared" si="303"/>
        <v>0</v>
      </c>
      <c r="AT1043" s="94">
        <f t="shared" si="304"/>
        <v>0</v>
      </c>
      <c r="AU1043" s="94">
        <f t="shared" si="305"/>
        <v>0</v>
      </c>
    </row>
    <row r="1044" spans="1:47" ht="14.5" x14ac:dyDescent="0.35">
      <c r="A1044" s="85" t="str">
        <f>_xlfn.XLOOKUP(B1044,'Country codes &amp; Data sources'!G:G,'Country codes &amp; Data sources'!H:H,,0)</f>
        <v>Uganda</v>
      </c>
      <c r="B1044" s="85" t="s">
        <v>191</v>
      </c>
      <c r="C1044" s="86">
        <v>34273305</v>
      </c>
      <c r="D1044" s="85" t="s">
        <v>205</v>
      </c>
      <c r="E1044" s="87">
        <v>0</v>
      </c>
      <c r="F1044" s="88">
        <v>35273569.999999993</v>
      </c>
      <c r="G1044" s="87">
        <v>0</v>
      </c>
      <c r="I1044" s="87">
        <v>0</v>
      </c>
      <c r="K1044" s="87">
        <v>227</v>
      </c>
      <c r="M1044" s="87">
        <v>0</v>
      </c>
      <c r="O1044" s="87">
        <v>0</v>
      </c>
      <c r="P1044" s="88">
        <v>41515395.000000015</v>
      </c>
      <c r="Q1044" s="87">
        <v>0</v>
      </c>
      <c r="R1044" s="87">
        <f t="shared" si="288"/>
        <v>0</v>
      </c>
      <c r="T1044" s="87">
        <v>30</v>
      </c>
      <c r="V1044" s="87">
        <v>0</v>
      </c>
      <c r="X1044" s="87">
        <v>0</v>
      </c>
      <c r="Y1044" s="88">
        <v>47249584.999999978</v>
      </c>
      <c r="Z1044" s="111">
        <f>890+392</f>
        <v>1282</v>
      </c>
      <c r="AA1044" s="87">
        <v>0</v>
      </c>
      <c r="AB1044" s="89">
        <f t="shared" si="289"/>
        <v>227</v>
      </c>
      <c r="AC1044" s="89">
        <f t="shared" si="290"/>
        <v>30</v>
      </c>
      <c r="AD1044" s="89">
        <f t="shared" si="291"/>
        <v>1282</v>
      </c>
      <c r="AE1044" s="90">
        <f t="shared" si="292"/>
        <v>227</v>
      </c>
      <c r="AF1044" s="90">
        <f t="shared" si="293"/>
        <v>2015</v>
      </c>
      <c r="AG1044" s="90">
        <f t="shared" si="294"/>
        <v>30</v>
      </c>
      <c r="AH1044" s="90">
        <f t="shared" si="295"/>
        <v>2019</v>
      </c>
      <c r="AI1044" s="90">
        <f t="shared" si="296"/>
        <v>1282</v>
      </c>
      <c r="AJ1044" s="90">
        <f t="shared" si="297"/>
        <v>2022</v>
      </c>
      <c r="AK1044" s="90" t="str">
        <f t="shared" si="298"/>
        <v/>
      </c>
      <c r="AL1044" s="91">
        <f>IF(AK1044="Adjust",(_xlfn.XLOOKUP(A1044,'Adj factor'!A:A,'Adj factor'!I:I,,0)*AI1044),'Master DataSheet'!AI1044)</f>
        <v>1282</v>
      </c>
      <c r="AM1044" s="60">
        <f>890+392</f>
        <v>1282</v>
      </c>
      <c r="AN1044" s="92" t="str">
        <f t="shared" si="300"/>
        <v>Increasing</v>
      </c>
      <c r="AO1044" s="93">
        <f>VLOOKUP(B1044,'Growthrates source'!A$2:H$49,8,FALSE)</f>
        <v>4.7050173871553191E-2</v>
      </c>
      <c r="AP1044" s="93">
        <f>VLOOKUP(B1044,'Growthrates source'!A$2:I$49,9,FALSE)</f>
        <v>5.4673730437993617E-2</v>
      </c>
      <c r="AQ1044" s="86">
        <f t="shared" si="301"/>
        <v>0</v>
      </c>
      <c r="AR1044" s="86">
        <f t="shared" si="302"/>
        <v>0</v>
      </c>
      <c r="AS1044" s="94">
        <f t="shared" si="303"/>
        <v>6.4354132570080103E-2</v>
      </c>
      <c r="AT1044" s="94">
        <f t="shared" si="304"/>
        <v>7.2262349906582818E-3</v>
      </c>
      <c r="AU1044" s="94">
        <f t="shared" si="305"/>
        <v>0.27132513439006939</v>
      </c>
    </row>
    <row r="1045" spans="1:47" x14ac:dyDescent="0.3">
      <c r="A1045" s="85" t="str">
        <f>_xlfn.XLOOKUP(B1045,'Country codes &amp; Data sources'!G:G,'Country codes &amp; Data sources'!H:H,,0)</f>
        <v>Uganda</v>
      </c>
      <c r="B1045" s="85" t="s">
        <v>191</v>
      </c>
      <c r="C1045" s="86">
        <v>34273306</v>
      </c>
      <c r="D1045" s="85" t="s">
        <v>133</v>
      </c>
      <c r="E1045" s="87">
        <v>0</v>
      </c>
      <c r="F1045" s="88">
        <v>35273569.999999993</v>
      </c>
      <c r="G1045" s="87">
        <v>0</v>
      </c>
      <c r="I1045" s="87">
        <v>0</v>
      </c>
      <c r="K1045" s="87">
        <v>0</v>
      </c>
      <c r="M1045" s="87">
        <v>0</v>
      </c>
      <c r="O1045" s="87">
        <v>0</v>
      </c>
      <c r="P1045" s="88">
        <v>41515395.000000015</v>
      </c>
      <c r="Q1045" s="87">
        <v>3874</v>
      </c>
      <c r="R1045" s="87">
        <f t="shared" si="288"/>
        <v>3874</v>
      </c>
      <c r="T1045" s="87">
        <v>0</v>
      </c>
      <c r="V1045" s="87">
        <v>0</v>
      </c>
      <c r="X1045" s="87">
        <v>0</v>
      </c>
      <c r="Y1045" s="88">
        <v>47249584.999999978</v>
      </c>
      <c r="Z1045" s="87">
        <v>3309</v>
      </c>
      <c r="AA1045" s="87">
        <v>526</v>
      </c>
      <c r="AB1045" s="89">
        <f t="shared" si="289"/>
        <v>0</v>
      </c>
      <c r="AC1045" s="89">
        <f t="shared" si="290"/>
        <v>3874</v>
      </c>
      <c r="AD1045" s="89">
        <f t="shared" si="291"/>
        <v>3309</v>
      </c>
      <c r="AE1045" s="90">
        <f t="shared" si="292"/>
        <v>0</v>
      </c>
      <c r="AF1045" s="90" t="str">
        <f t="shared" si="293"/>
        <v/>
      </c>
      <c r="AG1045" s="90">
        <f t="shared" si="294"/>
        <v>3874</v>
      </c>
      <c r="AH1045" s="90">
        <f t="shared" si="295"/>
        <v>2018</v>
      </c>
      <c r="AI1045" s="90">
        <f t="shared" si="296"/>
        <v>3309</v>
      </c>
      <c r="AJ1045" s="90">
        <f t="shared" si="297"/>
        <v>2022</v>
      </c>
      <c r="AK1045" s="90" t="str">
        <f t="shared" si="298"/>
        <v>Adjust</v>
      </c>
      <c r="AL1045" s="91">
        <f>IF(AK1045="Adjust",(_xlfn.XLOOKUP(A1045,'Adj factor'!A:A,'Adj factor'!I:I,,0)*AI1045),'Master DataSheet'!AI1045)</f>
        <v>3771.8605231388328</v>
      </c>
      <c r="AM1045" s="91">
        <f t="shared" si="299"/>
        <v>3874</v>
      </c>
      <c r="AN1045" s="92" t="str">
        <f t="shared" si="300"/>
        <v>Decreasing</v>
      </c>
      <c r="AO1045" s="93">
        <f>VLOOKUP(B1045,'Growthrates source'!A$2:H$49,8,FALSE)</f>
        <v>4.7050173871553191E-2</v>
      </c>
      <c r="AP1045" s="93">
        <f>VLOOKUP(B1045,'Growthrates source'!A$2:I$49,9,FALSE)</f>
        <v>5.4673730437993617E-2</v>
      </c>
      <c r="AQ1045" s="86">
        <f t="shared" si="301"/>
        <v>415.7359584084731</v>
      </c>
      <c r="AR1045" s="86">
        <f t="shared" si="302"/>
        <v>619.75386299831757</v>
      </c>
      <c r="AS1045" s="94">
        <f t="shared" si="303"/>
        <v>0</v>
      </c>
      <c r="AT1045" s="94">
        <f t="shared" si="304"/>
        <v>0.93314781179367279</v>
      </c>
      <c r="AU1045" s="94">
        <f t="shared" si="305"/>
        <v>0.81990138114440625</v>
      </c>
    </row>
    <row r="1046" spans="1:47" x14ac:dyDescent="0.3">
      <c r="A1046" s="85" t="str">
        <f>_xlfn.XLOOKUP(B1046,'Country codes &amp; Data sources'!G:G,'Country codes &amp; Data sources'!H:H,,0)</f>
        <v>Uganda</v>
      </c>
      <c r="B1046" s="85" t="s">
        <v>191</v>
      </c>
      <c r="C1046" s="86">
        <v>34273307</v>
      </c>
      <c r="D1046" s="85" t="s">
        <v>206</v>
      </c>
      <c r="E1046" s="87">
        <v>0</v>
      </c>
      <c r="F1046" s="88">
        <v>35273569.999999993</v>
      </c>
      <c r="G1046" s="87">
        <v>0</v>
      </c>
      <c r="I1046" s="87">
        <v>0</v>
      </c>
      <c r="K1046" s="87">
        <v>0</v>
      </c>
      <c r="M1046" s="87">
        <v>0</v>
      </c>
      <c r="O1046" s="87">
        <v>0</v>
      </c>
      <c r="P1046" s="88">
        <v>41515395.000000015</v>
      </c>
      <c r="Q1046" s="87">
        <v>0</v>
      </c>
      <c r="R1046" s="87">
        <f t="shared" si="288"/>
        <v>3505</v>
      </c>
      <c r="T1046" s="87">
        <v>0</v>
      </c>
      <c r="V1046" s="87">
        <v>0</v>
      </c>
      <c r="X1046" s="87">
        <v>0</v>
      </c>
      <c r="Y1046" s="88">
        <v>47249584.999999978</v>
      </c>
      <c r="Z1046" s="87">
        <v>14531</v>
      </c>
      <c r="AA1046" s="87">
        <v>3505</v>
      </c>
      <c r="AB1046" s="89">
        <f t="shared" si="289"/>
        <v>0</v>
      </c>
      <c r="AC1046" s="89">
        <f t="shared" si="290"/>
        <v>0</v>
      </c>
      <c r="AD1046" s="89">
        <f t="shared" si="291"/>
        <v>14531</v>
      </c>
      <c r="AE1046" s="90">
        <f t="shared" si="292"/>
        <v>0</v>
      </c>
      <c r="AF1046" s="90" t="str">
        <f t="shared" si="293"/>
        <v/>
      </c>
      <c r="AG1046" s="90">
        <f t="shared" si="294"/>
        <v>3505</v>
      </c>
      <c r="AH1046" s="90" t="str">
        <f t="shared" si="295"/>
        <v>2018 (triag)</v>
      </c>
      <c r="AI1046" s="90">
        <f t="shared" si="296"/>
        <v>14531</v>
      </c>
      <c r="AJ1046" s="90">
        <f t="shared" si="297"/>
        <v>2022</v>
      </c>
      <c r="AK1046" s="90" t="str">
        <f t="shared" si="298"/>
        <v/>
      </c>
      <c r="AL1046" s="91">
        <f>IF(AK1046="Adjust",(_xlfn.XLOOKUP(A1046,'Adj factor'!A:A,'Adj factor'!I:I,,0)*AI1046),'Master DataSheet'!AI1046)</f>
        <v>14531</v>
      </c>
      <c r="AM1046" s="91">
        <f t="shared" si="299"/>
        <v>14531</v>
      </c>
      <c r="AN1046" s="92" t="str">
        <f t="shared" si="300"/>
        <v>Increasing</v>
      </c>
      <c r="AO1046" s="93">
        <f>VLOOKUP(B1046,'Growthrates source'!A$2:H$49,8,FALSE)</f>
        <v>4.7050173871553191E-2</v>
      </c>
      <c r="AP1046" s="93">
        <f>VLOOKUP(B1046,'Growthrates source'!A$2:I$49,9,FALSE)</f>
        <v>5.4673730437993617E-2</v>
      </c>
      <c r="AQ1046" s="86">
        <f t="shared" si="301"/>
        <v>2770.2557684823159</v>
      </c>
      <c r="AR1046" s="86">
        <f t="shared" si="302"/>
        <v>4129.7286878500054</v>
      </c>
      <c r="AS1046" s="94">
        <f t="shared" si="303"/>
        <v>0</v>
      </c>
      <c r="AT1046" s="94">
        <f t="shared" si="304"/>
        <v>0.84426512140857601</v>
      </c>
      <c r="AU1046" s="94">
        <f t="shared" si="305"/>
        <v>3.075370926538298</v>
      </c>
    </row>
    <row r="1047" spans="1:47" x14ac:dyDescent="0.3">
      <c r="A1047" s="85" t="str">
        <f>_xlfn.XLOOKUP(B1047,'Country codes &amp; Data sources'!G:G,'Country codes &amp; Data sources'!H:H,,0)</f>
        <v>Uganda</v>
      </c>
      <c r="B1047" s="85" t="s">
        <v>191</v>
      </c>
      <c r="C1047" s="86">
        <v>34273308</v>
      </c>
      <c r="D1047" s="85" t="s">
        <v>136</v>
      </c>
      <c r="E1047" s="87">
        <v>0</v>
      </c>
      <c r="F1047" s="88">
        <v>35273569.999999993</v>
      </c>
      <c r="G1047" s="87">
        <v>0</v>
      </c>
      <c r="I1047" s="87">
        <v>0</v>
      </c>
      <c r="K1047" s="87">
        <v>121</v>
      </c>
      <c r="M1047" s="87">
        <v>0</v>
      </c>
      <c r="O1047" s="87">
        <v>0</v>
      </c>
      <c r="P1047" s="88">
        <v>41515395.000000015</v>
      </c>
      <c r="Q1047" s="87">
        <v>0</v>
      </c>
      <c r="R1047" s="87">
        <f t="shared" si="288"/>
        <v>42</v>
      </c>
      <c r="T1047" s="87">
        <v>0</v>
      </c>
      <c r="V1047" s="87">
        <v>0</v>
      </c>
      <c r="X1047" s="87">
        <v>0</v>
      </c>
      <c r="Y1047" s="88">
        <v>47249584.999999978</v>
      </c>
      <c r="Z1047" s="87">
        <v>1249</v>
      </c>
      <c r="AA1047" s="87">
        <v>42</v>
      </c>
      <c r="AB1047" s="89">
        <f t="shared" si="289"/>
        <v>121</v>
      </c>
      <c r="AC1047" s="89">
        <f t="shared" si="290"/>
        <v>0</v>
      </c>
      <c r="AD1047" s="89">
        <f t="shared" si="291"/>
        <v>1249</v>
      </c>
      <c r="AE1047" s="90">
        <f t="shared" si="292"/>
        <v>121</v>
      </c>
      <c r="AF1047" s="90">
        <f t="shared" si="293"/>
        <v>2015</v>
      </c>
      <c r="AG1047" s="90">
        <f t="shared" si="294"/>
        <v>42</v>
      </c>
      <c r="AH1047" s="90" t="str">
        <f t="shared" si="295"/>
        <v>2018 (triag)</v>
      </c>
      <c r="AI1047" s="90">
        <f t="shared" si="296"/>
        <v>1249</v>
      </c>
      <c r="AJ1047" s="90">
        <f t="shared" si="297"/>
        <v>2022</v>
      </c>
      <c r="AK1047" s="90" t="str">
        <f t="shared" si="298"/>
        <v/>
      </c>
      <c r="AL1047" s="91">
        <f>IF(AK1047="Adjust",(_xlfn.XLOOKUP(A1047,'Adj factor'!A:A,'Adj factor'!I:I,,0)*AI1047),'Master DataSheet'!AI1047)</f>
        <v>1249</v>
      </c>
      <c r="AM1047" s="91">
        <f t="shared" si="299"/>
        <v>1249</v>
      </c>
      <c r="AN1047" s="92" t="str">
        <f t="shared" si="300"/>
        <v>Increasing</v>
      </c>
      <c r="AO1047" s="93">
        <f>VLOOKUP(B1047,'Growthrates source'!A$2:H$49,8,FALSE)</f>
        <v>4.7050173871553191E-2</v>
      </c>
      <c r="AP1047" s="93">
        <f>VLOOKUP(B1047,'Growthrates source'!A$2:I$49,9,FALSE)</f>
        <v>5.4673730437993617E-2</v>
      </c>
      <c r="AQ1047" s="86">
        <f t="shared" si="301"/>
        <v>33.195646869117624</v>
      </c>
      <c r="AR1047" s="86">
        <f t="shared" si="302"/>
        <v>49.486049897204062</v>
      </c>
      <c r="AS1047" s="94">
        <f t="shared" si="303"/>
        <v>3.4303304145284992E-2</v>
      </c>
      <c r="AT1047" s="94">
        <f t="shared" si="304"/>
        <v>1.0116728986921595E-2</v>
      </c>
      <c r="AU1047" s="94">
        <f t="shared" si="305"/>
        <v>0.26434094606333591</v>
      </c>
    </row>
    <row r="1048" spans="1:47" x14ac:dyDescent="0.3">
      <c r="A1048" s="85" t="str">
        <f>_xlfn.XLOOKUP(B1048,'Country codes &amp; Data sources'!G:G,'Country codes &amp; Data sources'!H:H,,0)</f>
        <v>Uganda</v>
      </c>
      <c r="B1048" s="85" t="s">
        <v>191</v>
      </c>
      <c r="C1048" s="86">
        <v>34273309</v>
      </c>
      <c r="D1048" s="85" t="s">
        <v>207</v>
      </c>
      <c r="E1048" s="87">
        <v>0</v>
      </c>
      <c r="F1048" s="88">
        <v>35273569.999999993</v>
      </c>
      <c r="G1048" s="87">
        <v>0</v>
      </c>
      <c r="I1048" s="87">
        <v>0</v>
      </c>
      <c r="K1048" s="87">
        <v>0</v>
      </c>
      <c r="M1048" s="87">
        <v>0</v>
      </c>
      <c r="O1048" s="87">
        <v>0</v>
      </c>
      <c r="P1048" s="88">
        <v>41515395.000000015</v>
      </c>
      <c r="Q1048" s="87">
        <v>0</v>
      </c>
      <c r="R1048" s="87">
        <f t="shared" si="288"/>
        <v>0</v>
      </c>
      <c r="T1048" s="87">
        <v>0</v>
      </c>
      <c r="V1048" s="87">
        <v>0</v>
      </c>
      <c r="X1048" s="87">
        <v>0</v>
      </c>
      <c r="Y1048" s="88">
        <v>47249584.999999978</v>
      </c>
      <c r="Z1048" s="87">
        <v>0</v>
      </c>
      <c r="AA1048" s="87">
        <v>0</v>
      </c>
      <c r="AB1048" s="89">
        <f t="shared" si="289"/>
        <v>0</v>
      </c>
      <c r="AC1048" s="89">
        <f t="shared" si="290"/>
        <v>0</v>
      </c>
      <c r="AD1048" s="89">
        <f t="shared" si="291"/>
        <v>0</v>
      </c>
      <c r="AE1048" s="90">
        <f t="shared" si="292"/>
        <v>0</v>
      </c>
      <c r="AF1048" s="90" t="str">
        <f t="shared" si="293"/>
        <v/>
      </c>
      <c r="AG1048" s="90">
        <f t="shared" si="294"/>
        <v>0</v>
      </c>
      <c r="AH1048" s="90" t="str">
        <f t="shared" si="295"/>
        <v/>
      </c>
      <c r="AI1048" s="90">
        <f t="shared" si="296"/>
        <v>0</v>
      </c>
      <c r="AJ1048" s="90" t="str">
        <f t="shared" si="297"/>
        <v/>
      </c>
      <c r="AK1048" s="90" t="str">
        <f t="shared" si="298"/>
        <v/>
      </c>
      <c r="AL1048" s="91">
        <f>IF(AK1048="Adjust",(_xlfn.XLOOKUP(A1048,'Adj factor'!A:A,'Adj factor'!I:I,,0)*AI1048),'Master DataSheet'!AI1048)</f>
        <v>0</v>
      </c>
      <c r="AM1048" s="91">
        <f t="shared" si="299"/>
        <v>0</v>
      </c>
      <c r="AN1048" s="92" t="str">
        <f t="shared" si="300"/>
        <v>No change</v>
      </c>
      <c r="AO1048" s="93">
        <f>VLOOKUP(B1048,'Growthrates source'!A$2:H$49,8,FALSE)</f>
        <v>4.7050173871553191E-2</v>
      </c>
      <c r="AP1048" s="93">
        <f>VLOOKUP(B1048,'Growthrates source'!A$2:I$49,9,FALSE)</f>
        <v>5.4673730437993617E-2</v>
      </c>
      <c r="AQ1048" s="86">
        <f t="shared" si="301"/>
        <v>0</v>
      </c>
      <c r="AR1048" s="86">
        <f t="shared" si="302"/>
        <v>0</v>
      </c>
      <c r="AS1048" s="94">
        <f t="shared" si="303"/>
        <v>0</v>
      </c>
      <c r="AT1048" s="94">
        <f t="shared" si="304"/>
        <v>0</v>
      </c>
      <c r="AU1048" s="94">
        <f t="shared" si="305"/>
        <v>0</v>
      </c>
    </row>
    <row r="1049" spans="1:47" ht="14.5" x14ac:dyDescent="0.35">
      <c r="A1049" s="85" t="str">
        <f>_xlfn.XLOOKUP(B1049,'Country codes &amp; Data sources'!G:G,'Country codes &amp; Data sources'!H:H,,0)</f>
        <v>Uganda</v>
      </c>
      <c r="B1049" s="85" t="s">
        <v>191</v>
      </c>
      <c r="C1049" s="86">
        <v>34273310</v>
      </c>
      <c r="D1049" s="85" t="s">
        <v>141</v>
      </c>
      <c r="E1049" s="87">
        <v>0</v>
      </c>
      <c r="F1049" s="88">
        <v>35273569.999999993</v>
      </c>
      <c r="G1049" s="87">
        <v>0</v>
      </c>
      <c r="I1049" s="87">
        <v>0</v>
      </c>
      <c r="K1049" s="87">
        <v>0</v>
      </c>
      <c r="M1049" s="87">
        <v>0</v>
      </c>
      <c r="O1049" s="87">
        <v>0</v>
      </c>
      <c r="P1049" s="88">
        <v>41515395.000000015</v>
      </c>
      <c r="Q1049" s="87">
        <v>0</v>
      </c>
      <c r="R1049" s="87">
        <f t="shared" si="288"/>
        <v>9</v>
      </c>
      <c r="T1049" s="87">
        <v>0</v>
      </c>
      <c r="V1049" s="87">
        <v>0</v>
      </c>
      <c r="X1049" s="87">
        <v>0</v>
      </c>
      <c r="Y1049" s="88">
        <v>47249584.999999978</v>
      </c>
      <c r="Z1049" s="111">
        <f>264+19</f>
        <v>283</v>
      </c>
      <c r="AA1049" s="87">
        <v>9</v>
      </c>
      <c r="AB1049" s="89">
        <f t="shared" si="289"/>
        <v>0</v>
      </c>
      <c r="AC1049" s="89">
        <f t="shared" si="290"/>
        <v>0</v>
      </c>
      <c r="AD1049" s="89">
        <f t="shared" si="291"/>
        <v>283</v>
      </c>
      <c r="AE1049" s="90">
        <f t="shared" si="292"/>
        <v>0</v>
      </c>
      <c r="AF1049" s="90" t="str">
        <f t="shared" si="293"/>
        <v/>
      </c>
      <c r="AG1049" s="90">
        <f t="shared" si="294"/>
        <v>9</v>
      </c>
      <c r="AH1049" s="90" t="str">
        <f t="shared" si="295"/>
        <v>2018 (triag)</v>
      </c>
      <c r="AI1049" s="90">
        <f t="shared" si="296"/>
        <v>283</v>
      </c>
      <c r="AJ1049" s="90">
        <f t="shared" si="297"/>
        <v>2022</v>
      </c>
      <c r="AK1049" s="90" t="str">
        <f t="shared" si="298"/>
        <v/>
      </c>
      <c r="AL1049" s="91">
        <f>IF(AK1049="Adjust",(_xlfn.XLOOKUP(A1049,'Adj factor'!A:A,'Adj factor'!I:I,,0)*AI1049),'Master DataSheet'!AI1049)</f>
        <v>283</v>
      </c>
      <c r="AM1049" s="60">
        <f>264+19</f>
        <v>283</v>
      </c>
      <c r="AN1049" s="92" t="str">
        <f t="shared" si="300"/>
        <v>Increasing</v>
      </c>
      <c r="AO1049" s="93">
        <f>VLOOKUP(B1049,'Growthrates source'!A$2:H$49,8,FALSE)</f>
        <v>4.7050173871553191E-2</v>
      </c>
      <c r="AP1049" s="93">
        <f>VLOOKUP(B1049,'Growthrates source'!A$2:I$49,9,FALSE)</f>
        <v>5.4673730437993617E-2</v>
      </c>
      <c r="AQ1049" s="86">
        <f t="shared" si="301"/>
        <v>7.1133529005252045</v>
      </c>
      <c r="AR1049" s="86">
        <f t="shared" si="302"/>
        <v>10.60415354940087</v>
      </c>
      <c r="AS1049" s="94">
        <f t="shared" si="303"/>
        <v>0</v>
      </c>
      <c r="AT1049" s="94">
        <f t="shared" si="304"/>
        <v>2.1678704971974847E-3</v>
      </c>
      <c r="AU1049" s="94">
        <f t="shared" si="305"/>
        <v>5.9894705953502055E-2</v>
      </c>
    </row>
    <row r="1050" spans="1:47" x14ac:dyDescent="0.3">
      <c r="A1050" s="85" t="str">
        <f>_xlfn.XLOOKUP(B1050,'Country codes &amp; Data sources'!G:G,'Country codes &amp; Data sources'!H:H,,0)</f>
        <v>Uganda</v>
      </c>
      <c r="B1050" s="85" t="s">
        <v>191</v>
      </c>
      <c r="C1050" s="86">
        <v>34273311</v>
      </c>
      <c r="D1050" s="85" t="s">
        <v>208</v>
      </c>
      <c r="E1050" s="87">
        <v>0</v>
      </c>
      <c r="F1050" s="88">
        <v>35273569.999999993</v>
      </c>
      <c r="G1050" s="87">
        <v>0</v>
      </c>
      <c r="I1050" s="87">
        <v>0</v>
      </c>
      <c r="K1050" s="87">
        <v>0</v>
      </c>
      <c r="M1050" s="87">
        <v>0</v>
      </c>
      <c r="O1050" s="87">
        <v>0</v>
      </c>
      <c r="P1050" s="88">
        <v>41515395.000000015</v>
      </c>
      <c r="Q1050" s="87">
        <v>0</v>
      </c>
      <c r="R1050" s="87">
        <f t="shared" si="288"/>
        <v>0</v>
      </c>
      <c r="T1050" s="87">
        <v>0</v>
      </c>
      <c r="V1050" s="87">
        <v>0</v>
      </c>
      <c r="X1050" s="87">
        <v>0</v>
      </c>
      <c r="Y1050" s="88">
        <v>47249584.999999978</v>
      </c>
      <c r="Z1050" s="87">
        <v>0</v>
      </c>
      <c r="AA1050" s="87">
        <v>0</v>
      </c>
      <c r="AB1050" s="89">
        <f t="shared" si="289"/>
        <v>0</v>
      </c>
      <c r="AC1050" s="89">
        <f t="shared" si="290"/>
        <v>0</v>
      </c>
      <c r="AD1050" s="89">
        <f t="shared" si="291"/>
        <v>0</v>
      </c>
      <c r="AE1050" s="90">
        <f t="shared" si="292"/>
        <v>0</v>
      </c>
      <c r="AF1050" s="90" t="str">
        <f t="shared" si="293"/>
        <v/>
      </c>
      <c r="AG1050" s="90">
        <f t="shared" si="294"/>
        <v>0</v>
      </c>
      <c r="AH1050" s="90" t="str">
        <f t="shared" si="295"/>
        <v/>
      </c>
      <c r="AI1050" s="90">
        <f t="shared" si="296"/>
        <v>0</v>
      </c>
      <c r="AJ1050" s="90" t="str">
        <f t="shared" si="297"/>
        <v/>
      </c>
      <c r="AK1050" s="90" t="str">
        <f t="shared" si="298"/>
        <v/>
      </c>
      <c r="AL1050" s="91">
        <f>IF(AK1050="Adjust",(_xlfn.XLOOKUP(A1050,'Adj factor'!A:A,'Adj factor'!I:I,,0)*AI1050),'Master DataSheet'!AI1050)</f>
        <v>0</v>
      </c>
      <c r="AM1050" s="91">
        <f t="shared" si="299"/>
        <v>0</v>
      </c>
      <c r="AN1050" s="92" t="str">
        <f t="shared" si="300"/>
        <v>No change</v>
      </c>
      <c r="AO1050" s="93">
        <f>VLOOKUP(B1050,'Growthrates source'!A$2:H$49,8,FALSE)</f>
        <v>4.7050173871553191E-2</v>
      </c>
      <c r="AP1050" s="93">
        <f>VLOOKUP(B1050,'Growthrates source'!A$2:I$49,9,FALSE)</f>
        <v>5.4673730437993617E-2</v>
      </c>
      <c r="AQ1050" s="86">
        <f t="shared" si="301"/>
        <v>0</v>
      </c>
      <c r="AR1050" s="86">
        <f t="shared" si="302"/>
        <v>0</v>
      </c>
      <c r="AS1050" s="94">
        <f t="shared" si="303"/>
        <v>0</v>
      </c>
      <c r="AT1050" s="94">
        <f t="shared" si="304"/>
        <v>0</v>
      </c>
      <c r="AU1050" s="94">
        <f t="shared" si="305"/>
        <v>0</v>
      </c>
    </row>
    <row r="1051" spans="1:47" x14ac:dyDescent="0.3">
      <c r="A1051" s="85" t="str">
        <f>_xlfn.XLOOKUP(B1051,'Country codes &amp; Data sources'!G:G,'Country codes &amp; Data sources'!H:H,,0)</f>
        <v>Uganda</v>
      </c>
      <c r="B1051" s="85" t="s">
        <v>191</v>
      </c>
      <c r="C1051" s="86">
        <v>34273312</v>
      </c>
      <c r="D1051" s="85" t="s">
        <v>209</v>
      </c>
      <c r="E1051" s="87">
        <v>0</v>
      </c>
      <c r="F1051" s="88">
        <v>35273569.999999993</v>
      </c>
      <c r="G1051" s="87">
        <v>0</v>
      </c>
      <c r="I1051" s="87">
        <v>0</v>
      </c>
      <c r="K1051" s="87">
        <v>0</v>
      </c>
      <c r="M1051" s="87">
        <v>0</v>
      </c>
      <c r="O1051" s="87">
        <v>0</v>
      </c>
      <c r="P1051" s="88">
        <v>41515395.000000015</v>
      </c>
      <c r="Q1051" s="87">
        <v>0</v>
      </c>
      <c r="R1051" s="87">
        <f t="shared" si="288"/>
        <v>0</v>
      </c>
      <c r="T1051" s="87">
        <v>0</v>
      </c>
      <c r="V1051" s="87">
        <v>0</v>
      </c>
      <c r="X1051" s="87">
        <v>0</v>
      </c>
      <c r="Y1051" s="88">
        <v>47249584.999999978</v>
      </c>
      <c r="Z1051" s="87">
        <v>0</v>
      </c>
      <c r="AA1051" s="87">
        <v>0</v>
      </c>
      <c r="AB1051" s="89">
        <f t="shared" si="289"/>
        <v>0</v>
      </c>
      <c r="AC1051" s="89">
        <f t="shared" si="290"/>
        <v>0</v>
      </c>
      <c r="AD1051" s="89">
        <f t="shared" si="291"/>
        <v>0</v>
      </c>
      <c r="AE1051" s="90">
        <f t="shared" si="292"/>
        <v>0</v>
      </c>
      <c r="AF1051" s="90" t="str">
        <f t="shared" si="293"/>
        <v/>
      </c>
      <c r="AG1051" s="90">
        <f t="shared" si="294"/>
        <v>0</v>
      </c>
      <c r="AH1051" s="90" t="str">
        <f t="shared" si="295"/>
        <v/>
      </c>
      <c r="AI1051" s="90">
        <f t="shared" si="296"/>
        <v>0</v>
      </c>
      <c r="AJ1051" s="90" t="str">
        <f t="shared" si="297"/>
        <v/>
      </c>
      <c r="AK1051" s="90" t="str">
        <f t="shared" si="298"/>
        <v/>
      </c>
      <c r="AL1051" s="91">
        <f>IF(AK1051="Adjust",(_xlfn.XLOOKUP(A1051,'Adj factor'!A:A,'Adj factor'!I:I,,0)*AI1051),'Master DataSheet'!AI1051)</f>
        <v>0</v>
      </c>
      <c r="AM1051" s="91">
        <f t="shared" si="299"/>
        <v>0</v>
      </c>
      <c r="AN1051" s="92" t="str">
        <f t="shared" si="300"/>
        <v>No change</v>
      </c>
      <c r="AO1051" s="93">
        <f>VLOOKUP(B1051,'Growthrates source'!A$2:H$49,8,FALSE)</f>
        <v>4.7050173871553191E-2</v>
      </c>
      <c r="AP1051" s="93">
        <f>VLOOKUP(B1051,'Growthrates source'!A$2:I$49,9,FALSE)</f>
        <v>5.4673730437993617E-2</v>
      </c>
      <c r="AQ1051" s="86">
        <f t="shared" si="301"/>
        <v>0</v>
      </c>
      <c r="AR1051" s="86">
        <f t="shared" si="302"/>
        <v>0</v>
      </c>
      <c r="AS1051" s="94">
        <f t="shared" si="303"/>
        <v>0</v>
      </c>
      <c r="AT1051" s="94">
        <f t="shared" si="304"/>
        <v>0</v>
      </c>
      <c r="AU1051" s="94">
        <f t="shared" si="305"/>
        <v>0</v>
      </c>
    </row>
    <row r="1052" spans="1:47" x14ac:dyDescent="0.3">
      <c r="A1052" s="85" t="str">
        <f>_xlfn.XLOOKUP(B1052,'Country codes &amp; Data sources'!G:G,'Country codes &amp; Data sources'!H:H,,0)</f>
        <v>Uganda</v>
      </c>
      <c r="B1052" s="85" t="s">
        <v>191</v>
      </c>
      <c r="C1052" s="86">
        <v>34273313</v>
      </c>
      <c r="D1052" s="85" t="s">
        <v>134</v>
      </c>
      <c r="E1052" s="87">
        <v>0</v>
      </c>
      <c r="F1052" s="88">
        <v>35273569.999999993</v>
      </c>
      <c r="G1052" s="87">
        <v>0</v>
      </c>
      <c r="I1052" s="87">
        <v>0</v>
      </c>
      <c r="K1052" s="87">
        <v>2447</v>
      </c>
      <c r="M1052" s="87">
        <v>0</v>
      </c>
      <c r="O1052" s="87">
        <v>0</v>
      </c>
      <c r="P1052" s="88">
        <v>41515395.000000015</v>
      </c>
      <c r="Q1052" s="87">
        <v>0</v>
      </c>
      <c r="R1052" s="87">
        <f t="shared" si="288"/>
        <v>3874</v>
      </c>
      <c r="T1052" s="87">
        <v>0</v>
      </c>
      <c r="V1052" s="87">
        <v>0</v>
      </c>
      <c r="X1052" s="87">
        <v>0</v>
      </c>
      <c r="Y1052" s="88">
        <v>47249584.999999978</v>
      </c>
      <c r="Z1052" s="87">
        <v>13380</v>
      </c>
      <c r="AA1052" s="87">
        <v>3874</v>
      </c>
      <c r="AB1052" s="89">
        <f t="shared" si="289"/>
        <v>2447</v>
      </c>
      <c r="AC1052" s="89">
        <f t="shared" si="290"/>
        <v>0</v>
      </c>
      <c r="AD1052" s="89">
        <f t="shared" si="291"/>
        <v>13380</v>
      </c>
      <c r="AE1052" s="90">
        <f t="shared" si="292"/>
        <v>2447</v>
      </c>
      <c r="AF1052" s="90">
        <f t="shared" si="293"/>
        <v>2015</v>
      </c>
      <c r="AG1052" s="90">
        <f t="shared" si="294"/>
        <v>3874</v>
      </c>
      <c r="AH1052" s="90" t="str">
        <f t="shared" si="295"/>
        <v>2018 (triag)</v>
      </c>
      <c r="AI1052" s="90">
        <f t="shared" si="296"/>
        <v>13380</v>
      </c>
      <c r="AJ1052" s="90">
        <f t="shared" si="297"/>
        <v>2022</v>
      </c>
      <c r="AK1052" s="90" t="str">
        <f t="shared" si="298"/>
        <v/>
      </c>
      <c r="AL1052" s="91">
        <f>IF(AK1052="Adjust",(_xlfn.XLOOKUP(A1052,'Adj factor'!A:A,'Adj factor'!I:I,,0)*AI1052),'Master DataSheet'!AI1052)</f>
        <v>13380</v>
      </c>
      <c r="AM1052" s="91">
        <f t="shared" si="299"/>
        <v>13380</v>
      </c>
      <c r="AN1052" s="92" t="str">
        <f t="shared" si="300"/>
        <v>Increasing</v>
      </c>
      <c r="AO1052" s="93">
        <f>VLOOKUP(B1052,'Growthrates source'!A$2:H$49,8,FALSE)</f>
        <v>4.7050173871553191E-2</v>
      </c>
      <c r="AP1052" s="93">
        <f>VLOOKUP(B1052,'Growthrates source'!A$2:I$49,9,FALSE)</f>
        <v>5.4673730437993617E-2</v>
      </c>
      <c r="AQ1052" s="86">
        <f t="shared" si="301"/>
        <v>3061.9032374038493</v>
      </c>
      <c r="AR1052" s="86">
        <f t="shared" si="302"/>
        <v>4564.4989833754416</v>
      </c>
      <c r="AS1052" s="94">
        <f t="shared" si="303"/>
        <v>0.69372053920258159</v>
      </c>
      <c r="AT1052" s="94">
        <f t="shared" si="304"/>
        <v>0.93314781179367279</v>
      </c>
      <c r="AU1052" s="94">
        <f t="shared" si="305"/>
        <v>2.8317709033846552</v>
      </c>
    </row>
    <row r="1053" spans="1:47" x14ac:dyDescent="0.3">
      <c r="A1053" s="85" t="str">
        <f>_xlfn.XLOOKUP(B1053,'Country codes &amp; Data sources'!G:G,'Country codes &amp; Data sources'!H:H,,0)</f>
        <v>Uganda</v>
      </c>
      <c r="B1053" s="85" t="s">
        <v>191</v>
      </c>
      <c r="C1053" s="86">
        <v>34273314</v>
      </c>
      <c r="D1053" s="85" t="s">
        <v>142</v>
      </c>
      <c r="E1053" s="87">
        <v>0</v>
      </c>
      <c r="F1053" s="88">
        <v>35273569.999999993</v>
      </c>
      <c r="G1053" s="87">
        <v>0</v>
      </c>
      <c r="I1053" s="87">
        <v>0</v>
      </c>
      <c r="K1053" s="87">
        <v>0</v>
      </c>
      <c r="M1053" s="87">
        <v>0</v>
      </c>
      <c r="O1053" s="87">
        <v>0</v>
      </c>
      <c r="P1053" s="88">
        <v>41515395.000000015</v>
      </c>
      <c r="Q1053" s="87">
        <v>0</v>
      </c>
      <c r="R1053" s="87">
        <f t="shared" si="288"/>
        <v>0</v>
      </c>
      <c r="T1053" s="87">
        <v>0</v>
      </c>
      <c r="V1053" s="87">
        <v>0</v>
      </c>
      <c r="X1053" s="87">
        <v>0</v>
      </c>
      <c r="Y1053" s="88">
        <v>47249584.999999978</v>
      </c>
      <c r="Z1053" s="87">
        <v>0</v>
      </c>
      <c r="AA1053" s="87">
        <v>0</v>
      </c>
      <c r="AB1053" s="89">
        <f t="shared" si="289"/>
        <v>0</v>
      </c>
      <c r="AC1053" s="89">
        <f t="shared" si="290"/>
        <v>0</v>
      </c>
      <c r="AD1053" s="89">
        <f t="shared" si="291"/>
        <v>0</v>
      </c>
      <c r="AE1053" s="90">
        <f t="shared" si="292"/>
        <v>0</v>
      </c>
      <c r="AF1053" s="90" t="str">
        <f t="shared" si="293"/>
        <v/>
      </c>
      <c r="AG1053" s="90">
        <f t="shared" si="294"/>
        <v>0</v>
      </c>
      <c r="AH1053" s="90" t="str">
        <f t="shared" si="295"/>
        <v/>
      </c>
      <c r="AI1053" s="90">
        <f t="shared" si="296"/>
        <v>0</v>
      </c>
      <c r="AJ1053" s="90" t="str">
        <f t="shared" si="297"/>
        <v/>
      </c>
      <c r="AK1053" s="90" t="str">
        <f t="shared" si="298"/>
        <v/>
      </c>
      <c r="AL1053" s="91">
        <f>IF(AK1053="Adjust",(_xlfn.XLOOKUP(A1053,'Adj factor'!A:A,'Adj factor'!I:I,,0)*AI1053),'Master DataSheet'!AI1053)</f>
        <v>0</v>
      </c>
      <c r="AM1053" s="91">
        <f t="shared" si="299"/>
        <v>0</v>
      </c>
      <c r="AN1053" s="92" t="str">
        <f t="shared" si="300"/>
        <v>No change</v>
      </c>
      <c r="AO1053" s="93">
        <f>VLOOKUP(B1053,'Growthrates source'!A$2:H$49,8,FALSE)</f>
        <v>4.7050173871553191E-2</v>
      </c>
      <c r="AP1053" s="93">
        <f>VLOOKUP(B1053,'Growthrates source'!A$2:I$49,9,FALSE)</f>
        <v>5.4673730437993617E-2</v>
      </c>
      <c r="AQ1053" s="86">
        <f t="shared" si="301"/>
        <v>0</v>
      </c>
      <c r="AR1053" s="86">
        <f t="shared" si="302"/>
        <v>0</v>
      </c>
      <c r="AS1053" s="94">
        <f t="shared" si="303"/>
        <v>0</v>
      </c>
      <c r="AT1053" s="94">
        <f t="shared" si="304"/>
        <v>0</v>
      </c>
      <c r="AU1053" s="94">
        <f t="shared" si="305"/>
        <v>0</v>
      </c>
    </row>
    <row r="1054" spans="1:47" x14ac:dyDescent="0.3">
      <c r="A1054" s="85" t="str">
        <f>_xlfn.XLOOKUP(B1054,'Country codes &amp; Data sources'!G:G,'Country codes &amp; Data sources'!H:H,,0)</f>
        <v>Uganda</v>
      </c>
      <c r="B1054" s="85" t="s">
        <v>191</v>
      </c>
      <c r="C1054" s="86">
        <v>34273315</v>
      </c>
      <c r="D1054" s="85" t="s">
        <v>83</v>
      </c>
      <c r="E1054" s="87">
        <v>0</v>
      </c>
      <c r="F1054" s="88">
        <v>35273569.999999993</v>
      </c>
      <c r="G1054" s="87">
        <v>0</v>
      </c>
      <c r="I1054" s="87">
        <v>0</v>
      </c>
      <c r="K1054" s="87">
        <v>114</v>
      </c>
      <c r="M1054" s="87">
        <v>0</v>
      </c>
      <c r="O1054" s="87">
        <v>0</v>
      </c>
      <c r="P1054" s="88">
        <v>41515395.000000015</v>
      </c>
      <c r="Q1054" s="87">
        <v>0</v>
      </c>
      <c r="R1054" s="87">
        <f t="shared" si="288"/>
        <v>18</v>
      </c>
      <c r="T1054" s="87">
        <v>0</v>
      </c>
      <c r="V1054" s="87">
        <v>0</v>
      </c>
      <c r="X1054" s="87">
        <v>0</v>
      </c>
      <c r="Y1054" s="88">
        <v>47249584.999999978</v>
      </c>
      <c r="Z1054" s="87">
        <v>572</v>
      </c>
      <c r="AA1054" s="87">
        <v>18</v>
      </c>
      <c r="AB1054" s="89">
        <f t="shared" si="289"/>
        <v>114</v>
      </c>
      <c r="AC1054" s="89">
        <f t="shared" si="290"/>
        <v>0</v>
      </c>
      <c r="AD1054" s="89">
        <f t="shared" si="291"/>
        <v>572</v>
      </c>
      <c r="AE1054" s="90">
        <f t="shared" si="292"/>
        <v>114</v>
      </c>
      <c r="AF1054" s="90">
        <f t="shared" si="293"/>
        <v>2015</v>
      </c>
      <c r="AG1054" s="90">
        <f t="shared" si="294"/>
        <v>18</v>
      </c>
      <c r="AH1054" s="90" t="str">
        <f t="shared" si="295"/>
        <v>2018 (triag)</v>
      </c>
      <c r="AI1054" s="90">
        <f t="shared" si="296"/>
        <v>572</v>
      </c>
      <c r="AJ1054" s="90">
        <f t="shared" si="297"/>
        <v>2022</v>
      </c>
      <c r="AK1054" s="90" t="str">
        <f t="shared" si="298"/>
        <v/>
      </c>
      <c r="AL1054" s="91">
        <f>IF(AK1054="Adjust",(_xlfn.XLOOKUP(A1054,'Adj factor'!A:A,'Adj factor'!I:I,,0)*AI1054),'Master DataSheet'!AI1054)</f>
        <v>572</v>
      </c>
      <c r="AM1054" s="91">
        <f t="shared" si="299"/>
        <v>572</v>
      </c>
      <c r="AN1054" s="92" t="str">
        <f t="shared" si="300"/>
        <v>Increasing</v>
      </c>
      <c r="AO1054" s="93">
        <f>VLOOKUP(B1054,'Growthrates source'!A$2:H$49,8,FALSE)</f>
        <v>4.7050173871553191E-2</v>
      </c>
      <c r="AP1054" s="93">
        <f>VLOOKUP(B1054,'Growthrates source'!A$2:I$49,9,FALSE)</f>
        <v>5.4673730437993617E-2</v>
      </c>
      <c r="AQ1054" s="86">
        <f t="shared" si="301"/>
        <v>14.226705801050409</v>
      </c>
      <c r="AR1054" s="86">
        <f t="shared" si="302"/>
        <v>21.20830709880174</v>
      </c>
      <c r="AS1054" s="94">
        <f t="shared" si="303"/>
        <v>3.2318815475723045E-2</v>
      </c>
      <c r="AT1054" s="94">
        <f t="shared" si="304"/>
        <v>4.3357409943949694E-3</v>
      </c>
      <c r="AU1054" s="94">
        <f t="shared" si="305"/>
        <v>0.12105926433004656</v>
      </c>
    </row>
    <row r="1055" spans="1:47" x14ac:dyDescent="0.3">
      <c r="A1055" s="85" t="str">
        <f>_xlfn.XLOOKUP(B1055,'Country codes &amp; Data sources'!G:G,'Country codes &amp; Data sources'!H:H,,0)</f>
        <v>Uganda</v>
      </c>
      <c r="B1055" s="85" t="s">
        <v>191</v>
      </c>
      <c r="C1055" s="86">
        <v>34273316</v>
      </c>
      <c r="D1055" s="85" t="s">
        <v>84</v>
      </c>
      <c r="E1055" s="87">
        <v>6046</v>
      </c>
      <c r="F1055" s="88">
        <v>35273569.999999993</v>
      </c>
      <c r="G1055" s="87">
        <v>0</v>
      </c>
      <c r="I1055" s="87">
        <v>0</v>
      </c>
      <c r="K1055" s="87">
        <v>0</v>
      </c>
      <c r="M1055" s="87">
        <v>0</v>
      </c>
      <c r="O1055" s="87">
        <v>0</v>
      </c>
      <c r="P1055" s="88">
        <v>41515395.000000015</v>
      </c>
      <c r="Q1055" s="87">
        <v>0</v>
      </c>
      <c r="R1055" s="87">
        <f t="shared" si="288"/>
        <v>0</v>
      </c>
      <c r="T1055" s="87">
        <v>0</v>
      </c>
      <c r="V1055" s="87">
        <v>0</v>
      </c>
      <c r="X1055" s="87">
        <v>0</v>
      </c>
      <c r="Y1055" s="88">
        <v>47249584.999999978</v>
      </c>
      <c r="Z1055" s="87">
        <v>0</v>
      </c>
      <c r="AA1055" s="87">
        <v>0</v>
      </c>
      <c r="AB1055" s="89">
        <f t="shared" si="289"/>
        <v>6046</v>
      </c>
      <c r="AC1055" s="89">
        <f t="shared" si="290"/>
        <v>0</v>
      </c>
      <c r="AD1055" s="89">
        <f t="shared" si="291"/>
        <v>0</v>
      </c>
      <c r="AE1055" s="90">
        <f t="shared" si="292"/>
        <v>6046</v>
      </c>
      <c r="AF1055" s="90">
        <f t="shared" si="293"/>
        <v>2012</v>
      </c>
      <c r="AG1055" s="90">
        <f t="shared" si="294"/>
        <v>0</v>
      </c>
      <c r="AH1055" s="90" t="str">
        <f t="shared" si="295"/>
        <v/>
      </c>
      <c r="AI1055" s="90">
        <f t="shared" si="296"/>
        <v>0</v>
      </c>
      <c r="AJ1055" s="90" t="str">
        <f t="shared" si="297"/>
        <v/>
      </c>
      <c r="AK1055" s="90" t="str">
        <f t="shared" si="298"/>
        <v/>
      </c>
      <c r="AL1055" s="91">
        <f>IF(AK1055="Adjust",(_xlfn.XLOOKUP(A1055,'Adj factor'!A:A,'Adj factor'!I:I,,0)*AI1055),'Master DataSheet'!AI1055)</f>
        <v>0</v>
      </c>
      <c r="AM1055" s="91">
        <f t="shared" si="299"/>
        <v>0</v>
      </c>
      <c r="AN1055" s="92" t="str">
        <f t="shared" si="300"/>
        <v>No change</v>
      </c>
      <c r="AO1055" s="93">
        <f>VLOOKUP(B1055,'Growthrates source'!A$2:H$49,8,FALSE)</f>
        <v>4.7050173871553191E-2</v>
      </c>
      <c r="AP1055" s="93">
        <f>VLOOKUP(B1055,'Growthrates source'!A$2:I$49,9,FALSE)</f>
        <v>5.4673730437993617E-2</v>
      </c>
      <c r="AQ1055" s="86">
        <f t="shared" si="301"/>
        <v>0</v>
      </c>
      <c r="AR1055" s="86">
        <f t="shared" si="302"/>
        <v>0</v>
      </c>
      <c r="AS1055" s="94">
        <f t="shared" si="303"/>
        <v>1.7140312137387854</v>
      </c>
      <c r="AT1055" s="94">
        <f t="shared" si="304"/>
        <v>0</v>
      </c>
      <c r="AU1055" s="94">
        <f t="shared" si="305"/>
        <v>0</v>
      </c>
    </row>
    <row r="1056" spans="1:47" x14ac:dyDescent="0.3">
      <c r="A1056" s="85" t="str">
        <f>_xlfn.XLOOKUP(B1056,'Country codes &amp; Data sources'!G:G,'Country codes &amp; Data sources'!H:H,,0)</f>
        <v>Uganda</v>
      </c>
      <c r="B1056" s="85" t="s">
        <v>191</v>
      </c>
      <c r="C1056" s="86">
        <v>34273317</v>
      </c>
      <c r="D1056" s="85" t="s">
        <v>126</v>
      </c>
      <c r="E1056" s="87">
        <v>0</v>
      </c>
      <c r="F1056" s="88">
        <v>35273569.999999993</v>
      </c>
      <c r="G1056" s="87">
        <v>0</v>
      </c>
      <c r="I1056" s="87">
        <v>0</v>
      </c>
      <c r="K1056" s="87">
        <v>0</v>
      </c>
      <c r="M1056" s="87">
        <v>0</v>
      </c>
      <c r="O1056" s="87">
        <v>0</v>
      </c>
      <c r="P1056" s="88">
        <v>41515395.000000015</v>
      </c>
      <c r="Q1056" s="87">
        <v>0</v>
      </c>
      <c r="R1056" s="87">
        <f t="shared" si="288"/>
        <v>0</v>
      </c>
      <c r="T1056" s="87">
        <v>0</v>
      </c>
      <c r="V1056" s="87">
        <v>0</v>
      </c>
      <c r="X1056" s="87">
        <v>0</v>
      </c>
      <c r="Y1056" s="88">
        <v>47249584.999999978</v>
      </c>
      <c r="Z1056" s="96">
        <v>29</v>
      </c>
      <c r="AA1056" s="87">
        <v>0</v>
      </c>
      <c r="AB1056" s="89">
        <f t="shared" si="289"/>
        <v>0</v>
      </c>
      <c r="AC1056" s="89">
        <f t="shared" si="290"/>
        <v>0</v>
      </c>
      <c r="AD1056" s="89">
        <f t="shared" si="291"/>
        <v>29</v>
      </c>
      <c r="AE1056" s="90">
        <f t="shared" si="292"/>
        <v>0</v>
      </c>
      <c r="AF1056" s="90" t="str">
        <f t="shared" si="293"/>
        <v/>
      </c>
      <c r="AG1056" s="90">
        <f t="shared" si="294"/>
        <v>0</v>
      </c>
      <c r="AH1056" s="90" t="str">
        <f t="shared" si="295"/>
        <v/>
      </c>
      <c r="AI1056" s="90">
        <f t="shared" si="296"/>
        <v>29</v>
      </c>
      <c r="AJ1056" s="90">
        <f t="shared" si="297"/>
        <v>2022</v>
      </c>
      <c r="AK1056" s="90" t="str">
        <f t="shared" si="298"/>
        <v/>
      </c>
      <c r="AL1056" s="91">
        <f>IF(AK1056="Adjust",(_xlfn.XLOOKUP(A1056,'Adj factor'!A:A,'Adj factor'!I:I,,0)*AI1056),'Master DataSheet'!AI1056)</f>
        <v>29</v>
      </c>
      <c r="AM1056" s="91">
        <f t="shared" si="299"/>
        <v>29</v>
      </c>
      <c r="AN1056" s="92" t="str">
        <f t="shared" si="300"/>
        <v>Increasing</v>
      </c>
      <c r="AO1056" s="93">
        <f>VLOOKUP(B1056,'Growthrates source'!A$2:H$49,8,FALSE)</f>
        <v>4.7050173871553191E-2</v>
      </c>
      <c r="AP1056" s="93">
        <f>VLOOKUP(B1056,'Growthrates source'!A$2:I$49,9,FALSE)</f>
        <v>5.4673730437993617E-2</v>
      </c>
      <c r="AQ1056" s="86">
        <f t="shared" si="301"/>
        <v>0</v>
      </c>
      <c r="AR1056" s="86">
        <f t="shared" si="302"/>
        <v>0</v>
      </c>
      <c r="AS1056" s="94">
        <f t="shared" si="303"/>
        <v>0</v>
      </c>
      <c r="AT1056" s="94">
        <f t="shared" si="304"/>
        <v>0</v>
      </c>
      <c r="AU1056" s="94">
        <f t="shared" si="305"/>
        <v>6.1376200447051579E-3</v>
      </c>
    </row>
    <row r="1057" spans="1:47" x14ac:dyDescent="0.3">
      <c r="A1057" s="85" t="str">
        <f>_xlfn.XLOOKUP(B1057,'Country codes &amp; Data sources'!G:G,'Country codes &amp; Data sources'!H:H,,0)</f>
        <v>Uganda</v>
      </c>
      <c r="B1057" s="85" t="s">
        <v>191</v>
      </c>
      <c r="C1057" s="86">
        <v>34273318</v>
      </c>
      <c r="D1057" s="85" t="s">
        <v>87</v>
      </c>
      <c r="E1057" s="87">
        <v>19791</v>
      </c>
      <c r="F1057" s="88">
        <v>35273569.999999993</v>
      </c>
      <c r="G1057" s="87">
        <v>0</v>
      </c>
      <c r="I1057" s="87">
        <v>0</v>
      </c>
      <c r="K1057" s="87">
        <v>0</v>
      </c>
      <c r="M1057" s="87">
        <v>0</v>
      </c>
      <c r="O1057" s="87">
        <v>0</v>
      </c>
      <c r="P1057" s="88">
        <v>41515395.000000015</v>
      </c>
      <c r="Q1057" s="87">
        <v>0</v>
      </c>
      <c r="R1057" s="87">
        <f t="shared" si="288"/>
        <v>0</v>
      </c>
      <c r="T1057" s="87">
        <v>0</v>
      </c>
      <c r="V1057" s="87">
        <v>0</v>
      </c>
      <c r="X1057" s="87">
        <v>0</v>
      </c>
      <c r="Y1057" s="88">
        <v>47249584.999999978</v>
      </c>
      <c r="Z1057" s="87">
        <v>0</v>
      </c>
      <c r="AA1057" s="87">
        <v>0</v>
      </c>
      <c r="AB1057" s="89">
        <f t="shared" si="289"/>
        <v>19791</v>
      </c>
      <c r="AC1057" s="89">
        <f t="shared" si="290"/>
        <v>0</v>
      </c>
      <c r="AD1057" s="89">
        <f t="shared" si="291"/>
        <v>0</v>
      </c>
      <c r="AE1057" s="90">
        <f t="shared" si="292"/>
        <v>19791</v>
      </c>
      <c r="AF1057" s="90">
        <f t="shared" si="293"/>
        <v>2012</v>
      </c>
      <c r="AG1057" s="90">
        <f t="shared" si="294"/>
        <v>0</v>
      </c>
      <c r="AH1057" s="90" t="str">
        <f t="shared" si="295"/>
        <v/>
      </c>
      <c r="AI1057" s="90">
        <f t="shared" si="296"/>
        <v>0</v>
      </c>
      <c r="AJ1057" s="90" t="str">
        <f t="shared" si="297"/>
        <v/>
      </c>
      <c r="AK1057" s="90" t="str">
        <f t="shared" si="298"/>
        <v/>
      </c>
      <c r="AL1057" s="91">
        <f>IF(AK1057="Adjust",(_xlfn.XLOOKUP(A1057,'Adj factor'!A:A,'Adj factor'!I:I,,0)*AI1057),'Master DataSheet'!AI1057)</f>
        <v>0</v>
      </c>
      <c r="AM1057" s="60">
        <v>29</v>
      </c>
      <c r="AN1057" s="92" t="str">
        <f t="shared" si="300"/>
        <v>No change</v>
      </c>
      <c r="AO1057" s="93">
        <f>VLOOKUP(B1057,'Growthrates source'!A$2:H$49,8,FALSE)</f>
        <v>4.7050173871553191E-2</v>
      </c>
      <c r="AP1057" s="93">
        <f>VLOOKUP(B1057,'Growthrates source'!A$2:I$49,9,FALSE)</f>
        <v>5.4673730437993617E-2</v>
      </c>
      <c r="AQ1057" s="86">
        <f t="shared" si="301"/>
        <v>0</v>
      </c>
      <c r="AR1057" s="86">
        <f t="shared" si="302"/>
        <v>0</v>
      </c>
      <c r="AS1057" s="94">
        <f t="shared" si="303"/>
        <v>5.6107164656143409</v>
      </c>
      <c r="AT1057" s="94">
        <f t="shared" si="304"/>
        <v>0</v>
      </c>
      <c r="AU1057" s="94">
        <f t="shared" si="305"/>
        <v>6.1376200447051579E-3</v>
      </c>
    </row>
    <row r="1058" spans="1:47" x14ac:dyDescent="0.3">
      <c r="A1058" s="85" t="str">
        <f>_xlfn.XLOOKUP(B1058,'Country codes &amp; Data sources'!G:G,'Country codes &amp; Data sources'!H:H,,0)</f>
        <v>South Africa</v>
      </c>
      <c r="B1058" s="85" t="s">
        <v>187</v>
      </c>
      <c r="C1058" s="86">
        <v>53145033.000000007</v>
      </c>
      <c r="D1058" s="85" t="s">
        <v>321</v>
      </c>
      <c r="E1058" s="87">
        <v>0</v>
      </c>
      <c r="F1058" s="88">
        <v>53873616</v>
      </c>
      <c r="G1058" s="87">
        <v>0</v>
      </c>
      <c r="H1058" s="87">
        <v>54729550.99999997</v>
      </c>
      <c r="I1058" s="87">
        <v>5084</v>
      </c>
      <c r="J1058" s="87">
        <v>55876503.999999993</v>
      </c>
      <c r="K1058" s="87">
        <v>1143</v>
      </c>
      <c r="L1058" s="87">
        <v>56422273.499999985</v>
      </c>
      <c r="M1058" s="87">
        <v>87529</v>
      </c>
      <c r="N1058" s="87">
        <v>56641209.500000007</v>
      </c>
      <c r="O1058" s="87">
        <v>89306</v>
      </c>
      <c r="P1058" s="88">
        <v>57339635.000000015</v>
      </c>
      <c r="Q1058" s="87">
        <v>87006</v>
      </c>
      <c r="R1058" s="87">
        <f t="shared" si="288"/>
        <v>87006</v>
      </c>
      <c r="S1058" s="87">
        <v>58087054.999999985</v>
      </c>
      <c r="T1058" s="87">
        <v>92786</v>
      </c>
      <c r="U1058" s="87">
        <v>58801926.500000022</v>
      </c>
      <c r="V1058" s="87">
        <v>0</v>
      </c>
      <c r="W1058" s="87">
        <v>59392255</v>
      </c>
      <c r="X1058" s="87">
        <v>99093</v>
      </c>
      <c r="Y1058" s="88">
        <v>59893885.5</v>
      </c>
      <c r="Z1058" s="87">
        <v>0</v>
      </c>
      <c r="AA1058" s="87">
        <v>43503</v>
      </c>
      <c r="AB1058" s="89">
        <f t="shared" si="289"/>
        <v>5084</v>
      </c>
      <c r="AC1058" s="89">
        <f t="shared" si="290"/>
        <v>92786</v>
      </c>
      <c r="AD1058" s="89">
        <f t="shared" si="291"/>
        <v>99093</v>
      </c>
      <c r="AE1058" s="90">
        <f t="shared" si="292"/>
        <v>5084</v>
      </c>
      <c r="AF1058" s="90">
        <f t="shared" si="293"/>
        <v>2014</v>
      </c>
      <c r="AG1058" s="90">
        <f t="shared" si="294"/>
        <v>87006</v>
      </c>
      <c r="AH1058" s="90">
        <f t="shared" si="295"/>
        <v>2018</v>
      </c>
      <c r="AI1058" s="90">
        <f t="shared" si="296"/>
        <v>99093</v>
      </c>
      <c r="AJ1058" s="90">
        <f t="shared" si="297"/>
        <v>2021</v>
      </c>
      <c r="AK1058" s="90" t="str">
        <f t="shared" si="298"/>
        <v/>
      </c>
      <c r="AL1058" s="91">
        <f>IF(AK1058="Adjust",(_xlfn.XLOOKUP(A1058,'Adj factor'!A:A,'Adj factor'!I:I,,0)*AI1058),'Master DataSheet'!AI1058)</f>
        <v>99093</v>
      </c>
      <c r="AM1058" s="91">
        <f t="shared" si="299"/>
        <v>99093</v>
      </c>
      <c r="AN1058" s="92" t="str">
        <f t="shared" si="300"/>
        <v>Increasing</v>
      </c>
      <c r="AO1058" s="93">
        <f>VLOOKUP(B1058,'Growthrates source'!A$2:H$49,8,FALSE)</f>
        <v>-1.4844947843777323E-3</v>
      </c>
      <c r="AP1058" s="93">
        <f>VLOOKUP(B1058,'Growthrates source'!A$2:I$49,9,FALSE)</f>
        <v>5.4673730437993617E-2</v>
      </c>
      <c r="AQ1058" s="86">
        <f t="shared" si="301"/>
        <v>43827.10121144139</v>
      </c>
      <c r="AR1058" s="86">
        <f t="shared" si="302"/>
        <v>51256.943539954009</v>
      </c>
      <c r="AS1058" s="94">
        <f t="shared" si="303"/>
        <v>0.94369013581713168</v>
      </c>
      <c r="AT1058" s="94">
        <f t="shared" si="304"/>
        <v>15.173797321869937</v>
      </c>
      <c r="AU1058" s="94">
        <f t="shared" si="305"/>
        <v>16.544760650066692</v>
      </c>
    </row>
    <row r="1059" spans="1:47" x14ac:dyDescent="0.3">
      <c r="A1059" s="85" t="str">
        <f>_xlfn.XLOOKUP(B1059,'Country codes &amp; Data sources'!G:G,'Country codes &amp; Data sources'!H:H,,0)</f>
        <v>South Africa</v>
      </c>
      <c r="B1059" s="85" t="s">
        <v>187</v>
      </c>
      <c r="C1059" s="86">
        <v>53145034</v>
      </c>
      <c r="D1059" s="85" t="s">
        <v>322</v>
      </c>
      <c r="E1059" s="87">
        <v>117444</v>
      </c>
      <c r="F1059" s="88">
        <v>53873616</v>
      </c>
      <c r="G1059" s="87">
        <v>0</v>
      </c>
      <c r="I1059" s="87">
        <v>0</v>
      </c>
      <c r="K1059" s="87">
        <v>0</v>
      </c>
      <c r="M1059" s="87">
        <v>0</v>
      </c>
      <c r="O1059" s="87">
        <v>0</v>
      </c>
      <c r="P1059" s="88">
        <v>57339635.000000015</v>
      </c>
      <c r="Q1059" s="87">
        <v>141104</v>
      </c>
      <c r="R1059" s="87">
        <f t="shared" si="288"/>
        <v>287458</v>
      </c>
      <c r="T1059" s="87">
        <v>129276</v>
      </c>
      <c r="V1059" s="87">
        <v>122056</v>
      </c>
      <c r="X1059" s="87">
        <v>0</v>
      </c>
      <c r="Y1059" s="88">
        <v>59893885.5</v>
      </c>
      <c r="Z1059" s="103">
        <v>271047</v>
      </c>
      <c r="AA1059" s="87">
        <v>287458</v>
      </c>
      <c r="AB1059" s="89">
        <f t="shared" si="289"/>
        <v>117444</v>
      </c>
      <c r="AC1059" s="89">
        <f t="shared" si="290"/>
        <v>141104</v>
      </c>
      <c r="AD1059" s="89">
        <f t="shared" si="291"/>
        <v>271047</v>
      </c>
      <c r="AE1059" s="90">
        <f t="shared" si="292"/>
        <v>117444</v>
      </c>
      <c r="AF1059" s="90">
        <f t="shared" si="293"/>
        <v>2012</v>
      </c>
      <c r="AG1059" s="90">
        <f t="shared" si="294"/>
        <v>287458</v>
      </c>
      <c r="AH1059" s="90" t="str">
        <f t="shared" si="295"/>
        <v>2018 (triag)</v>
      </c>
      <c r="AI1059" s="90">
        <f t="shared" si="296"/>
        <v>271047</v>
      </c>
      <c r="AJ1059" s="90">
        <f t="shared" si="297"/>
        <v>2022</v>
      </c>
      <c r="AK1059" s="90" t="str">
        <f t="shared" si="298"/>
        <v>Adjust</v>
      </c>
      <c r="AL1059" s="91">
        <f>IF(AK1059="Adjust",(_xlfn.XLOOKUP(A1059,'Adj factor'!A:A,'Adj factor'!I:I,,0)*AI1059),'Master DataSheet'!AI1059)</f>
        <v>397261.24962174537</v>
      </c>
      <c r="AM1059" s="91">
        <f t="shared" si="299"/>
        <v>397261.24962174537</v>
      </c>
      <c r="AN1059" s="92" t="str">
        <f t="shared" si="300"/>
        <v>Increasing</v>
      </c>
      <c r="AO1059" s="93">
        <f>VLOOKUP(B1059,'Growthrates source'!A$2:H$49,8,FALSE)</f>
        <v>-1.4844947843777323E-3</v>
      </c>
      <c r="AP1059" s="93">
        <f>VLOOKUP(B1059,'Growthrates source'!A$2:I$49,9,FALSE)</f>
        <v>5.4673730437993617E-2</v>
      </c>
      <c r="AQ1059" s="86">
        <f t="shared" si="301"/>
        <v>289599.58761553268</v>
      </c>
      <c r="AR1059" s="86">
        <f t="shared" si="302"/>
        <v>338694.30788929726</v>
      </c>
      <c r="AS1059" s="94">
        <f t="shared" si="303"/>
        <v>21.799910367999058</v>
      </c>
      <c r="AT1059" s="94">
        <f t="shared" si="304"/>
        <v>50.132513051399776</v>
      </c>
      <c r="AU1059" s="94">
        <f t="shared" si="305"/>
        <v>66.327513452394967</v>
      </c>
    </row>
    <row r="1060" spans="1:47" x14ac:dyDescent="0.3">
      <c r="A1060" s="85" t="str">
        <f>_xlfn.XLOOKUP(B1060,'Country codes &amp; Data sources'!G:G,'Country codes &amp; Data sources'!H:H,,0)</f>
        <v>South Africa</v>
      </c>
      <c r="B1060" s="85" t="s">
        <v>187</v>
      </c>
      <c r="C1060" s="86">
        <v>53145035</v>
      </c>
      <c r="D1060" s="85" t="s">
        <v>323</v>
      </c>
      <c r="E1060" s="87">
        <v>0</v>
      </c>
      <c r="F1060" s="88">
        <v>53873616</v>
      </c>
      <c r="G1060" s="87">
        <v>0</v>
      </c>
      <c r="I1060" s="87">
        <v>0</v>
      </c>
      <c r="K1060" s="87">
        <v>0</v>
      </c>
      <c r="M1060" s="87">
        <v>2568</v>
      </c>
      <c r="O1060" s="87">
        <v>0</v>
      </c>
      <c r="P1060" s="88">
        <v>57339635.000000015</v>
      </c>
      <c r="Q1060" s="87">
        <v>0</v>
      </c>
      <c r="R1060" s="87">
        <f t="shared" si="288"/>
        <v>0</v>
      </c>
      <c r="T1060" s="87">
        <v>0</v>
      </c>
      <c r="V1060" s="87">
        <v>0</v>
      </c>
      <c r="X1060" s="87">
        <v>0</v>
      </c>
      <c r="Y1060" s="88">
        <v>59893885.5</v>
      </c>
      <c r="Z1060" s="87">
        <v>0</v>
      </c>
      <c r="AA1060" s="87">
        <v>0</v>
      </c>
      <c r="AB1060" s="89">
        <f t="shared" si="289"/>
        <v>0</v>
      </c>
      <c r="AC1060" s="89">
        <f t="shared" si="290"/>
        <v>2568</v>
      </c>
      <c r="AD1060" s="89">
        <f t="shared" si="291"/>
        <v>0</v>
      </c>
      <c r="AE1060" s="90">
        <f t="shared" si="292"/>
        <v>0</v>
      </c>
      <c r="AF1060" s="90" t="str">
        <f t="shared" si="293"/>
        <v/>
      </c>
      <c r="AG1060" s="90">
        <f t="shared" si="294"/>
        <v>0</v>
      </c>
      <c r="AH1060" s="90" t="str">
        <f t="shared" si="295"/>
        <v/>
      </c>
      <c r="AI1060" s="90">
        <f t="shared" si="296"/>
        <v>0</v>
      </c>
      <c r="AJ1060" s="90" t="str">
        <f t="shared" si="297"/>
        <v/>
      </c>
      <c r="AK1060" s="90" t="str">
        <f t="shared" si="298"/>
        <v/>
      </c>
      <c r="AL1060" s="91">
        <f>IF(AK1060="Adjust",(_xlfn.XLOOKUP(A1060,'Adj factor'!A:A,'Adj factor'!I:I,,0)*AI1060),'Master DataSheet'!AI1060)</f>
        <v>0</v>
      </c>
      <c r="AM1060" s="91">
        <f t="shared" si="299"/>
        <v>0</v>
      </c>
      <c r="AN1060" s="92" t="str">
        <f t="shared" si="300"/>
        <v>No change</v>
      </c>
      <c r="AO1060" s="93">
        <f>VLOOKUP(B1060,'Growthrates source'!A$2:H$49,8,FALSE)</f>
        <v>-1.4844947843777323E-3</v>
      </c>
      <c r="AP1060" s="93">
        <f>VLOOKUP(B1060,'Growthrates source'!A$2:I$49,9,FALSE)</f>
        <v>5.4673730437993617E-2</v>
      </c>
      <c r="AQ1060" s="86">
        <f t="shared" si="301"/>
        <v>0</v>
      </c>
      <c r="AR1060" s="86">
        <f t="shared" si="302"/>
        <v>0</v>
      </c>
      <c r="AS1060" s="94">
        <f t="shared" si="303"/>
        <v>0</v>
      </c>
      <c r="AT1060" s="94">
        <f t="shared" si="304"/>
        <v>0</v>
      </c>
      <c r="AU1060" s="94">
        <f t="shared" si="305"/>
        <v>0</v>
      </c>
    </row>
    <row r="1061" spans="1:47" x14ac:dyDescent="0.3">
      <c r="A1061" s="85" t="str">
        <f>_xlfn.XLOOKUP(B1061,'Country codes &amp; Data sources'!G:G,'Country codes &amp; Data sources'!H:H,,0)</f>
        <v>South Africa</v>
      </c>
      <c r="B1061" s="85" t="s">
        <v>187</v>
      </c>
      <c r="C1061" s="86">
        <v>53145036</v>
      </c>
      <c r="D1061" s="85" t="s">
        <v>324</v>
      </c>
      <c r="E1061" s="87">
        <v>0</v>
      </c>
      <c r="F1061" s="88">
        <v>53873616</v>
      </c>
      <c r="G1061" s="87">
        <v>0</v>
      </c>
      <c r="I1061" s="87">
        <v>0</v>
      </c>
      <c r="K1061" s="87">
        <v>0</v>
      </c>
      <c r="M1061" s="87">
        <v>2355</v>
      </c>
      <c r="O1061" s="87">
        <v>0</v>
      </c>
      <c r="P1061" s="88">
        <v>57339635.000000015</v>
      </c>
      <c r="Q1061" s="87">
        <v>0</v>
      </c>
      <c r="R1061" s="87">
        <f t="shared" si="288"/>
        <v>16195</v>
      </c>
      <c r="T1061" s="87">
        <v>0</v>
      </c>
      <c r="V1061" s="87">
        <v>0</v>
      </c>
      <c r="X1061" s="87">
        <v>494</v>
      </c>
      <c r="Y1061" s="88">
        <v>59893885.5</v>
      </c>
      <c r="Z1061" s="103">
        <v>17703</v>
      </c>
      <c r="AA1061" s="87">
        <v>16195</v>
      </c>
      <c r="AB1061" s="89">
        <f t="shared" si="289"/>
        <v>0</v>
      </c>
      <c r="AC1061" s="89">
        <f t="shared" si="290"/>
        <v>2355</v>
      </c>
      <c r="AD1061" s="89">
        <f t="shared" si="291"/>
        <v>17703</v>
      </c>
      <c r="AE1061" s="90">
        <f t="shared" si="292"/>
        <v>0</v>
      </c>
      <c r="AF1061" s="90" t="str">
        <f t="shared" si="293"/>
        <v/>
      </c>
      <c r="AG1061" s="90">
        <f t="shared" si="294"/>
        <v>16195</v>
      </c>
      <c r="AH1061" s="90" t="str">
        <f t="shared" si="295"/>
        <v>2018 (triag)</v>
      </c>
      <c r="AI1061" s="90">
        <f t="shared" si="296"/>
        <v>17703</v>
      </c>
      <c r="AJ1061" s="90">
        <f t="shared" si="297"/>
        <v>2022</v>
      </c>
      <c r="AK1061" s="90" t="str">
        <f t="shared" si="298"/>
        <v/>
      </c>
      <c r="AL1061" s="91">
        <f>IF(AK1061="Adjust",(_xlfn.XLOOKUP(A1061,'Adj factor'!A:A,'Adj factor'!I:I,,0)*AI1061),'Master DataSheet'!AI1061)</f>
        <v>17703</v>
      </c>
      <c r="AM1061" s="91">
        <f t="shared" si="299"/>
        <v>17703</v>
      </c>
      <c r="AN1061" s="92" t="str">
        <f t="shared" si="300"/>
        <v>Increasing</v>
      </c>
      <c r="AO1061" s="93">
        <f>VLOOKUP(B1061,'Growthrates source'!A$2:H$49,8,FALSE)</f>
        <v>-1.4844947843777323E-3</v>
      </c>
      <c r="AP1061" s="93">
        <f>VLOOKUP(B1061,'Growthrates source'!A$2:I$49,9,FALSE)</f>
        <v>5.4673730437993617E-2</v>
      </c>
      <c r="AQ1061" s="86">
        <f t="shared" si="301"/>
        <v>16315.654187511052</v>
      </c>
      <c r="AR1061" s="86">
        <f t="shared" si="302"/>
        <v>19081.585192505234</v>
      </c>
      <c r="AS1061" s="94">
        <f t="shared" si="303"/>
        <v>0</v>
      </c>
      <c r="AT1061" s="94">
        <f t="shared" si="304"/>
        <v>2.8243988647643112</v>
      </c>
      <c r="AU1061" s="94">
        <f t="shared" si="305"/>
        <v>2.9557274256317867</v>
      </c>
    </row>
    <row r="1062" spans="1:47" x14ac:dyDescent="0.3">
      <c r="A1062" s="85" t="str">
        <f>_xlfn.XLOOKUP(B1062,'Country codes &amp; Data sources'!G:G,'Country codes &amp; Data sources'!H:H,,0)</f>
        <v>South Africa</v>
      </c>
      <c r="B1062" s="85" t="s">
        <v>187</v>
      </c>
      <c r="C1062" s="86">
        <v>53145037</v>
      </c>
      <c r="D1062" s="85" t="s">
        <v>325</v>
      </c>
      <c r="E1062" s="87">
        <v>0</v>
      </c>
      <c r="F1062" s="88">
        <v>53873616</v>
      </c>
      <c r="G1062" s="87">
        <v>0</v>
      </c>
      <c r="I1062" s="87">
        <v>0</v>
      </c>
      <c r="K1062" s="87">
        <v>0</v>
      </c>
      <c r="M1062" s="87">
        <v>1090</v>
      </c>
      <c r="O1062" s="87">
        <v>0</v>
      </c>
      <c r="P1062" s="88">
        <v>57339635.000000015</v>
      </c>
      <c r="Q1062" s="87">
        <v>0</v>
      </c>
      <c r="R1062" s="87">
        <f t="shared" si="288"/>
        <v>6816</v>
      </c>
      <c r="T1062" s="87">
        <v>0</v>
      </c>
      <c r="V1062" s="87">
        <v>0</v>
      </c>
      <c r="X1062" s="87">
        <v>366</v>
      </c>
      <c r="Y1062" s="88">
        <v>59893885.5</v>
      </c>
      <c r="Z1062" s="87">
        <v>0</v>
      </c>
      <c r="AA1062" s="87">
        <v>6816</v>
      </c>
      <c r="AB1062" s="89">
        <f t="shared" si="289"/>
        <v>0</v>
      </c>
      <c r="AC1062" s="89">
        <f t="shared" si="290"/>
        <v>1090</v>
      </c>
      <c r="AD1062" s="89">
        <f t="shared" si="291"/>
        <v>366</v>
      </c>
      <c r="AE1062" s="90">
        <f t="shared" si="292"/>
        <v>0</v>
      </c>
      <c r="AF1062" s="90" t="str">
        <f t="shared" si="293"/>
        <v/>
      </c>
      <c r="AG1062" s="90">
        <f t="shared" si="294"/>
        <v>6816</v>
      </c>
      <c r="AH1062" s="90" t="str">
        <f t="shared" si="295"/>
        <v>2018 (triag)</v>
      </c>
      <c r="AI1062" s="90">
        <f t="shared" si="296"/>
        <v>366</v>
      </c>
      <c r="AJ1062" s="90">
        <f t="shared" si="297"/>
        <v>2021</v>
      </c>
      <c r="AK1062" s="90" t="str">
        <f t="shared" si="298"/>
        <v>Adjust</v>
      </c>
      <c r="AL1062" s="91">
        <f>IF(AK1062="Adjust",(_xlfn.XLOOKUP(A1062,'Adj factor'!A:A,'Adj factor'!I:I,,0)*AI1062),'Master DataSheet'!AI1062)</f>
        <v>536.42953938453036</v>
      </c>
      <c r="AM1062" s="91">
        <f t="shared" si="299"/>
        <v>6816</v>
      </c>
      <c r="AN1062" s="92" t="str">
        <f t="shared" si="300"/>
        <v>Decreasing</v>
      </c>
      <c r="AO1062" s="93">
        <f>VLOOKUP(B1062,'Growthrates source'!A$2:H$49,8,FALSE)</f>
        <v>-1.4844947843777323E-3</v>
      </c>
      <c r="AP1062" s="93">
        <f>VLOOKUP(B1062,'Growthrates source'!A$2:I$49,9,FALSE)</f>
        <v>5.4673730437993617E-2</v>
      </c>
      <c r="AQ1062" s="86">
        <f t="shared" si="301"/>
        <v>6866.7798050061947</v>
      </c>
      <c r="AR1062" s="86">
        <f t="shared" si="302"/>
        <v>8030.8789547462593</v>
      </c>
      <c r="AS1062" s="94">
        <f t="shared" si="303"/>
        <v>0</v>
      </c>
      <c r="AT1062" s="94">
        <f t="shared" si="304"/>
        <v>1.1887065552475173</v>
      </c>
      <c r="AU1062" s="94">
        <f t="shared" si="305"/>
        <v>1.1380126607414709</v>
      </c>
    </row>
    <row r="1063" spans="1:47" x14ac:dyDescent="0.3">
      <c r="A1063" s="85" t="str">
        <f>_xlfn.XLOOKUP(B1063,'Country codes &amp; Data sources'!G:G,'Country codes &amp; Data sources'!H:H,,0)</f>
        <v>South Africa</v>
      </c>
      <c r="B1063" s="85" t="s">
        <v>187</v>
      </c>
      <c r="C1063" s="86">
        <v>53145038</v>
      </c>
      <c r="D1063" s="85" t="s">
        <v>127</v>
      </c>
      <c r="E1063" s="87">
        <v>0</v>
      </c>
      <c r="F1063" s="88">
        <v>53873616</v>
      </c>
      <c r="G1063" s="87">
        <v>0</v>
      </c>
      <c r="I1063" s="87">
        <v>0</v>
      </c>
      <c r="K1063" s="87">
        <v>0</v>
      </c>
      <c r="M1063" s="87">
        <v>0</v>
      </c>
      <c r="O1063" s="87">
        <v>0</v>
      </c>
      <c r="P1063" s="88">
        <v>57339635.000000015</v>
      </c>
      <c r="Q1063" s="87">
        <v>54180</v>
      </c>
      <c r="R1063" s="87">
        <f t="shared" si="288"/>
        <v>54180</v>
      </c>
      <c r="T1063" s="87">
        <v>0</v>
      </c>
      <c r="V1063" s="87">
        <v>0</v>
      </c>
      <c r="X1063" s="87">
        <v>0</v>
      </c>
      <c r="Y1063" s="88">
        <v>59893885.5</v>
      </c>
      <c r="Z1063" s="87">
        <v>63290</v>
      </c>
      <c r="AA1063" s="87">
        <v>54180</v>
      </c>
      <c r="AB1063" s="89">
        <f t="shared" si="289"/>
        <v>0</v>
      </c>
      <c r="AC1063" s="89">
        <f t="shared" si="290"/>
        <v>54180</v>
      </c>
      <c r="AD1063" s="89">
        <f t="shared" si="291"/>
        <v>63290</v>
      </c>
      <c r="AE1063" s="90">
        <f t="shared" si="292"/>
        <v>0</v>
      </c>
      <c r="AF1063" s="90" t="str">
        <f t="shared" si="293"/>
        <v/>
      </c>
      <c r="AG1063" s="90">
        <f t="shared" si="294"/>
        <v>54180</v>
      </c>
      <c r="AH1063" s="90">
        <f t="shared" si="295"/>
        <v>2018</v>
      </c>
      <c r="AI1063" s="90">
        <f t="shared" si="296"/>
        <v>63290</v>
      </c>
      <c r="AJ1063" s="90">
        <f t="shared" si="297"/>
        <v>2022</v>
      </c>
      <c r="AK1063" s="90" t="str">
        <f t="shared" si="298"/>
        <v/>
      </c>
      <c r="AL1063" s="91">
        <f>IF(AK1063="Adjust",(_xlfn.XLOOKUP(A1063,'Adj factor'!A:A,'Adj factor'!I:I,,0)*AI1063),'Master DataSheet'!AI1063)</f>
        <v>63290</v>
      </c>
      <c r="AM1063" s="91">
        <f t="shared" si="299"/>
        <v>63290</v>
      </c>
      <c r="AN1063" s="92" t="str">
        <f t="shared" si="300"/>
        <v>Increasing</v>
      </c>
      <c r="AO1063" s="93">
        <f>VLOOKUP(B1063,'Growthrates source'!A$2:H$49,8,FALSE)</f>
        <v>-1.4844947843777323E-3</v>
      </c>
      <c r="AP1063" s="93">
        <f>VLOOKUP(B1063,'Growthrates source'!A$2:I$49,9,FALSE)</f>
        <v>5.4673730437993617E-2</v>
      </c>
      <c r="AQ1063" s="86">
        <f t="shared" si="301"/>
        <v>54583.64580916016</v>
      </c>
      <c r="AR1063" s="86">
        <f t="shared" si="302"/>
        <v>63837.004367393245</v>
      </c>
      <c r="AS1063" s="94">
        <f t="shared" si="303"/>
        <v>0</v>
      </c>
      <c r="AT1063" s="94">
        <f t="shared" si="304"/>
        <v>9.448961438279122</v>
      </c>
      <c r="AU1063" s="94">
        <f t="shared" si="305"/>
        <v>10.567021904097372</v>
      </c>
    </row>
    <row r="1064" spans="1:47" x14ac:dyDescent="0.3">
      <c r="A1064" s="85" t="str">
        <f>_xlfn.XLOOKUP(B1064,'Country codes &amp; Data sources'!G:G,'Country codes &amp; Data sources'!H:H,,0)</f>
        <v>South Africa</v>
      </c>
      <c r="B1064" s="85" t="s">
        <v>187</v>
      </c>
      <c r="C1064" s="86">
        <v>53145039</v>
      </c>
      <c r="D1064" s="85" t="s">
        <v>61</v>
      </c>
      <c r="E1064" s="87">
        <v>0</v>
      </c>
      <c r="F1064" s="88">
        <v>53873616</v>
      </c>
      <c r="G1064" s="87">
        <v>0</v>
      </c>
      <c r="I1064" s="87">
        <v>0</v>
      </c>
      <c r="K1064" s="87">
        <v>0</v>
      </c>
      <c r="M1064" s="87">
        <v>0</v>
      </c>
      <c r="O1064" s="87">
        <v>0</v>
      </c>
      <c r="P1064" s="88">
        <v>57339635.000000015</v>
      </c>
      <c r="Q1064" s="87">
        <v>0</v>
      </c>
      <c r="R1064" s="87">
        <f t="shared" si="288"/>
        <v>0</v>
      </c>
      <c r="T1064" s="87">
        <v>0</v>
      </c>
      <c r="V1064" s="87">
        <v>0</v>
      </c>
      <c r="X1064" s="87">
        <v>0</v>
      </c>
      <c r="Y1064" s="88">
        <v>59893885.5</v>
      </c>
      <c r="Z1064" s="87">
        <v>0</v>
      </c>
      <c r="AA1064" s="87">
        <v>0</v>
      </c>
      <c r="AB1064" s="89">
        <f t="shared" si="289"/>
        <v>0</v>
      </c>
      <c r="AC1064" s="89">
        <f t="shared" si="290"/>
        <v>0</v>
      </c>
      <c r="AD1064" s="89">
        <f t="shared" si="291"/>
        <v>0</v>
      </c>
      <c r="AE1064" s="90">
        <f t="shared" si="292"/>
        <v>0</v>
      </c>
      <c r="AF1064" s="90" t="str">
        <f t="shared" si="293"/>
        <v/>
      </c>
      <c r="AG1064" s="90">
        <f t="shared" si="294"/>
        <v>0</v>
      </c>
      <c r="AH1064" s="90" t="str">
        <f t="shared" si="295"/>
        <v/>
      </c>
      <c r="AI1064" s="90">
        <f t="shared" si="296"/>
        <v>0</v>
      </c>
      <c r="AJ1064" s="90" t="str">
        <f t="shared" si="297"/>
        <v/>
      </c>
      <c r="AK1064" s="90" t="str">
        <f t="shared" si="298"/>
        <v/>
      </c>
      <c r="AL1064" s="91">
        <f>IF(AK1064="Adjust",(_xlfn.XLOOKUP(A1064,'Adj factor'!A:A,'Adj factor'!I:I,,0)*AI1064),'Master DataSheet'!AI1064)</f>
        <v>0</v>
      </c>
      <c r="AM1064" s="91">
        <f t="shared" si="299"/>
        <v>0</v>
      </c>
      <c r="AN1064" s="92" t="str">
        <f t="shared" si="300"/>
        <v>No change</v>
      </c>
      <c r="AO1064" s="93">
        <f>VLOOKUP(B1064,'Growthrates source'!A$2:H$49,8,FALSE)</f>
        <v>-1.4844947843777323E-3</v>
      </c>
      <c r="AP1064" s="93">
        <f>VLOOKUP(B1064,'Growthrates source'!A$2:I$49,9,FALSE)</f>
        <v>5.4673730437993617E-2</v>
      </c>
      <c r="AQ1064" s="86">
        <f t="shared" si="301"/>
        <v>0</v>
      </c>
      <c r="AR1064" s="86">
        <f t="shared" si="302"/>
        <v>0</v>
      </c>
      <c r="AS1064" s="94">
        <f t="shared" si="303"/>
        <v>0</v>
      </c>
      <c r="AT1064" s="94">
        <f t="shared" si="304"/>
        <v>0</v>
      </c>
      <c r="AU1064" s="94">
        <f t="shared" si="305"/>
        <v>0</v>
      </c>
    </row>
    <row r="1065" spans="1:47" x14ac:dyDescent="0.3">
      <c r="A1065" s="85" t="str">
        <f>_xlfn.XLOOKUP(B1065,'Country codes &amp; Data sources'!G:G,'Country codes &amp; Data sources'!H:H,,0)</f>
        <v>South Africa</v>
      </c>
      <c r="B1065" s="85" t="s">
        <v>187</v>
      </c>
      <c r="C1065" s="86">
        <v>53145040</v>
      </c>
      <c r="D1065" s="85" t="s">
        <v>62</v>
      </c>
      <c r="E1065" s="87">
        <v>0</v>
      </c>
      <c r="F1065" s="88">
        <v>53873616</v>
      </c>
      <c r="G1065" s="87">
        <v>0</v>
      </c>
      <c r="I1065" s="87">
        <v>0</v>
      </c>
      <c r="K1065" s="87">
        <v>0</v>
      </c>
      <c r="M1065" s="87">
        <v>0</v>
      </c>
      <c r="O1065" s="87">
        <v>0</v>
      </c>
      <c r="P1065" s="88">
        <v>57339635.000000015</v>
      </c>
      <c r="Q1065" s="87">
        <v>0</v>
      </c>
      <c r="R1065" s="87">
        <f t="shared" si="288"/>
        <v>3585</v>
      </c>
      <c r="T1065" s="87">
        <v>0</v>
      </c>
      <c r="V1065" s="87">
        <v>0</v>
      </c>
      <c r="X1065" s="87">
        <v>0</v>
      </c>
      <c r="Y1065" s="88">
        <v>59893885.5</v>
      </c>
      <c r="Z1065" s="87">
        <v>0</v>
      </c>
      <c r="AA1065" s="87">
        <v>3585</v>
      </c>
      <c r="AB1065" s="89">
        <f t="shared" si="289"/>
        <v>0</v>
      </c>
      <c r="AC1065" s="89">
        <f t="shared" si="290"/>
        <v>0</v>
      </c>
      <c r="AD1065" s="89">
        <f t="shared" si="291"/>
        <v>0</v>
      </c>
      <c r="AE1065" s="90">
        <f t="shared" si="292"/>
        <v>0</v>
      </c>
      <c r="AF1065" s="90" t="str">
        <f t="shared" si="293"/>
        <v/>
      </c>
      <c r="AG1065" s="90">
        <f t="shared" si="294"/>
        <v>3585</v>
      </c>
      <c r="AH1065" s="90" t="str">
        <f t="shared" si="295"/>
        <v>2018 (triag)</v>
      </c>
      <c r="AI1065" s="90">
        <f t="shared" si="296"/>
        <v>3585</v>
      </c>
      <c r="AJ1065" s="90" t="str">
        <f t="shared" si="297"/>
        <v>2018 (triag)</v>
      </c>
      <c r="AK1065" s="90" t="str">
        <f t="shared" si="298"/>
        <v/>
      </c>
      <c r="AL1065" s="91">
        <f>IF(AK1065="Adjust",(_xlfn.XLOOKUP(A1065,'Adj factor'!A:A,'Adj factor'!I:I,,0)*AI1065),'Master DataSheet'!AI1065)</f>
        <v>3585</v>
      </c>
      <c r="AM1065" s="91">
        <f t="shared" si="299"/>
        <v>3585</v>
      </c>
      <c r="AN1065" s="92" t="str">
        <f t="shared" si="300"/>
        <v>No change</v>
      </c>
      <c r="AO1065" s="93">
        <f>VLOOKUP(B1065,'Growthrates source'!A$2:H$49,8,FALSE)</f>
        <v>-1.4844947843777323E-3</v>
      </c>
      <c r="AP1065" s="93">
        <f>VLOOKUP(B1065,'Growthrates source'!A$2:I$49,9,FALSE)</f>
        <v>5.4673730437993617E-2</v>
      </c>
      <c r="AQ1065" s="86">
        <f t="shared" si="301"/>
        <v>3611.708568214086</v>
      </c>
      <c r="AR1065" s="86">
        <f t="shared" si="302"/>
        <v>4223.9878305113471</v>
      </c>
      <c r="AS1065" s="94">
        <f t="shared" si="303"/>
        <v>0</v>
      </c>
      <c r="AT1065" s="94">
        <f t="shared" si="304"/>
        <v>0.62522197778203492</v>
      </c>
      <c r="AU1065" s="94">
        <f t="shared" si="305"/>
        <v>0.59855859576851134</v>
      </c>
    </row>
    <row r="1066" spans="1:47" x14ac:dyDescent="0.3">
      <c r="A1066" s="85" t="str">
        <f>_xlfn.XLOOKUP(B1066,'Country codes &amp; Data sources'!G:G,'Country codes &amp; Data sources'!H:H,,0)</f>
        <v>South Africa</v>
      </c>
      <c r="B1066" s="85" t="s">
        <v>187</v>
      </c>
      <c r="C1066" s="86">
        <v>53145041</v>
      </c>
      <c r="D1066" s="85" t="s">
        <v>203</v>
      </c>
      <c r="E1066" s="87">
        <v>0</v>
      </c>
      <c r="F1066" s="88">
        <v>53873616</v>
      </c>
      <c r="G1066" s="87">
        <v>0</v>
      </c>
      <c r="I1066" s="87">
        <v>0</v>
      </c>
      <c r="K1066" s="87">
        <v>0</v>
      </c>
      <c r="M1066" s="87">
        <v>0</v>
      </c>
      <c r="O1066" s="87">
        <v>0</v>
      </c>
      <c r="P1066" s="88">
        <v>57339635.000000015</v>
      </c>
      <c r="Q1066" s="87">
        <v>0</v>
      </c>
      <c r="R1066" s="87">
        <f t="shared" si="288"/>
        <v>0</v>
      </c>
      <c r="T1066" s="87">
        <v>0</v>
      </c>
      <c r="V1066" s="87">
        <v>0</v>
      </c>
      <c r="X1066" s="87">
        <v>0</v>
      </c>
      <c r="Y1066" s="88">
        <v>59893885.5</v>
      </c>
      <c r="Z1066" s="87">
        <v>2857</v>
      </c>
      <c r="AA1066" s="87">
        <v>0</v>
      </c>
      <c r="AB1066" s="89">
        <f t="shared" si="289"/>
        <v>0</v>
      </c>
      <c r="AC1066" s="89">
        <f t="shared" si="290"/>
        <v>0</v>
      </c>
      <c r="AD1066" s="89">
        <f t="shared" si="291"/>
        <v>2857</v>
      </c>
      <c r="AE1066" s="90">
        <f t="shared" si="292"/>
        <v>0</v>
      </c>
      <c r="AF1066" s="90" t="str">
        <f t="shared" si="293"/>
        <v/>
      </c>
      <c r="AG1066" s="90">
        <f t="shared" si="294"/>
        <v>0</v>
      </c>
      <c r="AH1066" s="90" t="str">
        <f t="shared" si="295"/>
        <v/>
      </c>
      <c r="AI1066" s="90">
        <f t="shared" si="296"/>
        <v>2857</v>
      </c>
      <c r="AJ1066" s="90">
        <f t="shared" si="297"/>
        <v>2022</v>
      </c>
      <c r="AK1066" s="90" t="str">
        <f t="shared" si="298"/>
        <v/>
      </c>
      <c r="AL1066" s="91">
        <f>IF(AK1066="Adjust",(_xlfn.XLOOKUP(A1066,'Adj factor'!A:A,'Adj factor'!I:I,,0)*AI1066),'Master DataSheet'!AI1066)</f>
        <v>2857</v>
      </c>
      <c r="AM1066" s="91">
        <f t="shared" si="299"/>
        <v>2857</v>
      </c>
      <c r="AN1066" s="92" t="str">
        <f t="shared" si="300"/>
        <v>Increasing</v>
      </c>
      <c r="AO1066" s="93">
        <f>VLOOKUP(B1066,'Growthrates source'!A$2:H$49,8,FALSE)</f>
        <v>-1.4844947843777323E-3</v>
      </c>
      <c r="AP1066" s="93">
        <f>VLOOKUP(B1066,'Growthrates source'!A$2:I$49,9,FALSE)</f>
        <v>5.4673730437993617E-2</v>
      </c>
      <c r="AQ1066" s="86">
        <f t="shared" si="301"/>
        <v>0</v>
      </c>
      <c r="AR1066" s="86">
        <f t="shared" si="302"/>
        <v>0</v>
      </c>
      <c r="AS1066" s="94">
        <f t="shared" si="303"/>
        <v>0</v>
      </c>
      <c r="AT1066" s="94">
        <f t="shared" si="304"/>
        <v>0</v>
      </c>
      <c r="AU1066" s="94">
        <f t="shared" si="305"/>
        <v>0.47701029514941051</v>
      </c>
    </row>
    <row r="1067" spans="1:47" x14ac:dyDescent="0.3">
      <c r="A1067" s="85" t="str">
        <f>_xlfn.XLOOKUP(B1067,'Country codes &amp; Data sources'!G:G,'Country codes &amp; Data sources'!H:H,,0)</f>
        <v>South Africa</v>
      </c>
      <c r="B1067" s="85" t="s">
        <v>187</v>
      </c>
      <c r="C1067" s="86">
        <v>53145042</v>
      </c>
      <c r="D1067" s="85" t="s">
        <v>204</v>
      </c>
      <c r="E1067" s="87">
        <v>0</v>
      </c>
      <c r="F1067" s="88">
        <v>53873616</v>
      </c>
      <c r="G1067" s="87">
        <v>0</v>
      </c>
      <c r="I1067" s="87">
        <v>0</v>
      </c>
      <c r="K1067" s="87">
        <v>0</v>
      </c>
      <c r="M1067" s="87">
        <v>0</v>
      </c>
      <c r="O1067" s="87">
        <v>0</v>
      </c>
      <c r="P1067" s="88">
        <v>57339635.000000015</v>
      </c>
      <c r="Q1067" s="87">
        <v>0</v>
      </c>
      <c r="R1067" s="87">
        <f t="shared" si="288"/>
        <v>0</v>
      </c>
      <c r="T1067" s="87">
        <v>0</v>
      </c>
      <c r="V1067" s="87">
        <v>0</v>
      </c>
      <c r="X1067" s="87">
        <v>0</v>
      </c>
      <c r="Y1067" s="88">
        <v>59893885.5</v>
      </c>
      <c r="Z1067" s="87">
        <v>26692</v>
      </c>
      <c r="AA1067" s="87">
        <v>0</v>
      </c>
      <c r="AB1067" s="89">
        <f t="shared" si="289"/>
        <v>0</v>
      </c>
      <c r="AC1067" s="89">
        <f t="shared" si="290"/>
        <v>0</v>
      </c>
      <c r="AD1067" s="89">
        <f t="shared" si="291"/>
        <v>26692</v>
      </c>
      <c r="AE1067" s="90">
        <f t="shared" si="292"/>
        <v>0</v>
      </c>
      <c r="AF1067" s="90" t="str">
        <f t="shared" si="293"/>
        <v/>
      </c>
      <c r="AG1067" s="90">
        <f t="shared" si="294"/>
        <v>0</v>
      </c>
      <c r="AH1067" s="90" t="str">
        <f t="shared" si="295"/>
        <v/>
      </c>
      <c r="AI1067" s="90">
        <f t="shared" si="296"/>
        <v>26692</v>
      </c>
      <c r="AJ1067" s="90">
        <f t="shared" si="297"/>
        <v>2022</v>
      </c>
      <c r="AK1067" s="90" t="str">
        <f t="shared" si="298"/>
        <v/>
      </c>
      <c r="AL1067" s="91">
        <f>IF(AK1067="Adjust",(_xlfn.XLOOKUP(A1067,'Adj factor'!A:A,'Adj factor'!I:I,,0)*AI1067),'Master DataSheet'!AI1067)</f>
        <v>26692</v>
      </c>
      <c r="AM1067" s="91">
        <f t="shared" si="299"/>
        <v>26692</v>
      </c>
      <c r="AN1067" s="92" t="str">
        <f t="shared" si="300"/>
        <v>Increasing</v>
      </c>
      <c r="AO1067" s="93">
        <f>VLOOKUP(B1067,'Growthrates source'!A$2:H$49,8,FALSE)</f>
        <v>-1.4844947843777323E-3</v>
      </c>
      <c r="AP1067" s="93">
        <f>VLOOKUP(B1067,'Growthrates source'!A$2:I$49,9,FALSE)</f>
        <v>5.4673730437993617E-2</v>
      </c>
      <c r="AQ1067" s="86">
        <f t="shared" si="301"/>
        <v>0</v>
      </c>
      <c r="AR1067" s="86">
        <f t="shared" si="302"/>
        <v>0</v>
      </c>
      <c r="AS1067" s="94">
        <f t="shared" si="303"/>
        <v>0</v>
      </c>
      <c r="AT1067" s="94">
        <f t="shared" si="304"/>
        <v>0</v>
      </c>
      <c r="AU1067" s="94">
        <f t="shared" si="305"/>
        <v>4.4565484067651617</v>
      </c>
    </row>
    <row r="1068" spans="1:47" x14ac:dyDescent="0.3">
      <c r="A1068" s="85" t="str">
        <f>_xlfn.XLOOKUP(B1068,'Country codes &amp; Data sources'!G:G,'Country codes &amp; Data sources'!H:H,,0)</f>
        <v>South Africa</v>
      </c>
      <c r="B1068" s="85" t="s">
        <v>187</v>
      </c>
      <c r="C1068" s="86">
        <v>53145043</v>
      </c>
      <c r="D1068" s="85" t="s">
        <v>205</v>
      </c>
      <c r="E1068" s="87">
        <v>0</v>
      </c>
      <c r="F1068" s="88">
        <v>53873616</v>
      </c>
      <c r="G1068" s="87">
        <v>0</v>
      </c>
      <c r="I1068" s="87">
        <v>0</v>
      </c>
      <c r="K1068" s="87">
        <v>0</v>
      </c>
      <c r="M1068" s="87">
        <v>0</v>
      </c>
      <c r="O1068" s="87">
        <v>3330</v>
      </c>
      <c r="P1068" s="88">
        <v>57339635.000000015</v>
      </c>
      <c r="Q1068" s="87">
        <v>0</v>
      </c>
      <c r="R1068" s="87">
        <f t="shared" si="288"/>
        <v>0</v>
      </c>
      <c r="T1068" s="87">
        <v>0</v>
      </c>
      <c r="V1068" s="87">
        <v>0</v>
      </c>
      <c r="X1068" s="87">
        <v>0</v>
      </c>
      <c r="Y1068" s="88">
        <v>59893885.5</v>
      </c>
      <c r="Z1068" s="87">
        <v>329</v>
      </c>
      <c r="AA1068" s="87">
        <v>0</v>
      </c>
      <c r="AB1068" s="89">
        <f t="shared" si="289"/>
        <v>0</v>
      </c>
      <c r="AC1068" s="89">
        <f t="shared" si="290"/>
        <v>3330</v>
      </c>
      <c r="AD1068" s="89">
        <f t="shared" si="291"/>
        <v>329</v>
      </c>
      <c r="AE1068" s="90">
        <f t="shared" si="292"/>
        <v>0</v>
      </c>
      <c r="AF1068" s="90" t="str">
        <f t="shared" si="293"/>
        <v/>
      </c>
      <c r="AG1068" s="90">
        <f t="shared" si="294"/>
        <v>3330</v>
      </c>
      <c r="AH1068" s="90">
        <f t="shared" si="295"/>
        <v>2017</v>
      </c>
      <c r="AI1068" s="90">
        <f t="shared" si="296"/>
        <v>329</v>
      </c>
      <c r="AJ1068" s="90">
        <f t="shared" si="297"/>
        <v>2022</v>
      </c>
      <c r="AK1068" s="90" t="str">
        <f t="shared" si="298"/>
        <v>Adjust</v>
      </c>
      <c r="AL1068" s="91">
        <f>IF(AK1068="Adjust",(_xlfn.XLOOKUP(A1068,'Adj factor'!A:A,'Adj factor'!I:I,,0)*AI1068),'Master DataSheet'!AI1068)</f>
        <v>482.20032365440028</v>
      </c>
      <c r="AM1068" s="91">
        <f t="shared" si="299"/>
        <v>3330</v>
      </c>
      <c r="AN1068" s="92" t="str">
        <f t="shared" si="300"/>
        <v>Decreasing</v>
      </c>
      <c r="AO1068" s="93">
        <f>VLOOKUP(B1068,'Growthrates source'!A$2:H$49,8,FALSE)</f>
        <v>-1.4844947843777323E-3</v>
      </c>
      <c r="AP1068" s="93">
        <f>VLOOKUP(B1068,'Growthrates source'!A$2:I$49,9,FALSE)</f>
        <v>5.4673730437993617E-2</v>
      </c>
      <c r="AQ1068" s="86">
        <f t="shared" si="301"/>
        <v>0</v>
      </c>
      <c r="AR1068" s="86">
        <f t="shared" si="302"/>
        <v>0</v>
      </c>
      <c r="AS1068" s="94">
        <f t="shared" si="303"/>
        <v>0</v>
      </c>
      <c r="AT1068" s="94">
        <f t="shared" si="304"/>
        <v>0.5807501216218065</v>
      </c>
      <c r="AU1068" s="94">
        <f t="shared" si="305"/>
        <v>0.55598329816154601</v>
      </c>
    </row>
    <row r="1069" spans="1:47" x14ac:dyDescent="0.3">
      <c r="A1069" s="85" t="str">
        <f>_xlfn.XLOOKUP(B1069,'Country codes &amp; Data sources'!G:G,'Country codes &amp; Data sources'!H:H,,0)</f>
        <v>South Africa</v>
      </c>
      <c r="B1069" s="85" t="s">
        <v>187</v>
      </c>
      <c r="C1069" s="86">
        <v>53145044</v>
      </c>
      <c r="D1069" s="85" t="s">
        <v>133</v>
      </c>
      <c r="E1069" s="87">
        <v>133</v>
      </c>
      <c r="F1069" s="88">
        <v>53873616</v>
      </c>
      <c r="G1069" s="87">
        <v>144</v>
      </c>
      <c r="I1069" s="87">
        <v>145</v>
      </c>
      <c r="K1069" s="87">
        <v>149</v>
      </c>
      <c r="M1069" s="87">
        <v>4802</v>
      </c>
      <c r="O1069" s="87">
        <v>5267</v>
      </c>
      <c r="P1069" s="88">
        <v>57339635.000000015</v>
      </c>
      <c r="Q1069" s="87">
        <v>5455</v>
      </c>
      <c r="R1069" s="87">
        <f t="shared" si="288"/>
        <v>8415</v>
      </c>
      <c r="T1069" s="87">
        <v>9939</v>
      </c>
      <c r="V1069" s="87">
        <v>0</v>
      </c>
      <c r="X1069" s="87">
        <v>6166</v>
      </c>
      <c r="Y1069" s="88">
        <v>59893885.5</v>
      </c>
      <c r="Z1069" s="87">
        <v>13</v>
      </c>
      <c r="AA1069" s="87">
        <v>8415</v>
      </c>
      <c r="AB1069" s="89">
        <f t="shared" si="289"/>
        <v>149</v>
      </c>
      <c r="AC1069" s="89">
        <f t="shared" si="290"/>
        <v>9939</v>
      </c>
      <c r="AD1069" s="89">
        <f t="shared" si="291"/>
        <v>6166</v>
      </c>
      <c r="AE1069" s="90">
        <f t="shared" si="292"/>
        <v>144</v>
      </c>
      <c r="AF1069" s="90">
        <f t="shared" si="293"/>
        <v>2013</v>
      </c>
      <c r="AG1069" s="90">
        <f t="shared" si="294"/>
        <v>8415</v>
      </c>
      <c r="AH1069" s="90" t="str">
        <f t="shared" si="295"/>
        <v>2018 (triag)</v>
      </c>
      <c r="AI1069" s="90">
        <f t="shared" si="296"/>
        <v>13</v>
      </c>
      <c r="AJ1069" s="90">
        <f t="shared" si="297"/>
        <v>2022</v>
      </c>
      <c r="AK1069" s="90" t="str">
        <f t="shared" si="298"/>
        <v>Adjust</v>
      </c>
      <c r="AL1069" s="91">
        <f>IF(AK1069="Adjust",(_xlfn.XLOOKUP(A1069,'Adj factor'!A:A,'Adj factor'!I:I,,0)*AI1069),'Master DataSheet'!AI1069)</f>
        <v>19.053508229505177</v>
      </c>
      <c r="AM1069" s="91">
        <f t="shared" si="299"/>
        <v>8415</v>
      </c>
      <c r="AN1069" s="92" t="str">
        <f t="shared" si="300"/>
        <v>Decreasing</v>
      </c>
      <c r="AO1069" s="93">
        <f>VLOOKUP(B1069,'Growthrates source'!A$2:H$49,8,FALSE)</f>
        <v>-1.4844947843777323E-3</v>
      </c>
      <c r="AP1069" s="93">
        <f>VLOOKUP(B1069,'Growthrates source'!A$2:I$49,9,FALSE)</f>
        <v>5.4673730437993617E-2</v>
      </c>
      <c r="AQ1069" s="86">
        <f t="shared" si="301"/>
        <v>8477.6924969376651</v>
      </c>
      <c r="AR1069" s="86">
        <f t="shared" si="302"/>
        <v>9914.8835686898146</v>
      </c>
      <c r="AS1069" s="94">
        <f t="shared" si="303"/>
        <v>2.6729224932664629E-2</v>
      </c>
      <c r="AT1069" s="94">
        <f t="shared" si="304"/>
        <v>1.467571253287538</v>
      </c>
      <c r="AU1069" s="94">
        <f t="shared" si="305"/>
        <v>1.4049848210298528</v>
      </c>
    </row>
    <row r="1070" spans="1:47" x14ac:dyDescent="0.3">
      <c r="A1070" s="85" t="str">
        <f>_xlfn.XLOOKUP(B1070,'Country codes &amp; Data sources'!G:G,'Country codes &amp; Data sources'!H:H,,0)</f>
        <v>South Africa</v>
      </c>
      <c r="B1070" s="85" t="s">
        <v>187</v>
      </c>
      <c r="C1070" s="86">
        <v>53145045</v>
      </c>
      <c r="D1070" s="85" t="s">
        <v>206</v>
      </c>
      <c r="E1070" s="87">
        <v>0</v>
      </c>
      <c r="F1070" s="88">
        <v>53873616</v>
      </c>
      <c r="G1070" s="87">
        <v>0</v>
      </c>
      <c r="I1070" s="87">
        <v>0</v>
      </c>
      <c r="K1070" s="87">
        <v>0</v>
      </c>
      <c r="M1070" s="87">
        <v>0</v>
      </c>
      <c r="O1070" s="87">
        <v>0</v>
      </c>
      <c r="P1070" s="88">
        <v>57339635.000000015</v>
      </c>
      <c r="Q1070" s="87">
        <v>0</v>
      </c>
      <c r="R1070" s="87">
        <f t="shared" si="288"/>
        <v>577</v>
      </c>
      <c r="T1070" s="87">
        <v>0</v>
      </c>
      <c r="V1070" s="87">
        <v>0</v>
      </c>
      <c r="X1070" s="87">
        <v>0</v>
      </c>
      <c r="Y1070" s="88">
        <v>59893885.5</v>
      </c>
      <c r="Z1070" s="87">
        <v>0</v>
      </c>
      <c r="AA1070" s="87">
        <v>577</v>
      </c>
      <c r="AB1070" s="89">
        <f t="shared" si="289"/>
        <v>0</v>
      </c>
      <c r="AC1070" s="89">
        <f t="shared" si="290"/>
        <v>0</v>
      </c>
      <c r="AD1070" s="89">
        <f t="shared" si="291"/>
        <v>0</v>
      </c>
      <c r="AE1070" s="90">
        <f t="shared" si="292"/>
        <v>0</v>
      </c>
      <c r="AF1070" s="90" t="str">
        <f t="shared" si="293"/>
        <v/>
      </c>
      <c r="AG1070" s="90">
        <f t="shared" si="294"/>
        <v>577</v>
      </c>
      <c r="AH1070" s="90" t="str">
        <f t="shared" si="295"/>
        <v>2018 (triag)</v>
      </c>
      <c r="AI1070" s="90">
        <f t="shared" si="296"/>
        <v>577</v>
      </c>
      <c r="AJ1070" s="90" t="str">
        <f t="shared" si="297"/>
        <v>2018 (triag)</v>
      </c>
      <c r="AK1070" s="90" t="str">
        <f t="shared" si="298"/>
        <v/>
      </c>
      <c r="AL1070" s="91">
        <f>IF(AK1070="Adjust",(_xlfn.XLOOKUP(A1070,'Adj factor'!A:A,'Adj factor'!I:I,,0)*AI1070),'Master DataSheet'!AI1070)</f>
        <v>577</v>
      </c>
      <c r="AM1070" s="91">
        <f t="shared" si="299"/>
        <v>577</v>
      </c>
      <c r="AN1070" s="92" t="str">
        <f t="shared" si="300"/>
        <v>No change</v>
      </c>
      <c r="AO1070" s="93">
        <f>VLOOKUP(B1070,'Growthrates source'!A$2:H$49,8,FALSE)</f>
        <v>-1.4844947843777323E-3</v>
      </c>
      <c r="AP1070" s="93">
        <f>VLOOKUP(B1070,'Growthrates source'!A$2:I$49,9,FALSE)</f>
        <v>5.4673730437993617E-2</v>
      </c>
      <c r="AQ1070" s="86">
        <f t="shared" si="301"/>
        <v>581.29870121604677</v>
      </c>
      <c r="AR1070" s="86">
        <f t="shared" si="302"/>
        <v>679.84406644492253</v>
      </c>
      <c r="AS1070" s="94">
        <f t="shared" si="303"/>
        <v>0</v>
      </c>
      <c r="AT1070" s="94">
        <f t="shared" si="304"/>
        <v>0.10062847452726197</v>
      </c>
      <c r="AU1070" s="94">
        <f t="shared" si="305"/>
        <v>9.6337045957721343E-2</v>
      </c>
    </row>
    <row r="1071" spans="1:47" x14ac:dyDescent="0.3">
      <c r="A1071" s="85" t="str">
        <f>_xlfn.XLOOKUP(B1071,'Country codes &amp; Data sources'!G:G,'Country codes &amp; Data sources'!H:H,,0)</f>
        <v>South Africa</v>
      </c>
      <c r="B1071" s="85" t="s">
        <v>187</v>
      </c>
      <c r="C1071" s="86">
        <v>53145046</v>
      </c>
      <c r="D1071" s="85" t="s">
        <v>136</v>
      </c>
      <c r="E1071" s="87">
        <v>8095</v>
      </c>
      <c r="F1071" s="88">
        <v>53873616</v>
      </c>
      <c r="G1071" s="87">
        <v>8476</v>
      </c>
      <c r="I1071" s="87">
        <v>8924</v>
      </c>
      <c r="K1071" s="87">
        <v>9175</v>
      </c>
      <c r="M1071" s="87">
        <v>8484</v>
      </c>
      <c r="O1071" s="87">
        <v>8681</v>
      </c>
      <c r="P1071" s="88">
        <v>57339635.000000015</v>
      </c>
      <c r="Q1071" s="87">
        <v>8878</v>
      </c>
      <c r="R1071" s="87">
        <f t="shared" si="288"/>
        <v>8878</v>
      </c>
      <c r="T1071" s="87">
        <v>0</v>
      </c>
      <c r="V1071" s="87">
        <v>0</v>
      </c>
      <c r="X1071" s="87">
        <v>9281</v>
      </c>
      <c r="Y1071" s="88">
        <v>59893885.5</v>
      </c>
      <c r="Z1071" s="87">
        <v>0</v>
      </c>
      <c r="AA1071" s="87">
        <v>8072</v>
      </c>
      <c r="AB1071" s="89">
        <f t="shared" si="289"/>
        <v>9175</v>
      </c>
      <c r="AC1071" s="89">
        <f t="shared" si="290"/>
        <v>8878</v>
      </c>
      <c r="AD1071" s="89">
        <f t="shared" si="291"/>
        <v>9281</v>
      </c>
      <c r="AE1071" s="90">
        <f t="shared" si="292"/>
        <v>8476</v>
      </c>
      <c r="AF1071" s="90">
        <f t="shared" si="293"/>
        <v>2013</v>
      </c>
      <c r="AG1071" s="90">
        <f t="shared" si="294"/>
        <v>8878</v>
      </c>
      <c r="AH1071" s="90">
        <f t="shared" si="295"/>
        <v>2018</v>
      </c>
      <c r="AI1071" s="90">
        <f t="shared" si="296"/>
        <v>9281</v>
      </c>
      <c r="AJ1071" s="90">
        <f t="shared" si="297"/>
        <v>2021</v>
      </c>
      <c r="AK1071" s="90" t="str">
        <f t="shared" si="298"/>
        <v/>
      </c>
      <c r="AL1071" s="91">
        <f>IF(AK1071="Adjust",(_xlfn.XLOOKUP(A1071,'Adj factor'!A:A,'Adj factor'!I:I,,0)*AI1071),'Master DataSheet'!AI1071)</f>
        <v>9281</v>
      </c>
      <c r="AM1071" s="91">
        <f t="shared" si="299"/>
        <v>9281</v>
      </c>
      <c r="AN1071" s="92" t="str">
        <f t="shared" si="300"/>
        <v>Increasing</v>
      </c>
      <c r="AO1071" s="93">
        <f>VLOOKUP(B1071,'Growthrates source'!A$2:H$49,8,FALSE)</f>
        <v>-1.4844947843777323E-3</v>
      </c>
      <c r="AP1071" s="93">
        <f>VLOOKUP(B1071,'Growthrates source'!A$2:I$49,9,FALSE)</f>
        <v>5.4673730437993617E-2</v>
      </c>
      <c r="AQ1071" s="86">
        <f t="shared" si="301"/>
        <v>8132.1371164920783</v>
      </c>
      <c r="AR1071" s="86">
        <f t="shared" si="302"/>
        <v>9510.7474945293143</v>
      </c>
      <c r="AS1071" s="94">
        <f t="shared" si="303"/>
        <v>1.5733118786754541</v>
      </c>
      <c r="AT1071" s="94">
        <f t="shared" si="304"/>
        <v>1.5483181921196389</v>
      </c>
      <c r="AU1071" s="94">
        <f t="shared" si="305"/>
        <v>1.5495738709421347</v>
      </c>
    </row>
    <row r="1072" spans="1:47" x14ac:dyDescent="0.3">
      <c r="A1072" s="85" t="str">
        <f>_xlfn.XLOOKUP(B1072,'Country codes &amp; Data sources'!G:G,'Country codes &amp; Data sources'!H:H,,0)</f>
        <v>South Africa</v>
      </c>
      <c r="B1072" s="85" t="s">
        <v>187</v>
      </c>
      <c r="C1072" s="86">
        <v>53145047</v>
      </c>
      <c r="D1072" s="85" t="s">
        <v>207</v>
      </c>
      <c r="E1072" s="87">
        <v>0</v>
      </c>
      <c r="F1072" s="88">
        <v>53873616</v>
      </c>
      <c r="G1072" s="87">
        <v>0</v>
      </c>
      <c r="I1072" s="87">
        <v>0</v>
      </c>
      <c r="K1072" s="87">
        <v>0</v>
      </c>
      <c r="M1072" s="87">
        <v>0</v>
      </c>
      <c r="O1072" s="87">
        <v>0</v>
      </c>
      <c r="P1072" s="88">
        <v>57339635.000000015</v>
      </c>
      <c r="Q1072" s="87">
        <v>0</v>
      </c>
      <c r="R1072" s="87">
        <f t="shared" si="288"/>
        <v>0</v>
      </c>
      <c r="T1072" s="87">
        <v>0</v>
      </c>
      <c r="V1072" s="87">
        <v>0</v>
      </c>
      <c r="X1072" s="87">
        <v>0</v>
      </c>
      <c r="Y1072" s="88">
        <v>59893885.5</v>
      </c>
      <c r="Z1072" s="87">
        <v>0</v>
      </c>
      <c r="AA1072" s="87">
        <v>0</v>
      </c>
      <c r="AB1072" s="89">
        <f t="shared" si="289"/>
        <v>0</v>
      </c>
      <c r="AC1072" s="89">
        <f t="shared" si="290"/>
        <v>0</v>
      </c>
      <c r="AD1072" s="89">
        <f t="shared" si="291"/>
        <v>0</v>
      </c>
      <c r="AE1072" s="90">
        <f t="shared" si="292"/>
        <v>0</v>
      </c>
      <c r="AF1072" s="90" t="str">
        <f t="shared" si="293"/>
        <v/>
      </c>
      <c r="AG1072" s="90">
        <f t="shared" si="294"/>
        <v>0</v>
      </c>
      <c r="AH1072" s="90" t="str">
        <f t="shared" si="295"/>
        <v/>
      </c>
      <c r="AI1072" s="90">
        <f t="shared" si="296"/>
        <v>0</v>
      </c>
      <c r="AJ1072" s="90" t="str">
        <f t="shared" si="297"/>
        <v/>
      </c>
      <c r="AK1072" s="90" t="str">
        <f t="shared" si="298"/>
        <v/>
      </c>
      <c r="AL1072" s="91">
        <f>IF(AK1072="Adjust",(_xlfn.XLOOKUP(A1072,'Adj factor'!A:A,'Adj factor'!I:I,,0)*AI1072),'Master DataSheet'!AI1072)</f>
        <v>0</v>
      </c>
      <c r="AM1072" s="91">
        <f t="shared" si="299"/>
        <v>0</v>
      </c>
      <c r="AN1072" s="92" t="str">
        <f t="shared" si="300"/>
        <v>No change</v>
      </c>
      <c r="AO1072" s="93">
        <f>VLOOKUP(B1072,'Growthrates source'!A$2:H$49,8,FALSE)</f>
        <v>-1.4844947843777323E-3</v>
      </c>
      <c r="AP1072" s="93">
        <f>VLOOKUP(B1072,'Growthrates source'!A$2:I$49,9,FALSE)</f>
        <v>5.4673730437993617E-2</v>
      </c>
      <c r="AQ1072" s="86">
        <f t="shared" si="301"/>
        <v>0</v>
      </c>
      <c r="AR1072" s="86">
        <f t="shared" si="302"/>
        <v>0</v>
      </c>
      <c r="AS1072" s="94">
        <f t="shared" si="303"/>
        <v>0</v>
      </c>
      <c r="AT1072" s="94">
        <f t="shared" si="304"/>
        <v>0</v>
      </c>
      <c r="AU1072" s="94">
        <f t="shared" si="305"/>
        <v>0</v>
      </c>
    </row>
    <row r="1073" spans="1:48" x14ac:dyDescent="0.3">
      <c r="A1073" s="85" t="str">
        <f>_xlfn.XLOOKUP(B1073,'Country codes &amp; Data sources'!G:G,'Country codes &amp; Data sources'!H:H,,0)</f>
        <v>South Africa</v>
      </c>
      <c r="B1073" s="85" t="s">
        <v>187</v>
      </c>
      <c r="C1073" s="86">
        <v>53145048</v>
      </c>
      <c r="D1073" s="85" t="s">
        <v>141</v>
      </c>
      <c r="E1073" s="87">
        <v>3453</v>
      </c>
      <c r="F1073" s="88">
        <v>53873616</v>
      </c>
      <c r="G1073" s="87">
        <v>3588</v>
      </c>
      <c r="I1073" s="87">
        <v>3705</v>
      </c>
      <c r="K1073" s="87">
        <v>3783</v>
      </c>
      <c r="M1073" s="87">
        <v>3725</v>
      </c>
      <c r="O1073" s="87">
        <v>3790</v>
      </c>
      <c r="P1073" s="88">
        <v>57339635.000000015</v>
      </c>
      <c r="Q1073" s="87">
        <v>3848</v>
      </c>
      <c r="R1073" s="87">
        <f t="shared" si="288"/>
        <v>3848</v>
      </c>
      <c r="T1073" s="87">
        <v>3830</v>
      </c>
      <c r="V1073" s="87">
        <v>0</v>
      </c>
      <c r="X1073" s="87">
        <v>4012</v>
      </c>
      <c r="Y1073" s="88">
        <v>59893885.5</v>
      </c>
      <c r="Z1073" s="87">
        <v>255</v>
      </c>
      <c r="AA1073" s="87">
        <v>0</v>
      </c>
      <c r="AB1073" s="89">
        <f t="shared" si="289"/>
        <v>3783</v>
      </c>
      <c r="AC1073" s="89">
        <f t="shared" si="290"/>
        <v>3848</v>
      </c>
      <c r="AD1073" s="89">
        <f t="shared" si="291"/>
        <v>4012</v>
      </c>
      <c r="AE1073" s="90">
        <f t="shared" si="292"/>
        <v>3588</v>
      </c>
      <c r="AF1073" s="90">
        <f t="shared" si="293"/>
        <v>2013</v>
      </c>
      <c r="AG1073" s="90">
        <f t="shared" si="294"/>
        <v>3848</v>
      </c>
      <c r="AH1073" s="90">
        <f t="shared" si="295"/>
        <v>2018</v>
      </c>
      <c r="AI1073" s="90">
        <f t="shared" si="296"/>
        <v>255</v>
      </c>
      <c r="AJ1073" s="90">
        <f t="shared" si="297"/>
        <v>2022</v>
      </c>
      <c r="AK1073" s="90" t="str">
        <f t="shared" si="298"/>
        <v>Adjust</v>
      </c>
      <c r="AL1073" s="91">
        <f>IF(AK1073="Adjust",(_xlfn.XLOOKUP(A1073,'Adj factor'!A:A,'Adj factor'!I:I,,0)*AI1073),'Master DataSheet'!AI1073)</f>
        <v>373.74189219414001</v>
      </c>
      <c r="AM1073" s="91">
        <f t="shared" si="299"/>
        <v>3848</v>
      </c>
      <c r="AN1073" s="92" t="str">
        <f t="shared" si="300"/>
        <v>Decreasing</v>
      </c>
      <c r="AO1073" s="93">
        <f>VLOOKUP(B1073,'Growthrates source'!A$2:H$49,8,FALSE)</f>
        <v>-1.4844947843777323E-3</v>
      </c>
      <c r="AP1073" s="93">
        <f>VLOOKUP(B1073,'Growthrates source'!A$2:I$49,9,FALSE)</f>
        <v>5.4673730437993617E-2</v>
      </c>
      <c r="AQ1073" s="86">
        <f t="shared" si="301"/>
        <v>0</v>
      </c>
      <c r="AR1073" s="86">
        <f t="shared" si="302"/>
        <v>0</v>
      </c>
      <c r="AS1073" s="94">
        <f t="shared" si="303"/>
        <v>0.66600318790556035</v>
      </c>
      <c r="AT1073" s="94">
        <f t="shared" si="304"/>
        <v>0.67108902942964299</v>
      </c>
      <c r="AU1073" s="94">
        <f t="shared" si="305"/>
        <v>0.64246958898667539</v>
      </c>
    </row>
    <row r="1074" spans="1:48" x14ac:dyDescent="0.3">
      <c r="A1074" s="85" t="str">
        <f>_xlfn.XLOOKUP(B1074,'Country codes &amp; Data sources'!G:G,'Country codes &amp; Data sources'!H:H,,0)</f>
        <v>South Africa</v>
      </c>
      <c r="B1074" s="85" t="s">
        <v>187</v>
      </c>
      <c r="C1074" s="86">
        <v>53145049</v>
      </c>
      <c r="D1074" s="85" t="s">
        <v>208</v>
      </c>
      <c r="E1074" s="87">
        <v>0</v>
      </c>
      <c r="F1074" s="88">
        <v>53873616</v>
      </c>
      <c r="G1074" s="87">
        <v>0</v>
      </c>
      <c r="I1074" s="87">
        <v>0</v>
      </c>
      <c r="K1074" s="87">
        <v>0</v>
      </c>
      <c r="M1074" s="87">
        <v>0</v>
      </c>
      <c r="O1074" s="87">
        <v>0</v>
      </c>
      <c r="P1074" s="88">
        <v>57339635.000000015</v>
      </c>
      <c r="Q1074" s="87">
        <v>0</v>
      </c>
      <c r="R1074" s="87">
        <f t="shared" si="288"/>
        <v>0</v>
      </c>
      <c r="T1074" s="87">
        <v>0</v>
      </c>
      <c r="V1074" s="87">
        <v>0</v>
      </c>
      <c r="X1074" s="87">
        <v>0</v>
      </c>
      <c r="Y1074" s="88">
        <v>59893885.5</v>
      </c>
      <c r="Z1074" s="87">
        <v>15459</v>
      </c>
      <c r="AA1074" s="87">
        <v>0</v>
      </c>
      <c r="AB1074" s="89">
        <f t="shared" si="289"/>
        <v>0</v>
      </c>
      <c r="AC1074" s="89">
        <f t="shared" si="290"/>
        <v>0</v>
      </c>
      <c r="AD1074" s="89">
        <f t="shared" si="291"/>
        <v>15459</v>
      </c>
      <c r="AE1074" s="90">
        <f t="shared" si="292"/>
        <v>0</v>
      </c>
      <c r="AF1074" s="90" t="str">
        <f t="shared" si="293"/>
        <v/>
      </c>
      <c r="AG1074" s="90">
        <f t="shared" si="294"/>
        <v>0</v>
      </c>
      <c r="AH1074" s="90" t="str">
        <f t="shared" si="295"/>
        <v/>
      </c>
      <c r="AI1074" s="90">
        <f t="shared" si="296"/>
        <v>15459</v>
      </c>
      <c r="AJ1074" s="90">
        <f t="shared" si="297"/>
        <v>2022</v>
      </c>
      <c r="AK1074" s="90" t="str">
        <f t="shared" si="298"/>
        <v/>
      </c>
      <c r="AL1074" s="91">
        <f>IF(AK1074="Adjust",(_xlfn.XLOOKUP(A1074,'Adj factor'!A:A,'Adj factor'!I:I,,0)*AI1074),'Master DataSheet'!AI1074)</f>
        <v>15459</v>
      </c>
      <c r="AM1074" s="91">
        <f t="shared" si="299"/>
        <v>15459</v>
      </c>
      <c r="AN1074" s="92" t="str">
        <f t="shared" si="300"/>
        <v>Increasing</v>
      </c>
      <c r="AO1074" s="93">
        <f>VLOOKUP(B1074,'Growthrates source'!A$2:H$49,8,FALSE)</f>
        <v>-1.4844947843777323E-3</v>
      </c>
      <c r="AP1074" s="93">
        <f>VLOOKUP(B1074,'Growthrates source'!A$2:I$49,9,FALSE)</f>
        <v>5.4673730437993617E-2</v>
      </c>
      <c r="AQ1074" s="86">
        <f t="shared" si="301"/>
        <v>0</v>
      </c>
      <c r="AR1074" s="86">
        <f t="shared" si="302"/>
        <v>0</v>
      </c>
      <c r="AS1074" s="94">
        <f t="shared" si="303"/>
        <v>0</v>
      </c>
      <c r="AT1074" s="94">
        <f t="shared" si="304"/>
        <v>0</v>
      </c>
      <c r="AU1074" s="94">
        <f t="shared" si="305"/>
        <v>2.5810648066904927</v>
      </c>
    </row>
    <row r="1075" spans="1:48" x14ac:dyDescent="0.3">
      <c r="A1075" s="85" t="str">
        <f>_xlfn.XLOOKUP(B1075,'Country codes &amp; Data sources'!G:G,'Country codes &amp; Data sources'!H:H,,0)</f>
        <v>South Africa</v>
      </c>
      <c r="B1075" s="85" t="s">
        <v>187</v>
      </c>
      <c r="C1075" s="86">
        <v>53145050</v>
      </c>
      <c r="D1075" s="85" t="s">
        <v>209</v>
      </c>
      <c r="E1075" s="87">
        <v>0</v>
      </c>
      <c r="F1075" s="88">
        <v>53873616</v>
      </c>
      <c r="G1075" s="87">
        <v>0</v>
      </c>
      <c r="I1075" s="87">
        <v>0</v>
      </c>
      <c r="K1075" s="87">
        <v>0</v>
      </c>
      <c r="M1075" s="87">
        <v>0</v>
      </c>
      <c r="O1075" s="87">
        <v>0</v>
      </c>
      <c r="P1075" s="88">
        <v>57339635.000000015</v>
      </c>
      <c r="Q1075" s="87">
        <v>0</v>
      </c>
      <c r="R1075" s="87">
        <f t="shared" si="288"/>
        <v>15266</v>
      </c>
      <c r="T1075" s="87">
        <v>0</v>
      </c>
      <c r="V1075" s="87">
        <v>0</v>
      </c>
      <c r="X1075" s="87">
        <v>0</v>
      </c>
      <c r="Y1075" s="88">
        <v>59893885.5</v>
      </c>
      <c r="Z1075" s="87">
        <v>0</v>
      </c>
      <c r="AA1075" s="87">
        <v>15266</v>
      </c>
      <c r="AB1075" s="89">
        <f t="shared" si="289"/>
        <v>0</v>
      </c>
      <c r="AC1075" s="89">
        <f t="shared" si="290"/>
        <v>0</v>
      </c>
      <c r="AD1075" s="89">
        <f t="shared" si="291"/>
        <v>0</v>
      </c>
      <c r="AE1075" s="90">
        <f t="shared" si="292"/>
        <v>0</v>
      </c>
      <c r="AF1075" s="90" t="str">
        <f t="shared" si="293"/>
        <v/>
      </c>
      <c r="AG1075" s="90">
        <f t="shared" si="294"/>
        <v>15266</v>
      </c>
      <c r="AH1075" s="90" t="str">
        <f t="shared" si="295"/>
        <v>2018 (triag)</v>
      </c>
      <c r="AI1075" s="90">
        <f t="shared" si="296"/>
        <v>15266</v>
      </c>
      <c r="AJ1075" s="90" t="str">
        <f t="shared" si="297"/>
        <v>2018 (triag)</v>
      </c>
      <c r="AK1075" s="90" t="str">
        <f t="shared" si="298"/>
        <v/>
      </c>
      <c r="AL1075" s="91">
        <f>IF(AK1075="Adjust",(_xlfn.XLOOKUP(A1075,'Adj factor'!A:A,'Adj factor'!I:I,,0)*AI1075),'Master DataSheet'!AI1075)</f>
        <v>15266</v>
      </c>
      <c r="AM1075" s="91">
        <f t="shared" si="299"/>
        <v>15266</v>
      </c>
      <c r="AN1075" s="92" t="str">
        <f t="shared" si="300"/>
        <v>No change</v>
      </c>
      <c r="AO1075" s="93">
        <f>VLOOKUP(B1075,'Growthrates source'!A$2:H$49,8,FALSE)</f>
        <v>-1.4844947843777323E-3</v>
      </c>
      <c r="AP1075" s="93">
        <f>VLOOKUP(B1075,'Growthrates source'!A$2:I$49,9,FALSE)</f>
        <v>5.4673730437993617E-2</v>
      </c>
      <c r="AQ1075" s="86">
        <f t="shared" si="301"/>
        <v>15379.733055050554</v>
      </c>
      <c r="AR1075" s="86">
        <f t="shared" si="302"/>
        <v>17987.000898350409</v>
      </c>
      <c r="AS1075" s="94">
        <f t="shared" si="303"/>
        <v>0</v>
      </c>
      <c r="AT1075" s="94">
        <f t="shared" si="304"/>
        <v>2.6623817887923416</v>
      </c>
      <c r="AU1075" s="94">
        <f t="shared" si="305"/>
        <v>2.5488411500703188</v>
      </c>
    </row>
    <row r="1076" spans="1:48" x14ac:dyDescent="0.3">
      <c r="A1076" s="85" t="str">
        <f>_xlfn.XLOOKUP(B1076,'Country codes &amp; Data sources'!G:G,'Country codes &amp; Data sources'!H:H,,0)</f>
        <v>South Africa</v>
      </c>
      <c r="B1076" s="85" t="s">
        <v>187</v>
      </c>
      <c r="C1076" s="86">
        <v>53145051</v>
      </c>
      <c r="D1076" s="85" t="s">
        <v>134</v>
      </c>
      <c r="E1076" s="87">
        <v>171</v>
      </c>
      <c r="F1076" s="88">
        <v>53873616</v>
      </c>
      <c r="G1076" s="87">
        <v>273</v>
      </c>
      <c r="I1076" s="87">
        <v>326</v>
      </c>
      <c r="K1076" s="87">
        <v>453</v>
      </c>
      <c r="M1076" s="87">
        <v>5377</v>
      </c>
      <c r="O1076" s="87">
        <v>5525</v>
      </c>
      <c r="P1076" s="88">
        <v>57339635.000000015</v>
      </c>
      <c r="Q1076" s="87">
        <v>5731</v>
      </c>
      <c r="R1076" s="87">
        <f t="shared" si="288"/>
        <v>5731</v>
      </c>
      <c r="T1076" s="87">
        <v>0</v>
      </c>
      <c r="V1076" s="87">
        <v>0</v>
      </c>
      <c r="X1076" s="87">
        <v>6353</v>
      </c>
      <c r="Y1076" s="88">
        <v>59893885.5</v>
      </c>
      <c r="Z1076" s="87">
        <v>0</v>
      </c>
      <c r="AA1076" s="87">
        <v>0</v>
      </c>
      <c r="AB1076" s="89">
        <f t="shared" si="289"/>
        <v>453</v>
      </c>
      <c r="AC1076" s="89">
        <f t="shared" si="290"/>
        <v>5731</v>
      </c>
      <c r="AD1076" s="89">
        <f t="shared" si="291"/>
        <v>6353</v>
      </c>
      <c r="AE1076" s="90">
        <f t="shared" si="292"/>
        <v>273</v>
      </c>
      <c r="AF1076" s="90">
        <f t="shared" si="293"/>
        <v>2013</v>
      </c>
      <c r="AG1076" s="90">
        <f t="shared" si="294"/>
        <v>5731</v>
      </c>
      <c r="AH1076" s="90">
        <f t="shared" si="295"/>
        <v>2018</v>
      </c>
      <c r="AI1076" s="90">
        <f t="shared" si="296"/>
        <v>6353</v>
      </c>
      <c r="AJ1076" s="90">
        <f t="shared" si="297"/>
        <v>2021</v>
      </c>
      <c r="AK1076" s="90" t="str">
        <f t="shared" si="298"/>
        <v/>
      </c>
      <c r="AL1076" s="91">
        <f>IF(AK1076="Adjust",(_xlfn.XLOOKUP(A1076,'Adj factor'!A:A,'Adj factor'!I:I,,0)*AI1076),'Master DataSheet'!AI1076)</f>
        <v>6353</v>
      </c>
      <c r="AM1076" s="91">
        <f t="shared" si="299"/>
        <v>6353</v>
      </c>
      <c r="AN1076" s="92" t="str">
        <f t="shared" si="300"/>
        <v>Increasing</v>
      </c>
      <c r="AO1076" s="93">
        <f>VLOOKUP(B1076,'Growthrates source'!A$2:H$49,8,FALSE)</f>
        <v>-1.4844947843777323E-3</v>
      </c>
      <c r="AP1076" s="93">
        <f>VLOOKUP(B1076,'Growthrates source'!A$2:I$49,9,FALSE)</f>
        <v>5.4673730437993617E-2</v>
      </c>
      <c r="AQ1076" s="86">
        <f t="shared" si="301"/>
        <v>0</v>
      </c>
      <c r="AR1076" s="86">
        <f t="shared" si="302"/>
        <v>0</v>
      </c>
      <c r="AS1076" s="94">
        <f t="shared" si="303"/>
        <v>5.0674155601510021E-2</v>
      </c>
      <c r="AT1076" s="94">
        <f t="shared" si="304"/>
        <v>0.99948316727164355</v>
      </c>
      <c r="AU1076" s="94">
        <f t="shared" si="305"/>
        <v>1.060709277243334</v>
      </c>
    </row>
    <row r="1077" spans="1:48" x14ac:dyDescent="0.3">
      <c r="A1077" s="85" t="str">
        <f>_xlfn.XLOOKUP(B1077,'Country codes &amp; Data sources'!G:G,'Country codes &amp; Data sources'!H:H,,0)</f>
        <v>South Africa</v>
      </c>
      <c r="B1077" s="85" t="s">
        <v>187</v>
      </c>
      <c r="C1077" s="86">
        <v>53145052</v>
      </c>
      <c r="D1077" s="85" t="s">
        <v>142</v>
      </c>
      <c r="E1077" s="87">
        <v>90</v>
      </c>
      <c r="F1077" s="88">
        <v>53873616</v>
      </c>
      <c r="G1077" s="87">
        <v>217</v>
      </c>
      <c r="I1077" s="87">
        <v>362</v>
      </c>
      <c r="K1077" s="87">
        <v>474</v>
      </c>
      <c r="M1077" s="87">
        <v>0</v>
      </c>
      <c r="O1077" s="87">
        <v>8919</v>
      </c>
      <c r="P1077" s="88">
        <v>57339635.000000015</v>
      </c>
      <c r="Q1077" s="87">
        <v>0</v>
      </c>
      <c r="R1077" s="87">
        <f t="shared" si="288"/>
        <v>0</v>
      </c>
      <c r="T1077" s="87">
        <v>0</v>
      </c>
      <c r="V1077" s="87">
        <v>0</v>
      </c>
      <c r="X1077" s="87">
        <v>3870</v>
      </c>
      <c r="Y1077" s="88">
        <v>59893885.5</v>
      </c>
      <c r="Z1077" s="87">
        <v>20327</v>
      </c>
      <c r="AA1077" s="87">
        <v>0</v>
      </c>
      <c r="AB1077" s="89">
        <f t="shared" si="289"/>
        <v>474</v>
      </c>
      <c r="AC1077" s="89">
        <f t="shared" si="290"/>
        <v>8919</v>
      </c>
      <c r="AD1077" s="89">
        <f t="shared" si="291"/>
        <v>20327</v>
      </c>
      <c r="AE1077" s="90">
        <f t="shared" si="292"/>
        <v>217</v>
      </c>
      <c r="AF1077" s="90">
        <f t="shared" si="293"/>
        <v>2013</v>
      </c>
      <c r="AG1077" s="90">
        <f t="shared" si="294"/>
        <v>8919</v>
      </c>
      <c r="AH1077" s="90">
        <f t="shared" si="295"/>
        <v>2017</v>
      </c>
      <c r="AI1077" s="90">
        <f t="shared" si="296"/>
        <v>20327</v>
      </c>
      <c r="AJ1077" s="90">
        <f t="shared" si="297"/>
        <v>2022</v>
      </c>
      <c r="AK1077" s="90" t="str">
        <f t="shared" si="298"/>
        <v/>
      </c>
      <c r="AL1077" s="91">
        <f>IF(AK1077="Adjust",(_xlfn.XLOOKUP(A1077,'Adj factor'!A:A,'Adj factor'!I:I,,0)*AI1077),'Master DataSheet'!AI1077)</f>
        <v>20327</v>
      </c>
      <c r="AM1077" s="91">
        <f t="shared" si="299"/>
        <v>20327</v>
      </c>
      <c r="AN1077" s="92" t="str">
        <f t="shared" si="300"/>
        <v>Increasing</v>
      </c>
      <c r="AO1077" s="93">
        <f>VLOOKUP(B1077,'Growthrates source'!A$2:H$49,8,FALSE)</f>
        <v>-1.4844947843777323E-3</v>
      </c>
      <c r="AP1077" s="93">
        <f>VLOOKUP(B1077,'Growthrates source'!A$2:I$49,9,FALSE)</f>
        <v>5.4673730437993617E-2</v>
      </c>
      <c r="AQ1077" s="86">
        <f t="shared" si="301"/>
        <v>0</v>
      </c>
      <c r="AR1077" s="86">
        <f t="shared" si="302"/>
        <v>0</v>
      </c>
      <c r="AS1077" s="94">
        <f t="shared" si="303"/>
        <v>4.0279457016584891E-2</v>
      </c>
      <c r="AT1077" s="94">
        <f t="shared" si="304"/>
        <v>1.5554685689924601</v>
      </c>
      <c r="AU1077" s="94">
        <f t="shared" si="305"/>
        <v>3.3938355861050291</v>
      </c>
    </row>
    <row r="1078" spans="1:48" x14ac:dyDescent="0.3">
      <c r="A1078" s="85" t="str">
        <f>_xlfn.XLOOKUP(B1078,'Country codes &amp; Data sources'!G:G,'Country codes &amp; Data sources'!H:H,,0)</f>
        <v>South Africa</v>
      </c>
      <c r="B1078" s="85" t="s">
        <v>187</v>
      </c>
      <c r="C1078" s="86">
        <v>53145053</v>
      </c>
      <c r="D1078" s="85" t="s">
        <v>83</v>
      </c>
      <c r="E1078" s="87">
        <v>7791</v>
      </c>
      <c r="F1078" s="88">
        <v>53873616</v>
      </c>
      <c r="G1078" s="87">
        <v>8185</v>
      </c>
      <c r="I1078" s="87">
        <v>8781</v>
      </c>
      <c r="K1078" s="87">
        <v>9289</v>
      </c>
      <c r="M1078" s="87">
        <v>7451</v>
      </c>
      <c r="O1078" s="87">
        <v>7704</v>
      </c>
      <c r="P1078" s="88">
        <v>57339635.000000015</v>
      </c>
      <c r="Q1078" s="87">
        <v>7922</v>
      </c>
      <c r="R1078" s="87">
        <f t="shared" si="288"/>
        <v>11975</v>
      </c>
      <c r="T1078" s="87">
        <v>8110</v>
      </c>
      <c r="V1078" s="87">
        <v>0</v>
      </c>
      <c r="X1078" s="87">
        <v>8509</v>
      </c>
      <c r="Y1078" s="88">
        <v>59893885.5</v>
      </c>
      <c r="Z1078" s="87">
        <v>1555</v>
      </c>
      <c r="AA1078" s="87">
        <v>11975</v>
      </c>
      <c r="AB1078" s="89">
        <f t="shared" si="289"/>
        <v>9289</v>
      </c>
      <c r="AC1078" s="89">
        <f t="shared" si="290"/>
        <v>8110</v>
      </c>
      <c r="AD1078" s="89">
        <f t="shared" si="291"/>
        <v>8509</v>
      </c>
      <c r="AE1078" s="90">
        <f t="shared" si="292"/>
        <v>8185</v>
      </c>
      <c r="AF1078" s="90">
        <f t="shared" si="293"/>
        <v>2013</v>
      </c>
      <c r="AG1078" s="90">
        <f t="shared" si="294"/>
        <v>11975</v>
      </c>
      <c r="AH1078" s="90" t="str">
        <f t="shared" si="295"/>
        <v>2018 (triag)</v>
      </c>
      <c r="AI1078" s="90">
        <f t="shared" si="296"/>
        <v>1555</v>
      </c>
      <c r="AJ1078" s="90">
        <f t="shared" si="297"/>
        <v>2022</v>
      </c>
      <c r="AK1078" s="90" t="str">
        <f t="shared" si="298"/>
        <v>Adjust</v>
      </c>
      <c r="AL1078" s="91">
        <f>IF(AK1078="Adjust",(_xlfn.XLOOKUP(A1078,'Adj factor'!A:A,'Adj factor'!I:I,,0)*AI1078),'Master DataSheet'!AI1078)</f>
        <v>2279.0927151446576</v>
      </c>
      <c r="AM1078" s="91">
        <f t="shared" si="299"/>
        <v>11975</v>
      </c>
      <c r="AN1078" s="92" t="str">
        <f t="shared" si="300"/>
        <v>Decreasing</v>
      </c>
      <c r="AO1078" s="93">
        <f>VLOOKUP(B1078,'Growthrates source'!A$2:H$49,8,FALSE)</f>
        <v>-1.4844947843777323E-3</v>
      </c>
      <c r="AP1078" s="93">
        <f>VLOOKUP(B1078,'Growthrates source'!A$2:I$49,9,FALSE)</f>
        <v>5.4673730437993617E-2</v>
      </c>
      <c r="AQ1078" s="86">
        <f t="shared" si="301"/>
        <v>12064.214812932685</v>
      </c>
      <c r="AR1078" s="86">
        <f t="shared" si="302"/>
        <v>14109.415417119491</v>
      </c>
      <c r="AS1078" s="94">
        <f t="shared" si="303"/>
        <v>1.5192965699573608</v>
      </c>
      <c r="AT1078" s="94">
        <f t="shared" si="304"/>
        <v>2.0884332451715113</v>
      </c>
      <c r="AU1078" s="94">
        <f t="shared" si="305"/>
        <v>1.9993693680133675</v>
      </c>
    </row>
    <row r="1079" spans="1:48" x14ac:dyDescent="0.3">
      <c r="A1079" s="85" t="str">
        <f>_xlfn.XLOOKUP(B1079,'Country codes &amp; Data sources'!G:G,'Country codes &amp; Data sources'!H:H,,0)</f>
        <v>South Africa</v>
      </c>
      <c r="B1079" s="85" t="s">
        <v>187</v>
      </c>
      <c r="C1079" s="86">
        <v>53145054</v>
      </c>
      <c r="D1079" s="85" t="s">
        <v>84</v>
      </c>
      <c r="E1079" s="87">
        <v>0</v>
      </c>
      <c r="F1079" s="88">
        <v>53873616</v>
      </c>
      <c r="G1079" s="87">
        <v>0</v>
      </c>
      <c r="I1079" s="87">
        <v>0</v>
      </c>
      <c r="K1079" s="87">
        <v>0</v>
      </c>
      <c r="M1079" s="87">
        <v>0</v>
      </c>
      <c r="O1079" s="87">
        <v>27694</v>
      </c>
      <c r="P1079" s="88">
        <v>57339635.000000015</v>
      </c>
      <c r="Q1079" s="87">
        <v>0</v>
      </c>
      <c r="R1079" s="87">
        <f t="shared" si="288"/>
        <v>0</v>
      </c>
      <c r="T1079" s="87">
        <v>0</v>
      </c>
      <c r="V1079" s="87">
        <v>0</v>
      </c>
      <c r="X1079" s="87">
        <v>0</v>
      </c>
      <c r="Y1079" s="88">
        <v>59893885.5</v>
      </c>
      <c r="Z1079" s="87">
        <v>15754</v>
      </c>
      <c r="AA1079" s="87">
        <v>0</v>
      </c>
      <c r="AB1079" s="89">
        <f t="shared" si="289"/>
        <v>0</v>
      </c>
      <c r="AC1079" s="89">
        <f t="shared" si="290"/>
        <v>27694</v>
      </c>
      <c r="AD1079" s="89">
        <f t="shared" si="291"/>
        <v>15754</v>
      </c>
      <c r="AE1079" s="90">
        <f t="shared" si="292"/>
        <v>0</v>
      </c>
      <c r="AF1079" s="90" t="str">
        <f t="shared" si="293"/>
        <v/>
      </c>
      <c r="AG1079" s="90">
        <f t="shared" si="294"/>
        <v>27694</v>
      </c>
      <c r="AH1079" s="90">
        <f t="shared" si="295"/>
        <v>2017</v>
      </c>
      <c r="AI1079" s="90">
        <f t="shared" si="296"/>
        <v>15754</v>
      </c>
      <c r="AJ1079" s="90">
        <f t="shared" si="297"/>
        <v>2022</v>
      </c>
      <c r="AK1079" s="90" t="str">
        <f t="shared" si="298"/>
        <v>Adjust</v>
      </c>
      <c r="AL1079" s="91">
        <f>IF(AK1079="Adjust",(_xlfn.XLOOKUP(A1079,'Adj factor'!A:A,'Adj factor'!I:I,,0)*AI1079),'Master DataSheet'!AI1079)</f>
        <v>23089.920665201891</v>
      </c>
      <c r="AM1079" s="91">
        <f t="shared" si="299"/>
        <v>27694</v>
      </c>
      <c r="AN1079" s="92" t="str">
        <f t="shared" si="300"/>
        <v>Decreasing</v>
      </c>
      <c r="AO1079" s="93">
        <f>VLOOKUP(B1079,'Growthrates source'!A$2:H$49,8,FALSE)</f>
        <v>-1.4844947843777323E-3</v>
      </c>
      <c r="AP1079" s="93">
        <f>VLOOKUP(B1079,'Growthrates source'!A$2:I$49,9,FALSE)</f>
        <v>5.4673730437993617E-2</v>
      </c>
      <c r="AQ1079" s="86">
        <f t="shared" si="301"/>
        <v>0</v>
      </c>
      <c r="AR1079" s="86">
        <f t="shared" si="302"/>
        <v>0</v>
      </c>
      <c r="AS1079" s="94">
        <f t="shared" si="303"/>
        <v>0</v>
      </c>
      <c r="AT1079" s="94">
        <f t="shared" si="304"/>
        <v>4.8298179784367292</v>
      </c>
      <c r="AU1079" s="94">
        <f t="shared" si="305"/>
        <v>4.6238442820678252</v>
      </c>
    </row>
    <row r="1080" spans="1:48" x14ac:dyDescent="0.3">
      <c r="A1080" s="85" t="str">
        <f>_xlfn.XLOOKUP(B1080,'Country codes &amp; Data sources'!G:G,'Country codes &amp; Data sources'!H:H,,0)</f>
        <v>South Africa</v>
      </c>
      <c r="B1080" s="85" t="s">
        <v>187</v>
      </c>
      <c r="C1080" s="86">
        <v>53145055</v>
      </c>
      <c r="D1080" s="85" t="s">
        <v>126</v>
      </c>
      <c r="E1080" s="87">
        <v>2285</v>
      </c>
      <c r="F1080" s="88">
        <v>53873616</v>
      </c>
      <c r="G1080" s="87">
        <v>2586</v>
      </c>
      <c r="I1080" s="87">
        <v>2746</v>
      </c>
      <c r="K1080" s="87">
        <v>2913</v>
      </c>
      <c r="M1080" s="87">
        <v>3140</v>
      </c>
      <c r="O1080" s="87">
        <v>3323</v>
      </c>
      <c r="P1080" s="88">
        <v>57339635.000000015</v>
      </c>
      <c r="Q1080" s="87">
        <v>3512</v>
      </c>
      <c r="R1080" s="87">
        <f t="shared" si="288"/>
        <v>3512</v>
      </c>
      <c r="T1080" s="87">
        <v>3676</v>
      </c>
      <c r="V1080" s="87">
        <v>0</v>
      </c>
      <c r="X1080" s="87">
        <v>4037</v>
      </c>
      <c r="Y1080" s="88">
        <v>59893885.5</v>
      </c>
      <c r="Z1080" s="87">
        <v>586</v>
      </c>
      <c r="AA1080" s="87">
        <v>0</v>
      </c>
      <c r="AB1080" s="89">
        <f t="shared" si="289"/>
        <v>2913</v>
      </c>
      <c r="AC1080" s="89">
        <f t="shared" si="290"/>
        <v>3676</v>
      </c>
      <c r="AD1080" s="89">
        <f t="shared" si="291"/>
        <v>4037</v>
      </c>
      <c r="AE1080" s="90">
        <f t="shared" si="292"/>
        <v>2586</v>
      </c>
      <c r="AF1080" s="90">
        <f t="shared" si="293"/>
        <v>2013</v>
      </c>
      <c r="AG1080" s="90">
        <f t="shared" si="294"/>
        <v>3512</v>
      </c>
      <c r="AH1080" s="90">
        <f t="shared" si="295"/>
        <v>2018</v>
      </c>
      <c r="AI1080" s="90">
        <f t="shared" si="296"/>
        <v>586</v>
      </c>
      <c r="AJ1080" s="90">
        <f t="shared" si="297"/>
        <v>2022</v>
      </c>
      <c r="AK1080" s="90" t="str">
        <f t="shared" si="298"/>
        <v>Adjust</v>
      </c>
      <c r="AL1080" s="91">
        <f>IF(AK1080="Adjust",(_xlfn.XLOOKUP(A1080,'Adj factor'!A:A,'Adj factor'!I:I,,0)*AI1080),'Master DataSheet'!AI1080)</f>
        <v>858.87352480692573</v>
      </c>
      <c r="AM1080" s="91">
        <f t="shared" si="299"/>
        <v>3512</v>
      </c>
      <c r="AN1080" s="92" t="str">
        <f t="shared" si="300"/>
        <v>Decreasing</v>
      </c>
      <c r="AO1080" s="93">
        <f>VLOOKUP(B1080,'Growthrates source'!A$2:H$49,8,FALSE)</f>
        <v>-1.4844947843777323E-3</v>
      </c>
      <c r="AP1080" s="93">
        <f>VLOOKUP(B1080,'Growthrates source'!A$2:I$49,9,FALSE)</f>
        <v>5.4673730437993617E-2</v>
      </c>
      <c r="AQ1080" s="86">
        <f t="shared" si="301"/>
        <v>0</v>
      </c>
      <c r="AR1080" s="86">
        <f t="shared" si="302"/>
        <v>0</v>
      </c>
      <c r="AS1080" s="94">
        <f t="shared" si="303"/>
        <v>0.48001233108243563</v>
      </c>
      <c r="AT1080" s="94">
        <f t="shared" si="304"/>
        <v>0.61249081895969504</v>
      </c>
      <c r="AU1080" s="94">
        <f t="shared" si="305"/>
        <v>0.58637037331632125</v>
      </c>
    </row>
    <row r="1081" spans="1:48" x14ac:dyDescent="0.3">
      <c r="A1081" s="85" t="str">
        <f>_xlfn.XLOOKUP(B1081,'Country codes &amp; Data sources'!G:G,'Country codes &amp; Data sources'!H:H,,0)</f>
        <v>South Africa</v>
      </c>
      <c r="B1081" s="85" t="s">
        <v>187</v>
      </c>
      <c r="C1081" s="86">
        <v>53145056</v>
      </c>
      <c r="D1081" s="85" t="s">
        <v>87</v>
      </c>
      <c r="E1081" s="87">
        <v>0</v>
      </c>
      <c r="F1081" s="88">
        <v>53873616</v>
      </c>
      <c r="G1081" s="87">
        <v>0</v>
      </c>
      <c r="I1081" s="87">
        <v>0</v>
      </c>
      <c r="K1081" s="87">
        <v>0</v>
      </c>
      <c r="M1081" s="87">
        <v>0</v>
      </c>
      <c r="O1081" s="87">
        <v>49732</v>
      </c>
      <c r="P1081" s="88">
        <v>57339635.000000015</v>
      </c>
      <c r="Q1081" s="87">
        <v>0</v>
      </c>
      <c r="R1081" s="87">
        <f t="shared" si="288"/>
        <v>0</v>
      </c>
      <c r="T1081" s="87">
        <v>0</v>
      </c>
      <c r="V1081" s="87">
        <v>0</v>
      </c>
      <c r="X1081" s="87">
        <v>0</v>
      </c>
      <c r="Y1081" s="88">
        <v>59893885.5</v>
      </c>
      <c r="Z1081" s="87">
        <v>9</v>
      </c>
      <c r="AA1081" s="87">
        <v>0</v>
      </c>
      <c r="AB1081" s="89">
        <f t="shared" si="289"/>
        <v>0</v>
      </c>
      <c r="AC1081" s="89">
        <f t="shared" si="290"/>
        <v>49732</v>
      </c>
      <c r="AD1081" s="89">
        <f t="shared" si="291"/>
        <v>9</v>
      </c>
      <c r="AE1081" s="90">
        <f t="shared" si="292"/>
        <v>0</v>
      </c>
      <c r="AF1081" s="90" t="str">
        <f t="shared" si="293"/>
        <v/>
      </c>
      <c r="AG1081" s="90">
        <f t="shared" si="294"/>
        <v>49732</v>
      </c>
      <c r="AH1081" s="90">
        <f t="shared" si="295"/>
        <v>2017</v>
      </c>
      <c r="AI1081" s="90">
        <f t="shared" si="296"/>
        <v>9</v>
      </c>
      <c r="AJ1081" s="90">
        <f t="shared" si="297"/>
        <v>2022</v>
      </c>
      <c r="AK1081" s="90" t="str">
        <f t="shared" si="298"/>
        <v>Adjust</v>
      </c>
      <c r="AL1081" s="91">
        <f>IF(AK1081="Adjust",(_xlfn.XLOOKUP(A1081,'Adj factor'!A:A,'Adj factor'!I:I,,0)*AI1081),'Master DataSheet'!AI1081)</f>
        <v>13.190890312734354</v>
      </c>
      <c r="AM1081" s="91">
        <f t="shared" si="299"/>
        <v>49732</v>
      </c>
      <c r="AN1081" s="92" t="str">
        <f t="shared" si="300"/>
        <v>Decreasing</v>
      </c>
      <c r="AO1081" s="93">
        <f>VLOOKUP(B1081,'Growthrates source'!A$2:H$49,8,FALSE)</f>
        <v>-1.4844947843777323E-3</v>
      </c>
      <c r="AP1081" s="93">
        <f>VLOOKUP(B1081,'Growthrates source'!A$2:I$49,9,FALSE)</f>
        <v>5.4673730437993617E-2</v>
      </c>
      <c r="AQ1081" s="86">
        <f t="shared" si="301"/>
        <v>0</v>
      </c>
      <c r="AR1081" s="86">
        <f t="shared" si="302"/>
        <v>0</v>
      </c>
      <c r="AS1081" s="94">
        <f t="shared" si="303"/>
        <v>0</v>
      </c>
      <c r="AT1081" s="94">
        <f t="shared" si="304"/>
        <v>8.6732327472959998</v>
      </c>
      <c r="AU1081" s="94">
        <f t="shared" si="305"/>
        <v>8.3033517670180199</v>
      </c>
    </row>
    <row r="1082" spans="1:48" x14ac:dyDescent="0.3">
      <c r="A1082" s="85" t="str">
        <f>_xlfn.XLOOKUP(B1082,'Country codes &amp; Data sources'!G:G,'Country codes &amp; Data sources'!H:H,,0)</f>
        <v>Zambia</v>
      </c>
      <c r="B1082" s="85" t="s">
        <v>192</v>
      </c>
      <c r="C1082" s="86">
        <v>14744657.999999998</v>
      </c>
      <c r="D1082" s="85" t="s">
        <v>321</v>
      </c>
      <c r="E1082" s="87">
        <v>156</v>
      </c>
      <c r="F1082" s="88">
        <v>15234975.999999991</v>
      </c>
      <c r="G1082" s="87">
        <v>0</v>
      </c>
      <c r="H1082" s="87">
        <v>15737792.999999998</v>
      </c>
      <c r="I1082" s="87">
        <v>0</v>
      </c>
      <c r="J1082" s="87">
        <v>16248229.999999996</v>
      </c>
      <c r="K1082" s="87">
        <v>0</v>
      </c>
      <c r="L1082" s="87">
        <v>16767760.499999996</v>
      </c>
      <c r="M1082" s="87">
        <v>3074</v>
      </c>
      <c r="N1082" s="87">
        <v>17298053.500000004</v>
      </c>
      <c r="O1082" s="87">
        <v>0</v>
      </c>
      <c r="P1082" s="88">
        <v>17835892.999999981</v>
      </c>
      <c r="Q1082" s="87">
        <v>8042</v>
      </c>
      <c r="R1082" s="87">
        <f t="shared" si="288"/>
        <v>8042</v>
      </c>
      <c r="S1082" s="87">
        <v>18380476.500000004</v>
      </c>
      <c r="T1082" s="87">
        <v>8772</v>
      </c>
      <c r="U1082" s="87">
        <v>18927715.000000022</v>
      </c>
      <c r="V1082" s="87">
        <v>9636</v>
      </c>
      <c r="W1082" s="87">
        <v>19473124.999999996</v>
      </c>
      <c r="X1082" s="87">
        <v>11546</v>
      </c>
      <c r="Y1082" s="88">
        <v>20017675.000000004</v>
      </c>
      <c r="Z1082" s="87">
        <v>11020</v>
      </c>
      <c r="AA1082" s="87">
        <v>2026</v>
      </c>
      <c r="AB1082" s="89">
        <f t="shared" si="289"/>
        <v>156</v>
      </c>
      <c r="AC1082" s="89">
        <f t="shared" si="290"/>
        <v>8772</v>
      </c>
      <c r="AD1082" s="89">
        <f t="shared" si="291"/>
        <v>11546</v>
      </c>
      <c r="AE1082" s="90">
        <f t="shared" si="292"/>
        <v>156</v>
      </c>
      <c r="AF1082" s="90">
        <f t="shared" si="293"/>
        <v>2012</v>
      </c>
      <c r="AG1082" s="90">
        <f t="shared" si="294"/>
        <v>8042</v>
      </c>
      <c r="AH1082" s="90">
        <f t="shared" si="295"/>
        <v>2018</v>
      </c>
      <c r="AI1082" s="90">
        <f t="shared" si="296"/>
        <v>11020</v>
      </c>
      <c r="AJ1082" s="90">
        <f t="shared" si="297"/>
        <v>2022</v>
      </c>
      <c r="AK1082" s="90" t="str">
        <f t="shared" si="298"/>
        <v/>
      </c>
      <c r="AL1082" s="91">
        <f>IF(AK1082="Adjust",(_xlfn.XLOOKUP(A1082,'Adj factor'!A:A,'Adj factor'!I:I,,0)*AI1082),'Master DataSheet'!AI1082)</f>
        <v>11020</v>
      </c>
      <c r="AM1082" s="91">
        <f t="shared" si="299"/>
        <v>11020</v>
      </c>
      <c r="AN1082" s="92" t="str">
        <f t="shared" si="300"/>
        <v>Increasing</v>
      </c>
      <c r="AO1082" s="93">
        <f>VLOOKUP(B1082,'Growthrates source'!A$2:H$49,8,FALSE)</f>
        <v>9.0528744101809888E-2</v>
      </c>
      <c r="AP1082" s="93">
        <f>VLOOKUP(B1082,'Growthrates source'!A$2:I$49,9,FALSE)</f>
        <v>5.4673730437993617E-2</v>
      </c>
      <c r="AQ1082" s="86">
        <f t="shared" si="301"/>
        <v>1288.4238959735194</v>
      </c>
      <c r="AR1082" s="86">
        <f t="shared" si="302"/>
        <v>2387.1127878984626</v>
      </c>
      <c r="AS1082" s="94">
        <f t="shared" si="303"/>
        <v>0.10239596045310481</v>
      </c>
      <c r="AT1082" s="94">
        <f t="shared" si="304"/>
        <v>4.5088855377188057</v>
      </c>
      <c r="AU1082" s="94">
        <f t="shared" si="305"/>
        <v>5.5051348370877227</v>
      </c>
    </row>
    <row r="1083" spans="1:48" x14ac:dyDescent="0.3">
      <c r="A1083" s="85" t="str">
        <f>_xlfn.XLOOKUP(B1083,'Country codes &amp; Data sources'!G:G,'Country codes &amp; Data sources'!H:H,,0)</f>
        <v>Zambia</v>
      </c>
      <c r="B1083" s="85" t="s">
        <v>192</v>
      </c>
      <c r="C1083" s="86">
        <v>14744659</v>
      </c>
      <c r="D1083" s="85" t="s">
        <v>322</v>
      </c>
      <c r="E1083" s="87">
        <v>0</v>
      </c>
      <c r="F1083" s="88">
        <v>15234975.999999991</v>
      </c>
      <c r="G1083" s="87">
        <v>0</v>
      </c>
      <c r="I1083" s="87">
        <v>0</v>
      </c>
      <c r="K1083" s="87">
        <v>0</v>
      </c>
      <c r="M1083" s="87">
        <v>0</v>
      </c>
      <c r="O1083" s="87">
        <v>31382</v>
      </c>
      <c r="P1083" s="88">
        <v>17835892.999999981</v>
      </c>
      <c r="Q1083" s="87">
        <v>41492</v>
      </c>
      <c r="R1083" s="87">
        <f t="shared" si="288"/>
        <v>41492</v>
      </c>
      <c r="T1083" s="87">
        <v>46070</v>
      </c>
      <c r="V1083" s="87">
        <v>55348</v>
      </c>
      <c r="X1083" s="87">
        <v>65084</v>
      </c>
      <c r="Y1083" s="88">
        <v>20017675.000000004</v>
      </c>
      <c r="Z1083" s="87">
        <v>67558</v>
      </c>
      <c r="AA1083" s="87">
        <v>14516</v>
      </c>
      <c r="AB1083" s="89">
        <f t="shared" si="289"/>
        <v>0</v>
      </c>
      <c r="AC1083" s="89">
        <f t="shared" si="290"/>
        <v>46070</v>
      </c>
      <c r="AD1083" s="89">
        <f t="shared" si="291"/>
        <v>67558</v>
      </c>
      <c r="AE1083" s="90">
        <f t="shared" si="292"/>
        <v>0</v>
      </c>
      <c r="AF1083" s="90" t="str">
        <f t="shared" si="293"/>
        <v/>
      </c>
      <c r="AG1083" s="90">
        <f t="shared" si="294"/>
        <v>41492</v>
      </c>
      <c r="AH1083" s="90">
        <f t="shared" si="295"/>
        <v>2018</v>
      </c>
      <c r="AI1083" s="90">
        <f t="shared" si="296"/>
        <v>67558</v>
      </c>
      <c r="AJ1083" s="90">
        <f t="shared" si="297"/>
        <v>2022</v>
      </c>
      <c r="AK1083" s="90" t="str">
        <f t="shared" si="298"/>
        <v/>
      </c>
      <c r="AL1083" s="91">
        <f>IF(AK1083="Adjust",(_xlfn.XLOOKUP(A1083,'Adj factor'!A:A,'Adj factor'!I:I,,0)*AI1083),'Master DataSheet'!AI1083)</f>
        <v>67558</v>
      </c>
      <c r="AM1083" s="91">
        <f t="shared" si="299"/>
        <v>67558</v>
      </c>
      <c r="AN1083" s="92" t="str">
        <f t="shared" si="300"/>
        <v>Increasing</v>
      </c>
      <c r="AO1083" s="93">
        <f>VLOOKUP(B1083,'Growthrates source'!A$2:H$49,8,FALSE)</f>
        <v>9.0528744101809888E-2</v>
      </c>
      <c r="AP1083" s="93">
        <f>VLOOKUP(B1083,'Growthrates source'!A$2:I$49,9,FALSE)</f>
        <v>5.4673730437993617E-2</v>
      </c>
      <c r="AQ1083" s="86">
        <f t="shared" si="301"/>
        <v>9231.372790696747</v>
      </c>
      <c r="AR1083" s="86">
        <f t="shared" si="302"/>
        <v>17103.321435900336</v>
      </c>
      <c r="AS1083" s="94">
        <f t="shared" si="303"/>
        <v>0</v>
      </c>
      <c r="AT1083" s="94">
        <f t="shared" si="304"/>
        <v>23.26320302549474</v>
      </c>
      <c r="AU1083" s="94">
        <f t="shared" si="305"/>
        <v>33.749174167329613</v>
      </c>
    </row>
    <row r="1084" spans="1:48" s="95" customFormat="1" x14ac:dyDescent="0.3">
      <c r="A1084" s="95" t="str">
        <f>_xlfn.XLOOKUP(B1084,'Country codes &amp; Data sources'!G:G,'Country codes &amp; Data sources'!H:H,,0)</f>
        <v>Zambia</v>
      </c>
      <c r="B1084" s="95" t="s">
        <v>192</v>
      </c>
      <c r="C1084" s="60">
        <v>14744660</v>
      </c>
      <c r="D1084" s="95" t="s">
        <v>323</v>
      </c>
      <c r="E1084" s="96">
        <v>0</v>
      </c>
      <c r="F1084" s="97">
        <v>15234975.999999991</v>
      </c>
      <c r="G1084" s="96">
        <v>5546</v>
      </c>
      <c r="H1084" s="96"/>
      <c r="I1084" s="96">
        <v>0</v>
      </c>
      <c r="J1084" s="96"/>
      <c r="K1084" s="96">
        <v>0</v>
      </c>
      <c r="L1084" s="96"/>
      <c r="M1084" s="96">
        <v>6666</v>
      </c>
      <c r="N1084" s="96"/>
      <c r="O1084" s="96">
        <v>0</v>
      </c>
      <c r="P1084" s="97">
        <v>17835892.999999981</v>
      </c>
      <c r="Q1084" s="96">
        <v>4274</v>
      </c>
      <c r="R1084" s="96">
        <f t="shared" si="288"/>
        <v>4274</v>
      </c>
      <c r="S1084" s="96"/>
      <c r="T1084" s="96">
        <v>6446</v>
      </c>
      <c r="U1084" s="96"/>
      <c r="V1084" s="96">
        <v>6624</v>
      </c>
      <c r="W1084" s="96"/>
      <c r="X1084" s="96">
        <v>7492</v>
      </c>
      <c r="Y1084" s="97">
        <v>20017675.000000004</v>
      </c>
      <c r="Z1084" s="96">
        <v>18404</v>
      </c>
      <c r="AA1084" s="96">
        <v>3432</v>
      </c>
      <c r="AB1084" s="98">
        <f t="shared" si="289"/>
        <v>5546</v>
      </c>
      <c r="AC1084" s="98">
        <f t="shared" si="290"/>
        <v>6666</v>
      </c>
      <c r="AD1084" s="98">
        <f t="shared" si="291"/>
        <v>18404</v>
      </c>
      <c r="AE1084" s="99">
        <f t="shared" si="292"/>
        <v>5546</v>
      </c>
      <c r="AF1084" s="99">
        <f t="shared" si="293"/>
        <v>2013</v>
      </c>
      <c r="AG1084" s="99">
        <f t="shared" si="294"/>
        <v>4274</v>
      </c>
      <c r="AH1084" s="99">
        <f t="shared" si="295"/>
        <v>2018</v>
      </c>
      <c r="AI1084" s="99">
        <f t="shared" si="296"/>
        <v>18404</v>
      </c>
      <c r="AJ1084" s="99">
        <f t="shared" si="297"/>
        <v>2022</v>
      </c>
      <c r="AK1084" s="99" t="str">
        <f t="shared" si="298"/>
        <v/>
      </c>
      <c r="AL1084" s="61">
        <f>IF(AK1084="Adjust",(_xlfn.XLOOKUP(A1084,'Adj factor'!A:A,'Adj factor'!I:I,,0)*AI1084),'Master DataSheet'!AI1084)</f>
        <v>18404</v>
      </c>
      <c r="AM1084" s="61">
        <f t="shared" si="299"/>
        <v>18404</v>
      </c>
      <c r="AN1084" s="62" t="str">
        <f t="shared" si="300"/>
        <v>Increasing</v>
      </c>
      <c r="AO1084" s="100">
        <f>VLOOKUP(B1084,'Growthrates source'!A$2:H$49,8,FALSE)</f>
        <v>9.0528744101809888E-2</v>
      </c>
      <c r="AP1084" s="100">
        <f>VLOOKUP(B1084,'Growthrates source'!A$2:I$49,9,FALSE)</f>
        <v>5.4673730437993617E-2</v>
      </c>
      <c r="AQ1084" s="60">
        <f t="shared" si="301"/>
        <v>2182.5620982137802</v>
      </c>
      <c r="AR1084" s="60">
        <f t="shared" si="302"/>
        <v>4043.7172201715321</v>
      </c>
      <c r="AS1084" s="102">
        <f t="shared" si="303"/>
        <v>3.6403076709802518</v>
      </c>
      <c r="AT1084" s="102">
        <f t="shared" si="304"/>
        <v>2.3962915677953465</v>
      </c>
      <c r="AU1084" s="101">
        <f t="shared" si="305"/>
        <v>9.1938749130455939</v>
      </c>
      <c r="AV1084" s="117"/>
    </row>
    <row r="1085" spans="1:48" x14ac:dyDescent="0.3">
      <c r="A1085" s="85" t="str">
        <f>_xlfn.XLOOKUP(B1085,'Country codes &amp; Data sources'!G:G,'Country codes &amp; Data sources'!H:H,,0)</f>
        <v>Zambia</v>
      </c>
      <c r="B1085" s="85" t="s">
        <v>192</v>
      </c>
      <c r="C1085" s="86">
        <v>14744661</v>
      </c>
      <c r="D1085" s="85" t="s">
        <v>324</v>
      </c>
      <c r="E1085" s="87">
        <v>0</v>
      </c>
      <c r="F1085" s="88">
        <v>15234975.999999991</v>
      </c>
      <c r="G1085" s="87">
        <v>460</v>
      </c>
      <c r="I1085" s="87">
        <v>1491</v>
      </c>
      <c r="K1085" s="87">
        <v>0</v>
      </c>
      <c r="M1085" s="87">
        <v>0</v>
      </c>
      <c r="O1085" s="87">
        <v>371</v>
      </c>
      <c r="P1085" s="88">
        <v>17835892.999999981</v>
      </c>
      <c r="Q1085" s="87">
        <v>0</v>
      </c>
      <c r="R1085" s="87">
        <f t="shared" si="288"/>
        <v>1708</v>
      </c>
      <c r="T1085" s="87">
        <v>0</v>
      </c>
      <c r="V1085" s="87">
        <v>0</v>
      </c>
      <c r="X1085" s="87">
        <v>0</v>
      </c>
      <c r="Y1085" s="88">
        <v>20017675.000000004</v>
      </c>
      <c r="Z1085" s="87">
        <v>0</v>
      </c>
      <c r="AA1085" s="87">
        <v>1708</v>
      </c>
      <c r="AB1085" s="89">
        <f t="shared" si="289"/>
        <v>1491</v>
      </c>
      <c r="AC1085" s="89">
        <f t="shared" si="290"/>
        <v>371</v>
      </c>
      <c r="AD1085" s="89">
        <f t="shared" si="291"/>
        <v>0</v>
      </c>
      <c r="AE1085" s="90">
        <f t="shared" si="292"/>
        <v>460</v>
      </c>
      <c r="AF1085" s="90">
        <f t="shared" si="293"/>
        <v>2013</v>
      </c>
      <c r="AG1085" s="90">
        <f t="shared" si="294"/>
        <v>1708</v>
      </c>
      <c r="AH1085" s="90" t="str">
        <f t="shared" si="295"/>
        <v>2018 (triag)</v>
      </c>
      <c r="AI1085" s="90">
        <f t="shared" si="296"/>
        <v>1708</v>
      </c>
      <c r="AJ1085" s="90" t="str">
        <f t="shared" si="297"/>
        <v>2018 (triag)</v>
      </c>
      <c r="AK1085" s="90" t="str">
        <f t="shared" si="298"/>
        <v/>
      </c>
      <c r="AL1085" s="91">
        <f>IF(AK1085="Adjust",(_xlfn.XLOOKUP(A1085,'Adj factor'!A:A,'Adj factor'!I:I,,0)*AI1085),'Master DataSheet'!AI1085)</f>
        <v>1708</v>
      </c>
      <c r="AM1085" s="62">
        <v>3047</v>
      </c>
      <c r="AN1085" s="92" t="str">
        <f t="shared" si="300"/>
        <v>No change</v>
      </c>
      <c r="AO1085" s="93">
        <f>VLOOKUP(B1085,'Growthrates source'!A$2:H$49,8,FALSE)</f>
        <v>9.0528744101809888E-2</v>
      </c>
      <c r="AP1085" s="93">
        <f>VLOOKUP(B1085,'Growthrates source'!A$2:I$49,9,FALSE)</f>
        <v>5.4673730437993617E-2</v>
      </c>
      <c r="AQ1085" s="86">
        <f t="shared" si="301"/>
        <v>1086.1934917683966</v>
      </c>
      <c r="AR1085" s="86">
        <f t="shared" si="302"/>
        <v>2012.4326958196318</v>
      </c>
      <c r="AS1085" s="94">
        <f t="shared" si="303"/>
        <v>0.30193680646428345</v>
      </c>
      <c r="AT1085" s="94">
        <f t="shared" si="304"/>
        <v>0.95761955961498635</v>
      </c>
      <c r="AU1085" s="94">
        <f t="shared" si="305"/>
        <v>1.5221547956993005</v>
      </c>
    </row>
    <row r="1086" spans="1:48" x14ac:dyDescent="0.3">
      <c r="A1086" s="85" t="str">
        <f>_xlfn.XLOOKUP(B1086,'Country codes &amp; Data sources'!G:G,'Country codes &amp; Data sources'!H:H,,0)</f>
        <v>Zambia</v>
      </c>
      <c r="B1086" s="85" t="s">
        <v>192</v>
      </c>
      <c r="C1086" s="86">
        <v>14744662</v>
      </c>
      <c r="D1086" s="85" t="s">
        <v>325</v>
      </c>
      <c r="E1086" s="87">
        <v>0</v>
      </c>
      <c r="F1086" s="88">
        <v>15234975.999999991</v>
      </c>
      <c r="G1086" s="87">
        <v>351</v>
      </c>
      <c r="I1086" s="87">
        <v>374</v>
      </c>
      <c r="K1086" s="87">
        <v>0</v>
      </c>
      <c r="M1086" s="87">
        <v>0</v>
      </c>
      <c r="O1086" s="87">
        <v>54</v>
      </c>
      <c r="P1086" s="88">
        <v>17835892.999999981</v>
      </c>
      <c r="Q1086" s="87">
        <v>0</v>
      </c>
      <c r="R1086" s="87">
        <f t="shared" si="288"/>
        <v>455</v>
      </c>
      <c r="T1086" s="87">
        <v>0</v>
      </c>
      <c r="V1086" s="87">
        <v>10395</v>
      </c>
      <c r="X1086" s="87">
        <v>0</v>
      </c>
      <c r="Y1086" s="88">
        <v>20017675.000000004</v>
      </c>
      <c r="Z1086" s="87">
        <v>0</v>
      </c>
      <c r="AA1086" s="87">
        <v>455</v>
      </c>
      <c r="AB1086" s="89">
        <f t="shared" si="289"/>
        <v>374</v>
      </c>
      <c r="AC1086" s="89">
        <f t="shared" si="290"/>
        <v>54</v>
      </c>
      <c r="AD1086" s="89">
        <f t="shared" si="291"/>
        <v>10395</v>
      </c>
      <c r="AE1086" s="90">
        <f t="shared" si="292"/>
        <v>351</v>
      </c>
      <c r="AF1086" s="90">
        <f t="shared" si="293"/>
        <v>2013</v>
      </c>
      <c r="AG1086" s="90">
        <f t="shared" si="294"/>
        <v>455</v>
      </c>
      <c r="AH1086" s="90" t="str">
        <f t="shared" si="295"/>
        <v>2018 (triag)</v>
      </c>
      <c r="AI1086" s="90">
        <f t="shared" si="296"/>
        <v>10395</v>
      </c>
      <c r="AJ1086" s="90">
        <f t="shared" si="297"/>
        <v>2020</v>
      </c>
      <c r="AK1086" s="90" t="str">
        <f t="shared" si="298"/>
        <v/>
      </c>
      <c r="AL1086" s="91">
        <f>IF(AK1086="Adjust",(_xlfn.XLOOKUP(A1086,'Adj factor'!A:A,'Adj factor'!I:I,,0)*AI1086),'Master DataSheet'!AI1086)</f>
        <v>10395</v>
      </c>
      <c r="AM1086" s="91">
        <f t="shared" si="299"/>
        <v>10395</v>
      </c>
      <c r="AN1086" s="92" t="str">
        <f t="shared" si="300"/>
        <v>Increasing</v>
      </c>
      <c r="AO1086" s="93">
        <f>VLOOKUP(B1086,'Growthrates source'!A$2:H$49,8,FALSE)</f>
        <v>9.0528744101809888E-2</v>
      </c>
      <c r="AP1086" s="93">
        <f>VLOOKUP(B1086,'Growthrates source'!A$2:I$49,9,FALSE)</f>
        <v>5.4673730437993617E-2</v>
      </c>
      <c r="AQ1086" s="86">
        <f t="shared" si="301"/>
        <v>289.35482362682694</v>
      </c>
      <c r="AR1086" s="86">
        <f t="shared" si="302"/>
        <v>536.09887388637731</v>
      </c>
      <c r="AS1086" s="94">
        <f t="shared" si="303"/>
        <v>0.23039091101948583</v>
      </c>
      <c r="AT1086" s="94">
        <f t="shared" si="304"/>
        <v>0.25510357120891031</v>
      </c>
      <c r="AU1086" s="94">
        <f t="shared" si="305"/>
        <v>5.192910765111332</v>
      </c>
    </row>
    <row r="1087" spans="1:48" x14ac:dyDescent="0.3">
      <c r="A1087" s="85" t="str">
        <f>_xlfn.XLOOKUP(B1087,'Country codes &amp; Data sources'!G:G,'Country codes &amp; Data sources'!H:H,,0)</f>
        <v>Zambia</v>
      </c>
      <c r="B1087" s="85" t="s">
        <v>192</v>
      </c>
      <c r="C1087" s="86">
        <v>14744663</v>
      </c>
      <c r="D1087" s="85" t="s">
        <v>127</v>
      </c>
      <c r="E1087" s="87">
        <v>0</v>
      </c>
      <c r="F1087" s="88">
        <v>15234975.999999991</v>
      </c>
      <c r="G1087" s="87">
        <v>0</v>
      </c>
      <c r="I1087" s="87">
        <v>0</v>
      </c>
      <c r="K1087" s="87">
        <v>0</v>
      </c>
      <c r="M1087" s="87">
        <v>0</v>
      </c>
      <c r="O1087" s="87">
        <v>0</v>
      </c>
      <c r="P1087" s="88">
        <v>17835892.999999981</v>
      </c>
      <c r="Q1087" s="87">
        <v>1283</v>
      </c>
      <c r="R1087" s="87">
        <f t="shared" si="288"/>
        <v>1283</v>
      </c>
      <c r="T1087" s="87">
        <v>1846</v>
      </c>
      <c r="V1087" s="87">
        <v>41669</v>
      </c>
      <c r="X1087" s="87">
        <v>0</v>
      </c>
      <c r="Y1087" s="88">
        <v>20017675.000000004</v>
      </c>
      <c r="Z1087" s="87">
        <v>2421</v>
      </c>
      <c r="AA1087" s="87">
        <v>1262</v>
      </c>
      <c r="AB1087" s="89">
        <f t="shared" si="289"/>
        <v>0</v>
      </c>
      <c r="AC1087" s="89">
        <f t="shared" si="290"/>
        <v>1846</v>
      </c>
      <c r="AD1087" s="89">
        <f t="shared" si="291"/>
        <v>41669</v>
      </c>
      <c r="AE1087" s="90">
        <f t="shared" si="292"/>
        <v>0</v>
      </c>
      <c r="AF1087" s="90" t="str">
        <f t="shared" si="293"/>
        <v/>
      </c>
      <c r="AG1087" s="90">
        <f t="shared" si="294"/>
        <v>1283</v>
      </c>
      <c r="AH1087" s="90">
        <f t="shared" si="295"/>
        <v>2018</v>
      </c>
      <c r="AI1087" s="90">
        <f t="shared" si="296"/>
        <v>2421</v>
      </c>
      <c r="AJ1087" s="90">
        <f t="shared" si="297"/>
        <v>2022</v>
      </c>
      <c r="AK1087" s="90" t="str">
        <f t="shared" si="298"/>
        <v/>
      </c>
      <c r="AL1087" s="91">
        <f>IF(AK1087="Adjust",(_xlfn.XLOOKUP(A1087,'Adj factor'!A:A,'Adj factor'!I:I,,0)*AI1087),'Master DataSheet'!AI1087)</f>
        <v>2421</v>
      </c>
      <c r="AM1087" s="91">
        <f t="shared" si="299"/>
        <v>2421</v>
      </c>
      <c r="AN1087" s="92" t="str">
        <f t="shared" si="300"/>
        <v>Increasing</v>
      </c>
      <c r="AO1087" s="93">
        <f>VLOOKUP(B1087,'Growthrates source'!A$2:H$49,8,FALSE)</f>
        <v>9.0528744101809888E-2</v>
      </c>
      <c r="AP1087" s="93">
        <f>VLOOKUP(B1087,'Growthrates source'!A$2:I$49,9,FALSE)</f>
        <v>5.4673730437993617E-2</v>
      </c>
      <c r="AQ1087" s="86">
        <f t="shared" si="301"/>
        <v>802.5621701473749</v>
      </c>
      <c r="AR1087" s="86">
        <f t="shared" si="302"/>
        <v>1486.9379754826555</v>
      </c>
      <c r="AS1087" s="94">
        <f t="shared" si="303"/>
        <v>0</v>
      </c>
      <c r="AT1087" s="94">
        <f t="shared" si="304"/>
        <v>0.71933600409018006</v>
      </c>
      <c r="AU1087" s="94">
        <f t="shared" si="305"/>
        <v>1.2094311652077474</v>
      </c>
    </row>
    <row r="1088" spans="1:48" ht="14.5" x14ac:dyDescent="0.35">
      <c r="A1088" s="85" t="str">
        <f>_xlfn.XLOOKUP(B1088,'Country codes &amp; Data sources'!G:G,'Country codes &amp; Data sources'!H:H,,0)</f>
        <v>Zambia</v>
      </c>
      <c r="B1088" s="85" t="s">
        <v>192</v>
      </c>
      <c r="C1088" s="86">
        <v>14744664</v>
      </c>
      <c r="D1088" s="85" t="s">
        <v>61</v>
      </c>
      <c r="E1088" s="87">
        <v>0</v>
      </c>
      <c r="F1088" s="88">
        <v>15234975.999999991</v>
      </c>
      <c r="G1088" s="87">
        <v>0</v>
      </c>
      <c r="I1088" s="87">
        <v>0</v>
      </c>
      <c r="K1088" s="87">
        <v>0</v>
      </c>
      <c r="M1088" s="87">
        <v>0</v>
      </c>
      <c r="O1088" s="87">
        <v>66</v>
      </c>
      <c r="P1088" s="88">
        <v>17835892.999999981</v>
      </c>
      <c r="Q1088" s="87">
        <v>0</v>
      </c>
      <c r="R1088" s="87">
        <f t="shared" si="288"/>
        <v>404</v>
      </c>
      <c r="T1088" s="87">
        <v>0</v>
      </c>
      <c r="V1088" s="87">
        <v>0</v>
      </c>
      <c r="X1088" s="87">
        <v>0</v>
      </c>
      <c r="Y1088" s="88">
        <v>20017675.000000004</v>
      </c>
      <c r="Z1088" s="111">
        <f>689+85</f>
        <v>774</v>
      </c>
      <c r="AA1088" s="87">
        <v>404</v>
      </c>
      <c r="AB1088" s="89">
        <f t="shared" si="289"/>
        <v>0</v>
      </c>
      <c r="AC1088" s="89">
        <f t="shared" si="290"/>
        <v>66</v>
      </c>
      <c r="AD1088" s="89">
        <f t="shared" si="291"/>
        <v>774</v>
      </c>
      <c r="AE1088" s="90">
        <f t="shared" si="292"/>
        <v>0</v>
      </c>
      <c r="AF1088" s="90" t="str">
        <f t="shared" si="293"/>
        <v/>
      </c>
      <c r="AG1088" s="90">
        <f t="shared" si="294"/>
        <v>404</v>
      </c>
      <c r="AH1088" s="90" t="str">
        <f t="shared" si="295"/>
        <v>2018 (triag)</v>
      </c>
      <c r="AI1088" s="90">
        <f t="shared" si="296"/>
        <v>774</v>
      </c>
      <c r="AJ1088" s="90">
        <f t="shared" si="297"/>
        <v>2022</v>
      </c>
      <c r="AK1088" s="90" t="str">
        <f t="shared" si="298"/>
        <v/>
      </c>
      <c r="AL1088" s="91">
        <f>IF(AK1088="Adjust",(_xlfn.XLOOKUP(A1088,'Adj factor'!A:A,'Adj factor'!I:I,,0)*AI1088),'Master DataSheet'!AI1088)</f>
        <v>774</v>
      </c>
      <c r="AM1088" s="60">
        <f>689+85</f>
        <v>774</v>
      </c>
      <c r="AN1088" s="92" t="str">
        <f t="shared" si="300"/>
        <v>Increasing</v>
      </c>
      <c r="AO1088" s="93">
        <f>VLOOKUP(B1088,'Growthrates source'!A$2:H$49,8,FALSE)</f>
        <v>9.0528744101809888E-2</v>
      </c>
      <c r="AP1088" s="93">
        <f>VLOOKUP(B1088,'Growthrates source'!A$2:I$49,9,FALSE)</f>
        <v>5.4673730437993617E-2</v>
      </c>
      <c r="AQ1088" s="86">
        <f t="shared" si="301"/>
        <v>256.92164559392984</v>
      </c>
      <c r="AR1088" s="86">
        <f t="shared" si="302"/>
        <v>476.0086704397724</v>
      </c>
      <c r="AS1088" s="94">
        <f t="shared" si="303"/>
        <v>0</v>
      </c>
      <c r="AT1088" s="94">
        <f t="shared" si="304"/>
        <v>0.22650954454593353</v>
      </c>
      <c r="AU1088" s="94">
        <f t="shared" si="305"/>
        <v>0.38665829073556235</v>
      </c>
    </row>
    <row r="1089" spans="1:47" ht="14.5" x14ac:dyDescent="0.35">
      <c r="A1089" s="85" t="str">
        <f>_xlfn.XLOOKUP(B1089,'Country codes &amp; Data sources'!G:G,'Country codes &amp; Data sources'!H:H,,0)</f>
        <v>Zambia</v>
      </c>
      <c r="B1089" s="85" t="s">
        <v>192</v>
      </c>
      <c r="C1089" s="86">
        <v>14744665</v>
      </c>
      <c r="D1089" s="85" t="s">
        <v>62</v>
      </c>
      <c r="E1089" s="87">
        <v>0</v>
      </c>
      <c r="F1089" s="88">
        <v>15234975.999999991</v>
      </c>
      <c r="G1089" s="87">
        <v>0</v>
      </c>
      <c r="I1089" s="87">
        <v>0</v>
      </c>
      <c r="K1089" s="87">
        <v>0</v>
      </c>
      <c r="M1089" s="87">
        <v>0</v>
      </c>
      <c r="O1089" s="87">
        <v>0</v>
      </c>
      <c r="P1089" s="88">
        <v>17835892.999999981</v>
      </c>
      <c r="Q1089" s="87">
        <v>0</v>
      </c>
      <c r="R1089" s="87">
        <f t="shared" si="288"/>
        <v>2016</v>
      </c>
      <c r="T1089" s="87">
        <v>0</v>
      </c>
      <c r="V1089" s="87">
        <v>3330</v>
      </c>
      <c r="X1089" s="87">
        <v>0</v>
      </c>
      <c r="Y1089" s="88">
        <v>20017675.000000004</v>
      </c>
      <c r="Z1089" s="111">
        <f>5+1169+3151+67</f>
        <v>4392</v>
      </c>
      <c r="AA1089" s="87">
        <v>2016</v>
      </c>
      <c r="AB1089" s="89">
        <f t="shared" si="289"/>
        <v>0</v>
      </c>
      <c r="AC1089" s="89">
        <f t="shared" si="290"/>
        <v>0</v>
      </c>
      <c r="AD1089" s="89">
        <f t="shared" si="291"/>
        <v>4392</v>
      </c>
      <c r="AE1089" s="90">
        <f t="shared" si="292"/>
        <v>0</v>
      </c>
      <c r="AF1089" s="90" t="str">
        <f t="shared" si="293"/>
        <v/>
      </c>
      <c r="AG1089" s="90">
        <f t="shared" si="294"/>
        <v>2016</v>
      </c>
      <c r="AH1089" s="90" t="str">
        <f t="shared" si="295"/>
        <v>2018 (triag)</v>
      </c>
      <c r="AI1089" s="90">
        <f t="shared" si="296"/>
        <v>4392</v>
      </c>
      <c r="AJ1089" s="90">
        <f t="shared" si="297"/>
        <v>2022</v>
      </c>
      <c r="AK1089" s="90" t="str">
        <f t="shared" si="298"/>
        <v/>
      </c>
      <c r="AL1089" s="91">
        <f>IF(AK1089="Adjust",(_xlfn.XLOOKUP(A1089,'Adj factor'!A:A,'Adj factor'!I:I,,0)*AI1089),'Master DataSheet'!AI1089)</f>
        <v>4392</v>
      </c>
      <c r="AM1089" s="91">
        <f t="shared" si="299"/>
        <v>4392</v>
      </c>
      <c r="AN1089" s="92" t="str">
        <f t="shared" si="300"/>
        <v>Increasing</v>
      </c>
      <c r="AO1089" s="93">
        <f>VLOOKUP(B1089,'Growthrates source'!A$2:H$49,8,FALSE)</f>
        <v>9.0528744101809888E-2</v>
      </c>
      <c r="AP1089" s="93">
        <f>VLOOKUP(B1089,'Growthrates source'!A$2:I$49,9,FALSE)</f>
        <v>5.4673730437993617E-2</v>
      </c>
      <c r="AQ1089" s="86">
        <f t="shared" si="301"/>
        <v>1282.0644493004024</v>
      </c>
      <c r="AR1089" s="86">
        <f t="shared" si="302"/>
        <v>2375.3303950657951</v>
      </c>
      <c r="AS1089" s="94">
        <f t="shared" si="303"/>
        <v>0</v>
      </c>
      <c r="AT1089" s="94">
        <f t="shared" si="304"/>
        <v>1.1303050539717872</v>
      </c>
      <c r="AU1089" s="94">
        <f t="shared" si="305"/>
        <v>2.1940609985924935</v>
      </c>
    </row>
    <row r="1090" spans="1:47" x14ac:dyDescent="0.3">
      <c r="A1090" s="85" t="str">
        <f>_xlfn.XLOOKUP(B1090,'Country codes &amp; Data sources'!G:G,'Country codes &amp; Data sources'!H:H,,0)</f>
        <v>Zambia</v>
      </c>
      <c r="B1090" s="85" t="s">
        <v>192</v>
      </c>
      <c r="C1090" s="86">
        <v>14744666</v>
      </c>
      <c r="D1090" s="85" t="s">
        <v>203</v>
      </c>
      <c r="E1090" s="87">
        <v>0</v>
      </c>
      <c r="F1090" s="88">
        <v>15234975.999999991</v>
      </c>
      <c r="G1090" s="87">
        <v>0</v>
      </c>
      <c r="I1090" s="87">
        <v>0</v>
      </c>
      <c r="K1090" s="87">
        <v>0</v>
      </c>
      <c r="M1090" s="87">
        <v>0</v>
      </c>
      <c r="O1090" s="87">
        <v>0</v>
      </c>
      <c r="P1090" s="88">
        <v>17835892.999999981</v>
      </c>
      <c r="Q1090" s="87">
        <v>119</v>
      </c>
      <c r="R1090" s="87">
        <f t="shared" si="288"/>
        <v>119</v>
      </c>
      <c r="T1090" s="87">
        <v>0</v>
      </c>
      <c r="V1090" s="87">
        <v>0</v>
      </c>
      <c r="X1090" s="87">
        <v>0</v>
      </c>
      <c r="Y1090" s="88">
        <v>20017675.000000004</v>
      </c>
      <c r="Z1090" s="87">
        <v>0</v>
      </c>
      <c r="AA1090" s="87">
        <v>0</v>
      </c>
      <c r="AB1090" s="89">
        <f t="shared" si="289"/>
        <v>0</v>
      </c>
      <c r="AC1090" s="89">
        <f t="shared" si="290"/>
        <v>119</v>
      </c>
      <c r="AD1090" s="89">
        <f t="shared" si="291"/>
        <v>0</v>
      </c>
      <c r="AE1090" s="90">
        <f t="shared" si="292"/>
        <v>0</v>
      </c>
      <c r="AF1090" s="90" t="str">
        <f t="shared" si="293"/>
        <v/>
      </c>
      <c r="AG1090" s="90">
        <f t="shared" si="294"/>
        <v>119</v>
      </c>
      <c r="AH1090" s="90">
        <f t="shared" si="295"/>
        <v>2018</v>
      </c>
      <c r="AI1090" s="90">
        <f t="shared" si="296"/>
        <v>119</v>
      </c>
      <c r="AJ1090" s="90">
        <f t="shared" si="297"/>
        <v>2018</v>
      </c>
      <c r="AK1090" s="90" t="str">
        <f t="shared" si="298"/>
        <v/>
      </c>
      <c r="AL1090" s="91">
        <f>IF(AK1090="Adjust",(_xlfn.XLOOKUP(A1090,'Adj factor'!A:A,'Adj factor'!I:I,,0)*AI1090),'Master DataSheet'!AI1090)</f>
        <v>119</v>
      </c>
      <c r="AM1090" s="91">
        <f t="shared" si="299"/>
        <v>119</v>
      </c>
      <c r="AN1090" s="92" t="str">
        <f t="shared" si="300"/>
        <v>No change</v>
      </c>
      <c r="AO1090" s="93">
        <f>VLOOKUP(B1090,'Growthrates source'!A$2:H$49,8,FALSE)</f>
        <v>9.0528744101809888E-2</v>
      </c>
      <c r="AP1090" s="93">
        <f>VLOOKUP(B1090,'Growthrates source'!A$2:I$49,9,FALSE)</f>
        <v>5.4673730437993617E-2</v>
      </c>
      <c r="AQ1090" s="86">
        <f t="shared" si="301"/>
        <v>0</v>
      </c>
      <c r="AR1090" s="86">
        <f t="shared" si="302"/>
        <v>0</v>
      </c>
      <c r="AS1090" s="94">
        <f t="shared" si="303"/>
        <v>0</v>
      </c>
      <c r="AT1090" s="94">
        <f t="shared" si="304"/>
        <v>6.6719395546945767E-2</v>
      </c>
      <c r="AU1090" s="94">
        <f t="shared" si="305"/>
        <v>5.944746330430481E-2</v>
      </c>
    </row>
    <row r="1091" spans="1:47" x14ac:dyDescent="0.3">
      <c r="A1091" s="85" t="str">
        <f>_xlfn.XLOOKUP(B1091,'Country codes &amp; Data sources'!G:G,'Country codes &amp; Data sources'!H:H,,0)</f>
        <v>Zambia</v>
      </c>
      <c r="B1091" s="85" t="s">
        <v>192</v>
      </c>
      <c r="C1091" s="86">
        <v>14744667</v>
      </c>
      <c r="D1091" s="85" t="s">
        <v>204</v>
      </c>
      <c r="E1091" s="87">
        <v>0</v>
      </c>
      <c r="F1091" s="88">
        <v>15234975.999999991</v>
      </c>
      <c r="G1091" s="87">
        <v>0</v>
      </c>
      <c r="I1091" s="87">
        <v>0</v>
      </c>
      <c r="K1091" s="87">
        <v>0</v>
      </c>
      <c r="M1091" s="87">
        <v>0</v>
      </c>
      <c r="O1091" s="87">
        <v>0</v>
      </c>
      <c r="P1091" s="88">
        <v>17835892.999999981</v>
      </c>
      <c r="Q1091" s="87">
        <v>0</v>
      </c>
      <c r="R1091" s="87">
        <f t="shared" ref="R1091:R1128" si="306">MAX(Q1091,AA1091)</f>
        <v>0</v>
      </c>
      <c r="T1091" s="87">
        <v>0</v>
      </c>
      <c r="V1091" s="87">
        <v>0</v>
      </c>
      <c r="X1091" s="87">
        <v>0</v>
      </c>
      <c r="Y1091" s="88">
        <v>20017675.000000004</v>
      </c>
      <c r="Z1091" s="87">
        <v>0</v>
      </c>
      <c r="AA1091" s="87">
        <v>0</v>
      </c>
      <c r="AB1091" s="89">
        <f t="shared" ref="AB1091:AB1129" si="307">MAX(G1091,E1091,I1091,K1091)</f>
        <v>0</v>
      </c>
      <c r="AC1091" s="89">
        <f t="shared" ref="AC1091:AC1129" si="308">MAX(M1091,O1091,Q1091,T1091)</f>
        <v>0</v>
      </c>
      <c r="AD1091" s="89">
        <f t="shared" ref="AD1091:AD1129" si="309">MAX(V1091,X1091,Z1091)</f>
        <v>0</v>
      </c>
      <c r="AE1091" s="90">
        <f t="shared" ref="AE1091:AE1129" si="310">IF(G1091&gt;0,G1091,IF(E1091&gt;0,E1091,IF(I1091&gt;0,I1091,K1091)))</f>
        <v>0</v>
      </c>
      <c r="AF1091" s="90" t="str">
        <f t="shared" ref="AF1091:AF1129" si="311">IF(AE1091&gt;0,_xlfn.XLOOKUP(AE1091,$B1091:$K1091,$B$1:$K$1,,0),"")</f>
        <v/>
      </c>
      <c r="AG1091" s="90">
        <f t="shared" ref="AG1091:AG1129" si="312">IF(R1091&gt;0,R1091,IF(O1091&gt;0,O1091,T1091))</f>
        <v>0</v>
      </c>
      <c r="AH1091" s="90" t="str">
        <f t="shared" ref="AH1091:AH1129" si="313">IF(AG1091&gt;0,_xlfn.XLOOKUP(AG1091,$L1091:$T1091,$L$1:$T$1,,0),"")</f>
        <v/>
      </c>
      <c r="AI1091" s="90">
        <f t="shared" ref="AI1091:AI1129" si="314">IF((IF(Z1091&gt;0,Z1091,IF(X1091&gt;0,X1091,IF(V1091&gt;0,V1091,T1091))))=0,AG1091,IF(Z1091&gt;0,Z1091,IF(X1091&gt;0,X1091,IF(V1091&gt;0,V1091,T1091))))</f>
        <v>0</v>
      </c>
      <c r="AJ1091" s="90" t="str">
        <f t="shared" ref="AJ1091:AJ1129" si="315">IFERROR(IF(AI1091&gt;0,_xlfn.XLOOKUP(AI1091,$V1091:$Z1091,$V$1:$Z$1,,0),""),AH1091)</f>
        <v/>
      </c>
      <c r="AK1091" s="90" t="str">
        <f t="shared" ref="AK1091:AK1129" si="316">IF(AI1091&lt;AG1091,"Adjust","")</f>
        <v/>
      </c>
      <c r="AL1091" s="91">
        <f>IF(AK1091="Adjust",(_xlfn.XLOOKUP(A1091,'Adj factor'!A:A,'Adj factor'!I:I,,0)*AI1091),'Master DataSheet'!AI1091)</f>
        <v>0</v>
      </c>
      <c r="AM1091" s="91">
        <f t="shared" ref="AM1091:AM1129" si="317">IF(AL1091&lt;AG1091,AG1091,AL1091)</f>
        <v>0</v>
      </c>
      <c r="AN1091" s="92" t="str">
        <f t="shared" ref="AN1091:AN1129" si="318">IF(AL1091&gt;AG1091,"Increasing",IF(AL1091&lt;AG1091,"Decreasing","No change"))</f>
        <v>No change</v>
      </c>
      <c r="AO1091" s="93">
        <f>VLOOKUP(B1091,'Growthrates source'!A$2:H$49,8,FALSE)</f>
        <v>9.0528744101809888E-2</v>
      </c>
      <c r="AP1091" s="93">
        <f>VLOOKUP(B1091,'Growthrates source'!A$2:I$49,9,FALSE)</f>
        <v>5.4673730437993617E-2</v>
      </c>
      <c r="AQ1091" s="86">
        <f t="shared" ref="AQ1091:AQ1129" si="319">AA1091/(EXP(AO1091*5))</f>
        <v>0</v>
      </c>
      <c r="AR1091" s="86">
        <f t="shared" ref="AR1091:AR1129" si="320">AA1091*EXP(AP1091*3)</f>
        <v>0</v>
      </c>
      <c r="AS1091" s="94">
        <f t="shared" ref="AS1091:AS1129" si="321">(AE1091*10000)/F1091</f>
        <v>0</v>
      </c>
      <c r="AT1091" s="94">
        <f t="shared" ref="AT1091:AT1129" si="322">(AG1091*10000)/P1091</f>
        <v>0</v>
      </c>
      <c r="AU1091" s="94">
        <f t="shared" ref="AU1091:AU1129" si="323">(AM1091*10000)/Y1091</f>
        <v>0</v>
      </c>
    </row>
    <row r="1092" spans="1:47" x14ac:dyDescent="0.3">
      <c r="A1092" s="85" t="str">
        <f>_xlfn.XLOOKUP(B1092,'Country codes &amp; Data sources'!G:G,'Country codes &amp; Data sources'!H:H,,0)</f>
        <v>Zambia</v>
      </c>
      <c r="B1092" s="85" t="s">
        <v>192</v>
      </c>
      <c r="C1092" s="86">
        <v>14744668</v>
      </c>
      <c r="D1092" s="85" t="s">
        <v>205</v>
      </c>
      <c r="E1092" s="87">
        <v>53</v>
      </c>
      <c r="F1092" s="88">
        <v>15234975.999999991</v>
      </c>
      <c r="G1092" s="87">
        <v>0</v>
      </c>
      <c r="I1092" s="87">
        <v>0</v>
      </c>
      <c r="K1092" s="87">
        <v>0</v>
      </c>
      <c r="M1092" s="87">
        <v>0</v>
      </c>
      <c r="O1092" s="87">
        <v>0</v>
      </c>
      <c r="P1092" s="88">
        <v>17835892.999999981</v>
      </c>
      <c r="Q1092" s="87">
        <v>0</v>
      </c>
      <c r="R1092" s="87">
        <f t="shared" si="306"/>
        <v>0</v>
      </c>
      <c r="T1092" s="87">
        <v>0</v>
      </c>
      <c r="V1092" s="87">
        <v>0</v>
      </c>
      <c r="X1092" s="87">
        <v>0</v>
      </c>
      <c r="Y1092" s="88">
        <v>20017675.000000004</v>
      </c>
      <c r="Z1092" s="87">
        <v>28</v>
      </c>
      <c r="AA1092" s="87">
        <v>0</v>
      </c>
      <c r="AB1092" s="89">
        <f t="shared" si="307"/>
        <v>53</v>
      </c>
      <c r="AC1092" s="89">
        <f t="shared" si="308"/>
        <v>0</v>
      </c>
      <c r="AD1092" s="89">
        <f t="shared" si="309"/>
        <v>28</v>
      </c>
      <c r="AE1092" s="90">
        <f t="shared" si="310"/>
        <v>53</v>
      </c>
      <c r="AF1092" s="90">
        <f t="shared" si="311"/>
        <v>2012</v>
      </c>
      <c r="AG1092" s="90">
        <f t="shared" si="312"/>
        <v>0</v>
      </c>
      <c r="AH1092" s="90" t="str">
        <f t="shared" si="313"/>
        <v/>
      </c>
      <c r="AI1092" s="90">
        <f t="shared" si="314"/>
        <v>28</v>
      </c>
      <c r="AJ1092" s="90">
        <f t="shared" si="315"/>
        <v>2022</v>
      </c>
      <c r="AK1092" s="90" t="str">
        <f t="shared" si="316"/>
        <v/>
      </c>
      <c r="AL1092" s="91">
        <f>IF(AK1092="Adjust",(_xlfn.XLOOKUP(A1092,'Adj factor'!A:A,'Adj factor'!I:I,,0)*AI1092),'Master DataSheet'!AI1092)</f>
        <v>28</v>
      </c>
      <c r="AM1092" s="91">
        <f t="shared" si="317"/>
        <v>28</v>
      </c>
      <c r="AN1092" s="92" t="str">
        <f t="shared" si="318"/>
        <v>Increasing</v>
      </c>
      <c r="AO1092" s="93">
        <f>VLOOKUP(B1092,'Growthrates source'!A$2:H$49,8,FALSE)</f>
        <v>9.0528744101809888E-2</v>
      </c>
      <c r="AP1092" s="93">
        <f>VLOOKUP(B1092,'Growthrates source'!A$2:I$49,9,FALSE)</f>
        <v>5.4673730437993617E-2</v>
      </c>
      <c r="AQ1092" s="86">
        <f t="shared" si="319"/>
        <v>0</v>
      </c>
      <c r="AR1092" s="86">
        <f t="shared" si="320"/>
        <v>0</v>
      </c>
      <c r="AS1092" s="94">
        <f t="shared" si="321"/>
        <v>3.4788371179580481E-2</v>
      </c>
      <c r="AT1092" s="94">
        <f t="shared" si="322"/>
        <v>0</v>
      </c>
      <c r="AU1092" s="94">
        <f t="shared" si="323"/>
        <v>1.3987638424542308E-2</v>
      </c>
    </row>
    <row r="1093" spans="1:47" ht="14.5" x14ac:dyDescent="0.35">
      <c r="A1093" s="85" t="str">
        <f>_xlfn.XLOOKUP(B1093,'Country codes &amp; Data sources'!G:G,'Country codes &amp; Data sources'!H:H,,0)</f>
        <v>Zambia</v>
      </c>
      <c r="B1093" s="85" t="s">
        <v>192</v>
      </c>
      <c r="C1093" s="86">
        <v>14744669</v>
      </c>
      <c r="D1093" s="85" t="s">
        <v>133</v>
      </c>
      <c r="E1093" s="87">
        <v>184</v>
      </c>
      <c r="F1093" s="88">
        <v>15234975.999999991</v>
      </c>
      <c r="G1093" s="87">
        <v>0</v>
      </c>
      <c r="I1093" s="87">
        <v>0</v>
      </c>
      <c r="K1093" s="87">
        <v>0</v>
      </c>
      <c r="M1093" s="87">
        <v>921</v>
      </c>
      <c r="O1093" s="87">
        <v>0</v>
      </c>
      <c r="P1093" s="88">
        <v>17835892.999999981</v>
      </c>
      <c r="Q1093" s="87">
        <v>18</v>
      </c>
      <c r="R1093" s="87">
        <f t="shared" si="306"/>
        <v>18</v>
      </c>
      <c r="T1093" s="87">
        <v>18</v>
      </c>
      <c r="V1093" s="87">
        <v>19</v>
      </c>
      <c r="X1093" s="87">
        <v>19</v>
      </c>
      <c r="Y1093" s="88">
        <v>20017675.000000004</v>
      </c>
      <c r="Z1093" s="111">
        <v>641</v>
      </c>
      <c r="AA1093" s="87">
        <v>0</v>
      </c>
      <c r="AB1093" s="89">
        <f t="shared" si="307"/>
        <v>184</v>
      </c>
      <c r="AC1093" s="89">
        <f t="shared" si="308"/>
        <v>921</v>
      </c>
      <c r="AD1093" s="89">
        <f t="shared" si="309"/>
        <v>641</v>
      </c>
      <c r="AE1093" s="90">
        <f t="shared" si="310"/>
        <v>184</v>
      </c>
      <c r="AF1093" s="90">
        <f t="shared" si="311"/>
        <v>2012</v>
      </c>
      <c r="AG1093" s="90">
        <f t="shared" si="312"/>
        <v>18</v>
      </c>
      <c r="AH1093" s="90">
        <f t="shared" si="313"/>
        <v>2018</v>
      </c>
      <c r="AI1093" s="90">
        <f t="shared" si="314"/>
        <v>641</v>
      </c>
      <c r="AJ1093" s="90">
        <f t="shared" si="315"/>
        <v>2022</v>
      </c>
      <c r="AK1093" s="90" t="str">
        <f t="shared" si="316"/>
        <v/>
      </c>
      <c r="AL1093" s="91">
        <f>IF(AK1093="Adjust",(_xlfn.XLOOKUP(A1093,'Adj factor'!A:A,'Adj factor'!I:I,,0)*AI1093),'Master DataSheet'!AI1093)</f>
        <v>641</v>
      </c>
      <c r="AM1093" s="60">
        <v>641</v>
      </c>
      <c r="AN1093" s="92" t="str">
        <f t="shared" si="318"/>
        <v>Increasing</v>
      </c>
      <c r="AO1093" s="93">
        <f>VLOOKUP(B1093,'Growthrates source'!A$2:H$49,8,FALSE)</f>
        <v>9.0528744101809888E-2</v>
      </c>
      <c r="AP1093" s="93">
        <f>VLOOKUP(B1093,'Growthrates source'!A$2:I$49,9,FALSE)</f>
        <v>5.4673730437993617E-2</v>
      </c>
      <c r="AQ1093" s="86">
        <f t="shared" si="319"/>
        <v>0</v>
      </c>
      <c r="AR1093" s="86">
        <f t="shared" si="320"/>
        <v>0</v>
      </c>
      <c r="AS1093" s="94">
        <f t="shared" si="321"/>
        <v>0.12077472258571337</v>
      </c>
      <c r="AT1093" s="94">
        <f t="shared" si="322"/>
        <v>1.0092009410462385E-2</v>
      </c>
      <c r="AU1093" s="94">
        <f t="shared" si="323"/>
        <v>0.32021700821898641</v>
      </c>
    </row>
    <row r="1094" spans="1:47" x14ac:dyDescent="0.3">
      <c r="A1094" s="85" t="str">
        <f>_xlfn.XLOOKUP(B1094,'Country codes &amp; Data sources'!G:G,'Country codes &amp; Data sources'!H:H,,0)</f>
        <v>Zambia</v>
      </c>
      <c r="B1094" s="85" t="s">
        <v>192</v>
      </c>
      <c r="C1094" s="86">
        <v>14744670</v>
      </c>
      <c r="D1094" s="85" t="s">
        <v>206</v>
      </c>
      <c r="E1094" s="87">
        <v>0</v>
      </c>
      <c r="F1094" s="88">
        <v>15234975.999999991</v>
      </c>
      <c r="G1094" s="87">
        <v>0</v>
      </c>
      <c r="I1094" s="87">
        <v>0</v>
      </c>
      <c r="K1094" s="87">
        <v>0</v>
      </c>
      <c r="M1094" s="87">
        <v>0</v>
      </c>
      <c r="O1094" s="87">
        <v>0</v>
      </c>
      <c r="P1094" s="88">
        <v>17835892.999999981</v>
      </c>
      <c r="Q1094" s="87">
        <v>0</v>
      </c>
      <c r="R1094" s="87">
        <f t="shared" si="306"/>
        <v>2617</v>
      </c>
      <c r="T1094" s="87">
        <v>0</v>
      </c>
      <c r="V1094" s="87">
        <v>0</v>
      </c>
      <c r="X1094" s="87">
        <v>0</v>
      </c>
      <c r="Y1094" s="88">
        <v>20017675.000000004</v>
      </c>
      <c r="Z1094" s="87">
        <v>7144</v>
      </c>
      <c r="AA1094" s="87">
        <v>2617</v>
      </c>
      <c r="AB1094" s="89">
        <f t="shared" si="307"/>
        <v>0</v>
      </c>
      <c r="AC1094" s="89">
        <f t="shared" si="308"/>
        <v>0</v>
      </c>
      <c r="AD1094" s="89">
        <f t="shared" si="309"/>
        <v>7144</v>
      </c>
      <c r="AE1094" s="90">
        <f t="shared" si="310"/>
        <v>0</v>
      </c>
      <c r="AF1094" s="90" t="str">
        <f t="shared" si="311"/>
        <v/>
      </c>
      <c r="AG1094" s="90">
        <f t="shared" si="312"/>
        <v>2617</v>
      </c>
      <c r="AH1094" s="90" t="str">
        <f t="shared" si="313"/>
        <v>2018 (triag)</v>
      </c>
      <c r="AI1094" s="90">
        <f t="shared" si="314"/>
        <v>7144</v>
      </c>
      <c r="AJ1094" s="90">
        <f t="shared" si="315"/>
        <v>2022</v>
      </c>
      <c r="AK1094" s="90" t="str">
        <f t="shared" si="316"/>
        <v/>
      </c>
      <c r="AL1094" s="91">
        <f>IF(AK1094="Adjust",(_xlfn.XLOOKUP(A1094,'Adj factor'!A:A,'Adj factor'!I:I,,0)*AI1094),'Master DataSheet'!AI1094)</f>
        <v>7144</v>
      </c>
      <c r="AM1094" s="91">
        <f t="shared" si="317"/>
        <v>7144</v>
      </c>
      <c r="AN1094" s="92" t="str">
        <f t="shared" si="318"/>
        <v>Increasing</v>
      </c>
      <c r="AO1094" s="93">
        <f>VLOOKUP(B1094,'Growthrates source'!A$2:H$49,8,FALSE)</f>
        <v>9.0528744101809888E-2</v>
      </c>
      <c r="AP1094" s="93">
        <f>VLOOKUP(B1094,'Growthrates source'!A$2:I$49,9,FALSE)</f>
        <v>5.4673730437993617E-2</v>
      </c>
      <c r="AQ1094" s="86">
        <f t="shared" si="319"/>
        <v>1664.2671943547386</v>
      </c>
      <c r="AR1094" s="86">
        <f t="shared" si="320"/>
        <v>3083.4522043091197</v>
      </c>
      <c r="AS1094" s="94">
        <f t="shared" si="321"/>
        <v>0</v>
      </c>
      <c r="AT1094" s="94">
        <f t="shared" si="322"/>
        <v>1.4672660348433368</v>
      </c>
      <c r="AU1094" s="94">
        <f t="shared" si="323"/>
        <v>3.5688460323189375</v>
      </c>
    </row>
    <row r="1095" spans="1:47" x14ac:dyDescent="0.3">
      <c r="A1095" s="85" t="str">
        <f>_xlfn.XLOOKUP(B1095,'Country codes &amp; Data sources'!G:G,'Country codes &amp; Data sources'!H:H,,0)</f>
        <v>Zambia</v>
      </c>
      <c r="B1095" s="85" t="s">
        <v>192</v>
      </c>
      <c r="C1095" s="86">
        <v>14744671</v>
      </c>
      <c r="D1095" s="85" t="s">
        <v>136</v>
      </c>
      <c r="E1095" s="87">
        <v>500</v>
      </c>
      <c r="F1095" s="88">
        <v>15234975.999999991</v>
      </c>
      <c r="G1095" s="87">
        <v>0</v>
      </c>
      <c r="I1095" s="87">
        <v>0</v>
      </c>
      <c r="K1095" s="87">
        <v>0</v>
      </c>
      <c r="M1095" s="87">
        <v>419</v>
      </c>
      <c r="O1095" s="87">
        <v>0</v>
      </c>
      <c r="P1095" s="88">
        <v>17835892.999999981</v>
      </c>
      <c r="Q1095" s="87">
        <v>761</v>
      </c>
      <c r="R1095" s="87">
        <f t="shared" si="306"/>
        <v>761</v>
      </c>
      <c r="T1095" s="87">
        <v>929</v>
      </c>
      <c r="V1095" s="87">
        <v>1075</v>
      </c>
      <c r="X1095" s="87">
        <v>1375</v>
      </c>
      <c r="Y1095" s="88">
        <v>20017675.000000004</v>
      </c>
      <c r="Z1095" s="87">
        <v>2633</v>
      </c>
      <c r="AA1095" s="87">
        <v>602</v>
      </c>
      <c r="AB1095" s="89">
        <f t="shared" si="307"/>
        <v>500</v>
      </c>
      <c r="AC1095" s="89">
        <f t="shared" si="308"/>
        <v>929</v>
      </c>
      <c r="AD1095" s="89">
        <f t="shared" si="309"/>
        <v>2633</v>
      </c>
      <c r="AE1095" s="90">
        <f t="shared" si="310"/>
        <v>500</v>
      </c>
      <c r="AF1095" s="90">
        <f t="shared" si="311"/>
        <v>2012</v>
      </c>
      <c r="AG1095" s="90">
        <f t="shared" si="312"/>
        <v>761</v>
      </c>
      <c r="AH1095" s="90">
        <f t="shared" si="313"/>
        <v>2018</v>
      </c>
      <c r="AI1095" s="90">
        <f t="shared" si="314"/>
        <v>2633</v>
      </c>
      <c r="AJ1095" s="90">
        <f t="shared" si="315"/>
        <v>2022</v>
      </c>
      <c r="AK1095" s="90" t="str">
        <f t="shared" si="316"/>
        <v/>
      </c>
      <c r="AL1095" s="91">
        <f>IF(AK1095="Adjust",(_xlfn.XLOOKUP(A1095,'Adj factor'!A:A,'Adj factor'!I:I,,0)*AI1095),'Master DataSheet'!AI1095)</f>
        <v>2633</v>
      </c>
      <c r="AM1095" s="91">
        <f t="shared" si="317"/>
        <v>2633</v>
      </c>
      <c r="AN1095" s="92" t="str">
        <f t="shared" si="318"/>
        <v>Increasing</v>
      </c>
      <c r="AO1095" s="93">
        <f>VLOOKUP(B1095,'Growthrates source'!A$2:H$49,8,FALSE)</f>
        <v>9.0528744101809888E-2</v>
      </c>
      <c r="AP1095" s="93">
        <f>VLOOKUP(B1095,'Growthrates source'!A$2:I$49,9,FALSE)</f>
        <v>5.4673730437993617E-2</v>
      </c>
      <c r="AQ1095" s="86">
        <f t="shared" si="319"/>
        <v>382.83868972164794</v>
      </c>
      <c r="AR1095" s="86">
        <f t="shared" si="320"/>
        <v>709.30004852659158</v>
      </c>
      <c r="AS1095" s="94">
        <f t="shared" si="321"/>
        <v>0.32819218093943853</v>
      </c>
      <c r="AT1095" s="94">
        <f t="shared" si="322"/>
        <v>0.42666773118677087</v>
      </c>
      <c r="AU1095" s="94">
        <f t="shared" si="323"/>
        <v>1.3153375704221393</v>
      </c>
    </row>
    <row r="1096" spans="1:47" x14ac:dyDescent="0.3">
      <c r="A1096" s="85" t="str">
        <f>_xlfn.XLOOKUP(B1096,'Country codes &amp; Data sources'!G:G,'Country codes &amp; Data sources'!H:H,,0)</f>
        <v>Zambia</v>
      </c>
      <c r="B1096" s="85" t="s">
        <v>192</v>
      </c>
      <c r="C1096" s="86">
        <v>14744672</v>
      </c>
      <c r="D1096" s="85" t="s">
        <v>207</v>
      </c>
      <c r="E1096" s="87">
        <v>0</v>
      </c>
      <c r="F1096" s="88">
        <v>15234975.999999991</v>
      </c>
      <c r="G1096" s="87">
        <v>0</v>
      </c>
      <c r="I1096" s="87">
        <v>0</v>
      </c>
      <c r="K1096" s="87">
        <v>0</v>
      </c>
      <c r="M1096" s="87">
        <v>0</v>
      </c>
      <c r="O1096" s="87">
        <v>0</v>
      </c>
      <c r="P1096" s="88">
        <v>17835892.999999981</v>
      </c>
      <c r="Q1096" s="87">
        <v>67</v>
      </c>
      <c r="R1096" s="87">
        <f t="shared" si="306"/>
        <v>1232</v>
      </c>
      <c r="T1096" s="87">
        <v>0</v>
      </c>
      <c r="V1096" s="87">
        <v>0</v>
      </c>
      <c r="X1096" s="87">
        <v>0</v>
      </c>
      <c r="Y1096" s="88">
        <v>20017675.000000004</v>
      </c>
      <c r="Z1096" s="87">
        <v>0</v>
      </c>
      <c r="AA1096" s="87">
        <v>1232</v>
      </c>
      <c r="AB1096" s="89">
        <f t="shared" si="307"/>
        <v>0</v>
      </c>
      <c r="AC1096" s="89">
        <f t="shared" si="308"/>
        <v>67</v>
      </c>
      <c r="AD1096" s="89">
        <f t="shared" si="309"/>
        <v>0</v>
      </c>
      <c r="AE1096" s="90">
        <f t="shared" si="310"/>
        <v>0</v>
      </c>
      <c r="AF1096" s="90" t="str">
        <f t="shared" si="311"/>
        <v/>
      </c>
      <c r="AG1096" s="90">
        <f t="shared" si="312"/>
        <v>1232</v>
      </c>
      <c r="AH1096" s="90" t="str">
        <f t="shared" si="313"/>
        <v>2018 (triag)</v>
      </c>
      <c r="AI1096" s="90">
        <f t="shared" si="314"/>
        <v>1232</v>
      </c>
      <c r="AJ1096" s="90" t="str">
        <f t="shared" si="315"/>
        <v>2018 (triag)</v>
      </c>
      <c r="AK1096" s="90" t="str">
        <f t="shared" si="316"/>
        <v/>
      </c>
      <c r="AL1096" s="91">
        <f>IF(AK1096="Adjust",(_xlfn.XLOOKUP(A1096,'Adj factor'!A:A,'Adj factor'!I:I,,0)*AI1096),'Master DataSheet'!AI1096)</f>
        <v>1232</v>
      </c>
      <c r="AM1096" s="91">
        <f t="shared" si="317"/>
        <v>1232</v>
      </c>
      <c r="AN1096" s="92" t="str">
        <f t="shared" si="318"/>
        <v>No change</v>
      </c>
      <c r="AO1096" s="93">
        <f>VLOOKUP(B1096,'Growthrates source'!A$2:H$49,8,FALSE)</f>
        <v>9.0528744101809888E-2</v>
      </c>
      <c r="AP1096" s="93">
        <f>VLOOKUP(B1096,'Growthrates source'!A$2:I$49,9,FALSE)</f>
        <v>5.4673730437993617E-2</v>
      </c>
      <c r="AQ1096" s="86">
        <f t="shared" si="319"/>
        <v>783.48383012802367</v>
      </c>
      <c r="AR1096" s="86">
        <f t="shared" si="320"/>
        <v>1451.5907969846526</v>
      </c>
      <c r="AS1096" s="94">
        <f t="shared" si="321"/>
        <v>0</v>
      </c>
      <c r="AT1096" s="94">
        <f t="shared" si="322"/>
        <v>0.69074197742720322</v>
      </c>
      <c r="AU1096" s="94">
        <f t="shared" si="323"/>
        <v>0.61545609067986151</v>
      </c>
    </row>
    <row r="1097" spans="1:47" ht="14.5" x14ac:dyDescent="0.35">
      <c r="A1097" s="85" t="str">
        <f>_xlfn.XLOOKUP(B1097,'Country codes &amp; Data sources'!G:G,'Country codes &amp; Data sources'!H:H,,0)</f>
        <v>Zambia</v>
      </c>
      <c r="B1097" s="85" t="s">
        <v>192</v>
      </c>
      <c r="C1097" s="86">
        <v>14744673</v>
      </c>
      <c r="D1097" s="85" t="s">
        <v>141</v>
      </c>
      <c r="E1097" s="87">
        <v>18</v>
      </c>
      <c r="F1097" s="88">
        <v>15234975.999999991</v>
      </c>
      <c r="G1097" s="87">
        <v>0</v>
      </c>
      <c r="I1097" s="87">
        <v>0</v>
      </c>
      <c r="K1097" s="87">
        <v>0</v>
      </c>
      <c r="M1097" s="87">
        <v>0</v>
      </c>
      <c r="O1097" s="87">
        <v>0</v>
      </c>
      <c r="P1097" s="88">
        <v>17835892.999999981</v>
      </c>
      <c r="Q1097" s="87">
        <v>16</v>
      </c>
      <c r="R1097" s="87">
        <f t="shared" si="306"/>
        <v>61</v>
      </c>
      <c r="T1097" s="87">
        <v>0</v>
      </c>
      <c r="V1097" s="87">
        <v>0</v>
      </c>
      <c r="X1097" s="87">
        <v>0</v>
      </c>
      <c r="Y1097" s="88">
        <v>20017675.000000004</v>
      </c>
      <c r="Z1097" s="111">
        <v>244</v>
      </c>
      <c r="AA1097" s="87">
        <v>61</v>
      </c>
      <c r="AB1097" s="89">
        <f t="shared" si="307"/>
        <v>18</v>
      </c>
      <c r="AC1097" s="89">
        <f t="shared" si="308"/>
        <v>16</v>
      </c>
      <c r="AD1097" s="89">
        <f t="shared" si="309"/>
        <v>244</v>
      </c>
      <c r="AE1097" s="90">
        <f t="shared" si="310"/>
        <v>18</v>
      </c>
      <c r="AF1097" s="90">
        <f t="shared" si="311"/>
        <v>2012</v>
      </c>
      <c r="AG1097" s="90">
        <f t="shared" si="312"/>
        <v>61</v>
      </c>
      <c r="AH1097" s="90" t="str">
        <f t="shared" si="313"/>
        <v>2018 (triag)</v>
      </c>
      <c r="AI1097" s="90">
        <f t="shared" si="314"/>
        <v>244</v>
      </c>
      <c r="AJ1097" s="90">
        <f t="shared" si="315"/>
        <v>2022</v>
      </c>
      <c r="AK1097" s="90" t="str">
        <f t="shared" si="316"/>
        <v/>
      </c>
      <c r="AL1097" s="91">
        <f>IF(AK1097="Adjust",(_xlfn.XLOOKUP(A1097,'Adj factor'!A:A,'Adj factor'!I:I,,0)*AI1097),'Master DataSheet'!AI1097)</f>
        <v>244</v>
      </c>
      <c r="AM1097" s="60">
        <v>244</v>
      </c>
      <c r="AN1097" s="92" t="str">
        <f t="shared" si="318"/>
        <v>Increasing</v>
      </c>
      <c r="AO1097" s="93">
        <f>VLOOKUP(B1097,'Growthrates source'!A$2:H$49,8,FALSE)</f>
        <v>9.0528744101809888E-2</v>
      </c>
      <c r="AP1097" s="93">
        <f>VLOOKUP(B1097,'Growthrates source'!A$2:I$49,9,FALSE)</f>
        <v>5.4673730437993617E-2</v>
      </c>
      <c r="AQ1097" s="86">
        <f t="shared" si="319"/>
        <v>38.792624706014159</v>
      </c>
      <c r="AR1097" s="86">
        <f t="shared" si="320"/>
        <v>71.872596279272571</v>
      </c>
      <c r="AS1097" s="94">
        <f t="shared" si="321"/>
        <v>1.1814918513819786E-2</v>
      </c>
      <c r="AT1097" s="94">
        <f t="shared" si="322"/>
        <v>3.4200698557678086E-2</v>
      </c>
      <c r="AU1097" s="94">
        <f t="shared" si="323"/>
        <v>0.12189227769958297</v>
      </c>
    </row>
    <row r="1098" spans="1:47" x14ac:dyDescent="0.3">
      <c r="A1098" s="85" t="str">
        <f>_xlfn.XLOOKUP(B1098,'Country codes &amp; Data sources'!G:G,'Country codes &amp; Data sources'!H:H,,0)</f>
        <v>Zambia</v>
      </c>
      <c r="B1098" s="85" t="s">
        <v>192</v>
      </c>
      <c r="C1098" s="86">
        <v>14744674</v>
      </c>
      <c r="D1098" s="85" t="s">
        <v>208</v>
      </c>
      <c r="E1098" s="87">
        <v>0</v>
      </c>
      <c r="F1098" s="88">
        <v>15234975.999999991</v>
      </c>
      <c r="G1098" s="87">
        <v>0</v>
      </c>
      <c r="I1098" s="87">
        <v>0</v>
      </c>
      <c r="K1098" s="87">
        <v>0</v>
      </c>
      <c r="M1098" s="87">
        <v>0</v>
      </c>
      <c r="O1098" s="87">
        <v>0</v>
      </c>
      <c r="P1098" s="88">
        <v>17835892.999999981</v>
      </c>
      <c r="Q1098" s="87">
        <v>0</v>
      </c>
      <c r="R1098" s="87">
        <f t="shared" si="306"/>
        <v>17801</v>
      </c>
      <c r="T1098" s="87">
        <v>0</v>
      </c>
      <c r="V1098" s="87">
        <v>0</v>
      </c>
      <c r="X1098" s="87">
        <v>0</v>
      </c>
      <c r="Y1098" s="88">
        <v>20017675.000000004</v>
      </c>
      <c r="Z1098" s="87">
        <v>0</v>
      </c>
      <c r="AA1098" s="87">
        <v>17801</v>
      </c>
      <c r="AB1098" s="89">
        <f t="shared" si="307"/>
        <v>0</v>
      </c>
      <c r="AC1098" s="89">
        <f t="shared" si="308"/>
        <v>0</v>
      </c>
      <c r="AD1098" s="89">
        <f t="shared" si="309"/>
        <v>0</v>
      </c>
      <c r="AE1098" s="90">
        <f t="shared" si="310"/>
        <v>0</v>
      </c>
      <c r="AF1098" s="90" t="str">
        <f t="shared" si="311"/>
        <v/>
      </c>
      <c r="AG1098" s="90">
        <f t="shared" si="312"/>
        <v>17801</v>
      </c>
      <c r="AH1098" s="90" t="str">
        <f t="shared" si="313"/>
        <v>2018 (triag)</v>
      </c>
      <c r="AI1098" s="90">
        <f t="shared" si="314"/>
        <v>17801</v>
      </c>
      <c r="AJ1098" s="90" t="str">
        <f t="shared" si="315"/>
        <v>2018 (triag)</v>
      </c>
      <c r="AK1098" s="90" t="str">
        <f t="shared" si="316"/>
        <v/>
      </c>
      <c r="AL1098" s="91">
        <f>IF(AK1098="Adjust",(_xlfn.XLOOKUP(A1098,'Adj factor'!A:A,'Adj factor'!I:I,,0)*AI1098),'Master DataSheet'!AI1098)</f>
        <v>17801</v>
      </c>
      <c r="AM1098" s="91">
        <f t="shared" si="317"/>
        <v>17801</v>
      </c>
      <c r="AN1098" s="92" t="str">
        <f t="shared" si="318"/>
        <v>No change</v>
      </c>
      <c r="AO1098" s="93">
        <f>VLOOKUP(B1098,'Growthrates source'!A$2:H$49,8,FALSE)</f>
        <v>9.0528744101809888E-2</v>
      </c>
      <c r="AP1098" s="93">
        <f>VLOOKUP(B1098,'Growthrates source'!A$2:I$49,9,FALSE)</f>
        <v>5.4673730437993617E-2</v>
      </c>
      <c r="AQ1098" s="86">
        <f t="shared" si="319"/>
        <v>11320.451022815707</v>
      </c>
      <c r="AR1098" s="86">
        <f t="shared" si="320"/>
        <v>20973.837481431656</v>
      </c>
      <c r="AS1098" s="94">
        <f t="shared" si="321"/>
        <v>0</v>
      </c>
      <c r="AT1098" s="94">
        <f t="shared" si="322"/>
        <v>9.9804366397578299</v>
      </c>
      <c r="AU1098" s="94">
        <f t="shared" si="323"/>
        <v>8.8926411284027722</v>
      </c>
    </row>
    <row r="1099" spans="1:47" x14ac:dyDescent="0.3">
      <c r="A1099" s="85" t="str">
        <f>_xlfn.XLOOKUP(B1099,'Country codes &amp; Data sources'!G:G,'Country codes &amp; Data sources'!H:H,,0)</f>
        <v>Zambia</v>
      </c>
      <c r="B1099" s="85" t="s">
        <v>192</v>
      </c>
      <c r="C1099" s="86">
        <v>14744675</v>
      </c>
      <c r="D1099" s="85" t="s">
        <v>209</v>
      </c>
      <c r="E1099" s="87">
        <v>0</v>
      </c>
      <c r="F1099" s="88">
        <v>15234975.999999991</v>
      </c>
      <c r="G1099" s="87">
        <v>0</v>
      </c>
      <c r="I1099" s="87">
        <v>0</v>
      </c>
      <c r="K1099" s="87">
        <v>0</v>
      </c>
      <c r="M1099" s="87">
        <v>0</v>
      </c>
      <c r="O1099" s="87">
        <v>0</v>
      </c>
      <c r="P1099" s="88">
        <v>17835892.999999981</v>
      </c>
      <c r="Q1099" s="87">
        <v>0</v>
      </c>
      <c r="R1099" s="87">
        <f t="shared" si="306"/>
        <v>0</v>
      </c>
      <c r="T1099" s="87">
        <v>0</v>
      </c>
      <c r="V1099" s="87">
        <v>0</v>
      </c>
      <c r="X1099" s="87">
        <v>0</v>
      </c>
      <c r="Y1099" s="88">
        <v>20017675.000000004</v>
      </c>
      <c r="Z1099" s="87">
        <v>0</v>
      </c>
      <c r="AA1099" s="87">
        <v>0</v>
      </c>
      <c r="AB1099" s="89">
        <f t="shared" si="307"/>
        <v>0</v>
      </c>
      <c r="AC1099" s="89">
        <f t="shared" si="308"/>
        <v>0</v>
      </c>
      <c r="AD1099" s="89">
        <f t="shared" si="309"/>
        <v>0</v>
      </c>
      <c r="AE1099" s="90">
        <f t="shared" si="310"/>
        <v>0</v>
      </c>
      <c r="AF1099" s="90" t="str">
        <f t="shared" si="311"/>
        <v/>
      </c>
      <c r="AG1099" s="90">
        <f t="shared" si="312"/>
        <v>0</v>
      </c>
      <c r="AH1099" s="90" t="str">
        <f t="shared" si="313"/>
        <v/>
      </c>
      <c r="AI1099" s="90">
        <f t="shared" si="314"/>
        <v>0</v>
      </c>
      <c r="AJ1099" s="90" t="str">
        <f t="shared" si="315"/>
        <v/>
      </c>
      <c r="AK1099" s="90" t="str">
        <f t="shared" si="316"/>
        <v/>
      </c>
      <c r="AL1099" s="91">
        <f>IF(AK1099="Adjust",(_xlfn.XLOOKUP(A1099,'Adj factor'!A:A,'Adj factor'!I:I,,0)*AI1099),'Master DataSheet'!AI1099)</f>
        <v>0</v>
      </c>
      <c r="AM1099" s="91">
        <f t="shared" si="317"/>
        <v>0</v>
      </c>
      <c r="AN1099" s="92" t="str">
        <f t="shared" si="318"/>
        <v>No change</v>
      </c>
      <c r="AO1099" s="93">
        <f>VLOOKUP(B1099,'Growthrates source'!A$2:H$49,8,FALSE)</f>
        <v>9.0528744101809888E-2</v>
      </c>
      <c r="AP1099" s="93">
        <f>VLOOKUP(B1099,'Growthrates source'!A$2:I$49,9,FALSE)</f>
        <v>5.4673730437993617E-2</v>
      </c>
      <c r="AQ1099" s="86">
        <f t="shared" si="319"/>
        <v>0</v>
      </c>
      <c r="AR1099" s="86">
        <f t="shared" si="320"/>
        <v>0</v>
      </c>
      <c r="AS1099" s="94">
        <f t="shared" si="321"/>
        <v>0</v>
      </c>
      <c r="AT1099" s="94">
        <f t="shared" si="322"/>
        <v>0</v>
      </c>
      <c r="AU1099" s="94">
        <f t="shared" si="323"/>
        <v>0</v>
      </c>
    </row>
    <row r="1100" spans="1:47" ht="14.5" x14ac:dyDescent="0.35">
      <c r="A1100" s="85" t="str">
        <f>_xlfn.XLOOKUP(B1100,'Country codes &amp; Data sources'!G:G,'Country codes &amp; Data sources'!H:H,,0)</f>
        <v>Zambia</v>
      </c>
      <c r="B1100" s="85" t="s">
        <v>192</v>
      </c>
      <c r="C1100" s="86">
        <v>14744676</v>
      </c>
      <c r="D1100" s="85" t="s">
        <v>134</v>
      </c>
      <c r="E1100" s="87">
        <v>1126</v>
      </c>
      <c r="F1100" s="88">
        <v>15234975.999999991</v>
      </c>
      <c r="G1100" s="87">
        <v>0</v>
      </c>
      <c r="I1100" s="87">
        <v>0</v>
      </c>
      <c r="K1100" s="87">
        <v>0</v>
      </c>
      <c r="M1100" s="87">
        <v>0</v>
      </c>
      <c r="O1100" s="87">
        <v>0</v>
      </c>
      <c r="P1100" s="88">
        <v>17835892.999999981</v>
      </c>
      <c r="Q1100" s="87">
        <v>1712</v>
      </c>
      <c r="R1100" s="87">
        <f t="shared" si="306"/>
        <v>1712</v>
      </c>
      <c r="T1100" s="87">
        <v>2045</v>
      </c>
      <c r="V1100" s="87">
        <v>2506</v>
      </c>
      <c r="X1100" s="87">
        <v>3182</v>
      </c>
      <c r="Y1100" s="88">
        <v>20017675.000000004</v>
      </c>
      <c r="Z1100" s="111">
        <v>2235</v>
      </c>
      <c r="AA1100" s="87">
        <v>1602</v>
      </c>
      <c r="AB1100" s="89">
        <f t="shared" si="307"/>
        <v>1126</v>
      </c>
      <c r="AC1100" s="89">
        <f t="shared" si="308"/>
        <v>2045</v>
      </c>
      <c r="AD1100" s="89">
        <f t="shared" si="309"/>
        <v>3182</v>
      </c>
      <c r="AE1100" s="90">
        <f t="shared" si="310"/>
        <v>1126</v>
      </c>
      <c r="AF1100" s="90">
        <f t="shared" si="311"/>
        <v>2012</v>
      </c>
      <c r="AG1100" s="90">
        <f t="shared" si="312"/>
        <v>1712</v>
      </c>
      <c r="AH1100" s="90">
        <f t="shared" si="313"/>
        <v>2018</v>
      </c>
      <c r="AI1100" s="90">
        <f t="shared" si="314"/>
        <v>2235</v>
      </c>
      <c r="AJ1100" s="90">
        <f t="shared" si="315"/>
        <v>2022</v>
      </c>
      <c r="AK1100" s="90" t="str">
        <f t="shared" si="316"/>
        <v/>
      </c>
      <c r="AL1100" s="91">
        <f>IF(AK1100="Adjust",(_xlfn.XLOOKUP(A1100,'Adj factor'!A:A,'Adj factor'!I:I,,0)*AI1100),'Master DataSheet'!AI1100)</f>
        <v>2235</v>
      </c>
      <c r="AM1100" s="60">
        <v>2235</v>
      </c>
      <c r="AN1100" s="92" t="str">
        <f t="shared" si="318"/>
        <v>Increasing</v>
      </c>
      <c r="AO1100" s="93">
        <f>VLOOKUP(B1100,'Growthrates source'!A$2:H$49,8,FALSE)</f>
        <v>9.0528744101809888E-2</v>
      </c>
      <c r="AP1100" s="93">
        <f>VLOOKUP(B1100,'Growthrates source'!A$2:I$49,9,FALSE)</f>
        <v>5.4673730437993617E-2</v>
      </c>
      <c r="AQ1100" s="86">
        <f t="shared" si="319"/>
        <v>1018.7833570333555</v>
      </c>
      <c r="AR1100" s="86">
        <f t="shared" si="320"/>
        <v>1887.5393317933549</v>
      </c>
      <c r="AS1100" s="94">
        <f t="shared" si="321"/>
        <v>0.73908879147561546</v>
      </c>
      <c r="AT1100" s="94">
        <f t="shared" si="322"/>
        <v>0.95986222837286683</v>
      </c>
      <c r="AU1100" s="94">
        <f t="shared" si="323"/>
        <v>1.1165132813875736</v>
      </c>
    </row>
    <row r="1101" spans="1:47" x14ac:dyDescent="0.3">
      <c r="A1101" s="85" t="str">
        <f>_xlfn.XLOOKUP(B1101,'Country codes &amp; Data sources'!G:G,'Country codes &amp; Data sources'!H:H,,0)</f>
        <v>Zambia</v>
      </c>
      <c r="B1101" s="85" t="s">
        <v>192</v>
      </c>
      <c r="C1101" s="86">
        <v>14744677</v>
      </c>
      <c r="D1101" s="85" t="s">
        <v>142</v>
      </c>
      <c r="E1101" s="87">
        <v>3141</v>
      </c>
      <c r="F1101" s="88">
        <v>15234975.999999991</v>
      </c>
      <c r="G1101" s="87">
        <v>0</v>
      </c>
      <c r="I1101" s="87">
        <v>0</v>
      </c>
      <c r="K1101" s="87">
        <v>0</v>
      </c>
      <c r="M1101" s="87">
        <v>1814</v>
      </c>
      <c r="O1101" s="87">
        <v>0</v>
      </c>
      <c r="P1101" s="88">
        <v>17835892.999999981</v>
      </c>
      <c r="Q1101" s="87">
        <v>3616</v>
      </c>
      <c r="R1101" s="87">
        <f t="shared" si="306"/>
        <v>3616</v>
      </c>
      <c r="T1101" s="87">
        <v>4562</v>
      </c>
      <c r="V1101" s="87">
        <v>5544</v>
      </c>
      <c r="X1101" s="87">
        <v>8281</v>
      </c>
      <c r="Y1101" s="88">
        <v>20017675.000000004</v>
      </c>
      <c r="Z1101" s="87">
        <v>970</v>
      </c>
      <c r="AA1101" s="87">
        <v>0</v>
      </c>
      <c r="AB1101" s="89">
        <f t="shared" si="307"/>
        <v>3141</v>
      </c>
      <c r="AC1101" s="89">
        <f t="shared" si="308"/>
        <v>4562</v>
      </c>
      <c r="AD1101" s="89">
        <f t="shared" si="309"/>
        <v>8281</v>
      </c>
      <c r="AE1101" s="90">
        <f t="shared" si="310"/>
        <v>3141</v>
      </c>
      <c r="AF1101" s="90">
        <f t="shared" si="311"/>
        <v>2012</v>
      </c>
      <c r="AG1101" s="90">
        <f t="shared" si="312"/>
        <v>3616</v>
      </c>
      <c r="AH1101" s="90">
        <f t="shared" si="313"/>
        <v>2018</v>
      </c>
      <c r="AI1101" s="90">
        <f t="shared" si="314"/>
        <v>970</v>
      </c>
      <c r="AJ1101" s="90">
        <f t="shared" si="315"/>
        <v>2022</v>
      </c>
      <c r="AK1101" s="90" t="str">
        <f t="shared" si="316"/>
        <v>Adjust</v>
      </c>
      <c r="AL1101" s="91">
        <f>IF(AK1101="Adjust",(_xlfn.XLOOKUP(A1101,'Adj factor'!A:A,'Adj factor'!I:I,,0)*AI1101),'Master DataSheet'!AI1101)</f>
        <v>1114.8196849908027</v>
      </c>
      <c r="AM1101" s="91">
        <f t="shared" si="317"/>
        <v>3616</v>
      </c>
      <c r="AN1101" s="92" t="str">
        <f t="shared" si="318"/>
        <v>Decreasing</v>
      </c>
      <c r="AO1101" s="93">
        <f>VLOOKUP(B1101,'Growthrates source'!A$2:H$49,8,FALSE)</f>
        <v>9.0528744101809888E-2</v>
      </c>
      <c r="AP1101" s="93">
        <f>VLOOKUP(B1101,'Growthrates source'!A$2:I$49,9,FALSE)</f>
        <v>5.4673730437993617E-2</v>
      </c>
      <c r="AQ1101" s="86">
        <f t="shared" si="319"/>
        <v>0</v>
      </c>
      <c r="AR1101" s="86">
        <f t="shared" si="320"/>
        <v>0</v>
      </c>
      <c r="AS1101" s="94">
        <f t="shared" si="321"/>
        <v>2.0617032806615527</v>
      </c>
      <c r="AT1101" s="94">
        <f t="shared" si="322"/>
        <v>2.0273725571239991</v>
      </c>
      <c r="AU1101" s="94">
        <f t="shared" si="323"/>
        <v>1.8064035908266067</v>
      </c>
    </row>
    <row r="1102" spans="1:47" x14ac:dyDescent="0.3">
      <c r="A1102" s="85" t="str">
        <f>_xlfn.XLOOKUP(B1102,'Country codes &amp; Data sources'!G:G,'Country codes &amp; Data sources'!H:H,,0)</f>
        <v>Zambia</v>
      </c>
      <c r="B1102" s="85" t="s">
        <v>192</v>
      </c>
      <c r="C1102" s="86">
        <v>14744678</v>
      </c>
      <c r="D1102" s="85" t="s">
        <v>83</v>
      </c>
      <c r="E1102" s="87">
        <v>485</v>
      </c>
      <c r="F1102" s="88">
        <v>15234975.999999991</v>
      </c>
      <c r="G1102" s="87">
        <v>0</v>
      </c>
      <c r="I1102" s="87">
        <v>0</v>
      </c>
      <c r="K1102" s="87">
        <v>0</v>
      </c>
      <c r="M1102" s="87">
        <v>432</v>
      </c>
      <c r="O1102" s="87">
        <v>0</v>
      </c>
      <c r="P1102" s="88">
        <v>17835892.999999981</v>
      </c>
      <c r="Q1102" s="87">
        <v>739</v>
      </c>
      <c r="R1102" s="87">
        <f t="shared" si="306"/>
        <v>739</v>
      </c>
      <c r="T1102" s="87">
        <v>864</v>
      </c>
      <c r="V1102" s="87">
        <v>1036</v>
      </c>
      <c r="X1102" s="87">
        <v>1324</v>
      </c>
      <c r="Y1102" s="88">
        <v>20017675.000000004</v>
      </c>
      <c r="Z1102" s="87">
        <v>1239</v>
      </c>
      <c r="AA1102" s="87">
        <v>606</v>
      </c>
      <c r="AB1102" s="89">
        <f t="shared" si="307"/>
        <v>485</v>
      </c>
      <c r="AC1102" s="89">
        <f t="shared" si="308"/>
        <v>864</v>
      </c>
      <c r="AD1102" s="89">
        <f t="shared" si="309"/>
        <v>1324</v>
      </c>
      <c r="AE1102" s="90">
        <f t="shared" si="310"/>
        <v>485</v>
      </c>
      <c r="AF1102" s="90">
        <f t="shared" si="311"/>
        <v>2012</v>
      </c>
      <c r="AG1102" s="90">
        <f t="shared" si="312"/>
        <v>739</v>
      </c>
      <c r="AH1102" s="90">
        <f t="shared" si="313"/>
        <v>2018</v>
      </c>
      <c r="AI1102" s="90">
        <f t="shared" si="314"/>
        <v>1239</v>
      </c>
      <c r="AJ1102" s="90">
        <f t="shared" si="315"/>
        <v>2022</v>
      </c>
      <c r="AK1102" s="90" t="str">
        <f t="shared" si="316"/>
        <v/>
      </c>
      <c r="AL1102" s="91">
        <f>IF(AK1102="Adjust",(_xlfn.XLOOKUP(A1102,'Adj factor'!A:A,'Adj factor'!I:I,,0)*AI1102),'Master DataSheet'!AI1102)</f>
        <v>1239</v>
      </c>
      <c r="AM1102" s="60">
        <f>380+947</f>
        <v>1327</v>
      </c>
      <c r="AN1102" s="92" t="str">
        <f t="shared" si="318"/>
        <v>Increasing</v>
      </c>
      <c r="AO1102" s="93">
        <f>VLOOKUP(B1102,'Growthrates source'!A$2:H$49,8,FALSE)</f>
        <v>9.0528744101809888E-2</v>
      </c>
      <c r="AP1102" s="93">
        <f>VLOOKUP(B1102,'Growthrates source'!A$2:I$49,9,FALSE)</f>
        <v>5.4673730437993617E-2</v>
      </c>
      <c r="AQ1102" s="86">
        <f t="shared" si="319"/>
        <v>385.38246839089476</v>
      </c>
      <c r="AR1102" s="86">
        <f t="shared" si="320"/>
        <v>714.01300565965857</v>
      </c>
      <c r="AS1102" s="94">
        <f t="shared" si="321"/>
        <v>0.31834641551125537</v>
      </c>
      <c r="AT1102" s="94">
        <f t="shared" si="322"/>
        <v>0.41433305301842793</v>
      </c>
      <c r="AU1102" s="94">
        <f t="shared" si="323"/>
        <v>0.66291414962027295</v>
      </c>
    </row>
    <row r="1103" spans="1:47" x14ac:dyDescent="0.3">
      <c r="A1103" s="85" t="str">
        <f>_xlfn.XLOOKUP(B1103,'Country codes &amp; Data sources'!G:G,'Country codes &amp; Data sources'!H:H,,0)</f>
        <v>Zambia</v>
      </c>
      <c r="B1103" s="85" t="s">
        <v>192</v>
      </c>
      <c r="C1103" s="86">
        <v>14744679</v>
      </c>
      <c r="D1103" s="85" t="s">
        <v>84</v>
      </c>
      <c r="E1103" s="87">
        <v>0</v>
      </c>
      <c r="F1103" s="88">
        <v>15234975.999999991</v>
      </c>
      <c r="G1103" s="87">
        <v>0</v>
      </c>
      <c r="I1103" s="87">
        <v>0</v>
      </c>
      <c r="K1103" s="87">
        <v>0</v>
      </c>
      <c r="M1103" s="87">
        <v>0</v>
      </c>
      <c r="O1103" s="87">
        <v>0</v>
      </c>
      <c r="P1103" s="88">
        <v>17835892.999999981</v>
      </c>
      <c r="Q1103" s="87">
        <v>0</v>
      </c>
      <c r="R1103" s="87">
        <f t="shared" si="306"/>
        <v>0</v>
      </c>
      <c r="T1103" s="87">
        <v>0</v>
      </c>
      <c r="V1103" s="87">
        <v>0</v>
      </c>
      <c r="X1103" s="87">
        <v>0</v>
      </c>
      <c r="Y1103" s="88">
        <v>20017675.000000004</v>
      </c>
      <c r="Z1103" s="87">
        <v>0</v>
      </c>
      <c r="AA1103" s="87">
        <v>0</v>
      </c>
      <c r="AB1103" s="89">
        <f t="shared" si="307"/>
        <v>0</v>
      </c>
      <c r="AC1103" s="89">
        <f t="shared" si="308"/>
        <v>0</v>
      </c>
      <c r="AD1103" s="89">
        <f t="shared" si="309"/>
        <v>0</v>
      </c>
      <c r="AE1103" s="90">
        <f t="shared" si="310"/>
        <v>0</v>
      </c>
      <c r="AF1103" s="90" t="str">
        <f t="shared" si="311"/>
        <v/>
      </c>
      <c r="AG1103" s="90">
        <f t="shared" si="312"/>
        <v>0</v>
      </c>
      <c r="AH1103" s="90" t="str">
        <f t="shared" si="313"/>
        <v/>
      </c>
      <c r="AI1103" s="90">
        <f t="shared" si="314"/>
        <v>0</v>
      </c>
      <c r="AJ1103" s="90" t="str">
        <f t="shared" si="315"/>
        <v/>
      </c>
      <c r="AK1103" s="90" t="str">
        <f t="shared" si="316"/>
        <v/>
      </c>
      <c r="AL1103" s="91">
        <f>IF(AK1103="Adjust",(_xlfn.XLOOKUP(A1103,'Adj factor'!A:A,'Adj factor'!I:I,,0)*AI1103),'Master DataSheet'!AI1103)</f>
        <v>0</v>
      </c>
      <c r="AM1103" s="91">
        <f t="shared" si="317"/>
        <v>0</v>
      </c>
      <c r="AN1103" s="92" t="str">
        <f t="shared" si="318"/>
        <v>No change</v>
      </c>
      <c r="AO1103" s="93">
        <f>VLOOKUP(B1103,'Growthrates source'!A$2:H$49,8,FALSE)</f>
        <v>9.0528744101809888E-2</v>
      </c>
      <c r="AP1103" s="93">
        <f>VLOOKUP(B1103,'Growthrates source'!A$2:I$49,9,FALSE)</f>
        <v>5.4673730437993617E-2</v>
      </c>
      <c r="AQ1103" s="86">
        <f t="shared" si="319"/>
        <v>0</v>
      </c>
      <c r="AR1103" s="86">
        <f t="shared" si="320"/>
        <v>0</v>
      </c>
      <c r="AS1103" s="94">
        <f t="shared" si="321"/>
        <v>0</v>
      </c>
      <c r="AT1103" s="94">
        <f t="shared" si="322"/>
        <v>0</v>
      </c>
      <c r="AU1103" s="94">
        <f t="shared" si="323"/>
        <v>0</v>
      </c>
    </row>
    <row r="1104" spans="1:47" x14ac:dyDescent="0.3">
      <c r="A1104" s="85" t="str">
        <f>_xlfn.XLOOKUP(B1104,'Country codes &amp; Data sources'!G:G,'Country codes &amp; Data sources'!H:H,,0)</f>
        <v>Zambia</v>
      </c>
      <c r="B1104" s="85" t="s">
        <v>192</v>
      </c>
      <c r="C1104" s="86">
        <v>14744680</v>
      </c>
      <c r="D1104" s="85" t="s">
        <v>126</v>
      </c>
      <c r="E1104" s="87">
        <v>0</v>
      </c>
      <c r="F1104" s="88">
        <v>15234975.999999991</v>
      </c>
      <c r="G1104" s="87">
        <v>0</v>
      </c>
      <c r="I1104" s="87">
        <v>0</v>
      </c>
      <c r="K1104" s="87">
        <v>0</v>
      </c>
      <c r="M1104" s="87">
        <v>0</v>
      </c>
      <c r="O1104" s="87">
        <v>0</v>
      </c>
      <c r="P1104" s="88">
        <v>17835892.999999981</v>
      </c>
      <c r="Q1104" s="87">
        <v>0</v>
      </c>
      <c r="R1104" s="87">
        <f t="shared" si="306"/>
        <v>0</v>
      </c>
      <c r="T1104" s="87">
        <v>0</v>
      </c>
      <c r="V1104" s="87">
        <v>0</v>
      </c>
      <c r="X1104" s="87">
        <v>0</v>
      </c>
      <c r="Y1104" s="88">
        <v>20017675.000000004</v>
      </c>
      <c r="Z1104" s="87">
        <v>2</v>
      </c>
      <c r="AA1104" s="87">
        <v>0</v>
      </c>
      <c r="AB1104" s="89">
        <f t="shared" si="307"/>
        <v>0</v>
      </c>
      <c r="AC1104" s="89">
        <f t="shared" si="308"/>
        <v>0</v>
      </c>
      <c r="AD1104" s="89">
        <f t="shared" si="309"/>
        <v>2</v>
      </c>
      <c r="AE1104" s="90">
        <f t="shared" si="310"/>
        <v>0</v>
      </c>
      <c r="AF1104" s="90" t="str">
        <f t="shared" si="311"/>
        <v/>
      </c>
      <c r="AG1104" s="90">
        <f t="shared" si="312"/>
        <v>0</v>
      </c>
      <c r="AH1104" s="90" t="str">
        <f t="shared" si="313"/>
        <v/>
      </c>
      <c r="AI1104" s="90">
        <f t="shared" si="314"/>
        <v>2</v>
      </c>
      <c r="AJ1104" s="90">
        <f t="shared" si="315"/>
        <v>2022</v>
      </c>
      <c r="AK1104" s="90" t="str">
        <f t="shared" si="316"/>
        <v/>
      </c>
      <c r="AL1104" s="91">
        <f>IF(AK1104="Adjust",(_xlfn.XLOOKUP(A1104,'Adj factor'!A:A,'Adj factor'!I:I,,0)*AI1104),'Master DataSheet'!AI1104)</f>
        <v>2</v>
      </c>
      <c r="AM1104" s="91">
        <f t="shared" si="317"/>
        <v>2</v>
      </c>
      <c r="AN1104" s="92" t="str">
        <f t="shared" si="318"/>
        <v>Increasing</v>
      </c>
      <c r="AO1104" s="93">
        <f>VLOOKUP(B1104,'Growthrates source'!A$2:H$49,8,FALSE)</f>
        <v>9.0528744101809888E-2</v>
      </c>
      <c r="AP1104" s="93">
        <f>VLOOKUP(B1104,'Growthrates source'!A$2:I$49,9,FALSE)</f>
        <v>5.4673730437993617E-2</v>
      </c>
      <c r="AQ1104" s="86">
        <f t="shared" si="319"/>
        <v>0</v>
      </c>
      <c r="AR1104" s="86">
        <f t="shared" si="320"/>
        <v>0</v>
      </c>
      <c r="AS1104" s="94">
        <f t="shared" si="321"/>
        <v>0</v>
      </c>
      <c r="AT1104" s="94">
        <f t="shared" si="322"/>
        <v>0</v>
      </c>
      <c r="AU1104" s="94">
        <f t="shared" si="323"/>
        <v>9.9911703032445052E-4</v>
      </c>
    </row>
    <row r="1105" spans="1:47" x14ac:dyDescent="0.3">
      <c r="A1105" s="85" t="str">
        <f>_xlfn.XLOOKUP(B1105,'Country codes &amp; Data sources'!G:G,'Country codes &amp; Data sources'!H:H,,0)</f>
        <v>Zambia</v>
      </c>
      <c r="B1105" s="85" t="s">
        <v>192</v>
      </c>
      <c r="C1105" s="86">
        <v>14744681</v>
      </c>
      <c r="D1105" s="85" t="s">
        <v>87</v>
      </c>
      <c r="E1105" s="87">
        <v>0</v>
      </c>
      <c r="F1105" s="88">
        <v>15234975.999999991</v>
      </c>
      <c r="G1105" s="87">
        <v>0</v>
      </c>
      <c r="I1105" s="87">
        <v>0</v>
      </c>
      <c r="K1105" s="87">
        <v>0</v>
      </c>
      <c r="M1105" s="87">
        <v>0</v>
      </c>
      <c r="O1105" s="87">
        <v>0</v>
      </c>
      <c r="P1105" s="88">
        <v>17835892.999999981</v>
      </c>
      <c r="Q1105" s="87">
        <v>0</v>
      </c>
      <c r="R1105" s="87">
        <f t="shared" si="306"/>
        <v>0</v>
      </c>
      <c r="T1105" s="87">
        <v>0</v>
      </c>
      <c r="V1105" s="87">
        <v>0</v>
      </c>
      <c r="X1105" s="87">
        <v>0</v>
      </c>
      <c r="Y1105" s="88">
        <v>20017675.000000004</v>
      </c>
      <c r="Z1105" s="87">
        <v>0</v>
      </c>
      <c r="AA1105" s="87">
        <v>0</v>
      </c>
      <c r="AB1105" s="89">
        <f t="shared" si="307"/>
        <v>0</v>
      </c>
      <c r="AC1105" s="89">
        <f t="shared" si="308"/>
        <v>0</v>
      </c>
      <c r="AD1105" s="89">
        <f t="shared" si="309"/>
        <v>0</v>
      </c>
      <c r="AE1105" s="90">
        <f t="shared" si="310"/>
        <v>0</v>
      </c>
      <c r="AF1105" s="90" t="str">
        <f t="shared" si="311"/>
        <v/>
      </c>
      <c r="AG1105" s="90">
        <f t="shared" si="312"/>
        <v>0</v>
      </c>
      <c r="AH1105" s="90" t="str">
        <f t="shared" si="313"/>
        <v/>
      </c>
      <c r="AI1105" s="90">
        <f t="shared" si="314"/>
        <v>0</v>
      </c>
      <c r="AJ1105" s="90" t="str">
        <f t="shared" si="315"/>
        <v/>
      </c>
      <c r="AK1105" s="90" t="str">
        <f t="shared" si="316"/>
        <v/>
      </c>
      <c r="AL1105" s="91">
        <f>IF(AK1105="Adjust",(_xlfn.XLOOKUP(A1105,'Adj factor'!A:A,'Adj factor'!I:I,,0)*AI1105),'Master DataSheet'!AI1105)</f>
        <v>0</v>
      </c>
      <c r="AM1105" s="91">
        <f t="shared" si="317"/>
        <v>0</v>
      </c>
      <c r="AN1105" s="92" t="str">
        <f t="shared" si="318"/>
        <v>No change</v>
      </c>
      <c r="AO1105" s="93">
        <f>VLOOKUP(B1105,'Growthrates source'!A$2:H$49,8,FALSE)</f>
        <v>9.0528744101809888E-2</v>
      </c>
      <c r="AP1105" s="93">
        <f>VLOOKUP(B1105,'Growthrates source'!A$2:I$49,9,FALSE)</f>
        <v>5.4673730437993617E-2</v>
      </c>
      <c r="AQ1105" s="86">
        <f t="shared" si="319"/>
        <v>0</v>
      </c>
      <c r="AR1105" s="86">
        <f t="shared" si="320"/>
        <v>0</v>
      </c>
      <c r="AS1105" s="94">
        <f t="shared" si="321"/>
        <v>0</v>
      </c>
      <c r="AT1105" s="94">
        <f t="shared" si="322"/>
        <v>0</v>
      </c>
      <c r="AU1105" s="94">
        <f t="shared" si="323"/>
        <v>0</v>
      </c>
    </row>
    <row r="1106" spans="1:47" x14ac:dyDescent="0.3">
      <c r="A1106" s="85" t="str">
        <f>_xlfn.XLOOKUP(B1106,'Country codes &amp; Data sources'!G:G,'Country codes &amp; Data sources'!H:H,,0)</f>
        <v>Zimbabwe</v>
      </c>
      <c r="B1106" s="85" t="s">
        <v>193</v>
      </c>
      <c r="C1106" s="86">
        <v>13265331.000000002</v>
      </c>
      <c r="D1106" s="85" t="s">
        <v>321</v>
      </c>
      <c r="E1106" s="87">
        <v>2118</v>
      </c>
      <c r="F1106" s="88">
        <v>13555421.500000011</v>
      </c>
      <c r="G1106" s="87">
        <v>2228</v>
      </c>
      <c r="H1106" s="87">
        <v>13855753.000000004</v>
      </c>
      <c r="I1106" s="87">
        <v>3561</v>
      </c>
      <c r="J1106" s="87">
        <v>14154937</v>
      </c>
      <c r="K1106" s="87">
        <v>5462</v>
      </c>
      <c r="L1106" s="87">
        <v>14452704.499999994</v>
      </c>
      <c r="M1106" s="87">
        <v>5458</v>
      </c>
      <c r="N1106" s="87">
        <v>14751100.999999998</v>
      </c>
      <c r="O1106" s="87">
        <v>5734</v>
      </c>
      <c r="P1106" s="88">
        <v>15052184.000000007</v>
      </c>
      <c r="Q1106" s="87">
        <v>6665</v>
      </c>
      <c r="R1106" s="87">
        <f t="shared" si="306"/>
        <v>6665</v>
      </c>
      <c r="S1106" s="87">
        <v>15354607.5</v>
      </c>
      <c r="T1106" s="87">
        <v>0</v>
      </c>
      <c r="U1106" s="87">
        <v>15669665.999999998</v>
      </c>
      <c r="V1106" s="87">
        <v>5914</v>
      </c>
      <c r="W1106" s="87">
        <v>15993524.000000002</v>
      </c>
      <c r="X1106" s="87">
        <v>0</v>
      </c>
      <c r="Y1106" s="88">
        <v>16320536.999999996</v>
      </c>
      <c r="Z1106" s="103">
        <v>2703</v>
      </c>
      <c r="AA1106" s="87">
        <v>1959</v>
      </c>
      <c r="AB1106" s="89">
        <f t="shared" si="307"/>
        <v>5462</v>
      </c>
      <c r="AC1106" s="89">
        <f t="shared" si="308"/>
        <v>6665</v>
      </c>
      <c r="AD1106" s="89">
        <f t="shared" si="309"/>
        <v>5914</v>
      </c>
      <c r="AE1106" s="90">
        <f t="shared" si="310"/>
        <v>2228</v>
      </c>
      <c r="AF1106" s="90">
        <f t="shared" si="311"/>
        <v>2013</v>
      </c>
      <c r="AG1106" s="90">
        <f t="shared" si="312"/>
        <v>6665</v>
      </c>
      <c r="AH1106" s="90">
        <f t="shared" si="313"/>
        <v>2018</v>
      </c>
      <c r="AI1106" s="90">
        <f t="shared" si="314"/>
        <v>2703</v>
      </c>
      <c r="AJ1106" s="90">
        <f t="shared" si="315"/>
        <v>2022</v>
      </c>
      <c r="AK1106" s="90" t="str">
        <f t="shared" si="316"/>
        <v>Adjust</v>
      </c>
      <c r="AL1106" s="91">
        <f>IF(AK1106="Adjust",(_xlfn.XLOOKUP(A1106,'Adj factor'!A:A,'Adj factor'!I:I,,0)*AI1106),'Master DataSheet'!AI1106)</f>
        <v>3125.8162415202128</v>
      </c>
      <c r="AM1106" s="91">
        <f t="shared" si="317"/>
        <v>6665</v>
      </c>
      <c r="AN1106" s="92" t="str">
        <f t="shared" si="318"/>
        <v>Decreasing</v>
      </c>
      <c r="AO1106" s="93">
        <f>VLOOKUP(B1106,'Growthrates source'!A$2:H$49,8,FALSE)</f>
        <v>8.5173735635071912E-2</v>
      </c>
      <c r="AP1106" s="93">
        <f>VLOOKUP(B1106,'Growthrates source'!A$2:I$49,9,FALSE)</f>
        <v>0.17704702295875174</v>
      </c>
      <c r="AQ1106" s="86">
        <f t="shared" si="319"/>
        <v>1279.6229456011358</v>
      </c>
      <c r="AR1106" s="86">
        <f t="shared" si="320"/>
        <v>3332.008275145773</v>
      </c>
      <c r="AS1106" s="94">
        <f t="shared" si="321"/>
        <v>1.6436228117288705</v>
      </c>
      <c r="AT1106" s="94">
        <f t="shared" si="322"/>
        <v>4.4279288640106955</v>
      </c>
      <c r="AU1106" s="94">
        <f t="shared" si="323"/>
        <v>4.0838117030095278</v>
      </c>
    </row>
    <row r="1107" spans="1:47" x14ac:dyDescent="0.3">
      <c r="A1107" s="85" t="str">
        <f>_xlfn.XLOOKUP(B1107,'Country codes &amp; Data sources'!G:G,'Country codes &amp; Data sources'!H:H,,0)</f>
        <v>Zimbabwe</v>
      </c>
      <c r="B1107" s="85" t="s">
        <v>193</v>
      </c>
      <c r="C1107" s="86">
        <v>13265332</v>
      </c>
      <c r="D1107" s="85" t="s">
        <v>322</v>
      </c>
      <c r="E1107" s="87">
        <v>31072</v>
      </c>
      <c r="F1107" s="88">
        <v>13555421.500000011</v>
      </c>
      <c r="G1107" s="87">
        <v>37444</v>
      </c>
      <c r="I1107" s="87">
        <v>44810</v>
      </c>
      <c r="K1107" s="87">
        <v>41532</v>
      </c>
      <c r="M1107" s="87">
        <v>42747</v>
      </c>
      <c r="O1107" s="87">
        <v>59965</v>
      </c>
      <c r="P1107" s="88">
        <v>15052184.000000007</v>
      </c>
      <c r="Q1107" s="87">
        <v>67752</v>
      </c>
      <c r="R1107" s="87">
        <f t="shared" si="306"/>
        <v>67752</v>
      </c>
      <c r="T1107" s="87">
        <v>0</v>
      </c>
      <c r="V1107" s="87">
        <v>44998</v>
      </c>
      <c r="X1107" s="87">
        <v>0</v>
      </c>
      <c r="Y1107" s="88">
        <v>16320536.999999996</v>
      </c>
      <c r="Z1107" s="103">
        <v>46537</v>
      </c>
      <c r="AA1107" s="87">
        <v>25835</v>
      </c>
      <c r="AB1107" s="89">
        <f t="shared" si="307"/>
        <v>44810</v>
      </c>
      <c r="AC1107" s="89">
        <f t="shared" si="308"/>
        <v>67752</v>
      </c>
      <c r="AD1107" s="89">
        <f t="shared" si="309"/>
        <v>46537</v>
      </c>
      <c r="AE1107" s="90">
        <f t="shared" si="310"/>
        <v>37444</v>
      </c>
      <c r="AF1107" s="90">
        <f t="shared" si="311"/>
        <v>2013</v>
      </c>
      <c r="AG1107" s="90">
        <f t="shared" si="312"/>
        <v>67752</v>
      </c>
      <c r="AH1107" s="90">
        <f t="shared" si="313"/>
        <v>2018</v>
      </c>
      <c r="AI1107" s="90">
        <f t="shared" si="314"/>
        <v>46537</v>
      </c>
      <c r="AJ1107" s="90">
        <f t="shared" si="315"/>
        <v>2022</v>
      </c>
      <c r="AK1107" s="90" t="str">
        <f t="shared" si="316"/>
        <v>Adjust</v>
      </c>
      <c r="AL1107" s="91">
        <f>IF(AK1107="Adjust",(_xlfn.XLOOKUP(A1107,'Adj factor'!A:A,'Adj factor'!I:I,,0)*AI1107),'Master DataSheet'!AI1107)</f>
        <v>53816.54104018725</v>
      </c>
      <c r="AM1107" s="91">
        <f t="shared" si="317"/>
        <v>67752</v>
      </c>
      <c r="AN1107" s="92" t="str">
        <f t="shared" si="318"/>
        <v>Decreasing</v>
      </c>
      <c r="AO1107" s="93">
        <f>VLOOKUP(B1107,'Growthrates source'!A$2:H$49,8,FALSE)</f>
        <v>8.5173735635071912E-2</v>
      </c>
      <c r="AP1107" s="93">
        <f>VLOOKUP(B1107,'Growthrates source'!A$2:I$49,9,FALSE)</f>
        <v>0.17704702295875174</v>
      </c>
      <c r="AQ1107" s="86">
        <f t="shared" si="319"/>
        <v>16875.476671569853</v>
      </c>
      <c r="AR1107" s="86">
        <f t="shared" si="320"/>
        <v>43942.028477994405</v>
      </c>
      <c r="AS1107" s="94">
        <f t="shared" si="321"/>
        <v>27.622896123148934</v>
      </c>
      <c r="AT1107" s="94">
        <f t="shared" si="322"/>
        <v>45.01140831124571</v>
      </c>
      <c r="AU1107" s="94">
        <f t="shared" si="323"/>
        <v>41.513339910322813</v>
      </c>
    </row>
    <row r="1108" spans="1:47" x14ac:dyDescent="0.3">
      <c r="A1108" s="85" t="str">
        <f>_xlfn.XLOOKUP(B1108,'Country codes &amp; Data sources'!G:G,'Country codes &amp; Data sources'!H:H,,0)</f>
        <v>Zimbabwe</v>
      </c>
      <c r="B1108" s="85" t="s">
        <v>193</v>
      </c>
      <c r="C1108" s="86">
        <v>13265333</v>
      </c>
      <c r="D1108" s="85" t="s">
        <v>323</v>
      </c>
      <c r="E1108" s="87">
        <v>0</v>
      </c>
      <c r="F1108" s="88">
        <v>13555421.500000011</v>
      </c>
      <c r="G1108" s="87">
        <v>0</v>
      </c>
      <c r="I1108" s="87">
        <v>0</v>
      </c>
      <c r="K1108" s="87">
        <v>0</v>
      </c>
      <c r="M1108" s="87">
        <v>0</v>
      </c>
      <c r="O1108" s="87">
        <v>17612</v>
      </c>
      <c r="P1108" s="88">
        <v>15052184.000000007</v>
      </c>
      <c r="Q1108" s="87">
        <v>0</v>
      </c>
      <c r="R1108" s="87">
        <f t="shared" si="306"/>
        <v>854</v>
      </c>
      <c r="T1108" s="87">
        <v>0</v>
      </c>
      <c r="V1108" s="87">
        <v>18586</v>
      </c>
      <c r="X1108" s="87">
        <v>0</v>
      </c>
      <c r="Y1108" s="88">
        <v>16320536.999999996</v>
      </c>
      <c r="Z1108" s="103">
        <v>9601</v>
      </c>
      <c r="AA1108" s="87">
        <v>854</v>
      </c>
      <c r="AB1108" s="89">
        <f t="shared" si="307"/>
        <v>0</v>
      </c>
      <c r="AC1108" s="89">
        <f t="shared" si="308"/>
        <v>17612</v>
      </c>
      <c r="AD1108" s="89">
        <f t="shared" si="309"/>
        <v>18586</v>
      </c>
      <c r="AE1108" s="90">
        <f t="shared" si="310"/>
        <v>0</v>
      </c>
      <c r="AF1108" s="90" t="str">
        <f t="shared" si="311"/>
        <v/>
      </c>
      <c r="AG1108" s="90">
        <f t="shared" si="312"/>
        <v>854</v>
      </c>
      <c r="AH1108" s="90" t="str">
        <f t="shared" si="313"/>
        <v>2018 (triag)</v>
      </c>
      <c r="AI1108" s="90">
        <f t="shared" si="314"/>
        <v>9601</v>
      </c>
      <c r="AJ1108" s="90">
        <f t="shared" si="315"/>
        <v>2022</v>
      </c>
      <c r="AK1108" s="90" t="str">
        <f t="shared" si="316"/>
        <v/>
      </c>
      <c r="AL1108" s="91">
        <f>IF(AK1108="Adjust",(_xlfn.XLOOKUP(A1108,'Adj factor'!A:A,'Adj factor'!I:I,,0)*AI1108),'Master DataSheet'!AI1108)</f>
        <v>9601</v>
      </c>
      <c r="AM1108" s="60">
        <v>9601</v>
      </c>
      <c r="AN1108" s="92" t="str">
        <f t="shared" si="318"/>
        <v>Increasing</v>
      </c>
      <c r="AO1108" s="93">
        <f>VLOOKUP(B1108,'Growthrates source'!A$2:H$49,8,FALSE)</f>
        <v>8.5173735635071912E-2</v>
      </c>
      <c r="AP1108" s="93">
        <f>VLOOKUP(B1108,'Growthrates source'!A$2:I$49,9,FALSE)</f>
        <v>0.17704702295875174</v>
      </c>
      <c r="AQ1108" s="86">
        <f t="shared" si="319"/>
        <v>557.83460721968868</v>
      </c>
      <c r="AR1108" s="86">
        <f t="shared" si="320"/>
        <v>1452.5446998338386</v>
      </c>
      <c r="AS1108" s="94">
        <f t="shared" si="321"/>
        <v>0</v>
      </c>
      <c r="AT1108" s="94">
        <f t="shared" si="322"/>
        <v>0.56735952736161055</v>
      </c>
      <c r="AU1108" s="94">
        <f t="shared" si="323"/>
        <v>5.8827721171184519</v>
      </c>
    </row>
    <row r="1109" spans="1:47" x14ac:dyDescent="0.3">
      <c r="A1109" s="85" t="str">
        <f>_xlfn.XLOOKUP(B1109,'Country codes &amp; Data sources'!G:G,'Country codes &amp; Data sources'!H:H,,0)</f>
        <v>Zimbabwe</v>
      </c>
      <c r="B1109" s="85" t="s">
        <v>193</v>
      </c>
      <c r="C1109" s="86">
        <v>13265334</v>
      </c>
      <c r="D1109" s="85" t="s">
        <v>324</v>
      </c>
      <c r="E1109" s="87">
        <v>51</v>
      </c>
      <c r="F1109" s="88">
        <v>13555421.500000011</v>
      </c>
      <c r="G1109" s="87">
        <v>0</v>
      </c>
      <c r="I1109" s="87">
        <v>0</v>
      </c>
      <c r="K1109" s="87">
        <v>394</v>
      </c>
      <c r="M1109" s="87">
        <v>0</v>
      </c>
      <c r="O1109" s="87">
        <v>0</v>
      </c>
      <c r="P1109" s="88">
        <v>15052184.000000007</v>
      </c>
      <c r="Q1109" s="87">
        <v>0</v>
      </c>
      <c r="R1109" s="87">
        <f t="shared" si="306"/>
        <v>776</v>
      </c>
      <c r="T1109" s="87">
        <v>0</v>
      </c>
      <c r="V1109" s="87">
        <v>351</v>
      </c>
      <c r="X1109" s="87">
        <v>0</v>
      </c>
      <c r="Y1109" s="88">
        <v>16320536.999999996</v>
      </c>
      <c r="Z1109" s="87">
        <v>0</v>
      </c>
      <c r="AA1109" s="87">
        <v>776</v>
      </c>
      <c r="AB1109" s="89">
        <f t="shared" si="307"/>
        <v>394</v>
      </c>
      <c r="AC1109" s="89">
        <f t="shared" si="308"/>
        <v>0</v>
      </c>
      <c r="AD1109" s="89">
        <f t="shared" si="309"/>
        <v>351</v>
      </c>
      <c r="AE1109" s="90">
        <f t="shared" si="310"/>
        <v>51</v>
      </c>
      <c r="AF1109" s="90">
        <f t="shared" si="311"/>
        <v>2012</v>
      </c>
      <c r="AG1109" s="90">
        <f t="shared" si="312"/>
        <v>776</v>
      </c>
      <c r="AH1109" s="90" t="str">
        <f t="shared" si="313"/>
        <v>2018 (triag)</v>
      </c>
      <c r="AI1109" s="90">
        <f t="shared" si="314"/>
        <v>351</v>
      </c>
      <c r="AJ1109" s="90">
        <f t="shared" si="315"/>
        <v>2020</v>
      </c>
      <c r="AK1109" s="90" t="str">
        <f t="shared" si="316"/>
        <v>Adjust</v>
      </c>
      <c r="AL1109" s="91">
        <f>IF(AK1109="Adjust",(_xlfn.XLOOKUP(A1109,'Adj factor'!A:A,'Adj factor'!I:I,,0)*AI1109),'Master DataSheet'!AI1109)</f>
        <v>405.90510572460033</v>
      </c>
      <c r="AM1109" s="91">
        <f t="shared" si="317"/>
        <v>776</v>
      </c>
      <c r="AN1109" s="92" t="str">
        <f t="shared" si="318"/>
        <v>Decreasing</v>
      </c>
      <c r="AO1109" s="93">
        <f>VLOOKUP(B1109,'Growthrates source'!A$2:H$49,8,FALSE)</f>
        <v>8.5173735635071912E-2</v>
      </c>
      <c r="AP1109" s="93">
        <f>VLOOKUP(B1109,'Growthrates source'!A$2:I$49,9,FALSE)</f>
        <v>0.17704702295875174</v>
      </c>
      <c r="AQ1109" s="86">
        <f t="shared" si="319"/>
        <v>506.88484215746882</v>
      </c>
      <c r="AR1109" s="86">
        <f t="shared" si="320"/>
        <v>1319.8766827529962</v>
      </c>
      <c r="AS1109" s="94">
        <f t="shared" si="321"/>
        <v>3.7623322889664447E-2</v>
      </c>
      <c r="AT1109" s="94">
        <f t="shared" si="322"/>
        <v>0.51553980472202543</v>
      </c>
      <c r="AU1109" s="94">
        <f t="shared" si="323"/>
        <v>0.47547455086802609</v>
      </c>
    </row>
    <row r="1110" spans="1:47" x14ac:dyDescent="0.3">
      <c r="A1110" s="85" t="str">
        <f>_xlfn.XLOOKUP(B1110,'Country codes &amp; Data sources'!G:G,'Country codes &amp; Data sources'!H:H,,0)</f>
        <v>Zimbabwe</v>
      </c>
      <c r="B1110" s="85" t="s">
        <v>193</v>
      </c>
      <c r="C1110" s="86">
        <v>13265335</v>
      </c>
      <c r="D1110" s="85" t="s">
        <v>325</v>
      </c>
      <c r="E1110" s="87">
        <v>30</v>
      </c>
      <c r="F1110" s="88">
        <v>13555421.500000011</v>
      </c>
      <c r="G1110" s="87">
        <v>0</v>
      </c>
      <c r="I1110" s="87">
        <v>0</v>
      </c>
      <c r="K1110" s="87">
        <v>236</v>
      </c>
      <c r="M1110" s="87">
        <v>0</v>
      </c>
      <c r="O1110" s="87">
        <v>0</v>
      </c>
      <c r="P1110" s="88">
        <v>15052184.000000007</v>
      </c>
      <c r="Q1110" s="87">
        <v>0</v>
      </c>
      <c r="R1110" s="87">
        <f t="shared" si="306"/>
        <v>347</v>
      </c>
      <c r="T1110" s="87">
        <v>0</v>
      </c>
      <c r="V1110" s="87">
        <v>38</v>
      </c>
      <c r="X1110" s="87">
        <v>0</v>
      </c>
      <c r="Y1110" s="88">
        <v>16320536.999999996</v>
      </c>
      <c r="Z1110" s="103">
        <v>201</v>
      </c>
      <c r="AA1110" s="87">
        <v>347</v>
      </c>
      <c r="AB1110" s="89">
        <f t="shared" si="307"/>
        <v>236</v>
      </c>
      <c r="AC1110" s="89">
        <f t="shared" si="308"/>
        <v>0</v>
      </c>
      <c r="AD1110" s="89">
        <f t="shared" si="309"/>
        <v>201</v>
      </c>
      <c r="AE1110" s="90">
        <f t="shared" si="310"/>
        <v>30</v>
      </c>
      <c r="AF1110" s="90">
        <f t="shared" si="311"/>
        <v>2012</v>
      </c>
      <c r="AG1110" s="90">
        <f t="shared" si="312"/>
        <v>347</v>
      </c>
      <c r="AH1110" s="90" t="str">
        <f t="shared" si="313"/>
        <v>2018 (triag)</v>
      </c>
      <c r="AI1110" s="90">
        <f t="shared" si="314"/>
        <v>201</v>
      </c>
      <c r="AJ1110" s="90">
        <f t="shared" si="315"/>
        <v>2022</v>
      </c>
      <c r="AK1110" s="90" t="str">
        <f t="shared" si="316"/>
        <v>Adjust</v>
      </c>
      <c r="AL1110" s="91">
        <f>IF(AK1110="Adjust",(_xlfn.XLOOKUP(A1110,'Adj factor'!A:A,'Adj factor'!I:I,,0)*AI1110),'Master DataSheet'!AI1110)</f>
        <v>232.44138532947198</v>
      </c>
      <c r="AM1110" s="62">
        <v>514</v>
      </c>
      <c r="AN1110" s="92" t="str">
        <f t="shared" si="318"/>
        <v>Decreasing</v>
      </c>
      <c r="AO1110" s="93">
        <f>VLOOKUP(B1110,'Growthrates source'!A$2:H$49,8,FALSE)</f>
        <v>8.5173735635071912E-2</v>
      </c>
      <c r="AP1110" s="93">
        <f>VLOOKUP(B1110,'Growthrates source'!A$2:I$49,9,FALSE)</f>
        <v>0.17704702295875174</v>
      </c>
      <c r="AQ1110" s="86">
        <f t="shared" si="319"/>
        <v>226.66113431525991</v>
      </c>
      <c r="AR1110" s="86">
        <f t="shared" si="320"/>
        <v>590.20258880836298</v>
      </c>
      <c r="AS1110" s="94">
        <f t="shared" si="321"/>
        <v>2.2131366405684968E-2</v>
      </c>
      <c r="AT1110" s="94">
        <f t="shared" si="322"/>
        <v>0.23053133020430777</v>
      </c>
      <c r="AU1110" s="94">
        <f t="shared" si="323"/>
        <v>0.31494061745639873</v>
      </c>
    </row>
    <row r="1111" spans="1:47" x14ac:dyDescent="0.3">
      <c r="A1111" s="85" t="str">
        <f>_xlfn.XLOOKUP(B1111,'Country codes &amp; Data sources'!G:G,'Country codes &amp; Data sources'!H:H,,0)</f>
        <v>Zimbabwe</v>
      </c>
      <c r="B1111" s="85" t="s">
        <v>193</v>
      </c>
      <c r="C1111" s="86">
        <v>13265336</v>
      </c>
      <c r="D1111" s="85" t="s">
        <v>127</v>
      </c>
      <c r="E1111" s="87">
        <v>0</v>
      </c>
      <c r="F1111" s="88">
        <v>13555421.500000011</v>
      </c>
      <c r="G1111" s="87">
        <v>0</v>
      </c>
      <c r="I1111" s="87">
        <v>0</v>
      </c>
      <c r="K1111" s="87">
        <v>11200</v>
      </c>
      <c r="M1111" s="87">
        <v>0</v>
      </c>
      <c r="O1111" s="87">
        <v>15000</v>
      </c>
      <c r="P1111" s="88">
        <v>15052184.000000007</v>
      </c>
      <c r="Q1111" s="87">
        <v>15888</v>
      </c>
      <c r="R1111" s="87">
        <f t="shared" si="306"/>
        <v>15888</v>
      </c>
      <c r="T1111" s="87">
        <v>0</v>
      </c>
      <c r="V1111" s="87">
        <v>0</v>
      </c>
      <c r="X1111" s="87">
        <v>0</v>
      </c>
      <c r="Y1111" s="88">
        <v>16320536.999999996</v>
      </c>
      <c r="Z1111" s="87">
        <v>19722</v>
      </c>
      <c r="AA1111" s="87">
        <v>2143</v>
      </c>
      <c r="AB1111" s="89">
        <f t="shared" si="307"/>
        <v>11200</v>
      </c>
      <c r="AC1111" s="89">
        <f t="shared" si="308"/>
        <v>15888</v>
      </c>
      <c r="AD1111" s="89">
        <f t="shared" si="309"/>
        <v>19722</v>
      </c>
      <c r="AE1111" s="90">
        <f t="shared" si="310"/>
        <v>11200</v>
      </c>
      <c r="AF1111" s="90">
        <f t="shared" si="311"/>
        <v>2015</v>
      </c>
      <c r="AG1111" s="90">
        <f t="shared" si="312"/>
        <v>15888</v>
      </c>
      <c r="AH1111" s="90">
        <f t="shared" si="313"/>
        <v>2018</v>
      </c>
      <c r="AI1111" s="90">
        <f t="shared" si="314"/>
        <v>19722</v>
      </c>
      <c r="AJ1111" s="90">
        <f t="shared" si="315"/>
        <v>2022</v>
      </c>
      <c r="AK1111" s="90" t="str">
        <f t="shared" si="316"/>
        <v/>
      </c>
      <c r="AL1111" s="91">
        <f>IF(AK1111="Adjust",(_xlfn.XLOOKUP(A1111,'Adj factor'!A:A,'Adj factor'!I:I,,0)*AI1111),'Master DataSheet'!AI1111)</f>
        <v>19722</v>
      </c>
      <c r="AM1111" s="91">
        <f t="shared" si="317"/>
        <v>19722</v>
      </c>
      <c r="AN1111" s="92" t="str">
        <f t="shared" si="318"/>
        <v>Increasing</v>
      </c>
      <c r="AO1111" s="93">
        <f>VLOOKUP(B1111,'Growthrates source'!A$2:H$49,8,FALSE)</f>
        <v>8.5173735635071912E-2</v>
      </c>
      <c r="AP1111" s="93">
        <f>VLOOKUP(B1111,'Growthrates source'!A$2:I$49,9,FALSE)</f>
        <v>0.17704702295875174</v>
      </c>
      <c r="AQ1111" s="86">
        <f t="shared" si="319"/>
        <v>1399.81213497868</v>
      </c>
      <c r="AR1111" s="86">
        <f t="shared" si="320"/>
        <v>3644.9687256954526</v>
      </c>
      <c r="AS1111" s="94">
        <f t="shared" si="321"/>
        <v>8.262376791455722</v>
      </c>
      <c r="AT1111" s="94">
        <f t="shared" si="322"/>
        <v>10.555278888432397</v>
      </c>
      <c r="AU1111" s="94">
        <f t="shared" si="323"/>
        <v>12.084161201313416</v>
      </c>
    </row>
    <row r="1112" spans="1:47" x14ac:dyDescent="0.3">
      <c r="A1112" s="85" t="str">
        <f>_xlfn.XLOOKUP(B1112,'Country codes &amp; Data sources'!G:G,'Country codes &amp; Data sources'!H:H,,0)</f>
        <v>Zimbabwe</v>
      </c>
      <c r="B1112" s="85" t="s">
        <v>193</v>
      </c>
      <c r="C1112" s="86">
        <v>13265337</v>
      </c>
      <c r="D1112" s="85" t="s">
        <v>61</v>
      </c>
      <c r="E1112" s="87">
        <v>0</v>
      </c>
      <c r="F1112" s="88">
        <v>13555421.500000011</v>
      </c>
      <c r="G1112" s="87">
        <v>0</v>
      </c>
      <c r="I1112" s="87">
        <v>0</v>
      </c>
      <c r="K1112" s="87">
        <v>845</v>
      </c>
      <c r="M1112" s="87">
        <v>0</v>
      </c>
      <c r="O1112" s="87">
        <v>0</v>
      </c>
      <c r="P1112" s="88">
        <v>15052184.000000007</v>
      </c>
      <c r="Q1112" s="87">
        <v>0</v>
      </c>
      <c r="R1112" s="87">
        <f t="shared" si="306"/>
        <v>0</v>
      </c>
      <c r="T1112" s="87">
        <v>0</v>
      </c>
      <c r="V1112" s="87">
        <v>0</v>
      </c>
      <c r="X1112" s="87">
        <v>0</v>
      </c>
      <c r="Y1112" s="88">
        <v>16320536.999999996</v>
      </c>
      <c r="Z1112" s="103">
        <v>280</v>
      </c>
      <c r="AA1112" s="87">
        <v>0</v>
      </c>
      <c r="AB1112" s="89">
        <f t="shared" si="307"/>
        <v>845</v>
      </c>
      <c r="AC1112" s="89">
        <f t="shared" si="308"/>
        <v>0</v>
      </c>
      <c r="AD1112" s="89">
        <f t="shared" si="309"/>
        <v>280</v>
      </c>
      <c r="AE1112" s="90">
        <f t="shared" si="310"/>
        <v>845</v>
      </c>
      <c r="AF1112" s="90">
        <f t="shared" si="311"/>
        <v>2015</v>
      </c>
      <c r="AG1112" s="90">
        <f t="shared" si="312"/>
        <v>0</v>
      </c>
      <c r="AH1112" s="90" t="str">
        <f t="shared" si="313"/>
        <v/>
      </c>
      <c r="AI1112" s="90">
        <f t="shared" si="314"/>
        <v>280</v>
      </c>
      <c r="AJ1112" s="90">
        <f t="shared" si="315"/>
        <v>2022</v>
      </c>
      <c r="AK1112" s="90" t="str">
        <f t="shared" si="316"/>
        <v/>
      </c>
      <c r="AL1112" s="91">
        <f>IF(AK1112="Adjust",(_xlfn.XLOOKUP(A1112,'Adj factor'!A:A,'Adj factor'!I:I,,0)*AI1112),'Master DataSheet'!AI1112)</f>
        <v>280</v>
      </c>
      <c r="AM1112" s="60">
        <v>280</v>
      </c>
      <c r="AN1112" s="92" t="str">
        <f t="shared" si="318"/>
        <v>Increasing</v>
      </c>
      <c r="AO1112" s="93">
        <f>VLOOKUP(B1112,'Growthrates source'!A$2:H$49,8,FALSE)</f>
        <v>8.5173735635071912E-2</v>
      </c>
      <c r="AP1112" s="93">
        <f>VLOOKUP(B1112,'Growthrates source'!A$2:I$49,9,FALSE)</f>
        <v>0.17704702295875174</v>
      </c>
      <c r="AQ1112" s="86">
        <f t="shared" si="319"/>
        <v>0</v>
      </c>
      <c r="AR1112" s="86">
        <f t="shared" si="320"/>
        <v>0</v>
      </c>
      <c r="AS1112" s="94">
        <f t="shared" si="321"/>
        <v>0.62336682042679326</v>
      </c>
      <c r="AT1112" s="94">
        <f t="shared" si="322"/>
        <v>0</v>
      </c>
      <c r="AU1112" s="94">
        <f t="shared" si="323"/>
        <v>0.17156298227196817</v>
      </c>
    </row>
    <row r="1113" spans="1:47" x14ac:dyDescent="0.3">
      <c r="A1113" s="85" t="str">
        <f>_xlfn.XLOOKUP(B1113,'Country codes &amp; Data sources'!G:G,'Country codes &amp; Data sources'!H:H,,0)</f>
        <v>Zimbabwe</v>
      </c>
      <c r="B1113" s="85" t="s">
        <v>193</v>
      </c>
      <c r="C1113" s="86">
        <v>13265338</v>
      </c>
      <c r="D1113" s="85" t="s">
        <v>62</v>
      </c>
      <c r="E1113" s="87">
        <v>0</v>
      </c>
      <c r="F1113" s="88">
        <v>13555421.500000011</v>
      </c>
      <c r="G1113" s="87">
        <v>0</v>
      </c>
      <c r="I1113" s="87">
        <v>0</v>
      </c>
      <c r="K1113" s="87">
        <v>1885</v>
      </c>
      <c r="M1113" s="87">
        <v>0</v>
      </c>
      <c r="O1113" s="87">
        <v>0</v>
      </c>
      <c r="P1113" s="88">
        <v>15052184.000000007</v>
      </c>
      <c r="Q1113" s="87">
        <v>0</v>
      </c>
      <c r="R1113" s="87">
        <f t="shared" si="306"/>
        <v>1644</v>
      </c>
      <c r="T1113" s="87">
        <v>0</v>
      </c>
      <c r="V1113" s="87">
        <v>91</v>
      </c>
      <c r="X1113" s="87">
        <v>0</v>
      </c>
      <c r="Y1113" s="88">
        <v>16320536.999999996</v>
      </c>
      <c r="Z1113" s="103">
        <v>2684</v>
      </c>
      <c r="AA1113" s="87">
        <v>1644</v>
      </c>
      <c r="AB1113" s="89">
        <f t="shared" si="307"/>
        <v>1885</v>
      </c>
      <c r="AC1113" s="89">
        <f t="shared" si="308"/>
        <v>0</v>
      </c>
      <c r="AD1113" s="89">
        <f t="shared" si="309"/>
        <v>2684</v>
      </c>
      <c r="AE1113" s="90">
        <f t="shared" si="310"/>
        <v>1885</v>
      </c>
      <c r="AF1113" s="90">
        <f t="shared" si="311"/>
        <v>2015</v>
      </c>
      <c r="AG1113" s="90">
        <f t="shared" si="312"/>
        <v>1644</v>
      </c>
      <c r="AH1113" s="90" t="str">
        <f t="shared" si="313"/>
        <v>2018 (triag)</v>
      </c>
      <c r="AI1113" s="90">
        <f t="shared" si="314"/>
        <v>2684</v>
      </c>
      <c r="AJ1113" s="90">
        <f t="shared" si="315"/>
        <v>2022</v>
      </c>
      <c r="AK1113" s="90" t="str">
        <f t="shared" si="316"/>
        <v/>
      </c>
      <c r="AL1113" s="91">
        <f>IF(AK1113="Adjust",(_xlfn.XLOOKUP(A1113,'Adj factor'!A:A,'Adj factor'!I:I,,0)*AI1113),'Master DataSheet'!AI1113)</f>
        <v>2684</v>
      </c>
      <c r="AM1113" s="62">
        <v>2684</v>
      </c>
      <c r="AN1113" s="92" t="str">
        <f t="shared" si="318"/>
        <v>Increasing</v>
      </c>
      <c r="AO1113" s="93">
        <f>VLOOKUP(B1113,'Growthrates source'!A$2:H$49,8,FALSE)</f>
        <v>8.5173735635071912E-2</v>
      </c>
      <c r="AP1113" s="93">
        <f>VLOOKUP(B1113,'Growthrates source'!A$2:I$49,9,FALSE)</f>
        <v>0.17704702295875174</v>
      </c>
      <c r="AQ1113" s="86">
        <f t="shared" si="319"/>
        <v>1073.8642790037097</v>
      </c>
      <c r="AR1113" s="86">
        <f t="shared" si="320"/>
        <v>2796.2335907808324</v>
      </c>
      <c r="AS1113" s="94">
        <f t="shared" si="321"/>
        <v>1.3905875224905389</v>
      </c>
      <c r="AT1113" s="94">
        <f t="shared" si="322"/>
        <v>1.0922003079420231</v>
      </c>
      <c r="AU1113" s="94">
        <f t="shared" si="323"/>
        <v>1.644553730064152</v>
      </c>
    </row>
    <row r="1114" spans="1:47" x14ac:dyDescent="0.3">
      <c r="A1114" s="85" t="str">
        <f>_xlfn.XLOOKUP(B1114,'Country codes &amp; Data sources'!G:G,'Country codes &amp; Data sources'!H:H,,0)</f>
        <v>Zimbabwe</v>
      </c>
      <c r="B1114" s="85" t="s">
        <v>193</v>
      </c>
      <c r="C1114" s="86">
        <v>13265339</v>
      </c>
      <c r="D1114" s="85" t="s">
        <v>203</v>
      </c>
      <c r="E1114" s="87">
        <v>0</v>
      </c>
      <c r="F1114" s="88">
        <v>13555421.500000011</v>
      </c>
      <c r="G1114" s="87">
        <v>0</v>
      </c>
      <c r="I1114" s="87">
        <v>0</v>
      </c>
      <c r="K1114" s="87">
        <v>0</v>
      </c>
      <c r="M1114" s="87">
        <v>551</v>
      </c>
      <c r="O1114" s="87">
        <v>607</v>
      </c>
      <c r="P1114" s="88">
        <v>15052184.000000007</v>
      </c>
      <c r="Q1114" s="87">
        <v>2021</v>
      </c>
      <c r="R1114" s="87">
        <f t="shared" si="306"/>
        <v>2115</v>
      </c>
      <c r="T1114" s="87">
        <v>0</v>
      </c>
      <c r="V1114" s="87">
        <v>0</v>
      </c>
      <c r="X1114" s="87">
        <v>0</v>
      </c>
      <c r="Y1114" s="88">
        <v>16320536.999999996</v>
      </c>
      <c r="Z1114" s="87">
        <v>0</v>
      </c>
      <c r="AA1114" s="87">
        <v>2115</v>
      </c>
      <c r="AB1114" s="89">
        <f t="shared" si="307"/>
        <v>0</v>
      </c>
      <c r="AC1114" s="89">
        <f t="shared" si="308"/>
        <v>2021</v>
      </c>
      <c r="AD1114" s="89">
        <f t="shared" si="309"/>
        <v>0</v>
      </c>
      <c r="AE1114" s="90">
        <f t="shared" si="310"/>
        <v>0</v>
      </c>
      <c r="AF1114" s="90" t="str">
        <f t="shared" si="311"/>
        <v/>
      </c>
      <c r="AG1114" s="90">
        <f t="shared" si="312"/>
        <v>2115</v>
      </c>
      <c r="AH1114" s="90" t="str">
        <f t="shared" si="313"/>
        <v>2018 (triag)</v>
      </c>
      <c r="AI1114" s="90">
        <f t="shared" si="314"/>
        <v>2115</v>
      </c>
      <c r="AJ1114" s="90" t="str">
        <f t="shared" si="315"/>
        <v>2018 (triag)</v>
      </c>
      <c r="AK1114" s="90" t="str">
        <f t="shared" si="316"/>
        <v/>
      </c>
      <c r="AL1114" s="91">
        <f>IF(AK1114="Adjust",(_xlfn.XLOOKUP(A1114,'Adj factor'!A:A,'Adj factor'!I:I,,0)*AI1114),'Master DataSheet'!AI1114)</f>
        <v>2115</v>
      </c>
      <c r="AM1114" s="91">
        <f t="shared" si="317"/>
        <v>2115</v>
      </c>
      <c r="AN1114" s="92" t="str">
        <f t="shared" si="318"/>
        <v>No change</v>
      </c>
      <c r="AO1114" s="93">
        <f>VLOOKUP(B1114,'Growthrates source'!A$2:H$49,8,FALSE)</f>
        <v>8.5173735635071912E-2</v>
      </c>
      <c r="AP1114" s="93">
        <f>VLOOKUP(B1114,'Growthrates source'!A$2:I$49,9,FALSE)</f>
        <v>0.17704702295875174</v>
      </c>
      <c r="AQ1114" s="86">
        <f t="shared" si="319"/>
        <v>1381.5224757255755</v>
      </c>
      <c r="AR1114" s="86">
        <f t="shared" si="320"/>
        <v>3597.3443093074575</v>
      </c>
      <c r="AS1114" s="94">
        <f t="shared" si="321"/>
        <v>0</v>
      </c>
      <c r="AT1114" s="94">
        <f t="shared" si="322"/>
        <v>1.405111710034902</v>
      </c>
      <c r="AU1114" s="94">
        <f t="shared" si="323"/>
        <v>1.2959132410900454</v>
      </c>
    </row>
    <row r="1115" spans="1:47" x14ac:dyDescent="0.3">
      <c r="A1115" s="85" t="str">
        <f>_xlfn.XLOOKUP(B1115,'Country codes &amp; Data sources'!G:G,'Country codes &amp; Data sources'!H:H,,0)</f>
        <v>Zimbabwe</v>
      </c>
      <c r="B1115" s="85" t="s">
        <v>193</v>
      </c>
      <c r="C1115" s="86">
        <v>13265340</v>
      </c>
      <c r="D1115" s="85" t="s">
        <v>204</v>
      </c>
      <c r="E1115" s="87">
        <v>0</v>
      </c>
      <c r="F1115" s="88">
        <v>13555421.500000011</v>
      </c>
      <c r="G1115" s="87">
        <v>0</v>
      </c>
      <c r="I1115" s="87">
        <v>229</v>
      </c>
      <c r="K1115" s="87">
        <v>270</v>
      </c>
      <c r="M1115" s="87">
        <v>257</v>
      </c>
      <c r="O1115" s="87">
        <v>451</v>
      </c>
      <c r="P1115" s="88">
        <v>15052184.000000007</v>
      </c>
      <c r="Q1115" s="87">
        <v>414</v>
      </c>
      <c r="R1115" s="87">
        <f t="shared" si="306"/>
        <v>414</v>
      </c>
      <c r="T1115" s="87">
        <v>0</v>
      </c>
      <c r="V1115" s="87">
        <v>0</v>
      </c>
      <c r="X1115" s="87">
        <v>0</v>
      </c>
      <c r="Y1115" s="88">
        <v>16320536.999999996</v>
      </c>
      <c r="Z1115" s="87">
        <v>0</v>
      </c>
      <c r="AA1115" s="87">
        <v>327</v>
      </c>
      <c r="AB1115" s="89">
        <f t="shared" si="307"/>
        <v>270</v>
      </c>
      <c r="AC1115" s="89">
        <f t="shared" si="308"/>
        <v>451</v>
      </c>
      <c r="AD1115" s="89">
        <f t="shared" si="309"/>
        <v>0</v>
      </c>
      <c r="AE1115" s="90">
        <f t="shared" si="310"/>
        <v>229</v>
      </c>
      <c r="AF1115" s="90">
        <f t="shared" si="311"/>
        <v>2014</v>
      </c>
      <c r="AG1115" s="90">
        <f t="shared" si="312"/>
        <v>414</v>
      </c>
      <c r="AH1115" s="90">
        <f t="shared" si="313"/>
        <v>2018</v>
      </c>
      <c r="AI1115" s="90">
        <f t="shared" si="314"/>
        <v>414</v>
      </c>
      <c r="AJ1115" s="90">
        <f t="shared" si="315"/>
        <v>2018</v>
      </c>
      <c r="AK1115" s="90" t="str">
        <f t="shared" si="316"/>
        <v/>
      </c>
      <c r="AL1115" s="91">
        <f>IF(AK1115="Adjust",(_xlfn.XLOOKUP(A1115,'Adj factor'!A:A,'Adj factor'!I:I,,0)*AI1115),'Master DataSheet'!AI1115)</f>
        <v>414</v>
      </c>
      <c r="AM1115" s="91">
        <f t="shared" si="317"/>
        <v>414</v>
      </c>
      <c r="AN1115" s="92" t="str">
        <f t="shared" si="318"/>
        <v>No change</v>
      </c>
      <c r="AO1115" s="93">
        <f>VLOOKUP(B1115,'Growthrates source'!A$2:H$49,8,FALSE)</f>
        <v>8.5173735635071912E-2</v>
      </c>
      <c r="AP1115" s="93">
        <f>VLOOKUP(B1115,'Growthrates source'!A$2:I$49,9,FALSE)</f>
        <v>0.17704702295875174</v>
      </c>
      <c r="AQ1115" s="86">
        <f t="shared" si="319"/>
        <v>213.59709199161381</v>
      </c>
      <c r="AR1115" s="86">
        <f t="shared" si="320"/>
        <v>556.18514853122394</v>
      </c>
      <c r="AS1115" s="94">
        <f t="shared" si="321"/>
        <v>0.16893609689672859</v>
      </c>
      <c r="AT1115" s="94">
        <f t="shared" si="322"/>
        <v>0.27504314324087442</v>
      </c>
      <c r="AU1115" s="94">
        <f t="shared" si="323"/>
        <v>0.25366812378783865</v>
      </c>
    </row>
    <row r="1116" spans="1:47" x14ac:dyDescent="0.3">
      <c r="A1116" s="85" t="str">
        <f>_xlfn.XLOOKUP(B1116,'Country codes &amp; Data sources'!G:G,'Country codes &amp; Data sources'!H:H,,0)</f>
        <v>Zimbabwe</v>
      </c>
      <c r="B1116" s="85" t="s">
        <v>193</v>
      </c>
      <c r="C1116" s="86">
        <v>13265341</v>
      </c>
      <c r="D1116" s="85" t="s">
        <v>205</v>
      </c>
      <c r="E1116" s="87">
        <v>27</v>
      </c>
      <c r="F1116" s="88">
        <v>13555421.500000011</v>
      </c>
      <c r="G1116" s="87">
        <v>26</v>
      </c>
      <c r="I1116" s="87">
        <v>26</v>
      </c>
      <c r="K1116" s="87">
        <v>0</v>
      </c>
      <c r="M1116" s="87">
        <v>17</v>
      </c>
      <c r="O1116" s="87">
        <v>0</v>
      </c>
      <c r="P1116" s="88">
        <v>15052184.000000007</v>
      </c>
      <c r="Q1116" s="87">
        <v>40</v>
      </c>
      <c r="R1116" s="87">
        <f t="shared" si="306"/>
        <v>40</v>
      </c>
      <c r="T1116" s="87">
        <v>25</v>
      </c>
      <c r="V1116" s="87">
        <v>0</v>
      </c>
      <c r="X1116" s="87">
        <v>0</v>
      </c>
      <c r="Y1116" s="88">
        <v>16320536.999999996</v>
      </c>
      <c r="Z1116" s="103">
        <v>318</v>
      </c>
      <c r="AA1116" s="87">
        <v>10</v>
      </c>
      <c r="AB1116" s="89">
        <f t="shared" si="307"/>
        <v>27</v>
      </c>
      <c r="AC1116" s="89">
        <f t="shared" si="308"/>
        <v>40</v>
      </c>
      <c r="AD1116" s="89">
        <f t="shared" si="309"/>
        <v>318</v>
      </c>
      <c r="AE1116" s="90">
        <f t="shared" si="310"/>
        <v>26</v>
      </c>
      <c r="AF1116" s="90">
        <f t="shared" si="311"/>
        <v>2013</v>
      </c>
      <c r="AG1116" s="90">
        <f t="shared" si="312"/>
        <v>40</v>
      </c>
      <c r="AH1116" s="90">
        <f t="shared" si="313"/>
        <v>2018</v>
      </c>
      <c r="AI1116" s="90">
        <f t="shared" si="314"/>
        <v>318</v>
      </c>
      <c r="AJ1116" s="90">
        <f t="shared" si="315"/>
        <v>2022</v>
      </c>
      <c r="AK1116" s="90" t="str">
        <f t="shared" si="316"/>
        <v/>
      </c>
      <c r="AL1116" s="91">
        <f>IF(AK1116="Adjust",(_xlfn.XLOOKUP(A1116,'Adj factor'!A:A,'Adj factor'!I:I,,0)*AI1116),'Master DataSheet'!AI1116)</f>
        <v>318</v>
      </c>
      <c r="AM1116" s="91">
        <f t="shared" si="317"/>
        <v>318</v>
      </c>
      <c r="AN1116" s="92" t="str">
        <f t="shared" si="318"/>
        <v>Increasing</v>
      </c>
      <c r="AO1116" s="93">
        <f>VLOOKUP(B1116,'Growthrates source'!A$2:H$49,8,FALSE)</f>
        <v>8.5173735635071912E-2</v>
      </c>
      <c r="AP1116" s="93">
        <f>VLOOKUP(B1116,'Growthrates source'!A$2:I$49,9,FALSE)</f>
        <v>0.17704702295875174</v>
      </c>
      <c r="AQ1116" s="86">
        <f t="shared" si="319"/>
        <v>6.5320211618230521</v>
      </c>
      <c r="AR1116" s="86">
        <f t="shared" si="320"/>
        <v>17.00872013856954</v>
      </c>
      <c r="AS1116" s="94">
        <f t="shared" si="321"/>
        <v>1.918051755159364E-2</v>
      </c>
      <c r="AT1116" s="94">
        <f t="shared" si="322"/>
        <v>2.6574216738248734E-2</v>
      </c>
      <c r="AU1116" s="94">
        <f t="shared" si="323"/>
        <v>0.194846529866021</v>
      </c>
    </row>
    <row r="1117" spans="1:47" x14ac:dyDescent="0.3">
      <c r="A1117" s="85" t="str">
        <f>_xlfn.XLOOKUP(B1117,'Country codes &amp; Data sources'!G:G,'Country codes &amp; Data sources'!H:H,,0)</f>
        <v>Zimbabwe</v>
      </c>
      <c r="B1117" s="85" t="s">
        <v>193</v>
      </c>
      <c r="C1117" s="86">
        <v>13265342</v>
      </c>
      <c r="D1117" s="85" t="s">
        <v>133</v>
      </c>
      <c r="E1117" s="87">
        <v>352</v>
      </c>
      <c r="F1117" s="88">
        <v>13555421.500000011</v>
      </c>
      <c r="G1117" s="87">
        <v>343</v>
      </c>
      <c r="I1117" s="87">
        <v>0</v>
      </c>
      <c r="K1117" s="87">
        <v>0</v>
      </c>
      <c r="M1117" s="87">
        <v>0</v>
      </c>
      <c r="O1117" s="87">
        <v>0</v>
      </c>
      <c r="P1117" s="88">
        <v>15052184.000000007</v>
      </c>
      <c r="Q1117" s="87">
        <v>644</v>
      </c>
      <c r="R1117" s="87">
        <f t="shared" si="306"/>
        <v>644</v>
      </c>
      <c r="T1117" s="87">
        <v>0</v>
      </c>
      <c r="V1117" s="87">
        <v>0</v>
      </c>
      <c r="X1117" s="87">
        <v>0</v>
      </c>
      <c r="Y1117" s="88">
        <v>16320536.999999996</v>
      </c>
      <c r="Z1117" s="87">
        <v>757</v>
      </c>
      <c r="AA1117" s="87">
        <v>368</v>
      </c>
      <c r="AB1117" s="89">
        <f t="shared" si="307"/>
        <v>352</v>
      </c>
      <c r="AC1117" s="89">
        <f t="shared" si="308"/>
        <v>644</v>
      </c>
      <c r="AD1117" s="89">
        <f t="shared" si="309"/>
        <v>757</v>
      </c>
      <c r="AE1117" s="90">
        <f t="shared" si="310"/>
        <v>343</v>
      </c>
      <c r="AF1117" s="90">
        <f t="shared" si="311"/>
        <v>2013</v>
      </c>
      <c r="AG1117" s="90">
        <f t="shared" si="312"/>
        <v>644</v>
      </c>
      <c r="AH1117" s="90">
        <f t="shared" si="313"/>
        <v>2018</v>
      </c>
      <c r="AI1117" s="90">
        <f t="shared" si="314"/>
        <v>757</v>
      </c>
      <c r="AJ1117" s="90">
        <f t="shared" si="315"/>
        <v>2022</v>
      </c>
      <c r="AK1117" s="90" t="str">
        <f t="shared" si="316"/>
        <v/>
      </c>
      <c r="AL1117" s="91">
        <f>IF(AK1117="Adjust",(_xlfn.XLOOKUP(A1117,'Adj factor'!A:A,'Adj factor'!I:I,,0)*AI1117),'Master DataSheet'!AI1117)</f>
        <v>757</v>
      </c>
      <c r="AM1117" s="91">
        <f t="shared" si="317"/>
        <v>757</v>
      </c>
      <c r="AN1117" s="92" t="str">
        <f t="shared" si="318"/>
        <v>Increasing</v>
      </c>
      <c r="AO1117" s="93">
        <f>VLOOKUP(B1117,'Growthrates source'!A$2:H$49,8,FALSE)</f>
        <v>8.5173735635071912E-2</v>
      </c>
      <c r="AP1117" s="93">
        <f>VLOOKUP(B1117,'Growthrates source'!A$2:I$49,9,FALSE)</f>
        <v>0.17704702295875174</v>
      </c>
      <c r="AQ1117" s="86">
        <f t="shared" si="319"/>
        <v>240.37837875508831</v>
      </c>
      <c r="AR1117" s="86">
        <f t="shared" si="320"/>
        <v>625.92090109935907</v>
      </c>
      <c r="AS1117" s="94">
        <f t="shared" si="321"/>
        <v>0.25303528923833146</v>
      </c>
      <c r="AT1117" s="94">
        <f t="shared" si="322"/>
        <v>0.42784488948580462</v>
      </c>
      <c r="AU1117" s="94">
        <f t="shared" si="323"/>
        <v>0.46383277707099968</v>
      </c>
    </row>
    <row r="1118" spans="1:47" x14ac:dyDescent="0.3">
      <c r="A1118" s="85" t="str">
        <f>_xlfn.XLOOKUP(B1118,'Country codes &amp; Data sources'!G:G,'Country codes &amp; Data sources'!H:H,,0)</f>
        <v>Zimbabwe</v>
      </c>
      <c r="B1118" s="85" t="s">
        <v>193</v>
      </c>
      <c r="C1118" s="86">
        <v>13265343</v>
      </c>
      <c r="D1118" s="85" t="s">
        <v>206</v>
      </c>
      <c r="E1118" s="87">
        <v>0</v>
      </c>
      <c r="F1118" s="88">
        <v>13555421.500000011</v>
      </c>
      <c r="G1118" s="87">
        <v>0</v>
      </c>
      <c r="I1118" s="87">
        <v>0</v>
      </c>
      <c r="K1118" s="87">
        <v>0</v>
      </c>
      <c r="M1118" s="87">
        <v>0</v>
      </c>
      <c r="O1118" s="87">
        <v>0</v>
      </c>
      <c r="P1118" s="88">
        <v>15052184.000000007</v>
      </c>
      <c r="Q1118" s="87">
        <v>164</v>
      </c>
      <c r="R1118" s="87">
        <f t="shared" si="306"/>
        <v>164</v>
      </c>
      <c r="T1118" s="87">
        <v>0</v>
      </c>
      <c r="V1118" s="87">
        <v>0</v>
      </c>
      <c r="X1118" s="87">
        <v>0</v>
      </c>
      <c r="Y1118" s="88">
        <v>16320536.999999996</v>
      </c>
      <c r="Z1118" s="87">
        <v>0</v>
      </c>
      <c r="AA1118" s="87">
        <v>76</v>
      </c>
      <c r="AB1118" s="89">
        <f t="shared" si="307"/>
        <v>0</v>
      </c>
      <c r="AC1118" s="89">
        <f t="shared" si="308"/>
        <v>164</v>
      </c>
      <c r="AD1118" s="89">
        <f t="shared" si="309"/>
        <v>0</v>
      </c>
      <c r="AE1118" s="90">
        <f t="shared" si="310"/>
        <v>0</v>
      </c>
      <c r="AF1118" s="90" t="str">
        <f t="shared" si="311"/>
        <v/>
      </c>
      <c r="AG1118" s="90">
        <f t="shared" si="312"/>
        <v>164</v>
      </c>
      <c r="AH1118" s="90">
        <f t="shared" si="313"/>
        <v>2018</v>
      </c>
      <c r="AI1118" s="90">
        <f t="shared" si="314"/>
        <v>164</v>
      </c>
      <c r="AJ1118" s="90">
        <f t="shared" si="315"/>
        <v>2018</v>
      </c>
      <c r="AK1118" s="90" t="str">
        <f t="shared" si="316"/>
        <v/>
      </c>
      <c r="AL1118" s="91">
        <f>IF(AK1118="Adjust",(_xlfn.XLOOKUP(A1118,'Adj factor'!A:A,'Adj factor'!I:I,,0)*AI1118),'Master DataSheet'!AI1118)</f>
        <v>164</v>
      </c>
      <c r="AM1118" s="91">
        <f t="shared" si="317"/>
        <v>164</v>
      </c>
      <c r="AN1118" s="92" t="str">
        <f t="shared" si="318"/>
        <v>No change</v>
      </c>
      <c r="AO1118" s="93">
        <f>VLOOKUP(B1118,'Growthrates source'!A$2:H$49,8,FALSE)</f>
        <v>8.5173735635071912E-2</v>
      </c>
      <c r="AP1118" s="93">
        <f>VLOOKUP(B1118,'Growthrates source'!A$2:I$49,9,FALSE)</f>
        <v>0.17704702295875174</v>
      </c>
      <c r="AQ1118" s="86">
        <f t="shared" si="319"/>
        <v>49.643360829855197</v>
      </c>
      <c r="AR1118" s="86">
        <f t="shared" si="320"/>
        <v>129.26627305312851</v>
      </c>
      <c r="AS1118" s="94">
        <f t="shared" si="321"/>
        <v>0</v>
      </c>
      <c r="AT1118" s="94">
        <f t="shared" si="322"/>
        <v>0.10895428862681981</v>
      </c>
      <c r="AU1118" s="94">
        <f t="shared" si="323"/>
        <v>0.10048688961643851</v>
      </c>
    </row>
    <row r="1119" spans="1:47" x14ac:dyDescent="0.3">
      <c r="A1119" s="85" t="str">
        <f>_xlfn.XLOOKUP(B1119,'Country codes &amp; Data sources'!G:G,'Country codes &amp; Data sources'!H:H,,0)</f>
        <v>Zimbabwe</v>
      </c>
      <c r="B1119" s="85" t="s">
        <v>193</v>
      </c>
      <c r="C1119" s="86">
        <v>13265344</v>
      </c>
      <c r="D1119" s="85" t="s">
        <v>136</v>
      </c>
      <c r="E1119" s="87">
        <v>233</v>
      </c>
      <c r="F1119" s="88">
        <v>13555421.500000011</v>
      </c>
      <c r="G1119" s="87">
        <v>239</v>
      </c>
      <c r="I1119" s="87">
        <v>312</v>
      </c>
      <c r="K1119" s="87">
        <v>511</v>
      </c>
      <c r="M1119" s="87">
        <v>320</v>
      </c>
      <c r="O1119" s="87">
        <v>417</v>
      </c>
      <c r="P1119" s="88">
        <v>15052184.000000007</v>
      </c>
      <c r="Q1119" s="87">
        <v>480</v>
      </c>
      <c r="R1119" s="87">
        <f t="shared" si="306"/>
        <v>480</v>
      </c>
      <c r="T1119" s="87">
        <v>0</v>
      </c>
      <c r="V1119" s="87">
        <v>0</v>
      </c>
      <c r="X1119" s="87">
        <v>0</v>
      </c>
      <c r="Y1119" s="88">
        <v>16320536.999999996</v>
      </c>
      <c r="Z1119" s="103">
        <v>376</v>
      </c>
      <c r="AA1119" s="87">
        <v>412</v>
      </c>
      <c r="AB1119" s="89">
        <f t="shared" si="307"/>
        <v>511</v>
      </c>
      <c r="AC1119" s="89">
        <f t="shared" si="308"/>
        <v>480</v>
      </c>
      <c r="AD1119" s="89">
        <f t="shared" si="309"/>
        <v>376</v>
      </c>
      <c r="AE1119" s="90">
        <f t="shared" si="310"/>
        <v>239</v>
      </c>
      <c r="AF1119" s="90">
        <f t="shared" si="311"/>
        <v>2013</v>
      </c>
      <c r="AG1119" s="90">
        <f t="shared" si="312"/>
        <v>480</v>
      </c>
      <c r="AH1119" s="90">
        <f t="shared" si="313"/>
        <v>2018</v>
      </c>
      <c r="AI1119" s="90">
        <f t="shared" si="314"/>
        <v>376</v>
      </c>
      <c r="AJ1119" s="90">
        <f t="shared" si="315"/>
        <v>2022</v>
      </c>
      <c r="AK1119" s="90" t="str">
        <f t="shared" si="316"/>
        <v>Adjust</v>
      </c>
      <c r="AL1119" s="91">
        <f>IF(AK1119="Adjust",(_xlfn.XLOOKUP(A1119,'Adj factor'!A:A,'Adj factor'!I:I,,0)*AI1119),'Master DataSheet'!AI1119)</f>
        <v>434.81572579045508</v>
      </c>
      <c r="AM1119" s="91">
        <f t="shared" si="317"/>
        <v>480</v>
      </c>
      <c r="AN1119" s="92" t="str">
        <f t="shared" si="318"/>
        <v>Decreasing</v>
      </c>
      <c r="AO1119" s="93">
        <f>VLOOKUP(B1119,'Growthrates source'!A$2:H$49,8,FALSE)</f>
        <v>8.5173735635071912E-2</v>
      </c>
      <c r="AP1119" s="93">
        <f>VLOOKUP(B1119,'Growthrates source'!A$2:I$49,9,FALSE)</f>
        <v>0.17704702295875174</v>
      </c>
      <c r="AQ1119" s="86">
        <f t="shared" si="319"/>
        <v>269.11927186710972</v>
      </c>
      <c r="AR1119" s="86">
        <f t="shared" si="320"/>
        <v>700.75926970906505</v>
      </c>
      <c r="AS1119" s="94">
        <f t="shared" si="321"/>
        <v>0.17631321903195693</v>
      </c>
      <c r="AT1119" s="94">
        <f t="shared" si="322"/>
        <v>0.3188906008589848</v>
      </c>
      <c r="AU1119" s="94">
        <f t="shared" si="323"/>
        <v>0.2941079696090883</v>
      </c>
    </row>
    <row r="1120" spans="1:47" x14ac:dyDescent="0.3">
      <c r="A1120" s="85" t="str">
        <f>_xlfn.XLOOKUP(B1120,'Country codes &amp; Data sources'!G:G,'Country codes &amp; Data sources'!H:H,,0)</f>
        <v>Zimbabwe</v>
      </c>
      <c r="B1120" s="85" t="s">
        <v>193</v>
      </c>
      <c r="C1120" s="86">
        <v>13265345</v>
      </c>
      <c r="D1120" s="85" t="s">
        <v>207</v>
      </c>
      <c r="E1120" s="87">
        <v>0</v>
      </c>
      <c r="F1120" s="88">
        <v>13555421.500000011</v>
      </c>
      <c r="G1120" s="87">
        <v>0</v>
      </c>
      <c r="I1120" s="87">
        <v>0</v>
      </c>
      <c r="K1120" s="87">
        <v>0</v>
      </c>
      <c r="M1120" s="87">
        <v>678</v>
      </c>
      <c r="O1120" s="87">
        <v>605</v>
      </c>
      <c r="P1120" s="88">
        <v>15052184.000000007</v>
      </c>
      <c r="Q1120" s="87">
        <v>703</v>
      </c>
      <c r="R1120" s="87">
        <f t="shared" si="306"/>
        <v>718</v>
      </c>
      <c r="T1120" s="87">
        <v>0</v>
      </c>
      <c r="V1120" s="87">
        <v>0</v>
      </c>
      <c r="X1120" s="87">
        <v>0</v>
      </c>
      <c r="Y1120" s="88">
        <v>16320536.999999996</v>
      </c>
      <c r="Z1120" s="87">
        <v>0</v>
      </c>
      <c r="AA1120" s="87">
        <v>718</v>
      </c>
      <c r="AB1120" s="89">
        <f t="shared" si="307"/>
        <v>0</v>
      </c>
      <c r="AC1120" s="89">
        <f t="shared" si="308"/>
        <v>703</v>
      </c>
      <c r="AD1120" s="89">
        <f t="shared" si="309"/>
        <v>0</v>
      </c>
      <c r="AE1120" s="90">
        <f t="shared" si="310"/>
        <v>0</v>
      </c>
      <c r="AF1120" s="90" t="str">
        <f t="shared" si="311"/>
        <v/>
      </c>
      <c r="AG1120" s="90">
        <f t="shared" si="312"/>
        <v>718</v>
      </c>
      <c r="AH1120" s="90" t="str">
        <f t="shared" si="313"/>
        <v>2018 (triag)</v>
      </c>
      <c r="AI1120" s="90">
        <f t="shared" si="314"/>
        <v>718</v>
      </c>
      <c r="AJ1120" s="90" t="str">
        <f t="shared" si="315"/>
        <v>2018 (triag)</v>
      </c>
      <c r="AK1120" s="90" t="str">
        <f t="shared" si="316"/>
        <v/>
      </c>
      <c r="AL1120" s="91">
        <f>IF(AK1120="Adjust",(_xlfn.XLOOKUP(A1120,'Adj factor'!A:A,'Adj factor'!I:I,,0)*AI1120),'Master DataSheet'!AI1120)</f>
        <v>718</v>
      </c>
      <c r="AM1120" s="91">
        <f t="shared" si="317"/>
        <v>718</v>
      </c>
      <c r="AN1120" s="92" t="str">
        <f t="shared" si="318"/>
        <v>No change</v>
      </c>
      <c r="AO1120" s="93">
        <f>VLOOKUP(B1120,'Growthrates source'!A$2:H$49,8,FALSE)</f>
        <v>8.5173735635071912E-2</v>
      </c>
      <c r="AP1120" s="93">
        <f>VLOOKUP(B1120,'Growthrates source'!A$2:I$49,9,FALSE)</f>
        <v>0.17704702295875174</v>
      </c>
      <c r="AQ1120" s="86">
        <f t="shared" si="319"/>
        <v>468.99911941889513</v>
      </c>
      <c r="AR1120" s="86">
        <f t="shared" si="320"/>
        <v>1221.226105949293</v>
      </c>
      <c r="AS1120" s="94">
        <f t="shared" si="321"/>
        <v>0</v>
      </c>
      <c r="AT1120" s="94">
        <f t="shared" si="322"/>
        <v>0.47700719045156481</v>
      </c>
      <c r="AU1120" s="94">
        <f t="shared" si="323"/>
        <v>0.43993650454026123</v>
      </c>
    </row>
    <row r="1121" spans="1:47" x14ac:dyDescent="0.3">
      <c r="A1121" s="85" t="str">
        <f>_xlfn.XLOOKUP(B1121,'Country codes &amp; Data sources'!G:G,'Country codes &amp; Data sources'!H:H,,0)</f>
        <v>Zimbabwe</v>
      </c>
      <c r="B1121" s="85" t="s">
        <v>193</v>
      </c>
      <c r="C1121" s="86">
        <v>13265346</v>
      </c>
      <c r="D1121" s="85" t="s">
        <v>141</v>
      </c>
      <c r="E1121" s="87">
        <v>0</v>
      </c>
      <c r="F1121" s="88">
        <v>13555421.500000011</v>
      </c>
      <c r="G1121" s="87">
        <v>0</v>
      </c>
      <c r="I1121" s="87">
        <v>0</v>
      </c>
      <c r="K1121" s="87">
        <v>0</v>
      </c>
      <c r="M1121" s="87">
        <v>13</v>
      </c>
      <c r="O1121" s="87">
        <v>20</v>
      </c>
      <c r="P1121" s="88">
        <v>15052184.000000007</v>
      </c>
      <c r="Q1121" s="87">
        <v>20</v>
      </c>
      <c r="R1121" s="87">
        <f t="shared" si="306"/>
        <v>20</v>
      </c>
      <c r="T1121" s="87">
        <v>0</v>
      </c>
      <c r="V1121" s="87">
        <v>0</v>
      </c>
      <c r="X1121" s="87">
        <v>0</v>
      </c>
      <c r="Y1121" s="88">
        <v>16320536.999999996</v>
      </c>
      <c r="Z1121" s="87">
        <v>0</v>
      </c>
      <c r="AA1121" s="87">
        <v>0</v>
      </c>
      <c r="AB1121" s="89">
        <f t="shared" si="307"/>
        <v>0</v>
      </c>
      <c r="AC1121" s="89">
        <f t="shared" si="308"/>
        <v>20</v>
      </c>
      <c r="AD1121" s="89">
        <f t="shared" si="309"/>
        <v>0</v>
      </c>
      <c r="AE1121" s="90">
        <f t="shared" si="310"/>
        <v>0</v>
      </c>
      <c r="AF1121" s="90" t="str">
        <f t="shared" si="311"/>
        <v/>
      </c>
      <c r="AG1121" s="90">
        <f t="shared" si="312"/>
        <v>20</v>
      </c>
      <c r="AH1121" s="90">
        <f t="shared" si="313"/>
        <v>2017</v>
      </c>
      <c r="AI1121" s="90">
        <f t="shared" si="314"/>
        <v>20</v>
      </c>
      <c r="AJ1121" s="90">
        <f t="shared" si="315"/>
        <v>2017</v>
      </c>
      <c r="AK1121" s="90" t="str">
        <f t="shared" si="316"/>
        <v/>
      </c>
      <c r="AL1121" s="91">
        <f>IF(AK1121="Adjust",(_xlfn.XLOOKUP(A1121,'Adj factor'!A:A,'Adj factor'!I:I,,0)*AI1121),'Master DataSheet'!AI1121)</f>
        <v>20</v>
      </c>
      <c r="AM1121" s="91">
        <f t="shared" si="317"/>
        <v>20</v>
      </c>
      <c r="AN1121" s="92" t="str">
        <f t="shared" si="318"/>
        <v>No change</v>
      </c>
      <c r="AO1121" s="93">
        <f>VLOOKUP(B1121,'Growthrates source'!A$2:H$49,8,FALSE)</f>
        <v>8.5173735635071912E-2</v>
      </c>
      <c r="AP1121" s="93">
        <f>VLOOKUP(B1121,'Growthrates source'!A$2:I$49,9,FALSE)</f>
        <v>0.17704702295875174</v>
      </c>
      <c r="AQ1121" s="86">
        <f t="shared" si="319"/>
        <v>0</v>
      </c>
      <c r="AR1121" s="86">
        <f t="shared" si="320"/>
        <v>0</v>
      </c>
      <c r="AS1121" s="94">
        <f t="shared" si="321"/>
        <v>0</v>
      </c>
      <c r="AT1121" s="94">
        <f t="shared" si="322"/>
        <v>1.3287108369124367E-2</v>
      </c>
      <c r="AU1121" s="94">
        <f t="shared" si="323"/>
        <v>1.2254498733712012E-2</v>
      </c>
    </row>
    <row r="1122" spans="1:47" x14ac:dyDescent="0.3">
      <c r="A1122" s="85" t="str">
        <f>_xlfn.XLOOKUP(B1122,'Country codes &amp; Data sources'!G:G,'Country codes &amp; Data sources'!H:H,,0)</f>
        <v>Zimbabwe</v>
      </c>
      <c r="B1122" s="85" t="s">
        <v>193</v>
      </c>
      <c r="C1122" s="86">
        <v>13265347</v>
      </c>
      <c r="D1122" s="85" t="s">
        <v>208</v>
      </c>
      <c r="E1122" s="87">
        <v>0</v>
      </c>
      <c r="F1122" s="88">
        <v>13555421.500000011</v>
      </c>
      <c r="G1122" s="87">
        <v>0</v>
      </c>
      <c r="I1122" s="87">
        <v>0</v>
      </c>
      <c r="K1122" s="87">
        <v>0</v>
      </c>
      <c r="M1122" s="87">
        <v>0</v>
      </c>
      <c r="O1122" s="87">
        <v>1733</v>
      </c>
      <c r="P1122" s="88">
        <v>15052184.000000007</v>
      </c>
      <c r="Q1122" s="87">
        <v>0</v>
      </c>
      <c r="R1122" s="87">
        <f t="shared" si="306"/>
        <v>9502</v>
      </c>
      <c r="T1122" s="87">
        <v>0</v>
      </c>
      <c r="V1122" s="87">
        <v>0</v>
      </c>
      <c r="X1122" s="87">
        <v>0</v>
      </c>
      <c r="Y1122" s="88">
        <v>16320536.999999996</v>
      </c>
      <c r="Z1122" s="87">
        <v>0</v>
      </c>
      <c r="AA1122" s="87">
        <v>9502</v>
      </c>
      <c r="AB1122" s="89">
        <f t="shared" si="307"/>
        <v>0</v>
      </c>
      <c r="AC1122" s="89">
        <f t="shared" si="308"/>
        <v>1733</v>
      </c>
      <c r="AD1122" s="89">
        <f t="shared" si="309"/>
        <v>0</v>
      </c>
      <c r="AE1122" s="90">
        <f t="shared" si="310"/>
        <v>0</v>
      </c>
      <c r="AF1122" s="90" t="str">
        <f t="shared" si="311"/>
        <v/>
      </c>
      <c r="AG1122" s="90">
        <f t="shared" si="312"/>
        <v>9502</v>
      </c>
      <c r="AH1122" s="90" t="str">
        <f t="shared" si="313"/>
        <v>2018 (triag)</v>
      </c>
      <c r="AI1122" s="90">
        <f t="shared" si="314"/>
        <v>9502</v>
      </c>
      <c r="AJ1122" s="90" t="str">
        <f t="shared" si="315"/>
        <v>2018 (triag)</v>
      </c>
      <c r="AK1122" s="90" t="str">
        <f t="shared" si="316"/>
        <v/>
      </c>
      <c r="AL1122" s="91">
        <f>IF(AK1122="Adjust",(_xlfn.XLOOKUP(A1122,'Adj factor'!A:A,'Adj factor'!I:I,,0)*AI1122),'Master DataSheet'!AI1122)</f>
        <v>9502</v>
      </c>
      <c r="AM1122" s="91">
        <f t="shared" si="317"/>
        <v>9502</v>
      </c>
      <c r="AN1122" s="92" t="str">
        <f t="shared" si="318"/>
        <v>No change</v>
      </c>
      <c r="AO1122" s="93">
        <f>VLOOKUP(B1122,'Growthrates source'!A$2:H$49,8,FALSE)</f>
        <v>8.5173735635071912E-2</v>
      </c>
      <c r="AP1122" s="93">
        <f>VLOOKUP(B1122,'Growthrates source'!A$2:I$49,9,FALSE)</f>
        <v>0.17704702295875174</v>
      </c>
      <c r="AQ1122" s="86">
        <f t="shared" si="319"/>
        <v>6206.7265079642639</v>
      </c>
      <c r="AR1122" s="86">
        <f t="shared" si="320"/>
        <v>16161.685875668776</v>
      </c>
      <c r="AS1122" s="94">
        <f t="shared" si="321"/>
        <v>0</v>
      </c>
      <c r="AT1122" s="94">
        <f t="shared" si="322"/>
        <v>6.3127051861709873</v>
      </c>
      <c r="AU1122" s="94">
        <f t="shared" si="323"/>
        <v>5.8221123483865771</v>
      </c>
    </row>
    <row r="1123" spans="1:47" x14ac:dyDescent="0.3">
      <c r="A1123" s="85" t="str">
        <f>_xlfn.XLOOKUP(B1123,'Country codes &amp; Data sources'!G:G,'Country codes &amp; Data sources'!H:H,,0)</f>
        <v>Zimbabwe</v>
      </c>
      <c r="B1123" s="85" t="s">
        <v>193</v>
      </c>
      <c r="C1123" s="86">
        <v>13265348</v>
      </c>
      <c r="D1123" s="85" t="s">
        <v>209</v>
      </c>
      <c r="E1123" s="87">
        <v>0</v>
      </c>
      <c r="F1123" s="88">
        <v>13555421.500000011</v>
      </c>
      <c r="G1123" s="87">
        <v>0</v>
      </c>
      <c r="I1123" s="87">
        <v>0</v>
      </c>
      <c r="K1123" s="87">
        <v>0</v>
      </c>
      <c r="M1123" s="87">
        <v>0</v>
      </c>
      <c r="O1123" s="87">
        <v>0</v>
      </c>
      <c r="P1123" s="88">
        <v>15052184.000000007</v>
      </c>
      <c r="Q1123" s="87">
        <v>0</v>
      </c>
      <c r="R1123" s="87">
        <f t="shared" si="306"/>
        <v>1122</v>
      </c>
      <c r="T1123" s="87">
        <v>0</v>
      </c>
      <c r="V1123" s="87">
        <v>0</v>
      </c>
      <c r="X1123" s="87">
        <v>0</v>
      </c>
      <c r="Y1123" s="88">
        <v>16320536.999999996</v>
      </c>
      <c r="Z1123" s="87">
        <v>0</v>
      </c>
      <c r="AA1123" s="87">
        <v>1122</v>
      </c>
      <c r="AB1123" s="89">
        <f t="shared" si="307"/>
        <v>0</v>
      </c>
      <c r="AC1123" s="89">
        <f t="shared" si="308"/>
        <v>0</v>
      </c>
      <c r="AD1123" s="89">
        <f t="shared" si="309"/>
        <v>0</v>
      </c>
      <c r="AE1123" s="90">
        <f t="shared" si="310"/>
        <v>0</v>
      </c>
      <c r="AF1123" s="90" t="str">
        <f t="shared" si="311"/>
        <v/>
      </c>
      <c r="AG1123" s="90">
        <f t="shared" si="312"/>
        <v>1122</v>
      </c>
      <c r="AH1123" s="90" t="str">
        <f t="shared" si="313"/>
        <v>2018 (triag)</v>
      </c>
      <c r="AI1123" s="90">
        <f t="shared" si="314"/>
        <v>1122</v>
      </c>
      <c r="AJ1123" s="90" t="str">
        <f t="shared" si="315"/>
        <v>2018 (triag)</v>
      </c>
      <c r="AK1123" s="90" t="str">
        <f t="shared" si="316"/>
        <v/>
      </c>
      <c r="AL1123" s="91">
        <f>IF(AK1123="Adjust",(_xlfn.XLOOKUP(A1123,'Adj factor'!A:A,'Adj factor'!I:I,,0)*AI1123),'Master DataSheet'!AI1123)</f>
        <v>1122</v>
      </c>
      <c r="AM1123" s="91">
        <f t="shared" si="317"/>
        <v>1122</v>
      </c>
      <c r="AN1123" s="92" t="str">
        <f t="shared" si="318"/>
        <v>No change</v>
      </c>
      <c r="AO1123" s="93">
        <f>VLOOKUP(B1123,'Growthrates source'!A$2:H$49,8,FALSE)</f>
        <v>8.5173735635071912E-2</v>
      </c>
      <c r="AP1123" s="93">
        <f>VLOOKUP(B1123,'Growthrates source'!A$2:I$49,9,FALSE)</f>
        <v>0.17704702295875174</v>
      </c>
      <c r="AQ1123" s="86">
        <f t="shared" si="319"/>
        <v>732.8927743565464</v>
      </c>
      <c r="AR1123" s="86">
        <f t="shared" si="320"/>
        <v>1908.3783995475023</v>
      </c>
      <c r="AS1123" s="94">
        <f t="shared" si="321"/>
        <v>0</v>
      </c>
      <c r="AT1123" s="94">
        <f t="shared" si="322"/>
        <v>0.74540677950787704</v>
      </c>
      <c r="AU1123" s="94">
        <f t="shared" si="323"/>
        <v>0.68747737896124395</v>
      </c>
    </row>
    <row r="1124" spans="1:47" x14ac:dyDescent="0.3">
      <c r="A1124" s="85" t="str">
        <f>_xlfn.XLOOKUP(B1124,'Country codes &amp; Data sources'!G:G,'Country codes &amp; Data sources'!H:H,,0)</f>
        <v>Zimbabwe</v>
      </c>
      <c r="B1124" s="85" t="s">
        <v>193</v>
      </c>
      <c r="C1124" s="86">
        <v>13265349</v>
      </c>
      <c r="D1124" s="85" t="s">
        <v>134</v>
      </c>
      <c r="E1124" s="87">
        <v>0</v>
      </c>
      <c r="F1124" s="88">
        <v>13555421.500000011</v>
      </c>
      <c r="G1124" s="87">
        <v>0</v>
      </c>
      <c r="I1124" s="87">
        <v>519</v>
      </c>
      <c r="K1124" s="87">
        <v>644</v>
      </c>
      <c r="M1124" s="87">
        <v>600</v>
      </c>
      <c r="O1124" s="87">
        <v>781</v>
      </c>
      <c r="P1124" s="88">
        <v>15052184.000000007</v>
      </c>
      <c r="Q1124" s="87">
        <v>1126</v>
      </c>
      <c r="R1124" s="87">
        <f t="shared" si="306"/>
        <v>1126</v>
      </c>
      <c r="T1124" s="87">
        <v>0</v>
      </c>
      <c r="V1124" s="87">
        <v>0</v>
      </c>
      <c r="X1124" s="87">
        <v>0</v>
      </c>
      <c r="Y1124" s="88">
        <v>16320536.999999996</v>
      </c>
      <c r="Z1124" s="87">
        <v>795</v>
      </c>
      <c r="AA1124" s="87">
        <v>648</v>
      </c>
      <c r="AB1124" s="89">
        <f t="shared" si="307"/>
        <v>644</v>
      </c>
      <c r="AC1124" s="89">
        <f t="shared" si="308"/>
        <v>1126</v>
      </c>
      <c r="AD1124" s="89">
        <f t="shared" si="309"/>
        <v>795</v>
      </c>
      <c r="AE1124" s="90">
        <f t="shared" si="310"/>
        <v>519</v>
      </c>
      <c r="AF1124" s="90">
        <f t="shared" si="311"/>
        <v>2014</v>
      </c>
      <c r="AG1124" s="90">
        <f t="shared" si="312"/>
        <v>1126</v>
      </c>
      <c r="AH1124" s="90">
        <f t="shared" si="313"/>
        <v>2018</v>
      </c>
      <c r="AI1124" s="90">
        <f t="shared" si="314"/>
        <v>795</v>
      </c>
      <c r="AJ1124" s="90">
        <f t="shared" si="315"/>
        <v>2022</v>
      </c>
      <c r="AK1124" s="90" t="str">
        <f t="shared" si="316"/>
        <v>Adjust</v>
      </c>
      <c r="AL1124" s="91">
        <f>IF(AK1124="Adjust",(_xlfn.XLOOKUP(A1124,'Adj factor'!A:A,'Adj factor'!I:I,,0)*AI1124),'Master DataSheet'!AI1124)</f>
        <v>919.35771809418031</v>
      </c>
      <c r="AM1124" s="91">
        <f t="shared" si="317"/>
        <v>1126</v>
      </c>
      <c r="AN1124" s="92" t="str">
        <f t="shared" si="318"/>
        <v>Decreasing</v>
      </c>
      <c r="AO1124" s="93">
        <f>VLOOKUP(B1124,'Growthrates source'!A$2:H$49,8,FALSE)</f>
        <v>8.5173735635071912E-2</v>
      </c>
      <c r="AP1124" s="93">
        <f>VLOOKUP(B1124,'Growthrates source'!A$2:I$49,9,FALSE)</f>
        <v>0.17704702295875174</v>
      </c>
      <c r="AQ1124" s="86">
        <f t="shared" si="319"/>
        <v>423.27497128613379</v>
      </c>
      <c r="AR1124" s="86">
        <f t="shared" si="320"/>
        <v>1102.1650649793062</v>
      </c>
      <c r="AS1124" s="94">
        <f t="shared" si="321"/>
        <v>0.38287263881834999</v>
      </c>
      <c r="AT1124" s="94">
        <f t="shared" si="322"/>
        <v>0.74806420118170192</v>
      </c>
      <c r="AU1124" s="94">
        <f t="shared" si="323"/>
        <v>0.68992827870798634</v>
      </c>
    </row>
    <row r="1125" spans="1:47" x14ac:dyDescent="0.3">
      <c r="A1125" s="85" t="str">
        <f>_xlfn.XLOOKUP(B1125,'Country codes &amp; Data sources'!G:G,'Country codes &amp; Data sources'!H:H,,0)</f>
        <v>Zimbabwe</v>
      </c>
      <c r="B1125" s="85" t="s">
        <v>193</v>
      </c>
      <c r="C1125" s="86">
        <v>13265350</v>
      </c>
      <c r="D1125" s="85" t="s">
        <v>142</v>
      </c>
      <c r="E1125" s="87">
        <v>0</v>
      </c>
      <c r="F1125" s="88">
        <v>13555421.500000011</v>
      </c>
      <c r="G1125" s="87">
        <v>0</v>
      </c>
      <c r="I1125" s="87">
        <v>145</v>
      </c>
      <c r="K1125" s="87">
        <v>0</v>
      </c>
      <c r="M1125" s="87">
        <v>130</v>
      </c>
      <c r="O1125" s="87">
        <v>174</v>
      </c>
      <c r="P1125" s="88">
        <v>15052184.000000007</v>
      </c>
      <c r="Q1125" s="87">
        <v>0</v>
      </c>
      <c r="R1125" s="87">
        <f t="shared" si="306"/>
        <v>1094</v>
      </c>
      <c r="T1125" s="87">
        <v>0</v>
      </c>
      <c r="V1125" s="87">
        <v>0</v>
      </c>
      <c r="X1125" s="87">
        <v>0</v>
      </c>
      <c r="Y1125" s="88">
        <v>16320536.999999996</v>
      </c>
      <c r="Z1125" s="87">
        <v>0</v>
      </c>
      <c r="AA1125" s="87">
        <v>1094</v>
      </c>
      <c r="AB1125" s="89">
        <f t="shared" si="307"/>
        <v>145</v>
      </c>
      <c r="AC1125" s="89">
        <f t="shared" si="308"/>
        <v>174</v>
      </c>
      <c r="AD1125" s="89">
        <f t="shared" si="309"/>
        <v>0</v>
      </c>
      <c r="AE1125" s="90">
        <f t="shared" si="310"/>
        <v>145</v>
      </c>
      <c r="AF1125" s="90">
        <f t="shared" si="311"/>
        <v>2014</v>
      </c>
      <c r="AG1125" s="90">
        <f t="shared" si="312"/>
        <v>1094</v>
      </c>
      <c r="AH1125" s="90" t="str">
        <f t="shared" si="313"/>
        <v>2018 (triag)</v>
      </c>
      <c r="AI1125" s="90">
        <f t="shared" si="314"/>
        <v>1094</v>
      </c>
      <c r="AJ1125" s="90" t="str">
        <f t="shared" si="315"/>
        <v>2018 (triag)</v>
      </c>
      <c r="AK1125" s="90" t="str">
        <f t="shared" si="316"/>
        <v/>
      </c>
      <c r="AL1125" s="91">
        <f>IF(AK1125="Adjust",(_xlfn.XLOOKUP(A1125,'Adj factor'!A:A,'Adj factor'!I:I,,0)*AI1125),'Master DataSheet'!AI1125)</f>
        <v>1094</v>
      </c>
      <c r="AM1125" s="91">
        <f t="shared" si="317"/>
        <v>1094</v>
      </c>
      <c r="AN1125" s="92" t="str">
        <f t="shared" si="318"/>
        <v>No change</v>
      </c>
      <c r="AO1125" s="93">
        <f>VLOOKUP(B1125,'Growthrates source'!A$2:H$49,8,FALSE)</f>
        <v>8.5173735635071912E-2</v>
      </c>
      <c r="AP1125" s="93">
        <f>VLOOKUP(B1125,'Growthrates source'!A$2:I$49,9,FALSE)</f>
        <v>0.17704702295875174</v>
      </c>
      <c r="AQ1125" s="86">
        <f t="shared" si="319"/>
        <v>714.60311510344184</v>
      </c>
      <c r="AR1125" s="86">
        <f t="shared" si="320"/>
        <v>1860.7539831595077</v>
      </c>
      <c r="AS1125" s="94">
        <f t="shared" si="321"/>
        <v>0.10696827096081069</v>
      </c>
      <c r="AT1125" s="94">
        <f t="shared" si="322"/>
        <v>0.72680482779110289</v>
      </c>
      <c r="AU1125" s="94">
        <f t="shared" si="323"/>
        <v>0.67032108073404706</v>
      </c>
    </row>
    <row r="1126" spans="1:47" x14ac:dyDescent="0.3">
      <c r="A1126" s="85" t="str">
        <f>_xlfn.XLOOKUP(B1126,'Country codes &amp; Data sources'!G:G,'Country codes &amp; Data sources'!H:H,,0)</f>
        <v>Zimbabwe</v>
      </c>
      <c r="B1126" s="85" t="s">
        <v>193</v>
      </c>
      <c r="C1126" s="86">
        <v>13265351</v>
      </c>
      <c r="D1126" s="85" t="s">
        <v>83</v>
      </c>
      <c r="E1126" s="87">
        <v>377</v>
      </c>
      <c r="F1126" s="88">
        <v>13555421.500000011</v>
      </c>
      <c r="G1126" s="87">
        <v>419</v>
      </c>
      <c r="I1126" s="87">
        <v>413</v>
      </c>
      <c r="K1126" s="87">
        <v>472</v>
      </c>
      <c r="M1126" s="87">
        <v>432</v>
      </c>
      <c r="O1126" s="87">
        <v>503</v>
      </c>
      <c r="P1126" s="88">
        <v>15052184.000000007</v>
      </c>
      <c r="Q1126" s="87">
        <v>688</v>
      </c>
      <c r="R1126" s="87">
        <f t="shared" si="306"/>
        <v>688</v>
      </c>
      <c r="T1126" s="87">
        <v>0</v>
      </c>
      <c r="V1126" s="87">
        <v>0</v>
      </c>
      <c r="X1126" s="87">
        <v>0</v>
      </c>
      <c r="Y1126" s="88">
        <v>16320536.999999996</v>
      </c>
      <c r="Z1126" s="87">
        <v>957</v>
      </c>
      <c r="AA1126" s="87">
        <v>459</v>
      </c>
      <c r="AB1126" s="89">
        <f t="shared" si="307"/>
        <v>472</v>
      </c>
      <c r="AC1126" s="89">
        <f t="shared" si="308"/>
        <v>688</v>
      </c>
      <c r="AD1126" s="89">
        <f t="shared" si="309"/>
        <v>957</v>
      </c>
      <c r="AE1126" s="90">
        <f t="shared" si="310"/>
        <v>419</v>
      </c>
      <c r="AF1126" s="90">
        <f t="shared" si="311"/>
        <v>2013</v>
      </c>
      <c r="AG1126" s="90">
        <f t="shared" si="312"/>
        <v>688</v>
      </c>
      <c r="AH1126" s="90">
        <f t="shared" si="313"/>
        <v>2018</v>
      </c>
      <c r="AI1126" s="90">
        <f t="shared" si="314"/>
        <v>957</v>
      </c>
      <c r="AJ1126" s="90">
        <f t="shared" si="315"/>
        <v>2022</v>
      </c>
      <c r="AK1126" s="90" t="str">
        <f t="shared" si="316"/>
        <v/>
      </c>
      <c r="AL1126" s="91">
        <f>IF(AK1126="Adjust",(_xlfn.XLOOKUP(A1126,'Adj factor'!A:A,'Adj factor'!I:I,,0)*AI1126),'Master DataSheet'!AI1126)</f>
        <v>957</v>
      </c>
      <c r="AM1126" s="91">
        <f t="shared" si="317"/>
        <v>957</v>
      </c>
      <c r="AN1126" s="92" t="str">
        <f t="shared" si="318"/>
        <v>Increasing</v>
      </c>
      <c r="AO1126" s="93">
        <f>VLOOKUP(B1126,'Growthrates source'!A$2:H$49,8,FALSE)</f>
        <v>8.5173735635071912E-2</v>
      </c>
      <c r="AP1126" s="93">
        <f>VLOOKUP(B1126,'Growthrates source'!A$2:I$49,9,FALSE)</f>
        <v>0.17704702295875174</v>
      </c>
      <c r="AQ1126" s="86">
        <f t="shared" si="319"/>
        <v>299.8197713276781</v>
      </c>
      <c r="AR1126" s="86">
        <f t="shared" si="320"/>
        <v>780.70025436034189</v>
      </c>
      <c r="AS1126" s="94">
        <f t="shared" si="321"/>
        <v>0.30910141746606673</v>
      </c>
      <c r="AT1126" s="94">
        <f t="shared" si="322"/>
        <v>0.45707652789787823</v>
      </c>
      <c r="AU1126" s="94">
        <f t="shared" si="323"/>
        <v>0.58637776440811984</v>
      </c>
    </row>
    <row r="1127" spans="1:47" x14ac:dyDescent="0.3">
      <c r="A1127" s="85" t="str">
        <f>_xlfn.XLOOKUP(B1127,'Country codes &amp; Data sources'!G:G,'Country codes &amp; Data sources'!H:H,,0)</f>
        <v>Zimbabwe</v>
      </c>
      <c r="B1127" s="85" t="s">
        <v>193</v>
      </c>
      <c r="C1127" s="86">
        <v>13265352</v>
      </c>
      <c r="D1127" s="85" t="s">
        <v>84</v>
      </c>
      <c r="E1127" s="87">
        <v>0</v>
      </c>
      <c r="F1127" s="88">
        <v>13555421.500000011</v>
      </c>
      <c r="G1127" s="87">
        <v>0</v>
      </c>
      <c r="I1127" s="87">
        <v>0</v>
      </c>
      <c r="K1127" s="87">
        <v>0</v>
      </c>
      <c r="M1127" s="87">
        <v>0</v>
      </c>
      <c r="O1127" s="87">
        <v>0</v>
      </c>
      <c r="P1127" s="88">
        <v>15052184.000000007</v>
      </c>
      <c r="Q1127" s="87">
        <v>12</v>
      </c>
      <c r="R1127" s="87">
        <f t="shared" si="306"/>
        <v>12</v>
      </c>
      <c r="T1127" s="87">
        <v>0</v>
      </c>
      <c r="V1127" s="87">
        <v>0</v>
      </c>
      <c r="X1127" s="87">
        <v>0</v>
      </c>
      <c r="Y1127" s="88">
        <v>16320536.999999996</v>
      </c>
      <c r="Z1127" s="87">
        <v>84</v>
      </c>
      <c r="AA1127" s="87">
        <v>0</v>
      </c>
      <c r="AB1127" s="89">
        <f t="shared" si="307"/>
        <v>0</v>
      </c>
      <c r="AC1127" s="89">
        <f t="shared" si="308"/>
        <v>12</v>
      </c>
      <c r="AD1127" s="89">
        <f t="shared" si="309"/>
        <v>84</v>
      </c>
      <c r="AE1127" s="90">
        <f t="shared" si="310"/>
        <v>0</v>
      </c>
      <c r="AF1127" s="90" t="str">
        <f t="shared" si="311"/>
        <v/>
      </c>
      <c r="AG1127" s="90">
        <f t="shared" si="312"/>
        <v>12</v>
      </c>
      <c r="AH1127" s="90">
        <f t="shared" si="313"/>
        <v>2018</v>
      </c>
      <c r="AI1127" s="90">
        <f t="shared" si="314"/>
        <v>84</v>
      </c>
      <c r="AJ1127" s="90">
        <f t="shared" si="315"/>
        <v>2022</v>
      </c>
      <c r="AK1127" s="90" t="str">
        <f t="shared" si="316"/>
        <v/>
      </c>
      <c r="AL1127" s="91">
        <f>IF(AK1127="Adjust",(_xlfn.XLOOKUP(A1127,'Adj factor'!A:A,'Adj factor'!I:I,,0)*AI1127),'Master DataSheet'!AI1127)</f>
        <v>84</v>
      </c>
      <c r="AM1127" s="91">
        <f t="shared" si="317"/>
        <v>84</v>
      </c>
      <c r="AN1127" s="92" t="str">
        <f t="shared" si="318"/>
        <v>Increasing</v>
      </c>
      <c r="AO1127" s="93">
        <f>VLOOKUP(B1127,'Growthrates source'!A$2:H$49,8,FALSE)</f>
        <v>8.5173735635071912E-2</v>
      </c>
      <c r="AP1127" s="93">
        <f>VLOOKUP(B1127,'Growthrates source'!A$2:I$49,9,FALSE)</f>
        <v>0.17704702295875174</v>
      </c>
      <c r="AQ1127" s="86">
        <f t="shared" si="319"/>
        <v>0</v>
      </c>
      <c r="AR1127" s="86">
        <f t="shared" si="320"/>
        <v>0</v>
      </c>
      <c r="AS1127" s="94">
        <f t="shared" si="321"/>
        <v>0</v>
      </c>
      <c r="AT1127" s="94">
        <f t="shared" si="322"/>
        <v>7.9722650214746199E-3</v>
      </c>
      <c r="AU1127" s="94">
        <f t="shared" si="323"/>
        <v>5.1468894681590452E-2</v>
      </c>
    </row>
    <row r="1128" spans="1:47" x14ac:dyDescent="0.3">
      <c r="A1128" s="85" t="str">
        <f>_xlfn.XLOOKUP(B1128,'Country codes &amp; Data sources'!G:G,'Country codes &amp; Data sources'!H:H,,0)</f>
        <v>Zimbabwe</v>
      </c>
      <c r="B1128" s="85" t="s">
        <v>193</v>
      </c>
      <c r="C1128" s="86">
        <v>13265353</v>
      </c>
      <c r="D1128" s="85" t="s">
        <v>126</v>
      </c>
      <c r="E1128" s="87">
        <v>0</v>
      </c>
      <c r="F1128" s="88">
        <v>13555421.500000011</v>
      </c>
      <c r="G1128" s="87">
        <v>0</v>
      </c>
      <c r="I1128" s="87">
        <v>0</v>
      </c>
      <c r="K1128" s="87">
        <v>0</v>
      </c>
      <c r="M1128" s="87">
        <v>0</v>
      </c>
      <c r="O1128" s="87">
        <v>0</v>
      </c>
      <c r="P1128" s="88">
        <v>15052184.000000007</v>
      </c>
      <c r="Q1128" s="87">
        <v>0</v>
      </c>
      <c r="R1128" s="87">
        <f t="shared" si="306"/>
        <v>0</v>
      </c>
      <c r="T1128" s="87">
        <v>0</v>
      </c>
      <c r="V1128" s="87">
        <v>0</v>
      </c>
      <c r="X1128" s="87">
        <v>0</v>
      </c>
      <c r="Y1128" s="88">
        <v>16320536.999999996</v>
      </c>
      <c r="Z1128" s="103">
        <v>22</v>
      </c>
      <c r="AA1128" s="87">
        <v>0</v>
      </c>
      <c r="AB1128" s="89">
        <f t="shared" si="307"/>
        <v>0</v>
      </c>
      <c r="AC1128" s="89">
        <f t="shared" si="308"/>
        <v>0</v>
      </c>
      <c r="AD1128" s="89">
        <f t="shared" si="309"/>
        <v>22</v>
      </c>
      <c r="AE1128" s="90">
        <f t="shared" si="310"/>
        <v>0</v>
      </c>
      <c r="AF1128" s="90" t="str">
        <f t="shared" si="311"/>
        <v/>
      </c>
      <c r="AG1128" s="90">
        <f t="shared" si="312"/>
        <v>0</v>
      </c>
      <c r="AH1128" s="90" t="str">
        <f t="shared" si="313"/>
        <v/>
      </c>
      <c r="AI1128" s="90">
        <f t="shared" si="314"/>
        <v>22</v>
      </c>
      <c r="AJ1128" s="90">
        <f t="shared" si="315"/>
        <v>2022</v>
      </c>
      <c r="AK1128" s="90" t="str">
        <f t="shared" si="316"/>
        <v/>
      </c>
      <c r="AL1128" s="91">
        <f>IF(AK1128="Adjust",(_xlfn.XLOOKUP(A1128,'Adj factor'!A:A,'Adj factor'!I:I,,0)*AI1128),'Master DataSheet'!AI1128)</f>
        <v>22</v>
      </c>
      <c r="AM1128" s="60">
        <v>22</v>
      </c>
      <c r="AN1128" s="92" t="str">
        <f t="shared" si="318"/>
        <v>Increasing</v>
      </c>
      <c r="AO1128" s="93">
        <f>VLOOKUP(B1128,'Growthrates source'!A$2:H$49,8,FALSE)</f>
        <v>8.5173735635071912E-2</v>
      </c>
      <c r="AP1128" s="93">
        <f>VLOOKUP(B1128,'Growthrates source'!A$2:I$49,9,FALSE)</f>
        <v>0.17704702295875174</v>
      </c>
      <c r="AQ1128" s="86">
        <f t="shared" si="319"/>
        <v>0</v>
      </c>
      <c r="AR1128" s="86">
        <f t="shared" si="320"/>
        <v>0</v>
      </c>
      <c r="AS1128" s="94">
        <f t="shared" si="321"/>
        <v>0</v>
      </c>
      <c r="AT1128" s="94">
        <f t="shared" si="322"/>
        <v>0</v>
      </c>
      <c r="AU1128" s="94">
        <f t="shared" si="323"/>
        <v>1.3479948607083214E-2</v>
      </c>
    </row>
    <row r="1129" spans="1:47" x14ac:dyDescent="0.3">
      <c r="A1129" s="85" t="str">
        <f>_xlfn.XLOOKUP(B1129,'Country codes &amp; Data sources'!G:G,'Country codes &amp; Data sources'!H:H,,0)</f>
        <v>Zimbabwe</v>
      </c>
      <c r="B1129" s="85" t="s">
        <v>193</v>
      </c>
      <c r="C1129" s="86">
        <v>13265354</v>
      </c>
      <c r="D1129" s="85" t="s">
        <v>87</v>
      </c>
      <c r="E1129" s="87">
        <v>0</v>
      </c>
      <c r="F1129" s="88">
        <v>13555421.500000011</v>
      </c>
      <c r="G1129" s="87">
        <v>0</v>
      </c>
      <c r="I1129" s="87">
        <v>0</v>
      </c>
      <c r="K1129" s="87">
        <v>0</v>
      </c>
      <c r="M1129" s="87">
        <v>0</v>
      </c>
      <c r="O1129" s="87">
        <v>596</v>
      </c>
      <c r="P1129" s="88">
        <v>15052184.000000007</v>
      </c>
      <c r="Q1129" s="87">
        <v>1215</v>
      </c>
      <c r="R1129" s="87">
        <f>MAX(Q1129,AA1129)</f>
        <v>1215</v>
      </c>
      <c r="T1129" s="87">
        <v>0</v>
      </c>
      <c r="V1129" s="87">
        <v>0</v>
      </c>
      <c r="X1129" s="87">
        <v>0</v>
      </c>
      <c r="Y1129" s="88">
        <v>16320536.999999996</v>
      </c>
      <c r="Z1129" s="87">
        <v>0</v>
      </c>
      <c r="AA1129" s="87">
        <v>5</v>
      </c>
      <c r="AB1129" s="89">
        <f t="shared" si="307"/>
        <v>0</v>
      </c>
      <c r="AC1129" s="89">
        <f t="shared" si="308"/>
        <v>1215</v>
      </c>
      <c r="AD1129" s="89">
        <f t="shared" si="309"/>
        <v>0</v>
      </c>
      <c r="AE1129" s="90">
        <f t="shared" si="310"/>
        <v>0</v>
      </c>
      <c r="AF1129" s="90" t="str">
        <f t="shared" si="311"/>
        <v/>
      </c>
      <c r="AG1129" s="90">
        <f t="shared" si="312"/>
        <v>1215</v>
      </c>
      <c r="AH1129" s="90">
        <f t="shared" si="313"/>
        <v>2018</v>
      </c>
      <c r="AI1129" s="90">
        <f t="shared" si="314"/>
        <v>1215</v>
      </c>
      <c r="AJ1129" s="90">
        <f t="shared" si="315"/>
        <v>2018</v>
      </c>
      <c r="AK1129" s="90" t="str">
        <f t="shared" si="316"/>
        <v/>
      </c>
      <c r="AL1129" s="91">
        <f>IF(AK1129="Adjust",(_xlfn.XLOOKUP(A1129,'Adj factor'!A:A,'Adj factor'!I:I,,0)*AI1129),'Master DataSheet'!AI1129)</f>
        <v>1215</v>
      </c>
      <c r="AM1129" s="91">
        <f t="shared" si="317"/>
        <v>1215</v>
      </c>
      <c r="AN1129" s="92" t="str">
        <f t="shared" si="318"/>
        <v>No change</v>
      </c>
      <c r="AO1129" s="93">
        <f>VLOOKUP(B1129,'Growthrates source'!A$2:H$49,8,FALSE)</f>
        <v>8.5173735635071912E-2</v>
      </c>
      <c r="AP1129" s="93">
        <f>VLOOKUP(B1129,'Growthrates source'!A$2:I$49,9,FALSE)</f>
        <v>0.17704702295875174</v>
      </c>
      <c r="AQ1129" s="86">
        <f t="shared" si="319"/>
        <v>3.2660105809115261</v>
      </c>
      <c r="AR1129" s="86">
        <f t="shared" si="320"/>
        <v>8.5043600692847701</v>
      </c>
      <c r="AS1129" s="94">
        <f t="shared" si="321"/>
        <v>0</v>
      </c>
      <c r="AT1129" s="94">
        <f t="shared" si="322"/>
        <v>0.80719183342430534</v>
      </c>
      <c r="AU1129" s="94">
        <f t="shared" si="323"/>
        <v>0.7444607980730048</v>
      </c>
    </row>
    <row r="1130" spans="1:47" x14ac:dyDescent="0.3">
      <c r="A1130" s="85" t="str">
        <f>_xlfn.XLOOKUP(B1130,'Country codes &amp; Data sources'!G:G,'Country codes &amp; Data sources'!H:H,,0)</f>
        <v>Angola</v>
      </c>
      <c r="B1130" s="85" t="s">
        <v>162</v>
      </c>
      <c r="C1130" s="85">
        <v>25188292.499999996</v>
      </c>
      <c r="D1130" s="85" t="s">
        <v>326</v>
      </c>
      <c r="E1130" s="86">
        <v>0</v>
      </c>
      <c r="F1130" s="86">
        <v>26147002.000000011</v>
      </c>
      <c r="G1130" s="86">
        <v>0</v>
      </c>
      <c r="H1130" s="86">
        <v>27128336.499999981</v>
      </c>
      <c r="I1130" s="86">
        <v>0</v>
      </c>
      <c r="J1130" s="86">
        <v>28127721.000000004</v>
      </c>
      <c r="K1130" s="86">
        <v>0</v>
      </c>
      <c r="L1130" s="86">
        <v>29154745.500000007</v>
      </c>
      <c r="M1130" s="86">
        <v>0</v>
      </c>
      <c r="N1130" s="86">
        <v>30208628.000000015</v>
      </c>
      <c r="O1130" s="86">
        <v>6400</v>
      </c>
      <c r="P1130" s="86">
        <v>31273533.000000004</v>
      </c>
      <c r="Q1130" s="86">
        <v>6593</v>
      </c>
      <c r="R1130" s="87">
        <f t="shared" ref="R1130:R1193" si="324">MAX(Q1130,AA1130)</f>
        <v>6593</v>
      </c>
      <c r="S1130" s="87">
        <v>32353587.999999993</v>
      </c>
      <c r="T1130" s="87">
        <v>0</v>
      </c>
      <c r="U1130" s="89">
        <v>33428485.999999974</v>
      </c>
      <c r="V1130" s="89">
        <v>0</v>
      </c>
      <c r="W1130" s="90">
        <v>34503773.49999997</v>
      </c>
      <c r="X1130" s="90">
        <v>0</v>
      </c>
      <c r="Y1130" s="90">
        <v>35588987.00000003</v>
      </c>
      <c r="Z1130" s="90">
        <v>8693</v>
      </c>
      <c r="AA1130" s="90">
        <v>6593</v>
      </c>
      <c r="AB1130" s="89">
        <f t="shared" ref="AB1130:AB1193" si="325">MAX(G1130,E1130,I1130,K1130)</f>
        <v>0</v>
      </c>
      <c r="AC1130" s="89">
        <f t="shared" ref="AC1130:AC1193" si="326">MAX(M1130,O1130,Q1130,T1130)</f>
        <v>6593</v>
      </c>
      <c r="AD1130" s="89">
        <f t="shared" ref="AD1130:AD1193" si="327">MAX(V1130,X1130,Z1130)</f>
        <v>8693</v>
      </c>
      <c r="AE1130" s="90">
        <f t="shared" ref="AE1130:AE1193" si="328">IF(G1130&gt;0,G1130,IF(E1130&gt;0,E1130,IF(I1130&gt;0,I1130,K1130)))</f>
        <v>0</v>
      </c>
      <c r="AF1130" s="90" t="str">
        <f t="shared" ref="AF1130:AF1193" si="329">IF(AE1130&gt;0,_xlfn.XLOOKUP(AE1130,$B1130:$K1130,$B$1:$K$1,,0),"")</f>
        <v/>
      </c>
      <c r="AG1130" s="90">
        <f t="shared" ref="AG1130:AG1193" si="330">IF(R1130&gt;0,R1130,IF(O1130&gt;0,O1130,T1130))</f>
        <v>6593</v>
      </c>
      <c r="AH1130" s="90">
        <f t="shared" ref="AH1130:AH1193" si="331">IF(AG1130&gt;0,_xlfn.XLOOKUP(AG1130,$L1130:$T1130,$L$1:$T$1,,0),"")</f>
        <v>2018</v>
      </c>
      <c r="AI1130" s="90">
        <f t="shared" ref="AI1130:AI1193" si="332">IF((IF(Z1130&gt;0,Z1130,IF(X1130&gt;0,X1130,IF(V1130&gt;0,V1130,T1130))))=0,AG1130,IF(Z1130&gt;0,Z1130,IF(X1130&gt;0,X1130,IF(V1130&gt;0,V1130,T1130))))</f>
        <v>8693</v>
      </c>
      <c r="AJ1130" s="90">
        <f t="shared" ref="AJ1130:AJ1193" si="333">IFERROR(IF(AI1130&gt;0,_xlfn.XLOOKUP(AI1130,$V1130:$Z1130,$V$1:$Z$1,,0),""),AH1130)</f>
        <v>2022</v>
      </c>
      <c r="AK1130" s="90" t="str">
        <f t="shared" ref="AK1130:AK1193" si="334">IF(AI1130&lt;AG1130,"Adjust","")</f>
        <v/>
      </c>
      <c r="AL1130" s="91">
        <f>IF(AK1130="Adjust",(_xlfn.XLOOKUP(A1130,'Adj factor'!A:A,'Adj factor'!I:I,,0)*AI1130),'Master DataSheet'!AI1130)</f>
        <v>8693</v>
      </c>
      <c r="AM1130" s="91">
        <f t="shared" ref="AM1130:AM1193" si="335">IF(AL1130&lt;AG1130,AG1130,AL1130)</f>
        <v>8693</v>
      </c>
      <c r="AN1130" s="92" t="str">
        <f t="shared" ref="AN1130:AN1193" si="336">IF(AL1130&gt;AG1130,"Increasing",IF(AL1130&lt;AG1130,"Decreasing","No change"))</f>
        <v>Increasing</v>
      </c>
      <c r="AS1130" s="94">
        <f t="shared" ref="AS1130:AS1193" si="337">(AE1130*10000)/F1130</f>
        <v>0</v>
      </c>
      <c r="AT1130" s="94">
        <f t="shared" ref="AT1130:AT1193" si="338">(AG1130*10000)/P1130</f>
        <v>2.1081724281039813</v>
      </c>
      <c r="AU1130" s="94">
        <f t="shared" ref="AU1130:AU1193" si="339">(AM1130*10000)/Y1130</f>
        <v>2.4426095634584915</v>
      </c>
    </row>
    <row r="1131" spans="1:47" x14ac:dyDescent="0.3">
      <c r="A1131" s="85" t="str">
        <f>_xlfn.XLOOKUP(B1131,'Country codes &amp; Data sources'!G:G,'Country codes &amp; Data sources'!H:H,,0)</f>
        <v>Angola</v>
      </c>
      <c r="B1131" s="85" t="s">
        <v>162</v>
      </c>
      <c r="C1131" s="85">
        <v>25188292.499999996</v>
      </c>
      <c r="D1131" s="85" t="s">
        <v>327</v>
      </c>
      <c r="E1131" s="86">
        <v>0</v>
      </c>
      <c r="F1131" s="86">
        <v>26147002.000000011</v>
      </c>
      <c r="G1131" s="86">
        <v>0</v>
      </c>
      <c r="H1131" s="86"/>
      <c r="I1131" s="86">
        <v>0</v>
      </c>
      <c r="J1131" s="86"/>
      <c r="K1131" s="86">
        <v>0</v>
      </c>
      <c r="L1131" s="86"/>
      <c r="M1131" s="86">
        <v>0</v>
      </c>
      <c r="N1131" s="86"/>
      <c r="O1131" s="86">
        <v>0</v>
      </c>
      <c r="P1131" s="86">
        <v>31273533.000000004</v>
      </c>
      <c r="Q1131" s="86">
        <v>3043</v>
      </c>
      <c r="R1131" s="87">
        <f t="shared" si="324"/>
        <v>3043</v>
      </c>
      <c r="T1131" s="87">
        <v>0</v>
      </c>
      <c r="U1131" s="89"/>
      <c r="V1131" s="89">
        <v>0</v>
      </c>
      <c r="W1131" s="90"/>
      <c r="X1131" s="90">
        <v>0</v>
      </c>
      <c r="Y1131" s="90">
        <v>35588987.00000003</v>
      </c>
      <c r="Z1131" s="90">
        <v>4778</v>
      </c>
      <c r="AA1131" s="90">
        <v>3043</v>
      </c>
      <c r="AB1131" s="89">
        <f t="shared" si="325"/>
        <v>0</v>
      </c>
      <c r="AC1131" s="89">
        <f t="shared" si="326"/>
        <v>3043</v>
      </c>
      <c r="AD1131" s="89">
        <f t="shared" si="327"/>
        <v>4778</v>
      </c>
      <c r="AE1131" s="90">
        <f t="shared" si="328"/>
        <v>0</v>
      </c>
      <c r="AF1131" s="90" t="str">
        <f t="shared" si="329"/>
        <v/>
      </c>
      <c r="AG1131" s="90">
        <f t="shared" si="330"/>
        <v>3043</v>
      </c>
      <c r="AH1131" s="90">
        <f t="shared" si="331"/>
        <v>2018</v>
      </c>
      <c r="AI1131" s="90">
        <f t="shared" si="332"/>
        <v>4778</v>
      </c>
      <c r="AJ1131" s="90">
        <f t="shared" si="333"/>
        <v>2022</v>
      </c>
      <c r="AK1131" s="90" t="str">
        <f t="shared" si="334"/>
        <v/>
      </c>
      <c r="AL1131" s="91">
        <f>IF(AK1131="Adjust",(_xlfn.XLOOKUP(A1131,'Adj factor'!A:A,'Adj factor'!I:I,,0)*AI1131),'Master DataSheet'!AI1131)</f>
        <v>4778</v>
      </c>
      <c r="AM1131" s="91">
        <f t="shared" si="335"/>
        <v>4778</v>
      </c>
      <c r="AN1131" s="92" t="str">
        <f t="shared" si="336"/>
        <v>Increasing</v>
      </c>
      <c r="AS1131" s="94">
        <f t="shared" si="337"/>
        <v>0</v>
      </c>
      <c r="AT1131" s="94">
        <f t="shared" si="338"/>
        <v>0.97302725598671558</v>
      </c>
      <c r="AU1131" s="94">
        <f t="shared" si="339"/>
        <v>1.3425501546306997</v>
      </c>
    </row>
    <row r="1132" spans="1:47" x14ac:dyDescent="0.3">
      <c r="A1132" s="85" t="str">
        <f>_xlfn.XLOOKUP(B1132,'Country codes &amp; Data sources'!G:G,'Country codes &amp; Data sources'!H:H,,0)</f>
        <v>Angola</v>
      </c>
      <c r="B1132" s="85" t="s">
        <v>162</v>
      </c>
      <c r="C1132" s="85">
        <v>25188292.499999996</v>
      </c>
      <c r="D1132" s="85" t="s">
        <v>328</v>
      </c>
      <c r="E1132" s="86">
        <v>0</v>
      </c>
      <c r="F1132" s="86">
        <v>26147002.000000011</v>
      </c>
      <c r="G1132" s="86">
        <v>0</v>
      </c>
      <c r="H1132" s="86"/>
      <c r="I1132" s="86">
        <v>0</v>
      </c>
      <c r="J1132" s="86"/>
      <c r="K1132" s="86">
        <v>0</v>
      </c>
      <c r="L1132" s="86"/>
      <c r="M1132" s="86">
        <v>0</v>
      </c>
      <c r="N1132" s="86"/>
      <c r="O1132" s="86">
        <v>0</v>
      </c>
      <c r="P1132" s="86">
        <v>31273533.000000004</v>
      </c>
      <c r="Q1132" s="86">
        <v>3550</v>
      </c>
      <c r="R1132" s="87">
        <f t="shared" si="324"/>
        <v>3550</v>
      </c>
      <c r="T1132" s="87">
        <v>0</v>
      </c>
      <c r="U1132" s="89"/>
      <c r="V1132" s="89">
        <v>0</v>
      </c>
      <c r="W1132" s="90"/>
      <c r="X1132" s="90">
        <v>0</v>
      </c>
      <c r="Y1132" s="90">
        <v>35588987.00000003</v>
      </c>
      <c r="Z1132" s="90">
        <v>3915</v>
      </c>
      <c r="AA1132" s="90">
        <v>3550</v>
      </c>
      <c r="AB1132" s="89">
        <f t="shared" si="325"/>
        <v>0</v>
      </c>
      <c r="AC1132" s="89">
        <f t="shared" si="326"/>
        <v>3550</v>
      </c>
      <c r="AD1132" s="89">
        <f t="shared" si="327"/>
        <v>3915</v>
      </c>
      <c r="AE1132" s="90">
        <f t="shared" si="328"/>
        <v>0</v>
      </c>
      <c r="AF1132" s="90" t="str">
        <f t="shared" si="329"/>
        <v/>
      </c>
      <c r="AG1132" s="90">
        <f t="shared" si="330"/>
        <v>3550</v>
      </c>
      <c r="AH1132" s="90">
        <f t="shared" si="331"/>
        <v>2018</v>
      </c>
      <c r="AI1132" s="90">
        <f t="shared" si="332"/>
        <v>3915</v>
      </c>
      <c r="AJ1132" s="90">
        <f t="shared" si="333"/>
        <v>2022</v>
      </c>
      <c r="AK1132" s="90" t="str">
        <f t="shared" si="334"/>
        <v/>
      </c>
      <c r="AL1132" s="91">
        <f>IF(AK1132="Adjust",(_xlfn.XLOOKUP(A1132,'Adj factor'!A:A,'Adj factor'!I:I,,0)*AI1132),'Master DataSheet'!AI1132)</f>
        <v>3915</v>
      </c>
      <c r="AM1132" s="91">
        <f t="shared" si="335"/>
        <v>3915</v>
      </c>
      <c r="AN1132" s="92" t="str">
        <f t="shared" si="336"/>
        <v>Increasing</v>
      </c>
      <c r="AS1132" s="94">
        <f t="shared" si="337"/>
        <v>0</v>
      </c>
      <c r="AT1132" s="94">
        <f t="shared" si="338"/>
        <v>1.1351451721172658</v>
      </c>
      <c r="AU1132" s="94">
        <f t="shared" si="339"/>
        <v>1.1000594088277917</v>
      </c>
    </row>
    <row r="1133" spans="1:47" x14ac:dyDescent="0.3">
      <c r="A1133" s="85" t="str">
        <f>_xlfn.XLOOKUP(B1133,'Country codes &amp; Data sources'!G:G,'Country codes &amp; Data sources'!H:H,,0)</f>
        <v>Angola</v>
      </c>
      <c r="B1133" s="85" t="s">
        <v>162</v>
      </c>
      <c r="C1133" s="85">
        <v>25188292.499999996</v>
      </c>
      <c r="D1133" s="85" t="s">
        <v>329</v>
      </c>
      <c r="E1133" s="86">
        <v>0</v>
      </c>
      <c r="F1133" s="86">
        <v>26147002.000000011</v>
      </c>
      <c r="G1133" s="86">
        <v>0</v>
      </c>
      <c r="H1133" s="86"/>
      <c r="I1133" s="86">
        <v>0</v>
      </c>
      <c r="J1133" s="86"/>
      <c r="K1133" s="86">
        <v>0</v>
      </c>
      <c r="L1133" s="86"/>
      <c r="M1133" s="86">
        <v>0</v>
      </c>
      <c r="N1133" s="86"/>
      <c r="O1133" s="86">
        <v>0</v>
      </c>
      <c r="P1133" s="86">
        <v>31273533.000000004</v>
      </c>
      <c r="Q1133" s="86">
        <v>12554</v>
      </c>
      <c r="R1133" s="87">
        <f t="shared" si="324"/>
        <v>46082</v>
      </c>
      <c r="T1133" s="87">
        <v>0</v>
      </c>
      <c r="U1133" s="89"/>
      <c r="V1133" s="89">
        <v>0</v>
      </c>
      <c r="W1133" s="90"/>
      <c r="X1133" s="90">
        <v>0</v>
      </c>
      <c r="Y1133" s="90">
        <v>35588987.00000003</v>
      </c>
      <c r="Z1133" s="90">
        <v>44989</v>
      </c>
      <c r="AA1133" s="90">
        <v>46082</v>
      </c>
      <c r="AB1133" s="89">
        <f t="shared" si="325"/>
        <v>0</v>
      </c>
      <c r="AC1133" s="89">
        <f t="shared" si="326"/>
        <v>12554</v>
      </c>
      <c r="AD1133" s="89">
        <f t="shared" si="327"/>
        <v>44989</v>
      </c>
      <c r="AE1133" s="90">
        <f t="shared" si="328"/>
        <v>0</v>
      </c>
      <c r="AF1133" s="90" t="str">
        <f t="shared" si="329"/>
        <v/>
      </c>
      <c r="AG1133" s="90">
        <f t="shared" si="330"/>
        <v>46082</v>
      </c>
      <c r="AH1133" s="90" t="str">
        <f t="shared" si="331"/>
        <v>2018 (triag)</v>
      </c>
      <c r="AI1133" s="90">
        <f t="shared" si="332"/>
        <v>44989</v>
      </c>
      <c r="AJ1133" s="90">
        <f t="shared" si="333"/>
        <v>2022</v>
      </c>
      <c r="AK1133" s="90" t="str">
        <f t="shared" si="334"/>
        <v>Adjust</v>
      </c>
      <c r="AL1133" s="91">
        <f>IF(AK1133="Adjust",(_xlfn.XLOOKUP(A1133,'Adj factor'!A:A,'Adj factor'!I:I,,0)*AI1133),'Master DataSheet'!AI1133)</f>
        <v>66717.353814379763</v>
      </c>
      <c r="AM1133" s="91">
        <f t="shared" si="335"/>
        <v>66717.353814379763</v>
      </c>
      <c r="AN1133" s="92" t="str">
        <f t="shared" si="336"/>
        <v>Increasing</v>
      </c>
      <c r="AS1133" s="94">
        <f t="shared" si="337"/>
        <v>0</v>
      </c>
      <c r="AT1133" s="94">
        <f t="shared" si="338"/>
        <v>14.735143611692351</v>
      </c>
      <c r="AU1133" s="94">
        <f t="shared" si="339"/>
        <v>18.746629066564807</v>
      </c>
    </row>
    <row r="1134" spans="1:47" x14ac:dyDescent="0.3">
      <c r="A1134" s="85" t="str">
        <f>_xlfn.XLOOKUP(B1134,'Country codes &amp; Data sources'!G:G,'Country codes &amp; Data sources'!H:H,,0)</f>
        <v>Angola</v>
      </c>
      <c r="B1134" s="85" t="s">
        <v>162</v>
      </c>
      <c r="C1134" s="85">
        <v>25188292.499999996</v>
      </c>
      <c r="D1134" s="85" t="s">
        <v>330</v>
      </c>
      <c r="E1134" s="86">
        <v>0</v>
      </c>
      <c r="F1134" s="86">
        <v>26147002.000000011</v>
      </c>
      <c r="G1134" s="86">
        <v>0</v>
      </c>
      <c r="H1134" s="86"/>
      <c r="I1134" s="86">
        <v>0</v>
      </c>
      <c r="J1134" s="86"/>
      <c r="K1134" s="86">
        <v>0</v>
      </c>
      <c r="L1134" s="86"/>
      <c r="M1134" s="86">
        <v>0</v>
      </c>
      <c r="N1134" s="86"/>
      <c r="O1134" s="86">
        <v>0</v>
      </c>
      <c r="P1134" s="86">
        <v>31273533.000000004</v>
      </c>
      <c r="Q1134" s="86">
        <v>9317</v>
      </c>
      <c r="R1134" s="87">
        <f t="shared" si="324"/>
        <v>9317</v>
      </c>
      <c r="T1134" s="87">
        <v>0</v>
      </c>
      <c r="U1134" s="89"/>
      <c r="V1134" s="89">
        <v>0</v>
      </c>
      <c r="W1134" s="90"/>
      <c r="X1134" s="90">
        <v>0</v>
      </c>
      <c r="Y1134" s="90">
        <v>35588987.00000003</v>
      </c>
      <c r="Z1134" s="90">
        <v>6241</v>
      </c>
      <c r="AA1134" s="90">
        <v>7221</v>
      </c>
      <c r="AB1134" s="89">
        <f t="shared" si="325"/>
        <v>0</v>
      </c>
      <c r="AC1134" s="89">
        <f t="shared" si="326"/>
        <v>9317</v>
      </c>
      <c r="AD1134" s="89">
        <f t="shared" si="327"/>
        <v>6241</v>
      </c>
      <c r="AE1134" s="90">
        <f t="shared" si="328"/>
        <v>0</v>
      </c>
      <c r="AF1134" s="90" t="str">
        <f t="shared" si="329"/>
        <v/>
      </c>
      <c r="AG1134" s="90">
        <f t="shared" si="330"/>
        <v>9317</v>
      </c>
      <c r="AH1134" s="90">
        <f t="shared" si="331"/>
        <v>2018</v>
      </c>
      <c r="AI1134" s="90">
        <f t="shared" si="332"/>
        <v>6241</v>
      </c>
      <c r="AJ1134" s="90">
        <f t="shared" si="333"/>
        <v>2022</v>
      </c>
      <c r="AK1134" s="90" t="str">
        <f t="shared" si="334"/>
        <v>Adjust</v>
      </c>
      <c r="AL1134" s="91">
        <f>IF(AK1134="Adjust",(_xlfn.XLOOKUP(A1134,'Adj factor'!A:A,'Adj factor'!I:I,,0)*AI1134),'Master DataSheet'!AI1134)</f>
        <v>9255.2180567592986</v>
      </c>
      <c r="AM1134" s="91">
        <f t="shared" si="335"/>
        <v>9317</v>
      </c>
      <c r="AN1134" s="92" t="str">
        <f t="shared" si="336"/>
        <v>Decreasing</v>
      </c>
      <c r="AS1134" s="94">
        <f t="shared" si="337"/>
        <v>0</v>
      </c>
      <c r="AT1134" s="94">
        <f t="shared" si="338"/>
        <v>2.97919649820185</v>
      </c>
      <c r="AU1134" s="94">
        <f t="shared" si="339"/>
        <v>2.6179447029498175</v>
      </c>
    </row>
    <row r="1135" spans="1:47" x14ac:dyDescent="0.3">
      <c r="A1135" s="85" t="str">
        <f>_xlfn.XLOOKUP(B1135,'Country codes &amp; Data sources'!G:G,'Country codes &amp; Data sources'!H:H,,0)</f>
        <v>Angola</v>
      </c>
      <c r="B1135" s="85" t="s">
        <v>162</v>
      </c>
      <c r="C1135" s="85">
        <v>25188292.499999996</v>
      </c>
      <c r="D1135" s="85" t="s">
        <v>331</v>
      </c>
      <c r="E1135" s="86">
        <v>0</v>
      </c>
      <c r="F1135" s="86">
        <v>26147002.000000011</v>
      </c>
      <c r="G1135" s="86">
        <v>0</v>
      </c>
      <c r="H1135" s="86"/>
      <c r="I1135" s="86">
        <v>0</v>
      </c>
      <c r="J1135" s="86"/>
      <c r="K1135" s="86">
        <v>0</v>
      </c>
      <c r="L1135" s="86"/>
      <c r="M1135" s="86">
        <v>0</v>
      </c>
      <c r="N1135" s="86"/>
      <c r="O1135" s="86">
        <v>0</v>
      </c>
      <c r="P1135" s="86">
        <v>31273533.000000004</v>
      </c>
      <c r="Q1135" s="86">
        <v>3237</v>
      </c>
      <c r="R1135" s="87">
        <f t="shared" si="324"/>
        <v>38861</v>
      </c>
      <c r="T1135" s="87">
        <v>0</v>
      </c>
      <c r="U1135" s="89"/>
      <c r="V1135" s="89">
        <v>0</v>
      </c>
      <c r="W1135" s="90"/>
      <c r="X1135" s="90">
        <v>0</v>
      </c>
      <c r="Y1135" s="90">
        <v>35588987.00000003</v>
      </c>
      <c r="Z1135" s="90">
        <v>37151</v>
      </c>
      <c r="AA1135" s="90">
        <v>38861</v>
      </c>
      <c r="AB1135" s="89">
        <f t="shared" si="325"/>
        <v>0</v>
      </c>
      <c r="AC1135" s="89">
        <f t="shared" si="326"/>
        <v>3237</v>
      </c>
      <c r="AD1135" s="89">
        <f t="shared" si="327"/>
        <v>37151</v>
      </c>
      <c r="AE1135" s="90">
        <f t="shared" si="328"/>
        <v>0</v>
      </c>
      <c r="AF1135" s="90" t="str">
        <f t="shared" si="329"/>
        <v/>
      </c>
      <c r="AG1135" s="90">
        <f t="shared" si="330"/>
        <v>38861</v>
      </c>
      <c r="AH1135" s="90" t="str">
        <f t="shared" si="331"/>
        <v>2018 (triag)</v>
      </c>
      <c r="AI1135" s="90">
        <f t="shared" si="332"/>
        <v>37151</v>
      </c>
      <c r="AJ1135" s="90">
        <f t="shared" si="333"/>
        <v>2022</v>
      </c>
      <c r="AK1135" s="90" t="str">
        <f t="shared" si="334"/>
        <v>Adjust</v>
      </c>
      <c r="AL1135" s="91">
        <f>IF(AK1135="Adjust",(_xlfn.XLOOKUP(A1135,'Adj factor'!A:A,'Adj factor'!I:I,,0)*AI1135),'Master DataSheet'!AI1135)</f>
        <v>55093.832082465102</v>
      </c>
      <c r="AM1135" s="91">
        <f t="shared" si="335"/>
        <v>55093.832082465102</v>
      </c>
      <c r="AN1135" s="92" t="str">
        <f t="shared" si="336"/>
        <v>Increasing</v>
      </c>
      <c r="AS1135" s="94">
        <f t="shared" si="337"/>
        <v>0</v>
      </c>
      <c r="AT1135" s="94">
        <f t="shared" si="338"/>
        <v>12.426162403844808</v>
      </c>
      <c r="AU1135" s="94">
        <f t="shared" si="339"/>
        <v>15.480584508478719</v>
      </c>
    </row>
    <row r="1136" spans="1:47" x14ac:dyDescent="0.3">
      <c r="A1136" s="85" t="str">
        <f>_xlfn.XLOOKUP(B1136,'Country codes &amp; Data sources'!G:G,'Country codes &amp; Data sources'!H:H,,0)</f>
        <v>Angola</v>
      </c>
      <c r="B1136" s="85" t="s">
        <v>162</v>
      </c>
      <c r="C1136" s="85">
        <v>25188292.499999996</v>
      </c>
      <c r="D1136" s="85" t="s">
        <v>332</v>
      </c>
      <c r="E1136" s="86">
        <v>0</v>
      </c>
      <c r="F1136" s="86">
        <v>26147002.000000011</v>
      </c>
      <c r="G1136" s="86">
        <v>30</v>
      </c>
      <c r="H1136" s="86"/>
      <c r="I1136" s="86">
        <v>0</v>
      </c>
      <c r="J1136" s="86"/>
      <c r="K1136" s="86">
        <v>0</v>
      </c>
      <c r="L1136" s="86"/>
      <c r="M1136" s="86">
        <v>0</v>
      </c>
      <c r="N1136" s="86"/>
      <c r="O1136" s="86">
        <v>0</v>
      </c>
      <c r="P1136" s="86">
        <v>31273533.000000004</v>
      </c>
      <c r="Q1136" s="86">
        <v>0</v>
      </c>
      <c r="R1136" s="87">
        <f t="shared" si="324"/>
        <v>1438</v>
      </c>
      <c r="T1136" s="87">
        <v>0</v>
      </c>
      <c r="U1136" s="89"/>
      <c r="V1136" s="89">
        <v>0</v>
      </c>
      <c r="W1136" s="90"/>
      <c r="X1136" s="90">
        <v>0</v>
      </c>
      <c r="Y1136" s="90">
        <v>35588987.00000003</v>
      </c>
      <c r="Z1136" s="90">
        <v>22</v>
      </c>
      <c r="AA1136" s="90">
        <v>1438</v>
      </c>
      <c r="AB1136" s="89">
        <f t="shared" si="325"/>
        <v>30</v>
      </c>
      <c r="AC1136" s="89">
        <f t="shared" si="326"/>
        <v>0</v>
      </c>
      <c r="AD1136" s="89">
        <f t="shared" si="327"/>
        <v>22</v>
      </c>
      <c r="AE1136" s="90">
        <f t="shared" si="328"/>
        <v>30</v>
      </c>
      <c r="AF1136" s="90">
        <f t="shared" si="329"/>
        <v>2013</v>
      </c>
      <c r="AG1136" s="90">
        <f t="shared" si="330"/>
        <v>1438</v>
      </c>
      <c r="AH1136" s="90" t="str">
        <f t="shared" si="331"/>
        <v>2018 (triag)</v>
      </c>
      <c r="AI1136" s="90">
        <f t="shared" si="332"/>
        <v>22</v>
      </c>
      <c r="AJ1136" s="90">
        <f t="shared" si="333"/>
        <v>2022</v>
      </c>
      <c r="AK1136" s="90" t="str">
        <f t="shared" si="334"/>
        <v>Adjust</v>
      </c>
      <c r="AL1136" s="91">
        <f>IF(AK1136="Adjust",(_xlfn.XLOOKUP(A1136,'Adj factor'!A:A,'Adj factor'!I:I,,0)*AI1136),'Master DataSheet'!AI1136)</f>
        <v>32.625348061000572</v>
      </c>
      <c r="AM1136" s="91">
        <f t="shared" si="335"/>
        <v>1438</v>
      </c>
      <c r="AN1136" s="92" t="str">
        <f t="shared" si="336"/>
        <v>Decreasing</v>
      </c>
      <c r="AS1136" s="94">
        <f t="shared" si="337"/>
        <v>1.147359073900709E-2</v>
      </c>
      <c r="AT1136" s="94">
        <f t="shared" si="338"/>
        <v>0.45981373450834601</v>
      </c>
      <c r="AU1136" s="94">
        <f t="shared" si="339"/>
        <v>0.40405758107135747</v>
      </c>
    </row>
    <row r="1137" spans="1:47" x14ac:dyDescent="0.3">
      <c r="A1137" s="85" t="str">
        <f>_xlfn.XLOOKUP(B1137,'Country codes &amp; Data sources'!G:G,'Country codes &amp; Data sources'!H:H,,0)</f>
        <v>Angola</v>
      </c>
      <c r="B1137" s="85" t="s">
        <v>162</v>
      </c>
      <c r="C1137" s="85">
        <v>25188292.499999996</v>
      </c>
      <c r="D1137" s="85" t="s">
        <v>333</v>
      </c>
      <c r="E1137" s="86">
        <v>0</v>
      </c>
      <c r="F1137" s="86">
        <v>26147002.000000011</v>
      </c>
      <c r="G1137" s="86">
        <v>30</v>
      </c>
      <c r="H1137" s="86"/>
      <c r="I1137" s="86">
        <v>0</v>
      </c>
      <c r="J1137" s="86"/>
      <c r="K1137" s="86">
        <v>0</v>
      </c>
      <c r="L1137" s="86"/>
      <c r="M1137" s="86">
        <v>0</v>
      </c>
      <c r="N1137" s="86"/>
      <c r="O1137" s="86">
        <v>0</v>
      </c>
      <c r="P1137" s="86">
        <v>31273533.000000004</v>
      </c>
      <c r="Q1137" s="86">
        <v>0</v>
      </c>
      <c r="R1137" s="87">
        <f t="shared" si="324"/>
        <v>769</v>
      </c>
      <c r="T1137" s="87">
        <v>0</v>
      </c>
      <c r="U1137" s="89"/>
      <c r="V1137" s="89">
        <v>0</v>
      </c>
      <c r="W1137" s="90"/>
      <c r="X1137" s="90">
        <v>0</v>
      </c>
      <c r="Y1137" s="90">
        <v>35588987.00000003</v>
      </c>
      <c r="Z1137" s="90">
        <v>2</v>
      </c>
      <c r="AA1137" s="90">
        <v>769</v>
      </c>
      <c r="AB1137" s="89">
        <f t="shared" si="325"/>
        <v>30</v>
      </c>
      <c r="AC1137" s="89">
        <f t="shared" si="326"/>
        <v>0</v>
      </c>
      <c r="AD1137" s="89">
        <f t="shared" si="327"/>
        <v>2</v>
      </c>
      <c r="AE1137" s="90">
        <f t="shared" si="328"/>
        <v>30</v>
      </c>
      <c r="AF1137" s="90">
        <f t="shared" si="329"/>
        <v>2013</v>
      </c>
      <c r="AG1137" s="90">
        <f t="shared" si="330"/>
        <v>769</v>
      </c>
      <c r="AH1137" s="90" t="str">
        <f t="shared" si="331"/>
        <v>2018 (triag)</v>
      </c>
      <c r="AI1137" s="90">
        <f t="shared" si="332"/>
        <v>2</v>
      </c>
      <c r="AJ1137" s="90">
        <f t="shared" si="333"/>
        <v>2022</v>
      </c>
      <c r="AK1137" s="90" t="str">
        <f t="shared" si="334"/>
        <v>Adjust</v>
      </c>
      <c r="AL1137" s="91">
        <f>IF(AK1137="Adjust",(_xlfn.XLOOKUP(A1137,'Adj factor'!A:A,'Adj factor'!I:I,,0)*AI1137),'Master DataSheet'!AI1137)</f>
        <v>2.9659407328182339</v>
      </c>
      <c r="AM1137" s="91">
        <f t="shared" si="335"/>
        <v>769</v>
      </c>
      <c r="AN1137" s="92" t="str">
        <f t="shared" si="336"/>
        <v>Decreasing</v>
      </c>
      <c r="AS1137" s="94">
        <f t="shared" si="337"/>
        <v>1.147359073900709E-2</v>
      </c>
      <c r="AT1137" s="94">
        <f t="shared" si="338"/>
        <v>0.24589482742483873</v>
      </c>
      <c r="AU1137" s="94">
        <f t="shared" si="339"/>
        <v>0.2160780805590222</v>
      </c>
    </row>
    <row r="1138" spans="1:47" x14ac:dyDescent="0.3">
      <c r="A1138" s="85" t="str">
        <f>_xlfn.XLOOKUP(B1138,'Country codes &amp; Data sources'!G:G,'Country codes &amp; Data sources'!H:H,,0)</f>
        <v>Angola</v>
      </c>
      <c r="B1138" s="85" t="s">
        <v>162</v>
      </c>
      <c r="C1138" s="85">
        <v>25188292.499999996</v>
      </c>
      <c r="D1138" s="85" t="s">
        <v>334</v>
      </c>
      <c r="E1138" s="86">
        <v>0</v>
      </c>
      <c r="F1138" s="86">
        <v>26147002.000000011</v>
      </c>
      <c r="G1138" s="86">
        <v>0</v>
      </c>
      <c r="H1138" s="86"/>
      <c r="I1138" s="86">
        <v>0</v>
      </c>
      <c r="J1138" s="86"/>
      <c r="K1138" s="86">
        <v>0</v>
      </c>
      <c r="L1138" s="86"/>
      <c r="M1138" s="86">
        <v>0</v>
      </c>
      <c r="N1138" s="86"/>
      <c r="O1138" s="86">
        <v>0</v>
      </c>
      <c r="P1138" s="86">
        <v>31273533.000000004</v>
      </c>
      <c r="Q1138" s="86">
        <v>0</v>
      </c>
      <c r="R1138" s="87">
        <f t="shared" si="324"/>
        <v>669</v>
      </c>
      <c r="T1138" s="87">
        <v>0</v>
      </c>
      <c r="U1138" s="89"/>
      <c r="V1138" s="89">
        <v>0</v>
      </c>
      <c r="W1138" s="90"/>
      <c r="X1138" s="90">
        <v>0</v>
      </c>
      <c r="Y1138" s="90">
        <v>35588987.00000003</v>
      </c>
      <c r="Z1138" s="90">
        <v>20</v>
      </c>
      <c r="AA1138" s="90">
        <v>669</v>
      </c>
      <c r="AB1138" s="89">
        <f t="shared" si="325"/>
        <v>0</v>
      </c>
      <c r="AC1138" s="89">
        <f t="shared" si="326"/>
        <v>0</v>
      </c>
      <c r="AD1138" s="89">
        <f t="shared" si="327"/>
        <v>20</v>
      </c>
      <c r="AE1138" s="90">
        <f t="shared" si="328"/>
        <v>0</v>
      </c>
      <c r="AF1138" s="90" t="str">
        <f t="shared" si="329"/>
        <v/>
      </c>
      <c r="AG1138" s="90">
        <f t="shared" si="330"/>
        <v>669</v>
      </c>
      <c r="AH1138" s="90" t="str">
        <f t="shared" si="331"/>
        <v>2018 (triag)</v>
      </c>
      <c r="AI1138" s="90">
        <f t="shared" si="332"/>
        <v>20</v>
      </c>
      <c r="AJ1138" s="90">
        <f t="shared" si="333"/>
        <v>2022</v>
      </c>
      <c r="AK1138" s="90" t="str">
        <f t="shared" si="334"/>
        <v>Adjust</v>
      </c>
      <c r="AL1138" s="91">
        <f>IF(AK1138="Adjust",(_xlfn.XLOOKUP(A1138,'Adj factor'!A:A,'Adj factor'!I:I,,0)*AI1138),'Master DataSheet'!AI1138)</f>
        <v>29.65940732818234</v>
      </c>
      <c r="AM1138" s="91">
        <f t="shared" si="335"/>
        <v>669</v>
      </c>
      <c r="AN1138" s="92" t="str">
        <f t="shared" si="336"/>
        <v>Decreasing</v>
      </c>
      <c r="AS1138" s="94">
        <f t="shared" si="337"/>
        <v>0</v>
      </c>
      <c r="AT1138" s="94">
        <f t="shared" si="338"/>
        <v>0.2139189070835073</v>
      </c>
      <c r="AU1138" s="94">
        <f t="shared" si="339"/>
        <v>0.18797950051233531</v>
      </c>
    </row>
    <row r="1139" spans="1:47" x14ac:dyDescent="0.3">
      <c r="A1139" s="85" t="str">
        <f>_xlfn.XLOOKUP(B1139,'Country codes &amp; Data sources'!G:G,'Country codes &amp; Data sources'!H:H,,0)</f>
        <v>Angola</v>
      </c>
      <c r="B1139" s="85" t="s">
        <v>162</v>
      </c>
      <c r="C1139" s="85">
        <v>25188292.499999996</v>
      </c>
      <c r="D1139" s="85" t="s">
        <v>335</v>
      </c>
      <c r="E1139" s="86">
        <v>0</v>
      </c>
      <c r="F1139" s="86">
        <v>26147002.000000011</v>
      </c>
      <c r="G1139" s="86">
        <v>0</v>
      </c>
      <c r="H1139" s="86"/>
      <c r="I1139" s="86">
        <v>0</v>
      </c>
      <c r="J1139" s="86"/>
      <c r="K1139" s="86">
        <v>0</v>
      </c>
      <c r="L1139" s="86"/>
      <c r="M1139" s="86">
        <v>0</v>
      </c>
      <c r="N1139" s="86"/>
      <c r="O1139" s="86">
        <v>0</v>
      </c>
      <c r="P1139" s="86">
        <v>31273533.000000004</v>
      </c>
      <c r="Q1139" s="86">
        <v>2302</v>
      </c>
      <c r="R1139" s="87">
        <f t="shared" si="324"/>
        <v>2302</v>
      </c>
      <c r="T1139" s="87">
        <v>0</v>
      </c>
      <c r="U1139" s="89"/>
      <c r="V1139" s="89">
        <v>0</v>
      </c>
      <c r="W1139" s="90"/>
      <c r="X1139" s="90">
        <v>0</v>
      </c>
      <c r="Y1139" s="90">
        <v>35588987.00000003</v>
      </c>
      <c r="Z1139" s="90">
        <v>967</v>
      </c>
      <c r="AA1139" s="90">
        <v>697</v>
      </c>
      <c r="AB1139" s="89">
        <f t="shared" si="325"/>
        <v>0</v>
      </c>
      <c r="AC1139" s="89">
        <f t="shared" si="326"/>
        <v>2302</v>
      </c>
      <c r="AD1139" s="89">
        <f t="shared" si="327"/>
        <v>967</v>
      </c>
      <c r="AE1139" s="90">
        <f t="shared" si="328"/>
        <v>0</v>
      </c>
      <c r="AF1139" s="90" t="str">
        <f t="shared" si="329"/>
        <v/>
      </c>
      <c r="AG1139" s="90">
        <f t="shared" si="330"/>
        <v>2302</v>
      </c>
      <c r="AH1139" s="90">
        <f t="shared" si="331"/>
        <v>2018</v>
      </c>
      <c r="AI1139" s="90">
        <f t="shared" si="332"/>
        <v>967</v>
      </c>
      <c r="AJ1139" s="90">
        <f t="shared" si="333"/>
        <v>2022</v>
      </c>
      <c r="AK1139" s="90" t="str">
        <f t="shared" si="334"/>
        <v>Adjust</v>
      </c>
      <c r="AL1139" s="91">
        <f>IF(AK1139="Adjust",(_xlfn.XLOOKUP(A1139,'Adj factor'!A:A,'Adj factor'!I:I,,0)*AI1139),'Master DataSheet'!AI1139)</f>
        <v>1434.032344317616</v>
      </c>
      <c r="AM1139" s="91">
        <f t="shared" si="335"/>
        <v>2302</v>
      </c>
      <c r="AN1139" s="92" t="str">
        <f t="shared" si="336"/>
        <v>Decreasing</v>
      </c>
      <c r="AS1139" s="94">
        <f t="shared" si="337"/>
        <v>0</v>
      </c>
      <c r="AT1139" s="94">
        <f t="shared" si="338"/>
        <v>0.73608568625744963</v>
      </c>
      <c r="AU1139" s="94">
        <f t="shared" si="339"/>
        <v>0.6468293126747322</v>
      </c>
    </row>
    <row r="1140" spans="1:47" x14ac:dyDescent="0.3">
      <c r="A1140" s="85" t="str">
        <f>_xlfn.XLOOKUP(B1140,'Country codes &amp; Data sources'!G:G,'Country codes &amp; Data sources'!H:H,,0)</f>
        <v>Angola</v>
      </c>
      <c r="B1140" s="85" t="s">
        <v>162</v>
      </c>
      <c r="C1140" s="85">
        <v>25188292.499999996</v>
      </c>
      <c r="D1140" s="85" t="s">
        <v>336</v>
      </c>
      <c r="E1140" s="86">
        <v>0</v>
      </c>
      <c r="F1140" s="86">
        <v>26147002.000000011</v>
      </c>
      <c r="G1140" s="86">
        <v>0</v>
      </c>
      <c r="H1140" s="86"/>
      <c r="I1140" s="86">
        <v>0</v>
      </c>
      <c r="J1140" s="86"/>
      <c r="K1140" s="86">
        <v>0</v>
      </c>
      <c r="L1140" s="86"/>
      <c r="M1140" s="86">
        <v>0</v>
      </c>
      <c r="N1140" s="86"/>
      <c r="O1140" s="86">
        <v>0</v>
      </c>
      <c r="P1140" s="86">
        <v>31273533.000000004</v>
      </c>
      <c r="Q1140" s="86">
        <v>0</v>
      </c>
      <c r="R1140" s="87">
        <f t="shared" si="324"/>
        <v>1605</v>
      </c>
      <c r="T1140" s="87">
        <v>0</v>
      </c>
      <c r="U1140" s="89"/>
      <c r="V1140" s="89">
        <v>0</v>
      </c>
      <c r="W1140" s="90"/>
      <c r="X1140" s="90">
        <v>0</v>
      </c>
      <c r="Y1140" s="90">
        <v>35588987.00000003</v>
      </c>
      <c r="Z1140" s="90">
        <v>636</v>
      </c>
      <c r="AA1140" s="90">
        <v>1605</v>
      </c>
      <c r="AB1140" s="89">
        <f t="shared" si="325"/>
        <v>0</v>
      </c>
      <c r="AC1140" s="89">
        <f t="shared" si="326"/>
        <v>0</v>
      </c>
      <c r="AD1140" s="89">
        <f t="shared" si="327"/>
        <v>636</v>
      </c>
      <c r="AE1140" s="90">
        <f t="shared" si="328"/>
        <v>0</v>
      </c>
      <c r="AF1140" s="90" t="str">
        <f t="shared" si="329"/>
        <v/>
      </c>
      <c r="AG1140" s="90">
        <f t="shared" si="330"/>
        <v>1605</v>
      </c>
      <c r="AH1140" s="90" t="str">
        <f t="shared" si="331"/>
        <v>2018 (triag)</v>
      </c>
      <c r="AI1140" s="90">
        <f t="shared" si="332"/>
        <v>636</v>
      </c>
      <c r="AJ1140" s="90">
        <f t="shared" si="333"/>
        <v>2022</v>
      </c>
      <c r="AK1140" s="90" t="str">
        <f t="shared" si="334"/>
        <v>Adjust</v>
      </c>
      <c r="AL1140" s="91">
        <f>IF(AK1140="Adjust",(_xlfn.XLOOKUP(A1140,'Adj factor'!A:A,'Adj factor'!I:I,,0)*AI1140),'Master DataSheet'!AI1140)</f>
        <v>943.1691530361984</v>
      </c>
      <c r="AM1140" s="91">
        <f t="shared" si="335"/>
        <v>1605</v>
      </c>
      <c r="AN1140" s="92" t="str">
        <f t="shared" si="336"/>
        <v>Decreasing</v>
      </c>
      <c r="AS1140" s="94">
        <f t="shared" si="337"/>
        <v>0</v>
      </c>
      <c r="AT1140" s="94">
        <f t="shared" si="338"/>
        <v>0.51321352147836952</v>
      </c>
      <c r="AU1140" s="94">
        <f t="shared" si="339"/>
        <v>0.45098220974932463</v>
      </c>
    </row>
    <row r="1141" spans="1:47" x14ac:dyDescent="0.3">
      <c r="A1141" s="85" t="str">
        <f>_xlfn.XLOOKUP(B1141,'Country codes &amp; Data sources'!G:G,'Country codes &amp; Data sources'!H:H,,0)</f>
        <v>Angola</v>
      </c>
      <c r="B1141" s="85" t="s">
        <v>162</v>
      </c>
      <c r="C1141" s="85">
        <v>25188292.499999996</v>
      </c>
      <c r="D1141" s="85" t="s">
        <v>337</v>
      </c>
      <c r="E1141" s="86">
        <v>0</v>
      </c>
      <c r="F1141" s="86">
        <v>26147002.000000011</v>
      </c>
      <c r="G1141" s="86">
        <v>0</v>
      </c>
      <c r="H1141" s="86"/>
      <c r="I1141" s="86">
        <v>0</v>
      </c>
      <c r="J1141" s="86"/>
      <c r="K1141" s="86">
        <v>0</v>
      </c>
      <c r="L1141" s="86"/>
      <c r="M1141" s="86">
        <v>0</v>
      </c>
      <c r="N1141" s="86"/>
      <c r="O1141" s="86">
        <v>0</v>
      </c>
      <c r="P1141" s="86">
        <v>31273533.000000004</v>
      </c>
      <c r="Q1141" s="86">
        <v>1652</v>
      </c>
      <c r="R1141" s="87">
        <f t="shared" si="324"/>
        <v>1652</v>
      </c>
      <c r="T1141" s="87">
        <v>0</v>
      </c>
      <c r="U1141" s="89"/>
      <c r="V1141" s="89">
        <v>0</v>
      </c>
      <c r="W1141" s="90"/>
      <c r="X1141" s="90">
        <v>0</v>
      </c>
      <c r="Y1141" s="90">
        <v>35588987.00000003</v>
      </c>
      <c r="Z1141" s="90">
        <v>171</v>
      </c>
      <c r="AA1141" s="90">
        <v>856</v>
      </c>
      <c r="AB1141" s="89">
        <f t="shared" si="325"/>
        <v>0</v>
      </c>
      <c r="AC1141" s="89">
        <f t="shared" si="326"/>
        <v>1652</v>
      </c>
      <c r="AD1141" s="89">
        <f t="shared" si="327"/>
        <v>171</v>
      </c>
      <c r="AE1141" s="90">
        <f t="shared" si="328"/>
        <v>0</v>
      </c>
      <c r="AF1141" s="90" t="str">
        <f t="shared" si="329"/>
        <v/>
      </c>
      <c r="AG1141" s="90">
        <f t="shared" si="330"/>
        <v>1652</v>
      </c>
      <c r="AH1141" s="90">
        <f t="shared" si="331"/>
        <v>2018</v>
      </c>
      <c r="AI1141" s="90">
        <f t="shared" si="332"/>
        <v>171</v>
      </c>
      <c r="AJ1141" s="90">
        <f t="shared" si="333"/>
        <v>2022</v>
      </c>
      <c r="AK1141" s="90" t="str">
        <f t="shared" si="334"/>
        <v>Adjust</v>
      </c>
      <c r="AL1141" s="91">
        <f>IF(AK1141="Adjust",(_xlfn.XLOOKUP(A1141,'Adj factor'!A:A,'Adj factor'!I:I,,0)*AI1141),'Master DataSheet'!AI1141)</f>
        <v>253.58793265595901</v>
      </c>
      <c r="AM1141" s="91">
        <f t="shared" si="335"/>
        <v>1652</v>
      </c>
      <c r="AN1141" s="92" t="str">
        <f t="shared" si="336"/>
        <v>Decreasing</v>
      </c>
      <c r="AS1141" s="94">
        <f t="shared" si="337"/>
        <v>0</v>
      </c>
      <c r="AT1141" s="94">
        <f t="shared" si="338"/>
        <v>0.52824220403879529</v>
      </c>
      <c r="AU1141" s="94">
        <f t="shared" si="339"/>
        <v>0.46418854237126744</v>
      </c>
    </row>
    <row r="1142" spans="1:47" x14ac:dyDescent="0.3">
      <c r="A1142" s="85" t="str">
        <f>_xlfn.XLOOKUP(B1142,'Country codes &amp; Data sources'!G:G,'Country codes &amp; Data sources'!H:H,,0)</f>
        <v>Angola</v>
      </c>
      <c r="B1142" s="85" t="s">
        <v>162</v>
      </c>
      <c r="C1142" s="85">
        <v>25188292.499999996</v>
      </c>
      <c r="D1142" s="85" t="s">
        <v>338</v>
      </c>
      <c r="E1142" s="86">
        <v>0</v>
      </c>
      <c r="F1142" s="86">
        <v>26147002.000000011</v>
      </c>
      <c r="G1142" s="86">
        <v>0</v>
      </c>
      <c r="H1142" s="86"/>
      <c r="I1142" s="86">
        <v>0</v>
      </c>
      <c r="J1142" s="86"/>
      <c r="K1142" s="86">
        <v>0</v>
      </c>
      <c r="L1142" s="86"/>
      <c r="M1142" s="86">
        <v>0</v>
      </c>
      <c r="N1142" s="86"/>
      <c r="O1142" s="86">
        <v>0</v>
      </c>
      <c r="P1142" s="86">
        <v>31273533.000000004</v>
      </c>
      <c r="Q1142" s="86">
        <v>0</v>
      </c>
      <c r="R1142" s="87">
        <f t="shared" si="324"/>
        <v>796</v>
      </c>
      <c r="T1142" s="87">
        <v>0</v>
      </c>
      <c r="U1142" s="89"/>
      <c r="V1142" s="89">
        <v>0</v>
      </c>
      <c r="W1142" s="90"/>
      <c r="X1142" s="90">
        <v>0</v>
      </c>
      <c r="Y1142" s="90">
        <v>35588987.00000003</v>
      </c>
      <c r="Z1142" s="90">
        <v>0</v>
      </c>
      <c r="AA1142" s="90">
        <v>796</v>
      </c>
      <c r="AB1142" s="89">
        <f t="shared" si="325"/>
        <v>0</v>
      </c>
      <c r="AC1142" s="89">
        <f t="shared" si="326"/>
        <v>0</v>
      </c>
      <c r="AD1142" s="89">
        <f t="shared" si="327"/>
        <v>0</v>
      </c>
      <c r="AE1142" s="90">
        <f t="shared" si="328"/>
        <v>0</v>
      </c>
      <c r="AF1142" s="90" t="str">
        <f t="shared" si="329"/>
        <v/>
      </c>
      <c r="AG1142" s="90">
        <f t="shared" si="330"/>
        <v>796</v>
      </c>
      <c r="AH1142" s="90" t="str">
        <f t="shared" si="331"/>
        <v>2018 (triag)</v>
      </c>
      <c r="AI1142" s="90">
        <f t="shared" si="332"/>
        <v>796</v>
      </c>
      <c r="AJ1142" s="90" t="str">
        <f t="shared" si="333"/>
        <v>2018 (triag)</v>
      </c>
      <c r="AK1142" s="90" t="str">
        <f t="shared" si="334"/>
        <v/>
      </c>
      <c r="AL1142" s="91">
        <f>IF(AK1142="Adjust",(_xlfn.XLOOKUP(A1142,'Adj factor'!A:A,'Adj factor'!I:I,,0)*AI1142),'Master DataSheet'!AI1142)</f>
        <v>796</v>
      </c>
      <c r="AM1142" s="91">
        <f t="shared" si="335"/>
        <v>796</v>
      </c>
      <c r="AN1142" s="92" t="str">
        <f t="shared" si="336"/>
        <v>No change</v>
      </c>
      <c r="AS1142" s="94">
        <f t="shared" si="337"/>
        <v>0</v>
      </c>
      <c r="AT1142" s="94">
        <f t="shared" si="338"/>
        <v>0.2545283259169982</v>
      </c>
      <c r="AU1142" s="94">
        <f t="shared" si="339"/>
        <v>0.22366469717162765</v>
      </c>
    </row>
    <row r="1143" spans="1:47" x14ac:dyDescent="0.3">
      <c r="A1143" s="85" t="str">
        <f>_xlfn.XLOOKUP(B1143,'Country codes &amp; Data sources'!G:G,'Country codes &amp; Data sources'!H:H,,0)</f>
        <v>Angola</v>
      </c>
      <c r="B1143" s="85" t="s">
        <v>162</v>
      </c>
      <c r="C1143" s="85">
        <v>25188292.499999996</v>
      </c>
      <c r="D1143" s="85" t="s">
        <v>339</v>
      </c>
      <c r="E1143" s="86">
        <v>0</v>
      </c>
      <c r="F1143" s="86">
        <v>26147002.000000011</v>
      </c>
      <c r="G1143" s="86">
        <v>0</v>
      </c>
      <c r="H1143" s="86"/>
      <c r="I1143" s="86">
        <v>0</v>
      </c>
      <c r="J1143" s="86"/>
      <c r="K1143" s="86">
        <v>0</v>
      </c>
      <c r="L1143" s="86"/>
      <c r="M1143" s="86">
        <v>0</v>
      </c>
      <c r="N1143" s="86"/>
      <c r="O1143" s="86">
        <v>0</v>
      </c>
      <c r="P1143" s="86">
        <v>31273533.000000004</v>
      </c>
      <c r="Q1143" s="86">
        <v>0</v>
      </c>
      <c r="R1143" s="87">
        <f t="shared" si="324"/>
        <v>0</v>
      </c>
      <c r="T1143" s="87">
        <v>0</v>
      </c>
      <c r="U1143" s="89"/>
      <c r="V1143" s="89">
        <v>0</v>
      </c>
      <c r="W1143" s="90"/>
      <c r="X1143" s="90">
        <v>0</v>
      </c>
      <c r="Y1143" s="90">
        <v>35588987.00000003</v>
      </c>
      <c r="Z1143" s="90">
        <v>767</v>
      </c>
      <c r="AA1143" s="90">
        <v>0</v>
      </c>
      <c r="AB1143" s="89">
        <f t="shared" si="325"/>
        <v>0</v>
      </c>
      <c r="AC1143" s="89">
        <f t="shared" si="326"/>
        <v>0</v>
      </c>
      <c r="AD1143" s="89">
        <f t="shared" si="327"/>
        <v>767</v>
      </c>
      <c r="AE1143" s="90">
        <f t="shared" si="328"/>
        <v>0</v>
      </c>
      <c r="AF1143" s="90" t="str">
        <f t="shared" si="329"/>
        <v/>
      </c>
      <c r="AG1143" s="90">
        <f t="shared" si="330"/>
        <v>0</v>
      </c>
      <c r="AH1143" s="90" t="str">
        <f t="shared" si="331"/>
        <v/>
      </c>
      <c r="AI1143" s="90">
        <f t="shared" si="332"/>
        <v>767</v>
      </c>
      <c r="AJ1143" s="90">
        <f t="shared" si="333"/>
        <v>2022</v>
      </c>
      <c r="AK1143" s="90" t="str">
        <f t="shared" si="334"/>
        <v/>
      </c>
      <c r="AL1143" s="91">
        <f>IF(AK1143="Adjust",(_xlfn.XLOOKUP(A1143,'Adj factor'!A:A,'Adj factor'!I:I,,0)*AI1143),'Master DataSheet'!AI1143)</f>
        <v>767</v>
      </c>
      <c r="AM1143" s="91">
        <f t="shared" si="335"/>
        <v>767</v>
      </c>
      <c r="AN1143" s="92" t="str">
        <f t="shared" si="336"/>
        <v>Increasing</v>
      </c>
      <c r="AS1143" s="94">
        <f t="shared" si="337"/>
        <v>0</v>
      </c>
      <c r="AT1143" s="94">
        <f t="shared" si="338"/>
        <v>0</v>
      </c>
      <c r="AU1143" s="94">
        <f t="shared" si="339"/>
        <v>0.21551610895808845</v>
      </c>
    </row>
    <row r="1144" spans="1:47" x14ac:dyDescent="0.3">
      <c r="A1144" s="85" t="str">
        <f>_xlfn.XLOOKUP(B1144,'Country codes &amp; Data sources'!G:G,'Country codes &amp; Data sources'!H:H,,0)</f>
        <v>Burundi</v>
      </c>
      <c r="B1144" s="85" t="s">
        <v>165</v>
      </c>
      <c r="C1144" s="85">
        <v>9795479.0000000019</v>
      </c>
      <c r="D1144" s="85" t="s">
        <v>326</v>
      </c>
      <c r="E1144" s="86">
        <v>498</v>
      </c>
      <c r="F1144" s="86">
        <v>10149577.500000002</v>
      </c>
      <c r="G1144" s="86">
        <v>554</v>
      </c>
      <c r="H1144" s="86">
        <v>10494912.499999989</v>
      </c>
      <c r="I1144" s="86">
        <v>609</v>
      </c>
      <c r="J1144" s="86">
        <v>10727148.499999996</v>
      </c>
      <c r="K1144" s="86">
        <v>508</v>
      </c>
      <c r="L1144" s="86">
        <v>10903327.500000004</v>
      </c>
      <c r="M1144" s="86">
        <v>0</v>
      </c>
      <c r="N1144" s="86">
        <v>11155593.000000002</v>
      </c>
      <c r="O1144" s="86">
        <v>0</v>
      </c>
      <c r="P1144" s="86">
        <v>11493472.499999993</v>
      </c>
      <c r="Q1144" s="86">
        <v>0</v>
      </c>
      <c r="R1144" s="87">
        <f t="shared" si="324"/>
        <v>1084</v>
      </c>
      <c r="S1144" s="87">
        <v>11874838</v>
      </c>
      <c r="T1144" s="87">
        <v>0</v>
      </c>
      <c r="U1144" s="89">
        <v>12220226.500000007</v>
      </c>
      <c r="V1144" s="89">
        <v>852</v>
      </c>
      <c r="W1144" s="90">
        <v>12551212.999999998</v>
      </c>
      <c r="X1144" s="90">
        <v>812</v>
      </c>
      <c r="Y1144" s="90">
        <v>12889576.499999994</v>
      </c>
      <c r="Z1144" s="90">
        <v>0</v>
      </c>
      <c r="AA1144" s="90">
        <v>1084</v>
      </c>
      <c r="AB1144" s="89">
        <f t="shared" si="325"/>
        <v>609</v>
      </c>
      <c r="AC1144" s="89">
        <f t="shared" si="326"/>
        <v>0</v>
      </c>
      <c r="AD1144" s="89">
        <f t="shared" si="327"/>
        <v>852</v>
      </c>
      <c r="AE1144" s="90">
        <f t="shared" si="328"/>
        <v>554</v>
      </c>
      <c r="AF1144" s="90">
        <f t="shared" si="329"/>
        <v>2013</v>
      </c>
      <c r="AG1144" s="90">
        <f t="shared" si="330"/>
        <v>1084</v>
      </c>
      <c r="AH1144" s="90" t="str">
        <f t="shared" si="331"/>
        <v>2018 (triag)</v>
      </c>
      <c r="AI1144" s="90">
        <f t="shared" si="332"/>
        <v>812</v>
      </c>
      <c r="AJ1144" s="90">
        <f t="shared" si="333"/>
        <v>2021</v>
      </c>
      <c r="AK1144" s="90" t="str">
        <f t="shared" si="334"/>
        <v>Adjust</v>
      </c>
      <c r="AL1144" s="91">
        <f>IF(AK1144="Adjust",(_xlfn.XLOOKUP(A1144,'Adj factor'!A:A,'Adj factor'!I:I,,0)*AI1144),'Master DataSheet'!AI1144)</f>
        <v>1014.8610394397346</v>
      </c>
      <c r="AM1144" s="91">
        <f t="shared" si="335"/>
        <v>1084</v>
      </c>
      <c r="AN1144" s="92" t="str">
        <f t="shared" si="336"/>
        <v>Decreasing</v>
      </c>
      <c r="AS1144" s="94">
        <f t="shared" si="337"/>
        <v>0.54583552862175777</v>
      </c>
      <c r="AT1144" s="94">
        <f t="shared" si="338"/>
        <v>0.9431440324062208</v>
      </c>
      <c r="AU1144" s="94">
        <f t="shared" si="339"/>
        <v>0.84098961668756178</v>
      </c>
    </row>
    <row r="1145" spans="1:47" x14ac:dyDescent="0.3">
      <c r="A1145" s="85" t="str">
        <f>_xlfn.XLOOKUP(B1145,'Country codes &amp; Data sources'!G:G,'Country codes &amp; Data sources'!H:H,,0)</f>
        <v>Burundi</v>
      </c>
      <c r="B1145" s="85" t="s">
        <v>165</v>
      </c>
      <c r="C1145" s="85">
        <v>9795480</v>
      </c>
      <c r="D1145" s="85" t="s">
        <v>327</v>
      </c>
      <c r="E1145" s="86">
        <v>475</v>
      </c>
      <c r="F1145" s="86">
        <v>10149577.500000002</v>
      </c>
      <c r="G1145" s="86">
        <v>486</v>
      </c>
      <c r="H1145" s="86"/>
      <c r="I1145" s="86">
        <v>556</v>
      </c>
      <c r="J1145" s="86"/>
      <c r="K1145" s="86">
        <v>467</v>
      </c>
      <c r="L1145" s="86"/>
      <c r="M1145" s="86">
        <v>0</v>
      </c>
      <c r="N1145" s="86"/>
      <c r="O1145" s="86">
        <v>0</v>
      </c>
      <c r="P1145" s="86">
        <v>11493472.499999993</v>
      </c>
      <c r="Q1145" s="86">
        <v>0</v>
      </c>
      <c r="R1145" s="87">
        <f t="shared" si="324"/>
        <v>889</v>
      </c>
      <c r="T1145" s="87">
        <v>0</v>
      </c>
      <c r="U1145" s="89"/>
      <c r="V1145" s="89">
        <v>0</v>
      </c>
      <c r="W1145" s="90"/>
      <c r="X1145" s="90">
        <v>725</v>
      </c>
      <c r="Y1145" s="90">
        <v>12889576.499999994</v>
      </c>
      <c r="Z1145" s="90">
        <v>0</v>
      </c>
      <c r="AA1145" s="90">
        <v>889</v>
      </c>
      <c r="AB1145" s="89">
        <f t="shared" si="325"/>
        <v>556</v>
      </c>
      <c r="AC1145" s="89">
        <f t="shared" si="326"/>
        <v>0</v>
      </c>
      <c r="AD1145" s="89">
        <f t="shared" si="327"/>
        <v>725</v>
      </c>
      <c r="AE1145" s="90">
        <f t="shared" si="328"/>
        <v>486</v>
      </c>
      <c r="AF1145" s="90">
        <f t="shared" si="329"/>
        <v>2013</v>
      </c>
      <c r="AG1145" s="90">
        <f t="shared" si="330"/>
        <v>889</v>
      </c>
      <c r="AH1145" s="90" t="str">
        <f t="shared" si="331"/>
        <v>2018 (triag)</v>
      </c>
      <c r="AI1145" s="90">
        <f t="shared" si="332"/>
        <v>725</v>
      </c>
      <c r="AJ1145" s="90">
        <f t="shared" si="333"/>
        <v>2021</v>
      </c>
      <c r="AK1145" s="90" t="str">
        <f t="shared" si="334"/>
        <v>Adjust</v>
      </c>
      <c r="AL1145" s="91">
        <f>IF(AK1145="Adjust",(_xlfn.XLOOKUP(A1145,'Adj factor'!A:A,'Adj factor'!I:I,,0)*AI1145),'Master DataSheet'!AI1145)</f>
        <v>906.12592807119154</v>
      </c>
      <c r="AM1145" s="91">
        <f t="shared" si="335"/>
        <v>906.12592807119154</v>
      </c>
      <c r="AN1145" s="92" t="str">
        <f t="shared" si="336"/>
        <v>Increasing</v>
      </c>
      <c r="AS1145" s="94">
        <f t="shared" si="337"/>
        <v>0.47883766590284166</v>
      </c>
      <c r="AT1145" s="94">
        <f t="shared" si="338"/>
        <v>0.77348251366155929</v>
      </c>
      <c r="AU1145" s="94">
        <f t="shared" si="339"/>
        <v>0.70299123332034374</v>
      </c>
    </row>
    <row r="1146" spans="1:47" x14ac:dyDescent="0.3">
      <c r="A1146" s="85" t="str">
        <f>_xlfn.XLOOKUP(B1146,'Country codes &amp; Data sources'!G:G,'Country codes &amp; Data sources'!H:H,,0)</f>
        <v>Burundi</v>
      </c>
      <c r="B1146" s="85" t="s">
        <v>165</v>
      </c>
      <c r="C1146" s="85">
        <v>9795481</v>
      </c>
      <c r="D1146" s="85" t="s">
        <v>328</v>
      </c>
      <c r="E1146" s="86">
        <v>23</v>
      </c>
      <c r="F1146" s="86">
        <v>10149577.500000002</v>
      </c>
      <c r="G1146" s="86">
        <v>68</v>
      </c>
      <c r="H1146" s="86"/>
      <c r="I1146" s="86">
        <v>53</v>
      </c>
      <c r="J1146" s="86"/>
      <c r="K1146" s="86">
        <v>41</v>
      </c>
      <c r="L1146" s="86"/>
      <c r="M1146" s="86">
        <v>0</v>
      </c>
      <c r="N1146" s="86"/>
      <c r="O1146" s="86">
        <v>0</v>
      </c>
      <c r="P1146" s="86">
        <v>11493472.499999993</v>
      </c>
      <c r="Q1146" s="86">
        <v>0</v>
      </c>
      <c r="R1146" s="87">
        <f t="shared" si="324"/>
        <v>195</v>
      </c>
      <c r="T1146" s="87">
        <v>0</v>
      </c>
      <c r="U1146" s="89"/>
      <c r="V1146" s="89">
        <v>0</v>
      </c>
      <c r="W1146" s="90"/>
      <c r="X1146" s="90">
        <v>87</v>
      </c>
      <c r="Y1146" s="90">
        <v>12889576.499999994</v>
      </c>
      <c r="Z1146" s="90">
        <v>0</v>
      </c>
      <c r="AA1146" s="90">
        <v>195</v>
      </c>
      <c r="AB1146" s="89">
        <f t="shared" si="325"/>
        <v>68</v>
      </c>
      <c r="AC1146" s="89">
        <f t="shared" si="326"/>
        <v>0</v>
      </c>
      <c r="AD1146" s="89">
        <f t="shared" si="327"/>
        <v>87</v>
      </c>
      <c r="AE1146" s="90">
        <f t="shared" si="328"/>
        <v>68</v>
      </c>
      <c r="AF1146" s="90">
        <f t="shared" si="329"/>
        <v>2013</v>
      </c>
      <c r="AG1146" s="90">
        <f t="shared" si="330"/>
        <v>195</v>
      </c>
      <c r="AH1146" s="90" t="str">
        <f t="shared" si="331"/>
        <v>2018 (triag)</v>
      </c>
      <c r="AI1146" s="90">
        <f t="shared" si="332"/>
        <v>87</v>
      </c>
      <c r="AJ1146" s="90">
        <f t="shared" si="333"/>
        <v>2021</v>
      </c>
      <c r="AK1146" s="90" t="str">
        <f t="shared" si="334"/>
        <v>Adjust</v>
      </c>
      <c r="AL1146" s="91">
        <f>IF(AK1146="Adjust",(_xlfn.XLOOKUP(A1146,'Adj factor'!A:A,'Adj factor'!I:I,,0)*AI1146),'Master DataSheet'!AI1146)</f>
        <v>108.73511136854299</v>
      </c>
      <c r="AM1146" s="91">
        <f t="shared" si="335"/>
        <v>195</v>
      </c>
      <c r="AN1146" s="92" t="str">
        <f t="shared" si="336"/>
        <v>Decreasing</v>
      </c>
      <c r="AS1146" s="94">
        <f t="shared" si="337"/>
        <v>6.6997862718916126E-2</v>
      </c>
      <c r="AT1146" s="94">
        <f t="shared" si="338"/>
        <v>0.16966151874466148</v>
      </c>
      <c r="AU1146" s="94">
        <f t="shared" si="339"/>
        <v>0.15128503252220901</v>
      </c>
    </row>
    <row r="1147" spans="1:47" x14ac:dyDescent="0.3">
      <c r="A1147" s="85" t="str">
        <f>_xlfn.XLOOKUP(B1147,'Country codes &amp; Data sources'!G:G,'Country codes &amp; Data sources'!H:H,,0)</f>
        <v>Burundi</v>
      </c>
      <c r="B1147" s="85" t="s">
        <v>165</v>
      </c>
      <c r="C1147" s="85">
        <v>9795482</v>
      </c>
      <c r="D1147" s="85" t="s">
        <v>329</v>
      </c>
      <c r="E1147" s="86">
        <v>6486</v>
      </c>
      <c r="F1147" s="86">
        <v>10149577.500000002</v>
      </c>
      <c r="G1147" s="86">
        <v>6573</v>
      </c>
      <c r="H1147" s="86"/>
      <c r="I1147" s="86">
        <v>6819</v>
      </c>
      <c r="J1147" s="86"/>
      <c r="K1147" s="86">
        <v>6688</v>
      </c>
      <c r="L1147" s="86"/>
      <c r="M1147" s="86">
        <v>0</v>
      </c>
      <c r="N1147" s="86"/>
      <c r="O1147" s="86">
        <v>9071</v>
      </c>
      <c r="P1147" s="86">
        <v>11493472.499999993</v>
      </c>
      <c r="Q1147" s="86">
        <v>9156</v>
      </c>
      <c r="R1147" s="87">
        <f t="shared" si="324"/>
        <v>9156</v>
      </c>
      <c r="T1147" s="87">
        <v>7518</v>
      </c>
      <c r="U1147" s="89"/>
      <c r="V1147" s="89">
        <v>7713</v>
      </c>
      <c r="W1147" s="90"/>
      <c r="X1147" s="90">
        <v>9372</v>
      </c>
      <c r="Y1147" s="90">
        <v>12889576.499999994</v>
      </c>
      <c r="Z1147" s="90">
        <v>0</v>
      </c>
      <c r="AA1147" s="90">
        <v>8996</v>
      </c>
      <c r="AB1147" s="89">
        <f t="shared" si="325"/>
        <v>6819</v>
      </c>
      <c r="AC1147" s="89">
        <f t="shared" si="326"/>
        <v>9156</v>
      </c>
      <c r="AD1147" s="89">
        <f t="shared" si="327"/>
        <v>9372</v>
      </c>
      <c r="AE1147" s="90">
        <f t="shared" si="328"/>
        <v>6573</v>
      </c>
      <c r="AF1147" s="90">
        <f t="shared" si="329"/>
        <v>2013</v>
      </c>
      <c r="AG1147" s="90">
        <f t="shared" si="330"/>
        <v>9156</v>
      </c>
      <c r="AH1147" s="90">
        <f t="shared" si="331"/>
        <v>2018</v>
      </c>
      <c r="AI1147" s="90">
        <f t="shared" si="332"/>
        <v>9372</v>
      </c>
      <c r="AJ1147" s="90">
        <f t="shared" si="333"/>
        <v>2021</v>
      </c>
      <c r="AK1147" s="90" t="str">
        <f t="shared" si="334"/>
        <v/>
      </c>
      <c r="AL1147" s="91">
        <f>IF(AK1147="Adjust",(_xlfn.XLOOKUP(A1147,'Adj factor'!A:A,'Adj factor'!I:I,,0)*AI1147),'Master DataSheet'!AI1147)</f>
        <v>9372</v>
      </c>
      <c r="AM1147" s="91">
        <f t="shared" si="335"/>
        <v>9372</v>
      </c>
      <c r="AN1147" s="92" t="str">
        <f t="shared" si="336"/>
        <v>Increasing</v>
      </c>
      <c r="AS1147" s="94">
        <f t="shared" si="337"/>
        <v>6.4761316419328772</v>
      </c>
      <c r="AT1147" s="94">
        <f t="shared" si="338"/>
        <v>7.9662608493647209</v>
      </c>
      <c r="AU1147" s="94">
        <f t="shared" si="339"/>
        <v>7.2709914092212449</v>
      </c>
    </row>
    <row r="1148" spans="1:47" x14ac:dyDescent="0.3">
      <c r="A1148" s="85" t="str">
        <f>_xlfn.XLOOKUP(B1148,'Country codes &amp; Data sources'!G:G,'Country codes &amp; Data sources'!H:H,,0)</f>
        <v>Burundi</v>
      </c>
      <c r="B1148" s="85" t="s">
        <v>165</v>
      </c>
      <c r="C1148" s="85">
        <v>9795483</v>
      </c>
      <c r="D1148" s="85" t="s">
        <v>330</v>
      </c>
      <c r="E1148" s="86">
        <v>2843</v>
      </c>
      <c r="F1148" s="86">
        <v>10149577.500000002</v>
      </c>
      <c r="G1148" s="86">
        <v>2568</v>
      </c>
      <c r="H1148" s="86"/>
      <c r="I1148" s="86">
        <v>2747</v>
      </c>
      <c r="J1148" s="86"/>
      <c r="K1148" s="86">
        <v>2616</v>
      </c>
      <c r="L1148" s="86"/>
      <c r="M1148" s="86">
        <v>0</v>
      </c>
      <c r="N1148" s="86"/>
      <c r="O1148" s="86">
        <v>9071</v>
      </c>
      <c r="P1148" s="86">
        <v>11493472.499999993</v>
      </c>
      <c r="Q1148" s="86">
        <v>0</v>
      </c>
      <c r="R1148" s="87">
        <f t="shared" si="324"/>
        <v>654</v>
      </c>
      <c r="T1148" s="87">
        <v>7518</v>
      </c>
      <c r="U1148" s="89"/>
      <c r="V1148" s="89">
        <v>0</v>
      </c>
      <c r="W1148" s="90"/>
      <c r="X1148" s="90">
        <v>9372</v>
      </c>
      <c r="Y1148" s="90">
        <v>12889576.499999994</v>
      </c>
      <c r="Z1148" s="90">
        <v>0</v>
      </c>
      <c r="AA1148" s="90">
        <v>654</v>
      </c>
      <c r="AB1148" s="89">
        <f t="shared" si="325"/>
        <v>2843</v>
      </c>
      <c r="AC1148" s="89">
        <f t="shared" si="326"/>
        <v>9071</v>
      </c>
      <c r="AD1148" s="89">
        <f t="shared" si="327"/>
        <v>9372</v>
      </c>
      <c r="AE1148" s="90">
        <f t="shared" si="328"/>
        <v>2568</v>
      </c>
      <c r="AF1148" s="90">
        <f t="shared" si="329"/>
        <v>2013</v>
      </c>
      <c r="AG1148" s="99">
        <v>5970</v>
      </c>
      <c r="AH1148" s="90">
        <v>2018</v>
      </c>
      <c r="AI1148" s="90">
        <f t="shared" si="332"/>
        <v>9372</v>
      </c>
      <c r="AJ1148" s="90">
        <f t="shared" si="333"/>
        <v>2021</v>
      </c>
      <c r="AK1148" s="90" t="str">
        <f t="shared" si="334"/>
        <v/>
      </c>
      <c r="AL1148" s="91">
        <f>IF(AK1148="Adjust",(_xlfn.XLOOKUP(A1148,'Adj factor'!A:A,'Adj factor'!I:I,,0)*AI1148),'Master DataSheet'!AI1148)</f>
        <v>9372</v>
      </c>
      <c r="AM1148" s="91">
        <f t="shared" si="335"/>
        <v>9372</v>
      </c>
      <c r="AN1148" s="92" t="str">
        <f t="shared" si="336"/>
        <v>Increasing</v>
      </c>
      <c r="AS1148" s="94">
        <f t="shared" si="337"/>
        <v>2.5301545803261263</v>
      </c>
      <c r="AT1148" s="94">
        <f t="shared" si="338"/>
        <v>5.1942526507980977</v>
      </c>
      <c r="AU1148" s="94">
        <f t="shared" si="339"/>
        <v>7.2709914092212449</v>
      </c>
    </row>
    <row r="1149" spans="1:47" x14ac:dyDescent="0.3">
      <c r="A1149" s="85" t="str">
        <f>_xlfn.XLOOKUP(B1149,'Country codes &amp; Data sources'!G:G,'Country codes &amp; Data sources'!H:H,,0)</f>
        <v>Burundi</v>
      </c>
      <c r="B1149" s="85" t="s">
        <v>165</v>
      </c>
      <c r="C1149" s="85">
        <v>9795484</v>
      </c>
      <c r="D1149" s="85" t="s">
        <v>331</v>
      </c>
      <c r="E1149" s="86">
        <v>3643</v>
      </c>
      <c r="F1149" s="86">
        <v>10149577.500000002</v>
      </c>
      <c r="G1149" s="86">
        <v>4005</v>
      </c>
      <c r="H1149" s="86"/>
      <c r="I1149" s="86">
        <v>4072</v>
      </c>
      <c r="J1149" s="86"/>
      <c r="K1149" s="86">
        <v>4072</v>
      </c>
      <c r="L1149" s="86"/>
      <c r="M1149" s="86">
        <v>0</v>
      </c>
      <c r="N1149" s="86"/>
      <c r="O1149" s="86">
        <v>0</v>
      </c>
      <c r="P1149" s="86">
        <v>11493472.499999993</v>
      </c>
      <c r="Q1149" s="86">
        <v>0</v>
      </c>
      <c r="R1149" s="87">
        <f t="shared" si="324"/>
        <v>8342</v>
      </c>
      <c r="T1149" s="87">
        <v>0</v>
      </c>
      <c r="U1149" s="89"/>
      <c r="V1149" s="89">
        <v>0</v>
      </c>
      <c r="W1149" s="90"/>
      <c r="X1149" s="90">
        <v>0</v>
      </c>
      <c r="Y1149" s="90">
        <v>12889576.499999994</v>
      </c>
      <c r="Z1149" s="90">
        <v>0</v>
      </c>
      <c r="AA1149" s="90">
        <v>8342</v>
      </c>
      <c r="AB1149" s="89">
        <f t="shared" si="325"/>
        <v>4072</v>
      </c>
      <c r="AC1149" s="89">
        <f t="shared" si="326"/>
        <v>0</v>
      </c>
      <c r="AD1149" s="89">
        <f t="shared" si="327"/>
        <v>0</v>
      </c>
      <c r="AE1149" s="90">
        <f t="shared" si="328"/>
        <v>4005</v>
      </c>
      <c r="AF1149" s="90">
        <f t="shared" si="329"/>
        <v>2013</v>
      </c>
      <c r="AG1149" s="90">
        <f t="shared" si="330"/>
        <v>8342</v>
      </c>
      <c r="AH1149" s="90" t="str">
        <f t="shared" si="331"/>
        <v>2018 (triag)</v>
      </c>
      <c r="AI1149" s="90">
        <f t="shared" si="332"/>
        <v>8342</v>
      </c>
      <c r="AJ1149" s="90" t="str">
        <f t="shared" si="333"/>
        <v>2018 (triag)</v>
      </c>
      <c r="AK1149" s="90" t="str">
        <f t="shared" si="334"/>
        <v/>
      </c>
      <c r="AL1149" s="91">
        <f>IF(AK1149="Adjust",(_xlfn.XLOOKUP(A1149,'Adj factor'!A:A,'Adj factor'!I:I,,0)*AI1149),'Master DataSheet'!AI1149)</f>
        <v>8342</v>
      </c>
      <c r="AM1149" s="91">
        <f t="shared" si="335"/>
        <v>8342</v>
      </c>
      <c r="AN1149" s="92" t="str">
        <f t="shared" si="336"/>
        <v>No change</v>
      </c>
      <c r="AS1149" s="94">
        <f t="shared" si="337"/>
        <v>3.9459770616067509</v>
      </c>
      <c r="AT1149" s="94">
        <f t="shared" si="338"/>
        <v>7.2580327659895696</v>
      </c>
      <c r="AU1149" s="94">
        <f t="shared" si="339"/>
        <v>6.4718961092321408</v>
      </c>
    </row>
    <row r="1150" spans="1:47" x14ac:dyDescent="0.3">
      <c r="A1150" s="85" t="str">
        <f>_xlfn.XLOOKUP(B1150,'Country codes &amp; Data sources'!G:G,'Country codes &amp; Data sources'!H:H,,0)</f>
        <v>Burundi</v>
      </c>
      <c r="B1150" s="85" t="s">
        <v>165</v>
      </c>
      <c r="C1150" s="85">
        <v>9795485</v>
      </c>
      <c r="D1150" s="85" t="s">
        <v>332</v>
      </c>
      <c r="E1150" s="86">
        <v>16</v>
      </c>
      <c r="F1150" s="86">
        <v>10149577.500000002</v>
      </c>
      <c r="G1150" s="86">
        <v>35</v>
      </c>
      <c r="H1150" s="86"/>
      <c r="I1150" s="86">
        <v>24</v>
      </c>
      <c r="J1150" s="86"/>
      <c r="K1150" s="86">
        <v>79</v>
      </c>
      <c r="L1150" s="86"/>
      <c r="M1150" s="86">
        <v>0</v>
      </c>
      <c r="N1150" s="86"/>
      <c r="O1150" s="86">
        <v>160</v>
      </c>
      <c r="P1150" s="86">
        <v>11493472.499999993</v>
      </c>
      <c r="Q1150" s="86">
        <v>0</v>
      </c>
      <c r="R1150" s="87">
        <f t="shared" si="324"/>
        <v>160</v>
      </c>
      <c r="T1150" s="87">
        <v>124</v>
      </c>
      <c r="U1150" s="89"/>
      <c r="V1150" s="89">
        <v>0</v>
      </c>
      <c r="W1150" s="90"/>
      <c r="X1150" s="90">
        <v>143</v>
      </c>
      <c r="Y1150" s="90">
        <v>12889576.499999994</v>
      </c>
      <c r="Z1150" s="90">
        <v>0</v>
      </c>
      <c r="AA1150" s="90">
        <v>160</v>
      </c>
      <c r="AB1150" s="89">
        <f t="shared" si="325"/>
        <v>79</v>
      </c>
      <c r="AC1150" s="89">
        <f t="shared" si="326"/>
        <v>160</v>
      </c>
      <c r="AD1150" s="89">
        <f t="shared" si="327"/>
        <v>143</v>
      </c>
      <c r="AE1150" s="90">
        <f t="shared" si="328"/>
        <v>35</v>
      </c>
      <c r="AF1150" s="90">
        <f t="shared" si="329"/>
        <v>2013</v>
      </c>
      <c r="AG1150" s="90">
        <f t="shared" si="330"/>
        <v>160</v>
      </c>
      <c r="AH1150" s="90">
        <f t="shared" si="331"/>
        <v>2017</v>
      </c>
      <c r="AI1150" s="90">
        <f t="shared" si="332"/>
        <v>143</v>
      </c>
      <c r="AJ1150" s="90">
        <f t="shared" si="333"/>
        <v>2021</v>
      </c>
      <c r="AK1150" s="90" t="str">
        <f t="shared" si="334"/>
        <v>Adjust</v>
      </c>
      <c r="AL1150" s="91">
        <f>IF(AK1150="Adjust",(_xlfn.XLOOKUP(A1150,'Adj factor'!A:A,'Adj factor'!I:I,,0)*AI1150),'Master DataSheet'!AI1150)</f>
        <v>178.72552788162812</v>
      </c>
      <c r="AM1150" s="91">
        <f t="shared" si="335"/>
        <v>178.72552788162812</v>
      </c>
      <c r="AN1150" s="92" t="str">
        <f t="shared" si="336"/>
        <v>Increasing</v>
      </c>
      <c r="AS1150" s="94">
        <f t="shared" si="337"/>
        <v>3.4484194046500945E-2</v>
      </c>
      <c r="AT1150" s="94">
        <f t="shared" si="338"/>
        <v>0.13920945127767095</v>
      </c>
      <c r="AU1150" s="94">
        <f t="shared" si="339"/>
        <v>0.13865896050318505</v>
      </c>
    </row>
    <row r="1151" spans="1:47" x14ac:dyDescent="0.3">
      <c r="A1151" s="85" t="str">
        <f>_xlfn.XLOOKUP(B1151,'Country codes &amp; Data sources'!G:G,'Country codes &amp; Data sources'!H:H,,0)</f>
        <v>Burundi</v>
      </c>
      <c r="B1151" s="85" t="s">
        <v>165</v>
      </c>
      <c r="C1151" s="85">
        <v>9795486</v>
      </c>
      <c r="D1151" s="85" t="s">
        <v>333</v>
      </c>
      <c r="E1151" s="86">
        <v>16</v>
      </c>
      <c r="F1151" s="86">
        <v>10149577.500000002</v>
      </c>
      <c r="G1151" s="86">
        <v>35</v>
      </c>
      <c r="H1151" s="86"/>
      <c r="I1151" s="86">
        <v>24</v>
      </c>
      <c r="J1151" s="86"/>
      <c r="K1151" s="86">
        <v>79</v>
      </c>
      <c r="L1151" s="86"/>
      <c r="M1151" s="86">
        <v>0</v>
      </c>
      <c r="N1151" s="86"/>
      <c r="O1151" s="86">
        <v>160</v>
      </c>
      <c r="P1151" s="86">
        <v>11493472.499999993</v>
      </c>
      <c r="Q1151" s="86">
        <v>0</v>
      </c>
      <c r="R1151" s="87">
        <f t="shared" si="324"/>
        <v>41</v>
      </c>
      <c r="T1151" s="87">
        <v>124</v>
      </c>
      <c r="U1151" s="89"/>
      <c r="V1151" s="89">
        <v>0</v>
      </c>
      <c r="W1151" s="90"/>
      <c r="X1151" s="90">
        <v>143</v>
      </c>
      <c r="Y1151" s="90">
        <v>12889576.499999994</v>
      </c>
      <c r="Z1151" s="90">
        <v>0</v>
      </c>
      <c r="AA1151" s="90">
        <v>41</v>
      </c>
      <c r="AB1151" s="89">
        <f t="shared" si="325"/>
        <v>79</v>
      </c>
      <c r="AC1151" s="89">
        <f t="shared" si="326"/>
        <v>160</v>
      </c>
      <c r="AD1151" s="89">
        <f t="shared" si="327"/>
        <v>143</v>
      </c>
      <c r="AE1151" s="90">
        <f t="shared" si="328"/>
        <v>35</v>
      </c>
      <c r="AF1151" s="90">
        <f t="shared" si="329"/>
        <v>2013</v>
      </c>
      <c r="AG1151" s="90">
        <f t="shared" si="330"/>
        <v>41</v>
      </c>
      <c r="AH1151" s="90" t="str">
        <f t="shared" si="331"/>
        <v>2018 (triag)</v>
      </c>
      <c r="AI1151" s="90">
        <f t="shared" si="332"/>
        <v>143</v>
      </c>
      <c r="AJ1151" s="90">
        <f t="shared" si="333"/>
        <v>2021</v>
      </c>
      <c r="AK1151" s="90" t="str">
        <f t="shared" si="334"/>
        <v/>
      </c>
      <c r="AL1151" s="91">
        <f>IF(AK1151="Adjust",(_xlfn.XLOOKUP(A1151,'Adj factor'!A:A,'Adj factor'!I:I,,0)*AI1151),'Master DataSheet'!AI1151)</f>
        <v>143</v>
      </c>
      <c r="AM1151" s="91">
        <f t="shared" si="335"/>
        <v>143</v>
      </c>
      <c r="AN1151" s="92" t="str">
        <f t="shared" si="336"/>
        <v>Increasing</v>
      </c>
      <c r="AS1151" s="94">
        <f t="shared" si="337"/>
        <v>3.4484194046500945E-2</v>
      </c>
      <c r="AT1151" s="94">
        <f t="shared" si="338"/>
        <v>3.5672421889903182E-2</v>
      </c>
      <c r="AU1151" s="94">
        <f t="shared" si="339"/>
        <v>0.11094235718295327</v>
      </c>
    </row>
    <row r="1152" spans="1:47" x14ac:dyDescent="0.3">
      <c r="A1152" s="85" t="str">
        <f>_xlfn.XLOOKUP(B1152,'Country codes &amp; Data sources'!G:G,'Country codes &amp; Data sources'!H:H,,0)</f>
        <v>Burundi</v>
      </c>
      <c r="B1152" s="85" t="s">
        <v>165</v>
      </c>
      <c r="C1152" s="85">
        <v>9795487</v>
      </c>
      <c r="D1152" s="85" t="s">
        <v>334</v>
      </c>
      <c r="E1152" s="86">
        <v>0</v>
      </c>
      <c r="F1152" s="86">
        <v>10149577.500000002</v>
      </c>
      <c r="G1152" s="86">
        <v>0</v>
      </c>
      <c r="H1152" s="86"/>
      <c r="I1152" s="86">
        <v>0</v>
      </c>
      <c r="J1152" s="86"/>
      <c r="K1152" s="86">
        <v>0</v>
      </c>
      <c r="L1152" s="86"/>
      <c r="M1152" s="86">
        <v>0</v>
      </c>
      <c r="N1152" s="86"/>
      <c r="O1152" s="86">
        <v>0</v>
      </c>
      <c r="P1152" s="86">
        <v>11493472.499999993</v>
      </c>
      <c r="Q1152" s="86">
        <v>0</v>
      </c>
      <c r="R1152" s="87">
        <f t="shared" si="324"/>
        <v>119</v>
      </c>
      <c r="T1152" s="87">
        <v>0</v>
      </c>
      <c r="U1152" s="89"/>
      <c r="V1152" s="89">
        <v>0</v>
      </c>
      <c r="W1152" s="90"/>
      <c r="X1152" s="90">
        <v>0</v>
      </c>
      <c r="Y1152" s="90">
        <v>12889576.499999994</v>
      </c>
      <c r="Z1152" s="90">
        <v>0</v>
      </c>
      <c r="AA1152" s="90">
        <v>119</v>
      </c>
      <c r="AB1152" s="89">
        <f t="shared" si="325"/>
        <v>0</v>
      </c>
      <c r="AC1152" s="89">
        <f t="shared" si="326"/>
        <v>0</v>
      </c>
      <c r="AD1152" s="89">
        <f t="shared" si="327"/>
        <v>0</v>
      </c>
      <c r="AE1152" s="90">
        <f t="shared" si="328"/>
        <v>0</v>
      </c>
      <c r="AF1152" s="90" t="str">
        <f t="shared" si="329"/>
        <v/>
      </c>
      <c r="AG1152" s="90">
        <f t="shared" si="330"/>
        <v>119</v>
      </c>
      <c r="AH1152" s="90" t="str">
        <f t="shared" si="331"/>
        <v>2018 (triag)</v>
      </c>
      <c r="AI1152" s="90">
        <f t="shared" si="332"/>
        <v>119</v>
      </c>
      <c r="AJ1152" s="90" t="str">
        <f t="shared" si="333"/>
        <v>2018 (triag)</v>
      </c>
      <c r="AK1152" s="90" t="str">
        <f t="shared" si="334"/>
        <v/>
      </c>
      <c r="AL1152" s="91">
        <f>IF(AK1152="Adjust",(_xlfn.XLOOKUP(A1152,'Adj factor'!A:A,'Adj factor'!I:I,,0)*AI1152),'Master DataSheet'!AI1152)</f>
        <v>119</v>
      </c>
      <c r="AM1152" s="91">
        <f t="shared" si="335"/>
        <v>119</v>
      </c>
      <c r="AN1152" s="92" t="str">
        <f t="shared" si="336"/>
        <v>No change</v>
      </c>
      <c r="AS1152" s="94">
        <f t="shared" si="337"/>
        <v>0</v>
      </c>
      <c r="AT1152" s="94">
        <f t="shared" si="338"/>
        <v>0.10353702938776778</v>
      </c>
      <c r="AU1152" s="94">
        <f t="shared" si="339"/>
        <v>9.2322660872527537E-2</v>
      </c>
    </row>
    <row r="1153" spans="1:47" x14ac:dyDescent="0.3">
      <c r="A1153" s="85" t="str">
        <f>_xlfn.XLOOKUP(B1153,'Country codes &amp; Data sources'!G:G,'Country codes &amp; Data sources'!H:H,,0)</f>
        <v>Burundi</v>
      </c>
      <c r="B1153" s="85" t="s">
        <v>165</v>
      </c>
      <c r="C1153" s="85">
        <v>9795488</v>
      </c>
      <c r="D1153" s="85" t="s">
        <v>335</v>
      </c>
      <c r="E1153" s="86">
        <v>4</v>
      </c>
      <c r="F1153" s="86">
        <v>10149577.500000002</v>
      </c>
      <c r="G1153" s="86">
        <v>0</v>
      </c>
      <c r="H1153" s="86"/>
      <c r="I1153" s="86">
        <v>0</v>
      </c>
      <c r="J1153" s="86"/>
      <c r="K1153" s="86">
        <v>0</v>
      </c>
      <c r="L1153" s="86"/>
      <c r="M1153" s="86">
        <v>0</v>
      </c>
      <c r="N1153" s="86"/>
      <c r="O1153" s="86">
        <v>0</v>
      </c>
      <c r="P1153" s="86">
        <v>11493472.499999993</v>
      </c>
      <c r="Q1153" s="86">
        <v>119</v>
      </c>
      <c r="R1153" s="87">
        <f t="shared" si="324"/>
        <v>119</v>
      </c>
      <c r="T1153" s="87">
        <v>0</v>
      </c>
      <c r="U1153" s="89"/>
      <c r="V1153" s="89">
        <v>0</v>
      </c>
      <c r="W1153" s="90"/>
      <c r="X1153" s="90">
        <v>99</v>
      </c>
      <c r="Y1153" s="90">
        <v>12889576.499999994</v>
      </c>
      <c r="Z1153" s="90">
        <v>0</v>
      </c>
      <c r="AA1153" s="90">
        <v>119</v>
      </c>
      <c r="AB1153" s="89">
        <f t="shared" si="325"/>
        <v>4</v>
      </c>
      <c r="AC1153" s="89">
        <f t="shared" si="326"/>
        <v>119</v>
      </c>
      <c r="AD1153" s="89">
        <f t="shared" si="327"/>
        <v>99</v>
      </c>
      <c r="AE1153" s="90">
        <f t="shared" si="328"/>
        <v>4</v>
      </c>
      <c r="AF1153" s="90">
        <f t="shared" si="329"/>
        <v>2012</v>
      </c>
      <c r="AG1153" s="90">
        <f t="shared" si="330"/>
        <v>119</v>
      </c>
      <c r="AH1153" s="90">
        <f t="shared" si="331"/>
        <v>2018</v>
      </c>
      <c r="AI1153" s="90">
        <f t="shared" si="332"/>
        <v>99</v>
      </c>
      <c r="AJ1153" s="90">
        <f t="shared" si="333"/>
        <v>2021</v>
      </c>
      <c r="AK1153" s="90" t="str">
        <f t="shared" si="334"/>
        <v>Adjust</v>
      </c>
      <c r="AL1153" s="91">
        <f>IF(AK1153="Adjust",(_xlfn.XLOOKUP(A1153,'Adj factor'!A:A,'Adj factor'!I:I,,0)*AI1153),'Master DataSheet'!AI1153)</f>
        <v>123.73305776420409</v>
      </c>
      <c r="AM1153" s="91">
        <f t="shared" si="335"/>
        <v>123.73305776420409</v>
      </c>
      <c r="AN1153" s="92" t="str">
        <f t="shared" si="336"/>
        <v>Increasing</v>
      </c>
      <c r="AS1153" s="94">
        <f t="shared" si="337"/>
        <v>3.9410507481715366E-3</v>
      </c>
      <c r="AT1153" s="94">
        <f t="shared" si="338"/>
        <v>0.10353702938776778</v>
      </c>
      <c r="AU1153" s="94">
        <f t="shared" si="339"/>
        <v>9.5994664963743481E-2</v>
      </c>
    </row>
    <row r="1154" spans="1:47" x14ac:dyDescent="0.3">
      <c r="A1154" s="85" t="str">
        <f>_xlfn.XLOOKUP(B1154,'Country codes &amp; Data sources'!G:G,'Country codes &amp; Data sources'!H:H,,0)</f>
        <v>Burundi</v>
      </c>
      <c r="B1154" s="85" t="s">
        <v>165</v>
      </c>
      <c r="C1154" s="85">
        <v>9795489</v>
      </c>
      <c r="D1154" s="85" t="s">
        <v>336</v>
      </c>
      <c r="E1154" s="86">
        <v>0</v>
      </c>
      <c r="F1154" s="86">
        <v>10149577.500000002</v>
      </c>
      <c r="G1154" s="86">
        <v>0</v>
      </c>
      <c r="H1154" s="86"/>
      <c r="I1154" s="86">
        <v>0</v>
      </c>
      <c r="J1154" s="86"/>
      <c r="K1154" s="86">
        <v>0</v>
      </c>
      <c r="L1154" s="86"/>
      <c r="M1154" s="86">
        <v>0</v>
      </c>
      <c r="N1154" s="86"/>
      <c r="O1154" s="86">
        <v>0</v>
      </c>
      <c r="P1154" s="86">
        <v>11493472.499999993</v>
      </c>
      <c r="Q1154" s="86">
        <v>0</v>
      </c>
      <c r="R1154" s="87">
        <f t="shared" si="324"/>
        <v>0</v>
      </c>
      <c r="T1154" s="87">
        <v>0</v>
      </c>
      <c r="U1154" s="89"/>
      <c r="V1154" s="89">
        <v>0</v>
      </c>
      <c r="W1154" s="90"/>
      <c r="X1154" s="90">
        <v>6</v>
      </c>
      <c r="Y1154" s="90">
        <v>12889576.499999994</v>
      </c>
      <c r="Z1154" s="90">
        <v>0</v>
      </c>
      <c r="AA1154" s="90">
        <v>0</v>
      </c>
      <c r="AB1154" s="89">
        <f t="shared" si="325"/>
        <v>0</v>
      </c>
      <c r="AC1154" s="89">
        <f t="shared" si="326"/>
        <v>0</v>
      </c>
      <c r="AD1154" s="89">
        <f t="shared" si="327"/>
        <v>6</v>
      </c>
      <c r="AE1154" s="90">
        <f t="shared" si="328"/>
        <v>0</v>
      </c>
      <c r="AF1154" s="90" t="str">
        <f t="shared" si="329"/>
        <v/>
      </c>
      <c r="AG1154" s="90">
        <f t="shared" si="330"/>
        <v>0</v>
      </c>
      <c r="AH1154" s="90" t="str">
        <f t="shared" si="331"/>
        <v/>
      </c>
      <c r="AI1154" s="90">
        <f t="shared" si="332"/>
        <v>6</v>
      </c>
      <c r="AJ1154" s="90">
        <f t="shared" si="333"/>
        <v>2021</v>
      </c>
      <c r="AK1154" s="90" t="str">
        <f t="shared" si="334"/>
        <v/>
      </c>
      <c r="AL1154" s="91">
        <f>IF(AK1154="Adjust",(_xlfn.XLOOKUP(A1154,'Adj factor'!A:A,'Adj factor'!I:I,,0)*AI1154),'Master DataSheet'!AI1154)</f>
        <v>6</v>
      </c>
      <c r="AM1154" s="91">
        <f t="shared" si="335"/>
        <v>6</v>
      </c>
      <c r="AN1154" s="92" t="str">
        <f t="shared" si="336"/>
        <v>Increasing</v>
      </c>
      <c r="AS1154" s="94">
        <f t="shared" si="337"/>
        <v>0</v>
      </c>
      <c r="AT1154" s="94">
        <f t="shared" si="338"/>
        <v>0</v>
      </c>
      <c r="AU1154" s="94">
        <f t="shared" si="339"/>
        <v>4.6549240776064304E-3</v>
      </c>
    </row>
    <row r="1155" spans="1:47" x14ac:dyDescent="0.3">
      <c r="A1155" s="85" t="str">
        <f>_xlfn.XLOOKUP(B1155,'Country codes &amp; Data sources'!G:G,'Country codes &amp; Data sources'!H:H,,0)</f>
        <v>Burundi</v>
      </c>
      <c r="B1155" s="85" t="s">
        <v>165</v>
      </c>
      <c r="C1155" s="85">
        <v>9795490</v>
      </c>
      <c r="D1155" s="85" t="s">
        <v>337</v>
      </c>
      <c r="E1155" s="86">
        <v>0</v>
      </c>
      <c r="F1155" s="86">
        <v>10149577.500000002</v>
      </c>
      <c r="G1155" s="86">
        <v>4</v>
      </c>
      <c r="H1155" s="86"/>
      <c r="I1155" s="86">
        <v>0</v>
      </c>
      <c r="J1155" s="86"/>
      <c r="K1155" s="86">
        <v>0</v>
      </c>
      <c r="L1155" s="86"/>
      <c r="M1155" s="86">
        <v>0</v>
      </c>
      <c r="N1155" s="86"/>
      <c r="O1155" s="86">
        <v>0</v>
      </c>
      <c r="P1155" s="86">
        <v>11493472.499999993</v>
      </c>
      <c r="Q1155" s="86">
        <v>14</v>
      </c>
      <c r="R1155" s="87">
        <f t="shared" si="324"/>
        <v>14</v>
      </c>
      <c r="T1155" s="87">
        <v>0</v>
      </c>
      <c r="U1155" s="89"/>
      <c r="V1155" s="89">
        <v>0</v>
      </c>
      <c r="W1155" s="90"/>
      <c r="X1155" s="90">
        <v>0</v>
      </c>
      <c r="Y1155" s="90">
        <v>12889576.499999994</v>
      </c>
      <c r="Z1155" s="90">
        <v>0</v>
      </c>
      <c r="AA1155" s="90">
        <v>14</v>
      </c>
      <c r="AB1155" s="89">
        <f t="shared" si="325"/>
        <v>4</v>
      </c>
      <c r="AC1155" s="89">
        <f t="shared" si="326"/>
        <v>14</v>
      </c>
      <c r="AD1155" s="89">
        <f t="shared" si="327"/>
        <v>0</v>
      </c>
      <c r="AE1155" s="90">
        <f t="shared" si="328"/>
        <v>4</v>
      </c>
      <c r="AF1155" s="90">
        <f t="shared" si="329"/>
        <v>2013</v>
      </c>
      <c r="AG1155" s="90">
        <f t="shared" si="330"/>
        <v>14</v>
      </c>
      <c r="AH1155" s="90">
        <f t="shared" si="331"/>
        <v>2018</v>
      </c>
      <c r="AI1155" s="90">
        <f t="shared" si="332"/>
        <v>14</v>
      </c>
      <c r="AJ1155" s="90">
        <f t="shared" si="333"/>
        <v>2018</v>
      </c>
      <c r="AK1155" s="90" t="str">
        <f t="shared" si="334"/>
        <v/>
      </c>
      <c r="AL1155" s="91">
        <f>IF(AK1155="Adjust",(_xlfn.XLOOKUP(A1155,'Adj factor'!A:A,'Adj factor'!I:I,,0)*AI1155),'Master DataSheet'!AI1155)</f>
        <v>14</v>
      </c>
      <c r="AM1155" s="91">
        <f t="shared" si="335"/>
        <v>14</v>
      </c>
      <c r="AN1155" s="92" t="str">
        <f t="shared" si="336"/>
        <v>No change</v>
      </c>
      <c r="AS1155" s="94">
        <f t="shared" si="337"/>
        <v>3.9410507481715366E-3</v>
      </c>
      <c r="AT1155" s="94">
        <f t="shared" si="338"/>
        <v>1.2180826986796209E-2</v>
      </c>
      <c r="AU1155" s="94">
        <f t="shared" si="339"/>
        <v>1.0861489514415006E-2</v>
      </c>
    </row>
    <row r="1156" spans="1:47" x14ac:dyDescent="0.3">
      <c r="A1156" s="85" t="str">
        <f>_xlfn.XLOOKUP(B1156,'Country codes &amp; Data sources'!G:G,'Country codes &amp; Data sources'!H:H,,0)</f>
        <v>Burundi</v>
      </c>
      <c r="B1156" s="85" t="s">
        <v>165</v>
      </c>
      <c r="C1156" s="85">
        <v>9795491</v>
      </c>
      <c r="D1156" s="85" t="s">
        <v>338</v>
      </c>
      <c r="E1156" s="86">
        <v>0</v>
      </c>
      <c r="F1156" s="86">
        <v>10149577.500000002</v>
      </c>
      <c r="G1156" s="86">
        <v>0</v>
      </c>
      <c r="H1156" s="86"/>
      <c r="I1156" s="86">
        <v>0</v>
      </c>
      <c r="J1156" s="86"/>
      <c r="K1156" s="86">
        <v>0</v>
      </c>
      <c r="L1156" s="86"/>
      <c r="M1156" s="86">
        <v>0</v>
      </c>
      <c r="N1156" s="86"/>
      <c r="O1156" s="86">
        <v>0</v>
      </c>
      <c r="P1156" s="86">
        <v>11493472.499999993</v>
      </c>
      <c r="Q1156" s="86">
        <v>0</v>
      </c>
      <c r="R1156" s="87">
        <f t="shared" si="324"/>
        <v>0</v>
      </c>
      <c r="T1156" s="87">
        <v>0</v>
      </c>
      <c r="U1156" s="89"/>
      <c r="V1156" s="89">
        <v>0</v>
      </c>
      <c r="W1156" s="90"/>
      <c r="X1156" s="90">
        <v>0</v>
      </c>
      <c r="Y1156" s="90">
        <v>12889576.499999994</v>
      </c>
      <c r="Z1156" s="90">
        <v>0</v>
      </c>
      <c r="AA1156" s="90">
        <v>0</v>
      </c>
      <c r="AB1156" s="89">
        <f t="shared" si="325"/>
        <v>0</v>
      </c>
      <c r="AC1156" s="89">
        <f t="shared" si="326"/>
        <v>0</v>
      </c>
      <c r="AD1156" s="89">
        <f t="shared" si="327"/>
        <v>0</v>
      </c>
      <c r="AE1156" s="90">
        <f t="shared" si="328"/>
        <v>0</v>
      </c>
      <c r="AF1156" s="90" t="str">
        <f t="shared" si="329"/>
        <v/>
      </c>
      <c r="AG1156" s="90">
        <f t="shared" si="330"/>
        <v>0</v>
      </c>
      <c r="AH1156" s="90" t="str">
        <f t="shared" si="331"/>
        <v/>
      </c>
      <c r="AI1156" s="90">
        <f t="shared" si="332"/>
        <v>0</v>
      </c>
      <c r="AJ1156" s="90" t="str">
        <f t="shared" si="333"/>
        <v/>
      </c>
      <c r="AK1156" s="90" t="str">
        <f t="shared" si="334"/>
        <v/>
      </c>
      <c r="AL1156" s="91">
        <f>IF(AK1156="Adjust",(_xlfn.XLOOKUP(A1156,'Adj factor'!A:A,'Adj factor'!I:I,,0)*AI1156),'Master DataSheet'!AI1156)</f>
        <v>0</v>
      </c>
      <c r="AM1156" s="91">
        <f t="shared" si="335"/>
        <v>0</v>
      </c>
      <c r="AN1156" s="92" t="str">
        <f t="shared" si="336"/>
        <v>No change</v>
      </c>
      <c r="AS1156" s="94">
        <f t="shared" si="337"/>
        <v>0</v>
      </c>
      <c r="AT1156" s="94">
        <f t="shared" si="338"/>
        <v>0</v>
      </c>
      <c r="AU1156" s="94">
        <f t="shared" si="339"/>
        <v>0</v>
      </c>
    </row>
    <row r="1157" spans="1:47" x14ac:dyDescent="0.3">
      <c r="A1157" s="85" t="str">
        <f>_xlfn.XLOOKUP(B1157,'Country codes &amp; Data sources'!G:G,'Country codes &amp; Data sources'!H:H,,0)</f>
        <v>Burundi</v>
      </c>
      <c r="B1157" s="85" t="s">
        <v>165</v>
      </c>
      <c r="C1157" s="85">
        <v>9795492</v>
      </c>
      <c r="D1157" s="85" t="s">
        <v>339</v>
      </c>
      <c r="E1157" s="86">
        <v>0</v>
      </c>
      <c r="F1157" s="86">
        <v>10149577.500000002</v>
      </c>
      <c r="G1157" s="86">
        <v>0</v>
      </c>
      <c r="H1157" s="86"/>
      <c r="I1157" s="86">
        <v>0</v>
      </c>
      <c r="J1157" s="86"/>
      <c r="K1157" s="86">
        <v>0</v>
      </c>
      <c r="L1157" s="86"/>
      <c r="M1157" s="86">
        <v>0</v>
      </c>
      <c r="N1157" s="86"/>
      <c r="O1157" s="86">
        <v>93</v>
      </c>
      <c r="P1157" s="86">
        <v>11493472.499999993</v>
      </c>
      <c r="Q1157" s="86">
        <v>0</v>
      </c>
      <c r="R1157" s="87">
        <f t="shared" si="324"/>
        <v>0</v>
      </c>
      <c r="T1157" s="87">
        <v>0</v>
      </c>
      <c r="U1157" s="89"/>
      <c r="V1157" s="89">
        <v>0</v>
      </c>
      <c r="W1157" s="90"/>
      <c r="X1157" s="90">
        <v>15</v>
      </c>
      <c r="Y1157" s="90">
        <v>12889576.499999994</v>
      </c>
      <c r="Z1157" s="90">
        <v>0</v>
      </c>
      <c r="AA1157" s="90">
        <v>0</v>
      </c>
      <c r="AB1157" s="89">
        <f t="shared" si="325"/>
        <v>0</v>
      </c>
      <c r="AC1157" s="89">
        <f t="shared" si="326"/>
        <v>93</v>
      </c>
      <c r="AD1157" s="89">
        <f t="shared" si="327"/>
        <v>15</v>
      </c>
      <c r="AE1157" s="90">
        <f t="shared" si="328"/>
        <v>0</v>
      </c>
      <c r="AF1157" s="90" t="str">
        <f t="shared" si="329"/>
        <v/>
      </c>
      <c r="AG1157" s="90">
        <f t="shared" si="330"/>
        <v>93</v>
      </c>
      <c r="AH1157" s="90">
        <f t="shared" si="331"/>
        <v>2017</v>
      </c>
      <c r="AI1157" s="90">
        <f t="shared" si="332"/>
        <v>15</v>
      </c>
      <c r="AJ1157" s="90">
        <f t="shared" si="333"/>
        <v>2021</v>
      </c>
      <c r="AK1157" s="90" t="str">
        <f t="shared" si="334"/>
        <v>Adjust</v>
      </c>
      <c r="AL1157" s="91">
        <f>IF(AK1157="Adjust",(_xlfn.XLOOKUP(A1157,'Adj factor'!A:A,'Adj factor'!I:I,,0)*AI1157),'Master DataSheet'!AI1157)</f>
        <v>18.747432994576378</v>
      </c>
      <c r="AM1157" s="91">
        <f t="shared" si="335"/>
        <v>93</v>
      </c>
      <c r="AN1157" s="92" t="str">
        <f t="shared" si="336"/>
        <v>Decreasing</v>
      </c>
      <c r="AS1157" s="94">
        <f t="shared" si="337"/>
        <v>0</v>
      </c>
      <c r="AT1157" s="94">
        <f t="shared" si="338"/>
        <v>8.091549355514624E-2</v>
      </c>
      <c r="AU1157" s="94">
        <f t="shared" si="339"/>
        <v>7.2151323202899673E-2</v>
      </c>
    </row>
    <row r="1158" spans="1:47" x14ac:dyDescent="0.3">
      <c r="A1158" s="85" t="str">
        <f>_xlfn.XLOOKUP(B1158,'Country codes &amp; Data sources'!G:G,'Country codes &amp; Data sources'!H:H,,0)</f>
        <v>Benin</v>
      </c>
      <c r="B1158" s="85" t="s">
        <v>163</v>
      </c>
      <c r="C1158" s="85">
        <v>10014078.499999996</v>
      </c>
      <c r="D1158" s="85" t="s">
        <v>326</v>
      </c>
      <c r="E1158" s="86">
        <v>0</v>
      </c>
      <c r="F1158" s="86">
        <v>10308730.499999994</v>
      </c>
      <c r="G1158" s="86">
        <v>0</v>
      </c>
      <c r="H1158" s="86">
        <v>10614844.000000013</v>
      </c>
      <c r="I1158" s="86">
        <v>0</v>
      </c>
      <c r="J1158" s="86">
        <v>10932783.499999994</v>
      </c>
      <c r="K1158" s="86">
        <v>0</v>
      </c>
      <c r="L1158" s="86">
        <v>11260084.499999996</v>
      </c>
      <c r="M1158" s="86">
        <v>523</v>
      </c>
      <c r="N1158" s="86">
        <v>11596778.499999991</v>
      </c>
      <c r="O1158" s="86">
        <v>0</v>
      </c>
      <c r="P1158" s="86">
        <v>11940683.499999996</v>
      </c>
      <c r="Q1158" s="86">
        <v>908</v>
      </c>
      <c r="R1158" s="87">
        <f t="shared" si="324"/>
        <v>908</v>
      </c>
      <c r="S1158" s="87">
        <v>12290444.000000004</v>
      </c>
      <c r="T1158" s="87">
        <v>763</v>
      </c>
      <c r="U1158" s="89">
        <v>12643123.000000002</v>
      </c>
      <c r="V1158" s="89">
        <v>0</v>
      </c>
      <c r="W1158" s="90">
        <v>12996895</v>
      </c>
      <c r="X1158" s="90">
        <v>2755</v>
      </c>
      <c r="Y1158" s="90">
        <v>13352864</v>
      </c>
      <c r="Z1158" s="90">
        <v>2608</v>
      </c>
      <c r="AA1158" s="90">
        <v>710</v>
      </c>
      <c r="AB1158" s="89">
        <f t="shared" si="325"/>
        <v>0</v>
      </c>
      <c r="AC1158" s="89">
        <f t="shared" si="326"/>
        <v>908</v>
      </c>
      <c r="AD1158" s="89">
        <f t="shared" si="327"/>
        <v>2755</v>
      </c>
      <c r="AE1158" s="90">
        <f t="shared" si="328"/>
        <v>0</v>
      </c>
      <c r="AF1158" s="90" t="str">
        <f t="shared" si="329"/>
        <v/>
      </c>
      <c r="AG1158" s="90">
        <f t="shared" si="330"/>
        <v>908</v>
      </c>
      <c r="AH1158" s="90">
        <f t="shared" si="331"/>
        <v>2018</v>
      </c>
      <c r="AI1158" s="90">
        <f t="shared" si="332"/>
        <v>2608</v>
      </c>
      <c r="AJ1158" s="90">
        <f t="shared" si="333"/>
        <v>2022</v>
      </c>
      <c r="AK1158" s="90" t="str">
        <f t="shared" si="334"/>
        <v/>
      </c>
      <c r="AL1158" s="91">
        <f>IF(AK1158="Adjust",(_xlfn.XLOOKUP(A1158,'Adj factor'!A:A,'Adj factor'!I:I,,0)*AI1158),'Master DataSheet'!AI1158)</f>
        <v>2608</v>
      </c>
      <c r="AM1158" s="91">
        <f t="shared" si="335"/>
        <v>2608</v>
      </c>
      <c r="AN1158" s="92" t="str">
        <f t="shared" si="336"/>
        <v>Increasing</v>
      </c>
      <c r="AS1158" s="94">
        <f t="shared" si="337"/>
        <v>0</v>
      </c>
      <c r="AT1158" s="94">
        <f t="shared" si="338"/>
        <v>0.76042548150614686</v>
      </c>
      <c r="AU1158" s="94">
        <f t="shared" si="339"/>
        <v>1.953139041931379</v>
      </c>
    </row>
    <row r="1159" spans="1:47" x14ac:dyDescent="0.3">
      <c r="A1159" s="85" t="str">
        <f>_xlfn.XLOOKUP(B1159,'Country codes &amp; Data sources'!G:G,'Country codes &amp; Data sources'!H:H,,0)</f>
        <v>Benin</v>
      </c>
      <c r="B1159" s="85" t="s">
        <v>163</v>
      </c>
      <c r="C1159" s="85">
        <v>10014079.5</v>
      </c>
      <c r="D1159" s="85" t="s">
        <v>327</v>
      </c>
      <c r="E1159" s="86">
        <v>0</v>
      </c>
      <c r="F1159" s="86">
        <v>10308730.499999994</v>
      </c>
      <c r="G1159" s="86">
        <v>0</v>
      </c>
      <c r="H1159" s="86"/>
      <c r="I1159" s="86">
        <v>0</v>
      </c>
      <c r="J1159" s="86"/>
      <c r="K1159" s="86">
        <v>0</v>
      </c>
      <c r="L1159" s="86"/>
      <c r="M1159" s="86">
        <v>0</v>
      </c>
      <c r="N1159" s="86"/>
      <c r="O1159" s="86">
        <v>0</v>
      </c>
      <c r="P1159" s="86">
        <v>11940683.499999996</v>
      </c>
      <c r="Q1159" s="86">
        <v>346</v>
      </c>
      <c r="R1159" s="87">
        <f t="shared" si="324"/>
        <v>391</v>
      </c>
      <c r="T1159" s="87">
        <v>202</v>
      </c>
      <c r="U1159" s="89"/>
      <c r="V1159" s="89">
        <v>0</v>
      </c>
      <c r="W1159" s="90"/>
      <c r="X1159" s="90">
        <v>1797</v>
      </c>
      <c r="Y1159" s="90">
        <v>13352864</v>
      </c>
      <c r="Z1159" s="90">
        <v>1753</v>
      </c>
      <c r="AA1159" s="90">
        <v>391</v>
      </c>
      <c r="AB1159" s="89">
        <f t="shared" si="325"/>
        <v>0</v>
      </c>
      <c r="AC1159" s="89">
        <f t="shared" si="326"/>
        <v>346</v>
      </c>
      <c r="AD1159" s="89">
        <f t="shared" si="327"/>
        <v>1797</v>
      </c>
      <c r="AE1159" s="90">
        <f t="shared" si="328"/>
        <v>0</v>
      </c>
      <c r="AF1159" s="90" t="str">
        <f t="shared" si="329"/>
        <v/>
      </c>
      <c r="AG1159" s="90">
        <f t="shared" si="330"/>
        <v>391</v>
      </c>
      <c r="AH1159" s="90" t="str">
        <f t="shared" si="331"/>
        <v>2018 (triag)</v>
      </c>
      <c r="AI1159" s="90">
        <f t="shared" si="332"/>
        <v>1753</v>
      </c>
      <c r="AJ1159" s="90">
        <f t="shared" si="333"/>
        <v>2022</v>
      </c>
      <c r="AK1159" s="90" t="str">
        <f t="shared" si="334"/>
        <v/>
      </c>
      <c r="AL1159" s="91">
        <f>IF(AK1159="Adjust",(_xlfn.XLOOKUP(A1159,'Adj factor'!A:A,'Adj factor'!I:I,,0)*AI1159),'Master DataSheet'!AI1159)</f>
        <v>1753</v>
      </c>
      <c r="AM1159" s="91">
        <f t="shared" si="335"/>
        <v>1753</v>
      </c>
      <c r="AN1159" s="92" t="str">
        <f t="shared" si="336"/>
        <v>Increasing</v>
      </c>
      <c r="AS1159" s="94">
        <f t="shared" si="337"/>
        <v>0</v>
      </c>
      <c r="AT1159" s="94">
        <f t="shared" si="338"/>
        <v>0.32745194192610511</v>
      </c>
      <c r="AU1159" s="94">
        <f t="shared" si="339"/>
        <v>1.3128269710528018</v>
      </c>
    </row>
    <row r="1160" spans="1:47" x14ac:dyDescent="0.3">
      <c r="A1160" s="85" t="str">
        <f>_xlfn.XLOOKUP(B1160,'Country codes &amp; Data sources'!G:G,'Country codes &amp; Data sources'!H:H,,0)</f>
        <v>Benin</v>
      </c>
      <c r="B1160" s="85" t="s">
        <v>163</v>
      </c>
      <c r="C1160" s="85">
        <v>10014080.5</v>
      </c>
      <c r="D1160" s="85" t="s">
        <v>328</v>
      </c>
      <c r="E1160" s="86">
        <v>0</v>
      </c>
      <c r="F1160" s="86">
        <v>10308730.499999994</v>
      </c>
      <c r="G1160" s="86">
        <v>0</v>
      </c>
      <c r="H1160" s="86"/>
      <c r="I1160" s="86">
        <v>0</v>
      </c>
      <c r="J1160" s="86"/>
      <c r="K1160" s="86">
        <v>0</v>
      </c>
      <c r="L1160" s="86"/>
      <c r="M1160" s="86">
        <v>0</v>
      </c>
      <c r="N1160" s="86"/>
      <c r="O1160" s="86">
        <v>0</v>
      </c>
      <c r="P1160" s="86">
        <v>11940683.499999996</v>
      </c>
      <c r="Q1160" s="86">
        <v>562</v>
      </c>
      <c r="R1160" s="87">
        <f t="shared" si="324"/>
        <v>562</v>
      </c>
      <c r="T1160" s="87">
        <v>0</v>
      </c>
      <c r="U1160" s="89"/>
      <c r="V1160" s="89">
        <v>0</v>
      </c>
      <c r="W1160" s="90"/>
      <c r="X1160" s="90">
        <v>958</v>
      </c>
      <c r="Y1160" s="90">
        <v>13352864</v>
      </c>
      <c r="Z1160" s="90">
        <v>855</v>
      </c>
      <c r="AA1160" s="90">
        <v>319</v>
      </c>
      <c r="AB1160" s="89">
        <f t="shared" si="325"/>
        <v>0</v>
      </c>
      <c r="AC1160" s="89">
        <f t="shared" si="326"/>
        <v>562</v>
      </c>
      <c r="AD1160" s="89">
        <f t="shared" si="327"/>
        <v>958</v>
      </c>
      <c r="AE1160" s="90">
        <f t="shared" si="328"/>
        <v>0</v>
      </c>
      <c r="AF1160" s="90" t="str">
        <f t="shared" si="329"/>
        <v/>
      </c>
      <c r="AG1160" s="90">
        <f t="shared" si="330"/>
        <v>562</v>
      </c>
      <c r="AH1160" s="90">
        <f t="shared" si="331"/>
        <v>2018</v>
      </c>
      <c r="AI1160" s="90">
        <f t="shared" si="332"/>
        <v>855</v>
      </c>
      <c r="AJ1160" s="90">
        <f t="shared" si="333"/>
        <v>2022</v>
      </c>
      <c r="AK1160" s="90" t="str">
        <f t="shared" si="334"/>
        <v/>
      </c>
      <c r="AL1160" s="91">
        <f>IF(AK1160="Adjust",(_xlfn.XLOOKUP(A1160,'Adj factor'!A:A,'Adj factor'!I:I,,0)*AI1160),'Master DataSheet'!AI1160)</f>
        <v>855</v>
      </c>
      <c r="AM1160" s="91">
        <f t="shared" si="335"/>
        <v>855</v>
      </c>
      <c r="AN1160" s="92" t="str">
        <f t="shared" si="336"/>
        <v>Increasing</v>
      </c>
      <c r="AS1160" s="94">
        <f t="shared" si="337"/>
        <v>0</v>
      </c>
      <c r="AT1160" s="94">
        <f t="shared" si="338"/>
        <v>0.47065982445644772</v>
      </c>
      <c r="AU1160" s="94">
        <f t="shared" si="339"/>
        <v>0.64031207087857711</v>
      </c>
    </row>
    <row r="1161" spans="1:47" x14ac:dyDescent="0.3">
      <c r="A1161" s="85" t="str">
        <f>_xlfn.XLOOKUP(B1161,'Country codes &amp; Data sources'!G:G,'Country codes &amp; Data sources'!H:H,,0)</f>
        <v>Benin</v>
      </c>
      <c r="B1161" s="85" t="s">
        <v>163</v>
      </c>
      <c r="C1161" s="85">
        <v>10014081.5</v>
      </c>
      <c r="D1161" s="85" t="s">
        <v>329</v>
      </c>
      <c r="E1161" s="86">
        <v>5138</v>
      </c>
      <c r="F1161" s="86">
        <v>10308730.499999994</v>
      </c>
      <c r="G1161" s="86">
        <v>4880</v>
      </c>
      <c r="H1161" s="86"/>
      <c r="I1161" s="86">
        <v>0</v>
      </c>
      <c r="J1161" s="86"/>
      <c r="K1161" s="86">
        <v>0</v>
      </c>
      <c r="L1161" s="86"/>
      <c r="M1161" s="86">
        <v>7224</v>
      </c>
      <c r="N1161" s="86"/>
      <c r="O1161" s="86">
        <v>0</v>
      </c>
      <c r="P1161" s="86">
        <v>11940683.499999996</v>
      </c>
      <c r="Q1161" s="86">
        <v>3410</v>
      </c>
      <c r="R1161" s="87">
        <f t="shared" si="324"/>
        <v>3410</v>
      </c>
      <c r="T1161" s="87">
        <v>2670</v>
      </c>
      <c r="U1161" s="89"/>
      <c r="V1161" s="89">
        <v>0</v>
      </c>
      <c r="W1161" s="90"/>
      <c r="X1161" s="90">
        <v>5484</v>
      </c>
      <c r="Y1161" s="90">
        <v>13352864</v>
      </c>
      <c r="Z1161" s="90">
        <v>5893</v>
      </c>
      <c r="AA1161" s="90">
        <v>3260</v>
      </c>
      <c r="AB1161" s="89">
        <f t="shared" si="325"/>
        <v>5138</v>
      </c>
      <c r="AC1161" s="89">
        <f t="shared" si="326"/>
        <v>7224</v>
      </c>
      <c r="AD1161" s="89">
        <f t="shared" si="327"/>
        <v>5893</v>
      </c>
      <c r="AE1161" s="90">
        <f t="shared" si="328"/>
        <v>4880</v>
      </c>
      <c r="AF1161" s="90">
        <f t="shared" si="329"/>
        <v>2013</v>
      </c>
      <c r="AG1161" s="90">
        <f t="shared" si="330"/>
        <v>3410</v>
      </c>
      <c r="AH1161" s="90">
        <f t="shared" si="331"/>
        <v>2018</v>
      </c>
      <c r="AI1161" s="90">
        <f t="shared" si="332"/>
        <v>5893</v>
      </c>
      <c r="AJ1161" s="90">
        <f t="shared" si="333"/>
        <v>2022</v>
      </c>
      <c r="AK1161" s="90" t="str">
        <f t="shared" si="334"/>
        <v/>
      </c>
      <c r="AL1161" s="91">
        <f>IF(AK1161="Adjust",(_xlfn.XLOOKUP(A1161,'Adj factor'!A:A,'Adj factor'!I:I,,0)*AI1161),'Master DataSheet'!AI1161)</f>
        <v>5893</v>
      </c>
      <c r="AM1161" s="91">
        <f t="shared" si="335"/>
        <v>5893</v>
      </c>
      <c r="AN1161" s="92" t="str">
        <f t="shared" si="336"/>
        <v>Increasing</v>
      </c>
      <c r="AS1161" s="94">
        <f t="shared" si="337"/>
        <v>4.7338515639728893</v>
      </c>
      <c r="AT1161" s="94">
        <f t="shared" si="338"/>
        <v>2.8557829206343182</v>
      </c>
      <c r="AU1161" s="94">
        <f t="shared" si="339"/>
        <v>4.4132854195174911</v>
      </c>
    </row>
    <row r="1162" spans="1:47" x14ac:dyDescent="0.3">
      <c r="A1162" s="85" t="str">
        <f>_xlfn.XLOOKUP(B1162,'Country codes &amp; Data sources'!G:G,'Country codes &amp; Data sources'!H:H,,0)</f>
        <v>Benin</v>
      </c>
      <c r="B1162" s="85" t="s">
        <v>163</v>
      </c>
      <c r="C1162" s="85">
        <v>10014082.5</v>
      </c>
      <c r="D1162" s="85" t="s">
        <v>330</v>
      </c>
      <c r="E1162" s="86">
        <v>0</v>
      </c>
      <c r="F1162" s="86">
        <v>10308730.499999994</v>
      </c>
      <c r="G1162" s="86">
        <v>0</v>
      </c>
      <c r="H1162" s="86"/>
      <c r="I1162" s="86">
        <v>0</v>
      </c>
      <c r="J1162" s="86"/>
      <c r="K1162" s="86">
        <v>0</v>
      </c>
      <c r="L1162" s="86"/>
      <c r="M1162" s="86">
        <v>1577</v>
      </c>
      <c r="N1162" s="86"/>
      <c r="O1162" s="86">
        <v>0</v>
      </c>
      <c r="P1162" s="86">
        <v>11940683.499999996</v>
      </c>
      <c r="Q1162" s="86">
        <v>3410</v>
      </c>
      <c r="R1162" s="87">
        <f t="shared" si="324"/>
        <v>3410</v>
      </c>
      <c r="T1162" s="87">
        <v>0</v>
      </c>
      <c r="U1162" s="89"/>
      <c r="V1162" s="89">
        <v>0</v>
      </c>
      <c r="W1162" s="90"/>
      <c r="X1162" s="90">
        <v>5484</v>
      </c>
      <c r="Y1162" s="90">
        <v>13352864</v>
      </c>
      <c r="Z1162" s="90">
        <v>5893</v>
      </c>
      <c r="AA1162" s="90">
        <v>1938</v>
      </c>
      <c r="AB1162" s="89">
        <f t="shared" si="325"/>
        <v>0</v>
      </c>
      <c r="AC1162" s="89">
        <f t="shared" si="326"/>
        <v>3410</v>
      </c>
      <c r="AD1162" s="89">
        <f t="shared" si="327"/>
        <v>5893</v>
      </c>
      <c r="AE1162" s="90">
        <f t="shared" si="328"/>
        <v>0</v>
      </c>
      <c r="AF1162" s="90" t="str">
        <f t="shared" si="329"/>
        <v/>
      </c>
      <c r="AG1162" s="90">
        <f t="shared" si="330"/>
        <v>3410</v>
      </c>
      <c r="AH1162" s="90">
        <f t="shared" si="331"/>
        <v>2018</v>
      </c>
      <c r="AI1162" s="90">
        <f t="shared" si="332"/>
        <v>5893</v>
      </c>
      <c r="AJ1162" s="90">
        <f t="shared" si="333"/>
        <v>2022</v>
      </c>
      <c r="AK1162" s="90" t="str">
        <f t="shared" si="334"/>
        <v/>
      </c>
      <c r="AL1162" s="91">
        <f>IF(AK1162="Adjust",(_xlfn.XLOOKUP(A1162,'Adj factor'!A:A,'Adj factor'!I:I,,0)*AI1162),'Master DataSheet'!AI1162)</f>
        <v>5893</v>
      </c>
      <c r="AM1162" s="91">
        <f t="shared" si="335"/>
        <v>5893</v>
      </c>
      <c r="AN1162" s="92" t="str">
        <f t="shared" si="336"/>
        <v>Increasing</v>
      </c>
      <c r="AS1162" s="94">
        <f t="shared" si="337"/>
        <v>0</v>
      </c>
      <c r="AT1162" s="94">
        <f t="shared" si="338"/>
        <v>2.8557829206343182</v>
      </c>
      <c r="AU1162" s="94">
        <f t="shared" si="339"/>
        <v>4.4132854195174911</v>
      </c>
    </row>
    <row r="1163" spans="1:47" x14ac:dyDescent="0.3">
      <c r="A1163" s="85" t="str">
        <f>_xlfn.XLOOKUP(B1163,'Country codes &amp; Data sources'!G:G,'Country codes &amp; Data sources'!H:H,,0)</f>
        <v>Benin</v>
      </c>
      <c r="B1163" s="85" t="s">
        <v>163</v>
      </c>
      <c r="C1163" s="85">
        <v>10014083.5</v>
      </c>
      <c r="D1163" s="85" t="s">
        <v>331</v>
      </c>
      <c r="E1163" s="86">
        <v>0</v>
      </c>
      <c r="F1163" s="86">
        <v>10308730.499999994</v>
      </c>
      <c r="G1163" s="86">
        <v>0</v>
      </c>
      <c r="H1163" s="86"/>
      <c r="I1163" s="86">
        <v>0</v>
      </c>
      <c r="J1163" s="86"/>
      <c r="K1163" s="86">
        <v>0</v>
      </c>
      <c r="L1163" s="86"/>
      <c r="M1163" s="86">
        <v>0</v>
      </c>
      <c r="N1163" s="86"/>
      <c r="O1163" s="86">
        <v>0</v>
      </c>
      <c r="P1163" s="86">
        <v>11940683.499999996</v>
      </c>
      <c r="Q1163" s="86">
        <v>0</v>
      </c>
      <c r="R1163" s="87">
        <f t="shared" si="324"/>
        <v>1322</v>
      </c>
      <c r="T1163" s="87">
        <v>0</v>
      </c>
      <c r="U1163" s="89"/>
      <c r="V1163" s="89">
        <v>0</v>
      </c>
      <c r="W1163" s="90"/>
      <c r="X1163" s="90">
        <v>0</v>
      </c>
      <c r="Y1163" s="90">
        <v>13352864</v>
      </c>
      <c r="Z1163" s="90">
        <v>0</v>
      </c>
      <c r="AA1163" s="90">
        <v>1322</v>
      </c>
      <c r="AB1163" s="89">
        <f t="shared" si="325"/>
        <v>0</v>
      </c>
      <c r="AC1163" s="89">
        <f t="shared" si="326"/>
        <v>0</v>
      </c>
      <c r="AD1163" s="89">
        <f t="shared" si="327"/>
        <v>0</v>
      </c>
      <c r="AE1163" s="90">
        <f t="shared" si="328"/>
        <v>0</v>
      </c>
      <c r="AF1163" s="90" t="str">
        <f t="shared" si="329"/>
        <v/>
      </c>
      <c r="AG1163" s="90">
        <f t="shared" si="330"/>
        <v>1322</v>
      </c>
      <c r="AH1163" s="90" t="str">
        <f t="shared" si="331"/>
        <v>2018 (triag)</v>
      </c>
      <c r="AI1163" s="90">
        <f t="shared" si="332"/>
        <v>1322</v>
      </c>
      <c r="AJ1163" s="90" t="str">
        <f t="shared" si="333"/>
        <v>2018 (triag)</v>
      </c>
      <c r="AK1163" s="90" t="str">
        <f t="shared" si="334"/>
        <v/>
      </c>
      <c r="AL1163" s="91">
        <f>IF(AK1163="Adjust",(_xlfn.XLOOKUP(A1163,'Adj factor'!A:A,'Adj factor'!I:I,,0)*AI1163),'Master DataSheet'!AI1163)</f>
        <v>1322</v>
      </c>
      <c r="AM1163" s="91">
        <f t="shared" si="335"/>
        <v>1322</v>
      </c>
      <c r="AN1163" s="92" t="str">
        <f t="shared" si="336"/>
        <v>No change</v>
      </c>
      <c r="AS1163" s="94">
        <f t="shared" si="337"/>
        <v>0</v>
      </c>
      <c r="AT1163" s="94">
        <f t="shared" si="338"/>
        <v>1.1071393023690816</v>
      </c>
      <c r="AU1163" s="94">
        <f t="shared" si="339"/>
        <v>0.99004977508944902</v>
      </c>
    </row>
    <row r="1164" spans="1:47" x14ac:dyDescent="0.3">
      <c r="A1164" s="85" t="str">
        <f>_xlfn.XLOOKUP(B1164,'Country codes &amp; Data sources'!G:G,'Country codes &amp; Data sources'!H:H,,0)</f>
        <v>Benin</v>
      </c>
      <c r="B1164" s="85" t="s">
        <v>163</v>
      </c>
      <c r="C1164" s="85">
        <v>10014084.5</v>
      </c>
      <c r="D1164" s="85" t="s">
        <v>332</v>
      </c>
      <c r="E1164" s="86">
        <v>1480</v>
      </c>
      <c r="F1164" s="86">
        <v>10308730.499999994</v>
      </c>
      <c r="G1164" s="86">
        <v>943</v>
      </c>
      <c r="H1164" s="86"/>
      <c r="I1164" s="86">
        <v>0</v>
      </c>
      <c r="J1164" s="86"/>
      <c r="K1164" s="86">
        <v>0</v>
      </c>
      <c r="L1164" s="86"/>
      <c r="M1164" s="86">
        <v>1034</v>
      </c>
      <c r="N1164" s="86"/>
      <c r="O1164" s="86">
        <v>0</v>
      </c>
      <c r="P1164" s="86">
        <v>11940683.499999996</v>
      </c>
      <c r="Q1164" s="86">
        <v>1055</v>
      </c>
      <c r="R1164" s="87">
        <f t="shared" si="324"/>
        <v>1055</v>
      </c>
      <c r="T1164" s="87">
        <v>905</v>
      </c>
      <c r="U1164" s="89"/>
      <c r="V1164" s="89">
        <v>0</v>
      </c>
      <c r="W1164" s="90"/>
      <c r="X1164" s="90">
        <v>2086</v>
      </c>
      <c r="Y1164" s="90">
        <v>13352864</v>
      </c>
      <c r="Z1164" s="90">
        <v>2055</v>
      </c>
      <c r="AA1164" s="90">
        <v>813</v>
      </c>
      <c r="AB1164" s="89">
        <f t="shared" si="325"/>
        <v>1480</v>
      </c>
      <c r="AC1164" s="89">
        <f t="shared" si="326"/>
        <v>1055</v>
      </c>
      <c r="AD1164" s="89">
        <f t="shared" si="327"/>
        <v>2086</v>
      </c>
      <c r="AE1164" s="90">
        <f t="shared" si="328"/>
        <v>943</v>
      </c>
      <c r="AF1164" s="90">
        <f t="shared" si="329"/>
        <v>2013</v>
      </c>
      <c r="AG1164" s="90">
        <f t="shared" si="330"/>
        <v>1055</v>
      </c>
      <c r="AH1164" s="90">
        <f t="shared" si="331"/>
        <v>2018</v>
      </c>
      <c r="AI1164" s="90">
        <f t="shared" si="332"/>
        <v>2055</v>
      </c>
      <c r="AJ1164" s="90">
        <f t="shared" si="333"/>
        <v>2022</v>
      </c>
      <c r="AK1164" s="90" t="str">
        <f t="shared" si="334"/>
        <v/>
      </c>
      <c r="AL1164" s="91">
        <f>IF(AK1164="Adjust",(_xlfn.XLOOKUP(A1164,'Adj factor'!A:A,'Adj factor'!I:I,,0)*AI1164),'Master DataSheet'!AI1164)</f>
        <v>2055</v>
      </c>
      <c r="AM1164" s="91">
        <f t="shared" si="335"/>
        <v>2055</v>
      </c>
      <c r="AN1164" s="92" t="str">
        <f t="shared" si="336"/>
        <v>Increasing</v>
      </c>
      <c r="AS1164" s="94">
        <f t="shared" si="337"/>
        <v>0.91475861164476124</v>
      </c>
      <c r="AT1164" s="94">
        <f t="shared" si="338"/>
        <v>0.88353401210240634</v>
      </c>
      <c r="AU1164" s="94">
        <f t="shared" si="339"/>
        <v>1.5389956791292114</v>
      </c>
    </row>
    <row r="1165" spans="1:47" x14ac:dyDescent="0.3">
      <c r="A1165" s="85" t="str">
        <f>_xlfn.XLOOKUP(B1165,'Country codes &amp; Data sources'!G:G,'Country codes &amp; Data sources'!H:H,,0)</f>
        <v>Benin</v>
      </c>
      <c r="B1165" s="85" t="s">
        <v>163</v>
      </c>
      <c r="C1165" s="85">
        <v>10014085.5</v>
      </c>
      <c r="D1165" s="85" t="s">
        <v>333</v>
      </c>
      <c r="E1165" s="86">
        <v>0</v>
      </c>
      <c r="F1165" s="86">
        <v>10308730.499999994</v>
      </c>
      <c r="G1165" s="86">
        <v>943</v>
      </c>
      <c r="H1165" s="86"/>
      <c r="I1165" s="86">
        <v>0</v>
      </c>
      <c r="J1165" s="86"/>
      <c r="K1165" s="86">
        <v>0</v>
      </c>
      <c r="L1165" s="86"/>
      <c r="M1165" s="86">
        <v>0</v>
      </c>
      <c r="N1165" s="86"/>
      <c r="O1165" s="86">
        <v>0</v>
      </c>
      <c r="P1165" s="86">
        <v>11940683.499999996</v>
      </c>
      <c r="Q1165" s="86">
        <v>1055</v>
      </c>
      <c r="R1165" s="87">
        <f t="shared" si="324"/>
        <v>1055</v>
      </c>
      <c r="T1165" s="87">
        <v>0</v>
      </c>
      <c r="U1165" s="89"/>
      <c r="V1165" s="89">
        <v>0</v>
      </c>
      <c r="W1165" s="90"/>
      <c r="X1165" s="90">
        <v>2086</v>
      </c>
      <c r="Y1165" s="90">
        <v>13352864</v>
      </c>
      <c r="Z1165" s="90">
        <v>2055</v>
      </c>
      <c r="AA1165" s="90">
        <v>807</v>
      </c>
      <c r="AB1165" s="89">
        <f t="shared" si="325"/>
        <v>943</v>
      </c>
      <c r="AC1165" s="89">
        <f t="shared" si="326"/>
        <v>1055</v>
      </c>
      <c r="AD1165" s="89">
        <f t="shared" si="327"/>
        <v>2086</v>
      </c>
      <c r="AE1165" s="90">
        <f t="shared" si="328"/>
        <v>943</v>
      </c>
      <c r="AF1165" s="90">
        <f t="shared" si="329"/>
        <v>2013</v>
      </c>
      <c r="AG1165" s="90">
        <f t="shared" si="330"/>
        <v>1055</v>
      </c>
      <c r="AH1165" s="90">
        <f t="shared" si="331"/>
        <v>2018</v>
      </c>
      <c r="AI1165" s="90">
        <f t="shared" si="332"/>
        <v>2055</v>
      </c>
      <c r="AJ1165" s="90">
        <f t="shared" si="333"/>
        <v>2022</v>
      </c>
      <c r="AK1165" s="90" t="str">
        <f t="shared" si="334"/>
        <v/>
      </c>
      <c r="AL1165" s="91">
        <f>IF(AK1165="Adjust",(_xlfn.XLOOKUP(A1165,'Adj factor'!A:A,'Adj factor'!I:I,,0)*AI1165),'Master DataSheet'!AI1165)</f>
        <v>2055</v>
      </c>
      <c r="AM1165" s="91">
        <f t="shared" si="335"/>
        <v>2055</v>
      </c>
      <c r="AN1165" s="92" t="str">
        <f t="shared" si="336"/>
        <v>Increasing</v>
      </c>
      <c r="AS1165" s="94">
        <f t="shared" si="337"/>
        <v>0.91475861164476124</v>
      </c>
      <c r="AT1165" s="94">
        <f t="shared" si="338"/>
        <v>0.88353401210240634</v>
      </c>
      <c r="AU1165" s="94">
        <f t="shared" si="339"/>
        <v>1.5389956791292114</v>
      </c>
    </row>
    <row r="1166" spans="1:47" x14ac:dyDescent="0.3">
      <c r="A1166" s="85" t="str">
        <f>_xlfn.XLOOKUP(B1166,'Country codes &amp; Data sources'!G:G,'Country codes &amp; Data sources'!H:H,,0)</f>
        <v>Benin</v>
      </c>
      <c r="B1166" s="85" t="s">
        <v>163</v>
      </c>
      <c r="C1166" s="85">
        <v>10014086.5</v>
      </c>
      <c r="D1166" s="85" t="s">
        <v>334</v>
      </c>
      <c r="E1166" s="86">
        <v>0</v>
      </c>
      <c r="F1166" s="86">
        <v>10308730.499999994</v>
      </c>
      <c r="G1166" s="86">
        <v>0</v>
      </c>
      <c r="H1166" s="86"/>
      <c r="I1166" s="86">
        <v>0</v>
      </c>
      <c r="J1166" s="86"/>
      <c r="K1166" s="86">
        <v>0</v>
      </c>
      <c r="L1166" s="86"/>
      <c r="M1166" s="86">
        <v>0</v>
      </c>
      <c r="N1166" s="86"/>
      <c r="O1166" s="86">
        <v>0</v>
      </c>
      <c r="P1166" s="86">
        <v>11940683.499999996</v>
      </c>
      <c r="Q1166" s="86">
        <v>0</v>
      </c>
      <c r="R1166" s="87">
        <f t="shared" si="324"/>
        <v>6</v>
      </c>
      <c r="T1166" s="87">
        <v>0</v>
      </c>
      <c r="U1166" s="89"/>
      <c r="V1166" s="89">
        <v>0</v>
      </c>
      <c r="W1166" s="90"/>
      <c r="X1166" s="90">
        <v>0</v>
      </c>
      <c r="Y1166" s="90">
        <v>13352864</v>
      </c>
      <c r="Z1166" s="90">
        <v>0</v>
      </c>
      <c r="AA1166" s="90">
        <v>6</v>
      </c>
      <c r="AB1166" s="89">
        <f t="shared" si="325"/>
        <v>0</v>
      </c>
      <c r="AC1166" s="89">
        <f t="shared" si="326"/>
        <v>0</v>
      </c>
      <c r="AD1166" s="89">
        <f t="shared" si="327"/>
        <v>0</v>
      </c>
      <c r="AE1166" s="90">
        <f t="shared" si="328"/>
        <v>0</v>
      </c>
      <c r="AF1166" s="90" t="str">
        <f t="shared" si="329"/>
        <v/>
      </c>
      <c r="AG1166" s="90">
        <f t="shared" si="330"/>
        <v>6</v>
      </c>
      <c r="AH1166" s="90" t="str">
        <f t="shared" si="331"/>
        <v>2018 (triag)</v>
      </c>
      <c r="AI1166" s="90">
        <f t="shared" si="332"/>
        <v>6</v>
      </c>
      <c r="AJ1166" s="90" t="str">
        <f t="shared" si="333"/>
        <v>2018 (triag)</v>
      </c>
      <c r="AK1166" s="90" t="str">
        <f t="shared" si="334"/>
        <v/>
      </c>
      <c r="AL1166" s="91">
        <f>IF(AK1166="Adjust",(_xlfn.XLOOKUP(A1166,'Adj factor'!A:A,'Adj factor'!I:I,,0)*AI1166),'Master DataSheet'!AI1166)</f>
        <v>6</v>
      </c>
      <c r="AM1166" s="91">
        <f t="shared" si="335"/>
        <v>6</v>
      </c>
      <c r="AN1166" s="92" t="str">
        <f t="shared" si="336"/>
        <v>No change</v>
      </c>
      <c r="AS1166" s="94">
        <f t="shared" si="337"/>
        <v>0</v>
      </c>
      <c r="AT1166" s="94">
        <f t="shared" si="338"/>
        <v>5.0248379835207942E-3</v>
      </c>
      <c r="AU1166" s="94">
        <f t="shared" si="339"/>
        <v>4.4934180412531726E-3</v>
      </c>
    </row>
    <row r="1167" spans="1:47" x14ac:dyDescent="0.3">
      <c r="A1167" s="85" t="str">
        <f>_xlfn.XLOOKUP(B1167,'Country codes &amp; Data sources'!G:G,'Country codes &amp; Data sources'!H:H,,0)</f>
        <v>Benin</v>
      </c>
      <c r="B1167" s="85" t="s">
        <v>163</v>
      </c>
      <c r="C1167" s="85">
        <v>10014087.5</v>
      </c>
      <c r="D1167" s="85" t="s">
        <v>335</v>
      </c>
      <c r="E1167" s="86">
        <v>0</v>
      </c>
      <c r="F1167" s="86">
        <v>10308730.499999994</v>
      </c>
      <c r="G1167" s="86">
        <v>1330</v>
      </c>
      <c r="H1167" s="86"/>
      <c r="I1167" s="86">
        <v>0</v>
      </c>
      <c r="J1167" s="86"/>
      <c r="K1167" s="86">
        <v>0</v>
      </c>
      <c r="L1167" s="86"/>
      <c r="M1167" s="86">
        <v>13</v>
      </c>
      <c r="N1167" s="86"/>
      <c r="O1167" s="86">
        <v>0</v>
      </c>
      <c r="P1167" s="86">
        <v>11940683.499999996</v>
      </c>
      <c r="Q1167" s="86">
        <v>306</v>
      </c>
      <c r="R1167" s="87">
        <f t="shared" si="324"/>
        <v>306</v>
      </c>
      <c r="T1167" s="87">
        <v>0</v>
      </c>
      <c r="U1167" s="89"/>
      <c r="V1167" s="89">
        <v>0</v>
      </c>
      <c r="W1167" s="90"/>
      <c r="X1167" s="90">
        <v>403</v>
      </c>
      <c r="Y1167" s="90">
        <v>13352864</v>
      </c>
      <c r="Z1167" s="90">
        <v>382</v>
      </c>
      <c r="AA1167" s="90">
        <v>14</v>
      </c>
      <c r="AB1167" s="89">
        <f t="shared" si="325"/>
        <v>1330</v>
      </c>
      <c r="AC1167" s="89">
        <f t="shared" si="326"/>
        <v>306</v>
      </c>
      <c r="AD1167" s="89">
        <f t="shared" si="327"/>
        <v>403</v>
      </c>
      <c r="AE1167" s="90">
        <f t="shared" si="328"/>
        <v>1330</v>
      </c>
      <c r="AF1167" s="90">
        <f t="shared" si="329"/>
        <v>2013</v>
      </c>
      <c r="AG1167" s="90">
        <f t="shared" si="330"/>
        <v>306</v>
      </c>
      <c r="AH1167" s="90">
        <f t="shared" si="331"/>
        <v>2018</v>
      </c>
      <c r="AI1167" s="90">
        <f t="shared" si="332"/>
        <v>382</v>
      </c>
      <c r="AJ1167" s="90">
        <f t="shared" si="333"/>
        <v>2022</v>
      </c>
      <c r="AK1167" s="90" t="str">
        <f t="shared" si="334"/>
        <v/>
      </c>
      <c r="AL1167" s="91">
        <f>IF(AK1167="Adjust",(_xlfn.XLOOKUP(A1167,'Adj factor'!A:A,'Adj factor'!I:I,,0)*AI1167),'Master DataSheet'!AI1167)</f>
        <v>382</v>
      </c>
      <c r="AM1167" s="91">
        <f t="shared" si="335"/>
        <v>382</v>
      </c>
      <c r="AN1167" s="92" t="str">
        <f t="shared" si="336"/>
        <v>Increasing</v>
      </c>
      <c r="AS1167" s="94">
        <f t="shared" si="337"/>
        <v>1.2901685614926113</v>
      </c>
      <c r="AT1167" s="94">
        <f t="shared" si="338"/>
        <v>0.2562667371595605</v>
      </c>
      <c r="AU1167" s="94">
        <f t="shared" si="339"/>
        <v>0.28608094862645195</v>
      </c>
    </row>
    <row r="1168" spans="1:47" x14ac:dyDescent="0.3">
      <c r="A1168" s="85" t="str">
        <f>_xlfn.XLOOKUP(B1168,'Country codes &amp; Data sources'!G:G,'Country codes &amp; Data sources'!H:H,,0)</f>
        <v>Benin</v>
      </c>
      <c r="B1168" s="85" t="s">
        <v>163</v>
      </c>
      <c r="C1168" s="85">
        <v>10014088.5</v>
      </c>
      <c r="D1168" s="85" t="s">
        <v>336</v>
      </c>
      <c r="E1168" s="86">
        <v>0</v>
      </c>
      <c r="F1168" s="86">
        <v>10308730.499999994</v>
      </c>
      <c r="G1168" s="86">
        <v>770</v>
      </c>
      <c r="H1168" s="86"/>
      <c r="I1168" s="86">
        <v>0</v>
      </c>
      <c r="J1168" s="86"/>
      <c r="K1168" s="86">
        <v>0</v>
      </c>
      <c r="L1168" s="86"/>
      <c r="M1168" s="86">
        <v>0</v>
      </c>
      <c r="N1168" s="86"/>
      <c r="O1168" s="86">
        <v>0</v>
      </c>
      <c r="P1168" s="86">
        <v>11940683.499999996</v>
      </c>
      <c r="Q1168" s="86">
        <v>45</v>
      </c>
      <c r="R1168" s="87">
        <f t="shared" si="324"/>
        <v>45</v>
      </c>
      <c r="T1168" s="87">
        <v>0</v>
      </c>
      <c r="U1168" s="89"/>
      <c r="V1168" s="89">
        <v>0</v>
      </c>
      <c r="W1168" s="90"/>
      <c r="X1168" s="90">
        <v>56</v>
      </c>
      <c r="Y1168" s="90">
        <v>13352864</v>
      </c>
      <c r="Z1168" s="90">
        <v>0</v>
      </c>
      <c r="AA1168" s="90">
        <v>0</v>
      </c>
      <c r="AB1168" s="89">
        <f t="shared" si="325"/>
        <v>770</v>
      </c>
      <c r="AC1168" s="89">
        <f t="shared" si="326"/>
        <v>45</v>
      </c>
      <c r="AD1168" s="89">
        <f t="shared" si="327"/>
        <v>56</v>
      </c>
      <c r="AE1168" s="90">
        <f t="shared" si="328"/>
        <v>770</v>
      </c>
      <c r="AF1168" s="90">
        <f t="shared" si="329"/>
        <v>2013</v>
      </c>
      <c r="AG1168" s="90">
        <f t="shared" si="330"/>
        <v>45</v>
      </c>
      <c r="AH1168" s="90">
        <f t="shared" si="331"/>
        <v>2018</v>
      </c>
      <c r="AI1168" s="90">
        <f t="shared" si="332"/>
        <v>56</v>
      </c>
      <c r="AJ1168" s="90">
        <f t="shared" si="333"/>
        <v>2021</v>
      </c>
      <c r="AK1168" s="90" t="str">
        <f t="shared" si="334"/>
        <v/>
      </c>
      <c r="AL1168" s="91">
        <f>IF(AK1168="Adjust",(_xlfn.XLOOKUP(A1168,'Adj factor'!A:A,'Adj factor'!I:I,,0)*AI1168),'Master DataSheet'!AI1168)</f>
        <v>56</v>
      </c>
      <c r="AM1168" s="91">
        <f t="shared" si="335"/>
        <v>56</v>
      </c>
      <c r="AN1168" s="92" t="str">
        <f t="shared" si="336"/>
        <v>Increasing</v>
      </c>
      <c r="AS1168" s="94">
        <f t="shared" si="337"/>
        <v>0.74693969349572231</v>
      </c>
      <c r="AT1168" s="94">
        <f t="shared" si="338"/>
        <v>3.7686284876405955E-2</v>
      </c>
      <c r="AU1168" s="94">
        <f t="shared" si="339"/>
        <v>4.1938568385029608E-2</v>
      </c>
    </row>
    <row r="1169" spans="1:47" x14ac:dyDescent="0.3">
      <c r="A1169" s="85" t="str">
        <f>_xlfn.XLOOKUP(B1169,'Country codes &amp; Data sources'!G:G,'Country codes &amp; Data sources'!H:H,,0)</f>
        <v>Benin</v>
      </c>
      <c r="B1169" s="85" t="s">
        <v>163</v>
      </c>
      <c r="C1169" s="85">
        <v>10014089.5</v>
      </c>
      <c r="D1169" s="85" t="s">
        <v>337</v>
      </c>
      <c r="E1169" s="86">
        <v>0</v>
      </c>
      <c r="F1169" s="86">
        <v>10308730.499999994</v>
      </c>
      <c r="G1169" s="86">
        <v>0</v>
      </c>
      <c r="H1169" s="86"/>
      <c r="I1169" s="86">
        <v>0</v>
      </c>
      <c r="J1169" s="86"/>
      <c r="K1169" s="86">
        <v>0</v>
      </c>
      <c r="L1169" s="86"/>
      <c r="M1169" s="86">
        <v>9</v>
      </c>
      <c r="N1169" s="86"/>
      <c r="O1169" s="86">
        <v>73</v>
      </c>
      <c r="P1169" s="86">
        <v>11940683.499999996</v>
      </c>
      <c r="Q1169" s="86">
        <v>12</v>
      </c>
      <c r="R1169" s="87">
        <f t="shared" si="324"/>
        <v>12</v>
      </c>
      <c r="T1169" s="87">
        <v>0</v>
      </c>
      <c r="U1169" s="89"/>
      <c r="V1169" s="89">
        <v>0</v>
      </c>
      <c r="W1169" s="90"/>
      <c r="X1169" s="90">
        <v>50</v>
      </c>
      <c r="Y1169" s="90">
        <v>13352864</v>
      </c>
      <c r="Z1169" s="90">
        <v>50</v>
      </c>
      <c r="AA1169" s="90">
        <v>0</v>
      </c>
      <c r="AB1169" s="89">
        <f t="shared" si="325"/>
        <v>0</v>
      </c>
      <c r="AC1169" s="89">
        <f t="shared" si="326"/>
        <v>73</v>
      </c>
      <c r="AD1169" s="89">
        <f t="shared" si="327"/>
        <v>50</v>
      </c>
      <c r="AE1169" s="90">
        <f t="shared" si="328"/>
        <v>0</v>
      </c>
      <c r="AF1169" s="90" t="str">
        <f t="shared" si="329"/>
        <v/>
      </c>
      <c r="AG1169" s="90">
        <f t="shared" si="330"/>
        <v>12</v>
      </c>
      <c r="AH1169" s="90">
        <f t="shared" si="331"/>
        <v>2018</v>
      </c>
      <c r="AI1169" s="90">
        <f t="shared" si="332"/>
        <v>50</v>
      </c>
      <c r="AJ1169" s="90">
        <f t="shared" si="333"/>
        <v>2021</v>
      </c>
      <c r="AK1169" s="90" t="str">
        <f t="shared" si="334"/>
        <v/>
      </c>
      <c r="AL1169" s="91">
        <f>IF(AK1169="Adjust",(_xlfn.XLOOKUP(A1169,'Adj factor'!A:A,'Adj factor'!I:I,,0)*AI1169),'Master DataSheet'!AI1169)</f>
        <v>50</v>
      </c>
      <c r="AM1169" s="91">
        <f t="shared" si="335"/>
        <v>50</v>
      </c>
      <c r="AN1169" s="92" t="str">
        <f t="shared" si="336"/>
        <v>Increasing</v>
      </c>
      <c r="AS1169" s="94">
        <f t="shared" si="337"/>
        <v>0</v>
      </c>
      <c r="AT1169" s="94">
        <f t="shared" si="338"/>
        <v>1.0049675967041588E-2</v>
      </c>
      <c r="AU1169" s="94">
        <f t="shared" si="339"/>
        <v>3.7445150343776434E-2</v>
      </c>
    </row>
    <row r="1170" spans="1:47" x14ac:dyDescent="0.3">
      <c r="A1170" s="85" t="str">
        <f>_xlfn.XLOOKUP(B1170,'Country codes &amp; Data sources'!G:G,'Country codes &amp; Data sources'!H:H,,0)</f>
        <v>Benin</v>
      </c>
      <c r="B1170" s="85" t="s">
        <v>163</v>
      </c>
      <c r="C1170" s="85">
        <v>10014090.5</v>
      </c>
      <c r="D1170" s="85" t="s">
        <v>338</v>
      </c>
      <c r="E1170" s="86">
        <v>0</v>
      </c>
      <c r="F1170" s="86">
        <v>10308730.499999994</v>
      </c>
      <c r="G1170" s="86">
        <v>0</v>
      </c>
      <c r="H1170" s="86"/>
      <c r="I1170" s="86">
        <v>0</v>
      </c>
      <c r="J1170" s="86"/>
      <c r="K1170" s="86">
        <v>0</v>
      </c>
      <c r="L1170" s="86"/>
      <c r="M1170" s="86">
        <v>0</v>
      </c>
      <c r="N1170" s="86"/>
      <c r="O1170" s="86">
        <v>33</v>
      </c>
      <c r="P1170" s="86">
        <v>11940683.499999996</v>
      </c>
      <c r="Q1170" s="86">
        <v>0</v>
      </c>
      <c r="R1170" s="87">
        <f t="shared" si="324"/>
        <v>0</v>
      </c>
      <c r="T1170" s="87">
        <v>0</v>
      </c>
      <c r="U1170" s="89"/>
      <c r="V1170" s="89">
        <v>0</v>
      </c>
      <c r="W1170" s="90"/>
      <c r="X1170" s="90">
        <v>6</v>
      </c>
      <c r="Y1170" s="90">
        <v>13352864</v>
      </c>
      <c r="Z1170" s="90">
        <v>0</v>
      </c>
      <c r="AA1170" s="90">
        <v>0</v>
      </c>
      <c r="AB1170" s="89">
        <f t="shared" si="325"/>
        <v>0</v>
      </c>
      <c r="AC1170" s="89">
        <f t="shared" si="326"/>
        <v>33</v>
      </c>
      <c r="AD1170" s="89">
        <f t="shared" si="327"/>
        <v>6</v>
      </c>
      <c r="AE1170" s="90">
        <f t="shared" si="328"/>
        <v>0</v>
      </c>
      <c r="AF1170" s="90" t="str">
        <f t="shared" si="329"/>
        <v/>
      </c>
      <c r="AG1170" s="90">
        <f t="shared" si="330"/>
        <v>33</v>
      </c>
      <c r="AH1170" s="90">
        <f t="shared" si="331"/>
        <v>2017</v>
      </c>
      <c r="AI1170" s="90">
        <f t="shared" si="332"/>
        <v>6</v>
      </c>
      <c r="AJ1170" s="90">
        <f t="shared" si="333"/>
        <v>2021</v>
      </c>
      <c r="AK1170" s="90" t="str">
        <f t="shared" si="334"/>
        <v>Adjust</v>
      </c>
      <c r="AL1170" s="91">
        <f>IF(AK1170="Adjust",(_xlfn.XLOOKUP(A1170,'Adj factor'!A:A,'Adj factor'!I:I,,0)*AI1170),'Master DataSheet'!AI1170)</f>
        <v>7.4754468485418633</v>
      </c>
      <c r="AM1170" s="91">
        <f t="shared" si="335"/>
        <v>33</v>
      </c>
      <c r="AN1170" s="92" t="str">
        <f t="shared" si="336"/>
        <v>Decreasing</v>
      </c>
      <c r="AS1170" s="94">
        <f t="shared" si="337"/>
        <v>0</v>
      </c>
      <c r="AT1170" s="94">
        <f t="shared" si="338"/>
        <v>2.7636608909364369E-2</v>
      </c>
      <c r="AU1170" s="94">
        <f t="shared" si="339"/>
        <v>2.4713799226892447E-2</v>
      </c>
    </row>
    <row r="1171" spans="1:47" x14ac:dyDescent="0.3">
      <c r="A1171" s="85" t="str">
        <f>_xlfn.XLOOKUP(B1171,'Country codes &amp; Data sources'!G:G,'Country codes &amp; Data sources'!H:H,,0)</f>
        <v>Benin</v>
      </c>
      <c r="B1171" s="85" t="s">
        <v>163</v>
      </c>
      <c r="C1171" s="85">
        <v>10014091.5</v>
      </c>
      <c r="D1171" s="85" t="s">
        <v>339</v>
      </c>
      <c r="E1171" s="86">
        <v>0</v>
      </c>
      <c r="F1171" s="86">
        <v>10308730.499999994</v>
      </c>
      <c r="G1171" s="86">
        <v>0</v>
      </c>
      <c r="H1171" s="86"/>
      <c r="I1171" s="86">
        <v>0</v>
      </c>
      <c r="J1171" s="86"/>
      <c r="K1171" s="86">
        <v>0</v>
      </c>
      <c r="L1171" s="86"/>
      <c r="M1171" s="86">
        <v>0</v>
      </c>
      <c r="N1171" s="86"/>
      <c r="O1171" s="86">
        <v>0</v>
      </c>
      <c r="P1171" s="86">
        <v>11940683.499999996</v>
      </c>
      <c r="Q1171" s="86">
        <v>0</v>
      </c>
      <c r="R1171" s="87">
        <f t="shared" si="324"/>
        <v>0</v>
      </c>
      <c r="T1171" s="87">
        <v>0</v>
      </c>
      <c r="U1171" s="89"/>
      <c r="V1171" s="89">
        <v>0</v>
      </c>
      <c r="W1171" s="90"/>
      <c r="X1171" s="90">
        <v>0</v>
      </c>
      <c r="Y1171" s="90">
        <v>13352864</v>
      </c>
      <c r="Z1171" s="90">
        <v>0</v>
      </c>
      <c r="AA1171" s="90">
        <v>0</v>
      </c>
      <c r="AB1171" s="89">
        <f t="shared" si="325"/>
        <v>0</v>
      </c>
      <c r="AC1171" s="89">
        <f t="shared" si="326"/>
        <v>0</v>
      </c>
      <c r="AD1171" s="89">
        <f t="shared" si="327"/>
        <v>0</v>
      </c>
      <c r="AE1171" s="90">
        <f t="shared" si="328"/>
        <v>0</v>
      </c>
      <c r="AF1171" s="90" t="str">
        <f t="shared" si="329"/>
        <v/>
      </c>
      <c r="AG1171" s="90">
        <f t="shared" si="330"/>
        <v>0</v>
      </c>
      <c r="AH1171" s="90" t="str">
        <f t="shared" si="331"/>
        <v/>
      </c>
      <c r="AI1171" s="90">
        <f t="shared" si="332"/>
        <v>0</v>
      </c>
      <c r="AJ1171" s="90" t="str">
        <f t="shared" si="333"/>
        <v/>
      </c>
      <c r="AK1171" s="90" t="str">
        <f t="shared" si="334"/>
        <v/>
      </c>
      <c r="AL1171" s="91">
        <f>IF(AK1171="Adjust",(_xlfn.XLOOKUP(A1171,'Adj factor'!A:A,'Adj factor'!I:I,,0)*AI1171),'Master DataSheet'!AI1171)</f>
        <v>0</v>
      </c>
      <c r="AM1171" s="91">
        <f t="shared" si="335"/>
        <v>0</v>
      </c>
      <c r="AN1171" s="92" t="str">
        <f t="shared" si="336"/>
        <v>No change</v>
      </c>
      <c r="AS1171" s="94">
        <f t="shared" si="337"/>
        <v>0</v>
      </c>
      <c r="AT1171" s="94">
        <f t="shared" si="338"/>
        <v>0</v>
      </c>
      <c r="AU1171" s="94">
        <f t="shared" si="339"/>
        <v>0</v>
      </c>
    </row>
    <row r="1172" spans="1:47" x14ac:dyDescent="0.3">
      <c r="A1172" s="85" t="str">
        <f>_xlfn.XLOOKUP(B1172,'Country codes &amp; Data sources'!G:G,'Country codes &amp; Data sources'!H:H,,0)</f>
        <v>Burkina Faso</v>
      </c>
      <c r="B1172" s="85" t="s">
        <v>151</v>
      </c>
      <c r="C1172" s="85">
        <v>17113732.499999996</v>
      </c>
      <c r="D1172" s="85" t="s">
        <v>326</v>
      </c>
      <c r="E1172" s="86">
        <v>787</v>
      </c>
      <c r="F1172" s="86">
        <v>17636407.5</v>
      </c>
      <c r="G1172" s="86">
        <v>803</v>
      </c>
      <c r="H1172" s="86">
        <v>18169842.499999996</v>
      </c>
      <c r="I1172" s="86">
        <v>857</v>
      </c>
      <c r="J1172" s="86">
        <v>18718019.499999996</v>
      </c>
      <c r="K1172" s="86">
        <v>1189</v>
      </c>
      <c r="L1172" s="86">
        <v>19275497.999999981</v>
      </c>
      <c r="M1172" s="86">
        <v>1202</v>
      </c>
      <c r="N1172" s="86">
        <v>19835858.500000007</v>
      </c>
      <c r="O1172" s="86">
        <v>1626</v>
      </c>
      <c r="P1172" s="86">
        <v>20392723</v>
      </c>
      <c r="Q1172" s="86">
        <v>1684</v>
      </c>
      <c r="R1172" s="87">
        <f t="shared" si="324"/>
        <v>1684</v>
      </c>
      <c r="S1172" s="87">
        <v>20951638.999999996</v>
      </c>
      <c r="T1172" s="87">
        <v>1910</v>
      </c>
      <c r="U1172" s="89">
        <v>21522625.999999993</v>
      </c>
      <c r="V1172" s="89">
        <v>2061</v>
      </c>
      <c r="W1172" s="90">
        <v>22100683.499999989</v>
      </c>
      <c r="X1172" s="90">
        <v>2221</v>
      </c>
      <c r="Y1172" s="90">
        <v>22673762.000000007</v>
      </c>
      <c r="Z1172" s="90">
        <v>3323</v>
      </c>
      <c r="AA1172" s="90">
        <v>1626</v>
      </c>
      <c r="AB1172" s="89">
        <f t="shared" si="325"/>
        <v>1189</v>
      </c>
      <c r="AC1172" s="89">
        <f t="shared" si="326"/>
        <v>1910</v>
      </c>
      <c r="AD1172" s="89">
        <f t="shared" si="327"/>
        <v>3323</v>
      </c>
      <c r="AE1172" s="90">
        <f t="shared" si="328"/>
        <v>803</v>
      </c>
      <c r="AF1172" s="90">
        <f t="shared" si="329"/>
        <v>2013</v>
      </c>
      <c r="AG1172" s="90">
        <f t="shared" si="330"/>
        <v>1684</v>
      </c>
      <c r="AH1172" s="90">
        <f t="shared" si="331"/>
        <v>2018</v>
      </c>
      <c r="AI1172" s="90">
        <f t="shared" si="332"/>
        <v>3323</v>
      </c>
      <c r="AJ1172" s="90">
        <f t="shared" si="333"/>
        <v>2022</v>
      </c>
      <c r="AK1172" s="90" t="str">
        <f t="shared" si="334"/>
        <v/>
      </c>
      <c r="AL1172" s="91">
        <f>IF(AK1172="Adjust",(_xlfn.XLOOKUP(A1172,'Adj factor'!A:A,'Adj factor'!I:I,,0)*AI1172),'Master DataSheet'!AI1172)</f>
        <v>3323</v>
      </c>
      <c r="AM1172" s="91">
        <f t="shared" si="335"/>
        <v>3323</v>
      </c>
      <c r="AN1172" s="92" t="str">
        <f t="shared" si="336"/>
        <v>Increasing</v>
      </c>
      <c r="AS1172" s="94">
        <f t="shared" si="337"/>
        <v>0.45530814594752361</v>
      </c>
      <c r="AT1172" s="94">
        <f t="shared" si="338"/>
        <v>0.82578476645811349</v>
      </c>
      <c r="AU1172" s="94">
        <f t="shared" si="339"/>
        <v>1.4655706450477866</v>
      </c>
    </row>
    <row r="1173" spans="1:47" x14ac:dyDescent="0.3">
      <c r="A1173" s="85" t="str">
        <f>_xlfn.XLOOKUP(B1173,'Country codes &amp; Data sources'!G:G,'Country codes &amp; Data sources'!H:H,,0)</f>
        <v>Burkina Faso</v>
      </c>
      <c r="B1173" s="85" t="s">
        <v>151</v>
      </c>
      <c r="C1173" s="85">
        <v>17113733.5</v>
      </c>
      <c r="D1173" s="85" t="s">
        <v>327</v>
      </c>
      <c r="E1173" s="86">
        <v>0</v>
      </c>
      <c r="F1173" s="86">
        <v>17636407.5</v>
      </c>
      <c r="G1173" s="86">
        <v>0</v>
      </c>
      <c r="H1173" s="86"/>
      <c r="I1173" s="86">
        <v>0</v>
      </c>
      <c r="J1173" s="86"/>
      <c r="K1173" s="86">
        <v>0</v>
      </c>
      <c r="L1173" s="86"/>
      <c r="M1173" s="86">
        <v>0</v>
      </c>
      <c r="N1173" s="86"/>
      <c r="O1173" s="86">
        <v>888</v>
      </c>
      <c r="P1173" s="86">
        <v>20392723</v>
      </c>
      <c r="Q1173" s="86">
        <v>732</v>
      </c>
      <c r="R1173" s="87">
        <f t="shared" si="324"/>
        <v>888</v>
      </c>
      <c r="T1173" s="87">
        <v>1026</v>
      </c>
      <c r="U1173" s="89"/>
      <c r="V1173" s="89">
        <v>1088</v>
      </c>
      <c r="W1173" s="90"/>
      <c r="X1173" s="90">
        <v>1220</v>
      </c>
      <c r="Y1173" s="90">
        <v>22673762.000000007</v>
      </c>
      <c r="Z1173" s="90">
        <v>2372</v>
      </c>
      <c r="AA1173" s="90">
        <v>888</v>
      </c>
      <c r="AB1173" s="89">
        <f t="shared" si="325"/>
        <v>0</v>
      </c>
      <c r="AC1173" s="89">
        <f t="shared" si="326"/>
        <v>1026</v>
      </c>
      <c r="AD1173" s="89">
        <f t="shared" si="327"/>
        <v>2372</v>
      </c>
      <c r="AE1173" s="90">
        <f t="shared" si="328"/>
        <v>0</v>
      </c>
      <c r="AF1173" s="90" t="str">
        <f t="shared" si="329"/>
        <v/>
      </c>
      <c r="AG1173" s="90">
        <f t="shared" si="330"/>
        <v>888</v>
      </c>
      <c r="AH1173" s="90">
        <f t="shared" si="331"/>
        <v>2017</v>
      </c>
      <c r="AI1173" s="90">
        <f t="shared" si="332"/>
        <v>2372</v>
      </c>
      <c r="AJ1173" s="90">
        <f t="shared" si="333"/>
        <v>2022</v>
      </c>
      <c r="AK1173" s="90" t="str">
        <f t="shared" si="334"/>
        <v/>
      </c>
      <c r="AL1173" s="91">
        <f>IF(AK1173="Adjust",(_xlfn.XLOOKUP(A1173,'Adj factor'!A:A,'Adj factor'!I:I,,0)*AI1173),'Master DataSheet'!AI1173)</f>
        <v>2372</v>
      </c>
      <c r="AM1173" s="91">
        <f t="shared" si="335"/>
        <v>2372</v>
      </c>
      <c r="AN1173" s="92" t="str">
        <f t="shared" si="336"/>
        <v>Increasing</v>
      </c>
      <c r="AS1173" s="94">
        <f t="shared" si="337"/>
        <v>0</v>
      </c>
      <c r="AT1173" s="94">
        <f t="shared" si="338"/>
        <v>0.43544944929620238</v>
      </c>
      <c r="AU1173" s="94">
        <f t="shared" si="339"/>
        <v>1.0461431146714864</v>
      </c>
    </row>
    <row r="1174" spans="1:47" x14ac:dyDescent="0.3">
      <c r="A1174" s="85" t="str">
        <f>_xlfn.XLOOKUP(B1174,'Country codes &amp; Data sources'!G:G,'Country codes &amp; Data sources'!H:H,,0)</f>
        <v>Burkina Faso</v>
      </c>
      <c r="B1174" s="85" t="s">
        <v>151</v>
      </c>
      <c r="C1174" s="85">
        <v>17113734.5</v>
      </c>
      <c r="D1174" s="85" t="s">
        <v>328</v>
      </c>
      <c r="E1174" s="86">
        <v>0</v>
      </c>
      <c r="F1174" s="86">
        <v>17636407.5</v>
      </c>
      <c r="G1174" s="86">
        <v>0</v>
      </c>
      <c r="H1174" s="86"/>
      <c r="I1174" s="86">
        <v>0</v>
      </c>
      <c r="J1174" s="86"/>
      <c r="K1174" s="86">
        <v>0</v>
      </c>
      <c r="L1174" s="86"/>
      <c r="M1174" s="86">
        <v>0</v>
      </c>
      <c r="N1174" s="86"/>
      <c r="O1174" s="86">
        <v>738</v>
      </c>
      <c r="P1174" s="86">
        <v>20392723</v>
      </c>
      <c r="Q1174" s="86">
        <v>952</v>
      </c>
      <c r="R1174" s="87">
        <f t="shared" si="324"/>
        <v>952</v>
      </c>
      <c r="T1174" s="87">
        <v>884</v>
      </c>
      <c r="U1174" s="89"/>
      <c r="V1174" s="89">
        <v>973</v>
      </c>
      <c r="W1174" s="90"/>
      <c r="X1174" s="90">
        <v>1001</v>
      </c>
      <c r="Y1174" s="90">
        <v>22673762.000000007</v>
      </c>
      <c r="Z1174" s="90">
        <v>951</v>
      </c>
      <c r="AA1174" s="90">
        <v>738</v>
      </c>
      <c r="AB1174" s="89">
        <f t="shared" si="325"/>
        <v>0</v>
      </c>
      <c r="AC1174" s="89">
        <f t="shared" si="326"/>
        <v>952</v>
      </c>
      <c r="AD1174" s="89">
        <f t="shared" si="327"/>
        <v>1001</v>
      </c>
      <c r="AE1174" s="90">
        <f t="shared" si="328"/>
        <v>0</v>
      </c>
      <c r="AF1174" s="90" t="str">
        <f t="shared" si="329"/>
        <v/>
      </c>
      <c r="AG1174" s="90">
        <f t="shared" si="330"/>
        <v>952</v>
      </c>
      <c r="AH1174" s="90">
        <f t="shared" si="331"/>
        <v>2018</v>
      </c>
      <c r="AI1174" s="90">
        <f t="shared" si="332"/>
        <v>951</v>
      </c>
      <c r="AJ1174" s="90">
        <f t="shared" si="333"/>
        <v>2022</v>
      </c>
      <c r="AK1174" s="90" t="str">
        <f t="shared" si="334"/>
        <v>Adjust</v>
      </c>
      <c r="AL1174" s="91">
        <f>IF(AK1174="Adjust",(_xlfn.XLOOKUP(A1174,'Adj factor'!A:A,'Adj factor'!I:I,,0)*AI1174),'Master DataSheet'!AI1174)</f>
        <v>976.99387949059121</v>
      </c>
      <c r="AM1174" s="91">
        <f t="shared" si="335"/>
        <v>976.99387949059121</v>
      </c>
      <c r="AN1174" s="92" t="str">
        <f t="shared" si="336"/>
        <v>Increasing</v>
      </c>
      <c r="AS1174" s="94">
        <f t="shared" si="337"/>
        <v>0</v>
      </c>
      <c r="AT1174" s="94">
        <f t="shared" si="338"/>
        <v>0.46683319338962237</v>
      </c>
      <c r="AU1174" s="94">
        <f t="shared" si="339"/>
        <v>0.43089182972397383</v>
      </c>
    </row>
    <row r="1175" spans="1:47" x14ac:dyDescent="0.3">
      <c r="A1175" s="85" t="str">
        <f>_xlfn.XLOOKUP(B1175,'Country codes &amp; Data sources'!G:G,'Country codes &amp; Data sources'!H:H,,0)</f>
        <v>Burkina Faso</v>
      </c>
      <c r="B1175" s="85" t="s">
        <v>151</v>
      </c>
      <c r="C1175" s="85">
        <v>17113735.5</v>
      </c>
      <c r="D1175" s="85" t="s">
        <v>329</v>
      </c>
      <c r="E1175" s="86">
        <v>6008</v>
      </c>
      <c r="F1175" s="86">
        <v>17636407.5</v>
      </c>
      <c r="G1175" s="86">
        <v>6196</v>
      </c>
      <c r="H1175" s="86"/>
      <c r="I1175" s="86">
        <v>6358</v>
      </c>
      <c r="J1175" s="86"/>
      <c r="K1175" s="86">
        <v>9748</v>
      </c>
      <c r="L1175" s="86"/>
      <c r="M1175" s="86">
        <v>9701</v>
      </c>
      <c r="N1175" s="86"/>
      <c r="O1175" s="86">
        <v>10376</v>
      </c>
      <c r="P1175" s="86">
        <v>20392723</v>
      </c>
      <c r="Q1175" s="86">
        <v>0</v>
      </c>
      <c r="R1175" s="87">
        <f t="shared" si="324"/>
        <v>10325</v>
      </c>
      <c r="T1175" s="87">
        <v>11364</v>
      </c>
      <c r="U1175" s="89"/>
      <c r="V1175" s="89">
        <v>11874</v>
      </c>
      <c r="W1175" s="90"/>
      <c r="X1175" s="90">
        <v>12189</v>
      </c>
      <c r="Y1175" s="90">
        <v>22673762.000000007</v>
      </c>
      <c r="Z1175" s="90">
        <v>13961</v>
      </c>
      <c r="AA1175" s="90">
        <v>10325</v>
      </c>
      <c r="AB1175" s="89">
        <f t="shared" si="325"/>
        <v>9748</v>
      </c>
      <c r="AC1175" s="89">
        <f t="shared" si="326"/>
        <v>11364</v>
      </c>
      <c r="AD1175" s="89">
        <f t="shared" si="327"/>
        <v>13961</v>
      </c>
      <c r="AE1175" s="90">
        <f t="shared" si="328"/>
        <v>6196</v>
      </c>
      <c r="AF1175" s="90">
        <f t="shared" si="329"/>
        <v>2013</v>
      </c>
      <c r="AG1175" s="90">
        <f t="shared" si="330"/>
        <v>10325</v>
      </c>
      <c r="AH1175" s="90" t="str">
        <f t="shared" si="331"/>
        <v>2018 (triag)</v>
      </c>
      <c r="AI1175" s="90">
        <f t="shared" si="332"/>
        <v>13961</v>
      </c>
      <c r="AJ1175" s="90">
        <f t="shared" si="333"/>
        <v>2022</v>
      </c>
      <c r="AK1175" s="90" t="str">
        <f t="shared" si="334"/>
        <v/>
      </c>
      <c r="AL1175" s="91">
        <f>IF(AK1175="Adjust",(_xlfn.XLOOKUP(A1175,'Adj factor'!A:A,'Adj factor'!I:I,,0)*AI1175),'Master DataSheet'!AI1175)</f>
        <v>13961</v>
      </c>
      <c r="AM1175" s="91">
        <f t="shared" si="335"/>
        <v>13961</v>
      </c>
      <c r="AN1175" s="92" t="str">
        <f t="shared" si="336"/>
        <v>Increasing</v>
      </c>
      <c r="AS1175" s="94">
        <f t="shared" si="337"/>
        <v>3.5131871385938434</v>
      </c>
      <c r="AT1175" s="94">
        <f t="shared" si="338"/>
        <v>5.0630805900712721</v>
      </c>
      <c r="AU1175" s="94">
        <f t="shared" si="339"/>
        <v>6.1573372782161142</v>
      </c>
    </row>
    <row r="1176" spans="1:47" x14ac:dyDescent="0.3">
      <c r="A1176" s="85" t="str">
        <f>_xlfn.XLOOKUP(B1176,'Country codes &amp; Data sources'!G:G,'Country codes &amp; Data sources'!H:H,,0)</f>
        <v>Burkina Faso</v>
      </c>
      <c r="B1176" s="85" t="s">
        <v>151</v>
      </c>
      <c r="C1176" s="85">
        <v>17113736.5</v>
      </c>
      <c r="D1176" s="85" t="s">
        <v>330</v>
      </c>
      <c r="E1176" s="86">
        <v>0</v>
      </c>
      <c r="F1176" s="86">
        <v>17636407.5</v>
      </c>
      <c r="G1176" s="86">
        <v>3489</v>
      </c>
      <c r="H1176" s="86"/>
      <c r="I1176" s="86">
        <v>3718</v>
      </c>
      <c r="J1176" s="86"/>
      <c r="K1176" s="86">
        <v>7096</v>
      </c>
      <c r="L1176" s="86"/>
      <c r="M1176" s="86">
        <v>7364</v>
      </c>
      <c r="N1176" s="86"/>
      <c r="O1176" s="86">
        <v>8259</v>
      </c>
      <c r="P1176" s="86">
        <v>20392723</v>
      </c>
      <c r="Q1176" s="86">
        <v>0</v>
      </c>
      <c r="R1176" s="87">
        <f t="shared" si="324"/>
        <v>8208</v>
      </c>
      <c r="T1176" s="87">
        <v>9471</v>
      </c>
      <c r="U1176" s="89"/>
      <c r="V1176" s="89">
        <v>10228</v>
      </c>
      <c r="W1176" s="90"/>
      <c r="X1176" s="90">
        <v>10703</v>
      </c>
      <c r="Y1176" s="90">
        <v>22673762.000000007</v>
      </c>
      <c r="Z1176" s="90">
        <v>13894</v>
      </c>
      <c r="AA1176" s="90">
        <v>8208</v>
      </c>
      <c r="AB1176" s="89">
        <f t="shared" si="325"/>
        <v>7096</v>
      </c>
      <c r="AC1176" s="89">
        <f t="shared" si="326"/>
        <v>9471</v>
      </c>
      <c r="AD1176" s="89">
        <f t="shared" si="327"/>
        <v>13894</v>
      </c>
      <c r="AE1176" s="90">
        <f t="shared" si="328"/>
        <v>3489</v>
      </c>
      <c r="AF1176" s="90">
        <f t="shared" si="329"/>
        <v>2013</v>
      </c>
      <c r="AG1176" s="90">
        <f t="shared" si="330"/>
        <v>8208</v>
      </c>
      <c r="AH1176" s="90" t="str">
        <f t="shared" si="331"/>
        <v>2018 (triag)</v>
      </c>
      <c r="AI1176" s="90">
        <f t="shared" si="332"/>
        <v>13894</v>
      </c>
      <c r="AJ1176" s="90">
        <f t="shared" si="333"/>
        <v>2022</v>
      </c>
      <c r="AK1176" s="90" t="str">
        <f t="shared" si="334"/>
        <v/>
      </c>
      <c r="AL1176" s="91">
        <f>IF(AK1176="Adjust",(_xlfn.XLOOKUP(A1176,'Adj factor'!A:A,'Adj factor'!I:I,,0)*AI1176),'Master DataSheet'!AI1176)</f>
        <v>13894</v>
      </c>
      <c r="AM1176" s="91">
        <f t="shared" si="335"/>
        <v>13894</v>
      </c>
      <c r="AN1176" s="92" t="str">
        <f t="shared" si="336"/>
        <v>Increasing</v>
      </c>
      <c r="AS1176" s="94">
        <f t="shared" si="337"/>
        <v>1.978294048830523</v>
      </c>
      <c r="AT1176" s="94">
        <f t="shared" si="338"/>
        <v>4.0249651799811135</v>
      </c>
      <c r="AU1176" s="94">
        <f t="shared" si="339"/>
        <v>6.1277877045723574</v>
      </c>
    </row>
    <row r="1177" spans="1:47" x14ac:dyDescent="0.3">
      <c r="A1177" s="85" t="str">
        <f>_xlfn.XLOOKUP(B1177,'Country codes &amp; Data sources'!G:G,'Country codes &amp; Data sources'!H:H,,0)</f>
        <v>Burkina Faso</v>
      </c>
      <c r="B1177" s="85" t="s">
        <v>151</v>
      </c>
      <c r="C1177" s="85">
        <v>17113737.5</v>
      </c>
      <c r="D1177" s="85" t="s">
        <v>331</v>
      </c>
      <c r="E1177" s="86">
        <v>0</v>
      </c>
      <c r="F1177" s="86">
        <v>17636407.5</v>
      </c>
      <c r="G1177" s="86">
        <v>2707</v>
      </c>
      <c r="H1177" s="86"/>
      <c r="I1177" s="86">
        <v>2640</v>
      </c>
      <c r="J1177" s="86"/>
      <c r="K1177" s="86">
        <v>2652</v>
      </c>
      <c r="L1177" s="86"/>
      <c r="M1177" s="86">
        <v>2337</v>
      </c>
      <c r="N1177" s="86"/>
      <c r="O1177" s="86">
        <v>2117</v>
      </c>
      <c r="P1177" s="86">
        <v>20392723</v>
      </c>
      <c r="Q1177" s="86">
        <v>0</v>
      </c>
      <c r="R1177" s="87">
        <f t="shared" si="324"/>
        <v>2117</v>
      </c>
      <c r="T1177" s="87">
        <v>1893</v>
      </c>
      <c r="U1177" s="89"/>
      <c r="V1177" s="89">
        <v>1646</v>
      </c>
      <c r="W1177" s="90"/>
      <c r="X1177" s="90">
        <v>1486</v>
      </c>
      <c r="Y1177" s="90">
        <v>22673762.000000007</v>
      </c>
      <c r="Z1177" s="90">
        <v>67</v>
      </c>
      <c r="AA1177" s="90">
        <v>2117</v>
      </c>
      <c r="AB1177" s="89">
        <f t="shared" si="325"/>
        <v>2707</v>
      </c>
      <c r="AC1177" s="89">
        <f t="shared" si="326"/>
        <v>2337</v>
      </c>
      <c r="AD1177" s="89">
        <f t="shared" si="327"/>
        <v>1646</v>
      </c>
      <c r="AE1177" s="90">
        <f t="shared" si="328"/>
        <v>2707</v>
      </c>
      <c r="AF1177" s="90">
        <f t="shared" si="329"/>
        <v>2013</v>
      </c>
      <c r="AG1177" s="90">
        <f t="shared" si="330"/>
        <v>2117</v>
      </c>
      <c r="AH1177" s="90">
        <f t="shared" si="331"/>
        <v>2017</v>
      </c>
      <c r="AI1177" s="90">
        <f t="shared" si="332"/>
        <v>67</v>
      </c>
      <c r="AJ1177" s="90">
        <f t="shared" si="333"/>
        <v>2022</v>
      </c>
      <c r="AK1177" s="90" t="str">
        <f t="shared" si="334"/>
        <v>Adjust</v>
      </c>
      <c r="AL1177" s="91">
        <f>IF(AK1177="Adjust",(_xlfn.XLOOKUP(A1177,'Adj factor'!A:A,'Adj factor'!I:I,,0)*AI1177),'Master DataSheet'!AI1177)</f>
        <v>68.831324843185712</v>
      </c>
      <c r="AM1177" s="91">
        <f t="shared" si="335"/>
        <v>2117</v>
      </c>
      <c r="AN1177" s="92" t="str">
        <f t="shared" si="336"/>
        <v>Decreasing</v>
      </c>
      <c r="AS1177" s="94">
        <f t="shared" si="337"/>
        <v>1.5348930897633206</v>
      </c>
      <c r="AT1177" s="94">
        <f t="shared" si="338"/>
        <v>1.0381154100901582</v>
      </c>
      <c r="AU1177" s="94">
        <f t="shared" si="339"/>
        <v>0.93367831946017577</v>
      </c>
    </row>
    <row r="1178" spans="1:47" x14ac:dyDescent="0.3">
      <c r="A1178" s="85" t="str">
        <f>_xlfn.XLOOKUP(B1178,'Country codes &amp; Data sources'!G:G,'Country codes &amp; Data sources'!H:H,,0)</f>
        <v>Burkina Faso</v>
      </c>
      <c r="B1178" s="85" t="s">
        <v>151</v>
      </c>
      <c r="C1178" s="85">
        <v>17113738.5</v>
      </c>
      <c r="D1178" s="85" t="s">
        <v>332</v>
      </c>
      <c r="E1178" s="86">
        <v>4451</v>
      </c>
      <c r="F1178" s="86">
        <v>17636407.5</v>
      </c>
      <c r="G1178" s="86">
        <v>1591</v>
      </c>
      <c r="H1178" s="86"/>
      <c r="I1178" s="86">
        <v>1744</v>
      </c>
      <c r="J1178" s="86"/>
      <c r="K1178" s="86">
        <v>2383</v>
      </c>
      <c r="L1178" s="86"/>
      <c r="M1178" s="86">
        <v>2580</v>
      </c>
      <c r="N1178" s="86"/>
      <c r="O1178" s="86">
        <v>6569</v>
      </c>
      <c r="P1178" s="86">
        <v>20392723</v>
      </c>
      <c r="Q1178" s="86">
        <v>0</v>
      </c>
      <c r="R1178" s="87">
        <f t="shared" si="324"/>
        <v>6569</v>
      </c>
      <c r="T1178" s="87">
        <v>7477</v>
      </c>
      <c r="U1178" s="89"/>
      <c r="V1178" s="89">
        <v>7804</v>
      </c>
      <c r="W1178" s="90"/>
      <c r="X1178" s="90">
        <v>8052</v>
      </c>
      <c r="Y1178" s="90">
        <v>22673762.000000007</v>
      </c>
      <c r="Z1178" s="90">
        <v>9294</v>
      </c>
      <c r="AA1178" s="90">
        <v>6569</v>
      </c>
      <c r="AB1178" s="89">
        <f t="shared" si="325"/>
        <v>4451</v>
      </c>
      <c r="AC1178" s="89">
        <f t="shared" si="326"/>
        <v>7477</v>
      </c>
      <c r="AD1178" s="89">
        <f t="shared" si="327"/>
        <v>9294</v>
      </c>
      <c r="AE1178" s="90">
        <f t="shared" si="328"/>
        <v>1591</v>
      </c>
      <c r="AF1178" s="90">
        <f t="shared" si="329"/>
        <v>2013</v>
      </c>
      <c r="AG1178" s="90">
        <f t="shared" si="330"/>
        <v>6569</v>
      </c>
      <c r="AH1178" s="90">
        <f t="shared" si="331"/>
        <v>2017</v>
      </c>
      <c r="AI1178" s="90">
        <f t="shared" si="332"/>
        <v>9294</v>
      </c>
      <c r="AJ1178" s="90">
        <f t="shared" si="333"/>
        <v>2022</v>
      </c>
      <c r="AK1178" s="90" t="str">
        <f t="shared" si="334"/>
        <v/>
      </c>
      <c r="AL1178" s="91">
        <f>IF(AK1178="Adjust",(_xlfn.XLOOKUP(A1178,'Adj factor'!A:A,'Adj factor'!I:I,,0)*AI1178),'Master DataSheet'!AI1178)</f>
        <v>9294</v>
      </c>
      <c r="AM1178" s="91">
        <f t="shared" si="335"/>
        <v>9294</v>
      </c>
      <c r="AN1178" s="92" t="str">
        <f t="shared" si="336"/>
        <v>Increasing</v>
      </c>
      <c r="AS1178" s="94">
        <f t="shared" si="337"/>
        <v>0.90211115840910339</v>
      </c>
      <c r="AT1178" s="94">
        <f t="shared" si="338"/>
        <v>3.2212471085886865</v>
      </c>
      <c r="AU1178" s="94">
        <f t="shared" si="339"/>
        <v>4.0990110066428311</v>
      </c>
    </row>
    <row r="1179" spans="1:47" x14ac:dyDescent="0.3">
      <c r="A1179" s="85" t="str">
        <f>_xlfn.XLOOKUP(B1179,'Country codes &amp; Data sources'!G:G,'Country codes &amp; Data sources'!H:H,,0)</f>
        <v>Burkina Faso</v>
      </c>
      <c r="B1179" s="85" t="s">
        <v>151</v>
      </c>
      <c r="C1179" s="85">
        <v>17113739.5</v>
      </c>
      <c r="D1179" s="85" t="s">
        <v>333</v>
      </c>
      <c r="E1179" s="86">
        <v>0</v>
      </c>
      <c r="F1179" s="86">
        <v>17636407.5</v>
      </c>
      <c r="G1179" s="86">
        <v>0</v>
      </c>
      <c r="H1179" s="86"/>
      <c r="I1179" s="86">
        <v>0</v>
      </c>
      <c r="J1179" s="86"/>
      <c r="K1179" s="86">
        <v>0</v>
      </c>
      <c r="L1179" s="86"/>
      <c r="M1179" s="86">
        <v>0</v>
      </c>
      <c r="N1179" s="86"/>
      <c r="O1179" s="86">
        <v>3583</v>
      </c>
      <c r="P1179" s="86">
        <v>20392723</v>
      </c>
      <c r="Q1179" s="86">
        <v>0</v>
      </c>
      <c r="R1179" s="87">
        <f t="shared" si="324"/>
        <v>3583</v>
      </c>
      <c r="T1179" s="87">
        <v>4420</v>
      </c>
      <c r="U1179" s="89"/>
      <c r="V1179" s="89">
        <v>4827</v>
      </c>
      <c r="W1179" s="90"/>
      <c r="X1179" s="90">
        <v>4986</v>
      </c>
      <c r="Y1179" s="90">
        <v>22673762.000000007</v>
      </c>
      <c r="Z1179" s="90">
        <v>5686</v>
      </c>
      <c r="AA1179" s="90">
        <v>3583</v>
      </c>
      <c r="AB1179" s="89">
        <f t="shared" si="325"/>
        <v>0</v>
      </c>
      <c r="AC1179" s="89">
        <f t="shared" si="326"/>
        <v>4420</v>
      </c>
      <c r="AD1179" s="89">
        <f t="shared" si="327"/>
        <v>5686</v>
      </c>
      <c r="AE1179" s="90">
        <f t="shared" si="328"/>
        <v>0</v>
      </c>
      <c r="AF1179" s="90" t="str">
        <f t="shared" si="329"/>
        <v/>
      </c>
      <c r="AG1179" s="90">
        <f t="shared" si="330"/>
        <v>3583</v>
      </c>
      <c r="AH1179" s="90">
        <f t="shared" si="331"/>
        <v>2017</v>
      </c>
      <c r="AI1179" s="90">
        <f t="shared" si="332"/>
        <v>5686</v>
      </c>
      <c r="AJ1179" s="90">
        <f t="shared" si="333"/>
        <v>2022</v>
      </c>
      <c r="AK1179" s="90" t="str">
        <f t="shared" si="334"/>
        <v/>
      </c>
      <c r="AL1179" s="91">
        <f>IF(AK1179="Adjust",(_xlfn.XLOOKUP(A1179,'Adj factor'!A:A,'Adj factor'!I:I,,0)*AI1179),'Master DataSheet'!AI1179)</f>
        <v>5686</v>
      </c>
      <c r="AM1179" s="91">
        <f t="shared" si="335"/>
        <v>5686</v>
      </c>
      <c r="AN1179" s="92" t="str">
        <f t="shared" si="336"/>
        <v>Increasing</v>
      </c>
      <c r="AS1179" s="94">
        <f t="shared" si="337"/>
        <v>0</v>
      </c>
      <c r="AT1179" s="94">
        <f t="shared" si="338"/>
        <v>1.7569992982300597</v>
      </c>
      <c r="AU1179" s="94">
        <f t="shared" si="339"/>
        <v>2.5077444140059324</v>
      </c>
    </row>
    <row r="1180" spans="1:47" x14ac:dyDescent="0.3">
      <c r="A1180" s="85" t="str">
        <f>_xlfn.XLOOKUP(B1180,'Country codes &amp; Data sources'!G:G,'Country codes &amp; Data sources'!H:H,,0)</f>
        <v>Burkina Faso</v>
      </c>
      <c r="B1180" s="85" t="s">
        <v>151</v>
      </c>
      <c r="C1180" s="85">
        <v>17113740.5</v>
      </c>
      <c r="D1180" s="85" t="s">
        <v>334</v>
      </c>
      <c r="E1180" s="86">
        <v>0</v>
      </c>
      <c r="F1180" s="86">
        <v>17636407.5</v>
      </c>
      <c r="G1180" s="86">
        <v>0</v>
      </c>
      <c r="H1180" s="86"/>
      <c r="I1180" s="86">
        <v>0</v>
      </c>
      <c r="J1180" s="86"/>
      <c r="K1180" s="86">
        <v>0</v>
      </c>
      <c r="L1180" s="86"/>
      <c r="M1180" s="86">
        <v>0</v>
      </c>
      <c r="N1180" s="86"/>
      <c r="O1180" s="86">
        <v>2986</v>
      </c>
      <c r="P1180" s="86">
        <v>20392723</v>
      </c>
      <c r="Q1180" s="86">
        <v>0</v>
      </c>
      <c r="R1180" s="87">
        <f t="shared" si="324"/>
        <v>2986</v>
      </c>
      <c r="T1180" s="87">
        <v>3057</v>
      </c>
      <c r="U1180" s="89"/>
      <c r="V1180" s="89">
        <v>2977</v>
      </c>
      <c r="W1180" s="90"/>
      <c r="X1180" s="90">
        <v>3066</v>
      </c>
      <c r="Y1180" s="90">
        <v>22673762.000000007</v>
      </c>
      <c r="Z1180" s="90">
        <v>3608</v>
      </c>
      <c r="AA1180" s="90">
        <v>2986</v>
      </c>
      <c r="AB1180" s="89">
        <f t="shared" si="325"/>
        <v>0</v>
      </c>
      <c r="AC1180" s="89">
        <f t="shared" si="326"/>
        <v>3057</v>
      </c>
      <c r="AD1180" s="89">
        <f t="shared" si="327"/>
        <v>3608</v>
      </c>
      <c r="AE1180" s="90">
        <f t="shared" si="328"/>
        <v>0</v>
      </c>
      <c r="AF1180" s="90" t="str">
        <f t="shared" si="329"/>
        <v/>
      </c>
      <c r="AG1180" s="90">
        <f t="shared" si="330"/>
        <v>2986</v>
      </c>
      <c r="AH1180" s="90">
        <f t="shared" si="331"/>
        <v>2017</v>
      </c>
      <c r="AI1180" s="90">
        <f t="shared" si="332"/>
        <v>3608</v>
      </c>
      <c r="AJ1180" s="90">
        <f t="shared" si="333"/>
        <v>2022</v>
      </c>
      <c r="AK1180" s="90" t="str">
        <f t="shared" si="334"/>
        <v/>
      </c>
      <c r="AL1180" s="91">
        <f>IF(AK1180="Adjust",(_xlfn.XLOOKUP(A1180,'Adj factor'!A:A,'Adj factor'!I:I,,0)*AI1180),'Master DataSheet'!AI1180)</f>
        <v>3608</v>
      </c>
      <c r="AM1180" s="91">
        <f t="shared" si="335"/>
        <v>3608</v>
      </c>
      <c r="AN1180" s="92" t="str">
        <f t="shared" si="336"/>
        <v>Increasing</v>
      </c>
      <c r="AS1180" s="94">
        <f t="shared" si="337"/>
        <v>0</v>
      </c>
      <c r="AT1180" s="94">
        <f t="shared" si="338"/>
        <v>1.4642478103586265</v>
      </c>
      <c r="AU1180" s="94">
        <f t="shared" si="339"/>
        <v>1.5912665926368985</v>
      </c>
    </row>
    <row r="1181" spans="1:47" x14ac:dyDescent="0.3">
      <c r="A1181" s="85" t="str">
        <f>_xlfn.XLOOKUP(B1181,'Country codes &amp; Data sources'!G:G,'Country codes &amp; Data sources'!H:H,,0)</f>
        <v>Burkina Faso</v>
      </c>
      <c r="B1181" s="85" t="s">
        <v>151</v>
      </c>
      <c r="C1181" s="85">
        <v>17113741.5</v>
      </c>
      <c r="D1181" s="85" t="s">
        <v>335</v>
      </c>
      <c r="E1181" s="86">
        <v>203</v>
      </c>
      <c r="F1181" s="86">
        <v>17636407.5</v>
      </c>
      <c r="G1181" s="86">
        <v>207</v>
      </c>
      <c r="H1181" s="86"/>
      <c r="I1181" s="86">
        <v>217</v>
      </c>
      <c r="J1181" s="86"/>
      <c r="K1181" s="86">
        <v>258</v>
      </c>
      <c r="L1181" s="86"/>
      <c r="M1181" s="86">
        <v>235</v>
      </c>
      <c r="N1181" s="86"/>
      <c r="O1181" s="86">
        <v>284</v>
      </c>
      <c r="P1181" s="86">
        <v>20392723</v>
      </c>
      <c r="Q1181" s="86">
        <v>239</v>
      </c>
      <c r="R1181" s="87">
        <f t="shared" si="324"/>
        <v>636</v>
      </c>
      <c r="T1181" s="87">
        <v>313</v>
      </c>
      <c r="U1181" s="89"/>
      <c r="V1181" s="89">
        <v>718</v>
      </c>
      <c r="W1181" s="90"/>
      <c r="X1181" s="90">
        <v>691</v>
      </c>
      <c r="Y1181" s="90">
        <v>22673762.000000007</v>
      </c>
      <c r="Z1181" s="90">
        <v>575</v>
      </c>
      <c r="AA1181" s="90">
        <v>636</v>
      </c>
      <c r="AB1181" s="89">
        <f t="shared" si="325"/>
        <v>258</v>
      </c>
      <c r="AC1181" s="89">
        <f t="shared" si="326"/>
        <v>313</v>
      </c>
      <c r="AD1181" s="89">
        <f t="shared" si="327"/>
        <v>718</v>
      </c>
      <c r="AE1181" s="90">
        <f t="shared" si="328"/>
        <v>207</v>
      </c>
      <c r="AF1181" s="90">
        <f t="shared" si="329"/>
        <v>2013</v>
      </c>
      <c r="AG1181" s="90">
        <f t="shared" si="330"/>
        <v>636</v>
      </c>
      <c r="AH1181" s="90" t="str">
        <f t="shared" si="331"/>
        <v>2018 (triag)</v>
      </c>
      <c r="AI1181" s="90">
        <f t="shared" si="332"/>
        <v>575</v>
      </c>
      <c r="AJ1181" s="90">
        <f t="shared" si="333"/>
        <v>2022</v>
      </c>
      <c r="AK1181" s="90" t="str">
        <f t="shared" si="334"/>
        <v>Adjust</v>
      </c>
      <c r="AL1181" s="91">
        <f>IF(AK1181="Adjust",(_xlfn.XLOOKUP(A1181,'Adj factor'!A:A,'Adj factor'!I:I,,0)*AI1181),'Master DataSheet'!AI1181)</f>
        <v>590.71659380345943</v>
      </c>
      <c r="AM1181" s="91">
        <f t="shared" si="335"/>
        <v>636</v>
      </c>
      <c r="AN1181" s="92" t="str">
        <f t="shared" si="336"/>
        <v>Decreasing</v>
      </c>
      <c r="AS1181" s="94">
        <f t="shared" si="337"/>
        <v>0.11737084210602414</v>
      </c>
      <c r="AT1181" s="94">
        <f t="shared" si="338"/>
        <v>0.31187595692836118</v>
      </c>
      <c r="AU1181" s="94">
        <f t="shared" si="339"/>
        <v>0.28050043040938677</v>
      </c>
    </row>
    <row r="1182" spans="1:47" x14ac:dyDescent="0.3">
      <c r="A1182" s="85" t="str">
        <f>_xlfn.XLOOKUP(B1182,'Country codes &amp; Data sources'!G:G,'Country codes &amp; Data sources'!H:H,,0)</f>
        <v>Burkina Faso</v>
      </c>
      <c r="B1182" s="85" t="s">
        <v>151</v>
      </c>
      <c r="C1182" s="85">
        <v>17113742.5</v>
      </c>
      <c r="D1182" s="85" t="s">
        <v>336</v>
      </c>
      <c r="E1182" s="86">
        <v>148</v>
      </c>
      <c r="F1182" s="86">
        <v>17636407.5</v>
      </c>
      <c r="G1182" s="86">
        <v>0</v>
      </c>
      <c r="H1182" s="86"/>
      <c r="I1182" s="86">
        <v>0</v>
      </c>
      <c r="J1182" s="86"/>
      <c r="K1182" s="86">
        <v>0</v>
      </c>
      <c r="L1182" s="86"/>
      <c r="M1182" s="86">
        <v>0</v>
      </c>
      <c r="N1182" s="86"/>
      <c r="O1182" s="86">
        <v>156</v>
      </c>
      <c r="P1182" s="86">
        <v>20392723</v>
      </c>
      <c r="Q1182" s="86">
        <v>0</v>
      </c>
      <c r="R1182" s="87">
        <f t="shared" si="324"/>
        <v>156</v>
      </c>
      <c r="T1182" s="87">
        <v>192</v>
      </c>
      <c r="U1182" s="89"/>
      <c r="V1182" s="89">
        <v>203</v>
      </c>
      <c r="W1182" s="90"/>
      <c r="X1182" s="90">
        <v>203</v>
      </c>
      <c r="Y1182" s="90">
        <v>22673762.000000007</v>
      </c>
      <c r="Z1182" s="90">
        <v>210</v>
      </c>
      <c r="AA1182" s="90">
        <v>156</v>
      </c>
      <c r="AB1182" s="89">
        <f t="shared" si="325"/>
        <v>148</v>
      </c>
      <c r="AC1182" s="89">
        <f t="shared" si="326"/>
        <v>192</v>
      </c>
      <c r="AD1182" s="89">
        <f t="shared" si="327"/>
        <v>210</v>
      </c>
      <c r="AE1182" s="90">
        <f t="shared" si="328"/>
        <v>148</v>
      </c>
      <c r="AF1182" s="90">
        <f t="shared" si="329"/>
        <v>2012</v>
      </c>
      <c r="AG1182" s="90">
        <f t="shared" si="330"/>
        <v>156</v>
      </c>
      <c r="AH1182" s="90">
        <f t="shared" si="331"/>
        <v>2017</v>
      </c>
      <c r="AI1182" s="90">
        <f t="shared" si="332"/>
        <v>210</v>
      </c>
      <c r="AJ1182" s="90">
        <f t="shared" si="333"/>
        <v>2022</v>
      </c>
      <c r="AK1182" s="90" t="str">
        <f t="shared" si="334"/>
        <v/>
      </c>
      <c r="AL1182" s="91">
        <f>IF(AK1182="Adjust",(_xlfn.XLOOKUP(A1182,'Adj factor'!A:A,'Adj factor'!I:I,,0)*AI1182),'Master DataSheet'!AI1182)</f>
        <v>210</v>
      </c>
      <c r="AM1182" s="91">
        <f t="shared" si="335"/>
        <v>210</v>
      </c>
      <c r="AN1182" s="92" t="str">
        <f t="shared" si="336"/>
        <v>Increasing</v>
      </c>
      <c r="AS1182" s="94">
        <f t="shared" si="337"/>
        <v>8.3917317061311947E-2</v>
      </c>
      <c r="AT1182" s="94">
        <f t="shared" si="338"/>
        <v>7.6497876227711231E-2</v>
      </c>
      <c r="AU1182" s="94">
        <f t="shared" si="339"/>
        <v>9.2618066644608837E-2</v>
      </c>
    </row>
    <row r="1183" spans="1:47" x14ac:dyDescent="0.3">
      <c r="A1183" s="85" t="str">
        <f>_xlfn.XLOOKUP(B1183,'Country codes &amp; Data sources'!G:G,'Country codes &amp; Data sources'!H:H,,0)</f>
        <v>Burkina Faso</v>
      </c>
      <c r="B1183" s="85" t="s">
        <v>151</v>
      </c>
      <c r="C1183" s="85">
        <v>17113743.5</v>
      </c>
      <c r="D1183" s="85" t="s">
        <v>337</v>
      </c>
      <c r="E1183" s="86">
        <v>38</v>
      </c>
      <c r="F1183" s="86">
        <v>17636407.5</v>
      </c>
      <c r="G1183" s="86">
        <v>0</v>
      </c>
      <c r="H1183" s="86"/>
      <c r="I1183" s="86">
        <v>0</v>
      </c>
      <c r="J1183" s="86"/>
      <c r="K1183" s="86">
        <v>0</v>
      </c>
      <c r="L1183" s="86"/>
      <c r="M1183" s="86">
        <v>0</v>
      </c>
      <c r="N1183" s="86"/>
      <c r="O1183" s="86">
        <v>80</v>
      </c>
      <c r="P1183" s="86">
        <v>20392723</v>
      </c>
      <c r="Q1183" s="86">
        <v>91</v>
      </c>
      <c r="R1183" s="87">
        <f t="shared" si="324"/>
        <v>91</v>
      </c>
      <c r="T1183" s="87">
        <v>52</v>
      </c>
      <c r="U1183" s="89"/>
      <c r="V1183" s="89">
        <v>103</v>
      </c>
      <c r="W1183" s="90"/>
      <c r="X1183" s="90">
        <v>107</v>
      </c>
      <c r="Y1183" s="90">
        <v>22673762.000000007</v>
      </c>
      <c r="Z1183" s="90">
        <v>39</v>
      </c>
      <c r="AA1183" s="90">
        <v>80</v>
      </c>
      <c r="AB1183" s="89">
        <f t="shared" si="325"/>
        <v>38</v>
      </c>
      <c r="AC1183" s="89">
        <f t="shared" si="326"/>
        <v>91</v>
      </c>
      <c r="AD1183" s="89">
        <f t="shared" si="327"/>
        <v>107</v>
      </c>
      <c r="AE1183" s="90">
        <f t="shared" si="328"/>
        <v>38</v>
      </c>
      <c r="AF1183" s="90">
        <f t="shared" si="329"/>
        <v>2012</v>
      </c>
      <c r="AG1183" s="90">
        <f t="shared" si="330"/>
        <v>91</v>
      </c>
      <c r="AH1183" s="90">
        <f t="shared" si="331"/>
        <v>2018</v>
      </c>
      <c r="AI1183" s="90">
        <f t="shared" si="332"/>
        <v>39</v>
      </c>
      <c r="AJ1183" s="90">
        <f t="shared" si="333"/>
        <v>2022</v>
      </c>
      <c r="AK1183" s="90" t="str">
        <f t="shared" si="334"/>
        <v>Adjust</v>
      </c>
      <c r="AL1183" s="91">
        <f>IF(AK1183="Adjust",(_xlfn.XLOOKUP(A1183,'Adj factor'!A:A,'Adj factor'!I:I,,0)*AI1183),'Master DataSheet'!AI1183)</f>
        <v>40.065995057973772</v>
      </c>
      <c r="AM1183" s="91">
        <f t="shared" si="335"/>
        <v>91</v>
      </c>
      <c r="AN1183" s="92" t="str">
        <f t="shared" si="336"/>
        <v>Decreasing</v>
      </c>
      <c r="AS1183" s="94">
        <f t="shared" si="337"/>
        <v>2.1546338164390905E-2</v>
      </c>
      <c r="AT1183" s="94">
        <f t="shared" si="338"/>
        <v>4.4623761132831549E-2</v>
      </c>
      <c r="AU1183" s="94">
        <f t="shared" si="339"/>
        <v>4.0134495545997163E-2</v>
      </c>
    </row>
    <row r="1184" spans="1:47" x14ac:dyDescent="0.3">
      <c r="A1184" s="85" t="str">
        <f>_xlfn.XLOOKUP(B1184,'Country codes &amp; Data sources'!G:G,'Country codes &amp; Data sources'!H:H,,0)</f>
        <v>Burkina Faso</v>
      </c>
      <c r="B1184" s="85" t="s">
        <v>151</v>
      </c>
      <c r="C1184" s="85">
        <v>17113744.5</v>
      </c>
      <c r="D1184" s="85" t="s">
        <v>338</v>
      </c>
      <c r="E1184" s="86">
        <v>0</v>
      </c>
      <c r="F1184" s="86">
        <v>17636407.5</v>
      </c>
      <c r="G1184" s="86">
        <v>0</v>
      </c>
      <c r="H1184" s="86"/>
      <c r="I1184" s="86">
        <v>0</v>
      </c>
      <c r="J1184" s="86"/>
      <c r="K1184" s="86">
        <v>0</v>
      </c>
      <c r="L1184" s="86"/>
      <c r="M1184" s="86">
        <v>0</v>
      </c>
      <c r="N1184" s="86"/>
      <c r="O1184" s="86">
        <v>0</v>
      </c>
      <c r="P1184" s="86">
        <v>20392723</v>
      </c>
      <c r="Q1184" s="86">
        <v>185</v>
      </c>
      <c r="R1184" s="87">
        <f t="shared" si="324"/>
        <v>185</v>
      </c>
      <c r="T1184" s="87">
        <v>143</v>
      </c>
      <c r="U1184" s="89"/>
      <c r="V1184" s="89">
        <v>172</v>
      </c>
      <c r="W1184" s="90"/>
      <c r="X1184" s="90">
        <v>168</v>
      </c>
      <c r="Y1184" s="90">
        <v>22673762.000000007</v>
      </c>
      <c r="Z1184" s="90">
        <v>0</v>
      </c>
      <c r="AA1184" s="90">
        <v>0</v>
      </c>
      <c r="AB1184" s="89">
        <f t="shared" si="325"/>
        <v>0</v>
      </c>
      <c r="AC1184" s="89">
        <f t="shared" si="326"/>
        <v>185</v>
      </c>
      <c r="AD1184" s="89">
        <f t="shared" si="327"/>
        <v>172</v>
      </c>
      <c r="AE1184" s="90">
        <f t="shared" si="328"/>
        <v>0</v>
      </c>
      <c r="AF1184" s="90" t="str">
        <f t="shared" si="329"/>
        <v/>
      </c>
      <c r="AG1184" s="90">
        <f t="shared" si="330"/>
        <v>185</v>
      </c>
      <c r="AH1184" s="90">
        <f t="shared" si="331"/>
        <v>2018</v>
      </c>
      <c r="AI1184" s="90">
        <f t="shared" si="332"/>
        <v>168</v>
      </c>
      <c r="AJ1184" s="90">
        <f t="shared" si="333"/>
        <v>2021</v>
      </c>
      <c r="AK1184" s="90" t="str">
        <f t="shared" si="334"/>
        <v>Adjust</v>
      </c>
      <c r="AL1184" s="91">
        <f>IF(AK1184="Adjust",(_xlfn.XLOOKUP(A1184,'Adj factor'!A:A,'Adj factor'!I:I,,0)*AI1184),'Master DataSheet'!AI1184)</f>
        <v>172.59197871127162</v>
      </c>
      <c r="AM1184" s="91">
        <f t="shared" si="335"/>
        <v>185</v>
      </c>
      <c r="AN1184" s="92" t="str">
        <f t="shared" si="336"/>
        <v>Decreasing</v>
      </c>
      <c r="AS1184" s="94">
        <f t="shared" si="337"/>
        <v>0</v>
      </c>
      <c r="AT1184" s="94">
        <f t="shared" si="338"/>
        <v>9.0718635270042161E-2</v>
      </c>
      <c r="AU1184" s="94">
        <f t="shared" si="339"/>
        <v>8.1592106329774455E-2</v>
      </c>
    </row>
    <row r="1185" spans="1:47" x14ac:dyDescent="0.3">
      <c r="A1185" s="85" t="str">
        <f>_xlfn.XLOOKUP(B1185,'Country codes &amp; Data sources'!G:G,'Country codes &amp; Data sources'!H:H,,0)</f>
        <v>Burkina Faso</v>
      </c>
      <c r="B1185" s="85" t="s">
        <v>151</v>
      </c>
      <c r="C1185" s="85">
        <v>17113745.5</v>
      </c>
      <c r="D1185" s="85" t="s">
        <v>339</v>
      </c>
      <c r="E1185" s="86">
        <v>0</v>
      </c>
      <c r="F1185" s="86">
        <v>17636407.5</v>
      </c>
      <c r="G1185" s="86">
        <v>0</v>
      </c>
      <c r="H1185" s="86"/>
      <c r="I1185" s="86">
        <v>0</v>
      </c>
      <c r="J1185" s="86"/>
      <c r="K1185" s="86">
        <v>0</v>
      </c>
      <c r="L1185" s="86"/>
      <c r="M1185" s="86">
        <v>0</v>
      </c>
      <c r="N1185" s="86"/>
      <c r="O1185" s="86">
        <v>0</v>
      </c>
      <c r="P1185" s="86">
        <v>20392723</v>
      </c>
      <c r="Q1185" s="86">
        <v>0</v>
      </c>
      <c r="R1185" s="87">
        <f t="shared" si="324"/>
        <v>0</v>
      </c>
      <c r="T1185" s="87">
        <v>8</v>
      </c>
      <c r="U1185" s="89"/>
      <c r="V1185" s="89">
        <v>8</v>
      </c>
      <c r="W1185" s="90"/>
      <c r="X1185" s="90">
        <v>8</v>
      </c>
      <c r="Y1185" s="90">
        <v>22673762.000000007</v>
      </c>
      <c r="Z1185" s="90">
        <v>9</v>
      </c>
      <c r="AA1185" s="90">
        <v>0</v>
      </c>
      <c r="AB1185" s="89">
        <f t="shared" si="325"/>
        <v>0</v>
      </c>
      <c r="AC1185" s="89">
        <f t="shared" si="326"/>
        <v>8</v>
      </c>
      <c r="AD1185" s="89">
        <f t="shared" si="327"/>
        <v>9</v>
      </c>
      <c r="AE1185" s="90">
        <f t="shared" si="328"/>
        <v>0</v>
      </c>
      <c r="AF1185" s="90" t="str">
        <f t="shared" si="329"/>
        <v/>
      </c>
      <c r="AG1185" s="90">
        <f t="shared" si="330"/>
        <v>8</v>
      </c>
      <c r="AH1185" s="90">
        <f t="shared" si="331"/>
        <v>2019</v>
      </c>
      <c r="AI1185" s="90">
        <f t="shared" si="332"/>
        <v>9</v>
      </c>
      <c r="AJ1185" s="90">
        <f t="shared" si="333"/>
        <v>2022</v>
      </c>
      <c r="AK1185" s="90" t="str">
        <f t="shared" si="334"/>
        <v/>
      </c>
      <c r="AL1185" s="91">
        <f>IF(AK1185="Adjust",(_xlfn.XLOOKUP(A1185,'Adj factor'!A:A,'Adj factor'!I:I,,0)*AI1185),'Master DataSheet'!AI1185)</f>
        <v>9</v>
      </c>
      <c r="AM1185" s="91">
        <f t="shared" si="335"/>
        <v>9</v>
      </c>
      <c r="AN1185" s="92" t="str">
        <f t="shared" si="336"/>
        <v>Increasing</v>
      </c>
      <c r="AS1185" s="94">
        <f t="shared" si="337"/>
        <v>0</v>
      </c>
      <c r="AT1185" s="94">
        <f t="shared" si="338"/>
        <v>3.922968011677499E-3</v>
      </c>
      <c r="AU1185" s="94">
        <f t="shared" si="339"/>
        <v>3.9693457133403789E-3</v>
      </c>
    </row>
    <row r="1186" spans="1:47" x14ac:dyDescent="0.3">
      <c r="A1186" s="85" t="str">
        <f>_xlfn.XLOOKUP(B1186,'Country codes &amp; Data sources'!G:G,'Country codes &amp; Data sources'!H:H,,0)</f>
        <v>Botswana</v>
      </c>
      <c r="B1186" s="85" t="s">
        <v>164</v>
      </c>
      <c r="C1186" s="85">
        <v>2175425.5000000005</v>
      </c>
      <c r="D1186" s="85" t="s">
        <v>326</v>
      </c>
      <c r="E1186" s="86">
        <v>819</v>
      </c>
      <c r="F1186" s="86">
        <v>2217278.0000000009</v>
      </c>
      <c r="G1186" s="86">
        <v>0</v>
      </c>
      <c r="H1186" s="86">
        <v>2260375.5000000019</v>
      </c>
      <c r="I1186" s="86">
        <v>0</v>
      </c>
      <c r="J1186" s="86">
        <v>2305171.5000000005</v>
      </c>
      <c r="K1186" s="86">
        <v>0</v>
      </c>
      <c r="L1186" s="86">
        <v>2352415.5000000005</v>
      </c>
      <c r="M1186" s="86">
        <v>830</v>
      </c>
      <c r="N1186" s="86">
        <v>2401839.9999999986</v>
      </c>
      <c r="O1186" s="86">
        <v>0</v>
      </c>
      <c r="P1186" s="86">
        <v>2451408.4999999995</v>
      </c>
      <c r="Q1186" s="86">
        <v>925</v>
      </c>
      <c r="R1186" s="87">
        <f t="shared" si="324"/>
        <v>925</v>
      </c>
      <c r="S1186" s="87">
        <v>2499701.5</v>
      </c>
      <c r="T1186" s="87">
        <v>920</v>
      </c>
      <c r="U1186" s="89">
        <v>2546401.9999999986</v>
      </c>
      <c r="V1186" s="89">
        <v>1024</v>
      </c>
      <c r="W1186" s="90">
        <v>2588422.9999999981</v>
      </c>
      <c r="X1186" s="90">
        <v>1014</v>
      </c>
      <c r="Y1186" s="90">
        <v>2630296.0000000019</v>
      </c>
      <c r="Z1186" s="90">
        <v>992</v>
      </c>
      <c r="AA1186" s="90">
        <v>853</v>
      </c>
      <c r="AB1186" s="89">
        <f t="shared" si="325"/>
        <v>819</v>
      </c>
      <c r="AC1186" s="89">
        <f t="shared" si="326"/>
        <v>925</v>
      </c>
      <c r="AD1186" s="89">
        <f t="shared" si="327"/>
        <v>1024</v>
      </c>
      <c r="AE1186" s="90">
        <f t="shared" si="328"/>
        <v>819</v>
      </c>
      <c r="AF1186" s="90">
        <f t="shared" si="329"/>
        <v>2012</v>
      </c>
      <c r="AG1186" s="90">
        <f t="shared" si="330"/>
        <v>925</v>
      </c>
      <c r="AH1186" s="90">
        <f t="shared" si="331"/>
        <v>2018</v>
      </c>
      <c r="AI1186" s="90">
        <f t="shared" si="332"/>
        <v>992</v>
      </c>
      <c r="AJ1186" s="90">
        <f t="shared" si="333"/>
        <v>2022</v>
      </c>
      <c r="AK1186" s="90" t="str">
        <f t="shared" si="334"/>
        <v/>
      </c>
      <c r="AL1186" s="91">
        <f>IF(AK1186="Adjust",(_xlfn.XLOOKUP(A1186,'Adj factor'!A:A,'Adj factor'!I:I,,0)*AI1186),'Master DataSheet'!AI1186)</f>
        <v>992</v>
      </c>
      <c r="AM1186" s="91">
        <f t="shared" si="335"/>
        <v>992</v>
      </c>
      <c r="AN1186" s="92" t="str">
        <f t="shared" si="336"/>
        <v>Increasing</v>
      </c>
      <c r="AS1186" s="94">
        <f t="shared" si="337"/>
        <v>3.6937181535197645</v>
      </c>
      <c r="AT1186" s="94">
        <f t="shared" si="338"/>
        <v>3.77334091808852</v>
      </c>
      <c r="AU1186" s="94">
        <f t="shared" si="339"/>
        <v>3.7714386517715091</v>
      </c>
    </row>
    <row r="1187" spans="1:47" x14ac:dyDescent="0.3">
      <c r="A1187" s="85" t="str">
        <f>_xlfn.XLOOKUP(B1187,'Country codes &amp; Data sources'!G:G,'Country codes &amp; Data sources'!H:H,,0)</f>
        <v>Botswana</v>
      </c>
      <c r="B1187" s="85" t="s">
        <v>164</v>
      </c>
      <c r="C1187" s="85">
        <v>2175426.5</v>
      </c>
      <c r="D1187" s="85" t="s">
        <v>327</v>
      </c>
      <c r="E1187" s="86">
        <v>0</v>
      </c>
      <c r="F1187" s="86">
        <v>2217278.0000000009</v>
      </c>
      <c r="G1187" s="86">
        <v>0</v>
      </c>
      <c r="H1187" s="86"/>
      <c r="I1187" s="86">
        <v>0</v>
      </c>
      <c r="J1187" s="86"/>
      <c r="K1187" s="86">
        <v>0</v>
      </c>
      <c r="L1187" s="86"/>
      <c r="M1187" s="86">
        <v>0</v>
      </c>
      <c r="N1187" s="86"/>
      <c r="O1187" s="86">
        <v>0</v>
      </c>
      <c r="P1187" s="86">
        <v>2451408.4999999995</v>
      </c>
      <c r="Q1187" s="86">
        <v>807</v>
      </c>
      <c r="R1187" s="87">
        <f t="shared" si="324"/>
        <v>815</v>
      </c>
      <c r="T1187" s="87">
        <v>813</v>
      </c>
      <c r="U1187" s="89"/>
      <c r="V1187" s="89">
        <v>902</v>
      </c>
      <c r="W1187" s="90"/>
      <c r="X1187" s="90">
        <v>900</v>
      </c>
      <c r="Y1187" s="90">
        <v>2630296.0000000019</v>
      </c>
      <c r="Z1187" s="90">
        <v>898</v>
      </c>
      <c r="AA1187" s="90">
        <v>815</v>
      </c>
      <c r="AB1187" s="89">
        <f t="shared" si="325"/>
        <v>0</v>
      </c>
      <c r="AC1187" s="89">
        <f t="shared" si="326"/>
        <v>813</v>
      </c>
      <c r="AD1187" s="89">
        <f t="shared" si="327"/>
        <v>902</v>
      </c>
      <c r="AE1187" s="90">
        <f t="shared" si="328"/>
        <v>0</v>
      </c>
      <c r="AF1187" s="90" t="str">
        <f t="shared" si="329"/>
        <v/>
      </c>
      <c r="AG1187" s="90">
        <f t="shared" si="330"/>
        <v>815</v>
      </c>
      <c r="AH1187" s="90" t="str">
        <f t="shared" si="331"/>
        <v>2018 (triag)</v>
      </c>
      <c r="AI1187" s="90">
        <f t="shared" si="332"/>
        <v>898</v>
      </c>
      <c r="AJ1187" s="90">
        <f t="shared" si="333"/>
        <v>2022</v>
      </c>
      <c r="AK1187" s="90" t="str">
        <f t="shared" si="334"/>
        <v/>
      </c>
      <c r="AL1187" s="91">
        <f>IF(AK1187="Adjust",(_xlfn.XLOOKUP(A1187,'Adj factor'!A:A,'Adj factor'!I:I,,0)*AI1187),'Master DataSheet'!AI1187)</f>
        <v>898</v>
      </c>
      <c r="AM1187" s="91">
        <f t="shared" si="335"/>
        <v>898</v>
      </c>
      <c r="AN1187" s="92" t="str">
        <f t="shared" si="336"/>
        <v>Increasing</v>
      </c>
      <c r="AS1187" s="94">
        <f t="shared" si="337"/>
        <v>0</v>
      </c>
      <c r="AT1187" s="94">
        <f t="shared" si="338"/>
        <v>3.324619295396912</v>
      </c>
      <c r="AU1187" s="94">
        <f t="shared" si="339"/>
        <v>3.4140644246883216</v>
      </c>
    </row>
    <row r="1188" spans="1:47" x14ac:dyDescent="0.3">
      <c r="A1188" s="85" t="str">
        <f>_xlfn.XLOOKUP(B1188,'Country codes &amp; Data sources'!G:G,'Country codes &amp; Data sources'!H:H,,0)</f>
        <v>Botswana</v>
      </c>
      <c r="B1188" s="85" t="s">
        <v>164</v>
      </c>
      <c r="C1188" s="85">
        <v>2175427.5</v>
      </c>
      <c r="D1188" s="85" t="s">
        <v>328</v>
      </c>
      <c r="E1188" s="86">
        <v>0</v>
      </c>
      <c r="F1188" s="86">
        <v>2217278.0000000009</v>
      </c>
      <c r="G1188" s="86">
        <v>0</v>
      </c>
      <c r="H1188" s="86"/>
      <c r="I1188" s="86">
        <v>0</v>
      </c>
      <c r="J1188" s="86"/>
      <c r="K1188" s="86">
        <v>0</v>
      </c>
      <c r="L1188" s="86"/>
      <c r="M1188" s="86">
        <v>0</v>
      </c>
      <c r="N1188" s="86"/>
      <c r="O1188" s="86">
        <v>0</v>
      </c>
      <c r="P1188" s="86">
        <v>2451408.4999999995</v>
      </c>
      <c r="Q1188" s="86">
        <v>118</v>
      </c>
      <c r="R1188" s="87">
        <f t="shared" si="324"/>
        <v>118</v>
      </c>
      <c r="T1188" s="87">
        <v>107</v>
      </c>
      <c r="U1188" s="89"/>
      <c r="V1188" s="89">
        <v>122</v>
      </c>
      <c r="W1188" s="90"/>
      <c r="X1188" s="90">
        <v>114</v>
      </c>
      <c r="Y1188" s="90">
        <v>2630296.0000000019</v>
      </c>
      <c r="Z1188" s="90">
        <v>94</v>
      </c>
      <c r="AA1188" s="90">
        <v>38</v>
      </c>
      <c r="AB1188" s="89">
        <f t="shared" si="325"/>
        <v>0</v>
      </c>
      <c r="AC1188" s="89">
        <f t="shared" si="326"/>
        <v>118</v>
      </c>
      <c r="AD1188" s="89">
        <f t="shared" si="327"/>
        <v>122</v>
      </c>
      <c r="AE1188" s="90">
        <f t="shared" si="328"/>
        <v>0</v>
      </c>
      <c r="AF1188" s="90" t="str">
        <f t="shared" si="329"/>
        <v/>
      </c>
      <c r="AG1188" s="90">
        <f t="shared" si="330"/>
        <v>118</v>
      </c>
      <c r="AH1188" s="90">
        <f t="shared" si="331"/>
        <v>2018</v>
      </c>
      <c r="AI1188" s="90">
        <f t="shared" si="332"/>
        <v>94</v>
      </c>
      <c r="AJ1188" s="90">
        <f t="shared" si="333"/>
        <v>2022</v>
      </c>
      <c r="AK1188" s="90" t="str">
        <f t="shared" si="334"/>
        <v>Adjust</v>
      </c>
      <c r="AL1188" s="91">
        <f>IF(AK1188="Adjust",(_xlfn.XLOOKUP(A1188,'Adj factor'!A:A,'Adj factor'!I:I,,0)*AI1188),'Master DataSheet'!AI1188)</f>
        <v>108.03407256611902</v>
      </c>
      <c r="AM1188" s="91">
        <f t="shared" si="335"/>
        <v>118</v>
      </c>
      <c r="AN1188" s="92" t="str">
        <f t="shared" si="336"/>
        <v>Decreasing</v>
      </c>
      <c r="AS1188" s="94">
        <f t="shared" si="337"/>
        <v>0</v>
      </c>
      <c r="AT1188" s="94">
        <f t="shared" si="338"/>
        <v>0.48135592252372472</v>
      </c>
      <c r="AU1188" s="94">
        <f t="shared" si="339"/>
        <v>0.44861871059378838</v>
      </c>
    </row>
    <row r="1189" spans="1:47" x14ac:dyDescent="0.3">
      <c r="A1189" s="85" t="str">
        <f>_xlfn.XLOOKUP(B1189,'Country codes &amp; Data sources'!G:G,'Country codes &amp; Data sources'!H:H,,0)</f>
        <v>Botswana</v>
      </c>
      <c r="B1189" s="85" t="s">
        <v>164</v>
      </c>
      <c r="C1189" s="85">
        <v>2175428.5</v>
      </c>
      <c r="D1189" s="85" t="s">
        <v>329</v>
      </c>
      <c r="E1189" s="86">
        <v>5816</v>
      </c>
      <c r="F1189" s="86">
        <v>2217278.0000000009</v>
      </c>
      <c r="G1189" s="86">
        <v>0</v>
      </c>
      <c r="H1189" s="86"/>
      <c r="I1189" s="86">
        <v>0</v>
      </c>
      <c r="J1189" s="86"/>
      <c r="K1189" s="86">
        <v>0</v>
      </c>
      <c r="L1189" s="86"/>
      <c r="M1189" s="86">
        <v>7427</v>
      </c>
      <c r="N1189" s="86"/>
      <c r="O1189" s="86">
        <v>0</v>
      </c>
      <c r="P1189" s="86">
        <v>2451408.4999999995</v>
      </c>
      <c r="Q1189" s="86">
        <v>7645</v>
      </c>
      <c r="R1189" s="87">
        <f t="shared" si="324"/>
        <v>7645</v>
      </c>
      <c r="T1189" s="87">
        <v>7763</v>
      </c>
      <c r="U1189" s="89"/>
      <c r="V1189" s="89">
        <v>7771</v>
      </c>
      <c r="W1189" s="90"/>
      <c r="X1189" s="90">
        <v>7886</v>
      </c>
      <c r="Y1189" s="90">
        <v>2630296.0000000019</v>
      </c>
      <c r="Z1189" s="90">
        <v>8028</v>
      </c>
      <c r="AA1189" s="90">
        <v>6935</v>
      </c>
      <c r="AB1189" s="89">
        <f t="shared" si="325"/>
        <v>5816</v>
      </c>
      <c r="AC1189" s="89">
        <f t="shared" si="326"/>
        <v>7763</v>
      </c>
      <c r="AD1189" s="89">
        <f t="shared" si="327"/>
        <v>8028</v>
      </c>
      <c r="AE1189" s="90">
        <f t="shared" si="328"/>
        <v>5816</v>
      </c>
      <c r="AF1189" s="90">
        <f t="shared" si="329"/>
        <v>2012</v>
      </c>
      <c r="AG1189" s="90">
        <f t="shared" si="330"/>
        <v>7645</v>
      </c>
      <c r="AH1189" s="90">
        <f t="shared" si="331"/>
        <v>2018</v>
      </c>
      <c r="AI1189" s="90">
        <f t="shared" si="332"/>
        <v>8028</v>
      </c>
      <c r="AJ1189" s="90">
        <f t="shared" si="333"/>
        <v>2022</v>
      </c>
      <c r="AK1189" s="90" t="str">
        <f t="shared" si="334"/>
        <v/>
      </c>
      <c r="AL1189" s="91">
        <f>IF(AK1189="Adjust",(_xlfn.XLOOKUP(A1189,'Adj factor'!A:A,'Adj factor'!I:I,,0)*AI1189),'Master DataSheet'!AI1189)</f>
        <v>8028</v>
      </c>
      <c r="AM1189" s="91">
        <f t="shared" si="335"/>
        <v>8028</v>
      </c>
      <c r="AN1189" s="92" t="str">
        <f t="shared" si="336"/>
        <v>Increasing</v>
      </c>
      <c r="AS1189" s="94">
        <f t="shared" si="337"/>
        <v>26.230359927803359</v>
      </c>
      <c r="AT1189" s="94">
        <f t="shared" si="338"/>
        <v>31.186152777066741</v>
      </c>
      <c r="AU1189" s="94">
        <f t="shared" si="339"/>
        <v>30.521279734296041</v>
      </c>
    </row>
    <row r="1190" spans="1:47" x14ac:dyDescent="0.3">
      <c r="A1190" s="85" t="str">
        <f>_xlfn.XLOOKUP(B1190,'Country codes &amp; Data sources'!G:G,'Country codes &amp; Data sources'!H:H,,0)</f>
        <v>Botswana</v>
      </c>
      <c r="B1190" s="85" t="s">
        <v>164</v>
      </c>
      <c r="C1190" s="85">
        <v>2175429.5</v>
      </c>
      <c r="D1190" s="85" t="s">
        <v>330</v>
      </c>
      <c r="E1190" s="86">
        <v>0</v>
      </c>
      <c r="F1190" s="86">
        <v>2217278.0000000009</v>
      </c>
      <c r="G1190" s="86">
        <v>0</v>
      </c>
      <c r="H1190" s="86"/>
      <c r="I1190" s="86">
        <v>0</v>
      </c>
      <c r="J1190" s="86"/>
      <c r="K1190" s="86">
        <v>0</v>
      </c>
      <c r="L1190" s="86"/>
      <c r="M1190" s="86">
        <v>0</v>
      </c>
      <c r="N1190" s="86"/>
      <c r="O1190" s="86">
        <v>0</v>
      </c>
      <c r="P1190" s="86">
        <v>2451408.4999999995</v>
      </c>
      <c r="Q1190" s="86">
        <v>7645</v>
      </c>
      <c r="R1190" s="87">
        <f t="shared" si="324"/>
        <v>7645</v>
      </c>
      <c r="T1190" s="87">
        <v>7763</v>
      </c>
      <c r="U1190" s="89"/>
      <c r="V1190" s="89">
        <v>7771</v>
      </c>
      <c r="W1190" s="90"/>
      <c r="X1190" s="90">
        <v>7886</v>
      </c>
      <c r="Y1190" s="90">
        <v>2630296.0000000019</v>
      </c>
      <c r="Z1190" s="90">
        <v>8028</v>
      </c>
      <c r="AA1190" s="90">
        <v>6935</v>
      </c>
      <c r="AB1190" s="89">
        <f t="shared" si="325"/>
        <v>0</v>
      </c>
      <c r="AC1190" s="89">
        <f t="shared" si="326"/>
        <v>7763</v>
      </c>
      <c r="AD1190" s="89">
        <f t="shared" si="327"/>
        <v>8028</v>
      </c>
      <c r="AE1190" s="90">
        <f t="shared" si="328"/>
        <v>0</v>
      </c>
      <c r="AF1190" s="90" t="str">
        <f t="shared" si="329"/>
        <v/>
      </c>
      <c r="AG1190" s="90">
        <f t="shared" si="330"/>
        <v>7645</v>
      </c>
      <c r="AH1190" s="90">
        <f t="shared" si="331"/>
        <v>2018</v>
      </c>
      <c r="AI1190" s="90">
        <f t="shared" si="332"/>
        <v>8028</v>
      </c>
      <c r="AJ1190" s="90">
        <f t="shared" si="333"/>
        <v>2022</v>
      </c>
      <c r="AK1190" s="90" t="str">
        <f t="shared" si="334"/>
        <v/>
      </c>
      <c r="AL1190" s="91">
        <f>IF(AK1190="Adjust",(_xlfn.XLOOKUP(A1190,'Adj factor'!A:A,'Adj factor'!I:I,,0)*AI1190),'Master DataSheet'!AI1190)</f>
        <v>8028</v>
      </c>
      <c r="AM1190" s="91">
        <f t="shared" si="335"/>
        <v>8028</v>
      </c>
      <c r="AN1190" s="92" t="str">
        <f t="shared" si="336"/>
        <v>Increasing</v>
      </c>
      <c r="AS1190" s="94">
        <f t="shared" si="337"/>
        <v>0</v>
      </c>
      <c r="AT1190" s="94">
        <f t="shared" si="338"/>
        <v>31.186152777066741</v>
      </c>
      <c r="AU1190" s="94">
        <f t="shared" si="339"/>
        <v>30.521279734296041</v>
      </c>
    </row>
    <row r="1191" spans="1:47" x14ac:dyDescent="0.3">
      <c r="A1191" s="85" t="str">
        <f>_xlfn.XLOOKUP(B1191,'Country codes &amp; Data sources'!G:G,'Country codes &amp; Data sources'!H:H,,0)</f>
        <v>Botswana</v>
      </c>
      <c r="B1191" s="85" t="s">
        <v>164</v>
      </c>
      <c r="C1191" s="85">
        <v>2175430.5</v>
      </c>
      <c r="D1191" s="85" t="s">
        <v>331</v>
      </c>
      <c r="E1191" s="86">
        <v>0</v>
      </c>
      <c r="F1191" s="86">
        <v>2217278.0000000009</v>
      </c>
      <c r="G1191" s="86">
        <v>0</v>
      </c>
      <c r="H1191" s="86"/>
      <c r="I1191" s="86">
        <v>0</v>
      </c>
      <c r="J1191" s="86"/>
      <c r="K1191" s="86">
        <v>0</v>
      </c>
      <c r="L1191" s="86"/>
      <c r="M1191" s="86">
        <v>0</v>
      </c>
      <c r="N1191" s="86"/>
      <c r="O1191" s="86">
        <v>0</v>
      </c>
      <c r="P1191" s="86">
        <v>2451408.4999999995</v>
      </c>
      <c r="Q1191" s="86">
        <v>0</v>
      </c>
      <c r="R1191" s="87">
        <f t="shared" si="324"/>
        <v>0</v>
      </c>
      <c r="T1191" s="87">
        <v>0</v>
      </c>
      <c r="U1191" s="89"/>
      <c r="V1191" s="89">
        <v>0</v>
      </c>
      <c r="W1191" s="90"/>
      <c r="X1191" s="90">
        <v>0</v>
      </c>
      <c r="Y1191" s="90">
        <v>2630296.0000000019</v>
      </c>
      <c r="Z1191" s="90">
        <v>0</v>
      </c>
      <c r="AA1191" s="90">
        <v>0</v>
      </c>
      <c r="AB1191" s="89">
        <f t="shared" si="325"/>
        <v>0</v>
      </c>
      <c r="AC1191" s="89">
        <f t="shared" si="326"/>
        <v>0</v>
      </c>
      <c r="AD1191" s="89">
        <f t="shared" si="327"/>
        <v>0</v>
      </c>
      <c r="AE1191" s="90">
        <f t="shared" si="328"/>
        <v>0</v>
      </c>
      <c r="AF1191" s="90" t="str">
        <f t="shared" si="329"/>
        <v/>
      </c>
      <c r="AG1191" s="90">
        <f t="shared" si="330"/>
        <v>0</v>
      </c>
      <c r="AH1191" s="90" t="str">
        <f t="shared" si="331"/>
        <v/>
      </c>
      <c r="AI1191" s="90">
        <f t="shared" si="332"/>
        <v>0</v>
      </c>
      <c r="AJ1191" s="90" t="str">
        <f t="shared" si="333"/>
        <v/>
      </c>
      <c r="AK1191" s="90" t="str">
        <f t="shared" si="334"/>
        <v/>
      </c>
      <c r="AL1191" s="91">
        <f>IF(AK1191="Adjust",(_xlfn.XLOOKUP(A1191,'Adj factor'!A:A,'Adj factor'!I:I,,0)*AI1191),'Master DataSheet'!AI1191)</f>
        <v>0</v>
      </c>
      <c r="AM1191" s="91">
        <f t="shared" si="335"/>
        <v>0</v>
      </c>
      <c r="AN1191" s="92" t="str">
        <f t="shared" si="336"/>
        <v>No change</v>
      </c>
      <c r="AS1191" s="94">
        <f t="shared" si="337"/>
        <v>0</v>
      </c>
      <c r="AT1191" s="94">
        <f t="shared" si="338"/>
        <v>0</v>
      </c>
      <c r="AU1191" s="94">
        <f t="shared" si="339"/>
        <v>0</v>
      </c>
    </row>
    <row r="1192" spans="1:47" x14ac:dyDescent="0.3">
      <c r="A1192" s="85" t="str">
        <f>_xlfn.XLOOKUP(B1192,'Country codes &amp; Data sources'!G:G,'Country codes &amp; Data sources'!H:H,,0)</f>
        <v>Botswana</v>
      </c>
      <c r="B1192" s="85" t="s">
        <v>164</v>
      </c>
      <c r="C1192" s="85">
        <v>2175431.5</v>
      </c>
      <c r="D1192" s="85" t="s">
        <v>332</v>
      </c>
      <c r="E1192" s="86">
        <v>0</v>
      </c>
      <c r="F1192" s="86">
        <v>2217278.0000000009</v>
      </c>
      <c r="G1192" s="86">
        <v>1501</v>
      </c>
      <c r="H1192" s="86"/>
      <c r="I1192" s="86">
        <v>0</v>
      </c>
      <c r="J1192" s="86"/>
      <c r="K1192" s="86">
        <v>0</v>
      </c>
      <c r="L1192" s="86"/>
      <c r="M1192" s="86">
        <v>1461</v>
      </c>
      <c r="N1192" s="86"/>
      <c r="O1192" s="86">
        <v>0</v>
      </c>
      <c r="P1192" s="86">
        <v>2451408.4999999995</v>
      </c>
      <c r="Q1192" s="86">
        <v>0</v>
      </c>
      <c r="R1192" s="87">
        <f t="shared" si="324"/>
        <v>0</v>
      </c>
      <c r="T1192" s="87">
        <v>0</v>
      </c>
      <c r="U1192" s="89"/>
      <c r="V1192" s="89">
        <v>0</v>
      </c>
      <c r="W1192" s="90"/>
      <c r="X1192" s="90">
        <v>0</v>
      </c>
      <c r="Y1192" s="90">
        <v>2630296.0000000019</v>
      </c>
      <c r="Z1192" s="90">
        <v>0</v>
      </c>
      <c r="AA1192" s="90">
        <v>0</v>
      </c>
      <c r="AB1192" s="89">
        <f t="shared" si="325"/>
        <v>1501</v>
      </c>
      <c r="AC1192" s="89">
        <f t="shared" si="326"/>
        <v>1461</v>
      </c>
      <c r="AD1192" s="89">
        <f t="shared" si="327"/>
        <v>0</v>
      </c>
      <c r="AE1192" s="90">
        <f t="shared" si="328"/>
        <v>1501</v>
      </c>
      <c r="AF1192" s="90">
        <f t="shared" si="329"/>
        <v>2013</v>
      </c>
      <c r="AG1192" s="90">
        <f t="shared" si="330"/>
        <v>0</v>
      </c>
      <c r="AH1192" s="90" t="str">
        <f t="shared" si="331"/>
        <v/>
      </c>
      <c r="AI1192" s="90">
        <f t="shared" si="332"/>
        <v>0</v>
      </c>
      <c r="AJ1192" s="90" t="str">
        <f t="shared" si="333"/>
        <v/>
      </c>
      <c r="AK1192" s="90" t="str">
        <f t="shared" si="334"/>
        <v/>
      </c>
      <c r="AL1192" s="91">
        <f>IF(AK1192="Adjust",(_xlfn.XLOOKUP(A1192,'Adj factor'!A:A,'Adj factor'!I:I,,0)*AI1192),'Master DataSheet'!AI1192)</f>
        <v>0</v>
      </c>
      <c r="AM1192" s="91">
        <f t="shared" si="335"/>
        <v>0</v>
      </c>
      <c r="AN1192" s="92" t="str">
        <f t="shared" si="336"/>
        <v>No change</v>
      </c>
      <c r="AS1192" s="94">
        <f t="shared" si="337"/>
        <v>6.7695615975984937</v>
      </c>
      <c r="AT1192" s="94">
        <f t="shared" si="338"/>
        <v>0</v>
      </c>
      <c r="AU1192" s="94">
        <f t="shared" si="339"/>
        <v>0</v>
      </c>
    </row>
    <row r="1193" spans="1:47" x14ac:dyDescent="0.3">
      <c r="A1193" s="85" t="str">
        <f>_xlfn.XLOOKUP(B1193,'Country codes &amp; Data sources'!G:G,'Country codes &amp; Data sources'!H:H,,0)</f>
        <v>Botswana</v>
      </c>
      <c r="B1193" s="85" t="s">
        <v>164</v>
      </c>
      <c r="C1193" s="85">
        <v>2175432.5</v>
      </c>
      <c r="D1193" s="85" t="s">
        <v>333</v>
      </c>
      <c r="E1193" s="86">
        <v>0</v>
      </c>
      <c r="F1193" s="86">
        <v>2217278.0000000009</v>
      </c>
      <c r="G1193" s="86">
        <v>1501</v>
      </c>
      <c r="H1193" s="86"/>
      <c r="I1193" s="86">
        <v>0</v>
      </c>
      <c r="J1193" s="86"/>
      <c r="K1193" s="86">
        <v>0</v>
      </c>
      <c r="L1193" s="86"/>
      <c r="M1193" s="86">
        <v>1461</v>
      </c>
      <c r="N1193" s="86"/>
      <c r="O1193" s="86">
        <v>0</v>
      </c>
      <c r="P1193" s="86">
        <v>2451408.4999999995</v>
      </c>
      <c r="Q1193" s="86">
        <v>0</v>
      </c>
      <c r="R1193" s="87">
        <f t="shared" si="324"/>
        <v>0</v>
      </c>
      <c r="T1193" s="87">
        <v>0</v>
      </c>
      <c r="U1193" s="89"/>
      <c r="V1193" s="89">
        <v>0</v>
      </c>
      <c r="W1193" s="90"/>
      <c r="X1193" s="90">
        <v>0</v>
      </c>
      <c r="Y1193" s="90">
        <v>2630296.0000000019</v>
      </c>
      <c r="Z1193" s="90">
        <v>0</v>
      </c>
      <c r="AA1193" s="90">
        <v>0</v>
      </c>
      <c r="AB1193" s="89">
        <f t="shared" si="325"/>
        <v>1501</v>
      </c>
      <c r="AC1193" s="89">
        <f t="shared" si="326"/>
        <v>1461</v>
      </c>
      <c r="AD1193" s="89">
        <f t="shared" si="327"/>
        <v>0</v>
      </c>
      <c r="AE1193" s="90">
        <f t="shared" si="328"/>
        <v>1501</v>
      </c>
      <c r="AF1193" s="90">
        <f t="shared" si="329"/>
        <v>2013</v>
      </c>
      <c r="AG1193" s="90">
        <f t="shared" si="330"/>
        <v>0</v>
      </c>
      <c r="AH1193" s="90" t="str">
        <f t="shared" si="331"/>
        <v/>
      </c>
      <c r="AI1193" s="90">
        <f t="shared" si="332"/>
        <v>0</v>
      </c>
      <c r="AJ1193" s="90" t="str">
        <f t="shared" si="333"/>
        <v/>
      </c>
      <c r="AK1193" s="90" t="str">
        <f t="shared" si="334"/>
        <v/>
      </c>
      <c r="AL1193" s="91">
        <f>IF(AK1193="Adjust",(_xlfn.XLOOKUP(A1193,'Adj factor'!A:A,'Adj factor'!I:I,,0)*AI1193),'Master DataSheet'!AI1193)</f>
        <v>0</v>
      </c>
      <c r="AM1193" s="91">
        <f t="shared" si="335"/>
        <v>0</v>
      </c>
      <c r="AN1193" s="92" t="str">
        <f t="shared" si="336"/>
        <v>No change</v>
      </c>
      <c r="AS1193" s="94">
        <f t="shared" si="337"/>
        <v>6.7695615975984937</v>
      </c>
      <c r="AT1193" s="94">
        <f t="shared" si="338"/>
        <v>0</v>
      </c>
      <c r="AU1193" s="94">
        <f t="shared" si="339"/>
        <v>0</v>
      </c>
    </row>
    <row r="1194" spans="1:47" x14ac:dyDescent="0.3">
      <c r="A1194" s="85" t="str">
        <f>_xlfn.XLOOKUP(B1194,'Country codes &amp; Data sources'!G:G,'Country codes &amp; Data sources'!H:H,,0)</f>
        <v>Botswana</v>
      </c>
      <c r="B1194" s="85" t="s">
        <v>164</v>
      </c>
      <c r="C1194" s="85">
        <v>2175433.5</v>
      </c>
      <c r="D1194" s="85" t="s">
        <v>334</v>
      </c>
      <c r="E1194" s="86">
        <v>0</v>
      </c>
      <c r="F1194" s="86">
        <v>2217278.0000000009</v>
      </c>
      <c r="G1194" s="86">
        <v>0</v>
      </c>
      <c r="H1194" s="86"/>
      <c r="I1194" s="86">
        <v>0</v>
      </c>
      <c r="J1194" s="86"/>
      <c r="K1194" s="86">
        <v>0</v>
      </c>
      <c r="L1194" s="86"/>
      <c r="M1194" s="86">
        <v>0</v>
      </c>
      <c r="N1194" s="86"/>
      <c r="O1194" s="86">
        <v>0</v>
      </c>
      <c r="P1194" s="86">
        <v>2451408.4999999995</v>
      </c>
      <c r="Q1194" s="86">
        <v>0</v>
      </c>
      <c r="R1194" s="87">
        <f t="shared" ref="R1194:R1257" si="340">MAX(Q1194,AA1194)</f>
        <v>0</v>
      </c>
      <c r="T1194" s="87">
        <v>0</v>
      </c>
      <c r="U1194" s="89"/>
      <c r="V1194" s="89">
        <v>0</v>
      </c>
      <c r="W1194" s="90"/>
      <c r="X1194" s="90">
        <v>0</v>
      </c>
      <c r="Y1194" s="90">
        <v>2630296.0000000019</v>
      </c>
      <c r="Z1194" s="90">
        <v>0</v>
      </c>
      <c r="AA1194" s="90">
        <v>0</v>
      </c>
      <c r="AB1194" s="89">
        <f t="shared" ref="AB1194:AB1257" si="341">MAX(G1194,E1194,I1194,K1194)</f>
        <v>0</v>
      </c>
      <c r="AC1194" s="89">
        <f t="shared" ref="AC1194:AC1257" si="342">MAX(M1194,O1194,Q1194,T1194)</f>
        <v>0</v>
      </c>
      <c r="AD1194" s="89">
        <f t="shared" ref="AD1194:AD1257" si="343">MAX(V1194,X1194,Z1194)</f>
        <v>0</v>
      </c>
      <c r="AE1194" s="90">
        <f t="shared" ref="AE1194:AE1257" si="344">IF(G1194&gt;0,G1194,IF(E1194&gt;0,E1194,IF(I1194&gt;0,I1194,K1194)))</f>
        <v>0</v>
      </c>
      <c r="AF1194" s="90" t="str">
        <f t="shared" ref="AF1194:AF1257" si="345">IF(AE1194&gt;0,_xlfn.XLOOKUP(AE1194,$B1194:$K1194,$B$1:$K$1,,0),"")</f>
        <v/>
      </c>
      <c r="AG1194" s="90">
        <f t="shared" ref="AG1194:AG1257" si="346">IF(R1194&gt;0,R1194,IF(O1194&gt;0,O1194,T1194))</f>
        <v>0</v>
      </c>
      <c r="AH1194" s="90" t="str">
        <f t="shared" ref="AH1194:AH1257" si="347">IF(AG1194&gt;0,_xlfn.XLOOKUP(AG1194,$L1194:$T1194,$L$1:$T$1,,0),"")</f>
        <v/>
      </c>
      <c r="AI1194" s="90">
        <f t="shared" ref="AI1194:AI1257" si="348">IF((IF(Z1194&gt;0,Z1194,IF(X1194&gt;0,X1194,IF(V1194&gt;0,V1194,T1194))))=0,AG1194,IF(Z1194&gt;0,Z1194,IF(X1194&gt;0,X1194,IF(V1194&gt;0,V1194,T1194))))</f>
        <v>0</v>
      </c>
      <c r="AJ1194" s="90" t="str">
        <f t="shared" ref="AJ1194:AJ1257" si="349">IFERROR(IF(AI1194&gt;0,_xlfn.XLOOKUP(AI1194,$V1194:$Z1194,$V$1:$Z$1,,0),""),AH1194)</f>
        <v/>
      </c>
      <c r="AK1194" s="90" t="str">
        <f t="shared" ref="AK1194:AK1257" si="350">IF(AI1194&lt;AG1194,"Adjust","")</f>
        <v/>
      </c>
      <c r="AL1194" s="91">
        <f>IF(AK1194="Adjust",(_xlfn.XLOOKUP(A1194,'Adj factor'!A:A,'Adj factor'!I:I,,0)*AI1194),'Master DataSheet'!AI1194)</f>
        <v>0</v>
      </c>
      <c r="AM1194" s="91">
        <f t="shared" ref="AM1194:AM1257" si="351">IF(AL1194&lt;AG1194,AG1194,AL1194)</f>
        <v>0</v>
      </c>
      <c r="AN1194" s="92" t="str">
        <f t="shared" ref="AN1194:AN1257" si="352">IF(AL1194&gt;AG1194,"Increasing",IF(AL1194&lt;AG1194,"Decreasing","No change"))</f>
        <v>No change</v>
      </c>
      <c r="AS1194" s="94">
        <f t="shared" ref="AS1194:AS1257" si="353">(AE1194*10000)/F1194</f>
        <v>0</v>
      </c>
      <c r="AT1194" s="94">
        <f t="shared" ref="AT1194:AT1257" si="354">(AG1194*10000)/P1194</f>
        <v>0</v>
      </c>
      <c r="AU1194" s="94">
        <f t="shared" ref="AU1194:AU1257" si="355">(AM1194*10000)/Y1194</f>
        <v>0</v>
      </c>
    </row>
    <row r="1195" spans="1:47" x14ac:dyDescent="0.3">
      <c r="A1195" s="85" t="str">
        <f>_xlfn.XLOOKUP(B1195,'Country codes &amp; Data sources'!G:G,'Country codes &amp; Data sources'!H:H,,0)</f>
        <v>Botswana</v>
      </c>
      <c r="B1195" s="85" t="s">
        <v>164</v>
      </c>
      <c r="C1195" s="85">
        <v>2175434.5</v>
      </c>
      <c r="D1195" s="85" t="s">
        <v>335</v>
      </c>
      <c r="E1195" s="86">
        <v>0</v>
      </c>
      <c r="F1195" s="86">
        <v>2217278.0000000009</v>
      </c>
      <c r="G1195" s="86">
        <v>0</v>
      </c>
      <c r="H1195" s="86"/>
      <c r="I1195" s="86">
        <v>0</v>
      </c>
      <c r="J1195" s="86"/>
      <c r="K1195" s="86">
        <v>0</v>
      </c>
      <c r="L1195" s="86"/>
      <c r="M1195" s="86">
        <v>0</v>
      </c>
      <c r="N1195" s="86"/>
      <c r="O1195" s="86">
        <v>0</v>
      </c>
      <c r="P1195" s="86">
        <v>2451408.4999999995</v>
      </c>
      <c r="Q1195" s="86">
        <v>156</v>
      </c>
      <c r="R1195" s="87">
        <f t="shared" si="340"/>
        <v>156</v>
      </c>
      <c r="T1195" s="87">
        <v>138</v>
      </c>
      <c r="U1195" s="89"/>
      <c r="V1195" s="89">
        <v>145</v>
      </c>
      <c r="W1195" s="90"/>
      <c r="X1195" s="90">
        <v>158</v>
      </c>
      <c r="Y1195" s="90">
        <v>2630296.0000000019</v>
      </c>
      <c r="Z1195" s="90">
        <v>125</v>
      </c>
      <c r="AA1195" s="90">
        <v>149</v>
      </c>
      <c r="AB1195" s="89">
        <f t="shared" si="341"/>
        <v>0</v>
      </c>
      <c r="AC1195" s="89">
        <f t="shared" si="342"/>
        <v>156</v>
      </c>
      <c r="AD1195" s="89">
        <f t="shared" si="343"/>
        <v>158</v>
      </c>
      <c r="AE1195" s="90">
        <f t="shared" si="344"/>
        <v>0</v>
      </c>
      <c r="AF1195" s="90" t="str">
        <f t="shared" si="345"/>
        <v/>
      </c>
      <c r="AG1195" s="90">
        <f t="shared" si="346"/>
        <v>156</v>
      </c>
      <c r="AH1195" s="90">
        <f t="shared" si="347"/>
        <v>2018</v>
      </c>
      <c r="AI1195" s="90">
        <f t="shared" si="348"/>
        <v>125</v>
      </c>
      <c r="AJ1195" s="90">
        <f t="shared" si="349"/>
        <v>2022</v>
      </c>
      <c r="AK1195" s="90" t="str">
        <f t="shared" si="350"/>
        <v>Adjust</v>
      </c>
      <c r="AL1195" s="91">
        <f>IF(AK1195="Adjust",(_xlfn.XLOOKUP(A1195,'Adj factor'!A:A,'Adj factor'!I:I,,0)*AI1195),'Master DataSheet'!AI1195)</f>
        <v>143.6623305400519</v>
      </c>
      <c r="AM1195" s="91">
        <f t="shared" si="351"/>
        <v>156</v>
      </c>
      <c r="AN1195" s="92" t="str">
        <f t="shared" si="352"/>
        <v>Decreasing</v>
      </c>
      <c r="AS1195" s="94">
        <f t="shared" si="353"/>
        <v>0</v>
      </c>
      <c r="AT1195" s="94">
        <f t="shared" si="354"/>
        <v>0.63636884672628014</v>
      </c>
      <c r="AU1195" s="94">
        <f t="shared" si="355"/>
        <v>0.59308914281890668</v>
      </c>
    </row>
    <row r="1196" spans="1:47" x14ac:dyDescent="0.3">
      <c r="A1196" s="85" t="str">
        <f>_xlfn.XLOOKUP(B1196,'Country codes &amp; Data sources'!G:G,'Country codes &amp; Data sources'!H:H,,0)</f>
        <v>Botswana</v>
      </c>
      <c r="B1196" s="85" t="s">
        <v>164</v>
      </c>
      <c r="C1196" s="85">
        <v>2175435.5</v>
      </c>
      <c r="D1196" s="85" t="s">
        <v>336</v>
      </c>
      <c r="E1196" s="86">
        <v>0</v>
      </c>
      <c r="F1196" s="86">
        <v>2217278.0000000009</v>
      </c>
      <c r="G1196" s="86">
        <v>0</v>
      </c>
      <c r="H1196" s="86"/>
      <c r="I1196" s="86">
        <v>0</v>
      </c>
      <c r="J1196" s="86"/>
      <c r="K1196" s="86">
        <v>0</v>
      </c>
      <c r="L1196" s="86"/>
      <c r="M1196" s="86">
        <v>0</v>
      </c>
      <c r="N1196" s="86"/>
      <c r="O1196" s="86">
        <v>0</v>
      </c>
      <c r="P1196" s="86">
        <v>2451408.4999999995</v>
      </c>
      <c r="Q1196" s="86">
        <v>435</v>
      </c>
      <c r="R1196" s="87">
        <f t="shared" si="340"/>
        <v>435</v>
      </c>
      <c r="T1196" s="87">
        <v>408</v>
      </c>
      <c r="U1196" s="89"/>
      <c r="V1196" s="89">
        <v>435</v>
      </c>
      <c r="W1196" s="90"/>
      <c r="X1196" s="90">
        <v>413</v>
      </c>
      <c r="Y1196" s="90">
        <v>2630296.0000000019</v>
      </c>
      <c r="Z1196" s="90">
        <v>449</v>
      </c>
      <c r="AA1196" s="90">
        <v>338</v>
      </c>
      <c r="AB1196" s="89">
        <f t="shared" si="341"/>
        <v>0</v>
      </c>
      <c r="AC1196" s="89">
        <f t="shared" si="342"/>
        <v>435</v>
      </c>
      <c r="AD1196" s="89">
        <f t="shared" si="343"/>
        <v>449</v>
      </c>
      <c r="AE1196" s="90">
        <f t="shared" si="344"/>
        <v>0</v>
      </c>
      <c r="AF1196" s="90" t="str">
        <f t="shared" si="345"/>
        <v/>
      </c>
      <c r="AG1196" s="90">
        <f t="shared" si="346"/>
        <v>435</v>
      </c>
      <c r="AH1196" s="90">
        <f t="shared" si="347"/>
        <v>2018</v>
      </c>
      <c r="AI1196" s="90">
        <f t="shared" si="348"/>
        <v>449</v>
      </c>
      <c r="AJ1196" s="90">
        <f t="shared" si="349"/>
        <v>2022</v>
      </c>
      <c r="AK1196" s="90" t="str">
        <f t="shared" si="350"/>
        <v/>
      </c>
      <c r="AL1196" s="91">
        <f>IF(AK1196="Adjust",(_xlfn.XLOOKUP(A1196,'Adj factor'!A:A,'Adj factor'!I:I,,0)*AI1196),'Master DataSheet'!AI1196)</f>
        <v>449</v>
      </c>
      <c r="AM1196" s="91">
        <f t="shared" si="351"/>
        <v>449</v>
      </c>
      <c r="AN1196" s="92" t="str">
        <f t="shared" si="352"/>
        <v>Increasing</v>
      </c>
      <c r="AS1196" s="94">
        <f t="shared" si="353"/>
        <v>0</v>
      </c>
      <c r="AT1196" s="94">
        <f t="shared" si="354"/>
        <v>1.7744900533713581</v>
      </c>
      <c r="AU1196" s="94">
        <f t="shared" si="355"/>
        <v>1.7070322123441608</v>
      </c>
    </row>
    <row r="1197" spans="1:47" x14ac:dyDescent="0.3">
      <c r="A1197" s="85" t="str">
        <f>_xlfn.XLOOKUP(B1197,'Country codes &amp; Data sources'!G:G,'Country codes &amp; Data sources'!H:H,,0)</f>
        <v>Botswana</v>
      </c>
      <c r="B1197" s="85" t="s">
        <v>164</v>
      </c>
      <c r="C1197" s="85">
        <v>2175436.5</v>
      </c>
      <c r="D1197" s="85" t="s">
        <v>337</v>
      </c>
      <c r="E1197" s="86">
        <v>55</v>
      </c>
      <c r="F1197" s="86">
        <v>2217278.0000000009</v>
      </c>
      <c r="G1197" s="86">
        <v>0</v>
      </c>
      <c r="H1197" s="86"/>
      <c r="I1197" s="86">
        <v>0</v>
      </c>
      <c r="J1197" s="86"/>
      <c r="K1197" s="86">
        <v>0</v>
      </c>
      <c r="L1197" s="86"/>
      <c r="M1197" s="86">
        <v>91</v>
      </c>
      <c r="N1197" s="86"/>
      <c r="O1197" s="86">
        <v>0</v>
      </c>
      <c r="P1197" s="86">
        <v>2451408.4999999995</v>
      </c>
      <c r="Q1197" s="86">
        <v>96</v>
      </c>
      <c r="R1197" s="87">
        <f t="shared" si="340"/>
        <v>96</v>
      </c>
      <c r="T1197" s="87">
        <v>88</v>
      </c>
      <c r="U1197" s="89"/>
      <c r="V1197" s="89">
        <v>89</v>
      </c>
      <c r="W1197" s="90"/>
      <c r="X1197" s="90">
        <v>89</v>
      </c>
      <c r="Y1197" s="90">
        <v>2630296.0000000019</v>
      </c>
      <c r="Z1197" s="90">
        <v>86</v>
      </c>
      <c r="AA1197" s="90">
        <v>94</v>
      </c>
      <c r="AB1197" s="89">
        <f t="shared" si="341"/>
        <v>55</v>
      </c>
      <c r="AC1197" s="89">
        <f t="shared" si="342"/>
        <v>96</v>
      </c>
      <c r="AD1197" s="89">
        <f t="shared" si="343"/>
        <v>89</v>
      </c>
      <c r="AE1197" s="90">
        <f t="shared" si="344"/>
        <v>55</v>
      </c>
      <c r="AF1197" s="90">
        <f t="shared" si="345"/>
        <v>2012</v>
      </c>
      <c r="AG1197" s="90">
        <f t="shared" si="346"/>
        <v>96</v>
      </c>
      <c r="AH1197" s="90">
        <f t="shared" si="347"/>
        <v>2018</v>
      </c>
      <c r="AI1197" s="90">
        <f t="shared" si="348"/>
        <v>86</v>
      </c>
      <c r="AJ1197" s="90">
        <f t="shared" si="349"/>
        <v>2022</v>
      </c>
      <c r="AK1197" s="90" t="str">
        <f t="shared" si="350"/>
        <v>Adjust</v>
      </c>
      <c r="AL1197" s="91">
        <f>IF(AK1197="Adjust",(_xlfn.XLOOKUP(A1197,'Adj factor'!A:A,'Adj factor'!I:I,,0)*AI1197),'Master DataSheet'!AI1197)</f>
        <v>98.839683411555711</v>
      </c>
      <c r="AM1197" s="91">
        <f t="shared" si="351"/>
        <v>98.839683411555711</v>
      </c>
      <c r="AN1197" s="92" t="str">
        <f t="shared" si="352"/>
        <v>Increasing</v>
      </c>
      <c r="AS1197" s="94">
        <f t="shared" si="353"/>
        <v>0.24805189065151045</v>
      </c>
      <c r="AT1197" s="94">
        <f t="shared" si="354"/>
        <v>0.39161159798540318</v>
      </c>
      <c r="AU1197" s="94">
        <f t="shared" si="355"/>
        <v>0.37577399430161335</v>
      </c>
    </row>
    <row r="1198" spans="1:47" x14ac:dyDescent="0.3">
      <c r="A1198" s="85" t="str">
        <f>_xlfn.XLOOKUP(B1198,'Country codes &amp; Data sources'!G:G,'Country codes &amp; Data sources'!H:H,,0)</f>
        <v>Botswana</v>
      </c>
      <c r="B1198" s="85" t="s">
        <v>164</v>
      </c>
      <c r="C1198" s="85">
        <v>2175437.5</v>
      </c>
      <c r="D1198" s="85" t="s">
        <v>338</v>
      </c>
      <c r="E1198" s="86">
        <v>0</v>
      </c>
      <c r="F1198" s="86">
        <v>2217278.0000000009</v>
      </c>
      <c r="G1198" s="86">
        <v>0</v>
      </c>
      <c r="H1198" s="86"/>
      <c r="I1198" s="86">
        <v>0</v>
      </c>
      <c r="J1198" s="86"/>
      <c r="K1198" s="86">
        <v>0</v>
      </c>
      <c r="L1198" s="86"/>
      <c r="M1198" s="86">
        <v>0</v>
      </c>
      <c r="N1198" s="86"/>
      <c r="O1198" s="86">
        <v>0</v>
      </c>
      <c r="P1198" s="86">
        <v>2451408.4999999995</v>
      </c>
      <c r="Q1198" s="86">
        <v>27</v>
      </c>
      <c r="R1198" s="87">
        <f t="shared" si="340"/>
        <v>27</v>
      </c>
      <c r="T1198" s="87">
        <v>27</v>
      </c>
      <c r="U1198" s="89"/>
      <c r="V1198" s="89">
        <v>28</v>
      </c>
      <c r="W1198" s="90"/>
      <c r="X1198" s="90">
        <v>26</v>
      </c>
      <c r="Y1198" s="90">
        <v>2630296.0000000019</v>
      </c>
      <c r="Z1198" s="90">
        <v>24</v>
      </c>
      <c r="AA1198" s="90">
        <v>0</v>
      </c>
      <c r="AB1198" s="89">
        <f t="shared" si="341"/>
        <v>0</v>
      </c>
      <c r="AC1198" s="89">
        <f t="shared" si="342"/>
        <v>27</v>
      </c>
      <c r="AD1198" s="89">
        <f t="shared" si="343"/>
        <v>28</v>
      </c>
      <c r="AE1198" s="90">
        <f t="shared" si="344"/>
        <v>0</v>
      </c>
      <c r="AF1198" s="90" t="str">
        <f t="shared" si="345"/>
        <v/>
      </c>
      <c r="AG1198" s="90">
        <f t="shared" si="346"/>
        <v>27</v>
      </c>
      <c r="AH1198" s="90">
        <f t="shared" si="347"/>
        <v>2018</v>
      </c>
      <c r="AI1198" s="90">
        <f t="shared" si="348"/>
        <v>24</v>
      </c>
      <c r="AJ1198" s="90">
        <f t="shared" si="349"/>
        <v>2022</v>
      </c>
      <c r="AK1198" s="90" t="str">
        <f t="shared" si="350"/>
        <v>Adjust</v>
      </c>
      <c r="AL1198" s="91">
        <f>IF(AK1198="Adjust",(_xlfn.XLOOKUP(A1198,'Adj factor'!A:A,'Adj factor'!I:I,,0)*AI1198),'Master DataSheet'!AI1198)</f>
        <v>27.583167463689964</v>
      </c>
      <c r="AM1198" s="91">
        <f t="shared" si="351"/>
        <v>27.583167463689964</v>
      </c>
      <c r="AN1198" s="92" t="str">
        <f t="shared" si="352"/>
        <v>Increasing</v>
      </c>
      <c r="AS1198" s="94">
        <f t="shared" si="353"/>
        <v>0</v>
      </c>
      <c r="AT1198" s="94">
        <f t="shared" si="354"/>
        <v>0.11014076193339464</v>
      </c>
      <c r="AU1198" s="94">
        <f t="shared" si="355"/>
        <v>0.10486716120045024</v>
      </c>
    </row>
    <row r="1199" spans="1:47" x14ac:dyDescent="0.3">
      <c r="A1199" s="85" t="str">
        <f>_xlfn.XLOOKUP(B1199,'Country codes &amp; Data sources'!G:G,'Country codes &amp; Data sources'!H:H,,0)</f>
        <v>Botswana</v>
      </c>
      <c r="B1199" s="85" t="s">
        <v>164</v>
      </c>
      <c r="C1199" s="85">
        <v>2175438.5</v>
      </c>
      <c r="D1199" s="85" t="s">
        <v>339</v>
      </c>
      <c r="E1199" s="86">
        <v>0</v>
      </c>
      <c r="F1199" s="86">
        <v>2217278.0000000009</v>
      </c>
      <c r="G1199" s="86">
        <v>0</v>
      </c>
      <c r="H1199" s="86"/>
      <c r="I1199" s="86">
        <v>0</v>
      </c>
      <c r="J1199" s="86"/>
      <c r="K1199" s="86">
        <v>0</v>
      </c>
      <c r="L1199" s="86"/>
      <c r="M1199" s="86">
        <v>0</v>
      </c>
      <c r="N1199" s="86"/>
      <c r="O1199" s="86">
        <v>0</v>
      </c>
      <c r="P1199" s="86">
        <v>2451408.4999999995</v>
      </c>
      <c r="Q1199" s="86">
        <v>16</v>
      </c>
      <c r="R1199" s="87">
        <f t="shared" si="340"/>
        <v>16</v>
      </c>
      <c r="T1199" s="87">
        <v>15</v>
      </c>
      <c r="U1199" s="89"/>
      <c r="V1199" s="89">
        <v>13</v>
      </c>
      <c r="W1199" s="90"/>
      <c r="X1199" s="90">
        <v>15</v>
      </c>
      <c r="Y1199" s="90">
        <v>2630296.0000000019</v>
      </c>
      <c r="Z1199" s="90">
        <v>17</v>
      </c>
      <c r="AA1199" s="90">
        <v>0</v>
      </c>
      <c r="AB1199" s="89">
        <f t="shared" si="341"/>
        <v>0</v>
      </c>
      <c r="AC1199" s="89">
        <f t="shared" si="342"/>
        <v>16</v>
      </c>
      <c r="AD1199" s="89">
        <f t="shared" si="343"/>
        <v>17</v>
      </c>
      <c r="AE1199" s="90">
        <f t="shared" si="344"/>
        <v>0</v>
      </c>
      <c r="AF1199" s="90" t="str">
        <f t="shared" si="345"/>
        <v/>
      </c>
      <c r="AG1199" s="90">
        <f t="shared" si="346"/>
        <v>16</v>
      </c>
      <c r="AH1199" s="90">
        <f t="shared" si="347"/>
        <v>2018</v>
      </c>
      <c r="AI1199" s="90">
        <f t="shared" si="348"/>
        <v>17</v>
      </c>
      <c r="AJ1199" s="90">
        <f t="shared" si="349"/>
        <v>2022</v>
      </c>
      <c r="AK1199" s="90" t="str">
        <f t="shared" si="350"/>
        <v/>
      </c>
      <c r="AL1199" s="91">
        <f>IF(AK1199="Adjust",(_xlfn.XLOOKUP(A1199,'Adj factor'!A:A,'Adj factor'!I:I,,0)*AI1199),'Master DataSheet'!AI1199)</f>
        <v>17</v>
      </c>
      <c r="AM1199" s="91">
        <f t="shared" si="351"/>
        <v>17</v>
      </c>
      <c r="AN1199" s="92" t="str">
        <f t="shared" si="352"/>
        <v>Increasing</v>
      </c>
      <c r="AS1199" s="94">
        <f t="shared" si="353"/>
        <v>0</v>
      </c>
      <c r="AT1199" s="94">
        <f t="shared" si="354"/>
        <v>6.5268599664233859E-2</v>
      </c>
      <c r="AU1199" s="94">
        <f t="shared" si="355"/>
        <v>6.4631509153342398E-2</v>
      </c>
    </row>
    <row r="1200" spans="1:47" x14ac:dyDescent="0.3">
      <c r="A1200" s="85" t="str">
        <f>_xlfn.XLOOKUP(B1200,'Country codes &amp; Data sources'!G:G,'Country codes &amp; Data sources'!H:H,,0)</f>
        <v>Central African Republic</v>
      </c>
      <c r="B1200" s="85" t="s">
        <v>152</v>
      </c>
      <c r="C1200" s="85">
        <v>4773305.4999999991</v>
      </c>
      <c r="D1200" s="85" t="s">
        <v>326</v>
      </c>
      <c r="E1200" s="86">
        <v>0</v>
      </c>
      <c r="F1200" s="86">
        <v>4802428.5000000102</v>
      </c>
      <c r="G1200" s="86">
        <v>0</v>
      </c>
      <c r="H1200" s="86">
        <v>4798734.5</v>
      </c>
      <c r="I1200" s="86">
        <v>0</v>
      </c>
      <c r="J1200" s="86">
        <v>4819332.9999999991</v>
      </c>
      <c r="K1200" s="86">
        <v>324</v>
      </c>
      <c r="L1200" s="86">
        <v>4904177.5000000019</v>
      </c>
      <c r="M1200" s="86">
        <v>0</v>
      </c>
      <c r="N1200" s="86">
        <v>4996741.0000000009</v>
      </c>
      <c r="O1200" s="86">
        <v>0</v>
      </c>
      <c r="P1200" s="86">
        <v>5094779.9999999991</v>
      </c>
      <c r="Q1200" s="86">
        <v>335</v>
      </c>
      <c r="R1200" s="87">
        <f t="shared" si="340"/>
        <v>335</v>
      </c>
      <c r="S1200" s="87">
        <v>5209324.4999999963</v>
      </c>
      <c r="T1200" s="87">
        <v>0</v>
      </c>
      <c r="U1200" s="89">
        <v>5343019.9999999991</v>
      </c>
      <c r="V1200" s="89">
        <v>0</v>
      </c>
      <c r="W1200" s="90">
        <v>5457154.4999999991</v>
      </c>
      <c r="X1200" s="90">
        <v>114</v>
      </c>
      <c r="Y1200" s="90">
        <v>5579143.5000000047</v>
      </c>
      <c r="Z1200" s="90">
        <v>0</v>
      </c>
      <c r="AA1200" s="90">
        <v>335</v>
      </c>
      <c r="AB1200" s="89">
        <f t="shared" si="341"/>
        <v>324</v>
      </c>
      <c r="AC1200" s="89">
        <f t="shared" si="342"/>
        <v>335</v>
      </c>
      <c r="AD1200" s="89">
        <f t="shared" si="343"/>
        <v>114</v>
      </c>
      <c r="AE1200" s="90">
        <f t="shared" si="344"/>
        <v>324</v>
      </c>
      <c r="AF1200" s="90">
        <f t="shared" si="345"/>
        <v>2015</v>
      </c>
      <c r="AG1200" s="90">
        <f t="shared" si="346"/>
        <v>335</v>
      </c>
      <c r="AH1200" s="90">
        <f t="shared" si="347"/>
        <v>2018</v>
      </c>
      <c r="AI1200" s="90">
        <f t="shared" si="348"/>
        <v>114</v>
      </c>
      <c r="AJ1200" s="90">
        <f t="shared" si="349"/>
        <v>2021</v>
      </c>
      <c r="AK1200" s="90" t="str">
        <f t="shared" si="350"/>
        <v>Adjust</v>
      </c>
      <c r="AL1200" s="91">
        <f>IF(AK1200="Adjust",(_xlfn.XLOOKUP(A1200,'Adj factor'!A:A,'Adj factor'!I:I,,0)*AI1200),'Master DataSheet'!AI1200)</f>
        <v>146.38957816377172</v>
      </c>
      <c r="AM1200" s="91">
        <f t="shared" si="351"/>
        <v>335</v>
      </c>
      <c r="AN1200" s="92" t="str">
        <f t="shared" si="352"/>
        <v>Decreasing</v>
      </c>
      <c r="AS1200" s="94">
        <f t="shared" si="353"/>
        <v>0.67465866488173498</v>
      </c>
      <c r="AT1200" s="94">
        <f t="shared" si="354"/>
        <v>0.65753575227978456</v>
      </c>
      <c r="AU1200" s="94">
        <f t="shared" si="355"/>
        <v>0.60045058887623115</v>
      </c>
    </row>
    <row r="1201" spans="1:47" x14ac:dyDescent="0.3">
      <c r="A1201" s="85" t="str">
        <f>_xlfn.XLOOKUP(B1201,'Country codes &amp; Data sources'!G:G,'Country codes &amp; Data sources'!H:H,,0)</f>
        <v>Central African Republic</v>
      </c>
      <c r="B1201" s="85" t="s">
        <v>152</v>
      </c>
      <c r="C1201" s="85">
        <v>4773306.5</v>
      </c>
      <c r="D1201" s="85" t="s">
        <v>327</v>
      </c>
      <c r="E1201" s="86">
        <v>0</v>
      </c>
      <c r="F1201" s="86">
        <v>4802428.5000000102</v>
      </c>
      <c r="G1201" s="86">
        <v>0</v>
      </c>
      <c r="H1201" s="86"/>
      <c r="I1201" s="86">
        <v>0</v>
      </c>
      <c r="J1201" s="86"/>
      <c r="K1201" s="86">
        <v>0</v>
      </c>
      <c r="L1201" s="86"/>
      <c r="M1201" s="86">
        <v>0</v>
      </c>
      <c r="N1201" s="86"/>
      <c r="O1201" s="86">
        <v>0</v>
      </c>
      <c r="P1201" s="86">
        <v>5094779.9999999991</v>
      </c>
      <c r="Q1201" s="86">
        <v>263</v>
      </c>
      <c r="R1201" s="87">
        <f t="shared" si="340"/>
        <v>263</v>
      </c>
      <c r="T1201" s="87">
        <v>0</v>
      </c>
      <c r="U1201" s="89"/>
      <c r="V1201" s="89">
        <v>0</v>
      </c>
      <c r="W1201" s="90"/>
      <c r="X1201" s="90">
        <v>108</v>
      </c>
      <c r="Y1201" s="90">
        <v>5579143.5000000047</v>
      </c>
      <c r="Z1201" s="90">
        <v>0</v>
      </c>
      <c r="AA1201" s="90">
        <v>263</v>
      </c>
      <c r="AB1201" s="89">
        <f t="shared" si="341"/>
        <v>0</v>
      </c>
      <c r="AC1201" s="89">
        <f t="shared" si="342"/>
        <v>263</v>
      </c>
      <c r="AD1201" s="89">
        <f t="shared" si="343"/>
        <v>108</v>
      </c>
      <c r="AE1201" s="90">
        <f t="shared" si="344"/>
        <v>0</v>
      </c>
      <c r="AF1201" s="90" t="str">
        <f t="shared" si="345"/>
        <v/>
      </c>
      <c r="AG1201" s="90">
        <f t="shared" si="346"/>
        <v>263</v>
      </c>
      <c r="AH1201" s="90">
        <f t="shared" si="347"/>
        <v>2018</v>
      </c>
      <c r="AI1201" s="90">
        <f t="shared" si="348"/>
        <v>108</v>
      </c>
      <c r="AJ1201" s="90">
        <f t="shared" si="349"/>
        <v>2021</v>
      </c>
      <c r="AK1201" s="90" t="str">
        <f t="shared" si="350"/>
        <v>Adjust</v>
      </c>
      <c r="AL1201" s="91">
        <f>IF(AK1201="Adjust",(_xlfn.XLOOKUP(A1201,'Adj factor'!A:A,'Adj factor'!I:I,,0)*AI1201),'Master DataSheet'!AI1201)</f>
        <v>138.6848635235732</v>
      </c>
      <c r="AM1201" s="91">
        <f t="shared" si="351"/>
        <v>263</v>
      </c>
      <c r="AN1201" s="92" t="str">
        <f t="shared" si="352"/>
        <v>Decreasing</v>
      </c>
      <c r="AS1201" s="94">
        <f t="shared" si="353"/>
        <v>0</v>
      </c>
      <c r="AT1201" s="94">
        <f t="shared" si="354"/>
        <v>0.5162146353718905</v>
      </c>
      <c r="AU1201" s="94">
        <f t="shared" si="355"/>
        <v>0.47139852201327997</v>
      </c>
    </row>
    <row r="1202" spans="1:47" x14ac:dyDescent="0.3">
      <c r="A1202" s="85" t="str">
        <f>_xlfn.XLOOKUP(B1202,'Country codes &amp; Data sources'!G:G,'Country codes &amp; Data sources'!H:H,,0)</f>
        <v>Central African Republic</v>
      </c>
      <c r="B1202" s="85" t="s">
        <v>152</v>
      </c>
      <c r="C1202" s="85">
        <v>4773307.5</v>
      </c>
      <c r="D1202" s="85" t="s">
        <v>328</v>
      </c>
      <c r="E1202" s="86">
        <v>0</v>
      </c>
      <c r="F1202" s="86">
        <v>4802428.5000000102</v>
      </c>
      <c r="G1202" s="86">
        <v>0</v>
      </c>
      <c r="H1202" s="86"/>
      <c r="I1202" s="86">
        <v>0</v>
      </c>
      <c r="J1202" s="86"/>
      <c r="K1202" s="86">
        <v>38</v>
      </c>
      <c r="L1202" s="86"/>
      <c r="M1202" s="86">
        <v>0</v>
      </c>
      <c r="N1202" s="86"/>
      <c r="O1202" s="86">
        <v>0</v>
      </c>
      <c r="P1202" s="86">
        <v>5094779.9999999991</v>
      </c>
      <c r="Q1202" s="86">
        <v>72</v>
      </c>
      <c r="R1202" s="87">
        <f t="shared" si="340"/>
        <v>72</v>
      </c>
      <c r="T1202" s="87">
        <v>0</v>
      </c>
      <c r="U1202" s="89"/>
      <c r="V1202" s="89">
        <v>0</v>
      </c>
      <c r="W1202" s="90"/>
      <c r="X1202" s="90">
        <v>4</v>
      </c>
      <c r="Y1202" s="90">
        <v>5579143.5000000047</v>
      </c>
      <c r="Z1202" s="90">
        <v>0</v>
      </c>
      <c r="AA1202" s="90">
        <v>72</v>
      </c>
      <c r="AB1202" s="89">
        <f t="shared" si="341"/>
        <v>38</v>
      </c>
      <c r="AC1202" s="89">
        <f t="shared" si="342"/>
        <v>72</v>
      </c>
      <c r="AD1202" s="89">
        <f t="shared" si="343"/>
        <v>4</v>
      </c>
      <c r="AE1202" s="90">
        <f t="shared" si="344"/>
        <v>38</v>
      </c>
      <c r="AF1202" s="90">
        <f t="shared" si="345"/>
        <v>2015</v>
      </c>
      <c r="AG1202" s="90">
        <f t="shared" si="346"/>
        <v>72</v>
      </c>
      <c r="AH1202" s="90">
        <f t="shared" si="347"/>
        <v>2018</v>
      </c>
      <c r="AI1202" s="90">
        <f t="shared" si="348"/>
        <v>4</v>
      </c>
      <c r="AJ1202" s="90">
        <f t="shared" si="349"/>
        <v>2021</v>
      </c>
      <c r="AK1202" s="90" t="str">
        <f t="shared" si="350"/>
        <v>Adjust</v>
      </c>
      <c r="AL1202" s="91">
        <f>IF(AK1202="Adjust",(_xlfn.XLOOKUP(A1202,'Adj factor'!A:A,'Adj factor'!I:I,,0)*AI1202),'Master DataSheet'!AI1202)</f>
        <v>5.1364764267990077</v>
      </c>
      <c r="AM1202" s="91">
        <f t="shared" si="351"/>
        <v>72</v>
      </c>
      <c r="AN1202" s="92" t="str">
        <f t="shared" si="352"/>
        <v>Decreasing</v>
      </c>
      <c r="AS1202" s="94">
        <f t="shared" si="353"/>
        <v>7.9126633535512123E-2</v>
      </c>
      <c r="AT1202" s="94">
        <f t="shared" si="354"/>
        <v>0.14132111690789398</v>
      </c>
      <c r="AU1202" s="94">
        <f t="shared" si="355"/>
        <v>0.12905206686295118</v>
      </c>
    </row>
    <row r="1203" spans="1:47" x14ac:dyDescent="0.3">
      <c r="A1203" s="85" t="str">
        <f>_xlfn.XLOOKUP(B1203,'Country codes &amp; Data sources'!G:G,'Country codes &amp; Data sources'!H:H,,0)</f>
        <v>Central African Republic</v>
      </c>
      <c r="B1203" s="85" t="s">
        <v>152</v>
      </c>
      <c r="C1203" s="85">
        <v>4773308.5</v>
      </c>
      <c r="D1203" s="85" t="s">
        <v>329</v>
      </c>
      <c r="E1203" s="86">
        <v>0</v>
      </c>
      <c r="F1203" s="86">
        <v>4802428.5000000102</v>
      </c>
      <c r="G1203" s="86">
        <v>0</v>
      </c>
      <c r="H1203" s="86"/>
      <c r="I1203" s="86">
        <v>0</v>
      </c>
      <c r="J1203" s="86"/>
      <c r="K1203" s="86">
        <v>322</v>
      </c>
      <c r="L1203" s="86"/>
      <c r="M1203" s="86">
        <v>0</v>
      </c>
      <c r="N1203" s="86"/>
      <c r="O1203" s="86">
        <v>0</v>
      </c>
      <c r="P1203" s="86">
        <v>5094779.9999999991</v>
      </c>
      <c r="Q1203" s="86">
        <v>1195</v>
      </c>
      <c r="R1203" s="87">
        <f t="shared" si="340"/>
        <v>1195</v>
      </c>
      <c r="T1203" s="87">
        <v>0</v>
      </c>
      <c r="U1203" s="89"/>
      <c r="V1203" s="89">
        <v>0</v>
      </c>
      <c r="W1203" s="90"/>
      <c r="X1203" s="90">
        <v>505</v>
      </c>
      <c r="Y1203" s="90">
        <v>5579143.5000000047</v>
      </c>
      <c r="Z1203" s="90">
        <v>0</v>
      </c>
      <c r="AA1203" s="90">
        <v>751</v>
      </c>
      <c r="AB1203" s="89">
        <f t="shared" si="341"/>
        <v>322</v>
      </c>
      <c r="AC1203" s="89">
        <f t="shared" si="342"/>
        <v>1195</v>
      </c>
      <c r="AD1203" s="89">
        <f t="shared" si="343"/>
        <v>505</v>
      </c>
      <c r="AE1203" s="90">
        <f t="shared" si="344"/>
        <v>322</v>
      </c>
      <c r="AF1203" s="90">
        <f t="shared" si="345"/>
        <v>2015</v>
      </c>
      <c r="AG1203" s="90">
        <f t="shared" si="346"/>
        <v>1195</v>
      </c>
      <c r="AH1203" s="90">
        <f t="shared" si="347"/>
        <v>2018</v>
      </c>
      <c r="AI1203" s="90">
        <f t="shared" si="348"/>
        <v>505</v>
      </c>
      <c r="AJ1203" s="90">
        <f t="shared" si="349"/>
        <v>2021</v>
      </c>
      <c r="AK1203" s="90" t="str">
        <f t="shared" si="350"/>
        <v>Adjust</v>
      </c>
      <c r="AL1203" s="91">
        <f>IF(AK1203="Adjust",(_xlfn.XLOOKUP(A1203,'Adj factor'!A:A,'Adj factor'!I:I,,0)*AI1203),'Master DataSheet'!AI1203)</f>
        <v>648.48014888337468</v>
      </c>
      <c r="AM1203" s="91">
        <f t="shared" si="351"/>
        <v>1195</v>
      </c>
      <c r="AN1203" s="92" t="str">
        <f t="shared" si="352"/>
        <v>Decreasing</v>
      </c>
      <c r="AS1203" s="94">
        <f t="shared" si="353"/>
        <v>0.67049410522197117</v>
      </c>
      <c r="AT1203" s="94">
        <f t="shared" si="354"/>
        <v>2.3455379820129627</v>
      </c>
      <c r="AU1203" s="94">
        <f t="shared" si="355"/>
        <v>2.141905831961481</v>
      </c>
    </row>
    <row r="1204" spans="1:47" x14ac:dyDescent="0.3">
      <c r="A1204" s="85" t="str">
        <f>_xlfn.XLOOKUP(B1204,'Country codes &amp; Data sources'!G:G,'Country codes &amp; Data sources'!H:H,,0)</f>
        <v>Central African Republic</v>
      </c>
      <c r="B1204" s="85" t="s">
        <v>152</v>
      </c>
      <c r="C1204" s="85">
        <v>4773309.5</v>
      </c>
      <c r="D1204" s="85" t="s">
        <v>330</v>
      </c>
      <c r="E1204" s="86">
        <v>0</v>
      </c>
      <c r="F1204" s="86">
        <v>4802428.5000000102</v>
      </c>
      <c r="G1204" s="86">
        <v>0</v>
      </c>
      <c r="H1204" s="86"/>
      <c r="I1204" s="86">
        <v>0</v>
      </c>
      <c r="J1204" s="86"/>
      <c r="K1204" s="86">
        <v>0</v>
      </c>
      <c r="L1204" s="86"/>
      <c r="M1204" s="86">
        <v>0</v>
      </c>
      <c r="N1204" s="86"/>
      <c r="O1204" s="86">
        <v>0</v>
      </c>
      <c r="P1204" s="86">
        <v>5094779.9999999991</v>
      </c>
      <c r="Q1204" s="86">
        <v>0</v>
      </c>
      <c r="R1204" s="87">
        <f t="shared" si="340"/>
        <v>426</v>
      </c>
      <c r="T1204" s="87">
        <v>0</v>
      </c>
      <c r="U1204" s="89"/>
      <c r="V1204" s="89">
        <v>0</v>
      </c>
      <c r="W1204" s="90"/>
      <c r="X1204" s="90">
        <v>249</v>
      </c>
      <c r="Y1204" s="90">
        <v>5579143.5000000047</v>
      </c>
      <c r="Z1204" s="90">
        <v>0</v>
      </c>
      <c r="AA1204" s="90">
        <v>426</v>
      </c>
      <c r="AB1204" s="89">
        <f t="shared" si="341"/>
        <v>0</v>
      </c>
      <c r="AC1204" s="89">
        <f t="shared" si="342"/>
        <v>0</v>
      </c>
      <c r="AD1204" s="89">
        <f t="shared" si="343"/>
        <v>249</v>
      </c>
      <c r="AE1204" s="90">
        <f t="shared" si="344"/>
        <v>0</v>
      </c>
      <c r="AF1204" s="90" t="str">
        <f t="shared" si="345"/>
        <v/>
      </c>
      <c r="AG1204" s="90">
        <f t="shared" si="346"/>
        <v>426</v>
      </c>
      <c r="AH1204" s="90" t="str">
        <f t="shared" si="347"/>
        <v>2018 (triag)</v>
      </c>
      <c r="AI1204" s="90">
        <f t="shared" si="348"/>
        <v>249</v>
      </c>
      <c r="AJ1204" s="90">
        <f t="shared" si="349"/>
        <v>2021</v>
      </c>
      <c r="AK1204" s="90" t="str">
        <f t="shared" si="350"/>
        <v>Adjust</v>
      </c>
      <c r="AL1204" s="91">
        <f>IF(AK1204="Adjust",(_xlfn.XLOOKUP(A1204,'Adj factor'!A:A,'Adj factor'!I:I,,0)*AI1204),'Master DataSheet'!AI1204)</f>
        <v>319.74565756823824</v>
      </c>
      <c r="AM1204" s="91">
        <f t="shared" si="351"/>
        <v>426</v>
      </c>
      <c r="AN1204" s="92" t="str">
        <f t="shared" si="352"/>
        <v>Decreasing</v>
      </c>
      <c r="AS1204" s="94">
        <f t="shared" si="353"/>
        <v>0</v>
      </c>
      <c r="AT1204" s="94">
        <f t="shared" si="354"/>
        <v>0.83614994170503942</v>
      </c>
      <c r="AU1204" s="94">
        <f t="shared" si="355"/>
        <v>0.76355806227246104</v>
      </c>
    </row>
    <row r="1205" spans="1:47" x14ac:dyDescent="0.3">
      <c r="A1205" s="85" t="str">
        <f>_xlfn.XLOOKUP(B1205,'Country codes &amp; Data sources'!G:G,'Country codes &amp; Data sources'!H:H,,0)</f>
        <v>Central African Republic</v>
      </c>
      <c r="B1205" s="85" t="s">
        <v>152</v>
      </c>
      <c r="C1205" s="85">
        <v>4773310.5</v>
      </c>
      <c r="D1205" s="85" t="s">
        <v>331</v>
      </c>
      <c r="E1205" s="86">
        <v>0</v>
      </c>
      <c r="F1205" s="86">
        <v>4802428.5000000102</v>
      </c>
      <c r="G1205" s="86">
        <v>0</v>
      </c>
      <c r="H1205" s="86"/>
      <c r="I1205" s="86">
        <v>0</v>
      </c>
      <c r="J1205" s="86"/>
      <c r="K1205" s="86">
        <v>0</v>
      </c>
      <c r="L1205" s="86"/>
      <c r="M1205" s="86">
        <v>0</v>
      </c>
      <c r="N1205" s="86"/>
      <c r="O1205" s="86">
        <v>0</v>
      </c>
      <c r="P1205" s="86">
        <v>5094779.9999999991</v>
      </c>
      <c r="Q1205" s="86">
        <v>0</v>
      </c>
      <c r="R1205" s="87">
        <f t="shared" si="340"/>
        <v>325</v>
      </c>
      <c r="T1205" s="87">
        <v>0</v>
      </c>
      <c r="U1205" s="89"/>
      <c r="V1205" s="89">
        <v>0</v>
      </c>
      <c r="W1205" s="90"/>
      <c r="X1205" s="90">
        <v>1</v>
      </c>
      <c r="Y1205" s="90">
        <v>5579143.5000000047</v>
      </c>
      <c r="Z1205" s="90">
        <v>0</v>
      </c>
      <c r="AA1205" s="90">
        <v>325</v>
      </c>
      <c r="AB1205" s="89">
        <f t="shared" si="341"/>
        <v>0</v>
      </c>
      <c r="AC1205" s="89">
        <f t="shared" si="342"/>
        <v>0</v>
      </c>
      <c r="AD1205" s="89">
        <f t="shared" si="343"/>
        <v>1</v>
      </c>
      <c r="AE1205" s="90">
        <f t="shared" si="344"/>
        <v>0</v>
      </c>
      <c r="AF1205" s="90" t="str">
        <f t="shared" si="345"/>
        <v/>
      </c>
      <c r="AG1205" s="90">
        <f t="shared" si="346"/>
        <v>325</v>
      </c>
      <c r="AH1205" s="90" t="str">
        <f t="shared" si="347"/>
        <v>2018 (triag)</v>
      </c>
      <c r="AI1205" s="90">
        <f t="shared" si="348"/>
        <v>1</v>
      </c>
      <c r="AJ1205" s="90">
        <f t="shared" si="349"/>
        <v>2021</v>
      </c>
      <c r="AK1205" s="90" t="str">
        <f t="shared" si="350"/>
        <v>Adjust</v>
      </c>
      <c r="AL1205" s="91">
        <f>IF(AK1205="Adjust",(_xlfn.XLOOKUP(A1205,'Adj factor'!A:A,'Adj factor'!I:I,,0)*AI1205),'Master DataSheet'!AI1205)</f>
        <v>1.2841191066997519</v>
      </c>
      <c r="AM1205" s="91">
        <f t="shared" si="351"/>
        <v>325</v>
      </c>
      <c r="AN1205" s="92" t="str">
        <f t="shared" si="352"/>
        <v>Decreasing</v>
      </c>
      <c r="AS1205" s="94">
        <f t="shared" si="353"/>
        <v>0</v>
      </c>
      <c r="AT1205" s="94">
        <f t="shared" si="354"/>
        <v>0.63790781937591035</v>
      </c>
      <c r="AU1205" s="94">
        <f t="shared" si="355"/>
        <v>0.58252669070082119</v>
      </c>
    </row>
    <row r="1206" spans="1:47" x14ac:dyDescent="0.3">
      <c r="A1206" s="85" t="str">
        <f>_xlfn.XLOOKUP(B1206,'Country codes &amp; Data sources'!G:G,'Country codes &amp; Data sources'!H:H,,0)</f>
        <v>Central African Republic</v>
      </c>
      <c r="B1206" s="85" t="s">
        <v>152</v>
      </c>
      <c r="C1206" s="85">
        <v>4773311.5</v>
      </c>
      <c r="D1206" s="85" t="s">
        <v>332</v>
      </c>
      <c r="E1206" s="86">
        <v>0</v>
      </c>
      <c r="F1206" s="86">
        <v>4802428.5000000102</v>
      </c>
      <c r="G1206" s="86">
        <v>514</v>
      </c>
      <c r="H1206" s="86"/>
      <c r="I1206" s="86">
        <v>0</v>
      </c>
      <c r="J1206" s="86"/>
      <c r="K1206" s="86">
        <v>605</v>
      </c>
      <c r="L1206" s="86"/>
      <c r="M1206" s="86">
        <v>0</v>
      </c>
      <c r="N1206" s="86"/>
      <c r="O1206" s="86">
        <v>0</v>
      </c>
      <c r="P1206" s="86">
        <v>5094779.9999999991</v>
      </c>
      <c r="Q1206" s="86">
        <v>0</v>
      </c>
      <c r="R1206" s="87">
        <f t="shared" si="340"/>
        <v>444</v>
      </c>
      <c r="T1206" s="87">
        <v>0</v>
      </c>
      <c r="U1206" s="89"/>
      <c r="V1206" s="89">
        <v>0</v>
      </c>
      <c r="W1206" s="90"/>
      <c r="X1206" s="90">
        <v>537</v>
      </c>
      <c r="Y1206" s="90">
        <v>5579143.5000000047</v>
      </c>
      <c r="Z1206" s="90">
        <v>0</v>
      </c>
      <c r="AA1206" s="90">
        <v>444</v>
      </c>
      <c r="AB1206" s="89">
        <f t="shared" si="341"/>
        <v>605</v>
      </c>
      <c r="AC1206" s="89">
        <f t="shared" si="342"/>
        <v>0</v>
      </c>
      <c r="AD1206" s="89">
        <f t="shared" si="343"/>
        <v>537</v>
      </c>
      <c r="AE1206" s="90">
        <f t="shared" si="344"/>
        <v>514</v>
      </c>
      <c r="AF1206" s="90">
        <f t="shared" si="345"/>
        <v>2013</v>
      </c>
      <c r="AG1206" s="90">
        <f t="shared" si="346"/>
        <v>444</v>
      </c>
      <c r="AH1206" s="90" t="str">
        <f t="shared" si="347"/>
        <v>2018 (triag)</v>
      </c>
      <c r="AI1206" s="90">
        <f t="shared" si="348"/>
        <v>537</v>
      </c>
      <c r="AJ1206" s="90">
        <f t="shared" si="349"/>
        <v>2021</v>
      </c>
      <c r="AK1206" s="90" t="str">
        <f t="shared" si="350"/>
        <v/>
      </c>
      <c r="AL1206" s="91">
        <f>IF(AK1206="Adjust",(_xlfn.XLOOKUP(A1206,'Adj factor'!A:A,'Adj factor'!I:I,,0)*AI1206),'Master DataSheet'!AI1206)</f>
        <v>537</v>
      </c>
      <c r="AM1206" s="91">
        <f t="shared" si="351"/>
        <v>537</v>
      </c>
      <c r="AN1206" s="92" t="str">
        <f t="shared" si="352"/>
        <v>Increasing</v>
      </c>
      <c r="AS1206" s="94">
        <f t="shared" si="353"/>
        <v>1.0702918325592956</v>
      </c>
      <c r="AT1206" s="94">
        <f t="shared" si="354"/>
        <v>0.87148022093201294</v>
      </c>
      <c r="AU1206" s="94">
        <f t="shared" si="355"/>
        <v>0.96251333201951084</v>
      </c>
    </row>
    <row r="1207" spans="1:47" x14ac:dyDescent="0.3">
      <c r="A1207" s="85" t="str">
        <f>_xlfn.XLOOKUP(B1207,'Country codes &amp; Data sources'!G:G,'Country codes &amp; Data sources'!H:H,,0)</f>
        <v>Central African Republic</v>
      </c>
      <c r="B1207" s="85" t="s">
        <v>152</v>
      </c>
      <c r="C1207" s="85">
        <v>4773312.5</v>
      </c>
      <c r="D1207" s="85" t="s">
        <v>333</v>
      </c>
      <c r="E1207" s="86">
        <v>0</v>
      </c>
      <c r="F1207" s="86">
        <v>4802428.5000000102</v>
      </c>
      <c r="G1207" s="86">
        <v>241</v>
      </c>
      <c r="H1207" s="86"/>
      <c r="I1207" s="86">
        <v>0</v>
      </c>
      <c r="J1207" s="86"/>
      <c r="K1207" s="86">
        <v>0</v>
      </c>
      <c r="L1207" s="86"/>
      <c r="M1207" s="86">
        <v>0</v>
      </c>
      <c r="N1207" s="86"/>
      <c r="O1207" s="86">
        <v>0</v>
      </c>
      <c r="P1207" s="86">
        <v>5094779.9999999991</v>
      </c>
      <c r="Q1207" s="86">
        <v>0</v>
      </c>
      <c r="R1207" s="87">
        <f t="shared" si="340"/>
        <v>276</v>
      </c>
      <c r="T1207" s="87">
        <v>0</v>
      </c>
      <c r="U1207" s="89"/>
      <c r="V1207" s="89">
        <v>0</v>
      </c>
      <c r="W1207" s="90"/>
      <c r="X1207" s="90">
        <v>130</v>
      </c>
      <c r="Y1207" s="90">
        <v>5579143.5000000047</v>
      </c>
      <c r="Z1207" s="90">
        <v>0</v>
      </c>
      <c r="AA1207" s="90">
        <v>276</v>
      </c>
      <c r="AB1207" s="89">
        <f t="shared" si="341"/>
        <v>241</v>
      </c>
      <c r="AC1207" s="89">
        <f t="shared" si="342"/>
        <v>0</v>
      </c>
      <c r="AD1207" s="89">
        <f t="shared" si="343"/>
        <v>130</v>
      </c>
      <c r="AE1207" s="90">
        <f t="shared" si="344"/>
        <v>241</v>
      </c>
      <c r="AF1207" s="90">
        <f t="shared" si="345"/>
        <v>2013</v>
      </c>
      <c r="AG1207" s="90">
        <f t="shared" si="346"/>
        <v>276</v>
      </c>
      <c r="AH1207" s="90" t="str">
        <f t="shared" si="347"/>
        <v>2018 (triag)</v>
      </c>
      <c r="AI1207" s="90">
        <f t="shared" si="348"/>
        <v>130</v>
      </c>
      <c r="AJ1207" s="90">
        <f t="shared" si="349"/>
        <v>2021</v>
      </c>
      <c r="AK1207" s="90" t="str">
        <f t="shared" si="350"/>
        <v>Adjust</v>
      </c>
      <c r="AL1207" s="91">
        <f>IF(AK1207="Adjust",(_xlfn.XLOOKUP(A1207,'Adj factor'!A:A,'Adj factor'!I:I,,0)*AI1207),'Master DataSheet'!AI1207)</f>
        <v>166.93548387096774</v>
      </c>
      <c r="AM1207" s="91">
        <f t="shared" si="351"/>
        <v>276</v>
      </c>
      <c r="AN1207" s="92" t="str">
        <f t="shared" si="352"/>
        <v>Decreasing</v>
      </c>
      <c r="AS1207" s="94">
        <f t="shared" si="353"/>
        <v>0.50182943900153743</v>
      </c>
      <c r="AT1207" s="94">
        <f t="shared" si="354"/>
        <v>0.54173094814692691</v>
      </c>
      <c r="AU1207" s="94">
        <f t="shared" si="355"/>
        <v>0.49469958964131283</v>
      </c>
    </row>
    <row r="1208" spans="1:47" x14ac:dyDescent="0.3">
      <c r="A1208" s="85" t="str">
        <f>_xlfn.XLOOKUP(B1208,'Country codes &amp; Data sources'!G:G,'Country codes &amp; Data sources'!H:H,,0)</f>
        <v>Central African Republic</v>
      </c>
      <c r="B1208" s="85" t="s">
        <v>152</v>
      </c>
      <c r="C1208" s="85">
        <v>4773313.5</v>
      </c>
      <c r="D1208" s="85" t="s">
        <v>334</v>
      </c>
      <c r="E1208" s="86">
        <v>0</v>
      </c>
      <c r="F1208" s="86">
        <v>4802428.5000000102</v>
      </c>
      <c r="G1208" s="86">
        <v>273</v>
      </c>
      <c r="H1208" s="86"/>
      <c r="I1208" s="86">
        <v>0</v>
      </c>
      <c r="J1208" s="86"/>
      <c r="K1208" s="86">
        <v>0</v>
      </c>
      <c r="L1208" s="86"/>
      <c r="M1208" s="86">
        <v>0</v>
      </c>
      <c r="N1208" s="86"/>
      <c r="O1208" s="86">
        <v>0</v>
      </c>
      <c r="P1208" s="86">
        <v>5094779.9999999991</v>
      </c>
      <c r="Q1208" s="86">
        <v>0</v>
      </c>
      <c r="R1208" s="87">
        <f t="shared" si="340"/>
        <v>168</v>
      </c>
      <c r="T1208" s="87">
        <v>0</v>
      </c>
      <c r="U1208" s="89"/>
      <c r="V1208" s="89">
        <v>0</v>
      </c>
      <c r="W1208" s="90"/>
      <c r="X1208" s="90">
        <v>197</v>
      </c>
      <c r="Y1208" s="90">
        <v>5579143.5000000047</v>
      </c>
      <c r="Z1208" s="90">
        <v>0</v>
      </c>
      <c r="AA1208" s="90">
        <v>168</v>
      </c>
      <c r="AB1208" s="89">
        <f t="shared" si="341"/>
        <v>273</v>
      </c>
      <c r="AC1208" s="89">
        <f t="shared" si="342"/>
        <v>0</v>
      </c>
      <c r="AD1208" s="89">
        <f t="shared" si="343"/>
        <v>197</v>
      </c>
      <c r="AE1208" s="90">
        <f t="shared" si="344"/>
        <v>273</v>
      </c>
      <c r="AF1208" s="90">
        <f t="shared" si="345"/>
        <v>2013</v>
      </c>
      <c r="AG1208" s="90">
        <f t="shared" si="346"/>
        <v>168</v>
      </c>
      <c r="AH1208" s="90" t="str">
        <f t="shared" si="347"/>
        <v>2018 (triag)</v>
      </c>
      <c r="AI1208" s="90">
        <f t="shared" si="348"/>
        <v>197</v>
      </c>
      <c r="AJ1208" s="90">
        <f t="shared" si="349"/>
        <v>2021</v>
      </c>
      <c r="AK1208" s="90" t="str">
        <f t="shared" si="350"/>
        <v/>
      </c>
      <c r="AL1208" s="91">
        <f>IF(AK1208="Adjust",(_xlfn.XLOOKUP(A1208,'Adj factor'!A:A,'Adj factor'!I:I,,0)*AI1208),'Master DataSheet'!AI1208)</f>
        <v>197</v>
      </c>
      <c r="AM1208" s="91">
        <f t="shared" si="351"/>
        <v>197</v>
      </c>
      <c r="AN1208" s="92" t="str">
        <f t="shared" si="352"/>
        <v>Increasing</v>
      </c>
      <c r="AS1208" s="94">
        <f t="shared" si="353"/>
        <v>0.56846239355775818</v>
      </c>
      <c r="AT1208" s="94">
        <f t="shared" si="354"/>
        <v>0.32974927278508598</v>
      </c>
      <c r="AU1208" s="94">
        <f t="shared" si="355"/>
        <v>0.35310079405557471</v>
      </c>
    </row>
    <row r="1209" spans="1:47" x14ac:dyDescent="0.3">
      <c r="A1209" s="85" t="str">
        <f>_xlfn.XLOOKUP(B1209,'Country codes &amp; Data sources'!G:G,'Country codes &amp; Data sources'!H:H,,0)</f>
        <v>Central African Republic</v>
      </c>
      <c r="B1209" s="85" t="s">
        <v>152</v>
      </c>
      <c r="C1209" s="85">
        <v>4773314.5</v>
      </c>
      <c r="D1209" s="85" t="s">
        <v>335</v>
      </c>
      <c r="E1209" s="86">
        <v>0</v>
      </c>
      <c r="F1209" s="86">
        <v>4802428.5000000102</v>
      </c>
      <c r="G1209" s="86">
        <v>0</v>
      </c>
      <c r="H1209" s="86"/>
      <c r="I1209" s="86">
        <v>0</v>
      </c>
      <c r="J1209" s="86"/>
      <c r="K1209" s="86">
        <v>20</v>
      </c>
      <c r="L1209" s="86"/>
      <c r="M1209" s="86">
        <v>0</v>
      </c>
      <c r="N1209" s="86"/>
      <c r="O1209" s="86">
        <v>0</v>
      </c>
      <c r="P1209" s="86">
        <v>5094779.9999999991</v>
      </c>
      <c r="Q1209" s="86">
        <v>36</v>
      </c>
      <c r="R1209" s="87">
        <f t="shared" si="340"/>
        <v>36</v>
      </c>
      <c r="T1209" s="87">
        <v>0</v>
      </c>
      <c r="U1209" s="89"/>
      <c r="V1209" s="89">
        <v>0</v>
      </c>
      <c r="W1209" s="90"/>
      <c r="X1209" s="90">
        <v>2</v>
      </c>
      <c r="Y1209" s="90">
        <v>5579143.5000000047</v>
      </c>
      <c r="Z1209" s="90">
        <v>0</v>
      </c>
      <c r="AA1209" s="90">
        <v>36</v>
      </c>
      <c r="AB1209" s="89">
        <f t="shared" si="341"/>
        <v>20</v>
      </c>
      <c r="AC1209" s="89">
        <f t="shared" si="342"/>
        <v>36</v>
      </c>
      <c r="AD1209" s="89">
        <f t="shared" si="343"/>
        <v>2</v>
      </c>
      <c r="AE1209" s="90">
        <f t="shared" si="344"/>
        <v>20</v>
      </c>
      <c r="AF1209" s="90">
        <f t="shared" si="345"/>
        <v>2015</v>
      </c>
      <c r="AG1209" s="90">
        <f t="shared" si="346"/>
        <v>36</v>
      </c>
      <c r="AH1209" s="90">
        <f t="shared" si="347"/>
        <v>2018</v>
      </c>
      <c r="AI1209" s="90">
        <f t="shared" si="348"/>
        <v>2</v>
      </c>
      <c r="AJ1209" s="90">
        <f t="shared" si="349"/>
        <v>2021</v>
      </c>
      <c r="AK1209" s="90" t="str">
        <f t="shared" si="350"/>
        <v>Adjust</v>
      </c>
      <c r="AL1209" s="91">
        <f>IF(AK1209="Adjust",(_xlfn.XLOOKUP(A1209,'Adj factor'!A:A,'Adj factor'!I:I,,0)*AI1209),'Master DataSheet'!AI1209)</f>
        <v>2.5682382133995039</v>
      </c>
      <c r="AM1209" s="91">
        <f t="shared" si="351"/>
        <v>36</v>
      </c>
      <c r="AN1209" s="92" t="str">
        <f t="shared" si="352"/>
        <v>Decreasing</v>
      </c>
      <c r="AS1209" s="94">
        <f t="shared" si="353"/>
        <v>4.164559659763796E-2</v>
      </c>
      <c r="AT1209" s="94">
        <f t="shared" si="354"/>
        <v>7.0660558453946989E-2</v>
      </c>
      <c r="AU1209" s="94">
        <f t="shared" si="355"/>
        <v>6.4526033431475588E-2</v>
      </c>
    </row>
    <row r="1210" spans="1:47" x14ac:dyDescent="0.3">
      <c r="A1210" s="85" t="str">
        <f>_xlfn.XLOOKUP(B1210,'Country codes &amp; Data sources'!G:G,'Country codes &amp; Data sources'!H:H,,0)</f>
        <v>Central African Republic</v>
      </c>
      <c r="B1210" s="85" t="s">
        <v>152</v>
      </c>
      <c r="C1210" s="85">
        <v>4773315.5</v>
      </c>
      <c r="D1210" s="85" t="s">
        <v>336</v>
      </c>
      <c r="E1210" s="86">
        <v>0</v>
      </c>
      <c r="F1210" s="86">
        <v>4802428.5000000102</v>
      </c>
      <c r="G1210" s="86">
        <v>0</v>
      </c>
      <c r="H1210" s="86"/>
      <c r="I1210" s="86">
        <v>0</v>
      </c>
      <c r="J1210" s="86"/>
      <c r="K1210" s="86">
        <v>0</v>
      </c>
      <c r="L1210" s="86"/>
      <c r="M1210" s="86">
        <v>0</v>
      </c>
      <c r="N1210" s="86"/>
      <c r="O1210" s="86">
        <v>0</v>
      </c>
      <c r="P1210" s="86">
        <v>5094779.9999999991</v>
      </c>
      <c r="Q1210" s="86">
        <v>0</v>
      </c>
      <c r="R1210" s="87">
        <f t="shared" si="340"/>
        <v>0</v>
      </c>
      <c r="T1210" s="87">
        <v>0</v>
      </c>
      <c r="U1210" s="89"/>
      <c r="V1210" s="89">
        <v>0</v>
      </c>
      <c r="W1210" s="90"/>
      <c r="X1210" s="90">
        <v>0</v>
      </c>
      <c r="Y1210" s="90">
        <v>5579143.5000000047</v>
      </c>
      <c r="Z1210" s="90">
        <v>0</v>
      </c>
      <c r="AA1210" s="90">
        <v>0</v>
      </c>
      <c r="AB1210" s="89">
        <f t="shared" si="341"/>
        <v>0</v>
      </c>
      <c r="AC1210" s="89">
        <f t="shared" si="342"/>
        <v>0</v>
      </c>
      <c r="AD1210" s="89">
        <f t="shared" si="343"/>
        <v>0</v>
      </c>
      <c r="AE1210" s="90">
        <f t="shared" si="344"/>
        <v>0</v>
      </c>
      <c r="AF1210" s="90" t="str">
        <f t="shared" si="345"/>
        <v/>
      </c>
      <c r="AG1210" s="90">
        <f t="shared" si="346"/>
        <v>0</v>
      </c>
      <c r="AH1210" s="90" t="str">
        <f t="shared" si="347"/>
        <v/>
      </c>
      <c r="AI1210" s="90">
        <f t="shared" si="348"/>
        <v>0</v>
      </c>
      <c r="AJ1210" s="90" t="str">
        <f t="shared" si="349"/>
        <v/>
      </c>
      <c r="AK1210" s="90" t="str">
        <f t="shared" si="350"/>
        <v/>
      </c>
      <c r="AL1210" s="91">
        <f>IF(AK1210="Adjust",(_xlfn.XLOOKUP(A1210,'Adj factor'!A:A,'Adj factor'!I:I,,0)*AI1210),'Master DataSheet'!AI1210)</f>
        <v>0</v>
      </c>
      <c r="AM1210" s="91">
        <f t="shared" si="351"/>
        <v>0</v>
      </c>
      <c r="AN1210" s="92" t="str">
        <f t="shared" si="352"/>
        <v>No change</v>
      </c>
      <c r="AS1210" s="94">
        <f t="shared" si="353"/>
        <v>0</v>
      </c>
      <c r="AT1210" s="94">
        <f t="shared" si="354"/>
        <v>0</v>
      </c>
      <c r="AU1210" s="94">
        <f t="shared" si="355"/>
        <v>0</v>
      </c>
    </row>
    <row r="1211" spans="1:47" x14ac:dyDescent="0.3">
      <c r="A1211" s="85" t="str">
        <f>_xlfn.XLOOKUP(B1211,'Country codes &amp; Data sources'!G:G,'Country codes &amp; Data sources'!H:H,,0)</f>
        <v>Central African Republic</v>
      </c>
      <c r="B1211" s="85" t="s">
        <v>152</v>
      </c>
      <c r="C1211" s="85">
        <v>4773316.5</v>
      </c>
      <c r="D1211" s="85" t="s">
        <v>337</v>
      </c>
      <c r="E1211" s="86">
        <v>0</v>
      </c>
      <c r="F1211" s="86">
        <v>4802428.5000000102</v>
      </c>
      <c r="G1211" s="86">
        <v>0</v>
      </c>
      <c r="H1211" s="86"/>
      <c r="I1211" s="86">
        <v>0</v>
      </c>
      <c r="J1211" s="86"/>
      <c r="K1211" s="86">
        <v>0</v>
      </c>
      <c r="L1211" s="86"/>
      <c r="M1211" s="86">
        <v>0</v>
      </c>
      <c r="N1211" s="86"/>
      <c r="O1211" s="86">
        <v>0</v>
      </c>
      <c r="P1211" s="86">
        <v>5094779.9999999991</v>
      </c>
      <c r="Q1211" s="86">
        <v>10</v>
      </c>
      <c r="R1211" s="87">
        <f t="shared" si="340"/>
        <v>10</v>
      </c>
      <c r="T1211" s="87">
        <v>0</v>
      </c>
      <c r="U1211" s="89"/>
      <c r="V1211" s="89">
        <v>0</v>
      </c>
      <c r="W1211" s="90"/>
      <c r="X1211" s="90">
        <v>2</v>
      </c>
      <c r="Y1211" s="90">
        <v>5579143.5000000047</v>
      </c>
      <c r="Z1211" s="90">
        <v>0</v>
      </c>
      <c r="AA1211" s="90">
        <v>3</v>
      </c>
      <c r="AB1211" s="89">
        <f t="shared" si="341"/>
        <v>0</v>
      </c>
      <c r="AC1211" s="89">
        <f t="shared" si="342"/>
        <v>10</v>
      </c>
      <c r="AD1211" s="89">
        <f t="shared" si="343"/>
        <v>2</v>
      </c>
      <c r="AE1211" s="90">
        <f t="shared" si="344"/>
        <v>0</v>
      </c>
      <c r="AF1211" s="90" t="str">
        <f t="shared" si="345"/>
        <v/>
      </c>
      <c r="AG1211" s="90">
        <f t="shared" si="346"/>
        <v>10</v>
      </c>
      <c r="AH1211" s="90">
        <f t="shared" si="347"/>
        <v>2018</v>
      </c>
      <c r="AI1211" s="90">
        <f t="shared" si="348"/>
        <v>2</v>
      </c>
      <c r="AJ1211" s="90">
        <f t="shared" si="349"/>
        <v>2021</v>
      </c>
      <c r="AK1211" s="90" t="str">
        <f t="shared" si="350"/>
        <v>Adjust</v>
      </c>
      <c r="AL1211" s="91">
        <f>IF(AK1211="Adjust",(_xlfn.XLOOKUP(A1211,'Adj factor'!A:A,'Adj factor'!I:I,,0)*AI1211),'Master DataSheet'!AI1211)</f>
        <v>2.5682382133995039</v>
      </c>
      <c r="AM1211" s="91">
        <f t="shared" si="351"/>
        <v>10</v>
      </c>
      <c r="AN1211" s="92" t="str">
        <f t="shared" si="352"/>
        <v>Decreasing</v>
      </c>
      <c r="AS1211" s="94">
        <f t="shared" si="353"/>
        <v>0</v>
      </c>
      <c r="AT1211" s="94">
        <f t="shared" si="354"/>
        <v>1.9627932903874164E-2</v>
      </c>
      <c r="AU1211" s="94">
        <f t="shared" si="355"/>
        <v>1.7923898175409885E-2</v>
      </c>
    </row>
    <row r="1212" spans="1:47" x14ac:dyDescent="0.3">
      <c r="A1212" s="85" t="str">
        <f>_xlfn.XLOOKUP(B1212,'Country codes &amp; Data sources'!G:G,'Country codes &amp; Data sources'!H:H,,0)</f>
        <v>Central African Republic</v>
      </c>
      <c r="B1212" s="85" t="s">
        <v>152</v>
      </c>
      <c r="C1212" s="85">
        <v>4773317.5</v>
      </c>
      <c r="D1212" s="85" t="s">
        <v>338</v>
      </c>
      <c r="E1212" s="86">
        <v>0</v>
      </c>
      <c r="F1212" s="86">
        <v>4802428.5000000102</v>
      </c>
      <c r="G1212" s="86">
        <v>0</v>
      </c>
      <c r="H1212" s="86"/>
      <c r="I1212" s="86">
        <v>0</v>
      </c>
      <c r="J1212" s="86"/>
      <c r="K1212" s="86">
        <v>0</v>
      </c>
      <c r="L1212" s="86"/>
      <c r="M1212" s="86">
        <v>0</v>
      </c>
      <c r="N1212" s="86"/>
      <c r="O1212" s="86">
        <v>0</v>
      </c>
      <c r="P1212" s="86">
        <v>5094779.9999999991</v>
      </c>
      <c r="Q1212" s="86">
        <v>0</v>
      </c>
      <c r="R1212" s="87">
        <f t="shared" si="340"/>
        <v>7</v>
      </c>
      <c r="T1212" s="87">
        <v>0</v>
      </c>
      <c r="U1212" s="89"/>
      <c r="V1212" s="89">
        <v>0</v>
      </c>
      <c r="W1212" s="90"/>
      <c r="X1212" s="90">
        <v>0</v>
      </c>
      <c r="Y1212" s="90">
        <v>5579143.5000000047</v>
      </c>
      <c r="Z1212" s="90">
        <v>0</v>
      </c>
      <c r="AA1212" s="90">
        <v>7</v>
      </c>
      <c r="AB1212" s="89">
        <f t="shared" si="341"/>
        <v>0</v>
      </c>
      <c r="AC1212" s="89">
        <f t="shared" si="342"/>
        <v>0</v>
      </c>
      <c r="AD1212" s="89">
        <f t="shared" si="343"/>
        <v>0</v>
      </c>
      <c r="AE1212" s="90">
        <f t="shared" si="344"/>
        <v>0</v>
      </c>
      <c r="AF1212" s="90" t="str">
        <f t="shared" si="345"/>
        <v/>
      </c>
      <c r="AG1212" s="90">
        <f t="shared" si="346"/>
        <v>7</v>
      </c>
      <c r="AH1212" s="90" t="str">
        <f t="shared" si="347"/>
        <v>2018 (triag)</v>
      </c>
      <c r="AI1212" s="90">
        <f t="shared" si="348"/>
        <v>7</v>
      </c>
      <c r="AJ1212" s="90" t="str">
        <f t="shared" si="349"/>
        <v>2018 (triag)</v>
      </c>
      <c r="AK1212" s="90" t="str">
        <f t="shared" si="350"/>
        <v/>
      </c>
      <c r="AL1212" s="91">
        <f>IF(AK1212="Adjust",(_xlfn.XLOOKUP(A1212,'Adj factor'!A:A,'Adj factor'!I:I,,0)*AI1212),'Master DataSheet'!AI1212)</f>
        <v>7</v>
      </c>
      <c r="AM1212" s="91">
        <f t="shared" si="351"/>
        <v>7</v>
      </c>
      <c r="AN1212" s="92" t="str">
        <f t="shared" si="352"/>
        <v>No change</v>
      </c>
      <c r="AS1212" s="94">
        <f t="shared" si="353"/>
        <v>0</v>
      </c>
      <c r="AT1212" s="94">
        <f t="shared" si="354"/>
        <v>1.3739553032711916E-2</v>
      </c>
      <c r="AU1212" s="94">
        <f t="shared" si="355"/>
        <v>1.2546728722786919E-2</v>
      </c>
    </row>
    <row r="1213" spans="1:47" x14ac:dyDescent="0.3">
      <c r="A1213" s="85" t="str">
        <f>_xlfn.XLOOKUP(B1213,'Country codes &amp; Data sources'!G:G,'Country codes &amp; Data sources'!H:H,,0)</f>
        <v>Central African Republic</v>
      </c>
      <c r="B1213" s="85" t="s">
        <v>152</v>
      </c>
      <c r="C1213" s="85">
        <v>4773318.5</v>
      </c>
      <c r="D1213" s="85" t="s">
        <v>339</v>
      </c>
      <c r="E1213" s="86">
        <v>0</v>
      </c>
      <c r="F1213" s="86">
        <v>4802428.5000000102</v>
      </c>
      <c r="G1213" s="86">
        <v>0</v>
      </c>
      <c r="H1213" s="86"/>
      <c r="I1213" s="86">
        <v>0</v>
      </c>
      <c r="J1213" s="86"/>
      <c r="K1213" s="86">
        <v>0</v>
      </c>
      <c r="L1213" s="86"/>
      <c r="M1213" s="86">
        <v>0</v>
      </c>
      <c r="N1213" s="86"/>
      <c r="O1213" s="86">
        <v>0</v>
      </c>
      <c r="P1213" s="86">
        <v>5094779.9999999991</v>
      </c>
      <c r="Q1213" s="86">
        <v>0</v>
      </c>
      <c r="R1213" s="87">
        <f t="shared" si="340"/>
        <v>0</v>
      </c>
      <c r="T1213" s="87">
        <v>0</v>
      </c>
      <c r="U1213" s="89"/>
      <c r="V1213" s="89">
        <v>0</v>
      </c>
      <c r="W1213" s="90"/>
      <c r="X1213" s="90">
        <v>0</v>
      </c>
      <c r="Y1213" s="90">
        <v>5579143.5000000047</v>
      </c>
      <c r="Z1213" s="90">
        <v>0</v>
      </c>
      <c r="AA1213" s="90">
        <v>0</v>
      </c>
      <c r="AB1213" s="89">
        <f t="shared" si="341"/>
        <v>0</v>
      </c>
      <c r="AC1213" s="89">
        <f t="shared" si="342"/>
        <v>0</v>
      </c>
      <c r="AD1213" s="89">
        <f t="shared" si="343"/>
        <v>0</v>
      </c>
      <c r="AE1213" s="90">
        <f t="shared" si="344"/>
        <v>0</v>
      </c>
      <c r="AF1213" s="90" t="str">
        <f t="shared" si="345"/>
        <v/>
      </c>
      <c r="AG1213" s="90">
        <f t="shared" si="346"/>
        <v>0</v>
      </c>
      <c r="AH1213" s="90" t="str">
        <f t="shared" si="347"/>
        <v/>
      </c>
      <c r="AI1213" s="90">
        <f t="shared" si="348"/>
        <v>0</v>
      </c>
      <c r="AJ1213" s="90" t="str">
        <f t="shared" si="349"/>
        <v/>
      </c>
      <c r="AK1213" s="90" t="str">
        <f t="shared" si="350"/>
        <v/>
      </c>
      <c r="AL1213" s="91">
        <f>IF(AK1213="Adjust",(_xlfn.XLOOKUP(A1213,'Adj factor'!A:A,'Adj factor'!I:I,,0)*AI1213),'Master DataSheet'!AI1213)</f>
        <v>0</v>
      </c>
      <c r="AM1213" s="91">
        <f t="shared" si="351"/>
        <v>0</v>
      </c>
      <c r="AN1213" s="92" t="str">
        <f t="shared" si="352"/>
        <v>No change</v>
      </c>
      <c r="AS1213" s="94">
        <f t="shared" si="353"/>
        <v>0</v>
      </c>
      <c r="AT1213" s="94">
        <f t="shared" si="354"/>
        <v>0</v>
      </c>
      <c r="AU1213" s="94">
        <f t="shared" si="355"/>
        <v>0</v>
      </c>
    </row>
    <row r="1214" spans="1:47" x14ac:dyDescent="0.3">
      <c r="A1214" s="85" t="str">
        <f>_xlfn.XLOOKUP(B1214,'Country codes &amp; Data sources'!G:G,'Country codes &amp; Data sources'!H:H,,0)</f>
        <v>Cote d'Ivoire</v>
      </c>
      <c r="B1214" s="85" t="s">
        <v>166</v>
      </c>
      <c r="C1214" s="85">
        <v>22010711.499999996</v>
      </c>
      <c r="D1214" s="85" t="s">
        <v>326</v>
      </c>
      <c r="E1214" s="86">
        <v>0</v>
      </c>
      <c r="F1214" s="86">
        <v>22469267.5</v>
      </c>
      <c r="G1214" s="86">
        <v>0</v>
      </c>
      <c r="H1214" s="86">
        <v>22995555.5</v>
      </c>
      <c r="I1214" s="86">
        <v>5240</v>
      </c>
      <c r="J1214" s="86">
        <v>23596741</v>
      </c>
      <c r="K1214" s="86">
        <v>0</v>
      </c>
      <c r="L1214" s="86">
        <v>24213621.500000015</v>
      </c>
      <c r="M1214" s="86">
        <v>0</v>
      </c>
      <c r="N1214" s="86">
        <v>24848015.5</v>
      </c>
      <c r="O1214" s="86">
        <v>0</v>
      </c>
      <c r="P1214" s="86">
        <v>25493988.499999996</v>
      </c>
      <c r="Q1214" s="86">
        <v>5602</v>
      </c>
      <c r="R1214" s="87">
        <f t="shared" si="340"/>
        <v>5602</v>
      </c>
      <c r="S1214" s="87">
        <v>26147550.999999996</v>
      </c>
      <c r="T1214" s="87">
        <v>4173</v>
      </c>
      <c r="U1214" s="89">
        <v>26811790.500000004</v>
      </c>
      <c r="V1214" s="89">
        <v>4435</v>
      </c>
      <c r="W1214" s="90">
        <v>27478249.000000004</v>
      </c>
      <c r="X1214" s="90">
        <v>4951</v>
      </c>
      <c r="Y1214" s="90">
        <v>28160542.500000004</v>
      </c>
      <c r="Z1214" s="90">
        <v>4930</v>
      </c>
      <c r="AA1214" s="90">
        <v>5602</v>
      </c>
      <c r="AB1214" s="89">
        <f t="shared" si="341"/>
        <v>5240</v>
      </c>
      <c r="AC1214" s="89">
        <f t="shared" si="342"/>
        <v>5602</v>
      </c>
      <c r="AD1214" s="89">
        <f t="shared" si="343"/>
        <v>4951</v>
      </c>
      <c r="AE1214" s="90">
        <f t="shared" si="344"/>
        <v>5240</v>
      </c>
      <c r="AF1214" s="90">
        <f t="shared" si="345"/>
        <v>2014</v>
      </c>
      <c r="AG1214" s="90">
        <f t="shared" si="346"/>
        <v>5602</v>
      </c>
      <c r="AH1214" s="90">
        <f t="shared" si="347"/>
        <v>2018</v>
      </c>
      <c r="AI1214" s="90">
        <f t="shared" si="348"/>
        <v>4930</v>
      </c>
      <c r="AJ1214" s="90">
        <f t="shared" si="349"/>
        <v>2022</v>
      </c>
      <c r="AK1214" s="90" t="str">
        <f t="shared" si="350"/>
        <v>Adjust</v>
      </c>
      <c r="AL1214" s="91">
        <f>IF(AK1214="Adjust",(_xlfn.XLOOKUP(A1214,'Adj factor'!A:A,'Adj factor'!I:I,,0)*AI1214),'Master DataSheet'!AI1214)</f>
        <v>6327.5519796794806</v>
      </c>
      <c r="AM1214" s="91">
        <f t="shared" si="351"/>
        <v>6327.5519796794806</v>
      </c>
      <c r="AN1214" s="92" t="str">
        <f t="shared" si="352"/>
        <v>Increasing</v>
      </c>
      <c r="AS1214" s="94">
        <f t="shared" si="353"/>
        <v>2.3320742431857204</v>
      </c>
      <c r="AT1214" s="94">
        <f t="shared" si="354"/>
        <v>2.1973807668423482</v>
      </c>
      <c r="AU1214" s="94">
        <f t="shared" si="355"/>
        <v>2.2469567053544797</v>
      </c>
    </row>
    <row r="1215" spans="1:47" x14ac:dyDescent="0.3">
      <c r="A1215" s="85" t="str">
        <f>_xlfn.XLOOKUP(B1215,'Country codes &amp; Data sources'!G:G,'Country codes &amp; Data sources'!H:H,,0)</f>
        <v>Cote d'Ivoire</v>
      </c>
      <c r="B1215" s="85" t="s">
        <v>166</v>
      </c>
      <c r="C1215" s="85">
        <v>22010712.5</v>
      </c>
      <c r="D1215" s="85" t="s">
        <v>327</v>
      </c>
      <c r="E1215" s="86">
        <v>0</v>
      </c>
      <c r="F1215" s="86">
        <v>22469267.5</v>
      </c>
      <c r="G1215" s="86">
        <v>0</v>
      </c>
      <c r="H1215" s="86"/>
      <c r="I1215" s="86">
        <v>0</v>
      </c>
      <c r="J1215" s="86"/>
      <c r="K1215" s="86">
        <v>0</v>
      </c>
      <c r="L1215" s="86"/>
      <c r="M1215" s="86">
        <v>0</v>
      </c>
      <c r="N1215" s="86"/>
      <c r="O1215" s="86">
        <v>0</v>
      </c>
      <c r="P1215" s="86">
        <v>25493988.499999996</v>
      </c>
      <c r="Q1215" s="86">
        <v>4246</v>
      </c>
      <c r="R1215" s="87">
        <f t="shared" si="340"/>
        <v>4246</v>
      </c>
      <c r="T1215" s="87">
        <v>0</v>
      </c>
      <c r="U1215" s="89"/>
      <c r="V1215" s="89">
        <v>4435</v>
      </c>
      <c r="W1215" s="90"/>
      <c r="X1215" s="90">
        <v>4623</v>
      </c>
      <c r="Y1215" s="90">
        <v>28160542.500000004</v>
      </c>
      <c r="Z1215" s="90">
        <v>4412</v>
      </c>
      <c r="AA1215" s="90">
        <v>4246</v>
      </c>
      <c r="AB1215" s="89">
        <f t="shared" si="341"/>
        <v>0</v>
      </c>
      <c r="AC1215" s="89">
        <f t="shared" si="342"/>
        <v>4246</v>
      </c>
      <c r="AD1215" s="89">
        <f t="shared" si="343"/>
        <v>4623</v>
      </c>
      <c r="AE1215" s="90">
        <f t="shared" si="344"/>
        <v>0</v>
      </c>
      <c r="AF1215" s="90" t="str">
        <f t="shared" si="345"/>
        <v/>
      </c>
      <c r="AG1215" s="90">
        <f t="shared" si="346"/>
        <v>4246</v>
      </c>
      <c r="AH1215" s="90">
        <f t="shared" si="347"/>
        <v>2018</v>
      </c>
      <c r="AI1215" s="90">
        <f t="shared" si="348"/>
        <v>4412</v>
      </c>
      <c r="AJ1215" s="90">
        <f t="shared" si="349"/>
        <v>2022</v>
      </c>
      <c r="AK1215" s="90" t="str">
        <f t="shared" si="350"/>
        <v/>
      </c>
      <c r="AL1215" s="91">
        <f>IF(AK1215="Adjust",(_xlfn.XLOOKUP(A1215,'Adj factor'!A:A,'Adj factor'!I:I,,0)*AI1215),'Master DataSheet'!AI1215)</f>
        <v>4412</v>
      </c>
      <c r="AM1215" s="91">
        <f t="shared" si="351"/>
        <v>4412</v>
      </c>
      <c r="AN1215" s="92" t="str">
        <f t="shared" si="352"/>
        <v>Increasing</v>
      </c>
      <c r="AS1215" s="94">
        <f t="shared" si="353"/>
        <v>0</v>
      </c>
      <c r="AT1215" s="94">
        <f t="shared" si="354"/>
        <v>1.6654906704770815</v>
      </c>
      <c r="AU1215" s="94">
        <f t="shared" si="355"/>
        <v>1.5667311806936957</v>
      </c>
    </row>
    <row r="1216" spans="1:47" x14ac:dyDescent="0.3">
      <c r="A1216" s="85" t="str">
        <f>_xlfn.XLOOKUP(B1216,'Country codes &amp; Data sources'!G:G,'Country codes &amp; Data sources'!H:H,,0)</f>
        <v>Cote d'Ivoire</v>
      </c>
      <c r="B1216" s="85" t="s">
        <v>166</v>
      </c>
      <c r="C1216" s="85">
        <v>22010713.5</v>
      </c>
      <c r="D1216" s="85" t="s">
        <v>328</v>
      </c>
      <c r="E1216" s="86">
        <v>0</v>
      </c>
      <c r="F1216" s="86">
        <v>22469267.5</v>
      </c>
      <c r="G1216" s="86">
        <v>0</v>
      </c>
      <c r="H1216" s="86"/>
      <c r="I1216" s="86">
        <v>0</v>
      </c>
      <c r="J1216" s="86"/>
      <c r="K1216" s="86">
        <v>0</v>
      </c>
      <c r="L1216" s="86"/>
      <c r="M1216" s="86">
        <v>0</v>
      </c>
      <c r="N1216" s="86"/>
      <c r="O1216" s="86">
        <v>0</v>
      </c>
      <c r="P1216" s="86">
        <v>25493988.499999996</v>
      </c>
      <c r="Q1216" s="86">
        <v>1356</v>
      </c>
      <c r="R1216" s="87">
        <f t="shared" si="340"/>
        <v>1356</v>
      </c>
      <c r="T1216" s="87">
        <v>0</v>
      </c>
      <c r="U1216" s="89"/>
      <c r="V1216" s="89">
        <v>0</v>
      </c>
      <c r="W1216" s="90"/>
      <c r="X1216" s="90">
        <v>328</v>
      </c>
      <c r="Y1216" s="90">
        <v>28160542.500000004</v>
      </c>
      <c r="Z1216" s="90">
        <v>518</v>
      </c>
      <c r="AA1216" s="90">
        <v>1356</v>
      </c>
      <c r="AB1216" s="89">
        <f t="shared" si="341"/>
        <v>0</v>
      </c>
      <c r="AC1216" s="89">
        <f t="shared" si="342"/>
        <v>1356</v>
      </c>
      <c r="AD1216" s="89">
        <f t="shared" si="343"/>
        <v>518</v>
      </c>
      <c r="AE1216" s="90">
        <f t="shared" si="344"/>
        <v>0</v>
      </c>
      <c r="AF1216" s="90" t="str">
        <f t="shared" si="345"/>
        <v/>
      </c>
      <c r="AG1216" s="90">
        <f t="shared" si="346"/>
        <v>1356</v>
      </c>
      <c r="AH1216" s="90">
        <f t="shared" si="347"/>
        <v>2018</v>
      </c>
      <c r="AI1216" s="90">
        <f t="shared" si="348"/>
        <v>518</v>
      </c>
      <c r="AJ1216" s="90">
        <f t="shared" si="349"/>
        <v>2022</v>
      </c>
      <c r="AK1216" s="90" t="str">
        <f t="shared" si="350"/>
        <v>Adjust</v>
      </c>
      <c r="AL1216" s="91">
        <f>IF(AK1216="Adjust",(_xlfn.XLOOKUP(A1216,'Adj factor'!A:A,'Adj factor'!I:I,,0)*AI1216),'Master DataSheet'!AI1216)</f>
        <v>664.84217555252962</v>
      </c>
      <c r="AM1216" s="91">
        <f t="shared" si="351"/>
        <v>1356</v>
      </c>
      <c r="AN1216" s="92" t="str">
        <f t="shared" si="352"/>
        <v>Decreasing</v>
      </c>
      <c r="AS1216" s="94">
        <f t="shared" si="353"/>
        <v>0</v>
      </c>
      <c r="AT1216" s="94">
        <f t="shared" si="354"/>
        <v>0.53189009636526674</v>
      </c>
      <c r="AU1216" s="94">
        <f t="shared" si="355"/>
        <v>0.48152481437458095</v>
      </c>
    </row>
    <row r="1217" spans="1:47" x14ac:dyDescent="0.3">
      <c r="A1217" s="85" t="str">
        <f>_xlfn.XLOOKUP(B1217,'Country codes &amp; Data sources'!G:G,'Country codes &amp; Data sources'!H:H,,0)</f>
        <v>Cote d'Ivoire</v>
      </c>
      <c r="B1217" s="85" t="s">
        <v>166</v>
      </c>
      <c r="C1217" s="85">
        <v>22010714.5</v>
      </c>
      <c r="D1217" s="85" t="s">
        <v>329</v>
      </c>
      <c r="E1217" s="86">
        <v>0</v>
      </c>
      <c r="F1217" s="86">
        <v>22469267.5</v>
      </c>
      <c r="G1217" s="86">
        <v>8780</v>
      </c>
      <c r="H1217" s="86"/>
      <c r="I1217" s="86">
        <v>8868</v>
      </c>
      <c r="J1217" s="86"/>
      <c r="K1217" s="86">
        <v>10891</v>
      </c>
      <c r="L1217" s="86"/>
      <c r="M1217" s="86">
        <v>12132</v>
      </c>
      <c r="N1217" s="86"/>
      <c r="O1217" s="86">
        <v>13583</v>
      </c>
      <c r="P1217" s="86">
        <v>25493988.499999996</v>
      </c>
      <c r="Q1217" s="86">
        <v>15163</v>
      </c>
      <c r="R1217" s="87">
        <f t="shared" si="340"/>
        <v>15163</v>
      </c>
      <c r="T1217" s="87">
        <v>11259</v>
      </c>
      <c r="U1217" s="89"/>
      <c r="V1217" s="89">
        <v>13396</v>
      </c>
      <c r="W1217" s="90"/>
      <c r="X1217" s="90">
        <v>12887</v>
      </c>
      <c r="Y1217" s="90">
        <v>28160542.500000004</v>
      </c>
      <c r="Z1217" s="90">
        <v>14979</v>
      </c>
      <c r="AA1217" s="90">
        <v>11730</v>
      </c>
      <c r="AB1217" s="89">
        <f t="shared" si="341"/>
        <v>10891</v>
      </c>
      <c r="AC1217" s="89">
        <f t="shared" si="342"/>
        <v>15163</v>
      </c>
      <c r="AD1217" s="89">
        <f t="shared" si="343"/>
        <v>14979</v>
      </c>
      <c r="AE1217" s="90">
        <f t="shared" si="344"/>
        <v>8780</v>
      </c>
      <c r="AF1217" s="90">
        <f t="shared" si="345"/>
        <v>2013</v>
      </c>
      <c r="AG1217" s="90">
        <f t="shared" si="346"/>
        <v>15163</v>
      </c>
      <c r="AH1217" s="90">
        <f t="shared" si="347"/>
        <v>2018</v>
      </c>
      <c r="AI1217" s="90">
        <f t="shared" si="348"/>
        <v>14979</v>
      </c>
      <c r="AJ1217" s="90">
        <f t="shared" si="349"/>
        <v>2022</v>
      </c>
      <c r="AK1217" s="90" t="str">
        <f t="shared" si="350"/>
        <v>Adjust</v>
      </c>
      <c r="AL1217" s="91">
        <f>IF(AK1217="Adjust",(_xlfn.XLOOKUP(A1217,'Adj factor'!A:A,'Adj factor'!I:I,,0)*AI1217),'Master DataSheet'!AI1217)</f>
        <v>19225.233489577877</v>
      </c>
      <c r="AM1217" s="91">
        <f t="shared" si="351"/>
        <v>19225.233489577877</v>
      </c>
      <c r="AN1217" s="92" t="str">
        <f t="shared" si="352"/>
        <v>Increasing</v>
      </c>
      <c r="AS1217" s="94">
        <f t="shared" si="353"/>
        <v>3.9075595143455391</v>
      </c>
      <c r="AT1217" s="94">
        <f t="shared" si="354"/>
        <v>5.9476766454178023</v>
      </c>
      <c r="AU1217" s="94">
        <f t="shared" si="355"/>
        <v>6.8270110526378796</v>
      </c>
    </row>
    <row r="1218" spans="1:47" x14ac:dyDescent="0.3">
      <c r="A1218" s="85" t="str">
        <f>_xlfn.XLOOKUP(B1218,'Country codes &amp; Data sources'!G:G,'Country codes &amp; Data sources'!H:H,,0)</f>
        <v>Cote d'Ivoire</v>
      </c>
      <c r="B1218" s="85" t="s">
        <v>166</v>
      </c>
      <c r="C1218" s="85">
        <v>22010715.5</v>
      </c>
      <c r="D1218" s="85" t="s">
        <v>330</v>
      </c>
      <c r="E1218" s="86">
        <v>0</v>
      </c>
      <c r="F1218" s="86">
        <v>22469267.5</v>
      </c>
      <c r="G1218" s="86">
        <v>7172</v>
      </c>
      <c r="H1218" s="86"/>
      <c r="I1218" s="86">
        <v>7245</v>
      </c>
      <c r="J1218" s="86"/>
      <c r="K1218" s="86">
        <v>8904</v>
      </c>
      <c r="L1218" s="86"/>
      <c r="M1218" s="86">
        <v>9805</v>
      </c>
      <c r="N1218" s="86"/>
      <c r="O1218" s="86">
        <v>10813</v>
      </c>
      <c r="P1218" s="86">
        <v>25493988.499999996</v>
      </c>
      <c r="Q1218" s="86">
        <v>11568</v>
      </c>
      <c r="R1218" s="87">
        <f t="shared" si="340"/>
        <v>11667</v>
      </c>
      <c r="T1218" s="87">
        <v>11259</v>
      </c>
      <c r="U1218" s="89"/>
      <c r="V1218" s="89">
        <v>13396</v>
      </c>
      <c r="W1218" s="90"/>
      <c r="X1218" s="90">
        <v>12887</v>
      </c>
      <c r="Y1218" s="90">
        <v>28160542.500000004</v>
      </c>
      <c r="Z1218" s="90">
        <v>14934</v>
      </c>
      <c r="AA1218" s="90">
        <v>11667</v>
      </c>
      <c r="AB1218" s="89">
        <f t="shared" si="341"/>
        <v>8904</v>
      </c>
      <c r="AC1218" s="89">
        <f t="shared" si="342"/>
        <v>11568</v>
      </c>
      <c r="AD1218" s="89">
        <f t="shared" si="343"/>
        <v>14934</v>
      </c>
      <c r="AE1218" s="90">
        <f t="shared" si="344"/>
        <v>7172</v>
      </c>
      <c r="AF1218" s="90">
        <f t="shared" si="345"/>
        <v>2013</v>
      </c>
      <c r="AG1218" s="90">
        <f t="shared" si="346"/>
        <v>11667</v>
      </c>
      <c r="AH1218" s="90" t="str">
        <f t="shared" si="347"/>
        <v>2018 (triag)</v>
      </c>
      <c r="AI1218" s="90">
        <f t="shared" si="348"/>
        <v>14934</v>
      </c>
      <c r="AJ1218" s="90">
        <f t="shared" si="349"/>
        <v>2022</v>
      </c>
      <c r="AK1218" s="90" t="str">
        <f t="shared" si="350"/>
        <v/>
      </c>
      <c r="AL1218" s="91">
        <f>IF(AK1218="Adjust",(_xlfn.XLOOKUP(A1218,'Adj factor'!A:A,'Adj factor'!I:I,,0)*AI1218),'Master DataSheet'!AI1218)</f>
        <v>14934</v>
      </c>
      <c r="AM1218" s="91">
        <f t="shared" si="351"/>
        <v>14934</v>
      </c>
      <c r="AN1218" s="92" t="str">
        <f t="shared" si="352"/>
        <v>Increasing</v>
      </c>
      <c r="AS1218" s="94">
        <f t="shared" si="353"/>
        <v>3.1919153572763332</v>
      </c>
      <c r="AT1218" s="94">
        <f t="shared" si="354"/>
        <v>4.5763729751427489</v>
      </c>
      <c r="AU1218" s="94">
        <f t="shared" si="355"/>
        <v>5.303164880435097</v>
      </c>
    </row>
    <row r="1219" spans="1:47" x14ac:dyDescent="0.3">
      <c r="A1219" s="85" t="str">
        <f>_xlfn.XLOOKUP(B1219,'Country codes &amp; Data sources'!G:G,'Country codes &amp; Data sources'!H:H,,0)</f>
        <v>Cote d'Ivoire</v>
      </c>
      <c r="B1219" s="85" t="s">
        <v>166</v>
      </c>
      <c r="C1219" s="85">
        <v>22010716.5</v>
      </c>
      <c r="D1219" s="85" t="s">
        <v>331</v>
      </c>
      <c r="E1219" s="86">
        <v>0</v>
      </c>
      <c r="F1219" s="86">
        <v>22469267.5</v>
      </c>
      <c r="G1219" s="86">
        <v>1608</v>
      </c>
      <c r="H1219" s="86"/>
      <c r="I1219" s="86">
        <v>1623</v>
      </c>
      <c r="J1219" s="86"/>
      <c r="K1219" s="86">
        <v>1987</v>
      </c>
      <c r="L1219" s="86"/>
      <c r="M1219" s="86">
        <v>2327</v>
      </c>
      <c r="N1219" s="86"/>
      <c r="O1219" s="86">
        <v>2770</v>
      </c>
      <c r="P1219" s="86">
        <v>25493988.499999996</v>
      </c>
      <c r="Q1219" s="86">
        <v>3595</v>
      </c>
      <c r="R1219" s="87">
        <f t="shared" si="340"/>
        <v>3595</v>
      </c>
      <c r="T1219" s="87">
        <v>0</v>
      </c>
      <c r="U1219" s="89"/>
      <c r="V1219" s="89">
        <v>0</v>
      </c>
      <c r="W1219" s="90"/>
      <c r="X1219" s="90">
        <v>0</v>
      </c>
      <c r="Y1219" s="90">
        <v>28160542.500000004</v>
      </c>
      <c r="Z1219" s="90">
        <v>0</v>
      </c>
      <c r="AA1219" s="90">
        <v>63</v>
      </c>
      <c r="AB1219" s="89">
        <f t="shared" si="341"/>
        <v>1987</v>
      </c>
      <c r="AC1219" s="89">
        <f t="shared" si="342"/>
        <v>3595</v>
      </c>
      <c r="AD1219" s="89">
        <f t="shared" si="343"/>
        <v>0</v>
      </c>
      <c r="AE1219" s="90">
        <f t="shared" si="344"/>
        <v>1608</v>
      </c>
      <c r="AF1219" s="90">
        <f t="shared" si="345"/>
        <v>2013</v>
      </c>
      <c r="AG1219" s="90">
        <f t="shared" si="346"/>
        <v>3595</v>
      </c>
      <c r="AH1219" s="90">
        <f t="shared" si="347"/>
        <v>2018</v>
      </c>
      <c r="AI1219" s="90">
        <f t="shared" si="348"/>
        <v>3595</v>
      </c>
      <c r="AJ1219" s="90">
        <f t="shared" si="349"/>
        <v>2018</v>
      </c>
      <c r="AK1219" s="90" t="str">
        <f t="shared" si="350"/>
        <v/>
      </c>
      <c r="AL1219" s="91">
        <f>IF(AK1219="Adjust",(_xlfn.XLOOKUP(A1219,'Adj factor'!A:A,'Adj factor'!I:I,,0)*AI1219),'Master DataSheet'!AI1219)</f>
        <v>3595</v>
      </c>
      <c r="AM1219" s="91">
        <f t="shared" si="351"/>
        <v>3595</v>
      </c>
      <c r="AN1219" s="92" t="str">
        <f t="shared" si="352"/>
        <v>No change</v>
      </c>
      <c r="AS1219" s="94">
        <f t="shared" si="353"/>
        <v>0.7156441570692057</v>
      </c>
      <c r="AT1219" s="94">
        <f t="shared" si="354"/>
        <v>1.4101363543017211</v>
      </c>
      <c r="AU1219" s="94">
        <f t="shared" si="355"/>
        <v>1.276608928965058</v>
      </c>
    </row>
    <row r="1220" spans="1:47" x14ac:dyDescent="0.3">
      <c r="A1220" s="85" t="str">
        <f>_xlfn.XLOOKUP(B1220,'Country codes &amp; Data sources'!G:G,'Country codes &amp; Data sources'!H:H,,0)</f>
        <v>Cote d'Ivoire</v>
      </c>
      <c r="B1220" s="85" t="s">
        <v>166</v>
      </c>
      <c r="C1220" s="85">
        <v>22010717.5</v>
      </c>
      <c r="D1220" s="85" t="s">
        <v>332</v>
      </c>
      <c r="E1220" s="86">
        <v>0</v>
      </c>
      <c r="F1220" s="86">
        <v>22469267.5</v>
      </c>
      <c r="G1220" s="86">
        <v>3851</v>
      </c>
      <c r="H1220" s="86"/>
      <c r="I1220" s="86">
        <v>5300</v>
      </c>
      <c r="J1220" s="86"/>
      <c r="K1220" s="86">
        <v>0</v>
      </c>
      <c r="L1220" s="86"/>
      <c r="M1220" s="86">
        <v>0</v>
      </c>
      <c r="N1220" s="86"/>
      <c r="O1220" s="86">
        <v>0</v>
      </c>
      <c r="P1220" s="86">
        <v>25493988.499999996</v>
      </c>
      <c r="Q1220" s="86">
        <v>0</v>
      </c>
      <c r="R1220" s="87">
        <f t="shared" si="340"/>
        <v>5460</v>
      </c>
      <c r="T1220" s="87">
        <v>5601</v>
      </c>
      <c r="U1220" s="89"/>
      <c r="V1220" s="89">
        <v>6345</v>
      </c>
      <c r="W1220" s="90"/>
      <c r="X1220" s="90">
        <v>7074</v>
      </c>
      <c r="Y1220" s="90">
        <v>28160542.500000004</v>
      </c>
      <c r="Z1220" s="90">
        <v>7425</v>
      </c>
      <c r="AA1220" s="90">
        <v>5460</v>
      </c>
      <c r="AB1220" s="89">
        <f t="shared" si="341"/>
        <v>5300</v>
      </c>
      <c r="AC1220" s="89">
        <f t="shared" si="342"/>
        <v>5601</v>
      </c>
      <c r="AD1220" s="89">
        <f t="shared" si="343"/>
        <v>7425</v>
      </c>
      <c r="AE1220" s="90">
        <f t="shared" si="344"/>
        <v>3851</v>
      </c>
      <c r="AF1220" s="90">
        <f t="shared" si="345"/>
        <v>2013</v>
      </c>
      <c r="AG1220" s="90">
        <f t="shared" si="346"/>
        <v>5460</v>
      </c>
      <c r="AH1220" s="90" t="str">
        <f t="shared" si="347"/>
        <v>2018 (triag)</v>
      </c>
      <c r="AI1220" s="90">
        <f t="shared" si="348"/>
        <v>7425</v>
      </c>
      <c r="AJ1220" s="90">
        <f t="shared" si="349"/>
        <v>2022</v>
      </c>
      <c r="AK1220" s="90" t="str">
        <f t="shared" si="350"/>
        <v/>
      </c>
      <c r="AL1220" s="91">
        <f>IF(AK1220="Adjust",(_xlfn.XLOOKUP(A1220,'Adj factor'!A:A,'Adj factor'!I:I,,0)*AI1220),'Master DataSheet'!AI1220)</f>
        <v>7425</v>
      </c>
      <c r="AM1220" s="91">
        <f t="shared" si="351"/>
        <v>7425</v>
      </c>
      <c r="AN1220" s="92" t="str">
        <f t="shared" si="352"/>
        <v>Increasing</v>
      </c>
      <c r="AS1220" s="94">
        <f t="shared" si="353"/>
        <v>1.7138965478069101</v>
      </c>
      <c r="AT1220" s="94">
        <f t="shared" si="354"/>
        <v>2.1416813614707642</v>
      </c>
      <c r="AU1220" s="94">
        <f t="shared" si="355"/>
        <v>2.6366679548165664</v>
      </c>
    </row>
    <row r="1221" spans="1:47" x14ac:dyDescent="0.3">
      <c r="A1221" s="85" t="str">
        <f>_xlfn.XLOOKUP(B1221,'Country codes &amp; Data sources'!G:G,'Country codes &amp; Data sources'!H:H,,0)</f>
        <v>Cote d'Ivoire</v>
      </c>
      <c r="B1221" s="85" t="s">
        <v>166</v>
      </c>
      <c r="C1221" s="85">
        <v>22010718.5</v>
      </c>
      <c r="D1221" s="85" t="s">
        <v>333</v>
      </c>
      <c r="E1221" s="86">
        <v>0</v>
      </c>
      <c r="F1221" s="86">
        <v>22469267.5</v>
      </c>
      <c r="G1221" s="86">
        <v>2627</v>
      </c>
      <c r="H1221" s="86"/>
      <c r="I1221" s="86">
        <v>0</v>
      </c>
      <c r="J1221" s="86"/>
      <c r="K1221" s="86">
        <v>0</v>
      </c>
      <c r="L1221" s="86"/>
      <c r="M1221" s="86">
        <v>0</v>
      </c>
      <c r="N1221" s="86"/>
      <c r="O1221" s="86">
        <v>0</v>
      </c>
      <c r="P1221" s="86">
        <v>25493988.499999996</v>
      </c>
      <c r="Q1221" s="86">
        <v>0</v>
      </c>
      <c r="R1221" s="87">
        <f t="shared" si="340"/>
        <v>5456</v>
      </c>
      <c r="T1221" s="87">
        <v>5601</v>
      </c>
      <c r="U1221" s="89"/>
      <c r="V1221" s="89">
        <v>6345</v>
      </c>
      <c r="W1221" s="90"/>
      <c r="X1221" s="90">
        <v>7074</v>
      </c>
      <c r="Y1221" s="90">
        <v>28160542.500000004</v>
      </c>
      <c r="Z1221" s="90">
        <v>7421</v>
      </c>
      <c r="AA1221" s="90">
        <v>5456</v>
      </c>
      <c r="AB1221" s="89">
        <f t="shared" si="341"/>
        <v>2627</v>
      </c>
      <c r="AC1221" s="89">
        <f t="shared" si="342"/>
        <v>5601</v>
      </c>
      <c r="AD1221" s="89">
        <f t="shared" si="343"/>
        <v>7421</v>
      </c>
      <c r="AE1221" s="90">
        <f t="shared" si="344"/>
        <v>2627</v>
      </c>
      <c r="AF1221" s="90">
        <f t="shared" si="345"/>
        <v>2013</v>
      </c>
      <c r="AG1221" s="90">
        <f t="shared" si="346"/>
        <v>5456</v>
      </c>
      <c r="AH1221" s="90" t="str">
        <f t="shared" si="347"/>
        <v>2018 (triag)</v>
      </c>
      <c r="AI1221" s="90">
        <f t="shared" si="348"/>
        <v>7421</v>
      </c>
      <c r="AJ1221" s="90">
        <f t="shared" si="349"/>
        <v>2022</v>
      </c>
      <c r="AK1221" s="90" t="str">
        <f t="shared" si="350"/>
        <v/>
      </c>
      <c r="AL1221" s="91">
        <f>IF(AK1221="Adjust",(_xlfn.XLOOKUP(A1221,'Adj factor'!A:A,'Adj factor'!I:I,,0)*AI1221),'Master DataSheet'!AI1221)</f>
        <v>7421</v>
      </c>
      <c r="AM1221" s="91">
        <f t="shared" si="351"/>
        <v>7421</v>
      </c>
      <c r="AN1221" s="92" t="str">
        <f t="shared" si="352"/>
        <v>Increasing</v>
      </c>
      <c r="AS1221" s="94">
        <f t="shared" si="353"/>
        <v>1.1691524879482609</v>
      </c>
      <c r="AT1221" s="94">
        <f t="shared" si="354"/>
        <v>2.1401123641363533</v>
      </c>
      <c r="AU1221" s="94">
        <f t="shared" si="355"/>
        <v>2.6352475276355203</v>
      </c>
    </row>
    <row r="1222" spans="1:47" x14ac:dyDescent="0.3">
      <c r="A1222" s="85" t="str">
        <f>_xlfn.XLOOKUP(B1222,'Country codes &amp; Data sources'!G:G,'Country codes &amp; Data sources'!H:H,,0)</f>
        <v>Cote d'Ivoire</v>
      </c>
      <c r="B1222" s="85" t="s">
        <v>166</v>
      </c>
      <c r="C1222" s="85">
        <v>22010719.5</v>
      </c>
      <c r="D1222" s="85" t="s">
        <v>334</v>
      </c>
      <c r="E1222" s="86">
        <v>0</v>
      </c>
      <c r="F1222" s="86">
        <v>22469267.5</v>
      </c>
      <c r="G1222" s="86">
        <v>1224</v>
      </c>
      <c r="H1222" s="86"/>
      <c r="I1222" s="86">
        <v>0</v>
      </c>
      <c r="J1222" s="86"/>
      <c r="K1222" s="86">
        <v>0</v>
      </c>
      <c r="L1222" s="86"/>
      <c r="M1222" s="86">
        <v>0</v>
      </c>
      <c r="N1222" s="86"/>
      <c r="O1222" s="86">
        <v>0</v>
      </c>
      <c r="P1222" s="86">
        <v>25493988.499999996</v>
      </c>
      <c r="Q1222" s="86">
        <v>0</v>
      </c>
      <c r="R1222" s="87">
        <f t="shared" si="340"/>
        <v>4</v>
      </c>
      <c r="T1222" s="87">
        <v>0</v>
      </c>
      <c r="U1222" s="89"/>
      <c r="V1222" s="89">
        <v>0</v>
      </c>
      <c r="W1222" s="90"/>
      <c r="X1222" s="90">
        <v>0</v>
      </c>
      <c r="Y1222" s="90">
        <v>28160542.500000004</v>
      </c>
      <c r="Z1222" s="90">
        <v>4</v>
      </c>
      <c r="AA1222" s="90">
        <v>4</v>
      </c>
      <c r="AB1222" s="89">
        <f t="shared" si="341"/>
        <v>1224</v>
      </c>
      <c r="AC1222" s="89">
        <f t="shared" si="342"/>
        <v>0</v>
      </c>
      <c r="AD1222" s="89">
        <f t="shared" si="343"/>
        <v>4</v>
      </c>
      <c r="AE1222" s="90">
        <f t="shared" si="344"/>
        <v>1224</v>
      </c>
      <c r="AF1222" s="90">
        <f t="shared" si="345"/>
        <v>2013</v>
      </c>
      <c r="AG1222" s="90">
        <f t="shared" si="346"/>
        <v>4</v>
      </c>
      <c r="AH1222" s="90" t="str">
        <f t="shared" si="347"/>
        <v>2018 (triag)</v>
      </c>
      <c r="AI1222" s="90">
        <f t="shared" si="348"/>
        <v>4</v>
      </c>
      <c r="AJ1222" s="90">
        <f t="shared" si="349"/>
        <v>2022</v>
      </c>
      <c r="AK1222" s="90" t="str">
        <f t="shared" si="350"/>
        <v/>
      </c>
      <c r="AL1222" s="91">
        <f>IF(AK1222="Adjust",(_xlfn.XLOOKUP(A1222,'Adj factor'!A:A,'Adj factor'!I:I,,0)*AI1222),'Master DataSheet'!AI1222)</f>
        <v>4</v>
      </c>
      <c r="AM1222" s="91">
        <f t="shared" si="351"/>
        <v>4</v>
      </c>
      <c r="AN1222" s="92" t="str">
        <f t="shared" si="352"/>
        <v>No change</v>
      </c>
      <c r="AS1222" s="94">
        <f t="shared" si="353"/>
        <v>0.54474405985864915</v>
      </c>
      <c r="AT1222" s="94">
        <f t="shared" si="354"/>
        <v>1.5689973344108162E-3</v>
      </c>
      <c r="AU1222" s="94">
        <f t="shared" si="355"/>
        <v>1.4204271810459616E-3</v>
      </c>
    </row>
    <row r="1223" spans="1:47" x14ac:dyDescent="0.3">
      <c r="A1223" s="85" t="str">
        <f>_xlfn.XLOOKUP(B1223,'Country codes &amp; Data sources'!G:G,'Country codes &amp; Data sources'!H:H,,0)</f>
        <v>Cote d'Ivoire</v>
      </c>
      <c r="B1223" s="85" t="s">
        <v>166</v>
      </c>
      <c r="C1223" s="85">
        <v>22010720.5</v>
      </c>
      <c r="D1223" s="85" t="s">
        <v>335</v>
      </c>
      <c r="E1223" s="86">
        <v>0</v>
      </c>
      <c r="F1223" s="86">
        <v>22469267.5</v>
      </c>
      <c r="G1223" s="86">
        <v>0</v>
      </c>
      <c r="H1223" s="86"/>
      <c r="I1223" s="86">
        <v>2430</v>
      </c>
      <c r="J1223" s="86"/>
      <c r="K1223" s="86">
        <v>0</v>
      </c>
      <c r="L1223" s="86"/>
      <c r="M1223" s="86">
        <v>0</v>
      </c>
      <c r="N1223" s="86"/>
      <c r="O1223" s="86">
        <v>0</v>
      </c>
      <c r="P1223" s="86">
        <v>25493988.499999996</v>
      </c>
      <c r="Q1223" s="86">
        <v>2495</v>
      </c>
      <c r="R1223" s="87">
        <f t="shared" si="340"/>
        <v>2495</v>
      </c>
      <c r="T1223" s="87">
        <v>944</v>
      </c>
      <c r="U1223" s="89"/>
      <c r="V1223" s="89">
        <v>1029</v>
      </c>
      <c r="W1223" s="90"/>
      <c r="X1223" s="90">
        <v>1117</v>
      </c>
      <c r="Y1223" s="90">
        <v>28160542.500000004</v>
      </c>
      <c r="Z1223" s="90">
        <v>1162</v>
      </c>
      <c r="AA1223" s="90">
        <v>2278</v>
      </c>
      <c r="AB1223" s="89">
        <f t="shared" si="341"/>
        <v>2430</v>
      </c>
      <c r="AC1223" s="89">
        <f t="shared" si="342"/>
        <v>2495</v>
      </c>
      <c r="AD1223" s="89">
        <f t="shared" si="343"/>
        <v>1162</v>
      </c>
      <c r="AE1223" s="90">
        <f t="shared" si="344"/>
        <v>2430</v>
      </c>
      <c r="AF1223" s="90">
        <f t="shared" si="345"/>
        <v>2014</v>
      </c>
      <c r="AG1223" s="90">
        <f t="shared" si="346"/>
        <v>2495</v>
      </c>
      <c r="AH1223" s="90">
        <f t="shared" si="347"/>
        <v>2018</v>
      </c>
      <c r="AI1223" s="90">
        <f t="shared" si="348"/>
        <v>1162</v>
      </c>
      <c r="AJ1223" s="90">
        <f t="shared" si="349"/>
        <v>2022</v>
      </c>
      <c r="AK1223" s="90" t="str">
        <f t="shared" si="350"/>
        <v>Adjust</v>
      </c>
      <c r="AL1223" s="91">
        <f>IF(AK1223="Adjust",(_xlfn.XLOOKUP(A1223,'Adj factor'!A:A,'Adj factor'!I:I,,0)*AI1223),'Master DataSheet'!AI1223)</f>
        <v>1491.4027181313502</v>
      </c>
      <c r="AM1223" s="91">
        <f t="shared" si="351"/>
        <v>2495</v>
      </c>
      <c r="AN1223" s="92" t="str">
        <f t="shared" si="352"/>
        <v>Decreasing</v>
      </c>
      <c r="AS1223" s="94">
        <f t="shared" si="353"/>
        <v>1.0814771776605534</v>
      </c>
      <c r="AT1223" s="94">
        <f t="shared" si="354"/>
        <v>0.97866208733874671</v>
      </c>
      <c r="AU1223" s="94">
        <f t="shared" si="355"/>
        <v>0.88599145417741854</v>
      </c>
    </row>
    <row r="1224" spans="1:47" x14ac:dyDescent="0.3">
      <c r="A1224" s="85" t="str">
        <f>_xlfn.XLOOKUP(B1224,'Country codes &amp; Data sources'!G:G,'Country codes &amp; Data sources'!H:H,,0)</f>
        <v>Cote d'Ivoire</v>
      </c>
      <c r="B1224" s="85" t="s">
        <v>166</v>
      </c>
      <c r="C1224" s="85">
        <v>22010721.5</v>
      </c>
      <c r="D1224" s="85" t="s">
        <v>336</v>
      </c>
      <c r="E1224" s="86">
        <v>0</v>
      </c>
      <c r="F1224" s="86">
        <v>22469267.5</v>
      </c>
      <c r="G1224" s="86">
        <v>0</v>
      </c>
      <c r="H1224" s="86"/>
      <c r="I1224" s="86">
        <v>2310</v>
      </c>
      <c r="J1224" s="86"/>
      <c r="K1224" s="86">
        <v>0</v>
      </c>
      <c r="L1224" s="86"/>
      <c r="M1224" s="86">
        <v>0</v>
      </c>
      <c r="N1224" s="86"/>
      <c r="O1224" s="86">
        <v>0</v>
      </c>
      <c r="P1224" s="86">
        <v>25493988.499999996</v>
      </c>
      <c r="Q1224" s="86">
        <v>0</v>
      </c>
      <c r="R1224" s="87">
        <f t="shared" si="340"/>
        <v>217</v>
      </c>
      <c r="T1224" s="87">
        <v>0</v>
      </c>
      <c r="U1224" s="89"/>
      <c r="V1224" s="89">
        <v>0</v>
      </c>
      <c r="W1224" s="90"/>
      <c r="X1224" s="90">
        <v>215</v>
      </c>
      <c r="Y1224" s="90">
        <v>28160542.500000004</v>
      </c>
      <c r="Z1224" s="90">
        <v>200</v>
      </c>
      <c r="AA1224" s="90">
        <v>217</v>
      </c>
      <c r="AB1224" s="89">
        <f t="shared" si="341"/>
        <v>2310</v>
      </c>
      <c r="AC1224" s="89">
        <f t="shared" si="342"/>
        <v>0</v>
      </c>
      <c r="AD1224" s="89">
        <f t="shared" si="343"/>
        <v>215</v>
      </c>
      <c r="AE1224" s="90">
        <f t="shared" si="344"/>
        <v>2310</v>
      </c>
      <c r="AF1224" s="90">
        <f t="shared" si="345"/>
        <v>2014</v>
      </c>
      <c r="AG1224" s="90">
        <f t="shared" si="346"/>
        <v>217</v>
      </c>
      <c r="AH1224" s="90" t="str">
        <f t="shared" si="347"/>
        <v>2018 (triag)</v>
      </c>
      <c r="AI1224" s="90">
        <f t="shared" si="348"/>
        <v>200</v>
      </c>
      <c r="AJ1224" s="90">
        <f t="shared" si="349"/>
        <v>2022</v>
      </c>
      <c r="AK1224" s="90" t="str">
        <f t="shared" si="350"/>
        <v>Adjust</v>
      </c>
      <c r="AL1224" s="91">
        <f>IF(AK1224="Adjust",(_xlfn.XLOOKUP(A1224,'Adj factor'!A:A,'Adj factor'!I:I,,0)*AI1224),'Master DataSheet'!AI1224)</f>
        <v>256.69582067665237</v>
      </c>
      <c r="AM1224" s="91">
        <f t="shared" si="351"/>
        <v>256.69582067665237</v>
      </c>
      <c r="AN1224" s="92" t="str">
        <f t="shared" si="352"/>
        <v>Increasing</v>
      </c>
      <c r="AS1224" s="94">
        <f t="shared" si="353"/>
        <v>1.0280708972822545</v>
      </c>
      <c r="AT1224" s="94">
        <f t="shared" si="354"/>
        <v>8.5118105391786783E-2</v>
      </c>
      <c r="AU1224" s="94">
        <f t="shared" si="355"/>
        <v>9.1154430237504247E-2</v>
      </c>
    </row>
    <row r="1225" spans="1:47" x14ac:dyDescent="0.3">
      <c r="A1225" s="85" t="str">
        <f>_xlfn.XLOOKUP(B1225,'Country codes &amp; Data sources'!G:G,'Country codes &amp; Data sources'!H:H,,0)</f>
        <v>Cote d'Ivoire</v>
      </c>
      <c r="B1225" s="85" t="s">
        <v>166</v>
      </c>
      <c r="C1225" s="85">
        <v>22010722.5</v>
      </c>
      <c r="D1225" s="85" t="s">
        <v>337</v>
      </c>
      <c r="E1225" s="86">
        <v>0</v>
      </c>
      <c r="F1225" s="86">
        <v>22469267.5</v>
      </c>
      <c r="G1225" s="86">
        <v>0</v>
      </c>
      <c r="H1225" s="86"/>
      <c r="I1225" s="86">
        <v>490</v>
      </c>
      <c r="J1225" s="86"/>
      <c r="K1225" s="86">
        <v>0</v>
      </c>
      <c r="L1225" s="86"/>
      <c r="M1225" s="86">
        <v>0</v>
      </c>
      <c r="N1225" s="86"/>
      <c r="O1225" s="86">
        <v>0</v>
      </c>
      <c r="P1225" s="86">
        <v>25493988.499999996</v>
      </c>
      <c r="Q1225" s="86">
        <v>506</v>
      </c>
      <c r="R1225" s="87">
        <f t="shared" si="340"/>
        <v>506</v>
      </c>
      <c r="T1225" s="87">
        <v>373</v>
      </c>
      <c r="U1225" s="89"/>
      <c r="V1225" s="89">
        <v>397</v>
      </c>
      <c r="W1225" s="90"/>
      <c r="X1225" s="90">
        <v>416</v>
      </c>
      <c r="Y1225" s="90">
        <v>28160542.500000004</v>
      </c>
      <c r="Z1225" s="90">
        <v>418</v>
      </c>
      <c r="AA1225" s="90">
        <v>506</v>
      </c>
      <c r="AB1225" s="89">
        <f t="shared" si="341"/>
        <v>490</v>
      </c>
      <c r="AC1225" s="89">
        <f t="shared" si="342"/>
        <v>506</v>
      </c>
      <c r="AD1225" s="89">
        <f t="shared" si="343"/>
        <v>418</v>
      </c>
      <c r="AE1225" s="90">
        <f t="shared" si="344"/>
        <v>490</v>
      </c>
      <c r="AF1225" s="90">
        <f t="shared" si="345"/>
        <v>2014</v>
      </c>
      <c r="AG1225" s="90">
        <f t="shared" si="346"/>
        <v>506</v>
      </c>
      <c r="AH1225" s="90">
        <f t="shared" si="347"/>
        <v>2018</v>
      </c>
      <c r="AI1225" s="90">
        <f t="shared" si="348"/>
        <v>418</v>
      </c>
      <c r="AJ1225" s="90">
        <f t="shared" si="349"/>
        <v>2022</v>
      </c>
      <c r="AK1225" s="90" t="str">
        <f t="shared" si="350"/>
        <v>Adjust</v>
      </c>
      <c r="AL1225" s="91">
        <f>IF(AK1225="Adjust",(_xlfn.XLOOKUP(A1225,'Adj factor'!A:A,'Adj factor'!I:I,,0)*AI1225),'Master DataSheet'!AI1225)</f>
        <v>536.49426521420344</v>
      </c>
      <c r="AM1225" s="91">
        <f t="shared" si="351"/>
        <v>536.49426521420344</v>
      </c>
      <c r="AN1225" s="92" t="str">
        <f t="shared" si="352"/>
        <v>Increasing</v>
      </c>
      <c r="AS1225" s="94">
        <f t="shared" si="353"/>
        <v>0.218075644878054</v>
      </c>
      <c r="AT1225" s="94">
        <f t="shared" si="354"/>
        <v>0.19847816280296826</v>
      </c>
      <c r="AU1225" s="94">
        <f t="shared" si="355"/>
        <v>0.19051275919638386</v>
      </c>
    </row>
    <row r="1226" spans="1:47" x14ac:dyDescent="0.3">
      <c r="A1226" s="85" t="str">
        <f>_xlfn.XLOOKUP(B1226,'Country codes &amp; Data sources'!G:G,'Country codes &amp; Data sources'!H:H,,0)</f>
        <v>Cote d'Ivoire</v>
      </c>
      <c r="B1226" s="85" t="s">
        <v>166</v>
      </c>
      <c r="C1226" s="85">
        <v>22010723.5</v>
      </c>
      <c r="D1226" s="85" t="s">
        <v>338</v>
      </c>
      <c r="E1226" s="86">
        <v>0</v>
      </c>
      <c r="F1226" s="86">
        <v>22469267.5</v>
      </c>
      <c r="G1226" s="86">
        <v>0</v>
      </c>
      <c r="H1226" s="86"/>
      <c r="I1226" s="86">
        <v>120</v>
      </c>
      <c r="J1226" s="86"/>
      <c r="K1226" s="86">
        <v>0</v>
      </c>
      <c r="L1226" s="86"/>
      <c r="M1226" s="86">
        <v>0</v>
      </c>
      <c r="N1226" s="86"/>
      <c r="O1226" s="86">
        <v>0</v>
      </c>
      <c r="P1226" s="86">
        <v>25493988.499999996</v>
      </c>
      <c r="Q1226" s="86">
        <v>0</v>
      </c>
      <c r="R1226" s="87">
        <f t="shared" si="340"/>
        <v>0</v>
      </c>
      <c r="T1226" s="87">
        <v>0</v>
      </c>
      <c r="U1226" s="89"/>
      <c r="V1226" s="89">
        <v>0</v>
      </c>
      <c r="W1226" s="90"/>
      <c r="X1226" s="90">
        <v>0</v>
      </c>
      <c r="Y1226" s="90">
        <v>28160542.500000004</v>
      </c>
      <c r="Z1226" s="90">
        <v>28</v>
      </c>
      <c r="AA1226" s="90">
        <v>0</v>
      </c>
      <c r="AB1226" s="89">
        <f t="shared" si="341"/>
        <v>120</v>
      </c>
      <c r="AC1226" s="89">
        <f t="shared" si="342"/>
        <v>0</v>
      </c>
      <c r="AD1226" s="89">
        <f t="shared" si="343"/>
        <v>28</v>
      </c>
      <c r="AE1226" s="90">
        <f t="shared" si="344"/>
        <v>120</v>
      </c>
      <c r="AF1226" s="90">
        <f t="shared" si="345"/>
        <v>2014</v>
      </c>
      <c r="AG1226" s="90">
        <f t="shared" si="346"/>
        <v>0</v>
      </c>
      <c r="AH1226" s="90" t="str">
        <f t="shared" si="347"/>
        <v/>
      </c>
      <c r="AI1226" s="90">
        <f t="shared" si="348"/>
        <v>28</v>
      </c>
      <c r="AJ1226" s="90">
        <f t="shared" si="349"/>
        <v>2022</v>
      </c>
      <c r="AK1226" s="90" t="str">
        <f t="shared" si="350"/>
        <v/>
      </c>
      <c r="AL1226" s="91">
        <f>IF(AK1226="Adjust",(_xlfn.XLOOKUP(A1226,'Adj factor'!A:A,'Adj factor'!I:I,,0)*AI1226),'Master DataSheet'!AI1226)</f>
        <v>28</v>
      </c>
      <c r="AM1226" s="91">
        <f t="shared" si="351"/>
        <v>28</v>
      </c>
      <c r="AN1226" s="92" t="str">
        <f t="shared" si="352"/>
        <v>Increasing</v>
      </c>
      <c r="AS1226" s="94">
        <f t="shared" si="353"/>
        <v>5.3406280378298934E-2</v>
      </c>
      <c r="AT1226" s="94">
        <f t="shared" si="354"/>
        <v>0</v>
      </c>
      <c r="AU1226" s="94">
        <f t="shared" si="355"/>
        <v>9.9429902673217312E-3</v>
      </c>
    </row>
    <row r="1227" spans="1:47" x14ac:dyDescent="0.3">
      <c r="A1227" s="85" t="str">
        <f>_xlfn.XLOOKUP(B1227,'Country codes &amp; Data sources'!G:G,'Country codes &amp; Data sources'!H:H,,0)</f>
        <v>Cote d'Ivoire</v>
      </c>
      <c r="B1227" s="85" t="s">
        <v>166</v>
      </c>
      <c r="C1227" s="85">
        <v>22010724.5</v>
      </c>
      <c r="D1227" s="85" t="s">
        <v>339</v>
      </c>
      <c r="E1227" s="86">
        <v>0</v>
      </c>
      <c r="F1227" s="86">
        <v>22469267.5</v>
      </c>
      <c r="G1227" s="86">
        <v>0</v>
      </c>
      <c r="H1227" s="86"/>
      <c r="I1227" s="86">
        <v>0</v>
      </c>
      <c r="J1227" s="86"/>
      <c r="K1227" s="86">
        <v>0</v>
      </c>
      <c r="L1227" s="86"/>
      <c r="M1227" s="86">
        <v>0</v>
      </c>
      <c r="N1227" s="86"/>
      <c r="O1227" s="86">
        <v>0</v>
      </c>
      <c r="P1227" s="86">
        <v>25493988.499999996</v>
      </c>
      <c r="Q1227" s="86">
        <v>0</v>
      </c>
      <c r="R1227" s="87">
        <f t="shared" si="340"/>
        <v>0</v>
      </c>
      <c r="T1227" s="87">
        <v>0</v>
      </c>
      <c r="U1227" s="89"/>
      <c r="V1227" s="89">
        <v>0</v>
      </c>
      <c r="W1227" s="90"/>
      <c r="X1227" s="90">
        <v>0</v>
      </c>
      <c r="Y1227" s="90">
        <v>28160542.500000004</v>
      </c>
      <c r="Z1227" s="90">
        <v>0</v>
      </c>
      <c r="AA1227" s="90">
        <v>0</v>
      </c>
      <c r="AB1227" s="89">
        <f t="shared" si="341"/>
        <v>0</v>
      </c>
      <c r="AC1227" s="89">
        <f t="shared" si="342"/>
        <v>0</v>
      </c>
      <c r="AD1227" s="89">
        <f t="shared" si="343"/>
        <v>0</v>
      </c>
      <c r="AE1227" s="90">
        <f t="shared" si="344"/>
        <v>0</v>
      </c>
      <c r="AF1227" s="90" t="str">
        <f t="shared" si="345"/>
        <v/>
      </c>
      <c r="AG1227" s="90">
        <f t="shared" si="346"/>
        <v>0</v>
      </c>
      <c r="AH1227" s="90" t="str">
        <f t="shared" si="347"/>
        <v/>
      </c>
      <c r="AI1227" s="90">
        <f t="shared" si="348"/>
        <v>0</v>
      </c>
      <c r="AJ1227" s="90" t="str">
        <f t="shared" si="349"/>
        <v/>
      </c>
      <c r="AK1227" s="90" t="str">
        <f t="shared" si="350"/>
        <v/>
      </c>
      <c r="AL1227" s="91">
        <f>IF(AK1227="Adjust",(_xlfn.XLOOKUP(A1227,'Adj factor'!A:A,'Adj factor'!I:I,,0)*AI1227),'Master DataSheet'!AI1227)</f>
        <v>0</v>
      </c>
      <c r="AM1227" s="91">
        <f t="shared" si="351"/>
        <v>0</v>
      </c>
      <c r="AN1227" s="92" t="str">
        <f t="shared" si="352"/>
        <v>No change</v>
      </c>
      <c r="AS1227" s="94">
        <f t="shared" si="353"/>
        <v>0</v>
      </c>
      <c r="AT1227" s="94">
        <f t="shared" si="354"/>
        <v>0</v>
      </c>
      <c r="AU1227" s="94">
        <f t="shared" si="355"/>
        <v>0</v>
      </c>
    </row>
    <row r="1228" spans="1:47" x14ac:dyDescent="0.3">
      <c r="A1228" s="85" t="str">
        <f>_xlfn.XLOOKUP(B1228,'Country codes &amp; Data sources'!G:G,'Country codes &amp; Data sources'!H:H,,0)</f>
        <v>Cameroon</v>
      </c>
      <c r="B1228" s="85" t="s">
        <v>168</v>
      </c>
      <c r="C1228" s="85">
        <v>21032684.000000004</v>
      </c>
      <c r="D1228" s="85" t="s">
        <v>326</v>
      </c>
      <c r="E1228" s="86">
        <v>0</v>
      </c>
      <c r="F1228" s="86">
        <v>21632850.000000004</v>
      </c>
      <c r="G1228" s="113">
        <v>1842</v>
      </c>
      <c r="H1228" s="86">
        <v>22299584.999999989</v>
      </c>
      <c r="I1228" s="86">
        <v>0</v>
      </c>
      <c r="J1228" s="86">
        <v>23012646.5</v>
      </c>
      <c r="K1228" s="86">
        <v>0</v>
      </c>
      <c r="L1228" s="86">
        <v>23711630.000000004</v>
      </c>
      <c r="M1228" s="86">
        <v>0</v>
      </c>
      <c r="N1228" s="86">
        <v>24393181.5</v>
      </c>
      <c r="O1228" s="86">
        <v>0</v>
      </c>
      <c r="P1228" s="86">
        <v>25076746.500000015</v>
      </c>
      <c r="Q1228" s="86">
        <v>3259</v>
      </c>
      <c r="R1228" s="87">
        <f t="shared" si="340"/>
        <v>3259</v>
      </c>
      <c r="S1228" s="87">
        <v>25782340.999999996</v>
      </c>
      <c r="T1228" s="87">
        <v>0</v>
      </c>
      <c r="U1228" s="89">
        <v>26491086.500000011</v>
      </c>
      <c r="V1228" s="89">
        <v>2562</v>
      </c>
      <c r="W1228" s="90">
        <v>27198627.999999985</v>
      </c>
      <c r="X1228" s="90">
        <v>3378</v>
      </c>
      <c r="Y1228" s="90">
        <v>27914536.499999989</v>
      </c>
      <c r="Z1228" s="90">
        <v>3759</v>
      </c>
      <c r="AA1228" s="90">
        <v>3259</v>
      </c>
      <c r="AB1228" s="89">
        <f t="shared" si="341"/>
        <v>1842</v>
      </c>
      <c r="AC1228" s="89">
        <f t="shared" si="342"/>
        <v>3259</v>
      </c>
      <c r="AD1228" s="89">
        <f t="shared" si="343"/>
        <v>3759</v>
      </c>
      <c r="AE1228" s="90">
        <f t="shared" si="344"/>
        <v>1842</v>
      </c>
      <c r="AF1228" s="90">
        <v>2013</v>
      </c>
      <c r="AG1228" s="90">
        <f t="shared" si="346"/>
        <v>3259</v>
      </c>
      <c r="AH1228" s="90">
        <f t="shared" si="347"/>
        <v>2018</v>
      </c>
      <c r="AI1228" s="90">
        <f t="shared" si="348"/>
        <v>3759</v>
      </c>
      <c r="AJ1228" s="90">
        <f t="shared" si="349"/>
        <v>2022</v>
      </c>
      <c r="AK1228" s="90" t="str">
        <f t="shared" si="350"/>
        <v/>
      </c>
      <c r="AL1228" s="91">
        <f>IF(AK1228="Adjust",(_xlfn.XLOOKUP(A1228,'Adj factor'!A:A,'Adj factor'!I:I,,0)*AI1228),'Master DataSheet'!AI1228)</f>
        <v>3759</v>
      </c>
      <c r="AM1228" s="91">
        <f t="shared" si="351"/>
        <v>3759</v>
      </c>
      <c r="AN1228" s="92" t="str">
        <f t="shared" si="352"/>
        <v>Increasing</v>
      </c>
      <c r="AS1228" s="94">
        <f t="shared" si="353"/>
        <v>0.85148281433098261</v>
      </c>
      <c r="AT1228" s="94">
        <f t="shared" si="354"/>
        <v>1.2996103780847321</v>
      </c>
      <c r="AU1228" s="94">
        <f t="shared" si="355"/>
        <v>1.3466102150755759</v>
      </c>
    </row>
    <row r="1229" spans="1:47" x14ac:dyDescent="0.3">
      <c r="A1229" s="85" t="str">
        <f>_xlfn.XLOOKUP(B1229,'Country codes &amp; Data sources'!G:G,'Country codes &amp; Data sources'!H:H,,0)</f>
        <v>Cameroon</v>
      </c>
      <c r="B1229" s="85" t="s">
        <v>168</v>
      </c>
      <c r="C1229" s="85">
        <v>21032685</v>
      </c>
      <c r="D1229" s="85" t="s">
        <v>327</v>
      </c>
      <c r="E1229" s="86">
        <v>0</v>
      </c>
      <c r="F1229" s="86">
        <v>21632850.000000004</v>
      </c>
      <c r="G1229" s="86">
        <v>0</v>
      </c>
      <c r="H1229" s="86"/>
      <c r="I1229" s="86">
        <v>0</v>
      </c>
      <c r="J1229" s="86"/>
      <c r="K1229" s="86">
        <v>0</v>
      </c>
      <c r="L1229" s="86"/>
      <c r="M1229" s="86">
        <v>0</v>
      </c>
      <c r="N1229" s="86"/>
      <c r="O1229" s="86">
        <v>0</v>
      </c>
      <c r="P1229" s="86">
        <v>25076746.500000015</v>
      </c>
      <c r="Q1229" s="86">
        <v>2400</v>
      </c>
      <c r="R1229" s="87">
        <f t="shared" si="340"/>
        <v>2400</v>
      </c>
      <c r="T1229" s="87">
        <v>0</v>
      </c>
      <c r="U1229" s="89"/>
      <c r="V1229" s="89">
        <v>1643</v>
      </c>
      <c r="W1229" s="90"/>
      <c r="X1229" s="90">
        <v>2477</v>
      </c>
      <c r="Y1229" s="90">
        <v>27914536.499999989</v>
      </c>
      <c r="Z1229" s="90">
        <v>2467</v>
      </c>
      <c r="AA1229" s="90">
        <v>2400</v>
      </c>
      <c r="AB1229" s="89">
        <f t="shared" si="341"/>
        <v>0</v>
      </c>
      <c r="AC1229" s="89">
        <f t="shared" si="342"/>
        <v>2400</v>
      </c>
      <c r="AD1229" s="89">
        <f t="shared" si="343"/>
        <v>2477</v>
      </c>
      <c r="AE1229" s="90">
        <f t="shared" si="344"/>
        <v>0</v>
      </c>
      <c r="AF1229" s="90" t="str">
        <f t="shared" si="345"/>
        <v/>
      </c>
      <c r="AG1229" s="90">
        <f t="shared" si="346"/>
        <v>2400</v>
      </c>
      <c r="AH1229" s="90">
        <f t="shared" si="347"/>
        <v>2018</v>
      </c>
      <c r="AI1229" s="90">
        <f t="shared" si="348"/>
        <v>2467</v>
      </c>
      <c r="AJ1229" s="90">
        <f t="shared" si="349"/>
        <v>2022</v>
      </c>
      <c r="AK1229" s="90" t="str">
        <f t="shared" si="350"/>
        <v/>
      </c>
      <c r="AL1229" s="91">
        <f>IF(AK1229="Adjust",(_xlfn.XLOOKUP(A1229,'Adj factor'!A:A,'Adj factor'!I:I,,0)*AI1229),'Master DataSheet'!AI1229)</f>
        <v>2467</v>
      </c>
      <c r="AM1229" s="91">
        <f t="shared" si="351"/>
        <v>2467</v>
      </c>
      <c r="AN1229" s="92" t="str">
        <f t="shared" si="352"/>
        <v>Increasing</v>
      </c>
      <c r="AS1229" s="94">
        <f t="shared" si="353"/>
        <v>0</v>
      </c>
      <c r="AT1229" s="94">
        <f t="shared" si="354"/>
        <v>0.95706195379053605</v>
      </c>
      <c r="AU1229" s="94">
        <f t="shared" si="355"/>
        <v>0.88376892806369933</v>
      </c>
    </row>
    <row r="1230" spans="1:47" x14ac:dyDescent="0.3">
      <c r="A1230" s="85" t="str">
        <f>_xlfn.XLOOKUP(B1230,'Country codes &amp; Data sources'!G:G,'Country codes &amp; Data sources'!H:H,,0)</f>
        <v>Cameroon</v>
      </c>
      <c r="B1230" s="85" t="s">
        <v>168</v>
      </c>
      <c r="C1230" s="85">
        <v>21032686</v>
      </c>
      <c r="D1230" s="85" t="s">
        <v>328</v>
      </c>
      <c r="E1230" s="86">
        <v>0</v>
      </c>
      <c r="F1230" s="86">
        <v>21632850.000000004</v>
      </c>
      <c r="G1230" s="86">
        <v>0</v>
      </c>
      <c r="H1230" s="86"/>
      <c r="I1230" s="86">
        <v>0</v>
      </c>
      <c r="J1230" s="86"/>
      <c r="K1230" s="86">
        <v>0</v>
      </c>
      <c r="L1230" s="86"/>
      <c r="M1230" s="86">
        <v>0</v>
      </c>
      <c r="N1230" s="86"/>
      <c r="O1230" s="86">
        <v>0</v>
      </c>
      <c r="P1230" s="86">
        <v>25076746.500000015</v>
      </c>
      <c r="Q1230" s="86">
        <v>859</v>
      </c>
      <c r="R1230" s="87">
        <f t="shared" si="340"/>
        <v>859</v>
      </c>
      <c r="T1230" s="87">
        <v>0</v>
      </c>
      <c r="U1230" s="89"/>
      <c r="V1230" s="89">
        <v>919</v>
      </c>
      <c r="W1230" s="90"/>
      <c r="X1230" s="90">
        <v>897</v>
      </c>
      <c r="Y1230" s="90">
        <v>27914536.499999989</v>
      </c>
      <c r="Z1230" s="90">
        <v>1289</v>
      </c>
      <c r="AA1230" s="90">
        <v>859</v>
      </c>
      <c r="AB1230" s="89">
        <f t="shared" si="341"/>
        <v>0</v>
      </c>
      <c r="AC1230" s="89">
        <f t="shared" si="342"/>
        <v>859</v>
      </c>
      <c r="AD1230" s="89">
        <f t="shared" si="343"/>
        <v>1289</v>
      </c>
      <c r="AE1230" s="90">
        <f t="shared" si="344"/>
        <v>0</v>
      </c>
      <c r="AF1230" s="90" t="str">
        <f t="shared" si="345"/>
        <v/>
      </c>
      <c r="AG1230" s="90">
        <f t="shared" si="346"/>
        <v>859</v>
      </c>
      <c r="AH1230" s="90">
        <f t="shared" si="347"/>
        <v>2018</v>
      </c>
      <c r="AI1230" s="90">
        <f t="shared" si="348"/>
        <v>1289</v>
      </c>
      <c r="AJ1230" s="90">
        <f t="shared" si="349"/>
        <v>2022</v>
      </c>
      <c r="AK1230" s="90" t="str">
        <f t="shared" si="350"/>
        <v/>
      </c>
      <c r="AL1230" s="91">
        <f>IF(AK1230="Adjust",(_xlfn.XLOOKUP(A1230,'Adj factor'!A:A,'Adj factor'!I:I,,0)*AI1230),'Master DataSheet'!AI1230)</f>
        <v>1289</v>
      </c>
      <c r="AM1230" s="91">
        <f t="shared" si="351"/>
        <v>1289</v>
      </c>
      <c r="AN1230" s="92" t="str">
        <f t="shared" si="352"/>
        <v>Increasing</v>
      </c>
      <c r="AS1230" s="94">
        <f t="shared" si="353"/>
        <v>0</v>
      </c>
      <c r="AT1230" s="94">
        <f t="shared" si="354"/>
        <v>0.34254842429419602</v>
      </c>
      <c r="AU1230" s="94">
        <f t="shared" si="355"/>
        <v>0.461766578141106</v>
      </c>
    </row>
    <row r="1231" spans="1:47" x14ac:dyDescent="0.3">
      <c r="A1231" s="85" t="str">
        <f>_xlfn.XLOOKUP(B1231,'Country codes &amp; Data sources'!G:G,'Country codes &amp; Data sources'!H:H,,0)</f>
        <v>Cameroon</v>
      </c>
      <c r="B1231" s="85" t="s">
        <v>168</v>
      </c>
      <c r="C1231" s="85">
        <v>21032687</v>
      </c>
      <c r="D1231" s="85" t="s">
        <v>329</v>
      </c>
      <c r="E1231" s="86">
        <v>0</v>
      </c>
      <c r="F1231" s="86">
        <v>21632850.000000004</v>
      </c>
      <c r="G1231" s="113">
        <v>18954</v>
      </c>
      <c r="H1231" s="86"/>
      <c r="I1231" s="86">
        <v>0</v>
      </c>
      <c r="J1231" s="86"/>
      <c r="K1231" s="86">
        <v>0</v>
      </c>
      <c r="L1231" s="86"/>
      <c r="M1231" s="86">
        <v>0</v>
      </c>
      <c r="O1231" s="86">
        <v>0</v>
      </c>
      <c r="P1231" s="86">
        <v>25076746.500000015</v>
      </c>
      <c r="Q1231" s="86">
        <v>9156</v>
      </c>
      <c r="R1231" s="87">
        <f t="shared" si="340"/>
        <v>9925</v>
      </c>
      <c r="T1231" s="87">
        <v>0</v>
      </c>
      <c r="U1231" s="89"/>
      <c r="V1231" s="89">
        <v>11478</v>
      </c>
      <c r="W1231" s="90"/>
      <c r="X1231" s="90">
        <v>4543</v>
      </c>
      <c r="Y1231" s="90">
        <v>27914536.499999989</v>
      </c>
      <c r="Z1231" s="90">
        <v>16473</v>
      </c>
      <c r="AA1231" s="90">
        <v>9925</v>
      </c>
      <c r="AB1231" s="89">
        <f t="shared" si="341"/>
        <v>18954</v>
      </c>
      <c r="AC1231" s="89">
        <f t="shared" si="342"/>
        <v>9156</v>
      </c>
      <c r="AD1231" s="89">
        <f t="shared" si="343"/>
        <v>16473</v>
      </c>
      <c r="AE1231" s="90">
        <f t="shared" si="344"/>
        <v>18954</v>
      </c>
      <c r="AF1231" s="90">
        <v>2013</v>
      </c>
      <c r="AG1231" s="90">
        <f t="shared" si="346"/>
        <v>9925</v>
      </c>
      <c r="AH1231" s="90" t="str">
        <f t="shared" si="347"/>
        <v>2018 (triag)</v>
      </c>
      <c r="AI1231" s="90">
        <f t="shared" si="348"/>
        <v>16473</v>
      </c>
      <c r="AJ1231" s="90">
        <f t="shared" si="349"/>
        <v>2022</v>
      </c>
      <c r="AK1231" s="90" t="str">
        <f t="shared" si="350"/>
        <v/>
      </c>
      <c r="AL1231" s="91">
        <f>IF(AK1231="Adjust",(_xlfn.XLOOKUP(A1231,'Adj factor'!A:A,'Adj factor'!I:I,,0)*AI1231),'Master DataSheet'!AI1231)</f>
        <v>16473</v>
      </c>
      <c r="AM1231" s="91">
        <f t="shared" si="351"/>
        <v>16473</v>
      </c>
      <c r="AN1231" s="92" t="str">
        <f t="shared" si="352"/>
        <v>Increasing</v>
      </c>
      <c r="AS1231" s="94">
        <f t="shared" si="353"/>
        <v>8.7616749526761364</v>
      </c>
      <c r="AT1231" s="94">
        <f t="shared" si="354"/>
        <v>3.957849954737946</v>
      </c>
      <c r="AU1231" s="94">
        <f t="shared" si="355"/>
        <v>5.9012264094014268</v>
      </c>
    </row>
    <row r="1232" spans="1:47" x14ac:dyDescent="0.3">
      <c r="A1232" s="85" t="str">
        <f>_xlfn.XLOOKUP(B1232,'Country codes &amp; Data sources'!G:G,'Country codes &amp; Data sources'!H:H,,0)</f>
        <v>Cameroon</v>
      </c>
      <c r="B1232" s="85" t="s">
        <v>168</v>
      </c>
      <c r="C1232" s="85">
        <v>21032688</v>
      </c>
      <c r="D1232" s="85" t="s">
        <v>330</v>
      </c>
      <c r="E1232" s="86">
        <v>0</v>
      </c>
      <c r="F1232" s="86">
        <v>21632850.000000004</v>
      </c>
      <c r="G1232" s="86">
        <v>0</v>
      </c>
      <c r="H1232" s="86"/>
      <c r="I1232" s="86">
        <v>0</v>
      </c>
      <c r="J1232" s="86"/>
      <c r="K1232" s="86">
        <v>0</v>
      </c>
      <c r="L1232" s="86"/>
      <c r="M1232" s="86">
        <v>0</v>
      </c>
      <c r="N1232" s="86"/>
      <c r="O1232" s="86">
        <v>0</v>
      </c>
      <c r="P1232" s="86">
        <v>25076746.500000015</v>
      </c>
      <c r="Q1232" s="86">
        <v>0</v>
      </c>
      <c r="R1232" s="87">
        <f t="shared" si="340"/>
        <v>9925</v>
      </c>
      <c r="T1232" s="87">
        <v>0</v>
      </c>
      <c r="U1232" s="89"/>
      <c r="V1232" s="89">
        <v>8841</v>
      </c>
      <c r="W1232" s="90"/>
      <c r="X1232" s="90">
        <v>3519</v>
      </c>
      <c r="Y1232" s="90">
        <v>27914536.499999989</v>
      </c>
      <c r="Z1232" s="90">
        <v>11485</v>
      </c>
      <c r="AA1232" s="90">
        <v>9925</v>
      </c>
      <c r="AB1232" s="89">
        <f t="shared" si="341"/>
        <v>0</v>
      </c>
      <c r="AC1232" s="89">
        <f t="shared" si="342"/>
        <v>0</v>
      </c>
      <c r="AD1232" s="89">
        <f t="shared" si="343"/>
        <v>11485</v>
      </c>
      <c r="AE1232" s="90">
        <f t="shared" si="344"/>
        <v>0</v>
      </c>
      <c r="AF1232" s="90" t="str">
        <f t="shared" si="345"/>
        <v/>
      </c>
      <c r="AG1232" s="90">
        <f t="shared" si="346"/>
        <v>9925</v>
      </c>
      <c r="AH1232" s="90" t="str">
        <f t="shared" si="347"/>
        <v>2018 (triag)</v>
      </c>
      <c r="AI1232" s="90">
        <f t="shared" si="348"/>
        <v>11485</v>
      </c>
      <c r="AJ1232" s="90">
        <f t="shared" si="349"/>
        <v>2022</v>
      </c>
      <c r="AK1232" s="90" t="str">
        <f t="shared" si="350"/>
        <v/>
      </c>
      <c r="AL1232" s="91">
        <f>IF(AK1232="Adjust",(_xlfn.XLOOKUP(A1232,'Adj factor'!A:A,'Adj factor'!I:I,,0)*AI1232),'Master DataSheet'!AI1232)</f>
        <v>11485</v>
      </c>
      <c r="AM1232" s="91">
        <f t="shared" si="351"/>
        <v>11485</v>
      </c>
      <c r="AN1232" s="92" t="str">
        <f t="shared" si="352"/>
        <v>Increasing</v>
      </c>
      <c r="AS1232" s="94">
        <f t="shared" si="353"/>
        <v>0</v>
      </c>
      <c r="AT1232" s="94">
        <f t="shared" si="354"/>
        <v>3.957849954737946</v>
      </c>
      <c r="AU1232" s="94">
        <f t="shared" si="355"/>
        <v>4.114343793600157</v>
      </c>
    </row>
    <row r="1233" spans="1:47" x14ac:dyDescent="0.3">
      <c r="A1233" s="85" t="str">
        <f>_xlfn.XLOOKUP(B1233,'Country codes &amp; Data sources'!G:G,'Country codes &amp; Data sources'!H:H,,0)</f>
        <v>Cameroon</v>
      </c>
      <c r="B1233" s="85" t="s">
        <v>168</v>
      </c>
      <c r="C1233" s="85">
        <v>21032689</v>
      </c>
      <c r="D1233" s="85" t="s">
        <v>331</v>
      </c>
      <c r="E1233" s="86">
        <v>0</v>
      </c>
      <c r="F1233" s="86">
        <v>21632850.000000004</v>
      </c>
      <c r="G1233" s="86">
        <v>0</v>
      </c>
      <c r="H1233" s="86"/>
      <c r="I1233" s="86">
        <v>0</v>
      </c>
      <c r="J1233" s="86"/>
      <c r="K1233" s="86">
        <v>0</v>
      </c>
      <c r="L1233" s="86"/>
      <c r="M1233" s="86">
        <v>0</v>
      </c>
      <c r="N1233" s="86"/>
      <c r="O1233" s="86">
        <v>0</v>
      </c>
      <c r="P1233" s="86">
        <v>25076746.500000015</v>
      </c>
      <c r="Q1233" s="86">
        <v>0</v>
      </c>
      <c r="R1233" s="87">
        <f t="shared" si="340"/>
        <v>0</v>
      </c>
      <c r="T1233" s="87">
        <v>0</v>
      </c>
      <c r="U1233" s="89"/>
      <c r="V1233" s="89">
        <v>1202</v>
      </c>
      <c r="W1233" s="90"/>
      <c r="X1233" s="90">
        <v>43</v>
      </c>
      <c r="Y1233" s="90">
        <v>27914536.499999989</v>
      </c>
      <c r="Z1233" s="90">
        <v>4925</v>
      </c>
      <c r="AA1233" s="90">
        <v>0</v>
      </c>
      <c r="AB1233" s="89">
        <f t="shared" si="341"/>
        <v>0</v>
      </c>
      <c r="AC1233" s="89">
        <f t="shared" si="342"/>
        <v>0</v>
      </c>
      <c r="AD1233" s="89">
        <f t="shared" si="343"/>
        <v>4925</v>
      </c>
      <c r="AE1233" s="90">
        <f t="shared" si="344"/>
        <v>0</v>
      </c>
      <c r="AF1233" s="90" t="str">
        <f t="shared" si="345"/>
        <v/>
      </c>
      <c r="AG1233" s="90">
        <f t="shared" si="346"/>
        <v>0</v>
      </c>
      <c r="AH1233" s="90" t="str">
        <f t="shared" si="347"/>
        <v/>
      </c>
      <c r="AI1233" s="90">
        <f t="shared" si="348"/>
        <v>4925</v>
      </c>
      <c r="AJ1233" s="90">
        <f t="shared" si="349"/>
        <v>2022</v>
      </c>
      <c r="AK1233" s="90" t="str">
        <f t="shared" si="350"/>
        <v/>
      </c>
      <c r="AL1233" s="91">
        <f>IF(AK1233="Adjust",(_xlfn.XLOOKUP(A1233,'Adj factor'!A:A,'Adj factor'!I:I,,0)*AI1233),'Master DataSheet'!AI1233)</f>
        <v>4925</v>
      </c>
      <c r="AM1233" s="91">
        <f t="shared" si="351"/>
        <v>4925</v>
      </c>
      <c r="AN1233" s="92" t="str">
        <f t="shared" si="352"/>
        <v>Increasing</v>
      </c>
      <c r="AS1233" s="94">
        <f t="shared" si="353"/>
        <v>0</v>
      </c>
      <c r="AT1233" s="94">
        <f t="shared" si="354"/>
        <v>0</v>
      </c>
      <c r="AU1233" s="94">
        <f t="shared" si="355"/>
        <v>1.7643137295150868</v>
      </c>
    </row>
    <row r="1234" spans="1:47" x14ac:dyDescent="0.3">
      <c r="A1234" s="85" t="str">
        <f>_xlfn.XLOOKUP(B1234,'Country codes &amp; Data sources'!G:G,'Country codes &amp; Data sources'!H:H,,0)</f>
        <v>Cameroon</v>
      </c>
      <c r="B1234" s="85" t="s">
        <v>168</v>
      </c>
      <c r="C1234" s="85">
        <v>21032690</v>
      </c>
      <c r="D1234" s="85" t="s">
        <v>332</v>
      </c>
      <c r="E1234" s="86">
        <v>0</v>
      </c>
      <c r="F1234" s="86">
        <v>21632850.000000004</v>
      </c>
      <c r="G1234" s="86">
        <v>127</v>
      </c>
      <c r="H1234" s="86"/>
      <c r="I1234" s="86">
        <v>0</v>
      </c>
      <c r="J1234" s="86"/>
      <c r="K1234" s="86">
        <v>0</v>
      </c>
      <c r="L1234" s="86"/>
      <c r="M1234" s="86">
        <v>0</v>
      </c>
      <c r="N1234" s="86"/>
      <c r="O1234" s="86">
        <v>0</v>
      </c>
      <c r="P1234" s="86">
        <v>25076746.500000015</v>
      </c>
      <c r="Q1234" s="86">
        <v>0</v>
      </c>
      <c r="R1234" s="87">
        <f t="shared" si="340"/>
        <v>690</v>
      </c>
      <c r="T1234" s="87">
        <v>0</v>
      </c>
      <c r="U1234" s="89"/>
      <c r="V1234" s="89">
        <v>1258</v>
      </c>
      <c r="W1234" s="90"/>
      <c r="X1234" s="90">
        <v>704</v>
      </c>
      <c r="Y1234" s="90">
        <v>27914536.499999989</v>
      </c>
      <c r="Z1234" s="90">
        <v>1674</v>
      </c>
      <c r="AA1234" s="90">
        <v>690</v>
      </c>
      <c r="AB1234" s="89">
        <f t="shared" si="341"/>
        <v>127</v>
      </c>
      <c r="AC1234" s="89">
        <f t="shared" si="342"/>
        <v>0</v>
      </c>
      <c r="AD1234" s="89">
        <f t="shared" si="343"/>
        <v>1674</v>
      </c>
      <c r="AE1234" s="90">
        <f t="shared" si="344"/>
        <v>127</v>
      </c>
      <c r="AF1234" s="90">
        <f t="shared" si="345"/>
        <v>2013</v>
      </c>
      <c r="AG1234" s="90">
        <f t="shared" si="346"/>
        <v>690</v>
      </c>
      <c r="AH1234" s="90" t="str">
        <f t="shared" si="347"/>
        <v>2018 (triag)</v>
      </c>
      <c r="AI1234" s="90">
        <f t="shared" si="348"/>
        <v>1674</v>
      </c>
      <c r="AJ1234" s="90">
        <f t="shared" si="349"/>
        <v>2022</v>
      </c>
      <c r="AK1234" s="90" t="str">
        <f t="shared" si="350"/>
        <v/>
      </c>
      <c r="AL1234" s="91">
        <f>IF(AK1234="Adjust",(_xlfn.XLOOKUP(A1234,'Adj factor'!A:A,'Adj factor'!I:I,,0)*AI1234),'Master DataSheet'!AI1234)</f>
        <v>1674</v>
      </c>
      <c r="AM1234" s="91">
        <f t="shared" si="351"/>
        <v>1674</v>
      </c>
      <c r="AN1234" s="92" t="str">
        <f t="shared" si="352"/>
        <v>Increasing</v>
      </c>
      <c r="AS1234" s="94">
        <f t="shared" si="353"/>
        <v>5.870701271445971E-2</v>
      </c>
      <c r="AT1234" s="94">
        <f t="shared" si="354"/>
        <v>0.27515531171477908</v>
      </c>
      <c r="AU1234" s="94">
        <f t="shared" si="355"/>
        <v>0.59968754989000106</v>
      </c>
    </row>
    <row r="1235" spans="1:47" x14ac:dyDescent="0.3">
      <c r="A1235" s="85" t="str">
        <f>_xlfn.XLOOKUP(B1235,'Country codes &amp; Data sources'!G:G,'Country codes &amp; Data sources'!H:H,,0)</f>
        <v>Cameroon</v>
      </c>
      <c r="B1235" s="85" t="s">
        <v>168</v>
      </c>
      <c r="C1235" s="85">
        <v>21032691</v>
      </c>
      <c r="D1235" s="85" t="s">
        <v>333</v>
      </c>
      <c r="E1235" s="86">
        <v>0</v>
      </c>
      <c r="F1235" s="86">
        <v>21632850.000000004</v>
      </c>
      <c r="G1235" s="86">
        <v>127</v>
      </c>
      <c r="H1235" s="86"/>
      <c r="I1235" s="86">
        <v>0</v>
      </c>
      <c r="J1235" s="86"/>
      <c r="K1235" s="86">
        <v>0</v>
      </c>
      <c r="L1235" s="86"/>
      <c r="M1235" s="86">
        <v>0</v>
      </c>
      <c r="N1235" s="86"/>
      <c r="O1235" s="86">
        <v>0</v>
      </c>
      <c r="P1235" s="86">
        <v>25076746.500000015</v>
      </c>
      <c r="Q1235" s="86">
        <v>0</v>
      </c>
      <c r="R1235" s="87">
        <f t="shared" si="340"/>
        <v>690</v>
      </c>
      <c r="T1235" s="87">
        <v>0</v>
      </c>
      <c r="U1235" s="89"/>
      <c r="V1235" s="89">
        <v>998</v>
      </c>
      <c r="W1235" s="90"/>
      <c r="X1235" s="90">
        <v>704</v>
      </c>
      <c r="Y1235" s="90">
        <v>27914536.499999989</v>
      </c>
      <c r="Z1235" s="90">
        <v>1578</v>
      </c>
      <c r="AA1235" s="90">
        <v>690</v>
      </c>
      <c r="AB1235" s="89">
        <f t="shared" si="341"/>
        <v>127</v>
      </c>
      <c r="AC1235" s="89">
        <f t="shared" si="342"/>
        <v>0</v>
      </c>
      <c r="AD1235" s="89">
        <f t="shared" si="343"/>
        <v>1578</v>
      </c>
      <c r="AE1235" s="90">
        <f t="shared" si="344"/>
        <v>127</v>
      </c>
      <c r="AF1235" s="90">
        <f t="shared" si="345"/>
        <v>2013</v>
      </c>
      <c r="AG1235" s="90">
        <f t="shared" si="346"/>
        <v>690</v>
      </c>
      <c r="AH1235" s="90" t="str">
        <f t="shared" si="347"/>
        <v>2018 (triag)</v>
      </c>
      <c r="AI1235" s="90">
        <f t="shared" si="348"/>
        <v>1578</v>
      </c>
      <c r="AJ1235" s="90">
        <f t="shared" si="349"/>
        <v>2022</v>
      </c>
      <c r="AK1235" s="90" t="str">
        <f t="shared" si="350"/>
        <v/>
      </c>
      <c r="AL1235" s="91">
        <f>IF(AK1235="Adjust",(_xlfn.XLOOKUP(A1235,'Adj factor'!A:A,'Adj factor'!I:I,,0)*AI1235),'Master DataSheet'!AI1235)</f>
        <v>1578</v>
      </c>
      <c r="AM1235" s="91">
        <f t="shared" si="351"/>
        <v>1578</v>
      </c>
      <c r="AN1235" s="92" t="str">
        <f t="shared" si="352"/>
        <v>Increasing</v>
      </c>
      <c r="AS1235" s="94">
        <f t="shared" si="353"/>
        <v>5.870701271445971E-2</v>
      </c>
      <c r="AT1235" s="94">
        <f t="shared" si="354"/>
        <v>0.27515531171477908</v>
      </c>
      <c r="AU1235" s="94">
        <f t="shared" si="355"/>
        <v>0.56529686602534157</v>
      </c>
    </row>
    <row r="1236" spans="1:47" x14ac:dyDescent="0.3">
      <c r="A1236" s="85" t="str">
        <f>_xlfn.XLOOKUP(B1236,'Country codes &amp; Data sources'!G:G,'Country codes &amp; Data sources'!H:H,,0)</f>
        <v>Cameroon</v>
      </c>
      <c r="B1236" s="85" t="s">
        <v>168</v>
      </c>
      <c r="C1236" s="85">
        <v>21032692</v>
      </c>
      <c r="D1236" s="85" t="s">
        <v>334</v>
      </c>
      <c r="E1236" s="86">
        <v>0</v>
      </c>
      <c r="F1236" s="86">
        <v>21632850.000000004</v>
      </c>
      <c r="G1236" s="86">
        <v>0</v>
      </c>
      <c r="H1236" s="86"/>
      <c r="I1236" s="86">
        <v>0</v>
      </c>
      <c r="J1236" s="86"/>
      <c r="K1236" s="86">
        <v>0</v>
      </c>
      <c r="L1236" s="86"/>
      <c r="M1236" s="86">
        <v>0</v>
      </c>
      <c r="N1236" s="86"/>
      <c r="O1236" s="86">
        <v>0</v>
      </c>
      <c r="P1236" s="86">
        <v>25076746.500000015</v>
      </c>
      <c r="Q1236" s="86">
        <v>0</v>
      </c>
      <c r="R1236" s="87">
        <f t="shared" si="340"/>
        <v>0</v>
      </c>
      <c r="T1236" s="87">
        <v>0</v>
      </c>
      <c r="U1236" s="89"/>
      <c r="V1236" s="89">
        <v>239</v>
      </c>
      <c r="W1236" s="90"/>
      <c r="X1236" s="90">
        <v>0</v>
      </c>
      <c r="Y1236" s="90">
        <v>27914536.499999989</v>
      </c>
      <c r="Z1236" s="90">
        <v>77</v>
      </c>
      <c r="AA1236" s="90">
        <v>0</v>
      </c>
      <c r="AB1236" s="89">
        <f t="shared" si="341"/>
        <v>0</v>
      </c>
      <c r="AC1236" s="89">
        <f t="shared" si="342"/>
        <v>0</v>
      </c>
      <c r="AD1236" s="89">
        <f t="shared" si="343"/>
        <v>239</v>
      </c>
      <c r="AE1236" s="90">
        <f t="shared" si="344"/>
        <v>0</v>
      </c>
      <c r="AF1236" s="90" t="str">
        <f t="shared" si="345"/>
        <v/>
      </c>
      <c r="AG1236" s="90">
        <f t="shared" si="346"/>
        <v>0</v>
      </c>
      <c r="AH1236" s="90" t="str">
        <f t="shared" si="347"/>
        <v/>
      </c>
      <c r="AI1236" s="90">
        <f t="shared" si="348"/>
        <v>77</v>
      </c>
      <c r="AJ1236" s="90">
        <f t="shared" si="349"/>
        <v>2022</v>
      </c>
      <c r="AK1236" s="90" t="str">
        <f t="shared" si="350"/>
        <v/>
      </c>
      <c r="AL1236" s="91">
        <f>IF(AK1236="Adjust",(_xlfn.XLOOKUP(A1236,'Adj factor'!A:A,'Adj factor'!I:I,,0)*AI1236),'Master DataSheet'!AI1236)</f>
        <v>77</v>
      </c>
      <c r="AM1236" s="91">
        <f t="shared" si="351"/>
        <v>77</v>
      </c>
      <c r="AN1236" s="92" t="str">
        <f t="shared" si="352"/>
        <v>Increasing</v>
      </c>
      <c r="AS1236" s="94">
        <f t="shared" si="353"/>
        <v>0</v>
      </c>
      <c r="AT1236" s="94">
        <f t="shared" si="354"/>
        <v>0</v>
      </c>
      <c r="AU1236" s="94">
        <f t="shared" si="355"/>
        <v>2.7584194349779025E-2</v>
      </c>
    </row>
    <row r="1237" spans="1:47" x14ac:dyDescent="0.3">
      <c r="A1237" s="85" t="str">
        <f>_xlfn.XLOOKUP(B1237,'Country codes &amp; Data sources'!G:G,'Country codes &amp; Data sources'!H:H,,0)</f>
        <v>Cameroon</v>
      </c>
      <c r="B1237" s="85" t="s">
        <v>168</v>
      </c>
      <c r="C1237" s="85">
        <v>21032693</v>
      </c>
      <c r="D1237" s="85" t="s">
        <v>335</v>
      </c>
      <c r="E1237" s="86">
        <v>0</v>
      </c>
      <c r="F1237" s="86">
        <v>21632850.000000004</v>
      </c>
      <c r="G1237" s="86">
        <v>0</v>
      </c>
      <c r="H1237" s="86"/>
      <c r="I1237" s="86">
        <v>0</v>
      </c>
      <c r="J1237" s="86"/>
      <c r="K1237" s="86">
        <v>0</v>
      </c>
      <c r="L1237" s="86"/>
      <c r="M1237" s="86">
        <v>199</v>
      </c>
      <c r="N1237" s="86"/>
      <c r="O1237" s="86">
        <v>0</v>
      </c>
      <c r="P1237" s="86">
        <v>25076746.500000015</v>
      </c>
      <c r="Q1237" s="86">
        <v>14</v>
      </c>
      <c r="R1237" s="87">
        <f t="shared" si="340"/>
        <v>350</v>
      </c>
      <c r="T1237" s="87">
        <v>0</v>
      </c>
      <c r="U1237" s="89"/>
      <c r="V1237" s="89">
        <v>337</v>
      </c>
      <c r="W1237" s="90"/>
      <c r="X1237" s="90">
        <v>264</v>
      </c>
      <c r="Y1237" s="90">
        <v>27914536.499999989</v>
      </c>
      <c r="Z1237" s="90">
        <v>602</v>
      </c>
      <c r="AA1237" s="90">
        <v>350</v>
      </c>
      <c r="AB1237" s="89">
        <f t="shared" si="341"/>
        <v>0</v>
      </c>
      <c r="AC1237" s="89">
        <f t="shared" si="342"/>
        <v>199</v>
      </c>
      <c r="AD1237" s="89">
        <f t="shared" si="343"/>
        <v>602</v>
      </c>
      <c r="AE1237" s="113">
        <v>162</v>
      </c>
      <c r="AF1237" s="90">
        <v>2013</v>
      </c>
      <c r="AG1237" s="90">
        <f t="shared" si="346"/>
        <v>350</v>
      </c>
      <c r="AH1237" s="90" t="str">
        <f t="shared" si="347"/>
        <v>2018 (triag)</v>
      </c>
      <c r="AI1237" s="90">
        <f t="shared" si="348"/>
        <v>602</v>
      </c>
      <c r="AJ1237" s="90">
        <f t="shared" si="349"/>
        <v>2022</v>
      </c>
      <c r="AK1237" s="90" t="str">
        <f t="shared" si="350"/>
        <v/>
      </c>
      <c r="AL1237" s="91">
        <f>IF(AK1237="Adjust",(_xlfn.XLOOKUP(A1237,'Adj factor'!A:A,'Adj factor'!I:I,,0)*AI1237),'Master DataSheet'!AI1237)</f>
        <v>602</v>
      </c>
      <c r="AM1237" s="91">
        <f t="shared" si="351"/>
        <v>602</v>
      </c>
      <c r="AN1237" s="92" t="str">
        <f t="shared" si="352"/>
        <v>Increasing</v>
      </c>
      <c r="AS1237" s="94">
        <f t="shared" si="353"/>
        <v>7.4886110706633646E-2</v>
      </c>
      <c r="AT1237" s="94">
        <f t="shared" si="354"/>
        <v>0.13957153492778651</v>
      </c>
      <c r="AU1237" s="94">
        <f t="shared" si="355"/>
        <v>0.21565824673463599</v>
      </c>
    </row>
    <row r="1238" spans="1:47" x14ac:dyDescent="0.3">
      <c r="A1238" s="85" t="str">
        <f>_xlfn.XLOOKUP(B1238,'Country codes &amp; Data sources'!G:G,'Country codes &amp; Data sources'!H:H,,0)</f>
        <v>Cameroon</v>
      </c>
      <c r="B1238" s="85" t="s">
        <v>168</v>
      </c>
      <c r="C1238" s="85">
        <v>21032694</v>
      </c>
      <c r="D1238" s="85" t="s">
        <v>336</v>
      </c>
      <c r="E1238" s="86">
        <v>0</v>
      </c>
      <c r="F1238" s="86">
        <v>21632850.000000004</v>
      </c>
      <c r="G1238" s="86">
        <v>0</v>
      </c>
      <c r="H1238" s="86"/>
      <c r="I1238" s="86">
        <v>0</v>
      </c>
      <c r="J1238" s="86"/>
      <c r="K1238" s="86">
        <v>0</v>
      </c>
      <c r="L1238" s="86"/>
      <c r="M1238" s="86">
        <v>0</v>
      </c>
      <c r="N1238" s="86"/>
      <c r="O1238" s="86">
        <v>0</v>
      </c>
      <c r="P1238" s="86">
        <v>25076746.500000015</v>
      </c>
      <c r="Q1238" s="86">
        <v>0</v>
      </c>
      <c r="R1238" s="87">
        <f t="shared" si="340"/>
        <v>0</v>
      </c>
      <c r="T1238" s="87">
        <v>0</v>
      </c>
      <c r="U1238" s="89"/>
      <c r="V1238" s="89">
        <v>54</v>
      </c>
      <c r="W1238" s="90"/>
      <c r="X1238" s="90">
        <v>324</v>
      </c>
      <c r="Y1238" s="90">
        <v>27914536.499999989</v>
      </c>
      <c r="Z1238" s="90">
        <v>369</v>
      </c>
      <c r="AA1238" s="90">
        <v>0</v>
      </c>
      <c r="AB1238" s="89">
        <f t="shared" si="341"/>
        <v>0</v>
      </c>
      <c r="AC1238" s="89">
        <f t="shared" si="342"/>
        <v>0</v>
      </c>
      <c r="AD1238" s="89">
        <f t="shared" si="343"/>
        <v>369</v>
      </c>
      <c r="AE1238" s="113">
        <v>1178</v>
      </c>
      <c r="AF1238" s="90">
        <v>2013</v>
      </c>
      <c r="AG1238" s="90">
        <f t="shared" si="346"/>
        <v>0</v>
      </c>
      <c r="AH1238" s="90" t="str">
        <f t="shared" si="347"/>
        <v/>
      </c>
      <c r="AI1238" s="90">
        <f t="shared" si="348"/>
        <v>369</v>
      </c>
      <c r="AJ1238" s="90">
        <f t="shared" si="349"/>
        <v>2022</v>
      </c>
      <c r="AK1238" s="90" t="str">
        <f t="shared" si="350"/>
        <v/>
      </c>
      <c r="AL1238" s="91">
        <f>IF(AK1238="Adjust",(_xlfn.XLOOKUP(A1238,'Adj factor'!A:A,'Adj factor'!I:I,,0)*AI1238),'Master DataSheet'!AI1238)</f>
        <v>369</v>
      </c>
      <c r="AM1238" s="91">
        <f t="shared" si="351"/>
        <v>369</v>
      </c>
      <c r="AN1238" s="92" t="str">
        <f t="shared" si="352"/>
        <v>Increasing</v>
      </c>
      <c r="AS1238" s="94">
        <f t="shared" si="353"/>
        <v>0.54454221242231138</v>
      </c>
      <c r="AT1238" s="94">
        <f t="shared" si="354"/>
        <v>0</v>
      </c>
      <c r="AU1238" s="94">
        <f t="shared" si="355"/>
        <v>0.13218919110478519</v>
      </c>
    </row>
    <row r="1239" spans="1:47" x14ac:dyDescent="0.3">
      <c r="A1239" s="85" t="str">
        <f>_xlfn.XLOOKUP(B1239,'Country codes &amp; Data sources'!G:G,'Country codes &amp; Data sources'!H:H,,0)</f>
        <v>Cameroon</v>
      </c>
      <c r="B1239" s="85" t="s">
        <v>168</v>
      </c>
      <c r="C1239" s="85">
        <v>21032695</v>
      </c>
      <c r="D1239" s="85" t="s">
        <v>337</v>
      </c>
      <c r="E1239" s="86">
        <v>0</v>
      </c>
      <c r="F1239" s="86">
        <v>21632850.000000004</v>
      </c>
      <c r="G1239" s="86">
        <v>0</v>
      </c>
      <c r="H1239" s="86"/>
      <c r="I1239" s="86">
        <v>0</v>
      </c>
      <c r="J1239" s="86"/>
      <c r="K1239" s="86">
        <v>0</v>
      </c>
      <c r="L1239" s="86"/>
      <c r="M1239" s="86">
        <v>88</v>
      </c>
      <c r="N1239" s="86"/>
      <c r="O1239" s="86">
        <v>0</v>
      </c>
      <c r="P1239" s="86">
        <v>25076746.500000015</v>
      </c>
      <c r="Q1239" s="86">
        <v>0</v>
      </c>
      <c r="R1239" s="87">
        <f t="shared" si="340"/>
        <v>308</v>
      </c>
      <c r="T1239" s="87">
        <v>300</v>
      </c>
      <c r="U1239" s="89"/>
      <c r="V1239" s="89">
        <v>179</v>
      </c>
      <c r="W1239" s="90"/>
      <c r="X1239" s="90">
        <v>133</v>
      </c>
      <c r="Y1239" s="90">
        <v>27914536.499999989</v>
      </c>
      <c r="Z1239" s="90">
        <v>317</v>
      </c>
      <c r="AA1239" s="90">
        <v>308</v>
      </c>
      <c r="AB1239" s="89">
        <f t="shared" si="341"/>
        <v>0</v>
      </c>
      <c r="AC1239" s="89">
        <f t="shared" si="342"/>
        <v>300</v>
      </c>
      <c r="AD1239" s="89">
        <f t="shared" si="343"/>
        <v>317</v>
      </c>
      <c r="AE1239" s="113">
        <v>58</v>
      </c>
      <c r="AF1239" s="90">
        <v>2013</v>
      </c>
      <c r="AG1239" s="90">
        <f t="shared" si="346"/>
        <v>308</v>
      </c>
      <c r="AH1239" s="90" t="str">
        <f t="shared" si="347"/>
        <v>2018 (triag)</v>
      </c>
      <c r="AI1239" s="90">
        <f t="shared" si="348"/>
        <v>317</v>
      </c>
      <c r="AJ1239" s="90">
        <f t="shared" si="349"/>
        <v>2022</v>
      </c>
      <c r="AK1239" s="90" t="str">
        <f t="shared" si="350"/>
        <v/>
      </c>
      <c r="AL1239" s="91">
        <f>IF(AK1239="Adjust",(_xlfn.XLOOKUP(A1239,'Adj factor'!A:A,'Adj factor'!I:I,,0)*AI1239),'Master DataSheet'!AI1239)</f>
        <v>317</v>
      </c>
      <c r="AM1239" s="91">
        <f t="shared" si="351"/>
        <v>317</v>
      </c>
      <c r="AN1239" s="92" t="str">
        <f t="shared" si="352"/>
        <v>Increasing</v>
      </c>
      <c r="AS1239" s="94">
        <f t="shared" si="353"/>
        <v>2.681107667274538E-2</v>
      </c>
      <c r="AT1239" s="94">
        <f t="shared" si="354"/>
        <v>0.12282295073645212</v>
      </c>
      <c r="AU1239" s="94">
        <f t="shared" si="355"/>
        <v>0.11356090401142793</v>
      </c>
    </row>
    <row r="1240" spans="1:47" x14ac:dyDescent="0.3">
      <c r="A1240" s="85" t="str">
        <f>_xlfn.XLOOKUP(B1240,'Country codes &amp; Data sources'!G:G,'Country codes &amp; Data sources'!H:H,,0)</f>
        <v>Cameroon</v>
      </c>
      <c r="B1240" s="85" t="s">
        <v>168</v>
      </c>
      <c r="C1240" s="85">
        <v>21032696</v>
      </c>
      <c r="D1240" s="85" t="s">
        <v>338</v>
      </c>
      <c r="E1240" s="86">
        <v>0</v>
      </c>
      <c r="F1240" s="86">
        <v>21632850.000000004</v>
      </c>
      <c r="G1240" s="86">
        <v>0</v>
      </c>
      <c r="H1240" s="86"/>
      <c r="I1240" s="86">
        <v>0</v>
      </c>
      <c r="J1240" s="86"/>
      <c r="K1240" s="86">
        <v>0</v>
      </c>
      <c r="L1240" s="86"/>
      <c r="M1240" s="86">
        <v>0</v>
      </c>
      <c r="N1240" s="86"/>
      <c r="O1240" s="86">
        <v>0</v>
      </c>
      <c r="P1240" s="86">
        <v>25076746.500000015</v>
      </c>
      <c r="Q1240" s="86">
        <v>0</v>
      </c>
      <c r="R1240" s="87">
        <f t="shared" si="340"/>
        <v>0</v>
      </c>
      <c r="T1240" s="87">
        <v>0</v>
      </c>
      <c r="U1240" s="89"/>
      <c r="V1240" s="89">
        <v>45</v>
      </c>
      <c r="W1240" s="90"/>
      <c r="X1240" s="90">
        <v>97</v>
      </c>
      <c r="Y1240" s="90">
        <v>27914536.499999989</v>
      </c>
      <c r="Z1240" s="90">
        <v>88</v>
      </c>
      <c r="AA1240" s="90">
        <v>0</v>
      </c>
      <c r="AB1240" s="89">
        <f t="shared" si="341"/>
        <v>0</v>
      </c>
      <c r="AC1240" s="89">
        <f t="shared" si="342"/>
        <v>0</v>
      </c>
      <c r="AD1240" s="89">
        <f t="shared" si="343"/>
        <v>97</v>
      </c>
      <c r="AE1240" s="90">
        <f t="shared" si="344"/>
        <v>0</v>
      </c>
      <c r="AF1240" s="90" t="str">
        <f t="shared" si="345"/>
        <v/>
      </c>
      <c r="AG1240" s="90">
        <f t="shared" si="346"/>
        <v>0</v>
      </c>
      <c r="AH1240" s="90" t="str">
        <f t="shared" si="347"/>
        <v/>
      </c>
      <c r="AI1240" s="90">
        <f t="shared" si="348"/>
        <v>88</v>
      </c>
      <c r="AJ1240" s="90">
        <f t="shared" si="349"/>
        <v>2022</v>
      </c>
      <c r="AK1240" s="90" t="str">
        <f t="shared" si="350"/>
        <v/>
      </c>
      <c r="AL1240" s="91">
        <f>IF(AK1240="Adjust",(_xlfn.XLOOKUP(A1240,'Adj factor'!A:A,'Adj factor'!I:I,,0)*AI1240),'Master DataSheet'!AI1240)</f>
        <v>88</v>
      </c>
      <c r="AM1240" s="91">
        <f t="shared" si="351"/>
        <v>88</v>
      </c>
      <c r="AN1240" s="92" t="str">
        <f t="shared" si="352"/>
        <v>Increasing</v>
      </c>
      <c r="AS1240" s="94">
        <f t="shared" si="353"/>
        <v>0</v>
      </c>
      <c r="AT1240" s="94">
        <f t="shared" si="354"/>
        <v>0</v>
      </c>
      <c r="AU1240" s="94">
        <f t="shared" si="355"/>
        <v>3.1524793542604596E-2</v>
      </c>
    </row>
    <row r="1241" spans="1:47" x14ac:dyDescent="0.3">
      <c r="A1241" s="85" t="str">
        <f>_xlfn.XLOOKUP(B1241,'Country codes &amp; Data sources'!G:G,'Country codes &amp; Data sources'!H:H,,0)</f>
        <v>Cameroon</v>
      </c>
      <c r="B1241" s="85" t="s">
        <v>168</v>
      </c>
      <c r="C1241" s="85">
        <v>21032697</v>
      </c>
      <c r="D1241" s="85" t="s">
        <v>339</v>
      </c>
      <c r="E1241" s="86">
        <v>0</v>
      </c>
      <c r="F1241" s="86">
        <v>21632850.000000004</v>
      </c>
      <c r="G1241" s="86">
        <v>0</v>
      </c>
      <c r="H1241" s="86"/>
      <c r="I1241" s="86">
        <v>0</v>
      </c>
      <c r="J1241" s="86"/>
      <c r="K1241" s="86">
        <v>0</v>
      </c>
      <c r="L1241" s="86"/>
      <c r="M1241" s="86">
        <v>0</v>
      </c>
      <c r="N1241" s="86"/>
      <c r="O1241" s="86">
        <v>0</v>
      </c>
      <c r="P1241" s="86">
        <v>25076746.500000015</v>
      </c>
      <c r="Q1241" s="86">
        <v>0</v>
      </c>
      <c r="R1241" s="87">
        <f t="shared" si="340"/>
        <v>0</v>
      </c>
      <c r="T1241" s="87">
        <v>0</v>
      </c>
      <c r="U1241" s="89"/>
      <c r="V1241" s="89">
        <v>6</v>
      </c>
      <c r="W1241" s="90"/>
      <c r="X1241" s="90">
        <v>44</v>
      </c>
      <c r="Y1241" s="90">
        <v>27914536.499999989</v>
      </c>
      <c r="Z1241" s="90">
        <v>32</v>
      </c>
      <c r="AA1241" s="90">
        <v>0</v>
      </c>
      <c r="AB1241" s="89">
        <f t="shared" si="341"/>
        <v>0</v>
      </c>
      <c r="AC1241" s="89">
        <f t="shared" si="342"/>
        <v>0</v>
      </c>
      <c r="AD1241" s="89">
        <f t="shared" si="343"/>
        <v>44</v>
      </c>
      <c r="AE1241" s="90">
        <f t="shared" si="344"/>
        <v>0</v>
      </c>
      <c r="AF1241" s="90" t="str">
        <f t="shared" si="345"/>
        <v/>
      </c>
      <c r="AG1241" s="90">
        <f t="shared" si="346"/>
        <v>0</v>
      </c>
      <c r="AH1241" s="90" t="str">
        <f t="shared" si="347"/>
        <v/>
      </c>
      <c r="AI1241" s="90">
        <f t="shared" si="348"/>
        <v>32</v>
      </c>
      <c r="AJ1241" s="90">
        <f t="shared" si="349"/>
        <v>2022</v>
      </c>
      <c r="AK1241" s="90" t="str">
        <f t="shared" si="350"/>
        <v/>
      </c>
      <c r="AL1241" s="91">
        <f>IF(AK1241="Adjust",(_xlfn.XLOOKUP(A1241,'Adj factor'!A:A,'Adj factor'!I:I,,0)*AI1241),'Master DataSheet'!AI1241)</f>
        <v>32</v>
      </c>
      <c r="AM1241" s="91">
        <f t="shared" si="351"/>
        <v>32</v>
      </c>
      <c r="AN1241" s="92" t="str">
        <f t="shared" si="352"/>
        <v>Increasing</v>
      </c>
      <c r="AS1241" s="94">
        <f t="shared" si="353"/>
        <v>0</v>
      </c>
      <c r="AT1241" s="94">
        <f t="shared" si="354"/>
        <v>0</v>
      </c>
      <c r="AU1241" s="94">
        <f t="shared" si="355"/>
        <v>1.1463561288219853E-2</v>
      </c>
    </row>
    <row r="1242" spans="1:47" x14ac:dyDescent="0.3">
      <c r="A1242" s="85" t="str">
        <f>_xlfn.XLOOKUP(B1242,'Country codes &amp; Data sources'!G:G,'Country codes &amp; Data sources'!H:H,,0)</f>
        <v>DRC</v>
      </c>
      <c r="B1242" s="85" t="s">
        <v>154</v>
      </c>
      <c r="C1242" s="85">
        <v>70997869.50000006</v>
      </c>
      <c r="D1242" s="85" t="s">
        <v>326</v>
      </c>
      <c r="E1242" s="86">
        <v>0</v>
      </c>
      <c r="F1242" s="86">
        <v>73460021</v>
      </c>
      <c r="G1242" s="86">
        <v>6418</v>
      </c>
      <c r="H1242" s="86">
        <v>76035588.49999994</v>
      </c>
      <c r="I1242" s="86">
        <v>0</v>
      </c>
      <c r="J1242" s="86">
        <v>78656903.50000006</v>
      </c>
      <c r="K1242" s="86">
        <v>0</v>
      </c>
      <c r="L1242" s="86">
        <v>81430976.499999985</v>
      </c>
      <c r="M1242" s="86">
        <v>0</v>
      </c>
      <c r="N1242" s="86">
        <v>84283273.000000045</v>
      </c>
      <c r="O1242" s="86">
        <v>0</v>
      </c>
      <c r="P1242" s="86">
        <v>87087354.999999985</v>
      </c>
      <c r="Q1242" s="86">
        <v>0</v>
      </c>
      <c r="R1242" s="87">
        <f t="shared" si="340"/>
        <v>31546</v>
      </c>
      <c r="S1242" s="87">
        <v>89906890.500000015</v>
      </c>
      <c r="T1242" s="87">
        <v>15016</v>
      </c>
      <c r="U1242" s="89">
        <v>92853164.500000015</v>
      </c>
      <c r="V1242" s="89">
        <v>0</v>
      </c>
      <c r="W1242" s="90">
        <v>95894118.499999985</v>
      </c>
      <c r="X1242" s="90">
        <v>16989</v>
      </c>
      <c r="Y1242" s="90">
        <v>99010212</v>
      </c>
      <c r="Z1242" s="90">
        <v>18493</v>
      </c>
      <c r="AA1242" s="90">
        <v>31546</v>
      </c>
      <c r="AB1242" s="89">
        <f t="shared" si="341"/>
        <v>6418</v>
      </c>
      <c r="AC1242" s="89">
        <f t="shared" si="342"/>
        <v>15016</v>
      </c>
      <c r="AD1242" s="89">
        <f t="shared" si="343"/>
        <v>18493</v>
      </c>
      <c r="AE1242" s="90">
        <f t="shared" si="344"/>
        <v>6418</v>
      </c>
      <c r="AF1242" s="90">
        <f t="shared" si="345"/>
        <v>2013</v>
      </c>
      <c r="AG1242" s="90">
        <f t="shared" si="346"/>
        <v>31546</v>
      </c>
      <c r="AH1242" s="90" t="str">
        <f t="shared" si="347"/>
        <v>2018 (triag)</v>
      </c>
      <c r="AI1242" s="90">
        <f t="shared" si="348"/>
        <v>18493</v>
      </c>
      <c r="AJ1242" s="90">
        <f t="shared" si="349"/>
        <v>2022</v>
      </c>
      <c r="AK1242" s="90" t="str">
        <f t="shared" si="350"/>
        <v>Adjust</v>
      </c>
      <c r="AL1242" s="91">
        <f>IF(AK1242="Adjust",(_xlfn.XLOOKUP(A1242,'Adj factor'!A:A,'Adj factor'!I:I,,0)*AI1242),'Master DataSheet'!AI1242)</f>
        <v>21289.958719118578</v>
      </c>
      <c r="AM1242" s="91">
        <f t="shared" si="351"/>
        <v>31546</v>
      </c>
      <c r="AN1242" s="92" t="str">
        <f t="shared" si="352"/>
        <v>Decreasing</v>
      </c>
      <c r="AS1242" s="94">
        <f t="shared" si="353"/>
        <v>0.87367249731660168</v>
      </c>
      <c r="AT1242" s="94">
        <f t="shared" si="354"/>
        <v>3.6223398907912641</v>
      </c>
      <c r="AU1242" s="94">
        <f t="shared" si="355"/>
        <v>3.186135991709623</v>
      </c>
    </row>
    <row r="1243" spans="1:47" x14ac:dyDescent="0.3">
      <c r="A1243" s="85" t="str">
        <f>_xlfn.XLOOKUP(B1243,'Country codes &amp; Data sources'!G:G,'Country codes &amp; Data sources'!H:H,,0)</f>
        <v>DRC</v>
      </c>
      <c r="B1243" s="85" t="s">
        <v>154</v>
      </c>
      <c r="C1243" s="85">
        <v>70997870.500000104</v>
      </c>
      <c r="D1243" s="85" t="s">
        <v>327</v>
      </c>
      <c r="E1243" s="86">
        <v>0</v>
      </c>
      <c r="F1243" s="86">
        <v>73460021</v>
      </c>
      <c r="G1243" s="86">
        <v>0</v>
      </c>
      <c r="H1243" s="86"/>
      <c r="I1243" s="86">
        <v>0</v>
      </c>
      <c r="J1243" s="86"/>
      <c r="K1243" s="86">
        <v>0</v>
      </c>
      <c r="L1243" s="86"/>
      <c r="M1243" s="86">
        <v>0</v>
      </c>
      <c r="N1243" s="86"/>
      <c r="O1243" s="86">
        <v>0</v>
      </c>
      <c r="P1243" s="86">
        <v>87087354.999999985</v>
      </c>
      <c r="Q1243" s="86">
        <v>0</v>
      </c>
      <c r="R1243" s="87">
        <f t="shared" si="340"/>
        <v>30768</v>
      </c>
      <c r="T1243" s="87">
        <v>15016</v>
      </c>
      <c r="U1243" s="89"/>
      <c r="V1243" s="89">
        <v>0</v>
      </c>
      <c r="W1243" s="90"/>
      <c r="X1243" s="90">
        <v>16989</v>
      </c>
      <c r="Y1243" s="90">
        <v>99010212</v>
      </c>
      <c r="Z1243" s="90">
        <v>18493</v>
      </c>
      <c r="AA1243" s="90">
        <v>30768</v>
      </c>
      <c r="AB1243" s="89">
        <f t="shared" si="341"/>
        <v>0</v>
      </c>
      <c r="AC1243" s="89">
        <f t="shared" si="342"/>
        <v>15016</v>
      </c>
      <c r="AD1243" s="89">
        <f t="shared" si="343"/>
        <v>18493</v>
      </c>
      <c r="AE1243" s="90">
        <f t="shared" si="344"/>
        <v>0</v>
      </c>
      <c r="AF1243" s="90" t="str">
        <f t="shared" si="345"/>
        <v/>
      </c>
      <c r="AG1243" s="90">
        <f t="shared" si="346"/>
        <v>30768</v>
      </c>
      <c r="AH1243" s="90" t="str">
        <f t="shared" si="347"/>
        <v>2018 (triag)</v>
      </c>
      <c r="AI1243" s="90">
        <f t="shared" si="348"/>
        <v>18493</v>
      </c>
      <c r="AJ1243" s="90">
        <f t="shared" si="349"/>
        <v>2022</v>
      </c>
      <c r="AK1243" s="90" t="str">
        <f t="shared" si="350"/>
        <v>Adjust</v>
      </c>
      <c r="AL1243" s="91">
        <f>IF(AK1243="Adjust",(_xlfn.XLOOKUP(A1243,'Adj factor'!A:A,'Adj factor'!I:I,,0)*AI1243),'Master DataSheet'!AI1243)</f>
        <v>21289.958719118578</v>
      </c>
      <c r="AM1243" s="91">
        <f t="shared" si="351"/>
        <v>30768</v>
      </c>
      <c r="AN1243" s="92" t="str">
        <f t="shared" si="352"/>
        <v>Decreasing</v>
      </c>
      <c r="AS1243" s="94">
        <f t="shared" si="353"/>
        <v>0</v>
      </c>
      <c r="AT1243" s="94">
        <f t="shared" si="354"/>
        <v>3.5330043035524508</v>
      </c>
      <c r="AU1243" s="94">
        <f t="shared" si="355"/>
        <v>3.1075582385380609</v>
      </c>
    </row>
    <row r="1244" spans="1:47" x14ac:dyDescent="0.3">
      <c r="A1244" s="85" t="str">
        <f>_xlfn.XLOOKUP(B1244,'Country codes &amp; Data sources'!G:G,'Country codes &amp; Data sources'!H:H,,0)</f>
        <v>DRC</v>
      </c>
      <c r="B1244" s="85" t="s">
        <v>154</v>
      </c>
      <c r="C1244" s="85">
        <v>70997871.500000104</v>
      </c>
      <c r="D1244" s="85" t="s">
        <v>328</v>
      </c>
      <c r="E1244" s="86">
        <v>0</v>
      </c>
      <c r="F1244" s="86">
        <v>73460021</v>
      </c>
      <c r="G1244" s="86">
        <v>0</v>
      </c>
      <c r="H1244" s="86"/>
      <c r="I1244" s="86">
        <v>0</v>
      </c>
      <c r="J1244" s="86"/>
      <c r="K1244" s="86">
        <v>0</v>
      </c>
      <c r="L1244" s="86"/>
      <c r="M1244" s="86">
        <v>0</v>
      </c>
      <c r="N1244" s="86"/>
      <c r="O1244" s="86">
        <v>0</v>
      </c>
      <c r="P1244" s="86">
        <v>87087354.999999985</v>
      </c>
      <c r="Q1244" s="86">
        <v>0</v>
      </c>
      <c r="R1244" s="87">
        <f t="shared" si="340"/>
        <v>778</v>
      </c>
      <c r="T1244" s="87">
        <v>0</v>
      </c>
      <c r="U1244" s="89"/>
      <c r="V1244" s="89">
        <v>0</v>
      </c>
      <c r="W1244" s="90"/>
      <c r="X1244" s="90">
        <v>0</v>
      </c>
      <c r="Y1244" s="90">
        <v>99010212</v>
      </c>
      <c r="Z1244" s="90">
        <v>0</v>
      </c>
      <c r="AA1244" s="90">
        <v>778</v>
      </c>
      <c r="AB1244" s="89">
        <f t="shared" si="341"/>
        <v>0</v>
      </c>
      <c r="AC1244" s="89">
        <f t="shared" si="342"/>
        <v>0</v>
      </c>
      <c r="AD1244" s="89">
        <f t="shared" si="343"/>
        <v>0</v>
      </c>
      <c r="AE1244" s="90">
        <f t="shared" si="344"/>
        <v>0</v>
      </c>
      <c r="AF1244" s="90" t="str">
        <f t="shared" si="345"/>
        <v/>
      </c>
      <c r="AG1244" s="90">
        <f t="shared" si="346"/>
        <v>778</v>
      </c>
      <c r="AH1244" s="90" t="str">
        <f t="shared" si="347"/>
        <v>2018 (triag)</v>
      </c>
      <c r="AI1244" s="90">
        <f t="shared" si="348"/>
        <v>778</v>
      </c>
      <c r="AJ1244" s="90" t="str">
        <f t="shared" si="349"/>
        <v>2018 (triag)</v>
      </c>
      <c r="AK1244" s="90" t="str">
        <f t="shared" si="350"/>
        <v/>
      </c>
      <c r="AL1244" s="91">
        <f>IF(AK1244="Adjust",(_xlfn.XLOOKUP(A1244,'Adj factor'!A:A,'Adj factor'!I:I,,0)*AI1244),'Master DataSheet'!AI1244)</f>
        <v>778</v>
      </c>
      <c r="AM1244" s="91">
        <f t="shared" si="351"/>
        <v>778</v>
      </c>
      <c r="AN1244" s="92" t="str">
        <f t="shared" si="352"/>
        <v>No change</v>
      </c>
      <c r="AS1244" s="94">
        <f t="shared" si="353"/>
        <v>0</v>
      </c>
      <c r="AT1244" s="94">
        <f t="shared" si="354"/>
        <v>8.9335587238813269E-2</v>
      </c>
      <c r="AU1244" s="94">
        <f t="shared" si="355"/>
        <v>7.8577753171561737E-2</v>
      </c>
    </row>
    <row r="1245" spans="1:47" x14ac:dyDescent="0.3">
      <c r="A1245" s="85" t="str">
        <f>_xlfn.XLOOKUP(B1245,'Country codes &amp; Data sources'!G:G,'Country codes &amp; Data sources'!H:H,,0)</f>
        <v>DRC</v>
      </c>
      <c r="B1245" s="85" t="s">
        <v>154</v>
      </c>
      <c r="C1245" s="85">
        <v>70997872.500000104</v>
      </c>
      <c r="D1245" s="85" t="s">
        <v>329</v>
      </c>
      <c r="E1245" s="86">
        <v>0</v>
      </c>
      <c r="F1245" s="86">
        <v>73460021</v>
      </c>
      <c r="G1245" s="86">
        <v>59813</v>
      </c>
      <c r="H1245" s="86"/>
      <c r="I1245" s="86">
        <v>0</v>
      </c>
      <c r="J1245" s="86"/>
      <c r="K1245" s="86">
        <v>72270</v>
      </c>
      <c r="L1245" s="86"/>
      <c r="M1245" s="86">
        <v>44897</v>
      </c>
      <c r="N1245" s="86"/>
      <c r="O1245" s="86">
        <v>73046</v>
      </c>
      <c r="P1245" s="86">
        <v>87087354.999999985</v>
      </c>
      <c r="Q1245" s="86">
        <v>93326</v>
      </c>
      <c r="R1245" s="87">
        <f t="shared" si="340"/>
        <v>103785</v>
      </c>
      <c r="T1245" s="87">
        <v>93964</v>
      </c>
      <c r="U1245" s="89"/>
      <c r="V1245" s="89">
        <v>0</v>
      </c>
      <c r="W1245" s="90"/>
      <c r="X1245" s="90">
        <v>101752</v>
      </c>
      <c r="Y1245" s="90">
        <v>99010212</v>
      </c>
      <c r="Z1245" s="90">
        <v>115316</v>
      </c>
      <c r="AA1245" s="90">
        <v>103785</v>
      </c>
      <c r="AB1245" s="89">
        <f t="shared" si="341"/>
        <v>72270</v>
      </c>
      <c r="AC1245" s="89">
        <f t="shared" si="342"/>
        <v>93964</v>
      </c>
      <c r="AD1245" s="89">
        <f t="shared" si="343"/>
        <v>115316</v>
      </c>
      <c r="AE1245" s="90">
        <f t="shared" si="344"/>
        <v>59813</v>
      </c>
      <c r="AF1245" s="90">
        <f t="shared" si="345"/>
        <v>2013</v>
      </c>
      <c r="AG1245" s="90">
        <f t="shared" si="346"/>
        <v>103785</v>
      </c>
      <c r="AH1245" s="90" t="str">
        <f t="shared" si="347"/>
        <v>2018 (triag)</v>
      </c>
      <c r="AI1245" s="90">
        <f t="shared" si="348"/>
        <v>115316</v>
      </c>
      <c r="AJ1245" s="90">
        <f t="shared" si="349"/>
        <v>2022</v>
      </c>
      <c r="AK1245" s="90" t="str">
        <f t="shared" si="350"/>
        <v/>
      </c>
      <c r="AL1245" s="91">
        <f>IF(AK1245="Adjust",(_xlfn.XLOOKUP(A1245,'Adj factor'!A:A,'Adj factor'!I:I,,0)*AI1245),'Master DataSheet'!AI1245)</f>
        <v>115316</v>
      </c>
      <c r="AM1245" s="91">
        <f t="shared" si="351"/>
        <v>115316</v>
      </c>
      <c r="AN1245" s="92" t="str">
        <f t="shared" si="352"/>
        <v>Increasing</v>
      </c>
      <c r="AS1245" s="94">
        <f t="shared" si="353"/>
        <v>8.1422519604234793</v>
      </c>
      <c r="AT1245" s="94">
        <f t="shared" si="354"/>
        <v>11.917344372211099</v>
      </c>
      <c r="AU1245" s="94">
        <f t="shared" si="355"/>
        <v>11.646879414822383</v>
      </c>
    </row>
    <row r="1246" spans="1:47" x14ac:dyDescent="0.3">
      <c r="A1246" s="85" t="str">
        <f>_xlfn.XLOOKUP(B1246,'Country codes &amp; Data sources'!G:G,'Country codes &amp; Data sources'!H:H,,0)</f>
        <v>DRC</v>
      </c>
      <c r="B1246" s="85" t="s">
        <v>154</v>
      </c>
      <c r="C1246" s="85">
        <v>70997873.500000104</v>
      </c>
      <c r="D1246" s="85" t="s">
        <v>330</v>
      </c>
      <c r="E1246" s="86">
        <v>0</v>
      </c>
      <c r="F1246" s="86">
        <v>73460021</v>
      </c>
      <c r="G1246" s="86">
        <v>0</v>
      </c>
      <c r="H1246" s="86"/>
      <c r="I1246" s="86">
        <v>0</v>
      </c>
      <c r="J1246" s="86"/>
      <c r="K1246" s="86">
        <v>27373</v>
      </c>
      <c r="L1246" s="86"/>
      <c r="M1246" s="86">
        <v>0</v>
      </c>
      <c r="N1246" s="86"/>
      <c r="O1246" s="86">
        <v>29514</v>
      </c>
      <c r="P1246" s="86">
        <v>87087354.999999985</v>
      </c>
      <c r="Q1246" s="86">
        <v>36980</v>
      </c>
      <c r="R1246" s="87">
        <f t="shared" si="340"/>
        <v>51019</v>
      </c>
      <c r="T1246" s="87">
        <v>93964</v>
      </c>
      <c r="U1246" s="89"/>
      <c r="V1246" s="89">
        <v>0</v>
      </c>
      <c r="W1246" s="90"/>
      <c r="X1246" s="90">
        <v>101752</v>
      </c>
      <c r="Y1246" s="90">
        <v>99010212</v>
      </c>
      <c r="Z1246" s="90">
        <v>115316</v>
      </c>
      <c r="AA1246" s="90">
        <v>51019</v>
      </c>
      <c r="AB1246" s="89">
        <f t="shared" si="341"/>
        <v>27373</v>
      </c>
      <c r="AC1246" s="89">
        <f t="shared" si="342"/>
        <v>93964</v>
      </c>
      <c r="AD1246" s="89">
        <f t="shared" si="343"/>
        <v>115316</v>
      </c>
      <c r="AE1246" s="90">
        <f t="shared" si="344"/>
        <v>27373</v>
      </c>
      <c r="AF1246" s="90">
        <f t="shared" si="345"/>
        <v>2015</v>
      </c>
      <c r="AG1246" s="90">
        <f t="shared" si="346"/>
        <v>51019</v>
      </c>
      <c r="AH1246" s="90" t="str">
        <f t="shared" si="347"/>
        <v>2018 (triag)</v>
      </c>
      <c r="AI1246" s="90">
        <f t="shared" si="348"/>
        <v>115316</v>
      </c>
      <c r="AJ1246" s="90">
        <f t="shared" si="349"/>
        <v>2022</v>
      </c>
      <c r="AK1246" s="90" t="str">
        <f t="shared" si="350"/>
        <v/>
      </c>
      <c r="AL1246" s="91">
        <f>IF(AK1246="Adjust",(_xlfn.XLOOKUP(A1246,'Adj factor'!A:A,'Adj factor'!I:I,,0)*AI1246),'Master DataSheet'!AI1246)</f>
        <v>115316</v>
      </c>
      <c r="AM1246" s="91">
        <f t="shared" si="351"/>
        <v>115316</v>
      </c>
      <c r="AN1246" s="92" t="str">
        <f t="shared" si="352"/>
        <v>Increasing</v>
      </c>
      <c r="AS1246" s="94">
        <f t="shared" si="353"/>
        <v>3.7262445106025766</v>
      </c>
      <c r="AT1246" s="94">
        <f t="shared" si="354"/>
        <v>5.8583705981195555</v>
      </c>
      <c r="AU1246" s="94">
        <f t="shared" si="355"/>
        <v>11.646879414822383</v>
      </c>
    </row>
    <row r="1247" spans="1:47" x14ac:dyDescent="0.3">
      <c r="A1247" s="85" t="str">
        <f>_xlfn.XLOOKUP(B1247,'Country codes &amp; Data sources'!G:G,'Country codes &amp; Data sources'!H:H,,0)</f>
        <v>DRC</v>
      </c>
      <c r="B1247" s="85" t="s">
        <v>154</v>
      </c>
      <c r="C1247" s="85">
        <v>70997874.500000104</v>
      </c>
      <c r="D1247" s="85" t="s">
        <v>331</v>
      </c>
      <c r="E1247" s="86">
        <v>0</v>
      </c>
      <c r="F1247" s="86">
        <v>73460021</v>
      </c>
      <c r="G1247" s="86">
        <v>0</v>
      </c>
      <c r="H1247" s="86"/>
      <c r="I1247" s="86">
        <v>0</v>
      </c>
      <c r="J1247" s="86"/>
      <c r="K1247" s="86">
        <v>17611</v>
      </c>
      <c r="L1247" s="86"/>
      <c r="M1247" s="86">
        <v>0</v>
      </c>
      <c r="N1247" s="86"/>
      <c r="O1247" s="86">
        <v>14251</v>
      </c>
      <c r="P1247" s="86">
        <v>87087354.999999985</v>
      </c>
      <c r="Q1247" s="86">
        <v>14398</v>
      </c>
      <c r="R1247" s="87">
        <f t="shared" si="340"/>
        <v>52766</v>
      </c>
      <c r="T1247" s="87">
        <v>0</v>
      </c>
      <c r="U1247" s="89"/>
      <c r="V1247" s="89">
        <v>0</v>
      </c>
      <c r="W1247" s="90"/>
      <c r="X1247" s="90">
        <v>0</v>
      </c>
      <c r="Y1247" s="90">
        <v>99010212</v>
      </c>
      <c r="Z1247" s="90">
        <v>0</v>
      </c>
      <c r="AA1247" s="90">
        <v>52766</v>
      </c>
      <c r="AB1247" s="89">
        <f t="shared" si="341"/>
        <v>17611</v>
      </c>
      <c r="AC1247" s="89">
        <f t="shared" si="342"/>
        <v>14398</v>
      </c>
      <c r="AD1247" s="89">
        <f t="shared" si="343"/>
        <v>0</v>
      </c>
      <c r="AE1247" s="90">
        <f t="shared" si="344"/>
        <v>17611</v>
      </c>
      <c r="AF1247" s="90">
        <f t="shared" si="345"/>
        <v>2015</v>
      </c>
      <c r="AG1247" s="90">
        <f t="shared" si="346"/>
        <v>52766</v>
      </c>
      <c r="AH1247" s="90" t="str">
        <f t="shared" si="347"/>
        <v>2018 (triag)</v>
      </c>
      <c r="AI1247" s="90">
        <f t="shared" si="348"/>
        <v>52766</v>
      </c>
      <c r="AJ1247" s="90" t="str">
        <f t="shared" si="349"/>
        <v>2018 (triag)</v>
      </c>
      <c r="AK1247" s="90" t="str">
        <f t="shared" si="350"/>
        <v/>
      </c>
      <c r="AL1247" s="91">
        <f>IF(AK1247="Adjust",(_xlfn.XLOOKUP(A1247,'Adj factor'!A:A,'Adj factor'!I:I,,0)*AI1247),'Master DataSheet'!AI1247)</f>
        <v>52766</v>
      </c>
      <c r="AM1247" s="91">
        <f t="shared" si="351"/>
        <v>52766</v>
      </c>
      <c r="AN1247" s="92" t="str">
        <f t="shared" si="352"/>
        <v>No change</v>
      </c>
      <c r="AS1247" s="94">
        <f t="shared" si="353"/>
        <v>2.3973584216644861</v>
      </c>
      <c r="AT1247" s="94">
        <f t="shared" si="354"/>
        <v>6.0589737740915437</v>
      </c>
      <c r="AU1247" s="94">
        <f t="shared" si="355"/>
        <v>5.3293492594481062</v>
      </c>
    </row>
    <row r="1248" spans="1:47" x14ac:dyDescent="0.3">
      <c r="A1248" s="85" t="str">
        <f>_xlfn.XLOOKUP(B1248,'Country codes &amp; Data sources'!G:G,'Country codes &amp; Data sources'!H:H,,0)</f>
        <v>DRC</v>
      </c>
      <c r="B1248" s="85" t="s">
        <v>154</v>
      </c>
      <c r="C1248" s="85">
        <v>70997875.500000104</v>
      </c>
      <c r="D1248" s="85" t="s">
        <v>332</v>
      </c>
      <c r="E1248" s="86">
        <v>0</v>
      </c>
      <c r="F1248" s="86">
        <v>73460021</v>
      </c>
      <c r="G1248" s="86">
        <v>1555</v>
      </c>
      <c r="H1248" s="86"/>
      <c r="I1248" s="86">
        <v>0</v>
      </c>
      <c r="J1248" s="86"/>
      <c r="K1248" s="86">
        <v>0</v>
      </c>
      <c r="L1248" s="86"/>
      <c r="M1248" s="86">
        <v>1793</v>
      </c>
      <c r="N1248" s="86"/>
      <c r="O1248" s="86">
        <v>0</v>
      </c>
      <c r="P1248" s="86">
        <v>87087354.999999985</v>
      </c>
      <c r="Q1248" s="86">
        <v>0</v>
      </c>
      <c r="R1248" s="87">
        <f t="shared" si="340"/>
        <v>3642</v>
      </c>
      <c r="T1248" s="87">
        <v>3149</v>
      </c>
      <c r="U1248" s="89"/>
      <c r="V1248" s="89">
        <v>0</v>
      </c>
      <c r="W1248" s="90"/>
      <c r="X1248" s="90">
        <v>2093</v>
      </c>
      <c r="Y1248" s="90">
        <v>99010212</v>
      </c>
      <c r="Z1248" s="90">
        <v>2640</v>
      </c>
      <c r="AA1248" s="90">
        <v>3642</v>
      </c>
      <c r="AB1248" s="89">
        <f t="shared" si="341"/>
        <v>1555</v>
      </c>
      <c r="AC1248" s="89">
        <f t="shared" si="342"/>
        <v>3149</v>
      </c>
      <c r="AD1248" s="89">
        <f t="shared" si="343"/>
        <v>2640</v>
      </c>
      <c r="AE1248" s="90">
        <f t="shared" si="344"/>
        <v>1555</v>
      </c>
      <c r="AF1248" s="90">
        <f t="shared" si="345"/>
        <v>2013</v>
      </c>
      <c r="AG1248" s="90">
        <f t="shared" si="346"/>
        <v>3642</v>
      </c>
      <c r="AH1248" s="90" t="str">
        <f t="shared" si="347"/>
        <v>2018 (triag)</v>
      </c>
      <c r="AI1248" s="90">
        <f t="shared" si="348"/>
        <v>2640</v>
      </c>
      <c r="AJ1248" s="90">
        <f t="shared" si="349"/>
        <v>2022</v>
      </c>
      <c r="AK1248" s="90" t="str">
        <f t="shared" si="350"/>
        <v>Adjust</v>
      </c>
      <c r="AL1248" s="91">
        <f>IF(AK1248="Adjust",(_xlfn.XLOOKUP(A1248,'Adj factor'!A:A,'Adj factor'!I:I,,0)*AI1248),'Master DataSheet'!AI1248)</f>
        <v>3039.2846492442031</v>
      </c>
      <c r="AM1248" s="91">
        <f t="shared" si="351"/>
        <v>3642</v>
      </c>
      <c r="AN1248" s="92" t="str">
        <f t="shared" si="352"/>
        <v>Decreasing</v>
      </c>
      <c r="AS1248" s="94">
        <f t="shared" si="353"/>
        <v>0.21167976524264812</v>
      </c>
      <c r="AT1248" s="94">
        <f t="shared" si="354"/>
        <v>0.41820078242128272</v>
      </c>
      <c r="AU1248" s="94">
        <f t="shared" si="355"/>
        <v>0.36784084453833915</v>
      </c>
    </row>
    <row r="1249" spans="1:47" x14ac:dyDescent="0.3">
      <c r="A1249" s="85" t="str">
        <f>_xlfn.XLOOKUP(B1249,'Country codes &amp; Data sources'!G:G,'Country codes &amp; Data sources'!H:H,,0)</f>
        <v>DRC</v>
      </c>
      <c r="B1249" s="85" t="s">
        <v>154</v>
      </c>
      <c r="C1249" s="85">
        <v>70997876.500000104</v>
      </c>
      <c r="D1249" s="85" t="s">
        <v>333</v>
      </c>
      <c r="E1249" s="86">
        <v>0</v>
      </c>
      <c r="F1249" s="86">
        <v>73460021</v>
      </c>
      <c r="G1249" s="86">
        <v>0</v>
      </c>
      <c r="H1249" s="86"/>
      <c r="I1249" s="86">
        <v>0</v>
      </c>
      <c r="J1249" s="86"/>
      <c r="K1249" s="86">
        <v>0</v>
      </c>
      <c r="L1249" s="86"/>
      <c r="M1249" s="86">
        <v>40</v>
      </c>
      <c r="N1249" s="86"/>
      <c r="O1249" s="86">
        <v>0</v>
      </c>
      <c r="P1249" s="86">
        <v>87087354.999999985</v>
      </c>
      <c r="Q1249" s="86">
        <v>0</v>
      </c>
      <c r="R1249" s="87">
        <f t="shared" si="340"/>
        <v>1990</v>
      </c>
      <c r="T1249" s="87">
        <v>3149</v>
      </c>
      <c r="U1249" s="89"/>
      <c r="V1249" s="89">
        <v>0</v>
      </c>
      <c r="W1249" s="90"/>
      <c r="X1249" s="90">
        <v>2093</v>
      </c>
      <c r="Y1249" s="90">
        <v>99010212</v>
      </c>
      <c r="Z1249" s="90">
        <v>2640</v>
      </c>
      <c r="AA1249" s="90">
        <v>1990</v>
      </c>
      <c r="AB1249" s="89">
        <f t="shared" si="341"/>
        <v>0</v>
      </c>
      <c r="AC1249" s="89">
        <f t="shared" si="342"/>
        <v>3149</v>
      </c>
      <c r="AD1249" s="89">
        <f t="shared" si="343"/>
        <v>2640</v>
      </c>
      <c r="AE1249" s="90">
        <f t="shared" si="344"/>
        <v>0</v>
      </c>
      <c r="AF1249" s="90" t="str">
        <f t="shared" si="345"/>
        <v/>
      </c>
      <c r="AG1249" s="90">
        <f t="shared" si="346"/>
        <v>1990</v>
      </c>
      <c r="AH1249" s="90" t="str">
        <f t="shared" si="347"/>
        <v>2018 (triag)</v>
      </c>
      <c r="AI1249" s="90">
        <f t="shared" si="348"/>
        <v>2640</v>
      </c>
      <c r="AJ1249" s="90">
        <f t="shared" si="349"/>
        <v>2022</v>
      </c>
      <c r="AK1249" s="90" t="str">
        <f t="shared" si="350"/>
        <v/>
      </c>
      <c r="AL1249" s="91">
        <f>IF(AK1249="Adjust",(_xlfn.XLOOKUP(A1249,'Adj factor'!A:A,'Adj factor'!I:I,,0)*AI1249),'Master DataSheet'!AI1249)</f>
        <v>2640</v>
      </c>
      <c r="AM1249" s="91">
        <f t="shared" si="351"/>
        <v>2640</v>
      </c>
      <c r="AN1249" s="92" t="str">
        <f t="shared" si="352"/>
        <v>Increasing</v>
      </c>
      <c r="AS1249" s="94">
        <f t="shared" si="353"/>
        <v>0</v>
      </c>
      <c r="AT1249" s="94">
        <f t="shared" si="354"/>
        <v>0.22850619357999796</v>
      </c>
      <c r="AU1249" s="94">
        <f t="shared" si="355"/>
        <v>0.26663916243306296</v>
      </c>
    </row>
    <row r="1250" spans="1:47" x14ac:dyDescent="0.3">
      <c r="A1250" s="85" t="str">
        <f>_xlfn.XLOOKUP(B1250,'Country codes &amp; Data sources'!G:G,'Country codes &amp; Data sources'!H:H,,0)</f>
        <v>DRC</v>
      </c>
      <c r="B1250" s="85" t="s">
        <v>154</v>
      </c>
      <c r="C1250" s="85">
        <v>70997877.500000104</v>
      </c>
      <c r="D1250" s="85" t="s">
        <v>334</v>
      </c>
      <c r="E1250" s="86">
        <v>0</v>
      </c>
      <c r="F1250" s="86">
        <v>73460021</v>
      </c>
      <c r="G1250" s="86">
        <v>1555</v>
      </c>
      <c r="H1250" s="86"/>
      <c r="I1250" s="86">
        <v>0</v>
      </c>
      <c r="J1250" s="86"/>
      <c r="K1250" s="86">
        <v>0</v>
      </c>
      <c r="L1250" s="86"/>
      <c r="M1250" s="86">
        <v>1753</v>
      </c>
      <c r="N1250" s="86"/>
      <c r="O1250" s="86">
        <v>0</v>
      </c>
      <c r="P1250" s="86">
        <v>87087354.999999985</v>
      </c>
      <c r="Q1250" s="86">
        <v>0</v>
      </c>
      <c r="R1250" s="87">
        <f t="shared" si="340"/>
        <v>1652</v>
      </c>
      <c r="T1250" s="87">
        <v>0</v>
      </c>
      <c r="U1250" s="89"/>
      <c r="V1250" s="89">
        <v>0</v>
      </c>
      <c r="W1250" s="90"/>
      <c r="X1250" s="90">
        <v>0</v>
      </c>
      <c r="Y1250" s="90">
        <v>99010212</v>
      </c>
      <c r="Z1250" s="90">
        <v>0</v>
      </c>
      <c r="AA1250" s="90">
        <v>1652</v>
      </c>
      <c r="AB1250" s="89">
        <f t="shared" si="341"/>
        <v>1555</v>
      </c>
      <c r="AC1250" s="89">
        <f t="shared" si="342"/>
        <v>1753</v>
      </c>
      <c r="AD1250" s="89">
        <f t="shared" si="343"/>
        <v>0</v>
      </c>
      <c r="AE1250" s="90">
        <f t="shared" si="344"/>
        <v>1555</v>
      </c>
      <c r="AF1250" s="90">
        <f t="shared" si="345"/>
        <v>2013</v>
      </c>
      <c r="AG1250" s="90">
        <f t="shared" si="346"/>
        <v>1652</v>
      </c>
      <c r="AH1250" s="90" t="str">
        <f t="shared" si="347"/>
        <v>2018 (triag)</v>
      </c>
      <c r="AI1250" s="90">
        <f t="shared" si="348"/>
        <v>1652</v>
      </c>
      <c r="AJ1250" s="90" t="str">
        <f t="shared" si="349"/>
        <v>2018 (triag)</v>
      </c>
      <c r="AK1250" s="90" t="str">
        <f t="shared" si="350"/>
        <v/>
      </c>
      <c r="AL1250" s="91">
        <f>IF(AK1250="Adjust",(_xlfn.XLOOKUP(A1250,'Adj factor'!A:A,'Adj factor'!I:I,,0)*AI1250),'Master DataSheet'!AI1250)</f>
        <v>1652</v>
      </c>
      <c r="AM1250" s="91">
        <f t="shared" si="351"/>
        <v>1652</v>
      </c>
      <c r="AN1250" s="92" t="str">
        <f t="shared" si="352"/>
        <v>No change</v>
      </c>
      <c r="AS1250" s="94">
        <f t="shared" si="353"/>
        <v>0.21167976524264812</v>
      </c>
      <c r="AT1250" s="94">
        <f t="shared" si="354"/>
        <v>0.18969458884128473</v>
      </c>
      <c r="AU1250" s="94">
        <f t="shared" si="355"/>
        <v>0.16685147588614394</v>
      </c>
    </row>
    <row r="1251" spans="1:47" x14ac:dyDescent="0.3">
      <c r="A1251" s="85" t="str">
        <f>_xlfn.XLOOKUP(B1251,'Country codes &amp; Data sources'!G:G,'Country codes &amp; Data sources'!H:H,,0)</f>
        <v>DRC</v>
      </c>
      <c r="B1251" s="85" t="s">
        <v>154</v>
      </c>
      <c r="C1251" s="85">
        <v>70997878.500000104</v>
      </c>
      <c r="D1251" s="85" t="s">
        <v>335</v>
      </c>
      <c r="E1251" s="86">
        <v>0</v>
      </c>
      <c r="F1251" s="86">
        <v>73460021</v>
      </c>
      <c r="G1251" s="86">
        <v>283</v>
      </c>
      <c r="H1251" s="86"/>
      <c r="I1251" s="86">
        <v>0</v>
      </c>
      <c r="J1251" s="86"/>
      <c r="K1251" s="86">
        <v>0</v>
      </c>
      <c r="L1251" s="86"/>
      <c r="M1251" s="86">
        <v>404</v>
      </c>
      <c r="N1251" s="86"/>
      <c r="O1251" s="86">
        <v>0</v>
      </c>
      <c r="P1251" s="86">
        <v>87087354.999999985</v>
      </c>
      <c r="Q1251" s="86">
        <v>1687</v>
      </c>
      <c r="R1251" s="87">
        <f t="shared" si="340"/>
        <v>1687</v>
      </c>
      <c r="T1251" s="87">
        <v>584</v>
      </c>
      <c r="U1251" s="89"/>
      <c r="V1251" s="89">
        <v>0</v>
      </c>
      <c r="W1251" s="90"/>
      <c r="X1251" s="90">
        <v>682</v>
      </c>
      <c r="Y1251" s="90">
        <v>99010212</v>
      </c>
      <c r="Z1251" s="90">
        <v>806</v>
      </c>
      <c r="AA1251" s="90">
        <v>1461</v>
      </c>
      <c r="AB1251" s="89">
        <f t="shared" si="341"/>
        <v>283</v>
      </c>
      <c r="AC1251" s="89">
        <f t="shared" si="342"/>
        <v>1687</v>
      </c>
      <c r="AD1251" s="89">
        <f t="shared" si="343"/>
        <v>806</v>
      </c>
      <c r="AE1251" s="90">
        <f t="shared" si="344"/>
        <v>283</v>
      </c>
      <c r="AF1251" s="90">
        <f t="shared" si="345"/>
        <v>2013</v>
      </c>
      <c r="AG1251" s="90">
        <f t="shared" si="346"/>
        <v>1687</v>
      </c>
      <c r="AH1251" s="90">
        <f t="shared" si="347"/>
        <v>2018</v>
      </c>
      <c r="AI1251" s="90">
        <f t="shared" si="348"/>
        <v>806</v>
      </c>
      <c r="AJ1251" s="90">
        <f t="shared" si="349"/>
        <v>2022</v>
      </c>
      <c r="AK1251" s="90" t="str">
        <f t="shared" si="350"/>
        <v>Adjust</v>
      </c>
      <c r="AL1251" s="91">
        <f>IF(AK1251="Adjust",(_xlfn.XLOOKUP(A1251,'Adj factor'!A:A,'Adj factor'!I:I,,0)*AI1251),'Master DataSheet'!AI1251)</f>
        <v>927.90281336773774</v>
      </c>
      <c r="AM1251" s="91">
        <f t="shared" si="351"/>
        <v>1687</v>
      </c>
      <c r="AN1251" s="92" t="str">
        <f t="shared" si="352"/>
        <v>Decreasing</v>
      </c>
      <c r="AS1251" s="94">
        <f t="shared" si="353"/>
        <v>3.8524355989498014E-2</v>
      </c>
      <c r="AT1251" s="94">
        <f t="shared" si="354"/>
        <v>0.19371354199470178</v>
      </c>
      <c r="AU1251" s="94">
        <f t="shared" si="355"/>
        <v>0.17038646478203684</v>
      </c>
    </row>
    <row r="1252" spans="1:47" x14ac:dyDescent="0.3">
      <c r="A1252" s="85" t="str">
        <f>_xlfn.XLOOKUP(B1252,'Country codes &amp; Data sources'!G:G,'Country codes &amp; Data sources'!H:H,,0)</f>
        <v>DRC</v>
      </c>
      <c r="B1252" s="85" t="s">
        <v>154</v>
      </c>
      <c r="C1252" s="85">
        <v>70997879.500000104</v>
      </c>
      <c r="D1252" s="85" t="s">
        <v>336</v>
      </c>
      <c r="E1252" s="86">
        <v>0</v>
      </c>
      <c r="F1252" s="86">
        <v>73460021</v>
      </c>
      <c r="G1252" s="86">
        <v>0</v>
      </c>
      <c r="H1252" s="86"/>
      <c r="I1252" s="86">
        <v>0</v>
      </c>
      <c r="J1252" s="86"/>
      <c r="K1252" s="86">
        <v>0</v>
      </c>
      <c r="L1252" s="86"/>
      <c r="M1252" s="86">
        <v>0</v>
      </c>
      <c r="N1252" s="86"/>
      <c r="O1252" s="86">
        <v>0</v>
      </c>
      <c r="P1252" s="86">
        <v>87087354.999999985</v>
      </c>
      <c r="Q1252" s="86">
        <v>0</v>
      </c>
      <c r="R1252" s="87">
        <f t="shared" si="340"/>
        <v>226</v>
      </c>
      <c r="T1252" s="87">
        <v>188</v>
      </c>
      <c r="U1252" s="89"/>
      <c r="V1252" s="89">
        <v>0</v>
      </c>
      <c r="W1252" s="90"/>
      <c r="X1252" s="90">
        <v>313</v>
      </c>
      <c r="Y1252" s="90">
        <v>99010212</v>
      </c>
      <c r="Z1252" s="90">
        <v>378</v>
      </c>
      <c r="AA1252" s="90">
        <v>226</v>
      </c>
      <c r="AB1252" s="89">
        <f t="shared" si="341"/>
        <v>0</v>
      </c>
      <c r="AC1252" s="89">
        <f t="shared" si="342"/>
        <v>188</v>
      </c>
      <c r="AD1252" s="89">
        <f t="shared" si="343"/>
        <v>378</v>
      </c>
      <c r="AE1252" s="90">
        <f t="shared" si="344"/>
        <v>0</v>
      </c>
      <c r="AF1252" s="90" t="str">
        <f t="shared" si="345"/>
        <v/>
      </c>
      <c r="AG1252" s="90">
        <f t="shared" si="346"/>
        <v>226</v>
      </c>
      <c r="AH1252" s="90" t="str">
        <f t="shared" si="347"/>
        <v>2018 (triag)</v>
      </c>
      <c r="AI1252" s="90">
        <f t="shared" si="348"/>
        <v>378</v>
      </c>
      <c r="AJ1252" s="90">
        <f t="shared" si="349"/>
        <v>2022</v>
      </c>
      <c r="AK1252" s="90" t="str">
        <f t="shared" si="350"/>
        <v/>
      </c>
      <c r="AL1252" s="91">
        <f>IF(AK1252="Adjust",(_xlfn.XLOOKUP(A1252,'Adj factor'!A:A,'Adj factor'!I:I,,0)*AI1252),'Master DataSheet'!AI1252)</f>
        <v>378</v>
      </c>
      <c r="AM1252" s="91">
        <f t="shared" si="351"/>
        <v>378</v>
      </c>
      <c r="AN1252" s="92" t="str">
        <f t="shared" si="352"/>
        <v>Increasing</v>
      </c>
      <c r="AS1252" s="94">
        <f t="shared" si="353"/>
        <v>0</v>
      </c>
      <c r="AT1252" s="94">
        <f t="shared" si="354"/>
        <v>2.5950954647778662E-2</v>
      </c>
      <c r="AU1252" s="94">
        <f t="shared" si="355"/>
        <v>3.8177880075643107E-2</v>
      </c>
    </row>
    <row r="1253" spans="1:47" x14ac:dyDescent="0.3">
      <c r="A1253" s="85" t="str">
        <f>_xlfn.XLOOKUP(B1253,'Country codes &amp; Data sources'!G:G,'Country codes &amp; Data sources'!H:H,,0)</f>
        <v>DRC</v>
      </c>
      <c r="B1253" s="85" t="s">
        <v>154</v>
      </c>
      <c r="C1253" s="85">
        <v>70997880.500000104</v>
      </c>
      <c r="D1253" s="85" t="s">
        <v>337</v>
      </c>
      <c r="E1253" s="86">
        <v>0</v>
      </c>
      <c r="F1253" s="86">
        <v>73460021</v>
      </c>
      <c r="G1253" s="86">
        <v>0</v>
      </c>
      <c r="H1253" s="86"/>
      <c r="I1253" s="86">
        <v>0</v>
      </c>
      <c r="J1253" s="86"/>
      <c r="K1253" s="86">
        <v>0</v>
      </c>
      <c r="L1253" s="86"/>
      <c r="M1253" s="86">
        <v>147</v>
      </c>
      <c r="N1253" s="86"/>
      <c r="O1253" s="86">
        <v>0</v>
      </c>
      <c r="P1253" s="86">
        <v>87087354.999999985</v>
      </c>
      <c r="Q1253" s="86">
        <v>404</v>
      </c>
      <c r="R1253" s="87">
        <f t="shared" si="340"/>
        <v>404</v>
      </c>
      <c r="T1253" s="87">
        <v>422</v>
      </c>
      <c r="U1253" s="89"/>
      <c r="V1253" s="89">
        <v>0</v>
      </c>
      <c r="W1253" s="90"/>
      <c r="X1253" s="90">
        <v>268</v>
      </c>
      <c r="Y1253" s="90">
        <v>99010212</v>
      </c>
      <c r="Z1253" s="90">
        <v>392</v>
      </c>
      <c r="AA1253" s="90">
        <v>404</v>
      </c>
      <c r="AB1253" s="89">
        <f t="shared" si="341"/>
        <v>0</v>
      </c>
      <c r="AC1253" s="89">
        <f t="shared" si="342"/>
        <v>422</v>
      </c>
      <c r="AD1253" s="89">
        <f t="shared" si="343"/>
        <v>392</v>
      </c>
      <c r="AE1253" s="90">
        <f t="shared" si="344"/>
        <v>0</v>
      </c>
      <c r="AF1253" s="90" t="str">
        <f t="shared" si="345"/>
        <v/>
      </c>
      <c r="AG1253" s="90">
        <f t="shared" si="346"/>
        <v>404</v>
      </c>
      <c r="AH1253" s="90">
        <f t="shared" si="347"/>
        <v>2018</v>
      </c>
      <c r="AI1253" s="90">
        <f t="shared" si="348"/>
        <v>392</v>
      </c>
      <c r="AJ1253" s="90">
        <f t="shared" si="349"/>
        <v>2022</v>
      </c>
      <c r="AK1253" s="90" t="str">
        <f t="shared" si="350"/>
        <v>Adjust</v>
      </c>
      <c r="AL1253" s="91">
        <f>IF(AK1253="Adjust",(_xlfn.XLOOKUP(A1253,'Adj factor'!A:A,'Adj factor'!I:I,,0)*AI1253),'Master DataSheet'!AI1253)</f>
        <v>451.28772064535138</v>
      </c>
      <c r="AM1253" s="91">
        <f t="shared" si="351"/>
        <v>451.28772064535138</v>
      </c>
      <c r="AN1253" s="92" t="str">
        <f t="shared" si="352"/>
        <v>Increasing</v>
      </c>
      <c r="AS1253" s="94">
        <f t="shared" si="353"/>
        <v>0</v>
      </c>
      <c r="AT1253" s="94">
        <f t="shared" si="354"/>
        <v>4.6390202113728227E-2</v>
      </c>
      <c r="AU1253" s="94">
        <f t="shared" si="355"/>
        <v>4.5579916609546439E-2</v>
      </c>
    </row>
    <row r="1254" spans="1:47" x14ac:dyDescent="0.3">
      <c r="A1254" s="85" t="str">
        <f>_xlfn.XLOOKUP(B1254,'Country codes &amp; Data sources'!G:G,'Country codes &amp; Data sources'!H:H,,0)</f>
        <v>DRC</v>
      </c>
      <c r="B1254" s="85" t="s">
        <v>154</v>
      </c>
      <c r="C1254" s="85">
        <v>70997881.500000104</v>
      </c>
      <c r="D1254" s="85" t="s">
        <v>338</v>
      </c>
      <c r="E1254" s="86">
        <v>0</v>
      </c>
      <c r="F1254" s="86">
        <v>73460021</v>
      </c>
      <c r="G1254" s="86">
        <v>0</v>
      </c>
      <c r="H1254" s="86"/>
      <c r="I1254" s="86">
        <v>0</v>
      </c>
      <c r="J1254" s="86"/>
      <c r="K1254" s="86">
        <v>0</v>
      </c>
      <c r="L1254" s="86"/>
      <c r="M1254" s="86">
        <v>0</v>
      </c>
      <c r="N1254" s="86"/>
      <c r="O1254" s="86">
        <v>0</v>
      </c>
      <c r="P1254" s="86">
        <v>87087354.999999985</v>
      </c>
      <c r="Q1254" s="86">
        <v>0</v>
      </c>
      <c r="R1254" s="87">
        <f t="shared" si="340"/>
        <v>0</v>
      </c>
      <c r="T1254" s="87">
        <v>0</v>
      </c>
      <c r="U1254" s="89"/>
      <c r="V1254" s="89">
        <v>0</v>
      </c>
      <c r="W1254" s="90"/>
      <c r="X1254" s="90">
        <v>0</v>
      </c>
      <c r="Y1254" s="90">
        <v>99010212</v>
      </c>
      <c r="Z1254" s="90">
        <v>0</v>
      </c>
      <c r="AA1254" s="90">
        <v>0</v>
      </c>
      <c r="AB1254" s="89">
        <f t="shared" si="341"/>
        <v>0</v>
      </c>
      <c r="AC1254" s="89">
        <f t="shared" si="342"/>
        <v>0</v>
      </c>
      <c r="AD1254" s="89">
        <f t="shared" si="343"/>
        <v>0</v>
      </c>
      <c r="AE1254" s="90">
        <f t="shared" si="344"/>
        <v>0</v>
      </c>
      <c r="AF1254" s="90" t="str">
        <f t="shared" si="345"/>
        <v/>
      </c>
      <c r="AG1254" s="90">
        <f t="shared" si="346"/>
        <v>0</v>
      </c>
      <c r="AH1254" s="90" t="str">
        <f t="shared" si="347"/>
        <v/>
      </c>
      <c r="AI1254" s="90">
        <f t="shared" si="348"/>
        <v>0</v>
      </c>
      <c r="AJ1254" s="90" t="str">
        <f t="shared" si="349"/>
        <v/>
      </c>
      <c r="AK1254" s="90" t="str">
        <f t="shared" si="350"/>
        <v/>
      </c>
      <c r="AL1254" s="91">
        <f>IF(AK1254="Adjust",(_xlfn.XLOOKUP(A1254,'Adj factor'!A:A,'Adj factor'!I:I,,0)*AI1254),'Master DataSheet'!AI1254)</f>
        <v>0</v>
      </c>
      <c r="AM1254" s="91">
        <f t="shared" si="351"/>
        <v>0</v>
      </c>
      <c r="AN1254" s="92" t="str">
        <f t="shared" si="352"/>
        <v>No change</v>
      </c>
      <c r="AS1254" s="94">
        <f t="shared" si="353"/>
        <v>0</v>
      </c>
      <c r="AT1254" s="94">
        <f t="shared" si="354"/>
        <v>0</v>
      </c>
      <c r="AU1254" s="94">
        <f t="shared" si="355"/>
        <v>0</v>
      </c>
    </row>
    <row r="1255" spans="1:47" x14ac:dyDescent="0.3">
      <c r="A1255" s="85" t="str">
        <f>_xlfn.XLOOKUP(B1255,'Country codes &amp; Data sources'!G:G,'Country codes &amp; Data sources'!H:H,,0)</f>
        <v>DRC</v>
      </c>
      <c r="B1255" s="85" t="s">
        <v>154</v>
      </c>
      <c r="C1255" s="85">
        <v>70997882.500000104</v>
      </c>
      <c r="D1255" s="85" t="s">
        <v>339</v>
      </c>
      <c r="E1255" s="86">
        <v>0</v>
      </c>
      <c r="F1255" s="86">
        <v>73460021</v>
      </c>
      <c r="G1255" s="86">
        <v>0</v>
      </c>
      <c r="H1255" s="86"/>
      <c r="I1255" s="86">
        <v>0</v>
      </c>
      <c r="J1255" s="86"/>
      <c r="K1255" s="86">
        <v>0</v>
      </c>
      <c r="L1255" s="86"/>
      <c r="M1255" s="86">
        <v>0</v>
      </c>
      <c r="N1255" s="86"/>
      <c r="O1255" s="86">
        <v>0</v>
      </c>
      <c r="P1255" s="86">
        <v>87087354.999999985</v>
      </c>
      <c r="Q1255" s="86">
        <v>0</v>
      </c>
      <c r="R1255" s="87">
        <f t="shared" si="340"/>
        <v>0</v>
      </c>
      <c r="T1255" s="87">
        <v>0</v>
      </c>
      <c r="U1255" s="89"/>
      <c r="V1255" s="89">
        <v>0</v>
      </c>
      <c r="W1255" s="90"/>
      <c r="X1255" s="90">
        <v>0</v>
      </c>
      <c r="Y1255" s="90">
        <v>99010212</v>
      </c>
      <c r="Z1255" s="90">
        <v>0</v>
      </c>
      <c r="AA1255" s="90">
        <v>0</v>
      </c>
      <c r="AB1255" s="89">
        <f t="shared" si="341"/>
        <v>0</v>
      </c>
      <c r="AC1255" s="89">
        <f t="shared" si="342"/>
        <v>0</v>
      </c>
      <c r="AD1255" s="89">
        <f t="shared" si="343"/>
        <v>0</v>
      </c>
      <c r="AE1255" s="90">
        <f t="shared" si="344"/>
        <v>0</v>
      </c>
      <c r="AF1255" s="90" t="str">
        <f t="shared" si="345"/>
        <v/>
      </c>
      <c r="AG1255" s="90">
        <f t="shared" si="346"/>
        <v>0</v>
      </c>
      <c r="AH1255" s="90" t="str">
        <f t="shared" si="347"/>
        <v/>
      </c>
      <c r="AI1255" s="90">
        <f t="shared" si="348"/>
        <v>0</v>
      </c>
      <c r="AJ1255" s="90" t="str">
        <f t="shared" si="349"/>
        <v/>
      </c>
      <c r="AK1255" s="90" t="str">
        <f t="shared" si="350"/>
        <v/>
      </c>
      <c r="AL1255" s="91">
        <f>IF(AK1255="Adjust",(_xlfn.XLOOKUP(A1255,'Adj factor'!A:A,'Adj factor'!I:I,,0)*AI1255),'Master DataSheet'!AI1255)</f>
        <v>0</v>
      </c>
      <c r="AM1255" s="91">
        <f t="shared" si="351"/>
        <v>0</v>
      </c>
      <c r="AN1255" s="92" t="str">
        <f t="shared" si="352"/>
        <v>No change</v>
      </c>
      <c r="AS1255" s="94">
        <f t="shared" si="353"/>
        <v>0</v>
      </c>
      <c r="AT1255" s="94">
        <f t="shared" si="354"/>
        <v>0</v>
      </c>
      <c r="AU1255" s="94">
        <f t="shared" si="355"/>
        <v>0</v>
      </c>
    </row>
    <row r="1256" spans="1:47" x14ac:dyDescent="0.3">
      <c r="A1256" s="85" t="str">
        <f>_xlfn.XLOOKUP(B1256,'Country codes &amp; Data sources'!G:G,'Country codes &amp; Data sources'!H:H,,0)</f>
        <v>Congo</v>
      </c>
      <c r="B1256" s="85" t="s">
        <v>189</v>
      </c>
      <c r="C1256" s="85">
        <v>4713256.5000000028</v>
      </c>
      <c r="D1256" s="85" t="s">
        <v>326</v>
      </c>
      <c r="E1256" s="86">
        <v>0</v>
      </c>
      <c r="F1256" s="86">
        <v>4828066.5000000028</v>
      </c>
      <c r="G1256" s="86">
        <v>0</v>
      </c>
      <c r="H1256" s="86">
        <v>4944861.5000000019</v>
      </c>
      <c r="I1256" s="86">
        <v>0</v>
      </c>
      <c r="J1256" s="86">
        <v>5064386.0000000019</v>
      </c>
      <c r="K1256" s="86">
        <v>0</v>
      </c>
      <c r="L1256" s="86">
        <v>5186823.4999999981</v>
      </c>
      <c r="M1256" s="86">
        <v>530</v>
      </c>
      <c r="N1256" s="86">
        <v>5312339.5000000009</v>
      </c>
      <c r="O1256" s="86">
        <v>0</v>
      </c>
      <c r="P1256" s="86">
        <v>5441061.9999999972</v>
      </c>
      <c r="Q1256" s="86">
        <v>544</v>
      </c>
      <c r="R1256" s="87">
        <f t="shared" si="340"/>
        <v>544</v>
      </c>
      <c r="S1256" s="87">
        <v>5570732.4999999953</v>
      </c>
      <c r="T1256" s="87">
        <v>0</v>
      </c>
      <c r="U1256" s="89">
        <v>5702174</v>
      </c>
      <c r="V1256" s="89">
        <v>0</v>
      </c>
      <c r="W1256" s="90">
        <v>5835806.0000000009</v>
      </c>
      <c r="X1256" s="90">
        <v>0</v>
      </c>
      <c r="Y1256" s="90">
        <v>5970424.0000000009</v>
      </c>
      <c r="Z1256" s="90">
        <v>1042</v>
      </c>
      <c r="AA1256" s="90">
        <v>544</v>
      </c>
      <c r="AB1256" s="89">
        <f t="shared" si="341"/>
        <v>0</v>
      </c>
      <c r="AC1256" s="89">
        <f t="shared" si="342"/>
        <v>544</v>
      </c>
      <c r="AD1256" s="89">
        <f t="shared" si="343"/>
        <v>1042</v>
      </c>
      <c r="AE1256" s="90">
        <f t="shared" si="344"/>
        <v>0</v>
      </c>
      <c r="AF1256" s="90" t="str">
        <f t="shared" si="345"/>
        <v/>
      </c>
      <c r="AG1256" s="90">
        <f t="shared" si="346"/>
        <v>544</v>
      </c>
      <c r="AH1256" s="90">
        <f t="shared" si="347"/>
        <v>2018</v>
      </c>
      <c r="AI1256" s="90">
        <f t="shared" si="348"/>
        <v>1042</v>
      </c>
      <c r="AJ1256" s="90">
        <f t="shared" si="349"/>
        <v>2022</v>
      </c>
      <c r="AK1256" s="90" t="str">
        <f t="shared" si="350"/>
        <v/>
      </c>
      <c r="AL1256" s="91">
        <f>IF(AK1256="Adjust",(_xlfn.XLOOKUP(A1256,'Adj factor'!A:A,'Adj factor'!I:I,,0)*AI1256),'Master DataSheet'!AI1256)</f>
        <v>1042</v>
      </c>
      <c r="AM1256" s="91">
        <f t="shared" si="351"/>
        <v>1042</v>
      </c>
      <c r="AN1256" s="92" t="str">
        <f t="shared" si="352"/>
        <v>Increasing</v>
      </c>
      <c r="AS1256" s="94">
        <f t="shared" si="353"/>
        <v>0</v>
      </c>
      <c r="AT1256" s="94">
        <f t="shared" si="354"/>
        <v>0.99980481751540462</v>
      </c>
      <c r="AU1256" s="94">
        <f t="shared" si="355"/>
        <v>1.7452696826892025</v>
      </c>
    </row>
    <row r="1257" spans="1:47" x14ac:dyDescent="0.3">
      <c r="A1257" s="85" t="str">
        <f>_xlfn.XLOOKUP(B1257,'Country codes &amp; Data sources'!G:G,'Country codes &amp; Data sources'!H:H,,0)</f>
        <v>Congo</v>
      </c>
      <c r="B1257" s="85" t="s">
        <v>189</v>
      </c>
      <c r="C1257" s="85">
        <v>4713257.5</v>
      </c>
      <c r="D1257" s="85" t="s">
        <v>327</v>
      </c>
      <c r="E1257" s="86">
        <v>0</v>
      </c>
      <c r="F1257" s="86">
        <v>4828066.5000000028</v>
      </c>
      <c r="G1257" s="86">
        <v>0</v>
      </c>
      <c r="H1257" s="86"/>
      <c r="I1257" s="86">
        <v>0</v>
      </c>
      <c r="J1257" s="86"/>
      <c r="K1257" s="86">
        <v>0</v>
      </c>
      <c r="L1257" s="86"/>
      <c r="M1257" s="86">
        <v>269</v>
      </c>
      <c r="N1257" s="86"/>
      <c r="O1257" s="86">
        <v>0</v>
      </c>
      <c r="P1257" s="86">
        <v>5441061.9999999972</v>
      </c>
      <c r="Q1257" s="86">
        <v>269</v>
      </c>
      <c r="R1257" s="87">
        <f t="shared" si="340"/>
        <v>269</v>
      </c>
      <c r="T1257" s="87">
        <v>0</v>
      </c>
      <c r="U1257" s="89"/>
      <c r="V1257" s="89">
        <v>0</v>
      </c>
      <c r="W1257" s="90"/>
      <c r="X1257" s="90">
        <v>0</v>
      </c>
      <c r="Y1257" s="90">
        <v>5970424.0000000009</v>
      </c>
      <c r="Z1257" s="90">
        <v>787</v>
      </c>
      <c r="AA1257" s="90">
        <v>269</v>
      </c>
      <c r="AB1257" s="89">
        <f t="shared" si="341"/>
        <v>0</v>
      </c>
      <c r="AC1257" s="89">
        <f t="shared" si="342"/>
        <v>269</v>
      </c>
      <c r="AD1257" s="89">
        <f t="shared" si="343"/>
        <v>787</v>
      </c>
      <c r="AE1257" s="90">
        <f t="shared" si="344"/>
        <v>0</v>
      </c>
      <c r="AF1257" s="90" t="str">
        <f t="shared" si="345"/>
        <v/>
      </c>
      <c r="AG1257" s="90">
        <f t="shared" si="346"/>
        <v>269</v>
      </c>
      <c r="AH1257" s="90">
        <f t="shared" si="347"/>
        <v>2016</v>
      </c>
      <c r="AI1257" s="90">
        <f t="shared" si="348"/>
        <v>787</v>
      </c>
      <c r="AJ1257" s="90">
        <f t="shared" si="349"/>
        <v>2022</v>
      </c>
      <c r="AK1257" s="90" t="str">
        <f t="shared" si="350"/>
        <v/>
      </c>
      <c r="AL1257" s="91">
        <f>IF(AK1257="Adjust",(_xlfn.XLOOKUP(A1257,'Adj factor'!A:A,'Adj factor'!I:I,,0)*AI1257),'Master DataSheet'!AI1257)</f>
        <v>787</v>
      </c>
      <c r="AM1257" s="91">
        <f t="shared" si="351"/>
        <v>787</v>
      </c>
      <c r="AN1257" s="92" t="str">
        <f t="shared" si="352"/>
        <v>Increasing</v>
      </c>
      <c r="AS1257" s="94">
        <f t="shared" si="353"/>
        <v>0</v>
      </c>
      <c r="AT1257" s="94">
        <f t="shared" si="354"/>
        <v>0.49438877924934532</v>
      </c>
      <c r="AU1257" s="94">
        <f t="shared" si="355"/>
        <v>1.3181643380771615</v>
      </c>
    </row>
    <row r="1258" spans="1:47" x14ac:dyDescent="0.3">
      <c r="A1258" s="85" t="str">
        <f>_xlfn.XLOOKUP(B1258,'Country codes &amp; Data sources'!G:G,'Country codes &amp; Data sources'!H:H,,0)</f>
        <v>Congo</v>
      </c>
      <c r="B1258" s="85" t="s">
        <v>189</v>
      </c>
      <c r="C1258" s="85">
        <v>4713258.5</v>
      </c>
      <c r="D1258" s="85" t="s">
        <v>328</v>
      </c>
      <c r="E1258" s="86">
        <v>0</v>
      </c>
      <c r="F1258" s="86">
        <v>4828066.5000000028</v>
      </c>
      <c r="G1258" s="86">
        <v>0</v>
      </c>
      <c r="H1258" s="86"/>
      <c r="I1258" s="86">
        <v>0</v>
      </c>
      <c r="J1258" s="86"/>
      <c r="K1258" s="86">
        <v>0</v>
      </c>
      <c r="L1258" s="86"/>
      <c r="M1258" s="86">
        <v>261</v>
      </c>
      <c r="N1258" s="86"/>
      <c r="O1258" s="86">
        <v>0</v>
      </c>
      <c r="P1258" s="86">
        <v>5441061.9999999972</v>
      </c>
      <c r="Q1258" s="86">
        <v>275</v>
      </c>
      <c r="R1258" s="87">
        <f t="shared" ref="R1258:R1321" si="356">MAX(Q1258,AA1258)</f>
        <v>275</v>
      </c>
      <c r="T1258" s="87">
        <v>0</v>
      </c>
      <c r="U1258" s="89"/>
      <c r="V1258" s="89">
        <v>0</v>
      </c>
      <c r="W1258" s="90"/>
      <c r="X1258" s="90">
        <v>0</v>
      </c>
      <c r="Y1258" s="90">
        <v>5970424.0000000009</v>
      </c>
      <c r="Z1258" s="90">
        <v>255</v>
      </c>
      <c r="AA1258" s="90">
        <v>275</v>
      </c>
      <c r="AB1258" s="89">
        <f t="shared" ref="AB1258:AB1321" si="357">MAX(G1258,E1258,I1258,K1258)</f>
        <v>0</v>
      </c>
      <c r="AC1258" s="89">
        <f t="shared" ref="AC1258:AC1321" si="358">MAX(M1258,O1258,Q1258,T1258)</f>
        <v>275</v>
      </c>
      <c r="AD1258" s="89">
        <f t="shared" ref="AD1258:AD1321" si="359">MAX(V1258,X1258,Z1258)</f>
        <v>255</v>
      </c>
      <c r="AE1258" s="90">
        <f t="shared" ref="AE1258:AE1321" si="360">IF(G1258&gt;0,G1258,IF(E1258&gt;0,E1258,IF(I1258&gt;0,I1258,K1258)))</f>
        <v>0</v>
      </c>
      <c r="AF1258" s="90" t="str">
        <f t="shared" ref="AF1258:AF1321" si="361">IF(AE1258&gt;0,_xlfn.XLOOKUP(AE1258,$B1258:$K1258,$B$1:$K$1,,0),"")</f>
        <v/>
      </c>
      <c r="AG1258" s="90">
        <f t="shared" ref="AG1258:AG1321" si="362">IF(R1258&gt;0,R1258,IF(O1258&gt;0,O1258,T1258))</f>
        <v>275</v>
      </c>
      <c r="AH1258" s="90">
        <f t="shared" ref="AH1258:AH1321" si="363">IF(AG1258&gt;0,_xlfn.XLOOKUP(AG1258,$L1258:$T1258,$L$1:$T$1,,0),"")</f>
        <v>2018</v>
      </c>
      <c r="AI1258" s="90">
        <f t="shared" ref="AI1258:AI1321" si="364">IF((IF(Z1258&gt;0,Z1258,IF(X1258&gt;0,X1258,IF(V1258&gt;0,V1258,T1258))))=0,AG1258,IF(Z1258&gt;0,Z1258,IF(X1258&gt;0,X1258,IF(V1258&gt;0,V1258,T1258))))</f>
        <v>255</v>
      </c>
      <c r="AJ1258" s="90">
        <f t="shared" ref="AJ1258:AJ1321" si="365">IFERROR(IF(AI1258&gt;0,_xlfn.XLOOKUP(AI1258,$V1258:$Z1258,$V$1:$Z$1,,0),""),AH1258)</f>
        <v>2022</v>
      </c>
      <c r="AK1258" s="90" t="str">
        <f t="shared" ref="AK1258:AK1321" si="366">IF(AI1258&lt;AG1258,"Adjust","")</f>
        <v>Adjust</v>
      </c>
      <c r="AL1258" s="91">
        <f>IF(AK1258="Adjust",(_xlfn.XLOOKUP(A1258,'Adj factor'!A:A,'Adj factor'!I:I,,0)*AI1258),'Master DataSheet'!AI1258)</f>
        <v>293.07115430170586</v>
      </c>
      <c r="AM1258" s="91">
        <f t="shared" ref="AM1258:AM1321" si="367">IF(AL1258&lt;AG1258,AG1258,AL1258)</f>
        <v>293.07115430170586</v>
      </c>
      <c r="AN1258" s="92" t="str">
        <f t="shared" ref="AN1258:AN1321" si="368">IF(AL1258&gt;AG1258,"Increasing",IF(AL1258&lt;AG1258,"Decreasing","No change"))</f>
        <v>Increasing</v>
      </c>
      <c r="AS1258" s="94">
        <f t="shared" ref="AS1258:AS1321" si="369">(AE1258*10000)/F1258</f>
        <v>0</v>
      </c>
      <c r="AT1258" s="94">
        <f t="shared" ref="AT1258:AT1321" si="370">(AG1258*10000)/P1258</f>
        <v>0.5054160382660593</v>
      </c>
      <c r="AU1258" s="94">
        <f t="shared" ref="AU1258:AU1321" si="371">(AM1258*10000)/Y1258</f>
        <v>0.49087159354462234</v>
      </c>
    </row>
    <row r="1259" spans="1:47" x14ac:dyDescent="0.3">
      <c r="A1259" s="85" t="str">
        <f>_xlfn.XLOOKUP(B1259,'Country codes &amp; Data sources'!G:G,'Country codes &amp; Data sources'!H:H,,0)</f>
        <v>Congo</v>
      </c>
      <c r="B1259" s="85" t="s">
        <v>189</v>
      </c>
      <c r="C1259" s="85">
        <v>4713259.5</v>
      </c>
      <c r="D1259" s="85" t="s">
        <v>329</v>
      </c>
      <c r="E1259" s="86">
        <v>0</v>
      </c>
      <c r="F1259" s="86">
        <v>4828066.5000000028</v>
      </c>
      <c r="G1259" s="86">
        <v>3289</v>
      </c>
      <c r="H1259" s="86"/>
      <c r="I1259" s="86">
        <v>3458</v>
      </c>
      <c r="J1259" s="86"/>
      <c r="K1259" s="86">
        <v>3852</v>
      </c>
      <c r="L1259" s="86"/>
      <c r="M1259" s="86">
        <v>3717</v>
      </c>
      <c r="N1259" s="86"/>
      <c r="O1259" s="86">
        <v>0</v>
      </c>
      <c r="P1259" s="86">
        <v>5441061.9999999972</v>
      </c>
      <c r="Q1259" s="86">
        <v>5081</v>
      </c>
      <c r="R1259" s="87">
        <f t="shared" si="356"/>
        <v>5081</v>
      </c>
      <c r="T1259" s="87">
        <v>0</v>
      </c>
      <c r="U1259" s="89"/>
      <c r="V1259" s="89">
        <v>0</v>
      </c>
      <c r="W1259" s="90"/>
      <c r="X1259" s="90">
        <v>0</v>
      </c>
      <c r="Y1259" s="90">
        <v>5970424.0000000009</v>
      </c>
      <c r="Z1259" s="90">
        <v>5573</v>
      </c>
      <c r="AA1259" s="90">
        <v>4012</v>
      </c>
      <c r="AB1259" s="89">
        <f t="shared" si="357"/>
        <v>3852</v>
      </c>
      <c r="AC1259" s="89">
        <f t="shared" si="358"/>
        <v>5081</v>
      </c>
      <c r="AD1259" s="89">
        <f t="shared" si="359"/>
        <v>5573</v>
      </c>
      <c r="AE1259" s="90">
        <f t="shared" si="360"/>
        <v>3289</v>
      </c>
      <c r="AF1259" s="90">
        <f t="shared" si="361"/>
        <v>2013</v>
      </c>
      <c r="AG1259" s="90">
        <f t="shared" si="362"/>
        <v>5081</v>
      </c>
      <c r="AH1259" s="90">
        <f t="shared" si="363"/>
        <v>2018</v>
      </c>
      <c r="AI1259" s="90">
        <f t="shared" si="364"/>
        <v>5573</v>
      </c>
      <c r="AJ1259" s="90">
        <f t="shared" si="365"/>
        <v>2022</v>
      </c>
      <c r="AK1259" s="90" t="str">
        <f t="shared" si="366"/>
        <v/>
      </c>
      <c r="AL1259" s="91">
        <f>IF(AK1259="Adjust",(_xlfn.XLOOKUP(A1259,'Adj factor'!A:A,'Adj factor'!I:I,,0)*AI1259),'Master DataSheet'!AI1259)</f>
        <v>5573</v>
      </c>
      <c r="AM1259" s="91">
        <f t="shared" si="367"/>
        <v>5573</v>
      </c>
      <c r="AN1259" s="92" t="str">
        <f t="shared" si="368"/>
        <v>Increasing</v>
      </c>
      <c r="AS1259" s="94">
        <f t="shared" si="369"/>
        <v>6.8122508254598362</v>
      </c>
      <c r="AT1259" s="94">
        <f t="shared" si="370"/>
        <v>9.3382505106539906</v>
      </c>
      <c r="AU1259" s="94">
        <f t="shared" si="371"/>
        <v>9.3343454334231524</v>
      </c>
    </row>
    <row r="1260" spans="1:47" x14ac:dyDescent="0.3">
      <c r="A1260" s="85" t="str">
        <f>_xlfn.XLOOKUP(B1260,'Country codes &amp; Data sources'!G:G,'Country codes &amp; Data sources'!H:H,,0)</f>
        <v>Congo</v>
      </c>
      <c r="B1260" s="85" t="s">
        <v>189</v>
      </c>
      <c r="C1260" s="85">
        <v>4713260.5</v>
      </c>
      <c r="D1260" s="85" t="s">
        <v>330</v>
      </c>
      <c r="E1260" s="86">
        <v>0</v>
      </c>
      <c r="F1260" s="86">
        <v>4828066.5000000028</v>
      </c>
      <c r="G1260" s="86">
        <v>0</v>
      </c>
      <c r="H1260" s="86"/>
      <c r="I1260" s="86">
        <v>0</v>
      </c>
      <c r="J1260" s="86"/>
      <c r="K1260" s="86">
        <v>1934</v>
      </c>
      <c r="L1260" s="86"/>
      <c r="M1260" s="86">
        <v>1870</v>
      </c>
      <c r="N1260" s="86"/>
      <c r="O1260" s="86">
        <v>0</v>
      </c>
      <c r="P1260" s="86">
        <v>5441061.9999999972</v>
      </c>
      <c r="Q1260" s="86">
        <v>0</v>
      </c>
      <c r="R1260" s="87">
        <f t="shared" si="356"/>
        <v>2707</v>
      </c>
      <c r="T1260" s="87">
        <v>0</v>
      </c>
      <c r="U1260" s="89"/>
      <c r="V1260" s="89">
        <v>0</v>
      </c>
      <c r="W1260" s="90"/>
      <c r="X1260" s="90">
        <v>0</v>
      </c>
      <c r="Y1260" s="90">
        <v>5970424.0000000009</v>
      </c>
      <c r="Z1260" s="90">
        <v>5573</v>
      </c>
      <c r="AA1260" s="90">
        <v>2707</v>
      </c>
      <c r="AB1260" s="89">
        <f t="shared" si="357"/>
        <v>1934</v>
      </c>
      <c r="AC1260" s="89">
        <f t="shared" si="358"/>
        <v>1870</v>
      </c>
      <c r="AD1260" s="89">
        <f t="shared" si="359"/>
        <v>5573</v>
      </c>
      <c r="AE1260" s="90">
        <f t="shared" si="360"/>
        <v>1934</v>
      </c>
      <c r="AF1260" s="90">
        <f t="shared" si="361"/>
        <v>2015</v>
      </c>
      <c r="AG1260" s="90">
        <f t="shared" si="362"/>
        <v>2707</v>
      </c>
      <c r="AH1260" s="90" t="str">
        <f t="shared" si="363"/>
        <v>2018 (triag)</v>
      </c>
      <c r="AI1260" s="90">
        <f t="shared" si="364"/>
        <v>5573</v>
      </c>
      <c r="AJ1260" s="90">
        <f t="shared" si="365"/>
        <v>2022</v>
      </c>
      <c r="AK1260" s="90" t="str">
        <f t="shared" si="366"/>
        <v/>
      </c>
      <c r="AL1260" s="91">
        <f>IF(AK1260="Adjust",(_xlfn.XLOOKUP(A1260,'Adj factor'!A:A,'Adj factor'!I:I,,0)*AI1260),'Master DataSheet'!AI1260)</f>
        <v>5573</v>
      </c>
      <c r="AM1260" s="91">
        <f t="shared" si="367"/>
        <v>5573</v>
      </c>
      <c r="AN1260" s="92" t="str">
        <f t="shared" si="368"/>
        <v>Increasing</v>
      </c>
      <c r="AS1260" s="94">
        <f t="shared" si="369"/>
        <v>4.0057443285008585</v>
      </c>
      <c r="AT1260" s="94">
        <f t="shared" si="370"/>
        <v>4.9751316930408098</v>
      </c>
      <c r="AU1260" s="94">
        <f t="shared" si="371"/>
        <v>9.3343454334231524</v>
      </c>
    </row>
    <row r="1261" spans="1:47" x14ac:dyDescent="0.3">
      <c r="A1261" s="85" t="str">
        <f>_xlfn.XLOOKUP(B1261,'Country codes &amp; Data sources'!G:G,'Country codes &amp; Data sources'!H:H,,0)</f>
        <v>Congo</v>
      </c>
      <c r="B1261" s="85" t="s">
        <v>189</v>
      </c>
      <c r="C1261" s="85">
        <v>4713261.5</v>
      </c>
      <c r="D1261" s="85" t="s">
        <v>331</v>
      </c>
      <c r="E1261" s="86">
        <v>0</v>
      </c>
      <c r="F1261" s="86">
        <v>4828066.5000000028</v>
      </c>
      <c r="G1261" s="86">
        <v>0</v>
      </c>
      <c r="H1261" s="86"/>
      <c r="I1261" s="86">
        <v>0</v>
      </c>
      <c r="J1261" s="86"/>
      <c r="K1261" s="86">
        <v>1918</v>
      </c>
      <c r="L1261" s="86"/>
      <c r="M1261" s="86">
        <v>1847</v>
      </c>
      <c r="N1261" s="86"/>
      <c r="O1261" s="86">
        <v>0</v>
      </c>
      <c r="P1261" s="86">
        <v>5441061.9999999972</v>
      </c>
      <c r="Q1261" s="86">
        <v>0</v>
      </c>
      <c r="R1261" s="87">
        <f t="shared" si="356"/>
        <v>1305</v>
      </c>
      <c r="T1261" s="87">
        <v>0</v>
      </c>
      <c r="U1261" s="89"/>
      <c r="V1261" s="89">
        <v>0</v>
      </c>
      <c r="W1261" s="90"/>
      <c r="X1261" s="90">
        <v>0</v>
      </c>
      <c r="Y1261" s="90">
        <v>5970424.0000000009</v>
      </c>
      <c r="Z1261" s="90">
        <v>0</v>
      </c>
      <c r="AA1261" s="90">
        <v>1305</v>
      </c>
      <c r="AB1261" s="89">
        <f t="shared" si="357"/>
        <v>1918</v>
      </c>
      <c r="AC1261" s="89">
        <f t="shared" si="358"/>
        <v>1847</v>
      </c>
      <c r="AD1261" s="89">
        <f t="shared" si="359"/>
        <v>0</v>
      </c>
      <c r="AE1261" s="90">
        <f t="shared" si="360"/>
        <v>1918</v>
      </c>
      <c r="AF1261" s="90">
        <f t="shared" si="361"/>
        <v>2015</v>
      </c>
      <c r="AG1261" s="90">
        <f t="shared" si="362"/>
        <v>1305</v>
      </c>
      <c r="AH1261" s="90" t="str">
        <f t="shared" si="363"/>
        <v>2018 (triag)</v>
      </c>
      <c r="AI1261" s="90">
        <f t="shared" si="364"/>
        <v>1305</v>
      </c>
      <c r="AJ1261" s="90" t="str">
        <f t="shared" si="365"/>
        <v>2018 (triag)</v>
      </c>
      <c r="AK1261" s="90" t="str">
        <f t="shared" si="366"/>
        <v/>
      </c>
      <c r="AL1261" s="91">
        <f>IF(AK1261="Adjust",(_xlfn.XLOOKUP(A1261,'Adj factor'!A:A,'Adj factor'!I:I,,0)*AI1261),'Master DataSheet'!AI1261)</f>
        <v>1305</v>
      </c>
      <c r="AM1261" s="91">
        <f t="shared" si="367"/>
        <v>1305</v>
      </c>
      <c r="AN1261" s="92" t="str">
        <f t="shared" si="368"/>
        <v>No change</v>
      </c>
      <c r="AS1261" s="94">
        <f t="shared" si="369"/>
        <v>3.9726047683891657</v>
      </c>
      <c r="AT1261" s="94">
        <f t="shared" si="370"/>
        <v>2.3984288361352997</v>
      </c>
      <c r="AU1261" s="94">
        <f t="shared" si="371"/>
        <v>2.185774410661621</v>
      </c>
    </row>
    <row r="1262" spans="1:47" x14ac:dyDescent="0.3">
      <c r="A1262" s="85" t="str">
        <f>_xlfn.XLOOKUP(B1262,'Country codes &amp; Data sources'!G:G,'Country codes &amp; Data sources'!H:H,,0)</f>
        <v>Congo</v>
      </c>
      <c r="B1262" s="85" t="s">
        <v>189</v>
      </c>
      <c r="C1262" s="85">
        <v>4713262.5</v>
      </c>
      <c r="D1262" s="85" t="s">
        <v>332</v>
      </c>
      <c r="E1262" s="86">
        <v>0</v>
      </c>
      <c r="F1262" s="86">
        <v>4828066.5000000028</v>
      </c>
      <c r="G1262" s="86">
        <v>1282</v>
      </c>
      <c r="H1262" s="86"/>
      <c r="I1262" s="86">
        <v>0</v>
      </c>
      <c r="J1262" s="86"/>
      <c r="K1262" s="86">
        <v>0</v>
      </c>
      <c r="L1262" s="86"/>
      <c r="M1262" s="86">
        <v>921</v>
      </c>
      <c r="N1262" s="86"/>
      <c r="O1262" s="86">
        <v>0</v>
      </c>
      <c r="P1262" s="86">
        <v>5441061.9999999972</v>
      </c>
      <c r="Q1262" s="86">
        <v>0</v>
      </c>
      <c r="R1262" s="87">
        <f t="shared" si="356"/>
        <v>1069</v>
      </c>
      <c r="T1262" s="87">
        <v>0</v>
      </c>
      <c r="U1262" s="89"/>
      <c r="V1262" s="89">
        <v>0</v>
      </c>
      <c r="W1262" s="90"/>
      <c r="X1262" s="90">
        <v>0</v>
      </c>
      <c r="Y1262" s="90">
        <v>5970424.0000000009</v>
      </c>
      <c r="Z1262" s="90">
        <v>907</v>
      </c>
      <c r="AA1262" s="90">
        <v>1069</v>
      </c>
      <c r="AB1262" s="89">
        <f t="shared" si="357"/>
        <v>1282</v>
      </c>
      <c r="AC1262" s="89">
        <f t="shared" si="358"/>
        <v>921</v>
      </c>
      <c r="AD1262" s="89">
        <f t="shared" si="359"/>
        <v>907</v>
      </c>
      <c r="AE1262" s="90">
        <f t="shared" si="360"/>
        <v>1282</v>
      </c>
      <c r="AF1262" s="90">
        <f t="shared" si="361"/>
        <v>2013</v>
      </c>
      <c r="AG1262" s="90">
        <f t="shared" si="362"/>
        <v>1069</v>
      </c>
      <c r="AH1262" s="90" t="str">
        <f t="shared" si="363"/>
        <v>2018 (triag)</v>
      </c>
      <c r="AI1262" s="90">
        <f t="shared" si="364"/>
        <v>907</v>
      </c>
      <c r="AJ1262" s="90">
        <f t="shared" si="365"/>
        <v>2022</v>
      </c>
      <c r="AK1262" s="90" t="str">
        <f t="shared" si="366"/>
        <v>Adjust</v>
      </c>
      <c r="AL1262" s="91">
        <f>IF(AK1262="Adjust",(_xlfn.XLOOKUP(A1262,'Adj factor'!A:A,'Adj factor'!I:I,,0)*AI1262),'Master DataSheet'!AI1262)</f>
        <v>1042.4138703986166</v>
      </c>
      <c r="AM1262" s="91">
        <f t="shared" si="367"/>
        <v>1069</v>
      </c>
      <c r="AN1262" s="92" t="str">
        <f t="shared" si="368"/>
        <v>Decreasing</v>
      </c>
      <c r="AS1262" s="94">
        <f t="shared" si="369"/>
        <v>2.6553072539493798</v>
      </c>
      <c r="AT1262" s="94">
        <f t="shared" si="370"/>
        <v>1.9646899814778815</v>
      </c>
      <c r="AU1262" s="94">
        <f t="shared" si="371"/>
        <v>1.7904926015304772</v>
      </c>
    </row>
    <row r="1263" spans="1:47" x14ac:dyDescent="0.3">
      <c r="A1263" s="85" t="str">
        <f>_xlfn.XLOOKUP(B1263,'Country codes &amp; Data sources'!G:G,'Country codes &amp; Data sources'!H:H,,0)</f>
        <v>Congo</v>
      </c>
      <c r="B1263" s="85" t="s">
        <v>189</v>
      </c>
      <c r="C1263" s="85">
        <v>4713263.5</v>
      </c>
      <c r="D1263" s="85" t="s">
        <v>333</v>
      </c>
      <c r="E1263" s="86">
        <v>0</v>
      </c>
      <c r="F1263" s="86">
        <v>4828066.5000000028</v>
      </c>
      <c r="G1263" s="86">
        <v>1215</v>
      </c>
      <c r="H1263" s="86"/>
      <c r="I1263" s="86">
        <v>0</v>
      </c>
      <c r="J1263" s="86"/>
      <c r="K1263" s="86">
        <v>0</v>
      </c>
      <c r="L1263" s="86"/>
      <c r="M1263" s="86">
        <v>0</v>
      </c>
      <c r="N1263" s="86"/>
      <c r="O1263" s="86">
        <v>0</v>
      </c>
      <c r="P1263" s="86">
        <v>5441061.9999999972</v>
      </c>
      <c r="Q1263" s="86">
        <v>0</v>
      </c>
      <c r="R1263" s="87">
        <f t="shared" si="356"/>
        <v>921</v>
      </c>
      <c r="T1263" s="87">
        <v>0</v>
      </c>
      <c r="U1263" s="89"/>
      <c r="V1263" s="89">
        <v>0</v>
      </c>
      <c r="W1263" s="90"/>
      <c r="X1263" s="90">
        <v>0</v>
      </c>
      <c r="Y1263" s="90">
        <v>5970424.0000000009</v>
      </c>
      <c r="Z1263" s="90">
        <v>907</v>
      </c>
      <c r="AA1263" s="90">
        <v>921</v>
      </c>
      <c r="AB1263" s="89">
        <f t="shared" si="357"/>
        <v>1215</v>
      </c>
      <c r="AC1263" s="89">
        <f t="shared" si="358"/>
        <v>0</v>
      </c>
      <c r="AD1263" s="89">
        <f t="shared" si="359"/>
        <v>907</v>
      </c>
      <c r="AE1263" s="90">
        <f t="shared" si="360"/>
        <v>1215</v>
      </c>
      <c r="AF1263" s="90">
        <f t="shared" si="361"/>
        <v>2013</v>
      </c>
      <c r="AG1263" s="90">
        <f t="shared" si="362"/>
        <v>921</v>
      </c>
      <c r="AH1263" s="90" t="str">
        <f t="shared" si="363"/>
        <v>2018 (triag)</v>
      </c>
      <c r="AI1263" s="90">
        <f t="shared" si="364"/>
        <v>907</v>
      </c>
      <c r="AJ1263" s="90">
        <f t="shared" si="365"/>
        <v>2022</v>
      </c>
      <c r="AK1263" s="90" t="str">
        <f t="shared" si="366"/>
        <v>Adjust</v>
      </c>
      <c r="AL1263" s="91">
        <f>IF(AK1263="Adjust",(_xlfn.XLOOKUP(A1263,'Adj factor'!A:A,'Adj factor'!I:I,,0)*AI1263),'Master DataSheet'!AI1263)</f>
        <v>1042.4138703986166</v>
      </c>
      <c r="AM1263" s="91">
        <f t="shared" si="367"/>
        <v>1042.4138703986166</v>
      </c>
      <c r="AN1263" s="92" t="str">
        <f t="shared" si="368"/>
        <v>Increasing</v>
      </c>
      <c r="AS1263" s="94">
        <f t="shared" si="369"/>
        <v>2.5165353459816662</v>
      </c>
      <c r="AT1263" s="94">
        <f t="shared" si="370"/>
        <v>1.6926842590656024</v>
      </c>
      <c r="AU1263" s="94">
        <f t="shared" si="371"/>
        <v>1.7459628837057743</v>
      </c>
    </row>
    <row r="1264" spans="1:47" x14ac:dyDescent="0.3">
      <c r="A1264" s="85" t="str">
        <f>_xlfn.XLOOKUP(B1264,'Country codes &amp; Data sources'!G:G,'Country codes &amp; Data sources'!H:H,,0)</f>
        <v>Congo</v>
      </c>
      <c r="B1264" s="85" t="s">
        <v>189</v>
      </c>
      <c r="C1264" s="85">
        <v>4713264.5</v>
      </c>
      <c r="D1264" s="85" t="s">
        <v>334</v>
      </c>
      <c r="E1264" s="86">
        <v>0</v>
      </c>
      <c r="F1264" s="86">
        <v>4828066.5000000028</v>
      </c>
      <c r="G1264" s="86">
        <v>67</v>
      </c>
      <c r="H1264" s="86"/>
      <c r="I1264" s="86">
        <v>0</v>
      </c>
      <c r="J1264" s="86"/>
      <c r="K1264" s="86">
        <v>0</v>
      </c>
      <c r="L1264" s="86"/>
      <c r="M1264" s="86">
        <v>0</v>
      </c>
      <c r="N1264" s="86"/>
      <c r="O1264" s="86">
        <v>0</v>
      </c>
      <c r="P1264" s="86">
        <v>5441061.9999999972</v>
      </c>
      <c r="Q1264" s="86">
        <v>0</v>
      </c>
      <c r="R1264" s="87">
        <f t="shared" si="356"/>
        <v>148</v>
      </c>
      <c r="T1264" s="87">
        <v>0</v>
      </c>
      <c r="U1264" s="89"/>
      <c r="V1264" s="89">
        <v>0</v>
      </c>
      <c r="W1264" s="90"/>
      <c r="X1264" s="90">
        <v>0</v>
      </c>
      <c r="Y1264" s="90">
        <v>5970424.0000000009</v>
      </c>
      <c r="Z1264" s="90">
        <v>0</v>
      </c>
      <c r="AA1264" s="90">
        <v>148</v>
      </c>
      <c r="AB1264" s="89">
        <f t="shared" si="357"/>
        <v>67</v>
      </c>
      <c r="AC1264" s="89">
        <f t="shared" si="358"/>
        <v>0</v>
      </c>
      <c r="AD1264" s="89">
        <f t="shared" si="359"/>
        <v>0</v>
      </c>
      <c r="AE1264" s="90">
        <f t="shared" si="360"/>
        <v>67</v>
      </c>
      <c r="AF1264" s="90">
        <f t="shared" si="361"/>
        <v>2013</v>
      </c>
      <c r="AG1264" s="90">
        <f t="shared" si="362"/>
        <v>148</v>
      </c>
      <c r="AH1264" s="90" t="str">
        <f t="shared" si="363"/>
        <v>2018 (triag)</v>
      </c>
      <c r="AI1264" s="90">
        <f t="shared" si="364"/>
        <v>148</v>
      </c>
      <c r="AJ1264" s="90" t="str">
        <f t="shared" si="365"/>
        <v>2018 (triag)</v>
      </c>
      <c r="AK1264" s="90" t="str">
        <f t="shared" si="366"/>
        <v/>
      </c>
      <c r="AL1264" s="91">
        <f>IF(AK1264="Adjust",(_xlfn.XLOOKUP(A1264,'Adj factor'!A:A,'Adj factor'!I:I,,0)*AI1264),'Master DataSheet'!AI1264)</f>
        <v>148</v>
      </c>
      <c r="AM1264" s="91">
        <f t="shared" si="367"/>
        <v>148</v>
      </c>
      <c r="AN1264" s="92" t="str">
        <f t="shared" si="368"/>
        <v>No change</v>
      </c>
      <c r="AS1264" s="94">
        <f t="shared" si="369"/>
        <v>0.1387719079677133</v>
      </c>
      <c r="AT1264" s="94">
        <f t="shared" si="370"/>
        <v>0.27200572241227922</v>
      </c>
      <c r="AU1264" s="94">
        <f t="shared" si="371"/>
        <v>0.24788859216698844</v>
      </c>
    </row>
    <row r="1265" spans="1:47" x14ac:dyDescent="0.3">
      <c r="A1265" s="85" t="str">
        <f>_xlfn.XLOOKUP(B1265,'Country codes &amp; Data sources'!G:G,'Country codes &amp; Data sources'!H:H,,0)</f>
        <v>Congo</v>
      </c>
      <c r="B1265" s="85" t="s">
        <v>189</v>
      </c>
      <c r="C1265" s="85">
        <v>4713265.5</v>
      </c>
      <c r="D1265" s="85" t="s">
        <v>335</v>
      </c>
      <c r="E1265" s="86">
        <v>0</v>
      </c>
      <c r="F1265" s="86">
        <v>4828066.5000000028</v>
      </c>
      <c r="G1265" s="86">
        <v>0</v>
      </c>
      <c r="H1265" s="86"/>
      <c r="I1265" s="86">
        <v>0</v>
      </c>
      <c r="J1265" s="86"/>
      <c r="K1265" s="86">
        <v>0</v>
      </c>
      <c r="L1265" s="86"/>
      <c r="M1265" s="86">
        <v>73</v>
      </c>
      <c r="N1265" s="86"/>
      <c r="O1265" s="86">
        <v>0</v>
      </c>
      <c r="P1265" s="86">
        <v>5441061.9999999972</v>
      </c>
      <c r="Q1265" s="86">
        <v>157</v>
      </c>
      <c r="R1265" s="87">
        <f t="shared" si="356"/>
        <v>157</v>
      </c>
      <c r="T1265" s="87">
        <v>0</v>
      </c>
      <c r="U1265" s="89"/>
      <c r="V1265" s="89">
        <v>0</v>
      </c>
      <c r="W1265" s="90"/>
      <c r="X1265" s="90">
        <v>0</v>
      </c>
      <c r="Y1265" s="90">
        <v>5970424.0000000009</v>
      </c>
      <c r="Z1265" s="90">
        <v>28</v>
      </c>
      <c r="AA1265" s="90">
        <v>73</v>
      </c>
      <c r="AB1265" s="89">
        <f t="shared" si="357"/>
        <v>0</v>
      </c>
      <c r="AC1265" s="89">
        <f t="shared" si="358"/>
        <v>157</v>
      </c>
      <c r="AD1265" s="89">
        <f t="shared" si="359"/>
        <v>28</v>
      </c>
      <c r="AE1265" s="90">
        <f t="shared" si="360"/>
        <v>0</v>
      </c>
      <c r="AF1265" s="90" t="str">
        <f t="shared" si="361"/>
        <v/>
      </c>
      <c r="AG1265" s="90">
        <f t="shared" si="362"/>
        <v>157</v>
      </c>
      <c r="AH1265" s="90">
        <f t="shared" si="363"/>
        <v>2018</v>
      </c>
      <c r="AI1265" s="90">
        <f t="shared" si="364"/>
        <v>28</v>
      </c>
      <c r="AJ1265" s="90">
        <f t="shared" si="365"/>
        <v>2022</v>
      </c>
      <c r="AK1265" s="90" t="str">
        <f t="shared" si="366"/>
        <v>Adjust</v>
      </c>
      <c r="AL1265" s="91">
        <f>IF(AK1265="Adjust",(_xlfn.XLOOKUP(A1265,'Adj factor'!A:A,'Adj factor'!I:I,,0)*AI1265),'Master DataSheet'!AI1265)</f>
        <v>32.180362040971623</v>
      </c>
      <c r="AM1265" s="91">
        <f t="shared" si="367"/>
        <v>157</v>
      </c>
      <c r="AN1265" s="92" t="str">
        <f t="shared" si="368"/>
        <v>Decreasing</v>
      </c>
      <c r="AS1265" s="94">
        <f t="shared" si="369"/>
        <v>0</v>
      </c>
      <c r="AT1265" s="94">
        <f t="shared" si="370"/>
        <v>0.28854661093735023</v>
      </c>
      <c r="AU1265" s="94">
        <f t="shared" si="371"/>
        <v>0.26296289844741338</v>
      </c>
    </row>
    <row r="1266" spans="1:47" x14ac:dyDescent="0.3">
      <c r="A1266" s="85" t="str">
        <f>_xlfn.XLOOKUP(B1266,'Country codes &amp; Data sources'!G:G,'Country codes &amp; Data sources'!H:H,,0)</f>
        <v>Congo</v>
      </c>
      <c r="B1266" s="85" t="s">
        <v>189</v>
      </c>
      <c r="C1266" s="85">
        <v>4713266.5</v>
      </c>
      <c r="D1266" s="85" t="s">
        <v>336</v>
      </c>
      <c r="E1266" s="86">
        <v>0</v>
      </c>
      <c r="F1266" s="86">
        <v>4828066.5000000028</v>
      </c>
      <c r="G1266" s="86">
        <v>0</v>
      </c>
      <c r="H1266" s="86"/>
      <c r="I1266" s="86">
        <v>0</v>
      </c>
      <c r="J1266" s="86"/>
      <c r="K1266" s="86">
        <v>0</v>
      </c>
      <c r="L1266" s="86"/>
      <c r="M1266" s="86">
        <v>0</v>
      </c>
      <c r="N1266" s="86"/>
      <c r="O1266" s="86">
        <v>0</v>
      </c>
      <c r="P1266" s="86">
        <v>5441061.9999999972</v>
      </c>
      <c r="Q1266" s="86">
        <v>0</v>
      </c>
      <c r="R1266" s="87">
        <f t="shared" si="356"/>
        <v>84</v>
      </c>
      <c r="T1266" s="87">
        <v>0</v>
      </c>
      <c r="U1266" s="89"/>
      <c r="V1266" s="89">
        <v>0</v>
      </c>
      <c r="W1266" s="90"/>
      <c r="X1266" s="90">
        <v>0</v>
      </c>
      <c r="Y1266" s="90">
        <v>5970424.0000000009</v>
      </c>
      <c r="Z1266" s="90">
        <v>80</v>
      </c>
      <c r="AA1266" s="90">
        <v>84</v>
      </c>
      <c r="AB1266" s="89">
        <f t="shared" si="357"/>
        <v>0</v>
      </c>
      <c r="AC1266" s="89">
        <f t="shared" si="358"/>
        <v>0</v>
      </c>
      <c r="AD1266" s="89">
        <f t="shared" si="359"/>
        <v>80</v>
      </c>
      <c r="AE1266" s="90">
        <f t="shared" si="360"/>
        <v>0</v>
      </c>
      <c r="AF1266" s="90" t="str">
        <f t="shared" si="361"/>
        <v/>
      </c>
      <c r="AG1266" s="90">
        <f t="shared" si="362"/>
        <v>84</v>
      </c>
      <c r="AH1266" s="90" t="str">
        <f t="shared" si="363"/>
        <v>2018 (triag)</v>
      </c>
      <c r="AI1266" s="90">
        <f t="shared" si="364"/>
        <v>80</v>
      </c>
      <c r="AJ1266" s="90">
        <f t="shared" si="365"/>
        <v>2022</v>
      </c>
      <c r="AK1266" s="90" t="str">
        <f t="shared" si="366"/>
        <v>Adjust</v>
      </c>
      <c r="AL1266" s="91">
        <f>IF(AK1266="Adjust",(_xlfn.XLOOKUP(A1266,'Adj factor'!A:A,'Adj factor'!I:I,,0)*AI1266),'Master DataSheet'!AI1266)</f>
        <v>91.943891545633221</v>
      </c>
      <c r="AM1266" s="91">
        <f t="shared" si="367"/>
        <v>91.943891545633221</v>
      </c>
      <c r="AN1266" s="92" t="str">
        <f t="shared" si="368"/>
        <v>Increasing</v>
      </c>
      <c r="AS1266" s="94">
        <f t="shared" si="369"/>
        <v>0</v>
      </c>
      <c r="AT1266" s="94">
        <f t="shared" si="370"/>
        <v>0.15438162623399632</v>
      </c>
      <c r="AU1266" s="94">
        <f t="shared" si="371"/>
        <v>0.15399893130811684</v>
      </c>
    </row>
    <row r="1267" spans="1:47" x14ac:dyDescent="0.3">
      <c r="A1267" s="85" t="str">
        <f>_xlfn.XLOOKUP(B1267,'Country codes &amp; Data sources'!G:G,'Country codes &amp; Data sources'!H:H,,0)</f>
        <v>Congo</v>
      </c>
      <c r="B1267" s="85" t="s">
        <v>189</v>
      </c>
      <c r="C1267" s="85">
        <v>4713267.5</v>
      </c>
      <c r="D1267" s="85" t="s">
        <v>337</v>
      </c>
      <c r="E1267" s="86">
        <v>0</v>
      </c>
      <c r="F1267" s="86">
        <v>4828066.5000000028</v>
      </c>
      <c r="G1267" s="86">
        <v>0</v>
      </c>
      <c r="H1267" s="86"/>
      <c r="I1267" s="86">
        <v>0</v>
      </c>
      <c r="J1267" s="86"/>
      <c r="K1267" s="86">
        <v>0</v>
      </c>
      <c r="L1267" s="86"/>
      <c r="M1267" s="86">
        <v>27</v>
      </c>
      <c r="N1267" s="86"/>
      <c r="O1267" s="86">
        <v>0</v>
      </c>
      <c r="P1267" s="86">
        <v>5441061.9999999972</v>
      </c>
      <c r="Q1267" s="86">
        <v>27</v>
      </c>
      <c r="R1267" s="87">
        <f t="shared" si="356"/>
        <v>27</v>
      </c>
      <c r="T1267" s="87">
        <v>0</v>
      </c>
      <c r="U1267" s="89"/>
      <c r="V1267" s="89">
        <v>0</v>
      </c>
      <c r="W1267" s="90"/>
      <c r="X1267" s="90">
        <v>0</v>
      </c>
      <c r="Y1267" s="90">
        <v>5970424.0000000009</v>
      </c>
      <c r="Z1267" s="90">
        <v>9</v>
      </c>
      <c r="AA1267" s="90">
        <v>27</v>
      </c>
      <c r="AB1267" s="89">
        <f t="shared" si="357"/>
        <v>0</v>
      </c>
      <c r="AC1267" s="89">
        <f t="shared" si="358"/>
        <v>27</v>
      </c>
      <c r="AD1267" s="89">
        <f t="shared" si="359"/>
        <v>9</v>
      </c>
      <c r="AE1267" s="90">
        <f t="shared" si="360"/>
        <v>0</v>
      </c>
      <c r="AF1267" s="90" t="str">
        <f t="shared" si="361"/>
        <v/>
      </c>
      <c r="AG1267" s="90">
        <f t="shared" si="362"/>
        <v>27</v>
      </c>
      <c r="AH1267" s="90">
        <f t="shared" si="363"/>
        <v>2016</v>
      </c>
      <c r="AI1267" s="90">
        <f t="shared" si="364"/>
        <v>9</v>
      </c>
      <c r="AJ1267" s="90">
        <f t="shared" si="365"/>
        <v>2022</v>
      </c>
      <c r="AK1267" s="90" t="str">
        <f t="shared" si="366"/>
        <v>Adjust</v>
      </c>
      <c r="AL1267" s="91">
        <f>IF(AK1267="Adjust",(_xlfn.XLOOKUP(A1267,'Adj factor'!A:A,'Adj factor'!I:I,,0)*AI1267),'Master DataSheet'!AI1267)</f>
        <v>10.343687798883737</v>
      </c>
      <c r="AM1267" s="91">
        <f t="shared" si="367"/>
        <v>27</v>
      </c>
      <c r="AN1267" s="92" t="str">
        <f t="shared" si="368"/>
        <v>Decreasing</v>
      </c>
      <c r="AS1267" s="94">
        <f t="shared" si="369"/>
        <v>0</v>
      </c>
      <c r="AT1267" s="94">
        <f t="shared" si="370"/>
        <v>4.9622665575213103E-2</v>
      </c>
      <c r="AU1267" s="94">
        <f t="shared" si="371"/>
        <v>4.5222918841274919E-2</v>
      </c>
    </row>
    <row r="1268" spans="1:47" x14ac:dyDescent="0.3">
      <c r="A1268" s="85" t="str">
        <f>_xlfn.XLOOKUP(B1268,'Country codes &amp; Data sources'!G:G,'Country codes &amp; Data sources'!H:H,,0)</f>
        <v>Congo</v>
      </c>
      <c r="B1268" s="85" t="s">
        <v>189</v>
      </c>
      <c r="C1268" s="85">
        <v>4713268.5</v>
      </c>
      <c r="D1268" s="85" t="s">
        <v>338</v>
      </c>
      <c r="E1268" s="86">
        <v>0</v>
      </c>
      <c r="F1268" s="86">
        <v>4828066.5000000028</v>
      </c>
      <c r="G1268" s="86">
        <v>0</v>
      </c>
      <c r="H1268" s="86"/>
      <c r="I1268" s="86">
        <v>0</v>
      </c>
      <c r="J1268" s="86"/>
      <c r="K1268" s="86">
        <v>0</v>
      </c>
      <c r="L1268" s="86"/>
      <c r="M1268" s="86">
        <v>0</v>
      </c>
      <c r="N1268" s="86"/>
      <c r="O1268" s="86">
        <v>0</v>
      </c>
      <c r="P1268" s="86">
        <v>5441061.9999999972</v>
      </c>
      <c r="Q1268" s="86">
        <v>0</v>
      </c>
      <c r="R1268" s="87">
        <f t="shared" si="356"/>
        <v>0</v>
      </c>
      <c r="T1268" s="87">
        <v>0</v>
      </c>
      <c r="U1268" s="89"/>
      <c r="V1268" s="89">
        <v>0</v>
      </c>
      <c r="W1268" s="90"/>
      <c r="X1268" s="90">
        <v>0</v>
      </c>
      <c r="Y1268" s="90">
        <v>5970424.0000000009</v>
      </c>
      <c r="Z1268" s="90">
        <v>0</v>
      </c>
      <c r="AA1268" s="90">
        <v>0</v>
      </c>
      <c r="AB1268" s="89">
        <f t="shared" si="357"/>
        <v>0</v>
      </c>
      <c r="AC1268" s="89">
        <f t="shared" si="358"/>
        <v>0</v>
      </c>
      <c r="AD1268" s="89">
        <f t="shared" si="359"/>
        <v>0</v>
      </c>
      <c r="AE1268" s="90">
        <f t="shared" si="360"/>
        <v>0</v>
      </c>
      <c r="AF1268" s="90" t="str">
        <f t="shared" si="361"/>
        <v/>
      </c>
      <c r="AG1268" s="90">
        <f t="shared" si="362"/>
        <v>0</v>
      </c>
      <c r="AH1268" s="90" t="str">
        <f t="shared" si="363"/>
        <v/>
      </c>
      <c r="AI1268" s="90">
        <f t="shared" si="364"/>
        <v>0</v>
      </c>
      <c r="AJ1268" s="90" t="str">
        <f t="shared" si="365"/>
        <v/>
      </c>
      <c r="AK1268" s="90" t="str">
        <f t="shared" si="366"/>
        <v/>
      </c>
      <c r="AL1268" s="91">
        <f>IF(AK1268="Adjust",(_xlfn.XLOOKUP(A1268,'Adj factor'!A:A,'Adj factor'!I:I,,0)*AI1268),'Master DataSheet'!AI1268)</f>
        <v>0</v>
      </c>
      <c r="AM1268" s="91">
        <f t="shared" si="367"/>
        <v>0</v>
      </c>
      <c r="AN1268" s="92" t="str">
        <f t="shared" si="368"/>
        <v>No change</v>
      </c>
      <c r="AS1268" s="94">
        <f t="shared" si="369"/>
        <v>0</v>
      </c>
      <c r="AT1268" s="94">
        <f t="shared" si="370"/>
        <v>0</v>
      </c>
      <c r="AU1268" s="94">
        <f t="shared" si="371"/>
        <v>0</v>
      </c>
    </row>
    <row r="1269" spans="1:47" x14ac:dyDescent="0.3">
      <c r="A1269" s="85" t="str">
        <f>_xlfn.XLOOKUP(B1269,'Country codes &amp; Data sources'!G:G,'Country codes &amp; Data sources'!H:H,,0)</f>
        <v>Congo</v>
      </c>
      <c r="B1269" s="85" t="s">
        <v>189</v>
      </c>
      <c r="C1269" s="85">
        <v>4713269.5</v>
      </c>
      <c r="D1269" s="85" t="s">
        <v>339</v>
      </c>
      <c r="E1269" s="86">
        <v>0</v>
      </c>
      <c r="F1269" s="86">
        <v>4828066.5000000028</v>
      </c>
      <c r="G1269" s="86">
        <v>0</v>
      </c>
      <c r="H1269" s="86"/>
      <c r="I1269" s="86">
        <v>0</v>
      </c>
      <c r="J1269" s="86"/>
      <c r="K1269" s="86">
        <v>0</v>
      </c>
      <c r="L1269" s="86"/>
      <c r="M1269" s="86">
        <v>67</v>
      </c>
      <c r="N1269" s="86"/>
      <c r="O1269" s="86">
        <v>0</v>
      </c>
      <c r="P1269" s="86">
        <v>5441061.9999999972</v>
      </c>
      <c r="Q1269" s="86">
        <v>0</v>
      </c>
      <c r="R1269" s="87">
        <f t="shared" si="356"/>
        <v>0</v>
      </c>
      <c r="T1269" s="87">
        <v>0</v>
      </c>
      <c r="U1269" s="89"/>
      <c r="V1269" s="89">
        <v>0</v>
      </c>
      <c r="W1269" s="90"/>
      <c r="X1269" s="90">
        <v>0</v>
      </c>
      <c r="Y1269" s="90">
        <v>5970424.0000000009</v>
      </c>
      <c r="Z1269" s="90">
        <v>0</v>
      </c>
      <c r="AA1269" s="90">
        <v>0</v>
      </c>
      <c r="AB1269" s="89">
        <f t="shared" si="357"/>
        <v>0</v>
      </c>
      <c r="AC1269" s="89">
        <f t="shared" si="358"/>
        <v>67</v>
      </c>
      <c r="AD1269" s="89">
        <f t="shared" si="359"/>
        <v>0</v>
      </c>
      <c r="AE1269" s="90">
        <f t="shared" si="360"/>
        <v>0</v>
      </c>
      <c r="AF1269" s="90" t="str">
        <f t="shared" si="361"/>
        <v/>
      </c>
      <c r="AG1269" s="90">
        <f t="shared" si="362"/>
        <v>0</v>
      </c>
      <c r="AH1269" s="90" t="str">
        <f t="shared" si="363"/>
        <v/>
      </c>
      <c r="AI1269" s="90">
        <f t="shared" si="364"/>
        <v>0</v>
      </c>
      <c r="AJ1269" s="90" t="str">
        <f t="shared" si="365"/>
        <v/>
      </c>
      <c r="AK1269" s="90" t="str">
        <f t="shared" si="366"/>
        <v/>
      </c>
      <c r="AL1269" s="91">
        <f>IF(AK1269="Adjust",(_xlfn.XLOOKUP(A1269,'Adj factor'!A:A,'Adj factor'!I:I,,0)*AI1269),'Master DataSheet'!AI1269)</f>
        <v>0</v>
      </c>
      <c r="AM1269" s="91">
        <f t="shared" si="367"/>
        <v>0</v>
      </c>
      <c r="AN1269" s="92" t="str">
        <f t="shared" si="368"/>
        <v>No change</v>
      </c>
      <c r="AS1269" s="94">
        <f t="shared" si="369"/>
        <v>0</v>
      </c>
      <c r="AT1269" s="94">
        <f t="shared" si="370"/>
        <v>0</v>
      </c>
      <c r="AU1269" s="94">
        <f t="shared" si="371"/>
        <v>0</v>
      </c>
    </row>
    <row r="1270" spans="1:47" x14ac:dyDescent="0.3">
      <c r="A1270" s="85" t="str">
        <f>_xlfn.XLOOKUP(B1270,'Country codes &amp; Data sources'!G:G,'Country codes &amp; Data sources'!H:H,,0)</f>
        <v>Comoros</v>
      </c>
      <c r="B1270" s="85" t="s">
        <v>196</v>
      </c>
      <c r="C1270" s="85">
        <v>684552.49999999988</v>
      </c>
      <c r="D1270" s="85" t="s">
        <v>326</v>
      </c>
      <c r="E1270" s="86">
        <v>123</v>
      </c>
      <c r="F1270" s="86">
        <v>699392.50000000035</v>
      </c>
      <c r="G1270" s="86">
        <v>0</v>
      </c>
      <c r="H1270" s="86">
        <v>714612.00000000012</v>
      </c>
      <c r="I1270" s="86">
        <v>0</v>
      </c>
      <c r="J1270" s="86">
        <v>730215.49999999953</v>
      </c>
      <c r="K1270" s="86">
        <v>0</v>
      </c>
      <c r="L1270" s="86">
        <v>746232.00000000012</v>
      </c>
      <c r="M1270" s="86">
        <v>216</v>
      </c>
      <c r="N1270" s="86">
        <v>761663.99999999977</v>
      </c>
      <c r="O1270" s="86">
        <v>0</v>
      </c>
      <c r="P1270" s="86">
        <v>776313.5000000007</v>
      </c>
      <c r="Q1270" s="86">
        <v>220</v>
      </c>
      <c r="R1270" s="87">
        <f t="shared" si="356"/>
        <v>220</v>
      </c>
      <c r="S1270" s="87">
        <v>790986.00000000023</v>
      </c>
      <c r="T1270" s="87">
        <v>0</v>
      </c>
      <c r="U1270" s="89">
        <v>806166.00000000023</v>
      </c>
      <c r="V1270" s="89">
        <v>354</v>
      </c>
      <c r="W1270" s="90">
        <v>821625.49999999988</v>
      </c>
      <c r="X1270" s="90">
        <v>0</v>
      </c>
      <c r="Y1270" s="90">
        <v>836773.49999999977</v>
      </c>
      <c r="Z1270" s="90">
        <v>0</v>
      </c>
      <c r="AA1270" s="90">
        <v>220</v>
      </c>
      <c r="AB1270" s="89">
        <f t="shared" si="357"/>
        <v>123</v>
      </c>
      <c r="AC1270" s="89">
        <f t="shared" si="358"/>
        <v>220</v>
      </c>
      <c r="AD1270" s="89">
        <f t="shared" si="359"/>
        <v>354</v>
      </c>
      <c r="AE1270" s="90">
        <f t="shared" si="360"/>
        <v>123</v>
      </c>
      <c r="AF1270" s="90">
        <f t="shared" si="361"/>
        <v>2012</v>
      </c>
      <c r="AG1270" s="90">
        <f t="shared" si="362"/>
        <v>220</v>
      </c>
      <c r="AH1270" s="90">
        <f t="shared" si="363"/>
        <v>2018</v>
      </c>
      <c r="AI1270" s="90">
        <f t="shared" si="364"/>
        <v>354</v>
      </c>
      <c r="AJ1270" s="90">
        <f t="shared" si="365"/>
        <v>2020</v>
      </c>
      <c r="AK1270" s="90" t="str">
        <f t="shared" si="366"/>
        <v/>
      </c>
      <c r="AL1270" s="91">
        <f>IF(AK1270="Adjust",(_xlfn.XLOOKUP(A1270,'Adj factor'!A:A,'Adj factor'!I:I,,0)*AI1270),'Master DataSheet'!AI1270)</f>
        <v>354</v>
      </c>
      <c r="AM1270" s="91">
        <f t="shared" si="367"/>
        <v>354</v>
      </c>
      <c r="AN1270" s="92" t="str">
        <f t="shared" si="368"/>
        <v>Increasing</v>
      </c>
      <c r="AS1270" s="94">
        <f t="shared" si="369"/>
        <v>1.7586691307098652</v>
      </c>
      <c r="AT1270" s="94">
        <f t="shared" si="370"/>
        <v>2.8339066627077822</v>
      </c>
      <c r="AU1270" s="94">
        <f t="shared" si="371"/>
        <v>4.2305355033351333</v>
      </c>
    </row>
    <row r="1271" spans="1:47" x14ac:dyDescent="0.3">
      <c r="A1271" s="85" t="str">
        <f>_xlfn.XLOOKUP(B1271,'Country codes &amp; Data sources'!G:G,'Country codes &amp; Data sources'!H:H,,0)</f>
        <v>Comoros</v>
      </c>
      <c r="B1271" s="85" t="s">
        <v>196</v>
      </c>
      <c r="C1271" s="85">
        <v>684553.5</v>
      </c>
      <c r="D1271" s="85" t="s">
        <v>327</v>
      </c>
      <c r="E1271" s="86">
        <v>0</v>
      </c>
      <c r="F1271" s="86">
        <v>699392.50000000035</v>
      </c>
      <c r="G1271" s="86">
        <v>0</v>
      </c>
      <c r="H1271" s="86"/>
      <c r="I1271" s="86">
        <v>0</v>
      </c>
      <c r="J1271" s="86"/>
      <c r="K1271" s="86">
        <v>0</v>
      </c>
      <c r="L1271" s="86"/>
      <c r="M1271" s="86">
        <v>216</v>
      </c>
      <c r="N1271" s="86"/>
      <c r="O1271" s="86">
        <v>0</v>
      </c>
      <c r="P1271" s="86">
        <v>776313.5000000007</v>
      </c>
      <c r="Q1271" s="86">
        <v>130</v>
      </c>
      <c r="R1271" s="87">
        <f t="shared" si="356"/>
        <v>130</v>
      </c>
      <c r="T1271" s="87">
        <v>0</v>
      </c>
      <c r="U1271" s="89"/>
      <c r="V1271" s="89">
        <v>241</v>
      </c>
      <c r="W1271" s="90"/>
      <c r="X1271" s="90">
        <v>0</v>
      </c>
      <c r="Y1271" s="90">
        <v>836773.49999999977</v>
      </c>
      <c r="Z1271" s="90">
        <v>0</v>
      </c>
      <c r="AA1271" s="90">
        <v>130</v>
      </c>
      <c r="AB1271" s="89">
        <f t="shared" si="357"/>
        <v>0</v>
      </c>
      <c r="AC1271" s="89">
        <f t="shared" si="358"/>
        <v>216</v>
      </c>
      <c r="AD1271" s="89">
        <f t="shared" si="359"/>
        <v>241</v>
      </c>
      <c r="AE1271" s="90">
        <f t="shared" si="360"/>
        <v>0</v>
      </c>
      <c r="AF1271" s="90" t="str">
        <f t="shared" si="361"/>
        <v/>
      </c>
      <c r="AG1271" s="90">
        <f t="shared" si="362"/>
        <v>130</v>
      </c>
      <c r="AH1271" s="90">
        <f t="shared" si="363"/>
        <v>2018</v>
      </c>
      <c r="AI1271" s="90">
        <f t="shared" si="364"/>
        <v>241</v>
      </c>
      <c r="AJ1271" s="90">
        <f t="shared" si="365"/>
        <v>2020</v>
      </c>
      <c r="AK1271" s="90" t="str">
        <f t="shared" si="366"/>
        <v/>
      </c>
      <c r="AL1271" s="91">
        <f>IF(AK1271="Adjust",(_xlfn.XLOOKUP(A1271,'Adj factor'!A:A,'Adj factor'!I:I,,0)*AI1271),'Master DataSheet'!AI1271)</f>
        <v>241</v>
      </c>
      <c r="AM1271" s="91">
        <f t="shared" si="367"/>
        <v>241</v>
      </c>
      <c r="AN1271" s="92" t="str">
        <f t="shared" si="368"/>
        <v>Increasing</v>
      </c>
      <c r="AS1271" s="94">
        <f t="shared" si="369"/>
        <v>0</v>
      </c>
      <c r="AT1271" s="94">
        <f t="shared" si="370"/>
        <v>1.6745812097818713</v>
      </c>
      <c r="AU1271" s="94">
        <f t="shared" si="371"/>
        <v>2.8801103285417149</v>
      </c>
    </row>
    <row r="1272" spans="1:47" x14ac:dyDescent="0.3">
      <c r="A1272" s="85" t="str">
        <f>_xlfn.XLOOKUP(B1272,'Country codes &amp; Data sources'!G:G,'Country codes &amp; Data sources'!H:H,,0)</f>
        <v>Comoros</v>
      </c>
      <c r="B1272" s="85" t="s">
        <v>196</v>
      </c>
      <c r="C1272" s="85">
        <v>684554.5</v>
      </c>
      <c r="D1272" s="85" t="s">
        <v>328</v>
      </c>
      <c r="E1272" s="86">
        <v>0</v>
      </c>
      <c r="F1272" s="86">
        <v>699392.50000000035</v>
      </c>
      <c r="G1272" s="86">
        <v>0</v>
      </c>
      <c r="H1272" s="86"/>
      <c r="I1272" s="86">
        <v>0</v>
      </c>
      <c r="J1272" s="86"/>
      <c r="K1272" s="86">
        <v>0</v>
      </c>
      <c r="L1272" s="86"/>
      <c r="M1272" s="86">
        <v>0</v>
      </c>
      <c r="N1272" s="86"/>
      <c r="O1272" s="86">
        <v>0</v>
      </c>
      <c r="P1272" s="86">
        <v>776313.5000000007</v>
      </c>
      <c r="Q1272" s="86">
        <v>90</v>
      </c>
      <c r="R1272" s="87">
        <f t="shared" si="356"/>
        <v>90</v>
      </c>
      <c r="T1272" s="87">
        <v>0</v>
      </c>
      <c r="U1272" s="89"/>
      <c r="V1272" s="89">
        <v>113</v>
      </c>
      <c r="W1272" s="90"/>
      <c r="X1272" s="90">
        <v>0</v>
      </c>
      <c r="Y1272" s="90">
        <v>836773.49999999977</v>
      </c>
      <c r="Z1272" s="90">
        <v>0</v>
      </c>
      <c r="AA1272" s="90">
        <v>90</v>
      </c>
      <c r="AB1272" s="89">
        <f t="shared" si="357"/>
        <v>0</v>
      </c>
      <c r="AC1272" s="89">
        <f t="shared" si="358"/>
        <v>90</v>
      </c>
      <c r="AD1272" s="89">
        <f t="shared" si="359"/>
        <v>113</v>
      </c>
      <c r="AE1272" s="90">
        <f t="shared" si="360"/>
        <v>0</v>
      </c>
      <c r="AF1272" s="90" t="str">
        <f t="shared" si="361"/>
        <v/>
      </c>
      <c r="AG1272" s="90">
        <f t="shared" si="362"/>
        <v>90</v>
      </c>
      <c r="AH1272" s="90">
        <f t="shared" si="363"/>
        <v>2018</v>
      </c>
      <c r="AI1272" s="90">
        <f t="shared" si="364"/>
        <v>113</v>
      </c>
      <c r="AJ1272" s="90">
        <f t="shared" si="365"/>
        <v>2020</v>
      </c>
      <c r="AK1272" s="90" t="str">
        <f t="shared" si="366"/>
        <v/>
      </c>
      <c r="AL1272" s="91">
        <f>IF(AK1272="Adjust",(_xlfn.XLOOKUP(A1272,'Adj factor'!A:A,'Adj factor'!I:I,,0)*AI1272),'Master DataSheet'!AI1272)</f>
        <v>113</v>
      </c>
      <c r="AM1272" s="91">
        <f t="shared" si="367"/>
        <v>113</v>
      </c>
      <c r="AN1272" s="92" t="str">
        <f t="shared" si="368"/>
        <v>Increasing</v>
      </c>
      <c r="AS1272" s="94">
        <f t="shared" si="369"/>
        <v>0</v>
      </c>
      <c r="AT1272" s="94">
        <f t="shared" si="370"/>
        <v>1.1593254529259109</v>
      </c>
      <c r="AU1272" s="94">
        <f t="shared" si="371"/>
        <v>1.3504251747934182</v>
      </c>
    </row>
    <row r="1273" spans="1:47" x14ac:dyDescent="0.3">
      <c r="A1273" s="85" t="str">
        <f>_xlfn.XLOOKUP(B1273,'Country codes &amp; Data sources'!G:G,'Country codes &amp; Data sources'!H:H,,0)</f>
        <v>Comoros</v>
      </c>
      <c r="B1273" s="85" t="s">
        <v>196</v>
      </c>
      <c r="C1273" s="85">
        <v>684555.5</v>
      </c>
      <c r="D1273" s="85" t="s">
        <v>329</v>
      </c>
      <c r="E1273" s="86">
        <v>0</v>
      </c>
      <c r="F1273" s="86">
        <v>699392.50000000035</v>
      </c>
      <c r="G1273" s="86">
        <v>0</v>
      </c>
      <c r="H1273" s="86"/>
      <c r="I1273" s="86">
        <v>0</v>
      </c>
      <c r="J1273" s="86"/>
      <c r="K1273" s="86">
        <v>0</v>
      </c>
      <c r="L1273" s="86"/>
      <c r="M1273" s="86">
        <v>0</v>
      </c>
      <c r="N1273" s="86"/>
      <c r="O1273" s="86">
        <v>0</v>
      </c>
      <c r="P1273" s="86">
        <v>776313.5000000007</v>
      </c>
      <c r="Q1273" s="86">
        <v>679</v>
      </c>
      <c r="R1273" s="87">
        <f t="shared" si="356"/>
        <v>747</v>
      </c>
      <c r="T1273" s="87">
        <v>0</v>
      </c>
      <c r="U1273" s="89"/>
      <c r="V1273" s="89">
        <v>683</v>
      </c>
      <c r="W1273" s="90"/>
      <c r="X1273" s="90">
        <v>0</v>
      </c>
      <c r="Y1273" s="90">
        <v>836773.49999999977</v>
      </c>
      <c r="Z1273" s="90">
        <v>0</v>
      </c>
      <c r="AA1273" s="90">
        <v>747</v>
      </c>
      <c r="AB1273" s="89">
        <f t="shared" si="357"/>
        <v>0</v>
      </c>
      <c r="AC1273" s="89">
        <f t="shared" si="358"/>
        <v>679</v>
      </c>
      <c r="AD1273" s="89">
        <f t="shared" si="359"/>
        <v>683</v>
      </c>
      <c r="AE1273" s="90">
        <f t="shared" si="360"/>
        <v>0</v>
      </c>
      <c r="AF1273" s="90" t="str">
        <f t="shared" si="361"/>
        <v/>
      </c>
      <c r="AG1273" s="90">
        <f t="shared" si="362"/>
        <v>747</v>
      </c>
      <c r="AH1273" s="90" t="str">
        <f t="shared" si="363"/>
        <v>2018 (triag)</v>
      </c>
      <c r="AI1273" s="90">
        <f t="shared" si="364"/>
        <v>683</v>
      </c>
      <c r="AJ1273" s="90">
        <f t="shared" si="365"/>
        <v>2020</v>
      </c>
      <c r="AK1273" s="90" t="str">
        <f t="shared" si="366"/>
        <v>Adjust</v>
      </c>
      <c r="AL1273" s="91">
        <f>IF(AK1273="Adjust",(_xlfn.XLOOKUP(A1273,'Adj factor'!A:A,'Adj factor'!I:I,,0)*AI1273),'Master DataSheet'!AI1273)</f>
        <v>784.97097407084357</v>
      </c>
      <c r="AM1273" s="91">
        <f t="shared" si="367"/>
        <v>784.97097407084357</v>
      </c>
      <c r="AN1273" s="92" t="str">
        <f t="shared" si="368"/>
        <v>Increasing</v>
      </c>
      <c r="AS1273" s="94">
        <f t="shared" si="369"/>
        <v>0</v>
      </c>
      <c r="AT1273" s="94">
        <f t="shared" si="370"/>
        <v>9.622401259285061</v>
      </c>
      <c r="AU1273" s="94">
        <f t="shared" si="371"/>
        <v>9.3809253528086618</v>
      </c>
    </row>
    <row r="1274" spans="1:47" x14ac:dyDescent="0.3">
      <c r="A1274" s="85" t="str">
        <f>_xlfn.XLOOKUP(B1274,'Country codes &amp; Data sources'!G:G,'Country codes &amp; Data sources'!H:H,,0)</f>
        <v>Comoros</v>
      </c>
      <c r="B1274" s="85" t="s">
        <v>196</v>
      </c>
      <c r="C1274" s="85">
        <v>684556.5</v>
      </c>
      <c r="D1274" s="85" t="s">
        <v>330</v>
      </c>
      <c r="E1274" s="86">
        <v>0</v>
      </c>
      <c r="F1274" s="86">
        <v>699392.50000000035</v>
      </c>
      <c r="G1274" s="86">
        <v>0</v>
      </c>
      <c r="H1274" s="86"/>
      <c r="I1274" s="86">
        <v>0</v>
      </c>
      <c r="J1274" s="86"/>
      <c r="K1274" s="86">
        <v>0</v>
      </c>
      <c r="L1274" s="86"/>
      <c r="M1274" s="86">
        <v>0</v>
      </c>
      <c r="N1274" s="86"/>
      <c r="O1274" s="86">
        <v>0</v>
      </c>
      <c r="P1274" s="86">
        <v>776313.5000000007</v>
      </c>
      <c r="Q1274" s="86">
        <v>679</v>
      </c>
      <c r="R1274" s="87">
        <f t="shared" si="356"/>
        <v>679</v>
      </c>
      <c r="T1274" s="87">
        <v>0</v>
      </c>
      <c r="U1274" s="89"/>
      <c r="V1274" s="89">
        <v>683</v>
      </c>
      <c r="W1274" s="90"/>
      <c r="X1274" s="90">
        <v>0</v>
      </c>
      <c r="Y1274" s="90">
        <v>836773.49999999977</v>
      </c>
      <c r="Z1274" s="90">
        <v>0</v>
      </c>
      <c r="AA1274" s="90">
        <v>676</v>
      </c>
      <c r="AB1274" s="89">
        <f t="shared" si="357"/>
        <v>0</v>
      </c>
      <c r="AC1274" s="89">
        <f t="shared" si="358"/>
        <v>679</v>
      </c>
      <c r="AD1274" s="89">
        <f t="shared" si="359"/>
        <v>683</v>
      </c>
      <c r="AE1274" s="90">
        <f t="shared" si="360"/>
        <v>0</v>
      </c>
      <c r="AF1274" s="90" t="str">
        <f t="shared" si="361"/>
        <v/>
      </c>
      <c r="AG1274" s="90">
        <f t="shared" si="362"/>
        <v>679</v>
      </c>
      <c r="AH1274" s="90">
        <f t="shared" si="363"/>
        <v>2018</v>
      </c>
      <c r="AI1274" s="90">
        <f t="shared" si="364"/>
        <v>683</v>
      </c>
      <c r="AJ1274" s="90">
        <f t="shared" si="365"/>
        <v>2020</v>
      </c>
      <c r="AK1274" s="90" t="str">
        <f t="shared" si="366"/>
        <v/>
      </c>
      <c r="AL1274" s="91">
        <f>IF(AK1274="Adjust",(_xlfn.XLOOKUP(A1274,'Adj factor'!A:A,'Adj factor'!I:I,,0)*AI1274),'Master DataSheet'!AI1274)</f>
        <v>683</v>
      </c>
      <c r="AM1274" s="91">
        <f t="shared" si="367"/>
        <v>683</v>
      </c>
      <c r="AN1274" s="92" t="str">
        <f t="shared" si="368"/>
        <v>Increasing</v>
      </c>
      <c r="AS1274" s="94">
        <f t="shared" si="369"/>
        <v>0</v>
      </c>
      <c r="AT1274" s="94">
        <f t="shared" si="370"/>
        <v>8.7464664726299279</v>
      </c>
      <c r="AU1274" s="94">
        <f t="shared" si="371"/>
        <v>8.1623043750788025</v>
      </c>
    </row>
    <row r="1275" spans="1:47" x14ac:dyDescent="0.3">
      <c r="A1275" s="85" t="str">
        <f>_xlfn.XLOOKUP(B1275,'Country codes &amp; Data sources'!G:G,'Country codes &amp; Data sources'!H:H,,0)</f>
        <v>Comoros</v>
      </c>
      <c r="B1275" s="85" t="s">
        <v>196</v>
      </c>
      <c r="C1275" s="85">
        <v>684557.5</v>
      </c>
      <c r="D1275" s="85" t="s">
        <v>331</v>
      </c>
      <c r="E1275" s="86">
        <v>0</v>
      </c>
      <c r="F1275" s="86">
        <v>699392.50000000035</v>
      </c>
      <c r="G1275" s="86">
        <v>0</v>
      </c>
      <c r="H1275" s="86"/>
      <c r="I1275" s="86">
        <v>0</v>
      </c>
      <c r="J1275" s="86"/>
      <c r="K1275" s="86">
        <v>0</v>
      </c>
      <c r="L1275" s="86"/>
      <c r="M1275" s="86">
        <v>0</v>
      </c>
      <c r="N1275" s="86"/>
      <c r="O1275" s="86">
        <v>0</v>
      </c>
      <c r="P1275" s="86">
        <v>776313.5000000007</v>
      </c>
      <c r="Q1275" s="86">
        <v>0</v>
      </c>
      <c r="R1275" s="87">
        <f t="shared" si="356"/>
        <v>71</v>
      </c>
      <c r="T1275" s="87">
        <v>0</v>
      </c>
      <c r="U1275" s="89"/>
      <c r="V1275" s="89">
        <v>0</v>
      </c>
      <c r="W1275" s="90"/>
      <c r="X1275" s="90">
        <v>0</v>
      </c>
      <c r="Y1275" s="90">
        <v>836773.49999999977</v>
      </c>
      <c r="Z1275" s="90">
        <v>0</v>
      </c>
      <c r="AA1275" s="90">
        <v>71</v>
      </c>
      <c r="AB1275" s="89">
        <f t="shared" si="357"/>
        <v>0</v>
      </c>
      <c r="AC1275" s="89">
        <f t="shared" si="358"/>
        <v>0</v>
      </c>
      <c r="AD1275" s="89">
        <f t="shared" si="359"/>
        <v>0</v>
      </c>
      <c r="AE1275" s="90">
        <f t="shared" si="360"/>
        <v>0</v>
      </c>
      <c r="AF1275" s="90" t="str">
        <f t="shared" si="361"/>
        <v/>
      </c>
      <c r="AG1275" s="90">
        <f t="shared" si="362"/>
        <v>71</v>
      </c>
      <c r="AH1275" s="90" t="str">
        <f t="shared" si="363"/>
        <v>2018 (triag)</v>
      </c>
      <c r="AI1275" s="90">
        <f t="shared" si="364"/>
        <v>71</v>
      </c>
      <c r="AJ1275" s="90" t="str">
        <f t="shared" si="365"/>
        <v>2018 (triag)</v>
      </c>
      <c r="AK1275" s="90" t="str">
        <f t="shared" si="366"/>
        <v/>
      </c>
      <c r="AL1275" s="91">
        <f>IF(AK1275="Adjust",(_xlfn.XLOOKUP(A1275,'Adj factor'!A:A,'Adj factor'!I:I,,0)*AI1275),'Master DataSheet'!AI1275)</f>
        <v>71</v>
      </c>
      <c r="AM1275" s="91">
        <f t="shared" si="367"/>
        <v>71</v>
      </c>
      <c r="AN1275" s="92" t="str">
        <f t="shared" si="368"/>
        <v>No change</v>
      </c>
      <c r="AS1275" s="94">
        <f t="shared" si="369"/>
        <v>0</v>
      </c>
      <c r="AT1275" s="94">
        <f t="shared" si="370"/>
        <v>0.91457896841932973</v>
      </c>
      <c r="AU1275" s="94">
        <f t="shared" si="371"/>
        <v>0.84849723371975838</v>
      </c>
    </row>
    <row r="1276" spans="1:47" x14ac:dyDescent="0.3">
      <c r="A1276" s="85" t="str">
        <f>_xlfn.XLOOKUP(B1276,'Country codes &amp; Data sources'!G:G,'Country codes &amp; Data sources'!H:H,,0)</f>
        <v>Comoros</v>
      </c>
      <c r="B1276" s="85" t="s">
        <v>196</v>
      </c>
      <c r="C1276" s="85">
        <v>684558.5</v>
      </c>
      <c r="D1276" s="85" t="s">
        <v>332</v>
      </c>
      <c r="E1276" s="86">
        <v>667</v>
      </c>
      <c r="F1276" s="86">
        <v>699392.50000000035</v>
      </c>
      <c r="G1276" s="86">
        <v>295</v>
      </c>
      <c r="H1276" s="86"/>
      <c r="I1276" s="86">
        <v>0</v>
      </c>
      <c r="J1276" s="86"/>
      <c r="K1276" s="86">
        <v>0</v>
      </c>
      <c r="L1276" s="86"/>
      <c r="M1276" s="86">
        <v>500</v>
      </c>
      <c r="N1276" s="86"/>
      <c r="O1276" s="86">
        <v>0</v>
      </c>
      <c r="P1276" s="86">
        <v>776313.5000000007</v>
      </c>
      <c r="Q1276" s="86">
        <v>484</v>
      </c>
      <c r="R1276" s="87">
        <f t="shared" si="356"/>
        <v>487</v>
      </c>
      <c r="T1276" s="87">
        <v>0</v>
      </c>
      <c r="U1276" s="89"/>
      <c r="V1276" s="89">
        <v>586</v>
      </c>
      <c r="W1276" s="90"/>
      <c r="X1276" s="90">
        <v>0</v>
      </c>
      <c r="Y1276" s="90">
        <v>836773.49999999977</v>
      </c>
      <c r="Z1276" s="90">
        <v>0</v>
      </c>
      <c r="AA1276" s="90">
        <v>487</v>
      </c>
      <c r="AB1276" s="89">
        <f t="shared" si="357"/>
        <v>667</v>
      </c>
      <c r="AC1276" s="89">
        <f t="shared" si="358"/>
        <v>500</v>
      </c>
      <c r="AD1276" s="89">
        <f t="shared" si="359"/>
        <v>586</v>
      </c>
      <c r="AE1276" s="90">
        <f t="shared" si="360"/>
        <v>295</v>
      </c>
      <c r="AF1276" s="90">
        <f t="shared" si="361"/>
        <v>2013</v>
      </c>
      <c r="AG1276" s="90">
        <f t="shared" si="362"/>
        <v>487</v>
      </c>
      <c r="AH1276" s="90" t="str">
        <f t="shared" si="363"/>
        <v>2018 (triag)</v>
      </c>
      <c r="AI1276" s="90">
        <f t="shared" si="364"/>
        <v>586</v>
      </c>
      <c r="AJ1276" s="90">
        <f t="shared" si="365"/>
        <v>2020</v>
      </c>
      <c r="AK1276" s="90" t="str">
        <f t="shared" si="366"/>
        <v/>
      </c>
      <c r="AL1276" s="91">
        <f>IF(AK1276="Adjust",(_xlfn.XLOOKUP(A1276,'Adj factor'!A:A,'Adj factor'!I:I,,0)*AI1276),'Master DataSheet'!AI1276)</f>
        <v>586</v>
      </c>
      <c r="AM1276" s="91">
        <f t="shared" si="367"/>
        <v>586</v>
      </c>
      <c r="AN1276" s="92" t="str">
        <f t="shared" si="368"/>
        <v>Increasing</v>
      </c>
      <c r="AS1276" s="94">
        <f t="shared" si="369"/>
        <v>4.2179462891008965</v>
      </c>
      <c r="AT1276" s="94">
        <f t="shared" si="370"/>
        <v>6.2732388397213183</v>
      </c>
      <c r="AU1276" s="94">
        <f t="shared" si="371"/>
        <v>7.0030898445039211</v>
      </c>
    </row>
    <row r="1277" spans="1:47" x14ac:dyDescent="0.3">
      <c r="A1277" s="85" t="str">
        <f>_xlfn.XLOOKUP(B1277,'Country codes &amp; Data sources'!G:G,'Country codes &amp; Data sources'!H:H,,0)</f>
        <v>Comoros</v>
      </c>
      <c r="B1277" s="85" t="s">
        <v>196</v>
      </c>
      <c r="C1277" s="85">
        <v>684559.5</v>
      </c>
      <c r="D1277" s="85" t="s">
        <v>333</v>
      </c>
      <c r="E1277" s="86">
        <v>0</v>
      </c>
      <c r="F1277" s="86">
        <v>699392.50000000035</v>
      </c>
      <c r="G1277" s="86">
        <v>284</v>
      </c>
      <c r="H1277" s="86"/>
      <c r="I1277" s="86">
        <v>0</v>
      </c>
      <c r="J1277" s="86"/>
      <c r="K1277" s="86">
        <v>0</v>
      </c>
      <c r="L1277" s="86"/>
      <c r="M1277" s="86">
        <v>475</v>
      </c>
      <c r="N1277" s="86"/>
      <c r="O1277" s="86">
        <v>0</v>
      </c>
      <c r="P1277" s="86">
        <v>776313.5000000007</v>
      </c>
      <c r="Q1277" s="86">
        <v>484</v>
      </c>
      <c r="R1277" s="87">
        <f t="shared" si="356"/>
        <v>487</v>
      </c>
      <c r="T1277" s="87">
        <v>0</v>
      </c>
      <c r="U1277" s="89"/>
      <c r="V1277" s="89">
        <v>586</v>
      </c>
      <c r="W1277" s="90"/>
      <c r="X1277" s="90">
        <v>0</v>
      </c>
      <c r="Y1277" s="90">
        <v>836773.49999999977</v>
      </c>
      <c r="Z1277" s="90">
        <v>0</v>
      </c>
      <c r="AA1277" s="90">
        <v>487</v>
      </c>
      <c r="AB1277" s="89">
        <f t="shared" si="357"/>
        <v>284</v>
      </c>
      <c r="AC1277" s="89">
        <f t="shared" si="358"/>
        <v>484</v>
      </c>
      <c r="AD1277" s="89">
        <f t="shared" si="359"/>
        <v>586</v>
      </c>
      <c r="AE1277" s="90">
        <f t="shared" si="360"/>
        <v>284</v>
      </c>
      <c r="AF1277" s="90">
        <f t="shared" si="361"/>
        <v>2013</v>
      </c>
      <c r="AG1277" s="90">
        <f t="shared" si="362"/>
        <v>487</v>
      </c>
      <c r="AH1277" s="90" t="str">
        <f t="shared" si="363"/>
        <v>2018 (triag)</v>
      </c>
      <c r="AI1277" s="90">
        <f t="shared" si="364"/>
        <v>586</v>
      </c>
      <c r="AJ1277" s="90">
        <f t="shared" si="365"/>
        <v>2020</v>
      </c>
      <c r="AK1277" s="90" t="str">
        <f t="shared" si="366"/>
        <v/>
      </c>
      <c r="AL1277" s="91">
        <f>IF(AK1277="Adjust",(_xlfn.XLOOKUP(A1277,'Adj factor'!A:A,'Adj factor'!I:I,,0)*AI1277),'Master DataSheet'!AI1277)</f>
        <v>586</v>
      </c>
      <c r="AM1277" s="91">
        <f t="shared" si="367"/>
        <v>586</v>
      </c>
      <c r="AN1277" s="92" t="str">
        <f t="shared" si="368"/>
        <v>Increasing</v>
      </c>
      <c r="AS1277" s="94">
        <f t="shared" si="369"/>
        <v>4.0606669359479817</v>
      </c>
      <c r="AT1277" s="94">
        <f t="shared" si="370"/>
        <v>6.2732388397213183</v>
      </c>
      <c r="AU1277" s="94">
        <f t="shared" si="371"/>
        <v>7.0030898445039211</v>
      </c>
    </row>
    <row r="1278" spans="1:47" x14ac:dyDescent="0.3">
      <c r="A1278" s="85" t="str">
        <f>_xlfn.XLOOKUP(B1278,'Country codes &amp; Data sources'!G:G,'Country codes &amp; Data sources'!H:H,,0)</f>
        <v>Comoros</v>
      </c>
      <c r="B1278" s="85" t="s">
        <v>196</v>
      </c>
      <c r="C1278" s="85">
        <v>684560.5</v>
      </c>
      <c r="D1278" s="85" t="s">
        <v>334</v>
      </c>
      <c r="E1278" s="86">
        <v>0</v>
      </c>
      <c r="F1278" s="86">
        <v>699392.50000000035</v>
      </c>
      <c r="G1278" s="86">
        <v>11</v>
      </c>
      <c r="H1278" s="86"/>
      <c r="I1278" s="86">
        <v>0</v>
      </c>
      <c r="J1278" s="86"/>
      <c r="K1278" s="86">
        <v>0</v>
      </c>
      <c r="L1278" s="86"/>
      <c r="M1278" s="86">
        <v>25</v>
      </c>
      <c r="N1278" s="86"/>
      <c r="O1278" s="86">
        <v>0</v>
      </c>
      <c r="P1278" s="86">
        <v>776313.5000000007</v>
      </c>
      <c r="Q1278" s="86">
        <v>0</v>
      </c>
      <c r="R1278" s="87">
        <f t="shared" si="356"/>
        <v>0</v>
      </c>
      <c r="T1278" s="87">
        <v>0</v>
      </c>
      <c r="U1278" s="89"/>
      <c r="V1278" s="89">
        <v>0</v>
      </c>
      <c r="W1278" s="90"/>
      <c r="X1278" s="90">
        <v>0</v>
      </c>
      <c r="Y1278" s="90">
        <v>836773.49999999977</v>
      </c>
      <c r="Z1278" s="90">
        <v>0</v>
      </c>
      <c r="AA1278" s="90">
        <v>0</v>
      </c>
      <c r="AB1278" s="89">
        <f t="shared" si="357"/>
        <v>11</v>
      </c>
      <c r="AC1278" s="89">
        <f t="shared" si="358"/>
        <v>25</v>
      </c>
      <c r="AD1278" s="89">
        <f t="shared" si="359"/>
        <v>0</v>
      </c>
      <c r="AE1278" s="90">
        <f t="shared" si="360"/>
        <v>11</v>
      </c>
      <c r="AF1278" s="90">
        <f t="shared" si="361"/>
        <v>2013</v>
      </c>
      <c r="AG1278" s="90">
        <f t="shared" si="362"/>
        <v>0</v>
      </c>
      <c r="AH1278" s="90" t="str">
        <f t="shared" si="363"/>
        <v/>
      </c>
      <c r="AI1278" s="90">
        <f t="shared" si="364"/>
        <v>0</v>
      </c>
      <c r="AJ1278" s="90" t="str">
        <f t="shared" si="365"/>
        <v/>
      </c>
      <c r="AK1278" s="90" t="str">
        <f t="shared" si="366"/>
        <v/>
      </c>
      <c r="AL1278" s="91">
        <f>IF(AK1278="Adjust",(_xlfn.XLOOKUP(A1278,'Adj factor'!A:A,'Adj factor'!I:I,,0)*AI1278),'Master DataSheet'!AI1278)</f>
        <v>0</v>
      </c>
      <c r="AM1278" s="91">
        <f t="shared" si="367"/>
        <v>0</v>
      </c>
      <c r="AN1278" s="92" t="str">
        <f t="shared" si="368"/>
        <v>No change</v>
      </c>
      <c r="AS1278" s="94">
        <f t="shared" si="369"/>
        <v>0.15727935315291477</v>
      </c>
      <c r="AT1278" s="94">
        <f t="shared" si="370"/>
        <v>0</v>
      </c>
      <c r="AU1278" s="94">
        <f t="shared" si="371"/>
        <v>0</v>
      </c>
    </row>
    <row r="1279" spans="1:47" x14ac:dyDescent="0.3">
      <c r="A1279" s="85" t="str">
        <f>_xlfn.XLOOKUP(B1279,'Country codes &amp; Data sources'!G:G,'Country codes &amp; Data sources'!H:H,,0)</f>
        <v>Comoros</v>
      </c>
      <c r="B1279" s="85" t="s">
        <v>196</v>
      </c>
      <c r="C1279" s="85">
        <v>684561.5</v>
      </c>
      <c r="D1279" s="85" t="s">
        <v>335</v>
      </c>
      <c r="E1279" s="86">
        <v>16</v>
      </c>
      <c r="F1279" s="86">
        <v>699392.50000000035</v>
      </c>
      <c r="G1279" s="86">
        <v>0</v>
      </c>
      <c r="H1279" s="86"/>
      <c r="I1279" s="86">
        <v>0</v>
      </c>
      <c r="J1279" s="86"/>
      <c r="K1279" s="86">
        <v>0</v>
      </c>
      <c r="L1279" s="86"/>
      <c r="M1279" s="86">
        <v>0</v>
      </c>
      <c r="N1279" s="86"/>
      <c r="O1279" s="86">
        <v>0</v>
      </c>
      <c r="P1279" s="86">
        <v>776313.5000000007</v>
      </c>
      <c r="Q1279" s="86">
        <v>36</v>
      </c>
      <c r="R1279" s="87">
        <f t="shared" si="356"/>
        <v>36</v>
      </c>
      <c r="T1279" s="87">
        <v>0</v>
      </c>
      <c r="U1279" s="89"/>
      <c r="V1279" s="89">
        <v>35</v>
      </c>
      <c r="W1279" s="90"/>
      <c r="X1279" s="90">
        <v>0</v>
      </c>
      <c r="Y1279" s="90">
        <v>836773.49999999977</v>
      </c>
      <c r="Z1279" s="90">
        <v>0</v>
      </c>
      <c r="AA1279" s="90">
        <v>36</v>
      </c>
      <c r="AB1279" s="89">
        <f t="shared" si="357"/>
        <v>16</v>
      </c>
      <c r="AC1279" s="89">
        <f t="shared" si="358"/>
        <v>36</v>
      </c>
      <c r="AD1279" s="89">
        <f t="shared" si="359"/>
        <v>35</v>
      </c>
      <c r="AE1279" s="90">
        <f t="shared" si="360"/>
        <v>16</v>
      </c>
      <c r="AF1279" s="90">
        <f t="shared" si="361"/>
        <v>2012</v>
      </c>
      <c r="AG1279" s="90">
        <f t="shared" si="362"/>
        <v>36</v>
      </c>
      <c r="AH1279" s="90">
        <f t="shared" si="363"/>
        <v>2018</v>
      </c>
      <c r="AI1279" s="90">
        <f t="shared" si="364"/>
        <v>35</v>
      </c>
      <c r="AJ1279" s="90">
        <f t="shared" si="365"/>
        <v>2020</v>
      </c>
      <c r="AK1279" s="90" t="str">
        <f t="shared" si="366"/>
        <v>Adjust</v>
      </c>
      <c r="AL1279" s="91">
        <f>IF(AK1279="Adjust",(_xlfn.XLOOKUP(A1279,'Adj factor'!A:A,'Adj factor'!I:I,,0)*AI1279),'Master DataSheet'!AI1279)</f>
        <v>40.225452551214531</v>
      </c>
      <c r="AM1279" s="91">
        <f t="shared" si="367"/>
        <v>40.225452551214531</v>
      </c>
      <c r="AN1279" s="92" t="str">
        <f t="shared" si="368"/>
        <v>Increasing</v>
      </c>
      <c r="AS1279" s="94">
        <f t="shared" si="369"/>
        <v>0.22876996822242149</v>
      </c>
      <c r="AT1279" s="94">
        <f t="shared" si="370"/>
        <v>0.46373018117036441</v>
      </c>
      <c r="AU1279" s="94">
        <f t="shared" si="371"/>
        <v>0.48072091851874543</v>
      </c>
    </row>
    <row r="1280" spans="1:47" x14ac:dyDescent="0.3">
      <c r="A1280" s="85" t="str">
        <f>_xlfn.XLOOKUP(B1280,'Country codes &amp; Data sources'!G:G,'Country codes &amp; Data sources'!H:H,,0)</f>
        <v>Comoros</v>
      </c>
      <c r="B1280" s="85" t="s">
        <v>196</v>
      </c>
      <c r="C1280" s="85">
        <v>684562.5</v>
      </c>
      <c r="D1280" s="85" t="s">
        <v>336</v>
      </c>
      <c r="E1280" s="86">
        <v>0</v>
      </c>
      <c r="F1280" s="86">
        <v>699392.50000000035</v>
      </c>
      <c r="G1280" s="86">
        <v>0</v>
      </c>
      <c r="H1280" s="86"/>
      <c r="I1280" s="86">
        <v>0</v>
      </c>
      <c r="J1280" s="86"/>
      <c r="K1280" s="86">
        <v>0</v>
      </c>
      <c r="L1280" s="86"/>
      <c r="M1280" s="86">
        <v>0</v>
      </c>
      <c r="N1280" s="86"/>
      <c r="O1280" s="86">
        <v>0</v>
      </c>
      <c r="P1280" s="86">
        <v>776313.5000000007</v>
      </c>
      <c r="Q1280" s="86">
        <v>19</v>
      </c>
      <c r="R1280" s="87">
        <f t="shared" si="356"/>
        <v>19</v>
      </c>
      <c r="T1280" s="87">
        <v>0</v>
      </c>
      <c r="U1280" s="89"/>
      <c r="V1280" s="89">
        <v>71</v>
      </c>
      <c r="W1280" s="90"/>
      <c r="X1280" s="90">
        <v>0</v>
      </c>
      <c r="Y1280" s="90">
        <v>836773.49999999977</v>
      </c>
      <c r="Z1280" s="90">
        <v>0</v>
      </c>
      <c r="AA1280" s="90">
        <v>19</v>
      </c>
      <c r="AB1280" s="89">
        <f t="shared" si="357"/>
        <v>0</v>
      </c>
      <c r="AC1280" s="89">
        <f t="shared" si="358"/>
        <v>19</v>
      </c>
      <c r="AD1280" s="89">
        <f t="shared" si="359"/>
        <v>71</v>
      </c>
      <c r="AE1280" s="90">
        <f t="shared" si="360"/>
        <v>0</v>
      </c>
      <c r="AF1280" s="90" t="str">
        <f t="shared" si="361"/>
        <v/>
      </c>
      <c r="AG1280" s="90">
        <f t="shared" si="362"/>
        <v>19</v>
      </c>
      <c r="AH1280" s="90">
        <f t="shared" si="363"/>
        <v>2018</v>
      </c>
      <c r="AI1280" s="90">
        <f t="shared" si="364"/>
        <v>71</v>
      </c>
      <c r="AJ1280" s="90">
        <f t="shared" si="365"/>
        <v>2020</v>
      </c>
      <c r="AK1280" s="90" t="str">
        <f t="shared" si="366"/>
        <v/>
      </c>
      <c r="AL1280" s="91">
        <f>IF(AK1280="Adjust",(_xlfn.XLOOKUP(A1280,'Adj factor'!A:A,'Adj factor'!I:I,,0)*AI1280),'Master DataSheet'!AI1280)</f>
        <v>71</v>
      </c>
      <c r="AM1280" s="91">
        <f t="shared" si="367"/>
        <v>71</v>
      </c>
      <c r="AN1280" s="92" t="str">
        <f t="shared" si="368"/>
        <v>Increasing</v>
      </c>
      <c r="AS1280" s="94">
        <f t="shared" si="369"/>
        <v>0</v>
      </c>
      <c r="AT1280" s="94">
        <f t="shared" si="370"/>
        <v>0.24474648450658121</v>
      </c>
      <c r="AU1280" s="94">
        <f t="shared" si="371"/>
        <v>0.84849723371975838</v>
      </c>
    </row>
    <row r="1281" spans="1:47" x14ac:dyDescent="0.3">
      <c r="A1281" s="85" t="str">
        <f>_xlfn.XLOOKUP(B1281,'Country codes &amp; Data sources'!G:G,'Country codes &amp; Data sources'!H:H,,0)</f>
        <v>Comoros</v>
      </c>
      <c r="B1281" s="85" t="s">
        <v>196</v>
      </c>
      <c r="C1281" s="85">
        <v>684563.5</v>
      </c>
      <c r="D1281" s="85" t="s">
        <v>337</v>
      </c>
      <c r="E1281" s="86">
        <v>18</v>
      </c>
      <c r="F1281" s="86">
        <v>699392.50000000035</v>
      </c>
      <c r="G1281" s="86">
        <v>0</v>
      </c>
      <c r="H1281" s="86"/>
      <c r="I1281" s="86">
        <v>0</v>
      </c>
      <c r="J1281" s="86"/>
      <c r="K1281" s="86">
        <v>0</v>
      </c>
      <c r="L1281" s="86"/>
      <c r="M1281" s="86">
        <v>0</v>
      </c>
      <c r="N1281" s="86"/>
      <c r="O1281" s="86">
        <v>0</v>
      </c>
      <c r="P1281" s="86">
        <v>776313.5000000007</v>
      </c>
      <c r="Q1281" s="86">
        <v>32</v>
      </c>
      <c r="R1281" s="87">
        <f t="shared" si="356"/>
        <v>32</v>
      </c>
      <c r="T1281" s="87">
        <v>0</v>
      </c>
      <c r="U1281" s="89"/>
      <c r="V1281" s="89">
        <v>32</v>
      </c>
      <c r="W1281" s="90"/>
      <c r="X1281" s="90">
        <v>0</v>
      </c>
      <c r="Y1281" s="90">
        <v>836773.49999999977</v>
      </c>
      <c r="Z1281" s="90">
        <v>0</v>
      </c>
      <c r="AA1281" s="90">
        <v>32</v>
      </c>
      <c r="AB1281" s="89">
        <f t="shared" si="357"/>
        <v>18</v>
      </c>
      <c r="AC1281" s="89">
        <f t="shared" si="358"/>
        <v>32</v>
      </c>
      <c r="AD1281" s="89">
        <f t="shared" si="359"/>
        <v>32</v>
      </c>
      <c r="AE1281" s="90">
        <f t="shared" si="360"/>
        <v>18</v>
      </c>
      <c r="AF1281" s="90">
        <f t="shared" si="361"/>
        <v>2012</v>
      </c>
      <c r="AG1281" s="90">
        <f t="shared" si="362"/>
        <v>32</v>
      </c>
      <c r="AH1281" s="90">
        <f t="shared" si="363"/>
        <v>2018</v>
      </c>
      <c r="AI1281" s="90">
        <f t="shared" si="364"/>
        <v>32</v>
      </c>
      <c r="AJ1281" s="90">
        <f t="shared" si="365"/>
        <v>2020</v>
      </c>
      <c r="AK1281" s="90" t="str">
        <f t="shared" si="366"/>
        <v/>
      </c>
      <c r="AL1281" s="91">
        <f>IF(AK1281="Adjust",(_xlfn.XLOOKUP(A1281,'Adj factor'!A:A,'Adj factor'!I:I,,0)*AI1281),'Master DataSheet'!AI1281)</f>
        <v>32</v>
      </c>
      <c r="AM1281" s="91">
        <f t="shared" si="367"/>
        <v>32</v>
      </c>
      <c r="AN1281" s="92" t="str">
        <f t="shared" si="368"/>
        <v>No change</v>
      </c>
      <c r="AS1281" s="94">
        <f t="shared" si="369"/>
        <v>0.25736621425022416</v>
      </c>
      <c r="AT1281" s="94">
        <f t="shared" si="370"/>
        <v>0.41220460548476834</v>
      </c>
      <c r="AU1281" s="94">
        <f t="shared" si="371"/>
        <v>0.38242128843707418</v>
      </c>
    </row>
    <row r="1282" spans="1:47" x14ac:dyDescent="0.3">
      <c r="A1282" s="85" t="str">
        <f>_xlfn.XLOOKUP(B1282,'Country codes &amp; Data sources'!G:G,'Country codes &amp; Data sources'!H:H,,0)</f>
        <v>Comoros</v>
      </c>
      <c r="B1282" s="85" t="s">
        <v>196</v>
      </c>
      <c r="C1282" s="85">
        <v>684564.5</v>
      </c>
      <c r="D1282" s="85" t="s">
        <v>338</v>
      </c>
      <c r="E1282" s="86">
        <v>0</v>
      </c>
      <c r="F1282" s="86">
        <v>699392.50000000035</v>
      </c>
      <c r="G1282" s="86">
        <v>0</v>
      </c>
      <c r="H1282" s="86"/>
      <c r="I1282" s="86">
        <v>0</v>
      </c>
      <c r="J1282" s="86"/>
      <c r="K1282" s="86">
        <v>0</v>
      </c>
      <c r="L1282" s="86"/>
      <c r="M1282" s="86">
        <v>0</v>
      </c>
      <c r="N1282" s="86"/>
      <c r="O1282" s="86">
        <v>0</v>
      </c>
      <c r="P1282" s="86">
        <v>776313.5000000007</v>
      </c>
      <c r="Q1282" s="86">
        <v>0</v>
      </c>
      <c r="R1282" s="87">
        <f t="shared" si="356"/>
        <v>0</v>
      </c>
      <c r="T1282" s="87">
        <v>0</v>
      </c>
      <c r="U1282" s="89"/>
      <c r="V1282" s="89">
        <v>0</v>
      </c>
      <c r="W1282" s="90"/>
      <c r="X1282" s="90">
        <v>0</v>
      </c>
      <c r="Y1282" s="90">
        <v>836773.49999999977</v>
      </c>
      <c r="Z1282" s="90">
        <v>0</v>
      </c>
      <c r="AA1282" s="90">
        <v>0</v>
      </c>
      <c r="AB1282" s="89">
        <f t="shared" si="357"/>
        <v>0</v>
      </c>
      <c r="AC1282" s="89">
        <f t="shared" si="358"/>
        <v>0</v>
      </c>
      <c r="AD1282" s="89">
        <f t="shared" si="359"/>
        <v>0</v>
      </c>
      <c r="AE1282" s="90">
        <f t="shared" si="360"/>
        <v>0</v>
      </c>
      <c r="AF1282" s="90" t="str">
        <f t="shared" si="361"/>
        <v/>
      </c>
      <c r="AG1282" s="90">
        <f t="shared" si="362"/>
        <v>0</v>
      </c>
      <c r="AH1282" s="90" t="str">
        <f t="shared" si="363"/>
        <v/>
      </c>
      <c r="AI1282" s="90">
        <f t="shared" si="364"/>
        <v>0</v>
      </c>
      <c r="AJ1282" s="90" t="str">
        <f t="shared" si="365"/>
        <v/>
      </c>
      <c r="AK1282" s="90" t="str">
        <f t="shared" si="366"/>
        <v/>
      </c>
      <c r="AL1282" s="91">
        <f>IF(AK1282="Adjust",(_xlfn.XLOOKUP(A1282,'Adj factor'!A:A,'Adj factor'!I:I,,0)*AI1282),'Master DataSheet'!AI1282)</f>
        <v>0</v>
      </c>
      <c r="AM1282" s="91">
        <f t="shared" si="367"/>
        <v>0</v>
      </c>
      <c r="AN1282" s="92" t="str">
        <f t="shared" si="368"/>
        <v>No change</v>
      </c>
      <c r="AS1282" s="94">
        <f t="shared" si="369"/>
        <v>0</v>
      </c>
      <c r="AT1282" s="94">
        <f t="shared" si="370"/>
        <v>0</v>
      </c>
      <c r="AU1282" s="94">
        <f t="shared" si="371"/>
        <v>0</v>
      </c>
    </row>
    <row r="1283" spans="1:47" x14ac:dyDescent="0.3">
      <c r="A1283" s="85" t="str">
        <f>_xlfn.XLOOKUP(B1283,'Country codes &amp; Data sources'!G:G,'Country codes &amp; Data sources'!H:H,,0)</f>
        <v>Comoros</v>
      </c>
      <c r="B1283" s="85" t="s">
        <v>196</v>
      </c>
      <c r="C1283" s="85">
        <v>684565.5</v>
      </c>
      <c r="D1283" s="85" t="s">
        <v>339</v>
      </c>
      <c r="E1283" s="86">
        <v>0</v>
      </c>
      <c r="F1283" s="86">
        <v>699392.50000000035</v>
      </c>
      <c r="G1283" s="86">
        <v>0</v>
      </c>
      <c r="H1283" s="86"/>
      <c r="I1283" s="86">
        <v>0</v>
      </c>
      <c r="J1283" s="86"/>
      <c r="K1283" s="86">
        <v>0</v>
      </c>
      <c r="L1283" s="86"/>
      <c r="M1283" s="86">
        <v>0</v>
      </c>
      <c r="N1283" s="86"/>
      <c r="O1283" s="86">
        <v>0</v>
      </c>
      <c r="P1283" s="86">
        <v>776313.5000000007</v>
      </c>
      <c r="Q1283" s="86">
        <v>0</v>
      </c>
      <c r="R1283" s="87">
        <f t="shared" si="356"/>
        <v>0</v>
      </c>
      <c r="T1283" s="87">
        <v>0</v>
      </c>
      <c r="U1283" s="89"/>
      <c r="V1283" s="89">
        <v>0</v>
      </c>
      <c r="W1283" s="90"/>
      <c r="X1283" s="90">
        <v>0</v>
      </c>
      <c r="Y1283" s="90">
        <v>836773.49999999977</v>
      </c>
      <c r="Z1283" s="90">
        <v>0</v>
      </c>
      <c r="AA1283" s="90">
        <v>0</v>
      </c>
      <c r="AB1283" s="89">
        <f t="shared" si="357"/>
        <v>0</v>
      </c>
      <c r="AC1283" s="89">
        <f t="shared" si="358"/>
        <v>0</v>
      </c>
      <c r="AD1283" s="89">
        <f t="shared" si="359"/>
        <v>0</v>
      </c>
      <c r="AE1283" s="90">
        <f t="shared" si="360"/>
        <v>0</v>
      </c>
      <c r="AF1283" s="90" t="str">
        <f t="shared" si="361"/>
        <v/>
      </c>
      <c r="AG1283" s="90">
        <f t="shared" si="362"/>
        <v>0</v>
      </c>
      <c r="AH1283" s="90" t="str">
        <f t="shared" si="363"/>
        <v/>
      </c>
      <c r="AI1283" s="90">
        <f t="shared" si="364"/>
        <v>0</v>
      </c>
      <c r="AJ1283" s="90" t="str">
        <f t="shared" si="365"/>
        <v/>
      </c>
      <c r="AK1283" s="90" t="str">
        <f t="shared" si="366"/>
        <v/>
      </c>
      <c r="AL1283" s="91">
        <f>IF(AK1283="Adjust",(_xlfn.XLOOKUP(A1283,'Adj factor'!A:A,'Adj factor'!I:I,,0)*AI1283),'Master DataSheet'!AI1283)</f>
        <v>0</v>
      </c>
      <c r="AM1283" s="91">
        <f t="shared" si="367"/>
        <v>0</v>
      </c>
      <c r="AN1283" s="92" t="str">
        <f t="shared" si="368"/>
        <v>No change</v>
      </c>
      <c r="AS1283" s="94">
        <f t="shared" si="369"/>
        <v>0</v>
      </c>
      <c r="AT1283" s="94">
        <f t="shared" si="370"/>
        <v>0</v>
      </c>
      <c r="AU1283" s="94">
        <f t="shared" si="371"/>
        <v>0</v>
      </c>
    </row>
    <row r="1284" spans="1:47" x14ac:dyDescent="0.3">
      <c r="A1284" s="85" t="str">
        <f>_xlfn.XLOOKUP(B1284,'Country codes &amp; Data sources'!G:G,'Country codes &amp; Data sources'!H:H,,0)</f>
        <v>Cape-Verde</v>
      </c>
      <c r="B1284" s="85" t="s">
        <v>167</v>
      </c>
      <c r="C1284" s="85">
        <v>533864.00000000012</v>
      </c>
      <c r="D1284" s="85" t="s">
        <v>326</v>
      </c>
      <c r="E1284" s="86">
        <v>260</v>
      </c>
      <c r="F1284" s="86">
        <v>539939.99999999988</v>
      </c>
      <c r="G1284" s="86">
        <v>308</v>
      </c>
      <c r="H1284" s="86">
        <v>546076</v>
      </c>
      <c r="I1284" s="86">
        <v>0</v>
      </c>
      <c r="J1284" s="86">
        <v>552166.00000000012</v>
      </c>
      <c r="K1284" s="86">
        <v>410</v>
      </c>
      <c r="L1284" s="86">
        <v>558394.50000000035</v>
      </c>
      <c r="M1284" s="86">
        <v>408</v>
      </c>
      <c r="N1284" s="86">
        <v>564954.00000000035</v>
      </c>
      <c r="O1284" s="86">
        <v>0</v>
      </c>
      <c r="P1284" s="86">
        <v>571201.5</v>
      </c>
      <c r="Q1284" s="86">
        <v>452</v>
      </c>
      <c r="R1284" s="87">
        <f t="shared" si="356"/>
        <v>452</v>
      </c>
      <c r="S1284" s="87">
        <v>577030.49999999965</v>
      </c>
      <c r="T1284" s="87">
        <v>0</v>
      </c>
      <c r="U1284" s="89">
        <v>582640.00000000023</v>
      </c>
      <c r="V1284" s="89">
        <v>0</v>
      </c>
      <c r="W1284" s="90">
        <v>587925</v>
      </c>
      <c r="X1284" s="90">
        <v>0</v>
      </c>
      <c r="Y1284" s="90">
        <v>593149.50000000012</v>
      </c>
      <c r="Z1284" s="90">
        <v>2644</v>
      </c>
      <c r="AA1284" s="90">
        <v>452</v>
      </c>
      <c r="AB1284" s="89">
        <f t="shared" si="357"/>
        <v>410</v>
      </c>
      <c r="AC1284" s="89">
        <f t="shared" si="358"/>
        <v>452</v>
      </c>
      <c r="AD1284" s="89">
        <f t="shared" si="359"/>
        <v>2644</v>
      </c>
      <c r="AE1284" s="90">
        <f t="shared" si="360"/>
        <v>308</v>
      </c>
      <c r="AF1284" s="90">
        <f t="shared" si="361"/>
        <v>2013</v>
      </c>
      <c r="AG1284" s="90">
        <f t="shared" si="362"/>
        <v>452</v>
      </c>
      <c r="AH1284" s="90">
        <f t="shared" si="363"/>
        <v>2018</v>
      </c>
      <c r="AI1284" s="90">
        <f t="shared" si="364"/>
        <v>2644</v>
      </c>
      <c r="AJ1284" s="90">
        <f t="shared" si="365"/>
        <v>2022</v>
      </c>
      <c r="AK1284" s="90" t="str">
        <f t="shared" si="366"/>
        <v/>
      </c>
      <c r="AL1284" s="91">
        <f>IF(AK1284="Adjust",(_xlfn.XLOOKUP(A1284,'Adj factor'!A:A,'Adj factor'!I:I,,0)*AI1284),'Master DataSheet'!AI1284)</f>
        <v>2644</v>
      </c>
      <c r="AM1284" s="91">
        <f t="shared" si="367"/>
        <v>2644</v>
      </c>
      <c r="AN1284" s="92" t="str">
        <f t="shared" si="368"/>
        <v>Increasing</v>
      </c>
      <c r="AS1284" s="94">
        <f t="shared" si="369"/>
        <v>5.7043375189835919</v>
      </c>
      <c r="AT1284" s="94">
        <f t="shared" si="370"/>
        <v>7.913144485790041</v>
      </c>
      <c r="AU1284" s="94">
        <f t="shared" si="371"/>
        <v>44.57560867875636</v>
      </c>
    </row>
    <row r="1285" spans="1:47" x14ac:dyDescent="0.3">
      <c r="A1285" s="85" t="str">
        <f>_xlfn.XLOOKUP(B1285,'Country codes &amp; Data sources'!G:G,'Country codes &amp; Data sources'!H:H,,0)</f>
        <v>Cape-Verde</v>
      </c>
      <c r="B1285" s="85" t="s">
        <v>167</v>
      </c>
      <c r="C1285" s="85">
        <v>533865</v>
      </c>
      <c r="D1285" s="85" t="s">
        <v>327</v>
      </c>
      <c r="E1285" s="86">
        <v>0</v>
      </c>
      <c r="F1285" s="86">
        <v>539939.99999999988</v>
      </c>
      <c r="G1285" s="86">
        <v>0</v>
      </c>
      <c r="H1285" s="86"/>
      <c r="I1285" s="86">
        <v>0</v>
      </c>
      <c r="J1285" s="86"/>
      <c r="K1285" s="86">
        <v>0</v>
      </c>
      <c r="L1285" s="86"/>
      <c r="M1285" s="86">
        <v>0</v>
      </c>
      <c r="N1285" s="86"/>
      <c r="O1285" s="86">
        <v>0</v>
      </c>
      <c r="P1285" s="86">
        <v>571201.5</v>
      </c>
      <c r="Q1285" s="86">
        <v>165</v>
      </c>
      <c r="R1285" s="87">
        <f t="shared" si="356"/>
        <v>165</v>
      </c>
      <c r="T1285" s="87">
        <v>0</v>
      </c>
      <c r="U1285" s="89"/>
      <c r="V1285" s="89">
        <v>0</v>
      </c>
      <c r="W1285" s="90"/>
      <c r="X1285" s="90">
        <v>0</v>
      </c>
      <c r="Y1285" s="90">
        <v>593149.50000000012</v>
      </c>
      <c r="Z1285" s="90">
        <v>187</v>
      </c>
      <c r="AA1285" s="90">
        <v>165</v>
      </c>
      <c r="AB1285" s="89">
        <f t="shared" si="357"/>
        <v>0</v>
      </c>
      <c r="AC1285" s="89">
        <f t="shared" si="358"/>
        <v>165</v>
      </c>
      <c r="AD1285" s="89">
        <f t="shared" si="359"/>
        <v>187</v>
      </c>
      <c r="AE1285" s="90">
        <f t="shared" si="360"/>
        <v>0</v>
      </c>
      <c r="AF1285" s="90" t="str">
        <f t="shared" si="361"/>
        <v/>
      </c>
      <c r="AG1285" s="90">
        <f t="shared" si="362"/>
        <v>165</v>
      </c>
      <c r="AH1285" s="90">
        <f t="shared" si="363"/>
        <v>2018</v>
      </c>
      <c r="AI1285" s="90">
        <f t="shared" si="364"/>
        <v>187</v>
      </c>
      <c r="AJ1285" s="90">
        <f t="shared" si="365"/>
        <v>2022</v>
      </c>
      <c r="AK1285" s="90" t="str">
        <f t="shared" si="366"/>
        <v/>
      </c>
      <c r="AL1285" s="91">
        <f>IF(AK1285="Adjust",(_xlfn.XLOOKUP(A1285,'Adj factor'!A:A,'Adj factor'!I:I,,0)*AI1285),'Master DataSheet'!AI1285)</f>
        <v>187</v>
      </c>
      <c r="AM1285" s="91">
        <f t="shared" si="367"/>
        <v>187</v>
      </c>
      <c r="AN1285" s="92" t="str">
        <f t="shared" si="368"/>
        <v>Increasing</v>
      </c>
      <c r="AS1285" s="94">
        <f t="shared" si="369"/>
        <v>0</v>
      </c>
      <c r="AT1285" s="94">
        <f t="shared" si="370"/>
        <v>2.8886478764499044</v>
      </c>
      <c r="AU1285" s="94">
        <f t="shared" si="371"/>
        <v>3.1526621871888953</v>
      </c>
    </row>
    <row r="1286" spans="1:47" x14ac:dyDescent="0.3">
      <c r="A1286" s="85" t="str">
        <f>_xlfn.XLOOKUP(B1286,'Country codes &amp; Data sources'!G:G,'Country codes &amp; Data sources'!H:H,,0)</f>
        <v>Cape-Verde</v>
      </c>
      <c r="B1286" s="85" t="s">
        <v>167</v>
      </c>
      <c r="C1286" s="85">
        <v>533866</v>
      </c>
      <c r="D1286" s="85" t="s">
        <v>328</v>
      </c>
      <c r="E1286" s="86">
        <v>0</v>
      </c>
      <c r="F1286" s="86">
        <v>539939.99999999988</v>
      </c>
      <c r="G1286" s="86">
        <v>0</v>
      </c>
      <c r="H1286" s="86"/>
      <c r="I1286" s="86">
        <v>0</v>
      </c>
      <c r="J1286" s="86"/>
      <c r="K1286" s="86">
        <v>0</v>
      </c>
      <c r="L1286" s="86"/>
      <c r="M1286" s="86">
        <v>0</v>
      </c>
      <c r="N1286" s="86"/>
      <c r="O1286" s="86">
        <v>0</v>
      </c>
      <c r="P1286" s="86">
        <v>571201.5</v>
      </c>
      <c r="Q1286" s="86">
        <v>287</v>
      </c>
      <c r="R1286" s="87">
        <f t="shared" si="356"/>
        <v>287</v>
      </c>
      <c r="T1286" s="87">
        <v>0</v>
      </c>
      <c r="U1286" s="89"/>
      <c r="V1286" s="89">
        <v>0</v>
      </c>
      <c r="W1286" s="90"/>
      <c r="X1286" s="90">
        <v>0</v>
      </c>
      <c r="Y1286" s="90">
        <v>593149.50000000012</v>
      </c>
      <c r="Z1286" s="90">
        <v>108</v>
      </c>
      <c r="AA1286" s="90">
        <v>287</v>
      </c>
      <c r="AB1286" s="89">
        <f t="shared" si="357"/>
        <v>0</v>
      </c>
      <c r="AC1286" s="89">
        <f t="shared" si="358"/>
        <v>287</v>
      </c>
      <c r="AD1286" s="89">
        <f t="shared" si="359"/>
        <v>108</v>
      </c>
      <c r="AE1286" s="90">
        <f t="shared" si="360"/>
        <v>0</v>
      </c>
      <c r="AF1286" s="90" t="str">
        <f t="shared" si="361"/>
        <v/>
      </c>
      <c r="AG1286" s="90">
        <f t="shared" si="362"/>
        <v>287</v>
      </c>
      <c r="AH1286" s="90">
        <f t="shared" si="363"/>
        <v>2018</v>
      </c>
      <c r="AI1286" s="90">
        <f t="shared" si="364"/>
        <v>108</v>
      </c>
      <c r="AJ1286" s="90">
        <f t="shared" si="365"/>
        <v>2022</v>
      </c>
      <c r="AK1286" s="90" t="str">
        <f t="shared" si="366"/>
        <v>Adjust</v>
      </c>
      <c r="AL1286" s="91">
        <f>IF(AK1286="Adjust",(_xlfn.XLOOKUP(A1286,'Adj factor'!A:A,'Adj factor'!I:I,,0)*AI1286),'Master DataSheet'!AI1286)</f>
        <v>134.29007633587787</v>
      </c>
      <c r="AM1286" s="91">
        <f t="shared" si="367"/>
        <v>287</v>
      </c>
      <c r="AN1286" s="92" t="str">
        <f t="shared" si="368"/>
        <v>Decreasing</v>
      </c>
      <c r="AS1286" s="94">
        <f t="shared" si="369"/>
        <v>0</v>
      </c>
      <c r="AT1286" s="94">
        <f t="shared" si="370"/>
        <v>5.0244966093401366</v>
      </c>
      <c r="AU1286" s="94">
        <f t="shared" si="371"/>
        <v>4.8385777953112994</v>
      </c>
    </row>
    <row r="1287" spans="1:47" x14ac:dyDescent="0.3">
      <c r="A1287" s="85" t="str">
        <f>_xlfn.XLOOKUP(B1287,'Country codes &amp; Data sources'!G:G,'Country codes &amp; Data sources'!H:H,,0)</f>
        <v>Cape-Verde</v>
      </c>
      <c r="B1287" s="85" t="s">
        <v>167</v>
      </c>
      <c r="C1287" s="85">
        <v>533867</v>
      </c>
      <c r="D1287" s="85" t="s">
        <v>329</v>
      </c>
      <c r="E1287" s="86">
        <v>551</v>
      </c>
      <c r="F1287" s="86">
        <v>539939.99999999988</v>
      </c>
      <c r="G1287" s="86">
        <v>403</v>
      </c>
      <c r="H1287" s="86"/>
      <c r="I1287" s="86">
        <v>476</v>
      </c>
      <c r="J1287" s="86"/>
      <c r="K1287" s="86">
        <v>498</v>
      </c>
      <c r="L1287" s="86"/>
      <c r="M1287" s="86">
        <v>612</v>
      </c>
      <c r="N1287" s="86"/>
      <c r="O1287" s="86">
        <v>688</v>
      </c>
      <c r="P1287" s="86">
        <v>571201.5</v>
      </c>
      <c r="Q1287" s="86">
        <v>706</v>
      </c>
      <c r="R1287" s="87">
        <f t="shared" si="356"/>
        <v>768</v>
      </c>
      <c r="T1287" s="87">
        <v>0</v>
      </c>
      <c r="U1287" s="89"/>
      <c r="V1287" s="89">
        <v>0</v>
      </c>
      <c r="W1287" s="90"/>
      <c r="X1287" s="90">
        <v>0</v>
      </c>
      <c r="Y1287" s="90">
        <v>593149.50000000012</v>
      </c>
      <c r="Z1287" s="90">
        <v>941</v>
      </c>
      <c r="AA1287" s="90">
        <v>768</v>
      </c>
      <c r="AB1287" s="89">
        <f t="shared" si="357"/>
        <v>551</v>
      </c>
      <c r="AC1287" s="89">
        <f t="shared" si="358"/>
        <v>706</v>
      </c>
      <c r="AD1287" s="89">
        <f t="shared" si="359"/>
        <v>941</v>
      </c>
      <c r="AE1287" s="90">
        <f t="shared" si="360"/>
        <v>403</v>
      </c>
      <c r="AF1287" s="90">
        <f t="shared" si="361"/>
        <v>2013</v>
      </c>
      <c r="AG1287" s="90">
        <f t="shared" si="362"/>
        <v>768</v>
      </c>
      <c r="AH1287" s="90" t="str">
        <f t="shared" si="363"/>
        <v>2018 (triag)</v>
      </c>
      <c r="AI1287" s="90">
        <f t="shared" si="364"/>
        <v>941</v>
      </c>
      <c r="AJ1287" s="90">
        <f t="shared" si="365"/>
        <v>2022</v>
      </c>
      <c r="AK1287" s="90" t="str">
        <f t="shared" si="366"/>
        <v/>
      </c>
      <c r="AL1287" s="91">
        <f>IF(AK1287="Adjust",(_xlfn.XLOOKUP(A1287,'Adj factor'!A:A,'Adj factor'!I:I,,0)*AI1287),'Master DataSheet'!AI1287)</f>
        <v>941</v>
      </c>
      <c r="AM1287" s="91">
        <f t="shared" si="367"/>
        <v>941</v>
      </c>
      <c r="AN1287" s="92" t="str">
        <f t="shared" si="368"/>
        <v>Increasing</v>
      </c>
      <c r="AS1287" s="94">
        <f t="shared" si="369"/>
        <v>7.4637922732155442</v>
      </c>
      <c r="AT1287" s="94">
        <f t="shared" si="370"/>
        <v>13.445342843112282</v>
      </c>
      <c r="AU1287" s="94">
        <f t="shared" si="371"/>
        <v>15.86446587243182</v>
      </c>
    </row>
    <row r="1288" spans="1:47" x14ac:dyDescent="0.3">
      <c r="A1288" s="85" t="str">
        <f>_xlfn.XLOOKUP(B1288,'Country codes &amp; Data sources'!G:G,'Country codes &amp; Data sources'!H:H,,0)</f>
        <v>Cape-Verde</v>
      </c>
      <c r="B1288" s="85" t="s">
        <v>167</v>
      </c>
      <c r="C1288" s="85">
        <v>533868</v>
      </c>
      <c r="D1288" s="85" t="s">
        <v>330</v>
      </c>
      <c r="E1288" s="86">
        <v>0</v>
      </c>
      <c r="F1288" s="86">
        <v>539939.99999999988</v>
      </c>
      <c r="G1288" s="86">
        <v>0</v>
      </c>
      <c r="H1288" s="86"/>
      <c r="I1288" s="86">
        <v>0</v>
      </c>
      <c r="J1288" s="86"/>
      <c r="K1288" s="86">
        <v>0</v>
      </c>
      <c r="L1288" s="86"/>
      <c r="M1288" s="86">
        <v>0</v>
      </c>
      <c r="N1288" s="86"/>
      <c r="O1288" s="86">
        <v>0</v>
      </c>
      <c r="P1288" s="86">
        <v>571201.5</v>
      </c>
      <c r="Q1288" s="86">
        <v>0</v>
      </c>
      <c r="R1288" s="87">
        <f t="shared" si="356"/>
        <v>243</v>
      </c>
      <c r="T1288" s="87">
        <v>0</v>
      </c>
      <c r="U1288" s="89"/>
      <c r="V1288" s="89">
        <v>0</v>
      </c>
      <c r="W1288" s="90"/>
      <c r="X1288" s="90">
        <v>0</v>
      </c>
      <c r="Y1288" s="90">
        <v>593149.50000000012</v>
      </c>
      <c r="Z1288" s="90">
        <v>846</v>
      </c>
      <c r="AA1288" s="90">
        <v>243</v>
      </c>
      <c r="AB1288" s="89">
        <f t="shared" si="357"/>
        <v>0</v>
      </c>
      <c r="AC1288" s="89">
        <f t="shared" si="358"/>
        <v>0</v>
      </c>
      <c r="AD1288" s="89">
        <f t="shared" si="359"/>
        <v>846</v>
      </c>
      <c r="AE1288" s="90">
        <f t="shared" si="360"/>
        <v>0</v>
      </c>
      <c r="AF1288" s="90" t="str">
        <f t="shared" si="361"/>
        <v/>
      </c>
      <c r="AG1288" s="90">
        <f t="shared" si="362"/>
        <v>243</v>
      </c>
      <c r="AH1288" s="90" t="str">
        <f t="shared" si="363"/>
        <v>2018 (triag)</v>
      </c>
      <c r="AI1288" s="90">
        <f t="shared" si="364"/>
        <v>846</v>
      </c>
      <c r="AJ1288" s="90">
        <f t="shared" si="365"/>
        <v>2022</v>
      </c>
      <c r="AK1288" s="90" t="str">
        <f t="shared" si="366"/>
        <v/>
      </c>
      <c r="AL1288" s="91">
        <f>IF(AK1288="Adjust",(_xlfn.XLOOKUP(A1288,'Adj factor'!A:A,'Adj factor'!I:I,,0)*AI1288),'Master DataSheet'!AI1288)</f>
        <v>846</v>
      </c>
      <c r="AM1288" s="91">
        <f t="shared" si="367"/>
        <v>846</v>
      </c>
      <c r="AN1288" s="92" t="str">
        <f t="shared" si="368"/>
        <v>Increasing</v>
      </c>
      <c r="AS1288" s="94">
        <f t="shared" si="369"/>
        <v>0</v>
      </c>
      <c r="AT1288" s="94">
        <f t="shared" si="370"/>
        <v>4.2541905089534957</v>
      </c>
      <c r="AU1288" s="94">
        <f t="shared" si="371"/>
        <v>14.262846044715538</v>
      </c>
    </row>
    <row r="1289" spans="1:47" x14ac:dyDescent="0.3">
      <c r="A1289" s="85" t="str">
        <f>_xlfn.XLOOKUP(B1289,'Country codes &amp; Data sources'!G:G,'Country codes &amp; Data sources'!H:H,,0)</f>
        <v>Cape-Verde</v>
      </c>
      <c r="B1289" s="85" t="s">
        <v>167</v>
      </c>
      <c r="C1289" s="85">
        <v>533869</v>
      </c>
      <c r="D1289" s="85" t="s">
        <v>331</v>
      </c>
      <c r="E1289" s="86">
        <v>0</v>
      </c>
      <c r="F1289" s="86">
        <v>539939.99999999988</v>
      </c>
      <c r="G1289" s="86">
        <v>0</v>
      </c>
      <c r="H1289" s="86"/>
      <c r="I1289" s="86">
        <v>0</v>
      </c>
      <c r="J1289" s="86"/>
      <c r="K1289" s="86">
        <v>0</v>
      </c>
      <c r="L1289" s="86"/>
      <c r="M1289" s="86">
        <v>0</v>
      </c>
      <c r="N1289" s="86"/>
      <c r="O1289" s="86">
        <v>0</v>
      </c>
      <c r="P1289" s="86">
        <v>571201.5</v>
      </c>
      <c r="Q1289" s="86">
        <v>0</v>
      </c>
      <c r="R1289" s="87">
        <f t="shared" si="356"/>
        <v>525</v>
      </c>
      <c r="T1289" s="87">
        <v>0</v>
      </c>
      <c r="U1289" s="89"/>
      <c r="V1289" s="89">
        <v>0</v>
      </c>
      <c r="W1289" s="90"/>
      <c r="X1289" s="90">
        <v>0</v>
      </c>
      <c r="Y1289" s="90">
        <v>593149.50000000012</v>
      </c>
      <c r="Z1289" s="90">
        <v>95</v>
      </c>
      <c r="AA1289" s="90">
        <v>525</v>
      </c>
      <c r="AB1289" s="89">
        <f t="shared" si="357"/>
        <v>0</v>
      </c>
      <c r="AC1289" s="89">
        <f t="shared" si="358"/>
        <v>0</v>
      </c>
      <c r="AD1289" s="89">
        <f t="shared" si="359"/>
        <v>95</v>
      </c>
      <c r="AE1289" s="90">
        <f t="shared" si="360"/>
        <v>0</v>
      </c>
      <c r="AF1289" s="90" t="str">
        <f t="shared" si="361"/>
        <v/>
      </c>
      <c r="AG1289" s="90">
        <f t="shared" si="362"/>
        <v>525</v>
      </c>
      <c r="AH1289" s="90" t="str">
        <f t="shared" si="363"/>
        <v>2018 (triag)</v>
      </c>
      <c r="AI1289" s="90">
        <f t="shared" si="364"/>
        <v>95</v>
      </c>
      <c r="AJ1289" s="90">
        <f t="shared" si="365"/>
        <v>2022</v>
      </c>
      <c r="AK1289" s="90" t="str">
        <f t="shared" si="366"/>
        <v>Adjust</v>
      </c>
      <c r="AL1289" s="91">
        <f>IF(AK1289="Adjust",(_xlfn.XLOOKUP(A1289,'Adj factor'!A:A,'Adj factor'!I:I,,0)*AI1289),'Master DataSheet'!AI1289)</f>
        <v>118.12553011026294</v>
      </c>
      <c r="AM1289" s="91">
        <f t="shared" si="367"/>
        <v>525</v>
      </c>
      <c r="AN1289" s="92" t="str">
        <f t="shared" si="368"/>
        <v>Decreasing</v>
      </c>
      <c r="AS1289" s="94">
        <f t="shared" si="369"/>
        <v>0</v>
      </c>
      <c r="AT1289" s="94">
        <f t="shared" si="370"/>
        <v>9.1911523341587866</v>
      </c>
      <c r="AU1289" s="94">
        <f t="shared" si="371"/>
        <v>8.8510569426426198</v>
      </c>
    </row>
    <row r="1290" spans="1:47" x14ac:dyDescent="0.3">
      <c r="A1290" s="85" t="str">
        <f>_xlfn.XLOOKUP(B1290,'Country codes &amp; Data sources'!G:G,'Country codes &amp; Data sources'!H:H,,0)</f>
        <v>Cape-Verde</v>
      </c>
      <c r="B1290" s="85" t="s">
        <v>167</v>
      </c>
      <c r="C1290" s="85">
        <v>533870</v>
      </c>
      <c r="D1290" s="85" t="s">
        <v>332</v>
      </c>
      <c r="E1290" s="86">
        <v>0</v>
      </c>
      <c r="F1290" s="86">
        <v>539939.99999999988</v>
      </c>
      <c r="G1290" s="86">
        <v>0</v>
      </c>
      <c r="H1290" s="86"/>
      <c r="I1290" s="86">
        <v>0</v>
      </c>
      <c r="J1290" s="86"/>
      <c r="K1290" s="86">
        <v>0</v>
      </c>
      <c r="L1290" s="86"/>
      <c r="M1290" s="86">
        <v>0</v>
      </c>
      <c r="N1290" s="86"/>
      <c r="O1290" s="86">
        <v>0</v>
      </c>
      <c r="P1290" s="86">
        <v>571201.5</v>
      </c>
      <c r="Q1290" s="86">
        <v>0</v>
      </c>
      <c r="R1290" s="87">
        <f t="shared" si="356"/>
        <v>27</v>
      </c>
      <c r="T1290" s="87">
        <v>0</v>
      </c>
      <c r="U1290" s="89"/>
      <c r="V1290" s="89">
        <v>0</v>
      </c>
      <c r="W1290" s="90"/>
      <c r="X1290" s="90">
        <v>0</v>
      </c>
      <c r="Y1290" s="90">
        <v>593149.50000000012</v>
      </c>
      <c r="Z1290" s="90">
        <v>0</v>
      </c>
      <c r="AA1290" s="90">
        <v>27</v>
      </c>
      <c r="AB1290" s="89">
        <f t="shared" si="357"/>
        <v>0</v>
      </c>
      <c r="AC1290" s="89">
        <f t="shared" si="358"/>
        <v>0</v>
      </c>
      <c r="AD1290" s="89">
        <f t="shared" si="359"/>
        <v>0</v>
      </c>
      <c r="AE1290" s="90">
        <f t="shared" si="360"/>
        <v>0</v>
      </c>
      <c r="AF1290" s="90" t="str">
        <f t="shared" si="361"/>
        <v/>
      </c>
      <c r="AG1290" s="90">
        <f t="shared" si="362"/>
        <v>27</v>
      </c>
      <c r="AH1290" s="90" t="str">
        <f t="shared" si="363"/>
        <v>2018 (triag)</v>
      </c>
      <c r="AI1290" s="90">
        <f t="shared" si="364"/>
        <v>27</v>
      </c>
      <c r="AJ1290" s="90" t="str">
        <f t="shared" si="365"/>
        <v>2018 (triag)</v>
      </c>
      <c r="AK1290" s="90" t="str">
        <f t="shared" si="366"/>
        <v/>
      </c>
      <c r="AL1290" s="91">
        <f>IF(AK1290="Adjust",(_xlfn.XLOOKUP(A1290,'Adj factor'!A:A,'Adj factor'!I:I,,0)*AI1290),'Master DataSheet'!AI1290)</f>
        <v>27</v>
      </c>
      <c r="AM1290" s="91">
        <f t="shared" si="367"/>
        <v>27</v>
      </c>
      <c r="AN1290" s="92" t="str">
        <f t="shared" si="368"/>
        <v>No change</v>
      </c>
      <c r="AS1290" s="94">
        <f t="shared" si="369"/>
        <v>0</v>
      </c>
      <c r="AT1290" s="94">
        <f t="shared" si="370"/>
        <v>0.47268783432816613</v>
      </c>
      <c r="AU1290" s="94">
        <f t="shared" si="371"/>
        <v>0.45519721419304904</v>
      </c>
    </row>
    <row r="1291" spans="1:47" x14ac:dyDescent="0.3">
      <c r="A1291" s="85" t="str">
        <f>_xlfn.XLOOKUP(B1291,'Country codes &amp; Data sources'!G:G,'Country codes &amp; Data sources'!H:H,,0)</f>
        <v>Cape-Verde</v>
      </c>
      <c r="B1291" s="85" t="s">
        <v>167</v>
      </c>
      <c r="C1291" s="85">
        <v>533871</v>
      </c>
      <c r="D1291" s="85" t="s">
        <v>333</v>
      </c>
      <c r="E1291" s="86">
        <v>0</v>
      </c>
      <c r="F1291" s="86">
        <v>539939.99999999988</v>
      </c>
      <c r="G1291" s="86">
        <v>0</v>
      </c>
      <c r="H1291" s="86"/>
      <c r="I1291" s="86">
        <v>0</v>
      </c>
      <c r="J1291" s="86"/>
      <c r="K1291" s="86">
        <v>0</v>
      </c>
      <c r="L1291" s="86"/>
      <c r="M1291" s="86">
        <v>0</v>
      </c>
      <c r="N1291" s="86"/>
      <c r="O1291" s="86">
        <v>0</v>
      </c>
      <c r="P1291" s="86">
        <v>571201.5</v>
      </c>
      <c r="Q1291" s="86">
        <v>0</v>
      </c>
      <c r="R1291" s="87">
        <f t="shared" si="356"/>
        <v>7</v>
      </c>
      <c r="T1291" s="87">
        <v>0</v>
      </c>
      <c r="U1291" s="89"/>
      <c r="V1291" s="89">
        <v>0</v>
      </c>
      <c r="W1291" s="90"/>
      <c r="X1291" s="90">
        <v>0</v>
      </c>
      <c r="Y1291" s="90">
        <v>593149.50000000012</v>
      </c>
      <c r="Z1291" s="90">
        <v>0</v>
      </c>
      <c r="AA1291" s="90">
        <v>7</v>
      </c>
      <c r="AB1291" s="89">
        <f t="shared" si="357"/>
        <v>0</v>
      </c>
      <c r="AC1291" s="89">
        <f t="shared" si="358"/>
        <v>0</v>
      </c>
      <c r="AD1291" s="89">
        <f t="shared" si="359"/>
        <v>0</v>
      </c>
      <c r="AE1291" s="90">
        <f t="shared" si="360"/>
        <v>0</v>
      </c>
      <c r="AF1291" s="90" t="str">
        <f t="shared" si="361"/>
        <v/>
      </c>
      <c r="AG1291" s="90">
        <f t="shared" si="362"/>
        <v>7</v>
      </c>
      <c r="AH1291" s="90" t="str">
        <f t="shared" si="363"/>
        <v>2018 (triag)</v>
      </c>
      <c r="AI1291" s="90">
        <f t="shared" si="364"/>
        <v>7</v>
      </c>
      <c r="AJ1291" s="90" t="str">
        <f t="shared" si="365"/>
        <v>2018 (triag)</v>
      </c>
      <c r="AK1291" s="90" t="str">
        <f t="shared" si="366"/>
        <v/>
      </c>
      <c r="AL1291" s="91">
        <f>IF(AK1291="Adjust",(_xlfn.XLOOKUP(A1291,'Adj factor'!A:A,'Adj factor'!I:I,,0)*AI1291),'Master DataSheet'!AI1291)</f>
        <v>7</v>
      </c>
      <c r="AM1291" s="91">
        <f t="shared" si="367"/>
        <v>7</v>
      </c>
      <c r="AN1291" s="92" t="str">
        <f t="shared" si="368"/>
        <v>No change</v>
      </c>
      <c r="AS1291" s="94">
        <f t="shared" si="369"/>
        <v>0</v>
      </c>
      <c r="AT1291" s="94">
        <f t="shared" si="370"/>
        <v>0.12254869778878381</v>
      </c>
      <c r="AU1291" s="94">
        <f t="shared" si="371"/>
        <v>0.11801409256856828</v>
      </c>
    </row>
    <row r="1292" spans="1:47" x14ac:dyDescent="0.3">
      <c r="A1292" s="85" t="str">
        <f>_xlfn.XLOOKUP(B1292,'Country codes &amp; Data sources'!G:G,'Country codes &amp; Data sources'!H:H,,0)</f>
        <v>Cape-Verde</v>
      </c>
      <c r="B1292" s="85" t="s">
        <v>167</v>
      </c>
      <c r="C1292" s="85">
        <v>533872</v>
      </c>
      <c r="D1292" s="85" t="s">
        <v>334</v>
      </c>
      <c r="E1292" s="86">
        <v>0</v>
      </c>
      <c r="F1292" s="86">
        <v>539939.99999999988</v>
      </c>
      <c r="G1292" s="86">
        <v>0</v>
      </c>
      <c r="H1292" s="86"/>
      <c r="I1292" s="86">
        <v>0</v>
      </c>
      <c r="J1292" s="86"/>
      <c r="K1292" s="86">
        <v>0</v>
      </c>
      <c r="L1292" s="86"/>
      <c r="M1292" s="86">
        <v>0</v>
      </c>
      <c r="N1292" s="86"/>
      <c r="O1292" s="86">
        <v>0</v>
      </c>
      <c r="P1292" s="86">
        <v>571201.5</v>
      </c>
      <c r="Q1292" s="86">
        <v>0</v>
      </c>
      <c r="R1292" s="87">
        <f t="shared" si="356"/>
        <v>20</v>
      </c>
      <c r="T1292" s="87">
        <v>0</v>
      </c>
      <c r="U1292" s="89"/>
      <c r="V1292" s="89">
        <v>0</v>
      </c>
      <c r="W1292" s="90"/>
      <c r="X1292" s="90">
        <v>0</v>
      </c>
      <c r="Y1292" s="90">
        <v>593149.50000000012</v>
      </c>
      <c r="Z1292" s="90">
        <v>0</v>
      </c>
      <c r="AA1292" s="90">
        <v>20</v>
      </c>
      <c r="AB1292" s="89">
        <f t="shared" si="357"/>
        <v>0</v>
      </c>
      <c r="AC1292" s="89">
        <f t="shared" si="358"/>
        <v>0</v>
      </c>
      <c r="AD1292" s="89">
        <f t="shared" si="359"/>
        <v>0</v>
      </c>
      <c r="AE1292" s="90">
        <f t="shared" si="360"/>
        <v>0</v>
      </c>
      <c r="AF1292" s="90" t="str">
        <f t="shared" si="361"/>
        <v/>
      </c>
      <c r="AG1292" s="90">
        <f t="shared" si="362"/>
        <v>20</v>
      </c>
      <c r="AH1292" s="90" t="str">
        <f t="shared" si="363"/>
        <v>2018 (triag)</v>
      </c>
      <c r="AI1292" s="90">
        <f t="shared" si="364"/>
        <v>20</v>
      </c>
      <c r="AJ1292" s="90" t="str">
        <f t="shared" si="365"/>
        <v>2018 (triag)</v>
      </c>
      <c r="AK1292" s="90" t="str">
        <f t="shared" si="366"/>
        <v/>
      </c>
      <c r="AL1292" s="91">
        <f>IF(AK1292="Adjust",(_xlfn.XLOOKUP(A1292,'Adj factor'!A:A,'Adj factor'!I:I,,0)*AI1292),'Master DataSheet'!AI1292)</f>
        <v>20</v>
      </c>
      <c r="AM1292" s="91">
        <f t="shared" si="367"/>
        <v>20</v>
      </c>
      <c r="AN1292" s="92" t="str">
        <f t="shared" si="368"/>
        <v>No change</v>
      </c>
      <c r="AS1292" s="94">
        <f t="shared" si="369"/>
        <v>0</v>
      </c>
      <c r="AT1292" s="94">
        <f t="shared" si="370"/>
        <v>0.35013913653938233</v>
      </c>
      <c r="AU1292" s="94">
        <f t="shared" si="371"/>
        <v>0.33718312162448077</v>
      </c>
    </row>
    <row r="1293" spans="1:47" x14ac:dyDescent="0.3">
      <c r="A1293" s="85" t="str">
        <f>_xlfn.XLOOKUP(B1293,'Country codes &amp; Data sources'!G:G,'Country codes &amp; Data sources'!H:H,,0)</f>
        <v>Cape-Verde</v>
      </c>
      <c r="B1293" s="85" t="s">
        <v>167</v>
      </c>
      <c r="C1293" s="85">
        <v>533873</v>
      </c>
      <c r="D1293" s="85" t="s">
        <v>335</v>
      </c>
      <c r="E1293" s="86">
        <v>0</v>
      </c>
      <c r="F1293" s="86">
        <v>539939.99999999988</v>
      </c>
      <c r="G1293" s="86">
        <v>0</v>
      </c>
      <c r="H1293" s="86"/>
      <c r="I1293" s="86">
        <v>0</v>
      </c>
      <c r="J1293" s="86"/>
      <c r="K1293" s="86">
        <v>0</v>
      </c>
      <c r="L1293" s="86"/>
      <c r="M1293" s="86">
        <v>4</v>
      </c>
      <c r="N1293" s="86"/>
      <c r="O1293" s="86">
        <v>0</v>
      </c>
      <c r="P1293" s="86">
        <v>571201.5</v>
      </c>
      <c r="Q1293" s="86">
        <v>172</v>
      </c>
      <c r="R1293" s="87">
        <f t="shared" si="356"/>
        <v>172</v>
      </c>
      <c r="T1293" s="87">
        <v>0</v>
      </c>
      <c r="U1293" s="89"/>
      <c r="V1293" s="89">
        <v>0</v>
      </c>
      <c r="W1293" s="90"/>
      <c r="X1293" s="90">
        <v>0</v>
      </c>
      <c r="Y1293" s="90">
        <v>593149.50000000012</v>
      </c>
      <c r="Z1293" s="90">
        <v>23</v>
      </c>
      <c r="AA1293" s="90">
        <v>80</v>
      </c>
      <c r="AB1293" s="89">
        <f t="shared" si="357"/>
        <v>0</v>
      </c>
      <c r="AC1293" s="89">
        <f t="shared" si="358"/>
        <v>172</v>
      </c>
      <c r="AD1293" s="89">
        <f t="shared" si="359"/>
        <v>23</v>
      </c>
      <c r="AE1293" s="90">
        <f t="shared" si="360"/>
        <v>0</v>
      </c>
      <c r="AF1293" s="90" t="str">
        <f t="shared" si="361"/>
        <v/>
      </c>
      <c r="AG1293" s="90">
        <f t="shared" si="362"/>
        <v>172</v>
      </c>
      <c r="AH1293" s="90">
        <f t="shared" si="363"/>
        <v>2018</v>
      </c>
      <c r="AI1293" s="90">
        <f t="shared" si="364"/>
        <v>23</v>
      </c>
      <c r="AJ1293" s="90">
        <f t="shared" si="365"/>
        <v>2022</v>
      </c>
      <c r="AK1293" s="90" t="str">
        <f t="shared" si="366"/>
        <v>Adjust</v>
      </c>
      <c r="AL1293" s="91">
        <f>IF(AK1293="Adjust",(_xlfn.XLOOKUP(A1293,'Adj factor'!A:A,'Adj factor'!I:I,,0)*AI1293),'Master DataSheet'!AI1293)</f>
        <v>28.59881255301103</v>
      </c>
      <c r="AM1293" s="91">
        <f t="shared" si="367"/>
        <v>172</v>
      </c>
      <c r="AN1293" s="92" t="str">
        <f t="shared" si="368"/>
        <v>Decreasing</v>
      </c>
      <c r="AS1293" s="94">
        <f t="shared" si="369"/>
        <v>0</v>
      </c>
      <c r="AT1293" s="94">
        <f t="shared" si="370"/>
        <v>3.0111965742386881</v>
      </c>
      <c r="AU1293" s="94">
        <f t="shared" si="371"/>
        <v>2.8997748459705348</v>
      </c>
    </row>
    <row r="1294" spans="1:47" x14ac:dyDescent="0.3">
      <c r="A1294" s="85" t="str">
        <f>_xlfn.XLOOKUP(B1294,'Country codes &amp; Data sources'!G:G,'Country codes &amp; Data sources'!H:H,,0)</f>
        <v>Cape-Verde</v>
      </c>
      <c r="B1294" s="85" t="s">
        <v>167</v>
      </c>
      <c r="C1294" s="85">
        <v>533874</v>
      </c>
      <c r="D1294" s="85" t="s">
        <v>336</v>
      </c>
      <c r="E1294" s="86">
        <v>0</v>
      </c>
      <c r="F1294" s="86">
        <v>539939.99999999988</v>
      </c>
      <c r="G1294" s="86">
        <v>0</v>
      </c>
      <c r="H1294" s="86"/>
      <c r="I1294" s="86">
        <v>0</v>
      </c>
      <c r="J1294" s="86"/>
      <c r="K1294" s="86">
        <v>0</v>
      </c>
      <c r="L1294" s="86"/>
      <c r="M1294" s="86">
        <v>0</v>
      </c>
      <c r="N1294" s="86"/>
      <c r="O1294" s="86">
        <v>0</v>
      </c>
      <c r="P1294" s="86">
        <v>571201.5</v>
      </c>
      <c r="Q1294" s="86">
        <v>0</v>
      </c>
      <c r="R1294" s="87">
        <f t="shared" si="356"/>
        <v>92</v>
      </c>
      <c r="T1294" s="87">
        <v>0</v>
      </c>
      <c r="U1294" s="89"/>
      <c r="V1294" s="89">
        <v>0</v>
      </c>
      <c r="W1294" s="90"/>
      <c r="X1294" s="90">
        <v>0</v>
      </c>
      <c r="Y1294" s="90">
        <v>593149.50000000012</v>
      </c>
      <c r="Z1294" s="90">
        <v>6</v>
      </c>
      <c r="AA1294" s="90">
        <v>92</v>
      </c>
      <c r="AB1294" s="89">
        <f t="shared" si="357"/>
        <v>0</v>
      </c>
      <c r="AC1294" s="89">
        <f t="shared" si="358"/>
        <v>0</v>
      </c>
      <c r="AD1294" s="89">
        <f t="shared" si="359"/>
        <v>6</v>
      </c>
      <c r="AE1294" s="90">
        <f t="shared" si="360"/>
        <v>0</v>
      </c>
      <c r="AF1294" s="90" t="str">
        <f t="shared" si="361"/>
        <v/>
      </c>
      <c r="AG1294" s="90">
        <f t="shared" si="362"/>
        <v>92</v>
      </c>
      <c r="AH1294" s="90" t="str">
        <f t="shared" si="363"/>
        <v>2018 (triag)</v>
      </c>
      <c r="AI1294" s="90">
        <f t="shared" si="364"/>
        <v>6</v>
      </c>
      <c r="AJ1294" s="90">
        <f t="shared" si="365"/>
        <v>2022</v>
      </c>
      <c r="AK1294" s="90" t="str">
        <f t="shared" si="366"/>
        <v>Adjust</v>
      </c>
      <c r="AL1294" s="91">
        <f>IF(AK1294="Adjust",(_xlfn.XLOOKUP(A1294,'Adj factor'!A:A,'Adj factor'!I:I,,0)*AI1294),'Master DataSheet'!AI1294)</f>
        <v>7.4605597964376598</v>
      </c>
      <c r="AM1294" s="91">
        <f t="shared" si="367"/>
        <v>92</v>
      </c>
      <c r="AN1294" s="92" t="str">
        <f t="shared" si="368"/>
        <v>Decreasing</v>
      </c>
      <c r="AS1294" s="94">
        <f t="shared" si="369"/>
        <v>0</v>
      </c>
      <c r="AT1294" s="94">
        <f t="shared" si="370"/>
        <v>1.6106400280811588</v>
      </c>
      <c r="AU1294" s="94">
        <f t="shared" si="371"/>
        <v>1.5510423594726115</v>
      </c>
    </row>
    <row r="1295" spans="1:47" x14ac:dyDescent="0.3">
      <c r="A1295" s="85" t="str">
        <f>_xlfn.XLOOKUP(B1295,'Country codes &amp; Data sources'!G:G,'Country codes &amp; Data sources'!H:H,,0)</f>
        <v>Cape-Verde</v>
      </c>
      <c r="B1295" s="85" t="s">
        <v>167</v>
      </c>
      <c r="C1295" s="85">
        <v>533875</v>
      </c>
      <c r="D1295" s="85" t="s">
        <v>337</v>
      </c>
      <c r="E1295" s="86">
        <v>0</v>
      </c>
      <c r="F1295" s="86">
        <v>539939.99999999988</v>
      </c>
      <c r="G1295" s="86">
        <v>0</v>
      </c>
      <c r="H1295" s="86"/>
      <c r="I1295" s="86">
        <v>0</v>
      </c>
      <c r="J1295" s="86"/>
      <c r="K1295" s="86">
        <v>0</v>
      </c>
      <c r="L1295" s="86"/>
      <c r="M1295" s="86">
        <v>4</v>
      </c>
      <c r="N1295" s="86"/>
      <c r="O1295" s="86">
        <v>0</v>
      </c>
      <c r="P1295" s="86">
        <v>571201.5</v>
      </c>
      <c r="Q1295" s="86">
        <v>81</v>
      </c>
      <c r="R1295" s="87">
        <f t="shared" si="356"/>
        <v>81</v>
      </c>
      <c r="T1295" s="87">
        <v>120</v>
      </c>
      <c r="U1295" s="89"/>
      <c r="V1295" s="89">
        <v>0</v>
      </c>
      <c r="W1295" s="90"/>
      <c r="X1295" s="90">
        <v>0</v>
      </c>
      <c r="Y1295" s="90">
        <v>593149.50000000012</v>
      </c>
      <c r="Z1295" s="90">
        <v>10</v>
      </c>
      <c r="AA1295" s="90">
        <v>81</v>
      </c>
      <c r="AB1295" s="89">
        <f t="shared" si="357"/>
        <v>0</v>
      </c>
      <c r="AC1295" s="89">
        <f t="shared" si="358"/>
        <v>120</v>
      </c>
      <c r="AD1295" s="89">
        <f t="shared" si="359"/>
        <v>10</v>
      </c>
      <c r="AE1295" s="90">
        <f t="shared" si="360"/>
        <v>0</v>
      </c>
      <c r="AF1295" s="90" t="str">
        <f t="shared" si="361"/>
        <v/>
      </c>
      <c r="AG1295" s="90">
        <f t="shared" si="362"/>
        <v>81</v>
      </c>
      <c r="AH1295" s="90">
        <f t="shared" si="363"/>
        <v>2018</v>
      </c>
      <c r="AI1295" s="90">
        <f t="shared" si="364"/>
        <v>10</v>
      </c>
      <c r="AJ1295" s="90">
        <f t="shared" si="365"/>
        <v>2022</v>
      </c>
      <c r="AK1295" s="90" t="str">
        <f t="shared" si="366"/>
        <v>Adjust</v>
      </c>
      <c r="AL1295" s="91">
        <f>IF(AK1295="Adjust",(_xlfn.XLOOKUP(A1295,'Adj factor'!A:A,'Adj factor'!I:I,,0)*AI1295),'Master DataSheet'!AI1295)</f>
        <v>12.434266327396099</v>
      </c>
      <c r="AM1295" s="91">
        <f t="shared" si="367"/>
        <v>81</v>
      </c>
      <c r="AN1295" s="92" t="str">
        <f t="shared" si="368"/>
        <v>Decreasing</v>
      </c>
      <c r="AS1295" s="94">
        <f t="shared" si="369"/>
        <v>0</v>
      </c>
      <c r="AT1295" s="94">
        <f t="shared" si="370"/>
        <v>1.4180635029844986</v>
      </c>
      <c r="AU1295" s="94">
        <f t="shared" si="371"/>
        <v>1.3655916425791472</v>
      </c>
    </row>
    <row r="1296" spans="1:47" x14ac:dyDescent="0.3">
      <c r="A1296" s="85" t="str">
        <f>_xlfn.XLOOKUP(B1296,'Country codes &amp; Data sources'!G:G,'Country codes &amp; Data sources'!H:H,,0)</f>
        <v>Cape-Verde</v>
      </c>
      <c r="B1296" s="85" t="s">
        <v>167</v>
      </c>
      <c r="C1296" s="85">
        <v>533876</v>
      </c>
      <c r="D1296" s="85" t="s">
        <v>338</v>
      </c>
      <c r="E1296" s="86">
        <v>0</v>
      </c>
      <c r="F1296" s="86">
        <v>539939.99999999988</v>
      </c>
      <c r="G1296" s="86">
        <v>0</v>
      </c>
      <c r="H1296" s="86"/>
      <c r="I1296" s="86">
        <v>0</v>
      </c>
      <c r="J1296" s="86"/>
      <c r="K1296" s="86">
        <v>0</v>
      </c>
      <c r="L1296" s="86"/>
      <c r="M1296" s="86">
        <v>0</v>
      </c>
      <c r="N1296" s="86"/>
      <c r="O1296" s="86">
        <v>0</v>
      </c>
      <c r="P1296" s="86">
        <v>571201.5</v>
      </c>
      <c r="Q1296" s="86">
        <v>0</v>
      </c>
      <c r="R1296" s="87">
        <f t="shared" si="356"/>
        <v>0</v>
      </c>
      <c r="T1296" s="87">
        <v>74</v>
      </c>
      <c r="U1296" s="89"/>
      <c r="V1296" s="89">
        <v>0</v>
      </c>
      <c r="W1296" s="90"/>
      <c r="X1296" s="90">
        <v>0</v>
      </c>
      <c r="Y1296" s="90">
        <v>593149.50000000012</v>
      </c>
      <c r="Z1296" s="90">
        <v>0</v>
      </c>
      <c r="AA1296" s="90">
        <v>0</v>
      </c>
      <c r="AB1296" s="89">
        <f t="shared" si="357"/>
        <v>0</v>
      </c>
      <c r="AC1296" s="89">
        <f t="shared" si="358"/>
        <v>74</v>
      </c>
      <c r="AD1296" s="89">
        <f t="shared" si="359"/>
        <v>0</v>
      </c>
      <c r="AE1296" s="90">
        <f t="shared" si="360"/>
        <v>0</v>
      </c>
      <c r="AF1296" s="90" t="str">
        <f t="shared" si="361"/>
        <v/>
      </c>
      <c r="AG1296" s="90">
        <f t="shared" si="362"/>
        <v>74</v>
      </c>
      <c r="AH1296" s="90">
        <f t="shared" si="363"/>
        <v>2019</v>
      </c>
      <c r="AI1296" s="90">
        <f t="shared" si="364"/>
        <v>74</v>
      </c>
      <c r="AJ1296" s="90">
        <f t="shared" si="365"/>
        <v>2019</v>
      </c>
      <c r="AK1296" s="90" t="str">
        <f t="shared" si="366"/>
        <v/>
      </c>
      <c r="AL1296" s="91">
        <f>IF(AK1296="Adjust",(_xlfn.XLOOKUP(A1296,'Adj factor'!A:A,'Adj factor'!I:I,,0)*AI1296),'Master DataSheet'!AI1296)</f>
        <v>74</v>
      </c>
      <c r="AM1296" s="91">
        <f t="shared" si="367"/>
        <v>74</v>
      </c>
      <c r="AN1296" s="92" t="str">
        <f t="shared" si="368"/>
        <v>No change</v>
      </c>
      <c r="AS1296" s="94">
        <f t="shared" si="369"/>
        <v>0</v>
      </c>
      <c r="AT1296" s="94">
        <f t="shared" si="370"/>
        <v>1.2955148051957146</v>
      </c>
      <c r="AU1296" s="94">
        <f t="shared" si="371"/>
        <v>1.2475775500105788</v>
      </c>
    </row>
    <row r="1297" spans="1:47" x14ac:dyDescent="0.3">
      <c r="A1297" s="85" t="str">
        <f>_xlfn.XLOOKUP(B1297,'Country codes &amp; Data sources'!G:G,'Country codes &amp; Data sources'!H:H,,0)</f>
        <v>Cape-Verde</v>
      </c>
      <c r="B1297" s="85" t="s">
        <v>167</v>
      </c>
      <c r="C1297" s="85">
        <v>533877</v>
      </c>
      <c r="D1297" s="85" t="s">
        <v>339</v>
      </c>
      <c r="E1297" s="86">
        <v>0</v>
      </c>
      <c r="F1297" s="86">
        <v>539939.99999999988</v>
      </c>
      <c r="G1297" s="86">
        <v>0</v>
      </c>
      <c r="H1297" s="86"/>
      <c r="I1297" s="86">
        <v>0</v>
      </c>
      <c r="J1297" s="86"/>
      <c r="K1297" s="86">
        <v>0</v>
      </c>
      <c r="L1297" s="86"/>
      <c r="M1297" s="86">
        <v>0</v>
      </c>
      <c r="N1297" s="86"/>
      <c r="O1297" s="86">
        <v>0</v>
      </c>
      <c r="P1297" s="86">
        <v>571201.5</v>
      </c>
      <c r="Q1297" s="86">
        <v>0</v>
      </c>
      <c r="R1297" s="87">
        <f t="shared" si="356"/>
        <v>0</v>
      </c>
      <c r="T1297" s="87">
        <v>0</v>
      </c>
      <c r="U1297" s="89"/>
      <c r="V1297" s="89">
        <v>0</v>
      </c>
      <c r="W1297" s="90"/>
      <c r="X1297" s="90">
        <v>0</v>
      </c>
      <c r="Y1297" s="90">
        <v>593149.50000000012</v>
      </c>
      <c r="Z1297" s="90">
        <v>0</v>
      </c>
      <c r="AA1297" s="90">
        <v>0</v>
      </c>
      <c r="AB1297" s="89">
        <f t="shared" si="357"/>
        <v>0</v>
      </c>
      <c r="AC1297" s="89">
        <f t="shared" si="358"/>
        <v>0</v>
      </c>
      <c r="AD1297" s="89">
        <f t="shared" si="359"/>
        <v>0</v>
      </c>
      <c r="AE1297" s="90">
        <f t="shared" si="360"/>
        <v>0</v>
      </c>
      <c r="AF1297" s="90" t="str">
        <f t="shared" si="361"/>
        <v/>
      </c>
      <c r="AG1297" s="90">
        <f t="shared" si="362"/>
        <v>0</v>
      </c>
      <c r="AH1297" s="90" t="str">
        <f t="shared" si="363"/>
        <v/>
      </c>
      <c r="AI1297" s="90">
        <f t="shared" si="364"/>
        <v>0</v>
      </c>
      <c r="AJ1297" s="90" t="str">
        <f t="shared" si="365"/>
        <v/>
      </c>
      <c r="AK1297" s="90" t="str">
        <f t="shared" si="366"/>
        <v/>
      </c>
      <c r="AL1297" s="91">
        <f>IF(AK1297="Adjust",(_xlfn.XLOOKUP(A1297,'Adj factor'!A:A,'Adj factor'!I:I,,0)*AI1297),'Master DataSheet'!AI1297)</f>
        <v>0</v>
      </c>
      <c r="AM1297" s="91">
        <f t="shared" si="367"/>
        <v>0</v>
      </c>
      <c r="AN1297" s="92" t="str">
        <f t="shared" si="368"/>
        <v>No change</v>
      </c>
      <c r="AS1297" s="94">
        <f t="shared" si="369"/>
        <v>0</v>
      </c>
      <c r="AT1297" s="94">
        <f t="shared" si="370"/>
        <v>0</v>
      </c>
      <c r="AU1297" s="94">
        <f t="shared" si="371"/>
        <v>0</v>
      </c>
    </row>
    <row r="1298" spans="1:47" x14ac:dyDescent="0.3">
      <c r="A1298" s="85" t="str">
        <f>_xlfn.XLOOKUP(B1298,'Country codes &amp; Data sources'!G:G,'Country codes &amp; Data sources'!H:H,,0)</f>
        <v>Algeria</v>
      </c>
      <c r="B1298" s="85" t="s">
        <v>161</v>
      </c>
      <c r="C1298" s="85">
        <v>37260562.50000003</v>
      </c>
      <c r="D1298" s="85" t="s">
        <v>326</v>
      </c>
      <c r="E1298" s="86">
        <v>0</v>
      </c>
      <c r="F1298" s="86">
        <v>38000626.500000022</v>
      </c>
      <c r="G1298" s="86">
        <v>0</v>
      </c>
      <c r="H1298" s="86">
        <v>38760167.5</v>
      </c>
      <c r="I1298" s="86">
        <v>0</v>
      </c>
      <c r="J1298" s="86">
        <v>39543154.499999985</v>
      </c>
      <c r="K1298" s="86">
        <v>0</v>
      </c>
      <c r="L1298" s="86">
        <v>40339328.5</v>
      </c>
      <c r="M1298" s="86">
        <v>74309</v>
      </c>
      <c r="N1298" s="86">
        <v>41136545.999999985</v>
      </c>
      <c r="O1298" s="86">
        <v>0</v>
      </c>
      <c r="P1298" s="86">
        <v>41927007.000000007</v>
      </c>
      <c r="Q1298" s="86">
        <v>72604</v>
      </c>
      <c r="R1298" s="87">
        <f t="shared" si="356"/>
        <v>73168</v>
      </c>
      <c r="S1298" s="87">
        <v>42705368.50000003</v>
      </c>
      <c r="T1298" s="87">
        <v>42140</v>
      </c>
      <c r="U1298" s="89">
        <v>43451665.999999985</v>
      </c>
      <c r="V1298" s="89">
        <v>0</v>
      </c>
      <c r="W1298" s="90">
        <v>44177968.500000007</v>
      </c>
      <c r="X1298" s="90">
        <v>0</v>
      </c>
      <c r="Y1298" s="90">
        <v>44903225.000000007</v>
      </c>
      <c r="Z1298" s="90">
        <v>0</v>
      </c>
      <c r="AA1298" s="90">
        <v>73168</v>
      </c>
      <c r="AB1298" s="89">
        <f t="shared" si="357"/>
        <v>0</v>
      </c>
      <c r="AC1298" s="89">
        <f t="shared" si="358"/>
        <v>74309</v>
      </c>
      <c r="AD1298" s="89">
        <f t="shared" si="359"/>
        <v>0</v>
      </c>
      <c r="AE1298" s="90">
        <f t="shared" si="360"/>
        <v>0</v>
      </c>
      <c r="AF1298" s="90" t="str">
        <f t="shared" si="361"/>
        <v/>
      </c>
      <c r="AG1298" s="90">
        <f t="shared" si="362"/>
        <v>73168</v>
      </c>
      <c r="AH1298" s="90" t="str">
        <f t="shared" si="363"/>
        <v>2018 (triag)</v>
      </c>
      <c r="AI1298" s="90">
        <f t="shared" si="364"/>
        <v>42140</v>
      </c>
      <c r="AJ1298" s="90" t="str">
        <f t="shared" si="365"/>
        <v>2018 (triag)</v>
      </c>
      <c r="AK1298" s="90" t="str">
        <f t="shared" si="366"/>
        <v>Adjust</v>
      </c>
      <c r="AL1298" s="91">
        <f>IF(AK1298="Adjust",(_xlfn.XLOOKUP(A1298,'Adj factor'!A:A,'Adj factor'!I:I,,0)*AI1298),'Master DataSheet'!AI1298)</f>
        <v>48033.824348850052</v>
      </c>
      <c r="AM1298" s="91">
        <f t="shared" si="367"/>
        <v>73168</v>
      </c>
      <c r="AN1298" s="92" t="str">
        <f t="shared" si="368"/>
        <v>Decreasing</v>
      </c>
      <c r="AS1298" s="94">
        <f t="shared" si="369"/>
        <v>0</v>
      </c>
      <c r="AT1298" s="94">
        <f t="shared" si="370"/>
        <v>17.451281461612556</v>
      </c>
      <c r="AU1298" s="94">
        <f t="shared" si="371"/>
        <v>16.294597993796657</v>
      </c>
    </row>
    <row r="1299" spans="1:47" x14ac:dyDescent="0.3">
      <c r="A1299" s="85" t="str">
        <f>_xlfn.XLOOKUP(B1299,'Country codes &amp; Data sources'!G:G,'Country codes &amp; Data sources'!H:H,,0)</f>
        <v>Algeria</v>
      </c>
      <c r="B1299" s="85" t="s">
        <v>161</v>
      </c>
      <c r="C1299" s="85">
        <v>37260563.5</v>
      </c>
      <c r="D1299" s="85" t="s">
        <v>327</v>
      </c>
      <c r="E1299" s="86">
        <v>0</v>
      </c>
      <c r="F1299" s="86">
        <v>38000626.500000022</v>
      </c>
      <c r="G1299" s="86">
        <v>0</v>
      </c>
      <c r="H1299" s="86"/>
      <c r="I1299" s="86">
        <v>0</v>
      </c>
      <c r="J1299" s="86"/>
      <c r="K1299" s="86">
        <v>0</v>
      </c>
      <c r="L1299" s="86"/>
      <c r="M1299" s="86">
        <v>0</v>
      </c>
      <c r="N1299" s="86"/>
      <c r="O1299" s="86">
        <v>0</v>
      </c>
      <c r="P1299" s="86">
        <v>41927007.000000007</v>
      </c>
      <c r="Q1299" s="86">
        <v>32774</v>
      </c>
      <c r="R1299" s="87">
        <f t="shared" si="356"/>
        <v>34077</v>
      </c>
      <c r="T1299" s="87">
        <v>27560</v>
      </c>
      <c r="U1299" s="89"/>
      <c r="V1299" s="89">
        <v>0</v>
      </c>
      <c r="W1299" s="90"/>
      <c r="X1299" s="90">
        <v>0</v>
      </c>
      <c r="Y1299" s="90">
        <v>44903225.000000007</v>
      </c>
      <c r="Z1299" s="90">
        <v>0</v>
      </c>
      <c r="AA1299" s="90">
        <v>34077</v>
      </c>
      <c r="AB1299" s="89">
        <f t="shared" si="357"/>
        <v>0</v>
      </c>
      <c r="AC1299" s="89">
        <f t="shared" si="358"/>
        <v>32774</v>
      </c>
      <c r="AD1299" s="89">
        <f t="shared" si="359"/>
        <v>0</v>
      </c>
      <c r="AE1299" s="90">
        <f t="shared" si="360"/>
        <v>0</v>
      </c>
      <c r="AF1299" s="90" t="str">
        <f t="shared" si="361"/>
        <v/>
      </c>
      <c r="AG1299" s="90">
        <f t="shared" si="362"/>
        <v>34077</v>
      </c>
      <c r="AH1299" s="90" t="str">
        <f t="shared" si="363"/>
        <v>2018 (triag)</v>
      </c>
      <c r="AI1299" s="90">
        <f t="shared" si="364"/>
        <v>27560</v>
      </c>
      <c r="AJ1299" s="90" t="str">
        <f t="shared" si="365"/>
        <v>2018 (triag)</v>
      </c>
      <c r="AK1299" s="90" t="str">
        <f t="shared" si="366"/>
        <v>Adjust</v>
      </c>
      <c r="AL1299" s="91">
        <f>IF(AK1299="Adjust",(_xlfn.XLOOKUP(A1299,'Adj factor'!A:A,'Adj factor'!I:I,,0)*AI1299),'Master DataSheet'!AI1299)</f>
        <v>31414.622663842132</v>
      </c>
      <c r="AM1299" s="91">
        <f t="shared" si="367"/>
        <v>34077</v>
      </c>
      <c r="AN1299" s="92" t="str">
        <f t="shared" si="368"/>
        <v>Decreasing</v>
      </c>
      <c r="AS1299" s="94">
        <f t="shared" si="369"/>
        <v>0</v>
      </c>
      <c r="AT1299" s="94">
        <f t="shared" si="370"/>
        <v>8.1276967850340451</v>
      </c>
      <c r="AU1299" s="94">
        <f t="shared" si="371"/>
        <v>7.588987205261982</v>
      </c>
    </row>
    <row r="1300" spans="1:47" x14ac:dyDescent="0.3">
      <c r="A1300" s="85" t="str">
        <f>_xlfn.XLOOKUP(B1300,'Country codes &amp; Data sources'!G:G,'Country codes &amp; Data sources'!H:H,,0)</f>
        <v>Algeria</v>
      </c>
      <c r="B1300" s="85" t="s">
        <v>161</v>
      </c>
      <c r="C1300" s="85">
        <v>37260564.5</v>
      </c>
      <c r="D1300" s="85" t="s">
        <v>328</v>
      </c>
      <c r="E1300" s="86">
        <v>0</v>
      </c>
      <c r="F1300" s="86">
        <v>38000626.500000022</v>
      </c>
      <c r="G1300" s="86">
        <v>0</v>
      </c>
      <c r="H1300" s="86"/>
      <c r="I1300" s="86">
        <v>0</v>
      </c>
      <c r="J1300" s="86"/>
      <c r="K1300" s="86">
        <v>0</v>
      </c>
      <c r="L1300" s="86"/>
      <c r="M1300" s="86">
        <v>0</v>
      </c>
      <c r="N1300" s="86"/>
      <c r="O1300" s="86">
        <v>0</v>
      </c>
      <c r="P1300" s="86">
        <v>41927007.000000007</v>
      </c>
      <c r="Q1300" s="86">
        <v>39830</v>
      </c>
      <c r="R1300" s="87">
        <f t="shared" si="356"/>
        <v>39830</v>
      </c>
      <c r="T1300" s="87">
        <v>14580</v>
      </c>
      <c r="U1300" s="89"/>
      <c r="V1300" s="89">
        <v>0</v>
      </c>
      <c r="W1300" s="90"/>
      <c r="X1300" s="90">
        <v>0</v>
      </c>
      <c r="Y1300" s="90">
        <v>44903225.000000007</v>
      </c>
      <c r="Z1300" s="90">
        <v>0</v>
      </c>
      <c r="AA1300" s="90">
        <v>39091</v>
      </c>
      <c r="AB1300" s="89">
        <f t="shared" si="357"/>
        <v>0</v>
      </c>
      <c r="AC1300" s="89">
        <f t="shared" si="358"/>
        <v>39830</v>
      </c>
      <c r="AD1300" s="89">
        <f t="shared" si="359"/>
        <v>0</v>
      </c>
      <c r="AE1300" s="90">
        <f t="shared" si="360"/>
        <v>0</v>
      </c>
      <c r="AF1300" s="90" t="str">
        <f t="shared" si="361"/>
        <v/>
      </c>
      <c r="AG1300" s="90">
        <f t="shared" si="362"/>
        <v>39830</v>
      </c>
      <c r="AH1300" s="90">
        <f t="shared" si="363"/>
        <v>2018</v>
      </c>
      <c r="AI1300" s="90">
        <f t="shared" si="364"/>
        <v>14580</v>
      </c>
      <c r="AJ1300" s="90">
        <f t="shared" si="365"/>
        <v>2018</v>
      </c>
      <c r="AK1300" s="90" t="str">
        <f t="shared" si="366"/>
        <v>Adjust</v>
      </c>
      <c r="AL1300" s="91">
        <f>IF(AK1300="Adjust",(_xlfn.XLOOKUP(A1300,'Adj factor'!A:A,'Adj factor'!I:I,,0)*AI1300),'Master DataSheet'!AI1300)</f>
        <v>16619.20168500792</v>
      </c>
      <c r="AM1300" s="91">
        <f t="shared" si="367"/>
        <v>39830</v>
      </c>
      <c r="AN1300" s="92" t="str">
        <f t="shared" si="368"/>
        <v>Decreasing</v>
      </c>
      <c r="AS1300" s="94">
        <f t="shared" si="369"/>
        <v>0</v>
      </c>
      <c r="AT1300" s="94">
        <f t="shared" si="370"/>
        <v>9.499843382572001</v>
      </c>
      <c r="AU1300" s="94">
        <f t="shared" si="371"/>
        <v>8.8701869409157119</v>
      </c>
    </row>
    <row r="1301" spans="1:47" x14ac:dyDescent="0.3">
      <c r="A1301" s="85" t="str">
        <f>_xlfn.XLOOKUP(B1301,'Country codes &amp; Data sources'!G:G,'Country codes &amp; Data sources'!H:H,,0)</f>
        <v>Algeria</v>
      </c>
      <c r="B1301" s="85" t="s">
        <v>161</v>
      </c>
      <c r="C1301" s="85">
        <v>37260565.5</v>
      </c>
      <c r="D1301" s="85" t="s">
        <v>329</v>
      </c>
      <c r="E1301" s="86">
        <v>0</v>
      </c>
      <c r="F1301" s="86">
        <v>38000626.500000022</v>
      </c>
      <c r="G1301" s="86">
        <v>0</v>
      </c>
      <c r="H1301" s="86"/>
      <c r="I1301" s="86">
        <v>0</v>
      </c>
      <c r="J1301" s="86"/>
      <c r="K1301" s="86">
        <v>0</v>
      </c>
      <c r="L1301" s="86"/>
      <c r="M1301" s="86">
        <v>90958</v>
      </c>
      <c r="N1301" s="86"/>
      <c r="O1301" s="86">
        <v>92000</v>
      </c>
      <c r="P1301" s="86">
        <v>41927007.000000007</v>
      </c>
      <c r="Q1301" s="86">
        <v>56411</v>
      </c>
      <c r="R1301" s="87">
        <f t="shared" si="356"/>
        <v>57705</v>
      </c>
      <c r="T1301" s="87">
        <v>4425</v>
      </c>
      <c r="U1301" s="89"/>
      <c r="V1301" s="89">
        <v>0</v>
      </c>
      <c r="W1301" s="90"/>
      <c r="X1301" s="90">
        <v>0</v>
      </c>
      <c r="Y1301" s="90">
        <v>44903225.000000007</v>
      </c>
      <c r="Z1301" s="90">
        <v>0</v>
      </c>
      <c r="AA1301" s="90">
        <v>57705</v>
      </c>
      <c r="AB1301" s="89">
        <f t="shared" si="357"/>
        <v>0</v>
      </c>
      <c r="AC1301" s="89">
        <f t="shared" si="358"/>
        <v>92000</v>
      </c>
      <c r="AD1301" s="89">
        <f t="shared" si="359"/>
        <v>0</v>
      </c>
      <c r="AE1301" s="90">
        <f t="shared" si="360"/>
        <v>0</v>
      </c>
      <c r="AF1301" s="90" t="str">
        <f t="shared" si="361"/>
        <v/>
      </c>
      <c r="AG1301" s="90">
        <f t="shared" si="362"/>
        <v>57705</v>
      </c>
      <c r="AH1301" s="90" t="str">
        <f t="shared" si="363"/>
        <v>2018 (triag)</v>
      </c>
      <c r="AI1301" s="90">
        <f t="shared" si="364"/>
        <v>4425</v>
      </c>
      <c r="AJ1301" s="90" t="str">
        <f t="shared" si="365"/>
        <v>2018 (triag)</v>
      </c>
      <c r="AK1301" s="90" t="str">
        <f t="shared" si="366"/>
        <v>Adjust</v>
      </c>
      <c r="AL1301" s="91">
        <f>IF(AK1301="Adjust",(_xlfn.XLOOKUP(A1301,'Adj factor'!A:A,'Adj factor'!I:I,,0)*AI1301),'Master DataSheet'!AI1301)</f>
        <v>5043.8935155116633</v>
      </c>
      <c r="AM1301" s="91">
        <f t="shared" si="367"/>
        <v>57705</v>
      </c>
      <c r="AN1301" s="92" t="str">
        <f t="shared" si="368"/>
        <v>Decreasing</v>
      </c>
      <c r="AS1301" s="94">
        <f t="shared" si="369"/>
        <v>0</v>
      </c>
      <c r="AT1301" s="94">
        <f t="shared" si="370"/>
        <v>13.763205181805606</v>
      </c>
      <c r="AU1301" s="94">
        <f t="shared" si="371"/>
        <v>12.850970058386674</v>
      </c>
    </row>
    <row r="1302" spans="1:47" x14ac:dyDescent="0.3">
      <c r="A1302" s="85" t="str">
        <f>_xlfn.XLOOKUP(B1302,'Country codes &amp; Data sources'!G:G,'Country codes &amp; Data sources'!H:H,,0)</f>
        <v>Algeria</v>
      </c>
      <c r="B1302" s="85" t="s">
        <v>161</v>
      </c>
      <c r="C1302" s="85">
        <v>37260566.5</v>
      </c>
      <c r="D1302" s="85" t="s">
        <v>330</v>
      </c>
      <c r="E1302" s="86">
        <v>0</v>
      </c>
      <c r="F1302" s="86">
        <v>38000626.500000022</v>
      </c>
      <c r="G1302" s="86">
        <v>0</v>
      </c>
      <c r="H1302" s="86"/>
      <c r="I1302" s="86">
        <v>0</v>
      </c>
      <c r="J1302" s="86"/>
      <c r="K1302" s="86">
        <v>0</v>
      </c>
      <c r="L1302" s="86"/>
      <c r="M1302" s="86">
        <v>0</v>
      </c>
      <c r="N1302" s="86"/>
      <c r="O1302" s="86">
        <v>0</v>
      </c>
      <c r="P1302" s="86">
        <v>41927007.000000007</v>
      </c>
      <c r="Q1302" s="86">
        <v>45173</v>
      </c>
      <c r="R1302" s="87">
        <f t="shared" si="356"/>
        <v>47676</v>
      </c>
      <c r="T1302" s="87">
        <v>4425</v>
      </c>
      <c r="U1302" s="89"/>
      <c r="V1302" s="89">
        <v>0</v>
      </c>
      <c r="W1302" s="90"/>
      <c r="X1302" s="90">
        <v>0</v>
      </c>
      <c r="Y1302" s="90">
        <v>44903225.000000007</v>
      </c>
      <c r="Z1302" s="90">
        <v>0</v>
      </c>
      <c r="AA1302" s="90">
        <v>47676</v>
      </c>
      <c r="AB1302" s="89">
        <f t="shared" si="357"/>
        <v>0</v>
      </c>
      <c r="AC1302" s="89">
        <f t="shared" si="358"/>
        <v>45173</v>
      </c>
      <c r="AD1302" s="89">
        <f t="shared" si="359"/>
        <v>0</v>
      </c>
      <c r="AE1302" s="90">
        <f t="shared" si="360"/>
        <v>0</v>
      </c>
      <c r="AF1302" s="90" t="str">
        <f t="shared" si="361"/>
        <v/>
      </c>
      <c r="AG1302" s="90">
        <f t="shared" si="362"/>
        <v>47676</v>
      </c>
      <c r="AH1302" s="90" t="str">
        <f t="shared" si="363"/>
        <v>2018 (triag)</v>
      </c>
      <c r="AI1302" s="90">
        <f t="shared" si="364"/>
        <v>4425</v>
      </c>
      <c r="AJ1302" s="90" t="str">
        <f t="shared" si="365"/>
        <v>2018 (triag)</v>
      </c>
      <c r="AK1302" s="90" t="str">
        <f t="shared" si="366"/>
        <v>Adjust</v>
      </c>
      <c r="AL1302" s="91">
        <f>IF(AK1302="Adjust",(_xlfn.XLOOKUP(A1302,'Adj factor'!A:A,'Adj factor'!I:I,,0)*AI1302),'Master DataSheet'!AI1302)</f>
        <v>5043.8935155116633</v>
      </c>
      <c r="AM1302" s="91">
        <f t="shared" si="367"/>
        <v>47676</v>
      </c>
      <c r="AN1302" s="92" t="str">
        <f t="shared" si="368"/>
        <v>Decreasing</v>
      </c>
      <c r="AS1302" s="94">
        <f t="shared" si="369"/>
        <v>0</v>
      </c>
      <c r="AT1302" s="94">
        <f t="shared" si="370"/>
        <v>11.371190888965671</v>
      </c>
      <c r="AU1302" s="94">
        <f t="shared" si="371"/>
        <v>10.617500190687862</v>
      </c>
    </row>
    <row r="1303" spans="1:47" x14ac:dyDescent="0.3">
      <c r="A1303" s="85" t="str">
        <f>_xlfn.XLOOKUP(B1303,'Country codes &amp; Data sources'!G:G,'Country codes &amp; Data sources'!H:H,,0)</f>
        <v>Algeria</v>
      </c>
      <c r="B1303" s="85" t="s">
        <v>161</v>
      </c>
      <c r="C1303" s="85">
        <v>37260567.5</v>
      </c>
      <c r="D1303" s="85" t="s">
        <v>331</v>
      </c>
      <c r="E1303" s="86">
        <v>0</v>
      </c>
      <c r="F1303" s="86">
        <v>38000626.500000022</v>
      </c>
      <c r="G1303" s="86">
        <v>0</v>
      </c>
      <c r="H1303" s="86"/>
      <c r="I1303" s="86">
        <v>0</v>
      </c>
      <c r="J1303" s="86"/>
      <c r="K1303" s="86">
        <v>0</v>
      </c>
      <c r="L1303" s="86"/>
      <c r="M1303" s="86">
        <v>0</v>
      </c>
      <c r="N1303" s="86"/>
      <c r="O1303" s="86">
        <v>0</v>
      </c>
      <c r="P1303" s="86">
        <v>41927007.000000007</v>
      </c>
      <c r="Q1303" s="86">
        <v>11238</v>
      </c>
      <c r="R1303" s="87">
        <f t="shared" si="356"/>
        <v>11238</v>
      </c>
      <c r="T1303" s="87">
        <v>0</v>
      </c>
      <c r="U1303" s="89"/>
      <c r="V1303" s="89">
        <v>0</v>
      </c>
      <c r="W1303" s="90"/>
      <c r="X1303" s="90">
        <v>0</v>
      </c>
      <c r="Y1303" s="90">
        <v>44903225.000000007</v>
      </c>
      <c r="Z1303" s="90">
        <v>0</v>
      </c>
      <c r="AA1303" s="90">
        <v>10029</v>
      </c>
      <c r="AB1303" s="89">
        <f t="shared" si="357"/>
        <v>0</v>
      </c>
      <c r="AC1303" s="89">
        <f t="shared" si="358"/>
        <v>11238</v>
      </c>
      <c r="AD1303" s="89">
        <f t="shared" si="359"/>
        <v>0</v>
      </c>
      <c r="AE1303" s="90">
        <f t="shared" si="360"/>
        <v>0</v>
      </c>
      <c r="AF1303" s="90" t="str">
        <f t="shared" si="361"/>
        <v/>
      </c>
      <c r="AG1303" s="90">
        <f t="shared" si="362"/>
        <v>11238</v>
      </c>
      <c r="AH1303" s="90">
        <f t="shared" si="363"/>
        <v>2018</v>
      </c>
      <c r="AI1303" s="90">
        <f t="shared" si="364"/>
        <v>11238</v>
      </c>
      <c r="AJ1303" s="90">
        <f t="shared" si="365"/>
        <v>2018</v>
      </c>
      <c r="AK1303" s="90" t="str">
        <f t="shared" si="366"/>
        <v/>
      </c>
      <c r="AL1303" s="91">
        <f>IF(AK1303="Adjust",(_xlfn.XLOOKUP(A1303,'Adj factor'!A:A,'Adj factor'!I:I,,0)*AI1303),'Master DataSheet'!AI1303)</f>
        <v>11238</v>
      </c>
      <c r="AM1303" s="91">
        <f t="shared" si="367"/>
        <v>11238</v>
      </c>
      <c r="AN1303" s="92" t="str">
        <f t="shared" si="368"/>
        <v>No change</v>
      </c>
      <c r="AS1303" s="94">
        <f t="shared" si="369"/>
        <v>0</v>
      </c>
      <c r="AT1303" s="94">
        <f t="shared" si="370"/>
        <v>2.6803725818062802</v>
      </c>
      <c r="AU1303" s="94">
        <f t="shared" si="371"/>
        <v>2.5027155621895751</v>
      </c>
    </row>
    <row r="1304" spans="1:47" x14ac:dyDescent="0.3">
      <c r="A1304" s="85" t="str">
        <f>_xlfn.XLOOKUP(B1304,'Country codes &amp; Data sources'!G:G,'Country codes &amp; Data sources'!H:H,,0)</f>
        <v>Algeria</v>
      </c>
      <c r="B1304" s="85" t="s">
        <v>161</v>
      </c>
      <c r="C1304" s="85">
        <v>37260568.5</v>
      </c>
      <c r="D1304" s="85" t="s">
        <v>332</v>
      </c>
      <c r="E1304" s="86">
        <v>0</v>
      </c>
      <c r="F1304" s="86">
        <v>38000626.500000022</v>
      </c>
      <c r="G1304" s="86">
        <v>0</v>
      </c>
      <c r="H1304" s="86"/>
      <c r="I1304" s="86">
        <v>11139</v>
      </c>
      <c r="J1304" s="86"/>
      <c r="K1304" s="86">
        <v>0</v>
      </c>
      <c r="L1304" s="86"/>
      <c r="M1304" s="86">
        <v>0</v>
      </c>
      <c r="N1304" s="86"/>
      <c r="O1304" s="86">
        <v>0</v>
      </c>
      <c r="P1304" s="86">
        <v>41927007.000000007</v>
      </c>
      <c r="Q1304" s="86">
        <v>8948</v>
      </c>
      <c r="R1304" s="87">
        <f t="shared" si="356"/>
        <v>8948</v>
      </c>
      <c r="T1304" s="87">
        <v>9070</v>
      </c>
      <c r="U1304" s="89"/>
      <c r="V1304" s="89">
        <v>0</v>
      </c>
      <c r="W1304" s="90"/>
      <c r="X1304" s="90">
        <v>0</v>
      </c>
      <c r="Y1304" s="90">
        <v>44903225.000000007</v>
      </c>
      <c r="Z1304" s="90">
        <v>0</v>
      </c>
      <c r="AA1304" s="90">
        <v>8620</v>
      </c>
      <c r="AB1304" s="89">
        <f t="shared" si="357"/>
        <v>11139</v>
      </c>
      <c r="AC1304" s="89">
        <f t="shared" si="358"/>
        <v>9070</v>
      </c>
      <c r="AD1304" s="89">
        <f t="shared" si="359"/>
        <v>0</v>
      </c>
      <c r="AE1304" s="90">
        <f t="shared" si="360"/>
        <v>11139</v>
      </c>
      <c r="AF1304" s="90">
        <f t="shared" si="361"/>
        <v>2014</v>
      </c>
      <c r="AG1304" s="90">
        <f t="shared" si="362"/>
        <v>8948</v>
      </c>
      <c r="AH1304" s="90">
        <f t="shared" si="363"/>
        <v>2018</v>
      </c>
      <c r="AI1304" s="90">
        <f t="shared" si="364"/>
        <v>9070</v>
      </c>
      <c r="AJ1304" s="90">
        <f t="shared" si="365"/>
        <v>2018</v>
      </c>
      <c r="AK1304" s="90" t="str">
        <f t="shared" si="366"/>
        <v/>
      </c>
      <c r="AL1304" s="91">
        <f>IF(AK1304="Adjust",(_xlfn.XLOOKUP(A1304,'Adj factor'!A:A,'Adj factor'!I:I,,0)*AI1304),'Master DataSheet'!AI1304)</f>
        <v>9070</v>
      </c>
      <c r="AM1304" s="91">
        <f t="shared" si="367"/>
        <v>9070</v>
      </c>
      <c r="AN1304" s="92" t="str">
        <f t="shared" si="368"/>
        <v>Increasing</v>
      </c>
      <c r="AS1304" s="94">
        <f t="shared" si="369"/>
        <v>2.931267462129866</v>
      </c>
      <c r="AT1304" s="94">
        <f t="shared" si="370"/>
        <v>2.1341852520023665</v>
      </c>
      <c r="AU1304" s="94">
        <f t="shared" si="371"/>
        <v>2.019899461564286</v>
      </c>
    </row>
    <row r="1305" spans="1:47" x14ac:dyDescent="0.3">
      <c r="A1305" s="85" t="str">
        <f>_xlfn.XLOOKUP(B1305,'Country codes &amp; Data sources'!G:G,'Country codes &amp; Data sources'!H:H,,0)</f>
        <v>Algeria</v>
      </c>
      <c r="B1305" s="85" t="s">
        <v>161</v>
      </c>
      <c r="C1305" s="85">
        <v>37260569.5</v>
      </c>
      <c r="D1305" s="85" t="s">
        <v>333</v>
      </c>
      <c r="E1305" s="86">
        <v>0</v>
      </c>
      <c r="F1305" s="86">
        <v>38000626.500000022</v>
      </c>
      <c r="G1305" s="86">
        <v>0</v>
      </c>
      <c r="H1305" s="86"/>
      <c r="I1305" s="86">
        <v>9404</v>
      </c>
      <c r="J1305" s="86"/>
      <c r="K1305" s="86">
        <v>0</v>
      </c>
      <c r="L1305" s="86"/>
      <c r="M1305" s="86">
        <v>0</v>
      </c>
      <c r="N1305" s="86"/>
      <c r="O1305" s="86">
        <v>0</v>
      </c>
      <c r="P1305" s="86">
        <v>41927007.000000007</v>
      </c>
      <c r="Q1305" s="86">
        <v>8739</v>
      </c>
      <c r="R1305" s="87">
        <f t="shared" si="356"/>
        <v>8739</v>
      </c>
      <c r="T1305" s="87">
        <v>9070</v>
      </c>
      <c r="U1305" s="89"/>
      <c r="V1305" s="89">
        <v>0</v>
      </c>
      <c r="W1305" s="90"/>
      <c r="X1305" s="90">
        <v>0</v>
      </c>
      <c r="Y1305" s="90">
        <v>44903225.000000007</v>
      </c>
      <c r="Z1305" s="90">
        <v>0</v>
      </c>
      <c r="AA1305" s="90">
        <v>8582</v>
      </c>
      <c r="AB1305" s="89">
        <f t="shared" si="357"/>
        <v>9404</v>
      </c>
      <c r="AC1305" s="89">
        <f t="shared" si="358"/>
        <v>9070</v>
      </c>
      <c r="AD1305" s="89">
        <f t="shared" si="359"/>
        <v>0</v>
      </c>
      <c r="AE1305" s="90">
        <f t="shared" si="360"/>
        <v>9404</v>
      </c>
      <c r="AF1305" s="90">
        <f t="shared" si="361"/>
        <v>2014</v>
      </c>
      <c r="AG1305" s="90">
        <f t="shared" si="362"/>
        <v>8739</v>
      </c>
      <c r="AH1305" s="90">
        <f t="shared" si="363"/>
        <v>2018</v>
      </c>
      <c r="AI1305" s="90">
        <f t="shared" si="364"/>
        <v>9070</v>
      </c>
      <c r="AJ1305" s="90">
        <f t="shared" si="365"/>
        <v>2018</v>
      </c>
      <c r="AK1305" s="90" t="str">
        <f t="shared" si="366"/>
        <v/>
      </c>
      <c r="AL1305" s="91">
        <f>IF(AK1305="Adjust",(_xlfn.XLOOKUP(A1305,'Adj factor'!A:A,'Adj factor'!I:I,,0)*AI1305),'Master DataSheet'!AI1305)</f>
        <v>9070</v>
      </c>
      <c r="AM1305" s="91">
        <f t="shared" si="367"/>
        <v>9070</v>
      </c>
      <c r="AN1305" s="92" t="str">
        <f t="shared" si="368"/>
        <v>Increasing</v>
      </c>
      <c r="AS1305" s="94">
        <f t="shared" si="369"/>
        <v>2.4746960421823556</v>
      </c>
      <c r="AT1305" s="94">
        <f t="shared" si="370"/>
        <v>2.0843367140420965</v>
      </c>
      <c r="AU1305" s="94">
        <f t="shared" si="371"/>
        <v>2.019899461564286</v>
      </c>
    </row>
    <row r="1306" spans="1:47" x14ac:dyDescent="0.3">
      <c r="A1306" s="85" t="str">
        <f>_xlfn.XLOOKUP(B1306,'Country codes &amp; Data sources'!G:G,'Country codes &amp; Data sources'!H:H,,0)</f>
        <v>Algeria</v>
      </c>
      <c r="B1306" s="85" t="s">
        <v>161</v>
      </c>
      <c r="C1306" s="85">
        <v>37260570.5</v>
      </c>
      <c r="D1306" s="85" t="s">
        <v>334</v>
      </c>
      <c r="E1306" s="86">
        <v>0</v>
      </c>
      <c r="F1306" s="86">
        <v>38000626.500000022</v>
      </c>
      <c r="G1306" s="86">
        <v>0</v>
      </c>
      <c r="H1306" s="86"/>
      <c r="I1306" s="86">
        <v>1735</v>
      </c>
      <c r="J1306" s="86"/>
      <c r="K1306" s="86">
        <v>0</v>
      </c>
      <c r="L1306" s="86"/>
      <c r="M1306" s="86">
        <v>0</v>
      </c>
      <c r="N1306" s="86"/>
      <c r="O1306" s="86">
        <v>0</v>
      </c>
      <c r="P1306" s="86">
        <v>41927007.000000007</v>
      </c>
      <c r="Q1306" s="86">
        <v>209</v>
      </c>
      <c r="R1306" s="87">
        <f t="shared" si="356"/>
        <v>209</v>
      </c>
      <c r="T1306" s="87">
        <v>0</v>
      </c>
      <c r="U1306" s="89"/>
      <c r="V1306" s="89">
        <v>0</v>
      </c>
      <c r="W1306" s="90"/>
      <c r="X1306" s="90">
        <v>0</v>
      </c>
      <c r="Y1306" s="90">
        <v>44903225.000000007</v>
      </c>
      <c r="Z1306" s="90">
        <v>0</v>
      </c>
      <c r="AA1306" s="90">
        <v>38</v>
      </c>
      <c r="AB1306" s="89">
        <f t="shared" si="357"/>
        <v>1735</v>
      </c>
      <c r="AC1306" s="89">
        <f t="shared" si="358"/>
        <v>209</v>
      </c>
      <c r="AD1306" s="89">
        <f t="shared" si="359"/>
        <v>0</v>
      </c>
      <c r="AE1306" s="90">
        <f t="shared" si="360"/>
        <v>1735</v>
      </c>
      <c r="AF1306" s="90">
        <f t="shared" si="361"/>
        <v>2014</v>
      </c>
      <c r="AG1306" s="90">
        <f t="shared" si="362"/>
        <v>209</v>
      </c>
      <c r="AH1306" s="90">
        <f t="shared" si="363"/>
        <v>2018</v>
      </c>
      <c r="AI1306" s="90">
        <f t="shared" si="364"/>
        <v>209</v>
      </c>
      <c r="AJ1306" s="90">
        <f t="shared" si="365"/>
        <v>2018</v>
      </c>
      <c r="AK1306" s="90" t="str">
        <f t="shared" si="366"/>
        <v/>
      </c>
      <c r="AL1306" s="91">
        <f>IF(AK1306="Adjust",(_xlfn.XLOOKUP(A1306,'Adj factor'!A:A,'Adj factor'!I:I,,0)*AI1306),'Master DataSheet'!AI1306)</f>
        <v>209</v>
      </c>
      <c r="AM1306" s="91">
        <f t="shared" si="367"/>
        <v>209</v>
      </c>
      <c r="AN1306" s="92" t="str">
        <f t="shared" si="368"/>
        <v>No change</v>
      </c>
      <c r="AS1306" s="94">
        <f t="shared" si="369"/>
        <v>0.45657141994751033</v>
      </c>
      <c r="AT1306" s="94">
        <f t="shared" si="370"/>
        <v>4.9848537960269848E-2</v>
      </c>
      <c r="AU1306" s="94">
        <f t="shared" si="371"/>
        <v>4.6544541065814307E-2</v>
      </c>
    </row>
    <row r="1307" spans="1:47" x14ac:dyDescent="0.3">
      <c r="A1307" s="85" t="str">
        <f>_xlfn.XLOOKUP(B1307,'Country codes &amp; Data sources'!G:G,'Country codes &amp; Data sources'!H:H,,0)</f>
        <v>Algeria</v>
      </c>
      <c r="B1307" s="85" t="s">
        <v>161</v>
      </c>
      <c r="C1307" s="85">
        <v>37260571.5</v>
      </c>
      <c r="D1307" s="85" t="s">
        <v>335</v>
      </c>
      <c r="E1307" s="86">
        <v>0</v>
      </c>
      <c r="F1307" s="86">
        <v>38000626.500000022</v>
      </c>
      <c r="G1307" s="86">
        <v>0</v>
      </c>
      <c r="H1307" s="86"/>
      <c r="I1307" s="86">
        <v>0</v>
      </c>
      <c r="J1307" s="86"/>
      <c r="K1307" s="86">
        <v>0</v>
      </c>
      <c r="L1307" s="86"/>
      <c r="M1307" s="86">
        <v>0</v>
      </c>
      <c r="N1307" s="86"/>
      <c r="O1307" s="86">
        <v>0</v>
      </c>
      <c r="P1307" s="86">
        <v>41927007.000000007</v>
      </c>
      <c r="Q1307" s="86">
        <v>18807</v>
      </c>
      <c r="R1307" s="87">
        <f t="shared" si="356"/>
        <v>18807</v>
      </c>
      <c r="T1307" s="87">
        <v>2156</v>
      </c>
      <c r="U1307" s="89"/>
      <c r="V1307" s="89">
        <v>0</v>
      </c>
      <c r="W1307" s="90"/>
      <c r="X1307" s="90">
        <v>0</v>
      </c>
      <c r="Y1307" s="90">
        <v>44903225.000000007</v>
      </c>
      <c r="Z1307" s="90">
        <v>0</v>
      </c>
      <c r="AA1307" s="90">
        <v>12570</v>
      </c>
      <c r="AB1307" s="89">
        <f t="shared" si="357"/>
        <v>0</v>
      </c>
      <c r="AC1307" s="89">
        <f t="shared" si="358"/>
        <v>18807</v>
      </c>
      <c r="AD1307" s="89">
        <f t="shared" si="359"/>
        <v>0</v>
      </c>
      <c r="AE1307" s="90">
        <f t="shared" si="360"/>
        <v>0</v>
      </c>
      <c r="AF1307" s="90" t="str">
        <f t="shared" si="361"/>
        <v/>
      </c>
      <c r="AG1307" s="90">
        <f t="shared" si="362"/>
        <v>18807</v>
      </c>
      <c r="AH1307" s="90">
        <f t="shared" si="363"/>
        <v>2018</v>
      </c>
      <c r="AI1307" s="90">
        <f t="shared" si="364"/>
        <v>2156</v>
      </c>
      <c r="AJ1307" s="90">
        <f t="shared" si="365"/>
        <v>2018</v>
      </c>
      <c r="AK1307" s="90" t="str">
        <f t="shared" si="366"/>
        <v>Adjust</v>
      </c>
      <c r="AL1307" s="91">
        <f>IF(AK1307="Adjust",(_xlfn.XLOOKUP(A1307,'Adj factor'!A:A,'Adj factor'!I:I,,0)*AI1307),'Master DataSheet'!AI1307)</f>
        <v>2457.5445015690725</v>
      </c>
      <c r="AM1307" s="91">
        <f t="shared" si="367"/>
        <v>18807</v>
      </c>
      <c r="AN1307" s="92" t="str">
        <f t="shared" si="368"/>
        <v>Decreasing</v>
      </c>
      <c r="AS1307" s="94">
        <f t="shared" si="369"/>
        <v>0</v>
      </c>
      <c r="AT1307" s="94">
        <f t="shared" si="370"/>
        <v>4.485652887171268</v>
      </c>
      <c r="AU1307" s="94">
        <f t="shared" si="371"/>
        <v>4.188340592463013</v>
      </c>
    </row>
    <row r="1308" spans="1:47" x14ac:dyDescent="0.3">
      <c r="A1308" s="85" t="str">
        <f>_xlfn.XLOOKUP(B1308,'Country codes &amp; Data sources'!G:G,'Country codes &amp; Data sources'!H:H,,0)</f>
        <v>Algeria</v>
      </c>
      <c r="B1308" s="85" t="s">
        <v>161</v>
      </c>
      <c r="C1308" s="85">
        <v>37260572.5</v>
      </c>
      <c r="D1308" s="85" t="s">
        <v>336</v>
      </c>
      <c r="E1308" s="86">
        <v>0</v>
      </c>
      <c r="F1308" s="86">
        <v>38000626.500000022</v>
      </c>
      <c r="G1308" s="86">
        <v>0</v>
      </c>
      <c r="H1308" s="86"/>
      <c r="I1308" s="86">
        <v>0</v>
      </c>
      <c r="J1308" s="86"/>
      <c r="K1308" s="86">
        <v>0</v>
      </c>
      <c r="L1308" s="86"/>
      <c r="M1308" s="86">
        <v>0</v>
      </c>
      <c r="N1308" s="86"/>
      <c r="O1308" s="86">
        <v>0</v>
      </c>
      <c r="P1308" s="86">
        <v>41927007.000000007</v>
      </c>
      <c r="Q1308" s="86">
        <v>880</v>
      </c>
      <c r="R1308" s="87">
        <f t="shared" si="356"/>
        <v>1536</v>
      </c>
      <c r="T1308" s="87">
        <v>0</v>
      </c>
      <c r="U1308" s="89"/>
      <c r="V1308" s="89">
        <v>0</v>
      </c>
      <c r="W1308" s="90"/>
      <c r="X1308" s="90">
        <v>0</v>
      </c>
      <c r="Y1308" s="90">
        <v>44903225.000000007</v>
      </c>
      <c r="Z1308" s="90">
        <v>0</v>
      </c>
      <c r="AA1308" s="90">
        <v>1536</v>
      </c>
      <c r="AB1308" s="89">
        <f t="shared" si="357"/>
        <v>0</v>
      </c>
      <c r="AC1308" s="89">
        <f t="shared" si="358"/>
        <v>880</v>
      </c>
      <c r="AD1308" s="89">
        <f t="shared" si="359"/>
        <v>0</v>
      </c>
      <c r="AE1308" s="90">
        <f t="shared" si="360"/>
        <v>0</v>
      </c>
      <c r="AF1308" s="90" t="str">
        <f t="shared" si="361"/>
        <v/>
      </c>
      <c r="AG1308" s="90">
        <f t="shared" si="362"/>
        <v>1536</v>
      </c>
      <c r="AH1308" s="90" t="str">
        <f t="shared" si="363"/>
        <v>2018 (triag)</v>
      </c>
      <c r="AI1308" s="90">
        <f t="shared" si="364"/>
        <v>1536</v>
      </c>
      <c r="AJ1308" s="90" t="str">
        <f t="shared" si="365"/>
        <v>2018 (triag)</v>
      </c>
      <c r="AK1308" s="90" t="str">
        <f t="shared" si="366"/>
        <v/>
      </c>
      <c r="AL1308" s="91">
        <f>IF(AK1308="Adjust",(_xlfn.XLOOKUP(A1308,'Adj factor'!A:A,'Adj factor'!I:I,,0)*AI1308),'Master DataSheet'!AI1308)</f>
        <v>1536</v>
      </c>
      <c r="AM1308" s="91">
        <f t="shared" si="367"/>
        <v>1536</v>
      </c>
      <c r="AN1308" s="92" t="str">
        <f t="shared" si="368"/>
        <v>No change</v>
      </c>
      <c r="AS1308" s="94">
        <f t="shared" si="369"/>
        <v>0</v>
      </c>
      <c r="AT1308" s="94">
        <f t="shared" si="370"/>
        <v>0.36635097754533247</v>
      </c>
      <c r="AU1308" s="94">
        <f t="shared" si="371"/>
        <v>0.34206897166072142</v>
      </c>
    </row>
    <row r="1309" spans="1:47" x14ac:dyDescent="0.3">
      <c r="A1309" s="85" t="str">
        <f>_xlfn.XLOOKUP(B1309,'Country codes &amp; Data sources'!G:G,'Country codes &amp; Data sources'!H:H,,0)</f>
        <v>Algeria</v>
      </c>
      <c r="B1309" s="85" t="s">
        <v>161</v>
      </c>
      <c r="C1309" s="85">
        <v>37260573.5</v>
      </c>
      <c r="D1309" s="85" t="s">
        <v>337</v>
      </c>
      <c r="E1309" s="86">
        <v>0</v>
      </c>
      <c r="F1309" s="86">
        <v>38000626.500000022</v>
      </c>
      <c r="G1309" s="86">
        <v>0</v>
      </c>
      <c r="H1309" s="86"/>
      <c r="I1309" s="86">
        <v>0</v>
      </c>
      <c r="J1309" s="86"/>
      <c r="K1309" s="86">
        <v>0</v>
      </c>
      <c r="L1309" s="86"/>
      <c r="M1309" s="86">
        <v>0</v>
      </c>
      <c r="N1309" s="86"/>
      <c r="O1309" s="86">
        <v>14263</v>
      </c>
      <c r="P1309" s="86">
        <v>41927007.000000007</v>
      </c>
      <c r="Q1309" s="86">
        <v>15437</v>
      </c>
      <c r="R1309" s="87">
        <f t="shared" si="356"/>
        <v>15437</v>
      </c>
      <c r="T1309" s="87">
        <v>7018</v>
      </c>
      <c r="U1309" s="89"/>
      <c r="V1309" s="89">
        <v>0</v>
      </c>
      <c r="W1309" s="90"/>
      <c r="X1309" s="90">
        <v>0</v>
      </c>
      <c r="Y1309" s="90">
        <v>44903225.000000007</v>
      </c>
      <c r="Z1309" s="90">
        <v>0</v>
      </c>
      <c r="AA1309" s="90">
        <v>12774</v>
      </c>
      <c r="AB1309" s="89">
        <f t="shared" si="357"/>
        <v>0</v>
      </c>
      <c r="AC1309" s="89">
        <f t="shared" si="358"/>
        <v>15437</v>
      </c>
      <c r="AD1309" s="89">
        <f t="shared" si="359"/>
        <v>0</v>
      </c>
      <c r="AE1309" s="90">
        <f t="shared" si="360"/>
        <v>0</v>
      </c>
      <c r="AF1309" s="90" t="str">
        <f t="shared" si="361"/>
        <v/>
      </c>
      <c r="AG1309" s="90">
        <f t="shared" si="362"/>
        <v>15437</v>
      </c>
      <c r="AH1309" s="90">
        <f t="shared" si="363"/>
        <v>2018</v>
      </c>
      <c r="AI1309" s="90">
        <f t="shared" si="364"/>
        <v>7018</v>
      </c>
      <c r="AJ1309" s="90">
        <f t="shared" si="365"/>
        <v>2018</v>
      </c>
      <c r="AK1309" s="90" t="str">
        <f t="shared" si="366"/>
        <v>Adjust</v>
      </c>
      <c r="AL1309" s="91">
        <f>IF(AK1309="Adjust",(_xlfn.XLOOKUP(A1309,'Adj factor'!A:A,'Adj factor'!I:I,,0)*AI1309),'Master DataSheet'!AI1309)</f>
        <v>7999.5581224544294</v>
      </c>
      <c r="AM1309" s="91">
        <f t="shared" si="367"/>
        <v>15437</v>
      </c>
      <c r="AN1309" s="92" t="str">
        <f t="shared" si="368"/>
        <v>Decreasing</v>
      </c>
      <c r="AS1309" s="94">
        <f t="shared" si="369"/>
        <v>0</v>
      </c>
      <c r="AT1309" s="94">
        <f t="shared" si="370"/>
        <v>3.6818750262807924</v>
      </c>
      <c r="AU1309" s="94">
        <f t="shared" si="371"/>
        <v>3.437837705420935</v>
      </c>
    </row>
    <row r="1310" spans="1:47" x14ac:dyDescent="0.3">
      <c r="A1310" s="85" t="str">
        <f>_xlfn.XLOOKUP(B1310,'Country codes &amp; Data sources'!G:G,'Country codes &amp; Data sources'!H:H,,0)</f>
        <v>Algeria</v>
      </c>
      <c r="B1310" s="85" t="s">
        <v>161</v>
      </c>
      <c r="C1310" s="85">
        <v>37260574.5</v>
      </c>
      <c r="D1310" s="85" t="s">
        <v>338</v>
      </c>
      <c r="E1310" s="86">
        <v>0</v>
      </c>
      <c r="F1310" s="86">
        <v>38000626.500000022</v>
      </c>
      <c r="G1310" s="86">
        <v>0</v>
      </c>
      <c r="H1310" s="86"/>
      <c r="I1310" s="86">
        <v>0</v>
      </c>
      <c r="J1310" s="86"/>
      <c r="K1310" s="86">
        <v>0</v>
      </c>
      <c r="L1310" s="86"/>
      <c r="M1310" s="86">
        <v>0</v>
      </c>
      <c r="N1310" s="86"/>
      <c r="O1310" s="86">
        <v>0</v>
      </c>
      <c r="P1310" s="86">
        <v>41927007.000000007</v>
      </c>
      <c r="Q1310" s="86">
        <v>46</v>
      </c>
      <c r="R1310" s="87">
        <f t="shared" si="356"/>
        <v>46</v>
      </c>
      <c r="T1310" s="87">
        <v>0</v>
      </c>
      <c r="U1310" s="89"/>
      <c r="V1310" s="89">
        <v>0</v>
      </c>
      <c r="W1310" s="90"/>
      <c r="X1310" s="90">
        <v>0</v>
      </c>
      <c r="Y1310" s="90">
        <v>44903225.000000007</v>
      </c>
      <c r="Z1310" s="90">
        <v>0</v>
      </c>
      <c r="AA1310" s="90">
        <v>7</v>
      </c>
      <c r="AB1310" s="89">
        <f t="shared" si="357"/>
        <v>0</v>
      </c>
      <c r="AC1310" s="89">
        <f t="shared" si="358"/>
        <v>46</v>
      </c>
      <c r="AD1310" s="89">
        <f t="shared" si="359"/>
        <v>0</v>
      </c>
      <c r="AE1310" s="90">
        <f t="shared" si="360"/>
        <v>0</v>
      </c>
      <c r="AF1310" s="90" t="str">
        <f t="shared" si="361"/>
        <v/>
      </c>
      <c r="AG1310" s="90">
        <f t="shared" si="362"/>
        <v>46</v>
      </c>
      <c r="AH1310" s="90">
        <f t="shared" si="363"/>
        <v>2018</v>
      </c>
      <c r="AI1310" s="90">
        <f t="shared" si="364"/>
        <v>46</v>
      </c>
      <c r="AJ1310" s="90">
        <f t="shared" si="365"/>
        <v>2018</v>
      </c>
      <c r="AK1310" s="90" t="str">
        <f t="shared" si="366"/>
        <v/>
      </c>
      <c r="AL1310" s="91">
        <f>IF(AK1310="Adjust",(_xlfn.XLOOKUP(A1310,'Adj factor'!A:A,'Adj factor'!I:I,,0)*AI1310),'Master DataSheet'!AI1310)</f>
        <v>46</v>
      </c>
      <c r="AM1310" s="91">
        <f t="shared" si="367"/>
        <v>46</v>
      </c>
      <c r="AN1310" s="92" t="str">
        <f t="shared" si="368"/>
        <v>No change</v>
      </c>
      <c r="AS1310" s="94">
        <f t="shared" si="369"/>
        <v>0</v>
      </c>
      <c r="AT1310" s="94">
        <f t="shared" si="370"/>
        <v>1.0971448546279489E-2</v>
      </c>
      <c r="AU1310" s="94">
        <f t="shared" si="371"/>
        <v>1.0244253057547647E-2</v>
      </c>
    </row>
    <row r="1311" spans="1:47" x14ac:dyDescent="0.3">
      <c r="A1311" s="85" t="str">
        <f>_xlfn.XLOOKUP(B1311,'Country codes &amp; Data sources'!G:G,'Country codes &amp; Data sources'!H:H,,0)</f>
        <v>Algeria</v>
      </c>
      <c r="B1311" s="85" t="s">
        <v>161</v>
      </c>
      <c r="C1311" s="85">
        <v>37260575.5</v>
      </c>
      <c r="D1311" s="85" t="s">
        <v>339</v>
      </c>
      <c r="E1311" s="86">
        <v>0</v>
      </c>
      <c r="F1311" s="86">
        <v>38000626.500000022</v>
      </c>
      <c r="G1311" s="86">
        <v>0</v>
      </c>
      <c r="H1311" s="86"/>
      <c r="I1311" s="86">
        <v>0</v>
      </c>
      <c r="J1311" s="86"/>
      <c r="K1311" s="86">
        <v>0</v>
      </c>
      <c r="L1311" s="86"/>
      <c r="M1311" s="86">
        <v>0</v>
      </c>
      <c r="N1311" s="86"/>
      <c r="O1311" s="86">
        <v>0</v>
      </c>
      <c r="P1311" s="86">
        <v>41927007.000000007</v>
      </c>
      <c r="Q1311" s="86">
        <v>4403</v>
      </c>
      <c r="R1311" s="87">
        <f t="shared" si="356"/>
        <v>4403</v>
      </c>
      <c r="T1311" s="87">
        <v>0</v>
      </c>
      <c r="U1311" s="89"/>
      <c r="V1311" s="89">
        <v>0</v>
      </c>
      <c r="W1311" s="90"/>
      <c r="X1311" s="90">
        <v>0</v>
      </c>
      <c r="Y1311" s="90">
        <v>44903225.000000007</v>
      </c>
      <c r="Z1311" s="90">
        <v>0</v>
      </c>
      <c r="AA1311" s="90">
        <v>0</v>
      </c>
      <c r="AB1311" s="89">
        <f t="shared" si="357"/>
        <v>0</v>
      </c>
      <c r="AC1311" s="89">
        <f t="shared" si="358"/>
        <v>4403</v>
      </c>
      <c r="AD1311" s="89">
        <f t="shared" si="359"/>
        <v>0</v>
      </c>
      <c r="AE1311" s="90">
        <f t="shared" si="360"/>
        <v>0</v>
      </c>
      <c r="AF1311" s="90" t="str">
        <f t="shared" si="361"/>
        <v/>
      </c>
      <c r="AG1311" s="90">
        <f t="shared" si="362"/>
        <v>4403</v>
      </c>
      <c r="AH1311" s="90">
        <f t="shared" si="363"/>
        <v>2018</v>
      </c>
      <c r="AI1311" s="90">
        <f t="shared" si="364"/>
        <v>4403</v>
      </c>
      <c r="AJ1311" s="90">
        <f t="shared" si="365"/>
        <v>2018</v>
      </c>
      <c r="AK1311" s="90" t="str">
        <f t="shared" si="366"/>
        <v/>
      </c>
      <c r="AL1311" s="91">
        <f>IF(AK1311="Adjust",(_xlfn.XLOOKUP(A1311,'Adj factor'!A:A,'Adj factor'!I:I,,0)*AI1311),'Master DataSheet'!AI1311)</f>
        <v>4403</v>
      </c>
      <c r="AM1311" s="91">
        <f t="shared" si="367"/>
        <v>4403</v>
      </c>
      <c r="AN1311" s="92" t="str">
        <f t="shared" si="368"/>
        <v>No change</v>
      </c>
      <c r="AS1311" s="94">
        <f t="shared" si="369"/>
        <v>0</v>
      </c>
      <c r="AT1311" s="94">
        <f t="shared" si="370"/>
        <v>1.0501584336797518</v>
      </c>
      <c r="AU1311" s="94">
        <f t="shared" si="371"/>
        <v>0.98055317853004975</v>
      </c>
    </row>
    <row r="1312" spans="1:47" x14ac:dyDescent="0.3">
      <c r="A1312" s="85" t="str">
        <f>_xlfn.XLOOKUP(B1312,'Country codes &amp; Data sources'!G:G,'Country codes &amp; Data sources'!H:H,,0)</f>
        <v>Eritrea</v>
      </c>
      <c r="B1312" s="85" t="s">
        <v>194</v>
      </c>
      <c r="C1312" s="85">
        <v>3252595.9999999991</v>
      </c>
      <c r="D1312" s="85" t="s">
        <v>326</v>
      </c>
      <c r="E1312" s="86">
        <v>153</v>
      </c>
      <c r="F1312" s="86">
        <v>3296367</v>
      </c>
      <c r="G1312" s="86">
        <v>172</v>
      </c>
      <c r="H1312" s="86">
        <v>3323425.0000000009</v>
      </c>
      <c r="I1312" s="86">
        <v>204</v>
      </c>
      <c r="J1312" s="86">
        <v>3340005.9999999991</v>
      </c>
      <c r="K1312" s="86">
        <v>212</v>
      </c>
      <c r="L1312" s="86">
        <v>3365287.5000000014</v>
      </c>
      <c r="M1312" s="86">
        <v>226</v>
      </c>
      <c r="N1312" s="86">
        <v>3396933.0000000019</v>
      </c>
      <c r="O1312" s="86">
        <v>224</v>
      </c>
      <c r="P1312" s="86">
        <v>3445374.4999999986</v>
      </c>
      <c r="Q1312" s="86">
        <v>280</v>
      </c>
      <c r="R1312" s="87">
        <f t="shared" si="356"/>
        <v>280</v>
      </c>
      <c r="S1312" s="87">
        <v>3498818.0000000014</v>
      </c>
      <c r="T1312" s="87">
        <v>248</v>
      </c>
      <c r="U1312" s="89">
        <v>3555867.9999999991</v>
      </c>
      <c r="V1312" s="89">
        <v>291</v>
      </c>
      <c r="W1312" s="90">
        <v>3620312.0000000023</v>
      </c>
      <c r="X1312" s="90">
        <v>286</v>
      </c>
      <c r="Y1312" s="90">
        <v>3684031.5000000019</v>
      </c>
      <c r="Z1312" s="90">
        <v>260</v>
      </c>
      <c r="AA1312" s="90">
        <v>280</v>
      </c>
      <c r="AB1312" s="89">
        <f t="shared" si="357"/>
        <v>212</v>
      </c>
      <c r="AC1312" s="89">
        <f t="shared" si="358"/>
        <v>280</v>
      </c>
      <c r="AD1312" s="89">
        <f t="shared" si="359"/>
        <v>291</v>
      </c>
      <c r="AE1312" s="90">
        <f t="shared" si="360"/>
        <v>172</v>
      </c>
      <c r="AF1312" s="90">
        <f t="shared" si="361"/>
        <v>2013</v>
      </c>
      <c r="AG1312" s="90">
        <f t="shared" si="362"/>
        <v>280</v>
      </c>
      <c r="AH1312" s="90">
        <f t="shared" si="363"/>
        <v>2018</v>
      </c>
      <c r="AI1312" s="90">
        <f t="shared" si="364"/>
        <v>260</v>
      </c>
      <c r="AJ1312" s="90">
        <f t="shared" si="365"/>
        <v>2022</v>
      </c>
      <c r="AK1312" s="90" t="str">
        <f t="shared" si="366"/>
        <v>Adjust</v>
      </c>
      <c r="AL1312" s="91">
        <f>IF(AK1312="Adjust",(_xlfn.XLOOKUP(A1312,'Adj factor'!A:A,'Adj factor'!I:I,,0)*AI1312),'Master DataSheet'!AI1312)</f>
        <v>298.81764752330793</v>
      </c>
      <c r="AM1312" s="91">
        <f t="shared" si="367"/>
        <v>298.81764752330793</v>
      </c>
      <c r="AN1312" s="92" t="str">
        <f t="shared" si="368"/>
        <v>Increasing</v>
      </c>
      <c r="AS1312" s="94">
        <f t="shared" si="369"/>
        <v>0.52178656078039853</v>
      </c>
      <c r="AT1312" s="94">
        <f t="shared" si="370"/>
        <v>0.81268378807586839</v>
      </c>
      <c r="AU1312" s="94">
        <f t="shared" si="371"/>
        <v>0.81111588628736697</v>
      </c>
    </row>
    <row r="1313" spans="1:47" x14ac:dyDescent="0.3">
      <c r="A1313" s="85" t="str">
        <f>_xlfn.XLOOKUP(B1313,'Country codes &amp; Data sources'!G:G,'Country codes &amp; Data sources'!H:H,,0)</f>
        <v>Eritrea</v>
      </c>
      <c r="B1313" s="85" t="s">
        <v>194</v>
      </c>
      <c r="C1313" s="85">
        <v>3252597</v>
      </c>
      <c r="D1313" s="85" t="s">
        <v>327</v>
      </c>
      <c r="E1313" s="86">
        <v>0</v>
      </c>
      <c r="F1313" s="86">
        <v>3296367</v>
      </c>
      <c r="G1313" s="86">
        <v>0</v>
      </c>
      <c r="H1313" s="86"/>
      <c r="I1313" s="86">
        <v>0</v>
      </c>
      <c r="J1313" s="86"/>
      <c r="K1313" s="86">
        <v>0</v>
      </c>
      <c r="L1313" s="86"/>
      <c r="M1313" s="86">
        <v>0</v>
      </c>
      <c r="N1313" s="86"/>
      <c r="O1313" s="86">
        <v>0</v>
      </c>
      <c r="P1313" s="86">
        <v>3445374.4999999986</v>
      </c>
      <c r="Q1313" s="86">
        <v>160</v>
      </c>
      <c r="R1313" s="87">
        <f t="shared" si="356"/>
        <v>160</v>
      </c>
      <c r="T1313" s="87">
        <v>0</v>
      </c>
      <c r="U1313" s="89"/>
      <c r="V1313" s="89">
        <v>0</v>
      </c>
      <c r="W1313" s="90"/>
      <c r="X1313" s="90">
        <v>276</v>
      </c>
      <c r="Y1313" s="90">
        <v>3684031.5000000019</v>
      </c>
      <c r="Z1313" s="90">
        <v>260</v>
      </c>
      <c r="AA1313" s="90">
        <v>160</v>
      </c>
      <c r="AB1313" s="89">
        <f t="shared" si="357"/>
        <v>0</v>
      </c>
      <c r="AC1313" s="89">
        <f t="shared" si="358"/>
        <v>160</v>
      </c>
      <c r="AD1313" s="89">
        <f t="shared" si="359"/>
        <v>276</v>
      </c>
      <c r="AE1313" s="90">
        <f t="shared" si="360"/>
        <v>0</v>
      </c>
      <c r="AF1313" s="90" t="str">
        <f t="shared" si="361"/>
        <v/>
      </c>
      <c r="AG1313" s="90">
        <f t="shared" si="362"/>
        <v>160</v>
      </c>
      <c r="AH1313" s="90">
        <f t="shared" si="363"/>
        <v>2018</v>
      </c>
      <c r="AI1313" s="90">
        <f t="shared" si="364"/>
        <v>260</v>
      </c>
      <c r="AJ1313" s="90">
        <f t="shared" si="365"/>
        <v>2022</v>
      </c>
      <c r="AK1313" s="90" t="str">
        <f t="shared" si="366"/>
        <v/>
      </c>
      <c r="AL1313" s="91">
        <f>IF(AK1313="Adjust",(_xlfn.XLOOKUP(A1313,'Adj factor'!A:A,'Adj factor'!I:I,,0)*AI1313),'Master DataSheet'!AI1313)</f>
        <v>260</v>
      </c>
      <c r="AM1313" s="91">
        <f t="shared" si="367"/>
        <v>260</v>
      </c>
      <c r="AN1313" s="92" t="str">
        <f t="shared" si="368"/>
        <v>Increasing</v>
      </c>
      <c r="AS1313" s="94">
        <f t="shared" si="369"/>
        <v>0</v>
      </c>
      <c r="AT1313" s="94">
        <f t="shared" si="370"/>
        <v>0.4643907360433534</v>
      </c>
      <c r="AU1313" s="94">
        <f t="shared" si="371"/>
        <v>0.7057485800542147</v>
      </c>
    </row>
    <row r="1314" spans="1:47" x14ac:dyDescent="0.3">
      <c r="A1314" s="85" t="str">
        <f>_xlfn.XLOOKUP(B1314,'Country codes &amp; Data sources'!G:G,'Country codes &amp; Data sources'!H:H,,0)</f>
        <v>Eritrea</v>
      </c>
      <c r="B1314" s="85" t="s">
        <v>194</v>
      </c>
      <c r="C1314" s="85">
        <v>3252598</v>
      </c>
      <c r="D1314" s="85" t="s">
        <v>328</v>
      </c>
      <c r="E1314" s="86">
        <v>0</v>
      </c>
      <c r="F1314" s="86">
        <v>3296367</v>
      </c>
      <c r="G1314" s="86">
        <v>0</v>
      </c>
      <c r="H1314" s="86"/>
      <c r="I1314" s="86">
        <v>0</v>
      </c>
      <c r="J1314" s="86"/>
      <c r="K1314" s="86">
        <v>0</v>
      </c>
      <c r="L1314" s="86"/>
      <c r="M1314" s="86">
        <v>0</v>
      </c>
      <c r="N1314" s="86"/>
      <c r="O1314" s="86">
        <v>0</v>
      </c>
      <c r="P1314" s="86">
        <v>3445374.4999999986</v>
      </c>
      <c r="Q1314" s="86">
        <v>120</v>
      </c>
      <c r="R1314" s="87">
        <f t="shared" si="356"/>
        <v>120</v>
      </c>
      <c r="T1314" s="87">
        <v>0</v>
      </c>
      <c r="U1314" s="89"/>
      <c r="V1314" s="89">
        <v>0</v>
      </c>
      <c r="W1314" s="90"/>
      <c r="X1314" s="90">
        <v>10</v>
      </c>
      <c r="Y1314" s="90">
        <v>3684031.5000000019</v>
      </c>
      <c r="Z1314" s="90">
        <v>0</v>
      </c>
      <c r="AA1314" s="90">
        <v>120</v>
      </c>
      <c r="AB1314" s="89">
        <f t="shared" si="357"/>
        <v>0</v>
      </c>
      <c r="AC1314" s="89">
        <f t="shared" si="358"/>
        <v>120</v>
      </c>
      <c r="AD1314" s="89">
        <f t="shared" si="359"/>
        <v>10</v>
      </c>
      <c r="AE1314" s="90">
        <f t="shared" si="360"/>
        <v>0</v>
      </c>
      <c r="AF1314" s="90" t="str">
        <f t="shared" si="361"/>
        <v/>
      </c>
      <c r="AG1314" s="90">
        <f t="shared" si="362"/>
        <v>120</v>
      </c>
      <c r="AH1314" s="90">
        <f t="shared" si="363"/>
        <v>2018</v>
      </c>
      <c r="AI1314" s="90">
        <f t="shared" si="364"/>
        <v>10</v>
      </c>
      <c r="AJ1314" s="90">
        <f t="shared" si="365"/>
        <v>2021</v>
      </c>
      <c r="AK1314" s="90" t="str">
        <f t="shared" si="366"/>
        <v>Adjust</v>
      </c>
      <c r="AL1314" s="91">
        <f>IF(AK1314="Adjust",(_xlfn.XLOOKUP(A1314,'Adj factor'!A:A,'Adj factor'!I:I,,0)*AI1314),'Master DataSheet'!AI1314)</f>
        <v>11.492986443204153</v>
      </c>
      <c r="AM1314" s="91">
        <f t="shared" si="367"/>
        <v>120</v>
      </c>
      <c r="AN1314" s="92" t="str">
        <f t="shared" si="368"/>
        <v>Decreasing</v>
      </c>
      <c r="AS1314" s="94">
        <f t="shared" si="369"/>
        <v>0</v>
      </c>
      <c r="AT1314" s="94">
        <f t="shared" si="370"/>
        <v>0.34829305203251504</v>
      </c>
      <c r="AU1314" s="94">
        <f t="shared" si="371"/>
        <v>0.32573011387117601</v>
      </c>
    </row>
    <row r="1315" spans="1:47" x14ac:dyDescent="0.3">
      <c r="A1315" s="85" t="str">
        <f>_xlfn.XLOOKUP(B1315,'Country codes &amp; Data sources'!G:G,'Country codes &amp; Data sources'!H:H,,0)</f>
        <v>Eritrea</v>
      </c>
      <c r="B1315" s="85" t="s">
        <v>194</v>
      </c>
      <c r="C1315" s="85">
        <v>3252599</v>
      </c>
      <c r="D1315" s="85" t="s">
        <v>329</v>
      </c>
      <c r="E1315" s="86">
        <v>0</v>
      </c>
      <c r="F1315" s="86">
        <v>3296367</v>
      </c>
      <c r="G1315" s="86">
        <v>4262</v>
      </c>
      <c r="H1315" s="86"/>
      <c r="I1315" s="86">
        <v>4132</v>
      </c>
      <c r="J1315" s="86"/>
      <c r="K1315" s="86">
        <v>3962</v>
      </c>
      <c r="L1315" s="86"/>
      <c r="M1315" s="86">
        <v>4484</v>
      </c>
      <c r="N1315" s="86"/>
      <c r="O1315" s="86">
        <v>4528</v>
      </c>
      <c r="P1315" s="86">
        <v>3445374.4999999986</v>
      </c>
      <c r="Q1315" s="86">
        <v>4971</v>
      </c>
      <c r="R1315" s="87">
        <f t="shared" si="356"/>
        <v>4971</v>
      </c>
      <c r="T1315" s="87">
        <v>0</v>
      </c>
      <c r="U1315" s="89"/>
      <c r="V1315" s="89">
        <v>0</v>
      </c>
      <c r="W1315" s="90"/>
      <c r="X1315" s="90">
        <v>4681</v>
      </c>
      <c r="Y1315" s="90">
        <v>3684031.5000000019</v>
      </c>
      <c r="Z1315" s="90">
        <v>5007</v>
      </c>
      <c r="AA1315" s="90">
        <v>3939</v>
      </c>
      <c r="AB1315" s="89">
        <f t="shared" si="357"/>
        <v>4262</v>
      </c>
      <c r="AC1315" s="89">
        <f t="shared" si="358"/>
        <v>4971</v>
      </c>
      <c r="AD1315" s="89">
        <f t="shared" si="359"/>
        <v>5007</v>
      </c>
      <c r="AE1315" s="90">
        <f t="shared" si="360"/>
        <v>4262</v>
      </c>
      <c r="AF1315" s="90">
        <f t="shared" si="361"/>
        <v>2013</v>
      </c>
      <c r="AG1315" s="90">
        <f t="shared" si="362"/>
        <v>4971</v>
      </c>
      <c r="AH1315" s="90">
        <f t="shared" si="363"/>
        <v>2018</v>
      </c>
      <c r="AI1315" s="90">
        <f t="shared" si="364"/>
        <v>5007</v>
      </c>
      <c r="AJ1315" s="90">
        <f t="shared" si="365"/>
        <v>2022</v>
      </c>
      <c r="AK1315" s="90" t="str">
        <f t="shared" si="366"/>
        <v/>
      </c>
      <c r="AL1315" s="91">
        <f>IF(AK1315="Adjust",(_xlfn.XLOOKUP(A1315,'Adj factor'!A:A,'Adj factor'!I:I,,0)*AI1315),'Master DataSheet'!AI1315)</f>
        <v>5007</v>
      </c>
      <c r="AM1315" s="91">
        <f t="shared" si="367"/>
        <v>5007</v>
      </c>
      <c r="AN1315" s="92" t="str">
        <f t="shared" si="368"/>
        <v>Increasing</v>
      </c>
      <c r="AS1315" s="94">
        <f t="shared" si="369"/>
        <v>12.929385593291038</v>
      </c>
      <c r="AT1315" s="94">
        <f t="shared" si="370"/>
        <v>14.428039680446936</v>
      </c>
      <c r="AU1315" s="94">
        <f t="shared" si="371"/>
        <v>13.591089001274819</v>
      </c>
    </row>
    <row r="1316" spans="1:47" x14ac:dyDescent="0.3">
      <c r="A1316" s="85" t="str">
        <f>_xlfn.XLOOKUP(B1316,'Country codes &amp; Data sources'!G:G,'Country codes &amp; Data sources'!H:H,,0)</f>
        <v>Eritrea</v>
      </c>
      <c r="B1316" s="85" t="s">
        <v>194</v>
      </c>
      <c r="C1316" s="85">
        <v>3252600</v>
      </c>
      <c r="D1316" s="85" t="s">
        <v>330</v>
      </c>
      <c r="E1316" s="86">
        <v>0</v>
      </c>
      <c r="F1316" s="86">
        <v>3296367</v>
      </c>
      <c r="G1316" s="86">
        <v>1395</v>
      </c>
      <c r="H1316" s="86"/>
      <c r="I1316" s="86">
        <v>1397</v>
      </c>
      <c r="J1316" s="86"/>
      <c r="K1316" s="86">
        <v>1304</v>
      </c>
      <c r="L1316" s="86"/>
      <c r="M1316" s="86">
        <v>1505</v>
      </c>
      <c r="N1316" s="86"/>
      <c r="O1316" s="86">
        <v>1629</v>
      </c>
      <c r="P1316" s="86">
        <v>3445374.4999999986</v>
      </c>
      <c r="Q1316" s="86">
        <v>2058</v>
      </c>
      <c r="R1316" s="87">
        <f t="shared" si="356"/>
        <v>2058</v>
      </c>
      <c r="T1316" s="87">
        <v>0</v>
      </c>
      <c r="U1316" s="89"/>
      <c r="V1316" s="89">
        <v>0</v>
      </c>
      <c r="W1316" s="90"/>
      <c r="X1316" s="90">
        <v>1449</v>
      </c>
      <c r="Y1316" s="90">
        <v>3684031.5000000019</v>
      </c>
      <c r="Z1316" s="90">
        <v>1447</v>
      </c>
      <c r="AA1316" s="90">
        <v>1442</v>
      </c>
      <c r="AB1316" s="89">
        <f t="shared" si="357"/>
        <v>1397</v>
      </c>
      <c r="AC1316" s="89">
        <f t="shared" si="358"/>
        <v>2058</v>
      </c>
      <c r="AD1316" s="89">
        <f t="shared" si="359"/>
        <v>1449</v>
      </c>
      <c r="AE1316" s="90">
        <f t="shared" si="360"/>
        <v>1395</v>
      </c>
      <c r="AF1316" s="90">
        <f t="shared" si="361"/>
        <v>2013</v>
      </c>
      <c r="AG1316" s="90">
        <f t="shared" si="362"/>
        <v>2058</v>
      </c>
      <c r="AH1316" s="90">
        <f t="shared" si="363"/>
        <v>2018</v>
      </c>
      <c r="AI1316" s="90">
        <f t="shared" si="364"/>
        <v>1447</v>
      </c>
      <c r="AJ1316" s="90">
        <f t="shared" si="365"/>
        <v>2022</v>
      </c>
      <c r="AK1316" s="90" t="str">
        <f t="shared" si="366"/>
        <v>Adjust</v>
      </c>
      <c r="AL1316" s="91">
        <f>IF(AK1316="Adjust",(_xlfn.XLOOKUP(A1316,'Adj factor'!A:A,'Adj factor'!I:I,,0)*AI1316),'Master DataSheet'!AI1316)</f>
        <v>1663.0351383316408</v>
      </c>
      <c r="AM1316" s="91">
        <f t="shared" si="367"/>
        <v>2058</v>
      </c>
      <c r="AN1316" s="92" t="str">
        <f t="shared" si="368"/>
        <v>Decreasing</v>
      </c>
      <c r="AS1316" s="94">
        <f t="shared" si="369"/>
        <v>4.2319316993526508</v>
      </c>
      <c r="AT1316" s="94">
        <f t="shared" si="370"/>
        <v>5.9732258423576328</v>
      </c>
      <c r="AU1316" s="94">
        <f t="shared" si="371"/>
        <v>5.586271452890669</v>
      </c>
    </row>
    <row r="1317" spans="1:47" x14ac:dyDescent="0.3">
      <c r="A1317" s="85" t="str">
        <f>_xlfn.XLOOKUP(B1317,'Country codes &amp; Data sources'!G:G,'Country codes &amp; Data sources'!H:H,,0)</f>
        <v>Eritrea</v>
      </c>
      <c r="B1317" s="85" t="s">
        <v>194</v>
      </c>
      <c r="C1317" s="85">
        <v>3252601</v>
      </c>
      <c r="D1317" s="85" t="s">
        <v>331</v>
      </c>
      <c r="E1317" s="86">
        <v>0</v>
      </c>
      <c r="F1317" s="86">
        <v>3296367</v>
      </c>
      <c r="G1317" s="86">
        <v>2867</v>
      </c>
      <c r="H1317" s="86"/>
      <c r="I1317" s="86">
        <v>2735</v>
      </c>
      <c r="J1317" s="86"/>
      <c r="K1317" s="86">
        <v>2658</v>
      </c>
      <c r="L1317" s="86"/>
      <c r="M1317" s="86">
        <v>2979</v>
      </c>
      <c r="N1317" s="86"/>
      <c r="O1317" s="86">
        <v>2899</v>
      </c>
      <c r="P1317" s="86">
        <v>3445374.4999999986</v>
      </c>
      <c r="Q1317" s="86">
        <v>2913</v>
      </c>
      <c r="R1317" s="87">
        <f t="shared" si="356"/>
        <v>2913</v>
      </c>
      <c r="T1317" s="87">
        <v>0</v>
      </c>
      <c r="U1317" s="89"/>
      <c r="V1317" s="89">
        <v>0</v>
      </c>
      <c r="W1317" s="90"/>
      <c r="X1317" s="90">
        <v>3050</v>
      </c>
      <c r="Y1317" s="90">
        <v>3684031.5000000019</v>
      </c>
      <c r="Z1317" s="90">
        <v>3372</v>
      </c>
      <c r="AA1317" s="90">
        <v>2497</v>
      </c>
      <c r="AB1317" s="89">
        <f t="shared" si="357"/>
        <v>2867</v>
      </c>
      <c r="AC1317" s="89">
        <f t="shared" si="358"/>
        <v>2979</v>
      </c>
      <c r="AD1317" s="89">
        <f t="shared" si="359"/>
        <v>3372</v>
      </c>
      <c r="AE1317" s="90">
        <f t="shared" si="360"/>
        <v>2867</v>
      </c>
      <c r="AF1317" s="90">
        <f t="shared" si="361"/>
        <v>2013</v>
      </c>
      <c r="AG1317" s="90">
        <f t="shared" si="362"/>
        <v>2913</v>
      </c>
      <c r="AH1317" s="90">
        <f t="shared" si="363"/>
        <v>2018</v>
      </c>
      <c r="AI1317" s="90">
        <f t="shared" si="364"/>
        <v>3372</v>
      </c>
      <c r="AJ1317" s="90">
        <f t="shared" si="365"/>
        <v>2022</v>
      </c>
      <c r="AK1317" s="90" t="str">
        <f t="shared" si="366"/>
        <v/>
      </c>
      <c r="AL1317" s="91">
        <f>IF(AK1317="Adjust",(_xlfn.XLOOKUP(A1317,'Adj factor'!A:A,'Adj factor'!I:I,,0)*AI1317),'Master DataSheet'!AI1317)</f>
        <v>3372</v>
      </c>
      <c r="AM1317" s="91">
        <f t="shared" si="367"/>
        <v>3372</v>
      </c>
      <c r="AN1317" s="92" t="str">
        <f t="shared" si="368"/>
        <v>Increasing</v>
      </c>
      <c r="AS1317" s="94">
        <f t="shared" si="369"/>
        <v>8.6974538939383876</v>
      </c>
      <c r="AT1317" s="94">
        <f t="shared" si="370"/>
        <v>8.4548138380893025</v>
      </c>
      <c r="AU1317" s="94">
        <f t="shared" si="371"/>
        <v>9.1530161997800459</v>
      </c>
    </row>
    <row r="1318" spans="1:47" x14ac:dyDescent="0.3">
      <c r="A1318" s="85" t="str">
        <f>_xlfn.XLOOKUP(B1318,'Country codes &amp; Data sources'!G:G,'Country codes &amp; Data sources'!H:H,,0)</f>
        <v>Eritrea</v>
      </c>
      <c r="B1318" s="85" t="s">
        <v>194</v>
      </c>
      <c r="C1318" s="85">
        <v>3252602</v>
      </c>
      <c r="D1318" s="85" t="s">
        <v>332</v>
      </c>
      <c r="E1318" s="86">
        <v>0</v>
      </c>
      <c r="F1318" s="86">
        <v>3296367</v>
      </c>
      <c r="G1318" s="86">
        <v>0</v>
      </c>
      <c r="H1318" s="86"/>
      <c r="I1318" s="86">
        <v>0</v>
      </c>
      <c r="J1318" s="86"/>
      <c r="K1318" s="86">
        <v>0</v>
      </c>
      <c r="L1318" s="86"/>
      <c r="M1318" s="86">
        <v>376</v>
      </c>
      <c r="N1318" s="86"/>
      <c r="O1318" s="86">
        <v>0</v>
      </c>
      <c r="P1318" s="86">
        <v>3445374.4999999986</v>
      </c>
      <c r="Q1318" s="86">
        <v>0</v>
      </c>
      <c r="R1318" s="87">
        <f t="shared" si="356"/>
        <v>45</v>
      </c>
      <c r="T1318" s="87">
        <v>0</v>
      </c>
      <c r="U1318" s="89"/>
      <c r="V1318" s="89">
        <v>0</v>
      </c>
      <c r="W1318" s="90"/>
      <c r="X1318" s="90">
        <v>67</v>
      </c>
      <c r="Y1318" s="90">
        <v>3684031.5000000019</v>
      </c>
      <c r="Z1318" s="90">
        <v>67</v>
      </c>
      <c r="AA1318" s="90">
        <v>45</v>
      </c>
      <c r="AB1318" s="89">
        <f t="shared" si="357"/>
        <v>0</v>
      </c>
      <c r="AC1318" s="89">
        <f t="shared" si="358"/>
        <v>376</v>
      </c>
      <c r="AD1318" s="89">
        <f t="shared" si="359"/>
        <v>67</v>
      </c>
      <c r="AE1318" s="90">
        <f t="shared" si="360"/>
        <v>0</v>
      </c>
      <c r="AF1318" s="90" t="str">
        <f t="shared" si="361"/>
        <v/>
      </c>
      <c r="AG1318" s="90">
        <f t="shared" si="362"/>
        <v>45</v>
      </c>
      <c r="AH1318" s="90" t="str">
        <f t="shared" si="363"/>
        <v>2018 (triag)</v>
      </c>
      <c r="AI1318" s="90">
        <f t="shared" si="364"/>
        <v>67</v>
      </c>
      <c r="AJ1318" s="90">
        <f t="shared" si="365"/>
        <v>2021</v>
      </c>
      <c r="AK1318" s="90" t="str">
        <f t="shared" si="366"/>
        <v/>
      </c>
      <c r="AL1318" s="91">
        <f>IF(AK1318="Adjust",(_xlfn.XLOOKUP(A1318,'Adj factor'!A:A,'Adj factor'!I:I,,0)*AI1318),'Master DataSheet'!AI1318)</f>
        <v>67</v>
      </c>
      <c r="AM1318" s="91">
        <f t="shared" si="367"/>
        <v>67</v>
      </c>
      <c r="AN1318" s="92" t="str">
        <f t="shared" si="368"/>
        <v>Increasing</v>
      </c>
      <c r="AS1318" s="94">
        <f t="shared" si="369"/>
        <v>0</v>
      </c>
      <c r="AT1318" s="94">
        <f t="shared" si="370"/>
        <v>0.13060989451219315</v>
      </c>
      <c r="AU1318" s="94">
        <f t="shared" si="371"/>
        <v>0.18186598024473993</v>
      </c>
    </row>
    <row r="1319" spans="1:47" x14ac:dyDescent="0.3">
      <c r="A1319" s="85" t="str">
        <f>_xlfn.XLOOKUP(B1319,'Country codes &amp; Data sources'!G:G,'Country codes &amp; Data sources'!H:H,,0)</f>
        <v>Eritrea</v>
      </c>
      <c r="B1319" s="85" t="s">
        <v>194</v>
      </c>
      <c r="C1319" s="85">
        <v>3252603</v>
      </c>
      <c r="D1319" s="85" t="s">
        <v>333</v>
      </c>
      <c r="E1319" s="86">
        <v>0</v>
      </c>
      <c r="F1319" s="86">
        <v>3296367</v>
      </c>
      <c r="G1319" s="86">
        <v>0</v>
      </c>
      <c r="H1319" s="86"/>
      <c r="I1319" s="86">
        <v>0</v>
      </c>
      <c r="J1319" s="86"/>
      <c r="K1319" s="86">
        <v>0</v>
      </c>
      <c r="L1319" s="86"/>
      <c r="M1319" s="86">
        <v>376</v>
      </c>
      <c r="N1319" s="86"/>
      <c r="O1319" s="86">
        <v>0</v>
      </c>
      <c r="P1319" s="86">
        <v>3445374.4999999986</v>
      </c>
      <c r="Q1319" s="86">
        <v>0</v>
      </c>
      <c r="R1319" s="87">
        <f t="shared" si="356"/>
        <v>45</v>
      </c>
      <c r="T1319" s="87">
        <v>0</v>
      </c>
      <c r="U1319" s="89"/>
      <c r="V1319" s="89">
        <v>0</v>
      </c>
      <c r="W1319" s="90"/>
      <c r="X1319" s="90">
        <v>67</v>
      </c>
      <c r="Y1319" s="90">
        <v>3684031.5000000019</v>
      </c>
      <c r="Z1319" s="90">
        <v>67</v>
      </c>
      <c r="AA1319" s="90">
        <v>45</v>
      </c>
      <c r="AB1319" s="89">
        <f t="shared" si="357"/>
        <v>0</v>
      </c>
      <c r="AC1319" s="89">
        <f t="shared" si="358"/>
        <v>376</v>
      </c>
      <c r="AD1319" s="89">
        <f t="shared" si="359"/>
        <v>67</v>
      </c>
      <c r="AE1319" s="90">
        <f t="shared" si="360"/>
        <v>0</v>
      </c>
      <c r="AF1319" s="90" t="str">
        <f t="shared" si="361"/>
        <v/>
      </c>
      <c r="AG1319" s="90">
        <f t="shared" si="362"/>
        <v>45</v>
      </c>
      <c r="AH1319" s="90" t="str">
        <f t="shared" si="363"/>
        <v>2018 (triag)</v>
      </c>
      <c r="AI1319" s="90">
        <f t="shared" si="364"/>
        <v>67</v>
      </c>
      <c r="AJ1319" s="90">
        <f t="shared" si="365"/>
        <v>2021</v>
      </c>
      <c r="AK1319" s="90" t="str">
        <f t="shared" si="366"/>
        <v/>
      </c>
      <c r="AL1319" s="91">
        <f>IF(AK1319="Adjust",(_xlfn.XLOOKUP(A1319,'Adj factor'!A:A,'Adj factor'!I:I,,0)*AI1319),'Master DataSheet'!AI1319)</f>
        <v>67</v>
      </c>
      <c r="AM1319" s="91">
        <f t="shared" si="367"/>
        <v>67</v>
      </c>
      <c r="AN1319" s="92" t="str">
        <f t="shared" si="368"/>
        <v>Increasing</v>
      </c>
      <c r="AS1319" s="94">
        <f t="shared" si="369"/>
        <v>0</v>
      </c>
      <c r="AT1319" s="94">
        <f t="shared" si="370"/>
        <v>0.13060989451219315</v>
      </c>
      <c r="AU1319" s="94">
        <f t="shared" si="371"/>
        <v>0.18186598024473993</v>
      </c>
    </row>
    <row r="1320" spans="1:47" x14ac:dyDescent="0.3">
      <c r="A1320" s="85" t="str">
        <f>_xlfn.XLOOKUP(B1320,'Country codes &amp; Data sources'!G:G,'Country codes &amp; Data sources'!H:H,,0)</f>
        <v>Eritrea</v>
      </c>
      <c r="B1320" s="85" t="s">
        <v>194</v>
      </c>
      <c r="C1320" s="85">
        <v>3252604</v>
      </c>
      <c r="D1320" s="85" t="s">
        <v>334</v>
      </c>
      <c r="E1320" s="86">
        <v>0</v>
      </c>
      <c r="F1320" s="86">
        <v>3296367</v>
      </c>
      <c r="G1320" s="86">
        <v>0</v>
      </c>
      <c r="H1320" s="86"/>
      <c r="I1320" s="86">
        <v>0</v>
      </c>
      <c r="J1320" s="86"/>
      <c r="K1320" s="86">
        <v>0</v>
      </c>
      <c r="L1320" s="86"/>
      <c r="M1320" s="86">
        <v>0</v>
      </c>
      <c r="N1320" s="86"/>
      <c r="O1320" s="86">
        <v>0</v>
      </c>
      <c r="P1320" s="86">
        <v>3445374.4999999986</v>
      </c>
      <c r="Q1320" s="86">
        <v>0</v>
      </c>
      <c r="R1320" s="87">
        <f t="shared" si="356"/>
        <v>0</v>
      </c>
      <c r="T1320" s="87">
        <v>0</v>
      </c>
      <c r="U1320" s="89"/>
      <c r="V1320" s="89">
        <v>0</v>
      </c>
      <c r="W1320" s="90"/>
      <c r="X1320" s="90">
        <v>0</v>
      </c>
      <c r="Y1320" s="90">
        <v>3684031.5000000019</v>
      </c>
      <c r="Z1320" s="90">
        <v>0</v>
      </c>
      <c r="AA1320" s="90">
        <v>0</v>
      </c>
      <c r="AB1320" s="89">
        <f t="shared" si="357"/>
        <v>0</v>
      </c>
      <c r="AC1320" s="89">
        <f t="shared" si="358"/>
        <v>0</v>
      </c>
      <c r="AD1320" s="89">
        <f t="shared" si="359"/>
        <v>0</v>
      </c>
      <c r="AE1320" s="90">
        <f t="shared" si="360"/>
        <v>0</v>
      </c>
      <c r="AF1320" s="90" t="str">
        <f t="shared" si="361"/>
        <v/>
      </c>
      <c r="AG1320" s="90">
        <f t="shared" si="362"/>
        <v>0</v>
      </c>
      <c r="AH1320" s="90" t="str">
        <f t="shared" si="363"/>
        <v/>
      </c>
      <c r="AI1320" s="90">
        <f t="shared" si="364"/>
        <v>0</v>
      </c>
      <c r="AJ1320" s="90" t="str">
        <f t="shared" si="365"/>
        <v/>
      </c>
      <c r="AK1320" s="90" t="str">
        <f t="shared" si="366"/>
        <v/>
      </c>
      <c r="AL1320" s="91">
        <f>IF(AK1320="Adjust",(_xlfn.XLOOKUP(A1320,'Adj factor'!A:A,'Adj factor'!I:I,,0)*AI1320),'Master DataSheet'!AI1320)</f>
        <v>0</v>
      </c>
      <c r="AM1320" s="91">
        <f t="shared" si="367"/>
        <v>0</v>
      </c>
      <c r="AN1320" s="92" t="str">
        <f t="shared" si="368"/>
        <v>No change</v>
      </c>
      <c r="AS1320" s="94">
        <f t="shared" si="369"/>
        <v>0</v>
      </c>
      <c r="AT1320" s="94">
        <f t="shared" si="370"/>
        <v>0</v>
      </c>
      <c r="AU1320" s="94">
        <f t="shared" si="371"/>
        <v>0</v>
      </c>
    </row>
    <row r="1321" spans="1:47" x14ac:dyDescent="0.3">
      <c r="A1321" s="85" t="str">
        <f>_xlfn.XLOOKUP(B1321,'Country codes &amp; Data sources'!G:G,'Country codes &amp; Data sources'!H:H,,0)</f>
        <v>Eritrea</v>
      </c>
      <c r="B1321" s="85" t="s">
        <v>194</v>
      </c>
      <c r="C1321" s="85">
        <v>3252605</v>
      </c>
      <c r="D1321" s="85" t="s">
        <v>335</v>
      </c>
      <c r="E1321" s="86">
        <v>0</v>
      </c>
      <c r="F1321" s="86">
        <v>3296367</v>
      </c>
      <c r="G1321" s="86">
        <v>0</v>
      </c>
      <c r="H1321" s="86"/>
      <c r="I1321" s="86">
        <v>0</v>
      </c>
      <c r="J1321" s="86"/>
      <c r="K1321" s="86">
        <v>0</v>
      </c>
      <c r="L1321" s="86"/>
      <c r="M1321" s="86">
        <v>0</v>
      </c>
      <c r="N1321" s="86"/>
      <c r="O1321" s="86">
        <v>0</v>
      </c>
      <c r="P1321" s="86">
        <v>3445374.4999999986</v>
      </c>
      <c r="Q1321" s="86">
        <v>451</v>
      </c>
      <c r="R1321" s="87">
        <f t="shared" si="356"/>
        <v>451</v>
      </c>
      <c r="T1321" s="87">
        <v>0</v>
      </c>
      <c r="U1321" s="89"/>
      <c r="V1321" s="89">
        <v>0</v>
      </c>
      <c r="W1321" s="90"/>
      <c r="X1321" s="90">
        <v>208</v>
      </c>
      <c r="Y1321" s="90">
        <v>3684031.5000000019</v>
      </c>
      <c r="Z1321" s="90">
        <v>199</v>
      </c>
      <c r="AA1321" s="90">
        <v>151</v>
      </c>
      <c r="AB1321" s="89">
        <f t="shared" si="357"/>
        <v>0</v>
      </c>
      <c r="AC1321" s="89">
        <f t="shared" si="358"/>
        <v>451</v>
      </c>
      <c r="AD1321" s="89">
        <f t="shared" si="359"/>
        <v>208</v>
      </c>
      <c r="AE1321" s="90">
        <f t="shared" si="360"/>
        <v>0</v>
      </c>
      <c r="AF1321" s="90" t="str">
        <f t="shared" si="361"/>
        <v/>
      </c>
      <c r="AG1321" s="90">
        <f t="shared" si="362"/>
        <v>451</v>
      </c>
      <c r="AH1321" s="90">
        <f t="shared" si="363"/>
        <v>2018</v>
      </c>
      <c r="AI1321" s="90">
        <f t="shared" si="364"/>
        <v>199</v>
      </c>
      <c r="AJ1321" s="90">
        <f t="shared" si="365"/>
        <v>2022</v>
      </c>
      <c r="AK1321" s="90" t="str">
        <f t="shared" si="366"/>
        <v>Adjust</v>
      </c>
      <c r="AL1321" s="91">
        <f>IF(AK1321="Adjust",(_xlfn.XLOOKUP(A1321,'Adj factor'!A:A,'Adj factor'!I:I,,0)*AI1321),'Master DataSheet'!AI1321)</f>
        <v>228.71043021976263</v>
      </c>
      <c r="AM1321" s="91">
        <f t="shared" si="367"/>
        <v>451</v>
      </c>
      <c r="AN1321" s="92" t="str">
        <f t="shared" si="368"/>
        <v>Decreasing</v>
      </c>
      <c r="AS1321" s="94">
        <f t="shared" si="369"/>
        <v>0</v>
      </c>
      <c r="AT1321" s="94">
        <f t="shared" si="370"/>
        <v>1.3090013872222024</v>
      </c>
      <c r="AU1321" s="94">
        <f t="shared" si="371"/>
        <v>1.2242023446325032</v>
      </c>
    </row>
    <row r="1322" spans="1:47" x14ac:dyDescent="0.3">
      <c r="A1322" s="85" t="str">
        <f>_xlfn.XLOOKUP(B1322,'Country codes &amp; Data sources'!G:G,'Country codes &amp; Data sources'!H:H,,0)</f>
        <v>Eritrea</v>
      </c>
      <c r="B1322" s="85" t="s">
        <v>194</v>
      </c>
      <c r="C1322" s="85">
        <v>3252606</v>
      </c>
      <c r="D1322" s="85" t="s">
        <v>336</v>
      </c>
      <c r="E1322" s="86">
        <v>0</v>
      </c>
      <c r="F1322" s="86">
        <v>3296367</v>
      </c>
      <c r="G1322" s="86">
        <v>0</v>
      </c>
      <c r="H1322" s="86"/>
      <c r="I1322" s="86">
        <v>0</v>
      </c>
      <c r="J1322" s="86"/>
      <c r="K1322" s="86">
        <v>0</v>
      </c>
      <c r="L1322" s="86"/>
      <c r="M1322" s="86">
        <v>0</v>
      </c>
      <c r="N1322" s="86"/>
      <c r="O1322" s="86">
        <v>0</v>
      </c>
      <c r="P1322" s="86">
        <v>3445374.4999999986</v>
      </c>
      <c r="Q1322" s="86">
        <v>0</v>
      </c>
      <c r="R1322" s="87">
        <f t="shared" ref="R1322:R1385" si="372">MAX(Q1322,AA1322)</f>
        <v>300</v>
      </c>
      <c r="T1322" s="87">
        <v>0</v>
      </c>
      <c r="U1322" s="89"/>
      <c r="V1322" s="89">
        <v>0</v>
      </c>
      <c r="W1322" s="90"/>
      <c r="X1322" s="90">
        <v>280</v>
      </c>
      <c r="Y1322" s="90">
        <v>3684031.5000000019</v>
      </c>
      <c r="Z1322" s="90">
        <v>288</v>
      </c>
      <c r="AA1322" s="90">
        <v>300</v>
      </c>
      <c r="AB1322" s="89">
        <f t="shared" ref="AB1322:AB1385" si="373">MAX(G1322,E1322,I1322,K1322)</f>
        <v>0</v>
      </c>
      <c r="AC1322" s="89">
        <f t="shared" ref="AC1322:AC1385" si="374">MAX(M1322,O1322,Q1322,T1322)</f>
        <v>0</v>
      </c>
      <c r="AD1322" s="89">
        <f t="shared" ref="AD1322:AD1385" si="375">MAX(V1322,X1322,Z1322)</f>
        <v>288</v>
      </c>
      <c r="AE1322" s="90">
        <f t="shared" ref="AE1322:AE1385" si="376">IF(G1322&gt;0,G1322,IF(E1322&gt;0,E1322,IF(I1322&gt;0,I1322,K1322)))</f>
        <v>0</v>
      </c>
      <c r="AF1322" s="90" t="str">
        <f t="shared" ref="AF1322:AF1385" si="377">IF(AE1322&gt;0,_xlfn.XLOOKUP(AE1322,$B1322:$K1322,$B$1:$K$1,,0),"")</f>
        <v/>
      </c>
      <c r="AG1322" s="90">
        <f t="shared" ref="AG1322:AG1385" si="378">IF(R1322&gt;0,R1322,IF(O1322&gt;0,O1322,T1322))</f>
        <v>300</v>
      </c>
      <c r="AH1322" s="90" t="str">
        <f t="shared" ref="AH1322:AH1385" si="379">IF(AG1322&gt;0,_xlfn.XLOOKUP(AG1322,$L1322:$T1322,$L$1:$T$1,,0),"")</f>
        <v>2018 (triag)</v>
      </c>
      <c r="AI1322" s="90">
        <f t="shared" ref="AI1322:AI1385" si="380">IF((IF(Z1322&gt;0,Z1322,IF(X1322&gt;0,X1322,IF(V1322&gt;0,V1322,T1322))))=0,AG1322,IF(Z1322&gt;0,Z1322,IF(X1322&gt;0,X1322,IF(V1322&gt;0,V1322,T1322))))</f>
        <v>288</v>
      </c>
      <c r="AJ1322" s="90">
        <f t="shared" ref="AJ1322:AJ1385" si="381">IFERROR(IF(AI1322&gt;0,_xlfn.XLOOKUP(AI1322,$V1322:$Z1322,$V$1:$Z$1,,0),""),AH1322)</f>
        <v>2022</v>
      </c>
      <c r="AK1322" s="90" t="str">
        <f t="shared" ref="AK1322:AK1385" si="382">IF(AI1322&lt;AG1322,"Adjust","")</f>
        <v>Adjust</v>
      </c>
      <c r="AL1322" s="91">
        <f>IF(AK1322="Adjust",(_xlfn.XLOOKUP(A1322,'Adj factor'!A:A,'Adj factor'!I:I,,0)*AI1322),'Master DataSheet'!AI1322)</f>
        <v>330.99800956427958</v>
      </c>
      <c r="AM1322" s="91">
        <f t="shared" ref="AM1322:AM1385" si="383">IF(AL1322&lt;AG1322,AG1322,AL1322)</f>
        <v>330.99800956427958</v>
      </c>
      <c r="AN1322" s="92" t="str">
        <f t="shared" ref="AN1322:AN1385" si="384">IF(AL1322&gt;AG1322,"Increasing",IF(AL1322&lt;AG1322,"Decreasing","No change"))</f>
        <v>Increasing</v>
      </c>
      <c r="AS1322" s="94">
        <f t="shared" ref="AS1322:AS1385" si="385">(AE1322*10000)/F1322</f>
        <v>0</v>
      </c>
      <c r="AT1322" s="94">
        <f t="shared" ref="AT1322:AT1385" si="386">(AG1322*10000)/P1322</f>
        <v>0.87073263008128765</v>
      </c>
      <c r="AU1322" s="94">
        <f t="shared" ref="AU1322:AU1385" si="387">(AM1322*10000)/Y1322</f>
        <v>0.89846682788754495</v>
      </c>
    </row>
    <row r="1323" spans="1:47" x14ac:dyDescent="0.3">
      <c r="A1323" s="85" t="str">
        <f>_xlfn.XLOOKUP(B1323,'Country codes &amp; Data sources'!G:G,'Country codes &amp; Data sources'!H:H,,0)</f>
        <v>Eritrea</v>
      </c>
      <c r="B1323" s="85" t="s">
        <v>194</v>
      </c>
      <c r="C1323" s="85">
        <v>3252607</v>
      </c>
      <c r="D1323" s="85" t="s">
        <v>337</v>
      </c>
      <c r="E1323" s="86">
        <v>0</v>
      </c>
      <c r="F1323" s="86">
        <v>3296367</v>
      </c>
      <c r="G1323" s="86">
        <v>0</v>
      </c>
      <c r="H1323" s="86"/>
      <c r="I1323" s="86">
        <v>0</v>
      </c>
      <c r="J1323" s="86"/>
      <c r="K1323" s="86">
        <v>0</v>
      </c>
      <c r="L1323" s="86"/>
      <c r="M1323" s="86">
        <v>0</v>
      </c>
      <c r="N1323" s="86"/>
      <c r="O1323" s="86">
        <v>0</v>
      </c>
      <c r="P1323" s="86">
        <v>3445374.4999999986</v>
      </c>
      <c r="Q1323" s="86">
        <v>186</v>
      </c>
      <c r="R1323" s="87">
        <f t="shared" si="372"/>
        <v>186</v>
      </c>
      <c r="T1323" s="87">
        <v>0</v>
      </c>
      <c r="U1323" s="89"/>
      <c r="V1323" s="89">
        <v>0</v>
      </c>
      <c r="W1323" s="90"/>
      <c r="X1323" s="90">
        <v>60</v>
      </c>
      <c r="Y1323" s="90">
        <v>3684031.5000000019</v>
      </c>
      <c r="Z1323" s="90">
        <v>58</v>
      </c>
      <c r="AA1323" s="90">
        <v>22</v>
      </c>
      <c r="AB1323" s="89">
        <f t="shared" si="373"/>
        <v>0</v>
      </c>
      <c r="AC1323" s="89">
        <f t="shared" si="374"/>
        <v>186</v>
      </c>
      <c r="AD1323" s="89">
        <f t="shared" si="375"/>
        <v>60</v>
      </c>
      <c r="AE1323" s="90">
        <f t="shared" si="376"/>
        <v>0</v>
      </c>
      <c r="AF1323" s="90" t="str">
        <f t="shared" si="377"/>
        <v/>
      </c>
      <c r="AG1323" s="90">
        <f t="shared" si="378"/>
        <v>186</v>
      </c>
      <c r="AH1323" s="90">
        <f t="shared" si="379"/>
        <v>2018</v>
      </c>
      <c r="AI1323" s="90">
        <f t="shared" si="380"/>
        <v>58</v>
      </c>
      <c r="AJ1323" s="90">
        <f t="shared" si="381"/>
        <v>2022</v>
      </c>
      <c r="AK1323" s="90" t="str">
        <f t="shared" si="382"/>
        <v>Adjust</v>
      </c>
      <c r="AL1323" s="91">
        <f>IF(AK1323="Adjust",(_xlfn.XLOOKUP(A1323,'Adj factor'!A:A,'Adj factor'!I:I,,0)*AI1323),'Master DataSheet'!AI1323)</f>
        <v>66.659321370584081</v>
      </c>
      <c r="AM1323" s="91">
        <f t="shared" si="383"/>
        <v>186</v>
      </c>
      <c r="AN1323" s="92" t="str">
        <f t="shared" si="384"/>
        <v>Decreasing</v>
      </c>
      <c r="AS1323" s="94">
        <f t="shared" si="385"/>
        <v>0</v>
      </c>
      <c r="AT1323" s="94">
        <f t="shared" si="386"/>
        <v>0.53985423065039828</v>
      </c>
      <c r="AU1323" s="94">
        <f t="shared" si="387"/>
        <v>0.50488167650032278</v>
      </c>
    </row>
    <row r="1324" spans="1:47" x14ac:dyDescent="0.3">
      <c r="A1324" s="85" t="str">
        <f>_xlfn.XLOOKUP(B1324,'Country codes &amp; Data sources'!G:G,'Country codes &amp; Data sources'!H:H,,0)</f>
        <v>Eritrea</v>
      </c>
      <c r="B1324" s="85" t="s">
        <v>194</v>
      </c>
      <c r="C1324" s="85">
        <v>3252608</v>
      </c>
      <c r="D1324" s="85" t="s">
        <v>338</v>
      </c>
      <c r="E1324" s="86">
        <v>0</v>
      </c>
      <c r="F1324" s="86">
        <v>3296367</v>
      </c>
      <c r="G1324" s="86">
        <v>0</v>
      </c>
      <c r="H1324" s="86"/>
      <c r="I1324" s="86">
        <v>0</v>
      </c>
      <c r="J1324" s="86"/>
      <c r="K1324" s="86">
        <v>0</v>
      </c>
      <c r="L1324" s="86"/>
      <c r="M1324" s="86">
        <v>0</v>
      </c>
      <c r="N1324" s="86"/>
      <c r="O1324" s="86">
        <v>0</v>
      </c>
      <c r="P1324" s="86">
        <v>3445374.4999999986</v>
      </c>
      <c r="Q1324" s="86">
        <v>0</v>
      </c>
      <c r="R1324" s="87">
        <f t="shared" si="372"/>
        <v>164</v>
      </c>
      <c r="T1324" s="87">
        <v>0</v>
      </c>
      <c r="U1324" s="89"/>
      <c r="V1324" s="89">
        <v>0</v>
      </c>
      <c r="W1324" s="90"/>
      <c r="X1324" s="90">
        <v>154</v>
      </c>
      <c r="Y1324" s="90">
        <v>3684031.5000000019</v>
      </c>
      <c r="Z1324" s="90">
        <v>157</v>
      </c>
      <c r="AA1324" s="90">
        <v>164</v>
      </c>
      <c r="AB1324" s="89">
        <f t="shared" si="373"/>
        <v>0</v>
      </c>
      <c r="AC1324" s="89">
        <f t="shared" si="374"/>
        <v>0</v>
      </c>
      <c r="AD1324" s="89">
        <f t="shared" si="375"/>
        <v>157</v>
      </c>
      <c r="AE1324" s="90">
        <f t="shared" si="376"/>
        <v>0</v>
      </c>
      <c r="AF1324" s="90" t="str">
        <f t="shared" si="377"/>
        <v/>
      </c>
      <c r="AG1324" s="90">
        <f t="shared" si="378"/>
        <v>164</v>
      </c>
      <c r="AH1324" s="90" t="str">
        <f t="shared" si="379"/>
        <v>2018 (triag)</v>
      </c>
      <c r="AI1324" s="90">
        <f t="shared" si="380"/>
        <v>157</v>
      </c>
      <c r="AJ1324" s="90">
        <f t="shared" si="381"/>
        <v>2022</v>
      </c>
      <c r="AK1324" s="90" t="str">
        <f t="shared" si="382"/>
        <v>Adjust</v>
      </c>
      <c r="AL1324" s="91">
        <f>IF(AK1324="Adjust",(_xlfn.XLOOKUP(A1324,'Adj factor'!A:A,'Adj factor'!I:I,,0)*AI1324),'Master DataSheet'!AI1324)</f>
        <v>180.43988715830517</v>
      </c>
      <c r="AM1324" s="91">
        <f t="shared" si="383"/>
        <v>180.43988715830517</v>
      </c>
      <c r="AN1324" s="92" t="str">
        <f t="shared" si="384"/>
        <v>Increasing</v>
      </c>
      <c r="AS1324" s="94">
        <f t="shared" si="385"/>
        <v>0</v>
      </c>
      <c r="AT1324" s="94">
        <f t="shared" si="386"/>
        <v>0.4760005044444372</v>
      </c>
      <c r="AU1324" s="94">
        <f t="shared" si="387"/>
        <v>0.48978920825814082</v>
      </c>
    </row>
    <row r="1325" spans="1:47" x14ac:dyDescent="0.3">
      <c r="A1325" s="85" t="str">
        <f>_xlfn.XLOOKUP(B1325,'Country codes &amp; Data sources'!G:G,'Country codes &amp; Data sources'!H:H,,0)</f>
        <v>Eritrea</v>
      </c>
      <c r="B1325" s="85" t="s">
        <v>194</v>
      </c>
      <c r="C1325" s="85">
        <v>3252609</v>
      </c>
      <c r="D1325" s="85" t="s">
        <v>339</v>
      </c>
      <c r="E1325" s="86">
        <v>0</v>
      </c>
      <c r="F1325" s="86">
        <v>3296367</v>
      </c>
      <c r="G1325" s="86">
        <v>0</v>
      </c>
      <c r="H1325" s="86"/>
      <c r="I1325" s="86">
        <v>0</v>
      </c>
      <c r="J1325" s="86"/>
      <c r="K1325" s="86">
        <v>0</v>
      </c>
      <c r="L1325" s="86"/>
      <c r="M1325" s="86">
        <v>0</v>
      </c>
      <c r="N1325" s="86"/>
      <c r="O1325" s="86">
        <v>0</v>
      </c>
      <c r="P1325" s="86">
        <v>3445374.4999999986</v>
      </c>
      <c r="Q1325" s="86">
        <v>0</v>
      </c>
      <c r="R1325" s="87">
        <f t="shared" si="372"/>
        <v>0</v>
      </c>
      <c r="T1325" s="87">
        <v>0</v>
      </c>
      <c r="U1325" s="89"/>
      <c r="V1325" s="89">
        <v>0</v>
      </c>
      <c r="W1325" s="90"/>
      <c r="X1325" s="90">
        <v>7</v>
      </c>
      <c r="Y1325" s="90">
        <v>3684031.5000000019</v>
      </c>
      <c r="Z1325" s="90">
        <v>7</v>
      </c>
      <c r="AA1325" s="90">
        <v>0</v>
      </c>
      <c r="AB1325" s="89">
        <f t="shared" si="373"/>
        <v>0</v>
      </c>
      <c r="AC1325" s="89">
        <f t="shared" si="374"/>
        <v>0</v>
      </c>
      <c r="AD1325" s="89">
        <f t="shared" si="375"/>
        <v>7</v>
      </c>
      <c r="AE1325" s="90">
        <f t="shared" si="376"/>
        <v>0</v>
      </c>
      <c r="AF1325" s="90" t="str">
        <f t="shared" si="377"/>
        <v/>
      </c>
      <c r="AG1325" s="90">
        <f t="shared" si="378"/>
        <v>0</v>
      </c>
      <c r="AH1325" s="90" t="str">
        <f t="shared" si="379"/>
        <v/>
      </c>
      <c r="AI1325" s="90">
        <f t="shared" si="380"/>
        <v>7</v>
      </c>
      <c r="AJ1325" s="90">
        <f t="shared" si="381"/>
        <v>2021</v>
      </c>
      <c r="AK1325" s="90" t="str">
        <f t="shared" si="382"/>
        <v/>
      </c>
      <c r="AL1325" s="91">
        <f>IF(AK1325="Adjust",(_xlfn.XLOOKUP(A1325,'Adj factor'!A:A,'Adj factor'!I:I,,0)*AI1325),'Master DataSheet'!AI1325)</f>
        <v>7</v>
      </c>
      <c r="AM1325" s="91">
        <f t="shared" si="383"/>
        <v>7</v>
      </c>
      <c r="AN1325" s="92" t="str">
        <f t="shared" si="384"/>
        <v>Increasing</v>
      </c>
      <c r="AS1325" s="94">
        <f t="shared" si="385"/>
        <v>0</v>
      </c>
      <c r="AT1325" s="94">
        <f t="shared" si="386"/>
        <v>0</v>
      </c>
      <c r="AU1325" s="94">
        <f t="shared" si="387"/>
        <v>1.9000923309151936E-2</v>
      </c>
    </row>
    <row r="1326" spans="1:47" x14ac:dyDescent="0.3">
      <c r="A1326" s="85" t="str">
        <f>_xlfn.XLOOKUP(B1326,'Country codes &amp; Data sources'!G:G,'Country codes &amp; Data sources'!H:H,,0)</f>
        <v>Ethiopia</v>
      </c>
      <c r="B1326" s="85" t="s">
        <v>155</v>
      </c>
      <c r="C1326" s="85">
        <v>94451279.50000006</v>
      </c>
      <c r="D1326" s="85" t="s">
        <v>326</v>
      </c>
      <c r="E1326" s="86">
        <v>0</v>
      </c>
      <c r="F1326" s="86">
        <v>97084366.00000003</v>
      </c>
      <c r="G1326" s="86">
        <v>0</v>
      </c>
      <c r="H1326" s="86">
        <v>99746766.49999994</v>
      </c>
      <c r="I1326" s="86">
        <v>0</v>
      </c>
      <c r="J1326" s="86">
        <v>102471895.49999996</v>
      </c>
      <c r="K1326" s="86">
        <v>0</v>
      </c>
      <c r="L1326" s="86">
        <v>105293228.50000003</v>
      </c>
      <c r="M1326" s="86">
        <v>0</v>
      </c>
      <c r="N1326" s="86">
        <v>108197949.49999994</v>
      </c>
      <c r="O1326" s="86">
        <v>0</v>
      </c>
      <c r="P1326" s="86">
        <v>111129438.00000001</v>
      </c>
      <c r="Q1326" s="86">
        <v>8395</v>
      </c>
      <c r="R1326" s="87">
        <f t="shared" si="372"/>
        <v>11263</v>
      </c>
      <c r="S1326" s="87">
        <v>114120593.49999996</v>
      </c>
      <c r="T1326" s="87">
        <v>5867</v>
      </c>
      <c r="U1326" s="89">
        <v>117190910.99999994</v>
      </c>
      <c r="V1326" s="89">
        <v>12174</v>
      </c>
      <c r="W1326" s="90">
        <v>120283026.00000006</v>
      </c>
      <c r="X1326" s="90">
        <v>12174</v>
      </c>
      <c r="Y1326" s="90">
        <v>123379924.50000004</v>
      </c>
      <c r="Z1326" s="113">
        <f>13399+10342</f>
        <v>23741</v>
      </c>
      <c r="AA1326" s="90">
        <v>11263</v>
      </c>
      <c r="AB1326" s="89">
        <f t="shared" si="373"/>
        <v>0</v>
      </c>
      <c r="AC1326" s="89">
        <f t="shared" si="374"/>
        <v>8395</v>
      </c>
      <c r="AD1326" s="89">
        <f t="shared" si="375"/>
        <v>23741</v>
      </c>
      <c r="AE1326" s="90">
        <f t="shared" si="376"/>
        <v>0</v>
      </c>
      <c r="AF1326" s="90" t="str">
        <f t="shared" si="377"/>
        <v/>
      </c>
      <c r="AG1326" s="90">
        <f t="shared" si="378"/>
        <v>11263</v>
      </c>
      <c r="AH1326" s="90" t="str">
        <f t="shared" si="379"/>
        <v>2018 (triag)</v>
      </c>
      <c r="AI1326" s="90">
        <f t="shared" si="380"/>
        <v>23741</v>
      </c>
      <c r="AJ1326" s="90">
        <v>2022</v>
      </c>
      <c r="AK1326" s="90" t="str">
        <f t="shared" si="382"/>
        <v/>
      </c>
      <c r="AL1326" s="91">
        <f>IF(AK1326="Adjust",(_xlfn.XLOOKUP(A1326,'Adj factor'!A:A,'Adj factor'!I:I,,0)*AI1326),'Master DataSheet'!AI1326)</f>
        <v>23741</v>
      </c>
      <c r="AM1326" s="91">
        <f t="shared" si="383"/>
        <v>23741</v>
      </c>
      <c r="AN1326" s="92" t="str">
        <f t="shared" si="384"/>
        <v>Increasing</v>
      </c>
      <c r="AS1326" s="94">
        <f t="shared" si="385"/>
        <v>0</v>
      </c>
      <c r="AT1326" s="94">
        <f t="shared" si="386"/>
        <v>1.0135028308160794</v>
      </c>
      <c r="AU1326" s="94">
        <f t="shared" si="387"/>
        <v>1.9242190409996556</v>
      </c>
    </row>
    <row r="1327" spans="1:47" x14ac:dyDescent="0.3">
      <c r="A1327" s="85" t="str">
        <f>_xlfn.XLOOKUP(B1327,'Country codes &amp; Data sources'!G:G,'Country codes &amp; Data sources'!H:H,,0)</f>
        <v>Ethiopia</v>
      </c>
      <c r="B1327" s="85" t="s">
        <v>155</v>
      </c>
      <c r="C1327" s="85">
        <v>94451280.500000104</v>
      </c>
      <c r="D1327" s="85" t="s">
        <v>327</v>
      </c>
      <c r="E1327" s="86">
        <v>0</v>
      </c>
      <c r="F1327" s="86">
        <v>97084366.00000003</v>
      </c>
      <c r="G1327" s="86">
        <v>0</v>
      </c>
      <c r="H1327" s="86"/>
      <c r="I1327" s="86">
        <v>0</v>
      </c>
      <c r="J1327" s="86"/>
      <c r="K1327" s="86">
        <v>0</v>
      </c>
      <c r="L1327" s="86"/>
      <c r="M1327" s="86">
        <v>0</v>
      </c>
      <c r="N1327" s="86"/>
      <c r="O1327" s="86">
        <v>0</v>
      </c>
      <c r="P1327" s="86">
        <v>111129438.00000001</v>
      </c>
      <c r="Q1327" s="86">
        <v>5867</v>
      </c>
      <c r="R1327" s="87">
        <f t="shared" si="372"/>
        <v>5867</v>
      </c>
      <c r="T1327" s="87">
        <v>5867</v>
      </c>
      <c r="U1327" s="89"/>
      <c r="V1327" s="89">
        <v>9361</v>
      </c>
      <c r="W1327" s="90"/>
      <c r="X1327" s="90">
        <v>9361</v>
      </c>
      <c r="Y1327" s="90">
        <v>123379924.50000004</v>
      </c>
      <c r="Z1327" s="90">
        <v>8860</v>
      </c>
      <c r="AA1327" s="90">
        <v>5867</v>
      </c>
      <c r="AB1327" s="89">
        <f t="shared" si="373"/>
        <v>0</v>
      </c>
      <c r="AC1327" s="89">
        <f t="shared" si="374"/>
        <v>5867</v>
      </c>
      <c r="AD1327" s="89">
        <f t="shared" si="375"/>
        <v>9361</v>
      </c>
      <c r="AE1327" s="90">
        <f t="shared" si="376"/>
        <v>0</v>
      </c>
      <c r="AF1327" s="90" t="str">
        <f t="shared" si="377"/>
        <v/>
      </c>
      <c r="AG1327" s="90">
        <f t="shared" si="378"/>
        <v>5867</v>
      </c>
      <c r="AH1327" s="90">
        <f t="shared" si="379"/>
        <v>2018</v>
      </c>
      <c r="AI1327" s="90">
        <f t="shared" si="380"/>
        <v>8860</v>
      </c>
      <c r="AJ1327" s="90">
        <f t="shared" si="381"/>
        <v>2022</v>
      </c>
      <c r="AK1327" s="90" t="str">
        <f t="shared" si="382"/>
        <v/>
      </c>
      <c r="AL1327" s="91">
        <f>IF(AK1327="Adjust",(_xlfn.XLOOKUP(A1327,'Adj factor'!A:A,'Adj factor'!I:I,,0)*AI1327),'Master DataSheet'!AI1327)</f>
        <v>8860</v>
      </c>
      <c r="AM1327" s="91">
        <f t="shared" si="383"/>
        <v>8860</v>
      </c>
      <c r="AN1327" s="92" t="str">
        <f t="shared" si="384"/>
        <v>Increasing</v>
      </c>
      <c r="AS1327" s="94">
        <f t="shared" si="385"/>
        <v>0</v>
      </c>
      <c r="AT1327" s="94">
        <f t="shared" si="386"/>
        <v>0.52794292003888288</v>
      </c>
      <c r="AU1327" s="94">
        <f t="shared" si="387"/>
        <v>0.71810710177570236</v>
      </c>
    </row>
    <row r="1328" spans="1:47" x14ac:dyDescent="0.3">
      <c r="A1328" s="85" t="str">
        <f>_xlfn.XLOOKUP(B1328,'Country codes &amp; Data sources'!G:G,'Country codes &amp; Data sources'!H:H,,0)</f>
        <v>Ethiopia</v>
      </c>
      <c r="B1328" s="85" t="s">
        <v>155</v>
      </c>
      <c r="C1328" s="85">
        <v>94451281.500000104</v>
      </c>
      <c r="D1328" s="85" t="s">
        <v>328</v>
      </c>
      <c r="E1328" s="86">
        <v>0</v>
      </c>
      <c r="F1328" s="86">
        <v>97084366.00000003</v>
      </c>
      <c r="G1328" s="86">
        <v>0</v>
      </c>
      <c r="H1328" s="86"/>
      <c r="I1328" s="86">
        <v>0</v>
      </c>
      <c r="J1328" s="86"/>
      <c r="K1328" s="86">
        <v>0</v>
      </c>
      <c r="L1328" s="86"/>
      <c r="M1328" s="86">
        <v>0</v>
      </c>
      <c r="N1328" s="86"/>
      <c r="O1328" s="86">
        <v>0</v>
      </c>
      <c r="P1328" s="86">
        <v>111129438.00000001</v>
      </c>
      <c r="Q1328" s="86">
        <v>2528</v>
      </c>
      <c r="R1328" s="87">
        <f t="shared" si="372"/>
        <v>5396</v>
      </c>
      <c r="T1328" s="87">
        <v>0</v>
      </c>
      <c r="U1328" s="89"/>
      <c r="V1328" s="89">
        <v>2813</v>
      </c>
      <c r="W1328" s="90"/>
      <c r="X1328" s="90">
        <v>2813</v>
      </c>
      <c r="Y1328" s="90">
        <v>123379924.50000004</v>
      </c>
      <c r="Z1328" s="90">
        <v>4467</v>
      </c>
      <c r="AA1328" s="90">
        <v>5396</v>
      </c>
      <c r="AB1328" s="89">
        <f t="shared" si="373"/>
        <v>0</v>
      </c>
      <c r="AC1328" s="89">
        <f t="shared" si="374"/>
        <v>2528</v>
      </c>
      <c r="AD1328" s="89">
        <f t="shared" si="375"/>
        <v>4467</v>
      </c>
      <c r="AE1328" s="90">
        <f t="shared" si="376"/>
        <v>0</v>
      </c>
      <c r="AF1328" s="90" t="str">
        <f t="shared" si="377"/>
        <v/>
      </c>
      <c r="AG1328" s="90">
        <f t="shared" si="378"/>
        <v>5396</v>
      </c>
      <c r="AH1328" s="90" t="str">
        <f t="shared" si="379"/>
        <v>2018 (triag)</v>
      </c>
      <c r="AI1328" s="90">
        <f t="shared" si="380"/>
        <v>4467</v>
      </c>
      <c r="AJ1328" s="90">
        <f t="shared" si="381"/>
        <v>2022</v>
      </c>
      <c r="AK1328" s="90" t="str">
        <f t="shared" si="382"/>
        <v>Adjust</v>
      </c>
      <c r="AL1328" s="91">
        <f>IF(AK1328="Adjust",(_xlfn.XLOOKUP(A1328,'Adj factor'!A:A,'Adj factor'!I:I,,0)*AI1328),'Master DataSheet'!AI1328)</f>
        <v>4560.2238523992301</v>
      </c>
      <c r="AM1328" s="91">
        <f t="shared" si="383"/>
        <v>5396</v>
      </c>
      <c r="AN1328" s="92" t="str">
        <f t="shared" si="384"/>
        <v>Decreasing</v>
      </c>
      <c r="AS1328" s="94">
        <f t="shared" si="385"/>
        <v>0</v>
      </c>
      <c r="AT1328" s="94">
        <f t="shared" si="386"/>
        <v>0.48555991077719651</v>
      </c>
      <c r="AU1328" s="94">
        <f t="shared" si="387"/>
        <v>0.43734829810177084</v>
      </c>
    </row>
    <row r="1329" spans="1:47" x14ac:dyDescent="0.3">
      <c r="A1329" s="85" t="str">
        <f>_xlfn.XLOOKUP(B1329,'Country codes &amp; Data sources'!G:G,'Country codes &amp; Data sources'!H:H,,0)</f>
        <v>Ethiopia</v>
      </c>
      <c r="B1329" s="85" t="s">
        <v>155</v>
      </c>
      <c r="C1329" s="85">
        <v>94451282.500000104</v>
      </c>
      <c r="D1329" s="85" t="s">
        <v>329</v>
      </c>
      <c r="E1329" s="86">
        <v>0</v>
      </c>
      <c r="F1329" s="86">
        <v>97084366.00000003</v>
      </c>
      <c r="G1329" s="86">
        <v>0</v>
      </c>
      <c r="H1329" s="86"/>
      <c r="I1329" s="86">
        <v>0</v>
      </c>
      <c r="J1329" s="86"/>
      <c r="K1329" s="86">
        <v>0</v>
      </c>
      <c r="L1329" s="86"/>
      <c r="M1329" s="86">
        <v>0</v>
      </c>
      <c r="N1329" s="86"/>
      <c r="O1329" s="86">
        <v>88164</v>
      </c>
      <c r="P1329" s="86">
        <v>111129438.00000001</v>
      </c>
      <c r="Q1329" s="86">
        <v>61772</v>
      </c>
      <c r="R1329" s="87">
        <f t="shared" si="372"/>
        <v>61772</v>
      </c>
      <c r="T1329" s="87">
        <v>0</v>
      </c>
      <c r="U1329" s="89"/>
      <c r="V1329" s="89">
        <v>69824</v>
      </c>
      <c r="W1329" s="90"/>
      <c r="X1329" s="90">
        <v>69824</v>
      </c>
      <c r="Y1329" s="90">
        <v>123379924.50000004</v>
      </c>
      <c r="Z1329" s="113">
        <f>127696+3566</f>
        <v>131262</v>
      </c>
      <c r="AA1329" s="90">
        <v>61772</v>
      </c>
      <c r="AB1329" s="89">
        <f t="shared" si="373"/>
        <v>0</v>
      </c>
      <c r="AC1329" s="89">
        <f t="shared" si="374"/>
        <v>88164</v>
      </c>
      <c r="AD1329" s="89">
        <f t="shared" si="375"/>
        <v>131262</v>
      </c>
      <c r="AE1329" s="90">
        <f t="shared" si="376"/>
        <v>0</v>
      </c>
      <c r="AF1329" s="90" t="str">
        <f t="shared" si="377"/>
        <v/>
      </c>
      <c r="AG1329" s="90">
        <f t="shared" si="378"/>
        <v>61772</v>
      </c>
      <c r="AH1329" s="90">
        <f t="shared" si="379"/>
        <v>2018</v>
      </c>
      <c r="AI1329" s="90">
        <f t="shared" si="380"/>
        <v>131262</v>
      </c>
      <c r="AJ1329" s="90">
        <v>2022</v>
      </c>
      <c r="AK1329" s="90" t="str">
        <f t="shared" si="382"/>
        <v/>
      </c>
      <c r="AL1329" s="91">
        <f>IF(AK1329="Adjust",(_xlfn.XLOOKUP(A1329,'Adj factor'!A:A,'Adj factor'!I:I,,0)*AI1329),'Master DataSheet'!AI1329)</f>
        <v>131262</v>
      </c>
      <c r="AM1329" s="91">
        <f t="shared" si="383"/>
        <v>131262</v>
      </c>
      <c r="AN1329" s="92" t="str">
        <f t="shared" si="384"/>
        <v>Increasing</v>
      </c>
      <c r="AS1329" s="94">
        <f t="shared" si="385"/>
        <v>0</v>
      </c>
      <c r="AT1329" s="94">
        <f t="shared" si="386"/>
        <v>5.5585631594753488</v>
      </c>
      <c r="AU1329" s="94">
        <f t="shared" si="387"/>
        <v>10.638845868316279</v>
      </c>
    </row>
    <row r="1330" spans="1:47" x14ac:dyDescent="0.3">
      <c r="A1330" s="85" t="str">
        <f>_xlfn.XLOOKUP(B1330,'Country codes &amp; Data sources'!G:G,'Country codes &amp; Data sources'!H:H,,0)</f>
        <v>Ethiopia</v>
      </c>
      <c r="B1330" s="85" t="s">
        <v>155</v>
      </c>
      <c r="C1330" s="85">
        <v>94451283.500000104</v>
      </c>
      <c r="D1330" s="85" t="s">
        <v>330</v>
      </c>
      <c r="E1330" s="86">
        <v>0</v>
      </c>
      <c r="F1330" s="86">
        <v>97084366.00000003</v>
      </c>
      <c r="G1330" s="86">
        <v>0</v>
      </c>
      <c r="H1330" s="86"/>
      <c r="I1330" s="86">
        <v>0</v>
      </c>
      <c r="J1330" s="86"/>
      <c r="K1330" s="86">
        <v>0</v>
      </c>
      <c r="L1330" s="86"/>
      <c r="M1330" s="86">
        <v>0</v>
      </c>
      <c r="N1330" s="86"/>
      <c r="O1330" s="86">
        <v>0</v>
      </c>
      <c r="P1330" s="86">
        <v>111129438.00000001</v>
      </c>
      <c r="Q1330" s="86">
        <v>61772</v>
      </c>
      <c r="R1330" s="87">
        <f t="shared" si="372"/>
        <v>61772</v>
      </c>
      <c r="T1330" s="87">
        <v>0</v>
      </c>
      <c r="U1330" s="89"/>
      <c r="V1330" s="89">
        <v>69824</v>
      </c>
      <c r="W1330" s="90"/>
      <c r="X1330" s="90">
        <v>69824</v>
      </c>
      <c r="Y1330" s="90">
        <v>123379924.50000004</v>
      </c>
      <c r="Z1330" s="90">
        <v>70246</v>
      </c>
      <c r="AA1330" s="90">
        <v>61772</v>
      </c>
      <c r="AB1330" s="89">
        <f t="shared" si="373"/>
        <v>0</v>
      </c>
      <c r="AC1330" s="89">
        <f t="shared" si="374"/>
        <v>61772</v>
      </c>
      <c r="AD1330" s="89">
        <f t="shared" si="375"/>
        <v>70246</v>
      </c>
      <c r="AE1330" s="90">
        <f t="shared" si="376"/>
        <v>0</v>
      </c>
      <c r="AF1330" s="90" t="str">
        <f t="shared" si="377"/>
        <v/>
      </c>
      <c r="AG1330" s="90">
        <f t="shared" si="378"/>
        <v>61772</v>
      </c>
      <c r="AH1330" s="90">
        <f t="shared" si="379"/>
        <v>2018</v>
      </c>
      <c r="AI1330" s="90">
        <f t="shared" si="380"/>
        <v>70246</v>
      </c>
      <c r="AJ1330" s="90">
        <f t="shared" si="381"/>
        <v>2022</v>
      </c>
      <c r="AK1330" s="90" t="str">
        <f t="shared" si="382"/>
        <v/>
      </c>
      <c r="AL1330" s="91">
        <f>IF(AK1330="Adjust",(_xlfn.XLOOKUP(A1330,'Adj factor'!A:A,'Adj factor'!I:I,,0)*AI1330),'Master DataSheet'!AI1330)</f>
        <v>70246</v>
      </c>
      <c r="AM1330" s="91">
        <f t="shared" si="383"/>
        <v>70246</v>
      </c>
      <c r="AN1330" s="92" t="str">
        <f t="shared" si="384"/>
        <v>Increasing</v>
      </c>
      <c r="AS1330" s="94">
        <f t="shared" si="385"/>
        <v>0</v>
      </c>
      <c r="AT1330" s="94">
        <f t="shared" si="386"/>
        <v>5.5585631594753488</v>
      </c>
      <c r="AU1330" s="94">
        <f t="shared" si="387"/>
        <v>5.6934708206925491</v>
      </c>
    </row>
    <row r="1331" spans="1:47" x14ac:dyDescent="0.3">
      <c r="A1331" s="85" t="str">
        <f>_xlfn.XLOOKUP(B1331,'Country codes &amp; Data sources'!G:G,'Country codes &amp; Data sources'!H:H,,0)</f>
        <v>Ethiopia</v>
      </c>
      <c r="B1331" s="85" t="s">
        <v>155</v>
      </c>
      <c r="C1331" s="85">
        <v>94451284.500000104</v>
      </c>
      <c r="D1331" s="85" t="s">
        <v>331</v>
      </c>
      <c r="E1331" s="86">
        <v>0</v>
      </c>
      <c r="F1331" s="86">
        <v>97084366.00000003</v>
      </c>
      <c r="G1331" s="86">
        <v>0</v>
      </c>
      <c r="H1331" s="86"/>
      <c r="I1331" s="86">
        <v>0</v>
      </c>
      <c r="J1331" s="86"/>
      <c r="K1331" s="86">
        <v>0</v>
      </c>
      <c r="L1331" s="86"/>
      <c r="M1331" s="86">
        <v>0</v>
      </c>
      <c r="N1331" s="86"/>
      <c r="O1331" s="86">
        <v>0</v>
      </c>
      <c r="P1331" s="86">
        <v>111129438.00000001</v>
      </c>
      <c r="Q1331" s="86">
        <v>0</v>
      </c>
      <c r="R1331" s="87">
        <f t="shared" si="372"/>
        <v>0</v>
      </c>
      <c r="T1331" s="87">
        <v>0</v>
      </c>
      <c r="U1331" s="89"/>
      <c r="V1331" s="89">
        <v>0</v>
      </c>
      <c r="W1331" s="90"/>
      <c r="X1331" s="90">
        <v>0</v>
      </c>
      <c r="Y1331" s="90">
        <v>123379924.50000004</v>
      </c>
      <c r="Z1331" s="90">
        <v>0</v>
      </c>
      <c r="AA1331" s="90">
        <v>0</v>
      </c>
      <c r="AB1331" s="89">
        <f t="shared" si="373"/>
        <v>0</v>
      </c>
      <c r="AC1331" s="89">
        <f t="shared" si="374"/>
        <v>0</v>
      </c>
      <c r="AD1331" s="89">
        <f t="shared" si="375"/>
        <v>0</v>
      </c>
      <c r="AE1331" s="90">
        <f t="shared" si="376"/>
        <v>0</v>
      </c>
      <c r="AF1331" s="90" t="str">
        <f t="shared" si="377"/>
        <v/>
      </c>
      <c r="AG1331" s="90">
        <f t="shared" si="378"/>
        <v>0</v>
      </c>
      <c r="AH1331" s="90" t="str">
        <f t="shared" si="379"/>
        <v/>
      </c>
      <c r="AI1331" s="90">
        <f t="shared" si="380"/>
        <v>0</v>
      </c>
      <c r="AJ1331" s="90" t="str">
        <f t="shared" si="381"/>
        <v/>
      </c>
      <c r="AK1331" s="90" t="str">
        <f t="shared" si="382"/>
        <v/>
      </c>
      <c r="AL1331" s="91">
        <f>IF(AK1331="Adjust",(_xlfn.XLOOKUP(A1331,'Adj factor'!A:A,'Adj factor'!I:I,,0)*AI1331),'Master DataSheet'!AI1331)</f>
        <v>0</v>
      </c>
      <c r="AM1331" s="91">
        <f t="shared" si="383"/>
        <v>0</v>
      </c>
      <c r="AN1331" s="92" t="str">
        <f t="shared" si="384"/>
        <v>No change</v>
      </c>
      <c r="AS1331" s="94">
        <f t="shared" si="385"/>
        <v>0</v>
      </c>
      <c r="AT1331" s="94">
        <f t="shared" si="386"/>
        <v>0</v>
      </c>
      <c r="AU1331" s="94">
        <f t="shared" si="387"/>
        <v>0</v>
      </c>
    </row>
    <row r="1332" spans="1:47" x14ac:dyDescent="0.3">
      <c r="A1332" s="85" t="str">
        <f>_xlfn.XLOOKUP(B1332,'Country codes &amp; Data sources'!G:G,'Country codes &amp; Data sources'!H:H,,0)</f>
        <v>Ethiopia</v>
      </c>
      <c r="B1332" s="85" t="s">
        <v>155</v>
      </c>
      <c r="C1332" s="85">
        <v>94451285.500000104</v>
      </c>
      <c r="D1332" s="85" t="s">
        <v>332</v>
      </c>
      <c r="E1332" s="86">
        <v>0</v>
      </c>
      <c r="F1332" s="86">
        <v>97084366.00000003</v>
      </c>
      <c r="G1332" s="86">
        <v>6925</v>
      </c>
      <c r="H1332" s="86"/>
      <c r="I1332" s="86">
        <v>0</v>
      </c>
      <c r="J1332" s="86"/>
      <c r="K1332" s="86">
        <v>0</v>
      </c>
      <c r="L1332" s="86"/>
      <c r="M1332" s="86">
        <v>12069</v>
      </c>
      <c r="N1332" s="86"/>
      <c r="O1332" s="86">
        <v>0</v>
      </c>
      <c r="P1332" s="86">
        <v>111129438.00000001</v>
      </c>
      <c r="Q1332" s="86">
        <v>16159</v>
      </c>
      <c r="R1332" s="87">
        <f t="shared" si="372"/>
        <v>16161</v>
      </c>
      <c r="T1332" s="87">
        <v>0</v>
      </c>
      <c r="U1332" s="89"/>
      <c r="V1332" s="89">
        <v>20355</v>
      </c>
      <c r="W1332" s="90"/>
      <c r="X1332" s="90">
        <v>20355</v>
      </c>
      <c r="Y1332" s="90">
        <v>123379924.50000004</v>
      </c>
      <c r="Z1332" s="113">
        <v>34541</v>
      </c>
      <c r="AA1332" s="90">
        <v>16161</v>
      </c>
      <c r="AB1332" s="89">
        <f t="shared" si="373"/>
        <v>6925</v>
      </c>
      <c r="AC1332" s="89">
        <f t="shared" si="374"/>
        <v>16159</v>
      </c>
      <c r="AD1332" s="89">
        <f t="shared" si="375"/>
        <v>34541</v>
      </c>
      <c r="AE1332" s="90">
        <f t="shared" si="376"/>
        <v>6925</v>
      </c>
      <c r="AF1332" s="90">
        <f t="shared" si="377"/>
        <v>2013</v>
      </c>
      <c r="AG1332" s="90">
        <f t="shared" si="378"/>
        <v>16161</v>
      </c>
      <c r="AH1332" s="90" t="str">
        <f t="shared" si="379"/>
        <v>2018 (triag)</v>
      </c>
      <c r="AI1332" s="90">
        <f t="shared" si="380"/>
        <v>34541</v>
      </c>
      <c r="AJ1332" s="90">
        <v>2022</v>
      </c>
      <c r="AK1332" s="90" t="str">
        <f t="shared" si="382"/>
        <v/>
      </c>
      <c r="AL1332" s="91">
        <f>IF(AK1332="Adjust",(_xlfn.XLOOKUP(A1332,'Adj factor'!A:A,'Adj factor'!I:I,,0)*AI1332),'Master DataSheet'!AI1332)</f>
        <v>34541</v>
      </c>
      <c r="AM1332" s="91">
        <f t="shared" si="383"/>
        <v>34541</v>
      </c>
      <c r="AN1332" s="92" t="str">
        <f t="shared" si="384"/>
        <v>Increasing</v>
      </c>
      <c r="AS1332" s="94">
        <f t="shared" si="385"/>
        <v>0.71329713375271953</v>
      </c>
      <c r="AT1332" s="94">
        <f t="shared" si="386"/>
        <v>1.4542501330745503</v>
      </c>
      <c r="AU1332" s="94">
        <f t="shared" si="387"/>
        <v>2.7995640409068323</v>
      </c>
    </row>
    <row r="1333" spans="1:47" x14ac:dyDescent="0.3">
      <c r="A1333" s="85" t="str">
        <f>_xlfn.XLOOKUP(B1333,'Country codes &amp; Data sources'!G:G,'Country codes &amp; Data sources'!H:H,,0)</f>
        <v>Ethiopia</v>
      </c>
      <c r="B1333" s="85" t="s">
        <v>155</v>
      </c>
      <c r="C1333" s="85">
        <v>94451286.500000104</v>
      </c>
      <c r="D1333" s="85" t="s">
        <v>333</v>
      </c>
      <c r="E1333" s="86">
        <v>0</v>
      </c>
      <c r="F1333" s="86">
        <v>97084366.00000003</v>
      </c>
      <c r="G1333" s="86">
        <v>6925</v>
      </c>
      <c r="H1333" s="86"/>
      <c r="I1333" s="86">
        <v>0</v>
      </c>
      <c r="J1333" s="86"/>
      <c r="K1333" s="86">
        <v>0</v>
      </c>
      <c r="L1333" s="86"/>
      <c r="M1333" s="86">
        <v>12069</v>
      </c>
      <c r="N1333" s="86"/>
      <c r="O1333" s="86">
        <v>0</v>
      </c>
      <c r="P1333" s="86">
        <v>111129438.00000001</v>
      </c>
      <c r="Q1333" s="86">
        <v>16159</v>
      </c>
      <c r="R1333" s="87">
        <f t="shared" si="372"/>
        <v>16159</v>
      </c>
      <c r="T1333" s="87">
        <v>0</v>
      </c>
      <c r="U1333" s="89"/>
      <c r="V1333" s="89">
        <v>20355</v>
      </c>
      <c r="W1333" s="90"/>
      <c r="X1333" s="90">
        <v>20355</v>
      </c>
      <c r="Y1333" s="90">
        <v>123379924.50000004</v>
      </c>
      <c r="Z1333" s="90">
        <v>21993</v>
      </c>
      <c r="AA1333" s="90">
        <v>16159</v>
      </c>
      <c r="AB1333" s="89">
        <f t="shared" si="373"/>
        <v>6925</v>
      </c>
      <c r="AC1333" s="89">
        <f t="shared" si="374"/>
        <v>16159</v>
      </c>
      <c r="AD1333" s="89">
        <f t="shared" si="375"/>
        <v>21993</v>
      </c>
      <c r="AE1333" s="90">
        <f t="shared" si="376"/>
        <v>6925</v>
      </c>
      <c r="AF1333" s="90">
        <f t="shared" si="377"/>
        <v>2013</v>
      </c>
      <c r="AG1333" s="90">
        <f t="shared" si="378"/>
        <v>16159</v>
      </c>
      <c r="AH1333" s="90">
        <f t="shared" si="379"/>
        <v>2018</v>
      </c>
      <c r="AI1333" s="90">
        <f t="shared" si="380"/>
        <v>21993</v>
      </c>
      <c r="AJ1333" s="90">
        <f t="shared" si="381"/>
        <v>2022</v>
      </c>
      <c r="AK1333" s="90" t="str">
        <f t="shared" si="382"/>
        <v/>
      </c>
      <c r="AL1333" s="91">
        <f>IF(AK1333="Adjust",(_xlfn.XLOOKUP(A1333,'Adj factor'!A:A,'Adj factor'!I:I,,0)*AI1333),'Master DataSheet'!AI1333)</f>
        <v>21993</v>
      </c>
      <c r="AM1333" s="91">
        <f t="shared" si="383"/>
        <v>21993</v>
      </c>
      <c r="AN1333" s="92" t="str">
        <f t="shared" si="384"/>
        <v>Increasing</v>
      </c>
      <c r="AS1333" s="94">
        <f t="shared" si="385"/>
        <v>0.71329713375271953</v>
      </c>
      <c r="AT1333" s="94">
        <f t="shared" si="386"/>
        <v>1.4540701627592141</v>
      </c>
      <c r="AU1333" s="94">
        <f t="shared" si="387"/>
        <v>1.7825428317554199</v>
      </c>
    </row>
    <row r="1334" spans="1:47" x14ac:dyDescent="0.3">
      <c r="A1334" s="85" t="str">
        <f>_xlfn.XLOOKUP(B1334,'Country codes &amp; Data sources'!G:G,'Country codes &amp; Data sources'!H:H,,0)</f>
        <v>Ethiopia</v>
      </c>
      <c r="B1334" s="85" t="s">
        <v>155</v>
      </c>
      <c r="C1334" s="85">
        <v>94451287.500000104</v>
      </c>
      <c r="D1334" s="85" t="s">
        <v>334</v>
      </c>
      <c r="E1334" s="86">
        <v>0</v>
      </c>
      <c r="F1334" s="86">
        <v>97084366.00000003</v>
      </c>
      <c r="G1334" s="86">
        <v>0</v>
      </c>
      <c r="H1334" s="86"/>
      <c r="I1334" s="86">
        <v>0</v>
      </c>
      <c r="J1334" s="86"/>
      <c r="K1334" s="86">
        <v>0</v>
      </c>
      <c r="L1334" s="86"/>
      <c r="M1334" s="86">
        <v>0</v>
      </c>
      <c r="N1334" s="86"/>
      <c r="O1334" s="86">
        <v>0</v>
      </c>
      <c r="P1334" s="86">
        <v>111129438.00000001</v>
      </c>
      <c r="Q1334" s="86">
        <v>0</v>
      </c>
      <c r="R1334" s="87">
        <f t="shared" si="372"/>
        <v>2</v>
      </c>
      <c r="T1334" s="87">
        <v>0</v>
      </c>
      <c r="U1334" s="89"/>
      <c r="V1334" s="89">
        <v>0</v>
      </c>
      <c r="W1334" s="90"/>
      <c r="X1334" s="90">
        <v>0</v>
      </c>
      <c r="Y1334" s="90">
        <v>123379924.50000004</v>
      </c>
      <c r="Z1334" s="90">
        <v>0</v>
      </c>
      <c r="AA1334" s="90">
        <v>2</v>
      </c>
      <c r="AB1334" s="89">
        <f t="shared" si="373"/>
        <v>0</v>
      </c>
      <c r="AC1334" s="89">
        <f t="shared" si="374"/>
        <v>0</v>
      </c>
      <c r="AD1334" s="89">
        <f t="shared" si="375"/>
        <v>0</v>
      </c>
      <c r="AE1334" s="90">
        <f t="shared" si="376"/>
        <v>0</v>
      </c>
      <c r="AF1334" s="90" t="str">
        <f t="shared" si="377"/>
        <v/>
      </c>
      <c r="AG1334" s="90">
        <f t="shared" si="378"/>
        <v>2</v>
      </c>
      <c r="AH1334" s="90" t="str">
        <f t="shared" si="379"/>
        <v>2018 (triag)</v>
      </c>
      <c r="AI1334" s="90">
        <f t="shared" si="380"/>
        <v>2</v>
      </c>
      <c r="AJ1334" s="90" t="str">
        <f t="shared" si="381"/>
        <v>2018 (triag)</v>
      </c>
      <c r="AK1334" s="90" t="str">
        <f t="shared" si="382"/>
        <v/>
      </c>
      <c r="AL1334" s="91">
        <f>IF(AK1334="Adjust",(_xlfn.XLOOKUP(A1334,'Adj factor'!A:A,'Adj factor'!I:I,,0)*AI1334),'Master DataSheet'!AI1334)</f>
        <v>2</v>
      </c>
      <c r="AM1334" s="91">
        <f t="shared" si="383"/>
        <v>2</v>
      </c>
      <c r="AN1334" s="92" t="str">
        <f t="shared" si="384"/>
        <v>No change</v>
      </c>
      <c r="AS1334" s="94">
        <f t="shared" si="385"/>
        <v>0</v>
      </c>
      <c r="AT1334" s="94">
        <f t="shared" si="386"/>
        <v>1.7997031533624778E-4</v>
      </c>
      <c r="AU1334" s="94">
        <f t="shared" si="387"/>
        <v>1.6210092590873641E-4</v>
      </c>
    </row>
    <row r="1335" spans="1:47" x14ac:dyDescent="0.3">
      <c r="A1335" s="85" t="str">
        <f>_xlfn.XLOOKUP(B1335,'Country codes &amp; Data sources'!G:G,'Country codes &amp; Data sources'!H:H,,0)</f>
        <v>Ethiopia</v>
      </c>
      <c r="B1335" s="85" t="s">
        <v>155</v>
      </c>
      <c r="C1335" s="85">
        <v>94451288.500000104</v>
      </c>
      <c r="D1335" s="85" t="s">
        <v>335</v>
      </c>
      <c r="E1335" s="86">
        <v>0</v>
      </c>
      <c r="F1335" s="86">
        <v>97084366.00000003</v>
      </c>
      <c r="G1335" s="86">
        <v>0</v>
      </c>
      <c r="H1335" s="86"/>
      <c r="I1335" s="86">
        <v>0</v>
      </c>
      <c r="J1335" s="86"/>
      <c r="K1335" s="86">
        <v>0</v>
      </c>
      <c r="L1335" s="86"/>
      <c r="M1335" s="86">
        <v>0</v>
      </c>
      <c r="N1335" s="86"/>
      <c r="O1335" s="86">
        <v>0</v>
      </c>
      <c r="P1335" s="86">
        <v>111129438.00000001</v>
      </c>
      <c r="Q1335" s="86">
        <v>10752</v>
      </c>
      <c r="R1335" s="87">
        <f t="shared" si="372"/>
        <v>10752</v>
      </c>
      <c r="T1335" s="87">
        <v>0</v>
      </c>
      <c r="U1335" s="89"/>
      <c r="V1335" s="89">
        <v>5394</v>
      </c>
      <c r="W1335" s="90"/>
      <c r="X1335" s="90">
        <v>15498</v>
      </c>
      <c r="Y1335" s="90">
        <v>123379924.50000004</v>
      </c>
      <c r="Z1335" s="113">
        <v>22344</v>
      </c>
      <c r="AA1335" s="90">
        <v>3907</v>
      </c>
      <c r="AB1335" s="89">
        <f t="shared" si="373"/>
        <v>0</v>
      </c>
      <c r="AC1335" s="89">
        <f t="shared" si="374"/>
        <v>10752</v>
      </c>
      <c r="AD1335" s="89">
        <f t="shared" si="375"/>
        <v>22344</v>
      </c>
      <c r="AE1335" s="90">
        <f t="shared" si="376"/>
        <v>0</v>
      </c>
      <c r="AF1335" s="90" t="str">
        <f t="shared" si="377"/>
        <v/>
      </c>
      <c r="AG1335" s="90">
        <f t="shared" si="378"/>
        <v>10752</v>
      </c>
      <c r="AH1335" s="90">
        <f t="shared" si="379"/>
        <v>2018</v>
      </c>
      <c r="AI1335" s="90">
        <f t="shared" si="380"/>
        <v>22344</v>
      </c>
      <c r="AJ1335" s="90">
        <v>2022</v>
      </c>
      <c r="AK1335" s="90" t="str">
        <f t="shared" si="382"/>
        <v/>
      </c>
      <c r="AL1335" s="91">
        <f>IF(AK1335="Adjust",(_xlfn.XLOOKUP(A1335,'Adj factor'!A:A,'Adj factor'!I:I,,0)*AI1335),'Master DataSheet'!AI1335)</f>
        <v>22344</v>
      </c>
      <c r="AM1335" s="91">
        <f t="shared" si="383"/>
        <v>22344</v>
      </c>
      <c r="AN1335" s="92" t="str">
        <f t="shared" si="384"/>
        <v>Increasing</v>
      </c>
      <c r="AS1335" s="94">
        <f t="shared" si="385"/>
        <v>0</v>
      </c>
      <c r="AT1335" s="94">
        <f t="shared" si="386"/>
        <v>0.96752041524766808</v>
      </c>
      <c r="AU1335" s="94">
        <f t="shared" si="387"/>
        <v>1.8109915442524032</v>
      </c>
    </row>
    <row r="1336" spans="1:47" x14ac:dyDescent="0.3">
      <c r="A1336" s="85" t="str">
        <f>_xlfn.XLOOKUP(B1336,'Country codes &amp; Data sources'!G:G,'Country codes &amp; Data sources'!H:H,,0)</f>
        <v>Ethiopia</v>
      </c>
      <c r="B1336" s="85" t="s">
        <v>155</v>
      </c>
      <c r="C1336" s="85">
        <v>94451289.500000104</v>
      </c>
      <c r="D1336" s="85" t="s">
        <v>336</v>
      </c>
      <c r="E1336" s="86">
        <v>0</v>
      </c>
      <c r="F1336" s="86">
        <v>97084366.00000003</v>
      </c>
      <c r="G1336" s="86">
        <v>0</v>
      </c>
      <c r="H1336" s="86"/>
      <c r="I1336" s="86">
        <v>0</v>
      </c>
      <c r="J1336" s="86"/>
      <c r="K1336" s="86">
        <v>0</v>
      </c>
      <c r="L1336" s="86"/>
      <c r="M1336" s="86">
        <v>0</v>
      </c>
      <c r="N1336" s="86"/>
      <c r="O1336" s="86">
        <v>0</v>
      </c>
      <c r="P1336" s="86">
        <v>111129438.00000001</v>
      </c>
      <c r="Q1336" s="86">
        <v>0</v>
      </c>
      <c r="R1336" s="87">
        <f t="shared" si="372"/>
        <v>6845</v>
      </c>
      <c r="T1336" s="87">
        <v>0</v>
      </c>
      <c r="U1336" s="89"/>
      <c r="V1336" s="89">
        <v>10104</v>
      </c>
      <c r="W1336" s="90"/>
      <c r="X1336" s="90">
        <v>0</v>
      </c>
      <c r="Y1336" s="90">
        <v>123379924.50000004</v>
      </c>
      <c r="Z1336" s="113">
        <v>13620</v>
      </c>
      <c r="AA1336" s="90">
        <v>6845</v>
      </c>
      <c r="AB1336" s="89">
        <f t="shared" si="373"/>
        <v>0</v>
      </c>
      <c r="AC1336" s="89">
        <f t="shared" si="374"/>
        <v>0</v>
      </c>
      <c r="AD1336" s="89">
        <f t="shared" si="375"/>
        <v>13620</v>
      </c>
      <c r="AE1336" s="90">
        <f t="shared" si="376"/>
        <v>0</v>
      </c>
      <c r="AF1336" s="90" t="str">
        <f t="shared" si="377"/>
        <v/>
      </c>
      <c r="AG1336" s="90">
        <f t="shared" si="378"/>
        <v>6845</v>
      </c>
      <c r="AH1336" s="90" t="str">
        <f t="shared" si="379"/>
        <v>2018 (triag)</v>
      </c>
      <c r="AI1336" s="90">
        <f t="shared" si="380"/>
        <v>13620</v>
      </c>
      <c r="AJ1336" s="90">
        <v>2022</v>
      </c>
      <c r="AK1336" s="90" t="str">
        <f t="shared" si="382"/>
        <v/>
      </c>
      <c r="AL1336" s="91">
        <f>IF(AK1336="Adjust",(_xlfn.XLOOKUP(A1336,'Adj factor'!A:A,'Adj factor'!I:I,,0)*AI1336),'Master DataSheet'!AI1336)</f>
        <v>13620</v>
      </c>
      <c r="AM1336" s="91">
        <f t="shared" si="383"/>
        <v>13620</v>
      </c>
      <c r="AN1336" s="92" t="str">
        <f t="shared" si="384"/>
        <v>Increasing</v>
      </c>
      <c r="AS1336" s="94">
        <f t="shared" si="385"/>
        <v>0</v>
      </c>
      <c r="AT1336" s="94">
        <f t="shared" si="386"/>
        <v>0.61594840423830799</v>
      </c>
      <c r="AU1336" s="94">
        <f t="shared" si="387"/>
        <v>1.1039073054384949</v>
      </c>
    </row>
    <row r="1337" spans="1:47" x14ac:dyDescent="0.3">
      <c r="A1337" s="85" t="str">
        <f>_xlfn.XLOOKUP(B1337,'Country codes &amp; Data sources'!G:G,'Country codes &amp; Data sources'!H:H,,0)</f>
        <v>Ethiopia</v>
      </c>
      <c r="B1337" s="85" t="s">
        <v>155</v>
      </c>
      <c r="C1337" s="85">
        <v>94451290.500000104</v>
      </c>
      <c r="D1337" s="85" t="s">
        <v>337</v>
      </c>
      <c r="E1337" s="86">
        <v>0</v>
      </c>
      <c r="F1337" s="86">
        <v>97084366.00000003</v>
      </c>
      <c r="G1337" s="86">
        <v>0</v>
      </c>
      <c r="H1337" s="86"/>
      <c r="I1337" s="86">
        <v>0</v>
      </c>
      <c r="J1337" s="86"/>
      <c r="K1337" s="86">
        <v>0</v>
      </c>
      <c r="L1337" s="86"/>
      <c r="M1337" s="86">
        <v>0</v>
      </c>
      <c r="N1337" s="86"/>
      <c r="O1337" s="86">
        <v>0</v>
      </c>
      <c r="P1337" s="86">
        <v>111129438.00000001</v>
      </c>
      <c r="Q1337" s="86">
        <v>1889</v>
      </c>
      <c r="R1337" s="87">
        <f t="shared" si="372"/>
        <v>1889</v>
      </c>
      <c r="T1337" s="87">
        <v>52</v>
      </c>
      <c r="U1337" s="89"/>
      <c r="V1337" s="89">
        <v>228</v>
      </c>
      <c r="W1337" s="90"/>
      <c r="X1337" s="90">
        <v>0</v>
      </c>
      <c r="Y1337" s="90">
        <v>123379924.50000004</v>
      </c>
      <c r="Z1337" s="113">
        <v>3522</v>
      </c>
      <c r="AA1337" s="90">
        <v>1745</v>
      </c>
      <c r="AB1337" s="89">
        <f t="shared" si="373"/>
        <v>0</v>
      </c>
      <c r="AC1337" s="89">
        <f t="shared" si="374"/>
        <v>1889</v>
      </c>
      <c r="AD1337" s="89">
        <f t="shared" si="375"/>
        <v>3522</v>
      </c>
      <c r="AE1337" s="90">
        <f t="shared" si="376"/>
        <v>0</v>
      </c>
      <c r="AF1337" s="90" t="str">
        <f t="shared" si="377"/>
        <v/>
      </c>
      <c r="AG1337" s="90">
        <f t="shared" si="378"/>
        <v>1889</v>
      </c>
      <c r="AH1337" s="90">
        <f t="shared" si="379"/>
        <v>2018</v>
      </c>
      <c r="AI1337" s="90">
        <f t="shared" si="380"/>
        <v>3522</v>
      </c>
      <c r="AJ1337" s="90">
        <v>2022</v>
      </c>
      <c r="AK1337" s="90" t="str">
        <f t="shared" si="382"/>
        <v/>
      </c>
      <c r="AL1337" s="91">
        <f>IF(AK1337="Adjust",(_xlfn.XLOOKUP(A1337,'Adj factor'!A:A,'Adj factor'!I:I,,0)*AI1337),'Master DataSheet'!AI1337)</f>
        <v>3522</v>
      </c>
      <c r="AM1337" s="91">
        <f t="shared" si="383"/>
        <v>3522</v>
      </c>
      <c r="AN1337" s="92" t="str">
        <f t="shared" si="384"/>
        <v>Increasing</v>
      </c>
      <c r="AS1337" s="94">
        <f t="shared" si="385"/>
        <v>0</v>
      </c>
      <c r="AT1337" s="94">
        <f t="shared" si="386"/>
        <v>0.16998196283508604</v>
      </c>
      <c r="AU1337" s="94">
        <f t="shared" si="387"/>
        <v>0.28545973052528484</v>
      </c>
    </row>
    <row r="1338" spans="1:47" x14ac:dyDescent="0.3">
      <c r="A1338" s="85" t="str">
        <f>_xlfn.XLOOKUP(B1338,'Country codes &amp; Data sources'!G:G,'Country codes &amp; Data sources'!H:H,,0)</f>
        <v>Ethiopia</v>
      </c>
      <c r="B1338" s="85" t="s">
        <v>155</v>
      </c>
      <c r="C1338" s="85">
        <v>94451291.500000104</v>
      </c>
      <c r="D1338" s="85" t="s">
        <v>338</v>
      </c>
      <c r="E1338" s="86">
        <v>0</v>
      </c>
      <c r="F1338" s="86">
        <v>97084366.00000003</v>
      </c>
      <c r="G1338" s="86">
        <v>0</v>
      </c>
      <c r="H1338" s="86"/>
      <c r="I1338" s="86">
        <v>0</v>
      </c>
      <c r="J1338" s="86"/>
      <c r="K1338" s="86">
        <v>0</v>
      </c>
      <c r="L1338" s="86"/>
      <c r="M1338" s="86">
        <v>0</v>
      </c>
      <c r="N1338" s="86"/>
      <c r="O1338" s="86">
        <v>0</v>
      </c>
      <c r="P1338" s="86">
        <v>111129438.00000001</v>
      </c>
      <c r="Q1338" s="86">
        <v>0</v>
      </c>
      <c r="R1338" s="87">
        <f t="shared" si="372"/>
        <v>144</v>
      </c>
      <c r="T1338" s="87">
        <v>0</v>
      </c>
      <c r="U1338" s="89"/>
      <c r="V1338" s="89">
        <v>110</v>
      </c>
      <c r="W1338" s="90"/>
      <c r="X1338" s="90">
        <v>0</v>
      </c>
      <c r="Y1338" s="90">
        <v>123379924.50000004</v>
      </c>
      <c r="Z1338" s="90">
        <v>195</v>
      </c>
      <c r="AA1338" s="90">
        <v>144</v>
      </c>
      <c r="AB1338" s="89">
        <f t="shared" si="373"/>
        <v>0</v>
      </c>
      <c r="AC1338" s="89">
        <f t="shared" si="374"/>
        <v>0</v>
      </c>
      <c r="AD1338" s="89">
        <f t="shared" si="375"/>
        <v>195</v>
      </c>
      <c r="AE1338" s="90">
        <f t="shared" si="376"/>
        <v>0</v>
      </c>
      <c r="AF1338" s="90" t="str">
        <f t="shared" si="377"/>
        <v/>
      </c>
      <c r="AG1338" s="90">
        <f t="shared" si="378"/>
        <v>144</v>
      </c>
      <c r="AH1338" s="90" t="str">
        <f t="shared" si="379"/>
        <v>2018 (triag)</v>
      </c>
      <c r="AI1338" s="90">
        <f t="shared" si="380"/>
        <v>195</v>
      </c>
      <c r="AJ1338" s="90">
        <f t="shared" si="381"/>
        <v>2022</v>
      </c>
      <c r="AK1338" s="90" t="str">
        <f t="shared" si="382"/>
        <v/>
      </c>
      <c r="AL1338" s="91">
        <f>IF(AK1338="Adjust",(_xlfn.XLOOKUP(A1338,'Adj factor'!A:A,'Adj factor'!I:I,,0)*AI1338),'Master DataSheet'!AI1338)</f>
        <v>195</v>
      </c>
      <c r="AM1338" s="91">
        <f t="shared" si="383"/>
        <v>195</v>
      </c>
      <c r="AN1338" s="92" t="str">
        <f t="shared" si="384"/>
        <v>Increasing</v>
      </c>
      <c r="AS1338" s="94">
        <f t="shared" si="385"/>
        <v>0</v>
      </c>
      <c r="AT1338" s="94">
        <f t="shared" si="386"/>
        <v>1.295786270420984E-2</v>
      </c>
      <c r="AU1338" s="94">
        <f t="shared" si="387"/>
        <v>1.5804840276101802E-2</v>
      </c>
    </row>
    <row r="1339" spans="1:47" x14ac:dyDescent="0.3">
      <c r="A1339" s="85" t="str">
        <f>_xlfn.XLOOKUP(B1339,'Country codes &amp; Data sources'!G:G,'Country codes &amp; Data sources'!H:H,,0)</f>
        <v>Ethiopia</v>
      </c>
      <c r="B1339" s="85" t="s">
        <v>155</v>
      </c>
      <c r="C1339" s="85">
        <v>94451292.500000104</v>
      </c>
      <c r="D1339" s="85" t="s">
        <v>339</v>
      </c>
      <c r="E1339" s="86">
        <v>0</v>
      </c>
      <c r="F1339" s="86">
        <v>97084366.00000003</v>
      </c>
      <c r="G1339" s="86">
        <v>0</v>
      </c>
      <c r="H1339" s="86"/>
      <c r="I1339" s="86">
        <v>0</v>
      </c>
      <c r="J1339" s="86"/>
      <c r="K1339" s="86">
        <v>0</v>
      </c>
      <c r="L1339" s="86"/>
      <c r="M1339" s="86">
        <v>0</v>
      </c>
      <c r="N1339" s="86"/>
      <c r="O1339" s="86">
        <v>0</v>
      </c>
      <c r="P1339" s="86">
        <v>111129438.00000001</v>
      </c>
      <c r="Q1339" s="86">
        <v>0</v>
      </c>
      <c r="R1339" s="87">
        <f t="shared" si="372"/>
        <v>0</v>
      </c>
      <c r="T1339" s="87">
        <v>0</v>
      </c>
      <c r="U1339" s="89"/>
      <c r="V1339" s="89">
        <v>0</v>
      </c>
      <c r="W1339" s="90"/>
      <c r="X1339" s="90">
        <v>0</v>
      </c>
      <c r="Y1339" s="90">
        <v>123379924.50000004</v>
      </c>
      <c r="Z1339" s="90">
        <v>0</v>
      </c>
      <c r="AA1339" s="90">
        <v>0</v>
      </c>
      <c r="AB1339" s="89">
        <f t="shared" si="373"/>
        <v>0</v>
      </c>
      <c r="AC1339" s="89">
        <f t="shared" si="374"/>
        <v>0</v>
      </c>
      <c r="AD1339" s="89">
        <f t="shared" si="375"/>
        <v>0</v>
      </c>
      <c r="AE1339" s="90">
        <f t="shared" si="376"/>
        <v>0</v>
      </c>
      <c r="AF1339" s="90" t="str">
        <f t="shared" si="377"/>
        <v/>
      </c>
      <c r="AG1339" s="90">
        <f t="shared" si="378"/>
        <v>0</v>
      </c>
      <c r="AH1339" s="90" t="str">
        <f t="shared" si="379"/>
        <v/>
      </c>
      <c r="AI1339" s="90">
        <f t="shared" si="380"/>
        <v>0</v>
      </c>
      <c r="AJ1339" s="90" t="str">
        <f t="shared" si="381"/>
        <v/>
      </c>
      <c r="AK1339" s="90" t="str">
        <f t="shared" si="382"/>
        <v/>
      </c>
      <c r="AL1339" s="91">
        <f>IF(AK1339="Adjust",(_xlfn.XLOOKUP(A1339,'Adj factor'!A:A,'Adj factor'!I:I,,0)*AI1339),'Master DataSheet'!AI1339)</f>
        <v>0</v>
      </c>
      <c r="AM1339" s="91">
        <f t="shared" si="383"/>
        <v>0</v>
      </c>
      <c r="AN1339" s="92" t="str">
        <f t="shared" si="384"/>
        <v>No change</v>
      </c>
      <c r="AS1339" s="94">
        <f t="shared" si="385"/>
        <v>0</v>
      </c>
      <c r="AT1339" s="94">
        <f t="shared" si="386"/>
        <v>0</v>
      </c>
      <c r="AU1339" s="94">
        <f t="shared" si="387"/>
        <v>0</v>
      </c>
    </row>
    <row r="1340" spans="1:47" x14ac:dyDescent="0.3">
      <c r="A1340" s="85" t="str">
        <f>_xlfn.XLOOKUP(B1340,'Country codes &amp; Data sources'!G:G,'Country codes &amp; Data sources'!H:H,,0)</f>
        <v>Gabon</v>
      </c>
      <c r="B1340" s="85" t="s">
        <v>157</v>
      </c>
      <c r="C1340" s="85">
        <v>1836705</v>
      </c>
      <c r="D1340" s="85" t="s">
        <v>326</v>
      </c>
      <c r="E1340" s="86">
        <v>0</v>
      </c>
      <c r="F1340" s="86">
        <v>1902226.5000000007</v>
      </c>
      <c r="G1340" s="86">
        <v>0</v>
      </c>
      <c r="H1340" s="86">
        <v>1966855.5</v>
      </c>
      <c r="I1340" s="86">
        <v>0</v>
      </c>
      <c r="J1340" s="86">
        <v>2028517.0000000007</v>
      </c>
      <c r="K1340" s="86">
        <v>0</v>
      </c>
      <c r="L1340" s="86">
        <v>2086205.5000000009</v>
      </c>
      <c r="M1340" s="86">
        <v>715</v>
      </c>
      <c r="N1340" s="86">
        <v>2140215.5000000005</v>
      </c>
      <c r="O1340" s="86">
        <v>1408</v>
      </c>
      <c r="P1340" s="86">
        <v>2192011.5</v>
      </c>
      <c r="Q1340" s="86">
        <v>1368</v>
      </c>
      <c r="R1340" s="87">
        <f t="shared" si="372"/>
        <v>1368</v>
      </c>
      <c r="S1340" s="87">
        <v>2242785.5000000005</v>
      </c>
      <c r="T1340" s="87">
        <v>1368</v>
      </c>
      <c r="U1340" s="89">
        <v>2292572.9999999981</v>
      </c>
      <c r="V1340" s="89">
        <v>1362</v>
      </c>
      <c r="W1340" s="90">
        <v>2341178.9999999986</v>
      </c>
      <c r="X1340" s="90">
        <v>0</v>
      </c>
      <c r="Y1340" s="90">
        <v>2388992.5000000005</v>
      </c>
      <c r="Z1340" s="90">
        <v>1139</v>
      </c>
      <c r="AA1340" s="90">
        <v>1368</v>
      </c>
      <c r="AB1340" s="89">
        <f t="shared" si="373"/>
        <v>0</v>
      </c>
      <c r="AC1340" s="89">
        <f t="shared" si="374"/>
        <v>1408</v>
      </c>
      <c r="AD1340" s="89">
        <f t="shared" si="375"/>
        <v>1362</v>
      </c>
      <c r="AE1340" s="90">
        <f t="shared" si="376"/>
        <v>0</v>
      </c>
      <c r="AF1340" s="90" t="str">
        <f t="shared" si="377"/>
        <v/>
      </c>
      <c r="AG1340" s="90">
        <f t="shared" si="378"/>
        <v>1368</v>
      </c>
      <c r="AH1340" s="90">
        <f t="shared" si="379"/>
        <v>2018</v>
      </c>
      <c r="AI1340" s="90">
        <f t="shared" si="380"/>
        <v>1139</v>
      </c>
      <c r="AJ1340" s="90">
        <f t="shared" si="381"/>
        <v>2022</v>
      </c>
      <c r="AK1340" s="90" t="str">
        <f t="shared" si="382"/>
        <v>Adjust</v>
      </c>
      <c r="AL1340" s="91">
        <f>IF(AK1340="Adjust",(_xlfn.XLOOKUP(A1340,'Adj factor'!A:A,'Adj factor'!I:I,,0)*AI1340),'Master DataSheet'!AI1340)</f>
        <v>1265.3898201501661</v>
      </c>
      <c r="AM1340" s="91">
        <f t="shared" si="383"/>
        <v>1368</v>
      </c>
      <c r="AN1340" s="92" t="str">
        <f t="shared" si="384"/>
        <v>Decreasing</v>
      </c>
      <c r="AS1340" s="94">
        <f t="shared" si="385"/>
        <v>0</v>
      </c>
      <c r="AT1340" s="94">
        <f t="shared" si="386"/>
        <v>6.2408431707589127</v>
      </c>
      <c r="AU1340" s="94">
        <f t="shared" si="387"/>
        <v>5.7262632678838452</v>
      </c>
    </row>
    <row r="1341" spans="1:47" x14ac:dyDescent="0.3">
      <c r="A1341" s="85" t="str">
        <f>_xlfn.XLOOKUP(B1341,'Country codes &amp; Data sources'!G:G,'Country codes &amp; Data sources'!H:H,,0)</f>
        <v>Gabon</v>
      </c>
      <c r="B1341" s="85" t="s">
        <v>157</v>
      </c>
      <c r="C1341" s="85">
        <v>1836706</v>
      </c>
      <c r="D1341" s="85" t="s">
        <v>327</v>
      </c>
      <c r="E1341" s="86">
        <v>0</v>
      </c>
      <c r="F1341" s="86">
        <v>1902226.5000000007</v>
      </c>
      <c r="G1341" s="86">
        <v>0</v>
      </c>
      <c r="H1341" s="86"/>
      <c r="I1341" s="86">
        <v>0</v>
      </c>
      <c r="J1341" s="86"/>
      <c r="K1341" s="86">
        <v>0</v>
      </c>
      <c r="L1341" s="86"/>
      <c r="M1341" s="86">
        <v>0</v>
      </c>
      <c r="N1341" s="86"/>
      <c r="O1341" s="86">
        <v>570</v>
      </c>
      <c r="P1341" s="86">
        <v>2192011.5</v>
      </c>
      <c r="Q1341" s="86">
        <v>570</v>
      </c>
      <c r="R1341" s="87">
        <f t="shared" si="372"/>
        <v>570</v>
      </c>
      <c r="T1341" s="87">
        <v>516</v>
      </c>
      <c r="U1341" s="89"/>
      <c r="V1341" s="89">
        <v>526</v>
      </c>
      <c r="W1341" s="90"/>
      <c r="X1341" s="90">
        <v>0</v>
      </c>
      <c r="Y1341" s="90">
        <v>2388992.5000000005</v>
      </c>
      <c r="Z1341" s="90">
        <v>612</v>
      </c>
      <c r="AA1341" s="90">
        <v>570</v>
      </c>
      <c r="AB1341" s="89">
        <f t="shared" si="373"/>
        <v>0</v>
      </c>
      <c r="AC1341" s="89">
        <f t="shared" si="374"/>
        <v>570</v>
      </c>
      <c r="AD1341" s="89">
        <f t="shared" si="375"/>
        <v>612</v>
      </c>
      <c r="AE1341" s="90">
        <f t="shared" si="376"/>
        <v>0</v>
      </c>
      <c r="AF1341" s="90" t="str">
        <f t="shared" si="377"/>
        <v/>
      </c>
      <c r="AG1341" s="90">
        <f t="shared" si="378"/>
        <v>570</v>
      </c>
      <c r="AH1341" s="90">
        <f t="shared" si="379"/>
        <v>2017</v>
      </c>
      <c r="AI1341" s="90">
        <f t="shared" si="380"/>
        <v>612</v>
      </c>
      <c r="AJ1341" s="90">
        <f t="shared" si="381"/>
        <v>2022</v>
      </c>
      <c r="AK1341" s="90" t="str">
        <f t="shared" si="382"/>
        <v/>
      </c>
      <c r="AL1341" s="91">
        <f>IF(AK1341="Adjust",(_xlfn.XLOOKUP(A1341,'Adj factor'!A:A,'Adj factor'!I:I,,0)*AI1341),'Master DataSheet'!AI1341)</f>
        <v>612</v>
      </c>
      <c r="AM1341" s="91">
        <f t="shared" si="383"/>
        <v>612</v>
      </c>
      <c r="AN1341" s="92" t="str">
        <f t="shared" si="384"/>
        <v>Increasing</v>
      </c>
      <c r="AS1341" s="94">
        <f t="shared" si="385"/>
        <v>0</v>
      </c>
      <c r="AT1341" s="94">
        <f t="shared" si="386"/>
        <v>2.6003513211495468</v>
      </c>
      <c r="AU1341" s="94">
        <f t="shared" si="387"/>
        <v>2.5617493566848784</v>
      </c>
    </row>
    <row r="1342" spans="1:47" x14ac:dyDescent="0.3">
      <c r="A1342" s="85" t="str">
        <f>_xlfn.XLOOKUP(B1342,'Country codes &amp; Data sources'!G:G,'Country codes &amp; Data sources'!H:H,,0)</f>
        <v>Gabon</v>
      </c>
      <c r="B1342" s="85" t="s">
        <v>157</v>
      </c>
      <c r="C1342" s="85">
        <v>1836707</v>
      </c>
      <c r="D1342" s="85" t="s">
        <v>328</v>
      </c>
      <c r="E1342" s="86">
        <v>0</v>
      </c>
      <c r="F1342" s="86">
        <v>1902226.5000000007</v>
      </c>
      <c r="G1342" s="86">
        <v>0</v>
      </c>
      <c r="H1342" s="86"/>
      <c r="I1342" s="86">
        <v>0</v>
      </c>
      <c r="J1342" s="86"/>
      <c r="K1342" s="86">
        <v>0</v>
      </c>
      <c r="L1342" s="86"/>
      <c r="M1342" s="86">
        <v>0</v>
      </c>
      <c r="N1342" s="86"/>
      <c r="O1342" s="86">
        <v>838</v>
      </c>
      <c r="P1342" s="86">
        <v>2192011.5</v>
      </c>
      <c r="Q1342" s="86">
        <v>798</v>
      </c>
      <c r="R1342" s="87">
        <f t="shared" si="372"/>
        <v>798</v>
      </c>
      <c r="T1342" s="87">
        <v>851</v>
      </c>
      <c r="U1342" s="89"/>
      <c r="V1342" s="89">
        <v>835</v>
      </c>
      <c r="W1342" s="90"/>
      <c r="X1342" s="90">
        <v>0</v>
      </c>
      <c r="Y1342" s="90">
        <v>2388992.5000000005</v>
      </c>
      <c r="Z1342" s="90">
        <v>527</v>
      </c>
      <c r="AA1342" s="90">
        <v>798</v>
      </c>
      <c r="AB1342" s="89">
        <f t="shared" si="373"/>
        <v>0</v>
      </c>
      <c r="AC1342" s="89">
        <f t="shared" si="374"/>
        <v>851</v>
      </c>
      <c r="AD1342" s="89">
        <f t="shared" si="375"/>
        <v>835</v>
      </c>
      <c r="AE1342" s="90">
        <f t="shared" si="376"/>
        <v>0</v>
      </c>
      <c r="AF1342" s="90" t="str">
        <f t="shared" si="377"/>
        <v/>
      </c>
      <c r="AG1342" s="90">
        <f t="shared" si="378"/>
        <v>798</v>
      </c>
      <c r="AH1342" s="90">
        <f t="shared" si="379"/>
        <v>2018</v>
      </c>
      <c r="AI1342" s="90">
        <f t="shared" si="380"/>
        <v>527</v>
      </c>
      <c r="AJ1342" s="90">
        <f t="shared" si="381"/>
        <v>2022</v>
      </c>
      <c r="AK1342" s="90" t="str">
        <f t="shared" si="382"/>
        <v>Adjust</v>
      </c>
      <c r="AL1342" s="91">
        <f>IF(AK1342="Adjust",(_xlfn.XLOOKUP(A1342,'Adj factor'!A:A,'Adj factor'!I:I,,0)*AI1342),'Master DataSheet'!AI1342)</f>
        <v>585.47887200977834</v>
      </c>
      <c r="AM1342" s="91">
        <f t="shared" si="383"/>
        <v>798</v>
      </c>
      <c r="AN1342" s="92" t="str">
        <f t="shared" si="384"/>
        <v>Decreasing</v>
      </c>
      <c r="AS1342" s="94">
        <f t="shared" si="385"/>
        <v>0</v>
      </c>
      <c r="AT1342" s="94">
        <f t="shared" si="386"/>
        <v>3.6404918496093654</v>
      </c>
      <c r="AU1342" s="94">
        <f t="shared" si="387"/>
        <v>3.3403202395989098</v>
      </c>
    </row>
    <row r="1343" spans="1:47" x14ac:dyDescent="0.3">
      <c r="A1343" s="85" t="str">
        <f>_xlfn.XLOOKUP(B1343,'Country codes &amp; Data sources'!G:G,'Country codes &amp; Data sources'!H:H,,0)</f>
        <v>Gabon</v>
      </c>
      <c r="B1343" s="85" t="s">
        <v>157</v>
      </c>
      <c r="C1343" s="85">
        <v>1836708</v>
      </c>
      <c r="D1343" s="85" t="s">
        <v>329</v>
      </c>
      <c r="E1343" s="86">
        <v>0</v>
      </c>
      <c r="F1343" s="86">
        <v>1902226.5000000007</v>
      </c>
      <c r="G1343" s="86">
        <v>0</v>
      </c>
      <c r="H1343" s="86"/>
      <c r="I1343" s="86">
        <v>0</v>
      </c>
      <c r="J1343" s="86"/>
      <c r="K1343" s="86">
        <v>0</v>
      </c>
      <c r="L1343" s="86"/>
      <c r="M1343" s="86">
        <v>4596</v>
      </c>
      <c r="N1343" s="86"/>
      <c r="O1343" s="86">
        <v>5350</v>
      </c>
      <c r="P1343" s="86">
        <v>2192011.5</v>
      </c>
      <c r="Q1343" s="86">
        <v>6085</v>
      </c>
      <c r="R1343" s="87">
        <f t="shared" si="372"/>
        <v>6085</v>
      </c>
      <c r="T1343" s="87">
        <v>4711</v>
      </c>
      <c r="U1343" s="89"/>
      <c r="V1343" s="89">
        <v>5481</v>
      </c>
      <c r="W1343" s="90"/>
      <c r="X1343" s="90">
        <v>0</v>
      </c>
      <c r="Y1343" s="90">
        <v>2388992.5000000005</v>
      </c>
      <c r="Z1343" s="90">
        <v>4277</v>
      </c>
      <c r="AA1343" s="90">
        <v>5352</v>
      </c>
      <c r="AB1343" s="89">
        <f t="shared" si="373"/>
        <v>0</v>
      </c>
      <c r="AC1343" s="89">
        <f t="shared" si="374"/>
        <v>6085</v>
      </c>
      <c r="AD1343" s="89">
        <f t="shared" si="375"/>
        <v>5481</v>
      </c>
      <c r="AE1343" s="90">
        <f t="shared" si="376"/>
        <v>0</v>
      </c>
      <c r="AF1343" s="90" t="str">
        <f t="shared" si="377"/>
        <v/>
      </c>
      <c r="AG1343" s="90">
        <f t="shared" si="378"/>
        <v>6085</v>
      </c>
      <c r="AH1343" s="90">
        <f t="shared" si="379"/>
        <v>2018</v>
      </c>
      <c r="AI1343" s="90">
        <f t="shared" si="380"/>
        <v>4277</v>
      </c>
      <c r="AJ1343" s="90">
        <f t="shared" si="381"/>
        <v>2022</v>
      </c>
      <c r="AK1343" s="90" t="str">
        <f t="shared" si="382"/>
        <v>Adjust</v>
      </c>
      <c r="AL1343" s="91">
        <f>IF(AK1343="Adjust",(_xlfn.XLOOKUP(A1343,'Adj factor'!A:A,'Adj factor'!I:I,,0)*AI1343),'Master DataSheet'!AI1343)</f>
        <v>4751.5998777719578</v>
      </c>
      <c r="AM1343" s="91">
        <f t="shared" si="383"/>
        <v>6085</v>
      </c>
      <c r="AN1343" s="92" t="str">
        <f t="shared" si="384"/>
        <v>Decreasing</v>
      </c>
      <c r="AS1343" s="94">
        <f t="shared" si="385"/>
        <v>0</v>
      </c>
      <c r="AT1343" s="94">
        <f t="shared" si="386"/>
        <v>27.75989085823683</v>
      </c>
      <c r="AU1343" s="94">
        <f t="shared" si="387"/>
        <v>25.470988293182163</v>
      </c>
    </row>
    <row r="1344" spans="1:47" x14ac:dyDescent="0.3">
      <c r="A1344" s="85" t="str">
        <f>_xlfn.XLOOKUP(B1344,'Country codes &amp; Data sources'!G:G,'Country codes &amp; Data sources'!H:H,,0)</f>
        <v>Gabon</v>
      </c>
      <c r="B1344" s="85" t="s">
        <v>157</v>
      </c>
      <c r="C1344" s="85">
        <v>1836709</v>
      </c>
      <c r="D1344" s="85" t="s">
        <v>330</v>
      </c>
      <c r="E1344" s="86">
        <v>0</v>
      </c>
      <c r="F1344" s="86">
        <v>1902226.5000000007</v>
      </c>
      <c r="G1344" s="86">
        <v>0</v>
      </c>
      <c r="H1344" s="86"/>
      <c r="I1344" s="86">
        <v>0</v>
      </c>
      <c r="J1344" s="86"/>
      <c r="K1344" s="86">
        <v>0</v>
      </c>
      <c r="L1344" s="86"/>
      <c r="M1344" s="86">
        <v>0</v>
      </c>
      <c r="N1344" s="86"/>
      <c r="O1344" s="86">
        <v>1077</v>
      </c>
      <c r="P1344" s="86">
        <v>2192011.5</v>
      </c>
      <c r="Q1344" s="86">
        <v>0</v>
      </c>
      <c r="R1344" s="87">
        <f t="shared" si="372"/>
        <v>1077</v>
      </c>
      <c r="T1344" s="87">
        <v>3301</v>
      </c>
      <c r="U1344" s="89"/>
      <c r="V1344" s="89">
        <v>4844</v>
      </c>
      <c r="W1344" s="90"/>
      <c r="X1344" s="90">
        <v>0</v>
      </c>
      <c r="Y1344" s="90">
        <v>2388992.5000000005</v>
      </c>
      <c r="Z1344" s="90">
        <v>992</v>
      </c>
      <c r="AA1344" s="90">
        <v>1077</v>
      </c>
      <c r="AB1344" s="89">
        <f t="shared" si="373"/>
        <v>0</v>
      </c>
      <c r="AC1344" s="89">
        <f t="shared" si="374"/>
        <v>3301</v>
      </c>
      <c r="AD1344" s="89">
        <f t="shared" si="375"/>
        <v>4844</v>
      </c>
      <c r="AE1344" s="90">
        <f t="shared" si="376"/>
        <v>0</v>
      </c>
      <c r="AF1344" s="90" t="str">
        <f t="shared" si="377"/>
        <v/>
      </c>
      <c r="AG1344" s="90">
        <f t="shared" si="378"/>
        <v>1077</v>
      </c>
      <c r="AH1344" s="90">
        <f t="shared" si="379"/>
        <v>2017</v>
      </c>
      <c r="AI1344" s="90">
        <f t="shared" si="380"/>
        <v>992</v>
      </c>
      <c r="AJ1344" s="90">
        <f t="shared" si="381"/>
        <v>2022</v>
      </c>
      <c r="AK1344" s="90" t="str">
        <f t="shared" si="382"/>
        <v>Adjust</v>
      </c>
      <c r="AL1344" s="91">
        <f>IF(AK1344="Adjust",(_xlfn.XLOOKUP(A1344,'Adj factor'!A:A,'Adj factor'!I:I,,0)*AI1344),'Master DataSheet'!AI1344)</f>
        <v>1102.0778767242884</v>
      </c>
      <c r="AM1344" s="91">
        <f t="shared" si="383"/>
        <v>1102.0778767242884</v>
      </c>
      <c r="AN1344" s="92" t="str">
        <f t="shared" si="384"/>
        <v>Increasing</v>
      </c>
      <c r="AS1344" s="94">
        <f t="shared" si="385"/>
        <v>0</v>
      </c>
      <c r="AT1344" s="94">
        <f t="shared" si="386"/>
        <v>4.9132953910141435</v>
      </c>
      <c r="AU1344" s="94">
        <f t="shared" si="387"/>
        <v>4.6131491694690885</v>
      </c>
    </row>
    <row r="1345" spans="1:47" x14ac:dyDescent="0.3">
      <c r="A1345" s="85" t="str">
        <f>_xlfn.XLOOKUP(B1345,'Country codes &amp; Data sources'!G:G,'Country codes &amp; Data sources'!H:H,,0)</f>
        <v>Gabon</v>
      </c>
      <c r="B1345" s="85" t="s">
        <v>157</v>
      </c>
      <c r="C1345" s="85">
        <v>1836710</v>
      </c>
      <c r="D1345" s="85" t="s">
        <v>331</v>
      </c>
      <c r="E1345" s="86">
        <v>0</v>
      </c>
      <c r="F1345" s="86">
        <v>1902226.5000000007</v>
      </c>
      <c r="G1345" s="86">
        <v>0</v>
      </c>
      <c r="H1345" s="86"/>
      <c r="I1345" s="86">
        <v>0</v>
      </c>
      <c r="J1345" s="86"/>
      <c r="K1345" s="86">
        <v>0</v>
      </c>
      <c r="L1345" s="86"/>
      <c r="M1345" s="86">
        <v>0</v>
      </c>
      <c r="N1345" s="86"/>
      <c r="O1345" s="86">
        <v>0</v>
      </c>
      <c r="P1345" s="86">
        <v>2192011.5</v>
      </c>
      <c r="Q1345" s="86">
        <v>0</v>
      </c>
      <c r="R1345" s="87">
        <f t="shared" si="372"/>
        <v>4275</v>
      </c>
      <c r="T1345" s="87">
        <v>1408</v>
      </c>
      <c r="U1345" s="89"/>
      <c r="V1345" s="89">
        <v>635</v>
      </c>
      <c r="W1345" s="90"/>
      <c r="X1345" s="90">
        <v>0</v>
      </c>
      <c r="Y1345" s="90">
        <v>2388992.5000000005</v>
      </c>
      <c r="Z1345" s="90">
        <v>3201</v>
      </c>
      <c r="AA1345" s="90">
        <v>4275</v>
      </c>
      <c r="AB1345" s="89">
        <f t="shared" si="373"/>
        <v>0</v>
      </c>
      <c r="AC1345" s="89">
        <f t="shared" si="374"/>
        <v>1408</v>
      </c>
      <c r="AD1345" s="89">
        <f t="shared" si="375"/>
        <v>3201</v>
      </c>
      <c r="AE1345" s="90">
        <f t="shared" si="376"/>
        <v>0</v>
      </c>
      <c r="AF1345" s="90" t="str">
        <f t="shared" si="377"/>
        <v/>
      </c>
      <c r="AG1345" s="90">
        <f t="shared" si="378"/>
        <v>4275</v>
      </c>
      <c r="AH1345" s="90" t="str">
        <f t="shared" si="379"/>
        <v>2018 (triag)</v>
      </c>
      <c r="AI1345" s="90">
        <f t="shared" si="380"/>
        <v>3201</v>
      </c>
      <c r="AJ1345" s="90">
        <f t="shared" si="381"/>
        <v>2022</v>
      </c>
      <c r="AK1345" s="90" t="str">
        <f t="shared" si="382"/>
        <v>Adjust</v>
      </c>
      <c r="AL1345" s="91">
        <f>IF(AK1345="Adjust",(_xlfn.XLOOKUP(A1345,'Adj factor'!A:A,'Adj factor'!I:I,,0)*AI1345),'Master DataSheet'!AI1345)</f>
        <v>3556.2008905185962</v>
      </c>
      <c r="AM1345" s="91">
        <f t="shared" si="383"/>
        <v>4275</v>
      </c>
      <c r="AN1345" s="92" t="str">
        <f t="shared" si="384"/>
        <v>Decreasing</v>
      </c>
      <c r="AS1345" s="94">
        <f t="shared" si="385"/>
        <v>0</v>
      </c>
      <c r="AT1345" s="94">
        <f t="shared" si="386"/>
        <v>19.502634908621602</v>
      </c>
      <c r="AU1345" s="94">
        <f t="shared" si="387"/>
        <v>17.894572712137016</v>
      </c>
    </row>
    <row r="1346" spans="1:47" x14ac:dyDescent="0.3">
      <c r="A1346" s="85" t="str">
        <f>_xlfn.XLOOKUP(B1346,'Country codes &amp; Data sources'!G:G,'Country codes &amp; Data sources'!H:H,,0)</f>
        <v>Gabon</v>
      </c>
      <c r="B1346" s="85" t="s">
        <v>157</v>
      </c>
      <c r="C1346" s="85">
        <v>1836711</v>
      </c>
      <c r="D1346" s="85" t="s">
        <v>332</v>
      </c>
      <c r="E1346" s="86">
        <v>0</v>
      </c>
      <c r="F1346" s="86">
        <v>1902226.5000000007</v>
      </c>
      <c r="G1346" s="86">
        <v>437</v>
      </c>
      <c r="H1346" s="86"/>
      <c r="I1346" s="86">
        <v>0</v>
      </c>
      <c r="J1346" s="86"/>
      <c r="K1346" s="86">
        <v>0</v>
      </c>
      <c r="L1346" s="86"/>
      <c r="M1346" s="86">
        <v>513</v>
      </c>
      <c r="N1346" s="86"/>
      <c r="O1346" s="86">
        <v>733</v>
      </c>
      <c r="P1346" s="86">
        <v>2192011.5</v>
      </c>
      <c r="Q1346" s="86">
        <v>0</v>
      </c>
      <c r="R1346" s="87">
        <f t="shared" si="372"/>
        <v>733</v>
      </c>
      <c r="T1346" s="87">
        <v>607</v>
      </c>
      <c r="U1346" s="89"/>
      <c r="V1346" s="89">
        <v>662</v>
      </c>
      <c r="W1346" s="90"/>
      <c r="X1346" s="90">
        <v>0</v>
      </c>
      <c r="Y1346" s="90">
        <v>2388992.5000000005</v>
      </c>
      <c r="Z1346" s="90">
        <v>920</v>
      </c>
      <c r="AA1346" s="90">
        <v>733</v>
      </c>
      <c r="AB1346" s="89">
        <f t="shared" si="373"/>
        <v>437</v>
      </c>
      <c r="AC1346" s="89">
        <f t="shared" si="374"/>
        <v>733</v>
      </c>
      <c r="AD1346" s="89">
        <f t="shared" si="375"/>
        <v>920</v>
      </c>
      <c r="AE1346" s="90">
        <f t="shared" si="376"/>
        <v>437</v>
      </c>
      <c r="AF1346" s="90">
        <f t="shared" si="377"/>
        <v>2013</v>
      </c>
      <c r="AG1346" s="90">
        <f t="shared" si="378"/>
        <v>733</v>
      </c>
      <c r="AH1346" s="90">
        <f t="shared" si="379"/>
        <v>2017</v>
      </c>
      <c r="AI1346" s="90">
        <f t="shared" si="380"/>
        <v>920</v>
      </c>
      <c r="AJ1346" s="90">
        <f t="shared" si="381"/>
        <v>2022</v>
      </c>
      <c r="AK1346" s="90" t="str">
        <f t="shared" si="382"/>
        <v/>
      </c>
      <c r="AL1346" s="91">
        <f>IF(AK1346="Adjust",(_xlfn.XLOOKUP(A1346,'Adj factor'!A:A,'Adj factor'!I:I,,0)*AI1346),'Master DataSheet'!AI1346)</f>
        <v>920</v>
      </c>
      <c r="AM1346" s="91">
        <f t="shared" si="383"/>
        <v>920</v>
      </c>
      <c r="AN1346" s="92" t="str">
        <f t="shared" si="384"/>
        <v>Increasing</v>
      </c>
      <c r="AS1346" s="94">
        <f t="shared" si="385"/>
        <v>2.2973079178531046</v>
      </c>
      <c r="AT1346" s="94">
        <f t="shared" si="386"/>
        <v>3.3439605586010841</v>
      </c>
      <c r="AU1346" s="94">
        <f t="shared" si="387"/>
        <v>3.8509957649511239</v>
      </c>
    </row>
    <row r="1347" spans="1:47" x14ac:dyDescent="0.3">
      <c r="A1347" s="85" t="str">
        <f>_xlfn.XLOOKUP(B1347,'Country codes &amp; Data sources'!G:G,'Country codes &amp; Data sources'!H:H,,0)</f>
        <v>Gabon</v>
      </c>
      <c r="B1347" s="85" t="s">
        <v>157</v>
      </c>
      <c r="C1347" s="85">
        <v>1836712</v>
      </c>
      <c r="D1347" s="85" t="s">
        <v>333</v>
      </c>
      <c r="E1347" s="86">
        <v>0</v>
      </c>
      <c r="F1347" s="86">
        <v>1902226.5000000007</v>
      </c>
      <c r="G1347" s="86">
        <v>437</v>
      </c>
      <c r="H1347" s="86"/>
      <c r="I1347" s="86">
        <v>0</v>
      </c>
      <c r="J1347" s="86"/>
      <c r="K1347" s="86">
        <v>0</v>
      </c>
      <c r="L1347" s="86"/>
      <c r="M1347" s="86">
        <v>0</v>
      </c>
      <c r="N1347" s="86"/>
      <c r="O1347" s="86">
        <v>109</v>
      </c>
      <c r="P1347" s="86">
        <v>2192011.5</v>
      </c>
      <c r="Q1347" s="86">
        <v>0</v>
      </c>
      <c r="R1347" s="87">
        <f t="shared" si="372"/>
        <v>107</v>
      </c>
      <c r="T1347" s="87">
        <v>607</v>
      </c>
      <c r="U1347" s="89"/>
      <c r="V1347" s="89">
        <v>662</v>
      </c>
      <c r="W1347" s="90"/>
      <c r="X1347" s="90">
        <v>0</v>
      </c>
      <c r="Y1347" s="90">
        <v>2388992.5000000005</v>
      </c>
      <c r="Z1347" s="90">
        <v>867</v>
      </c>
      <c r="AA1347" s="90">
        <v>107</v>
      </c>
      <c r="AB1347" s="89">
        <f t="shared" si="373"/>
        <v>437</v>
      </c>
      <c r="AC1347" s="89">
        <f t="shared" si="374"/>
        <v>607</v>
      </c>
      <c r="AD1347" s="89">
        <f t="shared" si="375"/>
        <v>867</v>
      </c>
      <c r="AE1347" s="90">
        <f t="shared" si="376"/>
        <v>437</v>
      </c>
      <c r="AF1347" s="90">
        <f t="shared" si="377"/>
        <v>2013</v>
      </c>
      <c r="AG1347" s="90">
        <f t="shared" si="378"/>
        <v>107</v>
      </c>
      <c r="AH1347" s="90" t="str">
        <f t="shared" si="379"/>
        <v>2018 (triag)</v>
      </c>
      <c r="AI1347" s="90">
        <f t="shared" si="380"/>
        <v>867</v>
      </c>
      <c r="AJ1347" s="90">
        <f t="shared" si="381"/>
        <v>2022</v>
      </c>
      <c r="AK1347" s="90" t="str">
        <f t="shared" si="382"/>
        <v/>
      </c>
      <c r="AL1347" s="91">
        <f>IF(AK1347="Adjust",(_xlfn.XLOOKUP(A1347,'Adj factor'!A:A,'Adj factor'!I:I,,0)*AI1347),'Master DataSheet'!AI1347)</f>
        <v>867</v>
      </c>
      <c r="AM1347" s="91">
        <f t="shared" si="383"/>
        <v>867</v>
      </c>
      <c r="AN1347" s="92" t="str">
        <f t="shared" si="384"/>
        <v>Increasing</v>
      </c>
      <c r="AS1347" s="94">
        <f t="shared" si="385"/>
        <v>2.2973079178531046</v>
      </c>
      <c r="AT1347" s="94">
        <f t="shared" si="386"/>
        <v>0.48813612519824828</v>
      </c>
      <c r="AU1347" s="94">
        <f t="shared" si="387"/>
        <v>3.6291449219702439</v>
      </c>
    </row>
    <row r="1348" spans="1:47" x14ac:dyDescent="0.3">
      <c r="A1348" s="85" t="str">
        <f>_xlfn.XLOOKUP(B1348,'Country codes &amp; Data sources'!G:G,'Country codes &amp; Data sources'!H:H,,0)</f>
        <v>Gabon</v>
      </c>
      <c r="B1348" s="85" t="s">
        <v>157</v>
      </c>
      <c r="C1348" s="85">
        <v>1836713</v>
      </c>
      <c r="D1348" s="85" t="s">
        <v>334</v>
      </c>
      <c r="E1348" s="86">
        <v>0</v>
      </c>
      <c r="F1348" s="86">
        <v>1902226.5000000007</v>
      </c>
      <c r="G1348" s="86">
        <v>0</v>
      </c>
      <c r="H1348" s="86"/>
      <c r="I1348" s="86">
        <v>0</v>
      </c>
      <c r="J1348" s="86"/>
      <c r="K1348" s="86">
        <v>0</v>
      </c>
      <c r="L1348" s="86"/>
      <c r="M1348" s="86">
        <v>0</v>
      </c>
      <c r="N1348" s="86"/>
      <c r="O1348" s="86">
        <v>0</v>
      </c>
      <c r="P1348" s="86">
        <v>2192011.5</v>
      </c>
      <c r="Q1348" s="86">
        <v>0</v>
      </c>
      <c r="R1348" s="87">
        <f t="shared" si="372"/>
        <v>626</v>
      </c>
      <c r="T1348" s="87">
        <v>0</v>
      </c>
      <c r="U1348" s="89"/>
      <c r="V1348" s="89">
        <v>0</v>
      </c>
      <c r="W1348" s="90"/>
      <c r="X1348" s="90">
        <v>0</v>
      </c>
      <c r="Y1348" s="90">
        <v>2388992.5000000005</v>
      </c>
      <c r="Z1348" s="90">
        <v>43</v>
      </c>
      <c r="AA1348" s="90">
        <v>626</v>
      </c>
      <c r="AB1348" s="89">
        <f t="shared" si="373"/>
        <v>0</v>
      </c>
      <c r="AC1348" s="89">
        <f t="shared" si="374"/>
        <v>0</v>
      </c>
      <c r="AD1348" s="89">
        <f t="shared" si="375"/>
        <v>43</v>
      </c>
      <c r="AE1348" s="90">
        <f t="shared" si="376"/>
        <v>0</v>
      </c>
      <c r="AF1348" s="90" t="str">
        <f t="shared" si="377"/>
        <v/>
      </c>
      <c r="AG1348" s="90">
        <f t="shared" si="378"/>
        <v>626</v>
      </c>
      <c r="AH1348" s="90" t="str">
        <f t="shared" si="379"/>
        <v>2018 (triag)</v>
      </c>
      <c r="AI1348" s="90">
        <f t="shared" si="380"/>
        <v>43</v>
      </c>
      <c r="AJ1348" s="90">
        <f t="shared" si="381"/>
        <v>2022</v>
      </c>
      <c r="AK1348" s="90" t="str">
        <f t="shared" si="382"/>
        <v>Adjust</v>
      </c>
      <c r="AL1348" s="91">
        <f>IF(AK1348="Adjust",(_xlfn.XLOOKUP(A1348,'Adj factor'!A:A,'Adj factor'!I:I,,0)*AI1348),'Master DataSheet'!AI1348)</f>
        <v>47.77152086607299</v>
      </c>
      <c r="AM1348" s="91">
        <f t="shared" si="383"/>
        <v>626</v>
      </c>
      <c r="AN1348" s="92" t="str">
        <f t="shared" si="384"/>
        <v>Decreasing</v>
      </c>
      <c r="AS1348" s="94">
        <f t="shared" si="385"/>
        <v>0</v>
      </c>
      <c r="AT1348" s="94">
        <f t="shared" si="386"/>
        <v>2.8558244334028355</v>
      </c>
      <c r="AU1348" s="94">
        <f t="shared" si="387"/>
        <v>2.6203514661515257</v>
      </c>
    </row>
    <row r="1349" spans="1:47" x14ac:dyDescent="0.3">
      <c r="A1349" s="85" t="str">
        <f>_xlfn.XLOOKUP(B1349,'Country codes &amp; Data sources'!G:G,'Country codes &amp; Data sources'!H:H,,0)</f>
        <v>Gabon</v>
      </c>
      <c r="B1349" s="85" t="s">
        <v>157</v>
      </c>
      <c r="C1349" s="85">
        <v>1836714</v>
      </c>
      <c r="D1349" s="85" t="s">
        <v>335</v>
      </c>
      <c r="E1349" s="86">
        <v>0</v>
      </c>
      <c r="F1349" s="86">
        <v>1902226.5000000007</v>
      </c>
      <c r="G1349" s="86">
        <v>0</v>
      </c>
      <c r="H1349" s="86"/>
      <c r="I1349" s="86">
        <v>0</v>
      </c>
      <c r="J1349" s="86"/>
      <c r="K1349" s="86">
        <v>0</v>
      </c>
      <c r="L1349" s="86"/>
      <c r="M1349" s="86">
        <v>46</v>
      </c>
      <c r="N1349" s="86"/>
      <c r="O1349" s="86">
        <v>121</v>
      </c>
      <c r="P1349" s="86">
        <v>2192011.5</v>
      </c>
      <c r="Q1349" s="86">
        <v>227</v>
      </c>
      <c r="R1349" s="87">
        <f t="shared" si="372"/>
        <v>227</v>
      </c>
      <c r="T1349" s="87">
        <v>140</v>
      </c>
      <c r="U1349" s="89"/>
      <c r="V1349" s="89">
        <v>139</v>
      </c>
      <c r="W1349" s="90"/>
      <c r="X1349" s="90">
        <v>0</v>
      </c>
      <c r="Y1349" s="90">
        <v>2388992.5000000005</v>
      </c>
      <c r="Z1349" s="90">
        <v>168</v>
      </c>
      <c r="AA1349" s="90">
        <v>121</v>
      </c>
      <c r="AB1349" s="89">
        <f t="shared" si="373"/>
        <v>0</v>
      </c>
      <c r="AC1349" s="89">
        <f t="shared" si="374"/>
        <v>227</v>
      </c>
      <c r="AD1349" s="89">
        <f t="shared" si="375"/>
        <v>168</v>
      </c>
      <c r="AE1349" s="90">
        <f t="shared" si="376"/>
        <v>0</v>
      </c>
      <c r="AF1349" s="90" t="str">
        <f t="shared" si="377"/>
        <v/>
      </c>
      <c r="AG1349" s="90">
        <f t="shared" si="378"/>
        <v>227</v>
      </c>
      <c r="AH1349" s="90">
        <f t="shared" si="379"/>
        <v>2018</v>
      </c>
      <c r="AI1349" s="90">
        <f t="shared" si="380"/>
        <v>168</v>
      </c>
      <c r="AJ1349" s="90">
        <f t="shared" si="381"/>
        <v>2022</v>
      </c>
      <c r="AK1349" s="90" t="str">
        <f t="shared" si="382"/>
        <v>Adjust</v>
      </c>
      <c r="AL1349" s="91">
        <f>IF(AK1349="Adjust",(_xlfn.XLOOKUP(A1349,'Adj factor'!A:A,'Adj factor'!I:I,,0)*AI1349),'Master DataSheet'!AI1349)</f>
        <v>186.64222105814565</v>
      </c>
      <c r="AM1349" s="91">
        <f t="shared" si="383"/>
        <v>227</v>
      </c>
      <c r="AN1349" s="92" t="str">
        <f t="shared" si="384"/>
        <v>Decreasing</v>
      </c>
      <c r="AS1349" s="94">
        <f t="shared" si="385"/>
        <v>0</v>
      </c>
      <c r="AT1349" s="94">
        <f t="shared" si="386"/>
        <v>1.0355785085981528</v>
      </c>
      <c r="AU1349" s="94">
        <f t="shared" si="387"/>
        <v>0.95019134635207081</v>
      </c>
    </row>
    <row r="1350" spans="1:47" x14ac:dyDescent="0.3">
      <c r="A1350" s="85" t="str">
        <f>_xlfn.XLOOKUP(B1350,'Country codes &amp; Data sources'!G:G,'Country codes &amp; Data sources'!H:H,,0)</f>
        <v>Gabon</v>
      </c>
      <c r="B1350" s="85" t="s">
        <v>157</v>
      </c>
      <c r="C1350" s="85">
        <v>1836715</v>
      </c>
      <c r="D1350" s="85" t="s">
        <v>336</v>
      </c>
      <c r="E1350" s="86">
        <v>0</v>
      </c>
      <c r="F1350" s="86">
        <v>1902226.5000000007</v>
      </c>
      <c r="G1350" s="86">
        <v>0</v>
      </c>
      <c r="H1350" s="86"/>
      <c r="I1350" s="86">
        <v>0</v>
      </c>
      <c r="J1350" s="86"/>
      <c r="K1350" s="86">
        <v>0</v>
      </c>
      <c r="L1350" s="86"/>
      <c r="M1350" s="86">
        <v>72</v>
      </c>
      <c r="N1350" s="86"/>
      <c r="O1350" s="86">
        <v>106</v>
      </c>
      <c r="P1350" s="86">
        <v>2192011.5</v>
      </c>
      <c r="Q1350" s="86">
        <v>0</v>
      </c>
      <c r="R1350" s="87">
        <f t="shared" si="372"/>
        <v>106</v>
      </c>
      <c r="T1350" s="87">
        <v>179</v>
      </c>
      <c r="U1350" s="89"/>
      <c r="V1350" s="89">
        <v>179</v>
      </c>
      <c r="W1350" s="90"/>
      <c r="X1350" s="90">
        <v>0</v>
      </c>
      <c r="Y1350" s="90">
        <v>2388992.5000000005</v>
      </c>
      <c r="Z1350" s="90">
        <v>233</v>
      </c>
      <c r="AA1350" s="90">
        <v>106</v>
      </c>
      <c r="AB1350" s="89">
        <f t="shared" si="373"/>
        <v>0</v>
      </c>
      <c r="AC1350" s="89">
        <f t="shared" si="374"/>
        <v>179</v>
      </c>
      <c r="AD1350" s="89">
        <f t="shared" si="375"/>
        <v>233</v>
      </c>
      <c r="AE1350" s="90">
        <f t="shared" si="376"/>
        <v>0</v>
      </c>
      <c r="AF1350" s="90" t="str">
        <f t="shared" si="377"/>
        <v/>
      </c>
      <c r="AG1350" s="90">
        <f t="shared" si="378"/>
        <v>106</v>
      </c>
      <c r="AH1350" s="90">
        <f t="shared" si="379"/>
        <v>2017</v>
      </c>
      <c r="AI1350" s="90">
        <f t="shared" si="380"/>
        <v>233</v>
      </c>
      <c r="AJ1350" s="90">
        <f t="shared" si="381"/>
        <v>2022</v>
      </c>
      <c r="AK1350" s="90" t="str">
        <f t="shared" si="382"/>
        <v/>
      </c>
      <c r="AL1350" s="91">
        <f>IF(AK1350="Adjust",(_xlfn.XLOOKUP(A1350,'Adj factor'!A:A,'Adj factor'!I:I,,0)*AI1350),'Master DataSheet'!AI1350)</f>
        <v>233</v>
      </c>
      <c r="AM1350" s="91">
        <f t="shared" si="383"/>
        <v>233</v>
      </c>
      <c r="AN1350" s="92" t="str">
        <f t="shared" si="384"/>
        <v>Increasing</v>
      </c>
      <c r="AS1350" s="94">
        <f t="shared" si="385"/>
        <v>0</v>
      </c>
      <c r="AT1350" s="94">
        <f t="shared" si="386"/>
        <v>0.4835741053365824</v>
      </c>
      <c r="AU1350" s="94">
        <f t="shared" si="387"/>
        <v>0.97530653612349116</v>
      </c>
    </row>
    <row r="1351" spans="1:47" x14ac:dyDescent="0.3">
      <c r="A1351" s="85" t="str">
        <f>_xlfn.XLOOKUP(B1351,'Country codes &amp; Data sources'!G:G,'Country codes &amp; Data sources'!H:H,,0)</f>
        <v>Gabon</v>
      </c>
      <c r="B1351" s="85" t="s">
        <v>157</v>
      </c>
      <c r="C1351" s="85">
        <v>1836716</v>
      </c>
      <c r="D1351" s="85" t="s">
        <v>337</v>
      </c>
      <c r="E1351" s="86">
        <v>0</v>
      </c>
      <c r="F1351" s="86">
        <v>1902226.5000000007</v>
      </c>
      <c r="G1351" s="86">
        <v>0</v>
      </c>
      <c r="H1351" s="86"/>
      <c r="I1351" s="86">
        <v>0</v>
      </c>
      <c r="J1351" s="86"/>
      <c r="K1351" s="86">
        <v>0</v>
      </c>
      <c r="L1351" s="86"/>
      <c r="M1351" s="86">
        <v>0</v>
      </c>
      <c r="N1351" s="86"/>
      <c r="O1351" s="86">
        <v>37</v>
      </c>
      <c r="P1351" s="86">
        <v>2192011.5</v>
      </c>
      <c r="Q1351" s="86">
        <v>40</v>
      </c>
      <c r="R1351" s="87">
        <f t="shared" si="372"/>
        <v>40</v>
      </c>
      <c r="T1351" s="87">
        <v>34</v>
      </c>
      <c r="U1351" s="89"/>
      <c r="V1351" s="89">
        <v>34</v>
      </c>
      <c r="W1351" s="90"/>
      <c r="X1351" s="90">
        <v>0</v>
      </c>
      <c r="Y1351" s="90">
        <v>2388992.5000000005</v>
      </c>
      <c r="Z1351" s="90">
        <v>44</v>
      </c>
      <c r="AA1351" s="90">
        <v>37</v>
      </c>
      <c r="AB1351" s="89">
        <f t="shared" si="373"/>
        <v>0</v>
      </c>
      <c r="AC1351" s="89">
        <f t="shared" si="374"/>
        <v>40</v>
      </c>
      <c r="AD1351" s="89">
        <f t="shared" si="375"/>
        <v>44</v>
      </c>
      <c r="AE1351" s="90">
        <f t="shared" si="376"/>
        <v>0</v>
      </c>
      <c r="AF1351" s="90" t="str">
        <f t="shared" si="377"/>
        <v/>
      </c>
      <c r="AG1351" s="90">
        <f t="shared" si="378"/>
        <v>40</v>
      </c>
      <c r="AH1351" s="90">
        <f t="shared" si="379"/>
        <v>2018</v>
      </c>
      <c r="AI1351" s="90">
        <f t="shared" si="380"/>
        <v>44</v>
      </c>
      <c r="AJ1351" s="90">
        <f t="shared" si="381"/>
        <v>2022</v>
      </c>
      <c r="AK1351" s="90" t="str">
        <f t="shared" si="382"/>
        <v/>
      </c>
      <c r="AL1351" s="91">
        <f>IF(AK1351="Adjust",(_xlfn.XLOOKUP(A1351,'Adj factor'!A:A,'Adj factor'!I:I,,0)*AI1351),'Master DataSheet'!AI1351)</f>
        <v>44</v>
      </c>
      <c r="AM1351" s="91">
        <f t="shared" si="383"/>
        <v>44</v>
      </c>
      <c r="AN1351" s="92" t="str">
        <f t="shared" si="384"/>
        <v>Increasing</v>
      </c>
      <c r="AS1351" s="94">
        <f t="shared" si="385"/>
        <v>0</v>
      </c>
      <c r="AT1351" s="94">
        <f t="shared" si="386"/>
        <v>0.18248079446663487</v>
      </c>
      <c r="AU1351" s="94">
        <f t="shared" si="387"/>
        <v>0.18417805832374942</v>
      </c>
    </row>
    <row r="1352" spans="1:47" x14ac:dyDescent="0.3">
      <c r="A1352" s="85" t="str">
        <f>_xlfn.XLOOKUP(B1352,'Country codes &amp; Data sources'!G:G,'Country codes &amp; Data sources'!H:H,,0)</f>
        <v>Gabon</v>
      </c>
      <c r="B1352" s="85" t="s">
        <v>157</v>
      </c>
      <c r="C1352" s="85">
        <v>1836717</v>
      </c>
      <c r="D1352" s="85" t="s">
        <v>338</v>
      </c>
      <c r="E1352" s="86">
        <v>0</v>
      </c>
      <c r="F1352" s="86">
        <v>1902226.5000000007</v>
      </c>
      <c r="G1352" s="86">
        <v>0</v>
      </c>
      <c r="H1352" s="86"/>
      <c r="I1352" s="86">
        <v>0</v>
      </c>
      <c r="J1352" s="86"/>
      <c r="K1352" s="86">
        <v>0</v>
      </c>
      <c r="L1352" s="86"/>
      <c r="M1352" s="86">
        <v>0</v>
      </c>
      <c r="N1352" s="86"/>
      <c r="O1352" s="86">
        <v>3</v>
      </c>
      <c r="P1352" s="86">
        <v>2192011.5</v>
      </c>
      <c r="Q1352" s="86">
        <v>0</v>
      </c>
      <c r="R1352" s="87">
        <f t="shared" si="372"/>
        <v>3</v>
      </c>
      <c r="T1352" s="87">
        <v>32</v>
      </c>
      <c r="U1352" s="89"/>
      <c r="V1352" s="89">
        <v>32</v>
      </c>
      <c r="W1352" s="90"/>
      <c r="X1352" s="90">
        <v>0</v>
      </c>
      <c r="Y1352" s="90">
        <v>2388992.5000000005</v>
      </c>
      <c r="Z1352" s="90">
        <v>67</v>
      </c>
      <c r="AA1352" s="90">
        <v>3</v>
      </c>
      <c r="AB1352" s="89">
        <f t="shared" si="373"/>
        <v>0</v>
      </c>
      <c r="AC1352" s="89">
        <f t="shared" si="374"/>
        <v>32</v>
      </c>
      <c r="AD1352" s="89">
        <f t="shared" si="375"/>
        <v>67</v>
      </c>
      <c r="AE1352" s="90">
        <f t="shared" si="376"/>
        <v>0</v>
      </c>
      <c r="AF1352" s="90" t="str">
        <f t="shared" si="377"/>
        <v/>
      </c>
      <c r="AG1352" s="90">
        <f t="shared" si="378"/>
        <v>3</v>
      </c>
      <c r="AH1352" s="90">
        <f t="shared" si="379"/>
        <v>2017</v>
      </c>
      <c r="AI1352" s="90">
        <f t="shared" si="380"/>
        <v>67</v>
      </c>
      <c r="AJ1352" s="90">
        <f t="shared" si="381"/>
        <v>2022</v>
      </c>
      <c r="AK1352" s="90" t="str">
        <f t="shared" si="382"/>
        <v/>
      </c>
      <c r="AL1352" s="91">
        <f>IF(AK1352="Adjust",(_xlfn.XLOOKUP(A1352,'Adj factor'!A:A,'Adj factor'!I:I,,0)*AI1352),'Master DataSheet'!AI1352)</f>
        <v>67</v>
      </c>
      <c r="AM1352" s="91">
        <f t="shared" si="383"/>
        <v>67</v>
      </c>
      <c r="AN1352" s="92" t="str">
        <f t="shared" si="384"/>
        <v>Increasing</v>
      </c>
      <c r="AS1352" s="94">
        <f t="shared" si="385"/>
        <v>0</v>
      </c>
      <c r="AT1352" s="94">
        <f t="shared" si="386"/>
        <v>1.3686059584997615E-2</v>
      </c>
      <c r="AU1352" s="94">
        <f t="shared" si="387"/>
        <v>0.28045295244752749</v>
      </c>
    </row>
    <row r="1353" spans="1:47" x14ac:dyDescent="0.3">
      <c r="A1353" s="85" t="str">
        <f>_xlfn.XLOOKUP(B1353,'Country codes &amp; Data sources'!G:G,'Country codes &amp; Data sources'!H:H,,0)</f>
        <v>Gabon</v>
      </c>
      <c r="B1353" s="85" t="s">
        <v>157</v>
      </c>
      <c r="C1353" s="85">
        <v>1836718</v>
      </c>
      <c r="D1353" s="85" t="s">
        <v>339</v>
      </c>
      <c r="E1353" s="86">
        <v>0</v>
      </c>
      <c r="F1353" s="86">
        <v>1902226.5000000007</v>
      </c>
      <c r="G1353" s="86">
        <v>0</v>
      </c>
      <c r="H1353" s="86"/>
      <c r="I1353" s="86">
        <v>0</v>
      </c>
      <c r="J1353" s="86"/>
      <c r="K1353" s="86">
        <v>0</v>
      </c>
      <c r="L1353" s="86"/>
      <c r="M1353" s="86">
        <v>0</v>
      </c>
      <c r="N1353" s="86"/>
      <c r="O1353" s="86">
        <v>41</v>
      </c>
      <c r="P1353" s="86">
        <v>2192011.5</v>
      </c>
      <c r="Q1353" s="86">
        <v>0</v>
      </c>
      <c r="R1353" s="87">
        <f t="shared" si="372"/>
        <v>0</v>
      </c>
      <c r="T1353" s="87">
        <v>85</v>
      </c>
      <c r="U1353" s="89"/>
      <c r="V1353" s="89">
        <v>86</v>
      </c>
      <c r="W1353" s="90"/>
      <c r="X1353" s="90">
        <v>0</v>
      </c>
      <c r="Y1353" s="90">
        <v>2388992.5000000005</v>
      </c>
      <c r="Z1353" s="90">
        <v>175</v>
      </c>
      <c r="AA1353" s="90">
        <v>0</v>
      </c>
      <c r="AB1353" s="89">
        <f t="shared" si="373"/>
        <v>0</v>
      </c>
      <c r="AC1353" s="89">
        <f t="shared" si="374"/>
        <v>85</v>
      </c>
      <c r="AD1353" s="89">
        <f t="shared" si="375"/>
        <v>175</v>
      </c>
      <c r="AE1353" s="90">
        <f t="shared" si="376"/>
        <v>0</v>
      </c>
      <c r="AF1353" s="90" t="str">
        <f t="shared" si="377"/>
        <v/>
      </c>
      <c r="AG1353" s="90">
        <f t="shared" si="378"/>
        <v>41</v>
      </c>
      <c r="AH1353" s="90">
        <f t="shared" si="379"/>
        <v>2017</v>
      </c>
      <c r="AI1353" s="90">
        <f t="shared" si="380"/>
        <v>175</v>
      </c>
      <c r="AJ1353" s="90">
        <f t="shared" si="381"/>
        <v>2022</v>
      </c>
      <c r="AK1353" s="90" t="str">
        <f t="shared" si="382"/>
        <v/>
      </c>
      <c r="AL1353" s="91">
        <f>IF(AK1353="Adjust",(_xlfn.XLOOKUP(A1353,'Adj factor'!A:A,'Adj factor'!I:I,,0)*AI1353),'Master DataSheet'!AI1353)</f>
        <v>175</v>
      </c>
      <c r="AM1353" s="91">
        <f t="shared" si="383"/>
        <v>175</v>
      </c>
      <c r="AN1353" s="92" t="str">
        <f t="shared" si="384"/>
        <v>Increasing</v>
      </c>
      <c r="AS1353" s="94">
        <f t="shared" si="385"/>
        <v>0</v>
      </c>
      <c r="AT1353" s="94">
        <f t="shared" si="386"/>
        <v>0.18704281432830075</v>
      </c>
      <c r="AU1353" s="94">
        <f t="shared" si="387"/>
        <v>0.73252636833309426</v>
      </c>
    </row>
    <row r="1354" spans="1:47" x14ac:dyDescent="0.3">
      <c r="A1354" s="85" t="str">
        <f>_xlfn.XLOOKUP(B1354,'Country codes &amp; Data sources'!G:G,'Country codes &amp; Data sources'!H:H,,0)</f>
        <v>Ghana</v>
      </c>
      <c r="B1354" s="85" t="s">
        <v>172</v>
      </c>
      <c r="C1354" s="85">
        <v>26858761.999999993</v>
      </c>
      <c r="D1354" s="85" t="s">
        <v>326</v>
      </c>
      <c r="E1354" s="86">
        <v>2486</v>
      </c>
      <c r="F1354" s="86">
        <v>27525596.999999989</v>
      </c>
      <c r="G1354" s="86">
        <v>2730</v>
      </c>
      <c r="H1354" s="86">
        <v>28196358.499999996</v>
      </c>
      <c r="I1354" s="86">
        <v>3016</v>
      </c>
      <c r="J1354" s="86">
        <v>28870939.000000007</v>
      </c>
      <c r="K1354" s="86">
        <v>3263</v>
      </c>
      <c r="L1354" s="86">
        <v>29554302.499999993</v>
      </c>
      <c r="M1354" s="86">
        <v>3618</v>
      </c>
      <c r="N1354" s="86">
        <v>30222261.500000004</v>
      </c>
      <c r="O1354" s="86">
        <v>2679</v>
      </c>
      <c r="P1354" s="86">
        <v>30870640.5</v>
      </c>
      <c r="Q1354" s="86">
        <v>4406</v>
      </c>
      <c r="R1354" s="87">
        <f t="shared" si="372"/>
        <v>4406</v>
      </c>
      <c r="S1354" s="87">
        <v>31522289.999999996</v>
      </c>
      <c r="T1354" s="87">
        <v>3236</v>
      </c>
      <c r="U1354" s="89">
        <v>32180401.499999981</v>
      </c>
      <c r="V1354" s="89">
        <v>5285</v>
      </c>
      <c r="W1354" s="90">
        <v>32833031.499999996</v>
      </c>
      <c r="X1354" s="90">
        <v>4169</v>
      </c>
      <c r="Y1354" s="90">
        <v>33475870.500000011</v>
      </c>
      <c r="Z1354" s="90">
        <v>4726</v>
      </c>
      <c r="AA1354" s="90">
        <v>4406</v>
      </c>
      <c r="AB1354" s="89">
        <f t="shared" si="373"/>
        <v>3263</v>
      </c>
      <c r="AC1354" s="89">
        <f t="shared" si="374"/>
        <v>4406</v>
      </c>
      <c r="AD1354" s="89">
        <f t="shared" si="375"/>
        <v>5285</v>
      </c>
      <c r="AE1354" s="90">
        <f t="shared" si="376"/>
        <v>2730</v>
      </c>
      <c r="AF1354" s="90">
        <f t="shared" si="377"/>
        <v>2013</v>
      </c>
      <c r="AG1354" s="90">
        <f t="shared" si="378"/>
        <v>4406</v>
      </c>
      <c r="AH1354" s="90">
        <f t="shared" si="379"/>
        <v>2018</v>
      </c>
      <c r="AI1354" s="90">
        <f t="shared" si="380"/>
        <v>4726</v>
      </c>
      <c r="AJ1354" s="90">
        <f t="shared" si="381"/>
        <v>2022</v>
      </c>
      <c r="AK1354" s="90" t="str">
        <f t="shared" si="382"/>
        <v/>
      </c>
      <c r="AL1354" s="91">
        <f>IF(AK1354="Adjust",(_xlfn.XLOOKUP(A1354,'Adj factor'!A:A,'Adj factor'!I:I,,0)*AI1354),'Master DataSheet'!AI1354)</f>
        <v>4726</v>
      </c>
      <c r="AM1354" s="91">
        <f t="shared" si="383"/>
        <v>4726</v>
      </c>
      <c r="AN1354" s="92" t="str">
        <f t="shared" si="384"/>
        <v>Increasing</v>
      </c>
      <c r="AS1354" s="94">
        <f t="shared" si="385"/>
        <v>0.99180410146962517</v>
      </c>
      <c r="AT1354" s="94">
        <f t="shared" si="386"/>
        <v>1.4272460592451912</v>
      </c>
      <c r="AU1354" s="94">
        <f t="shared" si="387"/>
        <v>1.411763138467153</v>
      </c>
    </row>
    <row r="1355" spans="1:47" x14ac:dyDescent="0.3">
      <c r="A1355" s="85" t="str">
        <f>_xlfn.XLOOKUP(B1355,'Country codes &amp; Data sources'!G:G,'Country codes &amp; Data sources'!H:H,,0)</f>
        <v>Ghana</v>
      </c>
      <c r="B1355" s="85" t="s">
        <v>172</v>
      </c>
      <c r="C1355" s="85">
        <v>26858763</v>
      </c>
      <c r="D1355" s="85" t="s">
        <v>327</v>
      </c>
      <c r="E1355" s="86">
        <v>0</v>
      </c>
      <c r="F1355" s="86">
        <v>27525596.999999989</v>
      </c>
      <c r="G1355" s="86">
        <v>0</v>
      </c>
      <c r="H1355" s="86"/>
      <c r="I1355" s="86">
        <v>0</v>
      </c>
      <c r="J1355" s="86"/>
      <c r="K1355" s="86">
        <v>0</v>
      </c>
      <c r="L1355" s="86"/>
      <c r="M1355" s="86">
        <v>0</v>
      </c>
      <c r="N1355" s="86"/>
      <c r="O1355" s="86">
        <v>1757</v>
      </c>
      <c r="P1355" s="86">
        <v>30870640.5</v>
      </c>
      <c r="Q1355" s="86">
        <v>3316</v>
      </c>
      <c r="R1355" s="87">
        <f t="shared" si="372"/>
        <v>3316</v>
      </c>
      <c r="T1355" s="87">
        <v>2181</v>
      </c>
      <c r="U1355" s="89"/>
      <c r="V1355" s="89">
        <v>0</v>
      </c>
      <c r="W1355" s="90"/>
      <c r="X1355" s="90">
        <v>3034</v>
      </c>
      <c r="Y1355" s="90">
        <v>33475870.500000011</v>
      </c>
      <c r="Z1355" s="90">
        <v>3344</v>
      </c>
      <c r="AA1355" s="90">
        <v>3316</v>
      </c>
      <c r="AB1355" s="89">
        <f t="shared" si="373"/>
        <v>0</v>
      </c>
      <c r="AC1355" s="89">
        <f t="shared" si="374"/>
        <v>3316</v>
      </c>
      <c r="AD1355" s="89">
        <f t="shared" si="375"/>
        <v>3344</v>
      </c>
      <c r="AE1355" s="90">
        <f t="shared" si="376"/>
        <v>0</v>
      </c>
      <c r="AF1355" s="90" t="str">
        <f t="shared" si="377"/>
        <v/>
      </c>
      <c r="AG1355" s="90">
        <f t="shared" si="378"/>
        <v>3316</v>
      </c>
      <c r="AH1355" s="90">
        <f t="shared" si="379"/>
        <v>2018</v>
      </c>
      <c r="AI1355" s="90">
        <f t="shared" si="380"/>
        <v>3344</v>
      </c>
      <c r="AJ1355" s="90">
        <f t="shared" si="381"/>
        <v>2022</v>
      </c>
      <c r="AK1355" s="90" t="str">
        <f t="shared" si="382"/>
        <v/>
      </c>
      <c r="AL1355" s="91">
        <f>IF(AK1355="Adjust",(_xlfn.XLOOKUP(A1355,'Adj factor'!A:A,'Adj factor'!I:I,,0)*AI1355),'Master DataSheet'!AI1355)</f>
        <v>3344</v>
      </c>
      <c r="AM1355" s="91">
        <f t="shared" si="383"/>
        <v>3344</v>
      </c>
      <c r="AN1355" s="92" t="str">
        <f t="shared" si="384"/>
        <v>Increasing</v>
      </c>
      <c r="AS1355" s="94">
        <f t="shared" si="385"/>
        <v>0</v>
      </c>
      <c r="AT1355" s="94">
        <f t="shared" si="386"/>
        <v>1.074159766785532</v>
      </c>
      <c r="AU1355" s="94">
        <f t="shared" si="387"/>
        <v>0.99892846699834104</v>
      </c>
    </row>
    <row r="1356" spans="1:47" x14ac:dyDescent="0.3">
      <c r="A1356" s="85" t="str">
        <f>_xlfn.XLOOKUP(B1356,'Country codes &amp; Data sources'!G:G,'Country codes &amp; Data sources'!H:H,,0)</f>
        <v>Ghana</v>
      </c>
      <c r="B1356" s="85" t="s">
        <v>172</v>
      </c>
      <c r="C1356" s="85">
        <v>26858764</v>
      </c>
      <c r="D1356" s="85" t="s">
        <v>328</v>
      </c>
      <c r="E1356" s="86">
        <v>0</v>
      </c>
      <c r="F1356" s="86">
        <v>27525596.999999989</v>
      </c>
      <c r="G1356" s="86">
        <v>0</v>
      </c>
      <c r="H1356" s="86"/>
      <c r="I1356" s="86">
        <v>0</v>
      </c>
      <c r="J1356" s="86"/>
      <c r="K1356" s="86">
        <v>0</v>
      </c>
      <c r="L1356" s="86"/>
      <c r="M1356" s="86">
        <v>0</v>
      </c>
      <c r="N1356" s="86"/>
      <c r="O1356" s="86">
        <v>861</v>
      </c>
      <c r="P1356" s="86">
        <v>30870640.5</v>
      </c>
      <c r="Q1356" s="86">
        <v>1090</v>
      </c>
      <c r="R1356" s="87">
        <f t="shared" si="372"/>
        <v>1090</v>
      </c>
      <c r="T1356" s="87">
        <v>1055</v>
      </c>
      <c r="U1356" s="89"/>
      <c r="V1356" s="89">
        <v>0</v>
      </c>
      <c r="W1356" s="90"/>
      <c r="X1356" s="90">
        <v>1135</v>
      </c>
      <c r="Y1356" s="90">
        <v>33475870.500000011</v>
      </c>
      <c r="Z1356" s="90">
        <v>1382</v>
      </c>
      <c r="AA1356" s="90">
        <v>1090</v>
      </c>
      <c r="AB1356" s="89">
        <f t="shared" si="373"/>
        <v>0</v>
      </c>
      <c r="AC1356" s="89">
        <f t="shared" si="374"/>
        <v>1090</v>
      </c>
      <c r="AD1356" s="89">
        <f t="shared" si="375"/>
        <v>1382</v>
      </c>
      <c r="AE1356" s="90">
        <f t="shared" si="376"/>
        <v>0</v>
      </c>
      <c r="AF1356" s="90" t="str">
        <f t="shared" si="377"/>
        <v/>
      </c>
      <c r="AG1356" s="90">
        <f t="shared" si="378"/>
        <v>1090</v>
      </c>
      <c r="AH1356" s="90">
        <f t="shared" si="379"/>
        <v>2018</v>
      </c>
      <c r="AI1356" s="90">
        <f t="shared" si="380"/>
        <v>1382</v>
      </c>
      <c r="AJ1356" s="90">
        <f t="shared" si="381"/>
        <v>2022</v>
      </c>
      <c r="AK1356" s="90" t="str">
        <f t="shared" si="382"/>
        <v/>
      </c>
      <c r="AL1356" s="91">
        <f>IF(AK1356="Adjust",(_xlfn.XLOOKUP(A1356,'Adj factor'!A:A,'Adj factor'!I:I,,0)*AI1356),'Master DataSheet'!AI1356)</f>
        <v>1382</v>
      </c>
      <c r="AM1356" s="91">
        <f t="shared" si="383"/>
        <v>1382</v>
      </c>
      <c r="AN1356" s="92" t="str">
        <f t="shared" si="384"/>
        <v>Increasing</v>
      </c>
      <c r="AS1356" s="94">
        <f t="shared" si="385"/>
        <v>0</v>
      </c>
      <c r="AT1356" s="94">
        <f t="shared" si="386"/>
        <v>0.35308629245965922</v>
      </c>
      <c r="AU1356" s="94">
        <f t="shared" si="387"/>
        <v>0.41283467146881198</v>
      </c>
    </row>
    <row r="1357" spans="1:47" x14ac:dyDescent="0.3">
      <c r="A1357" s="85" t="str">
        <f>_xlfn.XLOOKUP(B1357,'Country codes &amp; Data sources'!G:G,'Country codes &amp; Data sources'!H:H,,0)</f>
        <v>Ghana</v>
      </c>
      <c r="B1357" s="85" t="s">
        <v>172</v>
      </c>
      <c r="C1357" s="85">
        <v>26858765</v>
      </c>
      <c r="D1357" s="85" t="s">
        <v>329</v>
      </c>
      <c r="E1357" s="86">
        <v>0</v>
      </c>
      <c r="F1357" s="86">
        <v>27525596.999999989</v>
      </c>
      <c r="G1357" s="86">
        <v>0</v>
      </c>
      <c r="H1357" s="86"/>
      <c r="I1357" s="86">
        <v>37404</v>
      </c>
      <c r="J1357" s="86"/>
      <c r="K1357" s="86">
        <v>48939</v>
      </c>
      <c r="L1357" s="86"/>
      <c r="M1357" s="86">
        <v>52605</v>
      </c>
      <c r="N1357" s="86"/>
      <c r="O1357" s="86">
        <v>58608</v>
      </c>
      <c r="P1357" s="86">
        <v>30870640.5</v>
      </c>
      <c r="Q1357" s="86">
        <v>125024</v>
      </c>
      <c r="R1357" s="87">
        <f t="shared" si="372"/>
        <v>125024</v>
      </c>
      <c r="T1357" s="87">
        <v>69789</v>
      </c>
      <c r="U1357" s="89"/>
      <c r="V1357" s="89">
        <v>95789</v>
      </c>
      <c r="W1357" s="90"/>
      <c r="X1357" s="90">
        <v>93144</v>
      </c>
      <c r="Y1357" s="90">
        <v>33475870.500000011</v>
      </c>
      <c r="Z1357" s="90">
        <v>102943</v>
      </c>
      <c r="AA1357" s="90">
        <v>42827</v>
      </c>
      <c r="AB1357" s="89">
        <f t="shared" si="373"/>
        <v>48939</v>
      </c>
      <c r="AC1357" s="89">
        <f t="shared" si="374"/>
        <v>125024</v>
      </c>
      <c r="AD1357" s="89">
        <f t="shared" si="375"/>
        <v>102943</v>
      </c>
      <c r="AE1357" s="90">
        <f t="shared" si="376"/>
        <v>37404</v>
      </c>
      <c r="AF1357" s="90">
        <f t="shared" si="377"/>
        <v>2014</v>
      </c>
      <c r="AG1357" s="90">
        <f t="shared" si="378"/>
        <v>125024</v>
      </c>
      <c r="AH1357" s="90">
        <f t="shared" si="379"/>
        <v>2018</v>
      </c>
      <c r="AI1357" s="90">
        <f t="shared" si="380"/>
        <v>102943</v>
      </c>
      <c r="AJ1357" s="90">
        <f t="shared" si="381"/>
        <v>2022</v>
      </c>
      <c r="AK1357" s="90" t="str">
        <f t="shared" si="382"/>
        <v>Adjust</v>
      </c>
      <c r="AL1357" s="91">
        <f>IF(AK1357="Adjust",(_xlfn.XLOOKUP(A1357,'Adj factor'!A:A,'Adj factor'!I:I,,0)*AI1357),'Master DataSheet'!AI1357)</f>
        <v>124204.27697797566</v>
      </c>
      <c r="AM1357" s="91">
        <f t="shared" si="383"/>
        <v>125024</v>
      </c>
      <c r="AN1357" s="92" t="str">
        <f t="shared" si="384"/>
        <v>Decreasing</v>
      </c>
      <c r="AS1357" s="94">
        <f t="shared" si="385"/>
        <v>13.588806084750864</v>
      </c>
      <c r="AT1357" s="94">
        <f t="shared" si="386"/>
        <v>40.499321677501314</v>
      </c>
      <c r="AU1357" s="94">
        <f t="shared" si="387"/>
        <v>37.347497804426013</v>
      </c>
    </row>
    <row r="1358" spans="1:47" x14ac:dyDescent="0.3">
      <c r="A1358" s="85" t="str">
        <f>_xlfn.XLOOKUP(B1358,'Country codes &amp; Data sources'!G:G,'Country codes &amp; Data sources'!H:H,,0)</f>
        <v>Ghana</v>
      </c>
      <c r="B1358" s="85" t="s">
        <v>172</v>
      </c>
      <c r="C1358" s="85">
        <v>26858766</v>
      </c>
      <c r="D1358" s="85" t="s">
        <v>330</v>
      </c>
      <c r="E1358" s="86">
        <v>0</v>
      </c>
      <c r="F1358" s="86">
        <v>27525596.999999989</v>
      </c>
      <c r="G1358" s="86">
        <v>0</v>
      </c>
      <c r="H1358" s="86"/>
      <c r="I1358" s="86">
        <v>15412</v>
      </c>
      <c r="J1358" s="86"/>
      <c r="K1358" s="86">
        <v>0</v>
      </c>
      <c r="L1358" s="86"/>
      <c r="M1358" s="86">
        <v>0</v>
      </c>
      <c r="N1358" s="86"/>
      <c r="O1358" s="86">
        <v>21927</v>
      </c>
      <c r="P1358" s="86">
        <v>30870640.5</v>
      </c>
      <c r="Q1358" s="86">
        <v>60530</v>
      </c>
      <c r="R1358" s="87">
        <f t="shared" si="372"/>
        <v>60530</v>
      </c>
      <c r="T1358" s="87">
        <v>25959</v>
      </c>
      <c r="U1358" s="89"/>
      <c r="V1358" s="89">
        <v>0</v>
      </c>
      <c r="W1358" s="90"/>
      <c r="X1358" s="90">
        <v>41308</v>
      </c>
      <c r="Y1358" s="90">
        <v>33475870.500000011</v>
      </c>
      <c r="Z1358" s="90">
        <v>46459</v>
      </c>
      <c r="AA1358" s="90">
        <v>22303</v>
      </c>
      <c r="AB1358" s="89">
        <f t="shared" si="373"/>
        <v>15412</v>
      </c>
      <c r="AC1358" s="89">
        <f t="shared" si="374"/>
        <v>60530</v>
      </c>
      <c r="AD1358" s="89">
        <f t="shared" si="375"/>
        <v>46459</v>
      </c>
      <c r="AE1358" s="90">
        <f t="shared" si="376"/>
        <v>15412</v>
      </c>
      <c r="AF1358" s="90">
        <f t="shared" si="377"/>
        <v>2014</v>
      </c>
      <c r="AG1358" s="90">
        <f t="shared" si="378"/>
        <v>60530</v>
      </c>
      <c r="AH1358" s="90">
        <f t="shared" si="379"/>
        <v>2018</v>
      </c>
      <c r="AI1358" s="90">
        <f t="shared" si="380"/>
        <v>46459</v>
      </c>
      <c r="AJ1358" s="90">
        <f t="shared" si="381"/>
        <v>2022</v>
      </c>
      <c r="AK1358" s="90" t="str">
        <f t="shared" si="382"/>
        <v>Adjust</v>
      </c>
      <c r="AL1358" s="91">
        <f>IF(AK1358="Adjust",(_xlfn.XLOOKUP(A1358,'Adj factor'!A:A,'Adj factor'!I:I,,0)*AI1358),'Master DataSheet'!AI1358)</f>
        <v>56054.384505209397</v>
      </c>
      <c r="AM1358" s="91">
        <f t="shared" si="383"/>
        <v>60530</v>
      </c>
      <c r="AN1358" s="92" t="str">
        <f t="shared" si="384"/>
        <v>Decreasing</v>
      </c>
      <c r="AS1358" s="94">
        <f t="shared" si="385"/>
        <v>5.5991519457325509</v>
      </c>
      <c r="AT1358" s="94">
        <f t="shared" si="386"/>
        <v>19.607626864755204</v>
      </c>
      <c r="AU1358" s="94">
        <f t="shared" si="387"/>
        <v>18.081680654129659</v>
      </c>
    </row>
    <row r="1359" spans="1:47" x14ac:dyDescent="0.3">
      <c r="A1359" s="85" t="str">
        <f>_xlfn.XLOOKUP(B1359,'Country codes &amp; Data sources'!G:G,'Country codes &amp; Data sources'!H:H,,0)</f>
        <v>Ghana</v>
      </c>
      <c r="B1359" s="85" t="s">
        <v>172</v>
      </c>
      <c r="C1359" s="85">
        <v>26858767</v>
      </c>
      <c r="D1359" s="85" t="s">
        <v>331</v>
      </c>
      <c r="E1359" s="86">
        <v>0</v>
      </c>
      <c r="F1359" s="86">
        <v>27525596.999999989</v>
      </c>
      <c r="G1359" s="86">
        <v>0</v>
      </c>
      <c r="H1359" s="86"/>
      <c r="I1359" s="86">
        <v>21992</v>
      </c>
      <c r="J1359" s="86"/>
      <c r="K1359" s="86">
        <v>0</v>
      </c>
      <c r="L1359" s="86"/>
      <c r="M1359" s="86">
        <v>0</v>
      </c>
      <c r="N1359" s="86"/>
      <c r="O1359" s="86">
        <v>36681</v>
      </c>
      <c r="P1359" s="86">
        <v>30870640.5</v>
      </c>
      <c r="Q1359" s="86">
        <v>64494</v>
      </c>
      <c r="R1359" s="87">
        <f t="shared" si="372"/>
        <v>64494</v>
      </c>
      <c r="T1359" s="87">
        <v>43830</v>
      </c>
      <c r="U1359" s="89"/>
      <c r="V1359" s="89">
        <v>0</v>
      </c>
      <c r="W1359" s="90"/>
      <c r="X1359" s="90">
        <v>51836</v>
      </c>
      <c r="Y1359" s="90">
        <v>33475870.500000011</v>
      </c>
      <c r="Z1359" s="90">
        <v>56484</v>
      </c>
      <c r="AA1359" s="90">
        <v>20524</v>
      </c>
      <c r="AB1359" s="89">
        <f t="shared" si="373"/>
        <v>21992</v>
      </c>
      <c r="AC1359" s="89">
        <f t="shared" si="374"/>
        <v>64494</v>
      </c>
      <c r="AD1359" s="89">
        <f t="shared" si="375"/>
        <v>56484</v>
      </c>
      <c r="AE1359" s="90">
        <f t="shared" si="376"/>
        <v>21992</v>
      </c>
      <c r="AF1359" s="90">
        <f t="shared" si="377"/>
        <v>2014</v>
      </c>
      <c r="AG1359" s="90">
        <f t="shared" si="378"/>
        <v>64494</v>
      </c>
      <c r="AH1359" s="90">
        <f t="shared" si="379"/>
        <v>2018</v>
      </c>
      <c r="AI1359" s="90">
        <f t="shared" si="380"/>
        <v>56484</v>
      </c>
      <c r="AJ1359" s="90">
        <f t="shared" si="381"/>
        <v>2022</v>
      </c>
      <c r="AK1359" s="90" t="str">
        <f t="shared" si="382"/>
        <v>Adjust</v>
      </c>
      <c r="AL1359" s="91">
        <f>IF(AK1359="Adjust",(_xlfn.XLOOKUP(A1359,'Adj factor'!A:A,'Adj factor'!I:I,,0)*AI1359),'Master DataSheet'!AI1359)</f>
        <v>68149.892472766252</v>
      </c>
      <c r="AM1359" s="91">
        <f t="shared" si="383"/>
        <v>68149.892472766252</v>
      </c>
      <c r="AN1359" s="92" t="str">
        <f t="shared" si="384"/>
        <v>Increasing</v>
      </c>
      <c r="AS1359" s="94">
        <f t="shared" si="385"/>
        <v>7.989654139018314</v>
      </c>
      <c r="AT1359" s="94">
        <f t="shared" si="386"/>
        <v>20.89169481274611</v>
      </c>
      <c r="AU1359" s="94">
        <f t="shared" si="387"/>
        <v>20.357914956316442</v>
      </c>
    </row>
    <row r="1360" spans="1:47" x14ac:dyDescent="0.3">
      <c r="A1360" s="85" t="str">
        <f>_xlfn.XLOOKUP(B1360,'Country codes &amp; Data sources'!G:G,'Country codes &amp; Data sources'!H:H,,0)</f>
        <v>Ghana</v>
      </c>
      <c r="B1360" s="85" t="s">
        <v>172</v>
      </c>
      <c r="C1360" s="85">
        <v>26858768</v>
      </c>
      <c r="D1360" s="85" t="s">
        <v>332</v>
      </c>
      <c r="E1360" s="86">
        <v>0</v>
      </c>
      <c r="F1360" s="86">
        <v>27525596.999999989</v>
      </c>
      <c r="G1360" s="86">
        <v>11287</v>
      </c>
      <c r="H1360" s="86"/>
      <c r="I1360" s="86">
        <v>0</v>
      </c>
      <c r="J1360" s="86"/>
      <c r="K1360" s="86">
        <v>6808</v>
      </c>
      <c r="L1360" s="86"/>
      <c r="M1360" s="86">
        <v>7662</v>
      </c>
      <c r="N1360" s="86"/>
      <c r="O1360" s="86">
        <v>9554</v>
      </c>
      <c r="P1360" s="86">
        <v>30870640.5</v>
      </c>
      <c r="Q1360" s="86">
        <v>10489</v>
      </c>
      <c r="R1360" s="87">
        <f t="shared" si="372"/>
        <v>10625</v>
      </c>
      <c r="T1360" s="87">
        <v>12673</v>
      </c>
      <c r="U1360" s="89"/>
      <c r="V1360" s="89">
        <v>16700</v>
      </c>
      <c r="W1360" s="90"/>
      <c r="X1360" s="90">
        <v>19141</v>
      </c>
      <c r="Y1360" s="90">
        <v>33475870.500000011</v>
      </c>
      <c r="Z1360" s="90">
        <v>23882</v>
      </c>
      <c r="AA1360" s="90">
        <v>10625</v>
      </c>
      <c r="AB1360" s="89">
        <f t="shared" si="373"/>
        <v>11287</v>
      </c>
      <c r="AC1360" s="89">
        <f t="shared" si="374"/>
        <v>12673</v>
      </c>
      <c r="AD1360" s="89">
        <f t="shared" si="375"/>
        <v>23882</v>
      </c>
      <c r="AE1360" s="90">
        <f t="shared" si="376"/>
        <v>11287</v>
      </c>
      <c r="AF1360" s="90">
        <f t="shared" si="377"/>
        <v>2013</v>
      </c>
      <c r="AG1360" s="90">
        <f t="shared" si="378"/>
        <v>10625</v>
      </c>
      <c r="AH1360" s="90" t="str">
        <f t="shared" si="379"/>
        <v>2018 (triag)</v>
      </c>
      <c r="AI1360" s="90">
        <f t="shared" si="380"/>
        <v>23882</v>
      </c>
      <c r="AJ1360" s="90">
        <f t="shared" si="381"/>
        <v>2022</v>
      </c>
      <c r="AK1360" s="90" t="str">
        <f t="shared" si="382"/>
        <v/>
      </c>
      <c r="AL1360" s="91">
        <f>IF(AK1360="Adjust",(_xlfn.XLOOKUP(A1360,'Adj factor'!A:A,'Adj factor'!I:I,,0)*AI1360),'Master DataSheet'!AI1360)</f>
        <v>23882</v>
      </c>
      <c r="AM1360" s="91">
        <f t="shared" si="383"/>
        <v>23882</v>
      </c>
      <c r="AN1360" s="92" t="str">
        <f t="shared" si="384"/>
        <v>Increasing</v>
      </c>
      <c r="AS1360" s="94">
        <f t="shared" si="385"/>
        <v>4.1005468473581175</v>
      </c>
      <c r="AT1360" s="94">
        <f t="shared" si="386"/>
        <v>3.441781520535669</v>
      </c>
      <c r="AU1360" s="94">
        <f t="shared" si="387"/>
        <v>7.1340937945138698</v>
      </c>
    </row>
    <row r="1361" spans="1:47" x14ac:dyDescent="0.3">
      <c r="A1361" s="85" t="str">
        <f>_xlfn.XLOOKUP(B1361,'Country codes &amp; Data sources'!G:G,'Country codes &amp; Data sources'!H:H,,0)</f>
        <v>Ghana</v>
      </c>
      <c r="B1361" s="85" t="s">
        <v>172</v>
      </c>
      <c r="C1361" s="85">
        <v>26858769</v>
      </c>
      <c r="D1361" s="85" t="s">
        <v>333</v>
      </c>
      <c r="E1361" s="86">
        <v>0</v>
      </c>
      <c r="F1361" s="86">
        <v>27525596.999999989</v>
      </c>
      <c r="G1361" s="86">
        <v>4185</v>
      </c>
      <c r="H1361" s="86"/>
      <c r="I1361" s="86">
        <v>0</v>
      </c>
      <c r="J1361" s="86"/>
      <c r="K1361" s="86">
        <v>0</v>
      </c>
      <c r="L1361" s="86"/>
      <c r="M1361" s="86">
        <v>0</v>
      </c>
      <c r="N1361" s="86"/>
      <c r="O1361" s="86">
        <v>9554</v>
      </c>
      <c r="P1361" s="86">
        <v>30870640.5</v>
      </c>
      <c r="Q1361" s="86">
        <v>10489</v>
      </c>
      <c r="R1361" s="87">
        <f t="shared" si="372"/>
        <v>10625</v>
      </c>
      <c r="T1361" s="87">
        <v>12673</v>
      </c>
      <c r="U1361" s="89"/>
      <c r="V1361" s="89">
        <v>0</v>
      </c>
      <c r="W1361" s="90"/>
      <c r="X1361" s="90">
        <v>19141</v>
      </c>
      <c r="Y1361" s="90">
        <v>33475870.500000011</v>
      </c>
      <c r="Z1361" s="90">
        <v>23882</v>
      </c>
      <c r="AA1361" s="90">
        <v>10625</v>
      </c>
      <c r="AB1361" s="89">
        <f t="shared" si="373"/>
        <v>4185</v>
      </c>
      <c r="AC1361" s="89">
        <f t="shared" si="374"/>
        <v>12673</v>
      </c>
      <c r="AD1361" s="89">
        <f t="shared" si="375"/>
        <v>23882</v>
      </c>
      <c r="AE1361" s="90">
        <f t="shared" si="376"/>
        <v>4185</v>
      </c>
      <c r="AF1361" s="90">
        <f t="shared" si="377"/>
        <v>2013</v>
      </c>
      <c r="AG1361" s="90">
        <f t="shared" si="378"/>
        <v>10625</v>
      </c>
      <c r="AH1361" s="90" t="str">
        <f t="shared" si="379"/>
        <v>2018 (triag)</v>
      </c>
      <c r="AI1361" s="90">
        <f t="shared" si="380"/>
        <v>23882</v>
      </c>
      <c r="AJ1361" s="90">
        <f t="shared" si="381"/>
        <v>2022</v>
      </c>
      <c r="AK1361" s="90" t="str">
        <f t="shared" si="382"/>
        <v/>
      </c>
      <c r="AL1361" s="91">
        <f>IF(AK1361="Adjust",(_xlfn.XLOOKUP(A1361,'Adj factor'!A:A,'Adj factor'!I:I,,0)*AI1361),'Master DataSheet'!AI1361)</f>
        <v>23882</v>
      </c>
      <c r="AM1361" s="91">
        <f t="shared" si="383"/>
        <v>23882</v>
      </c>
      <c r="AN1361" s="92" t="str">
        <f t="shared" si="384"/>
        <v>Increasing</v>
      </c>
      <c r="AS1361" s="94">
        <f t="shared" si="385"/>
        <v>1.5204029907144254</v>
      </c>
      <c r="AT1361" s="94">
        <f t="shared" si="386"/>
        <v>3.441781520535669</v>
      </c>
      <c r="AU1361" s="94">
        <f t="shared" si="387"/>
        <v>7.1340937945138698</v>
      </c>
    </row>
    <row r="1362" spans="1:47" x14ac:dyDescent="0.3">
      <c r="A1362" s="85" t="str">
        <f>_xlfn.XLOOKUP(B1362,'Country codes &amp; Data sources'!G:G,'Country codes &amp; Data sources'!H:H,,0)</f>
        <v>Ghana</v>
      </c>
      <c r="B1362" s="85" t="s">
        <v>172</v>
      </c>
      <c r="C1362" s="85">
        <v>26858770</v>
      </c>
      <c r="D1362" s="85" t="s">
        <v>334</v>
      </c>
      <c r="E1362" s="86">
        <v>0</v>
      </c>
      <c r="F1362" s="86">
        <v>27525596.999999989</v>
      </c>
      <c r="G1362" s="86">
        <v>0</v>
      </c>
      <c r="H1362" s="86"/>
      <c r="I1362" s="86">
        <v>0</v>
      </c>
      <c r="J1362" s="86"/>
      <c r="K1362" s="86">
        <v>0</v>
      </c>
      <c r="L1362" s="86"/>
      <c r="M1362" s="86">
        <v>0</v>
      </c>
      <c r="N1362" s="86"/>
      <c r="O1362" s="86">
        <v>0</v>
      </c>
      <c r="P1362" s="86">
        <v>30870640.5</v>
      </c>
      <c r="Q1362" s="86">
        <v>0</v>
      </c>
      <c r="R1362" s="87">
        <f t="shared" si="372"/>
        <v>0</v>
      </c>
      <c r="T1362" s="87">
        <v>0</v>
      </c>
      <c r="U1362" s="89"/>
      <c r="V1362" s="89">
        <v>0</v>
      </c>
      <c r="W1362" s="90"/>
      <c r="X1362" s="90">
        <v>0</v>
      </c>
      <c r="Y1362" s="90">
        <v>33475870.500000011</v>
      </c>
      <c r="Z1362" s="90">
        <v>0</v>
      </c>
      <c r="AA1362" s="90">
        <v>0</v>
      </c>
      <c r="AB1362" s="89">
        <f t="shared" si="373"/>
        <v>0</v>
      </c>
      <c r="AC1362" s="89">
        <f t="shared" si="374"/>
        <v>0</v>
      </c>
      <c r="AD1362" s="89">
        <f t="shared" si="375"/>
        <v>0</v>
      </c>
      <c r="AE1362" s="90">
        <f t="shared" si="376"/>
        <v>0</v>
      </c>
      <c r="AF1362" s="90" t="str">
        <f t="shared" si="377"/>
        <v/>
      </c>
      <c r="AG1362" s="90">
        <f t="shared" si="378"/>
        <v>0</v>
      </c>
      <c r="AH1362" s="90" t="str">
        <f t="shared" si="379"/>
        <v/>
      </c>
      <c r="AI1362" s="90">
        <f t="shared" si="380"/>
        <v>0</v>
      </c>
      <c r="AJ1362" s="90" t="str">
        <f t="shared" si="381"/>
        <v/>
      </c>
      <c r="AK1362" s="90" t="str">
        <f t="shared" si="382"/>
        <v/>
      </c>
      <c r="AL1362" s="91">
        <f>IF(AK1362="Adjust",(_xlfn.XLOOKUP(A1362,'Adj factor'!A:A,'Adj factor'!I:I,,0)*AI1362),'Master DataSheet'!AI1362)</f>
        <v>0</v>
      </c>
      <c r="AM1362" s="91">
        <f t="shared" si="383"/>
        <v>0</v>
      </c>
      <c r="AN1362" s="92" t="str">
        <f t="shared" si="384"/>
        <v>No change</v>
      </c>
      <c r="AS1362" s="94">
        <f t="shared" si="385"/>
        <v>0</v>
      </c>
      <c r="AT1362" s="94">
        <f t="shared" si="386"/>
        <v>0</v>
      </c>
      <c r="AU1362" s="94">
        <f t="shared" si="387"/>
        <v>0</v>
      </c>
    </row>
    <row r="1363" spans="1:47" x14ac:dyDescent="0.3">
      <c r="A1363" s="85" t="str">
        <f>_xlfn.XLOOKUP(B1363,'Country codes &amp; Data sources'!G:G,'Country codes &amp; Data sources'!H:H,,0)</f>
        <v>Ghana</v>
      </c>
      <c r="B1363" s="85" t="s">
        <v>172</v>
      </c>
      <c r="C1363" s="85">
        <v>26858771</v>
      </c>
      <c r="D1363" s="85" t="s">
        <v>335</v>
      </c>
      <c r="E1363" s="86">
        <v>0</v>
      </c>
      <c r="F1363" s="86">
        <v>27525596.999999989</v>
      </c>
      <c r="G1363" s="86">
        <v>0</v>
      </c>
      <c r="H1363" s="86"/>
      <c r="I1363" s="86">
        <v>0</v>
      </c>
      <c r="J1363" s="86"/>
      <c r="K1363" s="86">
        <v>0</v>
      </c>
      <c r="L1363" s="86"/>
      <c r="M1363" s="86">
        <v>570</v>
      </c>
      <c r="N1363" s="86"/>
      <c r="O1363" s="86">
        <v>718</v>
      </c>
      <c r="P1363" s="86">
        <v>30870640.5</v>
      </c>
      <c r="Q1363" s="86">
        <v>918</v>
      </c>
      <c r="R1363" s="87">
        <f t="shared" si="372"/>
        <v>918</v>
      </c>
      <c r="T1363" s="87">
        <v>1138</v>
      </c>
      <c r="U1363" s="89"/>
      <c r="V1363" s="89">
        <v>1388</v>
      </c>
      <c r="W1363" s="90"/>
      <c r="X1363" s="90">
        <v>1035</v>
      </c>
      <c r="Y1363" s="90">
        <v>33475870.500000011</v>
      </c>
      <c r="Z1363" s="103">
        <v>5736</v>
      </c>
      <c r="AA1363" s="90">
        <v>775</v>
      </c>
      <c r="AB1363" s="89">
        <f t="shared" si="373"/>
        <v>0</v>
      </c>
      <c r="AC1363" s="89">
        <f t="shared" si="374"/>
        <v>1138</v>
      </c>
      <c r="AD1363" s="89">
        <f t="shared" si="375"/>
        <v>5736</v>
      </c>
      <c r="AE1363" s="90">
        <f t="shared" si="376"/>
        <v>0</v>
      </c>
      <c r="AF1363" s="90" t="str">
        <f t="shared" si="377"/>
        <v/>
      </c>
      <c r="AG1363" s="90">
        <f t="shared" si="378"/>
        <v>918</v>
      </c>
      <c r="AH1363" s="90">
        <f t="shared" si="379"/>
        <v>2018</v>
      </c>
      <c r="AI1363" s="90">
        <f t="shared" si="380"/>
        <v>5736</v>
      </c>
      <c r="AJ1363" s="90">
        <f t="shared" si="381"/>
        <v>2022</v>
      </c>
      <c r="AK1363" s="90" t="str">
        <f t="shared" si="382"/>
        <v/>
      </c>
      <c r="AL1363" s="91">
        <f>IF(AK1363="Adjust",(_xlfn.XLOOKUP(A1363,'Adj factor'!A:A,'Adj factor'!I:I,,0)*AI1363),'Master DataSheet'!AI1363)</f>
        <v>5736</v>
      </c>
      <c r="AM1363" s="91">
        <f t="shared" si="383"/>
        <v>5736</v>
      </c>
      <c r="AN1363" s="92" t="str">
        <f t="shared" si="384"/>
        <v>Increasing</v>
      </c>
      <c r="AS1363" s="94">
        <f t="shared" si="385"/>
        <v>0</v>
      </c>
      <c r="AT1363" s="94">
        <f t="shared" si="386"/>
        <v>0.29736992337428181</v>
      </c>
      <c r="AU1363" s="94">
        <f t="shared" si="387"/>
        <v>1.7134729924349534</v>
      </c>
    </row>
    <row r="1364" spans="1:47" x14ac:dyDescent="0.3">
      <c r="A1364" s="85" t="str">
        <f>_xlfn.XLOOKUP(B1364,'Country codes &amp; Data sources'!G:G,'Country codes &amp; Data sources'!H:H,,0)</f>
        <v>Ghana</v>
      </c>
      <c r="B1364" s="85" t="s">
        <v>172</v>
      </c>
      <c r="C1364" s="85">
        <v>26858772</v>
      </c>
      <c r="D1364" s="85" t="s">
        <v>336</v>
      </c>
      <c r="E1364" s="86">
        <v>0</v>
      </c>
      <c r="F1364" s="86">
        <v>27525596.999999989</v>
      </c>
      <c r="G1364" s="86">
        <v>0</v>
      </c>
      <c r="H1364" s="86"/>
      <c r="I1364" s="86">
        <v>0</v>
      </c>
      <c r="J1364" s="86"/>
      <c r="K1364" s="86">
        <v>0</v>
      </c>
      <c r="L1364" s="86"/>
      <c r="M1364" s="86">
        <v>0</v>
      </c>
      <c r="N1364" s="86"/>
      <c r="O1364" s="86">
        <v>821</v>
      </c>
      <c r="P1364" s="86">
        <v>30870640.5</v>
      </c>
      <c r="Q1364" s="86">
        <v>0</v>
      </c>
      <c r="R1364" s="87">
        <f t="shared" si="372"/>
        <v>1352</v>
      </c>
      <c r="T1364" s="87">
        <v>0</v>
      </c>
      <c r="U1364" s="89"/>
      <c r="V1364" s="89">
        <v>0</v>
      </c>
      <c r="W1364" s="90"/>
      <c r="X1364" s="90">
        <v>1096</v>
      </c>
      <c r="Y1364" s="90">
        <v>33475870.500000011</v>
      </c>
      <c r="Z1364" s="90">
        <v>1507</v>
      </c>
      <c r="AA1364" s="90">
        <v>1352</v>
      </c>
      <c r="AB1364" s="89">
        <f t="shared" si="373"/>
        <v>0</v>
      </c>
      <c r="AC1364" s="89">
        <f t="shared" si="374"/>
        <v>821</v>
      </c>
      <c r="AD1364" s="89">
        <f t="shared" si="375"/>
        <v>1507</v>
      </c>
      <c r="AE1364" s="90">
        <f t="shared" si="376"/>
        <v>0</v>
      </c>
      <c r="AF1364" s="90" t="str">
        <f t="shared" si="377"/>
        <v/>
      </c>
      <c r="AG1364" s="90">
        <f t="shared" si="378"/>
        <v>1352</v>
      </c>
      <c r="AH1364" s="90" t="str">
        <f t="shared" si="379"/>
        <v>2018 (triag)</v>
      </c>
      <c r="AI1364" s="90">
        <f t="shared" si="380"/>
        <v>1507</v>
      </c>
      <c r="AJ1364" s="90">
        <f t="shared" si="381"/>
        <v>2022</v>
      </c>
      <c r="AK1364" s="90" t="str">
        <f t="shared" si="382"/>
        <v/>
      </c>
      <c r="AL1364" s="91">
        <f>IF(AK1364="Adjust",(_xlfn.XLOOKUP(A1364,'Adj factor'!A:A,'Adj factor'!I:I,,0)*AI1364),'Master DataSheet'!AI1364)</f>
        <v>1507</v>
      </c>
      <c r="AM1364" s="91">
        <f t="shared" si="383"/>
        <v>1507</v>
      </c>
      <c r="AN1364" s="92" t="str">
        <f t="shared" si="384"/>
        <v>Increasing</v>
      </c>
      <c r="AS1364" s="94">
        <f t="shared" si="385"/>
        <v>0</v>
      </c>
      <c r="AT1364" s="94">
        <f t="shared" si="386"/>
        <v>0.43795657560133877</v>
      </c>
      <c r="AU1364" s="94">
        <f t="shared" si="387"/>
        <v>0.45017499993017346</v>
      </c>
    </row>
    <row r="1365" spans="1:47" x14ac:dyDescent="0.3">
      <c r="A1365" s="85" t="str">
        <f>_xlfn.XLOOKUP(B1365,'Country codes &amp; Data sources'!G:G,'Country codes &amp; Data sources'!H:H,,0)</f>
        <v>Ghana</v>
      </c>
      <c r="B1365" s="85" t="s">
        <v>172</v>
      </c>
      <c r="C1365" s="85">
        <v>26858773</v>
      </c>
      <c r="D1365" s="85" t="s">
        <v>337</v>
      </c>
      <c r="E1365" s="86">
        <v>0</v>
      </c>
      <c r="F1365" s="86">
        <v>27525596.999999989</v>
      </c>
      <c r="G1365" s="86">
        <v>0</v>
      </c>
      <c r="H1365" s="86"/>
      <c r="I1365" s="86">
        <v>0</v>
      </c>
      <c r="J1365" s="86"/>
      <c r="K1365" s="86">
        <v>0</v>
      </c>
      <c r="L1365" s="86"/>
      <c r="M1365" s="86">
        <v>400</v>
      </c>
      <c r="N1365" s="86"/>
      <c r="O1365" s="86">
        <v>0</v>
      </c>
      <c r="P1365" s="86">
        <v>30870640.5</v>
      </c>
      <c r="Q1365" s="86">
        <v>713</v>
      </c>
      <c r="R1365" s="87">
        <f t="shared" si="372"/>
        <v>713</v>
      </c>
      <c r="T1365" s="87">
        <v>0</v>
      </c>
      <c r="U1365" s="89"/>
      <c r="V1365" s="89">
        <v>0</v>
      </c>
      <c r="W1365" s="90"/>
      <c r="X1365" s="90">
        <v>0</v>
      </c>
      <c r="Y1365" s="90">
        <v>33475870.500000011</v>
      </c>
      <c r="Z1365" s="103">
        <v>202</v>
      </c>
      <c r="AA1365" s="90">
        <v>486</v>
      </c>
      <c r="AB1365" s="89">
        <f t="shared" si="373"/>
        <v>0</v>
      </c>
      <c r="AC1365" s="89">
        <f t="shared" si="374"/>
        <v>713</v>
      </c>
      <c r="AD1365" s="89">
        <f t="shared" si="375"/>
        <v>202</v>
      </c>
      <c r="AE1365" s="90">
        <f t="shared" si="376"/>
        <v>0</v>
      </c>
      <c r="AF1365" s="90" t="str">
        <f t="shared" si="377"/>
        <v/>
      </c>
      <c r="AG1365" s="90">
        <f t="shared" si="378"/>
        <v>713</v>
      </c>
      <c r="AH1365" s="90">
        <f t="shared" si="379"/>
        <v>2018</v>
      </c>
      <c r="AI1365" s="90">
        <f t="shared" si="380"/>
        <v>202</v>
      </c>
      <c r="AJ1365" s="90">
        <f t="shared" si="381"/>
        <v>2022</v>
      </c>
      <c r="AK1365" s="90" t="str">
        <f t="shared" si="382"/>
        <v>Adjust</v>
      </c>
      <c r="AL1365" s="91">
        <f>IF(AK1365="Adjust",(_xlfn.XLOOKUP(A1365,'Adj factor'!A:A,'Adj factor'!I:I,,0)*AI1365),'Master DataSheet'!AI1365)</f>
        <v>243.71996104204348</v>
      </c>
      <c r="AM1365" s="91">
        <f t="shared" si="383"/>
        <v>713</v>
      </c>
      <c r="AN1365" s="92" t="str">
        <f t="shared" si="384"/>
        <v>Decreasing</v>
      </c>
      <c r="AS1365" s="94">
        <f t="shared" si="385"/>
        <v>0</v>
      </c>
      <c r="AT1365" s="94">
        <f t="shared" si="386"/>
        <v>0.2309637858015936</v>
      </c>
      <c r="AU1365" s="94">
        <f t="shared" si="387"/>
        <v>0.21298923354360561</v>
      </c>
    </row>
    <row r="1366" spans="1:47" x14ac:dyDescent="0.3">
      <c r="A1366" s="85" t="str">
        <f>_xlfn.XLOOKUP(B1366,'Country codes &amp; Data sources'!G:G,'Country codes &amp; Data sources'!H:H,,0)</f>
        <v>Ghana</v>
      </c>
      <c r="B1366" s="85" t="s">
        <v>172</v>
      </c>
      <c r="C1366" s="85">
        <v>26858774</v>
      </c>
      <c r="D1366" s="85" t="s">
        <v>338</v>
      </c>
      <c r="E1366" s="86">
        <v>0</v>
      </c>
      <c r="F1366" s="86">
        <v>27525596.999999989</v>
      </c>
      <c r="G1366" s="86">
        <v>0</v>
      </c>
      <c r="H1366" s="86"/>
      <c r="I1366" s="86">
        <v>0</v>
      </c>
      <c r="J1366" s="86"/>
      <c r="K1366" s="86">
        <v>0</v>
      </c>
      <c r="L1366" s="86"/>
      <c r="M1366" s="86">
        <v>516</v>
      </c>
      <c r="N1366" s="86"/>
      <c r="O1366" s="86">
        <v>46</v>
      </c>
      <c r="P1366" s="86">
        <v>30870640.5</v>
      </c>
      <c r="Q1366" s="86">
        <v>0</v>
      </c>
      <c r="R1366" s="87">
        <f t="shared" si="372"/>
        <v>227</v>
      </c>
      <c r="T1366" s="87">
        <v>0</v>
      </c>
      <c r="U1366" s="89"/>
      <c r="V1366" s="89">
        <v>0</v>
      </c>
      <c r="W1366" s="90"/>
      <c r="X1366" s="90">
        <v>396</v>
      </c>
      <c r="Y1366" s="90">
        <v>33475870.500000011</v>
      </c>
      <c r="Z1366" s="90">
        <v>488</v>
      </c>
      <c r="AA1366" s="90">
        <v>227</v>
      </c>
      <c r="AB1366" s="89">
        <f t="shared" si="373"/>
        <v>0</v>
      </c>
      <c r="AC1366" s="89">
        <f t="shared" si="374"/>
        <v>516</v>
      </c>
      <c r="AD1366" s="89">
        <f t="shared" si="375"/>
        <v>488</v>
      </c>
      <c r="AE1366" s="90">
        <f t="shared" si="376"/>
        <v>0</v>
      </c>
      <c r="AF1366" s="90" t="str">
        <f t="shared" si="377"/>
        <v/>
      </c>
      <c r="AG1366" s="90">
        <f t="shared" si="378"/>
        <v>227</v>
      </c>
      <c r="AH1366" s="90" t="str">
        <f t="shared" si="379"/>
        <v>2018 (triag)</v>
      </c>
      <c r="AI1366" s="90">
        <f t="shared" si="380"/>
        <v>488</v>
      </c>
      <c r="AJ1366" s="90">
        <f t="shared" si="381"/>
        <v>2022</v>
      </c>
      <c r="AK1366" s="90" t="str">
        <f t="shared" si="382"/>
        <v/>
      </c>
      <c r="AL1366" s="91">
        <f>IF(AK1366="Adjust",(_xlfn.XLOOKUP(A1366,'Adj factor'!A:A,'Adj factor'!I:I,,0)*AI1366),'Master DataSheet'!AI1366)</f>
        <v>488</v>
      </c>
      <c r="AM1366" s="91">
        <f t="shared" si="383"/>
        <v>488</v>
      </c>
      <c r="AN1366" s="92" t="str">
        <f t="shared" si="384"/>
        <v>Increasing</v>
      </c>
      <c r="AS1366" s="94">
        <f t="shared" si="385"/>
        <v>0</v>
      </c>
      <c r="AT1366" s="94">
        <f t="shared" si="386"/>
        <v>7.3532649897562058E-2</v>
      </c>
      <c r="AU1366" s="94">
        <f t="shared" si="387"/>
        <v>0.14577664231315504</v>
      </c>
    </row>
    <row r="1367" spans="1:47" x14ac:dyDescent="0.3">
      <c r="A1367" s="85" t="str">
        <f>_xlfn.XLOOKUP(B1367,'Country codes &amp; Data sources'!G:G,'Country codes &amp; Data sources'!H:H,,0)</f>
        <v>Ghana</v>
      </c>
      <c r="B1367" s="85" t="s">
        <v>172</v>
      </c>
      <c r="C1367" s="85">
        <v>26858775</v>
      </c>
      <c r="D1367" s="85" t="s">
        <v>339</v>
      </c>
      <c r="E1367" s="86">
        <v>0</v>
      </c>
      <c r="F1367" s="86">
        <v>27525596.999999989</v>
      </c>
      <c r="G1367" s="86">
        <v>0</v>
      </c>
      <c r="H1367" s="86"/>
      <c r="I1367" s="86">
        <v>0</v>
      </c>
      <c r="J1367" s="86"/>
      <c r="K1367" s="86">
        <v>0</v>
      </c>
      <c r="L1367" s="86"/>
      <c r="M1367" s="86">
        <v>0</v>
      </c>
      <c r="N1367" s="86"/>
      <c r="O1367" s="86">
        <v>0</v>
      </c>
      <c r="P1367" s="86">
        <v>30870640.5</v>
      </c>
      <c r="Q1367" s="86">
        <v>0</v>
      </c>
      <c r="R1367" s="87">
        <f t="shared" si="372"/>
        <v>0</v>
      </c>
      <c r="T1367" s="87">
        <v>0</v>
      </c>
      <c r="U1367" s="89"/>
      <c r="V1367" s="89">
        <v>0</v>
      </c>
      <c r="W1367" s="90"/>
      <c r="X1367" s="90">
        <v>48</v>
      </c>
      <c r="Y1367" s="90">
        <v>33475870.500000011</v>
      </c>
      <c r="Z1367" s="90">
        <v>65</v>
      </c>
      <c r="AA1367" s="90">
        <v>0</v>
      </c>
      <c r="AB1367" s="89">
        <f t="shared" si="373"/>
        <v>0</v>
      </c>
      <c r="AC1367" s="89">
        <f t="shared" si="374"/>
        <v>0</v>
      </c>
      <c r="AD1367" s="89">
        <f t="shared" si="375"/>
        <v>65</v>
      </c>
      <c r="AE1367" s="90">
        <f t="shared" si="376"/>
        <v>0</v>
      </c>
      <c r="AF1367" s="90" t="str">
        <f t="shared" si="377"/>
        <v/>
      </c>
      <c r="AG1367" s="90">
        <f t="shared" si="378"/>
        <v>0</v>
      </c>
      <c r="AH1367" s="90" t="str">
        <f t="shared" si="379"/>
        <v/>
      </c>
      <c r="AI1367" s="90">
        <f t="shared" si="380"/>
        <v>65</v>
      </c>
      <c r="AJ1367" s="90">
        <f t="shared" si="381"/>
        <v>2022</v>
      </c>
      <c r="AK1367" s="90" t="str">
        <f t="shared" si="382"/>
        <v/>
      </c>
      <c r="AL1367" s="91">
        <f>IF(AK1367="Adjust",(_xlfn.XLOOKUP(A1367,'Adj factor'!A:A,'Adj factor'!I:I,,0)*AI1367),'Master DataSheet'!AI1367)</f>
        <v>65</v>
      </c>
      <c r="AM1367" s="91">
        <f t="shared" si="383"/>
        <v>65</v>
      </c>
      <c r="AN1367" s="92" t="str">
        <f t="shared" si="384"/>
        <v>Increasing</v>
      </c>
      <c r="AS1367" s="94">
        <f t="shared" si="385"/>
        <v>0</v>
      </c>
      <c r="AT1367" s="94">
        <f t="shared" si="386"/>
        <v>0</v>
      </c>
      <c r="AU1367" s="94">
        <f t="shared" si="387"/>
        <v>1.9416970799907944E-2</v>
      </c>
    </row>
    <row r="1368" spans="1:47" x14ac:dyDescent="0.3">
      <c r="A1368" s="85" t="str">
        <f>_xlfn.XLOOKUP(B1368,'Country codes &amp; Data sources'!G:G,'Country codes &amp; Data sources'!H:H,,0)</f>
        <v>Guinea</v>
      </c>
      <c r="B1368" s="85" t="s">
        <v>173</v>
      </c>
      <c r="C1368" s="85">
        <v>10788692</v>
      </c>
      <c r="D1368" s="85" t="s">
        <v>326</v>
      </c>
      <c r="E1368" s="86">
        <v>0</v>
      </c>
      <c r="F1368" s="86">
        <v>11055430.000000004</v>
      </c>
      <c r="G1368" s="86">
        <v>0</v>
      </c>
      <c r="H1368" s="86">
        <v>11333365.500000002</v>
      </c>
      <c r="I1368" s="86">
        <v>1844</v>
      </c>
      <c r="J1368" s="86">
        <v>11625998.500000007</v>
      </c>
      <c r="K1368" s="86">
        <v>977</v>
      </c>
      <c r="L1368" s="86">
        <v>11930984.999999998</v>
      </c>
      <c r="M1368" s="86">
        <v>977</v>
      </c>
      <c r="N1368" s="86">
        <v>12240788.500000004</v>
      </c>
      <c r="O1368" s="86">
        <v>0</v>
      </c>
      <c r="P1368" s="86">
        <v>12554864.499999998</v>
      </c>
      <c r="Q1368" s="86">
        <v>2787</v>
      </c>
      <c r="R1368" s="87">
        <f t="shared" si="372"/>
        <v>2787</v>
      </c>
      <c r="S1368" s="87">
        <v>12877538.499999994</v>
      </c>
      <c r="T1368" s="87">
        <v>0</v>
      </c>
      <c r="U1368" s="89">
        <v>13205152.499999998</v>
      </c>
      <c r="V1368" s="89">
        <v>0</v>
      </c>
      <c r="W1368" s="90">
        <v>13531906.000000004</v>
      </c>
      <c r="X1368" s="90">
        <v>0</v>
      </c>
      <c r="Y1368" s="90">
        <v>13859340.500000006</v>
      </c>
      <c r="Z1368" s="90">
        <v>297</v>
      </c>
      <c r="AA1368" s="90">
        <v>2787</v>
      </c>
      <c r="AB1368" s="89">
        <f t="shared" si="373"/>
        <v>1844</v>
      </c>
      <c r="AC1368" s="89">
        <f t="shared" si="374"/>
        <v>2787</v>
      </c>
      <c r="AD1368" s="89">
        <f t="shared" si="375"/>
        <v>297</v>
      </c>
      <c r="AE1368" s="90">
        <f t="shared" si="376"/>
        <v>1844</v>
      </c>
      <c r="AF1368" s="90">
        <f t="shared" si="377"/>
        <v>2014</v>
      </c>
      <c r="AG1368" s="90">
        <f t="shared" si="378"/>
        <v>2787</v>
      </c>
      <c r="AH1368" s="90">
        <f t="shared" si="379"/>
        <v>2018</v>
      </c>
      <c r="AI1368" s="90">
        <f t="shared" si="380"/>
        <v>297</v>
      </c>
      <c r="AJ1368" s="90">
        <f t="shared" si="381"/>
        <v>2022</v>
      </c>
      <c r="AK1368" s="90" t="str">
        <f t="shared" si="382"/>
        <v>Adjust</v>
      </c>
      <c r="AL1368" s="91">
        <f>IF(AK1368="Adjust",(_xlfn.XLOOKUP(A1368,'Adj factor'!A:A,'Adj factor'!I:I,,0)*AI1368),'Master DataSheet'!AI1368)</f>
        <v>341.34169736316329</v>
      </c>
      <c r="AM1368" s="91">
        <f t="shared" si="383"/>
        <v>2787</v>
      </c>
      <c r="AN1368" s="92" t="str">
        <f t="shared" si="384"/>
        <v>Decreasing</v>
      </c>
      <c r="AS1368" s="94">
        <f t="shared" si="385"/>
        <v>1.667958641138336</v>
      </c>
      <c r="AT1368" s="94">
        <f t="shared" si="386"/>
        <v>2.2198566937938682</v>
      </c>
      <c r="AU1368" s="94">
        <f t="shared" si="387"/>
        <v>2.0109181962879106</v>
      </c>
    </row>
    <row r="1369" spans="1:47" x14ac:dyDescent="0.3">
      <c r="A1369" s="85" t="str">
        <f>_xlfn.XLOOKUP(B1369,'Country codes &amp; Data sources'!G:G,'Country codes &amp; Data sources'!H:H,,0)</f>
        <v>Guinea</v>
      </c>
      <c r="B1369" s="85" t="s">
        <v>173</v>
      </c>
      <c r="C1369" s="85">
        <v>10788693</v>
      </c>
      <c r="D1369" s="85" t="s">
        <v>327</v>
      </c>
      <c r="E1369" s="86">
        <v>0</v>
      </c>
      <c r="F1369" s="86">
        <v>11055430.000000004</v>
      </c>
      <c r="G1369" s="86">
        <v>0</v>
      </c>
      <c r="H1369" s="86"/>
      <c r="I1369" s="86">
        <v>0</v>
      </c>
      <c r="J1369" s="86"/>
      <c r="K1369" s="86">
        <v>0</v>
      </c>
      <c r="L1369" s="86"/>
      <c r="M1369" s="86">
        <v>0</v>
      </c>
      <c r="N1369" s="86"/>
      <c r="O1369" s="86">
        <v>0</v>
      </c>
      <c r="P1369" s="86">
        <v>12554864.499999998</v>
      </c>
      <c r="Q1369" s="86">
        <v>2649</v>
      </c>
      <c r="R1369" s="87">
        <f t="shared" si="372"/>
        <v>2649</v>
      </c>
      <c r="T1369" s="87">
        <v>0</v>
      </c>
      <c r="U1369" s="89"/>
      <c r="V1369" s="89">
        <v>0</v>
      </c>
      <c r="W1369" s="90"/>
      <c r="X1369" s="90">
        <v>0</v>
      </c>
      <c r="Y1369" s="90">
        <v>13859340.500000006</v>
      </c>
      <c r="Z1369" s="90">
        <v>0</v>
      </c>
      <c r="AA1369" s="90">
        <v>2649</v>
      </c>
      <c r="AB1369" s="89">
        <f t="shared" si="373"/>
        <v>0</v>
      </c>
      <c r="AC1369" s="89">
        <f t="shared" si="374"/>
        <v>2649</v>
      </c>
      <c r="AD1369" s="89">
        <f t="shared" si="375"/>
        <v>0</v>
      </c>
      <c r="AE1369" s="90">
        <f t="shared" si="376"/>
        <v>0</v>
      </c>
      <c r="AF1369" s="90" t="str">
        <f t="shared" si="377"/>
        <v/>
      </c>
      <c r="AG1369" s="90">
        <f t="shared" si="378"/>
        <v>2649</v>
      </c>
      <c r="AH1369" s="90">
        <f t="shared" si="379"/>
        <v>2018</v>
      </c>
      <c r="AI1369" s="90">
        <f t="shared" si="380"/>
        <v>2649</v>
      </c>
      <c r="AJ1369" s="90">
        <f t="shared" si="381"/>
        <v>2018</v>
      </c>
      <c r="AK1369" s="90" t="str">
        <f t="shared" si="382"/>
        <v/>
      </c>
      <c r="AL1369" s="91">
        <f>IF(AK1369="Adjust",(_xlfn.XLOOKUP(A1369,'Adj factor'!A:A,'Adj factor'!I:I,,0)*AI1369),'Master DataSheet'!AI1369)</f>
        <v>2649</v>
      </c>
      <c r="AM1369" s="91">
        <f t="shared" si="383"/>
        <v>2649</v>
      </c>
      <c r="AN1369" s="92" t="str">
        <f t="shared" si="384"/>
        <v>No change</v>
      </c>
      <c r="AS1369" s="94">
        <f t="shared" si="385"/>
        <v>0</v>
      </c>
      <c r="AT1369" s="94">
        <f t="shared" si="386"/>
        <v>2.1099391395263569</v>
      </c>
      <c r="AU1369" s="94">
        <f t="shared" si="387"/>
        <v>1.9113463587967976</v>
      </c>
    </row>
    <row r="1370" spans="1:47" x14ac:dyDescent="0.3">
      <c r="A1370" s="85" t="str">
        <f>_xlfn.XLOOKUP(B1370,'Country codes &amp; Data sources'!G:G,'Country codes &amp; Data sources'!H:H,,0)</f>
        <v>Guinea</v>
      </c>
      <c r="B1370" s="85" t="s">
        <v>173</v>
      </c>
      <c r="C1370" s="85">
        <v>10788694</v>
      </c>
      <c r="D1370" s="85" t="s">
        <v>328</v>
      </c>
      <c r="E1370" s="86">
        <v>0</v>
      </c>
      <c r="F1370" s="86">
        <v>11055430.000000004</v>
      </c>
      <c r="G1370" s="86">
        <v>0</v>
      </c>
      <c r="H1370" s="86"/>
      <c r="I1370" s="86">
        <v>0</v>
      </c>
      <c r="J1370" s="86"/>
      <c r="K1370" s="86">
        <v>0</v>
      </c>
      <c r="L1370" s="86"/>
      <c r="M1370" s="86">
        <v>0</v>
      </c>
      <c r="N1370" s="86"/>
      <c r="O1370" s="86">
        <v>0</v>
      </c>
      <c r="P1370" s="86">
        <v>12554864.499999998</v>
      </c>
      <c r="Q1370" s="86">
        <v>138</v>
      </c>
      <c r="R1370" s="87">
        <f t="shared" si="372"/>
        <v>138</v>
      </c>
      <c r="T1370" s="87">
        <v>0</v>
      </c>
      <c r="U1370" s="89"/>
      <c r="V1370" s="89">
        <v>0</v>
      </c>
      <c r="W1370" s="90"/>
      <c r="X1370" s="90">
        <v>0</v>
      </c>
      <c r="Y1370" s="90">
        <v>13859340.500000006</v>
      </c>
      <c r="Z1370" s="90">
        <v>296</v>
      </c>
      <c r="AA1370" s="90">
        <v>138</v>
      </c>
      <c r="AB1370" s="89">
        <f t="shared" si="373"/>
        <v>0</v>
      </c>
      <c r="AC1370" s="89">
        <f t="shared" si="374"/>
        <v>138</v>
      </c>
      <c r="AD1370" s="89">
        <f t="shared" si="375"/>
        <v>296</v>
      </c>
      <c r="AE1370" s="90">
        <f t="shared" si="376"/>
        <v>0</v>
      </c>
      <c r="AF1370" s="90" t="str">
        <f t="shared" si="377"/>
        <v/>
      </c>
      <c r="AG1370" s="90">
        <f t="shared" si="378"/>
        <v>138</v>
      </c>
      <c r="AH1370" s="90">
        <f t="shared" si="379"/>
        <v>2018</v>
      </c>
      <c r="AI1370" s="90">
        <f t="shared" si="380"/>
        <v>296</v>
      </c>
      <c r="AJ1370" s="90">
        <f t="shared" si="381"/>
        <v>2022</v>
      </c>
      <c r="AK1370" s="90" t="str">
        <f t="shared" si="382"/>
        <v/>
      </c>
      <c r="AL1370" s="91">
        <f>IF(AK1370="Adjust",(_xlfn.XLOOKUP(A1370,'Adj factor'!A:A,'Adj factor'!I:I,,0)*AI1370),'Master DataSheet'!AI1370)</f>
        <v>296</v>
      </c>
      <c r="AM1370" s="91">
        <f t="shared" si="383"/>
        <v>296</v>
      </c>
      <c r="AN1370" s="92" t="str">
        <f t="shared" si="384"/>
        <v>Increasing</v>
      </c>
      <c r="AS1370" s="94">
        <f t="shared" si="385"/>
        <v>0</v>
      </c>
      <c r="AT1370" s="94">
        <f t="shared" si="386"/>
        <v>0.10991755426751122</v>
      </c>
      <c r="AU1370" s="94">
        <f t="shared" si="387"/>
        <v>0.21357437606789434</v>
      </c>
    </row>
    <row r="1371" spans="1:47" x14ac:dyDescent="0.3">
      <c r="A1371" s="85" t="str">
        <f>_xlfn.XLOOKUP(B1371,'Country codes &amp; Data sources'!G:G,'Country codes &amp; Data sources'!H:H,,0)</f>
        <v>Guinea</v>
      </c>
      <c r="B1371" s="85" t="s">
        <v>173</v>
      </c>
      <c r="C1371" s="85">
        <v>10788695</v>
      </c>
      <c r="D1371" s="85" t="s">
        <v>329</v>
      </c>
      <c r="E1371" s="86">
        <v>0</v>
      </c>
      <c r="F1371" s="86">
        <v>11055430.000000004</v>
      </c>
      <c r="G1371" s="86">
        <v>0</v>
      </c>
      <c r="H1371" s="86"/>
      <c r="I1371" s="86">
        <v>5789</v>
      </c>
      <c r="J1371" s="86"/>
      <c r="K1371" s="86">
        <v>4389</v>
      </c>
      <c r="L1371" s="86"/>
      <c r="M1371" s="86">
        <v>1010</v>
      </c>
      <c r="N1371" s="86"/>
      <c r="O1371" s="86">
        <v>0</v>
      </c>
      <c r="P1371" s="86">
        <v>12554864.499999998</v>
      </c>
      <c r="Q1371" s="86">
        <v>7195</v>
      </c>
      <c r="R1371" s="87">
        <f t="shared" si="372"/>
        <v>7195</v>
      </c>
      <c r="T1371" s="87">
        <v>0</v>
      </c>
      <c r="U1371" s="89"/>
      <c r="V1371" s="89">
        <v>0</v>
      </c>
      <c r="W1371" s="90"/>
      <c r="X1371" s="90">
        <v>0</v>
      </c>
      <c r="Y1371" s="90">
        <v>13859340.500000006</v>
      </c>
      <c r="Z1371" s="90">
        <v>4367</v>
      </c>
      <c r="AA1371" s="90">
        <v>6329</v>
      </c>
      <c r="AB1371" s="89">
        <f t="shared" si="373"/>
        <v>5789</v>
      </c>
      <c r="AC1371" s="89">
        <f t="shared" si="374"/>
        <v>7195</v>
      </c>
      <c r="AD1371" s="89">
        <f t="shared" si="375"/>
        <v>4367</v>
      </c>
      <c r="AE1371" s="90">
        <f t="shared" si="376"/>
        <v>5789</v>
      </c>
      <c r="AF1371" s="90">
        <f t="shared" si="377"/>
        <v>2014</v>
      </c>
      <c r="AG1371" s="90">
        <f t="shared" si="378"/>
        <v>7195</v>
      </c>
      <c r="AH1371" s="90">
        <f t="shared" si="379"/>
        <v>2018</v>
      </c>
      <c r="AI1371" s="90">
        <f t="shared" si="380"/>
        <v>4367</v>
      </c>
      <c r="AJ1371" s="90">
        <f t="shared" si="381"/>
        <v>2022</v>
      </c>
      <c r="AK1371" s="90" t="str">
        <f t="shared" si="382"/>
        <v>Adjust</v>
      </c>
      <c r="AL1371" s="91">
        <f>IF(AK1371="Adjust",(_xlfn.XLOOKUP(A1371,'Adj factor'!A:A,'Adj factor'!I:I,,0)*AI1371),'Master DataSheet'!AI1371)</f>
        <v>5018.9871797472533</v>
      </c>
      <c r="AM1371" s="91">
        <f t="shared" si="383"/>
        <v>7195</v>
      </c>
      <c r="AN1371" s="92" t="str">
        <f t="shared" si="384"/>
        <v>Decreasing</v>
      </c>
      <c r="AS1371" s="94">
        <f t="shared" si="385"/>
        <v>5.2363408750270208</v>
      </c>
      <c r="AT1371" s="94">
        <f t="shared" si="386"/>
        <v>5.7308463982227771</v>
      </c>
      <c r="AU1371" s="94">
        <f t="shared" si="387"/>
        <v>5.191444715569256</v>
      </c>
    </row>
    <row r="1372" spans="1:47" x14ac:dyDescent="0.3">
      <c r="A1372" s="85" t="str">
        <f>_xlfn.XLOOKUP(B1372,'Country codes &amp; Data sources'!G:G,'Country codes &amp; Data sources'!H:H,,0)</f>
        <v>Guinea</v>
      </c>
      <c r="B1372" s="85" t="s">
        <v>173</v>
      </c>
      <c r="C1372" s="85">
        <v>10788696</v>
      </c>
      <c r="D1372" s="85" t="s">
        <v>330</v>
      </c>
      <c r="E1372" s="86">
        <v>0</v>
      </c>
      <c r="F1372" s="86">
        <v>11055430.000000004</v>
      </c>
      <c r="G1372" s="86">
        <v>0</v>
      </c>
      <c r="H1372" s="86"/>
      <c r="I1372" s="86">
        <v>1505</v>
      </c>
      <c r="J1372" s="86"/>
      <c r="K1372" s="86">
        <v>913</v>
      </c>
      <c r="L1372" s="86"/>
      <c r="M1372" s="86">
        <v>0</v>
      </c>
      <c r="N1372" s="86"/>
      <c r="O1372" s="86">
        <v>0</v>
      </c>
      <c r="P1372" s="86">
        <v>12554864.499999998</v>
      </c>
      <c r="Q1372" s="86">
        <v>0</v>
      </c>
      <c r="R1372" s="87">
        <f t="shared" si="372"/>
        <v>2344</v>
      </c>
      <c r="T1372" s="87">
        <v>0</v>
      </c>
      <c r="U1372" s="89"/>
      <c r="V1372" s="89">
        <v>0</v>
      </c>
      <c r="W1372" s="90"/>
      <c r="X1372" s="90">
        <v>0</v>
      </c>
      <c r="Y1372" s="90">
        <v>13859340.500000006</v>
      </c>
      <c r="Z1372" s="90">
        <v>1687</v>
      </c>
      <c r="AA1372" s="90">
        <v>2344</v>
      </c>
      <c r="AB1372" s="89">
        <f t="shared" si="373"/>
        <v>1505</v>
      </c>
      <c r="AC1372" s="89">
        <f t="shared" si="374"/>
        <v>0</v>
      </c>
      <c r="AD1372" s="89">
        <f t="shared" si="375"/>
        <v>1687</v>
      </c>
      <c r="AE1372" s="90">
        <f t="shared" si="376"/>
        <v>1505</v>
      </c>
      <c r="AF1372" s="90">
        <f t="shared" si="377"/>
        <v>2014</v>
      </c>
      <c r="AG1372" s="90">
        <f t="shared" si="378"/>
        <v>2344</v>
      </c>
      <c r="AH1372" s="90" t="str">
        <f t="shared" si="379"/>
        <v>2018 (triag)</v>
      </c>
      <c r="AI1372" s="90">
        <f t="shared" si="380"/>
        <v>1687</v>
      </c>
      <c r="AJ1372" s="90">
        <f t="shared" si="381"/>
        <v>2022</v>
      </c>
      <c r="AK1372" s="90" t="str">
        <f t="shared" si="382"/>
        <v>Adjust</v>
      </c>
      <c r="AL1372" s="91">
        <f>IF(AK1372="Adjust",(_xlfn.XLOOKUP(A1372,'Adj factor'!A:A,'Adj factor'!I:I,,0)*AI1372),'Master DataSheet'!AI1372)</f>
        <v>1938.8668129685404</v>
      </c>
      <c r="AM1372" s="91">
        <f t="shared" si="383"/>
        <v>2344</v>
      </c>
      <c r="AN1372" s="92" t="str">
        <f t="shared" si="384"/>
        <v>Decreasing</v>
      </c>
      <c r="AS1372" s="94">
        <f t="shared" si="385"/>
        <v>1.3613219929030345</v>
      </c>
      <c r="AT1372" s="94">
        <f t="shared" si="386"/>
        <v>1.8670054145148283</v>
      </c>
      <c r="AU1372" s="94">
        <f t="shared" si="387"/>
        <v>1.6912781672403525</v>
      </c>
    </row>
    <row r="1373" spans="1:47" x14ac:dyDescent="0.3">
      <c r="A1373" s="85" t="str">
        <f>_xlfn.XLOOKUP(B1373,'Country codes &amp; Data sources'!G:G,'Country codes &amp; Data sources'!H:H,,0)</f>
        <v>Guinea</v>
      </c>
      <c r="B1373" s="85" t="s">
        <v>173</v>
      </c>
      <c r="C1373" s="85">
        <v>10788697</v>
      </c>
      <c r="D1373" s="85" t="s">
        <v>331</v>
      </c>
      <c r="E1373" s="86">
        <v>0</v>
      </c>
      <c r="F1373" s="86">
        <v>11055430.000000004</v>
      </c>
      <c r="G1373" s="86">
        <v>0</v>
      </c>
      <c r="H1373" s="86"/>
      <c r="I1373" s="86">
        <v>4284</v>
      </c>
      <c r="J1373" s="86"/>
      <c r="K1373" s="86">
        <v>3476</v>
      </c>
      <c r="L1373" s="86"/>
      <c r="M1373" s="86">
        <v>0</v>
      </c>
      <c r="N1373" s="86"/>
      <c r="O1373" s="86">
        <v>0</v>
      </c>
      <c r="P1373" s="86">
        <v>12554864.499999998</v>
      </c>
      <c r="Q1373" s="86">
        <v>0</v>
      </c>
      <c r="R1373" s="87">
        <f t="shared" si="372"/>
        <v>3985</v>
      </c>
      <c r="T1373" s="87">
        <v>0</v>
      </c>
      <c r="U1373" s="89"/>
      <c r="V1373" s="89">
        <v>0</v>
      </c>
      <c r="W1373" s="90"/>
      <c r="X1373" s="90">
        <v>0</v>
      </c>
      <c r="Y1373" s="90">
        <v>13859340.500000006</v>
      </c>
      <c r="Z1373" s="90">
        <v>2680</v>
      </c>
      <c r="AA1373" s="90">
        <v>3985</v>
      </c>
      <c r="AB1373" s="89">
        <f t="shared" si="373"/>
        <v>4284</v>
      </c>
      <c r="AC1373" s="89">
        <f t="shared" si="374"/>
        <v>0</v>
      </c>
      <c r="AD1373" s="89">
        <f t="shared" si="375"/>
        <v>2680</v>
      </c>
      <c r="AE1373" s="90">
        <f t="shared" si="376"/>
        <v>4284</v>
      </c>
      <c r="AF1373" s="90">
        <f t="shared" si="377"/>
        <v>2014</v>
      </c>
      <c r="AG1373" s="90">
        <f t="shared" si="378"/>
        <v>3985</v>
      </c>
      <c r="AH1373" s="90" t="str">
        <f t="shared" si="379"/>
        <v>2018 (triag)</v>
      </c>
      <c r="AI1373" s="90">
        <f t="shared" si="380"/>
        <v>2680</v>
      </c>
      <c r="AJ1373" s="90">
        <f t="shared" si="381"/>
        <v>2022</v>
      </c>
      <c r="AK1373" s="90" t="str">
        <f t="shared" si="382"/>
        <v>Adjust</v>
      </c>
      <c r="AL1373" s="91">
        <f>IF(AK1373="Adjust",(_xlfn.XLOOKUP(A1373,'Adj factor'!A:A,'Adj factor'!I:I,,0)*AI1373),'Master DataSheet'!AI1373)</f>
        <v>3080.1203667787127</v>
      </c>
      <c r="AM1373" s="91">
        <f t="shared" si="383"/>
        <v>3985</v>
      </c>
      <c r="AN1373" s="92" t="str">
        <f t="shared" si="384"/>
        <v>Decreasing</v>
      </c>
      <c r="AS1373" s="94">
        <f t="shared" si="385"/>
        <v>3.8750188821239866</v>
      </c>
      <c r="AT1373" s="94">
        <f t="shared" si="386"/>
        <v>3.1740685054784943</v>
      </c>
      <c r="AU1373" s="94">
        <f t="shared" si="387"/>
        <v>2.8753171913194557</v>
      </c>
    </row>
    <row r="1374" spans="1:47" x14ac:dyDescent="0.3">
      <c r="A1374" s="85" t="str">
        <f>_xlfn.XLOOKUP(B1374,'Country codes &amp; Data sources'!G:G,'Country codes &amp; Data sources'!H:H,,0)</f>
        <v>Guinea</v>
      </c>
      <c r="B1374" s="85" t="s">
        <v>173</v>
      </c>
      <c r="C1374" s="85">
        <v>10788698</v>
      </c>
      <c r="D1374" s="85" t="s">
        <v>332</v>
      </c>
      <c r="E1374" s="86">
        <v>0</v>
      </c>
      <c r="F1374" s="86">
        <v>11055430.000000004</v>
      </c>
      <c r="G1374" s="86">
        <v>500</v>
      </c>
      <c r="H1374" s="86"/>
      <c r="I1374" s="86">
        <v>500</v>
      </c>
      <c r="J1374" s="86"/>
      <c r="K1374" s="86">
        <v>376</v>
      </c>
      <c r="L1374" s="86"/>
      <c r="M1374" s="86">
        <v>443</v>
      </c>
      <c r="N1374" s="86"/>
      <c r="O1374" s="86">
        <v>0</v>
      </c>
      <c r="P1374" s="86">
        <v>12554864.499999998</v>
      </c>
      <c r="Q1374" s="86">
        <v>0</v>
      </c>
      <c r="R1374" s="87">
        <f t="shared" si="372"/>
        <v>866</v>
      </c>
      <c r="T1374" s="87">
        <v>0</v>
      </c>
      <c r="U1374" s="89"/>
      <c r="V1374" s="89">
        <v>0</v>
      </c>
      <c r="W1374" s="90"/>
      <c r="X1374" s="90">
        <v>0</v>
      </c>
      <c r="Y1374" s="90">
        <v>13859340.500000006</v>
      </c>
      <c r="Z1374" s="90">
        <v>777</v>
      </c>
      <c r="AA1374" s="90">
        <v>866</v>
      </c>
      <c r="AB1374" s="89">
        <f t="shared" si="373"/>
        <v>500</v>
      </c>
      <c r="AC1374" s="89">
        <f t="shared" si="374"/>
        <v>443</v>
      </c>
      <c r="AD1374" s="89">
        <f t="shared" si="375"/>
        <v>777</v>
      </c>
      <c r="AE1374" s="90">
        <f t="shared" si="376"/>
        <v>500</v>
      </c>
      <c r="AF1374" s="90">
        <f t="shared" si="377"/>
        <v>2013</v>
      </c>
      <c r="AG1374" s="90">
        <f t="shared" si="378"/>
        <v>866</v>
      </c>
      <c r="AH1374" s="90" t="str">
        <f t="shared" si="379"/>
        <v>2018 (triag)</v>
      </c>
      <c r="AI1374" s="90">
        <f t="shared" si="380"/>
        <v>777</v>
      </c>
      <c r="AJ1374" s="90">
        <f t="shared" si="381"/>
        <v>2022</v>
      </c>
      <c r="AK1374" s="90" t="str">
        <f t="shared" si="382"/>
        <v>Adjust</v>
      </c>
      <c r="AL1374" s="91">
        <f>IF(AK1374="Adjust",(_xlfn.XLOOKUP(A1374,'Adj factor'!A:A,'Adj factor'!I:I,,0)*AI1374),'Master DataSheet'!AI1374)</f>
        <v>893.00504663696256</v>
      </c>
      <c r="AM1374" s="91">
        <f t="shared" si="383"/>
        <v>893.00504663696256</v>
      </c>
      <c r="AN1374" s="92" t="str">
        <f t="shared" si="384"/>
        <v>Increasing</v>
      </c>
      <c r="AS1374" s="94">
        <f t="shared" si="385"/>
        <v>0.45226644282492839</v>
      </c>
      <c r="AT1374" s="94">
        <f t="shared" si="386"/>
        <v>0.68977247822945453</v>
      </c>
      <c r="AU1374" s="94">
        <f t="shared" si="387"/>
        <v>0.64433444480057489</v>
      </c>
    </row>
    <row r="1375" spans="1:47" x14ac:dyDescent="0.3">
      <c r="A1375" s="85" t="str">
        <f>_xlfn.XLOOKUP(B1375,'Country codes &amp; Data sources'!G:G,'Country codes &amp; Data sources'!H:H,,0)</f>
        <v>Guinea</v>
      </c>
      <c r="B1375" s="85" t="s">
        <v>173</v>
      </c>
      <c r="C1375" s="85">
        <v>10788699</v>
      </c>
      <c r="D1375" s="85" t="s">
        <v>333</v>
      </c>
      <c r="E1375" s="86">
        <v>0</v>
      </c>
      <c r="F1375" s="86">
        <v>11055430.000000004</v>
      </c>
      <c r="G1375" s="86">
        <v>500</v>
      </c>
      <c r="H1375" s="86"/>
      <c r="I1375" s="86">
        <v>0</v>
      </c>
      <c r="J1375" s="86"/>
      <c r="K1375" s="86">
        <v>376</v>
      </c>
      <c r="L1375" s="86"/>
      <c r="M1375" s="86">
        <v>0</v>
      </c>
      <c r="N1375" s="86"/>
      <c r="O1375" s="86">
        <v>0</v>
      </c>
      <c r="P1375" s="86">
        <v>12554864.499999998</v>
      </c>
      <c r="Q1375" s="86">
        <v>0</v>
      </c>
      <c r="R1375" s="87">
        <f t="shared" si="372"/>
        <v>866</v>
      </c>
      <c r="T1375" s="87">
        <v>0</v>
      </c>
      <c r="U1375" s="89"/>
      <c r="V1375" s="89">
        <v>0</v>
      </c>
      <c r="W1375" s="90"/>
      <c r="X1375" s="90">
        <v>0</v>
      </c>
      <c r="Y1375" s="90">
        <v>13859340.500000006</v>
      </c>
      <c r="Z1375" s="90">
        <v>777</v>
      </c>
      <c r="AA1375" s="90">
        <v>866</v>
      </c>
      <c r="AB1375" s="89">
        <f t="shared" si="373"/>
        <v>500</v>
      </c>
      <c r="AC1375" s="89">
        <f t="shared" si="374"/>
        <v>0</v>
      </c>
      <c r="AD1375" s="89">
        <f t="shared" si="375"/>
        <v>777</v>
      </c>
      <c r="AE1375" s="90">
        <f t="shared" si="376"/>
        <v>500</v>
      </c>
      <c r="AF1375" s="90">
        <f t="shared" si="377"/>
        <v>2013</v>
      </c>
      <c r="AG1375" s="90">
        <f t="shared" si="378"/>
        <v>866</v>
      </c>
      <c r="AH1375" s="90" t="str">
        <f t="shared" si="379"/>
        <v>2018 (triag)</v>
      </c>
      <c r="AI1375" s="90">
        <f t="shared" si="380"/>
        <v>777</v>
      </c>
      <c r="AJ1375" s="90">
        <f t="shared" si="381"/>
        <v>2022</v>
      </c>
      <c r="AK1375" s="90" t="str">
        <f t="shared" si="382"/>
        <v>Adjust</v>
      </c>
      <c r="AL1375" s="91">
        <f>IF(AK1375="Adjust",(_xlfn.XLOOKUP(A1375,'Adj factor'!A:A,'Adj factor'!I:I,,0)*AI1375),'Master DataSheet'!AI1375)</f>
        <v>893.00504663696256</v>
      </c>
      <c r="AM1375" s="91">
        <f t="shared" si="383"/>
        <v>893.00504663696256</v>
      </c>
      <c r="AN1375" s="92" t="str">
        <f t="shared" si="384"/>
        <v>Increasing</v>
      </c>
      <c r="AS1375" s="94">
        <f t="shared" si="385"/>
        <v>0.45226644282492839</v>
      </c>
      <c r="AT1375" s="94">
        <f t="shared" si="386"/>
        <v>0.68977247822945453</v>
      </c>
      <c r="AU1375" s="94">
        <f t="shared" si="387"/>
        <v>0.64433444480057489</v>
      </c>
    </row>
    <row r="1376" spans="1:47" x14ac:dyDescent="0.3">
      <c r="A1376" s="85" t="str">
        <f>_xlfn.XLOOKUP(B1376,'Country codes &amp; Data sources'!G:G,'Country codes &amp; Data sources'!H:H,,0)</f>
        <v>Guinea</v>
      </c>
      <c r="B1376" s="85" t="s">
        <v>173</v>
      </c>
      <c r="C1376" s="85">
        <v>10788700</v>
      </c>
      <c r="D1376" s="85" t="s">
        <v>334</v>
      </c>
      <c r="E1376" s="86">
        <v>0</v>
      </c>
      <c r="F1376" s="86">
        <v>11055430.000000004</v>
      </c>
      <c r="G1376" s="86">
        <v>0</v>
      </c>
      <c r="H1376" s="86"/>
      <c r="I1376" s="86">
        <v>0</v>
      </c>
      <c r="J1376" s="86"/>
      <c r="K1376" s="86">
        <v>0</v>
      </c>
      <c r="L1376" s="86"/>
      <c r="M1376" s="86">
        <v>0</v>
      </c>
      <c r="N1376" s="86"/>
      <c r="O1376" s="86">
        <v>0</v>
      </c>
      <c r="P1376" s="86">
        <v>12554864.499999998</v>
      </c>
      <c r="Q1376" s="86">
        <v>0</v>
      </c>
      <c r="R1376" s="87">
        <f t="shared" si="372"/>
        <v>0</v>
      </c>
      <c r="T1376" s="87">
        <v>0</v>
      </c>
      <c r="U1376" s="89"/>
      <c r="V1376" s="89">
        <v>0</v>
      </c>
      <c r="W1376" s="90"/>
      <c r="X1376" s="90">
        <v>0</v>
      </c>
      <c r="Y1376" s="90">
        <v>13859340.500000006</v>
      </c>
      <c r="Z1376" s="90">
        <v>0</v>
      </c>
      <c r="AA1376" s="90">
        <v>0</v>
      </c>
      <c r="AB1376" s="89">
        <f t="shared" si="373"/>
        <v>0</v>
      </c>
      <c r="AC1376" s="89">
        <f t="shared" si="374"/>
        <v>0</v>
      </c>
      <c r="AD1376" s="89">
        <f t="shared" si="375"/>
        <v>0</v>
      </c>
      <c r="AE1376" s="90">
        <f t="shared" si="376"/>
        <v>0</v>
      </c>
      <c r="AF1376" s="90" t="str">
        <f t="shared" si="377"/>
        <v/>
      </c>
      <c r="AG1376" s="90">
        <f t="shared" si="378"/>
        <v>0</v>
      </c>
      <c r="AH1376" s="90" t="str">
        <f t="shared" si="379"/>
        <v/>
      </c>
      <c r="AI1376" s="90">
        <f t="shared" si="380"/>
        <v>0</v>
      </c>
      <c r="AJ1376" s="90" t="str">
        <f t="shared" si="381"/>
        <v/>
      </c>
      <c r="AK1376" s="90" t="str">
        <f t="shared" si="382"/>
        <v/>
      </c>
      <c r="AL1376" s="91">
        <f>IF(AK1376="Adjust",(_xlfn.XLOOKUP(A1376,'Adj factor'!A:A,'Adj factor'!I:I,,0)*AI1376),'Master DataSheet'!AI1376)</f>
        <v>0</v>
      </c>
      <c r="AM1376" s="91">
        <f t="shared" si="383"/>
        <v>0</v>
      </c>
      <c r="AN1376" s="92" t="str">
        <f t="shared" si="384"/>
        <v>No change</v>
      </c>
      <c r="AS1376" s="94">
        <f t="shared" si="385"/>
        <v>0</v>
      </c>
      <c r="AT1376" s="94">
        <f t="shared" si="386"/>
        <v>0</v>
      </c>
      <c r="AU1376" s="94">
        <f t="shared" si="387"/>
        <v>0</v>
      </c>
    </row>
    <row r="1377" spans="1:47" x14ac:dyDescent="0.3">
      <c r="A1377" s="85" t="str">
        <f>_xlfn.XLOOKUP(B1377,'Country codes &amp; Data sources'!G:G,'Country codes &amp; Data sources'!H:H,,0)</f>
        <v>Guinea</v>
      </c>
      <c r="B1377" s="85" t="s">
        <v>173</v>
      </c>
      <c r="C1377" s="85">
        <v>10788701</v>
      </c>
      <c r="D1377" s="85" t="s">
        <v>335</v>
      </c>
      <c r="E1377" s="86">
        <v>0</v>
      </c>
      <c r="F1377" s="86">
        <v>11055430.000000004</v>
      </c>
      <c r="G1377" s="86">
        <v>0</v>
      </c>
      <c r="H1377" s="86"/>
      <c r="I1377" s="86">
        <v>0</v>
      </c>
      <c r="J1377" s="86"/>
      <c r="K1377" s="86">
        <v>142</v>
      </c>
      <c r="L1377" s="86"/>
      <c r="M1377" s="86">
        <v>107</v>
      </c>
      <c r="N1377" s="86"/>
      <c r="O1377" s="86">
        <v>0</v>
      </c>
      <c r="P1377" s="86">
        <v>12554864.499999998</v>
      </c>
      <c r="Q1377" s="86">
        <v>255</v>
      </c>
      <c r="R1377" s="87">
        <f t="shared" si="372"/>
        <v>255</v>
      </c>
      <c r="T1377" s="87">
        <v>0</v>
      </c>
      <c r="U1377" s="89"/>
      <c r="V1377" s="89">
        <v>0</v>
      </c>
      <c r="W1377" s="90"/>
      <c r="X1377" s="90">
        <v>0</v>
      </c>
      <c r="Y1377" s="90">
        <v>13859340.500000006</v>
      </c>
      <c r="Z1377" s="90">
        <v>0</v>
      </c>
      <c r="AA1377" s="90">
        <v>255</v>
      </c>
      <c r="AB1377" s="89">
        <f t="shared" si="373"/>
        <v>142</v>
      </c>
      <c r="AC1377" s="89">
        <f t="shared" si="374"/>
        <v>255</v>
      </c>
      <c r="AD1377" s="89">
        <f t="shared" si="375"/>
        <v>0</v>
      </c>
      <c r="AE1377" s="90">
        <f t="shared" si="376"/>
        <v>142</v>
      </c>
      <c r="AF1377" s="90">
        <f t="shared" si="377"/>
        <v>2015</v>
      </c>
      <c r="AG1377" s="90">
        <f t="shared" si="378"/>
        <v>255</v>
      </c>
      <c r="AH1377" s="90">
        <f t="shared" si="379"/>
        <v>2018</v>
      </c>
      <c r="AI1377" s="90">
        <f t="shared" si="380"/>
        <v>255</v>
      </c>
      <c r="AJ1377" s="90">
        <f t="shared" si="381"/>
        <v>2018</v>
      </c>
      <c r="AK1377" s="90" t="str">
        <f t="shared" si="382"/>
        <v/>
      </c>
      <c r="AL1377" s="91">
        <f>IF(AK1377="Adjust",(_xlfn.XLOOKUP(A1377,'Adj factor'!A:A,'Adj factor'!I:I,,0)*AI1377),'Master DataSheet'!AI1377)</f>
        <v>255</v>
      </c>
      <c r="AM1377" s="91">
        <f t="shared" si="383"/>
        <v>255</v>
      </c>
      <c r="AN1377" s="92" t="str">
        <f t="shared" si="384"/>
        <v>No change</v>
      </c>
      <c r="AS1377" s="94">
        <f t="shared" si="385"/>
        <v>0.12844366976227967</v>
      </c>
      <c r="AT1377" s="94">
        <f t="shared" si="386"/>
        <v>0.20310852418996639</v>
      </c>
      <c r="AU1377" s="94">
        <f t="shared" si="387"/>
        <v>0.18399143884227384</v>
      </c>
    </row>
    <row r="1378" spans="1:47" x14ac:dyDescent="0.3">
      <c r="A1378" s="85" t="str">
        <f>_xlfn.XLOOKUP(B1378,'Country codes &amp; Data sources'!G:G,'Country codes &amp; Data sources'!H:H,,0)</f>
        <v>Guinea</v>
      </c>
      <c r="B1378" s="85" t="s">
        <v>173</v>
      </c>
      <c r="C1378" s="85">
        <v>10788702</v>
      </c>
      <c r="D1378" s="85" t="s">
        <v>336</v>
      </c>
      <c r="E1378" s="86">
        <v>0</v>
      </c>
      <c r="F1378" s="86">
        <v>11055430.000000004</v>
      </c>
      <c r="G1378" s="86">
        <v>0</v>
      </c>
      <c r="H1378" s="86"/>
      <c r="I1378" s="86">
        <v>0</v>
      </c>
      <c r="J1378" s="86"/>
      <c r="K1378" s="86">
        <v>0</v>
      </c>
      <c r="L1378" s="86"/>
      <c r="M1378" s="86">
        <v>0</v>
      </c>
      <c r="N1378" s="86"/>
      <c r="O1378" s="86">
        <v>0</v>
      </c>
      <c r="P1378" s="86">
        <v>12554864.499999998</v>
      </c>
      <c r="Q1378" s="86">
        <v>0</v>
      </c>
      <c r="R1378" s="87">
        <f t="shared" si="372"/>
        <v>0</v>
      </c>
      <c r="T1378" s="87">
        <v>0</v>
      </c>
      <c r="U1378" s="89"/>
      <c r="V1378" s="89">
        <v>0</v>
      </c>
      <c r="W1378" s="90"/>
      <c r="X1378" s="90">
        <v>0</v>
      </c>
      <c r="Y1378" s="90">
        <v>13859340.500000006</v>
      </c>
      <c r="Z1378" s="90">
        <v>0</v>
      </c>
      <c r="AA1378" s="90">
        <v>0</v>
      </c>
      <c r="AB1378" s="89">
        <f t="shared" si="373"/>
        <v>0</v>
      </c>
      <c r="AC1378" s="89">
        <f t="shared" si="374"/>
        <v>0</v>
      </c>
      <c r="AD1378" s="89">
        <f t="shared" si="375"/>
        <v>0</v>
      </c>
      <c r="AE1378" s="90">
        <f t="shared" si="376"/>
        <v>0</v>
      </c>
      <c r="AF1378" s="90" t="str">
        <f t="shared" si="377"/>
        <v/>
      </c>
      <c r="AG1378" s="90">
        <f t="shared" si="378"/>
        <v>0</v>
      </c>
      <c r="AH1378" s="90" t="str">
        <f t="shared" si="379"/>
        <v/>
      </c>
      <c r="AI1378" s="90">
        <f t="shared" si="380"/>
        <v>0</v>
      </c>
      <c r="AJ1378" s="90" t="str">
        <f t="shared" si="381"/>
        <v/>
      </c>
      <c r="AK1378" s="90" t="str">
        <f t="shared" si="382"/>
        <v/>
      </c>
      <c r="AL1378" s="91">
        <f>IF(AK1378="Adjust",(_xlfn.XLOOKUP(A1378,'Adj factor'!A:A,'Adj factor'!I:I,,0)*AI1378),'Master DataSheet'!AI1378)</f>
        <v>0</v>
      </c>
      <c r="AM1378" s="91">
        <f t="shared" si="383"/>
        <v>0</v>
      </c>
      <c r="AN1378" s="92" t="str">
        <f t="shared" si="384"/>
        <v>No change</v>
      </c>
      <c r="AS1378" s="94">
        <f t="shared" si="385"/>
        <v>0</v>
      </c>
      <c r="AT1378" s="94">
        <f t="shared" si="386"/>
        <v>0</v>
      </c>
      <c r="AU1378" s="94">
        <f t="shared" si="387"/>
        <v>0</v>
      </c>
    </row>
    <row r="1379" spans="1:47" x14ac:dyDescent="0.3">
      <c r="A1379" s="85" t="str">
        <f>_xlfn.XLOOKUP(B1379,'Country codes &amp; Data sources'!G:G,'Country codes &amp; Data sources'!H:H,,0)</f>
        <v>Guinea</v>
      </c>
      <c r="B1379" s="85" t="s">
        <v>173</v>
      </c>
      <c r="C1379" s="85">
        <v>10788703</v>
      </c>
      <c r="D1379" s="85" t="s">
        <v>337</v>
      </c>
      <c r="E1379" s="86">
        <v>0</v>
      </c>
      <c r="F1379" s="86">
        <v>11055430.000000004</v>
      </c>
      <c r="G1379" s="86">
        <v>0</v>
      </c>
      <c r="H1379" s="86"/>
      <c r="I1379" s="86">
        <v>0</v>
      </c>
      <c r="J1379" s="86"/>
      <c r="K1379" s="86">
        <v>0</v>
      </c>
      <c r="L1379" s="86"/>
      <c r="M1379" s="86">
        <v>50</v>
      </c>
      <c r="N1379" s="86"/>
      <c r="O1379" s="86">
        <v>0</v>
      </c>
      <c r="P1379" s="86">
        <v>12554864.499999998</v>
      </c>
      <c r="Q1379" s="86">
        <v>73</v>
      </c>
      <c r="R1379" s="87">
        <f t="shared" si="372"/>
        <v>73</v>
      </c>
      <c r="T1379" s="87">
        <v>0</v>
      </c>
      <c r="U1379" s="89"/>
      <c r="V1379" s="89">
        <v>0</v>
      </c>
      <c r="W1379" s="90"/>
      <c r="X1379" s="90">
        <v>0</v>
      </c>
      <c r="Y1379" s="90">
        <v>13859340.500000006</v>
      </c>
      <c r="Z1379" s="90">
        <v>34</v>
      </c>
      <c r="AA1379" s="90">
        <v>73</v>
      </c>
      <c r="AB1379" s="89">
        <f t="shared" si="373"/>
        <v>0</v>
      </c>
      <c r="AC1379" s="89">
        <f t="shared" si="374"/>
        <v>73</v>
      </c>
      <c r="AD1379" s="89">
        <f t="shared" si="375"/>
        <v>34</v>
      </c>
      <c r="AE1379" s="90">
        <f t="shared" si="376"/>
        <v>0</v>
      </c>
      <c r="AF1379" s="90" t="str">
        <f t="shared" si="377"/>
        <v/>
      </c>
      <c r="AG1379" s="90">
        <f t="shared" si="378"/>
        <v>73</v>
      </c>
      <c r="AH1379" s="90">
        <f t="shared" si="379"/>
        <v>2018</v>
      </c>
      <c r="AI1379" s="90">
        <f t="shared" si="380"/>
        <v>34</v>
      </c>
      <c r="AJ1379" s="90">
        <f t="shared" si="381"/>
        <v>2022</v>
      </c>
      <c r="AK1379" s="90" t="str">
        <f t="shared" si="382"/>
        <v>Adjust</v>
      </c>
      <c r="AL1379" s="91">
        <f>IF(AK1379="Adjust",(_xlfn.XLOOKUP(A1379,'Adj factor'!A:A,'Adj factor'!I:I,,0)*AI1379),'Master DataSheet'!AI1379)</f>
        <v>39.076153906894113</v>
      </c>
      <c r="AM1379" s="91">
        <f t="shared" si="383"/>
        <v>73</v>
      </c>
      <c r="AN1379" s="92" t="str">
        <f t="shared" si="384"/>
        <v>Decreasing</v>
      </c>
      <c r="AS1379" s="94">
        <f t="shared" si="385"/>
        <v>0</v>
      </c>
      <c r="AT1379" s="94">
        <f t="shared" si="386"/>
        <v>5.8144793199480578E-2</v>
      </c>
      <c r="AU1379" s="94">
        <f t="shared" si="387"/>
        <v>5.2672058962690158E-2</v>
      </c>
    </row>
    <row r="1380" spans="1:47" x14ac:dyDescent="0.3">
      <c r="A1380" s="85" t="str">
        <f>_xlfn.XLOOKUP(B1380,'Country codes &amp; Data sources'!G:G,'Country codes &amp; Data sources'!H:H,,0)</f>
        <v>Guinea</v>
      </c>
      <c r="B1380" s="85" t="s">
        <v>173</v>
      </c>
      <c r="C1380" s="85">
        <v>10788704</v>
      </c>
      <c r="D1380" s="85" t="s">
        <v>338</v>
      </c>
      <c r="E1380" s="86">
        <v>0</v>
      </c>
      <c r="F1380" s="86">
        <v>11055430.000000004</v>
      </c>
      <c r="G1380" s="86">
        <v>0</v>
      </c>
      <c r="H1380" s="86"/>
      <c r="I1380" s="86">
        <v>0</v>
      </c>
      <c r="J1380" s="86"/>
      <c r="K1380" s="86">
        <v>0</v>
      </c>
      <c r="L1380" s="86"/>
      <c r="M1380" s="86">
        <v>0</v>
      </c>
      <c r="N1380" s="86"/>
      <c r="O1380" s="86">
        <v>0</v>
      </c>
      <c r="P1380" s="86">
        <v>12554864.499999998</v>
      </c>
      <c r="Q1380" s="86">
        <v>0</v>
      </c>
      <c r="R1380" s="87">
        <f t="shared" si="372"/>
        <v>0</v>
      </c>
      <c r="T1380" s="87">
        <v>0</v>
      </c>
      <c r="U1380" s="89"/>
      <c r="V1380" s="89">
        <v>0</v>
      </c>
      <c r="W1380" s="90"/>
      <c r="X1380" s="90">
        <v>0</v>
      </c>
      <c r="Y1380" s="90">
        <v>13859340.500000006</v>
      </c>
      <c r="Z1380" s="90">
        <v>50</v>
      </c>
      <c r="AA1380" s="90">
        <v>0</v>
      </c>
      <c r="AB1380" s="89">
        <f t="shared" si="373"/>
        <v>0</v>
      </c>
      <c r="AC1380" s="89">
        <f t="shared" si="374"/>
        <v>0</v>
      </c>
      <c r="AD1380" s="89">
        <f t="shared" si="375"/>
        <v>50</v>
      </c>
      <c r="AE1380" s="90">
        <f t="shared" si="376"/>
        <v>0</v>
      </c>
      <c r="AF1380" s="90" t="str">
        <f t="shared" si="377"/>
        <v/>
      </c>
      <c r="AG1380" s="90">
        <f t="shared" si="378"/>
        <v>0</v>
      </c>
      <c r="AH1380" s="90" t="str">
        <f t="shared" si="379"/>
        <v/>
      </c>
      <c r="AI1380" s="90">
        <f t="shared" si="380"/>
        <v>50</v>
      </c>
      <c r="AJ1380" s="90">
        <f t="shared" si="381"/>
        <v>2022</v>
      </c>
      <c r="AK1380" s="90" t="str">
        <f t="shared" si="382"/>
        <v/>
      </c>
      <c r="AL1380" s="91">
        <f>IF(AK1380="Adjust",(_xlfn.XLOOKUP(A1380,'Adj factor'!A:A,'Adj factor'!I:I,,0)*AI1380),'Master DataSheet'!AI1380)</f>
        <v>50</v>
      </c>
      <c r="AM1380" s="91">
        <f t="shared" si="383"/>
        <v>50</v>
      </c>
      <c r="AN1380" s="92" t="str">
        <f t="shared" si="384"/>
        <v>Increasing</v>
      </c>
      <c r="AS1380" s="94">
        <f t="shared" si="385"/>
        <v>0</v>
      </c>
      <c r="AT1380" s="94">
        <f t="shared" si="386"/>
        <v>0</v>
      </c>
      <c r="AU1380" s="94">
        <f t="shared" si="387"/>
        <v>3.6076752714171344E-2</v>
      </c>
    </row>
    <row r="1381" spans="1:47" x14ac:dyDescent="0.3">
      <c r="A1381" s="85" t="str">
        <f>_xlfn.XLOOKUP(B1381,'Country codes &amp; Data sources'!G:G,'Country codes &amp; Data sources'!H:H,,0)</f>
        <v>Guinea</v>
      </c>
      <c r="B1381" s="85" t="s">
        <v>173</v>
      </c>
      <c r="C1381" s="85">
        <v>10788705</v>
      </c>
      <c r="D1381" s="85" t="s">
        <v>339</v>
      </c>
      <c r="E1381" s="86">
        <v>0</v>
      </c>
      <c r="F1381" s="86">
        <v>11055430.000000004</v>
      </c>
      <c r="G1381" s="86">
        <v>0</v>
      </c>
      <c r="H1381" s="86"/>
      <c r="I1381" s="86">
        <v>0</v>
      </c>
      <c r="J1381" s="86"/>
      <c r="K1381" s="86">
        <v>0</v>
      </c>
      <c r="L1381" s="86"/>
      <c r="M1381" s="86">
        <v>0</v>
      </c>
      <c r="N1381" s="86"/>
      <c r="O1381" s="86">
        <v>0</v>
      </c>
      <c r="P1381" s="86">
        <v>12554864.499999998</v>
      </c>
      <c r="Q1381" s="86">
        <v>0</v>
      </c>
      <c r="R1381" s="87">
        <f t="shared" si="372"/>
        <v>0</v>
      </c>
      <c r="T1381" s="87">
        <v>0</v>
      </c>
      <c r="U1381" s="89"/>
      <c r="V1381" s="89">
        <v>0</v>
      </c>
      <c r="W1381" s="90"/>
      <c r="X1381" s="90">
        <v>0</v>
      </c>
      <c r="Y1381" s="90">
        <v>13859340.500000006</v>
      </c>
      <c r="Z1381" s="90">
        <v>0</v>
      </c>
      <c r="AA1381" s="90">
        <v>0</v>
      </c>
      <c r="AB1381" s="89">
        <f t="shared" si="373"/>
        <v>0</v>
      </c>
      <c r="AC1381" s="89">
        <f t="shared" si="374"/>
        <v>0</v>
      </c>
      <c r="AD1381" s="89">
        <f t="shared" si="375"/>
        <v>0</v>
      </c>
      <c r="AE1381" s="90">
        <f t="shared" si="376"/>
        <v>0</v>
      </c>
      <c r="AF1381" s="90" t="str">
        <f t="shared" si="377"/>
        <v/>
      </c>
      <c r="AG1381" s="90">
        <f t="shared" si="378"/>
        <v>0</v>
      </c>
      <c r="AH1381" s="90" t="str">
        <f t="shared" si="379"/>
        <v/>
      </c>
      <c r="AI1381" s="90">
        <f t="shared" si="380"/>
        <v>0</v>
      </c>
      <c r="AJ1381" s="90" t="str">
        <f t="shared" si="381"/>
        <v/>
      </c>
      <c r="AK1381" s="90" t="str">
        <f t="shared" si="382"/>
        <v/>
      </c>
      <c r="AL1381" s="91">
        <f>IF(AK1381="Adjust",(_xlfn.XLOOKUP(A1381,'Adj factor'!A:A,'Adj factor'!I:I,,0)*AI1381),'Master DataSheet'!AI1381)</f>
        <v>0</v>
      </c>
      <c r="AM1381" s="91">
        <f t="shared" si="383"/>
        <v>0</v>
      </c>
      <c r="AN1381" s="92" t="str">
        <f t="shared" si="384"/>
        <v>No change</v>
      </c>
      <c r="AS1381" s="94">
        <f t="shared" si="385"/>
        <v>0</v>
      </c>
      <c r="AT1381" s="94">
        <f t="shared" si="386"/>
        <v>0</v>
      </c>
      <c r="AU1381" s="94">
        <f t="shared" si="387"/>
        <v>0</v>
      </c>
    </row>
    <row r="1382" spans="1:47" x14ac:dyDescent="0.3">
      <c r="A1382" s="85" t="str">
        <f>_xlfn.XLOOKUP(B1382,'Country codes &amp; Data sources'!G:G,'Country codes &amp; Data sources'!H:H,,0)</f>
        <v>Gambia</v>
      </c>
      <c r="B1382" s="85" t="s">
        <v>171</v>
      </c>
      <c r="C1382" s="85">
        <v>2061013.9999999993</v>
      </c>
      <c r="D1382" s="85" t="s">
        <v>326</v>
      </c>
      <c r="E1382" s="86">
        <v>0</v>
      </c>
      <c r="F1382" s="86">
        <v>2124869.5</v>
      </c>
      <c r="G1382" s="86">
        <v>0</v>
      </c>
      <c r="H1382" s="86">
        <v>2189019</v>
      </c>
      <c r="I1382" s="86">
        <v>0</v>
      </c>
      <c r="J1382" s="86">
        <v>2253133.5000000009</v>
      </c>
      <c r="K1382" s="86">
        <v>213</v>
      </c>
      <c r="L1382" s="86">
        <v>2317205.5</v>
      </c>
      <c r="M1382" s="86">
        <v>0</v>
      </c>
      <c r="N1382" s="86">
        <v>2381181.5</v>
      </c>
      <c r="O1382" s="86">
        <v>232</v>
      </c>
      <c r="P1382" s="86">
        <v>2444915.5000000014</v>
      </c>
      <c r="Q1382" s="86">
        <v>298</v>
      </c>
      <c r="R1382" s="87">
        <f t="shared" si="372"/>
        <v>298</v>
      </c>
      <c r="S1382" s="87">
        <v>2508883.5000000009</v>
      </c>
      <c r="T1382" s="87">
        <v>188</v>
      </c>
      <c r="U1382" s="89">
        <v>2573994.9999999995</v>
      </c>
      <c r="V1382" s="89">
        <v>196</v>
      </c>
      <c r="W1382" s="90">
        <v>2639915.5000000005</v>
      </c>
      <c r="X1382" s="90">
        <v>269</v>
      </c>
      <c r="Y1382" s="90">
        <v>2705991.9999999995</v>
      </c>
      <c r="Z1382" s="90">
        <v>0</v>
      </c>
      <c r="AA1382" s="90">
        <v>298</v>
      </c>
      <c r="AB1382" s="89">
        <f t="shared" si="373"/>
        <v>213</v>
      </c>
      <c r="AC1382" s="89">
        <f t="shared" si="374"/>
        <v>298</v>
      </c>
      <c r="AD1382" s="89">
        <f t="shared" si="375"/>
        <v>269</v>
      </c>
      <c r="AE1382" s="90">
        <f t="shared" si="376"/>
        <v>213</v>
      </c>
      <c r="AF1382" s="90">
        <f t="shared" si="377"/>
        <v>2015</v>
      </c>
      <c r="AG1382" s="90">
        <f t="shared" si="378"/>
        <v>298</v>
      </c>
      <c r="AH1382" s="90">
        <f t="shared" si="379"/>
        <v>2018</v>
      </c>
      <c r="AI1382" s="90">
        <f t="shared" si="380"/>
        <v>269</v>
      </c>
      <c r="AJ1382" s="90">
        <f t="shared" si="381"/>
        <v>2021</v>
      </c>
      <c r="AK1382" s="90" t="str">
        <f t="shared" si="382"/>
        <v>Adjust</v>
      </c>
      <c r="AL1382" s="91">
        <f>IF(AK1382="Adjust",(_xlfn.XLOOKUP(A1382,'Adj factor'!A:A,'Adj factor'!I:I,,0)*AI1382),'Master DataSheet'!AI1382)</f>
        <v>273.86722731906218</v>
      </c>
      <c r="AM1382" s="91">
        <f t="shared" si="383"/>
        <v>298</v>
      </c>
      <c r="AN1382" s="92" t="str">
        <f t="shared" si="384"/>
        <v>Decreasing</v>
      </c>
      <c r="AS1382" s="94">
        <f t="shared" si="385"/>
        <v>1.0024145012199572</v>
      </c>
      <c r="AT1382" s="94">
        <f t="shared" si="386"/>
        <v>1.2188560299936739</v>
      </c>
      <c r="AU1382" s="94">
        <f t="shared" si="387"/>
        <v>1.1012597228668823</v>
      </c>
    </row>
    <row r="1383" spans="1:47" x14ac:dyDescent="0.3">
      <c r="A1383" s="85" t="str">
        <f>_xlfn.XLOOKUP(B1383,'Country codes &amp; Data sources'!G:G,'Country codes &amp; Data sources'!H:H,,0)</f>
        <v>Gambia</v>
      </c>
      <c r="B1383" s="85" t="s">
        <v>171</v>
      </c>
      <c r="C1383" s="85">
        <v>2061015</v>
      </c>
      <c r="D1383" s="85" t="s">
        <v>327</v>
      </c>
      <c r="E1383" s="86">
        <v>0</v>
      </c>
      <c r="F1383" s="86">
        <v>2124869.5</v>
      </c>
      <c r="G1383" s="86">
        <v>0</v>
      </c>
      <c r="H1383" s="86"/>
      <c r="I1383" s="86">
        <v>0</v>
      </c>
      <c r="J1383" s="86"/>
      <c r="K1383" s="86">
        <v>0</v>
      </c>
      <c r="L1383" s="86"/>
      <c r="M1383" s="86">
        <v>0</v>
      </c>
      <c r="N1383" s="86"/>
      <c r="O1383" s="86">
        <v>152</v>
      </c>
      <c r="P1383" s="86">
        <v>2444915.5000000014</v>
      </c>
      <c r="Q1383" s="86">
        <v>181</v>
      </c>
      <c r="R1383" s="87">
        <f t="shared" si="372"/>
        <v>181</v>
      </c>
      <c r="T1383" s="87">
        <v>107</v>
      </c>
      <c r="U1383" s="89"/>
      <c r="V1383" s="89">
        <v>122</v>
      </c>
      <c r="W1383" s="90"/>
      <c r="X1383" s="90">
        <v>156</v>
      </c>
      <c r="Y1383" s="90">
        <v>2705991.9999999995</v>
      </c>
      <c r="Z1383" s="90">
        <v>0</v>
      </c>
      <c r="AA1383" s="90">
        <v>181</v>
      </c>
      <c r="AB1383" s="89">
        <f t="shared" si="373"/>
        <v>0</v>
      </c>
      <c r="AC1383" s="89">
        <f t="shared" si="374"/>
        <v>181</v>
      </c>
      <c r="AD1383" s="89">
        <f t="shared" si="375"/>
        <v>156</v>
      </c>
      <c r="AE1383" s="90">
        <f t="shared" si="376"/>
        <v>0</v>
      </c>
      <c r="AF1383" s="90" t="str">
        <f t="shared" si="377"/>
        <v/>
      </c>
      <c r="AG1383" s="90">
        <f t="shared" si="378"/>
        <v>181</v>
      </c>
      <c r="AH1383" s="90">
        <f t="shared" si="379"/>
        <v>2018</v>
      </c>
      <c r="AI1383" s="90">
        <f t="shared" si="380"/>
        <v>156</v>
      </c>
      <c r="AJ1383" s="90">
        <f t="shared" si="381"/>
        <v>2021</v>
      </c>
      <c r="AK1383" s="90" t="str">
        <f t="shared" si="382"/>
        <v>Adjust</v>
      </c>
      <c r="AL1383" s="91">
        <f>IF(AK1383="Adjust",(_xlfn.XLOOKUP(A1383,'Adj factor'!A:A,'Adj factor'!I:I,,0)*AI1383),'Master DataSheet'!AI1383)</f>
        <v>158.82262996941895</v>
      </c>
      <c r="AM1383" s="91">
        <f t="shared" si="383"/>
        <v>181</v>
      </c>
      <c r="AN1383" s="92" t="str">
        <f t="shared" si="384"/>
        <v>Decreasing</v>
      </c>
      <c r="AS1383" s="94">
        <f t="shared" si="385"/>
        <v>0</v>
      </c>
      <c r="AT1383" s="94">
        <f t="shared" si="386"/>
        <v>0.74031188398944625</v>
      </c>
      <c r="AU1383" s="94">
        <f t="shared" si="387"/>
        <v>0.66888593905673055</v>
      </c>
    </row>
    <row r="1384" spans="1:47" x14ac:dyDescent="0.3">
      <c r="A1384" s="85" t="str">
        <f>_xlfn.XLOOKUP(B1384,'Country codes &amp; Data sources'!G:G,'Country codes &amp; Data sources'!H:H,,0)</f>
        <v>Gambia</v>
      </c>
      <c r="B1384" s="85" t="s">
        <v>171</v>
      </c>
      <c r="C1384" s="85">
        <v>2061016</v>
      </c>
      <c r="D1384" s="85" t="s">
        <v>328</v>
      </c>
      <c r="E1384" s="86">
        <v>0</v>
      </c>
      <c r="F1384" s="86">
        <v>2124869.5</v>
      </c>
      <c r="G1384" s="86">
        <v>0</v>
      </c>
      <c r="H1384" s="86"/>
      <c r="I1384" s="86">
        <v>0</v>
      </c>
      <c r="J1384" s="86"/>
      <c r="K1384" s="86">
        <v>0</v>
      </c>
      <c r="L1384" s="86"/>
      <c r="M1384" s="86">
        <v>0</v>
      </c>
      <c r="N1384" s="86"/>
      <c r="O1384" s="86">
        <v>80</v>
      </c>
      <c r="P1384" s="86">
        <v>2444915.5000000014</v>
      </c>
      <c r="Q1384" s="86">
        <v>117</v>
      </c>
      <c r="R1384" s="87">
        <f t="shared" si="372"/>
        <v>117</v>
      </c>
      <c r="T1384" s="87">
        <v>81</v>
      </c>
      <c r="U1384" s="89"/>
      <c r="V1384" s="89">
        <v>74</v>
      </c>
      <c r="W1384" s="90"/>
      <c r="X1384" s="90">
        <v>113</v>
      </c>
      <c r="Y1384" s="90">
        <v>2705991.9999999995</v>
      </c>
      <c r="Z1384" s="90">
        <v>0</v>
      </c>
      <c r="AA1384" s="90">
        <v>117</v>
      </c>
      <c r="AB1384" s="89">
        <f t="shared" si="373"/>
        <v>0</v>
      </c>
      <c r="AC1384" s="89">
        <f t="shared" si="374"/>
        <v>117</v>
      </c>
      <c r="AD1384" s="89">
        <f t="shared" si="375"/>
        <v>113</v>
      </c>
      <c r="AE1384" s="90">
        <f t="shared" si="376"/>
        <v>0</v>
      </c>
      <c r="AF1384" s="90" t="str">
        <f t="shared" si="377"/>
        <v/>
      </c>
      <c r="AG1384" s="90">
        <f t="shared" si="378"/>
        <v>117</v>
      </c>
      <c r="AH1384" s="90">
        <f t="shared" si="379"/>
        <v>2018</v>
      </c>
      <c r="AI1384" s="90">
        <f t="shared" si="380"/>
        <v>113</v>
      </c>
      <c r="AJ1384" s="90">
        <f t="shared" si="381"/>
        <v>2021</v>
      </c>
      <c r="AK1384" s="90" t="str">
        <f t="shared" si="382"/>
        <v>Adjust</v>
      </c>
      <c r="AL1384" s="91">
        <f>IF(AK1384="Adjust",(_xlfn.XLOOKUP(A1384,'Adj factor'!A:A,'Adj factor'!I:I,,0)*AI1384),'Master DataSheet'!AI1384)</f>
        <v>115.04459734964323</v>
      </c>
      <c r="AM1384" s="91">
        <f t="shared" si="383"/>
        <v>117</v>
      </c>
      <c r="AN1384" s="92" t="str">
        <f t="shared" si="384"/>
        <v>Decreasing</v>
      </c>
      <c r="AS1384" s="94">
        <f t="shared" si="385"/>
        <v>0</v>
      </c>
      <c r="AT1384" s="94">
        <f t="shared" si="386"/>
        <v>0.47854414600422768</v>
      </c>
      <c r="AU1384" s="94">
        <f t="shared" si="387"/>
        <v>0.43237378381015179</v>
      </c>
    </row>
    <row r="1385" spans="1:47" x14ac:dyDescent="0.3">
      <c r="A1385" s="85" t="str">
        <f>_xlfn.XLOOKUP(B1385,'Country codes &amp; Data sources'!G:G,'Country codes &amp; Data sources'!H:H,,0)</f>
        <v>Gambia</v>
      </c>
      <c r="B1385" s="85" t="s">
        <v>171</v>
      </c>
      <c r="C1385" s="85">
        <v>2061017</v>
      </c>
      <c r="D1385" s="85" t="s">
        <v>329</v>
      </c>
      <c r="E1385" s="86">
        <v>2386</v>
      </c>
      <c r="F1385" s="86">
        <v>2124869.5</v>
      </c>
      <c r="G1385" s="86">
        <v>0</v>
      </c>
      <c r="H1385" s="86"/>
      <c r="I1385" s="86">
        <v>0</v>
      </c>
      <c r="J1385" s="86"/>
      <c r="K1385" s="86">
        <v>2372</v>
      </c>
      <c r="L1385" s="86"/>
      <c r="M1385" s="86">
        <v>0</v>
      </c>
      <c r="N1385" s="86"/>
      <c r="O1385" s="86">
        <v>1127</v>
      </c>
      <c r="P1385" s="86">
        <v>2444915.5000000014</v>
      </c>
      <c r="Q1385" s="86">
        <v>1498</v>
      </c>
      <c r="R1385" s="87">
        <f t="shared" si="372"/>
        <v>1498</v>
      </c>
      <c r="T1385" s="87">
        <v>749</v>
      </c>
      <c r="U1385" s="89"/>
      <c r="V1385" s="89">
        <v>1229</v>
      </c>
      <c r="W1385" s="90"/>
      <c r="X1385" s="90">
        <v>1404</v>
      </c>
      <c r="Y1385" s="90">
        <v>2705991.9999999995</v>
      </c>
      <c r="Z1385" s="90">
        <v>0</v>
      </c>
      <c r="AA1385" s="90">
        <v>1178</v>
      </c>
      <c r="AB1385" s="89">
        <f t="shared" si="373"/>
        <v>2386</v>
      </c>
      <c r="AC1385" s="89">
        <f t="shared" si="374"/>
        <v>1498</v>
      </c>
      <c r="AD1385" s="89">
        <f t="shared" si="375"/>
        <v>1404</v>
      </c>
      <c r="AE1385" s="90">
        <f t="shared" si="376"/>
        <v>2386</v>
      </c>
      <c r="AF1385" s="90">
        <f t="shared" si="377"/>
        <v>2012</v>
      </c>
      <c r="AG1385" s="90">
        <f t="shared" si="378"/>
        <v>1498</v>
      </c>
      <c r="AH1385" s="90">
        <f t="shared" si="379"/>
        <v>2018</v>
      </c>
      <c r="AI1385" s="90">
        <f t="shared" si="380"/>
        <v>1404</v>
      </c>
      <c r="AJ1385" s="90">
        <f t="shared" si="381"/>
        <v>2021</v>
      </c>
      <c r="AK1385" s="90" t="str">
        <f t="shared" si="382"/>
        <v>Adjust</v>
      </c>
      <c r="AL1385" s="91">
        <f>IF(AK1385="Adjust",(_xlfn.XLOOKUP(A1385,'Adj factor'!A:A,'Adj factor'!I:I,,0)*AI1385),'Master DataSheet'!AI1385)</f>
        <v>1429.4036697247707</v>
      </c>
      <c r="AM1385" s="91">
        <f t="shared" si="383"/>
        <v>1498</v>
      </c>
      <c r="AN1385" s="92" t="str">
        <f t="shared" si="384"/>
        <v>Decreasing</v>
      </c>
      <c r="AS1385" s="94">
        <f t="shared" si="385"/>
        <v>11.228924882210414</v>
      </c>
      <c r="AT1385" s="94">
        <f t="shared" si="386"/>
        <v>6.1270011172165217</v>
      </c>
      <c r="AU1385" s="94">
        <f t="shared" si="387"/>
        <v>5.5358626337402335</v>
      </c>
    </row>
    <row r="1386" spans="1:47" x14ac:dyDescent="0.3">
      <c r="A1386" s="85" t="str">
        <f>_xlfn.XLOOKUP(B1386,'Country codes &amp; Data sources'!G:G,'Country codes &amp; Data sources'!H:H,,0)</f>
        <v>Gambia</v>
      </c>
      <c r="B1386" s="85" t="s">
        <v>171</v>
      </c>
      <c r="C1386" s="85">
        <v>2061018</v>
      </c>
      <c r="D1386" s="85" t="s">
        <v>330</v>
      </c>
      <c r="E1386" s="86">
        <v>0</v>
      </c>
      <c r="F1386" s="86">
        <v>2124869.5</v>
      </c>
      <c r="G1386" s="86">
        <v>0</v>
      </c>
      <c r="H1386" s="86"/>
      <c r="I1386" s="86">
        <v>0</v>
      </c>
      <c r="J1386" s="86"/>
      <c r="K1386" s="86">
        <v>0</v>
      </c>
      <c r="L1386" s="86"/>
      <c r="M1386" s="86">
        <v>0</v>
      </c>
      <c r="N1386" s="86"/>
      <c r="O1386" s="86">
        <v>248</v>
      </c>
      <c r="P1386" s="86">
        <v>2444915.5000000014</v>
      </c>
      <c r="Q1386" s="86">
        <v>0</v>
      </c>
      <c r="R1386" s="87">
        <f t="shared" ref="R1386:R1449" si="388">MAX(Q1386,AA1386)</f>
        <v>1178</v>
      </c>
      <c r="T1386" s="87">
        <v>320</v>
      </c>
      <c r="U1386" s="89"/>
      <c r="V1386" s="89">
        <v>703</v>
      </c>
      <c r="W1386" s="90"/>
      <c r="X1386" s="90">
        <v>908</v>
      </c>
      <c r="Y1386" s="90">
        <v>2705991.9999999995</v>
      </c>
      <c r="Z1386" s="90">
        <v>0</v>
      </c>
      <c r="AA1386" s="90">
        <v>1178</v>
      </c>
      <c r="AB1386" s="89">
        <f t="shared" ref="AB1386:AB1449" si="389">MAX(G1386,E1386,I1386,K1386)</f>
        <v>0</v>
      </c>
      <c r="AC1386" s="89">
        <f t="shared" ref="AC1386:AC1449" si="390">MAX(M1386,O1386,Q1386,T1386)</f>
        <v>320</v>
      </c>
      <c r="AD1386" s="89">
        <f t="shared" ref="AD1386:AD1449" si="391">MAX(V1386,X1386,Z1386)</f>
        <v>908</v>
      </c>
      <c r="AE1386" s="90">
        <f t="shared" ref="AE1386:AE1449" si="392">IF(G1386&gt;0,G1386,IF(E1386&gt;0,E1386,IF(I1386&gt;0,I1386,K1386)))</f>
        <v>0</v>
      </c>
      <c r="AF1386" s="90" t="str">
        <f t="shared" ref="AF1386:AF1449" si="393">IF(AE1386&gt;0,_xlfn.XLOOKUP(AE1386,$B1386:$K1386,$B$1:$K$1,,0),"")</f>
        <v/>
      </c>
      <c r="AG1386" s="90">
        <f t="shared" ref="AG1386:AG1449" si="394">IF(R1386&gt;0,R1386,IF(O1386&gt;0,O1386,T1386))</f>
        <v>1178</v>
      </c>
      <c r="AH1386" s="90" t="str">
        <f t="shared" ref="AH1386:AH1449" si="395">IF(AG1386&gt;0,_xlfn.XLOOKUP(AG1386,$L1386:$T1386,$L$1:$T$1,,0),"")</f>
        <v>2018 (triag)</v>
      </c>
      <c r="AI1386" s="90">
        <f t="shared" ref="AI1386:AI1449" si="396">IF((IF(Z1386&gt;0,Z1386,IF(X1386&gt;0,X1386,IF(V1386&gt;0,V1386,T1386))))=0,AG1386,IF(Z1386&gt;0,Z1386,IF(X1386&gt;0,X1386,IF(V1386&gt;0,V1386,T1386))))</f>
        <v>908</v>
      </c>
      <c r="AJ1386" s="90">
        <f t="shared" ref="AJ1386:AJ1449" si="397">IFERROR(IF(AI1386&gt;0,_xlfn.XLOOKUP(AI1386,$V1386:$Z1386,$V$1:$Z$1,,0),""),AH1386)</f>
        <v>2021</v>
      </c>
      <c r="AK1386" s="90" t="str">
        <f t="shared" ref="AK1386:AK1449" si="398">IF(AI1386&lt;AG1386,"Adjust","")</f>
        <v>Adjust</v>
      </c>
      <c r="AL1386" s="91">
        <f>IF(AK1386="Adjust",(_xlfn.XLOOKUP(A1386,'Adj factor'!A:A,'Adj factor'!I:I,,0)*AI1386),'Master DataSheet'!AI1386)</f>
        <v>924.42915392456678</v>
      </c>
      <c r="AM1386" s="91">
        <f t="shared" ref="AM1386:AM1449" si="399">IF(AL1386&lt;AG1386,AG1386,AL1386)</f>
        <v>1178</v>
      </c>
      <c r="AN1386" s="92" t="str">
        <f t="shared" ref="AN1386:AN1449" si="400">IF(AL1386&gt;AG1386,"Increasing",IF(AL1386&lt;AG1386,"Decreasing","No change"))</f>
        <v>Decreasing</v>
      </c>
      <c r="AS1386" s="94">
        <f t="shared" ref="AS1386:AS1449" si="401">(AE1386*10000)/F1386</f>
        <v>0</v>
      </c>
      <c r="AT1386" s="94">
        <f t="shared" ref="AT1386:AT1449" si="402">(AG1386*10000)/P1386</f>
        <v>4.8181624272904289</v>
      </c>
      <c r="AU1386" s="94">
        <f t="shared" ref="AU1386:AU1449" si="403">(AM1386*10000)/Y1386</f>
        <v>4.3533018575073399</v>
      </c>
    </row>
    <row r="1387" spans="1:47" x14ac:dyDescent="0.3">
      <c r="A1387" s="85" t="str">
        <f>_xlfn.XLOOKUP(B1387,'Country codes &amp; Data sources'!G:G,'Country codes &amp; Data sources'!H:H,,0)</f>
        <v>Gambia</v>
      </c>
      <c r="B1387" s="85" t="s">
        <v>171</v>
      </c>
      <c r="C1387" s="85">
        <v>2061019</v>
      </c>
      <c r="D1387" s="85" t="s">
        <v>331</v>
      </c>
      <c r="E1387" s="86">
        <v>0</v>
      </c>
      <c r="F1387" s="86">
        <v>2124869.5</v>
      </c>
      <c r="G1387" s="86">
        <v>0</v>
      </c>
      <c r="H1387" s="86"/>
      <c r="I1387" s="86">
        <v>0</v>
      </c>
      <c r="J1387" s="86"/>
      <c r="K1387" s="86">
        <v>0</v>
      </c>
      <c r="L1387" s="86"/>
      <c r="M1387" s="86">
        <v>0</v>
      </c>
      <c r="N1387" s="86"/>
      <c r="O1387" s="86">
        <v>879</v>
      </c>
      <c r="P1387" s="86">
        <v>2444915.5000000014</v>
      </c>
      <c r="Q1387" s="86">
        <v>0</v>
      </c>
      <c r="R1387" s="87">
        <f t="shared" si="388"/>
        <v>0</v>
      </c>
      <c r="T1387" s="87">
        <v>391</v>
      </c>
      <c r="U1387" s="89"/>
      <c r="V1387" s="89">
        <v>484</v>
      </c>
      <c r="W1387" s="90"/>
      <c r="X1387" s="90">
        <v>449</v>
      </c>
      <c r="Y1387" s="90">
        <v>2705991.9999999995</v>
      </c>
      <c r="Z1387" s="90">
        <v>0</v>
      </c>
      <c r="AA1387" s="90">
        <v>0</v>
      </c>
      <c r="AB1387" s="89">
        <f t="shared" si="389"/>
        <v>0</v>
      </c>
      <c r="AC1387" s="89">
        <f t="shared" si="390"/>
        <v>879</v>
      </c>
      <c r="AD1387" s="89">
        <f t="shared" si="391"/>
        <v>484</v>
      </c>
      <c r="AE1387" s="90">
        <f t="shared" si="392"/>
        <v>0</v>
      </c>
      <c r="AF1387" s="90" t="str">
        <f t="shared" si="393"/>
        <v/>
      </c>
      <c r="AG1387" s="90">
        <f t="shared" si="394"/>
        <v>879</v>
      </c>
      <c r="AH1387" s="90">
        <f t="shared" si="395"/>
        <v>2017</v>
      </c>
      <c r="AI1387" s="90">
        <f t="shared" si="396"/>
        <v>449</v>
      </c>
      <c r="AJ1387" s="90">
        <f t="shared" si="397"/>
        <v>2021</v>
      </c>
      <c r="AK1387" s="90" t="str">
        <f t="shared" si="398"/>
        <v>Adjust</v>
      </c>
      <c r="AL1387" s="91">
        <f>IF(AK1387="Adjust",(_xlfn.XLOOKUP(A1387,'Adj factor'!A:A,'Adj factor'!I:I,,0)*AI1387),'Master DataSheet'!AI1387)</f>
        <v>457.12410805300715</v>
      </c>
      <c r="AM1387" s="91">
        <f t="shared" si="399"/>
        <v>879</v>
      </c>
      <c r="AN1387" s="92" t="str">
        <f t="shared" si="400"/>
        <v>Decreasing</v>
      </c>
      <c r="AS1387" s="94">
        <f t="shared" si="401"/>
        <v>0</v>
      </c>
      <c r="AT1387" s="94">
        <f t="shared" si="402"/>
        <v>3.5952162763907363</v>
      </c>
      <c r="AU1387" s="94">
        <f t="shared" si="403"/>
        <v>3.2483466322147301</v>
      </c>
    </row>
    <row r="1388" spans="1:47" x14ac:dyDescent="0.3">
      <c r="A1388" s="85" t="str">
        <f>_xlfn.XLOOKUP(B1388,'Country codes &amp; Data sources'!G:G,'Country codes &amp; Data sources'!H:H,,0)</f>
        <v>Gambia</v>
      </c>
      <c r="B1388" s="85" t="s">
        <v>171</v>
      </c>
      <c r="C1388" s="85">
        <v>2061020</v>
      </c>
      <c r="D1388" s="85" t="s">
        <v>332</v>
      </c>
      <c r="E1388" s="86">
        <v>0</v>
      </c>
      <c r="F1388" s="86">
        <v>2124869.5</v>
      </c>
      <c r="G1388" s="86">
        <v>259</v>
      </c>
      <c r="H1388" s="86"/>
      <c r="I1388" s="86">
        <v>0</v>
      </c>
      <c r="J1388" s="86"/>
      <c r="K1388" s="86">
        <v>850</v>
      </c>
      <c r="L1388" s="86"/>
      <c r="M1388" s="86">
        <v>0</v>
      </c>
      <c r="N1388" s="86"/>
      <c r="O1388" s="86">
        <v>422</v>
      </c>
      <c r="P1388" s="86">
        <v>2444915.5000000014</v>
      </c>
      <c r="Q1388" s="86">
        <v>0</v>
      </c>
      <c r="R1388" s="87">
        <f t="shared" si="388"/>
        <v>320</v>
      </c>
      <c r="T1388" s="87">
        <v>341</v>
      </c>
      <c r="U1388" s="89"/>
      <c r="V1388" s="89">
        <v>540</v>
      </c>
      <c r="W1388" s="90"/>
      <c r="X1388" s="90">
        <v>379</v>
      </c>
      <c r="Y1388" s="90">
        <v>2705991.9999999995</v>
      </c>
      <c r="Z1388" s="90">
        <v>0</v>
      </c>
      <c r="AA1388" s="90">
        <v>320</v>
      </c>
      <c r="AB1388" s="89">
        <f t="shared" si="389"/>
        <v>850</v>
      </c>
      <c r="AC1388" s="89">
        <f t="shared" si="390"/>
        <v>422</v>
      </c>
      <c r="AD1388" s="89">
        <f t="shared" si="391"/>
        <v>540</v>
      </c>
      <c r="AE1388" s="90">
        <f t="shared" si="392"/>
        <v>259</v>
      </c>
      <c r="AF1388" s="90">
        <f t="shared" si="393"/>
        <v>2013</v>
      </c>
      <c r="AG1388" s="90">
        <f t="shared" si="394"/>
        <v>320</v>
      </c>
      <c r="AH1388" s="90" t="str">
        <f t="shared" si="395"/>
        <v>2018 (triag)</v>
      </c>
      <c r="AI1388" s="90">
        <f t="shared" si="396"/>
        <v>379</v>
      </c>
      <c r="AJ1388" s="90">
        <f t="shared" si="397"/>
        <v>2021</v>
      </c>
      <c r="AK1388" s="90" t="str">
        <f t="shared" si="398"/>
        <v/>
      </c>
      <c r="AL1388" s="91">
        <f>IF(AK1388="Adjust",(_xlfn.XLOOKUP(A1388,'Adj factor'!A:A,'Adj factor'!I:I,,0)*AI1388),'Master DataSheet'!AI1388)</f>
        <v>379</v>
      </c>
      <c r="AM1388" s="91">
        <f t="shared" si="399"/>
        <v>379</v>
      </c>
      <c r="AN1388" s="92" t="str">
        <f t="shared" si="400"/>
        <v>Increasing</v>
      </c>
      <c r="AS1388" s="94">
        <f t="shared" si="401"/>
        <v>1.2188983841125303</v>
      </c>
      <c r="AT1388" s="94">
        <f t="shared" si="402"/>
        <v>1.3088386899260929</v>
      </c>
      <c r="AU1388" s="94">
        <f t="shared" si="403"/>
        <v>1.4005954193508334</v>
      </c>
    </row>
    <row r="1389" spans="1:47" x14ac:dyDescent="0.3">
      <c r="A1389" s="85" t="str">
        <f>_xlfn.XLOOKUP(B1389,'Country codes &amp; Data sources'!G:G,'Country codes &amp; Data sources'!H:H,,0)</f>
        <v>Gambia</v>
      </c>
      <c r="B1389" s="85" t="s">
        <v>171</v>
      </c>
      <c r="C1389" s="85">
        <v>2061021</v>
      </c>
      <c r="D1389" s="85" t="s">
        <v>333</v>
      </c>
      <c r="E1389" s="86">
        <v>0</v>
      </c>
      <c r="F1389" s="86">
        <v>2124869.5</v>
      </c>
      <c r="G1389" s="86">
        <v>79</v>
      </c>
      <c r="H1389" s="86"/>
      <c r="I1389" s="86">
        <v>0</v>
      </c>
      <c r="J1389" s="86"/>
      <c r="K1389" s="86">
        <v>0</v>
      </c>
      <c r="L1389" s="86"/>
      <c r="M1389" s="86">
        <v>0</v>
      </c>
      <c r="N1389" s="86"/>
      <c r="O1389" s="86">
        <v>81</v>
      </c>
      <c r="P1389" s="86">
        <v>2444915.5000000014</v>
      </c>
      <c r="Q1389" s="86">
        <v>0</v>
      </c>
      <c r="R1389" s="87">
        <f t="shared" si="388"/>
        <v>320</v>
      </c>
      <c r="T1389" s="87">
        <v>89</v>
      </c>
      <c r="U1389" s="89"/>
      <c r="V1389" s="89">
        <v>128</v>
      </c>
      <c r="W1389" s="90"/>
      <c r="X1389" s="90">
        <v>101</v>
      </c>
      <c r="Y1389" s="90">
        <v>2705991.9999999995</v>
      </c>
      <c r="Z1389" s="90">
        <v>0</v>
      </c>
      <c r="AA1389" s="90">
        <v>320</v>
      </c>
      <c r="AB1389" s="89">
        <f t="shared" si="389"/>
        <v>79</v>
      </c>
      <c r="AC1389" s="89">
        <f t="shared" si="390"/>
        <v>89</v>
      </c>
      <c r="AD1389" s="89">
        <f t="shared" si="391"/>
        <v>128</v>
      </c>
      <c r="AE1389" s="90">
        <f t="shared" si="392"/>
        <v>79</v>
      </c>
      <c r="AF1389" s="90">
        <f t="shared" si="393"/>
        <v>2013</v>
      </c>
      <c r="AG1389" s="90">
        <f t="shared" si="394"/>
        <v>320</v>
      </c>
      <c r="AH1389" s="90" t="str">
        <f t="shared" si="395"/>
        <v>2018 (triag)</v>
      </c>
      <c r="AI1389" s="90">
        <f t="shared" si="396"/>
        <v>101</v>
      </c>
      <c r="AJ1389" s="90">
        <f t="shared" si="397"/>
        <v>2021</v>
      </c>
      <c r="AK1389" s="90" t="str">
        <f t="shared" si="398"/>
        <v>Adjust</v>
      </c>
      <c r="AL1389" s="91">
        <f>IF(AK1389="Adjust",(_xlfn.XLOOKUP(A1389,'Adj factor'!A:A,'Adj factor'!I:I,,0)*AI1389),'Master DataSheet'!AI1389)</f>
        <v>102.82747196738023</v>
      </c>
      <c r="AM1389" s="91">
        <f t="shared" si="399"/>
        <v>320</v>
      </c>
      <c r="AN1389" s="92" t="str">
        <f t="shared" si="400"/>
        <v>Decreasing</v>
      </c>
      <c r="AS1389" s="94">
        <f t="shared" si="401"/>
        <v>0.37178753801115788</v>
      </c>
      <c r="AT1389" s="94">
        <f t="shared" si="402"/>
        <v>1.3088386899260929</v>
      </c>
      <c r="AU1389" s="94">
        <f t="shared" si="403"/>
        <v>1.1825607762328938</v>
      </c>
    </row>
    <row r="1390" spans="1:47" x14ac:dyDescent="0.3">
      <c r="A1390" s="85" t="str">
        <f>_xlfn.XLOOKUP(B1390,'Country codes &amp; Data sources'!G:G,'Country codes &amp; Data sources'!H:H,,0)</f>
        <v>Gambia</v>
      </c>
      <c r="B1390" s="85" t="s">
        <v>171</v>
      </c>
      <c r="C1390" s="85">
        <v>2061022</v>
      </c>
      <c r="D1390" s="85" t="s">
        <v>334</v>
      </c>
      <c r="E1390" s="86">
        <v>0</v>
      </c>
      <c r="F1390" s="86">
        <v>2124869.5</v>
      </c>
      <c r="G1390" s="86">
        <v>180</v>
      </c>
      <c r="H1390" s="86"/>
      <c r="I1390" s="86">
        <v>0</v>
      </c>
      <c r="J1390" s="86"/>
      <c r="K1390" s="86">
        <v>0</v>
      </c>
      <c r="L1390" s="86"/>
      <c r="M1390" s="86">
        <v>0</v>
      </c>
      <c r="N1390" s="86"/>
      <c r="O1390" s="86">
        <v>341</v>
      </c>
      <c r="P1390" s="86">
        <v>2444915.5000000014</v>
      </c>
      <c r="Q1390" s="86">
        <v>0</v>
      </c>
      <c r="R1390" s="87">
        <f t="shared" si="388"/>
        <v>0</v>
      </c>
      <c r="T1390" s="87">
        <v>252</v>
      </c>
      <c r="U1390" s="89"/>
      <c r="V1390" s="89">
        <v>412</v>
      </c>
      <c r="W1390" s="90"/>
      <c r="X1390" s="90">
        <v>278</v>
      </c>
      <c r="Y1390" s="90">
        <v>2705991.9999999995</v>
      </c>
      <c r="Z1390" s="90">
        <v>0</v>
      </c>
      <c r="AA1390" s="90">
        <v>0</v>
      </c>
      <c r="AB1390" s="89">
        <f t="shared" si="389"/>
        <v>180</v>
      </c>
      <c r="AC1390" s="89">
        <f t="shared" si="390"/>
        <v>341</v>
      </c>
      <c r="AD1390" s="89">
        <f t="shared" si="391"/>
        <v>412</v>
      </c>
      <c r="AE1390" s="90">
        <f t="shared" si="392"/>
        <v>180</v>
      </c>
      <c r="AF1390" s="90">
        <f t="shared" si="393"/>
        <v>2013</v>
      </c>
      <c r="AG1390" s="90">
        <f t="shared" si="394"/>
        <v>341</v>
      </c>
      <c r="AH1390" s="90">
        <f t="shared" si="395"/>
        <v>2017</v>
      </c>
      <c r="AI1390" s="90">
        <f t="shared" si="396"/>
        <v>278</v>
      </c>
      <c r="AJ1390" s="90">
        <f t="shared" si="397"/>
        <v>2021</v>
      </c>
      <c r="AK1390" s="90" t="str">
        <f t="shared" si="398"/>
        <v>Adjust</v>
      </c>
      <c r="AL1390" s="91">
        <f>IF(AK1390="Adjust",(_xlfn.XLOOKUP(A1390,'Adj factor'!A:A,'Adj factor'!I:I,,0)*AI1390),'Master DataSheet'!AI1390)</f>
        <v>283.03007135575945</v>
      </c>
      <c r="AM1390" s="91">
        <f t="shared" si="399"/>
        <v>341</v>
      </c>
      <c r="AN1390" s="92" t="str">
        <f t="shared" si="400"/>
        <v>Decreasing</v>
      </c>
      <c r="AS1390" s="94">
        <f t="shared" si="401"/>
        <v>0.84711084610137233</v>
      </c>
      <c r="AT1390" s="94">
        <f t="shared" si="402"/>
        <v>1.3947312289524927</v>
      </c>
      <c r="AU1390" s="94">
        <f t="shared" si="403"/>
        <v>1.2601663271731773</v>
      </c>
    </row>
    <row r="1391" spans="1:47" x14ac:dyDescent="0.3">
      <c r="A1391" s="85" t="str">
        <f>_xlfn.XLOOKUP(B1391,'Country codes &amp; Data sources'!G:G,'Country codes &amp; Data sources'!H:H,,0)</f>
        <v>Gambia</v>
      </c>
      <c r="B1391" s="85" t="s">
        <v>171</v>
      </c>
      <c r="C1391" s="85">
        <v>2061023</v>
      </c>
      <c r="D1391" s="85" t="s">
        <v>335</v>
      </c>
      <c r="E1391" s="86">
        <v>0</v>
      </c>
      <c r="F1391" s="86">
        <v>2124869.5</v>
      </c>
      <c r="G1391" s="86">
        <v>0</v>
      </c>
      <c r="H1391" s="86"/>
      <c r="I1391" s="86">
        <v>0</v>
      </c>
      <c r="J1391" s="86"/>
      <c r="K1391" s="86">
        <v>5</v>
      </c>
      <c r="L1391" s="86"/>
      <c r="M1391" s="86">
        <v>0</v>
      </c>
      <c r="N1391" s="86"/>
      <c r="O1391" s="86">
        <v>0</v>
      </c>
      <c r="P1391" s="86">
        <v>2444915.5000000014</v>
      </c>
      <c r="Q1391" s="86">
        <v>2</v>
      </c>
      <c r="R1391" s="87">
        <f t="shared" si="388"/>
        <v>78</v>
      </c>
      <c r="T1391" s="87">
        <v>2</v>
      </c>
      <c r="U1391" s="89"/>
      <c r="V1391" s="89">
        <v>0</v>
      </c>
      <c r="W1391" s="90"/>
      <c r="X1391" s="90">
        <v>4</v>
      </c>
      <c r="Y1391" s="90">
        <v>2705991.9999999995</v>
      </c>
      <c r="Z1391" s="90">
        <v>0</v>
      </c>
      <c r="AA1391" s="90">
        <v>78</v>
      </c>
      <c r="AB1391" s="89">
        <f t="shared" si="389"/>
        <v>5</v>
      </c>
      <c r="AC1391" s="89">
        <f t="shared" si="390"/>
        <v>2</v>
      </c>
      <c r="AD1391" s="89">
        <f t="shared" si="391"/>
        <v>4</v>
      </c>
      <c r="AE1391" s="90">
        <f t="shared" si="392"/>
        <v>5</v>
      </c>
      <c r="AF1391" s="90">
        <f t="shared" si="393"/>
        <v>2015</v>
      </c>
      <c r="AG1391" s="90">
        <f t="shared" si="394"/>
        <v>78</v>
      </c>
      <c r="AH1391" s="90" t="str">
        <f t="shared" si="395"/>
        <v>2018 (triag)</v>
      </c>
      <c r="AI1391" s="90">
        <f t="shared" si="396"/>
        <v>4</v>
      </c>
      <c r="AJ1391" s="90">
        <f t="shared" si="397"/>
        <v>2021</v>
      </c>
      <c r="AK1391" s="90" t="str">
        <f t="shared" si="398"/>
        <v>Adjust</v>
      </c>
      <c r="AL1391" s="91">
        <f>IF(AK1391="Adjust",(_xlfn.XLOOKUP(A1391,'Adj factor'!A:A,'Adj factor'!I:I,,0)*AI1391),'Master DataSheet'!AI1391)</f>
        <v>4.0723751274209992</v>
      </c>
      <c r="AM1391" s="91">
        <f t="shared" si="399"/>
        <v>78</v>
      </c>
      <c r="AN1391" s="92" t="str">
        <f t="shared" si="400"/>
        <v>Decreasing</v>
      </c>
      <c r="AS1391" s="94">
        <f t="shared" si="401"/>
        <v>2.3530856836149232E-2</v>
      </c>
      <c r="AT1391" s="94">
        <f t="shared" si="402"/>
        <v>0.31902943066948514</v>
      </c>
      <c r="AU1391" s="94">
        <f t="shared" si="403"/>
        <v>0.28824918920676784</v>
      </c>
    </row>
    <row r="1392" spans="1:47" x14ac:dyDescent="0.3">
      <c r="A1392" s="85" t="str">
        <f>_xlfn.XLOOKUP(B1392,'Country codes &amp; Data sources'!G:G,'Country codes &amp; Data sources'!H:H,,0)</f>
        <v>Gambia</v>
      </c>
      <c r="B1392" s="85" t="s">
        <v>171</v>
      </c>
      <c r="C1392" s="85">
        <v>2061024</v>
      </c>
      <c r="D1392" s="85" t="s">
        <v>336</v>
      </c>
      <c r="E1392" s="86">
        <v>0</v>
      </c>
      <c r="F1392" s="86">
        <v>2124869.5</v>
      </c>
      <c r="G1392" s="86">
        <v>0</v>
      </c>
      <c r="H1392" s="86"/>
      <c r="I1392" s="86">
        <v>0</v>
      </c>
      <c r="J1392" s="86"/>
      <c r="K1392" s="86">
        <v>99</v>
      </c>
      <c r="L1392" s="86"/>
      <c r="M1392" s="86">
        <v>0</v>
      </c>
      <c r="N1392" s="86"/>
      <c r="O1392" s="86">
        <v>74</v>
      </c>
      <c r="P1392" s="86">
        <v>2444915.5000000014</v>
      </c>
      <c r="Q1392" s="86">
        <v>76</v>
      </c>
      <c r="R1392" s="87">
        <f t="shared" si="388"/>
        <v>76</v>
      </c>
      <c r="T1392" s="87">
        <v>81</v>
      </c>
      <c r="U1392" s="89"/>
      <c r="V1392" s="89">
        <v>81</v>
      </c>
      <c r="W1392" s="90"/>
      <c r="X1392" s="90">
        <v>94</v>
      </c>
      <c r="Y1392" s="90">
        <v>2705991.9999999995</v>
      </c>
      <c r="Z1392" s="90">
        <v>0</v>
      </c>
      <c r="AA1392" s="90">
        <v>1</v>
      </c>
      <c r="AB1392" s="89">
        <f t="shared" si="389"/>
        <v>99</v>
      </c>
      <c r="AC1392" s="89">
        <f t="shared" si="390"/>
        <v>81</v>
      </c>
      <c r="AD1392" s="89">
        <f t="shared" si="391"/>
        <v>94</v>
      </c>
      <c r="AE1392" s="90">
        <f t="shared" si="392"/>
        <v>99</v>
      </c>
      <c r="AF1392" s="90">
        <f t="shared" si="393"/>
        <v>2015</v>
      </c>
      <c r="AG1392" s="90">
        <f t="shared" si="394"/>
        <v>76</v>
      </c>
      <c r="AH1392" s="90">
        <f t="shared" si="395"/>
        <v>2018</v>
      </c>
      <c r="AI1392" s="90">
        <f t="shared" si="396"/>
        <v>94</v>
      </c>
      <c r="AJ1392" s="90">
        <f t="shared" si="397"/>
        <v>2021</v>
      </c>
      <c r="AK1392" s="90" t="str">
        <f t="shared" si="398"/>
        <v/>
      </c>
      <c r="AL1392" s="91">
        <f>IF(AK1392="Adjust",(_xlfn.XLOOKUP(A1392,'Adj factor'!A:A,'Adj factor'!I:I,,0)*AI1392),'Master DataSheet'!AI1392)</f>
        <v>94</v>
      </c>
      <c r="AM1392" s="91">
        <f t="shared" si="399"/>
        <v>94</v>
      </c>
      <c r="AN1392" s="92" t="str">
        <f t="shared" si="400"/>
        <v>Increasing</v>
      </c>
      <c r="AS1392" s="94">
        <f t="shared" si="401"/>
        <v>0.46591096535575477</v>
      </c>
      <c r="AT1392" s="94">
        <f t="shared" si="402"/>
        <v>0.31084918885744706</v>
      </c>
      <c r="AU1392" s="94">
        <f t="shared" si="403"/>
        <v>0.34737722801841253</v>
      </c>
    </row>
    <row r="1393" spans="1:47" x14ac:dyDescent="0.3">
      <c r="A1393" s="85" t="str">
        <f>_xlfn.XLOOKUP(B1393,'Country codes &amp; Data sources'!G:G,'Country codes &amp; Data sources'!H:H,,0)</f>
        <v>Gambia</v>
      </c>
      <c r="B1393" s="85" t="s">
        <v>171</v>
      </c>
      <c r="C1393" s="85">
        <v>2061025</v>
      </c>
      <c r="D1393" s="85" t="s">
        <v>337</v>
      </c>
      <c r="E1393" s="86">
        <v>0</v>
      </c>
      <c r="F1393" s="86">
        <v>2124869.5</v>
      </c>
      <c r="G1393" s="86">
        <v>0</v>
      </c>
      <c r="H1393" s="86"/>
      <c r="I1393" s="86">
        <v>0</v>
      </c>
      <c r="J1393" s="86"/>
      <c r="K1393" s="86">
        <v>17</v>
      </c>
      <c r="L1393" s="86"/>
      <c r="M1393" s="86">
        <v>0</v>
      </c>
      <c r="N1393" s="86"/>
      <c r="O1393" s="86">
        <v>0</v>
      </c>
      <c r="P1393" s="86">
        <v>2444915.5000000014</v>
      </c>
      <c r="Q1393" s="86">
        <v>4</v>
      </c>
      <c r="R1393" s="87">
        <f t="shared" si="388"/>
        <v>4</v>
      </c>
      <c r="T1393" s="87">
        <v>12</v>
      </c>
      <c r="U1393" s="89"/>
      <c r="V1393" s="89">
        <v>8</v>
      </c>
      <c r="W1393" s="90"/>
      <c r="X1393" s="90">
        <v>9</v>
      </c>
      <c r="Y1393" s="90">
        <v>2705991.9999999995</v>
      </c>
      <c r="Z1393" s="90">
        <v>0</v>
      </c>
      <c r="AA1393" s="90">
        <v>0</v>
      </c>
      <c r="AB1393" s="89">
        <f t="shared" si="389"/>
        <v>17</v>
      </c>
      <c r="AC1393" s="89">
        <f t="shared" si="390"/>
        <v>12</v>
      </c>
      <c r="AD1393" s="89">
        <f t="shared" si="391"/>
        <v>9</v>
      </c>
      <c r="AE1393" s="90">
        <f t="shared" si="392"/>
        <v>17</v>
      </c>
      <c r="AF1393" s="90">
        <f t="shared" si="393"/>
        <v>2015</v>
      </c>
      <c r="AG1393" s="90">
        <f t="shared" si="394"/>
        <v>4</v>
      </c>
      <c r="AH1393" s="90">
        <f t="shared" si="395"/>
        <v>2018</v>
      </c>
      <c r="AI1393" s="90">
        <f t="shared" si="396"/>
        <v>9</v>
      </c>
      <c r="AJ1393" s="90">
        <f t="shared" si="397"/>
        <v>2021</v>
      </c>
      <c r="AK1393" s="90" t="str">
        <f t="shared" si="398"/>
        <v/>
      </c>
      <c r="AL1393" s="91">
        <f>IF(AK1393="Adjust",(_xlfn.XLOOKUP(A1393,'Adj factor'!A:A,'Adj factor'!I:I,,0)*AI1393),'Master DataSheet'!AI1393)</f>
        <v>9</v>
      </c>
      <c r="AM1393" s="91">
        <f t="shared" si="399"/>
        <v>9</v>
      </c>
      <c r="AN1393" s="92" t="str">
        <f t="shared" si="400"/>
        <v>Increasing</v>
      </c>
      <c r="AS1393" s="94">
        <f t="shared" si="401"/>
        <v>8.0004913242907386E-2</v>
      </c>
      <c r="AT1393" s="94">
        <f t="shared" si="402"/>
        <v>1.6360483624076161E-2</v>
      </c>
      <c r="AU1393" s="94">
        <f t="shared" si="403"/>
        <v>3.3259521831550135E-2</v>
      </c>
    </row>
    <row r="1394" spans="1:47" x14ac:dyDescent="0.3">
      <c r="A1394" s="85" t="str">
        <f>_xlfn.XLOOKUP(B1394,'Country codes &amp; Data sources'!G:G,'Country codes &amp; Data sources'!H:H,,0)</f>
        <v>Gambia</v>
      </c>
      <c r="B1394" s="85" t="s">
        <v>171</v>
      </c>
      <c r="C1394" s="85">
        <v>2061026</v>
      </c>
      <c r="D1394" s="85" t="s">
        <v>338</v>
      </c>
      <c r="E1394" s="86">
        <v>0</v>
      </c>
      <c r="F1394" s="86">
        <v>2124869.5</v>
      </c>
      <c r="G1394" s="86">
        <v>0</v>
      </c>
      <c r="H1394" s="86"/>
      <c r="I1394" s="86">
        <v>0</v>
      </c>
      <c r="J1394" s="86"/>
      <c r="K1394" s="86">
        <v>0</v>
      </c>
      <c r="L1394" s="86"/>
      <c r="M1394" s="86">
        <v>0</v>
      </c>
      <c r="N1394" s="86"/>
      <c r="O1394" s="86">
        <v>0</v>
      </c>
      <c r="P1394" s="86">
        <v>2444915.5000000014</v>
      </c>
      <c r="Q1394" s="86">
        <v>10</v>
      </c>
      <c r="R1394" s="87">
        <f t="shared" si="388"/>
        <v>10</v>
      </c>
      <c r="T1394" s="87">
        <v>6</v>
      </c>
      <c r="U1394" s="89"/>
      <c r="V1394" s="89">
        <v>17</v>
      </c>
      <c r="W1394" s="90"/>
      <c r="X1394" s="90">
        <v>16</v>
      </c>
      <c r="Y1394" s="90">
        <v>2705991.9999999995</v>
      </c>
      <c r="Z1394" s="90">
        <v>0</v>
      </c>
      <c r="AA1394" s="90">
        <v>3</v>
      </c>
      <c r="AB1394" s="89">
        <f t="shared" si="389"/>
        <v>0</v>
      </c>
      <c r="AC1394" s="89">
        <f t="shared" si="390"/>
        <v>10</v>
      </c>
      <c r="AD1394" s="89">
        <f t="shared" si="391"/>
        <v>17</v>
      </c>
      <c r="AE1394" s="90">
        <f t="shared" si="392"/>
        <v>0</v>
      </c>
      <c r="AF1394" s="90" t="str">
        <f t="shared" si="393"/>
        <v/>
      </c>
      <c r="AG1394" s="90">
        <f t="shared" si="394"/>
        <v>10</v>
      </c>
      <c r="AH1394" s="90">
        <f t="shared" si="395"/>
        <v>2018</v>
      </c>
      <c r="AI1394" s="90">
        <f t="shared" si="396"/>
        <v>16</v>
      </c>
      <c r="AJ1394" s="90">
        <f t="shared" si="397"/>
        <v>2021</v>
      </c>
      <c r="AK1394" s="90" t="str">
        <f t="shared" si="398"/>
        <v/>
      </c>
      <c r="AL1394" s="91">
        <f>IF(AK1394="Adjust",(_xlfn.XLOOKUP(A1394,'Adj factor'!A:A,'Adj factor'!I:I,,0)*AI1394),'Master DataSheet'!AI1394)</f>
        <v>16</v>
      </c>
      <c r="AM1394" s="91">
        <f t="shared" si="399"/>
        <v>16</v>
      </c>
      <c r="AN1394" s="92" t="str">
        <f t="shared" si="400"/>
        <v>Increasing</v>
      </c>
      <c r="AS1394" s="94">
        <f t="shared" si="401"/>
        <v>0</v>
      </c>
      <c r="AT1394" s="94">
        <f t="shared" si="402"/>
        <v>4.0901209060190402E-2</v>
      </c>
      <c r="AU1394" s="94">
        <f t="shared" si="403"/>
        <v>5.9128038811644683E-2</v>
      </c>
    </row>
    <row r="1395" spans="1:47" x14ac:dyDescent="0.3">
      <c r="A1395" s="85" t="str">
        <f>_xlfn.XLOOKUP(B1395,'Country codes &amp; Data sources'!G:G,'Country codes &amp; Data sources'!H:H,,0)</f>
        <v>Gambia</v>
      </c>
      <c r="B1395" s="85" t="s">
        <v>171</v>
      </c>
      <c r="C1395" s="85">
        <v>2061027</v>
      </c>
      <c r="D1395" s="85" t="s">
        <v>339</v>
      </c>
      <c r="E1395" s="86">
        <v>0</v>
      </c>
      <c r="F1395" s="86">
        <v>2124869.5</v>
      </c>
      <c r="G1395" s="86">
        <v>0</v>
      </c>
      <c r="H1395" s="86"/>
      <c r="I1395" s="86">
        <v>0</v>
      </c>
      <c r="J1395" s="86"/>
      <c r="K1395" s="86">
        <v>0</v>
      </c>
      <c r="L1395" s="86"/>
      <c r="M1395" s="86">
        <v>0</v>
      </c>
      <c r="N1395" s="86"/>
      <c r="O1395" s="86">
        <v>0</v>
      </c>
      <c r="P1395" s="86">
        <v>2444915.5000000014</v>
      </c>
      <c r="Q1395" s="86">
        <v>0</v>
      </c>
      <c r="R1395" s="87">
        <f t="shared" si="388"/>
        <v>0</v>
      </c>
      <c r="T1395" s="87">
        <v>0</v>
      </c>
      <c r="U1395" s="89"/>
      <c r="V1395" s="89">
        <v>0</v>
      </c>
      <c r="W1395" s="90"/>
      <c r="X1395" s="90">
        <v>0</v>
      </c>
      <c r="Y1395" s="90">
        <v>2705991.9999999995</v>
      </c>
      <c r="Z1395" s="90">
        <v>0</v>
      </c>
      <c r="AA1395" s="90">
        <v>0</v>
      </c>
      <c r="AB1395" s="89">
        <f t="shared" si="389"/>
        <v>0</v>
      </c>
      <c r="AC1395" s="89">
        <f t="shared" si="390"/>
        <v>0</v>
      </c>
      <c r="AD1395" s="89">
        <f t="shared" si="391"/>
        <v>0</v>
      </c>
      <c r="AE1395" s="90">
        <f t="shared" si="392"/>
        <v>0</v>
      </c>
      <c r="AF1395" s="90" t="str">
        <f t="shared" si="393"/>
        <v/>
      </c>
      <c r="AG1395" s="90">
        <f t="shared" si="394"/>
        <v>0</v>
      </c>
      <c r="AH1395" s="90" t="str">
        <f t="shared" si="395"/>
        <v/>
      </c>
      <c r="AI1395" s="90">
        <f t="shared" si="396"/>
        <v>0</v>
      </c>
      <c r="AJ1395" s="90" t="str">
        <f t="shared" si="397"/>
        <v/>
      </c>
      <c r="AK1395" s="90" t="str">
        <f t="shared" si="398"/>
        <v/>
      </c>
      <c r="AL1395" s="91">
        <f>IF(AK1395="Adjust",(_xlfn.XLOOKUP(A1395,'Adj factor'!A:A,'Adj factor'!I:I,,0)*AI1395),'Master DataSheet'!AI1395)</f>
        <v>0</v>
      </c>
      <c r="AM1395" s="91">
        <f t="shared" si="399"/>
        <v>0</v>
      </c>
      <c r="AN1395" s="92" t="str">
        <f t="shared" si="400"/>
        <v>No change</v>
      </c>
      <c r="AS1395" s="94">
        <f t="shared" si="401"/>
        <v>0</v>
      </c>
      <c r="AT1395" s="94">
        <f t="shared" si="402"/>
        <v>0</v>
      </c>
      <c r="AU1395" s="94">
        <f t="shared" si="403"/>
        <v>0</v>
      </c>
    </row>
    <row r="1396" spans="1:47" x14ac:dyDescent="0.3">
      <c r="A1396" s="85" t="str">
        <f>_xlfn.XLOOKUP(B1396,'Country codes &amp; Data sources'!G:G,'Country codes &amp; Data sources'!H:H,,0)</f>
        <v>Guinea-Bissau</v>
      </c>
      <c r="B1396" s="85" t="s">
        <v>174</v>
      </c>
      <c r="C1396" s="85">
        <v>1652717.4999999998</v>
      </c>
      <c r="D1396" s="85" t="s">
        <v>326</v>
      </c>
      <c r="E1396" s="86">
        <v>0</v>
      </c>
      <c r="F1396" s="86">
        <v>1697752.4999999995</v>
      </c>
      <c r="G1396" s="86">
        <v>0</v>
      </c>
      <c r="H1396" s="86">
        <v>1743309.0000000002</v>
      </c>
      <c r="I1396" s="86">
        <v>0</v>
      </c>
      <c r="J1396" s="86">
        <v>1788919.0000000005</v>
      </c>
      <c r="K1396" s="86">
        <v>354</v>
      </c>
      <c r="L1396" s="86">
        <v>1834551.4999999995</v>
      </c>
      <c r="M1396" s="86">
        <v>183</v>
      </c>
      <c r="N1396" s="86">
        <v>1879826.5000000005</v>
      </c>
      <c r="O1396" s="86">
        <v>0</v>
      </c>
      <c r="P1396" s="86">
        <v>1924954.4999999988</v>
      </c>
      <c r="Q1396" s="86">
        <v>578</v>
      </c>
      <c r="R1396" s="87">
        <f t="shared" si="388"/>
        <v>578</v>
      </c>
      <c r="S1396" s="87">
        <v>1970456.5</v>
      </c>
      <c r="T1396" s="87">
        <v>0</v>
      </c>
      <c r="U1396" s="89">
        <v>2015827.9999999998</v>
      </c>
      <c r="V1396" s="89">
        <v>385</v>
      </c>
      <c r="W1396" s="90">
        <v>2060720.9999999991</v>
      </c>
      <c r="X1396" s="90">
        <v>453</v>
      </c>
      <c r="Y1396" s="90">
        <v>2105565.4999999991</v>
      </c>
      <c r="Z1396" s="90">
        <v>438</v>
      </c>
      <c r="AA1396" s="90">
        <v>318</v>
      </c>
      <c r="AB1396" s="89">
        <f t="shared" si="389"/>
        <v>354</v>
      </c>
      <c r="AC1396" s="89">
        <f t="shared" si="390"/>
        <v>578</v>
      </c>
      <c r="AD1396" s="89">
        <f t="shared" si="391"/>
        <v>453</v>
      </c>
      <c r="AE1396" s="90">
        <f t="shared" si="392"/>
        <v>354</v>
      </c>
      <c r="AF1396" s="90">
        <f t="shared" si="393"/>
        <v>2015</v>
      </c>
      <c r="AG1396" s="90">
        <f t="shared" si="394"/>
        <v>578</v>
      </c>
      <c r="AH1396" s="90">
        <f t="shared" si="395"/>
        <v>2018</v>
      </c>
      <c r="AI1396" s="90">
        <f t="shared" si="396"/>
        <v>438</v>
      </c>
      <c r="AJ1396" s="90">
        <f t="shared" si="397"/>
        <v>2022</v>
      </c>
      <c r="AK1396" s="90" t="str">
        <f t="shared" si="398"/>
        <v>Adjust</v>
      </c>
      <c r="AL1396" s="91">
        <f>IF(AK1396="Adjust",(_xlfn.XLOOKUP(A1396,'Adj factor'!A:A,'Adj factor'!I:I,,0)*AI1396),'Master DataSheet'!AI1396)</f>
        <v>530.87376425855507</v>
      </c>
      <c r="AM1396" s="91">
        <f t="shared" si="399"/>
        <v>578</v>
      </c>
      <c r="AN1396" s="92" t="str">
        <f t="shared" si="400"/>
        <v>Decreasing</v>
      </c>
      <c r="AS1396" s="94">
        <f t="shared" si="401"/>
        <v>2.0851095786930078</v>
      </c>
      <c r="AT1396" s="94">
        <f t="shared" si="402"/>
        <v>3.0026683747589895</v>
      </c>
      <c r="AU1396" s="94">
        <f t="shared" si="403"/>
        <v>2.7451057684978228</v>
      </c>
    </row>
    <row r="1397" spans="1:47" x14ac:dyDescent="0.3">
      <c r="A1397" s="85" t="str">
        <f>_xlfn.XLOOKUP(B1397,'Country codes &amp; Data sources'!G:G,'Country codes &amp; Data sources'!H:H,,0)</f>
        <v>Guinea-Bissau</v>
      </c>
      <c r="B1397" s="85" t="s">
        <v>174</v>
      </c>
      <c r="C1397" s="85">
        <v>1652718.5</v>
      </c>
      <c r="D1397" s="85" t="s">
        <v>327</v>
      </c>
      <c r="E1397" s="86">
        <v>0</v>
      </c>
      <c r="F1397" s="86">
        <v>1697752.4999999995</v>
      </c>
      <c r="G1397" s="86">
        <v>0</v>
      </c>
      <c r="H1397" s="86"/>
      <c r="I1397" s="86">
        <v>0</v>
      </c>
      <c r="J1397" s="86"/>
      <c r="K1397" s="86">
        <v>0</v>
      </c>
      <c r="L1397" s="86"/>
      <c r="M1397" s="86">
        <v>169</v>
      </c>
      <c r="N1397" s="86"/>
      <c r="O1397" s="86">
        <v>0</v>
      </c>
      <c r="P1397" s="86">
        <v>1924954.4999999988</v>
      </c>
      <c r="Q1397" s="86">
        <v>544</v>
      </c>
      <c r="R1397" s="87">
        <f t="shared" si="388"/>
        <v>544</v>
      </c>
      <c r="T1397" s="87">
        <v>0</v>
      </c>
      <c r="U1397" s="89"/>
      <c r="V1397" s="89">
        <v>375</v>
      </c>
      <c r="W1397" s="90"/>
      <c r="X1397" s="90">
        <v>444</v>
      </c>
      <c r="Y1397" s="90">
        <v>2105565.4999999991</v>
      </c>
      <c r="Z1397" s="90">
        <v>428</v>
      </c>
      <c r="AA1397" s="90">
        <v>290</v>
      </c>
      <c r="AB1397" s="89">
        <f t="shared" si="389"/>
        <v>0</v>
      </c>
      <c r="AC1397" s="89">
        <f t="shared" si="390"/>
        <v>544</v>
      </c>
      <c r="AD1397" s="89">
        <f t="shared" si="391"/>
        <v>444</v>
      </c>
      <c r="AE1397" s="90">
        <f t="shared" si="392"/>
        <v>0</v>
      </c>
      <c r="AF1397" s="90" t="str">
        <f t="shared" si="393"/>
        <v/>
      </c>
      <c r="AG1397" s="90">
        <f t="shared" si="394"/>
        <v>544</v>
      </c>
      <c r="AH1397" s="90">
        <f t="shared" si="395"/>
        <v>2018</v>
      </c>
      <c r="AI1397" s="90">
        <f t="shared" si="396"/>
        <v>428</v>
      </c>
      <c r="AJ1397" s="90">
        <f t="shared" si="397"/>
        <v>2022</v>
      </c>
      <c r="AK1397" s="90" t="str">
        <f t="shared" si="398"/>
        <v>Adjust</v>
      </c>
      <c r="AL1397" s="91">
        <f>IF(AK1397="Adjust",(_xlfn.XLOOKUP(A1397,'Adj factor'!A:A,'Adj factor'!I:I,,0)*AI1397),'Master DataSheet'!AI1397)</f>
        <v>518.75335868187574</v>
      </c>
      <c r="AM1397" s="91">
        <f t="shared" si="399"/>
        <v>544</v>
      </c>
      <c r="AN1397" s="92" t="str">
        <f t="shared" si="400"/>
        <v>Decreasing</v>
      </c>
      <c r="AS1397" s="94">
        <f t="shared" si="401"/>
        <v>0</v>
      </c>
      <c r="AT1397" s="94">
        <f t="shared" si="402"/>
        <v>2.8260408233025784</v>
      </c>
      <c r="AU1397" s="94">
        <f t="shared" si="403"/>
        <v>2.583628958586186</v>
      </c>
    </row>
    <row r="1398" spans="1:47" x14ac:dyDescent="0.3">
      <c r="A1398" s="85" t="str">
        <f>_xlfn.XLOOKUP(B1398,'Country codes &amp; Data sources'!G:G,'Country codes &amp; Data sources'!H:H,,0)</f>
        <v>Guinea-Bissau</v>
      </c>
      <c r="B1398" s="85" t="s">
        <v>174</v>
      </c>
      <c r="C1398" s="85">
        <v>1652719.5</v>
      </c>
      <c r="D1398" s="85" t="s">
        <v>328</v>
      </c>
      <c r="E1398" s="86">
        <v>0</v>
      </c>
      <c r="F1398" s="86">
        <v>1697752.4999999995</v>
      </c>
      <c r="G1398" s="86">
        <v>0</v>
      </c>
      <c r="H1398" s="86"/>
      <c r="I1398" s="86">
        <v>0</v>
      </c>
      <c r="J1398" s="86"/>
      <c r="K1398" s="86">
        <v>0</v>
      </c>
      <c r="L1398" s="86"/>
      <c r="M1398" s="86">
        <v>14</v>
      </c>
      <c r="N1398" s="86"/>
      <c r="O1398" s="86">
        <v>0</v>
      </c>
      <c r="P1398" s="86">
        <v>1924954.4999999988</v>
      </c>
      <c r="Q1398" s="86">
        <v>34</v>
      </c>
      <c r="R1398" s="87">
        <f t="shared" si="388"/>
        <v>34</v>
      </c>
      <c r="T1398" s="87">
        <v>0</v>
      </c>
      <c r="U1398" s="89"/>
      <c r="V1398" s="89">
        <v>10</v>
      </c>
      <c r="W1398" s="90"/>
      <c r="X1398" s="90">
        <v>9</v>
      </c>
      <c r="Y1398" s="90">
        <v>2105565.4999999991</v>
      </c>
      <c r="Z1398" s="90">
        <v>10</v>
      </c>
      <c r="AA1398" s="90">
        <v>28</v>
      </c>
      <c r="AB1398" s="89">
        <f t="shared" si="389"/>
        <v>0</v>
      </c>
      <c r="AC1398" s="89">
        <f t="shared" si="390"/>
        <v>34</v>
      </c>
      <c r="AD1398" s="89">
        <f t="shared" si="391"/>
        <v>10</v>
      </c>
      <c r="AE1398" s="90">
        <f t="shared" si="392"/>
        <v>0</v>
      </c>
      <c r="AF1398" s="90" t="str">
        <f t="shared" si="393"/>
        <v/>
      </c>
      <c r="AG1398" s="90">
        <f t="shared" si="394"/>
        <v>34</v>
      </c>
      <c r="AH1398" s="90">
        <f t="shared" si="395"/>
        <v>2018</v>
      </c>
      <c r="AI1398" s="90">
        <f t="shared" si="396"/>
        <v>10</v>
      </c>
      <c r="AJ1398" s="90">
        <f t="shared" si="397"/>
        <v>2020</v>
      </c>
      <c r="AK1398" s="90" t="str">
        <f t="shared" si="398"/>
        <v>Adjust</v>
      </c>
      <c r="AL1398" s="91">
        <f>IF(AK1398="Adjust",(_xlfn.XLOOKUP(A1398,'Adj factor'!A:A,'Adj factor'!I:I,,0)*AI1398),'Master DataSheet'!AI1398)</f>
        <v>12.120405576679341</v>
      </c>
      <c r="AM1398" s="91">
        <f t="shared" si="399"/>
        <v>34</v>
      </c>
      <c r="AN1398" s="92" t="str">
        <f t="shared" si="400"/>
        <v>Decreasing</v>
      </c>
      <c r="AS1398" s="94">
        <f t="shared" si="401"/>
        <v>0</v>
      </c>
      <c r="AT1398" s="94">
        <f t="shared" si="402"/>
        <v>0.17662755145641115</v>
      </c>
      <c r="AU1398" s="94">
        <f t="shared" si="403"/>
        <v>0.16147680991163663</v>
      </c>
    </row>
    <row r="1399" spans="1:47" x14ac:dyDescent="0.3">
      <c r="A1399" s="85" t="str">
        <f>_xlfn.XLOOKUP(B1399,'Country codes &amp; Data sources'!G:G,'Country codes &amp; Data sources'!H:H,,0)</f>
        <v>Guinea-Bissau</v>
      </c>
      <c r="B1399" s="85" t="s">
        <v>174</v>
      </c>
      <c r="C1399" s="85">
        <v>1652720.5</v>
      </c>
      <c r="D1399" s="85" t="s">
        <v>329</v>
      </c>
      <c r="E1399" s="86">
        <v>0</v>
      </c>
      <c r="F1399" s="86">
        <v>1697752.4999999995</v>
      </c>
      <c r="G1399" s="86">
        <v>727</v>
      </c>
      <c r="H1399" s="86"/>
      <c r="I1399" s="86">
        <v>885</v>
      </c>
      <c r="J1399" s="86"/>
      <c r="K1399" s="86">
        <v>964</v>
      </c>
      <c r="L1399" s="86"/>
      <c r="M1399" s="86">
        <v>918</v>
      </c>
      <c r="N1399" s="86"/>
      <c r="O1399" s="86">
        <v>0</v>
      </c>
      <c r="P1399" s="86">
        <v>1924954.4999999988</v>
      </c>
      <c r="Q1399" s="86">
        <v>744</v>
      </c>
      <c r="R1399" s="87">
        <f t="shared" si="388"/>
        <v>1264</v>
      </c>
      <c r="T1399" s="87">
        <v>0</v>
      </c>
      <c r="U1399" s="89"/>
      <c r="V1399" s="89">
        <v>1371</v>
      </c>
      <c r="W1399" s="90"/>
      <c r="X1399" s="90">
        <v>1956</v>
      </c>
      <c r="Y1399" s="90">
        <v>2105565.4999999991</v>
      </c>
      <c r="Z1399" s="90">
        <v>1879</v>
      </c>
      <c r="AA1399" s="90">
        <v>1264</v>
      </c>
      <c r="AB1399" s="89">
        <f t="shared" si="389"/>
        <v>964</v>
      </c>
      <c r="AC1399" s="89">
        <f t="shared" si="390"/>
        <v>918</v>
      </c>
      <c r="AD1399" s="89">
        <f t="shared" si="391"/>
        <v>1956</v>
      </c>
      <c r="AE1399" s="90">
        <f t="shared" si="392"/>
        <v>727</v>
      </c>
      <c r="AF1399" s="90">
        <f t="shared" si="393"/>
        <v>2013</v>
      </c>
      <c r="AG1399" s="90">
        <f t="shared" si="394"/>
        <v>1264</v>
      </c>
      <c r="AH1399" s="90" t="str">
        <f t="shared" si="395"/>
        <v>2018 (triag)</v>
      </c>
      <c r="AI1399" s="90">
        <f t="shared" si="396"/>
        <v>1879</v>
      </c>
      <c r="AJ1399" s="90">
        <f t="shared" si="397"/>
        <v>2022</v>
      </c>
      <c r="AK1399" s="90" t="str">
        <f t="shared" si="398"/>
        <v/>
      </c>
      <c r="AL1399" s="91">
        <f>IF(AK1399="Adjust",(_xlfn.XLOOKUP(A1399,'Adj factor'!A:A,'Adj factor'!I:I,,0)*AI1399),'Master DataSheet'!AI1399)</f>
        <v>1879</v>
      </c>
      <c r="AM1399" s="91">
        <f t="shared" si="399"/>
        <v>1879</v>
      </c>
      <c r="AN1399" s="92" t="str">
        <f t="shared" si="400"/>
        <v>Increasing</v>
      </c>
      <c r="AS1399" s="94">
        <f t="shared" si="401"/>
        <v>4.2821318183893133</v>
      </c>
      <c r="AT1399" s="94">
        <f t="shared" si="402"/>
        <v>6.5663889717912856</v>
      </c>
      <c r="AU1399" s="94">
        <f t="shared" si="403"/>
        <v>8.9239684065872122</v>
      </c>
    </row>
    <row r="1400" spans="1:47" x14ac:dyDescent="0.3">
      <c r="A1400" s="85" t="str">
        <f>_xlfn.XLOOKUP(B1400,'Country codes &amp; Data sources'!G:G,'Country codes &amp; Data sources'!H:H,,0)</f>
        <v>Guinea-Bissau</v>
      </c>
      <c r="B1400" s="85" t="s">
        <v>174</v>
      </c>
      <c r="C1400" s="85">
        <v>1652721.5</v>
      </c>
      <c r="D1400" s="85" t="s">
        <v>330</v>
      </c>
      <c r="E1400" s="86">
        <v>0</v>
      </c>
      <c r="F1400" s="86">
        <v>1697752.4999999995</v>
      </c>
      <c r="G1400" s="86">
        <v>474</v>
      </c>
      <c r="H1400" s="86"/>
      <c r="I1400" s="86">
        <v>707</v>
      </c>
      <c r="J1400" s="86"/>
      <c r="K1400" s="86">
        <v>852</v>
      </c>
      <c r="L1400" s="86"/>
      <c r="M1400" s="86">
        <v>865</v>
      </c>
      <c r="N1400" s="86"/>
      <c r="O1400" s="86">
        <v>0</v>
      </c>
      <c r="P1400" s="86">
        <v>1924954.4999999988</v>
      </c>
      <c r="Q1400" s="86">
        <v>744</v>
      </c>
      <c r="R1400" s="87">
        <f t="shared" si="388"/>
        <v>1210</v>
      </c>
      <c r="T1400" s="87">
        <v>0</v>
      </c>
      <c r="U1400" s="89"/>
      <c r="V1400" s="89">
        <v>341</v>
      </c>
      <c r="W1400" s="90"/>
      <c r="X1400" s="90">
        <v>1003</v>
      </c>
      <c r="Y1400" s="90">
        <v>2105565.4999999991</v>
      </c>
      <c r="Z1400" s="90">
        <v>987</v>
      </c>
      <c r="AA1400" s="90">
        <v>1210</v>
      </c>
      <c r="AB1400" s="89">
        <f t="shared" si="389"/>
        <v>852</v>
      </c>
      <c r="AC1400" s="89">
        <f t="shared" si="390"/>
        <v>865</v>
      </c>
      <c r="AD1400" s="89">
        <f t="shared" si="391"/>
        <v>1003</v>
      </c>
      <c r="AE1400" s="90">
        <f t="shared" si="392"/>
        <v>474</v>
      </c>
      <c r="AF1400" s="90">
        <f t="shared" si="393"/>
        <v>2013</v>
      </c>
      <c r="AG1400" s="90">
        <f t="shared" si="394"/>
        <v>1210</v>
      </c>
      <c r="AH1400" s="90" t="str">
        <f t="shared" si="395"/>
        <v>2018 (triag)</v>
      </c>
      <c r="AI1400" s="90">
        <f t="shared" si="396"/>
        <v>987</v>
      </c>
      <c r="AJ1400" s="90">
        <f t="shared" si="397"/>
        <v>2022</v>
      </c>
      <c r="AK1400" s="90" t="str">
        <f t="shared" si="398"/>
        <v>Adjust</v>
      </c>
      <c r="AL1400" s="91">
        <f>IF(AK1400="Adjust",(_xlfn.XLOOKUP(A1400,'Adj factor'!A:A,'Adj factor'!I:I,,0)*AI1400),'Master DataSheet'!AI1400)</f>
        <v>1196.2840304182509</v>
      </c>
      <c r="AM1400" s="91">
        <f t="shared" si="399"/>
        <v>1210</v>
      </c>
      <c r="AN1400" s="92" t="str">
        <f t="shared" si="400"/>
        <v>Decreasing</v>
      </c>
      <c r="AS1400" s="94">
        <f t="shared" si="401"/>
        <v>2.7919263850296208</v>
      </c>
      <c r="AT1400" s="94">
        <f t="shared" si="402"/>
        <v>6.2858628606546318</v>
      </c>
      <c r="AU1400" s="94">
        <f t="shared" si="403"/>
        <v>5.7466747056788332</v>
      </c>
    </row>
    <row r="1401" spans="1:47" x14ac:dyDescent="0.3">
      <c r="A1401" s="85" t="str">
        <f>_xlfn.XLOOKUP(B1401,'Country codes &amp; Data sources'!G:G,'Country codes &amp; Data sources'!H:H,,0)</f>
        <v>Guinea-Bissau</v>
      </c>
      <c r="B1401" s="85" t="s">
        <v>174</v>
      </c>
      <c r="C1401" s="85">
        <v>1652722.5</v>
      </c>
      <c r="D1401" s="85" t="s">
        <v>331</v>
      </c>
      <c r="E1401" s="86">
        <v>0</v>
      </c>
      <c r="F1401" s="86">
        <v>1697752.4999999995</v>
      </c>
      <c r="G1401" s="86">
        <v>253</v>
      </c>
      <c r="H1401" s="86"/>
      <c r="I1401" s="86">
        <v>178</v>
      </c>
      <c r="J1401" s="86"/>
      <c r="K1401" s="86">
        <v>112</v>
      </c>
      <c r="L1401" s="86"/>
      <c r="M1401" s="86">
        <v>53</v>
      </c>
      <c r="N1401" s="86"/>
      <c r="O1401" s="86">
        <v>0</v>
      </c>
      <c r="P1401" s="86">
        <v>1924954.4999999988</v>
      </c>
      <c r="Q1401" s="86">
        <v>0</v>
      </c>
      <c r="R1401" s="87">
        <f t="shared" si="388"/>
        <v>54</v>
      </c>
      <c r="T1401" s="87">
        <v>0</v>
      </c>
      <c r="U1401" s="89"/>
      <c r="V1401" s="89">
        <v>1016</v>
      </c>
      <c r="W1401" s="90"/>
      <c r="X1401" s="90">
        <v>951</v>
      </c>
      <c r="Y1401" s="90">
        <v>2105565.4999999991</v>
      </c>
      <c r="Z1401" s="90">
        <v>889</v>
      </c>
      <c r="AA1401" s="90">
        <v>54</v>
      </c>
      <c r="AB1401" s="89">
        <f t="shared" si="389"/>
        <v>253</v>
      </c>
      <c r="AC1401" s="89">
        <f t="shared" si="390"/>
        <v>53</v>
      </c>
      <c r="AD1401" s="89">
        <f t="shared" si="391"/>
        <v>1016</v>
      </c>
      <c r="AE1401" s="90">
        <f t="shared" si="392"/>
        <v>253</v>
      </c>
      <c r="AF1401" s="90">
        <f t="shared" si="393"/>
        <v>2013</v>
      </c>
      <c r="AG1401" s="90">
        <f t="shared" si="394"/>
        <v>54</v>
      </c>
      <c r="AH1401" s="90" t="str">
        <f t="shared" si="395"/>
        <v>2018 (triag)</v>
      </c>
      <c r="AI1401" s="90">
        <f t="shared" si="396"/>
        <v>889</v>
      </c>
      <c r="AJ1401" s="90">
        <f t="shared" si="397"/>
        <v>2022</v>
      </c>
      <c r="AK1401" s="90" t="str">
        <f t="shared" si="398"/>
        <v/>
      </c>
      <c r="AL1401" s="91">
        <f>IF(AK1401="Adjust",(_xlfn.XLOOKUP(A1401,'Adj factor'!A:A,'Adj factor'!I:I,,0)*AI1401),'Master DataSheet'!AI1401)</f>
        <v>889</v>
      </c>
      <c r="AM1401" s="91">
        <f t="shared" si="399"/>
        <v>889</v>
      </c>
      <c r="AN1401" s="92" t="str">
        <f t="shared" si="400"/>
        <v>Increasing</v>
      </c>
      <c r="AS1401" s="94">
        <f t="shared" si="401"/>
        <v>1.4902054333596921</v>
      </c>
      <c r="AT1401" s="94">
        <f t="shared" si="402"/>
        <v>0.28052611113665299</v>
      </c>
      <c r="AU1401" s="94">
        <f t="shared" si="403"/>
        <v>4.2221436473954403</v>
      </c>
    </row>
    <row r="1402" spans="1:47" x14ac:dyDescent="0.3">
      <c r="A1402" s="85" t="str">
        <f>_xlfn.XLOOKUP(B1402,'Country codes &amp; Data sources'!G:G,'Country codes &amp; Data sources'!H:H,,0)</f>
        <v>Guinea-Bissau</v>
      </c>
      <c r="B1402" s="85" t="s">
        <v>174</v>
      </c>
      <c r="C1402" s="85">
        <v>1652723.5</v>
      </c>
      <c r="D1402" s="85" t="s">
        <v>332</v>
      </c>
      <c r="E1402" s="86">
        <v>0</v>
      </c>
      <c r="F1402" s="86">
        <v>1697752.4999999995</v>
      </c>
      <c r="G1402" s="86">
        <v>153</v>
      </c>
      <c r="H1402" s="86"/>
      <c r="I1402" s="86">
        <v>0</v>
      </c>
      <c r="J1402" s="86"/>
      <c r="K1402" s="86">
        <v>0</v>
      </c>
      <c r="L1402" s="86"/>
      <c r="M1402" s="86">
        <v>125</v>
      </c>
      <c r="N1402" s="86"/>
      <c r="O1402" s="86">
        <v>0</v>
      </c>
      <c r="P1402" s="86">
        <v>1924954.4999999988</v>
      </c>
      <c r="Q1402" s="86">
        <v>0</v>
      </c>
      <c r="R1402" s="87">
        <f t="shared" si="388"/>
        <v>157</v>
      </c>
      <c r="T1402" s="87">
        <v>0</v>
      </c>
      <c r="U1402" s="89"/>
      <c r="V1402" s="89">
        <v>185</v>
      </c>
      <c r="W1402" s="90"/>
      <c r="X1402" s="90">
        <v>213</v>
      </c>
      <c r="Y1402" s="90">
        <v>2105565.4999999991</v>
      </c>
      <c r="Z1402" s="90">
        <v>197</v>
      </c>
      <c r="AA1402" s="90">
        <v>157</v>
      </c>
      <c r="AB1402" s="89">
        <f t="shared" si="389"/>
        <v>153</v>
      </c>
      <c r="AC1402" s="89">
        <f t="shared" si="390"/>
        <v>125</v>
      </c>
      <c r="AD1402" s="89">
        <f t="shared" si="391"/>
        <v>213</v>
      </c>
      <c r="AE1402" s="90">
        <f t="shared" si="392"/>
        <v>153</v>
      </c>
      <c r="AF1402" s="90">
        <f t="shared" si="393"/>
        <v>2013</v>
      </c>
      <c r="AG1402" s="90">
        <f t="shared" si="394"/>
        <v>157</v>
      </c>
      <c r="AH1402" s="90" t="str">
        <f t="shared" si="395"/>
        <v>2018 (triag)</v>
      </c>
      <c r="AI1402" s="90">
        <f t="shared" si="396"/>
        <v>197</v>
      </c>
      <c r="AJ1402" s="90">
        <f t="shared" si="397"/>
        <v>2022</v>
      </c>
      <c r="AK1402" s="90" t="str">
        <f t="shared" si="398"/>
        <v/>
      </c>
      <c r="AL1402" s="91">
        <f>IF(AK1402="Adjust",(_xlfn.XLOOKUP(A1402,'Adj factor'!A:A,'Adj factor'!I:I,,0)*AI1402),'Master DataSheet'!AI1402)</f>
        <v>197</v>
      </c>
      <c r="AM1402" s="91">
        <f t="shared" si="399"/>
        <v>197</v>
      </c>
      <c r="AN1402" s="92" t="str">
        <f t="shared" si="400"/>
        <v>Increasing</v>
      </c>
      <c r="AS1402" s="94">
        <f t="shared" si="401"/>
        <v>0.9011914280791814</v>
      </c>
      <c r="AT1402" s="94">
        <f t="shared" si="402"/>
        <v>0.81560369348989858</v>
      </c>
      <c r="AU1402" s="94">
        <f t="shared" si="403"/>
        <v>0.93561563389977698</v>
      </c>
    </row>
    <row r="1403" spans="1:47" x14ac:dyDescent="0.3">
      <c r="A1403" s="85" t="str">
        <f>_xlfn.XLOOKUP(B1403,'Country codes &amp; Data sources'!G:G,'Country codes &amp; Data sources'!H:H,,0)</f>
        <v>Guinea-Bissau</v>
      </c>
      <c r="B1403" s="85" t="s">
        <v>174</v>
      </c>
      <c r="C1403" s="85">
        <v>1652724.5</v>
      </c>
      <c r="D1403" s="85" t="s">
        <v>333</v>
      </c>
      <c r="E1403" s="86">
        <v>0</v>
      </c>
      <c r="F1403" s="86">
        <v>1697752.4999999995</v>
      </c>
      <c r="G1403" s="86">
        <v>148</v>
      </c>
      <c r="H1403" s="86"/>
      <c r="I1403" s="86">
        <v>0</v>
      </c>
      <c r="J1403" s="86"/>
      <c r="K1403" s="86">
        <v>0</v>
      </c>
      <c r="L1403" s="86"/>
      <c r="M1403" s="86">
        <v>125</v>
      </c>
      <c r="N1403" s="86"/>
      <c r="O1403" s="86">
        <v>0</v>
      </c>
      <c r="P1403" s="86">
        <v>1924954.4999999988</v>
      </c>
      <c r="Q1403" s="86">
        <v>0</v>
      </c>
      <c r="R1403" s="87">
        <f t="shared" si="388"/>
        <v>156</v>
      </c>
      <c r="T1403" s="87">
        <v>0</v>
      </c>
      <c r="U1403" s="89"/>
      <c r="V1403" s="89">
        <v>18</v>
      </c>
      <c r="W1403" s="90"/>
      <c r="X1403" s="90">
        <v>213</v>
      </c>
      <c r="Y1403" s="90">
        <v>2105565.4999999991</v>
      </c>
      <c r="Z1403" s="90">
        <v>26</v>
      </c>
      <c r="AA1403" s="90">
        <v>156</v>
      </c>
      <c r="AB1403" s="89">
        <f t="shared" si="389"/>
        <v>148</v>
      </c>
      <c r="AC1403" s="89">
        <f t="shared" si="390"/>
        <v>125</v>
      </c>
      <c r="AD1403" s="89">
        <f t="shared" si="391"/>
        <v>213</v>
      </c>
      <c r="AE1403" s="90">
        <f t="shared" si="392"/>
        <v>148</v>
      </c>
      <c r="AF1403" s="90">
        <f t="shared" si="393"/>
        <v>2013</v>
      </c>
      <c r="AG1403" s="90">
        <f t="shared" si="394"/>
        <v>156</v>
      </c>
      <c r="AH1403" s="90" t="str">
        <f t="shared" si="395"/>
        <v>2018 (triag)</v>
      </c>
      <c r="AI1403" s="90">
        <f t="shared" si="396"/>
        <v>26</v>
      </c>
      <c r="AJ1403" s="90">
        <f t="shared" si="397"/>
        <v>2022</v>
      </c>
      <c r="AK1403" s="90" t="str">
        <f t="shared" si="398"/>
        <v>Adjust</v>
      </c>
      <c r="AL1403" s="91">
        <f>IF(AK1403="Adjust",(_xlfn.XLOOKUP(A1403,'Adj factor'!A:A,'Adj factor'!I:I,,0)*AI1403),'Master DataSheet'!AI1403)</f>
        <v>31.513054499366284</v>
      </c>
      <c r="AM1403" s="91">
        <f t="shared" si="399"/>
        <v>156</v>
      </c>
      <c r="AN1403" s="92" t="str">
        <f t="shared" si="400"/>
        <v>Decreasing</v>
      </c>
      <c r="AS1403" s="94">
        <f t="shared" si="401"/>
        <v>0.87174072781515588</v>
      </c>
      <c r="AT1403" s="94">
        <f t="shared" si="402"/>
        <v>0.81040876550588647</v>
      </c>
      <c r="AU1403" s="94">
        <f t="shared" si="403"/>
        <v>0.74089359841809754</v>
      </c>
    </row>
    <row r="1404" spans="1:47" x14ac:dyDescent="0.3">
      <c r="A1404" s="85" t="str">
        <f>_xlfn.XLOOKUP(B1404,'Country codes &amp; Data sources'!G:G,'Country codes &amp; Data sources'!H:H,,0)</f>
        <v>Guinea-Bissau</v>
      </c>
      <c r="B1404" s="85" t="s">
        <v>174</v>
      </c>
      <c r="C1404" s="85">
        <v>1652725.5</v>
      </c>
      <c r="D1404" s="85" t="s">
        <v>334</v>
      </c>
      <c r="E1404" s="86">
        <v>0</v>
      </c>
      <c r="F1404" s="86">
        <v>1697752.4999999995</v>
      </c>
      <c r="G1404" s="86">
        <v>5</v>
      </c>
      <c r="H1404" s="86"/>
      <c r="I1404" s="86">
        <v>0</v>
      </c>
      <c r="J1404" s="86"/>
      <c r="K1404" s="86">
        <v>0</v>
      </c>
      <c r="L1404" s="86"/>
      <c r="M1404" s="86">
        <v>0</v>
      </c>
      <c r="N1404" s="86"/>
      <c r="O1404" s="86">
        <v>0</v>
      </c>
      <c r="P1404" s="86">
        <v>1924954.4999999988</v>
      </c>
      <c r="Q1404" s="86">
        <v>0</v>
      </c>
      <c r="R1404" s="87">
        <f t="shared" si="388"/>
        <v>1</v>
      </c>
      <c r="T1404" s="87">
        <v>0</v>
      </c>
      <c r="U1404" s="89"/>
      <c r="V1404" s="89">
        <v>167</v>
      </c>
      <c r="W1404" s="90"/>
      <c r="X1404" s="90">
        <v>0</v>
      </c>
      <c r="Y1404" s="90">
        <v>2105565.4999999991</v>
      </c>
      <c r="Z1404" s="90">
        <v>171</v>
      </c>
      <c r="AA1404" s="90">
        <v>1</v>
      </c>
      <c r="AB1404" s="89">
        <f t="shared" si="389"/>
        <v>5</v>
      </c>
      <c r="AC1404" s="89">
        <f t="shared" si="390"/>
        <v>0</v>
      </c>
      <c r="AD1404" s="89">
        <f t="shared" si="391"/>
        <v>171</v>
      </c>
      <c r="AE1404" s="90">
        <f t="shared" si="392"/>
        <v>5</v>
      </c>
      <c r="AF1404" s="90">
        <f t="shared" si="393"/>
        <v>2013</v>
      </c>
      <c r="AG1404" s="90">
        <f t="shared" si="394"/>
        <v>1</v>
      </c>
      <c r="AH1404" s="90" t="str">
        <f t="shared" si="395"/>
        <v>2018 (triag)</v>
      </c>
      <c r="AI1404" s="90">
        <f t="shared" si="396"/>
        <v>171</v>
      </c>
      <c r="AJ1404" s="90">
        <f t="shared" si="397"/>
        <v>2022</v>
      </c>
      <c r="AK1404" s="90" t="str">
        <f t="shared" si="398"/>
        <v/>
      </c>
      <c r="AL1404" s="91">
        <f>IF(AK1404="Adjust",(_xlfn.XLOOKUP(A1404,'Adj factor'!A:A,'Adj factor'!I:I,,0)*AI1404),'Master DataSheet'!AI1404)</f>
        <v>171</v>
      </c>
      <c r="AM1404" s="91">
        <f t="shared" si="399"/>
        <v>171</v>
      </c>
      <c r="AN1404" s="92" t="str">
        <f t="shared" si="400"/>
        <v>Increasing</v>
      </c>
      <c r="AS1404" s="94">
        <f t="shared" si="401"/>
        <v>2.9450700264025537E-2</v>
      </c>
      <c r="AT1404" s="94">
        <f t="shared" si="402"/>
        <v>5.1949279840120925E-3</v>
      </c>
      <c r="AU1404" s="94">
        <f t="shared" si="403"/>
        <v>0.81213336749676068</v>
      </c>
    </row>
    <row r="1405" spans="1:47" x14ac:dyDescent="0.3">
      <c r="A1405" s="85" t="str">
        <f>_xlfn.XLOOKUP(B1405,'Country codes &amp; Data sources'!G:G,'Country codes &amp; Data sources'!H:H,,0)</f>
        <v>Guinea-Bissau</v>
      </c>
      <c r="B1405" s="85" t="s">
        <v>174</v>
      </c>
      <c r="C1405" s="85">
        <v>1652726.5</v>
      </c>
      <c r="D1405" s="85" t="s">
        <v>335</v>
      </c>
      <c r="E1405" s="86">
        <v>0</v>
      </c>
      <c r="F1405" s="86">
        <v>1697752.4999999995</v>
      </c>
      <c r="G1405" s="86">
        <v>0</v>
      </c>
      <c r="H1405" s="86"/>
      <c r="I1405" s="86">
        <v>0</v>
      </c>
      <c r="J1405" s="86"/>
      <c r="K1405" s="86">
        <v>0</v>
      </c>
      <c r="L1405" s="86"/>
      <c r="M1405" s="86">
        <v>5</v>
      </c>
      <c r="N1405" s="86"/>
      <c r="O1405" s="86">
        <v>0</v>
      </c>
      <c r="P1405" s="86">
        <v>1924954.4999999988</v>
      </c>
      <c r="Q1405" s="86">
        <v>11</v>
      </c>
      <c r="R1405" s="87">
        <f t="shared" si="388"/>
        <v>13</v>
      </c>
      <c r="T1405" s="87">
        <v>0</v>
      </c>
      <c r="U1405" s="89"/>
      <c r="V1405" s="89">
        <v>13</v>
      </c>
      <c r="W1405" s="90"/>
      <c r="X1405" s="90">
        <v>2</v>
      </c>
      <c r="Y1405" s="90">
        <v>2105565.4999999991</v>
      </c>
      <c r="Z1405" s="90">
        <v>2</v>
      </c>
      <c r="AA1405" s="90">
        <v>13</v>
      </c>
      <c r="AB1405" s="89">
        <f t="shared" si="389"/>
        <v>0</v>
      </c>
      <c r="AC1405" s="89">
        <f t="shared" si="390"/>
        <v>11</v>
      </c>
      <c r="AD1405" s="89">
        <f t="shared" si="391"/>
        <v>13</v>
      </c>
      <c r="AE1405" s="90">
        <f t="shared" si="392"/>
        <v>0</v>
      </c>
      <c r="AF1405" s="90" t="str">
        <f t="shared" si="393"/>
        <v/>
      </c>
      <c r="AG1405" s="90">
        <f t="shared" si="394"/>
        <v>13</v>
      </c>
      <c r="AH1405" s="90" t="str">
        <f t="shared" si="395"/>
        <v>2018 (triag)</v>
      </c>
      <c r="AI1405" s="90">
        <f t="shared" si="396"/>
        <v>2</v>
      </c>
      <c r="AJ1405" s="90">
        <f t="shared" si="397"/>
        <v>2021</v>
      </c>
      <c r="AK1405" s="90" t="str">
        <f t="shared" si="398"/>
        <v>Adjust</v>
      </c>
      <c r="AL1405" s="91">
        <f>IF(AK1405="Adjust",(_xlfn.XLOOKUP(A1405,'Adj factor'!A:A,'Adj factor'!I:I,,0)*AI1405),'Master DataSheet'!AI1405)</f>
        <v>2.4240811153358681</v>
      </c>
      <c r="AM1405" s="91">
        <f t="shared" si="399"/>
        <v>13</v>
      </c>
      <c r="AN1405" s="92" t="str">
        <f t="shared" si="400"/>
        <v>Decreasing</v>
      </c>
      <c r="AS1405" s="94">
        <f t="shared" si="401"/>
        <v>0</v>
      </c>
      <c r="AT1405" s="94">
        <f t="shared" si="402"/>
        <v>6.7534063792157206E-2</v>
      </c>
      <c r="AU1405" s="94">
        <f t="shared" si="403"/>
        <v>6.1741133201508126E-2</v>
      </c>
    </row>
    <row r="1406" spans="1:47" x14ac:dyDescent="0.3">
      <c r="A1406" s="85" t="str">
        <f>_xlfn.XLOOKUP(B1406,'Country codes &amp; Data sources'!G:G,'Country codes &amp; Data sources'!H:H,,0)</f>
        <v>Guinea-Bissau</v>
      </c>
      <c r="B1406" s="85" t="s">
        <v>174</v>
      </c>
      <c r="C1406" s="85">
        <v>1652727.5</v>
      </c>
      <c r="D1406" s="85" t="s">
        <v>336</v>
      </c>
      <c r="E1406" s="86">
        <v>0</v>
      </c>
      <c r="F1406" s="86">
        <v>1697752.4999999995</v>
      </c>
      <c r="G1406" s="86">
        <v>0</v>
      </c>
      <c r="H1406" s="86"/>
      <c r="I1406" s="86">
        <v>0</v>
      </c>
      <c r="J1406" s="86"/>
      <c r="K1406" s="86">
        <v>0</v>
      </c>
      <c r="L1406" s="86"/>
      <c r="M1406" s="86">
        <v>35</v>
      </c>
      <c r="N1406" s="86"/>
      <c r="O1406" s="86">
        <v>0</v>
      </c>
      <c r="P1406" s="86">
        <v>1924954.4999999988</v>
      </c>
      <c r="Q1406" s="86">
        <v>18</v>
      </c>
      <c r="R1406" s="87">
        <f t="shared" si="388"/>
        <v>69</v>
      </c>
      <c r="T1406" s="87">
        <v>0</v>
      </c>
      <c r="U1406" s="89"/>
      <c r="V1406" s="89">
        <v>73</v>
      </c>
      <c r="W1406" s="90"/>
      <c r="X1406" s="90">
        <v>76</v>
      </c>
      <c r="Y1406" s="90">
        <v>2105565.4999999991</v>
      </c>
      <c r="Z1406" s="90">
        <v>80</v>
      </c>
      <c r="AA1406" s="90">
        <v>69</v>
      </c>
      <c r="AB1406" s="89">
        <f t="shared" si="389"/>
        <v>0</v>
      </c>
      <c r="AC1406" s="89">
        <f t="shared" si="390"/>
        <v>35</v>
      </c>
      <c r="AD1406" s="89">
        <f t="shared" si="391"/>
        <v>80</v>
      </c>
      <c r="AE1406" s="90">
        <f t="shared" si="392"/>
        <v>0</v>
      </c>
      <c r="AF1406" s="90" t="str">
        <f t="shared" si="393"/>
        <v/>
      </c>
      <c r="AG1406" s="90">
        <f t="shared" si="394"/>
        <v>69</v>
      </c>
      <c r="AH1406" s="90" t="str">
        <f t="shared" si="395"/>
        <v>2018 (triag)</v>
      </c>
      <c r="AI1406" s="90">
        <f t="shared" si="396"/>
        <v>80</v>
      </c>
      <c r="AJ1406" s="90">
        <f t="shared" si="397"/>
        <v>2022</v>
      </c>
      <c r="AK1406" s="90" t="str">
        <f t="shared" si="398"/>
        <v/>
      </c>
      <c r="AL1406" s="91">
        <f>IF(AK1406="Adjust",(_xlfn.XLOOKUP(A1406,'Adj factor'!A:A,'Adj factor'!I:I,,0)*AI1406),'Master DataSheet'!AI1406)</f>
        <v>80</v>
      </c>
      <c r="AM1406" s="91">
        <f t="shared" si="399"/>
        <v>80</v>
      </c>
      <c r="AN1406" s="92" t="str">
        <f t="shared" si="400"/>
        <v>Increasing</v>
      </c>
      <c r="AS1406" s="94">
        <f t="shared" si="401"/>
        <v>0</v>
      </c>
      <c r="AT1406" s="94">
        <f t="shared" si="402"/>
        <v>0.35845003089683442</v>
      </c>
      <c r="AU1406" s="94">
        <f t="shared" si="403"/>
        <v>0.37994543508620388</v>
      </c>
    </row>
    <row r="1407" spans="1:47" x14ac:dyDescent="0.3">
      <c r="A1407" s="85" t="str">
        <f>_xlfn.XLOOKUP(B1407,'Country codes &amp; Data sources'!G:G,'Country codes &amp; Data sources'!H:H,,0)</f>
        <v>Guinea-Bissau</v>
      </c>
      <c r="B1407" s="85" t="s">
        <v>174</v>
      </c>
      <c r="C1407" s="85">
        <v>1652728.5</v>
      </c>
      <c r="D1407" s="85" t="s">
        <v>337</v>
      </c>
      <c r="E1407" s="86">
        <v>0</v>
      </c>
      <c r="F1407" s="86">
        <v>1697752.4999999995</v>
      </c>
      <c r="G1407" s="86">
        <v>0</v>
      </c>
      <c r="H1407" s="86"/>
      <c r="I1407" s="86">
        <v>0</v>
      </c>
      <c r="J1407" s="86"/>
      <c r="K1407" s="86">
        <v>0</v>
      </c>
      <c r="L1407" s="86"/>
      <c r="M1407" s="86">
        <v>7</v>
      </c>
      <c r="N1407" s="86"/>
      <c r="O1407" s="86">
        <v>0</v>
      </c>
      <c r="P1407" s="86">
        <v>1924954.4999999988</v>
      </c>
      <c r="Q1407" s="86">
        <v>0</v>
      </c>
      <c r="R1407" s="87">
        <f t="shared" si="388"/>
        <v>8</v>
      </c>
      <c r="T1407" s="87">
        <v>0</v>
      </c>
      <c r="U1407" s="89"/>
      <c r="V1407" s="89">
        <v>5</v>
      </c>
      <c r="W1407" s="90"/>
      <c r="X1407" s="90">
        <v>2</v>
      </c>
      <c r="Y1407" s="90">
        <v>2105565.4999999991</v>
      </c>
      <c r="Z1407" s="90">
        <v>20</v>
      </c>
      <c r="AA1407" s="90">
        <v>8</v>
      </c>
      <c r="AB1407" s="89">
        <f t="shared" si="389"/>
        <v>0</v>
      </c>
      <c r="AC1407" s="89">
        <f t="shared" si="390"/>
        <v>7</v>
      </c>
      <c r="AD1407" s="89">
        <f t="shared" si="391"/>
        <v>20</v>
      </c>
      <c r="AE1407" s="90">
        <f t="shared" si="392"/>
        <v>0</v>
      </c>
      <c r="AF1407" s="90" t="str">
        <f t="shared" si="393"/>
        <v/>
      </c>
      <c r="AG1407" s="90">
        <f t="shared" si="394"/>
        <v>8</v>
      </c>
      <c r="AH1407" s="90" t="str">
        <f t="shared" si="395"/>
        <v>2018 (triag)</v>
      </c>
      <c r="AI1407" s="90">
        <f t="shared" si="396"/>
        <v>20</v>
      </c>
      <c r="AJ1407" s="90">
        <f t="shared" si="397"/>
        <v>2022</v>
      </c>
      <c r="AK1407" s="90" t="str">
        <f t="shared" si="398"/>
        <v/>
      </c>
      <c r="AL1407" s="91">
        <f>IF(AK1407="Adjust",(_xlfn.XLOOKUP(A1407,'Adj factor'!A:A,'Adj factor'!I:I,,0)*AI1407),'Master DataSheet'!AI1407)</f>
        <v>20</v>
      </c>
      <c r="AM1407" s="91">
        <f t="shared" si="399"/>
        <v>20</v>
      </c>
      <c r="AN1407" s="92" t="str">
        <f t="shared" si="400"/>
        <v>Increasing</v>
      </c>
      <c r="AS1407" s="94">
        <f t="shared" si="401"/>
        <v>0</v>
      </c>
      <c r="AT1407" s="94">
        <f t="shared" si="402"/>
        <v>4.155942387209674E-2</v>
      </c>
      <c r="AU1407" s="94">
        <f t="shared" si="403"/>
        <v>9.4986358771550969E-2</v>
      </c>
    </row>
    <row r="1408" spans="1:47" x14ac:dyDescent="0.3">
      <c r="A1408" s="85" t="str">
        <f>_xlfn.XLOOKUP(B1408,'Country codes &amp; Data sources'!G:G,'Country codes &amp; Data sources'!H:H,,0)</f>
        <v>Guinea-Bissau</v>
      </c>
      <c r="B1408" s="85" t="s">
        <v>174</v>
      </c>
      <c r="C1408" s="85">
        <v>1652729.5</v>
      </c>
      <c r="D1408" s="85" t="s">
        <v>338</v>
      </c>
      <c r="E1408" s="86">
        <v>0</v>
      </c>
      <c r="F1408" s="86">
        <v>1697752.4999999995</v>
      </c>
      <c r="G1408" s="86">
        <v>0</v>
      </c>
      <c r="H1408" s="86"/>
      <c r="I1408" s="86">
        <v>0</v>
      </c>
      <c r="J1408" s="86"/>
      <c r="K1408" s="86">
        <v>0</v>
      </c>
      <c r="L1408" s="86"/>
      <c r="M1408" s="86">
        <v>8</v>
      </c>
      <c r="N1408" s="86"/>
      <c r="O1408" s="86">
        <v>0</v>
      </c>
      <c r="P1408" s="86">
        <v>1924954.4999999988</v>
      </c>
      <c r="Q1408" s="86">
        <v>8</v>
      </c>
      <c r="R1408" s="87">
        <f t="shared" si="388"/>
        <v>8</v>
      </c>
      <c r="T1408" s="87">
        <v>0</v>
      </c>
      <c r="U1408" s="89"/>
      <c r="V1408" s="89">
        <v>0</v>
      </c>
      <c r="W1408" s="90"/>
      <c r="X1408" s="90">
        <v>21</v>
      </c>
      <c r="Y1408" s="90">
        <v>2105565.4999999991</v>
      </c>
      <c r="Z1408" s="90">
        <v>2</v>
      </c>
      <c r="AA1408" s="90">
        <v>8</v>
      </c>
      <c r="AB1408" s="89">
        <f t="shared" si="389"/>
        <v>0</v>
      </c>
      <c r="AC1408" s="89">
        <f t="shared" si="390"/>
        <v>8</v>
      </c>
      <c r="AD1408" s="89">
        <f t="shared" si="391"/>
        <v>21</v>
      </c>
      <c r="AE1408" s="90">
        <f t="shared" si="392"/>
        <v>0</v>
      </c>
      <c r="AF1408" s="90" t="str">
        <f t="shared" si="393"/>
        <v/>
      </c>
      <c r="AG1408" s="90">
        <f t="shared" si="394"/>
        <v>8</v>
      </c>
      <c r="AH1408" s="90">
        <f t="shared" si="395"/>
        <v>2016</v>
      </c>
      <c r="AI1408" s="90">
        <f t="shared" si="396"/>
        <v>2</v>
      </c>
      <c r="AJ1408" s="90">
        <f t="shared" si="397"/>
        <v>2022</v>
      </c>
      <c r="AK1408" s="90" t="str">
        <f t="shared" si="398"/>
        <v>Adjust</v>
      </c>
      <c r="AL1408" s="91">
        <f>IF(AK1408="Adjust",(_xlfn.XLOOKUP(A1408,'Adj factor'!A:A,'Adj factor'!I:I,,0)*AI1408),'Master DataSheet'!AI1408)</f>
        <v>2.4240811153358681</v>
      </c>
      <c r="AM1408" s="91">
        <f t="shared" si="399"/>
        <v>8</v>
      </c>
      <c r="AN1408" s="92" t="str">
        <f t="shared" si="400"/>
        <v>Decreasing</v>
      </c>
      <c r="AS1408" s="94">
        <f t="shared" si="401"/>
        <v>0</v>
      </c>
      <c r="AT1408" s="94">
        <f t="shared" si="402"/>
        <v>4.155942387209674E-2</v>
      </c>
      <c r="AU1408" s="94">
        <f t="shared" si="403"/>
        <v>3.7994543508620388E-2</v>
      </c>
    </row>
    <row r="1409" spans="1:47" x14ac:dyDescent="0.3">
      <c r="A1409" s="85" t="str">
        <f>_xlfn.XLOOKUP(B1409,'Country codes &amp; Data sources'!G:G,'Country codes &amp; Data sources'!H:H,,0)</f>
        <v>Guinea-Bissau</v>
      </c>
      <c r="B1409" s="85" t="s">
        <v>174</v>
      </c>
      <c r="C1409" s="85">
        <v>1652730.5</v>
      </c>
      <c r="D1409" s="85" t="s">
        <v>339</v>
      </c>
      <c r="E1409" s="86">
        <v>0</v>
      </c>
      <c r="F1409" s="86">
        <v>1697752.4999999995</v>
      </c>
      <c r="G1409" s="86">
        <v>0</v>
      </c>
      <c r="H1409" s="86"/>
      <c r="I1409" s="86">
        <v>0</v>
      </c>
      <c r="J1409" s="86"/>
      <c r="K1409" s="86">
        <v>0</v>
      </c>
      <c r="L1409" s="86"/>
      <c r="M1409" s="86">
        <v>0</v>
      </c>
      <c r="N1409" s="86"/>
      <c r="O1409" s="86">
        <v>0</v>
      </c>
      <c r="P1409" s="86">
        <v>1924954.4999999988</v>
      </c>
      <c r="Q1409" s="86">
        <v>2</v>
      </c>
      <c r="R1409" s="87">
        <f t="shared" si="388"/>
        <v>2</v>
      </c>
      <c r="T1409" s="87">
        <v>0</v>
      </c>
      <c r="U1409" s="89"/>
      <c r="V1409" s="89">
        <v>11</v>
      </c>
      <c r="W1409" s="90"/>
      <c r="X1409" s="90">
        <v>12</v>
      </c>
      <c r="Y1409" s="90">
        <v>2105565.4999999991</v>
      </c>
      <c r="Z1409" s="90">
        <v>11</v>
      </c>
      <c r="AA1409" s="90">
        <v>0</v>
      </c>
      <c r="AB1409" s="89">
        <f t="shared" si="389"/>
        <v>0</v>
      </c>
      <c r="AC1409" s="89">
        <f t="shared" si="390"/>
        <v>2</v>
      </c>
      <c r="AD1409" s="89">
        <f t="shared" si="391"/>
        <v>12</v>
      </c>
      <c r="AE1409" s="90">
        <f t="shared" si="392"/>
        <v>0</v>
      </c>
      <c r="AF1409" s="90" t="str">
        <f t="shared" si="393"/>
        <v/>
      </c>
      <c r="AG1409" s="90">
        <f t="shared" si="394"/>
        <v>2</v>
      </c>
      <c r="AH1409" s="90">
        <f t="shared" si="395"/>
        <v>2018</v>
      </c>
      <c r="AI1409" s="90">
        <f t="shared" si="396"/>
        <v>11</v>
      </c>
      <c r="AJ1409" s="90">
        <f t="shared" si="397"/>
        <v>2020</v>
      </c>
      <c r="AK1409" s="90" t="str">
        <f t="shared" si="398"/>
        <v/>
      </c>
      <c r="AL1409" s="91">
        <f>IF(AK1409="Adjust",(_xlfn.XLOOKUP(A1409,'Adj factor'!A:A,'Adj factor'!I:I,,0)*AI1409),'Master DataSheet'!AI1409)</f>
        <v>11</v>
      </c>
      <c r="AM1409" s="91">
        <f t="shared" si="399"/>
        <v>11</v>
      </c>
      <c r="AN1409" s="92" t="str">
        <f t="shared" si="400"/>
        <v>Increasing</v>
      </c>
      <c r="AS1409" s="94">
        <f t="shared" si="401"/>
        <v>0</v>
      </c>
      <c r="AT1409" s="94">
        <f t="shared" si="402"/>
        <v>1.0389855968024185E-2</v>
      </c>
      <c r="AU1409" s="94">
        <f t="shared" si="403"/>
        <v>5.2242497324353029E-2</v>
      </c>
    </row>
    <row r="1410" spans="1:47" x14ac:dyDescent="0.3">
      <c r="A1410" s="85" t="str">
        <f>_xlfn.XLOOKUP(B1410,'Country codes &amp; Data sources'!G:G,'Country codes &amp; Data sources'!H:H,,0)</f>
        <v>Equatorial Guinea</v>
      </c>
      <c r="B1410" s="85" t="s">
        <v>170</v>
      </c>
      <c r="C1410" s="85">
        <v>1193635.4999999998</v>
      </c>
      <c r="D1410" s="85" t="s">
        <v>326</v>
      </c>
      <c r="E1410" s="86">
        <v>0</v>
      </c>
      <c r="F1410" s="86">
        <v>1243941.0000000002</v>
      </c>
      <c r="G1410" s="86">
        <v>0</v>
      </c>
      <c r="H1410" s="86">
        <v>1295183.0000000005</v>
      </c>
      <c r="I1410" s="86">
        <v>0</v>
      </c>
      <c r="J1410" s="86">
        <v>1346973.0000000005</v>
      </c>
      <c r="K1410" s="86">
        <v>0</v>
      </c>
      <c r="L1410" s="86">
        <v>1398926.5</v>
      </c>
      <c r="M1410" s="86">
        <v>0</v>
      </c>
      <c r="N1410" s="86">
        <v>1450694.0000000005</v>
      </c>
      <c r="O1410" s="86">
        <v>507</v>
      </c>
      <c r="P1410" s="86">
        <v>1502091.5000000002</v>
      </c>
      <c r="Q1410" s="86">
        <v>0</v>
      </c>
      <c r="R1410" s="87">
        <f t="shared" si="388"/>
        <v>246</v>
      </c>
      <c r="S1410" s="87">
        <v>1553030.5000000002</v>
      </c>
      <c r="T1410" s="87">
        <v>0</v>
      </c>
      <c r="U1410" s="89">
        <v>1596048.5000000009</v>
      </c>
      <c r="V1410" s="89">
        <v>0</v>
      </c>
      <c r="W1410" s="90">
        <v>1634465.5000000002</v>
      </c>
      <c r="X1410" s="90">
        <v>0</v>
      </c>
      <c r="Y1410" s="90">
        <v>1674908</v>
      </c>
      <c r="Z1410" s="90">
        <v>239</v>
      </c>
      <c r="AA1410" s="90">
        <v>246</v>
      </c>
      <c r="AB1410" s="89">
        <f t="shared" si="389"/>
        <v>0</v>
      </c>
      <c r="AC1410" s="89">
        <f t="shared" si="390"/>
        <v>507</v>
      </c>
      <c r="AD1410" s="89">
        <f t="shared" si="391"/>
        <v>239</v>
      </c>
      <c r="AE1410" s="90">
        <f t="shared" si="392"/>
        <v>0</v>
      </c>
      <c r="AF1410" s="90" t="str">
        <f t="shared" si="393"/>
        <v/>
      </c>
      <c r="AG1410" s="90">
        <f t="shared" si="394"/>
        <v>246</v>
      </c>
      <c r="AH1410" s="90" t="str">
        <f t="shared" si="395"/>
        <v>2018 (triag)</v>
      </c>
      <c r="AI1410" s="90">
        <f t="shared" si="396"/>
        <v>239</v>
      </c>
      <c r="AJ1410" s="90">
        <f t="shared" si="397"/>
        <v>2022</v>
      </c>
      <c r="AK1410" s="90" t="str">
        <f t="shared" si="398"/>
        <v>Adjust</v>
      </c>
      <c r="AL1410" s="91">
        <f>IF(AK1410="Adjust",(_xlfn.XLOOKUP(A1410,'Adj factor'!A:A,'Adj factor'!I:I,,0)*AI1410),'Master DataSheet'!AI1410)</f>
        <v>274.68237599257924</v>
      </c>
      <c r="AM1410" s="91">
        <f t="shared" si="399"/>
        <v>274.68237599257924</v>
      </c>
      <c r="AN1410" s="92" t="str">
        <f t="shared" si="400"/>
        <v>Increasing</v>
      </c>
      <c r="AS1410" s="94">
        <f t="shared" si="401"/>
        <v>0</v>
      </c>
      <c r="AT1410" s="94">
        <f t="shared" si="402"/>
        <v>1.637716477325116</v>
      </c>
      <c r="AU1410" s="94">
        <f t="shared" si="403"/>
        <v>1.6399848588255548</v>
      </c>
    </row>
    <row r="1411" spans="1:47" x14ac:dyDescent="0.3">
      <c r="A1411" s="85" t="str">
        <f>_xlfn.XLOOKUP(B1411,'Country codes &amp; Data sources'!G:G,'Country codes &amp; Data sources'!H:H,,0)</f>
        <v>Equatorial Guinea</v>
      </c>
      <c r="B1411" s="85" t="s">
        <v>170</v>
      </c>
      <c r="C1411" s="85">
        <v>1193636.5</v>
      </c>
      <c r="D1411" s="85" t="s">
        <v>327</v>
      </c>
      <c r="E1411" s="86">
        <v>0</v>
      </c>
      <c r="F1411" s="86">
        <v>1243941.0000000002</v>
      </c>
      <c r="G1411" s="86">
        <v>0</v>
      </c>
      <c r="H1411" s="86"/>
      <c r="I1411" s="86">
        <v>0</v>
      </c>
      <c r="J1411" s="86"/>
      <c r="K1411" s="86">
        <v>0</v>
      </c>
      <c r="L1411" s="86"/>
      <c r="M1411" s="86">
        <v>0</v>
      </c>
      <c r="N1411" s="86"/>
      <c r="O1411" s="86">
        <v>0</v>
      </c>
      <c r="P1411" s="86">
        <v>1502091.5000000002</v>
      </c>
      <c r="Q1411" s="86">
        <v>0</v>
      </c>
      <c r="R1411" s="87">
        <f t="shared" si="388"/>
        <v>246</v>
      </c>
      <c r="T1411" s="87">
        <v>0</v>
      </c>
      <c r="U1411" s="89"/>
      <c r="V1411" s="89">
        <v>0</v>
      </c>
      <c r="W1411" s="90"/>
      <c r="X1411" s="90">
        <v>0</v>
      </c>
      <c r="Y1411" s="90">
        <v>1674908</v>
      </c>
      <c r="Z1411" s="90">
        <v>182</v>
      </c>
      <c r="AA1411" s="90">
        <v>246</v>
      </c>
      <c r="AB1411" s="89">
        <f t="shared" si="389"/>
        <v>0</v>
      </c>
      <c r="AC1411" s="89">
        <f t="shared" si="390"/>
        <v>0</v>
      </c>
      <c r="AD1411" s="89">
        <f t="shared" si="391"/>
        <v>182</v>
      </c>
      <c r="AE1411" s="90">
        <f t="shared" si="392"/>
        <v>0</v>
      </c>
      <c r="AF1411" s="90" t="str">
        <f t="shared" si="393"/>
        <v/>
      </c>
      <c r="AG1411" s="90">
        <f t="shared" si="394"/>
        <v>246</v>
      </c>
      <c r="AH1411" s="90" t="str">
        <f t="shared" si="395"/>
        <v>2018 (triag)</v>
      </c>
      <c r="AI1411" s="90">
        <f t="shared" si="396"/>
        <v>182</v>
      </c>
      <c r="AJ1411" s="90">
        <f t="shared" si="397"/>
        <v>2022</v>
      </c>
      <c r="AK1411" s="90" t="str">
        <f t="shared" si="398"/>
        <v>Adjust</v>
      </c>
      <c r="AL1411" s="91">
        <f>IF(AK1411="Adjust",(_xlfn.XLOOKUP(A1411,'Adj factor'!A:A,'Adj factor'!I:I,,0)*AI1411),'Master DataSheet'!AI1411)</f>
        <v>209.17235326631555</v>
      </c>
      <c r="AM1411" s="91">
        <f t="shared" si="399"/>
        <v>246</v>
      </c>
      <c r="AN1411" s="92" t="str">
        <f t="shared" si="400"/>
        <v>Decreasing</v>
      </c>
      <c r="AS1411" s="94">
        <f t="shared" si="401"/>
        <v>0</v>
      </c>
      <c r="AT1411" s="94">
        <f t="shared" si="402"/>
        <v>1.637716477325116</v>
      </c>
      <c r="AU1411" s="94">
        <f t="shared" si="403"/>
        <v>1.4687373873669478</v>
      </c>
    </row>
    <row r="1412" spans="1:47" x14ac:dyDescent="0.3">
      <c r="A1412" s="85" t="str">
        <f>_xlfn.XLOOKUP(B1412,'Country codes &amp; Data sources'!G:G,'Country codes &amp; Data sources'!H:H,,0)</f>
        <v>Equatorial Guinea</v>
      </c>
      <c r="B1412" s="85" t="s">
        <v>170</v>
      </c>
      <c r="C1412" s="85">
        <v>1193637.5</v>
      </c>
      <c r="D1412" s="85" t="s">
        <v>328</v>
      </c>
      <c r="E1412" s="86">
        <v>0</v>
      </c>
      <c r="F1412" s="86">
        <v>1243941.0000000002</v>
      </c>
      <c r="G1412" s="86">
        <v>0</v>
      </c>
      <c r="H1412" s="86"/>
      <c r="I1412" s="86">
        <v>0</v>
      </c>
      <c r="J1412" s="86"/>
      <c r="K1412" s="86">
        <v>0</v>
      </c>
      <c r="L1412" s="86"/>
      <c r="M1412" s="86">
        <v>0</v>
      </c>
      <c r="N1412" s="86"/>
      <c r="O1412" s="86">
        <v>0</v>
      </c>
      <c r="P1412" s="86">
        <v>1502091.5000000002</v>
      </c>
      <c r="Q1412" s="86">
        <v>0</v>
      </c>
      <c r="R1412" s="87">
        <f t="shared" si="388"/>
        <v>0</v>
      </c>
      <c r="T1412" s="87">
        <v>0</v>
      </c>
      <c r="U1412" s="89"/>
      <c r="V1412" s="89">
        <v>0</v>
      </c>
      <c r="W1412" s="90"/>
      <c r="X1412" s="90">
        <v>0</v>
      </c>
      <c r="Y1412" s="90">
        <v>1674908</v>
      </c>
      <c r="Z1412" s="90">
        <v>57</v>
      </c>
      <c r="AA1412" s="90">
        <v>0</v>
      </c>
      <c r="AB1412" s="89">
        <f t="shared" si="389"/>
        <v>0</v>
      </c>
      <c r="AC1412" s="89">
        <f t="shared" si="390"/>
        <v>0</v>
      </c>
      <c r="AD1412" s="89">
        <f t="shared" si="391"/>
        <v>57</v>
      </c>
      <c r="AE1412" s="90">
        <f t="shared" si="392"/>
        <v>0</v>
      </c>
      <c r="AF1412" s="90" t="str">
        <f t="shared" si="393"/>
        <v/>
      </c>
      <c r="AG1412" s="90">
        <f t="shared" si="394"/>
        <v>0</v>
      </c>
      <c r="AH1412" s="90" t="str">
        <f t="shared" si="395"/>
        <v/>
      </c>
      <c r="AI1412" s="90">
        <f t="shared" si="396"/>
        <v>57</v>
      </c>
      <c r="AJ1412" s="90">
        <f t="shared" si="397"/>
        <v>2022</v>
      </c>
      <c r="AK1412" s="90" t="str">
        <f t="shared" si="398"/>
        <v/>
      </c>
      <c r="AL1412" s="91">
        <f>IF(AK1412="Adjust",(_xlfn.XLOOKUP(A1412,'Adj factor'!A:A,'Adj factor'!I:I,,0)*AI1412),'Master DataSheet'!AI1412)</f>
        <v>57</v>
      </c>
      <c r="AM1412" s="91">
        <f t="shared" si="399"/>
        <v>57</v>
      </c>
      <c r="AN1412" s="92" t="str">
        <f t="shared" si="400"/>
        <v>Increasing</v>
      </c>
      <c r="AS1412" s="94">
        <f t="shared" si="401"/>
        <v>0</v>
      </c>
      <c r="AT1412" s="94">
        <f t="shared" si="402"/>
        <v>0</v>
      </c>
      <c r="AU1412" s="94">
        <f t="shared" si="403"/>
        <v>0.3403171995118538</v>
      </c>
    </row>
    <row r="1413" spans="1:47" x14ac:dyDescent="0.3">
      <c r="A1413" s="85" t="str">
        <f>_xlfn.XLOOKUP(B1413,'Country codes &amp; Data sources'!G:G,'Country codes &amp; Data sources'!H:H,,0)</f>
        <v>Equatorial Guinea</v>
      </c>
      <c r="B1413" s="85" t="s">
        <v>170</v>
      </c>
      <c r="C1413" s="85">
        <v>1193638.5</v>
      </c>
      <c r="D1413" s="85" t="s">
        <v>329</v>
      </c>
      <c r="E1413" s="86">
        <v>0</v>
      </c>
      <c r="F1413" s="86">
        <v>1243941.0000000002</v>
      </c>
      <c r="G1413" s="86">
        <v>0</v>
      </c>
      <c r="H1413" s="86"/>
      <c r="I1413" s="86">
        <v>0</v>
      </c>
      <c r="J1413" s="86"/>
      <c r="K1413" s="86">
        <v>0</v>
      </c>
      <c r="L1413" s="86"/>
      <c r="M1413" s="86">
        <v>0</v>
      </c>
      <c r="N1413" s="86"/>
      <c r="O1413" s="86">
        <v>634</v>
      </c>
      <c r="P1413" s="86">
        <v>1502091.5000000002</v>
      </c>
      <c r="Q1413" s="86">
        <v>0</v>
      </c>
      <c r="R1413" s="87">
        <f t="shared" si="388"/>
        <v>355</v>
      </c>
      <c r="T1413" s="87">
        <v>0</v>
      </c>
      <c r="U1413" s="89"/>
      <c r="V1413" s="89">
        <v>0</v>
      </c>
      <c r="W1413" s="90"/>
      <c r="X1413" s="90">
        <v>0</v>
      </c>
      <c r="Y1413" s="90">
        <v>1674908</v>
      </c>
      <c r="Z1413" s="90">
        <v>1375</v>
      </c>
      <c r="AA1413" s="90">
        <v>355</v>
      </c>
      <c r="AB1413" s="89">
        <f t="shared" si="389"/>
        <v>0</v>
      </c>
      <c r="AC1413" s="89">
        <f t="shared" si="390"/>
        <v>634</v>
      </c>
      <c r="AD1413" s="89">
        <f t="shared" si="391"/>
        <v>1375</v>
      </c>
      <c r="AE1413" s="90">
        <f t="shared" si="392"/>
        <v>0</v>
      </c>
      <c r="AF1413" s="90" t="str">
        <f t="shared" si="393"/>
        <v/>
      </c>
      <c r="AG1413" s="90">
        <f t="shared" si="394"/>
        <v>355</v>
      </c>
      <c r="AH1413" s="90" t="str">
        <f t="shared" si="395"/>
        <v>2018 (triag)</v>
      </c>
      <c r="AI1413" s="90">
        <f t="shared" si="396"/>
        <v>1375</v>
      </c>
      <c r="AJ1413" s="90">
        <f t="shared" si="397"/>
        <v>2022</v>
      </c>
      <c r="AK1413" s="90" t="str">
        <f t="shared" si="398"/>
        <v/>
      </c>
      <c r="AL1413" s="91">
        <f>IF(AK1413="Adjust",(_xlfn.XLOOKUP(A1413,'Adj factor'!A:A,'Adj factor'!I:I,,0)*AI1413),'Master DataSheet'!AI1413)</f>
        <v>1375</v>
      </c>
      <c r="AM1413" s="91">
        <f t="shared" si="399"/>
        <v>1375</v>
      </c>
      <c r="AN1413" s="92" t="str">
        <f t="shared" si="400"/>
        <v>Increasing</v>
      </c>
      <c r="AS1413" s="94">
        <f t="shared" si="401"/>
        <v>0</v>
      </c>
      <c r="AT1413" s="94">
        <f t="shared" si="402"/>
        <v>2.3633713392293343</v>
      </c>
      <c r="AU1413" s="94">
        <f t="shared" si="403"/>
        <v>8.2094061285754201</v>
      </c>
    </row>
    <row r="1414" spans="1:47" x14ac:dyDescent="0.3">
      <c r="A1414" s="85" t="str">
        <f>_xlfn.XLOOKUP(B1414,'Country codes &amp; Data sources'!G:G,'Country codes &amp; Data sources'!H:H,,0)</f>
        <v>Equatorial Guinea</v>
      </c>
      <c r="B1414" s="85" t="s">
        <v>170</v>
      </c>
      <c r="C1414" s="85">
        <v>1193639.5</v>
      </c>
      <c r="D1414" s="85" t="s">
        <v>330</v>
      </c>
      <c r="E1414" s="86">
        <v>0</v>
      </c>
      <c r="F1414" s="86">
        <v>1243941.0000000002</v>
      </c>
      <c r="G1414" s="86">
        <v>0</v>
      </c>
      <c r="H1414" s="86"/>
      <c r="I1414" s="86">
        <v>0</v>
      </c>
      <c r="J1414" s="86"/>
      <c r="K1414" s="86">
        <v>0</v>
      </c>
      <c r="L1414" s="86"/>
      <c r="M1414" s="86">
        <v>0</v>
      </c>
      <c r="N1414" s="86"/>
      <c r="O1414" s="86">
        <v>0</v>
      </c>
      <c r="P1414" s="86">
        <v>1502091.5000000002</v>
      </c>
      <c r="Q1414" s="86">
        <v>0</v>
      </c>
      <c r="R1414" s="87">
        <f t="shared" si="388"/>
        <v>72</v>
      </c>
      <c r="T1414" s="87">
        <v>0</v>
      </c>
      <c r="U1414" s="89"/>
      <c r="V1414" s="89">
        <v>0</v>
      </c>
      <c r="W1414" s="90"/>
      <c r="X1414" s="90">
        <v>0</v>
      </c>
      <c r="Y1414" s="90">
        <v>1674908</v>
      </c>
      <c r="Z1414" s="90">
        <v>297</v>
      </c>
      <c r="AA1414" s="90">
        <v>72</v>
      </c>
      <c r="AB1414" s="89">
        <f t="shared" si="389"/>
        <v>0</v>
      </c>
      <c r="AC1414" s="89">
        <f t="shared" si="390"/>
        <v>0</v>
      </c>
      <c r="AD1414" s="89">
        <f t="shared" si="391"/>
        <v>297</v>
      </c>
      <c r="AE1414" s="90">
        <f t="shared" si="392"/>
        <v>0</v>
      </c>
      <c r="AF1414" s="90" t="str">
        <f t="shared" si="393"/>
        <v/>
      </c>
      <c r="AG1414" s="90">
        <f t="shared" si="394"/>
        <v>72</v>
      </c>
      <c r="AH1414" s="90" t="str">
        <f t="shared" si="395"/>
        <v>2018 (triag)</v>
      </c>
      <c r="AI1414" s="90">
        <f t="shared" si="396"/>
        <v>297</v>
      </c>
      <c r="AJ1414" s="90">
        <f t="shared" si="397"/>
        <v>2022</v>
      </c>
      <c r="AK1414" s="90" t="str">
        <f t="shared" si="398"/>
        <v/>
      </c>
      <c r="AL1414" s="91">
        <f>IF(AK1414="Adjust",(_xlfn.XLOOKUP(A1414,'Adj factor'!A:A,'Adj factor'!I:I,,0)*AI1414),'Master DataSheet'!AI1414)</f>
        <v>297</v>
      </c>
      <c r="AM1414" s="91">
        <f t="shared" si="399"/>
        <v>297</v>
      </c>
      <c r="AN1414" s="92" t="str">
        <f t="shared" si="400"/>
        <v>Increasing</v>
      </c>
      <c r="AS1414" s="94">
        <f t="shared" si="401"/>
        <v>0</v>
      </c>
      <c r="AT1414" s="94">
        <f t="shared" si="402"/>
        <v>0.47933165190003396</v>
      </c>
      <c r="AU1414" s="94">
        <f t="shared" si="403"/>
        <v>1.7732317237722908</v>
      </c>
    </row>
    <row r="1415" spans="1:47" x14ac:dyDescent="0.3">
      <c r="A1415" s="85" t="str">
        <f>_xlfn.XLOOKUP(B1415,'Country codes &amp; Data sources'!G:G,'Country codes &amp; Data sources'!H:H,,0)</f>
        <v>Equatorial Guinea</v>
      </c>
      <c r="B1415" s="85" t="s">
        <v>170</v>
      </c>
      <c r="C1415" s="85">
        <v>1193640.5</v>
      </c>
      <c r="D1415" s="85" t="s">
        <v>331</v>
      </c>
      <c r="E1415" s="86">
        <v>0</v>
      </c>
      <c r="F1415" s="86">
        <v>1243941.0000000002</v>
      </c>
      <c r="G1415" s="86">
        <v>0</v>
      </c>
      <c r="H1415" s="86"/>
      <c r="I1415" s="86">
        <v>0</v>
      </c>
      <c r="J1415" s="86"/>
      <c r="K1415" s="86">
        <v>0</v>
      </c>
      <c r="L1415" s="86"/>
      <c r="M1415" s="86">
        <v>0</v>
      </c>
      <c r="N1415" s="86"/>
      <c r="O1415" s="86">
        <v>0</v>
      </c>
      <c r="P1415" s="86">
        <v>1502091.5000000002</v>
      </c>
      <c r="Q1415" s="86">
        <v>0</v>
      </c>
      <c r="R1415" s="87">
        <f t="shared" si="388"/>
        <v>283</v>
      </c>
      <c r="T1415" s="87">
        <v>0</v>
      </c>
      <c r="U1415" s="89"/>
      <c r="V1415" s="89">
        <v>0</v>
      </c>
      <c r="W1415" s="90"/>
      <c r="X1415" s="90">
        <v>0</v>
      </c>
      <c r="Y1415" s="90">
        <v>1674908</v>
      </c>
      <c r="Z1415" s="90">
        <v>0</v>
      </c>
      <c r="AA1415" s="90">
        <v>283</v>
      </c>
      <c r="AB1415" s="89">
        <f t="shared" si="389"/>
        <v>0</v>
      </c>
      <c r="AC1415" s="89">
        <f t="shared" si="390"/>
        <v>0</v>
      </c>
      <c r="AD1415" s="89">
        <f t="shared" si="391"/>
        <v>0</v>
      </c>
      <c r="AE1415" s="90">
        <f t="shared" si="392"/>
        <v>0</v>
      </c>
      <c r="AF1415" s="90" t="str">
        <f t="shared" si="393"/>
        <v/>
      </c>
      <c r="AG1415" s="90">
        <f t="shared" si="394"/>
        <v>283</v>
      </c>
      <c r="AH1415" s="90" t="str">
        <f t="shared" si="395"/>
        <v>2018 (triag)</v>
      </c>
      <c r="AI1415" s="90">
        <f t="shared" si="396"/>
        <v>283</v>
      </c>
      <c r="AJ1415" s="90" t="str">
        <f t="shared" si="397"/>
        <v>2018 (triag)</v>
      </c>
      <c r="AK1415" s="90" t="str">
        <f t="shared" si="398"/>
        <v/>
      </c>
      <c r="AL1415" s="91">
        <f>IF(AK1415="Adjust",(_xlfn.XLOOKUP(A1415,'Adj factor'!A:A,'Adj factor'!I:I,,0)*AI1415),'Master DataSheet'!AI1415)</f>
        <v>283</v>
      </c>
      <c r="AM1415" s="91">
        <f t="shared" si="399"/>
        <v>283</v>
      </c>
      <c r="AN1415" s="92" t="str">
        <f t="shared" si="400"/>
        <v>No change</v>
      </c>
      <c r="AS1415" s="94">
        <f t="shared" si="401"/>
        <v>0</v>
      </c>
      <c r="AT1415" s="94">
        <f t="shared" si="402"/>
        <v>1.8840396873293002</v>
      </c>
      <c r="AU1415" s="94">
        <f t="shared" si="403"/>
        <v>1.689645043190432</v>
      </c>
    </row>
    <row r="1416" spans="1:47" x14ac:dyDescent="0.3">
      <c r="A1416" s="85" t="str">
        <f>_xlfn.XLOOKUP(B1416,'Country codes &amp; Data sources'!G:G,'Country codes &amp; Data sources'!H:H,,0)</f>
        <v>Equatorial Guinea</v>
      </c>
      <c r="B1416" s="85" t="s">
        <v>170</v>
      </c>
      <c r="C1416" s="85">
        <v>1193641.5</v>
      </c>
      <c r="D1416" s="85" t="s">
        <v>332</v>
      </c>
      <c r="E1416" s="86">
        <v>0</v>
      </c>
      <c r="F1416" s="86">
        <v>1243941.0000000002</v>
      </c>
      <c r="G1416" s="86">
        <v>0</v>
      </c>
      <c r="H1416" s="86"/>
      <c r="I1416" s="86">
        <v>0</v>
      </c>
      <c r="J1416" s="86"/>
      <c r="K1416" s="86">
        <v>0</v>
      </c>
      <c r="L1416" s="86"/>
      <c r="M1416" s="86">
        <v>0</v>
      </c>
      <c r="N1416" s="86"/>
      <c r="O1416" s="86">
        <v>0</v>
      </c>
      <c r="P1416" s="86">
        <v>1502091.5000000002</v>
      </c>
      <c r="Q1416" s="86">
        <v>0</v>
      </c>
      <c r="R1416" s="87">
        <f t="shared" si="388"/>
        <v>51</v>
      </c>
      <c r="T1416" s="87">
        <v>0</v>
      </c>
      <c r="U1416" s="89"/>
      <c r="V1416" s="89">
        <v>0</v>
      </c>
      <c r="W1416" s="90"/>
      <c r="X1416" s="90">
        <v>0</v>
      </c>
      <c r="Y1416" s="90">
        <v>1674908</v>
      </c>
      <c r="Z1416" s="90">
        <v>23</v>
      </c>
      <c r="AA1416" s="90">
        <v>51</v>
      </c>
      <c r="AB1416" s="89">
        <f t="shared" si="389"/>
        <v>0</v>
      </c>
      <c r="AC1416" s="89">
        <f t="shared" si="390"/>
        <v>0</v>
      </c>
      <c r="AD1416" s="89">
        <f t="shared" si="391"/>
        <v>23</v>
      </c>
      <c r="AE1416" s="90">
        <f t="shared" si="392"/>
        <v>0</v>
      </c>
      <c r="AF1416" s="90" t="str">
        <f t="shared" si="393"/>
        <v/>
      </c>
      <c r="AG1416" s="90">
        <f t="shared" si="394"/>
        <v>51</v>
      </c>
      <c r="AH1416" s="90" t="str">
        <f t="shared" si="395"/>
        <v>2018 (triag)</v>
      </c>
      <c r="AI1416" s="90">
        <f t="shared" si="396"/>
        <v>23</v>
      </c>
      <c r="AJ1416" s="90">
        <f t="shared" si="397"/>
        <v>2022</v>
      </c>
      <c r="AK1416" s="90" t="str">
        <f t="shared" si="398"/>
        <v>Adjust</v>
      </c>
      <c r="AL1416" s="91">
        <f>IF(AK1416="Adjust",(_xlfn.XLOOKUP(A1416,'Adj factor'!A:A,'Adj factor'!I:I,,0)*AI1416),'Master DataSheet'!AI1416)</f>
        <v>26.43386881936955</v>
      </c>
      <c r="AM1416" s="91">
        <f t="shared" si="399"/>
        <v>51</v>
      </c>
      <c r="AN1416" s="92" t="str">
        <f t="shared" si="400"/>
        <v>Decreasing</v>
      </c>
      <c r="AS1416" s="94">
        <f t="shared" si="401"/>
        <v>0</v>
      </c>
      <c r="AT1416" s="94">
        <f t="shared" si="402"/>
        <v>0.33952658676252406</v>
      </c>
      <c r="AU1416" s="94">
        <f t="shared" si="403"/>
        <v>0.30449433640534285</v>
      </c>
    </row>
    <row r="1417" spans="1:47" x14ac:dyDescent="0.3">
      <c r="A1417" s="85" t="str">
        <f>_xlfn.XLOOKUP(B1417,'Country codes &amp; Data sources'!G:G,'Country codes &amp; Data sources'!H:H,,0)</f>
        <v>Equatorial Guinea</v>
      </c>
      <c r="B1417" s="85" t="s">
        <v>170</v>
      </c>
      <c r="C1417" s="85">
        <v>1193642.5</v>
      </c>
      <c r="D1417" s="85" t="s">
        <v>333</v>
      </c>
      <c r="E1417" s="86">
        <v>0</v>
      </c>
      <c r="F1417" s="86">
        <v>1243941.0000000002</v>
      </c>
      <c r="G1417" s="86">
        <v>0</v>
      </c>
      <c r="H1417" s="86"/>
      <c r="I1417" s="86">
        <v>0</v>
      </c>
      <c r="J1417" s="86"/>
      <c r="K1417" s="86">
        <v>0</v>
      </c>
      <c r="L1417" s="86"/>
      <c r="M1417" s="86">
        <v>0</v>
      </c>
      <c r="N1417" s="86"/>
      <c r="O1417" s="86">
        <v>0</v>
      </c>
      <c r="P1417" s="86">
        <v>1502091.5000000002</v>
      </c>
      <c r="Q1417" s="86">
        <v>0</v>
      </c>
      <c r="R1417" s="87">
        <f t="shared" si="388"/>
        <v>51</v>
      </c>
      <c r="T1417" s="87">
        <v>0</v>
      </c>
      <c r="U1417" s="89"/>
      <c r="V1417" s="89">
        <v>0</v>
      </c>
      <c r="W1417" s="90"/>
      <c r="X1417" s="90">
        <v>0</v>
      </c>
      <c r="Y1417" s="90">
        <v>1674908</v>
      </c>
      <c r="Z1417" s="90">
        <v>23</v>
      </c>
      <c r="AA1417" s="90">
        <v>51</v>
      </c>
      <c r="AB1417" s="89">
        <f t="shared" si="389"/>
        <v>0</v>
      </c>
      <c r="AC1417" s="89">
        <f t="shared" si="390"/>
        <v>0</v>
      </c>
      <c r="AD1417" s="89">
        <f t="shared" si="391"/>
        <v>23</v>
      </c>
      <c r="AE1417" s="90">
        <f t="shared" si="392"/>
        <v>0</v>
      </c>
      <c r="AF1417" s="90" t="str">
        <f t="shared" si="393"/>
        <v/>
      </c>
      <c r="AG1417" s="90">
        <f t="shared" si="394"/>
        <v>51</v>
      </c>
      <c r="AH1417" s="90" t="str">
        <f t="shared" si="395"/>
        <v>2018 (triag)</v>
      </c>
      <c r="AI1417" s="90">
        <f t="shared" si="396"/>
        <v>23</v>
      </c>
      <c r="AJ1417" s="90">
        <f t="shared" si="397"/>
        <v>2022</v>
      </c>
      <c r="AK1417" s="90" t="str">
        <f t="shared" si="398"/>
        <v>Adjust</v>
      </c>
      <c r="AL1417" s="91">
        <f>IF(AK1417="Adjust",(_xlfn.XLOOKUP(A1417,'Adj factor'!A:A,'Adj factor'!I:I,,0)*AI1417),'Master DataSheet'!AI1417)</f>
        <v>26.43386881936955</v>
      </c>
      <c r="AM1417" s="91">
        <f t="shared" si="399"/>
        <v>51</v>
      </c>
      <c r="AN1417" s="92" t="str">
        <f t="shared" si="400"/>
        <v>Decreasing</v>
      </c>
      <c r="AS1417" s="94">
        <f t="shared" si="401"/>
        <v>0</v>
      </c>
      <c r="AT1417" s="94">
        <f t="shared" si="402"/>
        <v>0.33952658676252406</v>
      </c>
      <c r="AU1417" s="94">
        <f t="shared" si="403"/>
        <v>0.30449433640534285</v>
      </c>
    </row>
    <row r="1418" spans="1:47" x14ac:dyDescent="0.3">
      <c r="A1418" s="85" t="str">
        <f>_xlfn.XLOOKUP(B1418,'Country codes &amp; Data sources'!G:G,'Country codes &amp; Data sources'!H:H,,0)</f>
        <v>Equatorial Guinea</v>
      </c>
      <c r="B1418" s="85" t="s">
        <v>170</v>
      </c>
      <c r="C1418" s="85">
        <v>1193643.5</v>
      </c>
      <c r="D1418" s="85" t="s">
        <v>334</v>
      </c>
      <c r="E1418" s="86">
        <v>0</v>
      </c>
      <c r="F1418" s="86">
        <v>1243941.0000000002</v>
      </c>
      <c r="G1418" s="86">
        <v>0</v>
      </c>
      <c r="H1418" s="86"/>
      <c r="I1418" s="86">
        <v>0</v>
      </c>
      <c r="J1418" s="86"/>
      <c r="K1418" s="86">
        <v>0</v>
      </c>
      <c r="L1418" s="86"/>
      <c r="M1418" s="86">
        <v>0</v>
      </c>
      <c r="N1418" s="86"/>
      <c r="O1418" s="86">
        <v>0</v>
      </c>
      <c r="P1418" s="86">
        <v>1502091.5000000002</v>
      </c>
      <c r="Q1418" s="86">
        <v>0</v>
      </c>
      <c r="R1418" s="87">
        <f t="shared" si="388"/>
        <v>0</v>
      </c>
      <c r="T1418" s="87">
        <v>0</v>
      </c>
      <c r="U1418" s="89"/>
      <c r="V1418" s="89">
        <v>0</v>
      </c>
      <c r="W1418" s="90"/>
      <c r="X1418" s="90">
        <v>0</v>
      </c>
      <c r="Y1418" s="90">
        <v>1674908</v>
      </c>
      <c r="Z1418" s="90">
        <v>0</v>
      </c>
      <c r="AA1418" s="90">
        <v>0</v>
      </c>
      <c r="AB1418" s="89">
        <f t="shared" si="389"/>
        <v>0</v>
      </c>
      <c r="AC1418" s="89">
        <f t="shared" si="390"/>
        <v>0</v>
      </c>
      <c r="AD1418" s="89">
        <f t="shared" si="391"/>
        <v>0</v>
      </c>
      <c r="AE1418" s="90">
        <f t="shared" si="392"/>
        <v>0</v>
      </c>
      <c r="AF1418" s="90" t="str">
        <f t="shared" si="393"/>
        <v/>
      </c>
      <c r="AG1418" s="90">
        <f t="shared" si="394"/>
        <v>0</v>
      </c>
      <c r="AH1418" s="90" t="str">
        <f t="shared" si="395"/>
        <v/>
      </c>
      <c r="AI1418" s="90">
        <f t="shared" si="396"/>
        <v>0</v>
      </c>
      <c r="AJ1418" s="90" t="str">
        <f t="shared" si="397"/>
        <v/>
      </c>
      <c r="AK1418" s="90" t="str">
        <f t="shared" si="398"/>
        <v/>
      </c>
      <c r="AL1418" s="91">
        <f>IF(AK1418="Adjust",(_xlfn.XLOOKUP(A1418,'Adj factor'!A:A,'Adj factor'!I:I,,0)*AI1418),'Master DataSheet'!AI1418)</f>
        <v>0</v>
      </c>
      <c r="AM1418" s="91">
        <f t="shared" si="399"/>
        <v>0</v>
      </c>
      <c r="AN1418" s="92" t="str">
        <f t="shared" si="400"/>
        <v>No change</v>
      </c>
      <c r="AS1418" s="94">
        <f t="shared" si="401"/>
        <v>0</v>
      </c>
      <c r="AT1418" s="94">
        <f t="shared" si="402"/>
        <v>0</v>
      </c>
      <c r="AU1418" s="94">
        <f t="shared" si="403"/>
        <v>0</v>
      </c>
    </row>
    <row r="1419" spans="1:47" x14ac:dyDescent="0.3">
      <c r="A1419" s="85" t="str">
        <f>_xlfn.XLOOKUP(B1419,'Country codes &amp; Data sources'!G:G,'Country codes &amp; Data sources'!H:H,,0)</f>
        <v>Equatorial Guinea</v>
      </c>
      <c r="B1419" s="85" t="s">
        <v>170</v>
      </c>
      <c r="C1419" s="85">
        <v>1193644.5</v>
      </c>
      <c r="D1419" s="85" t="s">
        <v>335</v>
      </c>
      <c r="E1419" s="86">
        <v>0</v>
      </c>
      <c r="F1419" s="86">
        <v>1243941.0000000002</v>
      </c>
      <c r="G1419" s="86">
        <v>0</v>
      </c>
      <c r="H1419" s="86"/>
      <c r="I1419" s="86">
        <v>0</v>
      </c>
      <c r="J1419" s="86"/>
      <c r="K1419" s="86">
        <v>0</v>
      </c>
      <c r="L1419" s="86"/>
      <c r="M1419" s="86">
        <v>0</v>
      </c>
      <c r="N1419" s="86"/>
      <c r="O1419" s="86">
        <v>0</v>
      </c>
      <c r="P1419" s="86">
        <v>1502091.5000000002</v>
      </c>
      <c r="Q1419" s="86">
        <v>10</v>
      </c>
      <c r="R1419" s="87">
        <f t="shared" si="388"/>
        <v>10</v>
      </c>
      <c r="T1419" s="87">
        <v>0</v>
      </c>
      <c r="U1419" s="89"/>
      <c r="V1419" s="89">
        <v>0</v>
      </c>
      <c r="W1419" s="90"/>
      <c r="X1419" s="90">
        <v>0</v>
      </c>
      <c r="Y1419" s="90">
        <v>1674908</v>
      </c>
      <c r="Z1419" s="90">
        <v>14</v>
      </c>
      <c r="AA1419" s="90">
        <v>10</v>
      </c>
      <c r="AB1419" s="89">
        <f t="shared" si="389"/>
        <v>0</v>
      </c>
      <c r="AC1419" s="89">
        <f t="shared" si="390"/>
        <v>10</v>
      </c>
      <c r="AD1419" s="89">
        <f t="shared" si="391"/>
        <v>14</v>
      </c>
      <c r="AE1419" s="90">
        <f t="shared" si="392"/>
        <v>0</v>
      </c>
      <c r="AF1419" s="90" t="str">
        <f t="shared" si="393"/>
        <v/>
      </c>
      <c r="AG1419" s="90">
        <f t="shared" si="394"/>
        <v>10</v>
      </c>
      <c r="AH1419" s="90">
        <f t="shared" si="395"/>
        <v>2018</v>
      </c>
      <c r="AI1419" s="90">
        <f t="shared" si="396"/>
        <v>14</v>
      </c>
      <c r="AJ1419" s="90">
        <f t="shared" si="397"/>
        <v>2022</v>
      </c>
      <c r="AK1419" s="90" t="str">
        <f t="shared" si="398"/>
        <v/>
      </c>
      <c r="AL1419" s="91">
        <f>IF(AK1419="Adjust",(_xlfn.XLOOKUP(A1419,'Adj factor'!A:A,'Adj factor'!I:I,,0)*AI1419),'Master DataSheet'!AI1419)</f>
        <v>14</v>
      </c>
      <c r="AM1419" s="91">
        <f t="shared" si="399"/>
        <v>14</v>
      </c>
      <c r="AN1419" s="92" t="str">
        <f t="shared" si="400"/>
        <v>Increasing</v>
      </c>
      <c r="AS1419" s="94">
        <f t="shared" si="401"/>
        <v>0</v>
      </c>
      <c r="AT1419" s="94">
        <f t="shared" si="402"/>
        <v>6.6573840541671384E-2</v>
      </c>
      <c r="AU1419" s="94">
        <f t="shared" si="403"/>
        <v>8.3586680581858822E-2</v>
      </c>
    </row>
    <row r="1420" spans="1:47" x14ac:dyDescent="0.3">
      <c r="A1420" s="85" t="str">
        <f>_xlfn.XLOOKUP(B1420,'Country codes &amp; Data sources'!G:G,'Country codes &amp; Data sources'!H:H,,0)</f>
        <v>Equatorial Guinea</v>
      </c>
      <c r="B1420" s="85" t="s">
        <v>170</v>
      </c>
      <c r="C1420" s="85">
        <v>1193645.5</v>
      </c>
      <c r="D1420" s="85" t="s">
        <v>336</v>
      </c>
      <c r="E1420" s="86">
        <v>0</v>
      </c>
      <c r="F1420" s="86">
        <v>1243941.0000000002</v>
      </c>
      <c r="G1420" s="86">
        <v>0</v>
      </c>
      <c r="H1420" s="86"/>
      <c r="I1420" s="86">
        <v>0</v>
      </c>
      <c r="J1420" s="86"/>
      <c r="K1420" s="86">
        <v>0</v>
      </c>
      <c r="L1420" s="86"/>
      <c r="M1420" s="86">
        <v>0</v>
      </c>
      <c r="N1420" s="86"/>
      <c r="O1420" s="86">
        <v>0</v>
      </c>
      <c r="P1420" s="86">
        <v>1502091.5000000002</v>
      </c>
      <c r="Q1420" s="86">
        <v>0</v>
      </c>
      <c r="R1420" s="87">
        <f t="shared" si="388"/>
        <v>0</v>
      </c>
      <c r="T1420" s="87">
        <v>0</v>
      </c>
      <c r="U1420" s="89"/>
      <c r="V1420" s="89">
        <v>0</v>
      </c>
      <c r="W1420" s="90"/>
      <c r="X1420" s="90">
        <v>0</v>
      </c>
      <c r="Y1420" s="90">
        <v>1674908</v>
      </c>
      <c r="Z1420" s="90">
        <v>91</v>
      </c>
      <c r="AA1420" s="90">
        <v>0</v>
      </c>
      <c r="AB1420" s="89">
        <f t="shared" si="389"/>
        <v>0</v>
      </c>
      <c r="AC1420" s="89">
        <f t="shared" si="390"/>
        <v>0</v>
      </c>
      <c r="AD1420" s="89">
        <f t="shared" si="391"/>
        <v>91</v>
      </c>
      <c r="AE1420" s="90">
        <f t="shared" si="392"/>
        <v>0</v>
      </c>
      <c r="AF1420" s="90" t="str">
        <f t="shared" si="393"/>
        <v/>
      </c>
      <c r="AG1420" s="90">
        <f t="shared" si="394"/>
        <v>0</v>
      </c>
      <c r="AH1420" s="90" t="str">
        <f t="shared" si="395"/>
        <v/>
      </c>
      <c r="AI1420" s="90">
        <f t="shared" si="396"/>
        <v>91</v>
      </c>
      <c r="AJ1420" s="90">
        <f t="shared" si="397"/>
        <v>2022</v>
      </c>
      <c r="AK1420" s="90" t="str">
        <f t="shared" si="398"/>
        <v/>
      </c>
      <c r="AL1420" s="91">
        <f>IF(AK1420="Adjust",(_xlfn.XLOOKUP(A1420,'Adj factor'!A:A,'Adj factor'!I:I,,0)*AI1420),'Master DataSheet'!AI1420)</f>
        <v>91</v>
      </c>
      <c r="AM1420" s="91">
        <f t="shared" si="399"/>
        <v>91</v>
      </c>
      <c r="AN1420" s="92" t="str">
        <f t="shared" si="400"/>
        <v>Increasing</v>
      </c>
      <c r="AS1420" s="94">
        <f t="shared" si="401"/>
        <v>0</v>
      </c>
      <c r="AT1420" s="94">
        <f t="shared" si="402"/>
        <v>0</v>
      </c>
      <c r="AU1420" s="94">
        <f t="shared" si="403"/>
        <v>0.54331342378208236</v>
      </c>
    </row>
    <row r="1421" spans="1:47" x14ac:dyDescent="0.3">
      <c r="A1421" s="85" t="str">
        <f>_xlfn.XLOOKUP(B1421,'Country codes &amp; Data sources'!G:G,'Country codes &amp; Data sources'!H:H,,0)</f>
        <v>Equatorial Guinea</v>
      </c>
      <c r="B1421" s="85" t="s">
        <v>170</v>
      </c>
      <c r="C1421" s="85">
        <v>1193646.5</v>
      </c>
      <c r="D1421" s="85" t="s">
        <v>337</v>
      </c>
      <c r="E1421" s="86">
        <v>0</v>
      </c>
      <c r="F1421" s="86">
        <v>1243941.0000000002</v>
      </c>
      <c r="G1421" s="86">
        <v>0</v>
      </c>
      <c r="H1421" s="86"/>
      <c r="I1421" s="86">
        <v>0</v>
      </c>
      <c r="J1421" s="86"/>
      <c r="K1421" s="86">
        <v>0</v>
      </c>
      <c r="L1421" s="86"/>
      <c r="M1421" s="86">
        <v>0</v>
      </c>
      <c r="N1421" s="86"/>
      <c r="O1421" s="86">
        <v>0</v>
      </c>
      <c r="P1421" s="86">
        <v>1502091.5000000002</v>
      </c>
      <c r="Q1421" s="86">
        <v>0</v>
      </c>
      <c r="R1421" s="87">
        <f t="shared" si="388"/>
        <v>0</v>
      </c>
      <c r="T1421" s="87">
        <v>0</v>
      </c>
      <c r="U1421" s="89"/>
      <c r="V1421" s="89">
        <v>0</v>
      </c>
      <c r="W1421" s="90"/>
      <c r="X1421" s="90">
        <v>0</v>
      </c>
      <c r="Y1421" s="90">
        <v>1674908</v>
      </c>
      <c r="Z1421" s="90">
        <v>0</v>
      </c>
      <c r="AA1421" s="90">
        <v>0</v>
      </c>
      <c r="AB1421" s="89">
        <f t="shared" si="389"/>
        <v>0</v>
      </c>
      <c r="AC1421" s="89">
        <f t="shared" si="390"/>
        <v>0</v>
      </c>
      <c r="AD1421" s="89">
        <f t="shared" si="391"/>
        <v>0</v>
      </c>
      <c r="AE1421" s="90">
        <f t="shared" si="392"/>
        <v>0</v>
      </c>
      <c r="AF1421" s="90" t="str">
        <f t="shared" si="393"/>
        <v/>
      </c>
      <c r="AG1421" s="90">
        <f t="shared" si="394"/>
        <v>0</v>
      </c>
      <c r="AH1421" s="90" t="str">
        <f t="shared" si="395"/>
        <v/>
      </c>
      <c r="AI1421" s="90">
        <f t="shared" si="396"/>
        <v>0</v>
      </c>
      <c r="AJ1421" s="90" t="str">
        <f t="shared" si="397"/>
        <v/>
      </c>
      <c r="AK1421" s="90" t="str">
        <f t="shared" si="398"/>
        <v/>
      </c>
      <c r="AL1421" s="91">
        <f>IF(AK1421="Adjust",(_xlfn.XLOOKUP(A1421,'Adj factor'!A:A,'Adj factor'!I:I,,0)*AI1421),'Master DataSheet'!AI1421)</f>
        <v>0</v>
      </c>
      <c r="AM1421" s="91">
        <f t="shared" si="399"/>
        <v>0</v>
      </c>
      <c r="AN1421" s="92" t="str">
        <f t="shared" si="400"/>
        <v>No change</v>
      </c>
      <c r="AS1421" s="94">
        <f t="shared" si="401"/>
        <v>0</v>
      </c>
      <c r="AT1421" s="94">
        <f t="shared" si="402"/>
        <v>0</v>
      </c>
      <c r="AU1421" s="94">
        <f t="shared" si="403"/>
        <v>0</v>
      </c>
    </row>
    <row r="1422" spans="1:47" x14ac:dyDescent="0.3">
      <c r="A1422" s="85" t="str">
        <f>_xlfn.XLOOKUP(B1422,'Country codes &amp; Data sources'!G:G,'Country codes &amp; Data sources'!H:H,,0)</f>
        <v>Equatorial Guinea</v>
      </c>
      <c r="B1422" s="85" t="s">
        <v>170</v>
      </c>
      <c r="C1422" s="85">
        <v>1193647.5</v>
      </c>
      <c r="D1422" s="85" t="s">
        <v>338</v>
      </c>
      <c r="E1422" s="86">
        <v>0</v>
      </c>
      <c r="F1422" s="86">
        <v>1243941.0000000002</v>
      </c>
      <c r="G1422" s="86">
        <v>0</v>
      </c>
      <c r="H1422" s="86"/>
      <c r="I1422" s="86">
        <v>0</v>
      </c>
      <c r="J1422" s="86"/>
      <c r="K1422" s="86">
        <v>0</v>
      </c>
      <c r="L1422" s="86"/>
      <c r="M1422" s="86">
        <v>0</v>
      </c>
      <c r="N1422" s="86"/>
      <c r="O1422" s="86">
        <v>0</v>
      </c>
      <c r="P1422" s="86">
        <v>1502091.5000000002</v>
      </c>
      <c r="Q1422" s="86">
        <v>0</v>
      </c>
      <c r="R1422" s="87">
        <f t="shared" si="388"/>
        <v>0</v>
      </c>
      <c r="T1422" s="87">
        <v>0</v>
      </c>
      <c r="U1422" s="89"/>
      <c r="V1422" s="89">
        <v>0</v>
      </c>
      <c r="W1422" s="90"/>
      <c r="X1422" s="90">
        <v>0</v>
      </c>
      <c r="Y1422" s="90">
        <v>1674908</v>
      </c>
      <c r="Z1422" s="90">
        <v>0</v>
      </c>
      <c r="AA1422" s="90">
        <v>0</v>
      </c>
      <c r="AB1422" s="89">
        <f t="shared" si="389"/>
        <v>0</v>
      </c>
      <c r="AC1422" s="89">
        <f t="shared" si="390"/>
        <v>0</v>
      </c>
      <c r="AD1422" s="89">
        <f t="shared" si="391"/>
        <v>0</v>
      </c>
      <c r="AE1422" s="90">
        <f t="shared" si="392"/>
        <v>0</v>
      </c>
      <c r="AF1422" s="90" t="str">
        <f t="shared" si="393"/>
        <v/>
      </c>
      <c r="AG1422" s="90">
        <f t="shared" si="394"/>
        <v>0</v>
      </c>
      <c r="AH1422" s="90" t="str">
        <f t="shared" si="395"/>
        <v/>
      </c>
      <c r="AI1422" s="90">
        <f t="shared" si="396"/>
        <v>0</v>
      </c>
      <c r="AJ1422" s="90" t="str">
        <f t="shared" si="397"/>
        <v/>
      </c>
      <c r="AK1422" s="90" t="str">
        <f t="shared" si="398"/>
        <v/>
      </c>
      <c r="AL1422" s="91">
        <f>IF(AK1422="Adjust",(_xlfn.XLOOKUP(A1422,'Adj factor'!A:A,'Adj factor'!I:I,,0)*AI1422),'Master DataSheet'!AI1422)</f>
        <v>0</v>
      </c>
      <c r="AM1422" s="91">
        <f t="shared" si="399"/>
        <v>0</v>
      </c>
      <c r="AN1422" s="92" t="str">
        <f t="shared" si="400"/>
        <v>No change</v>
      </c>
      <c r="AS1422" s="94">
        <f t="shared" si="401"/>
        <v>0</v>
      </c>
      <c r="AT1422" s="94">
        <f t="shared" si="402"/>
        <v>0</v>
      </c>
      <c r="AU1422" s="94">
        <f t="shared" si="403"/>
        <v>0</v>
      </c>
    </row>
    <row r="1423" spans="1:47" x14ac:dyDescent="0.3">
      <c r="A1423" s="85" t="str">
        <f>_xlfn.XLOOKUP(B1423,'Country codes &amp; Data sources'!G:G,'Country codes &amp; Data sources'!H:H,,0)</f>
        <v>Equatorial Guinea</v>
      </c>
      <c r="B1423" s="85" t="s">
        <v>170</v>
      </c>
      <c r="C1423" s="85">
        <v>1193648.5</v>
      </c>
      <c r="D1423" s="85" t="s">
        <v>339</v>
      </c>
      <c r="E1423" s="86">
        <v>0</v>
      </c>
      <c r="F1423" s="86">
        <v>1243941.0000000002</v>
      </c>
      <c r="G1423" s="86">
        <v>0</v>
      </c>
      <c r="H1423" s="86"/>
      <c r="I1423" s="86">
        <v>0</v>
      </c>
      <c r="J1423" s="86"/>
      <c r="K1423" s="86">
        <v>0</v>
      </c>
      <c r="L1423" s="86"/>
      <c r="M1423" s="86">
        <v>0</v>
      </c>
      <c r="N1423" s="86"/>
      <c r="O1423" s="86">
        <v>0</v>
      </c>
      <c r="P1423" s="86">
        <v>1502091.5000000002</v>
      </c>
      <c r="Q1423" s="86">
        <v>0</v>
      </c>
      <c r="R1423" s="87">
        <f t="shared" si="388"/>
        <v>0</v>
      </c>
      <c r="T1423" s="87">
        <v>0</v>
      </c>
      <c r="U1423" s="89"/>
      <c r="V1423" s="89">
        <v>0</v>
      </c>
      <c r="W1423" s="90"/>
      <c r="X1423" s="90">
        <v>0</v>
      </c>
      <c r="Y1423" s="90">
        <v>1674908</v>
      </c>
      <c r="Z1423" s="90">
        <v>0</v>
      </c>
      <c r="AA1423" s="90">
        <v>0</v>
      </c>
      <c r="AB1423" s="89">
        <f t="shared" si="389"/>
        <v>0</v>
      </c>
      <c r="AC1423" s="89">
        <f t="shared" si="390"/>
        <v>0</v>
      </c>
      <c r="AD1423" s="89">
        <f t="shared" si="391"/>
        <v>0</v>
      </c>
      <c r="AE1423" s="90">
        <f t="shared" si="392"/>
        <v>0</v>
      </c>
      <c r="AF1423" s="90" t="str">
        <f t="shared" si="393"/>
        <v/>
      </c>
      <c r="AG1423" s="90">
        <f t="shared" si="394"/>
        <v>0</v>
      </c>
      <c r="AH1423" s="90" t="str">
        <f t="shared" si="395"/>
        <v/>
      </c>
      <c r="AI1423" s="90">
        <f t="shared" si="396"/>
        <v>0</v>
      </c>
      <c r="AJ1423" s="90" t="str">
        <f t="shared" si="397"/>
        <v/>
      </c>
      <c r="AK1423" s="90" t="str">
        <f t="shared" si="398"/>
        <v/>
      </c>
      <c r="AL1423" s="91">
        <f>IF(AK1423="Adjust",(_xlfn.XLOOKUP(A1423,'Adj factor'!A:A,'Adj factor'!I:I,,0)*AI1423),'Master DataSheet'!AI1423)</f>
        <v>0</v>
      </c>
      <c r="AM1423" s="91">
        <f t="shared" si="399"/>
        <v>0</v>
      </c>
      <c r="AN1423" s="92" t="str">
        <f t="shared" si="400"/>
        <v>No change</v>
      </c>
      <c r="AS1423" s="94">
        <f t="shared" si="401"/>
        <v>0</v>
      </c>
      <c r="AT1423" s="94">
        <f t="shared" si="402"/>
        <v>0</v>
      </c>
      <c r="AU1423" s="94">
        <f t="shared" si="403"/>
        <v>0</v>
      </c>
    </row>
    <row r="1424" spans="1:47" x14ac:dyDescent="0.3">
      <c r="A1424" s="85" t="str">
        <f>_xlfn.XLOOKUP(B1424,'Country codes &amp; Data sources'!G:G,'Country codes &amp; Data sources'!H:H,,0)</f>
        <v>Kenya</v>
      </c>
      <c r="B1424" s="85" t="s">
        <v>175</v>
      </c>
      <c r="C1424" s="85">
        <v>43725806.500000007</v>
      </c>
      <c r="D1424" s="85" t="s">
        <v>326</v>
      </c>
      <c r="E1424" s="86">
        <v>8092</v>
      </c>
      <c r="F1424" s="86">
        <v>44792368.000000007</v>
      </c>
      <c r="G1424" s="86">
        <v>8682</v>
      </c>
      <c r="H1424" s="86">
        <v>45831863.500000007</v>
      </c>
      <c r="I1424" s="86">
        <v>9149</v>
      </c>
      <c r="J1424" s="86">
        <v>46851488.499999993</v>
      </c>
      <c r="K1424" s="86">
        <v>0</v>
      </c>
      <c r="L1424" s="86">
        <v>47894670</v>
      </c>
      <c r="M1424" s="86">
        <v>0</v>
      </c>
      <c r="N1424" s="86">
        <v>48948137.000000037</v>
      </c>
      <c r="O1424" s="86">
        <v>0</v>
      </c>
      <c r="P1424" s="86">
        <v>49953303.999999993</v>
      </c>
      <c r="Q1424" s="86">
        <v>8042</v>
      </c>
      <c r="R1424" s="87">
        <f t="shared" si="388"/>
        <v>8042</v>
      </c>
      <c r="S1424" s="87">
        <v>50951450</v>
      </c>
      <c r="T1424" s="87">
        <v>0</v>
      </c>
      <c r="U1424" s="89">
        <v>51985779.999999993</v>
      </c>
      <c r="V1424" s="89">
        <v>0</v>
      </c>
      <c r="W1424" s="90">
        <v>53005614.000000022</v>
      </c>
      <c r="X1424" s="90">
        <v>5203</v>
      </c>
      <c r="Y1424" s="90">
        <v>54027486.999999985</v>
      </c>
      <c r="Z1424" s="115">
        <v>12792</v>
      </c>
      <c r="AA1424" s="90">
        <v>8042</v>
      </c>
      <c r="AB1424" s="89">
        <f t="shared" si="389"/>
        <v>9149</v>
      </c>
      <c r="AC1424" s="89">
        <f t="shared" si="390"/>
        <v>8042</v>
      </c>
      <c r="AD1424" s="89">
        <f t="shared" si="391"/>
        <v>12792</v>
      </c>
      <c r="AE1424" s="90">
        <f t="shared" si="392"/>
        <v>8682</v>
      </c>
      <c r="AF1424" s="90">
        <f t="shared" si="393"/>
        <v>2013</v>
      </c>
      <c r="AG1424" s="90">
        <f t="shared" si="394"/>
        <v>8042</v>
      </c>
      <c r="AH1424" s="90">
        <f t="shared" si="395"/>
        <v>2018</v>
      </c>
      <c r="AI1424" s="90">
        <f t="shared" si="396"/>
        <v>12792</v>
      </c>
      <c r="AJ1424" s="90">
        <v>2022</v>
      </c>
      <c r="AK1424" s="90" t="str">
        <f t="shared" si="398"/>
        <v/>
      </c>
      <c r="AL1424" s="91">
        <f>IF(AK1424="Adjust",(_xlfn.XLOOKUP(A1424,'Adj factor'!A:A,'Adj factor'!I:I,,0)*AI1424),'Master DataSheet'!AI1424)</f>
        <v>12792</v>
      </c>
      <c r="AM1424" s="91">
        <f t="shared" si="399"/>
        <v>12792</v>
      </c>
      <c r="AN1424" s="92" t="str">
        <f t="shared" si="400"/>
        <v>Increasing</v>
      </c>
      <c r="AS1424" s="94">
        <f t="shared" si="401"/>
        <v>1.9382766278398138</v>
      </c>
      <c r="AT1424" s="94">
        <f t="shared" si="402"/>
        <v>1.6099035210964225</v>
      </c>
      <c r="AU1424" s="94">
        <f t="shared" si="403"/>
        <v>2.3676836940426274</v>
      </c>
    </row>
    <row r="1425" spans="1:47" x14ac:dyDescent="0.3">
      <c r="A1425" s="85" t="str">
        <f>_xlfn.XLOOKUP(B1425,'Country codes &amp; Data sources'!G:G,'Country codes &amp; Data sources'!H:H,,0)</f>
        <v>Kenya</v>
      </c>
      <c r="B1425" s="85" t="s">
        <v>175</v>
      </c>
      <c r="C1425" s="85">
        <v>43725807.5</v>
      </c>
      <c r="D1425" s="85" t="s">
        <v>327</v>
      </c>
      <c r="E1425" s="86">
        <v>0</v>
      </c>
      <c r="F1425" s="86">
        <v>44792368.000000007</v>
      </c>
      <c r="G1425" s="86">
        <v>0</v>
      </c>
      <c r="H1425" s="86"/>
      <c r="I1425" s="86">
        <v>0</v>
      </c>
      <c r="J1425" s="86"/>
      <c r="K1425" s="86">
        <v>0</v>
      </c>
      <c r="L1425" s="86"/>
      <c r="M1425" s="86">
        <v>0</v>
      </c>
      <c r="N1425" s="86"/>
      <c r="O1425" s="86">
        <v>0</v>
      </c>
      <c r="P1425" s="86">
        <v>49953303.999999993</v>
      </c>
      <c r="Q1425" s="86">
        <v>5602</v>
      </c>
      <c r="R1425" s="87">
        <f t="shared" si="388"/>
        <v>5602</v>
      </c>
      <c r="T1425" s="87">
        <v>0</v>
      </c>
      <c r="U1425" s="89"/>
      <c r="V1425" s="89">
        <v>0</v>
      </c>
      <c r="W1425" s="90"/>
      <c r="X1425" s="90">
        <v>3252</v>
      </c>
      <c r="Y1425" s="90">
        <v>54027486.999999985</v>
      </c>
      <c r="Z1425" s="90">
        <v>3544</v>
      </c>
      <c r="AA1425" s="90">
        <v>5602</v>
      </c>
      <c r="AB1425" s="89">
        <f t="shared" si="389"/>
        <v>0</v>
      </c>
      <c r="AC1425" s="89">
        <f t="shared" si="390"/>
        <v>5602</v>
      </c>
      <c r="AD1425" s="89">
        <f t="shared" si="391"/>
        <v>3544</v>
      </c>
      <c r="AE1425" s="90">
        <f t="shared" si="392"/>
        <v>0</v>
      </c>
      <c r="AF1425" s="90" t="str">
        <f t="shared" si="393"/>
        <v/>
      </c>
      <c r="AG1425" s="90">
        <f t="shared" si="394"/>
        <v>5602</v>
      </c>
      <c r="AH1425" s="90">
        <f t="shared" si="395"/>
        <v>2018</v>
      </c>
      <c r="AI1425" s="90">
        <f t="shared" si="396"/>
        <v>3544</v>
      </c>
      <c r="AJ1425" s="90">
        <f t="shared" si="397"/>
        <v>2022</v>
      </c>
      <c r="AK1425" s="90" t="str">
        <f t="shared" si="398"/>
        <v>Adjust</v>
      </c>
      <c r="AL1425" s="91">
        <f>IF(AK1425="Adjust",(_xlfn.XLOOKUP(A1425,'Adj factor'!A:A,'Adj factor'!I:I,,0)*AI1425),'Master DataSheet'!AI1425)</f>
        <v>4073.1143954715512</v>
      </c>
      <c r="AM1425" s="91">
        <f t="shared" si="399"/>
        <v>5602</v>
      </c>
      <c r="AN1425" s="92" t="str">
        <f t="shared" si="400"/>
        <v>Decreasing</v>
      </c>
      <c r="AS1425" s="94">
        <f t="shared" si="401"/>
        <v>0</v>
      </c>
      <c r="AT1425" s="94">
        <f t="shared" si="402"/>
        <v>1.1214473421017359</v>
      </c>
      <c r="AU1425" s="94">
        <f t="shared" si="403"/>
        <v>1.0368796164811445</v>
      </c>
    </row>
    <row r="1426" spans="1:47" x14ac:dyDescent="0.3">
      <c r="A1426" s="85" t="str">
        <f>_xlfn.XLOOKUP(B1426,'Country codes &amp; Data sources'!G:G,'Country codes &amp; Data sources'!H:H,,0)</f>
        <v>Kenya</v>
      </c>
      <c r="B1426" s="85" t="s">
        <v>175</v>
      </c>
      <c r="C1426" s="85">
        <v>43725808.5</v>
      </c>
      <c r="D1426" s="85" t="s">
        <v>328</v>
      </c>
      <c r="E1426" s="86">
        <v>0</v>
      </c>
      <c r="F1426" s="86">
        <v>44792368.000000007</v>
      </c>
      <c r="G1426" s="86">
        <v>0</v>
      </c>
      <c r="H1426" s="86"/>
      <c r="I1426" s="86">
        <v>0</v>
      </c>
      <c r="J1426" s="86"/>
      <c r="K1426" s="86">
        <v>0</v>
      </c>
      <c r="L1426" s="86"/>
      <c r="M1426" s="86">
        <v>0</v>
      </c>
      <c r="N1426" s="86"/>
      <c r="O1426" s="86">
        <v>0</v>
      </c>
      <c r="P1426" s="86">
        <v>49953303.999999993</v>
      </c>
      <c r="Q1426" s="86">
        <v>2440</v>
      </c>
      <c r="R1426" s="87">
        <f t="shared" si="388"/>
        <v>2440</v>
      </c>
      <c r="T1426" s="87">
        <v>0</v>
      </c>
      <c r="U1426" s="89"/>
      <c r="V1426" s="89">
        <v>0</v>
      </c>
      <c r="W1426" s="90"/>
      <c r="X1426" s="90">
        <v>1951</v>
      </c>
      <c r="Y1426" s="90">
        <v>54027486.999999985</v>
      </c>
      <c r="Z1426" s="90">
        <v>1973</v>
      </c>
      <c r="AA1426" s="90">
        <v>2440</v>
      </c>
      <c r="AB1426" s="89">
        <f t="shared" si="389"/>
        <v>0</v>
      </c>
      <c r="AC1426" s="89">
        <f t="shared" si="390"/>
        <v>2440</v>
      </c>
      <c r="AD1426" s="89">
        <f t="shared" si="391"/>
        <v>1973</v>
      </c>
      <c r="AE1426" s="90">
        <f t="shared" si="392"/>
        <v>0</v>
      </c>
      <c r="AF1426" s="90" t="str">
        <f t="shared" si="393"/>
        <v/>
      </c>
      <c r="AG1426" s="90">
        <f t="shared" si="394"/>
        <v>2440</v>
      </c>
      <c r="AH1426" s="90">
        <f t="shared" si="395"/>
        <v>2018</v>
      </c>
      <c r="AI1426" s="90">
        <f t="shared" si="396"/>
        <v>1973</v>
      </c>
      <c r="AJ1426" s="90">
        <f t="shared" si="397"/>
        <v>2022</v>
      </c>
      <c r="AK1426" s="90" t="str">
        <f t="shared" si="398"/>
        <v>Adjust</v>
      </c>
      <c r="AL1426" s="91">
        <f>IF(AK1426="Adjust",(_xlfn.XLOOKUP(A1426,'Adj factor'!A:A,'Adj factor'!I:I,,0)*AI1426),'Master DataSheet'!AI1426)</f>
        <v>2267.5662252441793</v>
      </c>
      <c r="AM1426" s="91">
        <f t="shared" si="399"/>
        <v>2440</v>
      </c>
      <c r="AN1426" s="92" t="str">
        <f t="shared" si="400"/>
        <v>Decreasing</v>
      </c>
      <c r="AS1426" s="94">
        <f t="shared" si="401"/>
        <v>0</v>
      </c>
      <c r="AT1426" s="94">
        <f t="shared" si="402"/>
        <v>0.4884561789946868</v>
      </c>
      <c r="AU1426" s="94">
        <f t="shared" si="403"/>
        <v>0.45162196790681763</v>
      </c>
    </row>
    <row r="1427" spans="1:47" x14ac:dyDescent="0.3">
      <c r="A1427" s="85" t="str">
        <f>_xlfn.XLOOKUP(B1427,'Country codes &amp; Data sources'!G:G,'Country codes &amp; Data sources'!H:H,,0)</f>
        <v>Kenya</v>
      </c>
      <c r="B1427" s="85" t="s">
        <v>175</v>
      </c>
      <c r="C1427" s="85">
        <v>43725809.5</v>
      </c>
      <c r="D1427" s="85" t="s">
        <v>329</v>
      </c>
      <c r="E1427" s="86">
        <v>61769</v>
      </c>
      <c r="F1427" s="86">
        <v>44792368.000000007</v>
      </c>
      <c r="G1427" s="86">
        <v>40292</v>
      </c>
      <c r="H1427" s="86"/>
      <c r="I1427" s="86">
        <v>43311</v>
      </c>
      <c r="J1427" s="86"/>
      <c r="K1427" s="86">
        <v>41413</v>
      </c>
      <c r="L1427" s="86"/>
      <c r="M1427" s="86">
        <v>48737</v>
      </c>
      <c r="N1427" s="86"/>
      <c r="O1427" s="86">
        <v>53168</v>
      </c>
      <c r="P1427" s="86">
        <v>49953303.999999993</v>
      </c>
      <c r="Q1427" s="86">
        <v>59901</v>
      </c>
      <c r="R1427" s="87">
        <f t="shared" si="388"/>
        <v>59901</v>
      </c>
      <c r="T1427" s="87">
        <v>0</v>
      </c>
      <c r="U1427" s="89"/>
      <c r="V1427" s="89">
        <v>0</v>
      </c>
      <c r="W1427" s="90"/>
      <c r="X1427" s="90">
        <v>34588</v>
      </c>
      <c r="Y1427" s="90">
        <v>54027486.999999985</v>
      </c>
      <c r="Z1427" s="115">
        <v>109659</v>
      </c>
      <c r="AA1427" s="90">
        <v>59901</v>
      </c>
      <c r="AB1427" s="89">
        <f t="shared" si="389"/>
        <v>61769</v>
      </c>
      <c r="AC1427" s="89">
        <f t="shared" si="390"/>
        <v>59901</v>
      </c>
      <c r="AD1427" s="89">
        <f t="shared" si="391"/>
        <v>109659</v>
      </c>
      <c r="AE1427" s="90">
        <f t="shared" si="392"/>
        <v>40292</v>
      </c>
      <c r="AF1427" s="90">
        <f t="shared" si="393"/>
        <v>2013</v>
      </c>
      <c r="AG1427" s="90">
        <f t="shared" si="394"/>
        <v>59901</v>
      </c>
      <c r="AH1427" s="90">
        <f t="shared" si="395"/>
        <v>2018</v>
      </c>
      <c r="AI1427" s="90">
        <f t="shared" si="396"/>
        <v>109659</v>
      </c>
      <c r="AJ1427" s="90">
        <f t="shared" si="397"/>
        <v>2022</v>
      </c>
      <c r="AK1427" s="90" t="str">
        <f t="shared" si="398"/>
        <v/>
      </c>
      <c r="AL1427" s="91">
        <f>IF(AK1427="Adjust",(_xlfn.XLOOKUP(A1427,'Adj factor'!A:A,'Adj factor'!I:I,,0)*AI1427),'Master DataSheet'!AI1427)</f>
        <v>109659</v>
      </c>
      <c r="AM1427" s="91">
        <f t="shared" si="399"/>
        <v>109659</v>
      </c>
      <c r="AN1427" s="92" t="str">
        <f t="shared" si="400"/>
        <v>Increasing</v>
      </c>
      <c r="AS1427" s="94">
        <f t="shared" si="401"/>
        <v>8.9952824106106632</v>
      </c>
      <c r="AT1427" s="94">
        <f t="shared" si="402"/>
        <v>11.991399007360956</v>
      </c>
      <c r="AU1427" s="94">
        <f t="shared" si="403"/>
        <v>20.296890728972834</v>
      </c>
    </row>
    <row r="1428" spans="1:47" x14ac:dyDescent="0.3">
      <c r="A1428" s="85" t="str">
        <f>_xlfn.XLOOKUP(B1428,'Country codes &amp; Data sources'!G:G,'Country codes &amp; Data sources'!H:H,,0)</f>
        <v>Kenya</v>
      </c>
      <c r="B1428" s="85" t="s">
        <v>175</v>
      </c>
      <c r="C1428" s="85">
        <v>43725810.5</v>
      </c>
      <c r="D1428" s="85" t="s">
        <v>330</v>
      </c>
      <c r="E1428" s="86">
        <v>0</v>
      </c>
      <c r="F1428" s="86">
        <v>44792368.000000007</v>
      </c>
      <c r="G1428" s="86">
        <v>28300</v>
      </c>
      <c r="H1428" s="86"/>
      <c r="I1428" s="86">
        <v>31167</v>
      </c>
      <c r="J1428" s="86"/>
      <c r="K1428" s="86">
        <v>32514</v>
      </c>
      <c r="L1428" s="86"/>
      <c r="M1428" s="86">
        <v>38300</v>
      </c>
      <c r="N1428" s="86"/>
      <c r="O1428" s="86">
        <v>41583</v>
      </c>
      <c r="P1428" s="86">
        <v>49953303.999999993</v>
      </c>
      <c r="Q1428" s="86">
        <v>46703</v>
      </c>
      <c r="R1428" s="87">
        <f t="shared" si="388"/>
        <v>46703</v>
      </c>
      <c r="T1428" s="87">
        <v>0</v>
      </c>
      <c r="U1428" s="89"/>
      <c r="V1428" s="89">
        <v>0</v>
      </c>
      <c r="W1428" s="90"/>
      <c r="X1428" s="90">
        <v>34588</v>
      </c>
      <c r="Y1428" s="90">
        <v>54027486.999999985</v>
      </c>
      <c r="Z1428" s="90">
        <v>34634</v>
      </c>
      <c r="AA1428" s="90">
        <v>46703</v>
      </c>
      <c r="AB1428" s="89">
        <f t="shared" si="389"/>
        <v>32514</v>
      </c>
      <c r="AC1428" s="89">
        <f t="shared" si="390"/>
        <v>46703</v>
      </c>
      <c r="AD1428" s="89">
        <f t="shared" si="391"/>
        <v>34634</v>
      </c>
      <c r="AE1428" s="90">
        <f t="shared" si="392"/>
        <v>28300</v>
      </c>
      <c r="AF1428" s="90">
        <f t="shared" si="393"/>
        <v>2013</v>
      </c>
      <c r="AG1428" s="90">
        <f t="shared" si="394"/>
        <v>46703</v>
      </c>
      <c r="AH1428" s="90">
        <f t="shared" si="395"/>
        <v>2018</v>
      </c>
      <c r="AI1428" s="90">
        <f t="shared" si="396"/>
        <v>34634</v>
      </c>
      <c r="AJ1428" s="90">
        <f t="shared" si="397"/>
        <v>2022</v>
      </c>
      <c r="AK1428" s="90" t="str">
        <f t="shared" si="398"/>
        <v>Adjust</v>
      </c>
      <c r="AL1428" s="91">
        <f>IF(AK1428="Adjust",(_xlfn.XLOOKUP(A1428,'Adj factor'!A:A,'Adj factor'!I:I,,0)*AI1428),'Master DataSheet'!AI1428)</f>
        <v>39804.809247393256</v>
      </c>
      <c r="AM1428" s="91">
        <f t="shared" si="399"/>
        <v>46703</v>
      </c>
      <c r="AN1428" s="92" t="str">
        <f t="shared" si="400"/>
        <v>Decreasing</v>
      </c>
      <c r="AS1428" s="94">
        <f t="shared" si="401"/>
        <v>6.3180406090608994</v>
      </c>
      <c r="AT1428" s="94">
        <f t="shared" si="402"/>
        <v>9.3493315277003521</v>
      </c>
      <c r="AU1428" s="94">
        <f t="shared" si="403"/>
        <v>8.644303593095124</v>
      </c>
    </row>
    <row r="1429" spans="1:47" x14ac:dyDescent="0.3">
      <c r="A1429" s="85" t="str">
        <f>_xlfn.XLOOKUP(B1429,'Country codes &amp; Data sources'!G:G,'Country codes &amp; Data sources'!H:H,,0)</f>
        <v>Kenya</v>
      </c>
      <c r="B1429" s="85" t="s">
        <v>175</v>
      </c>
      <c r="C1429" s="85">
        <v>43725811.5</v>
      </c>
      <c r="D1429" s="85" t="s">
        <v>331</v>
      </c>
      <c r="E1429" s="86">
        <v>0</v>
      </c>
      <c r="F1429" s="86">
        <v>44792368.000000007</v>
      </c>
      <c r="G1429" s="86">
        <v>11992</v>
      </c>
      <c r="H1429" s="86"/>
      <c r="I1429" s="86">
        <v>12144</v>
      </c>
      <c r="J1429" s="86"/>
      <c r="K1429" s="86">
        <v>8899</v>
      </c>
      <c r="L1429" s="86"/>
      <c r="M1429" s="86">
        <v>10437</v>
      </c>
      <c r="N1429" s="86"/>
      <c r="O1429" s="86">
        <v>11585</v>
      </c>
      <c r="P1429" s="86">
        <v>49953303.999999993</v>
      </c>
      <c r="Q1429" s="86">
        <v>13198</v>
      </c>
      <c r="R1429" s="87">
        <f t="shared" si="388"/>
        <v>13198</v>
      </c>
      <c r="T1429" s="87">
        <v>0</v>
      </c>
      <c r="U1429" s="89"/>
      <c r="V1429" s="89">
        <v>0</v>
      </c>
      <c r="W1429" s="90"/>
      <c r="X1429" s="90">
        <v>0</v>
      </c>
      <c r="Y1429" s="90">
        <v>54027486.999999985</v>
      </c>
      <c r="Z1429" s="90">
        <v>0</v>
      </c>
      <c r="AA1429" s="90">
        <v>13198</v>
      </c>
      <c r="AB1429" s="89">
        <f t="shared" si="389"/>
        <v>12144</v>
      </c>
      <c r="AC1429" s="89">
        <f t="shared" si="390"/>
        <v>13198</v>
      </c>
      <c r="AD1429" s="89">
        <f t="shared" si="391"/>
        <v>0</v>
      </c>
      <c r="AE1429" s="90">
        <f t="shared" si="392"/>
        <v>11992</v>
      </c>
      <c r="AF1429" s="90">
        <f t="shared" si="393"/>
        <v>2013</v>
      </c>
      <c r="AG1429" s="90">
        <f t="shared" si="394"/>
        <v>13198</v>
      </c>
      <c r="AH1429" s="90">
        <f t="shared" si="395"/>
        <v>2018</v>
      </c>
      <c r="AI1429" s="90">
        <f t="shared" si="396"/>
        <v>13198</v>
      </c>
      <c r="AJ1429" s="90">
        <f t="shared" si="397"/>
        <v>2018</v>
      </c>
      <c r="AK1429" s="90" t="str">
        <f t="shared" si="398"/>
        <v/>
      </c>
      <c r="AL1429" s="91">
        <f>IF(AK1429="Adjust",(_xlfn.XLOOKUP(A1429,'Adj factor'!A:A,'Adj factor'!I:I,,0)*AI1429),'Master DataSheet'!AI1429)</f>
        <v>13198</v>
      </c>
      <c r="AM1429" s="91">
        <f t="shared" si="399"/>
        <v>13198</v>
      </c>
      <c r="AN1429" s="92" t="str">
        <f t="shared" si="400"/>
        <v>No change</v>
      </c>
      <c r="AS1429" s="94">
        <f t="shared" si="401"/>
        <v>2.6772418015497634</v>
      </c>
      <c r="AT1429" s="94">
        <f t="shared" si="402"/>
        <v>2.642067479660605</v>
      </c>
      <c r="AU1429" s="94">
        <f t="shared" si="403"/>
        <v>2.4428306280467948</v>
      </c>
    </row>
    <row r="1430" spans="1:47" x14ac:dyDescent="0.3">
      <c r="A1430" s="85" t="str">
        <f>_xlfn.XLOOKUP(B1430,'Country codes &amp; Data sources'!G:G,'Country codes &amp; Data sources'!H:H,,0)</f>
        <v>Kenya</v>
      </c>
      <c r="B1430" s="85" t="s">
        <v>175</v>
      </c>
      <c r="C1430" s="85">
        <v>43725812.5</v>
      </c>
      <c r="D1430" s="85" t="s">
        <v>332</v>
      </c>
      <c r="E1430" s="86">
        <v>0</v>
      </c>
      <c r="F1430" s="86">
        <v>44792368.000000007</v>
      </c>
      <c r="G1430" s="86">
        <v>0</v>
      </c>
      <c r="H1430" s="86"/>
      <c r="I1430" s="86">
        <v>0</v>
      </c>
      <c r="J1430" s="86"/>
      <c r="K1430" s="86">
        <v>0</v>
      </c>
      <c r="L1430" s="86"/>
      <c r="M1430" s="86">
        <v>2092</v>
      </c>
      <c r="N1430" s="86"/>
      <c r="O1430" s="86">
        <v>0</v>
      </c>
      <c r="P1430" s="86">
        <v>49953303.999999993</v>
      </c>
      <c r="Q1430" s="86">
        <v>0</v>
      </c>
      <c r="R1430" s="87">
        <f t="shared" si="388"/>
        <v>0</v>
      </c>
      <c r="T1430" s="87">
        <v>0</v>
      </c>
      <c r="U1430" s="89"/>
      <c r="V1430" s="89">
        <v>0</v>
      </c>
      <c r="W1430" s="90"/>
      <c r="X1430" s="90">
        <v>0</v>
      </c>
      <c r="Y1430" s="90">
        <v>54027486.999999985</v>
      </c>
      <c r="Z1430" s="90">
        <v>137</v>
      </c>
      <c r="AA1430" s="90">
        <v>0</v>
      </c>
      <c r="AB1430" s="89">
        <f t="shared" si="389"/>
        <v>0</v>
      </c>
      <c r="AC1430" s="89">
        <f t="shared" si="390"/>
        <v>2092</v>
      </c>
      <c r="AD1430" s="89">
        <f t="shared" si="391"/>
        <v>137</v>
      </c>
      <c r="AE1430" s="90">
        <f t="shared" si="392"/>
        <v>0</v>
      </c>
      <c r="AF1430" s="90" t="str">
        <f t="shared" si="393"/>
        <v/>
      </c>
      <c r="AG1430" s="90">
        <f t="shared" si="394"/>
        <v>0</v>
      </c>
      <c r="AH1430" s="90" t="str">
        <f t="shared" si="395"/>
        <v/>
      </c>
      <c r="AI1430" s="90">
        <f t="shared" si="396"/>
        <v>137</v>
      </c>
      <c r="AJ1430" s="90">
        <f t="shared" si="397"/>
        <v>2022</v>
      </c>
      <c r="AK1430" s="90" t="str">
        <f t="shared" si="398"/>
        <v/>
      </c>
      <c r="AL1430" s="91">
        <f>IF(AK1430="Adjust",(_xlfn.XLOOKUP(A1430,'Adj factor'!A:A,'Adj factor'!I:I,,0)*AI1430),'Master DataSheet'!AI1430)</f>
        <v>137</v>
      </c>
      <c r="AM1430" s="91">
        <f t="shared" si="399"/>
        <v>137</v>
      </c>
      <c r="AN1430" s="92" t="str">
        <f t="shared" si="400"/>
        <v>Increasing</v>
      </c>
      <c r="AS1430" s="94">
        <f t="shared" si="401"/>
        <v>0</v>
      </c>
      <c r="AT1430" s="94">
        <f t="shared" si="402"/>
        <v>0</v>
      </c>
      <c r="AU1430" s="94">
        <f t="shared" si="403"/>
        <v>2.5357462952145089E-2</v>
      </c>
    </row>
    <row r="1431" spans="1:47" x14ac:dyDescent="0.3">
      <c r="A1431" s="85" t="str">
        <f>_xlfn.XLOOKUP(B1431,'Country codes &amp; Data sources'!G:G,'Country codes &amp; Data sources'!H:H,,0)</f>
        <v>Kenya</v>
      </c>
      <c r="B1431" s="85" t="s">
        <v>175</v>
      </c>
      <c r="C1431" s="85">
        <v>43725813.5</v>
      </c>
      <c r="D1431" s="85" t="s">
        <v>333</v>
      </c>
      <c r="E1431" s="86">
        <v>0</v>
      </c>
      <c r="F1431" s="86">
        <v>44792368.000000007</v>
      </c>
      <c r="G1431" s="86">
        <v>0</v>
      </c>
      <c r="H1431" s="86"/>
      <c r="I1431" s="86">
        <v>0</v>
      </c>
      <c r="J1431" s="86"/>
      <c r="K1431" s="86">
        <v>0</v>
      </c>
      <c r="L1431" s="86"/>
      <c r="M1431" s="86">
        <v>2092</v>
      </c>
      <c r="N1431" s="86"/>
      <c r="O1431" s="86">
        <v>0</v>
      </c>
      <c r="P1431" s="86">
        <v>49953303.999999993</v>
      </c>
      <c r="Q1431" s="86">
        <v>0</v>
      </c>
      <c r="R1431" s="87">
        <f t="shared" si="388"/>
        <v>0</v>
      </c>
      <c r="T1431" s="87">
        <v>0</v>
      </c>
      <c r="U1431" s="89"/>
      <c r="V1431" s="89">
        <v>0</v>
      </c>
      <c r="W1431" s="90"/>
      <c r="X1431" s="90">
        <v>0</v>
      </c>
      <c r="Y1431" s="90">
        <v>54027486.999999985</v>
      </c>
      <c r="Z1431" s="90">
        <v>137</v>
      </c>
      <c r="AA1431" s="90">
        <v>0</v>
      </c>
      <c r="AB1431" s="89">
        <f t="shared" si="389"/>
        <v>0</v>
      </c>
      <c r="AC1431" s="89">
        <f t="shared" si="390"/>
        <v>2092</v>
      </c>
      <c r="AD1431" s="89">
        <f t="shared" si="391"/>
        <v>137</v>
      </c>
      <c r="AE1431" s="90">
        <f t="shared" si="392"/>
        <v>0</v>
      </c>
      <c r="AF1431" s="90" t="str">
        <f t="shared" si="393"/>
        <v/>
      </c>
      <c r="AG1431" s="90">
        <f t="shared" si="394"/>
        <v>0</v>
      </c>
      <c r="AH1431" s="90" t="str">
        <f t="shared" si="395"/>
        <v/>
      </c>
      <c r="AI1431" s="90">
        <f t="shared" si="396"/>
        <v>137</v>
      </c>
      <c r="AJ1431" s="90">
        <f t="shared" si="397"/>
        <v>2022</v>
      </c>
      <c r="AK1431" s="90" t="str">
        <f t="shared" si="398"/>
        <v/>
      </c>
      <c r="AL1431" s="91">
        <f>IF(AK1431="Adjust",(_xlfn.XLOOKUP(A1431,'Adj factor'!A:A,'Adj factor'!I:I,,0)*AI1431),'Master DataSheet'!AI1431)</f>
        <v>137</v>
      </c>
      <c r="AM1431" s="91">
        <f t="shared" si="399"/>
        <v>137</v>
      </c>
      <c r="AN1431" s="92" t="str">
        <f t="shared" si="400"/>
        <v>Increasing</v>
      </c>
      <c r="AS1431" s="94">
        <f t="shared" si="401"/>
        <v>0</v>
      </c>
      <c r="AT1431" s="94">
        <f t="shared" si="402"/>
        <v>0</v>
      </c>
      <c r="AU1431" s="94">
        <f t="shared" si="403"/>
        <v>2.5357462952145089E-2</v>
      </c>
    </row>
    <row r="1432" spans="1:47" x14ac:dyDescent="0.3">
      <c r="A1432" s="85" t="str">
        <f>_xlfn.XLOOKUP(B1432,'Country codes &amp; Data sources'!G:G,'Country codes &amp; Data sources'!H:H,,0)</f>
        <v>Kenya</v>
      </c>
      <c r="B1432" s="85" t="s">
        <v>175</v>
      </c>
      <c r="C1432" s="85">
        <v>43725814.5</v>
      </c>
      <c r="D1432" s="85" t="s">
        <v>334</v>
      </c>
      <c r="E1432" s="86">
        <v>0</v>
      </c>
      <c r="F1432" s="86">
        <v>44792368.000000007</v>
      </c>
      <c r="G1432" s="86">
        <v>0</v>
      </c>
      <c r="H1432" s="86"/>
      <c r="I1432" s="86">
        <v>0</v>
      </c>
      <c r="J1432" s="86"/>
      <c r="K1432" s="86">
        <v>0</v>
      </c>
      <c r="L1432" s="86"/>
      <c r="M1432" s="86">
        <v>0</v>
      </c>
      <c r="N1432" s="86"/>
      <c r="O1432" s="86">
        <v>0</v>
      </c>
      <c r="P1432" s="86">
        <v>49953303.999999993</v>
      </c>
      <c r="Q1432" s="86">
        <v>0</v>
      </c>
      <c r="R1432" s="87">
        <f t="shared" si="388"/>
        <v>0</v>
      </c>
      <c r="T1432" s="87">
        <v>0</v>
      </c>
      <c r="U1432" s="89"/>
      <c r="V1432" s="89">
        <v>0</v>
      </c>
      <c r="W1432" s="90"/>
      <c r="X1432" s="90">
        <v>0</v>
      </c>
      <c r="Y1432" s="90">
        <v>54027486.999999985</v>
      </c>
      <c r="Z1432" s="90">
        <v>0</v>
      </c>
      <c r="AA1432" s="90">
        <v>0</v>
      </c>
      <c r="AB1432" s="89">
        <f t="shared" si="389"/>
        <v>0</v>
      </c>
      <c r="AC1432" s="89">
        <f t="shared" si="390"/>
        <v>0</v>
      </c>
      <c r="AD1432" s="89">
        <f t="shared" si="391"/>
        <v>0</v>
      </c>
      <c r="AE1432" s="90">
        <f t="shared" si="392"/>
        <v>0</v>
      </c>
      <c r="AF1432" s="90" t="str">
        <f t="shared" si="393"/>
        <v/>
      </c>
      <c r="AG1432" s="90">
        <f t="shared" si="394"/>
        <v>0</v>
      </c>
      <c r="AH1432" s="90" t="str">
        <f t="shared" si="395"/>
        <v/>
      </c>
      <c r="AI1432" s="90">
        <f t="shared" si="396"/>
        <v>0</v>
      </c>
      <c r="AJ1432" s="90" t="str">
        <f t="shared" si="397"/>
        <v/>
      </c>
      <c r="AK1432" s="90" t="str">
        <f t="shared" si="398"/>
        <v/>
      </c>
      <c r="AL1432" s="91">
        <f>IF(AK1432="Adjust",(_xlfn.XLOOKUP(A1432,'Adj factor'!A:A,'Adj factor'!I:I,,0)*AI1432),'Master DataSheet'!AI1432)</f>
        <v>0</v>
      </c>
      <c r="AM1432" s="91">
        <f t="shared" si="399"/>
        <v>0</v>
      </c>
      <c r="AN1432" s="92" t="str">
        <f t="shared" si="400"/>
        <v>No change</v>
      </c>
      <c r="AS1432" s="94">
        <f t="shared" si="401"/>
        <v>0</v>
      </c>
      <c r="AT1432" s="94">
        <f t="shared" si="402"/>
        <v>0</v>
      </c>
      <c r="AU1432" s="94">
        <f t="shared" si="403"/>
        <v>0</v>
      </c>
    </row>
    <row r="1433" spans="1:47" x14ac:dyDescent="0.3">
      <c r="A1433" s="85" t="str">
        <f>_xlfn.XLOOKUP(B1433,'Country codes &amp; Data sources'!G:G,'Country codes &amp; Data sources'!H:H,,0)</f>
        <v>Kenya</v>
      </c>
      <c r="B1433" s="85" t="s">
        <v>175</v>
      </c>
      <c r="C1433" s="85">
        <v>43725815.5</v>
      </c>
      <c r="D1433" s="85" t="s">
        <v>335</v>
      </c>
      <c r="E1433" s="86">
        <v>2076</v>
      </c>
      <c r="F1433" s="86">
        <v>44792368.000000007</v>
      </c>
      <c r="G1433" s="86">
        <v>2202</v>
      </c>
      <c r="H1433" s="86"/>
      <c r="I1433" s="86">
        <v>2355</v>
      </c>
      <c r="J1433" s="86"/>
      <c r="K1433" s="86">
        <v>0</v>
      </c>
      <c r="L1433" s="86"/>
      <c r="M1433" s="86">
        <v>0</v>
      </c>
      <c r="N1433" s="86"/>
      <c r="O1433" s="86">
        <v>0</v>
      </c>
      <c r="P1433" s="86">
        <v>49953303.999999993</v>
      </c>
      <c r="Q1433" s="86">
        <v>964</v>
      </c>
      <c r="R1433" s="87">
        <f t="shared" si="388"/>
        <v>964</v>
      </c>
      <c r="T1433" s="87">
        <v>0</v>
      </c>
      <c r="U1433" s="89"/>
      <c r="V1433" s="89">
        <v>0</v>
      </c>
      <c r="W1433" s="90"/>
      <c r="X1433" s="90">
        <v>1137</v>
      </c>
      <c r="Y1433" s="90">
        <v>54027486.999999985</v>
      </c>
      <c r="Z1433" s="103">
        <v>1337</v>
      </c>
      <c r="AA1433" s="90">
        <v>964</v>
      </c>
      <c r="AB1433" s="89">
        <f t="shared" si="389"/>
        <v>2355</v>
      </c>
      <c r="AC1433" s="89">
        <f t="shared" si="390"/>
        <v>964</v>
      </c>
      <c r="AD1433" s="89">
        <f t="shared" si="391"/>
        <v>1337</v>
      </c>
      <c r="AE1433" s="90">
        <f t="shared" si="392"/>
        <v>2202</v>
      </c>
      <c r="AF1433" s="90">
        <f t="shared" si="393"/>
        <v>2013</v>
      </c>
      <c r="AG1433" s="90">
        <f t="shared" si="394"/>
        <v>964</v>
      </c>
      <c r="AH1433" s="90">
        <f t="shared" si="395"/>
        <v>2018</v>
      </c>
      <c r="AI1433" s="90">
        <f t="shared" si="396"/>
        <v>1337</v>
      </c>
      <c r="AJ1433" s="90">
        <v>2022</v>
      </c>
      <c r="AK1433" s="90" t="str">
        <f t="shared" si="398"/>
        <v/>
      </c>
      <c r="AL1433" s="91">
        <f>IF(AK1433="Adjust",(_xlfn.XLOOKUP(A1433,'Adj factor'!A:A,'Adj factor'!I:I,,0)*AI1433),'Master DataSheet'!AI1433)</f>
        <v>1337</v>
      </c>
      <c r="AM1433" s="91">
        <f t="shared" si="399"/>
        <v>1337</v>
      </c>
      <c r="AN1433" s="92" t="str">
        <f t="shared" si="400"/>
        <v>Increasing</v>
      </c>
      <c r="AS1433" s="94">
        <f t="shared" si="401"/>
        <v>0.49160160498770678</v>
      </c>
      <c r="AT1433" s="94">
        <f t="shared" si="402"/>
        <v>0.19298022809462215</v>
      </c>
      <c r="AU1433" s="94">
        <f t="shared" si="403"/>
        <v>0.24746662749648163</v>
      </c>
    </row>
    <row r="1434" spans="1:47" ht="14.5" x14ac:dyDescent="0.35">
      <c r="A1434" s="85" t="str">
        <f>_xlfn.XLOOKUP(B1434,'Country codes &amp; Data sources'!G:G,'Country codes &amp; Data sources'!H:H,,0)</f>
        <v>Kenya</v>
      </c>
      <c r="B1434" s="85" t="s">
        <v>175</v>
      </c>
      <c r="C1434" s="85">
        <v>43725816.5</v>
      </c>
      <c r="D1434" s="85" t="s">
        <v>336</v>
      </c>
      <c r="E1434" s="86">
        <v>0</v>
      </c>
      <c r="F1434" s="86">
        <v>44792368.000000007</v>
      </c>
      <c r="G1434" s="86">
        <v>0</v>
      </c>
      <c r="H1434" s="86"/>
      <c r="I1434" s="86">
        <v>0</v>
      </c>
      <c r="J1434" s="86"/>
      <c r="K1434" s="86">
        <v>0</v>
      </c>
      <c r="L1434" s="86"/>
      <c r="M1434" s="86">
        <v>0</v>
      </c>
      <c r="N1434" s="86"/>
      <c r="O1434" s="86">
        <v>0</v>
      </c>
      <c r="P1434" s="86">
        <v>49953303.999999993</v>
      </c>
      <c r="Q1434" s="86">
        <v>1331</v>
      </c>
      <c r="R1434" s="87">
        <f t="shared" si="388"/>
        <v>1331</v>
      </c>
      <c r="T1434" s="87">
        <v>0</v>
      </c>
      <c r="U1434" s="89"/>
      <c r="V1434" s="89">
        <v>0</v>
      </c>
      <c r="W1434" s="90"/>
      <c r="X1434" s="90">
        <v>1780</v>
      </c>
      <c r="Y1434" s="90">
        <v>54027486.999999985</v>
      </c>
      <c r="Z1434" s="114">
        <v>6240</v>
      </c>
      <c r="AA1434" s="90">
        <v>1331</v>
      </c>
      <c r="AB1434" s="89">
        <f t="shared" si="389"/>
        <v>0</v>
      </c>
      <c r="AC1434" s="89">
        <f t="shared" si="390"/>
        <v>1331</v>
      </c>
      <c r="AD1434" s="89">
        <f t="shared" si="391"/>
        <v>6240</v>
      </c>
      <c r="AE1434" s="90">
        <f t="shared" si="392"/>
        <v>0</v>
      </c>
      <c r="AF1434" s="90" t="str">
        <f t="shared" si="393"/>
        <v/>
      </c>
      <c r="AG1434" s="90">
        <f t="shared" si="394"/>
        <v>1331</v>
      </c>
      <c r="AH1434" s="90">
        <f t="shared" si="395"/>
        <v>2018</v>
      </c>
      <c r="AI1434" s="90">
        <f t="shared" si="396"/>
        <v>6240</v>
      </c>
      <c r="AJ1434" s="90">
        <v>2022</v>
      </c>
      <c r="AK1434" s="90" t="str">
        <f t="shared" si="398"/>
        <v/>
      </c>
      <c r="AL1434" s="91">
        <f>IF(AK1434="Adjust",(_xlfn.XLOOKUP(A1434,'Adj factor'!A:A,'Adj factor'!I:I,,0)*AI1434),'Master DataSheet'!AI1434)</f>
        <v>6240</v>
      </c>
      <c r="AM1434" s="91">
        <f t="shared" si="399"/>
        <v>6240</v>
      </c>
      <c r="AN1434" s="92" t="str">
        <f t="shared" si="400"/>
        <v>Increasing</v>
      </c>
      <c r="AS1434" s="94">
        <f t="shared" si="401"/>
        <v>0</v>
      </c>
      <c r="AT1434" s="94">
        <f t="shared" si="402"/>
        <v>0.26644884190242957</v>
      </c>
      <c r="AU1434" s="94">
        <f t="shared" si="403"/>
        <v>1.1549676556305499</v>
      </c>
    </row>
    <row r="1435" spans="1:47" x14ac:dyDescent="0.3">
      <c r="A1435" s="85" t="str">
        <f>_xlfn.XLOOKUP(B1435,'Country codes &amp; Data sources'!G:G,'Country codes &amp; Data sources'!H:H,,0)</f>
        <v>Kenya</v>
      </c>
      <c r="B1435" s="85" t="s">
        <v>175</v>
      </c>
      <c r="C1435" s="85">
        <v>43725817.5</v>
      </c>
      <c r="D1435" s="85" t="s">
        <v>337</v>
      </c>
      <c r="E1435" s="86">
        <v>985</v>
      </c>
      <c r="F1435" s="86">
        <v>44792368.000000007</v>
      </c>
      <c r="G1435" s="86">
        <v>1045</v>
      </c>
      <c r="H1435" s="86"/>
      <c r="I1435" s="86">
        <v>1090</v>
      </c>
      <c r="J1435" s="86"/>
      <c r="K1435" s="86">
        <v>0</v>
      </c>
      <c r="L1435" s="86"/>
      <c r="M1435" s="86">
        <v>0</v>
      </c>
      <c r="N1435" s="86"/>
      <c r="O1435" s="86">
        <v>0</v>
      </c>
      <c r="P1435" s="86">
        <v>49953303.999999993</v>
      </c>
      <c r="Q1435" s="86">
        <v>841</v>
      </c>
      <c r="R1435" s="87">
        <f t="shared" si="388"/>
        <v>1300</v>
      </c>
      <c r="T1435" s="87">
        <v>1300</v>
      </c>
      <c r="U1435" s="89"/>
      <c r="V1435" s="89">
        <v>0</v>
      </c>
      <c r="W1435" s="90"/>
      <c r="X1435" s="90">
        <v>0</v>
      </c>
      <c r="Y1435" s="90">
        <v>54027486.999999985</v>
      </c>
      <c r="Z1435" s="103">
        <v>1344</v>
      </c>
      <c r="AA1435" s="90">
        <v>1300</v>
      </c>
      <c r="AB1435" s="89">
        <f t="shared" si="389"/>
        <v>1090</v>
      </c>
      <c r="AC1435" s="89">
        <f t="shared" si="390"/>
        <v>1300</v>
      </c>
      <c r="AD1435" s="89">
        <f t="shared" si="391"/>
        <v>1344</v>
      </c>
      <c r="AE1435" s="90">
        <f t="shared" si="392"/>
        <v>1045</v>
      </c>
      <c r="AF1435" s="90">
        <f t="shared" si="393"/>
        <v>2013</v>
      </c>
      <c r="AG1435" s="90">
        <f t="shared" si="394"/>
        <v>1300</v>
      </c>
      <c r="AH1435" s="90" t="str">
        <f t="shared" si="395"/>
        <v>2018 (triag)</v>
      </c>
      <c r="AI1435" s="90">
        <f t="shared" si="396"/>
        <v>1344</v>
      </c>
      <c r="AJ1435" s="90">
        <v>2022</v>
      </c>
      <c r="AK1435" s="90" t="str">
        <f t="shared" si="398"/>
        <v/>
      </c>
      <c r="AL1435" s="91">
        <f>IF(AK1435="Adjust",(_xlfn.XLOOKUP(A1435,'Adj factor'!A:A,'Adj factor'!I:I,,0)*AI1435),'Master DataSheet'!AI1435)</f>
        <v>1344</v>
      </c>
      <c r="AM1435" s="91">
        <f t="shared" si="399"/>
        <v>1344</v>
      </c>
      <c r="AN1435" s="92" t="str">
        <f t="shared" si="400"/>
        <v>Increasing</v>
      </c>
      <c r="AS1435" s="94">
        <f t="shared" si="401"/>
        <v>0.2332986726667364</v>
      </c>
      <c r="AT1435" s="94">
        <f t="shared" si="402"/>
        <v>0.26024304618569377</v>
      </c>
      <c r="AU1435" s="94">
        <f t="shared" si="403"/>
        <v>0.24876226428965692</v>
      </c>
    </row>
    <row r="1436" spans="1:47" ht="14.5" x14ac:dyDescent="0.35">
      <c r="A1436" s="85" t="str">
        <f>_xlfn.XLOOKUP(B1436,'Country codes &amp; Data sources'!G:G,'Country codes &amp; Data sources'!H:H,,0)</f>
        <v>Kenya</v>
      </c>
      <c r="B1436" s="85" t="s">
        <v>175</v>
      </c>
      <c r="C1436" s="85">
        <v>43725818.5</v>
      </c>
      <c r="D1436" s="85" t="s">
        <v>338</v>
      </c>
      <c r="E1436" s="86">
        <v>0</v>
      </c>
      <c r="F1436" s="86">
        <v>44792368.000000007</v>
      </c>
      <c r="G1436" s="86">
        <v>0</v>
      </c>
      <c r="H1436" s="86"/>
      <c r="I1436" s="86">
        <v>0</v>
      </c>
      <c r="J1436" s="86"/>
      <c r="K1436" s="86">
        <v>0</v>
      </c>
      <c r="L1436" s="86"/>
      <c r="M1436" s="86">
        <v>0</v>
      </c>
      <c r="N1436" s="86"/>
      <c r="O1436" s="86">
        <v>0</v>
      </c>
      <c r="P1436" s="86">
        <v>49953303.999999993</v>
      </c>
      <c r="Q1436" s="86">
        <v>0</v>
      </c>
      <c r="R1436" s="87">
        <f t="shared" si="388"/>
        <v>464</v>
      </c>
      <c r="T1436" s="87">
        <v>464</v>
      </c>
      <c r="U1436" s="89"/>
      <c r="V1436" s="89">
        <v>0</v>
      </c>
      <c r="W1436" s="90"/>
      <c r="X1436" s="90">
        <v>246</v>
      </c>
      <c r="Y1436" s="90">
        <v>54027486.999999985</v>
      </c>
      <c r="Z1436" s="114">
        <v>987</v>
      </c>
      <c r="AA1436" s="90">
        <v>464</v>
      </c>
      <c r="AB1436" s="89">
        <f t="shared" si="389"/>
        <v>0</v>
      </c>
      <c r="AC1436" s="89">
        <f t="shared" si="390"/>
        <v>464</v>
      </c>
      <c r="AD1436" s="89">
        <f t="shared" si="391"/>
        <v>987</v>
      </c>
      <c r="AE1436" s="90">
        <f t="shared" si="392"/>
        <v>0</v>
      </c>
      <c r="AF1436" s="90" t="str">
        <f t="shared" si="393"/>
        <v/>
      </c>
      <c r="AG1436" s="90">
        <f t="shared" si="394"/>
        <v>464</v>
      </c>
      <c r="AH1436" s="90" t="str">
        <f t="shared" si="395"/>
        <v>2018 (triag)</v>
      </c>
      <c r="AI1436" s="90">
        <f t="shared" si="396"/>
        <v>987</v>
      </c>
      <c r="AJ1436" s="90">
        <v>2022</v>
      </c>
      <c r="AK1436" s="90" t="str">
        <f t="shared" si="398"/>
        <v/>
      </c>
      <c r="AL1436" s="91">
        <f>IF(AK1436="Adjust",(_xlfn.XLOOKUP(A1436,'Adj factor'!A:A,'Adj factor'!I:I,,0)*AI1436),'Master DataSheet'!AI1436)</f>
        <v>987</v>
      </c>
      <c r="AM1436" s="91">
        <f t="shared" si="399"/>
        <v>987</v>
      </c>
      <c r="AN1436" s="92" t="str">
        <f t="shared" si="400"/>
        <v>Increasing</v>
      </c>
      <c r="AS1436" s="94">
        <f t="shared" si="401"/>
        <v>0</v>
      </c>
      <c r="AT1436" s="94">
        <f t="shared" si="402"/>
        <v>9.2886748792432236E-2</v>
      </c>
      <c r="AU1436" s="94">
        <f t="shared" si="403"/>
        <v>0.1826847878377168</v>
      </c>
    </row>
    <row r="1437" spans="1:47" x14ac:dyDescent="0.3">
      <c r="A1437" s="85" t="str">
        <f>_xlfn.XLOOKUP(B1437,'Country codes &amp; Data sources'!G:G,'Country codes &amp; Data sources'!H:H,,0)</f>
        <v>Kenya</v>
      </c>
      <c r="B1437" s="85" t="s">
        <v>175</v>
      </c>
      <c r="C1437" s="85">
        <v>43725819.5</v>
      </c>
      <c r="D1437" s="85" t="s">
        <v>339</v>
      </c>
      <c r="E1437" s="86">
        <v>0</v>
      </c>
      <c r="F1437" s="86">
        <v>44792368.000000007</v>
      </c>
      <c r="G1437" s="86">
        <v>0</v>
      </c>
      <c r="H1437" s="86"/>
      <c r="I1437" s="86">
        <v>0</v>
      </c>
      <c r="J1437" s="86"/>
      <c r="K1437" s="86">
        <v>0</v>
      </c>
      <c r="L1437" s="86"/>
      <c r="M1437" s="86">
        <v>0</v>
      </c>
      <c r="N1437" s="86"/>
      <c r="O1437" s="86">
        <v>0</v>
      </c>
      <c r="P1437" s="86">
        <v>49953303.999999993</v>
      </c>
      <c r="Q1437" s="86">
        <v>0</v>
      </c>
      <c r="R1437" s="87">
        <f t="shared" si="388"/>
        <v>0</v>
      </c>
      <c r="T1437" s="87">
        <v>0</v>
      </c>
      <c r="U1437" s="89"/>
      <c r="V1437" s="89">
        <v>0</v>
      </c>
      <c r="W1437" s="90"/>
      <c r="X1437" s="90">
        <v>0</v>
      </c>
      <c r="Y1437" s="90">
        <v>54027486.999999985</v>
      </c>
      <c r="Z1437" s="90">
        <v>0</v>
      </c>
      <c r="AA1437" s="90">
        <v>0</v>
      </c>
      <c r="AB1437" s="89">
        <f t="shared" si="389"/>
        <v>0</v>
      </c>
      <c r="AC1437" s="89">
        <f t="shared" si="390"/>
        <v>0</v>
      </c>
      <c r="AD1437" s="89">
        <f t="shared" si="391"/>
        <v>0</v>
      </c>
      <c r="AE1437" s="90">
        <f t="shared" si="392"/>
        <v>0</v>
      </c>
      <c r="AF1437" s="90" t="str">
        <f t="shared" si="393"/>
        <v/>
      </c>
      <c r="AG1437" s="90">
        <f t="shared" si="394"/>
        <v>0</v>
      </c>
      <c r="AH1437" s="90" t="str">
        <f t="shared" si="395"/>
        <v/>
      </c>
      <c r="AI1437" s="90">
        <f t="shared" si="396"/>
        <v>0</v>
      </c>
      <c r="AJ1437" s="90" t="str">
        <f t="shared" si="397"/>
        <v/>
      </c>
      <c r="AK1437" s="90" t="str">
        <f t="shared" si="398"/>
        <v/>
      </c>
      <c r="AL1437" s="91">
        <f>IF(AK1437="Adjust",(_xlfn.XLOOKUP(A1437,'Adj factor'!A:A,'Adj factor'!I:I,,0)*AI1437),'Master DataSheet'!AI1437)</f>
        <v>0</v>
      </c>
      <c r="AM1437" s="91">
        <f t="shared" si="399"/>
        <v>0</v>
      </c>
      <c r="AN1437" s="92" t="str">
        <f t="shared" si="400"/>
        <v>No change</v>
      </c>
      <c r="AS1437" s="94">
        <f t="shared" si="401"/>
        <v>0</v>
      </c>
      <c r="AT1437" s="94">
        <f t="shared" si="402"/>
        <v>0</v>
      </c>
      <c r="AU1437" s="94">
        <f t="shared" si="403"/>
        <v>0</v>
      </c>
    </row>
    <row r="1438" spans="1:47" x14ac:dyDescent="0.3">
      <c r="A1438" s="85" t="str">
        <f>_xlfn.XLOOKUP(B1438,'Country codes &amp; Data sources'!G:G,'Country codes &amp; Data sources'!H:H,,0)</f>
        <v>Liberia</v>
      </c>
      <c r="B1438" s="85" t="s">
        <v>176</v>
      </c>
      <c r="C1438" s="85">
        <v>4331740.4999999991</v>
      </c>
      <c r="D1438" s="85" t="s">
        <v>326</v>
      </c>
      <c r="E1438" s="86">
        <v>0</v>
      </c>
      <c r="F1438" s="86">
        <v>4427312.4999999991</v>
      </c>
      <c r="G1438" s="86">
        <v>0</v>
      </c>
      <c r="H1438" s="86">
        <v>4519397.9999999981</v>
      </c>
      <c r="I1438" s="86">
        <v>0</v>
      </c>
      <c r="J1438" s="86">
        <v>4612328.9999999972</v>
      </c>
      <c r="K1438" s="86">
        <v>168</v>
      </c>
      <c r="L1438" s="86">
        <v>4706097.5000000009</v>
      </c>
      <c r="M1438" s="86">
        <v>234</v>
      </c>
      <c r="N1438" s="86">
        <v>4796630.9999999963</v>
      </c>
      <c r="O1438" s="86">
        <v>248</v>
      </c>
      <c r="P1438" s="86">
        <v>4889391</v>
      </c>
      <c r="Q1438" s="86">
        <v>693</v>
      </c>
      <c r="R1438" s="87">
        <f t="shared" si="388"/>
        <v>693</v>
      </c>
      <c r="S1438" s="87">
        <v>4985289.0000000075</v>
      </c>
      <c r="T1438" s="87">
        <v>732</v>
      </c>
      <c r="U1438" s="89">
        <v>5087584.5000000019</v>
      </c>
      <c r="V1438" s="89">
        <v>777</v>
      </c>
      <c r="W1438" s="90">
        <v>5193415.5000000019</v>
      </c>
      <c r="X1438" s="90">
        <v>887</v>
      </c>
      <c r="Y1438" s="90">
        <v>5302681.0000000028</v>
      </c>
      <c r="Z1438" s="90">
        <v>954</v>
      </c>
      <c r="AA1438" s="90">
        <v>246</v>
      </c>
      <c r="AB1438" s="89">
        <f t="shared" si="389"/>
        <v>168</v>
      </c>
      <c r="AC1438" s="89">
        <f t="shared" si="390"/>
        <v>732</v>
      </c>
      <c r="AD1438" s="89">
        <f t="shared" si="391"/>
        <v>954</v>
      </c>
      <c r="AE1438" s="90">
        <f t="shared" si="392"/>
        <v>168</v>
      </c>
      <c r="AF1438" s="90">
        <f t="shared" si="393"/>
        <v>2015</v>
      </c>
      <c r="AG1438" s="90">
        <f t="shared" si="394"/>
        <v>693</v>
      </c>
      <c r="AH1438" s="90">
        <f t="shared" si="395"/>
        <v>2018</v>
      </c>
      <c r="AI1438" s="90">
        <f t="shared" si="396"/>
        <v>954</v>
      </c>
      <c r="AJ1438" s="90">
        <f t="shared" si="397"/>
        <v>2022</v>
      </c>
      <c r="AK1438" s="90" t="str">
        <f t="shared" si="398"/>
        <v/>
      </c>
      <c r="AL1438" s="91">
        <f>IF(AK1438="Adjust",(_xlfn.XLOOKUP(A1438,'Adj factor'!A:A,'Adj factor'!I:I,,0)*AI1438),'Master DataSheet'!AI1438)</f>
        <v>954</v>
      </c>
      <c r="AM1438" s="91">
        <f t="shared" si="399"/>
        <v>954</v>
      </c>
      <c r="AN1438" s="92" t="str">
        <f t="shared" si="400"/>
        <v>Increasing</v>
      </c>
      <c r="AS1438" s="94">
        <f t="shared" si="401"/>
        <v>0.37946271016559152</v>
      </c>
      <c r="AT1438" s="94">
        <f t="shared" si="402"/>
        <v>1.4173544312573898</v>
      </c>
      <c r="AU1438" s="94">
        <f t="shared" si="403"/>
        <v>1.7990899320551237</v>
      </c>
    </row>
    <row r="1439" spans="1:47" x14ac:dyDescent="0.3">
      <c r="A1439" s="85" t="str">
        <f>_xlfn.XLOOKUP(B1439,'Country codes &amp; Data sources'!G:G,'Country codes &amp; Data sources'!H:H,,0)</f>
        <v>Liberia</v>
      </c>
      <c r="B1439" s="85" t="s">
        <v>176</v>
      </c>
      <c r="C1439" s="85">
        <v>4331741.5</v>
      </c>
      <c r="D1439" s="85" t="s">
        <v>327</v>
      </c>
      <c r="E1439" s="86">
        <v>0</v>
      </c>
      <c r="F1439" s="86">
        <v>4427312.4999999991</v>
      </c>
      <c r="G1439" s="86">
        <v>0</v>
      </c>
      <c r="H1439" s="86"/>
      <c r="I1439" s="86">
        <v>0</v>
      </c>
      <c r="J1439" s="86"/>
      <c r="K1439" s="86">
        <v>0</v>
      </c>
      <c r="L1439" s="86"/>
      <c r="M1439" s="86">
        <v>0</v>
      </c>
      <c r="N1439" s="86"/>
      <c r="O1439" s="86">
        <v>0</v>
      </c>
      <c r="P1439" s="86">
        <v>4889391</v>
      </c>
      <c r="Q1439" s="86">
        <v>672</v>
      </c>
      <c r="R1439" s="87">
        <f t="shared" si="388"/>
        <v>672</v>
      </c>
      <c r="T1439" s="87">
        <v>697</v>
      </c>
      <c r="U1439" s="89"/>
      <c r="V1439" s="89">
        <v>725</v>
      </c>
      <c r="W1439" s="90"/>
      <c r="X1439" s="90">
        <v>800</v>
      </c>
      <c r="Y1439" s="90">
        <v>5302681.0000000028</v>
      </c>
      <c r="Z1439" s="90">
        <v>840</v>
      </c>
      <c r="AA1439" s="90">
        <v>234</v>
      </c>
      <c r="AB1439" s="89">
        <f t="shared" si="389"/>
        <v>0</v>
      </c>
      <c r="AC1439" s="89">
        <f t="shared" si="390"/>
        <v>697</v>
      </c>
      <c r="AD1439" s="89">
        <f t="shared" si="391"/>
        <v>840</v>
      </c>
      <c r="AE1439" s="90">
        <f t="shared" si="392"/>
        <v>0</v>
      </c>
      <c r="AF1439" s="90" t="str">
        <f t="shared" si="393"/>
        <v/>
      </c>
      <c r="AG1439" s="90">
        <f t="shared" si="394"/>
        <v>672</v>
      </c>
      <c r="AH1439" s="90">
        <f t="shared" si="395"/>
        <v>2018</v>
      </c>
      <c r="AI1439" s="90">
        <f t="shared" si="396"/>
        <v>840</v>
      </c>
      <c r="AJ1439" s="90">
        <f t="shared" si="397"/>
        <v>2022</v>
      </c>
      <c r="AK1439" s="90" t="str">
        <f t="shared" si="398"/>
        <v/>
      </c>
      <c r="AL1439" s="91">
        <f>IF(AK1439="Adjust",(_xlfn.XLOOKUP(A1439,'Adj factor'!A:A,'Adj factor'!I:I,,0)*AI1439),'Master DataSheet'!AI1439)</f>
        <v>840</v>
      </c>
      <c r="AM1439" s="91">
        <f t="shared" si="399"/>
        <v>840</v>
      </c>
      <c r="AN1439" s="92" t="str">
        <f t="shared" si="400"/>
        <v>Increasing</v>
      </c>
      <c r="AS1439" s="94">
        <f t="shared" si="401"/>
        <v>0</v>
      </c>
      <c r="AT1439" s="94">
        <f t="shared" si="402"/>
        <v>1.3744042969768628</v>
      </c>
      <c r="AU1439" s="94">
        <f t="shared" si="403"/>
        <v>1.5841043426900459</v>
      </c>
    </row>
    <row r="1440" spans="1:47" x14ac:dyDescent="0.3">
      <c r="A1440" s="85" t="str">
        <f>_xlfn.XLOOKUP(B1440,'Country codes &amp; Data sources'!G:G,'Country codes &amp; Data sources'!H:H,,0)</f>
        <v>Liberia</v>
      </c>
      <c r="B1440" s="85" t="s">
        <v>176</v>
      </c>
      <c r="C1440" s="85">
        <v>4331742.5</v>
      </c>
      <c r="D1440" s="85" t="s">
        <v>328</v>
      </c>
      <c r="E1440" s="86">
        <v>0</v>
      </c>
      <c r="F1440" s="86">
        <v>4427312.4999999991</v>
      </c>
      <c r="G1440" s="86">
        <v>0</v>
      </c>
      <c r="H1440" s="86"/>
      <c r="I1440" s="86">
        <v>0</v>
      </c>
      <c r="J1440" s="86"/>
      <c r="K1440" s="86">
        <v>0</v>
      </c>
      <c r="L1440" s="86"/>
      <c r="M1440" s="86">
        <v>0</v>
      </c>
      <c r="N1440" s="86"/>
      <c r="O1440" s="86">
        <v>0</v>
      </c>
      <c r="P1440" s="86">
        <v>4889391</v>
      </c>
      <c r="Q1440" s="86">
        <v>21</v>
      </c>
      <c r="R1440" s="87">
        <f t="shared" si="388"/>
        <v>21</v>
      </c>
      <c r="T1440" s="87">
        <v>35</v>
      </c>
      <c r="U1440" s="89"/>
      <c r="V1440" s="89">
        <v>52</v>
      </c>
      <c r="W1440" s="90"/>
      <c r="X1440" s="90">
        <v>87</v>
      </c>
      <c r="Y1440" s="90">
        <v>5302681.0000000028</v>
      </c>
      <c r="Z1440" s="90">
        <v>114</v>
      </c>
      <c r="AA1440" s="90">
        <v>12</v>
      </c>
      <c r="AB1440" s="89">
        <f t="shared" si="389"/>
        <v>0</v>
      </c>
      <c r="AC1440" s="89">
        <f t="shared" si="390"/>
        <v>35</v>
      </c>
      <c r="AD1440" s="89">
        <f t="shared" si="391"/>
        <v>114</v>
      </c>
      <c r="AE1440" s="90">
        <f t="shared" si="392"/>
        <v>0</v>
      </c>
      <c r="AF1440" s="90" t="str">
        <f t="shared" si="393"/>
        <v/>
      </c>
      <c r="AG1440" s="90">
        <f t="shared" si="394"/>
        <v>21</v>
      </c>
      <c r="AH1440" s="90">
        <f t="shared" si="395"/>
        <v>2018</v>
      </c>
      <c r="AI1440" s="90">
        <f t="shared" si="396"/>
        <v>114</v>
      </c>
      <c r="AJ1440" s="90">
        <f t="shared" si="397"/>
        <v>2022</v>
      </c>
      <c r="AK1440" s="90" t="str">
        <f t="shared" si="398"/>
        <v/>
      </c>
      <c r="AL1440" s="91">
        <f>IF(AK1440="Adjust",(_xlfn.XLOOKUP(A1440,'Adj factor'!A:A,'Adj factor'!I:I,,0)*AI1440),'Master DataSheet'!AI1440)</f>
        <v>114</v>
      </c>
      <c r="AM1440" s="91">
        <f t="shared" si="399"/>
        <v>114</v>
      </c>
      <c r="AN1440" s="92" t="str">
        <f t="shared" si="400"/>
        <v>Increasing</v>
      </c>
      <c r="AS1440" s="94">
        <f t="shared" si="401"/>
        <v>0</v>
      </c>
      <c r="AT1440" s="94">
        <f t="shared" si="402"/>
        <v>4.2950134280526964E-2</v>
      </c>
      <c r="AU1440" s="94">
        <f t="shared" si="403"/>
        <v>0.21498558936507767</v>
      </c>
    </row>
    <row r="1441" spans="1:47" x14ac:dyDescent="0.3">
      <c r="A1441" s="85" t="str">
        <f>_xlfn.XLOOKUP(B1441,'Country codes &amp; Data sources'!G:G,'Country codes &amp; Data sources'!H:H,,0)</f>
        <v>Liberia</v>
      </c>
      <c r="B1441" s="85" t="s">
        <v>176</v>
      </c>
      <c r="C1441" s="85">
        <v>4331743.5</v>
      </c>
      <c r="D1441" s="85" t="s">
        <v>329</v>
      </c>
      <c r="E1441" s="86">
        <v>0</v>
      </c>
      <c r="F1441" s="86">
        <v>4427312.4999999991</v>
      </c>
      <c r="G1441" s="86">
        <v>0</v>
      </c>
      <c r="H1441" s="86"/>
      <c r="I1441" s="86">
        <v>0</v>
      </c>
      <c r="J1441" s="86"/>
      <c r="K1441" s="86">
        <v>0</v>
      </c>
      <c r="L1441" s="86"/>
      <c r="M1441" s="86">
        <v>0</v>
      </c>
      <c r="N1441" s="86"/>
      <c r="O1441" s="86">
        <v>0</v>
      </c>
      <c r="P1441" s="86">
        <v>4889391</v>
      </c>
      <c r="Q1441" s="86">
        <v>2263</v>
      </c>
      <c r="R1441" s="87">
        <f t="shared" si="388"/>
        <v>8488</v>
      </c>
      <c r="T1441" s="87">
        <v>1978</v>
      </c>
      <c r="U1441" s="89"/>
      <c r="V1441" s="89">
        <v>2416</v>
      </c>
      <c r="W1441" s="90"/>
      <c r="X1441" s="90">
        <v>1761</v>
      </c>
      <c r="Y1441" s="90">
        <v>5302681.0000000028</v>
      </c>
      <c r="Z1441" s="90">
        <v>3440</v>
      </c>
      <c r="AA1441" s="90">
        <v>8488</v>
      </c>
      <c r="AB1441" s="89">
        <f t="shared" si="389"/>
        <v>0</v>
      </c>
      <c r="AC1441" s="89">
        <f t="shared" si="390"/>
        <v>2263</v>
      </c>
      <c r="AD1441" s="89">
        <f t="shared" si="391"/>
        <v>3440</v>
      </c>
      <c r="AE1441" s="90">
        <f t="shared" si="392"/>
        <v>0</v>
      </c>
      <c r="AF1441" s="90" t="str">
        <f t="shared" si="393"/>
        <v/>
      </c>
      <c r="AG1441" s="90">
        <f t="shared" si="394"/>
        <v>8488</v>
      </c>
      <c r="AH1441" s="90" t="str">
        <f t="shared" si="395"/>
        <v>2018 (triag)</v>
      </c>
      <c r="AI1441" s="90">
        <f t="shared" si="396"/>
        <v>3440</v>
      </c>
      <c r="AJ1441" s="90">
        <f t="shared" si="397"/>
        <v>2022</v>
      </c>
      <c r="AK1441" s="90" t="str">
        <f t="shared" si="398"/>
        <v>Adjust</v>
      </c>
      <c r="AL1441" s="91">
        <f>IF(AK1441="Adjust",(_xlfn.XLOOKUP(A1441,'Adj factor'!A:A,'Adj factor'!I:I,,0)*AI1441),'Master DataSheet'!AI1441)</f>
        <v>4423.7952883834278</v>
      </c>
      <c r="AM1441" s="91">
        <f t="shared" si="399"/>
        <v>8488</v>
      </c>
      <c r="AN1441" s="92" t="str">
        <f t="shared" si="400"/>
        <v>Decreasing</v>
      </c>
      <c r="AS1441" s="94">
        <f t="shared" si="401"/>
        <v>0</v>
      </c>
      <c r="AT1441" s="94">
        <f t="shared" si="402"/>
        <v>17.360035227291089</v>
      </c>
      <c r="AU1441" s="94">
        <f t="shared" si="403"/>
        <v>16.006997215182274</v>
      </c>
    </row>
    <row r="1442" spans="1:47" x14ac:dyDescent="0.3">
      <c r="A1442" s="85" t="str">
        <f>_xlfn.XLOOKUP(B1442,'Country codes &amp; Data sources'!G:G,'Country codes &amp; Data sources'!H:H,,0)</f>
        <v>Liberia</v>
      </c>
      <c r="B1442" s="85" t="s">
        <v>176</v>
      </c>
      <c r="C1442" s="85">
        <v>4331744.5</v>
      </c>
      <c r="D1442" s="85" t="s">
        <v>330</v>
      </c>
      <c r="E1442" s="86">
        <v>0</v>
      </c>
      <c r="F1442" s="86">
        <v>4427312.4999999991</v>
      </c>
      <c r="G1442" s="86">
        <v>0</v>
      </c>
      <c r="H1442" s="86"/>
      <c r="I1442" s="86">
        <v>0</v>
      </c>
      <c r="J1442" s="86"/>
      <c r="K1442" s="86">
        <v>0</v>
      </c>
      <c r="L1442" s="86"/>
      <c r="M1442" s="86">
        <v>0</v>
      </c>
      <c r="N1442" s="86"/>
      <c r="O1442" s="86">
        <v>0</v>
      </c>
      <c r="P1442" s="86">
        <v>4889391</v>
      </c>
      <c r="Q1442" s="86">
        <v>2263</v>
      </c>
      <c r="R1442" s="87">
        <f t="shared" si="388"/>
        <v>4887</v>
      </c>
      <c r="T1442" s="87">
        <v>1978</v>
      </c>
      <c r="U1442" s="89"/>
      <c r="V1442" s="89">
        <v>2416</v>
      </c>
      <c r="W1442" s="90"/>
      <c r="X1442" s="90">
        <v>1761</v>
      </c>
      <c r="Y1442" s="90">
        <v>5302681.0000000028</v>
      </c>
      <c r="Z1442" s="90">
        <v>2017</v>
      </c>
      <c r="AA1442" s="90">
        <v>4887</v>
      </c>
      <c r="AB1442" s="89">
        <f t="shared" si="389"/>
        <v>0</v>
      </c>
      <c r="AC1442" s="89">
        <f t="shared" si="390"/>
        <v>2263</v>
      </c>
      <c r="AD1442" s="89">
        <f t="shared" si="391"/>
        <v>2416</v>
      </c>
      <c r="AE1442" s="90">
        <f t="shared" si="392"/>
        <v>0</v>
      </c>
      <c r="AF1442" s="90" t="str">
        <f t="shared" si="393"/>
        <v/>
      </c>
      <c r="AG1442" s="90">
        <f t="shared" si="394"/>
        <v>4887</v>
      </c>
      <c r="AH1442" s="90" t="str">
        <f t="shared" si="395"/>
        <v>2018 (triag)</v>
      </c>
      <c r="AI1442" s="90">
        <f t="shared" si="396"/>
        <v>2017</v>
      </c>
      <c r="AJ1442" s="90">
        <f t="shared" si="397"/>
        <v>2022</v>
      </c>
      <c r="AK1442" s="90" t="str">
        <f t="shared" si="398"/>
        <v>Adjust</v>
      </c>
      <c r="AL1442" s="91">
        <f>IF(AK1442="Adjust",(_xlfn.XLOOKUP(A1442,'Adj factor'!A:A,'Adj factor'!I:I,,0)*AI1442),'Master DataSheet'!AI1442)</f>
        <v>2593.8357839155155</v>
      </c>
      <c r="AM1442" s="91">
        <f t="shared" si="399"/>
        <v>4887</v>
      </c>
      <c r="AN1442" s="92" t="str">
        <f t="shared" si="400"/>
        <v>Decreasing</v>
      </c>
      <c r="AS1442" s="94">
        <f t="shared" si="401"/>
        <v>0</v>
      </c>
      <c r="AT1442" s="94">
        <f t="shared" si="402"/>
        <v>9.9951098204254887</v>
      </c>
      <c r="AU1442" s="94">
        <f t="shared" si="403"/>
        <v>9.2160927651503037</v>
      </c>
    </row>
    <row r="1443" spans="1:47" x14ac:dyDescent="0.3">
      <c r="A1443" s="85" t="str">
        <f>_xlfn.XLOOKUP(B1443,'Country codes &amp; Data sources'!G:G,'Country codes &amp; Data sources'!H:H,,0)</f>
        <v>Liberia</v>
      </c>
      <c r="B1443" s="85" t="s">
        <v>176</v>
      </c>
      <c r="C1443" s="85">
        <v>4331745.5</v>
      </c>
      <c r="D1443" s="85" t="s">
        <v>331</v>
      </c>
      <c r="E1443" s="86">
        <v>0</v>
      </c>
      <c r="F1443" s="86">
        <v>4427312.4999999991</v>
      </c>
      <c r="G1443" s="86">
        <v>0</v>
      </c>
      <c r="H1443" s="86"/>
      <c r="I1443" s="86">
        <v>0</v>
      </c>
      <c r="J1443" s="86"/>
      <c r="K1443" s="86">
        <v>0</v>
      </c>
      <c r="L1443" s="86"/>
      <c r="M1443" s="86">
        <v>0</v>
      </c>
      <c r="N1443" s="86"/>
      <c r="O1443" s="86">
        <v>0</v>
      </c>
      <c r="P1443" s="86">
        <v>4889391</v>
      </c>
      <c r="Q1443" s="86">
        <v>0</v>
      </c>
      <c r="R1443" s="87">
        <f t="shared" si="388"/>
        <v>3601</v>
      </c>
      <c r="T1443" s="87">
        <v>0</v>
      </c>
      <c r="U1443" s="89"/>
      <c r="V1443" s="89">
        <v>0</v>
      </c>
      <c r="W1443" s="90"/>
      <c r="X1443" s="90">
        <v>0</v>
      </c>
      <c r="Y1443" s="90">
        <v>5302681.0000000028</v>
      </c>
      <c r="Z1443" s="90">
        <v>1423</v>
      </c>
      <c r="AA1443" s="90">
        <v>3601</v>
      </c>
      <c r="AB1443" s="89">
        <f t="shared" si="389"/>
        <v>0</v>
      </c>
      <c r="AC1443" s="89">
        <f t="shared" si="390"/>
        <v>0</v>
      </c>
      <c r="AD1443" s="89">
        <f t="shared" si="391"/>
        <v>1423</v>
      </c>
      <c r="AE1443" s="90">
        <f t="shared" si="392"/>
        <v>0</v>
      </c>
      <c r="AF1443" s="90" t="str">
        <f t="shared" si="393"/>
        <v/>
      </c>
      <c r="AG1443" s="90">
        <f t="shared" si="394"/>
        <v>3601</v>
      </c>
      <c r="AH1443" s="90" t="str">
        <f t="shared" si="395"/>
        <v>2018 (triag)</v>
      </c>
      <c r="AI1443" s="90">
        <f t="shared" si="396"/>
        <v>1423</v>
      </c>
      <c r="AJ1443" s="90">
        <f t="shared" si="397"/>
        <v>2022</v>
      </c>
      <c r="AK1443" s="90" t="str">
        <f t="shared" si="398"/>
        <v>Adjust</v>
      </c>
      <c r="AL1443" s="91">
        <f>IF(AK1443="Adjust",(_xlfn.XLOOKUP(A1443,'Adj factor'!A:A,'Adj factor'!I:I,,0)*AI1443),'Master DataSheet'!AI1443)</f>
        <v>1829.9595044679122</v>
      </c>
      <c r="AM1443" s="91">
        <f t="shared" si="399"/>
        <v>3601</v>
      </c>
      <c r="AN1443" s="92" t="str">
        <f t="shared" si="400"/>
        <v>Decreasing</v>
      </c>
      <c r="AS1443" s="94">
        <f t="shared" si="401"/>
        <v>0</v>
      </c>
      <c r="AT1443" s="94">
        <f t="shared" si="402"/>
        <v>7.3649254068655994</v>
      </c>
      <c r="AU1443" s="94">
        <f t="shared" si="403"/>
        <v>6.7909044500319711</v>
      </c>
    </row>
    <row r="1444" spans="1:47" x14ac:dyDescent="0.3">
      <c r="A1444" s="85" t="str">
        <f>_xlfn.XLOOKUP(B1444,'Country codes &amp; Data sources'!G:G,'Country codes &amp; Data sources'!H:H,,0)</f>
        <v>Liberia</v>
      </c>
      <c r="B1444" s="85" t="s">
        <v>176</v>
      </c>
      <c r="C1444" s="85">
        <v>4331746.5</v>
      </c>
      <c r="D1444" s="85" t="s">
        <v>332</v>
      </c>
      <c r="E1444" s="86">
        <v>0</v>
      </c>
      <c r="F1444" s="86">
        <v>4427312.4999999991</v>
      </c>
      <c r="G1444" s="86">
        <v>806</v>
      </c>
      <c r="H1444" s="86"/>
      <c r="I1444" s="86">
        <v>0</v>
      </c>
      <c r="J1444" s="86"/>
      <c r="K1444" s="86">
        <v>0</v>
      </c>
      <c r="L1444" s="86"/>
      <c r="M1444" s="86">
        <v>0</v>
      </c>
      <c r="N1444" s="86"/>
      <c r="O1444" s="86">
        <v>0</v>
      </c>
      <c r="P1444" s="86">
        <v>4889391</v>
      </c>
      <c r="Q1444" s="86">
        <v>892</v>
      </c>
      <c r="R1444" s="87">
        <f t="shared" si="388"/>
        <v>927</v>
      </c>
      <c r="T1444" s="87">
        <v>767</v>
      </c>
      <c r="U1444" s="89"/>
      <c r="V1444" s="89">
        <v>872</v>
      </c>
      <c r="W1444" s="90"/>
      <c r="X1444" s="90">
        <v>795</v>
      </c>
      <c r="Y1444" s="90">
        <v>5302681.0000000028</v>
      </c>
      <c r="Z1444" s="90">
        <v>769</v>
      </c>
      <c r="AA1444" s="90">
        <v>927</v>
      </c>
      <c r="AB1444" s="89">
        <f t="shared" si="389"/>
        <v>806</v>
      </c>
      <c r="AC1444" s="89">
        <f t="shared" si="390"/>
        <v>892</v>
      </c>
      <c r="AD1444" s="89">
        <f t="shared" si="391"/>
        <v>872</v>
      </c>
      <c r="AE1444" s="90">
        <f t="shared" si="392"/>
        <v>806</v>
      </c>
      <c r="AF1444" s="90">
        <f t="shared" si="393"/>
        <v>2013</v>
      </c>
      <c r="AG1444" s="90">
        <f t="shared" si="394"/>
        <v>927</v>
      </c>
      <c r="AH1444" s="90" t="str">
        <f t="shared" si="395"/>
        <v>2018 (triag)</v>
      </c>
      <c r="AI1444" s="90">
        <f t="shared" si="396"/>
        <v>769</v>
      </c>
      <c r="AJ1444" s="90">
        <f t="shared" si="397"/>
        <v>2022</v>
      </c>
      <c r="AK1444" s="90" t="str">
        <f t="shared" si="398"/>
        <v>Adjust</v>
      </c>
      <c r="AL1444" s="91">
        <f>IF(AK1444="Adjust",(_xlfn.XLOOKUP(A1444,'Adj factor'!A:A,'Adj factor'!I:I,,0)*AI1444),'Master DataSheet'!AI1444)</f>
        <v>988.92400487408611</v>
      </c>
      <c r="AM1444" s="91">
        <f t="shared" si="399"/>
        <v>988.92400487408611</v>
      </c>
      <c r="AN1444" s="92" t="str">
        <f t="shared" si="400"/>
        <v>Increasing</v>
      </c>
      <c r="AS1444" s="94">
        <f t="shared" si="401"/>
        <v>1.8205175261515878</v>
      </c>
      <c r="AT1444" s="94">
        <f t="shared" si="402"/>
        <v>1.8959416418118331</v>
      </c>
      <c r="AU1444" s="94">
        <f t="shared" si="403"/>
        <v>1.864950965132705</v>
      </c>
    </row>
    <row r="1445" spans="1:47" x14ac:dyDescent="0.3">
      <c r="A1445" s="85" t="str">
        <f>_xlfn.XLOOKUP(B1445,'Country codes &amp; Data sources'!G:G,'Country codes &amp; Data sources'!H:H,,0)</f>
        <v>Liberia</v>
      </c>
      <c r="B1445" s="85" t="s">
        <v>176</v>
      </c>
      <c r="C1445" s="85">
        <v>4331747.5</v>
      </c>
      <c r="D1445" s="85" t="s">
        <v>333</v>
      </c>
      <c r="E1445" s="86">
        <v>0</v>
      </c>
      <c r="F1445" s="86">
        <v>4427312.4999999991</v>
      </c>
      <c r="G1445" s="86">
        <v>806</v>
      </c>
      <c r="H1445" s="86"/>
      <c r="I1445" s="86">
        <v>0</v>
      </c>
      <c r="J1445" s="86"/>
      <c r="K1445" s="86">
        <v>0</v>
      </c>
      <c r="L1445" s="86"/>
      <c r="M1445" s="86">
        <v>0</v>
      </c>
      <c r="N1445" s="86"/>
      <c r="O1445" s="86">
        <v>0</v>
      </c>
      <c r="P1445" s="86">
        <v>4889391</v>
      </c>
      <c r="Q1445" s="86">
        <v>892</v>
      </c>
      <c r="R1445" s="87">
        <f t="shared" si="388"/>
        <v>927</v>
      </c>
      <c r="T1445" s="87">
        <v>767</v>
      </c>
      <c r="U1445" s="89"/>
      <c r="V1445" s="89">
        <v>872</v>
      </c>
      <c r="W1445" s="90"/>
      <c r="X1445" s="90">
        <v>795</v>
      </c>
      <c r="Y1445" s="90">
        <v>5302681.0000000028</v>
      </c>
      <c r="Z1445" s="90">
        <v>769</v>
      </c>
      <c r="AA1445" s="90">
        <v>927</v>
      </c>
      <c r="AB1445" s="89">
        <f t="shared" si="389"/>
        <v>806</v>
      </c>
      <c r="AC1445" s="89">
        <f t="shared" si="390"/>
        <v>892</v>
      </c>
      <c r="AD1445" s="89">
        <f t="shared" si="391"/>
        <v>872</v>
      </c>
      <c r="AE1445" s="90">
        <f t="shared" si="392"/>
        <v>806</v>
      </c>
      <c r="AF1445" s="90">
        <f t="shared" si="393"/>
        <v>2013</v>
      </c>
      <c r="AG1445" s="90">
        <f t="shared" si="394"/>
        <v>927</v>
      </c>
      <c r="AH1445" s="90" t="str">
        <f t="shared" si="395"/>
        <v>2018 (triag)</v>
      </c>
      <c r="AI1445" s="90">
        <f t="shared" si="396"/>
        <v>769</v>
      </c>
      <c r="AJ1445" s="90">
        <f t="shared" si="397"/>
        <v>2022</v>
      </c>
      <c r="AK1445" s="90" t="str">
        <f t="shared" si="398"/>
        <v>Adjust</v>
      </c>
      <c r="AL1445" s="91">
        <f>IF(AK1445="Adjust",(_xlfn.XLOOKUP(A1445,'Adj factor'!A:A,'Adj factor'!I:I,,0)*AI1445),'Master DataSheet'!AI1445)</f>
        <v>988.92400487408611</v>
      </c>
      <c r="AM1445" s="91">
        <f t="shared" si="399"/>
        <v>988.92400487408611</v>
      </c>
      <c r="AN1445" s="92" t="str">
        <f t="shared" si="400"/>
        <v>Increasing</v>
      </c>
      <c r="AS1445" s="94">
        <f t="shared" si="401"/>
        <v>1.8205175261515878</v>
      </c>
      <c r="AT1445" s="94">
        <f t="shared" si="402"/>
        <v>1.8959416418118331</v>
      </c>
      <c r="AU1445" s="94">
        <f t="shared" si="403"/>
        <v>1.864950965132705</v>
      </c>
    </row>
    <row r="1446" spans="1:47" x14ac:dyDescent="0.3">
      <c r="A1446" s="85" t="str">
        <f>_xlfn.XLOOKUP(B1446,'Country codes &amp; Data sources'!G:G,'Country codes &amp; Data sources'!H:H,,0)</f>
        <v>Liberia</v>
      </c>
      <c r="B1446" s="85" t="s">
        <v>176</v>
      </c>
      <c r="C1446" s="85">
        <v>4331748.5</v>
      </c>
      <c r="D1446" s="85" t="s">
        <v>334</v>
      </c>
      <c r="E1446" s="86">
        <v>0</v>
      </c>
      <c r="F1446" s="86">
        <v>4427312.4999999991</v>
      </c>
      <c r="G1446" s="86">
        <v>0</v>
      </c>
      <c r="H1446" s="86"/>
      <c r="I1446" s="86">
        <v>0</v>
      </c>
      <c r="J1446" s="86"/>
      <c r="K1446" s="86">
        <v>0</v>
      </c>
      <c r="L1446" s="86"/>
      <c r="M1446" s="86">
        <v>0</v>
      </c>
      <c r="N1446" s="86"/>
      <c r="O1446" s="86">
        <v>0</v>
      </c>
      <c r="P1446" s="86">
        <v>4889391</v>
      </c>
      <c r="Q1446" s="86">
        <v>0</v>
      </c>
      <c r="R1446" s="87">
        <f t="shared" si="388"/>
        <v>0</v>
      </c>
      <c r="T1446" s="87">
        <v>0</v>
      </c>
      <c r="U1446" s="89"/>
      <c r="V1446" s="89">
        <v>0</v>
      </c>
      <c r="W1446" s="90"/>
      <c r="X1446" s="90">
        <v>0</v>
      </c>
      <c r="Y1446" s="90">
        <v>5302681.0000000028</v>
      </c>
      <c r="Z1446" s="90">
        <v>0</v>
      </c>
      <c r="AA1446" s="90">
        <v>0</v>
      </c>
      <c r="AB1446" s="89">
        <f t="shared" si="389"/>
        <v>0</v>
      </c>
      <c r="AC1446" s="89">
        <f t="shared" si="390"/>
        <v>0</v>
      </c>
      <c r="AD1446" s="89">
        <f t="shared" si="391"/>
        <v>0</v>
      </c>
      <c r="AE1446" s="90">
        <f t="shared" si="392"/>
        <v>0</v>
      </c>
      <c r="AF1446" s="90" t="str">
        <f t="shared" si="393"/>
        <v/>
      </c>
      <c r="AG1446" s="90">
        <f t="shared" si="394"/>
        <v>0</v>
      </c>
      <c r="AH1446" s="90" t="str">
        <f t="shared" si="395"/>
        <v/>
      </c>
      <c r="AI1446" s="90">
        <f t="shared" si="396"/>
        <v>0</v>
      </c>
      <c r="AJ1446" s="90" t="str">
        <f t="shared" si="397"/>
        <v/>
      </c>
      <c r="AK1446" s="90" t="str">
        <f t="shared" si="398"/>
        <v/>
      </c>
      <c r="AL1446" s="91">
        <f>IF(AK1446="Adjust",(_xlfn.XLOOKUP(A1446,'Adj factor'!A:A,'Adj factor'!I:I,,0)*AI1446),'Master DataSheet'!AI1446)</f>
        <v>0</v>
      </c>
      <c r="AM1446" s="91">
        <f t="shared" si="399"/>
        <v>0</v>
      </c>
      <c r="AN1446" s="92" t="str">
        <f t="shared" si="400"/>
        <v>No change</v>
      </c>
      <c r="AS1446" s="94">
        <f t="shared" si="401"/>
        <v>0</v>
      </c>
      <c r="AT1446" s="94">
        <f t="shared" si="402"/>
        <v>0</v>
      </c>
      <c r="AU1446" s="94">
        <f t="shared" si="403"/>
        <v>0</v>
      </c>
    </row>
    <row r="1447" spans="1:47" x14ac:dyDescent="0.3">
      <c r="A1447" s="85" t="str">
        <f>_xlfn.XLOOKUP(B1447,'Country codes &amp; Data sources'!G:G,'Country codes &amp; Data sources'!H:H,,0)</f>
        <v>Liberia</v>
      </c>
      <c r="B1447" s="85" t="s">
        <v>176</v>
      </c>
      <c r="C1447" s="85">
        <v>4331749.5</v>
      </c>
      <c r="D1447" s="85" t="s">
        <v>335</v>
      </c>
      <c r="E1447" s="86">
        <v>0</v>
      </c>
      <c r="F1447" s="86">
        <v>4427312.4999999991</v>
      </c>
      <c r="G1447" s="86">
        <v>0</v>
      </c>
      <c r="H1447" s="86"/>
      <c r="I1447" s="86">
        <v>0</v>
      </c>
      <c r="J1447" s="86"/>
      <c r="K1447" s="86">
        <v>0</v>
      </c>
      <c r="L1447" s="86"/>
      <c r="M1447" s="86">
        <v>0</v>
      </c>
      <c r="N1447" s="86"/>
      <c r="O1447" s="86">
        <v>0</v>
      </c>
      <c r="P1447" s="86">
        <v>4889391</v>
      </c>
      <c r="Q1447" s="86">
        <v>93</v>
      </c>
      <c r="R1447" s="87">
        <f t="shared" si="388"/>
        <v>109</v>
      </c>
      <c r="T1447" s="87">
        <v>54</v>
      </c>
      <c r="U1447" s="89"/>
      <c r="V1447" s="89">
        <v>127</v>
      </c>
      <c r="W1447" s="90"/>
      <c r="X1447" s="90">
        <v>124</v>
      </c>
      <c r="Y1447" s="90">
        <v>5302681.0000000028</v>
      </c>
      <c r="Z1447" s="90">
        <v>170</v>
      </c>
      <c r="AA1447" s="90">
        <v>109</v>
      </c>
      <c r="AB1447" s="89">
        <f t="shared" si="389"/>
        <v>0</v>
      </c>
      <c r="AC1447" s="89">
        <f t="shared" si="390"/>
        <v>93</v>
      </c>
      <c r="AD1447" s="89">
        <f t="shared" si="391"/>
        <v>170</v>
      </c>
      <c r="AE1447" s="90">
        <f t="shared" si="392"/>
        <v>0</v>
      </c>
      <c r="AF1447" s="90" t="str">
        <f t="shared" si="393"/>
        <v/>
      </c>
      <c r="AG1447" s="90">
        <f t="shared" si="394"/>
        <v>109</v>
      </c>
      <c r="AH1447" s="90" t="str">
        <f t="shared" si="395"/>
        <v>2018 (triag)</v>
      </c>
      <c r="AI1447" s="90">
        <f t="shared" si="396"/>
        <v>170</v>
      </c>
      <c r="AJ1447" s="90">
        <f t="shared" si="397"/>
        <v>2022</v>
      </c>
      <c r="AK1447" s="90" t="str">
        <f t="shared" si="398"/>
        <v/>
      </c>
      <c r="AL1447" s="91">
        <f>IF(AK1447="Adjust",(_xlfn.XLOOKUP(A1447,'Adj factor'!A:A,'Adj factor'!I:I,,0)*AI1447),'Master DataSheet'!AI1447)</f>
        <v>170</v>
      </c>
      <c r="AM1447" s="91">
        <f t="shared" si="399"/>
        <v>170</v>
      </c>
      <c r="AN1447" s="92" t="str">
        <f t="shared" si="400"/>
        <v>Increasing</v>
      </c>
      <c r="AS1447" s="94">
        <f t="shared" si="401"/>
        <v>0</v>
      </c>
      <c r="AT1447" s="94">
        <f t="shared" si="402"/>
        <v>0.22293164936083043</v>
      </c>
      <c r="AU1447" s="94">
        <f t="shared" si="403"/>
        <v>0.32059254554441408</v>
      </c>
    </row>
    <row r="1448" spans="1:47" x14ac:dyDescent="0.3">
      <c r="A1448" s="85" t="str">
        <f>_xlfn.XLOOKUP(B1448,'Country codes &amp; Data sources'!G:G,'Country codes &amp; Data sources'!H:H,,0)</f>
        <v>Liberia</v>
      </c>
      <c r="B1448" s="85" t="s">
        <v>176</v>
      </c>
      <c r="C1448" s="85">
        <v>4331750.5</v>
      </c>
      <c r="D1448" s="85" t="s">
        <v>336</v>
      </c>
      <c r="E1448" s="86">
        <v>0</v>
      </c>
      <c r="F1448" s="86">
        <v>4427312.4999999991</v>
      </c>
      <c r="G1448" s="86">
        <v>0</v>
      </c>
      <c r="H1448" s="86"/>
      <c r="I1448" s="86">
        <v>0</v>
      </c>
      <c r="J1448" s="86"/>
      <c r="K1448" s="86">
        <v>0</v>
      </c>
      <c r="L1448" s="86"/>
      <c r="M1448" s="86">
        <v>0</v>
      </c>
      <c r="N1448" s="86"/>
      <c r="O1448" s="86">
        <v>0</v>
      </c>
      <c r="P1448" s="86">
        <v>4889391</v>
      </c>
      <c r="Q1448" s="86">
        <v>0</v>
      </c>
      <c r="R1448" s="87">
        <f t="shared" si="388"/>
        <v>962</v>
      </c>
      <c r="T1448" s="87">
        <v>201</v>
      </c>
      <c r="U1448" s="89"/>
      <c r="V1448" s="89">
        <v>486</v>
      </c>
      <c r="W1448" s="90"/>
      <c r="X1448" s="90">
        <v>472</v>
      </c>
      <c r="Y1448" s="90">
        <v>5302681.0000000028</v>
      </c>
      <c r="Z1448" s="90">
        <v>447</v>
      </c>
      <c r="AA1448" s="90">
        <v>962</v>
      </c>
      <c r="AB1448" s="89">
        <f t="shared" si="389"/>
        <v>0</v>
      </c>
      <c r="AC1448" s="89">
        <f t="shared" si="390"/>
        <v>201</v>
      </c>
      <c r="AD1448" s="89">
        <f t="shared" si="391"/>
        <v>486</v>
      </c>
      <c r="AE1448" s="90">
        <f t="shared" si="392"/>
        <v>0</v>
      </c>
      <c r="AF1448" s="90" t="str">
        <f t="shared" si="393"/>
        <v/>
      </c>
      <c r="AG1448" s="90">
        <f t="shared" si="394"/>
        <v>962</v>
      </c>
      <c r="AH1448" s="90" t="str">
        <f t="shared" si="395"/>
        <v>2018 (triag)</v>
      </c>
      <c r="AI1448" s="90">
        <f t="shared" si="396"/>
        <v>447</v>
      </c>
      <c r="AJ1448" s="90">
        <f t="shared" si="397"/>
        <v>2022</v>
      </c>
      <c r="AK1448" s="90" t="str">
        <f t="shared" si="398"/>
        <v>Adjust</v>
      </c>
      <c r="AL1448" s="91">
        <f>IF(AK1448="Adjust",(_xlfn.XLOOKUP(A1448,'Adj factor'!A:A,'Adj factor'!I:I,,0)*AI1448),'Master DataSheet'!AI1448)</f>
        <v>574.83619008935818</v>
      </c>
      <c r="AM1448" s="91">
        <f t="shared" si="399"/>
        <v>962</v>
      </c>
      <c r="AN1448" s="92" t="str">
        <f t="shared" si="400"/>
        <v>Decreasing</v>
      </c>
      <c r="AS1448" s="94">
        <f t="shared" si="401"/>
        <v>0</v>
      </c>
      <c r="AT1448" s="94">
        <f t="shared" si="402"/>
        <v>1.9675251989460447</v>
      </c>
      <c r="AU1448" s="94">
        <f t="shared" si="403"/>
        <v>1.8141766400807431</v>
      </c>
    </row>
    <row r="1449" spans="1:47" x14ac:dyDescent="0.3">
      <c r="A1449" s="85" t="str">
        <f>_xlfn.XLOOKUP(B1449,'Country codes &amp; Data sources'!G:G,'Country codes &amp; Data sources'!H:H,,0)</f>
        <v>Liberia</v>
      </c>
      <c r="B1449" s="85" t="s">
        <v>176</v>
      </c>
      <c r="C1449" s="85">
        <v>4331751.5</v>
      </c>
      <c r="D1449" s="85" t="s">
        <v>337</v>
      </c>
      <c r="E1449" s="86">
        <v>0</v>
      </c>
      <c r="F1449" s="86">
        <v>4427312.4999999991</v>
      </c>
      <c r="G1449" s="86">
        <v>0</v>
      </c>
      <c r="H1449" s="86"/>
      <c r="I1449" s="86">
        <v>0</v>
      </c>
      <c r="J1449" s="86"/>
      <c r="K1449" s="86">
        <v>0</v>
      </c>
      <c r="L1449" s="86"/>
      <c r="M1449" s="86">
        <v>0</v>
      </c>
      <c r="N1449" s="86"/>
      <c r="O1449" s="86">
        <v>0</v>
      </c>
      <c r="P1449" s="86">
        <v>4889391</v>
      </c>
      <c r="Q1449" s="86">
        <v>3</v>
      </c>
      <c r="R1449" s="87">
        <f t="shared" si="388"/>
        <v>14</v>
      </c>
      <c r="T1449" s="87">
        <v>4</v>
      </c>
      <c r="U1449" s="89"/>
      <c r="V1449" s="89">
        <v>6</v>
      </c>
      <c r="W1449" s="90"/>
      <c r="X1449" s="90">
        <v>6</v>
      </c>
      <c r="Y1449" s="90">
        <v>5302681.0000000028</v>
      </c>
      <c r="Z1449" s="90">
        <v>6</v>
      </c>
      <c r="AA1449" s="90">
        <v>14</v>
      </c>
      <c r="AB1449" s="89">
        <f t="shared" si="389"/>
        <v>0</v>
      </c>
      <c r="AC1449" s="89">
        <f t="shared" si="390"/>
        <v>4</v>
      </c>
      <c r="AD1449" s="89">
        <f t="shared" si="391"/>
        <v>6</v>
      </c>
      <c r="AE1449" s="90">
        <f t="shared" si="392"/>
        <v>0</v>
      </c>
      <c r="AF1449" s="90" t="str">
        <f t="shared" si="393"/>
        <v/>
      </c>
      <c r="AG1449" s="90">
        <f t="shared" si="394"/>
        <v>14</v>
      </c>
      <c r="AH1449" s="90" t="str">
        <f t="shared" si="395"/>
        <v>2018 (triag)</v>
      </c>
      <c r="AI1449" s="90">
        <f t="shared" si="396"/>
        <v>6</v>
      </c>
      <c r="AJ1449" s="90">
        <f t="shared" si="397"/>
        <v>2020</v>
      </c>
      <c r="AK1449" s="90" t="str">
        <f t="shared" si="398"/>
        <v>Adjust</v>
      </c>
      <c r="AL1449" s="91">
        <f>IF(AK1449="Adjust",(_xlfn.XLOOKUP(A1449,'Adj factor'!A:A,'Adj factor'!I:I,,0)*AI1449),'Master DataSheet'!AI1449)</f>
        <v>7.715922014622258</v>
      </c>
      <c r="AM1449" s="91">
        <f t="shared" si="399"/>
        <v>14</v>
      </c>
      <c r="AN1449" s="92" t="str">
        <f t="shared" si="400"/>
        <v>Decreasing</v>
      </c>
      <c r="AS1449" s="94">
        <f t="shared" si="401"/>
        <v>0</v>
      </c>
      <c r="AT1449" s="94">
        <f t="shared" si="402"/>
        <v>2.8633422853684642E-2</v>
      </c>
      <c r="AU1449" s="94">
        <f t="shared" si="403"/>
        <v>2.6401739044834099E-2</v>
      </c>
    </row>
    <row r="1450" spans="1:47" x14ac:dyDescent="0.3">
      <c r="A1450" s="85" t="str">
        <f>_xlfn.XLOOKUP(B1450,'Country codes &amp; Data sources'!G:G,'Country codes &amp; Data sources'!H:H,,0)</f>
        <v>Liberia</v>
      </c>
      <c r="B1450" s="85" t="s">
        <v>176</v>
      </c>
      <c r="C1450" s="85">
        <v>4331752.5</v>
      </c>
      <c r="D1450" s="85" t="s">
        <v>338</v>
      </c>
      <c r="E1450" s="86">
        <v>0</v>
      </c>
      <c r="F1450" s="86">
        <v>4427312.4999999991</v>
      </c>
      <c r="G1450" s="86">
        <v>0</v>
      </c>
      <c r="H1450" s="86"/>
      <c r="I1450" s="86">
        <v>0</v>
      </c>
      <c r="J1450" s="86"/>
      <c r="K1450" s="86">
        <v>0</v>
      </c>
      <c r="L1450" s="86"/>
      <c r="M1450" s="86">
        <v>0</v>
      </c>
      <c r="N1450" s="86"/>
      <c r="O1450" s="86">
        <v>0</v>
      </c>
      <c r="P1450" s="86">
        <v>4889391</v>
      </c>
      <c r="Q1450" s="86">
        <v>0</v>
      </c>
      <c r="R1450" s="87">
        <f t="shared" ref="R1450:R1513" si="404">MAX(Q1450,AA1450)</f>
        <v>10</v>
      </c>
      <c r="T1450" s="87">
        <v>0</v>
      </c>
      <c r="U1450" s="89"/>
      <c r="V1450" s="89">
        <v>0</v>
      </c>
      <c r="W1450" s="90"/>
      <c r="X1450" s="90">
        <v>0</v>
      </c>
      <c r="Y1450" s="90">
        <v>5302681.0000000028</v>
      </c>
      <c r="Z1450" s="90">
        <v>0</v>
      </c>
      <c r="AA1450" s="90">
        <v>10</v>
      </c>
      <c r="AB1450" s="89">
        <f t="shared" ref="AB1450:AB1513" si="405">MAX(G1450,E1450,I1450,K1450)</f>
        <v>0</v>
      </c>
      <c r="AC1450" s="89">
        <f t="shared" ref="AC1450:AC1513" si="406">MAX(M1450,O1450,Q1450,T1450)</f>
        <v>0</v>
      </c>
      <c r="AD1450" s="89">
        <f t="shared" ref="AD1450:AD1513" si="407">MAX(V1450,X1450,Z1450)</f>
        <v>0</v>
      </c>
      <c r="AE1450" s="90">
        <f t="shared" ref="AE1450:AE1513" si="408">IF(G1450&gt;0,G1450,IF(E1450&gt;0,E1450,IF(I1450&gt;0,I1450,K1450)))</f>
        <v>0</v>
      </c>
      <c r="AF1450" s="90" t="str">
        <f t="shared" ref="AF1450:AF1513" si="409">IF(AE1450&gt;0,_xlfn.XLOOKUP(AE1450,$B1450:$K1450,$B$1:$K$1,,0),"")</f>
        <v/>
      </c>
      <c r="AG1450" s="90">
        <f t="shared" ref="AG1450:AG1513" si="410">IF(R1450&gt;0,R1450,IF(O1450&gt;0,O1450,T1450))</f>
        <v>10</v>
      </c>
      <c r="AH1450" s="90" t="str">
        <f t="shared" ref="AH1450:AH1513" si="411">IF(AG1450&gt;0,_xlfn.XLOOKUP(AG1450,$L1450:$T1450,$L$1:$T$1,,0),"")</f>
        <v>2018 (triag)</v>
      </c>
      <c r="AI1450" s="90">
        <f t="shared" ref="AI1450:AI1513" si="412">IF((IF(Z1450&gt;0,Z1450,IF(X1450&gt;0,X1450,IF(V1450&gt;0,V1450,T1450))))=0,AG1450,IF(Z1450&gt;0,Z1450,IF(X1450&gt;0,X1450,IF(V1450&gt;0,V1450,T1450))))</f>
        <v>10</v>
      </c>
      <c r="AJ1450" s="90" t="str">
        <f t="shared" ref="AJ1450:AJ1513" si="413">IFERROR(IF(AI1450&gt;0,_xlfn.XLOOKUP(AI1450,$V1450:$Z1450,$V$1:$Z$1,,0),""),AH1450)</f>
        <v>2018 (triag)</v>
      </c>
      <c r="AK1450" s="90" t="str">
        <f t="shared" ref="AK1450:AK1513" si="414">IF(AI1450&lt;AG1450,"Adjust","")</f>
        <v/>
      </c>
      <c r="AL1450" s="91">
        <f>IF(AK1450="Adjust",(_xlfn.XLOOKUP(A1450,'Adj factor'!A:A,'Adj factor'!I:I,,0)*AI1450),'Master DataSheet'!AI1450)</f>
        <v>10</v>
      </c>
      <c r="AM1450" s="91">
        <f t="shared" ref="AM1450:AM1513" si="415">IF(AL1450&lt;AG1450,AG1450,AL1450)</f>
        <v>10</v>
      </c>
      <c r="AN1450" s="92" t="str">
        <f t="shared" ref="AN1450:AN1513" si="416">IF(AL1450&gt;AG1450,"Increasing",IF(AL1450&lt;AG1450,"Decreasing","No change"))</f>
        <v>No change</v>
      </c>
      <c r="AS1450" s="94">
        <f t="shared" ref="AS1450:AS1513" si="417">(AE1450*10000)/F1450</f>
        <v>0</v>
      </c>
      <c r="AT1450" s="94">
        <f t="shared" ref="AT1450:AT1513" si="418">(AG1450*10000)/P1450</f>
        <v>2.045244489548903E-2</v>
      </c>
      <c r="AU1450" s="94">
        <f t="shared" ref="AU1450:AU1513" si="419">(AM1450*10000)/Y1450</f>
        <v>1.8858385032024357E-2</v>
      </c>
    </row>
    <row r="1451" spans="1:47" x14ac:dyDescent="0.3">
      <c r="A1451" s="85" t="str">
        <f>_xlfn.XLOOKUP(B1451,'Country codes &amp; Data sources'!G:G,'Country codes &amp; Data sources'!H:H,,0)</f>
        <v>Liberia</v>
      </c>
      <c r="B1451" s="85" t="s">
        <v>176</v>
      </c>
      <c r="C1451" s="85">
        <v>4331753.5</v>
      </c>
      <c r="D1451" s="85" t="s">
        <v>339</v>
      </c>
      <c r="E1451" s="86">
        <v>0</v>
      </c>
      <c r="F1451" s="86">
        <v>4427312.4999999991</v>
      </c>
      <c r="G1451" s="86">
        <v>0</v>
      </c>
      <c r="H1451" s="86"/>
      <c r="I1451" s="86">
        <v>0</v>
      </c>
      <c r="J1451" s="86"/>
      <c r="K1451" s="86">
        <v>0</v>
      </c>
      <c r="L1451" s="86"/>
      <c r="M1451" s="86">
        <v>0</v>
      </c>
      <c r="N1451" s="86"/>
      <c r="O1451" s="86">
        <v>0</v>
      </c>
      <c r="P1451" s="86">
        <v>4889391</v>
      </c>
      <c r="Q1451" s="86">
        <v>0</v>
      </c>
      <c r="R1451" s="87">
        <f t="shared" si="404"/>
        <v>0</v>
      </c>
      <c r="T1451" s="87">
        <v>0</v>
      </c>
      <c r="U1451" s="89"/>
      <c r="V1451" s="89">
        <v>0</v>
      </c>
      <c r="W1451" s="90"/>
      <c r="X1451" s="90">
        <v>0</v>
      </c>
      <c r="Y1451" s="90">
        <v>5302681.0000000028</v>
      </c>
      <c r="Z1451" s="90">
        <v>0</v>
      </c>
      <c r="AA1451" s="90">
        <v>0</v>
      </c>
      <c r="AB1451" s="89">
        <f t="shared" si="405"/>
        <v>0</v>
      </c>
      <c r="AC1451" s="89">
        <f t="shared" si="406"/>
        <v>0</v>
      </c>
      <c r="AD1451" s="89">
        <f t="shared" si="407"/>
        <v>0</v>
      </c>
      <c r="AE1451" s="90">
        <f t="shared" si="408"/>
        <v>0</v>
      </c>
      <c r="AF1451" s="90" t="str">
        <f t="shared" si="409"/>
        <v/>
      </c>
      <c r="AG1451" s="90">
        <f t="shared" si="410"/>
        <v>0</v>
      </c>
      <c r="AH1451" s="90" t="str">
        <f t="shared" si="411"/>
        <v/>
      </c>
      <c r="AI1451" s="90">
        <f t="shared" si="412"/>
        <v>0</v>
      </c>
      <c r="AJ1451" s="90" t="str">
        <f t="shared" si="413"/>
        <v/>
      </c>
      <c r="AK1451" s="90" t="str">
        <f t="shared" si="414"/>
        <v/>
      </c>
      <c r="AL1451" s="91">
        <f>IF(AK1451="Adjust",(_xlfn.XLOOKUP(A1451,'Adj factor'!A:A,'Adj factor'!I:I,,0)*AI1451),'Master DataSheet'!AI1451)</f>
        <v>0</v>
      </c>
      <c r="AM1451" s="91">
        <f t="shared" si="415"/>
        <v>0</v>
      </c>
      <c r="AN1451" s="92" t="str">
        <f t="shared" si="416"/>
        <v>No change</v>
      </c>
      <c r="AS1451" s="94">
        <f t="shared" si="417"/>
        <v>0</v>
      </c>
      <c r="AT1451" s="94">
        <f t="shared" si="418"/>
        <v>0</v>
      </c>
      <c r="AU1451" s="94">
        <f t="shared" si="419"/>
        <v>0</v>
      </c>
    </row>
    <row r="1452" spans="1:47" x14ac:dyDescent="0.3">
      <c r="A1452" s="85" t="str">
        <f>_xlfn.XLOOKUP(B1452,'Country codes &amp; Data sources'!G:G,'Country codes &amp; Data sources'!H:H,,0)</f>
        <v>Lesotho</v>
      </c>
      <c r="B1452" s="85" t="s">
        <v>160</v>
      </c>
      <c r="C1452" s="85">
        <v>2054717.9999999998</v>
      </c>
      <c r="D1452" s="85" t="s">
        <v>326</v>
      </c>
      <c r="E1452" s="86">
        <v>0</v>
      </c>
      <c r="F1452" s="86">
        <v>2073938.4999999998</v>
      </c>
      <c r="G1452" s="86">
        <v>0</v>
      </c>
      <c r="H1452" s="86">
        <v>2095242.4999999993</v>
      </c>
      <c r="I1452" s="86">
        <v>0</v>
      </c>
      <c r="J1452" s="86">
        <v>2118520.5000000019</v>
      </c>
      <c r="K1452" s="86">
        <v>0</v>
      </c>
      <c r="L1452" s="86">
        <v>2143872.0000000023</v>
      </c>
      <c r="M1452" s="86">
        <v>0</v>
      </c>
      <c r="N1452" s="86">
        <v>2170616.9999999995</v>
      </c>
      <c r="O1452" s="86">
        <v>0</v>
      </c>
      <c r="P1452" s="86">
        <v>2198017</v>
      </c>
      <c r="Q1452" s="86">
        <v>998</v>
      </c>
      <c r="R1452" s="87">
        <f t="shared" si="404"/>
        <v>998</v>
      </c>
      <c r="S1452" s="87">
        <v>2225701.4999999995</v>
      </c>
      <c r="T1452" s="87">
        <v>0</v>
      </c>
      <c r="U1452" s="89">
        <v>2254100.0000000005</v>
      </c>
      <c r="V1452" s="89">
        <v>0</v>
      </c>
      <c r="W1452" s="90">
        <v>2281454.5000000014</v>
      </c>
      <c r="X1452" s="103">
        <v>420</v>
      </c>
      <c r="Y1452" s="90">
        <v>2305825.5000000019</v>
      </c>
      <c r="Z1452" s="103">
        <v>420</v>
      </c>
      <c r="AA1452" s="90">
        <v>998</v>
      </c>
      <c r="AB1452" s="89">
        <f t="shared" si="405"/>
        <v>0</v>
      </c>
      <c r="AC1452" s="89">
        <f t="shared" si="406"/>
        <v>998</v>
      </c>
      <c r="AD1452" s="89">
        <f t="shared" si="407"/>
        <v>420</v>
      </c>
      <c r="AE1452" s="90">
        <f t="shared" si="408"/>
        <v>0</v>
      </c>
      <c r="AF1452" s="90" t="str">
        <f t="shared" si="409"/>
        <v/>
      </c>
      <c r="AG1452" s="90">
        <f t="shared" si="410"/>
        <v>998</v>
      </c>
      <c r="AH1452" s="90">
        <f t="shared" si="411"/>
        <v>2018</v>
      </c>
      <c r="AI1452" s="90">
        <f t="shared" si="412"/>
        <v>420</v>
      </c>
      <c r="AJ1452" s="90">
        <v>2022</v>
      </c>
      <c r="AK1452" s="90" t="str">
        <f t="shared" si="414"/>
        <v>Adjust</v>
      </c>
      <c r="AL1452" s="91">
        <f>IF(AK1452="Adjust",(_xlfn.XLOOKUP(A1452,'Adj factor'!A:A,'Adj factor'!I:I,,0)*AI1452),'Master DataSheet'!AI1452)</f>
        <v>536.60977859778598</v>
      </c>
      <c r="AM1452" s="91">
        <f t="shared" si="415"/>
        <v>998</v>
      </c>
      <c r="AN1452" s="92" t="str">
        <f t="shared" si="416"/>
        <v>Decreasing</v>
      </c>
      <c r="AS1452" s="94">
        <f t="shared" si="417"/>
        <v>0</v>
      </c>
      <c r="AT1452" s="94">
        <f t="shared" si="418"/>
        <v>4.5404562385095293</v>
      </c>
      <c r="AU1452" s="94">
        <f t="shared" si="419"/>
        <v>4.3281679381202052</v>
      </c>
    </row>
    <row r="1453" spans="1:47" x14ac:dyDescent="0.3">
      <c r="A1453" s="85" t="str">
        <f>_xlfn.XLOOKUP(B1453,'Country codes &amp; Data sources'!G:G,'Country codes &amp; Data sources'!H:H,,0)</f>
        <v>Lesotho</v>
      </c>
      <c r="B1453" s="85" t="s">
        <v>160</v>
      </c>
      <c r="C1453" s="85">
        <v>2054719</v>
      </c>
      <c r="D1453" s="85" t="s">
        <v>327</v>
      </c>
      <c r="E1453" s="86">
        <v>0</v>
      </c>
      <c r="F1453" s="86">
        <v>2073938.4999999998</v>
      </c>
      <c r="G1453" s="86">
        <v>0</v>
      </c>
      <c r="H1453" s="86"/>
      <c r="I1453" s="86">
        <v>0</v>
      </c>
      <c r="J1453" s="86"/>
      <c r="K1453" s="86">
        <v>0</v>
      </c>
      <c r="L1453" s="86"/>
      <c r="M1453" s="86">
        <v>0</v>
      </c>
      <c r="N1453" s="86"/>
      <c r="O1453" s="86">
        <v>0</v>
      </c>
      <c r="P1453" s="86">
        <v>2198017</v>
      </c>
      <c r="Q1453" s="86">
        <v>815</v>
      </c>
      <c r="R1453" s="87">
        <f t="shared" si="404"/>
        <v>815</v>
      </c>
      <c r="T1453" s="87">
        <v>0</v>
      </c>
      <c r="U1453" s="89"/>
      <c r="V1453" s="89">
        <v>0</v>
      </c>
      <c r="W1453" s="90"/>
      <c r="X1453" s="90">
        <v>0</v>
      </c>
      <c r="Y1453" s="90">
        <v>2305825.5000000019</v>
      </c>
      <c r="Z1453" s="90">
        <v>281</v>
      </c>
      <c r="AA1453" s="90">
        <v>815</v>
      </c>
      <c r="AB1453" s="89">
        <f t="shared" si="405"/>
        <v>0</v>
      </c>
      <c r="AC1453" s="89">
        <f t="shared" si="406"/>
        <v>815</v>
      </c>
      <c r="AD1453" s="89">
        <f t="shared" si="407"/>
        <v>281</v>
      </c>
      <c r="AE1453" s="90">
        <f t="shared" si="408"/>
        <v>0</v>
      </c>
      <c r="AF1453" s="90" t="str">
        <f t="shared" si="409"/>
        <v/>
      </c>
      <c r="AG1453" s="90">
        <f t="shared" si="410"/>
        <v>815</v>
      </c>
      <c r="AH1453" s="90">
        <f t="shared" si="411"/>
        <v>2018</v>
      </c>
      <c r="AI1453" s="90">
        <f t="shared" si="412"/>
        <v>281</v>
      </c>
      <c r="AJ1453" s="90">
        <f t="shared" si="413"/>
        <v>2022</v>
      </c>
      <c r="AK1453" s="90" t="str">
        <f t="shared" si="414"/>
        <v>Adjust</v>
      </c>
      <c r="AL1453" s="91">
        <f>IF(AK1453="Adjust",(_xlfn.XLOOKUP(A1453,'Adj factor'!A:A,'Adj factor'!I:I,,0)*AI1453),'Master DataSheet'!AI1453)</f>
        <v>359.01749472851873</v>
      </c>
      <c r="AM1453" s="91">
        <f t="shared" si="415"/>
        <v>815</v>
      </c>
      <c r="AN1453" s="92" t="str">
        <f t="shared" si="416"/>
        <v>Decreasing</v>
      </c>
      <c r="AS1453" s="94">
        <f t="shared" si="417"/>
        <v>0</v>
      </c>
      <c r="AT1453" s="94">
        <f t="shared" si="418"/>
        <v>3.7078876096044753</v>
      </c>
      <c r="AU1453" s="94">
        <f t="shared" si="419"/>
        <v>3.5345259214107889</v>
      </c>
    </row>
    <row r="1454" spans="1:47" x14ac:dyDescent="0.3">
      <c r="A1454" s="85" t="str">
        <f>_xlfn.XLOOKUP(B1454,'Country codes &amp; Data sources'!G:G,'Country codes &amp; Data sources'!H:H,,0)</f>
        <v>Lesotho</v>
      </c>
      <c r="B1454" s="85" t="s">
        <v>160</v>
      </c>
      <c r="C1454" s="85">
        <v>2054720</v>
      </c>
      <c r="D1454" s="85" t="s">
        <v>328</v>
      </c>
      <c r="E1454" s="86">
        <v>0</v>
      </c>
      <c r="F1454" s="86">
        <v>2073938.4999999998</v>
      </c>
      <c r="G1454" s="86">
        <v>0</v>
      </c>
      <c r="H1454" s="86"/>
      <c r="I1454" s="86">
        <v>0</v>
      </c>
      <c r="J1454" s="86"/>
      <c r="K1454" s="86">
        <v>0</v>
      </c>
      <c r="L1454" s="86"/>
      <c r="M1454" s="86">
        <v>0</v>
      </c>
      <c r="N1454" s="86"/>
      <c r="O1454" s="86">
        <v>0</v>
      </c>
      <c r="P1454" s="86">
        <v>2198017</v>
      </c>
      <c r="Q1454" s="86">
        <v>183</v>
      </c>
      <c r="R1454" s="87">
        <f t="shared" si="404"/>
        <v>183</v>
      </c>
      <c r="T1454" s="87">
        <v>0</v>
      </c>
      <c r="U1454" s="89"/>
      <c r="V1454" s="89">
        <v>0</v>
      </c>
      <c r="W1454" s="90"/>
      <c r="X1454" s="90">
        <v>0</v>
      </c>
      <c r="Y1454" s="90">
        <v>2305825.5000000019</v>
      </c>
      <c r="Z1454" s="90">
        <v>66</v>
      </c>
      <c r="AA1454" s="90">
        <v>183</v>
      </c>
      <c r="AB1454" s="89">
        <f t="shared" si="405"/>
        <v>0</v>
      </c>
      <c r="AC1454" s="89">
        <f t="shared" si="406"/>
        <v>183</v>
      </c>
      <c r="AD1454" s="89">
        <f t="shared" si="407"/>
        <v>66</v>
      </c>
      <c r="AE1454" s="90">
        <f t="shared" si="408"/>
        <v>0</v>
      </c>
      <c r="AF1454" s="90" t="str">
        <f t="shared" si="409"/>
        <v/>
      </c>
      <c r="AG1454" s="90">
        <f t="shared" si="410"/>
        <v>183</v>
      </c>
      <c r="AH1454" s="90">
        <f t="shared" si="411"/>
        <v>2018</v>
      </c>
      <c r="AI1454" s="90">
        <f t="shared" si="412"/>
        <v>66</v>
      </c>
      <c r="AJ1454" s="90">
        <f t="shared" si="413"/>
        <v>2022</v>
      </c>
      <c r="AK1454" s="90" t="str">
        <f t="shared" si="414"/>
        <v>Adjust</v>
      </c>
      <c r="AL1454" s="91">
        <f>IF(AK1454="Adjust",(_xlfn.XLOOKUP(A1454,'Adj factor'!A:A,'Adj factor'!I:I,,0)*AI1454),'Master DataSheet'!AI1454)</f>
        <v>84.324393779652084</v>
      </c>
      <c r="AM1454" s="91">
        <f t="shared" si="415"/>
        <v>183</v>
      </c>
      <c r="AN1454" s="92" t="str">
        <f t="shared" si="416"/>
        <v>Decreasing</v>
      </c>
      <c r="AS1454" s="94">
        <f t="shared" si="417"/>
        <v>0</v>
      </c>
      <c r="AT1454" s="94">
        <f t="shared" si="418"/>
        <v>0.83256862890505401</v>
      </c>
      <c r="AU1454" s="94">
        <f t="shared" si="419"/>
        <v>0.79364201670941648</v>
      </c>
    </row>
    <row r="1455" spans="1:47" x14ac:dyDescent="0.3">
      <c r="A1455" s="85" t="str">
        <f>_xlfn.XLOOKUP(B1455,'Country codes &amp; Data sources'!G:G,'Country codes &amp; Data sources'!H:H,,0)</f>
        <v>Lesotho</v>
      </c>
      <c r="B1455" s="85" t="s">
        <v>160</v>
      </c>
      <c r="C1455" s="85">
        <v>2054721</v>
      </c>
      <c r="D1455" s="85" t="s">
        <v>329</v>
      </c>
      <c r="E1455" s="86">
        <v>0</v>
      </c>
      <c r="F1455" s="86">
        <v>2073938.4999999998</v>
      </c>
      <c r="G1455" s="86">
        <v>0</v>
      </c>
      <c r="H1455" s="86"/>
      <c r="I1455" s="86">
        <v>0</v>
      </c>
      <c r="J1455" s="86"/>
      <c r="K1455" s="86">
        <v>0</v>
      </c>
      <c r="L1455" s="86"/>
      <c r="M1455" s="86">
        <v>0</v>
      </c>
      <c r="N1455" s="86"/>
      <c r="O1455" s="86">
        <v>0</v>
      </c>
      <c r="P1455" s="86">
        <v>2198017</v>
      </c>
      <c r="Q1455" s="86">
        <v>6866</v>
      </c>
      <c r="R1455" s="87">
        <f t="shared" si="404"/>
        <v>6866</v>
      </c>
      <c r="T1455" s="87">
        <v>0</v>
      </c>
      <c r="U1455" s="89"/>
      <c r="V1455" s="89">
        <v>0</v>
      </c>
      <c r="W1455" s="90"/>
      <c r="X1455" s="90">
        <v>0</v>
      </c>
      <c r="Y1455" s="90">
        <v>2305825.5000000019</v>
      </c>
      <c r="Z1455" s="90">
        <v>967</v>
      </c>
      <c r="AA1455" s="90">
        <v>967</v>
      </c>
      <c r="AB1455" s="89">
        <f t="shared" si="405"/>
        <v>0</v>
      </c>
      <c r="AC1455" s="89">
        <f t="shared" si="406"/>
        <v>6866</v>
      </c>
      <c r="AD1455" s="89">
        <f t="shared" si="407"/>
        <v>967</v>
      </c>
      <c r="AE1455" s="90">
        <f t="shared" si="408"/>
        <v>0</v>
      </c>
      <c r="AF1455" s="90" t="str">
        <f t="shared" si="409"/>
        <v/>
      </c>
      <c r="AG1455" s="90">
        <f t="shared" si="410"/>
        <v>6866</v>
      </c>
      <c r="AH1455" s="90">
        <f t="shared" si="411"/>
        <v>2018</v>
      </c>
      <c r="AI1455" s="90">
        <f t="shared" si="412"/>
        <v>967</v>
      </c>
      <c r="AJ1455" s="90">
        <f t="shared" si="413"/>
        <v>2022</v>
      </c>
      <c r="AK1455" s="90" t="str">
        <f t="shared" si="414"/>
        <v>Adjust</v>
      </c>
      <c r="AL1455" s="91">
        <f>IF(AK1455="Adjust",(_xlfn.XLOOKUP(A1455,'Adj factor'!A:A,'Adj factor'!I:I,,0)*AI1455),'Master DataSheet'!AI1455)</f>
        <v>1235.4801331049025</v>
      </c>
      <c r="AM1455" s="91">
        <f t="shared" si="415"/>
        <v>6866</v>
      </c>
      <c r="AN1455" s="92" t="str">
        <f t="shared" si="416"/>
        <v>Decreasing</v>
      </c>
      <c r="AS1455" s="94">
        <f t="shared" si="417"/>
        <v>0</v>
      </c>
      <c r="AT1455" s="94">
        <f t="shared" si="418"/>
        <v>31.237247027661752</v>
      </c>
      <c r="AU1455" s="94">
        <f t="shared" si="419"/>
        <v>29.776754572277888</v>
      </c>
    </row>
    <row r="1456" spans="1:47" x14ac:dyDescent="0.3">
      <c r="A1456" s="85" t="str">
        <f>_xlfn.XLOOKUP(B1456,'Country codes &amp; Data sources'!G:G,'Country codes &amp; Data sources'!H:H,,0)</f>
        <v>Lesotho</v>
      </c>
      <c r="B1456" s="85" t="s">
        <v>160</v>
      </c>
      <c r="C1456" s="85">
        <v>2054722</v>
      </c>
      <c r="D1456" s="85" t="s">
        <v>330</v>
      </c>
      <c r="E1456" s="86">
        <v>0</v>
      </c>
      <c r="F1456" s="86">
        <v>2073938.4999999998</v>
      </c>
      <c r="G1456" s="86">
        <v>0</v>
      </c>
      <c r="H1456" s="86"/>
      <c r="I1456" s="86">
        <v>0</v>
      </c>
      <c r="J1456" s="86"/>
      <c r="K1456" s="86">
        <v>0</v>
      </c>
      <c r="L1456" s="86"/>
      <c r="M1456" s="86">
        <v>0</v>
      </c>
      <c r="N1456" s="86"/>
      <c r="O1456" s="86">
        <v>0</v>
      </c>
      <c r="P1456" s="86">
        <v>2198017</v>
      </c>
      <c r="Q1456" s="86">
        <v>4686</v>
      </c>
      <c r="R1456" s="87">
        <f t="shared" si="404"/>
        <v>4686</v>
      </c>
      <c r="T1456" s="87">
        <v>0</v>
      </c>
      <c r="U1456" s="89"/>
      <c r="V1456" s="89">
        <v>0</v>
      </c>
      <c r="W1456" s="90"/>
      <c r="X1456" s="90">
        <v>0</v>
      </c>
      <c r="Y1456" s="90">
        <v>2305825.5000000019</v>
      </c>
      <c r="Z1456" s="90">
        <v>0</v>
      </c>
      <c r="AA1456" s="90">
        <v>0</v>
      </c>
      <c r="AB1456" s="89">
        <f t="shared" si="405"/>
        <v>0</v>
      </c>
      <c r="AC1456" s="89">
        <f t="shared" si="406"/>
        <v>4686</v>
      </c>
      <c r="AD1456" s="89">
        <f t="shared" si="407"/>
        <v>0</v>
      </c>
      <c r="AE1456" s="90">
        <f t="shared" si="408"/>
        <v>0</v>
      </c>
      <c r="AF1456" s="90" t="str">
        <f t="shared" si="409"/>
        <v/>
      </c>
      <c r="AG1456" s="90">
        <f t="shared" si="410"/>
        <v>4686</v>
      </c>
      <c r="AH1456" s="90">
        <f t="shared" si="411"/>
        <v>2018</v>
      </c>
      <c r="AI1456" s="90">
        <f t="shared" si="412"/>
        <v>4686</v>
      </c>
      <c r="AJ1456" s="90">
        <f t="shared" si="413"/>
        <v>2018</v>
      </c>
      <c r="AK1456" s="90" t="str">
        <f t="shared" si="414"/>
        <v/>
      </c>
      <c r="AL1456" s="91">
        <f>IF(AK1456="Adjust",(_xlfn.XLOOKUP(A1456,'Adj factor'!A:A,'Adj factor'!I:I,,0)*AI1456),'Master DataSheet'!AI1456)</f>
        <v>4686</v>
      </c>
      <c r="AM1456" s="91">
        <f t="shared" si="415"/>
        <v>4686</v>
      </c>
      <c r="AN1456" s="92" t="str">
        <f t="shared" si="416"/>
        <v>No change</v>
      </c>
      <c r="AS1456" s="94">
        <f t="shared" si="417"/>
        <v>0</v>
      </c>
      <c r="AT1456" s="94">
        <f t="shared" si="418"/>
        <v>21.319216366388432</v>
      </c>
      <c r="AU1456" s="94">
        <f t="shared" si="419"/>
        <v>20.322439837706696</v>
      </c>
    </row>
    <row r="1457" spans="1:47" x14ac:dyDescent="0.3">
      <c r="A1457" s="85" t="str">
        <f>_xlfn.XLOOKUP(B1457,'Country codes &amp; Data sources'!G:G,'Country codes &amp; Data sources'!H:H,,0)</f>
        <v>Lesotho</v>
      </c>
      <c r="B1457" s="85" t="s">
        <v>160</v>
      </c>
      <c r="C1457" s="85">
        <v>2054723</v>
      </c>
      <c r="D1457" s="85" t="s">
        <v>331</v>
      </c>
      <c r="E1457" s="86">
        <v>0</v>
      </c>
      <c r="F1457" s="86">
        <v>2073938.4999999998</v>
      </c>
      <c r="G1457" s="86">
        <v>0</v>
      </c>
      <c r="H1457" s="86"/>
      <c r="I1457" s="86">
        <v>0</v>
      </c>
      <c r="J1457" s="86"/>
      <c r="K1457" s="86">
        <v>0</v>
      </c>
      <c r="L1457" s="86"/>
      <c r="M1457" s="86">
        <v>0</v>
      </c>
      <c r="N1457" s="86"/>
      <c r="O1457" s="86">
        <v>0</v>
      </c>
      <c r="P1457" s="86">
        <v>2198017</v>
      </c>
      <c r="Q1457" s="86">
        <v>2180</v>
      </c>
      <c r="R1457" s="87">
        <f t="shared" si="404"/>
        <v>2180</v>
      </c>
      <c r="T1457" s="87">
        <v>0</v>
      </c>
      <c r="U1457" s="89"/>
      <c r="V1457" s="89">
        <v>0</v>
      </c>
      <c r="W1457" s="90"/>
      <c r="X1457" s="90">
        <v>0</v>
      </c>
      <c r="Y1457" s="90">
        <v>2305825.5000000019</v>
      </c>
      <c r="Z1457" s="90">
        <v>0</v>
      </c>
      <c r="AA1457" s="90">
        <v>967</v>
      </c>
      <c r="AB1457" s="89">
        <f t="shared" si="405"/>
        <v>0</v>
      </c>
      <c r="AC1457" s="89">
        <f t="shared" si="406"/>
        <v>2180</v>
      </c>
      <c r="AD1457" s="89">
        <f t="shared" si="407"/>
        <v>0</v>
      </c>
      <c r="AE1457" s="90">
        <f t="shared" si="408"/>
        <v>0</v>
      </c>
      <c r="AF1457" s="90" t="str">
        <f t="shared" si="409"/>
        <v/>
      </c>
      <c r="AG1457" s="90">
        <f t="shared" si="410"/>
        <v>2180</v>
      </c>
      <c r="AH1457" s="90">
        <f t="shared" si="411"/>
        <v>2018</v>
      </c>
      <c r="AI1457" s="90">
        <f t="shared" si="412"/>
        <v>2180</v>
      </c>
      <c r="AJ1457" s="90">
        <f t="shared" si="413"/>
        <v>2018</v>
      </c>
      <c r="AK1457" s="90" t="str">
        <f t="shared" si="414"/>
        <v/>
      </c>
      <c r="AL1457" s="91">
        <f>IF(AK1457="Adjust",(_xlfn.XLOOKUP(A1457,'Adj factor'!A:A,'Adj factor'!I:I,,0)*AI1457),'Master DataSheet'!AI1457)</f>
        <v>2180</v>
      </c>
      <c r="AM1457" s="91">
        <f t="shared" si="415"/>
        <v>2180</v>
      </c>
      <c r="AN1457" s="92" t="str">
        <f t="shared" si="416"/>
        <v>No change</v>
      </c>
      <c r="AS1457" s="94">
        <f t="shared" si="417"/>
        <v>0</v>
      </c>
      <c r="AT1457" s="94">
        <f t="shared" si="418"/>
        <v>9.9180306612733204</v>
      </c>
      <c r="AU1457" s="94">
        <f t="shared" si="419"/>
        <v>9.4543147345711898</v>
      </c>
    </row>
    <row r="1458" spans="1:47" x14ac:dyDescent="0.3">
      <c r="A1458" s="85" t="str">
        <f>_xlfn.XLOOKUP(B1458,'Country codes &amp; Data sources'!G:G,'Country codes &amp; Data sources'!H:H,,0)</f>
        <v>Lesotho</v>
      </c>
      <c r="B1458" s="85" t="s">
        <v>160</v>
      </c>
      <c r="C1458" s="85">
        <v>2054724</v>
      </c>
      <c r="D1458" s="85" t="s">
        <v>332</v>
      </c>
      <c r="E1458" s="86">
        <v>0</v>
      </c>
      <c r="F1458" s="86">
        <v>2073938.4999999998</v>
      </c>
      <c r="G1458" s="86">
        <v>0</v>
      </c>
      <c r="H1458" s="86"/>
      <c r="I1458" s="86">
        <v>0</v>
      </c>
      <c r="J1458" s="86"/>
      <c r="K1458" s="86">
        <v>0</v>
      </c>
      <c r="L1458" s="86"/>
      <c r="M1458" s="86">
        <v>0</v>
      </c>
      <c r="N1458" s="86"/>
      <c r="O1458" s="86">
        <v>0</v>
      </c>
      <c r="P1458" s="86">
        <v>2198017</v>
      </c>
      <c r="Q1458" s="86">
        <v>0</v>
      </c>
      <c r="R1458" s="87">
        <f t="shared" si="404"/>
        <v>2779</v>
      </c>
      <c r="T1458" s="87">
        <v>0</v>
      </c>
      <c r="U1458" s="89"/>
      <c r="V1458" s="89">
        <v>0</v>
      </c>
      <c r="W1458" s="90"/>
      <c r="X1458" s="90">
        <v>0</v>
      </c>
      <c r="Y1458" s="90">
        <v>2305825.5000000019</v>
      </c>
      <c r="Z1458" s="103">
        <v>2779</v>
      </c>
      <c r="AA1458" s="90">
        <v>2779</v>
      </c>
      <c r="AB1458" s="89">
        <f t="shared" si="405"/>
        <v>0</v>
      </c>
      <c r="AC1458" s="89">
        <f t="shared" si="406"/>
        <v>0</v>
      </c>
      <c r="AD1458" s="89">
        <f t="shared" si="407"/>
        <v>2779</v>
      </c>
      <c r="AE1458" s="90">
        <f t="shared" si="408"/>
        <v>0</v>
      </c>
      <c r="AF1458" s="90" t="str">
        <f t="shared" si="409"/>
        <v/>
      </c>
      <c r="AG1458" s="90">
        <f t="shared" si="410"/>
        <v>2779</v>
      </c>
      <c r="AH1458" s="90" t="str">
        <f t="shared" si="411"/>
        <v>2018 (triag)</v>
      </c>
      <c r="AI1458" s="90">
        <f t="shared" si="412"/>
        <v>2779</v>
      </c>
      <c r="AJ1458" s="90">
        <f t="shared" si="413"/>
        <v>2022</v>
      </c>
      <c r="AK1458" s="90" t="str">
        <f t="shared" si="414"/>
        <v/>
      </c>
      <c r="AL1458" s="91">
        <f>IF(AK1458="Adjust",(_xlfn.XLOOKUP(A1458,'Adj factor'!A:A,'Adj factor'!I:I,,0)*AI1458),'Master DataSheet'!AI1458)</f>
        <v>2779</v>
      </c>
      <c r="AM1458" s="91">
        <f t="shared" si="415"/>
        <v>2779</v>
      </c>
      <c r="AN1458" s="92" t="str">
        <f t="shared" si="416"/>
        <v>No change</v>
      </c>
      <c r="AS1458" s="94">
        <f t="shared" si="417"/>
        <v>0</v>
      </c>
      <c r="AT1458" s="94">
        <f t="shared" si="418"/>
        <v>12.64321431544888</v>
      </c>
      <c r="AU1458" s="94">
        <f t="shared" si="419"/>
        <v>12.052082865767586</v>
      </c>
    </row>
    <row r="1459" spans="1:47" x14ac:dyDescent="0.3">
      <c r="A1459" s="85" t="str">
        <f>_xlfn.XLOOKUP(B1459,'Country codes &amp; Data sources'!G:G,'Country codes &amp; Data sources'!H:H,,0)</f>
        <v>Lesotho</v>
      </c>
      <c r="B1459" s="85" t="s">
        <v>160</v>
      </c>
      <c r="C1459" s="85">
        <v>2054725</v>
      </c>
      <c r="D1459" s="85" t="s">
        <v>333</v>
      </c>
      <c r="E1459" s="86">
        <v>0</v>
      </c>
      <c r="F1459" s="86">
        <v>2073938.4999999998</v>
      </c>
      <c r="G1459" s="86">
        <v>0</v>
      </c>
      <c r="H1459" s="86"/>
      <c r="I1459" s="86">
        <v>0</v>
      </c>
      <c r="J1459" s="86"/>
      <c r="K1459" s="86">
        <v>0</v>
      </c>
      <c r="L1459" s="86"/>
      <c r="M1459" s="86">
        <v>0</v>
      </c>
      <c r="N1459" s="86"/>
      <c r="O1459" s="86">
        <v>0</v>
      </c>
      <c r="P1459" s="86">
        <v>2198017</v>
      </c>
      <c r="Q1459" s="86">
        <v>0</v>
      </c>
      <c r="R1459" s="87">
        <f t="shared" si="404"/>
        <v>2779</v>
      </c>
      <c r="T1459" s="87">
        <v>0</v>
      </c>
      <c r="U1459" s="89"/>
      <c r="V1459" s="89">
        <v>0</v>
      </c>
      <c r="W1459" s="90"/>
      <c r="X1459" s="90">
        <v>0</v>
      </c>
      <c r="Y1459" s="90">
        <v>2305825.5000000019</v>
      </c>
      <c r="Z1459" s="90">
        <v>0</v>
      </c>
      <c r="AA1459" s="90">
        <v>2779</v>
      </c>
      <c r="AB1459" s="89">
        <f t="shared" si="405"/>
        <v>0</v>
      </c>
      <c r="AC1459" s="89">
        <f t="shared" si="406"/>
        <v>0</v>
      </c>
      <c r="AD1459" s="89">
        <f t="shared" si="407"/>
        <v>0</v>
      </c>
      <c r="AE1459" s="90">
        <f t="shared" si="408"/>
        <v>0</v>
      </c>
      <c r="AF1459" s="90" t="str">
        <f t="shared" si="409"/>
        <v/>
      </c>
      <c r="AG1459" s="90">
        <f t="shared" si="410"/>
        <v>2779</v>
      </c>
      <c r="AH1459" s="90" t="str">
        <f t="shared" si="411"/>
        <v>2018 (triag)</v>
      </c>
      <c r="AI1459" s="90">
        <f t="shared" si="412"/>
        <v>2779</v>
      </c>
      <c r="AJ1459" s="90" t="str">
        <f t="shared" si="413"/>
        <v>2018 (triag)</v>
      </c>
      <c r="AK1459" s="90" t="str">
        <f t="shared" si="414"/>
        <v/>
      </c>
      <c r="AL1459" s="91">
        <f>IF(AK1459="Adjust",(_xlfn.XLOOKUP(A1459,'Adj factor'!A:A,'Adj factor'!I:I,,0)*AI1459),'Master DataSheet'!AI1459)</f>
        <v>2779</v>
      </c>
      <c r="AM1459" s="91">
        <f t="shared" si="415"/>
        <v>2779</v>
      </c>
      <c r="AN1459" s="92" t="str">
        <f t="shared" si="416"/>
        <v>No change</v>
      </c>
      <c r="AS1459" s="94">
        <f t="shared" si="417"/>
        <v>0</v>
      </c>
      <c r="AT1459" s="94">
        <f t="shared" si="418"/>
        <v>12.64321431544888</v>
      </c>
      <c r="AU1459" s="94">
        <f t="shared" si="419"/>
        <v>12.052082865767586</v>
      </c>
    </row>
    <row r="1460" spans="1:47" x14ac:dyDescent="0.3">
      <c r="A1460" s="85" t="str">
        <f>_xlfn.XLOOKUP(B1460,'Country codes &amp; Data sources'!G:G,'Country codes &amp; Data sources'!H:H,,0)</f>
        <v>Lesotho</v>
      </c>
      <c r="B1460" s="85" t="s">
        <v>160</v>
      </c>
      <c r="C1460" s="85">
        <v>2054726</v>
      </c>
      <c r="D1460" s="85" t="s">
        <v>334</v>
      </c>
      <c r="E1460" s="86">
        <v>0</v>
      </c>
      <c r="F1460" s="86">
        <v>2073938.4999999998</v>
      </c>
      <c r="G1460" s="86">
        <v>0</v>
      </c>
      <c r="H1460" s="86"/>
      <c r="I1460" s="86">
        <v>0</v>
      </c>
      <c r="J1460" s="86"/>
      <c r="K1460" s="86">
        <v>0</v>
      </c>
      <c r="L1460" s="86"/>
      <c r="M1460" s="86">
        <v>0</v>
      </c>
      <c r="N1460" s="86"/>
      <c r="O1460" s="86">
        <v>0</v>
      </c>
      <c r="P1460" s="86">
        <v>2198017</v>
      </c>
      <c r="Q1460" s="86">
        <v>0</v>
      </c>
      <c r="R1460" s="87">
        <f t="shared" si="404"/>
        <v>0</v>
      </c>
      <c r="T1460" s="87">
        <v>0</v>
      </c>
      <c r="U1460" s="89"/>
      <c r="V1460" s="89">
        <v>0</v>
      </c>
      <c r="W1460" s="90"/>
      <c r="X1460" s="90">
        <v>0</v>
      </c>
      <c r="Y1460" s="90">
        <v>2305825.5000000019</v>
      </c>
      <c r="Z1460" s="90">
        <v>0</v>
      </c>
      <c r="AA1460" s="90">
        <v>0</v>
      </c>
      <c r="AB1460" s="89">
        <f t="shared" si="405"/>
        <v>0</v>
      </c>
      <c r="AC1460" s="89">
        <f t="shared" si="406"/>
        <v>0</v>
      </c>
      <c r="AD1460" s="89">
        <f t="shared" si="407"/>
        <v>0</v>
      </c>
      <c r="AE1460" s="90">
        <f t="shared" si="408"/>
        <v>0</v>
      </c>
      <c r="AF1460" s="90" t="str">
        <f t="shared" si="409"/>
        <v/>
      </c>
      <c r="AG1460" s="90">
        <f t="shared" si="410"/>
        <v>0</v>
      </c>
      <c r="AH1460" s="90" t="str">
        <f t="shared" si="411"/>
        <v/>
      </c>
      <c r="AI1460" s="90">
        <f t="shared" si="412"/>
        <v>0</v>
      </c>
      <c r="AJ1460" s="90" t="str">
        <f t="shared" si="413"/>
        <v/>
      </c>
      <c r="AK1460" s="90" t="str">
        <f t="shared" si="414"/>
        <v/>
      </c>
      <c r="AL1460" s="91">
        <f>IF(AK1460="Adjust",(_xlfn.XLOOKUP(A1460,'Adj factor'!A:A,'Adj factor'!I:I,,0)*AI1460),'Master DataSheet'!AI1460)</f>
        <v>0</v>
      </c>
      <c r="AM1460" s="91">
        <f t="shared" si="415"/>
        <v>0</v>
      </c>
      <c r="AN1460" s="92" t="str">
        <f t="shared" si="416"/>
        <v>No change</v>
      </c>
      <c r="AS1460" s="94">
        <f t="shared" si="417"/>
        <v>0</v>
      </c>
      <c r="AT1460" s="94">
        <f t="shared" si="418"/>
        <v>0</v>
      </c>
      <c r="AU1460" s="94">
        <f t="shared" si="419"/>
        <v>0</v>
      </c>
    </row>
    <row r="1461" spans="1:47" x14ac:dyDescent="0.3">
      <c r="A1461" s="85" t="str">
        <f>_xlfn.XLOOKUP(B1461,'Country codes &amp; Data sources'!G:G,'Country codes &amp; Data sources'!H:H,,0)</f>
        <v>Lesotho</v>
      </c>
      <c r="B1461" s="85" t="s">
        <v>160</v>
      </c>
      <c r="C1461" s="85">
        <v>2054727</v>
      </c>
      <c r="D1461" s="85" t="s">
        <v>335</v>
      </c>
      <c r="E1461" s="86">
        <v>0</v>
      </c>
      <c r="F1461" s="86">
        <v>2073938.4999999998</v>
      </c>
      <c r="G1461" s="86">
        <v>0</v>
      </c>
      <c r="H1461" s="86"/>
      <c r="I1461" s="86">
        <v>0</v>
      </c>
      <c r="J1461" s="86"/>
      <c r="K1461" s="86">
        <v>0</v>
      </c>
      <c r="L1461" s="86"/>
      <c r="M1461" s="86">
        <v>0</v>
      </c>
      <c r="N1461" s="86"/>
      <c r="O1461" s="86">
        <v>0</v>
      </c>
      <c r="P1461" s="86">
        <v>2198017</v>
      </c>
      <c r="Q1461" s="86">
        <v>398</v>
      </c>
      <c r="R1461" s="87">
        <f t="shared" si="404"/>
        <v>398</v>
      </c>
      <c r="T1461" s="87">
        <v>0</v>
      </c>
      <c r="U1461" s="89"/>
      <c r="V1461" s="89">
        <v>0</v>
      </c>
      <c r="W1461" s="90"/>
      <c r="X1461" s="90">
        <v>0</v>
      </c>
      <c r="Y1461" s="90">
        <v>2305825.5000000019</v>
      </c>
      <c r="Z1461" s="90">
        <v>201</v>
      </c>
      <c r="AA1461" s="90">
        <v>97</v>
      </c>
      <c r="AB1461" s="89">
        <f t="shared" si="405"/>
        <v>0</v>
      </c>
      <c r="AC1461" s="89">
        <f t="shared" si="406"/>
        <v>398</v>
      </c>
      <c r="AD1461" s="89">
        <f t="shared" si="407"/>
        <v>201</v>
      </c>
      <c r="AE1461" s="90">
        <f t="shared" si="408"/>
        <v>0</v>
      </c>
      <c r="AF1461" s="90" t="str">
        <f t="shared" si="409"/>
        <v/>
      </c>
      <c r="AG1461" s="90">
        <f t="shared" si="410"/>
        <v>398</v>
      </c>
      <c r="AH1461" s="90">
        <f t="shared" si="411"/>
        <v>2018</v>
      </c>
      <c r="AI1461" s="90">
        <f t="shared" si="412"/>
        <v>201</v>
      </c>
      <c r="AJ1461" s="90">
        <f t="shared" si="413"/>
        <v>2022</v>
      </c>
      <c r="AK1461" s="90" t="str">
        <f t="shared" si="414"/>
        <v>Adjust</v>
      </c>
      <c r="AL1461" s="91">
        <f>IF(AK1461="Adjust",(_xlfn.XLOOKUP(A1461,'Adj factor'!A:A,'Adj factor'!I:I,,0)*AI1461),'Master DataSheet'!AI1461)</f>
        <v>256.80610832894047</v>
      </c>
      <c r="AM1461" s="91">
        <f t="shared" si="415"/>
        <v>398</v>
      </c>
      <c r="AN1461" s="92" t="str">
        <f t="shared" si="416"/>
        <v>Decreasing</v>
      </c>
      <c r="AS1461" s="94">
        <f t="shared" si="417"/>
        <v>0</v>
      </c>
      <c r="AT1461" s="94">
        <f t="shared" si="418"/>
        <v>1.8107230289847622</v>
      </c>
      <c r="AU1461" s="94">
        <f t="shared" si="419"/>
        <v>1.7260629653024466</v>
      </c>
    </row>
    <row r="1462" spans="1:47" x14ac:dyDescent="0.3">
      <c r="A1462" s="85" t="str">
        <f>_xlfn.XLOOKUP(B1462,'Country codes &amp; Data sources'!G:G,'Country codes &amp; Data sources'!H:H,,0)</f>
        <v>Lesotho</v>
      </c>
      <c r="B1462" s="85" t="s">
        <v>160</v>
      </c>
      <c r="C1462" s="85">
        <v>2054728</v>
      </c>
      <c r="D1462" s="85" t="s">
        <v>336</v>
      </c>
      <c r="E1462" s="86">
        <v>0</v>
      </c>
      <c r="F1462" s="86">
        <v>2073938.4999999998</v>
      </c>
      <c r="G1462" s="86">
        <v>0</v>
      </c>
      <c r="H1462" s="86"/>
      <c r="I1462" s="86">
        <v>0</v>
      </c>
      <c r="J1462" s="86"/>
      <c r="K1462" s="86">
        <v>0</v>
      </c>
      <c r="L1462" s="86"/>
      <c r="M1462" s="86">
        <v>0</v>
      </c>
      <c r="N1462" s="86"/>
      <c r="O1462" s="86">
        <v>0</v>
      </c>
      <c r="P1462" s="86">
        <v>2198017</v>
      </c>
      <c r="Q1462" s="86">
        <v>0</v>
      </c>
      <c r="R1462" s="87">
        <f t="shared" si="404"/>
        <v>301</v>
      </c>
      <c r="T1462" s="87">
        <v>0</v>
      </c>
      <c r="U1462" s="89"/>
      <c r="V1462" s="89">
        <v>0</v>
      </c>
      <c r="W1462" s="90"/>
      <c r="X1462" s="90">
        <v>0</v>
      </c>
      <c r="Y1462" s="90">
        <v>2305825.5000000019</v>
      </c>
      <c r="Z1462" s="113">
        <v>347</v>
      </c>
      <c r="AA1462" s="90">
        <v>301</v>
      </c>
      <c r="AB1462" s="89">
        <f t="shared" si="405"/>
        <v>0</v>
      </c>
      <c r="AC1462" s="89">
        <f t="shared" si="406"/>
        <v>0</v>
      </c>
      <c r="AD1462" s="89">
        <f t="shared" si="407"/>
        <v>347</v>
      </c>
      <c r="AE1462" s="90">
        <f t="shared" si="408"/>
        <v>0</v>
      </c>
      <c r="AF1462" s="90" t="str">
        <f t="shared" si="409"/>
        <v/>
      </c>
      <c r="AG1462" s="90">
        <f t="shared" si="410"/>
        <v>301</v>
      </c>
      <c r="AH1462" s="90" t="str">
        <f t="shared" si="411"/>
        <v>2018 (triag)</v>
      </c>
      <c r="AI1462" s="90">
        <f t="shared" si="412"/>
        <v>347</v>
      </c>
      <c r="AJ1462" s="90">
        <f t="shared" si="413"/>
        <v>2022</v>
      </c>
      <c r="AK1462" s="90" t="str">
        <f t="shared" si="414"/>
        <v/>
      </c>
      <c r="AL1462" s="91">
        <f>IF(AK1462="Adjust",(_xlfn.XLOOKUP(A1462,'Adj factor'!A:A,'Adj factor'!I:I,,0)*AI1462),'Master DataSheet'!AI1462)</f>
        <v>347</v>
      </c>
      <c r="AM1462" s="91">
        <f t="shared" si="415"/>
        <v>347</v>
      </c>
      <c r="AN1462" s="92" t="str">
        <f t="shared" si="416"/>
        <v>Increasing</v>
      </c>
      <c r="AS1462" s="94">
        <f t="shared" si="417"/>
        <v>0</v>
      </c>
      <c r="AT1462" s="94">
        <f t="shared" si="418"/>
        <v>1.3694161601115915</v>
      </c>
      <c r="AU1462" s="94">
        <f t="shared" si="419"/>
        <v>1.5048840426129373</v>
      </c>
    </row>
    <row r="1463" spans="1:47" ht="14.5" x14ac:dyDescent="0.35">
      <c r="A1463" s="85" t="str">
        <f>_xlfn.XLOOKUP(B1463,'Country codes &amp; Data sources'!G:G,'Country codes &amp; Data sources'!H:H,,0)</f>
        <v>Lesotho</v>
      </c>
      <c r="B1463" s="85" t="s">
        <v>160</v>
      </c>
      <c r="C1463" s="85">
        <v>2054729</v>
      </c>
      <c r="D1463" s="85" t="s">
        <v>337</v>
      </c>
      <c r="E1463" s="86">
        <v>0</v>
      </c>
      <c r="F1463" s="86">
        <v>2073938.4999999998</v>
      </c>
      <c r="G1463" s="86">
        <v>0</v>
      </c>
      <c r="H1463" s="86"/>
      <c r="I1463" s="86">
        <v>0</v>
      </c>
      <c r="J1463" s="86"/>
      <c r="K1463" s="86">
        <v>0</v>
      </c>
      <c r="L1463" s="86"/>
      <c r="M1463" s="86">
        <v>0</v>
      </c>
      <c r="N1463" s="86"/>
      <c r="O1463" s="86">
        <v>0</v>
      </c>
      <c r="P1463" s="86">
        <v>2198017</v>
      </c>
      <c r="Q1463" s="86">
        <v>159</v>
      </c>
      <c r="R1463" s="87">
        <f t="shared" si="404"/>
        <v>159</v>
      </c>
      <c r="T1463" s="87">
        <v>37</v>
      </c>
      <c r="U1463" s="89"/>
      <c r="V1463" s="89">
        <v>0</v>
      </c>
      <c r="W1463" s="90"/>
      <c r="X1463" s="90">
        <v>0</v>
      </c>
      <c r="Y1463" s="90">
        <v>2305825.5000000019</v>
      </c>
      <c r="Z1463" s="112">
        <v>66</v>
      </c>
      <c r="AA1463" s="90">
        <v>39</v>
      </c>
      <c r="AB1463" s="89">
        <f t="shared" si="405"/>
        <v>0</v>
      </c>
      <c r="AC1463" s="89">
        <f t="shared" si="406"/>
        <v>159</v>
      </c>
      <c r="AD1463" s="89">
        <f t="shared" si="407"/>
        <v>66</v>
      </c>
      <c r="AE1463" s="90">
        <f t="shared" si="408"/>
        <v>0</v>
      </c>
      <c r="AF1463" s="90" t="str">
        <f t="shared" si="409"/>
        <v/>
      </c>
      <c r="AG1463" s="90">
        <f t="shared" si="410"/>
        <v>159</v>
      </c>
      <c r="AH1463" s="90">
        <f t="shared" si="411"/>
        <v>2018</v>
      </c>
      <c r="AI1463" s="90">
        <f>IF((IF(Z1463&gt;0,Z1463,IF(X1463&gt;0,X1463,IF(V1463&gt;0,V1463,T1463))))=0,AG1463,IF(Z1463&gt;0,Z1463,IF(X1463&gt;0,X1463,IF(V1463&gt;0,V1463,T1463))))</f>
        <v>66</v>
      </c>
      <c r="AJ1463" s="90">
        <f t="shared" si="413"/>
        <v>2022</v>
      </c>
      <c r="AK1463" s="90" t="str">
        <f t="shared" si="414"/>
        <v>Adjust</v>
      </c>
      <c r="AL1463" s="91">
        <f>IF(AK1463="Adjust",(_xlfn.XLOOKUP(A1463,'Adj factor'!A:A,'Adj factor'!I:I,,0)*AI1463),'Master DataSheet'!AI1463)</f>
        <v>84.324393779652084</v>
      </c>
      <c r="AM1463" s="91">
        <f t="shared" si="415"/>
        <v>159</v>
      </c>
      <c r="AN1463" s="92" t="str">
        <f t="shared" si="416"/>
        <v>Decreasing</v>
      </c>
      <c r="AS1463" s="94">
        <f t="shared" si="417"/>
        <v>0</v>
      </c>
      <c r="AT1463" s="94">
        <f t="shared" si="418"/>
        <v>0.7233793005240633</v>
      </c>
      <c r="AU1463" s="94">
        <f t="shared" si="419"/>
        <v>0.68955781779670611</v>
      </c>
    </row>
    <row r="1464" spans="1:47" x14ac:dyDescent="0.3">
      <c r="A1464" s="85" t="str">
        <f>_xlfn.XLOOKUP(B1464,'Country codes &amp; Data sources'!G:G,'Country codes &amp; Data sources'!H:H,,0)</f>
        <v>Lesotho</v>
      </c>
      <c r="B1464" s="85" t="s">
        <v>160</v>
      </c>
      <c r="C1464" s="85">
        <v>2054730</v>
      </c>
      <c r="D1464" s="85" t="s">
        <v>338</v>
      </c>
      <c r="E1464" s="86">
        <v>0</v>
      </c>
      <c r="F1464" s="86">
        <v>2073938.4999999998</v>
      </c>
      <c r="G1464" s="86">
        <v>0</v>
      </c>
      <c r="H1464" s="86"/>
      <c r="I1464" s="86">
        <v>0</v>
      </c>
      <c r="J1464" s="86"/>
      <c r="K1464" s="86">
        <v>0</v>
      </c>
      <c r="L1464" s="86"/>
      <c r="M1464" s="86">
        <v>0</v>
      </c>
      <c r="N1464" s="86"/>
      <c r="O1464" s="86">
        <v>0</v>
      </c>
      <c r="P1464" s="86">
        <v>2198017</v>
      </c>
      <c r="Q1464" s="86">
        <v>0</v>
      </c>
      <c r="R1464" s="87">
        <f t="shared" si="404"/>
        <v>120</v>
      </c>
      <c r="T1464" s="87">
        <v>47</v>
      </c>
      <c r="U1464" s="89"/>
      <c r="V1464" s="89">
        <v>0</v>
      </c>
      <c r="W1464" s="90"/>
      <c r="X1464" s="90">
        <v>0</v>
      </c>
      <c r="Y1464" s="90">
        <v>2305825.5000000019</v>
      </c>
      <c r="Z1464" s="90">
        <v>49</v>
      </c>
      <c r="AA1464" s="90">
        <v>120</v>
      </c>
      <c r="AB1464" s="89">
        <f t="shared" si="405"/>
        <v>0</v>
      </c>
      <c r="AC1464" s="89">
        <f t="shared" si="406"/>
        <v>47</v>
      </c>
      <c r="AD1464" s="89">
        <f t="shared" si="407"/>
        <v>49</v>
      </c>
      <c r="AE1464" s="90">
        <f t="shared" si="408"/>
        <v>0</v>
      </c>
      <c r="AF1464" s="90" t="str">
        <f t="shared" si="409"/>
        <v/>
      </c>
      <c r="AG1464" s="90">
        <f t="shared" si="410"/>
        <v>120</v>
      </c>
      <c r="AH1464" s="90" t="str">
        <f t="shared" si="411"/>
        <v>2018 (triag)</v>
      </c>
      <c r="AI1464" s="90">
        <f t="shared" si="412"/>
        <v>49</v>
      </c>
      <c r="AJ1464" s="90">
        <f t="shared" si="413"/>
        <v>2022</v>
      </c>
      <c r="AK1464" s="90" t="str">
        <f t="shared" si="414"/>
        <v>Adjust</v>
      </c>
      <c r="AL1464" s="91">
        <f>IF(AK1464="Adjust",(_xlfn.XLOOKUP(A1464,'Adj factor'!A:A,'Adj factor'!I:I,,0)*AI1464),'Master DataSheet'!AI1464)</f>
        <v>62.6044741697417</v>
      </c>
      <c r="AM1464" s="91">
        <f t="shared" si="415"/>
        <v>120</v>
      </c>
      <c r="AN1464" s="92" t="str">
        <f t="shared" si="416"/>
        <v>Decreasing</v>
      </c>
      <c r="AS1464" s="94">
        <f t="shared" si="417"/>
        <v>0</v>
      </c>
      <c r="AT1464" s="94">
        <f t="shared" si="418"/>
        <v>0.54594664190495346</v>
      </c>
      <c r="AU1464" s="94">
        <f t="shared" si="419"/>
        <v>0.52042099456355173</v>
      </c>
    </row>
    <row r="1465" spans="1:47" x14ac:dyDescent="0.3">
      <c r="A1465" s="85" t="str">
        <f>_xlfn.XLOOKUP(B1465,'Country codes &amp; Data sources'!G:G,'Country codes &amp; Data sources'!H:H,,0)</f>
        <v>Lesotho</v>
      </c>
      <c r="B1465" s="85" t="s">
        <v>160</v>
      </c>
      <c r="C1465" s="85">
        <v>2054731</v>
      </c>
      <c r="D1465" s="85" t="s">
        <v>339</v>
      </c>
      <c r="E1465" s="86">
        <v>0</v>
      </c>
      <c r="F1465" s="86">
        <v>2073938.4999999998</v>
      </c>
      <c r="G1465" s="86">
        <v>0</v>
      </c>
      <c r="H1465" s="86"/>
      <c r="I1465" s="86">
        <v>0</v>
      </c>
      <c r="J1465" s="86"/>
      <c r="K1465" s="86">
        <v>0</v>
      </c>
      <c r="L1465" s="86"/>
      <c r="M1465" s="86">
        <v>0</v>
      </c>
      <c r="N1465" s="86"/>
      <c r="O1465" s="86">
        <v>0</v>
      </c>
      <c r="P1465" s="86">
        <v>2198017</v>
      </c>
      <c r="Q1465" s="86">
        <v>0</v>
      </c>
      <c r="R1465" s="87">
        <f t="shared" si="404"/>
        <v>0</v>
      </c>
      <c r="T1465" s="87">
        <v>0</v>
      </c>
      <c r="U1465" s="89"/>
      <c r="V1465" s="89">
        <v>0</v>
      </c>
      <c r="W1465" s="90"/>
      <c r="X1465" s="90">
        <v>0</v>
      </c>
      <c r="Y1465" s="90">
        <v>2305825.5000000019</v>
      </c>
      <c r="Z1465" s="90">
        <v>0</v>
      </c>
      <c r="AA1465" s="90">
        <v>0</v>
      </c>
      <c r="AB1465" s="89">
        <f t="shared" si="405"/>
        <v>0</v>
      </c>
      <c r="AC1465" s="89">
        <f t="shared" si="406"/>
        <v>0</v>
      </c>
      <c r="AD1465" s="89">
        <f t="shared" si="407"/>
        <v>0</v>
      </c>
      <c r="AE1465" s="90">
        <f t="shared" si="408"/>
        <v>0</v>
      </c>
      <c r="AF1465" s="90" t="str">
        <f t="shared" si="409"/>
        <v/>
      </c>
      <c r="AG1465" s="90">
        <f t="shared" si="410"/>
        <v>0</v>
      </c>
      <c r="AH1465" s="90" t="str">
        <f t="shared" si="411"/>
        <v/>
      </c>
      <c r="AI1465" s="90">
        <f t="shared" si="412"/>
        <v>0</v>
      </c>
      <c r="AJ1465" s="90" t="str">
        <f t="shared" si="413"/>
        <v/>
      </c>
      <c r="AK1465" s="90" t="str">
        <f t="shared" si="414"/>
        <v/>
      </c>
      <c r="AL1465" s="91">
        <f>IF(AK1465="Adjust",(_xlfn.XLOOKUP(A1465,'Adj factor'!A:A,'Adj factor'!I:I,,0)*AI1465),'Master DataSheet'!AI1465)</f>
        <v>0</v>
      </c>
      <c r="AM1465" s="91">
        <f t="shared" si="415"/>
        <v>0</v>
      </c>
      <c r="AN1465" s="92" t="str">
        <f t="shared" si="416"/>
        <v>No change</v>
      </c>
      <c r="AS1465" s="94">
        <f t="shared" si="417"/>
        <v>0</v>
      </c>
      <c r="AT1465" s="94">
        <f t="shared" si="418"/>
        <v>0</v>
      </c>
      <c r="AU1465" s="94">
        <f t="shared" si="419"/>
        <v>0</v>
      </c>
    </row>
    <row r="1466" spans="1:47" x14ac:dyDescent="0.3">
      <c r="A1466" s="85" t="str">
        <f>_xlfn.XLOOKUP(B1466,'Country codes &amp; Data sources'!G:G,'Country codes &amp; Data sources'!H:H,,0)</f>
        <v>Madagascar</v>
      </c>
      <c r="B1466" s="85" t="s">
        <v>177</v>
      </c>
      <c r="C1466" s="85">
        <v>22966240</v>
      </c>
      <c r="D1466" s="85" t="s">
        <v>326</v>
      </c>
      <c r="E1466" s="86">
        <v>3188</v>
      </c>
      <c r="F1466" s="86">
        <v>23588073.5</v>
      </c>
      <c r="G1466" s="86">
        <v>3523</v>
      </c>
      <c r="H1466" s="86">
        <v>24215975.500000019</v>
      </c>
      <c r="I1466" s="86">
        <v>4275</v>
      </c>
      <c r="J1466" s="86">
        <v>24850912.500000015</v>
      </c>
      <c r="K1466" s="86">
        <v>0</v>
      </c>
      <c r="L1466" s="86">
        <v>25501940.499999996</v>
      </c>
      <c r="M1466" s="86">
        <v>0</v>
      </c>
      <c r="N1466" s="86">
        <v>26169542.000000015</v>
      </c>
      <c r="O1466" s="86">
        <v>0</v>
      </c>
      <c r="P1466" s="86">
        <v>26846541</v>
      </c>
      <c r="Q1466" s="86">
        <v>0</v>
      </c>
      <c r="R1466" s="87">
        <f t="shared" si="404"/>
        <v>5230</v>
      </c>
      <c r="S1466" s="87">
        <v>27533134.000000015</v>
      </c>
      <c r="T1466" s="87">
        <v>0</v>
      </c>
      <c r="U1466" s="89">
        <v>28225176.500000007</v>
      </c>
      <c r="V1466" s="89">
        <v>0</v>
      </c>
      <c r="W1466" s="90">
        <v>28915652.500000004</v>
      </c>
      <c r="X1466" s="90">
        <v>0</v>
      </c>
      <c r="Y1466" s="90">
        <v>29611714.000000004</v>
      </c>
      <c r="Z1466" s="90">
        <v>0</v>
      </c>
      <c r="AA1466" s="90">
        <v>5230</v>
      </c>
      <c r="AB1466" s="89">
        <f t="shared" si="405"/>
        <v>4275</v>
      </c>
      <c r="AC1466" s="89">
        <f t="shared" si="406"/>
        <v>0</v>
      </c>
      <c r="AD1466" s="89">
        <f t="shared" si="407"/>
        <v>0</v>
      </c>
      <c r="AE1466" s="90">
        <f t="shared" si="408"/>
        <v>3523</v>
      </c>
      <c r="AF1466" s="90">
        <f t="shared" si="409"/>
        <v>2013</v>
      </c>
      <c r="AG1466" s="90">
        <f t="shared" si="410"/>
        <v>5230</v>
      </c>
      <c r="AH1466" s="90" t="str">
        <f t="shared" si="411"/>
        <v>2018 (triag)</v>
      </c>
      <c r="AI1466" s="90">
        <f t="shared" si="412"/>
        <v>5230</v>
      </c>
      <c r="AJ1466" s="90" t="str">
        <f t="shared" si="413"/>
        <v>2018 (triag)</v>
      </c>
      <c r="AK1466" s="90" t="str">
        <f t="shared" si="414"/>
        <v/>
      </c>
      <c r="AL1466" s="91">
        <f>IF(AK1466="Adjust",(_xlfn.XLOOKUP(A1466,'Adj factor'!A:A,'Adj factor'!I:I,,0)*AI1466),'Master DataSheet'!AI1466)</f>
        <v>5230</v>
      </c>
      <c r="AM1466" s="91">
        <f t="shared" si="415"/>
        <v>5230</v>
      </c>
      <c r="AN1466" s="92" t="str">
        <f t="shared" si="416"/>
        <v>No change</v>
      </c>
      <c r="AS1466" s="94">
        <f t="shared" si="417"/>
        <v>1.4935513915538714</v>
      </c>
      <c r="AT1466" s="94">
        <f t="shared" si="418"/>
        <v>1.9481094417340394</v>
      </c>
      <c r="AU1466" s="94">
        <f t="shared" si="419"/>
        <v>1.766192932972404</v>
      </c>
    </row>
    <row r="1467" spans="1:47" x14ac:dyDescent="0.3">
      <c r="A1467" s="85" t="str">
        <f>_xlfn.XLOOKUP(B1467,'Country codes &amp; Data sources'!G:G,'Country codes &amp; Data sources'!H:H,,0)</f>
        <v>Madagascar</v>
      </c>
      <c r="B1467" s="85" t="s">
        <v>177</v>
      </c>
      <c r="C1467" s="85">
        <v>22966241</v>
      </c>
      <c r="D1467" s="85" t="s">
        <v>327</v>
      </c>
      <c r="E1467" s="86">
        <v>0</v>
      </c>
      <c r="F1467" s="86">
        <v>23588073.5</v>
      </c>
      <c r="G1467" s="86">
        <v>3028</v>
      </c>
      <c r="H1467" s="86"/>
      <c r="I1467" s="86">
        <v>0</v>
      </c>
      <c r="J1467" s="86"/>
      <c r="K1467" s="86">
        <v>0</v>
      </c>
      <c r="L1467" s="86"/>
      <c r="M1467" s="86">
        <v>0</v>
      </c>
      <c r="N1467" s="86"/>
      <c r="O1467" s="86">
        <v>0</v>
      </c>
      <c r="P1467" s="86">
        <v>26846541</v>
      </c>
      <c r="Q1467" s="86">
        <v>0</v>
      </c>
      <c r="R1467" s="87">
        <f t="shared" si="404"/>
        <v>4593</v>
      </c>
      <c r="T1467" s="87">
        <v>0</v>
      </c>
      <c r="U1467" s="89"/>
      <c r="V1467" s="89">
        <v>0</v>
      </c>
      <c r="W1467" s="90"/>
      <c r="X1467" s="90">
        <v>0</v>
      </c>
      <c r="Y1467" s="90">
        <v>29611714.000000004</v>
      </c>
      <c r="Z1467" s="90">
        <v>0</v>
      </c>
      <c r="AA1467" s="90">
        <v>4593</v>
      </c>
      <c r="AB1467" s="89">
        <f t="shared" si="405"/>
        <v>3028</v>
      </c>
      <c r="AC1467" s="89">
        <f t="shared" si="406"/>
        <v>0</v>
      </c>
      <c r="AD1467" s="89">
        <f t="shared" si="407"/>
        <v>0</v>
      </c>
      <c r="AE1467" s="90">
        <f t="shared" si="408"/>
        <v>3028</v>
      </c>
      <c r="AF1467" s="90">
        <f t="shared" si="409"/>
        <v>2013</v>
      </c>
      <c r="AG1467" s="90">
        <f t="shared" si="410"/>
        <v>4593</v>
      </c>
      <c r="AH1467" s="90" t="str">
        <f t="shared" si="411"/>
        <v>2018 (triag)</v>
      </c>
      <c r="AI1467" s="90">
        <f t="shared" si="412"/>
        <v>4593</v>
      </c>
      <c r="AJ1467" s="90" t="str">
        <f t="shared" si="413"/>
        <v>2018 (triag)</v>
      </c>
      <c r="AK1467" s="90" t="str">
        <f t="shared" si="414"/>
        <v/>
      </c>
      <c r="AL1467" s="91">
        <f>IF(AK1467="Adjust",(_xlfn.XLOOKUP(A1467,'Adj factor'!A:A,'Adj factor'!I:I,,0)*AI1467),'Master DataSheet'!AI1467)</f>
        <v>4593</v>
      </c>
      <c r="AM1467" s="91">
        <f t="shared" si="415"/>
        <v>4593</v>
      </c>
      <c r="AN1467" s="92" t="str">
        <f t="shared" si="416"/>
        <v>No change</v>
      </c>
      <c r="AS1467" s="94">
        <f t="shared" si="417"/>
        <v>1.2836995780939888</v>
      </c>
      <c r="AT1467" s="94">
        <f t="shared" si="418"/>
        <v>1.7108349265553429</v>
      </c>
      <c r="AU1467" s="94">
        <f t="shared" si="419"/>
        <v>1.5510753615950768</v>
      </c>
    </row>
    <row r="1468" spans="1:47" x14ac:dyDescent="0.3">
      <c r="A1468" s="85" t="str">
        <f>_xlfn.XLOOKUP(B1468,'Country codes &amp; Data sources'!G:G,'Country codes &amp; Data sources'!H:H,,0)</f>
        <v>Madagascar</v>
      </c>
      <c r="B1468" s="85" t="s">
        <v>177</v>
      </c>
      <c r="C1468" s="85">
        <v>22966242</v>
      </c>
      <c r="D1468" s="85" t="s">
        <v>328</v>
      </c>
      <c r="E1468" s="86">
        <v>0</v>
      </c>
      <c r="F1468" s="86">
        <v>23588073.5</v>
      </c>
      <c r="G1468" s="86">
        <v>495</v>
      </c>
      <c r="H1468" s="86"/>
      <c r="I1468" s="86">
        <v>0</v>
      </c>
      <c r="J1468" s="86"/>
      <c r="K1468" s="86">
        <v>0</v>
      </c>
      <c r="L1468" s="86"/>
      <c r="M1468" s="86">
        <v>0</v>
      </c>
      <c r="N1468" s="86"/>
      <c r="O1468" s="86">
        <v>0</v>
      </c>
      <c r="P1468" s="86">
        <v>26846541</v>
      </c>
      <c r="Q1468" s="86">
        <v>0</v>
      </c>
      <c r="R1468" s="87">
        <f t="shared" si="404"/>
        <v>637</v>
      </c>
      <c r="T1468" s="87">
        <v>0</v>
      </c>
      <c r="U1468" s="89"/>
      <c r="V1468" s="89">
        <v>0</v>
      </c>
      <c r="W1468" s="90"/>
      <c r="X1468" s="90">
        <v>0</v>
      </c>
      <c r="Y1468" s="90">
        <v>29611714.000000004</v>
      </c>
      <c r="Z1468" s="90">
        <v>0</v>
      </c>
      <c r="AA1468" s="90">
        <v>637</v>
      </c>
      <c r="AB1468" s="89">
        <f t="shared" si="405"/>
        <v>495</v>
      </c>
      <c r="AC1468" s="89">
        <f t="shared" si="406"/>
        <v>0</v>
      </c>
      <c r="AD1468" s="89">
        <f t="shared" si="407"/>
        <v>0</v>
      </c>
      <c r="AE1468" s="90">
        <f t="shared" si="408"/>
        <v>495</v>
      </c>
      <c r="AF1468" s="90">
        <f t="shared" si="409"/>
        <v>2013</v>
      </c>
      <c r="AG1468" s="90">
        <f t="shared" si="410"/>
        <v>637</v>
      </c>
      <c r="AH1468" s="90" t="str">
        <f t="shared" si="411"/>
        <v>2018 (triag)</v>
      </c>
      <c r="AI1468" s="90">
        <f t="shared" si="412"/>
        <v>637</v>
      </c>
      <c r="AJ1468" s="90" t="str">
        <f t="shared" si="413"/>
        <v>2018 (triag)</v>
      </c>
      <c r="AK1468" s="90" t="str">
        <f t="shared" si="414"/>
        <v/>
      </c>
      <c r="AL1468" s="91">
        <f>IF(AK1468="Adjust",(_xlfn.XLOOKUP(A1468,'Adj factor'!A:A,'Adj factor'!I:I,,0)*AI1468),'Master DataSheet'!AI1468)</f>
        <v>637</v>
      </c>
      <c r="AM1468" s="91">
        <f t="shared" si="415"/>
        <v>637</v>
      </c>
      <c r="AN1468" s="92" t="str">
        <f t="shared" si="416"/>
        <v>No change</v>
      </c>
      <c r="AS1468" s="94">
        <f t="shared" si="417"/>
        <v>0.2098518134598826</v>
      </c>
      <c r="AT1468" s="94">
        <f t="shared" si="418"/>
        <v>0.23727451517869658</v>
      </c>
      <c r="AU1468" s="94">
        <f t="shared" si="419"/>
        <v>0.2151175713773272</v>
      </c>
    </row>
    <row r="1469" spans="1:47" x14ac:dyDescent="0.3">
      <c r="A1469" s="85" t="str">
        <f>_xlfn.XLOOKUP(B1469,'Country codes &amp; Data sources'!G:G,'Country codes &amp; Data sources'!H:H,,0)</f>
        <v>Madagascar</v>
      </c>
      <c r="B1469" s="85" t="s">
        <v>177</v>
      </c>
      <c r="C1469" s="85">
        <v>22966243</v>
      </c>
      <c r="D1469" s="85" t="s">
        <v>329</v>
      </c>
      <c r="E1469" s="86">
        <v>3383</v>
      </c>
      <c r="F1469" s="86">
        <v>23588073.5</v>
      </c>
      <c r="G1469" s="86">
        <v>3438</v>
      </c>
      <c r="H1469" s="86"/>
      <c r="I1469" s="86">
        <v>0</v>
      </c>
      <c r="J1469" s="86"/>
      <c r="K1469" s="86">
        <v>0</v>
      </c>
      <c r="L1469" s="86"/>
      <c r="M1469" s="86">
        <v>0</v>
      </c>
      <c r="N1469" s="86"/>
      <c r="O1469" s="86">
        <v>0</v>
      </c>
      <c r="P1469" s="86">
        <v>26846541</v>
      </c>
      <c r="Q1469" s="86">
        <v>3833</v>
      </c>
      <c r="R1469" s="87">
        <f t="shared" si="404"/>
        <v>4560</v>
      </c>
      <c r="T1469" s="87">
        <v>0</v>
      </c>
      <c r="U1469" s="89"/>
      <c r="V1469" s="89">
        <v>0</v>
      </c>
      <c r="W1469" s="90"/>
      <c r="X1469" s="90">
        <v>0</v>
      </c>
      <c r="Y1469" s="90">
        <v>29611714.000000004</v>
      </c>
      <c r="Z1469" s="90">
        <v>0</v>
      </c>
      <c r="AA1469" s="90">
        <v>4560</v>
      </c>
      <c r="AB1469" s="89">
        <f t="shared" si="405"/>
        <v>3438</v>
      </c>
      <c r="AC1469" s="89">
        <f t="shared" si="406"/>
        <v>3833</v>
      </c>
      <c r="AD1469" s="89">
        <f t="shared" si="407"/>
        <v>0</v>
      </c>
      <c r="AE1469" s="90">
        <f t="shared" si="408"/>
        <v>3438</v>
      </c>
      <c r="AF1469" s="90">
        <f t="shared" si="409"/>
        <v>2013</v>
      </c>
      <c r="AG1469" s="90">
        <f t="shared" si="410"/>
        <v>4560</v>
      </c>
      <c r="AH1469" s="90" t="str">
        <f t="shared" si="411"/>
        <v>2018 (triag)</v>
      </c>
      <c r="AI1469" s="90">
        <f t="shared" si="412"/>
        <v>4560</v>
      </c>
      <c r="AJ1469" s="90" t="str">
        <f t="shared" si="413"/>
        <v>2018 (triag)</v>
      </c>
      <c r="AK1469" s="90" t="str">
        <f t="shared" si="414"/>
        <v/>
      </c>
      <c r="AL1469" s="91">
        <f>IF(AK1469="Adjust",(_xlfn.XLOOKUP(A1469,'Adj factor'!A:A,'Adj factor'!I:I,,0)*AI1469),'Master DataSheet'!AI1469)</f>
        <v>4560</v>
      </c>
      <c r="AM1469" s="91">
        <f t="shared" si="415"/>
        <v>4560</v>
      </c>
      <c r="AN1469" s="92" t="str">
        <f t="shared" si="416"/>
        <v>No change</v>
      </c>
      <c r="AS1469" s="94">
        <f t="shared" si="417"/>
        <v>1.4575162316668209</v>
      </c>
      <c r="AT1469" s="94">
        <f t="shared" si="418"/>
        <v>1.6985428402117055</v>
      </c>
      <c r="AU1469" s="94">
        <f t="shared" si="419"/>
        <v>1.5399311232034727</v>
      </c>
    </row>
    <row r="1470" spans="1:47" x14ac:dyDescent="0.3">
      <c r="A1470" s="85" t="str">
        <f>_xlfn.XLOOKUP(B1470,'Country codes &amp; Data sources'!G:G,'Country codes &amp; Data sources'!H:H,,0)</f>
        <v>Madagascar</v>
      </c>
      <c r="B1470" s="85" t="s">
        <v>177</v>
      </c>
      <c r="C1470" s="85">
        <v>22966244</v>
      </c>
      <c r="D1470" s="85" t="s">
        <v>330</v>
      </c>
      <c r="E1470" s="86">
        <v>0</v>
      </c>
      <c r="F1470" s="86">
        <v>23588073.5</v>
      </c>
      <c r="G1470" s="86">
        <v>0</v>
      </c>
      <c r="H1470" s="86"/>
      <c r="I1470" s="86">
        <v>0</v>
      </c>
      <c r="J1470" s="86"/>
      <c r="K1470" s="86">
        <v>0</v>
      </c>
      <c r="L1470" s="86"/>
      <c r="M1470" s="86">
        <v>0</v>
      </c>
      <c r="N1470" s="86"/>
      <c r="O1470" s="86">
        <v>0</v>
      </c>
      <c r="P1470" s="86">
        <v>26846541</v>
      </c>
      <c r="Q1470" s="86">
        <v>3833</v>
      </c>
      <c r="R1470" s="87">
        <f t="shared" si="404"/>
        <v>4560</v>
      </c>
      <c r="T1470" s="87">
        <v>0</v>
      </c>
      <c r="U1470" s="89"/>
      <c r="V1470" s="89">
        <v>0</v>
      </c>
      <c r="W1470" s="90"/>
      <c r="X1470" s="90">
        <v>0</v>
      </c>
      <c r="Y1470" s="90">
        <v>29611714.000000004</v>
      </c>
      <c r="Z1470" s="90">
        <v>0</v>
      </c>
      <c r="AA1470" s="90">
        <v>4560</v>
      </c>
      <c r="AB1470" s="89">
        <f t="shared" si="405"/>
        <v>0</v>
      </c>
      <c r="AC1470" s="89">
        <f t="shared" si="406"/>
        <v>3833</v>
      </c>
      <c r="AD1470" s="89">
        <f t="shared" si="407"/>
        <v>0</v>
      </c>
      <c r="AE1470" s="90">
        <f t="shared" si="408"/>
        <v>0</v>
      </c>
      <c r="AF1470" s="90" t="str">
        <f t="shared" si="409"/>
        <v/>
      </c>
      <c r="AG1470" s="90">
        <f t="shared" si="410"/>
        <v>4560</v>
      </c>
      <c r="AH1470" s="90" t="str">
        <f t="shared" si="411"/>
        <v>2018 (triag)</v>
      </c>
      <c r="AI1470" s="90">
        <f t="shared" si="412"/>
        <v>4560</v>
      </c>
      <c r="AJ1470" s="90" t="str">
        <f t="shared" si="413"/>
        <v>2018 (triag)</v>
      </c>
      <c r="AK1470" s="90" t="str">
        <f t="shared" si="414"/>
        <v/>
      </c>
      <c r="AL1470" s="91">
        <f>IF(AK1470="Adjust",(_xlfn.XLOOKUP(A1470,'Adj factor'!A:A,'Adj factor'!I:I,,0)*AI1470),'Master DataSheet'!AI1470)</f>
        <v>4560</v>
      </c>
      <c r="AM1470" s="91">
        <f t="shared" si="415"/>
        <v>4560</v>
      </c>
      <c r="AN1470" s="92" t="str">
        <f t="shared" si="416"/>
        <v>No change</v>
      </c>
      <c r="AS1470" s="94">
        <f t="shared" si="417"/>
        <v>0</v>
      </c>
      <c r="AT1470" s="94">
        <f t="shared" si="418"/>
        <v>1.6985428402117055</v>
      </c>
      <c r="AU1470" s="94">
        <f t="shared" si="419"/>
        <v>1.5399311232034727</v>
      </c>
    </row>
    <row r="1471" spans="1:47" x14ac:dyDescent="0.3">
      <c r="A1471" s="85" t="str">
        <f>_xlfn.XLOOKUP(B1471,'Country codes &amp; Data sources'!G:G,'Country codes &amp; Data sources'!H:H,,0)</f>
        <v>Madagascar</v>
      </c>
      <c r="B1471" s="85" t="s">
        <v>177</v>
      </c>
      <c r="C1471" s="85">
        <v>22966245</v>
      </c>
      <c r="D1471" s="85" t="s">
        <v>331</v>
      </c>
      <c r="E1471" s="86">
        <v>0</v>
      </c>
      <c r="F1471" s="86">
        <v>23588073.5</v>
      </c>
      <c r="G1471" s="86">
        <v>0</v>
      </c>
      <c r="H1471" s="86"/>
      <c r="I1471" s="86">
        <v>0</v>
      </c>
      <c r="J1471" s="86"/>
      <c r="K1471" s="86">
        <v>0</v>
      </c>
      <c r="L1471" s="86"/>
      <c r="M1471" s="86">
        <v>0</v>
      </c>
      <c r="N1471" s="86"/>
      <c r="O1471" s="86">
        <v>0</v>
      </c>
      <c r="P1471" s="86">
        <v>26846541</v>
      </c>
      <c r="Q1471" s="86">
        <v>0</v>
      </c>
      <c r="R1471" s="87">
        <f t="shared" si="404"/>
        <v>0</v>
      </c>
      <c r="T1471" s="87">
        <v>0</v>
      </c>
      <c r="U1471" s="89"/>
      <c r="V1471" s="89">
        <v>0</v>
      </c>
      <c r="W1471" s="90"/>
      <c r="X1471" s="90">
        <v>0</v>
      </c>
      <c r="Y1471" s="90">
        <v>29611714.000000004</v>
      </c>
      <c r="Z1471" s="90">
        <v>0</v>
      </c>
      <c r="AA1471" s="90">
        <v>0</v>
      </c>
      <c r="AB1471" s="89">
        <f t="shared" si="405"/>
        <v>0</v>
      </c>
      <c r="AC1471" s="89">
        <f t="shared" si="406"/>
        <v>0</v>
      </c>
      <c r="AD1471" s="89">
        <f t="shared" si="407"/>
        <v>0</v>
      </c>
      <c r="AE1471" s="90">
        <f t="shared" si="408"/>
        <v>0</v>
      </c>
      <c r="AF1471" s="90" t="str">
        <f t="shared" si="409"/>
        <v/>
      </c>
      <c r="AG1471" s="90">
        <f t="shared" si="410"/>
        <v>0</v>
      </c>
      <c r="AH1471" s="90" t="str">
        <f t="shared" si="411"/>
        <v/>
      </c>
      <c r="AI1471" s="90">
        <f t="shared" si="412"/>
        <v>0</v>
      </c>
      <c r="AJ1471" s="90" t="str">
        <f t="shared" si="413"/>
        <v/>
      </c>
      <c r="AK1471" s="90" t="str">
        <f t="shared" si="414"/>
        <v/>
      </c>
      <c r="AL1471" s="91">
        <f>IF(AK1471="Adjust",(_xlfn.XLOOKUP(A1471,'Adj factor'!A:A,'Adj factor'!I:I,,0)*AI1471),'Master DataSheet'!AI1471)</f>
        <v>0</v>
      </c>
      <c r="AM1471" s="91">
        <f t="shared" si="415"/>
        <v>0</v>
      </c>
      <c r="AN1471" s="92" t="str">
        <f t="shared" si="416"/>
        <v>No change</v>
      </c>
      <c r="AS1471" s="94">
        <f t="shared" si="417"/>
        <v>0</v>
      </c>
      <c r="AT1471" s="94">
        <f t="shared" si="418"/>
        <v>0</v>
      </c>
      <c r="AU1471" s="94">
        <f t="shared" si="419"/>
        <v>0</v>
      </c>
    </row>
    <row r="1472" spans="1:47" x14ac:dyDescent="0.3">
      <c r="A1472" s="85" t="str">
        <f>_xlfn.XLOOKUP(B1472,'Country codes &amp; Data sources'!G:G,'Country codes &amp; Data sources'!H:H,,0)</f>
        <v>Madagascar</v>
      </c>
      <c r="B1472" s="85" t="s">
        <v>177</v>
      </c>
      <c r="C1472" s="85">
        <v>22966246</v>
      </c>
      <c r="D1472" s="85" t="s">
        <v>332</v>
      </c>
      <c r="E1472" s="86">
        <v>1475</v>
      </c>
      <c r="F1472" s="86">
        <v>23588073.5</v>
      </c>
      <c r="G1472" s="86">
        <v>3400</v>
      </c>
      <c r="H1472" s="86"/>
      <c r="I1472" s="86">
        <v>0</v>
      </c>
      <c r="J1472" s="86"/>
      <c r="K1472" s="86">
        <v>0</v>
      </c>
      <c r="L1472" s="86"/>
      <c r="M1472" s="86">
        <v>1583</v>
      </c>
      <c r="N1472" s="86"/>
      <c r="O1472" s="86">
        <v>2931</v>
      </c>
      <c r="P1472" s="86">
        <v>26846541</v>
      </c>
      <c r="Q1472" s="86">
        <v>3994</v>
      </c>
      <c r="R1472" s="87">
        <f t="shared" si="404"/>
        <v>3994</v>
      </c>
      <c r="T1472" s="87">
        <v>0</v>
      </c>
      <c r="U1472" s="89"/>
      <c r="V1472" s="89">
        <v>0</v>
      </c>
      <c r="W1472" s="90"/>
      <c r="X1472" s="90">
        <v>0</v>
      </c>
      <c r="Y1472" s="90">
        <v>29611714.000000004</v>
      </c>
      <c r="Z1472" s="90">
        <v>0</v>
      </c>
      <c r="AA1472" s="90">
        <v>3164</v>
      </c>
      <c r="AB1472" s="89">
        <f t="shared" si="405"/>
        <v>3400</v>
      </c>
      <c r="AC1472" s="89">
        <f t="shared" si="406"/>
        <v>3994</v>
      </c>
      <c r="AD1472" s="89">
        <f t="shared" si="407"/>
        <v>0</v>
      </c>
      <c r="AE1472" s="90">
        <f t="shared" si="408"/>
        <v>3400</v>
      </c>
      <c r="AF1472" s="90">
        <f t="shared" si="409"/>
        <v>2013</v>
      </c>
      <c r="AG1472" s="90">
        <f t="shared" si="410"/>
        <v>3994</v>
      </c>
      <c r="AH1472" s="90">
        <f t="shared" si="411"/>
        <v>2018</v>
      </c>
      <c r="AI1472" s="90">
        <f t="shared" si="412"/>
        <v>3994</v>
      </c>
      <c r="AJ1472" s="90">
        <f t="shared" si="413"/>
        <v>2018</v>
      </c>
      <c r="AK1472" s="90" t="str">
        <f t="shared" si="414"/>
        <v/>
      </c>
      <c r="AL1472" s="91">
        <f>IF(AK1472="Adjust",(_xlfn.XLOOKUP(A1472,'Adj factor'!A:A,'Adj factor'!I:I,,0)*AI1472),'Master DataSheet'!AI1472)</f>
        <v>3994</v>
      </c>
      <c r="AM1472" s="91">
        <f t="shared" si="415"/>
        <v>3994</v>
      </c>
      <c r="AN1472" s="92" t="str">
        <f t="shared" si="416"/>
        <v>No change</v>
      </c>
      <c r="AS1472" s="94">
        <f t="shared" si="417"/>
        <v>1.441406395482022</v>
      </c>
      <c r="AT1472" s="94">
        <f t="shared" si="418"/>
        <v>1.4877149350450771</v>
      </c>
      <c r="AU1472" s="94">
        <f t="shared" si="419"/>
        <v>1.3487905495777783</v>
      </c>
    </row>
    <row r="1473" spans="1:47" x14ac:dyDescent="0.3">
      <c r="A1473" s="85" t="str">
        <f>_xlfn.XLOOKUP(B1473,'Country codes &amp; Data sources'!G:G,'Country codes &amp; Data sources'!H:H,,0)</f>
        <v>Madagascar</v>
      </c>
      <c r="B1473" s="85" t="s">
        <v>177</v>
      </c>
      <c r="C1473" s="85">
        <v>22966247</v>
      </c>
      <c r="D1473" s="85" t="s">
        <v>333</v>
      </c>
      <c r="E1473" s="86">
        <v>0</v>
      </c>
      <c r="F1473" s="86">
        <v>23588073.5</v>
      </c>
      <c r="G1473" s="86">
        <v>3400</v>
      </c>
      <c r="H1473" s="86"/>
      <c r="I1473" s="86">
        <v>0</v>
      </c>
      <c r="J1473" s="86"/>
      <c r="K1473" s="86">
        <v>0</v>
      </c>
      <c r="L1473" s="86"/>
      <c r="M1473" s="86">
        <v>1583</v>
      </c>
      <c r="N1473" s="86"/>
      <c r="O1473" s="86">
        <v>2931</v>
      </c>
      <c r="P1473" s="86">
        <v>26846541</v>
      </c>
      <c r="Q1473" s="86">
        <v>3994</v>
      </c>
      <c r="R1473" s="87">
        <f t="shared" si="404"/>
        <v>3994</v>
      </c>
      <c r="T1473" s="87">
        <v>0</v>
      </c>
      <c r="U1473" s="89"/>
      <c r="V1473" s="89">
        <v>0</v>
      </c>
      <c r="W1473" s="90"/>
      <c r="X1473" s="90">
        <v>0</v>
      </c>
      <c r="Y1473" s="90">
        <v>29611714.000000004</v>
      </c>
      <c r="Z1473" s="90">
        <v>0</v>
      </c>
      <c r="AA1473" s="90">
        <v>3164</v>
      </c>
      <c r="AB1473" s="89">
        <f t="shared" si="405"/>
        <v>3400</v>
      </c>
      <c r="AC1473" s="89">
        <f t="shared" si="406"/>
        <v>3994</v>
      </c>
      <c r="AD1473" s="89">
        <f t="shared" si="407"/>
        <v>0</v>
      </c>
      <c r="AE1473" s="90">
        <f t="shared" si="408"/>
        <v>3400</v>
      </c>
      <c r="AF1473" s="90">
        <f t="shared" si="409"/>
        <v>2013</v>
      </c>
      <c r="AG1473" s="90">
        <f t="shared" si="410"/>
        <v>3994</v>
      </c>
      <c r="AH1473" s="90">
        <f t="shared" si="411"/>
        <v>2018</v>
      </c>
      <c r="AI1473" s="90">
        <f t="shared" si="412"/>
        <v>3994</v>
      </c>
      <c r="AJ1473" s="90">
        <f t="shared" si="413"/>
        <v>2018</v>
      </c>
      <c r="AK1473" s="90" t="str">
        <f t="shared" si="414"/>
        <v/>
      </c>
      <c r="AL1473" s="91">
        <f>IF(AK1473="Adjust",(_xlfn.XLOOKUP(A1473,'Adj factor'!A:A,'Adj factor'!I:I,,0)*AI1473),'Master DataSheet'!AI1473)</f>
        <v>3994</v>
      </c>
      <c r="AM1473" s="91">
        <f t="shared" si="415"/>
        <v>3994</v>
      </c>
      <c r="AN1473" s="92" t="str">
        <f t="shared" si="416"/>
        <v>No change</v>
      </c>
      <c r="AS1473" s="94">
        <f t="shared" si="417"/>
        <v>1.441406395482022</v>
      </c>
      <c r="AT1473" s="94">
        <f t="shared" si="418"/>
        <v>1.4877149350450771</v>
      </c>
      <c r="AU1473" s="94">
        <f t="shared" si="419"/>
        <v>1.3487905495777783</v>
      </c>
    </row>
    <row r="1474" spans="1:47" x14ac:dyDescent="0.3">
      <c r="A1474" s="85" t="str">
        <f>_xlfn.XLOOKUP(B1474,'Country codes &amp; Data sources'!G:G,'Country codes &amp; Data sources'!H:H,,0)</f>
        <v>Madagascar</v>
      </c>
      <c r="B1474" s="85" t="s">
        <v>177</v>
      </c>
      <c r="C1474" s="85">
        <v>22966248</v>
      </c>
      <c r="D1474" s="85" t="s">
        <v>334</v>
      </c>
      <c r="E1474" s="86">
        <v>0</v>
      </c>
      <c r="F1474" s="86">
        <v>23588073.5</v>
      </c>
      <c r="G1474" s="86">
        <v>0</v>
      </c>
      <c r="H1474" s="86"/>
      <c r="I1474" s="86">
        <v>0</v>
      </c>
      <c r="J1474" s="86"/>
      <c r="K1474" s="86">
        <v>0</v>
      </c>
      <c r="L1474" s="86"/>
      <c r="M1474" s="86">
        <v>0</v>
      </c>
      <c r="N1474" s="86"/>
      <c r="O1474" s="86">
        <v>0</v>
      </c>
      <c r="P1474" s="86">
        <v>26846541</v>
      </c>
      <c r="Q1474" s="86">
        <v>0</v>
      </c>
      <c r="R1474" s="87">
        <f t="shared" si="404"/>
        <v>0</v>
      </c>
      <c r="T1474" s="87">
        <v>0</v>
      </c>
      <c r="U1474" s="89"/>
      <c r="V1474" s="89">
        <v>0</v>
      </c>
      <c r="W1474" s="90"/>
      <c r="X1474" s="90">
        <v>0</v>
      </c>
      <c r="Y1474" s="90">
        <v>29611714.000000004</v>
      </c>
      <c r="Z1474" s="90">
        <v>0</v>
      </c>
      <c r="AA1474" s="90">
        <v>0</v>
      </c>
      <c r="AB1474" s="89">
        <f t="shared" si="405"/>
        <v>0</v>
      </c>
      <c r="AC1474" s="89">
        <f t="shared" si="406"/>
        <v>0</v>
      </c>
      <c r="AD1474" s="89">
        <f t="shared" si="407"/>
        <v>0</v>
      </c>
      <c r="AE1474" s="90">
        <f t="shared" si="408"/>
        <v>0</v>
      </c>
      <c r="AF1474" s="90" t="str">
        <f t="shared" si="409"/>
        <v/>
      </c>
      <c r="AG1474" s="90">
        <f t="shared" si="410"/>
        <v>0</v>
      </c>
      <c r="AH1474" s="90" t="str">
        <f t="shared" si="411"/>
        <v/>
      </c>
      <c r="AI1474" s="90">
        <f t="shared" si="412"/>
        <v>0</v>
      </c>
      <c r="AJ1474" s="90" t="str">
        <f t="shared" si="413"/>
        <v/>
      </c>
      <c r="AK1474" s="90" t="str">
        <f t="shared" si="414"/>
        <v/>
      </c>
      <c r="AL1474" s="91">
        <f>IF(AK1474="Adjust",(_xlfn.XLOOKUP(A1474,'Adj factor'!A:A,'Adj factor'!I:I,,0)*AI1474),'Master DataSheet'!AI1474)</f>
        <v>0</v>
      </c>
      <c r="AM1474" s="91">
        <f t="shared" si="415"/>
        <v>0</v>
      </c>
      <c r="AN1474" s="92" t="str">
        <f t="shared" si="416"/>
        <v>No change</v>
      </c>
      <c r="AS1474" s="94">
        <f t="shared" si="417"/>
        <v>0</v>
      </c>
      <c r="AT1474" s="94">
        <f t="shared" si="418"/>
        <v>0</v>
      </c>
      <c r="AU1474" s="94">
        <f t="shared" si="419"/>
        <v>0</v>
      </c>
    </row>
    <row r="1475" spans="1:47" x14ac:dyDescent="0.3">
      <c r="A1475" s="85" t="str">
        <f>_xlfn.XLOOKUP(B1475,'Country codes &amp; Data sources'!G:G,'Country codes &amp; Data sources'!H:H,,0)</f>
        <v>Madagascar</v>
      </c>
      <c r="B1475" s="85" t="s">
        <v>177</v>
      </c>
      <c r="C1475" s="85">
        <v>22966249</v>
      </c>
      <c r="D1475" s="85" t="s">
        <v>335</v>
      </c>
      <c r="E1475" s="86">
        <v>6</v>
      </c>
      <c r="F1475" s="86">
        <v>23588073.5</v>
      </c>
      <c r="G1475" s="86">
        <v>17</v>
      </c>
      <c r="H1475" s="86"/>
      <c r="I1475" s="86">
        <v>0</v>
      </c>
      <c r="J1475" s="86"/>
      <c r="K1475" s="86">
        <v>0</v>
      </c>
      <c r="L1475" s="86"/>
      <c r="M1475" s="86">
        <v>4</v>
      </c>
      <c r="N1475" s="86"/>
      <c r="O1475" s="86">
        <v>0</v>
      </c>
      <c r="P1475" s="86">
        <v>26846541</v>
      </c>
      <c r="Q1475" s="86">
        <v>27</v>
      </c>
      <c r="R1475" s="87">
        <f t="shared" si="404"/>
        <v>319</v>
      </c>
      <c r="T1475" s="87">
        <v>0</v>
      </c>
      <c r="U1475" s="89"/>
      <c r="V1475" s="89">
        <v>0</v>
      </c>
      <c r="W1475" s="90"/>
      <c r="X1475" s="90">
        <v>0</v>
      </c>
      <c r="Y1475" s="90">
        <v>29611714.000000004</v>
      </c>
      <c r="Z1475" s="90">
        <v>27</v>
      </c>
      <c r="AA1475" s="90">
        <v>319</v>
      </c>
      <c r="AB1475" s="89">
        <f t="shared" si="405"/>
        <v>17</v>
      </c>
      <c r="AC1475" s="89">
        <f t="shared" si="406"/>
        <v>27</v>
      </c>
      <c r="AD1475" s="89">
        <f t="shared" si="407"/>
        <v>27</v>
      </c>
      <c r="AE1475" s="90">
        <f t="shared" si="408"/>
        <v>17</v>
      </c>
      <c r="AF1475" s="90">
        <f t="shared" si="409"/>
        <v>2013</v>
      </c>
      <c r="AG1475" s="90">
        <f t="shared" si="410"/>
        <v>319</v>
      </c>
      <c r="AH1475" s="90" t="str">
        <f t="shared" si="411"/>
        <v>2018 (triag)</v>
      </c>
      <c r="AI1475" s="90">
        <f t="shared" si="412"/>
        <v>27</v>
      </c>
      <c r="AJ1475" s="90">
        <f t="shared" si="413"/>
        <v>2022</v>
      </c>
      <c r="AK1475" s="90" t="str">
        <f t="shared" si="414"/>
        <v>Adjust</v>
      </c>
      <c r="AL1475" s="91">
        <f>IF(AK1475="Adjust",(_xlfn.XLOOKUP(A1475,'Adj factor'!A:A,'Adj factor'!I:I,,0)*AI1475),'Master DataSheet'!AI1475)</f>
        <v>30.094339949726965</v>
      </c>
      <c r="AM1475" s="91">
        <f t="shared" si="415"/>
        <v>319</v>
      </c>
      <c r="AN1475" s="92" t="str">
        <f t="shared" si="416"/>
        <v>Decreasing</v>
      </c>
      <c r="AS1475" s="94">
        <f t="shared" si="417"/>
        <v>7.2070319774101095E-3</v>
      </c>
      <c r="AT1475" s="94">
        <f t="shared" si="418"/>
        <v>0.11882350132182765</v>
      </c>
      <c r="AU1475" s="94">
        <f t="shared" si="419"/>
        <v>0.10772763778550609</v>
      </c>
    </row>
    <row r="1476" spans="1:47" x14ac:dyDescent="0.3">
      <c r="A1476" s="85" t="str">
        <f>_xlfn.XLOOKUP(B1476,'Country codes &amp; Data sources'!G:G,'Country codes &amp; Data sources'!H:H,,0)</f>
        <v>Madagascar</v>
      </c>
      <c r="B1476" s="85" t="s">
        <v>177</v>
      </c>
      <c r="C1476" s="85">
        <v>22966250</v>
      </c>
      <c r="D1476" s="85" t="s">
        <v>336</v>
      </c>
      <c r="E1476" s="86">
        <v>0</v>
      </c>
      <c r="F1476" s="86">
        <v>23588073.5</v>
      </c>
      <c r="G1476" s="86">
        <v>0</v>
      </c>
      <c r="H1476" s="86"/>
      <c r="I1476" s="86">
        <v>0</v>
      </c>
      <c r="J1476" s="86"/>
      <c r="K1476" s="86">
        <v>0</v>
      </c>
      <c r="L1476" s="86"/>
      <c r="M1476" s="86">
        <v>0</v>
      </c>
      <c r="N1476" s="86"/>
      <c r="O1476" s="86">
        <v>0</v>
      </c>
      <c r="P1476" s="86">
        <v>26846541</v>
      </c>
      <c r="Q1476" s="86">
        <v>0</v>
      </c>
      <c r="R1476" s="87">
        <f t="shared" si="404"/>
        <v>10</v>
      </c>
      <c r="T1476" s="87">
        <v>0</v>
      </c>
      <c r="U1476" s="89"/>
      <c r="V1476" s="89">
        <v>0</v>
      </c>
      <c r="W1476" s="90"/>
      <c r="X1476" s="90">
        <v>0</v>
      </c>
      <c r="Y1476" s="90">
        <v>29611714.000000004</v>
      </c>
      <c r="Z1476" s="90">
        <v>0</v>
      </c>
      <c r="AA1476" s="90">
        <v>10</v>
      </c>
      <c r="AB1476" s="89">
        <f t="shared" si="405"/>
        <v>0</v>
      </c>
      <c r="AC1476" s="89">
        <f t="shared" si="406"/>
        <v>0</v>
      </c>
      <c r="AD1476" s="89">
        <f t="shared" si="407"/>
        <v>0</v>
      </c>
      <c r="AE1476" s="90">
        <f t="shared" si="408"/>
        <v>0</v>
      </c>
      <c r="AF1476" s="90" t="str">
        <f t="shared" si="409"/>
        <v/>
      </c>
      <c r="AG1476" s="90">
        <f t="shared" si="410"/>
        <v>10</v>
      </c>
      <c r="AH1476" s="90" t="str">
        <f t="shared" si="411"/>
        <v>2018 (triag)</v>
      </c>
      <c r="AI1476" s="90">
        <f t="shared" si="412"/>
        <v>10</v>
      </c>
      <c r="AJ1476" s="90" t="str">
        <f t="shared" si="413"/>
        <v>2018 (triag)</v>
      </c>
      <c r="AK1476" s="90" t="str">
        <f t="shared" si="414"/>
        <v/>
      </c>
      <c r="AL1476" s="91">
        <f>IF(AK1476="Adjust",(_xlfn.XLOOKUP(A1476,'Adj factor'!A:A,'Adj factor'!I:I,,0)*AI1476),'Master DataSheet'!AI1476)</f>
        <v>10</v>
      </c>
      <c r="AM1476" s="91">
        <f t="shared" si="415"/>
        <v>10</v>
      </c>
      <c r="AN1476" s="92" t="str">
        <f t="shared" si="416"/>
        <v>No change</v>
      </c>
      <c r="AS1476" s="94">
        <f t="shared" si="417"/>
        <v>0</v>
      </c>
      <c r="AT1476" s="94">
        <f t="shared" si="418"/>
        <v>3.7248746495870733E-3</v>
      </c>
      <c r="AU1476" s="94">
        <f t="shared" si="419"/>
        <v>3.3770419368497205E-3</v>
      </c>
    </row>
    <row r="1477" spans="1:47" x14ac:dyDescent="0.3">
      <c r="A1477" s="85" t="str">
        <f>_xlfn.XLOOKUP(B1477,'Country codes &amp; Data sources'!G:G,'Country codes &amp; Data sources'!H:H,,0)</f>
        <v>Madagascar</v>
      </c>
      <c r="B1477" s="85" t="s">
        <v>177</v>
      </c>
      <c r="C1477" s="85">
        <v>22966251</v>
      </c>
      <c r="D1477" s="85" t="s">
        <v>337</v>
      </c>
      <c r="E1477" s="86">
        <v>181</v>
      </c>
      <c r="F1477" s="86">
        <v>23588073.5</v>
      </c>
      <c r="G1477" s="86">
        <v>111</v>
      </c>
      <c r="H1477" s="86"/>
      <c r="I1477" s="86">
        <v>0</v>
      </c>
      <c r="J1477" s="86"/>
      <c r="K1477" s="86">
        <v>0</v>
      </c>
      <c r="L1477" s="86"/>
      <c r="M1477" s="86">
        <v>0</v>
      </c>
      <c r="N1477" s="86"/>
      <c r="O1477" s="86">
        <v>0</v>
      </c>
      <c r="P1477" s="86">
        <v>26846541</v>
      </c>
      <c r="Q1477" s="86">
        <v>225</v>
      </c>
      <c r="R1477" s="87">
        <f t="shared" si="404"/>
        <v>372</v>
      </c>
      <c r="T1477" s="87">
        <v>0</v>
      </c>
      <c r="U1477" s="89"/>
      <c r="V1477" s="89">
        <v>0</v>
      </c>
      <c r="W1477" s="90"/>
      <c r="X1477" s="90">
        <v>0</v>
      </c>
      <c r="Y1477" s="90">
        <v>29611714.000000004</v>
      </c>
      <c r="Z1477" s="90">
        <v>225</v>
      </c>
      <c r="AA1477" s="90">
        <v>372</v>
      </c>
      <c r="AB1477" s="89">
        <f t="shared" si="405"/>
        <v>181</v>
      </c>
      <c r="AC1477" s="89">
        <f t="shared" si="406"/>
        <v>225</v>
      </c>
      <c r="AD1477" s="89">
        <f t="shared" si="407"/>
        <v>225</v>
      </c>
      <c r="AE1477" s="90">
        <f t="shared" si="408"/>
        <v>111</v>
      </c>
      <c r="AF1477" s="90">
        <f t="shared" si="409"/>
        <v>2013</v>
      </c>
      <c r="AG1477" s="90">
        <f t="shared" si="410"/>
        <v>372</v>
      </c>
      <c r="AH1477" s="90" t="str">
        <f t="shared" si="411"/>
        <v>2018 (triag)</v>
      </c>
      <c r="AI1477" s="90">
        <f t="shared" si="412"/>
        <v>225</v>
      </c>
      <c r="AJ1477" s="90">
        <f t="shared" si="413"/>
        <v>2022</v>
      </c>
      <c r="AK1477" s="90" t="str">
        <f t="shared" si="414"/>
        <v>Adjust</v>
      </c>
      <c r="AL1477" s="91">
        <f>IF(AK1477="Adjust",(_xlfn.XLOOKUP(A1477,'Adj factor'!A:A,'Adj factor'!I:I,,0)*AI1477),'Master DataSheet'!AI1477)</f>
        <v>250.78616624772471</v>
      </c>
      <c r="AM1477" s="91">
        <f t="shared" si="415"/>
        <v>372</v>
      </c>
      <c r="AN1477" s="92" t="str">
        <f t="shared" si="416"/>
        <v>Decreasing</v>
      </c>
      <c r="AS1477" s="94">
        <f t="shared" si="417"/>
        <v>4.7057679381913069E-2</v>
      </c>
      <c r="AT1477" s="94">
        <f t="shared" si="418"/>
        <v>0.13856533696463913</v>
      </c>
      <c r="AU1477" s="94">
        <f t="shared" si="419"/>
        <v>0.12562596005080962</v>
      </c>
    </row>
    <row r="1478" spans="1:47" x14ac:dyDescent="0.3">
      <c r="A1478" s="85" t="str">
        <f>_xlfn.XLOOKUP(B1478,'Country codes &amp; Data sources'!G:G,'Country codes &amp; Data sources'!H:H,,0)</f>
        <v>Madagascar</v>
      </c>
      <c r="B1478" s="85" t="s">
        <v>177</v>
      </c>
      <c r="C1478" s="85">
        <v>22966252</v>
      </c>
      <c r="D1478" s="85" t="s">
        <v>338</v>
      </c>
      <c r="E1478" s="86">
        <v>0</v>
      </c>
      <c r="F1478" s="86">
        <v>23588073.5</v>
      </c>
      <c r="G1478" s="86">
        <v>0</v>
      </c>
      <c r="H1478" s="86"/>
      <c r="I1478" s="86">
        <v>0</v>
      </c>
      <c r="J1478" s="86"/>
      <c r="K1478" s="86">
        <v>0</v>
      </c>
      <c r="L1478" s="86"/>
      <c r="M1478" s="86">
        <v>0</v>
      </c>
      <c r="N1478" s="86"/>
      <c r="O1478" s="86">
        <v>0</v>
      </c>
      <c r="P1478" s="86">
        <v>26846541</v>
      </c>
      <c r="Q1478" s="86">
        <v>0</v>
      </c>
      <c r="R1478" s="87">
        <f t="shared" si="404"/>
        <v>184</v>
      </c>
      <c r="T1478" s="87">
        <v>21</v>
      </c>
      <c r="U1478" s="89"/>
      <c r="V1478" s="89">
        <v>0</v>
      </c>
      <c r="W1478" s="90"/>
      <c r="X1478" s="90">
        <v>0</v>
      </c>
      <c r="Y1478" s="90">
        <v>29611714.000000004</v>
      </c>
      <c r="Z1478" s="90">
        <v>0</v>
      </c>
      <c r="AA1478" s="90">
        <v>184</v>
      </c>
      <c r="AB1478" s="89">
        <f t="shared" si="405"/>
        <v>0</v>
      </c>
      <c r="AC1478" s="89">
        <f t="shared" si="406"/>
        <v>21</v>
      </c>
      <c r="AD1478" s="89">
        <f t="shared" si="407"/>
        <v>0</v>
      </c>
      <c r="AE1478" s="90">
        <f t="shared" si="408"/>
        <v>0</v>
      </c>
      <c r="AF1478" s="90" t="str">
        <f t="shared" si="409"/>
        <v/>
      </c>
      <c r="AG1478" s="90">
        <f t="shared" si="410"/>
        <v>184</v>
      </c>
      <c r="AH1478" s="90" t="str">
        <f t="shared" si="411"/>
        <v>2018 (triag)</v>
      </c>
      <c r="AI1478" s="90">
        <f t="shared" si="412"/>
        <v>21</v>
      </c>
      <c r="AJ1478" s="90" t="str">
        <f t="shared" si="413"/>
        <v>2018 (triag)</v>
      </c>
      <c r="AK1478" s="90" t="str">
        <f t="shared" si="414"/>
        <v>Adjust</v>
      </c>
      <c r="AL1478" s="91">
        <f>IF(AK1478="Adjust",(_xlfn.XLOOKUP(A1478,'Adj factor'!A:A,'Adj factor'!I:I,,0)*AI1478),'Master DataSheet'!AI1478)</f>
        <v>23.406708849787638</v>
      </c>
      <c r="AM1478" s="91">
        <f t="shared" si="415"/>
        <v>184</v>
      </c>
      <c r="AN1478" s="92" t="str">
        <f t="shared" si="416"/>
        <v>Decreasing</v>
      </c>
      <c r="AS1478" s="94">
        <f t="shared" si="417"/>
        <v>0</v>
      </c>
      <c r="AT1478" s="94">
        <f t="shared" si="418"/>
        <v>6.8537693552402149E-2</v>
      </c>
      <c r="AU1478" s="94">
        <f t="shared" si="419"/>
        <v>6.2137571638034857E-2</v>
      </c>
    </row>
    <row r="1479" spans="1:47" x14ac:dyDescent="0.3">
      <c r="A1479" s="85" t="str">
        <f>_xlfn.XLOOKUP(B1479,'Country codes &amp; Data sources'!G:G,'Country codes &amp; Data sources'!H:H,,0)</f>
        <v>Madagascar</v>
      </c>
      <c r="B1479" s="85" t="s">
        <v>177</v>
      </c>
      <c r="C1479" s="85">
        <v>22966253</v>
      </c>
      <c r="D1479" s="85" t="s">
        <v>339</v>
      </c>
      <c r="E1479" s="86">
        <v>0</v>
      </c>
      <c r="F1479" s="86">
        <v>23588073.5</v>
      </c>
      <c r="G1479" s="86">
        <v>0</v>
      </c>
      <c r="H1479" s="86"/>
      <c r="I1479" s="86">
        <v>0</v>
      </c>
      <c r="J1479" s="86"/>
      <c r="K1479" s="86">
        <v>0</v>
      </c>
      <c r="L1479" s="86"/>
      <c r="M1479" s="86">
        <v>0</v>
      </c>
      <c r="N1479" s="86"/>
      <c r="O1479" s="86">
        <v>0</v>
      </c>
      <c r="P1479" s="86">
        <v>26846541</v>
      </c>
      <c r="Q1479" s="86">
        <v>0</v>
      </c>
      <c r="R1479" s="87">
        <f t="shared" si="404"/>
        <v>0</v>
      </c>
      <c r="T1479" s="87">
        <v>0</v>
      </c>
      <c r="U1479" s="89"/>
      <c r="V1479" s="89">
        <v>0</v>
      </c>
      <c r="W1479" s="90"/>
      <c r="X1479" s="90">
        <v>0</v>
      </c>
      <c r="Y1479" s="90">
        <v>29611714.000000004</v>
      </c>
      <c r="Z1479" s="90">
        <v>0</v>
      </c>
      <c r="AA1479" s="90">
        <v>0</v>
      </c>
      <c r="AB1479" s="89">
        <f t="shared" si="405"/>
        <v>0</v>
      </c>
      <c r="AC1479" s="89">
        <f t="shared" si="406"/>
        <v>0</v>
      </c>
      <c r="AD1479" s="89">
        <f t="shared" si="407"/>
        <v>0</v>
      </c>
      <c r="AE1479" s="90">
        <f t="shared" si="408"/>
        <v>0</v>
      </c>
      <c r="AF1479" s="90" t="str">
        <f t="shared" si="409"/>
        <v/>
      </c>
      <c r="AG1479" s="90">
        <f t="shared" si="410"/>
        <v>0</v>
      </c>
      <c r="AH1479" s="90" t="str">
        <f t="shared" si="411"/>
        <v/>
      </c>
      <c r="AI1479" s="90">
        <f t="shared" si="412"/>
        <v>0</v>
      </c>
      <c r="AJ1479" s="90" t="str">
        <f t="shared" si="413"/>
        <v/>
      </c>
      <c r="AK1479" s="90" t="str">
        <f t="shared" si="414"/>
        <v/>
      </c>
      <c r="AL1479" s="91">
        <f>IF(AK1479="Adjust",(_xlfn.XLOOKUP(A1479,'Adj factor'!A:A,'Adj factor'!I:I,,0)*AI1479),'Master DataSheet'!AI1479)</f>
        <v>0</v>
      </c>
      <c r="AM1479" s="91">
        <f t="shared" si="415"/>
        <v>0</v>
      </c>
      <c r="AN1479" s="92" t="str">
        <f t="shared" si="416"/>
        <v>No change</v>
      </c>
      <c r="AS1479" s="94">
        <f t="shared" si="417"/>
        <v>0</v>
      </c>
      <c r="AT1479" s="94">
        <f t="shared" si="418"/>
        <v>0</v>
      </c>
      <c r="AU1479" s="94">
        <f t="shared" si="419"/>
        <v>0</v>
      </c>
    </row>
    <row r="1480" spans="1:47" x14ac:dyDescent="0.3">
      <c r="A1480" s="85" t="str">
        <f>_xlfn.XLOOKUP(B1480,'Country codes &amp; Data sources'!G:G,'Country codes &amp; Data sources'!H:H,,0)</f>
        <v>Mali</v>
      </c>
      <c r="B1480" s="85" t="s">
        <v>179</v>
      </c>
      <c r="C1480" s="85">
        <v>16514686.999999991</v>
      </c>
      <c r="D1480" s="85" t="s">
        <v>326</v>
      </c>
      <c r="E1480" s="86">
        <v>1704</v>
      </c>
      <c r="F1480" s="86">
        <v>17004032.499999996</v>
      </c>
      <c r="G1480" s="86">
        <v>1971</v>
      </c>
      <c r="H1480" s="86">
        <v>17551814.000000004</v>
      </c>
      <c r="I1480" s="86">
        <v>1750</v>
      </c>
      <c r="J1480" s="86">
        <v>18112906.500000004</v>
      </c>
      <c r="K1480" s="86">
        <v>1750</v>
      </c>
      <c r="L1480" s="86">
        <v>18700106</v>
      </c>
      <c r="M1480" s="86">
        <v>2247</v>
      </c>
      <c r="N1480" s="86">
        <v>19311354.499999996</v>
      </c>
      <c r="O1480" s="86">
        <v>2247</v>
      </c>
      <c r="P1480" s="86">
        <v>19934298.000000004</v>
      </c>
      <c r="Q1480" s="86">
        <v>2454</v>
      </c>
      <c r="R1480" s="87">
        <f t="shared" si="404"/>
        <v>2866</v>
      </c>
      <c r="S1480" s="87">
        <v>20567423.999999989</v>
      </c>
      <c r="T1480" s="87">
        <v>0</v>
      </c>
      <c r="U1480" s="89">
        <v>21224040.000000004</v>
      </c>
      <c r="V1480" s="89">
        <v>0</v>
      </c>
      <c r="W1480" s="90">
        <v>21904982.999999996</v>
      </c>
      <c r="X1480" s="90">
        <v>0</v>
      </c>
      <c r="Y1480" s="90">
        <v>22593590.500000022</v>
      </c>
      <c r="Z1480" s="90">
        <v>4402</v>
      </c>
      <c r="AA1480" s="90">
        <v>2866</v>
      </c>
      <c r="AB1480" s="89">
        <f t="shared" si="405"/>
        <v>1971</v>
      </c>
      <c r="AC1480" s="89">
        <f t="shared" si="406"/>
        <v>2454</v>
      </c>
      <c r="AD1480" s="89">
        <f t="shared" si="407"/>
        <v>4402</v>
      </c>
      <c r="AE1480" s="90">
        <f t="shared" si="408"/>
        <v>1971</v>
      </c>
      <c r="AF1480" s="90">
        <f t="shared" si="409"/>
        <v>2013</v>
      </c>
      <c r="AG1480" s="90">
        <f t="shared" si="410"/>
        <v>2866</v>
      </c>
      <c r="AH1480" s="90" t="str">
        <f t="shared" si="411"/>
        <v>2018 (triag)</v>
      </c>
      <c r="AI1480" s="90">
        <f t="shared" si="412"/>
        <v>4402</v>
      </c>
      <c r="AJ1480" s="90">
        <f t="shared" si="413"/>
        <v>2022</v>
      </c>
      <c r="AK1480" s="90" t="str">
        <f t="shared" si="414"/>
        <v/>
      </c>
      <c r="AL1480" s="91">
        <f>IF(AK1480="Adjust",(_xlfn.XLOOKUP(A1480,'Adj factor'!A:A,'Adj factor'!I:I,,0)*AI1480),'Master DataSheet'!AI1480)</f>
        <v>4402</v>
      </c>
      <c r="AM1480" s="91">
        <f t="shared" si="415"/>
        <v>4402</v>
      </c>
      <c r="AN1480" s="92" t="str">
        <f t="shared" si="416"/>
        <v>Increasing</v>
      </c>
      <c r="AS1480" s="94">
        <f t="shared" si="417"/>
        <v>1.1591368106359479</v>
      </c>
      <c r="AT1480" s="94">
        <f t="shared" si="418"/>
        <v>1.4377230640376699</v>
      </c>
      <c r="AU1480" s="94">
        <f t="shared" si="419"/>
        <v>1.9483401719615994</v>
      </c>
    </row>
    <row r="1481" spans="1:47" x14ac:dyDescent="0.3">
      <c r="A1481" s="85" t="str">
        <f>_xlfn.XLOOKUP(B1481,'Country codes &amp; Data sources'!G:G,'Country codes &amp; Data sources'!H:H,,0)</f>
        <v>Mali</v>
      </c>
      <c r="B1481" s="85" t="s">
        <v>179</v>
      </c>
      <c r="C1481" s="85">
        <v>16514688</v>
      </c>
      <c r="D1481" s="85" t="s">
        <v>327</v>
      </c>
      <c r="E1481" s="86">
        <v>0</v>
      </c>
      <c r="F1481" s="86">
        <v>17004032.499999996</v>
      </c>
      <c r="G1481" s="86">
        <v>0</v>
      </c>
      <c r="H1481" s="86"/>
      <c r="I1481" s="86">
        <v>0</v>
      </c>
      <c r="J1481" s="86"/>
      <c r="K1481" s="86">
        <v>0</v>
      </c>
      <c r="L1481" s="86"/>
      <c r="M1481" s="86">
        <v>0</v>
      </c>
      <c r="N1481" s="86"/>
      <c r="O1481" s="86">
        <v>0</v>
      </c>
      <c r="P1481" s="86">
        <v>19934298.000000004</v>
      </c>
      <c r="Q1481" s="86">
        <v>1417</v>
      </c>
      <c r="R1481" s="87">
        <f t="shared" si="404"/>
        <v>2151</v>
      </c>
      <c r="T1481" s="87">
        <v>0</v>
      </c>
      <c r="U1481" s="89"/>
      <c r="V1481" s="89">
        <v>0</v>
      </c>
      <c r="W1481" s="90"/>
      <c r="X1481" s="90">
        <v>0</v>
      </c>
      <c r="Y1481" s="90">
        <v>22593590.500000022</v>
      </c>
      <c r="Z1481" s="90">
        <v>3557</v>
      </c>
      <c r="AA1481" s="90">
        <v>2151</v>
      </c>
      <c r="AB1481" s="89">
        <f t="shared" si="405"/>
        <v>0</v>
      </c>
      <c r="AC1481" s="89">
        <f t="shared" si="406"/>
        <v>1417</v>
      </c>
      <c r="AD1481" s="89">
        <f t="shared" si="407"/>
        <v>3557</v>
      </c>
      <c r="AE1481" s="90">
        <f t="shared" si="408"/>
        <v>0</v>
      </c>
      <c r="AF1481" s="90" t="str">
        <f t="shared" si="409"/>
        <v/>
      </c>
      <c r="AG1481" s="90">
        <f t="shared" si="410"/>
        <v>2151</v>
      </c>
      <c r="AH1481" s="90" t="str">
        <f t="shared" si="411"/>
        <v>2018 (triag)</v>
      </c>
      <c r="AI1481" s="90">
        <f t="shared" si="412"/>
        <v>3557</v>
      </c>
      <c r="AJ1481" s="90">
        <f t="shared" si="413"/>
        <v>2022</v>
      </c>
      <c r="AK1481" s="90" t="str">
        <f t="shared" si="414"/>
        <v/>
      </c>
      <c r="AL1481" s="91">
        <f>IF(AK1481="Adjust",(_xlfn.XLOOKUP(A1481,'Adj factor'!A:A,'Adj factor'!I:I,,0)*AI1481),'Master DataSheet'!AI1481)</f>
        <v>3557</v>
      </c>
      <c r="AM1481" s="91">
        <f t="shared" si="415"/>
        <v>3557</v>
      </c>
      <c r="AN1481" s="92" t="str">
        <f t="shared" si="416"/>
        <v>Increasing</v>
      </c>
      <c r="AS1481" s="94">
        <f t="shared" si="417"/>
        <v>0</v>
      </c>
      <c r="AT1481" s="94">
        <f t="shared" si="418"/>
        <v>1.0790447699738408</v>
      </c>
      <c r="AU1481" s="94">
        <f t="shared" si="419"/>
        <v>1.5743402979707879</v>
      </c>
    </row>
    <row r="1482" spans="1:47" x14ac:dyDescent="0.3">
      <c r="A1482" s="85" t="str">
        <f>_xlfn.XLOOKUP(B1482,'Country codes &amp; Data sources'!G:G,'Country codes &amp; Data sources'!H:H,,0)</f>
        <v>Mali</v>
      </c>
      <c r="B1482" s="85" t="s">
        <v>179</v>
      </c>
      <c r="C1482" s="85">
        <v>16514689</v>
      </c>
      <c r="D1482" s="85" t="s">
        <v>328</v>
      </c>
      <c r="E1482" s="86">
        <v>0</v>
      </c>
      <c r="F1482" s="86">
        <v>17004032.499999996</v>
      </c>
      <c r="G1482" s="86">
        <v>0</v>
      </c>
      <c r="H1482" s="86"/>
      <c r="I1482" s="86">
        <v>0</v>
      </c>
      <c r="J1482" s="86"/>
      <c r="K1482" s="86">
        <v>0</v>
      </c>
      <c r="L1482" s="86"/>
      <c r="M1482" s="86">
        <v>0</v>
      </c>
      <c r="N1482" s="86"/>
      <c r="O1482" s="86">
        <v>0</v>
      </c>
      <c r="P1482" s="86">
        <v>19934298.000000004</v>
      </c>
      <c r="Q1482" s="86">
        <v>1037</v>
      </c>
      <c r="R1482" s="87">
        <f t="shared" si="404"/>
        <v>1037</v>
      </c>
      <c r="T1482" s="87">
        <v>0</v>
      </c>
      <c r="U1482" s="89"/>
      <c r="V1482" s="89">
        <v>0</v>
      </c>
      <c r="W1482" s="90"/>
      <c r="X1482" s="90">
        <v>0</v>
      </c>
      <c r="Y1482" s="90">
        <v>22593590.500000022</v>
      </c>
      <c r="Z1482" s="90">
        <v>845</v>
      </c>
      <c r="AA1482" s="90">
        <v>715</v>
      </c>
      <c r="AB1482" s="89">
        <f t="shared" si="405"/>
        <v>0</v>
      </c>
      <c r="AC1482" s="89">
        <f t="shared" si="406"/>
        <v>1037</v>
      </c>
      <c r="AD1482" s="89">
        <f t="shared" si="407"/>
        <v>845</v>
      </c>
      <c r="AE1482" s="90">
        <f t="shared" si="408"/>
        <v>0</v>
      </c>
      <c r="AF1482" s="90" t="str">
        <f t="shared" si="409"/>
        <v/>
      </c>
      <c r="AG1482" s="90">
        <f t="shared" si="410"/>
        <v>1037</v>
      </c>
      <c r="AH1482" s="90">
        <f t="shared" si="411"/>
        <v>2018</v>
      </c>
      <c r="AI1482" s="90">
        <f t="shared" si="412"/>
        <v>845</v>
      </c>
      <c r="AJ1482" s="90">
        <f t="shared" si="413"/>
        <v>2022</v>
      </c>
      <c r="AK1482" s="90" t="str">
        <f t="shared" si="414"/>
        <v>Adjust</v>
      </c>
      <c r="AL1482" s="91">
        <f>IF(AK1482="Adjust",(_xlfn.XLOOKUP(A1482,'Adj factor'!A:A,'Adj factor'!I:I,,0)*AI1482),'Master DataSheet'!AI1482)</f>
        <v>995.95103054567016</v>
      </c>
      <c r="AM1482" s="91">
        <f t="shared" si="415"/>
        <v>1037</v>
      </c>
      <c r="AN1482" s="92" t="str">
        <f t="shared" si="416"/>
        <v>Decreasing</v>
      </c>
      <c r="AS1482" s="94">
        <f t="shared" si="417"/>
        <v>0</v>
      </c>
      <c r="AT1482" s="94">
        <f t="shared" si="418"/>
        <v>0.52020893838348348</v>
      </c>
      <c r="AU1482" s="94">
        <f t="shared" si="419"/>
        <v>0.45897972701594242</v>
      </c>
    </row>
    <row r="1483" spans="1:47" x14ac:dyDescent="0.3">
      <c r="A1483" s="85" t="str">
        <f>_xlfn.XLOOKUP(B1483,'Country codes &amp; Data sources'!G:G,'Country codes &amp; Data sources'!H:H,,0)</f>
        <v>Mali</v>
      </c>
      <c r="B1483" s="85" t="s">
        <v>179</v>
      </c>
      <c r="C1483" s="85">
        <v>16514690</v>
      </c>
      <c r="D1483" s="85" t="s">
        <v>329</v>
      </c>
      <c r="E1483" s="86">
        <v>4257</v>
      </c>
      <c r="F1483" s="86">
        <v>17004032.499999996</v>
      </c>
      <c r="G1483" s="86">
        <v>0</v>
      </c>
      <c r="H1483" s="86"/>
      <c r="I1483" s="86">
        <v>0</v>
      </c>
      <c r="J1483" s="86"/>
      <c r="K1483" s="86">
        <v>0</v>
      </c>
      <c r="L1483" s="86"/>
      <c r="M1483" s="86">
        <v>4765</v>
      </c>
      <c r="N1483" s="86"/>
      <c r="O1483" s="86">
        <v>0</v>
      </c>
      <c r="P1483" s="86">
        <v>19934298.000000004</v>
      </c>
      <c r="Q1483" s="86">
        <v>5174</v>
      </c>
      <c r="R1483" s="87">
        <f t="shared" si="404"/>
        <v>5225</v>
      </c>
      <c r="T1483" s="87">
        <v>0</v>
      </c>
      <c r="U1483" s="89"/>
      <c r="V1483" s="89">
        <v>0</v>
      </c>
      <c r="W1483" s="90"/>
      <c r="X1483" s="90">
        <v>0</v>
      </c>
      <c r="Y1483" s="90">
        <v>22593590.500000022</v>
      </c>
      <c r="Z1483" s="90">
        <v>6327</v>
      </c>
      <c r="AA1483" s="90">
        <v>5225</v>
      </c>
      <c r="AB1483" s="89">
        <f t="shared" si="405"/>
        <v>4257</v>
      </c>
      <c r="AC1483" s="89">
        <f t="shared" si="406"/>
        <v>5174</v>
      </c>
      <c r="AD1483" s="89">
        <f t="shared" si="407"/>
        <v>6327</v>
      </c>
      <c r="AE1483" s="90">
        <f t="shared" si="408"/>
        <v>4257</v>
      </c>
      <c r="AF1483" s="90">
        <f t="shared" si="409"/>
        <v>2012</v>
      </c>
      <c r="AG1483" s="90">
        <f t="shared" si="410"/>
        <v>5225</v>
      </c>
      <c r="AH1483" s="90" t="str">
        <f t="shared" si="411"/>
        <v>2018 (triag)</v>
      </c>
      <c r="AI1483" s="90">
        <f t="shared" si="412"/>
        <v>6327</v>
      </c>
      <c r="AJ1483" s="90">
        <f t="shared" si="413"/>
        <v>2022</v>
      </c>
      <c r="AK1483" s="90" t="str">
        <f t="shared" si="414"/>
        <v/>
      </c>
      <c r="AL1483" s="91">
        <f>IF(AK1483="Adjust",(_xlfn.XLOOKUP(A1483,'Adj factor'!A:A,'Adj factor'!I:I,,0)*AI1483),'Master DataSheet'!AI1483)</f>
        <v>6327</v>
      </c>
      <c r="AM1483" s="91">
        <f t="shared" si="415"/>
        <v>6327</v>
      </c>
      <c r="AN1483" s="92" t="str">
        <f t="shared" si="416"/>
        <v>Increasing</v>
      </c>
      <c r="AS1483" s="94">
        <f t="shared" si="417"/>
        <v>2.5035237964876864</v>
      </c>
      <c r="AT1483" s="94">
        <f t="shared" si="418"/>
        <v>2.621110610466443</v>
      </c>
      <c r="AU1483" s="94">
        <f t="shared" si="419"/>
        <v>2.800351719218773</v>
      </c>
    </row>
    <row r="1484" spans="1:47" x14ac:dyDescent="0.3">
      <c r="A1484" s="85" t="str">
        <f>_xlfn.XLOOKUP(B1484,'Country codes &amp; Data sources'!G:G,'Country codes &amp; Data sources'!H:H,,0)</f>
        <v>Mali</v>
      </c>
      <c r="B1484" s="85" t="s">
        <v>179</v>
      </c>
      <c r="C1484" s="85">
        <v>16514691</v>
      </c>
      <c r="D1484" s="85" t="s">
        <v>330</v>
      </c>
      <c r="E1484" s="86">
        <v>0</v>
      </c>
      <c r="F1484" s="86">
        <v>17004032.499999996</v>
      </c>
      <c r="G1484" s="86">
        <v>0</v>
      </c>
      <c r="H1484" s="86"/>
      <c r="I1484" s="86">
        <v>0</v>
      </c>
      <c r="J1484" s="86"/>
      <c r="K1484" s="86">
        <v>0</v>
      </c>
      <c r="L1484" s="86"/>
      <c r="M1484" s="86">
        <v>4765</v>
      </c>
      <c r="N1484" s="86"/>
      <c r="O1484" s="86">
        <v>0</v>
      </c>
      <c r="P1484" s="86">
        <v>19934298.000000004</v>
      </c>
      <c r="Q1484" s="86">
        <v>5174</v>
      </c>
      <c r="R1484" s="87">
        <f t="shared" si="404"/>
        <v>5174</v>
      </c>
      <c r="T1484" s="87">
        <v>0</v>
      </c>
      <c r="U1484" s="89"/>
      <c r="V1484" s="89">
        <v>0</v>
      </c>
      <c r="W1484" s="90"/>
      <c r="X1484" s="90">
        <v>0</v>
      </c>
      <c r="Y1484" s="90">
        <v>22593590.500000022</v>
      </c>
      <c r="Z1484" s="90">
        <v>0</v>
      </c>
      <c r="AA1484" s="90">
        <v>2255</v>
      </c>
      <c r="AB1484" s="89">
        <f t="shared" si="405"/>
        <v>0</v>
      </c>
      <c r="AC1484" s="89">
        <f t="shared" si="406"/>
        <v>5174</v>
      </c>
      <c r="AD1484" s="89">
        <f t="shared" si="407"/>
        <v>0</v>
      </c>
      <c r="AE1484" s="90">
        <f t="shared" si="408"/>
        <v>0</v>
      </c>
      <c r="AF1484" s="90" t="str">
        <f t="shared" si="409"/>
        <v/>
      </c>
      <c r="AG1484" s="90">
        <f t="shared" si="410"/>
        <v>5174</v>
      </c>
      <c r="AH1484" s="90">
        <f t="shared" si="411"/>
        <v>2018</v>
      </c>
      <c r="AI1484" s="90">
        <f t="shared" si="412"/>
        <v>5174</v>
      </c>
      <c r="AJ1484" s="90">
        <f t="shared" si="413"/>
        <v>2018</v>
      </c>
      <c r="AK1484" s="90" t="str">
        <f t="shared" si="414"/>
        <v/>
      </c>
      <c r="AL1484" s="91">
        <f>IF(AK1484="Adjust",(_xlfn.XLOOKUP(A1484,'Adj factor'!A:A,'Adj factor'!I:I,,0)*AI1484),'Master DataSheet'!AI1484)</f>
        <v>5174</v>
      </c>
      <c r="AM1484" s="91">
        <f t="shared" si="415"/>
        <v>5174</v>
      </c>
      <c r="AN1484" s="92" t="str">
        <f t="shared" si="416"/>
        <v>No change</v>
      </c>
      <c r="AS1484" s="94">
        <f t="shared" si="417"/>
        <v>0</v>
      </c>
      <c r="AT1484" s="94">
        <f t="shared" si="418"/>
        <v>2.5955265643164354</v>
      </c>
      <c r="AU1484" s="94">
        <f t="shared" si="419"/>
        <v>2.2900299976668137</v>
      </c>
    </row>
    <row r="1485" spans="1:47" x14ac:dyDescent="0.3">
      <c r="A1485" s="85" t="str">
        <f>_xlfn.XLOOKUP(B1485,'Country codes &amp; Data sources'!G:G,'Country codes &amp; Data sources'!H:H,,0)</f>
        <v>Mali</v>
      </c>
      <c r="B1485" s="85" t="s">
        <v>179</v>
      </c>
      <c r="C1485" s="85">
        <v>16514692</v>
      </c>
      <c r="D1485" s="85" t="s">
        <v>331</v>
      </c>
      <c r="E1485" s="86">
        <v>0</v>
      </c>
      <c r="F1485" s="86">
        <v>17004032.499999996</v>
      </c>
      <c r="G1485" s="86">
        <v>0</v>
      </c>
      <c r="H1485" s="86"/>
      <c r="I1485" s="86">
        <v>0</v>
      </c>
      <c r="J1485" s="86"/>
      <c r="K1485" s="86">
        <v>0</v>
      </c>
      <c r="L1485" s="86"/>
      <c r="M1485" s="86">
        <v>0</v>
      </c>
      <c r="N1485" s="86"/>
      <c r="O1485" s="86">
        <v>0</v>
      </c>
      <c r="P1485" s="86">
        <v>19934298.000000004</v>
      </c>
      <c r="Q1485" s="86">
        <v>0</v>
      </c>
      <c r="R1485" s="87">
        <f t="shared" si="404"/>
        <v>2970</v>
      </c>
      <c r="T1485" s="87">
        <v>0</v>
      </c>
      <c r="U1485" s="89"/>
      <c r="V1485" s="89">
        <v>0</v>
      </c>
      <c r="W1485" s="90"/>
      <c r="X1485" s="90">
        <v>0</v>
      </c>
      <c r="Y1485" s="90">
        <v>22593590.500000022</v>
      </c>
      <c r="Z1485" s="90">
        <v>6327</v>
      </c>
      <c r="AA1485" s="90">
        <v>2970</v>
      </c>
      <c r="AB1485" s="89">
        <f t="shared" si="405"/>
        <v>0</v>
      </c>
      <c r="AC1485" s="89">
        <f t="shared" si="406"/>
        <v>0</v>
      </c>
      <c r="AD1485" s="89">
        <f t="shared" si="407"/>
        <v>6327</v>
      </c>
      <c r="AE1485" s="90">
        <f t="shared" si="408"/>
        <v>0</v>
      </c>
      <c r="AF1485" s="90" t="str">
        <f t="shared" si="409"/>
        <v/>
      </c>
      <c r="AG1485" s="90">
        <f t="shared" si="410"/>
        <v>2970</v>
      </c>
      <c r="AH1485" s="90" t="str">
        <f t="shared" si="411"/>
        <v>2018 (triag)</v>
      </c>
      <c r="AI1485" s="90">
        <f t="shared" si="412"/>
        <v>6327</v>
      </c>
      <c r="AJ1485" s="90">
        <f t="shared" si="413"/>
        <v>2022</v>
      </c>
      <c r="AK1485" s="90" t="str">
        <f t="shared" si="414"/>
        <v/>
      </c>
      <c r="AL1485" s="91">
        <f>IF(AK1485="Adjust",(_xlfn.XLOOKUP(A1485,'Adj factor'!A:A,'Adj factor'!I:I,,0)*AI1485),'Master DataSheet'!AI1485)</f>
        <v>6327</v>
      </c>
      <c r="AM1485" s="91">
        <f t="shared" si="415"/>
        <v>6327</v>
      </c>
      <c r="AN1485" s="92" t="str">
        <f t="shared" si="416"/>
        <v>Increasing</v>
      </c>
      <c r="AS1485" s="94">
        <f t="shared" si="417"/>
        <v>0</v>
      </c>
      <c r="AT1485" s="94">
        <f t="shared" si="418"/>
        <v>1.4898944522651358</v>
      </c>
      <c r="AU1485" s="94">
        <f t="shared" si="419"/>
        <v>2.800351719218773</v>
      </c>
    </row>
    <row r="1486" spans="1:47" x14ac:dyDescent="0.3">
      <c r="A1486" s="85" t="str">
        <f>_xlfn.XLOOKUP(B1486,'Country codes &amp; Data sources'!G:G,'Country codes &amp; Data sources'!H:H,,0)</f>
        <v>Mali</v>
      </c>
      <c r="B1486" s="85" t="s">
        <v>179</v>
      </c>
      <c r="C1486" s="85">
        <v>16514693</v>
      </c>
      <c r="D1486" s="85" t="s">
        <v>332</v>
      </c>
      <c r="E1486" s="86">
        <v>1770</v>
      </c>
      <c r="F1486" s="86">
        <v>17004032.499999996</v>
      </c>
      <c r="G1486" s="86">
        <v>1961</v>
      </c>
      <c r="H1486" s="86"/>
      <c r="I1486" s="86">
        <v>0</v>
      </c>
      <c r="J1486" s="86"/>
      <c r="K1486" s="86">
        <v>0</v>
      </c>
      <c r="L1486" s="86"/>
      <c r="M1486" s="86">
        <v>2657</v>
      </c>
      <c r="N1486" s="86"/>
      <c r="O1486" s="86">
        <v>0</v>
      </c>
      <c r="P1486" s="86">
        <v>19934298.000000004</v>
      </c>
      <c r="Q1486" s="86">
        <v>3235</v>
      </c>
      <c r="R1486" s="87">
        <f t="shared" si="404"/>
        <v>3235</v>
      </c>
      <c r="T1486" s="87">
        <v>0</v>
      </c>
      <c r="U1486" s="89"/>
      <c r="V1486" s="89">
        <v>0</v>
      </c>
      <c r="W1486" s="90"/>
      <c r="X1486" s="90">
        <v>0</v>
      </c>
      <c r="Y1486" s="90">
        <v>22593590.500000022</v>
      </c>
      <c r="Z1486" s="90">
        <v>1629</v>
      </c>
      <c r="AA1486" s="90">
        <v>3169</v>
      </c>
      <c r="AB1486" s="89">
        <f t="shared" si="405"/>
        <v>1961</v>
      </c>
      <c r="AC1486" s="89">
        <f t="shared" si="406"/>
        <v>3235</v>
      </c>
      <c r="AD1486" s="89">
        <f t="shared" si="407"/>
        <v>1629</v>
      </c>
      <c r="AE1486" s="90">
        <f t="shared" si="408"/>
        <v>1961</v>
      </c>
      <c r="AF1486" s="90">
        <f t="shared" si="409"/>
        <v>2013</v>
      </c>
      <c r="AG1486" s="90">
        <f t="shared" si="410"/>
        <v>3235</v>
      </c>
      <c r="AH1486" s="90">
        <f t="shared" si="411"/>
        <v>2018</v>
      </c>
      <c r="AI1486" s="90">
        <f t="shared" si="412"/>
        <v>1629</v>
      </c>
      <c r="AJ1486" s="90">
        <f t="shared" si="413"/>
        <v>2022</v>
      </c>
      <c r="AK1486" s="90" t="str">
        <f t="shared" si="414"/>
        <v>Adjust</v>
      </c>
      <c r="AL1486" s="91">
        <f>IF(AK1486="Adjust",(_xlfn.XLOOKUP(A1486,'Adj factor'!A:A,'Adj factor'!I:I,,0)*AI1486),'Master DataSheet'!AI1486)</f>
        <v>1920.0050044483985</v>
      </c>
      <c r="AM1486" s="91">
        <f t="shared" si="415"/>
        <v>3235</v>
      </c>
      <c r="AN1486" s="92" t="str">
        <f t="shared" si="416"/>
        <v>Decreasing</v>
      </c>
      <c r="AS1486" s="94">
        <f t="shared" si="417"/>
        <v>1.1532558526925896</v>
      </c>
      <c r="AT1486" s="94">
        <f t="shared" si="418"/>
        <v>1.6228311626524292</v>
      </c>
      <c r="AU1486" s="94">
        <f t="shared" si="419"/>
        <v>1.4318220027932245</v>
      </c>
    </row>
    <row r="1487" spans="1:47" x14ac:dyDescent="0.3">
      <c r="A1487" s="85" t="str">
        <f>_xlfn.XLOOKUP(B1487,'Country codes &amp; Data sources'!G:G,'Country codes &amp; Data sources'!H:H,,0)</f>
        <v>Mali</v>
      </c>
      <c r="B1487" s="85" t="s">
        <v>179</v>
      </c>
      <c r="C1487" s="85">
        <v>16514694</v>
      </c>
      <c r="D1487" s="85" t="s">
        <v>333</v>
      </c>
      <c r="E1487" s="86">
        <v>0</v>
      </c>
      <c r="F1487" s="86">
        <v>17004032.499999996</v>
      </c>
      <c r="G1487" s="86">
        <v>686</v>
      </c>
      <c r="H1487" s="86"/>
      <c r="I1487" s="86">
        <v>0</v>
      </c>
      <c r="J1487" s="86"/>
      <c r="K1487" s="86">
        <v>0</v>
      </c>
      <c r="L1487" s="86"/>
      <c r="M1487" s="86">
        <v>2657</v>
      </c>
      <c r="N1487" s="86"/>
      <c r="O1487" s="86">
        <v>0</v>
      </c>
      <c r="P1487" s="86">
        <v>19934298.000000004</v>
      </c>
      <c r="Q1487" s="86">
        <v>3235</v>
      </c>
      <c r="R1487" s="87">
        <f t="shared" si="404"/>
        <v>3235</v>
      </c>
      <c r="T1487" s="87">
        <v>0</v>
      </c>
      <c r="U1487" s="89"/>
      <c r="V1487" s="89">
        <v>0</v>
      </c>
      <c r="W1487" s="90"/>
      <c r="X1487" s="90">
        <v>0</v>
      </c>
      <c r="Y1487" s="90">
        <v>22593590.500000022</v>
      </c>
      <c r="Z1487" s="90">
        <v>1629</v>
      </c>
      <c r="AA1487" s="90">
        <v>1527</v>
      </c>
      <c r="AB1487" s="89">
        <f t="shared" si="405"/>
        <v>686</v>
      </c>
      <c r="AC1487" s="89">
        <f t="shared" si="406"/>
        <v>3235</v>
      </c>
      <c r="AD1487" s="89">
        <f t="shared" si="407"/>
        <v>1629</v>
      </c>
      <c r="AE1487" s="90">
        <f t="shared" si="408"/>
        <v>686</v>
      </c>
      <c r="AF1487" s="90">
        <f t="shared" si="409"/>
        <v>2013</v>
      </c>
      <c r="AG1487" s="90">
        <f t="shared" si="410"/>
        <v>3235</v>
      </c>
      <c r="AH1487" s="90">
        <f t="shared" si="411"/>
        <v>2018</v>
      </c>
      <c r="AI1487" s="90">
        <f t="shared" si="412"/>
        <v>1629</v>
      </c>
      <c r="AJ1487" s="90">
        <f t="shared" si="413"/>
        <v>2022</v>
      </c>
      <c r="AK1487" s="90" t="str">
        <f t="shared" si="414"/>
        <v>Adjust</v>
      </c>
      <c r="AL1487" s="91">
        <f>IF(AK1487="Adjust",(_xlfn.XLOOKUP(A1487,'Adj factor'!A:A,'Adj factor'!I:I,,0)*AI1487),'Master DataSheet'!AI1487)</f>
        <v>1920.0050044483985</v>
      </c>
      <c r="AM1487" s="91">
        <f t="shared" si="415"/>
        <v>3235</v>
      </c>
      <c r="AN1487" s="92" t="str">
        <f t="shared" si="416"/>
        <v>Decreasing</v>
      </c>
      <c r="AS1487" s="94">
        <f t="shared" si="417"/>
        <v>0.40343371491438879</v>
      </c>
      <c r="AT1487" s="94">
        <f t="shared" si="418"/>
        <v>1.6228311626524292</v>
      </c>
      <c r="AU1487" s="94">
        <f t="shared" si="419"/>
        <v>1.4318220027932245</v>
      </c>
    </row>
    <row r="1488" spans="1:47" x14ac:dyDescent="0.3">
      <c r="A1488" s="85" t="str">
        <f>_xlfn.XLOOKUP(B1488,'Country codes &amp; Data sources'!G:G,'Country codes &amp; Data sources'!H:H,,0)</f>
        <v>Mali</v>
      </c>
      <c r="B1488" s="85" t="s">
        <v>179</v>
      </c>
      <c r="C1488" s="85">
        <v>16514695</v>
      </c>
      <c r="D1488" s="85" t="s">
        <v>334</v>
      </c>
      <c r="E1488" s="86">
        <v>0</v>
      </c>
      <c r="F1488" s="86">
        <v>17004032.499999996</v>
      </c>
      <c r="G1488" s="86">
        <v>1275</v>
      </c>
      <c r="H1488" s="86"/>
      <c r="I1488" s="86">
        <v>0</v>
      </c>
      <c r="J1488" s="86"/>
      <c r="K1488" s="86">
        <v>0</v>
      </c>
      <c r="L1488" s="86"/>
      <c r="M1488" s="86">
        <v>0</v>
      </c>
      <c r="N1488" s="86"/>
      <c r="O1488" s="86">
        <v>0</v>
      </c>
      <c r="P1488" s="86">
        <v>19934298.000000004</v>
      </c>
      <c r="Q1488" s="86">
        <v>0</v>
      </c>
      <c r="R1488" s="87">
        <f t="shared" si="404"/>
        <v>1642</v>
      </c>
      <c r="T1488" s="87">
        <v>0</v>
      </c>
      <c r="U1488" s="89"/>
      <c r="V1488" s="89">
        <v>0</v>
      </c>
      <c r="W1488" s="90"/>
      <c r="X1488" s="90">
        <v>0</v>
      </c>
      <c r="Y1488" s="90">
        <v>22593590.500000022</v>
      </c>
      <c r="Z1488" s="90">
        <v>0</v>
      </c>
      <c r="AA1488" s="90">
        <v>1642</v>
      </c>
      <c r="AB1488" s="89">
        <f t="shared" si="405"/>
        <v>1275</v>
      </c>
      <c r="AC1488" s="89">
        <f t="shared" si="406"/>
        <v>0</v>
      </c>
      <c r="AD1488" s="89">
        <f t="shared" si="407"/>
        <v>0</v>
      </c>
      <c r="AE1488" s="90">
        <f t="shared" si="408"/>
        <v>1275</v>
      </c>
      <c r="AF1488" s="90">
        <f t="shared" si="409"/>
        <v>2013</v>
      </c>
      <c r="AG1488" s="90">
        <f t="shared" si="410"/>
        <v>1642</v>
      </c>
      <c r="AH1488" s="90" t="str">
        <f t="shared" si="411"/>
        <v>2018 (triag)</v>
      </c>
      <c r="AI1488" s="90">
        <f t="shared" si="412"/>
        <v>1642</v>
      </c>
      <c r="AJ1488" s="90" t="str">
        <f t="shared" si="413"/>
        <v>2018 (triag)</v>
      </c>
      <c r="AK1488" s="90" t="str">
        <f t="shared" si="414"/>
        <v/>
      </c>
      <c r="AL1488" s="91">
        <f>IF(AK1488="Adjust",(_xlfn.XLOOKUP(A1488,'Adj factor'!A:A,'Adj factor'!I:I,,0)*AI1488),'Master DataSheet'!AI1488)</f>
        <v>1642</v>
      </c>
      <c r="AM1488" s="91">
        <f t="shared" si="415"/>
        <v>1642</v>
      </c>
      <c r="AN1488" s="92" t="str">
        <f t="shared" si="416"/>
        <v>No change</v>
      </c>
      <c r="AS1488" s="94">
        <f t="shared" si="417"/>
        <v>0.74982213777820073</v>
      </c>
      <c r="AT1488" s="94">
        <f t="shared" si="418"/>
        <v>0.82370595643749267</v>
      </c>
      <c r="AU1488" s="94">
        <f t="shared" si="419"/>
        <v>0.72675478472533983</v>
      </c>
    </row>
    <row r="1489" spans="1:47" x14ac:dyDescent="0.3">
      <c r="A1489" s="85" t="str">
        <f>_xlfn.XLOOKUP(B1489,'Country codes &amp; Data sources'!G:G,'Country codes &amp; Data sources'!H:H,,0)</f>
        <v>Mali</v>
      </c>
      <c r="B1489" s="85" t="s">
        <v>179</v>
      </c>
      <c r="C1489" s="85">
        <v>16514696</v>
      </c>
      <c r="D1489" s="85" t="s">
        <v>335</v>
      </c>
      <c r="E1489" s="86">
        <v>0</v>
      </c>
      <c r="F1489" s="86">
        <v>17004032.499999996</v>
      </c>
      <c r="G1489" s="86">
        <v>0</v>
      </c>
      <c r="H1489" s="86"/>
      <c r="I1489" s="86">
        <v>0</v>
      </c>
      <c r="J1489" s="86"/>
      <c r="K1489" s="86">
        <v>0</v>
      </c>
      <c r="L1489" s="86"/>
      <c r="M1489" s="86">
        <v>194</v>
      </c>
      <c r="N1489" s="86"/>
      <c r="O1489" s="86">
        <v>0</v>
      </c>
      <c r="P1489" s="86">
        <v>19934298.000000004</v>
      </c>
      <c r="Q1489" s="86">
        <v>182</v>
      </c>
      <c r="R1489" s="87">
        <f t="shared" si="404"/>
        <v>1340</v>
      </c>
      <c r="T1489" s="87">
        <v>0</v>
      </c>
      <c r="U1489" s="89"/>
      <c r="V1489" s="89">
        <v>0</v>
      </c>
      <c r="W1489" s="90"/>
      <c r="X1489" s="90">
        <v>0</v>
      </c>
      <c r="Y1489" s="90">
        <v>22593590.500000022</v>
      </c>
      <c r="Z1489" s="90">
        <v>1721</v>
      </c>
      <c r="AA1489" s="90">
        <v>1340</v>
      </c>
      <c r="AB1489" s="89">
        <f t="shared" si="405"/>
        <v>0</v>
      </c>
      <c r="AC1489" s="89">
        <f t="shared" si="406"/>
        <v>194</v>
      </c>
      <c r="AD1489" s="89">
        <f t="shared" si="407"/>
        <v>1721</v>
      </c>
      <c r="AE1489" s="90">
        <f t="shared" si="408"/>
        <v>0</v>
      </c>
      <c r="AF1489" s="90" t="str">
        <f t="shared" si="409"/>
        <v/>
      </c>
      <c r="AG1489" s="90">
        <f t="shared" si="410"/>
        <v>1340</v>
      </c>
      <c r="AH1489" s="90" t="str">
        <f t="shared" si="411"/>
        <v>2018 (triag)</v>
      </c>
      <c r="AI1489" s="90">
        <f t="shared" si="412"/>
        <v>1721</v>
      </c>
      <c r="AJ1489" s="90">
        <f t="shared" si="413"/>
        <v>2022</v>
      </c>
      <c r="AK1489" s="90" t="str">
        <f t="shared" si="414"/>
        <v/>
      </c>
      <c r="AL1489" s="91">
        <f>IF(AK1489="Adjust",(_xlfn.XLOOKUP(A1489,'Adj factor'!A:A,'Adj factor'!I:I,,0)*AI1489),'Master DataSheet'!AI1489)</f>
        <v>1721</v>
      </c>
      <c r="AM1489" s="91">
        <f t="shared" si="415"/>
        <v>1721</v>
      </c>
      <c r="AN1489" s="92" t="str">
        <f t="shared" si="416"/>
        <v>Increasing</v>
      </c>
      <c r="AS1489" s="94">
        <f t="shared" si="417"/>
        <v>0</v>
      </c>
      <c r="AT1489" s="94">
        <f t="shared" si="418"/>
        <v>0.67220827139235084</v>
      </c>
      <c r="AU1489" s="94">
        <f t="shared" si="419"/>
        <v>0.7617204534179719</v>
      </c>
    </row>
    <row r="1490" spans="1:47" x14ac:dyDescent="0.3">
      <c r="A1490" s="85" t="str">
        <f>_xlfn.XLOOKUP(B1490,'Country codes &amp; Data sources'!G:G,'Country codes &amp; Data sources'!H:H,,0)</f>
        <v>Mali</v>
      </c>
      <c r="B1490" s="85" t="s">
        <v>179</v>
      </c>
      <c r="C1490" s="85">
        <v>16514697</v>
      </c>
      <c r="D1490" s="85" t="s">
        <v>336</v>
      </c>
      <c r="E1490" s="86">
        <v>0</v>
      </c>
      <c r="F1490" s="86">
        <v>17004032.499999996</v>
      </c>
      <c r="G1490" s="86">
        <v>0</v>
      </c>
      <c r="H1490" s="86"/>
      <c r="I1490" s="86">
        <v>0</v>
      </c>
      <c r="J1490" s="86"/>
      <c r="K1490" s="86">
        <v>0</v>
      </c>
      <c r="L1490" s="86"/>
      <c r="M1490" s="86">
        <v>0</v>
      </c>
      <c r="N1490" s="86"/>
      <c r="O1490" s="86">
        <v>0</v>
      </c>
      <c r="P1490" s="86">
        <v>19934298.000000004</v>
      </c>
      <c r="Q1490" s="86">
        <v>0</v>
      </c>
      <c r="R1490" s="87">
        <f t="shared" si="404"/>
        <v>84</v>
      </c>
      <c r="T1490" s="87">
        <v>0</v>
      </c>
      <c r="U1490" s="89"/>
      <c r="V1490" s="89">
        <v>0</v>
      </c>
      <c r="W1490" s="90"/>
      <c r="X1490" s="90">
        <v>0</v>
      </c>
      <c r="Y1490" s="90">
        <v>22593590.500000022</v>
      </c>
      <c r="Z1490" s="90">
        <v>0</v>
      </c>
      <c r="AA1490" s="90">
        <v>84</v>
      </c>
      <c r="AB1490" s="89">
        <f t="shared" si="405"/>
        <v>0</v>
      </c>
      <c r="AC1490" s="89">
        <f t="shared" si="406"/>
        <v>0</v>
      </c>
      <c r="AD1490" s="89">
        <f t="shared" si="407"/>
        <v>0</v>
      </c>
      <c r="AE1490" s="90">
        <f t="shared" si="408"/>
        <v>0</v>
      </c>
      <c r="AF1490" s="90" t="str">
        <f t="shared" si="409"/>
        <v/>
      </c>
      <c r="AG1490" s="90">
        <f t="shared" si="410"/>
        <v>84</v>
      </c>
      <c r="AH1490" s="90" t="str">
        <f t="shared" si="411"/>
        <v>2018 (triag)</v>
      </c>
      <c r="AI1490" s="90">
        <f t="shared" si="412"/>
        <v>84</v>
      </c>
      <c r="AJ1490" s="90" t="str">
        <f t="shared" si="413"/>
        <v>2018 (triag)</v>
      </c>
      <c r="AK1490" s="90" t="str">
        <f t="shared" si="414"/>
        <v/>
      </c>
      <c r="AL1490" s="91">
        <f>IF(AK1490="Adjust",(_xlfn.XLOOKUP(A1490,'Adj factor'!A:A,'Adj factor'!I:I,,0)*AI1490),'Master DataSheet'!AI1490)</f>
        <v>84</v>
      </c>
      <c r="AM1490" s="91">
        <f t="shared" si="415"/>
        <v>84</v>
      </c>
      <c r="AN1490" s="92" t="str">
        <f t="shared" si="416"/>
        <v>No change</v>
      </c>
      <c r="AS1490" s="94">
        <f t="shared" si="417"/>
        <v>0</v>
      </c>
      <c r="AT1490" s="94">
        <f t="shared" si="418"/>
        <v>4.213842895295334E-2</v>
      </c>
      <c r="AU1490" s="94">
        <f t="shared" si="419"/>
        <v>3.7178685698494855E-2</v>
      </c>
    </row>
    <row r="1491" spans="1:47" x14ac:dyDescent="0.3">
      <c r="A1491" s="85" t="str">
        <f>_xlfn.XLOOKUP(B1491,'Country codes &amp; Data sources'!G:G,'Country codes &amp; Data sources'!H:H,,0)</f>
        <v>Mali</v>
      </c>
      <c r="B1491" s="85" t="s">
        <v>179</v>
      </c>
      <c r="C1491" s="85">
        <v>16514698</v>
      </c>
      <c r="D1491" s="85" t="s">
        <v>337</v>
      </c>
      <c r="E1491" s="86">
        <v>0</v>
      </c>
      <c r="F1491" s="86">
        <v>17004032.499999996</v>
      </c>
      <c r="G1491" s="86">
        <v>0</v>
      </c>
      <c r="H1491" s="86"/>
      <c r="I1491" s="86">
        <v>0</v>
      </c>
      <c r="J1491" s="86"/>
      <c r="K1491" s="86">
        <v>0</v>
      </c>
      <c r="L1491" s="86"/>
      <c r="M1491" s="86">
        <v>107</v>
      </c>
      <c r="N1491" s="86"/>
      <c r="O1491" s="86">
        <v>0</v>
      </c>
      <c r="P1491" s="86">
        <v>19934298.000000004</v>
      </c>
      <c r="Q1491" s="86">
        <v>30</v>
      </c>
      <c r="R1491" s="87">
        <f t="shared" si="404"/>
        <v>30</v>
      </c>
      <c r="T1491" s="87">
        <v>0</v>
      </c>
      <c r="U1491" s="89"/>
      <c r="V1491" s="89">
        <v>0</v>
      </c>
      <c r="W1491" s="90"/>
      <c r="X1491" s="90">
        <v>0</v>
      </c>
      <c r="Y1491" s="90">
        <v>22593590.500000022</v>
      </c>
      <c r="Z1491" s="90">
        <v>0</v>
      </c>
      <c r="AA1491" s="90">
        <v>30</v>
      </c>
      <c r="AB1491" s="89">
        <f t="shared" si="405"/>
        <v>0</v>
      </c>
      <c r="AC1491" s="89">
        <f t="shared" si="406"/>
        <v>107</v>
      </c>
      <c r="AD1491" s="89">
        <f t="shared" si="407"/>
        <v>0</v>
      </c>
      <c r="AE1491" s="90">
        <f t="shared" si="408"/>
        <v>0</v>
      </c>
      <c r="AF1491" s="90" t="str">
        <f t="shared" si="409"/>
        <v/>
      </c>
      <c r="AG1491" s="90">
        <f t="shared" si="410"/>
        <v>30</v>
      </c>
      <c r="AH1491" s="90">
        <f t="shared" si="411"/>
        <v>2018</v>
      </c>
      <c r="AI1491" s="90">
        <f t="shared" si="412"/>
        <v>30</v>
      </c>
      <c r="AJ1491" s="90">
        <f t="shared" si="413"/>
        <v>2018</v>
      </c>
      <c r="AK1491" s="90" t="str">
        <f t="shared" si="414"/>
        <v/>
      </c>
      <c r="AL1491" s="91">
        <f>IF(AK1491="Adjust",(_xlfn.XLOOKUP(A1491,'Adj factor'!A:A,'Adj factor'!I:I,,0)*AI1491),'Master DataSheet'!AI1491)</f>
        <v>30</v>
      </c>
      <c r="AM1491" s="91">
        <f t="shared" si="415"/>
        <v>30</v>
      </c>
      <c r="AN1491" s="92" t="str">
        <f t="shared" si="416"/>
        <v>No change</v>
      </c>
      <c r="AS1491" s="94">
        <f t="shared" si="417"/>
        <v>0</v>
      </c>
      <c r="AT1491" s="94">
        <f t="shared" si="418"/>
        <v>1.5049438911769049E-2</v>
      </c>
      <c r="AU1491" s="94">
        <f t="shared" si="419"/>
        <v>1.3278102035176733E-2</v>
      </c>
    </row>
    <row r="1492" spans="1:47" x14ac:dyDescent="0.3">
      <c r="A1492" s="85" t="str">
        <f>_xlfn.XLOOKUP(B1492,'Country codes &amp; Data sources'!G:G,'Country codes &amp; Data sources'!H:H,,0)</f>
        <v>Mali</v>
      </c>
      <c r="B1492" s="85" t="s">
        <v>179</v>
      </c>
      <c r="C1492" s="85">
        <v>16514699</v>
      </c>
      <c r="D1492" s="85" t="s">
        <v>338</v>
      </c>
      <c r="E1492" s="86">
        <v>0</v>
      </c>
      <c r="F1492" s="86">
        <v>17004032.499999996</v>
      </c>
      <c r="G1492" s="86">
        <v>0</v>
      </c>
      <c r="H1492" s="86"/>
      <c r="I1492" s="86">
        <v>0</v>
      </c>
      <c r="J1492" s="86"/>
      <c r="K1492" s="86">
        <v>0</v>
      </c>
      <c r="L1492" s="86"/>
      <c r="M1492" s="86">
        <v>0</v>
      </c>
      <c r="N1492" s="86"/>
      <c r="O1492" s="86">
        <v>53</v>
      </c>
      <c r="P1492" s="86">
        <v>19934298.000000004</v>
      </c>
      <c r="Q1492" s="86">
        <v>53</v>
      </c>
      <c r="R1492" s="87">
        <f t="shared" si="404"/>
        <v>53</v>
      </c>
      <c r="T1492" s="87">
        <v>0</v>
      </c>
      <c r="U1492" s="89"/>
      <c r="V1492" s="89">
        <v>0</v>
      </c>
      <c r="W1492" s="90"/>
      <c r="X1492" s="90">
        <v>0</v>
      </c>
      <c r="Y1492" s="90">
        <v>22593590.500000022</v>
      </c>
      <c r="Z1492" s="90">
        <v>0</v>
      </c>
      <c r="AA1492" s="90">
        <v>0</v>
      </c>
      <c r="AB1492" s="89">
        <f t="shared" si="405"/>
        <v>0</v>
      </c>
      <c r="AC1492" s="89">
        <f t="shared" si="406"/>
        <v>53</v>
      </c>
      <c r="AD1492" s="89">
        <f t="shared" si="407"/>
        <v>0</v>
      </c>
      <c r="AE1492" s="90">
        <f t="shared" si="408"/>
        <v>0</v>
      </c>
      <c r="AF1492" s="90" t="str">
        <f t="shared" si="409"/>
        <v/>
      </c>
      <c r="AG1492" s="90">
        <f t="shared" si="410"/>
        <v>53</v>
      </c>
      <c r="AH1492" s="90">
        <f t="shared" si="411"/>
        <v>2017</v>
      </c>
      <c r="AI1492" s="90">
        <f t="shared" si="412"/>
        <v>53</v>
      </c>
      <c r="AJ1492" s="90">
        <f t="shared" si="413"/>
        <v>2017</v>
      </c>
      <c r="AK1492" s="90" t="str">
        <f t="shared" si="414"/>
        <v/>
      </c>
      <c r="AL1492" s="91">
        <f>IF(AK1492="Adjust",(_xlfn.XLOOKUP(A1492,'Adj factor'!A:A,'Adj factor'!I:I,,0)*AI1492),'Master DataSheet'!AI1492)</f>
        <v>53</v>
      </c>
      <c r="AM1492" s="91">
        <f t="shared" si="415"/>
        <v>53</v>
      </c>
      <c r="AN1492" s="92" t="str">
        <f t="shared" si="416"/>
        <v>No change</v>
      </c>
      <c r="AS1492" s="94">
        <f t="shared" si="417"/>
        <v>0</v>
      </c>
      <c r="AT1492" s="94">
        <f t="shared" si="418"/>
        <v>2.6587342077458654E-2</v>
      </c>
      <c r="AU1492" s="94">
        <f t="shared" si="419"/>
        <v>2.3457980262145562E-2</v>
      </c>
    </row>
    <row r="1493" spans="1:47" x14ac:dyDescent="0.3">
      <c r="A1493" s="85" t="str">
        <f>_xlfn.XLOOKUP(B1493,'Country codes &amp; Data sources'!G:G,'Country codes &amp; Data sources'!H:H,,0)</f>
        <v>Mali</v>
      </c>
      <c r="B1493" s="85" t="s">
        <v>179</v>
      </c>
      <c r="C1493" s="85">
        <v>16514700</v>
      </c>
      <c r="D1493" s="85" t="s">
        <v>339</v>
      </c>
      <c r="E1493" s="86">
        <v>0</v>
      </c>
      <c r="F1493" s="86">
        <v>17004032.499999996</v>
      </c>
      <c r="G1493" s="86">
        <v>0</v>
      </c>
      <c r="H1493" s="86"/>
      <c r="I1493" s="86">
        <v>0</v>
      </c>
      <c r="J1493" s="86"/>
      <c r="K1493" s="86">
        <v>0</v>
      </c>
      <c r="L1493" s="86"/>
      <c r="M1493" s="86">
        <v>0</v>
      </c>
      <c r="N1493" s="86"/>
      <c r="O1493" s="86">
        <v>0</v>
      </c>
      <c r="P1493" s="86">
        <v>19934298.000000004</v>
      </c>
      <c r="Q1493" s="86">
        <v>0</v>
      </c>
      <c r="R1493" s="87">
        <f t="shared" si="404"/>
        <v>0</v>
      </c>
      <c r="T1493" s="87">
        <v>0</v>
      </c>
      <c r="U1493" s="89"/>
      <c r="V1493" s="89">
        <v>0</v>
      </c>
      <c r="W1493" s="90"/>
      <c r="X1493" s="90">
        <v>0</v>
      </c>
      <c r="Y1493" s="90">
        <v>22593590.500000022</v>
      </c>
      <c r="Z1493" s="90">
        <v>0</v>
      </c>
      <c r="AA1493" s="90">
        <v>0</v>
      </c>
      <c r="AB1493" s="89">
        <f t="shared" si="405"/>
        <v>0</v>
      </c>
      <c r="AC1493" s="89">
        <f t="shared" si="406"/>
        <v>0</v>
      </c>
      <c r="AD1493" s="89">
        <f t="shared" si="407"/>
        <v>0</v>
      </c>
      <c r="AE1493" s="90">
        <f t="shared" si="408"/>
        <v>0</v>
      </c>
      <c r="AF1493" s="90" t="str">
        <f t="shared" si="409"/>
        <v/>
      </c>
      <c r="AG1493" s="90">
        <f t="shared" si="410"/>
        <v>0</v>
      </c>
      <c r="AH1493" s="90" t="str">
        <f t="shared" si="411"/>
        <v/>
      </c>
      <c r="AI1493" s="90">
        <f t="shared" si="412"/>
        <v>0</v>
      </c>
      <c r="AJ1493" s="90" t="str">
        <f t="shared" si="413"/>
        <v/>
      </c>
      <c r="AK1493" s="90" t="str">
        <f t="shared" si="414"/>
        <v/>
      </c>
      <c r="AL1493" s="91">
        <f>IF(AK1493="Adjust",(_xlfn.XLOOKUP(A1493,'Adj factor'!A:A,'Adj factor'!I:I,,0)*AI1493),'Master DataSheet'!AI1493)</f>
        <v>0</v>
      </c>
      <c r="AM1493" s="91">
        <f t="shared" si="415"/>
        <v>0</v>
      </c>
      <c r="AN1493" s="92" t="str">
        <f t="shared" si="416"/>
        <v>No change</v>
      </c>
      <c r="AS1493" s="94">
        <f t="shared" si="417"/>
        <v>0</v>
      </c>
      <c r="AT1493" s="94">
        <f t="shared" si="418"/>
        <v>0</v>
      </c>
      <c r="AU1493" s="94">
        <f t="shared" si="419"/>
        <v>0</v>
      </c>
    </row>
    <row r="1494" spans="1:47" ht="14.5" x14ac:dyDescent="0.35">
      <c r="A1494" s="85" t="str">
        <f>_xlfn.XLOOKUP(B1494,'Country codes &amp; Data sources'!G:G,'Country codes &amp; Data sources'!H:H,,0)</f>
        <v>Mozambique</v>
      </c>
      <c r="B1494" s="85" t="s">
        <v>181</v>
      </c>
      <c r="C1494" s="85">
        <v>24487610.999999996</v>
      </c>
      <c r="D1494" s="85" t="s">
        <v>326</v>
      </c>
      <c r="E1494" s="86">
        <v>1358</v>
      </c>
      <c r="F1494" s="86">
        <v>25251730.999999993</v>
      </c>
      <c r="G1494" s="86">
        <v>1452</v>
      </c>
      <c r="H1494" s="86">
        <v>26038704.499999993</v>
      </c>
      <c r="I1494" s="86">
        <v>0</v>
      </c>
      <c r="J1494" s="86">
        <v>26843245.5</v>
      </c>
      <c r="K1494" s="86">
        <v>0</v>
      </c>
      <c r="L1494" s="86">
        <v>27696492.499999989</v>
      </c>
      <c r="M1494" s="86">
        <v>0</v>
      </c>
      <c r="N1494" s="86">
        <v>28569441.000000015</v>
      </c>
      <c r="O1494" s="86">
        <v>2180</v>
      </c>
      <c r="P1494" s="86">
        <v>29423878.499999993</v>
      </c>
      <c r="Q1494" s="86">
        <v>2473</v>
      </c>
      <c r="R1494" s="87">
        <f t="shared" si="404"/>
        <v>2473</v>
      </c>
      <c r="S1494" s="87">
        <v>30285595.000000004</v>
      </c>
      <c r="T1494" s="87">
        <v>2570</v>
      </c>
      <c r="U1494" s="89">
        <v>31178238.999999996</v>
      </c>
      <c r="V1494" s="89">
        <v>2573</v>
      </c>
      <c r="W1494" s="90">
        <v>32077072.000000011</v>
      </c>
      <c r="X1494" s="90">
        <v>2611</v>
      </c>
      <c r="Y1494" s="90">
        <v>32969518.500000007</v>
      </c>
      <c r="Z1494" s="111">
        <v>5719</v>
      </c>
      <c r="AA1494" s="90">
        <v>2180</v>
      </c>
      <c r="AB1494" s="89">
        <f t="shared" si="405"/>
        <v>1452</v>
      </c>
      <c r="AC1494" s="89">
        <f t="shared" si="406"/>
        <v>2570</v>
      </c>
      <c r="AD1494" s="89">
        <f t="shared" si="407"/>
        <v>5719</v>
      </c>
      <c r="AE1494" s="90">
        <f t="shared" si="408"/>
        <v>1452</v>
      </c>
      <c r="AF1494" s="90">
        <f t="shared" si="409"/>
        <v>2013</v>
      </c>
      <c r="AG1494" s="90">
        <f t="shared" si="410"/>
        <v>2473</v>
      </c>
      <c r="AH1494" s="90">
        <f t="shared" si="411"/>
        <v>2018</v>
      </c>
      <c r="AI1494" s="90">
        <f t="shared" si="412"/>
        <v>5719</v>
      </c>
      <c r="AJ1494" s="90">
        <f t="shared" si="413"/>
        <v>2022</v>
      </c>
      <c r="AK1494" s="90" t="str">
        <f t="shared" si="414"/>
        <v/>
      </c>
      <c r="AL1494" s="91">
        <f>IF(AK1494="Adjust",(_xlfn.XLOOKUP(A1494,'Adj factor'!A:A,'Adj factor'!I:I,,0)*AI1494),'Master DataSheet'!AI1494)</f>
        <v>5719</v>
      </c>
      <c r="AM1494" s="91">
        <f t="shared" si="415"/>
        <v>5719</v>
      </c>
      <c r="AN1494" s="92" t="str">
        <f t="shared" si="416"/>
        <v>Increasing</v>
      </c>
      <c r="AS1494" s="94">
        <f t="shared" si="417"/>
        <v>0.57501008544721166</v>
      </c>
      <c r="AT1494" s="94">
        <f t="shared" si="418"/>
        <v>0.84047383488210115</v>
      </c>
      <c r="AU1494" s="94">
        <f t="shared" si="419"/>
        <v>1.734632551579423</v>
      </c>
    </row>
    <row r="1495" spans="1:47" x14ac:dyDescent="0.3">
      <c r="A1495" s="85" t="str">
        <f>_xlfn.XLOOKUP(B1495,'Country codes &amp; Data sources'!G:G,'Country codes &amp; Data sources'!H:H,,0)</f>
        <v>Mozambique</v>
      </c>
      <c r="B1495" s="85" t="s">
        <v>181</v>
      </c>
      <c r="C1495" s="85">
        <v>24487612</v>
      </c>
      <c r="D1495" s="85" t="s">
        <v>327</v>
      </c>
      <c r="E1495" s="86">
        <v>0</v>
      </c>
      <c r="F1495" s="86">
        <v>25251730.999999993</v>
      </c>
      <c r="G1495" s="86">
        <v>0</v>
      </c>
      <c r="H1495" s="86"/>
      <c r="I1495" s="86">
        <v>0</v>
      </c>
      <c r="J1495" s="86"/>
      <c r="K1495" s="86">
        <v>0</v>
      </c>
      <c r="L1495" s="86"/>
      <c r="M1495" s="86">
        <v>0</v>
      </c>
      <c r="N1495" s="86"/>
      <c r="O1495" s="86">
        <v>1555</v>
      </c>
      <c r="P1495" s="86">
        <v>29423878.499999993</v>
      </c>
      <c r="Q1495" s="86">
        <v>1695</v>
      </c>
      <c r="R1495" s="87">
        <f t="shared" si="404"/>
        <v>1695</v>
      </c>
      <c r="T1495" s="87">
        <v>1715</v>
      </c>
      <c r="U1495" s="89"/>
      <c r="V1495" s="89">
        <v>1655</v>
      </c>
      <c r="W1495" s="90"/>
      <c r="X1495" s="90">
        <v>1807</v>
      </c>
      <c r="Y1495" s="90">
        <v>32969518.500000007</v>
      </c>
      <c r="Z1495" s="90">
        <v>1933</v>
      </c>
      <c r="AA1495" s="90">
        <v>1555</v>
      </c>
      <c r="AB1495" s="89">
        <f t="shared" si="405"/>
        <v>0</v>
      </c>
      <c r="AC1495" s="89">
        <f t="shared" si="406"/>
        <v>1715</v>
      </c>
      <c r="AD1495" s="89">
        <f t="shared" si="407"/>
        <v>1933</v>
      </c>
      <c r="AE1495" s="90">
        <f t="shared" si="408"/>
        <v>0</v>
      </c>
      <c r="AF1495" s="90" t="str">
        <f t="shared" si="409"/>
        <v/>
      </c>
      <c r="AG1495" s="90">
        <f t="shared" si="410"/>
        <v>1695</v>
      </c>
      <c r="AH1495" s="90">
        <f t="shared" si="411"/>
        <v>2018</v>
      </c>
      <c r="AI1495" s="90">
        <f t="shared" si="412"/>
        <v>1933</v>
      </c>
      <c r="AJ1495" s="90">
        <f t="shared" si="413"/>
        <v>2022</v>
      </c>
      <c r="AK1495" s="90" t="str">
        <f t="shared" si="414"/>
        <v/>
      </c>
      <c r="AL1495" s="91">
        <f>IF(AK1495="Adjust",(_xlfn.XLOOKUP(A1495,'Adj factor'!A:A,'Adj factor'!I:I,,0)*AI1495),'Master DataSheet'!AI1495)</f>
        <v>1933</v>
      </c>
      <c r="AM1495" s="91">
        <f t="shared" si="415"/>
        <v>1933</v>
      </c>
      <c r="AN1495" s="92" t="str">
        <f t="shared" si="416"/>
        <v>Increasing</v>
      </c>
      <c r="AS1495" s="94">
        <f t="shared" si="417"/>
        <v>0</v>
      </c>
      <c r="AT1495" s="94">
        <f t="shared" si="418"/>
        <v>0.57606273761632087</v>
      </c>
      <c r="AU1495" s="94">
        <f t="shared" si="419"/>
        <v>0.58629912960360631</v>
      </c>
    </row>
    <row r="1496" spans="1:47" x14ac:dyDescent="0.3">
      <c r="A1496" s="85" t="str">
        <f>_xlfn.XLOOKUP(B1496,'Country codes &amp; Data sources'!G:G,'Country codes &amp; Data sources'!H:H,,0)</f>
        <v>Mozambique</v>
      </c>
      <c r="B1496" s="85" t="s">
        <v>181</v>
      </c>
      <c r="C1496" s="85">
        <v>24487613</v>
      </c>
      <c r="D1496" s="85" t="s">
        <v>328</v>
      </c>
      <c r="E1496" s="86">
        <v>0</v>
      </c>
      <c r="F1496" s="86">
        <v>25251730.999999993</v>
      </c>
      <c r="G1496" s="86">
        <v>0</v>
      </c>
      <c r="H1496" s="86"/>
      <c r="I1496" s="86">
        <v>0</v>
      </c>
      <c r="J1496" s="86"/>
      <c r="K1496" s="86">
        <v>0</v>
      </c>
      <c r="L1496" s="86"/>
      <c r="M1496" s="86">
        <v>0</v>
      </c>
      <c r="N1496" s="86"/>
      <c r="O1496" s="86">
        <v>625</v>
      </c>
      <c r="P1496" s="86">
        <v>29423878.499999993</v>
      </c>
      <c r="Q1496" s="86">
        <v>778</v>
      </c>
      <c r="R1496" s="87">
        <f t="shared" si="404"/>
        <v>778</v>
      </c>
      <c r="T1496" s="87">
        <v>855</v>
      </c>
      <c r="U1496" s="89"/>
      <c r="V1496" s="89">
        <v>918</v>
      </c>
      <c r="W1496" s="90"/>
      <c r="X1496" s="90">
        <v>804</v>
      </c>
      <c r="Y1496" s="90">
        <v>32969518.500000007</v>
      </c>
      <c r="Z1496" s="90">
        <v>756</v>
      </c>
      <c r="AA1496" s="90">
        <v>625</v>
      </c>
      <c r="AB1496" s="89">
        <f t="shared" si="405"/>
        <v>0</v>
      </c>
      <c r="AC1496" s="89">
        <f t="shared" si="406"/>
        <v>855</v>
      </c>
      <c r="AD1496" s="89">
        <f t="shared" si="407"/>
        <v>918</v>
      </c>
      <c r="AE1496" s="90">
        <f t="shared" si="408"/>
        <v>0</v>
      </c>
      <c r="AF1496" s="90" t="str">
        <f t="shared" si="409"/>
        <v/>
      </c>
      <c r="AG1496" s="90">
        <f t="shared" si="410"/>
        <v>778</v>
      </c>
      <c r="AH1496" s="90">
        <f t="shared" si="411"/>
        <v>2018</v>
      </c>
      <c r="AI1496" s="90">
        <f t="shared" si="412"/>
        <v>756</v>
      </c>
      <c r="AJ1496" s="90">
        <f t="shared" si="413"/>
        <v>2022</v>
      </c>
      <c r="AK1496" s="90" t="str">
        <f t="shared" si="414"/>
        <v>Adjust</v>
      </c>
      <c r="AL1496" s="91">
        <f>IF(AK1496="Adjust",(_xlfn.XLOOKUP(A1496,'Adj factor'!A:A,'Adj factor'!I:I,,0)*AI1496),'Master DataSheet'!AI1496)</f>
        <v>868.86977510623387</v>
      </c>
      <c r="AM1496" s="91">
        <f t="shared" si="415"/>
        <v>868.86977510623387</v>
      </c>
      <c r="AN1496" s="92" t="str">
        <f t="shared" si="416"/>
        <v>Increasing</v>
      </c>
      <c r="AS1496" s="94">
        <f t="shared" si="417"/>
        <v>0</v>
      </c>
      <c r="AT1496" s="94">
        <f t="shared" si="418"/>
        <v>0.26441109726578033</v>
      </c>
      <c r="AU1496" s="94">
        <f t="shared" si="419"/>
        <v>0.26353729585290536</v>
      </c>
    </row>
    <row r="1497" spans="1:47" ht="14.5" x14ac:dyDescent="0.35">
      <c r="A1497" s="85" t="str">
        <f>_xlfn.XLOOKUP(B1497,'Country codes &amp; Data sources'!G:G,'Country codes &amp; Data sources'!H:H,,0)</f>
        <v>Mozambique</v>
      </c>
      <c r="B1497" s="85" t="s">
        <v>181</v>
      </c>
      <c r="C1497" s="85">
        <v>24487614</v>
      </c>
      <c r="D1497" s="85" t="s">
        <v>329</v>
      </c>
      <c r="E1497" s="86">
        <v>5826</v>
      </c>
      <c r="F1497" s="86">
        <v>25251730.999999993</v>
      </c>
      <c r="G1497" s="86">
        <v>6432</v>
      </c>
      <c r="H1497" s="86"/>
      <c r="I1497" s="86">
        <v>6348</v>
      </c>
      <c r="J1497" s="86"/>
      <c r="K1497" s="86">
        <v>6927</v>
      </c>
      <c r="L1497" s="86"/>
      <c r="M1497" s="86">
        <v>7660</v>
      </c>
      <c r="N1497" s="86"/>
      <c r="O1497" s="86">
        <v>7961</v>
      </c>
      <c r="P1497" s="86">
        <v>29423878.499999993</v>
      </c>
      <c r="Q1497" s="86">
        <v>8153</v>
      </c>
      <c r="R1497" s="87">
        <f t="shared" si="404"/>
        <v>8153</v>
      </c>
      <c r="T1497" s="87">
        <v>8179</v>
      </c>
      <c r="U1497" s="89"/>
      <c r="V1497" s="89">
        <v>8831</v>
      </c>
      <c r="W1497" s="90"/>
      <c r="X1497" s="90">
        <v>10928</v>
      </c>
      <c r="Y1497" s="90">
        <v>32969518.500000007</v>
      </c>
      <c r="Z1497" s="111">
        <f>397+2575+14120+76</f>
        <v>17168</v>
      </c>
      <c r="AA1497" s="90">
        <v>7961</v>
      </c>
      <c r="AB1497" s="89">
        <f t="shared" si="405"/>
        <v>6927</v>
      </c>
      <c r="AC1497" s="89">
        <f t="shared" si="406"/>
        <v>8179</v>
      </c>
      <c r="AD1497" s="89">
        <f t="shared" si="407"/>
        <v>17168</v>
      </c>
      <c r="AE1497" s="90">
        <f t="shared" si="408"/>
        <v>6432</v>
      </c>
      <c r="AF1497" s="90">
        <f t="shared" si="409"/>
        <v>2013</v>
      </c>
      <c r="AG1497" s="90">
        <f t="shared" si="410"/>
        <v>8153</v>
      </c>
      <c r="AH1497" s="90">
        <f t="shared" si="411"/>
        <v>2018</v>
      </c>
      <c r="AI1497" s="90">
        <f t="shared" si="412"/>
        <v>17168</v>
      </c>
      <c r="AJ1497" s="90">
        <v>2022</v>
      </c>
      <c r="AK1497" s="90" t="str">
        <f t="shared" si="414"/>
        <v/>
      </c>
      <c r="AL1497" s="91">
        <f>IF(AK1497="Adjust",(_xlfn.XLOOKUP(A1497,'Adj factor'!A:A,'Adj factor'!I:I,,0)*AI1497),'Master DataSheet'!AI1497)</f>
        <v>17168</v>
      </c>
      <c r="AM1497" s="91">
        <f t="shared" si="415"/>
        <v>17168</v>
      </c>
      <c r="AN1497" s="92" t="str">
        <f t="shared" si="416"/>
        <v>Increasing</v>
      </c>
      <c r="AS1497" s="94">
        <f t="shared" si="417"/>
        <v>2.5471521140471527</v>
      </c>
      <c r="AT1497" s="94">
        <f t="shared" si="418"/>
        <v>2.7708787609356129</v>
      </c>
      <c r="AU1497" s="94">
        <f t="shared" si="419"/>
        <v>5.2072340698575852</v>
      </c>
    </row>
    <row r="1498" spans="1:47" x14ac:dyDescent="0.3">
      <c r="A1498" s="85" t="str">
        <f>_xlfn.XLOOKUP(B1498,'Country codes &amp; Data sources'!G:G,'Country codes &amp; Data sources'!H:H,,0)</f>
        <v>Mozambique</v>
      </c>
      <c r="B1498" s="85" t="s">
        <v>181</v>
      </c>
      <c r="C1498" s="85">
        <v>24487615</v>
      </c>
      <c r="D1498" s="85" t="s">
        <v>330</v>
      </c>
      <c r="E1498" s="86">
        <v>0</v>
      </c>
      <c r="F1498" s="86">
        <v>25251730.999999993</v>
      </c>
      <c r="G1498" s="86">
        <v>0</v>
      </c>
      <c r="H1498" s="86"/>
      <c r="I1498" s="86">
        <v>0</v>
      </c>
      <c r="J1498" s="86"/>
      <c r="K1498" s="86">
        <v>0</v>
      </c>
      <c r="L1498" s="86"/>
      <c r="M1498" s="86">
        <v>0</v>
      </c>
      <c r="N1498" s="86"/>
      <c r="O1498" s="86">
        <v>0</v>
      </c>
      <c r="P1498" s="86">
        <v>29423878.499999993</v>
      </c>
      <c r="Q1498" s="86">
        <v>0</v>
      </c>
      <c r="R1498" s="87">
        <f t="shared" si="404"/>
        <v>7961</v>
      </c>
      <c r="T1498" s="87">
        <v>7802</v>
      </c>
      <c r="U1498" s="89"/>
      <c r="V1498" s="89">
        <v>7215</v>
      </c>
      <c r="W1498" s="90"/>
      <c r="X1498" s="90">
        <v>2147</v>
      </c>
      <c r="Y1498" s="90">
        <v>32969518.500000007</v>
      </c>
      <c r="Z1498" s="90">
        <v>1792</v>
      </c>
      <c r="AA1498" s="90">
        <v>7961</v>
      </c>
      <c r="AB1498" s="89">
        <f t="shared" si="405"/>
        <v>0</v>
      </c>
      <c r="AC1498" s="89">
        <f t="shared" si="406"/>
        <v>7802</v>
      </c>
      <c r="AD1498" s="89">
        <f t="shared" si="407"/>
        <v>7215</v>
      </c>
      <c r="AE1498" s="90">
        <f t="shared" si="408"/>
        <v>0</v>
      </c>
      <c r="AF1498" s="90" t="str">
        <f t="shared" si="409"/>
        <v/>
      </c>
      <c r="AG1498" s="90">
        <f t="shared" si="410"/>
        <v>7961</v>
      </c>
      <c r="AH1498" s="90" t="str">
        <f t="shared" si="411"/>
        <v>2018 (triag)</v>
      </c>
      <c r="AI1498" s="90">
        <f t="shared" si="412"/>
        <v>1792</v>
      </c>
      <c r="AJ1498" s="90">
        <f t="shared" si="413"/>
        <v>2022</v>
      </c>
      <c r="AK1498" s="90" t="str">
        <f t="shared" si="414"/>
        <v>Adjust</v>
      </c>
      <c r="AL1498" s="91">
        <f>IF(AK1498="Adjust",(_xlfn.XLOOKUP(A1498,'Adj factor'!A:A,'Adj factor'!I:I,,0)*AI1498),'Master DataSheet'!AI1498)</f>
        <v>2059.5431706221839</v>
      </c>
      <c r="AM1498" s="91">
        <f t="shared" si="415"/>
        <v>7961</v>
      </c>
      <c r="AN1498" s="92" t="str">
        <f t="shared" si="416"/>
        <v>Decreasing</v>
      </c>
      <c r="AS1498" s="94">
        <f t="shared" si="417"/>
        <v>0</v>
      </c>
      <c r="AT1498" s="94">
        <f t="shared" si="418"/>
        <v>2.7056256366746489</v>
      </c>
      <c r="AU1498" s="94">
        <f t="shared" si="419"/>
        <v>2.4146546149892965</v>
      </c>
    </row>
    <row r="1499" spans="1:47" x14ac:dyDescent="0.3">
      <c r="A1499" s="85" t="str">
        <f>_xlfn.XLOOKUP(B1499,'Country codes &amp; Data sources'!G:G,'Country codes &amp; Data sources'!H:H,,0)</f>
        <v>Mozambique</v>
      </c>
      <c r="B1499" s="85" t="s">
        <v>181</v>
      </c>
      <c r="C1499" s="85">
        <v>24487616</v>
      </c>
      <c r="D1499" s="85" t="s">
        <v>331</v>
      </c>
      <c r="E1499" s="86">
        <v>0</v>
      </c>
      <c r="F1499" s="86">
        <v>25251730.999999993</v>
      </c>
      <c r="G1499" s="86">
        <v>0</v>
      </c>
      <c r="H1499" s="86"/>
      <c r="I1499" s="86">
        <v>0</v>
      </c>
      <c r="J1499" s="86"/>
      <c r="K1499" s="86">
        <v>0</v>
      </c>
      <c r="L1499" s="86"/>
      <c r="M1499" s="86">
        <v>0</v>
      </c>
      <c r="N1499" s="86"/>
      <c r="O1499" s="86">
        <v>0</v>
      </c>
      <c r="P1499" s="86">
        <v>29423878.499999993</v>
      </c>
      <c r="Q1499" s="86">
        <v>0</v>
      </c>
      <c r="R1499" s="87">
        <f t="shared" si="404"/>
        <v>0</v>
      </c>
      <c r="T1499" s="87">
        <v>377</v>
      </c>
      <c r="U1499" s="89"/>
      <c r="V1499" s="89">
        <v>1616</v>
      </c>
      <c r="W1499" s="90"/>
      <c r="X1499" s="90">
        <v>8781</v>
      </c>
      <c r="Y1499" s="90">
        <v>32969518.500000007</v>
      </c>
      <c r="Z1499" s="90">
        <v>7983</v>
      </c>
      <c r="AA1499" s="90">
        <v>0</v>
      </c>
      <c r="AB1499" s="89">
        <f t="shared" si="405"/>
        <v>0</v>
      </c>
      <c r="AC1499" s="89">
        <f t="shared" si="406"/>
        <v>377</v>
      </c>
      <c r="AD1499" s="89">
        <f t="shared" si="407"/>
        <v>8781</v>
      </c>
      <c r="AE1499" s="90">
        <f t="shared" si="408"/>
        <v>0</v>
      </c>
      <c r="AF1499" s="90" t="str">
        <f t="shared" si="409"/>
        <v/>
      </c>
      <c r="AG1499" s="90">
        <f t="shared" si="410"/>
        <v>377</v>
      </c>
      <c r="AH1499" s="90">
        <f t="shared" si="411"/>
        <v>2019</v>
      </c>
      <c r="AI1499" s="90">
        <f t="shared" si="412"/>
        <v>7983</v>
      </c>
      <c r="AJ1499" s="90">
        <f t="shared" si="413"/>
        <v>2022</v>
      </c>
      <c r="AK1499" s="90" t="str">
        <f t="shared" si="414"/>
        <v/>
      </c>
      <c r="AL1499" s="91">
        <f>IF(AK1499="Adjust",(_xlfn.XLOOKUP(A1499,'Adj factor'!A:A,'Adj factor'!I:I,,0)*AI1499),'Master DataSheet'!AI1499)</f>
        <v>7983</v>
      </c>
      <c r="AM1499" s="91">
        <f t="shared" si="415"/>
        <v>7983</v>
      </c>
      <c r="AN1499" s="92" t="str">
        <f t="shared" si="416"/>
        <v>Increasing</v>
      </c>
      <c r="AS1499" s="94">
        <f t="shared" si="417"/>
        <v>0</v>
      </c>
      <c r="AT1499" s="94">
        <f t="shared" si="418"/>
        <v>0.12812722836657991</v>
      </c>
      <c r="AU1499" s="94">
        <f t="shared" si="419"/>
        <v>2.4213274452279303</v>
      </c>
    </row>
    <row r="1500" spans="1:47" ht="14.5" x14ac:dyDescent="0.35">
      <c r="A1500" s="85" t="str">
        <f>_xlfn.XLOOKUP(B1500,'Country codes &amp; Data sources'!G:G,'Country codes &amp; Data sources'!H:H,,0)</f>
        <v>Mozambique</v>
      </c>
      <c r="B1500" s="85" t="s">
        <v>181</v>
      </c>
      <c r="C1500" s="85">
        <v>24487617</v>
      </c>
      <c r="D1500" s="85" t="s">
        <v>332</v>
      </c>
      <c r="E1500" s="86">
        <v>4261</v>
      </c>
      <c r="F1500" s="86">
        <v>25251730.999999993</v>
      </c>
      <c r="G1500" s="86">
        <v>4265</v>
      </c>
      <c r="H1500" s="86"/>
      <c r="I1500" s="86">
        <v>4649</v>
      </c>
      <c r="J1500" s="86"/>
      <c r="K1500" s="86">
        <v>5158</v>
      </c>
      <c r="L1500" s="86"/>
      <c r="M1500" s="86">
        <v>5705</v>
      </c>
      <c r="N1500" s="86"/>
      <c r="O1500" s="86">
        <v>5820</v>
      </c>
      <c r="P1500" s="86">
        <v>29423878.499999993</v>
      </c>
      <c r="Q1500" s="86">
        <v>6021</v>
      </c>
      <c r="R1500" s="87">
        <f t="shared" si="404"/>
        <v>6021</v>
      </c>
      <c r="T1500" s="87">
        <v>6175</v>
      </c>
      <c r="U1500" s="89"/>
      <c r="V1500" s="89">
        <v>6324</v>
      </c>
      <c r="W1500" s="90"/>
      <c r="X1500" s="90">
        <v>7278</v>
      </c>
      <c r="Y1500" s="90">
        <v>32969518.500000007</v>
      </c>
      <c r="Z1500" s="111">
        <f>135+13249</f>
        <v>13384</v>
      </c>
      <c r="AA1500" s="90">
        <v>5820</v>
      </c>
      <c r="AB1500" s="89">
        <f t="shared" si="405"/>
        <v>5158</v>
      </c>
      <c r="AC1500" s="89">
        <f t="shared" si="406"/>
        <v>6175</v>
      </c>
      <c r="AD1500" s="89">
        <f t="shared" si="407"/>
        <v>13384</v>
      </c>
      <c r="AE1500" s="90">
        <f t="shared" si="408"/>
        <v>4265</v>
      </c>
      <c r="AF1500" s="90">
        <f t="shared" si="409"/>
        <v>2013</v>
      </c>
      <c r="AG1500" s="90">
        <f t="shared" si="410"/>
        <v>6021</v>
      </c>
      <c r="AH1500" s="90">
        <f t="shared" si="411"/>
        <v>2018</v>
      </c>
      <c r="AI1500" s="90">
        <f t="shared" si="412"/>
        <v>13384</v>
      </c>
      <c r="AJ1500" s="90">
        <v>2022</v>
      </c>
      <c r="AK1500" s="90" t="str">
        <f t="shared" si="414"/>
        <v/>
      </c>
      <c r="AL1500" s="91">
        <f>IF(AK1500="Adjust",(_xlfn.XLOOKUP(A1500,'Adj factor'!A:A,'Adj factor'!I:I,,0)*AI1500),'Master DataSheet'!AI1500)</f>
        <v>13384</v>
      </c>
      <c r="AM1500" s="91">
        <f t="shared" si="415"/>
        <v>13384</v>
      </c>
      <c r="AN1500" s="92" t="str">
        <f t="shared" si="416"/>
        <v>Increasing</v>
      </c>
      <c r="AS1500" s="94">
        <f t="shared" si="417"/>
        <v>1.6889931228872987</v>
      </c>
      <c r="AT1500" s="94">
        <f t="shared" si="418"/>
        <v>2.0462971936211609</v>
      </c>
      <c r="AU1500" s="94">
        <f t="shared" si="419"/>
        <v>4.0595072688125535</v>
      </c>
    </row>
    <row r="1501" spans="1:47" x14ac:dyDescent="0.3">
      <c r="A1501" s="85" t="str">
        <f>_xlfn.XLOOKUP(B1501,'Country codes &amp; Data sources'!G:G,'Country codes &amp; Data sources'!H:H,,0)</f>
        <v>Mozambique</v>
      </c>
      <c r="B1501" s="85" t="s">
        <v>181</v>
      </c>
      <c r="C1501" s="85">
        <v>24487618</v>
      </c>
      <c r="D1501" s="85" t="s">
        <v>333</v>
      </c>
      <c r="E1501" s="86">
        <v>0</v>
      </c>
      <c r="F1501" s="86">
        <v>25251730.999999993</v>
      </c>
      <c r="G1501" s="86">
        <v>3545</v>
      </c>
      <c r="H1501" s="86"/>
      <c r="I1501" s="86">
        <v>0</v>
      </c>
      <c r="J1501" s="86"/>
      <c r="K1501" s="86">
        <v>0</v>
      </c>
      <c r="L1501" s="86"/>
      <c r="M1501" s="86">
        <v>5148</v>
      </c>
      <c r="N1501" s="86"/>
      <c r="O1501" s="86">
        <v>5384</v>
      </c>
      <c r="P1501" s="86">
        <v>29423878.499999993</v>
      </c>
      <c r="Q1501" s="86">
        <v>6021</v>
      </c>
      <c r="R1501" s="87">
        <f t="shared" si="404"/>
        <v>6021</v>
      </c>
      <c r="T1501" s="87">
        <v>5889</v>
      </c>
      <c r="U1501" s="89"/>
      <c r="V1501" s="89">
        <v>5049</v>
      </c>
      <c r="W1501" s="90"/>
      <c r="X1501" s="90">
        <v>42</v>
      </c>
      <c r="Y1501" s="90">
        <v>32969518.500000007</v>
      </c>
      <c r="Z1501" s="90">
        <v>38</v>
      </c>
      <c r="AA1501" s="90">
        <v>5820</v>
      </c>
      <c r="AB1501" s="89">
        <f t="shared" si="405"/>
        <v>3545</v>
      </c>
      <c r="AC1501" s="89">
        <f t="shared" si="406"/>
        <v>6021</v>
      </c>
      <c r="AD1501" s="89">
        <f t="shared" si="407"/>
        <v>5049</v>
      </c>
      <c r="AE1501" s="90">
        <f t="shared" si="408"/>
        <v>3545</v>
      </c>
      <c r="AF1501" s="90">
        <f t="shared" si="409"/>
        <v>2013</v>
      </c>
      <c r="AG1501" s="90">
        <f t="shared" si="410"/>
        <v>6021</v>
      </c>
      <c r="AH1501" s="90">
        <f t="shared" si="411"/>
        <v>2018</v>
      </c>
      <c r="AI1501" s="90">
        <f t="shared" si="412"/>
        <v>38</v>
      </c>
      <c r="AJ1501" s="90">
        <f t="shared" si="413"/>
        <v>2022</v>
      </c>
      <c r="AK1501" s="90" t="str">
        <f t="shared" si="414"/>
        <v>Adjust</v>
      </c>
      <c r="AL1501" s="91">
        <f>IF(AK1501="Adjust",(_xlfn.XLOOKUP(A1501,'Adj factor'!A:A,'Adj factor'!I:I,,0)*AI1501),'Master DataSheet'!AI1501)</f>
        <v>43.673348484175776</v>
      </c>
      <c r="AM1501" s="91">
        <f t="shared" si="415"/>
        <v>6021</v>
      </c>
      <c r="AN1501" s="92" t="str">
        <f t="shared" si="416"/>
        <v>Decreasing</v>
      </c>
      <c r="AS1501" s="94">
        <f t="shared" si="417"/>
        <v>1.4038641548969459</v>
      </c>
      <c r="AT1501" s="94">
        <f t="shared" si="418"/>
        <v>2.0462971936211609</v>
      </c>
      <c r="AU1501" s="94">
        <f t="shared" si="419"/>
        <v>1.8262323121279429</v>
      </c>
    </row>
    <row r="1502" spans="1:47" x14ac:dyDescent="0.3">
      <c r="A1502" s="85" t="str">
        <f>_xlfn.XLOOKUP(B1502,'Country codes &amp; Data sources'!G:G,'Country codes &amp; Data sources'!H:H,,0)</f>
        <v>Mozambique</v>
      </c>
      <c r="B1502" s="85" t="s">
        <v>181</v>
      </c>
      <c r="C1502" s="85">
        <v>24487619</v>
      </c>
      <c r="D1502" s="85" t="s">
        <v>334</v>
      </c>
      <c r="E1502" s="86">
        <v>0</v>
      </c>
      <c r="F1502" s="86">
        <v>25251730.999999993</v>
      </c>
      <c r="G1502" s="86">
        <v>720</v>
      </c>
      <c r="H1502" s="86"/>
      <c r="I1502" s="86">
        <v>0</v>
      </c>
      <c r="J1502" s="86"/>
      <c r="K1502" s="86">
        <v>0</v>
      </c>
      <c r="L1502" s="86"/>
      <c r="M1502" s="86">
        <v>557</v>
      </c>
      <c r="N1502" s="86"/>
      <c r="O1502" s="86">
        <v>436</v>
      </c>
      <c r="P1502" s="86">
        <v>29423878.499999993</v>
      </c>
      <c r="Q1502" s="86">
        <v>0</v>
      </c>
      <c r="R1502" s="87">
        <f t="shared" si="404"/>
        <v>0</v>
      </c>
      <c r="T1502" s="87">
        <v>286</v>
      </c>
      <c r="U1502" s="89"/>
      <c r="V1502" s="89">
        <v>1275</v>
      </c>
      <c r="W1502" s="90"/>
      <c r="X1502" s="90">
        <v>7236</v>
      </c>
      <c r="Y1502" s="90">
        <v>32969518.500000007</v>
      </c>
      <c r="Z1502" s="90">
        <v>7082</v>
      </c>
      <c r="AA1502" s="90">
        <v>0</v>
      </c>
      <c r="AB1502" s="89">
        <f t="shared" si="405"/>
        <v>720</v>
      </c>
      <c r="AC1502" s="89">
        <f t="shared" si="406"/>
        <v>557</v>
      </c>
      <c r="AD1502" s="89">
        <f t="shared" si="407"/>
        <v>7236</v>
      </c>
      <c r="AE1502" s="90">
        <f t="shared" si="408"/>
        <v>720</v>
      </c>
      <c r="AF1502" s="90">
        <f t="shared" si="409"/>
        <v>2013</v>
      </c>
      <c r="AG1502" s="90">
        <f t="shared" si="410"/>
        <v>436</v>
      </c>
      <c r="AH1502" s="90">
        <f t="shared" si="411"/>
        <v>2017</v>
      </c>
      <c r="AI1502" s="90">
        <f t="shared" si="412"/>
        <v>7082</v>
      </c>
      <c r="AJ1502" s="90">
        <f t="shared" si="413"/>
        <v>2022</v>
      </c>
      <c r="AK1502" s="90" t="str">
        <f t="shared" si="414"/>
        <v/>
      </c>
      <c r="AL1502" s="91">
        <f>IF(AK1502="Adjust",(_xlfn.XLOOKUP(A1502,'Adj factor'!A:A,'Adj factor'!I:I,,0)*AI1502),'Master DataSheet'!AI1502)</f>
        <v>7082</v>
      </c>
      <c r="AM1502" s="91">
        <f t="shared" si="415"/>
        <v>7082</v>
      </c>
      <c r="AN1502" s="92" t="str">
        <f t="shared" si="416"/>
        <v>Increasing</v>
      </c>
      <c r="AS1502" s="94">
        <f t="shared" si="417"/>
        <v>0.28512896799035292</v>
      </c>
      <c r="AT1502" s="94">
        <f t="shared" si="418"/>
        <v>0.14817896967593858</v>
      </c>
      <c r="AU1502" s="94">
        <f t="shared" si="419"/>
        <v>2.1480447159093328</v>
      </c>
    </row>
    <row r="1503" spans="1:47" x14ac:dyDescent="0.3">
      <c r="A1503" s="85" t="str">
        <f>_xlfn.XLOOKUP(B1503,'Country codes &amp; Data sources'!G:G,'Country codes &amp; Data sources'!H:H,,0)</f>
        <v>Mozambique</v>
      </c>
      <c r="B1503" s="85" t="s">
        <v>181</v>
      </c>
      <c r="C1503" s="85">
        <v>24487620</v>
      </c>
      <c r="D1503" s="85" t="s">
        <v>335</v>
      </c>
      <c r="E1503" s="86">
        <v>72</v>
      </c>
      <c r="F1503" s="86">
        <v>25251730.999999993</v>
      </c>
      <c r="G1503" s="86">
        <v>103</v>
      </c>
      <c r="H1503" s="86"/>
      <c r="I1503" s="86">
        <v>0</v>
      </c>
      <c r="J1503" s="86"/>
      <c r="K1503" s="86">
        <v>194</v>
      </c>
      <c r="L1503" s="86"/>
      <c r="M1503" s="86">
        <v>0</v>
      </c>
      <c r="N1503" s="86"/>
      <c r="O1503" s="86">
        <v>255</v>
      </c>
      <c r="P1503" s="86">
        <v>29423878.499999993</v>
      </c>
      <c r="Q1503" s="86">
        <v>305</v>
      </c>
      <c r="R1503" s="87">
        <f t="shared" si="404"/>
        <v>305</v>
      </c>
      <c r="T1503" s="87">
        <v>385</v>
      </c>
      <c r="U1503" s="89"/>
      <c r="V1503" s="89">
        <v>423</v>
      </c>
      <c r="W1503" s="90"/>
      <c r="X1503" s="90">
        <v>406</v>
      </c>
      <c r="Y1503" s="90">
        <v>32969518.500000007</v>
      </c>
      <c r="Z1503" s="90">
        <v>498</v>
      </c>
      <c r="AA1503" s="90">
        <v>259</v>
      </c>
      <c r="AB1503" s="89">
        <f t="shared" si="405"/>
        <v>194</v>
      </c>
      <c r="AC1503" s="89">
        <f t="shared" si="406"/>
        <v>385</v>
      </c>
      <c r="AD1503" s="89">
        <f t="shared" si="407"/>
        <v>498</v>
      </c>
      <c r="AE1503" s="90">
        <f t="shared" si="408"/>
        <v>103</v>
      </c>
      <c r="AF1503" s="90">
        <f t="shared" si="409"/>
        <v>2013</v>
      </c>
      <c r="AG1503" s="90">
        <f t="shared" si="410"/>
        <v>305</v>
      </c>
      <c r="AH1503" s="90">
        <f t="shared" si="411"/>
        <v>2018</v>
      </c>
      <c r="AI1503" s="90">
        <f t="shared" si="412"/>
        <v>498</v>
      </c>
      <c r="AJ1503" s="90">
        <f t="shared" si="413"/>
        <v>2022</v>
      </c>
      <c r="AK1503" s="90" t="str">
        <f t="shared" si="414"/>
        <v/>
      </c>
      <c r="AL1503" s="91">
        <f>IF(AK1503="Adjust",(_xlfn.XLOOKUP(A1503,'Adj factor'!A:A,'Adj factor'!I:I,,0)*AI1503),'Master DataSheet'!AI1503)</f>
        <v>498</v>
      </c>
      <c r="AM1503" s="91">
        <f t="shared" si="415"/>
        <v>498</v>
      </c>
      <c r="AN1503" s="92" t="str">
        <f t="shared" si="416"/>
        <v>Increasing</v>
      </c>
      <c r="AS1503" s="94">
        <f t="shared" si="417"/>
        <v>4.0789282920842149E-2</v>
      </c>
      <c r="AT1503" s="94">
        <f t="shared" si="418"/>
        <v>0.1036573067687185</v>
      </c>
      <c r="AU1503" s="94">
        <f t="shared" si="419"/>
        <v>0.15104861176544021</v>
      </c>
    </row>
    <row r="1504" spans="1:47" x14ac:dyDescent="0.3">
      <c r="A1504" s="85" t="str">
        <f>_xlfn.XLOOKUP(B1504,'Country codes &amp; Data sources'!G:G,'Country codes &amp; Data sources'!H:H,,0)</f>
        <v>Mozambique</v>
      </c>
      <c r="B1504" s="85" t="s">
        <v>181</v>
      </c>
      <c r="C1504" s="85">
        <v>24487621</v>
      </c>
      <c r="D1504" s="85" t="s">
        <v>336</v>
      </c>
      <c r="E1504" s="86">
        <v>1390</v>
      </c>
      <c r="F1504" s="86">
        <v>25251730.999999993</v>
      </c>
      <c r="G1504" s="86">
        <v>1388</v>
      </c>
      <c r="H1504" s="86"/>
      <c r="I1504" s="86">
        <v>0</v>
      </c>
      <c r="J1504" s="86"/>
      <c r="K1504" s="86">
        <v>0</v>
      </c>
      <c r="L1504" s="86"/>
      <c r="M1504" s="86">
        <v>0</v>
      </c>
      <c r="N1504" s="86"/>
      <c r="O1504" s="86">
        <v>2055</v>
      </c>
      <c r="P1504" s="86">
        <v>29423878.499999993</v>
      </c>
      <c r="Q1504" s="86">
        <v>1887</v>
      </c>
      <c r="R1504" s="87">
        <f t="shared" si="404"/>
        <v>2051</v>
      </c>
      <c r="T1504" s="87">
        <v>2261</v>
      </c>
      <c r="U1504" s="89"/>
      <c r="V1504" s="89">
        <v>2358</v>
      </c>
      <c r="W1504" s="90"/>
      <c r="X1504" s="90">
        <v>3039</v>
      </c>
      <c r="Y1504" s="90">
        <v>32969518.500000007</v>
      </c>
      <c r="Z1504" s="90">
        <v>3299</v>
      </c>
      <c r="AA1504" s="90">
        <v>2051</v>
      </c>
      <c r="AB1504" s="89">
        <f t="shared" si="405"/>
        <v>1390</v>
      </c>
      <c r="AC1504" s="89">
        <f t="shared" si="406"/>
        <v>2261</v>
      </c>
      <c r="AD1504" s="89">
        <f t="shared" si="407"/>
        <v>3299</v>
      </c>
      <c r="AE1504" s="90">
        <f t="shared" si="408"/>
        <v>1388</v>
      </c>
      <c r="AF1504" s="90">
        <f t="shared" si="409"/>
        <v>2013</v>
      </c>
      <c r="AG1504" s="90">
        <f t="shared" si="410"/>
        <v>2051</v>
      </c>
      <c r="AH1504" s="90" t="str">
        <f t="shared" si="411"/>
        <v>2018 (triag)</v>
      </c>
      <c r="AI1504" s="90">
        <f t="shared" si="412"/>
        <v>3299</v>
      </c>
      <c r="AJ1504" s="90">
        <f t="shared" si="413"/>
        <v>2022</v>
      </c>
      <c r="AK1504" s="90" t="str">
        <f t="shared" si="414"/>
        <v/>
      </c>
      <c r="AL1504" s="91">
        <f>IF(AK1504="Adjust",(_xlfn.XLOOKUP(A1504,'Adj factor'!A:A,'Adj factor'!I:I,,0)*AI1504),'Master DataSheet'!AI1504)</f>
        <v>3299</v>
      </c>
      <c r="AM1504" s="91">
        <f t="shared" si="415"/>
        <v>3299</v>
      </c>
      <c r="AN1504" s="92" t="str">
        <f t="shared" si="416"/>
        <v>Increasing</v>
      </c>
      <c r="AS1504" s="94">
        <f t="shared" si="417"/>
        <v>0.5496652882925136</v>
      </c>
      <c r="AT1504" s="94">
        <f t="shared" si="418"/>
        <v>0.69705290551685783</v>
      </c>
      <c r="AU1504" s="94">
        <f t="shared" si="419"/>
        <v>1.0006212253296933</v>
      </c>
    </row>
    <row r="1505" spans="1:47" x14ac:dyDescent="0.3">
      <c r="A1505" s="85" t="str">
        <f>_xlfn.XLOOKUP(B1505,'Country codes &amp; Data sources'!G:G,'Country codes &amp; Data sources'!H:H,,0)</f>
        <v>Mozambique</v>
      </c>
      <c r="B1505" s="85" t="s">
        <v>181</v>
      </c>
      <c r="C1505" s="85">
        <v>24487622</v>
      </c>
      <c r="D1505" s="85" t="s">
        <v>337</v>
      </c>
      <c r="E1505" s="86">
        <v>69</v>
      </c>
      <c r="F1505" s="86">
        <v>25251730.999999993</v>
      </c>
      <c r="G1505" s="86">
        <v>136</v>
      </c>
      <c r="H1505" s="86"/>
      <c r="I1505" s="86">
        <v>0</v>
      </c>
      <c r="J1505" s="86"/>
      <c r="K1505" s="86">
        <v>189</v>
      </c>
      <c r="L1505" s="86"/>
      <c r="M1505" s="86">
        <v>0</v>
      </c>
      <c r="N1505" s="86"/>
      <c r="O1505" s="86">
        <v>217</v>
      </c>
      <c r="P1505" s="86">
        <v>29423878.499999993</v>
      </c>
      <c r="Q1505" s="86">
        <v>255</v>
      </c>
      <c r="R1505" s="87">
        <f t="shared" si="404"/>
        <v>255</v>
      </c>
      <c r="T1505" s="87">
        <v>288</v>
      </c>
      <c r="U1505" s="89"/>
      <c r="V1505" s="89">
        <v>277</v>
      </c>
      <c r="W1505" s="90"/>
      <c r="X1505" s="90">
        <v>355</v>
      </c>
      <c r="Y1505" s="90">
        <v>32969518.500000007</v>
      </c>
      <c r="Z1505" s="90">
        <v>348</v>
      </c>
      <c r="AA1505" s="90">
        <v>205</v>
      </c>
      <c r="AB1505" s="89">
        <f t="shared" si="405"/>
        <v>189</v>
      </c>
      <c r="AC1505" s="89">
        <f t="shared" si="406"/>
        <v>288</v>
      </c>
      <c r="AD1505" s="89">
        <f t="shared" si="407"/>
        <v>355</v>
      </c>
      <c r="AE1505" s="90">
        <f t="shared" si="408"/>
        <v>136</v>
      </c>
      <c r="AF1505" s="90">
        <f t="shared" si="409"/>
        <v>2013</v>
      </c>
      <c r="AG1505" s="90">
        <f t="shared" si="410"/>
        <v>255</v>
      </c>
      <c r="AH1505" s="90">
        <f t="shared" si="411"/>
        <v>2018</v>
      </c>
      <c r="AI1505" s="90">
        <f t="shared" si="412"/>
        <v>348</v>
      </c>
      <c r="AJ1505" s="90">
        <f t="shared" si="413"/>
        <v>2022</v>
      </c>
      <c r="AK1505" s="90" t="str">
        <f t="shared" si="414"/>
        <v/>
      </c>
      <c r="AL1505" s="91">
        <f>IF(AK1505="Adjust",(_xlfn.XLOOKUP(A1505,'Adj factor'!A:A,'Adj factor'!I:I,,0)*AI1505),'Master DataSheet'!AI1505)</f>
        <v>348</v>
      </c>
      <c r="AM1505" s="91">
        <f t="shared" si="415"/>
        <v>348</v>
      </c>
      <c r="AN1505" s="92" t="str">
        <f t="shared" si="416"/>
        <v>Increasing</v>
      </c>
      <c r="AS1505" s="94">
        <f t="shared" si="417"/>
        <v>5.3857693953733327E-2</v>
      </c>
      <c r="AT1505" s="94">
        <f t="shared" si="418"/>
        <v>8.6664305659092514E-2</v>
      </c>
      <c r="AU1505" s="94">
        <f t="shared" si="419"/>
        <v>0.10555204195657268</v>
      </c>
    </row>
    <row r="1506" spans="1:47" x14ac:dyDescent="0.3">
      <c r="A1506" s="85" t="str">
        <f>_xlfn.XLOOKUP(B1506,'Country codes &amp; Data sources'!G:G,'Country codes &amp; Data sources'!H:H,,0)</f>
        <v>Mozambique</v>
      </c>
      <c r="B1506" s="85" t="s">
        <v>181</v>
      </c>
      <c r="C1506" s="85">
        <v>24487623</v>
      </c>
      <c r="D1506" s="85" t="s">
        <v>338</v>
      </c>
      <c r="E1506" s="86">
        <v>305</v>
      </c>
      <c r="F1506" s="86">
        <v>25251730.999999993</v>
      </c>
      <c r="G1506" s="86">
        <v>238</v>
      </c>
      <c r="H1506" s="86"/>
      <c r="I1506" s="86">
        <v>0</v>
      </c>
      <c r="J1506" s="86"/>
      <c r="K1506" s="86">
        <v>45</v>
      </c>
      <c r="L1506" s="86"/>
      <c r="M1506" s="86">
        <v>0</v>
      </c>
      <c r="N1506" s="86"/>
      <c r="O1506" s="86">
        <v>319</v>
      </c>
      <c r="P1506" s="86">
        <v>29423878.499999993</v>
      </c>
      <c r="Q1506" s="86">
        <v>39</v>
      </c>
      <c r="R1506" s="87">
        <f t="shared" si="404"/>
        <v>340</v>
      </c>
      <c r="T1506" s="87">
        <v>305</v>
      </c>
      <c r="U1506" s="89"/>
      <c r="V1506" s="89">
        <v>318</v>
      </c>
      <c r="W1506" s="90"/>
      <c r="X1506" s="90">
        <v>340</v>
      </c>
      <c r="Y1506" s="90">
        <v>32969518.500000007</v>
      </c>
      <c r="Z1506" s="90">
        <v>341</v>
      </c>
      <c r="AA1506" s="90">
        <v>340</v>
      </c>
      <c r="AB1506" s="89">
        <f t="shared" si="405"/>
        <v>305</v>
      </c>
      <c r="AC1506" s="89">
        <f t="shared" si="406"/>
        <v>319</v>
      </c>
      <c r="AD1506" s="89">
        <f t="shared" si="407"/>
        <v>341</v>
      </c>
      <c r="AE1506" s="90">
        <f t="shared" si="408"/>
        <v>238</v>
      </c>
      <c r="AF1506" s="90">
        <f t="shared" si="409"/>
        <v>2013</v>
      </c>
      <c r="AG1506" s="90">
        <f t="shared" si="410"/>
        <v>340</v>
      </c>
      <c r="AH1506" s="90" t="str">
        <f t="shared" si="411"/>
        <v>2018 (triag)</v>
      </c>
      <c r="AI1506" s="90">
        <f t="shared" si="412"/>
        <v>341</v>
      </c>
      <c r="AJ1506" s="90">
        <f t="shared" si="413"/>
        <v>2022</v>
      </c>
      <c r="AK1506" s="90" t="str">
        <f t="shared" si="414"/>
        <v/>
      </c>
      <c r="AL1506" s="91">
        <f>IF(AK1506="Adjust",(_xlfn.XLOOKUP(A1506,'Adj factor'!A:A,'Adj factor'!I:I,,0)*AI1506),'Master DataSheet'!AI1506)</f>
        <v>341</v>
      </c>
      <c r="AM1506" s="91">
        <f t="shared" si="415"/>
        <v>341</v>
      </c>
      <c r="AN1506" s="92" t="str">
        <f t="shared" si="416"/>
        <v>Increasing</v>
      </c>
      <c r="AS1506" s="94">
        <f t="shared" si="417"/>
        <v>9.4250964419033315E-2</v>
      </c>
      <c r="AT1506" s="94">
        <f t="shared" si="418"/>
        <v>0.11555240754545669</v>
      </c>
      <c r="AU1506" s="94">
        <f t="shared" si="419"/>
        <v>0.10342886869882553</v>
      </c>
    </row>
    <row r="1507" spans="1:47" x14ac:dyDescent="0.3">
      <c r="A1507" s="85" t="str">
        <f>_xlfn.XLOOKUP(B1507,'Country codes &amp; Data sources'!G:G,'Country codes &amp; Data sources'!H:H,,0)</f>
        <v>Mozambique</v>
      </c>
      <c r="B1507" s="85" t="s">
        <v>181</v>
      </c>
      <c r="C1507" s="85">
        <v>24487624</v>
      </c>
      <c r="D1507" s="85" t="s">
        <v>339</v>
      </c>
      <c r="E1507" s="86">
        <v>0</v>
      </c>
      <c r="F1507" s="86">
        <v>25251730.999999993</v>
      </c>
      <c r="G1507" s="86">
        <v>0</v>
      </c>
      <c r="H1507" s="86"/>
      <c r="I1507" s="86">
        <v>0</v>
      </c>
      <c r="J1507" s="86"/>
      <c r="K1507" s="86">
        <v>0</v>
      </c>
      <c r="L1507" s="86"/>
      <c r="M1507" s="86">
        <v>0</v>
      </c>
      <c r="N1507" s="86"/>
      <c r="O1507" s="86">
        <v>219</v>
      </c>
      <c r="P1507" s="86">
        <v>29423878.499999993</v>
      </c>
      <c r="Q1507" s="86">
        <v>608</v>
      </c>
      <c r="R1507" s="87">
        <f t="shared" si="404"/>
        <v>608</v>
      </c>
      <c r="T1507" s="87">
        <v>393</v>
      </c>
      <c r="U1507" s="89"/>
      <c r="V1507" s="89">
        <v>530</v>
      </c>
      <c r="W1507" s="90"/>
      <c r="X1507" s="90">
        <v>610</v>
      </c>
      <c r="Y1507" s="90">
        <v>32969518.500000007</v>
      </c>
      <c r="Z1507" s="90">
        <v>655</v>
      </c>
      <c r="AA1507" s="90">
        <v>0</v>
      </c>
      <c r="AB1507" s="89">
        <f t="shared" si="405"/>
        <v>0</v>
      </c>
      <c r="AC1507" s="89">
        <f t="shared" si="406"/>
        <v>608</v>
      </c>
      <c r="AD1507" s="89">
        <f t="shared" si="407"/>
        <v>655</v>
      </c>
      <c r="AE1507" s="90">
        <f t="shared" si="408"/>
        <v>0</v>
      </c>
      <c r="AF1507" s="90" t="str">
        <f t="shared" si="409"/>
        <v/>
      </c>
      <c r="AG1507" s="90">
        <f t="shared" si="410"/>
        <v>608</v>
      </c>
      <c r="AH1507" s="90">
        <f t="shared" si="411"/>
        <v>2018</v>
      </c>
      <c r="AI1507" s="90">
        <f t="shared" si="412"/>
        <v>655</v>
      </c>
      <c r="AJ1507" s="90">
        <f t="shared" si="413"/>
        <v>2022</v>
      </c>
      <c r="AK1507" s="90" t="str">
        <f t="shared" si="414"/>
        <v/>
      </c>
      <c r="AL1507" s="91">
        <f>IF(AK1507="Adjust",(_xlfn.XLOOKUP(A1507,'Adj factor'!A:A,'Adj factor'!I:I,,0)*AI1507),'Master DataSheet'!AI1507)</f>
        <v>655</v>
      </c>
      <c r="AM1507" s="91">
        <f t="shared" si="415"/>
        <v>655</v>
      </c>
      <c r="AN1507" s="92" t="str">
        <f t="shared" si="416"/>
        <v>Increasing</v>
      </c>
      <c r="AS1507" s="94">
        <f t="shared" si="417"/>
        <v>0</v>
      </c>
      <c r="AT1507" s="94">
        <f t="shared" si="418"/>
        <v>0.20663489349305197</v>
      </c>
      <c r="AU1507" s="94">
        <f t="shared" si="419"/>
        <v>0.19866835483205492</v>
      </c>
    </row>
    <row r="1508" spans="1:47" x14ac:dyDescent="0.3">
      <c r="A1508" s="85" t="str">
        <f>_xlfn.XLOOKUP(B1508,'Country codes &amp; Data sources'!G:G,'Country codes &amp; Data sources'!H:H,,0)</f>
        <v>Mauritania</v>
      </c>
      <c r="B1508" s="85" t="s">
        <v>158</v>
      </c>
      <c r="C1508" s="85">
        <v>3636113.5000000009</v>
      </c>
      <c r="D1508" s="85" t="s">
        <v>326</v>
      </c>
      <c r="E1508" s="86">
        <v>0</v>
      </c>
      <c r="F1508" s="86">
        <v>3742958.9999999981</v>
      </c>
      <c r="G1508" s="86">
        <v>0</v>
      </c>
      <c r="H1508" s="86">
        <v>3843173.9999999991</v>
      </c>
      <c r="I1508" s="86">
        <v>622</v>
      </c>
      <c r="J1508" s="86">
        <v>3946219.4999999991</v>
      </c>
      <c r="K1508" s="86">
        <v>692</v>
      </c>
      <c r="L1508" s="86">
        <v>4051890.5000000014</v>
      </c>
      <c r="M1508" s="86">
        <v>0</v>
      </c>
      <c r="N1508" s="86">
        <v>4160014.4999999995</v>
      </c>
      <c r="O1508" s="86">
        <v>791</v>
      </c>
      <c r="P1508" s="86">
        <v>4270711.4999999972</v>
      </c>
      <c r="Q1508" s="86">
        <v>850</v>
      </c>
      <c r="R1508" s="87">
        <f t="shared" si="404"/>
        <v>1626</v>
      </c>
      <c r="S1508" s="87">
        <v>4383848.5000000009</v>
      </c>
      <c r="T1508" s="87">
        <v>897</v>
      </c>
      <c r="U1508" s="89">
        <v>4498603.4999999953</v>
      </c>
      <c r="V1508" s="89">
        <v>934</v>
      </c>
      <c r="W1508" s="90">
        <v>4614974</v>
      </c>
      <c r="X1508" s="90">
        <v>1035</v>
      </c>
      <c r="Y1508" s="90">
        <v>4736138.9999999991</v>
      </c>
      <c r="Z1508" s="90">
        <v>1118</v>
      </c>
      <c r="AA1508" s="90">
        <v>1626</v>
      </c>
      <c r="AB1508" s="89">
        <f t="shared" si="405"/>
        <v>692</v>
      </c>
      <c r="AC1508" s="89">
        <f t="shared" si="406"/>
        <v>897</v>
      </c>
      <c r="AD1508" s="89">
        <f t="shared" si="407"/>
        <v>1118</v>
      </c>
      <c r="AE1508" s="90">
        <f t="shared" si="408"/>
        <v>622</v>
      </c>
      <c r="AF1508" s="90">
        <f t="shared" si="409"/>
        <v>2014</v>
      </c>
      <c r="AG1508" s="90">
        <f t="shared" si="410"/>
        <v>1626</v>
      </c>
      <c r="AH1508" s="90" t="str">
        <f t="shared" si="411"/>
        <v>2018 (triag)</v>
      </c>
      <c r="AI1508" s="90">
        <f t="shared" si="412"/>
        <v>1118</v>
      </c>
      <c r="AJ1508" s="90">
        <f t="shared" si="413"/>
        <v>2022</v>
      </c>
      <c r="AK1508" s="90" t="str">
        <f t="shared" si="414"/>
        <v>Adjust</v>
      </c>
      <c r="AL1508" s="91">
        <f>IF(AK1508="Adjust",(_xlfn.XLOOKUP(A1508,'Adj factor'!A:A,'Adj factor'!I:I,,0)*AI1508),'Master DataSheet'!AI1508)</f>
        <v>1273.0346943092873</v>
      </c>
      <c r="AM1508" s="91">
        <f t="shared" si="415"/>
        <v>1626</v>
      </c>
      <c r="AN1508" s="92" t="str">
        <f t="shared" si="416"/>
        <v>Decreasing</v>
      </c>
      <c r="AS1508" s="94">
        <f t="shared" si="417"/>
        <v>1.6617868376330072</v>
      </c>
      <c r="AT1508" s="94">
        <f t="shared" si="418"/>
        <v>3.8073281231944631</v>
      </c>
      <c r="AU1508" s="94">
        <f t="shared" si="419"/>
        <v>3.4331762644635226</v>
      </c>
    </row>
    <row r="1509" spans="1:47" x14ac:dyDescent="0.3">
      <c r="A1509" s="85" t="str">
        <f>_xlfn.XLOOKUP(B1509,'Country codes &amp; Data sources'!G:G,'Country codes &amp; Data sources'!H:H,,0)</f>
        <v>Mauritania</v>
      </c>
      <c r="B1509" s="85" t="s">
        <v>158</v>
      </c>
      <c r="C1509" s="85">
        <v>3636114.5</v>
      </c>
      <c r="D1509" s="85" t="s">
        <v>327</v>
      </c>
      <c r="E1509" s="86">
        <v>0</v>
      </c>
      <c r="F1509" s="86">
        <v>3742958.9999999981</v>
      </c>
      <c r="G1509" s="86">
        <v>0</v>
      </c>
      <c r="H1509" s="86"/>
      <c r="I1509" s="86">
        <v>0</v>
      </c>
      <c r="J1509" s="86"/>
      <c r="K1509" s="86">
        <v>0</v>
      </c>
      <c r="L1509" s="86"/>
      <c r="M1509" s="86">
        <v>0</v>
      </c>
      <c r="N1509" s="86"/>
      <c r="O1509" s="86">
        <v>0</v>
      </c>
      <c r="P1509" s="86">
        <v>4270711.4999999972</v>
      </c>
      <c r="Q1509" s="86">
        <v>487</v>
      </c>
      <c r="R1509" s="87">
        <f t="shared" si="404"/>
        <v>808</v>
      </c>
      <c r="T1509" s="87">
        <v>533</v>
      </c>
      <c r="U1509" s="89"/>
      <c r="V1509" s="89">
        <v>532</v>
      </c>
      <c r="W1509" s="90"/>
      <c r="X1509" s="90">
        <v>597</v>
      </c>
      <c r="Y1509" s="90">
        <v>4736138.9999999991</v>
      </c>
      <c r="Z1509" s="90">
        <v>616</v>
      </c>
      <c r="AA1509" s="90">
        <v>808</v>
      </c>
      <c r="AB1509" s="89">
        <f t="shared" si="405"/>
        <v>0</v>
      </c>
      <c r="AC1509" s="89">
        <f t="shared" si="406"/>
        <v>533</v>
      </c>
      <c r="AD1509" s="89">
        <f t="shared" si="407"/>
        <v>616</v>
      </c>
      <c r="AE1509" s="90">
        <f t="shared" si="408"/>
        <v>0</v>
      </c>
      <c r="AF1509" s="90" t="str">
        <f t="shared" si="409"/>
        <v/>
      </c>
      <c r="AG1509" s="90">
        <f t="shared" si="410"/>
        <v>808</v>
      </c>
      <c r="AH1509" s="90" t="str">
        <f t="shared" si="411"/>
        <v>2018 (triag)</v>
      </c>
      <c r="AI1509" s="90">
        <f t="shared" si="412"/>
        <v>616</v>
      </c>
      <c r="AJ1509" s="90">
        <f t="shared" si="413"/>
        <v>2022</v>
      </c>
      <c r="AK1509" s="90" t="str">
        <f t="shared" si="414"/>
        <v>Adjust</v>
      </c>
      <c r="AL1509" s="91">
        <f>IF(AK1509="Adjust",(_xlfn.XLOOKUP(A1509,'Adj factor'!A:A,'Adj factor'!I:I,,0)*AI1509),'Master DataSheet'!AI1509)</f>
        <v>701.42162047810461</v>
      </c>
      <c r="AM1509" s="91">
        <f t="shared" si="415"/>
        <v>808</v>
      </c>
      <c r="AN1509" s="92" t="str">
        <f t="shared" si="416"/>
        <v>Decreasing</v>
      </c>
      <c r="AS1509" s="94">
        <f t="shared" si="417"/>
        <v>0</v>
      </c>
      <c r="AT1509" s="94">
        <f t="shared" si="418"/>
        <v>1.891956410541898</v>
      </c>
      <c r="AU1509" s="94">
        <f t="shared" si="419"/>
        <v>1.7060310096473101</v>
      </c>
    </row>
    <row r="1510" spans="1:47" x14ac:dyDescent="0.3">
      <c r="A1510" s="85" t="str">
        <f>_xlfn.XLOOKUP(B1510,'Country codes &amp; Data sources'!G:G,'Country codes &amp; Data sources'!H:H,,0)</f>
        <v>Mauritania</v>
      </c>
      <c r="B1510" s="85" t="s">
        <v>158</v>
      </c>
      <c r="C1510" s="85">
        <v>3636115.5</v>
      </c>
      <c r="D1510" s="85" t="s">
        <v>328</v>
      </c>
      <c r="E1510" s="86">
        <v>0</v>
      </c>
      <c r="F1510" s="86">
        <v>3742958.9999999981</v>
      </c>
      <c r="G1510" s="86">
        <v>0</v>
      </c>
      <c r="H1510" s="86"/>
      <c r="I1510" s="86">
        <v>0</v>
      </c>
      <c r="J1510" s="86"/>
      <c r="K1510" s="86">
        <v>0</v>
      </c>
      <c r="L1510" s="86"/>
      <c r="M1510" s="86">
        <v>0</v>
      </c>
      <c r="N1510" s="86"/>
      <c r="O1510" s="86">
        <v>0</v>
      </c>
      <c r="P1510" s="86">
        <v>4270711.4999999972</v>
      </c>
      <c r="Q1510" s="86">
        <v>363</v>
      </c>
      <c r="R1510" s="87">
        <f t="shared" si="404"/>
        <v>818</v>
      </c>
      <c r="T1510" s="87">
        <v>364</v>
      </c>
      <c r="U1510" s="89"/>
      <c r="V1510" s="89">
        <v>402</v>
      </c>
      <c r="W1510" s="90"/>
      <c r="X1510" s="90">
        <v>438</v>
      </c>
      <c r="Y1510" s="90">
        <v>4736138.9999999991</v>
      </c>
      <c r="Z1510" s="90">
        <v>502</v>
      </c>
      <c r="AA1510" s="90">
        <v>818</v>
      </c>
      <c r="AB1510" s="89">
        <f t="shared" si="405"/>
        <v>0</v>
      </c>
      <c r="AC1510" s="89">
        <f t="shared" si="406"/>
        <v>364</v>
      </c>
      <c r="AD1510" s="89">
        <f t="shared" si="407"/>
        <v>502</v>
      </c>
      <c r="AE1510" s="90">
        <f t="shared" si="408"/>
        <v>0</v>
      </c>
      <c r="AF1510" s="90" t="str">
        <f t="shared" si="409"/>
        <v/>
      </c>
      <c r="AG1510" s="90">
        <f t="shared" si="410"/>
        <v>818</v>
      </c>
      <c r="AH1510" s="90" t="str">
        <f t="shared" si="411"/>
        <v>2018 (triag)</v>
      </c>
      <c r="AI1510" s="90">
        <f t="shared" si="412"/>
        <v>502</v>
      </c>
      <c r="AJ1510" s="90">
        <f t="shared" si="413"/>
        <v>2022</v>
      </c>
      <c r="AK1510" s="90" t="str">
        <f t="shared" si="414"/>
        <v>Adjust</v>
      </c>
      <c r="AL1510" s="91">
        <f>IF(AK1510="Adjust",(_xlfn.XLOOKUP(A1510,'Adj factor'!A:A,'Adj factor'!I:I,,0)*AI1510),'Master DataSheet'!AI1510)</f>
        <v>571.61307383118265</v>
      </c>
      <c r="AM1510" s="91">
        <f t="shared" si="415"/>
        <v>818</v>
      </c>
      <c r="AN1510" s="92" t="str">
        <f t="shared" si="416"/>
        <v>Decreasing</v>
      </c>
      <c r="AS1510" s="94">
        <f t="shared" si="417"/>
        <v>0</v>
      </c>
      <c r="AT1510" s="94">
        <f t="shared" si="418"/>
        <v>1.9153717126525651</v>
      </c>
      <c r="AU1510" s="94">
        <f t="shared" si="419"/>
        <v>1.7271452548162125</v>
      </c>
    </row>
    <row r="1511" spans="1:47" x14ac:dyDescent="0.3">
      <c r="A1511" s="85" t="str">
        <f>_xlfn.XLOOKUP(B1511,'Country codes &amp; Data sources'!G:G,'Country codes &amp; Data sources'!H:H,,0)</f>
        <v>Mauritania</v>
      </c>
      <c r="B1511" s="85" t="s">
        <v>158</v>
      </c>
      <c r="C1511" s="85">
        <v>3636116.5</v>
      </c>
      <c r="D1511" s="85" t="s">
        <v>329</v>
      </c>
      <c r="E1511" s="86">
        <v>0</v>
      </c>
      <c r="F1511" s="86">
        <v>3742958.9999999981</v>
      </c>
      <c r="G1511" s="86">
        <v>0</v>
      </c>
      <c r="H1511" s="86"/>
      <c r="I1511" s="86">
        <v>3846</v>
      </c>
      <c r="J1511" s="86"/>
      <c r="K1511" s="86">
        <v>4137</v>
      </c>
      <c r="L1511" s="86"/>
      <c r="M1511" s="86">
        <v>0</v>
      </c>
      <c r="N1511" s="86"/>
      <c r="O1511" s="86">
        <v>4571</v>
      </c>
      <c r="P1511" s="86">
        <v>4270711.4999999972</v>
      </c>
      <c r="Q1511" s="86">
        <v>4066</v>
      </c>
      <c r="R1511" s="87">
        <f t="shared" si="404"/>
        <v>4066</v>
      </c>
      <c r="T1511" s="87">
        <v>4369</v>
      </c>
      <c r="U1511" s="89"/>
      <c r="V1511" s="89">
        <v>4290</v>
      </c>
      <c r="W1511" s="90"/>
      <c r="X1511" s="90">
        <v>6156</v>
      </c>
      <c r="Y1511" s="90">
        <v>4736138.9999999991</v>
      </c>
      <c r="Z1511" s="90">
        <v>6503</v>
      </c>
      <c r="AA1511" s="90">
        <v>4017</v>
      </c>
      <c r="AB1511" s="89">
        <f t="shared" si="405"/>
        <v>4137</v>
      </c>
      <c r="AC1511" s="89">
        <f t="shared" si="406"/>
        <v>4571</v>
      </c>
      <c r="AD1511" s="89">
        <f t="shared" si="407"/>
        <v>6503</v>
      </c>
      <c r="AE1511" s="90">
        <f t="shared" si="408"/>
        <v>3846</v>
      </c>
      <c r="AF1511" s="90">
        <f t="shared" si="409"/>
        <v>2014</v>
      </c>
      <c r="AG1511" s="90">
        <f t="shared" si="410"/>
        <v>4066</v>
      </c>
      <c r="AH1511" s="90">
        <f t="shared" si="411"/>
        <v>2018</v>
      </c>
      <c r="AI1511" s="90">
        <f t="shared" si="412"/>
        <v>6503</v>
      </c>
      <c r="AJ1511" s="90">
        <f t="shared" si="413"/>
        <v>2022</v>
      </c>
      <c r="AK1511" s="90" t="str">
        <f t="shared" si="414"/>
        <v/>
      </c>
      <c r="AL1511" s="91">
        <f>IF(AK1511="Adjust",(_xlfn.XLOOKUP(A1511,'Adj factor'!A:A,'Adj factor'!I:I,,0)*AI1511),'Master DataSheet'!AI1511)</f>
        <v>6503</v>
      </c>
      <c r="AM1511" s="91">
        <f t="shared" si="415"/>
        <v>6503</v>
      </c>
      <c r="AN1511" s="92" t="str">
        <f t="shared" si="416"/>
        <v>Increasing</v>
      </c>
      <c r="AS1511" s="94">
        <f t="shared" si="417"/>
        <v>10.275292889930139</v>
      </c>
      <c r="AT1511" s="94">
        <f t="shared" si="418"/>
        <v>9.5206618381972241</v>
      </c>
      <c r="AU1511" s="94">
        <f t="shared" si="419"/>
        <v>13.7305936333372</v>
      </c>
    </row>
    <row r="1512" spans="1:47" x14ac:dyDescent="0.3">
      <c r="A1512" s="85" t="str">
        <f>_xlfn.XLOOKUP(B1512,'Country codes &amp; Data sources'!G:G,'Country codes &amp; Data sources'!H:H,,0)</f>
        <v>Mauritania</v>
      </c>
      <c r="B1512" s="85" t="s">
        <v>158</v>
      </c>
      <c r="C1512" s="85">
        <v>3636117.5</v>
      </c>
      <c r="D1512" s="85" t="s">
        <v>330</v>
      </c>
      <c r="E1512" s="86">
        <v>0</v>
      </c>
      <c r="F1512" s="86">
        <v>3742958.9999999981</v>
      </c>
      <c r="G1512" s="86">
        <v>0</v>
      </c>
      <c r="H1512" s="86"/>
      <c r="I1512" s="86">
        <v>0</v>
      </c>
      <c r="J1512" s="86"/>
      <c r="K1512" s="86">
        <v>0</v>
      </c>
      <c r="L1512" s="86"/>
      <c r="M1512" s="86">
        <v>0</v>
      </c>
      <c r="N1512" s="86"/>
      <c r="O1512" s="86">
        <v>0</v>
      </c>
      <c r="P1512" s="86">
        <v>4270711.4999999972</v>
      </c>
      <c r="Q1512" s="86">
        <v>461</v>
      </c>
      <c r="R1512" s="87">
        <f t="shared" si="404"/>
        <v>4011</v>
      </c>
      <c r="T1512" s="87">
        <v>550</v>
      </c>
      <c r="U1512" s="89"/>
      <c r="V1512" s="89">
        <v>526</v>
      </c>
      <c r="W1512" s="90"/>
      <c r="X1512" s="90">
        <v>646</v>
      </c>
      <c r="Y1512" s="90">
        <v>4736138.9999999991</v>
      </c>
      <c r="Z1512" s="90">
        <v>663</v>
      </c>
      <c r="AA1512" s="90">
        <v>4011</v>
      </c>
      <c r="AB1512" s="89">
        <f t="shared" si="405"/>
        <v>0</v>
      </c>
      <c r="AC1512" s="89">
        <f t="shared" si="406"/>
        <v>550</v>
      </c>
      <c r="AD1512" s="89">
        <f t="shared" si="407"/>
        <v>663</v>
      </c>
      <c r="AE1512" s="90">
        <f t="shared" si="408"/>
        <v>0</v>
      </c>
      <c r="AF1512" s="90" t="str">
        <f t="shared" si="409"/>
        <v/>
      </c>
      <c r="AG1512" s="90">
        <f t="shared" si="410"/>
        <v>4011</v>
      </c>
      <c r="AH1512" s="90" t="str">
        <f t="shared" si="411"/>
        <v>2018 (triag)</v>
      </c>
      <c r="AI1512" s="90">
        <f t="shared" si="412"/>
        <v>663</v>
      </c>
      <c r="AJ1512" s="90">
        <f t="shared" si="413"/>
        <v>2022</v>
      </c>
      <c r="AK1512" s="90" t="str">
        <f t="shared" si="414"/>
        <v>Adjust</v>
      </c>
      <c r="AL1512" s="91">
        <f>IF(AK1512="Adjust",(_xlfn.XLOOKUP(A1512,'Adj factor'!A:A,'Adj factor'!I:I,,0)*AI1512),'Master DataSheet'!AI1512)</f>
        <v>754.93917918341447</v>
      </c>
      <c r="AM1512" s="91">
        <f t="shared" si="415"/>
        <v>4011</v>
      </c>
      <c r="AN1512" s="92" t="str">
        <f t="shared" si="416"/>
        <v>Decreasing</v>
      </c>
      <c r="AS1512" s="94">
        <f t="shared" si="417"/>
        <v>0</v>
      </c>
      <c r="AT1512" s="94">
        <f t="shared" si="418"/>
        <v>9.391877676588555</v>
      </c>
      <c r="AU1512" s="94">
        <f t="shared" si="419"/>
        <v>8.4689237372467332</v>
      </c>
    </row>
    <row r="1513" spans="1:47" x14ac:dyDescent="0.3">
      <c r="A1513" s="85" t="str">
        <f>_xlfn.XLOOKUP(B1513,'Country codes &amp; Data sources'!G:G,'Country codes &amp; Data sources'!H:H,,0)</f>
        <v>Mauritania</v>
      </c>
      <c r="B1513" s="85" t="s">
        <v>158</v>
      </c>
      <c r="C1513" s="85">
        <v>3636118.5</v>
      </c>
      <c r="D1513" s="85" t="s">
        <v>331</v>
      </c>
      <c r="E1513" s="86">
        <v>0</v>
      </c>
      <c r="F1513" s="86">
        <v>3742958.9999999981</v>
      </c>
      <c r="G1513" s="86">
        <v>0</v>
      </c>
      <c r="H1513" s="86"/>
      <c r="I1513" s="86">
        <v>0</v>
      </c>
      <c r="J1513" s="86"/>
      <c r="K1513" s="86">
        <v>0</v>
      </c>
      <c r="L1513" s="86"/>
      <c r="M1513" s="86">
        <v>0</v>
      </c>
      <c r="N1513" s="86"/>
      <c r="O1513" s="86">
        <v>0</v>
      </c>
      <c r="P1513" s="86">
        <v>4270711.4999999972</v>
      </c>
      <c r="Q1513" s="86">
        <v>0</v>
      </c>
      <c r="R1513" s="87">
        <f t="shared" si="404"/>
        <v>6</v>
      </c>
      <c r="T1513" s="87">
        <v>0</v>
      </c>
      <c r="U1513" s="89"/>
      <c r="V1513" s="89">
        <v>0</v>
      </c>
      <c r="W1513" s="90"/>
      <c r="X1513" s="90">
        <v>0</v>
      </c>
      <c r="Y1513" s="90">
        <v>4736138.9999999991</v>
      </c>
      <c r="Z1513" s="90">
        <v>0</v>
      </c>
      <c r="AA1513" s="90">
        <v>6</v>
      </c>
      <c r="AB1513" s="89">
        <f t="shared" si="405"/>
        <v>0</v>
      </c>
      <c r="AC1513" s="89">
        <f t="shared" si="406"/>
        <v>0</v>
      </c>
      <c r="AD1513" s="89">
        <f t="shared" si="407"/>
        <v>0</v>
      </c>
      <c r="AE1513" s="90">
        <f t="shared" si="408"/>
        <v>0</v>
      </c>
      <c r="AF1513" s="90" t="str">
        <f t="shared" si="409"/>
        <v/>
      </c>
      <c r="AG1513" s="90">
        <f t="shared" si="410"/>
        <v>6</v>
      </c>
      <c r="AH1513" s="90" t="str">
        <f t="shared" si="411"/>
        <v>2018 (triag)</v>
      </c>
      <c r="AI1513" s="90">
        <f t="shared" si="412"/>
        <v>6</v>
      </c>
      <c r="AJ1513" s="90" t="str">
        <f t="shared" si="413"/>
        <v>2018 (triag)</v>
      </c>
      <c r="AK1513" s="90" t="str">
        <f t="shared" si="414"/>
        <v/>
      </c>
      <c r="AL1513" s="91">
        <f>IF(AK1513="Adjust",(_xlfn.XLOOKUP(A1513,'Adj factor'!A:A,'Adj factor'!I:I,,0)*AI1513),'Master DataSheet'!AI1513)</f>
        <v>6</v>
      </c>
      <c r="AM1513" s="91">
        <f t="shared" si="415"/>
        <v>6</v>
      </c>
      <c r="AN1513" s="92" t="str">
        <f t="shared" si="416"/>
        <v>No change</v>
      </c>
      <c r="AS1513" s="94">
        <f t="shared" si="417"/>
        <v>0</v>
      </c>
      <c r="AT1513" s="94">
        <f t="shared" si="418"/>
        <v>1.4049181266400233E-2</v>
      </c>
      <c r="AU1513" s="94">
        <f t="shared" si="419"/>
        <v>1.2668547101341411E-2</v>
      </c>
    </row>
    <row r="1514" spans="1:47" x14ac:dyDescent="0.3">
      <c r="A1514" s="85" t="str">
        <f>_xlfn.XLOOKUP(B1514,'Country codes &amp; Data sources'!G:G,'Country codes &amp; Data sources'!H:H,,0)</f>
        <v>Mauritania</v>
      </c>
      <c r="B1514" s="85" t="s">
        <v>158</v>
      </c>
      <c r="C1514" s="85">
        <v>3636119.5</v>
      </c>
      <c r="D1514" s="85" t="s">
        <v>332</v>
      </c>
      <c r="E1514" s="86">
        <v>0</v>
      </c>
      <c r="F1514" s="86">
        <v>3742958.9999999981</v>
      </c>
      <c r="G1514" s="86">
        <v>368</v>
      </c>
      <c r="H1514" s="86"/>
      <c r="I1514" s="86">
        <v>0</v>
      </c>
      <c r="J1514" s="86"/>
      <c r="K1514" s="86">
        <v>0</v>
      </c>
      <c r="L1514" s="86"/>
      <c r="M1514" s="86">
        <v>0</v>
      </c>
      <c r="N1514" s="86"/>
      <c r="O1514" s="86">
        <v>0</v>
      </c>
      <c r="P1514" s="86">
        <v>4270711.4999999972</v>
      </c>
      <c r="Q1514" s="86">
        <v>671</v>
      </c>
      <c r="R1514" s="87">
        <f t="shared" ref="R1514:R1577" si="420">MAX(Q1514,AA1514)</f>
        <v>855</v>
      </c>
      <c r="T1514" s="87">
        <v>932</v>
      </c>
      <c r="U1514" s="89"/>
      <c r="V1514" s="89">
        <v>1027</v>
      </c>
      <c r="W1514" s="90"/>
      <c r="X1514" s="90">
        <v>1252</v>
      </c>
      <c r="Y1514" s="90">
        <v>4736138.9999999991</v>
      </c>
      <c r="Z1514" s="90">
        <v>1340</v>
      </c>
      <c r="AA1514" s="90">
        <v>855</v>
      </c>
      <c r="AB1514" s="89">
        <f t="shared" ref="AB1514:AB1577" si="421">MAX(G1514,E1514,I1514,K1514)</f>
        <v>368</v>
      </c>
      <c r="AC1514" s="89">
        <f t="shared" ref="AC1514:AC1577" si="422">MAX(M1514,O1514,Q1514,T1514)</f>
        <v>932</v>
      </c>
      <c r="AD1514" s="89">
        <f t="shared" ref="AD1514:AD1577" si="423">MAX(V1514,X1514,Z1514)</f>
        <v>1340</v>
      </c>
      <c r="AE1514" s="90">
        <f t="shared" ref="AE1514:AE1577" si="424">IF(G1514&gt;0,G1514,IF(E1514&gt;0,E1514,IF(I1514&gt;0,I1514,K1514)))</f>
        <v>368</v>
      </c>
      <c r="AF1514" s="90">
        <f t="shared" ref="AF1514:AF1577" si="425">IF(AE1514&gt;0,_xlfn.XLOOKUP(AE1514,$B1514:$K1514,$B$1:$K$1,,0),"")</f>
        <v>2013</v>
      </c>
      <c r="AG1514" s="90">
        <f t="shared" ref="AG1514:AG1577" si="426">IF(R1514&gt;0,R1514,IF(O1514&gt;0,O1514,T1514))</f>
        <v>855</v>
      </c>
      <c r="AH1514" s="90" t="str">
        <f t="shared" ref="AH1514:AH1577" si="427">IF(AG1514&gt;0,_xlfn.XLOOKUP(AG1514,$L1514:$T1514,$L$1:$T$1,,0),"")</f>
        <v>2018 (triag)</v>
      </c>
      <c r="AI1514" s="90">
        <f t="shared" ref="AI1514:AI1577" si="428">IF((IF(Z1514&gt;0,Z1514,IF(X1514&gt;0,X1514,IF(V1514&gt;0,V1514,T1514))))=0,AG1514,IF(Z1514&gt;0,Z1514,IF(X1514&gt;0,X1514,IF(V1514&gt;0,V1514,T1514))))</f>
        <v>1340</v>
      </c>
      <c r="AJ1514" s="90">
        <f t="shared" ref="AJ1514:AJ1577" si="429">IFERROR(IF(AI1514&gt;0,_xlfn.XLOOKUP(AI1514,$V1514:$Z1514,$V$1:$Z$1,,0),""),AH1514)</f>
        <v>2022</v>
      </c>
      <c r="AK1514" s="90" t="str">
        <f t="shared" ref="AK1514:AK1577" si="430">IF(AI1514&lt;AG1514,"Adjust","")</f>
        <v/>
      </c>
      <c r="AL1514" s="91">
        <f>IF(AK1514="Adjust",(_xlfn.XLOOKUP(A1514,'Adj factor'!A:A,'Adj factor'!I:I,,0)*AI1514),'Master DataSheet'!AI1514)</f>
        <v>1340</v>
      </c>
      <c r="AM1514" s="91">
        <f t="shared" ref="AM1514:AM1577" si="431">IF(AL1514&lt;AG1514,AG1514,AL1514)</f>
        <v>1340</v>
      </c>
      <c r="AN1514" s="92" t="str">
        <f t="shared" ref="AN1514:AN1577" si="432">IF(AL1514&gt;AG1514,"Increasing",IF(AL1514&lt;AG1514,"Decreasing","No change"))</f>
        <v>Increasing</v>
      </c>
      <c r="AS1514" s="94">
        <f t="shared" ref="AS1514:AS1577" si="433">(AE1514*10000)/F1514</f>
        <v>0.98317935088255093</v>
      </c>
      <c r="AT1514" s="94">
        <f t="shared" ref="AT1514:AT1577" si="434">(AG1514*10000)/P1514</f>
        <v>2.0020083304620333</v>
      </c>
      <c r="AU1514" s="94">
        <f t="shared" ref="AU1514:AU1577" si="435">(AM1514*10000)/Y1514</f>
        <v>2.8293088526329151</v>
      </c>
    </row>
    <row r="1515" spans="1:47" x14ac:dyDescent="0.3">
      <c r="A1515" s="85" t="str">
        <f>_xlfn.XLOOKUP(B1515,'Country codes &amp; Data sources'!G:G,'Country codes &amp; Data sources'!H:H,,0)</f>
        <v>Mauritania</v>
      </c>
      <c r="B1515" s="85" t="s">
        <v>158</v>
      </c>
      <c r="C1515" s="85">
        <v>3636120.5</v>
      </c>
      <c r="D1515" s="85" t="s">
        <v>333</v>
      </c>
      <c r="E1515" s="86">
        <v>0</v>
      </c>
      <c r="F1515" s="86">
        <v>3742958.9999999981</v>
      </c>
      <c r="G1515" s="86">
        <v>368</v>
      </c>
      <c r="H1515" s="86"/>
      <c r="I1515" s="86">
        <v>0</v>
      </c>
      <c r="J1515" s="86"/>
      <c r="K1515" s="86">
        <v>0</v>
      </c>
      <c r="L1515" s="86"/>
      <c r="M1515" s="86">
        <v>0</v>
      </c>
      <c r="N1515" s="86"/>
      <c r="O1515" s="86">
        <v>0</v>
      </c>
      <c r="P1515" s="86">
        <v>4270711.4999999972</v>
      </c>
      <c r="Q1515" s="86">
        <v>671</v>
      </c>
      <c r="R1515" s="87">
        <f t="shared" si="420"/>
        <v>854</v>
      </c>
      <c r="T1515" s="87">
        <v>932</v>
      </c>
      <c r="U1515" s="89"/>
      <c r="V1515" s="89">
        <v>1027</v>
      </c>
      <c r="W1515" s="90"/>
      <c r="X1515" s="90">
        <v>1252</v>
      </c>
      <c r="Y1515" s="90">
        <v>4736138.9999999991</v>
      </c>
      <c r="Z1515" s="90">
        <v>1340</v>
      </c>
      <c r="AA1515" s="90">
        <v>854</v>
      </c>
      <c r="AB1515" s="89">
        <f t="shared" si="421"/>
        <v>368</v>
      </c>
      <c r="AC1515" s="89">
        <f t="shared" si="422"/>
        <v>932</v>
      </c>
      <c r="AD1515" s="89">
        <f t="shared" si="423"/>
        <v>1340</v>
      </c>
      <c r="AE1515" s="90">
        <f t="shared" si="424"/>
        <v>368</v>
      </c>
      <c r="AF1515" s="90">
        <f t="shared" si="425"/>
        <v>2013</v>
      </c>
      <c r="AG1515" s="90">
        <f t="shared" si="426"/>
        <v>854</v>
      </c>
      <c r="AH1515" s="90" t="str">
        <f t="shared" si="427"/>
        <v>2018 (triag)</v>
      </c>
      <c r="AI1515" s="90">
        <f t="shared" si="428"/>
        <v>1340</v>
      </c>
      <c r="AJ1515" s="90">
        <f t="shared" si="429"/>
        <v>2022</v>
      </c>
      <c r="AK1515" s="90" t="str">
        <f t="shared" si="430"/>
        <v/>
      </c>
      <c r="AL1515" s="91">
        <f>IF(AK1515="Adjust",(_xlfn.XLOOKUP(A1515,'Adj factor'!A:A,'Adj factor'!I:I,,0)*AI1515),'Master DataSheet'!AI1515)</f>
        <v>1340</v>
      </c>
      <c r="AM1515" s="91">
        <f t="shared" si="431"/>
        <v>1340</v>
      </c>
      <c r="AN1515" s="92" t="str">
        <f t="shared" si="432"/>
        <v>Increasing</v>
      </c>
      <c r="AS1515" s="94">
        <f t="shared" si="433"/>
        <v>0.98317935088255093</v>
      </c>
      <c r="AT1515" s="94">
        <f t="shared" si="434"/>
        <v>1.9996668002509665</v>
      </c>
      <c r="AU1515" s="94">
        <f t="shared" si="435"/>
        <v>2.8293088526329151</v>
      </c>
    </row>
    <row r="1516" spans="1:47" x14ac:dyDescent="0.3">
      <c r="A1516" s="85" t="str">
        <f>_xlfn.XLOOKUP(B1516,'Country codes &amp; Data sources'!G:G,'Country codes &amp; Data sources'!H:H,,0)</f>
        <v>Mauritania</v>
      </c>
      <c r="B1516" s="85" t="s">
        <v>158</v>
      </c>
      <c r="C1516" s="85">
        <v>3636121.5</v>
      </c>
      <c r="D1516" s="85" t="s">
        <v>334</v>
      </c>
      <c r="E1516" s="86">
        <v>0</v>
      </c>
      <c r="F1516" s="86">
        <v>3742958.9999999981</v>
      </c>
      <c r="G1516" s="86">
        <v>0</v>
      </c>
      <c r="H1516" s="86"/>
      <c r="I1516" s="86">
        <v>0</v>
      </c>
      <c r="J1516" s="86"/>
      <c r="K1516" s="86">
        <v>0</v>
      </c>
      <c r="L1516" s="86"/>
      <c r="M1516" s="86">
        <v>0</v>
      </c>
      <c r="N1516" s="86"/>
      <c r="O1516" s="86">
        <v>0</v>
      </c>
      <c r="P1516" s="86">
        <v>4270711.4999999972</v>
      </c>
      <c r="Q1516" s="86">
        <v>0</v>
      </c>
      <c r="R1516" s="87">
        <f t="shared" si="420"/>
        <v>1</v>
      </c>
      <c r="T1516" s="87">
        <v>0</v>
      </c>
      <c r="U1516" s="89"/>
      <c r="V1516" s="89">
        <v>0</v>
      </c>
      <c r="W1516" s="90"/>
      <c r="X1516" s="90">
        <v>0</v>
      </c>
      <c r="Y1516" s="90">
        <v>4736138.9999999991</v>
      </c>
      <c r="Z1516" s="90">
        <v>0</v>
      </c>
      <c r="AA1516" s="90">
        <v>1</v>
      </c>
      <c r="AB1516" s="89">
        <f t="shared" si="421"/>
        <v>0</v>
      </c>
      <c r="AC1516" s="89">
        <f t="shared" si="422"/>
        <v>0</v>
      </c>
      <c r="AD1516" s="89">
        <f t="shared" si="423"/>
        <v>0</v>
      </c>
      <c r="AE1516" s="90">
        <f t="shared" si="424"/>
        <v>0</v>
      </c>
      <c r="AF1516" s="90" t="str">
        <f t="shared" si="425"/>
        <v/>
      </c>
      <c r="AG1516" s="90">
        <f t="shared" si="426"/>
        <v>1</v>
      </c>
      <c r="AH1516" s="90" t="str">
        <f t="shared" si="427"/>
        <v>2018 (triag)</v>
      </c>
      <c r="AI1516" s="90">
        <f t="shared" si="428"/>
        <v>1</v>
      </c>
      <c r="AJ1516" s="90" t="str">
        <f t="shared" si="429"/>
        <v>2018 (triag)</v>
      </c>
      <c r="AK1516" s="90" t="str">
        <f t="shared" si="430"/>
        <v/>
      </c>
      <c r="AL1516" s="91">
        <f>IF(AK1516="Adjust",(_xlfn.XLOOKUP(A1516,'Adj factor'!A:A,'Adj factor'!I:I,,0)*AI1516),'Master DataSheet'!AI1516)</f>
        <v>1</v>
      </c>
      <c r="AM1516" s="91">
        <f t="shared" si="431"/>
        <v>1</v>
      </c>
      <c r="AN1516" s="92" t="str">
        <f t="shared" si="432"/>
        <v>No change</v>
      </c>
      <c r="AS1516" s="94">
        <f t="shared" si="433"/>
        <v>0</v>
      </c>
      <c r="AT1516" s="94">
        <f t="shared" si="434"/>
        <v>2.3415302110667054E-3</v>
      </c>
      <c r="AU1516" s="94">
        <f t="shared" si="435"/>
        <v>2.1114245168902352E-3</v>
      </c>
    </row>
    <row r="1517" spans="1:47" x14ac:dyDescent="0.3">
      <c r="A1517" s="85" t="str">
        <f>_xlfn.XLOOKUP(B1517,'Country codes &amp; Data sources'!G:G,'Country codes &amp; Data sources'!H:H,,0)</f>
        <v>Mauritania</v>
      </c>
      <c r="B1517" s="85" t="s">
        <v>158</v>
      </c>
      <c r="C1517" s="85">
        <v>3636122.5</v>
      </c>
      <c r="D1517" s="85" t="s">
        <v>335</v>
      </c>
      <c r="E1517" s="86">
        <v>0</v>
      </c>
      <c r="F1517" s="86">
        <v>3742958.9999999981</v>
      </c>
      <c r="G1517" s="86">
        <v>0</v>
      </c>
      <c r="H1517" s="86"/>
      <c r="I1517" s="86">
        <v>0</v>
      </c>
      <c r="J1517" s="86"/>
      <c r="K1517" s="86">
        <v>0</v>
      </c>
      <c r="L1517" s="86"/>
      <c r="M1517" s="86">
        <v>0</v>
      </c>
      <c r="N1517" s="86"/>
      <c r="O1517" s="86">
        <v>0</v>
      </c>
      <c r="P1517" s="86">
        <v>4270711.4999999972</v>
      </c>
      <c r="Q1517" s="86">
        <v>78</v>
      </c>
      <c r="R1517" s="87">
        <f t="shared" si="420"/>
        <v>87</v>
      </c>
      <c r="T1517" s="87">
        <v>74</v>
      </c>
      <c r="U1517" s="89"/>
      <c r="V1517" s="89">
        <v>76</v>
      </c>
      <c r="W1517" s="90"/>
      <c r="X1517" s="90">
        <v>75</v>
      </c>
      <c r="Y1517" s="90">
        <v>4736138.9999999991</v>
      </c>
      <c r="Z1517" s="90">
        <v>85</v>
      </c>
      <c r="AA1517" s="90">
        <v>87</v>
      </c>
      <c r="AB1517" s="89">
        <f t="shared" si="421"/>
        <v>0</v>
      </c>
      <c r="AC1517" s="89">
        <f t="shared" si="422"/>
        <v>78</v>
      </c>
      <c r="AD1517" s="89">
        <f t="shared" si="423"/>
        <v>85</v>
      </c>
      <c r="AE1517" s="90">
        <f t="shared" si="424"/>
        <v>0</v>
      </c>
      <c r="AF1517" s="90" t="str">
        <f t="shared" si="425"/>
        <v/>
      </c>
      <c r="AG1517" s="90">
        <f t="shared" si="426"/>
        <v>87</v>
      </c>
      <c r="AH1517" s="90" t="str">
        <f t="shared" si="427"/>
        <v>2018 (triag)</v>
      </c>
      <c r="AI1517" s="90">
        <f t="shared" si="428"/>
        <v>85</v>
      </c>
      <c r="AJ1517" s="90">
        <f t="shared" si="429"/>
        <v>2022</v>
      </c>
      <c r="AK1517" s="90" t="str">
        <f t="shared" si="430"/>
        <v>Adjust</v>
      </c>
      <c r="AL1517" s="91">
        <f>IF(AK1517="Adjust",(_xlfn.XLOOKUP(A1517,'Adj factor'!A:A,'Adj factor'!I:I,,0)*AI1517),'Master DataSheet'!AI1517)</f>
        <v>96.787074254283908</v>
      </c>
      <c r="AM1517" s="91">
        <f t="shared" si="431"/>
        <v>96.787074254283908</v>
      </c>
      <c r="AN1517" s="92" t="str">
        <f t="shared" si="432"/>
        <v>Increasing</v>
      </c>
      <c r="AS1517" s="94">
        <f t="shared" si="433"/>
        <v>0</v>
      </c>
      <c r="AT1517" s="94">
        <f t="shared" si="434"/>
        <v>0.20371312836280339</v>
      </c>
      <c r="AU1517" s="94">
        <f t="shared" si="435"/>
        <v>0.20435860149857071</v>
      </c>
    </row>
    <row r="1518" spans="1:47" x14ac:dyDescent="0.3">
      <c r="A1518" s="85" t="str">
        <f>_xlfn.XLOOKUP(B1518,'Country codes &amp; Data sources'!G:G,'Country codes &amp; Data sources'!H:H,,0)</f>
        <v>Mauritania</v>
      </c>
      <c r="B1518" s="85" t="s">
        <v>158</v>
      </c>
      <c r="C1518" s="85">
        <v>3636123.5</v>
      </c>
      <c r="D1518" s="85" t="s">
        <v>336</v>
      </c>
      <c r="E1518" s="86">
        <v>0</v>
      </c>
      <c r="F1518" s="86">
        <v>3742958.9999999981</v>
      </c>
      <c r="G1518" s="86">
        <v>0</v>
      </c>
      <c r="H1518" s="86"/>
      <c r="I1518" s="86">
        <v>0</v>
      </c>
      <c r="J1518" s="86"/>
      <c r="K1518" s="86">
        <v>0</v>
      </c>
      <c r="L1518" s="86"/>
      <c r="M1518" s="86">
        <v>0</v>
      </c>
      <c r="N1518" s="86"/>
      <c r="O1518" s="86">
        <v>0</v>
      </c>
      <c r="P1518" s="86">
        <v>4270711.4999999972</v>
      </c>
      <c r="Q1518" s="86">
        <v>0</v>
      </c>
      <c r="R1518" s="87">
        <f t="shared" si="420"/>
        <v>13</v>
      </c>
      <c r="T1518" s="87">
        <v>0</v>
      </c>
      <c r="U1518" s="89"/>
      <c r="V1518" s="89">
        <v>0</v>
      </c>
      <c r="W1518" s="90"/>
      <c r="X1518" s="90">
        <v>0</v>
      </c>
      <c r="Y1518" s="90">
        <v>4736138.9999999991</v>
      </c>
      <c r="Z1518" s="90">
        <v>0</v>
      </c>
      <c r="AA1518" s="90">
        <v>13</v>
      </c>
      <c r="AB1518" s="89">
        <f t="shared" si="421"/>
        <v>0</v>
      </c>
      <c r="AC1518" s="89">
        <f t="shared" si="422"/>
        <v>0</v>
      </c>
      <c r="AD1518" s="89">
        <f t="shared" si="423"/>
        <v>0</v>
      </c>
      <c r="AE1518" s="90">
        <f t="shared" si="424"/>
        <v>0</v>
      </c>
      <c r="AF1518" s="90" t="str">
        <f t="shared" si="425"/>
        <v/>
      </c>
      <c r="AG1518" s="90">
        <f t="shared" si="426"/>
        <v>13</v>
      </c>
      <c r="AH1518" s="90" t="str">
        <f t="shared" si="427"/>
        <v>2018 (triag)</v>
      </c>
      <c r="AI1518" s="90">
        <f t="shared" si="428"/>
        <v>13</v>
      </c>
      <c r="AJ1518" s="90" t="str">
        <f t="shared" si="429"/>
        <v>2018 (triag)</v>
      </c>
      <c r="AK1518" s="90" t="str">
        <f t="shared" si="430"/>
        <v/>
      </c>
      <c r="AL1518" s="91">
        <f>IF(AK1518="Adjust",(_xlfn.XLOOKUP(A1518,'Adj factor'!A:A,'Adj factor'!I:I,,0)*AI1518),'Master DataSheet'!AI1518)</f>
        <v>13</v>
      </c>
      <c r="AM1518" s="91">
        <f t="shared" si="431"/>
        <v>13</v>
      </c>
      <c r="AN1518" s="92" t="str">
        <f t="shared" si="432"/>
        <v>No change</v>
      </c>
      <c r="AS1518" s="94">
        <f t="shared" si="433"/>
        <v>0</v>
      </c>
      <c r="AT1518" s="94">
        <f t="shared" si="434"/>
        <v>3.0439892743867172E-2</v>
      </c>
      <c r="AU1518" s="94">
        <f t="shared" si="435"/>
        <v>2.7448518719573059E-2</v>
      </c>
    </row>
    <row r="1519" spans="1:47" x14ac:dyDescent="0.3">
      <c r="A1519" s="85" t="str">
        <f>_xlfn.XLOOKUP(B1519,'Country codes &amp; Data sources'!G:G,'Country codes &amp; Data sources'!H:H,,0)</f>
        <v>Mauritania</v>
      </c>
      <c r="B1519" s="85" t="s">
        <v>158</v>
      </c>
      <c r="C1519" s="85">
        <v>3636124.5</v>
      </c>
      <c r="D1519" s="85" t="s">
        <v>337</v>
      </c>
      <c r="E1519" s="86">
        <v>0</v>
      </c>
      <c r="F1519" s="86">
        <v>3742958.9999999981</v>
      </c>
      <c r="G1519" s="86">
        <v>0</v>
      </c>
      <c r="H1519" s="86"/>
      <c r="I1519" s="86">
        <v>0</v>
      </c>
      <c r="J1519" s="86"/>
      <c r="K1519" s="86">
        <v>0</v>
      </c>
      <c r="L1519" s="86"/>
      <c r="M1519" s="86">
        <v>0</v>
      </c>
      <c r="N1519" s="86"/>
      <c r="O1519" s="86">
        <v>0</v>
      </c>
      <c r="P1519" s="86">
        <v>4270711.4999999972</v>
      </c>
      <c r="Q1519" s="86">
        <v>112</v>
      </c>
      <c r="R1519" s="87">
        <f t="shared" si="420"/>
        <v>151</v>
      </c>
      <c r="T1519" s="87">
        <v>118</v>
      </c>
      <c r="U1519" s="89"/>
      <c r="V1519" s="89">
        <v>117</v>
      </c>
      <c r="W1519" s="90"/>
      <c r="X1519" s="90">
        <v>121</v>
      </c>
      <c r="Y1519" s="90">
        <v>4736138.9999999991</v>
      </c>
      <c r="Z1519" s="90">
        <v>131</v>
      </c>
      <c r="AA1519" s="90">
        <v>151</v>
      </c>
      <c r="AB1519" s="89">
        <f t="shared" si="421"/>
        <v>0</v>
      </c>
      <c r="AC1519" s="89">
        <f t="shared" si="422"/>
        <v>118</v>
      </c>
      <c r="AD1519" s="89">
        <f t="shared" si="423"/>
        <v>131</v>
      </c>
      <c r="AE1519" s="90">
        <f t="shared" si="424"/>
        <v>0</v>
      </c>
      <c r="AF1519" s="90" t="str">
        <f t="shared" si="425"/>
        <v/>
      </c>
      <c r="AG1519" s="90">
        <f t="shared" si="426"/>
        <v>151</v>
      </c>
      <c r="AH1519" s="90" t="str">
        <f t="shared" si="427"/>
        <v>2018 (triag)</v>
      </c>
      <c r="AI1519" s="90">
        <f t="shared" si="428"/>
        <v>131</v>
      </c>
      <c r="AJ1519" s="90">
        <f t="shared" si="429"/>
        <v>2022</v>
      </c>
      <c r="AK1519" s="90" t="str">
        <f t="shared" si="430"/>
        <v>Adjust</v>
      </c>
      <c r="AL1519" s="91">
        <f>IF(AK1519="Adjust",(_xlfn.XLOOKUP(A1519,'Adj factor'!A:A,'Adj factor'!I:I,,0)*AI1519),'Master DataSheet'!AI1519)</f>
        <v>149.16596149777874</v>
      </c>
      <c r="AM1519" s="91">
        <f t="shared" si="431"/>
        <v>151</v>
      </c>
      <c r="AN1519" s="92" t="str">
        <f t="shared" si="432"/>
        <v>Decreasing</v>
      </c>
      <c r="AS1519" s="94">
        <f t="shared" si="433"/>
        <v>0</v>
      </c>
      <c r="AT1519" s="94">
        <f t="shared" si="434"/>
        <v>0.35357106187107251</v>
      </c>
      <c r="AU1519" s="94">
        <f t="shared" si="435"/>
        <v>0.31882510205042552</v>
      </c>
    </row>
    <row r="1520" spans="1:47" x14ac:dyDescent="0.3">
      <c r="A1520" s="85" t="str">
        <f>_xlfn.XLOOKUP(B1520,'Country codes &amp; Data sources'!G:G,'Country codes &amp; Data sources'!H:H,,0)</f>
        <v>Mauritania</v>
      </c>
      <c r="B1520" s="85" t="s">
        <v>158</v>
      </c>
      <c r="C1520" s="85">
        <v>3636125.5</v>
      </c>
      <c r="D1520" s="85" t="s">
        <v>338</v>
      </c>
      <c r="E1520" s="86">
        <v>0</v>
      </c>
      <c r="F1520" s="86">
        <v>3742958.9999999981</v>
      </c>
      <c r="G1520" s="86">
        <v>0</v>
      </c>
      <c r="H1520" s="86"/>
      <c r="I1520" s="86">
        <v>0</v>
      </c>
      <c r="J1520" s="86"/>
      <c r="K1520" s="86">
        <v>0</v>
      </c>
      <c r="L1520" s="86"/>
      <c r="M1520" s="86">
        <v>0</v>
      </c>
      <c r="N1520" s="86"/>
      <c r="O1520" s="86">
        <v>0</v>
      </c>
      <c r="P1520" s="86">
        <v>4270711.4999999972</v>
      </c>
      <c r="Q1520" s="86">
        <v>0</v>
      </c>
      <c r="R1520" s="87">
        <f t="shared" si="420"/>
        <v>0</v>
      </c>
      <c r="T1520" s="87">
        <v>0</v>
      </c>
      <c r="U1520" s="89"/>
      <c r="V1520" s="89">
        <v>0</v>
      </c>
      <c r="W1520" s="90"/>
      <c r="X1520" s="90">
        <v>0</v>
      </c>
      <c r="Y1520" s="90">
        <v>4736138.9999999991</v>
      </c>
      <c r="Z1520" s="90">
        <v>0</v>
      </c>
      <c r="AA1520" s="90">
        <v>0</v>
      </c>
      <c r="AB1520" s="89">
        <f t="shared" si="421"/>
        <v>0</v>
      </c>
      <c r="AC1520" s="89">
        <f t="shared" si="422"/>
        <v>0</v>
      </c>
      <c r="AD1520" s="89">
        <f t="shared" si="423"/>
        <v>0</v>
      </c>
      <c r="AE1520" s="90">
        <f t="shared" si="424"/>
        <v>0</v>
      </c>
      <c r="AF1520" s="90" t="str">
        <f t="shared" si="425"/>
        <v/>
      </c>
      <c r="AG1520" s="90">
        <f t="shared" si="426"/>
        <v>0</v>
      </c>
      <c r="AH1520" s="90" t="str">
        <f t="shared" si="427"/>
        <v/>
      </c>
      <c r="AI1520" s="90">
        <f t="shared" si="428"/>
        <v>0</v>
      </c>
      <c r="AJ1520" s="90" t="str">
        <f t="shared" si="429"/>
        <v/>
      </c>
      <c r="AK1520" s="90" t="str">
        <f t="shared" si="430"/>
        <v/>
      </c>
      <c r="AL1520" s="91">
        <f>IF(AK1520="Adjust",(_xlfn.XLOOKUP(A1520,'Adj factor'!A:A,'Adj factor'!I:I,,0)*AI1520),'Master DataSheet'!AI1520)</f>
        <v>0</v>
      </c>
      <c r="AM1520" s="91">
        <f t="shared" si="431"/>
        <v>0</v>
      </c>
      <c r="AN1520" s="92" t="str">
        <f t="shared" si="432"/>
        <v>No change</v>
      </c>
      <c r="AS1520" s="94">
        <f t="shared" si="433"/>
        <v>0</v>
      </c>
      <c r="AT1520" s="94">
        <f t="shared" si="434"/>
        <v>0</v>
      </c>
      <c r="AU1520" s="94">
        <f t="shared" si="435"/>
        <v>0</v>
      </c>
    </row>
    <row r="1521" spans="1:47" x14ac:dyDescent="0.3">
      <c r="A1521" s="85" t="str">
        <f>_xlfn.XLOOKUP(B1521,'Country codes &amp; Data sources'!G:G,'Country codes &amp; Data sources'!H:H,,0)</f>
        <v>Mauritania</v>
      </c>
      <c r="B1521" s="85" t="s">
        <v>158</v>
      </c>
      <c r="C1521" s="85">
        <v>3636126.5</v>
      </c>
      <c r="D1521" s="85" t="s">
        <v>339</v>
      </c>
      <c r="E1521" s="86">
        <v>0</v>
      </c>
      <c r="F1521" s="86">
        <v>3742958.9999999981</v>
      </c>
      <c r="G1521" s="86">
        <v>0</v>
      </c>
      <c r="H1521" s="86"/>
      <c r="I1521" s="86">
        <v>0</v>
      </c>
      <c r="J1521" s="86"/>
      <c r="K1521" s="86">
        <v>0</v>
      </c>
      <c r="L1521" s="86"/>
      <c r="M1521" s="86">
        <v>0</v>
      </c>
      <c r="N1521" s="86"/>
      <c r="O1521" s="86">
        <v>0</v>
      </c>
      <c r="P1521" s="86">
        <v>4270711.4999999972</v>
      </c>
      <c r="Q1521" s="86">
        <v>0</v>
      </c>
      <c r="R1521" s="87">
        <f t="shared" si="420"/>
        <v>0</v>
      </c>
      <c r="T1521" s="87">
        <v>0</v>
      </c>
      <c r="U1521" s="89"/>
      <c r="V1521" s="89">
        <v>0</v>
      </c>
      <c r="W1521" s="90"/>
      <c r="X1521" s="90">
        <v>0</v>
      </c>
      <c r="Y1521" s="90">
        <v>4736138.9999999991</v>
      </c>
      <c r="Z1521" s="90">
        <v>0</v>
      </c>
      <c r="AA1521" s="90">
        <v>0</v>
      </c>
      <c r="AB1521" s="89">
        <f t="shared" si="421"/>
        <v>0</v>
      </c>
      <c r="AC1521" s="89">
        <f t="shared" si="422"/>
        <v>0</v>
      </c>
      <c r="AD1521" s="89">
        <f t="shared" si="423"/>
        <v>0</v>
      </c>
      <c r="AE1521" s="90">
        <f t="shared" si="424"/>
        <v>0</v>
      </c>
      <c r="AF1521" s="90" t="str">
        <f t="shared" si="425"/>
        <v/>
      </c>
      <c r="AG1521" s="90">
        <f t="shared" si="426"/>
        <v>0</v>
      </c>
      <c r="AH1521" s="90" t="str">
        <f t="shared" si="427"/>
        <v/>
      </c>
      <c r="AI1521" s="90">
        <f t="shared" si="428"/>
        <v>0</v>
      </c>
      <c r="AJ1521" s="90" t="str">
        <f t="shared" si="429"/>
        <v/>
      </c>
      <c r="AK1521" s="90" t="str">
        <f t="shared" si="430"/>
        <v/>
      </c>
      <c r="AL1521" s="91">
        <f>IF(AK1521="Adjust",(_xlfn.XLOOKUP(A1521,'Adj factor'!A:A,'Adj factor'!I:I,,0)*AI1521),'Master DataSheet'!AI1521)</f>
        <v>0</v>
      </c>
      <c r="AM1521" s="91">
        <f t="shared" si="431"/>
        <v>0</v>
      </c>
      <c r="AN1521" s="92" t="str">
        <f t="shared" si="432"/>
        <v>No change</v>
      </c>
      <c r="AS1521" s="94">
        <f t="shared" si="433"/>
        <v>0</v>
      </c>
      <c r="AT1521" s="94">
        <f t="shared" si="434"/>
        <v>0</v>
      </c>
      <c r="AU1521" s="94">
        <f t="shared" si="435"/>
        <v>0</v>
      </c>
    </row>
    <row r="1522" spans="1:47" x14ac:dyDescent="0.3">
      <c r="A1522" s="85" t="str">
        <f>_xlfn.XLOOKUP(B1522,'Country codes &amp; Data sources'!G:G,'Country codes &amp; Data sources'!H:H,,0)</f>
        <v>Mauritius</v>
      </c>
      <c r="B1522" s="85" t="s">
        <v>180</v>
      </c>
      <c r="C1522" s="85">
        <v>1288744.5000000005</v>
      </c>
      <c r="D1522" s="85" t="s">
        <v>326</v>
      </c>
      <c r="E1522" s="86">
        <v>1722</v>
      </c>
      <c r="F1522" s="86">
        <v>1290691.4999999998</v>
      </c>
      <c r="G1522" s="86">
        <v>2046</v>
      </c>
      <c r="H1522" s="86">
        <v>1292113.5000000002</v>
      </c>
      <c r="I1522" s="86">
        <v>2429</v>
      </c>
      <c r="J1522" s="86">
        <v>1293153</v>
      </c>
      <c r="K1522" s="86">
        <v>2550</v>
      </c>
      <c r="L1522" s="86">
        <v>1293911.0000000005</v>
      </c>
      <c r="M1522" s="86">
        <v>2769</v>
      </c>
      <c r="N1522" s="86">
        <v>1294740.5000000002</v>
      </c>
      <c r="O1522" s="86">
        <v>2927</v>
      </c>
      <c r="P1522" s="86">
        <v>1295381.5000000005</v>
      </c>
      <c r="Q1522" s="86">
        <v>2395</v>
      </c>
      <c r="R1522" s="87">
        <f t="shared" si="420"/>
        <v>2395</v>
      </c>
      <c r="S1522" s="87">
        <v>1296279.0000000002</v>
      </c>
      <c r="T1522" s="87">
        <v>3290</v>
      </c>
      <c r="U1522" s="89">
        <v>1297827.5</v>
      </c>
      <c r="V1522" s="89">
        <v>3450</v>
      </c>
      <c r="W1522" s="90">
        <v>1298914.4999999995</v>
      </c>
      <c r="X1522" s="90">
        <v>0</v>
      </c>
      <c r="Y1522" s="90">
        <v>1299468.9999999986</v>
      </c>
      <c r="Z1522" s="90">
        <v>1555</v>
      </c>
      <c r="AA1522" s="90">
        <v>2395</v>
      </c>
      <c r="AB1522" s="89">
        <f t="shared" si="421"/>
        <v>2550</v>
      </c>
      <c r="AC1522" s="89">
        <f t="shared" si="422"/>
        <v>3290</v>
      </c>
      <c r="AD1522" s="89">
        <f t="shared" si="423"/>
        <v>3450</v>
      </c>
      <c r="AE1522" s="90">
        <f t="shared" si="424"/>
        <v>2046</v>
      </c>
      <c r="AF1522" s="90">
        <f t="shared" si="425"/>
        <v>2013</v>
      </c>
      <c r="AG1522" s="90">
        <f t="shared" si="426"/>
        <v>2395</v>
      </c>
      <c r="AH1522" s="90">
        <f t="shared" si="427"/>
        <v>2018</v>
      </c>
      <c r="AI1522" s="90">
        <f t="shared" si="428"/>
        <v>1555</v>
      </c>
      <c r="AJ1522" s="90">
        <f t="shared" si="429"/>
        <v>2022</v>
      </c>
      <c r="AK1522" s="90" t="str">
        <f t="shared" si="430"/>
        <v>Adjust</v>
      </c>
      <c r="AL1522" s="91">
        <f>IF(AK1522="Adjust",(_xlfn.XLOOKUP(A1522,'Adj factor'!A:A,'Adj factor'!I:I,,0)*AI1522),'Master DataSheet'!AI1522)</f>
        <v>1833.6554988586008</v>
      </c>
      <c r="AM1522" s="91">
        <f t="shared" si="431"/>
        <v>2395</v>
      </c>
      <c r="AN1522" s="92" t="str">
        <f t="shared" si="432"/>
        <v>Decreasing</v>
      </c>
      <c r="AS1522" s="94">
        <f t="shared" si="433"/>
        <v>15.851967724278035</v>
      </c>
      <c r="AT1522" s="94">
        <f t="shared" si="434"/>
        <v>18.48876180492001</v>
      </c>
      <c r="AU1522" s="94">
        <f t="shared" si="435"/>
        <v>18.430605116397565</v>
      </c>
    </row>
    <row r="1523" spans="1:47" x14ac:dyDescent="0.3">
      <c r="A1523" s="85" t="str">
        <f>_xlfn.XLOOKUP(B1523,'Country codes &amp; Data sources'!G:G,'Country codes &amp; Data sources'!H:H,,0)</f>
        <v>Mauritius</v>
      </c>
      <c r="B1523" s="85" t="s">
        <v>180</v>
      </c>
      <c r="C1523" s="85">
        <v>1288745.5</v>
      </c>
      <c r="D1523" s="85" t="s">
        <v>327</v>
      </c>
      <c r="E1523" s="86">
        <v>0</v>
      </c>
      <c r="F1523" s="86">
        <v>1290691.4999999998</v>
      </c>
      <c r="G1523" s="86">
        <v>0</v>
      </c>
      <c r="H1523" s="86"/>
      <c r="I1523" s="86">
        <v>0</v>
      </c>
      <c r="J1523" s="86"/>
      <c r="K1523" s="86">
        <v>0</v>
      </c>
      <c r="L1523" s="86"/>
      <c r="M1523" s="86">
        <v>0</v>
      </c>
      <c r="N1523" s="86"/>
      <c r="O1523" s="86">
        <v>0</v>
      </c>
      <c r="P1523" s="86">
        <v>1295381.5000000005</v>
      </c>
      <c r="Q1523" s="86">
        <v>1188</v>
      </c>
      <c r="R1523" s="87">
        <f t="shared" si="420"/>
        <v>1188</v>
      </c>
      <c r="T1523" s="87">
        <v>0</v>
      </c>
      <c r="U1523" s="89"/>
      <c r="V1523" s="89">
        <v>0</v>
      </c>
      <c r="W1523" s="90"/>
      <c r="X1523" s="90">
        <v>0</v>
      </c>
      <c r="Y1523" s="90">
        <v>1299468.9999999986</v>
      </c>
      <c r="Z1523" s="90">
        <v>1207</v>
      </c>
      <c r="AA1523" s="90">
        <v>1188</v>
      </c>
      <c r="AB1523" s="89">
        <f t="shared" si="421"/>
        <v>0</v>
      </c>
      <c r="AC1523" s="89">
        <f t="shared" si="422"/>
        <v>1188</v>
      </c>
      <c r="AD1523" s="89">
        <f t="shared" si="423"/>
        <v>1207</v>
      </c>
      <c r="AE1523" s="90">
        <f t="shared" si="424"/>
        <v>0</v>
      </c>
      <c r="AF1523" s="90" t="str">
        <f t="shared" si="425"/>
        <v/>
      </c>
      <c r="AG1523" s="90">
        <f t="shared" si="426"/>
        <v>1188</v>
      </c>
      <c r="AH1523" s="90">
        <f t="shared" si="427"/>
        <v>2018</v>
      </c>
      <c r="AI1523" s="90">
        <f t="shared" si="428"/>
        <v>1207</v>
      </c>
      <c r="AJ1523" s="90">
        <f t="shared" si="429"/>
        <v>2022</v>
      </c>
      <c r="AK1523" s="90" t="str">
        <f t="shared" si="430"/>
        <v/>
      </c>
      <c r="AL1523" s="91">
        <f>IF(AK1523="Adjust",(_xlfn.XLOOKUP(A1523,'Adj factor'!A:A,'Adj factor'!I:I,,0)*AI1523),'Master DataSheet'!AI1523)</f>
        <v>1207</v>
      </c>
      <c r="AM1523" s="91">
        <f t="shared" si="431"/>
        <v>1207</v>
      </c>
      <c r="AN1523" s="92" t="str">
        <f t="shared" si="432"/>
        <v>Increasing</v>
      </c>
      <c r="AS1523" s="94">
        <f t="shared" si="433"/>
        <v>0</v>
      </c>
      <c r="AT1523" s="94">
        <f t="shared" si="434"/>
        <v>9.171043433922744</v>
      </c>
      <c r="AU1523" s="94">
        <f t="shared" si="435"/>
        <v>9.2884093425853269</v>
      </c>
    </row>
    <row r="1524" spans="1:47" x14ac:dyDescent="0.3">
      <c r="A1524" s="85" t="str">
        <f>_xlfn.XLOOKUP(B1524,'Country codes &amp; Data sources'!G:G,'Country codes &amp; Data sources'!H:H,,0)</f>
        <v>Mauritius</v>
      </c>
      <c r="B1524" s="85" t="s">
        <v>180</v>
      </c>
      <c r="C1524" s="85">
        <v>1288746.5</v>
      </c>
      <c r="D1524" s="85" t="s">
        <v>328</v>
      </c>
      <c r="E1524" s="86">
        <v>0</v>
      </c>
      <c r="F1524" s="86">
        <v>1290691.4999999998</v>
      </c>
      <c r="G1524" s="86">
        <v>0</v>
      </c>
      <c r="H1524" s="86"/>
      <c r="I1524" s="86">
        <v>0</v>
      </c>
      <c r="J1524" s="86"/>
      <c r="K1524" s="86">
        <v>0</v>
      </c>
      <c r="L1524" s="86"/>
      <c r="M1524" s="86">
        <v>0</v>
      </c>
      <c r="N1524" s="86"/>
      <c r="O1524" s="86">
        <v>0</v>
      </c>
      <c r="P1524" s="86">
        <v>1295381.5000000005</v>
      </c>
      <c r="Q1524" s="86">
        <v>1207</v>
      </c>
      <c r="R1524" s="87">
        <f t="shared" si="420"/>
        <v>1207</v>
      </c>
      <c r="T1524" s="87">
        <v>0</v>
      </c>
      <c r="U1524" s="89"/>
      <c r="V1524" s="89">
        <v>0</v>
      </c>
      <c r="W1524" s="90"/>
      <c r="X1524" s="90">
        <v>0</v>
      </c>
      <c r="Y1524" s="90">
        <v>1299468.9999999986</v>
      </c>
      <c r="Z1524" s="90">
        <v>348</v>
      </c>
      <c r="AA1524" s="90">
        <v>1207</v>
      </c>
      <c r="AB1524" s="89">
        <f t="shared" si="421"/>
        <v>0</v>
      </c>
      <c r="AC1524" s="89">
        <f t="shared" si="422"/>
        <v>1207</v>
      </c>
      <c r="AD1524" s="89">
        <f t="shared" si="423"/>
        <v>348</v>
      </c>
      <c r="AE1524" s="90">
        <f t="shared" si="424"/>
        <v>0</v>
      </c>
      <c r="AF1524" s="90" t="str">
        <f t="shared" si="425"/>
        <v/>
      </c>
      <c r="AG1524" s="90">
        <f t="shared" si="426"/>
        <v>1207</v>
      </c>
      <c r="AH1524" s="90">
        <f t="shared" si="427"/>
        <v>2018</v>
      </c>
      <c r="AI1524" s="90">
        <f t="shared" si="428"/>
        <v>348</v>
      </c>
      <c r="AJ1524" s="90">
        <f t="shared" si="429"/>
        <v>2022</v>
      </c>
      <c r="AK1524" s="90" t="str">
        <f t="shared" si="430"/>
        <v>Adjust</v>
      </c>
      <c r="AL1524" s="91">
        <f>IF(AK1524="Adjust",(_xlfn.XLOOKUP(A1524,'Adj factor'!A:A,'Adj factor'!I:I,,0)*AI1524),'Master DataSheet'!AI1524)</f>
        <v>410.36148784745535</v>
      </c>
      <c r="AM1524" s="91">
        <f t="shared" si="431"/>
        <v>1207</v>
      </c>
      <c r="AN1524" s="92" t="str">
        <f t="shared" si="432"/>
        <v>Decreasing</v>
      </c>
      <c r="AS1524" s="94">
        <f t="shared" si="433"/>
        <v>0</v>
      </c>
      <c r="AT1524" s="94">
        <f t="shared" si="434"/>
        <v>9.317718370997266</v>
      </c>
      <c r="AU1524" s="94">
        <f t="shared" si="435"/>
        <v>9.2884093425853269</v>
      </c>
    </row>
    <row r="1525" spans="1:47" x14ac:dyDescent="0.3">
      <c r="A1525" s="85" t="str">
        <f>_xlfn.XLOOKUP(B1525,'Country codes &amp; Data sources'!G:G,'Country codes &amp; Data sources'!H:H,,0)</f>
        <v>Mauritius</v>
      </c>
      <c r="B1525" s="85" t="s">
        <v>180</v>
      </c>
      <c r="C1525" s="85">
        <v>1288747.5</v>
      </c>
      <c r="D1525" s="85" t="s">
        <v>329</v>
      </c>
      <c r="E1525" s="86">
        <v>3737</v>
      </c>
      <c r="F1525" s="86">
        <v>1290691.4999999998</v>
      </c>
      <c r="G1525" s="86">
        <v>3963</v>
      </c>
      <c r="H1525" s="86"/>
      <c r="I1525" s="86">
        <v>4125</v>
      </c>
      <c r="J1525" s="86"/>
      <c r="K1525" s="86">
        <v>4261</v>
      </c>
      <c r="L1525" s="86"/>
      <c r="M1525" s="86">
        <v>4134</v>
      </c>
      <c r="N1525" s="86"/>
      <c r="O1525" s="86">
        <v>4445</v>
      </c>
      <c r="P1525" s="86">
        <v>1295381.5000000005</v>
      </c>
      <c r="Q1525" s="86">
        <v>4986</v>
      </c>
      <c r="R1525" s="87">
        <f t="shared" si="420"/>
        <v>4986</v>
      </c>
      <c r="T1525" s="87">
        <v>0</v>
      </c>
      <c r="U1525" s="89"/>
      <c r="V1525" s="89">
        <v>0</v>
      </c>
      <c r="W1525" s="90"/>
      <c r="X1525" s="90">
        <v>0</v>
      </c>
      <c r="Y1525" s="90">
        <v>1299468.9999999986</v>
      </c>
      <c r="Z1525" s="90">
        <v>3900</v>
      </c>
      <c r="AA1525" s="90">
        <v>4419</v>
      </c>
      <c r="AB1525" s="89">
        <f t="shared" si="421"/>
        <v>4261</v>
      </c>
      <c r="AC1525" s="89">
        <f t="shared" si="422"/>
        <v>4986</v>
      </c>
      <c r="AD1525" s="89">
        <f t="shared" si="423"/>
        <v>3900</v>
      </c>
      <c r="AE1525" s="90">
        <f t="shared" si="424"/>
        <v>3963</v>
      </c>
      <c r="AF1525" s="90">
        <f t="shared" si="425"/>
        <v>2013</v>
      </c>
      <c r="AG1525" s="90">
        <f t="shared" si="426"/>
        <v>4986</v>
      </c>
      <c r="AH1525" s="90">
        <f t="shared" si="427"/>
        <v>2018</v>
      </c>
      <c r="AI1525" s="90">
        <f t="shared" si="428"/>
        <v>3900</v>
      </c>
      <c r="AJ1525" s="90">
        <f t="shared" si="429"/>
        <v>2022</v>
      </c>
      <c r="AK1525" s="90" t="str">
        <f t="shared" si="430"/>
        <v>Adjust</v>
      </c>
      <c r="AL1525" s="91">
        <f>IF(AK1525="Adjust",(_xlfn.XLOOKUP(A1525,'Adj factor'!A:A,'Adj factor'!I:I,,0)*AI1525),'Master DataSheet'!AI1525)</f>
        <v>4598.8787431180344</v>
      </c>
      <c r="AM1525" s="91">
        <f t="shared" si="431"/>
        <v>4986</v>
      </c>
      <c r="AN1525" s="92" t="str">
        <f t="shared" si="432"/>
        <v>Decreasing</v>
      </c>
      <c r="AS1525" s="94">
        <f t="shared" si="433"/>
        <v>30.704471207875784</v>
      </c>
      <c r="AT1525" s="94">
        <f t="shared" si="434"/>
        <v>38.49059138176667</v>
      </c>
      <c r="AU1525" s="94">
        <f t="shared" si="435"/>
        <v>38.369518626454386</v>
      </c>
    </row>
    <row r="1526" spans="1:47" x14ac:dyDescent="0.3">
      <c r="A1526" s="85" t="str">
        <f>_xlfn.XLOOKUP(B1526,'Country codes &amp; Data sources'!G:G,'Country codes &amp; Data sources'!H:H,,0)</f>
        <v>Mauritius</v>
      </c>
      <c r="B1526" s="85" t="s">
        <v>180</v>
      </c>
      <c r="C1526" s="85">
        <v>1288748.5</v>
      </c>
      <c r="D1526" s="85" t="s">
        <v>330</v>
      </c>
      <c r="E1526" s="86">
        <v>0</v>
      </c>
      <c r="F1526" s="86">
        <v>1290691.4999999998</v>
      </c>
      <c r="G1526" s="86">
        <v>0</v>
      </c>
      <c r="H1526" s="86"/>
      <c r="I1526" s="86">
        <v>0</v>
      </c>
      <c r="J1526" s="86"/>
      <c r="K1526" s="86">
        <v>0</v>
      </c>
      <c r="L1526" s="86"/>
      <c r="M1526" s="86">
        <v>0</v>
      </c>
      <c r="N1526" s="86"/>
      <c r="O1526" s="86">
        <v>0</v>
      </c>
      <c r="P1526" s="86">
        <v>1295381.5000000005</v>
      </c>
      <c r="Q1526" s="86">
        <v>0</v>
      </c>
      <c r="R1526" s="87">
        <f t="shared" si="420"/>
        <v>4419</v>
      </c>
      <c r="T1526" s="87">
        <v>0</v>
      </c>
      <c r="U1526" s="89"/>
      <c r="V1526" s="89">
        <v>0</v>
      </c>
      <c r="W1526" s="90"/>
      <c r="X1526" s="90">
        <v>0</v>
      </c>
      <c r="Y1526" s="90">
        <v>1299468.9999999986</v>
      </c>
      <c r="Z1526" s="90">
        <v>3715</v>
      </c>
      <c r="AA1526" s="90">
        <v>4419</v>
      </c>
      <c r="AB1526" s="89">
        <f t="shared" si="421"/>
        <v>0</v>
      </c>
      <c r="AC1526" s="89">
        <f t="shared" si="422"/>
        <v>0</v>
      </c>
      <c r="AD1526" s="89">
        <f t="shared" si="423"/>
        <v>3715</v>
      </c>
      <c r="AE1526" s="90">
        <f t="shared" si="424"/>
        <v>0</v>
      </c>
      <c r="AF1526" s="90" t="str">
        <f t="shared" si="425"/>
        <v/>
      </c>
      <c r="AG1526" s="90">
        <f t="shared" si="426"/>
        <v>4419</v>
      </c>
      <c r="AH1526" s="90" t="str">
        <f t="shared" si="427"/>
        <v>2018 (triag)</v>
      </c>
      <c r="AI1526" s="90">
        <f t="shared" si="428"/>
        <v>3715</v>
      </c>
      <c r="AJ1526" s="90">
        <f t="shared" si="429"/>
        <v>2022</v>
      </c>
      <c r="AK1526" s="90" t="str">
        <f t="shared" si="430"/>
        <v>Adjust</v>
      </c>
      <c r="AL1526" s="91">
        <f>IF(AK1526="Adjust",(_xlfn.XLOOKUP(A1526,'Adj factor'!A:A,'Adj factor'!I:I,,0)*AI1526),'Master DataSheet'!AI1526)</f>
        <v>4380.7268027393584</v>
      </c>
      <c r="AM1526" s="91">
        <f t="shared" si="431"/>
        <v>4419</v>
      </c>
      <c r="AN1526" s="92" t="str">
        <f t="shared" si="432"/>
        <v>Decreasing</v>
      </c>
      <c r="AS1526" s="94">
        <f t="shared" si="433"/>
        <v>0</v>
      </c>
      <c r="AT1526" s="94">
        <f t="shared" si="434"/>
        <v>34.113502470121723</v>
      </c>
      <c r="AU1526" s="94">
        <f t="shared" si="435"/>
        <v>34.006197916225815</v>
      </c>
    </row>
    <row r="1527" spans="1:47" x14ac:dyDescent="0.3">
      <c r="A1527" s="85" t="str">
        <f>_xlfn.XLOOKUP(B1527,'Country codes &amp; Data sources'!G:G,'Country codes &amp; Data sources'!H:H,,0)</f>
        <v>Mauritius</v>
      </c>
      <c r="B1527" s="85" t="s">
        <v>180</v>
      </c>
      <c r="C1527" s="85">
        <v>1288749.5</v>
      </c>
      <c r="D1527" s="85" t="s">
        <v>331</v>
      </c>
      <c r="E1527" s="86">
        <v>0</v>
      </c>
      <c r="F1527" s="86">
        <v>1290691.4999999998</v>
      </c>
      <c r="G1527" s="86">
        <v>0</v>
      </c>
      <c r="H1527" s="86"/>
      <c r="I1527" s="86">
        <v>0</v>
      </c>
      <c r="J1527" s="86"/>
      <c r="K1527" s="86">
        <v>0</v>
      </c>
      <c r="L1527" s="86"/>
      <c r="M1527" s="86">
        <v>0</v>
      </c>
      <c r="N1527" s="86"/>
      <c r="O1527" s="86">
        <v>0</v>
      </c>
      <c r="P1527" s="86">
        <v>1295381.5000000005</v>
      </c>
      <c r="Q1527" s="86">
        <v>0</v>
      </c>
      <c r="R1527" s="87">
        <f t="shared" si="420"/>
        <v>0</v>
      </c>
      <c r="T1527" s="87">
        <v>0</v>
      </c>
      <c r="U1527" s="89"/>
      <c r="V1527" s="89">
        <v>0</v>
      </c>
      <c r="W1527" s="90"/>
      <c r="X1527" s="90">
        <v>0</v>
      </c>
      <c r="Y1527" s="90">
        <v>1299468.9999999986</v>
      </c>
      <c r="Z1527" s="90">
        <v>185</v>
      </c>
      <c r="AA1527" s="90">
        <v>0</v>
      </c>
      <c r="AB1527" s="89">
        <f t="shared" si="421"/>
        <v>0</v>
      </c>
      <c r="AC1527" s="89">
        <f t="shared" si="422"/>
        <v>0</v>
      </c>
      <c r="AD1527" s="89">
        <f t="shared" si="423"/>
        <v>185</v>
      </c>
      <c r="AE1527" s="90">
        <f t="shared" si="424"/>
        <v>0</v>
      </c>
      <c r="AF1527" s="90" t="str">
        <f t="shared" si="425"/>
        <v/>
      </c>
      <c r="AG1527" s="90">
        <f t="shared" si="426"/>
        <v>0</v>
      </c>
      <c r="AH1527" s="90" t="str">
        <f t="shared" si="427"/>
        <v/>
      </c>
      <c r="AI1527" s="90">
        <f t="shared" si="428"/>
        <v>185</v>
      </c>
      <c r="AJ1527" s="90">
        <f t="shared" si="429"/>
        <v>2022</v>
      </c>
      <c r="AK1527" s="90" t="str">
        <f t="shared" si="430"/>
        <v/>
      </c>
      <c r="AL1527" s="91">
        <f>IF(AK1527="Adjust",(_xlfn.XLOOKUP(A1527,'Adj factor'!A:A,'Adj factor'!I:I,,0)*AI1527),'Master DataSheet'!AI1527)</f>
        <v>185</v>
      </c>
      <c r="AM1527" s="91">
        <f t="shared" si="431"/>
        <v>185</v>
      </c>
      <c r="AN1527" s="92" t="str">
        <f t="shared" si="432"/>
        <v>Increasing</v>
      </c>
      <c r="AS1527" s="94">
        <f t="shared" si="433"/>
        <v>0</v>
      </c>
      <c r="AT1527" s="94">
        <f t="shared" si="434"/>
        <v>0</v>
      </c>
      <c r="AU1527" s="94">
        <f t="shared" si="435"/>
        <v>1.4236584327906261</v>
      </c>
    </row>
    <row r="1528" spans="1:47" x14ac:dyDescent="0.3">
      <c r="A1528" s="85" t="str">
        <f>_xlfn.XLOOKUP(B1528,'Country codes &amp; Data sources'!G:G,'Country codes &amp; Data sources'!H:H,,0)</f>
        <v>Mauritius</v>
      </c>
      <c r="B1528" s="85" t="s">
        <v>180</v>
      </c>
      <c r="C1528" s="85">
        <v>1288750.5</v>
      </c>
      <c r="D1528" s="85" t="s">
        <v>332</v>
      </c>
      <c r="E1528" s="86">
        <v>0</v>
      </c>
      <c r="F1528" s="86">
        <v>1290691.4999999998</v>
      </c>
      <c r="G1528" s="86">
        <v>0</v>
      </c>
      <c r="H1528" s="86"/>
      <c r="I1528" s="86">
        <v>0</v>
      </c>
      <c r="J1528" s="86"/>
      <c r="K1528" s="86">
        <v>0</v>
      </c>
      <c r="L1528" s="86"/>
      <c r="M1528" s="86">
        <v>0</v>
      </c>
      <c r="N1528" s="86"/>
      <c r="O1528" s="86">
        <v>0</v>
      </c>
      <c r="P1528" s="86">
        <v>1295381.5000000005</v>
      </c>
      <c r="Q1528" s="86">
        <v>0</v>
      </c>
      <c r="R1528" s="87">
        <f t="shared" si="420"/>
        <v>567</v>
      </c>
      <c r="T1528" s="87">
        <v>0</v>
      </c>
      <c r="U1528" s="89"/>
      <c r="V1528" s="89">
        <v>0</v>
      </c>
      <c r="W1528" s="90"/>
      <c r="X1528" s="90">
        <v>0</v>
      </c>
      <c r="Y1528" s="90">
        <v>1299468.9999999986</v>
      </c>
      <c r="Z1528" s="90">
        <v>0</v>
      </c>
      <c r="AA1528" s="90">
        <v>567</v>
      </c>
      <c r="AB1528" s="89">
        <f t="shared" si="421"/>
        <v>0</v>
      </c>
      <c r="AC1528" s="89">
        <f t="shared" si="422"/>
        <v>0</v>
      </c>
      <c r="AD1528" s="89">
        <f t="shared" si="423"/>
        <v>0</v>
      </c>
      <c r="AE1528" s="90">
        <f t="shared" si="424"/>
        <v>0</v>
      </c>
      <c r="AF1528" s="90" t="str">
        <f t="shared" si="425"/>
        <v/>
      </c>
      <c r="AG1528" s="90">
        <f t="shared" si="426"/>
        <v>567</v>
      </c>
      <c r="AH1528" s="90" t="str">
        <f t="shared" si="427"/>
        <v>2018 (triag)</v>
      </c>
      <c r="AI1528" s="90">
        <f t="shared" si="428"/>
        <v>567</v>
      </c>
      <c r="AJ1528" s="90" t="str">
        <f t="shared" si="429"/>
        <v>2018 (triag)</v>
      </c>
      <c r="AK1528" s="90" t="str">
        <f t="shared" si="430"/>
        <v/>
      </c>
      <c r="AL1528" s="91">
        <f>IF(AK1528="Adjust",(_xlfn.XLOOKUP(A1528,'Adj factor'!A:A,'Adj factor'!I:I,,0)*AI1528),'Master DataSheet'!AI1528)</f>
        <v>567</v>
      </c>
      <c r="AM1528" s="91">
        <f t="shared" si="431"/>
        <v>567</v>
      </c>
      <c r="AN1528" s="92" t="str">
        <f t="shared" si="432"/>
        <v>No change</v>
      </c>
      <c r="AS1528" s="94">
        <f t="shared" si="433"/>
        <v>0</v>
      </c>
      <c r="AT1528" s="94">
        <f t="shared" si="434"/>
        <v>4.3770889116449458</v>
      </c>
      <c r="AU1528" s="94">
        <f t="shared" si="435"/>
        <v>4.3633207102285674</v>
      </c>
    </row>
    <row r="1529" spans="1:47" x14ac:dyDescent="0.3">
      <c r="A1529" s="85" t="str">
        <f>_xlfn.XLOOKUP(B1529,'Country codes &amp; Data sources'!G:G,'Country codes &amp; Data sources'!H:H,,0)</f>
        <v>Mauritius</v>
      </c>
      <c r="B1529" s="85" t="s">
        <v>180</v>
      </c>
      <c r="C1529" s="85">
        <v>1288751.5</v>
      </c>
      <c r="D1529" s="85" t="s">
        <v>333</v>
      </c>
      <c r="E1529" s="86">
        <v>0</v>
      </c>
      <c r="F1529" s="86">
        <v>1290691.4999999998</v>
      </c>
      <c r="G1529" s="86">
        <v>0</v>
      </c>
      <c r="H1529" s="86"/>
      <c r="I1529" s="86">
        <v>0</v>
      </c>
      <c r="J1529" s="86"/>
      <c r="K1529" s="86">
        <v>0</v>
      </c>
      <c r="L1529" s="86"/>
      <c r="M1529" s="86">
        <v>0</v>
      </c>
      <c r="N1529" s="86"/>
      <c r="O1529" s="86">
        <v>0</v>
      </c>
      <c r="P1529" s="86">
        <v>1295381.5000000005</v>
      </c>
      <c r="Q1529" s="86">
        <v>0</v>
      </c>
      <c r="R1529" s="87">
        <f t="shared" si="420"/>
        <v>567</v>
      </c>
      <c r="T1529" s="87">
        <v>0</v>
      </c>
      <c r="U1529" s="89"/>
      <c r="V1529" s="89">
        <v>0</v>
      </c>
      <c r="W1529" s="90"/>
      <c r="X1529" s="90">
        <v>0</v>
      </c>
      <c r="Y1529" s="90">
        <v>1299468.9999999986</v>
      </c>
      <c r="Z1529" s="90">
        <v>0</v>
      </c>
      <c r="AA1529" s="90">
        <v>567</v>
      </c>
      <c r="AB1529" s="89">
        <f t="shared" si="421"/>
        <v>0</v>
      </c>
      <c r="AC1529" s="89">
        <f t="shared" si="422"/>
        <v>0</v>
      </c>
      <c r="AD1529" s="89">
        <f t="shared" si="423"/>
        <v>0</v>
      </c>
      <c r="AE1529" s="90">
        <f t="shared" si="424"/>
        <v>0</v>
      </c>
      <c r="AF1529" s="90" t="str">
        <f t="shared" si="425"/>
        <v/>
      </c>
      <c r="AG1529" s="90">
        <f t="shared" si="426"/>
        <v>567</v>
      </c>
      <c r="AH1529" s="90" t="str">
        <f t="shared" si="427"/>
        <v>2018 (triag)</v>
      </c>
      <c r="AI1529" s="90">
        <f t="shared" si="428"/>
        <v>567</v>
      </c>
      <c r="AJ1529" s="90" t="str">
        <f t="shared" si="429"/>
        <v>2018 (triag)</v>
      </c>
      <c r="AK1529" s="90" t="str">
        <f t="shared" si="430"/>
        <v/>
      </c>
      <c r="AL1529" s="91">
        <f>IF(AK1529="Adjust",(_xlfn.XLOOKUP(A1529,'Adj factor'!A:A,'Adj factor'!I:I,,0)*AI1529),'Master DataSheet'!AI1529)</f>
        <v>567</v>
      </c>
      <c r="AM1529" s="91">
        <f t="shared" si="431"/>
        <v>567</v>
      </c>
      <c r="AN1529" s="92" t="str">
        <f t="shared" si="432"/>
        <v>No change</v>
      </c>
      <c r="AS1529" s="94">
        <f t="shared" si="433"/>
        <v>0</v>
      </c>
      <c r="AT1529" s="94">
        <f t="shared" si="434"/>
        <v>4.3770889116449458</v>
      </c>
      <c r="AU1529" s="94">
        <f t="shared" si="435"/>
        <v>4.3633207102285674</v>
      </c>
    </row>
    <row r="1530" spans="1:47" x14ac:dyDescent="0.3">
      <c r="A1530" s="85" t="str">
        <f>_xlfn.XLOOKUP(B1530,'Country codes &amp; Data sources'!G:G,'Country codes &amp; Data sources'!H:H,,0)</f>
        <v>Mauritius</v>
      </c>
      <c r="B1530" s="85" t="s">
        <v>180</v>
      </c>
      <c r="C1530" s="85">
        <v>1288752.5</v>
      </c>
      <c r="D1530" s="85" t="s">
        <v>334</v>
      </c>
      <c r="E1530" s="86">
        <v>0</v>
      </c>
      <c r="F1530" s="86">
        <v>1290691.4999999998</v>
      </c>
      <c r="G1530" s="86">
        <v>0</v>
      </c>
      <c r="H1530" s="86"/>
      <c r="I1530" s="86">
        <v>0</v>
      </c>
      <c r="J1530" s="86"/>
      <c r="K1530" s="86">
        <v>0</v>
      </c>
      <c r="L1530" s="86"/>
      <c r="M1530" s="86">
        <v>0</v>
      </c>
      <c r="N1530" s="86"/>
      <c r="O1530" s="86">
        <v>0</v>
      </c>
      <c r="P1530" s="86">
        <v>1295381.5000000005</v>
      </c>
      <c r="Q1530" s="86">
        <v>0</v>
      </c>
      <c r="R1530" s="87">
        <f t="shared" si="420"/>
        <v>0</v>
      </c>
      <c r="T1530" s="87">
        <v>0</v>
      </c>
      <c r="U1530" s="89"/>
      <c r="V1530" s="89">
        <v>0</v>
      </c>
      <c r="W1530" s="90"/>
      <c r="X1530" s="90">
        <v>0</v>
      </c>
      <c r="Y1530" s="90">
        <v>1299468.9999999986</v>
      </c>
      <c r="Z1530" s="90">
        <v>0</v>
      </c>
      <c r="AA1530" s="90">
        <v>0</v>
      </c>
      <c r="AB1530" s="89">
        <f t="shared" si="421"/>
        <v>0</v>
      </c>
      <c r="AC1530" s="89">
        <f t="shared" si="422"/>
        <v>0</v>
      </c>
      <c r="AD1530" s="89">
        <f t="shared" si="423"/>
        <v>0</v>
      </c>
      <c r="AE1530" s="90">
        <f t="shared" si="424"/>
        <v>0</v>
      </c>
      <c r="AF1530" s="90" t="str">
        <f t="shared" si="425"/>
        <v/>
      </c>
      <c r="AG1530" s="90">
        <f t="shared" si="426"/>
        <v>0</v>
      </c>
      <c r="AH1530" s="90" t="str">
        <f t="shared" si="427"/>
        <v/>
      </c>
      <c r="AI1530" s="90">
        <f t="shared" si="428"/>
        <v>0</v>
      </c>
      <c r="AJ1530" s="90" t="str">
        <f t="shared" si="429"/>
        <v/>
      </c>
      <c r="AK1530" s="90" t="str">
        <f t="shared" si="430"/>
        <v/>
      </c>
      <c r="AL1530" s="91">
        <f>IF(AK1530="Adjust",(_xlfn.XLOOKUP(A1530,'Adj factor'!A:A,'Adj factor'!I:I,,0)*AI1530),'Master DataSheet'!AI1530)</f>
        <v>0</v>
      </c>
      <c r="AM1530" s="91">
        <f t="shared" si="431"/>
        <v>0</v>
      </c>
      <c r="AN1530" s="92" t="str">
        <f t="shared" si="432"/>
        <v>No change</v>
      </c>
      <c r="AS1530" s="94">
        <f t="shared" si="433"/>
        <v>0</v>
      </c>
      <c r="AT1530" s="94">
        <f t="shared" si="434"/>
        <v>0</v>
      </c>
      <c r="AU1530" s="94">
        <f t="shared" si="435"/>
        <v>0</v>
      </c>
    </row>
    <row r="1531" spans="1:47" x14ac:dyDescent="0.3">
      <c r="A1531" s="85" t="str">
        <f>_xlfn.XLOOKUP(B1531,'Country codes &amp; Data sources'!G:G,'Country codes &amp; Data sources'!H:H,,0)</f>
        <v>Mauritius</v>
      </c>
      <c r="B1531" s="85" t="s">
        <v>180</v>
      </c>
      <c r="C1531" s="85">
        <v>1288753.5</v>
      </c>
      <c r="D1531" s="85" t="s">
        <v>335</v>
      </c>
      <c r="E1531" s="86">
        <v>432</v>
      </c>
      <c r="F1531" s="86">
        <v>1290691.4999999998</v>
      </c>
      <c r="G1531" s="86">
        <v>460</v>
      </c>
      <c r="H1531" s="86"/>
      <c r="I1531" s="86">
        <v>494</v>
      </c>
      <c r="J1531" s="86"/>
      <c r="K1531" s="86">
        <v>497</v>
      </c>
      <c r="L1531" s="86"/>
      <c r="M1531" s="86">
        <v>514</v>
      </c>
      <c r="N1531" s="86"/>
      <c r="O1531" s="86">
        <v>531</v>
      </c>
      <c r="P1531" s="86">
        <v>1295381.5000000005</v>
      </c>
      <c r="Q1531" s="86">
        <v>748</v>
      </c>
      <c r="R1531" s="87">
        <f t="shared" si="420"/>
        <v>748</v>
      </c>
      <c r="T1531" s="87">
        <v>0</v>
      </c>
      <c r="U1531" s="89"/>
      <c r="V1531" s="89">
        <v>0</v>
      </c>
      <c r="W1531" s="90"/>
      <c r="X1531" s="90">
        <v>0</v>
      </c>
      <c r="Y1531" s="90">
        <v>1299468.9999999986</v>
      </c>
      <c r="Z1531" s="90">
        <v>35</v>
      </c>
      <c r="AA1531" s="90">
        <v>531</v>
      </c>
      <c r="AB1531" s="89">
        <f t="shared" si="421"/>
        <v>497</v>
      </c>
      <c r="AC1531" s="89">
        <f t="shared" si="422"/>
        <v>748</v>
      </c>
      <c r="AD1531" s="89">
        <f t="shared" si="423"/>
        <v>35</v>
      </c>
      <c r="AE1531" s="90">
        <f t="shared" si="424"/>
        <v>460</v>
      </c>
      <c r="AF1531" s="90">
        <f t="shared" si="425"/>
        <v>2013</v>
      </c>
      <c r="AG1531" s="90">
        <f t="shared" si="426"/>
        <v>748</v>
      </c>
      <c r="AH1531" s="90">
        <f t="shared" si="427"/>
        <v>2018</v>
      </c>
      <c r="AI1531" s="90">
        <f t="shared" si="428"/>
        <v>35</v>
      </c>
      <c r="AJ1531" s="90">
        <f t="shared" si="429"/>
        <v>2022</v>
      </c>
      <c r="AK1531" s="90" t="str">
        <f t="shared" si="430"/>
        <v>Adjust</v>
      </c>
      <c r="AL1531" s="91">
        <f>IF(AK1531="Adjust",(_xlfn.XLOOKUP(A1531,'Adj factor'!A:A,'Adj factor'!I:I,,0)*AI1531),'Master DataSheet'!AI1531)</f>
        <v>41.271988720290047</v>
      </c>
      <c r="AM1531" s="91">
        <f t="shared" si="431"/>
        <v>748</v>
      </c>
      <c r="AN1531" s="92" t="str">
        <f t="shared" si="432"/>
        <v>Decreasing</v>
      </c>
      <c r="AS1531" s="94">
        <f t="shared" si="433"/>
        <v>3.5639810132785414</v>
      </c>
      <c r="AT1531" s="94">
        <f t="shared" si="434"/>
        <v>5.7743606806180248</v>
      </c>
      <c r="AU1531" s="94">
        <f t="shared" si="435"/>
        <v>5.7561973390669632</v>
      </c>
    </row>
    <row r="1532" spans="1:47" x14ac:dyDescent="0.3">
      <c r="A1532" s="85" t="str">
        <f>_xlfn.XLOOKUP(B1532,'Country codes &amp; Data sources'!G:G,'Country codes &amp; Data sources'!H:H,,0)</f>
        <v>Mauritius</v>
      </c>
      <c r="B1532" s="85" t="s">
        <v>180</v>
      </c>
      <c r="C1532" s="85">
        <v>1288754.5</v>
      </c>
      <c r="D1532" s="85" t="s">
        <v>336</v>
      </c>
      <c r="E1532" s="86">
        <v>0</v>
      </c>
      <c r="F1532" s="86">
        <v>1290691.4999999998</v>
      </c>
      <c r="G1532" s="86">
        <v>0</v>
      </c>
      <c r="H1532" s="86"/>
      <c r="I1532" s="86">
        <v>0</v>
      </c>
      <c r="J1532" s="86"/>
      <c r="K1532" s="86">
        <v>0</v>
      </c>
      <c r="L1532" s="86"/>
      <c r="M1532" s="86">
        <v>0</v>
      </c>
      <c r="N1532" s="86"/>
      <c r="O1532" s="86">
        <v>0</v>
      </c>
      <c r="P1532" s="86">
        <v>1295381.5000000005</v>
      </c>
      <c r="Q1532" s="86">
        <v>0</v>
      </c>
      <c r="R1532" s="87">
        <f t="shared" si="420"/>
        <v>217</v>
      </c>
      <c r="T1532" s="87">
        <v>0</v>
      </c>
      <c r="U1532" s="89"/>
      <c r="V1532" s="89">
        <v>0</v>
      </c>
      <c r="W1532" s="90"/>
      <c r="X1532" s="90">
        <v>0</v>
      </c>
      <c r="Y1532" s="90">
        <v>1299468.9999999986</v>
      </c>
      <c r="Z1532" s="90">
        <v>314</v>
      </c>
      <c r="AA1532" s="90">
        <v>217</v>
      </c>
      <c r="AB1532" s="89">
        <f t="shared" si="421"/>
        <v>0</v>
      </c>
      <c r="AC1532" s="89">
        <f t="shared" si="422"/>
        <v>0</v>
      </c>
      <c r="AD1532" s="89">
        <f t="shared" si="423"/>
        <v>314</v>
      </c>
      <c r="AE1532" s="90">
        <f t="shared" si="424"/>
        <v>0</v>
      </c>
      <c r="AF1532" s="90" t="str">
        <f t="shared" si="425"/>
        <v/>
      </c>
      <c r="AG1532" s="90">
        <f t="shared" si="426"/>
        <v>217</v>
      </c>
      <c r="AH1532" s="90" t="str">
        <f t="shared" si="427"/>
        <v>2018 (triag)</v>
      </c>
      <c r="AI1532" s="90">
        <f t="shared" si="428"/>
        <v>314</v>
      </c>
      <c r="AJ1532" s="90">
        <f t="shared" si="429"/>
        <v>2022</v>
      </c>
      <c r="AK1532" s="90" t="str">
        <f t="shared" si="430"/>
        <v/>
      </c>
      <c r="AL1532" s="91">
        <f>IF(AK1532="Adjust",(_xlfn.XLOOKUP(A1532,'Adj factor'!A:A,'Adj factor'!I:I,,0)*AI1532),'Master DataSheet'!AI1532)</f>
        <v>314</v>
      </c>
      <c r="AM1532" s="91">
        <f t="shared" si="431"/>
        <v>314</v>
      </c>
      <c r="AN1532" s="92" t="str">
        <f t="shared" si="432"/>
        <v>Increasing</v>
      </c>
      <c r="AS1532" s="94">
        <f t="shared" si="433"/>
        <v>0</v>
      </c>
      <c r="AT1532" s="94">
        <f t="shared" si="434"/>
        <v>1.6751821760616461</v>
      </c>
      <c r="AU1532" s="94">
        <f t="shared" si="435"/>
        <v>2.4163716102500357</v>
      </c>
    </row>
    <row r="1533" spans="1:47" x14ac:dyDescent="0.3">
      <c r="A1533" s="85" t="str">
        <f>_xlfn.XLOOKUP(B1533,'Country codes &amp; Data sources'!G:G,'Country codes &amp; Data sources'!H:H,,0)</f>
        <v>Mauritius</v>
      </c>
      <c r="B1533" s="85" t="s">
        <v>180</v>
      </c>
      <c r="C1533" s="85">
        <v>1288755.5</v>
      </c>
      <c r="D1533" s="85" t="s">
        <v>337</v>
      </c>
      <c r="E1533" s="86">
        <v>301</v>
      </c>
      <c r="F1533" s="86">
        <v>1290691.4999999998</v>
      </c>
      <c r="G1533" s="86">
        <v>351</v>
      </c>
      <c r="H1533" s="86"/>
      <c r="I1533" s="86">
        <v>366</v>
      </c>
      <c r="J1533" s="86"/>
      <c r="K1533" s="86">
        <v>380</v>
      </c>
      <c r="L1533" s="86"/>
      <c r="M1533" s="86">
        <v>385</v>
      </c>
      <c r="N1533" s="86"/>
      <c r="O1533" s="86">
        <v>401</v>
      </c>
      <c r="P1533" s="86">
        <v>1295381.5000000005</v>
      </c>
      <c r="Q1533" s="86">
        <v>466</v>
      </c>
      <c r="R1533" s="87">
        <f t="shared" si="420"/>
        <v>466</v>
      </c>
      <c r="T1533" s="87">
        <v>351</v>
      </c>
      <c r="U1533" s="89"/>
      <c r="V1533" s="89">
        <v>0</v>
      </c>
      <c r="W1533" s="90"/>
      <c r="X1533" s="90">
        <v>0</v>
      </c>
      <c r="Y1533" s="90">
        <v>1299468.9999999986</v>
      </c>
      <c r="Z1533" s="90">
        <v>0</v>
      </c>
      <c r="AA1533" s="90">
        <v>401</v>
      </c>
      <c r="AB1533" s="89">
        <f t="shared" si="421"/>
        <v>380</v>
      </c>
      <c r="AC1533" s="89">
        <f t="shared" si="422"/>
        <v>466</v>
      </c>
      <c r="AD1533" s="89">
        <f t="shared" si="423"/>
        <v>0</v>
      </c>
      <c r="AE1533" s="90">
        <f t="shared" si="424"/>
        <v>351</v>
      </c>
      <c r="AF1533" s="90">
        <f t="shared" si="425"/>
        <v>2013</v>
      </c>
      <c r="AG1533" s="90">
        <f t="shared" si="426"/>
        <v>466</v>
      </c>
      <c r="AH1533" s="90">
        <f t="shared" si="427"/>
        <v>2018</v>
      </c>
      <c r="AI1533" s="90">
        <f t="shared" si="428"/>
        <v>351</v>
      </c>
      <c r="AJ1533" s="90">
        <f t="shared" si="429"/>
        <v>2018</v>
      </c>
      <c r="AK1533" s="90" t="str">
        <f t="shared" si="430"/>
        <v>Adjust</v>
      </c>
      <c r="AL1533" s="91">
        <f>IF(AK1533="Adjust",(_xlfn.XLOOKUP(A1533,'Adj factor'!A:A,'Adj factor'!I:I,,0)*AI1533),'Master DataSheet'!AI1533)</f>
        <v>413.89908688062309</v>
      </c>
      <c r="AM1533" s="91">
        <f t="shared" si="431"/>
        <v>466</v>
      </c>
      <c r="AN1533" s="92" t="str">
        <f t="shared" si="432"/>
        <v>Decreasing</v>
      </c>
      <c r="AS1533" s="94">
        <f t="shared" si="433"/>
        <v>2.7194724688277567</v>
      </c>
      <c r="AT1533" s="94">
        <f t="shared" si="434"/>
        <v>3.5973958250909082</v>
      </c>
      <c r="AU1533" s="94">
        <f t="shared" si="435"/>
        <v>3.5860801604347659</v>
      </c>
    </row>
    <row r="1534" spans="1:47" x14ac:dyDescent="0.3">
      <c r="A1534" s="85" t="str">
        <f>_xlfn.XLOOKUP(B1534,'Country codes &amp; Data sources'!G:G,'Country codes &amp; Data sources'!H:H,,0)</f>
        <v>Mauritius</v>
      </c>
      <c r="B1534" s="85" t="s">
        <v>180</v>
      </c>
      <c r="C1534" s="85">
        <v>1288756.5</v>
      </c>
      <c r="D1534" s="85" t="s">
        <v>338</v>
      </c>
      <c r="E1534" s="86">
        <v>0</v>
      </c>
      <c r="F1534" s="86">
        <v>1290691.4999999998</v>
      </c>
      <c r="G1534" s="86">
        <v>0</v>
      </c>
      <c r="H1534" s="86"/>
      <c r="I1534" s="86">
        <v>0</v>
      </c>
      <c r="J1534" s="86"/>
      <c r="K1534" s="86">
        <v>0</v>
      </c>
      <c r="L1534" s="86"/>
      <c r="M1534" s="86">
        <v>0</v>
      </c>
      <c r="N1534" s="86"/>
      <c r="O1534" s="86">
        <v>0</v>
      </c>
      <c r="P1534" s="86">
        <v>1295381.5000000005</v>
      </c>
      <c r="Q1534" s="86">
        <v>0</v>
      </c>
      <c r="R1534" s="87">
        <f t="shared" si="420"/>
        <v>65</v>
      </c>
      <c r="T1534" s="87">
        <v>0</v>
      </c>
      <c r="U1534" s="89"/>
      <c r="V1534" s="89">
        <v>0</v>
      </c>
      <c r="W1534" s="90"/>
      <c r="X1534" s="90">
        <v>0</v>
      </c>
      <c r="Y1534" s="90">
        <v>1299468.9999999986</v>
      </c>
      <c r="Z1534" s="90">
        <v>78</v>
      </c>
      <c r="AA1534" s="90">
        <v>65</v>
      </c>
      <c r="AB1534" s="89">
        <f t="shared" si="421"/>
        <v>0</v>
      </c>
      <c r="AC1534" s="89">
        <f t="shared" si="422"/>
        <v>0</v>
      </c>
      <c r="AD1534" s="89">
        <f t="shared" si="423"/>
        <v>78</v>
      </c>
      <c r="AE1534" s="90">
        <f t="shared" si="424"/>
        <v>0</v>
      </c>
      <c r="AF1534" s="90" t="str">
        <f t="shared" si="425"/>
        <v/>
      </c>
      <c r="AG1534" s="90">
        <f t="shared" si="426"/>
        <v>65</v>
      </c>
      <c r="AH1534" s="90" t="str">
        <f t="shared" si="427"/>
        <v>2018 (triag)</v>
      </c>
      <c r="AI1534" s="90">
        <f t="shared" si="428"/>
        <v>78</v>
      </c>
      <c r="AJ1534" s="90">
        <f t="shared" si="429"/>
        <v>2022</v>
      </c>
      <c r="AK1534" s="90" t="str">
        <f t="shared" si="430"/>
        <v/>
      </c>
      <c r="AL1534" s="91">
        <f>IF(AK1534="Adjust",(_xlfn.XLOOKUP(A1534,'Adj factor'!A:A,'Adj factor'!I:I,,0)*AI1534),'Master DataSheet'!AI1534)</f>
        <v>78</v>
      </c>
      <c r="AM1534" s="91">
        <f t="shared" si="431"/>
        <v>78</v>
      </c>
      <c r="AN1534" s="92" t="str">
        <f t="shared" si="432"/>
        <v>Increasing</v>
      </c>
      <c r="AS1534" s="94">
        <f t="shared" si="433"/>
        <v>0</v>
      </c>
      <c r="AT1534" s="94">
        <f t="shared" si="434"/>
        <v>0.50178267946547006</v>
      </c>
      <c r="AU1534" s="94">
        <f t="shared" si="435"/>
        <v>0.60024517706848013</v>
      </c>
    </row>
    <row r="1535" spans="1:47" x14ac:dyDescent="0.3">
      <c r="A1535" s="85" t="str">
        <f>_xlfn.XLOOKUP(B1535,'Country codes &amp; Data sources'!G:G,'Country codes &amp; Data sources'!H:H,,0)</f>
        <v>Mauritius</v>
      </c>
      <c r="B1535" s="85" t="s">
        <v>180</v>
      </c>
      <c r="C1535" s="85">
        <v>1288757.5</v>
      </c>
      <c r="D1535" s="85" t="s">
        <v>339</v>
      </c>
      <c r="E1535" s="86">
        <v>0</v>
      </c>
      <c r="F1535" s="86">
        <v>1290691.4999999998</v>
      </c>
      <c r="G1535" s="86">
        <v>0</v>
      </c>
      <c r="H1535" s="86"/>
      <c r="I1535" s="86">
        <v>0</v>
      </c>
      <c r="J1535" s="86"/>
      <c r="K1535" s="86">
        <v>0</v>
      </c>
      <c r="L1535" s="86"/>
      <c r="M1535" s="86">
        <v>0</v>
      </c>
      <c r="N1535" s="86"/>
      <c r="O1535" s="86">
        <v>0</v>
      </c>
      <c r="P1535" s="86">
        <v>1295381.5000000005</v>
      </c>
      <c r="Q1535" s="86">
        <v>0</v>
      </c>
      <c r="R1535" s="87">
        <f t="shared" si="420"/>
        <v>0</v>
      </c>
      <c r="T1535" s="87">
        <v>0</v>
      </c>
      <c r="U1535" s="89"/>
      <c r="V1535" s="89">
        <v>0</v>
      </c>
      <c r="W1535" s="90"/>
      <c r="X1535" s="90">
        <v>0</v>
      </c>
      <c r="Y1535" s="90">
        <v>1299468.9999999986</v>
      </c>
      <c r="Z1535" s="90">
        <v>16</v>
      </c>
      <c r="AA1535" s="90">
        <v>0</v>
      </c>
      <c r="AB1535" s="89">
        <f t="shared" si="421"/>
        <v>0</v>
      </c>
      <c r="AC1535" s="89">
        <f t="shared" si="422"/>
        <v>0</v>
      </c>
      <c r="AD1535" s="89">
        <f t="shared" si="423"/>
        <v>16</v>
      </c>
      <c r="AE1535" s="90">
        <f t="shared" si="424"/>
        <v>0</v>
      </c>
      <c r="AF1535" s="90" t="str">
        <f t="shared" si="425"/>
        <v/>
      </c>
      <c r="AG1535" s="90">
        <f t="shared" si="426"/>
        <v>0</v>
      </c>
      <c r="AH1535" s="90" t="str">
        <f t="shared" si="427"/>
        <v/>
      </c>
      <c r="AI1535" s="90">
        <f t="shared" si="428"/>
        <v>16</v>
      </c>
      <c r="AJ1535" s="90">
        <f t="shared" si="429"/>
        <v>2022</v>
      </c>
      <c r="AK1535" s="90" t="str">
        <f t="shared" si="430"/>
        <v/>
      </c>
      <c r="AL1535" s="91">
        <f>IF(AK1535="Adjust",(_xlfn.XLOOKUP(A1535,'Adj factor'!A:A,'Adj factor'!I:I,,0)*AI1535),'Master DataSheet'!AI1535)</f>
        <v>16</v>
      </c>
      <c r="AM1535" s="91">
        <f t="shared" si="431"/>
        <v>16</v>
      </c>
      <c r="AN1535" s="92" t="str">
        <f t="shared" si="432"/>
        <v>Increasing</v>
      </c>
      <c r="AS1535" s="94">
        <f t="shared" si="433"/>
        <v>0</v>
      </c>
      <c r="AT1535" s="94">
        <f t="shared" si="434"/>
        <v>0</v>
      </c>
      <c r="AU1535" s="94">
        <f t="shared" si="435"/>
        <v>0.123127215808919</v>
      </c>
    </row>
    <row r="1536" spans="1:47" x14ac:dyDescent="0.3">
      <c r="A1536" s="85" t="str">
        <f>_xlfn.XLOOKUP(B1536,'Country codes &amp; Data sources'!G:G,'Country codes &amp; Data sources'!H:H,,0)</f>
        <v>Malawi</v>
      </c>
      <c r="B1536" s="85" t="s">
        <v>178</v>
      </c>
      <c r="C1536" s="85">
        <v>15581250.5</v>
      </c>
      <c r="D1536" s="85" t="s">
        <v>326</v>
      </c>
      <c r="E1536" s="86">
        <v>0</v>
      </c>
      <c r="F1536" s="86">
        <v>16024775.499999996</v>
      </c>
      <c r="G1536" s="86">
        <v>200</v>
      </c>
      <c r="H1536" s="86">
        <v>16477966.500000002</v>
      </c>
      <c r="I1536" s="86">
        <v>0</v>
      </c>
      <c r="J1536" s="86">
        <v>16938941.500000004</v>
      </c>
      <c r="K1536" s="86">
        <v>0</v>
      </c>
      <c r="L1536" s="86">
        <v>17405623.5</v>
      </c>
      <c r="M1536" s="86">
        <v>539</v>
      </c>
      <c r="N1536" s="86">
        <v>17881167.000000004</v>
      </c>
      <c r="O1536" s="86">
        <v>0</v>
      </c>
      <c r="P1536" s="86">
        <v>18367882.999999985</v>
      </c>
      <c r="Q1536" s="86">
        <v>2760</v>
      </c>
      <c r="R1536" s="87">
        <f t="shared" si="420"/>
        <v>2760</v>
      </c>
      <c r="S1536" s="87">
        <v>18867336.499999993</v>
      </c>
      <c r="T1536" s="87">
        <v>0</v>
      </c>
      <c r="U1536" s="89">
        <v>19377061.499999985</v>
      </c>
      <c r="V1536" s="89">
        <v>958</v>
      </c>
      <c r="W1536" s="90">
        <v>19889742.000000011</v>
      </c>
      <c r="X1536" s="90">
        <v>0</v>
      </c>
      <c r="Y1536" s="90">
        <v>20405316.500000019</v>
      </c>
      <c r="Z1536" s="90">
        <v>996</v>
      </c>
      <c r="AA1536" s="90">
        <v>2760</v>
      </c>
      <c r="AB1536" s="89">
        <f t="shared" si="421"/>
        <v>200</v>
      </c>
      <c r="AC1536" s="89">
        <f t="shared" si="422"/>
        <v>2760</v>
      </c>
      <c r="AD1536" s="89">
        <f t="shared" si="423"/>
        <v>996</v>
      </c>
      <c r="AE1536" s="90">
        <f t="shared" si="424"/>
        <v>200</v>
      </c>
      <c r="AF1536" s="90">
        <f t="shared" si="425"/>
        <v>2013</v>
      </c>
      <c r="AG1536" s="90">
        <f t="shared" si="426"/>
        <v>2760</v>
      </c>
      <c r="AH1536" s="90">
        <f t="shared" si="427"/>
        <v>2018</v>
      </c>
      <c r="AI1536" s="90">
        <f t="shared" si="428"/>
        <v>996</v>
      </c>
      <c r="AJ1536" s="90">
        <f t="shared" si="429"/>
        <v>2022</v>
      </c>
      <c r="AK1536" s="90" t="str">
        <f t="shared" si="430"/>
        <v>Adjust</v>
      </c>
      <c r="AL1536" s="91">
        <f>IF(AK1536="Adjust",(_xlfn.XLOOKUP(A1536,'Adj factor'!A:A,'Adj factor'!I:I,,0)*AI1536),'Master DataSheet'!AI1536)</f>
        <v>1103.5637751855782</v>
      </c>
      <c r="AM1536" s="91">
        <f t="shared" si="431"/>
        <v>2760</v>
      </c>
      <c r="AN1536" s="92" t="str">
        <f t="shared" si="432"/>
        <v>Decreasing</v>
      </c>
      <c r="AS1536" s="94">
        <f t="shared" si="433"/>
        <v>0.12480674066229511</v>
      </c>
      <c r="AT1536" s="94">
        <f t="shared" si="434"/>
        <v>1.5026228117851155</v>
      </c>
      <c r="AU1536" s="94">
        <f t="shared" si="435"/>
        <v>1.3525886746231051</v>
      </c>
    </row>
    <row r="1537" spans="1:47" x14ac:dyDescent="0.3">
      <c r="A1537" s="85" t="str">
        <f>_xlfn.XLOOKUP(B1537,'Country codes &amp; Data sources'!G:G,'Country codes &amp; Data sources'!H:H,,0)</f>
        <v>Malawi</v>
      </c>
      <c r="B1537" s="85" t="s">
        <v>178</v>
      </c>
      <c r="C1537" s="85">
        <v>15581251.5</v>
      </c>
      <c r="D1537" s="85" t="s">
        <v>327</v>
      </c>
      <c r="E1537" s="86">
        <v>0</v>
      </c>
      <c r="F1537" s="86">
        <v>16024775.499999996</v>
      </c>
      <c r="G1537" s="86">
        <v>0</v>
      </c>
      <c r="H1537" s="86"/>
      <c r="I1537" s="86">
        <v>0</v>
      </c>
      <c r="J1537" s="86"/>
      <c r="K1537" s="86">
        <v>0</v>
      </c>
      <c r="L1537" s="86"/>
      <c r="M1537" s="86">
        <v>255</v>
      </c>
      <c r="N1537" s="86"/>
      <c r="O1537" s="86">
        <v>0</v>
      </c>
      <c r="P1537" s="86">
        <v>18367882.999999985</v>
      </c>
      <c r="Q1537" s="86">
        <v>2582</v>
      </c>
      <c r="R1537" s="87">
        <f t="shared" si="420"/>
        <v>2582</v>
      </c>
      <c r="T1537" s="87">
        <v>0</v>
      </c>
      <c r="U1537" s="89"/>
      <c r="V1537" s="89">
        <v>639</v>
      </c>
      <c r="W1537" s="90"/>
      <c r="X1537" s="90">
        <v>0</v>
      </c>
      <c r="Y1537" s="90">
        <v>20405316.500000019</v>
      </c>
      <c r="Z1537" s="90">
        <v>843</v>
      </c>
      <c r="AA1537" s="90">
        <v>2582</v>
      </c>
      <c r="AB1537" s="89">
        <f t="shared" si="421"/>
        <v>0</v>
      </c>
      <c r="AC1537" s="89">
        <f t="shared" si="422"/>
        <v>2582</v>
      </c>
      <c r="AD1537" s="89">
        <f t="shared" si="423"/>
        <v>843</v>
      </c>
      <c r="AE1537" s="90">
        <f t="shared" si="424"/>
        <v>0</v>
      </c>
      <c r="AF1537" s="90" t="str">
        <f t="shared" si="425"/>
        <v/>
      </c>
      <c r="AG1537" s="90">
        <f t="shared" si="426"/>
        <v>2582</v>
      </c>
      <c r="AH1537" s="90">
        <f t="shared" si="427"/>
        <v>2018</v>
      </c>
      <c r="AI1537" s="90">
        <f t="shared" si="428"/>
        <v>843</v>
      </c>
      <c r="AJ1537" s="90">
        <f t="shared" si="429"/>
        <v>2022</v>
      </c>
      <c r="AK1537" s="90" t="str">
        <f t="shared" si="430"/>
        <v>Adjust</v>
      </c>
      <c r="AL1537" s="91">
        <f>IF(AK1537="Adjust",(_xlfn.XLOOKUP(A1537,'Adj factor'!A:A,'Adj factor'!I:I,,0)*AI1537),'Master DataSheet'!AI1537)</f>
        <v>934.04042417815492</v>
      </c>
      <c r="AM1537" s="91">
        <f t="shared" si="431"/>
        <v>2582</v>
      </c>
      <c r="AN1537" s="92" t="str">
        <f t="shared" si="432"/>
        <v>Decreasing</v>
      </c>
      <c r="AS1537" s="94">
        <f t="shared" si="433"/>
        <v>0</v>
      </c>
      <c r="AT1537" s="94">
        <f t="shared" si="434"/>
        <v>1.4057145289960755</v>
      </c>
      <c r="AU1537" s="94">
        <f t="shared" si="435"/>
        <v>1.2653565064771222</v>
      </c>
    </row>
    <row r="1538" spans="1:47" x14ac:dyDescent="0.3">
      <c r="A1538" s="85" t="str">
        <f>_xlfn.XLOOKUP(B1538,'Country codes &amp; Data sources'!G:G,'Country codes &amp; Data sources'!H:H,,0)</f>
        <v>Malawi</v>
      </c>
      <c r="B1538" s="85" t="s">
        <v>178</v>
      </c>
      <c r="C1538" s="85">
        <v>15581252.5</v>
      </c>
      <c r="D1538" s="85" t="s">
        <v>328</v>
      </c>
      <c r="E1538" s="86">
        <v>0</v>
      </c>
      <c r="F1538" s="86">
        <v>16024775.499999996</v>
      </c>
      <c r="G1538" s="86">
        <v>32</v>
      </c>
      <c r="H1538" s="86"/>
      <c r="I1538" s="86">
        <v>0</v>
      </c>
      <c r="J1538" s="86"/>
      <c r="K1538" s="86">
        <v>0</v>
      </c>
      <c r="L1538" s="86"/>
      <c r="M1538" s="86">
        <v>0</v>
      </c>
      <c r="N1538" s="86"/>
      <c r="O1538" s="86">
        <v>0</v>
      </c>
      <c r="P1538" s="86">
        <v>18367882.999999985</v>
      </c>
      <c r="Q1538" s="86">
        <v>178</v>
      </c>
      <c r="R1538" s="87">
        <f t="shared" si="420"/>
        <v>178</v>
      </c>
      <c r="T1538" s="87">
        <v>0</v>
      </c>
      <c r="U1538" s="89"/>
      <c r="V1538" s="89">
        <v>319</v>
      </c>
      <c r="W1538" s="90"/>
      <c r="X1538" s="90">
        <v>0</v>
      </c>
      <c r="Y1538" s="90">
        <v>20405316.500000019</v>
      </c>
      <c r="Z1538" s="90">
        <v>141</v>
      </c>
      <c r="AA1538" s="90">
        <v>178</v>
      </c>
      <c r="AB1538" s="89">
        <f t="shared" si="421"/>
        <v>32</v>
      </c>
      <c r="AC1538" s="89">
        <f t="shared" si="422"/>
        <v>178</v>
      </c>
      <c r="AD1538" s="89">
        <f t="shared" si="423"/>
        <v>319</v>
      </c>
      <c r="AE1538" s="90">
        <f t="shared" si="424"/>
        <v>32</v>
      </c>
      <c r="AF1538" s="90">
        <f t="shared" si="425"/>
        <v>2013</v>
      </c>
      <c r="AG1538" s="90">
        <f t="shared" si="426"/>
        <v>178</v>
      </c>
      <c r="AH1538" s="90">
        <f t="shared" si="427"/>
        <v>2018</v>
      </c>
      <c r="AI1538" s="90">
        <f t="shared" si="428"/>
        <v>141</v>
      </c>
      <c r="AJ1538" s="90">
        <f t="shared" si="429"/>
        <v>2022</v>
      </c>
      <c r="AK1538" s="90" t="str">
        <f t="shared" si="430"/>
        <v>Adjust</v>
      </c>
      <c r="AL1538" s="91">
        <f>IF(AK1538="Adjust",(_xlfn.XLOOKUP(A1538,'Adj factor'!A:A,'Adj factor'!I:I,,0)*AI1538),'Master DataSheet'!AI1538)</f>
        <v>156.22740190880171</v>
      </c>
      <c r="AM1538" s="91">
        <f t="shared" si="431"/>
        <v>178</v>
      </c>
      <c r="AN1538" s="92" t="str">
        <f t="shared" si="432"/>
        <v>Decreasing</v>
      </c>
      <c r="AS1538" s="94">
        <f t="shared" si="433"/>
        <v>1.9969078505967217E-2</v>
      </c>
      <c r="AT1538" s="94">
        <f t="shared" si="434"/>
        <v>9.6908282789040054E-2</v>
      </c>
      <c r="AU1538" s="94">
        <f t="shared" si="435"/>
        <v>8.723216814598285E-2</v>
      </c>
    </row>
    <row r="1539" spans="1:47" x14ac:dyDescent="0.3">
      <c r="A1539" s="85" t="str">
        <f>_xlfn.XLOOKUP(B1539,'Country codes &amp; Data sources'!G:G,'Country codes &amp; Data sources'!H:H,,0)</f>
        <v>Malawi</v>
      </c>
      <c r="B1539" s="85" t="s">
        <v>178</v>
      </c>
      <c r="C1539" s="85">
        <v>15581253.5</v>
      </c>
      <c r="D1539" s="85" t="s">
        <v>329</v>
      </c>
      <c r="E1539" s="86">
        <v>0</v>
      </c>
      <c r="F1539" s="86">
        <v>16024775.499999996</v>
      </c>
      <c r="G1539" s="86">
        <v>3545</v>
      </c>
      <c r="H1539" s="86"/>
      <c r="I1539" s="86">
        <v>0</v>
      </c>
      <c r="J1539" s="86"/>
      <c r="K1539" s="86">
        <v>0</v>
      </c>
      <c r="L1539" s="86"/>
      <c r="M1539" s="86">
        <v>4573</v>
      </c>
      <c r="N1539" s="86"/>
      <c r="O1539" s="86">
        <v>0</v>
      </c>
      <c r="P1539" s="86">
        <v>18367882.999999985</v>
      </c>
      <c r="Q1539" s="86">
        <v>7957</v>
      </c>
      <c r="R1539" s="87">
        <f t="shared" si="420"/>
        <v>7957</v>
      </c>
      <c r="T1539" s="87">
        <v>0</v>
      </c>
      <c r="U1539" s="89"/>
      <c r="V1539" s="89">
        <v>13564</v>
      </c>
      <c r="W1539" s="90"/>
      <c r="X1539" s="90">
        <v>0</v>
      </c>
      <c r="Y1539" s="90">
        <v>20405316.500000019</v>
      </c>
      <c r="Z1539" s="90">
        <v>9592</v>
      </c>
      <c r="AA1539" s="90">
        <v>6025</v>
      </c>
      <c r="AB1539" s="89">
        <f t="shared" si="421"/>
        <v>3545</v>
      </c>
      <c r="AC1539" s="89">
        <f t="shared" si="422"/>
        <v>7957</v>
      </c>
      <c r="AD1539" s="89">
        <f t="shared" si="423"/>
        <v>13564</v>
      </c>
      <c r="AE1539" s="90">
        <f t="shared" si="424"/>
        <v>3545</v>
      </c>
      <c r="AF1539" s="90">
        <f t="shared" si="425"/>
        <v>2013</v>
      </c>
      <c r="AG1539" s="90">
        <f t="shared" si="426"/>
        <v>7957</v>
      </c>
      <c r="AH1539" s="90">
        <f t="shared" si="427"/>
        <v>2018</v>
      </c>
      <c r="AI1539" s="90">
        <f t="shared" si="428"/>
        <v>9592</v>
      </c>
      <c r="AJ1539" s="90">
        <f t="shared" si="429"/>
        <v>2022</v>
      </c>
      <c r="AK1539" s="90" t="str">
        <f t="shared" si="430"/>
        <v/>
      </c>
      <c r="AL1539" s="91">
        <f>IF(AK1539="Adjust",(_xlfn.XLOOKUP(A1539,'Adj factor'!A:A,'Adj factor'!I:I,,0)*AI1539),'Master DataSheet'!AI1539)</f>
        <v>9592</v>
      </c>
      <c r="AM1539" s="91">
        <f t="shared" si="431"/>
        <v>9592</v>
      </c>
      <c r="AN1539" s="92" t="str">
        <f t="shared" si="432"/>
        <v>Increasing</v>
      </c>
      <c r="AS1539" s="94">
        <f t="shared" si="433"/>
        <v>2.2121994782391807</v>
      </c>
      <c r="AT1539" s="94">
        <f t="shared" si="434"/>
        <v>4.3320180120920888</v>
      </c>
      <c r="AU1539" s="94">
        <f t="shared" si="435"/>
        <v>4.7007357126756606</v>
      </c>
    </row>
    <row r="1540" spans="1:47" x14ac:dyDescent="0.3">
      <c r="A1540" s="85" t="str">
        <f>_xlfn.XLOOKUP(B1540,'Country codes &amp; Data sources'!G:G,'Country codes &amp; Data sources'!H:H,,0)</f>
        <v>Malawi</v>
      </c>
      <c r="B1540" s="85" t="s">
        <v>178</v>
      </c>
      <c r="C1540" s="85">
        <v>15581254.5</v>
      </c>
      <c r="D1540" s="85" t="s">
        <v>330</v>
      </c>
      <c r="E1540" s="86">
        <v>0</v>
      </c>
      <c r="F1540" s="86">
        <v>16024775.499999996</v>
      </c>
      <c r="G1540" s="86">
        <v>0</v>
      </c>
      <c r="H1540" s="86"/>
      <c r="I1540" s="86">
        <v>0</v>
      </c>
      <c r="J1540" s="86"/>
      <c r="K1540" s="86">
        <v>0</v>
      </c>
      <c r="L1540" s="86"/>
      <c r="M1540" s="86">
        <v>0</v>
      </c>
      <c r="N1540" s="86"/>
      <c r="O1540" s="86">
        <v>0</v>
      </c>
      <c r="P1540" s="86">
        <v>18367882.999999985</v>
      </c>
      <c r="Q1540" s="86">
        <v>1633</v>
      </c>
      <c r="R1540" s="87">
        <f t="shared" si="420"/>
        <v>1633</v>
      </c>
      <c r="T1540" s="87">
        <v>0</v>
      </c>
      <c r="U1540" s="89"/>
      <c r="V1540" s="89">
        <v>7483</v>
      </c>
      <c r="W1540" s="90"/>
      <c r="X1540" s="90">
        <v>0</v>
      </c>
      <c r="Y1540" s="90">
        <v>20405316.500000019</v>
      </c>
      <c r="Z1540" s="90">
        <v>2891</v>
      </c>
      <c r="AA1540" s="90">
        <v>1549</v>
      </c>
      <c r="AB1540" s="89">
        <f t="shared" si="421"/>
        <v>0</v>
      </c>
      <c r="AC1540" s="89">
        <f t="shared" si="422"/>
        <v>1633</v>
      </c>
      <c r="AD1540" s="89">
        <f t="shared" si="423"/>
        <v>7483</v>
      </c>
      <c r="AE1540" s="90">
        <f t="shared" si="424"/>
        <v>0</v>
      </c>
      <c r="AF1540" s="90" t="str">
        <f t="shared" si="425"/>
        <v/>
      </c>
      <c r="AG1540" s="90">
        <f t="shared" si="426"/>
        <v>1633</v>
      </c>
      <c r="AH1540" s="90">
        <f t="shared" si="427"/>
        <v>2018</v>
      </c>
      <c r="AI1540" s="90">
        <f t="shared" si="428"/>
        <v>2891</v>
      </c>
      <c r="AJ1540" s="90">
        <f t="shared" si="429"/>
        <v>2022</v>
      </c>
      <c r="AK1540" s="90" t="str">
        <f t="shared" si="430"/>
        <v/>
      </c>
      <c r="AL1540" s="91">
        <f>IF(AK1540="Adjust",(_xlfn.XLOOKUP(A1540,'Adj factor'!A:A,'Adj factor'!I:I,,0)*AI1540),'Master DataSheet'!AI1540)</f>
        <v>2891</v>
      </c>
      <c r="AM1540" s="91">
        <f t="shared" si="431"/>
        <v>2891</v>
      </c>
      <c r="AN1540" s="92" t="str">
        <f t="shared" si="432"/>
        <v>Increasing</v>
      </c>
      <c r="AS1540" s="94">
        <f t="shared" si="433"/>
        <v>0</v>
      </c>
      <c r="AT1540" s="94">
        <f t="shared" si="434"/>
        <v>0.88905183030619328</v>
      </c>
      <c r="AU1540" s="94">
        <f t="shared" si="435"/>
        <v>1.4167876298316653</v>
      </c>
    </row>
    <row r="1541" spans="1:47" x14ac:dyDescent="0.3">
      <c r="A1541" s="85" t="str">
        <f>_xlfn.XLOOKUP(B1541,'Country codes &amp; Data sources'!G:G,'Country codes &amp; Data sources'!H:H,,0)</f>
        <v>Malawi</v>
      </c>
      <c r="B1541" s="85" t="s">
        <v>178</v>
      </c>
      <c r="C1541" s="85">
        <v>15581255.5</v>
      </c>
      <c r="D1541" s="85" t="s">
        <v>331</v>
      </c>
      <c r="E1541" s="86">
        <v>0</v>
      </c>
      <c r="F1541" s="86">
        <v>16024775.499999996</v>
      </c>
      <c r="G1541" s="86">
        <v>0</v>
      </c>
      <c r="H1541" s="86"/>
      <c r="I1541" s="86">
        <v>0</v>
      </c>
      <c r="J1541" s="86"/>
      <c r="K1541" s="86">
        <v>0</v>
      </c>
      <c r="L1541" s="86"/>
      <c r="M1541" s="86">
        <v>0</v>
      </c>
      <c r="N1541" s="86"/>
      <c r="O1541" s="86">
        <v>0</v>
      </c>
      <c r="P1541" s="86">
        <v>18367882.999999985</v>
      </c>
      <c r="Q1541" s="86">
        <v>6324</v>
      </c>
      <c r="R1541" s="87">
        <f t="shared" si="420"/>
        <v>6324</v>
      </c>
      <c r="T1541" s="87">
        <v>0</v>
      </c>
      <c r="U1541" s="89"/>
      <c r="V1541" s="89">
        <v>6004</v>
      </c>
      <c r="W1541" s="90"/>
      <c r="X1541" s="90">
        <v>0</v>
      </c>
      <c r="Y1541" s="90">
        <v>20405316.500000019</v>
      </c>
      <c r="Z1541" s="90">
        <v>6474</v>
      </c>
      <c r="AA1541" s="90">
        <v>4476</v>
      </c>
      <c r="AB1541" s="89">
        <f t="shared" si="421"/>
        <v>0</v>
      </c>
      <c r="AC1541" s="89">
        <f t="shared" si="422"/>
        <v>6324</v>
      </c>
      <c r="AD1541" s="89">
        <f t="shared" si="423"/>
        <v>6474</v>
      </c>
      <c r="AE1541" s="90">
        <f t="shared" si="424"/>
        <v>0</v>
      </c>
      <c r="AF1541" s="90" t="str">
        <f t="shared" si="425"/>
        <v/>
      </c>
      <c r="AG1541" s="90">
        <f t="shared" si="426"/>
        <v>6324</v>
      </c>
      <c r="AH1541" s="90">
        <f t="shared" si="427"/>
        <v>2018</v>
      </c>
      <c r="AI1541" s="90">
        <f t="shared" si="428"/>
        <v>6474</v>
      </c>
      <c r="AJ1541" s="90">
        <f t="shared" si="429"/>
        <v>2022</v>
      </c>
      <c r="AK1541" s="90" t="str">
        <f t="shared" si="430"/>
        <v/>
      </c>
      <c r="AL1541" s="91">
        <f>IF(AK1541="Adjust",(_xlfn.XLOOKUP(A1541,'Adj factor'!A:A,'Adj factor'!I:I,,0)*AI1541),'Master DataSheet'!AI1541)</f>
        <v>6474</v>
      </c>
      <c r="AM1541" s="91">
        <f t="shared" si="431"/>
        <v>6474</v>
      </c>
      <c r="AN1541" s="92" t="str">
        <f t="shared" si="432"/>
        <v>Increasing</v>
      </c>
      <c r="AS1541" s="94">
        <f t="shared" si="433"/>
        <v>0</v>
      </c>
      <c r="AT1541" s="94">
        <f t="shared" si="434"/>
        <v>3.442966181785895</v>
      </c>
      <c r="AU1541" s="94">
        <f t="shared" si="435"/>
        <v>3.1727025650398484</v>
      </c>
    </row>
    <row r="1542" spans="1:47" x14ac:dyDescent="0.3">
      <c r="A1542" s="85" t="str">
        <f>_xlfn.XLOOKUP(B1542,'Country codes &amp; Data sources'!G:G,'Country codes &amp; Data sources'!H:H,,0)</f>
        <v>Malawi</v>
      </c>
      <c r="B1542" s="85" t="s">
        <v>178</v>
      </c>
      <c r="C1542" s="85">
        <v>15581256.5</v>
      </c>
      <c r="D1542" s="85" t="s">
        <v>332</v>
      </c>
      <c r="E1542" s="86">
        <v>0</v>
      </c>
      <c r="F1542" s="86">
        <v>16024775.499999996</v>
      </c>
      <c r="G1542" s="86">
        <v>48</v>
      </c>
      <c r="H1542" s="86"/>
      <c r="I1542" s="86">
        <v>0</v>
      </c>
      <c r="J1542" s="86"/>
      <c r="K1542" s="86">
        <v>0</v>
      </c>
      <c r="L1542" s="86"/>
      <c r="M1542" s="86">
        <v>568</v>
      </c>
      <c r="N1542" s="86"/>
      <c r="O1542" s="86">
        <v>0</v>
      </c>
      <c r="P1542" s="86">
        <v>18367882.999999985</v>
      </c>
      <c r="Q1542" s="86">
        <v>0</v>
      </c>
      <c r="R1542" s="87">
        <f t="shared" si="420"/>
        <v>0</v>
      </c>
      <c r="T1542" s="87">
        <v>0</v>
      </c>
      <c r="U1542" s="89"/>
      <c r="V1542" s="89">
        <v>0</v>
      </c>
      <c r="W1542" s="90"/>
      <c r="X1542" s="90">
        <v>0</v>
      </c>
      <c r="Y1542" s="90">
        <v>20405316.500000019</v>
      </c>
      <c r="Z1542" s="90">
        <v>616</v>
      </c>
      <c r="AA1542" s="90">
        <v>0</v>
      </c>
      <c r="AB1542" s="89">
        <f t="shared" si="421"/>
        <v>48</v>
      </c>
      <c r="AC1542" s="89">
        <f t="shared" si="422"/>
        <v>568</v>
      </c>
      <c r="AD1542" s="89">
        <f t="shared" si="423"/>
        <v>616</v>
      </c>
      <c r="AE1542" s="90">
        <f t="shared" si="424"/>
        <v>48</v>
      </c>
      <c r="AF1542" s="90">
        <f t="shared" si="425"/>
        <v>2013</v>
      </c>
      <c r="AG1542" s="90">
        <f t="shared" si="426"/>
        <v>0</v>
      </c>
      <c r="AH1542" s="90" t="str">
        <f t="shared" si="427"/>
        <v/>
      </c>
      <c r="AI1542" s="90">
        <f t="shared" si="428"/>
        <v>616</v>
      </c>
      <c r="AJ1542" s="90">
        <f t="shared" si="429"/>
        <v>2022</v>
      </c>
      <c r="AK1542" s="90" t="str">
        <f t="shared" si="430"/>
        <v/>
      </c>
      <c r="AL1542" s="91">
        <f>IF(AK1542="Adjust",(_xlfn.XLOOKUP(A1542,'Adj factor'!A:A,'Adj factor'!I:I,,0)*AI1542),'Master DataSheet'!AI1542)</f>
        <v>616</v>
      </c>
      <c r="AM1542" s="91">
        <f t="shared" si="431"/>
        <v>616</v>
      </c>
      <c r="AN1542" s="92" t="str">
        <f t="shared" si="432"/>
        <v>Increasing</v>
      </c>
      <c r="AS1542" s="94">
        <f t="shared" si="433"/>
        <v>2.9953617758950828E-2</v>
      </c>
      <c r="AT1542" s="94">
        <f t="shared" si="434"/>
        <v>0</v>
      </c>
      <c r="AU1542" s="94">
        <f t="shared" si="435"/>
        <v>0.30188210998834514</v>
      </c>
    </row>
    <row r="1543" spans="1:47" x14ac:dyDescent="0.3">
      <c r="A1543" s="85" t="str">
        <f>_xlfn.XLOOKUP(B1543,'Country codes &amp; Data sources'!G:G,'Country codes &amp; Data sources'!H:H,,0)</f>
        <v>Malawi</v>
      </c>
      <c r="B1543" s="85" t="s">
        <v>178</v>
      </c>
      <c r="C1543" s="85">
        <v>15581257.5</v>
      </c>
      <c r="D1543" s="85" t="s">
        <v>333</v>
      </c>
      <c r="E1543" s="86">
        <v>0</v>
      </c>
      <c r="F1543" s="86">
        <v>16024775.499999996</v>
      </c>
      <c r="G1543" s="86">
        <v>0</v>
      </c>
      <c r="H1543" s="86"/>
      <c r="I1543" s="86">
        <v>0</v>
      </c>
      <c r="J1543" s="86"/>
      <c r="K1543" s="86">
        <v>0</v>
      </c>
      <c r="L1543" s="86"/>
      <c r="M1543" s="86">
        <v>0</v>
      </c>
      <c r="N1543" s="86"/>
      <c r="O1543" s="86">
        <v>0</v>
      </c>
      <c r="P1543" s="86">
        <v>18367882.999999985</v>
      </c>
      <c r="Q1543" s="86">
        <v>0</v>
      </c>
      <c r="R1543" s="87">
        <f t="shared" si="420"/>
        <v>0</v>
      </c>
      <c r="T1543" s="87">
        <v>0</v>
      </c>
      <c r="U1543" s="89"/>
      <c r="V1543" s="89">
        <v>0</v>
      </c>
      <c r="W1543" s="90"/>
      <c r="X1543" s="90">
        <v>0</v>
      </c>
      <c r="Y1543" s="90">
        <v>20405316.500000019</v>
      </c>
      <c r="Z1543" s="90">
        <v>0</v>
      </c>
      <c r="AA1543" s="90">
        <v>0</v>
      </c>
      <c r="AB1543" s="89">
        <f t="shared" si="421"/>
        <v>0</v>
      </c>
      <c r="AC1543" s="89">
        <f t="shared" si="422"/>
        <v>0</v>
      </c>
      <c r="AD1543" s="89">
        <f t="shared" si="423"/>
        <v>0</v>
      </c>
      <c r="AE1543" s="90">
        <f t="shared" si="424"/>
        <v>0</v>
      </c>
      <c r="AF1543" s="90" t="str">
        <f t="shared" si="425"/>
        <v/>
      </c>
      <c r="AG1543" s="90">
        <f t="shared" si="426"/>
        <v>0</v>
      </c>
      <c r="AH1543" s="90" t="str">
        <f t="shared" si="427"/>
        <v/>
      </c>
      <c r="AI1543" s="90">
        <f t="shared" si="428"/>
        <v>0</v>
      </c>
      <c r="AJ1543" s="90" t="str">
        <f t="shared" si="429"/>
        <v/>
      </c>
      <c r="AK1543" s="90" t="str">
        <f t="shared" si="430"/>
        <v/>
      </c>
      <c r="AL1543" s="91">
        <f>IF(AK1543="Adjust",(_xlfn.XLOOKUP(A1543,'Adj factor'!A:A,'Adj factor'!I:I,,0)*AI1543),'Master DataSheet'!AI1543)</f>
        <v>0</v>
      </c>
      <c r="AM1543" s="91">
        <f t="shared" si="431"/>
        <v>0</v>
      </c>
      <c r="AN1543" s="92" t="str">
        <f t="shared" si="432"/>
        <v>No change</v>
      </c>
      <c r="AS1543" s="94">
        <f t="shared" si="433"/>
        <v>0</v>
      </c>
      <c r="AT1543" s="94">
        <f t="shared" si="434"/>
        <v>0</v>
      </c>
      <c r="AU1543" s="94">
        <f t="shared" si="435"/>
        <v>0</v>
      </c>
    </row>
    <row r="1544" spans="1:47" x14ac:dyDescent="0.3">
      <c r="A1544" s="85" t="str">
        <f>_xlfn.XLOOKUP(B1544,'Country codes &amp; Data sources'!G:G,'Country codes &amp; Data sources'!H:H,,0)</f>
        <v>Malawi</v>
      </c>
      <c r="B1544" s="85" t="s">
        <v>178</v>
      </c>
      <c r="C1544" s="85">
        <v>15581258.5</v>
      </c>
      <c r="D1544" s="85" t="s">
        <v>334</v>
      </c>
      <c r="E1544" s="86">
        <v>0</v>
      </c>
      <c r="F1544" s="86">
        <v>16024775.499999996</v>
      </c>
      <c r="G1544" s="86">
        <v>48</v>
      </c>
      <c r="H1544" s="86"/>
      <c r="I1544" s="86">
        <v>0</v>
      </c>
      <c r="J1544" s="86"/>
      <c r="K1544" s="86">
        <v>0</v>
      </c>
      <c r="L1544" s="86"/>
      <c r="M1544" s="86">
        <v>568</v>
      </c>
      <c r="N1544" s="86"/>
      <c r="O1544" s="86">
        <v>0</v>
      </c>
      <c r="P1544" s="86">
        <v>18367882.999999985</v>
      </c>
      <c r="Q1544" s="86">
        <v>0</v>
      </c>
      <c r="R1544" s="87">
        <f t="shared" si="420"/>
        <v>0</v>
      </c>
      <c r="T1544" s="87">
        <v>0</v>
      </c>
      <c r="U1544" s="89"/>
      <c r="V1544" s="89">
        <v>0</v>
      </c>
      <c r="W1544" s="90"/>
      <c r="X1544" s="90">
        <v>0</v>
      </c>
      <c r="Y1544" s="90">
        <v>20405316.500000019</v>
      </c>
      <c r="Z1544" s="90">
        <v>0</v>
      </c>
      <c r="AA1544" s="90">
        <v>0</v>
      </c>
      <c r="AB1544" s="89">
        <f t="shared" si="421"/>
        <v>48</v>
      </c>
      <c r="AC1544" s="89">
        <f t="shared" si="422"/>
        <v>568</v>
      </c>
      <c r="AD1544" s="89">
        <f t="shared" si="423"/>
        <v>0</v>
      </c>
      <c r="AE1544" s="90">
        <f t="shared" si="424"/>
        <v>48</v>
      </c>
      <c r="AF1544" s="90">
        <f t="shared" si="425"/>
        <v>2013</v>
      </c>
      <c r="AG1544" s="90">
        <f t="shared" si="426"/>
        <v>0</v>
      </c>
      <c r="AH1544" s="90" t="str">
        <f t="shared" si="427"/>
        <v/>
      </c>
      <c r="AI1544" s="90">
        <f t="shared" si="428"/>
        <v>0</v>
      </c>
      <c r="AJ1544" s="90" t="str">
        <f t="shared" si="429"/>
        <v/>
      </c>
      <c r="AK1544" s="90" t="str">
        <f t="shared" si="430"/>
        <v/>
      </c>
      <c r="AL1544" s="91">
        <f>IF(AK1544="Adjust",(_xlfn.XLOOKUP(A1544,'Adj factor'!A:A,'Adj factor'!I:I,,0)*AI1544),'Master DataSheet'!AI1544)</f>
        <v>0</v>
      </c>
      <c r="AM1544" s="91">
        <f t="shared" si="431"/>
        <v>0</v>
      </c>
      <c r="AN1544" s="92" t="str">
        <f t="shared" si="432"/>
        <v>No change</v>
      </c>
      <c r="AS1544" s="94">
        <f t="shared" si="433"/>
        <v>2.9953617758950828E-2</v>
      </c>
      <c r="AT1544" s="94">
        <f t="shared" si="434"/>
        <v>0</v>
      </c>
      <c r="AU1544" s="94">
        <f t="shared" si="435"/>
        <v>0</v>
      </c>
    </row>
    <row r="1545" spans="1:47" x14ac:dyDescent="0.3">
      <c r="A1545" s="85" t="str">
        <f>_xlfn.XLOOKUP(B1545,'Country codes &amp; Data sources'!G:G,'Country codes &amp; Data sources'!H:H,,0)</f>
        <v>Malawi</v>
      </c>
      <c r="B1545" s="85" t="s">
        <v>178</v>
      </c>
      <c r="C1545" s="85">
        <v>15581259.5</v>
      </c>
      <c r="D1545" s="85" t="s">
        <v>335</v>
      </c>
      <c r="E1545" s="86">
        <v>0</v>
      </c>
      <c r="F1545" s="86">
        <v>16024775.499999996</v>
      </c>
      <c r="G1545" s="86">
        <v>170</v>
      </c>
      <c r="H1545" s="86"/>
      <c r="I1545" s="86">
        <v>0</v>
      </c>
      <c r="J1545" s="86"/>
      <c r="K1545" s="86">
        <v>0</v>
      </c>
      <c r="L1545" s="86"/>
      <c r="M1545" s="86">
        <v>0</v>
      </c>
      <c r="N1545" s="86"/>
      <c r="O1545" s="86">
        <v>0</v>
      </c>
      <c r="P1545" s="86">
        <v>18367882.999999985</v>
      </c>
      <c r="Q1545" s="86">
        <v>387</v>
      </c>
      <c r="R1545" s="87">
        <f t="shared" si="420"/>
        <v>387</v>
      </c>
      <c r="T1545" s="87">
        <v>0</v>
      </c>
      <c r="U1545" s="89"/>
      <c r="V1545" s="89">
        <v>151</v>
      </c>
      <c r="W1545" s="90"/>
      <c r="X1545" s="90">
        <v>0</v>
      </c>
      <c r="Y1545" s="90">
        <v>20405316.500000019</v>
      </c>
      <c r="Z1545" s="90">
        <v>111</v>
      </c>
      <c r="AA1545" s="90">
        <v>111</v>
      </c>
      <c r="AB1545" s="89">
        <f t="shared" si="421"/>
        <v>170</v>
      </c>
      <c r="AC1545" s="89">
        <f t="shared" si="422"/>
        <v>387</v>
      </c>
      <c r="AD1545" s="89">
        <f t="shared" si="423"/>
        <v>151</v>
      </c>
      <c r="AE1545" s="90">
        <f t="shared" si="424"/>
        <v>170</v>
      </c>
      <c r="AF1545" s="90">
        <f t="shared" si="425"/>
        <v>2013</v>
      </c>
      <c r="AG1545" s="90">
        <f t="shared" si="426"/>
        <v>387</v>
      </c>
      <c r="AH1545" s="90">
        <f t="shared" si="427"/>
        <v>2018</v>
      </c>
      <c r="AI1545" s="90">
        <f t="shared" si="428"/>
        <v>111</v>
      </c>
      <c r="AJ1545" s="90">
        <f t="shared" si="429"/>
        <v>2022</v>
      </c>
      <c r="AK1545" s="90" t="str">
        <f t="shared" si="430"/>
        <v>Adjust</v>
      </c>
      <c r="AL1545" s="91">
        <f>IF(AK1545="Adjust",(_xlfn.XLOOKUP(A1545,'Adj factor'!A:A,'Adj factor'!I:I,,0)*AI1545),'Master DataSheet'!AI1545)</f>
        <v>122.98752916224815</v>
      </c>
      <c r="AM1545" s="91">
        <f t="shared" si="431"/>
        <v>387</v>
      </c>
      <c r="AN1545" s="92" t="str">
        <f t="shared" si="432"/>
        <v>Decreasing</v>
      </c>
      <c r="AS1545" s="94">
        <f t="shared" si="433"/>
        <v>0.10608572956295084</v>
      </c>
      <c r="AT1545" s="94">
        <f t="shared" si="434"/>
        <v>0.21069385078291294</v>
      </c>
      <c r="AU1545" s="94">
        <f t="shared" si="435"/>
        <v>0.18965645546345711</v>
      </c>
    </row>
    <row r="1546" spans="1:47" x14ac:dyDescent="0.3">
      <c r="A1546" s="85" t="str">
        <f>_xlfn.XLOOKUP(B1546,'Country codes &amp; Data sources'!G:G,'Country codes &amp; Data sources'!H:H,,0)</f>
        <v>Malawi</v>
      </c>
      <c r="B1546" s="85" t="s">
        <v>178</v>
      </c>
      <c r="C1546" s="85">
        <v>15581260.5</v>
      </c>
      <c r="D1546" s="85" t="s">
        <v>336</v>
      </c>
      <c r="E1546" s="86">
        <v>0</v>
      </c>
      <c r="F1546" s="86">
        <v>16024775.499999996</v>
      </c>
      <c r="G1546" s="86">
        <v>0</v>
      </c>
      <c r="H1546" s="86"/>
      <c r="I1546" s="86">
        <v>0</v>
      </c>
      <c r="J1546" s="86"/>
      <c r="K1546" s="86">
        <v>0</v>
      </c>
      <c r="L1546" s="86"/>
      <c r="M1546" s="86">
        <v>218</v>
      </c>
      <c r="N1546" s="86"/>
      <c r="O1546" s="86">
        <v>0</v>
      </c>
      <c r="P1546" s="86">
        <v>18367882.999999985</v>
      </c>
      <c r="Q1546" s="86">
        <v>234</v>
      </c>
      <c r="R1546" s="87">
        <f t="shared" si="420"/>
        <v>276</v>
      </c>
      <c r="T1546" s="87">
        <v>0</v>
      </c>
      <c r="U1546" s="89"/>
      <c r="V1546" s="89">
        <v>600</v>
      </c>
      <c r="W1546" s="90"/>
      <c r="X1546" s="90">
        <v>0</v>
      </c>
      <c r="Y1546" s="90">
        <v>20405316.500000019</v>
      </c>
      <c r="Z1546" s="90">
        <v>710</v>
      </c>
      <c r="AA1546" s="90">
        <v>276</v>
      </c>
      <c r="AB1546" s="89">
        <f t="shared" si="421"/>
        <v>0</v>
      </c>
      <c r="AC1546" s="89">
        <f t="shared" si="422"/>
        <v>234</v>
      </c>
      <c r="AD1546" s="89">
        <f t="shared" si="423"/>
        <v>710</v>
      </c>
      <c r="AE1546" s="90">
        <f t="shared" si="424"/>
        <v>0</v>
      </c>
      <c r="AF1546" s="90" t="str">
        <f t="shared" si="425"/>
        <v/>
      </c>
      <c r="AG1546" s="90">
        <f t="shared" si="426"/>
        <v>276</v>
      </c>
      <c r="AH1546" s="90" t="str">
        <f t="shared" si="427"/>
        <v>2018 (triag)</v>
      </c>
      <c r="AI1546" s="90">
        <f t="shared" si="428"/>
        <v>710</v>
      </c>
      <c r="AJ1546" s="90">
        <f t="shared" si="429"/>
        <v>2022</v>
      </c>
      <c r="AK1546" s="90" t="str">
        <f t="shared" si="430"/>
        <v/>
      </c>
      <c r="AL1546" s="91">
        <f>IF(AK1546="Adjust",(_xlfn.XLOOKUP(A1546,'Adj factor'!A:A,'Adj factor'!I:I,,0)*AI1546),'Master DataSheet'!AI1546)</f>
        <v>710</v>
      </c>
      <c r="AM1546" s="91">
        <f t="shared" si="431"/>
        <v>710</v>
      </c>
      <c r="AN1546" s="92" t="str">
        <f t="shared" si="432"/>
        <v>Increasing</v>
      </c>
      <c r="AS1546" s="94">
        <f t="shared" si="433"/>
        <v>0</v>
      </c>
      <c r="AT1546" s="94">
        <f t="shared" si="434"/>
        <v>0.15026228117851154</v>
      </c>
      <c r="AU1546" s="94">
        <f t="shared" si="435"/>
        <v>0.34794853586319002</v>
      </c>
    </row>
    <row r="1547" spans="1:47" x14ac:dyDescent="0.3">
      <c r="A1547" s="85" t="str">
        <f>_xlfn.XLOOKUP(B1547,'Country codes &amp; Data sources'!G:G,'Country codes &amp; Data sources'!H:H,,0)</f>
        <v>Malawi</v>
      </c>
      <c r="B1547" s="85" t="s">
        <v>178</v>
      </c>
      <c r="C1547" s="85">
        <v>15581261.5</v>
      </c>
      <c r="D1547" s="85" t="s">
        <v>337</v>
      </c>
      <c r="E1547" s="86">
        <v>0</v>
      </c>
      <c r="F1547" s="86">
        <v>16024775.499999996</v>
      </c>
      <c r="G1547" s="86">
        <v>0</v>
      </c>
      <c r="H1547" s="86"/>
      <c r="I1547" s="86">
        <v>0</v>
      </c>
      <c r="J1547" s="86"/>
      <c r="K1547" s="86">
        <v>0</v>
      </c>
      <c r="L1547" s="86"/>
      <c r="M1547" s="86">
        <v>0</v>
      </c>
      <c r="N1547" s="86"/>
      <c r="O1547" s="86">
        <v>0</v>
      </c>
      <c r="P1547" s="86">
        <v>18367882.999999985</v>
      </c>
      <c r="Q1547" s="86">
        <v>112</v>
      </c>
      <c r="R1547" s="87">
        <f t="shared" si="420"/>
        <v>112</v>
      </c>
      <c r="T1547" s="87">
        <v>0</v>
      </c>
      <c r="U1547" s="89"/>
      <c r="V1547" s="89">
        <v>149</v>
      </c>
      <c r="W1547" s="90"/>
      <c r="X1547" s="90">
        <v>0</v>
      </c>
      <c r="Y1547" s="90">
        <v>20405316.500000019</v>
      </c>
      <c r="Z1547" s="90">
        <v>91</v>
      </c>
      <c r="AA1547" s="90">
        <v>36</v>
      </c>
      <c r="AB1547" s="89">
        <f t="shared" si="421"/>
        <v>0</v>
      </c>
      <c r="AC1547" s="89">
        <f t="shared" si="422"/>
        <v>112</v>
      </c>
      <c r="AD1547" s="89">
        <f t="shared" si="423"/>
        <v>149</v>
      </c>
      <c r="AE1547" s="90">
        <f t="shared" si="424"/>
        <v>0</v>
      </c>
      <c r="AF1547" s="90" t="str">
        <f t="shared" si="425"/>
        <v/>
      </c>
      <c r="AG1547" s="90">
        <f t="shared" si="426"/>
        <v>112</v>
      </c>
      <c r="AH1547" s="90">
        <f t="shared" si="427"/>
        <v>2018</v>
      </c>
      <c r="AI1547" s="90">
        <f t="shared" si="428"/>
        <v>91</v>
      </c>
      <c r="AJ1547" s="90">
        <f t="shared" si="429"/>
        <v>2022</v>
      </c>
      <c r="AK1547" s="90" t="str">
        <f t="shared" si="430"/>
        <v>Adjust</v>
      </c>
      <c r="AL1547" s="91">
        <f>IF(AK1547="Adjust",(_xlfn.XLOOKUP(A1547,'Adj factor'!A:A,'Adj factor'!I:I,,0)*AI1547),'Master DataSheet'!AI1547)</f>
        <v>100.82761399787913</v>
      </c>
      <c r="AM1547" s="91">
        <f t="shared" si="431"/>
        <v>112</v>
      </c>
      <c r="AN1547" s="92" t="str">
        <f t="shared" si="432"/>
        <v>Decreasing</v>
      </c>
      <c r="AS1547" s="94">
        <f t="shared" si="433"/>
        <v>0</v>
      </c>
      <c r="AT1547" s="94">
        <f t="shared" si="434"/>
        <v>6.0975998159395993E-2</v>
      </c>
      <c r="AU1547" s="94">
        <f t="shared" si="435"/>
        <v>5.4887656361517302E-2</v>
      </c>
    </row>
    <row r="1548" spans="1:47" x14ac:dyDescent="0.3">
      <c r="A1548" s="85" t="str">
        <f>_xlfn.XLOOKUP(B1548,'Country codes &amp; Data sources'!G:G,'Country codes &amp; Data sources'!H:H,,0)</f>
        <v>Malawi</v>
      </c>
      <c r="B1548" s="85" t="s">
        <v>178</v>
      </c>
      <c r="C1548" s="85">
        <v>15581262.5</v>
      </c>
      <c r="D1548" s="85" t="s">
        <v>338</v>
      </c>
      <c r="E1548" s="86">
        <v>0</v>
      </c>
      <c r="F1548" s="86">
        <v>16024775.499999996</v>
      </c>
      <c r="G1548" s="86">
        <v>0</v>
      </c>
      <c r="H1548" s="86"/>
      <c r="I1548" s="86">
        <v>0</v>
      </c>
      <c r="J1548" s="86"/>
      <c r="K1548" s="86">
        <v>0</v>
      </c>
      <c r="L1548" s="86"/>
      <c r="M1548" s="86">
        <v>0</v>
      </c>
      <c r="N1548" s="86"/>
      <c r="O1548" s="86">
        <v>0</v>
      </c>
      <c r="P1548" s="86">
        <v>18367882.999999985</v>
      </c>
      <c r="Q1548" s="86">
        <v>0</v>
      </c>
      <c r="R1548" s="87">
        <f t="shared" si="420"/>
        <v>76</v>
      </c>
      <c r="T1548" s="87">
        <v>0</v>
      </c>
      <c r="U1548" s="89"/>
      <c r="V1548" s="89">
        <v>204</v>
      </c>
      <c r="W1548" s="90"/>
      <c r="X1548" s="90">
        <v>0</v>
      </c>
      <c r="Y1548" s="90">
        <v>20405316.500000019</v>
      </c>
      <c r="Z1548" s="90">
        <v>173</v>
      </c>
      <c r="AA1548" s="90">
        <v>76</v>
      </c>
      <c r="AB1548" s="89">
        <f t="shared" si="421"/>
        <v>0</v>
      </c>
      <c r="AC1548" s="89">
        <f t="shared" si="422"/>
        <v>0</v>
      </c>
      <c r="AD1548" s="89">
        <f t="shared" si="423"/>
        <v>204</v>
      </c>
      <c r="AE1548" s="90">
        <f t="shared" si="424"/>
        <v>0</v>
      </c>
      <c r="AF1548" s="90" t="str">
        <f t="shared" si="425"/>
        <v/>
      </c>
      <c r="AG1548" s="90">
        <f t="shared" si="426"/>
        <v>76</v>
      </c>
      <c r="AH1548" s="90" t="str">
        <f t="shared" si="427"/>
        <v>2018 (triag)</v>
      </c>
      <c r="AI1548" s="90">
        <f t="shared" si="428"/>
        <v>173</v>
      </c>
      <c r="AJ1548" s="90">
        <f t="shared" si="429"/>
        <v>2022</v>
      </c>
      <c r="AK1548" s="90" t="str">
        <f t="shared" si="430"/>
        <v/>
      </c>
      <c r="AL1548" s="91">
        <f>IF(AK1548="Adjust",(_xlfn.XLOOKUP(A1548,'Adj factor'!A:A,'Adj factor'!I:I,,0)*AI1548),'Master DataSheet'!AI1548)</f>
        <v>173</v>
      </c>
      <c r="AM1548" s="91">
        <f t="shared" si="431"/>
        <v>173</v>
      </c>
      <c r="AN1548" s="92" t="str">
        <f t="shared" si="432"/>
        <v>Increasing</v>
      </c>
      <c r="AS1548" s="94">
        <f t="shared" si="433"/>
        <v>0</v>
      </c>
      <c r="AT1548" s="94">
        <f t="shared" si="434"/>
        <v>4.1376570179590136E-2</v>
      </c>
      <c r="AU1548" s="94">
        <f t="shared" si="435"/>
        <v>8.478182634412941E-2</v>
      </c>
    </row>
    <row r="1549" spans="1:47" x14ac:dyDescent="0.3">
      <c r="A1549" s="85" t="str">
        <f>_xlfn.XLOOKUP(B1549,'Country codes &amp; Data sources'!G:G,'Country codes &amp; Data sources'!H:H,,0)</f>
        <v>Malawi</v>
      </c>
      <c r="B1549" s="85" t="s">
        <v>178</v>
      </c>
      <c r="C1549" s="85">
        <v>15581263.5</v>
      </c>
      <c r="D1549" s="85" t="s">
        <v>339</v>
      </c>
      <c r="E1549" s="86">
        <v>0</v>
      </c>
      <c r="F1549" s="86">
        <v>16024775.499999996</v>
      </c>
      <c r="G1549" s="86">
        <v>0</v>
      </c>
      <c r="H1549" s="86"/>
      <c r="I1549" s="86">
        <v>0</v>
      </c>
      <c r="J1549" s="86"/>
      <c r="K1549" s="86">
        <v>0</v>
      </c>
      <c r="L1549" s="86"/>
      <c r="M1549" s="86">
        <v>0</v>
      </c>
      <c r="N1549" s="86"/>
      <c r="O1549" s="86">
        <v>0</v>
      </c>
      <c r="P1549" s="86">
        <v>18367882.999999985</v>
      </c>
      <c r="Q1549" s="86">
        <v>0</v>
      </c>
      <c r="R1549" s="87">
        <f t="shared" si="420"/>
        <v>0</v>
      </c>
      <c r="T1549" s="87">
        <v>0</v>
      </c>
      <c r="U1549" s="89"/>
      <c r="V1549" s="89">
        <v>0</v>
      </c>
      <c r="W1549" s="90"/>
      <c r="X1549" s="90">
        <v>0</v>
      </c>
      <c r="Y1549" s="90">
        <v>20405316.500000019</v>
      </c>
      <c r="Z1549" s="90">
        <v>11</v>
      </c>
      <c r="AA1549" s="90">
        <v>0</v>
      </c>
      <c r="AB1549" s="89">
        <f t="shared" si="421"/>
        <v>0</v>
      </c>
      <c r="AC1549" s="89">
        <f t="shared" si="422"/>
        <v>0</v>
      </c>
      <c r="AD1549" s="89">
        <f t="shared" si="423"/>
        <v>11</v>
      </c>
      <c r="AE1549" s="90">
        <f t="shared" si="424"/>
        <v>0</v>
      </c>
      <c r="AF1549" s="90" t="str">
        <f t="shared" si="425"/>
        <v/>
      </c>
      <c r="AG1549" s="90">
        <f t="shared" si="426"/>
        <v>0</v>
      </c>
      <c r="AH1549" s="90" t="str">
        <f t="shared" si="427"/>
        <v/>
      </c>
      <c r="AI1549" s="90">
        <f t="shared" si="428"/>
        <v>11</v>
      </c>
      <c r="AJ1549" s="90">
        <f t="shared" si="429"/>
        <v>2022</v>
      </c>
      <c r="AK1549" s="90" t="str">
        <f t="shared" si="430"/>
        <v/>
      </c>
      <c r="AL1549" s="91">
        <f>IF(AK1549="Adjust",(_xlfn.XLOOKUP(A1549,'Adj factor'!A:A,'Adj factor'!I:I,,0)*AI1549),'Master DataSheet'!AI1549)</f>
        <v>11</v>
      </c>
      <c r="AM1549" s="91">
        <f t="shared" si="431"/>
        <v>11</v>
      </c>
      <c r="AN1549" s="92" t="str">
        <f t="shared" si="432"/>
        <v>Increasing</v>
      </c>
      <c r="AS1549" s="94">
        <f t="shared" si="433"/>
        <v>0</v>
      </c>
      <c r="AT1549" s="94">
        <f t="shared" si="434"/>
        <v>0</v>
      </c>
      <c r="AU1549" s="94">
        <f t="shared" si="435"/>
        <v>5.3907519640775921E-3</v>
      </c>
    </row>
    <row r="1550" spans="1:47" ht="14.5" x14ac:dyDescent="0.35">
      <c r="A1550" s="85" t="str">
        <f>_xlfn.XLOOKUP(B1550,'Country codes &amp; Data sources'!G:G,'Country codes &amp; Data sources'!H:H,,0)</f>
        <v>Namibia</v>
      </c>
      <c r="B1550" s="85" t="s">
        <v>182</v>
      </c>
      <c r="C1550" s="85">
        <v>2167470.0000000023</v>
      </c>
      <c r="D1550" s="85" t="s">
        <v>326</v>
      </c>
      <c r="E1550" s="86">
        <v>0</v>
      </c>
      <c r="F1550" s="86">
        <v>2204510.0000000005</v>
      </c>
      <c r="G1550" s="86">
        <v>0</v>
      </c>
      <c r="H1550" s="86">
        <v>2243000.9999999991</v>
      </c>
      <c r="I1550" s="86">
        <v>0</v>
      </c>
      <c r="J1550" s="86">
        <v>2282703.9999999995</v>
      </c>
      <c r="K1550" s="86">
        <v>0</v>
      </c>
      <c r="L1550" s="86">
        <v>2323352</v>
      </c>
      <c r="M1550" s="86">
        <v>0</v>
      </c>
      <c r="N1550" s="86">
        <v>2364533.5000000009</v>
      </c>
      <c r="O1550" s="86">
        <v>1421</v>
      </c>
      <c r="P1550" s="86">
        <v>2405680.5000000005</v>
      </c>
      <c r="Q1550" s="86">
        <v>806</v>
      </c>
      <c r="R1550" s="87">
        <f t="shared" si="420"/>
        <v>1445</v>
      </c>
      <c r="S1550" s="87">
        <v>2446644.4999999977</v>
      </c>
      <c r="T1550" s="87">
        <v>900</v>
      </c>
      <c r="U1550" s="89">
        <v>2489097.9999999991</v>
      </c>
      <c r="V1550" s="89">
        <v>1036</v>
      </c>
      <c r="W1550" s="90">
        <v>2530150.5000000014</v>
      </c>
      <c r="X1550" s="90">
        <v>1181</v>
      </c>
      <c r="Y1550" s="90">
        <v>2567012.4999999995</v>
      </c>
      <c r="Z1550" s="111">
        <f>1098+499</f>
        <v>1597</v>
      </c>
      <c r="AA1550" s="90">
        <v>1445</v>
      </c>
      <c r="AB1550" s="89">
        <f t="shared" si="421"/>
        <v>0</v>
      </c>
      <c r="AC1550" s="89">
        <f t="shared" si="422"/>
        <v>1421</v>
      </c>
      <c r="AD1550" s="89">
        <f t="shared" si="423"/>
        <v>1597</v>
      </c>
      <c r="AE1550" s="90">
        <f t="shared" si="424"/>
        <v>0</v>
      </c>
      <c r="AF1550" s="90" t="str">
        <f t="shared" si="425"/>
        <v/>
      </c>
      <c r="AG1550" s="90">
        <f t="shared" si="426"/>
        <v>1445</v>
      </c>
      <c r="AH1550" s="90" t="str">
        <f t="shared" si="427"/>
        <v>2018 (triag)</v>
      </c>
      <c r="AI1550" s="90">
        <f t="shared" si="428"/>
        <v>1597</v>
      </c>
      <c r="AJ1550" s="90">
        <f t="shared" si="429"/>
        <v>2022</v>
      </c>
      <c r="AK1550" s="90" t="str">
        <f t="shared" si="430"/>
        <v/>
      </c>
      <c r="AL1550" s="91">
        <f>IF(AK1550="Adjust",(_xlfn.XLOOKUP(A1550,'Adj factor'!A:A,'Adj factor'!I:I,,0)*AI1550),'Master DataSheet'!AI1550)</f>
        <v>1597</v>
      </c>
      <c r="AM1550" s="91">
        <f t="shared" si="431"/>
        <v>1597</v>
      </c>
      <c r="AN1550" s="92" t="str">
        <f t="shared" si="432"/>
        <v>Increasing</v>
      </c>
      <c r="AS1550" s="94">
        <f t="shared" si="433"/>
        <v>0</v>
      </c>
      <c r="AT1550" s="94">
        <f t="shared" si="434"/>
        <v>6.0066164230869381</v>
      </c>
      <c r="AU1550" s="94">
        <f t="shared" si="435"/>
        <v>6.2212396706287967</v>
      </c>
    </row>
    <row r="1551" spans="1:47" x14ac:dyDescent="0.3">
      <c r="A1551" s="85" t="str">
        <f>_xlfn.XLOOKUP(B1551,'Country codes &amp; Data sources'!G:G,'Country codes &amp; Data sources'!H:H,,0)</f>
        <v>Namibia</v>
      </c>
      <c r="B1551" s="85" t="s">
        <v>182</v>
      </c>
      <c r="C1551" s="85">
        <v>2167471</v>
      </c>
      <c r="D1551" s="85" t="s">
        <v>327</v>
      </c>
      <c r="E1551" s="86">
        <v>0</v>
      </c>
      <c r="F1551" s="86">
        <v>2204510.0000000005</v>
      </c>
      <c r="G1551" s="86">
        <v>0</v>
      </c>
      <c r="H1551" s="86"/>
      <c r="I1551" s="86">
        <v>0</v>
      </c>
      <c r="J1551" s="86"/>
      <c r="K1551" s="86">
        <v>0</v>
      </c>
      <c r="L1551" s="86"/>
      <c r="M1551" s="86">
        <v>0</v>
      </c>
      <c r="N1551" s="86"/>
      <c r="O1551" s="86">
        <v>0</v>
      </c>
      <c r="P1551" s="86">
        <v>2405680.5000000005</v>
      </c>
      <c r="Q1551" s="86">
        <v>806</v>
      </c>
      <c r="R1551" s="87">
        <f t="shared" si="420"/>
        <v>1044</v>
      </c>
      <c r="T1551" s="87">
        <v>900</v>
      </c>
      <c r="U1551" s="89"/>
      <c r="V1551" s="89">
        <v>1036</v>
      </c>
      <c r="W1551" s="90"/>
      <c r="X1551" s="90">
        <v>1181</v>
      </c>
      <c r="Y1551" s="90">
        <v>2567012.4999999995</v>
      </c>
      <c r="Z1551" s="90">
        <v>1336</v>
      </c>
      <c r="AA1551" s="90">
        <v>1044</v>
      </c>
      <c r="AB1551" s="89">
        <f t="shared" si="421"/>
        <v>0</v>
      </c>
      <c r="AC1551" s="89">
        <f t="shared" si="422"/>
        <v>900</v>
      </c>
      <c r="AD1551" s="89">
        <f t="shared" si="423"/>
        <v>1336</v>
      </c>
      <c r="AE1551" s="90">
        <f t="shared" si="424"/>
        <v>0</v>
      </c>
      <c r="AF1551" s="90" t="str">
        <f t="shared" si="425"/>
        <v/>
      </c>
      <c r="AG1551" s="90">
        <f t="shared" si="426"/>
        <v>1044</v>
      </c>
      <c r="AH1551" s="90" t="str">
        <f t="shared" si="427"/>
        <v>2018 (triag)</v>
      </c>
      <c r="AI1551" s="90">
        <f t="shared" si="428"/>
        <v>1336</v>
      </c>
      <c r="AJ1551" s="90">
        <f t="shared" si="429"/>
        <v>2022</v>
      </c>
      <c r="AK1551" s="90" t="str">
        <f t="shared" si="430"/>
        <v/>
      </c>
      <c r="AL1551" s="91">
        <f>IF(AK1551="Adjust",(_xlfn.XLOOKUP(A1551,'Adj factor'!A:A,'Adj factor'!I:I,,0)*AI1551),'Master DataSheet'!AI1551)</f>
        <v>1336</v>
      </c>
      <c r="AM1551" s="91">
        <f t="shared" si="431"/>
        <v>1336</v>
      </c>
      <c r="AN1551" s="92" t="str">
        <f t="shared" si="432"/>
        <v>Increasing</v>
      </c>
      <c r="AS1551" s="94">
        <f t="shared" si="433"/>
        <v>0</v>
      </c>
      <c r="AT1551" s="94">
        <f t="shared" si="434"/>
        <v>4.3397284053306322</v>
      </c>
      <c r="AU1551" s="94">
        <f t="shared" si="435"/>
        <v>5.2044935503820113</v>
      </c>
    </row>
    <row r="1552" spans="1:47" x14ac:dyDescent="0.3">
      <c r="A1552" s="85" t="str">
        <f>_xlfn.XLOOKUP(B1552,'Country codes &amp; Data sources'!G:G,'Country codes &amp; Data sources'!H:H,,0)</f>
        <v>Namibia</v>
      </c>
      <c r="B1552" s="85" t="s">
        <v>182</v>
      </c>
      <c r="C1552" s="85">
        <v>2167472</v>
      </c>
      <c r="D1552" s="85" t="s">
        <v>328</v>
      </c>
      <c r="E1552" s="86">
        <v>0</v>
      </c>
      <c r="F1552" s="86">
        <v>2204510.0000000005</v>
      </c>
      <c r="G1552" s="86">
        <v>0</v>
      </c>
      <c r="H1552" s="86"/>
      <c r="I1552" s="86">
        <v>0</v>
      </c>
      <c r="J1552" s="86"/>
      <c r="K1552" s="86">
        <v>0</v>
      </c>
      <c r="L1552" s="86"/>
      <c r="M1552" s="86">
        <v>0</v>
      </c>
      <c r="N1552" s="86"/>
      <c r="O1552" s="86">
        <v>0</v>
      </c>
      <c r="P1552" s="86">
        <v>2405680.5000000005</v>
      </c>
      <c r="Q1552" s="86">
        <v>0</v>
      </c>
      <c r="R1552" s="87">
        <f t="shared" si="420"/>
        <v>401</v>
      </c>
      <c r="T1552" s="87">
        <v>0</v>
      </c>
      <c r="U1552" s="89"/>
      <c r="V1552" s="89">
        <v>0</v>
      </c>
      <c r="W1552" s="90"/>
      <c r="X1552" s="90">
        <v>0</v>
      </c>
      <c r="Y1552" s="90">
        <v>2567012.4999999995</v>
      </c>
      <c r="Z1552" s="90">
        <v>58</v>
      </c>
      <c r="AA1552" s="90">
        <v>401</v>
      </c>
      <c r="AB1552" s="89">
        <f t="shared" si="421"/>
        <v>0</v>
      </c>
      <c r="AC1552" s="89">
        <f t="shared" si="422"/>
        <v>0</v>
      </c>
      <c r="AD1552" s="89">
        <f t="shared" si="423"/>
        <v>58</v>
      </c>
      <c r="AE1552" s="90">
        <f t="shared" si="424"/>
        <v>0</v>
      </c>
      <c r="AF1552" s="90" t="str">
        <f t="shared" si="425"/>
        <v/>
      </c>
      <c r="AG1552" s="90">
        <f t="shared" si="426"/>
        <v>401</v>
      </c>
      <c r="AH1552" s="90" t="str">
        <f t="shared" si="427"/>
        <v>2018 (triag)</v>
      </c>
      <c r="AI1552" s="90">
        <f t="shared" si="428"/>
        <v>58</v>
      </c>
      <c r="AJ1552" s="90">
        <f t="shared" si="429"/>
        <v>2022</v>
      </c>
      <c r="AK1552" s="90" t="str">
        <f t="shared" si="430"/>
        <v>Adjust</v>
      </c>
      <c r="AL1552" s="91">
        <f>IF(AK1552="Adjust",(_xlfn.XLOOKUP(A1552,'Adj factor'!A:A,'Adj factor'!I:I,,0)*AI1552),'Master DataSheet'!AI1552)</f>
        <v>87.857332293291734</v>
      </c>
      <c r="AM1552" s="91">
        <f t="shared" si="431"/>
        <v>401</v>
      </c>
      <c r="AN1552" s="92" t="str">
        <f t="shared" si="432"/>
        <v>Decreasing</v>
      </c>
      <c r="AS1552" s="94">
        <f t="shared" si="433"/>
        <v>0</v>
      </c>
      <c r="AT1552" s="94">
        <f t="shared" si="434"/>
        <v>1.6668880177563061</v>
      </c>
      <c r="AU1552" s="94">
        <f t="shared" si="435"/>
        <v>1.5621271809155588</v>
      </c>
    </row>
    <row r="1553" spans="1:47" ht="14.5" x14ac:dyDescent="0.35">
      <c r="A1553" s="85" t="str">
        <f>_xlfn.XLOOKUP(B1553,'Country codes &amp; Data sources'!G:G,'Country codes &amp; Data sources'!H:H,,0)</f>
        <v>Namibia</v>
      </c>
      <c r="B1553" s="85" t="s">
        <v>182</v>
      </c>
      <c r="C1553" s="85">
        <v>2167473</v>
      </c>
      <c r="D1553" s="85" t="s">
        <v>329</v>
      </c>
      <c r="E1553" s="86">
        <v>0</v>
      </c>
      <c r="F1553" s="86">
        <v>2204510.0000000005</v>
      </c>
      <c r="G1553" s="86">
        <v>4110</v>
      </c>
      <c r="H1553" s="86"/>
      <c r="I1553" s="86">
        <v>4212</v>
      </c>
      <c r="J1553" s="86"/>
      <c r="K1553" s="86">
        <v>4365</v>
      </c>
      <c r="L1553" s="86"/>
      <c r="M1553" s="86">
        <v>4816</v>
      </c>
      <c r="N1553" s="86"/>
      <c r="O1553" s="86">
        <v>4853</v>
      </c>
      <c r="P1553" s="86">
        <v>2405680.5000000005</v>
      </c>
      <c r="Q1553" s="86">
        <v>5307</v>
      </c>
      <c r="R1553" s="87">
        <f t="shared" si="420"/>
        <v>12956</v>
      </c>
      <c r="T1553" s="87">
        <v>5903</v>
      </c>
      <c r="U1553" s="89"/>
      <c r="V1553" s="89">
        <v>6440</v>
      </c>
      <c r="W1553" s="90"/>
      <c r="X1553" s="90">
        <v>7166</v>
      </c>
      <c r="Y1553" s="90">
        <v>2567012.4999999995</v>
      </c>
      <c r="Z1553" s="111">
        <f>405+640+2749+114+180+535+758+741+4148+1</f>
        <v>10271</v>
      </c>
      <c r="AA1553" s="90">
        <v>12956</v>
      </c>
      <c r="AB1553" s="89">
        <f t="shared" si="421"/>
        <v>4365</v>
      </c>
      <c r="AC1553" s="89">
        <f t="shared" si="422"/>
        <v>5903</v>
      </c>
      <c r="AD1553" s="89">
        <f t="shared" si="423"/>
        <v>10271</v>
      </c>
      <c r="AE1553" s="90">
        <f t="shared" si="424"/>
        <v>4110</v>
      </c>
      <c r="AF1553" s="90">
        <f t="shared" si="425"/>
        <v>2013</v>
      </c>
      <c r="AG1553" s="90">
        <f t="shared" si="426"/>
        <v>12956</v>
      </c>
      <c r="AH1553" s="90" t="str">
        <f t="shared" si="427"/>
        <v>2018 (triag)</v>
      </c>
      <c r="AI1553" s="90">
        <f t="shared" si="428"/>
        <v>10271</v>
      </c>
      <c r="AJ1553" s="90">
        <f t="shared" si="429"/>
        <v>2022</v>
      </c>
      <c r="AK1553" s="90" t="str">
        <f t="shared" si="430"/>
        <v>Adjust</v>
      </c>
      <c r="AL1553" s="91">
        <f>IF(AK1553="Adjust",(_xlfn.XLOOKUP(A1553,'Adj factor'!A:A,'Adj factor'!I:I,,0)*AI1553),'Master DataSheet'!AI1553)</f>
        <v>15558.321723868956</v>
      </c>
      <c r="AM1553" s="91">
        <f t="shared" si="431"/>
        <v>15558.321723868956</v>
      </c>
      <c r="AN1553" s="92" t="str">
        <f t="shared" si="432"/>
        <v>Increasing</v>
      </c>
      <c r="AS1553" s="94">
        <f t="shared" si="433"/>
        <v>18.643598804269427</v>
      </c>
      <c r="AT1553" s="94">
        <f t="shared" si="434"/>
        <v>53.855863237034164</v>
      </c>
      <c r="AU1553" s="94">
        <f t="shared" si="435"/>
        <v>60.6086714570691</v>
      </c>
    </row>
    <row r="1554" spans="1:47" x14ac:dyDescent="0.3">
      <c r="A1554" s="85" t="str">
        <f>_xlfn.XLOOKUP(B1554,'Country codes &amp; Data sources'!G:G,'Country codes &amp; Data sources'!H:H,,0)</f>
        <v>Namibia</v>
      </c>
      <c r="B1554" s="85" t="s">
        <v>182</v>
      </c>
      <c r="C1554" s="85">
        <v>2167474</v>
      </c>
      <c r="D1554" s="85" t="s">
        <v>330</v>
      </c>
      <c r="E1554" s="86">
        <v>0</v>
      </c>
      <c r="F1554" s="86">
        <v>2204510.0000000005</v>
      </c>
      <c r="G1554" s="86">
        <v>2042</v>
      </c>
      <c r="H1554" s="86"/>
      <c r="I1554" s="86">
        <v>2094</v>
      </c>
      <c r="J1554" s="86"/>
      <c r="K1554" s="86">
        <v>2176</v>
      </c>
      <c r="L1554" s="86"/>
      <c r="M1554" s="86">
        <v>2358</v>
      </c>
      <c r="N1554" s="86"/>
      <c r="O1554" s="86">
        <v>2314</v>
      </c>
      <c r="P1554" s="86">
        <v>2405680.5000000005</v>
      </c>
      <c r="Q1554" s="86">
        <v>5263</v>
      </c>
      <c r="R1554" s="87">
        <f t="shared" si="420"/>
        <v>8719</v>
      </c>
      <c r="T1554" s="87">
        <v>5859</v>
      </c>
      <c r="U1554" s="89"/>
      <c r="V1554" s="89">
        <v>6396</v>
      </c>
      <c r="W1554" s="90"/>
      <c r="X1554" s="90">
        <v>7121</v>
      </c>
      <c r="Y1554" s="90">
        <v>2567012.4999999995</v>
      </c>
      <c r="Z1554" s="90">
        <v>8560</v>
      </c>
      <c r="AA1554" s="90">
        <v>8719</v>
      </c>
      <c r="AB1554" s="89">
        <f t="shared" si="421"/>
        <v>2176</v>
      </c>
      <c r="AC1554" s="89">
        <f t="shared" si="422"/>
        <v>5859</v>
      </c>
      <c r="AD1554" s="89">
        <f t="shared" si="423"/>
        <v>8560</v>
      </c>
      <c r="AE1554" s="90">
        <f t="shared" si="424"/>
        <v>2042</v>
      </c>
      <c r="AF1554" s="90">
        <f t="shared" si="425"/>
        <v>2013</v>
      </c>
      <c r="AG1554" s="90">
        <f t="shared" si="426"/>
        <v>8719</v>
      </c>
      <c r="AH1554" s="90" t="str">
        <f t="shared" si="427"/>
        <v>2018 (triag)</v>
      </c>
      <c r="AI1554" s="90">
        <f t="shared" si="428"/>
        <v>8560</v>
      </c>
      <c r="AJ1554" s="90">
        <f t="shared" si="429"/>
        <v>2022</v>
      </c>
      <c r="AK1554" s="90" t="str">
        <f t="shared" si="430"/>
        <v>Adjust</v>
      </c>
      <c r="AL1554" s="91">
        <f>IF(AK1554="Adjust",(_xlfn.XLOOKUP(A1554,'Adj factor'!A:A,'Adj factor'!I:I,,0)*AI1554),'Master DataSheet'!AI1554)</f>
        <v>12966.53042121685</v>
      </c>
      <c r="AM1554" s="91">
        <f t="shared" si="431"/>
        <v>12966.53042121685</v>
      </c>
      <c r="AN1554" s="92" t="str">
        <f t="shared" si="432"/>
        <v>Increasing</v>
      </c>
      <c r="AS1554" s="94">
        <f t="shared" si="433"/>
        <v>9.2628293815859291</v>
      </c>
      <c r="AT1554" s="94">
        <f t="shared" si="434"/>
        <v>36.243383109269907</v>
      </c>
      <c r="AU1554" s="94">
        <f t="shared" si="435"/>
        <v>50.512143673694041</v>
      </c>
    </row>
    <row r="1555" spans="1:47" x14ac:dyDescent="0.3">
      <c r="A1555" s="85" t="str">
        <f>_xlfn.XLOOKUP(B1555,'Country codes &amp; Data sources'!G:G,'Country codes &amp; Data sources'!H:H,,0)</f>
        <v>Namibia</v>
      </c>
      <c r="B1555" s="85" t="s">
        <v>182</v>
      </c>
      <c r="C1555" s="85">
        <v>2167475</v>
      </c>
      <c r="D1555" s="85" t="s">
        <v>331</v>
      </c>
      <c r="E1555" s="86">
        <v>0</v>
      </c>
      <c r="F1555" s="86">
        <v>2204510.0000000005</v>
      </c>
      <c r="G1555" s="86">
        <v>2068</v>
      </c>
      <c r="H1555" s="86"/>
      <c r="I1555" s="86">
        <v>2118</v>
      </c>
      <c r="J1555" s="86"/>
      <c r="K1555" s="86">
        <v>2189</v>
      </c>
      <c r="L1555" s="86"/>
      <c r="M1555" s="86">
        <v>2458</v>
      </c>
      <c r="N1555" s="86"/>
      <c r="O1555" s="86">
        <v>2539</v>
      </c>
      <c r="P1555" s="86">
        <v>2405680.5000000005</v>
      </c>
      <c r="Q1555" s="86">
        <v>44</v>
      </c>
      <c r="R1555" s="87">
        <f t="shared" si="420"/>
        <v>4237</v>
      </c>
      <c r="T1555" s="87">
        <v>44</v>
      </c>
      <c r="U1555" s="89"/>
      <c r="V1555" s="89">
        <v>44</v>
      </c>
      <c r="W1555" s="90"/>
      <c r="X1555" s="90">
        <v>45</v>
      </c>
      <c r="Y1555" s="90">
        <v>2567012.4999999995</v>
      </c>
      <c r="Z1555" s="90">
        <v>45</v>
      </c>
      <c r="AA1555" s="90">
        <v>4237</v>
      </c>
      <c r="AB1555" s="89">
        <f t="shared" si="421"/>
        <v>2189</v>
      </c>
      <c r="AC1555" s="89">
        <f t="shared" si="422"/>
        <v>2539</v>
      </c>
      <c r="AD1555" s="89">
        <f t="shared" si="423"/>
        <v>45</v>
      </c>
      <c r="AE1555" s="90">
        <f t="shared" si="424"/>
        <v>2068</v>
      </c>
      <c r="AF1555" s="90">
        <f t="shared" si="425"/>
        <v>2013</v>
      </c>
      <c r="AG1555" s="90">
        <f t="shared" si="426"/>
        <v>4237</v>
      </c>
      <c r="AH1555" s="90" t="str">
        <f t="shared" si="427"/>
        <v>2018 (triag)</v>
      </c>
      <c r="AI1555" s="90">
        <f t="shared" si="428"/>
        <v>45</v>
      </c>
      <c r="AJ1555" s="90">
        <f t="shared" si="429"/>
        <v>2021</v>
      </c>
      <c r="AK1555" s="90" t="str">
        <f t="shared" si="430"/>
        <v>Adjust</v>
      </c>
      <c r="AL1555" s="91">
        <f>IF(AK1555="Adjust",(_xlfn.XLOOKUP(A1555,'Adj factor'!A:A,'Adj factor'!I:I,,0)*AI1555),'Master DataSheet'!AI1555)</f>
        <v>68.165171606864277</v>
      </c>
      <c r="AM1555" s="91">
        <f t="shared" si="431"/>
        <v>4237</v>
      </c>
      <c r="AN1555" s="92" t="str">
        <f t="shared" si="432"/>
        <v>Decreasing</v>
      </c>
      <c r="AS1555" s="94">
        <f t="shared" si="433"/>
        <v>9.3807694226834961</v>
      </c>
      <c r="AT1555" s="94">
        <f t="shared" si="434"/>
        <v>17.612480127764261</v>
      </c>
      <c r="AU1555" s="94">
        <f t="shared" si="435"/>
        <v>16.505568243239956</v>
      </c>
    </row>
    <row r="1556" spans="1:47" ht="14.5" x14ac:dyDescent="0.35">
      <c r="A1556" s="85" t="str">
        <f>_xlfn.XLOOKUP(B1556,'Country codes &amp; Data sources'!G:G,'Country codes &amp; Data sources'!H:H,,0)</f>
        <v>Namibia</v>
      </c>
      <c r="B1556" s="85" t="s">
        <v>182</v>
      </c>
      <c r="C1556" s="85">
        <v>2167476</v>
      </c>
      <c r="D1556" s="85" t="s">
        <v>332</v>
      </c>
      <c r="E1556" s="86">
        <v>0</v>
      </c>
      <c r="F1556" s="86">
        <v>2204510.0000000005</v>
      </c>
      <c r="G1556" s="86">
        <v>0</v>
      </c>
      <c r="H1556" s="86"/>
      <c r="I1556" s="86">
        <v>0</v>
      </c>
      <c r="J1556" s="86"/>
      <c r="K1556" s="86">
        <v>0</v>
      </c>
      <c r="L1556" s="86"/>
      <c r="M1556" s="86">
        <v>0</v>
      </c>
      <c r="N1556" s="86"/>
      <c r="O1556" s="86">
        <v>0</v>
      </c>
      <c r="P1556" s="86">
        <v>2405680.5000000005</v>
      </c>
      <c r="Q1556" s="86">
        <v>5</v>
      </c>
      <c r="R1556" s="87">
        <f t="shared" si="420"/>
        <v>5</v>
      </c>
      <c r="T1556" s="87">
        <v>5</v>
      </c>
      <c r="U1556" s="89"/>
      <c r="V1556" s="89">
        <v>5</v>
      </c>
      <c r="W1556" s="90"/>
      <c r="X1556" s="90">
        <v>6</v>
      </c>
      <c r="Y1556" s="90">
        <v>2567012.4999999995</v>
      </c>
      <c r="Z1556" s="111">
        <v>17</v>
      </c>
      <c r="AA1556" s="90">
        <v>0</v>
      </c>
      <c r="AB1556" s="89">
        <f t="shared" si="421"/>
        <v>0</v>
      </c>
      <c r="AC1556" s="89">
        <f t="shared" si="422"/>
        <v>5</v>
      </c>
      <c r="AD1556" s="89">
        <f t="shared" si="423"/>
        <v>17</v>
      </c>
      <c r="AE1556" s="90">
        <f t="shared" si="424"/>
        <v>0</v>
      </c>
      <c r="AF1556" s="90" t="str">
        <f t="shared" si="425"/>
        <v/>
      </c>
      <c r="AG1556" s="90">
        <f t="shared" si="426"/>
        <v>5</v>
      </c>
      <c r="AH1556" s="90">
        <f t="shared" si="427"/>
        <v>2018</v>
      </c>
      <c r="AI1556" s="90">
        <f t="shared" si="428"/>
        <v>17</v>
      </c>
      <c r="AJ1556" s="90">
        <f t="shared" si="429"/>
        <v>2022</v>
      </c>
      <c r="AK1556" s="90" t="str">
        <f t="shared" si="430"/>
        <v/>
      </c>
      <c r="AL1556" s="91">
        <f>IF(AK1556="Adjust",(_xlfn.XLOOKUP(A1556,'Adj factor'!A:A,'Adj factor'!I:I,,0)*AI1556),'Master DataSheet'!AI1556)</f>
        <v>17</v>
      </c>
      <c r="AM1556" s="91">
        <f t="shared" si="431"/>
        <v>17</v>
      </c>
      <c r="AN1556" s="92" t="str">
        <f t="shared" si="432"/>
        <v>Increasing</v>
      </c>
      <c r="AS1556" s="94">
        <f t="shared" si="433"/>
        <v>0</v>
      </c>
      <c r="AT1556" s="94">
        <f t="shared" si="434"/>
        <v>2.0784139872273143E-2</v>
      </c>
      <c r="AU1556" s="94">
        <f t="shared" si="435"/>
        <v>6.6224843081208226E-2</v>
      </c>
    </row>
    <row r="1557" spans="1:47" x14ac:dyDescent="0.3">
      <c r="A1557" s="85" t="str">
        <f>_xlfn.XLOOKUP(B1557,'Country codes &amp; Data sources'!G:G,'Country codes &amp; Data sources'!H:H,,0)</f>
        <v>Namibia</v>
      </c>
      <c r="B1557" s="85" t="s">
        <v>182</v>
      </c>
      <c r="C1557" s="85">
        <v>2167477</v>
      </c>
      <c r="D1557" s="85" t="s">
        <v>333</v>
      </c>
      <c r="E1557" s="86">
        <v>0</v>
      </c>
      <c r="F1557" s="86">
        <v>2204510.0000000005</v>
      </c>
      <c r="G1557" s="86">
        <v>0</v>
      </c>
      <c r="H1557" s="86"/>
      <c r="I1557" s="86">
        <v>0</v>
      </c>
      <c r="J1557" s="86"/>
      <c r="K1557" s="86">
        <v>0</v>
      </c>
      <c r="L1557" s="86"/>
      <c r="M1557" s="86">
        <v>0</v>
      </c>
      <c r="N1557" s="86"/>
      <c r="O1557" s="86">
        <v>0</v>
      </c>
      <c r="P1557" s="86">
        <v>2405680.5000000005</v>
      </c>
      <c r="Q1557" s="86">
        <v>5</v>
      </c>
      <c r="R1557" s="87">
        <f t="shared" si="420"/>
        <v>5</v>
      </c>
      <c r="T1557" s="87">
        <v>5</v>
      </c>
      <c r="U1557" s="89"/>
      <c r="V1557" s="89">
        <v>5</v>
      </c>
      <c r="W1557" s="90"/>
      <c r="X1557" s="90">
        <v>6</v>
      </c>
      <c r="Y1557" s="90">
        <v>2567012.4999999995</v>
      </c>
      <c r="Z1557" s="90">
        <v>7</v>
      </c>
      <c r="AA1557" s="90">
        <v>0</v>
      </c>
      <c r="AB1557" s="89">
        <f t="shared" si="421"/>
        <v>0</v>
      </c>
      <c r="AC1557" s="89">
        <f t="shared" si="422"/>
        <v>5</v>
      </c>
      <c r="AD1557" s="89">
        <f t="shared" si="423"/>
        <v>7</v>
      </c>
      <c r="AE1557" s="90">
        <f t="shared" si="424"/>
        <v>0</v>
      </c>
      <c r="AF1557" s="90" t="str">
        <f t="shared" si="425"/>
        <v/>
      </c>
      <c r="AG1557" s="90">
        <f t="shared" si="426"/>
        <v>5</v>
      </c>
      <c r="AH1557" s="90">
        <f t="shared" si="427"/>
        <v>2018</v>
      </c>
      <c r="AI1557" s="90">
        <f t="shared" si="428"/>
        <v>7</v>
      </c>
      <c r="AJ1557" s="90">
        <f t="shared" si="429"/>
        <v>2022</v>
      </c>
      <c r="AK1557" s="90" t="str">
        <f t="shared" si="430"/>
        <v/>
      </c>
      <c r="AL1557" s="91">
        <f>IF(AK1557="Adjust",(_xlfn.XLOOKUP(A1557,'Adj factor'!A:A,'Adj factor'!I:I,,0)*AI1557),'Master DataSheet'!AI1557)</f>
        <v>7</v>
      </c>
      <c r="AM1557" s="91">
        <f t="shared" si="431"/>
        <v>7</v>
      </c>
      <c r="AN1557" s="92" t="str">
        <f t="shared" si="432"/>
        <v>Increasing</v>
      </c>
      <c r="AS1557" s="94">
        <f t="shared" si="433"/>
        <v>0</v>
      </c>
      <c r="AT1557" s="94">
        <f t="shared" si="434"/>
        <v>2.0784139872273143E-2</v>
      </c>
      <c r="AU1557" s="94">
        <f t="shared" si="435"/>
        <v>2.726905303343868E-2</v>
      </c>
    </row>
    <row r="1558" spans="1:47" x14ac:dyDescent="0.3">
      <c r="A1558" s="85" t="str">
        <f>_xlfn.XLOOKUP(B1558,'Country codes &amp; Data sources'!G:G,'Country codes &amp; Data sources'!H:H,,0)</f>
        <v>Namibia</v>
      </c>
      <c r="B1558" s="85" t="s">
        <v>182</v>
      </c>
      <c r="C1558" s="85">
        <v>2167478</v>
      </c>
      <c r="D1558" s="85" t="s">
        <v>334</v>
      </c>
      <c r="E1558" s="86">
        <v>0</v>
      </c>
      <c r="F1558" s="86">
        <v>2204510.0000000005</v>
      </c>
      <c r="G1558" s="86">
        <v>0</v>
      </c>
      <c r="H1558" s="86"/>
      <c r="I1558" s="86">
        <v>0</v>
      </c>
      <c r="J1558" s="86"/>
      <c r="K1558" s="86">
        <v>0</v>
      </c>
      <c r="L1558" s="86"/>
      <c r="M1558" s="86">
        <v>0</v>
      </c>
      <c r="N1558" s="86"/>
      <c r="O1558" s="86">
        <v>0</v>
      </c>
      <c r="P1558" s="86">
        <v>2405680.5000000005</v>
      </c>
      <c r="Q1558" s="86">
        <v>0</v>
      </c>
      <c r="R1558" s="87">
        <f t="shared" si="420"/>
        <v>0</v>
      </c>
      <c r="T1558" s="87">
        <v>0</v>
      </c>
      <c r="U1558" s="89"/>
      <c r="V1558" s="89">
        <v>0</v>
      </c>
      <c r="W1558" s="90"/>
      <c r="X1558" s="90">
        <v>0</v>
      </c>
      <c r="Y1558" s="90">
        <v>2567012.4999999995</v>
      </c>
      <c r="Z1558" s="90">
        <v>0</v>
      </c>
      <c r="AA1558" s="90">
        <v>0</v>
      </c>
      <c r="AB1558" s="89">
        <f t="shared" si="421"/>
        <v>0</v>
      </c>
      <c r="AC1558" s="89">
        <f t="shared" si="422"/>
        <v>0</v>
      </c>
      <c r="AD1558" s="89">
        <f t="shared" si="423"/>
        <v>0</v>
      </c>
      <c r="AE1558" s="90">
        <f t="shared" si="424"/>
        <v>0</v>
      </c>
      <c r="AF1558" s="90" t="str">
        <f t="shared" si="425"/>
        <v/>
      </c>
      <c r="AG1558" s="90">
        <f t="shared" si="426"/>
        <v>0</v>
      </c>
      <c r="AH1558" s="90" t="str">
        <f t="shared" si="427"/>
        <v/>
      </c>
      <c r="AI1558" s="90">
        <f t="shared" si="428"/>
        <v>0</v>
      </c>
      <c r="AJ1558" s="90" t="str">
        <f t="shared" si="429"/>
        <v/>
      </c>
      <c r="AK1558" s="90" t="str">
        <f t="shared" si="430"/>
        <v/>
      </c>
      <c r="AL1558" s="91">
        <f>IF(AK1558="Adjust",(_xlfn.XLOOKUP(A1558,'Adj factor'!A:A,'Adj factor'!I:I,,0)*AI1558),'Master DataSheet'!AI1558)</f>
        <v>0</v>
      </c>
      <c r="AM1558" s="91">
        <f t="shared" si="431"/>
        <v>0</v>
      </c>
      <c r="AN1558" s="92" t="str">
        <f t="shared" si="432"/>
        <v>No change</v>
      </c>
      <c r="AS1558" s="94">
        <f t="shared" si="433"/>
        <v>0</v>
      </c>
      <c r="AT1558" s="94">
        <f t="shared" si="434"/>
        <v>0</v>
      </c>
      <c r="AU1558" s="94">
        <f t="shared" si="435"/>
        <v>0</v>
      </c>
    </row>
    <row r="1559" spans="1:47" x14ac:dyDescent="0.3">
      <c r="A1559" s="85" t="str">
        <f>_xlfn.XLOOKUP(B1559,'Country codes &amp; Data sources'!G:G,'Country codes &amp; Data sources'!H:H,,0)</f>
        <v>Namibia</v>
      </c>
      <c r="B1559" s="85" t="s">
        <v>182</v>
      </c>
      <c r="C1559" s="85">
        <v>2167479</v>
      </c>
      <c r="D1559" s="85" t="s">
        <v>335</v>
      </c>
      <c r="E1559" s="86">
        <v>0</v>
      </c>
      <c r="F1559" s="86">
        <v>2204510.0000000005</v>
      </c>
      <c r="G1559" s="86">
        <v>0</v>
      </c>
      <c r="H1559" s="86"/>
      <c r="I1559" s="86">
        <v>0</v>
      </c>
      <c r="J1559" s="86"/>
      <c r="K1559" s="86">
        <v>0</v>
      </c>
      <c r="L1559" s="86"/>
      <c r="M1559" s="86">
        <v>0</v>
      </c>
      <c r="N1559" s="86"/>
      <c r="O1559" s="86">
        <v>0</v>
      </c>
      <c r="P1559" s="86">
        <v>2405680.5000000005</v>
      </c>
      <c r="Q1559" s="86">
        <v>464</v>
      </c>
      <c r="R1559" s="87">
        <f t="shared" si="420"/>
        <v>598</v>
      </c>
      <c r="T1559" s="87">
        <v>514</v>
      </c>
      <c r="U1559" s="89"/>
      <c r="V1559" s="89">
        <v>546</v>
      </c>
      <c r="W1559" s="90"/>
      <c r="X1559" s="90">
        <v>603</v>
      </c>
      <c r="Y1559" s="90">
        <v>2567012.4999999995</v>
      </c>
      <c r="Z1559" s="90">
        <v>655</v>
      </c>
      <c r="AA1559" s="90">
        <v>598</v>
      </c>
      <c r="AB1559" s="89">
        <f t="shared" si="421"/>
        <v>0</v>
      </c>
      <c r="AC1559" s="89">
        <f t="shared" si="422"/>
        <v>514</v>
      </c>
      <c r="AD1559" s="89">
        <f t="shared" si="423"/>
        <v>655</v>
      </c>
      <c r="AE1559" s="90">
        <f t="shared" si="424"/>
        <v>0</v>
      </c>
      <c r="AF1559" s="90" t="str">
        <f t="shared" si="425"/>
        <v/>
      </c>
      <c r="AG1559" s="90">
        <f t="shared" si="426"/>
        <v>598</v>
      </c>
      <c r="AH1559" s="90" t="str">
        <f t="shared" si="427"/>
        <v>2018 (triag)</v>
      </c>
      <c r="AI1559" s="90">
        <f t="shared" si="428"/>
        <v>655</v>
      </c>
      <c r="AJ1559" s="90">
        <f t="shared" si="429"/>
        <v>2022</v>
      </c>
      <c r="AK1559" s="90" t="str">
        <f t="shared" si="430"/>
        <v/>
      </c>
      <c r="AL1559" s="91">
        <f>IF(AK1559="Adjust",(_xlfn.XLOOKUP(A1559,'Adj factor'!A:A,'Adj factor'!I:I,,0)*AI1559),'Master DataSheet'!AI1559)</f>
        <v>655</v>
      </c>
      <c r="AM1559" s="91">
        <f t="shared" si="431"/>
        <v>655</v>
      </c>
      <c r="AN1559" s="92" t="str">
        <f t="shared" si="432"/>
        <v>Increasing</v>
      </c>
      <c r="AS1559" s="94">
        <f t="shared" si="433"/>
        <v>0</v>
      </c>
      <c r="AT1559" s="94">
        <f t="shared" si="434"/>
        <v>2.4857831287238681</v>
      </c>
      <c r="AU1559" s="94">
        <f t="shared" si="435"/>
        <v>2.5516042481289052</v>
      </c>
    </row>
    <row r="1560" spans="1:47" x14ac:dyDescent="0.3">
      <c r="A1560" s="85" t="str">
        <f>_xlfn.XLOOKUP(B1560,'Country codes &amp; Data sources'!G:G,'Country codes &amp; Data sources'!H:H,,0)</f>
        <v>Namibia</v>
      </c>
      <c r="B1560" s="85" t="s">
        <v>182</v>
      </c>
      <c r="C1560" s="85">
        <v>2167480</v>
      </c>
      <c r="D1560" s="85" t="s">
        <v>336</v>
      </c>
      <c r="E1560" s="86">
        <v>0</v>
      </c>
      <c r="F1560" s="86">
        <v>2204510.0000000005</v>
      </c>
      <c r="G1560" s="86">
        <v>0</v>
      </c>
      <c r="H1560" s="86"/>
      <c r="I1560" s="86">
        <v>0</v>
      </c>
      <c r="J1560" s="86"/>
      <c r="K1560" s="86">
        <v>0</v>
      </c>
      <c r="L1560" s="86"/>
      <c r="M1560" s="86">
        <v>0</v>
      </c>
      <c r="N1560" s="86"/>
      <c r="O1560" s="86">
        <v>0</v>
      </c>
      <c r="P1560" s="86">
        <v>2405680.5000000005</v>
      </c>
      <c r="Q1560" s="86">
        <v>226</v>
      </c>
      <c r="R1560" s="87">
        <f t="shared" si="420"/>
        <v>309</v>
      </c>
      <c r="T1560" s="87">
        <v>300</v>
      </c>
      <c r="U1560" s="89"/>
      <c r="V1560" s="89">
        <v>338</v>
      </c>
      <c r="W1560" s="90"/>
      <c r="X1560" s="90">
        <v>372</v>
      </c>
      <c r="Y1560" s="90">
        <v>2567012.4999999995</v>
      </c>
      <c r="Z1560" s="90">
        <v>402</v>
      </c>
      <c r="AA1560" s="90">
        <v>309</v>
      </c>
      <c r="AB1560" s="89">
        <f t="shared" si="421"/>
        <v>0</v>
      </c>
      <c r="AC1560" s="89">
        <f t="shared" si="422"/>
        <v>300</v>
      </c>
      <c r="AD1560" s="89">
        <f t="shared" si="423"/>
        <v>402</v>
      </c>
      <c r="AE1560" s="90">
        <f t="shared" si="424"/>
        <v>0</v>
      </c>
      <c r="AF1560" s="90" t="str">
        <f t="shared" si="425"/>
        <v/>
      </c>
      <c r="AG1560" s="90">
        <f t="shared" si="426"/>
        <v>309</v>
      </c>
      <c r="AH1560" s="90" t="str">
        <f t="shared" si="427"/>
        <v>2018 (triag)</v>
      </c>
      <c r="AI1560" s="90">
        <f t="shared" si="428"/>
        <v>402</v>
      </c>
      <c r="AJ1560" s="90">
        <f t="shared" si="429"/>
        <v>2022</v>
      </c>
      <c r="AK1560" s="90" t="str">
        <f t="shared" si="430"/>
        <v/>
      </c>
      <c r="AL1560" s="91">
        <f>IF(AK1560="Adjust",(_xlfn.XLOOKUP(A1560,'Adj factor'!A:A,'Adj factor'!I:I,,0)*AI1560),'Master DataSheet'!AI1560)</f>
        <v>402</v>
      </c>
      <c r="AM1560" s="91">
        <f t="shared" si="431"/>
        <v>402</v>
      </c>
      <c r="AN1560" s="92" t="str">
        <f t="shared" si="432"/>
        <v>Increasing</v>
      </c>
      <c r="AS1560" s="94">
        <f t="shared" si="433"/>
        <v>0</v>
      </c>
      <c r="AT1560" s="94">
        <f t="shared" si="434"/>
        <v>1.2844598441064803</v>
      </c>
      <c r="AU1560" s="94">
        <f t="shared" si="435"/>
        <v>1.5660227599203358</v>
      </c>
    </row>
    <row r="1561" spans="1:47" ht="14.5" x14ac:dyDescent="0.35">
      <c r="A1561" s="85" t="str">
        <f>_xlfn.XLOOKUP(B1561,'Country codes &amp; Data sources'!G:G,'Country codes &amp; Data sources'!H:H,,0)</f>
        <v>Namibia</v>
      </c>
      <c r="B1561" s="85" t="s">
        <v>182</v>
      </c>
      <c r="C1561" s="85">
        <v>2167481</v>
      </c>
      <c r="D1561" s="85" t="s">
        <v>337</v>
      </c>
      <c r="E1561" s="86">
        <v>0</v>
      </c>
      <c r="F1561" s="86">
        <v>2204510.0000000005</v>
      </c>
      <c r="G1561" s="86">
        <v>0</v>
      </c>
      <c r="H1561" s="86"/>
      <c r="I1561" s="86">
        <v>68</v>
      </c>
      <c r="J1561" s="86"/>
      <c r="K1561" s="86">
        <v>0</v>
      </c>
      <c r="L1561" s="86"/>
      <c r="M1561" s="86">
        <v>0</v>
      </c>
      <c r="N1561" s="86"/>
      <c r="O1561" s="86">
        <v>0</v>
      </c>
      <c r="P1561" s="86">
        <v>2405680.5000000005</v>
      </c>
      <c r="Q1561" s="86">
        <v>87</v>
      </c>
      <c r="R1561" s="87">
        <f t="shared" si="420"/>
        <v>181</v>
      </c>
      <c r="T1561" s="87">
        <v>117</v>
      </c>
      <c r="U1561" s="89"/>
      <c r="V1561" s="89">
        <v>138</v>
      </c>
      <c r="W1561" s="90"/>
      <c r="X1561" s="90">
        <v>161</v>
      </c>
      <c r="Y1561" s="90">
        <v>2567012.4999999995</v>
      </c>
      <c r="Z1561" s="111">
        <f>178+6+40</f>
        <v>224</v>
      </c>
      <c r="AA1561" s="90">
        <v>181</v>
      </c>
      <c r="AB1561" s="89">
        <f t="shared" si="421"/>
        <v>68</v>
      </c>
      <c r="AC1561" s="89">
        <f t="shared" si="422"/>
        <v>117</v>
      </c>
      <c r="AD1561" s="89">
        <f t="shared" si="423"/>
        <v>224</v>
      </c>
      <c r="AE1561" s="90">
        <f t="shared" si="424"/>
        <v>68</v>
      </c>
      <c r="AF1561" s="90">
        <f t="shared" si="425"/>
        <v>2014</v>
      </c>
      <c r="AG1561" s="90">
        <f t="shared" si="426"/>
        <v>181</v>
      </c>
      <c r="AH1561" s="90" t="str">
        <f t="shared" si="427"/>
        <v>2018 (triag)</v>
      </c>
      <c r="AI1561" s="90">
        <f t="shared" si="428"/>
        <v>224</v>
      </c>
      <c r="AJ1561" s="90">
        <f t="shared" si="429"/>
        <v>2022</v>
      </c>
      <c r="AK1561" s="90" t="str">
        <f t="shared" si="430"/>
        <v/>
      </c>
      <c r="AL1561" s="91">
        <f>IF(AK1561="Adjust",(_xlfn.XLOOKUP(A1561,'Adj factor'!A:A,'Adj factor'!I:I,,0)*AI1561),'Master DataSheet'!AI1561)</f>
        <v>224</v>
      </c>
      <c r="AM1561" s="91">
        <f t="shared" si="431"/>
        <v>224</v>
      </c>
      <c r="AN1561" s="92" t="str">
        <f t="shared" si="432"/>
        <v>Increasing</v>
      </c>
      <c r="AS1561" s="94">
        <f t="shared" si="433"/>
        <v>0.30845856902440899</v>
      </c>
      <c r="AT1561" s="94">
        <f t="shared" si="434"/>
        <v>0.75238586337628777</v>
      </c>
      <c r="AU1561" s="94">
        <f t="shared" si="435"/>
        <v>0.87260969707003777</v>
      </c>
    </row>
    <row r="1562" spans="1:47" ht="14.5" x14ac:dyDescent="0.35">
      <c r="A1562" s="85" t="str">
        <f>_xlfn.XLOOKUP(B1562,'Country codes &amp; Data sources'!G:G,'Country codes &amp; Data sources'!H:H,,0)</f>
        <v>Namibia</v>
      </c>
      <c r="B1562" s="85" t="s">
        <v>182</v>
      </c>
      <c r="C1562" s="85">
        <v>2167482</v>
      </c>
      <c r="D1562" s="85" t="s">
        <v>338</v>
      </c>
      <c r="E1562" s="86">
        <v>0</v>
      </c>
      <c r="F1562" s="86">
        <v>2204510.0000000005</v>
      </c>
      <c r="G1562" s="86">
        <v>0</v>
      </c>
      <c r="H1562" s="86"/>
      <c r="I1562" s="86">
        <v>0</v>
      </c>
      <c r="J1562" s="86"/>
      <c r="K1562" s="86">
        <v>0</v>
      </c>
      <c r="L1562" s="86"/>
      <c r="M1562" s="86">
        <v>0</v>
      </c>
      <c r="N1562" s="86"/>
      <c r="O1562" s="86">
        <v>0</v>
      </c>
      <c r="P1562" s="86">
        <v>2405680.5000000005</v>
      </c>
      <c r="Q1562" s="86">
        <v>41</v>
      </c>
      <c r="R1562" s="87">
        <f t="shared" si="420"/>
        <v>108</v>
      </c>
      <c r="T1562" s="87">
        <v>43</v>
      </c>
      <c r="U1562" s="89"/>
      <c r="V1562" s="89">
        <v>43</v>
      </c>
      <c r="W1562" s="90"/>
      <c r="X1562" s="90">
        <v>48</v>
      </c>
      <c r="Y1562" s="90">
        <v>2567012.4999999995</v>
      </c>
      <c r="Z1562" s="111">
        <f>37+9+58</f>
        <v>104</v>
      </c>
      <c r="AA1562" s="90">
        <v>108</v>
      </c>
      <c r="AB1562" s="89">
        <f t="shared" si="421"/>
        <v>0</v>
      </c>
      <c r="AC1562" s="89">
        <f t="shared" si="422"/>
        <v>43</v>
      </c>
      <c r="AD1562" s="89">
        <f t="shared" si="423"/>
        <v>104</v>
      </c>
      <c r="AE1562" s="90">
        <f t="shared" si="424"/>
        <v>0</v>
      </c>
      <c r="AF1562" s="90" t="str">
        <f t="shared" si="425"/>
        <v/>
      </c>
      <c r="AG1562" s="90">
        <f t="shared" si="426"/>
        <v>108</v>
      </c>
      <c r="AH1562" s="90" t="str">
        <f t="shared" si="427"/>
        <v>2018 (triag)</v>
      </c>
      <c r="AI1562" s="90">
        <f t="shared" si="428"/>
        <v>104</v>
      </c>
      <c r="AJ1562" s="90">
        <f t="shared" si="429"/>
        <v>2022</v>
      </c>
      <c r="AK1562" s="90" t="str">
        <f t="shared" si="430"/>
        <v>Adjust</v>
      </c>
      <c r="AL1562" s="91">
        <f>IF(AK1562="Adjust",(_xlfn.XLOOKUP(A1562,'Adj factor'!A:A,'Adj factor'!I:I,,0)*AI1562),'Master DataSheet'!AI1562)</f>
        <v>157.53728549141965</v>
      </c>
      <c r="AM1562" s="91">
        <f t="shared" si="431"/>
        <v>157.53728549141965</v>
      </c>
      <c r="AN1562" s="92" t="str">
        <f t="shared" si="432"/>
        <v>Increasing</v>
      </c>
      <c r="AS1562" s="94">
        <f t="shared" si="433"/>
        <v>0</v>
      </c>
      <c r="AT1562" s="94">
        <f t="shared" si="434"/>
        <v>0.44893742124109987</v>
      </c>
      <c r="AU1562" s="94">
        <f t="shared" si="435"/>
        <v>0.61369894182992757</v>
      </c>
    </row>
    <row r="1563" spans="1:47" ht="14.5" x14ac:dyDescent="0.35">
      <c r="A1563" s="85" t="str">
        <f>_xlfn.XLOOKUP(B1563,'Country codes &amp; Data sources'!G:G,'Country codes &amp; Data sources'!H:H,,0)</f>
        <v>Namibia</v>
      </c>
      <c r="B1563" s="85" t="s">
        <v>182</v>
      </c>
      <c r="C1563" s="85">
        <v>2167483</v>
      </c>
      <c r="D1563" s="85" t="s">
        <v>339</v>
      </c>
      <c r="E1563" s="86">
        <v>0</v>
      </c>
      <c r="F1563" s="86">
        <v>2204510.0000000005</v>
      </c>
      <c r="G1563" s="86">
        <v>0</v>
      </c>
      <c r="H1563" s="86"/>
      <c r="I1563" s="86">
        <v>0</v>
      </c>
      <c r="J1563" s="86"/>
      <c r="K1563" s="86">
        <v>0</v>
      </c>
      <c r="L1563" s="86"/>
      <c r="M1563" s="86">
        <v>0</v>
      </c>
      <c r="N1563" s="86"/>
      <c r="O1563" s="86">
        <v>0</v>
      </c>
      <c r="P1563" s="86">
        <v>2405680.5000000005</v>
      </c>
      <c r="Q1563" s="86">
        <v>0</v>
      </c>
      <c r="R1563" s="87">
        <f t="shared" si="420"/>
        <v>0</v>
      </c>
      <c r="T1563" s="87">
        <v>0</v>
      </c>
      <c r="U1563" s="89"/>
      <c r="V1563" s="89">
        <v>0</v>
      </c>
      <c r="W1563" s="90"/>
      <c r="X1563" s="90">
        <v>0</v>
      </c>
      <c r="Y1563" s="90">
        <v>2567012.4999999995</v>
      </c>
      <c r="Z1563" s="111">
        <v>13</v>
      </c>
      <c r="AA1563" s="90">
        <v>0</v>
      </c>
      <c r="AB1563" s="89">
        <f t="shared" si="421"/>
        <v>0</v>
      </c>
      <c r="AC1563" s="89">
        <f t="shared" si="422"/>
        <v>0</v>
      </c>
      <c r="AD1563" s="89">
        <f t="shared" si="423"/>
        <v>13</v>
      </c>
      <c r="AE1563" s="90">
        <f t="shared" si="424"/>
        <v>0</v>
      </c>
      <c r="AF1563" s="90" t="str">
        <f t="shared" si="425"/>
        <v/>
      </c>
      <c r="AG1563" s="90">
        <f t="shared" si="426"/>
        <v>0</v>
      </c>
      <c r="AH1563" s="90" t="str">
        <f t="shared" si="427"/>
        <v/>
      </c>
      <c r="AI1563" s="90">
        <f t="shared" si="428"/>
        <v>13</v>
      </c>
      <c r="AJ1563" s="90">
        <f t="shared" si="429"/>
        <v>2022</v>
      </c>
      <c r="AK1563" s="90" t="str">
        <f t="shared" si="430"/>
        <v/>
      </c>
      <c r="AL1563" s="91">
        <f>IF(AK1563="Adjust",(_xlfn.XLOOKUP(A1563,'Adj factor'!A:A,'Adj factor'!I:I,,0)*AI1563),'Master DataSheet'!AI1563)</f>
        <v>13</v>
      </c>
      <c r="AM1563" s="91">
        <f t="shared" si="431"/>
        <v>13</v>
      </c>
      <c r="AN1563" s="92" t="str">
        <f t="shared" si="432"/>
        <v>Increasing</v>
      </c>
      <c r="AS1563" s="94">
        <f t="shared" si="433"/>
        <v>0</v>
      </c>
      <c r="AT1563" s="94">
        <f t="shared" si="434"/>
        <v>0</v>
      </c>
      <c r="AU1563" s="94">
        <f t="shared" si="435"/>
        <v>5.0642527062100408E-2</v>
      </c>
    </row>
    <row r="1564" spans="1:47" x14ac:dyDescent="0.3">
      <c r="A1564" s="85" t="str">
        <f>_xlfn.XLOOKUP(B1564,'Country codes &amp; Data sources'!G:G,'Country codes &amp; Data sources'!H:H,,0)</f>
        <v>Niger</v>
      </c>
      <c r="B1564" s="85" t="s">
        <v>190</v>
      </c>
      <c r="C1564" s="85">
        <v>17954407.000000004</v>
      </c>
      <c r="D1564" s="85" t="s">
        <v>326</v>
      </c>
      <c r="E1564" s="86">
        <v>952</v>
      </c>
      <c r="F1564" s="86">
        <v>18653199</v>
      </c>
      <c r="G1564" s="86">
        <v>946</v>
      </c>
      <c r="H1564" s="86">
        <v>19372013.999999993</v>
      </c>
      <c r="I1564" s="86">
        <v>523</v>
      </c>
      <c r="J1564" s="86">
        <v>20128123.999999989</v>
      </c>
      <c r="K1564" s="86">
        <v>634</v>
      </c>
      <c r="L1564" s="86">
        <v>20921743.000000011</v>
      </c>
      <c r="M1564" s="86">
        <v>681</v>
      </c>
      <c r="N1564" s="86">
        <v>21737922.000000011</v>
      </c>
      <c r="O1564" s="86">
        <v>472</v>
      </c>
      <c r="P1564" s="86">
        <v>22577057.999999996</v>
      </c>
      <c r="Q1564" s="86">
        <v>818</v>
      </c>
      <c r="R1564" s="87">
        <f t="shared" si="420"/>
        <v>1065</v>
      </c>
      <c r="S1564" s="87">
        <v>23443392.999999978</v>
      </c>
      <c r="T1564" s="87">
        <v>888</v>
      </c>
      <c r="U1564" s="89">
        <v>24333638.499999985</v>
      </c>
      <c r="V1564" s="89">
        <v>835</v>
      </c>
      <c r="W1564" s="90">
        <v>25252721.999999989</v>
      </c>
      <c r="X1564" s="90">
        <v>0</v>
      </c>
      <c r="Y1564" s="90">
        <v>26207976.5</v>
      </c>
      <c r="Z1564" s="90">
        <v>614</v>
      </c>
      <c r="AA1564" s="90">
        <v>1065</v>
      </c>
      <c r="AB1564" s="89">
        <f t="shared" si="421"/>
        <v>952</v>
      </c>
      <c r="AC1564" s="89">
        <f t="shared" si="422"/>
        <v>888</v>
      </c>
      <c r="AD1564" s="89">
        <f t="shared" si="423"/>
        <v>835</v>
      </c>
      <c r="AE1564" s="90">
        <f t="shared" si="424"/>
        <v>946</v>
      </c>
      <c r="AF1564" s="90">
        <f t="shared" si="425"/>
        <v>2013</v>
      </c>
      <c r="AG1564" s="90">
        <f t="shared" si="426"/>
        <v>1065</v>
      </c>
      <c r="AH1564" s="90" t="str">
        <f t="shared" si="427"/>
        <v>2018 (triag)</v>
      </c>
      <c r="AI1564" s="90">
        <f t="shared" si="428"/>
        <v>614</v>
      </c>
      <c r="AJ1564" s="90">
        <f t="shared" si="429"/>
        <v>2022</v>
      </c>
      <c r="AK1564" s="90" t="str">
        <f t="shared" si="430"/>
        <v>Adjust</v>
      </c>
      <c r="AL1564" s="91">
        <f>IF(AK1564="Adjust",(_xlfn.XLOOKUP(A1564,'Adj factor'!A:A,'Adj factor'!I:I,,0)*AI1564),'Master DataSheet'!AI1564)</f>
        <v>705.66936761273496</v>
      </c>
      <c r="AM1564" s="91">
        <f t="shared" si="431"/>
        <v>1065</v>
      </c>
      <c r="AN1564" s="92" t="str">
        <f t="shared" si="432"/>
        <v>Decreasing</v>
      </c>
      <c r="AS1564" s="94">
        <f t="shared" si="433"/>
        <v>0.50715161511974438</v>
      </c>
      <c r="AT1564" s="94">
        <f t="shared" si="434"/>
        <v>0.47171779423164883</v>
      </c>
      <c r="AU1564" s="94">
        <f t="shared" si="435"/>
        <v>0.40636483324075018</v>
      </c>
    </row>
    <row r="1565" spans="1:47" x14ac:dyDescent="0.3">
      <c r="A1565" s="85" t="str">
        <f>_xlfn.XLOOKUP(B1565,'Country codes &amp; Data sources'!G:G,'Country codes &amp; Data sources'!H:H,,0)</f>
        <v>Niger</v>
      </c>
      <c r="B1565" s="85" t="s">
        <v>190</v>
      </c>
      <c r="C1565" s="85">
        <v>17954408</v>
      </c>
      <c r="D1565" s="85" t="s">
        <v>327</v>
      </c>
      <c r="E1565" s="86">
        <v>0</v>
      </c>
      <c r="F1565" s="86">
        <v>18653199</v>
      </c>
      <c r="G1565" s="86">
        <v>0</v>
      </c>
      <c r="H1565" s="86"/>
      <c r="I1565" s="86">
        <v>0</v>
      </c>
      <c r="J1565" s="86"/>
      <c r="K1565" s="86">
        <v>0</v>
      </c>
      <c r="L1565" s="86"/>
      <c r="M1565" s="86">
        <v>0</v>
      </c>
      <c r="N1565" s="86"/>
      <c r="O1565" s="86">
        <v>0</v>
      </c>
      <c r="P1565" s="86">
        <v>22577057.999999996</v>
      </c>
      <c r="Q1565" s="86">
        <v>0</v>
      </c>
      <c r="R1565" s="87">
        <f t="shared" si="420"/>
        <v>1065</v>
      </c>
      <c r="T1565" s="87">
        <v>0</v>
      </c>
      <c r="U1565" s="89"/>
      <c r="V1565" s="89">
        <v>0</v>
      </c>
      <c r="W1565" s="90"/>
      <c r="X1565" s="90">
        <v>0</v>
      </c>
      <c r="Y1565" s="90">
        <v>26207976.5</v>
      </c>
      <c r="Z1565" s="90">
        <v>316</v>
      </c>
      <c r="AA1565" s="90">
        <v>1065</v>
      </c>
      <c r="AB1565" s="89">
        <f t="shared" si="421"/>
        <v>0</v>
      </c>
      <c r="AC1565" s="89">
        <f t="shared" si="422"/>
        <v>0</v>
      </c>
      <c r="AD1565" s="89">
        <f t="shared" si="423"/>
        <v>316</v>
      </c>
      <c r="AE1565" s="90">
        <f t="shared" si="424"/>
        <v>0</v>
      </c>
      <c r="AF1565" s="90" t="str">
        <f t="shared" si="425"/>
        <v/>
      </c>
      <c r="AG1565" s="90">
        <f t="shared" si="426"/>
        <v>1065</v>
      </c>
      <c r="AH1565" s="90" t="str">
        <f t="shared" si="427"/>
        <v>2018 (triag)</v>
      </c>
      <c r="AI1565" s="90">
        <f t="shared" si="428"/>
        <v>316</v>
      </c>
      <c r="AJ1565" s="90">
        <f t="shared" si="429"/>
        <v>2022</v>
      </c>
      <c r="AK1565" s="90" t="str">
        <f t="shared" si="430"/>
        <v>Adjust</v>
      </c>
      <c r="AL1565" s="91">
        <f>IF(AK1565="Adjust",(_xlfn.XLOOKUP(A1565,'Adj factor'!A:A,'Adj factor'!I:I,,0)*AI1565),'Master DataSheet'!AI1565)</f>
        <v>363.17837160525119</v>
      </c>
      <c r="AM1565" s="91">
        <f t="shared" si="431"/>
        <v>1065</v>
      </c>
      <c r="AN1565" s="92" t="str">
        <f t="shared" si="432"/>
        <v>Decreasing</v>
      </c>
      <c r="AS1565" s="94">
        <f t="shared" si="433"/>
        <v>0</v>
      </c>
      <c r="AT1565" s="94">
        <f t="shared" si="434"/>
        <v>0.47171779423164883</v>
      </c>
      <c r="AU1565" s="94">
        <f t="shared" si="435"/>
        <v>0.40636483324075018</v>
      </c>
    </row>
    <row r="1566" spans="1:47" x14ac:dyDescent="0.3">
      <c r="A1566" s="85" t="str">
        <f>_xlfn.XLOOKUP(B1566,'Country codes &amp; Data sources'!G:G,'Country codes &amp; Data sources'!H:H,,0)</f>
        <v>Niger</v>
      </c>
      <c r="B1566" s="85" t="s">
        <v>190</v>
      </c>
      <c r="C1566" s="85">
        <v>17954409</v>
      </c>
      <c r="D1566" s="85" t="s">
        <v>328</v>
      </c>
      <c r="E1566" s="86">
        <v>0</v>
      </c>
      <c r="F1566" s="86">
        <v>18653199</v>
      </c>
      <c r="G1566" s="86">
        <v>0</v>
      </c>
      <c r="H1566" s="86"/>
      <c r="I1566" s="86">
        <v>0</v>
      </c>
      <c r="J1566" s="86"/>
      <c r="K1566" s="86">
        <v>0</v>
      </c>
      <c r="L1566" s="86"/>
      <c r="M1566" s="86">
        <v>0</v>
      </c>
      <c r="N1566" s="86"/>
      <c r="O1566" s="86">
        <v>0</v>
      </c>
      <c r="P1566" s="86">
        <v>22577057.999999996</v>
      </c>
      <c r="Q1566" s="86">
        <v>0</v>
      </c>
      <c r="R1566" s="87">
        <f t="shared" si="420"/>
        <v>0</v>
      </c>
      <c r="T1566" s="87">
        <v>0</v>
      </c>
      <c r="U1566" s="89"/>
      <c r="V1566" s="89">
        <v>0</v>
      </c>
      <c r="W1566" s="90"/>
      <c r="X1566" s="90">
        <v>0</v>
      </c>
      <c r="Y1566" s="90">
        <v>26207976.5</v>
      </c>
      <c r="Z1566" s="90">
        <v>298</v>
      </c>
      <c r="AA1566" s="90">
        <v>0</v>
      </c>
      <c r="AB1566" s="89">
        <f t="shared" si="421"/>
        <v>0</v>
      </c>
      <c r="AC1566" s="89">
        <f t="shared" si="422"/>
        <v>0</v>
      </c>
      <c r="AD1566" s="89">
        <f t="shared" si="423"/>
        <v>298</v>
      </c>
      <c r="AE1566" s="90">
        <f t="shared" si="424"/>
        <v>0</v>
      </c>
      <c r="AF1566" s="90" t="str">
        <f t="shared" si="425"/>
        <v/>
      </c>
      <c r="AG1566" s="90">
        <f t="shared" si="426"/>
        <v>0</v>
      </c>
      <c r="AH1566" s="90" t="str">
        <f t="shared" si="427"/>
        <v/>
      </c>
      <c r="AI1566" s="90">
        <f t="shared" si="428"/>
        <v>298</v>
      </c>
      <c r="AJ1566" s="90">
        <f t="shared" si="429"/>
        <v>2022</v>
      </c>
      <c r="AK1566" s="90" t="str">
        <f t="shared" si="430"/>
        <v/>
      </c>
      <c r="AL1566" s="91">
        <f>IF(AK1566="Adjust",(_xlfn.XLOOKUP(A1566,'Adj factor'!A:A,'Adj factor'!I:I,,0)*AI1566),'Master DataSheet'!AI1566)</f>
        <v>298</v>
      </c>
      <c r="AM1566" s="91">
        <f t="shared" si="431"/>
        <v>298</v>
      </c>
      <c r="AN1566" s="92" t="str">
        <f t="shared" si="432"/>
        <v>Increasing</v>
      </c>
      <c r="AS1566" s="94">
        <f t="shared" si="433"/>
        <v>0</v>
      </c>
      <c r="AT1566" s="94">
        <f t="shared" si="434"/>
        <v>0</v>
      </c>
      <c r="AU1566" s="94">
        <f t="shared" si="435"/>
        <v>0.11370584066267</v>
      </c>
    </row>
    <row r="1567" spans="1:47" x14ac:dyDescent="0.3">
      <c r="A1567" s="85" t="str">
        <f>_xlfn.XLOOKUP(B1567,'Country codes &amp; Data sources'!G:G,'Country codes &amp; Data sources'!H:H,,0)</f>
        <v>Niger</v>
      </c>
      <c r="B1567" s="85" t="s">
        <v>190</v>
      </c>
      <c r="C1567" s="85">
        <v>17954410</v>
      </c>
      <c r="D1567" s="85" t="s">
        <v>329</v>
      </c>
      <c r="E1567" s="86">
        <v>0</v>
      </c>
      <c r="F1567" s="86">
        <v>18653199</v>
      </c>
      <c r="G1567" s="113">
        <v>3533</v>
      </c>
      <c r="H1567" s="86"/>
      <c r="I1567" s="86">
        <v>4940</v>
      </c>
      <c r="J1567" s="86"/>
      <c r="K1567" s="86">
        <v>3253</v>
      </c>
      <c r="L1567" s="86"/>
      <c r="M1567" s="86">
        <v>4746</v>
      </c>
      <c r="N1567" s="86"/>
      <c r="O1567" s="86">
        <v>0</v>
      </c>
      <c r="P1567" s="86">
        <v>22577057.999999996</v>
      </c>
      <c r="Q1567" s="86">
        <v>4107</v>
      </c>
      <c r="R1567" s="87">
        <f t="shared" si="420"/>
        <v>4107</v>
      </c>
      <c r="T1567" s="87">
        <v>0</v>
      </c>
      <c r="U1567" s="89"/>
      <c r="V1567" s="89">
        <v>0</v>
      </c>
      <c r="W1567" s="90"/>
      <c r="X1567" s="90">
        <v>0</v>
      </c>
      <c r="Y1567" s="90">
        <v>26207976.5</v>
      </c>
      <c r="Z1567" s="90">
        <v>4565</v>
      </c>
      <c r="AA1567" s="90">
        <v>3581</v>
      </c>
      <c r="AB1567" s="89">
        <f t="shared" si="421"/>
        <v>4940</v>
      </c>
      <c r="AC1567" s="89">
        <f t="shared" si="422"/>
        <v>4746</v>
      </c>
      <c r="AD1567" s="89">
        <f t="shared" si="423"/>
        <v>4565</v>
      </c>
      <c r="AE1567" s="90">
        <f t="shared" si="424"/>
        <v>3533</v>
      </c>
      <c r="AF1567" s="90">
        <v>2013</v>
      </c>
      <c r="AG1567" s="90">
        <f t="shared" si="426"/>
        <v>4107</v>
      </c>
      <c r="AH1567" s="90">
        <f t="shared" si="427"/>
        <v>2018</v>
      </c>
      <c r="AI1567" s="90">
        <f t="shared" si="428"/>
        <v>4565</v>
      </c>
      <c r="AJ1567" s="90">
        <f t="shared" si="429"/>
        <v>2022</v>
      </c>
      <c r="AK1567" s="90" t="str">
        <f t="shared" si="430"/>
        <v/>
      </c>
      <c r="AL1567" s="91">
        <f>IF(AK1567="Adjust",(_xlfn.XLOOKUP(A1567,'Adj factor'!A:A,'Adj factor'!I:I,,0)*AI1567),'Master DataSheet'!AI1567)</f>
        <v>4565</v>
      </c>
      <c r="AM1567" s="91">
        <f t="shared" si="431"/>
        <v>4565</v>
      </c>
      <c r="AN1567" s="92" t="str">
        <f t="shared" si="432"/>
        <v>Increasing</v>
      </c>
      <c r="AS1567" s="94">
        <f t="shared" si="433"/>
        <v>1.894045091139595</v>
      </c>
      <c r="AT1567" s="94">
        <f t="shared" si="434"/>
        <v>1.8191032684595134</v>
      </c>
      <c r="AU1567" s="94">
        <f t="shared" si="435"/>
        <v>1.7418361161915725</v>
      </c>
    </row>
    <row r="1568" spans="1:47" x14ac:dyDescent="0.3">
      <c r="A1568" s="85" t="str">
        <f>_xlfn.XLOOKUP(B1568,'Country codes &amp; Data sources'!G:G,'Country codes &amp; Data sources'!H:H,,0)</f>
        <v>Niger</v>
      </c>
      <c r="B1568" s="85" t="s">
        <v>190</v>
      </c>
      <c r="C1568" s="85">
        <v>17954411</v>
      </c>
      <c r="D1568" s="85" t="s">
        <v>330</v>
      </c>
      <c r="E1568" s="86">
        <v>0</v>
      </c>
      <c r="F1568" s="86">
        <v>18653199</v>
      </c>
      <c r="G1568" s="86">
        <v>0</v>
      </c>
      <c r="H1568" s="86"/>
      <c r="I1568" s="86">
        <v>0</v>
      </c>
      <c r="J1568" s="86"/>
      <c r="K1568" s="86">
        <v>0</v>
      </c>
      <c r="L1568" s="86"/>
      <c r="M1568" s="86">
        <v>0</v>
      </c>
      <c r="N1568" s="86"/>
      <c r="O1568" s="86">
        <v>0</v>
      </c>
      <c r="P1568" s="86">
        <v>22577057.999999996</v>
      </c>
      <c r="Q1568" s="86">
        <v>2398</v>
      </c>
      <c r="R1568" s="87">
        <f t="shared" si="420"/>
        <v>2398</v>
      </c>
      <c r="T1568" s="87">
        <v>0</v>
      </c>
      <c r="U1568" s="89"/>
      <c r="V1568" s="89">
        <v>0</v>
      </c>
      <c r="W1568" s="90"/>
      <c r="X1568" s="90">
        <v>0</v>
      </c>
      <c r="Y1568" s="90">
        <v>26207976.5</v>
      </c>
      <c r="Z1568" s="90">
        <v>4565</v>
      </c>
      <c r="AA1568" s="90">
        <v>2118</v>
      </c>
      <c r="AB1568" s="89">
        <f t="shared" si="421"/>
        <v>0</v>
      </c>
      <c r="AC1568" s="89">
        <f t="shared" si="422"/>
        <v>2398</v>
      </c>
      <c r="AD1568" s="89">
        <f t="shared" si="423"/>
        <v>4565</v>
      </c>
      <c r="AE1568" s="90">
        <f t="shared" si="424"/>
        <v>0</v>
      </c>
      <c r="AF1568" s="90" t="str">
        <f t="shared" si="425"/>
        <v/>
      </c>
      <c r="AG1568" s="90">
        <f t="shared" si="426"/>
        <v>2398</v>
      </c>
      <c r="AH1568" s="90">
        <f t="shared" si="427"/>
        <v>2018</v>
      </c>
      <c r="AI1568" s="90">
        <f t="shared" si="428"/>
        <v>4565</v>
      </c>
      <c r="AJ1568" s="90">
        <f t="shared" si="429"/>
        <v>2022</v>
      </c>
      <c r="AK1568" s="90" t="str">
        <f t="shared" si="430"/>
        <v/>
      </c>
      <c r="AL1568" s="91">
        <f>IF(AK1568="Adjust",(_xlfn.XLOOKUP(A1568,'Adj factor'!A:A,'Adj factor'!I:I,,0)*AI1568),'Master DataSheet'!AI1568)</f>
        <v>4565</v>
      </c>
      <c r="AM1568" s="91">
        <f t="shared" si="431"/>
        <v>4565</v>
      </c>
      <c r="AN1568" s="92" t="str">
        <f t="shared" si="432"/>
        <v>Increasing</v>
      </c>
      <c r="AS1568" s="94">
        <f t="shared" si="433"/>
        <v>0</v>
      </c>
      <c r="AT1568" s="94">
        <f t="shared" si="434"/>
        <v>1.0621401601572713</v>
      </c>
      <c r="AU1568" s="94">
        <f t="shared" si="435"/>
        <v>1.7418361161915725</v>
      </c>
    </row>
    <row r="1569" spans="1:47" x14ac:dyDescent="0.3">
      <c r="A1569" s="85" t="str">
        <f>_xlfn.XLOOKUP(B1569,'Country codes &amp; Data sources'!G:G,'Country codes &amp; Data sources'!H:H,,0)</f>
        <v>Niger</v>
      </c>
      <c r="B1569" s="85" t="s">
        <v>190</v>
      </c>
      <c r="C1569" s="85">
        <v>17954412</v>
      </c>
      <c r="D1569" s="85" t="s">
        <v>331</v>
      </c>
      <c r="E1569" s="86">
        <v>0</v>
      </c>
      <c r="F1569" s="86">
        <v>18653199</v>
      </c>
      <c r="G1569" s="86">
        <v>0</v>
      </c>
      <c r="H1569" s="86"/>
      <c r="I1569" s="86">
        <v>0</v>
      </c>
      <c r="J1569" s="86"/>
      <c r="K1569" s="86">
        <v>0</v>
      </c>
      <c r="L1569" s="86"/>
      <c r="M1569" s="86">
        <v>0</v>
      </c>
      <c r="N1569" s="86"/>
      <c r="O1569" s="86">
        <v>0</v>
      </c>
      <c r="P1569" s="86">
        <v>22577057.999999996</v>
      </c>
      <c r="Q1569" s="86">
        <v>1709</v>
      </c>
      <c r="R1569" s="87">
        <f t="shared" si="420"/>
        <v>1709</v>
      </c>
      <c r="T1569" s="87">
        <v>0</v>
      </c>
      <c r="U1569" s="89"/>
      <c r="V1569" s="89">
        <v>0</v>
      </c>
      <c r="W1569" s="90"/>
      <c r="X1569" s="90">
        <v>0</v>
      </c>
      <c r="Y1569" s="90">
        <v>26207976.5</v>
      </c>
      <c r="Z1569" s="90">
        <v>0</v>
      </c>
      <c r="AA1569" s="90">
        <v>1463</v>
      </c>
      <c r="AB1569" s="89">
        <f t="shared" si="421"/>
        <v>0</v>
      </c>
      <c r="AC1569" s="89">
        <f t="shared" si="422"/>
        <v>1709</v>
      </c>
      <c r="AD1569" s="89">
        <f t="shared" si="423"/>
        <v>0</v>
      </c>
      <c r="AE1569" s="90">
        <f t="shared" si="424"/>
        <v>0</v>
      </c>
      <c r="AF1569" s="90" t="str">
        <f t="shared" si="425"/>
        <v/>
      </c>
      <c r="AG1569" s="90">
        <f t="shared" si="426"/>
        <v>1709</v>
      </c>
      <c r="AH1569" s="90">
        <f t="shared" si="427"/>
        <v>2018</v>
      </c>
      <c r="AI1569" s="90">
        <f t="shared" si="428"/>
        <v>1709</v>
      </c>
      <c r="AJ1569" s="90">
        <f t="shared" si="429"/>
        <v>2018</v>
      </c>
      <c r="AK1569" s="90" t="str">
        <f t="shared" si="430"/>
        <v/>
      </c>
      <c r="AL1569" s="91">
        <f>IF(AK1569="Adjust",(_xlfn.XLOOKUP(A1569,'Adj factor'!A:A,'Adj factor'!I:I,,0)*AI1569),'Master DataSheet'!AI1569)</f>
        <v>1709</v>
      </c>
      <c r="AM1569" s="91">
        <f t="shared" si="431"/>
        <v>1709</v>
      </c>
      <c r="AN1569" s="92" t="str">
        <f t="shared" si="432"/>
        <v>No change</v>
      </c>
      <c r="AS1569" s="94">
        <f t="shared" si="433"/>
        <v>0</v>
      </c>
      <c r="AT1569" s="94">
        <f t="shared" si="434"/>
        <v>0.75696310830224212</v>
      </c>
      <c r="AU1569" s="94">
        <f t="shared" si="435"/>
        <v>0.6520915493037015</v>
      </c>
    </row>
    <row r="1570" spans="1:47" x14ac:dyDescent="0.3">
      <c r="A1570" s="85" t="str">
        <f>_xlfn.XLOOKUP(B1570,'Country codes &amp; Data sources'!G:G,'Country codes &amp; Data sources'!H:H,,0)</f>
        <v>Niger</v>
      </c>
      <c r="B1570" s="85" t="s">
        <v>190</v>
      </c>
      <c r="C1570" s="85">
        <v>17954413</v>
      </c>
      <c r="D1570" s="85" t="s">
        <v>332</v>
      </c>
      <c r="E1570" s="86">
        <v>894</v>
      </c>
      <c r="F1570" s="86">
        <v>18653199</v>
      </c>
      <c r="G1570" s="113">
        <v>917</v>
      </c>
      <c r="H1570" s="86"/>
      <c r="I1570" s="86">
        <v>959</v>
      </c>
      <c r="J1570" s="86"/>
      <c r="K1570" s="86">
        <v>824</v>
      </c>
      <c r="L1570" s="86"/>
      <c r="M1570" s="86">
        <v>856</v>
      </c>
      <c r="N1570" s="86"/>
      <c r="O1570" s="86">
        <v>0</v>
      </c>
      <c r="P1570" s="86">
        <v>22577057.999999996</v>
      </c>
      <c r="Q1570" s="86">
        <v>906</v>
      </c>
      <c r="R1570" s="87">
        <f t="shared" si="420"/>
        <v>906</v>
      </c>
      <c r="T1570" s="87">
        <v>0</v>
      </c>
      <c r="U1570" s="89"/>
      <c r="V1570" s="89">
        <v>0</v>
      </c>
      <c r="W1570" s="90"/>
      <c r="X1570" s="90">
        <v>0</v>
      </c>
      <c r="Y1570" s="90">
        <v>26207976.5</v>
      </c>
      <c r="Z1570" s="90">
        <v>718</v>
      </c>
      <c r="AA1570" s="90">
        <v>902</v>
      </c>
      <c r="AB1570" s="89">
        <f t="shared" si="421"/>
        <v>959</v>
      </c>
      <c r="AC1570" s="89">
        <f t="shared" si="422"/>
        <v>906</v>
      </c>
      <c r="AD1570" s="89">
        <f t="shared" si="423"/>
        <v>718</v>
      </c>
      <c r="AE1570" s="90">
        <f t="shared" si="424"/>
        <v>917</v>
      </c>
      <c r="AF1570" s="90">
        <v>2013</v>
      </c>
      <c r="AG1570" s="90">
        <f t="shared" si="426"/>
        <v>906</v>
      </c>
      <c r="AH1570" s="90">
        <f t="shared" si="427"/>
        <v>2018</v>
      </c>
      <c r="AI1570" s="90">
        <f t="shared" si="428"/>
        <v>718</v>
      </c>
      <c r="AJ1570" s="90">
        <f t="shared" si="429"/>
        <v>2022</v>
      </c>
      <c r="AK1570" s="90" t="str">
        <f t="shared" si="430"/>
        <v>Adjust</v>
      </c>
      <c r="AL1570" s="91">
        <f>IF(AK1570="Adjust",(_xlfn.XLOOKUP(A1570,'Adj factor'!A:A,'Adj factor'!I:I,,0)*AI1570),'Master DataSheet'!AI1570)</f>
        <v>825.19642662205808</v>
      </c>
      <c r="AM1570" s="91">
        <f t="shared" si="431"/>
        <v>906</v>
      </c>
      <c r="AN1570" s="92" t="str">
        <f t="shared" si="432"/>
        <v>Decreasing</v>
      </c>
      <c r="AS1570" s="94">
        <f t="shared" si="433"/>
        <v>0.49160468400085156</v>
      </c>
      <c r="AT1570" s="94">
        <f t="shared" si="434"/>
        <v>0.40129232072664212</v>
      </c>
      <c r="AU1570" s="94">
        <f t="shared" si="435"/>
        <v>0.34569628067241287</v>
      </c>
    </row>
    <row r="1571" spans="1:47" x14ac:dyDescent="0.3">
      <c r="A1571" s="85" t="str">
        <f>_xlfn.XLOOKUP(B1571,'Country codes &amp; Data sources'!G:G,'Country codes &amp; Data sources'!H:H,,0)</f>
        <v>Niger</v>
      </c>
      <c r="B1571" s="85" t="s">
        <v>190</v>
      </c>
      <c r="C1571" s="85">
        <v>17954414</v>
      </c>
      <c r="D1571" s="85" t="s">
        <v>333</v>
      </c>
      <c r="E1571" s="86">
        <v>0</v>
      </c>
      <c r="F1571" s="86">
        <v>18653199</v>
      </c>
      <c r="G1571" s="86">
        <v>829</v>
      </c>
      <c r="H1571" s="86"/>
      <c r="I1571" s="86">
        <v>947</v>
      </c>
      <c r="J1571" s="86"/>
      <c r="K1571" s="86">
        <v>817</v>
      </c>
      <c r="L1571" s="86"/>
      <c r="M1571" s="86">
        <v>851</v>
      </c>
      <c r="N1571" s="86"/>
      <c r="O1571" s="86">
        <v>0</v>
      </c>
      <c r="P1571" s="86">
        <v>22577057.999999996</v>
      </c>
      <c r="Q1571" s="86">
        <v>903</v>
      </c>
      <c r="R1571" s="87">
        <f t="shared" si="420"/>
        <v>903</v>
      </c>
      <c r="T1571" s="87">
        <v>0</v>
      </c>
      <c r="U1571" s="89"/>
      <c r="V1571" s="89">
        <v>0</v>
      </c>
      <c r="W1571" s="90"/>
      <c r="X1571" s="90">
        <v>0</v>
      </c>
      <c r="Y1571" s="90">
        <v>26207976.5</v>
      </c>
      <c r="Z1571" s="90">
        <v>718</v>
      </c>
      <c r="AA1571" s="90">
        <v>896</v>
      </c>
      <c r="AB1571" s="89">
        <f t="shared" si="421"/>
        <v>947</v>
      </c>
      <c r="AC1571" s="89">
        <f t="shared" si="422"/>
        <v>903</v>
      </c>
      <c r="AD1571" s="89">
        <f t="shared" si="423"/>
        <v>718</v>
      </c>
      <c r="AE1571" s="90">
        <f t="shared" si="424"/>
        <v>829</v>
      </c>
      <c r="AF1571" s="90">
        <f t="shared" si="425"/>
        <v>2013</v>
      </c>
      <c r="AG1571" s="90">
        <f t="shared" si="426"/>
        <v>903</v>
      </c>
      <c r="AH1571" s="90">
        <f t="shared" si="427"/>
        <v>2018</v>
      </c>
      <c r="AI1571" s="90">
        <f t="shared" si="428"/>
        <v>718</v>
      </c>
      <c r="AJ1571" s="90">
        <f t="shared" si="429"/>
        <v>2022</v>
      </c>
      <c r="AK1571" s="90" t="str">
        <f t="shared" si="430"/>
        <v>Adjust</v>
      </c>
      <c r="AL1571" s="91">
        <f>IF(AK1571="Adjust",(_xlfn.XLOOKUP(A1571,'Adj factor'!A:A,'Adj factor'!I:I,,0)*AI1571),'Master DataSheet'!AI1571)</f>
        <v>825.19642662205808</v>
      </c>
      <c r="AM1571" s="91">
        <f t="shared" si="431"/>
        <v>903</v>
      </c>
      <c r="AN1571" s="92" t="str">
        <f t="shared" si="432"/>
        <v>Decreasing</v>
      </c>
      <c r="AS1571" s="94">
        <f t="shared" si="433"/>
        <v>0.4444277895711079</v>
      </c>
      <c r="AT1571" s="94">
        <f t="shared" si="434"/>
        <v>0.39996353820767971</v>
      </c>
      <c r="AU1571" s="94">
        <f t="shared" si="435"/>
        <v>0.34455159100131216</v>
      </c>
    </row>
    <row r="1572" spans="1:47" x14ac:dyDescent="0.3">
      <c r="A1572" s="85" t="str">
        <f>_xlfn.XLOOKUP(B1572,'Country codes &amp; Data sources'!G:G,'Country codes &amp; Data sources'!H:H,,0)</f>
        <v>Niger</v>
      </c>
      <c r="B1572" s="85" t="s">
        <v>190</v>
      </c>
      <c r="C1572" s="85">
        <v>17954415</v>
      </c>
      <c r="D1572" s="85" t="s">
        <v>334</v>
      </c>
      <c r="E1572" s="86">
        <v>0</v>
      </c>
      <c r="F1572" s="86">
        <v>18653199</v>
      </c>
      <c r="G1572" s="86">
        <v>0</v>
      </c>
      <c r="H1572" s="86"/>
      <c r="I1572" s="86">
        <v>12</v>
      </c>
      <c r="J1572" s="86"/>
      <c r="K1572" s="86">
        <v>7</v>
      </c>
      <c r="L1572" s="86"/>
      <c r="M1572" s="86">
        <v>5</v>
      </c>
      <c r="N1572" s="86"/>
      <c r="O1572" s="86">
        <v>0</v>
      </c>
      <c r="P1572" s="86">
        <v>22577057.999999996</v>
      </c>
      <c r="Q1572" s="86">
        <v>3</v>
      </c>
      <c r="R1572" s="87">
        <f t="shared" si="420"/>
        <v>6</v>
      </c>
      <c r="T1572" s="87">
        <v>0</v>
      </c>
      <c r="U1572" s="89"/>
      <c r="V1572" s="89">
        <v>0</v>
      </c>
      <c r="W1572" s="90"/>
      <c r="X1572" s="90">
        <v>0</v>
      </c>
      <c r="Y1572" s="90">
        <v>26207976.5</v>
      </c>
      <c r="Z1572" s="90">
        <v>0</v>
      </c>
      <c r="AA1572" s="90">
        <v>6</v>
      </c>
      <c r="AB1572" s="89">
        <f t="shared" si="421"/>
        <v>12</v>
      </c>
      <c r="AC1572" s="89">
        <f t="shared" si="422"/>
        <v>5</v>
      </c>
      <c r="AD1572" s="89">
        <f t="shared" si="423"/>
        <v>0</v>
      </c>
      <c r="AE1572" s="90">
        <f t="shared" si="424"/>
        <v>12</v>
      </c>
      <c r="AF1572" s="90">
        <f t="shared" si="425"/>
        <v>2014</v>
      </c>
      <c r="AG1572" s="90">
        <f t="shared" si="426"/>
        <v>6</v>
      </c>
      <c r="AH1572" s="90" t="str">
        <f t="shared" si="427"/>
        <v>2018 (triag)</v>
      </c>
      <c r="AI1572" s="90">
        <f t="shared" si="428"/>
        <v>6</v>
      </c>
      <c r="AJ1572" s="90" t="str">
        <f t="shared" si="429"/>
        <v>2018 (triag)</v>
      </c>
      <c r="AK1572" s="90" t="str">
        <f t="shared" si="430"/>
        <v/>
      </c>
      <c r="AL1572" s="91">
        <f>IF(AK1572="Adjust",(_xlfn.XLOOKUP(A1572,'Adj factor'!A:A,'Adj factor'!I:I,,0)*AI1572),'Master DataSheet'!AI1572)</f>
        <v>6</v>
      </c>
      <c r="AM1572" s="91">
        <f t="shared" si="431"/>
        <v>6</v>
      </c>
      <c r="AN1572" s="92" t="str">
        <f t="shared" si="432"/>
        <v>No change</v>
      </c>
      <c r="AS1572" s="94">
        <f t="shared" si="433"/>
        <v>6.4332128767832265E-3</v>
      </c>
      <c r="AT1572" s="94">
        <f t="shared" si="434"/>
        <v>2.6575650379247824E-3</v>
      </c>
      <c r="AU1572" s="94">
        <f t="shared" si="435"/>
        <v>2.2893793422014094E-3</v>
      </c>
    </row>
    <row r="1573" spans="1:47" x14ac:dyDescent="0.3">
      <c r="A1573" s="85" t="str">
        <f>_xlfn.XLOOKUP(B1573,'Country codes &amp; Data sources'!G:G,'Country codes &amp; Data sources'!H:H,,0)</f>
        <v>Niger</v>
      </c>
      <c r="B1573" s="85" t="s">
        <v>190</v>
      </c>
      <c r="C1573" s="85">
        <v>17954416</v>
      </c>
      <c r="D1573" s="85" t="s">
        <v>335</v>
      </c>
      <c r="E1573" s="86">
        <v>53</v>
      </c>
      <c r="F1573" s="86">
        <v>18653199</v>
      </c>
      <c r="G1573" s="86">
        <v>51</v>
      </c>
      <c r="H1573" s="86"/>
      <c r="I1573" s="86">
        <v>0</v>
      </c>
      <c r="J1573" s="86"/>
      <c r="K1573" s="86">
        <v>50</v>
      </c>
      <c r="L1573" s="86"/>
      <c r="M1573" s="86">
        <v>24</v>
      </c>
      <c r="N1573" s="86"/>
      <c r="O1573" s="86">
        <v>0</v>
      </c>
      <c r="P1573" s="86">
        <v>22577057.999999996</v>
      </c>
      <c r="Q1573" s="86">
        <v>60</v>
      </c>
      <c r="R1573" s="87">
        <f t="shared" si="420"/>
        <v>60</v>
      </c>
      <c r="T1573" s="87">
        <v>0</v>
      </c>
      <c r="U1573" s="89"/>
      <c r="V1573" s="89">
        <v>0</v>
      </c>
      <c r="W1573" s="90"/>
      <c r="X1573" s="90">
        <v>0</v>
      </c>
      <c r="Y1573" s="90">
        <v>26207976.5</v>
      </c>
      <c r="Z1573" s="90">
        <v>43</v>
      </c>
      <c r="AA1573" s="90">
        <v>60</v>
      </c>
      <c r="AB1573" s="89">
        <f t="shared" si="421"/>
        <v>53</v>
      </c>
      <c r="AC1573" s="89">
        <f t="shared" si="422"/>
        <v>60</v>
      </c>
      <c r="AD1573" s="89">
        <f t="shared" si="423"/>
        <v>43</v>
      </c>
      <c r="AE1573" s="90">
        <f t="shared" si="424"/>
        <v>51</v>
      </c>
      <c r="AF1573" s="90">
        <f t="shared" si="425"/>
        <v>2013</v>
      </c>
      <c r="AG1573" s="90">
        <f t="shared" si="426"/>
        <v>60</v>
      </c>
      <c r="AH1573" s="90">
        <f t="shared" si="427"/>
        <v>2018</v>
      </c>
      <c r="AI1573" s="90">
        <f t="shared" si="428"/>
        <v>43</v>
      </c>
      <c r="AJ1573" s="90">
        <f t="shared" si="429"/>
        <v>2022</v>
      </c>
      <c r="AK1573" s="90" t="str">
        <f t="shared" si="430"/>
        <v>Adjust</v>
      </c>
      <c r="AL1573" s="91">
        <f>IF(AK1573="Adjust",(_xlfn.XLOOKUP(A1573,'Adj factor'!A:A,'Adj factor'!I:I,,0)*AI1573),'Master DataSheet'!AI1573)</f>
        <v>49.419841705777856</v>
      </c>
      <c r="AM1573" s="91">
        <f t="shared" si="431"/>
        <v>60</v>
      </c>
      <c r="AN1573" s="92" t="str">
        <f t="shared" si="432"/>
        <v>Decreasing</v>
      </c>
      <c r="AS1573" s="94">
        <f t="shared" si="433"/>
        <v>2.7341154726328712E-2</v>
      </c>
      <c r="AT1573" s="94">
        <f t="shared" si="434"/>
        <v>2.6575650379247823E-2</v>
      </c>
      <c r="AU1573" s="94">
        <f t="shared" si="435"/>
        <v>2.2893793422014096E-2</v>
      </c>
    </row>
    <row r="1574" spans="1:47" x14ac:dyDescent="0.3">
      <c r="A1574" s="85" t="str">
        <f>_xlfn.XLOOKUP(B1574,'Country codes &amp; Data sources'!G:G,'Country codes &amp; Data sources'!H:H,,0)</f>
        <v>Niger</v>
      </c>
      <c r="B1574" s="85" t="s">
        <v>190</v>
      </c>
      <c r="C1574" s="85">
        <v>17954417</v>
      </c>
      <c r="D1574" s="85" t="s">
        <v>336</v>
      </c>
      <c r="E1574" s="86">
        <v>0</v>
      </c>
      <c r="F1574" s="86">
        <v>18653199</v>
      </c>
      <c r="G1574" s="86">
        <v>0</v>
      </c>
      <c r="H1574" s="86"/>
      <c r="I1574" s="86">
        <v>0</v>
      </c>
      <c r="J1574" s="86"/>
      <c r="K1574" s="86">
        <v>0</v>
      </c>
      <c r="L1574" s="86"/>
      <c r="M1574" s="86">
        <v>0</v>
      </c>
      <c r="N1574" s="86"/>
      <c r="O1574" s="86">
        <v>0</v>
      </c>
      <c r="P1574" s="86">
        <v>22577057.999999996</v>
      </c>
      <c r="Q1574" s="86">
        <v>0</v>
      </c>
      <c r="R1574" s="87">
        <f t="shared" si="420"/>
        <v>0</v>
      </c>
      <c r="T1574" s="87">
        <v>0</v>
      </c>
      <c r="U1574" s="89"/>
      <c r="V1574" s="89">
        <v>0</v>
      </c>
      <c r="W1574" s="90"/>
      <c r="X1574" s="90">
        <v>0</v>
      </c>
      <c r="Y1574" s="90">
        <v>26207976.5</v>
      </c>
      <c r="Z1574" s="90">
        <v>4</v>
      </c>
      <c r="AA1574" s="90">
        <v>0</v>
      </c>
      <c r="AB1574" s="89">
        <f t="shared" si="421"/>
        <v>0</v>
      </c>
      <c r="AC1574" s="89">
        <f t="shared" si="422"/>
        <v>0</v>
      </c>
      <c r="AD1574" s="89">
        <f t="shared" si="423"/>
        <v>4</v>
      </c>
      <c r="AE1574" s="90">
        <f t="shared" si="424"/>
        <v>0</v>
      </c>
      <c r="AF1574" s="90" t="str">
        <f t="shared" si="425"/>
        <v/>
      </c>
      <c r="AG1574" s="90">
        <f t="shared" si="426"/>
        <v>0</v>
      </c>
      <c r="AH1574" s="90" t="str">
        <f t="shared" si="427"/>
        <v/>
      </c>
      <c r="AI1574" s="90">
        <f t="shared" si="428"/>
        <v>4</v>
      </c>
      <c r="AJ1574" s="90">
        <f t="shared" si="429"/>
        <v>2022</v>
      </c>
      <c r="AK1574" s="90" t="str">
        <f t="shared" si="430"/>
        <v/>
      </c>
      <c r="AL1574" s="91">
        <f>IF(AK1574="Adjust",(_xlfn.XLOOKUP(A1574,'Adj factor'!A:A,'Adj factor'!I:I,,0)*AI1574),'Master DataSheet'!AI1574)</f>
        <v>4</v>
      </c>
      <c r="AM1574" s="91">
        <f t="shared" si="431"/>
        <v>4</v>
      </c>
      <c r="AN1574" s="92" t="str">
        <f t="shared" si="432"/>
        <v>Increasing</v>
      </c>
      <c r="AS1574" s="94">
        <f t="shared" si="433"/>
        <v>0</v>
      </c>
      <c r="AT1574" s="94">
        <f t="shared" si="434"/>
        <v>0</v>
      </c>
      <c r="AU1574" s="94">
        <f t="shared" si="435"/>
        <v>1.5262528948009398E-3</v>
      </c>
    </row>
    <row r="1575" spans="1:47" x14ac:dyDescent="0.3">
      <c r="A1575" s="85" t="str">
        <f>_xlfn.XLOOKUP(B1575,'Country codes &amp; Data sources'!G:G,'Country codes &amp; Data sources'!H:H,,0)</f>
        <v>Niger</v>
      </c>
      <c r="B1575" s="85" t="s">
        <v>190</v>
      </c>
      <c r="C1575" s="85">
        <v>17954418</v>
      </c>
      <c r="D1575" s="85" t="s">
        <v>337</v>
      </c>
      <c r="E1575" s="86">
        <v>0</v>
      </c>
      <c r="F1575" s="86">
        <v>18653199</v>
      </c>
      <c r="G1575" s="86">
        <v>30</v>
      </c>
      <c r="H1575" s="86"/>
      <c r="I1575" s="86">
        <v>21</v>
      </c>
      <c r="J1575" s="86"/>
      <c r="K1575" s="86">
        <v>30</v>
      </c>
      <c r="L1575" s="86"/>
      <c r="M1575" s="86">
        <v>18</v>
      </c>
      <c r="N1575" s="86"/>
      <c r="O1575" s="86">
        <v>0</v>
      </c>
      <c r="P1575" s="86">
        <v>22577057.999999996</v>
      </c>
      <c r="Q1575" s="86">
        <v>30</v>
      </c>
      <c r="R1575" s="87">
        <f t="shared" si="420"/>
        <v>30</v>
      </c>
      <c r="T1575" s="87">
        <v>0</v>
      </c>
      <c r="U1575" s="89"/>
      <c r="V1575" s="89">
        <v>0</v>
      </c>
      <c r="W1575" s="90"/>
      <c r="X1575" s="90">
        <v>0</v>
      </c>
      <c r="Y1575" s="90">
        <v>26207976.5</v>
      </c>
      <c r="Z1575" s="90">
        <v>24</v>
      </c>
      <c r="AA1575" s="90">
        <v>30</v>
      </c>
      <c r="AB1575" s="89">
        <f t="shared" si="421"/>
        <v>30</v>
      </c>
      <c r="AC1575" s="89">
        <f t="shared" si="422"/>
        <v>30</v>
      </c>
      <c r="AD1575" s="89">
        <f t="shared" si="423"/>
        <v>24</v>
      </c>
      <c r="AE1575" s="90">
        <f t="shared" si="424"/>
        <v>30</v>
      </c>
      <c r="AF1575" s="90">
        <f t="shared" si="425"/>
        <v>2013</v>
      </c>
      <c r="AG1575" s="90">
        <f t="shared" si="426"/>
        <v>30</v>
      </c>
      <c r="AH1575" s="90">
        <f t="shared" si="427"/>
        <v>2018</v>
      </c>
      <c r="AI1575" s="90">
        <f t="shared" si="428"/>
        <v>24</v>
      </c>
      <c r="AJ1575" s="90">
        <f t="shared" si="429"/>
        <v>2022</v>
      </c>
      <c r="AK1575" s="90" t="str">
        <f t="shared" si="430"/>
        <v>Adjust</v>
      </c>
      <c r="AL1575" s="91">
        <f>IF(AK1575="Adjust",(_xlfn.XLOOKUP(A1575,'Adj factor'!A:A,'Adj factor'!I:I,,0)*AI1575),'Master DataSheet'!AI1575)</f>
        <v>27.583167463689964</v>
      </c>
      <c r="AM1575" s="91">
        <f t="shared" si="431"/>
        <v>30</v>
      </c>
      <c r="AN1575" s="92" t="str">
        <f t="shared" si="432"/>
        <v>Decreasing</v>
      </c>
      <c r="AS1575" s="94">
        <f t="shared" si="433"/>
        <v>1.6083032191958065E-2</v>
      </c>
      <c r="AT1575" s="94">
        <f t="shared" si="434"/>
        <v>1.3287825189623912E-2</v>
      </c>
      <c r="AU1575" s="94">
        <f t="shared" si="435"/>
        <v>1.1446896711007048E-2</v>
      </c>
    </row>
    <row r="1576" spans="1:47" x14ac:dyDescent="0.3">
      <c r="A1576" s="85" t="str">
        <f>_xlfn.XLOOKUP(B1576,'Country codes &amp; Data sources'!G:G,'Country codes &amp; Data sources'!H:H,,0)</f>
        <v>Niger</v>
      </c>
      <c r="B1576" s="85" t="s">
        <v>190</v>
      </c>
      <c r="C1576" s="85">
        <v>17954419</v>
      </c>
      <c r="D1576" s="85" t="s">
        <v>338</v>
      </c>
      <c r="E1576" s="86">
        <v>0</v>
      </c>
      <c r="F1576" s="86">
        <v>18653199</v>
      </c>
      <c r="G1576" s="86">
        <v>0</v>
      </c>
      <c r="H1576" s="86"/>
      <c r="I1576" s="86">
        <v>0</v>
      </c>
      <c r="J1576" s="86"/>
      <c r="K1576" s="86">
        <v>0</v>
      </c>
      <c r="L1576" s="86"/>
      <c r="M1576" s="86">
        <v>0</v>
      </c>
      <c r="N1576" s="86"/>
      <c r="O1576" s="86">
        <v>0</v>
      </c>
      <c r="P1576" s="86">
        <v>22577057.999999996</v>
      </c>
      <c r="Q1576" s="86">
        <v>0</v>
      </c>
      <c r="R1576" s="87">
        <f t="shared" si="420"/>
        <v>0</v>
      </c>
      <c r="T1576" s="87">
        <v>0</v>
      </c>
      <c r="U1576" s="89"/>
      <c r="V1576" s="89">
        <v>0</v>
      </c>
      <c r="W1576" s="90"/>
      <c r="X1576" s="90">
        <v>0</v>
      </c>
      <c r="Y1576" s="90">
        <v>26207976.5</v>
      </c>
      <c r="Z1576" s="90">
        <v>0</v>
      </c>
      <c r="AA1576" s="90">
        <v>0</v>
      </c>
      <c r="AB1576" s="89">
        <f t="shared" si="421"/>
        <v>0</v>
      </c>
      <c r="AC1576" s="89">
        <f t="shared" si="422"/>
        <v>0</v>
      </c>
      <c r="AD1576" s="89">
        <f t="shared" si="423"/>
        <v>0</v>
      </c>
      <c r="AE1576" s="90">
        <f t="shared" si="424"/>
        <v>0</v>
      </c>
      <c r="AF1576" s="90" t="str">
        <f t="shared" si="425"/>
        <v/>
      </c>
      <c r="AG1576" s="90">
        <f t="shared" si="426"/>
        <v>0</v>
      </c>
      <c r="AH1576" s="90" t="str">
        <f t="shared" si="427"/>
        <v/>
      </c>
      <c r="AI1576" s="90">
        <f t="shared" si="428"/>
        <v>0</v>
      </c>
      <c r="AJ1576" s="90" t="str">
        <f t="shared" si="429"/>
        <v/>
      </c>
      <c r="AK1576" s="90" t="str">
        <f t="shared" si="430"/>
        <v/>
      </c>
      <c r="AL1576" s="91">
        <f>IF(AK1576="Adjust",(_xlfn.XLOOKUP(A1576,'Adj factor'!A:A,'Adj factor'!I:I,,0)*AI1576),'Master DataSheet'!AI1576)</f>
        <v>0</v>
      </c>
      <c r="AM1576" s="91">
        <f t="shared" si="431"/>
        <v>0</v>
      </c>
      <c r="AN1576" s="92" t="str">
        <f t="shared" si="432"/>
        <v>No change</v>
      </c>
      <c r="AS1576" s="94">
        <f t="shared" si="433"/>
        <v>0</v>
      </c>
      <c r="AT1576" s="94">
        <f t="shared" si="434"/>
        <v>0</v>
      </c>
      <c r="AU1576" s="94">
        <f t="shared" si="435"/>
        <v>0</v>
      </c>
    </row>
    <row r="1577" spans="1:47" x14ac:dyDescent="0.3">
      <c r="A1577" s="85" t="str">
        <f>_xlfn.XLOOKUP(B1577,'Country codes &amp; Data sources'!G:G,'Country codes &amp; Data sources'!H:H,,0)</f>
        <v>Niger</v>
      </c>
      <c r="B1577" s="85" t="s">
        <v>190</v>
      </c>
      <c r="C1577" s="85">
        <v>17954420</v>
      </c>
      <c r="D1577" s="85" t="s">
        <v>339</v>
      </c>
      <c r="E1577" s="86">
        <v>0</v>
      </c>
      <c r="F1577" s="86">
        <v>18653199</v>
      </c>
      <c r="G1577" s="86">
        <v>0</v>
      </c>
      <c r="H1577" s="86"/>
      <c r="I1577" s="86">
        <v>0</v>
      </c>
      <c r="J1577" s="86"/>
      <c r="K1577" s="86">
        <v>0</v>
      </c>
      <c r="L1577" s="86"/>
      <c r="M1577" s="86">
        <v>0</v>
      </c>
      <c r="N1577" s="86"/>
      <c r="O1577" s="86">
        <v>0</v>
      </c>
      <c r="P1577" s="86">
        <v>22577057.999999996</v>
      </c>
      <c r="Q1577" s="86">
        <v>0</v>
      </c>
      <c r="R1577" s="87">
        <f t="shared" si="420"/>
        <v>0</v>
      </c>
      <c r="T1577" s="87">
        <v>0</v>
      </c>
      <c r="U1577" s="89"/>
      <c r="V1577" s="89">
        <v>0</v>
      </c>
      <c r="W1577" s="90"/>
      <c r="X1577" s="90">
        <v>0</v>
      </c>
      <c r="Y1577" s="90">
        <v>26207976.5</v>
      </c>
      <c r="Z1577" s="90">
        <v>0</v>
      </c>
      <c r="AA1577" s="90">
        <v>0</v>
      </c>
      <c r="AB1577" s="89">
        <f t="shared" si="421"/>
        <v>0</v>
      </c>
      <c r="AC1577" s="89">
        <f t="shared" si="422"/>
        <v>0</v>
      </c>
      <c r="AD1577" s="89">
        <f t="shared" si="423"/>
        <v>0</v>
      </c>
      <c r="AE1577" s="90">
        <f t="shared" si="424"/>
        <v>0</v>
      </c>
      <c r="AF1577" s="90" t="str">
        <f t="shared" si="425"/>
        <v/>
      </c>
      <c r="AG1577" s="90">
        <f t="shared" si="426"/>
        <v>0</v>
      </c>
      <c r="AH1577" s="90" t="str">
        <f t="shared" si="427"/>
        <v/>
      </c>
      <c r="AI1577" s="90">
        <f t="shared" si="428"/>
        <v>0</v>
      </c>
      <c r="AJ1577" s="90" t="str">
        <f t="shared" si="429"/>
        <v/>
      </c>
      <c r="AK1577" s="90" t="str">
        <f t="shared" si="430"/>
        <v/>
      </c>
      <c r="AL1577" s="91">
        <f>IF(AK1577="Adjust",(_xlfn.XLOOKUP(A1577,'Adj factor'!A:A,'Adj factor'!I:I,,0)*AI1577),'Master DataSheet'!AI1577)</f>
        <v>0</v>
      </c>
      <c r="AM1577" s="91">
        <f t="shared" si="431"/>
        <v>0</v>
      </c>
      <c r="AN1577" s="92" t="str">
        <f t="shared" si="432"/>
        <v>No change</v>
      </c>
      <c r="AS1577" s="94">
        <f t="shared" si="433"/>
        <v>0</v>
      </c>
      <c r="AT1577" s="94">
        <f t="shared" si="434"/>
        <v>0</v>
      </c>
      <c r="AU1577" s="94">
        <f t="shared" si="435"/>
        <v>0</v>
      </c>
    </row>
    <row r="1578" spans="1:47" x14ac:dyDescent="0.3">
      <c r="A1578" s="85" t="str">
        <f>_xlfn.XLOOKUP(B1578,'Country codes &amp; Data sources'!G:G,'Country codes &amp; Data sources'!H:H,,0)</f>
        <v>Nigeria</v>
      </c>
      <c r="B1578" s="85" t="s">
        <v>156</v>
      </c>
      <c r="C1578" s="85">
        <v>170075931.5</v>
      </c>
      <c r="D1578" s="85" t="s">
        <v>326</v>
      </c>
      <c r="E1578" s="86">
        <v>0</v>
      </c>
      <c r="F1578" s="86">
        <v>174726123.50000006</v>
      </c>
      <c r="G1578" s="86">
        <v>65759</v>
      </c>
      <c r="H1578" s="86">
        <v>179379016.5</v>
      </c>
      <c r="I1578" s="86">
        <v>0</v>
      </c>
      <c r="J1578" s="86">
        <v>183995784.49999991</v>
      </c>
      <c r="K1578" s="86">
        <v>0</v>
      </c>
      <c r="L1578" s="86">
        <v>188666930.99999988</v>
      </c>
      <c r="M1578" s="86">
        <v>83565</v>
      </c>
      <c r="N1578" s="86">
        <v>193495906.50000003</v>
      </c>
      <c r="O1578" s="86">
        <v>0</v>
      </c>
      <c r="P1578" s="86">
        <v>198387623.50000006</v>
      </c>
      <c r="Q1578" s="86">
        <v>74543</v>
      </c>
      <c r="R1578" s="87">
        <f t="shared" ref="R1578:R1641" si="436">MAX(Q1578,AA1578)</f>
        <v>83907</v>
      </c>
      <c r="S1578" s="87">
        <v>203304491.50000006</v>
      </c>
      <c r="T1578" s="87">
        <v>74543</v>
      </c>
      <c r="U1578" s="89">
        <v>208327404.49999994</v>
      </c>
      <c r="V1578" s="89">
        <v>0</v>
      </c>
      <c r="W1578" s="90">
        <v>213401322.49999997</v>
      </c>
      <c r="X1578" s="90">
        <v>84277</v>
      </c>
      <c r="Y1578" s="90">
        <v>218541211.50000003</v>
      </c>
      <c r="Z1578" s="90">
        <v>86181</v>
      </c>
      <c r="AA1578" s="90">
        <v>83907</v>
      </c>
      <c r="AB1578" s="89">
        <f t="shared" ref="AB1578:AB1641" si="437">MAX(G1578,E1578,I1578,K1578)</f>
        <v>65759</v>
      </c>
      <c r="AC1578" s="89">
        <f t="shared" ref="AC1578:AC1641" si="438">MAX(M1578,O1578,Q1578,T1578)</f>
        <v>83565</v>
      </c>
      <c r="AD1578" s="89">
        <f t="shared" ref="AD1578:AD1641" si="439">MAX(V1578,X1578,Z1578)</f>
        <v>86181</v>
      </c>
      <c r="AE1578" s="90">
        <f t="shared" ref="AE1578:AE1641" si="440">IF(G1578&gt;0,G1578,IF(E1578&gt;0,E1578,IF(I1578&gt;0,I1578,K1578)))</f>
        <v>65759</v>
      </c>
      <c r="AF1578" s="90">
        <f t="shared" ref="AF1578:AF1641" si="441">IF(AE1578&gt;0,_xlfn.XLOOKUP(AE1578,$B1578:$K1578,$B$1:$K$1,,0),"")</f>
        <v>2013</v>
      </c>
      <c r="AG1578" s="90">
        <f t="shared" ref="AG1578:AG1641" si="442">IF(R1578&gt;0,R1578,IF(O1578&gt;0,O1578,T1578))</f>
        <v>83907</v>
      </c>
      <c r="AH1578" s="90" t="str">
        <f t="shared" ref="AH1578:AH1641" si="443">IF(AG1578&gt;0,_xlfn.XLOOKUP(AG1578,$L1578:$T1578,$L$1:$T$1,,0),"")</f>
        <v>2018 (triag)</v>
      </c>
      <c r="AI1578" s="90">
        <f t="shared" ref="AI1578:AI1641" si="444">IF((IF(Z1578&gt;0,Z1578,IF(X1578&gt;0,X1578,IF(V1578&gt;0,V1578,T1578))))=0,AG1578,IF(Z1578&gt;0,Z1578,IF(X1578&gt;0,X1578,IF(V1578&gt;0,V1578,T1578))))</f>
        <v>86181</v>
      </c>
      <c r="AJ1578" s="90">
        <f t="shared" ref="AJ1578:AJ1641" si="445">IFERROR(IF(AI1578&gt;0,_xlfn.XLOOKUP(AI1578,$V1578:$Z1578,$V$1:$Z$1,,0),""),AH1578)</f>
        <v>2022</v>
      </c>
      <c r="AK1578" s="90" t="str">
        <f t="shared" ref="AK1578:AK1641" si="446">IF(AI1578&lt;AG1578,"Adjust","")</f>
        <v/>
      </c>
      <c r="AL1578" s="91">
        <f>IF(AK1578="Adjust",(_xlfn.XLOOKUP(A1578,'Adj factor'!A:A,'Adj factor'!I:I,,0)*AI1578),'Master DataSheet'!AI1578)</f>
        <v>86181</v>
      </c>
      <c r="AM1578" s="91">
        <f t="shared" ref="AM1578:AM1641" si="447">IF(AL1578&lt;AG1578,AG1578,AL1578)</f>
        <v>86181</v>
      </c>
      <c r="AN1578" s="92" t="str">
        <f t="shared" ref="AN1578:AN1641" si="448">IF(AL1578&gt;AG1578,"Increasing",IF(AL1578&lt;AG1578,"Decreasing","No change"))</f>
        <v>Increasing</v>
      </c>
      <c r="AS1578" s="94">
        <f t="shared" ref="AS1578:AS1641" si="449">(AE1578*10000)/F1578</f>
        <v>3.7635471263688842</v>
      </c>
      <c r="AT1578" s="94">
        <f t="shared" ref="AT1578:AT1641" si="450">(AG1578*10000)/P1578</f>
        <v>4.229447307230835</v>
      </c>
      <c r="AU1578" s="94">
        <f t="shared" ref="AU1578:AU1641" si="451">(AM1578*10000)/Y1578</f>
        <v>3.943466745172683</v>
      </c>
    </row>
    <row r="1579" spans="1:47" x14ac:dyDescent="0.3">
      <c r="A1579" s="85" t="str">
        <f>_xlfn.XLOOKUP(B1579,'Country codes &amp; Data sources'!G:G,'Country codes &amp; Data sources'!H:H,,0)</f>
        <v>Nigeria</v>
      </c>
      <c r="B1579" s="85" t="s">
        <v>156</v>
      </c>
      <c r="C1579" s="85">
        <v>170075932.5</v>
      </c>
      <c r="D1579" s="85" t="s">
        <v>327</v>
      </c>
      <c r="E1579" s="86">
        <v>0</v>
      </c>
      <c r="F1579" s="86">
        <v>174726123.50000006</v>
      </c>
      <c r="G1579" s="86">
        <v>0</v>
      </c>
      <c r="H1579" s="86"/>
      <c r="I1579" s="86">
        <v>0</v>
      </c>
      <c r="J1579" s="86"/>
      <c r="K1579" s="86">
        <v>0</v>
      </c>
      <c r="L1579" s="86"/>
      <c r="M1579" s="86">
        <v>0</v>
      </c>
      <c r="N1579" s="86"/>
      <c r="O1579" s="86">
        <v>0</v>
      </c>
      <c r="P1579" s="86">
        <v>198387623.50000006</v>
      </c>
      <c r="Q1579" s="86">
        <v>71508</v>
      </c>
      <c r="R1579" s="87">
        <f t="shared" si="436"/>
        <v>74543</v>
      </c>
      <c r="T1579" s="87">
        <v>0</v>
      </c>
      <c r="U1579" s="89"/>
      <c r="V1579" s="89">
        <v>0</v>
      </c>
      <c r="W1579" s="90"/>
      <c r="X1579" s="90">
        <v>84277</v>
      </c>
      <c r="Y1579" s="90">
        <v>218541211.50000003</v>
      </c>
      <c r="Z1579" s="90">
        <v>85719</v>
      </c>
      <c r="AA1579" s="90">
        <v>74543</v>
      </c>
      <c r="AB1579" s="89">
        <f t="shared" si="437"/>
        <v>0</v>
      </c>
      <c r="AC1579" s="89">
        <f t="shared" si="438"/>
        <v>71508</v>
      </c>
      <c r="AD1579" s="89">
        <f t="shared" si="439"/>
        <v>85719</v>
      </c>
      <c r="AE1579" s="90">
        <f t="shared" si="440"/>
        <v>0</v>
      </c>
      <c r="AF1579" s="90" t="str">
        <f t="shared" si="441"/>
        <v/>
      </c>
      <c r="AG1579" s="90">
        <f t="shared" si="442"/>
        <v>74543</v>
      </c>
      <c r="AH1579" s="90" t="str">
        <f t="shared" si="443"/>
        <v>2018 (triag)</v>
      </c>
      <c r="AI1579" s="90">
        <f t="shared" si="444"/>
        <v>85719</v>
      </c>
      <c r="AJ1579" s="90">
        <f t="shared" si="445"/>
        <v>2022</v>
      </c>
      <c r="AK1579" s="90" t="str">
        <f t="shared" si="446"/>
        <v/>
      </c>
      <c r="AL1579" s="91">
        <f>IF(AK1579="Adjust",(_xlfn.XLOOKUP(A1579,'Adj factor'!A:A,'Adj factor'!I:I,,0)*AI1579),'Master DataSheet'!AI1579)</f>
        <v>85719</v>
      </c>
      <c r="AM1579" s="91">
        <f t="shared" si="447"/>
        <v>85719</v>
      </c>
      <c r="AN1579" s="92" t="str">
        <f t="shared" si="448"/>
        <v>Increasing</v>
      </c>
      <c r="AS1579" s="94">
        <f t="shared" si="449"/>
        <v>0</v>
      </c>
      <c r="AT1579" s="94">
        <f t="shared" si="450"/>
        <v>3.757442056358923</v>
      </c>
      <c r="AU1579" s="94">
        <f t="shared" si="451"/>
        <v>3.9223265676826355</v>
      </c>
    </row>
    <row r="1580" spans="1:47" x14ac:dyDescent="0.3">
      <c r="A1580" s="85" t="str">
        <f>_xlfn.XLOOKUP(B1580,'Country codes &amp; Data sources'!G:G,'Country codes &amp; Data sources'!H:H,,0)</f>
        <v>Nigeria</v>
      </c>
      <c r="B1580" s="85" t="s">
        <v>156</v>
      </c>
      <c r="C1580" s="85">
        <v>170075933.5</v>
      </c>
      <c r="D1580" s="85" t="s">
        <v>328</v>
      </c>
      <c r="E1580" s="86">
        <v>0</v>
      </c>
      <c r="F1580" s="86">
        <v>174726123.50000006</v>
      </c>
      <c r="G1580" s="86">
        <v>0</v>
      </c>
      <c r="H1580" s="86"/>
      <c r="I1580" s="86">
        <v>0</v>
      </c>
      <c r="J1580" s="86"/>
      <c r="K1580" s="86">
        <v>0</v>
      </c>
      <c r="L1580" s="86"/>
      <c r="M1580" s="86">
        <v>0</v>
      </c>
      <c r="N1580" s="86"/>
      <c r="O1580" s="86">
        <v>0</v>
      </c>
      <c r="P1580" s="86">
        <v>198387623.50000006</v>
      </c>
      <c r="Q1580" s="86">
        <v>3035</v>
      </c>
      <c r="R1580" s="87">
        <f t="shared" si="436"/>
        <v>9364</v>
      </c>
      <c r="T1580" s="87">
        <v>0</v>
      </c>
      <c r="U1580" s="89"/>
      <c r="V1580" s="89">
        <v>0</v>
      </c>
      <c r="W1580" s="90"/>
      <c r="X1580" s="90">
        <v>0</v>
      </c>
      <c r="Y1580" s="90">
        <v>218541211.50000003</v>
      </c>
      <c r="Z1580" s="90">
        <v>462</v>
      </c>
      <c r="AA1580" s="90">
        <v>9364</v>
      </c>
      <c r="AB1580" s="89">
        <f t="shared" si="437"/>
        <v>0</v>
      </c>
      <c r="AC1580" s="89">
        <f t="shared" si="438"/>
        <v>3035</v>
      </c>
      <c r="AD1580" s="89">
        <f t="shared" si="439"/>
        <v>462</v>
      </c>
      <c r="AE1580" s="90">
        <f t="shared" si="440"/>
        <v>0</v>
      </c>
      <c r="AF1580" s="90" t="str">
        <f t="shared" si="441"/>
        <v/>
      </c>
      <c r="AG1580" s="90">
        <f t="shared" si="442"/>
        <v>9364</v>
      </c>
      <c r="AH1580" s="90" t="str">
        <f t="shared" si="443"/>
        <v>2018 (triag)</v>
      </c>
      <c r="AI1580" s="90">
        <f t="shared" si="444"/>
        <v>462</v>
      </c>
      <c r="AJ1580" s="90">
        <f t="shared" si="445"/>
        <v>2022</v>
      </c>
      <c r="AK1580" s="90" t="str">
        <f t="shared" si="446"/>
        <v>Adjust</v>
      </c>
      <c r="AL1580" s="91">
        <f>IF(AK1580="Adjust",(_xlfn.XLOOKUP(A1580,'Adj factor'!A:A,'Adj factor'!I:I,,0)*AI1580),'Master DataSheet'!AI1580)</f>
        <v>530.9759736760318</v>
      </c>
      <c r="AM1580" s="91">
        <f t="shared" si="447"/>
        <v>9364</v>
      </c>
      <c r="AN1580" s="92" t="str">
        <f t="shared" si="448"/>
        <v>Decreasing</v>
      </c>
      <c r="AS1580" s="94">
        <f t="shared" si="449"/>
        <v>0</v>
      </c>
      <c r="AT1580" s="94">
        <f t="shared" si="450"/>
        <v>0.47200525087191225</v>
      </c>
      <c r="AU1580" s="94">
        <f t="shared" si="451"/>
        <v>0.42847753683290984</v>
      </c>
    </row>
    <row r="1581" spans="1:47" x14ac:dyDescent="0.3">
      <c r="A1581" s="85" t="str">
        <f>_xlfn.XLOOKUP(B1581,'Country codes &amp; Data sources'!G:G,'Country codes &amp; Data sources'!H:H,,0)</f>
        <v>Nigeria</v>
      </c>
      <c r="B1581" s="85" t="s">
        <v>156</v>
      </c>
      <c r="C1581" s="85">
        <v>170075934.5</v>
      </c>
      <c r="D1581" s="85" t="s">
        <v>329</v>
      </c>
      <c r="E1581" s="86">
        <v>0</v>
      </c>
      <c r="F1581" s="86">
        <v>174726123.50000006</v>
      </c>
      <c r="G1581" s="86">
        <v>74920</v>
      </c>
      <c r="H1581" s="86"/>
      <c r="I1581" s="86">
        <v>0</v>
      </c>
      <c r="J1581" s="86"/>
      <c r="K1581" s="86">
        <v>0</v>
      </c>
      <c r="L1581" s="86"/>
      <c r="M1581" s="86">
        <v>185101</v>
      </c>
      <c r="N1581" s="86"/>
      <c r="O1581" s="86">
        <v>0</v>
      </c>
      <c r="P1581" s="86">
        <v>198387623.50000006</v>
      </c>
      <c r="Q1581" s="86">
        <v>110105</v>
      </c>
      <c r="R1581" s="87">
        <f t="shared" si="436"/>
        <v>180709</v>
      </c>
      <c r="T1581" s="87">
        <v>180709</v>
      </c>
      <c r="U1581" s="89"/>
      <c r="V1581" s="89">
        <v>0</v>
      </c>
      <c r="W1581" s="90"/>
      <c r="X1581" s="90">
        <v>201735</v>
      </c>
      <c r="Y1581" s="90">
        <v>218541211.50000003</v>
      </c>
      <c r="Z1581" s="90">
        <v>220681</v>
      </c>
      <c r="AA1581" s="90">
        <v>180709</v>
      </c>
      <c r="AB1581" s="89">
        <f t="shared" si="437"/>
        <v>74920</v>
      </c>
      <c r="AC1581" s="89">
        <f t="shared" si="438"/>
        <v>185101</v>
      </c>
      <c r="AD1581" s="89">
        <f t="shared" si="439"/>
        <v>220681</v>
      </c>
      <c r="AE1581" s="90">
        <f t="shared" si="440"/>
        <v>74920</v>
      </c>
      <c r="AF1581" s="90">
        <f t="shared" si="441"/>
        <v>2013</v>
      </c>
      <c r="AG1581" s="90">
        <f t="shared" si="442"/>
        <v>180709</v>
      </c>
      <c r="AH1581" s="90" t="str">
        <f t="shared" si="443"/>
        <v>2018 (triag)</v>
      </c>
      <c r="AI1581" s="90">
        <f t="shared" si="444"/>
        <v>220681</v>
      </c>
      <c r="AJ1581" s="90">
        <f t="shared" si="445"/>
        <v>2022</v>
      </c>
      <c r="AK1581" s="90" t="str">
        <f t="shared" si="446"/>
        <v/>
      </c>
      <c r="AL1581" s="91">
        <f>IF(AK1581="Adjust",(_xlfn.XLOOKUP(A1581,'Adj factor'!A:A,'Adj factor'!I:I,,0)*AI1581),'Master DataSheet'!AI1581)</f>
        <v>220681</v>
      </c>
      <c r="AM1581" s="91">
        <f t="shared" si="447"/>
        <v>220681</v>
      </c>
      <c r="AN1581" s="92" t="str">
        <f t="shared" si="448"/>
        <v>Increasing</v>
      </c>
      <c r="AS1581" s="94">
        <f t="shared" si="449"/>
        <v>4.2878533844425375</v>
      </c>
      <c r="AT1581" s="94">
        <f t="shared" si="450"/>
        <v>9.1088847586301149</v>
      </c>
      <c r="AU1581" s="94">
        <f t="shared" si="451"/>
        <v>10.097912356452731</v>
      </c>
    </row>
    <row r="1582" spans="1:47" x14ac:dyDescent="0.3">
      <c r="A1582" s="85" t="str">
        <f>_xlfn.XLOOKUP(B1582,'Country codes &amp; Data sources'!G:G,'Country codes &amp; Data sources'!H:H,,0)</f>
        <v>Nigeria</v>
      </c>
      <c r="B1582" s="85" t="s">
        <v>156</v>
      </c>
      <c r="C1582" s="85">
        <v>170075935.5</v>
      </c>
      <c r="D1582" s="85" t="s">
        <v>330</v>
      </c>
      <c r="E1582" s="86">
        <v>0</v>
      </c>
      <c r="F1582" s="86">
        <v>174726123.50000006</v>
      </c>
      <c r="G1582" s="86">
        <v>0</v>
      </c>
      <c r="H1582" s="86"/>
      <c r="I1582" s="86">
        <v>0</v>
      </c>
      <c r="J1582" s="86"/>
      <c r="K1582" s="86">
        <v>0</v>
      </c>
      <c r="L1582" s="86"/>
      <c r="M1582" s="86">
        <v>0</v>
      </c>
      <c r="N1582" s="86"/>
      <c r="O1582" s="86">
        <v>0</v>
      </c>
      <c r="P1582" s="86">
        <v>198387623.50000006</v>
      </c>
      <c r="Q1582" s="86">
        <v>110105</v>
      </c>
      <c r="R1582" s="87">
        <f t="shared" si="436"/>
        <v>180709</v>
      </c>
      <c r="T1582" s="87">
        <v>180709</v>
      </c>
      <c r="U1582" s="89"/>
      <c r="V1582" s="89">
        <v>0</v>
      </c>
      <c r="W1582" s="90"/>
      <c r="X1582" s="90">
        <v>201735</v>
      </c>
      <c r="Y1582" s="90">
        <v>218541211.50000003</v>
      </c>
      <c r="Z1582" s="90">
        <v>220681</v>
      </c>
      <c r="AA1582" s="90">
        <v>180709</v>
      </c>
      <c r="AB1582" s="89">
        <f t="shared" si="437"/>
        <v>0</v>
      </c>
      <c r="AC1582" s="89">
        <f t="shared" si="438"/>
        <v>180709</v>
      </c>
      <c r="AD1582" s="89">
        <f t="shared" si="439"/>
        <v>220681</v>
      </c>
      <c r="AE1582" s="90">
        <f t="shared" si="440"/>
        <v>0</v>
      </c>
      <c r="AF1582" s="90" t="str">
        <f t="shared" si="441"/>
        <v/>
      </c>
      <c r="AG1582" s="90">
        <f t="shared" si="442"/>
        <v>180709</v>
      </c>
      <c r="AH1582" s="90" t="str">
        <f t="shared" si="443"/>
        <v>2018 (triag)</v>
      </c>
      <c r="AI1582" s="90">
        <f t="shared" si="444"/>
        <v>220681</v>
      </c>
      <c r="AJ1582" s="90">
        <f t="shared" si="445"/>
        <v>2022</v>
      </c>
      <c r="AK1582" s="90" t="str">
        <f t="shared" si="446"/>
        <v/>
      </c>
      <c r="AL1582" s="91">
        <f>IF(AK1582="Adjust",(_xlfn.XLOOKUP(A1582,'Adj factor'!A:A,'Adj factor'!I:I,,0)*AI1582),'Master DataSheet'!AI1582)</f>
        <v>220681</v>
      </c>
      <c r="AM1582" s="91">
        <f t="shared" si="447"/>
        <v>220681</v>
      </c>
      <c r="AN1582" s="92" t="str">
        <f t="shared" si="448"/>
        <v>Increasing</v>
      </c>
      <c r="AS1582" s="94">
        <f t="shared" si="449"/>
        <v>0</v>
      </c>
      <c r="AT1582" s="94">
        <f t="shared" si="450"/>
        <v>9.1088847586301149</v>
      </c>
      <c r="AU1582" s="94">
        <f t="shared" si="451"/>
        <v>10.097912356452731</v>
      </c>
    </row>
    <row r="1583" spans="1:47" x14ac:dyDescent="0.3">
      <c r="A1583" s="85" t="str">
        <f>_xlfn.XLOOKUP(B1583,'Country codes &amp; Data sources'!G:G,'Country codes &amp; Data sources'!H:H,,0)</f>
        <v>Nigeria</v>
      </c>
      <c r="B1583" s="85" t="s">
        <v>156</v>
      </c>
      <c r="C1583" s="85">
        <v>170075936.5</v>
      </c>
      <c r="D1583" s="85" t="s">
        <v>331</v>
      </c>
      <c r="E1583" s="86">
        <v>0</v>
      </c>
      <c r="F1583" s="86">
        <v>174726123.50000006</v>
      </c>
      <c r="G1583" s="86">
        <v>0</v>
      </c>
      <c r="H1583" s="86"/>
      <c r="I1583" s="86">
        <v>0</v>
      </c>
      <c r="J1583" s="86"/>
      <c r="K1583" s="86">
        <v>0</v>
      </c>
      <c r="L1583" s="86"/>
      <c r="M1583" s="86">
        <v>0</v>
      </c>
      <c r="N1583" s="86"/>
      <c r="O1583" s="86">
        <v>0</v>
      </c>
      <c r="P1583" s="86">
        <v>198387623.50000006</v>
      </c>
      <c r="Q1583" s="86">
        <v>0</v>
      </c>
      <c r="R1583" s="87">
        <f t="shared" si="436"/>
        <v>0</v>
      </c>
      <c r="T1583" s="87">
        <v>0</v>
      </c>
      <c r="U1583" s="89"/>
      <c r="V1583" s="89">
        <v>0</v>
      </c>
      <c r="W1583" s="90"/>
      <c r="X1583" s="90">
        <v>0</v>
      </c>
      <c r="Y1583" s="90">
        <v>218541211.50000003</v>
      </c>
      <c r="Z1583" s="90">
        <v>0</v>
      </c>
      <c r="AA1583" s="90">
        <v>0</v>
      </c>
      <c r="AB1583" s="89">
        <f t="shared" si="437"/>
        <v>0</v>
      </c>
      <c r="AC1583" s="89">
        <f t="shared" si="438"/>
        <v>0</v>
      </c>
      <c r="AD1583" s="89">
        <f t="shared" si="439"/>
        <v>0</v>
      </c>
      <c r="AE1583" s="90">
        <f t="shared" si="440"/>
        <v>0</v>
      </c>
      <c r="AF1583" s="90" t="str">
        <f t="shared" si="441"/>
        <v/>
      </c>
      <c r="AG1583" s="90">
        <f t="shared" si="442"/>
        <v>0</v>
      </c>
      <c r="AH1583" s="90" t="str">
        <f t="shared" si="443"/>
        <v/>
      </c>
      <c r="AI1583" s="90">
        <f t="shared" si="444"/>
        <v>0</v>
      </c>
      <c r="AJ1583" s="90" t="str">
        <f t="shared" si="445"/>
        <v/>
      </c>
      <c r="AK1583" s="90" t="str">
        <f t="shared" si="446"/>
        <v/>
      </c>
      <c r="AL1583" s="91">
        <f>IF(AK1583="Adjust",(_xlfn.XLOOKUP(A1583,'Adj factor'!A:A,'Adj factor'!I:I,,0)*AI1583),'Master DataSheet'!AI1583)</f>
        <v>0</v>
      </c>
      <c r="AM1583" s="91">
        <f t="shared" si="447"/>
        <v>0</v>
      </c>
      <c r="AN1583" s="92" t="str">
        <f t="shared" si="448"/>
        <v>No change</v>
      </c>
      <c r="AS1583" s="94">
        <f t="shared" si="449"/>
        <v>0</v>
      </c>
      <c r="AT1583" s="94">
        <f t="shared" si="450"/>
        <v>0</v>
      </c>
      <c r="AU1583" s="94">
        <f t="shared" si="451"/>
        <v>0</v>
      </c>
    </row>
    <row r="1584" spans="1:47" x14ac:dyDescent="0.3">
      <c r="A1584" s="85" t="str">
        <f>_xlfn.XLOOKUP(B1584,'Country codes &amp; Data sources'!G:G,'Country codes &amp; Data sources'!H:H,,0)</f>
        <v>Nigeria</v>
      </c>
      <c r="B1584" s="85" t="s">
        <v>156</v>
      </c>
      <c r="C1584" s="85">
        <v>170075937.5</v>
      </c>
      <c r="D1584" s="85" t="s">
        <v>332</v>
      </c>
      <c r="E1584" s="86">
        <v>0</v>
      </c>
      <c r="F1584" s="86">
        <v>174726123.50000006</v>
      </c>
      <c r="G1584" s="86">
        <v>101275</v>
      </c>
      <c r="H1584" s="86"/>
      <c r="I1584" s="86">
        <v>0</v>
      </c>
      <c r="J1584" s="86"/>
      <c r="K1584" s="86">
        <v>0</v>
      </c>
      <c r="L1584" s="86"/>
      <c r="M1584" s="86">
        <v>141275</v>
      </c>
      <c r="N1584" s="86"/>
      <c r="O1584" s="86">
        <v>0</v>
      </c>
      <c r="P1584" s="86">
        <v>198387623.50000006</v>
      </c>
      <c r="Q1584" s="86">
        <v>71237</v>
      </c>
      <c r="R1584" s="87">
        <f t="shared" si="436"/>
        <v>120870</v>
      </c>
      <c r="T1584" s="87">
        <v>120870</v>
      </c>
      <c r="U1584" s="89"/>
      <c r="V1584" s="89">
        <v>0</v>
      </c>
      <c r="W1584" s="90"/>
      <c r="X1584" s="90">
        <v>131922</v>
      </c>
      <c r="Y1584" s="90">
        <v>218541211.50000003</v>
      </c>
      <c r="Z1584" s="90">
        <v>146787</v>
      </c>
      <c r="AA1584" s="90">
        <v>120870</v>
      </c>
      <c r="AB1584" s="89">
        <f t="shared" si="437"/>
        <v>101275</v>
      </c>
      <c r="AC1584" s="89">
        <f t="shared" si="438"/>
        <v>141275</v>
      </c>
      <c r="AD1584" s="89">
        <f t="shared" si="439"/>
        <v>146787</v>
      </c>
      <c r="AE1584" s="90">
        <f t="shared" si="440"/>
        <v>101275</v>
      </c>
      <c r="AF1584" s="90">
        <f t="shared" si="441"/>
        <v>2013</v>
      </c>
      <c r="AG1584" s="90">
        <f t="shared" si="442"/>
        <v>120870</v>
      </c>
      <c r="AH1584" s="90" t="str">
        <f t="shared" si="443"/>
        <v>2018 (triag)</v>
      </c>
      <c r="AI1584" s="90">
        <f t="shared" si="444"/>
        <v>146787</v>
      </c>
      <c r="AJ1584" s="90">
        <f t="shared" si="445"/>
        <v>2022</v>
      </c>
      <c r="AK1584" s="90" t="str">
        <f t="shared" si="446"/>
        <v/>
      </c>
      <c r="AL1584" s="91">
        <f>IF(AK1584="Adjust",(_xlfn.XLOOKUP(A1584,'Adj factor'!A:A,'Adj factor'!I:I,,0)*AI1584),'Master DataSheet'!AI1584)</f>
        <v>146787</v>
      </c>
      <c r="AM1584" s="91">
        <f t="shared" si="447"/>
        <v>146787</v>
      </c>
      <c r="AN1584" s="92" t="str">
        <f t="shared" si="448"/>
        <v>Increasing</v>
      </c>
      <c r="AS1584" s="94">
        <f t="shared" si="449"/>
        <v>5.7962139817060594</v>
      </c>
      <c r="AT1584" s="94">
        <f t="shared" si="450"/>
        <v>6.0926179701930829</v>
      </c>
      <c r="AU1584" s="94">
        <f t="shared" si="451"/>
        <v>6.7166736650034533</v>
      </c>
    </row>
    <row r="1585" spans="1:47" x14ac:dyDescent="0.3">
      <c r="A1585" s="85" t="str">
        <f>_xlfn.XLOOKUP(B1585,'Country codes &amp; Data sources'!G:G,'Country codes &amp; Data sources'!H:H,,0)</f>
        <v>Nigeria</v>
      </c>
      <c r="B1585" s="85" t="s">
        <v>156</v>
      </c>
      <c r="C1585" s="85">
        <v>170075938.5</v>
      </c>
      <c r="D1585" s="85" t="s">
        <v>333</v>
      </c>
      <c r="E1585" s="86">
        <v>0</v>
      </c>
      <c r="F1585" s="86">
        <v>174726123.50000006</v>
      </c>
      <c r="G1585" s="86">
        <v>101275</v>
      </c>
      <c r="H1585" s="86"/>
      <c r="I1585" s="86">
        <v>0</v>
      </c>
      <c r="J1585" s="86"/>
      <c r="K1585" s="86">
        <v>0</v>
      </c>
      <c r="L1585" s="86"/>
      <c r="M1585" s="86">
        <v>0</v>
      </c>
      <c r="N1585" s="86"/>
      <c r="O1585" s="86">
        <v>0</v>
      </c>
      <c r="P1585" s="86">
        <v>198387623.50000006</v>
      </c>
      <c r="Q1585" s="86">
        <v>71237</v>
      </c>
      <c r="R1585" s="87">
        <f t="shared" si="436"/>
        <v>120870</v>
      </c>
      <c r="T1585" s="87">
        <v>120870</v>
      </c>
      <c r="U1585" s="89"/>
      <c r="V1585" s="89">
        <v>0</v>
      </c>
      <c r="W1585" s="90"/>
      <c r="X1585" s="90">
        <v>131922</v>
      </c>
      <c r="Y1585" s="90">
        <v>218541211.50000003</v>
      </c>
      <c r="Z1585" s="90">
        <v>146787</v>
      </c>
      <c r="AA1585" s="90">
        <v>120870</v>
      </c>
      <c r="AB1585" s="89">
        <f t="shared" si="437"/>
        <v>101275</v>
      </c>
      <c r="AC1585" s="89">
        <f t="shared" si="438"/>
        <v>120870</v>
      </c>
      <c r="AD1585" s="89">
        <f t="shared" si="439"/>
        <v>146787</v>
      </c>
      <c r="AE1585" s="90">
        <f t="shared" si="440"/>
        <v>101275</v>
      </c>
      <c r="AF1585" s="90">
        <f t="shared" si="441"/>
        <v>2013</v>
      </c>
      <c r="AG1585" s="90">
        <f t="shared" si="442"/>
        <v>120870</v>
      </c>
      <c r="AH1585" s="90" t="str">
        <f t="shared" si="443"/>
        <v>2018 (triag)</v>
      </c>
      <c r="AI1585" s="90">
        <f t="shared" si="444"/>
        <v>146787</v>
      </c>
      <c r="AJ1585" s="90">
        <f t="shared" si="445"/>
        <v>2022</v>
      </c>
      <c r="AK1585" s="90" t="str">
        <f t="shared" si="446"/>
        <v/>
      </c>
      <c r="AL1585" s="91">
        <f>IF(AK1585="Adjust",(_xlfn.XLOOKUP(A1585,'Adj factor'!A:A,'Adj factor'!I:I,,0)*AI1585),'Master DataSheet'!AI1585)</f>
        <v>146787</v>
      </c>
      <c r="AM1585" s="91">
        <f t="shared" si="447"/>
        <v>146787</v>
      </c>
      <c r="AN1585" s="92" t="str">
        <f t="shared" si="448"/>
        <v>Increasing</v>
      </c>
      <c r="AS1585" s="94">
        <f t="shared" si="449"/>
        <v>5.7962139817060594</v>
      </c>
      <c r="AT1585" s="94">
        <f t="shared" si="450"/>
        <v>6.0926179701930829</v>
      </c>
      <c r="AU1585" s="94">
        <f t="shared" si="451"/>
        <v>6.7166736650034533</v>
      </c>
    </row>
    <row r="1586" spans="1:47" x14ac:dyDescent="0.3">
      <c r="A1586" s="85" t="str">
        <f>_xlfn.XLOOKUP(B1586,'Country codes &amp; Data sources'!G:G,'Country codes &amp; Data sources'!H:H,,0)</f>
        <v>Nigeria</v>
      </c>
      <c r="B1586" s="85" t="s">
        <v>156</v>
      </c>
      <c r="C1586" s="85">
        <v>170075939.5</v>
      </c>
      <c r="D1586" s="85" t="s">
        <v>334</v>
      </c>
      <c r="E1586" s="86">
        <v>0</v>
      </c>
      <c r="F1586" s="86">
        <v>174726123.50000006</v>
      </c>
      <c r="G1586" s="86">
        <v>0</v>
      </c>
      <c r="H1586" s="86"/>
      <c r="I1586" s="86">
        <v>0</v>
      </c>
      <c r="J1586" s="86"/>
      <c r="K1586" s="86">
        <v>0</v>
      </c>
      <c r="L1586" s="86"/>
      <c r="M1586" s="86">
        <v>0</v>
      </c>
      <c r="N1586" s="86"/>
      <c r="O1586" s="86">
        <v>0</v>
      </c>
      <c r="P1586" s="86">
        <v>198387623.50000006</v>
      </c>
      <c r="Q1586" s="86">
        <v>0</v>
      </c>
      <c r="R1586" s="87">
        <f t="shared" si="436"/>
        <v>0</v>
      </c>
      <c r="T1586" s="87">
        <v>0</v>
      </c>
      <c r="U1586" s="89"/>
      <c r="V1586" s="89">
        <v>0</v>
      </c>
      <c r="W1586" s="90"/>
      <c r="X1586" s="90">
        <v>0</v>
      </c>
      <c r="Y1586" s="90">
        <v>218541211.50000003</v>
      </c>
      <c r="Z1586" s="90">
        <v>0</v>
      </c>
      <c r="AA1586" s="90">
        <v>0</v>
      </c>
      <c r="AB1586" s="89">
        <f t="shared" si="437"/>
        <v>0</v>
      </c>
      <c r="AC1586" s="89">
        <f t="shared" si="438"/>
        <v>0</v>
      </c>
      <c r="AD1586" s="89">
        <f t="shared" si="439"/>
        <v>0</v>
      </c>
      <c r="AE1586" s="90">
        <f t="shared" si="440"/>
        <v>0</v>
      </c>
      <c r="AF1586" s="90" t="str">
        <f t="shared" si="441"/>
        <v/>
      </c>
      <c r="AG1586" s="90">
        <f t="shared" si="442"/>
        <v>0</v>
      </c>
      <c r="AH1586" s="90" t="str">
        <f t="shared" si="443"/>
        <v/>
      </c>
      <c r="AI1586" s="90">
        <f t="shared" si="444"/>
        <v>0</v>
      </c>
      <c r="AJ1586" s="90" t="str">
        <f t="shared" si="445"/>
        <v/>
      </c>
      <c r="AK1586" s="90" t="str">
        <f t="shared" si="446"/>
        <v/>
      </c>
      <c r="AL1586" s="91">
        <f>IF(AK1586="Adjust",(_xlfn.XLOOKUP(A1586,'Adj factor'!A:A,'Adj factor'!I:I,,0)*AI1586),'Master DataSheet'!AI1586)</f>
        <v>0</v>
      </c>
      <c r="AM1586" s="91">
        <f t="shared" si="447"/>
        <v>0</v>
      </c>
      <c r="AN1586" s="92" t="str">
        <f t="shared" si="448"/>
        <v>No change</v>
      </c>
      <c r="AS1586" s="94">
        <f t="shared" si="449"/>
        <v>0</v>
      </c>
      <c r="AT1586" s="94">
        <f t="shared" si="450"/>
        <v>0</v>
      </c>
      <c r="AU1586" s="94">
        <f t="shared" si="451"/>
        <v>0</v>
      </c>
    </row>
    <row r="1587" spans="1:47" x14ac:dyDescent="0.3">
      <c r="A1587" s="85" t="str">
        <f>_xlfn.XLOOKUP(B1587,'Country codes &amp; Data sources'!G:G,'Country codes &amp; Data sources'!H:H,,0)</f>
        <v>Nigeria</v>
      </c>
      <c r="B1587" s="85" t="s">
        <v>156</v>
      </c>
      <c r="C1587" s="85">
        <v>170075940.5</v>
      </c>
      <c r="D1587" s="85" t="s">
        <v>335</v>
      </c>
      <c r="E1587" s="86">
        <v>0</v>
      </c>
      <c r="F1587" s="86">
        <v>174726123.50000006</v>
      </c>
      <c r="G1587" s="86">
        <v>0</v>
      </c>
      <c r="H1587" s="86"/>
      <c r="I1587" s="86">
        <v>0</v>
      </c>
      <c r="J1587" s="86"/>
      <c r="K1587" s="86">
        <v>20035</v>
      </c>
      <c r="L1587" s="86"/>
      <c r="M1587" s="86">
        <v>0</v>
      </c>
      <c r="N1587" s="86"/>
      <c r="O1587" s="86">
        <v>0</v>
      </c>
      <c r="P1587" s="86">
        <v>198387623.50000006</v>
      </c>
      <c r="Q1587" s="86">
        <v>24668</v>
      </c>
      <c r="R1587" s="87">
        <f t="shared" si="436"/>
        <v>24668</v>
      </c>
      <c r="T1587" s="87">
        <v>24668</v>
      </c>
      <c r="U1587" s="89"/>
      <c r="V1587" s="89">
        <v>0</v>
      </c>
      <c r="W1587" s="90"/>
      <c r="X1587" s="90">
        <v>17331</v>
      </c>
      <c r="Y1587" s="90">
        <v>218541211.50000003</v>
      </c>
      <c r="Z1587" s="90">
        <v>18277</v>
      </c>
      <c r="AA1587" s="90">
        <v>24668</v>
      </c>
      <c r="AB1587" s="89">
        <f t="shared" si="437"/>
        <v>20035</v>
      </c>
      <c r="AC1587" s="89">
        <f t="shared" si="438"/>
        <v>24668</v>
      </c>
      <c r="AD1587" s="89">
        <f t="shared" si="439"/>
        <v>18277</v>
      </c>
      <c r="AE1587" s="90">
        <f t="shared" si="440"/>
        <v>20035</v>
      </c>
      <c r="AF1587" s="90">
        <f t="shared" si="441"/>
        <v>2015</v>
      </c>
      <c r="AG1587" s="90">
        <f t="shared" si="442"/>
        <v>24668</v>
      </c>
      <c r="AH1587" s="90">
        <f t="shared" si="443"/>
        <v>2018</v>
      </c>
      <c r="AI1587" s="90">
        <f t="shared" si="444"/>
        <v>18277</v>
      </c>
      <c r="AJ1587" s="90">
        <f t="shared" si="445"/>
        <v>2022</v>
      </c>
      <c r="AK1587" s="90" t="str">
        <f t="shared" si="446"/>
        <v>Adjust</v>
      </c>
      <c r="AL1587" s="91">
        <f>IF(AK1587="Adjust",(_xlfn.XLOOKUP(A1587,'Adj factor'!A:A,'Adj factor'!I:I,,0)*AI1587),'Master DataSheet'!AI1587)</f>
        <v>21005.731322244228</v>
      </c>
      <c r="AM1587" s="91">
        <f t="shared" si="447"/>
        <v>24668</v>
      </c>
      <c r="AN1587" s="92" t="str">
        <f t="shared" si="448"/>
        <v>Decreasing</v>
      </c>
      <c r="AS1587" s="94">
        <f t="shared" si="449"/>
        <v>1.1466516625374563</v>
      </c>
      <c r="AT1587" s="94">
        <f t="shared" si="450"/>
        <v>1.2434243409342516</v>
      </c>
      <c r="AU1587" s="94">
        <f t="shared" si="451"/>
        <v>1.1287573556807156</v>
      </c>
    </row>
    <row r="1588" spans="1:47" x14ac:dyDescent="0.3">
      <c r="A1588" s="85" t="str">
        <f>_xlfn.XLOOKUP(B1588,'Country codes &amp; Data sources'!G:G,'Country codes &amp; Data sources'!H:H,,0)</f>
        <v>Nigeria</v>
      </c>
      <c r="B1588" s="85" t="s">
        <v>156</v>
      </c>
      <c r="C1588" s="85">
        <v>170075941.5</v>
      </c>
      <c r="D1588" s="85" t="s">
        <v>336</v>
      </c>
      <c r="E1588" s="86">
        <v>0</v>
      </c>
      <c r="F1588" s="86">
        <v>174726123.50000006</v>
      </c>
      <c r="G1588" s="86">
        <v>0</v>
      </c>
      <c r="H1588" s="86"/>
      <c r="I1588" s="86">
        <v>0</v>
      </c>
      <c r="J1588" s="86"/>
      <c r="K1588" s="86">
        <v>0</v>
      </c>
      <c r="L1588" s="86"/>
      <c r="M1588" s="86">
        <v>0</v>
      </c>
      <c r="N1588" s="86"/>
      <c r="O1588" s="86">
        <v>0</v>
      </c>
      <c r="P1588" s="86">
        <v>198387623.50000006</v>
      </c>
      <c r="Q1588" s="86">
        <v>5793</v>
      </c>
      <c r="R1588" s="87">
        <f t="shared" si="436"/>
        <v>5793</v>
      </c>
      <c r="T1588" s="87">
        <v>5793</v>
      </c>
      <c r="U1588" s="89"/>
      <c r="V1588" s="89">
        <v>0</v>
      </c>
      <c r="W1588" s="90"/>
      <c r="X1588" s="90">
        <v>0</v>
      </c>
      <c r="Y1588" s="90">
        <v>218541211.50000003</v>
      </c>
      <c r="Z1588" s="90">
        <v>2326</v>
      </c>
      <c r="AA1588" s="90">
        <v>0</v>
      </c>
      <c r="AB1588" s="89">
        <f t="shared" si="437"/>
        <v>0</v>
      </c>
      <c r="AC1588" s="89">
        <f t="shared" si="438"/>
        <v>5793</v>
      </c>
      <c r="AD1588" s="89">
        <f t="shared" si="439"/>
        <v>2326</v>
      </c>
      <c r="AE1588" s="90">
        <f t="shared" si="440"/>
        <v>0</v>
      </c>
      <c r="AF1588" s="90" t="str">
        <f t="shared" si="441"/>
        <v/>
      </c>
      <c r="AG1588" s="90">
        <f t="shared" si="442"/>
        <v>5793</v>
      </c>
      <c r="AH1588" s="90">
        <f t="shared" si="443"/>
        <v>2018</v>
      </c>
      <c r="AI1588" s="90">
        <f t="shared" si="444"/>
        <v>2326</v>
      </c>
      <c r="AJ1588" s="90">
        <f t="shared" si="445"/>
        <v>2022</v>
      </c>
      <c r="AK1588" s="90" t="str">
        <f t="shared" si="446"/>
        <v>Adjust</v>
      </c>
      <c r="AL1588" s="91">
        <f>IF(AK1588="Adjust",(_xlfn.XLOOKUP(A1588,'Adj factor'!A:A,'Adj factor'!I:I,,0)*AI1588),'Master DataSheet'!AI1588)</f>
        <v>2673.2686466892856</v>
      </c>
      <c r="AM1588" s="91">
        <f t="shared" si="447"/>
        <v>5793</v>
      </c>
      <c r="AN1588" s="92" t="str">
        <f t="shared" si="448"/>
        <v>Decreasing</v>
      </c>
      <c r="AS1588" s="94">
        <f t="shared" si="449"/>
        <v>0</v>
      </c>
      <c r="AT1588" s="94">
        <f t="shared" si="450"/>
        <v>0.29200410276601746</v>
      </c>
      <c r="AU1588" s="94">
        <f t="shared" si="451"/>
        <v>0.26507586190442617</v>
      </c>
    </row>
    <row r="1589" spans="1:47" x14ac:dyDescent="0.3">
      <c r="A1589" s="85" t="str">
        <f>_xlfn.XLOOKUP(B1589,'Country codes &amp; Data sources'!G:G,'Country codes &amp; Data sources'!H:H,,0)</f>
        <v>Nigeria</v>
      </c>
      <c r="B1589" s="85" t="s">
        <v>156</v>
      </c>
      <c r="C1589" s="85">
        <v>170075942.5</v>
      </c>
      <c r="D1589" s="85" t="s">
        <v>337</v>
      </c>
      <c r="E1589" s="86">
        <v>0</v>
      </c>
      <c r="F1589" s="86">
        <v>174726123.50000006</v>
      </c>
      <c r="G1589" s="86">
        <v>0</v>
      </c>
      <c r="H1589" s="86"/>
      <c r="I1589" s="86">
        <v>0</v>
      </c>
      <c r="J1589" s="86"/>
      <c r="K1589" s="86">
        <v>0</v>
      </c>
      <c r="L1589" s="86"/>
      <c r="M1589" s="86">
        <v>4081</v>
      </c>
      <c r="N1589" s="86"/>
      <c r="O1589" s="86">
        <v>0</v>
      </c>
      <c r="P1589" s="86">
        <v>198387623.50000006</v>
      </c>
      <c r="Q1589" s="86">
        <v>4358</v>
      </c>
      <c r="R1589" s="87">
        <f t="shared" si="436"/>
        <v>4358</v>
      </c>
      <c r="T1589" s="87">
        <v>4358</v>
      </c>
      <c r="U1589" s="89"/>
      <c r="V1589" s="89">
        <v>0</v>
      </c>
      <c r="W1589" s="90"/>
      <c r="X1589" s="90">
        <v>4358</v>
      </c>
      <c r="Y1589" s="90">
        <v>218541211.50000003</v>
      </c>
      <c r="Z1589" s="90">
        <v>5048</v>
      </c>
      <c r="AA1589" s="90">
        <v>4358</v>
      </c>
      <c r="AB1589" s="89">
        <f t="shared" si="437"/>
        <v>0</v>
      </c>
      <c r="AC1589" s="89">
        <f t="shared" si="438"/>
        <v>4358</v>
      </c>
      <c r="AD1589" s="89">
        <f t="shared" si="439"/>
        <v>5048</v>
      </c>
      <c r="AE1589" s="90">
        <f t="shared" si="440"/>
        <v>0</v>
      </c>
      <c r="AF1589" s="90" t="str">
        <f t="shared" si="441"/>
        <v/>
      </c>
      <c r="AG1589" s="90">
        <f t="shared" si="442"/>
        <v>4358</v>
      </c>
      <c r="AH1589" s="90">
        <f t="shared" si="443"/>
        <v>2018</v>
      </c>
      <c r="AI1589" s="90">
        <f t="shared" si="444"/>
        <v>5048</v>
      </c>
      <c r="AJ1589" s="90">
        <f t="shared" si="445"/>
        <v>2022</v>
      </c>
      <c r="AK1589" s="90" t="str">
        <f t="shared" si="446"/>
        <v/>
      </c>
      <c r="AL1589" s="91">
        <f>IF(AK1589="Adjust",(_xlfn.XLOOKUP(A1589,'Adj factor'!A:A,'Adj factor'!I:I,,0)*AI1589),'Master DataSheet'!AI1589)</f>
        <v>5048</v>
      </c>
      <c r="AM1589" s="91">
        <f t="shared" si="447"/>
        <v>5048</v>
      </c>
      <c r="AN1589" s="92" t="str">
        <f t="shared" si="448"/>
        <v>Increasing</v>
      </c>
      <c r="AS1589" s="94">
        <f t="shared" si="449"/>
        <v>0</v>
      </c>
      <c r="AT1589" s="94">
        <f t="shared" si="450"/>
        <v>0.21967096148011464</v>
      </c>
      <c r="AU1589" s="94">
        <f t="shared" si="451"/>
        <v>0.23098618175272628</v>
      </c>
    </row>
    <row r="1590" spans="1:47" x14ac:dyDescent="0.3">
      <c r="A1590" s="85" t="str">
        <f>_xlfn.XLOOKUP(B1590,'Country codes &amp; Data sources'!G:G,'Country codes &amp; Data sources'!H:H,,0)</f>
        <v>Nigeria</v>
      </c>
      <c r="B1590" s="85" t="s">
        <v>156</v>
      </c>
      <c r="C1590" s="85">
        <v>170075943.5</v>
      </c>
      <c r="D1590" s="85" t="s">
        <v>338</v>
      </c>
      <c r="E1590" s="86">
        <v>0</v>
      </c>
      <c r="F1590" s="86">
        <v>174726123.50000006</v>
      </c>
      <c r="G1590" s="86">
        <v>0</v>
      </c>
      <c r="H1590" s="86"/>
      <c r="I1590" s="86">
        <v>0</v>
      </c>
      <c r="J1590" s="86"/>
      <c r="K1590" s="86">
        <v>0</v>
      </c>
      <c r="L1590" s="86"/>
      <c r="M1590" s="86">
        <v>0</v>
      </c>
      <c r="N1590" s="86"/>
      <c r="O1590" s="86">
        <v>0</v>
      </c>
      <c r="P1590" s="86">
        <v>198387623.50000006</v>
      </c>
      <c r="Q1590" s="86">
        <v>19269</v>
      </c>
      <c r="R1590" s="87">
        <f t="shared" si="436"/>
        <v>21129</v>
      </c>
      <c r="T1590" s="87">
        <v>6165</v>
      </c>
      <c r="U1590" s="89"/>
      <c r="V1590" s="89">
        <v>0</v>
      </c>
      <c r="W1590" s="90"/>
      <c r="X1590" s="90">
        <v>11781</v>
      </c>
      <c r="Y1590" s="90">
        <v>218541211.50000003</v>
      </c>
      <c r="Z1590" s="90">
        <v>0</v>
      </c>
      <c r="AA1590" s="90">
        <v>21129</v>
      </c>
      <c r="AB1590" s="89">
        <f t="shared" si="437"/>
        <v>0</v>
      </c>
      <c r="AC1590" s="89">
        <f t="shared" si="438"/>
        <v>19269</v>
      </c>
      <c r="AD1590" s="89">
        <f t="shared" si="439"/>
        <v>11781</v>
      </c>
      <c r="AE1590" s="90">
        <f t="shared" si="440"/>
        <v>0</v>
      </c>
      <c r="AF1590" s="90" t="str">
        <f t="shared" si="441"/>
        <v/>
      </c>
      <c r="AG1590" s="90">
        <f t="shared" si="442"/>
        <v>21129</v>
      </c>
      <c r="AH1590" s="90" t="str">
        <f t="shared" si="443"/>
        <v>2018 (triag)</v>
      </c>
      <c r="AI1590" s="90">
        <f t="shared" si="444"/>
        <v>11781</v>
      </c>
      <c r="AJ1590" s="90">
        <f t="shared" si="445"/>
        <v>2021</v>
      </c>
      <c r="AK1590" s="90" t="str">
        <f t="shared" si="446"/>
        <v>Adjust</v>
      </c>
      <c r="AL1590" s="91">
        <f>IF(AK1590="Adjust",(_xlfn.XLOOKUP(A1590,'Adj factor'!A:A,'Adj factor'!I:I,,0)*AI1590),'Master DataSheet'!AI1590)</f>
        <v>13539.887328738811</v>
      </c>
      <c r="AM1590" s="91">
        <f t="shared" si="447"/>
        <v>21129</v>
      </c>
      <c r="AN1590" s="92" t="str">
        <f t="shared" si="448"/>
        <v>Decreasing</v>
      </c>
      <c r="AS1590" s="94">
        <f t="shared" si="449"/>
        <v>0</v>
      </c>
      <c r="AT1590" s="94">
        <f t="shared" si="450"/>
        <v>1.0650361966758473</v>
      </c>
      <c r="AU1590" s="94">
        <f t="shared" si="451"/>
        <v>0.96681993547015721</v>
      </c>
    </row>
    <row r="1591" spans="1:47" x14ac:dyDescent="0.3">
      <c r="A1591" s="85" t="str">
        <f>_xlfn.XLOOKUP(B1591,'Country codes &amp; Data sources'!G:G,'Country codes &amp; Data sources'!H:H,,0)</f>
        <v>Nigeria</v>
      </c>
      <c r="B1591" s="85" t="s">
        <v>156</v>
      </c>
      <c r="C1591" s="85">
        <v>170075944.5</v>
      </c>
      <c r="D1591" s="85" t="s">
        <v>339</v>
      </c>
      <c r="E1591" s="86">
        <v>0</v>
      </c>
      <c r="F1591" s="86">
        <v>174726123.50000006</v>
      </c>
      <c r="G1591" s="86">
        <v>0</v>
      </c>
      <c r="H1591" s="86"/>
      <c r="I1591" s="86">
        <v>0</v>
      </c>
      <c r="J1591" s="86"/>
      <c r="K1591" s="86">
        <v>0</v>
      </c>
      <c r="L1591" s="86"/>
      <c r="M1591" s="86">
        <v>0</v>
      </c>
      <c r="N1591" s="86"/>
      <c r="O1591" s="86">
        <v>0</v>
      </c>
      <c r="P1591" s="86">
        <v>198387623.50000006</v>
      </c>
      <c r="Q1591" s="86">
        <v>0</v>
      </c>
      <c r="R1591" s="87">
        <f t="shared" si="436"/>
        <v>0</v>
      </c>
      <c r="T1591" s="87">
        <v>267</v>
      </c>
      <c r="U1591" s="89"/>
      <c r="V1591" s="89">
        <v>0</v>
      </c>
      <c r="W1591" s="90"/>
      <c r="X1591" s="90">
        <v>0</v>
      </c>
      <c r="Y1591" s="90">
        <v>218541211.50000003</v>
      </c>
      <c r="Z1591" s="90">
        <v>0</v>
      </c>
      <c r="AA1591" s="90">
        <v>0</v>
      </c>
      <c r="AB1591" s="89">
        <f t="shared" si="437"/>
        <v>0</v>
      </c>
      <c r="AC1591" s="89">
        <f t="shared" si="438"/>
        <v>267</v>
      </c>
      <c r="AD1591" s="89">
        <f t="shared" si="439"/>
        <v>0</v>
      </c>
      <c r="AE1591" s="90">
        <f t="shared" si="440"/>
        <v>0</v>
      </c>
      <c r="AF1591" s="90" t="str">
        <f t="shared" si="441"/>
        <v/>
      </c>
      <c r="AG1591" s="90">
        <f t="shared" si="442"/>
        <v>267</v>
      </c>
      <c r="AH1591" s="90">
        <f t="shared" si="443"/>
        <v>2019</v>
      </c>
      <c r="AI1591" s="90">
        <f t="shared" si="444"/>
        <v>267</v>
      </c>
      <c r="AJ1591" s="90">
        <f t="shared" si="445"/>
        <v>2019</v>
      </c>
      <c r="AK1591" s="90" t="str">
        <f t="shared" si="446"/>
        <v/>
      </c>
      <c r="AL1591" s="91">
        <f>IF(AK1591="Adjust",(_xlfn.XLOOKUP(A1591,'Adj factor'!A:A,'Adj factor'!I:I,,0)*AI1591),'Master DataSheet'!AI1591)</f>
        <v>267</v>
      </c>
      <c r="AM1591" s="91">
        <f t="shared" si="447"/>
        <v>267</v>
      </c>
      <c r="AN1591" s="92" t="str">
        <f t="shared" si="448"/>
        <v>No change</v>
      </c>
      <c r="AS1591" s="94">
        <f t="shared" si="449"/>
        <v>0</v>
      </c>
      <c r="AT1591" s="94">
        <f t="shared" si="450"/>
        <v>1.3458500852498993E-2</v>
      </c>
      <c r="AU1591" s="94">
        <f t="shared" si="451"/>
        <v>1.2217375302689761E-2</v>
      </c>
    </row>
    <row r="1592" spans="1:47" x14ac:dyDescent="0.3">
      <c r="A1592" s="85" t="str">
        <f>_xlfn.XLOOKUP(B1592,'Country codes &amp; Data sources'!G:G,'Country codes &amp; Data sources'!H:H,,0)</f>
        <v>Rwanda</v>
      </c>
      <c r="B1592" s="85" t="s">
        <v>183</v>
      </c>
      <c r="C1592" s="85">
        <v>10840333.999999994</v>
      </c>
      <c r="D1592" s="85" t="s">
        <v>326</v>
      </c>
      <c r="E1592" s="86">
        <v>0</v>
      </c>
      <c r="F1592" s="86">
        <v>11101349.499999996</v>
      </c>
      <c r="G1592" s="86">
        <v>1104</v>
      </c>
      <c r="H1592" s="86">
        <v>11368451.500000004</v>
      </c>
      <c r="I1592" s="86">
        <v>1008</v>
      </c>
      <c r="J1592" s="86">
        <v>11642959</v>
      </c>
      <c r="K1592" s="86">
        <v>1284</v>
      </c>
      <c r="L1592" s="86">
        <v>11930899.500000007</v>
      </c>
      <c r="M1592" s="86">
        <v>1431</v>
      </c>
      <c r="N1592" s="86">
        <v>12230339</v>
      </c>
      <c r="O1592" s="86">
        <v>1648</v>
      </c>
      <c r="P1592" s="86">
        <v>12531807.499999998</v>
      </c>
      <c r="Q1592" s="86">
        <v>1648</v>
      </c>
      <c r="R1592" s="87">
        <f t="shared" si="436"/>
        <v>1648</v>
      </c>
      <c r="S1592" s="87">
        <v>12835028</v>
      </c>
      <c r="T1592" s="87">
        <v>1492</v>
      </c>
      <c r="U1592" s="89">
        <v>13146361.500000002</v>
      </c>
      <c r="V1592" s="89">
        <v>0</v>
      </c>
      <c r="W1592" s="90">
        <v>13461887.499999998</v>
      </c>
      <c r="X1592" s="90">
        <v>0</v>
      </c>
      <c r="Y1592" s="90">
        <v>13776697.499999994</v>
      </c>
      <c r="Z1592" s="113">
        <f>1114+534</f>
        <v>1648</v>
      </c>
      <c r="AA1592" s="90">
        <v>1350</v>
      </c>
      <c r="AB1592" s="89">
        <f t="shared" si="437"/>
        <v>1284</v>
      </c>
      <c r="AC1592" s="89">
        <f t="shared" si="438"/>
        <v>1648</v>
      </c>
      <c r="AD1592" s="89">
        <f t="shared" si="439"/>
        <v>1648</v>
      </c>
      <c r="AE1592" s="90">
        <f t="shared" si="440"/>
        <v>1104</v>
      </c>
      <c r="AF1592" s="90">
        <f t="shared" si="441"/>
        <v>2013</v>
      </c>
      <c r="AG1592" s="90">
        <f t="shared" si="442"/>
        <v>1648</v>
      </c>
      <c r="AH1592" s="90">
        <f t="shared" si="443"/>
        <v>2017</v>
      </c>
      <c r="AI1592" s="90">
        <f t="shared" si="444"/>
        <v>1648</v>
      </c>
      <c r="AJ1592" s="90">
        <v>2022</v>
      </c>
      <c r="AK1592" s="90" t="str">
        <f t="shared" si="446"/>
        <v/>
      </c>
      <c r="AL1592" s="91">
        <f>IF(AK1592="Adjust",(_xlfn.XLOOKUP(A1592,'Adj factor'!A:A,'Adj factor'!I:I,,0)*AI1592),'Master DataSheet'!AI1592)</f>
        <v>1648</v>
      </c>
      <c r="AM1592" s="91">
        <f t="shared" si="447"/>
        <v>1648</v>
      </c>
      <c r="AN1592" s="92" t="str">
        <f t="shared" si="448"/>
        <v>No change</v>
      </c>
      <c r="AS1592" s="94">
        <f t="shared" si="449"/>
        <v>0.99447368988788287</v>
      </c>
      <c r="AT1592" s="94">
        <f t="shared" si="450"/>
        <v>1.3150537143185452</v>
      </c>
      <c r="AU1592" s="94">
        <f t="shared" si="451"/>
        <v>1.1962228248097926</v>
      </c>
    </row>
    <row r="1593" spans="1:47" x14ac:dyDescent="0.3">
      <c r="A1593" s="85" t="str">
        <f>_xlfn.XLOOKUP(B1593,'Country codes &amp; Data sources'!G:G,'Country codes &amp; Data sources'!H:H,,0)</f>
        <v>Rwanda</v>
      </c>
      <c r="B1593" s="85" t="s">
        <v>183</v>
      </c>
      <c r="C1593" s="85">
        <v>10840335</v>
      </c>
      <c r="D1593" s="85" t="s">
        <v>327</v>
      </c>
      <c r="E1593" s="86">
        <v>0</v>
      </c>
      <c r="F1593" s="86">
        <v>11101349.499999996</v>
      </c>
      <c r="G1593" s="86">
        <v>609</v>
      </c>
      <c r="H1593" s="86"/>
      <c r="I1593" s="86">
        <v>834</v>
      </c>
      <c r="J1593" s="86"/>
      <c r="K1593" s="86">
        <v>1042</v>
      </c>
      <c r="L1593" s="86"/>
      <c r="M1593" s="86">
        <v>1107</v>
      </c>
      <c r="N1593" s="86"/>
      <c r="O1593" s="86">
        <v>1114</v>
      </c>
      <c r="P1593" s="86">
        <v>12531807.499999998</v>
      </c>
      <c r="Q1593" s="86">
        <v>1114</v>
      </c>
      <c r="R1593" s="87">
        <f t="shared" si="436"/>
        <v>1114</v>
      </c>
      <c r="T1593" s="87">
        <v>0</v>
      </c>
      <c r="U1593" s="89"/>
      <c r="V1593" s="89">
        <v>0</v>
      </c>
      <c r="W1593" s="90"/>
      <c r="X1593" s="90">
        <v>0</v>
      </c>
      <c r="Y1593" s="90">
        <v>13776697.499999994</v>
      </c>
      <c r="Z1593" s="90">
        <v>0</v>
      </c>
      <c r="AA1593" s="90">
        <v>783</v>
      </c>
      <c r="AB1593" s="89">
        <f t="shared" si="437"/>
        <v>1042</v>
      </c>
      <c r="AC1593" s="89">
        <f t="shared" si="438"/>
        <v>1114</v>
      </c>
      <c r="AD1593" s="89">
        <f t="shared" si="439"/>
        <v>0</v>
      </c>
      <c r="AE1593" s="90">
        <f t="shared" si="440"/>
        <v>609</v>
      </c>
      <c r="AF1593" s="90">
        <f t="shared" si="441"/>
        <v>2013</v>
      </c>
      <c r="AG1593" s="90">
        <f t="shared" si="442"/>
        <v>1114</v>
      </c>
      <c r="AH1593" s="90">
        <f t="shared" si="443"/>
        <v>2017</v>
      </c>
      <c r="AI1593" s="90">
        <f t="shared" si="444"/>
        <v>1114</v>
      </c>
      <c r="AJ1593" s="90">
        <f t="shared" si="445"/>
        <v>2017</v>
      </c>
      <c r="AK1593" s="90" t="str">
        <f t="shared" si="446"/>
        <v/>
      </c>
      <c r="AL1593" s="91">
        <f>IF(AK1593="Adjust",(_xlfn.XLOOKUP(A1593,'Adj factor'!A:A,'Adj factor'!I:I,,0)*AI1593),'Master DataSheet'!AI1593)</f>
        <v>1114</v>
      </c>
      <c r="AM1593" s="91">
        <f t="shared" si="447"/>
        <v>1114</v>
      </c>
      <c r="AN1593" s="92" t="str">
        <f t="shared" si="448"/>
        <v>No change</v>
      </c>
      <c r="AS1593" s="94">
        <f t="shared" si="449"/>
        <v>0.54858195393271802</v>
      </c>
      <c r="AT1593" s="94">
        <f t="shared" si="450"/>
        <v>0.88893800834396808</v>
      </c>
      <c r="AU1593" s="94">
        <f t="shared" si="451"/>
        <v>0.80861178812992041</v>
      </c>
    </row>
    <row r="1594" spans="1:47" x14ac:dyDescent="0.3">
      <c r="A1594" s="85" t="str">
        <f>_xlfn.XLOOKUP(B1594,'Country codes &amp; Data sources'!G:G,'Country codes &amp; Data sources'!H:H,,0)</f>
        <v>Rwanda</v>
      </c>
      <c r="B1594" s="85" t="s">
        <v>183</v>
      </c>
      <c r="C1594" s="85">
        <v>10840336</v>
      </c>
      <c r="D1594" s="85" t="s">
        <v>328</v>
      </c>
      <c r="E1594" s="86">
        <v>0</v>
      </c>
      <c r="F1594" s="86">
        <v>11101349.499999996</v>
      </c>
      <c r="G1594" s="86">
        <v>495</v>
      </c>
      <c r="H1594" s="86"/>
      <c r="I1594" s="86">
        <v>174</v>
      </c>
      <c r="J1594" s="86"/>
      <c r="K1594" s="86">
        <v>242</v>
      </c>
      <c r="L1594" s="86"/>
      <c r="M1594" s="86">
        <v>324</v>
      </c>
      <c r="N1594" s="86"/>
      <c r="O1594" s="86">
        <v>534</v>
      </c>
      <c r="P1594" s="86">
        <v>12531807.499999998</v>
      </c>
      <c r="Q1594" s="86">
        <v>534</v>
      </c>
      <c r="R1594" s="87">
        <f t="shared" si="436"/>
        <v>567</v>
      </c>
      <c r="T1594" s="87">
        <v>0</v>
      </c>
      <c r="U1594" s="89"/>
      <c r="V1594" s="89">
        <v>0</v>
      </c>
      <c r="W1594" s="90"/>
      <c r="X1594" s="90">
        <v>0</v>
      </c>
      <c r="Y1594" s="90">
        <v>13776697.499999994</v>
      </c>
      <c r="Z1594" s="90">
        <v>0</v>
      </c>
      <c r="AA1594" s="90">
        <v>567</v>
      </c>
      <c r="AB1594" s="89">
        <f t="shared" si="437"/>
        <v>495</v>
      </c>
      <c r="AC1594" s="89">
        <f t="shared" si="438"/>
        <v>534</v>
      </c>
      <c r="AD1594" s="89">
        <f t="shared" si="439"/>
        <v>0</v>
      </c>
      <c r="AE1594" s="90">
        <f t="shared" si="440"/>
        <v>495</v>
      </c>
      <c r="AF1594" s="90">
        <f t="shared" si="441"/>
        <v>2013</v>
      </c>
      <c r="AG1594" s="90">
        <f t="shared" si="442"/>
        <v>567</v>
      </c>
      <c r="AH1594" s="90" t="str">
        <f t="shared" si="443"/>
        <v>2018 (triag)</v>
      </c>
      <c r="AI1594" s="90">
        <f t="shared" si="444"/>
        <v>567</v>
      </c>
      <c r="AJ1594" s="90" t="str">
        <f t="shared" si="445"/>
        <v>2018 (triag)</v>
      </c>
      <c r="AK1594" s="90" t="str">
        <f t="shared" si="446"/>
        <v/>
      </c>
      <c r="AL1594" s="91">
        <f>IF(AK1594="Adjust",(_xlfn.XLOOKUP(A1594,'Adj factor'!A:A,'Adj factor'!I:I,,0)*AI1594),'Master DataSheet'!AI1594)</f>
        <v>567</v>
      </c>
      <c r="AM1594" s="91">
        <f t="shared" si="447"/>
        <v>567</v>
      </c>
      <c r="AN1594" s="92" t="str">
        <f t="shared" si="448"/>
        <v>No change</v>
      </c>
      <c r="AS1594" s="94">
        <f t="shared" si="449"/>
        <v>0.4458917359551649</v>
      </c>
      <c r="AT1594" s="94">
        <f t="shared" si="450"/>
        <v>0.45244869904042179</v>
      </c>
      <c r="AU1594" s="94">
        <f t="shared" si="451"/>
        <v>0.41156452771065072</v>
      </c>
    </row>
    <row r="1595" spans="1:47" x14ac:dyDescent="0.3">
      <c r="A1595" s="85" t="str">
        <f>_xlfn.XLOOKUP(B1595,'Country codes &amp; Data sources'!G:G,'Country codes &amp; Data sources'!H:H,,0)</f>
        <v>Rwanda</v>
      </c>
      <c r="B1595" s="85" t="s">
        <v>183</v>
      </c>
      <c r="C1595" s="85">
        <v>10840337</v>
      </c>
      <c r="D1595" s="85" t="s">
        <v>329</v>
      </c>
      <c r="E1595" s="86">
        <v>0</v>
      </c>
      <c r="F1595" s="86">
        <v>11101349.499999996</v>
      </c>
      <c r="G1595" s="86">
        <v>0</v>
      </c>
      <c r="H1595" s="86"/>
      <c r="I1595" s="86">
        <v>9625</v>
      </c>
      <c r="J1595" s="86"/>
      <c r="K1595" s="86">
        <v>10367</v>
      </c>
      <c r="L1595" s="86"/>
      <c r="M1595" s="86">
        <v>11281</v>
      </c>
      <c r="N1595" s="86"/>
      <c r="O1595" s="86">
        <v>0</v>
      </c>
      <c r="P1595" s="86">
        <v>12531807.499999998</v>
      </c>
      <c r="Q1595" s="86">
        <v>13345</v>
      </c>
      <c r="R1595" s="87">
        <f t="shared" si="436"/>
        <v>13345</v>
      </c>
      <c r="T1595" s="87">
        <v>10409</v>
      </c>
      <c r="U1595" s="89"/>
      <c r="V1595" s="89">
        <v>0</v>
      </c>
      <c r="W1595" s="90"/>
      <c r="X1595" s="90">
        <v>0</v>
      </c>
      <c r="Y1595" s="90">
        <v>13776697.499999994</v>
      </c>
      <c r="Z1595" s="113">
        <f>7200+5592+268</f>
        <v>13060</v>
      </c>
      <c r="AA1595" s="90">
        <v>9551</v>
      </c>
      <c r="AB1595" s="89">
        <f t="shared" si="437"/>
        <v>10367</v>
      </c>
      <c r="AC1595" s="89">
        <f t="shared" si="438"/>
        <v>13345</v>
      </c>
      <c r="AD1595" s="89">
        <f t="shared" si="439"/>
        <v>13060</v>
      </c>
      <c r="AE1595" s="90">
        <f t="shared" si="440"/>
        <v>9625</v>
      </c>
      <c r="AF1595" s="90">
        <f t="shared" si="441"/>
        <v>2014</v>
      </c>
      <c r="AG1595" s="90">
        <f t="shared" si="442"/>
        <v>13345</v>
      </c>
      <c r="AH1595" s="90">
        <f t="shared" si="443"/>
        <v>2018</v>
      </c>
      <c r="AI1595" s="90">
        <f t="shared" si="444"/>
        <v>13060</v>
      </c>
      <c r="AJ1595" s="90">
        <f t="shared" si="445"/>
        <v>2022</v>
      </c>
      <c r="AK1595" s="90" t="str">
        <f t="shared" si="446"/>
        <v>Adjust</v>
      </c>
      <c r="AL1595" s="91">
        <f>IF(AK1595="Adjust",(_xlfn.XLOOKUP(A1595,'Adj factor'!A:A,'Adj factor'!I:I,,0)*AI1595),'Master DataSheet'!AI1595)</f>
        <v>13501.239749316621</v>
      </c>
      <c r="AM1595" s="91">
        <f t="shared" si="447"/>
        <v>13501.239749316621</v>
      </c>
      <c r="AN1595" s="92" t="str">
        <f t="shared" si="448"/>
        <v>Increasing</v>
      </c>
      <c r="AS1595" s="94">
        <f t="shared" si="449"/>
        <v>8.6701170880170952</v>
      </c>
      <c r="AT1595" s="94">
        <f t="shared" si="450"/>
        <v>10.648902801930211</v>
      </c>
      <c r="AU1595" s="94">
        <f t="shared" si="451"/>
        <v>9.8000553102923451</v>
      </c>
    </row>
    <row r="1596" spans="1:47" x14ac:dyDescent="0.3">
      <c r="A1596" s="85" t="str">
        <f>_xlfn.XLOOKUP(B1596,'Country codes &amp; Data sources'!G:G,'Country codes &amp; Data sources'!H:H,,0)</f>
        <v>Rwanda</v>
      </c>
      <c r="B1596" s="85" t="s">
        <v>183</v>
      </c>
      <c r="C1596" s="85">
        <v>10840338</v>
      </c>
      <c r="D1596" s="85" t="s">
        <v>330</v>
      </c>
      <c r="E1596" s="86">
        <v>0</v>
      </c>
      <c r="F1596" s="86">
        <v>11101349.499999996</v>
      </c>
      <c r="G1596" s="86">
        <v>0</v>
      </c>
      <c r="H1596" s="86"/>
      <c r="I1596" s="86">
        <v>0</v>
      </c>
      <c r="J1596" s="86"/>
      <c r="K1596" s="86">
        <v>0</v>
      </c>
      <c r="L1596" s="86"/>
      <c r="M1596" s="86">
        <v>0</v>
      </c>
      <c r="N1596" s="86"/>
      <c r="O1596" s="86">
        <v>0</v>
      </c>
      <c r="P1596" s="86">
        <v>12531807.499999998</v>
      </c>
      <c r="Q1596" s="86">
        <v>0</v>
      </c>
      <c r="R1596" s="87">
        <f t="shared" si="436"/>
        <v>9551</v>
      </c>
      <c r="T1596" s="87">
        <v>0</v>
      </c>
      <c r="U1596" s="89"/>
      <c r="V1596" s="89">
        <v>0</v>
      </c>
      <c r="W1596" s="90"/>
      <c r="X1596" s="90">
        <v>0</v>
      </c>
      <c r="Y1596" s="90">
        <v>13776697.499999994</v>
      </c>
      <c r="Z1596" s="90">
        <v>0</v>
      </c>
      <c r="AA1596" s="90">
        <v>9551</v>
      </c>
      <c r="AB1596" s="89">
        <f t="shared" si="437"/>
        <v>0</v>
      </c>
      <c r="AC1596" s="89">
        <f t="shared" si="438"/>
        <v>0</v>
      </c>
      <c r="AD1596" s="89">
        <f t="shared" si="439"/>
        <v>0</v>
      </c>
      <c r="AE1596" s="90">
        <f t="shared" si="440"/>
        <v>0</v>
      </c>
      <c r="AF1596" s="90" t="str">
        <f t="shared" si="441"/>
        <v/>
      </c>
      <c r="AG1596" s="90">
        <f t="shared" si="442"/>
        <v>9551</v>
      </c>
      <c r="AH1596" s="90" t="str">
        <f t="shared" si="443"/>
        <v>2018 (triag)</v>
      </c>
      <c r="AI1596" s="90">
        <f t="shared" si="444"/>
        <v>9551</v>
      </c>
      <c r="AJ1596" s="90" t="str">
        <f t="shared" si="445"/>
        <v>2018 (triag)</v>
      </c>
      <c r="AK1596" s="90" t="str">
        <f t="shared" si="446"/>
        <v/>
      </c>
      <c r="AL1596" s="91">
        <f>IF(AK1596="Adjust",(_xlfn.XLOOKUP(A1596,'Adj factor'!A:A,'Adj factor'!I:I,,0)*AI1596),'Master DataSheet'!AI1596)</f>
        <v>9551</v>
      </c>
      <c r="AM1596" s="91">
        <f t="shared" si="447"/>
        <v>9551</v>
      </c>
      <c r="AN1596" s="92" t="str">
        <f t="shared" si="448"/>
        <v>No change</v>
      </c>
      <c r="AS1596" s="94">
        <f t="shared" si="449"/>
        <v>0</v>
      </c>
      <c r="AT1596" s="94">
        <f t="shared" si="450"/>
        <v>7.6214065688449182</v>
      </c>
      <c r="AU1596" s="94">
        <f t="shared" si="451"/>
        <v>6.9327209949989861</v>
      </c>
    </row>
    <row r="1597" spans="1:47" x14ac:dyDescent="0.3">
      <c r="A1597" s="85" t="str">
        <f>_xlfn.XLOOKUP(B1597,'Country codes &amp; Data sources'!G:G,'Country codes &amp; Data sources'!H:H,,0)</f>
        <v>Rwanda</v>
      </c>
      <c r="B1597" s="85" t="s">
        <v>183</v>
      </c>
      <c r="C1597" s="85">
        <v>10840339</v>
      </c>
      <c r="D1597" s="85" t="s">
        <v>331</v>
      </c>
      <c r="E1597" s="86">
        <v>0</v>
      </c>
      <c r="F1597" s="86">
        <v>11101349.499999996</v>
      </c>
      <c r="G1597" s="86">
        <v>0</v>
      </c>
      <c r="H1597" s="86"/>
      <c r="I1597" s="86">
        <v>0</v>
      </c>
      <c r="J1597" s="86"/>
      <c r="K1597" s="86">
        <v>0</v>
      </c>
      <c r="L1597" s="86"/>
      <c r="M1597" s="86">
        <v>0</v>
      </c>
      <c r="N1597" s="86"/>
      <c r="O1597" s="86">
        <v>0</v>
      </c>
      <c r="P1597" s="86">
        <v>12531807.499999998</v>
      </c>
      <c r="Q1597" s="86">
        <v>0</v>
      </c>
      <c r="R1597" s="87">
        <f t="shared" si="436"/>
        <v>0</v>
      </c>
      <c r="T1597" s="87">
        <v>0</v>
      </c>
      <c r="U1597" s="89"/>
      <c r="V1597" s="89">
        <v>0</v>
      </c>
      <c r="W1597" s="90"/>
      <c r="X1597" s="90">
        <v>0</v>
      </c>
      <c r="Y1597" s="90">
        <v>13776697.499999994</v>
      </c>
      <c r="Z1597" s="90">
        <v>0</v>
      </c>
      <c r="AA1597" s="90">
        <v>0</v>
      </c>
      <c r="AB1597" s="89">
        <f t="shared" si="437"/>
        <v>0</v>
      </c>
      <c r="AC1597" s="89">
        <f t="shared" si="438"/>
        <v>0</v>
      </c>
      <c r="AD1597" s="89">
        <f t="shared" si="439"/>
        <v>0</v>
      </c>
      <c r="AE1597" s="90">
        <f t="shared" si="440"/>
        <v>0</v>
      </c>
      <c r="AF1597" s="90" t="str">
        <f t="shared" si="441"/>
        <v/>
      </c>
      <c r="AG1597" s="90">
        <f t="shared" si="442"/>
        <v>0</v>
      </c>
      <c r="AH1597" s="90" t="str">
        <f t="shared" si="443"/>
        <v/>
      </c>
      <c r="AI1597" s="90">
        <f t="shared" si="444"/>
        <v>0</v>
      </c>
      <c r="AJ1597" s="90" t="str">
        <f t="shared" si="445"/>
        <v/>
      </c>
      <c r="AK1597" s="90" t="str">
        <f t="shared" si="446"/>
        <v/>
      </c>
      <c r="AL1597" s="91">
        <f>IF(AK1597="Adjust",(_xlfn.XLOOKUP(A1597,'Adj factor'!A:A,'Adj factor'!I:I,,0)*AI1597),'Master DataSheet'!AI1597)</f>
        <v>0</v>
      </c>
      <c r="AM1597" s="91">
        <f t="shared" si="447"/>
        <v>0</v>
      </c>
      <c r="AN1597" s="92" t="str">
        <f t="shared" si="448"/>
        <v>No change</v>
      </c>
      <c r="AS1597" s="94">
        <f t="shared" si="449"/>
        <v>0</v>
      </c>
      <c r="AT1597" s="94">
        <f t="shared" si="450"/>
        <v>0</v>
      </c>
      <c r="AU1597" s="94">
        <f t="shared" si="451"/>
        <v>0</v>
      </c>
    </row>
    <row r="1598" spans="1:47" x14ac:dyDescent="0.3">
      <c r="A1598" s="85" t="str">
        <f>_xlfn.XLOOKUP(B1598,'Country codes &amp; Data sources'!G:G,'Country codes &amp; Data sources'!H:H,,0)</f>
        <v>Rwanda</v>
      </c>
      <c r="B1598" s="85" t="s">
        <v>183</v>
      </c>
      <c r="C1598" s="85">
        <v>10840340</v>
      </c>
      <c r="D1598" s="85" t="s">
        <v>332</v>
      </c>
      <c r="E1598" s="86">
        <v>0</v>
      </c>
      <c r="F1598" s="86">
        <v>11101349.499999996</v>
      </c>
      <c r="G1598" s="86">
        <v>622</v>
      </c>
      <c r="H1598" s="86"/>
      <c r="I1598" s="86">
        <v>692</v>
      </c>
      <c r="J1598" s="86"/>
      <c r="K1598" s="86">
        <v>868</v>
      </c>
      <c r="L1598" s="86"/>
      <c r="M1598" s="86">
        <v>1070</v>
      </c>
      <c r="N1598" s="86"/>
      <c r="O1598" s="86">
        <v>2144</v>
      </c>
      <c r="P1598" s="86">
        <v>12531807.499999998</v>
      </c>
      <c r="Q1598" s="86">
        <v>1471</v>
      </c>
      <c r="R1598" s="87">
        <f t="shared" si="436"/>
        <v>1471</v>
      </c>
      <c r="T1598" s="87">
        <v>1561</v>
      </c>
      <c r="U1598" s="89"/>
      <c r="V1598" s="89">
        <v>0</v>
      </c>
      <c r="W1598" s="90"/>
      <c r="X1598" s="90">
        <v>0</v>
      </c>
      <c r="Y1598" s="90">
        <v>13776697.499999994</v>
      </c>
      <c r="Z1598" s="113">
        <v>1990</v>
      </c>
      <c r="AA1598" s="90">
        <v>1207</v>
      </c>
      <c r="AB1598" s="89">
        <f t="shared" si="437"/>
        <v>868</v>
      </c>
      <c r="AC1598" s="89">
        <f t="shared" si="438"/>
        <v>2144</v>
      </c>
      <c r="AD1598" s="89">
        <f t="shared" si="439"/>
        <v>1990</v>
      </c>
      <c r="AE1598" s="90">
        <f t="shared" si="440"/>
        <v>622</v>
      </c>
      <c r="AF1598" s="90">
        <f t="shared" si="441"/>
        <v>2013</v>
      </c>
      <c r="AG1598" s="90">
        <f t="shared" si="442"/>
        <v>1471</v>
      </c>
      <c r="AH1598" s="90">
        <f t="shared" si="443"/>
        <v>2018</v>
      </c>
      <c r="AI1598" s="90">
        <f t="shared" si="444"/>
        <v>1990</v>
      </c>
      <c r="AJ1598" s="90">
        <f t="shared" si="445"/>
        <v>2022</v>
      </c>
      <c r="AK1598" s="90" t="str">
        <f t="shared" si="446"/>
        <v/>
      </c>
      <c r="AL1598" s="91">
        <f>IF(AK1598="Adjust",(_xlfn.XLOOKUP(A1598,'Adj factor'!A:A,'Adj factor'!I:I,,0)*AI1598),'Master DataSheet'!AI1598)</f>
        <v>1990</v>
      </c>
      <c r="AM1598" s="91">
        <f t="shared" si="447"/>
        <v>1990</v>
      </c>
      <c r="AN1598" s="92" t="str">
        <f t="shared" si="448"/>
        <v>Increasing</v>
      </c>
      <c r="AS1598" s="94">
        <f t="shared" si="449"/>
        <v>0.56029224194770211</v>
      </c>
      <c r="AT1598" s="94">
        <f t="shared" si="450"/>
        <v>1.1738131151471967</v>
      </c>
      <c r="AU1598" s="94">
        <f t="shared" si="451"/>
        <v>1.4444680954924072</v>
      </c>
    </row>
    <row r="1599" spans="1:47" x14ac:dyDescent="0.3">
      <c r="A1599" s="85" t="str">
        <f>_xlfn.XLOOKUP(B1599,'Country codes &amp; Data sources'!G:G,'Country codes &amp; Data sources'!H:H,,0)</f>
        <v>Rwanda</v>
      </c>
      <c r="B1599" s="85" t="s">
        <v>183</v>
      </c>
      <c r="C1599" s="85">
        <v>10840341</v>
      </c>
      <c r="D1599" s="85" t="s">
        <v>333</v>
      </c>
      <c r="E1599" s="86">
        <v>0</v>
      </c>
      <c r="F1599" s="86">
        <v>11101349.499999996</v>
      </c>
      <c r="G1599" s="86">
        <v>622</v>
      </c>
      <c r="H1599" s="86"/>
      <c r="I1599" s="86">
        <v>0</v>
      </c>
      <c r="J1599" s="86"/>
      <c r="K1599" s="86">
        <v>0</v>
      </c>
      <c r="L1599" s="86"/>
      <c r="M1599" s="86">
        <v>0</v>
      </c>
      <c r="N1599" s="86"/>
      <c r="O1599" s="86">
        <v>0</v>
      </c>
      <c r="P1599" s="86">
        <v>12531807.499999998</v>
      </c>
      <c r="Q1599" s="86">
        <v>0</v>
      </c>
      <c r="R1599" s="87">
        <f t="shared" si="436"/>
        <v>1207</v>
      </c>
      <c r="T1599" s="87">
        <v>0</v>
      </c>
      <c r="U1599" s="89"/>
      <c r="V1599" s="89">
        <v>0</v>
      </c>
      <c r="W1599" s="90"/>
      <c r="X1599" s="90">
        <v>0</v>
      </c>
      <c r="Y1599" s="90">
        <v>13776697.499999994</v>
      </c>
      <c r="Z1599" s="90">
        <v>0</v>
      </c>
      <c r="AA1599" s="90">
        <v>1207</v>
      </c>
      <c r="AB1599" s="89">
        <f t="shared" si="437"/>
        <v>622</v>
      </c>
      <c r="AC1599" s="89">
        <f t="shared" si="438"/>
        <v>0</v>
      </c>
      <c r="AD1599" s="89">
        <f t="shared" si="439"/>
        <v>0</v>
      </c>
      <c r="AE1599" s="90">
        <f t="shared" si="440"/>
        <v>622</v>
      </c>
      <c r="AF1599" s="90">
        <f t="shared" si="441"/>
        <v>2013</v>
      </c>
      <c r="AG1599" s="90">
        <f t="shared" si="442"/>
        <v>1207</v>
      </c>
      <c r="AH1599" s="90" t="str">
        <f t="shared" si="443"/>
        <v>2018 (triag)</v>
      </c>
      <c r="AI1599" s="90">
        <f t="shared" si="444"/>
        <v>1207</v>
      </c>
      <c r="AJ1599" s="90" t="str">
        <f t="shared" si="445"/>
        <v>2018 (triag)</v>
      </c>
      <c r="AK1599" s="90" t="str">
        <f t="shared" si="446"/>
        <v/>
      </c>
      <c r="AL1599" s="91">
        <f>IF(AK1599="Adjust",(_xlfn.XLOOKUP(A1599,'Adj factor'!A:A,'Adj factor'!I:I,,0)*AI1599),'Master DataSheet'!AI1599)</f>
        <v>1207</v>
      </c>
      <c r="AM1599" s="91">
        <f t="shared" si="447"/>
        <v>1207</v>
      </c>
      <c r="AN1599" s="92" t="str">
        <f t="shared" si="448"/>
        <v>No change</v>
      </c>
      <c r="AS1599" s="94">
        <f t="shared" si="449"/>
        <v>0.56029224194770211</v>
      </c>
      <c r="AT1599" s="94">
        <f t="shared" si="450"/>
        <v>0.96314917062043937</v>
      </c>
      <c r="AU1599" s="94">
        <f t="shared" si="451"/>
        <v>0.87611708103484198</v>
      </c>
    </row>
    <row r="1600" spans="1:47" x14ac:dyDescent="0.3">
      <c r="A1600" s="85" t="str">
        <f>_xlfn.XLOOKUP(B1600,'Country codes &amp; Data sources'!G:G,'Country codes &amp; Data sources'!H:H,,0)</f>
        <v>Rwanda</v>
      </c>
      <c r="B1600" s="85" t="s">
        <v>183</v>
      </c>
      <c r="C1600" s="85">
        <v>10840342</v>
      </c>
      <c r="D1600" s="85" t="s">
        <v>334</v>
      </c>
      <c r="E1600" s="86">
        <v>0</v>
      </c>
      <c r="F1600" s="86">
        <v>11101349.499999996</v>
      </c>
      <c r="G1600" s="86">
        <v>0</v>
      </c>
      <c r="H1600" s="86"/>
      <c r="I1600" s="86">
        <v>0</v>
      </c>
      <c r="J1600" s="86"/>
      <c r="K1600" s="86">
        <v>0</v>
      </c>
      <c r="L1600" s="86"/>
      <c r="M1600" s="86">
        <v>0</v>
      </c>
      <c r="N1600" s="86"/>
      <c r="O1600" s="86">
        <v>879</v>
      </c>
      <c r="P1600" s="86">
        <v>12531807.499999998</v>
      </c>
      <c r="Q1600" s="86">
        <v>0</v>
      </c>
      <c r="R1600" s="87">
        <f t="shared" si="436"/>
        <v>0</v>
      </c>
      <c r="T1600" s="87">
        <v>0</v>
      </c>
      <c r="U1600" s="89"/>
      <c r="V1600" s="89">
        <v>0</v>
      </c>
      <c r="W1600" s="90"/>
      <c r="X1600" s="90">
        <v>0</v>
      </c>
      <c r="Y1600" s="90">
        <v>13776697.499999994</v>
      </c>
      <c r="Z1600" s="90">
        <v>0</v>
      </c>
      <c r="AA1600" s="90">
        <v>0</v>
      </c>
      <c r="AB1600" s="89">
        <f t="shared" si="437"/>
        <v>0</v>
      </c>
      <c r="AC1600" s="89">
        <f t="shared" si="438"/>
        <v>879</v>
      </c>
      <c r="AD1600" s="89">
        <f t="shared" si="439"/>
        <v>0</v>
      </c>
      <c r="AE1600" s="90">
        <f t="shared" si="440"/>
        <v>0</v>
      </c>
      <c r="AF1600" s="90" t="str">
        <f t="shared" si="441"/>
        <v/>
      </c>
      <c r="AG1600" s="90">
        <f t="shared" si="442"/>
        <v>879</v>
      </c>
      <c r="AH1600" s="90">
        <f t="shared" si="443"/>
        <v>2017</v>
      </c>
      <c r="AI1600" s="90">
        <f t="shared" si="444"/>
        <v>879</v>
      </c>
      <c r="AJ1600" s="90">
        <f t="shared" si="445"/>
        <v>2017</v>
      </c>
      <c r="AK1600" s="90" t="str">
        <f t="shared" si="446"/>
        <v/>
      </c>
      <c r="AL1600" s="91">
        <f>IF(AK1600="Adjust",(_xlfn.XLOOKUP(A1600,'Adj factor'!A:A,'Adj factor'!I:I,,0)*AI1600),'Master DataSheet'!AI1600)</f>
        <v>879</v>
      </c>
      <c r="AM1600" s="91">
        <f t="shared" si="447"/>
        <v>879</v>
      </c>
      <c r="AN1600" s="92" t="str">
        <f t="shared" si="448"/>
        <v>No change</v>
      </c>
      <c r="AS1600" s="94">
        <f t="shared" si="449"/>
        <v>0</v>
      </c>
      <c r="AT1600" s="94">
        <f t="shared" si="450"/>
        <v>0.70141517893568039</v>
      </c>
      <c r="AU1600" s="94">
        <f t="shared" si="451"/>
        <v>0.63803389745619399</v>
      </c>
    </row>
    <row r="1601" spans="1:47" x14ac:dyDescent="0.3">
      <c r="A1601" s="85" t="str">
        <f>_xlfn.XLOOKUP(B1601,'Country codes &amp; Data sources'!G:G,'Country codes &amp; Data sources'!H:H,,0)</f>
        <v>Rwanda</v>
      </c>
      <c r="B1601" s="85" t="s">
        <v>183</v>
      </c>
      <c r="C1601" s="85">
        <v>10840343</v>
      </c>
      <c r="D1601" s="85" t="s">
        <v>335</v>
      </c>
      <c r="E1601" s="86">
        <v>0</v>
      </c>
      <c r="F1601" s="86">
        <v>11101349.499999996</v>
      </c>
      <c r="G1601" s="86">
        <v>0</v>
      </c>
      <c r="H1601" s="86"/>
      <c r="I1601" s="86">
        <v>0</v>
      </c>
      <c r="J1601" s="86"/>
      <c r="K1601" s="86">
        <v>114</v>
      </c>
      <c r="L1601" s="86"/>
      <c r="M1601" s="86">
        <v>0</v>
      </c>
      <c r="N1601" s="86"/>
      <c r="O1601" s="86">
        <v>879</v>
      </c>
      <c r="P1601" s="86">
        <v>12531807.499999998</v>
      </c>
      <c r="Q1601" s="86">
        <v>886</v>
      </c>
      <c r="R1601" s="87">
        <f t="shared" si="436"/>
        <v>886</v>
      </c>
      <c r="T1601" s="87">
        <v>0</v>
      </c>
      <c r="U1601" s="89"/>
      <c r="V1601" s="89">
        <v>0</v>
      </c>
      <c r="W1601" s="90"/>
      <c r="X1601" s="90">
        <v>0</v>
      </c>
      <c r="Y1601" s="90">
        <v>13776697.499999994</v>
      </c>
      <c r="Z1601" s="90">
        <v>0</v>
      </c>
      <c r="AA1601" s="90">
        <v>167</v>
      </c>
      <c r="AB1601" s="89">
        <f t="shared" si="437"/>
        <v>114</v>
      </c>
      <c r="AC1601" s="89">
        <f t="shared" si="438"/>
        <v>886</v>
      </c>
      <c r="AD1601" s="89">
        <f t="shared" si="439"/>
        <v>0</v>
      </c>
      <c r="AE1601" s="90">
        <f t="shared" si="440"/>
        <v>114</v>
      </c>
      <c r="AF1601" s="90">
        <f t="shared" si="441"/>
        <v>2015</v>
      </c>
      <c r="AG1601" s="90">
        <f t="shared" si="442"/>
        <v>886</v>
      </c>
      <c r="AH1601" s="90">
        <f t="shared" si="443"/>
        <v>2018</v>
      </c>
      <c r="AI1601" s="90">
        <f t="shared" si="444"/>
        <v>886</v>
      </c>
      <c r="AJ1601" s="90">
        <f t="shared" si="445"/>
        <v>2018</v>
      </c>
      <c r="AK1601" s="90" t="str">
        <f t="shared" si="446"/>
        <v/>
      </c>
      <c r="AL1601" s="91">
        <f>IF(AK1601="Adjust",(_xlfn.XLOOKUP(A1601,'Adj factor'!A:A,'Adj factor'!I:I,,0)*AI1601),'Master DataSheet'!AI1601)</f>
        <v>886</v>
      </c>
      <c r="AM1601" s="91">
        <f t="shared" si="447"/>
        <v>886</v>
      </c>
      <c r="AN1601" s="92" t="str">
        <f t="shared" si="448"/>
        <v>No change</v>
      </c>
      <c r="AS1601" s="94">
        <f t="shared" si="449"/>
        <v>0.10269021797755312</v>
      </c>
      <c r="AT1601" s="94">
        <f t="shared" si="450"/>
        <v>0.70700096534358681</v>
      </c>
      <c r="AU1601" s="94">
        <f t="shared" si="451"/>
        <v>0.64311494100817734</v>
      </c>
    </row>
    <row r="1602" spans="1:47" x14ac:dyDescent="0.3">
      <c r="A1602" s="85" t="str">
        <f>_xlfn.XLOOKUP(B1602,'Country codes &amp; Data sources'!G:G,'Country codes &amp; Data sources'!H:H,,0)</f>
        <v>Rwanda</v>
      </c>
      <c r="B1602" s="85" t="s">
        <v>183</v>
      </c>
      <c r="C1602" s="85">
        <v>10840344</v>
      </c>
      <c r="D1602" s="85" t="s">
        <v>336</v>
      </c>
      <c r="E1602" s="86">
        <v>0</v>
      </c>
      <c r="F1602" s="86">
        <v>11101349.499999996</v>
      </c>
      <c r="G1602" s="86">
        <v>0</v>
      </c>
      <c r="H1602" s="86"/>
      <c r="I1602" s="86">
        <v>0</v>
      </c>
      <c r="J1602" s="86"/>
      <c r="K1602" s="86">
        <v>0</v>
      </c>
      <c r="L1602" s="86"/>
      <c r="M1602" s="86">
        <v>0</v>
      </c>
      <c r="N1602" s="86"/>
      <c r="O1602" s="86">
        <v>201</v>
      </c>
      <c r="P1602" s="86">
        <v>12531807.499999998</v>
      </c>
      <c r="Q1602" s="86">
        <v>0</v>
      </c>
      <c r="R1602" s="87">
        <f t="shared" si="436"/>
        <v>0</v>
      </c>
      <c r="T1602" s="87">
        <v>0</v>
      </c>
      <c r="U1602" s="89"/>
      <c r="V1602" s="89">
        <v>0</v>
      </c>
      <c r="W1602" s="90"/>
      <c r="X1602" s="90">
        <v>0</v>
      </c>
      <c r="Y1602" s="90">
        <v>13776697.499999994</v>
      </c>
      <c r="Z1602" s="90">
        <v>0</v>
      </c>
      <c r="AA1602" s="90">
        <v>0</v>
      </c>
      <c r="AB1602" s="89">
        <f t="shared" si="437"/>
        <v>0</v>
      </c>
      <c r="AC1602" s="89">
        <f t="shared" si="438"/>
        <v>201</v>
      </c>
      <c r="AD1602" s="89">
        <f t="shared" si="439"/>
        <v>0</v>
      </c>
      <c r="AE1602" s="90">
        <f t="shared" si="440"/>
        <v>0</v>
      </c>
      <c r="AF1602" s="90" t="str">
        <f t="shared" si="441"/>
        <v/>
      </c>
      <c r="AG1602" s="90">
        <f t="shared" si="442"/>
        <v>201</v>
      </c>
      <c r="AH1602" s="90">
        <f t="shared" si="443"/>
        <v>2017</v>
      </c>
      <c r="AI1602" s="90">
        <f t="shared" si="444"/>
        <v>201</v>
      </c>
      <c r="AJ1602" s="90">
        <f t="shared" si="445"/>
        <v>2017</v>
      </c>
      <c r="AK1602" s="90" t="str">
        <f t="shared" si="446"/>
        <v/>
      </c>
      <c r="AL1602" s="91">
        <f>IF(AK1602="Adjust",(_xlfn.XLOOKUP(A1602,'Adj factor'!A:A,'Adj factor'!I:I,,0)*AI1602),'Master DataSheet'!AI1602)</f>
        <v>201</v>
      </c>
      <c r="AM1602" s="91">
        <f t="shared" si="447"/>
        <v>201</v>
      </c>
      <c r="AN1602" s="92" t="str">
        <f t="shared" si="448"/>
        <v>No change</v>
      </c>
      <c r="AS1602" s="94">
        <f t="shared" si="449"/>
        <v>0</v>
      </c>
      <c r="AT1602" s="94">
        <f t="shared" si="450"/>
        <v>0.16039186685559925</v>
      </c>
      <c r="AU1602" s="94">
        <f t="shared" si="451"/>
        <v>0.14589853627837882</v>
      </c>
    </row>
    <row r="1603" spans="1:47" x14ac:dyDescent="0.3">
      <c r="A1603" s="85" t="str">
        <f>_xlfn.XLOOKUP(B1603,'Country codes &amp; Data sources'!G:G,'Country codes &amp; Data sources'!H:H,,0)</f>
        <v>Rwanda</v>
      </c>
      <c r="B1603" s="85" t="s">
        <v>183</v>
      </c>
      <c r="C1603" s="85">
        <v>10840345</v>
      </c>
      <c r="D1603" s="85" t="s">
        <v>337</v>
      </c>
      <c r="E1603" s="86">
        <v>0</v>
      </c>
      <c r="F1603" s="86">
        <v>11101349.499999996</v>
      </c>
      <c r="G1603" s="86">
        <v>0</v>
      </c>
      <c r="H1603" s="86"/>
      <c r="I1603" s="86">
        <v>0</v>
      </c>
      <c r="J1603" s="86"/>
      <c r="K1603" s="86">
        <v>127</v>
      </c>
      <c r="L1603" s="86"/>
      <c r="M1603" s="86">
        <v>0</v>
      </c>
      <c r="N1603" s="86"/>
      <c r="O1603" s="86">
        <v>236</v>
      </c>
      <c r="P1603" s="86">
        <v>12531807.499999998</v>
      </c>
      <c r="Q1603" s="86">
        <v>228</v>
      </c>
      <c r="R1603" s="87">
        <f t="shared" si="436"/>
        <v>228</v>
      </c>
      <c r="T1603" s="87">
        <v>0</v>
      </c>
      <c r="U1603" s="89"/>
      <c r="V1603" s="89">
        <v>0</v>
      </c>
      <c r="W1603" s="90"/>
      <c r="X1603" s="90">
        <v>0</v>
      </c>
      <c r="Y1603" s="90">
        <v>13776697.499999994</v>
      </c>
      <c r="Z1603" s="113">
        <v>236</v>
      </c>
      <c r="AA1603" s="90">
        <v>228</v>
      </c>
      <c r="AB1603" s="89">
        <f t="shared" si="437"/>
        <v>127</v>
      </c>
      <c r="AC1603" s="89">
        <f t="shared" si="438"/>
        <v>236</v>
      </c>
      <c r="AD1603" s="89">
        <f t="shared" si="439"/>
        <v>236</v>
      </c>
      <c r="AE1603" s="90">
        <f t="shared" si="440"/>
        <v>127</v>
      </c>
      <c r="AF1603" s="90">
        <f t="shared" si="441"/>
        <v>2015</v>
      </c>
      <c r="AG1603" s="90">
        <f t="shared" si="442"/>
        <v>228</v>
      </c>
      <c r="AH1603" s="90">
        <f t="shared" si="443"/>
        <v>2018</v>
      </c>
      <c r="AI1603" s="90">
        <f t="shared" si="444"/>
        <v>236</v>
      </c>
      <c r="AJ1603" s="90">
        <f t="shared" si="445"/>
        <v>2022</v>
      </c>
      <c r="AK1603" s="90" t="str">
        <f t="shared" si="446"/>
        <v/>
      </c>
      <c r="AL1603" s="91">
        <f>IF(AK1603="Adjust",(_xlfn.XLOOKUP(A1603,'Adj factor'!A:A,'Adj factor'!I:I,,0)*AI1603),'Master DataSheet'!AI1603)</f>
        <v>236</v>
      </c>
      <c r="AM1603" s="91">
        <f t="shared" si="447"/>
        <v>236</v>
      </c>
      <c r="AN1603" s="92" t="str">
        <f t="shared" si="448"/>
        <v>Increasing</v>
      </c>
      <c r="AS1603" s="94">
        <f t="shared" si="449"/>
        <v>0.11440050599253725</v>
      </c>
      <c r="AT1603" s="94">
        <f t="shared" si="450"/>
        <v>0.18193704300038124</v>
      </c>
      <c r="AU1603" s="94">
        <f t="shared" si="451"/>
        <v>0.17130375403829554</v>
      </c>
    </row>
    <row r="1604" spans="1:47" x14ac:dyDescent="0.3">
      <c r="A1604" s="85" t="str">
        <f>_xlfn.XLOOKUP(B1604,'Country codes &amp; Data sources'!G:G,'Country codes &amp; Data sources'!H:H,,0)</f>
        <v>Rwanda</v>
      </c>
      <c r="B1604" s="85" t="s">
        <v>183</v>
      </c>
      <c r="C1604" s="85">
        <v>10840346</v>
      </c>
      <c r="D1604" s="85" t="s">
        <v>338</v>
      </c>
      <c r="E1604" s="86">
        <v>0</v>
      </c>
      <c r="F1604" s="86">
        <v>11101349.499999996</v>
      </c>
      <c r="G1604" s="86">
        <v>0</v>
      </c>
      <c r="H1604" s="86"/>
      <c r="I1604" s="86">
        <v>0</v>
      </c>
      <c r="J1604" s="86"/>
      <c r="K1604" s="86">
        <v>0</v>
      </c>
      <c r="L1604" s="86"/>
      <c r="M1604" s="86">
        <v>0</v>
      </c>
      <c r="N1604" s="86"/>
      <c r="O1604" s="86">
        <v>0</v>
      </c>
      <c r="P1604" s="86">
        <v>12531807.499999998</v>
      </c>
      <c r="Q1604" s="86">
        <v>0</v>
      </c>
      <c r="R1604" s="87">
        <f t="shared" si="436"/>
        <v>0</v>
      </c>
      <c r="T1604" s="87">
        <v>0</v>
      </c>
      <c r="U1604" s="89"/>
      <c r="V1604" s="89">
        <v>0</v>
      </c>
      <c r="W1604" s="90"/>
      <c r="X1604" s="90">
        <v>0</v>
      </c>
      <c r="Y1604" s="90">
        <v>13776697.499999994</v>
      </c>
      <c r="Z1604" s="90">
        <v>0</v>
      </c>
      <c r="AA1604" s="90">
        <v>0</v>
      </c>
      <c r="AB1604" s="89">
        <f t="shared" si="437"/>
        <v>0</v>
      </c>
      <c r="AC1604" s="89">
        <f t="shared" si="438"/>
        <v>0</v>
      </c>
      <c r="AD1604" s="89">
        <f t="shared" si="439"/>
        <v>0</v>
      </c>
      <c r="AE1604" s="90">
        <f t="shared" si="440"/>
        <v>0</v>
      </c>
      <c r="AF1604" s="90" t="str">
        <f t="shared" si="441"/>
        <v/>
      </c>
      <c r="AG1604" s="90">
        <f t="shared" si="442"/>
        <v>0</v>
      </c>
      <c r="AH1604" s="90" t="str">
        <f t="shared" si="443"/>
        <v/>
      </c>
      <c r="AI1604" s="90">
        <f t="shared" si="444"/>
        <v>0</v>
      </c>
      <c r="AJ1604" s="90" t="str">
        <f t="shared" si="445"/>
        <v/>
      </c>
      <c r="AK1604" s="90" t="str">
        <f t="shared" si="446"/>
        <v/>
      </c>
      <c r="AL1604" s="91">
        <f>IF(AK1604="Adjust",(_xlfn.XLOOKUP(A1604,'Adj factor'!A:A,'Adj factor'!I:I,,0)*AI1604),'Master DataSheet'!AI1604)</f>
        <v>0</v>
      </c>
      <c r="AM1604" s="91">
        <f t="shared" si="447"/>
        <v>0</v>
      </c>
      <c r="AN1604" s="92" t="str">
        <f t="shared" si="448"/>
        <v>No change</v>
      </c>
      <c r="AS1604" s="94">
        <f t="shared" si="449"/>
        <v>0</v>
      </c>
      <c r="AT1604" s="94">
        <f t="shared" si="450"/>
        <v>0</v>
      </c>
      <c r="AU1604" s="94">
        <f t="shared" si="451"/>
        <v>0</v>
      </c>
    </row>
    <row r="1605" spans="1:47" x14ac:dyDescent="0.3">
      <c r="A1605" s="85" t="str">
        <f>_xlfn.XLOOKUP(B1605,'Country codes &amp; Data sources'!G:G,'Country codes &amp; Data sources'!H:H,,0)</f>
        <v>Rwanda</v>
      </c>
      <c r="B1605" s="85" t="s">
        <v>183</v>
      </c>
      <c r="C1605" s="85">
        <v>10840347</v>
      </c>
      <c r="D1605" s="85" t="s">
        <v>339</v>
      </c>
      <c r="E1605" s="86">
        <v>0</v>
      </c>
      <c r="F1605" s="86">
        <v>11101349.499999996</v>
      </c>
      <c r="G1605" s="86">
        <v>0</v>
      </c>
      <c r="H1605" s="86"/>
      <c r="I1605" s="86">
        <v>0</v>
      </c>
      <c r="J1605" s="86"/>
      <c r="K1605" s="86">
        <v>0</v>
      </c>
      <c r="L1605" s="86"/>
      <c r="M1605" s="86">
        <v>0</v>
      </c>
      <c r="N1605" s="86"/>
      <c r="O1605" s="86">
        <v>0</v>
      </c>
      <c r="P1605" s="86">
        <v>12531807.499999998</v>
      </c>
      <c r="Q1605" s="86">
        <v>310</v>
      </c>
      <c r="R1605" s="87">
        <f t="shared" si="436"/>
        <v>310</v>
      </c>
      <c r="T1605" s="87">
        <v>0</v>
      </c>
      <c r="U1605" s="89"/>
      <c r="V1605" s="89">
        <v>0</v>
      </c>
      <c r="W1605" s="90"/>
      <c r="X1605" s="90">
        <v>0</v>
      </c>
      <c r="Y1605" s="90">
        <v>13776697.499999994</v>
      </c>
      <c r="Z1605" s="90">
        <v>0</v>
      </c>
      <c r="AA1605" s="90">
        <v>0</v>
      </c>
      <c r="AB1605" s="89">
        <f t="shared" si="437"/>
        <v>0</v>
      </c>
      <c r="AC1605" s="89">
        <f t="shared" si="438"/>
        <v>310</v>
      </c>
      <c r="AD1605" s="89">
        <f t="shared" si="439"/>
        <v>0</v>
      </c>
      <c r="AE1605" s="90">
        <f t="shared" si="440"/>
        <v>0</v>
      </c>
      <c r="AF1605" s="90" t="str">
        <f t="shared" si="441"/>
        <v/>
      </c>
      <c r="AG1605" s="90">
        <f t="shared" si="442"/>
        <v>310</v>
      </c>
      <c r="AH1605" s="90">
        <f t="shared" si="443"/>
        <v>2018</v>
      </c>
      <c r="AI1605" s="90">
        <f t="shared" si="444"/>
        <v>310</v>
      </c>
      <c r="AJ1605" s="90">
        <f t="shared" si="445"/>
        <v>2018</v>
      </c>
      <c r="AK1605" s="90" t="str">
        <f t="shared" si="446"/>
        <v/>
      </c>
      <c r="AL1605" s="91">
        <f>IF(AK1605="Adjust",(_xlfn.XLOOKUP(A1605,'Adj factor'!A:A,'Adj factor'!I:I,,0)*AI1605),'Master DataSheet'!AI1605)</f>
        <v>310</v>
      </c>
      <c r="AM1605" s="91">
        <f t="shared" si="447"/>
        <v>310</v>
      </c>
      <c r="AN1605" s="92" t="str">
        <f t="shared" si="448"/>
        <v>No change</v>
      </c>
      <c r="AS1605" s="94">
        <f t="shared" si="449"/>
        <v>0</v>
      </c>
      <c r="AT1605" s="94">
        <f t="shared" si="450"/>
        <v>0.24737054092157101</v>
      </c>
      <c r="AU1605" s="94">
        <f t="shared" si="451"/>
        <v>0.22501764301640514</v>
      </c>
    </row>
    <row r="1606" spans="1:47" x14ac:dyDescent="0.3">
      <c r="A1606" s="85" t="str">
        <f>_xlfn.XLOOKUP(B1606,'Country codes &amp; Data sources'!G:G,'Country codes &amp; Data sources'!H:H,,0)</f>
        <v>Senegal</v>
      </c>
      <c r="B1606" s="85" t="s">
        <v>184</v>
      </c>
      <c r="C1606" s="85">
        <v>13231833.000000002</v>
      </c>
      <c r="D1606" s="85" t="s">
        <v>326</v>
      </c>
      <c r="E1606" s="86">
        <v>0</v>
      </c>
      <c r="F1606" s="86">
        <v>13595565.499999993</v>
      </c>
      <c r="G1606" s="86">
        <v>0</v>
      </c>
      <c r="H1606" s="86">
        <v>13970307.499999993</v>
      </c>
      <c r="I1606" s="86">
        <v>0</v>
      </c>
      <c r="J1606" s="86">
        <v>14356180.500000004</v>
      </c>
      <c r="K1606" s="86">
        <v>0</v>
      </c>
      <c r="L1606" s="86">
        <v>14751356.499999994</v>
      </c>
      <c r="M1606" s="86">
        <v>1154</v>
      </c>
      <c r="N1606" s="86">
        <v>15157793.000000006</v>
      </c>
      <c r="O1606" s="86">
        <v>1066</v>
      </c>
      <c r="P1606" s="86">
        <v>15574908.999999998</v>
      </c>
      <c r="Q1606" s="86">
        <v>0</v>
      </c>
      <c r="R1606" s="87">
        <f t="shared" si="436"/>
        <v>2883</v>
      </c>
      <c r="S1606" s="87">
        <v>16000781.500000006</v>
      </c>
      <c r="T1606" s="87">
        <v>1435</v>
      </c>
      <c r="U1606" s="89">
        <v>16436119.999999993</v>
      </c>
      <c r="V1606" s="89">
        <v>1384</v>
      </c>
      <c r="W1606" s="90">
        <v>16876719.999999996</v>
      </c>
      <c r="X1606" s="90">
        <v>1707</v>
      </c>
      <c r="Y1606" s="90">
        <v>17316449</v>
      </c>
      <c r="Z1606" s="90">
        <v>2188</v>
      </c>
      <c r="AA1606" s="90">
        <v>2883</v>
      </c>
      <c r="AB1606" s="89">
        <f t="shared" si="437"/>
        <v>0</v>
      </c>
      <c r="AC1606" s="89">
        <f t="shared" si="438"/>
        <v>1435</v>
      </c>
      <c r="AD1606" s="89">
        <f t="shared" si="439"/>
        <v>2188</v>
      </c>
      <c r="AE1606" s="90">
        <f t="shared" si="440"/>
        <v>0</v>
      </c>
      <c r="AF1606" s="90" t="str">
        <f t="shared" si="441"/>
        <v/>
      </c>
      <c r="AG1606" s="90">
        <f t="shared" si="442"/>
        <v>2883</v>
      </c>
      <c r="AH1606" s="90" t="str">
        <f t="shared" si="443"/>
        <v>2018 (triag)</v>
      </c>
      <c r="AI1606" s="90">
        <f t="shared" si="444"/>
        <v>2188</v>
      </c>
      <c r="AJ1606" s="90">
        <f t="shared" si="445"/>
        <v>2022</v>
      </c>
      <c r="AK1606" s="90" t="str">
        <f t="shared" si="446"/>
        <v>Adjust</v>
      </c>
      <c r="AL1606" s="91">
        <f>IF(AK1606="Adjust",(_xlfn.XLOOKUP(A1606,'Adj factor'!A:A,'Adj factor'!I:I,,0)*AI1606),'Master DataSheet'!AI1606)</f>
        <v>2560.8623058327948</v>
      </c>
      <c r="AM1606" s="91">
        <f t="shared" si="447"/>
        <v>2883</v>
      </c>
      <c r="AN1606" s="92" t="str">
        <f t="shared" si="448"/>
        <v>Decreasing</v>
      </c>
      <c r="AS1606" s="94">
        <f t="shared" si="449"/>
        <v>0</v>
      </c>
      <c r="AT1606" s="94">
        <f t="shared" si="450"/>
        <v>1.8510541538316534</v>
      </c>
      <c r="AU1606" s="94">
        <f t="shared" si="451"/>
        <v>1.6648909946837254</v>
      </c>
    </row>
    <row r="1607" spans="1:47" x14ac:dyDescent="0.3">
      <c r="A1607" s="85" t="str">
        <f>_xlfn.XLOOKUP(B1607,'Country codes &amp; Data sources'!G:G,'Country codes &amp; Data sources'!H:H,,0)</f>
        <v>Senegal</v>
      </c>
      <c r="B1607" s="85" t="s">
        <v>184</v>
      </c>
      <c r="C1607" s="85">
        <v>13231834</v>
      </c>
      <c r="D1607" s="85" t="s">
        <v>327</v>
      </c>
      <c r="E1607" s="86">
        <v>0</v>
      </c>
      <c r="F1607" s="86">
        <v>13595565.499999993</v>
      </c>
      <c r="G1607" s="86">
        <v>0</v>
      </c>
      <c r="H1607" s="86"/>
      <c r="I1607" s="86">
        <v>0</v>
      </c>
      <c r="J1607" s="86"/>
      <c r="K1607" s="86">
        <v>0</v>
      </c>
      <c r="L1607" s="86"/>
      <c r="M1607" s="86">
        <v>267</v>
      </c>
      <c r="N1607" s="86"/>
      <c r="O1607" s="86">
        <v>0</v>
      </c>
      <c r="P1607" s="86">
        <v>15574908.999999998</v>
      </c>
      <c r="Q1607" s="86">
        <v>0</v>
      </c>
      <c r="R1607" s="87">
        <f t="shared" si="436"/>
        <v>676</v>
      </c>
      <c r="T1607" s="87">
        <v>353</v>
      </c>
      <c r="U1607" s="89"/>
      <c r="V1607" s="89">
        <v>308</v>
      </c>
      <c r="W1607" s="90"/>
      <c r="X1607" s="90">
        <v>487</v>
      </c>
      <c r="Y1607" s="90">
        <v>17316449</v>
      </c>
      <c r="Z1607" s="90">
        <v>703</v>
      </c>
      <c r="AA1607" s="90">
        <v>676</v>
      </c>
      <c r="AB1607" s="89">
        <f t="shared" si="437"/>
        <v>0</v>
      </c>
      <c r="AC1607" s="89">
        <f t="shared" si="438"/>
        <v>353</v>
      </c>
      <c r="AD1607" s="89">
        <f t="shared" si="439"/>
        <v>703</v>
      </c>
      <c r="AE1607" s="90">
        <f t="shared" si="440"/>
        <v>0</v>
      </c>
      <c r="AF1607" s="90" t="str">
        <f t="shared" si="441"/>
        <v/>
      </c>
      <c r="AG1607" s="90">
        <f t="shared" si="442"/>
        <v>676</v>
      </c>
      <c r="AH1607" s="90" t="str">
        <f t="shared" si="443"/>
        <v>2018 (triag)</v>
      </c>
      <c r="AI1607" s="90">
        <f t="shared" si="444"/>
        <v>703</v>
      </c>
      <c r="AJ1607" s="90">
        <f t="shared" si="445"/>
        <v>2022</v>
      </c>
      <c r="AK1607" s="90" t="str">
        <f t="shared" si="446"/>
        <v/>
      </c>
      <c r="AL1607" s="91">
        <f>IF(AK1607="Adjust",(_xlfn.XLOOKUP(A1607,'Adj factor'!A:A,'Adj factor'!I:I,,0)*AI1607),'Master DataSheet'!AI1607)</f>
        <v>703</v>
      </c>
      <c r="AM1607" s="91">
        <f t="shared" si="447"/>
        <v>703</v>
      </c>
      <c r="AN1607" s="92" t="str">
        <f t="shared" si="448"/>
        <v>Increasing</v>
      </c>
      <c r="AS1607" s="94">
        <f t="shared" si="449"/>
        <v>0</v>
      </c>
      <c r="AT1607" s="94">
        <f t="shared" si="450"/>
        <v>0.43403142836982234</v>
      </c>
      <c r="AU1607" s="94">
        <f t="shared" si="451"/>
        <v>0.40597237921007939</v>
      </c>
    </row>
    <row r="1608" spans="1:47" x14ac:dyDescent="0.3">
      <c r="A1608" s="85" t="str">
        <f>_xlfn.XLOOKUP(B1608,'Country codes &amp; Data sources'!G:G,'Country codes &amp; Data sources'!H:H,,0)</f>
        <v>Senegal</v>
      </c>
      <c r="B1608" s="85" t="s">
        <v>184</v>
      </c>
      <c r="C1608" s="85">
        <v>13231835</v>
      </c>
      <c r="D1608" s="85" t="s">
        <v>328</v>
      </c>
      <c r="E1608" s="86">
        <v>0</v>
      </c>
      <c r="F1608" s="86">
        <v>13595565.499999993</v>
      </c>
      <c r="G1608" s="86">
        <v>0</v>
      </c>
      <c r="H1608" s="86"/>
      <c r="I1608" s="86">
        <v>0</v>
      </c>
      <c r="J1608" s="86"/>
      <c r="K1608" s="86">
        <v>0</v>
      </c>
      <c r="L1608" s="86"/>
      <c r="M1608" s="86">
        <v>887</v>
      </c>
      <c r="N1608" s="86"/>
      <c r="O1608" s="86">
        <v>0</v>
      </c>
      <c r="P1608" s="86">
        <v>15574908.999999998</v>
      </c>
      <c r="Q1608" s="86">
        <v>0</v>
      </c>
      <c r="R1608" s="87">
        <f t="shared" si="436"/>
        <v>2207</v>
      </c>
      <c r="T1608" s="87">
        <v>1082</v>
      </c>
      <c r="U1608" s="89"/>
      <c r="V1608" s="89">
        <v>1076</v>
      </c>
      <c r="W1608" s="90"/>
      <c r="X1608" s="90">
        <v>1220</v>
      </c>
      <c r="Y1608" s="90">
        <v>17316449</v>
      </c>
      <c r="Z1608" s="90">
        <v>1485</v>
      </c>
      <c r="AA1608" s="90">
        <v>2207</v>
      </c>
      <c r="AB1608" s="89">
        <f t="shared" si="437"/>
        <v>0</v>
      </c>
      <c r="AC1608" s="89">
        <f t="shared" si="438"/>
        <v>1082</v>
      </c>
      <c r="AD1608" s="89">
        <f t="shared" si="439"/>
        <v>1485</v>
      </c>
      <c r="AE1608" s="90">
        <f t="shared" si="440"/>
        <v>0</v>
      </c>
      <c r="AF1608" s="90" t="str">
        <f t="shared" si="441"/>
        <v/>
      </c>
      <c r="AG1608" s="90">
        <f t="shared" si="442"/>
        <v>2207</v>
      </c>
      <c r="AH1608" s="90" t="str">
        <f t="shared" si="443"/>
        <v>2018 (triag)</v>
      </c>
      <c r="AI1608" s="90">
        <f t="shared" si="444"/>
        <v>1485</v>
      </c>
      <c r="AJ1608" s="90">
        <f t="shared" si="445"/>
        <v>2022</v>
      </c>
      <c r="AK1608" s="90" t="str">
        <f t="shared" si="446"/>
        <v>Adjust</v>
      </c>
      <c r="AL1608" s="91">
        <f>IF(AK1608="Adjust",(_xlfn.XLOOKUP(A1608,'Adj factor'!A:A,'Adj factor'!I:I,,0)*AI1608),'Master DataSheet'!AI1608)</f>
        <v>1738.0623967832269</v>
      </c>
      <c r="AM1608" s="91">
        <f t="shared" si="447"/>
        <v>2207</v>
      </c>
      <c r="AN1608" s="92" t="str">
        <f t="shared" si="448"/>
        <v>Decreasing</v>
      </c>
      <c r="AS1608" s="94">
        <f t="shared" si="449"/>
        <v>0</v>
      </c>
      <c r="AT1608" s="94">
        <f t="shared" si="450"/>
        <v>1.4170227254618311</v>
      </c>
      <c r="AU1608" s="94">
        <f t="shared" si="451"/>
        <v>1.2745107267662095</v>
      </c>
    </row>
    <row r="1609" spans="1:47" x14ac:dyDescent="0.3">
      <c r="A1609" s="85" t="str">
        <f>_xlfn.XLOOKUP(B1609,'Country codes &amp; Data sources'!G:G,'Country codes &amp; Data sources'!H:H,,0)</f>
        <v>Senegal</v>
      </c>
      <c r="B1609" s="85" t="s">
        <v>184</v>
      </c>
      <c r="C1609" s="85">
        <v>13231836</v>
      </c>
      <c r="D1609" s="85" t="s">
        <v>329</v>
      </c>
      <c r="E1609" s="86">
        <v>0</v>
      </c>
      <c r="F1609" s="86">
        <v>13595565.499999993</v>
      </c>
      <c r="G1609" s="86">
        <v>0</v>
      </c>
      <c r="H1609" s="86"/>
      <c r="I1609" s="86">
        <v>0</v>
      </c>
      <c r="J1609" s="86"/>
      <c r="K1609" s="86">
        <v>1682</v>
      </c>
      <c r="L1609" s="86"/>
      <c r="M1609" s="86">
        <v>2490</v>
      </c>
      <c r="N1609" s="86"/>
      <c r="O1609" s="86">
        <v>2820</v>
      </c>
      <c r="P1609" s="86">
        <v>15574908.999999998</v>
      </c>
      <c r="Q1609" s="86">
        <v>0</v>
      </c>
      <c r="R1609" s="87">
        <f t="shared" si="436"/>
        <v>4577</v>
      </c>
      <c r="T1609" s="87">
        <v>6151</v>
      </c>
      <c r="U1609" s="89"/>
      <c r="V1609" s="89">
        <v>3800</v>
      </c>
      <c r="W1609" s="90"/>
      <c r="X1609" s="90">
        <v>6477</v>
      </c>
      <c r="Y1609" s="90">
        <v>17316449</v>
      </c>
      <c r="Z1609" s="90">
        <v>4737</v>
      </c>
      <c r="AA1609" s="90">
        <v>4577</v>
      </c>
      <c r="AB1609" s="89">
        <f t="shared" si="437"/>
        <v>1682</v>
      </c>
      <c r="AC1609" s="89">
        <f t="shared" si="438"/>
        <v>6151</v>
      </c>
      <c r="AD1609" s="89">
        <f t="shared" si="439"/>
        <v>6477</v>
      </c>
      <c r="AE1609" s="90">
        <f t="shared" si="440"/>
        <v>1682</v>
      </c>
      <c r="AF1609" s="90">
        <f t="shared" si="441"/>
        <v>2015</v>
      </c>
      <c r="AG1609" s="90">
        <f t="shared" si="442"/>
        <v>4577</v>
      </c>
      <c r="AH1609" s="90" t="str">
        <f t="shared" si="443"/>
        <v>2018 (triag)</v>
      </c>
      <c r="AI1609" s="90">
        <f t="shared" si="444"/>
        <v>4737</v>
      </c>
      <c r="AJ1609" s="90">
        <f t="shared" si="445"/>
        <v>2022</v>
      </c>
      <c r="AK1609" s="90" t="str">
        <f t="shared" si="446"/>
        <v/>
      </c>
      <c r="AL1609" s="91">
        <f>IF(AK1609="Adjust",(_xlfn.XLOOKUP(A1609,'Adj factor'!A:A,'Adj factor'!I:I,,0)*AI1609),'Master DataSheet'!AI1609)</f>
        <v>4737</v>
      </c>
      <c r="AM1609" s="91">
        <f t="shared" si="447"/>
        <v>4737</v>
      </c>
      <c r="AN1609" s="92" t="str">
        <f t="shared" si="448"/>
        <v>Increasing</v>
      </c>
      <c r="AS1609" s="94">
        <f t="shared" si="449"/>
        <v>1.2371681045558576</v>
      </c>
      <c r="AT1609" s="94">
        <f t="shared" si="450"/>
        <v>2.9387009580601728</v>
      </c>
      <c r="AU1609" s="94">
        <f t="shared" si="451"/>
        <v>2.7355493034397527</v>
      </c>
    </row>
    <row r="1610" spans="1:47" x14ac:dyDescent="0.3">
      <c r="A1610" s="85" t="str">
        <f>_xlfn.XLOOKUP(B1610,'Country codes &amp; Data sources'!G:G,'Country codes &amp; Data sources'!H:H,,0)</f>
        <v>Senegal</v>
      </c>
      <c r="B1610" s="85" t="s">
        <v>184</v>
      </c>
      <c r="C1610" s="85">
        <v>13231837</v>
      </c>
      <c r="D1610" s="85" t="s">
        <v>330</v>
      </c>
      <c r="E1610" s="86">
        <v>0</v>
      </c>
      <c r="F1610" s="86">
        <v>13595565.499999993</v>
      </c>
      <c r="G1610" s="86">
        <v>0</v>
      </c>
      <c r="H1610" s="86"/>
      <c r="I1610" s="86">
        <v>0</v>
      </c>
      <c r="J1610" s="86"/>
      <c r="K1610" s="86">
        <v>1020</v>
      </c>
      <c r="L1610" s="86"/>
      <c r="M1610" s="86">
        <v>1445</v>
      </c>
      <c r="N1610" s="86"/>
      <c r="O1610" s="86">
        <v>1727</v>
      </c>
      <c r="P1610" s="86">
        <v>15574908.999999998</v>
      </c>
      <c r="Q1610" s="86">
        <v>0</v>
      </c>
      <c r="R1610" s="87">
        <f t="shared" si="436"/>
        <v>3231</v>
      </c>
      <c r="T1610" s="87">
        <v>3093</v>
      </c>
      <c r="U1610" s="89"/>
      <c r="V1610" s="89">
        <v>3295</v>
      </c>
      <c r="W1610" s="90"/>
      <c r="X1610" s="90">
        <v>2523</v>
      </c>
      <c r="Y1610" s="90">
        <v>17316449</v>
      </c>
      <c r="Z1610" s="90">
        <v>2769</v>
      </c>
      <c r="AA1610" s="90">
        <v>3231</v>
      </c>
      <c r="AB1610" s="89">
        <f t="shared" si="437"/>
        <v>1020</v>
      </c>
      <c r="AC1610" s="89">
        <f t="shared" si="438"/>
        <v>3093</v>
      </c>
      <c r="AD1610" s="89">
        <f t="shared" si="439"/>
        <v>3295</v>
      </c>
      <c r="AE1610" s="90">
        <f t="shared" si="440"/>
        <v>1020</v>
      </c>
      <c r="AF1610" s="90">
        <f t="shared" si="441"/>
        <v>2015</v>
      </c>
      <c r="AG1610" s="90">
        <f t="shared" si="442"/>
        <v>3231</v>
      </c>
      <c r="AH1610" s="90" t="str">
        <f t="shared" si="443"/>
        <v>2018 (triag)</v>
      </c>
      <c r="AI1610" s="90">
        <f t="shared" si="444"/>
        <v>2769</v>
      </c>
      <c r="AJ1610" s="90">
        <f t="shared" si="445"/>
        <v>2022</v>
      </c>
      <c r="AK1610" s="90" t="str">
        <f t="shared" si="446"/>
        <v>Adjust</v>
      </c>
      <c r="AL1610" s="91">
        <f>IF(AK1610="Adjust",(_xlfn.XLOOKUP(A1610,'Adj factor'!A:A,'Adj factor'!I:I,,0)*AI1610),'Master DataSheet'!AI1610)</f>
        <v>3240.8719034968049</v>
      </c>
      <c r="AM1610" s="91">
        <f t="shared" si="447"/>
        <v>3240.8719034968049</v>
      </c>
      <c r="AN1610" s="92" t="str">
        <f t="shared" si="448"/>
        <v>Increasing</v>
      </c>
      <c r="AS1610" s="94">
        <f t="shared" si="449"/>
        <v>0.75024462939772574</v>
      </c>
      <c r="AT1610" s="94">
        <f t="shared" si="450"/>
        <v>2.074490451276473</v>
      </c>
      <c r="AU1610" s="94">
        <f t="shared" si="451"/>
        <v>1.8715568668246041</v>
      </c>
    </row>
    <row r="1611" spans="1:47" x14ac:dyDescent="0.3">
      <c r="A1611" s="85" t="str">
        <f>_xlfn.XLOOKUP(B1611,'Country codes &amp; Data sources'!G:G,'Country codes &amp; Data sources'!H:H,,0)</f>
        <v>Senegal</v>
      </c>
      <c r="B1611" s="85" t="s">
        <v>184</v>
      </c>
      <c r="C1611" s="85">
        <v>13231838</v>
      </c>
      <c r="D1611" s="85" t="s">
        <v>331</v>
      </c>
      <c r="E1611" s="86">
        <v>0</v>
      </c>
      <c r="F1611" s="86">
        <v>13595565.499999993</v>
      </c>
      <c r="G1611" s="86">
        <v>0</v>
      </c>
      <c r="H1611" s="86"/>
      <c r="I1611" s="86">
        <v>0</v>
      </c>
      <c r="J1611" s="86"/>
      <c r="K1611" s="86">
        <v>662</v>
      </c>
      <c r="L1611" s="86"/>
      <c r="M1611" s="86">
        <v>1045</v>
      </c>
      <c r="N1611" s="86"/>
      <c r="O1611" s="86">
        <v>1093</v>
      </c>
      <c r="P1611" s="86">
        <v>15574908.999999998</v>
      </c>
      <c r="Q1611" s="86">
        <v>0</v>
      </c>
      <c r="R1611" s="87">
        <f t="shared" si="436"/>
        <v>1346</v>
      </c>
      <c r="T1611" s="87">
        <v>3058</v>
      </c>
      <c r="U1611" s="89"/>
      <c r="V1611" s="89">
        <v>483</v>
      </c>
      <c r="W1611" s="90"/>
      <c r="X1611" s="90">
        <v>2173</v>
      </c>
      <c r="Y1611" s="90">
        <v>17316449</v>
      </c>
      <c r="Z1611" s="90">
        <v>1968</v>
      </c>
      <c r="AA1611" s="90">
        <v>1346</v>
      </c>
      <c r="AB1611" s="89">
        <f t="shared" si="437"/>
        <v>662</v>
      </c>
      <c r="AC1611" s="89">
        <f t="shared" si="438"/>
        <v>3058</v>
      </c>
      <c r="AD1611" s="89">
        <f t="shared" si="439"/>
        <v>2173</v>
      </c>
      <c r="AE1611" s="90">
        <f t="shared" si="440"/>
        <v>662</v>
      </c>
      <c r="AF1611" s="90">
        <f t="shared" si="441"/>
        <v>2015</v>
      </c>
      <c r="AG1611" s="90">
        <f t="shared" si="442"/>
        <v>1346</v>
      </c>
      <c r="AH1611" s="90" t="str">
        <f t="shared" si="443"/>
        <v>2018 (triag)</v>
      </c>
      <c r="AI1611" s="90">
        <f t="shared" si="444"/>
        <v>1968</v>
      </c>
      <c r="AJ1611" s="90">
        <f t="shared" si="445"/>
        <v>2022</v>
      </c>
      <c r="AK1611" s="90" t="str">
        <f t="shared" si="446"/>
        <v/>
      </c>
      <c r="AL1611" s="91">
        <f>IF(AK1611="Adjust",(_xlfn.XLOOKUP(A1611,'Adj factor'!A:A,'Adj factor'!I:I,,0)*AI1611),'Master DataSheet'!AI1611)</f>
        <v>1968</v>
      </c>
      <c r="AM1611" s="91">
        <f t="shared" si="447"/>
        <v>1968</v>
      </c>
      <c r="AN1611" s="92" t="str">
        <f t="shared" si="448"/>
        <v>Increasing</v>
      </c>
      <c r="AS1611" s="94">
        <f t="shared" si="449"/>
        <v>0.48692347515813178</v>
      </c>
      <c r="AT1611" s="94">
        <f t="shared" si="450"/>
        <v>0.86421050678369948</v>
      </c>
      <c r="AU1611" s="94">
        <f t="shared" si="451"/>
        <v>1.136491667546851</v>
      </c>
    </row>
    <row r="1612" spans="1:47" x14ac:dyDescent="0.3">
      <c r="A1612" s="85" t="str">
        <f>_xlfn.XLOOKUP(B1612,'Country codes &amp; Data sources'!G:G,'Country codes &amp; Data sources'!H:H,,0)</f>
        <v>Senegal</v>
      </c>
      <c r="B1612" s="85" t="s">
        <v>184</v>
      </c>
      <c r="C1612" s="85">
        <v>13231839</v>
      </c>
      <c r="D1612" s="85" t="s">
        <v>332</v>
      </c>
      <c r="E1612" s="86">
        <v>0</v>
      </c>
      <c r="F1612" s="86">
        <v>13595565.499999993</v>
      </c>
      <c r="G1612" s="86">
        <v>3946</v>
      </c>
      <c r="H1612" s="86"/>
      <c r="I1612" s="86">
        <v>0</v>
      </c>
      <c r="J1612" s="86"/>
      <c r="K1612" s="86">
        <v>1116</v>
      </c>
      <c r="L1612" s="86"/>
      <c r="M1612" s="86">
        <v>2002</v>
      </c>
      <c r="N1612" s="86"/>
      <c r="O1612" s="86">
        <v>2002</v>
      </c>
      <c r="P1612" s="86">
        <v>15574908.999999998</v>
      </c>
      <c r="Q1612" s="86">
        <v>0</v>
      </c>
      <c r="R1612" s="87">
        <f t="shared" si="436"/>
        <v>3015</v>
      </c>
      <c r="T1612" s="87">
        <v>2656</v>
      </c>
      <c r="U1612" s="89"/>
      <c r="V1612" s="89">
        <v>2061</v>
      </c>
      <c r="W1612" s="90"/>
      <c r="X1612" s="90">
        <v>2739</v>
      </c>
      <c r="Y1612" s="90">
        <v>17316449</v>
      </c>
      <c r="Z1612" s="90">
        <v>2803</v>
      </c>
      <c r="AA1612" s="90">
        <v>3015</v>
      </c>
      <c r="AB1612" s="89">
        <f t="shared" si="437"/>
        <v>3946</v>
      </c>
      <c r="AC1612" s="89">
        <f t="shared" si="438"/>
        <v>2656</v>
      </c>
      <c r="AD1612" s="89">
        <f t="shared" si="439"/>
        <v>2803</v>
      </c>
      <c r="AE1612" s="90">
        <f t="shared" si="440"/>
        <v>3946</v>
      </c>
      <c r="AF1612" s="90">
        <f t="shared" si="441"/>
        <v>2013</v>
      </c>
      <c r="AG1612" s="90">
        <f t="shared" si="442"/>
        <v>3015</v>
      </c>
      <c r="AH1612" s="90" t="str">
        <f t="shared" si="443"/>
        <v>2018 (triag)</v>
      </c>
      <c r="AI1612" s="90">
        <f t="shared" si="444"/>
        <v>2803</v>
      </c>
      <c r="AJ1612" s="90">
        <f t="shared" si="445"/>
        <v>2022</v>
      </c>
      <c r="AK1612" s="90" t="str">
        <f t="shared" si="446"/>
        <v>Adjust</v>
      </c>
      <c r="AL1612" s="91">
        <f>IF(AK1612="Adjust",(_xlfn.XLOOKUP(A1612,'Adj factor'!A:A,'Adj factor'!I:I,,0)*AI1612),'Master DataSheet'!AI1612)</f>
        <v>3280.6659247026164</v>
      </c>
      <c r="AM1612" s="91">
        <f t="shared" si="447"/>
        <v>3280.6659247026164</v>
      </c>
      <c r="AN1612" s="92" t="str">
        <f t="shared" si="448"/>
        <v>Increasing</v>
      </c>
      <c r="AS1612" s="94">
        <f t="shared" si="449"/>
        <v>2.9024169682386525</v>
      </c>
      <c r="AT1612" s="94">
        <f t="shared" si="450"/>
        <v>1.9358058528624471</v>
      </c>
      <c r="AU1612" s="94">
        <f t="shared" si="451"/>
        <v>1.8945373411734798</v>
      </c>
    </row>
    <row r="1613" spans="1:47" x14ac:dyDescent="0.3">
      <c r="A1613" s="85" t="str">
        <f>_xlfn.XLOOKUP(B1613,'Country codes &amp; Data sources'!G:G,'Country codes &amp; Data sources'!H:H,,0)</f>
        <v>Senegal</v>
      </c>
      <c r="B1613" s="85" t="s">
        <v>184</v>
      </c>
      <c r="C1613" s="85">
        <v>13231840</v>
      </c>
      <c r="D1613" s="85" t="s">
        <v>333</v>
      </c>
      <c r="E1613" s="86">
        <v>0</v>
      </c>
      <c r="F1613" s="86">
        <v>13595565.499999993</v>
      </c>
      <c r="G1613" s="86">
        <v>3946</v>
      </c>
      <c r="H1613" s="86"/>
      <c r="I1613" s="86">
        <v>0</v>
      </c>
      <c r="J1613" s="86"/>
      <c r="K1613" s="86">
        <v>0</v>
      </c>
      <c r="L1613" s="86"/>
      <c r="M1613" s="86">
        <v>0</v>
      </c>
      <c r="N1613" s="86"/>
      <c r="O1613" s="86">
        <v>0</v>
      </c>
      <c r="P1613" s="86">
        <v>15574908.999999998</v>
      </c>
      <c r="Q1613" s="86">
        <v>0</v>
      </c>
      <c r="R1613" s="87">
        <f t="shared" si="436"/>
        <v>3015</v>
      </c>
      <c r="T1613" s="87">
        <v>2196</v>
      </c>
      <c r="U1613" s="89"/>
      <c r="V1613" s="89">
        <v>1969</v>
      </c>
      <c r="W1613" s="90"/>
      <c r="X1613" s="90">
        <v>2710</v>
      </c>
      <c r="Y1613" s="90">
        <v>17316449</v>
      </c>
      <c r="Z1613" s="90">
        <v>2803</v>
      </c>
      <c r="AA1613" s="90">
        <v>3015</v>
      </c>
      <c r="AB1613" s="89">
        <f t="shared" si="437"/>
        <v>3946</v>
      </c>
      <c r="AC1613" s="89">
        <f t="shared" si="438"/>
        <v>2196</v>
      </c>
      <c r="AD1613" s="89">
        <f t="shared" si="439"/>
        <v>2803</v>
      </c>
      <c r="AE1613" s="90">
        <f t="shared" si="440"/>
        <v>3946</v>
      </c>
      <c r="AF1613" s="90">
        <f t="shared" si="441"/>
        <v>2013</v>
      </c>
      <c r="AG1613" s="90">
        <f t="shared" si="442"/>
        <v>3015</v>
      </c>
      <c r="AH1613" s="90" t="str">
        <f t="shared" si="443"/>
        <v>2018 (triag)</v>
      </c>
      <c r="AI1613" s="90">
        <f t="shared" si="444"/>
        <v>2803</v>
      </c>
      <c r="AJ1613" s="90">
        <f t="shared" si="445"/>
        <v>2022</v>
      </c>
      <c r="AK1613" s="90" t="str">
        <f t="shared" si="446"/>
        <v>Adjust</v>
      </c>
      <c r="AL1613" s="91">
        <f>IF(AK1613="Adjust",(_xlfn.XLOOKUP(A1613,'Adj factor'!A:A,'Adj factor'!I:I,,0)*AI1613),'Master DataSheet'!AI1613)</f>
        <v>3280.6659247026164</v>
      </c>
      <c r="AM1613" s="91">
        <f t="shared" si="447"/>
        <v>3280.6659247026164</v>
      </c>
      <c r="AN1613" s="92" t="str">
        <f t="shared" si="448"/>
        <v>Increasing</v>
      </c>
      <c r="AS1613" s="94">
        <f t="shared" si="449"/>
        <v>2.9024169682386525</v>
      </c>
      <c r="AT1613" s="94">
        <f t="shared" si="450"/>
        <v>1.9358058528624471</v>
      </c>
      <c r="AU1613" s="94">
        <f t="shared" si="451"/>
        <v>1.8945373411734798</v>
      </c>
    </row>
    <row r="1614" spans="1:47" x14ac:dyDescent="0.3">
      <c r="A1614" s="85" t="str">
        <f>_xlfn.XLOOKUP(B1614,'Country codes &amp; Data sources'!G:G,'Country codes &amp; Data sources'!H:H,,0)</f>
        <v>Senegal</v>
      </c>
      <c r="B1614" s="85" t="s">
        <v>184</v>
      </c>
      <c r="C1614" s="85">
        <v>13231841</v>
      </c>
      <c r="D1614" s="85" t="s">
        <v>334</v>
      </c>
      <c r="E1614" s="86">
        <v>0</v>
      </c>
      <c r="F1614" s="86">
        <v>13595565.499999993</v>
      </c>
      <c r="G1614" s="86">
        <v>0</v>
      </c>
      <c r="H1614" s="86"/>
      <c r="I1614" s="86">
        <v>0</v>
      </c>
      <c r="J1614" s="86"/>
      <c r="K1614" s="86">
        <v>0</v>
      </c>
      <c r="L1614" s="86"/>
      <c r="M1614" s="86">
        <v>0</v>
      </c>
      <c r="N1614" s="86"/>
      <c r="O1614" s="86">
        <v>0</v>
      </c>
      <c r="P1614" s="86">
        <v>15574908.999999998</v>
      </c>
      <c r="Q1614" s="86">
        <v>0</v>
      </c>
      <c r="R1614" s="87">
        <f t="shared" si="436"/>
        <v>0</v>
      </c>
      <c r="T1614" s="87">
        <v>460</v>
      </c>
      <c r="U1614" s="89"/>
      <c r="V1614" s="89">
        <v>92</v>
      </c>
      <c r="W1614" s="90"/>
      <c r="X1614" s="90">
        <v>29</v>
      </c>
      <c r="Y1614" s="90">
        <v>17316449</v>
      </c>
      <c r="Z1614" s="90">
        <v>0</v>
      </c>
      <c r="AA1614" s="90">
        <v>0</v>
      </c>
      <c r="AB1614" s="89">
        <f t="shared" si="437"/>
        <v>0</v>
      </c>
      <c r="AC1614" s="89">
        <f t="shared" si="438"/>
        <v>460</v>
      </c>
      <c r="AD1614" s="89">
        <f t="shared" si="439"/>
        <v>92</v>
      </c>
      <c r="AE1614" s="90">
        <f t="shared" si="440"/>
        <v>0</v>
      </c>
      <c r="AF1614" s="90" t="str">
        <f t="shared" si="441"/>
        <v/>
      </c>
      <c r="AG1614" s="90">
        <f t="shared" si="442"/>
        <v>460</v>
      </c>
      <c r="AH1614" s="90">
        <f t="shared" si="443"/>
        <v>2019</v>
      </c>
      <c r="AI1614" s="90">
        <f t="shared" si="444"/>
        <v>29</v>
      </c>
      <c r="AJ1614" s="90">
        <f t="shared" si="445"/>
        <v>2021</v>
      </c>
      <c r="AK1614" s="90" t="str">
        <f t="shared" si="446"/>
        <v>Adjust</v>
      </c>
      <c r="AL1614" s="91">
        <f>IF(AK1614="Adjust",(_xlfn.XLOOKUP(A1614,'Adj factor'!A:A,'Adj factor'!I:I,,0)*AI1614),'Master DataSheet'!AI1614)</f>
        <v>33.941959263780191</v>
      </c>
      <c r="AM1614" s="91">
        <f t="shared" si="447"/>
        <v>460</v>
      </c>
      <c r="AN1614" s="92" t="str">
        <f t="shared" si="448"/>
        <v>Decreasing</v>
      </c>
      <c r="AS1614" s="94">
        <f t="shared" si="449"/>
        <v>0</v>
      </c>
      <c r="AT1614" s="94">
        <f t="shared" si="450"/>
        <v>0.29534682995579625</v>
      </c>
      <c r="AU1614" s="94">
        <f t="shared" si="451"/>
        <v>0.26564337757700784</v>
      </c>
    </row>
    <row r="1615" spans="1:47" x14ac:dyDescent="0.3">
      <c r="A1615" s="85" t="str">
        <f>_xlfn.XLOOKUP(B1615,'Country codes &amp; Data sources'!G:G,'Country codes &amp; Data sources'!H:H,,0)</f>
        <v>Senegal</v>
      </c>
      <c r="B1615" s="85" t="s">
        <v>184</v>
      </c>
      <c r="C1615" s="85">
        <v>13231842</v>
      </c>
      <c r="D1615" s="85" t="s">
        <v>335</v>
      </c>
      <c r="E1615" s="86">
        <v>0</v>
      </c>
      <c r="F1615" s="86">
        <v>13595565.499999993</v>
      </c>
      <c r="G1615" s="86">
        <v>0</v>
      </c>
      <c r="H1615" s="86"/>
      <c r="I1615" s="86">
        <v>0</v>
      </c>
      <c r="J1615" s="86"/>
      <c r="K1615" s="86">
        <v>143</v>
      </c>
      <c r="L1615" s="86"/>
      <c r="M1615" s="86">
        <v>170</v>
      </c>
      <c r="N1615" s="86"/>
      <c r="O1615" s="86">
        <v>170</v>
      </c>
      <c r="P1615" s="86">
        <v>15574908.999999998</v>
      </c>
      <c r="Q1615" s="86">
        <v>0</v>
      </c>
      <c r="R1615" s="87">
        <f t="shared" si="436"/>
        <v>162</v>
      </c>
      <c r="T1615" s="87">
        <v>188</v>
      </c>
      <c r="U1615" s="89"/>
      <c r="V1615" s="89">
        <v>212</v>
      </c>
      <c r="W1615" s="90"/>
      <c r="X1615" s="90">
        <v>293</v>
      </c>
      <c r="Y1615" s="90">
        <v>17316449</v>
      </c>
      <c r="Z1615" s="90">
        <v>352</v>
      </c>
      <c r="AA1615" s="90">
        <v>162</v>
      </c>
      <c r="AB1615" s="89">
        <f t="shared" si="437"/>
        <v>143</v>
      </c>
      <c r="AC1615" s="89">
        <f t="shared" si="438"/>
        <v>188</v>
      </c>
      <c r="AD1615" s="89">
        <f t="shared" si="439"/>
        <v>352</v>
      </c>
      <c r="AE1615" s="90">
        <f t="shared" si="440"/>
        <v>143</v>
      </c>
      <c r="AF1615" s="90">
        <f t="shared" si="441"/>
        <v>2015</v>
      </c>
      <c r="AG1615" s="90">
        <f t="shared" si="442"/>
        <v>162</v>
      </c>
      <c r="AH1615" s="90" t="str">
        <f t="shared" si="443"/>
        <v>2018 (triag)</v>
      </c>
      <c r="AI1615" s="90">
        <f t="shared" si="444"/>
        <v>352</v>
      </c>
      <c r="AJ1615" s="90">
        <f t="shared" si="445"/>
        <v>2022</v>
      </c>
      <c r="AK1615" s="90" t="str">
        <f t="shared" si="446"/>
        <v/>
      </c>
      <c r="AL1615" s="91">
        <f>IF(AK1615="Adjust",(_xlfn.XLOOKUP(A1615,'Adj factor'!A:A,'Adj factor'!I:I,,0)*AI1615),'Master DataSheet'!AI1615)</f>
        <v>352</v>
      </c>
      <c r="AM1615" s="91">
        <f t="shared" si="447"/>
        <v>352</v>
      </c>
      <c r="AN1615" s="92" t="str">
        <f t="shared" si="448"/>
        <v>Increasing</v>
      </c>
      <c r="AS1615" s="94">
        <f t="shared" si="449"/>
        <v>0.10518135490575958</v>
      </c>
      <c r="AT1615" s="94">
        <f t="shared" si="450"/>
        <v>0.10401344881051955</v>
      </c>
      <c r="AU1615" s="94">
        <f t="shared" si="451"/>
        <v>0.20327493240675384</v>
      </c>
    </row>
    <row r="1616" spans="1:47" x14ac:dyDescent="0.3">
      <c r="A1616" s="85" t="str">
        <f>_xlfn.XLOOKUP(B1616,'Country codes &amp; Data sources'!G:G,'Country codes &amp; Data sources'!H:H,,0)</f>
        <v>Senegal</v>
      </c>
      <c r="B1616" s="85" t="s">
        <v>184</v>
      </c>
      <c r="C1616" s="85">
        <v>13231843</v>
      </c>
      <c r="D1616" s="85" t="s">
        <v>336</v>
      </c>
      <c r="E1616" s="86">
        <v>0</v>
      </c>
      <c r="F1616" s="86">
        <v>13595565.499999993</v>
      </c>
      <c r="G1616" s="86">
        <v>371</v>
      </c>
      <c r="H1616" s="86"/>
      <c r="I1616" s="86">
        <v>0</v>
      </c>
      <c r="J1616" s="86"/>
      <c r="K1616" s="86">
        <v>0</v>
      </c>
      <c r="L1616" s="86"/>
      <c r="M1616" s="86">
        <v>0</v>
      </c>
      <c r="N1616" s="86"/>
      <c r="O1616" s="86">
        <v>0</v>
      </c>
      <c r="P1616" s="86">
        <v>15574908.999999998</v>
      </c>
      <c r="Q1616" s="86">
        <v>0</v>
      </c>
      <c r="R1616" s="87">
        <f t="shared" si="436"/>
        <v>53</v>
      </c>
      <c r="T1616" s="87">
        <v>45</v>
      </c>
      <c r="U1616" s="89"/>
      <c r="V1616" s="89">
        <v>48</v>
      </c>
      <c r="W1616" s="90"/>
      <c r="X1616" s="90">
        <v>40</v>
      </c>
      <c r="Y1616" s="90">
        <v>17316449</v>
      </c>
      <c r="Z1616" s="90">
        <v>57</v>
      </c>
      <c r="AA1616" s="90">
        <v>53</v>
      </c>
      <c r="AB1616" s="89">
        <f t="shared" si="437"/>
        <v>371</v>
      </c>
      <c r="AC1616" s="89">
        <f t="shared" si="438"/>
        <v>45</v>
      </c>
      <c r="AD1616" s="89">
        <f t="shared" si="439"/>
        <v>57</v>
      </c>
      <c r="AE1616" s="90">
        <f t="shared" si="440"/>
        <v>371</v>
      </c>
      <c r="AF1616" s="90">
        <f t="shared" si="441"/>
        <v>2013</v>
      </c>
      <c r="AG1616" s="90">
        <f t="shared" si="442"/>
        <v>53</v>
      </c>
      <c r="AH1616" s="90" t="str">
        <f t="shared" si="443"/>
        <v>2018 (triag)</v>
      </c>
      <c r="AI1616" s="90">
        <f t="shared" si="444"/>
        <v>57</v>
      </c>
      <c r="AJ1616" s="90">
        <f t="shared" si="445"/>
        <v>2022</v>
      </c>
      <c r="AK1616" s="90" t="str">
        <f t="shared" si="446"/>
        <v/>
      </c>
      <c r="AL1616" s="91">
        <f>IF(AK1616="Adjust",(_xlfn.XLOOKUP(A1616,'Adj factor'!A:A,'Adj factor'!I:I,,0)*AI1616),'Master DataSheet'!AI1616)</f>
        <v>57</v>
      </c>
      <c r="AM1616" s="91">
        <f t="shared" si="447"/>
        <v>57</v>
      </c>
      <c r="AN1616" s="92" t="str">
        <f t="shared" si="448"/>
        <v>Increasing</v>
      </c>
      <c r="AS1616" s="94">
        <f t="shared" si="449"/>
        <v>0.27288309559466301</v>
      </c>
      <c r="AT1616" s="94">
        <f t="shared" si="450"/>
        <v>3.4029091277515654E-2</v>
      </c>
      <c r="AU1616" s="94">
        <f t="shared" si="451"/>
        <v>3.2916679395411839E-2</v>
      </c>
    </row>
    <row r="1617" spans="1:47" x14ac:dyDescent="0.3">
      <c r="A1617" s="85" t="str">
        <f>_xlfn.XLOOKUP(B1617,'Country codes &amp; Data sources'!G:G,'Country codes &amp; Data sources'!H:H,,0)</f>
        <v>Senegal</v>
      </c>
      <c r="B1617" s="85" t="s">
        <v>184</v>
      </c>
      <c r="C1617" s="85">
        <v>13231844</v>
      </c>
      <c r="D1617" s="85" t="s">
        <v>337</v>
      </c>
      <c r="E1617" s="86">
        <v>0</v>
      </c>
      <c r="F1617" s="86">
        <v>13595565.499999993</v>
      </c>
      <c r="G1617" s="86">
        <v>54</v>
      </c>
      <c r="H1617" s="86"/>
      <c r="I1617" s="86">
        <v>0</v>
      </c>
      <c r="J1617" s="86"/>
      <c r="K1617" s="86">
        <v>0</v>
      </c>
      <c r="L1617" s="86"/>
      <c r="M1617" s="86">
        <v>121</v>
      </c>
      <c r="N1617" s="86"/>
      <c r="O1617" s="86">
        <v>121</v>
      </c>
      <c r="P1617" s="86">
        <v>15574908.999999998</v>
      </c>
      <c r="Q1617" s="86">
        <v>0</v>
      </c>
      <c r="R1617" s="87">
        <f t="shared" si="436"/>
        <v>136</v>
      </c>
      <c r="T1617" s="87">
        <v>219</v>
      </c>
      <c r="U1617" s="89"/>
      <c r="V1617" s="89">
        <v>134</v>
      </c>
      <c r="W1617" s="90"/>
      <c r="X1617" s="90">
        <v>176</v>
      </c>
      <c r="Y1617" s="90">
        <v>17316449</v>
      </c>
      <c r="Z1617" s="90">
        <v>223</v>
      </c>
      <c r="AA1617" s="90">
        <v>136</v>
      </c>
      <c r="AB1617" s="89">
        <f t="shared" si="437"/>
        <v>54</v>
      </c>
      <c r="AC1617" s="89">
        <f t="shared" si="438"/>
        <v>219</v>
      </c>
      <c r="AD1617" s="89">
        <f t="shared" si="439"/>
        <v>223</v>
      </c>
      <c r="AE1617" s="90">
        <f t="shared" si="440"/>
        <v>54</v>
      </c>
      <c r="AF1617" s="90">
        <f t="shared" si="441"/>
        <v>2013</v>
      </c>
      <c r="AG1617" s="90">
        <f t="shared" si="442"/>
        <v>136</v>
      </c>
      <c r="AH1617" s="90" t="str">
        <f t="shared" si="443"/>
        <v>2018 (triag)</v>
      </c>
      <c r="AI1617" s="90">
        <f t="shared" si="444"/>
        <v>223</v>
      </c>
      <c r="AJ1617" s="90">
        <f t="shared" si="445"/>
        <v>2022</v>
      </c>
      <c r="AK1617" s="90" t="str">
        <f t="shared" si="446"/>
        <v/>
      </c>
      <c r="AL1617" s="91">
        <f>IF(AK1617="Adjust",(_xlfn.XLOOKUP(A1617,'Adj factor'!A:A,'Adj factor'!I:I,,0)*AI1617),'Master DataSheet'!AI1617)</f>
        <v>223</v>
      </c>
      <c r="AM1617" s="91">
        <f t="shared" si="447"/>
        <v>223</v>
      </c>
      <c r="AN1617" s="92" t="str">
        <f t="shared" si="448"/>
        <v>Increasing</v>
      </c>
      <c r="AS1617" s="94">
        <f t="shared" si="449"/>
        <v>3.9718833321056066E-2</v>
      </c>
      <c r="AT1617" s="94">
        <f t="shared" si="450"/>
        <v>8.7319932334757155E-2</v>
      </c>
      <c r="AU1617" s="94">
        <f t="shared" si="451"/>
        <v>0.12877928956450599</v>
      </c>
    </row>
    <row r="1618" spans="1:47" x14ac:dyDescent="0.3">
      <c r="A1618" s="85" t="str">
        <f>_xlfn.XLOOKUP(B1618,'Country codes &amp; Data sources'!G:G,'Country codes &amp; Data sources'!H:H,,0)</f>
        <v>Senegal</v>
      </c>
      <c r="B1618" s="85" t="s">
        <v>184</v>
      </c>
      <c r="C1618" s="85">
        <v>13231845</v>
      </c>
      <c r="D1618" s="85" t="s">
        <v>338</v>
      </c>
      <c r="E1618" s="86">
        <v>0</v>
      </c>
      <c r="F1618" s="86">
        <v>13595565.499999993</v>
      </c>
      <c r="G1618" s="86">
        <v>0</v>
      </c>
      <c r="H1618" s="86"/>
      <c r="I1618" s="86">
        <v>0</v>
      </c>
      <c r="J1618" s="86"/>
      <c r="K1618" s="86">
        <v>0</v>
      </c>
      <c r="L1618" s="86"/>
      <c r="M1618" s="86">
        <v>0</v>
      </c>
      <c r="N1618" s="86"/>
      <c r="O1618" s="86">
        <v>57</v>
      </c>
      <c r="P1618" s="86">
        <v>15574908.999999998</v>
      </c>
      <c r="Q1618" s="86">
        <v>0</v>
      </c>
      <c r="R1618" s="87">
        <f t="shared" si="436"/>
        <v>100</v>
      </c>
      <c r="T1618" s="87">
        <v>0</v>
      </c>
      <c r="U1618" s="89"/>
      <c r="V1618" s="89">
        <v>0</v>
      </c>
      <c r="W1618" s="90"/>
      <c r="X1618" s="90">
        <v>28</v>
      </c>
      <c r="Y1618" s="90">
        <v>17316449</v>
      </c>
      <c r="Z1618" s="90">
        <v>64</v>
      </c>
      <c r="AA1618" s="90">
        <v>100</v>
      </c>
      <c r="AB1618" s="89">
        <f t="shared" si="437"/>
        <v>0</v>
      </c>
      <c r="AC1618" s="89">
        <f t="shared" si="438"/>
        <v>57</v>
      </c>
      <c r="AD1618" s="89">
        <f t="shared" si="439"/>
        <v>64</v>
      </c>
      <c r="AE1618" s="90">
        <f t="shared" si="440"/>
        <v>0</v>
      </c>
      <c r="AF1618" s="90" t="str">
        <f t="shared" si="441"/>
        <v/>
      </c>
      <c r="AG1618" s="90">
        <f t="shared" si="442"/>
        <v>100</v>
      </c>
      <c r="AH1618" s="90" t="str">
        <f t="shared" si="443"/>
        <v>2018 (triag)</v>
      </c>
      <c r="AI1618" s="90">
        <f t="shared" si="444"/>
        <v>64</v>
      </c>
      <c r="AJ1618" s="90">
        <f t="shared" si="445"/>
        <v>2022</v>
      </c>
      <c r="AK1618" s="90" t="str">
        <f t="shared" si="446"/>
        <v>Adjust</v>
      </c>
      <c r="AL1618" s="91">
        <f>IF(AK1618="Adjust",(_xlfn.XLOOKUP(A1618,'Adj factor'!A:A,'Adj factor'!I:I,,0)*AI1618),'Master DataSheet'!AI1618)</f>
        <v>74.906392857997659</v>
      </c>
      <c r="AM1618" s="91">
        <f t="shared" si="447"/>
        <v>100</v>
      </c>
      <c r="AN1618" s="92" t="str">
        <f t="shared" si="448"/>
        <v>Decreasing</v>
      </c>
      <c r="AS1618" s="94">
        <f t="shared" si="449"/>
        <v>0</v>
      </c>
      <c r="AT1618" s="94">
        <f t="shared" si="450"/>
        <v>6.4205832599086146E-2</v>
      </c>
      <c r="AU1618" s="94">
        <f t="shared" si="451"/>
        <v>5.7748560342827791E-2</v>
      </c>
    </row>
    <row r="1619" spans="1:47" x14ac:dyDescent="0.3">
      <c r="A1619" s="85" t="str">
        <f>_xlfn.XLOOKUP(B1619,'Country codes &amp; Data sources'!G:G,'Country codes &amp; Data sources'!H:H,,0)</f>
        <v>Senegal</v>
      </c>
      <c r="B1619" s="85" t="s">
        <v>184</v>
      </c>
      <c r="C1619" s="85">
        <v>13231846</v>
      </c>
      <c r="D1619" s="85" t="s">
        <v>339</v>
      </c>
      <c r="E1619" s="86">
        <v>0</v>
      </c>
      <c r="F1619" s="86">
        <v>13595565.499999993</v>
      </c>
      <c r="G1619" s="86">
        <v>0</v>
      </c>
      <c r="H1619" s="86"/>
      <c r="I1619" s="86">
        <v>0</v>
      </c>
      <c r="J1619" s="86"/>
      <c r="K1619" s="86">
        <v>0</v>
      </c>
      <c r="L1619" s="86"/>
      <c r="M1619" s="86">
        <v>0</v>
      </c>
      <c r="N1619" s="86"/>
      <c r="O1619" s="86">
        <v>0</v>
      </c>
      <c r="P1619" s="86">
        <v>15574908.999999998</v>
      </c>
      <c r="Q1619" s="86">
        <v>0</v>
      </c>
      <c r="R1619" s="87">
        <f t="shared" si="436"/>
        <v>0</v>
      </c>
      <c r="T1619" s="87">
        <v>16</v>
      </c>
      <c r="U1619" s="89"/>
      <c r="V1619" s="89">
        <v>2</v>
      </c>
      <c r="W1619" s="90"/>
      <c r="X1619" s="90">
        <v>0</v>
      </c>
      <c r="Y1619" s="90">
        <v>17316449</v>
      </c>
      <c r="Z1619" s="90">
        <v>14</v>
      </c>
      <c r="AA1619" s="90">
        <v>0</v>
      </c>
      <c r="AB1619" s="89">
        <f t="shared" si="437"/>
        <v>0</v>
      </c>
      <c r="AC1619" s="89">
        <f t="shared" si="438"/>
        <v>16</v>
      </c>
      <c r="AD1619" s="89">
        <f t="shared" si="439"/>
        <v>14</v>
      </c>
      <c r="AE1619" s="90">
        <f t="shared" si="440"/>
        <v>0</v>
      </c>
      <c r="AF1619" s="90" t="str">
        <f t="shared" si="441"/>
        <v/>
      </c>
      <c r="AG1619" s="90">
        <f t="shared" si="442"/>
        <v>16</v>
      </c>
      <c r="AH1619" s="90">
        <f t="shared" si="443"/>
        <v>2019</v>
      </c>
      <c r="AI1619" s="90">
        <f t="shared" si="444"/>
        <v>14</v>
      </c>
      <c r="AJ1619" s="90">
        <f t="shared" si="445"/>
        <v>2022</v>
      </c>
      <c r="AK1619" s="90" t="str">
        <f t="shared" si="446"/>
        <v>Adjust</v>
      </c>
      <c r="AL1619" s="91">
        <f>IF(AK1619="Adjust",(_xlfn.XLOOKUP(A1619,'Adj factor'!A:A,'Adj factor'!I:I,,0)*AI1619),'Master DataSheet'!AI1619)</f>
        <v>16.385773437686989</v>
      </c>
      <c r="AM1619" s="91">
        <f t="shared" si="447"/>
        <v>16.385773437686989</v>
      </c>
      <c r="AN1619" s="92" t="str">
        <f t="shared" si="448"/>
        <v>Increasing</v>
      </c>
      <c r="AS1619" s="94">
        <f t="shared" si="449"/>
        <v>0</v>
      </c>
      <c r="AT1619" s="94">
        <f t="shared" si="450"/>
        <v>1.0272933215853782E-2</v>
      </c>
      <c r="AU1619" s="94">
        <f t="shared" si="451"/>
        <v>9.4625482613017193E-3</v>
      </c>
    </row>
    <row r="1620" spans="1:47" ht="14.5" x14ac:dyDescent="0.35">
      <c r="A1620" s="85" t="str">
        <f>_xlfn.XLOOKUP(B1620,'Country codes &amp; Data sources'!G:G,'Country codes &amp; Data sources'!H:H,,0)</f>
        <v>Sierra Leone</v>
      </c>
      <c r="B1620" s="85" t="s">
        <v>186</v>
      </c>
      <c r="C1620" s="85">
        <v>6788587.5000000037</v>
      </c>
      <c r="D1620" s="85" t="s">
        <v>326</v>
      </c>
      <c r="E1620" s="86">
        <v>0</v>
      </c>
      <c r="F1620" s="86">
        <v>6964858.4999999972</v>
      </c>
      <c r="G1620" s="86">
        <v>0</v>
      </c>
      <c r="H1620" s="86">
        <v>7140688.0000000028</v>
      </c>
      <c r="I1620" s="86">
        <v>0</v>
      </c>
      <c r="J1620" s="86">
        <v>7314773</v>
      </c>
      <c r="K1620" s="86">
        <v>0</v>
      </c>
      <c r="L1620" s="86">
        <v>7493912.9999999981</v>
      </c>
      <c r="M1620" s="86">
        <v>0</v>
      </c>
      <c r="N1620" s="86">
        <v>7677565.5000000019</v>
      </c>
      <c r="O1620" s="86">
        <v>0</v>
      </c>
      <c r="P1620" s="86">
        <v>7861281</v>
      </c>
      <c r="Q1620" s="86">
        <v>566</v>
      </c>
      <c r="R1620" s="87">
        <f t="shared" si="436"/>
        <v>566</v>
      </c>
      <c r="S1620" s="87">
        <v>8046828.5</v>
      </c>
      <c r="T1620" s="87">
        <v>256</v>
      </c>
      <c r="U1620" s="89">
        <v>8233970.4999999991</v>
      </c>
      <c r="V1620" s="89">
        <v>576</v>
      </c>
      <c r="W1620" s="90">
        <v>8420641.0000000037</v>
      </c>
      <c r="X1620" s="90">
        <v>0</v>
      </c>
      <c r="Y1620" s="90">
        <v>8605718.0000000056</v>
      </c>
      <c r="Z1620" s="111">
        <f>530+515+61</f>
        <v>1106</v>
      </c>
      <c r="AA1620" s="90">
        <v>281</v>
      </c>
      <c r="AB1620" s="89">
        <f t="shared" si="437"/>
        <v>0</v>
      </c>
      <c r="AC1620" s="89">
        <f t="shared" si="438"/>
        <v>566</v>
      </c>
      <c r="AD1620" s="89">
        <f t="shared" si="439"/>
        <v>1106</v>
      </c>
      <c r="AE1620" s="90">
        <f t="shared" si="440"/>
        <v>0</v>
      </c>
      <c r="AF1620" s="90" t="str">
        <f t="shared" si="441"/>
        <v/>
      </c>
      <c r="AG1620" s="90">
        <f t="shared" si="442"/>
        <v>566</v>
      </c>
      <c r="AH1620" s="90">
        <f t="shared" si="443"/>
        <v>2018</v>
      </c>
      <c r="AI1620" s="90">
        <f t="shared" si="444"/>
        <v>1106</v>
      </c>
      <c r="AJ1620" s="90">
        <f t="shared" si="445"/>
        <v>2022</v>
      </c>
      <c r="AK1620" s="90" t="str">
        <f t="shared" si="446"/>
        <v/>
      </c>
      <c r="AL1620" s="91">
        <f>IF(AK1620="Adjust",(_xlfn.XLOOKUP(A1620,'Adj factor'!A:A,'Adj factor'!I:I,,0)*AI1620),'Master DataSheet'!AI1620)</f>
        <v>1106</v>
      </c>
      <c r="AM1620" s="91">
        <f t="shared" si="447"/>
        <v>1106</v>
      </c>
      <c r="AN1620" s="92" t="str">
        <f t="shared" si="448"/>
        <v>Increasing</v>
      </c>
      <c r="AS1620" s="94">
        <f t="shared" si="449"/>
        <v>0</v>
      </c>
      <c r="AT1620" s="94">
        <f t="shared" si="450"/>
        <v>0.71998444019492502</v>
      </c>
      <c r="AU1620" s="94">
        <f t="shared" si="451"/>
        <v>1.2851920083832624</v>
      </c>
    </row>
    <row r="1621" spans="1:47" x14ac:dyDescent="0.3">
      <c r="A1621" s="85" t="str">
        <f>_xlfn.XLOOKUP(B1621,'Country codes &amp; Data sources'!G:G,'Country codes &amp; Data sources'!H:H,,0)</f>
        <v>Sierra Leone</v>
      </c>
      <c r="B1621" s="85" t="s">
        <v>186</v>
      </c>
      <c r="C1621" s="85">
        <v>6788588.5</v>
      </c>
      <c r="D1621" s="85" t="s">
        <v>327</v>
      </c>
      <c r="E1621" s="86">
        <v>0</v>
      </c>
      <c r="F1621" s="86">
        <v>6964858.4999999972</v>
      </c>
      <c r="G1621" s="86">
        <v>0</v>
      </c>
      <c r="H1621" s="86"/>
      <c r="I1621" s="86">
        <v>0</v>
      </c>
      <c r="J1621" s="86"/>
      <c r="K1621" s="86">
        <v>0</v>
      </c>
      <c r="L1621" s="86"/>
      <c r="M1621" s="86">
        <v>0</v>
      </c>
      <c r="N1621" s="86"/>
      <c r="O1621" s="86">
        <v>0</v>
      </c>
      <c r="P1621" s="86">
        <v>7861281</v>
      </c>
      <c r="Q1621" s="86">
        <v>500</v>
      </c>
      <c r="R1621" s="87">
        <f t="shared" si="436"/>
        <v>500</v>
      </c>
      <c r="T1621" s="87">
        <v>231</v>
      </c>
      <c r="U1621" s="89"/>
      <c r="V1621" s="89">
        <v>515</v>
      </c>
      <c r="W1621" s="90"/>
      <c r="X1621" s="90">
        <v>0</v>
      </c>
      <c r="Y1621" s="90">
        <v>8605718.0000000056</v>
      </c>
      <c r="Z1621" s="90">
        <v>338</v>
      </c>
      <c r="AA1621" s="90">
        <v>234</v>
      </c>
      <c r="AB1621" s="89">
        <f t="shared" si="437"/>
        <v>0</v>
      </c>
      <c r="AC1621" s="89">
        <f t="shared" si="438"/>
        <v>500</v>
      </c>
      <c r="AD1621" s="89">
        <f t="shared" si="439"/>
        <v>515</v>
      </c>
      <c r="AE1621" s="90">
        <f t="shared" si="440"/>
        <v>0</v>
      </c>
      <c r="AF1621" s="90" t="str">
        <f t="shared" si="441"/>
        <v/>
      </c>
      <c r="AG1621" s="90">
        <f t="shared" si="442"/>
        <v>500</v>
      </c>
      <c r="AH1621" s="90">
        <f t="shared" si="443"/>
        <v>2018</v>
      </c>
      <c r="AI1621" s="90">
        <f t="shared" si="444"/>
        <v>338</v>
      </c>
      <c r="AJ1621" s="90">
        <f t="shared" si="445"/>
        <v>2022</v>
      </c>
      <c r="AK1621" s="90" t="str">
        <f t="shared" si="446"/>
        <v>Adjust</v>
      </c>
      <c r="AL1621" s="91">
        <f>IF(AK1621="Adjust",(_xlfn.XLOOKUP(A1621,'Adj factor'!A:A,'Adj factor'!I:I,,0)*AI1621),'Master DataSheet'!AI1621)</f>
        <v>388.46294178030035</v>
      </c>
      <c r="AM1621" s="91">
        <f t="shared" si="447"/>
        <v>500</v>
      </c>
      <c r="AN1621" s="92" t="str">
        <f t="shared" si="448"/>
        <v>Decreasing</v>
      </c>
      <c r="AS1621" s="94">
        <f t="shared" si="449"/>
        <v>0</v>
      </c>
      <c r="AT1621" s="94">
        <f t="shared" si="450"/>
        <v>0.63602865741601144</v>
      </c>
      <c r="AU1621" s="94">
        <f t="shared" si="451"/>
        <v>0.58100904538122178</v>
      </c>
    </row>
    <row r="1622" spans="1:47" x14ac:dyDescent="0.3">
      <c r="A1622" s="85" t="str">
        <f>_xlfn.XLOOKUP(B1622,'Country codes &amp; Data sources'!G:G,'Country codes &amp; Data sources'!H:H,,0)</f>
        <v>Sierra Leone</v>
      </c>
      <c r="B1622" s="85" t="s">
        <v>186</v>
      </c>
      <c r="C1622" s="85">
        <v>6788589.5</v>
      </c>
      <c r="D1622" s="85" t="s">
        <v>328</v>
      </c>
      <c r="E1622" s="86">
        <v>0</v>
      </c>
      <c r="F1622" s="86">
        <v>6964858.4999999972</v>
      </c>
      <c r="G1622" s="86">
        <v>0</v>
      </c>
      <c r="H1622" s="86"/>
      <c r="I1622" s="86">
        <v>0</v>
      </c>
      <c r="J1622" s="86"/>
      <c r="K1622" s="86">
        <v>0</v>
      </c>
      <c r="L1622" s="86"/>
      <c r="M1622" s="86">
        <v>0</v>
      </c>
      <c r="N1622" s="86"/>
      <c r="O1622" s="86">
        <v>0</v>
      </c>
      <c r="P1622" s="86">
        <v>7861281</v>
      </c>
      <c r="Q1622" s="86">
        <v>66</v>
      </c>
      <c r="R1622" s="87">
        <f t="shared" si="436"/>
        <v>66</v>
      </c>
      <c r="T1622" s="87">
        <v>25</v>
      </c>
      <c r="U1622" s="89"/>
      <c r="V1622" s="89">
        <v>61</v>
      </c>
      <c r="W1622" s="90"/>
      <c r="X1622" s="90">
        <v>0</v>
      </c>
      <c r="Y1622" s="90">
        <v>8605718.0000000056</v>
      </c>
      <c r="Z1622" s="90">
        <v>28</v>
      </c>
      <c r="AA1622" s="90">
        <v>47</v>
      </c>
      <c r="AB1622" s="89">
        <f t="shared" si="437"/>
        <v>0</v>
      </c>
      <c r="AC1622" s="89">
        <f t="shared" si="438"/>
        <v>66</v>
      </c>
      <c r="AD1622" s="89">
        <f t="shared" si="439"/>
        <v>61</v>
      </c>
      <c r="AE1622" s="90">
        <f t="shared" si="440"/>
        <v>0</v>
      </c>
      <c r="AF1622" s="90" t="str">
        <f t="shared" si="441"/>
        <v/>
      </c>
      <c r="AG1622" s="90">
        <f t="shared" si="442"/>
        <v>66</v>
      </c>
      <c r="AH1622" s="90">
        <f t="shared" si="443"/>
        <v>2018</v>
      </c>
      <c r="AI1622" s="90">
        <f t="shared" si="444"/>
        <v>28</v>
      </c>
      <c r="AJ1622" s="90">
        <f t="shared" si="445"/>
        <v>2022</v>
      </c>
      <c r="AK1622" s="90" t="str">
        <f t="shared" si="446"/>
        <v>Adjust</v>
      </c>
      <c r="AL1622" s="91">
        <f>IF(AK1622="Adjust",(_xlfn.XLOOKUP(A1622,'Adj factor'!A:A,'Adj factor'!I:I,,0)*AI1622),'Master DataSheet'!AI1622)</f>
        <v>32.180362040971623</v>
      </c>
      <c r="AM1622" s="91">
        <f t="shared" si="447"/>
        <v>66</v>
      </c>
      <c r="AN1622" s="92" t="str">
        <f t="shared" si="448"/>
        <v>Decreasing</v>
      </c>
      <c r="AS1622" s="94">
        <f t="shared" si="449"/>
        <v>0</v>
      </c>
      <c r="AT1622" s="94">
        <f t="shared" si="450"/>
        <v>8.395578277891351E-2</v>
      </c>
      <c r="AU1622" s="94">
        <f t="shared" si="451"/>
        <v>7.6693193990321262E-2</v>
      </c>
    </row>
    <row r="1623" spans="1:47" ht="14.5" x14ac:dyDescent="0.35">
      <c r="A1623" s="85" t="str">
        <f>_xlfn.XLOOKUP(B1623,'Country codes &amp; Data sources'!G:G,'Country codes &amp; Data sources'!H:H,,0)</f>
        <v>Sierra Leone</v>
      </c>
      <c r="B1623" s="85" t="s">
        <v>186</v>
      </c>
      <c r="C1623" s="85">
        <v>6788590.5</v>
      </c>
      <c r="D1623" s="85" t="s">
        <v>329</v>
      </c>
      <c r="E1623" s="86">
        <v>0</v>
      </c>
      <c r="F1623" s="86">
        <v>6964858.4999999972</v>
      </c>
      <c r="G1623" s="86">
        <v>6106</v>
      </c>
      <c r="H1623" s="86"/>
      <c r="I1623" s="86">
        <v>6108</v>
      </c>
      <c r="J1623" s="86"/>
      <c r="K1623" s="86">
        <v>5873</v>
      </c>
      <c r="L1623" s="86"/>
      <c r="M1623" s="86">
        <v>5160</v>
      </c>
      <c r="N1623" s="86"/>
      <c r="O1623" s="86">
        <v>5980</v>
      </c>
      <c r="P1623" s="86">
        <v>7861281</v>
      </c>
      <c r="Q1623" s="86">
        <v>5757</v>
      </c>
      <c r="R1623" s="87">
        <f t="shared" si="436"/>
        <v>5757</v>
      </c>
      <c r="T1623" s="87">
        <v>4311</v>
      </c>
      <c r="U1623" s="89"/>
      <c r="V1623" s="89">
        <v>1040</v>
      </c>
      <c r="W1623" s="90"/>
      <c r="X1623" s="90">
        <v>0</v>
      </c>
      <c r="Y1623" s="90">
        <v>8605718.0000000056</v>
      </c>
      <c r="Z1623" s="111">
        <f>9491+5026+1040+109</f>
        <v>15666</v>
      </c>
      <c r="AA1623" s="90">
        <v>5302</v>
      </c>
      <c r="AB1623" s="89">
        <f t="shared" si="437"/>
        <v>6108</v>
      </c>
      <c r="AC1623" s="89">
        <f t="shared" si="438"/>
        <v>5980</v>
      </c>
      <c r="AD1623" s="89">
        <f t="shared" si="439"/>
        <v>15666</v>
      </c>
      <c r="AE1623" s="90">
        <f t="shared" si="440"/>
        <v>6106</v>
      </c>
      <c r="AF1623" s="90">
        <f t="shared" si="441"/>
        <v>2013</v>
      </c>
      <c r="AG1623" s="90">
        <f t="shared" si="442"/>
        <v>5757</v>
      </c>
      <c r="AH1623" s="90">
        <f t="shared" si="443"/>
        <v>2018</v>
      </c>
      <c r="AI1623" s="90">
        <f t="shared" si="444"/>
        <v>15666</v>
      </c>
      <c r="AJ1623" s="90">
        <f t="shared" si="445"/>
        <v>2022</v>
      </c>
      <c r="AK1623" s="90" t="str">
        <f t="shared" si="446"/>
        <v/>
      </c>
      <c r="AL1623" s="91">
        <f>IF(AK1623="Adjust",(_xlfn.XLOOKUP(A1623,'Adj factor'!A:A,'Adj factor'!I:I,,0)*AI1623),'Master DataSheet'!AI1623)</f>
        <v>15666</v>
      </c>
      <c r="AM1623" s="91">
        <f t="shared" si="447"/>
        <v>15666</v>
      </c>
      <c r="AN1623" s="92" t="str">
        <f t="shared" si="448"/>
        <v>Increasing</v>
      </c>
      <c r="AS1623" s="94">
        <f t="shared" si="449"/>
        <v>8.7668687023577032</v>
      </c>
      <c r="AT1623" s="94">
        <f t="shared" si="450"/>
        <v>7.323233961487956</v>
      </c>
      <c r="AU1623" s="116">
        <f t="shared" si="451"/>
        <v>18.204175409884439</v>
      </c>
    </row>
    <row r="1624" spans="1:47" x14ac:dyDescent="0.3">
      <c r="A1624" s="85" t="str">
        <f>_xlfn.XLOOKUP(B1624,'Country codes &amp; Data sources'!G:G,'Country codes &amp; Data sources'!H:H,,0)</f>
        <v>Sierra Leone</v>
      </c>
      <c r="B1624" s="85" t="s">
        <v>186</v>
      </c>
      <c r="C1624" s="85">
        <v>6788591.5</v>
      </c>
      <c r="D1624" s="85" t="s">
        <v>330</v>
      </c>
      <c r="E1624" s="86">
        <v>0</v>
      </c>
      <c r="F1624" s="86">
        <v>6964858.4999999972</v>
      </c>
      <c r="G1624" s="86">
        <v>634</v>
      </c>
      <c r="H1624" s="86"/>
      <c r="I1624" s="86">
        <v>634</v>
      </c>
      <c r="J1624" s="86"/>
      <c r="K1624" s="86">
        <v>766</v>
      </c>
      <c r="L1624" s="86"/>
      <c r="M1624" s="86">
        <v>755</v>
      </c>
      <c r="N1624" s="86"/>
      <c r="O1624" s="86">
        <v>964</v>
      </c>
      <c r="P1624" s="86">
        <v>7861281</v>
      </c>
      <c r="Q1624" s="86">
        <v>868</v>
      </c>
      <c r="R1624" s="87">
        <f t="shared" si="436"/>
        <v>868</v>
      </c>
      <c r="T1624" s="87">
        <v>819</v>
      </c>
      <c r="U1624" s="89"/>
      <c r="V1624" s="89">
        <v>1040</v>
      </c>
      <c r="W1624" s="90"/>
      <c r="X1624" s="90">
        <v>0</v>
      </c>
      <c r="Y1624" s="90">
        <v>8605718.0000000056</v>
      </c>
      <c r="Z1624" s="90">
        <v>1449</v>
      </c>
      <c r="AA1624" s="90">
        <v>580</v>
      </c>
      <c r="AB1624" s="89">
        <f t="shared" si="437"/>
        <v>766</v>
      </c>
      <c r="AC1624" s="89">
        <f t="shared" si="438"/>
        <v>964</v>
      </c>
      <c r="AD1624" s="89">
        <f t="shared" si="439"/>
        <v>1449</v>
      </c>
      <c r="AE1624" s="90">
        <f t="shared" si="440"/>
        <v>634</v>
      </c>
      <c r="AF1624" s="90">
        <f t="shared" si="441"/>
        <v>2013</v>
      </c>
      <c r="AG1624" s="90">
        <f t="shared" si="442"/>
        <v>868</v>
      </c>
      <c r="AH1624" s="90">
        <f t="shared" si="443"/>
        <v>2018</v>
      </c>
      <c r="AI1624" s="90">
        <f t="shared" si="444"/>
        <v>1449</v>
      </c>
      <c r="AJ1624" s="90">
        <f t="shared" si="445"/>
        <v>2022</v>
      </c>
      <c r="AK1624" s="90" t="str">
        <f t="shared" si="446"/>
        <v/>
      </c>
      <c r="AL1624" s="91">
        <f>IF(AK1624="Adjust",(_xlfn.XLOOKUP(A1624,'Adj factor'!A:A,'Adj factor'!I:I,,0)*AI1624),'Master DataSheet'!AI1624)</f>
        <v>1449</v>
      </c>
      <c r="AM1624" s="91">
        <f t="shared" si="447"/>
        <v>1449</v>
      </c>
      <c r="AN1624" s="92" t="str">
        <f t="shared" si="448"/>
        <v>Increasing</v>
      </c>
      <c r="AS1624" s="94">
        <f t="shared" si="449"/>
        <v>0.91028410699226736</v>
      </c>
      <c r="AT1624" s="94">
        <f t="shared" si="450"/>
        <v>1.104145749274196</v>
      </c>
      <c r="AU1624" s="94">
        <f t="shared" si="451"/>
        <v>1.6837642135147806</v>
      </c>
    </row>
    <row r="1625" spans="1:47" x14ac:dyDescent="0.3">
      <c r="A1625" s="85" t="str">
        <f>_xlfn.XLOOKUP(B1625,'Country codes &amp; Data sources'!G:G,'Country codes &amp; Data sources'!H:H,,0)</f>
        <v>Sierra Leone</v>
      </c>
      <c r="B1625" s="85" t="s">
        <v>186</v>
      </c>
      <c r="C1625" s="85">
        <v>6788592.5</v>
      </c>
      <c r="D1625" s="85" t="s">
        <v>331</v>
      </c>
      <c r="E1625" s="86">
        <v>0</v>
      </c>
      <c r="F1625" s="86">
        <v>6964858.4999999972</v>
      </c>
      <c r="G1625" s="86">
        <v>2707</v>
      </c>
      <c r="H1625" s="86"/>
      <c r="I1625" s="86">
        <v>2707</v>
      </c>
      <c r="J1625" s="86"/>
      <c r="K1625" s="86">
        <v>2605</v>
      </c>
      <c r="L1625" s="86"/>
      <c r="M1625" s="86">
        <v>2090</v>
      </c>
      <c r="N1625" s="86"/>
      <c r="O1625" s="86">
        <v>2690</v>
      </c>
      <c r="P1625" s="86">
        <v>7861281</v>
      </c>
      <c r="Q1625" s="86">
        <v>2545</v>
      </c>
      <c r="R1625" s="87">
        <f t="shared" si="436"/>
        <v>4722</v>
      </c>
      <c r="T1625" s="87">
        <v>3492</v>
      </c>
      <c r="U1625" s="89"/>
      <c r="V1625" s="89">
        <v>0</v>
      </c>
      <c r="W1625" s="90"/>
      <c r="X1625" s="90">
        <v>0</v>
      </c>
      <c r="Y1625" s="90">
        <v>8605718.0000000056</v>
      </c>
      <c r="Z1625" s="90">
        <v>5907</v>
      </c>
      <c r="AA1625" s="90">
        <v>4722</v>
      </c>
      <c r="AB1625" s="89">
        <f t="shared" si="437"/>
        <v>2707</v>
      </c>
      <c r="AC1625" s="89">
        <f t="shared" si="438"/>
        <v>3492</v>
      </c>
      <c r="AD1625" s="89">
        <f t="shared" si="439"/>
        <v>5907</v>
      </c>
      <c r="AE1625" s="90">
        <f t="shared" si="440"/>
        <v>2707</v>
      </c>
      <c r="AF1625" s="90">
        <f t="shared" si="441"/>
        <v>2013</v>
      </c>
      <c r="AG1625" s="90">
        <f t="shared" si="442"/>
        <v>4722</v>
      </c>
      <c r="AH1625" s="90" t="str">
        <f t="shared" si="443"/>
        <v>2018 (triag)</v>
      </c>
      <c r="AI1625" s="90">
        <f t="shared" si="444"/>
        <v>5907</v>
      </c>
      <c r="AJ1625" s="90">
        <f t="shared" si="445"/>
        <v>2022</v>
      </c>
      <c r="AK1625" s="90" t="str">
        <f t="shared" si="446"/>
        <v/>
      </c>
      <c r="AL1625" s="91">
        <f>IF(AK1625="Adjust",(_xlfn.XLOOKUP(A1625,'Adj factor'!A:A,'Adj factor'!I:I,,0)*AI1625),'Master DataSheet'!AI1625)</f>
        <v>5907</v>
      </c>
      <c r="AM1625" s="91">
        <f t="shared" si="447"/>
        <v>5907</v>
      </c>
      <c r="AN1625" s="92" t="str">
        <f t="shared" si="448"/>
        <v>Increasing</v>
      </c>
      <c r="AS1625" s="94">
        <f t="shared" si="449"/>
        <v>3.8866546965742392</v>
      </c>
      <c r="AT1625" s="94">
        <f t="shared" si="450"/>
        <v>6.0066546406368122</v>
      </c>
      <c r="AU1625" s="94">
        <f t="shared" si="451"/>
        <v>6.8640408621337539</v>
      </c>
    </row>
    <row r="1626" spans="1:47" x14ac:dyDescent="0.3">
      <c r="A1626" s="85" t="str">
        <f>_xlfn.XLOOKUP(B1626,'Country codes &amp; Data sources'!G:G,'Country codes &amp; Data sources'!H:H,,0)</f>
        <v>Sierra Leone</v>
      </c>
      <c r="B1626" s="85" t="s">
        <v>186</v>
      </c>
      <c r="C1626" s="85">
        <v>6788593.5</v>
      </c>
      <c r="D1626" s="85" t="s">
        <v>332</v>
      </c>
      <c r="E1626" s="86">
        <v>0</v>
      </c>
      <c r="F1626" s="86">
        <v>6964858.4999999972</v>
      </c>
      <c r="G1626" s="86">
        <v>2187</v>
      </c>
      <c r="H1626" s="86"/>
      <c r="I1626" s="86">
        <v>585</v>
      </c>
      <c r="J1626" s="86"/>
      <c r="K1626" s="86">
        <v>0</v>
      </c>
      <c r="L1626" s="86"/>
      <c r="M1626" s="86">
        <v>313</v>
      </c>
      <c r="N1626" s="86"/>
      <c r="O1626" s="86">
        <v>0</v>
      </c>
      <c r="P1626" s="86">
        <v>7861281</v>
      </c>
      <c r="Q1626" s="86">
        <v>0</v>
      </c>
      <c r="R1626" s="87">
        <f t="shared" si="436"/>
        <v>391</v>
      </c>
      <c r="T1626" s="87">
        <v>2373</v>
      </c>
      <c r="U1626" s="89"/>
      <c r="V1626" s="89">
        <v>639</v>
      </c>
      <c r="W1626" s="90"/>
      <c r="X1626" s="90">
        <v>0</v>
      </c>
      <c r="Y1626" s="90">
        <v>8605718.0000000056</v>
      </c>
      <c r="Z1626" s="90">
        <v>2271</v>
      </c>
      <c r="AA1626" s="90">
        <v>391</v>
      </c>
      <c r="AB1626" s="89">
        <f t="shared" si="437"/>
        <v>2187</v>
      </c>
      <c r="AC1626" s="89">
        <f t="shared" si="438"/>
        <v>2373</v>
      </c>
      <c r="AD1626" s="89">
        <f t="shared" si="439"/>
        <v>2271</v>
      </c>
      <c r="AE1626" s="90">
        <f t="shared" si="440"/>
        <v>2187</v>
      </c>
      <c r="AF1626" s="90">
        <f t="shared" si="441"/>
        <v>2013</v>
      </c>
      <c r="AG1626" s="90">
        <f t="shared" si="442"/>
        <v>391</v>
      </c>
      <c r="AH1626" s="90" t="str">
        <f t="shared" si="443"/>
        <v>2018 (triag)</v>
      </c>
      <c r="AI1626" s="90">
        <f t="shared" si="444"/>
        <v>2271</v>
      </c>
      <c r="AJ1626" s="90">
        <f t="shared" si="445"/>
        <v>2022</v>
      </c>
      <c r="AK1626" s="90" t="str">
        <f t="shared" si="446"/>
        <v/>
      </c>
      <c r="AL1626" s="91">
        <f>IF(AK1626="Adjust",(_xlfn.XLOOKUP(A1626,'Adj factor'!A:A,'Adj factor'!I:I,,0)*AI1626),'Master DataSheet'!AI1626)</f>
        <v>2271</v>
      </c>
      <c r="AM1626" s="91">
        <f t="shared" si="447"/>
        <v>2271</v>
      </c>
      <c r="AN1626" s="92" t="str">
        <f t="shared" si="448"/>
        <v>Increasing</v>
      </c>
      <c r="AS1626" s="94">
        <f t="shared" si="449"/>
        <v>3.140049435318752</v>
      </c>
      <c r="AT1626" s="94">
        <f t="shared" si="450"/>
        <v>0.49737441009932098</v>
      </c>
      <c r="AU1626" s="94">
        <f t="shared" si="451"/>
        <v>2.6389430841215091</v>
      </c>
    </row>
    <row r="1627" spans="1:47" x14ac:dyDescent="0.3">
      <c r="A1627" s="85" t="str">
        <f>_xlfn.XLOOKUP(B1627,'Country codes &amp; Data sources'!G:G,'Country codes &amp; Data sources'!H:H,,0)</f>
        <v>Sierra Leone</v>
      </c>
      <c r="B1627" s="85" t="s">
        <v>186</v>
      </c>
      <c r="C1627" s="85">
        <v>6788594.5</v>
      </c>
      <c r="D1627" s="85" t="s">
        <v>333</v>
      </c>
      <c r="E1627" s="86">
        <v>0</v>
      </c>
      <c r="F1627" s="86">
        <v>6964858.4999999972</v>
      </c>
      <c r="G1627" s="86">
        <v>286</v>
      </c>
      <c r="H1627" s="86"/>
      <c r="I1627" s="86">
        <v>0</v>
      </c>
      <c r="J1627" s="86"/>
      <c r="K1627" s="86">
        <v>0</v>
      </c>
      <c r="L1627" s="86"/>
      <c r="M1627" s="86">
        <v>0</v>
      </c>
      <c r="N1627" s="86"/>
      <c r="O1627" s="86">
        <v>0</v>
      </c>
      <c r="P1627" s="86">
        <v>7861281</v>
      </c>
      <c r="Q1627" s="86">
        <v>0</v>
      </c>
      <c r="R1627" s="87">
        <f t="shared" si="436"/>
        <v>287</v>
      </c>
      <c r="T1627" s="87">
        <v>422</v>
      </c>
      <c r="U1627" s="89"/>
      <c r="V1627" s="89">
        <v>530</v>
      </c>
      <c r="W1627" s="90"/>
      <c r="X1627" s="90">
        <v>0</v>
      </c>
      <c r="Y1627" s="90">
        <v>8605718.0000000056</v>
      </c>
      <c r="Z1627" s="90">
        <v>184</v>
      </c>
      <c r="AA1627" s="90">
        <v>287</v>
      </c>
      <c r="AB1627" s="89">
        <f t="shared" si="437"/>
        <v>286</v>
      </c>
      <c r="AC1627" s="89">
        <f t="shared" si="438"/>
        <v>422</v>
      </c>
      <c r="AD1627" s="89">
        <f t="shared" si="439"/>
        <v>530</v>
      </c>
      <c r="AE1627" s="90">
        <f t="shared" si="440"/>
        <v>286</v>
      </c>
      <c r="AF1627" s="90">
        <f t="shared" si="441"/>
        <v>2013</v>
      </c>
      <c r="AG1627" s="90">
        <f t="shared" si="442"/>
        <v>287</v>
      </c>
      <c r="AH1627" s="90" t="str">
        <f t="shared" si="443"/>
        <v>2018 (triag)</v>
      </c>
      <c r="AI1627" s="90">
        <f t="shared" si="444"/>
        <v>184</v>
      </c>
      <c r="AJ1627" s="90">
        <f t="shared" si="445"/>
        <v>2022</v>
      </c>
      <c r="AK1627" s="90" t="str">
        <f t="shared" si="446"/>
        <v>Adjust</v>
      </c>
      <c r="AL1627" s="91">
        <f>IF(AK1627="Adjust",(_xlfn.XLOOKUP(A1627,'Adj factor'!A:A,'Adj factor'!I:I,,0)*AI1627),'Master DataSheet'!AI1627)</f>
        <v>211.4709505549564</v>
      </c>
      <c r="AM1627" s="91">
        <f t="shared" si="447"/>
        <v>287</v>
      </c>
      <c r="AN1627" s="92" t="str">
        <f t="shared" si="448"/>
        <v>Decreasing</v>
      </c>
      <c r="AS1627" s="94">
        <f t="shared" si="449"/>
        <v>0.41063289369051809</v>
      </c>
      <c r="AT1627" s="94">
        <f t="shared" si="450"/>
        <v>0.36508044935679057</v>
      </c>
      <c r="AU1627" s="94">
        <f t="shared" si="451"/>
        <v>0.33349919204882128</v>
      </c>
    </row>
    <row r="1628" spans="1:47" x14ac:dyDescent="0.3">
      <c r="A1628" s="85" t="str">
        <f>_xlfn.XLOOKUP(B1628,'Country codes &amp; Data sources'!G:G,'Country codes &amp; Data sources'!H:H,,0)</f>
        <v>Sierra Leone</v>
      </c>
      <c r="B1628" s="85" t="s">
        <v>186</v>
      </c>
      <c r="C1628" s="85">
        <v>6788595.5</v>
      </c>
      <c r="D1628" s="85" t="s">
        <v>334</v>
      </c>
      <c r="E1628" s="86">
        <v>0</v>
      </c>
      <c r="F1628" s="86">
        <v>6964858.4999999972</v>
      </c>
      <c r="G1628" s="86">
        <v>1901</v>
      </c>
      <c r="H1628" s="86"/>
      <c r="I1628" s="86">
        <v>0</v>
      </c>
      <c r="J1628" s="86"/>
      <c r="K1628" s="86">
        <v>0</v>
      </c>
      <c r="L1628" s="86"/>
      <c r="M1628" s="86">
        <v>0</v>
      </c>
      <c r="N1628" s="86"/>
      <c r="O1628" s="86">
        <v>0</v>
      </c>
      <c r="P1628" s="86">
        <v>7861281</v>
      </c>
      <c r="Q1628" s="86">
        <v>0</v>
      </c>
      <c r="R1628" s="87">
        <f t="shared" si="436"/>
        <v>104</v>
      </c>
      <c r="T1628" s="87">
        <v>1951</v>
      </c>
      <c r="U1628" s="89"/>
      <c r="V1628" s="89">
        <v>109</v>
      </c>
      <c r="W1628" s="90"/>
      <c r="X1628" s="90">
        <v>0</v>
      </c>
      <c r="Y1628" s="90">
        <v>8605718.0000000056</v>
      </c>
      <c r="Z1628" s="90">
        <v>2087</v>
      </c>
      <c r="AA1628" s="90">
        <v>104</v>
      </c>
      <c r="AB1628" s="89">
        <f t="shared" si="437"/>
        <v>1901</v>
      </c>
      <c r="AC1628" s="89">
        <f t="shared" si="438"/>
        <v>1951</v>
      </c>
      <c r="AD1628" s="89">
        <f t="shared" si="439"/>
        <v>2087</v>
      </c>
      <c r="AE1628" s="90">
        <f t="shared" si="440"/>
        <v>1901</v>
      </c>
      <c r="AF1628" s="90">
        <f t="shared" si="441"/>
        <v>2013</v>
      </c>
      <c r="AG1628" s="90">
        <f t="shared" si="442"/>
        <v>104</v>
      </c>
      <c r="AH1628" s="90" t="str">
        <f t="shared" si="443"/>
        <v>2018 (triag)</v>
      </c>
      <c r="AI1628" s="90">
        <f t="shared" si="444"/>
        <v>2087</v>
      </c>
      <c r="AJ1628" s="90">
        <f t="shared" si="445"/>
        <v>2022</v>
      </c>
      <c r="AK1628" s="90" t="str">
        <f t="shared" si="446"/>
        <v/>
      </c>
      <c r="AL1628" s="91">
        <f>IF(AK1628="Adjust",(_xlfn.XLOOKUP(A1628,'Adj factor'!A:A,'Adj factor'!I:I,,0)*AI1628),'Master DataSheet'!AI1628)</f>
        <v>2087</v>
      </c>
      <c r="AM1628" s="91">
        <f t="shared" si="447"/>
        <v>2087</v>
      </c>
      <c r="AN1628" s="92" t="str">
        <f t="shared" si="448"/>
        <v>Increasing</v>
      </c>
      <c r="AS1628" s="94">
        <f t="shared" si="449"/>
        <v>2.7294165416282339</v>
      </c>
      <c r="AT1628" s="94">
        <f t="shared" si="450"/>
        <v>0.13229396074253039</v>
      </c>
      <c r="AU1628" s="94">
        <f t="shared" si="451"/>
        <v>2.4251317554212197</v>
      </c>
    </row>
    <row r="1629" spans="1:47" ht="14.5" x14ac:dyDescent="0.35">
      <c r="A1629" s="85" t="str">
        <f>_xlfn.XLOOKUP(B1629,'Country codes &amp; Data sources'!G:G,'Country codes &amp; Data sources'!H:H,,0)</f>
        <v>Sierra Leone</v>
      </c>
      <c r="B1629" s="85" t="s">
        <v>186</v>
      </c>
      <c r="C1629" s="85">
        <v>6788596.5</v>
      </c>
      <c r="D1629" s="85" t="s">
        <v>335</v>
      </c>
      <c r="E1629" s="86">
        <v>0</v>
      </c>
      <c r="F1629" s="86">
        <v>6964858.4999999972</v>
      </c>
      <c r="G1629" s="86">
        <v>0</v>
      </c>
      <c r="H1629" s="86"/>
      <c r="I1629" s="86">
        <v>0</v>
      </c>
      <c r="J1629" s="86"/>
      <c r="K1629" s="86">
        <v>0</v>
      </c>
      <c r="L1629" s="86"/>
      <c r="M1629" s="86">
        <v>82</v>
      </c>
      <c r="N1629" s="86"/>
      <c r="O1629" s="86">
        <v>0</v>
      </c>
      <c r="P1629" s="86">
        <v>7861281</v>
      </c>
      <c r="Q1629" s="86">
        <v>156</v>
      </c>
      <c r="R1629" s="87">
        <f t="shared" si="436"/>
        <v>156</v>
      </c>
      <c r="T1629" s="87">
        <v>164</v>
      </c>
      <c r="U1629" s="89"/>
      <c r="V1629" s="89">
        <v>193</v>
      </c>
      <c r="W1629" s="90"/>
      <c r="X1629" s="90">
        <v>0</v>
      </c>
      <c r="Y1629" s="90">
        <v>8605718.0000000056</v>
      </c>
      <c r="Z1629" s="111">
        <v>193</v>
      </c>
      <c r="AA1629" s="90">
        <v>135</v>
      </c>
      <c r="AB1629" s="89">
        <f t="shared" si="437"/>
        <v>0</v>
      </c>
      <c r="AC1629" s="89">
        <f t="shared" si="438"/>
        <v>164</v>
      </c>
      <c r="AD1629" s="89">
        <f t="shared" si="439"/>
        <v>193</v>
      </c>
      <c r="AE1629" s="90">
        <f t="shared" si="440"/>
        <v>0</v>
      </c>
      <c r="AF1629" s="90" t="str">
        <f t="shared" si="441"/>
        <v/>
      </c>
      <c r="AG1629" s="90">
        <f t="shared" si="442"/>
        <v>156</v>
      </c>
      <c r="AH1629" s="90">
        <f t="shared" si="443"/>
        <v>2018</v>
      </c>
      <c r="AI1629" s="90">
        <f t="shared" si="444"/>
        <v>193</v>
      </c>
      <c r="AJ1629" s="90">
        <f t="shared" si="445"/>
        <v>2020</v>
      </c>
      <c r="AK1629" s="90" t="str">
        <f t="shared" si="446"/>
        <v/>
      </c>
      <c r="AL1629" s="91">
        <f>IF(AK1629="Adjust",(_xlfn.XLOOKUP(A1629,'Adj factor'!A:A,'Adj factor'!I:I,,0)*AI1629),'Master DataSheet'!AI1629)</f>
        <v>193</v>
      </c>
      <c r="AM1629" s="91">
        <f t="shared" si="447"/>
        <v>193</v>
      </c>
      <c r="AN1629" s="92" t="str">
        <f t="shared" si="448"/>
        <v>Increasing</v>
      </c>
      <c r="AS1629" s="94">
        <f t="shared" si="449"/>
        <v>0</v>
      </c>
      <c r="AT1629" s="94">
        <f t="shared" si="450"/>
        <v>0.19844094111379557</v>
      </c>
      <c r="AU1629" s="94">
        <f t="shared" si="451"/>
        <v>0.22426949151715159</v>
      </c>
    </row>
    <row r="1630" spans="1:47" ht="14.5" x14ac:dyDescent="0.35">
      <c r="A1630" s="85" t="str">
        <f>_xlfn.XLOOKUP(B1630,'Country codes &amp; Data sources'!G:G,'Country codes &amp; Data sources'!H:H,,0)</f>
        <v>Sierra Leone</v>
      </c>
      <c r="B1630" s="85" t="s">
        <v>186</v>
      </c>
      <c r="C1630" s="85">
        <v>6788597.5</v>
      </c>
      <c r="D1630" s="85" t="s">
        <v>336</v>
      </c>
      <c r="E1630" s="86">
        <v>0</v>
      </c>
      <c r="F1630" s="86">
        <v>6964858.4999999972</v>
      </c>
      <c r="G1630" s="86">
        <v>0</v>
      </c>
      <c r="H1630" s="86"/>
      <c r="I1630" s="86">
        <v>0</v>
      </c>
      <c r="J1630" s="86"/>
      <c r="K1630" s="86">
        <v>0</v>
      </c>
      <c r="L1630" s="86"/>
      <c r="M1630" s="86">
        <v>0</v>
      </c>
      <c r="N1630" s="86"/>
      <c r="O1630" s="86">
        <v>0</v>
      </c>
      <c r="P1630" s="86">
        <v>7861281</v>
      </c>
      <c r="Q1630" s="86">
        <v>0</v>
      </c>
      <c r="R1630" s="87">
        <f t="shared" si="436"/>
        <v>21</v>
      </c>
      <c r="T1630" s="87">
        <v>213</v>
      </c>
      <c r="U1630" s="89"/>
      <c r="V1630" s="89">
        <v>332</v>
      </c>
      <c r="W1630" s="90"/>
      <c r="X1630" s="90">
        <v>0</v>
      </c>
      <c r="Y1630" s="90">
        <v>8605718.0000000056</v>
      </c>
      <c r="Z1630" s="111">
        <f>525+332</f>
        <v>857</v>
      </c>
      <c r="AA1630" s="90">
        <v>21</v>
      </c>
      <c r="AB1630" s="89">
        <f t="shared" si="437"/>
        <v>0</v>
      </c>
      <c r="AC1630" s="89">
        <f t="shared" si="438"/>
        <v>213</v>
      </c>
      <c r="AD1630" s="89">
        <f t="shared" si="439"/>
        <v>857</v>
      </c>
      <c r="AE1630" s="90">
        <f t="shared" si="440"/>
        <v>0</v>
      </c>
      <c r="AF1630" s="90" t="str">
        <f t="shared" si="441"/>
        <v/>
      </c>
      <c r="AG1630" s="90">
        <f t="shared" si="442"/>
        <v>21</v>
      </c>
      <c r="AH1630" s="90" t="str">
        <f t="shared" si="443"/>
        <v>2018 (triag)</v>
      </c>
      <c r="AI1630" s="90">
        <f t="shared" si="444"/>
        <v>857</v>
      </c>
      <c r="AJ1630" s="90">
        <f t="shared" si="445"/>
        <v>2022</v>
      </c>
      <c r="AK1630" s="90" t="str">
        <f t="shared" si="446"/>
        <v/>
      </c>
      <c r="AL1630" s="91">
        <f>IF(AK1630="Adjust",(_xlfn.XLOOKUP(A1630,'Adj factor'!A:A,'Adj factor'!I:I,,0)*AI1630),'Master DataSheet'!AI1630)</f>
        <v>857</v>
      </c>
      <c r="AM1630" s="91">
        <f t="shared" si="447"/>
        <v>857</v>
      </c>
      <c r="AN1630" s="92" t="str">
        <f t="shared" si="448"/>
        <v>Increasing</v>
      </c>
      <c r="AS1630" s="94">
        <f t="shared" si="449"/>
        <v>0</v>
      </c>
      <c r="AT1630" s="94">
        <f t="shared" si="450"/>
        <v>2.6713203611472482E-2</v>
      </c>
      <c r="AU1630" s="94">
        <f t="shared" si="451"/>
        <v>0.99584950378341408</v>
      </c>
    </row>
    <row r="1631" spans="1:47" ht="14.5" x14ac:dyDescent="0.35">
      <c r="A1631" s="85" t="str">
        <f>_xlfn.XLOOKUP(B1631,'Country codes &amp; Data sources'!G:G,'Country codes &amp; Data sources'!H:H,,0)</f>
        <v>Sierra Leone</v>
      </c>
      <c r="B1631" s="85" t="s">
        <v>186</v>
      </c>
      <c r="C1631" s="85">
        <v>6788598.5</v>
      </c>
      <c r="D1631" s="85" t="s">
        <v>337</v>
      </c>
      <c r="E1631" s="86">
        <v>0</v>
      </c>
      <c r="F1631" s="86">
        <v>6964858.4999999972</v>
      </c>
      <c r="G1631" s="86">
        <v>0</v>
      </c>
      <c r="H1631" s="86"/>
      <c r="I1631" s="86">
        <v>0</v>
      </c>
      <c r="J1631" s="86"/>
      <c r="K1631" s="86">
        <v>0</v>
      </c>
      <c r="L1631" s="86"/>
      <c r="M1631" s="86">
        <v>53</v>
      </c>
      <c r="N1631" s="86"/>
      <c r="O1631" s="86">
        <v>0</v>
      </c>
      <c r="P1631" s="86">
        <v>7861281</v>
      </c>
      <c r="Q1631" s="86">
        <v>15</v>
      </c>
      <c r="R1631" s="87">
        <f t="shared" si="436"/>
        <v>15</v>
      </c>
      <c r="T1631" s="87">
        <v>7</v>
      </c>
      <c r="U1631" s="89"/>
      <c r="V1631" s="89">
        <v>15</v>
      </c>
      <c r="W1631" s="90"/>
      <c r="X1631" s="90">
        <v>0</v>
      </c>
      <c r="Y1631" s="90">
        <v>8605718.0000000056</v>
      </c>
      <c r="Z1631" s="111">
        <v>15</v>
      </c>
      <c r="AA1631" s="90">
        <v>9</v>
      </c>
      <c r="AB1631" s="89">
        <f t="shared" si="437"/>
        <v>0</v>
      </c>
      <c r="AC1631" s="89">
        <f t="shared" si="438"/>
        <v>53</v>
      </c>
      <c r="AD1631" s="89">
        <f t="shared" si="439"/>
        <v>15</v>
      </c>
      <c r="AE1631" s="90">
        <f t="shared" si="440"/>
        <v>0</v>
      </c>
      <c r="AF1631" s="90" t="str">
        <f t="shared" si="441"/>
        <v/>
      </c>
      <c r="AG1631" s="90">
        <f t="shared" si="442"/>
        <v>15</v>
      </c>
      <c r="AH1631" s="90">
        <f t="shared" si="443"/>
        <v>2018</v>
      </c>
      <c r="AI1631" s="90">
        <f t="shared" si="444"/>
        <v>15</v>
      </c>
      <c r="AJ1631" s="90">
        <f t="shared" si="445"/>
        <v>2020</v>
      </c>
      <c r="AK1631" s="90" t="str">
        <f t="shared" si="446"/>
        <v/>
      </c>
      <c r="AL1631" s="91">
        <f>IF(AK1631="Adjust",(_xlfn.XLOOKUP(A1631,'Adj factor'!A:A,'Adj factor'!I:I,,0)*AI1631),'Master DataSheet'!AI1631)</f>
        <v>15</v>
      </c>
      <c r="AM1631" s="91">
        <f t="shared" si="447"/>
        <v>15</v>
      </c>
      <c r="AN1631" s="92" t="str">
        <f t="shared" si="448"/>
        <v>No change</v>
      </c>
      <c r="AS1631" s="94">
        <f t="shared" si="449"/>
        <v>0</v>
      </c>
      <c r="AT1631" s="94">
        <f t="shared" si="450"/>
        <v>1.9080859722480345E-2</v>
      </c>
      <c r="AU1631" s="94">
        <f t="shared" si="451"/>
        <v>1.7430271361436652E-2</v>
      </c>
    </row>
    <row r="1632" spans="1:47" x14ac:dyDescent="0.3">
      <c r="A1632" s="85" t="str">
        <f>_xlfn.XLOOKUP(B1632,'Country codes &amp; Data sources'!G:G,'Country codes &amp; Data sources'!H:H,,0)</f>
        <v>Sierra Leone</v>
      </c>
      <c r="B1632" s="85" t="s">
        <v>186</v>
      </c>
      <c r="C1632" s="85">
        <v>6788599.5</v>
      </c>
      <c r="D1632" s="85" t="s">
        <v>338</v>
      </c>
      <c r="E1632" s="86">
        <v>0</v>
      </c>
      <c r="F1632" s="86">
        <v>6964858.4999999972</v>
      </c>
      <c r="G1632" s="86">
        <v>0</v>
      </c>
      <c r="H1632" s="86"/>
      <c r="I1632" s="86">
        <v>0</v>
      </c>
      <c r="J1632" s="86"/>
      <c r="K1632" s="86">
        <v>0</v>
      </c>
      <c r="L1632" s="86"/>
      <c r="M1632" s="86">
        <v>0</v>
      </c>
      <c r="N1632" s="86"/>
      <c r="O1632" s="86">
        <v>0</v>
      </c>
      <c r="P1632" s="86">
        <v>7861281</v>
      </c>
      <c r="Q1632" s="86">
        <v>0</v>
      </c>
      <c r="R1632" s="87">
        <f t="shared" si="436"/>
        <v>414</v>
      </c>
      <c r="T1632" s="87">
        <v>140</v>
      </c>
      <c r="U1632" s="89"/>
      <c r="V1632" s="89">
        <v>66</v>
      </c>
      <c r="W1632" s="90"/>
      <c r="X1632" s="90">
        <v>0</v>
      </c>
      <c r="Y1632" s="90">
        <v>8605718.0000000056</v>
      </c>
      <c r="Z1632" s="90">
        <v>126</v>
      </c>
      <c r="AA1632" s="90">
        <v>414</v>
      </c>
      <c r="AB1632" s="89">
        <f t="shared" si="437"/>
        <v>0</v>
      </c>
      <c r="AC1632" s="89">
        <f t="shared" si="438"/>
        <v>140</v>
      </c>
      <c r="AD1632" s="89">
        <f t="shared" si="439"/>
        <v>126</v>
      </c>
      <c r="AE1632" s="90">
        <f t="shared" si="440"/>
        <v>0</v>
      </c>
      <c r="AF1632" s="90" t="str">
        <f t="shared" si="441"/>
        <v/>
      </c>
      <c r="AG1632" s="90">
        <f t="shared" si="442"/>
        <v>414</v>
      </c>
      <c r="AH1632" s="90" t="str">
        <f t="shared" si="443"/>
        <v>2018 (triag)</v>
      </c>
      <c r="AI1632" s="90">
        <f t="shared" si="444"/>
        <v>126</v>
      </c>
      <c r="AJ1632" s="90">
        <f t="shared" si="445"/>
        <v>2022</v>
      </c>
      <c r="AK1632" s="90" t="str">
        <f t="shared" si="446"/>
        <v>Adjust</v>
      </c>
      <c r="AL1632" s="91">
        <f>IF(AK1632="Adjust",(_xlfn.XLOOKUP(A1632,'Adj factor'!A:A,'Adj factor'!I:I,,0)*AI1632),'Master DataSheet'!AI1632)</f>
        <v>144.81162918437232</v>
      </c>
      <c r="AM1632" s="91">
        <f t="shared" si="447"/>
        <v>414</v>
      </c>
      <c r="AN1632" s="92" t="str">
        <f t="shared" si="448"/>
        <v>Decreasing</v>
      </c>
      <c r="AS1632" s="94">
        <f t="shared" si="449"/>
        <v>0</v>
      </c>
      <c r="AT1632" s="94">
        <f t="shared" si="450"/>
        <v>0.52663172834045746</v>
      </c>
      <c r="AU1632" s="94">
        <f t="shared" si="451"/>
        <v>0.4810754895756516</v>
      </c>
    </row>
    <row r="1633" spans="1:47" x14ac:dyDescent="0.3">
      <c r="A1633" s="85" t="str">
        <f>_xlfn.XLOOKUP(B1633,'Country codes &amp; Data sources'!G:G,'Country codes &amp; Data sources'!H:H,,0)</f>
        <v>Sierra Leone</v>
      </c>
      <c r="B1633" s="85" t="s">
        <v>186</v>
      </c>
      <c r="C1633" s="85">
        <v>6788600.5</v>
      </c>
      <c r="D1633" s="85" t="s">
        <v>339</v>
      </c>
      <c r="E1633" s="86">
        <v>0</v>
      </c>
      <c r="F1633" s="86">
        <v>6964858.4999999972</v>
      </c>
      <c r="G1633" s="86">
        <v>0</v>
      </c>
      <c r="H1633" s="86"/>
      <c r="I1633" s="86">
        <v>0</v>
      </c>
      <c r="J1633" s="86"/>
      <c r="K1633" s="86">
        <v>0</v>
      </c>
      <c r="L1633" s="86"/>
      <c r="M1633" s="86">
        <v>0</v>
      </c>
      <c r="N1633" s="86"/>
      <c r="O1633" s="86">
        <v>0</v>
      </c>
      <c r="P1633" s="86">
        <v>7861281</v>
      </c>
      <c r="Q1633" s="86">
        <v>0</v>
      </c>
      <c r="R1633" s="87">
        <f t="shared" si="436"/>
        <v>0</v>
      </c>
      <c r="T1633" s="87">
        <v>0</v>
      </c>
      <c r="U1633" s="89"/>
      <c r="V1633" s="89">
        <v>0</v>
      </c>
      <c r="W1633" s="90"/>
      <c r="X1633" s="90">
        <v>0</v>
      </c>
      <c r="Y1633" s="90">
        <v>8605718.0000000056</v>
      </c>
      <c r="Z1633" s="90">
        <v>0</v>
      </c>
      <c r="AA1633" s="90">
        <v>0</v>
      </c>
      <c r="AB1633" s="89">
        <f t="shared" si="437"/>
        <v>0</v>
      </c>
      <c r="AC1633" s="89">
        <f t="shared" si="438"/>
        <v>0</v>
      </c>
      <c r="AD1633" s="89">
        <f t="shared" si="439"/>
        <v>0</v>
      </c>
      <c r="AE1633" s="90">
        <f t="shared" si="440"/>
        <v>0</v>
      </c>
      <c r="AF1633" s="90" t="str">
        <f t="shared" si="441"/>
        <v/>
      </c>
      <c r="AG1633" s="90">
        <f t="shared" si="442"/>
        <v>0</v>
      </c>
      <c r="AH1633" s="90" t="str">
        <f t="shared" si="443"/>
        <v/>
      </c>
      <c r="AI1633" s="90">
        <f t="shared" si="444"/>
        <v>0</v>
      </c>
      <c r="AJ1633" s="90" t="str">
        <f t="shared" si="445"/>
        <v/>
      </c>
      <c r="AK1633" s="90" t="str">
        <f t="shared" si="446"/>
        <v/>
      </c>
      <c r="AL1633" s="91">
        <f>IF(AK1633="Adjust",(_xlfn.XLOOKUP(A1633,'Adj factor'!A:A,'Adj factor'!I:I,,0)*AI1633),'Master DataSheet'!AI1633)</f>
        <v>0</v>
      </c>
      <c r="AM1633" s="91">
        <f t="shared" si="447"/>
        <v>0</v>
      </c>
      <c r="AN1633" s="92" t="str">
        <f t="shared" si="448"/>
        <v>No change</v>
      </c>
      <c r="AS1633" s="94">
        <f t="shared" si="449"/>
        <v>0</v>
      </c>
      <c r="AT1633" s="94">
        <f t="shared" si="450"/>
        <v>0</v>
      </c>
      <c r="AU1633" s="94">
        <f t="shared" si="451"/>
        <v>0</v>
      </c>
    </row>
    <row r="1634" spans="1:47" x14ac:dyDescent="0.3">
      <c r="A1634" s="85" t="str">
        <f>_xlfn.XLOOKUP(B1634,'Country codes &amp; Data sources'!G:G,'Country codes &amp; Data sources'!H:H,,0)</f>
        <v>South Sudan</v>
      </c>
      <c r="B1634" s="85" t="s">
        <v>188</v>
      </c>
      <c r="C1634" s="85">
        <v>10701604.500000004</v>
      </c>
      <c r="D1634" s="85" t="s">
        <v>326</v>
      </c>
      <c r="E1634" s="86">
        <v>0</v>
      </c>
      <c r="F1634" s="86">
        <v>11106031.000000004</v>
      </c>
      <c r="G1634" s="86">
        <v>0</v>
      </c>
      <c r="H1634" s="86">
        <v>11213284.499999998</v>
      </c>
      <c r="I1634" s="86">
        <v>0</v>
      </c>
      <c r="J1634" s="86">
        <v>11194299.499999998</v>
      </c>
      <c r="K1634" s="86">
        <v>0</v>
      </c>
      <c r="L1634" s="86">
        <v>11066105</v>
      </c>
      <c r="M1634" s="86">
        <v>0</v>
      </c>
      <c r="N1634" s="86">
        <v>10658225.499999994</v>
      </c>
      <c r="O1634" s="86">
        <v>0</v>
      </c>
      <c r="P1634" s="86">
        <v>10395329.5</v>
      </c>
      <c r="Q1634" s="86">
        <v>411</v>
      </c>
      <c r="R1634" s="87">
        <f t="shared" si="436"/>
        <v>411</v>
      </c>
      <c r="S1634" s="87">
        <v>10447665.999999998</v>
      </c>
      <c r="T1634" s="87">
        <v>342</v>
      </c>
      <c r="U1634" s="89">
        <v>10606227.000000002</v>
      </c>
      <c r="V1634" s="89">
        <v>456</v>
      </c>
      <c r="W1634" s="90">
        <v>10748272.499999998</v>
      </c>
      <c r="X1634" s="90">
        <v>0</v>
      </c>
      <c r="Y1634" s="90">
        <v>10913163.5</v>
      </c>
      <c r="Z1634" s="90">
        <v>0</v>
      </c>
      <c r="AA1634" s="90">
        <v>411</v>
      </c>
      <c r="AB1634" s="89">
        <f t="shared" si="437"/>
        <v>0</v>
      </c>
      <c r="AC1634" s="89">
        <f t="shared" si="438"/>
        <v>411</v>
      </c>
      <c r="AD1634" s="89">
        <f t="shared" si="439"/>
        <v>456</v>
      </c>
      <c r="AE1634" s="90">
        <f t="shared" si="440"/>
        <v>0</v>
      </c>
      <c r="AF1634" s="90" t="str">
        <f t="shared" si="441"/>
        <v/>
      </c>
      <c r="AG1634" s="90">
        <f t="shared" si="442"/>
        <v>411</v>
      </c>
      <c r="AH1634" s="90">
        <f t="shared" si="443"/>
        <v>2018</v>
      </c>
      <c r="AI1634" s="90">
        <f t="shared" si="444"/>
        <v>456</v>
      </c>
      <c r="AJ1634" s="90">
        <f t="shared" si="445"/>
        <v>2020</v>
      </c>
      <c r="AK1634" s="90" t="str">
        <f t="shared" si="446"/>
        <v/>
      </c>
      <c r="AL1634" s="91">
        <f>IF(AK1634="Adjust",(_xlfn.XLOOKUP(A1634,'Adj factor'!A:A,'Adj factor'!I:I,,0)*AI1634),'Master DataSheet'!AI1634)</f>
        <v>456</v>
      </c>
      <c r="AM1634" s="91">
        <f t="shared" si="447"/>
        <v>456</v>
      </c>
      <c r="AN1634" s="92" t="str">
        <f t="shared" si="448"/>
        <v>Increasing</v>
      </c>
      <c r="AS1634" s="94">
        <f t="shared" si="449"/>
        <v>0</v>
      </c>
      <c r="AT1634" s="94">
        <f t="shared" si="450"/>
        <v>0.39536986297548338</v>
      </c>
      <c r="AU1634" s="94">
        <f t="shared" si="451"/>
        <v>0.41784401012593642</v>
      </c>
    </row>
    <row r="1635" spans="1:47" x14ac:dyDescent="0.3">
      <c r="A1635" s="85" t="str">
        <f>_xlfn.XLOOKUP(B1635,'Country codes &amp; Data sources'!G:G,'Country codes &amp; Data sources'!H:H,,0)</f>
        <v>South Sudan</v>
      </c>
      <c r="B1635" s="85" t="s">
        <v>188</v>
      </c>
      <c r="C1635" s="85">
        <v>10701605.5</v>
      </c>
      <c r="D1635" s="85" t="s">
        <v>327</v>
      </c>
      <c r="E1635" s="86">
        <v>0</v>
      </c>
      <c r="F1635" s="86">
        <v>11106031.000000004</v>
      </c>
      <c r="G1635" s="86">
        <v>0</v>
      </c>
      <c r="H1635" s="86"/>
      <c r="I1635" s="86">
        <v>0</v>
      </c>
      <c r="J1635" s="86"/>
      <c r="K1635" s="86">
        <v>0</v>
      </c>
      <c r="L1635" s="86"/>
      <c r="M1635" s="86">
        <v>0</v>
      </c>
      <c r="N1635" s="86"/>
      <c r="O1635" s="86">
        <v>0</v>
      </c>
      <c r="P1635" s="86">
        <v>10395329.5</v>
      </c>
      <c r="Q1635" s="86">
        <v>338</v>
      </c>
      <c r="R1635" s="87">
        <f t="shared" si="436"/>
        <v>338</v>
      </c>
      <c r="T1635" s="87">
        <v>274</v>
      </c>
      <c r="U1635" s="89"/>
      <c r="V1635" s="89">
        <v>383</v>
      </c>
      <c r="W1635" s="90"/>
      <c r="X1635" s="90">
        <v>0</v>
      </c>
      <c r="Y1635" s="90">
        <v>10913163.5</v>
      </c>
      <c r="Z1635" s="90">
        <v>0</v>
      </c>
      <c r="AA1635" s="90">
        <v>338</v>
      </c>
      <c r="AB1635" s="89">
        <f t="shared" si="437"/>
        <v>0</v>
      </c>
      <c r="AC1635" s="89">
        <f t="shared" si="438"/>
        <v>338</v>
      </c>
      <c r="AD1635" s="89">
        <f t="shared" si="439"/>
        <v>383</v>
      </c>
      <c r="AE1635" s="90">
        <f t="shared" si="440"/>
        <v>0</v>
      </c>
      <c r="AF1635" s="90" t="str">
        <f t="shared" si="441"/>
        <v/>
      </c>
      <c r="AG1635" s="90">
        <f t="shared" si="442"/>
        <v>338</v>
      </c>
      <c r="AH1635" s="90">
        <f t="shared" si="443"/>
        <v>2018</v>
      </c>
      <c r="AI1635" s="90">
        <f t="shared" si="444"/>
        <v>383</v>
      </c>
      <c r="AJ1635" s="90">
        <f t="shared" si="445"/>
        <v>2020</v>
      </c>
      <c r="AK1635" s="90" t="str">
        <f t="shared" si="446"/>
        <v/>
      </c>
      <c r="AL1635" s="91">
        <f>IF(AK1635="Adjust",(_xlfn.XLOOKUP(A1635,'Adj factor'!A:A,'Adj factor'!I:I,,0)*AI1635),'Master DataSheet'!AI1635)</f>
        <v>383</v>
      </c>
      <c r="AM1635" s="91">
        <f t="shared" si="447"/>
        <v>383</v>
      </c>
      <c r="AN1635" s="92" t="str">
        <f t="shared" si="448"/>
        <v>Increasing</v>
      </c>
      <c r="AS1635" s="94">
        <f t="shared" si="449"/>
        <v>0</v>
      </c>
      <c r="AT1635" s="94">
        <f t="shared" si="450"/>
        <v>0.32514601870003257</v>
      </c>
      <c r="AU1635" s="94">
        <f t="shared" si="451"/>
        <v>0.35095231552244222</v>
      </c>
    </row>
    <row r="1636" spans="1:47" x14ac:dyDescent="0.3">
      <c r="A1636" s="85" t="str">
        <f>_xlfn.XLOOKUP(B1636,'Country codes &amp; Data sources'!G:G,'Country codes &amp; Data sources'!H:H,,0)</f>
        <v>South Sudan</v>
      </c>
      <c r="B1636" s="85" t="s">
        <v>188</v>
      </c>
      <c r="C1636" s="85">
        <v>10701606.5</v>
      </c>
      <c r="D1636" s="85" t="s">
        <v>328</v>
      </c>
      <c r="E1636" s="86">
        <v>0</v>
      </c>
      <c r="F1636" s="86">
        <v>11106031.000000004</v>
      </c>
      <c r="G1636" s="86">
        <v>0</v>
      </c>
      <c r="H1636" s="86"/>
      <c r="I1636" s="86">
        <v>0</v>
      </c>
      <c r="J1636" s="86"/>
      <c r="K1636" s="86">
        <v>0</v>
      </c>
      <c r="L1636" s="86"/>
      <c r="M1636" s="86">
        <v>0</v>
      </c>
      <c r="N1636" s="86"/>
      <c r="O1636" s="86">
        <v>0</v>
      </c>
      <c r="P1636" s="86">
        <v>10395329.5</v>
      </c>
      <c r="Q1636" s="86">
        <v>73</v>
      </c>
      <c r="R1636" s="87">
        <f t="shared" si="436"/>
        <v>73</v>
      </c>
      <c r="T1636" s="87">
        <v>68</v>
      </c>
      <c r="U1636" s="89"/>
      <c r="V1636" s="89">
        <v>73</v>
      </c>
      <c r="W1636" s="90"/>
      <c r="X1636" s="90">
        <v>0</v>
      </c>
      <c r="Y1636" s="90">
        <v>10913163.5</v>
      </c>
      <c r="Z1636" s="90">
        <v>0</v>
      </c>
      <c r="AA1636" s="90">
        <v>73</v>
      </c>
      <c r="AB1636" s="89">
        <f t="shared" si="437"/>
        <v>0</v>
      </c>
      <c r="AC1636" s="89">
        <f t="shared" si="438"/>
        <v>73</v>
      </c>
      <c r="AD1636" s="89">
        <f t="shared" si="439"/>
        <v>73</v>
      </c>
      <c r="AE1636" s="90">
        <f t="shared" si="440"/>
        <v>0</v>
      </c>
      <c r="AF1636" s="90" t="str">
        <f t="shared" si="441"/>
        <v/>
      </c>
      <c r="AG1636" s="90">
        <f t="shared" si="442"/>
        <v>73</v>
      </c>
      <c r="AH1636" s="90">
        <f t="shared" si="443"/>
        <v>2018</v>
      </c>
      <c r="AI1636" s="90">
        <f t="shared" si="444"/>
        <v>73</v>
      </c>
      <c r="AJ1636" s="90">
        <f t="shared" si="445"/>
        <v>2020</v>
      </c>
      <c r="AK1636" s="90" t="str">
        <f t="shared" si="446"/>
        <v/>
      </c>
      <c r="AL1636" s="91">
        <f>IF(AK1636="Adjust",(_xlfn.XLOOKUP(A1636,'Adj factor'!A:A,'Adj factor'!I:I,,0)*AI1636),'Master DataSheet'!AI1636)</f>
        <v>73</v>
      </c>
      <c r="AM1636" s="91">
        <f t="shared" si="447"/>
        <v>73</v>
      </c>
      <c r="AN1636" s="92" t="str">
        <f t="shared" si="448"/>
        <v>No change</v>
      </c>
      <c r="AS1636" s="94">
        <f t="shared" si="449"/>
        <v>0</v>
      </c>
      <c r="AT1636" s="94">
        <f t="shared" si="450"/>
        <v>7.0223844275450822E-2</v>
      </c>
      <c r="AU1636" s="94">
        <f t="shared" si="451"/>
        <v>6.6891694603494214E-2</v>
      </c>
    </row>
    <row r="1637" spans="1:47" x14ac:dyDescent="0.3">
      <c r="A1637" s="85" t="str">
        <f>_xlfn.XLOOKUP(B1637,'Country codes &amp; Data sources'!G:G,'Country codes &amp; Data sources'!H:H,,0)</f>
        <v>South Sudan</v>
      </c>
      <c r="B1637" s="85" t="s">
        <v>188</v>
      </c>
      <c r="C1637" s="85">
        <v>10701607.5</v>
      </c>
      <c r="D1637" s="85" t="s">
        <v>329</v>
      </c>
      <c r="E1637" s="86">
        <v>0</v>
      </c>
      <c r="F1637" s="86">
        <v>11106031.000000004</v>
      </c>
      <c r="G1637" s="86">
        <v>0</v>
      </c>
      <c r="H1637" s="86"/>
      <c r="I1637" s="86">
        <v>0</v>
      </c>
      <c r="J1637" s="86"/>
      <c r="K1637" s="86">
        <v>0</v>
      </c>
      <c r="L1637" s="86"/>
      <c r="M1637" s="86">
        <v>0</v>
      </c>
      <c r="N1637" s="86"/>
      <c r="O1637" s="86">
        <v>0</v>
      </c>
      <c r="P1637" s="86">
        <v>10395329.5</v>
      </c>
      <c r="Q1637" s="86">
        <v>3726</v>
      </c>
      <c r="R1637" s="87">
        <f t="shared" si="436"/>
        <v>3726</v>
      </c>
      <c r="T1637" s="87">
        <v>3714</v>
      </c>
      <c r="U1637" s="89"/>
      <c r="V1637" s="89">
        <v>4530</v>
      </c>
      <c r="W1637" s="90"/>
      <c r="X1637" s="90">
        <v>0</v>
      </c>
      <c r="Y1637" s="90">
        <v>10913163.5</v>
      </c>
      <c r="Z1637" s="90">
        <v>0</v>
      </c>
      <c r="AA1637" s="90">
        <v>2014</v>
      </c>
      <c r="AB1637" s="89">
        <f t="shared" si="437"/>
        <v>0</v>
      </c>
      <c r="AC1637" s="89">
        <f t="shared" si="438"/>
        <v>3726</v>
      </c>
      <c r="AD1637" s="89">
        <f t="shared" si="439"/>
        <v>4530</v>
      </c>
      <c r="AE1637" s="90">
        <f t="shared" si="440"/>
        <v>0</v>
      </c>
      <c r="AF1637" s="90" t="str">
        <f t="shared" si="441"/>
        <v/>
      </c>
      <c r="AG1637" s="90">
        <f t="shared" si="442"/>
        <v>3726</v>
      </c>
      <c r="AH1637" s="90">
        <f t="shared" si="443"/>
        <v>2018</v>
      </c>
      <c r="AI1637" s="90">
        <f t="shared" si="444"/>
        <v>4530</v>
      </c>
      <c r="AJ1637" s="90">
        <f t="shared" si="445"/>
        <v>2020</v>
      </c>
      <c r="AK1637" s="90" t="str">
        <f t="shared" si="446"/>
        <v/>
      </c>
      <c r="AL1637" s="91">
        <f>IF(AK1637="Adjust",(_xlfn.XLOOKUP(A1637,'Adj factor'!A:A,'Adj factor'!I:I,,0)*AI1637),'Master DataSheet'!AI1637)</f>
        <v>4530</v>
      </c>
      <c r="AM1637" s="91">
        <f t="shared" si="447"/>
        <v>4530</v>
      </c>
      <c r="AN1637" s="92" t="str">
        <f t="shared" si="448"/>
        <v>Increasing</v>
      </c>
      <c r="AS1637" s="94">
        <f t="shared" si="449"/>
        <v>0</v>
      </c>
      <c r="AT1637" s="94">
        <f t="shared" si="450"/>
        <v>3.5843019694565719</v>
      </c>
      <c r="AU1637" s="94">
        <f t="shared" si="451"/>
        <v>4.150950363751079</v>
      </c>
    </row>
    <row r="1638" spans="1:47" x14ac:dyDescent="0.3">
      <c r="A1638" s="85" t="str">
        <f>_xlfn.XLOOKUP(B1638,'Country codes &amp; Data sources'!G:G,'Country codes &amp; Data sources'!H:H,,0)</f>
        <v>South Sudan</v>
      </c>
      <c r="B1638" s="85" t="s">
        <v>188</v>
      </c>
      <c r="C1638" s="85">
        <v>10701608.5</v>
      </c>
      <c r="D1638" s="85" t="s">
        <v>330</v>
      </c>
      <c r="E1638" s="86">
        <v>0</v>
      </c>
      <c r="F1638" s="86">
        <v>11106031.000000004</v>
      </c>
      <c r="G1638" s="86">
        <v>0</v>
      </c>
      <c r="H1638" s="86"/>
      <c r="I1638" s="86">
        <v>0</v>
      </c>
      <c r="J1638" s="86"/>
      <c r="K1638" s="86">
        <v>0</v>
      </c>
      <c r="L1638" s="86"/>
      <c r="M1638" s="86">
        <v>0</v>
      </c>
      <c r="N1638" s="86"/>
      <c r="O1638" s="86">
        <v>0</v>
      </c>
      <c r="P1638" s="86">
        <v>10395329.5</v>
      </c>
      <c r="Q1638" s="86">
        <v>0</v>
      </c>
      <c r="R1638" s="87">
        <f t="shared" si="436"/>
        <v>2014</v>
      </c>
      <c r="T1638" s="87">
        <v>502</v>
      </c>
      <c r="U1638" s="89"/>
      <c r="V1638" s="89">
        <v>596</v>
      </c>
      <c r="W1638" s="90"/>
      <c r="X1638" s="90">
        <v>0</v>
      </c>
      <c r="Y1638" s="90">
        <v>10913163.5</v>
      </c>
      <c r="Z1638" s="90">
        <v>0</v>
      </c>
      <c r="AA1638" s="90">
        <v>2014</v>
      </c>
      <c r="AB1638" s="89">
        <f t="shared" si="437"/>
        <v>0</v>
      </c>
      <c r="AC1638" s="89">
        <f t="shared" si="438"/>
        <v>502</v>
      </c>
      <c r="AD1638" s="89">
        <f t="shared" si="439"/>
        <v>596</v>
      </c>
      <c r="AE1638" s="90">
        <f t="shared" si="440"/>
        <v>0</v>
      </c>
      <c r="AF1638" s="90" t="str">
        <f t="shared" si="441"/>
        <v/>
      </c>
      <c r="AG1638" s="90">
        <f t="shared" si="442"/>
        <v>2014</v>
      </c>
      <c r="AH1638" s="90" t="str">
        <f t="shared" si="443"/>
        <v>2018 (triag)</v>
      </c>
      <c r="AI1638" s="90">
        <f t="shared" si="444"/>
        <v>596</v>
      </c>
      <c r="AJ1638" s="90">
        <f t="shared" si="445"/>
        <v>2020</v>
      </c>
      <c r="AK1638" s="90" t="str">
        <f t="shared" si="446"/>
        <v>Adjust</v>
      </c>
      <c r="AL1638" s="91">
        <f>IF(AK1638="Adjust",(_xlfn.XLOOKUP(A1638,'Adj factor'!A:A,'Adj factor'!I:I,,0)*AI1638),'Master DataSheet'!AI1638)</f>
        <v>684.98199201496743</v>
      </c>
      <c r="AM1638" s="91">
        <f t="shared" si="447"/>
        <v>2014</v>
      </c>
      <c r="AN1638" s="92" t="str">
        <f t="shared" si="448"/>
        <v>Decreasing</v>
      </c>
      <c r="AS1638" s="94">
        <f t="shared" si="449"/>
        <v>0</v>
      </c>
      <c r="AT1638" s="94">
        <f t="shared" si="450"/>
        <v>1.9374085256268212</v>
      </c>
      <c r="AU1638" s="94">
        <f t="shared" si="451"/>
        <v>1.8454777113895526</v>
      </c>
    </row>
    <row r="1639" spans="1:47" x14ac:dyDescent="0.3">
      <c r="A1639" s="85" t="str">
        <f>_xlfn.XLOOKUP(B1639,'Country codes &amp; Data sources'!G:G,'Country codes &amp; Data sources'!H:H,,0)</f>
        <v>South Sudan</v>
      </c>
      <c r="B1639" s="85" t="s">
        <v>188</v>
      </c>
      <c r="C1639" s="85">
        <v>10701609.5</v>
      </c>
      <c r="D1639" s="85" t="s">
        <v>331</v>
      </c>
      <c r="E1639" s="86">
        <v>0</v>
      </c>
      <c r="F1639" s="86">
        <v>11106031.000000004</v>
      </c>
      <c r="G1639" s="86">
        <v>0</v>
      </c>
      <c r="H1639" s="86"/>
      <c r="I1639" s="86">
        <v>0</v>
      </c>
      <c r="J1639" s="86"/>
      <c r="K1639" s="86">
        <v>0</v>
      </c>
      <c r="L1639" s="86"/>
      <c r="M1639" s="86">
        <v>0</v>
      </c>
      <c r="N1639" s="86"/>
      <c r="O1639" s="86">
        <v>0</v>
      </c>
      <c r="P1639" s="86">
        <v>10395329.5</v>
      </c>
      <c r="Q1639" s="86">
        <v>0</v>
      </c>
      <c r="R1639" s="87">
        <f t="shared" si="436"/>
        <v>0</v>
      </c>
      <c r="T1639" s="87">
        <v>3212</v>
      </c>
      <c r="U1639" s="89"/>
      <c r="V1639" s="89">
        <v>3934</v>
      </c>
      <c r="W1639" s="90"/>
      <c r="X1639" s="90">
        <v>0</v>
      </c>
      <c r="Y1639" s="90">
        <v>10913163.5</v>
      </c>
      <c r="Z1639" s="90">
        <v>0</v>
      </c>
      <c r="AA1639" s="90">
        <v>0</v>
      </c>
      <c r="AB1639" s="89">
        <f t="shared" si="437"/>
        <v>0</v>
      </c>
      <c r="AC1639" s="89">
        <f t="shared" si="438"/>
        <v>3212</v>
      </c>
      <c r="AD1639" s="89">
        <f t="shared" si="439"/>
        <v>3934</v>
      </c>
      <c r="AE1639" s="90">
        <f t="shared" si="440"/>
        <v>0</v>
      </c>
      <c r="AF1639" s="90" t="str">
        <f t="shared" si="441"/>
        <v/>
      </c>
      <c r="AG1639" s="90">
        <f t="shared" si="442"/>
        <v>3212</v>
      </c>
      <c r="AH1639" s="90">
        <f t="shared" si="443"/>
        <v>2019</v>
      </c>
      <c r="AI1639" s="90">
        <f t="shared" si="444"/>
        <v>3934</v>
      </c>
      <c r="AJ1639" s="90">
        <f t="shared" si="445"/>
        <v>2020</v>
      </c>
      <c r="AK1639" s="90" t="str">
        <f t="shared" si="446"/>
        <v/>
      </c>
      <c r="AL1639" s="91">
        <f>IF(AK1639="Adjust",(_xlfn.XLOOKUP(A1639,'Adj factor'!A:A,'Adj factor'!I:I,,0)*AI1639),'Master DataSheet'!AI1639)</f>
        <v>3934</v>
      </c>
      <c r="AM1639" s="91">
        <f t="shared" si="447"/>
        <v>3934</v>
      </c>
      <c r="AN1639" s="92" t="str">
        <f t="shared" si="448"/>
        <v>Increasing</v>
      </c>
      <c r="AS1639" s="94">
        <f t="shared" si="449"/>
        <v>0</v>
      </c>
      <c r="AT1639" s="94">
        <f t="shared" si="450"/>
        <v>3.089849148119836</v>
      </c>
      <c r="AU1639" s="94">
        <f t="shared" si="451"/>
        <v>3.6048209119198114</v>
      </c>
    </row>
    <row r="1640" spans="1:47" x14ac:dyDescent="0.3">
      <c r="A1640" s="85" t="str">
        <f>_xlfn.XLOOKUP(B1640,'Country codes &amp; Data sources'!G:G,'Country codes &amp; Data sources'!H:H,,0)</f>
        <v>South Sudan</v>
      </c>
      <c r="B1640" s="85" t="s">
        <v>188</v>
      </c>
      <c r="C1640" s="85">
        <v>10701610.5</v>
      </c>
      <c r="D1640" s="85" t="s">
        <v>332</v>
      </c>
      <c r="E1640" s="86">
        <v>0</v>
      </c>
      <c r="F1640" s="86">
        <v>11106031.000000004</v>
      </c>
      <c r="G1640" s="86">
        <v>0</v>
      </c>
      <c r="H1640" s="86"/>
      <c r="I1640" s="86">
        <v>0</v>
      </c>
      <c r="J1640" s="86"/>
      <c r="K1640" s="86">
        <v>0</v>
      </c>
      <c r="L1640" s="86"/>
      <c r="M1640" s="86">
        <v>0</v>
      </c>
      <c r="N1640" s="86"/>
      <c r="O1640" s="86">
        <v>0</v>
      </c>
      <c r="P1640" s="86">
        <v>10395329.5</v>
      </c>
      <c r="Q1640" s="86">
        <v>0</v>
      </c>
      <c r="R1640" s="87">
        <f t="shared" si="436"/>
        <v>1712</v>
      </c>
      <c r="T1640" s="87">
        <v>2380</v>
      </c>
      <c r="U1640" s="89"/>
      <c r="V1640" s="89">
        <v>3020</v>
      </c>
      <c r="W1640" s="90"/>
      <c r="X1640" s="90">
        <v>0</v>
      </c>
      <c r="Y1640" s="90">
        <v>10913163.5</v>
      </c>
      <c r="Z1640" s="90">
        <v>0</v>
      </c>
      <c r="AA1640" s="90">
        <v>1712</v>
      </c>
      <c r="AB1640" s="89">
        <f t="shared" si="437"/>
        <v>0</v>
      </c>
      <c r="AC1640" s="89">
        <f t="shared" si="438"/>
        <v>2380</v>
      </c>
      <c r="AD1640" s="89">
        <f t="shared" si="439"/>
        <v>3020</v>
      </c>
      <c r="AE1640" s="90">
        <f t="shared" si="440"/>
        <v>0</v>
      </c>
      <c r="AF1640" s="90" t="str">
        <f t="shared" si="441"/>
        <v/>
      </c>
      <c r="AG1640" s="90">
        <f t="shared" si="442"/>
        <v>1712</v>
      </c>
      <c r="AH1640" s="90" t="str">
        <f t="shared" si="443"/>
        <v>2018 (triag)</v>
      </c>
      <c r="AI1640" s="90">
        <f t="shared" si="444"/>
        <v>3020</v>
      </c>
      <c r="AJ1640" s="90">
        <f t="shared" si="445"/>
        <v>2020</v>
      </c>
      <c r="AK1640" s="90" t="str">
        <f t="shared" si="446"/>
        <v/>
      </c>
      <c r="AL1640" s="91">
        <f>IF(AK1640="Adjust",(_xlfn.XLOOKUP(A1640,'Adj factor'!A:A,'Adj factor'!I:I,,0)*AI1640),'Master DataSheet'!AI1640)</f>
        <v>3020</v>
      </c>
      <c r="AM1640" s="91">
        <f t="shared" si="447"/>
        <v>3020</v>
      </c>
      <c r="AN1640" s="92" t="str">
        <f t="shared" si="448"/>
        <v>Increasing</v>
      </c>
      <c r="AS1640" s="94">
        <f t="shared" si="449"/>
        <v>0</v>
      </c>
      <c r="AT1640" s="94">
        <f t="shared" si="450"/>
        <v>1.6468934438297507</v>
      </c>
      <c r="AU1640" s="94">
        <f t="shared" si="451"/>
        <v>2.7673002425007196</v>
      </c>
    </row>
    <row r="1641" spans="1:47" x14ac:dyDescent="0.3">
      <c r="A1641" s="85" t="str">
        <f>_xlfn.XLOOKUP(B1641,'Country codes &amp; Data sources'!G:G,'Country codes &amp; Data sources'!H:H,,0)</f>
        <v>South Sudan</v>
      </c>
      <c r="B1641" s="85" t="s">
        <v>188</v>
      </c>
      <c r="C1641" s="85">
        <v>10701611.5</v>
      </c>
      <c r="D1641" s="85" t="s">
        <v>333</v>
      </c>
      <c r="E1641" s="86">
        <v>0</v>
      </c>
      <c r="F1641" s="86">
        <v>11106031.000000004</v>
      </c>
      <c r="G1641" s="86">
        <v>0</v>
      </c>
      <c r="H1641" s="86"/>
      <c r="I1641" s="86">
        <v>0</v>
      </c>
      <c r="J1641" s="86"/>
      <c r="K1641" s="86">
        <v>0</v>
      </c>
      <c r="L1641" s="86"/>
      <c r="M1641" s="86">
        <v>0</v>
      </c>
      <c r="N1641" s="86"/>
      <c r="O1641" s="86">
        <v>0</v>
      </c>
      <c r="P1641" s="86">
        <v>10395329.5</v>
      </c>
      <c r="Q1641" s="86">
        <v>0</v>
      </c>
      <c r="R1641" s="87">
        <f t="shared" si="436"/>
        <v>1112</v>
      </c>
      <c r="T1641" s="87">
        <v>380</v>
      </c>
      <c r="U1641" s="89"/>
      <c r="V1641" s="89">
        <v>456</v>
      </c>
      <c r="W1641" s="90"/>
      <c r="X1641" s="90">
        <v>0</v>
      </c>
      <c r="Y1641" s="90">
        <v>10913163.5</v>
      </c>
      <c r="Z1641" s="90">
        <v>0</v>
      </c>
      <c r="AA1641" s="90">
        <v>1112</v>
      </c>
      <c r="AB1641" s="89">
        <f t="shared" si="437"/>
        <v>0</v>
      </c>
      <c r="AC1641" s="89">
        <f t="shared" si="438"/>
        <v>380</v>
      </c>
      <c r="AD1641" s="89">
        <f t="shared" si="439"/>
        <v>456</v>
      </c>
      <c r="AE1641" s="90">
        <f t="shared" si="440"/>
        <v>0</v>
      </c>
      <c r="AF1641" s="90" t="str">
        <f t="shared" si="441"/>
        <v/>
      </c>
      <c r="AG1641" s="90">
        <f t="shared" si="442"/>
        <v>1112</v>
      </c>
      <c r="AH1641" s="90" t="str">
        <f t="shared" si="443"/>
        <v>2018 (triag)</v>
      </c>
      <c r="AI1641" s="90">
        <f t="shared" si="444"/>
        <v>456</v>
      </c>
      <c r="AJ1641" s="90">
        <f t="shared" si="445"/>
        <v>2020</v>
      </c>
      <c r="AK1641" s="90" t="str">
        <f t="shared" si="446"/>
        <v>Adjust</v>
      </c>
      <c r="AL1641" s="91">
        <f>IF(AK1641="Adjust",(_xlfn.XLOOKUP(A1641,'Adj factor'!A:A,'Adj factor'!I:I,,0)*AI1641),'Master DataSheet'!AI1641)</f>
        <v>524.08018181010937</v>
      </c>
      <c r="AM1641" s="91">
        <f t="shared" si="447"/>
        <v>1112</v>
      </c>
      <c r="AN1641" s="92" t="str">
        <f t="shared" si="448"/>
        <v>Decreasing</v>
      </c>
      <c r="AS1641" s="94">
        <f t="shared" si="449"/>
        <v>0</v>
      </c>
      <c r="AT1641" s="94">
        <f t="shared" si="450"/>
        <v>1.0697111621137165</v>
      </c>
      <c r="AU1641" s="94">
        <f t="shared" si="451"/>
        <v>1.0189529369737749</v>
      </c>
    </row>
    <row r="1642" spans="1:47" x14ac:dyDescent="0.3">
      <c r="A1642" s="85" t="str">
        <f>_xlfn.XLOOKUP(B1642,'Country codes &amp; Data sources'!G:G,'Country codes &amp; Data sources'!H:H,,0)</f>
        <v>South Sudan</v>
      </c>
      <c r="B1642" s="85" t="s">
        <v>188</v>
      </c>
      <c r="C1642" s="85">
        <v>10701612.5</v>
      </c>
      <c r="D1642" s="85" t="s">
        <v>334</v>
      </c>
      <c r="E1642" s="86">
        <v>0</v>
      </c>
      <c r="F1642" s="86">
        <v>11106031.000000004</v>
      </c>
      <c r="G1642" s="86">
        <v>0</v>
      </c>
      <c r="H1642" s="86"/>
      <c r="I1642" s="86">
        <v>0</v>
      </c>
      <c r="J1642" s="86"/>
      <c r="K1642" s="86">
        <v>0</v>
      </c>
      <c r="L1642" s="86"/>
      <c r="M1642" s="86">
        <v>0</v>
      </c>
      <c r="N1642" s="86"/>
      <c r="O1642" s="86">
        <v>0</v>
      </c>
      <c r="P1642" s="86">
        <v>10395329.5</v>
      </c>
      <c r="Q1642" s="86">
        <v>0</v>
      </c>
      <c r="R1642" s="87">
        <f t="shared" ref="R1642:R1705" si="452">MAX(Q1642,AA1642)</f>
        <v>600</v>
      </c>
      <c r="T1642" s="87">
        <v>2000</v>
      </c>
      <c r="U1642" s="89"/>
      <c r="V1642" s="89">
        <v>2564</v>
      </c>
      <c r="W1642" s="90"/>
      <c r="X1642" s="90">
        <v>0</v>
      </c>
      <c r="Y1642" s="90">
        <v>10913163.5</v>
      </c>
      <c r="Z1642" s="90">
        <v>0</v>
      </c>
      <c r="AA1642" s="90">
        <v>600</v>
      </c>
      <c r="AB1642" s="89">
        <f t="shared" ref="AB1642:AB1705" si="453">MAX(G1642,E1642,I1642,K1642)</f>
        <v>0</v>
      </c>
      <c r="AC1642" s="89">
        <f t="shared" ref="AC1642:AC1705" si="454">MAX(M1642,O1642,Q1642,T1642)</f>
        <v>2000</v>
      </c>
      <c r="AD1642" s="89">
        <f t="shared" ref="AD1642:AD1705" si="455">MAX(V1642,X1642,Z1642)</f>
        <v>2564</v>
      </c>
      <c r="AE1642" s="90">
        <f t="shared" ref="AE1642:AE1705" si="456">IF(G1642&gt;0,G1642,IF(E1642&gt;0,E1642,IF(I1642&gt;0,I1642,K1642)))</f>
        <v>0</v>
      </c>
      <c r="AF1642" s="90" t="str">
        <f t="shared" ref="AF1642:AF1705" si="457">IF(AE1642&gt;0,_xlfn.XLOOKUP(AE1642,$B1642:$K1642,$B$1:$K$1,,0),"")</f>
        <v/>
      </c>
      <c r="AG1642" s="90">
        <f t="shared" ref="AG1642:AG1705" si="458">IF(R1642&gt;0,R1642,IF(O1642&gt;0,O1642,T1642))</f>
        <v>600</v>
      </c>
      <c r="AH1642" s="90" t="str">
        <f t="shared" ref="AH1642:AH1705" si="459">IF(AG1642&gt;0,_xlfn.XLOOKUP(AG1642,$L1642:$T1642,$L$1:$T$1,,0),"")</f>
        <v>2018 (triag)</v>
      </c>
      <c r="AI1642" s="90">
        <f t="shared" ref="AI1642:AI1705" si="460">IF((IF(Z1642&gt;0,Z1642,IF(X1642&gt;0,X1642,IF(V1642&gt;0,V1642,T1642))))=0,AG1642,IF(Z1642&gt;0,Z1642,IF(X1642&gt;0,X1642,IF(V1642&gt;0,V1642,T1642))))</f>
        <v>2564</v>
      </c>
      <c r="AJ1642" s="90">
        <f t="shared" ref="AJ1642:AJ1705" si="461">IFERROR(IF(AI1642&gt;0,_xlfn.XLOOKUP(AI1642,$V1642:$Z1642,$V$1:$Z$1,,0),""),AH1642)</f>
        <v>2020</v>
      </c>
      <c r="AK1642" s="90" t="str">
        <f t="shared" ref="AK1642:AK1705" si="462">IF(AI1642&lt;AG1642,"Adjust","")</f>
        <v/>
      </c>
      <c r="AL1642" s="91">
        <f>IF(AK1642="Adjust",(_xlfn.XLOOKUP(A1642,'Adj factor'!A:A,'Adj factor'!I:I,,0)*AI1642),'Master DataSheet'!AI1642)</f>
        <v>2564</v>
      </c>
      <c r="AM1642" s="91">
        <f t="shared" ref="AM1642:AM1705" si="463">IF(AL1642&lt;AG1642,AG1642,AL1642)</f>
        <v>2564</v>
      </c>
      <c r="AN1642" s="92" t="str">
        <f t="shared" ref="AN1642:AN1705" si="464">IF(AL1642&gt;AG1642,"Increasing",IF(AL1642&lt;AG1642,"Decreasing","No change"))</f>
        <v>Increasing</v>
      </c>
      <c r="AS1642" s="94">
        <f t="shared" ref="AS1642:AS1705" si="465">(AE1642*10000)/F1642</f>
        <v>0</v>
      </c>
      <c r="AT1642" s="94">
        <f t="shared" ref="AT1642:AT1705" si="466">(AG1642*10000)/P1642</f>
        <v>0.57718228171603414</v>
      </c>
      <c r="AU1642" s="94">
        <f t="shared" ref="AU1642:AU1705" si="467">(AM1642*10000)/Y1642</f>
        <v>2.349456232374783</v>
      </c>
    </row>
    <row r="1643" spans="1:47" x14ac:dyDescent="0.3">
      <c r="A1643" s="85" t="str">
        <f>_xlfn.XLOOKUP(B1643,'Country codes &amp; Data sources'!G:G,'Country codes &amp; Data sources'!H:H,,0)</f>
        <v>South Sudan</v>
      </c>
      <c r="B1643" s="85" t="s">
        <v>188</v>
      </c>
      <c r="C1643" s="85">
        <v>10701613.5</v>
      </c>
      <c r="D1643" s="85" t="s">
        <v>335</v>
      </c>
      <c r="E1643" s="86">
        <v>0</v>
      </c>
      <c r="F1643" s="86">
        <v>11106031.000000004</v>
      </c>
      <c r="G1643" s="86">
        <v>0</v>
      </c>
      <c r="H1643" s="86"/>
      <c r="I1643" s="86">
        <v>0</v>
      </c>
      <c r="J1643" s="86"/>
      <c r="K1643" s="86">
        <v>0</v>
      </c>
      <c r="L1643" s="86"/>
      <c r="M1643" s="86">
        <v>0</v>
      </c>
      <c r="N1643" s="86"/>
      <c r="O1643" s="86">
        <v>0</v>
      </c>
      <c r="P1643" s="86">
        <v>10395329.5</v>
      </c>
      <c r="Q1643" s="86">
        <v>360</v>
      </c>
      <c r="R1643" s="87">
        <f t="shared" si="452"/>
        <v>360</v>
      </c>
      <c r="T1643" s="87">
        <v>98</v>
      </c>
      <c r="U1643" s="89"/>
      <c r="V1643" s="89">
        <v>139</v>
      </c>
      <c r="W1643" s="90"/>
      <c r="X1643" s="90">
        <v>0</v>
      </c>
      <c r="Y1643" s="90">
        <v>10913163.5</v>
      </c>
      <c r="Z1643" s="90">
        <v>0</v>
      </c>
      <c r="AA1643" s="90">
        <v>210</v>
      </c>
      <c r="AB1643" s="89">
        <f t="shared" si="453"/>
        <v>0</v>
      </c>
      <c r="AC1643" s="89">
        <f t="shared" si="454"/>
        <v>360</v>
      </c>
      <c r="AD1643" s="89">
        <f t="shared" si="455"/>
        <v>139</v>
      </c>
      <c r="AE1643" s="90">
        <f t="shared" si="456"/>
        <v>0</v>
      </c>
      <c r="AF1643" s="90" t="str">
        <f t="shared" si="457"/>
        <v/>
      </c>
      <c r="AG1643" s="90">
        <f t="shared" si="458"/>
        <v>360</v>
      </c>
      <c r="AH1643" s="90">
        <f t="shared" si="459"/>
        <v>2018</v>
      </c>
      <c r="AI1643" s="90">
        <f t="shared" si="460"/>
        <v>139</v>
      </c>
      <c r="AJ1643" s="90">
        <f t="shared" si="461"/>
        <v>2020</v>
      </c>
      <c r="AK1643" s="90" t="str">
        <f t="shared" si="462"/>
        <v>Adjust</v>
      </c>
      <c r="AL1643" s="91">
        <f>IF(AK1643="Adjust",(_xlfn.XLOOKUP(A1643,'Adj factor'!A:A,'Adj factor'!I:I,,0)*AI1643),'Master DataSheet'!AI1643)</f>
        <v>159.7525115605377</v>
      </c>
      <c r="AM1643" s="91">
        <f t="shared" si="463"/>
        <v>360</v>
      </c>
      <c r="AN1643" s="92" t="str">
        <f t="shared" si="464"/>
        <v>Decreasing</v>
      </c>
      <c r="AS1643" s="94">
        <f t="shared" si="465"/>
        <v>0</v>
      </c>
      <c r="AT1643" s="94">
        <f t="shared" si="466"/>
        <v>0.34630936902962045</v>
      </c>
      <c r="AU1643" s="94">
        <f t="shared" si="467"/>
        <v>0.32987685009942352</v>
      </c>
    </row>
    <row r="1644" spans="1:47" x14ac:dyDescent="0.3">
      <c r="A1644" s="85" t="str">
        <f>_xlfn.XLOOKUP(B1644,'Country codes &amp; Data sources'!G:G,'Country codes &amp; Data sources'!H:H,,0)</f>
        <v>South Sudan</v>
      </c>
      <c r="B1644" s="85" t="s">
        <v>188</v>
      </c>
      <c r="C1644" s="85">
        <v>10701614.5</v>
      </c>
      <c r="D1644" s="85" t="s">
        <v>336</v>
      </c>
      <c r="E1644" s="86">
        <v>0</v>
      </c>
      <c r="F1644" s="86">
        <v>11106031.000000004</v>
      </c>
      <c r="G1644" s="86">
        <v>0</v>
      </c>
      <c r="H1644" s="86"/>
      <c r="I1644" s="86">
        <v>0</v>
      </c>
      <c r="J1644" s="86"/>
      <c r="K1644" s="86">
        <v>0</v>
      </c>
      <c r="L1644" s="86"/>
      <c r="M1644" s="86">
        <v>0</v>
      </c>
      <c r="N1644" s="86"/>
      <c r="O1644" s="86">
        <v>0</v>
      </c>
      <c r="P1644" s="86">
        <v>10395329.5</v>
      </c>
      <c r="Q1644" s="86">
        <v>0</v>
      </c>
      <c r="R1644" s="87">
        <f t="shared" si="452"/>
        <v>150</v>
      </c>
      <c r="T1644" s="87">
        <v>253</v>
      </c>
      <c r="U1644" s="89"/>
      <c r="V1644" s="89">
        <v>291</v>
      </c>
      <c r="W1644" s="90"/>
      <c r="X1644" s="90">
        <v>0</v>
      </c>
      <c r="Y1644" s="90">
        <v>10913163.5</v>
      </c>
      <c r="Z1644" s="90">
        <v>0</v>
      </c>
      <c r="AA1644" s="90">
        <v>150</v>
      </c>
      <c r="AB1644" s="89">
        <f t="shared" si="453"/>
        <v>0</v>
      </c>
      <c r="AC1644" s="89">
        <f t="shared" si="454"/>
        <v>253</v>
      </c>
      <c r="AD1644" s="89">
        <f t="shared" si="455"/>
        <v>291</v>
      </c>
      <c r="AE1644" s="90">
        <f t="shared" si="456"/>
        <v>0</v>
      </c>
      <c r="AF1644" s="90" t="str">
        <f t="shared" si="457"/>
        <v/>
      </c>
      <c r="AG1644" s="90">
        <f t="shared" si="458"/>
        <v>150</v>
      </c>
      <c r="AH1644" s="90" t="str">
        <f t="shared" si="459"/>
        <v>2018 (triag)</v>
      </c>
      <c r="AI1644" s="90">
        <f t="shared" si="460"/>
        <v>291</v>
      </c>
      <c r="AJ1644" s="90">
        <f t="shared" si="461"/>
        <v>2020</v>
      </c>
      <c r="AK1644" s="90" t="str">
        <f t="shared" si="462"/>
        <v/>
      </c>
      <c r="AL1644" s="91">
        <f>IF(AK1644="Adjust",(_xlfn.XLOOKUP(A1644,'Adj factor'!A:A,'Adj factor'!I:I,,0)*AI1644),'Master DataSheet'!AI1644)</f>
        <v>291</v>
      </c>
      <c r="AM1644" s="91">
        <f t="shared" si="463"/>
        <v>291</v>
      </c>
      <c r="AN1644" s="92" t="str">
        <f t="shared" si="464"/>
        <v>Increasing</v>
      </c>
      <c r="AS1644" s="94">
        <f t="shared" si="465"/>
        <v>0</v>
      </c>
      <c r="AT1644" s="94">
        <f t="shared" si="466"/>
        <v>0.14429557042900854</v>
      </c>
      <c r="AU1644" s="94">
        <f t="shared" si="467"/>
        <v>0.26665045383036734</v>
      </c>
    </row>
    <row r="1645" spans="1:47" x14ac:dyDescent="0.3">
      <c r="A1645" s="85" t="str">
        <f>_xlfn.XLOOKUP(B1645,'Country codes &amp; Data sources'!G:G,'Country codes &amp; Data sources'!H:H,,0)</f>
        <v>South Sudan</v>
      </c>
      <c r="B1645" s="85" t="s">
        <v>188</v>
      </c>
      <c r="C1645" s="85">
        <v>10701615.5</v>
      </c>
      <c r="D1645" s="85" t="s">
        <v>337</v>
      </c>
      <c r="E1645" s="86">
        <v>0</v>
      </c>
      <c r="F1645" s="86">
        <v>11106031.000000004</v>
      </c>
      <c r="G1645" s="86">
        <v>0</v>
      </c>
      <c r="H1645" s="86"/>
      <c r="I1645" s="86">
        <v>0</v>
      </c>
      <c r="J1645" s="86"/>
      <c r="K1645" s="86">
        <v>0</v>
      </c>
      <c r="L1645" s="86"/>
      <c r="M1645" s="86">
        <v>0</v>
      </c>
      <c r="N1645" s="86"/>
      <c r="O1645" s="86">
        <v>0</v>
      </c>
      <c r="P1645" s="86">
        <v>10395329.5</v>
      </c>
      <c r="Q1645" s="86">
        <v>32</v>
      </c>
      <c r="R1645" s="87">
        <f t="shared" si="452"/>
        <v>32</v>
      </c>
      <c r="T1645" s="87">
        <v>20</v>
      </c>
      <c r="U1645" s="89"/>
      <c r="V1645" s="89">
        <v>28</v>
      </c>
      <c r="W1645" s="90"/>
      <c r="X1645" s="90">
        <v>0</v>
      </c>
      <c r="Y1645" s="90">
        <v>10913163.5</v>
      </c>
      <c r="Z1645" s="90">
        <v>0</v>
      </c>
      <c r="AA1645" s="90">
        <v>20</v>
      </c>
      <c r="AB1645" s="89">
        <f t="shared" si="453"/>
        <v>0</v>
      </c>
      <c r="AC1645" s="89">
        <f t="shared" si="454"/>
        <v>32</v>
      </c>
      <c r="AD1645" s="89">
        <f t="shared" si="455"/>
        <v>28</v>
      </c>
      <c r="AE1645" s="90">
        <f t="shared" si="456"/>
        <v>0</v>
      </c>
      <c r="AF1645" s="90" t="str">
        <f t="shared" si="457"/>
        <v/>
      </c>
      <c r="AG1645" s="90">
        <f t="shared" si="458"/>
        <v>32</v>
      </c>
      <c r="AH1645" s="90">
        <f t="shared" si="459"/>
        <v>2018</v>
      </c>
      <c r="AI1645" s="90">
        <f t="shared" si="460"/>
        <v>28</v>
      </c>
      <c r="AJ1645" s="90">
        <f t="shared" si="461"/>
        <v>2020</v>
      </c>
      <c r="AK1645" s="90" t="str">
        <f t="shared" si="462"/>
        <v>Adjust</v>
      </c>
      <c r="AL1645" s="91">
        <f>IF(AK1645="Adjust",(_xlfn.XLOOKUP(A1645,'Adj factor'!A:A,'Adj factor'!I:I,,0)*AI1645),'Master DataSheet'!AI1645)</f>
        <v>32.180362040971623</v>
      </c>
      <c r="AM1645" s="91">
        <f t="shared" si="463"/>
        <v>32.180362040971623</v>
      </c>
      <c r="AN1645" s="92" t="str">
        <f t="shared" si="464"/>
        <v>Increasing</v>
      </c>
      <c r="AS1645" s="94">
        <f t="shared" si="465"/>
        <v>0</v>
      </c>
      <c r="AT1645" s="94">
        <f t="shared" si="466"/>
        <v>3.0783055024855153E-2</v>
      </c>
      <c r="AU1645" s="94">
        <f t="shared" si="467"/>
        <v>2.9487656847596595E-2</v>
      </c>
    </row>
    <row r="1646" spans="1:47" x14ac:dyDescent="0.3">
      <c r="A1646" s="85" t="str">
        <f>_xlfn.XLOOKUP(B1646,'Country codes &amp; Data sources'!G:G,'Country codes &amp; Data sources'!H:H,,0)</f>
        <v>South Sudan</v>
      </c>
      <c r="B1646" s="85" t="s">
        <v>188</v>
      </c>
      <c r="C1646" s="85">
        <v>10701616.5</v>
      </c>
      <c r="D1646" s="85" t="s">
        <v>338</v>
      </c>
      <c r="E1646" s="86">
        <v>0</v>
      </c>
      <c r="F1646" s="86">
        <v>11106031.000000004</v>
      </c>
      <c r="G1646" s="86">
        <v>0</v>
      </c>
      <c r="H1646" s="86"/>
      <c r="I1646" s="86">
        <v>0</v>
      </c>
      <c r="J1646" s="86"/>
      <c r="K1646" s="86">
        <v>0</v>
      </c>
      <c r="L1646" s="86"/>
      <c r="M1646" s="86">
        <v>0</v>
      </c>
      <c r="N1646" s="86"/>
      <c r="O1646" s="86">
        <v>0</v>
      </c>
      <c r="P1646" s="86">
        <v>10395329.5</v>
      </c>
      <c r="Q1646" s="86">
        <v>22</v>
      </c>
      <c r="R1646" s="87">
        <f t="shared" si="452"/>
        <v>22</v>
      </c>
      <c r="T1646" s="87">
        <v>96</v>
      </c>
      <c r="U1646" s="89"/>
      <c r="V1646" s="89">
        <v>128</v>
      </c>
      <c r="W1646" s="90"/>
      <c r="X1646" s="90">
        <v>0</v>
      </c>
      <c r="Y1646" s="90">
        <v>10913163.5</v>
      </c>
      <c r="Z1646" s="90">
        <v>0</v>
      </c>
      <c r="AA1646" s="90">
        <v>12</v>
      </c>
      <c r="AB1646" s="89">
        <f t="shared" si="453"/>
        <v>0</v>
      </c>
      <c r="AC1646" s="89">
        <f t="shared" si="454"/>
        <v>96</v>
      </c>
      <c r="AD1646" s="89">
        <f t="shared" si="455"/>
        <v>128</v>
      </c>
      <c r="AE1646" s="90">
        <f t="shared" si="456"/>
        <v>0</v>
      </c>
      <c r="AF1646" s="90" t="str">
        <f t="shared" si="457"/>
        <v/>
      </c>
      <c r="AG1646" s="90">
        <f t="shared" si="458"/>
        <v>22</v>
      </c>
      <c r="AH1646" s="90">
        <f t="shared" si="459"/>
        <v>2018</v>
      </c>
      <c r="AI1646" s="90">
        <f t="shared" si="460"/>
        <v>128</v>
      </c>
      <c r="AJ1646" s="90">
        <f t="shared" si="461"/>
        <v>2020</v>
      </c>
      <c r="AK1646" s="90" t="str">
        <f t="shared" si="462"/>
        <v/>
      </c>
      <c r="AL1646" s="91">
        <f>IF(AK1646="Adjust",(_xlfn.XLOOKUP(A1646,'Adj factor'!A:A,'Adj factor'!I:I,,0)*AI1646),'Master DataSheet'!AI1646)</f>
        <v>128</v>
      </c>
      <c r="AM1646" s="91">
        <f t="shared" si="463"/>
        <v>128</v>
      </c>
      <c r="AN1646" s="92" t="str">
        <f t="shared" si="464"/>
        <v>Increasing</v>
      </c>
      <c r="AS1646" s="94">
        <f t="shared" si="465"/>
        <v>0</v>
      </c>
      <c r="AT1646" s="94">
        <f t="shared" si="466"/>
        <v>2.1163350329587917E-2</v>
      </c>
      <c r="AU1646" s="94">
        <f t="shared" si="467"/>
        <v>0.11728954670201724</v>
      </c>
    </row>
    <row r="1647" spans="1:47" x14ac:dyDescent="0.3">
      <c r="A1647" s="85" t="str">
        <f>_xlfn.XLOOKUP(B1647,'Country codes &amp; Data sources'!G:G,'Country codes &amp; Data sources'!H:H,,0)</f>
        <v>South Sudan</v>
      </c>
      <c r="B1647" s="85" t="s">
        <v>188</v>
      </c>
      <c r="C1647" s="85">
        <v>10701617.5</v>
      </c>
      <c r="D1647" s="85" t="s">
        <v>339</v>
      </c>
      <c r="E1647" s="86">
        <v>0</v>
      </c>
      <c r="F1647" s="86">
        <v>11106031.000000004</v>
      </c>
      <c r="G1647" s="86">
        <v>0</v>
      </c>
      <c r="H1647" s="86"/>
      <c r="I1647" s="86">
        <v>0</v>
      </c>
      <c r="J1647" s="86"/>
      <c r="K1647" s="86">
        <v>0</v>
      </c>
      <c r="L1647" s="86"/>
      <c r="M1647" s="86">
        <v>0</v>
      </c>
      <c r="N1647" s="86"/>
      <c r="O1647" s="86">
        <v>0</v>
      </c>
      <c r="P1647" s="86">
        <v>10395329.5</v>
      </c>
      <c r="Q1647" s="86">
        <v>0</v>
      </c>
      <c r="R1647" s="87">
        <f t="shared" si="452"/>
        <v>0</v>
      </c>
      <c r="T1647" s="87">
        <v>0</v>
      </c>
      <c r="U1647" s="89"/>
      <c r="V1647" s="89">
        <v>0</v>
      </c>
      <c r="W1647" s="90"/>
      <c r="X1647" s="90">
        <v>0</v>
      </c>
      <c r="Y1647" s="90">
        <v>10913163.5</v>
      </c>
      <c r="Z1647" s="90">
        <v>0</v>
      </c>
      <c r="AA1647" s="90">
        <v>0</v>
      </c>
      <c r="AB1647" s="89">
        <f t="shared" si="453"/>
        <v>0</v>
      </c>
      <c r="AC1647" s="89">
        <f t="shared" si="454"/>
        <v>0</v>
      </c>
      <c r="AD1647" s="89">
        <f t="shared" si="455"/>
        <v>0</v>
      </c>
      <c r="AE1647" s="90">
        <f t="shared" si="456"/>
        <v>0</v>
      </c>
      <c r="AF1647" s="90" t="str">
        <f t="shared" si="457"/>
        <v/>
      </c>
      <c r="AG1647" s="90">
        <f t="shared" si="458"/>
        <v>0</v>
      </c>
      <c r="AH1647" s="90" t="str">
        <f t="shared" si="459"/>
        <v/>
      </c>
      <c r="AI1647" s="90">
        <f t="shared" si="460"/>
        <v>0</v>
      </c>
      <c r="AJ1647" s="90" t="str">
        <f t="shared" si="461"/>
        <v/>
      </c>
      <c r="AK1647" s="90" t="str">
        <f t="shared" si="462"/>
        <v/>
      </c>
      <c r="AL1647" s="91">
        <f>IF(AK1647="Adjust",(_xlfn.XLOOKUP(A1647,'Adj factor'!A:A,'Adj factor'!I:I,,0)*AI1647),'Master DataSheet'!AI1647)</f>
        <v>0</v>
      </c>
      <c r="AM1647" s="91">
        <f t="shared" si="463"/>
        <v>0</v>
      </c>
      <c r="AN1647" s="92" t="str">
        <f t="shared" si="464"/>
        <v>No change</v>
      </c>
      <c r="AS1647" s="94">
        <f t="shared" si="465"/>
        <v>0</v>
      </c>
      <c r="AT1647" s="94">
        <f t="shared" si="466"/>
        <v>0</v>
      </c>
      <c r="AU1647" s="94">
        <f t="shared" si="467"/>
        <v>0</v>
      </c>
    </row>
    <row r="1648" spans="1:47" x14ac:dyDescent="0.3">
      <c r="A1648" s="85" t="str">
        <f>_xlfn.XLOOKUP(B1648,'Country codes &amp; Data sources'!G:G,'Country codes &amp; Data sources'!H:H,,0)</f>
        <v>Sao Tome and Principe</v>
      </c>
      <c r="B1648" s="85" t="s">
        <v>153</v>
      </c>
      <c r="C1648" s="85">
        <v>189924.5</v>
      </c>
      <c r="D1648" s="85" t="s">
        <v>326</v>
      </c>
      <c r="E1648" s="86">
        <v>0</v>
      </c>
      <c r="F1648" s="86">
        <v>193756.99999999997</v>
      </c>
      <c r="G1648" s="86">
        <v>0</v>
      </c>
      <c r="H1648" s="86">
        <v>197496.99999999994</v>
      </c>
      <c r="I1648" s="86">
        <v>0</v>
      </c>
      <c r="J1648" s="86">
        <v>201123.50000000012</v>
      </c>
      <c r="K1648" s="86">
        <v>63</v>
      </c>
      <c r="L1648" s="86">
        <v>204632.49999999985</v>
      </c>
      <c r="M1648" s="86">
        <v>0</v>
      </c>
      <c r="N1648" s="86">
        <v>208036.50000000012</v>
      </c>
      <c r="O1648" s="86">
        <v>0</v>
      </c>
      <c r="P1648" s="86">
        <v>211344</v>
      </c>
      <c r="Q1648" s="86">
        <v>0</v>
      </c>
      <c r="R1648" s="87">
        <f t="shared" si="452"/>
        <v>60</v>
      </c>
      <c r="S1648" s="87">
        <v>214599.00000000006</v>
      </c>
      <c r="T1648" s="87">
        <v>105</v>
      </c>
      <c r="U1648" s="89">
        <v>218640.99999999997</v>
      </c>
      <c r="V1648" s="89">
        <v>0</v>
      </c>
      <c r="W1648" s="90">
        <v>223107.49999999991</v>
      </c>
      <c r="X1648" s="90">
        <v>0</v>
      </c>
      <c r="Y1648" s="90">
        <v>227379.5</v>
      </c>
      <c r="Z1648" s="90">
        <v>0</v>
      </c>
      <c r="AA1648" s="90">
        <v>60</v>
      </c>
      <c r="AB1648" s="89">
        <f t="shared" si="453"/>
        <v>63</v>
      </c>
      <c r="AC1648" s="89">
        <f t="shared" si="454"/>
        <v>105</v>
      </c>
      <c r="AD1648" s="89">
        <f t="shared" si="455"/>
        <v>0</v>
      </c>
      <c r="AE1648" s="90">
        <f t="shared" si="456"/>
        <v>63</v>
      </c>
      <c r="AF1648" s="90">
        <f t="shared" si="457"/>
        <v>2015</v>
      </c>
      <c r="AG1648" s="90">
        <f t="shared" si="458"/>
        <v>60</v>
      </c>
      <c r="AH1648" s="90" t="str">
        <f t="shared" si="459"/>
        <v>2018 (triag)</v>
      </c>
      <c r="AI1648" s="90">
        <f t="shared" si="460"/>
        <v>105</v>
      </c>
      <c r="AJ1648" s="90" t="str">
        <f t="shared" si="461"/>
        <v>2018 (triag)</v>
      </c>
      <c r="AK1648" s="90" t="str">
        <f t="shared" si="462"/>
        <v/>
      </c>
      <c r="AL1648" s="91">
        <f>IF(AK1648="Adjust",(_xlfn.XLOOKUP(A1648,'Adj factor'!A:A,'Adj factor'!I:I,,0)*AI1648),'Master DataSheet'!AI1648)</f>
        <v>105</v>
      </c>
      <c r="AM1648" s="91">
        <f t="shared" si="463"/>
        <v>105</v>
      </c>
      <c r="AN1648" s="92" t="str">
        <f t="shared" si="464"/>
        <v>Increasing</v>
      </c>
      <c r="AS1648" s="94">
        <f t="shared" si="465"/>
        <v>3.2514954298425351</v>
      </c>
      <c r="AT1648" s="94">
        <f t="shared" si="466"/>
        <v>2.8389734272087215</v>
      </c>
      <c r="AU1648" s="94">
        <f t="shared" si="467"/>
        <v>4.6178305432107996</v>
      </c>
    </row>
    <row r="1649" spans="1:47" x14ac:dyDescent="0.3">
      <c r="A1649" s="85" t="str">
        <f>_xlfn.XLOOKUP(B1649,'Country codes &amp; Data sources'!G:G,'Country codes &amp; Data sources'!H:H,,0)</f>
        <v>Sao Tome and Principe</v>
      </c>
      <c r="B1649" s="85" t="s">
        <v>153</v>
      </c>
      <c r="C1649" s="85">
        <v>189925.5</v>
      </c>
      <c r="D1649" s="85" t="s">
        <v>327</v>
      </c>
      <c r="E1649" s="86">
        <v>0</v>
      </c>
      <c r="F1649" s="86">
        <v>193756.99999999997</v>
      </c>
      <c r="G1649" s="86">
        <v>0</v>
      </c>
      <c r="H1649" s="86"/>
      <c r="I1649" s="86">
        <v>0</v>
      </c>
      <c r="J1649" s="86"/>
      <c r="K1649" s="86">
        <v>0</v>
      </c>
      <c r="L1649" s="86"/>
      <c r="M1649" s="86">
        <v>0</v>
      </c>
      <c r="N1649" s="86"/>
      <c r="O1649" s="86">
        <v>0</v>
      </c>
      <c r="P1649" s="86">
        <v>211344</v>
      </c>
      <c r="Q1649" s="86">
        <v>0</v>
      </c>
      <c r="R1649" s="87">
        <f t="shared" si="452"/>
        <v>40</v>
      </c>
      <c r="T1649" s="87">
        <v>0</v>
      </c>
      <c r="U1649" s="89"/>
      <c r="V1649" s="89">
        <v>0</v>
      </c>
      <c r="W1649" s="90"/>
      <c r="X1649" s="90">
        <v>0</v>
      </c>
      <c r="Y1649" s="90">
        <v>227379.5</v>
      </c>
      <c r="Z1649" s="90">
        <v>0</v>
      </c>
      <c r="AA1649" s="90">
        <v>40</v>
      </c>
      <c r="AB1649" s="89">
        <f t="shared" si="453"/>
        <v>0</v>
      </c>
      <c r="AC1649" s="89">
        <f t="shared" si="454"/>
        <v>0</v>
      </c>
      <c r="AD1649" s="89">
        <f t="shared" si="455"/>
        <v>0</v>
      </c>
      <c r="AE1649" s="90">
        <f t="shared" si="456"/>
        <v>0</v>
      </c>
      <c r="AF1649" s="90" t="str">
        <f t="shared" si="457"/>
        <v/>
      </c>
      <c r="AG1649" s="90">
        <f t="shared" si="458"/>
        <v>40</v>
      </c>
      <c r="AH1649" s="90" t="str">
        <f t="shared" si="459"/>
        <v>2018 (triag)</v>
      </c>
      <c r="AI1649" s="90">
        <f t="shared" si="460"/>
        <v>40</v>
      </c>
      <c r="AJ1649" s="90" t="str">
        <f t="shared" si="461"/>
        <v>2018 (triag)</v>
      </c>
      <c r="AK1649" s="90" t="str">
        <f t="shared" si="462"/>
        <v/>
      </c>
      <c r="AL1649" s="91">
        <f>IF(AK1649="Adjust",(_xlfn.XLOOKUP(A1649,'Adj factor'!A:A,'Adj factor'!I:I,,0)*AI1649),'Master DataSheet'!AI1649)</f>
        <v>40</v>
      </c>
      <c r="AM1649" s="91">
        <f t="shared" si="463"/>
        <v>40</v>
      </c>
      <c r="AN1649" s="92" t="str">
        <f t="shared" si="464"/>
        <v>No change</v>
      </c>
      <c r="AS1649" s="94">
        <f t="shared" si="465"/>
        <v>0</v>
      </c>
      <c r="AT1649" s="94">
        <f t="shared" si="466"/>
        <v>1.8926489514724809</v>
      </c>
      <c r="AU1649" s="94">
        <f t="shared" si="467"/>
        <v>1.7591735402707809</v>
      </c>
    </row>
    <row r="1650" spans="1:47" x14ac:dyDescent="0.3">
      <c r="A1650" s="85" t="str">
        <f>_xlfn.XLOOKUP(B1650,'Country codes &amp; Data sources'!G:G,'Country codes &amp; Data sources'!H:H,,0)</f>
        <v>Sao Tome and Principe</v>
      </c>
      <c r="B1650" s="85" t="s">
        <v>153</v>
      </c>
      <c r="C1650" s="85">
        <v>189926.5</v>
      </c>
      <c r="D1650" s="85" t="s">
        <v>328</v>
      </c>
      <c r="E1650" s="86">
        <v>0</v>
      </c>
      <c r="F1650" s="86">
        <v>193756.99999999997</v>
      </c>
      <c r="G1650" s="86">
        <v>0</v>
      </c>
      <c r="H1650" s="86"/>
      <c r="I1650" s="86">
        <v>0</v>
      </c>
      <c r="J1650" s="86"/>
      <c r="K1650" s="86">
        <v>0</v>
      </c>
      <c r="L1650" s="86"/>
      <c r="M1650" s="86">
        <v>0</v>
      </c>
      <c r="N1650" s="86"/>
      <c r="O1650" s="86">
        <v>0</v>
      </c>
      <c r="P1650" s="86">
        <v>211344</v>
      </c>
      <c r="Q1650" s="86">
        <v>0</v>
      </c>
      <c r="R1650" s="87">
        <f t="shared" si="452"/>
        <v>20</v>
      </c>
      <c r="T1650" s="87">
        <v>0</v>
      </c>
      <c r="U1650" s="89"/>
      <c r="V1650" s="89">
        <v>0</v>
      </c>
      <c r="W1650" s="90"/>
      <c r="X1650" s="90">
        <v>0</v>
      </c>
      <c r="Y1650" s="90">
        <v>227379.5</v>
      </c>
      <c r="Z1650" s="90">
        <v>0</v>
      </c>
      <c r="AA1650" s="90">
        <v>20</v>
      </c>
      <c r="AB1650" s="89">
        <f t="shared" si="453"/>
        <v>0</v>
      </c>
      <c r="AC1650" s="89">
        <f t="shared" si="454"/>
        <v>0</v>
      </c>
      <c r="AD1650" s="89">
        <f t="shared" si="455"/>
        <v>0</v>
      </c>
      <c r="AE1650" s="90">
        <f t="shared" si="456"/>
        <v>0</v>
      </c>
      <c r="AF1650" s="90" t="str">
        <f t="shared" si="457"/>
        <v/>
      </c>
      <c r="AG1650" s="90">
        <f t="shared" si="458"/>
        <v>20</v>
      </c>
      <c r="AH1650" s="90" t="str">
        <f t="shared" si="459"/>
        <v>2018 (triag)</v>
      </c>
      <c r="AI1650" s="90">
        <f t="shared" si="460"/>
        <v>20</v>
      </c>
      <c r="AJ1650" s="90" t="str">
        <f t="shared" si="461"/>
        <v>2018 (triag)</v>
      </c>
      <c r="AK1650" s="90" t="str">
        <f t="shared" si="462"/>
        <v/>
      </c>
      <c r="AL1650" s="91">
        <f>IF(AK1650="Adjust",(_xlfn.XLOOKUP(A1650,'Adj factor'!A:A,'Adj factor'!I:I,,0)*AI1650),'Master DataSheet'!AI1650)</f>
        <v>20</v>
      </c>
      <c r="AM1650" s="91">
        <f t="shared" si="463"/>
        <v>20</v>
      </c>
      <c r="AN1650" s="92" t="str">
        <f t="shared" si="464"/>
        <v>No change</v>
      </c>
      <c r="AS1650" s="94">
        <f t="shared" si="465"/>
        <v>0</v>
      </c>
      <c r="AT1650" s="94">
        <f t="shared" si="466"/>
        <v>0.94632447573624046</v>
      </c>
      <c r="AU1650" s="94">
        <f t="shared" si="467"/>
        <v>0.87958677013539044</v>
      </c>
    </row>
    <row r="1651" spans="1:47" x14ac:dyDescent="0.3">
      <c r="A1651" s="85" t="str">
        <f>_xlfn.XLOOKUP(B1651,'Country codes &amp; Data sources'!G:G,'Country codes &amp; Data sources'!H:H,,0)</f>
        <v>Sao Tome and Principe</v>
      </c>
      <c r="B1651" s="85" t="s">
        <v>153</v>
      </c>
      <c r="C1651" s="85">
        <v>189927.5</v>
      </c>
      <c r="D1651" s="85" t="s">
        <v>329</v>
      </c>
      <c r="E1651" s="86">
        <v>0</v>
      </c>
      <c r="F1651" s="86">
        <v>193756.99999999997</v>
      </c>
      <c r="G1651" s="86">
        <v>0</v>
      </c>
      <c r="H1651" s="86"/>
      <c r="I1651" s="86">
        <v>0</v>
      </c>
      <c r="J1651" s="86"/>
      <c r="K1651" s="86">
        <v>442</v>
      </c>
      <c r="L1651" s="86"/>
      <c r="M1651" s="86">
        <v>0</v>
      </c>
      <c r="N1651" s="86"/>
      <c r="O1651" s="86">
        <v>0</v>
      </c>
      <c r="P1651" s="86">
        <v>211344</v>
      </c>
      <c r="Q1651" s="86">
        <v>406</v>
      </c>
      <c r="R1651" s="87">
        <f t="shared" si="452"/>
        <v>406</v>
      </c>
      <c r="T1651" s="87">
        <v>440</v>
      </c>
      <c r="U1651" s="89"/>
      <c r="V1651" s="89">
        <v>0</v>
      </c>
      <c r="W1651" s="90"/>
      <c r="X1651" s="90">
        <v>0</v>
      </c>
      <c r="Y1651" s="90">
        <v>227379.5</v>
      </c>
      <c r="Z1651" s="90">
        <v>0</v>
      </c>
      <c r="AA1651" s="90">
        <v>206</v>
      </c>
      <c r="AB1651" s="89">
        <f t="shared" si="453"/>
        <v>442</v>
      </c>
      <c r="AC1651" s="89">
        <f t="shared" si="454"/>
        <v>440</v>
      </c>
      <c r="AD1651" s="89">
        <f t="shared" si="455"/>
        <v>0</v>
      </c>
      <c r="AE1651" s="90">
        <f t="shared" si="456"/>
        <v>442</v>
      </c>
      <c r="AF1651" s="90">
        <f t="shared" si="457"/>
        <v>2015</v>
      </c>
      <c r="AG1651" s="90">
        <f t="shared" si="458"/>
        <v>406</v>
      </c>
      <c r="AH1651" s="90">
        <f t="shared" si="459"/>
        <v>2018</v>
      </c>
      <c r="AI1651" s="90">
        <f t="shared" si="460"/>
        <v>440</v>
      </c>
      <c r="AJ1651" s="90">
        <f t="shared" si="461"/>
        <v>2018</v>
      </c>
      <c r="AK1651" s="90" t="str">
        <f t="shared" si="462"/>
        <v/>
      </c>
      <c r="AL1651" s="91">
        <f>IF(AK1651="Adjust",(_xlfn.XLOOKUP(A1651,'Adj factor'!A:A,'Adj factor'!I:I,,0)*AI1651),'Master DataSheet'!AI1651)</f>
        <v>440</v>
      </c>
      <c r="AM1651" s="91">
        <f t="shared" si="463"/>
        <v>440</v>
      </c>
      <c r="AN1651" s="92" t="str">
        <f t="shared" si="464"/>
        <v>Increasing</v>
      </c>
      <c r="AS1651" s="94">
        <f t="shared" si="465"/>
        <v>22.812079047466675</v>
      </c>
      <c r="AT1651" s="94">
        <f t="shared" si="466"/>
        <v>19.21038685744568</v>
      </c>
      <c r="AU1651" s="94">
        <f t="shared" si="467"/>
        <v>19.350908942978588</v>
      </c>
    </row>
    <row r="1652" spans="1:47" x14ac:dyDescent="0.3">
      <c r="A1652" s="85" t="str">
        <f>_xlfn.XLOOKUP(B1652,'Country codes &amp; Data sources'!G:G,'Country codes &amp; Data sources'!H:H,,0)</f>
        <v>Sao Tome and Principe</v>
      </c>
      <c r="B1652" s="85" t="s">
        <v>153</v>
      </c>
      <c r="C1652" s="85">
        <v>189928.5</v>
      </c>
      <c r="D1652" s="85" t="s">
        <v>330</v>
      </c>
      <c r="E1652" s="86">
        <v>0</v>
      </c>
      <c r="F1652" s="86">
        <v>193756.99999999997</v>
      </c>
      <c r="G1652" s="86">
        <v>0</v>
      </c>
      <c r="H1652" s="86"/>
      <c r="I1652" s="86">
        <v>0</v>
      </c>
      <c r="J1652" s="86"/>
      <c r="K1652" s="86">
        <v>0</v>
      </c>
      <c r="L1652" s="86"/>
      <c r="M1652" s="86">
        <v>0</v>
      </c>
      <c r="N1652" s="86"/>
      <c r="O1652" s="86">
        <v>0</v>
      </c>
      <c r="P1652" s="86">
        <v>211344</v>
      </c>
      <c r="Q1652" s="86">
        <v>0</v>
      </c>
      <c r="R1652" s="87">
        <f t="shared" si="452"/>
        <v>206</v>
      </c>
      <c r="T1652" s="87">
        <v>0</v>
      </c>
      <c r="U1652" s="89"/>
      <c r="V1652" s="89">
        <v>0</v>
      </c>
      <c r="W1652" s="90"/>
      <c r="X1652" s="90">
        <v>0</v>
      </c>
      <c r="Y1652" s="90">
        <v>227379.5</v>
      </c>
      <c r="Z1652" s="90">
        <v>0</v>
      </c>
      <c r="AA1652" s="90">
        <v>206</v>
      </c>
      <c r="AB1652" s="89">
        <f t="shared" si="453"/>
        <v>0</v>
      </c>
      <c r="AC1652" s="89">
        <f t="shared" si="454"/>
        <v>0</v>
      </c>
      <c r="AD1652" s="89">
        <f t="shared" si="455"/>
        <v>0</v>
      </c>
      <c r="AE1652" s="90">
        <f t="shared" si="456"/>
        <v>0</v>
      </c>
      <c r="AF1652" s="90" t="str">
        <f t="shared" si="457"/>
        <v/>
      </c>
      <c r="AG1652" s="90">
        <f t="shared" si="458"/>
        <v>206</v>
      </c>
      <c r="AH1652" s="90" t="str">
        <f t="shared" si="459"/>
        <v>2018 (triag)</v>
      </c>
      <c r="AI1652" s="90">
        <f t="shared" si="460"/>
        <v>206</v>
      </c>
      <c r="AJ1652" s="90" t="str">
        <f t="shared" si="461"/>
        <v>2018 (triag)</v>
      </c>
      <c r="AK1652" s="90" t="str">
        <f t="shared" si="462"/>
        <v/>
      </c>
      <c r="AL1652" s="91">
        <f>IF(AK1652="Adjust",(_xlfn.XLOOKUP(A1652,'Adj factor'!A:A,'Adj factor'!I:I,,0)*AI1652),'Master DataSheet'!AI1652)</f>
        <v>206</v>
      </c>
      <c r="AM1652" s="91">
        <f t="shared" si="463"/>
        <v>206</v>
      </c>
      <c r="AN1652" s="92" t="str">
        <f t="shared" si="464"/>
        <v>No change</v>
      </c>
      <c r="AS1652" s="94">
        <f t="shared" si="465"/>
        <v>0</v>
      </c>
      <c r="AT1652" s="94">
        <f t="shared" si="466"/>
        <v>9.747142100083277</v>
      </c>
      <c r="AU1652" s="94">
        <f t="shared" si="467"/>
        <v>9.0597437323945211</v>
      </c>
    </row>
    <row r="1653" spans="1:47" x14ac:dyDescent="0.3">
      <c r="A1653" s="85" t="str">
        <f>_xlfn.XLOOKUP(B1653,'Country codes &amp; Data sources'!G:G,'Country codes &amp; Data sources'!H:H,,0)</f>
        <v>Sao Tome and Principe</v>
      </c>
      <c r="B1653" s="85" t="s">
        <v>153</v>
      </c>
      <c r="C1653" s="85">
        <v>189929.5</v>
      </c>
      <c r="D1653" s="85" t="s">
        <v>331</v>
      </c>
      <c r="E1653" s="86">
        <v>0</v>
      </c>
      <c r="F1653" s="86">
        <v>193756.99999999997</v>
      </c>
      <c r="G1653" s="86">
        <v>0</v>
      </c>
      <c r="H1653" s="86"/>
      <c r="I1653" s="86">
        <v>0</v>
      </c>
      <c r="J1653" s="86"/>
      <c r="K1653" s="86">
        <v>0</v>
      </c>
      <c r="L1653" s="86"/>
      <c r="M1653" s="86">
        <v>0</v>
      </c>
      <c r="N1653" s="86"/>
      <c r="O1653" s="86">
        <v>0</v>
      </c>
      <c r="P1653" s="86">
        <v>211344</v>
      </c>
      <c r="Q1653" s="86">
        <v>0</v>
      </c>
      <c r="R1653" s="87">
        <f t="shared" si="452"/>
        <v>0</v>
      </c>
      <c r="T1653" s="87">
        <v>0</v>
      </c>
      <c r="U1653" s="89"/>
      <c r="V1653" s="89">
        <v>0</v>
      </c>
      <c r="W1653" s="90"/>
      <c r="X1653" s="90">
        <v>0</v>
      </c>
      <c r="Y1653" s="90">
        <v>227379.5</v>
      </c>
      <c r="Z1653" s="90">
        <v>0</v>
      </c>
      <c r="AA1653" s="90">
        <v>0</v>
      </c>
      <c r="AB1653" s="89">
        <f t="shared" si="453"/>
        <v>0</v>
      </c>
      <c r="AC1653" s="89">
        <f t="shared" si="454"/>
        <v>0</v>
      </c>
      <c r="AD1653" s="89">
        <f t="shared" si="455"/>
        <v>0</v>
      </c>
      <c r="AE1653" s="90">
        <f t="shared" si="456"/>
        <v>0</v>
      </c>
      <c r="AF1653" s="90" t="str">
        <f t="shared" si="457"/>
        <v/>
      </c>
      <c r="AG1653" s="90">
        <f t="shared" si="458"/>
        <v>0</v>
      </c>
      <c r="AH1653" s="90" t="str">
        <f t="shared" si="459"/>
        <v/>
      </c>
      <c r="AI1653" s="90">
        <f t="shared" si="460"/>
        <v>0</v>
      </c>
      <c r="AJ1653" s="90" t="str">
        <f t="shared" si="461"/>
        <v/>
      </c>
      <c r="AK1653" s="90" t="str">
        <f t="shared" si="462"/>
        <v/>
      </c>
      <c r="AL1653" s="91">
        <f>IF(AK1653="Adjust",(_xlfn.XLOOKUP(A1653,'Adj factor'!A:A,'Adj factor'!I:I,,0)*AI1653),'Master DataSheet'!AI1653)</f>
        <v>0</v>
      </c>
      <c r="AM1653" s="91">
        <f t="shared" si="463"/>
        <v>0</v>
      </c>
      <c r="AN1653" s="92" t="str">
        <f t="shared" si="464"/>
        <v>No change</v>
      </c>
      <c r="AS1653" s="94">
        <f t="shared" si="465"/>
        <v>0</v>
      </c>
      <c r="AT1653" s="94">
        <f t="shared" si="466"/>
        <v>0</v>
      </c>
      <c r="AU1653" s="94">
        <f t="shared" si="467"/>
        <v>0</v>
      </c>
    </row>
    <row r="1654" spans="1:47" x14ac:dyDescent="0.3">
      <c r="A1654" s="85" t="str">
        <f>_xlfn.XLOOKUP(B1654,'Country codes &amp; Data sources'!G:G,'Country codes &amp; Data sources'!H:H,,0)</f>
        <v>Sao Tome and Principe</v>
      </c>
      <c r="B1654" s="85" t="s">
        <v>153</v>
      </c>
      <c r="C1654" s="85">
        <v>189930.5</v>
      </c>
      <c r="D1654" s="85" t="s">
        <v>332</v>
      </c>
      <c r="E1654" s="86">
        <v>0</v>
      </c>
      <c r="F1654" s="86">
        <v>193756.99999999997</v>
      </c>
      <c r="G1654" s="86">
        <v>31</v>
      </c>
      <c r="H1654" s="86"/>
      <c r="I1654" s="86">
        <v>0</v>
      </c>
      <c r="J1654" s="86"/>
      <c r="K1654" s="86">
        <v>0</v>
      </c>
      <c r="L1654" s="86"/>
      <c r="M1654" s="86">
        <v>0</v>
      </c>
      <c r="N1654" s="86"/>
      <c r="O1654" s="86">
        <v>0</v>
      </c>
      <c r="P1654" s="86">
        <v>211344</v>
      </c>
      <c r="Q1654" s="86">
        <v>0</v>
      </c>
      <c r="R1654" s="87">
        <f t="shared" si="452"/>
        <v>50</v>
      </c>
      <c r="T1654" s="87">
        <v>22</v>
      </c>
      <c r="U1654" s="89"/>
      <c r="V1654" s="89">
        <v>0</v>
      </c>
      <c r="W1654" s="90"/>
      <c r="X1654" s="90">
        <v>0</v>
      </c>
      <c r="Y1654" s="90">
        <v>227379.5</v>
      </c>
      <c r="Z1654" s="90">
        <v>0</v>
      </c>
      <c r="AA1654" s="90">
        <v>50</v>
      </c>
      <c r="AB1654" s="89">
        <f t="shared" si="453"/>
        <v>31</v>
      </c>
      <c r="AC1654" s="89">
        <f t="shared" si="454"/>
        <v>22</v>
      </c>
      <c r="AD1654" s="89">
        <f t="shared" si="455"/>
        <v>0</v>
      </c>
      <c r="AE1654" s="90">
        <f t="shared" si="456"/>
        <v>31</v>
      </c>
      <c r="AF1654" s="90">
        <f t="shared" si="457"/>
        <v>2013</v>
      </c>
      <c r="AG1654" s="90">
        <f t="shared" si="458"/>
        <v>50</v>
      </c>
      <c r="AH1654" s="90" t="str">
        <f t="shared" si="459"/>
        <v>2018 (triag)</v>
      </c>
      <c r="AI1654" s="90">
        <f t="shared" si="460"/>
        <v>22</v>
      </c>
      <c r="AJ1654" s="90" t="str">
        <f t="shared" si="461"/>
        <v>2018 (triag)</v>
      </c>
      <c r="AK1654" s="90" t="str">
        <f t="shared" si="462"/>
        <v>Adjust</v>
      </c>
      <c r="AL1654" s="91">
        <f>IF(AK1654="Adjust",(_xlfn.XLOOKUP(A1654,'Adj factor'!A:A,'Adj factor'!I:I,,0)*AI1654),'Master DataSheet'!AI1654)</f>
        <v>25.284570175049133</v>
      </c>
      <c r="AM1654" s="91">
        <f t="shared" si="463"/>
        <v>50</v>
      </c>
      <c r="AN1654" s="92" t="str">
        <f t="shared" si="464"/>
        <v>Decreasing</v>
      </c>
      <c r="AS1654" s="94">
        <f t="shared" si="465"/>
        <v>1.599942195636803</v>
      </c>
      <c r="AT1654" s="94">
        <f t="shared" si="466"/>
        <v>2.3658111893406013</v>
      </c>
      <c r="AU1654" s="94">
        <f t="shared" si="467"/>
        <v>2.198966925338476</v>
      </c>
    </row>
    <row r="1655" spans="1:47" x14ac:dyDescent="0.3">
      <c r="A1655" s="85" t="str">
        <f>_xlfn.XLOOKUP(B1655,'Country codes &amp; Data sources'!G:G,'Country codes &amp; Data sources'!H:H,,0)</f>
        <v>Sao Tome and Principe</v>
      </c>
      <c r="B1655" s="85" t="s">
        <v>153</v>
      </c>
      <c r="C1655" s="85">
        <v>189931.5</v>
      </c>
      <c r="D1655" s="85" t="s">
        <v>333</v>
      </c>
      <c r="E1655" s="86">
        <v>0</v>
      </c>
      <c r="F1655" s="86">
        <v>193756.99999999997</v>
      </c>
      <c r="G1655" s="86">
        <v>31</v>
      </c>
      <c r="H1655" s="86"/>
      <c r="I1655" s="86">
        <v>0</v>
      </c>
      <c r="J1655" s="86"/>
      <c r="K1655" s="86">
        <v>0</v>
      </c>
      <c r="L1655" s="86"/>
      <c r="M1655" s="86">
        <v>0</v>
      </c>
      <c r="N1655" s="86"/>
      <c r="O1655" s="86">
        <v>0</v>
      </c>
      <c r="P1655" s="86">
        <v>211344</v>
      </c>
      <c r="Q1655" s="86">
        <v>0</v>
      </c>
      <c r="R1655" s="87">
        <f t="shared" si="452"/>
        <v>50</v>
      </c>
      <c r="T1655" s="87">
        <v>0</v>
      </c>
      <c r="U1655" s="89"/>
      <c r="V1655" s="89">
        <v>0</v>
      </c>
      <c r="W1655" s="90"/>
      <c r="X1655" s="90">
        <v>0</v>
      </c>
      <c r="Y1655" s="90">
        <v>227379.5</v>
      </c>
      <c r="Z1655" s="90">
        <v>0</v>
      </c>
      <c r="AA1655" s="90">
        <v>50</v>
      </c>
      <c r="AB1655" s="89">
        <f t="shared" si="453"/>
        <v>31</v>
      </c>
      <c r="AC1655" s="89">
        <f t="shared" si="454"/>
        <v>0</v>
      </c>
      <c r="AD1655" s="89">
        <f t="shared" si="455"/>
        <v>0</v>
      </c>
      <c r="AE1655" s="90">
        <f t="shared" si="456"/>
        <v>31</v>
      </c>
      <c r="AF1655" s="90">
        <f t="shared" si="457"/>
        <v>2013</v>
      </c>
      <c r="AG1655" s="90">
        <f t="shared" si="458"/>
        <v>50</v>
      </c>
      <c r="AH1655" s="90" t="str">
        <f t="shared" si="459"/>
        <v>2018 (triag)</v>
      </c>
      <c r="AI1655" s="90">
        <f t="shared" si="460"/>
        <v>50</v>
      </c>
      <c r="AJ1655" s="90" t="str">
        <f t="shared" si="461"/>
        <v>2018 (triag)</v>
      </c>
      <c r="AK1655" s="90" t="str">
        <f t="shared" si="462"/>
        <v/>
      </c>
      <c r="AL1655" s="91">
        <f>IF(AK1655="Adjust",(_xlfn.XLOOKUP(A1655,'Adj factor'!A:A,'Adj factor'!I:I,,0)*AI1655),'Master DataSheet'!AI1655)</f>
        <v>50</v>
      </c>
      <c r="AM1655" s="91">
        <f t="shared" si="463"/>
        <v>50</v>
      </c>
      <c r="AN1655" s="92" t="str">
        <f t="shared" si="464"/>
        <v>No change</v>
      </c>
      <c r="AS1655" s="94">
        <f t="shared" si="465"/>
        <v>1.599942195636803</v>
      </c>
      <c r="AT1655" s="94">
        <f t="shared" si="466"/>
        <v>2.3658111893406013</v>
      </c>
      <c r="AU1655" s="94">
        <f t="shared" si="467"/>
        <v>2.198966925338476</v>
      </c>
    </row>
    <row r="1656" spans="1:47" x14ac:dyDescent="0.3">
      <c r="A1656" s="85" t="str">
        <f>_xlfn.XLOOKUP(B1656,'Country codes &amp; Data sources'!G:G,'Country codes &amp; Data sources'!H:H,,0)</f>
        <v>Sao Tome and Principe</v>
      </c>
      <c r="B1656" s="85" t="s">
        <v>153</v>
      </c>
      <c r="C1656" s="85">
        <v>189932.5</v>
      </c>
      <c r="D1656" s="85" t="s">
        <v>334</v>
      </c>
      <c r="E1656" s="86">
        <v>0</v>
      </c>
      <c r="F1656" s="86">
        <v>193756.99999999997</v>
      </c>
      <c r="G1656" s="86">
        <v>0</v>
      </c>
      <c r="H1656" s="86"/>
      <c r="I1656" s="86">
        <v>0</v>
      </c>
      <c r="J1656" s="86"/>
      <c r="K1656" s="86">
        <v>0</v>
      </c>
      <c r="L1656" s="86"/>
      <c r="M1656" s="86">
        <v>0</v>
      </c>
      <c r="N1656" s="86"/>
      <c r="O1656" s="86">
        <v>0</v>
      </c>
      <c r="P1656" s="86">
        <v>211344</v>
      </c>
      <c r="Q1656" s="86">
        <v>0</v>
      </c>
      <c r="R1656" s="87">
        <f t="shared" si="452"/>
        <v>0</v>
      </c>
      <c r="T1656" s="87">
        <v>0</v>
      </c>
      <c r="U1656" s="89"/>
      <c r="V1656" s="89">
        <v>0</v>
      </c>
      <c r="W1656" s="90"/>
      <c r="X1656" s="90">
        <v>0</v>
      </c>
      <c r="Y1656" s="90">
        <v>227379.5</v>
      </c>
      <c r="Z1656" s="90">
        <v>0</v>
      </c>
      <c r="AA1656" s="90">
        <v>0</v>
      </c>
      <c r="AB1656" s="89">
        <f t="shared" si="453"/>
        <v>0</v>
      </c>
      <c r="AC1656" s="89">
        <f t="shared" si="454"/>
        <v>0</v>
      </c>
      <c r="AD1656" s="89">
        <f t="shared" si="455"/>
        <v>0</v>
      </c>
      <c r="AE1656" s="90">
        <f t="shared" si="456"/>
        <v>0</v>
      </c>
      <c r="AF1656" s="90" t="str">
        <f t="shared" si="457"/>
        <v/>
      </c>
      <c r="AG1656" s="90">
        <f t="shared" si="458"/>
        <v>0</v>
      </c>
      <c r="AH1656" s="90" t="str">
        <f t="shared" si="459"/>
        <v/>
      </c>
      <c r="AI1656" s="90">
        <f t="shared" si="460"/>
        <v>0</v>
      </c>
      <c r="AJ1656" s="90" t="str">
        <f t="shared" si="461"/>
        <v/>
      </c>
      <c r="AK1656" s="90" t="str">
        <f t="shared" si="462"/>
        <v/>
      </c>
      <c r="AL1656" s="91">
        <f>IF(AK1656="Adjust",(_xlfn.XLOOKUP(A1656,'Adj factor'!A:A,'Adj factor'!I:I,,0)*AI1656),'Master DataSheet'!AI1656)</f>
        <v>0</v>
      </c>
      <c r="AM1656" s="91">
        <f t="shared" si="463"/>
        <v>0</v>
      </c>
      <c r="AN1656" s="92" t="str">
        <f t="shared" si="464"/>
        <v>No change</v>
      </c>
      <c r="AS1656" s="94">
        <f t="shared" si="465"/>
        <v>0</v>
      </c>
      <c r="AT1656" s="94">
        <f t="shared" si="466"/>
        <v>0</v>
      </c>
      <c r="AU1656" s="94">
        <f t="shared" si="467"/>
        <v>0</v>
      </c>
    </row>
    <row r="1657" spans="1:47" x14ac:dyDescent="0.3">
      <c r="A1657" s="85" t="str">
        <f>_xlfn.XLOOKUP(B1657,'Country codes &amp; Data sources'!G:G,'Country codes &amp; Data sources'!H:H,,0)</f>
        <v>Sao Tome and Principe</v>
      </c>
      <c r="B1657" s="85" t="s">
        <v>153</v>
      </c>
      <c r="C1657" s="85">
        <v>189933.5</v>
      </c>
      <c r="D1657" s="85" t="s">
        <v>335</v>
      </c>
      <c r="E1657" s="86">
        <v>0</v>
      </c>
      <c r="F1657" s="86">
        <v>193756.99999999997</v>
      </c>
      <c r="G1657" s="86">
        <v>0</v>
      </c>
      <c r="H1657" s="86"/>
      <c r="I1657" s="86">
        <v>0</v>
      </c>
      <c r="J1657" s="86"/>
      <c r="K1657" s="86">
        <v>0</v>
      </c>
      <c r="L1657" s="86"/>
      <c r="M1657" s="86">
        <v>0</v>
      </c>
      <c r="N1657" s="86"/>
      <c r="O1657" s="86">
        <v>0</v>
      </c>
      <c r="P1657" s="86">
        <v>211344</v>
      </c>
      <c r="Q1657" s="86">
        <v>0</v>
      </c>
      <c r="R1657" s="87">
        <f t="shared" si="452"/>
        <v>0</v>
      </c>
      <c r="T1657" s="87">
        <v>37</v>
      </c>
      <c r="U1657" s="89"/>
      <c r="V1657" s="89">
        <v>0</v>
      </c>
      <c r="W1657" s="90"/>
      <c r="X1657" s="90">
        <v>0</v>
      </c>
      <c r="Y1657" s="90">
        <v>227379.5</v>
      </c>
      <c r="Z1657" s="90">
        <v>0</v>
      </c>
      <c r="AA1657" s="90">
        <v>0</v>
      </c>
      <c r="AB1657" s="89">
        <f t="shared" si="453"/>
        <v>0</v>
      </c>
      <c r="AC1657" s="89">
        <f t="shared" si="454"/>
        <v>37</v>
      </c>
      <c r="AD1657" s="89">
        <f t="shared" si="455"/>
        <v>0</v>
      </c>
      <c r="AE1657" s="90">
        <f t="shared" si="456"/>
        <v>0</v>
      </c>
      <c r="AF1657" s="90" t="str">
        <f t="shared" si="457"/>
        <v/>
      </c>
      <c r="AG1657" s="90">
        <f t="shared" si="458"/>
        <v>37</v>
      </c>
      <c r="AH1657" s="90">
        <f t="shared" si="459"/>
        <v>2019</v>
      </c>
      <c r="AI1657" s="90">
        <f t="shared" si="460"/>
        <v>37</v>
      </c>
      <c r="AJ1657" s="90">
        <f t="shared" si="461"/>
        <v>2019</v>
      </c>
      <c r="AK1657" s="90" t="str">
        <f t="shared" si="462"/>
        <v/>
      </c>
      <c r="AL1657" s="91">
        <f>IF(AK1657="Adjust",(_xlfn.XLOOKUP(A1657,'Adj factor'!A:A,'Adj factor'!I:I,,0)*AI1657),'Master DataSheet'!AI1657)</f>
        <v>37</v>
      </c>
      <c r="AM1657" s="91">
        <f t="shared" si="463"/>
        <v>37</v>
      </c>
      <c r="AN1657" s="92" t="str">
        <f t="shared" si="464"/>
        <v>No change</v>
      </c>
      <c r="AS1657" s="94">
        <f t="shared" si="465"/>
        <v>0</v>
      </c>
      <c r="AT1657" s="94">
        <f t="shared" si="466"/>
        <v>1.7507002801120448</v>
      </c>
      <c r="AU1657" s="94">
        <f t="shared" si="467"/>
        <v>1.6272355247504722</v>
      </c>
    </row>
    <row r="1658" spans="1:47" x14ac:dyDescent="0.3">
      <c r="A1658" s="85" t="str">
        <f>_xlfn.XLOOKUP(B1658,'Country codes &amp; Data sources'!G:G,'Country codes &amp; Data sources'!H:H,,0)</f>
        <v>Sao Tome and Principe</v>
      </c>
      <c r="B1658" s="85" t="s">
        <v>153</v>
      </c>
      <c r="C1658" s="85">
        <v>189934.5</v>
      </c>
      <c r="D1658" s="85" t="s">
        <v>336</v>
      </c>
      <c r="E1658" s="86">
        <v>0</v>
      </c>
      <c r="F1658" s="86">
        <v>193756.99999999997</v>
      </c>
      <c r="G1658" s="86">
        <v>0</v>
      </c>
      <c r="H1658" s="86"/>
      <c r="I1658" s="86">
        <v>0</v>
      </c>
      <c r="J1658" s="86"/>
      <c r="K1658" s="86">
        <v>0</v>
      </c>
      <c r="L1658" s="86"/>
      <c r="M1658" s="86">
        <v>0</v>
      </c>
      <c r="N1658" s="86"/>
      <c r="O1658" s="86">
        <v>0</v>
      </c>
      <c r="P1658" s="86">
        <v>211344</v>
      </c>
      <c r="Q1658" s="86">
        <v>0</v>
      </c>
      <c r="R1658" s="87">
        <f t="shared" si="452"/>
        <v>0</v>
      </c>
      <c r="T1658" s="87">
        <v>0</v>
      </c>
      <c r="U1658" s="89"/>
      <c r="V1658" s="89">
        <v>0</v>
      </c>
      <c r="W1658" s="90"/>
      <c r="X1658" s="90">
        <v>0</v>
      </c>
      <c r="Y1658" s="90">
        <v>227379.5</v>
      </c>
      <c r="Z1658" s="90">
        <v>0</v>
      </c>
      <c r="AA1658" s="90">
        <v>0</v>
      </c>
      <c r="AB1658" s="89">
        <f t="shared" si="453"/>
        <v>0</v>
      </c>
      <c r="AC1658" s="89">
        <f t="shared" si="454"/>
        <v>0</v>
      </c>
      <c r="AD1658" s="89">
        <f t="shared" si="455"/>
        <v>0</v>
      </c>
      <c r="AE1658" s="90">
        <f t="shared" si="456"/>
        <v>0</v>
      </c>
      <c r="AF1658" s="90" t="str">
        <f t="shared" si="457"/>
        <v/>
      </c>
      <c r="AG1658" s="90">
        <f t="shared" si="458"/>
        <v>0</v>
      </c>
      <c r="AH1658" s="90" t="str">
        <f t="shared" si="459"/>
        <v/>
      </c>
      <c r="AI1658" s="90">
        <f t="shared" si="460"/>
        <v>0</v>
      </c>
      <c r="AJ1658" s="90" t="str">
        <f t="shared" si="461"/>
        <v/>
      </c>
      <c r="AK1658" s="90" t="str">
        <f t="shared" si="462"/>
        <v/>
      </c>
      <c r="AL1658" s="91">
        <f>IF(AK1658="Adjust",(_xlfn.XLOOKUP(A1658,'Adj factor'!A:A,'Adj factor'!I:I,,0)*AI1658),'Master DataSheet'!AI1658)</f>
        <v>0</v>
      </c>
      <c r="AM1658" s="91">
        <f t="shared" si="463"/>
        <v>0</v>
      </c>
      <c r="AN1658" s="92" t="str">
        <f t="shared" si="464"/>
        <v>No change</v>
      </c>
      <c r="AS1658" s="94">
        <f t="shared" si="465"/>
        <v>0</v>
      </c>
      <c r="AT1658" s="94">
        <f t="shared" si="466"/>
        <v>0</v>
      </c>
      <c r="AU1658" s="94">
        <f t="shared" si="467"/>
        <v>0</v>
      </c>
    </row>
    <row r="1659" spans="1:47" x14ac:dyDescent="0.3">
      <c r="A1659" s="85" t="str">
        <f>_xlfn.XLOOKUP(B1659,'Country codes &amp; Data sources'!G:G,'Country codes &amp; Data sources'!H:H,,0)</f>
        <v>Sao Tome and Principe</v>
      </c>
      <c r="B1659" s="85" t="s">
        <v>153</v>
      </c>
      <c r="C1659" s="85">
        <v>189935.5</v>
      </c>
      <c r="D1659" s="85" t="s">
        <v>337</v>
      </c>
      <c r="E1659" s="86">
        <v>0</v>
      </c>
      <c r="F1659" s="86">
        <v>193756.99999999997</v>
      </c>
      <c r="G1659" s="86">
        <v>0</v>
      </c>
      <c r="H1659" s="86"/>
      <c r="I1659" s="86">
        <v>0</v>
      </c>
      <c r="J1659" s="86"/>
      <c r="K1659" s="86">
        <v>0</v>
      </c>
      <c r="L1659" s="86"/>
      <c r="M1659" s="86">
        <v>0</v>
      </c>
      <c r="N1659" s="86"/>
      <c r="O1659" s="86">
        <v>0</v>
      </c>
      <c r="P1659" s="86">
        <v>211344</v>
      </c>
      <c r="Q1659" s="86">
        <v>0</v>
      </c>
      <c r="R1659" s="87">
        <f t="shared" si="452"/>
        <v>0</v>
      </c>
      <c r="T1659" s="87">
        <v>6</v>
      </c>
      <c r="U1659" s="89"/>
      <c r="V1659" s="89">
        <v>0</v>
      </c>
      <c r="W1659" s="90"/>
      <c r="X1659" s="90">
        <v>0</v>
      </c>
      <c r="Y1659" s="90">
        <v>227379.5</v>
      </c>
      <c r="Z1659" s="90">
        <v>0</v>
      </c>
      <c r="AA1659" s="90">
        <v>0</v>
      </c>
      <c r="AB1659" s="89">
        <f t="shared" si="453"/>
        <v>0</v>
      </c>
      <c r="AC1659" s="89">
        <f t="shared" si="454"/>
        <v>6</v>
      </c>
      <c r="AD1659" s="89">
        <f t="shared" si="455"/>
        <v>0</v>
      </c>
      <c r="AE1659" s="90">
        <f t="shared" si="456"/>
        <v>0</v>
      </c>
      <c r="AF1659" s="90" t="str">
        <f t="shared" si="457"/>
        <v/>
      </c>
      <c r="AG1659" s="90">
        <f t="shared" si="458"/>
        <v>6</v>
      </c>
      <c r="AH1659" s="90">
        <f t="shared" si="459"/>
        <v>2019</v>
      </c>
      <c r="AI1659" s="90">
        <f t="shared" si="460"/>
        <v>6</v>
      </c>
      <c r="AJ1659" s="90">
        <f t="shared" si="461"/>
        <v>2019</v>
      </c>
      <c r="AK1659" s="90" t="str">
        <f t="shared" si="462"/>
        <v/>
      </c>
      <c r="AL1659" s="91">
        <f>IF(AK1659="Adjust",(_xlfn.XLOOKUP(A1659,'Adj factor'!A:A,'Adj factor'!I:I,,0)*AI1659),'Master DataSheet'!AI1659)</f>
        <v>6</v>
      </c>
      <c r="AM1659" s="91">
        <f t="shared" si="463"/>
        <v>6</v>
      </c>
      <c r="AN1659" s="92" t="str">
        <f t="shared" si="464"/>
        <v>No change</v>
      </c>
      <c r="AS1659" s="94">
        <f t="shared" si="465"/>
        <v>0</v>
      </c>
      <c r="AT1659" s="94">
        <f t="shared" si="466"/>
        <v>0.28389734272087214</v>
      </c>
      <c r="AU1659" s="94">
        <f t="shared" si="467"/>
        <v>0.26387603104061713</v>
      </c>
    </row>
    <row r="1660" spans="1:47" x14ac:dyDescent="0.3">
      <c r="A1660" s="85" t="str">
        <f>_xlfn.XLOOKUP(B1660,'Country codes &amp; Data sources'!G:G,'Country codes &amp; Data sources'!H:H,,0)</f>
        <v>Sao Tome and Principe</v>
      </c>
      <c r="B1660" s="85" t="s">
        <v>153</v>
      </c>
      <c r="C1660" s="85">
        <v>189936.5</v>
      </c>
      <c r="D1660" s="85" t="s">
        <v>338</v>
      </c>
      <c r="E1660" s="86">
        <v>0</v>
      </c>
      <c r="F1660" s="86">
        <v>193756.99999999997</v>
      </c>
      <c r="G1660" s="86">
        <v>0</v>
      </c>
      <c r="H1660" s="86"/>
      <c r="I1660" s="86">
        <v>0</v>
      </c>
      <c r="J1660" s="86"/>
      <c r="K1660" s="86">
        <v>0</v>
      </c>
      <c r="L1660" s="86"/>
      <c r="M1660" s="86">
        <v>0</v>
      </c>
      <c r="N1660" s="86"/>
      <c r="O1660" s="86">
        <v>0</v>
      </c>
      <c r="P1660" s="86">
        <v>211344</v>
      </c>
      <c r="Q1660" s="86">
        <v>0</v>
      </c>
      <c r="R1660" s="87">
        <f t="shared" si="452"/>
        <v>0</v>
      </c>
      <c r="T1660" s="87">
        <v>0</v>
      </c>
      <c r="U1660" s="89"/>
      <c r="V1660" s="89">
        <v>0</v>
      </c>
      <c r="W1660" s="90"/>
      <c r="X1660" s="90">
        <v>0</v>
      </c>
      <c r="Y1660" s="90">
        <v>227379.5</v>
      </c>
      <c r="Z1660" s="90">
        <v>0</v>
      </c>
      <c r="AA1660" s="90">
        <v>0</v>
      </c>
      <c r="AB1660" s="89">
        <f t="shared" si="453"/>
        <v>0</v>
      </c>
      <c r="AC1660" s="89">
        <f t="shared" si="454"/>
        <v>0</v>
      </c>
      <c r="AD1660" s="89">
        <f t="shared" si="455"/>
        <v>0</v>
      </c>
      <c r="AE1660" s="90">
        <f t="shared" si="456"/>
        <v>0</v>
      </c>
      <c r="AF1660" s="90" t="str">
        <f t="shared" si="457"/>
        <v/>
      </c>
      <c r="AG1660" s="90">
        <f t="shared" si="458"/>
        <v>0</v>
      </c>
      <c r="AH1660" s="90" t="str">
        <f t="shared" si="459"/>
        <v/>
      </c>
      <c r="AI1660" s="90">
        <f t="shared" si="460"/>
        <v>0</v>
      </c>
      <c r="AJ1660" s="90" t="str">
        <f t="shared" si="461"/>
        <v/>
      </c>
      <c r="AK1660" s="90" t="str">
        <f t="shared" si="462"/>
        <v/>
      </c>
      <c r="AL1660" s="91">
        <f>IF(AK1660="Adjust",(_xlfn.XLOOKUP(A1660,'Adj factor'!A:A,'Adj factor'!I:I,,0)*AI1660),'Master DataSheet'!AI1660)</f>
        <v>0</v>
      </c>
      <c r="AM1660" s="91">
        <f t="shared" si="463"/>
        <v>0</v>
      </c>
      <c r="AN1660" s="92" t="str">
        <f t="shared" si="464"/>
        <v>No change</v>
      </c>
      <c r="AS1660" s="94">
        <f t="shared" si="465"/>
        <v>0</v>
      </c>
      <c r="AT1660" s="94">
        <f t="shared" si="466"/>
        <v>0</v>
      </c>
      <c r="AU1660" s="94">
        <f t="shared" si="467"/>
        <v>0</v>
      </c>
    </row>
    <row r="1661" spans="1:47" x14ac:dyDescent="0.3">
      <c r="A1661" s="85" t="str">
        <f>_xlfn.XLOOKUP(B1661,'Country codes &amp; Data sources'!G:G,'Country codes &amp; Data sources'!H:H,,0)</f>
        <v>Sao Tome and Principe</v>
      </c>
      <c r="B1661" s="85" t="s">
        <v>153</v>
      </c>
      <c r="C1661" s="85">
        <v>189937.5</v>
      </c>
      <c r="D1661" s="85" t="s">
        <v>339</v>
      </c>
      <c r="E1661" s="86">
        <v>0</v>
      </c>
      <c r="F1661" s="86">
        <v>193756.99999999997</v>
      </c>
      <c r="G1661" s="86">
        <v>0</v>
      </c>
      <c r="H1661" s="86"/>
      <c r="I1661" s="86">
        <v>0</v>
      </c>
      <c r="J1661" s="86"/>
      <c r="K1661" s="86">
        <v>0</v>
      </c>
      <c r="L1661" s="86"/>
      <c r="M1661" s="86">
        <v>0</v>
      </c>
      <c r="N1661" s="86"/>
      <c r="O1661" s="86">
        <v>0</v>
      </c>
      <c r="P1661" s="86">
        <v>211344</v>
      </c>
      <c r="Q1661" s="86">
        <v>0</v>
      </c>
      <c r="R1661" s="87">
        <f t="shared" si="452"/>
        <v>0</v>
      </c>
      <c r="T1661" s="87">
        <v>0</v>
      </c>
      <c r="U1661" s="89"/>
      <c r="V1661" s="89">
        <v>0</v>
      </c>
      <c r="W1661" s="90"/>
      <c r="X1661" s="90">
        <v>0</v>
      </c>
      <c r="Y1661" s="90">
        <v>227379.5</v>
      </c>
      <c r="Z1661" s="90">
        <v>0</v>
      </c>
      <c r="AA1661" s="90">
        <v>0</v>
      </c>
      <c r="AB1661" s="89">
        <f t="shared" si="453"/>
        <v>0</v>
      </c>
      <c r="AC1661" s="89">
        <f t="shared" si="454"/>
        <v>0</v>
      </c>
      <c r="AD1661" s="89">
        <f t="shared" si="455"/>
        <v>0</v>
      </c>
      <c r="AE1661" s="90">
        <f t="shared" si="456"/>
        <v>0</v>
      </c>
      <c r="AF1661" s="90" t="str">
        <f t="shared" si="457"/>
        <v/>
      </c>
      <c r="AG1661" s="90">
        <f t="shared" si="458"/>
        <v>0</v>
      </c>
      <c r="AH1661" s="90" t="str">
        <f t="shared" si="459"/>
        <v/>
      </c>
      <c r="AI1661" s="90">
        <f t="shared" si="460"/>
        <v>0</v>
      </c>
      <c r="AJ1661" s="90" t="str">
        <f t="shared" si="461"/>
        <v/>
      </c>
      <c r="AK1661" s="90" t="str">
        <f t="shared" si="462"/>
        <v/>
      </c>
      <c r="AL1661" s="91">
        <f>IF(AK1661="Adjust",(_xlfn.XLOOKUP(A1661,'Adj factor'!A:A,'Adj factor'!I:I,,0)*AI1661),'Master DataSheet'!AI1661)</f>
        <v>0</v>
      </c>
      <c r="AM1661" s="91">
        <f t="shared" si="463"/>
        <v>0</v>
      </c>
      <c r="AN1661" s="92" t="str">
        <f t="shared" si="464"/>
        <v>No change</v>
      </c>
      <c r="AS1661" s="94">
        <f t="shared" si="465"/>
        <v>0</v>
      </c>
      <c r="AT1661" s="94">
        <f t="shared" si="466"/>
        <v>0</v>
      </c>
      <c r="AU1661" s="94">
        <f t="shared" si="467"/>
        <v>0</v>
      </c>
    </row>
    <row r="1662" spans="1:47" x14ac:dyDescent="0.3">
      <c r="A1662" s="85" t="str">
        <f>_xlfn.XLOOKUP(B1662,'Country codes &amp; Data sources'!G:G,'Country codes &amp; Data sources'!H:H,,0)</f>
        <v>Eswatini</v>
      </c>
      <c r="B1662" s="85" t="s">
        <v>159</v>
      </c>
      <c r="C1662" s="85">
        <v>1111443.9999999998</v>
      </c>
      <c r="D1662" s="85" t="s">
        <v>326</v>
      </c>
      <c r="E1662" s="86">
        <v>0</v>
      </c>
      <c r="F1662" s="86">
        <v>1118318.9999999998</v>
      </c>
      <c r="G1662" s="86">
        <v>0</v>
      </c>
      <c r="H1662" s="86">
        <v>1125865.0000000005</v>
      </c>
      <c r="I1662" s="86">
        <v>0</v>
      </c>
      <c r="J1662" s="86">
        <v>1133935.9999999998</v>
      </c>
      <c r="K1662" s="86">
        <v>0</v>
      </c>
      <c r="L1662" s="86">
        <v>1142524</v>
      </c>
      <c r="M1662" s="86">
        <v>107</v>
      </c>
      <c r="N1662" s="86">
        <v>1151390.5000000002</v>
      </c>
      <c r="O1662" s="86">
        <v>208</v>
      </c>
      <c r="P1662" s="86">
        <v>1160427.5</v>
      </c>
      <c r="Q1662" s="86">
        <v>278</v>
      </c>
      <c r="R1662" s="87">
        <f t="shared" si="452"/>
        <v>278</v>
      </c>
      <c r="S1662" s="87">
        <v>1169612.9999999998</v>
      </c>
      <c r="T1662" s="87">
        <v>0</v>
      </c>
      <c r="U1662" s="89">
        <v>1180654.9999999998</v>
      </c>
      <c r="V1662" s="89">
        <v>165</v>
      </c>
      <c r="W1662" s="90">
        <v>1192271.0000000002</v>
      </c>
      <c r="X1662" s="90">
        <v>0</v>
      </c>
      <c r="Y1662" s="90">
        <v>1201670.4999999995</v>
      </c>
      <c r="Z1662" s="103">
        <v>687</v>
      </c>
      <c r="AA1662" s="90">
        <v>278</v>
      </c>
      <c r="AB1662" s="89">
        <f t="shared" si="453"/>
        <v>0</v>
      </c>
      <c r="AC1662" s="89">
        <f t="shared" si="454"/>
        <v>278</v>
      </c>
      <c r="AD1662" s="89">
        <f t="shared" si="455"/>
        <v>687</v>
      </c>
      <c r="AE1662" s="90">
        <f t="shared" si="456"/>
        <v>0</v>
      </c>
      <c r="AF1662" s="90" t="str">
        <f t="shared" si="457"/>
        <v/>
      </c>
      <c r="AG1662" s="90">
        <f t="shared" si="458"/>
        <v>278</v>
      </c>
      <c r="AH1662" s="90">
        <f t="shared" si="459"/>
        <v>2018</v>
      </c>
      <c r="AI1662" s="90">
        <f t="shared" si="460"/>
        <v>687</v>
      </c>
      <c r="AJ1662" s="90">
        <f t="shared" si="461"/>
        <v>2022</v>
      </c>
      <c r="AK1662" s="90" t="str">
        <f t="shared" si="462"/>
        <v/>
      </c>
      <c r="AL1662" s="91">
        <f>IF(AK1662="Adjust",(_xlfn.XLOOKUP(A1662,'Adj factor'!A:A,'Adj factor'!I:I,,0)*AI1662),'Master DataSheet'!AI1662)</f>
        <v>687</v>
      </c>
      <c r="AM1662" s="91">
        <f t="shared" si="463"/>
        <v>687</v>
      </c>
      <c r="AN1662" s="92" t="str">
        <f t="shared" si="464"/>
        <v>Increasing</v>
      </c>
      <c r="AS1662" s="94">
        <f t="shared" si="465"/>
        <v>0</v>
      </c>
      <c r="AT1662" s="94">
        <f t="shared" si="466"/>
        <v>2.395668837562019</v>
      </c>
      <c r="AU1662" s="94">
        <f t="shared" si="467"/>
        <v>5.7170414019483733</v>
      </c>
    </row>
    <row r="1663" spans="1:47" x14ac:dyDescent="0.3">
      <c r="A1663" s="85" t="str">
        <f>_xlfn.XLOOKUP(B1663,'Country codes &amp; Data sources'!G:G,'Country codes &amp; Data sources'!H:H,,0)</f>
        <v>Eswatini</v>
      </c>
      <c r="B1663" s="85" t="s">
        <v>159</v>
      </c>
      <c r="C1663" s="85">
        <v>1111445</v>
      </c>
      <c r="D1663" s="85" t="s">
        <v>327</v>
      </c>
      <c r="E1663" s="86">
        <v>0</v>
      </c>
      <c r="F1663" s="86">
        <v>1118318.9999999998</v>
      </c>
      <c r="G1663" s="86">
        <v>0</v>
      </c>
      <c r="H1663" s="86"/>
      <c r="I1663" s="86">
        <v>0</v>
      </c>
      <c r="J1663" s="86"/>
      <c r="K1663" s="86">
        <v>0</v>
      </c>
      <c r="L1663" s="86"/>
      <c r="M1663" s="86">
        <v>0</v>
      </c>
      <c r="N1663" s="86"/>
      <c r="O1663" s="86">
        <v>0</v>
      </c>
      <c r="P1663" s="86">
        <v>1160427.5</v>
      </c>
      <c r="Q1663" s="86">
        <v>211</v>
      </c>
      <c r="R1663" s="87">
        <f t="shared" si="452"/>
        <v>211</v>
      </c>
      <c r="T1663" s="87">
        <v>0</v>
      </c>
      <c r="U1663" s="89"/>
      <c r="V1663" s="89">
        <v>136</v>
      </c>
      <c r="W1663" s="90"/>
      <c r="X1663" s="90">
        <v>0</v>
      </c>
      <c r="Y1663" s="90">
        <v>1201670.4999999995</v>
      </c>
      <c r="Z1663" s="90">
        <v>623</v>
      </c>
      <c r="AA1663" s="90">
        <v>211</v>
      </c>
      <c r="AB1663" s="89">
        <f t="shared" si="453"/>
        <v>0</v>
      </c>
      <c r="AC1663" s="89">
        <f t="shared" si="454"/>
        <v>211</v>
      </c>
      <c r="AD1663" s="89">
        <f t="shared" si="455"/>
        <v>623</v>
      </c>
      <c r="AE1663" s="90">
        <f t="shared" si="456"/>
        <v>0</v>
      </c>
      <c r="AF1663" s="90" t="str">
        <f t="shared" si="457"/>
        <v/>
      </c>
      <c r="AG1663" s="90">
        <f t="shared" si="458"/>
        <v>211</v>
      </c>
      <c r="AH1663" s="90">
        <f t="shared" si="459"/>
        <v>2018</v>
      </c>
      <c r="AI1663" s="90">
        <f t="shared" si="460"/>
        <v>623</v>
      </c>
      <c r="AJ1663" s="90">
        <f t="shared" si="461"/>
        <v>2022</v>
      </c>
      <c r="AK1663" s="90" t="str">
        <f t="shared" si="462"/>
        <v/>
      </c>
      <c r="AL1663" s="91">
        <f>IF(AK1663="Adjust",(_xlfn.XLOOKUP(A1663,'Adj factor'!A:A,'Adj factor'!I:I,,0)*AI1663),'Master DataSheet'!AI1663)</f>
        <v>623</v>
      </c>
      <c r="AM1663" s="91">
        <f t="shared" si="463"/>
        <v>623</v>
      </c>
      <c r="AN1663" s="92" t="str">
        <f t="shared" si="464"/>
        <v>Increasing</v>
      </c>
      <c r="AS1663" s="94">
        <f t="shared" si="465"/>
        <v>0</v>
      </c>
      <c r="AT1663" s="94">
        <f t="shared" si="466"/>
        <v>1.8182954126819642</v>
      </c>
      <c r="AU1663" s="94">
        <f t="shared" si="467"/>
        <v>5.1844494809517272</v>
      </c>
    </row>
    <row r="1664" spans="1:47" x14ac:dyDescent="0.3">
      <c r="A1664" s="85" t="str">
        <f>_xlfn.XLOOKUP(B1664,'Country codes &amp; Data sources'!G:G,'Country codes &amp; Data sources'!H:H,,0)</f>
        <v>Eswatini</v>
      </c>
      <c r="B1664" s="85" t="s">
        <v>159</v>
      </c>
      <c r="C1664" s="85">
        <v>1111446</v>
      </c>
      <c r="D1664" s="85" t="s">
        <v>328</v>
      </c>
      <c r="E1664" s="86">
        <v>0</v>
      </c>
      <c r="F1664" s="86">
        <v>1118318.9999999998</v>
      </c>
      <c r="G1664" s="86">
        <v>0</v>
      </c>
      <c r="H1664" s="86"/>
      <c r="I1664" s="86">
        <v>0</v>
      </c>
      <c r="J1664" s="86"/>
      <c r="K1664" s="86">
        <v>0</v>
      </c>
      <c r="L1664" s="86"/>
      <c r="M1664" s="86">
        <v>0</v>
      </c>
      <c r="N1664" s="86"/>
      <c r="O1664" s="86">
        <v>0</v>
      </c>
      <c r="P1664" s="86">
        <v>1160427.5</v>
      </c>
      <c r="Q1664" s="86">
        <v>67</v>
      </c>
      <c r="R1664" s="87">
        <f t="shared" si="452"/>
        <v>67</v>
      </c>
      <c r="T1664" s="87">
        <v>0</v>
      </c>
      <c r="U1664" s="89"/>
      <c r="V1664" s="89">
        <v>29</v>
      </c>
      <c r="W1664" s="90"/>
      <c r="X1664" s="90">
        <v>0</v>
      </c>
      <c r="Y1664" s="90">
        <v>1201670.4999999995</v>
      </c>
      <c r="Z1664" s="90"/>
      <c r="AA1664" s="90">
        <v>67</v>
      </c>
      <c r="AB1664" s="89">
        <f t="shared" si="453"/>
        <v>0</v>
      </c>
      <c r="AC1664" s="89">
        <f t="shared" si="454"/>
        <v>67</v>
      </c>
      <c r="AD1664" s="89">
        <f t="shared" si="455"/>
        <v>29</v>
      </c>
      <c r="AE1664" s="90">
        <f t="shared" si="456"/>
        <v>0</v>
      </c>
      <c r="AF1664" s="90" t="str">
        <f t="shared" si="457"/>
        <v/>
      </c>
      <c r="AG1664" s="90">
        <f t="shared" si="458"/>
        <v>67</v>
      </c>
      <c r="AH1664" s="90">
        <f t="shared" si="459"/>
        <v>2018</v>
      </c>
      <c r="AI1664" s="90">
        <f t="shared" si="460"/>
        <v>29</v>
      </c>
      <c r="AJ1664" s="90">
        <f t="shared" si="461"/>
        <v>2020</v>
      </c>
      <c r="AK1664" s="90" t="str">
        <f t="shared" si="462"/>
        <v>Adjust</v>
      </c>
      <c r="AL1664" s="91">
        <f>IF(AK1664="Adjust",(_xlfn.XLOOKUP(A1664,'Adj factor'!A:A,'Adj factor'!I:I,,0)*AI1664),'Master DataSheet'!AI1664)</f>
        <v>41.564529501174519</v>
      </c>
      <c r="AM1664" s="91">
        <f t="shared" si="463"/>
        <v>67</v>
      </c>
      <c r="AN1664" s="92" t="str">
        <f t="shared" si="464"/>
        <v>Decreasing</v>
      </c>
      <c r="AS1664" s="94">
        <f t="shared" si="465"/>
        <v>0</v>
      </c>
      <c r="AT1664" s="94">
        <f t="shared" si="466"/>
        <v>0.57737342488005494</v>
      </c>
      <c r="AU1664" s="94">
        <f t="shared" si="467"/>
        <v>0.55755716729336391</v>
      </c>
    </row>
    <row r="1665" spans="1:47" x14ac:dyDescent="0.3">
      <c r="A1665" s="85" t="str">
        <f>_xlfn.XLOOKUP(B1665,'Country codes &amp; Data sources'!G:G,'Country codes &amp; Data sources'!H:H,,0)</f>
        <v>Eswatini</v>
      </c>
      <c r="B1665" s="85" t="s">
        <v>159</v>
      </c>
      <c r="C1665" s="85">
        <v>1111447</v>
      </c>
      <c r="D1665" s="85" t="s">
        <v>329</v>
      </c>
      <c r="E1665" s="86">
        <v>0</v>
      </c>
      <c r="F1665" s="86">
        <v>1118318.9999999998</v>
      </c>
      <c r="G1665" s="86">
        <v>3735</v>
      </c>
      <c r="H1665" s="86"/>
      <c r="I1665" s="86">
        <v>3847</v>
      </c>
      <c r="J1665" s="86"/>
      <c r="K1665" s="86">
        <v>3976</v>
      </c>
      <c r="L1665" s="86"/>
      <c r="M1665" s="86">
        <v>4200</v>
      </c>
      <c r="N1665" s="86"/>
      <c r="O1665" s="86">
        <v>4431</v>
      </c>
      <c r="P1665" s="86">
        <v>1160427.5</v>
      </c>
      <c r="Q1665" s="86">
        <v>4706</v>
      </c>
      <c r="R1665" s="87">
        <f t="shared" si="452"/>
        <v>4706</v>
      </c>
      <c r="T1665" s="87">
        <v>0</v>
      </c>
      <c r="U1665" s="89"/>
      <c r="V1665" s="89">
        <v>2917</v>
      </c>
      <c r="W1665" s="90"/>
      <c r="X1665" s="90">
        <v>0</v>
      </c>
      <c r="Y1665" s="90">
        <v>1201670.4999999995</v>
      </c>
      <c r="Z1665" s="103">
        <v>5242</v>
      </c>
      <c r="AA1665" s="90">
        <v>2204</v>
      </c>
      <c r="AB1665" s="89">
        <f t="shared" si="453"/>
        <v>3976</v>
      </c>
      <c r="AC1665" s="89">
        <f t="shared" si="454"/>
        <v>4706</v>
      </c>
      <c r="AD1665" s="89">
        <f t="shared" si="455"/>
        <v>5242</v>
      </c>
      <c r="AE1665" s="90">
        <f t="shared" si="456"/>
        <v>3735</v>
      </c>
      <c r="AF1665" s="90">
        <f t="shared" si="457"/>
        <v>2013</v>
      </c>
      <c r="AG1665" s="90">
        <f t="shared" si="458"/>
        <v>4706</v>
      </c>
      <c r="AH1665" s="90">
        <f t="shared" si="459"/>
        <v>2018</v>
      </c>
      <c r="AI1665" s="90">
        <f t="shared" si="460"/>
        <v>5242</v>
      </c>
      <c r="AJ1665" s="90">
        <f t="shared" si="461"/>
        <v>2022</v>
      </c>
      <c r="AK1665" s="90" t="str">
        <f t="shared" si="462"/>
        <v/>
      </c>
      <c r="AL1665" s="91">
        <f>IF(AK1665="Adjust",(_xlfn.XLOOKUP(A1665,'Adj factor'!A:A,'Adj factor'!I:I,,0)*AI1665),'Master DataSheet'!AI1665)</f>
        <v>5242</v>
      </c>
      <c r="AM1665" s="91">
        <f t="shared" si="463"/>
        <v>5242</v>
      </c>
      <c r="AN1665" s="92" t="str">
        <f t="shared" si="464"/>
        <v>Increasing</v>
      </c>
      <c r="AS1665" s="94">
        <f t="shared" si="465"/>
        <v>33.398341618089297</v>
      </c>
      <c r="AT1665" s="94">
        <f t="shared" si="466"/>
        <v>40.554019962470726</v>
      </c>
      <c r="AU1665" s="94">
        <f t="shared" si="467"/>
        <v>43.622607029131544</v>
      </c>
    </row>
    <row r="1666" spans="1:47" x14ac:dyDescent="0.3">
      <c r="A1666" s="85" t="str">
        <f>_xlfn.XLOOKUP(B1666,'Country codes &amp; Data sources'!G:G,'Country codes &amp; Data sources'!H:H,,0)</f>
        <v>Eswatini</v>
      </c>
      <c r="B1666" s="85" t="s">
        <v>159</v>
      </c>
      <c r="C1666" s="85">
        <v>1111448</v>
      </c>
      <c r="D1666" s="85" t="s">
        <v>330</v>
      </c>
      <c r="E1666" s="86">
        <v>0</v>
      </c>
      <c r="F1666" s="86">
        <v>1118318.9999999998</v>
      </c>
      <c r="G1666" s="86">
        <v>2926</v>
      </c>
      <c r="H1666" s="86"/>
      <c r="I1666" s="86">
        <v>3002</v>
      </c>
      <c r="J1666" s="86"/>
      <c r="K1666" s="86">
        <v>3081</v>
      </c>
      <c r="L1666" s="86"/>
      <c r="M1666" s="86">
        <v>3257</v>
      </c>
      <c r="N1666" s="86"/>
      <c r="O1666" s="86">
        <v>3438</v>
      </c>
      <c r="P1666" s="86">
        <v>1160427.5</v>
      </c>
      <c r="Q1666" s="86">
        <v>3677</v>
      </c>
      <c r="R1666" s="87">
        <f t="shared" si="452"/>
        <v>3677</v>
      </c>
      <c r="T1666" s="87">
        <v>0</v>
      </c>
      <c r="U1666" s="89"/>
      <c r="V1666" s="89">
        <v>2523</v>
      </c>
      <c r="W1666" s="90"/>
      <c r="X1666" s="90">
        <v>0</v>
      </c>
      <c r="Y1666" s="90">
        <v>1201670.4999999995</v>
      </c>
      <c r="Z1666" s="90">
        <v>3144</v>
      </c>
      <c r="AA1666" s="90">
        <v>1749</v>
      </c>
      <c r="AB1666" s="89">
        <f t="shared" si="453"/>
        <v>3081</v>
      </c>
      <c r="AC1666" s="89">
        <f t="shared" si="454"/>
        <v>3677</v>
      </c>
      <c r="AD1666" s="89">
        <f t="shared" si="455"/>
        <v>3144</v>
      </c>
      <c r="AE1666" s="90">
        <f t="shared" si="456"/>
        <v>2926</v>
      </c>
      <c r="AF1666" s="90">
        <f t="shared" si="457"/>
        <v>2013</v>
      </c>
      <c r="AG1666" s="90">
        <f t="shared" si="458"/>
        <v>3677</v>
      </c>
      <c r="AH1666" s="90">
        <f t="shared" si="459"/>
        <v>2018</v>
      </c>
      <c r="AI1666" s="90">
        <f t="shared" si="460"/>
        <v>3144</v>
      </c>
      <c r="AJ1666" s="90">
        <f t="shared" si="461"/>
        <v>2022</v>
      </c>
      <c r="AK1666" s="90" t="str">
        <f t="shared" si="462"/>
        <v>Adjust</v>
      </c>
      <c r="AL1666" s="91">
        <f>IF(AK1666="Adjust",(_xlfn.XLOOKUP(A1666,'Adj factor'!A:A,'Adj factor'!I:I,,0)*AI1666),'Master DataSheet'!AI1666)</f>
        <v>4506.1683017825071</v>
      </c>
      <c r="AM1666" s="91">
        <f t="shared" si="463"/>
        <v>4506.1683017825071</v>
      </c>
      <c r="AN1666" s="92" t="str">
        <f t="shared" si="464"/>
        <v>Increasing</v>
      </c>
      <c r="AS1666" s="94">
        <f t="shared" si="465"/>
        <v>26.16426976560356</v>
      </c>
      <c r="AT1666" s="94">
        <f t="shared" si="466"/>
        <v>31.686598257969585</v>
      </c>
      <c r="AU1666" s="94">
        <f t="shared" si="467"/>
        <v>37.499200502820941</v>
      </c>
    </row>
    <row r="1667" spans="1:47" x14ac:dyDescent="0.3">
      <c r="A1667" s="85" t="str">
        <f>_xlfn.XLOOKUP(B1667,'Country codes &amp; Data sources'!G:G,'Country codes &amp; Data sources'!H:H,,0)</f>
        <v>Eswatini</v>
      </c>
      <c r="B1667" s="85" t="s">
        <v>159</v>
      </c>
      <c r="C1667" s="85">
        <v>1111449</v>
      </c>
      <c r="D1667" s="85" t="s">
        <v>331</v>
      </c>
      <c r="E1667" s="86">
        <v>0</v>
      </c>
      <c r="F1667" s="86">
        <v>1118318.9999999998</v>
      </c>
      <c r="G1667" s="86">
        <v>809</v>
      </c>
      <c r="H1667" s="86"/>
      <c r="I1667" s="86">
        <v>845</v>
      </c>
      <c r="J1667" s="86"/>
      <c r="K1667" s="86">
        <v>895</v>
      </c>
      <c r="L1667" s="86"/>
      <c r="M1667" s="86">
        <v>943</v>
      </c>
      <c r="N1667" s="86"/>
      <c r="O1667" s="86">
        <v>993</v>
      </c>
      <c r="P1667" s="86">
        <v>1160427.5</v>
      </c>
      <c r="Q1667" s="86">
        <v>1029</v>
      </c>
      <c r="R1667" s="87">
        <f t="shared" si="452"/>
        <v>1029</v>
      </c>
      <c r="T1667" s="87">
        <v>0</v>
      </c>
      <c r="U1667" s="89"/>
      <c r="V1667" s="89">
        <v>394</v>
      </c>
      <c r="W1667" s="90"/>
      <c r="X1667" s="90">
        <v>0</v>
      </c>
      <c r="Y1667" s="90">
        <v>1201670.4999999995</v>
      </c>
      <c r="Z1667" s="90">
        <v>680</v>
      </c>
      <c r="AA1667" s="90">
        <v>455</v>
      </c>
      <c r="AB1667" s="89">
        <f t="shared" si="453"/>
        <v>895</v>
      </c>
      <c r="AC1667" s="89">
        <f t="shared" si="454"/>
        <v>1029</v>
      </c>
      <c r="AD1667" s="89">
        <f t="shared" si="455"/>
        <v>680</v>
      </c>
      <c r="AE1667" s="90">
        <f t="shared" si="456"/>
        <v>809</v>
      </c>
      <c r="AF1667" s="90">
        <f t="shared" si="457"/>
        <v>2013</v>
      </c>
      <c r="AG1667" s="90">
        <f t="shared" si="458"/>
        <v>1029</v>
      </c>
      <c r="AH1667" s="90">
        <f t="shared" si="459"/>
        <v>2018</v>
      </c>
      <c r="AI1667" s="90">
        <f t="shared" si="460"/>
        <v>680</v>
      </c>
      <c r="AJ1667" s="90">
        <f t="shared" si="461"/>
        <v>2022</v>
      </c>
      <c r="AK1667" s="90" t="str">
        <f t="shared" si="462"/>
        <v>Adjust</v>
      </c>
      <c r="AL1667" s="91">
        <f>IF(AK1667="Adjust",(_xlfn.XLOOKUP(A1667,'Adj factor'!A:A,'Adj factor'!I:I,,0)*AI1667),'Master DataSheet'!AI1667)</f>
        <v>974.61655382064396</v>
      </c>
      <c r="AM1667" s="91">
        <f t="shared" si="463"/>
        <v>1029</v>
      </c>
      <c r="AN1667" s="92" t="str">
        <f t="shared" si="464"/>
        <v>Decreasing</v>
      </c>
      <c r="AS1667" s="94">
        <f t="shared" si="465"/>
        <v>7.2340718524857417</v>
      </c>
      <c r="AT1667" s="94">
        <f t="shared" si="466"/>
        <v>8.8674217045011421</v>
      </c>
      <c r="AU1667" s="94">
        <f t="shared" si="467"/>
        <v>8.5630794797742009</v>
      </c>
    </row>
    <row r="1668" spans="1:47" x14ac:dyDescent="0.3">
      <c r="A1668" s="85" t="str">
        <f>_xlfn.XLOOKUP(B1668,'Country codes &amp; Data sources'!G:G,'Country codes &amp; Data sources'!H:H,,0)</f>
        <v>Eswatini</v>
      </c>
      <c r="B1668" s="85" t="s">
        <v>159</v>
      </c>
      <c r="C1668" s="85">
        <v>1111450</v>
      </c>
      <c r="D1668" s="85" t="s">
        <v>332</v>
      </c>
      <c r="E1668" s="86">
        <v>0</v>
      </c>
      <c r="F1668" s="86">
        <v>1118318.9999999998</v>
      </c>
      <c r="G1668" s="86">
        <v>0</v>
      </c>
      <c r="H1668" s="86"/>
      <c r="I1668" s="86">
        <v>0</v>
      </c>
      <c r="J1668" s="86"/>
      <c r="K1668" s="86">
        <v>0</v>
      </c>
      <c r="L1668" s="86"/>
      <c r="M1668" s="86">
        <v>0</v>
      </c>
      <c r="N1668" s="86"/>
      <c r="O1668" s="86">
        <v>0</v>
      </c>
      <c r="P1668" s="86">
        <v>1160427.5</v>
      </c>
      <c r="Q1668" s="86">
        <v>0</v>
      </c>
      <c r="R1668" s="87">
        <f t="shared" si="452"/>
        <v>14</v>
      </c>
      <c r="T1668" s="87">
        <v>0</v>
      </c>
      <c r="U1668" s="89"/>
      <c r="V1668" s="89">
        <v>0</v>
      </c>
      <c r="W1668" s="90"/>
      <c r="X1668" s="90">
        <v>0</v>
      </c>
      <c r="Y1668" s="90">
        <v>1201670.4999999995</v>
      </c>
      <c r="Z1668" s="90">
        <v>0</v>
      </c>
      <c r="AA1668" s="90">
        <v>14</v>
      </c>
      <c r="AB1668" s="89">
        <f t="shared" si="453"/>
        <v>0</v>
      </c>
      <c r="AC1668" s="89">
        <f t="shared" si="454"/>
        <v>0</v>
      </c>
      <c r="AD1668" s="89">
        <f t="shared" si="455"/>
        <v>0</v>
      </c>
      <c r="AE1668" s="90">
        <f t="shared" si="456"/>
        <v>0</v>
      </c>
      <c r="AF1668" s="90" t="str">
        <f t="shared" si="457"/>
        <v/>
      </c>
      <c r="AG1668" s="90">
        <f t="shared" si="458"/>
        <v>14</v>
      </c>
      <c r="AH1668" s="90" t="str">
        <f t="shared" si="459"/>
        <v>2018 (triag)</v>
      </c>
      <c r="AI1668" s="90">
        <f t="shared" si="460"/>
        <v>14</v>
      </c>
      <c r="AJ1668" s="90" t="str">
        <f t="shared" si="461"/>
        <v>2018 (triag)</v>
      </c>
      <c r="AK1668" s="90" t="str">
        <f t="shared" si="462"/>
        <v/>
      </c>
      <c r="AL1668" s="91">
        <f>IF(AK1668="Adjust",(_xlfn.XLOOKUP(A1668,'Adj factor'!A:A,'Adj factor'!I:I,,0)*AI1668),'Master DataSheet'!AI1668)</f>
        <v>14</v>
      </c>
      <c r="AM1668" s="91">
        <f t="shared" si="463"/>
        <v>14</v>
      </c>
      <c r="AN1668" s="92" t="str">
        <f t="shared" si="464"/>
        <v>No change</v>
      </c>
      <c r="AS1668" s="94">
        <f t="shared" si="465"/>
        <v>0</v>
      </c>
      <c r="AT1668" s="94">
        <f t="shared" si="466"/>
        <v>0.12064519325851895</v>
      </c>
      <c r="AU1668" s="94">
        <f t="shared" si="467"/>
        <v>0.11650448271801633</v>
      </c>
    </row>
    <row r="1669" spans="1:47" x14ac:dyDescent="0.3">
      <c r="A1669" s="85" t="str">
        <f>_xlfn.XLOOKUP(B1669,'Country codes &amp; Data sources'!G:G,'Country codes &amp; Data sources'!H:H,,0)</f>
        <v>Eswatini</v>
      </c>
      <c r="B1669" s="85" t="s">
        <v>159</v>
      </c>
      <c r="C1669" s="85">
        <v>1111451</v>
      </c>
      <c r="D1669" s="85" t="s">
        <v>333</v>
      </c>
      <c r="E1669" s="86">
        <v>0</v>
      </c>
      <c r="F1669" s="86">
        <v>1118318.9999999998</v>
      </c>
      <c r="G1669" s="86">
        <v>0</v>
      </c>
      <c r="H1669" s="86"/>
      <c r="I1669" s="86">
        <v>0</v>
      </c>
      <c r="J1669" s="86"/>
      <c r="K1669" s="86">
        <v>0</v>
      </c>
      <c r="L1669" s="86"/>
      <c r="M1669" s="86">
        <v>0</v>
      </c>
      <c r="N1669" s="86"/>
      <c r="O1669" s="86">
        <v>0</v>
      </c>
      <c r="P1669" s="86">
        <v>1160427.5</v>
      </c>
      <c r="Q1669" s="86">
        <v>0</v>
      </c>
      <c r="R1669" s="87">
        <f t="shared" si="452"/>
        <v>14</v>
      </c>
      <c r="T1669" s="87">
        <v>0</v>
      </c>
      <c r="U1669" s="89"/>
      <c r="V1669" s="89">
        <v>0</v>
      </c>
      <c r="W1669" s="90"/>
      <c r="X1669" s="90">
        <v>0</v>
      </c>
      <c r="Y1669" s="90">
        <v>1201670.4999999995</v>
      </c>
      <c r="Z1669" s="90">
        <v>0</v>
      </c>
      <c r="AA1669" s="90">
        <v>14</v>
      </c>
      <c r="AB1669" s="89">
        <f t="shared" si="453"/>
        <v>0</v>
      </c>
      <c r="AC1669" s="89">
        <f t="shared" si="454"/>
        <v>0</v>
      </c>
      <c r="AD1669" s="89">
        <f t="shared" si="455"/>
        <v>0</v>
      </c>
      <c r="AE1669" s="90">
        <f t="shared" si="456"/>
        <v>0</v>
      </c>
      <c r="AF1669" s="90" t="str">
        <f t="shared" si="457"/>
        <v/>
      </c>
      <c r="AG1669" s="90">
        <f t="shared" si="458"/>
        <v>14</v>
      </c>
      <c r="AH1669" s="90" t="str">
        <f t="shared" si="459"/>
        <v>2018 (triag)</v>
      </c>
      <c r="AI1669" s="90">
        <f t="shared" si="460"/>
        <v>14</v>
      </c>
      <c r="AJ1669" s="90" t="str">
        <f t="shared" si="461"/>
        <v>2018 (triag)</v>
      </c>
      <c r="AK1669" s="90" t="str">
        <f t="shared" si="462"/>
        <v/>
      </c>
      <c r="AL1669" s="91">
        <f>IF(AK1669="Adjust",(_xlfn.XLOOKUP(A1669,'Adj factor'!A:A,'Adj factor'!I:I,,0)*AI1669),'Master DataSheet'!AI1669)</f>
        <v>14</v>
      </c>
      <c r="AM1669" s="91">
        <f t="shared" si="463"/>
        <v>14</v>
      </c>
      <c r="AN1669" s="92" t="str">
        <f t="shared" si="464"/>
        <v>No change</v>
      </c>
      <c r="AS1669" s="94">
        <f t="shared" si="465"/>
        <v>0</v>
      </c>
      <c r="AT1669" s="94">
        <f t="shared" si="466"/>
        <v>0.12064519325851895</v>
      </c>
      <c r="AU1669" s="94">
        <f t="shared" si="467"/>
        <v>0.11650448271801633</v>
      </c>
    </row>
    <row r="1670" spans="1:47" x14ac:dyDescent="0.3">
      <c r="A1670" s="85" t="str">
        <f>_xlfn.XLOOKUP(B1670,'Country codes &amp; Data sources'!G:G,'Country codes &amp; Data sources'!H:H,,0)</f>
        <v>Eswatini</v>
      </c>
      <c r="B1670" s="85" t="s">
        <v>159</v>
      </c>
      <c r="C1670" s="85">
        <v>1111452</v>
      </c>
      <c r="D1670" s="85" t="s">
        <v>334</v>
      </c>
      <c r="E1670" s="86">
        <v>0</v>
      </c>
      <c r="F1670" s="86">
        <v>1118318.9999999998</v>
      </c>
      <c r="G1670" s="86">
        <v>0</v>
      </c>
      <c r="H1670" s="86"/>
      <c r="I1670" s="86">
        <v>0</v>
      </c>
      <c r="J1670" s="86"/>
      <c r="K1670" s="86">
        <v>0</v>
      </c>
      <c r="L1670" s="86"/>
      <c r="M1670" s="86">
        <v>0</v>
      </c>
      <c r="N1670" s="86"/>
      <c r="O1670" s="86">
        <v>0</v>
      </c>
      <c r="P1670" s="86">
        <v>1160427.5</v>
      </c>
      <c r="Q1670" s="86">
        <v>0</v>
      </c>
      <c r="R1670" s="87">
        <f t="shared" si="452"/>
        <v>0</v>
      </c>
      <c r="T1670" s="87">
        <v>0</v>
      </c>
      <c r="U1670" s="89"/>
      <c r="V1670" s="89">
        <v>0</v>
      </c>
      <c r="W1670" s="90"/>
      <c r="X1670" s="90">
        <v>0</v>
      </c>
      <c r="Y1670" s="90">
        <v>1201670.4999999995</v>
      </c>
      <c r="Z1670" s="90">
        <v>0</v>
      </c>
      <c r="AA1670" s="90">
        <v>0</v>
      </c>
      <c r="AB1670" s="89">
        <f t="shared" si="453"/>
        <v>0</v>
      </c>
      <c r="AC1670" s="89">
        <f t="shared" si="454"/>
        <v>0</v>
      </c>
      <c r="AD1670" s="89">
        <f t="shared" si="455"/>
        <v>0</v>
      </c>
      <c r="AE1670" s="90">
        <f t="shared" si="456"/>
        <v>0</v>
      </c>
      <c r="AF1670" s="90" t="str">
        <f t="shared" si="457"/>
        <v/>
      </c>
      <c r="AG1670" s="90">
        <f t="shared" si="458"/>
        <v>0</v>
      </c>
      <c r="AH1670" s="90" t="str">
        <f t="shared" si="459"/>
        <v/>
      </c>
      <c r="AI1670" s="90">
        <f t="shared" si="460"/>
        <v>0</v>
      </c>
      <c r="AJ1670" s="90" t="str">
        <f t="shared" si="461"/>
        <v/>
      </c>
      <c r="AK1670" s="90" t="str">
        <f t="shared" si="462"/>
        <v/>
      </c>
      <c r="AL1670" s="91">
        <f>IF(AK1670="Adjust",(_xlfn.XLOOKUP(A1670,'Adj factor'!A:A,'Adj factor'!I:I,,0)*AI1670),'Master DataSheet'!AI1670)</f>
        <v>0</v>
      </c>
      <c r="AM1670" s="91">
        <f t="shared" si="463"/>
        <v>0</v>
      </c>
      <c r="AN1670" s="92" t="str">
        <f t="shared" si="464"/>
        <v>No change</v>
      </c>
      <c r="AS1670" s="94">
        <f t="shared" si="465"/>
        <v>0</v>
      </c>
      <c r="AT1670" s="94">
        <f t="shared" si="466"/>
        <v>0</v>
      </c>
      <c r="AU1670" s="94">
        <f t="shared" si="467"/>
        <v>0</v>
      </c>
    </row>
    <row r="1671" spans="1:47" x14ac:dyDescent="0.3">
      <c r="A1671" s="85" t="str">
        <f>_xlfn.XLOOKUP(B1671,'Country codes &amp; Data sources'!G:G,'Country codes &amp; Data sources'!H:H,,0)</f>
        <v>Eswatini</v>
      </c>
      <c r="B1671" s="85" t="s">
        <v>159</v>
      </c>
      <c r="C1671" s="85">
        <v>1111453</v>
      </c>
      <c r="D1671" s="85" t="s">
        <v>335</v>
      </c>
      <c r="E1671" s="86">
        <v>0</v>
      </c>
      <c r="F1671" s="86">
        <v>1118318.9999999998</v>
      </c>
      <c r="G1671" s="86">
        <v>0</v>
      </c>
      <c r="H1671" s="86"/>
      <c r="I1671" s="86">
        <v>0</v>
      </c>
      <c r="J1671" s="86"/>
      <c r="K1671" s="86">
        <v>0</v>
      </c>
      <c r="L1671" s="86"/>
      <c r="M1671" s="86">
        <v>0</v>
      </c>
      <c r="N1671" s="86"/>
      <c r="O1671" s="86">
        <v>0</v>
      </c>
      <c r="P1671" s="86">
        <v>1160427.5</v>
      </c>
      <c r="Q1671" s="86">
        <v>281</v>
      </c>
      <c r="R1671" s="87">
        <f t="shared" si="452"/>
        <v>281</v>
      </c>
      <c r="T1671" s="87">
        <v>0</v>
      </c>
      <c r="U1671" s="89"/>
      <c r="V1671" s="89">
        <v>48</v>
      </c>
      <c r="W1671" s="90"/>
      <c r="X1671" s="90">
        <v>0</v>
      </c>
      <c r="Y1671" s="90">
        <v>1201670.4999999995</v>
      </c>
      <c r="Z1671" s="105">
        <v>42</v>
      </c>
      <c r="AA1671" s="90">
        <v>110</v>
      </c>
      <c r="AB1671" s="89">
        <f t="shared" si="453"/>
        <v>0</v>
      </c>
      <c r="AC1671" s="89">
        <f t="shared" si="454"/>
        <v>281</v>
      </c>
      <c r="AD1671" s="89">
        <f t="shared" si="455"/>
        <v>48</v>
      </c>
      <c r="AE1671" s="90">
        <f t="shared" si="456"/>
        <v>0</v>
      </c>
      <c r="AF1671" s="90" t="str">
        <f t="shared" si="457"/>
        <v/>
      </c>
      <c r="AG1671" s="90">
        <f t="shared" si="458"/>
        <v>281</v>
      </c>
      <c r="AH1671" s="90">
        <f t="shared" si="459"/>
        <v>2018</v>
      </c>
      <c r="AI1671" s="90">
        <f t="shared" si="460"/>
        <v>42</v>
      </c>
      <c r="AJ1671" s="90">
        <f t="shared" si="461"/>
        <v>2022</v>
      </c>
      <c r="AK1671" s="90" t="str">
        <f t="shared" si="462"/>
        <v>Adjust</v>
      </c>
      <c r="AL1671" s="91">
        <f>IF(AK1671="Adjust",(_xlfn.XLOOKUP(A1671,'Adj factor'!A:A,'Adj factor'!I:I,,0)*AI1671),'Master DataSheet'!AI1671)</f>
        <v>60.196904794804482</v>
      </c>
      <c r="AM1671" s="91">
        <f t="shared" si="463"/>
        <v>281</v>
      </c>
      <c r="AN1671" s="92" t="str">
        <f t="shared" si="464"/>
        <v>Decreasing</v>
      </c>
      <c r="AS1671" s="94">
        <f t="shared" si="465"/>
        <v>0</v>
      </c>
      <c r="AT1671" s="94">
        <f t="shared" si="466"/>
        <v>2.4215213789745591</v>
      </c>
      <c r="AU1671" s="94">
        <f t="shared" si="467"/>
        <v>2.3384114031258996</v>
      </c>
    </row>
    <row r="1672" spans="1:47" x14ac:dyDescent="0.3">
      <c r="A1672" s="85" t="str">
        <f>_xlfn.XLOOKUP(B1672,'Country codes &amp; Data sources'!G:G,'Country codes &amp; Data sources'!H:H,,0)</f>
        <v>Eswatini</v>
      </c>
      <c r="B1672" s="85" t="s">
        <v>159</v>
      </c>
      <c r="C1672" s="85">
        <v>1111454</v>
      </c>
      <c r="D1672" s="85" t="s">
        <v>336</v>
      </c>
      <c r="E1672" s="86">
        <v>0</v>
      </c>
      <c r="F1672" s="86">
        <v>1118318.9999999998</v>
      </c>
      <c r="G1672" s="86">
        <v>0</v>
      </c>
      <c r="H1672" s="86"/>
      <c r="I1672" s="86">
        <v>0</v>
      </c>
      <c r="J1672" s="86"/>
      <c r="K1672" s="86">
        <v>0</v>
      </c>
      <c r="L1672" s="86"/>
      <c r="M1672" s="86">
        <v>0</v>
      </c>
      <c r="N1672" s="86"/>
      <c r="O1672" s="86">
        <v>0</v>
      </c>
      <c r="P1672" s="86">
        <v>1160427.5</v>
      </c>
      <c r="Q1672" s="86">
        <v>0</v>
      </c>
      <c r="R1672" s="87">
        <f t="shared" si="452"/>
        <v>171</v>
      </c>
      <c r="T1672" s="87">
        <v>0</v>
      </c>
      <c r="U1672" s="89"/>
      <c r="V1672" s="89">
        <v>80</v>
      </c>
      <c r="W1672" s="90"/>
      <c r="X1672" s="90">
        <v>0</v>
      </c>
      <c r="Y1672" s="90">
        <v>1201670.4999999995</v>
      </c>
      <c r="Z1672" s="90">
        <v>0</v>
      </c>
      <c r="AA1672" s="90">
        <v>171</v>
      </c>
      <c r="AB1672" s="89">
        <f t="shared" si="453"/>
        <v>0</v>
      </c>
      <c r="AC1672" s="89">
        <f t="shared" si="454"/>
        <v>0</v>
      </c>
      <c r="AD1672" s="89">
        <f t="shared" si="455"/>
        <v>80</v>
      </c>
      <c r="AE1672" s="90">
        <f t="shared" si="456"/>
        <v>0</v>
      </c>
      <c r="AF1672" s="90" t="str">
        <f t="shared" si="457"/>
        <v/>
      </c>
      <c r="AG1672" s="90">
        <f t="shared" si="458"/>
        <v>171</v>
      </c>
      <c r="AH1672" s="90" t="str">
        <f t="shared" si="459"/>
        <v>2018 (triag)</v>
      </c>
      <c r="AI1672" s="90">
        <f t="shared" si="460"/>
        <v>80</v>
      </c>
      <c r="AJ1672" s="90">
        <f t="shared" si="461"/>
        <v>2020</v>
      </c>
      <c r="AK1672" s="90" t="str">
        <f t="shared" si="462"/>
        <v>Adjust</v>
      </c>
      <c r="AL1672" s="91">
        <f>IF(AK1672="Adjust",(_xlfn.XLOOKUP(A1672,'Adj factor'!A:A,'Adj factor'!I:I,,0)*AI1672),'Master DataSheet'!AI1672)</f>
        <v>114.66077103772281</v>
      </c>
      <c r="AM1672" s="91">
        <f t="shared" si="463"/>
        <v>171</v>
      </c>
      <c r="AN1672" s="92" t="str">
        <f t="shared" si="464"/>
        <v>Decreasing</v>
      </c>
      <c r="AS1672" s="94">
        <f t="shared" si="465"/>
        <v>0</v>
      </c>
      <c r="AT1672" s="94">
        <f t="shared" si="466"/>
        <v>1.4735948605147673</v>
      </c>
      <c r="AU1672" s="94">
        <f t="shared" si="467"/>
        <v>1.4230190389129138</v>
      </c>
    </row>
    <row r="1673" spans="1:47" x14ac:dyDescent="0.3">
      <c r="A1673" s="85" t="str">
        <f>_xlfn.XLOOKUP(B1673,'Country codes &amp; Data sources'!G:G,'Country codes &amp; Data sources'!H:H,,0)</f>
        <v>Eswatini</v>
      </c>
      <c r="B1673" s="85" t="s">
        <v>159</v>
      </c>
      <c r="C1673" s="85">
        <v>1111455</v>
      </c>
      <c r="D1673" s="85" t="s">
        <v>337</v>
      </c>
      <c r="E1673" s="86">
        <v>0</v>
      </c>
      <c r="F1673" s="86">
        <v>1118318.9999999998</v>
      </c>
      <c r="G1673" s="86">
        <v>0</v>
      </c>
      <c r="H1673" s="86"/>
      <c r="I1673" s="86">
        <v>0</v>
      </c>
      <c r="J1673" s="86"/>
      <c r="K1673" s="86">
        <v>0</v>
      </c>
      <c r="L1673" s="86"/>
      <c r="M1673" s="86">
        <v>0</v>
      </c>
      <c r="N1673" s="86"/>
      <c r="O1673" s="86">
        <v>0</v>
      </c>
      <c r="P1673" s="86">
        <v>1160427.5</v>
      </c>
      <c r="Q1673" s="86">
        <v>74</v>
      </c>
      <c r="R1673" s="87">
        <f t="shared" si="452"/>
        <v>74</v>
      </c>
      <c r="T1673" s="87">
        <v>14</v>
      </c>
      <c r="U1673" s="89"/>
      <c r="V1673" s="89">
        <v>22</v>
      </c>
      <c r="W1673" s="90"/>
      <c r="X1673" s="90">
        <v>0</v>
      </c>
      <c r="Y1673" s="90">
        <v>1201670.4999999995</v>
      </c>
      <c r="Z1673" s="105">
        <v>35</v>
      </c>
      <c r="AA1673" s="90">
        <v>28</v>
      </c>
      <c r="AB1673" s="89">
        <f t="shared" si="453"/>
        <v>0</v>
      </c>
      <c r="AC1673" s="89">
        <f t="shared" si="454"/>
        <v>74</v>
      </c>
      <c r="AD1673" s="89">
        <f t="shared" si="455"/>
        <v>35</v>
      </c>
      <c r="AE1673" s="90">
        <f t="shared" si="456"/>
        <v>0</v>
      </c>
      <c r="AF1673" s="90" t="str">
        <f t="shared" si="457"/>
        <v/>
      </c>
      <c r="AG1673" s="90">
        <f t="shared" si="458"/>
        <v>74</v>
      </c>
      <c r="AH1673" s="90">
        <f t="shared" si="459"/>
        <v>2018</v>
      </c>
      <c r="AI1673" s="90">
        <f t="shared" si="460"/>
        <v>35</v>
      </c>
      <c r="AJ1673" s="90">
        <f t="shared" si="461"/>
        <v>2022</v>
      </c>
      <c r="AK1673" s="90" t="str">
        <f t="shared" si="462"/>
        <v>Adjust</v>
      </c>
      <c r="AL1673" s="91">
        <f>IF(AK1673="Adjust",(_xlfn.XLOOKUP(A1673,'Adj factor'!A:A,'Adj factor'!I:I,,0)*AI1673),'Master DataSheet'!AI1673)</f>
        <v>50.164087329003735</v>
      </c>
      <c r="AM1673" s="91">
        <f t="shared" si="463"/>
        <v>74</v>
      </c>
      <c r="AN1673" s="92" t="str">
        <f t="shared" si="464"/>
        <v>Decreasing</v>
      </c>
      <c r="AS1673" s="94">
        <f t="shared" si="465"/>
        <v>0</v>
      </c>
      <c r="AT1673" s="94">
        <f t="shared" si="466"/>
        <v>0.63769602150931448</v>
      </c>
      <c r="AU1673" s="94">
        <f t="shared" si="467"/>
        <v>0.6158094086523721</v>
      </c>
    </row>
    <row r="1674" spans="1:47" x14ac:dyDescent="0.3">
      <c r="A1674" s="85" t="str">
        <f>_xlfn.XLOOKUP(B1674,'Country codes &amp; Data sources'!G:G,'Country codes &amp; Data sources'!H:H,,0)</f>
        <v>Eswatini</v>
      </c>
      <c r="B1674" s="85" t="s">
        <v>159</v>
      </c>
      <c r="C1674" s="85">
        <v>1111456</v>
      </c>
      <c r="D1674" s="85" t="s">
        <v>338</v>
      </c>
      <c r="E1674" s="86">
        <v>0</v>
      </c>
      <c r="F1674" s="86">
        <v>1118318.9999999998</v>
      </c>
      <c r="G1674" s="86">
        <v>0</v>
      </c>
      <c r="H1674" s="86"/>
      <c r="I1674" s="86">
        <v>0</v>
      </c>
      <c r="J1674" s="86"/>
      <c r="K1674" s="86">
        <v>0</v>
      </c>
      <c r="L1674" s="86"/>
      <c r="M1674" s="86">
        <v>0</v>
      </c>
      <c r="N1674" s="86"/>
      <c r="O1674" s="86">
        <v>0</v>
      </c>
      <c r="P1674" s="86">
        <v>1160427.5</v>
      </c>
      <c r="Q1674" s="86">
        <v>0</v>
      </c>
      <c r="R1674" s="87">
        <f t="shared" si="452"/>
        <v>46</v>
      </c>
      <c r="T1674" s="87">
        <v>19</v>
      </c>
      <c r="U1674" s="89"/>
      <c r="V1674" s="89">
        <v>28</v>
      </c>
      <c r="W1674" s="90"/>
      <c r="X1674" s="90">
        <v>0</v>
      </c>
      <c r="Y1674" s="90">
        <v>1201670.4999999995</v>
      </c>
      <c r="Z1674" s="90">
        <v>0</v>
      </c>
      <c r="AA1674" s="90">
        <v>46</v>
      </c>
      <c r="AB1674" s="89">
        <f t="shared" si="453"/>
        <v>0</v>
      </c>
      <c r="AC1674" s="89">
        <f t="shared" si="454"/>
        <v>19</v>
      </c>
      <c r="AD1674" s="89">
        <f t="shared" si="455"/>
        <v>28</v>
      </c>
      <c r="AE1674" s="90">
        <f t="shared" si="456"/>
        <v>0</v>
      </c>
      <c r="AF1674" s="90" t="str">
        <f t="shared" si="457"/>
        <v/>
      </c>
      <c r="AG1674" s="90">
        <f t="shared" si="458"/>
        <v>46</v>
      </c>
      <c r="AH1674" s="90" t="str">
        <f t="shared" si="459"/>
        <v>2018 (triag)</v>
      </c>
      <c r="AI1674" s="90">
        <f t="shared" si="460"/>
        <v>28</v>
      </c>
      <c r="AJ1674" s="90">
        <f t="shared" si="461"/>
        <v>2020</v>
      </c>
      <c r="AK1674" s="90" t="str">
        <f t="shared" si="462"/>
        <v>Adjust</v>
      </c>
      <c r="AL1674" s="91">
        <f>IF(AK1674="Adjust",(_xlfn.XLOOKUP(A1674,'Adj factor'!A:A,'Adj factor'!I:I,,0)*AI1674),'Master DataSheet'!AI1674)</f>
        <v>40.131269863202988</v>
      </c>
      <c r="AM1674" s="91">
        <f t="shared" si="463"/>
        <v>46</v>
      </c>
      <c r="AN1674" s="92" t="str">
        <f t="shared" si="464"/>
        <v>Decreasing</v>
      </c>
      <c r="AS1674" s="94">
        <f t="shared" si="465"/>
        <v>0</v>
      </c>
      <c r="AT1674" s="94">
        <f t="shared" si="466"/>
        <v>0.39640563499227655</v>
      </c>
      <c r="AU1674" s="94">
        <f t="shared" si="467"/>
        <v>0.38280044321633938</v>
      </c>
    </row>
    <row r="1675" spans="1:47" x14ac:dyDescent="0.3">
      <c r="A1675" s="85" t="str">
        <f>_xlfn.XLOOKUP(B1675,'Country codes &amp; Data sources'!G:G,'Country codes &amp; Data sources'!H:H,,0)</f>
        <v>Eswatini</v>
      </c>
      <c r="B1675" s="85" t="s">
        <v>159</v>
      </c>
      <c r="C1675" s="85">
        <v>1111457</v>
      </c>
      <c r="D1675" s="85" t="s">
        <v>339</v>
      </c>
      <c r="E1675" s="86">
        <v>0</v>
      </c>
      <c r="F1675" s="86">
        <v>1118318.9999999998</v>
      </c>
      <c r="G1675" s="86">
        <v>0</v>
      </c>
      <c r="H1675" s="86"/>
      <c r="I1675" s="86">
        <v>0</v>
      </c>
      <c r="J1675" s="86"/>
      <c r="K1675" s="86">
        <v>0</v>
      </c>
      <c r="L1675" s="86"/>
      <c r="M1675" s="86">
        <v>0</v>
      </c>
      <c r="N1675" s="86"/>
      <c r="O1675" s="86">
        <v>0</v>
      </c>
      <c r="P1675" s="86">
        <v>1160427.5</v>
      </c>
      <c r="Q1675" s="86">
        <v>0</v>
      </c>
      <c r="R1675" s="87">
        <f t="shared" si="452"/>
        <v>0</v>
      </c>
      <c r="T1675" s="87">
        <v>0</v>
      </c>
      <c r="U1675" s="89"/>
      <c r="V1675" s="89">
        <v>12</v>
      </c>
      <c r="W1675" s="90"/>
      <c r="X1675" s="90">
        <v>0</v>
      </c>
      <c r="Y1675" s="90">
        <v>1201670.4999999995</v>
      </c>
      <c r="Z1675" s="90">
        <v>0</v>
      </c>
      <c r="AA1675" s="90">
        <v>0</v>
      </c>
      <c r="AB1675" s="89">
        <f t="shared" si="453"/>
        <v>0</v>
      </c>
      <c r="AC1675" s="89">
        <f t="shared" si="454"/>
        <v>0</v>
      </c>
      <c r="AD1675" s="89">
        <f t="shared" si="455"/>
        <v>12</v>
      </c>
      <c r="AE1675" s="90">
        <f t="shared" si="456"/>
        <v>0</v>
      </c>
      <c r="AF1675" s="90" t="str">
        <f t="shared" si="457"/>
        <v/>
      </c>
      <c r="AG1675" s="90">
        <f t="shared" si="458"/>
        <v>0</v>
      </c>
      <c r="AH1675" s="90" t="str">
        <f t="shared" si="459"/>
        <v/>
      </c>
      <c r="AI1675" s="90">
        <f t="shared" si="460"/>
        <v>12</v>
      </c>
      <c r="AJ1675" s="90">
        <f t="shared" si="461"/>
        <v>2020</v>
      </c>
      <c r="AK1675" s="90" t="str">
        <f t="shared" si="462"/>
        <v/>
      </c>
      <c r="AL1675" s="91">
        <f>IF(AK1675="Adjust",(_xlfn.XLOOKUP(A1675,'Adj factor'!A:A,'Adj factor'!I:I,,0)*AI1675),'Master DataSheet'!AI1675)</f>
        <v>12</v>
      </c>
      <c r="AM1675" s="91">
        <f t="shared" si="463"/>
        <v>12</v>
      </c>
      <c r="AN1675" s="92" t="str">
        <f t="shared" si="464"/>
        <v>Increasing</v>
      </c>
      <c r="AS1675" s="94">
        <f t="shared" si="465"/>
        <v>0</v>
      </c>
      <c r="AT1675" s="94">
        <f t="shared" si="466"/>
        <v>0</v>
      </c>
      <c r="AU1675" s="94">
        <f t="shared" si="467"/>
        <v>9.9860985186871143E-2</v>
      </c>
    </row>
    <row r="1676" spans="1:47" x14ac:dyDescent="0.3">
      <c r="A1676" s="85" t="str">
        <f>_xlfn.XLOOKUP(B1676,'Country codes &amp; Data sources'!G:G,'Country codes &amp; Data sources'!H:H,,0)</f>
        <v>Seychelles</v>
      </c>
      <c r="B1676" s="85" t="s">
        <v>185</v>
      </c>
      <c r="C1676" s="85">
        <v>95308.999999999985</v>
      </c>
      <c r="D1676" s="85" t="s">
        <v>326</v>
      </c>
      <c r="E1676" s="86">
        <v>93</v>
      </c>
      <c r="F1676" s="86">
        <v>96714</v>
      </c>
      <c r="G1676" s="86">
        <v>0</v>
      </c>
      <c r="H1676" s="86">
        <v>98000.999999999927</v>
      </c>
      <c r="I1676" s="86">
        <v>0</v>
      </c>
      <c r="J1676" s="86">
        <v>99239.999999999971</v>
      </c>
      <c r="K1676" s="86">
        <v>0</v>
      </c>
      <c r="L1676" s="86">
        <v>100508.49999999997</v>
      </c>
      <c r="M1676" s="86">
        <v>203</v>
      </c>
      <c r="N1676" s="86">
        <v>101810.50000000001</v>
      </c>
      <c r="O1676" s="86">
        <v>0</v>
      </c>
      <c r="P1676" s="86">
        <v>103101.00000000003</v>
      </c>
      <c r="Q1676" s="86">
        <v>240</v>
      </c>
      <c r="R1676" s="87">
        <f t="shared" si="452"/>
        <v>240</v>
      </c>
      <c r="S1676" s="87">
        <v>104372.49999999997</v>
      </c>
      <c r="T1676" s="87">
        <v>220</v>
      </c>
      <c r="U1676" s="89">
        <v>105529.99999999997</v>
      </c>
      <c r="V1676" s="89">
        <v>0</v>
      </c>
      <c r="W1676" s="90">
        <v>106470.49999999996</v>
      </c>
      <c r="X1676" s="90">
        <v>0</v>
      </c>
      <c r="Y1676" s="90">
        <v>107118.5</v>
      </c>
      <c r="Z1676" s="113">
        <f>477+125+115+61+7+11+32</f>
        <v>828</v>
      </c>
      <c r="AA1676" s="90">
        <v>240</v>
      </c>
      <c r="AB1676" s="89">
        <f t="shared" si="453"/>
        <v>93</v>
      </c>
      <c r="AC1676" s="89">
        <f t="shared" si="454"/>
        <v>240</v>
      </c>
      <c r="AD1676" s="89">
        <f t="shared" si="455"/>
        <v>828</v>
      </c>
      <c r="AE1676" s="90">
        <f t="shared" si="456"/>
        <v>93</v>
      </c>
      <c r="AF1676" s="90">
        <f t="shared" si="457"/>
        <v>2012</v>
      </c>
      <c r="AG1676" s="90">
        <f t="shared" si="458"/>
        <v>240</v>
      </c>
      <c r="AH1676" s="90">
        <f t="shared" si="459"/>
        <v>2018</v>
      </c>
      <c r="AI1676" s="90">
        <f t="shared" si="460"/>
        <v>828</v>
      </c>
      <c r="AJ1676" s="90">
        <f t="shared" si="461"/>
        <v>2022</v>
      </c>
      <c r="AK1676" s="90" t="str">
        <f t="shared" si="462"/>
        <v/>
      </c>
      <c r="AL1676" s="91">
        <f>IF(AK1676="Adjust",(_xlfn.XLOOKUP(A1676,'Adj factor'!A:A,'Adj factor'!I:I,,0)*AI1676),'Master DataSheet'!AI1676)</f>
        <v>828</v>
      </c>
      <c r="AM1676" s="91">
        <f t="shared" si="463"/>
        <v>828</v>
      </c>
      <c r="AN1676" s="92" t="str">
        <f t="shared" si="464"/>
        <v>Increasing</v>
      </c>
      <c r="AS1676" s="94">
        <f t="shared" si="465"/>
        <v>9.6159811402692483</v>
      </c>
      <c r="AT1676" s="94">
        <f t="shared" si="466"/>
        <v>23.278144731864863</v>
      </c>
      <c r="AU1676" s="116">
        <f t="shared" si="467"/>
        <v>77.297572314772893</v>
      </c>
    </row>
    <row r="1677" spans="1:47" x14ac:dyDescent="0.3">
      <c r="A1677" s="85" t="str">
        <f>_xlfn.XLOOKUP(B1677,'Country codes &amp; Data sources'!G:G,'Country codes &amp; Data sources'!H:H,,0)</f>
        <v>Seychelles</v>
      </c>
      <c r="B1677" s="85" t="s">
        <v>185</v>
      </c>
      <c r="C1677" s="85">
        <v>95310</v>
      </c>
      <c r="D1677" s="85" t="s">
        <v>327</v>
      </c>
      <c r="E1677" s="86">
        <v>0</v>
      </c>
      <c r="F1677" s="86">
        <v>96714</v>
      </c>
      <c r="G1677" s="86">
        <v>0</v>
      </c>
      <c r="H1677" s="86"/>
      <c r="I1677" s="86">
        <v>0</v>
      </c>
      <c r="J1677" s="86"/>
      <c r="K1677" s="86">
        <v>0</v>
      </c>
      <c r="L1677" s="86"/>
      <c r="M1677" s="86">
        <v>82</v>
      </c>
      <c r="N1677" s="86"/>
      <c r="O1677" s="86">
        <v>0</v>
      </c>
      <c r="P1677" s="86">
        <v>103101.00000000003</v>
      </c>
      <c r="Q1677" s="86">
        <v>125</v>
      </c>
      <c r="R1677" s="87">
        <f t="shared" si="452"/>
        <v>125</v>
      </c>
      <c r="T1677" s="87">
        <v>0</v>
      </c>
      <c r="U1677" s="89"/>
      <c r="V1677" s="89">
        <v>0</v>
      </c>
      <c r="W1677" s="90"/>
      <c r="X1677" s="90">
        <v>0</v>
      </c>
      <c r="Y1677" s="90">
        <v>107118.5</v>
      </c>
      <c r="Z1677" s="95">
        <v>125</v>
      </c>
      <c r="AA1677" s="90">
        <v>125</v>
      </c>
      <c r="AB1677" s="89">
        <f t="shared" si="453"/>
        <v>0</v>
      </c>
      <c r="AC1677" s="89">
        <f t="shared" si="454"/>
        <v>125</v>
      </c>
      <c r="AD1677" s="89">
        <f t="shared" si="455"/>
        <v>125</v>
      </c>
      <c r="AE1677" s="90">
        <f t="shared" si="456"/>
        <v>0</v>
      </c>
      <c r="AF1677" s="90" t="str">
        <f t="shared" si="457"/>
        <v/>
      </c>
      <c r="AG1677" s="90">
        <f t="shared" si="458"/>
        <v>125</v>
      </c>
      <c r="AH1677" s="90">
        <f t="shared" si="459"/>
        <v>2018</v>
      </c>
      <c r="AI1677" s="90">
        <f t="shared" si="460"/>
        <v>125</v>
      </c>
      <c r="AJ1677" s="90">
        <f t="shared" si="461"/>
        <v>2022</v>
      </c>
      <c r="AK1677" s="90" t="str">
        <f t="shared" si="462"/>
        <v/>
      </c>
      <c r="AL1677" s="91">
        <f>IF(AK1677="Adjust",(_xlfn.XLOOKUP(A1677,'Adj factor'!A:A,'Adj factor'!I:I,,0)*AI1677),'Master DataSheet'!AI1677)</f>
        <v>125</v>
      </c>
      <c r="AM1677" s="91">
        <f t="shared" si="463"/>
        <v>125</v>
      </c>
      <c r="AN1677" s="92" t="str">
        <f t="shared" si="464"/>
        <v>No change</v>
      </c>
      <c r="AS1677" s="94">
        <f t="shared" si="465"/>
        <v>0</v>
      </c>
      <c r="AT1677" s="94">
        <f t="shared" si="466"/>
        <v>12.124033714512949</v>
      </c>
      <c r="AU1677" s="94">
        <f t="shared" si="467"/>
        <v>11.669319491964506</v>
      </c>
    </row>
    <row r="1678" spans="1:47" x14ac:dyDescent="0.3">
      <c r="A1678" s="85" t="str">
        <f>_xlfn.XLOOKUP(B1678,'Country codes &amp; Data sources'!G:G,'Country codes &amp; Data sources'!H:H,,0)</f>
        <v>Seychelles</v>
      </c>
      <c r="B1678" s="85" t="s">
        <v>185</v>
      </c>
      <c r="C1678" s="85">
        <v>95311</v>
      </c>
      <c r="D1678" s="85" t="s">
        <v>328</v>
      </c>
      <c r="E1678" s="86">
        <v>0</v>
      </c>
      <c r="F1678" s="86">
        <v>96714</v>
      </c>
      <c r="G1678" s="86">
        <v>0</v>
      </c>
      <c r="H1678" s="86"/>
      <c r="I1678" s="86">
        <v>0</v>
      </c>
      <c r="J1678" s="86"/>
      <c r="K1678" s="86">
        <v>0</v>
      </c>
      <c r="L1678" s="86"/>
      <c r="M1678" s="86">
        <v>121</v>
      </c>
      <c r="N1678" s="86"/>
      <c r="O1678" s="86">
        <v>0</v>
      </c>
      <c r="P1678" s="86">
        <v>103101.00000000003</v>
      </c>
      <c r="Q1678" s="86">
        <v>115</v>
      </c>
      <c r="R1678" s="87">
        <f t="shared" si="452"/>
        <v>115</v>
      </c>
      <c r="T1678" s="87">
        <v>0</v>
      </c>
      <c r="U1678" s="89"/>
      <c r="V1678" s="89">
        <v>0</v>
      </c>
      <c r="W1678" s="90"/>
      <c r="X1678" s="90">
        <v>0</v>
      </c>
      <c r="Y1678" s="90">
        <v>107118.5</v>
      </c>
      <c r="Z1678" s="90">
        <v>346</v>
      </c>
      <c r="AA1678" s="90">
        <v>115</v>
      </c>
      <c r="AB1678" s="89">
        <f t="shared" si="453"/>
        <v>0</v>
      </c>
      <c r="AC1678" s="89">
        <f t="shared" si="454"/>
        <v>121</v>
      </c>
      <c r="AD1678" s="89">
        <f t="shared" si="455"/>
        <v>346</v>
      </c>
      <c r="AE1678" s="90">
        <f t="shared" si="456"/>
        <v>0</v>
      </c>
      <c r="AF1678" s="90" t="str">
        <f t="shared" si="457"/>
        <v/>
      </c>
      <c r="AG1678" s="90">
        <f t="shared" si="458"/>
        <v>115</v>
      </c>
      <c r="AH1678" s="90">
        <f t="shared" si="459"/>
        <v>2018</v>
      </c>
      <c r="AI1678" s="90">
        <f t="shared" si="460"/>
        <v>346</v>
      </c>
      <c r="AJ1678" s="90">
        <f t="shared" si="461"/>
        <v>2022</v>
      </c>
      <c r="AK1678" s="90" t="str">
        <f t="shared" si="462"/>
        <v/>
      </c>
      <c r="AL1678" s="91">
        <f>IF(AK1678="Adjust",(_xlfn.XLOOKUP(A1678,'Adj factor'!A:A,'Adj factor'!I:I,,0)*AI1678),'Master DataSheet'!AI1678)</f>
        <v>346</v>
      </c>
      <c r="AM1678" s="91">
        <f t="shared" si="463"/>
        <v>346</v>
      </c>
      <c r="AN1678" s="92" t="str">
        <f t="shared" si="464"/>
        <v>Increasing</v>
      </c>
      <c r="AS1678" s="94">
        <f t="shared" si="465"/>
        <v>0</v>
      </c>
      <c r="AT1678" s="94">
        <f t="shared" si="466"/>
        <v>11.154111017351914</v>
      </c>
      <c r="AU1678" s="94">
        <f t="shared" si="467"/>
        <v>32.300676353757751</v>
      </c>
    </row>
    <row r="1679" spans="1:47" x14ac:dyDescent="0.3">
      <c r="A1679" s="85" t="str">
        <f>_xlfn.XLOOKUP(B1679,'Country codes &amp; Data sources'!G:G,'Country codes &amp; Data sources'!H:H,,0)</f>
        <v>Seychelles</v>
      </c>
      <c r="B1679" s="85" t="s">
        <v>185</v>
      </c>
      <c r="C1679" s="85">
        <v>95312</v>
      </c>
      <c r="D1679" s="85" t="s">
        <v>329</v>
      </c>
      <c r="E1679" s="86">
        <v>419</v>
      </c>
      <c r="F1679" s="86">
        <v>96714</v>
      </c>
      <c r="G1679" s="86">
        <v>0</v>
      </c>
      <c r="H1679" s="86"/>
      <c r="I1679" s="86">
        <v>0</v>
      </c>
      <c r="J1679" s="86"/>
      <c r="K1679" s="86">
        <v>0</v>
      </c>
      <c r="L1679" s="86"/>
      <c r="M1679" s="86">
        <v>684</v>
      </c>
      <c r="N1679" s="86"/>
      <c r="O1679" s="86">
        <v>0</v>
      </c>
      <c r="P1679" s="86">
        <v>103101.00000000003</v>
      </c>
      <c r="Q1679" s="86">
        <v>951</v>
      </c>
      <c r="R1679" s="87">
        <f t="shared" si="452"/>
        <v>1272</v>
      </c>
      <c r="T1679" s="87">
        <v>0</v>
      </c>
      <c r="U1679" s="89"/>
      <c r="V1679" s="89">
        <v>0</v>
      </c>
      <c r="W1679" s="90"/>
      <c r="X1679" s="90">
        <v>0</v>
      </c>
      <c r="Y1679" s="90">
        <v>107118.5</v>
      </c>
      <c r="Z1679" s="95">
        <v>1277</v>
      </c>
      <c r="AA1679" s="90">
        <v>1272</v>
      </c>
      <c r="AB1679" s="89">
        <f t="shared" si="453"/>
        <v>419</v>
      </c>
      <c r="AC1679" s="89">
        <f t="shared" si="454"/>
        <v>951</v>
      </c>
      <c r="AD1679" s="89">
        <f t="shared" si="455"/>
        <v>1277</v>
      </c>
      <c r="AE1679" s="90">
        <f t="shared" si="456"/>
        <v>419</v>
      </c>
      <c r="AF1679" s="90">
        <f t="shared" si="457"/>
        <v>2012</v>
      </c>
      <c r="AG1679" s="90">
        <f t="shared" si="458"/>
        <v>1272</v>
      </c>
      <c r="AH1679" s="90" t="str">
        <f t="shared" si="459"/>
        <v>2018 (triag)</v>
      </c>
      <c r="AI1679" s="90">
        <f t="shared" si="460"/>
        <v>1277</v>
      </c>
      <c r="AJ1679" s="90">
        <f t="shared" si="461"/>
        <v>2022</v>
      </c>
      <c r="AK1679" s="90" t="str">
        <f t="shared" si="462"/>
        <v/>
      </c>
      <c r="AL1679" s="91">
        <f>IF(AK1679="Adjust",(_xlfn.XLOOKUP(A1679,'Adj factor'!A:A,'Adj factor'!I:I,,0)*AI1679),'Master DataSheet'!AI1679)</f>
        <v>1277</v>
      </c>
      <c r="AM1679" s="91">
        <f t="shared" si="463"/>
        <v>1277</v>
      </c>
      <c r="AN1679" s="92" t="str">
        <f t="shared" si="464"/>
        <v>Increasing</v>
      </c>
      <c r="AS1679" s="94">
        <f t="shared" si="465"/>
        <v>43.323613954546396</v>
      </c>
      <c r="AT1679" s="94">
        <f t="shared" si="466"/>
        <v>123.37416707888377</v>
      </c>
      <c r="AU1679" s="94">
        <f t="shared" si="467"/>
        <v>119.21376792990939</v>
      </c>
    </row>
    <row r="1680" spans="1:47" x14ac:dyDescent="0.3">
      <c r="A1680" s="85" t="str">
        <f>_xlfn.XLOOKUP(B1680,'Country codes &amp; Data sources'!G:G,'Country codes &amp; Data sources'!H:H,,0)</f>
        <v>Seychelles</v>
      </c>
      <c r="B1680" s="85" t="s">
        <v>185</v>
      </c>
      <c r="C1680" s="85">
        <v>95313</v>
      </c>
      <c r="D1680" s="85" t="s">
        <v>330</v>
      </c>
      <c r="E1680" s="86">
        <v>0</v>
      </c>
      <c r="F1680" s="86">
        <v>96714</v>
      </c>
      <c r="G1680" s="86">
        <v>0</v>
      </c>
      <c r="H1680" s="86"/>
      <c r="I1680" s="86">
        <v>0</v>
      </c>
      <c r="J1680" s="86"/>
      <c r="K1680" s="86">
        <v>0</v>
      </c>
      <c r="L1680" s="86"/>
      <c r="M1680" s="86">
        <v>0</v>
      </c>
      <c r="N1680" s="86"/>
      <c r="O1680" s="86">
        <v>0</v>
      </c>
      <c r="P1680" s="86">
        <v>103101.00000000003</v>
      </c>
      <c r="Q1680" s="86">
        <v>951</v>
      </c>
      <c r="R1680" s="87">
        <f t="shared" si="452"/>
        <v>1272</v>
      </c>
      <c r="T1680" s="87">
        <v>0</v>
      </c>
      <c r="U1680" s="89"/>
      <c r="V1680" s="89">
        <v>0</v>
      </c>
      <c r="W1680" s="90"/>
      <c r="X1680" s="90">
        <v>0</v>
      </c>
      <c r="Y1680" s="90">
        <v>107118.5</v>
      </c>
      <c r="Z1680" s="90">
        <v>623</v>
      </c>
      <c r="AA1680" s="90">
        <v>1272</v>
      </c>
      <c r="AB1680" s="89">
        <f t="shared" si="453"/>
        <v>0</v>
      </c>
      <c r="AC1680" s="89">
        <f t="shared" si="454"/>
        <v>951</v>
      </c>
      <c r="AD1680" s="89">
        <f t="shared" si="455"/>
        <v>623</v>
      </c>
      <c r="AE1680" s="90">
        <f t="shared" si="456"/>
        <v>0</v>
      </c>
      <c r="AF1680" s="90" t="str">
        <f t="shared" si="457"/>
        <v/>
      </c>
      <c r="AG1680" s="90">
        <f t="shared" si="458"/>
        <v>1272</v>
      </c>
      <c r="AH1680" s="90" t="str">
        <f t="shared" si="459"/>
        <v>2018 (triag)</v>
      </c>
      <c r="AI1680" s="90">
        <f t="shared" si="460"/>
        <v>623</v>
      </c>
      <c r="AJ1680" s="90">
        <f t="shared" si="461"/>
        <v>2022</v>
      </c>
      <c r="AK1680" s="90" t="str">
        <f t="shared" si="462"/>
        <v>Adjust</v>
      </c>
      <c r="AL1680" s="91">
        <f>IF(AK1680="Adjust",(_xlfn.XLOOKUP(A1680,'Adj factor'!A:A,'Adj factor'!I:I,,0)*AI1680),'Master DataSheet'!AI1680)</f>
        <v>716.01305541161867</v>
      </c>
      <c r="AM1680" s="91">
        <f t="shared" si="463"/>
        <v>1272</v>
      </c>
      <c r="AN1680" s="92" t="str">
        <f t="shared" si="464"/>
        <v>Decreasing</v>
      </c>
      <c r="AS1680" s="94">
        <f t="shared" si="465"/>
        <v>0</v>
      </c>
      <c r="AT1680" s="94">
        <f t="shared" si="466"/>
        <v>123.37416707888377</v>
      </c>
      <c r="AU1680" s="94">
        <f t="shared" si="467"/>
        <v>118.74699515023082</v>
      </c>
    </row>
    <row r="1681" spans="1:47" x14ac:dyDescent="0.3">
      <c r="A1681" s="85" t="str">
        <f>_xlfn.XLOOKUP(B1681,'Country codes &amp; Data sources'!G:G,'Country codes &amp; Data sources'!H:H,,0)</f>
        <v>Seychelles</v>
      </c>
      <c r="B1681" s="85" t="s">
        <v>185</v>
      </c>
      <c r="C1681" s="85">
        <v>95314</v>
      </c>
      <c r="D1681" s="85" t="s">
        <v>331</v>
      </c>
      <c r="E1681" s="86">
        <v>0</v>
      </c>
      <c r="F1681" s="86">
        <v>96714</v>
      </c>
      <c r="G1681" s="86">
        <v>0</v>
      </c>
      <c r="H1681" s="86"/>
      <c r="I1681" s="86">
        <v>0</v>
      </c>
      <c r="J1681" s="86"/>
      <c r="K1681" s="86">
        <v>0</v>
      </c>
      <c r="L1681" s="86"/>
      <c r="M1681" s="86">
        <v>0</v>
      </c>
      <c r="N1681" s="86"/>
      <c r="O1681" s="86">
        <v>0</v>
      </c>
      <c r="P1681" s="86">
        <v>103101.00000000003</v>
      </c>
      <c r="Q1681" s="86">
        <v>0</v>
      </c>
      <c r="R1681" s="87">
        <f t="shared" si="452"/>
        <v>0</v>
      </c>
      <c r="T1681" s="87">
        <v>0</v>
      </c>
      <c r="U1681" s="89"/>
      <c r="V1681" s="89">
        <v>0</v>
      </c>
      <c r="W1681" s="90"/>
      <c r="X1681" s="90">
        <v>0</v>
      </c>
      <c r="Y1681" s="90">
        <v>107118.5</v>
      </c>
      <c r="Z1681" s="90">
        <v>0</v>
      </c>
      <c r="AA1681" s="90">
        <v>0</v>
      </c>
      <c r="AB1681" s="89">
        <f t="shared" si="453"/>
        <v>0</v>
      </c>
      <c r="AC1681" s="89">
        <f t="shared" si="454"/>
        <v>0</v>
      </c>
      <c r="AD1681" s="89">
        <f t="shared" si="455"/>
        <v>0</v>
      </c>
      <c r="AE1681" s="90">
        <f t="shared" si="456"/>
        <v>0</v>
      </c>
      <c r="AF1681" s="90" t="str">
        <f t="shared" si="457"/>
        <v/>
      </c>
      <c r="AG1681" s="90">
        <f t="shared" si="458"/>
        <v>0</v>
      </c>
      <c r="AH1681" s="90" t="str">
        <f t="shared" si="459"/>
        <v/>
      </c>
      <c r="AI1681" s="90">
        <f t="shared" si="460"/>
        <v>0</v>
      </c>
      <c r="AJ1681" s="90" t="str">
        <f t="shared" si="461"/>
        <v/>
      </c>
      <c r="AK1681" s="90" t="str">
        <f t="shared" si="462"/>
        <v/>
      </c>
      <c r="AL1681" s="91">
        <f>IF(AK1681="Adjust",(_xlfn.XLOOKUP(A1681,'Adj factor'!A:A,'Adj factor'!I:I,,0)*AI1681),'Master DataSheet'!AI1681)</f>
        <v>0</v>
      </c>
      <c r="AM1681" s="91">
        <f t="shared" si="463"/>
        <v>0</v>
      </c>
      <c r="AN1681" s="92" t="str">
        <f t="shared" si="464"/>
        <v>No change</v>
      </c>
      <c r="AS1681" s="94">
        <f t="shared" si="465"/>
        <v>0</v>
      </c>
      <c r="AT1681" s="94">
        <f t="shared" si="466"/>
        <v>0</v>
      </c>
      <c r="AU1681" s="94">
        <f t="shared" si="467"/>
        <v>0</v>
      </c>
    </row>
    <row r="1682" spans="1:47" x14ac:dyDescent="0.3">
      <c r="A1682" s="85" t="str">
        <f>_xlfn.XLOOKUP(B1682,'Country codes &amp; Data sources'!G:G,'Country codes &amp; Data sources'!H:H,,0)</f>
        <v>Seychelles</v>
      </c>
      <c r="B1682" s="85" t="s">
        <v>185</v>
      </c>
      <c r="C1682" s="85">
        <v>95315</v>
      </c>
      <c r="D1682" s="85" t="s">
        <v>332</v>
      </c>
      <c r="E1682" s="86">
        <v>0</v>
      </c>
      <c r="F1682" s="86">
        <v>96714</v>
      </c>
      <c r="G1682" s="86">
        <v>0</v>
      </c>
      <c r="H1682" s="86"/>
      <c r="I1682" s="86">
        <v>0</v>
      </c>
      <c r="J1682" s="86"/>
      <c r="K1682" s="86">
        <v>0</v>
      </c>
      <c r="L1682" s="86"/>
      <c r="M1682" s="86">
        <v>89</v>
      </c>
      <c r="N1682" s="86"/>
      <c r="O1682" s="86">
        <v>0</v>
      </c>
      <c r="P1682" s="86">
        <v>103101.00000000003</v>
      </c>
      <c r="Q1682" s="86">
        <v>158</v>
      </c>
      <c r="R1682" s="87">
        <f t="shared" si="452"/>
        <v>158</v>
      </c>
      <c r="T1682" s="87">
        <v>0</v>
      </c>
      <c r="U1682" s="89"/>
      <c r="V1682" s="89">
        <v>0</v>
      </c>
      <c r="W1682" s="90"/>
      <c r="X1682" s="90">
        <v>0</v>
      </c>
      <c r="Y1682" s="90">
        <v>107118.5</v>
      </c>
      <c r="Z1682" s="90">
        <v>156</v>
      </c>
      <c r="AA1682" s="90">
        <v>5</v>
      </c>
      <c r="AB1682" s="89">
        <f t="shared" si="453"/>
        <v>0</v>
      </c>
      <c r="AC1682" s="89">
        <f t="shared" si="454"/>
        <v>158</v>
      </c>
      <c r="AD1682" s="89">
        <f t="shared" si="455"/>
        <v>156</v>
      </c>
      <c r="AE1682" s="90">
        <f t="shared" si="456"/>
        <v>0</v>
      </c>
      <c r="AF1682" s="90" t="str">
        <f t="shared" si="457"/>
        <v/>
      </c>
      <c r="AG1682" s="90">
        <f t="shared" si="458"/>
        <v>158</v>
      </c>
      <c r="AH1682" s="90">
        <f t="shared" si="459"/>
        <v>2018</v>
      </c>
      <c r="AI1682" s="90">
        <f t="shared" si="460"/>
        <v>156</v>
      </c>
      <c r="AJ1682" s="90">
        <f t="shared" si="461"/>
        <v>2022</v>
      </c>
      <c r="AK1682" s="90" t="str">
        <f t="shared" si="462"/>
        <v>Adjust</v>
      </c>
      <c r="AL1682" s="91">
        <f>IF(AK1682="Adjust",(_xlfn.XLOOKUP(A1682,'Adj factor'!A:A,'Adj factor'!I:I,,0)*AI1682),'Master DataSheet'!AI1682)</f>
        <v>179.29058851398477</v>
      </c>
      <c r="AM1682" s="91">
        <f t="shared" si="463"/>
        <v>179.29058851398477</v>
      </c>
      <c r="AN1682" s="92" t="str">
        <f t="shared" si="464"/>
        <v>Increasing</v>
      </c>
      <c r="AS1682" s="94">
        <f t="shared" si="465"/>
        <v>0</v>
      </c>
      <c r="AT1682" s="94">
        <f t="shared" si="466"/>
        <v>15.324778615144369</v>
      </c>
      <c r="AU1682" s="94">
        <f t="shared" si="467"/>
        <v>16.737593274176241</v>
      </c>
    </row>
    <row r="1683" spans="1:47" x14ac:dyDescent="0.3">
      <c r="A1683" s="85" t="str">
        <f>_xlfn.XLOOKUP(B1683,'Country codes &amp; Data sources'!G:G,'Country codes &amp; Data sources'!H:H,,0)</f>
        <v>Seychelles</v>
      </c>
      <c r="B1683" s="85" t="s">
        <v>185</v>
      </c>
      <c r="C1683" s="85">
        <v>95316</v>
      </c>
      <c r="D1683" s="85" t="s">
        <v>333</v>
      </c>
      <c r="E1683" s="86">
        <v>0</v>
      </c>
      <c r="F1683" s="86">
        <v>96714</v>
      </c>
      <c r="G1683" s="86">
        <v>0</v>
      </c>
      <c r="H1683" s="86"/>
      <c r="I1683" s="86">
        <v>0</v>
      </c>
      <c r="J1683" s="86"/>
      <c r="K1683" s="86">
        <v>0</v>
      </c>
      <c r="L1683" s="86"/>
      <c r="M1683" s="86">
        <v>0</v>
      </c>
      <c r="N1683" s="86"/>
      <c r="O1683" s="86">
        <v>0</v>
      </c>
      <c r="P1683" s="86">
        <v>103101.00000000003</v>
      </c>
      <c r="Q1683" s="86">
        <v>158</v>
      </c>
      <c r="R1683" s="87">
        <f t="shared" si="452"/>
        <v>158</v>
      </c>
      <c r="T1683" s="87">
        <v>0</v>
      </c>
      <c r="U1683" s="89"/>
      <c r="V1683" s="89">
        <v>0</v>
      </c>
      <c r="W1683" s="90"/>
      <c r="X1683" s="90">
        <v>0</v>
      </c>
      <c r="Y1683" s="90">
        <v>107118.5</v>
      </c>
      <c r="Z1683" s="90">
        <v>156</v>
      </c>
      <c r="AA1683" s="90">
        <v>5</v>
      </c>
      <c r="AB1683" s="89">
        <f t="shared" si="453"/>
        <v>0</v>
      </c>
      <c r="AC1683" s="89">
        <f t="shared" si="454"/>
        <v>158</v>
      </c>
      <c r="AD1683" s="89">
        <f t="shared" si="455"/>
        <v>156</v>
      </c>
      <c r="AE1683" s="90">
        <f t="shared" si="456"/>
        <v>0</v>
      </c>
      <c r="AF1683" s="90" t="str">
        <f t="shared" si="457"/>
        <v/>
      </c>
      <c r="AG1683" s="90">
        <f t="shared" si="458"/>
        <v>158</v>
      </c>
      <c r="AH1683" s="90">
        <f t="shared" si="459"/>
        <v>2018</v>
      </c>
      <c r="AI1683" s="90">
        <f t="shared" si="460"/>
        <v>156</v>
      </c>
      <c r="AJ1683" s="90">
        <f t="shared" si="461"/>
        <v>2022</v>
      </c>
      <c r="AK1683" s="90" t="str">
        <f t="shared" si="462"/>
        <v>Adjust</v>
      </c>
      <c r="AL1683" s="91">
        <f>IF(AK1683="Adjust",(_xlfn.XLOOKUP(A1683,'Adj factor'!A:A,'Adj factor'!I:I,,0)*AI1683),'Master DataSheet'!AI1683)</f>
        <v>179.29058851398477</v>
      </c>
      <c r="AM1683" s="91">
        <f t="shared" si="463"/>
        <v>179.29058851398477</v>
      </c>
      <c r="AN1683" s="92" t="str">
        <f t="shared" si="464"/>
        <v>Increasing</v>
      </c>
      <c r="AS1683" s="94">
        <f t="shared" si="465"/>
        <v>0</v>
      </c>
      <c r="AT1683" s="94">
        <f t="shared" si="466"/>
        <v>15.324778615144369</v>
      </c>
      <c r="AU1683" s="94">
        <f t="shared" si="467"/>
        <v>16.737593274176241</v>
      </c>
    </row>
    <row r="1684" spans="1:47" x14ac:dyDescent="0.3">
      <c r="A1684" s="85" t="str">
        <f>_xlfn.XLOOKUP(B1684,'Country codes &amp; Data sources'!G:G,'Country codes &amp; Data sources'!H:H,,0)</f>
        <v>Seychelles</v>
      </c>
      <c r="B1684" s="85" t="s">
        <v>185</v>
      </c>
      <c r="C1684" s="85">
        <v>95317</v>
      </c>
      <c r="D1684" s="85" t="s">
        <v>334</v>
      </c>
      <c r="E1684" s="86">
        <v>0</v>
      </c>
      <c r="F1684" s="86">
        <v>96714</v>
      </c>
      <c r="G1684" s="86">
        <v>0</v>
      </c>
      <c r="H1684" s="86"/>
      <c r="I1684" s="86">
        <v>0</v>
      </c>
      <c r="J1684" s="86"/>
      <c r="K1684" s="86">
        <v>0</v>
      </c>
      <c r="L1684" s="86"/>
      <c r="M1684" s="86">
        <v>0</v>
      </c>
      <c r="N1684" s="86"/>
      <c r="O1684" s="86">
        <v>0</v>
      </c>
      <c r="P1684" s="86">
        <v>103101.00000000003</v>
      </c>
      <c r="Q1684" s="86">
        <v>0</v>
      </c>
      <c r="R1684" s="87">
        <f t="shared" si="452"/>
        <v>0</v>
      </c>
      <c r="T1684" s="87">
        <v>0</v>
      </c>
      <c r="U1684" s="89"/>
      <c r="V1684" s="89">
        <v>0</v>
      </c>
      <c r="W1684" s="90"/>
      <c r="X1684" s="90">
        <v>0</v>
      </c>
      <c r="Y1684" s="90">
        <v>107118.5</v>
      </c>
      <c r="Z1684" s="90">
        <v>0</v>
      </c>
      <c r="AA1684" s="90">
        <v>0</v>
      </c>
      <c r="AB1684" s="89">
        <f t="shared" si="453"/>
        <v>0</v>
      </c>
      <c r="AC1684" s="89">
        <f t="shared" si="454"/>
        <v>0</v>
      </c>
      <c r="AD1684" s="89">
        <f t="shared" si="455"/>
        <v>0</v>
      </c>
      <c r="AE1684" s="90">
        <f t="shared" si="456"/>
        <v>0</v>
      </c>
      <c r="AF1684" s="90" t="str">
        <f t="shared" si="457"/>
        <v/>
      </c>
      <c r="AG1684" s="90">
        <f t="shared" si="458"/>
        <v>0</v>
      </c>
      <c r="AH1684" s="90" t="str">
        <f t="shared" si="459"/>
        <v/>
      </c>
      <c r="AI1684" s="90">
        <f t="shared" si="460"/>
        <v>0</v>
      </c>
      <c r="AJ1684" s="90" t="str">
        <f t="shared" si="461"/>
        <v/>
      </c>
      <c r="AK1684" s="90" t="str">
        <f t="shared" si="462"/>
        <v/>
      </c>
      <c r="AL1684" s="91">
        <f>IF(AK1684="Adjust",(_xlfn.XLOOKUP(A1684,'Adj factor'!A:A,'Adj factor'!I:I,,0)*AI1684),'Master DataSheet'!AI1684)</f>
        <v>0</v>
      </c>
      <c r="AM1684" s="91">
        <f t="shared" si="463"/>
        <v>0</v>
      </c>
      <c r="AN1684" s="92" t="str">
        <f t="shared" si="464"/>
        <v>No change</v>
      </c>
      <c r="AS1684" s="94">
        <f t="shared" si="465"/>
        <v>0</v>
      </c>
      <c r="AT1684" s="94">
        <f t="shared" si="466"/>
        <v>0</v>
      </c>
      <c r="AU1684" s="94">
        <f t="shared" si="467"/>
        <v>0</v>
      </c>
    </row>
    <row r="1685" spans="1:47" x14ac:dyDescent="0.3">
      <c r="A1685" s="85" t="str">
        <f>_xlfn.XLOOKUP(B1685,'Country codes &amp; Data sources'!G:G,'Country codes &amp; Data sources'!H:H,,0)</f>
        <v>Seychelles</v>
      </c>
      <c r="B1685" s="85" t="s">
        <v>185</v>
      </c>
      <c r="C1685" s="85">
        <v>95318</v>
      </c>
      <c r="D1685" s="85" t="s">
        <v>335</v>
      </c>
      <c r="E1685" s="86">
        <v>4</v>
      </c>
      <c r="F1685" s="86">
        <v>96714</v>
      </c>
      <c r="G1685" s="86">
        <v>0</v>
      </c>
      <c r="H1685" s="86"/>
      <c r="I1685" s="86">
        <v>0</v>
      </c>
      <c r="J1685" s="86"/>
      <c r="K1685" s="86">
        <v>0</v>
      </c>
      <c r="L1685" s="86"/>
      <c r="M1685" s="86">
        <v>45</v>
      </c>
      <c r="N1685" s="86"/>
      <c r="O1685" s="86">
        <v>0</v>
      </c>
      <c r="P1685" s="86">
        <v>103101.00000000003</v>
      </c>
      <c r="Q1685" s="86">
        <v>124</v>
      </c>
      <c r="R1685" s="87">
        <f t="shared" si="452"/>
        <v>124</v>
      </c>
      <c r="T1685" s="87">
        <v>0</v>
      </c>
      <c r="U1685" s="89"/>
      <c r="V1685" s="89">
        <v>0</v>
      </c>
      <c r="W1685" s="90"/>
      <c r="X1685" s="90">
        <v>0</v>
      </c>
      <c r="Y1685" s="90">
        <v>107118.5</v>
      </c>
      <c r="Z1685" s="90">
        <v>61</v>
      </c>
      <c r="AA1685" s="90">
        <v>61</v>
      </c>
      <c r="AB1685" s="89">
        <f t="shared" si="453"/>
        <v>4</v>
      </c>
      <c r="AC1685" s="89">
        <f t="shared" si="454"/>
        <v>124</v>
      </c>
      <c r="AD1685" s="89">
        <f t="shared" si="455"/>
        <v>61</v>
      </c>
      <c r="AE1685" s="90">
        <f t="shared" si="456"/>
        <v>4</v>
      </c>
      <c r="AF1685" s="90">
        <f t="shared" si="457"/>
        <v>2012</v>
      </c>
      <c r="AG1685" s="90">
        <f t="shared" si="458"/>
        <v>124</v>
      </c>
      <c r="AH1685" s="90">
        <f t="shared" si="459"/>
        <v>2018</v>
      </c>
      <c r="AI1685" s="90">
        <f t="shared" si="460"/>
        <v>61</v>
      </c>
      <c r="AJ1685" s="90">
        <f t="shared" si="461"/>
        <v>2022</v>
      </c>
      <c r="AK1685" s="90" t="str">
        <f t="shared" si="462"/>
        <v>Adjust</v>
      </c>
      <c r="AL1685" s="91">
        <f>IF(AK1685="Adjust",(_xlfn.XLOOKUP(A1685,'Adj factor'!A:A,'Adj factor'!I:I,,0)*AI1685),'Master DataSheet'!AI1685)</f>
        <v>70.107217303545326</v>
      </c>
      <c r="AM1685" s="91">
        <f t="shared" si="463"/>
        <v>124</v>
      </c>
      <c r="AN1685" s="92" t="str">
        <f t="shared" si="464"/>
        <v>Decreasing</v>
      </c>
      <c r="AS1685" s="94">
        <f t="shared" si="465"/>
        <v>0.41359058667824722</v>
      </c>
      <c r="AT1685" s="94">
        <f t="shared" si="466"/>
        <v>12.027041444796847</v>
      </c>
      <c r="AU1685" s="94">
        <f t="shared" si="467"/>
        <v>11.575964936028791</v>
      </c>
    </row>
    <row r="1686" spans="1:47" x14ac:dyDescent="0.3">
      <c r="A1686" s="85" t="str">
        <f>_xlfn.XLOOKUP(B1686,'Country codes &amp; Data sources'!G:G,'Country codes &amp; Data sources'!H:H,,0)</f>
        <v>Seychelles</v>
      </c>
      <c r="B1686" s="85" t="s">
        <v>185</v>
      </c>
      <c r="C1686" s="85">
        <v>95319</v>
      </c>
      <c r="D1686" s="85" t="s">
        <v>336</v>
      </c>
      <c r="E1686" s="86">
        <v>0</v>
      </c>
      <c r="F1686" s="86">
        <v>96714</v>
      </c>
      <c r="G1686" s="86">
        <v>0</v>
      </c>
      <c r="H1686" s="86"/>
      <c r="I1686" s="86">
        <v>0</v>
      </c>
      <c r="J1686" s="86"/>
      <c r="K1686" s="86">
        <v>0</v>
      </c>
      <c r="L1686" s="86"/>
      <c r="M1686" s="86">
        <v>64</v>
      </c>
      <c r="N1686" s="86"/>
      <c r="O1686" s="86">
        <v>0</v>
      </c>
      <c r="P1686" s="86">
        <v>103101.00000000003</v>
      </c>
      <c r="Q1686" s="86">
        <v>0</v>
      </c>
      <c r="R1686" s="87">
        <f t="shared" si="452"/>
        <v>63</v>
      </c>
      <c r="T1686" s="87">
        <v>0</v>
      </c>
      <c r="U1686" s="89"/>
      <c r="V1686" s="89">
        <v>0</v>
      </c>
      <c r="W1686" s="90"/>
      <c r="X1686" s="90">
        <v>0</v>
      </c>
      <c r="Y1686" s="90">
        <v>107118.5</v>
      </c>
      <c r="Z1686" s="90">
        <v>0</v>
      </c>
      <c r="AA1686" s="90">
        <v>63</v>
      </c>
      <c r="AB1686" s="89">
        <f t="shared" si="453"/>
        <v>0</v>
      </c>
      <c r="AC1686" s="89">
        <f t="shared" si="454"/>
        <v>64</v>
      </c>
      <c r="AD1686" s="89">
        <f t="shared" si="455"/>
        <v>0</v>
      </c>
      <c r="AE1686" s="90">
        <f t="shared" si="456"/>
        <v>0</v>
      </c>
      <c r="AF1686" s="90" t="str">
        <f t="shared" si="457"/>
        <v/>
      </c>
      <c r="AG1686" s="90">
        <f t="shared" si="458"/>
        <v>63</v>
      </c>
      <c r="AH1686" s="90" t="str">
        <f t="shared" si="459"/>
        <v>2018 (triag)</v>
      </c>
      <c r="AI1686" s="90">
        <f t="shared" si="460"/>
        <v>63</v>
      </c>
      <c r="AJ1686" s="90" t="str">
        <f t="shared" si="461"/>
        <v>2018 (triag)</v>
      </c>
      <c r="AK1686" s="90" t="str">
        <f t="shared" si="462"/>
        <v/>
      </c>
      <c r="AL1686" s="91">
        <f>IF(AK1686="Adjust",(_xlfn.XLOOKUP(A1686,'Adj factor'!A:A,'Adj factor'!I:I,,0)*AI1686),'Master DataSheet'!AI1686)</f>
        <v>63</v>
      </c>
      <c r="AM1686" s="91">
        <f t="shared" si="463"/>
        <v>63</v>
      </c>
      <c r="AN1686" s="92" t="str">
        <f t="shared" si="464"/>
        <v>No change</v>
      </c>
      <c r="AS1686" s="94">
        <f t="shared" si="465"/>
        <v>0</v>
      </c>
      <c r="AT1686" s="94">
        <f t="shared" si="466"/>
        <v>6.1105129921145265</v>
      </c>
      <c r="AU1686" s="94">
        <f t="shared" si="467"/>
        <v>5.8813370239501115</v>
      </c>
    </row>
    <row r="1687" spans="1:47" x14ac:dyDescent="0.3">
      <c r="A1687" s="85" t="str">
        <f>_xlfn.XLOOKUP(B1687,'Country codes &amp; Data sources'!G:G,'Country codes &amp; Data sources'!H:H,,0)</f>
        <v>Seychelles</v>
      </c>
      <c r="B1687" s="85" t="s">
        <v>185</v>
      </c>
      <c r="C1687" s="85">
        <v>95320</v>
      </c>
      <c r="D1687" s="85" t="s">
        <v>337</v>
      </c>
      <c r="E1687" s="86">
        <v>14</v>
      </c>
      <c r="F1687" s="86">
        <v>96714</v>
      </c>
      <c r="G1687" s="86">
        <v>0</v>
      </c>
      <c r="H1687" s="86"/>
      <c r="I1687" s="86">
        <v>0</v>
      </c>
      <c r="J1687" s="86"/>
      <c r="K1687" s="86">
        <v>0</v>
      </c>
      <c r="L1687" s="86"/>
      <c r="M1687" s="86">
        <v>34</v>
      </c>
      <c r="N1687" s="86"/>
      <c r="O1687" s="86">
        <v>0</v>
      </c>
      <c r="P1687" s="86">
        <v>103101.00000000003</v>
      </c>
      <c r="Q1687" s="86">
        <v>0</v>
      </c>
      <c r="R1687" s="87">
        <f t="shared" si="452"/>
        <v>38</v>
      </c>
      <c r="T1687" s="87">
        <v>42</v>
      </c>
      <c r="U1687" s="89"/>
      <c r="V1687" s="89">
        <v>0</v>
      </c>
      <c r="W1687" s="90"/>
      <c r="X1687" s="90">
        <v>0</v>
      </c>
      <c r="Y1687" s="90">
        <v>107118.5</v>
      </c>
      <c r="Z1687" s="90">
        <v>44</v>
      </c>
      <c r="AA1687" s="90">
        <v>38</v>
      </c>
      <c r="AB1687" s="89">
        <f t="shared" si="453"/>
        <v>14</v>
      </c>
      <c r="AC1687" s="89">
        <f t="shared" si="454"/>
        <v>42</v>
      </c>
      <c r="AD1687" s="89">
        <f t="shared" si="455"/>
        <v>44</v>
      </c>
      <c r="AE1687" s="90">
        <f t="shared" si="456"/>
        <v>14</v>
      </c>
      <c r="AF1687" s="90">
        <f t="shared" si="457"/>
        <v>2012</v>
      </c>
      <c r="AG1687" s="90">
        <f t="shared" si="458"/>
        <v>38</v>
      </c>
      <c r="AH1687" s="90" t="str">
        <f t="shared" si="459"/>
        <v>2018 (triag)</v>
      </c>
      <c r="AI1687" s="90">
        <f t="shared" si="460"/>
        <v>44</v>
      </c>
      <c r="AJ1687" s="90">
        <f t="shared" si="461"/>
        <v>2022</v>
      </c>
      <c r="AK1687" s="90" t="str">
        <f t="shared" si="462"/>
        <v/>
      </c>
      <c r="AL1687" s="91">
        <f>IF(AK1687="Adjust",(_xlfn.XLOOKUP(A1687,'Adj factor'!A:A,'Adj factor'!I:I,,0)*AI1687),'Master DataSheet'!AI1687)</f>
        <v>44</v>
      </c>
      <c r="AM1687" s="91">
        <f t="shared" si="463"/>
        <v>44</v>
      </c>
      <c r="AN1687" s="92" t="str">
        <f t="shared" si="464"/>
        <v>Increasing</v>
      </c>
      <c r="AS1687" s="94">
        <f t="shared" si="465"/>
        <v>1.4475670533738652</v>
      </c>
      <c r="AT1687" s="94">
        <f t="shared" si="466"/>
        <v>3.6857062492119366</v>
      </c>
      <c r="AU1687" s="94">
        <f t="shared" si="467"/>
        <v>4.107600461171506</v>
      </c>
    </row>
    <row r="1688" spans="1:47" x14ac:dyDescent="0.3">
      <c r="A1688" s="85" t="str">
        <f>_xlfn.XLOOKUP(B1688,'Country codes &amp; Data sources'!G:G,'Country codes &amp; Data sources'!H:H,,0)</f>
        <v>Seychelles</v>
      </c>
      <c r="B1688" s="85" t="s">
        <v>185</v>
      </c>
      <c r="C1688" s="85">
        <v>95321</v>
      </c>
      <c r="D1688" s="85" t="s">
        <v>338</v>
      </c>
      <c r="E1688" s="86">
        <v>0</v>
      </c>
      <c r="F1688" s="86">
        <v>96714</v>
      </c>
      <c r="G1688" s="86">
        <v>0</v>
      </c>
      <c r="H1688" s="86"/>
      <c r="I1688" s="86">
        <v>0</v>
      </c>
      <c r="J1688" s="86"/>
      <c r="K1688" s="86">
        <v>0</v>
      </c>
      <c r="L1688" s="86"/>
      <c r="M1688" s="86">
        <v>0</v>
      </c>
      <c r="N1688" s="86"/>
      <c r="O1688" s="86">
        <v>0</v>
      </c>
      <c r="P1688" s="86">
        <v>103101.00000000003</v>
      </c>
      <c r="Q1688" s="86">
        <v>0</v>
      </c>
      <c r="R1688" s="87">
        <f t="shared" si="452"/>
        <v>125</v>
      </c>
      <c r="T1688" s="87">
        <v>37</v>
      </c>
      <c r="U1688" s="89"/>
      <c r="V1688" s="89">
        <v>0</v>
      </c>
      <c r="W1688" s="90"/>
      <c r="X1688" s="90">
        <v>0</v>
      </c>
      <c r="Y1688" s="90">
        <v>107118.5</v>
      </c>
      <c r="Z1688" s="95">
        <v>114</v>
      </c>
      <c r="AA1688" s="90">
        <v>125</v>
      </c>
      <c r="AB1688" s="89">
        <f t="shared" si="453"/>
        <v>0</v>
      </c>
      <c r="AC1688" s="89">
        <f t="shared" si="454"/>
        <v>37</v>
      </c>
      <c r="AD1688" s="89">
        <f t="shared" si="455"/>
        <v>114</v>
      </c>
      <c r="AE1688" s="90">
        <f t="shared" si="456"/>
        <v>0</v>
      </c>
      <c r="AF1688" s="90" t="str">
        <f t="shared" si="457"/>
        <v/>
      </c>
      <c r="AG1688" s="90">
        <f t="shared" si="458"/>
        <v>125</v>
      </c>
      <c r="AH1688" s="90" t="str">
        <f t="shared" si="459"/>
        <v>2018 (triag)</v>
      </c>
      <c r="AI1688" s="90">
        <f t="shared" si="460"/>
        <v>114</v>
      </c>
      <c r="AJ1688" s="90">
        <f t="shared" si="461"/>
        <v>2022</v>
      </c>
      <c r="AK1688" s="90" t="str">
        <f t="shared" si="462"/>
        <v>Adjust</v>
      </c>
      <c r="AL1688" s="91">
        <f>IF(AK1688="Adjust",(_xlfn.XLOOKUP(A1688,'Adj factor'!A:A,'Adj factor'!I:I,,0)*AI1688),'Master DataSheet'!AI1688)</f>
        <v>131.02004545252734</v>
      </c>
      <c r="AM1688" s="91">
        <f t="shared" si="463"/>
        <v>131.02004545252734</v>
      </c>
      <c r="AN1688" s="92" t="str">
        <f t="shared" si="464"/>
        <v>Increasing</v>
      </c>
      <c r="AS1688" s="94">
        <f t="shared" si="465"/>
        <v>0</v>
      </c>
      <c r="AT1688" s="94">
        <f t="shared" si="466"/>
        <v>12.124033714512949</v>
      </c>
      <c r="AU1688" s="94">
        <f t="shared" si="467"/>
        <v>12.231318161898024</v>
      </c>
    </row>
    <row r="1689" spans="1:47" x14ac:dyDescent="0.3">
      <c r="A1689" s="85" t="str">
        <f>_xlfn.XLOOKUP(B1689,'Country codes &amp; Data sources'!G:G,'Country codes &amp; Data sources'!H:H,,0)</f>
        <v>Seychelles</v>
      </c>
      <c r="B1689" s="85" t="s">
        <v>185</v>
      </c>
      <c r="C1689" s="85">
        <v>95322</v>
      </c>
      <c r="D1689" s="85" t="s">
        <v>339</v>
      </c>
      <c r="E1689" s="86">
        <v>0</v>
      </c>
      <c r="F1689" s="86">
        <v>96714</v>
      </c>
      <c r="G1689" s="86">
        <v>0</v>
      </c>
      <c r="H1689" s="86"/>
      <c r="I1689" s="86">
        <v>0</v>
      </c>
      <c r="J1689" s="86"/>
      <c r="K1689" s="86">
        <v>0</v>
      </c>
      <c r="L1689" s="86"/>
      <c r="M1689" s="86">
        <v>0</v>
      </c>
      <c r="N1689" s="86"/>
      <c r="O1689" s="86">
        <v>0</v>
      </c>
      <c r="P1689" s="86">
        <v>103101.00000000003</v>
      </c>
      <c r="Q1689" s="86">
        <v>0</v>
      </c>
      <c r="R1689" s="87">
        <f t="shared" si="452"/>
        <v>0</v>
      </c>
      <c r="T1689" s="87">
        <v>0</v>
      </c>
      <c r="U1689" s="89"/>
      <c r="V1689" s="89">
        <v>0</v>
      </c>
      <c r="W1689" s="90"/>
      <c r="X1689" s="90">
        <v>6</v>
      </c>
      <c r="Y1689" s="90">
        <v>107118.5</v>
      </c>
      <c r="Z1689" s="113">
        <v>27</v>
      </c>
      <c r="AA1689" s="90">
        <v>0</v>
      </c>
      <c r="AB1689" s="89">
        <f t="shared" si="453"/>
        <v>0</v>
      </c>
      <c r="AC1689" s="89">
        <f t="shared" si="454"/>
        <v>0</v>
      </c>
      <c r="AD1689" s="89">
        <f t="shared" si="455"/>
        <v>27</v>
      </c>
      <c r="AE1689" s="90">
        <f t="shared" si="456"/>
        <v>0</v>
      </c>
      <c r="AF1689" s="90" t="str">
        <f t="shared" si="457"/>
        <v/>
      </c>
      <c r="AG1689" s="90">
        <f t="shared" si="458"/>
        <v>0</v>
      </c>
      <c r="AH1689" s="90" t="str">
        <f t="shared" si="459"/>
        <v/>
      </c>
      <c r="AI1689" s="90">
        <f t="shared" si="460"/>
        <v>27</v>
      </c>
      <c r="AJ1689" s="90">
        <f t="shared" si="461"/>
        <v>2022</v>
      </c>
      <c r="AK1689" s="90" t="str">
        <f t="shared" si="462"/>
        <v/>
      </c>
      <c r="AL1689" s="91">
        <f>IF(AK1689="Adjust",(_xlfn.XLOOKUP(A1689,'Adj factor'!A:A,'Adj factor'!I:I,,0)*AI1689),'Master DataSheet'!AI1689)</f>
        <v>27</v>
      </c>
      <c r="AM1689" s="91">
        <f t="shared" si="463"/>
        <v>27</v>
      </c>
      <c r="AN1689" s="92" t="str">
        <f t="shared" si="464"/>
        <v>Increasing</v>
      </c>
      <c r="AS1689" s="94">
        <f t="shared" si="465"/>
        <v>0</v>
      </c>
      <c r="AT1689" s="94">
        <f t="shared" si="466"/>
        <v>0</v>
      </c>
      <c r="AU1689" s="94">
        <f t="shared" si="467"/>
        <v>2.5205730102643336</v>
      </c>
    </row>
    <row r="1690" spans="1:47" x14ac:dyDescent="0.3">
      <c r="A1690" s="85" t="str">
        <f>_xlfn.XLOOKUP(B1690,'Country codes &amp; Data sources'!G:G,'Country codes &amp; Data sources'!H:H,,0)</f>
        <v>Chad</v>
      </c>
      <c r="B1690" s="85" t="s">
        <v>169</v>
      </c>
      <c r="C1690" s="85">
        <v>12754906</v>
      </c>
      <c r="D1690" s="85" t="s">
        <v>326</v>
      </c>
      <c r="E1690" s="86">
        <v>528</v>
      </c>
      <c r="F1690" s="86">
        <v>13216766.5</v>
      </c>
      <c r="G1690" s="86">
        <v>573</v>
      </c>
      <c r="H1690" s="86">
        <v>13697125.5</v>
      </c>
      <c r="I1690" s="86">
        <v>608</v>
      </c>
      <c r="J1690" s="86">
        <v>14140274</v>
      </c>
      <c r="K1690" s="86">
        <v>696</v>
      </c>
      <c r="L1690" s="86">
        <v>14592585.000000004</v>
      </c>
      <c r="M1690" s="86">
        <v>540</v>
      </c>
      <c r="N1690" s="86">
        <v>15085884.000000006</v>
      </c>
      <c r="O1690" s="86">
        <v>651</v>
      </c>
      <c r="P1690" s="86">
        <v>15604210</v>
      </c>
      <c r="Q1690" s="86">
        <v>803</v>
      </c>
      <c r="R1690" s="87">
        <f t="shared" si="452"/>
        <v>803</v>
      </c>
      <c r="S1690" s="87">
        <v>16126866</v>
      </c>
      <c r="T1690" s="87">
        <v>859</v>
      </c>
      <c r="U1690" s="89">
        <v>16644701.499999996</v>
      </c>
      <c r="V1690" s="89">
        <v>1003</v>
      </c>
      <c r="W1690" s="90">
        <v>17179739.999999996</v>
      </c>
      <c r="X1690" s="90">
        <v>1000</v>
      </c>
      <c r="Y1690" s="90">
        <v>17723314.500000004</v>
      </c>
      <c r="Z1690" s="90">
        <v>1507</v>
      </c>
      <c r="AA1690" s="90">
        <v>803</v>
      </c>
      <c r="AB1690" s="89">
        <f t="shared" si="453"/>
        <v>696</v>
      </c>
      <c r="AC1690" s="89">
        <f t="shared" si="454"/>
        <v>859</v>
      </c>
      <c r="AD1690" s="89">
        <f t="shared" si="455"/>
        <v>1507</v>
      </c>
      <c r="AE1690" s="90">
        <f t="shared" si="456"/>
        <v>573</v>
      </c>
      <c r="AF1690" s="90">
        <f t="shared" si="457"/>
        <v>2013</v>
      </c>
      <c r="AG1690" s="90">
        <f t="shared" si="458"/>
        <v>803</v>
      </c>
      <c r="AH1690" s="90">
        <f t="shared" si="459"/>
        <v>2018</v>
      </c>
      <c r="AI1690" s="90">
        <f t="shared" si="460"/>
        <v>1507</v>
      </c>
      <c r="AJ1690" s="90">
        <f t="shared" si="461"/>
        <v>2022</v>
      </c>
      <c r="AK1690" s="90" t="str">
        <f t="shared" si="462"/>
        <v/>
      </c>
      <c r="AL1690" s="91">
        <f>IF(AK1690="Adjust",(_xlfn.XLOOKUP(A1690,'Adj factor'!A:A,'Adj factor'!I:I,,0)*AI1690),'Master DataSheet'!AI1690)</f>
        <v>1507</v>
      </c>
      <c r="AM1690" s="91">
        <f t="shared" si="463"/>
        <v>1507</v>
      </c>
      <c r="AN1690" s="92" t="str">
        <f t="shared" si="464"/>
        <v>Increasing</v>
      </c>
      <c r="AS1690" s="94">
        <f t="shared" si="465"/>
        <v>0.43354023088778937</v>
      </c>
      <c r="AT1690" s="94">
        <f t="shared" si="466"/>
        <v>0.51460471244619244</v>
      </c>
      <c r="AU1690" s="94">
        <f t="shared" si="467"/>
        <v>0.85029242131882254</v>
      </c>
    </row>
    <row r="1691" spans="1:47" x14ac:dyDescent="0.3">
      <c r="A1691" s="85" t="str">
        <f>_xlfn.XLOOKUP(B1691,'Country codes &amp; Data sources'!G:G,'Country codes &amp; Data sources'!H:H,,0)</f>
        <v>Chad</v>
      </c>
      <c r="B1691" s="85" t="s">
        <v>169</v>
      </c>
      <c r="C1691" s="85">
        <v>12754907</v>
      </c>
      <c r="D1691" s="85" t="s">
        <v>327</v>
      </c>
      <c r="E1691" s="86">
        <v>0</v>
      </c>
      <c r="F1691" s="86">
        <v>13216766.5</v>
      </c>
      <c r="G1691" s="86">
        <v>0</v>
      </c>
      <c r="H1691" s="86"/>
      <c r="I1691" s="86">
        <v>0</v>
      </c>
      <c r="J1691" s="86"/>
      <c r="K1691" s="86">
        <v>0</v>
      </c>
      <c r="L1691" s="86"/>
      <c r="M1691" s="86">
        <v>0</v>
      </c>
      <c r="N1691" s="86"/>
      <c r="O1691" s="86">
        <v>0</v>
      </c>
      <c r="P1691" s="86">
        <v>15604210</v>
      </c>
      <c r="Q1691" s="86">
        <v>646</v>
      </c>
      <c r="R1691" s="87">
        <f t="shared" si="452"/>
        <v>646</v>
      </c>
      <c r="T1691" s="87">
        <v>642</v>
      </c>
      <c r="U1691" s="89"/>
      <c r="V1691" s="89">
        <v>784</v>
      </c>
      <c r="W1691" s="90"/>
      <c r="X1691" s="90">
        <v>740</v>
      </c>
      <c r="Y1691" s="90">
        <v>17723314.500000004</v>
      </c>
      <c r="Z1691" s="90">
        <v>1197</v>
      </c>
      <c r="AA1691" s="90">
        <v>646</v>
      </c>
      <c r="AB1691" s="89">
        <f t="shared" si="453"/>
        <v>0</v>
      </c>
      <c r="AC1691" s="89">
        <f t="shared" si="454"/>
        <v>646</v>
      </c>
      <c r="AD1691" s="89">
        <f t="shared" si="455"/>
        <v>1197</v>
      </c>
      <c r="AE1691" s="90">
        <f t="shared" si="456"/>
        <v>0</v>
      </c>
      <c r="AF1691" s="90" t="str">
        <f t="shared" si="457"/>
        <v/>
      </c>
      <c r="AG1691" s="90">
        <f t="shared" si="458"/>
        <v>646</v>
      </c>
      <c r="AH1691" s="90">
        <f t="shared" si="459"/>
        <v>2018</v>
      </c>
      <c r="AI1691" s="90">
        <f t="shared" si="460"/>
        <v>1197</v>
      </c>
      <c r="AJ1691" s="90">
        <f t="shared" si="461"/>
        <v>2022</v>
      </c>
      <c r="AK1691" s="90" t="str">
        <f t="shared" si="462"/>
        <v/>
      </c>
      <c r="AL1691" s="91">
        <f>IF(AK1691="Adjust",(_xlfn.XLOOKUP(A1691,'Adj factor'!A:A,'Adj factor'!I:I,,0)*AI1691),'Master DataSheet'!AI1691)</f>
        <v>1197</v>
      </c>
      <c r="AM1691" s="91">
        <f t="shared" si="463"/>
        <v>1197</v>
      </c>
      <c r="AN1691" s="92" t="str">
        <f t="shared" si="464"/>
        <v>Increasing</v>
      </c>
      <c r="AS1691" s="94">
        <f t="shared" si="465"/>
        <v>0</v>
      </c>
      <c r="AT1691" s="94">
        <f t="shared" si="466"/>
        <v>0.41399083965160682</v>
      </c>
      <c r="AU1691" s="94">
        <f t="shared" si="467"/>
        <v>0.67538157154520939</v>
      </c>
    </row>
    <row r="1692" spans="1:47" x14ac:dyDescent="0.3">
      <c r="A1692" s="85" t="str">
        <f>_xlfn.XLOOKUP(B1692,'Country codes &amp; Data sources'!G:G,'Country codes &amp; Data sources'!H:H,,0)</f>
        <v>Chad</v>
      </c>
      <c r="B1692" s="85" t="s">
        <v>169</v>
      </c>
      <c r="C1692" s="85">
        <v>12754908</v>
      </c>
      <c r="D1692" s="85" t="s">
        <v>328</v>
      </c>
      <c r="E1692" s="86">
        <v>0</v>
      </c>
      <c r="F1692" s="86">
        <v>13216766.5</v>
      </c>
      <c r="G1692" s="86">
        <v>0</v>
      </c>
      <c r="H1692" s="86"/>
      <c r="I1692" s="86">
        <v>0</v>
      </c>
      <c r="J1692" s="86"/>
      <c r="K1692" s="86">
        <v>0</v>
      </c>
      <c r="L1692" s="86"/>
      <c r="M1692" s="86">
        <v>0</v>
      </c>
      <c r="N1692" s="86"/>
      <c r="O1692" s="86">
        <v>0</v>
      </c>
      <c r="P1692" s="86">
        <v>15604210</v>
      </c>
      <c r="Q1692" s="86">
        <v>157</v>
      </c>
      <c r="R1692" s="87">
        <f t="shared" si="452"/>
        <v>157</v>
      </c>
      <c r="T1692" s="87">
        <v>202</v>
      </c>
      <c r="U1692" s="89"/>
      <c r="V1692" s="89">
        <v>219</v>
      </c>
      <c r="W1692" s="90"/>
      <c r="X1692" s="90">
        <v>260</v>
      </c>
      <c r="Y1692" s="90">
        <v>17723314.500000004</v>
      </c>
      <c r="Z1692" s="90">
        <v>310</v>
      </c>
      <c r="AA1692" s="90">
        <v>157</v>
      </c>
      <c r="AB1692" s="89">
        <f t="shared" si="453"/>
        <v>0</v>
      </c>
      <c r="AC1692" s="89">
        <f t="shared" si="454"/>
        <v>202</v>
      </c>
      <c r="AD1692" s="89">
        <f t="shared" si="455"/>
        <v>310</v>
      </c>
      <c r="AE1692" s="90">
        <f t="shared" si="456"/>
        <v>0</v>
      </c>
      <c r="AF1692" s="90" t="str">
        <f t="shared" si="457"/>
        <v/>
      </c>
      <c r="AG1692" s="90">
        <f t="shared" si="458"/>
        <v>157</v>
      </c>
      <c r="AH1692" s="90">
        <f t="shared" si="459"/>
        <v>2018</v>
      </c>
      <c r="AI1692" s="90">
        <f t="shared" si="460"/>
        <v>310</v>
      </c>
      <c r="AJ1692" s="90">
        <f t="shared" si="461"/>
        <v>2022</v>
      </c>
      <c r="AK1692" s="90" t="str">
        <f t="shared" si="462"/>
        <v/>
      </c>
      <c r="AL1692" s="91">
        <f>IF(AK1692="Adjust",(_xlfn.XLOOKUP(A1692,'Adj factor'!A:A,'Adj factor'!I:I,,0)*AI1692),'Master DataSheet'!AI1692)</f>
        <v>310</v>
      </c>
      <c r="AM1692" s="91">
        <f t="shared" si="463"/>
        <v>310</v>
      </c>
      <c r="AN1692" s="92" t="str">
        <f t="shared" si="464"/>
        <v>Increasing</v>
      </c>
      <c r="AS1692" s="94">
        <f t="shared" si="465"/>
        <v>0</v>
      </c>
      <c r="AT1692" s="94">
        <f t="shared" si="466"/>
        <v>0.10061387279458556</v>
      </c>
      <c r="AU1692" s="94">
        <f t="shared" si="467"/>
        <v>0.17491084977361313</v>
      </c>
    </row>
    <row r="1693" spans="1:47" x14ac:dyDescent="0.3">
      <c r="A1693" s="85" t="str">
        <f>_xlfn.XLOOKUP(B1693,'Country codes &amp; Data sources'!G:G,'Country codes &amp; Data sources'!H:H,,0)</f>
        <v>Chad</v>
      </c>
      <c r="B1693" s="85" t="s">
        <v>169</v>
      </c>
      <c r="C1693" s="85">
        <v>12754909</v>
      </c>
      <c r="D1693" s="85" t="s">
        <v>329</v>
      </c>
      <c r="E1693" s="86">
        <v>3141</v>
      </c>
      <c r="F1693" s="86">
        <v>13216766.5</v>
      </c>
      <c r="G1693" s="86">
        <v>3606</v>
      </c>
      <c r="H1693" s="86"/>
      <c r="I1693" s="86">
        <v>3606</v>
      </c>
      <c r="J1693" s="86"/>
      <c r="K1693" s="86">
        <v>3563</v>
      </c>
      <c r="L1693" s="86"/>
      <c r="M1693" s="86">
        <v>3106</v>
      </c>
      <c r="N1693" s="86"/>
      <c r="O1693" s="86">
        <v>3487</v>
      </c>
      <c r="P1693" s="86">
        <v>15604210</v>
      </c>
      <c r="Q1693" s="86">
        <v>4799</v>
      </c>
      <c r="R1693" s="87">
        <f t="shared" si="452"/>
        <v>4799</v>
      </c>
      <c r="T1693" s="87">
        <v>0</v>
      </c>
      <c r="U1693" s="89"/>
      <c r="V1693" s="89">
        <v>2623</v>
      </c>
      <c r="W1693" s="90"/>
      <c r="X1693" s="90">
        <v>2677</v>
      </c>
      <c r="Y1693" s="90">
        <v>17723314.500000004</v>
      </c>
      <c r="Z1693" s="90">
        <v>2933</v>
      </c>
      <c r="AA1693" s="90">
        <v>3863</v>
      </c>
      <c r="AB1693" s="89">
        <f t="shared" si="453"/>
        <v>3606</v>
      </c>
      <c r="AC1693" s="89">
        <f t="shared" si="454"/>
        <v>4799</v>
      </c>
      <c r="AD1693" s="89">
        <f t="shared" si="455"/>
        <v>2933</v>
      </c>
      <c r="AE1693" s="90">
        <f t="shared" si="456"/>
        <v>3606</v>
      </c>
      <c r="AF1693" s="90">
        <f t="shared" si="457"/>
        <v>2013</v>
      </c>
      <c r="AG1693" s="90">
        <f t="shared" si="458"/>
        <v>4799</v>
      </c>
      <c r="AH1693" s="90">
        <f t="shared" si="459"/>
        <v>2018</v>
      </c>
      <c r="AI1693" s="90">
        <f t="shared" si="460"/>
        <v>2933</v>
      </c>
      <c r="AJ1693" s="90">
        <f t="shared" si="461"/>
        <v>2022</v>
      </c>
      <c r="AK1693" s="90" t="str">
        <f t="shared" si="462"/>
        <v>Adjust</v>
      </c>
      <c r="AL1693" s="91">
        <f>IF(AK1693="Adjust",(_xlfn.XLOOKUP(A1693,'Adj factor'!A:A,'Adj factor'!I:I,,0)*AI1693),'Master DataSheet'!AI1693)</f>
        <v>3387.151734852408</v>
      </c>
      <c r="AM1693" s="91">
        <f t="shared" si="463"/>
        <v>4799</v>
      </c>
      <c r="AN1693" s="92" t="str">
        <f t="shared" si="464"/>
        <v>Decreasing</v>
      </c>
      <c r="AS1693" s="94">
        <f t="shared" si="465"/>
        <v>2.7283526572100674</v>
      </c>
      <c r="AT1693" s="94">
        <f t="shared" si="466"/>
        <v>3.0754520735109305</v>
      </c>
      <c r="AU1693" s="94">
        <f t="shared" si="467"/>
        <v>2.7077328002050627</v>
      </c>
    </row>
    <row r="1694" spans="1:47" x14ac:dyDescent="0.3">
      <c r="A1694" s="85" t="str">
        <f>_xlfn.XLOOKUP(B1694,'Country codes &amp; Data sources'!G:G,'Country codes &amp; Data sources'!H:H,,0)</f>
        <v>Chad</v>
      </c>
      <c r="B1694" s="85" t="s">
        <v>169</v>
      </c>
      <c r="C1694" s="85">
        <v>12754910</v>
      </c>
      <c r="D1694" s="85" t="s">
        <v>330</v>
      </c>
      <c r="E1694" s="86">
        <v>0</v>
      </c>
      <c r="F1694" s="86">
        <v>13216766.5</v>
      </c>
      <c r="G1694" s="86">
        <v>0</v>
      </c>
      <c r="H1694" s="86"/>
      <c r="I1694" s="86">
        <v>0</v>
      </c>
      <c r="J1694" s="86"/>
      <c r="K1694" s="86">
        <v>0</v>
      </c>
      <c r="L1694" s="86"/>
      <c r="M1694" s="86">
        <v>0</v>
      </c>
      <c r="N1694" s="86"/>
      <c r="O1694" s="86">
        <v>0</v>
      </c>
      <c r="P1694" s="86">
        <v>15604210</v>
      </c>
      <c r="Q1694" s="86">
        <v>0</v>
      </c>
      <c r="R1694" s="87">
        <f t="shared" si="452"/>
        <v>1787</v>
      </c>
      <c r="T1694" s="87">
        <v>0</v>
      </c>
      <c r="U1694" s="89"/>
      <c r="V1694" s="89">
        <v>1528</v>
      </c>
      <c r="W1694" s="90"/>
      <c r="X1694" s="90">
        <v>1537</v>
      </c>
      <c r="Y1694" s="90">
        <v>17723314.500000004</v>
      </c>
      <c r="Z1694" s="90">
        <v>1668</v>
      </c>
      <c r="AA1694" s="90">
        <v>1787</v>
      </c>
      <c r="AB1694" s="89">
        <f t="shared" si="453"/>
        <v>0</v>
      </c>
      <c r="AC1694" s="89">
        <f t="shared" si="454"/>
        <v>0</v>
      </c>
      <c r="AD1694" s="89">
        <f t="shared" si="455"/>
        <v>1668</v>
      </c>
      <c r="AE1694" s="90">
        <f t="shared" si="456"/>
        <v>0</v>
      </c>
      <c r="AF1694" s="90" t="str">
        <f t="shared" si="457"/>
        <v/>
      </c>
      <c r="AG1694" s="90">
        <f t="shared" si="458"/>
        <v>1787</v>
      </c>
      <c r="AH1694" s="90" t="str">
        <f t="shared" si="459"/>
        <v>2018 (triag)</v>
      </c>
      <c r="AI1694" s="90">
        <f t="shared" si="460"/>
        <v>1668</v>
      </c>
      <c r="AJ1694" s="90">
        <f t="shared" si="461"/>
        <v>2022</v>
      </c>
      <c r="AK1694" s="90" t="str">
        <f t="shared" si="462"/>
        <v>Adjust</v>
      </c>
      <c r="AL1694" s="91">
        <f>IF(AK1694="Adjust",(_xlfn.XLOOKUP(A1694,'Adj factor'!A:A,'Adj factor'!I:I,,0)*AI1694),'Master DataSheet'!AI1694)</f>
        <v>1926.2765406525116</v>
      </c>
      <c r="AM1694" s="91">
        <f t="shared" si="463"/>
        <v>1926.2765406525116</v>
      </c>
      <c r="AN1694" s="92" t="str">
        <f t="shared" si="464"/>
        <v>Increasing</v>
      </c>
      <c r="AS1694" s="94">
        <f t="shared" si="465"/>
        <v>0</v>
      </c>
      <c r="AT1694" s="94">
        <f t="shared" si="466"/>
        <v>1.1452037623179898</v>
      </c>
      <c r="AU1694" s="94">
        <f t="shared" si="467"/>
        <v>1.0868602149177633</v>
      </c>
    </row>
    <row r="1695" spans="1:47" x14ac:dyDescent="0.3">
      <c r="A1695" s="85" t="str">
        <f>_xlfn.XLOOKUP(B1695,'Country codes &amp; Data sources'!G:G,'Country codes &amp; Data sources'!H:H,,0)</f>
        <v>Chad</v>
      </c>
      <c r="B1695" s="85" t="s">
        <v>169</v>
      </c>
      <c r="C1695" s="85">
        <v>12754911</v>
      </c>
      <c r="D1695" s="85" t="s">
        <v>331</v>
      </c>
      <c r="E1695" s="86">
        <v>0</v>
      </c>
      <c r="F1695" s="86">
        <v>13216766.5</v>
      </c>
      <c r="G1695" s="86">
        <v>0</v>
      </c>
      <c r="H1695" s="86"/>
      <c r="I1695" s="86">
        <v>0</v>
      </c>
      <c r="J1695" s="86"/>
      <c r="K1695" s="86">
        <v>0</v>
      </c>
      <c r="L1695" s="86"/>
      <c r="M1695" s="86">
        <v>0</v>
      </c>
      <c r="N1695" s="86"/>
      <c r="O1695" s="86">
        <v>0</v>
      </c>
      <c r="P1695" s="86">
        <v>15604210</v>
      </c>
      <c r="Q1695" s="86">
        <v>0</v>
      </c>
      <c r="R1695" s="87">
        <f t="shared" si="452"/>
        <v>2076</v>
      </c>
      <c r="T1695" s="87">
        <v>0</v>
      </c>
      <c r="U1695" s="89"/>
      <c r="V1695" s="89">
        <v>827</v>
      </c>
      <c r="W1695" s="90"/>
      <c r="X1695" s="90">
        <v>1140</v>
      </c>
      <c r="Y1695" s="90">
        <v>17723314.500000004</v>
      </c>
      <c r="Z1695" s="90">
        <v>1265</v>
      </c>
      <c r="AA1695" s="90">
        <v>2076</v>
      </c>
      <c r="AB1695" s="89">
        <f t="shared" si="453"/>
        <v>0</v>
      </c>
      <c r="AC1695" s="89">
        <f t="shared" si="454"/>
        <v>0</v>
      </c>
      <c r="AD1695" s="89">
        <f t="shared" si="455"/>
        <v>1265</v>
      </c>
      <c r="AE1695" s="90">
        <f t="shared" si="456"/>
        <v>0</v>
      </c>
      <c r="AF1695" s="90" t="str">
        <f t="shared" si="457"/>
        <v/>
      </c>
      <c r="AG1695" s="90">
        <f t="shared" si="458"/>
        <v>2076</v>
      </c>
      <c r="AH1695" s="90" t="str">
        <f t="shared" si="459"/>
        <v>2018 (triag)</v>
      </c>
      <c r="AI1695" s="90">
        <f t="shared" si="460"/>
        <v>1265</v>
      </c>
      <c r="AJ1695" s="90">
        <f t="shared" si="461"/>
        <v>2022</v>
      </c>
      <c r="AK1695" s="90" t="str">
        <f t="shared" si="462"/>
        <v>Adjust</v>
      </c>
      <c r="AL1695" s="91">
        <f>IF(AK1695="Adjust",(_xlfn.XLOOKUP(A1695,'Adj factor'!A:A,'Adj factor'!I:I,,0)*AI1695),'Master DataSheet'!AI1695)</f>
        <v>1460.8751941998964</v>
      </c>
      <c r="AM1695" s="91">
        <f t="shared" si="463"/>
        <v>2076</v>
      </c>
      <c r="AN1695" s="92" t="str">
        <f t="shared" si="464"/>
        <v>Decreasing</v>
      </c>
      <c r="AS1695" s="94">
        <f t="shared" si="465"/>
        <v>0</v>
      </c>
      <c r="AT1695" s="94">
        <f t="shared" si="466"/>
        <v>1.3304101905831824</v>
      </c>
      <c r="AU1695" s="94">
        <f t="shared" si="467"/>
        <v>1.1713384649355512</v>
      </c>
    </row>
    <row r="1696" spans="1:47" x14ac:dyDescent="0.3">
      <c r="A1696" s="85" t="str">
        <f>_xlfn.XLOOKUP(B1696,'Country codes &amp; Data sources'!G:G,'Country codes &amp; Data sources'!H:H,,0)</f>
        <v>Chad</v>
      </c>
      <c r="B1696" s="85" t="s">
        <v>169</v>
      </c>
      <c r="C1696" s="85">
        <v>12754912</v>
      </c>
      <c r="D1696" s="85" t="s">
        <v>332</v>
      </c>
      <c r="E1696" s="86">
        <v>416</v>
      </c>
      <c r="F1696" s="86">
        <v>13216766.5</v>
      </c>
      <c r="G1696" s="86">
        <v>451</v>
      </c>
      <c r="H1696" s="86"/>
      <c r="I1696" s="86">
        <v>0</v>
      </c>
      <c r="J1696" s="86"/>
      <c r="K1696" s="86">
        <v>0</v>
      </c>
      <c r="L1696" s="86"/>
      <c r="M1696" s="86">
        <v>0</v>
      </c>
      <c r="N1696" s="86"/>
      <c r="O1696" s="86">
        <v>0</v>
      </c>
      <c r="P1696" s="86">
        <v>15604210</v>
      </c>
      <c r="Q1696" s="86">
        <v>0</v>
      </c>
      <c r="R1696" s="87">
        <f t="shared" si="452"/>
        <v>936</v>
      </c>
      <c r="T1696" s="87">
        <v>589</v>
      </c>
      <c r="U1696" s="89"/>
      <c r="V1696" s="89">
        <v>710</v>
      </c>
      <c r="W1696" s="90"/>
      <c r="X1696" s="90">
        <v>721</v>
      </c>
      <c r="Y1696" s="90">
        <v>17723314.500000004</v>
      </c>
      <c r="Z1696" s="90">
        <v>783</v>
      </c>
      <c r="AA1696" s="90">
        <v>936</v>
      </c>
      <c r="AB1696" s="89">
        <f t="shared" si="453"/>
        <v>451</v>
      </c>
      <c r="AC1696" s="89">
        <f t="shared" si="454"/>
        <v>589</v>
      </c>
      <c r="AD1696" s="89">
        <f t="shared" si="455"/>
        <v>783</v>
      </c>
      <c r="AE1696" s="90">
        <f t="shared" si="456"/>
        <v>451</v>
      </c>
      <c r="AF1696" s="90">
        <f t="shared" si="457"/>
        <v>2013</v>
      </c>
      <c r="AG1696" s="90">
        <f t="shared" si="458"/>
        <v>936</v>
      </c>
      <c r="AH1696" s="90" t="str">
        <f t="shared" si="459"/>
        <v>2018 (triag)</v>
      </c>
      <c r="AI1696" s="90">
        <f t="shared" si="460"/>
        <v>783</v>
      </c>
      <c r="AJ1696" s="90">
        <f t="shared" si="461"/>
        <v>2022</v>
      </c>
      <c r="AK1696" s="90" t="str">
        <f t="shared" si="462"/>
        <v>Adjust</v>
      </c>
      <c r="AL1696" s="91">
        <f>IF(AK1696="Adjust",(_xlfn.XLOOKUP(A1696,'Adj factor'!A:A,'Adj factor'!I:I,,0)*AI1696),'Master DataSheet'!AI1696)</f>
        <v>904.24132573795964</v>
      </c>
      <c r="AM1696" s="91">
        <f t="shared" si="463"/>
        <v>936</v>
      </c>
      <c r="AN1696" s="92" t="str">
        <f t="shared" si="464"/>
        <v>Decreasing</v>
      </c>
      <c r="AS1696" s="94">
        <f t="shared" si="465"/>
        <v>0.3412332358296562</v>
      </c>
      <c r="AT1696" s="94">
        <f t="shared" si="466"/>
        <v>0.5998381206097585</v>
      </c>
      <c r="AU1696" s="94">
        <f t="shared" si="467"/>
        <v>0.52811792060678031</v>
      </c>
    </row>
    <row r="1697" spans="1:47" x14ac:dyDescent="0.3">
      <c r="A1697" s="85" t="str">
        <f>_xlfn.XLOOKUP(B1697,'Country codes &amp; Data sources'!G:G,'Country codes &amp; Data sources'!H:H,,0)</f>
        <v>Chad</v>
      </c>
      <c r="B1697" s="85" t="s">
        <v>169</v>
      </c>
      <c r="C1697" s="85">
        <v>12754913</v>
      </c>
      <c r="D1697" s="85" t="s">
        <v>333</v>
      </c>
      <c r="E1697" s="86">
        <v>0</v>
      </c>
      <c r="F1697" s="86">
        <v>13216766.5</v>
      </c>
      <c r="G1697" s="86">
        <v>0</v>
      </c>
      <c r="H1697" s="86"/>
      <c r="I1697" s="86">
        <v>0</v>
      </c>
      <c r="J1697" s="86"/>
      <c r="K1697" s="86">
        <v>0</v>
      </c>
      <c r="L1697" s="86"/>
      <c r="M1697" s="86">
        <v>0</v>
      </c>
      <c r="N1697" s="86"/>
      <c r="O1697" s="86">
        <v>0</v>
      </c>
      <c r="P1697" s="86">
        <v>15604210</v>
      </c>
      <c r="Q1697" s="86">
        <v>0</v>
      </c>
      <c r="R1697" s="87">
        <f t="shared" si="452"/>
        <v>744</v>
      </c>
      <c r="T1697" s="87">
        <v>0</v>
      </c>
      <c r="U1697" s="89"/>
      <c r="V1697" s="89">
        <v>710</v>
      </c>
      <c r="W1697" s="90"/>
      <c r="X1697" s="90">
        <v>617</v>
      </c>
      <c r="Y1697" s="90">
        <v>17723314.500000004</v>
      </c>
      <c r="Z1697" s="90">
        <v>657</v>
      </c>
      <c r="AA1697" s="90">
        <v>744</v>
      </c>
      <c r="AB1697" s="89">
        <f t="shared" si="453"/>
        <v>0</v>
      </c>
      <c r="AC1697" s="89">
        <f t="shared" si="454"/>
        <v>0</v>
      </c>
      <c r="AD1697" s="89">
        <f t="shared" si="455"/>
        <v>710</v>
      </c>
      <c r="AE1697" s="90">
        <f t="shared" si="456"/>
        <v>0</v>
      </c>
      <c r="AF1697" s="90" t="str">
        <f t="shared" si="457"/>
        <v/>
      </c>
      <c r="AG1697" s="90">
        <f t="shared" si="458"/>
        <v>744</v>
      </c>
      <c r="AH1697" s="90" t="str">
        <f t="shared" si="459"/>
        <v>2018 (triag)</v>
      </c>
      <c r="AI1697" s="90">
        <f t="shared" si="460"/>
        <v>657</v>
      </c>
      <c r="AJ1697" s="90">
        <f t="shared" si="461"/>
        <v>2022</v>
      </c>
      <c r="AK1697" s="90" t="str">
        <f t="shared" si="462"/>
        <v>Adjust</v>
      </c>
      <c r="AL1697" s="91">
        <f>IF(AK1697="Adjust",(_xlfn.XLOOKUP(A1697,'Adj factor'!A:A,'Adj factor'!I:I,,0)*AI1697),'Master DataSheet'!AI1697)</f>
        <v>758.73122734334538</v>
      </c>
      <c r="AM1697" s="91">
        <f t="shared" si="463"/>
        <v>758.73122734334538</v>
      </c>
      <c r="AN1697" s="92" t="str">
        <f t="shared" si="464"/>
        <v>Increasing</v>
      </c>
      <c r="AS1697" s="94">
        <f t="shared" si="465"/>
        <v>0</v>
      </c>
      <c r="AT1697" s="94">
        <f t="shared" si="466"/>
        <v>0.47679440356160291</v>
      </c>
      <c r="AU1697" s="94">
        <f t="shared" si="467"/>
        <v>0.42809781846580963</v>
      </c>
    </row>
    <row r="1698" spans="1:47" x14ac:dyDescent="0.3">
      <c r="A1698" s="85" t="str">
        <f>_xlfn.XLOOKUP(B1698,'Country codes &amp; Data sources'!G:G,'Country codes &amp; Data sources'!H:H,,0)</f>
        <v>Chad</v>
      </c>
      <c r="B1698" s="85" t="s">
        <v>169</v>
      </c>
      <c r="C1698" s="85">
        <v>12754914</v>
      </c>
      <c r="D1698" s="85" t="s">
        <v>334</v>
      </c>
      <c r="E1698" s="86">
        <v>0</v>
      </c>
      <c r="F1698" s="86">
        <v>13216766.5</v>
      </c>
      <c r="G1698" s="86">
        <v>0</v>
      </c>
      <c r="H1698" s="86"/>
      <c r="I1698" s="86">
        <v>0</v>
      </c>
      <c r="J1698" s="86"/>
      <c r="K1698" s="86">
        <v>0</v>
      </c>
      <c r="L1698" s="86"/>
      <c r="M1698" s="86">
        <v>0</v>
      </c>
      <c r="N1698" s="86"/>
      <c r="O1698" s="86">
        <v>0</v>
      </c>
      <c r="P1698" s="86">
        <v>15604210</v>
      </c>
      <c r="Q1698" s="86">
        <v>0</v>
      </c>
      <c r="R1698" s="87">
        <f t="shared" si="452"/>
        <v>192</v>
      </c>
      <c r="T1698" s="87">
        <v>0</v>
      </c>
      <c r="U1698" s="89"/>
      <c r="V1698" s="89">
        <v>0</v>
      </c>
      <c r="W1698" s="90"/>
      <c r="X1698" s="90">
        <v>104</v>
      </c>
      <c r="Y1698" s="90">
        <v>17723314.500000004</v>
      </c>
      <c r="Z1698" s="90">
        <v>126</v>
      </c>
      <c r="AA1698" s="90">
        <v>192</v>
      </c>
      <c r="AB1698" s="89">
        <f t="shared" si="453"/>
        <v>0</v>
      </c>
      <c r="AC1698" s="89">
        <f t="shared" si="454"/>
        <v>0</v>
      </c>
      <c r="AD1698" s="89">
        <f t="shared" si="455"/>
        <v>126</v>
      </c>
      <c r="AE1698" s="90">
        <f t="shared" si="456"/>
        <v>0</v>
      </c>
      <c r="AF1698" s="90" t="str">
        <f t="shared" si="457"/>
        <v/>
      </c>
      <c r="AG1698" s="90">
        <f t="shared" si="458"/>
        <v>192</v>
      </c>
      <c r="AH1698" s="90" t="str">
        <f t="shared" si="459"/>
        <v>2018 (triag)</v>
      </c>
      <c r="AI1698" s="90">
        <f t="shared" si="460"/>
        <v>126</v>
      </c>
      <c r="AJ1698" s="90">
        <f t="shared" si="461"/>
        <v>2022</v>
      </c>
      <c r="AK1698" s="90" t="str">
        <f t="shared" si="462"/>
        <v>Adjust</v>
      </c>
      <c r="AL1698" s="91">
        <f>IF(AK1698="Adjust",(_xlfn.XLOOKUP(A1698,'Adj factor'!A:A,'Adj factor'!I:I,,0)*AI1698),'Master DataSheet'!AI1698)</f>
        <v>145.5100983946142</v>
      </c>
      <c r="AM1698" s="91">
        <f t="shared" si="463"/>
        <v>192</v>
      </c>
      <c r="AN1698" s="92" t="str">
        <f t="shared" si="464"/>
        <v>Decreasing</v>
      </c>
      <c r="AS1698" s="94">
        <f t="shared" si="465"/>
        <v>0</v>
      </c>
      <c r="AT1698" s="94">
        <f t="shared" si="466"/>
        <v>0.12304371704815559</v>
      </c>
      <c r="AU1698" s="94">
        <f t="shared" si="467"/>
        <v>0.10833188115010878</v>
      </c>
    </row>
    <row r="1699" spans="1:47" x14ac:dyDescent="0.3">
      <c r="A1699" s="85" t="str">
        <f>_xlfn.XLOOKUP(B1699,'Country codes &amp; Data sources'!G:G,'Country codes &amp; Data sources'!H:H,,0)</f>
        <v>Chad</v>
      </c>
      <c r="B1699" s="85" t="s">
        <v>169</v>
      </c>
      <c r="C1699" s="85">
        <v>12754915</v>
      </c>
      <c r="D1699" s="85" t="s">
        <v>335</v>
      </c>
      <c r="E1699" s="86">
        <v>68</v>
      </c>
      <c r="F1699" s="86">
        <v>13216766.5</v>
      </c>
      <c r="G1699" s="86">
        <v>72</v>
      </c>
      <c r="H1699" s="86"/>
      <c r="I1699" s="86">
        <v>78</v>
      </c>
      <c r="J1699" s="86"/>
      <c r="K1699" s="86">
        <v>79</v>
      </c>
      <c r="L1699" s="86"/>
      <c r="M1699" s="86">
        <v>0</v>
      </c>
      <c r="N1699" s="86"/>
      <c r="O1699" s="86">
        <v>71</v>
      </c>
      <c r="P1699" s="86">
        <v>15604210</v>
      </c>
      <c r="Q1699" s="86">
        <v>269</v>
      </c>
      <c r="R1699" s="87">
        <f t="shared" si="452"/>
        <v>269</v>
      </c>
      <c r="T1699" s="87">
        <v>52</v>
      </c>
      <c r="U1699" s="89"/>
      <c r="V1699" s="89">
        <v>54</v>
      </c>
      <c r="W1699" s="90"/>
      <c r="X1699" s="90">
        <v>142</v>
      </c>
      <c r="Y1699" s="90">
        <v>17723314.500000004</v>
      </c>
      <c r="Z1699" s="90">
        <v>163</v>
      </c>
      <c r="AA1699" s="90">
        <v>98</v>
      </c>
      <c r="AB1699" s="89">
        <f t="shared" si="453"/>
        <v>79</v>
      </c>
      <c r="AC1699" s="89">
        <f t="shared" si="454"/>
        <v>269</v>
      </c>
      <c r="AD1699" s="89">
        <f t="shared" si="455"/>
        <v>163</v>
      </c>
      <c r="AE1699" s="90">
        <f t="shared" si="456"/>
        <v>72</v>
      </c>
      <c r="AF1699" s="90">
        <f t="shared" si="457"/>
        <v>2013</v>
      </c>
      <c r="AG1699" s="90">
        <f t="shared" si="458"/>
        <v>269</v>
      </c>
      <c r="AH1699" s="90">
        <f t="shared" si="459"/>
        <v>2018</v>
      </c>
      <c r="AI1699" s="90">
        <f t="shared" si="460"/>
        <v>163</v>
      </c>
      <c r="AJ1699" s="90">
        <f t="shared" si="461"/>
        <v>2022</v>
      </c>
      <c r="AK1699" s="90" t="str">
        <f t="shared" si="462"/>
        <v>Adjust</v>
      </c>
      <c r="AL1699" s="91">
        <f>IF(AK1699="Adjust",(_xlfn.XLOOKUP(A1699,'Adj factor'!A:A,'Adj factor'!I:I,,0)*AI1699),'Master DataSheet'!AI1699)</f>
        <v>188.23925427239772</v>
      </c>
      <c r="AM1699" s="91">
        <f t="shared" si="463"/>
        <v>269</v>
      </c>
      <c r="AN1699" s="92" t="str">
        <f t="shared" si="464"/>
        <v>Decreasing</v>
      </c>
      <c r="AS1699" s="94">
        <f t="shared" si="465"/>
        <v>5.4476259378570396E-2</v>
      </c>
      <c r="AT1699" s="94">
        <f t="shared" si="466"/>
        <v>0.17238937440600965</v>
      </c>
      <c r="AU1699" s="94">
        <f t="shared" si="467"/>
        <v>0.15177747931968366</v>
      </c>
    </row>
    <row r="1700" spans="1:47" x14ac:dyDescent="0.3">
      <c r="A1700" s="85" t="str">
        <f>_xlfn.XLOOKUP(B1700,'Country codes &amp; Data sources'!G:G,'Country codes &amp; Data sources'!H:H,,0)</f>
        <v>Chad</v>
      </c>
      <c r="B1700" s="85" t="s">
        <v>169</v>
      </c>
      <c r="C1700" s="85">
        <v>12754916</v>
      </c>
      <c r="D1700" s="85" t="s">
        <v>336</v>
      </c>
      <c r="E1700" s="86">
        <v>0</v>
      </c>
      <c r="F1700" s="86">
        <v>13216766.5</v>
      </c>
      <c r="G1700" s="86">
        <v>0</v>
      </c>
      <c r="H1700" s="86"/>
      <c r="I1700" s="86">
        <v>0</v>
      </c>
      <c r="J1700" s="86"/>
      <c r="K1700" s="86">
        <v>0</v>
      </c>
      <c r="L1700" s="86"/>
      <c r="M1700" s="86">
        <v>0</v>
      </c>
      <c r="N1700" s="86"/>
      <c r="O1700" s="86">
        <v>0</v>
      </c>
      <c r="P1700" s="86">
        <v>15604210</v>
      </c>
      <c r="Q1700" s="86">
        <v>0</v>
      </c>
      <c r="R1700" s="87">
        <f t="shared" si="452"/>
        <v>171</v>
      </c>
      <c r="T1700" s="87">
        <v>136</v>
      </c>
      <c r="U1700" s="89"/>
      <c r="V1700" s="89">
        <v>0</v>
      </c>
      <c r="W1700" s="90"/>
      <c r="X1700" s="90">
        <v>277</v>
      </c>
      <c r="Y1700" s="90">
        <v>17723314.500000004</v>
      </c>
      <c r="Z1700" s="90">
        <v>320</v>
      </c>
      <c r="AA1700" s="90">
        <v>171</v>
      </c>
      <c r="AB1700" s="89">
        <f t="shared" si="453"/>
        <v>0</v>
      </c>
      <c r="AC1700" s="89">
        <f t="shared" si="454"/>
        <v>136</v>
      </c>
      <c r="AD1700" s="89">
        <f t="shared" si="455"/>
        <v>320</v>
      </c>
      <c r="AE1700" s="90">
        <f t="shared" si="456"/>
        <v>0</v>
      </c>
      <c r="AF1700" s="90" t="str">
        <f t="shared" si="457"/>
        <v/>
      </c>
      <c r="AG1700" s="90">
        <f t="shared" si="458"/>
        <v>171</v>
      </c>
      <c r="AH1700" s="90" t="str">
        <f t="shared" si="459"/>
        <v>2018 (triag)</v>
      </c>
      <c r="AI1700" s="90">
        <f t="shared" si="460"/>
        <v>320</v>
      </c>
      <c r="AJ1700" s="90">
        <f t="shared" si="461"/>
        <v>2022</v>
      </c>
      <c r="AK1700" s="90" t="str">
        <f t="shared" si="462"/>
        <v/>
      </c>
      <c r="AL1700" s="91">
        <f>IF(AK1700="Adjust",(_xlfn.XLOOKUP(A1700,'Adj factor'!A:A,'Adj factor'!I:I,,0)*AI1700),'Master DataSheet'!AI1700)</f>
        <v>320</v>
      </c>
      <c r="AM1700" s="91">
        <f t="shared" si="463"/>
        <v>320</v>
      </c>
      <c r="AN1700" s="92" t="str">
        <f t="shared" si="464"/>
        <v>Increasing</v>
      </c>
      <c r="AS1700" s="94">
        <f t="shared" si="465"/>
        <v>0</v>
      </c>
      <c r="AT1700" s="94">
        <f t="shared" si="466"/>
        <v>0.10958581049601357</v>
      </c>
      <c r="AU1700" s="94">
        <f t="shared" si="467"/>
        <v>0.1805531352501813</v>
      </c>
    </row>
    <row r="1701" spans="1:47" x14ac:dyDescent="0.3">
      <c r="A1701" s="85" t="str">
        <f>_xlfn.XLOOKUP(B1701,'Country codes &amp; Data sources'!G:G,'Country codes &amp; Data sources'!H:H,,0)</f>
        <v>Chad</v>
      </c>
      <c r="B1701" s="85" t="s">
        <v>169</v>
      </c>
      <c r="C1701" s="85">
        <v>12754917</v>
      </c>
      <c r="D1701" s="85" t="s">
        <v>337</v>
      </c>
      <c r="E1701" s="86">
        <v>0</v>
      </c>
      <c r="F1701" s="86">
        <v>13216766.5</v>
      </c>
      <c r="G1701" s="86">
        <v>0</v>
      </c>
      <c r="H1701" s="86"/>
      <c r="I1701" s="86">
        <v>0</v>
      </c>
      <c r="J1701" s="86"/>
      <c r="K1701" s="86">
        <v>0</v>
      </c>
      <c r="L1701" s="86"/>
      <c r="M1701" s="86">
        <v>0</v>
      </c>
      <c r="N1701" s="86"/>
      <c r="O1701" s="86">
        <v>0</v>
      </c>
      <c r="P1701" s="86">
        <v>15604210</v>
      </c>
      <c r="Q1701" s="86">
        <v>3</v>
      </c>
      <c r="R1701" s="87">
        <f t="shared" si="452"/>
        <v>3</v>
      </c>
      <c r="T1701" s="87">
        <v>0</v>
      </c>
      <c r="U1701" s="89"/>
      <c r="V1701" s="89">
        <v>0</v>
      </c>
      <c r="W1701" s="90"/>
      <c r="X1701" s="90">
        <v>19</v>
      </c>
      <c r="Y1701" s="90">
        <v>17723314.500000004</v>
      </c>
      <c r="Z1701" s="90">
        <v>21</v>
      </c>
      <c r="AA1701" s="90">
        <v>3</v>
      </c>
      <c r="AB1701" s="89">
        <f t="shared" si="453"/>
        <v>0</v>
      </c>
      <c r="AC1701" s="89">
        <f t="shared" si="454"/>
        <v>3</v>
      </c>
      <c r="AD1701" s="89">
        <f t="shared" si="455"/>
        <v>21</v>
      </c>
      <c r="AE1701" s="90">
        <f t="shared" si="456"/>
        <v>0</v>
      </c>
      <c r="AF1701" s="90" t="str">
        <f t="shared" si="457"/>
        <v/>
      </c>
      <c r="AG1701" s="90">
        <f t="shared" si="458"/>
        <v>3</v>
      </c>
      <c r="AH1701" s="90">
        <f t="shared" si="459"/>
        <v>2018</v>
      </c>
      <c r="AI1701" s="90">
        <f t="shared" si="460"/>
        <v>21</v>
      </c>
      <c r="AJ1701" s="90">
        <f t="shared" si="461"/>
        <v>2022</v>
      </c>
      <c r="AK1701" s="90" t="str">
        <f t="shared" si="462"/>
        <v/>
      </c>
      <c r="AL1701" s="91">
        <f>IF(AK1701="Adjust",(_xlfn.XLOOKUP(A1701,'Adj factor'!A:A,'Adj factor'!I:I,,0)*AI1701),'Master DataSheet'!AI1701)</f>
        <v>21</v>
      </c>
      <c r="AM1701" s="91">
        <f t="shared" si="463"/>
        <v>21</v>
      </c>
      <c r="AN1701" s="92" t="str">
        <f t="shared" si="464"/>
        <v>Increasing</v>
      </c>
      <c r="AS1701" s="94">
        <f t="shared" si="465"/>
        <v>0</v>
      </c>
      <c r="AT1701" s="94">
        <f t="shared" si="466"/>
        <v>1.9225580788774311E-3</v>
      </c>
      <c r="AU1701" s="94">
        <f t="shared" si="467"/>
        <v>1.1848799500793148E-2</v>
      </c>
    </row>
    <row r="1702" spans="1:47" x14ac:dyDescent="0.3">
      <c r="A1702" s="85" t="str">
        <f>_xlfn.XLOOKUP(B1702,'Country codes &amp; Data sources'!G:G,'Country codes &amp; Data sources'!H:H,,0)</f>
        <v>Chad</v>
      </c>
      <c r="B1702" s="85" t="s">
        <v>169</v>
      </c>
      <c r="C1702" s="85">
        <v>12754918</v>
      </c>
      <c r="D1702" s="85" t="s">
        <v>338</v>
      </c>
      <c r="E1702" s="86">
        <v>0</v>
      </c>
      <c r="F1702" s="86">
        <v>13216766.5</v>
      </c>
      <c r="G1702" s="86">
        <v>0</v>
      </c>
      <c r="H1702" s="86"/>
      <c r="I1702" s="86">
        <v>0</v>
      </c>
      <c r="J1702" s="86"/>
      <c r="K1702" s="86">
        <v>0</v>
      </c>
      <c r="L1702" s="86"/>
      <c r="M1702" s="86">
        <v>0</v>
      </c>
      <c r="N1702" s="86"/>
      <c r="O1702" s="86">
        <v>0</v>
      </c>
      <c r="P1702" s="86">
        <v>15604210</v>
      </c>
      <c r="Q1702" s="86">
        <v>0</v>
      </c>
      <c r="R1702" s="87">
        <f t="shared" si="452"/>
        <v>0</v>
      </c>
      <c r="T1702" s="87">
        <v>11</v>
      </c>
      <c r="U1702" s="89"/>
      <c r="V1702" s="89">
        <v>0</v>
      </c>
      <c r="W1702" s="90"/>
      <c r="X1702" s="90">
        <v>11</v>
      </c>
      <c r="Y1702" s="90">
        <v>17723314.500000004</v>
      </c>
      <c r="Z1702" s="90">
        <v>0</v>
      </c>
      <c r="AA1702" s="90">
        <v>0</v>
      </c>
      <c r="AB1702" s="89">
        <f t="shared" si="453"/>
        <v>0</v>
      </c>
      <c r="AC1702" s="89">
        <f t="shared" si="454"/>
        <v>11</v>
      </c>
      <c r="AD1702" s="89">
        <f t="shared" si="455"/>
        <v>11</v>
      </c>
      <c r="AE1702" s="90">
        <f t="shared" si="456"/>
        <v>0</v>
      </c>
      <c r="AF1702" s="90" t="str">
        <f t="shared" si="457"/>
        <v/>
      </c>
      <c r="AG1702" s="90">
        <f t="shared" si="458"/>
        <v>11</v>
      </c>
      <c r="AH1702" s="90">
        <f t="shared" si="459"/>
        <v>2019</v>
      </c>
      <c r="AI1702" s="90">
        <f t="shared" si="460"/>
        <v>11</v>
      </c>
      <c r="AJ1702" s="90">
        <f t="shared" si="461"/>
        <v>2021</v>
      </c>
      <c r="AK1702" s="90" t="str">
        <f t="shared" si="462"/>
        <v/>
      </c>
      <c r="AL1702" s="91">
        <f>IF(AK1702="Adjust",(_xlfn.XLOOKUP(A1702,'Adj factor'!A:A,'Adj factor'!I:I,,0)*AI1702),'Master DataSheet'!AI1702)</f>
        <v>11</v>
      </c>
      <c r="AM1702" s="91">
        <f t="shared" si="463"/>
        <v>11</v>
      </c>
      <c r="AN1702" s="92" t="str">
        <f t="shared" si="464"/>
        <v>No change</v>
      </c>
      <c r="AS1702" s="94">
        <f t="shared" si="465"/>
        <v>0</v>
      </c>
      <c r="AT1702" s="94">
        <f t="shared" si="466"/>
        <v>7.0493796225505811E-3</v>
      </c>
      <c r="AU1702" s="94">
        <f t="shared" si="467"/>
        <v>6.206514024224982E-3</v>
      </c>
    </row>
    <row r="1703" spans="1:47" x14ac:dyDescent="0.3">
      <c r="A1703" s="85" t="str">
        <f>_xlfn.XLOOKUP(B1703,'Country codes &amp; Data sources'!G:G,'Country codes &amp; Data sources'!H:H,,0)</f>
        <v>Chad</v>
      </c>
      <c r="B1703" s="85" t="s">
        <v>169</v>
      </c>
      <c r="C1703" s="85">
        <v>12754919</v>
      </c>
      <c r="D1703" s="85" t="s">
        <v>339</v>
      </c>
      <c r="E1703" s="86">
        <v>0</v>
      </c>
      <c r="F1703" s="86">
        <v>13216766.5</v>
      </c>
      <c r="G1703" s="86">
        <v>0</v>
      </c>
      <c r="H1703" s="86"/>
      <c r="I1703" s="86">
        <v>0</v>
      </c>
      <c r="J1703" s="86"/>
      <c r="K1703" s="86">
        <v>0</v>
      </c>
      <c r="L1703" s="86"/>
      <c r="M1703" s="86">
        <v>0</v>
      </c>
      <c r="N1703" s="86"/>
      <c r="O1703" s="86">
        <v>0</v>
      </c>
      <c r="P1703" s="86">
        <v>15604210</v>
      </c>
      <c r="Q1703" s="86">
        <v>0</v>
      </c>
      <c r="R1703" s="87">
        <f t="shared" si="452"/>
        <v>0</v>
      </c>
      <c r="T1703" s="87">
        <v>0</v>
      </c>
      <c r="U1703" s="89"/>
      <c r="V1703" s="89">
        <v>0</v>
      </c>
      <c r="W1703" s="90"/>
      <c r="X1703" s="90">
        <v>0</v>
      </c>
      <c r="Y1703" s="90">
        <v>17723314.500000004</v>
      </c>
      <c r="Z1703" s="90">
        <v>0</v>
      </c>
      <c r="AA1703" s="90">
        <v>0</v>
      </c>
      <c r="AB1703" s="89">
        <f t="shared" si="453"/>
        <v>0</v>
      </c>
      <c r="AC1703" s="89">
        <f t="shared" si="454"/>
        <v>0</v>
      </c>
      <c r="AD1703" s="89">
        <f t="shared" si="455"/>
        <v>0</v>
      </c>
      <c r="AE1703" s="90">
        <f t="shared" si="456"/>
        <v>0</v>
      </c>
      <c r="AF1703" s="90" t="str">
        <f t="shared" si="457"/>
        <v/>
      </c>
      <c r="AG1703" s="90">
        <f t="shared" si="458"/>
        <v>0</v>
      </c>
      <c r="AH1703" s="90" t="str">
        <f t="shared" si="459"/>
        <v/>
      </c>
      <c r="AI1703" s="90">
        <f t="shared" si="460"/>
        <v>0</v>
      </c>
      <c r="AJ1703" s="90" t="str">
        <f t="shared" si="461"/>
        <v/>
      </c>
      <c r="AK1703" s="90" t="str">
        <f t="shared" si="462"/>
        <v/>
      </c>
      <c r="AL1703" s="91">
        <f>IF(AK1703="Adjust",(_xlfn.XLOOKUP(A1703,'Adj factor'!A:A,'Adj factor'!I:I,,0)*AI1703),'Master DataSheet'!AI1703)</f>
        <v>0</v>
      </c>
      <c r="AM1703" s="91">
        <f t="shared" si="463"/>
        <v>0</v>
      </c>
      <c r="AN1703" s="92" t="str">
        <f t="shared" si="464"/>
        <v>No change</v>
      </c>
      <c r="AS1703" s="94">
        <f t="shared" si="465"/>
        <v>0</v>
      </c>
      <c r="AT1703" s="94">
        <f t="shared" si="466"/>
        <v>0</v>
      </c>
      <c r="AU1703" s="94">
        <f t="shared" si="467"/>
        <v>0</v>
      </c>
    </row>
    <row r="1704" spans="1:47" x14ac:dyDescent="0.3">
      <c r="A1704" s="85" t="str">
        <f>_xlfn.XLOOKUP(B1704,'Country codes &amp; Data sources'!G:G,'Country codes &amp; Data sources'!H:H,,0)</f>
        <v>Togo</v>
      </c>
      <c r="B1704" s="85" t="s">
        <v>195</v>
      </c>
      <c r="C1704" s="85">
        <v>6926634.5000000009</v>
      </c>
      <c r="D1704" s="85" t="s">
        <v>326</v>
      </c>
      <c r="E1704" s="86">
        <v>0</v>
      </c>
      <c r="F1704" s="86">
        <v>7106229</v>
      </c>
      <c r="G1704" s="86">
        <v>0</v>
      </c>
      <c r="H1704" s="86">
        <v>7288383.0000000009</v>
      </c>
      <c r="I1704" s="86">
        <v>0</v>
      </c>
      <c r="J1704" s="86">
        <v>7473228.5</v>
      </c>
      <c r="K1704" s="86">
        <v>361</v>
      </c>
      <c r="L1704" s="86">
        <v>7661353.5000000019</v>
      </c>
      <c r="M1704" s="86">
        <v>347</v>
      </c>
      <c r="N1704" s="86">
        <v>7852795.0000000037</v>
      </c>
      <c r="O1704" s="86">
        <v>583</v>
      </c>
      <c r="P1704" s="86">
        <v>8046679</v>
      </c>
      <c r="Q1704" s="86">
        <v>611</v>
      </c>
      <c r="R1704" s="87">
        <f t="shared" si="452"/>
        <v>611</v>
      </c>
      <c r="S1704" s="87">
        <v>8243094.5000000047</v>
      </c>
      <c r="T1704" s="87">
        <v>627</v>
      </c>
      <c r="U1704" s="89">
        <v>8442580</v>
      </c>
      <c r="V1704" s="89">
        <v>685</v>
      </c>
      <c r="W1704" s="90">
        <v>8644828.9999999981</v>
      </c>
      <c r="X1704" s="90">
        <v>506</v>
      </c>
      <c r="Y1704" s="90">
        <v>8848698.5000000019</v>
      </c>
      <c r="Z1704" s="90">
        <v>730</v>
      </c>
      <c r="AA1704" s="90">
        <v>584</v>
      </c>
      <c r="AB1704" s="89">
        <f t="shared" si="453"/>
        <v>361</v>
      </c>
      <c r="AC1704" s="89">
        <f t="shared" si="454"/>
        <v>627</v>
      </c>
      <c r="AD1704" s="89">
        <f t="shared" si="455"/>
        <v>730</v>
      </c>
      <c r="AE1704" s="90">
        <f t="shared" si="456"/>
        <v>361</v>
      </c>
      <c r="AF1704" s="90">
        <f t="shared" si="457"/>
        <v>2015</v>
      </c>
      <c r="AG1704" s="90">
        <f t="shared" si="458"/>
        <v>611</v>
      </c>
      <c r="AH1704" s="90">
        <f t="shared" si="459"/>
        <v>2018</v>
      </c>
      <c r="AI1704" s="90">
        <f t="shared" si="460"/>
        <v>730</v>
      </c>
      <c r="AJ1704" s="90">
        <f t="shared" si="461"/>
        <v>2022</v>
      </c>
      <c r="AK1704" s="90" t="str">
        <f t="shared" si="462"/>
        <v/>
      </c>
      <c r="AL1704" s="91">
        <f>IF(AK1704="Adjust",(_xlfn.XLOOKUP(A1704,'Adj factor'!A:A,'Adj factor'!I:I,,0)*AI1704),'Master DataSheet'!AI1704)</f>
        <v>730</v>
      </c>
      <c r="AM1704" s="91">
        <f t="shared" si="463"/>
        <v>730</v>
      </c>
      <c r="AN1704" s="92" t="str">
        <f t="shared" si="464"/>
        <v>Increasing</v>
      </c>
      <c r="AS1704" s="94">
        <f t="shared" si="465"/>
        <v>0.5080050192584562</v>
      </c>
      <c r="AT1704" s="94">
        <f t="shared" si="466"/>
        <v>0.75931946583180465</v>
      </c>
      <c r="AU1704" s="94">
        <f t="shared" si="467"/>
        <v>0.82498008040391457</v>
      </c>
    </row>
    <row r="1705" spans="1:47" x14ac:dyDescent="0.3">
      <c r="A1705" s="85" t="str">
        <f>_xlfn.XLOOKUP(B1705,'Country codes &amp; Data sources'!G:G,'Country codes &amp; Data sources'!H:H,,0)</f>
        <v>Togo</v>
      </c>
      <c r="B1705" s="85" t="s">
        <v>195</v>
      </c>
      <c r="C1705" s="85">
        <v>6926635.5</v>
      </c>
      <c r="D1705" s="85" t="s">
        <v>327</v>
      </c>
      <c r="E1705" s="86">
        <v>0</v>
      </c>
      <c r="F1705" s="86">
        <v>7106229</v>
      </c>
      <c r="G1705" s="86">
        <v>0</v>
      </c>
      <c r="H1705" s="86"/>
      <c r="I1705" s="86">
        <v>0</v>
      </c>
      <c r="J1705" s="86"/>
      <c r="K1705" s="86">
        <v>97</v>
      </c>
      <c r="L1705" s="86"/>
      <c r="M1705" s="86">
        <v>0</v>
      </c>
      <c r="N1705" s="86"/>
      <c r="O1705" s="86">
        <v>230</v>
      </c>
      <c r="P1705" s="86">
        <v>8046679</v>
      </c>
      <c r="Q1705" s="86">
        <v>219</v>
      </c>
      <c r="R1705" s="87">
        <f t="shared" si="452"/>
        <v>230</v>
      </c>
      <c r="T1705" s="87">
        <v>230</v>
      </c>
      <c r="U1705" s="89"/>
      <c r="V1705" s="89">
        <v>354</v>
      </c>
      <c r="W1705" s="90"/>
      <c r="X1705" s="90">
        <v>149</v>
      </c>
      <c r="Y1705" s="90">
        <v>8848698.5000000019</v>
      </c>
      <c r="Z1705" s="90">
        <v>331</v>
      </c>
      <c r="AA1705" s="90">
        <v>230</v>
      </c>
      <c r="AB1705" s="89">
        <f t="shared" si="453"/>
        <v>97</v>
      </c>
      <c r="AC1705" s="89">
        <f t="shared" si="454"/>
        <v>230</v>
      </c>
      <c r="AD1705" s="89">
        <f t="shared" si="455"/>
        <v>354</v>
      </c>
      <c r="AE1705" s="90">
        <f t="shared" si="456"/>
        <v>97</v>
      </c>
      <c r="AF1705" s="90">
        <f t="shared" si="457"/>
        <v>2015</v>
      </c>
      <c r="AG1705" s="90">
        <f t="shared" si="458"/>
        <v>230</v>
      </c>
      <c r="AH1705" s="90">
        <f t="shared" si="459"/>
        <v>2017</v>
      </c>
      <c r="AI1705" s="90">
        <f t="shared" si="460"/>
        <v>331</v>
      </c>
      <c r="AJ1705" s="90">
        <f t="shared" si="461"/>
        <v>2022</v>
      </c>
      <c r="AK1705" s="90" t="str">
        <f t="shared" si="462"/>
        <v/>
      </c>
      <c r="AL1705" s="91">
        <f>IF(AK1705="Adjust",(_xlfn.XLOOKUP(A1705,'Adj factor'!A:A,'Adj factor'!I:I,,0)*AI1705),'Master DataSheet'!AI1705)</f>
        <v>331</v>
      </c>
      <c r="AM1705" s="91">
        <f t="shared" si="463"/>
        <v>331</v>
      </c>
      <c r="AN1705" s="92" t="str">
        <f t="shared" si="464"/>
        <v>Increasing</v>
      </c>
      <c r="AS1705" s="94">
        <f t="shared" si="465"/>
        <v>0.13649996362346331</v>
      </c>
      <c r="AT1705" s="94">
        <f t="shared" si="466"/>
        <v>0.28583220481393629</v>
      </c>
      <c r="AU1705" s="94">
        <f t="shared" si="467"/>
        <v>0.37406631042972016</v>
      </c>
    </row>
    <row r="1706" spans="1:47" x14ac:dyDescent="0.3">
      <c r="A1706" s="85" t="str">
        <f>_xlfn.XLOOKUP(B1706,'Country codes &amp; Data sources'!G:G,'Country codes &amp; Data sources'!H:H,,0)</f>
        <v>Togo</v>
      </c>
      <c r="B1706" s="85" t="s">
        <v>195</v>
      </c>
      <c r="C1706" s="85">
        <v>6926636.5</v>
      </c>
      <c r="D1706" s="85" t="s">
        <v>328</v>
      </c>
      <c r="E1706" s="86">
        <v>0</v>
      </c>
      <c r="F1706" s="86">
        <v>7106229</v>
      </c>
      <c r="G1706" s="86">
        <v>0</v>
      </c>
      <c r="H1706" s="86"/>
      <c r="I1706" s="86">
        <v>0</v>
      </c>
      <c r="J1706" s="86"/>
      <c r="K1706" s="86">
        <v>264</v>
      </c>
      <c r="L1706" s="86"/>
      <c r="M1706" s="86">
        <v>0</v>
      </c>
      <c r="N1706" s="86"/>
      <c r="O1706" s="86">
        <v>353</v>
      </c>
      <c r="P1706" s="86">
        <v>8046679</v>
      </c>
      <c r="Q1706" s="86">
        <v>392</v>
      </c>
      <c r="R1706" s="87">
        <f t="shared" ref="R1706:R1769" si="468">MAX(Q1706,AA1706)</f>
        <v>392</v>
      </c>
      <c r="T1706" s="87">
        <v>397</v>
      </c>
      <c r="U1706" s="89"/>
      <c r="V1706" s="89">
        <v>331</v>
      </c>
      <c r="W1706" s="90"/>
      <c r="X1706" s="90">
        <v>357</v>
      </c>
      <c r="Y1706" s="90">
        <v>8848698.5000000019</v>
      </c>
      <c r="Z1706" s="90">
        <v>399</v>
      </c>
      <c r="AA1706" s="90">
        <v>354</v>
      </c>
      <c r="AB1706" s="89">
        <f t="shared" ref="AB1706:AB1769" si="469">MAX(G1706,E1706,I1706,K1706)</f>
        <v>264</v>
      </c>
      <c r="AC1706" s="89">
        <f t="shared" ref="AC1706:AC1769" si="470">MAX(M1706,O1706,Q1706,T1706)</f>
        <v>397</v>
      </c>
      <c r="AD1706" s="89">
        <f t="shared" ref="AD1706:AD1769" si="471">MAX(V1706,X1706,Z1706)</f>
        <v>399</v>
      </c>
      <c r="AE1706" s="90">
        <f t="shared" ref="AE1706:AE1769" si="472">IF(G1706&gt;0,G1706,IF(E1706&gt;0,E1706,IF(I1706&gt;0,I1706,K1706)))</f>
        <v>264</v>
      </c>
      <c r="AF1706" s="90">
        <f t="shared" ref="AF1706:AF1769" si="473">IF(AE1706&gt;0,_xlfn.XLOOKUP(AE1706,$B1706:$K1706,$B$1:$K$1,,0),"")</f>
        <v>2015</v>
      </c>
      <c r="AG1706" s="90">
        <f t="shared" ref="AG1706:AG1769" si="474">IF(R1706&gt;0,R1706,IF(O1706&gt;0,O1706,T1706))</f>
        <v>392</v>
      </c>
      <c r="AH1706" s="90">
        <f t="shared" ref="AH1706:AH1769" si="475">IF(AG1706&gt;0,_xlfn.XLOOKUP(AG1706,$L1706:$T1706,$L$1:$T$1,,0),"")</f>
        <v>2018</v>
      </c>
      <c r="AI1706" s="90">
        <f t="shared" ref="AI1706:AI1769" si="476">IF((IF(Z1706&gt;0,Z1706,IF(X1706&gt;0,X1706,IF(V1706&gt;0,V1706,T1706))))=0,AG1706,IF(Z1706&gt;0,Z1706,IF(X1706&gt;0,X1706,IF(V1706&gt;0,V1706,T1706))))</f>
        <v>399</v>
      </c>
      <c r="AJ1706" s="90">
        <f t="shared" ref="AJ1706:AJ1769" si="477">IFERROR(IF(AI1706&gt;0,_xlfn.XLOOKUP(AI1706,$V1706:$Z1706,$V$1:$Z$1,,0),""),AH1706)</f>
        <v>2022</v>
      </c>
      <c r="AK1706" s="90" t="str">
        <f t="shared" ref="AK1706:AK1769" si="478">IF(AI1706&lt;AG1706,"Adjust","")</f>
        <v/>
      </c>
      <c r="AL1706" s="91">
        <f>IF(AK1706="Adjust",(_xlfn.XLOOKUP(A1706,'Adj factor'!A:A,'Adj factor'!I:I,,0)*AI1706),'Master DataSheet'!AI1706)</f>
        <v>399</v>
      </c>
      <c r="AM1706" s="91">
        <f t="shared" ref="AM1706:AM1769" si="479">IF(AL1706&lt;AG1706,AG1706,AL1706)</f>
        <v>399</v>
      </c>
      <c r="AN1706" s="92" t="str">
        <f t="shared" ref="AN1706:AN1769" si="480">IF(AL1706&gt;AG1706,"Increasing",IF(AL1706&lt;AG1706,"Decreasing","No change"))</f>
        <v>Increasing</v>
      </c>
      <c r="AS1706" s="94">
        <f t="shared" ref="AS1706:AS1769" si="481">(AE1706*10000)/F1706</f>
        <v>0.37150505563499292</v>
      </c>
      <c r="AT1706" s="94">
        <f t="shared" ref="AT1706:AT1769" si="482">(AG1706*10000)/P1706</f>
        <v>0.48715749690027399</v>
      </c>
      <c r="AU1706" s="94">
        <f t="shared" ref="AU1706:AU1769" si="483">(AM1706*10000)/Y1706</f>
        <v>0.45091376997419441</v>
      </c>
    </row>
    <row r="1707" spans="1:47" x14ac:dyDescent="0.3">
      <c r="A1707" s="85" t="str">
        <f>_xlfn.XLOOKUP(B1707,'Country codes &amp; Data sources'!G:G,'Country codes &amp; Data sources'!H:H,,0)</f>
        <v>Togo</v>
      </c>
      <c r="B1707" s="85" t="s">
        <v>195</v>
      </c>
      <c r="C1707" s="85">
        <v>6926637.5</v>
      </c>
      <c r="D1707" s="85" t="s">
        <v>329</v>
      </c>
      <c r="E1707" s="86">
        <v>0</v>
      </c>
      <c r="F1707" s="86">
        <v>7106229</v>
      </c>
      <c r="G1707" s="86">
        <v>0</v>
      </c>
      <c r="H1707" s="86"/>
      <c r="I1707" s="86">
        <v>0</v>
      </c>
      <c r="J1707" s="86"/>
      <c r="K1707" s="86">
        <v>1341</v>
      </c>
      <c r="L1707" s="86"/>
      <c r="M1707" s="86">
        <v>1419</v>
      </c>
      <c r="N1707" s="86"/>
      <c r="O1707" s="86">
        <v>1966</v>
      </c>
      <c r="P1707" s="86">
        <v>8046679</v>
      </c>
      <c r="Q1707" s="86">
        <v>1951</v>
      </c>
      <c r="R1707" s="87">
        <f t="shared" si="468"/>
        <v>1966</v>
      </c>
      <c r="T1707" s="87">
        <v>2134</v>
      </c>
      <c r="U1707" s="89"/>
      <c r="V1707" s="89">
        <v>2455</v>
      </c>
      <c r="W1707" s="90"/>
      <c r="X1707" s="90">
        <v>1946</v>
      </c>
      <c r="Y1707" s="90">
        <v>8848698.5000000019</v>
      </c>
      <c r="Z1707" s="90">
        <v>2630</v>
      </c>
      <c r="AA1707" s="90">
        <v>1966</v>
      </c>
      <c r="AB1707" s="89">
        <f t="shared" si="469"/>
        <v>1341</v>
      </c>
      <c r="AC1707" s="89">
        <f t="shared" si="470"/>
        <v>2134</v>
      </c>
      <c r="AD1707" s="89">
        <f t="shared" si="471"/>
        <v>2630</v>
      </c>
      <c r="AE1707" s="90">
        <f t="shared" si="472"/>
        <v>1341</v>
      </c>
      <c r="AF1707" s="90">
        <f t="shared" si="473"/>
        <v>2015</v>
      </c>
      <c r="AG1707" s="90">
        <f t="shared" si="474"/>
        <v>1966</v>
      </c>
      <c r="AH1707" s="90">
        <f t="shared" si="475"/>
        <v>2017</v>
      </c>
      <c r="AI1707" s="90">
        <f t="shared" si="476"/>
        <v>2630</v>
      </c>
      <c r="AJ1707" s="90">
        <f t="shared" si="477"/>
        <v>2022</v>
      </c>
      <c r="AK1707" s="90" t="str">
        <f t="shared" si="478"/>
        <v/>
      </c>
      <c r="AL1707" s="91">
        <f>IF(AK1707="Adjust",(_xlfn.XLOOKUP(A1707,'Adj factor'!A:A,'Adj factor'!I:I,,0)*AI1707),'Master DataSheet'!AI1707)</f>
        <v>2630</v>
      </c>
      <c r="AM1707" s="91">
        <f t="shared" si="479"/>
        <v>2630</v>
      </c>
      <c r="AN1707" s="92" t="str">
        <f t="shared" si="480"/>
        <v>Increasing</v>
      </c>
      <c r="AS1707" s="94">
        <f t="shared" si="481"/>
        <v>1.8870768166913845</v>
      </c>
      <c r="AT1707" s="94">
        <f t="shared" si="482"/>
        <v>2.443243976800864</v>
      </c>
      <c r="AU1707" s="94">
        <f t="shared" si="483"/>
        <v>2.9721885088524593</v>
      </c>
    </row>
    <row r="1708" spans="1:47" x14ac:dyDescent="0.3">
      <c r="A1708" s="85" t="str">
        <f>_xlfn.XLOOKUP(B1708,'Country codes &amp; Data sources'!G:G,'Country codes &amp; Data sources'!H:H,,0)</f>
        <v>Togo</v>
      </c>
      <c r="B1708" s="85" t="s">
        <v>195</v>
      </c>
      <c r="C1708" s="85">
        <v>6926638.5</v>
      </c>
      <c r="D1708" s="85" t="s">
        <v>330</v>
      </c>
      <c r="E1708" s="86">
        <v>0</v>
      </c>
      <c r="F1708" s="86">
        <v>7106229</v>
      </c>
      <c r="G1708" s="86">
        <v>0</v>
      </c>
      <c r="H1708" s="86"/>
      <c r="I1708" s="86">
        <v>0</v>
      </c>
      <c r="J1708" s="86"/>
      <c r="K1708" s="86">
        <v>0</v>
      </c>
      <c r="L1708" s="86"/>
      <c r="M1708" s="86">
        <v>920</v>
      </c>
      <c r="N1708" s="86"/>
      <c r="O1708" s="86">
        <v>1204</v>
      </c>
      <c r="P1708" s="86">
        <v>8046679</v>
      </c>
      <c r="Q1708" s="86">
        <v>1026</v>
      </c>
      <c r="R1708" s="87">
        <f t="shared" si="468"/>
        <v>1204</v>
      </c>
      <c r="T1708" s="87">
        <v>1235</v>
      </c>
      <c r="U1708" s="89"/>
      <c r="V1708" s="89">
        <v>1553</v>
      </c>
      <c r="W1708" s="90"/>
      <c r="X1708" s="90">
        <v>1187</v>
      </c>
      <c r="Y1708" s="90">
        <v>8848698.5000000019</v>
      </c>
      <c r="Z1708" s="90">
        <v>1699</v>
      </c>
      <c r="AA1708" s="90">
        <v>1204</v>
      </c>
      <c r="AB1708" s="89">
        <f t="shared" si="469"/>
        <v>0</v>
      </c>
      <c r="AC1708" s="89">
        <f t="shared" si="470"/>
        <v>1235</v>
      </c>
      <c r="AD1708" s="89">
        <f t="shared" si="471"/>
        <v>1699</v>
      </c>
      <c r="AE1708" s="90">
        <f t="shared" si="472"/>
        <v>0</v>
      </c>
      <c r="AF1708" s="90" t="str">
        <f t="shared" si="473"/>
        <v/>
      </c>
      <c r="AG1708" s="90">
        <f t="shared" si="474"/>
        <v>1204</v>
      </c>
      <c r="AH1708" s="90">
        <f t="shared" si="475"/>
        <v>2017</v>
      </c>
      <c r="AI1708" s="90">
        <f t="shared" si="476"/>
        <v>1699</v>
      </c>
      <c r="AJ1708" s="90">
        <f t="shared" si="477"/>
        <v>2022</v>
      </c>
      <c r="AK1708" s="90" t="str">
        <f t="shared" si="478"/>
        <v/>
      </c>
      <c r="AL1708" s="91">
        <f>IF(AK1708="Adjust",(_xlfn.XLOOKUP(A1708,'Adj factor'!A:A,'Adj factor'!I:I,,0)*AI1708),'Master DataSheet'!AI1708)</f>
        <v>1699</v>
      </c>
      <c r="AM1708" s="91">
        <f t="shared" si="479"/>
        <v>1699</v>
      </c>
      <c r="AN1708" s="92" t="str">
        <f t="shared" si="480"/>
        <v>Increasing</v>
      </c>
      <c r="AS1708" s="94">
        <f t="shared" si="481"/>
        <v>0</v>
      </c>
      <c r="AT1708" s="94">
        <f t="shared" si="482"/>
        <v>1.4962694547651274</v>
      </c>
      <c r="AU1708" s="94">
        <f t="shared" si="483"/>
        <v>1.9200563789126726</v>
      </c>
    </row>
    <row r="1709" spans="1:47" x14ac:dyDescent="0.3">
      <c r="A1709" s="85" t="str">
        <f>_xlfn.XLOOKUP(B1709,'Country codes &amp; Data sources'!G:G,'Country codes &amp; Data sources'!H:H,,0)</f>
        <v>Togo</v>
      </c>
      <c r="B1709" s="85" t="s">
        <v>195</v>
      </c>
      <c r="C1709" s="85">
        <v>6926639.5</v>
      </c>
      <c r="D1709" s="85" t="s">
        <v>331</v>
      </c>
      <c r="E1709" s="86">
        <v>0</v>
      </c>
      <c r="F1709" s="86">
        <v>7106229</v>
      </c>
      <c r="G1709" s="86">
        <v>0</v>
      </c>
      <c r="H1709" s="86"/>
      <c r="I1709" s="86">
        <v>0</v>
      </c>
      <c r="J1709" s="86"/>
      <c r="K1709" s="86">
        <v>0</v>
      </c>
      <c r="L1709" s="86"/>
      <c r="M1709" s="86">
        <v>499</v>
      </c>
      <c r="N1709" s="86"/>
      <c r="O1709" s="86">
        <v>762</v>
      </c>
      <c r="P1709" s="86">
        <v>8046679</v>
      </c>
      <c r="Q1709" s="86">
        <v>925</v>
      </c>
      <c r="R1709" s="87">
        <f t="shared" si="468"/>
        <v>925</v>
      </c>
      <c r="T1709" s="87">
        <v>899</v>
      </c>
      <c r="U1709" s="89"/>
      <c r="V1709" s="89">
        <v>902</v>
      </c>
      <c r="W1709" s="90"/>
      <c r="X1709" s="90">
        <v>759</v>
      </c>
      <c r="Y1709" s="90">
        <v>8848698.5000000019</v>
      </c>
      <c r="Z1709" s="90">
        <v>931</v>
      </c>
      <c r="AA1709" s="90">
        <v>762</v>
      </c>
      <c r="AB1709" s="89">
        <f t="shared" si="469"/>
        <v>0</v>
      </c>
      <c r="AC1709" s="89">
        <f t="shared" si="470"/>
        <v>925</v>
      </c>
      <c r="AD1709" s="89">
        <f t="shared" si="471"/>
        <v>931</v>
      </c>
      <c r="AE1709" s="90">
        <f t="shared" si="472"/>
        <v>0</v>
      </c>
      <c r="AF1709" s="90" t="str">
        <f t="shared" si="473"/>
        <v/>
      </c>
      <c r="AG1709" s="90">
        <f t="shared" si="474"/>
        <v>925</v>
      </c>
      <c r="AH1709" s="90">
        <f t="shared" si="475"/>
        <v>2018</v>
      </c>
      <c r="AI1709" s="90">
        <f t="shared" si="476"/>
        <v>931</v>
      </c>
      <c r="AJ1709" s="90">
        <f t="shared" si="477"/>
        <v>2022</v>
      </c>
      <c r="AK1709" s="90" t="str">
        <f t="shared" si="478"/>
        <v/>
      </c>
      <c r="AL1709" s="91">
        <f>IF(AK1709="Adjust",(_xlfn.XLOOKUP(A1709,'Adj factor'!A:A,'Adj factor'!I:I,,0)*AI1709),'Master DataSheet'!AI1709)</f>
        <v>931</v>
      </c>
      <c r="AM1709" s="91">
        <f t="shared" si="479"/>
        <v>931</v>
      </c>
      <c r="AN1709" s="92" t="str">
        <f t="shared" si="480"/>
        <v>Increasing</v>
      </c>
      <c r="AS1709" s="94">
        <f t="shared" si="481"/>
        <v>0</v>
      </c>
      <c r="AT1709" s="94">
        <f t="shared" si="482"/>
        <v>1.1495425628386569</v>
      </c>
      <c r="AU1709" s="94">
        <f t="shared" si="483"/>
        <v>1.052132129939787</v>
      </c>
    </row>
    <row r="1710" spans="1:47" x14ac:dyDescent="0.3">
      <c r="A1710" s="85" t="str">
        <f>_xlfn.XLOOKUP(B1710,'Country codes &amp; Data sources'!G:G,'Country codes &amp; Data sources'!H:H,,0)</f>
        <v>Togo</v>
      </c>
      <c r="B1710" s="85" t="s">
        <v>195</v>
      </c>
      <c r="C1710" s="85">
        <v>6926640.5</v>
      </c>
      <c r="D1710" s="85" t="s">
        <v>332</v>
      </c>
      <c r="E1710" s="86">
        <v>0</v>
      </c>
      <c r="F1710" s="86">
        <v>7106229</v>
      </c>
      <c r="G1710" s="86">
        <v>795</v>
      </c>
      <c r="H1710" s="86"/>
      <c r="I1710" s="86">
        <v>0</v>
      </c>
      <c r="J1710" s="86"/>
      <c r="K1710" s="86">
        <v>869</v>
      </c>
      <c r="L1710" s="86"/>
      <c r="M1710" s="86">
        <v>961</v>
      </c>
      <c r="N1710" s="86"/>
      <c r="O1710" s="86">
        <v>1268</v>
      </c>
      <c r="P1710" s="86">
        <v>8046679</v>
      </c>
      <c r="Q1710" s="86">
        <v>1285</v>
      </c>
      <c r="R1710" s="87">
        <f t="shared" si="468"/>
        <v>1285</v>
      </c>
      <c r="T1710" s="87">
        <v>1619</v>
      </c>
      <c r="U1710" s="89"/>
      <c r="V1710" s="89">
        <v>1743</v>
      </c>
      <c r="W1710" s="90"/>
      <c r="X1710" s="90">
        <v>1482</v>
      </c>
      <c r="Y1710" s="90">
        <v>8848698.5000000019</v>
      </c>
      <c r="Z1710" s="90">
        <v>1864</v>
      </c>
      <c r="AA1710" s="90">
        <v>1268</v>
      </c>
      <c r="AB1710" s="89">
        <f t="shared" si="469"/>
        <v>869</v>
      </c>
      <c r="AC1710" s="89">
        <f t="shared" si="470"/>
        <v>1619</v>
      </c>
      <c r="AD1710" s="89">
        <f t="shared" si="471"/>
        <v>1864</v>
      </c>
      <c r="AE1710" s="90">
        <f t="shared" si="472"/>
        <v>795</v>
      </c>
      <c r="AF1710" s="90">
        <f t="shared" si="473"/>
        <v>2013</v>
      </c>
      <c r="AG1710" s="90">
        <f t="shared" si="474"/>
        <v>1285</v>
      </c>
      <c r="AH1710" s="90">
        <f t="shared" si="475"/>
        <v>2018</v>
      </c>
      <c r="AI1710" s="90">
        <f t="shared" si="476"/>
        <v>1864</v>
      </c>
      <c r="AJ1710" s="90">
        <f t="shared" si="477"/>
        <v>2022</v>
      </c>
      <c r="AK1710" s="90" t="str">
        <f t="shared" si="478"/>
        <v/>
      </c>
      <c r="AL1710" s="91">
        <f>IF(AK1710="Adjust",(_xlfn.XLOOKUP(A1710,'Adj factor'!A:A,'Adj factor'!I:I,,0)*AI1710),'Master DataSheet'!AI1710)</f>
        <v>1864</v>
      </c>
      <c r="AM1710" s="91">
        <f t="shared" si="479"/>
        <v>1864</v>
      </c>
      <c r="AN1710" s="92" t="str">
        <f t="shared" si="480"/>
        <v>Increasing</v>
      </c>
      <c r="AS1710" s="94">
        <f t="shared" si="481"/>
        <v>1.1187368152644672</v>
      </c>
      <c r="AT1710" s="94">
        <f t="shared" si="482"/>
        <v>1.5969321008082962</v>
      </c>
      <c r="AU1710" s="94">
        <f t="shared" si="483"/>
        <v>2.1065244792779407</v>
      </c>
    </row>
    <row r="1711" spans="1:47" x14ac:dyDescent="0.3">
      <c r="A1711" s="85" t="str">
        <f>_xlfn.XLOOKUP(B1711,'Country codes &amp; Data sources'!G:G,'Country codes &amp; Data sources'!H:H,,0)</f>
        <v>Togo</v>
      </c>
      <c r="B1711" s="85" t="s">
        <v>195</v>
      </c>
      <c r="C1711" s="85">
        <v>6926641.5</v>
      </c>
      <c r="D1711" s="85" t="s">
        <v>333</v>
      </c>
      <c r="E1711" s="86">
        <v>0</v>
      </c>
      <c r="F1711" s="86">
        <v>7106229</v>
      </c>
      <c r="G1711" s="86">
        <v>396</v>
      </c>
      <c r="H1711" s="86"/>
      <c r="I1711" s="86">
        <v>0</v>
      </c>
      <c r="J1711" s="86"/>
      <c r="K1711" s="86">
        <v>0</v>
      </c>
      <c r="L1711" s="86"/>
      <c r="M1711" s="86">
        <v>459</v>
      </c>
      <c r="N1711" s="86"/>
      <c r="O1711" s="86">
        <v>654</v>
      </c>
      <c r="P1711" s="86">
        <v>8046679</v>
      </c>
      <c r="Q1711" s="86">
        <v>655</v>
      </c>
      <c r="R1711" s="87">
        <f t="shared" si="468"/>
        <v>655</v>
      </c>
      <c r="T1711" s="87">
        <v>785</v>
      </c>
      <c r="U1711" s="89"/>
      <c r="V1711" s="89">
        <v>934</v>
      </c>
      <c r="W1711" s="90"/>
      <c r="X1711" s="90">
        <v>773</v>
      </c>
      <c r="Y1711" s="90">
        <v>8848698.5000000019</v>
      </c>
      <c r="Z1711" s="90">
        <v>1043</v>
      </c>
      <c r="AA1711" s="90">
        <v>654</v>
      </c>
      <c r="AB1711" s="89">
        <f t="shared" si="469"/>
        <v>396</v>
      </c>
      <c r="AC1711" s="89">
        <f t="shared" si="470"/>
        <v>785</v>
      </c>
      <c r="AD1711" s="89">
        <f t="shared" si="471"/>
        <v>1043</v>
      </c>
      <c r="AE1711" s="90">
        <f t="shared" si="472"/>
        <v>396</v>
      </c>
      <c r="AF1711" s="90">
        <f t="shared" si="473"/>
        <v>2013</v>
      </c>
      <c r="AG1711" s="90">
        <f t="shared" si="474"/>
        <v>655</v>
      </c>
      <c r="AH1711" s="90">
        <f t="shared" si="475"/>
        <v>2018</v>
      </c>
      <c r="AI1711" s="90">
        <f t="shared" si="476"/>
        <v>1043</v>
      </c>
      <c r="AJ1711" s="90">
        <f t="shared" si="477"/>
        <v>2022</v>
      </c>
      <c r="AK1711" s="90" t="str">
        <f t="shared" si="478"/>
        <v/>
      </c>
      <c r="AL1711" s="91">
        <f>IF(AK1711="Adjust",(_xlfn.XLOOKUP(A1711,'Adj factor'!A:A,'Adj factor'!I:I,,0)*AI1711),'Master DataSheet'!AI1711)</f>
        <v>1043</v>
      </c>
      <c r="AM1711" s="91">
        <f t="shared" si="479"/>
        <v>1043</v>
      </c>
      <c r="AN1711" s="92" t="str">
        <f t="shared" si="480"/>
        <v>Increasing</v>
      </c>
      <c r="AS1711" s="94">
        <f t="shared" si="481"/>
        <v>0.55725758345248932</v>
      </c>
      <c r="AT1711" s="94">
        <f t="shared" si="482"/>
        <v>0.81400040936142726</v>
      </c>
      <c r="AU1711" s="94">
        <f t="shared" si="483"/>
        <v>1.1787044162483327</v>
      </c>
    </row>
    <row r="1712" spans="1:47" x14ac:dyDescent="0.3">
      <c r="A1712" s="85" t="str">
        <f>_xlfn.XLOOKUP(B1712,'Country codes &amp; Data sources'!G:G,'Country codes &amp; Data sources'!H:H,,0)</f>
        <v>Togo</v>
      </c>
      <c r="B1712" s="85" t="s">
        <v>195</v>
      </c>
      <c r="C1712" s="85">
        <v>6926642.5</v>
      </c>
      <c r="D1712" s="85" t="s">
        <v>334</v>
      </c>
      <c r="E1712" s="86">
        <v>0</v>
      </c>
      <c r="F1712" s="86">
        <v>7106229</v>
      </c>
      <c r="G1712" s="86">
        <v>399</v>
      </c>
      <c r="H1712" s="86"/>
      <c r="I1712" s="86">
        <v>0</v>
      </c>
      <c r="J1712" s="86"/>
      <c r="K1712" s="86">
        <v>0</v>
      </c>
      <c r="L1712" s="86"/>
      <c r="M1712" s="86">
        <v>502</v>
      </c>
      <c r="N1712" s="86"/>
      <c r="O1712" s="86">
        <v>614</v>
      </c>
      <c r="P1712" s="86">
        <v>8046679</v>
      </c>
      <c r="Q1712" s="86">
        <v>630</v>
      </c>
      <c r="R1712" s="87">
        <f t="shared" si="468"/>
        <v>630</v>
      </c>
      <c r="T1712" s="87">
        <v>834</v>
      </c>
      <c r="U1712" s="89"/>
      <c r="V1712" s="89">
        <v>809</v>
      </c>
      <c r="W1712" s="90"/>
      <c r="X1712" s="90">
        <v>709</v>
      </c>
      <c r="Y1712" s="90">
        <v>8848698.5000000019</v>
      </c>
      <c r="Z1712" s="90">
        <v>821</v>
      </c>
      <c r="AA1712" s="90">
        <v>614</v>
      </c>
      <c r="AB1712" s="89">
        <f t="shared" si="469"/>
        <v>399</v>
      </c>
      <c r="AC1712" s="89">
        <f t="shared" si="470"/>
        <v>834</v>
      </c>
      <c r="AD1712" s="89">
        <f t="shared" si="471"/>
        <v>821</v>
      </c>
      <c r="AE1712" s="90">
        <f t="shared" si="472"/>
        <v>399</v>
      </c>
      <c r="AF1712" s="90">
        <f t="shared" si="473"/>
        <v>2013</v>
      </c>
      <c r="AG1712" s="90">
        <f t="shared" si="474"/>
        <v>630</v>
      </c>
      <c r="AH1712" s="90">
        <f t="shared" si="475"/>
        <v>2018</v>
      </c>
      <c r="AI1712" s="90">
        <f t="shared" si="476"/>
        <v>821</v>
      </c>
      <c r="AJ1712" s="90">
        <f t="shared" si="477"/>
        <v>2022</v>
      </c>
      <c r="AK1712" s="90" t="str">
        <f t="shared" si="478"/>
        <v/>
      </c>
      <c r="AL1712" s="91">
        <f>IF(AK1712="Adjust",(_xlfn.XLOOKUP(A1712,'Adj factor'!A:A,'Adj factor'!I:I,,0)*AI1712),'Master DataSheet'!AI1712)</f>
        <v>821</v>
      </c>
      <c r="AM1712" s="91">
        <f t="shared" si="479"/>
        <v>821</v>
      </c>
      <c r="AN1712" s="92" t="str">
        <f t="shared" si="480"/>
        <v>Increasing</v>
      </c>
      <c r="AS1712" s="94">
        <f t="shared" si="481"/>
        <v>0.5614792318119779</v>
      </c>
      <c r="AT1712" s="94">
        <f t="shared" si="482"/>
        <v>0.78293169144686892</v>
      </c>
      <c r="AU1712" s="94">
        <f t="shared" si="483"/>
        <v>0.92782006302960807</v>
      </c>
    </row>
    <row r="1713" spans="1:47" x14ac:dyDescent="0.3">
      <c r="A1713" s="85" t="str">
        <f>_xlfn.XLOOKUP(B1713,'Country codes &amp; Data sources'!G:G,'Country codes &amp; Data sources'!H:H,,0)</f>
        <v>Togo</v>
      </c>
      <c r="B1713" s="85" t="s">
        <v>195</v>
      </c>
      <c r="C1713" s="85">
        <v>6926643.5</v>
      </c>
      <c r="D1713" s="85" t="s">
        <v>335</v>
      </c>
      <c r="E1713" s="86">
        <v>0</v>
      </c>
      <c r="F1713" s="86">
        <v>7106229</v>
      </c>
      <c r="G1713" s="86">
        <v>0</v>
      </c>
      <c r="H1713" s="86"/>
      <c r="I1713" s="86">
        <v>0</v>
      </c>
      <c r="J1713" s="86"/>
      <c r="K1713" s="86">
        <v>17</v>
      </c>
      <c r="L1713" s="86"/>
      <c r="M1713" s="86">
        <v>13</v>
      </c>
      <c r="N1713" s="86"/>
      <c r="O1713" s="86">
        <v>218</v>
      </c>
      <c r="P1713" s="86">
        <v>8046679</v>
      </c>
      <c r="Q1713" s="86">
        <v>213</v>
      </c>
      <c r="R1713" s="87">
        <f t="shared" si="468"/>
        <v>226</v>
      </c>
      <c r="T1713" s="87">
        <v>222</v>
      </c>
      <c r="U1713" s="89"/>
      <c r="V1713" s="89">
        <v>232</v>
      </c>
      <c r="W1713" s="90"/>
      <c r="X1713" s="90">
        <v>21</v>
      </c>
      <c r="Y1713" s="90">
        <v>8848698.5000000019</v>
      </c>
      <c r="Z1713" s="90">
        <v>255</v>
      </c>
      <c r="AA1713" s="90">
        <v>226</v>
      </c>
      <c r="AB1713" s="89">
        <f t="shared" si="469"/>
        <v>17</v>
      </c>
      <c r="AC1713" s="89">
        <f t="shared" si="470"/>
        <v>222</v>
      </c>
      <c r="AD1713" s="89">
        <f t="shared" si="471"/>
        <v>255</v>
      </c>
      <c r="AE1713" s="90">
        <f t="shared" si="472"/>
        <v>17</v>
      </c>
      <c r="AF1713" s="90">
        <f t="shared" si="473"/>
        <v>2015</v>
      </c>
      <c r="AG1713" s="90">
        <f t="shared" si="474"/>
        <v>226</v>
      </c>
      <c r="AH1713" s="90" t="str">
        <f t="shared" si="475"/>
        <v>2018 (triag)</v>
      </c>
      <c r="AI1713" s="90">
        <f t="shared" si="476"/>
        <v>255</v>
      </c>
      <c r="AJ1713" s="90">
        <f t="shared" si="477"/>
        <v>2022</v>
      </c>
      <c r="AK1713" s="90" t="str">
        <f t="shared" si="478"/>
        <v/>
      </c>
      <c r="AL1713" s="91">
        <f>IF(AK1713="Adjust",(_xlfn.XLOOKUP(A1713,'Adj factor'!A:A,'Adj factor'!I:I,,0)*AI1713),'Master DataSheet'!AI1713)</f>
        <v>255</v>
      </c>
      <c r="AM1713" s="91">
        <f t="shared" si="479"/>
        <v>255</v>
      </c>
      <c r="AN1713" s="92" t="str">
        <f t="shared" si="480"/>
        <v>Increasing</v>
      </c>
      <c r="AS1713" s="94">
        <f t="shared" si="481"/>
        <v>2.3922674037101816E-2</v>
      </c>
      <c r="AT1713" s="94">
        <f t="shared" si="482"/>
        <v>0.28086120994760694</v>
      </c>
      <c r="AU1713" s="94">
        <f t="shared" si="483"/>
        <v>0.28817797329177841</v>
      </c>
    </row>
    <row r="1714" spans="1:47" x14ac:dyDescent="0.3">
      <c r="A1714" s="85" t="str">
        <f>_xlfn.XLOOKUP(B1714,'Country codes &amp; Data sources'!G:G,'Country codes &amp; Data sources'!H:H,,0)</f>
        <v>Togo</v>
      </c>
      <c r="B1714" s="85" t="s">
        <v>195</v>
      </c>
      <c r="C1714" s="85">
        <v>6926644.5</v>
      </c>
      <c r="D1714" s="85" t="s">
        <v>336</v>
      </c>
      <c r="E1714" s="86">
        <v>0</v>
      </c>
      <c r="F1714" s="86">
        <v>7106229</v>
      </c>
      <c r="G1714" s="86">
        <v>0</v>
      </c>
      <c r="H1714" s="86"/>
      <c r="I1714" s="86">
        <v>0</v>
      </c>
      <c r="J1714" s="86"/>
      <c r="K1714" s="86">
        <v>0</v>
      </c>
      <c r="L1714" s="86"/>
      <c r="M1714" s="86">
        <v>1</v>
      </c>
      <c r="N1714" s="86"/>
      <c r="O1714" s="86">
        <v>3</v>
      </c>
      <c r="P1714" s="86">
        <v>8046679</v>
      </c>
      <c r="Q1714" s="86">
        <v>3</v>
      </c>
      <c r="R1714" s="87">
        <f t="shared" si="468"/>
        <v>3</v>
      </c>
      <c r="T1714" s="87">
        <v>32</v>
      </c>
      <c r="U1714" s="89"/>
      <c r="V1714" s="89">
        <v>49</v>
      </c>
      <c r="W1714" s="90"/>
      <c r="X1714" s="90">
        <v>44</v>
      </c>
      <c r="Y1714" s="90">
        <v>8848698.5000000019</v>
      </c>
      <c r="Z1714" s="90">
        <v>73</v>
      </c>
      <c r="AA1714" s="90">
        <v>0</v>
      </c>
      <c r="AB1714" s="89">
        <f t="shared" si="469"/>
        <v>0</v>
      </c>
      <c r="AC1714" s="89">
        <f t="shared" si="470"/>
        <v>32</v>
      </c>
      <c r="AD1714" s="89">
        <f t="shared" si="471"/>
        <v>73</v>
      </c>
      <c r="AE1714" s="90">
        <f t="shared" si="472"/>
        <v>0</v>
      </c>
      <c r="AF1714" s="90" t="str">
        <f t="shared" si="473"/>
        <v/>
      </c>
      <c r="AG1714" s="90">
        <f t="shared" si="474"/>
        <v>3</v>
      </c>
      <c r="AH1714" s="90">
        <f t="shared" si="475"/>
        <v>2017</v>
      </c>
      <c r="AI1714" s="90">
        <f t="shared" si="476"/>
        <v>73</v>
      </c>
      <c r="AJ1714" s="90">
        <f t="shared" si="477"/>
        <v>2022</v>
      </c>
      <c r="AK1714" s="90" t="str">
        <f t="shared" si="478"/>
        <v/>
      </c>
      <c r="AL1714" s="91">
        <f>IF(AK1714="Adjust",(_xlfn.XLOOKUP(A1714,'Adj factor'!A:A,'Adj factor'!I:I,,0)*AI1714),'Master DataSheet'!AI1714)</f>
        <v>73</v>
      </c>
      <c r="AM1714" s="91">
        <f t="shared" si="479"/>
        <v>73</v>
      </c>
      <c r="AN1714" s="92" t="str">
        <f t="shared" si="480"/>
        <v>Increasing</v>
      </c>
      <c r="AS1714" s="94">
        <f t="shared" si="481"/>
        <v>0</v>
      </c>
      <c r="AT1714" s="94">
        <f t="shared" si="482"/>
        <v>3.7282461497469949E-3</v>
      </c>
      <c r="AU1714" s="94">
        <f t="shared" si="483"/>
        <v>8.2498008040391466E-2</v>
      </c>
    </row>
    <row r="1715" spans="1:47" x14ac:dyDescent="0.3">
      <c r="A1715" s="85" t="str">
        <f>_xlfn.XLOOKUP(B1715,'Country codes &amp; Data sources'!G:G,'Country codes &amp; Data sources'!H:H,,0)</f>
        <v>Togo</v>
      </c>
      <c r="B1715" s="85" t="s">
        <v>195</v>
      </c>
      <c r="C1715" s="85">
        <v>6926645.5</v>
      </c>
      <c r="D1715" s="85" t="s">
        <v>337</v>
      </c>
      <c r="E1715" s="86">
        <v>0</v>
      </c>
      <c r="F1715" s="86">
        <v>7106229</v>
      </c>
      <c r="G1715" s="86">
        <v>0</v>
      </c>
      <c r="H1715" s="86"/>
      <c r="I1715" s="86">
        <v>0</v>
      </c>
      <c r="J1715" s="86"/>
      <c r="K1715" s="86">
        <v>18</v>
      </c>
      <c r="L1715" s="86"/>
      <c r="M1715" s="86">
        <v>0</v>
      </c>
      <c r="N1715" s="86"/>
      <c r="O1715" s="86">
        <v>57</v>
      </c>
      <c r="P1715" s="86">
        <v>8046679</v>
      </c>
      <c r="Q1715" s="86">
        <v>21</v>
      </c>
      <c r="R1715" s="87">
        <f t="shared" si="468"/>
        <v>21</v>
      </c>
      <c r="T1715" s="87">
        <v>0</v>
      </c>
      <c r="U1715" s="89"/>
      <c r="V1715" s="89">
        <v>0</v>
      </c>
      <c r="W1715" s="90"/>
      <c r="X1715" s="90">
        <v>13</v>
      </c>
      <c r="Y1715" s="90">
        <v>8848698.5000000019</v>
      </c>
      <c r="Z1715" s="90">
        <v>18</v>
      </c>
      <c r="AA1715" s="90">
        <v>21</v>
      </c>
      <c r="AB1715" s="89">
        <f t="shared" si="469"/>
        <v>18</v>
      </c>
      <c r="AC1715" s="89">
        <f t="shared" si="470"/>
        <v>57</v>
      </c>
      <c r="AD1715" s="89">
        <f t="shared" si="471"/>
        <v>18</v>
      </c>
      <c r="AE1715" s="90">
        <f t="shared" si="472"/>
        <v>18</v>
      </c>
      <c r="AF1715" s="90">
        <f t="shared" si="473"/>
        <v>2015</v>
      </c>
      <c r="AG1715" s="90">
        <f t="shared" si="474"/>
        <v>21</v>
      </c>
      <c r="AH1715" s="90">
        <f t="shared" si="475"/>
        <v>2018</v>
      </c>
      <c r="AI1715" s="90">
        <f t="shared" si="476"/>
        <v>18</v>
      </c>
      <c r="AJ1715" s="90">
        <f t="shared" si="477"/>
        <v>2022</v>
      </c>
      <c r="AK1715" s="90" t="str">
        <f t="shared" si="478"/>
        <v>Adjust</v>
      </c>
      <c r="AL1715" s="91">
        <f>IF(AK1715="Adjust",(_xlfn.XLOOKUP(A1715,'Adj factor'!A:A,'Adj factor'!I:I,,0)*AI1715),'Master DataSheet'!AI1715)</f>
        <v>21.759416355615883</v>
      </c>
      <c r="AM1715" s="91">
        <f t="shared" si="479"/>
        <v>21.759416355615883</v>
      </c>
      <c r="AN1715" s="92" t="str">
        <f t="shared" si="480"/>
        <v>Increasing</v>
      </c>
      <c r="AS1715" s="94">
        <f t="shared" si="481"/>
        <v>2.5329890156931333E-2</v>
      </c>
      <c r="AT1715" s="94">
        <f t="shared" si="482"/>
        <v>2.6097723048228966E-2</v>
      </c>
      <c r="AU1715" s="94">
        <f t="shared" si="483"/>
        <v>2.4590527472052391E-2</v>
      </c>
    </row>
    <row r="1716" spans="1:47" x14ac:dyDescent="0.3">
      <c r="A1716" s="85" t="str">
        <f>_xlfn.XLOOKUP(B1716,'Country codes &amp; Data sources'!G:G,'Country codes &amp; Data sources'!H:H,,0)</f>
        <v>Togo</v>
      </c>
      <c r="B1716" s="85" t="s">
        <v>195</v>
      </c>
      <c r="C1716" s="85">
        <v>6926646.5</v>
      </c>
      <c r="D1716" s="85" t="s">
        <v>338</v>
      </c>
      <c r="E1716" s="86">
        <v>0</v>
      </c>
      <c r="F1716" s="86">
        <v>7106229</v>
      </c>
      <c r="G1716" s="86">
        <v>0</v>
      </c>
      <c r="H1716" s="86"/>
      <c r="I1716" s="86">
        <v>0</v>
      </c>
      <c r="J1716" s="86"/>
      <c r="K1716" s="86">
        <v>0</v>
      </c>
      <c r="L1716" s="86"/>
      <c r="M1716" s="86">
        <v>0</v>
      </c>
      <c r="N1716" s="86"/>
      <c r="O1716" s="86">
        <v>0</v>
      </c>
      <c r="P1716" s="86">
        <v>8046679</v>
      </c>
      <c r="Q1716" s="86">
        <v>0</v>
      </c>
      <c r="R1716" s="87">
        <f t="shared" si="468"/>
        <v>0</v>
      </c>
      <c r="T1716" s="87">
        <v>25</v>
      </c>
      <c r="U1716" s="89"/>
      <c r="V1716" s="89">
        <v>0</v>
      </c>
      <c r="W1716" s="90"/>
      <c r="X1716" s="90">
        <v>0</v>
      </c>
      <c r="Y1716" s="90">
        <v>8848698.5000000019</v>
      </c>
      <c r="Z1716" s="90">
        <v>1</v>
      </c>
      <c r="AA1716" s="90">
        <v>0</v>
      </c>
      <c r="AB1716" s="89">
        <f t="shared" si="469"/>
        <v>0</v>
      </c>
      <c r="AC1716" s="89">
        <f t="shared" si="470"/>
        <v>25</v>
      </c>
      <c r="AD1716" s="89">
        <f t="shared" si="471"/>
        <v>1</v>
      </c>
      <c r="AE1716" s="90">
        <f t="shared" si="472"/>
        <v>0</v>
      </c>
      <c r="AF1716" s="90" t="str">
        <f t="shared" si="473"/>
        <v/>
      </c>
      <c r="AG1716" s="90">
        <f t="shared" si="474"/>
        <v>25</v>
      </c>
      <c r="AH1716" s="90">
        <f t="shared" si="475"/>
        <v>2019</v>
      </c>
      <c r="AI1716" s="90">
        <f t="shared" si="476"/>
        <v>1</v>
      </c>
      <c r="AJ1716" s="90">
        <f t="shared" si="477"/>
        <v>2022</v>
      </c>
      <c r="AK1716" s="90" t="str">
        <f t="shared" si="478"/>
        <v>Adjust</v>
      </c>
      <c r="AL1716" s="91">
        <f>IF(AK1716="Adjust",(_xlfn.XLOOKUP(A1716,'Adj factor'!A:A,'Adj factor'!I:I,,0)*AI1716),'Master DataSheet'!AI1716)</f>
        <v>1.2088564642008823</v>
      </c>
      <c r="AM1716" s="91">
        <f t="shared" si="479"/>
        <v>25</v>
      </c>
      <c r="AN1716" s="92" t="str">
        <f t="shared" si="480"/>
        <v>Decreasing</v>
      </c>
      <c r="AS1716" s="94">
        <f t="shared" si="481"/>
        <v>0</v>
      </c>
      <c r="AT1716" s="94">
        <f t="shared" si="482"/>
        <v>3.1068717914558293E-2</v>
      </c>
      <c r="AU1716" s="94">
        <f t="shared" si="483"/>
        <v>2.8252742479586115E-2</v>
      </c>
    </row>
    <row r="1717" spans="1:47" x14ac:dyDescent="0.3">
      <c r="A1717" s="85" t="str">
        <f>_xlfn.XLOOKUP(B1717,'Country codes &amp; Data sources'!G:G,'Country codes &amp; Data sources'!H:H,,0)</f>
        <v>Togo</v>
      </c>
      <c r="B1717" s="85" t="s">
        <v>195</v>
      </c>
      <c r="C1717" s="85">
        <v>6926647.5</v>
      </c>
      <c r="D1717" s="85" t="s">
        <v>339</v>
      </c>
      <c r="E1717" s="86">
        <v>0</v>
      </c>
      <c r="F1717" s="86">
        <v>7106229</v>
      </c>
      <c r="G1717" s="86">
        <v>0</v>
      </c>
      <c r="H1717" s="86"/>
      <c r="I1717" s="86">
        <v>0</v>
      </c>
      <c r="J1717" s="86"/>
      <c r="K1717" s="86">
        <v>0</v>
      </c>
      <c r="L1717" s="86"/>
      <c r="M1717" s="86">
        <v>33</v>
      </c>
      <c r="N1717" s="86"/>
      <c r="O1717" s="86">
        <v>57</v>
      </c>
      <c r="P1717" s="86">
        <v>8046679</v>
      </c>
      <c r="Q1717" s="86">
        <v>62</v>
      </c>
      <c r="R1717" s="87">
        <f t="shared" si="468"/>
        <v>62</v>
      </c>
      <c r="T1717" s="87">
        <v>61</v>
      </c>
      <c r="U1717" s="89"/>
      <c r="V1717" s="89">
        <v>65</v>
      </c>
      <c r="W1717" s="90"/>
      <c r="X1717" s="90">
        <v>69</v>
      </c>
      <c r="Y1717" s="90">
        <v>8848698.5000000019</v>
      </c>
      <c r="Z1717" s="90">
        <v>0</v>
      </c>
      <c r="AA1717" s="90">
        <v>0</v>
      </c>
      <c r="AB1717" s="89">
        <f t="shared" si="469"/>
        <v>0</v>
      </c>
      <c r="AC1717" s="89">
        <f t="shared" si="470"/>
        <v>62</v>
      </c>
      <c r="AD1717" s="89">
        <f t="shared" si="471"/>
        <v>69</v>
      </c>
      <c r="AE1717" s="90">
        <f t="shared" si="472"/>
        <v>0</v>
      </c>
      <c r="AF1717" s="90" t="str">
        <f t="shared" si="473"/>
        <v/>
      </c>
      <c r="AG1717" s="90">
        <f t="shared" si="474"/>
        <v>62</v>
      </c>
      <c r="AH1717" s="90">
        <f t="shared" si="475"/>
        <v>2018</v>
      </c>
      <c r="AI1717" s="90">
        <f t="shared" si="476"/>
        <v>69</v>
      </c>
      <c r="AJ1717" s="90">
        <f t="shared" si="477"/>
        <v>2021</v>
      </c>
      <c r="AK1717" s="90" t="str">
        <f t="shared" si="478"/>
        <v/>
      </c>
      <c r="AL1717" s="91">
        <f>IF(AK1717="Adjust",(_xlfn.XLOOKUP(A1717,'Adj factor'!A:A,'Adj factor'!I:I,,0)*AI1717),'Master DataSheet'!AI1717)</f>
        <v>69</v>
      </c>
      <c r="AM1717" s="91">
        <f t="shared" si="479"/>
        <v>69</v>
      </c>
      <c r="AN1717" s="92" t="str">
        <f t="shared" si="480"/>
        <v>Increasing</v>
      </c>
      <c r="AS1717" s="94">
        <f t="shared" si="481"/>
        <v>0</v>
      </c>
      <c r="AT1717" s="94">
        <f t="shared" si="482"/>
        <v>7.705042042810456E-2</v>
      </c>
      <c r="AU1717" s="94">
        <f t="shared" si="483"/>
        <v>7.7977569243657674E-2</v>
      </c>
    </row>
    <row r="1718" spans="1:47" x14ac:dyDescent="0.3">
      <c r="A1718" s="85" t="str">
        <f>_xlfn.XLOOKUP(B1718,'Country codes &amp; Data sources'!G:G,'Country codes &amp; Data sources'!H:H,,0)</f>
        <v>Tanzania</v>
      </c>
      <c r="B1718" s="85" t="s">
        <v>197</v>
      </c>
      <c r="C1718" s="85">
        <v>47786137.499999993</v>
      </c>
      <c r="D1718" s="85" t="s">
        <v>326</v>
      </c>
      <c r="E1718" s="86">
        <v>1481</v>
      </c>
      <c r="F1718" s="86">
        <v>49253643.5</v>
      </c>
      <c r="G1718" s="86">
        <v>0</v>
      </c>
      <c r="H1718" s="86">
        <v>50814551.500000022</v>
      </c>
      <c r="I1718" s="86">
        <v>3015</v>
      </c>
      <c r="J1718" s="86">
        <v>52542823.5</v>
      </c>
      <c r="K1718" s="86">
        <v>0</v>
      </c>
      <c r="L1718" s="86">
        <v>54401801.500000007</v>
      </c>
      <c r="M1718" s="86">
        <v>0</v>
      </c>
      <c r="N1718" s="86">
        <v>56267032.000000007</v>
      </c>
      <c r="O1718" s="86">
        <v>0</v>
      </c>
      <c r="P1718" s="86">
        <v>58090443.000000007</v>
      </c>
      <c r="Q1718" s="86">
        <v>2885</v>
      </c>
      <c r="R1718" s="87">
        <f t="shared" si="468"/>
        <v>2885</v>
      </c>
      <c r="S1718" s="87">
        <v>59872579</v>
      </c>
      <c r="T1718" s="87">
        <v>0</v>
      </c>
      <c r="U1718" s="89">
        <v>61704517.99999997</v>
      </c>
      <c r="V1718" s="89">
        <v>0</v>
      </c>
      <c r="W1718" s="90">
        <v>63588333.999999993</v>
      </c>
      <c r="X1718" s="90">
        <v>0</v>
      </c>
      <c r="Y1718" s="90">
        <v>65497748.000000045</v>
      </c>
      <c r="Z1718" s="90">
        <v>8693</v>
      </c>
      <c r="AA1718" s="90">
        <v>2885</v>
      </c>
      <c r="AB1718" s="89">
        <f t="shared" si="469"/>
        <v>3015</v>
      </c>
      <c r="AC1718" s="89">
        <f t="shared" si="470"/>
        <v>2885</v>
      </c>
      <c r="AD1718" s="89">
        <f t="shared" si="471"/>
        <v>8693</v>
      </c>
      <c r="AE1718" s="90">
        <f t="shared" si="472"/>
        <v>1481</v>
      </c>
      <c r="AF1718" s="90">
        <f t="shared" si="473"/>
        <v>2012</v>
      </c>
      <c r="AG1718" s="90">
        <f t="shared" si="474"/>
        <v>2885</v>
      </c>
      <c r="AH1718" s="90">
        <f t="shared" si="475"/>
        <v>2018</v>
      </c>
      <c r="AI1718" s="90">
        <f t="shared" si="476"/>
        <v>8693</v>
      </c>
      <c r="AJ1718" s="90">
        <f t="shared" si="477"/>
        <v>2022</v>
      </c>
      <c r="AK1718" s="90" t="str">
        <f t="shared" si="478"/>
        <v/>
      </c>
      <c r="AL1718" s="91">
        <f>IF(AK1718="Adjust",(_xlfn.XLOOKUP(A1718,'Adj factor'!A:A,'Adj factor'!I:I,,0)*AI1718),'Master DataSheet'!AI1718)</f>
        <v>8693</v>
      </c>
      <c r="AM1718" s="91">
        <f t="shared" si="479"/>
        <v>8693</v>
      </c>
      <c r="AN1718" s="92" t="str">
        <f t="shared" si="480"/>
        <v>Increasing</v>
      </c>
      <c r="AS1718" s="94">
        <f t="shared" si="481"/>
        <v>0.30068841506111116</v>
      </c>
      <c r="AT1718" s="94">
        <f t="shared" si="482"/>
        <v>0.49663935253514929</v>
      </c>
      <c r="AU1718" s="94">
        <f t="shared" si="483"/>
        <v>1.3272212046130187</v>
      </c>
    </row>
    <row r="1719" spans="1:47" x14ac:dyDescent="0.3">
      <c r="A1719" s="85" t="str">
        <f>_xlfn.XLOOKUP(B1719,'Country codes &amp; Data sources'!G:G,'Country codes &amp; Data sources'!H:H,,0)</f>
        <v>Tanzania</v>
      </c>
      <c r="B1719" s="85" t="s">
        <v>197</v>
      </c>
      <c r="C1719" s="85">
        <v>47786138.5</v>
      </c>
      <c r="D1719" s="85" t="s">
        <v>327</v>
      </c>
      <c r="E1719" s="86">
        <v>0</v>
      </c>
      <c r="F1719" s="86">
        <v>49253643.5</v>
      </c>
      <c r="G1719" s="86">
        <v>0</v>
      </c>
      <c r="H1719" s="86"/>
      <c r="I1719" s="86">
        <v>0</v>
      </c>
      <c r="J1719" s="86"/>
      <c r="K1719" s="86">
        <v>0</v>
      </c>
      <c r="L1719" s="86"/>
      <c r="M1719" s="86">
        <v>0</v>
      </c>
      <c r="N1719" s="86"/>
      <c r="O1719" s="86">
        <v>0</v>
      </c>
      <c r="P1719" s="86">
        <v>58090443.000000007</v>
      </c>
      <c r="Q1719" s="86">
        <v>2434</v>
      </c>
      <c r="R1719" s="87">
        <f t="shared" si="468"/>
        <v>2434</v>
      </c>
      <c r="T1719" s="87">
        <v>0</v>
      </c>
      <c r="U1719" s="89"/>
      <c r="V1719" s="89">
        <v>0</v>
      </c>
      <c r="W1719" s="90"/>
      <c r="X1719" s="90">
        <v>0</v>
      </c>
      <c r="Y1719" s="90">
        <v>65497748.000000045</v>
      </c>
      <c r="Z1719" s="90">
        <v>6701</v>
      </c>
      <c r="AA1719" s="90">
        <v>2434</v>
      </c>
      <c r="AB1719" s="89">
        <f t="shared" si="469"/>
        <v>0</v>
      </c>
      <c r="AC1719" s="89">
        <f t="shared" si="470"/>
        <v>2434</v>
      </c>
      <c r="AD1719" s="89">
        <f t="shared" si="471"/>
        <v>6701</v>
      </c>
      <c r="AE1719" s="90">
        <f t="shared" si="472"/>
        <v>0</v>
      </c>
      <c r="AF1719" s="90" t="str">
        <f t="shared" si="473"/>
        <v/>
      </c>
      <c r="AG1719" s="90">
        <f t="shared" si="474"/>
        <v>2434</v>
      </c>
      <c r="AH1719" s="90">
        <f t="shared" si="475"/>
        <v>2018</v>
      </c>
      <c r="AI1719" s="90">
        <f t="shared" si="476"/>
        <v>6701</v>
      </c>
      <c r="AJ1719" s="90">
        <f t="shared" si="477"/>
        <v>2022</v>
      </c>
      <c r="AK1719" s="90" t="str">
        <f t="shared" si="478"/>
        <v/>
      </c>
      <c r="AL1719" s="91">
        <f>IF(AK1719="Adjust",(_xlfn.XLOOKUP(A1719,'Adj factor'!A:A,'Adj factor'!I:I,,0)*AI1719),'Master DataSheet'!AI1719)</f>
        <v>6701</v>
      </c>
      <c r="AM1719" s="91">
        <f t="shared" si="479"/>
        <v>6701</v>
      </c>
      <c r="AN1719" s="92" t="str">
        <f t="shared" si="480"/>
        <v>Increasing</v>
      </c>
      <c r="AS1719" s="94">
        <f t="shared" si="481"/>
        <v>0</v>
      </c>
      <c r="AT1719" s="94">
        <f t="shared" si="482"/>
        <v>0.41900179690487122</v>
      </c>
      <c r="AU1719" s="94">
        <f t="shared" si="483"/>
        <v>1.0230886106191004</v>
      </c>
    </row>
    <row r="1720" spans="1:47" x14ac:dyDescent="0.3">
      <c r="A1720" s="85" t="str">
        <f>_xlfn.XLOOKUP(B1720,'Country codes &amp; Data sources'!G:G,'Country codes &amp; Data sources'!H:H,,0)</f>
        <v>Tanzania</v>
      </c>
      <c r="B1720" s="85" t="s">
        <v>197</v>
      </c>
      <c r="C1720" s="85">
        <v>47786139.5</v>
      </c>
      <c r="D1720" s="85" t="s">
        <v>328</v>
      </c>
      <c r="E1720" s="86">
        <v>0</v>
      </c>
      <c r="F1720" s="86">
        <v>49253643.5</v>
      </c>
      <c r="G1720" s="86">
        <v>0</v>
      </c>
      <c r="H1720" s="86"/>
      <c r="I1720" s="86">
        <v>929</v>
      </c>
      <c r="J1720" s="86"/>
      <c r="K1720" s="86">
        <v>0</v>
      </c>
      <c r="L1720" s="86"/>
      <c r="M1720" s="86">
        <v>0</v>
      </c>
      <c r="N1720" s="86"/>
      <c r="O1720" s="86">
        <v>0</v>
      </c>
      <c r="P1720" s="86">
        <v>58090443.000000007</v>
      </c>
      <c r="Q1720" s="86">
        <v>451</v>
      </c>
      <c r="R1720" s="87">
        <f t="shared" si="468"/>
        <v>451</v>
      </c>
      <c r="T1720" s="87">
        <v>0</v>
      </c>
      <c r="U1720" s="89"/>
      <c r="V1720" s="89">
        <v>0</v>
      </c>
      <c r="W1720" s="90"/>
      <c r="X1720" s="90">
        <v>0</v>
      </c>
      <c r="Y1720" s="90">
        <v>65497748.000000045</v>
      </c>
      <c r="Z1720" s="90">
        <v>1992</v>
      </c>
      <c r="AA1720" s="90">
        <v>451</v>
      </c>
      <c r="AB1720" s="89">
        <f t="shared" si="469"/>
        <v>929</v>
      </c>
      <c r="AC1720" s="89">
        <f t="shared" si="470"/>
        <v>451</v>
      </c>
      <c r="AD1720" s="89">
        <f t="shared" si="471"/>
        <v>1992</v>
      </c>
      <c r="AE1720" s="90">
        <f t="shared" si="472"/>
        <v>929</v>
      </c>
      <c r="AF1720" s="90">
        <f t="shared" si="473"/>
        <v>2014</v>
      </c>
      <c r="AG1720" s="90">
        <f t="shared" si="474"/>
        <v>451</v>
      </c>
      <c r="AH1720" s="90">
        <f t="shared" si="475"/>
        <v>2018</v>
      </c>
      <c r="AI1720" s="90">
        <f t="shared" si="476"/>
        <v>1992</v>
      </c>
      <c r="AJ1720" s="90">
        <f t="shared" si="477"/>
        <v>2022</v>
      </c>
      <c r="AK1720" s="90" t="str">
        <f t="shared" si="478"/>
        <v/>
      </c>
      <c r="AL1720" s="91">
        <f>IF(AK1720="Adjust",(_xlfn.XLOOKUP(A1720,'Adj factor'!A:A,'Adj factor'!I:I,,0)*AI1720),'Master DataSheet'!AI1720)</f>
        <v>1992</v>
      </c>
      <c r="AM1720" s="91">
        <f t="shared" si="479"/>
        <v>1992</v>
      </c>
      <c r="AN1720" s="92" t="str">
        <f t="shared" si="480"/>
        <v>Increasing</v>
      </c>
      <c r="AS1720" s="94">
        <f t="shared" si="481"/>
        <v>0.18861548790801638</v>
      </c>
      <c r="AT1720" s="94">
        <f t="shared" si="482"/>
        <v>7.7637555630278104E-2</v>
      </c>
      <c r="AU1720" s="94">
        <f t="shared" si="483"/>
        <v>0.30413259399391851</v>
      </c>
    </row>
    <row r="1721" spans="1:47" x14ac:dyDescent="0.3">
      <c r="A1721" s="85" t="str">
        <f>_xlfn.XLOOKUP(B1721,'Country codes &amp; Data sources'!G:G,'Country codes &amp; Data sources'!H:H,,0)</f>
        <v>Tanzania</v>
      </c>
      <c r="B1721" s="85" t="s">
        <v>197</v>
      </c>
      <c r="C1721" s="85">
        <v>47786140.5</v>
      </c>
      <c r="D1721" s="85" t="s">
        <v>329</v>
      </c>
      <c r="E1721" s="86">
        <v>20800</v>
      </c>
      <c r="F1721" s="86">
        <v>49253643.5</v>
      </c>
      <c r="G1721" s="86">
        <v>0</v>
      </c>
      <c r="H1721" s="86"/>
      <c r="I1721" s="86">
        <v>21552</v>
      </c>
      <c r="J1721" s="86"/>
      <c r="K1721" s="86">
        <v>0</v>
      </c>
      <c r="L1721" s="86"/>
      <c r="M1721" s="86">
        <v>0</v>
      </c>
      <c r="N1721" s="86"/>
      <c r="O1721" s="86">
        <v>31940</v>
      </c>
      <c r="P1721" s="86">
        <v>58090443.000000007</v>
      </c>
      <c r="Q1721" s="86">
        <v>31940</v>
      </c>
      <c r="R1721" s="87">
        <f t="shared" si="468"/>
        <v>31940</v>
      </c>
      <c r="T1721" s="87">
        <v>0</v>
      </c>
      <c r="U1721" s="89"/>
      <c r="V1721" s="89">
        <v>0</v>
      </c>
      <c r="W1721" s="90"/>
      <c r="X1721" s="90">
        <v>0</v>
      </c>
      <c r="Y1721" s="90">
        <v>65497748.000000045</v>
      </c>
      <c r="Z1721" s="90">
        <v>0</v>
      </c>
      <c r="AA1721" s="90">
        <v>31940</v>
      </c>
      <c r="AB1721" s="89">
        <f t="shared" si="469"/>
        <v>21552</v>
      </c>
      <c r="AC1721" s="89">
        <f t="shared" si="470"/>
        <v>31940</v>
      </c>
      <c r="AD1721" s="89">
        <f t="shared" si="471"/>
        <v>0</v>
      </c>
      <c r="AE1721" s="90">
        <f t="shared" si="472"/>
        <v>20800</v>
      </c>
      <c r="AF1721" s="90">
        <f t="shared" si="473"/>
        <v>2012</v>
      </c>
      <c r="AG1721" s="90">
        <f t="shared" si="474"/>
        <v>31940</v>
      </c>
      <c r="AH1721" s="90">
        <f t="shared" si="475"/>
        <v>2017</v>
      </c>
      <c r="AI1721" s="90">
        <f t="shared" si="476"/>
        <v>31940</v>
      </c>
      <c r="AJ1721" s="90">
        <f t="shared" si="477"/>
        <v>2017</v>
      </c>
      <c r="AK1721" s="90" t="str">
        <f t="shared" si="478"/>
        <v/>
      </c>
      <c r="AL1721" s="91">
        <f>IF(AK1721="Adjust",(_xlfn.XLOOKUP(A1721,'Adj factor'!A:A,'Adj factor'!I:I,,0)*AI1721),'Master DataSheet'!AI1721)</f>
        <v>31940</v>
      </c>
      <c r="AM1721" s="91">
        <f t="shared" si="479"/>
        <v>31940</v>
      </c>
      <c r="AN1721" s="92" t="str">
        <f t="shared" si="480"/>
        <v>No change</v>
      </c>
      <c r="AS1721" s="94">
        <f t="shared" si="481"/>
        <v>4.2230378347542956</v>
      </c>
      <c r="AT1721" s="94">
        <f t="shared" si="482"/>
        <v>5.4983226759004049</v>
      </c>
      <c r="AU1721" s="94">
        <f t="shared" si="483"/>
        <v>4.8765035402438537</v>
      </c>
    </row>
    <row r="1722" spans="1:47" x14ac:dyDescent="0.3">
      <c r="A1722" s="85" t="str">
        <f>_xlfn.XLOOKUP(B1722,'Country codes &amp; Data sources'!G:G,'Country codes &amp; Data sources'!H:H,,0)</f>
        <v>Tanzania</v>
      </c>
      <c r="B1722" s="85" t="s">
        <v>197</v>
      </c>
      <c r="C1722" s="85">
        <v>47786141.5</v>
      </c>
      <c r="D1722" s="85" t="s">
        <v>330</v>
      </c>
      <c r="E1722" s="86">
        <v>0</v>
      </c>
      <c r="F1722" s="86">
        <v>49253643.5</v>
      </c>
      <c r="G1722" s="86">
        <v>0</v>
      </c>
      <c r="H1722" s="86"/>
      <c r="I1722" s="86">
        <v>0</v>
      </c>
      <c r="J1722" s="86"/>
      <c r="K1722" s="86">
        <v>0</v>
      </c>
      <c r="L1722" s="86"/>
      <c r="M1722" s="86">
        <v>0</v>
      </c>
      <c r="N1722" s="86"/>
      <c r="O1722" s="86">
        <v>10589</v>
      </c>
      <c r="P1722" s="86">
        <v>58090443.000000007</v>
      </c>
      <c r="Q1722" s="86">
        <v>0</v>
      </c>
      <c r="R1722" s="87">
        <f t="shared" si="468"/>
        <v>10589</v>
      </c>
      <c r="T1722" s="87">
        <v>0</v>
      </c>
      <c r="U1722" s="89"/>
      <c r="V1722" s="89">
        <v>0</v>
      </c>
      <c r="W1722" s="90"/>
      <c r="X1722" s="90">
        <v>0</v>
      </c>
      <c r="Y1722" s="90">
        <v>65497748.000000045</v>
      </c>
      <c r="Z1722" s="90">
        <v>0</v>
      </c>
      <c r="AA1722" s="90">
        <v>10589</v>
      </c>
      <c r="AB1722" s="89">
        <f t="shared" si="469"/>
        <v>0</v>
      </c>
      <c r="AC1722" s="89">
        <f t="shared" si="470"/>
        <v>10589</v>
      </c>
      <c r="AD1722" s="89">
        <f t="shared" si="471"/>
        <v>0</v>
      </c>
      <c r="AE1722" s="90">
        <f t="shared" si="472"/>
        <v>0</v>
      </c>
      <c r="AF1722" s="90" t="str">
        <f t="shared" si="473"/>
        <v/>
      </c>
      <c r="AG1722" s="90">
        <f t="shared" si="474"/>
        <v>10589</v>
      </c>
      <c r="AH1722" s="90">
        <f t="shared" si="475"/>
        <v>2017</v>
      </c>
      <c r="AI1722" s="90">
        <f t="shared" si="476"/>
        <v>10589</v>
      </c>
      <c r="AJ1722" s="90">
        <f t="shared" si="477"/>
        <v>2017</v>
      </c>
      <c r="AK1722" s="90" t="str">
        <f t="shared" si="478"/>
        <v/>
      </c>
      <c r="AL1722" s="91">
        <f>IF(AK1722="Adjust",(_xlfn.XLOOKUP(A1722,'Adj factor'!A:A,'Adj factor'!I:I,,0)*AI1722),'Master DataSheet'!AI1722)</f>
        <v>10589</v>
      </c>
      <c r="AM1722" s="91">
        <f t="shared" si="479"/>
        <v>10589</v>
      </c>
      <c r="AN1722" s="92" t="str">
        <f t="shared" si="480"/>
        <v>No change</v>
      </c>
      <c r="AS1722" s="94">
        <f t="shared" si="481"/>
        <v>0</v>
      </c>
      <c r="AT1722" s="94">
        <f t="shared" si="482"/>
        <v>1.8228471764279708</v>
      </c>
      <c r="AU1722" s="94">
        <f t="shared" si="483"/>
        <v>1.6166968061253026</v>
      </c>
    </row>
    <row r="1723" spans="1:47" x14ac:dyDescent="0.3">
      <c r="A1723" s="85" t="str">
        <f>_xlfn.XLOOKUP(B1723,'Country codes &amp; Data sources'!G:G,'Country codes &amp; Data sources'!H:H,,0)</f>
        <v>Tanzania</v>
      </c>
      <c r="B1723" s="85" t="s">
        <v>197</v>
      </c>
      <c r="C1723" s="85">
        <v>47786142.5</v>
      </c>
      <c r="D1723" s="85" t="s">
        <v>331</v>
      </c>
      <c r="E1723" s="86">
        <v>0</v>
      </c>
      <c r="F1723" s="86">
        <v>49253643.5</v>
      </c>
      <c r="G1723" s="86">
        <v>0</v>
      </c>
      <c r="H1723" s="86"/>
      <c r="I1723" s="86">
        <v>0</v>
      </c>
      <c r="J1723" s="86"/>
      <c r="K1723" s="86">
        <v>0</v>
      </c>
      <c r="L1723" s="86"/>
      <c r="M1723" s="86">
        <v>0</v>
      </c>
      <c r="N1723" s="86"/>
      <c r="O1723" s="86">
        <v>21351</v>
      </c>
      <c r="P1723" s="86">
        <v>58090443.000000007</v>
      </c>
      <c r="Q1723" s="86">
        <v>0</v>
      </c>
      <c r="R1723" s="87">
        <f t="shared" si="468"/>
        <v>21351</v>
      </c>
      <c r="T1723" s="87">
        <v>0</v>
      </c>
      <c r="U1723" s="89"/>
      <c r="V1723" s="89">
        <v>0</v>
      </c>
      <c r="W1723" s="90"/>
      <c r="X1723" s="90">
        <v>0</v>
      </c>
      <c r="Y1723" s="90">
        <v>65497748.000000045</v>
      </c>
      <c r="Z1723" s="90">
        <v>0</v>
      </c>
      <c r="AA1723" s="90">
        <v>21351</v>
      </c>
      <c r="AB1723" s="89">
        <f t="shared" si="469"/>
        <v>0</v>
      </c>
      <c r="AC1723" s="89">
        <f t="shared" si="470"/>
        <v>21351</v>
      </c>
      <c r="AD1723" s="89">
        <f t="shared" si="471"/>
        <v>0</v>
      </c>
      <c r="AE1723" s="90">
        <f t="shared" si="472"/>
        <v>0</v>
      </c>
      <c r="AF1723" s="90" t="str">
        <f t="shared" si="473"/>
        <v/>
      </c>
      <c r="AG1723" s="90">
        <f t="shared" si="474"/>
        <v>21351</v>
      </c>
      <c r="AH1723" s="90">
        <f t="shared" si="475"/>
        <v>2017</v>
      </c>
      <c r="AI1723" s="90">
        <f t="shared" si="476"/>
        <v>21351</v>
      </c>
      <c r="AJ1723" s="90">
        <f t="shared" si="477"/>
        <v>2017</v>
      </c>
      <c r="AK1723" s="90" t="str">
        <f t="shared" si="478"/>
        <v/>
      </c>
      <c r="AL1723" s="91">
        <f>IF(AK1723="Adjust",(_xlfn.XLOOKUP(A1723,'Adj factor'!A:A,'Adj factor'!I:I,,0)*AI1723),'Master DataSheet'!AI1723)</f>
        <v>21351</v>
      </c>
      <c r="AM1723" s="91">
        <f t="shared" si="479"/>
        <v>21351</v>
      </c>
      <c r="AN1723" s="92" t="str">
        <f t="shared" si="480"/>
        <v>No change</v>
      </c>
      <c r="AS1723" s="94">
        <f t="shared" si="481"/>
        <v>0</v>
      </c>
      <c r="AT1723" s="94">
        <f t="shared" si="482"/>
        <v>3.6754754994724341</v>
      </c>
      <c r="AU1723" s="94">
        <f t="shared" si="483"/>
        <v>3.259806734118551</v>
      </c>
    </row>
    <row r="1724" spans="1:47" x14ac:dyDescent="0.3">
      <c r="A1724" s="85" t="str">
        <f>_xlfn.XLOOKUP(B1724,'Country codes &amp; Data sources'!G:G,'Country codes &amp; Data sources'!H:H,,0)</f>
        <v>Tanzania</v>
      </c>
      <c r="B1724" s="85" t="s">
        <v>197</v>
      </c>
      <c r="C1724" s="85">
        <v>47786143.5</v>
      </c>
      <c r="D1724" s="85" t="s">
        <v>332</v>
      </c>
      <c r="E1724" s="86">
        <v>0</v>
      </c>
      <c r="F1724" s="86">
        <v>49253643.5</v>
      </c>
      <c r="G1724" s="86">
        <v>0</v>
      </c>
      <c r="H1724" s="86"/>
      <c r="I1724" s="86">
        <v>0</v>
      </c>
      <c r="J1724" s="86"/>
      <c r="K1724" s="86">
        <v>0</v>
      </c>
      <c r="L1724" s="86"/>
      <c r="M1724" s="86">
        <v>0</v>
      </c>
      <c r="N1724" s="86"/>
      <c r="O1724" s="86">
        <v>0</v>
      </c>
      <c r="P1724" s="86">
        <v>58090443.000000007</v>
      </c>
      <c r="Q1724" s="86">
        <v>0</v>
      </c>
      <c r="R1724" s="87">
        <f t="shared" si="468"/>
        <v>0</v>
      </c>
      <c r="T1724" s="87">
        <v>0</v>
      </c>
      <c r="U1724" s="89"/>
      <c r="V1724" s="89">
        <v>0</v>
      </c>
      <c r="W1724" s="90"/>
      <c r="X1724" s="90">
        <v>0</v>
      </c>
      <c r="Y1724" s="90">
        <v>65497748.000000045</v>
      </c>
      <c r="Z1724" s="90">
        <v>0</v>
      </c>
      <c r="AA1724" s="90">
        <v>0</v>
      </c>
      <c r="AB1724" s="89">
        <f t="shared" si="469"/>
        <v>0</v>
      </c>
      <c r="AC1724" s="89">
        <f t="shared" si="470"/>
        <v>0</v>
      </c>
      <c r="AD1724" s="89">
        <f t="shared" si="471"/>
        <v>0</v>
      </c>
      <c r="AE1724" s="90">
        <f t="shared" si="472"/>
        <v>0</v>
      </c>
      <c r="AF1724" s="90" t="str">
        <f t="shared" si="473"/>
        <v/>
      </c>
      <c r="AG1724" s="90">
        <f t="shared" si="474"/>
        <v>0</v>
      </c>
      <c r="AH1724" s="90" t="str">
        <f t="shared" si="475"/>
        <v/>
      </c>
      <c r="AI1724" s="90">
        <f t="shared" si="476"/>
        <v>0</v>
      </c>
      <c r="AJ1724" s="90" t="str">
        <f t="shared" si="477"/>
        <v/>
      </c>
      <c r="AK1724" s="90" t="str">
        <f t="shared" si="478"/>
        <v/>
      </c>
      <c r="AL1724" s="91">
        <f>IF(AK1724="Adjust",(_xlfn.XLOOKUP(A1724,'Adj factor'!A:A,'Adj factor'!I:I,,0)*AI1724),'Master DataSheet'!AI1724)</f>
        <v>0</v>
      </c>
      <c r="AM1724" s="91">
        <f t="shared" si="479"/>
        <v>0</v>
      </c>
      <c r="AN1724" s="92" t="str">
        <f t="shared" si="480"/>
        <v>No change</v>
      </c>
      <c r="AS1724" s="94">
        <f t="shared" si="481"/>
        <v>0</v>
      </c>
      <c r="AT1724" s="94">
        <f t="shared" si="482"/>
        <v>0</v>
      </c>
      <c r="AU1724" s="94">
        <f t="shared" si="483"/>
        <v>0</v>
      </c>
    </row>
    <row r="1725" spans="1:47" x14ac:dyDescent="0.3">
      <c r="A1725" s="85" t="str">
        <f>_xlfn.XLOOKUP(B1725,'Country codes &amp; Data sources'!G:G,'Country codes &amp; Data sources'!H:H,,0)</f>
        <v>Tanzania</v>
      </c>
      <c r="B1725" s="85" t="s">
        <v>197</v>
      </c>
      <c r="C1725" s="85">
        <v>47786144.5</v>
      </c>
      <c r="D1725" s="85" t="s">
        <v>333</v>
      </c>
      <c r="E1725" s="86">
        <v>0</v>
      </c>
      <c r="F1725" s="86">
        <v>49253643.5</v>
      </c>
      <c r="G1725" s="86">
        <v>0</v>
      </c>
      <c r="H1725" s="86"/>
      <c r="I1725" s="86">
        <v>0</v>
      </c>
      <c r="J1725" s="86"/>
      <c r="K1725" s="86">
        <v>0</v>
      </c>
      <c r="L1725" s="86"/>
      <c r="M1725" s="86">
        <v>0</v>
      </c>
      <c r="N1725" s="86"/>
      <c r="O1725" s="86">
        <v>0</v>
      </c>
      <c r="P1725" s="86">
        <v>58090443.000000007</v>
      </c>
      <c r="Q1725" s="86">
        <v>0</v>
      </c>
      <c r="R1725" s="87">
        <f t="shared" si="468"/>
        <v>0</v>
      </c>
      <c r="T1725" s="87">
        <v>0</v>
      </c>
      <c r="U1725" s="89"/>
      <c r="V1725" s="89">
        <v>0</v>
      </c>
      <c r="W1725" s="90"/>
      <c r="X1725" s="90">
        <v>0</v>
      </c>
      <c r="Y1725" s="90">
        <v>65497748.000000045</v>
      </c>
      <c r="Z1725" s="90">
        <v>0</v>
      </c>
      <c r="AA1725" s="90">
        <v>0</v>
      </c>
      <c r="AB1725" s="89">
        <f t="shared" si="469"/>
        <v>0</v>
      </c>
      <c r="AC1725" s="89">
        <f t="shared" si="470"/>
        <v>0</v>
      </c>
      <c r="AD1725" s="89">
        <f t="shared" si="471"/>
        <v>0</v>
      </c>
      <c r="AE1725" s="90">
        <f t="shared" si="472"/>
        <v>0</v>
      </c>
      <c r="AF1725" s="90" t="str">
        <f t="shared" si="473"/>
        <v/>
      </c>
      <c r="AG1725" s="90">
        <f t="shared" si="474"/>
        <v>0</v>
      </c>
      <c r="AH1725" s="90" t="str">
        <f t="shared" si="475"/>
        <v/>
      </c>
      <c r="AI1725" s="90">
        <f t="shared" si="476"/>
        <v>0</v>
      </c>
      <c r="AJ1725" s="90" t="str">
        <f t="shared" si="477"/>
        <v/>
      </c>
      <c r="AK1725" s="90" t="str">
        <f t="shared" si="478"/>
        <v/>
      </c>
      <c r="AL1725" s="91">
        <f>IF(AK1725="Adjust",(_xlfn.XLOOKUP(A1725,'Adj factor'!A:A,'Adj factor'!I:I,,0)*AI1725),'Master DataSheet'!AI1725)</f>
        <v>0</v>
      </c>
      <c r="AM1725" s="91">
        <f t="shared" si="479"/>
        <v>0</v>
      </c>
      <c r="AN1725" s="92" t="str">
        <f t="shared" si="480"/>
        <v>No change</v>
      </c>
      <c r="AS1725" s="94">
        <f t="shared" si="481"/>
        <v>0</v>
      </c>
      <c r="AT1725" s="94">
        <f t="shared" si="482"/>
        <v>0</v>
      </c>
      <c r="AU1725" s="94">
        <f t="shared" si="483"/>
        <v>0</v>
      </c>
    </row>
    <row r="1726" spans="1:47" x14ac:dyDescent="0.3">
      <c r="A1726" s="85" t="str">
        <f>_xlfn.XLOOKUP(B1726,'Country codes &amp; Data sources'!G:G,'Country codes &amp; Data sources'!H:H,,0)</f>
        <v>Tanzania</v>
      </c>
      <c r="B1726" s="85" t="s">
        <v>197</v>
      </c>
      <c r="C1726" s="85">
        <v>47786145.5</v>
      </c>
      <c r="D1726" s="85" t="s">
        <v>334</v>
      </c>
      <c r="E1726" s="86">
        <v>0</v>
      </c>
      <c r="F1726" s="86">
        <v>49253643.5</v>
      </c>
      <c r="G1726" s="86">
        <v>0</v>
      </c>
      <c r="H1726" s="86"/>
      <c r="I1726" s="86">
        <v>0</v>
      </c>
      <c r="J1726" s="86"/>
      <c r="K1726" s="86">
        <v>0</v>
      </c>
      <c r="L1726" s="86"/>
      <c r="M1726" s="86">
        <v>0</v>
      </c>
      <c r="N1726" s="86"/>
      <c r="O1726" s="86">
        <v>0</v>
      </c>
      <c r="P1726" s="86">
        <v>58090443.000000007</v>
      </c>
      <c r="Q1726" s="86">
        <v>0</v>
      </c>
      <c r="R1726" s="87">
        <f t="shared" si="468"/>
        <v>0</v>
      </c>
      <c r="T1726" s="87">
        <v>0</v>
      </c>
      <c r="U1726" s="89"/>
      <c r="V1726" s="89">
        <v>0</v>
      </c>
      <c r="W1726" s="90"/>
      <c r="X1726" s="90">
        <v>0</v>
      </c>
      <c r="Y1726" s="90">
        <v>65497748.000000045</v>
      </c>
      <c r="Z1726" s="90">
        <v>0</v>
      </c>
      <c r="AA1726" s="90">
        <v>0</v>
      </c>
      <c r="AB1726" s="89">
        <f t="shared" si="469"/>
        <v>0</v>
      </c>
      <c r="AC1726" s="89">
        <f t="shared" si="470"/>
        <v>0</v>
      </c>
      <c r="AD1726" s="89">
        <f t="shared" si="471"/>
        <v>0</v>
      </c>
      <c r="AE1726" s="90">
        <f t="shared" si="472"/>
        <v>0</v>
      </c>
      <c r="AF1726" s="90" t="str">
        <f t="shared" si="473"/>
        <v/>
      </c>
      <c r="AG1726" s="90">
        <f t="shared" si="474"/>
        <v>0</v>
      </c>
      <c r="AH1726" s="90" t="str">
        <f t="shared" si="475"/>
        <v/>
      </c>
      <c r="AI1726" s="90">
        <f t="shared" si="476"/>
        <v>0</v>
      </c>
      <c r="AJ1726" s="90" t="str">
        <f t="shared" si="477"/>
        <v/>
      </c>
      <c r="AK1726" s="90" t="str">
        <f t="shared" si="478"/>
        <v/>
      </c>
      <c r="AL1726" s="91">
        <f>IF(AK1726="Adjust",(_xlfn.XLOOKUP(A1726,'Adj factor'!A:A,'Adj factor'!I:I,,0)*AI1726),'Master DataSheet'!AI1726)</f>
        <v>0</v>
      </c>
      <c r="AM1726" s="91">
        <f t="shared" si="479"/>
        <v>0</v>
      </c>
      <c r="AN1726" s="92" t="str">
        <f t="shared" si="480"/>
        <v>No change</v>
      </c>
      <c r="AS1726" s="94">
        <f t="shared" si="481"/>
        <v>0</v>
      </c>
      <c r="AT1726" s="94">
        <f t="shared" si="482"/>
        <v>0</v>
      </c>
      <c r="AU1726" s="94">
        <f t="shared" si="483"/>
        <v>0</v>
      </c>
    </row>
    <row r="1727" spans="1:47" x14ac:dyDescent="0.3">
      <c r="A1727" s="85" t="str">
        <f>_xlfn.XLOOKUP(B1727,'Country codes &amp; Data sources'!G:G,'Country codes &amp; Data sources'!H:H,,0)</f>
        <v>Tanzania</v>
      </c>
      <c r="B1727" s="85" t="s">
        <v>197</v>
      </c>
      <c r="C1727" s="85">
        <v>47786146.5</v>
      </c>
      <c r="D1727" s="85" t="s">
        <v>335</v>
      </c>
      <c r="E1727" s="86">
        <v>339</v>
      </c>
      <c r="F1727" s="86">
        <v>49253643.5</v>
      </c>
      <c r="G1727" s="86">
        <v>0</v>
      </c>
      <c r="H1727" s="86"/>
      <c r="I1727" s="86">
        <v>707</v>
      </c>
      <c r="J1727" s="86"/>
      <c r="K1727" s="86">
        <v>0</v>
      </c>
      <c r="L1727" s="86"/>
      <c r="M1727" s="86">
        <v>0</v>
      </c>
      <c r="N1727" s="86"/>
      <c r="O1727" s="86">
        <v>0</v>
      </c>
      <c r="P1727" s="86">
        <v>58090443.000000007</v>
      </c>
      <c r="Q1727" s="86">
        <v>1845</v>
      </c>
      <c r="R1727" s="87">
        <f t="shared" si="468"/>
        <v>1845</v>
      </c>
      <c r="T1727" s="87">
        <v>0</v>
      </c>
      <c r="U1727" s="89"/>
      <c r="V1727" s="89">
        <v>0</v>
      </c>
      <c r="W1727" s="90"/>
      <c r="X1727" s="90">
        <v>0</v>
      </c>
      <c r="Y1727" s="90">
        <v>65497748.000000045</v>
      </c>
      <c r="Z1727" s="90">
        <v>1746</v>
      </c>
      <c r="AA1727" s="90">
        <v>599</v>
      </c>
      <c r="AB1727" s="89">
        <f t="shared" si="469"/>
        <v>707</v>
      </c>
      <c r="AC1727" s="89">
        <f t="shared" si="470"/>
        <v>1845</v>
      </c>
      <c r="AD1727" s="89">
        <f t="shared" si="471"/>
        <v>1746</v>
      </c>
      <c r="AE1727" s="90">
        <f t="shared" si="472"/>
        <v>339</v>
      </c>
      <c r="AF1727" s="90">
        <f t="shared" si="473"/>
        <v>2012</v>
      </c>
      <c r="AG1727" s="90">
        <f t="shared" si="474"/>
        <v>1845</v>
      </c>
      <c r="AH1727" s="90">
        <f t="shared" si="475"/>
        <v>2018</v>
      </c>
      <c r="AI1727" s="90">
        <f t="shared" si="476"/>
        <v>1746</v>
      </c>
      <c r="AJ1727" s="90">
        <f t="shared" si="477"/>
        <v>2022</v>
      </c>
      <c r="AK1727" s="90" t="str">
        <f t="shared" si="478"/>
        <v>Adjust</v>
      </c>
      <c r="AL1727" s="91">
        <f>IF(AK1727="Adjust",(_xlfn.XLOOKUP(A1727,'Adj factor'!A:A,'Adj factor'!I:I,,0)*AI1727),'Master DataSheet'!AI1727)</f>
        <v>2261.9470224210058</v>
      </c>
      <c r="AM1727" s="91">
        <f t="shared" si="479"/>
        <v>2261.9470224210058</v>
      </c>
      <c r="AN1727" s="92" t="str">
        <f t="shared" si="480"/>
        <v>Increasing</v>
      </c>
      <c r="AS1727" s="94">
        <f t="shared" si="481"/>
        <v>6.8827395479889725E-2</v>
      </c>
      <c r="AT1727" s="94">
        <f t="shared" si="482"/>
        <v>0.31760818212386499</v>
      </c>
      <c r="AU1727" s="94">
        <f t="shared" si="483"/>
        <v>0.34534729689042198</v>
      </c>
    </row>
    <row r="1728" spans="1:47" x14ac:dyDescent="0.3">
      <c r="A1728" s="85" t="str">
        <f>_xlfn.XLOOKUP(B1728,'Country codes &amp; Data sources'!G:G,'Country codes &amp; Data sources'!H:H,,0)</f>
        <v>Tanzania</v>
      </c>
      <c r="B1728" s="85" t="s">
        <v>197</v>
      </c>
      <c r="C1728" s="85">
        <v>47786147.5</v>
      </c>
      <c r="D1728" s="85" t="s">
        <v>336</v>
      </c>
      <c r="E1728" s="86">
        <v>317</v>
      </c>
      <c r="F1728" s="86">
        <v>49253643.5</v>
      </c>
      <c r="G1728" s="86">
        <v>0</v>
      </c>
      <c r="H1728" s="86"/>
      <c r="I1728" s="86">
        <v>1132</v>
      </c>
      <c r="J1728" s="86"/>
      <c r="K1728" s="86">
        <v>0</v>
      </c>
      <c r="L1728" s="86"/>
      <c r="M1728" s="86">
        <v>0</v>
      </c>
      <c r="N1728" s="86"/>
      <c r="O1728" s="86">
        <v>0</v>
      </c>
      <c r="P1728" s="86">
        <v>58090443.000000007</v>
      </c>
      <c r="Q1728" s="86">
        <v>0</v>
      </c>
      <c r="R1728" s="87">
        <f t="shared" si="468"/>
        <v>1246</v>
      </c>
      <c r="T1728" s="87">
        <v>0</v>
      </c>
      <c r="U1728" s="89"/>
      <c r="V1728" s="89">
        <v>0</v>
      </c>
      <c r="W1728" s="90"/>
      <c r="X1728" s="90">
        <v>0</v>
      </c>
      <c r="Y1728" s="90">
        <v>65497748.000000045</v>
      </c>
      <c r="Z1728" s="90">
        <v>5583</v>
      </c>
      <c r="AA1728" s="90">
        <v>1246</v>
      </c>
      <c r="AB1728" s="89">
        <f t="shared" si="469"/>
        <v>1132</v>
      </c>
      <c r="AC1728" s="89">
        <f t="shared" si="470"/>
        <v>0</v>
      </c>
      <c r="AD1728" s="89">
        <f t="shared" si="471"/>
        <v>5583</v>
      </c>
      <c r="AE1728" s="90">
        <f t="shared" si="472"/>
        <v>317</v>
      </c>
      <c r="AF1728" s="90">
        <f t="shared" si="473"/>
        <v>2012</v>
      </c>
      <c r="AG1728" s="90">
        <f t="shared" si="474"/>
        <v>1246</v>
      </c>
      <c r="AH1728" s="90" t="str">
        <f t="shared" si="475"/>
        <v>2018 (triag)</v>
      </c>
      <c r="AI1728" s="90">
        <f t="shared" si="476"/>
        <v>5583</v>
      </c>
      <c r="AJ1728" s="90">
        <f t="shared" si="477"/>
        <v>2022</v>
      </c>
      <c r="AK1728" s="90" t="str">
        <f t="shared" si="478"/>
        <v/>
      </c>
      <c r="AL1728" s="91">
        <f>IF(AK1728="Adjust",(_xlfn.XLOOKUP(A1728,'Adj factor'!A:A,'Adj factor'!I:I,,0)*AI1728),'Master DataSheet'!AI1728)</f>
        <v>5583</v>
      </c>
      <c r="AM1728" s="91">
        <f t="shared" si="479"/>
        <v>5583</v>
      </c>
      <c r="AN1728" s="92" t="str">
        <f t="shared" si="480"/>
        <v>Increasing</v>
      </c>
      <c r="AS1728" s="94">
        <f t="shared" si="481"/>
        <v>6.4360720846976527E-2</v>
      </c>
      <c r="AT1728" s="94">
        <f t="shared" si="482"/>
        <v>0.2144931137812118</v>
      </c>
      <c r="AU1728" s="94">
        <f t="shared" si="483"/>
        <v>0.85239571901006372</v>
      </c>
    </row>
    <row r="1729" spans="1:47" x14ac:dyDescent="0.3">
      <c r="A1729" s="85" t="str">
        <f>_xlfn.XLOOKUP(B1729,'Country codes &amp; Data sources'!G:G,'Country codes &amp; Data sources'!H:H,,0)</f>
        <v>Tanzania</v>
      </c>
      <c r="B1729" s="85" t="s">
        <v>197</v>
      </c>
      <c r="C1729" s="85">
        <v>47786148.5</v>
      </c>
      <c r="D1729" s="85" t="s">
        <v>337</v>
      </c>
      <c r="E1729" s="86">
        <v>99</v>
      </c>
      <c r="F1729" s="86">
        <v>49253643.5</v>
      </c>
      <c r="G1729" s="86">
        <v>0</v>
      </c>
      <c r="H1729" s="86"/>
      <c r="I1729" s="86">
        <v>104</v>
      </c>
      <c r="J1729" s="86"/>
      <c r="K1729" s="86">
        <v>0</v>
      </c>
      <c r="L1729" s="86"/>
      <c r="M1729" s="86">
        <v>0</v>
      </c>
      <c r="N1729" s="86"/>
      <c r="O1729" s="86">
        <v>0</v>
      </c>
      <c r="P1729" s="86">
        <v>58090443.000000007</v>
      </c>
      <c r="Q1729" s="86">
        <v>682</v>
      </c>
      <c r="R1729" s="87">
        <f t="shared" si="468"/>
        <v>682</v>
      </c>
      <c r="T1729" s="87">
        <v>0</v>
      </c>
      <c r="U1729" s="89"/>
      <c r="V1729" s="89">
        <v>0</v>
      </c>
      <c r="W1729" s="90"/>
      <c r="X1729" s="90">
        <v>0</v>
      </c>
      <c r="Y1729" s="90">
        <v>65497748.000000045</v>
      </c>
      <c r="Z1729" s="90">
        <v>583</v>
      </c>
      <c r="AA1729" s="90">
        <v>94</v>
      </c>
      <c r="AB1729" s="89">
        <f t="shared" si="469"/>
        <v>104</v>
      </c>
      <c r="AC1729" s="89">
        <f t="shared" si="470"/>
        <v>682</v>
      </c>
      <c r="AD1729" s="89">
        <f t="shared" si="471"/>
        <v>583</v>
      </c>
      <c r="AE1729" s="90">
        <f t="shared" si="472"/>
        <v>99</v>
      </c>
      <c r="AF1729" s="90">
        <f t="shared" si="473"/>
        <v>2012</v>
      </c>
      <c r="AG1729" s="90">
        <f t="shared" si="474"/>
        <v>682</v>
      </c>
      <c r="AH1729" s="90">
        <f t="shared" si="475"/>
        <v>2018</v>
      </c>
      <c r="AI1729" s="90">
        <f t="shared" si="476"/>
        <v>583</v>
      </c>
      <c r="AJ1729" s="90">
        <f t="shared" si="477"/>
        <v>2022</v>
      </c>
      <c r="AK1729" s="90" t="str">
        <f t="shared" si="478"/>
        <v>Adjust</v>
      </c>
      <c r="AL1729" s="91">
        <f>IF(AK1729="Adjust",(_xlfn.XLOOKUP(A1729,'Adj factor'!A:A,'Adj factor'!I:I,,0)*AI1729),'Master DataSheet'!AI1729)</f>
        <v>755.27784311079404</v>
      </c>
      <c r="AM1729" s="91">
        <f t="shared" si="479"/>
        <v>755.27784311079404</v>
      </c>
      <c r="AN1729" s="92" t="str">
        <f t="shared" si="480"/>
        <v>Increasing</v>
      </c>
      <c r="AS1729" s="94">
        <f t="shared" si="481"/>
        <v>2.010003584810939E-2</v>
      </c>
      <c r="AT1729" s="94">
        <f t="shared" si="482"/>
        <v>0.11740313290432298</v>
      </c>
      <c r="AU1729" s="94">
        <f t="shared" si="483"/>
        <v>0.11531355904187629</v>
      </c>
    </row>
    <row r="1730" spans="1:47" x14ac:dyDescent="0.3">
      <c r="A1730" s="85" t="str">
        <f>_xlfn.XLOOKUP(B1730,'Country codes &amp; Data sources'!G:G,'Country codes &amp; Data sources'!H:H,,0)</f>
        <v>Tanzania</v>
      </c>
      <c r="B1730" s="85" t="s">
        <v>197</v>
      </c>
      <c r="C1730" s="85">
        <v>47786149.5</v>
      </c>
      <c r="D1730" s="85" t="s">
        <v>338</v>
      </c>
      <c r="E1730" s="86">
        <v>366</v>
      </c>
      <c r="F1730" s="86">
        <v>49253643.5</v>
      </c>
      <c r="G1730" s="86">
        <v>0</v>
      </c>
      <c r="H1730" s="86"/>
      <c r="I1730" s="86">
        <v>933</v>
      </c>
      <c r="J1730" s="86"/>
      <c r="K1730" s="86">
        <v>0</v>
      </c>
      <c r="L1730" s="86"/>
      <c r="M1730" s="86">
        <v>0</v>
      </c>
      <c r="N1730" s="86"/>
      <c r="O1730" s="86">
        <v>0</v>
      </c>
      <c r="P1730" s="86">
        <v>58090443.000000007</v>
      </c>
      <c r="Q1730" s="86">
        <v>768</v>
      </c>
      <c r="R1730" s="87">
        <f t="shared" si="468"/>
        <v>768</v>
      </c>
      <c r="T1730" s="87">
        <v>0</v>
      </c>
      <c r="U1730" s="89"/>
      <c r="V1730" s="89">
        <v>0</v>
      </c>
      <c r="W1730" s="90"/>
      <c r="X1730" s="90">
        <v>0</v>
      </c>
      <c r="Y1730" s="90">
        <v>65497748.000000045</v>
      </c>
      <c r="Z1730" s="90">
        <v>449</v>
      </c>
      <c r="AA1730" s="90">
        <v>588</v>
      </c>
      <c r="AB1730" s="89">
        <f t="shared" si="469"/>
        <v>933</v>
      </c>
      <c r="AC1730" s="89">
        <f t="shared" si="470"/>
        <v>768</v>
      </c>
      <c r="AD1730" s="89">
        <f t="shared" si="471"/>
        <v>449</v>
      </c>
      <c r="AE1730" s="90">
        <f t="shared" si="472"/>
        <v>366</v>
      </c>
      <c r="AF1730" s="90">
        <f t="shared" si="473"/>
        <v>2012</v>
      </c>
      <c r="AG1730" s="90">
        <f t="shared" si="474"/>
        <v>768</v>
      </c>
      <c r="AH1730" s="90">
        <f t="shared" si="475"/>
        <v>2018</v>
      </c>
      <c r="AI1730" s="90">
        <f t="shared" si="476"/>
        <v>449</v>
      </c>
      <c r="AJ1730" s="90">
        <f t="shared" si="477"/>
        <v>2022</v>
      </c>
      <c r="AK1730" s="90" t="str">
        <f t="shared" si="478"/>
        <v>Adjust</v>
      </c>
      <c r="AL1730" s="91">
        <f>IF(AK1730="Adjust",(_xlfn.XLOOKUP(A1730,'Adj factor'!A:A,'Adj factor'!I:I,,0)*AI1730),'Master DataSheet'!AI1730)</f>
        <v>581.68053440265271</v>
      </c>
      <c r="AM1730" s="91">
        <f t="shared" si="479"/>
        <v>768</v>
      </c>
      <c r="AN1730" s="92" t="str">
        <f t="shared" si="480"/>
        <v>Decreasing</v>
      </c>
      <c r="AS1730" s="94">
        <f t="shared" si="481"/>
        <v>7.4309223438465008E-2</v>
      </c>
      <c r="AT1730" s="94">
        <f t="shared" si="482"/>
        <v>0.13220763353448689</v>
      </c>
      <c r="AU1730" s="94">
        <f t="shared" si="483"/>
        <v>0.117255939853077</v>
      </c>
    </row>
    <row r="1731" spans="1:47" x14ac:dyDescent="0.3">
      <c r="A1731" s="85" t="str">
        <f>_xlfn.XLOOKUP(B1731,'Country codes &amp; Data sources'!G:G,'Country codes &amp; Data sources'!H:H,,0)</f>
        <v>Tanzania</v>
      </c>
      <c r="B1731" s="85" t="s">
        <v>197</v>
      </c>
      <c r="C1731" s="85">
        <v>47786150.5</v>
      </c>
      <c r="D1731" s="85" t="s">
        <v>339</v>
      </c>
      <c r="E1731" s="86">
        <v>0</v>
      </c>
      <c r="F1731" s="86">
        <v>49253643.5</v>
      </c>
      <c r="G1731" s="86">
        <v>0</v>
      </c>
      <c r="H1731" s="86"/>
      <c r="I1731" s="86">
        <v>0</v>
      </c>
      <c r="J1731" s="86"/>
      <c r="K1731" s="86">
        <v>0</v>
      </c>
      <c r="L1731" s="86"/>
      <c r="M1731" s="86">
        <v>0</v>
      </c>
      <c r="N1731" s="86"/>
      <c r="O1731" s="86">
        <v>0</v>
      </c>
      <c r="P1731" s="86">
        <v>58090443.000000007</v>
      </c>
      <c r="Q1731" s="86">
        <v>0</v>
      </c>
      <c r="R1731" s="87">
        <f t="shared" si="468"/>
        <v>0</v>
      </c>
      <c r="T1731" s="87">
        <v>0</v>
      </c>
      <c r="U1731" s="89"/>
      <c r="V1731" s="89">
        <v>0</v>
      </c>
      <c r="W1731" s="90"/>
      <c r="X1731" s="90">
        <v>0</v>
      </c>
      <c r="Y1731" s="90">
        <v>65497748.000000045</v>
      </c>
      <c r="Z1731" s="90">
        <v>0</v>
      </c>
      <c r="AA1731" s="90">
        <v>0</v>
      </c>
      <c r="AB1731" s="89">
        <f t="shared" si="469"/>
        <v>0</v>
      </c>
      <c r="AC1731" s="89">
        <f t="shared" si="470"/>
        <v>0</v>
      </c>
      <c r="AD1731" s="89">
        <f t="shared" si="471"/>
        <v>0</v>
      </c>
      <c r="AE1731" s="90">
        <f t="shared" si="472"/>
        <v>0</v>
      </c>
      <c r="AF1731" s="90" t="str">
        <f t="shared" si="473"/>
        <v/>
      </c>
      <c r="AG1731" s="90">
        <f t="shared" si="474"/>
        <v>0</v>
      </c>
      <c r="AH1731" s="90" t="str">
        <f t="shared" si="475"/>
        <v/>
      </c>
      <c r="AI1731" s="90">
        <f t="shared" si="476"/>
        <v>0</v>
      </c>
      <c r="AJ1731" s="90" t="str">
        <f t="shared" si="477"/>
        <v/>
      </c>
      <c r="AK1731" s="90" t="str">
        <f t="shared" si="478"/>
        <v/>
      </c>
      <c r="AL1731" s="91">
        <f>IF(AK1731="Adjust",(_xlfn.XLOOKUP(A1731,'Adj factor'!A:A,'Adj factor'!I:I,,0)*AI1731),'Master DataSheet'!AI1731)</f>
        <v>0</v>
      </c>
      <c r="AM1731" s="91">
        <f t="shared" si="479"/>
        <v>0</v>
      </c>
      <c r="AN1731" s="92" t="str">
        <f t="shared" si="480"/>
        <v>No change</v>
      </c>
      <c r="AS1731" s="94">
        <f t="shared" si="481"/>
        <v>0</v>
      </c>
      <c r="AT1731" s="94">
        <f t="shared" si="482"/>
        <v>0</v>
      </c>
      <c r="AU1731" s="94">
        <f t="shared" si="483"/>
        <v>0</v>
      </c>
    </row>
    <row r="1732" spans="1:47" x14ac:dyDescent="0.3">
      <c r="A1732" s="85" t="str">
        <f>_xlfn.XLOOKUP(B1732,'Country codes &amp; Data sources'!G:G,'Country codes &amp; Data sources'!H:H,,0)</f>
        <v>Uganda</v>
      </c>
      <c r="B1732" s="85" t="s">
        <v>191</v>
      </c>
      <c r="C1732" s="85">
        <v>34273295.000000015</v>
      </c>
      <c r="D1732" s="85" t="s">
        <v>326</v>
      </c>
      <c r="E1732" s="86">
        <v>3370</v>
      </c>
      <c r="F1732" s="86">
        <v>35273569.999999993</v>
      </c>
      <c r="G1732" s="86">
        <v>0</v>
      </c>
      <c r="H1732" s="86">
        <v>36336539.50000003</v>
      </c>
      <c r="I1732" s="86">
        <v>0</v>
      </c>
      <c r="J1732" s="86">
        <v>37477355.999999978</v>
      </c>
      <c r="K1732" s="86">
        <v>3645</v>
      </c>
      <c r="L1732" s="86">
        <v>38748298.999999978</v>
      </c>
      <c r="M1732" s="86">
        <v>0</v>
      </c>
      <c r="N1732" s="86">
        <v>40127084.999999978</v>
      </c>
      <c r="O1732" s="86">
        <v>6918</v>
      </c>
      <c r="P1732" s="86">
        <v>41515395.000000015</v>
      </c>
      <c r="Q1732" s="86">
        <v>0</v>
      </c>
      <c r="R1732" s="87">
        <f t="shared" si="468"/>
        <v>17186</v>
      </c>
      <c r="S1732" s="87">
        <v>42949080.000000015</v>
      </c>
      <c r="T1732" s="87">
        <v>0</v>
      </c>
      <c r="U1732" s="89">
        <v>44404611.000000007</v>
      </c>
      <c r="V1732" s="89">
        <v>7031</v>
      </c>
      <c r="W1732" s="90">
        <v>45853778.000000022</v>
      </c>
      <c r="X1732" s="90">
        <v>0</v>
      </c>
      <c r="Y1732" s="90">
        <v>47249584.999999978</v>
      </c>
      <c r="Z1732" s="90">
        <v>7941</v>
      </c>
      <c r="AA1732" s="90">
        <v>17186</v>
      </c>
      <c r="AB1732" s="89">
        <f t="shared" si="469"/>
        <v>3645</v>
      </c>
      <c r="AC1732" s="89">
        <f t="shared" si="470"/>
        <v>6918</v>
      </c>
      <c r="AD1732" s="89">
        <f t="shared" si="471"/>
        <v>7941</v>
      </c>
      <c r="AE1732" s="90">
        <f t="shared" si="472"/>
        <v>3370</v>
      </c>
      <c r="AF1732" s="90">
        <f t="shared" si="473"/>
        <v>2012</v>
      </c>
      <c r="AG1732" s="90">
        <f t="shared" si="474"/>
        <v>17186</v>
      </c>
      <c r="AH1732" s="90" t="str">
        <f t="shared" si="475"/>
        <v>2018 (triag)</v>
      </c>
      <c r="AI1732" s="90">
        <f t="shared" si="476"/>
        <v>7941</v>
      </c>
      <c r="AJ1732" s="90">
        <f t="shared" si="477"/>
        <v>2022</v>
      </c>
      <c r="AK1732" s="90" t="str">
        <f t="shared" si="478"/>
        <v>Adjust</v>
      </c>
      <c r="AL1732" s="91">
        <f>IF(AK1732="Adjust",(_xlfn.XLOOKUP(A1732,'Adj factor'!A:A,'Adj factor'!I:I,,0)*AI1732),'Master DataSheet'!AI1732)</f>
        <v>9051.7813279678066</v>
      </c>
      <c r="AM1732" s="91">
        <f t="shared" si="479"/>
        <v>17186</v>
      </c>
      <c r="AN1732" s="92" t="str">
        <f t="shared" si="480"/>
        <v>Decreasing</v>
      </c>
      <c r="AS1732" s="94">
        <f t="shared" si="481"/>
        <v>0.95538954520339181</v>
      </c>
      <c r="AT1732" s="94">
        <f t="shared" si="482"/>
        <v>4.139669151648441</v>
      </c>
      <c r="AU1732" s="94">
        <f t="shared" si="483"/>
        <v>3.6372806237345805</v>
      </c>
    </row>
    <row r="1733" spans="1:47" x14ac:dyDescent="0.3">
      <c r="A1733" s="85" t="str">
        <f>_xlfn.XLOOKUP(B1733,'Country codes &amp; Data sources'!G:G,'Country codes &amp; Data sources'!H:H,,0)</f>
        <v>Uganda</v>
      </c>
      <c r="B1733" s="85" t="s">
        <v>191</v>
      </c>
      <c r="C1733" s="85">
        <v>34273296</v>
      </c>
      <c r="D1733" s="85" t="s">
        <v>327</v>
      </c>
      <c r="E1733" s="86">
        <v>0</v>
      </c>
      <c r="F1733" s="86">
        <v>35273569.999999993</v>
      </c>
      <c r="G1733" s="86">
        <v>0</v>
      </c>
      <c r="H1733" s="86"/>
      <c r="I1733" s="86">
        <v>0</v>
      </c>
      <c r="J1733" s="86"/>
      <c r="K1733" s="86">
        <v>0</v>
      </c>
      <c r="L1733" s="86"/>
      <c r="M1733" s="86">
        <v>0</v>
      </c>
      <c r="N1733" s="86"/>
      <c r="O1733" s="86">
        <v>0</v>
      </c>
      <c r="P1733" s="86">
        <v>41515395.000000015</v>
      </c>
      <c r="Q1733" s="86">
        <v>0</v>
      </c>
      <c r="R1733" s="87">
        <f t="shared" si="468"/>
        <v>17007</v>
      </c>
      <c r="T1733" s="87">
        <v>0</v>
      </c>
      <c r="U1733" s="89"/>
      <c r="V1733" s="89">
        <v>0</v>
      </c>
      <c r="W1733" s="90"/>
      <c r="X1733" s="90">
        <v>0</v>
      </c>
      <c r="Y1733" s="90">
        <v>47249584.999999978</v>
      </c>
      <c r="Z1733" s="90">
        <v>6369</v>
      </c>
      <c r="AA1733" s="90">
        <v>17007</v>
      </c>
      <c r="AB1733" s="89">
        <f t="shared" si="469"/>
        <v>0</v>
      </c>
      <c r="AC1733" s="89">
        <f t="shared" si="470"/>
        <v>0</v>
      </c>
      <c r="AD1733" s="89">
        <f t="shared" si="471"/>
        <v>6369</v>
      </c>
      <c r="AE1733" s="90">
        <f t="shared" si="472"/>
        <v>0</v>
      </c>
      <c r="AF1733" s="90" t="str">
        <f t="shared" si="473"/>
        <v/>
      </c>
      <c r="AG1733" s="90">
        <f t="shared" si="474"/>
        <v>17007</v>
      </c>
      <c r="AH1733" s="90" t="str">
        <f t="shared" si="475"/>
        <v>2018 (triag)</v>
      </c>
      <c r="AI1733" s="90">
        <f t="shared" si="476"/>
        <v>6369</v>
      </c>
      <c r="AJ1733" s="90">
        <f t="shared" si="477"/>
        <v>2022</v>
      </c>
      <c r="AK1733" s="90" t="str">
        <f t="shared" si="478"/>
        <v>Adjust</v>
      </c>
      <c r="AL1733" s="91">
        <f>IF(AK1733="Adjust",(_xlfn.XLOOKUP(A1733,'Adj factor'!A:A,'Adj factor'!I:I,,0)*AI1733),'Master DataSheet'!AI1733)</f>
        <v>7259.8911066398387</v>
      </c>
      <c r="AM1733" s="91">
        <f t="shared" si="479"/>
        <v>17007</v>
      </c>
      <c r="AN1733" s="92" t="str">
        <f t="shared" si="480"/>
        <v>Decreasing</v>
      </c>
      <c r="AS1733" s="94">
        <f t="shared" si="481"/>
        <v>0</v>
      </c>
      <c r="AT1733" s="94">
        <f t="shared" si="482"/>
        <v>4.0965526162041801</v>
      </c>
      <c r="AU1733" s="94">
        <f t="shared" si="483"/>
        <v>3.5993966931138144</v>
      </c>
    </row>
    <row r="1734" spans="1:47" x14ac:dyDescent="0.3">
      <c r="A1734" s="85" t="str">
        <f>_xlfn.XLOOKUP(B1734,'Country codes &amp; Data sources'!G:G,'Country codes &amp; Data sources'!H:H,,0)</f>
        <v>Uganda</v>
      </c>
      <c r="B1734" s="85" t="s">
        <v>191</v>
      </c>
      <c r="C1734" s="85">
        <v>34273297</v>
      </c>
      <c r="D1734" s="85" t="s">
        <v>328</v>
      </c>
      <c r="E1734" s="86">
        <v>0</v>
      </c>
      <c r="F1734" s="86">
        <v>35273569.999999993</v>
      </c>
      <c r="G1734" s="86">
        <v>0</v>
      </c>
      <c r="H1734" s="86"/>
      <c r="I1734" s="86">
        <v>0</v>
      </c>
      <c r="J1734" s="86"/>
      <c r="K1734" s="86">
        <v>0</v>
      </c>
      <c r="L1734" s="86"/>
      <c r="M1734" s="86">
        <v>0</v>
      </c>
      <c r="N1734" s="86"/>
      <c r="O1734" s="86">
        <v>0</v>
      </c>
      <c r="P1734" s="86">
        <v>41515395.000000015</v>
      </c>
      <c r="Q1734" s="86">
        <v>0</v>
      </c>
      <c r="R1734" s="87">
        <f t="shared" si="468"/>
        <v>179</v>
      </c>
      <c r="T1734" s="87">
        <v>0</v>
      </c>
      <c r="U1734" s="89"/>
      <c r="V1734" s="89">
        <v>0</v>
      </c>
      <c r="W1734" s="90"/>
      <c r="X1734" s="90">
        <v>0</v>
      </c>
      <c r="Y1734" s="90">
        <v>47249584.999999978</v>
      </c>
      <c r="Z1734" s="90">
        <v>1572</v>
      </c>
      <c r="AA1734" s="90">
        <v>179</v>
      </c>
      <c r="AB1734" s="89">
        <f t="shared" si="469"/>
        <v>0</v>
      </c>
      <c r="AC1734" s="89">
        <f t="shared" si="470"/>
        <v>0</v>
      </c>
      <c r="AD1734" s="89">
        <f t="shared" si="471"/>
        <v>1572</v>
      </c>
      <c r="AE1734" s="90">
        <f t="shared" si="472"/>
        <v>0</v>
      </c>
      <c r="AF1734" s="90" t="str">
        <f t="shared" si="473"/>
        <v/>
      </c>
      <c r="AG1734" s="90">
        <f t="shared" si="474"/>
        <v>179</v>
      </c>
      <c r="AH1734" s="90" t="str">
        <f t="shared" si="475"/>
        <v>2018 (triag)</v>
      </c>
      <c r="AI1734" s="90">
        <f t="shared" si="476"/>
        <v>1572</v>
      </c>
      <c r="AJ1734" s="90">
        <f t="shared" si="477"/>
        <v>2022</v>
      </c>
      <c r="AK1734" s="90" t="str">
        <f t="shared" si="478"/>
        <v/>
      </c>
      <c r="AL1734" s="91">
        <f>IF(AK1734="Adjust",(_xlfn.XLOOKUP(A1734,'Adj factor'!A:A,'Adj factor'!I:I,,0)*AI1734),'Master DataSheet'!AI1734)</f>
        <v>1572</v>
      </c>
      <c r="AM1734" s="91">
        <f t="shared" si="479"/>
        <v>1572</v>
      </c>
      <c r="AN1734" s="92" t="str">
        <f t="shared" si="480"/>
        <v>Increasing</v>
      </c>
      <c r="AS1734" s="94">
        <f t="shared" si="481"/>
        <v>0</v>
      </c>
      <c r="AT1734" s="94">
        <f t="shared" si="482"/>
        <v>4.3116535444261084E-2</v>
      </c>
      <c r="AU1734" s="94">
        <f t="shared" si="483"/>
        <v>0.33270133483712094</v>
      </c>
    </row>
    <row r="1735" spans="1:47" x14ac:dyDescent="0.3">
      <c r="A1735" s="85" t="str">
        <f>_xlfn.XLOOKUP(B1735,'Country codes &amp; Data sources'!G:G,'Country codes &amp; Data sources'!H:H,,0)</f>
        <v>Uganda</v>
      </c>
      <c r="B1735" s="85" t="s">
        <v>191</v>
      </c>
      <c r="C1735" s="85">
        <v>34273298</v>
      </c>
      <c r="D1735" s="85" t="s">
        <v>329</v>
      </c>
      <c r="E1735" s="86">
        <v>40816</v>
      </c>
      <c r="F1735" s="86">
        <v>35273569.999999993</v>
      </c>
      <c r="G1735" s="86">
        <v>40149</v>
      </c>
      <c r="H1735" s="86"/>
      <c r="I1735" s="86">
        <v>45388</v>
      </c>
      <c r="J1735" s="86"/>
      <c r="K1735" s="86">
        <v>50681</v>
      </c>
      <c r="L1735" s="86"/>
      <c r="M1735" s="86">
        <v>55228</v>
      </c>
      <c r="N1735" s="86"/>
      <c r="O1735" s="86">
        <v>60456</v>
      </c>
      <c r="P1735" s="86">
        <v>41515395.000000015</v>
      </c>
      <c r="Q1735" s="86">
        <v>52907</v>
      </c>
      <c r="R1735" s="87">
        <f t="shared" si="468"/>
        <v>52907</v>
      </c>
      <c r="T1735" s="87">
        <v>0</v>
      </c>
      <c r="U1735" s="89"/>
      <c r="V1735" s="89">
        <v>51327</v>
      </c>
      <c r="W1735" s="90"/>
      <c r="X1735" s="90">
        <v>0</v>
      </c>
      <c r="Y1735" s="90">
        <v>47249584.999999978</v>
      </c>
      <c r="Z1735" s="90">
        <v>74197</v>
      </c>
      <c r="AA1735" s="90">
        <v>16407</v>
      </c>
      <c r="AB1735" s="89">
        <f t="shared" si="469"/>
        <v>50681</v>
      </c>
      <c r="AC1735" s="89">
        <f t="shared" si="470"/>
        <v>60456</v>
      </c>
      <c r="AD1735" s="89">
        <f t="shared" si="471"/>
        <v>74197</v>
      </c>
      <c r="AE1735" s="90">
        <f t="shared" si="472"/>
        <v>40149</v>
      </c>
      <c r="AF1735" s="90">
        <f t="shared" si="473"/>
        <v>2013</v>
      </c>
      <c r="AG1735" s="90">
        <f t="shared" si="474"/>
        <v>52907</v>
      </c>
      <c r="AH1735" s="90">
        <f t="shared" si="475"/>
        <v>2018</v>
      </c>
      <c r="AI1735" s="90">
        <f t="shared" si="476"/>
        <v>74197</v>
      </c>
      <c r="AJ1735" s="90">
        <f t="shared" si="477"/>
        <v>2022</v>
      </c>
      <c r="AK1735" s="90" t="str">
        <f t="shared" si="478"/>
        <v/>
      </c>
      <c r="AL1735" s="91">
        <f>IF(AK1735="Adjust",(_xlfn.XLOOKUP(A1735,'Adj factor'!A:A,'Adj factor'!I:I,,0)*AI1735),'Master DataSheet'!AI1735)</f>
        <v>74197</v>
      </c>
      <c r="AM1735" s="91">
        <f t="shared" si="479"/>
        <v>74197</v>
      </c>
      <c r="AN1735" s="92" t="str">
        <f t="shared" si="480"/>
        <v>Increasing</v>
      </c>
      <c r="AS1735" s="94">
        <f t="shared" si="481"/>
        <v>11.382176513463198</v>
      </c>
      <c r="AT1735" s="94">
        <f t="shared" si="482"/>
        <v>12.743947155025257</v>
      </c>
      <c r="AU1735" s="94">
        <f t="shared" si="483"/>
        <v>15.703206705413399</v>
      </c>
    </row>
    <row r="1736" spans="1:47" x14ac:dyDescent="0.3">
      <c r="A1736" s="85" t="str">
        <f>_xlfn.XLOOKUP(B1736,'Country codes &amp; Data sources'!G:G,'Country codes &amp; Data sources'!H:H,,0)</f>
        <v>Uganda</v>
      </c>
      <c r="B1736" s="85" t="s">
        <v>191</v>
      </c>
      <c r="C1736" s="85">
        <v>34273299</v>
      </c>
      <c r="D1736" s="85" t="s">
        <v>330</v>
      </c>
      <c r="E1736" s="86">
        <v>0</v>
      </c>
      <c r="F1736" s="86">
        <v>35273569.999999993</v>
      </c>
      <c r="G1736" s="86">
        <v>14303</v>
      </c>
      <c r="H1736" s="86"/>
      <c r="I1736" s="86">
        <v>15406</v>
      </c>
      <c r="J1736" s="86"/>
      <c r="K1736" s="86">
        <v>16701</v>
      </c>
      <c r="L1736" s="86"/>
      <c r="M1736" s="86">
        <v>15597</v>
      </c>
      <c r="N1736" s="86"/>
      <c r="O1736" s="86">
        <v>15448</v>
      </c>
      <c r="P1736" s="86">
        <v>41515395.000000015</v>
      </c>
      <c r="Q1736" s="86">
        <v>5026</v>
      </c>
      <c r="R1736" s="87">
        <f t="shared" si="468"/>
        <v>5026</v>
      </c>
      <c r="T1736" s="87">
        <v>0</v>
      </c>
      <c r="U1736" s="89"/>
      <c r="V1736" s="89">
        <v>0</v>
      </c>
      <c r="W1736" s="90"/>
      <c r="X1736" s="90">
        <v>0</v>
      </c>
      <c r="Y1736" s="90">
        <v>47249584.999999978</v>
      </c>
      <c r="Z1736" s="90">
        <v>0</v>
      </c>
      <c r="AA1736" s="90">
        <v>0</v>
      </c>
      <c r="AB1736" s="89">
        <f t="shared" si="469"/>
        <v>16701</v>
      </c>
      <c r="AC1736" s="89">
        <f t="shared" si="470"/>
        <v>15597</v>
      </c>
      <c r="AD1736" s="89">
        <f t="shared" si="471"/>
        <v>0</v>
      </c>
      <c r="AE1736" s="90">
        <f t="shared" si="472"/>
        <v>14303</v>
      </c>
      <c r="AF1736" s="90">
        <f t="shared" si="473"/>
        <v>2013</v>
      </c>
      <c r="AG1736" s="90">
        <f t="shared" si="474"/>
        <v>5026</v>
      </c>
      <c r="AH1736" s="90">
        <f t="shared" si="475"/>
        <v>2018</v>
      </c>
      <c r="AI1736" s="90">
        <f t="shared" si="476"/>
        <v>5026</v>
      </c>
      <c r="AJ1736" s="90">
        <f t="shared" si="477"/>
        <v>2018</v>
      </c>
      <c r="AK1736" s="90" t="str">
        <f t="shared" si="478"/>
        <v/>
      </c>
      <c r="AL1736" s="91">
        <f>IF(AK1736="Adjust",(_xlfn.XLOOKUP(A1736,'Adj factor'!A:A,'Adj factor'!I:I,,0)*AI1736),'Master DataSheet'!AI1736)</f>
        <v>5026</v>
      </c>
      <c r="AM1736" s="91">
        <f t="shared" si="479"/>
        <v>5026</v>
      </c>
      <c r="AN1736" s="92" t="str">
        <f t="shared" si="480"/>
        <v>No change</v>
      </c>
      <c r="AS1736" s="94">
        <f t="shared" si="481"/>
        <v>4.0548773486777785</v>
      </c>
      <c r="AT1736" s="94">
        <f t="shared" si="482"/>
        <v>1.2106352354349508</v>
      </c>
      <c r="AU1736" s="94">
        <f t="shared" si="483"/>
        <v>1.063713046368556</v>
      </c>
    </row>
    <row r="1737" spans="1:47" x14ac:dyDescent="0.3">
      <c r="A1737" s="85" t="str">
        <f>_xlfn.XLOOKUP(B1737,'Country codes &amp; Data sources'!G:G,'Country codes &amp; Data sources'!H:H,,0)</f>
        <v>Uganda</v>
      </c>
      <c r="B1737" s="85" t="s">
        <v>191</v>
      </c>
      <c r="C1737" s="85">
        <v>34273300</v>
      </c>
      <c r="D1737" s="85" t="s">
        <v>331</v>
      </c>
      <c r="E1737" s="86">
        <v>0</v>
      </c>
      <c r="F1737" s="86">
        <v>35273569.999999993</v>
      </c>
      <c r="G1737" s="86">
        <v>25846</v>
      </c>
      <c r="H1737" s="86"/>
      <c r="I1737" s="86">
        <v>29982</v>
      </c>
      <c r="J1737" s="86"/>
      <c r="K1737" s="86">
        <v>33980</v>
      </c>
      <c r="L1737" s="86"/>
      <c r="M1737" s="86">
        <v>39631</v>
      </c>
      <c r="N1737" s="86"/>
      <c r="O1737" s="86">
        <v>45008</v>
      </c>
      <c r="P1737" s="86">
        <v>41515395.000000015</v>
      </c>
      <c r="Q1737" s="86">
        <v>47881</v>
      </c>
      <c r="R1737" s="87">
        <f t="shared" si="468"/>
        <v>47881</v>
      </c>
      <c r="T1737" s="87">
        <v>0</v>
      </c>
      <c r="U1737" s="89"/>
      <c r="V1737" s="89">
        <v>0</v>
      </c>
      <c r="W1737" s="90"/>
      <c r="X1737" s="90">
        <v>0</v>
      </c>
      <c r="Y1737" s="90">
        <v>47249584.999999978</v>
      </c>
      <c r="Z1737" s="90">
        <v>21425</v>
      </c>
      <c r="AA1737" s="90">
        <v>16407</v>
      </c>
      <c r="AB1737" s="89">
        <f t="shared" si="469"/>
        <v>33980</v>
      </c>
      <c r="AC1737" s="89">
        <f t="shared" si="470"/>
        <v>47881</v>
      </c>
      <c r="AD1737" s="89">
        <f t="shared" si="471"/>
        <v>21425</v>
      </c>
      <c r="AE1737" s="90">
        <f t="shared" si="472"/>
        <v>25846</v>
      </c>
      <c r="AF1737" s="90">
        <f t="shared" si="473"/>
        <v>2013</v>
      </c>
      <c r="AG1737" s="90">
        <f t="shared" si="474"/>
        <v>47881</v>
      </c>
      <c r="AH1737" s="90">
        <f t="shared" si="475"/>
        <v>2018</v>
      </c>
      <c r="AI1737" s="90">
        <f t="shared" si="476"/>
        <v>21425</v>
      </c>
      <c r="AJ1737" s="90">
        <f t="shared" si="477"/>
        <v>2022</v>
      </c>
      <c r="AK1737" s="90" t="str">
        <f t="shared" si="478"/>
        <v>Adjust</v>
      </c>
      <c r="AL1737" s="91">
        <f>IF(AK1737="Adjust",(_xlfn.XLOOKUP(A1737,'Adj factor'!A:A,'Adj factor'!I:I,,0)*AI1737),'Master DataSheet'!AI1737)</f>
        <v>24421.913480885312</v>
      </c>
      <c r="AM1737" s="91">
        <f t="shared" si="479"/>
        <v>47881</v>
      </c>
      <c r="AN1737" s="92" t="str">
        <f t="shared" si="480"/>
        <v>Decreasing</v>
      </c>
      <c r="AS1737" s="94">
        <f t="shared" si="481"/>
        <v>7.32729916478542</v>
      </c>
      <c r="AT1737" s="94">
        <f t="shared" si="482"/>
        <v>11.533311919590307</v>
      </c>
      <c r="AU1737" s="94">
        <f t="shared" si="483"/>
        <v>10.133633977949229</v>
      </c>
    </row>
    <row r="1738" spans="1:47" x14ac:dyDescent="0.3">
      <c r="A1738" s="85" t="str">
        <f>_xlfn.XLOOKUP(B1738,'Country codes &amp; Data sources'!G:G,'Country codes &amp; Data sources'!H:H,,0)</f>
        <v>Uganda</v>
      </c>
      <c r="B1738" s="85" t="s">
        <v>191</v>
      </c>
      <c r="C1738" s="85">
        <v>34273301</v>
      </c>
      <c r="D1738" s="85" t="s">
        <v>332</v>
      </c>
      <c r="E1738" s="86">
        <v>0</v>
      </c>
      <c r="F1738" s="86">
        <v>35273569.999999993</v>
      </c>
      <c r="G1738" s="86">
        <v>7000</v>
      </c>
      <c r="H1738" s="86"/>
      <c r="I1738" s="86">
        <v>0</v>
      </c>
      <c r="J1738" s="86"/>
      <c r="K1738" s="86">
        <v>8815</v>
      </c>
      <c r="L1738" s="86"/>
      <c r="M1738" s="86">
        <v>9802</v>
      </c>
      <c r="N1738" s="86"/>
      <c r="O1738" s="86">
        <v>0</v>
      </c>
      <c r="P1738" s="86">
        <v>41515395.000000015</v>
      </c>
      <c r="Q1738" s="86">
        <v>0</v>
      </c>
      <c r="R1738" s="87">
        <f t="shared" si="468"/>
        <v>7237</v>
      </c>
      <c r="T1738" s="87">
        <v>0</v>
      </c>
      <c r="U1738" s="89"/>
      <c r="V1738" s="89">
        <v>23546</v>
      </c>
      <c r="W1738" s="90"/>
      <c r="X1738" s="90">
        <v>0</v>
      </c>
      <c r="Y1738" s="90">
        <v>47249584.999999978</v>
      </c>
      <c r="Z1738" s="90">
        <v>32957</v>
      </c>
      <c r="AA1738" s="90">
        <v>7237</v>
      </c>
      <c r="AB1738" s="89">
        <f t="shared" si="469"/>
        <v>8815</v>
      </c>
      <c r="AC1738" s="89">
        <f t="shared" si="470"/>
        <v>9802</v>
      </c>
      <c r="AD1738" s="89">
        <f t="shared" si="471"/>
        <v>32957</v>
      </c>
      <c r="AE1738" s="90">
        <f t="shared" si="472"/>
        <v>7000</v>
      </c>
      <c r="AF1738" s="90">
        <f t="shared" si="473"/>
        <v>2013</v>
      </c>
      <c r="AG1738" s="90">
        <f t="shared" si="474"/>
        <v>7237</v>
      </c>
      <c r="AH1738" s="90" t="str">
        <f t="shared" si="475"/>
        <v>2018 (triag)</v>
      </c>
      <c r="AI1738" s="90">
        <f t="shared" si="476"/>
        <v>32957</v>
      </c>
      <c r="AJ1738" s="90">
        <f t="shared" si="477"/>
        <v>2022</v>
      </c>
      <c r="AK1738" s="90" t="str">
        <f t="shared" si="478"/>
        <v/>
      </c>
      <c r="AL1738" s="91">
        <f>IF(AK1738="Adjust",(_xlfn.XLOOKUP(A1738,'Adj factor'!A:A,'Adj factor'!I:I,,0)*AI1738),'Master DataSheet'!AI1738)</f>
        <v>32957</v>
      </c>
      <c r="AM1738" s="91">
        <f t="shared" si="479"/>
        <v>32957</v>
      </c>
      <c r="AN1738" s="92" t="str">
        <f t="shared" si="480"/>
        <v>Increasing</v>
      </c>
      <c r="AS1738" s="94">
        <f t="shared" si="481"/>
        <v>1.9844886695619415</v>
      </c>
      <c r="AT1738" s="94">
        <f t="shared" si="482"/>
        <v>1.7432087542464663</v>
      </c>
      <c r="AU1738" s="94">
        <f t="shared" si="483"/>
        <v>6.9750877177016513</v>
      </c>
    </row>
    <row r="1739" spans="1:47" x14ac:dyDescent="0.3">
      <c r="A1739" s="85" t="str">
        <f>_xlfn.XLOOKUP(B1739,'Country codes &amp; Data sources'!G:G,'Country codes &amp; Data sources'!H:H,,0)</f>
        <v>Uganda</v>
      </c>
      <c r="B1739" s="85" t="s">
        <v>191</v>
      </c>
      <c r="C1739" s="85">
        <v>34273302</v>
      </c>
      <c r="D1739" s="85" t="s">
        <v>333</v>
      </c>
      <c r="E1739" s="86">
        <v>0</v>
      </c>
      <c r="F1739" s="86">
        <v>35273569.999999993</v>
      </c>
      <c r="G1739" s="86">
        <v>7000</v>
      </c>
      <c r="H1739" s="86"/>
      <c r="I1739" s="86">
        <v>0</v>
      </c>
      <c r="J1739" s="86"/>
      <c r="K1739" s="86">
        <v>0</v>
      </c>
      <c r="L1739" s="86"/>
      <c r="M1739" s="86">
        <v>9802</v>
      </c>
      <c r="N1739" s="86"/>
      <c r="O1739" s="86">
        <v>0</v>
      </c>
      <c r="P1739" s="86">
        <v>41515395.000000015</v>
      </c>
      <c r="Q1739" s="86">
        <v>0</v>
      </c>
      <c r="R1739" s="87">
        <f t="shared" si="468"/>
        <v>0</v>
      </c>
      <c r="T1739" s="87">
        <v>0</v>
      </c>
      <c r="U1739" s="89"/>
      <c r="V1739" s="89">
        <v>0</v>
      </c>
      <c r="W1739" s="90"/>
      <c r="X1739" s="90">
        <v>0</v>
      </c>
      <c r="Y1739" s="90">
        <v>47249584.999999978</v>
      </c>
      <c r="Z1739" s="90">
        <v>0</v>
      </c>
      <c r="AA1739" s="90">
        <v>0</v>
      </c>
      <c r="AB1739" s="89">
        <f t="shared" si="469"/>
        <v>7000</v>
      </c>
      <c r="AC1739" s="89">
        <f t="shared" si="470"/>
        <v>9802</v>
      </c>
      <c r="AD1739" s="89">
        <f t="shared" si="471"/>
        <v>0</v>
      </c>
      <c r="AE1739" s="90">
        <f t="shared" si="472"/>
        <v>7000</v>
      </c>
      <c r="AF1739" s="90">
        <f t="shared" si="473"/>
        <v>2013</v>
      </c>
      <c r="AG1739" s="90">
        <f t="shared" si="474"/>
        <v>0</v>
      </c>
      <c r="AH1739" s="90" t="str">
        <f t="shared" si="475"/>
        <v/>
      </c>
      <c r="AI1739" s="90">
        <f t="shared" si="476"/>
        <v>0</v>
      </c>
      <c r="AJ1739" s="90" t="str">
        <f t="shared" si="477"/>
        <v/>
      </c>
      <c r="AK1739" s="90" t="str">
        <f t="shared" si="478"/>
        <v/>
      </c>
      <c r="AL1739" s="91">
        <f>IF(AK1739="Adjust",(_xlfn.XLOOKUP(A1739,'Adj factor'!A:A,'Adj factor'!I:I,,0)*AI1739),'Master DataSheet'!AI1739)</f>
        <v>0</v>
      </c>
      <c r="AM1739" s="91">
        <f t="shared" si="479"/>
        <v>0</v>
      </c>
      <c r="AN1739" s="92" t="str">
        <f t="shared" si="480"/>
        <v>No change</v>
      </c>
      <c r="AS1739" s="94">
        <f t="shared" si="481"/>
        <v>1.9844886695619415</v>
      </c>
      <c r="AT1739" s="94">
        <f t="shared" si="482"/>
        <v>0</v>
      </c>
      <c r="AU1739" s="94">
        <f t="shared" si="483"/>
        <v>0</v>
      </c>
    </row>
    <row r="1740" spans="1:47" x14ac:dyDescent="0.3">
      <c r="A1740" s="85" t="str">
        <f>_xlfn.XLOOKUP(B1740,'Country codes &amp; Data sources'!G:G,'Country codes &amp; Data sources'!H:H,,0)</f>
        <v>Uganda</v>
      </c>
      <c r="B1740" s="85" t="s">
        <v>191</v>
      </c>
      <c r="C1740" s="85">
        <v>34273303</v>
      </c>
      <c r="D1740" s="85" t="s">
        <v>334</v>
      </c>
      <c r="E1740" s="86">
        <v>0</v>
      </c>
      <c r="F1740" s="86">
        <v>35273569.999999993</v>
      </c>
      <c r="G1740" s="86">
        <v>0</v>
      </c>
      <c r="H1740" s="86"/>
      <c r="I1740" s="86">
        <v>0</v>
      </c>
      <c r="J1740" s="86"/>
      <c r="K1740" s="86">
        <v>0</v>
      </c>
      <c r="L1740" s="86"/>
      <c r="M1740" s="86">
        <v>0</v>
      </c>
      <c r="N1740" s="86"/>
      <c r="O1740" s="86">
        <v>0</v>
      </c>
      <c r="P1740" s="86">
        <v>41515395.000000015</v>
      </c>
      <c r="Q1740" s="86">
        <v>0</v>
      </c>
      <c r="R1740" s="87">
        <f t="shared" si="468"/>
        <v>7237</v>
      </c>
      <c r="T1740" s="87">
        <v>0</v>
      </c>
      <c r="U1740" s="89"/>
      <c r="V1740" s="89">
        <v>0</v>
      </c>
      <c r="W1740" s="90"/>
      <c r="X1740" s="90">
        <v>0</v>
      </c>
      <c r="Y1740" s="90">
        <v>47249584.999999978</v>
      </c>
      <c r="Z1740" s="90">
        <v>8698</v>
      </c>
      <c r="AA1740" s="90">
        <v>7237</v>
      </c>
      <c r="AB1740" s="89">
        <f t="shared" si="469"/>
        <v>0</v>
      </c>
      <c r="AC1740" s="89">
        <f t="shared" si="470"/>
        <v>0</v>
      </c>
      <c r="AD1740" s="89">
        <f t="shared" si="471"/>
        <v>8698</v>
      </c>
      <c r="AE1740" s="90">
        <f t="shared" si="472"/>
        <v>0</v>
      </c>
      <c r="AF1740" s="90" t="str">
        <f t="shared" si="473"/>
        <v/>
      </c>
      <c r="AG1740" s="90">
        <f t="shared" si="474"/>
        <v>7237</v>
      </c>
      <c r="AH1740" s="90" t="str">
        <f t="shared" si="475"/>
        <v>2018 (triag)</v>
      </c>
      <c r="AI1740" s="90">
        <f t="shared" si="476"/>
        <v>8698</v>
      </c>
      <c r="AJ1740" s="90">
        <f t="shared" si="477"/>
        <v>2022</v>
      </c>
      <c r="AK1740" s="90" t="str">
        <f t="shared" si="478"/>
        <v/>
      </c>
      <c r="AL1740" s="91">
        <f>IF(AK1740="Adjust",(_xlfn.XLOOKUP(A1740,'Adj factor'!A:A,'Adj factor'!I:I,,0)*AI1740),'Master DataSheet'!AI1740)</f>
        <v>8698</v>
      </c>
      <c r="AM1740" s="91">
        <f t="shared" si="479"/>
        <v>8698</v>
      </c>
      <c r="AN1740" s="92" t="str">
        <f t="shared" si="480"/>
        <v>Increasing</v>
      </c>
      <c r="AS1740" s="94">
        <f t="shared" si="481"/>
        <v>0</v>
      </c>
      <c r="AT1740" s="94">
        <f t="shared" si="482"/>
        <v>1.7432087542464663</v>
      </c>
      <c r="AU1740" s="94">
        <f t="shared" si="483"/>
        <v>1.8408627292705331</v>
      </c>
    </row>
    <row r="1741" spans="1:47" x14ac:dyDescent="0.3">
      <c r="A1741" s="85" t="str">
        <f>_xlfn.XLOOKUP(B1741,'Country codes &amp; Data sources'!G:G,'Country codes &amp; Data sources'!H:H,,0)</f>
        <v>Uganda</v>
      </c>
      <c r="B1741" s="85" t="s">
        <v>191</v>
      </c>
      <c r="C1741" s="85">
        <v>34273304</v>
      </c>
      <c r="D1741" s="85" t="s">
        <v>335</v>
      </c>
      <c r="E1741" s="86">
        <v>550</v>
      </c>
      <c r="F1741" s="86">
        <v>35273569.999999993</v>
      </c>
      <c r="G1741" s="86">
        <v>0</v>
      </c>
      <c r="H1741" s="86"/>
      <c r="I1741" s="86">
        <v>0</v>
      </c>
      <c r="J1741" s="86"/>
      <c r="K1741" s="86">
        <v>45</v>
      </c>
      <c r="L1741" s="86"/>
      <c r="M1741" s="86">
        <v>0</v>
      </c>
      <c r="N1741" s="86"/>
      <c r="O1741" s="86">
        <v>0</v>
      </c>
      <c r="P1741" s="86">
        <v>41515395.000000015</v>
      </c>
      <c r="Q1741" s="86">
        <v>324</v>
      </c>
      <c r="R1741" s="87">
        <f t="shared" si="468"/>
        <v>324</v>
      </c>
      <c r="T1741" s="87">
        <v>0</v>
      </c>
      <c r="U1741" s="89"/>
      <c r="V1741" s="89">
        <v>1717</v>
      </c>
      <c r="W1741" s="90"/>
      <c r="X1741" s="90">
        <v>0</v>
      </c>
      <c r="Y1741" s="90">
        <v>47249584.999999978</v>
      </c>
      <c r="Z1741" s="90">
        <v>1712</v>
      </c>
      <c r="AA1741" s="90">
        <v>90</v>
      </c>
      <c r="AB1741" s="89">
        <f t="shared" si="469"/>
        <v>550</v>
      </c>
      <c r="AC1741" s="89">
        <f t="shared" si="470"/>
        <v>324</v>
      </c>
      <c r="AD1741" s="89">
        <f t="shared" si="471"/>
        <v>1717</v>
      </c>
      <c r="AE1741" s="90">
        <f t="shared" si="472"/>
        <v>550</v>
      </c>
      <c r="AF1741" s="90">
        <f t="shared" si="473"/>
        <v>2012</v>
      </c>
      <c r="AG1741" s="90">
        <f t="shared" si="474"/>
        <v>324</v>
      </c>
      <c r="AH1741" s="90">
        <f t="shared" si="475"/>
        <v>2018</v>
      </c>
      <c r="AI1741" s="90">
        <f t="shared" si="476"/>
        <v>1712</v>
      </c>
      <c r="AJ1741" s="90">
        <f t="shared" si="477"/>
        <v>2022</v>
      </c>
      <c r="AK1741" s="90" t="str">
        <f t="shared" si="478"/>
        <v/>
      </c>
      <c r="AL1741" s="91">
        <f>IF(AK1741="Adjust",(_xlfn.XLOOKUP(A1741,'Adj factor'!A:A,'Adj factor'!I:I,,0)*AI1741),'Master DataSheet'!AI1741)</f>
        <v>1712</v>
      </c>
      <c r="AM1741" s="91">
        <f t="shared" si="479"/>
        <v>1712</v>
      </c>
      <c r="AN1741" s="92" t="str">
        <f t="shared" si="480"/>
        <v>Increasing</v>
      </c>
      <c r="AS1741" s="94">
        <f t="shared" si="481"/>
        <v>0.15592410975129542</v>
      </c>
      <c r="AT1741" s="94">
        <f t="shared" si="482"/>
        <v>7.8043337899109444E-2</v>
      </c>
      <c r="AU1741" s="94">
        <f t="shared" si="483"/>
        <v>0.36233122470811135</v>
      </c>
    </row>
    <row r="1742" spans="1:47" x14ac:dyDescent="0.3">
      <c r="A1742" s="85" t="str">
        <f>_xlfn.XLOOKUP(B1742,'Country codes &amp; Data sources'!G:G,'Country codes &amp; Data sources'!H:H,,0)</f>
        <v>Uganda</v>
      </c>
      <c r="B1742" s="85" t="s">
        <v>191</v>
      </c>
      <c r="C1742" s="85">
        <v>34273305</v>
      </c>
      <c r="D1742" s="85" t="s">
        <v>336</v>
      </c>
      <c r="E1742" s="86">
        <v>650</v>
      </c>
      <c r="F1742" s="86">
        <v>35273569.999999993</v>
      </c>
      <c r="G1742" s="86">
        <v>0</v>
      </c>
      <c r="H1742" s="86"/>
      <c r="I1742" s="86">
        <v>0</v>
      </c>
      <c r="J1742" s="86"/>
      <c r="K1742" s="86">
        <v>0</v>
      </c>
      <c r="L1742" s="86"/>
      <c r="M1742" s="86">
        <v>0</v>
      </c>
      <c r="N1742" s="86"/>
      <c r="O1742" s="86">
        <v>0</v>
      </c>
      <c r="P1742" s="86">
        <v>41515395.000000015</v>
      </c>
      <c r="Q1742" s="86">
        <v>0</v>
      </c>
      <c r="R1742" s="87">
        <f t="shared" si="468"/>
        <v>234</v>
      </c>
      <c r="T1742" s="87">
        <v>0</v>
      </c>
      <c r="U1742" s="89"/>
      <c r="V1742" s="89">
        <v>0</v>
      </c>
      <c r="W1742" s="90"/>
      <c r="X1742" s="90">
        <v>0</v>
      </c>
      <c r="Y1742" s="90">
        <v>47249584.999999978</v>
      </c>
      <c r="Z1742" s="90">
        <v>1820</v>
      </c>
      <c r="AA1742" s="90">
        <v>234</v>
      </c>
      <c r="AB1742" s="89">
        <f t="shared" si="469"/>
        <v>650</v>
      </c>
      <c r="AC1742" s="89">
        <f t="shared" si="470"/>
        <v>0</v>
      </c>
      <c r="AD1742" s="89">
        <f t="shared" si="471"/>
        <v>1820</v>
      </c>
      <c r="AE1742" s="90">
        <f t="shared" si="472"/>
        <v>650</v>
      </c>
      <c r="AF1742" s="90">
        <f t="shared" si="473"/>
        <v>2012</v>
      </c>
      <c r="AG1742" s="90">
        <f t="shared" si="474"/>
        <v>234</v>
      </c>
      <c r="AH1742" s="90" t="str">
        <f t="shared" si="475"/>
        <v>2018 (triag)</v>
      </c>
      <c r="AI1742" s="90">
        <f t="shared" si="476"/>
        <v>1820</v>
      </c>
      <c r="AJ1742" s="90">
        <f t="shared" si="477"/>
        <v>2022</v>
      </c>
      <c r="AK1742" s="90" t="str">
        <f t="shared" si="478"/>
        <v/>
      </c>
      <c r="AL1742" s="91">
        <f>IF(AK1742="Adjust",(_xlfn.XLOOKUP(A1742,'Adj factor'!A:A,'Adj factor'!I:I,,0)*AI1742),'Master DataSheet'!AI1742)</f>
        <v>1820</v>
      </c>
      <c r="AM1742" s="91">
        <f t="shared" si="479"/>
        <v>1820</v>
      </c>
      <c r="AN1742" s="92" t="str">
        <f t="shared" si="480"/>
        <v>Increasing</v>
      </c>
      <c r="AS1742" s="94">
        <f t="shared" si="481"/>
        <v>0.18427394788789458</v>
      </c>
      <c r="AT1742" s="94">
        <f t="shared" si="482"/>
        <v>5.6364632927134603E-2</v>
      </c>
      <c r="AU1742" s="94">
        <f t="shared" si="483"/>
        <v>0.3851885683228754</v>
      </c>
    </row>
    <row r="1743" spans="1:47" ht="14.5" x14ac:dyDescent="0.35">
      <c r="A1743" s="85" t="str">
        <f>_xlfn.XLOOKUP(B1743,'Country codes &amp; Data sources'!G:G,'Country codes &amp; Data sources'!H:H,,0)</f>
        <v>Uganda</v>
      </c>
      <c r="B1743" s="85" t="s">
        <v>191</v>
      </c>
      <c r="C1743" s="85">
        <v>34273306</v>
      </c>
      <c r="D1743" s="85" t="s">
        <v>337</v>
      </c>
      <c r="E1743" s="86">
        <v>0</v>
      </c>
      <c r="F1743" s="86">
        <v>35273569.999999993</v>
      </c>
      <c r="G1743" s="86">
        <v>0</v>
      </c>
      <c r="H1743" s="86"/>
      <c r="I1743" s="86">
        <v>0</v>
      </c>
      <c r="J1743" s="86"/>
      <c r="K1743" s="86">
        <v>276</v>
      </c>
      <c r="L1743" s="86"/>
      <c r="M1743" s="86">
        <v>0</v>
      </c>
      <c r="N1743" s="86"/>
      <c r="O1743" s="86">
        <v>0</v>
      </c>
      <c r="P1743" s="86">
        <v>41515395.000000015</v>
      </c>
      <c r="Q1743" s="86">
        <v>26</v>
      </c>
      <c r="R1743" s="87">
        <f t="shared" si="468"/>
        <v>26</v>
      </c>
      <c r="T1743" s="87">
        <v>310</v>
      </c>
      <c r="U1743" s="89"/>
      <c r="V1743" s="89">
        <v>255</v>
      </c>
      <c r="W1743" s="90"/>
      <c r="X1743" s="90">
        <v>0</v>
      </c>
      <c r="Y1743" s="90">
        <v>47249584.999999978</v>
      </c>
      <c r="Z1743" s="111">
        <v>504</v>
      </c>
      <c r="AA1743" s="90">
        <v>0</v>
      </c>
      <c r="AB1743" s="89">
        <f t="shared" si="469"/>
        <v>276</v>
      </c>
      <c r="AC1743" s="89">
        <f t="shared" si="470"/>
        <v>310</v>
      </c>
      <c r="AD1743" s="89">
        <f t="shared" si="471"/>
        <v>504</v>
      </c>
      <c r="AE1743" s="90">
        <f t="shared" si="472"/>
        <v>276</v>
      </c>
      <c r="AF1743" s="90">
        <f t="shared" si="473"/>
        <v>2015</v>
      </c>
      <c r="AG1743" s="90">
        <f t="shared" si="474"/>
        <v>26</v>
      </c>
      <c r="AH1743" s="90">
        <f t="shared" si="475"/>
        <v>2018</v>
      </c>
      <c r="AI1743" s="90">
        <f t="shared" si="476"/>
        <v>504</v>
      </c>
      <c r="AJ1743" s="90">
        <f t="shared" si="477"/>
        <v>2022</v>
      </c>
      <c r="AK1743" s="90" t="str">
        <f t="shared" si="478"/>
        <v/>
      </c>
      <c r="AL1743" s="91">
        <f>IF(AK1743="Adjust",(_xlfn.XLOOKUP(A1743,'Adj factor'!A:A,'Adj factor'!I:I,,0)*AI1743),'Master DataSheet'!AI1743)</f>
        <v>504</v>
      </c>
      <c r="AM1743" s="91">
        <f t="shared" si="479"/>
        <v>504</v>
      </c>
      <c r="AN1743" s="92" t="str">
        <f t="shared" si="480"/>
        <v>Increasing</v>
      </c>
      <c r="AS1743" s="94">
        <f t="shared" si="481"/>
        <v>7.8245553257013697E-2</v>
      </c>
      <c r="AT1743" s="94">
        <f t="shared" si="482"/>
        <v>6.2627369919038443E-3</v>
      </c>
      <c r="AU1743" s="94">
        <f t="shared" si="483"/>
        <v>0.10666760353556549</v>
      </c>
    </row>
    <row r="1744" spans="1:47" ht="14.5" x14ac:dyDescent="0.35">
      <c r="A1744" s="85" t="str">
        <f>_xlfn.XLOOKUP(B1744,'Country codes &amp; Data sources'!G:G,'Country codes &amp; Data sources'!H:H,,0)</f>
        <v>Uganda</v>
      </c>
      <c r="B1744" s="85" t="s">
        <v>191</v>
      </c>
      <c r="C1744" s="85">
        <v>34273307</v>
      </c>
      <c r="D1744" s="85" t="s">
        <v>338</v>
      </c>
      <c r="E1744" s="86">
        <v>0</v>
      </c>
      <c r="F1744" s="86">
        <v>35273569.999999993</v>
      </c>
      <c r="G1744" s="86">
        <v>0</v>
      </c>
      <c r="H1744" s="86"/>
      <c r="I1744" s="86">
        <v>0</v>
      </c>
      <c r="J1744" s="86"/>
      <c r="K1744" s="86">
        <v>0</v>
      </c>
      <c r="L1744" s="86"/>
      <c r="M1744" s="86">
        <v>0</v>
      </c>
      <c r="N1744" s="86"/>
      <c r="O1744" s="86">
        <v>0</v>
      </c>
      <c r="P1744" s="86">
        <v>41515395.000000015</v>
      </c>
      <c r="Q1744" s="86">
        <v>0</v>
      </c>
      <c r="R1744" s="87">
        <f t="shared" si="468"/>
        <v>26</v>
      </c>
      <c r="T1744" s="87">
        <v>900</v>
      </c>
      <c r="U1744" s="89"/>
      <c r="V1744" s="89">
        <v>0</v>
      </c>
      <c r="W1744" s="90"/>
      <c r="X1744" s="90">
        <v>0</v>
      </c>
      <c r="Y1744" s="90">
        <v>47249584.999999978</v>
      </c>
      <c r="Z1744" s="111">
        <v>1084</v>
      </c>
      <c r="AA1744" s="90">
        <v>26</v>
      </c>
      <c r="AB1744" s="89">
        <f t="shared" si="469"/>
        <v>0</v>
      </c>
      <c r="AC1744" s="89">
        <f t="shared" si="470"/>
        <v>900</v>
      </c>
      <c r="AD1744" s="89">
        <f t="shared" si="471"/>
        <v>1084</v>
      </c>
      <c r="AE1744" s="90">
        <f t="shared" si="472"/>
        <v>0</v>
      </c>
      <c r="AF1744" s="90" t="str">
        <f t="shared" si="473"/>
        <v/>
      </c>
      <c r="AG1744" s="90">
        <f t="shared" si="474"/>
        <v>26</v>
      </c>
      <c r="AH1744" s="90" t="str">
        <f t="shared" si="475"/>
        <v>2018 (triag)</v>
      </c>
      <c r="AI1744" s="111">
        <v>1084</v>
      </c>
      <c r="AJ1744" s="90">
        <f t="shared" si="477"/>
        <v>2022</v>
      </c>
      <c r="AK1744" s="90" t="str">
        <f t="shared" si="478"/>
        <v/>
      </c>
      <c r="AL1744" s="91">
        <f>IF(AK1744="Adjust",(_xlfn.XLOOKUP(A1744,'Adj factor'!A:A,'Adj factor'!I:I,,0)*AI1744),'Master DataSheet'!AI1744)</f>
        <v>1084</v>
      </c>
      <c r="AM1744" s="91">
        <f t="shared" si="479"/>
        <v>1084</v>
      </c>
      <c r="AN1744" s="92" t="str">
        <f t="shared" si="480"/>
        <v>Increasing</v>
      </c>
      <c r="AS1744" s="94">
        <f t="shared" si="481"/>
        <v>0</v>
      </c>
      <c r="AT1744" s="94">
        <f t="shared" si="482"/>
        <v>6.2627369919038443E-3</v>
      </c>
      <c r="AU1744" s="94">
        <f t="shared" si="483"/>
        <v>0.22942000442966864</v>
      </c>
    </row>
    <row r="1745" spans="1:47" x14ac:dyDescent="0.3">
      <c r="A1745" s="85" t="str">
        <f>_xlfn.XLOOKUP(B1745,'Country codes &amp; Data sources'!G:G,'Country codes &amp; Data sources'!H:H,,0)</f>
        <v>Uganda</v>
      </c>
      <c r="B1745" s="85" t="s">
        <v>191</v>
      </c>
      <c r="C1745" s="85">
        <v>34273308</v>
      </c>
      <c r="D1745" s="85" t="s">
        <v>339</v>
      </c>
      <c r="E1745" s="86">
        <v>0</v>
      </c>
      <c r="F1745" s="86">
        <v>35273569.999999993</v>
      </c>
      <c r="G1745" s="86">
        <v>0</v>
      </c>
      <c r="H1745" s="86"/>
      <c r="I1745" s="86">
        <v>0</v>
      </c>
      <c r="J1745" s="86"/>
      <c r="K1745" s="86">
        <v>0</v>
      </c>
      <c r="L1745" s="86"/>
      <c r="M1745" s="86">
        <v>0</v>
      </c>
      <c r="N1745" s="86"/>
      <c r="O1745" s="86">
        <v>0</v>
      </c>
      <c r="P1745" s="86">
        <v>41515395.000000015</v>
      </c>
      <c r="Q1745" s="86">
        <v>0</v>
      </c>
      <c r="R1745" s="87">
        <f t="shared" si="468"/>
        <v>0</v>
      </c>
      <c r="T1745" s="87">
        <v>0</v>
      </c>
      <c r="U1745" s="89"/>
      <c r="V1745" s="89">
        <v>0</v>
      </c>
      <c r="W1745" s="90"/>
      <c r="X1745" s="90">
        <v>0</v>
      </c>
      <c r="Y1745" s="90">
        <v>47249584.999999978</v>
      </c>
      <c r="Z1745" s="90">
        <v>0</v>
      </c>
      <c r="AA1745" s="90">
        <v>0</v>
      </c>
      <c r="AB1745" s="89">
        <f t="shared" si="469"/>
        <v>0</v>
      </c>
      <c r="AC1745" s="89">
        <f t="shared" si="470"/>
        <v>0</v>
      </c>
      <c r="AD1745" s="89">
        <f t="shared" si="471"/>
        <v>0</v>
      </c>
      <c r="AE1745" s="90">
        <f t="shared" si="472"/>
        <v>0</v>
      </c>
      <c r="AF1745" s="90" t="str">
        <f t="shared" si="473"/>
        <v/>
      </c>
      <c r="AG1745" s="90">
        <f t="shared" si="474"/>
        <v>0</v>
      </c>
      <c r="AH1745" s="90" t="str">
        <f t="shared" si="475"/>
        <v/>
      </c>
      <c r="AI1745" s="90">
        <f t="shared" si="476"/>
        <v>0</v>
      </c>
      <c r="AJ1745" s="90" t="str">
        <f t="shared" si="477"/>
        <v/>
      </c>
      <c r="AK1745" s="90" t="str">
        <f t="shared" si="478"/>
        <v/>
      </c>
      <c r="AL1745" s="91">
        <f>IF(AK1745="Adjust",(_xlfn.XLOOKUP(A1745,'Adj factor'!A:A,'Adj factor'!I:I,,0)*AI1745),'Master DataSheet'!AI1745)</f>
        <v>0</v>
      </c>
      <c r="AM1745" s="91">
        <f t="shared" si="479"/>
        <v>0</v>
      </c>
      <c r="AN1745" s="92" t="str">
        <f t="shared" si="480"/>
        <v>No change</v>
      </c>
      <c r="AS1745" s="94">
        <f t="shared" si="481"/>
        <v>0</v>
      </c>
      <c r="AT1745" s="94">
        <f t="shared" si="482"/>
        <v>0</v>
      </c>
      <c r="AU1745" s="94">
        <f t="shared" si="483"/>
        <v>0</v>
      </c>
    </row>
    <row r="1746" spans="1:47" x14ac:dyDescent="0.3">
      <c r="A1746" s="85" t="str">
        <f>_xlfn.XLOOKUP(B1746,'Country codes &amp; Data sources'!G:G,'Country codes &amp; Data sources'!H:H,,0)</f>
        <v>South Africa</v>
      </c>
      <c r="B1746" s="85" t="s">
        <v>187</v>
      </c>
      <c r="C1746" s="85">
        <v>53145033.000000007</v>
      </c>
      <c r="D1746" s="85" t="s">
        <v>326</v>
      </c>
      <c r="E1746" s="86">
        <v>0</v>
      </c>
      <c r="F1746" s="86">
        <v>53873616</v>
      </c>
      <c r="G1746" s="86">
        <v>0</v>
      </c>
      <c r="H1746" s="86">
        <v>54729550.99999997</v>
      </c>
      <c r="I1746" s="86">
        <v>0</v>
      </c>
      <c r="J1746" s="86">
        <v>55876503.999999993</v>
      </c>
      <c r="K1746" s="86">
        <v>0</v>
      </c>
      <c r="L1746" s="86">
        <v>56422273.499999985</v>
      </c>
      <c r="M1746" s="86">
        <v>43141</v>
      </c>
      <c r="N1746" s="86">
        <v>56641209.500000007</v>
      </c>
      <c r="O1746" s="86">
        <v>44653</v>
      </c>
      <c r="P1746" s="86">
        <v>57339635.000000015</v>
      </c>
      <c r="Q1746" s="86">
        <v>43503</v>
      </c>
      <c r="R1746" s="87">
        <f t="shared" si="468"/>
        <v>43503</v>
      </c>
      <c r="S1746" s="87">
        <v>58087054.999999985</v>
      </c>
      <c r="T1746" s="87">
        <v>46393</v>
      </c>
      <c r="U1746" s="89">
        <v>58801926.500000022</v>
      </c>
      <c r="V1746" s="89">
        <v>0</v>
      </c>
      <c r="W1746" s="90">
        <v>59392255</v>
      </c>
      <c r="X1746" s="90">
        <v>48021</v>
      </c>
      <c r="Y1746" s="90">
        <v>59893885.5</v>
      </c>
      <c r="Z1746" s="90">
        <v>0</v>
      </c>
      <c r="AA1746" s="90">
        <v>43503</v>
      </c>
      <c r="AB1746" s="89">
        <f t="shared" si="469"/>
        <v>0</v>
      </c>
      <c r="AC1746" s="89">
        <f t="shared" si="470"/>
        <v>46393</v>
      </c>
      <c r="AD1746" s="89">
        <f t="shared" si="471"/>
        <v>48021</v>
      </c>
      <c r="AE1746" s="90">
        <f t="shared" si="472"/>
        <v>0</v>
      </c>
      <c r="AF1746" s="90" t="str">
        <f t="shared" si="473"/>
        <v/>
      </c>
      <c r="AG1746" s="90">
        <f t="shared" si="474"/>
        <v>43503</v>
      </c>
      <c r="AH1746" s="90">
        <f t="shared" si="475"/>
        <v>2018</v>
      </c>
      <c r="AI1746" s="90">
        <f t="shared" si="476"/>
        <v>48021</v>
      </c>
      <c r="AJ1746" s="90">
        <f t="shared" si="477"/>
        <v>2021</v>
      </c>
      <c r="AK1746" s="90" t="str">
        <f t="shared" si="478"/>
        <v/>
      </c>
      <c r="AL1746" s="91">
        <f>IF(AK1746="Adjust",(_xlfn.XLOOKUP(A1746,'Adj factor'!A:A,'Adj factor'!I:I,,0)*AI1746),'Master DataSheet'!AI1746)</f>
        <v>48021</v>
      </c>
      <c r="AM1746" s="91">
        <f t="shared" si="479"/>
        <v>48021</v>
      </c>
      <c r="AN1746" s="92" t="str">
        <f t="shared" si="480"/>
        <v>Increasing</v>
      </c>
      <c r="AS1746" s="94">
        <f t="shared" si="481"/>
        <v>0</v>
      </c>
      <c r="AT1746" s="94">
        <f t="shared" si="482"/>
        <v>7.5868986609349687</v>
      </c>
      <c r="AU1746" s="94">
        <f t="shared" si="483"/>
        <v>8.0176798681728538</v>
      </c>
    </row>
    <row r="1747" spans="1:47" x14ac:dyDescent="0.3">
      <c r="A1747" s="85" t="str">
        <f>_xlfn.XLOOKUP(B1747,'Country codes &amp; Data sources'!G:G,'Country codes &amp; Data sources'!H:H,,0)</f>
        <v>South Africa</v>
      </c>
      <c r="B1747" s="85" t="s">
        <v>187</v>
      </c>
      <c r="C1747" s="85">
        <v>53145034</v>
      </c>
      <c r="D1747" s="85" t="s">
        <v>327</v>
      </c>
      <c r="E1747" s="86">
        <v>0</v>
      </c>
      <c r="F1747" s="86">
        <v>53873616</v>
      </c>
      <c r="G1747" s="86">
        <v>0</v>
      </c>
      <c r="H1747" s="86"/>
      <c r="I1747" s="86">
        <v>0</v>
      </c>
      <c r="J1747" s="86"/>
      <c r="K1747" s="86">
        <v>0</v>
      </c>
      <c r="L1747" s="86"/>
      <c r="M1747" s="86">
        <v>0</v>
      </c>
      <c r="N1747" s="86"/>
      <c r="O1747" s="86">
        <v>0</v>
      </c>
      <c r="P1747" s="86">
        <v>57339635.000000015</v>
      </c>
      <c r="Q1747" s="86">
        <v>29311</v>
      </c>
      <c r="R1747" s="87">
        <f t="shared" si="468"/>
        <v>29311</v>
      </c>
      <c r="T1747" s="87">
        <v>0</v>
      </c>
      <c r="U1747" s="89"/>
      <c r="V1747" s="89">
        <v>0</v>
      </c>
      <c r="W1747" s="90"/>
      <c r="X1747" s="90">
        <v>0</v>
      </c>
      <c r="Y1747" s="90">
        <v>59893885.5</v>
      </c>
      <c r="Z1747" s="90">
        <v>0</v>
      </c>
      <c r="AA1747" s="90">
        <v>29311</v>
      </c>
      <c r="AB1747" s="89">
        <f t="shared" si="469"/>
        <v>0</v>
      </c>
      <c r="AC1747" s="89">
        <f t="shared" si="470"/>
        <v>29311</v>
      </c>
      <c r="AD1747" s="89">
        <f t="shared" si="471"/>
        <v>0</v>
      </c>
      <c r="AE1747" s="90">
        <f t="shared" si="472"/>
        <v>0</v>
      </c>
      <c r="AF1747" s="90" t="str">
        <f t="shared" si="473"/>
        <v/>
      </c>
      <c r="AG1747" s="90">
        <f t="shared" si="474"/>
        <v>29311</v>
      </c>
      <c r="AH1747" s="90">
        <f t="shared" si="475"/>
        <v>2018</v>
      </c>
      <c r="AI1747" s="90">
        <f t="shared" si="476"/>
        <v>29311</v>
      </c>
      <c r="AJ1747" s="90">
        <f t="shared" si="477"/>
        <v>2018</v>
      </c>
      <c r="AK1747" s="90" t="str">
        <f t="shared" si="478"/>
        <v/>
      </c>
      <c r="AL1747" s="91">
        <f>IF(AK1747="Adjust",(_xlfn.XLOOKUP(A1747,'Adj factor'!A:A,'Adj factor'!I:I,,0)*AI1747),'Master DataSheet'!AI1747)</f>
        <v>29311</v>
      </c>
      <c r="AM1747" s="91">
        <f t="shared" si="479"/>
        <v>29311</v>
      </c>
      <c r="AN1747" s="92" t="str">
        <f t="shared" si="480"/>
        <v>No change</v>
      </c>
      <c r="AS1747" s="94">
        <f t="shared" si="481"/>
        <v>0</v>
      </c>
      <c r="AT1747" s="94">
        <f t="shared" si="482"/>
        <v>5.1118218663233543</v>
      </c>
      <c r="AU1747" s="94">
        <f t="shared" si="483"/>
        <v>4.8938217574814047</v>
      </c>
    </row>
    <row r="1748" spans="1:47" x14ac:dyDescent="0.3">
      <c r="A1748" s="85" t="str">
        <f>_xlfn.XLOOKUP(B1748,'Country codes &amp; Data sources'!G:G,'Country codes &amp; Data sources'!H:H,,0)</f>
        <v>South Africa</v>
      </c>
      <c r="B1748" s="85" t="s">
        <v>187</v>
      </c>
      <c r="C1748" s="85">
        <v>53145035</v>
      </c>
      <c r="D1748" s="85" t="s">
        <v>328</v>
      </c>
      <c r="E1748" s="86">
        <v>0</v>
      </c>
      <c r="F1748" s="86">
        <v>53873616</v>
      </c>
      <c r="G1748" s="86">
        <v>0</v>
      </c>
      <c r="H1748" s="86"/>
      <c r="I1748" s="86">
        <v>0</v>
      </c>
      <c r="J1748" s="86"/>
      <c r="K1748" s="86">
        <v>0</v>
      </c>
      <c r="L1748" s="86"/>
      <c r="M1748" s="86">
        <v>0</v>
      </c>
      <c r="N1748" s="86"/>
      <c r="O1748" s="86">
        <v>0</v>
      </c>
      <c r="P1748" s="86">
        <v>57339635.000000015</v>
      </c>
      <c r="Q1748" s="86">
        <v>14192</v>
      </c>
      <c r="R1748" s="87">
        <f t="shared" si="468"/>
        <v>14192</v>
      </c>
      <c r="T1748" s="87">
        <v>0</v>
      </c>
      <c r="U1748" s="89"/>
      <c r="V1748" s="89">
        <v>0</v>
      </c>
      <c r="W1748" s="90"/>
      <c r="X1748" s="90">
        <v>0</v>
      </c>
      <c r="Y1748" s="90">
        <v>59893885.5</v>
      </c>
      <c r="Z1748" s="90">
        <v>0</v>
      </c>
      <c r="AA1748" s="90">
        <v>14192</v>
      </c>
      <c r="AB1748" s="89">
        <f t="shared" si="469"/>
        <v>0</v>
      </c>
      <c r="AC1748" s="89">
        <f t="shared" si="470"/>
        <v>14192</v>
      </c>
      <c r="AD1748" s="89">
        <f t="shared" si="471"/>
        <v>0</v>
      </c>
      <c r="AE1748" s="90">
        <f t="shared" si="472"/>
        <v>0</v>
      </c>
      <c r="AF1748" s="90" t="str">
        <f t="shared" si="473"/>
        <v/>
      </c>
      <c r="AG1748" s="90">
        <f t="shared" si="474"/>
        <v>14192</v>
      </c>
      <c r="AH1748" s="90">
        <f t="shared" si="475"/>
        <v>2018</v>
      </c>
      <c r="AI1748" s="90">
        <f t="shared" si="476"/>
        <v>14192</v>
      </c>
      <c r="AJ1748" s="90">
        <f t="shared" si="477"/>
        <v>2018</v>
      </c>
      <c r="AK1748" s="90" t="str">
        <f t="shared" si="478"/>
        <v/>
      </c>
      <c r="AL1748" s="91">
        <f>IF(AK1748="Adjust",(_xlfn.XLOOKUP(A1748,'Adj factor'!A:A,'Adj factor'!I:I,,0)*AI1748),'Master DataSheet'!AI1748)</f>
        <v>14192</v>
      </c>
      <c r="AM1748" s="91">
        <f t="shared" si="479"/>
        <v>14192</v>
      </c>
      <c r="AN1748" s="92" t="str">
        <f t="shared" si="480"/>
        <v>No change</v>
      </c>
      <c r="AS1748" s="94">
        <f t="shared" si="481"/>
        <v>0</v>
      </c>
      <c r="AT1748" s="94">
        <f t="shared" si="482"/>
        <v>2.4750767946116148</v>
      </c>
      <c r="AU1748" s="94">
        <f t="shared" si="483"/>
        <v>2.3695240142668652</v>
      </c>
    </row>
    <row r="1749" spans="1:47" x14ac:dyDescent="0.3">
      <c r="A1749" s="85" t="str">
        <f>_xlfn.XLOOKUP(B1749,'Country codes &amp; Data sources'!G:G,'Country codes &amp; Data sources'!H:H,,0)</f>
        <v>South Africa</v>
      </c>
      <c r="B1749" s="85" t="s">
        <v>187</v>
      </c>
      <c r="C1749" s="85">
        <v>53145036</v>
      </c>
      <c r="D1749" s="85" t="s">
        <v>329</v>
      </c>
      <c r="E1749" s="86">
        <v>58722</v>
      </c>
      <c r="F1749" s="86">
        <v>53873616</v>
      </c>
      <c r="G1749" s="86">
        <v>0</v>
      </c>
      <c r="H1749" s="86"/>
      <c r="I1749" s="86">
        <v>0</v>
      </c>
      <c r="J1749" s="86"/>
      <c r="K1749" s="86">
        <v>0</v>
      </c>
      <c r="L1749" s="86"/>
      <c r="M1749" s="86">
        <v>0</v>
      </c>
      <c r="N1749" s="86"/>
      <c r="O1749" s="86">
        <v>0</v>
      </c>
      <c r="P1749" s="86">
        <v>57339635.000000015</v>
      </c>
      <c r="Q1749" s="86">
        <v>70552</v>
      </c>
      <c r="R1749" s="87">
        <f t="shared" si="468"/>
        <v>287458</v>
      </c>
      <c r="T1749" s="87">
        <v>64638</v>
      </c>
      <c r="U1749" s="89"/>
      <c r="V1749" s="89">
        <v>61028</v>
      </c>
      <c r="W1749" s="90"/>
      <c r="X1749" s="90">
        <v>0</v>
      </c>
      <c r="Y1749" s="90">
        <v>59893885.5</v>
      </c>
      <c r="Z1749" s="103">
        <v>271047</v>
      </c>
      <c r="AA1749" s="90">
        <v>287458</v>
      </c>
      <c r="AB1749" s="89">
        <f t="shared" si="469"/>
        <v>58722</v>
      </c>
      <c r="AC1749" s="89">
        <f t="shared" si="470"/>
        <v>70552</v>
      </c>
      <c r="AD1749" s="89">
        <f t="shared" si="471"/>
        <v>271047</v>
      </c>
      <c r="AE1749" s="90">
        <f t="shared" si="472"/>
        <v>58722</v>
      </c>
      <c r="AF1749" s="90">
        <f t="shared" si="473"/>
        <v>2012</v>
      </c>
      <c r="AG1749" s="90">
        <f t="shared" si="474"/>
        <v>287458</v>
      </c>
      <c r="AH1749" s="90" t="str">
        <f t="shared" si="475"/>
        <v>2018 (triag)</v>
      </c>
      <c r="AI1749" s="90">
        <f t="shared" si="476"/>
        <v>271047</v>
      </c>
      <c r="AJ1749" s="90">
        <f t="shared" si="477"/>
        <v>2022</v>
      </c>
      <c r="AK1749" s="90" t="str">
        <f t="shared" si="478"/>
        <v>Adjust</v>
      </c>
      <c r="AL1749" s="91">
        <f>IF(AK1749="Adjust",(_xlfn.XLOOKUP(A1749,'Adj factor'!A:A,'Adj factor'!I:I,,0)*AI1749),'Master DataSheet'!AI1749)</f>
        <v>397261.24962174537</v>
      </c>
      <c r="AM1749" s="91">
        <f t="shared" si="479"/>
        <v>397261.24962174537</v>
      </c>
      <c r="AN1749" s="92" t="str">
        <f t="shared" si="480"/>
        <v>Increasing</v>
      </c>
      <c r="AS1749" s="94">
        <f t="shared" si="481"/>
        <v>10.899955183999529</v>
      </c>
      <c r="AT1749" s="94">
        <f t="shared" si="482"/>
        <v>50.132513051399776</v>
      </c>
      <c r="AU1749" s="94">
        <f t="shared" si="483"/>
        <v>66.327513452394967</v>
      </c>
    </row>
    <row r="1750" spans="1:47" x14ac:dyDescent="0.3">
      <c r="A1750" s="85" t="str">
        <f>_xlfn.XLOOKUP(B1750,'Country codes &amp; Data sources'!G:G,'Country codes &amp; Data sources'!H:H,,0)</f>
        <v>South Africa</v>
      </c>
      <c r="B1750" s="85" t="s">
        <v>187</v>
      </c>
      <c r="C1750" s="85">
        <v>53145037</v>
      </c>
      <c r="D1750" s="85" t="s">
        <v>330</v>
      </c>
      <c r="E1750" s="86">
        <v>0</v>
      </c>
      <c r="F1750" s="86">
        <v>53873616</v>
      </c>
      <c r="G1750" s="86">
        <v>0</v>
      </c>
      <c r="H1750" s="86"/>
      <c r="I1750" s="86">
        <v>0</v>
      </c>
      <c r="J1750" s="86"/>
      <c r="K1750" s="86">
        <v>0</v>
      </c>
      <c r="L1750" s="86"/>
      <c r="M1750" s="86">
        <v>0</v>
      </c>
      <c r="N1750" s="86"/>
      <c r="O1750" s="86">
        <v>0</v>
      </c>
      <c r="P1750" s="86">
        <v>57339635.000000015</v>
      </c>
      <c r="Q1750" s="86">
        <v>0</v>
      </c>
      <c r="R1750" s="87">
        <f t="shared" si="468"/>
        <v>140598</v>
      </c>
      <c r="T1750" s="87">
        <v>0</v>
      </c>
      <c r="U1750" s="89"/>
      <c r="V1750" s="89">
        <v>0</v>
      </c>
      <c r="W1750" s="90"/>
      <c r="X1750" s="90">
        <v>0</v>
      </c>
      <c r="Y1750" s="90">
        <v>59893885.5</v>
      </c>
      <c r="Z1750" s="90">
        <v>0</v>
      </c>
      <c r="AA1750" s="90">
        <v>140598</v>
      </c>
      <c r="AB1750" s="89">
        <f t="shared" si="469"/>
        <v>0</v>
      </c>
      <c r="AC1750" s="89">
        <f t="shared" si="470"/>
        <v>0</v>
      </c>
      <c r="AD1750" s="89">
        <f t="shared" si="471"/>
        <v>0</v>
      </c>
      <c r="AE1750" s="90">
        <f t="shared" si="472"/>
        <v>0</v>
      </c>
      <c r="AF1750" s="90" t="str">
        <f t="shared" si="473"/>
        <v/>
      </c>
      <c r="AG1750" s="90">
        <f t="shared" si="474"/>
        <v>140598</v>
      </c>
      <c r="AH1750" s="90" t="str">
        <f t="shared" si="475"/>
        <v>2018 (triag)</v>
      </c>
      <c r="AI1750" s="90">
        <f t="shared" si="476"/>
        <v>140598</v>
      </c>
      <c r="AJ1750" s="90" t="str">
        <f t="shared" si="477"/>
        <v>2018 (triag)</v>
      </c>
      <c r="AK1750" s="90" t="str">
        <f t="shared" si="478"/>
        <v/>
      </c>
      <c r="AL1750" s="91">
        <f>IF(AK1750="Adjust",(_xlfn.XLOOKUP(A1750,'Adj factor'!A:A,'Adj factor'!I:I,,0)*AI1750),'Master DataSheet'!AI1750)</f>
        <v>140598</v>
      </c>
      <c r="AM1750" s="91">
        <f t="shared" si="479"/>
        <v>140598</v>
      </c>
      <c r="AN1750" s="92" t="str">
        <f t="shared" si="480"/>
        <v>No change</v>
      </c>
      <c r="AS1750" s="94">
        <f t="shared" si="481"/>
        <v>0</v>
      </c>
      <c r="AT1750" s="94">
        <f t="shared" si="482"/>
        <v>24.520211891826651</v>
      </c>
      <c r="AU1750" s="94">
        <f t="shared" si="483"/>
        <v>23.474516442918034</v>
      </c>
    </row>
    <row r="1751" spans="1:47" x14ac:dyDescent="0.3">
      <c r="A1751" s="85" t="str">
        <f>_xlfn.XLOOKUP(B1751,'Country codes &amp; Data sources'!G:G,'Country codes &amp; Data sources'!H:H,,0)</f>
        <v>South Africa</v>
      </c>
      <c r="B1751" s="85" t="s">
        <v>187</v>
      </c>
      <c r="C1751" s="85">
        <v>53145038</v>
      </c>
      <c r="D1751" s="85" t="s">
        <v>331</v>
      </c>
      <c r="E1751" s="86">
        <v>0</v>
      </c>
      <c r="F1751" s="86">
        <v>53873616</v>
      </c>
      <c r="G1751" s="86">
        <v>0</v>
      </c>
      <c r="H1751" s="86"/>
      <c r="I1751" s="86">
        <v>0</v>
      </c>
      <c r="J1751" s="86"/>
      <c r="K1751" s="86">
        <v>0</v>
      </c>
      <c r="L1751" s="86"/>
      <c r="M1751" s="86">
        <v>0</v>
      </c>
      <c r="N1751" s="86"/>
      <c r="O1751" s="86">
        <v>0</v>
      </c>
      <c r="P1751" s="86">
        <v>57339635.000000015</v>
      </c>
      <c r="Q1751" s="86">
        <v>0</v>
      </c>
      <c r="R1751" s="87">
        <f t="shared" si="468"/>
        <v>146860</v>
      </c>
      <c r="T1751" s="87">
        <v>0</v>
      </c>
      <c r="U1751" s="89"/>
      <c r="V1751" s="89">
        <v>0</v>
      </c>
      <c r="W1751" s="90"/>
      <c r="X1751" s="90">
        <v>0</v>
      </c>
      <c r="Y1751" s="90">
        <v>59893885.5</v>
      </c>
      <c r="Z1751" s="90">
        <v>0</v>
      </c>
      <c r="AA1751" s="90">
        <v>146860</v>
      </c>
      <c r="AB1751" s="89">
        <f t="shared" si="469"/>
        <v>0</v>
      </c>
      <c r="AC1751" s="89">
        <f t="shared" si="470"/>
        <v>0</v>
      </c>
      <c r="AD1751" s="89">
        <f t="shared" si="471"/>
        <v>0</v>
      </c>
      <c r="AE1751" s="90">
        <f t="shared" si="472"/>
        <v>0</v>
      </c>
      <c r="AF1751" s="90" t="str">
        <f t="shared" si="473"/>
        <v/>
      </c>
      <c r="AG1751" s="90">
        <f t="shared" si="474"/>
        <v>146860</v>
      </c>
      <c r="AH1751" s="90" t="str">
        <f t="shared" si="475"/>
        <v>2018 (triag)</v>
      </c>
      <c r="AI1751" s="90">
        <f t="shared" si="476"/>
        <v>146860</v>
      </c>
      <c r="AJ1751" s="90" t="str">
        <f t="shared" si="477"/>
        <v>2018 (triag)</v>
      </c>
      <c r="AK1751" s="90" t="str">
        <f t="shared" si="478"/>
        <v/>
      </c>
      <c r="AL1751" s="91">
        <f>IF(AK1751="Adjust",(_xlfn.XLOOKUP(A1751,'Adj factor'!A:A,'Adj factor'!I:I,,0)*AI1751),'Master DataSheet'!AI1751)</f>
        <v>146860</v>
      </c>
      <c r="AM1751" s="91">
        <f t="shared" si="479"/>
        <v>146860</v>
      </c>
      <c r="AN1751" s="92" t="str">
        <f t="shared" si="480"/>
        <v>No change</v>
      </c>
      <c r="AS1751" s="94">
        <f t="shared" si="481"/>
        <v>0</v>
      </c>
      <c r="AT1751" s="94">
        <f t="shared" si="482"/>
        <v>25.612301159573121</v>
      </c>
      <c r="AU1751" s="94">
        <f t="shared" si="483"/>
        <v>24.520032182583979</v>
      </c>
    </row>
    <row r="1752" spans="1:47" x14ac:dyDescent="0.3">
      <c r="A1752" s="85" t="str">
        <f>_xlfn.XLOOKUP(B1752,'Country codes &amp; Data sources'!G:G,'Country codes &amp; Data sources'!H:H,,0)</f>
        <v>South Africa</v>
      </c>
      <c r="B1752" s="85" t="s">
        <v>187</v>
      </c>
      <c r="C1752" s="85">
        <v>53145039</v>
      </c>
      <c r="D1752" s="85" t="s">
        <v>332</v>
      </c>
      <c r="E1752" s="86">
        <v>0</v>
      </c>
      <c r="F1752" s="86">
        <v>53873616</v>
      </c>
      <c r="G1752" s="86">
        <v>0</v>
      </c>
      <c r="H1752" s="86"/>
      <c r="I1752" s="86">
        <v>0</v>
      </c>
      <c r="J1752" s="86"/>
      <c r="K1752" s="86">
        <v>0</v>
      </c>
      <c r="L1752" s="86"/>
      <c r="M1752" s="86">
        <v>1284</v>
      </c>
      <c r="N1752" s="86"/>
      <c r="O1752" s="86">
        <v>0</v>
      </c>
      <c r="P1752" s="86">
        <v>57339635.000000015</v>
      </c>
      <c r="Q1752" s="86">
        <v>0</v>
      </c>
      <c r="R1752" s="87">
        <f t="shared" si="468"/>
        <v>0</v>
      </c>
      <c r="T1752" s="87">
        <v>0</v>
      </c>
      <c r="U1752" s="89"/>
      <c r="V1752" s="89">
        <v>0</v>
      </c>
      <c r="W1752" s="90"/>
      <c r="X1752" s="90">
        <v>0</v>
      </c>
      <c r="Y1752" s="90">
        <v>59893885.5</v>
      </c>
      <c r="Z1752" s="90">
        <v>0</v>
      </c>
      <c r="AA1752" s="90">
        <v>0</v>
      </c>
      <c r="AB1752" s="89">
        <f t="shared" si="469"/>
        <v>0</v>
      </c>
      <c r="AC1752" s="89">
        <f t="shared" si="470"/>
        <v>1284</v>
      </c>
      <c r="AD1752" s="89">
        <f t="shared" si="471"/>
        <v>0</v>
      </c>
      <c r="AE1752" s="90">
        <f t="shared" si="472"/>
        <v>0</v>
      </c>
      <c r="AF1752" s="90" t="str">
        <f t="shared" si="473"/>
        <v/>
      </c>
      <c r="AG1752" s="90">
        <f t="shared" si="474"/>
        <v>0</v>
      </c>
      <c r="AH1752" s="90" t="str">
        <f t="shared" si="475"/>
        <v/>
      </c>
      <c r="AI1752" s="90">
        <f t="shared" si="476"/>
        <v>0</v>
      </c>
      <c r="AJ1752" s="90" t="str">
        <f t="shared" si="477"/>
        <v/>
      </c>
      <c r="AK1752" s="90" t="str">
        <f t="shared" si="478"/>
        <v/>
      </c>
      <c r="AL1752" s="91">
        <f>IF(AK1752="Adjust",(_xlfn.XLOOKUP(A1752,'Adj factor'!A:A,'Adj factor'!I:I,,0)*AI1752),'Master DataSheet'!AI1752)</f>
        <v>0</v>
      </c>
      <c r="AM1752" s="91">
        <f t="shared" si="479"/>
        <v>0</v>
      </c>
      <c r="AN1752" s="92" t="str">
        <f t="shared" si="480"/>
        <v>No change</v>
      </c>
      <c r="AS1752" s="94">
        <f t="shared" si="481"/>
        <v>0</v>
      </c>
      <c r="AT1752" s="94">
        <f t="shared" si="482"/>
        <v>0</v>
      </c>
      <c r="AU1752" s="94">
        <f t="shared" si="483"/>
        <v>0</v>
      </c>
    </row>
    <row r="1753" spans="1:47" x14ac:dyDescent="0.3">
      <c r="A1753" s="85" t="str">
        <f>_xlfn.XLOOKUP(B1753,'Country codes &amp; Data sources'!G:G,'Country codes &amp; Data sources'!H:H,,0)</f>
        <v>South Africa</v>
      </c>
      <c r="B1753" s="85" t="s">
        <v>187</v>
      </c>
      <c r="C1753" s="85">
        <v>53145040</v>
      </c>
      <c r="D1753" s="85" t="s">
        <v>333</v>
      </c>
      <c r="E1753" s="86">
        <v>0</v>
      </c>
      <c r="F1753" s="86">
        <v>53873616</v>
      </c>
      <c r="G1753" s="86">
        <v>0</v>
      </c>
      <c r="H1753" s="86"/>
      <c r="I1753" s="86">
        <v>0</v>
      </c>
      <c r="J1753" s="86"/>
      <c r="K1753" s="86">
        <v>0</v>
      </c>
      <c r="L1753" s="86"/>
      <c r="M1753" s="86">
        <v>1284</v>
      </c>
      <c r="N1753" s="86"/>
      <c r="O1753" s="86">
        <v>0</v>
      </c>
      <c r="P1753" s="86">
        <v>57339635.000000015</v>
      </c>
      <c r="Q1753" s="86">
        <v>0</v>
      </c>
      <c r="R1753" s="87">
        <f t="shared" si="468"/>
        <v>0</v>
      </c>
      <c r="T1753" s="87">
        <v>0</v>
      </c>
      <c r="U1753" s="89"/>
      <c r="V1753" s="89">
        <v>0</v>
      </c>
      <c r="W1753" s="90"/>
      <c r="X1753" s="90">
        <v>0</v>
      </c>
      <c r="Y1753" s="90">
        <v>59893885.5</v>
      </c>
      <c r="Z1753" s="90">
        <v>0</v>
      </c>
      <c r="AA1753" s="90">
        <v>0</v>
      </c>
      <c r="AB1753" s="89">
        <f t="shared" si="469"/>
        <v>0</v>
      </c>
      <c r="AC1753" s="89">
        <f t="shared" si="470"/>
        <v>1284</v>
      </c>
      <c r="AD1753" s="89">
        <f t="shared" si="471"/>
        <v>0</v>
      </c>
      <c r="AE1753" s="90">
        <f t="shared" si="472"/>
        <v>0</v>
      </c>
      <c r="AF1753" s="90" t="str">
        <f t="shared" si="473"/>
        <v/>
      </c>
      <c r="AG1753" s="90">
        <f t="shared" si="474"/>
        <v>0</v>
      </c>
      <c r="AH1753" s="90" t="str">
        <f t="shared" si="475"/>
        <v/>
      </c>
      <c r="AI1753" s="90">
        <f t="shared" si="476"/>
        <v>0</v>
      </c>
      <c r="AJ1753" s="90" t="str">
        <f t="shared" si="477"/>
        <v/>
      </c>
      <c r="AK1753" s="90" t="str">
        <f t="shared" si="478"/>
        <v/>
      </c>
      <c r="AL1753" s="91">
        <f>IF(AK1753="Adjust",(_xlfn.XLOOKUP(A1753,'Adj factor'!A:A,'Adj factor'!I:I,,0)*AI1753),'Master DataSheet'!AI1753)</f>
        <v>0</v>
      </c>
      <c r="AM1753" s="91">
        <f t="shared" si="479"/>
        <v>0</v>
      </c>
      <c r="AN1753" s="92" t="str">
        <f t="shared" si="480"/>
        <v>No change</v>
      </c>
      <c r="AS1753" s="94">
        <f t="shared" si="481"/>
        <v>0</v>
      </c>
      <c r="AT1753" s="94">
        <f t="shared" si="482"/>
        <v>0</v>
      </c>
      <c r="AU1753" s="94">
        <f t="shared" si="483"/>
        <v>0</v>
      </c>
    </row>
    <row r="1754" spans="1:47" x14ac:dyDescent="0.3">
      <c r="A1754" s="85" t="str">
        <f>_xlfn.XLOOKUP(B1754,'Country codes &amp; Data sources'!G:G,'Country codes &amp; Data sources'!H:H,,0)</f>
        <v>South Africa</v>
      </c>
      <c r="B1754" s="85" t="s">
        <v>187</v>
      </c>
      <c r="C1754" s="85">
        <v>53145041</v>
      </c>
      <c r="D1754" s="85" t="s">
        <v>334</v>
      </c>
      <c r="E1754" s="86">
        <v>0</v>
      </c>
      <c r="F1754" s="86">
        <v>53873616</v>
      </c>
      <c r="G1754" s="86">
        <v>0</v>
      </c>
      <c r="H1754" s="86"/>
      <c r="I1754" s="86">
        <v>0</v>
      </c>
      <c r="J1754" s="86"/>
      <c r="K1754" s="86">
        <v>0</v>
      </c>
      <c r="L1754" s="86"/>
      <c r="M1754" s="86">
        <v>0</v>
      </c>
      <c r="N1754" s="86"/>
      <c r="O1754" s="86">
        <v>0</v>
      </c>
      <c r="P1754" s="86">
        <v>57339635.000000015</v>
      </c>
      <c r="Q1754" s="86">
        <v>0</v>
      </c>
      <c r="R1754" s="87">
        <f t="shared" si="468"/>
        <v>0</v>
      </c>
      <c r="T1754" s="87">
        <v>0</v>
      </c>
      <c r="U1754" s="89"/>
      <c r="V1754" s="89">
        <v>0</v>
      </c>
      <c r="W1754" s="90"/>
      <c r="X1754" s="90">
        <v>0</v>
      </c>
      <c r="Y1754" s="90">
        <v>59893885.5</v>
      </c>
      <c r="Z1754" s="90">
        <v>0</v>
      </c>
      <c r="AA1754" s="90">
        <v>0</v>
      </c>
      <c r="AB1754" s="89">
        <f t="shared" si="469"/>
        <v>0</v>
      </c>
      <c r="AC1754" s="89">
        <f t="shared" si="470"/>
        <v>0</v>
      </c>
      <c r="AD1754" s="89">
        <f t="shared" si="471"/>
        <v>0</v>
      </c>
      <c r="AE1754" s="90">
        <f t="shared" si="472"/>
        <v>0</v>
      </c>
      <c r="AF1754" s="90" t="str">
        <f t="shared" si="473"/>
        <v/>
      </c>
      <c r="AG1754" s="90">
        <f t="shared" si="474"/>
        <v>0</v>
      </c>
      <c r="AH1754" s="90" t="str">
        <f t="shared" si="475"/>
        <v/>
      </c>
      <c r="AI1754" s="90">
        <f t="shared" si="476"/>
        <v>0</v>
      </c>
      <c r="AJ1754" s="90" t="str">
        <f t="shared" si="477"/>
        <v/>
      </c>
      <c r="AK1754" s="90" t="str">
        <f t="shared" si="478"/>
        <v/>
      </c>
      <c r="AL1754" s="91">
        <f>IF(AK1754="Adjust",(_xlfn.XLOOKUP(A1754,'Adj factor'!A:A,'Adj factor'!I:I,,0)*AI1754),'Master DataSheet'!AI1754)</f>
        <v>0</v>
      </c>
      <c r="AM1754" s="91">
        <f t="shared" si="479"/>
        <v>0</v>
      </c>
      <c r="AN1754" s="92" t="str">
        <f t="shared" si="480"/>
        <v>No change</v>
      </c>
      <c r="AS1754" s="94">
        <f t="shared" si="481"/>
        <v>0</v>
      </c>
      <c r="AT1754" s="94">
        <f t="shared" si="482"/>
        <v>0</v>
      </c>
      <c r="AU1754" s="94">
        <f t="shared" si="483"/>
        <v>0</v>
      </c>
    </row>
    <row r="1755" spans="1:47" x14ac:dyDescent="0.3">
      <c r="A1755" s="85" t="str">
        <f>_xlfn.XLOOKUP(B1755,'Country codes &amp; Data sources'!G:G,'Country codes &amp; Data sources'!H:H,,0)</f>
        <v>South Africa</v>
      </c>
      <c r="B1755" s="85" t="s">
        <v>187</v>
      </c>
      <c r="C1755" s="85">
        <v>53145042</v>
      </c>
      <c r="D1755" s="85" t="s">
        <v>335</v>
      </c>
      <c r="E1755" s="86">
        <v>13642</v>
      </c>
      <c r="F1755" s="86">
        <v>53873616</v>
      </c>
      <c r="G1755" s="86">
        <v>0</v>
      </c>
      <c r="H1755" s="86"/>
      <c r="I1755" s="86">
        <v>14994</v>
      </c>
      <c r="J1755" s="86"/>
      <c r="K1755" s="86">
        <v>15784</v>
      </c>
      <c r="L1755" s="86"/>
      <c r="M1755" s="86">
        <v>15267</v>
      </c>
      <c r="N1755" s="86"/>
      <c r="O1755" s="86">
        <v>0</v>
      </c>
      <c r="P1755" s="86">
        <v>57339635.000000015</v>
      </c>
      <c r="Q1755" s="86">
        <v>0</v>
      </c>
      <c r="R1755" s="87">
        <f t="shared" si="468"/>
        <v>14412</v>
      </c>
      <c r="T1755" s="87">
        <v>0</v>
      </c>
      <c r="U1755" s="89"/>
      <c r="V1755" s="89">
        <v>0</v>
      </c>
      <c r="W1755" s="90"/>
      <c r="X1755" s="90">
        <v>0</v>
      </c>
      <c r="Y1755" s="90">
        <v>59893885.5</v>
      </c>
      <c r="Z1755" s="103">
        <v>17703</v>
      </c>
      <c r="AA1755" s="90">
        <v>14412</v>
      </c>
      <c r="AB1755" s="89">
        <f t="shared" si="469"/>
        <v>15784</v>
      </c>
      <c r="AC1755" s="89">
        <f t="shared" si="470"/>
        <v>15267</v>
      </c>
      <c r="AD1755" s="89">
        <f t="shared" si="471"/>
        <v>17703</v>
      </c>
      <c r="AE1755" s="90">
        <f t="shared" si="472"/>
        <v>13642</v>
      </c>
      <c r="AF1755" s="90">
        <f t="shared" si="473"/>
        <v>2012</v>
      </c>
      <c r="AG1755" s="90">
        <f t="shared" si="474"/>
        <v>14412</v>
      </c>
      <c r="AH1755" s="90" t="str">
        <f t="shared" si="475"/>
        <v>2018 (triag)</v>
      </c>
      <c r="AI1755" s="90">
        <f t="shared" si="476"/>
        <v>17703</v>
      </c>
      <c r="AJ1755" s="90">
        <f t="shared" si="477"/>
        <v>2022</v>
      </c>
      <c r="AK1755" s="90" t="str">
        <f t="shared" si="478"/>
        <v/>
      </c>
      <c r="AL1755" s="91">
        <f>IF(AK1755="Adjust",(_xlfn.XLOOKUP(A1755,'Adj factor'!A:A,'Adj factor'!I:I,,0)*AI1755),'Master DataSheet'!AI1755)</f>
        <v>17703</v>
      </c>
      <c r="AM1755" s="91">
        <f t="shared" si="479"/>
        <v>17703</v>
      </c>
      <c r="AN1755" s="92" t="str">
        <f t="shared" si="480"/>
        <v>Increasing</v>
      </c>
      <c r="AS1755" s="94">
        <f t="shared" si="481"/>
        <v>2.5322228231347976</v>
      </c>
      <c r="AT1755" s="94">
        <f t="shared" si="482"/>
        <v>2.513444670514557</v>
      </c>
      <c r="AU1755" s="94">
        <f t="shared" si="483"/>
        <v>2.9557274256317867</v>
      </c>
    </row>
    <row r="1756" spans="1:47" x14ac:dyDescent="0.3">
      <c r="A1756" s="85" t="str">
        <f>_xlfn.XLOOKUP(B1756,'Country codes &amp; Data sources'!G:G,'Country codes &amp; Data sources'!H:H,,0)</f>
        <v>South Africa</v>
      </c>
      <c r="B1756" s="85" t="s">
        <v>187</v>
      </c>
      <c r="C1756" s="85">
        <v>53145043</v>
      </c>
      <c r="D1756" s="85" t="s">
        <v>336</v>
      </c>
      <c r="E1756" s="86">
        <v>7320</v>
      </c>
      <c r="F1756" s="86">
        <v>53873616</v>
      </c>
      <c r="G1756" s="86">
        <v>0</v>
      </c>
      <c r="H1756" s="86"/>
      <c r="I1756" s="86">
        <v>17491</v>
      </c>
      <c r="J1756" s="86"/>
      <c r="K1756" s="86">
        <v>18477</v>
      </c>
      <c r="L1756" s="86"/>
      <c r="M1756" s="86">
        <v>21713</v>
      </c>
      <c r="N1756" s="86"/>
      <c r="O1756" s="86">
        <v>11741</v>
      </c>
      <c r="P1756" s="86">
        <v>57339635.000000015</v>
      </c>
      <c r="Q1756" s="86">
        <v>0</v>
      </c>
      <c r="R1756" s="87">
        <f t="shared" si="468"/>
        <v>1783</v>
      </c>
      <c r="T1756" s="87">
        <v>0</v>
      </c>
      <c r="U1756" s="89"/>
      <c r="V1756" s="89">
        <v>0</v>
      </c>
      <c r="W1756" s="90"/>
      <c r="X1756" s="90">
        <v>0</v>
      </c>
      <c r="Y1756" s="90">
        <v>59893885.5</v>
      </c>
      <c r="Z1756" s="90">
        <v>0</v>
      </c>
      <c r="AA1756" s="90">
        <v>1783</v>
      </c>
      <c r="AB1756" s="89">
        <f t="shared" si="469"/>
        <v>18477</v>
      </c>
      <c r="AC1756" s="89">
        <f t="shared" si="470"/>
        <v>21713</v>
      </c>
      <c r="AD1756" s="89">
        <f t="shared" si="471"/>
        <v>0</v>
      </c>
      <c r="AE1756" s="90">
        <f t="shared" si="472"/>
        <v>7320</v>
      </c>
      <c r="AF1756" s="90">
        <f t="shared" si="473"/>
        <v>2012</v>
      </c>
      <c r="AG1756" s="90">
        <f t="shared" si="474"/>
        <v>1783</v>
      </c>
      <c r="AH1756" s="90" t="str">
        <f t="shared" si="475"/>
        <v>2018 (triag)</v>
      </c>
      <c r="AI1756" s="90">
        <f t="shared" si="476"/>
        <v>1783</v>
      </c>
      <c r="AJ1756" s="90" t="str">
        <f t="shared" si="477"/>
        <v>2018 (triag)</v>
      </c>
      <c r="AK1756" s="90" t="str">
        <f t="shared" si="478"/>
        <v/>
      </c>
      <c r="AL1756" s="91">
        <f>IF(AK1756="Adjust",(_xlfn.XLOOKUP(A1756,'Adj factor'!A:A,'Adj factor'!I:I,,0)*AI1756),'Master DataSheet'!AI1756)</f>
        <v>1783</v>
      </c>
      <c r="AM1756" s="91">
        <f t="shared" si="479"/>
        <v>1783</v>
      </c>
      <c r="AN1756" s="92" t="str">
        <f t="shared" si="480"/>
        <v>No change</v>
      </c>
      <c r="AS1756" s="94">
        <f t="shared" si="481"/>
        <v>1.3587356007437852</v>
      </c>
      <c r="AT1756" s="94">
        <f t="shared" si="482"/>
        <v>0.31095419424975401</v>
      </c>
      <c r="AU1756" s="94">
        <f t="shared" si="483"/>
        <v>0.29769315934595691</v>
      </c>
    </row>
    <row r="1757" spans="1:47" x14ac:dyDescent="0.3">
      <c r="A1757" s="85" t="str">
        <f>_xlfn.XLOOKUP(B1757,'Country codes &amp; Data sources'!G:G,'Country codes &amp; Data sources'!H:H,,0)</f>
        <v>South Africa</v>
      </c>
      <c r="B1757" s="85" t="s">
        <v>187</v>
      </c>
      <c r="C1757" s="85">
        <v>53145044</v>
      </c>
      <c r="D1757" s="85" t="s">
        <v>337</v>
      </c>
      <c r="E1757" s="86">
        <v>5554</v>
      </c>
      <c r="F1757" s="86">
        <v>53873616</v>
      </c>
      <c r="G1757" s="86">
        <v>5770</v>
      </c>
      <c r="H1757" s="86"/>
      <c r="I1757" s="86">
        <v>5817</v>
      </c>
      <c r="J1757" s="86"/>
      <c r="K1757" s="86">
        <v>5985</v>
      </c>
      <c r="L1757" s="86"/>
      <c r="M1757" s="86">
        <v>6158</v>
      </c>
      <c r="N1757" s="86"/>
      <c r="O1757" s="86">
        <v>6314</v>
      </c>
      <c r="P1757" s="86">
        <v>57339635.000000015</v>
      </c>
      <c r="Q1757" s="86">
        <v>6433</v>
      </c>
      <c r="R1757" s="87">
        <f t="shared" si="468"/>
        <v>6433</v>
      </c>
      <c r="T1757" s="87">
        <v>6365</v>
      </c>
      <c r="U1757" s="89"/>
      <c r="V1757" s="89">
        <v>0</v>
      </c>
      <c r="W1757" s="90"/>
      <c r="X1757" s="90">
        <v>6586</v>
      </c>
      <c r="Y1757" s="90">
        <v>59893885.5</v>
      </c>
      <c r="Z1757" s="90">
        <v>1348</v>
      </c>
      <c r="AA1757" s="90">
        <v>6155</v>
      </c>
      <c r="AB1757" s="89">
        <f t="shared" si="469"/>
        <v>5985</v>
      </c>
      <c r="AC1757" s="89">
        <f t="shared" si="470"/>
        <v>6433</v>
      </c>
      <c r="AD1757" s="89">
        <f t="shared" si="471"/>
        <v>6586</v>
      </c>
      <c r="AE1757" s="90">
        <f t="shared" si="472"/>
        <v>5770</v>
      </c>
      <c r="AF1757" s="90">
        <f t="shared" si="473"/>
        <v>2013</v>
      </c>
      <c r="AG1757" s="90">
        <f t="shared" si="474"/>
        <v>6433</v>
      </c>
      <c r="AH1757" s="90">
        <f t="shared" si="475"/>
        <v>2018</v>
      </c>
      <c r="AI1757" s="90">
        <f t="shared" si="476"/>
        <v>1348</v>
      </c>
      <c r="AJ1757" s="90">
        <f t="shared" si="477"/>
        <v>2022</v>
      </c>
      <c r="AK1757" s="90" t="str">
        <f t="shared" si="478"/>
        <v>Adjust</v>
      </c>
      <c r="AL1757" s="91">
        <f>IF(AK1757="Adjust",(_xlfn.XLOOKUP(A1757,'Adj factor'!A:A,'Adj factor'!I:I,,0)*AI1757),'Master DataSheet'!AI1757)</f>
        <v>1975.7022379517678</v>
      </c>
      <c r="AM1757" s="91">
        <f t="shared" si="479"/>
        <v>6433</v>
      </c>
      <c r="AN1757" s="92" t="str">
        <f t="shared" si="480"/>
        <v>Decreasing</v>
      </c>
      <c r="AS1757" s="94">
        <f t="shared" si="481"/>
        <v>1.0710251934824646</v>
      </c>
      <c r="AT1757" s="94">
        <f t="shared" si="482"/>
        <v>1.1219115712892136</v>
      </c>
      <c r="AU1757" s="94">
        <f t="shared" si="483"/>
        <v>1.074066233355323</v>
      </c>
    </row>
    <row r="1758" spans="1:47" x14ac:dyDescent="0.3">
      <c r="A1758" s="85" t="str">
        <f>_xlfn.XLOOKUP(B1758,'Country codes &amp; Data sources'!G:G,'Country codes &amp; Data sources'!H:H,,0)</f>
        <v>South Africa</v>
      </c>
      <c r="B1758" s="85" t="s">
        <v>187</v>
      </c>
      <c r="C1758" s="85">
        <v>53145045</v>
      </c>
      <c r="D1758" s="85" t="s">
        <v>338</v>
      </c>
      <c r="E1758" s="86">
        <v>4104</v>
      </c>
      <c r="F1758" s="86">
        <v>53873616</v>
      </c>
      <c r="G1758" s="86">
        <v>4625</v>
      </c>
      <c r="H1758" s="86"/>
      <c r="I1758" s="86">
        <v>4687</v>
      </c>
      <c r="J1758" s="86"/>
      <c r="K1758" s="86">
        <v>4785</v>
      </c>
      <c r="L1758" s="86"/>
      <c r="M1758" s="86">
        <v>5484</v>
      </c>
      <c r="N1758" s="86"/>
      <c r="O1758" s="86">
        <v>6948</v>
      </c>
      <c r="P1758" s="86">
        <v>57339635.000000015</v>
      </c>
      <c r="Q1758" s="86">
        <v>0</v>
      </c>
      <c r="R1758" s="87">
        <f t="shared" si="468"/>
        <v>661</v>
      </c>
      <c r="T1758" s="87">
        <v>0</v>
      </c>
      <c r="U1758" s="89"/>
      <c r="V1758" s="89">
        <v>0</v>
      </c>
      <c r="W1758" s="90"/>
      <c r="X1758" s="90">
        <v>6165</v>
      </c>
      <c r="Y1758" s="90">
        <v>59893885.5</v>
      </c>
      <c r="Z1758" s="90">
        <v>1550</v>
      </c>
      <c r="AA1758" s="90">
        <v>661</v>
      </c>
      <c r="AB1758" s="89">
        <f t="shared" si="469"/>
        <v>4785</v>
      </c>
      <c r="AC1758" s="89">
        <f t="shared" si="470"/>
        <v>6948</v>
      </c>
      <c r="AD1758" s="89">
        <f t="shared" si="471"/>
        <v>6165</v>
      </c>
      <c r="AE1758" s="90">
        <f t="shared" si="472"/>
        <v>4625</v>
      </c>
      <c r="AF1758" s="90">
        <f t="shared" si="473"/>
        <v>2013</v>
      </c>
      <c r="AG1758" s="90">
        <f t="shared" si="474"/>
        <v>661</v>
      </c>
      <c r="AH1758" s="90" t="str">
        <f t="shared" si="475"/>
        <v>2018 (triag)</v>
      </c>
      <c r="AI1758" s="90">
        <f t="shared" si="476"/>
        <v>1550</v>
      </c>
      <c r="AJ1758" s="90">
        <f t="shared" si="477"/>
        <v>2022</v>
      </c>
      <c r="AK1758" s="90" t="str">
        <f t="shared" si="478"/>
        <v/>
      </c>
      <c r="AL1758" s="91">
        <f>IF(AK1758="Adjust",(_xlfn.XLOOKUP(A1758,'Adj factor'!A:A,'Adj factor'!I:I,,0)*AI1758),'Master DataSheet'!AI1758)</f>
        <v>1550</v>
      </c>
      <c r="AM1758" s="91">
        <f t="shared" si="479"/>
        <v>1550</v>
      </c>
      <c r="AN1758" s="92" t="str">
        <f t="shared" si="480"/>
        <v>Increasing</v>
      </c>
      <c r="AS1758" s="94">
        <f t="shared" si="481"/>
        <v>0.85849073134426324</v>
      </c>
      <c r="AT1758" s="94">
        <f t="shared" si="482"/>
        <v>0.11527802714474897</v>
      </c>
      <c r="AU1758" s="94">
        <f t="shared" si="483"/>
        <v>0.25879102466978871</v>
      </c>
    </row>
    <row r="1759" spans="1:47" x14ac:dyDescent="0.3">
      <c r="A1759" s="85" t="str">
        <f>_xlfn.XLOOKUP(B1759,'Country codes &amp; Data sources'!G:G,'Country codes &amp; Data sources'!H:H,,0)</f>
        <v>South Africa</v>
      </c>
      <c r="B1759" s="85" t="s">
        <v>187</v>
      </c>
      <c r="C1759" s="85">
        <v>53145046</v>
      </c>
      <c r="D1759" s="85" t="s">
        <v>339</v>
      </c>
      <c r="E1759" s="86">
        <v>0</v>
      </c>
      <c r="F1759" s="86">
        <v>53873616</v>
      </c>
      <c r="G1759" s="86">
        <v>0</v>
      </c>
      <c r="H1759" s="86"/>
      <c r="I1759" s="86">
        <v>0</v>
      </c>
      <c r="J1759" s="86"/>
      <c r="K1759" s="86">
        <v>0</v>
      </c>
      <c r="L1759" s="86"/>
      <c r="M1759" s="86">
        <v>8190</v>
      </c>
      <c r="N1759" s="86"/>
      <c r="O1759" s="86">
        <v>8453</v>
      </c>
      <c r="P1759" s="86">
        <v>57339635.000000015</v>
      </c>
      <c r="Q1759" s="86">
        <v>8565</v>
      </c>
      <c r="R1759" s="87">
        <f t="shared" si="468"/>
        <v>8565</v>
      </c>
      <c r="T1759" s="87">
        <v>8742</v>
      </c>
      <c r="U1759" s="89"/>
      <c r="V1759" s="89">
        <v>0</v>
      </c>
      <c r="W1759" s="90"/>
      <c r="X1759" s="90">
        <v>9125</v>
      </c>
      <c r="Y1759" s="90">
        <v>59893885.5</v>
      </c>
      <c r="Z1759" s="90">
        <v>723</v>
      </c>
      <c r="AA1759" s="90">
        <v>0</v>
      </c>
      <c r="AB1759" s="89">
        <f t="shared" si="469"/>
        <v>0</v>
      </c>
      <c r="AC1759" s="89">
        <f t="shared" si="470"/>
        <v>8742</v>
      </c>
      <c r="AD1759" s="89">
        <f t="shared" si="471"/>
        <v>9125</v>
      </c>
      <c r="AE1759" s="90">
        <f t="shared" si="472"/>
        <v>0</v>
      </c>
      <c r="AF1759" s="90" t="str">
        <f t="shared" si="473"/>
        <v/>
      </c>
      <c r="AG1759" s="90">
        <f t="shared" si="474"/>
        <v>8565</v>
      </c>
      <c r="AH1759" s="90">
        <f t="shared" si="475"/>
        <v>2018</v>
      </c>
      <c r="AI1759" s="90">
        <f t="shared" si="476"/>
        <v>723</v>
      </c>
      <c r="AJ1759" s="90">
        <f t="shared" si="477"/>
        <v>2022</v>
      </c>
      <c r="AK1759" s="90" t="str">
        <f t="shared" si="478"/>
        <v>Adjust</v>
      </c>
      <c r="AL1759" s="91">
        <f>IF(AK1759="Adjust",(_xlfn.XLOOKUP(A1759,'Adj factor'!A:A,'Adj factor'!I:I,,0)*AI1759),'Master DataSheet'!AI1759)</f>
        <v>1059.6681884563263</v>
      </c>
      <c r="AM1759" s="91">
        <f t="shared" si="479"/>
        <v>8565</v>
      </c>
      <c r="AN1759" s="92" t="str">
        <f t="shared" si="480"/>
        <v>Decreasing</v>
      </c>
      <c r="AS1759" s="94">
        <f t="shared" si="481"/>
        <v>0</v>
      </c>
      <c r="AT1759" s="94">
        <f t="shared" si="482"/>
        <v>1.4937311686759076</v>
      </c>
      <c r="AU1759" s="94">
        <f t="shared" si="483"/>
        <v>1.4300291137398324</v>
      </c>
    </row>
    <row r="1760" spans="1:47" ht="14.5" x14ac:dyDescent="0.35">
      <c r="A1760" s="85" t="str">
        <f>_xlfn.XLOOKUP(B1760,'Country codes &amp; Data sources'!G:G,'Country codes &amp; Data sources'!H:H,,0)</f>
        <v>Zambia</v>
      </c>
      <c r="B1760" s="85" t="s">
        <v>192</v>
      </c>
      <c r="C1760" s="85">
        <v>14744657.999999998</v>
      </c>
      <c r="D1760" s="85" t="s">
        <v>326</v>
      </c>
      <c r="E1760" s="86">
        <v>0</v>
      </c>
      <c r="F1760" s="86">
        <v>15234975.999999991</v>
      </c>
      <c r="G1760" s="86">
        <v>0</v>
      </c>
      <c r="H1760" s="86">
        <v>15737792.999999998</v>
      </c>
      <c r="I1760" s="86">
        <v>0</v>
      </c>
      <c r="J1760" s="86">
        <v>16248229.999999996</v>
      </c>
      <c r="K1760" s="86">
        <v>0</v>
      </c>
      <c r="L1760" s="86">
        <v>16767760.499999996</v>
      </c>
      <c r="M1760" s="86">
        <v>1514</v>
      </c>
      <c r="N1760" s="86">
        <v>17298053.500000004</v>
      </c>
      <c r="O1760" s="86">
        <v>0</v>
      </c>
      <c r="P1760" s="86">
        <v>17835892.999999981</v>
      </c>
      <c r="Q1760" s="86">
        <v>4021</v>
      </c>
      <c r="R1760" s="87">
        <f t="shared" si="468"/>
        <v>4021</v>
      </c>
      <c r="S1760" s="87">
        <v>18380476.500000004</v>
      </c>
      <c r="T1760" s="87">
        <v>4386</v>
      </c>
      <c r="U1760" s="89">
        <v>18927715.000000022</v>
      </c>
      <c r="V1760" s="89">
        <v>4818</v>
      </c>
      <c r="W1760" s="90">
        <v>19473124.999999996</v>
      </c>
      <c r="X1760" s="90">
        <v>5773</v>
      </c>
      <c r="Y1760" s="90">
        <v>20017675.000000004</v>
      </c>
      <c r="Z1760" s="111">
        <v>6531</v>
      </c>
      <c r="AA1760" s="90">
        <v>2026</v>
      </c>
      <c r="AB1760" s="89">
        <f t="shared" si="469"/>
        <v>0</v>
      </c>
      <c r="AC1760" s="89">
        <f t="shared" si="470"/>
        <v>4386</v>
      </c>
      <c r="AD1760" s="89">
        <f t="shared" si="471"/>
        <v>6531</v>
      </c>
      <c r="AE1760" s="90">
        <f t="shared" si="472"/>
        <v>0</v>
      </c>
      <c r="AF1760" s="90" t="str">
        <f t="shared" si="473"/>
        <v/>
      </c>
      <c r="AG1760" s="90">
        <f t="shared" si="474"/>
        <v>4021</v>
      </c>
      <c r="AH1760" s="90">
        <f t="shared" si="475"/>
        <v>2018</v>
      </c>
      <c r="AI1760" s="90">
        <f t="shared" si="476"/>
        <v>6531</v>
      </c>
      <c r="AJ1760" s="90">
        <f t="shared" si="477"/>
        <v>2022</v>
      </c>
      <c r="AK1760" s="90" t="str">
        <f t="shared" si="478"/>
        <v/>
      </c>
      <c r="AL1760" s="91">
        <f>IF(AK1760="Adjust",(_xlfn.XLOOKUP(A1760,'Adj factor'!A:A,'Adj factor'!I:I,,0)*AI1760),'Master DataSheet'!AI1760)</f>
        <v>6531</v>
      </c>
      <c r="AM1760" s="91">
        <f t="shared" si="479"/>
        <v>6531</v>
      </c>
      <c r="AN1760" s="92" t="str">
        <f t="shared" si="480"/>
        <v>Increasing</v>
      </c>
      <c r="AS1760" s="94">
        <f t="shared" si="481"/>
        <v>0</v>
      </c>
      <c r="AT1760" s="94">
        <f t="shared" si="482"/>
        <v>2.2544427688594029</v>
      </c>
      <c r="AU1760" s="94">
        <f t="shared" si="483"/>
        <v>3.2626166625244934</v>
      </c>
    </row>
    <row r="1761" spans="1:47" x14ac:dyDescent="0.3">
      <c r="A1761" s="85" t="str">
        <f>_xlfn.XLOOKUP(B1761,'Country codes &amp; Data sources'!G:G,'Country codes &amp; Data sources'!H:H,,0)</f>
        <v>Zambia</v>
      </c>
      <c r="B1761" s="85" t="s">
        <v>192</v>
      </c>
      <c r="C1761" s="85">
        <v>14744659</v>
      </c>
      <c r="D1761" s="85" t="s">
        <v>327</v>
      </c>
      <c r="E1761" s="86">
        <v>0</v>
      </c>
      <c r="F1761" s="86">
        <v>15234975.999999991</v>
      </c>
      <c r="G1761" s="86">
        <v>0</v>
      </c>
      <c r="H1761" s="86"/>
      <c r="I1761" s="86">
        <v>0</v>
      </c>
      <c r="J1761" s="86"/>
      <c r="K1761" s="86">
        <v>0</v>
      </c>
      <c r="L1761" s="86"/>
      <c r="M1761" s="86">
        <v>0</v>
      </c>
      <c r="N1761" s="86"/>
      <c r="O1761" s="86">
        <v>0</v>
      </c>
      <c r="P1761" s="86">
        <v>17835892.999999981</v>
      </c>
      <c r="Q1761" s="86">
        <v>0</v>
      </c>
      <c r="R1761" s="87">
        <f t="shared" si="468"/>
        <v>1701</v>
      </c>
      <c r="T1761" s="87">
        <v>0</v>
      </c>
      <c r="U1761" s="89"/>
      <c r="V1761" s="89">
        <v>0</v>
      </c>
      <c r="W1761" s="90"/>
      <c r="X1761" s="90">
        <v>0</v>
      </c>
      <c r="Y1761" s="90">
        <v>20017675.000000004</v>
      </c>
      <c r="Z1761" s="90">
        <v>4709</v>
      </c>
      <c r="AA1761" s="90">
        <v>1701</v>
      </c>
      <c r="AB1761" s="89">
        <f t="shared" si="469"/>
        <v>0</v>
      </c>
      <c r="AC1761" s="89">
        <f t="shared" si="470"/>
        <v>0</v>
      </c>
      <c r="AD1761" s="89">
        <f t="shared" si="471"/>
        <v>4709</v>
      </c>
      <c r="AE1761" s="90">
        <f t="shared" si="472"/>
        <v>0</v>
      </c>
      <c r="AF1761" s="90" t="str">
        <f t="shared" si="473"/>
        <v/>
      </c>
      <c r="AG1761" s="90">
        <f t="shared" si="474"/>
        <v>1701</v>
      </c>
      <c r="AH1761" s="90" t="str">
        <f t="shared" si="475"/>
        <v>2018 (triag)</v>
      </c>
      <c r="AI1761" s="90">
        <f t="shared" si="476"/>
        <v>4709</v>
      </c>
      <c r="AJ1761" s="90">
        <f t="shared" si="477"/>
        <v>2022</v>
      </c>
      <c r="AK1761" s="90" t="str">
        <f t="shared" si="478"/>
        <v/>
      </c>
      <c r="AL1761" s="91">
        <f>IF(AK1761="Adjust",(_xlfn.XLOOKUP(A1761,'Adj factor'!A:A,'Adj factor'!I:I,,0)*AI1761),'Master DataSheet'!AI1761)</f>
        <v>4709</v>
      </c>
      <c r="AM1761" s="91">
        <f t="shared" si="479"/>
        <v>4709</v>
      </c>
      <c r="AN1761" s="92" t="str">
        <f t="shared" si="480"/>
        <v>Increasing</v>
      </c>
      <c r="AS1761" s="94">
        <f t="shared" si="481"/>
        <v>0</v>
      </c>
      <c r="AT1761" s="94">
        <f t="shared" si="482"/>
        <v>0.95369488928869539</v>
      </c>
      <c r="AU1761" s="94">
        <f t="shared" si="483"/>
        <v>2.3524210478989187</v>
      </c>
    </row>
    <row r="1762" spans="1:47" x14ac:dyDescent="0.3">
      <c r="A1762" s="85" t="str">
        <f>_xlfn.XLOOKUP(B1762,'Country codes &amp; Data sources'!G:G,'Country codes &amp; Data sources'!H:H,,0)</f>
        <v>Zambia</v>
      </c>
      <c r="B1762" s="85" t="s">
        <v>192</v>
      </c>
      <c r="C1762" s="85">
        <v>14744660</v>
      </c>
      <c r="D1762" s="85" t="s">
        <v>328</v>
      </c>
      <c r="E1762" s="86">
        <v>0</v>
      </c>
      <c r="F1762" s="86">
        <v>15234975.999999991</v>
      </c>
      <c r="G1762" s="86">
        <v>0</v>
      </c>
      <c r="H1762" s="86"/>
      <c r="I1762" s="86">
        <v>0</v>
      </c>
      <c r="J1762" s="86"/>
      <c r="K1762" s="86">
        <v>0</v>
      </c>
      <c r="L1762" s="86"/>
      <c r="M1762" s="86">
        <v>0</v>
      </c>
      <c r="N1762" s="86"/>
      <c r="O1762" s="86">
        <v>0</v>
      </c>
      <c r="P1762" s="86">
        <v>17835892.999999981</v>
      </c>
      <c r="Q1762" s="86">
        <v>0</v>
      </c>
      <c r="R1762" s="87">
        <f t="shared" si="468"/>
        <v>325</v>
      </c>
      <c r="T1762" s="87">
        <v>0</v>
      </c>
      <c r="U1762" s="89"/>
      <c r="V1762" s="89">
        <v>0</v>
      </c>
      <c r="W1762" s="90"/>
      <c r="X1762" s="90">
        <v>0</v>
      </c>
      <c r="Y1762" s="90">
        <v>20017675.000000004</v>
      </c>
      <c r="Z1762" s="90">
        <v>534</v>
      </c>
      <c r="AA1762" s="90">
        <v>325</v>
      </c>
      <c r="AB1762" s="89">
        <f t="shared" si="469"/>
        <v>0</v>
      </c>
      <c r="AC1762" s="89">
        <f t="shared" si="470"/>
        <v>0</v>
      </c>
      <c r="AD1762" s="89">
        <f t="shared" si="471"/>
        <v>534</v>
      </c>
      <c r="AE1762" s="90">
        <f t="shared" si="472"/>
        <v>0</v>
      </c>
      <c r="AF1762" s="90" t="str">
        <f t="shared" si="473"/>
        <v/>
      </c>
      <c r="AG1762" s="90">
        <f t="shared" si="474"/>
        <v>325</v>
      </c>
      <c r="AH1762" s="90" t="str">
        <f t="shared" si="475"/>
        <v>2018 (triag)</v>
      </c>
      <c r="AI1762" s="90">
        <f t="shared" si="476"/>
        <v>534</v>
      </c>
      <c r="AJ1762" s="90">
        <f t="shared" si="477"/>
        <v>2022</v>
      </c>
      <c r="AK1762" s="90" t="str">
        <f t="shared" si="478"/>
        <v/>
      </c>
      <c r="AL1762" s="91">
        <f>IF(AK1762="Adjust",(_xlfn.XLOOKUP(A1762,'Adj factor'!A:A,'Adj factor'!I:I,,0)*AI1762),'Master DataSheet'!AI1762)</f>
        <v>534</v>
      </c>
      <c r="AM1762" s="91">
        <f t="shared" si="479"/>
        <v>534</v>
      </c>
      <c r="AN1762" s="92" t="str">
        <f t="shared" si="480"/>
        <v>Increasing</v>
      </c>
      <c r="AS1762" s="94">
        <f t="shared" si="481"/>
        <v>0</v>
      </c>
      <c r="AT1762" s="94">
        <f t="shared" si="482"/>
        <v>0.18221683657779308</v>
      </c>
      <c r="AU1762" s="94">
        <f t="shared" si="483"/>
        <v>0.26676424709662833</v>
      </c>
    </row>
    <row r="1763" spans="1:47" ht="14.5" x14ac:dyDescent="0.35">
      <c r="A1763" s="85" t="str">
        <f>_xlfn.XLOOKUP(B1763,'Country codes &amp; Data sources'!G:G,'Country codes &amp; Data sources'!H:H,,0)</f>
        <v>Zambia</v>
      </c>
      <c r="B1763" s="85" t="s">
        <v>192</v>
      </c>
      <c r="C1763" s="85">
        <v>14744661</v>
      </c>
      <c r="D1763" s="85" t="s">
        <v>329</v>
      </c>
      <c r="E1763" s="86">
        <v>0</v>
      </c>
      <c r="F1763" s="86">
        <v>15234975.999999991</v>
      </c>
      <c r="G1763" s="86">
        <v>0</v>
      </c>
      <c r="H1763" s="86"/>
      <c r="I1763" s="86">
        <v>0</v>
      </c>
      <c r="J1763" s="86"/>
      <c r="K1763" s="86">
        <v>0</v>
      </c>
      <c r="L1763" s="86"/>
      <c r="M1763" s="86">
        <v>0</v>
      </c>
      <c r="N1763" s="86"/>
      <c r="O1763" s="86">
        <v>15691</v>
      </c>
      <c r="P1763" s="86">
        <v>17835892.999999981</v>
      </c>
      <c r="Q1763" s="86">
        <v>20746</v>
      </c>
      <c r="R1763" s="87">
        <f t="shared" si="468"/>
        <v>20746</v>
      </c>
      <c r="T1763" s="87">
        <v>23035</v>
      </c>
      <c r="U1763" s="89"/>
      <c r="V1763" s="89">
        <v>27674</v>
      </c>
      <c r="W1763" s="90"/>
      <c r="X1763" s="90">
        <v>32542</v>
      </c>
      <c r="Y1763" s="90">
        <v>20017675.000000004</v>
      </c>
      <c r="Z1763" s="111">
        <v>49975</v>
      </c>
      <c r="AA1763" s="90">
        <v>14516</v>
      </c>
      <c r="AB1763" s="89">
        <f t="shared" si="469"/>
        <v>0</v>
      </c>
      <c r="AC1763" s="89">
        <f t="shared" si="470"/>
        <v>23035</v>
      </c>
      <c r="AD1763" s="89">
        <f t="shared" si="471"/>
        <v>49975</v>
      </c>
      <c r="AE1763" s="90">
        <f t="shared" si="472"/>
        <v>0</v>
      </c>
      <c r="AF1763" s="90" t="str">
        <f t="shared" si="473"/>
        <v/>
      </c>
      <c r="AG1763" s="90">
        <f t="shared" si="474"/>
        <v>20746</v>
      </c>
      <c r="AH1763" s="90">
        <f t="shared" si="475"/>
        <v>2018</v>
      </c>
      <c r="AI1763" s="90">
        <f t="shared" si="476"/>
        <v>49975</v>
      </c>
      <c r="AJ1763" s="90">
        <f t="shared" si="477"/>
        <v>2022</v>
      </c>
      <c r="AK1763" s="90" t="str">
        <f t="shared" si="478"/>
        <v/>
      </c>
      <c r="AL1763" s="91">
        <f>IF(AK1763="Adjust",(_xlfn.XLOOKUP(A1763,'Adj factor'!A:A,'Adj factor'!I:I,,0)*AI1763),'Master DataSheet'!AI1763)</f>
        <v>49975</v>
      </c>
      <c r="AM1763" s="91">
        <f t="shared" si="479"/>
        <v>49975</v>
      </c>
      <c r="AN1763" s="92" t="str">
        <f t="shared" si="480"/>
        <v>Increasing</v>
      </c>
      <c r="AS1763" s="94">
        <f t="shared" si="481"/>
        <v>0</v>
      </c>
      <c r="AT1763" s="94">
        <f t="shared" si="482"/>
        <v>11.63160151274737</v>
      </c>
      <c r="AU1763" s="94">
        <f t="shared" si="483"/>
        <v>24.965436795232208</v>
      </c>
    </row>
    <row r="1764" spans="1:47" x14ac:dyDescent="0.3">
      <c r="A1764" s="85" t="str">
        <f>_xlfn.XLOOKUP(B1764,'Country codes &amp; Data sources'!G:G,'Country codes &amp; Data sources'!H:H,,0)</f>
        <v>Zambia</v>
      </c>
      <c r="B1764" s="85" t="s">
        <v>192</v>
      </c>
      <c r="C1764" s="85">
        <v>14744662</v>
      </c>
      <c r="D1764" s="85" t="s">
        <v>330</v>
      </c>
      <c r="E1764" s="86">
        <v>0</v>
      </c>
      <c r="F1764" s="86">
        <v>15234975.999999991</v>
      </c>
      <c r="G1764" s="86">
        <v>0</v>
      </c>
      <c r="H1764" s="86"/>
      <c r="I1764" s="86">
        <v>0</v>
      </c>
      <c r="J1764" s="86"/>
      <c r="K1764" s="86">
        <v>0</v>
      </c>
      <c r="L1764" s="86"/>
      <c r="M1764" s="86">
        <v>0</v>
      </c>
      <c r="N1764" s="86"/>
      <c r="O1764" s="86">
        <v>15691</v>
      </c>
      <c r="P1764" s="86">
        <v>17835892.999999981</v>
      </c>
      <c r="Q1764" s="86">
        <v>20746</v>
      </c>
      <c r="R1764" s="87">
        <f t="shared" si="468"/>
        <v>20746</v>
      </c>
      <c r="T1764" s="87">
        <v>23035</v>
      </c>
      <c r="U1764" s="89"/>
      <c r="V1764" s="89">
        <v>27674</v>
      </c>
      <c r="W1764" s="90"/>
      <c r="X1764" s="90">
        <v>32542</v>
      </c>
      <c r="Y1764" s="90">
        <v>20017675.000000004</v>
      </c>
      <c r="Z1764" s="90">
        <v>33779</v>
      </c>
      <c r="AA1764" s="90">
        <v>14516</v>
      </c>
      <c r="AB1764" s="89">
        <f t="shared" si="469"/>
        <v>0</v>
      </c>
      <c r="AC1764" s="89">
        <f t="shared" si="470"/>
        <v>23035</v>
      </c>
      <c r="AD1764" s="89">
        <f t="shared" si="471"/>
        <v>33779</v>
      </c>
      <c r="AE1764" s="90">
        <f t="shared" si="472"/>
        <v>0</v>
      </c>
      <c r="AF1764" s="90" t="str">
        <f t="shared" si="473"/>
        <v/>
      </c>
      <c r="AG1764" s="90">
        <f t="shared" si="474"/>
        <v>20746</v>
      </c>
      <c r="AH1764" s="90">
        <f t="shared" si="475"/>
        <v>2018</v>
      </c>
      <c r="AI1764" s="90">
        <f t="shared" si="476"/>
        <v>33779</v>
      </c>
      <c r="AJ1764" s="90">
        <f t="shared" si="477"/>
        <v>2022</v>
      </c>
      <c r="AK1764" s="90" t="str">
        <f t="shared" si="478"/>
        <v/>
      </c>
      <c r="AL1764" s="91">
        <f>IF(AK1764="Adjust",(_xlfn.XLOOKUP(A1764,'Adj factor'!A:A,'Adj factor'!I:I,,0)*AI1764),'Master DataSheet'!AI1764)</f>
        <v>33779</v>
      </c>
      <c r="AM1764" s="91">
        <f t="shared" si="479"/>
        <v>33779</v>
      </c>
      <c r="AN1764" s="92" t="str">
        <f t="shared" si="480"/>
        <v>Increasing</v>
      </c>
      <c r="AS1764" s="94">
        <f t="shared" si="481"/>
        <v>0</v>
      </c>
      <c r="AT1764" s="94">
        <f t="shared" si="482"/>
        <v>11.63160151274737</v>
      </c>
      <c r="AU1764" s="94">
        <f t="shared" si="483"/>
        <v>16.874587083664807</v>
      </c>
    </row>
    <row r="1765" spans="1:47" x14ac:dyDescent="0.3">
      <c r="A1765" s="85" t="str">
        <f>_xlfn.XLOOKUP(B1765,'Country codes &amp; Data sources'!G:G,'Country codes &amp; Data sources'!H:H,,0)</f>
        <v>Zambia</v>
      </c>
      <c r="B1765" s="85" t="s">
        <v>192</v>
      </c>
      <c r="C1765" s="85">
        <v>14744663</v>
      </c>
      <c r="D1765" s="85" t="s">
        <v>331</v>
      </c>
      <c r="E1765" s="86">
        <v>0</v>
      </c>
      <c r="F1765" s="86">
        <v>15234975.999999991</v>
      </c>
      <c r="G1765" s="86">
        <v>0</v>
      </c>
      <c r="H1765" s="86"/>
      <c r="I1765" s="86">
        <v>0</v>
      </c>
      <c r="J1765" s="86"/>
      <c r="K1765" s="86">
        <v>0</v>
      </c>
      <c r="L1765" s="86"/>
      <c r="M1765" s="86">
        <v>0</v>
      </c>
      <c r="N1765" s="86"/>
      <c r="O1765" s="86">
        <v>0</v>
      </c>
      <c r="P1765" s="86">
        <v>17835892.999999981</v>
      </c>
      <c r="Q1765" s="86">
        <v>0</v>
      </c>
      <c r="R1765" s="87">
        <f t="shared" si="468"/>
        <v>0</v>
      </c>
      <c r="T1765" s="87">
        <v>0</v>
      </c>
      <c r="U1765" s="89"/>
      <c r="V1765" s="89">
        <v>0</v>
      </c>
      <c r="W1765" s="90"/>
      <c r="X1765" s="90">
        <v>0</v>
      </c>
      <c r="Y1765" s="90">
        <v>20017675.000000004</v>
      </c>
      <c r="Z1765" s="90">
        <v>0</v>
      </c>
      <c r="AA1765" s="90">
        <v>0</v>
      </c>
      <c r="AB1765" s="89">
        <f t="shared" si="469"/>
        <v>0</v>
      </c>
      <c r="AC1765" s="89">
        <f t="shared" si="470"/>
        <v>0</v>
      </c>
      <c r="AD1765" s="89">
        <f t="shared" si="471"/>
        <v>0</v>
      </c>
      <c r="AE1765" s="90">
        <f t="shared" si="472"/>
        <v>0</v>
      </c>
      <c r="AF1765" s="90" t="str">
        <f t="shared" si="473"/>
        <v/>
      </c>
      <c r="AG1765" s="90">
        <f t="shared" si="474"/>
        <v>0</v>
      </c>
      <c r="AH1765" s="90" t="str">
        <f t="shared" si="475"/>
        <v/>
      </c>
      <c r="AI1765" s="90">
        <f t="shared" si="476"/>
        <v>0</v>
      </c>
      <c r="AJ1765" s="90" t="str">
        <f t="shared" si="477"/>
        <v/>
      </c>
      <c r="AK1765" s="90" t="str">
        <f t="shared" si="478"/>
        <v/>
      </c>
      <c r="AL1765" s="91">
        <f>IF(AK1765="Adjust",(_xlfn.XLOOKUP(A1765,'Adj factor'!A:A,'Adj factor'!I:I,,0)*AI1765),'Master DataSheet'!AI1765)</f>
        <v>0</v>
      </c>
      <c r="AM1765" s="91">
        <f t="shared" si="479"/>
        <v>0</v>
      </c>
      <c r="AN1765" s="92" t="str">
        <f t="shared" si="480"/>
        <v>No change</v>
      </c>
      <c r="AS1765" s="94">
        <f t="shared" si="481"/>
        <v>0</v>
      </c>
      <c r="AT1765" s="94">
        <f t="shared" si="482"/>
        <v>0</v>
      </c>
      <c r="AU1765" s="94">
        <f t="shared" si="483"/>
        <v>0</v>
      </c>
    </row>
    <row r="1766" spans="1:47" x14ac:dyDescent="0.3">
      <c r="A1766" s="85" t="str">
        <f>_xlfn.XLOOKUP(B1766,'Country codes &amp; Data sources'!G:G,'Country codes &amp; Data sources'!H:H,,0)</f>
        <v>Zambia</v>
      </c>
      <c r="B1766" s="85" t="s">
        <v>192</v>
      </c>
      <c r="C1766" s="85">
        <v>14744664</v>
      </c>
      <c r="D1766" s="85" t="s">
        <v>332</v>
      </c>
      <c r="E1766" s="86">
        <v>0</v>
      </c>
      <c r="F1766" s="86">
        <v>15234975.999999991</v>
      </c>
      <c r="G1766" s="86">
        <v>2773</v>
      </c>
      <c r="H1766" s="86"/>
      <c r="I1766" s="86">
        <v>0</v>
      </c>
      <c r="J1766" s="86"/>
      <c r="K1766" s="86">
        <v>0</v>
      </c>
      <c r="L1766" s="86"/>
      <c r="M1766" s="86">
        <v>3333</v>
      </c>
      <c r="N1766" s="86"/>
      <c r="O1766" s="86">
        <v>0</v>
      </c>
      <c r="P1766" s="86">
        <v>17835892.999999981</v>
      </c>
      <c r="Q1766" s="86">
        <v>2137</v>
      </c>
      <c r="R1766" s="87">
        <f t="shared" si="468"/>
        <v>3432</v>
      </c>
      <c r="T1766" s="87">
        <v>3223</v>
      </c>
      <c r="U1766" s="89"/>
      <c r="V1766" s="89">
        <v>3312</v>
      </c>
      <c r="W1766" s="90"/>
      <c r="X1766" s="90">
        <v>3746</v>
      </c>
      <c r="Y1766" s="90">
        <v>20017675.000000004</v>
      </c>
      <c r="Z1766" s="90">
        <v>9202</v>
      </c>
      <c r="AA1766" s="90">
        <v>3432</v>
      </c>
      <c r="AB1766" s="89">
        <f t="shared" si="469"/>
        <v>2773</v>
      </c>
      <c r="AC1766" s="89">
        <f t="shared" si="470"/>
        <v>3333</v>
      </c>
      <c r="AD1766" s="89">
        <f t="shared" si="471"/>
        <v>9202</v>
      </c>
      <c r="AE1766" s="90">
        <f t="shared" si="472"/>
        <v>2773</v>
      </c>
      <c r="AF1766" s="90">
        <f t="shared" si="473"/>
        <v>2013</v>
      </c>
      <c r="AG1766" s="90">
        <f t="shared" si="474"/>
        <v>3432</v>
      </c>
      <c r="AH1766" s="90" t="str">
        <f t="shared" si="475"/>
        <v>2018 (triag)</v>
      </c>
      <c r="AI1766" s="90">
        <f t="shared" si="476"/>
        <v>9202</v>
      </c>
      <c r="AJ1766" s="90">
        <f t="shared" si="477"/>
        <v>2022</v>
      </c>
      <c r="AK1766" s="90" t="str">
        <f t="shared" si="478"/>
        <v/>
      </c>
      <c r="AL1766" s="91">
        <f>IF(AK1766="Adjust",(_xlfn.XLOOKUP(A1766,'Adj factor'!A:A,'Adj factor'!I:I,,0)*AI1766),'Master DataSheet'!AI1766)</f>
        <v>9202</v>
      </c>
      <c r="AM1766" s="91">
        <f t="shared" si="479"/>
        <v>9202</v>
      </c>
      <c r="AN1766" s="92" t="str">
        <f t="shared" si="480"/>
        <v>Increasing</v>
      </c>
      <c r="AS1766" s="94">
        <f t="shared" si="481"/>
        <v>1.8201538354901259</v>
      </c>
      <c r="AT1766" s="94">
        <f t="shared" si="482"/>
        <v>1.9242097942614949</v>
      </c>
      <c r="AU1766" s="94">
        <f t="shared" si="483"/>
        <v>4.5969374565227969</v>
      </c>
    </row>
    <row r="1767" spans="1:47" x14ac:dyDescent="0.3">
      <c r="A1767" s="85" t="str">
        <f>_xlfn.XLOOKUP(B1767,'Country codes &amp; Data sources'!G:G,'Country codes &amp; Data sources'!H:H,,0)</f>
        <v>Zambia</v>
      </c>
      <c r="B1767" s="85" t="s">
        <v>192</v>
      </c>
      <c r="C1767" s="85">
        <v>14744665</v>
      </c>
      <c r="D1767" s="85" t="s">
        <v>333</v>
      </c>
      <c r="E1767" s="86">
        <v>0</v>
      </c>
      <c r="F1767" s="86">
        <v>15234975.999999991</v>
      </c>
      <c r="G1767" s="86">
        <v>2773</v>
      </c>
      <c r="H1767" s="86"/>
      <c r="I1767" s="86">
        <v>0</v>
      </c>
      <c r="J1767" s="86"/>
      <c r="K1767" s="86">
        <v>0</v>
      </c>
      <c r="L1767" s="86"/>
      <c r="M1767" s="86">
        <v>192</v>
      </c>
      <c r="N1767" s="86"/>
      <c r="O1767" s="86">
        <v>0</v>
      </c>
      <c r="P1767" s="86">
        <v>17835892.999999981</v>
      </c>
      <c r="Q1767" s="86">
        <v>2137</v>
      </c>
      <c r="R1767" s="87">
        <f t="shared" si="468"/>
        <v>3432</v>
      </c>
      <c r="T1767" s="87">
        <v>3223</v>
      </c>
      <c r="U1767" s="89"/>
      <c r="V1767" s="89">
        <v>3312</v>
      </c>
      <c r="W1767" s="90"/>
      <c r="X1767" s="90">
        <v>3746</v>
      </c>
      <c r="Y1767" s="90">
        <v>20017675.000000004</v>
      </c>
      <c r="Z1767" s="90">
        <v>9202</v>
      </c>
      <c r="AA1767" s="90">
        <v>3432</v>
      </c>
      <c r="AB1767" s="89">
        <f t="shared" si="469"/>
        <v>2773</v>
      </c>
      <c r="AC1767" s="89">
        <f t="shared" si="470"/>
        <v>3223</v>
      </c>
      <c r="AD1767" s="89">
        <f t="shared" si="471"/>
        <v>9202</v>
      </c>
      <c r="AE1767" s="90">
        <f t="shared" si="472"/>
        <v>2773</v>
      </c>
      <c r="AF1767" s="90">
        <f t="shared" si="473"/>
        <v>2013</v>
      </c>
      <c r="AG1767" s="90">
        <f t="shared" si="474"/>
        <v>3432</v>
      </c>
      <c r="AH1767" s="90" t="str">
        <f t="shared" si="475"/>
        <v>2018 (triag)</v>
      </c>
      <c r="AI1767" s="90">
        <f t="shared" si="476"/>
        <v>9202</v>
      </c>
      <c r="AJ1767" s="90">
        <f t="shared" si="477"/>
        <v>2022</v>
      </c>
      <c r="AK1767" s="90" t="str">
        <f t="shared" si="478"/>
        <v/>
      </c>
      <c r="AL1767" s="91">
        <f>IF(AK1767="Adjust",(_xlfn.XLOOKUP(A1767,'Adj factor'!A:A,'Adj factor'!I:I,,0)*AI1767),'Master DataSheet'!AI1767)</f>
        <v>9202</v>
      </c>
      <c r="AM1767" s="91">
        <f t="shared" si="479"/>
        <v>9202</v>
      </c>
      <c r="AN1767" s="92" t="str">
        <f t="shared" si="480"/>
        <v>Increasing</v>
      </c>
      <c r="AS1767" s="94">
        <f t="shared" si="481"/>
        <v>1.8201538354901259</v>
      </c>
      <c r="AT1767" s="94">
        <f t="shared" si="482"/>
        <v>1.9242097942614949</v>
      </c>
      <c r="AU1767" s="94">
        <f t="shared" si="483"/>
        <v>4.5969374565227969</v>
      </c>
    </row>
    <row r="1768" spans="1:47" x14ac:dyDescent="0.3">
      <c r="A1768" s="85" t="str">
        <f>_xlfn.XLOOKUP(B1768,'Country codes &amp; Data sources'!G:G,'Country codes &amp; Data sources'!H:H,,0)</f>
        <v>Zambia</v>
      </c>
      <c r="B1768" s="85" t="s">
        <v>192</v>
      </c>
      <c r="C1768" s="85">
        <v>14744666</v>
      </c>
      <c r="D1768" s="85" t="s">
        <v>334</v>
      </c>
      <c r="E1768" s="86">
        <v>0</v>
      </c>
      <c r="F1768" s="86">
        <v>15234975.999999991</v>
      </c>
      <c r="G1768" s="86">
        <v>0</v>
      </c>
      <c r="H1768" s="86"/>
      <c r="I1768" s="86">
        <v>0</v>
      </c>
      <c r="J1768" s="86"/>
      <c r="K1768" s="86">
        <v>0</v>
      </c>
      <c r="L1768" s="86"/>
      <c r="M1768" s="86">
        <v>0</v>
      </c>
      <c r="N1768" s="86"/>
      <c r="O1768" s="86">
        <v>0</v>
      </c>
      <c r="P1768" s="86">
        <v>17835892.999999981</v>
      </c>
      <c r="Q1768" s="86">
        <v>0</v>
      </c>
      <c r="R1768" s="87">
        <f t="shared" si="468"/>
        <v>0</v>
      </c>
      <c r="T1768" s="87">
        <v>0</v>
      </c>
      <c r="U1768" s="89"/>
      <c r="V1768" s="89">
        <v>0</v>
      </c>
      <c r="W1768" s="90"/>
      <c r="X1768" s="90">
        <v>0</v>
      </c>
      <c r="Y1768" s="90">
        <v>20017675.000000004</v>
      </c>
      <c r="Z1768" s="90">
        <v>0</v>
      </c>
      <c r="AA1768" s="90">
        <v>0</v>
      </c>
      <c r="AB1768" s="89">
        <f t="shared" si="469"/>
        <v>0</v>
      </c>
      <c r="AC1768" s="89">
        <f t="shared" si="470"/>
        <v>0</v>
      </c>
      <c r="AD1768" s="89">
        <f t="shared" si="471"/>
        <v>0</v>
      </c>
      <c r="AE1768" s="90">
        <f t="shared" si="472"/>
        <v>0</v>
      </c>
      <c r="AF1768" s="90" t="str">
        <f t="shared" si="473"/>
        <v/>
      </c>
      <c r="AG1768" s="90">
        <f t="shared" si="474"/>
        <v>0</v>
      </c>
      <c r="AH1768" s="90" t="str">
        <f t="shared" si="475"/>
        <v/>
      </c>
      <c r="AI1768" s="90">
        <f t="shared" si="476"/>
        <v>0</v>
      </c>
      <c r="AJ1768" s="90" t="str">
        <f t="shared" si="477"/>
        <v/>
      </c>
      <c r="AK1768" s="90" t="str">
        <f t="shared" si="478"/>
        <v/>
      </c>
      <c r="AL1768" s="91">
        <f>IF(AK1768="Adjust",(_xlfn.XLOOKUP(A1768,'Adj factor'!A:A,'Adj factor'!I:I,,0)*AI1768),'Master DataSheet'!AI1768)</f>
        <v>0</v>
      </c>
      <c r="AM1768" s="91">
        <f t="shared" si="479"/>
        <v>0</v>
      </c>
      <c r="AN1768" s="92" t="str">
        <f t="shared" si="480"/>
        <v>No change</v>
      </c>
      <c r="AS1768" s="94">
        <f t="shared" si="481"/>
        <v>0</v>
      </c>
      <c r="AT1768" s="94">
        <f t="shared" si="482"/>
        <v>0</v>
      </c>
      <c r="AU1768" s="94">
        <f t="shared" si="483"/>
        <v>0</v>
      </c>
    </row>
    <row r="1769" spans="1:47" ht="14.5" x14ac:dyDescent="0.35">
      <c r="A1769" s="85" t="str">
        <f>_xlfn.XLOOKUP(B1769,'Country codes &amp; Data sources'!G:G,'Country codes &amp; Data sources'!H:H,,0)</f>
        <v>Zambia</v>
      </c>
      <c r="B1769" s="85" t="s">
        <v>192</v>
      </c>
      <c r="C1769" s="85">
        <v>14744667</v>
      </c>
      <c r="D1769" s="85" t="s">
        <v>335</v>
      </c>
      <c r="E1769" s="86">
        <v>409</v>
      </c>
      <c r="F1769" s="86">
        <v>15234975.999999991</v>
      </c>
      <c r="G1769" s="86">
        <v>0</v>
      </c>
      <c r="H1769" s="86"/>
      <c r="I1769" s="86">
        <v>0</v>
      </c>
      <c r="J1769" s="86"/>
      <c r="K1769" s="86">
        <v>0</v>
      </c>
      <c r="L1769" s="86"/>
      <c r="M1769" s="86">
        <v>1159</v>
      </c>
      <c r="N1769" s="86"/>
      <c r="O1769" s="86">
        <v>0</v>
      </c>
      <c r="P1769" s="86">
        <v>17835892.999999981</v>
      </c>
      <c r="Q1769" s="86">
        <v>727</v>
      </c>
      <c r="R1769" s="87">
        <f t="shared" si="468"/>
        <v>727</v>
      </c>
      <c r="T1769" s="87">
        <v>856</v>
      </c>
      <c r="U1769" s="89"/>
      <c r="V1769" s="89">
        <v>1082</v>
      </c>
      <c r="W1769" s="90"/>
      <c r="X1769" s="90">
        <v>1376</v>
      </c>
      <c r="Y1769" s="90">
        <v>20017675.000000004</v>
      </c>
      <c r="Z1769" s="111">
        <v>1425</v>
      </c>
      <c r="AA1769" s="90">
        <v>424</v>
      </c>
      <c r="AB1769" s="89">
        <f t="shared" si="469"/>
        <v>409</v>
      </c>
      <c r="AC1769" s="89">
        <f t="shared" si="470"/>
        <v>1159</v>
      </c>
      <c r="AD1769" s="89">
        <f t="shared" si="471"/>
        <v>1425</v>
      </c>
      <c r="AE1769" s="90">
        <f t="shared" si="472"/>
        <v>409</v>
      </c>
      <c r="AF1769" s="90">
        <f t="shared" si="473"/>
        <v>2012</v>
      </c>
      <c r="AG1769" s="90">
        <f t="shared" si="474"/>
        <v>727</v>
      </c>
      <c r="AH1769" s="90">
        <f t="shared" si="475"/>
        <v>2018</v>
      </c>
      <c r="AI1769" s="90">
        <f t="shared" si="476"/>
        <v>1425</v>
      </c>
      <c r="AJ1769" s="90">
        <f t="shared" si="477"/>
        <v>2022</v>
      </c>
      <c r="AK1769" s="90" t="str">
        <f t="shared" si="478"/>
        <v/>
      </c>
      <c r="AL1769" s="91">
        <f>IF(AK1769="Adjust",(_xlfn.XLOOKUP(A1769,'Adj factor'!A:A,'Adj factor'!I:I,,0)*AI1769),'Master DataSheet'!AI1769)</f>
        <v>1425</v>
      </c>
      <c r="AM1769" s="91">
        <f t="shared" si="479"/>
        <v>1425</v>
      </c>
      <c r="AN1769" s="92" t="str">
        <f t="shared" si="480"/>
        <v>Increasing</v>
      </c>
      <c r="AS1769" s="94">
        <f t="shared" si="481"/>
        <v>0.26846120400846069</v>
      </c>
      <c r="AT1769" s="94">
        <f t="shared" si="482"/>
        <v>0.40760504674478637</v>
      </c>
      <c r="AU1769" s="94">
        <f t="shared" si="483"/>
        <v>0.71187088410617105</v>
      </c>
    </row>
    <row r="1770" spans="1:47" x14ac:dyDescent="0.3">
      <c r="A1770" s="85" t="str">
        <f>_xlfn.XLOOKUP(B1770,'Country codes &amp; Data sources'!G:G,'Country codes &amp; Data sources'!H:H,,0)</f>
        <v>Zambia</v>
      </c>
      <c r="B1770" s="85" t="s">
        <v>192</v>
      </c>
      <c r="C1770" s="85">
        <v>14744668</v>
      </c>
      <c r="D1770" s="85" t="s">
        <v>336</v>
      </c>
      <c r="E1770" s="86">
        <v>814</v>
      </c>
      <c r="F1770" s="86">
        <v>15234975.999999991</v>
      </c>
      <c r="G1770" s="86">
        <v>0</v>
      </c>
      <c r="H1770" s="86"/>
      <c r="I1770" s="86">
        <v>0</v>
      </c>
      <c r="J1770" s="86"/>
      <c r="K1770" s="86">
        <v>0</v>
      </c>
      <c r="L1770" s="86"/>
      <c r="M1770" s="86">
        <v>0</v>
      </c>
      <c r="N1770" s="86"/>
      <c r="O1770" s="86">
        <v>0</v>
      </c>
      <c r="P1770" s="86">
        <v>17835892.999999981</v>
      </c>
      <c r="Q1770" s="86">
        <v>1132</v>
      </c>
      <c r="R1770" s="87">
        <f t="shared" ref="R1770:R1787" si="484">MAX(Q1770,AA1770)</f>
        <v>1284</v>
      </c>
      <c r="T1770" s="87">
        <v>1312</v>
      </c>
      <c r="U1770" s="89"/>
      <c r="V1770" s="89">
        <v>1544</v>
      </c>
      <c r="W1770" s="90"/>
      <c r="X1770" s="90">
        <v>1944</v>
      </c>
      <c r="Y1770" s="90">
        <v>20017675.000000004</v>
      </c>
      <c r="Z1770" s="90">
        <v>1800</v>
      </c>
      <c r="AA1770" s="90">
        <v>1284</v>
      </c>
      <c r="AB1770" s="89">
        <f t="shared" ref="AB1770:AB1787" si="485">MAX(G1770,E1770,I1770,K1770)</f>
        <v>814</v>
      </c>
      <c r="AC1770" s="89">
        <f t="shared" ref="AC1770:AC1787" si="486">MAX(M1770,O1770,Q1770,T1770)</f>
        <v>1312</v>
      </c>
      <c r="AD1770" s="89">
        <f t="shared" ref="AD1770:AD1787" si="487">MAX(V1770,X1770,Z1770)</f>
        <v>1944</v>
      </c>
      <c r="AE1770" s="90">
        <f t="shared" ref="AE1770:AE1787" si="488">IF(G1770&gt;0,G1770,IF(E1770&gt;0,E1770,IF(I1770&gt;0,I1770,K1770)))</f>
        <v>814</v>
      </c>
      <c r="AF1770" s="90">
        <f t="shared" ref="AF1770:AF1787" si="489">IF(AE1770&gt;0,_xlfn.XLOOKUP(AE1770,$B1770:$K1770,$B$1:$K$1,,0),"")</f>
        <v>2012</v>
      </c>
      <c r="AG1770" s="90">
        <f t="shared" ref="AG1770:AG1787" si="490">IF(R1770&gt;0,R1770,IF(O1770&gt;0,O1770,T1770))</f>
        <v>1284</v>
      </c>
      <c r="AH1770" s="90" t="str">
        <f t="shared" ref="AH1770:AH1787" si="491">IF(AG1770&gt;0,_xlfn.XLOOKUP(AG1770,$L1770:$T1770,$L$1:$T$1,,0),"")</f>
        <v>2018 (triag)</v>
      </c>
      <c r="AI1770" s="90">
        <f t="shared" ref="AI1770:AI1773" si="492">IF((IF(Z1770&gt;0,Z1770,IF(X1770&gt;0,X1770,IF(V1770&gt;0,V1770,T1770))))=0,AG1770,IF(Z1770&gt;0,Z1770,IF(X1770&gt;0,X1770,IF(V1770&gt;0,V1770,T1770))))</f>
        <v>1800</v>
      </c>
      <c r="AJ1770" s="90">
        <f t="shared" ref="AJ1770:AJ1787" si="493">IFERROR(IF(AI1770&gt;0,_xlfn.XLOOKUP(AI1770,$V1770:$Z1770,$V$1:$Z$1,,0),""),AH1770)</f>
        <v>2022</v>
      </c>
      <c r="AK1770" s="90" t="str">
        <f t="shared" ref="AK1770:AK1787" si="494">IF(AI1770&lt;AG1770,"Adjust","")</f>
        <v/>
      </c>
      <c r="AL1770" s="91">
        <f>IF(AK1770="Adjust",(_xlfn.XLOOKUP(A1770,'Adj factor'!A:A,'Adj factor'!I:I,,0)*AI1770),'Master DataSheet'!AI1770)</f>
        <v>1800</v>
      </c>
      <c r="AM1770" s="91">
        <f t="shared" ref="AM1770:AM1787" si="495">IF(AL1770&lt;AG1770,AG1770,AL1770)</f>
        <v>1800</v>
      </c>
      <c r="AN1770" s="92" t="str">
        <f t="shared" ref="AN1770:AN1787" si="496">IF(AL1770&gt;AG1770,"Increasing",IF(AL1770&lt;AG1770,"Decreasing","No change"))</f>
        <v>Increasing</v>
      </c>
      <c r="AS1770" s="94">
        <f t="shared" ref="AS1770:AS1787" si="497">(AE1770*10000)/F1770</f>
        <v>0.53429687056940589</v>
      </c>
      <c r="AT1770" s="94">
        <f t="shared" ref="AT1770:AT1787" si="498">(AG1770*10000)/P1770</f>
        <v>0.71989667127965018</v>
      </c>
      <c r="AU1770" s="94">
        <f t="shared" ref="AU1770:AU1787" si="499">(AM1770*10000)/Y1770</f>
        <v>0.89920532729200553</v>
      </c>
    </row>
    <row r="1771" spans="1:47" ht="14.5" x14ac:dyDescent="0.35">
      <c r="A1771" s="85" t="str">
        <f>_xlfn.XLOOKUP(B1771,'Country codes &amp; Data sources'!G:G,'Country codes &amp; Data sources'!H:H,,0)</f>
        <v>Zambia</v>
      </c>
      <c r="B1771" s="85" t="s">
        <v>192</v>
      </c>
      <c r="C1771" s="85">
        <v>14744669</v>
      </c>
      <c r="D1771" s="85" t="s">
        <v>337</v>
      </c>
      <c r="E1771" s="86">
        <v>0</v>
      </c>
      <c r="F1771" s="86">
        <v>15234975.999999991</v>
      </c>
      <c r="G1771" s="86">
        <v>0</v>
      </c>
      <c r="H1771" s="86"/>
      <c r="I1771" s="86">
        <v>0</v>
      </c>
      <c r="J1771" s="86"/>
      <c r="K1771" s="86">
        <v>0</v>
      </c>
      <c r="L1771" s="86"/>
      <c r="M1771" s="86">
        <v>312</v>
      </c>
      <c r="N1771" s="86"/>
      <c r="O1771" s="86">
        <v>0</v>
      </c>
      <c r="P1771" s="86">
        <v>17835892.999999981</v>
      </c>
      <c r="Q1771" s="86">
        <v>160</v>
      </c>
      <c r="R1771" s="87">
        <f t="shared" si="484"/>
        <v>160</v>
      </c>
      <c r="T1771" s="87">
        <v>180</v>
      </c>
      <c r="U1771" s="89"/>
      <c r="V1771" s="89">
        <v>205</v>
      </c>
      <c r="W1771" s="90"/>
      <c r="X1771" s="90">
        <v>269</v>
      </c>
      <c r="Y1771" s="90">
        <v>20017675.000000004</v>
      </c>
      <c r="Z1771" s="111">
        <v>306</v>
      </c>
      <c r="AA1771" s="90">
        <v>43</v>
      </c>
      <c r="AB1771" s="89">
        <f t="shared" si="485"/>
        <v>0</v>
      </c>
      <c r="AC1771" s="89">
        <f t="shared" si="486"/>
        <v>312</v>
      </c>
      <c r="AD1771" s="89">
        <f t="shared" si="487"/>
        <v>306</v>
      </c>
      <c r="AE1771" s="90">
        <f t="shared" si="488"/>
        <v>0</v>
      </c>
      <c r="AF1771" s="90" t="str">
        <f t="shared" si="489"/>
        <v/>
      </c>
      <c r="AG1771" s="90">
        <f t="shared" si="490"/>
        <v>160</v>
      </c>
      <c r="AH1771" s="90">
        <f t="shared" si="491"/>
        <v>2018</v>
      </c>
      <c r="AI1771" s="90">
        <f t="shared" si="492"/>
        <v>306</v>
      </c>
      <c r="AJ1771" s="90">
        <f t="shared" si="493"/>
        <v>2022</v>
      </c>
      <c r="AK1771" s="90" t="str">
        <f t="shared" si="494"/>
        <v/>
      </c>
      <c r="AL1771" s="91">
        <f>IF(AK1771="Adjust",(_xlfn.XLOOKUP(A1771,'Adj factor'!A:A,'Adj factor'!I:I,,0)*AI1771),'Master DataSheet'!AI1771)</f>
        <v>306</v>
      </c>
      <c r="AM1771" s="91">
        <f t="shared" si="495"/>
        <v>306</v>
      </c>
      <c r="AN1771" s="92" t="str">
        <f t="shared" si="496"/>
        <v>Increasing</v>
      </c>
      <c r="AS1771" s="94">
        <f t="shared" si="497"/>
        <v>0</v>
      </c>
      <c r="AT1771" s="94">
        <f t="shared" si="498"/>
        <v>8.9706750315221198E-2</v>
      </c>
      <c r="AU1771" s="94">
        <f t="shared" si="499"/>
        <v>0.15286490563964095</v>
      </c>
    </row>
    <row r="1772" spans="1:47" x14ac:dyDescent="0.3">
      <c r="A1772" s="85" t="str">
        <f>_xlfn.XLOOKUP(B1772,'Country codes &amp; Data sources'!G:G,'Country codes &amp; Data sources'!H:H,,0)</f>
        <v>Zambia</v>
      </c>
      <c r="B1772" s="85" t="s">
        <v>192</v>
      </c>
      <c r="C1772" s="85">
        <v>14744670</v>
      </c>
      <c r="D1772" s="85" t="s">
        <v>338</v>
      </c>
      <c r="E1772" s="86">
        <v>282</v>
      </c>
      <c r="F1772" s="86">
        <v>15234975.999999991</v>
      </c>
      <c r="G1772" s="86">
        <v>0</v>
      </c>
      <c r="H1772" s="86"/>
      <c r="I1772" s="86">
        <v>0</v>
      </c>
      <c r="J1772" s="86"/>
      <c r="K1772" s="86">
        <v>0</v>
      </c>
      <c r="L1772" s="86"/>
      <c r="M1772" s="86">
        <v>0</v>
      </c>
      <c r="N1772" s="86"/>
      <c r="O1772" s="86">
        <v>0</v>
      </c>
      <c r="P1772" s="86">
        <v>17835892.999999981</v>
      </c>
      <c r="Q1772" s="86">
        <v>353</v>
      </c>
      <c r="R1772" s="87">
        <f t="shared" si="484"/>
        <v>412</v>
      </c>
      <c r="T1772" s="87">
        <v>390</v>
      </c>
      <c r="U1772" s="89"/>
      <c r="V1772" s="89">
        <v>453</v>
      </c>
      <c r="W1772" s="90"/>
      <c r="X1772" s="90">
        <v>499</v>
      </c>
      <c r="Y1772" s="90">
        <v>20017675.000000004</v>
      </c>
      <c r="Z1772" s="90">
        <v>743</v>
      </c>
      <c r="AA1772" s="90">
        <v>412</v>
      </c>
      <c r="AB1772" s="89">
        <f t="shared" si="485"/>
        <v>282</v>
      </c>
      <c r="AC1772" s="89">
        <f t="shared" si="486"/>
        <v>390</v>
      </c>
      <c r="AD1772" s="89">
        <f t="shared" si="487"/>
        <v>743</v>
      </c>
      <c r="AE1772" s="90">
        <f t="shared" si="488"/>
        <v>282</v>
      </c>
      <c r="AF1772" s="90">
        <f t="shared" si="489"/>
        <v>2012</v>
      </c>
      <c r="AG1772" s="90">
        <f t="shared" si="490"/>
        <v>412</v>
      </c>
      <c r="AH1772" s="90" t="str">
        <f t="shared" si="491"/>
        <v>2018 (triag)</v>
      </c>
      <c r="AI1772" s="90">
        <f t="shared" si="492"/>
        <v>743</v>
      </c>
      <c r="AJ1772" s="90">
        <f t="shared" si="493"/>
        <v>2022</v>
      </c>
      <c r="AK1772" s="90" t="str">
        <f t="shared" si="494"/>
        <v/>
      </c>
      <c r="AL1772" s="91">
        <f>IF(AK1772="Adjust",(_xlfn.XLOOKUP(A1772,'Adj factor'!A:A,'Adj factor'!I:I,,0)*AI1772),'Master DataSheet'!AI1772)</f>
        <v>743</v>
      </c>
      <c r="AM1772" s="91">
        <f t="shared" si="495"/>
        <v>743</v>
      </c>
      <c r="AN1772" s="92" t="str">
        <f t="shared" si="496"/>
        <v>Increasing</v>
      </c>
      <c r="AS1772" s="94">
        <f t="shared" si="497"/>
        <v>0.18510039004984333</v>
      </c>
      <c r="AT1772" s="94">
        <f t="shared" si="498"/>
        <v>0.23099488206169461</v>
      </c>
      <c r="AU1772" s="94">
        <f t="shared" si="499"/>
        <v>0.37117197676553337</v>
      </c>
    </row>
    <row r="1773" spans="1:47" x14ac:dyDescent="0.3">
      <c r="A1773" s="85" t="str">
        <f>_xlfn.XLOOKUP(B1773,'Country codes &amp; Data sources'!G:G,'Country codes &amp; Data sources'!H:H,,0)</f>
        <v>Zambia</v>
      </c>
      <c r="B1773" s="85" t="s">
        <v>192</v>
      </c>
      <c r="C1773" s="85">
        <v>14744671</v>
      </c>
      <c r="D1773" s="85" t="s">
        <v>339</v>
      </c>
      <c r="E1773" s="86">
        <v>0</v>
      </c>
      <c r="F1773" s="86">
        <v>15234975.999999991</v>
      </c>
      <c r="G1773" s="86">
        <v>0</v>
      </c>
      <c r="H1773" s="86"/>
      <c r="I1773" s="86">
        <v>0</v>
      </c>
      <c r="J1773" s="86"/>
      <c r="K1773" s="86">
        <v>0</v>
      </c>
      <c r="L1773" s="86"/>
      <c r="M1773" s="86">
        <v>0</v>
      </c>
      <c r="N1773" s="86"/>
      <c r="O1773" s="86">
        <v>0</v>
      </c>
      <c r="P1773" s="86">
        <v>17835892.999999981</v>
      </c>
      <c r="Q1773" s="86">
        <v>0</v>
      </c>
      <c r="R1773" s="87">
        <f t="shared" si="484"/>
        <v>0</v>
      </c>
      <c r="T1773" s="87">
        <v>0</v>
      </c>
      <c r="U1773" s="89"/>
      <c r="V1773" s="89">
        <v>0</v>
      </c>
      <c r="W1773" s="90"/>
      <c r="X1773" s="90">
        <v>0</v>
      </c>
      <c r="Y1773" s="90">
        <v>20017675.000000004</v>
      </c>
      <c r="Z1773" s="90">
        <v>4</v>
      </c>
      <c r="AA1773" s="90">
        <v>0</v>
      </c>
      <c r="AB1773" s="89">
        <f t="shared" si="485"/>
        <v>0</v>
      </c>
      <c r="AC1773" s="89">
        <f t="shared" si="486"/>
        <v>0</v>
      </c>
      <c r="AD1773" s="89">
        <f t="shared" si="487"/>
        <v>4</v>
      </c>
      <c r="AE1773" s="90">
        <f t="shared" si="488"/>
        <v>0</v>
      </c>
      <c r="AF1773" s="90" t="str">
        <f t="shared" si="489"/>
        <v/>
      </c>
      <c r="AG1773" s="90">
        <f t="shared" si="490"/>
        <v>0</v>
      </c>
      <c r="AH1773" s="90" t="str">
        <f t="shared" si="491"/>
        <v/>
      </c>
      <c r="AI1773" s="90">
        <f t="shared" si="492"/>
        <v>4</v>
      </c>
      <c r="AJ1773" s="90">
        <f t="shared" si="493"/>
        <v>2022</v>
      </c>
      <c r="AK1773" s="90" t="str">
        <f t="shared" si="494"/>
        <v/>
      </c>
      <c r="AL1773" s="91">
        <f>IF(AK1773="Adjust",(_xlfn.XLOOKUP(A1773,'Adj factor'!A:A,'Adj factor'!I:I,,0)*AI1773),'Master DataSheet'!AI1773)</f>
        <v>4</v>
      </c>
      <c r="AM1773" s="91">
        <f t="shared" si="495"/>
        <v>4</v>
      </c>
      <c r="AN1773" s="92" t="str">
        <f t="shared" si="496"/>
        <v>Increasing</v>
      </c>
      <c r="AS1773" s="94">
        <f t="shared" si="497"/>
        <v>0</v>
      </c>
      <c r="AT1773" s="94">
        <f t="shared" si="498"/>
        <v>0</v>
      </c>
      <c r="AU1773" s="94">
        <f t="shared" si="499"/>
        <v>1.998234060648901E-3</v>
      </c>
    </row>
    <row r="1774" spans="1:47" x14ac:dyDescent="0.3">
      <c r="A1774" s="85" t="str">
        <f>_xlfn.XLOOKUP(B1774,'Country codes &amp; Data sources'!G:G,'Country codes &amp; Data sources'!H:H,,0)</f>
        <v>Zimbabwe</v>
      </c>
      <c r="B1774" s="85" t="s">
        <v>193</v>
      </c>
      <c r="C1774" s="85">
        <v>13265331.000000002</v>
      </c>
      <c r="D1774" s="85" t="s">
        <v>326</v>
      </c>
      <c r="E1774" s="86">
        <v>1059</v>
      </c>
      <c r="F1774" s="86">
        <v>13555421.500000011</v>
      </c>
      <c r="G1774" s="86">
        <v>1114</v>
      </c>
      <c r="H1774" s="86">
        <v>13855753.000000004</v>
      </c>
      <c r="I1774" s="86">
        <v>1685</v>
      </c>
      <c r="J1774" s="86">
        <v>14154937</v>
      </c>
      <c r="K1774" s="86">
        <v>2508</v>
      </c>
      <c r="L1774" s="86">
        <v>14452704.499999994</v>
      </c>
      <c r="M1774" s="86">
        <v>2508</v>
      </c>
      <c r="N1774" s="86">
        <v>14751100.999999998</v>
      </c>
      <c r="O1774" s="86">
        <v>2646</v>
      </c>
      <c r="P1774" s="86">
        <v>15052184.000000007</v>
      </c>
      <c r="Q1774" s="86">
        <v>3026</v>
      </c>
      <c r="R1774" s="87">
        <f t="shared" si="484"/>
        <v>3026</v>
      </c>
      <c r="S1774" s="87">
        <v>15354607.5</v>
      </c>
      <c r="T1774" s="87">
        <v>0</v>
      </c>
      <c r="U1774" s="89">
        <v>15669665.999999998</v>
      </c>
      <c r="V1774" s="89">
        <v>2957</v>
      </c>
      <c r="W1774" s="90">
        <v>15993524.000000002</v>
      </c>
      <c r="X1774" s="90">
        <v>0</v>
      </c>
      <c r="Y1774" s="90">
        <v>16320536.999999996</v>
      </c>
      <c r="Z1774" s="90">
        <v>2708</v>
      </c>
      <c r="AA1774" s="90">
        <v>1959</v>
      </c>
      <c r="AB1774" s="89">
        <f t="shared" si="485"/>
        <v>2508</v>
      </c>
      <c r="AC1774" s="89">
        <f t="shared" si="486"/>
        <v>3026</v>
      </c>
      <c r="AD1774" s="89">
        <f t="shared" si="487"/>
        <v>2957</v>
      </c>
      <c r="AE1774" s="90">
        <f t="shared" si="488"/>
        <v>1114</v>
      </c>
      <c r="AF1774" s="90">
        <f t="shared" si="489"/>
        <v>2013</v>
      </c>
      <c r="AG1774" s="90">
        <f t="shared" si="490"/>
        <v>3026</v>
      </c>
      <c r="AH1774" s="90">
        <f t="shared" si="491"/>
        <v>2018</v>
      </c>
      <c r="AI1774" s="90">
        <f t="shared" ref="AI1774:AI1787" si="500">IF((IF(Z1774&gt;0,Z1774,IF(X1774&gt;0,X1774,IF(V1774&gt;0,V1774,T1774))))=0,AG1774,IF(Z1774&gt;0,Z1774,IF(X1774&gt;0,X1774,IF(V1774&gt;0,V1774,T1774))))</f>
        <v>2708</v>
      </c>
      <c r="AJ1774" s="90">
        <f t="shared" si="493"/>
        <v>2022</v>
      </c>
      <c r="AK1774" s="90" t="str">
        <f t="shared" si="494"/>
        <v>Adjust</v>
      </c>
      <c r="AL1774" s="91">
        <f>IF(AK1774="Adjust",(_xlfn.XLOOKUP(A1774,'Adj factor'!A:A,'Adj factor'!I:I,,0)*AI1774),'Master DataSheet'!AI1774)</f>
        <v>3131.5983655333839</v>
      </c>
      <c r="AM1774" s="91">
        <f t="shared" si="495"/>
        <v>3131.5983655333839</v>
      </c>
      <c r="AN1774" s="92" t="str">
        <f t="shared" si="496"/>
        <v>Increasing</v>
      </c>
      <c r="AS1774" s="94">
        <f t="shared" si="497"/>
        <v>0.82181140586443524</v>
      </c>
      <c r="AT1774" s="94">
        <f t="shared" si="498"/>
        <v>2.010339496248517</v>
      </c>
      <c r="AU1774" s="94">
        <f t="shared" si="499"/>
        <v>1.9188084102461731</v>
      </c>
    </row>
    <row r="1775" spans="1:47" x14ac:dyDescent="0.3">
      <c r="A1775" s="85" t="str">
        <f>_xlfn.XLOOKUP(B1775,'Country codes &amp; Data sources'!G:G,'Country codes &amp; Data sources'!H:H,,0)</f>
        <v>Zimbabwe</v>
      </c>
      <c r="B1775" s="85" t="s">
        <v>193</v>
      </c>
      <c r="C1775" s="85">
        <v>13265332</v>
      </c>
      <c r="D1775" s="85" t="s">
        <v>327</v>
      </c>
      <c r="E1775" s="86">
        <v>0</v>
      </c>
      <c r="F1775" s="86">
        <v>13555421.500000011</v>
      </c>
      <c r="G1775" s="86">
        <v>0</v>
      </c>
      <c r="H1775" s="86"/>
      <c r="I1775" s="86">
        <v>1458</v>
      </c>
      <c r="J1775" s="86"/>
      <c r="K1775" s="86">
        <v>1754</v>
      </c>
      <c r="L1775" s="86"/>
      <c r="M1775" s="86">
        <v>1754</v>
      </c>
      <c r="N1775" s="86"/>
      <c r="O1775" s="86">
        <v>1754</v>
      </c>
      <c r="P1775" s="86">
        <v>15052184.000000007</v>
      </c>
      <c r="Q1775" s="86">
        <v>1863</v>
      </c>
      <c r="R1775" s="87">
        <f t="shared" si="484"/>
        <v>1863</v>
      </c>
      <c r="T1775" s="87">
        <v>0</v>
      </c>
      <c r="U1775" s="89"/>
      <c r="V1775" s="89">
        <v>0</v>
      </c>
      <c r="W1775" s="90"/>
      <c r="X1775" s="90">
        <v>0</v>
      </c>
      <c r="Y1775" s="90">
        <v>16320536.999999996</v>
      </c>
      <c r="Z1775" s="90">
        <v>2032</v>
      </c>
      <c r="AA1775" s="90">
        <v>1715</v>
      </c>
      <c r="AB1775" s="89">
        <f t="shared" si="485"/>
        <v>1754</v>
      </c>
      <c r="AC1775" s="89">
        <f t="shared" si="486"/>
        <v>1863</v>
      </c>
      <c r="AD1775" s="89">
        <f t="shared" si="487"/>
        <v>2032</v>
      </c>
      <c r="AE1775" s="90">
        <f t="shared" si="488"/>
        <v>1458</v>
      </c>
      <c r="AF1775" s="90">
        <f t="shared" si="489"/>
        <v>2014</v>
      </c>
      <c r="AG1775" s="90">
        <f t="shared" si="490"/>
        <v>1863</v>
      </c>
      <c r="AH1775" s="90">
        <f t="shared" si="491"/>
        <v>2018</v>
      </c>
      <c r="AI1775" s="90">
        <f t="shared" si="500"/>
        <v>2032</v>
      </c>
      <c r="AJ1775" s="90">
        <f t="shared" si="493"/>
        <v>2022</v>
      </c>
      <c r="AK1775" s="90" t="str">
        <f t="shared" si="494"/>
        <v/>
      </c>
      <c r="AL1775" s="91">
        <f>IF(AK1775="Adjust",(_xlfn.XLOOKUP(A1775,'Adj factor'!A:A,'Adj factor'!I:I,,0)*AI1775),'Master DataSheet'!AI1775)</f>
        <v>2032</v>
      </c>
      <c r="AM1775" s="91">
        <f t="shared" si="495"/>
        <v>2032</v>
      </c>
      <c r="AN1775" s="92" t="str">
        <f t="shared" si="496"/>
        <v>Increasing</v>
      </c>
      <c r="AS1775" s="94">
        <f t="shared" si="497"/>
        <v>1.0755844073162895</v>
      </c>
      <c r="AT1775" s="94">
        <f t="shared" si="498"/>
        <v>1.2376941445839349</v>
      </c>
      <c r="AU1775" s="94">
        <f t="shared" si="499"/>
        <v>1.2450570713451405</v>
      </c>
    </row>
    <row r="1776" spans="1:47" x14ac:dyDescent="0.3">
      <c r="A1776" s="85" t="str">
        <f>_xlfn.XLOOKUP(B1776,'Country codes &amp; Data sources'!G:G,'Country codes &amp; Data sources'!H:H,,0)</f>
        <v>Zimbabwe</v>
      </c>
      <c r="B1776" s="85" t="s">
        <v>193</v>
      </c>
      <c r="C1776" s="85">
        <v>13265333</v>
      </c>
      <c r="D1776" s="85" t="s">
        <v>328</v>
      </c>
      <c r="E1776" s="86">
        <v>0</v>
      </c>
      <c r="F1776" s="86">
        <v>13555421.500000011</v>
      </c>
      <c r="G1776" s="86">
        <v>0</v>
      </c>
      <c r="H1776" s="86"/>
      <c r="I1776" s="86">
        <v>227</v>
      </c>
      <c r="J1776" s="86"/>
      <c r="K1776" s="86">
        <v>446</v>
      </c>
      <c r="L1776" s="86"/>
      <c r="M1776" s="86">
        <v>446</v>
      </c>
      <c r="N1776" s="86"/>
      <c r="O1776" s="86">
        <v>446</v>
      </c>
      <c r="P1776" s="86">
        <v>15052184.000000007</v>
      </c>
      <c r="Q1776" s="86">
        <v>619</v>
      </c>
      <c r="R1776" s="87">
        <f t="shared" si="484"/>
        <v>619</v>
      </c>
      <c r="T1776" s="87">
        <v>0</v>
      </c>
      <c r="U1776" s="89"/>
      <c r="V1776" s="89">
        <v>0</v>
      </c>
      <c r="W1776" s="90"/>
      <c r="X1776" s="90">
        <v>0</v>
      </c>
      <c r="Y1776" s="90">
        <v>16320536.999999996</v>
      </c>
      <c r="Z1776" s="90">
        <v>676</v>
      </c>
      <c r="AA1776" s="90">
        <v>244</v>
      </c>
      <c r="AB1776" s="89">
        <f t="shared" si="485"/>
        <v>446</v>
      </c>
      <c r="AC1776" s="89">
        <f t="shared" si="486"/>
        <v>619</v>
      </c>
      <c r="AD1776" s="89">
        <f t="shared" si="487"/>
        <v>676</v>
      </c>
      <c r="AE1776" s="90">
        <f t="shared" si="488"/>
        <v>227</v>
      </c>
      <c r="AF1776" s="90">
        <f t="shared" si="489"/>
        <v>2014</v>
      </c>
      <c r="AG1776" s="90">
        <f t="shared" si="490"/>
        <v>619</v>
      </c>
      <c r="AH1776" s="90">
        <f t="shared" si="491"/>
        <v>2018</v>
      </c>
      <c r="AI1776" s="90">
        <f t="shared" si="500"/>
        <v>676</v>
      </c>
      <c r="AJ1776" s="90">
        <f t="shared" si="493"/>
        <v>2022</v>
      </c>
      <c r="AK1776" s="90" t="str">
        <f t="shared" si="494"/>
        <v/>
      </c>
      <c r="AL1776" s="91">
        <f>IF(AK1776="Adjust",(_xlfn.XLOOKUP(A1776,'Adj factor'!A:A,'Adj factor'!I:I,,0)*AI1776),'Master DataSheet'!AI1776)</f>
        <v>676</v>
      </c>
      <c r="AM1776" s="91">
        <f t="shared" si="495"/>
        <v>676</v>
      </c>
      <c r="AN1776" s="92" t="str">
        <f t="shared" si="496"/>
        <v>Increasing</v>
      </c>
      <c r="AS1776" s="94">
        <f t="shared" si="497"/>
        <v>0.16746067246968294</v>
      </c>
      <c r="AT1776" s="94">
        <f t="shared" si="498"/>
        <v>0.41123600402439919</v>
      </c>
      <c r="AU1776" s="94">
        <f t="shared" si="499"/>
        <v>0.41420205719946601</v>
      </c>
    </row>
    <row r="1777" spans="1:47" x14ac:dyDescent="0.3">
      <c r="A1777" s="85" t="str">
        <f>_xlfn.XLOOKUP(B1777,'Country codes &amp; Data sources'!G:G,'Country codes &amp; Data sources'!H:H,,0)</f>
        <v>Zimbabwe</v>
      </c>
      <c r="B1777" s="85" t="s">
        <v>193</v>
      </c>
      <c r="C1777" s="85">
        <v>13265334</v>
      </c>
      <c r="D1777" s="85" t="s">
        <v>329</v>
      </c>
      <c r="E1777" s="86">
        <v>15536</v>
      </c>
      <c r="F1777" s="86">
        <v>13555421.500000011</v>
      </c>
      <c r="G1777" s="86">
        <v>18722</v>
      </c>
      <c r="H1777" s="86"/>
      <c r="I1777" s="86">
        <v>20885</v>
      </c>
      <c r="J1777" s="86"/>
      <c r="K1777" s="86">
        <v>19099</v>
      </c>
      <c r="L1777" s="86"/>
      <c r="M1777" s="86">
        <v>19642</v>
      </c>
      <c r="N1777" s="86"/>
      <c r="O1777" s="86">
        <v>28170</v>
      </c>
      <c r="P1777" s="86">
        <v>15052184.000000007</v>
      </c>
      <c r="Q1777" s="86">
        <v>27874</v>
      </c>
      <c r="R1777" s="87">
        <f t="shared" si="484"/>
        <v>27874</v>
      </c>
      <c r="T1777" s="87">
        <v>0</v>
      </c>
      <c r="U1777" s="89"/>
      <c r="V1777" s="89">
        <v>22499</v>
      </c>
      <c r="W1777" s="90"/>
      <c r="X1777" s="90">
        <v>0</v>
      </c>
      <c r="Y1777" s="90">
        <v>16320536.999999996</v>
      </c>
      <c r="Z1777" s="103">
        <v>46537</v>
      </c>
      <c r="AA1777" s="90">
        <v>25835</v>
      </c>
      <c r="AB1777" s="89">
        <f t="shared" si="485"/>
        <v>20885</v>
      </c>
      <c r="AC1777" s="89">
        <f t="shared" si="486"/>
        <v>28170</v>
      </c>
      <c r="AD1777" s="89">
        <f t="shared" si="487"/>
        <v>46537</v>
      </c>
      <c r="AE1777" s="90">
        <f t="shared" si="488"/>
        <v>18722</v>
      </c>
      <c r="AF1777" s="90">
        <f t="shared" si="489"/>
        <v>2013</v>
      </c>
      <c r="AG1777" s="90">
        <f t="shared" si="490"/>
        <v>27874</v>
      </c>
      <c r="AH1777" s="90">
        <f t="shared" si="491"/>
        <v>2018</v>
      </c>
      <c r="AI1777" s="90">
        <f t="shared" si="500"/>
        <v>46537</v>
      </c>
      <c r="AJ1777" s="90">
        <f t="shared" si="493"/>
        <v>2022</v>
      </c>
      <c r="AK1777" s="90" t="str">
        <f t="shared" si="494"/>
        <v/>
      </c>
      <c r="AL1777" s="91">
        <f>IF(AK1777="Adjust",(_xlfn.XLOOKUP(A1777,'Adj factor'!A:A,'Adj factor'!I:I,,0)*AI1777),'Master DataSheet'!AI1777)</f>
        <v>46537</v>
      </c>
      <c r="AM1777" s="91">
        <f t="shared" si="495"/>
        <v>46537</v>
      </c>
      <c r="AN1777" s="92" t="str">
        <f t="shared" si="496"/>
        <v>Increasing</v>
      </c>
      <c r="AS1777" s="94">
        <f t="shared" si="497"/>
        <v>13.811448061574467</v>
      </c>
      <c r="AT1777" s="94">
        <f t="shared" si="498"/>
        <v>18.518242934048633</v>
      </c>
      <c r="AU1777" s="94">
        <f t="shared" si="499"/>
        <v>28.514380378537798</v>
      </c>
    </row>
    <row r="1778" spans="1:47" x14ac:dyDescent="0.3">
      <c r="A1778" s="85" t="str">
        <f>_xlfn.XLOOKUP(B1778,'Country codes &amp; Data sources'!G:G,'Country codes &amp; Data sources'!H:H,,0)</f>
        <v>Zimbabwe</v>
      </c>
      <c r="B1778" s="85" t="s">
        <v>193</v>
      </c>
      <c r="C1778" s="85">
        <v>13265335</v>
      </c>
      <c r="D1778" s="85" t="s">
        <v>330</v>
      </c>
      <c r="E1778" s="86">
        <v>0</v>
      </c>
      <c r="F1778" s="86">
        <v>13555421.500000011</v>
      </c>
      <c r="G1778" s="86">
        <v>0</v>
      </c>
      <c r="H1778" s="86"/>
      <c r="I1778" s="86">
        <v>18315</v>
      </c>
      <c r="J1778" s="86"/>
      <c r="K1778" s="86">
        <v>16781</v>
      </c>
      <c r="L1778" s="86"/>
      <c r="M1778" s="86">
        <v>17054</v>
      </c>
      <c r="N1778" s="86"/>
      <c r="O1778" s="86">
        <v>18810</v>
      </c>
      <c r="P1778" s="86">
        <v>15052184.000000007</v>
      </c>
      <c r="Q1778" s="86">
        <v>14822</v>
      </c>
      <c r="R1778" s="87">
        <f t="shared" si="484"/>
        <v>19171</v>
      </c>
      <c r="T1778" s="87">
        <v>0</v>
      </c>
      <c r="U1778" s="89"/>
      <c r="V1778" s="89">
        <v>0</v>
      </c>
      <c r="W1778" s="90"/>
      <c r="X1778" s="90">
        <v>0</v>
      </c>
      <c r="Y1778" s="90">
        <v>16320536.999999996</v>
      </c>
      <c r="Z1778" s="90">
        <v>32182</v>
      </c>
      <c r="AA1778" s="90">
        <v>19171</v>
      </c>
      <c r="AB1778" s="89">
        <f t="shared" si="485"/>
        <v>18315</v>
      </c>
      <c r="AC1778" s="89">
        <f t="shared" si="486"/>
        <v>18810</v>
      </c>
      <c r="AD1778" s="89">
        <f t="shared" si="487"/>
        <v>32182</v>
      </c>
      <c r="AE1778" s="90">
        <f t="shared" si="488"/>
        <v>18315</v>
      </c>
      <c r="AF1778" s="90">
        <f t="shared" si="489"/>
        <v>2014</v>
      </c>
      <c r="AG1778" s="90">
        <f t="shared" si="490"/>
        <v>19171</v>
      </c>
      <c r="AH1778" s="90" t="str">
        <f t="shared" si="491"/>
        <v>2018 (triag)</v>
      </c>
      <c r="AI1778" s="90">
        <f t="shared" si="500"/>
        <v>32182</v>
      </c>
      <c r="AJ1778" s="90">
        <f t="shared" si="493"/>
        <v>2022</v>
      </c>
      <c r="AK1778" s="90" t="str">
        <f t="shared" si="494"/>
        <v/>
      </c>
      <c r="AL1778" s="91">
        <f>IF(AK1778="Adjust",(_xlfn.XLOOKUP(A1778,'Adj factor'!A:A,'Adj factor'!I:I,,0)*AI1778),'Master DataSheet'!AI1778)</f>
        <v>32182</v>
      </c>
      <c r="AM1778" s="91">
        <f t="shared" si="495"/>
        <v>32182</v>
      </c>
      <c r="AN1778" s="92" t="str">
        <f t="shared" si="496"/>
        <v>Increasing</v>
      </c>
      <c r="AS1778" s="94">
        <f t="shared" si="497"/>
        <v>13.511199190670673</v>
      </c>
      <c r="AT1778" s="94">
        <f t="shared" si="498"/>
        <v>12.736357727224163</v>
      </c>
      <c r="AU1778" s="94">
        <f t="shared" si="499"/>
        <v>19.718713912416</v>
      </c>
    </row>
    <row r="1779" spans="1:47" x14ac:dyDescent="0.3">
      <c r="A1779" s="85" t="str">
        <f>_xlfn.XLOOKUP(B1779,'Country codes &amp; Data sources'!G:G,'Country codes &amp; Data sources'!H:H,,0)</f>
        <v>Zimbabwe</v>
      </c>
      <c r="B1779" s="85" t="s">
        <v>193</v>
      </c>
      <c r="C1779" s="85">
        <v>13265336</v>
      </c>
      <c r="D1779" s="85" t="s">
        <v>331</v>
      </c>
      <c r="E1779" s="86">
        <v>0</v>
      </c>
      <c r="F1779" s="86">
        <v>13555421.500000011</v>
      </c>
      <c r="G1779" s="86">
        <v>0</v>
      </c>
      <c r="H1779" s="86"/>
      <c r="I1779" s="86">
        <v>2570</v>
      </c>
      <c r="J1779" s="86"/>
      <c r="K1779" s="86">
        <v>2318</v>
      </c>
      <c r="L1779" s="86"/>
      <c r="M1779" s="86">
        <v>2588</v>
      </c>
      <c r="N1779" s="86"/>
      <c r="O1779" s="86">
        <v>9360</v>
      </c>
      <c r="P1779" s="86">
        <v>15052184.000000007</v>
      </c>
      <c r="Q1779" s="86">
        <v>13052</v>
      </c>
      <c r="R1779" s="87">
        <f t="shared" si="484"/>
        <v>13052</v>
      </c>
      <c r="T1779" s="87">
        <v>0</v>
      </c>
      <c r="U1779" s="89"/>
      <c r="V1779" s="89">
        <v>0</v>
      </c>
      <c r="W1779" s="90"/>
      <c r="X1779" s="90">
        <v>0</v>
      </c>
      <c r="Y1779" s="90">
        <v>16320536.999999996</v>
      </c>
      <c r="Z1779" s="90">
        <v>0</v>
      </c>
      <c r="AA1779" s="90">
        <v>6664</v>
      </c>
      <c r="AB1779" s="89">
        <f t="shared" si="485"/>
        <v>2570</v>
      </c>
      <c r="AC1779" s="89">
        <f t="shared" si="486"/>
        <v>13052</v>
      </c>
      <c r="AD1779" s="89">
        <f t="shared" si="487"/>
        <v>0</v>
      </c>
      <c r="AE1779" s="90">
        <f t="shared" si="488"/>
        <v>2570</v>
      </c>
      <c r="AF1779" s="90">
        <f t="shared" si="489"/>
        <v>2014</v>
      </c>
      <c r="AG1779" s="90">
        <f t="shared" si="490"/>
        <v>13052</v>
      </c>
      <c r="AH1779" s="90">
        <f t="shared" si="491"/>
        <v>2018</v>
      </c>
      <c r="AI1779" s="90">
        <f t="shared" si="500"/>
        <v>13052</v>
      </c>
      <c r="AJ1779" s="90">
        <f t="shared" si="493"/>
        <v>2018</v>
      </c>
      <c r="AK1779" s="90" t="str">
        <f t="shared" si="494"/>
        <v/>
      </c>
      <c r="AL1779" s="91">
        <f>IF(AK1779="Adjust",(_xlfn.XLOOKUP(A1779,'Adj factor'!A:A,'Adj factor'!I:I,,0)*AI1779),'Master DataSheet'!AI1779)</f>
        <v>13052</v>
      </c>
      <c r="AM1779" s="91">
        <f t="shared" si="495"/>
        <v>13052</v>
      </c>
      <c r="AN1779" s="92" t="str">
        <f t="shared" si="496"/>
        <v>No change</v>
      </c>
      <c r="AS1779" s="94">
        <f t="shared" si="497"/>
        <v>1.8959203887536791</v>
      </c>
      <c r="AT1779" s="94">
        <f t="shared" si="498"/>
        <v>8.6711669216905616</v>
      </c>
      <c r="AU1779" s="94">
        <f t="shared" si="499"/>
        <v>7.9972858736204593</v>
      </c>
    </row>
    <row r="1780" spans="1:47" x14ac:dyDescent="0.3">
      <c r="A1780" s="85" t="str">
        <f>_xlfn.XLOOKUP(B1780,'Country codes &amp; Data sources'!G:G,'Country codes &amp; Data sources'!H:H,,0)</f>
        <v>Zimbabwe</v>
      </c>
      <c r="B1780" s="85" t="s">
        <v>193</v>
      </c>
      <c r="C1780" s="85">
        <v>13265337</v>
      </c>
      <c r="D1780" s="85" t="s">
        <v>332</v>
      </c>
      <c r="E1780" s="86">
        <v>0</v>
      </c>
      <c r="F1780" s="86">
        <v>13555421.500000011</v>
      </c>
      <c r="G1780" s="86">
        <v>0</v>
      </c>
      <c r="H1780" s="86"/>
      <c r="I1780" s="86">
        <v>0</v>
      </c>
      <c r="J1780" s="86"/>
      <c r="K1780" s="86">
        <v>0</v>
      </c>
      <c r="L1780" s="86"/>
      <c r="M1780" s="86">
        <v>0</v>
      </c>
      <c r="N1780" s="86"/>
      <c r="O1780" s="86">
        <v>8806</v>
      </c>
      <c r="P1780" s="86">
        <v>15052184.000000007</v>
      </c>
      <c r="Q1780" s="86">
        <v>0</v>
      </c>
      <c r="R1780" s="87">
        <f t="shared" si="484"/>
        <v>854</v>
      </c>
      <c r="T1780" s="87">
        <v>0</v>
      </c>
      <c r="U1780" s="89"/>
      <c r="V1780" s="89">
        <v>9293</v>
      </c>
      <c r="W1780" s="90"/>
      <c r="X1780" s="90">
        <v>0</v>
      </c>
      <c r="Y1780" s="90">
        <v>16320536.999999996</v>
      </c>
      <c r="Z1780" s="103">
        <v>9601</v>
      </c>
      <c r="AA1780" s="90">
        <v>854</v>
      </c>
      <c r="AB1780" s="89">
        <f t="shared" si="485"/>
        <v>0</v>
      </c>
      <c r="AC1780" s="89">
        <f t="shared" si="486"/>
        <v>8806</v>
      </c>
      <c r="AD1780" s="89">
        <f t="shared" si="487"/>
        <v>9601</v>
      </c>
      <c r="AE1780" s="90">
        <f t="shared" si="488"/>
        <v>0</v>
      </c>
      <c r="AF1780" s="90" t="str">
        <f t="shared" si="489"/>
        <v/>
      </c>
      <c r="AG1780" s="90">
        <f t="shared" si="490"/>
        <v>854</v>
      </c>
      <c r="AH1780" s="90" t="str">
        <f t="shared" si="491"/>
        <v>2018 (triag)</v>
      </c>
      <c r="AI1780" s="90">
        <f t="shared" si="500"/>
        <v>9601</v>
      </c>
      <c r="AJ1780" s="90">
        <f t="shared" si="493"/>
        <v>2022</v>
      </c>
      <c r="AK1780" s="90" t="str">
        <f t="shared" si="494"/>
        <v/>
      </c>
      <c r="AL1780" s="91">
        <f>IF(AK1780="Adjust",(_xlfn.XLOOKUP(A1780,'Adj factor'!A:A,'Adj factor'!I:I,,0)*AI1780),'Master DataSheet'!AI1780)</f>
        <v>9601</v>
      </c>
      <c r="AM1780" s="91">
        <f t="shared" si="495"/>
        <v>9601</v>
      </c>
      <c r="AN1780" s="92" t="str">
        <f t="shared" si="496"/>
        <v>Increasing</v>
      </c>
      <c r="AS1780" s="94">
        <f t="shared" si="497"/>
        <v>0</v>
      </c>
      <c r="AT1780" s="94">
        <f t="shared" si="498"/>
        <v>0.56735952736161055</v>
      </c>
      <c r="AU1780" s="94">
        <f t="shared" si="499"/>
        <v>5.8827721171184519</v>
      </c>
    </row>
    <row r="1781" spans="1:47" x14ac:dyDescent="0.3">
      <c r="A1781" s="85" t="str">
        <f>_xlfn.XLOOKUP(B1781,'Country codes &amp; Data sources'!G:G,'Country codes &amp; Data sources'!H:H,,0)</f>
        <v>Zimbabwe</v>
      </c>
      <c r="B1781" s="85" t="s">
        <v>193</v>
      </c>
      <c r="C1781" s="85">
        <v>13265338</v>
      </c>
      <c r="D1781" s="85" t="s">
        <v>333</v>
      </c>
      <c r="E1781" s="86">
        <v>0</v>
      </c>
      <c r="F1781" s="86">
        <v>13555421.500000011</v>
      </c>
      <c r="G1781" s="86">
        <v>0</v>
      </c>
      <c r="H1781" s="86"/>
      <c r="I1781" s="86">
        <v>0</v>
      </c>
      <c r="J1781" s="86"/>
      <c r="K1781" s="86">
        <v>0</v>
      </c>
      <c r="L1781" s="86"/>
      <c r="M1781" s="86">
        <v>0</v>
      </c>
      <c r="N1781" s="86"/>
      <c r="O1781" s="86">
        <v>0</v>
      </c>
      <c r="P1781" s="86">
        <v>15052184.000000007</v>
      </c>
      <c r="Q1781" s="86">
        <v>0</v>
      </c>
      <c r="R1781" s="87">
        <f t="shared" si="484"/>
        <v>845</v>
      </c>
      <c r="T1781" s="87">
        <v>0</v>
      </c>
      <c r="U1781" s="89"/>
      <c r="V1781" s="89">
        <v>0</v>
      </c>
      <c r="W1781" s="90"/>
      <c r="X1781" s="90">
        <v>0</v>
      </c>
      <c r="Y1781" s="90">
        <v>16320536.999999996</v>
      </c>
      <c r="Z1781" s="90">
        <v>2796</v>
      </c>
      <c r="AA1781" s="90">
        <v>845</v>
      </c>
      <c r="AB1781" s="89">
        <f t="shared" si="485"/>
        <v>0</v>
      </c>
      <c r="AC1781" s="89">
        <f t="shared" si="486"/>
        <v>0</v>
      </c>
      <c r="AD1781" s="89">
        <f t="shared" si="487"/>
        <v>2796</v>
      </c>
      <c r="AE1781" s="90">
        <f t="shared" si="488"/>
        <v>0</v>
      </c>
      <c r="AF1781" s="90" t="str">
        <f t="shared" si="489"/>
        <v/>
      </c>
      <c r="AG1781" s="90">
        <f t="shared" si="490"/>
        <v>845</v>
      </c>
      <c r="AH1781" s="90" t="str">
        <f t="shared" si="491"/>
        <v>2018 (triag)</v>
      </c>
      <c r="AI1781" s="90">
        <f t="shared" si="500"/>
        <v>2796</v>
      </c>
      <c r="AJ1781" s="90">
        <f t="shared" si="493"/>
        <v>2022</v>
      </c>
      <c r="AK1781" s="90" t="str">
        <f t="shared" si="494"/>
        <v/>
      </c>
      <c r="AL1781" s="91">
        <f>IF(AK1781="Adjust",(_xlfn.XLOOKUP(A1781,'Adj factor'!A:A,'Adj factor'!I:I,,0)*AI1781),'Master DataSheet'!AI1781)</f>
        <v>2796</v>
      </c>
      <c r="AM1781" s="91">
        <f t="shared" si="495"/>
        <v>2796</v>
      </c>
      <c r="AN1781" s="92" t="str">
        <f t="shared" si="496"/>
        <v>Increasing</v>
      </c>
      <c r="AS1781" s="94">
        <f t="shared" si="497"/>
        <v>0</v>
      </c>
      <c r="AT1781" s="94">
        <f t="shared" si="498"/>
        <v>0.56138032859550457</v>
      </c>
      <c r="AU1781" s="94">
        <f t="shared" si="499"/>
        <v>1.7131789229729393</v>
      </c>
    </row>
    <row r="1782" spans="1:47" x14ac:dyDescent="0.3">
      <c r="A1782" s="85" t="str">
        <f>_xlfn.XLOOKUP(B1782,'Country codes &amp; Data sources'!G:G,'Country codes &amp; Data sources'!H:H,,0)</f>
        <v>Zimbabwe</v>
      </c>
      <c r="B1782" s="85" t="s">
        <v>193</v>
      </c>
      <c r="C1782" s="85">
        <v>13265339</v>
      </c>
      <c r="D1782" s="85" t="s">
        <v>334</v>
      </c>
      <c r="E1782" s="86">
        <v>0</v>
      </c>
      <c r="F1782" s="86">
        <v>13555421.500000011</v>
      </c>
      <c r="G1782" s="86">
        <v>0</v>
      </c>
      <c r="H1782" s="86"/>
      <c r="I1782" s="86">
        <v>0</v>
      </c>
      <c r="J1782" s="86"/>
      <c r="K1782" s="86">
        <v>0</v>
      </c>
      <c r="L1782" s="86"/>
      <c r="M1782" s="86">
        <v>0</v>
      </c>
      <c r="N1782" s="86"/>
      <c r="O1782" s="86">
        <v>0</v>
      </c>
      <c r="P1782" s="86">
        <v>15052184.000000007</v>
      </c>
      <c r="Q1782" s="86">
        <v>0</v>
      </c>
      <c r="R1782" s="87">
        <f t="shared" si="484"/>
        <v>9</v>
      </c>
      <c r="T1782" s="87">
        <v>0</v>
      </c>
      <c r="U1782" s="89"/>
      <c r="V1782" s="89">
        <v>0</v>
      </c>
      <c r="W1782" s="90"/>
      <c r="X1782" s="90">
        <v>0</v>
      </c>
      <c r="Y1782" s="90">
        <v>16320536.999999996</v>
      </c>
      <c r="Z1782" s="90">
        <v>0</v>
      </c>
      <c r="AA1782" s="90">
        <v>9</v>
      </c>
      <c r="AB1782" s="89">
        <f t="shared" si="485"/>
        <v>0</v>
      </c>
      <c r="AC1782" s="89">
        <f t="shared" si="486"/>
        <v>0</v>
      </c>
      <c r="AD1782" s="89">
        <f t="shared" si="487"/>
        <v>0</v>
      </c>
      <c r="AE1782" s="90">
        <f t="shared" si="488"/>
        <v>0</v>
      </c>
      <c r="AF1782" s="90" t="str">
        <f t="shared" si="489"/>
        <v/>
      </c>
      <c r="AG1782" s="90">
        <f t="shared" si="490"/>
        <v>9</v>
      </c>
      <c r="AH1782" s="90" t="str">
        <f t="shared" si="491"/>
        <v>2018 (triag)</v>
      </c>
      <c r="AI1782" s="90">
        <f t="shared" si="500"/>
        <v>9</v>
      </c>
      <c r="AJ1782" s="90" t="str">
        <f t="shared" si="493"/>
        <v>2018 (triag)</v>
      </c>
      <c r="AK1782" s="90" t="str">
        <f t="shared" si="494"/>
        <v/>
      </c>
      <c r="AL1782" s="91">
        <f>IF(AK1782="Adjust",(_xlfn.XLOOKUP(A1782,'Adj factor'!A:A,'Adj factor'!I:I,,0)*AI1782),'Master DataSheet'!AI1782)</f>
        <v>9</v>
      </c>
      <c r="AM1782" s="91">
        <f t="shared" si="495"/>
        <v>9</v>
      </c>
      <c r="AN1782" s="92" t="str">
        <f t="shared" si="496"/>
        <v>No change</v>
      </c>
      <c r="AS1782" s="94">
        <f t="shared" si="497"/>
        <v>0</v>
      </c>
      <c r="AT1782" s="94">
        <f t="shared" si="498"/>
        <v>5.9791987661059658E-3</v>
      </c>
      <c r="AU1782" s="94">
        <f t="shared" si="499"/>
        <v>5.5145244301704052E-3</v>
      </c>
    </row>
    <row r="1783" spans="1:47" x14ac:dyDescent="0.3">
      <c r="A1783" s="85" t="str">
        <f>_xlfn.XLOOKUP(B1783,'Country codes &amp; Data sources'!G:G,'Country codes &amp; Data sources'!H:H,,0)</f>
        <v>Zimbabwe</v>
      </c>
      <c r="B1783" s="85" t="s">
        <v>193</v>
      </c>
      <c r="C1783" s="85">
        <v>13265340</v>
      </c>
      <c r="D1783" s="85" t="s">
        <v>335</v>
      </c>
      <c r="E1783" s="86">
        <v>378</v>
      </c>
      <c r="F1783" s="86">
        <v>13555421.500000011</v>
      </c>
      <c r="G1783" s="86">
        <v>394</v>
      </c>
      <c r="H1783" s="86"/>
      <c r="I1783" s="86">
        <v>193</v>
      </c>
      <c r="J1783" s="86"/>
      <c r="K1783" s="86">
        <v>141</v>
      </c>
      <c r="L1783" s="86"/>
      <c r="M1783" s="86">
        <v>219</v>
      </c>
      <c r="N1783" s="86"/>
      <c r="O1783" s="86">
        <v>272</v>
      </c>
      <c r="P1783" s="86">
        <v>15052184.000000007</v>
      </c>
      <c r="Q1783" s="86">
        <v>1397</v>
      </c>
      <c r="R1783" s="87">
        <f t="shared" si="484"/>
        <v>1397</v>
      </c>
      <c r="T1783" s="87">
        <v>0</v>
      </c>
      <c r="U1783" s="89"/>
      <c r="V1783" s="89">
        <v>1600</v>
      </c>
      <c r="W1783" s="90"/>
      <c r="X1783" s="90">
        <v>0</v>
      </c>
      <c r="Y1783" s="90">
        <v>16320536.999999996</v>
      </c>
      <c r="Z1783" s="90">
        <v>1902</v>
      </c>
      <c r="AA1783" s="90">
        <v>223</v>
      </c>
      <c r="AB1783" s="89">
        <f t="shared" si="485"/>
        <v>394</v>
      </c>
      <c r="AC1783" s="89">
        <f t="shared" si="486"/>
        <v>1397</v>
      </c>
      <c r="AD1783" s="89">
        <f t="shared" si="487"/>
        <v>1902</v>
      </c>
      <c r="AE1783" s="90">
        <f t="shared" si="488"/>
        <v>394</v>
      </c>
      <c r="AF1783" s="90">
        <f t="shared" si="489"/>
        <v>2013</v>
      </c>
      <c r="AG1783" s="90">
        <f t="shared" si="490"/>
        <v>1397</v>
      </c>
      <c r="AH1783" s="90">
        <f t="shared" si="491"/>
        <v>2018</v>
      </c>
      <c r="AI1783" s="90">
        <f t="shared" si="500"/>
        <v>1902</v>
      </c>
      <c r="AJ1783" s="90">
        <f t="shared" si="493"/>
        <v>2022</v>
      </c>
      <c r="AK1783" s="90" t="str">
        <f t="shared" si="494"/>
        <v/>
      </c>
      <c r="AL1783" s="91">
        <f>IF(AK1783="Adjust",(_xlfn.XLOOKUP(A1783,'Adj factor'!A:A,'Adj factor'!I:I,,0)*AI1783),'Master DataSheet'!AI1783)</f>
        <v>1902</v>
      </c>
      <c r="AM1783" s="91">
        <f t="shared" si="495"/>
        <v>1902</v>
      </c>
      <c r="AN1783" s="92" t="str">
        <f t="shared" si="496"/>
        <v>Increasing</v>
      </c>
      <c r="AS1783" s="94">
        <f t="shared" si="497"/>
        <v>0.29065861212799593</v>
      </c>
      <c r="AT1783" s="94">
        <f t="shared" si="498"/>
        <v>0.92810451958333706</v>
      </c>
      <c r="AU1783" s="94">
        <f t="shared" si="499"/>
        <v>1.1654028295760124</v>
      </c>
    </row>
    <row r="1784" spans="1:47" x14ac:dyDescent="0.3">
      <c r="A1784" s="85" t="str">
        <f>_xlfn.XLOOKUP(B1784,'Country codes &amp; Data sources'!G:G,'Country codes &amp; Data sources'!H:H,,0)</f>
        <v>Zimbabwe</v>
      </c>
      <c r="B1784" s="85" t="s">
        <v>193</v>
      </c>
      <c r="C1784" s="85">
        <v>13265341</v>
      </c>
      <c r="D1784" s="85" t="s">
        <v>336</v>
      </c>
      <c r="E1784" s="86">
        <v>0</v>
      </c>
      <c r="F1784" s="86">
        <v>13555421.500000011</v>
      </c>
      <c r="G1784" s="86">
        <v>0</v>
      </c>
      <c r="H1784" s="86"/>
      <c r="I1784" s="86">
        <v>511</v>
      </c>
      <c r="J1784" s="86"/>
      <c r="K1784" s="86">
        <v>443</v>
      </c>
      <c r="L1784" s="86"/>
      <c r="M1784" s="86">
        <v>540</v>
      </c>
      <c r="N1784" s="86"/>
      <c r="O1784" s="86">
        <v>726</v>
      </c>
      <c r="P1784" s="86">
        <v>15052184.000000007</v>
      </c>
      <c r="Q1784" s="86">
        <v>1827</v>
      </c>
      <c r="R1784" s="87">
        <f>MAX(Q1784,AA1784)</f>
        <v>1827</v>
      </c>
      <c r="T1784" s="87">
        <v>0</v>
      </c>
      <c r="U1784" s="89"/>
      <c r="V1784" s="89">
        <v>0</v>
      </c>
      <c r="W1784" s="90"/>
      <c r="X1784" s="90">
        <v>0</v>
      </c>
      <c r="Y1784" s="90">
        <v>16320536.999999996</v>
      </c>
      <c r="Z1784" s="90">
        <v>588</v>
      </c>
      <c r="AA1784" s="90">
        <v>553</v>
      </c>
      <c r="AB1784" s="89">
        <f t="shared" si="485"/>
        <v>511</v>
      </c>
      <c r="AC1784" s="89">
        <f t="shared" si="486"/>
        <v>1827</v>
      </c>
      <c r="AD1784" s="89">
        <f t="shared" si="487"/>
        <v>588</v>
      </c>
      <c r="AE1784" s="90">
        <f t="shared" si="488"/>
        <v>511</v>
      </c>
      <c r="AF1784" s="90">
        <f t="shared" si="489"/>
        <v>2014</v>
      </c>
      <c r="AG1784" s="90">
        <f t="shared" si="490"/>
        <v>1827</v>
      </c>
      <c r="AH1784" s="90">
        <f t="shared" si="491"/>
        <v>2018</v>
      </c>
      <c r="AI1784" s="90">
        <f t="shared" si="500"/>
        <v>588</v>
      </c>
      <c r="AJ1784" s="90">
        <f t="shared" si="493"/>
        <v>2022</v>
      </c>
      <c r="AK1784" s="90" t="str">
        <f t="shared" si="494"/>
        <v>Adjust</v>
      </c>
      <c r="AL1784" s="91">
        <f>IF(AK1784="Adjust",(_xlfn.XLOOKUP(A1784,'Adj factor'!A:A,'Adj factor'!I:I,,0)*AI1784),'Master DataSheet'!AI1784)</f>
        <v>679.97778394890315</v>
      </c>
      <c r="AM1784" s="91">
        <f t="shared" si="495"/>
        <v>1827</v>
      </c>
      <c r="AN1784" s="92" t="str">
        <f t="shared" si="496"/>
        <v>Decreasing</v>
      </c>
      <c r="AS1784" s="94">
        <f t="shared" si="497"/>
        <v>0.37697094111016732</v>
      </c>
      <c r="AT1784" s="94">
        <f t="shared" si="498"/>
        <v>1.213777349519511</v>
      </c>
      <c r="AU1784" s="94">
        <f t="shared" si="499"/>
        <v>1.1194484593245924</v>
      </c>
    </row>
    <row r="1785" spans="1:47" x14ac:dyDescent="0.3">
      <c r="A1785" s="85" t="str">
        <f>_xlfn.XLOOKUP(B1785,'Country codes &amp; Data sources'!G:G,'Country codes &amp; Data sources'!H:H,,0)</f>
        <v>Zimbabwe</v>
      </c>
      <c r="B1785" s="85" t="s">
        <v>193</v>
      </c>
      <c r="C1785" s="85">
        <v>13265342</v>
      </c>
      <c r="D1785" s="85" t="s">
        <v>337</v>
      </c>
      <c r="E1785" s="86">
        <v>233</v>
      </c>
      <c r="F1785" s="86">
        <v>13555421.500000011</v>
      </c>
      <c r="G1785" s="86">
        <v>236</v>
      </c>
      <c r="H1785" s="86"/>
      <c r="I1785" s="86">
        <v>107</v>
      </c>
      <c r="J1785" s="86"/>
      <c r="K1785" s="86">
        <v>66</v>
      </c>
      <c r="L1785" s="86"/>
      <c r="M1785" s="86">
        <v>136</v>
      </c>
      <c r="N1785" s="86"/>
      <c r="O1785" s="86">
        <v>109</v>
      </c>
      <c r="P1785" s="86">
        <v>15052184.000000007</v>
      </c>
      <c r="Q1785" s="86">
        <v>104</v>
      </c>
      <c r="R1785" s="87">
        <f t="shared" si="484"/>
        <v>142</v>
      </c>
      <c r="T1785" s="87">
        <v>248</v>
      </c>
      <c r="U1785" s="89"/>
      <c r="V1785" s="89">
        <v>234</v>
      </c>
      <c r="W1785" s="90"/>
      <c r="X1785" s="90">
        <v>0</v>
      </c>
      <c r="Y1785" s="90">
        <v>16320536.999999996</v>
      </c>
      <c r="Z1785" s="103">
        <v>201</v>
      </c>
      <c r="AA1785" s="90">
        <v>142</v>
      </c>
      <c r="AB1785" s="89">
        <f t="shared" si="485"/>
        <v>236</v>
      </c>
      <c r="AC1785" s="89">
        <f t="shared" si="486"/>
        <v>248</v>
      </c>
      <c r="AD1785" s="89">
        <f t="shared" si="487"/>
        <v>234</v>
      </c>
      <c r="AE1785" s="90">
        <f t="shared" si="488"/>
        <v>236</v>
      </c>
      <c r="AF1785" s="90">
        <f t="shared" si="489"/>
        <v>2013</v>
      </c>
      <c r="AG1785" s="90">
        <f t="shared" si="490"/>
        <v>142</v>
      </c>
      <c r="AH1785" s="90" t="str">
        <f t="shared" si="491"/>
        <v>2018 (triag)</v>
      </c>
      <c r="AI1785" s="90">
        <f t="shared" si="500"/>
        <v>201</v>
      </c>
      <c r="AJ1785" s="90">
        <f t="shared" si="493"/>
        <v>2022</v>
      </c>
      <c r="AK1785" s="90" t="str">
        <f t="shared" si="494"/>
        <v/>
      </c>
      <c r="AL1785" s="91">
        <f>IF(AK1785="Adjust",(_xlfn.XLOOKUP(A1785,'Adj factor'!A:A,'Adj factor'!I:I,,0)*AI1785),'Master DataSheet'!AI1785)</f>
        <v>201</v>
      </c>
      <c r="AM1785" s="91">
        <f t="shared" si="495"/>
        <v>201</v>
      </c>
      <c r="AN1785" s="92" t="str">
        <f t="shared" si="496"/>
        <v>Increasing</v>
      </c>
      <c r="AS1785" s="94">
        <f t="shared" si="497"/>
        <v>0.17410008239138841</v>
      </c>
      <c r="AT1785" s="94">
        <f t="shared" si="498"/>
        <v>9.4338469420783014E-2</v>
      </c>
      <c r="AU1785" s="94">
        <f t="shared" si="499"/>
        <v>0.12315771227380573</v>
      </c>
    </row>
    <row r="1786" spans="1:47" x14ac:dyDescent="0.3">
      <c r="A1786" s="85" t="str">
        <f>_xlfn.XLOOKUP(B1786,'Country codes &amp; Data sources'!G:G,'Country codes &amp; Data sources'!H:H,,0)</f>
        <v>Zimbabwe</v>
      </c>
      <c r="B1786" s="85" t="s">
        <v>193</v>
      </c>
      <c r="C1786" s="85">
        <v>13265343</v>
      </c>
      <c r="D1786" s="85" t="s">
        <v>338</v>
      </c>
      <c r="E1786" s="86">
        <v>0</v>
      </c>
      <c r="F1786" s="86">
        <v>13555421.500000011</v>
      </c>
      <c r="G1786" s="86">
        <v>0</v>
      </c>
      <c r="H1786" s="86"/>
      <c r="I1786" s="86">
        <v>171</v>
      </c>
      <c r="J1786" s="86"/>
      <c r="K1786" s="86">
        <v>261</v>
      </c>
      <c r="L1786" s="86"/>
      <c r="M1786" s="86">
        <v>157</v>
      </c>
      <c r="N1786" s="86"/>
      <c r="O1786" s="86">
        <v>276</v>
      </c>
      <c r="P1786" s="86">
        <v>15052184.000000007</v>
      </c>
      <c r="Q1786" s="86">
        <v>508</v>
      </c>
      <c r="R1786" s="87">
        <f t="shared" si="484"/>
        <v>508</v>
      </c>
      <c r="T1786" s="87">
        <v>329</v>
      </c>
      <c r="U1786" s="89"/>
      <c r="V1786" s="89">
        <v>0</v>
      </c>
      <c r="W1786" s="90"/>
      <c r="X1786" s="90">
        <v>0</v>
      </c>
      <c r="Y1786" s="90">
        <v>16320536.999999996</v>
      </c>
      <c r="Z1786" s="90">
        <v>178</v>
      </c>
      <c r="AA1786" s="90">
        <v>205</v>
      </c>
      <c r="AB1786" s="89">
        <f t="shared" si="485"/>
        <v>261</v>
      </c>
      <c r="AC1786" s="89">
        <f t="shared" si="486"/>
        <v>508</v>
      </c>
      <c r="AD1786" s="89">
        <f t="shared" si="487"/>
        <v>178</v>
      </c>
      <c r="AE1786" s="90">
        <f t="shared" si="488"/>
        <v>171</v>
      </c>
      <c r="AF1786" s="90">
        <f t="shared" si="489"/>
        <v>2014</v>
      </c>
      <c r="AG1786" s="90">
        <f t="shared" si="490"/>
        <v>508</v>
      </c>
      <c r="AH1786" s="90">
        <f t="shared" si="491"/>
        <v>2018</v>
      </c>
      <c r="AI1786" s="90">
        <f t="shared" si="500"/>
        <v>178</v>
      </c>
      <c r="AJ1786" s="90">
        <f t="shared" si="493"/>
        <v>2022</v>
      </c>
      <c r="AK1786" s="90" t="str">
        <f t="shared" si="494"/>
        <v>Adjust</v>
      </c>
      <c r="AL1786" s="91">
        <f>IF(AK1786="Adjust",(_xlfn.XLOOKUP(A1786,'Adj factor'!A:A,'Adj factor'!I:I,,0)*AI1786),'Master DataSheet'!AI1786)</f>
        <v>205.84361486888565</v>
      </c>
      <c r="AM1786" s="91">
        <f t="shared" si="495"/>
        <v>508</v>
      </c>
      <c r="AN1786" s="92" t="str">
        <f t="shared" si="496"/>
        <v>Decreasing</v>
      </c>
      <c r="AS1786" s="94">
        <f t="shared" si="497"/>
        <v>0.12614878851240433</v>
      </c>
      <c r="AT1786" s="94">
        <f t="shared" si="498"/>
        <v>0.33749255257575894</v>
      </c>
      <c r="AU1786" s="94">
        <f t="shared" si="499"/>
        <v>0.31126426783628514</v>
      </c>
    </row>
    <row r="1787" spans="1:47" x14ac:dyDescent="0.3">
      <c r="A1787" s="85" t="str">
        <f>_xlfn.XLOOKUP(B1787,'Country codes &amp; Data sources'!G:G,'Country codes &amp; Data sources'!H:H,,0)</f>
        <v>Zimbabwe</v>
      </c>
      <c r="B1787" s="85" t="s">
        <v>193</v>
      </c>
      <c r="C1787" s="85">
        <v>13265344</v>
      </c>
      <c r="D1787" s="85" t="s">
        <v>339</v>
      </c>
      <c r="E1787" s="86">
        <v>0</v>
      </c>
      <c r="F1787" s="86">
        <v>13555421.500000011</v>
      </c>
      <c r="G1787" s="86">
        <v>0</v>
      </c>
      <c r="H1787" s="86"/>
      <c r="I1787" s="86">
        <v>0</v>
      </c>
      <c r="J1787" s="86"/>
      <c r="K1787" s="86">
        <v>0</v>
      </c>
      <c r="L1787" s="86"/>
      <c r="M1787" s="86">
        <v>0</v>
      </c>
      <c r="N1787" s="86"/>
      <c r="O1787" s="86">
        <v>0</v>
      </c>
      <c r="P1787" s="86">
        <v>15052184.000000007</v>
      </c>
      <c r="Q1787" s="86">
        <v>0</v>
      </c>
      <c r="R1787" s="87">
        <f t="shared" si="484"/>
        <v>0</v>
      </c>
      <c r="T1787" s="87">
        <v>0</v>
      </c>
      <c r="U1787" s="89"/>
      <c r="V1787" s="89">
        <v>0</v>
      </c>
      <c r="W1787" s="90"/>
      <c r="X1787" s="90">
        <v>0</v>
      </c>
      <c r="Y1787" s="90">
        <v>16320536.999999996</v>
      </c>
      <c r="Z1787" s="90">
        <v>39</v>
      </c>
      <c r="AA1787" s="90">
        <v>0</v>
      </c>
      <c r="AB1787" s="89">
        <f t="shared" si="485"/>
        <v>0</v>
      </c>
      <c r="AC1787" s="89">
        <f t="shared" si="486"/>
        <v>0</v>
      </c>
      <c r="AD1787" s="89">
        <f t="shared" si="487"/>
        <v>39</v>
      </c>
      <c r="AE1787" s="90">
        <f t="shared" si="488"/>
        <v>0</v>
      </c>
      <c r="AF1787" s="90" t="str">
        <f t="shared" si="489"/>
        <v/>
      </c>
      <c r="AG1787" s="90">
        <f t="shared" si="490"/>
        <v>0</v>
      </c>
      <c r="AH1787" s="90" t="str">
        <f t="shared" si="491"/>
        <v/>
      </c>
      <c r="AI1787" s="90">
        <f t="shared" si="500"/>
        <v>39</v>
      </c>
      <c r="AJ1787" s="90">
        <f t="shared" si="493"/>
        <v>2022</v>
      </c>
      <c r="AK1787" s="90" t="str">
        <f t="shared" si="494"/>
        <v/>
      </c>
      <c r="AL1787" s="91">
        <f>IF(AK1787="Adjust",(_xlfn.XLOOKUP(A1787,'Adj factor'!A:A,'Adj factor'!I:I,,0)*AI1787),'Master DataSheet'!AI1787)</f>
        <v>39</v>
      </c>
      <c r="AM1787" s="91">
        <f t="shared" si="495"/>
        <v>39</v>
      </c>
      <c r="AN1787" s="92" t="str">
        <f t="shared" si="496"/>
        <v>Increasing</v>
      </c>
      <c r="AS1787" s="94">
        <f t="shared" si="497"/>
        <v>0</v>
      </c>
      <c r="AT1787" s="94">
        <f t="shared" si="498"/>
        <v>0</v>
      </c>
      <c r="AU1787" s="94">
        <f t="shared" si="499"/>
        <v>2.3896272530738425E-2</v>
      </c>
    </row>
  </sheetData>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23DA0434-AF8D-4EDF-B502-7F32C636F95B}">
            <xm:f>NOT(ISERROR(SEARCH($AN$2,AN1)))</xm:f>
            <xm:f>$AN$2</xm:f>
            <x14:dxf>
              <font>
                <color rgb="FF9C0006"/>
              </font>
              <fill>
                <patternFill>
                  <bgColor rgb="FFFFC7CE"/>
                </patternFill>
              </fill>
            </x14:dxf>
          </x14:cfRule>
          <xm:sqref>AN1:AN1048576</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984CD-89B2-40FF-8ED7-D2E3B22BEAEA}">
  <sheetPr>
    <tabColor rgb="FF00B050"/>
  </sheetPr>
  <dimension ref="A1:J67"/>
  <sheetViews>
    <sheetView topLeftCell="A40" workbookViewId="0">
      <selection activeCell="D18" sqref="D18"/>
    </sheetView>
  </sheetViews>
  <sheetFormatPr defaultColWidth="8.81640625" defaultRowHeight="14.5" x14ac:dyDescent="0.35"/>
  <cols>
    <col min="1" max="1" width="12.36328125" bestFit="1" customWidth="1"/>
    <col min="2" max="2" width="18.7265625" bestFit="1" customWidth="1"/>
    <col min="3" max="3" width="19.26953125" bestFit="1" customWidth="1"/>
    <col min="4" max="4" width="42.453125" bestFit="1" customWidth="1"/>
    <col min="5" max="6" width="18.7265625" bestFit="1" customWidth="1"/>
    <col min="7" max="7" width="9" style="73"/>
  </cols>
  <sheetData>
    <row r="1" spans="1:7" x14ac:dyDescent="0.35">
      <c r="A1" s="15" t="s">
        <v>211</v>
      </c>
      <c r="B1" t="s">
        <v>275</v>
      </c>
    </row>
    <row r="3" spans="1:7" x14ac:dyDescent="0.35">
      <c r="A3" s="15" t="s">
        <v>124</v>
      </c>
      <c r="B3" t="s">
        <v>276</v>
      </c>
      <c r="C3" t="s">
        <v>280</v>
      </c>
      <c r="D3" t="s">
        <v>279</v>
      </c>
      <c r="E3" t="s">
        <v>277</v>
      </c>
      <c r="F3" t="s">
        <v>278</v>
      </c>
      <c r="G3" s="73" t="s">
        <v>310</v>
      </c>
    </row>
    <row r="4" spans="1:7" x14ac:dyDescent="0.35">
      <c r="A4" s="16" t="s">
        <v>162</v>
      </c>
      <c r="B4" s="58">
        <v>1766</v>
      </c>
      <c r="C4" s="58">
        <v>169513.74144830258</v>
      </c>
      <c r="D4" s="58">
        <v>177515</v>
      </c>
      <c r="E4" s="58">
        <v>115055</v>
      </c>
      <c r="F4" s="58">
        <v>169081</v>
      </c>
      <c r="G4" s="73">
        <f>C4-E4</f>
        <v>54458.741448302579</v>
      </c>
    </row>
    <row r="5" spans="1:7" x14ac:dyDescent="0.35">
      <c r="A5" s="16" t="s">
        <v>165</v>
      </c>
      <c r="B5" s="58">
        <v>15029</v>
      </c>
      <c r="C5" s="58">
        <v>64103.585882786589</v>
      </c>
      <c r="D5" s="58">
        <v>64449.236138170716</v>
      </c>
      <c r="E5" s="58">
        <v>57217</v>
      </c>
      <c r="F5" s="58">
        <v>63864</v>
      </c>
      <c r="G5" s="73">
        <f t="shared" ref="G5:G51" si="0">C5-E5</f>
        <v>6886.5858827865886</v>
      </c>
    </row>
    <row r="6" spans="1:7" x14ac:dyDescent="0.35">
      <c r="A6" s="16" t="s">
        <v>163</v>
      </c>
      <c r="B6" s="58">
        <v>28710</v>
      </c>
      <c r="C6" s="58">
        <v>36135.9367826905</v>
      </c>
      <c r="D6" s="58">
        <v>40746</v>
      </c>
      <c r="E6" s="58">
        <v>23250</v>
      </c>
      <c r="F6" s="58">
        <v>36042</v>
      </c>
      <c r="G6" s="73">
        <f t="shared" si="0"/>
        <v>12885.9367826905</v>
      </c>
    </row>
    <row r="7" spans="1:7" x14ac:dyDescent="0.35">
      <c r="A7" s="16" t="s">
        <v>151</v>
      </c>
      <c r="B7" s="58">
        <v>22589</v>
      </c>
      <c r="C7" s="58">
        <v>64985.025166318192</v>
      </c>
      <c r="D7" s="58">
        <v>67147</v>
      </c>
      <c r="E7" s="58">
        <v>28758</v>
      </c>
      <c r="F7" s="58">
        <v>64949</v>
      </c>
      <c r="G7" s="73">
        <f t="shared" si="0"/>
        <v>36227.025166318192</v>
      </c>
    </row>
    <row r="8" spans="1:7" x14ac:dyDescent="0.35">
      <c r="A8" s="16" t="s">
        <v>164</v>
      </c>
      <c r="B8" s="58">
        <v>18466</v>
      </c>
      <c r="C8" s="58">
        <v>35407.398040976404</v>
      </c>
      <c r="D8" s="58">
        <v>35600.706637475421</v>
      </c>
      <c r="E8" s="58">
        <v>25219</v>
      </c>
      <c r="F8" s="58">
        <v>34630</v>
      </c>
      <c r="G8" s="73">
        <f t="shared" si="0"/>
        <v>10188.398040976404</v>
      </c>
    </row>
    <row r="9" spans="1:7" x14ac:dyDescent="0.35">
      <c r="A9" s="16" t="s">
        <v>152</v>
      </c>
      <c r="B9" s="58">
        <v>2505</v>
      </c>
      <c r="C9" s="58">
        <v>10628.058312655086</v>
      </c>
      <c r="D9" s="58">
        <v>11817.390818858561</v>
      </c>
      <c r="E9" s="58">
        <v>5037</v>
      </c>
      <c r="F9" s="58">
        <v>10155</v>
      </c>
      <c r="G9" s="73">
        <f t="shared" si="0"/>
        <v>5591.0583126550864</v>
      </c>
    </row>
    <row r="10" spans="1:7" x14ac:dyDescent="0.35">
      <c r="A10" s="16" t="s">
        <v>166</v>
      </c>
      <c r="B10" s="58">
        <v>41677</v>
      </c>
      <c r="C10" s="58">
        <v>104097.07092542162</v>
      </c>
      <c r="D10" s="58">
        <v>124493.57093851472</v>
      </c>
      <c r="E10" s="58">
        <v>101572</v>
      </c>
      <c r="F10" s="58">
        <v>91351</v>
      </c>
      <c r="G10" s="73">
        <f t="shared" si="0"/>
        <v>2525.0709254216199</v>
      </c>
    </row>
    <row r="11" spans="1:7" s="19" customFormat="1" x14ac:dyDescent="0.35">
      <c r="A11" s="71" t="s">
        <v>168</v>
      </c>
      <c r="B11" s="72">
        <v>22666</v>
      </c>
      <c r="C11" s="72">
        <v>54306.450825464126</v>
      </c>
      <c r="D11" s="72">
        <v>123297</v>
      </c>
      <c r="E11" s="72">
        <v>96451</v>
      </c>
      <c r="F11" s="72">
        <v>53888</v>
      </c>
      <c r="G11" s="74">
        <f t="shared" si="0"/>
        <v>-42144.549174535874</v>
      </c>
    </row>
    <row r="12" spans="1:7" x14ac:dyDescent="0.35">
      <c r="A12" s="16" t="s">
        <v>154</v>
      </c>
      <c r="B12" s="58">
        <v>138717</v>
      </c>
      <c r="C12" s="58">
        <v>289611.62990509014</v>
      </c>
      <c r="D12" s="58">
        <v>363559</v>
      </c>
      <c r="E12" s="58">
        <v>309803</v>
      </c>
      <c r="F12" s="58">
        <v>289219</v>
      </c>
      <c r="G12" s="73">
        <f t="shared" si="0"/>
        <v>-20191.370094909857</v>
      </c>
    </row>
    <row r="13" spans="1:7" x14ac:dyDescent="0.35">
      <c r="A13" s="16" t="s">
        <v>189</v>
      </c>
      <c r="B13" s="58">
        <v>15047</v>
      </c>
      <c r="C13" s="58">
        <v>19955</v>
      </c>
      <c r="D13" s="58">
        <v>19955</v>
      </c>
      <c r="E13" s="58">
        <v>15810</v>
      </c>
      <c r="F13" s="58">
        <v>19955</v>
      </c>
      <c r="G13" s="73">
        <f t="shared" si="0"/>
        <v>4145</v>
      </c>
    </row>
    <row r="14" spans="1:7" x14ac:dyDescent="0.35">
      <c r="A14" s="16" t="s">
        <v>196</v>
      </c>
      <c r="B14" s="58">
        <v>1864</v>
      </c>
      <c r="C14" s="58">
        <v>4020.4198417057778</v>
      </c>
      <c r="D14" s="58">
        <v>4556</v>
      </c>
      <c r="E14" s="58">
        <v>4068</v>
      </c>
      <c r="F14" s="58">
        <v>4014</v>
      </c>
      <c r="G14" s="73">
        <f t="shared" si="0"/>
        <v>-47.580158294222201</v>
      </c>
    </row>
    <row r="15" spans="1:7" x14ac:dyDescent="0.35">
      <c r="A15" s="16" t="s">
        <v>167</v>
      </c>
      <c r="B15" s="58">
        <v>15826</v>
      </c>
      <c r="C15" s="58">
        <v>10263.714164546225</v>
      </c>
      <c r="D15" s="58">
        <v>15514</v>
      </c>
      <c r="E15" s="58">
        <v>10390</v>
      </c>
      <c r="F15" s="58">
        <v>10105</v>
      </c>
      <c r="G15" s="73">
        <f t="shared" si="0"/>
        <v>-126.28583545377478</v>
      </c>
    </row>
    <row r="16" spans="1:7" s="19" customFormat="1" x14ac:dyDescent="0.35">
      <c r="A16" s="71" t="s">
        <v>161</v>
      </c>
      <c r="B16" s="72">
        <v>27384</v>
      </c>
      <c r="C16" s="72">
        <v>487561.78718884103</v>
      </c>
      <c r="D16" s="72">
        <v>707047</v>
      </c>
      <c r="E16" s="72">
        <v>578345</v>
      </c>
      <c r="F16" s="72">
        <v>474446</v>
      </c>
      <c r="G16" s="74">
        <f t="shared" si="0"/>
        <v>-90783.21281115897</v>
      </c>
    </row>
    <row r="17" spans="1:7" x14ac:dyDescent="0.35">
      <c r="A17" s="16" t="s">
        <v>194</v>
      </c>
      <c r="B17" s="58">
        <v>8951</v>
      </c>
      <c r="C17" s="58">
        <v>19185.865794234789</v>
      </c>
      <c r="D17" s="58">
        <v>19759.599232044777</v>
      </c>
      <c r="E17" s="58">
        <v>16746</v>
      </c>
      <c r="F17" s="58">
        <v>18987</v>
      </c>
      <c r="G17" s="73">
        <f t="shared" si="0"/>
        <v>2439.8657942347891</v>
      </c>
    </row>
    <row r="18" spans="1:7" s="19" customFormat="1" x14ac:dyDescent="0.35">
      <c r="A18" s="71" t="s">
        <v>155</v>
      </c>
      <c r="B18" s="72">
        <v>14708</v>
      </c>
      <c r="C18" s="72">
        <v>408726.23810548719</v>
      </c>
      <c r="D18" s="72">
        <v>449956</v>
      </c>
      <c r="E18" s="72">
        <v>345601</v>
      </c>
      <c r="F18" s="72">
        <v>408697</v>
      </c>
      <c r="G18" s="74">
        <f t="shared" si="0"/>
        <v>63125.238105487195</v>
      </c>
    </row>
    <row r="19" spans="1:7" x14ac:dyDescent="0.35">
      <c r="A19" s="16" t="s">
        <v>157</v>
      </c>
      <c r="B19" s="58">
        <v>2292</v>
      </c>
      <c r="C19" s="58">
        <v>20831.504452592981</v>
      </c>
      <c r="D19" s="58">
        <v>24966.761044176706</v>
      </c>
      <c r="E19" s="58">
        <v>20603</v>
      </c>
      <c r="F19" s="58">
        <v>19691</v>
      </c>
      <c r="G19" s="73">
        <f t="shared" si="0"/>
        <v>228.50445259298067</v>
      </c>
    </row>
    <row r="20" spans="1:7" x14ac:dyDescent="0.35">
      <c r="A20" s="16" t="s">
        <v>172</v>
      </c>
      <c r="B20" s="58">
        <v>127470</v>
      </c>
      <c r="C20" s="58">
        <v>388778.88679276168</v>
      </c>
      <c r="D20" s="58">
        <v>394347.16713454406</v>
      </c>
      <c r="E20" s="58">
        <v>345495</v>
      </c>
      <c r="F20" s="58">
        <v>344735</v>
      </c>
      <c r="G20" s="73">
        <f t="shared" si="0"/>
        <v>43283.886792761681</v>
      </c>
    </row>
    <row r="21" spans="1:7" x14ac:dyDescent="0.35">
      <c r="A21" s="16" t="s">
        <v>173</v>
      </c>
      <c r="B21" s="58">
        <v>37229</v>
      </c>
      <c r="C21" s="58">
        <v>30821.374202779531</v>
      </c>
      <c r="D21" s="58">
        <v>39937</v>
      </c>
      <c r="E21" s="58">
        <v>39249</v>
      </c>
      <c r="F21" s="58">
        <v>29379</v>
      </c>
      <c r="G21" s="73">
        <f t="shared" si="0"/>
        <v>-8427.6257972204694</v>
      </c>
    </row>
    <row r="22" spans="1:7" x14ac:dyDescent="0.35">
      <c r="A22" s="16" t="s">
        <v>171</v>
      </c>
      <c r="B22" s="58">
        <v>7837</v>
      </c>
      <c r="C22" s="58">
        <v>15151.241590214067</v>
      </c>
      <c r="D22" s="58">
        <v>15409</v>
      </c>
      <c r="E22" s="58">
        <v>6721</v>
      </c>
      <c r="F22" s="58">
        <v>15100</v>
      </c>
      <c r="G22" s="73">
        <f t="shared" si="0"/>
        <v>8430.2415902140674</v>
      </c>
    </row>
    <row r="23" spans="1:7" x14ac:dyDescent="0.35">
      <c r="A23" s="16" t="s">
        <v>174</v>
      </c>
      <c r="B23" s="58">
        <v>3098</v>
      </c>
      <c r="C23" s="58">
        <v>11827.448922686945</v>
      </c>
      <c r="D23" s="58">
        <v>12477.431812420786</v>
      </c>
      <c r="E23" s="58">
        <v>9090</v>
      </c>
      <c r="F23" s="58">
        <v>10777</v>
      </c>
      <c r="G23" s="73">
        <f t="shared" si="0"/>
        <v>2737.4489226869446</v>
      </c>
    </row>
    <row r="24" spans="1:7" x14ac:dyDescent="0.35">
      <c r="A24" s="16" t="s">
        <v>170</v>
      </c>
      <c r="B24" s="58">
        <v>334</v>
      </c>
      <c r="C24" s="58">
        <v>7000.8677376387386</v>
      </c>
      <c r="D24" s="58">
        <v>7000.8677376387386</v>
      </c>
      <c r="E24" s="58">
        <v>3379</v>
      </c>
      <c r="F24" s="58">
        <v>6994</v>
      </c>
      <c r="G24" s="73">
        <f t="shared" si="0"/>
        <v>3621.8677376387386</v>
      </c>
    </row>
    <row r="25" spans="1:7" s="19" customFormat="1" x14ac:dyDescent="0.35">
      <c r="A25" s="71" t="s">
        <v>175</v>
      </c>
      <c r="B25" s="72">
        <v>121156</v>
      </c>
      <c r="C25" s="72">
        <v>251645.43684778642</v>
      </c>
      <c r="D25" s="72">
        <v>315406</v>
      </c>
      <c r="E25" s="72">
        <v>248215</v>
      </c>
      <c r="F25" s="72">
        <v>239030</v>
      </c>
      <c r="G25" s="74">
        <f t="shared" si="0"/>
        <v>3430.4368477864191</v>
      </c>
    </row>
    <row r="26" spans="1:7" x14ac:dyDescent="0.35">
      <c r="A26" s="16" t="s">
        <v>176</v>
      </c>
      <c r="B26" s="58">
        <v>5367</v>
      </c>
      <c r="C26" s="58">
        <v>36614.977335499592</v>
      </c>
      <c r="D26" s="58">
        <v>37166.438586515025</v>
      </c>
      <c r="E26" s="58">
        <v>26638</v>
      </c>
      <c r="F26" s="58">
        <v>34092</v>
      </c>
      <c r="G26" s="73">
        <f t="shared" si="0"/>
        <v>9976.9773354995923</v>
      </c>
    </row>
    <row r="27" spans="1:7" x14ac:dyDescent="0.35">
      <c r="A27" s="16" t="s">
        <v>160</v>
      </c>
      <c r="B27" s="58">
        <v>4346</v>
      </c>
      <c r="C27" s="58">
        <v>29588.784429362149</v>
      </c>
      <c r="D27" s="58">
        <v>44240</v>
      </c>
      <c r="E27" s="58">
        <v>44115</v>
      </c>
      <c r="F27" s="58">
        <v>28122</v>
      </c>
      <c r="G27" s="73">
        <f t="shared" si="0"/>
        <v>-14526.215570637851</v>
      </c>
    </row>
    <row r="28" spans="1:7" x14ac:dyDescent="0.35">
      <c r="A28" s="16" t="s">
        <v>177</v>
      </c>
      <c r="B28" s="58">
        <v>25095</v>
      </c>
      <c r="C28" s="58">
        <v>71968.294201265497</v>
      </c>
      <c r="D28" s="58">
        <v>72776</v>
      </c>
      <c r="E28" s="58">
        <v>65921</v>
      </c>
      <c r="F28" s="58">
        <v>71955</v>
      </c>
      <c r="G28" s="73">
        <f t="shared" si="0"/>
        <v>6047.2942012654967</v>
      </c>
    </row>
    <row r="29" spans="1:7" s="19" customFormat="1" x14ac:dyDescent="0.35">
      <c r="A29" s="71" t="s">
        <v>179</v>
      </c>
      <c r="B29" s="72">
        <v>16824</v>
      </c>
      <c r="C29" s="72">
        <v>97881.010008896788</v>
      </c>
      <c r="D29" s="72">
        <v>100511</v>
      </c>
      <c r="E29" s="72">
        <v>39342</v>
      </c>
      <c r="F29" s="72">
        <v>97299</v>
      </c>
      <c r="G29" s="74">
        <f t="shared" si="0"/>
        <v>58539.010008896788</v>
      </c>
    </row>
    <row r="30" spans="1:7" x14ac:dyDescent="0.35">
      <c r="A30" s="16" t="s">
        <v>181</v>
      </c>
      <c r="B30" s="58">
        <v>29664</v>
      </c>
      <c r="C30" s="58">
        <v>181497.37244750268</v>
      </c>
      <c r="D30" s="58">
        <v>225181</v>
      </c>
      <c r="E30" s="58">
        <v>112468</v>
      </c>
      <c r="F30" s="58">
        <v>179267</v>
      </c>
      <c r="G30" s="73">
        <f t="shared" si="0"/>
        <v>69029.372447502683</v>
      </c>
    </row>
    <row r="31" spans="1:7" x14ac:dyDescent="0.35">
      <c r="A31" s="16" t="s">
        <v>158</v>
      </c>
      <c r="B31" s="58">
        <v>11100</v>
      </c>
      <c r="C31" s="58">
        <v>42236</v>
      </c>
      <c r="D31" s="58">
        <v>42236</v>
      </c>
      <c r="E31" s="58">
        <v>35579</v>
      </c>
      <c r="F31" s="58">
        <v>42236</v>
      </c>
      <c r="G31" s="73">
        <f t="shared" si="0"/>
        <v>6657</v>
      </c>
    </row>
    <row r="32" spans="1:7" x14ac:dyDescent="0.35">
      <c r="A32" s="16" t="s">
        <v>180</v>
      </c>
      <c r="B32" s="58">
        <v>12118</v>
      </c>
      <c r="C32" s="58">
        <v>21719.172082717872</v>
      </c>
      <c r="D32" s="58">
        <v>24012.121391164226</v>
      </c>
      <c r="E32" s="58">
        <v>22920</v>
      </c>
      <c r="F32" s="58">
        <v>19541</v>
      </c>
      <c r="G32" s="73">
        <f t="shared" si="0"/>
        <v>-1200.8279172821276</v>
      </c>
    </row>
    <row r="33" spans="1:7" x14ac:dyDescent="0.35">
      <c r="A33" s="16" t="s">
        <v>178</v>
      </c>
      <c r="B33" s="58">
        <v>7873</v>
      </c>
      <c r="C33" s="58">
        <v>49039.506383881235</v>
      </c>
      <c r="D33" s="58">
        <v>55455</v>
      </c>
      <c r="E33" s="58">
        <v>37753</v>
      </c>
      <c r="F33" s="58">
        <v>48591</v>
      </c>
      <c r="G33" s="73">
        <f t="shared" si="0"/>
        <v>11286.506383881235</v>
      </c>
    </row>
    <row r="34" spans="1:7" x14ac:dyDescent="0.35">
      <c r="A34" s="16" t="s">
        <v>182</v>
      </c>
      <c r="B34" s="58">
        <v>8333</v>
      </c>
      <c r="C34" s="58">
        <v>28912.171060842436</v>
      </c>
      <c r="D34" s="58">
        <v>33296.644656786273</v>
      </c>
      <c r="E34" s="58">
        <v>25931</v>
      </c>
      <c r="F34" s="58">
        <v>28349</v>
      </c>
      <c r="G34" s="73">
        <f t="shared" si="0"/>
        <v>2981.1710608424364</v>
      </c>
    </row>
    <row r="35" spans="1:7" x14ac:dyDescent="0.35">
      <c r="A35" s="16" t="s">
        <v>190</v>
      </c>
      <c r="B35" s="58">
        <v>16702</v>
      </c>
      <c r="C35" s="58">
        <v>21329.550254726644</v>
      </c>
      <c r="D35" s="58">
        <v>21639.406833325935</v>
      </c>
      <c r="E35" s="58">
        <v>17534</v>
      </c>
      <c r="F35" s="58">
        <v>20840</v>
      </c>
      <c r="G35" s="73">
        <f t="shared" si="0"/>
        <v>3795.5502547266442</v>
      </c>
    </row>
    <row r="36" spans="1:7" s="19" customFormat="1" x14ac:dyDescent="0.35">
      <c r="A36" s="71" t="s">
        <v>156</v>
      </c>
      <c r="B36" s="72">
        <v>814985</v>
      </c>
      <c r="C36" s="72">
        <v>1213170.6728479641</v>
      </c>
      <c r="D36" s="72">
        <v>1545392</v>
      </c>
      <c r="E36" s="72">
        <v>1100304</v>
      </c>
      <c r="F36" s="72">
        <v>1202053</v>
      </c>
      <c r="G36" s="74">
        <f t="shared" si="0"/>
        <v>112866.6728479641</v>
      </c>
    </row>
    <row r="37" spans="1:7" x14ac:dyDescent="0.35">
      <c r="A37" s="16" t="s">
        <v>183</v>
      </c>
      <c r="B37" s="58">
        <v>25397</v>
      </c>
      <c r="C37" s="58">
        <v>91377.286619107937</v>
      </c>
      <c r="D37" s="58">
        <v>97866</v>
      </c>
      <c r="E37" s="58">
        <v>83175</v>
      </c>
      <c r="F37" s="58">
        <v>90564</v>
      </c>
      <c r="G37" s="73">
        <f t="shared" si="0"/>
        <v>8202.2866191079374</v>
      </c>
    </row>
    <row r="38" spans="1:7" x14ac:dyDescent="0.35">
      <c r="A38" s="16" t="s">
        <v>184</v>
      </c>
      <c r="B38" s="58">
        <v>61261</v>
      </c>
      <c r="C38" s="58">
        <v>49920.456236088168</v>
      </c>
      <c r="D38" s="58">
        <v>59280.234125559466</v>
      </c>
      <c r="E38" s="58">
        <v>45299</v>
      </c>
      <c r="F38" s="58">
        <v>49422</v>
      </c>
      <c r="G38" s="73">
        <f t="shared" si="0"/>
        <v>4621.4562360881682</v>
      </c>
    </row>
    <row r="39" spans="1:7" x14ac:dyDescent="0.35">
      <c r="A39" s="16" t="s">
        <v>186</v>
      </c>
      <c r="B39" s="58">
        <v>21151</v>
      </c>
      <c r="C39" s="58">
        <v>44368.034119597884</v>
      </c>
      <c r="D39" s="58">
        <v>46006.49099600748</v>
      </c>
      <c r="E39" s="58">
        <v>15904</v>
      </c>
      <c r="F39" s="58">
        <v>44205</v>
      </c>
      <c r="G39" s="73">
        <f t="shared" si="0"/>
        <v>28464.034119597884</v>
      </c>
    </row>
    <row r="40" spans="1:7" x14ac:dyDescent="0.35">
      <c r="A40" s="16" t="s">
        <v>188</v>
      </c>
      <c r="B40" s="58">
        <v>100</v>
      </c>
      <c r="C40" s="58">
        <v>29387.135271530729</v>
      </c>
      <c r="D40" s="58">
        <v>29395</v>
      </c>
      <c r="E40" s="58">
        <v>20525</v>
      </c>
      <c r="F40" s="58">
        <v>29384</v>
      </c>
      <c r="G40" s="73">
        <f t="shared" si="0"/>
        <v>8862.1352715307294</v>
      </c>
    </row>
    <row r="41" spans="1:7" s="19" customFormat="1" x14ac:dyDescent="0.35">
      <c r="A41" s="71" t="s">
        <v>153</v>
      </c>
      <c r="B41" s="72">
        <v>1204</v>
      </c>
      <c r="C41" s="72">
        <v>3480.7455685514033</v>
      </c>
      <c r="D41" s="72">
        <v>4263.7895932961246</v>
      </c>
      <c r="E41" s="72">
        <v>4012</v>
      </c>
      <c r="F41" s="72">
        <v>3235</v>
      </c>
      <c r="G41" s="74">
        <f t="shared" si="0"/>
        <v>-531.25443144859673</v>
      </c>
    </row>
    <row r="42" spans="1:7" s="19" customFormat="1" x14ac:dyDescent="0.35">
      <c r="A42" s="71" t="s">
        <v>159</v>
      </c>
      <c r="B42" s="72">
        <v>16219</v>
      </c>
      <c r="C42" s="72">
        <v>18954.566464004423</v>
      </c>
      <c r="D42" s="72">
        <v>25190</v>
      </c>
      <c r="E42" s="72">
        <v>23209</v>
      </c>
      <c r="F42" s="72">
        <v>15034</v>
      </c>
      <c r="G42" s="74">
        <f t="shared" si="0"/>
        <v>-4254.4335359955767</v>
      </c>
    </row>
    <row r="43" spans="1:7" s="19" customFormat="1" x14ac:dyDescent="0.35">
      <c r="A43" s="71" t="s">
        <v>185</v>
      </c>
      <c r="B43" s="72">
        <v>1241</v>
      </c>
      <c r="C43" s="72">
        <v>3567.8918580262562</v>
      </c>
      <c r="D43" s="72">
        <v>4363.5811770279697</v>
      </c>
      <c r="E43" s="72">
        <v>3888</v>
      </c>
      <c r="F43" s="72">
        <v>3332</v>
      </c>
      <c r="G43" s="74">
        <f t="shared" si="0"/>
        <v>-320.10814197374384</v>
      </c>
    </row>
    <row r="44" spans="1:7" x14ac:dyDescent="0.35">
      <c r="A44" s="16" t="s">
        <v>169</v>
      </c>
      <c r="B44" s="58">
        <v>14878</v>
      </c>
      <c r="C44" s="58">
        <v>45679.118591403414</v>
      </c>
      <c r="D44" s="58">
        <v>49917</v>
      </c>
      <c r="E44" s="58">
        <v>16212</v>
      </c>
      <c r="F44" s="58">
        <v>44668</v>
      </c>
      <c r="G44" s="73">
        <f t="shared" si="0"/>
        <v>29467.118591403414</v>
      </c>
    </row>
    <row r="45" spans="1:7" x14ac:dyDescent="0.35">
      <c r="A45" s="16" t="s">
        <v>195</v>
      </c>
      <c r="B45" s="58">
        <v>4967</v>
      </c>
      <c r="C45" s="58">
        <v>34823.242958941293</v>
      </c>
      <c r="D45" s="58">
        <v>37834.038174414658</v>
      </c>
      <c r="E45" s="58">
        <v>30793</v>
      </c>
      <c r="F45" s="58">
        <v>33096</v>
      </c>
      <c r="G45" s="73">
        <f t="shared" si="0"/>
        <v>4030.2429589412932</v>
      </c>
    </row>
    <row r="46" spans="1:7" x14ac:dyDescent="0.35">
      <c r="A46" s="16" t="s">
        <v>197</v>
      </c>
      <c r="B46" s="58">
        <v>90275</v>
      </c>
      <c r="C46" s="58">
        <v>220788.39461356052</v>
      </c>
      <c r="D46" s="58">
        <v>245165.85371402133</v>
      </c>
      <c r="E46" s="58">
        <v>141950</v>
      </c>
      <c r="F46" s="58">
        <v>217503</v>
      </c>
      <c r="G46" s="73">
        <f t="shared" si="0"/>
        <v>78838.394613560522</v>
      </c>
    </row>
    <row r="47" spans="1:7" x14ac:dyDescent="0.35">
      <c r="A47" s="16" t="s">
        <v>191</v>
      </c>
      <c r="B47" s="58">
        <v>309031</v>
      </c>
      <c r="C47" s="58">
        <v>447210.64</v>
      </c>
      <c r="D47" s="58">
        <v>452084</v>
      </c>
      <c r="E47" s="58">
        <v>321485</v>
      </c>
      <c r="F47" s="58">
        <v>446724</v>
      </c>
      <c r="G47" s="73">
        <f t="shared" si="0"/>
        <v>125725.64000000001</v>
      </c>
    </row>
    <row r="48" spans="1:7" x14ac:dyDescent="0.35">
      <c r="A48" s="16" t="s">
        <v>187</v>
      </c>
      <c r="B48" s="58">
        <v>145997</v>
      </c>
      <c r="C48" s="58">
        <v>705396.75268067431</v>
      </c>
      <c r="D48" s="58">
        <v>793066.24962174543</v>
      </c>
      <c r="E48" s="58">
        <v>603117</v>
      </c>
      <c r="F48" s="58">
        <v>570397</v>
      </c>
      <c r="G48" s="73">
        <f t="shared" si="0"/>
        <v>102279.75268067431</v>
      </c>
    </row>
    <row r="49" spans="1:10" x14ac:dyDescent="0.35">
      <c r="A49" s="16" t="s">
        <v>192</v>
      </c>
      <c r="B49" s="58">
        <v>12020</v>
      </c>
      <c r="C49" s="58">
        <v>151104.8196849908</v>
      </c>
      <c r="D49" s="58">
        <v>155033</v>
      </c>
      <c r="E49" s="58">
        <v>88350</v>
      </c>
      <c r="F49" s="58">
        <v>150960</v>
      </c>
      <c r="G49" s="73">
        <f t="shared" si="0"/>
        <v>62754.819684990798</v>
      </c>
    </row>
    <row r="50" spans="1:10" s="19" customFormat="1" x14ac:dyDescent="0.35">
      <c r="A50" s="71" t="s">
        <v>193</v>
      </c>
      <c r="B50" s="72">
        <v>55603</v>
      </c>
      <c r="C50" s="72">
        <v>109723.87721664616</v>
      </c>
      <c r="D50" s="72">
        <v>128102</v>
      </c>
      <c r="E50" s="72">
        <v>113280</v>
      </c>
      <c r="F50" s="72">
        <v>101752</v>
      </c>
      <c r="G50" s="74">
        <f t="shared" si="0"/>
        <v>-3556.1227833538433</v>
      </c>
    </row>
    <row r="51" spans="1:10" x14ac:dyDescent="0.35">
      <c r="A51" s="16" t="s">
        <v>125</v>
      </c>
      <c r="B51" s="58">
        <v>2387072</v>
      </c>
      <c r="C51" s="58">
        <v>6254299.1558667617</v>
      </c>
      <c r="D51" s="64">
        <v>7364429.5803637076</v>
      </c>
      <c r="E51" s="58">
        <v>5445778</v>
      </c>
      <c r="F51" s="65">
        <v>5987710</v>
      </c>
      <c r="G51" s="73">
        <f t="shared" si="0"/>
        <v>808521.15586676169</v>
      </c>
    </row>
    <row r="53" spans="1:10" x14ac:dyDescent="0.35">
      <c r="B53" s="29" t="s">
        <v>281</v>
      </c>
      <c r="C53" t="s">
        <v>282</v>
      </c>
      <c r="D53" s="29" t="s">
        <v>283</v>
      </c>
      <c r="E53" s="29" t="s">
        <v>284</v>
      </c>
      <c r="F53" t="s">
        <v>285</v>
      </c>
      <c r="H53">
        <v>2027</v>
      </c>
      <c r="I53">
        <v>2030</v>
      </c>
      <c r="J53" t="s">
        <v>286</v>
      </c>
    </row>
    <row r="54" spans="1:10" x14ac:dyDescent="0.35">
      <c r="C54" s="58">
        <f>C51-F51</f>
        <v>266589.15586676169</v>
      </c>
    </row>
    <row r="55" spans="1:10" x14ac:dyDescent="0.35">
      <c r="C55" s="2">
        <f>C54/F51</f>
        <v>4.4522723356134768E-2</v>
      </c>
    </row>
    <row r="58" spans="1:10" x14ac:dyDescent="0.35">
      <c r="C58" s="66">
        <f>GETPIVOTDATA("Sum of Adjusted 2022",$A$3)-GETPIVOTDATA("Sum of 2018 or latest",$A$3)</f>
        <v>808521.15586676169</v>
      </c>
      <c r="D58" s="66">
        <f>GETPIVOTDATA("Sum of Adjustment for gross underrepoting 2022",$A$3)-GETPIVOTDATA("Sum of 2018 or latest",$A$3)</f>
        <v>1918651.5803637076</v>
      </c>
      <c r="F58" s="66">
        <f>GETPIVOTDATA("Sum of 2022 or latest",$A$3)-GETPIVOTDATA("Sum of 2018 or latest",$A$3)</f>
        <v>541932</v>
      </c>
    </row>
    <row r="59" spans="1:10" x14ac:dyDescent="0.35">
      <c r="C59">
        <f>2022-2018</f>
        <v>4</v>
      </c>
      <c r="D59">
        <f>2022-2018</f>
        <v>4</v>
      </c>
      <c r="F59">
        <f>2022-2018</f>
        <v>4</v>
      </c>
    </row>
    <row r="60" spans="1:10" x14ac:dyDescent="0.35">
      <c r="C60" s="67">
        <f>C58/C59</f>
        <v>202130.28896669042</v>
      </c>
      <c r="D60" s="67">
        <f>D58/D59</f>
        <v>479662.8950909269</v>
      </c>
      <c r="F60" s="67">
        <f>F58/F59</f>
        <v>135483</v>
      </c>
    </row>
    <row r="62" spans="1:10" x14ac:dyDescent="0.35">
      <c r="C62" s="69">
        <f>C58/F51</f>
        <v>0.13503011265855588</v>
      </c>
    </row>
    <row r="67" spans="4:4" x14ac:dyDescent="0.35">
      <c r="D67" s="58">
        <f>F51-E51</f>
        <v>541932</v>
      </c>
    </row>
  </sheetData>
  <pageMargins left="0.7" right="0.7" top="0.75" bottom="0.75" header="0.3" footer="0.3"/>
  <pageSetup paperSize="9"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0AC62-22F5-4B65-BDB2-160A7CE22E36}">
  <dimension ref="D4:H10"/>
  <sheetViews>
    <sheetView workbookViewId="0">
      <selection activeCell="G7" sqref="G7"/>
    </sheetView>
  </sheetViews>
  <sheetFormatPr defaultColWidth="8.81640625" defaultRowHeight="14.5" x14ac:dyDescent="0.35"/>
  <cols>
    <col min="4" max="4" width="22.81640625" customWidth="1"/>
    <col min="5" max="5" width="18.1796875" customWidth="1"/>
    <col min="6" max="6" width="18.36328125" bestFit="1" customWidth="1"/>
    <col min="7" max="7" width="23" customWidth="1"/>
    <col min="8" max="8" width="19.36328125" customWidth="1"/>
  </cols>
  <sheetData>
    <row r="4" spans="4:8" s="70" customFormat="1" x14ac:dyDescent="0.35">
      <c r="D4" s="70" t="s">
        <v>307</v>
      </c>
      <c r="E4" s="79" t="s">
        <v>309</v>
      </c>
      <c r="F4" s="79" t="s">
        <v>308</v>
      </c>
      <c r="G4" s="70" t="s">
        <v>305</v>
      </c>
      <c r="H4" s="70" t="s">
        <v>306</v>
      </c>
    </row>
    <row r="5" spans="4:8" x14ac:dyDescent="0.35">
      <c r="D5" s="76" t="s">
        <v>60</v>
      </c>
      <c r="E5" s="80">
        <v>51758</v>
      </c>
      <c r="F5" s="80">
        <v>95687</v>
      </c>
      <c r="G5" s="77">
        <f t="shared" ref="G5:G10" si="0">E5-F5</f>
        <v>-43929</v>
      </c>
      <c r="H5" s="78">
        <f t="shared" ref="H5:H10" si="1">(E5/F5)-1</f>
        <v>-0.45909057656734975</v>
      </c>
    </row>
    <row r="6" spans="4:8" x14ac:dyDescent="0.35">
      <c r="D6" s="76" t="s">
        <v>300</v>
      </c>
      <c r="E6" s="80">
        <v>2368620</v>
      </c>
      <c r="F6" s="80">
        <v>1971278</v>
      </c>
      <c r="G6" s="77">
        <f>E6-F6</f>
        <v>397342</v>
      </c>
      <c r="H6" s="78">
        <f t="shared" si="1"/>
        <v>0.20156568479940429</v>
      </c>
    </row>
    <row r="7" spans="4:8" x14ac:dyDescent="0.35">
      <c r="D7" s="76" t="s">
        <v>301</v>
      </c>
      <c r="E7" s="80">
        <v>96531</v>
      </c>
      <c r="F7" s="80">
        <v>144385</v>
      </c>
      <c r="G7" s="77">
        <f t="shared" si="0"/>
        <v>-47854</v>
      </c>
      <c r="H7" s="78">
        <f t="shared" si="1"/>
        <v>-0.33143332063580011</v>
      </c>
    </row>
    <row r="8" spans="4:8" x14ac:dyDescent="0.35">
      <c r="D8" s="76" t="s">
        <v>302</v>
      </c>
      <c r="E8" s="80">
        <v>642980</v>
      </c>
      <c r="F8" s="80">
        <v>638568</v>
      </c>
      <c r="G8" s="77">
        <f t="shared" si="0"/>
        <v>4412</v>
      </c>
      <c r="H8" s="78">
        <f t="shared" si="1"/>
        <v>6.9092093559339762E-3</v>
      </c>
    </row>
    <row r="9" spans="4:8" x14ac:dyDescent="0.35">
      <c r="D9" s="76" t="s">
        <v>303</v>
      </c>
      <c r="E9" s="80">
        <v>613456</v>
      </c>
      <c r="F9" s="80">
        <v>297520</v>
      </c>
      <c r="G9" s="77">
        <f t="shared" si="0"/>
        <v>315936</v>
      </c>
      <c r="H9" s="78">
        <f t="shared" si="1"/>
        <v>1.0618983597741329</v>
      </c>
    </row>
    <row r="10" spans="4:8" x14ac:dyDescent="0.35">
      <c r="D10" s="81" t="s">
        <v>304</v>
      </c>
      <c r="E10" s="82">
        <v>6219153</v>
      </c>
      <c r="F10" s="82">
        <v>5445778</v>
      </c>
      <c r="G10" s="83">
        <f t="shared" si="0"/>
        <v>773375</v>
      </c>
      <c r="H10" s="84">
        <f t="shared" si="1"/>
        <v>0.14201368472971176</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8FCA-AB62-40C1-B57E-7DD56761FCCF}">
  <sheetPr>
    <tabColor rgb="FF00B050"/>
  </sheetPr>
  <dimension ref="A1:I49"/>
  <sheetViews>
    <sheetView workbookViewId="0">
      <selection activeCell="E54" sqref="E54"/>
    </sheetView>
  </sheetViews>
  <sheetFormatPr defaultColWidth="8.81640625" defaultRowHeight="14.5" x14ac:dyDescent="0.35"/>
  <cols>
    <col min="1" max="1" width="18.1796875" bestFit="1" customWidth="1"/>
    <col min="2" max="2" width="17.6328125" customWidth="1"/>
    <col min="3" max="3" width="10.453125" customWidth="1"/>
    <col min="4" max="4" width="11.6328125" customWidth="1"/>
    <col min="5" max="5" width="13.1796875" customWidth="1"/>
    <col min="6" max="6" width="13.81640625" customWidth="1"/>
    <col min="7" max="7" width="23" customWidth="1"/>
    <col min="8" max="8" width="16.6328125" customWidth="1"/>
    <col min="9" max="9" width="11.81640625" customWidth="1"/>
  </cols>
  <sheetData>
    <row r="1" spans="1:9" s="14" customFormat="1" x14ac:dyDescent="0.35">
      <c r="A1" s="35" t="s">
        <v>57</v>
      </c>
      <c r="B1" s="35" t="s">
        <v>263</v>
      </c>
      <c r="C1" s="35" t="s">
        <v>264</v>
      </c>
      <c r="D1" s="35" t="s">
        <v>265</v>
      </c>
      <c r="E1" s="35" t="s">
        <v>266</v>
      </c>
      <c r="F1" s="35" t="s">
        <v>267</v>
      </c>
      <c r="G1" s="35" t="s">
        <v>268</v>
      </c>
      <c r="H1" s="35" t="s">
        <v>269</v>
      </c>
      <c r="I1" s="35" t="s">
        <v>270</v>
      </c>
    </row>
    <row r="2" spans="1:9" x14ac:dyDescent="0.35">
      <c r="A2" t="s">
        <v>41</v>
      </c>
      <c r="B2" s="66">
        <v>283410</v>
      </c>
      <c r="C2" s="66">
        <v>46084</v>
      </c>
      <c r="D2" s="66">
        <v>0</v>
      </c>
      <c r="E2" s="66">
        <v>46084</v>
      </c>
      <c r="F2" s="66">
        <v>329494</v>
      </c>
      <c r="G2" s="2">
        <v>0.139862941358568</v>
      </c>
      <c r="H2" s="75">
        <v>0.139862941358568</v>
      </c>
      <c r="I2" s="75">
        <v>1.1398629413585679</v>
      </c>
    </row>
    <row r="3" spans="1:9" x14ac:dyDescent="0.35">
      <c r="A3" t="s">
        <v>88</v>
      </c>
      <c r="B3" s="66">
        <v>56076</v>
      </c>
      <c r="C3" s="66">
        <v>35990</v>
      </c>
      <c r="D3" s="66">
        <v>16392</v>
      </c>
      <c r="E3" s="66">
        <v>52382</v>
      </c>
      <c r="F3" s="66">
        <v>108458</v>
      </c>
      <c r="G3" s="2">
        <v>0.48297036640911689</v>
      </c>
      <c r="H3" s="75">
        <v>0.48297036640911689</v>
      </c>
      <c r="I3" s="75">
        <v>1.4829703664091169</v>
      </c>
    </row>
    <row r="4" spans="1:9" x14ac:dyDescent="0.35">
      <c r="A4" t="s">
        <v>89</v>
      </c>
      <c r="B4" s="66">
        <v>8016</v>
      </c>
      <c r="C4" s="66">
        <v>647</v>
      </c>
      <c r="D4" s="66">
        <v>1967</v>
      </c>
      <c r="E4" s="66">
        <v>2614</v>
      </c>
      <c r="F4" s="66">
        <v>10630</v>
      </c>
      <c r="G4" s="2">
        <v>0.24590780809031043</v>
      </c>
      <c r="H4" s="75">
        <v>0.24590780809031043</v>
      </c>
      <c r="I4" s="75">
        <v>1.2459078080903105</v>
      </c>
    </row>
    <row r="5" spans="1:9" x14ac:dyDescent="0.35">
      <c r="A5" t="s">
        <v>90</v>
      </c>
      <c r="B5" s="66">
        <v>10807</v>
      </c>
      <c r="C5" s="66">
        <v>0</v>
      </c>
      <c r="D5" s="66">
        <v>0</v>
      </c>
      <c r="E5" s="66">
        <v>0</v>
      </c>
      <c r="F5" s="66">
        <v>10807</v>
      </c>
      <c r="G5" s="2">
        <v>0</v>
      </c>
      <c r="H5" s="75">
        <v>0.14929864432041509</v>
      </c>
      <c r="I5" s="75">
        <v>1.1492986443204152</v>
      </c>
    </row>
    <row r="6" spans="1:9" x14ac:dyDescent="0.35">
      <c r="A6" t="s">
        <v>1</v>
      </c>
      <c r="B6" s="66">
        <v>25586</v>
      </c>
      <c r="C6" s="66">
        <v>719</v>
      </c>
      <c r="D6" s="66">
        <v>0</v>
      </c>
      <c r="E6" s="66">
        <v>719</v>
      </c>
      <c r="F6" s="66">
        <v>26305</v>
      </c>
      <c r="G6" s="2">
        <v>2.7333206614712034E-2</v>
      </c>
      <c r="H6" s="75">
        <v>2.7333206614712034E-2</v>
      </c>
      <c r="I6" s="75">
        <v>1.0273332066147121</v>
      </c>
    </row>
    <row r="7" spans="1:9" x14ac:dyDescent="0.35">
      <c r="A7" t="s">
        <v>91</v>
      </c>
      <c r="B7" s="66">
        <v>28493</v>
      </c>
      <c r="C7" s="66">
        <v>6141</v>
      </c>
      <c r="D7" s="66">
        <v>3348</v>
      </c>
      <c r="E7" s="66">
        <v>9489</v>
      </c>
      <c r="F7" s="66">
        <v>37982</v>
      </c>
      <c r="G7" s="2">
        <v>0.24982886630509188</v>
      </c>
      <c r="H7" s="75">
        <v>0.24982886630509188</v>
      </c>
      <c r="I7" s="75">
        <v>1.2498288663050918</v>
      </c>
    </row>
    <row r="8" spans="1:9" x14ac:dyDescent="0.35">
      <c r="A8" t="s">
        <v>92</v>
      </c>
      <c r="B8" s="66">
        <v>16142</v>
      </c>
      <c r="C8" s="66">
        <v>8619</v>
      </c>
      <c r="D8" s="66">
        <v>6373</v>
      </c>
      <c r="E8" s="66">
        <v>14992</v>
      </c>
      <c r="F8" s="66">
        <v>31134</v>
      </c>
      <c r="G8" s="2">
        <v>0.48153144472281106</v>
      </c>
      <c r="H8" s="75">
        <v>0.48153144472281106</v>
      </c>
      <c r="I8" s="75">
        <v>1.481531444722811</v>
      </c>
    </row>
    <row r="9" spans="1:9" x14ac:dyDescent="0.35">
      <c r="A9" t="s">
        <v>93</v>
      </c>
      <c r="B9" s="66">
        <v>2676</v>
      </c>
      <c r="C9" s="66">
        <v>844</v>
      </c>
      <c r="D9" s="66">
        <v>17</v>
      </c>
      <c r="E9" s="66">
        <v>861</v>
      </c>
      <c r="F9" s="66">
        <v>3537</v>
      </c>
      <c r="G9" s="2">
        <v>0.24342663273960985</v>
      </c>
      <c r="H9" s="75">
        <v>0.24342663273960985</v>
      </c>
      <c r="I9" s="75">
        <v>1.24342663273961</v>
      </c>
    </row>
    <row r="10" spans="1:9" x14ac:dyDescent="0.35">
      <c r="A10" t="s">
        <v>2</v>
      </c>
      <c r="B10" s="66">
        <v>1731</v>
      </c>
      <c r="C10" s="66">
        <v>13</v>
      </c>
      <c r="D10" s="66">
        <v>674</v>
      </c>
      <c r="E10" s="66">
        <v>687</v>
      </c>
      <c r="F10" s="66">
        <v>2418</v>
      </c>
      <c r="G10" s="2">
        <v>0.28411910669975188</v>
      </c>
      <c r="H10" s="75">
        <v>0.28411910669975188</v>
      </c>
      <c r="I10" s="75">
        <v>1.2841191066997519</v>
      </c>
    </row>
    <row r="11" spans="1:9" x14ac:dyDescent="0.35">
      <c r="A11" t="s">
        <v>94</v>
      </c>
      <c r="B11" s="66">
        <v>8160</v>
      </c>
      <c r="C11" s="66">
        <v>137</v>
      </c>
      <c r="D11" s="66">
        <v>1358</v>
      </c>
      <c r="E11" s="66">
        <v>1495</v>
      </c>
      <c r="F11" s="66">
        <v>9655</v>
      </c>
      <c r="G11" s="2">
        <v>0.15484205075090626</v>
      </c>
      <c r="H11" s="75">
        <v>0.15484205075090626</v>
      </c>
      <c r="I11" s="75">
        <v>1.1548420507509063</v>
      </c>
    </row>
    <row r="12" spans="1:9" x14ac:dyDescent="0.35">
      <c r="A12" t="s">
        <v>52</v>
      </c>
      <c r="B12" s="66">
        <v>2756</v>
      </c>
      <c r="C12" s="66">
        <v>0</v>
      </c>
      <c r="D12" s="66">
        <v>0</v>
      </c>
      <c r="E12" s="66">
        <v>0</v>
      </c>
      <c r="F12" s="66">
        <v>2756</v>
      </c>
      <c r="G12" s="2">
        <v>0</v>
      </c>
      <c r="H12" s="75">
        <v>0.14929864432041509</v>
      </c>
      <c r="I12" s="75">
        <v>1.1492986443204152</v>
      </c>
    </row>
    <row r="13" spans="1:9" x14ac:dyDescent="0.35">
      <c r="A13" t="s">
        <v>95</v>
      </c>
      <c r="B13" s="66">
        <v>9012</v>
      </c>
      <c r="C13" s="66">
        <v>0</v>
      </c>
      <c r="D13" s="66">
        <v>0</v>
      </c>
      <c r="E13" s="66">
        <v>0</v>
      </c>
      <c r="F13" s="66">
        <v>9012</v>
      </c>
      <c r="G13" s="2">
        <v>0</v>
      </c>
      <c r="H13" s="75">
        <v>0.14929864432041509</v>
      </c>
      <c r="I13" s="75">
        <v>1.1492986443204152</v>
      </c>
    </row>
    <row r="14" spans="1:9" x14ac:dyDescent="0.35">
      <c r="A14" t="s">
        <v>96</v>
      </c>
      <c r="B14" s="66">
        <v>54725</v>
      </c>
      <c r="C14" s="66">
        <v>2505</v>
      </c>
      <c r="D14" s="66">
        <v>19146</v>
      </c>
      <c r="E14" s="66">
        <v>21651</v>
      </c>
      <c r="F14" s="66">
        <v>76376</v>
      </c>
      <c r="G14" s="2">
        <v>0.28347910338326177</v>
      </c>
      <c r="H14" s="75">
        <v>0.28347910338326177</v>
      </c>
      <c r="I14" s="75">
        <v>1.2834791033832618</v>
      </c>
    </row>
    <row r="15" spans="1:9" x14ac:dyDescent="0.35">
      <c r="A15" t="s">
        <v>97</v>
      </c>
      <c r="B15" s="66">
        <v>190123</v>
      </c>
      <c r="C15" s="66">
        <v>23385</v>
      </c>
      <c r="D15" s="66">
        <v>10494</v>
      </c>
      <c r="E15" s="66">
        <v>33879</v>
      </c>
      <c r="F15" s="66">
        <v>224002</v>
      </c>
      <c r="G15" s="2">
        <v>0.15124418531977393</v>
      </c>
      <c r="H15" s="75">
        <v>0.15124418531977393</v>
      </c>
      <c r="I15" s="75">
        <v>1.1512441853197739</v>
      </c>
    </row>
    <row r="16" spans="1:9" x14ac:dyDescent="0.35">
      <c r="A16" t="s">
        <v>98</v>
      </c>
      <c r="B16" s="66">
        <v>2650</v>
      </c>
      <c r="C16" s="66">
        <v>0</v>
      </c>
      <c r="D16" s="66">
        <v>0</v>
      </c>
      <c r="E16" s="66">
        <v>0</v>
      </c>
      <c r="F16" s="66">
        <v>2650</v>
      </c>
      <c r="G16" s="2">
        <v>0</v>
      </c>
      <c r="H16" s="75">
        <v>0.14929864432041509</v>
      </c>
      <c r="I16" s="75">
        <v>1.1492986443204152</v>
      </c>
    </row>
    <row r="17" spans="1:9" x14ac:dyDescent="0.35">
      <c r="A17" t="s">
        <v>99</v>
      </c>
      <c r="B17" s="66">
        <v>9835</v>
      </c>
      <c r="C17" s="66">
        <v>0</v>
      </c>
      <c r="D17" s="66">
        <v>0</v>
      </c>
      <c r="E17" s="66">
        <v>0</v>
      </c>
      <c r="F17" s="66">
        <v>9835</v>
      </c>
      <c r="G17" s="2">
        <v>0</v>
      </c>
      <c r="H17" s="75">
        <v>0.14929864432041509</v>
      </c>
      <c r="I17" s="75">
        <v>1.1492986443204152</v>
      </c>
    </row>
    <row r="18" spans="1:9" x14ac:dyDescent="0.35">
      <c r="A18" t="s">
        <v>43</v>
      </c>
      <c r="B18" s="66">
        <v>8203</v>
      </c>
      <c r="C18" s="66">
        <v>1475</v>
      </c>
      <c r="D18" s="66">
        <v>4796</v>
      </c>
      <c r="E18" s="66">
        <v>6271</v>
      </c>
      <c r="F18" s="66">
        <v>14474</v>
      </c>
      <c r="G18" s="2">
        <v>0.43325963797153516</v>
      </c>
      <c r="H18" s="75">
        <v>0.43325963797153516</v>
      </c>
      <c r="I18" s="75">
        <v>1.4332596379715352</v>
      </c>
    </row>
    <row r="19" spans="1:9" x14ac:dyDescent="0.35">
      <c r="A19" t="s">
        <v>100</v>
      </c>
      <c r="B19" s="66">
        <v>245657</v>
      </c>
      <c r="C19" s="66">
        <v>5236</v>
      </c>
      <c r="D19" s="66">
        <v>0</v>
      </c>
      <c r="E19" s="66">
        <v>5236</v>
      </c>
      <c r="F19" s="66">
        <v>250893</v>
      </c>
      <c r="G19" s="2">
        <v>2.0869454309207509E-2</v>
      </c>
      <c r="H19" s="75">
        <v>2.0869454309207509E-2</v>
      </c>
      <c r="I19" s="75">
        <v>1.0208694543092076</v>
      </c>
    </row>
    <row r="20" spans="1:9" x14ac:dyDescent="0.35">
      <c r="A20" t="s">
        <v>45</v>
      </c>
      <c r="B20" s="66">
        <v>10183</v>
      </c>
      <c r="C20" s="66">
        <v>1142</v>
      </c>
      <c r="D20" s="66">
        <v>129</v>
      </c>
      <c r="E20" s="66">
        <v>1271</v>
      </c>
      <c r="F20" s="66">
        <v>11454</v>
      </c>
      <c r="G20" s="2">
        <v>0.11096560153658111</v>
      </c>
      <c r="H20" s="75">
        <v>0.11096560153658111</v>
      </c>
      <c r="I20" s="75">
        <v>1.1109656015365812</v>
      </c>
    </row>
    <row r="21" spans="1:9" x14ac:dyDescent="0.35">
      <c r="A21" t="s">
        <v>101</v>
      </c>
      <c r="B21" s="66">
        <v>3853</v>
      </c>
      <c r="C21" s="66">
        <v>0</v>
      </c>
      <c r="D21" s="66">
        <v>71</v>
      </c>
      <c r="E21" s="66">
        <v>71</v>
      </c>
      <c r="F21" s="66">
        <v>3924</v>
      </c>
      <c r="G21" s="2">
        <v>1.8093781855249746E-2</v>
      </c>
      <c r="H21" s="75">
        <v>1.8093781855249746E-2</v>
      </c>
      <c r="I21" s="75">
        <v>1.0180937818552498</v>
      </c>
    </row>
    <row r="22" spans="1:9" x14ac:dyDescent="0.35">
      <c r="A22" t="s">
        <v>102</v>
      </c>
      <c r="B22" s="66">
        <v>96948</v>
      </c>
      <c r="C22" s="66">
        <v>2595</v>
      </c>
      <c r="D22" s="66">
        <v>22640</v>
      </c>
      <c r="E22" s="66">
        <v>25235</v>
      </c>
      <c r="F22" s="66">
        <v>122183</v>
      </c>
      <c r="G22" s="2">
        <v>0.20653446060417571</v>
      </c>
      <c r="H22" s="75">
        <v>0.20653446060417571</v>
      </c>
      <c r="I22" s="75">
        <v>1.2065344606041757</v>
      </c>
    </row>
    <row r="23" spans="1:9" x14ac:dyDescent="0.35">
      <c r="A23" t="s">
        <v>103</v>
      </c>
      <c r="B23" s="66">
        <v>27857</v>
      </c>
      <c r="C23" s="66">
        <v>0</v>
      </c>
      <c r="D23" s="66">
        <v>0</v>
      </c>
      <c r="E23" s="66">
        <v>0</v>
      </c>
      <c r="F23" s="66">
        <v>27857</v>
      </c>
      <c r="G23" s="2">
        <v>0</v>
      </c>
      <c r="H23" s="75">
        <v>0.14929864432041509</v>
      </c>
      <c r="I23" s="75">
        <v>1.1492986443204152</v>
      </c>
    </row>
    <row r="24" spans="1:9" x14ac:dyDescent="0.35">
      <c r="A24" t="s">
        <v>104</v>
      </c>
      <c r="B24" s="66">
        <v>6217</v>
      </c>
      <c r="C24" s="66">
        <v>1176</v>
      </c>
      <c r="D24" s="66">
        <v>497</v>
      </c>
      <c r="E24" s="66">
        <v>1673</v>
      </c>
      <c r="F24" s="66">
        <v>7890</v>
      </c>
      <c r="G24" s="2">
        <v>0.21204055766793409</v>
      </c>
      <c r="H24" s="75">
        <v>0.21204055766793409</v>
      </c>
      <c r="I24" s="75">
        <v>1.2120405576679341</v>
      </c>
    </row>
    <row r="25" spans="1:9" x14ac:dyDescent="0.35">
      <c r="A25" t="s">
        <v>105</v>
      </c>
      <c r="B25" s="66">
        <v>164556</v>
      </c>
      <c r="C25" s="66">
        <v>0</v>
      </c>
      <c r="D25" s="66">
        <v>0</v>
      </c>
      <c r="E25" s="66">
        <v>0</v>
      </c>
      <c r="F25" s="66">
        <v>164556</v>
      </c>
      <c r="G25" s="2">
        <v>0</v>
      </c>
      <c r="H25" s="75">
        <v>0.14929864432041509</v>
      </c>
      <c r="I25" s="75">
        <v>1.1492986443204152</v>
      </c>
    </row>
    <row r="26" spans="1:9" x14ac:dyDescent="0.35">
      <c r="A26" t="s">
        <v>42</v>
      </c>
      <c r="B26" s="66">
        <v>21925</v>
      </c>
      <c r="C26" s="66">
        <v>1190</v>
      </c>
      <c r="D26" s="66">
        <v>7237</v>
      </c>
      <c r="E26" s="66">
        <v>8427</v>
      </c>
      <c r="F26" s="66">
        <v>30352</v>
      </c>
      <c r="G26" s="2">
        <v>0.27764232999472854</v>
      </c>
      <c r="H26" s="75">
        <v>0.27764232999472854</v>
      </c>
      <c r="I26" s="75">
        <v>1.2776423299947286</v>
      </c>
    </row>
    <row r="27" spans="1:9" x14ac:dyDescent="0.35">
      <c r="A27" t="s">
        <v>106</v>
      </c>
      <c r="B27" s="66">
        <v>17579</v>
      </c>
      <c r="C27" s="66">
        <v>3919</v>
      </c>
      <c r="D27" s="66">
        <v>3122</v>
      </c>
      <c r="E27" s="66">
        <v>7041</v>
      </c>
      <c r="F27" s="66">
        <v>24620</v>
      </c>
      <c r="G27" s="2">
        <v>0.28598700243704306</v>
      </c>
      <c r="H27" s="75">
        <v>0.28598700243704306</v>
      </c>
      <c r="I27" s="75">
        <v>1.285987002437043</v>
      </c>
    </row>
    <row r="28" spans="1:9" x14ac:dyDescent="0.35">
      <c r="A28" t="s">
        <v>107</v>
      </c>
      <c r="B28" s="66">
        <v>51074</v>
      </c>
      <c r="C28" s="66">
        <v>4838</v>
      </c>
      <c r="D28" s="66">
        <v>1773</v>
      </c>
      <c r="E28" s="66">
        <v>6611</v>
      </c>
      <c r="F28" s="66">
        <v>57685</v>
      </c>
      <c r="G28" s="2">
        <v>0.11460518332322094</v>
      </c>
      <c r="H28" s="75">
        <v>0.11460518332322094</v>
      </c>
      <c r="I28" s="75">
        <v>1.1146051833232209</v>
      </c>
    </row>
    <row r="29" spans="1:9" x14ac:dyDescent="0.35">
      <c r="A29" t="s">
        <v>108</v>
      </c>
      <c r="B29" s="66">
        <v>21029</v>
      </c>
      <c r="C29" s="66">
        <v>0</v>
      </c>
      <c r="D29" s="66">
        <v>2546</v>
      </c>
      <c r="E29" s="66">
        <v>2546</v>
      </c>
      <c r="F29" s="66">
        <v>23575</v>
      </c>
      <c r="G29" s="2">
        <v>0.10799575821845175</v>
      </c>
      <c r="H29" s="75">
        <v>0.10799575821845175</v>
      </c>
      <c r="I29" s="75">
        <v>1.1079957582184519</v>
      </c>
    </row>
    <row r="30" spans="1:9" x14ac:dyDescent="0.35">
      <c r="A30" t="s">
        <v>109</v>
      </c>
      <c r="B30" s="66">
        <v>22157</v>
      </c>
      <c r="C30" s="66">
        <v>4815</v>
      </c>
      <c r="D30" s="66">
        <v>4</v>
      </c>
      <c r="E30" s="66">
        <v>4819</v>
      </c>
      <c r="F30" s="66">
        <v>26976</v>
      </c>
      <c r="G30" s="2">
        <v>0.17864027283511269</v>
      </c>
      <c r="H30" s="75">
        <v>0.17864027283511269</v>
      </c>
      <c r="I30" s="75">
        <v>1.1786402728351126</v>
      </c>
    </row>
    <row r="31" spans="1:9" x14ac:dyDescent="0.35">
      <c r="A31" t="s">
        <v>44</v>
      </c>
      <c r="B31" s="66">
        <v>8143</v>
      </c>
      <c r="C31" s="66">
        <v>1268</v>
      </c>
      <c r="D31" s="66">
        <v>43</v>
      </c>
      <c r="E31" s="66">
        <v>1311</v>
      </c>
      <c r="F31" s="66">
        <v>9454</v>
      </c>
      <c r="G31" s="2">
        <v>0.13867146181510473</v>
      </c>
      <c r="H31" s="75">
        <v>0.13867146181510473</v>
      </c>
      <c r="I31" s="75">
        <v>1.1386714618151048</v>
      </c>
    </row>
    <row r="32" spans="1:9" x14ac:dyDescent="0.35">
      <c r="A32" t="s">
        <v>110</v>
      </c>
      <c r="B32" s="66">
        <v>12225</v>
      </c>
      <c r="C32" s="66">
        <v>2669</v>
      </c>
      <c r="D32" s="66">
        <v>0</v>
      </c>
      <c r="E32" s="66">
        <v>2669</v>
      </c>
      <c r="F32" s="66">
        <v>14894</v>
      </c>
      <c r="G32" s="2">
        <v>0.17919967772257284</v>
      </c>
      <c r="H32" s="75">
        <v>0.17919967772257284</v>
      </c>
      <c r="I32" s="75">
        <v>1.1791996777225728</v>
      </c>
    </row>
    <row r="33" spans="1:9" x14ac:dyDescent="0.35">
      <c r="A33" t="s">
        <v>111</v>
      </c>
      <c r="B33" s="66">
        <v>58717</v>
      </c>
      <c r="C33" s="66">
        <v>0</v>
      </c>
      <c r="D33" s="66">
        <v>0</v>
      </c>
      <c r="E33" s="66">
        <v>0</v>
      </c>
      <c r="F33" s="66">
        <v>58717</v>
      </c>
      <c r="G33" s="2">
        <v>0</v>
      </c>
      <c r="H33" s="75">
        <v>0.14929864432041509</v>
      </c>
      <c r="I33" s="75">
        <v>1.1492986443204152</v>
      </c>
    </row>
    <row r="34" spans="1:9" x14ac:dyDescent="0.35">
      <c r="A34" t="s">
        <v>112</v>
      </c>
      <c r="B34" s="66">
        <v>12441</v>
      </c>
      <c r="C34" s="66">
        <v>12604</v>
      </c>
      <c r="D34" s="66">
        <v>595</v>
      </c>
      <c r="E34" s="66">
        <v>13199</v>
      </c>
      <c r="F34" s="66">
        <v>25640</v>
      </c>
      <c r="G34" s="2">
        <v>0.51478159126365053</v>
      </c>
      <c r="H34" s="75">
        <v>0.51478159126365053</v>
      </c>
      <c r="I34" s="75">
        <v>1.5147815912636506</v>
      </c>
    </row>
    <row r="35" spans="1:9" x14ac:dyDescent="0.35">
      <c r="A35" t="s">
        <v>39</v>
      </c>
      <c r="B35" s="66">
        <v>8554</v>
      </c>
      <c r="C35" s="66">
        <v>0</v>
      </c>
      <c r="D35" s="66">
        <v>0</v>
      </c>
      <c r="E35" s="66">
        <v>0</v>
      </c>
      <c r="F35" s="66">
        <v>8554</v>
      </c>
      <c r="G35" s="2">
        <v>0</v>
      </c>
      <c r="H35" s="75">
        <v>0.14929864432041509</v>
      </c>
      <c r="I35" s="75">
        <v>1.1492986443204152</v>
      </c>
    </row>
    <row r="36" spans="1:9" x14ac:dyDescent="0.35">
      <c r="A36" t="s">
        <v>113</v>
      </c>
      <c r="B36" s="66">
        <v>940193</v>
      </c>
      <c r="C36" s="66">
        <v>0</v>
      </c>
      <c r="D36" s="66">
        <v>0</v>
      </c>
      <c r="E36" s="66">
        <v>0</v>
      </c>
      <c r="F36" s="66">
        <v>940193</v>
      </c>
      <c r="G36" s="2">
        <v>0</v>
      </c>
      <c r="H36" s="75">
        <v>0.14929864432041509</v>
      </c>
      <c r="I36" s="75">
        <v>1.1492986443204152</v>
      </c>
    </row>
    <row r="37" spans="1:9" x14ac:dyDescent="0.35">
      <c r="A37" t="s">
        <v>114</v>
      </c>
      <c r="B37" s="66">
        <v>57969</v>
      </c>
      <c r="C37" s="66">
        <v>2027</v>
      </c>
      <c r="D37" s="66">
        <v>0</v>
      </c>
      <c r="E37" s="66">
        <v>2027</v>
      </c>
      <c r="F37" s="66">
        <v>59996</v>
      </c>
      <c r="G37" s="2">
        <v>3.3785585705713717E-2</v>
      </c>
      <c r="H37" s="75">
        <v>3.3785585705713717E-2</v>
      </c>
      <c r="I37" s="75">
        <v>1.0337855857057137</v>
      </c>
    </row>
    <row r="38" spans="1:9" x14ac:dyDescent="0.35">
      <c r="A38" t="s">
        <v>48</v>
      </c>
      <c r="B38" s="66">
        <v>812</v>
      </c>
      <c r="C38" s="66">
        <v>0</v>
      </c>
      <c r="D38" s="66">
        <v>0</v>
      </c>
      <c r="E38" s="66">
        <v>0</v>
      </c>
      <c r="F38" s="66">
        <v>812</v>
      </c>
      <c r="G38" s="2">
        <v>0</v>
      </c>
      <c r="H38" s="75">
        <v>0.14929864432041509</v>
      </c>
      <c r="I38" s="75">
        <v>1.1492986443204152</v>
      </c>
    </row>
    <row r="39" spans="1:9" x14ac:dyDescent="0.35">
      <c r="A39" t="s">
        <v>115</v>
      </c>
      <c r="B39" s="66">
        <v>34661</v>
      </c>
      <c r="C39" s="66">
        <v>7120</v>
      </c>
      <c r="D39" s="66">
        <v>0</v>
      </c>
      <c r="E39" s="66">
        <v>7120</v>
      </c>
      <c r="F39" s="66">
        <v>41781</v>
      </c>
      <c r="G39" s="2">
        <v>0.17041238840621334</v>
      </c>
      <c r="H39" s="75">
        <v>0.17041238840621334</v>
      </c>
      <c r="I39" s="75">
        <v>1.1704123884062134</v>
      </c>
    </row>
    <row r="40" spans="1:9" x14ac:dyDescent="0.35">
      <c r="A40" t="s">
        <v>116</v>
      </c>
      <c r="B40" s="66">
        <v>2328</v>
      </c>
      <c r="C40" s="66">
        <v>0</v>
      </c>
      <c r="D40" s="66">
        <v>0</v>
      </c>
      <c r="E40" s="66">
        <v>0</v>
      </c>
      <c r="F40" s="66">
        <v>2328</v>
      </c>
      <c r="G40" s="2">
        <v>0</v>
      </c>
      <c r="H40" s="75">
        <v>0.14929864432041509</v>
      </c>
      <c r="I40" s="75">
        <v>1.1492986443204152</v>
      </c>
    </row>
    <row r="41" spans="1:9" x14ac:dyDescent="0.35">
      <c r="A41" t="s">
        <v>117</v>
      </c>
      <c r="B41" s="66">
        <v>8054</v>
      </c>
      <c r="C41" s="66">
        <v>0</v>
      </c>
      <c r="D41" s="66">
        <v>0</v>
      </c>
      <c r="E41" s="66">
        <v>0</v>
      </c>
      <c r="F41" s="66">
        <v>8054</v>
      </c>
      <c r="G41" s="2">
        <v>0</v>
      </c>
      <c r="H41" s="75">
        <v>0.14929864432041509</v>
      </c>
      <c r="I41" s="75">
        <v>1.1492986443204152</v>
      </c>
    </row>
    <row r="42" spans="1:9" x14ac:dyDescent="0.35">
      <c r="A42" t="s">
        <v>118</v>
      </c>
      <c r="B42" s="66">
        <v>243684</v>
      </c>
      <c r="C42" s="66">
        <v>212358</v>
      </c>
      <c r="D42" s="66">
        <v>0</v>
      </c>
      <c r="E42" s="66">
        <v>212358</v>
      </c>
      <c r="F42" s="66">
        <v>456042</v>
      </c>
      <c r="G42" s="2">
        <v>0.46565447919270592</v>
      </c>
      <c r="H42" s="75">
        <v>0.46565447919270592</v>
      </c>
      <c r="I42" s="75">
        <v>1.465654479192706</v>
      </c>
    </row>
    <row r="43" spans="1:9" x14ac:dyDescent="0.35">
      <c r="A43" t="s">
        <v>119</v>
      </c>
      <c r="B43" s="66">
        <v>7970</v>
      </c>
      <c r="C43" s="66">
        <v>0</v>
      </c>
      <c r="D43" s="66">
        <v>0</v>
      </c>
      <c r="E43" s="66">
        <v>0</v>
      </c>
      <c r="F43" s="66">
        <v>7970</v>
      </c>
      <c r="G43" s="2">
        <v>0</v>
      </c>
      <c r="H43" s="75">
        <v>0.14929864432041509</v>
      </c>
      <c r="I43" s="75">
        <v>1.1492986443204152</v>
      </c>
    </row>
    <row r="44" spans="1:9" x14ac:dyDescent="0.35">
      <c r="A44" t="s">
        <v>120</v>
      </c>
      <c r="B44" s="66">
        <v>73086</v>
      </c>
      <c r="C44" s="66">
        <v>0</v>
      </c>
      <c r="D44" s="66">
        <v>30656</v>
      </c>
      <c r="E44" s="66">
        <v>30656</v>
      </c>
      <c r="F44" s="66">
        <v>103742</v>
      </c>
      <c r="G44" s="2">
        <v>0.29550230379209963</v>
      </c>
      <c r="H44" s="75">
        <v>0.29550230379209963</v>
      </c>
      <c r="I44" s="75">
        <v>1.2955023037920996</v>
      </c>
    </row>
    <row r="45" spans="1:9" x14ac:dyDescent="0.35">
      <c r="A45" t="s">
        <v>51</v>
      </c>
      <c r="B45" s="66">
        <v>18652</v>
      </c>
      <c r="C45" s="66">
        <v>4924</v>
      </c>
      <c r="D45" s="66">
        <v>0</v>
      </c>
      <c r="E45" s="66">
        <v>4924</v>
      </c>
      <c r="F45" s="66">
        <v>23576</v>
      </c>
      <c r="G45" s="2">
        <v>0.20885646420088225</v>
      </c>
      <c r="H45" s="75">
        <v>0.20885646420088225</v>
      </c>
      <c r="I45" s="75">
        <v>1.2088564642008823</v>
      </c>
    </row>
    <row r="46" spans="1:9" x14ac:dyDescent="0.35">
      <c r="A46" t="s">
        <v>121</v>
      </c>
      <c r="B46" s="66">
        <v>42748</v>
      </c>
      <c r="C46" s="66">
        <v>6</v>
      </c>
      <c r="D46" s="66">
        <v>6946</v>
      </c>
      <c r="E46" s="66">
        <v>6952</v>
      </c>
      <c r="F46" s="66">
        <v>49700</v>
      </c>
      <c r="G46" s="2">
        <v>0.13987927565392355</v>
      </c>
      <c r="H46" s="75">
        <v>0.13987927565392355</v>
      </c>
      <c r="I46" s="75">
        <v>1.1398792756539236</v>
      </c>
    </row>
    <row r="47" spans="1:9" x14ac:dyDescent="0.35">
      <c r="A47" t="s">
        <v>122</v>
      </c>
      <c r="B47" s="66">
        <v>50340</v>
      </c>
      <c r="C47" s="66">
        <v>0</v>
      </c>
      <c r="D47" s="66">
        <v>0</v>
      </c>
      <c r="E47" s="66">
        <v>0</v>
      </c>
      <c r="F47" s="66">
        <v>50340</v>
      </c>
      <c r="G47" s="2">
        <v>0</v>
      </c>
      <c r="H47" s="75">
        <v>0.14929864432041509</v>
      </c>
      <c r="I47" s="75">
        <v>1.1492986443204152</v>
      </c>
    </row>
    <row r="48" spans="1:9" x14ac:dyDescent="0.35">
      <c r="A48" t="s">
        <v>123</v>
      </c>
      <c r="B48" s="66">
        <v>42528</v>
      </c>
      <c r="C48" s="66">
        <v>1937</v>
      </c>
      <c r="D48" s="66">
        <v>5949</v>
      </c>
      <c r="E48" s="66">
        <v>7886</v>
      </c>
      <c r="F48" s="66">
        <v>50414</v>
      </c>
      <c r="G48" s="2">
        <v>0.15642480263418893</v>
      </c>
      <c r="H48" s="75">
        <v>0.15642480263418893</v>
      </c>
      <c r="I48" s="75">
        <v>1.156424802634189</v>
      </c>
    </row>
    <row r="49" spans="1:9" x14ac:dyDescent="0.35">
      <c r="A49" t="s">
        <v>9</v>
      </c>
      <c r="B49" s="66">
        <v>3030541</v>
      </c>
      <c r="C49" s="66">
        <v>396383</v>
      </c>
      <c r="D49" s="66">
        <v>146773</v>
      </c>
      <c r="E49" s="66">
        <v>543156</v>
      </c>
      <c r="F49" s="66">
        <v>3573697</v>
      </c>
      <c r="G49" s="2">
        <v>0.15198714384571496</v>
      </c>
      <c r="H49" s="75">
        <v>0.15198714384571496</v>
      </c>
      <c r="I49" s="75">
        <v>1.151987143845715</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4200-FE61-4818-93CF-4D2841F60ABC}">
  <dimension ref="A1:L49"/>
  <sheetViews>
    <sheetView workbookViewId="0">
      <selection activeCell="C2" sqref="C2"/>
    </sheetView>
  </sheetViews>
  <sheetFormatPr defaultColWidth="8.81640625" defaultRowHeight="14.5" x14ac:dyDescent="0.35"/>
  <cols>
    <col min="2" max="2" width="20.81640625" bestFit="1" customWidth="1"/>
    <col min="8" max="8" width="12.36328125" bestFit="1" customWidth="1"/>
    <col min="9" max="9" width="15.6328125" customWidth="1"/>
    <col min="12" max="12" width="11.81640625" bestFit="1" customWidth="1"/>
  </cols>
  <sheetData>
    <row r="1" spans="1:12" s="14" customFormat="1" ht="87" x14ac:dyDescent="0.35">
      <c r="A1" s="14" t="s">
        <v>0</v>
      </c>
      <c r="B1" s="14" t="s">
        <v>233</v>
      </c>
      <c r="C1" s="14" t="s">
        <v>230</v>
      </c>
      <c r="D1" s="14" t="s">
        <v>231</v>
      </c>
      <c r="E1" s="14" t="s">
        <v>232</v>
      </c>
      <c r="F1" s="14" t="s">
        <v>246</v>
      </c>
      <c r="G1" s="14" t="s">
        <v>247</v>
      </c>
      <c r="H1" s="14" t="s">
        <v>248</v>
      </c>
      <c r="I1" s="14" t="s">
        <v>234</v>
      </c>
      <c r="J1" s="14" t="s">
        <v>237</v>
      </c>
      <c r="K1" s="14" t="s">
        <v>236</v>
      </c>
      <c r="L1" s="14" t="s">
        <v>243</v>
      </c>
    </row>
    <row r="2" spans="1:12" x14ac:dyDescent="0.35">
      <c r="A2" t="s">
        <v>162</v>
      </c>
      <c r="B2" t="s">
        <v>88</v>
      </c>
      <c r="C2">
        <v>1438</v>
      </c>
      <c r="D2">
        <v>46082</v>
      </c>
      <c r="E2">
        <v>47520</v>
      </c>
      <c r="F2">
        <v>21073</v>
      </c>
      <c r="G2">
        <v>47520</v>
      </c>
      <c r="H2">
        <v>0.3113441654036182</v>
      </c>
      <c r="I2">
        <v>5.4673730437993617E-2</v>
      </c>
      <c r="J2">
        <v>12254.426479528218</v>
      </c>
      <c r="K2">
        <v>58796.157871595256</v>
      </c>
      <c r="L2">
        <v>0.16978378120896553</v>
      </c>
    </row>
    <row r="3" spans="1:12" x14ac:dyDescent="0.35">
      <c r="A3" t="s">
        <v>165</v>
      </c>
      <c r="B3" t="s">
        <v>91</v>
      </c>
      <c r="C3">
        <v>160</v>
      </c>
      <c r="D3">
        <v>8996</v>
      </c>
      <c r="E3">
        <v>9156</v>
      </c>
      <c r="F3">
        <v>6843</v>
      </c>
      <c r="G3">
        <v>9231</v>
      </c>
      <c r="H3">
        <v>0.1019276516404819</v>
      </c>
      <c r="I3">
        <v>4.0873218672115019E-3</v>
      </c>
      <c r="J3">
        <v>5635.6028141943098</v>
      </c>
      <c r="K3">
        <v>9306.6143512450853</v>
      </c>
      <c r="L3">
        <v>5.1441547452964143E-2</v>
      </c>
    </row>
    <row r="4" spans="1:12" x14ac:dyDescent="0.35">
      <c r="A4" t="s">
        <v>163</v>
      </c>
      <c r="B4" t="s">
        <v>89</v>
      </c>
      <c r="C4">
        <v>813</v>
      </c>
      <c r="D4">
        <v>3260</v>
      </c>
      <c r="E4">
        <v>8930</v>
      </c>
      <c r="F4">
        <v>7694</v>
      </c>
      <c r="G4">
        <v>8258</v>
      </c>
      <c r="H4">
        <v>5.0912180313375632E-2</v>
      </c>
      <c r="I4">
        <v>-3.8361793441239245E-2</v>
      </c>
      <c r="J4">
        <v>6966.5752203983839</v>
      </c>
      <c r="K4">
        <v>7636.5693169092947</v>
      </c>
      <c r="L4">
        <v>9.2247598382839691E-3</v>
      </c>
    </row>
    <row r="5" spans="1:12" x14ac:dyDescent="0.35">
      <c r="A5" t="s">
        <v>151</v>
      </c>
      <c r="B5" t="s">
        <v>1</v>
      </c>
      <c r="C5">
        <v>6569</v>
      </c>
      <c r="D5">
        <v>10325</v>
      </c>
      <c r="E5">
        <v>16894</v>
      </c>
      <c r="F5">
        <v>12131</v>
      </c>
      <c r="G5">
        <v>18841</v>
      </c>
      <c r="H5">
        <v>0.11672257510323925</v>
      </c>
      <c r="I5">
        <v>5.6053037042871567E-2</v>
      </c>
      <c r="J5">
        <v>9727.6068821535628</v>
      </c>
      <c r="K5">
        <v>21012.387889191432</v>
      </c>
      <c r="L5">
        <v>8.0057656094854712E-2</v>
      </c>
    </row>
    <row r="6" spans="1:12" x14ac:dyDescent="0.35">
      <c r="A6" t="s">
        <v>164</v>
      </c>
      <c r="B6" t="s">
        <v>90</v>
      </c>
      <c r="C6">
        <v>0</v>
      </c>
      <c r="D6">
        <v>6935</v>
      </c>
      <c r="E6">
        <v>6935</v>
      </c>
      <c r="F6">
        <v>5816</v>
      </c>
      <c r="G6">
        <v>12300</v>
      </c>
      <c r="H6">
        <v>6.0410507639565125E-2</v>
      </c>
      <c r="I6">
        <v>0.33177029268299996</v>
      </c>
      <c r="J6">
        <v>5172.2124199427299</v>
      </c>
      <c r="K6">
        <v>21815.428983417449</v>
      </c>
      <c r="L6">
        <v>0.15480522567998944</v>
      </c>
    </row>
    <row r="7" spans="1:12" x14ac:dyDescent="0.35">
      <c r="A7" t="s">
        <v>152</v>
      </c>
      <c r="B7" t="s">
        <v>2</v>
      </c>
      <c r="C7">
        <v>444</v>
      </c>
      <c r="D7">
        <v>751</v>
      </c>
      <c r="E7">
        <v>1195</v>
      </c>
      <c r="F7">
        <v>1146</v>
      </c>
      <c r="G7">
        <v>1195</v>
      </c>
      <c r="H7">
        <v>1.405403127486049E-2</v>
      </c>
      <c r="I7">
        <v>5.4673730437993617E-2</v>
      </c>
      <c r="J7">
        <v>1114.4547147596438</v>
      </c>
      <c r="K7">
        <v>1478.5649969814042</v>
      </c>
      <c r="L7">
        <v>2.867408624168033E-2</v>
      </c>
    </row>
    <row r="8" spans="1:12" x14ac:dyDescent="0.35">
      <c r="A8" t="s">
        <v>166</v>
      </c>
      <c r="B8" t="s">
        <v>96</v>
      </c>
      <c r="C8">
        <v>5460</v>
      </c>
      <c r="D8">
        <v>11730</v>
      </c>
      <c r="E8">
        <v>17190</v>
      </c>
      <c r="F8">
        <v>14168</v>
      </c>
      <c r="G8">
        <v>17190</v>
      </c>
      <c r="H8">
        <v>6.6569375282258259E-2</v>
      </c>
      <c r="I8">
        <v>5.4673730437993617E-2</v>
      </c>
      <c r="J8">
        <v>12454.615634130208</v>
      </c>
      <c r="K8">
        <v>21269.064684611163</v>
      </c>
      <c r="L8">
        <v>5.4974120918314329E-2</v>
      </c>
    </row>
    <row r="9" spans="1:12" x14ac:dyDescent="0.35">
      <c r="A9" t="s">
        <v>168</v>
      </c>
      <c r="B9" t="s">
        <v>92</v>
      </c>
      <c r="C9">
        <v>690</v>
      </c>
      <c r="D9">
        <v>9925</v>
      </c>
      <c r="E9">
        <v>18312</v>
      </c>
      <c r="F9">
        <v>19159</v>
      </c>
      <c r="G9">
        <v>25952</v>
      </c>
      <c r="H9">
        <v>-1.4958984742070136E-2</v>
      </c>
      <c r="I9">
        <v>0.1904674530041961</v>
      </c>
      <c r="J9">
        <v>19745.321491055467</v>
      </c>
      <c r="K9">
        <v>36779.505460899949</v>
      </c>
      <c r="L9">
        <v>6.4177733407871473E-2</v>
      </c>
    </row>
    <row r="10" spans="1:12" x14ac:dyDescent="0.35">
      <c r="A10" t="s">
        <v>154</v>
      </c>
      <c r="B10" t="s">
        <v>97</v>
      </c>
      <c r="C10">
        <v>3642</v>
      </c>
      <c r="D10">
        <v>103785</v>
      </c>
      <c r="E10">
        <v>107427</v>
      </c>
      <c r="F10">
        <v>72270</v>
      </c>
      <c r="G10">
        <v>107427</v>
      </c>
      <c r="H10">
        <v>0.14126140610967886</v>
      </c>
      <c r="I10">
        <v>5.4673730437993617E-2</v>
      </c>
      <c r="J10">
        <v>55486.558972126426</v>
      </c>
      <c r="K10">
        <v>132918.66270353246</v>
      </c>
      <c r="L10">
        <v>9.1289099104019389E-2</v>
      </c>
    </row>
    <row r="11" spans="1:12" x14ac:dyDescent="0.35">
      <c r="A11" t="s">
        <v>189</v>
      </c>
      <c r="B11" t="s">
        <v>95</v>
      </c>
      <c r="C11">
        <v>1069</v>
      </c>
      <c r="D11">
        <v>4012</v>
      </c>
      <c r="E11">
        <v>5081</v>
      </c>
      <c r="F11">
        <v>4945</v>
      </c>
      <c r="G11">
        <v>5081</v>
      </c>
      <c r="H11">
        <v>9.0847270748923847E-3</v>
      </c>
      <c r="I11">
        <v>5.4673730437993617E-2</v>
      </c>
      <c r="J11">
        <v>4856.3617512852798</v>
      </c>
      <c r="K11">
        <v>6286.6851461611004</v>
      </c>
      <c r="L11">
        <v>2.6150516395807788E-2</v>
      </c>
    </row>
    <row r="12" spans="1:12" x14ac:dyDescent="0.35">
      <c r="A12" t="s">
        <v>196</v>
      </c>
      <c r="B12" t="s">
        <v>52</v>
      </c>
      <c r="C12">
        <v>487</v>
      </c>
      <c r="D12">
        <v>747</v>
      </c>
      <c r="E12">
        <v>1234</v>
      </c>
      <c r="F12">
        <v>667</v>
      </c>
      <c r="G12">
        <v>1234</v>
      </c>
      <c r="H12">
        <v>0.22761760688079957</v>
      </c>
      <c r="I12">
        <v>5.4673730437993617E-2</v>
      </c>
      <c r="J12">
        <v>442.58798177276486</v>
      </c>
      <c r="K12">
        <v>1526.8194194770317</v>
      </c>
      <c r="L12">
        <v>0.1318237577554906</v>
      </c>
    </row>
    <row r="13" spans="1:12" x14ac:dyDescent="0.35">
      <c r="A13" t="s">
        <v>167</v>
      </c>
      <c r="B13" t="s">
        <v>93</v>
      </c>
      <c r="C13">
        <v>27</v>
      </c>
      <c r="D13">
        <v>768</v>
      </c>
      <c r="E13">
        <v>795</v>
      </c>
      <c r="F13">
        <v>551</v>
      </c>
      <c r="G13">
        <v>795</v>
      </c>
      <c r="H13">
        <v>0.12998282689096063</v>
      </c>
      <c r="I13">
        <v>5.4673730437993617E-2</v>
      </c>
      <c r="J13">
        <v>431.52693865021706</v>
      </c>
      <c r="K13">
        <v>983.64784318009742</v>
      </c>
      <c r="L13">
        <v>8.588334772348083E-2</v>
      </c>
    </row>
    <row r="14" spans="1:12" x14ac:dyDescent="0.35">
      <c r="A14" t="s">
        <v>161</v>
      </c>
      <c r="B14" t="s">
        <v>41</v>
      </c>
      <c r="C14">
        <v>8620</v>
      </c>
      <c r="D14">
        <v>57705</v>
      </c>
      <c r="E14">
        <v>66325</v>
      </c>
      <c r="F14">
        <v>78960</v>
      </c>
      <c r="G14">
        <v>92000</v>
      </c>
      <c r="H14">
        <v>-5.6467842638671772E-2</v>
      </c>
      <c r="I14">
        <v>0.17775588866414749</v>
      </c>
      <c r="J14">
        <v>88693.894919095022</v>
      </c>
      <c r="K14">
        <v>127614.02186204297</v>
      </c>
      <c r="L14">
        <v>3.705184124456351E-2</v>
      </c>
    </row>
    <row r="15" spans="1:12" x14ac:dyDescent="0.35">
      <c r="A15" t="s">
        <v>194</v>
      </c>
      <c r="B15" t="s">
        <v>99</v>
      </c>
      <c r="C15">
        <v>45</v>
      </c>
      <c r="D15">
        <v>3939</v>
      </c>
      <c r="E15">
        <v>3984</v>
      </c>
      <c r="F15">
        <v>4262</v>
      </c>
      <c r="G15">
        <v>4971</v>
      </c>
      <c r="H15">
        <v>-2.2233181875670249E-2</v>
      </c>
      <c r="I15">
        <v>0.11702326021234755</v>
      </c>
      <c r="J15">
        <v>4458.0286561850398</v>
      </c>
      <c r="K15">
        <v>6202.5203313253041</v>
      </c>
      <c r="L15">
        <v>3.3576280295495975E-2</v>
      </c>
    </row>
    <row r="16" spans="1:12" x14ac:dyDescent="0.35">
      <c r="A16" t="s">
        <v>155</v>
      </c>
      <c r="B16" t="s">
        <v>100</v>
      </c>
      <c r="C16">
        <v>16161</v>
      </c>
      <c r="D16">
        <v>61772</v>
      </c>
      <c r="E16">
        <v>155862</v>
      </c>
      <c r="F16">
        <v>176328</v>
      </c>
      <c r="G16">
        <v>180358</v>
      </c>
      <c r="H16">
        <v>-4.0290808124875621E-2</v>
      </c>
      <c r="I16">
        <v>7.5715887821594663E-2</v>
      </c>
      <c r="J16">
        <v>191444.09388648093</v>
      </c>
      <c r="K16">
        <v>208703.90578845391</v>
      </c>
      <c r="L16">
        <v>8.6694338168413765E-3</v>
      </c>
    </row>
    <row r="17" spans="1:12" x14ac:dyDescent="0.35">
      <c r="A17" t="s">
        <v>157</v>
      </c>
      <c r="B17" t="s">
        <v>45</v>
      </c>
      <c r="C17">
        <v>733</v>
      </c>
      <c r="D17">
        <v>5352</v>
      </c>
      <c r="E17">
        <v>6085</v>
      </c>
      <c r="F17">
        <v>3042</v>
      </c>
      <c r="G17">
        <v>6085</v>
      </c>
      <c r="H17">
        <v>0.2599900753182236</v>
      </c>
      <c r="I17">
        <v>5.4673730437993617E-2</v>
      </c>
      <c r="J17">
        <v>1916.1299588064203</v>
      </c>
      <c r="K17">
        <v>7528.9272022023806</v>
      </c>
      <c r="L17">
        <v>0.14664983707492385</v>
      </c>
    </row>
    <row r="18" spans="1:12" x14ac:dyDescent="0.35">
      <c r="A18" t="s">
        <v>172</v>
      </c>
      <c r="B18" t="s">
        <v>102</v>
      </c>
      <c r="C18">
        <v>10625</v>
      </c>
      <c r="D18">
        <v>42827</v>
      </c>
      <c r="E18">
        <v>120534</v>
      </c>
      <c r="F18">
        <v>111494</v>
      </c>
      <c r="G18">
        <v>135513</v>
      </c>
      <c r="H18">
        <v>2.6327637949120408E-2</v>
      </c>
      <c r="I18">
        <v>6.0316928868946684E-2</v>
      </c>
      <c r="J18">
        <v>105847.21810826137</v>
      </c>
      <c r="K18">
        <v>152353.47013290855</v>
      </c>
      <c r="L18">
        <v>3.7092014425830433E-2</v>
      </c>
    </row>
    <row r="19" spans="1:12" x14ac:dyDescent="0.35">
      <c r="A19" t="s">
        <v>173</v>
      </c>
      <c r="B19" t="s">
        <v>103</v>
      </c>
      <c r="C19">
        <v>866</v>
      </c>
      <c r="D19">
        <v>6329</v>
      </c>
      <c r="E19">
        <v>7195</v>
      </c>
      <c r="F19">
        <v>6289</v>
      </c>
      <c r="G19">
        <v>7195</v>
      </c>
      <c r="H19">
        <v>4.588291307733483E-2</v>
      </c>
      <c r="I19">
        <v>5.4673730437993617E-2</v>
      </c>
      <c r="J19">
        <v>5749.3064628379925</v>
      </c>
      <c r="K19">
        <v>8902.3223040010071</v>
      </c>
      <c r="L19">
        <v>4.4693242353318841E-2</v>
      </c>
    </row>
    <row r="20" spans="1:12" x14ac:dyDescent="0.35">
      <c r="A20" t="s">
        <v>171</v>
      </c>
      <c r="B20" t="s">
        <v>101</v>
      </c>
      <c r="C20">
        <v>320</v>
      </c>
      <c r="D20">
        <v>1178</v>
      </c>
      <c r="E20">
        <v>1498</v>
      </c>
      <c r="F20">
        <v>3222</v>
      </c>
      <c r="G20">
        <v>3152</v>
      </c>
      <c r="H20">
        <v>-0.22530855667613492</v>
      </c>
      <c r="I20">
        <v>0.45056501122921166</v>
      </c>
      <c r="J20">
        <v>5368.6861719058379</v>
      </c>
      <c r="K20">
        <v>6632.2456608811744</v>
      </c>
      <c r="L20">
        <v>2.1360971899609948E-2</v>
      </c>
    </row>
    <row r="21" spans="1:12" x14ac:dyDescent="0.35">
      <c r="A21" t="s">
        <v>174</v>
      </c>
      <c r="B21" t="s">
        <v>104</v>
      </c>
      <c r="C21">
        <v>157</v>
      </c>
      <c r="D21">
        <v>1264</v>
      </c>
      <c r="E21">
        <v>1421</v>
      </c>
      <c r="F21">
        <v>1299</v>
      </c>
      <c r="G21">
        <v>1556</v>
      </c>
      <c r="H21">
        <v>3.0374199904759536E-2</v>
      </c>
      <c r="I21">
        <v>4.6424158096915802E-2</v>
      </c>
      <c r="J21">
        <v>1223.5428960545332</v>
      </c>
      <c r="K21">
        <v>1703.8254750175934</v>
      </c>
      <c r="L21">
        <v>3.3666855258266404E-2</v>
      </c>
    </row>
    <row r="22" spans="1:12" x14ac:dyDescent="0.35">
      <c r="A22" t="s">
        <v>170</v>
      </c>
      <c r="B22" t="s">
        <v>98</v>
      </c>
      <c r="C22">
        <v>51</v>
      </c>
      <c r="D22">
        <v>355</v>
      </c>
      <c r="E22">
        <v>406</v>
      </c>
      <c r="F22">
        <v>317</v>
      </c>
      <c r="G22">
        <v>634</v>
      </c>
      <c r="H22">
        <v>8.5981075235392446E-2</v>
      </c>
      <c r="I22">
        <v>0.24963048725605397</v>
      </c>
      <c r="J22">
        <v>268.79101544169799</v>
      </c>
      <c r="K22">
        <v>990.03940886699502</v>
      </c>
      <c r="L22">
        <v>0.13926242407429901</v>
      </c>
    </row>
    <row r="23" spans="1:12" x14ac:dyDescent="0.35">
      <c r="A23" t="s">
        <v>175</v>
      </c>
      <c r="B23" t="s">
        <v>105</v>
      </c>
      <c r="C23">
        <v>0</v>
      </c>
      <c r="D23">
        <v>59901</v>
      </c>
      <c r="E23">
        <v>76000</v>
      </c>
      <c r="F23">
        <v>61769</v>
      </c>
      <c r="G23">
        <v>87308</v>
      </c>
      <c r="H23">
        <v>7.1554687899516578E-2</v>
      </c>
      <c r="I23">
        <v>7.1815970063989321E-2</v>
      </c>
      <c r="J23">
        <v>53794.997197832221</v>
      </c>
      <c r="K23">
        <v>100298.51136842102</v>
      </c>
      <c r="L23">
        <v>6.4278428822577949E-2</v>
      </c>
    </row>
    <row r="24" spans="1:12" x14ac:dyDescent="0.35">
      <c r="A24" t="s">
        <v>176</v>
      </c>
      <c r="B24" t="s">
        <v>106</v>
      </c>
      <c r="C24">
        <v>927</v>
      </c>
      <c r="D24">
        <v>8488</v>
      </c>
      <c r="E24">
        <v>9415</v>
      </c>
      <c r="F24">
        <v>6310</v>
      </c>
      <c r="G24">
        <v>9415</v>
      </c>
      <c r="H24">
        <v>0.14269498586031326</v>
      </c>
      <c r="I24">
        <v>5.4673730437993617E-2</v>
      </c>
      <c r="J24">
        <v>4832.4649842286599</v>
      </c>
      <c r="K24">
        <v>11649.11250759826</v>
      </c>
      <c r="L24">
        <v>9.1974287862687021E-2</v>
      </c>
    </row>
    <row r="25" spans="1:12" x14ac:dyDescent="0.35">
      <c r="A25" t="s">
        <v>160</v>
      </c>
      <c r="B25" t="s">
        <v>42</v>
      </c>
      <c r="C25">
        <v>2779</v>
      </c>
      <c r="D25">
        <v>967</v>
      </c>
      <c r="E25">
        <v>3746</v>
      </c>
      <c r="F25">
        <v>4097</v>
      </c>
      <c r="G25">
        <v>6866</v>
      </c>
      <c r="H25">
        <v>-2.9414192821425544E-2</v>
      </c>
      <c r="I25">
        <v>0.35384209356504925</v>
      </c>
      <c r="J25">
        <v>4349.0869575780871</v>
      </c>
      <c r="K25">
        <v>12584.611852642814</v>
      </c>
      <c r="L25">
        <v>0.11210085179803553</v>
      </c>
    </row>
    <row r="26" spans="1:12" x14ac:dyDescent="0.35">
      <c r="A26" t="s">
        <v>177</v>
      </c>
      <c r="B26" t="s">
        <v>107</v>
      </c>
      <c r="C26">
        <v>3164</v>
      </c>
      <c r="D26">
        <v>4560</v>
      </c>
      <c r="E26">
        <v>7724</v>
      </c>
      <c r="F26">
        <v>6838</v>
      </c>
      <c r="G26">
        <v>7827</v>
      </c>
      <c r="H26">
        <v>4.1448317953169944E-2</v>
      </c>
      <c r="I26">
        <v>6.6454487825566844E-3</v>
      </c>
      <c r="J26">
        <v>6304.5435738275346</v>
      </c>
      <c r="K26">
        <v>7931.3735111341266</v>
      </c>
      <c r="L26">
        <v>2.3221071650207037E-2</v>
      </c>
    </row>
    <row r="27" spans="1:12" x14ac:dyDescent="0.35">
      <c r="A27" t="s">
        <v>179</v>
      </c>
      <c r="B27" t="s">
        <v>109</v>
      </c>
      <c r="C27">
        <v>3169</v>
      </c>
      <c r="D27">
        <v>5225</v>
      </c>
      <c r="E27">
        <v>8394</v>
      </c>
      <c r="F27">
        <v>7562</v>
      </c>
      <c r="G27">
        <v>8409</v>
      </c>
      <c r="H27">
        <v>3.5406206546388264E-2</v>
      </c>
      <c r="I27">
        <v>8.9309654310665287E-4</v>
      </c>
      <c r="J27">
        <v>7053.6701205361505</v>
      </c>
      <c r="K27">
        <v>8424.0268048606194</v>
      </c>
      <c r="L27">
        <v>1.7912528002296702E-2</v>
      </c>
    </row>
    <row r="28" spans="1:12" x14ac:dyDescent="0.35">
      <c r="A28" t="s">
        <v>181</v>
      </c>
      <c r="B28" t="s">
        <v>111</v>
      </c>
      <c r="C28">
        <v>5820</v>
      </c>
      <c r="D28">
        <v>7961</v>
      </c>
      <c r="E28">
        <v>28348</v>
      </c>
      <c r="F28">
        <v>24170</v>
      </c>
      <c r="G28">
        <v>30310</v>
      </c>
      <c r="H28">
        <v>5.4585812874464734E-2</v>
      </c>
      <c r="I28">
        <v>3.4026707504662967E-2</v>
      </c>
      <c r="J28">
        <v>21732.655777435415</v>
      </c>
      <c r="K28">
        <v>32407.792436856234</v>
      </c>
      <c r="L28">
        <v>4.0767362599106516E-2</v>
      </c>
    </row>
    <row r="29" spans="1:12" x14ac:dyDescent="0.35">
      <c r="A29" t="s">
        <v>158</v>
      </c>
      <c r="B29" t="s">
        <v>44</v>
      </c>
      <c r="C29">
        <v>855</v>
      </c>
      <c r="D29">
        <v>4017</v>
      </c>
      <c r="E29">
        <v>4872</v>
      </c>
      <c r="F29">
        <v>4137</v>
      </c>
      <c r="G29">
        <v>4872</v>
      </c>
      <c r="H29">
        <v>5.6024318930811168E-2</v>
      </c>
      <c r="I29">
        <v>5.4673730437993617E-2</v>
      </c>
      <c r="J29">
        <v>3709.6905330219938</v>
      </c>
      <c r="K29">
        <v>6028.0909332999172</v>
      </c>
      <c r="L29">
        <v>4.9745958587959382E-2</v>
      </c>
    </row>
    <row r="30" spans="1:12" x14ac:dyDescent="0.35">
      <c r="A30" t="s">
        <v>180</v>
      </c>
      <c r="B30" t="s">
        <v>110</v>
      </c>
      <c r="C30">
        <v>567</v>
      </c>
      <c r="D30">
        <v>4419</v>
      </c>
      <c r="E30">
        <v>4986</v>
      </c>
      <c r="F30">
        <v>4023</v>
      </c>
      <c r="G30">
        <v>4986</v>
      </c>
      <c r="H30">
        <v>7.4156136535132866E-2</v>
      </c>
      <c r="I30">
        <v>5.4673730437993617E-2</v>
      </c>
      <c r="J30">
        <v>3486.7050024630598</v>
      </c>
      <c r="K30">
        <v>6169.1423221332898</v>
      </c>
      <c r="L30">
        <v>5.8719612805226973E-2</v>
      </c>
    </row>
    <row r="31" spans="1:12" x14ac:dyDescent="0.35">
      <c r="A31" t="s">
        <v>178</v>
      </c>
      <c r="B31" t="s">
        <v>108</v>
      </c>
      <c r="C31">
        <v>0</v>
      </c>
      <c r="D31">
        <v>6025</v>
      </c>
      <c r="E31">
        <v>6025</v>
      </c>
      <c r="F31">
        <v>9188</v>
      </c>
      <c r="G31">
        <v>13564</v>
      </c>
      <c r="H31">
        <v>-0.13121558498618857</v>
      </c>
      <c r="I31">
        <v>0.50042870775453441</v>
      </c>
      <c r="J31">
        <v>12172.980978072981</v>
      </c>
      <c r="K31">
        <v>30536.447468879676</v>
      </c>
      <c r="L31">
        <v>9.6332167051084383E-2</v>
      </c>
    </row>
    <row r="32" spans="1:12" x14ac:dyDescent="0.35">
      <c r="A32" t="s">
        <v>182</v>
      </c>
      <c r="B32" t="s">
        <v>112</v>
      </c>
      <c r="C32">
        <v>0</v>
      </c>
      <c r="D32">
        <v>12956</v>
      </c>
      <c r="E32">
        <v>10624</v>
      </c>
      <c r="F32">
        <v>8730</v>
      </c>
      <c r="G32">
        <v>12956</v>
      </c>
      <c r="H32">
        <v>6.763943333062894E-2</v>
      </c>
      <c r="I32">
        <v>0.1043111029271564</v>
      </c>
      <c r="J32">
        <v>7658.875881822657</v>
      </c>
      <c r="K32">
        <v>15799.881024096383</v>
      </c>
      <c r="L32">
        <v>7.5100041233365111E-2</v>
      </c>
    </row>
    <row r="33" spans="1:12" x14ac:dyDescent="0.35">
      <c r="A33" t="s">
        <v>190</v>
      </c>
      <c r="B33" t="s">
        <v>39</v>
      </c>
      <c r="C33">
        <v>902</v>
      </c>
      <c r="D33">
        <v>3581</v>
      </c>
      <c r="E33">
        <v>10063</v>
      </c>
      <c r="F33">
        <v>8154</v>
      </c>
      <c r="G33">
        <v>10566</v>
      </c>
      <c r="H33">
        <v>7.2635719552709199E-2</v>
      </c>
      <c r="I33">
        <v>2.4687803142194653E-2</v>
      </c>
      <c r="J33">
        <v>7087.0614223468301</v>
      </c>
      <c r="K33">
        <v>11094.142502235909</v>
      </c>
      <c r="L33">
        <v>4.5833994503186481E-2</v>
      </c>
    </row>
    <row r="34" spans="1:12" x14ac:dyDescent="0.35">
      <c r="A34" t="s">
        <v>156</v>
      </c>
      <c r="B34" t="s">
        <v>113</v>
      </c>
      <c r="C34">
        <v>120870</v>
      </c>
      <c r="D34">
        <v>180709</v>
      </c>
      <c r="E34">
        <v>301579</v>
      </c>
      <c r="F34">
        <v>275660</v>
      </c>
      <c r="G34">
        <v>326376</v>
      </c>
      <c r="H34">
        <v>3.0407746470616726E-2</v>
      </c>
      <c r="I34">
        <v>4.0299906228893123E-2</v>
      </c>
      <c r="J34">
        <v>259630.38767428632</v>
      </c>
      <c r="K34">
        <v>353211.90592183132</v>
      </c>
      <c r="L34">
        <v>3.1259544931589112E-2</v>
      </c>
    </row>
    <row r="35" spans="1:12" x14ac:dyDescent="0.35">
      <c r="A35" t="s">
        <v>183</v>
      </c>
      <c r="B35" t="s">
        <v>114</v>
      </c>
      <c r="C35">
        <v>1207</v>
      </c>
      <c r="D35">
        <v>9551</v>
      </c>
      <c r="E35">
        <v>10758</v>
      </c>
      <c r="F35">
        <v>11235</v>
      </c>
      <c r="G35">
        <v>14816</v>
      </c>
      <c r="H35">
        <v>-1.4357349923836749E-2</v>
      </c>
      <c r="I35">
        <v>0.17354491154631502</v>
      </c>
      <c r="J35">
        <v>11564.692812368465</v>
      </c>
      <c r="K35">
        <v>20404.708681911135</v>
      </c>
      <c r="L35">
        <v>5.8423879919371036E-2</v>
      </c>
    </row>
    <row r="36" spans="1:12" x14ac:dyDescent="0.35">
      <c r="A36" t="s">
        <v>184</v>
      </c>
      <c r="B36" t="s">
        <v>115</v>
      </c>
      <c r="C36">
        <v>3015</v>
      </c>
      <c r="D36">
        <v>4577</v>
      </c>
      <c r="E36">
        <v>7592</v>
      </c>
      <c r="F36">
        <v>7031</v>
      </c>
      <c r="G36">
        <v>8807</v>
      </c>
      <c r="H36">
        <v>2.5918907427795013E-2</v>
      </c>
      <c r="I36">
        <v>7.7050082831477074E-2</v>
      </c>
      <c r="J36">
        <v>6680.2240750600176</v>
      </c>
      <c r="K36">
        <v>10216.444810326655</v>
      </c>
      <c r="L36">
        <v>4.3400105500354114E-2</v>
      </c>
    </row>
    <row r="37" spans="1:12" x14ac:dyDescent="0.35">
      <c r="A37" t="s">
        <v>186</v>
      </c>
      <c r="B37" t="s">
        <v>117</v>
      </c>
      <c r="C37">
        <v>391</v>
      </c>
      <c r="D37">
        <v>5302</v>
      </c>
      <c r="E37">
        <v>5693</v>
      </c>
      <c r="F37">
        <v>8293</v>
      </c>
      <c r="G37">
        <v>9491</v>
      </c>
      <c r="H37">
        <v>-0.11784850836422744</v>
      </c>
      <c r="I37">
        <v>0.29117585098474064</v>
      </c>
      <c r="J37">
        <v>10656.763302456236</v>
      </c>
      <c r="K37">
        <v>15822.779026875112</v>
      </c>
      <c r="L37">
        <v>4.0317117123783941E-2</v>
      </c>
    </row>
    <row r="38" spans="1:12" x14ac:dyDescent="0.35">
      <c r="A38" t="s">
        <v>188</v>
      </c>
      <c r="B38" t="s">
        <v>119</v>
      </c>
      <c r="C38">
        <v>1712</v>
      </c>
      <c r="D38">
        <v>2014</v>
      </c>
      <c r="E38">
        <v>3726</v>
      </c>
      <c r="F38">
        <v>1863</v>
      </c>
      <c r="G38">
        <v>3726</v>
      </c>
      <c r="H38">
        <v>0.25992104989487319</v>
      </c>
      <c r="I38">
        <v>5.4673730437993617E-2</v>
      </c>
      <c r="J38">
        <v>1173.6164579770741</v>
      </c>
      <c r="K38">
        <v>4610.1532876591737</v>
      </c>
      <c r="L38">
        <v>0.14661842846464967</v>
      </c>
    </row>
    <row r="39" spans="1:12" x14ac:dyDescent="0.35">
      <c r="A39" t="s">
        <v>153</v>
      </c>
      <c r="B39" t="s">
        <v>48</v>
      </c>
      <c r="C39">
        <v>50</v>
      </c>
      <c r="D39">
        <v>206</v>
      </c>
      <c r="E39">
        <v>256</v>
      </c>
      <c r="F39">
        <v>442</v>
      </c>
      <c r="G39">
        <v>462</v>
      </c>
      <c r="H39">
        <v>-0.16643545882510058</v>
      </c>
      <c r="I39">
        <v>0.34338657876279233</v>
      </c>
      <c r="J39">
        <v>636.1269649300508</v>
      </c>
      <c r="K39">
        <v>833.765625</v>
      </c>
      <c r="L39">
        <v>2.7424737353202833E-2</v>
      </c>
    </row>
    <row r="40" spans="1:12" x14ac:dyDescent="0.35">
      <c r="A40" t="s">
        <v>159</v>
      </c>
      <c r="B40" t="s">
        <v>43</v>
      </c>
      <c r="C40">
        <v>14</v>
      </c>
      <c r="D40">
        <v>2204</v>
      </c>
      <c r="E40">
        <v>2218</v>
      </c>
      <c r="F40">
        <v>3166</v>
      </c>
      <c r="G40">
        <v>4706</v>
      </c>
      <c r="H40">
        <v>-0.11185567778326533</v>
      </c>
      <c r="I40">
        <v>0.45661638376408309</v>
      </c>
      <c r="J40">
        <v>4013.6899683595507</v>
      </c>
      <c r="K40">
        <v>9984.8674481514863</v>
      </c>
      <c r="L40">
        <v>9.5417937124110397E-2</v>
      </c>
    </row>
    <row r="41" spans="1:12" x14ac:dyDescent="0.35">
      <c r="A41" t="s">
        <v>185</v>
      </c>
      <c r="B41" t="s">
        <v>116</v>
      </c>
      <c r="C41">
        <v>5</v>
      </c>
      <c r="D41">
        <v>1272</v>
      </c>
      <c r="E41">
        <v>1277</v>
      </c>
      <c r="F41">
        <v>1546</v>
      </c>
      <c r="G41">
        <v>1558</v>
      </c>
      <c r="H41">
        <v>-6.1731500721997512E-2</v>
      </c>
      <c r="I41">
        <v>0.10455737067903281</v>
      </c>
      <c r="J41">
        <v>1756.1241600785766</v>
      </c>
      <c r="K41">
        <v>1900.8332028191071</v>
      </c>
      <c r="L41">
        <v>7.9497446354268586E-3</v>
      </c>
    </row>
    <row r="42" spans="1:12" x14ac:dyDescent="0.35">
      <c r="A42" t="s">
        <v>169</v>
      </c>
      <c r="B42" t="s">
        <v>94</v>
      </c>
      <c r="C42">
        <v>936</v>
      </c>
      <c r="D42">
        <v>3863</v>
      </c>
      <c r="E42">
        <v>6472</v>
      </c>
      <c r="F42">
        <v>7126</v>
      </c>
      <c r="G42">
        <v>6666</v>
      </c>
      <c r="H42">
        <v>-3.1578929217935259E-2</v>
      </c>
      <c r="I42">
        <v>1.4876976840610734E-2</v>
      </c>
      <c r="J42">
        <v>7598.3161140451894</v>
      </c>
      <c r="K42">
        <v>6865.8152039555043</v>
      </c>
      <c r="L42">
        <v>-1.0085979771137898E-2</v>
      </c>
    </row>
    <row r="43" spans="1:12" x14ac:dyDescent="0.35">
      <c r="A43" t="s">
        <v>195</v>
      </c>
      <c r="B43" t="s">
        <v>51</v>
      </c>
      <c r="C43">
        <v>1268</v>
      </c>
      <c r="D43">
        <v>1966</v>
      </c>
      <c r="E43">
        <v>3234</v>
      </c>
      <c r="F43">
        <v>3335</v>
      </c>
      <c r="G43">
        <v>4198</v>
      </c>
      <c r="H43">
        <v>-1.0198610590244073E-2</v>
      </c>
      <c r="I43">
        <v>0.13933439758107946</v>
      </c>
      <c r="J43">
        <v>3404.0797026369582</v>
      </c>
      <c r="K43">
        <v>5449.3518862090314</v>
      </c>
      <c r="L43">
        <v>4.8176728430103788E-2</v>
      </c>
    </row>
    <row r="44" spans="1:12" x14ac:dyDescent="0.35">
      <c r="A44" t="s">
        <v>197</v>
      </c>
      <c r="B44" t="s">
        <v>120</v>
      </c>
      <c r="C44">
        <v>0</v>
      </c>
      <c r="D44">
        <v>31940</v>
      </c>
      <c r="E44">
        <v>31940</v>
      </c>
      <c r="F44">
        <v>21552</v>
      </c>
      <c r="G44">
        <v>31940</v>
      </c>
      <c r="H44">
        <v>0.14011618556211447</v>
      </c>
      <c r="I44">
        <v>5.4673730437993617E-2</v>
      </c>
      <c r="J44">
        <v>16580.184390769253</v>
      </c>
      <c r="K44">
        <v>39519.134731034355</v>
      </c>
      <c r="L44">
        <v>9.0741424234833445E-2</v>
      </c>
    </row>
    <row r="45" spans="1:12" x14ac:dyDescent="0.35">
      <c r="A45" t="s">
        <v>191</v>
      </c>
      <c r="B45" t="s">
        <v>121</v>
      </c>
      <c r="C45">
        <v>7237</v>
      </c>
      <c r="D45">
        <v>16407</v>
      </c>
      <c r="E45">
        <v>59496</v>
      </c>
      <c r="F45">
        <v>59496</v>
      </c>
      <c r="G45">
        <v>74873</v>
      </c>
      <c r="H45">
        <v>4.7050173871553191E-2</v>
      </c>
      <c r="I45">
        <v>5.4673730437993617E-2</v>
      </c>
      <c r="J45">
        <v>47277.042672258351</v>
      </c>
      <c r="K45">
        <v>73613.977456406385</v>
      </c>
      <c r="L45">
        <v>4.527604631793225E-2</v>
      </c>
    </row>
    <row r="46" spans="1:12" x14ac:dyDescent="0.35">
      <c r="A46" t="s">
        <v>187</v>
      </c>
      <c r="B46" t="s">
        <v>118</v>
      </c>
      <c r="C46">
        <v>0</v>
      </c>
      <c r="D46">
        <v>287458</v>
      </c>
      <c r="E46">
        <v>287458</v>
      </c>
      <c r="F46">
        <v>288742</v>
      </c>
      <c r="G46">
        <v>287458</v>
      </c>
      <c r="H46">
        <v>-1.4844947843777323E-3</v>
      </c>
      <c r="I46">
        <v>5.4673730437993617E-2</v>
      </c>
      <c r="J46">
        <v>289601.18469515647</v>
      </c>
      <c r="K46">
        <v>355669.73799354018</v>
      </c>
      <c r="L46">
        <v>2.0762385297059094E-2</v>
      </c>
    </row>
    <row r="47" spans="1:12" x14ac:dyDescent="0.35">
      <c r="A47" t="s">
        <v>192</v>
      </c>
      <c r="B47" t="s">
        <v>122</v>
      </c>
      <c r="C47">
        <v>3432</v>
      </c>
      <c r="D47">
        <v>14516</v>
      </c>
      <c r="E47">
        <v>17948</v>
      </c>
      <c r="F47">
        <v>13839</v>
      </c>
      <c r="G47">
        <v>17948</v>
      </c>
      <c r="H47">
        <v>9.0528744101809888E-2</v>
      </c>
      <c r="I47">
        <v>5.4673730437993617E-2</v>
      </c>
      <c r="J47">
        <v>11636.717063802082</v>
      </c>
      <c r="K47">
        <v>22206.932691064638</v>
      </c>
      <c r="L47">
        <v>6.6757758428317215E-2</v>
      </c>
    </row>
    <row r="48" spans="1:12" x14ac:dyDescent="0.35">
      <c r="A48" t="s">
        <v>193</v>
      </c>
      <c r="B48" t="s">
        <v>123</v>
      </c>
      <c r="C48">
        <v>854</v>
      </c>
      <c r="D48">
        <v>25835</v>
      </c>
      <c r="E48">
        <v>26689</v>
      </c>
      <c r="F48">
        <v>20885</v>
      </c>
      <c r="G48">
        <v>36976</v>
      </c>
      <c r="H48">
        <v>8.5173735635071912E-2</v>
      </c>
      <c r="I48">
        <v>0.17704702295875174</v>
      </c>
      <c r="J48">
        <v>17735.193513979666</v>
      </c>
      <c r="K48">
        <v>51228.018134812075</v>
      </c>
      <c r="L48">
        <v>0.11190366646427696</v>
      </c>
    </row>
    <row r="49" spans="1:12" x14ac:dyDescent="0.35">
      <c r="A49" t="s">
        <v>9</v>
      </c>
      <c r="B49" t="s">
        <v>9</v>
      </c>
      <c r="C49">
        <v>217551</v>
      </c>
      <c r="D49">
        <v>1093957</v>
      </c>
      <c r="E49">
        <v>1540512</v>
      </c>
      <c r="F49">
        <v>1420865</v>
      </c>
      <c r="G49">
        <v>1713568</v>
      </c>
      <c r="H49">
        <v>2.7316088979300268E-2</v>
      </c>
      <c r="I49">
        <v>5.4673730437993617E-2</v>
      </c>
      <c r="J49">
        <v>1361384.6193723958</v>
      </c>
      <c r="K49">
        <v>2054902.9456666561</v>
      </c>
      <c r="L49">
        <v>4.203197955640503E-2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densities</vt:lpstr>
      <vt:lpstr>anual growth</vt:lpstr>
      <vt:lpstr>Sheet4</vt:lpstr>
      <vt:lpstr>2018 rep summaries</vt:lpstr>
      <vt:lpstr>2018 report</vt:lpstr>
      <vt:lpstr>Sheet3</vt:lpstr>
      <vt:lpstr>Aggregate</vt:lpstr>
      <vt:lpstr>2012</vt:lpstr>
      <vt:lpstr>2013</vt:lpstr>
      <vt:lpstr>2014</vt:lpstr>
      <vt:lpstr>2015</vt:lpstr>
      <vt:lpstr>2016</vt:lpstr>
      <vt:lpstr>2017</vt:lpstr>
      <vt:lpstr>2018</vt:lpstr>
      <vt:lpstr>2019</vt:lpstr>
      <vt:lpstr>2020</vt:lpstr>
      <vt:lpstr>2021</vt:lpstr>
      <vt:lpstr>2022</vt:lpstr>
      <vt:lpstr>Sheet21</vt:lpstr>
      <vt:lpstr>2018 growth rates</vt:lpstr>
      <vt:lpstr>Country codes &amp; Data sources</vt:lpstr>
      <vt:lpstr>Cadres_Adj_Summary</vt:lpstr>
      <vt:lpstr>Sheet9</vt:lpstr>
      <vt:lpstr>Summary(Rev)</vt:lpstr>
      <vt:lpstr>Under reporting</vt:lpstr>
      <vt:lpstr>Sheet1</vt:lpstr>
      <vt:lpstr>Sheet2</vt:lpstr>
      <vt:lpstr>Sheet5</vt:lpstr>
      <vt:lpstr>Sheet7</vt:lpstr>
      <vt:lpstr>Sheet8</vt:lpstr>
      <vt:lpstr>Densitites country profiles</vt:lpstr>
      <vt:lpstr>Sheet11</vt:lpstr>
      <vt:lpstr>Sheet12</vt:lpstr>
      <vt:lpstr>Sheet10</vt:lpstr>
      <vt:lpstr>Master DataSheet (Rev)</vt:lpstr>
      <vt:lpstr>Master DataSheet</vt:lpstr>
      <vt:lpstr>Summaries</vt:lpstr>
      <vt:lpstr>Sheet6</vt:lpstr>
      <vt:lpstr>Adj factor</vt:lpstr>
      <vt:lpstr>Growthrates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Mung'atu</dc:creator>
  <cp:lastModifiedBy>MUNG'ATU, Joseph</cp:lastModifiedBy>
  <dcterms:created xsi:type="dcterms:W3CDTF">2024-02-08T06:29:22Z</dcterms:created>
  <dcterms:modified xsi:type="dcterms:W3CDTF">2025-11-20T18:55:27Z</dcterms:modified>
</cp:coreProperties>
</file>